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BCB7B6D-C2E0-4473-8CCE-76C9D6DC14C0}" xr6:coauthVersionLast="37" xr6:coauthVersionMax="37" xr10:uidLastSave="{00000000-0000-0000-0000-000000000000}"/>
  <bookViews>
    <workbookView xWindow="480" yWindow="165" windowWidth="11340" windowHeight="8775" firstSheet="21" activeTab="21" xr2:uid="{00000000-000D-0000-FFFF-FFFF00000000}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23" sheetId="128" state="hidden" r:id="rId15"/>
    <sheet name="Прил.1 ПланФХД с транспортир.23" sheetId="127" state="hidden" r:id="rId16"/>
    <sheet name="Прил.1 ПланФХД трансп. стоков23" sheetId="133" state="hidden" r:id="rId17"/>
    <sheet name="Прил. 1 План ФХД трансп. воды23" sheetId="132" state="hidden" r:id="rId18"/>
    <sheet name="Прил. 1 План ФХД стоки 2023" sheetId="126" state="hidden" r:id="rId19"/>
    <sheet name="Прил. 1 План ФХД вода 2023" sheetId="125" state="hidden" r:id="rId20"/>
    <sheet name="Расчет товарной выручки 2023" sheetId="124" state="hidden" r:id="rId21"/>
    <sheet name="ФАКТ.СЕБЕСТ.СТОКИ за 1 пол.2023" sheetId="123" r:id="rId22"/>
    <sheet name="ПОЛНАЯ СЕБЕСТОИМОСТЬ СТОКИ 2023" sheetId="122" state="hidden" r:id="rId23"/>
    <sheet name="ФАКТ.СЕБЕСТ.ВОДА за 1 пол. 2023" sheetId="121" r:id="rId24"/>
    <sheet name="ПОЛНАЯ СЕБЕСТОИМОСТЬ ВОДА 2023" sheetId="120" state="hidden" r:id="rId25"/>
    <sheet name="Расчет товарной выручки 2019" sheetId="134" state="hidden" r:id="rId26"/>
    <sheet name="объемы ВС и ВО 2023" sheetId="3" state="hidden" r:id="rId27"/>
    <sheet name="вода" sheetId="7" state="hidden" r:id="rId28"/>
    <sheet name="стоки" sheetId="8" state="hidden" r:id="rId29"/>
    <sheet name="вода 2019-2023 коррект" sheetId="61" state="hidden" r:id="rId30"/>
    <sheet name="тех вода 2019-2023" sheetId="64" state="hidden" r:id="rId31"/>
    <sheet name="стоки 2019-2023" sheetId="65" state="hidden" r:id="rId32"/>
    <sheet name="очистка 2019-2023" sheetId="66" state="hidden" r:id="rId33"/>
    <sheet name="Прочие неподконтр. расх" sheetId="140" state="hidden" r:id="rId34"/>
    <sheet name="Прочие расходы дополнительно" sheetId="138" state="hidden" r:id="rId35"/>
    <sheet name="цех вода 2023" sheetId="5" state="hidden" r:id="rId36"/>
    <sheet name="цех стоки 2023" sheetId="6" state="hidden" r:id="rId37"/>
    <sheet name="ХР" sheetId="11" state="hidden" r:id="rId38"/>
    <sheet name="электр 2017-2018" sheetId="72" state="hidden" r:id="rId39"/>
    <sheet name="электр" sheetId="9" state="hidden" r:id="rId40"/>
    <sheet name="ЭЭ вода" sheetId="95" state="hidden" r:id="rId41"/>
    <sheet name="ЭЭ стоки" sheetId="98" state="hidden" r:id="rId42"/>
    <sheet name="Аморт" sheetId="10" state="hidden" r:id="rId43"/>
    <sheet name="Лист2" sheetId="33" state="hidden" r:id="rId44"/>
    <sheet name="хим реагенты" sheetId="96" state="hidden" r:id="rId45"/>
    <sheet name="ЗП среднемес" sheetId="68" state="hidden" r:id="rId46"/>
    <sheet name="ЗП" sheetId="17" state="hidden" r:id="rId47"/>
    <sheet name="Лизинг" sheetId="143" state="hidden" r:id="rId48"/>
    <sheet name="рем программа" sheetId="111" state="hidden" r:id="rId49"/>
    <sheet name="ремонты" sheetId="97" state="hidden" r:id="rId50"/>
    <sheet name="ОХР " sheetId="19" state="hidden" r:id="rId51"/>
    <sheet name="Лист6" sheetId="137" state="hidden" r:id="rId52"/>
    <sheet name="Тепловая энергия (3 подъем)" sheetId="100" state="hidden" r:id="rId53"/>
    <sheet name="Природный газ, Теплоэнергия" sheetId="142" state="hidden" r:id="rId54"/>
    <sheet name="Транспортировка КЭМЗ" sheetId="103" state="hidden" r:id="rId55"/>
    <sheet name="ЗП с факт 3 кв. 2015" sheetId="71" state="hidden" r:id="rId56"/>
    <sheet name="ср. разряд" sheetId="112" state="hidden" r:id="rId57"/>
    <sheet name="Аренда земли" sheetId="102" state="hidden" r:id="rId58"/>
    <sheet name="3 подъем зпл" sheetId="101" state="hidden" r:id="rId59"/>
    <sheet name="транс" sheetId="69" state="hidden" r:id="rId60"/>
    <sheet name=" текРемвода 2016" sheetId="57" state="hidden" r:id="rId61"/>
    <sheet name="  текРемстоки 2016" sheetId="58" state="hidden" r:id="rId62"/>
    <sheet name="Кап Рем" sheetId="62" state="hidden" r:id="rId63"/>
    <sheet name="кап влож" sheetId="70" state="hidden" r:id="rId64"/>
    <sheet name="Бесхоз. сети вода" sheetId="135" state="hidden" r:id="rId65"/>
    <sheet name="Бесхоз. сети стоки" sheetId="136" state="hidden" r:id="rId66"/>
    <sheet name="выпадающие расходы" sheetId="117" state="hidden" r:id="rId67"/>
    <sheet name="НАЛОГИ" sheetId="104" state="hidden" r:id="rId68"/>
    <sheet name="вод.налог" sheetId="32" state="hidden" r:id="rId69"/>
    <sheet name="4.2. Налог на имущество" sheetId="105" state="hidden" r:id="rId70"/>
    <sheet name="налог на имущ" sheetId="67" state="hidden" r:id="rId71"/>
    <sheet name="Резерв ДЗ" sheetId="63" state="hidden" r:id="rId72"/>
    <sheet name="Выпадающ15-16" sheetId="36" state="hidden" r:id="rId73"/>
    <sheet name="Ремонт стоки 2016" sheetId="54" state="hidden" r:id="rId74"/>
    <sheet name="Ремонт вода 2016" sheetId="52" state="hidden" r:id="rId75"/>
    <sheet name="Выпадающ" sheetId="60" state="hidden" r:id="rId76"/>
    <sheet name="Ремонт вода 2015" sheetId="34" state="hidden" r:id="rId77"/>
    <sheet name="Ремонт стоки 2015" sheetId="35" state="hidden" r:id="rId78"/>
    <sheet name="платежка с ИП" sheetId="21" state="hidden" r:id="rId79"/>
    <sheet name="рез к 2017" sheetId="73" state="hidden" r:id="rId80"/>
    <sheet name="Налог на прибыль" sheetId="139" state="hidden" r:id="rId81"/>
    <sheet name="НВОС" sheetId="92" state="hidden" r:id="rId82"/>
    <sheet name="рез к 2018-2024 (кор) " sheetId="118" state="hidden" r:id="rId83"/>
    <sheet name="Сбытовые расходы (дополн.)" sheetId="141" state="hidden" r:id="rId84"/>
    <sheet name="А 2018" sheetId="119" state="hidden" r:id="rId85"/>
    <sheet name="Расчет товарной выручки 2018" sheetId="114" state="hidden" r:id="rId86"/>
    <sheet name="рез к 2017-2023" sheetId="116" state="hidden" r:id="rId87"/>
    <sheet name="распределение ОХР" sheetId="99" state="hidden" r:id="rId88"/>
    <sheet name="2017 к" sheetId="74" state="hidden" r:id="rId89"/>
    <sheet name="2018 к" sheetId="86" state="hidden" r:id="rId90"/>
    <sheet name="имушество 2017 к." sheetId="75" state="hidden" r:id="rId91"/>
    <sheet name="Лист4" sheetId="76" state="hidden" r:id="rId92"/>
    <sheet name="2017 к смета" sheetId="77" state="hidden" r:id="rId93"/>
    <sheet name="2018 к смета" sheetId="87" state="hidden" r:id="rId94"/>
    <sheet name="амортизация 2017 год" sheetId="109" state="hidden" r:id="rId95"/>
    <sheet name="Насосная стация 2 подъем" sheetId="110" state="hidden" r:id="rId96"/>
    <sheet name="снятие ИП" sheetId="108" state="hidden" r:id="rId97"/>
    <sheet name="ИП" sheetId="78" state="hidden" r:id="rId98"/>
    <sheet name="хим. реагенты" sheetId="81" state="hidden" r:id="rId99"/>
    <sheet name="ээ 2015" sheetId="82" state="hidden" r:id="rId100"/>
    <sheet name="ремонт" sheetId="83" state="hidden" r:id="rId101"/>
    <sheet name="Лист3" sheetId="113" state="hidden" r:id="rId102"/>
    <sheet name="Лист5" sheetId="115" state="hidden" r:id="rId103"/>
    <sheet name="Лист1" sheetId="93" state="hidden" r:id="rId104"/>
  </sheets>
  <externalReferences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</externalReferences>
  <definedNames>
    <definedName name="_4Excel_BuiltIn_Print_Area_59_67_1" localSheetId="84">#REF!</definedName>
    <definedName name="_4Excel_BuiltIn_Print_Area_59_67_1" localSheetId="64">#REF!</definedName>
    <definedName name="_4Excel_BuiltIn_Print_Area_59_67_1" localSheetId="65">#REF!</definedName>
    <definedName name="_4Excel_BuiltIn_Print_Area_59_67_1" localSheetId="66">#REF!</definedName>
    <definedName name="_4Excel_BuiltIn_Print_Area_59_67_1" localSheetId="55">#REF!</definedName>
    <definedName name="_4Excel_BuiltIn_Print_Area_59_67_1" localSheetId="80">#REF!</definedName>
    <definedName name="_4Excel_BuiltIn_Print_Area_59_67_1" localSheetId="32">#REF!</definedName>
    <definedName name="_4Excel_BuiltIn_Print_Area_59_67_1" localSheetId="17">#REF!</definedName>
    <definedName name="_4Excel_BuiltIn_Print_Area_59_67_1" localSheetId="15">#REF!</definedName>
    <definedName name="_4Excel_BuiltIn_Print_Area_59_67_1" localSheetId="16">#REF!</definedName>
    <definedName name="_4Excel_BuiltIn_Print_Area_59_67_1" localSheetId="85">#REF!</definedName>
    <definedName name="_4Excel_BuiltIn_Print_Area_59_67_1" localSheetId="25">#REF!</definedName>
    <definedName name="_4Excel_BuiltIn_Print_Area_59_67_1" localSheetId="20">#REF!</definedName>
    <definedName name="_4Excel_BuiltIn_Print_Area_59_67_1" localSheetId="86">#REF!</definedName>
    <definedName name="_4Excel_BuiltIn_Print_Area_59_67_1" localSheetId="82">#REF!</definedName>
    <definedName name="_4Excel_BuiltIn_Print_Area_59_67_1" localSheetId="31">#REF!</definedName>
    <definedName name="_4Excel_BuiltIn_Print_Area_59_67_1" localSheetId="30">#REF!</definedName>
    <definedName name="_4Excel_BuiltIn_Print_Area_59_67_1" localSheetId="14">#REF!</definedName>
    <definedName name="_4Excel_BuiltIn_Print_Area_59_67_1" localSheetId="38">#REF!</definedName>
    <definedName name="_4Excel_BuiltIn_Print_Area_59_67_1">#REF!</definedName>
    <definedName name="_8Excel_BuiltIn_Print_Area_59_74_1" localSheetId="84">#REF!</definedName>
    <definedName name="_8Excel_BuiltIn_Print_Area_59_74_1" localSheetId="64">#REF!</definedName>
    <definedName name="_8Excel_BuiltIn_Print_Area_59_74_1" localSheetId="65">#REF!</definedName>
    <definedName name="_8Excel_BuiltIn_Print_Area_59_74_1" localSheetId="66">#REF!</definedName>
    <definedName name="_8Excel_BuiltIn_Print_Area_59_74_1" localSheetId="55">#REF!</definedName>
    <definedName name="_8Excel_BuiltIn_Print_Area_59_74_1" localSheetId="80">#REF!</definedName>
    <definedName name="_8Excel_BuiltIn_Print_Area_59_74_1" localSheetId="32">#REF!</definedName>
    <definedName name="_8Excel_BuiltIn_Print_Area_59_74_1" localSheetId="17">#REF!</definedName>
    <definedName name="_8Excel_BuiltIn_Print_Area_59_74_1" localSheetId="15">#REF!</definedName>
    <definedName name="_8Excel_BuiltIn_Print_Area_59_74_1" localSheetId="16">#REF!</definedName>
    <definedName name="_8Excel_BuiltIn_Print_Area_59_74_1" localSheetId="85">#REF!</definedName>
    <definedName name="_8Excel_BuiltIn_Print_Area_59_74_1" localSheetId="25">#REF!</definedName>
    <definedName name="_8Excel_BuiltIn_Print_Area_59_74_1" localSheetId="20">#REF!</definedName>
    <definedName name="_8Excel_BuiltIn_Print_Area_59_74_1" localSheetId="86">#REF!</definedName>
    <definedName name="_8Excel_BuiltIn_Print_Area_59_74_1" localSheetId="82">#REF!</definedName>
    <definedName name="_8Excel_BuiltIn_Print_Area_59_74_1" localSheetId="31">#REF!</definedName>
    <definedName name="_8Excel_BuiltIn_Print_Area_59_74_1" localSheetId="30">#REF!</definedName>
    <definedName name="_8Excel_BuiltIn_Print_Area_59_74_1" localSheetId="14">#REF!</definedName>
    <definedName name="_8Excel_BuiltIn_Print_Area_59_74_1" localSheetId="38">#REF!</definedName>
    <definedName name="_8Excel_BuiltIn_Print_Area_59_74_1">#REF!</definedName>
    <definedName name="_Pi1" localSheetId="84">'А 2018'!_Pi1</definedName>
    <definedName name="_Pi1" localSheetId="66">#N/A</definedName>
    <definedName name="_Pi1" localSheetId="55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8">#N/A</definedName>
    <definedName name="_Pi1" localSheetId="17">#N/A</definedName>
    <definedName name="_Pi1" localSheetId="15">#N/A</definedName>
    <definedName name="_Pi1" localSheetId="16">#N/A</definedName>
    <definedName name="_Pi1" localSheetId="85">#N/A</definedName>
    <definedName name="_Pi1" localSheetId="25">#N/A</definedName>
    <definedName name="_Pi1" localSheetId="20">#N/A</definedName>
    <definedName name="_Pi1" localSheetId="86">'рез к 2017-2023'!_Pi1</definedName>
    <definedName name="_Pi1" localSheetId="82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84">'А 2018'!_Pi2</definedName>
    <definedName name="_Pi2" localSheetId="66">#N/A</definedName>
    <definedName name="_Pi2" localSheetId="55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8">#N/A</definedName>
    <definedName name="_Pi2" localSheetId="17">#N/A</definedName>
    <definedName name="_Pi2" localSheetId="15">#N/A</definedName>
    <definedName name="_Pi2" localSheetId="16">#N/A</definedName>
    <definedName name="_Pi2" localSheetId="85">#N/A</definedName>
    <definedName name="_Pi2" localSheetId="25">#N/A</definedName>
    <definedName name="_Pi2" localSheetId="20">#N/A</definedName>
    <definedName name="_Pi2" localSheetId="86">'рез к 2017-2023'!_Pi2</definedName>
    <definedName name="_Pi2" localSheetId="82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84">'А 2018'!_Pi3</definedName>
    <definedName name="_Pi3" localSheetId="66">#N/A</definedName>
    <definedName name="_Pi3" localSheetId="55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8">#N/A</definedName>
    <definedName name="_Pi3" localSheetId="17">#N/A</definedName>
    <definedName name="_Pi3" localSheetId="15">#N/A</definedName>
    <definedName name="_Pi3" localSheetId="16">#N/A</definedName>
    <definedName name="_Pi3" localSheetId="85">#N/A</definedName>
    <definedName name="_Pi3" localSheetId="25">#N/A</definedName>
    <definedName name="_Pi3" localSheetId="20">#N/A</definedName>
    <definedName name="_Pi3" localSheetId="86">'рез к 2017-2023'!_Pi3</definedName>
    <definedName name="_Pi3" localSheetId="82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84">'А 2018'!_Pi4</definedName>
    <definedName name="_Pi4" localSheetId="66">#N/A</definedName>
    <definedName name="_Pi4" localSheetId="55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8">#N/A</definedName>
    <definedName name="_Pi4" localSheetId="17">#N/A</definedName>
    <definedName name="_Pi4" localSheetId="15">#N/A</definedName>
    <definedName name="_Pi4" localSheetId="16">#N/A</definedName>
    <definedName name="_Pi4" localSheetId="85">#N/A</definedName>
    <definedName name="_Pi4" localSheetId="25">#N/A</definedName>
    <definedName name="_Pi4" localSheetId="20">#N/A</definedName>
    <definedName name="_Pi4" localSheetId="86">'рез к 2017-2023'!_Pi4</definedName>
    <definedName name="_Pi4" localSheetId="82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84">'А 2018'!_Pi5</definedName>
    <definedName name="_Pi5" localSheetId="66">#N/A</definedName>
    <definedName name="_Pi5" localSheetId="55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8">#N/A</definedName>
    <definedName name="_Pi5" localSheetId="17">#N/A</definedName>
    <definedName name="_Pi5" localSheetId="15">#N/A</definedName>
    <definedName name="_Pi5" localSheetId="16">#N/A</definedName>
    <definedName name="_Pi5" localSheetId="85">#N/A</definedName>
    <definedName name="_Pi5" localSheetId="25">#N/A</definedName>
    <definedName name="_Pi5" localSheetId="20">#N/A</definedName>
    <definedName name="_Pi5" localSheetId="86">'рез к 2017-2023'!_Pi5</definedName>
    <definedName name="_Pi5" localSheetId="82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84">'А 2018'!asds</definedName>
    <definedName name="asds" localSheetId="66">#N/A</definedName>
    <definedName name="asds" localSheetId="55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8">#N/A</definedName>
    <definedName name="asds" localSheetId="17">#N/A</definedName>
    <definedName name="asds" localSheetId="15">#N/A</definedName>
    <definedName name="asds" localSheetId="16">#N/A</definedName>
    <definedName name="asds" localSheetId="85">#N/A</definedName>
    <definedName name="asds" localSheetId="25">#N/A</definedName>
    <definedName name="asds" localSheetId="20">#N/A</definedName>
    <definedName name="asds" localSheetId="86">'рез к 2017-2023'!asds</definedName>
    <definedName name="asds" localSheetId="82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84">'А 2018'!asds</definedName>
    <definedName name="asds_10" localSheetId="66">'выпадающие расходы'!asds</definedName>
    <definedName name="asds_10" localSheetId="55">'ЗП с факт 3 кв. 2015'!asds</definedName>
    <definedName name="asds_10" localSheetId="24">'ПОЛНАЯ СЕБЕСТОИМОСТЬ ВОДА 2023'!asds</definedName>
    <definedName name="asds_10" localSheetId="22">'ПОЛНАЯ СЕБЕСТОИМОСТЬ СТОКИ 2023'!asds</definedName>
    <definedName name="asds_10" localSheetId="19">'Прил. 1 План ФХД вода 2023'!asds</definedName>
    <definedName name="asds_10" localSheetId="18">'Прил. 1 План ФХД стоки 2023'!asds</definedName>
    <definedName name="asds_10" localSheetId="17">'Прил. 1 План ФХД трансп. воды23'!asds</definedName>
    <definedName name="asds_10" localSheetId="15">'Прил.1 ПланФХД с транспортир.23'!asds</definedName>
    <definedName name="asds_10" localSheetId="16">'Прил.1 ПланФХД трансп. стоков23'!asds</definedName>
    <definedName name="asds_10" localSheetId="85">'Расчет товарной выручки 2018'!asds</definedName>
    <definedName name="asds_10" localSheetId="25">'Расчет товарной выручки 2019'!asds</definedName>
    <definedName name="asds_10" localSheetId="20">'Расчет товарной выручки 2023'!asds</definedName>
    <definedName name="asds_10" localSheetId="86">'рез к 2017-2023'!asds</definedName>
    <definedName name="asds_10" localSheetId="82">'рез к 2018-2024 (кор) '!asds</definedName>
    <definedName name="asds_10" localSheetId="13">'Текущий ремонт'!asds</definedName>
    <definedName name="asds_10" localSheetId="23">'ФАКТ.СЕБЕСТ.ВОДА за 1 пол. 2023'!asds</definedName>
    <definedName name="asds_10" localSheetId="21">'ФАКТ.СЕБЕСТ.СТОКИ за 1 пол.2023'!asds</definedName>
    <definedName name="asds_10" localSheetId="14">'Чистая прибыль с транспортир.23'!asds</definedName>
    <definedName name="asds_10">[0]!asds</definedName>
    <definedName name="asds_14" localSheetId="84">'А 2018'!asds</definedName>
    <definedName name="asds_14" localSheetId="66">'выпадающие расходы'!asds</definedName>
    <definedName name="asds_14" localSheetId="55">'ЗП с факт 3 кв. 2015'!asds</definedName>
    <definedName name="asds_14" localSheetId="24">'ПОЛНАЯ СЕБЕСТОИМОСТЬ ВОДА 2023'!asds</definedName>
    <definedName name="asds_14" localSheetId="22">'ПОЛНАЯ СЕБЕСТОИМОСТЬ СТОКИ 2023'!asds</definedName>
    <definedName name="asds_14" localSheetId="19">'Прил. 1 План ФХД вода 2023'!asds</definedName>
    <definedName name="asds_14" localSheetId="18">'Прил. 1 План ФХД стоки 2023'!asds</definedName>
    <definedName name="asds_14" localSheetId="17">'Прил. 1 План ФХД трансп. воды23'!asds</definedName>
    <definedName name="asds_14" localSheetId="15">'Прил.1 ПланФХД с транспортир.23'!asds</definedName>
    <definedName name="asds_14" localSheetId="16">'Прил.1 ПланФХД трансп. стоков23'!asds</definedName>
    <definedName name="asds_14" localSheetId="85">'Расчет товарной выручки 2018'!asds</definedName>
    <definedName name="asds_14" localSheetId="25">'Расчет товарной выручки 2019'!asds</definedName>
    <definedName name="asds_14" localSheetId="20">'Расчет товарной выручки 2023'!asds</definedName>
    <definedName name="asds_14" localSheetId="86">'рез к 2017-2023'!asds</definedName>
    <definedName name="asds_14" localSheetId="82">'рез к 2018-2024 (кор) '!asds</definedName>
    <definedName name="asds_14" localSheetId="13">'Текущий ремонт'!asds</definedName>
    <definedName name="asds_14" localSheetId="23">'ФАКТ.СЕБЕСТ.ВОДА за 1 пол. 2023'!asds</definedName>
    <definedName name="asds_14" localSheetId="21">'ФАКТ.СЕБЕСТ.СТОКИ за 1 пол.2023'!asds</definedName>
    <definedName name="asds_14" localSheetId="14">'Чистая прибыль с транспортир.23'!asds</definedName>
    <definedName name="asds_14">[0]!asds</definedName>
    <definedName name="asds_15" localSheetId="84">'А 2018'!asds</definedName>
    <definedName name="asds_15" localSheetId="66">'выпадающие расходы'!asds</definedName>
    <definedName name="asds_15" localSheetId="55">'ЗП с факт 3 кв. 2015'!asds</definedName>
    <definedName name="asds_15" localSheetId="24">'ПОЛНАЯ СЕБЕСТОИМОСТЬ ВОДА 2023'!asds</definedName>
    <definedName name="asds_15" localSheetId="22">'ПОЛНАЯ СЕБЕСТОИМОСТЬ СТОКИ 2023'!asds</definedName>
    <definedName name="asds_15" localSheetId="19">'Прил. 1 План ФХД вода 2023'!asds</definedName>
    <definedName name="asds_15" localSheetId="18">'Прил. 1 План ФХД стоки 2023'!asds</definedName>
    <definedName name="asds_15" localSheetId="17">'Прил. 1 План ФХД трансп. воды23'!asds</definedName>
    <definedName name="asds_15" localSheetId="15">'Прил.1 ПланФХД с транспортир.23'!asds</definedName>
    <definedName name="asds_15" localSheetId="16">'Прил.1 ПланФХД трансп. стоков23'!asds</definedName>
    <definedName name="asds_15" localSheetId="85">'Расчет товарной выручки 2018'!asds</definedName>
    <definedName name="asds_15" localSheetId="25">'Расчет товарной выручки 2019'!asds</definedName>
    <definedName name="asds_15" localSheetId="20">'Расчет товарной выручки 2023'!asds</definedName>
    <definedName name="asds_15" localSheetId="86">'рез к 2017-2023'!asds</definedName>
    <definedName name="asds_15" localSheetId="82">'рез к 2018-2024 (кор) '!asds</definedName>
    <definedName name="asds_15" localSheetId="13">'Текущий ремонт'!asds</definedName>
    <definedName name="asds_15" localSheetId="23">'ФАКТ.СЕБЕСТ.ВОДА за 1 пол. 2023'!asds</definedName>
    <definedName name="asds_15" localSheetId="21">'ФАКТ.СЕБЕСТ.СТОКИ за 1 пол.2023'!asds</definedName>
    <definedName name="asds_15" localSheetId="14">'Чистая прибыль с транспортир.23'!asds</definedName>
    <definedName name="asds_15">[0]!asds</definedName>
    <definedName name="asds_16" localSheetId="84">'А 2018'!asds</definedName>
    <definedName name="asds_16" localSheetId="66">'выпадающие расходы'!asds</definedName>
    <definedName name="asds_16" localSheetId="55">'ЗП с факт 3 кв. 2015'!asds</definedName>
    <definedName name="asds_16" localSheetId="24">'ПОЛНАЯ СЕБЕСТОИМОСТЬ ВОДА 2023'!asds</definedName>
    <definedName name="asds_16" localSheetId="22">'ПОЛНАЯ СЕБЕСТОИМОСТЬ СТОКИ 2023'!asds</definedName>
    <definedName name="asds_16" localSheetId="19">'Прил. 1 План ФХД вода 2023'!asds</definedName>
    <definedName name="asds_16" localSheetId="18">'Прил. 1 План ФХД стоки 2023'!asds</definedName>
    <definedName name="asds_16" localSheetId="17">'Прил. 1 План ФХД трансп. воды23'!asds</definedName>
    <definedName name="asds_16" localSheetId="15">'Прил.1 ПланФХД с транспортир.23'!asds</definedName>
    <definedName name="asds_16" localSheetId="16">'Прил.1 ПланФХД трансп. стоков23'!asds</definedName>
    <definedName name="asds_16" localSheetId="85">'Расчет товарной выручки 2018'!asds</definedName>
    <definedName name="asds_16" localSheetId="25">'Расчет товарной выручки 2019'!asds</definedName>
    <definedName name="asds_16" localSheetId="20">'Расчет товарной выручки 2023'!asds</definedName>
    <definedName name="asds_16" localSheetId="86">'рез к 2017-2023'!asds</definedName>
    <definedName name="asds_16" localSheetId="82">'рез к 2018-2024 (кор) '!asds</definedName>
    <definedName name="asds_16" localSheetId="13">'Текущий ремонт'!asds</definedName>
    <definedName name="asds_16" localSheetId="23">'ФАКТ.СЕБЕСТ.ВОДА за 1 пол. 2023'!asds</definedName>
    <definedName name="asds_16" localSheetId="21">'ФАКТ.СЕБЕСТ.СТОКИ за 1 пол.2023'!asds</definedName>
    <definedName name="asds_16" localSheetId="14">'Чистая прибыль с транспортир.23'!asds</definedName>
    <definedName name="asds_16">[0]!asds</definedName>
    <definedName name="asds_2" localSheetId="84">'А 2018'!asds</definedName>
    <definedName name="asds_2" localSheetId="66">'выпадающие расходы'!asds</definedName>
    <definedName name="asds_2" localSheetId="55">'ЗП с факт 3 кв. 2015'!asds</definedName>
    <definedName name="asds_2" localSheetId="24">'ПОЛНАЯ СЕБЕСТОИМОСТЬ ВОДА 2023'!asds</definedName>
    <definedName name="asds_2" localSheetId="22">'ПОЛНАЯ СЕБЕСТОИМОСТЬ СТОКИ 2023'!asds</definedName>
    <definedName name="asds_2" localSheetId="19">'Прил. 1 План ФХД вода 2023'!asds</definedName>
    <definedName name="asds_2" localSheetId="18">'Прил. 1 План ФХД стоки 2023'!asds</definedName>
    <definedName name="asds_2" localSheetId="17">'Прил. 1 План ФХД трансп. воды23'!asds</definedName>
    <definedName name="asds_2" localSheetId="15">'Прил.1 ПланФХД с транспортир.23'!asds</definedName>
    <definedName name="asds_2" localSheetId="16">'Прил.1 ПланФХД трансп. стоков23'!asds</definedName>
    <definedName name="asds_2" localSheetId="85">'Расчет товарной выручки 2018'!asds</definedName>
    <definedName name="asds_2" localSheetId="25">'Расчет товарной выручки 2019'!asds</definedName>
    <definedName name="asds_2" localSheetId="20">'Расчет товарной выручки 2023'!asds</definedName>
    <definedName name="asds_2" localSheetId="86">'рез к 2017-2023'!asds</definedName>
    <definedName name="asds_2" localSheetId="82">'рез к 2018-2024 (кор) '!asds</definedName>
    <definedName name="asds_2" localSheetId="13">'Текущий ремонт'!asds</definedName>
    <definedName name="asds_2" localSheetId="23">'ФАКТ.СЕБЕСТ.ВОДА за 1 пол. 2023'!asds</definedName>
    <definedName name="asds_2" localSheetId="21">'ФАКТ.СЕБЕСТ.СТОКИ за 1 пол.2023'!asds</definedName>
    <definedName name="asds_2" localSheetId="14">'Чистая прибыль с транспортир.23'!asds</definedName>
    <definedName name="asds_2">[0]!asds</definedName>
    <definedName name="CY" localSheetId="84">[1]Титул!$M$2</definedName>
    <definedName name="CY" localSheetId="66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8">[3]Титул!$M$2</definedName>
    <definedName name="CY" localSheetId="17">[3]Титул!$M$2</definedName>
    <definedName name="CY" localSheetId="15">[3]Титул!$M$2</definedName>
    <definedName name="CY" localSheetId="16">[3]Титул!$M$2</definedName>
    <definedName name="CY" localSheetId="85">[2]Титул!$M$2</definedName>
    <definedName name="CY" localSheetId="25">[3]Титул!$M$2</definedName>
    <definedName name="CY" localSheetId="20">[2]Титул!$M$2</definedName>
    <definedName name="CY" localSheetId="86">[2]Титул!$M$2</definedName>
    <definedName name="CY" localSheetId="82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84">[5]Список!$J$2</definedName>
    <definedName name="CY_74" localSheetId="66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8">[7]Список!$J$2</definedName>
    <definedName name="CY_74" localSheetId="17">[7]Список!$J$2</definedName>
    <definedName name="CY_74" localSheetId="15">[7]Список!$J$2</definedName>
    <definedName name="CY_74" localSheetId="16">[7]Список!$J$2</definedName>
    <definedName name="CY_74" localSheetId="85">[6]Список!$J$2</definedName>
    <definedName name="CY_74" localSheetId="25">[7]Список!$J$2</definedName>
    <definedName name="CY_74" localSheetId="20">[6]Список!$J$2</definedName>
    <definedName name="CY_74" localSheetId="86">[6]Список!$J$2</definedName>
    <definedName name="CY_74" localSheetId="82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84">[5]Список!$J$2</definedName>
    <definedName name="CY_75" localSheetId="66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8">[7]Список!$J$2</definedName>
    <definedName name="CY_75" localSheetId="17">[7]Список!$J$2</definedName>
    <definedName name="CY_75" localSheetId="15">[7]Список!$J$2</definedName>
    <definedName name="CY_75" localSheetId="16">[7]Список!$J$2</definedName>
    <definedName name="CY_75" localSheetId="85">[6]Список!$J$2</definedName>
    <definedName name="CY_75" localSheetId="25">[7]Список!$J$2</definedName>
    <definedName name="CY_75" localSheetId="20">[6]Список!$J$2</definedName>
    <definedName name="CY_75" localSheetId="86">[6]Список!$J$2</definedName>
    <definedName name="CY_75" localSheetId="82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84">[5]Список!$J$2</definedName>
    <definedName name="dfhf" localSheetId="66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8">[7]Список!$J$2</definedName>
    <definedName name="dfhf" localSheetId="17">[7]Список!$J$2</definedName>
    <definedName name="dfhf" localSheetId="15">[7]Список!$J$2</definedName>
    <definedName name="dfhf" localSheetId="16">[7]Список!$J$2</definedName>
    <definedName name="dfhf" localSheetId="85">[6]Список!$J$2</definedName>
    <definedName name="dfhf" localSheetId="25">[7]Список!$J$2</definedName>
    <definedName name="dfhf" localSheetId="20">[6]Список!$J$2</definedName>
    <definedName name="dfhf" localSheetId="86">[6]Список!$J$2</definedName>
    <definedName name="dfhf" localSheetId="82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84">'А 2018'!end_chart</definedName>
    <definedName name="end_chart" localSheetId="66">#N/A</definedName>
    <definedName name="end_chart" localSheetId="55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8">#N/A</definedName>
    <definedName name="end_chart" localSheetId="17">#N/A</definedName>
    <definedName name="end_chart" localSheetId="15">#N/A</definedName>
    <definedName name="end_chart" localSheetId="16">#N/A</definedName>
    <definedName name="end_chart" localSheetId="85">#N/A</definedName>
    <definedName name="end_chart" localSheetId="25">#N/A</definedName>
    <definedName name="end_chart" localSheetId="20">#N/A</definedName>
    <definedName name="end_chart" localSheetId="86">'рез к 2017-2023'!end_chart</definedName>
    <definedName name="end_chart" localSheetId="82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84">'А 2018'!end_chart</definedName>
    <definedName name="end_chart_10" localSheetId="66">'выпадающие расходы'!end_chart</definedName>
    <definedName name="end_chart_10" localSheetId="55">'ЗП с факт 3 кв. 2015'!end_chart</definedName>
    <definedName name="end_chart_10" localSheetId="24">'ПОЛНАЯ СЕБЕСТОИМОСТЬ ВОДА 2023'!end_chart</definedName>
    <definedName name="end_chart_10" localSheetId="22">'ПОЛНАЯ СЕБЕСТОИМОСТЬ СТОКИ 2023'!end_chart</definedName>
    <definedName name="end_chart_10" localSheetId="19">'Прил. 1 План ФХД вода 2023'!end_chart</definedName>
    <definedName name="end_chart_10" localSheetId="18">'Прил. 1 План ФХД стоки 2023'!end_chart</definedName>
    <definedName name="end_chart_10" localSheetId="17">'Прил. 1 План ФХД трансп. воды23'!end_chart</definedName>
    <definedName name="end_chart_10" localSheetId="15">'Прил.1 ПланФХД с транспортир.23'!end_chart</definedName>
    <definedName name="end_chart_10" localSheetId="16">'Прил.1 ПланФХД трансп. стоков23'!end_chart</definedName>
    <definedName name="end_chart_10" localSheetId="85">'Расчет товарной выручки 2018'!end_chart</definedName>
    <definedName name="end_chart_10" localSheetId="25">'Расчет товарной выручки 2019'!end_chart</definedName>
    <definedName name="end_chart_10" localSheetId="20">'Расчет товарной выручки 2023'!end_chart</definedName>
    <definedName name="end_chart_10" localSheetId="86">'рез к 2017-2023'!end_chart</definedName>
    <definedName name="end_chart_10" localSheetId="82">'рез к 2018-2024 (кор) '!end_chart</definedName>
    <definedName name="end_chart_10" localSheetId="13">'Текущий ремонт'!end_chart</definedName>
    <definedName name="end_chart_10" localSheetId="23">'ФАКТ.СЕБЕСТ.ВОДА за 1 пол. 2023'!end_chart</definedName>
    <definedName name="end_chart_10" localSheetId="21">'ФАКТ.СЕБЕСТ.СТОКИ за 1 пол.2023'!end_chart</definedName>
    <definedName name="end_chart_10" localSheetId="14">'Чистая прибыль с транспортир.23'!end_chart</definedName>
    <definedName name="end_chart_10">[0]!end_chart</definedName>
    <definedName name="end_chart_14" localSheetId="84">'А 2018'!end_chart</definedName>
    <definedName name="end_chart_14" localSheetId="66">'выпадающие расходы'!end_chart</definedName>
    <definedName name="end_chart_14" localSheetId="55">'ЗП с факт 3 кв. 2015'!end_chart</definedName>
    <definedName name="end_chart_14" localSheetId="24">'ПОЛНАЯ СЕБЕСТОИМОСТЬ ВОДА 2023'!end_chart</definedName>
    <definedName name="end_chart_14" localSheetId="22">'ПОЛНАЯ СЕБЕСТОИМОСТЬ СТОКИ 2023'!end_chart</definedName>
    <definedName name="end_chart_14" localSheetId="19">'Прил. 1 План ФХД вода 2023'!end_chart</definedName>
    <definedName name="end_chart_14" localSheetId="18">'Прил. 1 План ФХД стоки 2023'!end_chart</definedName>
    <definedName name="end_chart_14" localSheetId="17">'Прил. 1 План ФХД трансп. воды23'!end_chart</definedName>
    <definedName name="end_chart_14" localSheetId="15">'Прил.1 ПланФХД с транспортир.23'!end_chart</definedName>
    <definedName name="end_chart_14" localSheetId="16">'Прил.1 ПланФХД трансп. стоков23'!end_chart</definedName>
    <definedName name="end_chart_14" localSheetId="85">'Расчет товарной выручки 2018'!end_chart</definedName>
    <definedName name="end_chart_14" localSheetId="25">'Расчет товарной выручки 2019'!end_chart</definedName>
    <definedName name="end_chart_14" localSheetId="20">'Расчет товарной выручки 2023'!end_chart</definedName>
    <definedName name="end_chart_14" localSheetId="86">'рез к 2017-2023'!end_chart</definedName>
    <definedName name="end_chart_14" localSheetId="82">'рез к 2018-2024 (кор) '!end_chart</definedName>
    <definedName name="end_chart_14" localSheetId="13">'Текущий ремонт'!end_chart</definedName>
    <definedName name="end_chart_14" localSheetId="23">'ФАКТ.СЕБЕСТ.ВОДА за 1 пол. 2023'!end_chart</definedName>
    <definedName name="end_chart_14" localSheetId="21">'ФАКТ.СЕБЕСТ.СТОКИ за 1 пол.2023'!end_chart</definedName>
    <definedName name="end_chart_14" localSheetId="14">'Чистая прибыль с транспортир.23'!end_chart</definedName>
    <definedName name="end_chart_14">[0]!end_chart</definedName>
    <definedName name="end_chart_15" localSheetId="84">'А 2018'!end_chart</definedName>
    <definedName name="end_chart_15" localSheetId="66">'выпадающие расходы'!end_chart</definedName>
    <definedName name="end_chart_15" localSheetId="55">'ЗП с факт 3 кв. 2015'!end_chart</definedName>
    <definedName name="end_chart_15" localSheetId="24">'ПОЛНАЯ СЕБЕСТОИМОСТЬ ВОДА 2023'!end_chart</definedName>
    <definedName name="end_chart_15" localSheetId="22">'ПОЛНАЯ СЕБЕСТОИМОСТЬ СТОКИ 2023'!end_chart</definedName>
    <definedName name="end_chart_15" localSheetId="19">'Прил. 1 План ФХД вода 2023'!end_chart</definedName>
    <definedName name="end_chart_15" localSheetId="18">'Прил. 1 План ФХД стоки 2023'!end_chart</definedName>
    <definedName name="end_chart_15" localSheetId="17">'Прил. 1 План ФХД трансп. воды23'!end_chart</definedName>
    <definedName name="end_chart_15" localSheetId="15">'Прил.1 ПланФХД с транспортир.23'!end_chart</definedName>
    <definedName name="end_chart_15" localSheetId="16">'Прил.1 ПланФХД трансп. стоков23'!end_chart</definedName>
    <definedName name="end_chart_15" localSheetId="85">'Расчет товарной выручки 2018'!end_chart</definedName>
    <definedName name="end_chart_15" localSheetId="25">'Расчет товарной выручки 2019'!end_chart</definedName>
    <definedName name="end_chart_15" localSheetId="20">'Расчет товарной выручки 2023'!end_chart</definedName>
    <definedName name="end_chart_15" localSheetId="86">'рез к 2017-2023'!end_chart</definedName>
    <definedName name="end_chart_15" localSheetId="82">'рез к 2018-2024 (кор) '!end_chart</definedName>
    <definedName name="end_chart_15" localSheetId="13">'Текущий ремонт'!end_chart</definedName>
    <definedName name="end_chart_15" localSheetId="23">'ФАКТ.СЕБЕСТ.ВОДА за 1 пол. 2023'!end_chart</definedName>
    <definedName name="end_chart_15" localSheetId="21">'ФАКТ.СЕБЕСТ.СТОКИ за 1 пол.2023'!end_chart</definedName>
    <definedName name="end_chart_15" localSheetId="14">'Чистая прибыль с транспортир.23'!end_chart</definedName>
    <definedName name="end_chart_15">[0]!end_chart</definedName>
    <definedName name="end_chart_16" localSheetId="84">'А 2018'!end_chart</definedName>
    <definedName name="end_chart_16" localSheetId="66">'выпадающие расходы'!end_chart</definedName>
    <definedName name="end_chart_16" localSheetId="55">'ЗП с факт 3 кв. 2015'!end_chart</definedName>
    <definedName name="end_chart_16" localSheetId="24">'ПОЛНАЯ СЕБЕСТОИМОСТЬ ВОДА 2023'!end_chart</definedName>
    <definedName name="end_chart_16" localSheetId="22">'ПОЛНАЯ СЕБЕСТОИМОСТЬ СТОКИ 2023'!end_chart</definedName>
    <definedName name="end_chart_16" localSheetId="19">'Прил. 1 План ФХД вода 2023'!end_chart</definedName>
    <definedName name="end_chart_16" localSheetId="18">'Прил. 1 План ФХД стоки 2023'!end_chart</definedName>
    <definedName name="end_chart_16" localSheetId="17">'Прил. 1 План ФХД трансп. воды23'!end_chart</definedName>
    <definedName name="end_chart_16" localSheetId="15">'Прил.1 ПланФХД с транспортир.23'!end_chart</definedName>
    <definedName name="end_chart_16" localSheetId="16">'Прил.1 ПланФХД трансп. стоков23'!end_chart</definedName>
    <definedName name="end_chart_16" localSheetId="85">'Расчет товарной выручки 2018'!end_chart</definedName>
    <definedName name="end_chart_16" localSheetId="25">'Расчет товарной выручки 2019'!end_chart</definedName>
    <definedName name="end_chart_16" localSheetId="20">'Расчет товарной выручки 2023'!end_chart</definedName>
    <definedName name="end_chart_16" localSheetId="86">'рез к 2017-2023'!end_chart</definedName>
    <definedName name="end_chart_16" localSheetId="82">'рез к 2018-2024 (кор) '!end_chart</definedName>
    <definedName name="end_chart_16" localSheetId="13">'Текущий ремонт'!end_chart</definedName>
    <definedName name="end_chart_16" localSheetId="23">'ФАКТ.СЕБЕСТ.ВОДА за 1 пол. 2023'!end_chart</definedName>
    <definedName name="end_chart_16" localSheetId="21">'ФАКТ.СЕБЕСТ.СТОКИ за 1 пол.2023'!end_chart</definedName>
    <definedName name="end_chart_16" localSheetId="14">'Чистая прибыль с транспортир.23'!end_chart</definedName>
    <definedName name="end_chart_16">[0]!end_chart</definedName>
    <definedName name="end_chart_2" localSheetId="84">'А 2018'!end_chart</definedName>
    <definedName name="end_chart_2" localSheetId="66">'выпадающие расходы'!end_chart</definedName>
    <definedName name="end_chart_2" localSheetId="55">'ЗП с факт 3 кв. 2015'!end_chart</definedName>
    <definedName name="end_chart_2" localSheetId="24">'ПОЛНАЯ СЕБЕСТОИМОСТЬ ВОДА 2023'!end_chart</definedName>
    <definedName name="end_chart_2" localSheetId="22">'ПОЛНАЯ СЕБЕСТОИМОСТЬ СТОКИ 2023'!end_chart</definedName>
    <definedName name="end_chart_2" localSheetId="19">'Прил. 1 План ФХД вода 2023'!end_chart</definedName>
    <definedName name="end_chart_2" localSheetId="18">'Прил. 1 План ФХД стоки 2023'!end_chart</definedName>
    <definedName name="end_chart_2" localSheetId="17">'Прил. 1 План ФХД трансп. воды23'!end_chart</definedName>
    <definedName name="end_chart_2" localSheetId="15">'Прил.1 ПланФХД с транспортир.23'!end_chart</definedName>
    <definedName name="end_chart_2" localSheetId="16">'Прил.1 ПланФХД трансп. стоков23'!end_chart</definedName>
    <definedName name="end_chart_2" localSheetId="85">'Расчет товарной выручки 2018'!end_chart</definedName>
    <definedName name="end_chart_2" localSheetId="25">'Расчет товарной выручки 2019'!end_chart</definedName>
    <definedName name="end_chart_2" localSheetId="20">'Расчет товарной выручки 2023'!end_chart</definedName>
    <definedName name="end_chart_2" localSheetId="86">'рез к 2017-2023'!end_chart</definedName>
    <definedName name="end_chart_2" localSheetId="82">'рез к 2018-2024 (кор) '!end_chart</definedName>
    <definedName name="end_chart_2" localSheetId="13">'Текущий ремонт'!end_chart</definedName>
    <definedName name="end_chart_2" localSheetId="23">'ФАКТ.СЕБЕСТ.ВОДА за 1 пол. 2023'!end_chart</definedName>
    <definedName name="end_chart_2" localSheetId="21">'ФАКТ.СЕБЕСТ.СТОКИ за 1 пол.2023'!end_chart</definedName>
    <definedName name="end_chart_2" localSheetId="14">'Чистая прибыль с транспортир.23'!end_chart</definedName>
    <definedName name="end_chart_2">[0]!end_chart</definedName>
    <definedName name="end_tabl" localSheetId="84">'А 2018'!end_tabl</definedName>
    <definedName name="end_tabl" localSheetId="66">#N/A</definedName>
    <definedName name="end_tabl" localSheetId="55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8">#N/A</definedName>
    <definedName name="end_tabl" localSheetId="17">#N/A</definedName>
    <definedName name="end_tabl" localSheetId="15">#N/A</definedName>
    <definedName name="end_tabl" localSheetId="16">#N/A</definedName>
    <definedName name="end_tabl" localSheetId="85">#N/A</definedName>
    <definedName name="end_tabl" localSheetId="25">#N/A</definedName>
    <definedName name="end_tabl" localSheetId="20">#N/A</definedName>
    <definedName name="end_tabl" localSheetId="86">'рез к 2017-2023'!end_tabl</definedName>
    <definedName name="end_tabl" localSheetId="82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84">'А 2018'!end_tabl</definedName>
    <definedName name="end_tabl_10" localSheetId="66">'выпадающие расходы'!end_tabl</definedName>
    <definedName name="end_tabl_10" localSheetId="55">'ЗП с факт 3 кв. 2015'!end_tabl</definedName>
    <definedName name="end_tabl_10" localSheetId="24">'ПОЛНАЯ СЕБЕСТОИМОСТЬ ВОДА 2023'!end_tabl</definedName>
    <definedName name="end_tabl_10" localSheetId="22">'ПОЛНАЯ СЕБЕСТОИМОСТЬ СТОКИ 2023'!end_tabl</definedName>
    <definedName name="end_tabl_10" localSheetId="19">'Прил. 1 План ФХД вода 2023'!end_tabl</definedName>
    <definedName name="end_tabl_10" localSheetId="18">'Прил. 1 План ФХД стоки 2023'!end_tabl</definedName>
    <definedName name="end_tabl_10" localSheetId="17">'Прил. 1 План ФХД трансп. воды23'!end_tabl</definedName>
    <definedName name="end_tabl_10" localSheetId="15">'Прил.1 ПланФХД с транспортир.23'!end_tabl</definedName>
    <definedName name="end_tabl_10" localSheetId="16">'Прил.1 ПланФХД трансп. стоков23'!end_tabl</definedName>
    <definedName name="end_tabl_10" localSheetId="85">'Расчет товарной выручки 2018'!end_tabl</definedName>
    <definedName name="end_tabl_10" localSheetId="25">'Расчет товарной выручки 2019'!end_tabl</definedName>
    <definedName name="end_tabl_10" localSheetId="20">'Расчет товарной выручки 2023'!end_tabl</definedName>
    <definedName name="end_tabl_10" localSheetId="86">'рез к 2017-2023'!end_tabl</definedName>
    <definedName name="end_tabl_10" localSheetId="82">'рез к 2018-2024 (кор) '!end_tabl</definedName>
    <definedName name="end_tabl_10" localSheetId="13">'Текущий ремонт'!end_tabl</definedName>
    <definedName name="end_tabl_10" localSheetId="23">'ФАКТ.СЕБЕСТ.ВОДА за 1 пол. 2023'!end_tabl</definedName>
    <definedName name="end_tabl_10" localSheetId="21">'ФАКТ.СЕБЕСТ.СТОКИ за 1 пол.2023'!end_tabl</definedName>
    <definedName name="end_tabl_10" localSheetId="14">'Чистая прибыль с транспортир.23'!end_tabl</definedName>
    <definedName name="end_tabl_10">[0]!end_tabl</definedName>
    <definedName name="end_tabl_14" localSheetId="84">'А 2018'!end_tabl</definedName>
    <definedName name="end_tabl_14" localSheetId="66">'выпадающие расходы'!end_tabl</definedName>
    <definedName name="end_tabl_14" localSheetId="55">'ЗП с факт 3 кв. 2015'!end_tabl</definedName>
    <definedName name="end_tabl_14" localSheetId="24">'ПОЛНАЯ СЕБЕСТОИМОСТЬ ВОДА 2023'!end_tabl</definedName>
    <definedName name="end_tabl_14" localSheetId="22">'ПОЛНАЯ СЕБЕСТОИМОСТЬ СТОКИ 2023'!end_tabl</definedName>
    <definedName name="end_tabl_14" localSheetId="19">'Прил. 1 План ФХД вода 2023'!end_tabl</definedName>
    <definedName name="end_tabl_14" localSheetId="18">'Прил. 1 План ФХД стоки 2023'!end_tabl</definedName>
    <definedName name="end_tabl_14" localSheetId="17">'Прил. 1 План ФХД трансп. воды23'!end_tabl</definedName>
    <definedName name="end_tabl_14" localSheetId="15">'Прил.1 ПланФХД с транспортир.23'!end_tabl</definedName>
    <definedName name="end_tabl_14" localSheetId="16">'Прил.1 ПланФХД трансп. стоков23'!end_tabl</definedName>
    <definedName name="end_tabl_14" localSheetId="85">'Расчет товарной выручки 2018'!end_tabl</definedName>
    <definedName name="end_tabl_14" localSheetId="25">'Расчет товарной выручки 2019'!end_tabl</definedName>
    <definedName name="end_tabl_14" localSheetId="20">'Расчет товарной выручки 2023'!end_tabl</definedName>
    <definedName name="end_tabl_14" localSheetId="86">'рез к 2017-2023'!end_tabl</definedName>
    <definedName name="end_tabl_14" localSheetId="82">'рез к 2018-2024 (кор) '!end_tabl</definedName>
    <definedName name="end_tabl_14" localSheetId="13">'Текущий ремонт'!end_tabl</definedName>
    <definedName name="end_tabl_14" localSheetId="23">'ФАКТ.СЕБЕСТ.ВОДА за 1 пол. 2023'!end_tabl</definedName>
    <definedName name="end_tabl_14" localSheetId="21">'ФАКТ.СЕБЕСТ.СТОКИ за 1 пол.2023'!end_tabl</definedName>
    <definedName name="end_tabl_14" localSheetId="14">'Чистая прибыль с транспортир.23'!end_tabl</definedName>
    <definedName name="end_tabl_14">[0]!end_tabl</definedName>
    <definedName name="end_tabl_15" localSheetId="84">'А 2018'!end_tabl</definedName>
    <definedName name="end_tabl_15" localSheetId="66">'выпадающие расходы'!end_tabl</definedName>
    <definedName name="end_tabl_15" localSheetId="55">'ЗП с факт 3 кв. 2015'!end_tabl</definedName>
    <definedName name="end_tabl_15" localSheetId="24">'ПОЛНАЯ СЕБЕСТОИМОСТЬ ВОДА 2023'!end_tabl</definedName>
    <definedName name="end_tabl_15" localSheetId="22">'ПОЛНАЯ СЕБЕСТОИМОСТЬ СТОКИ 2023'!end_tabl</definedName>
    <definedName name="end_tabl_15" localSheetId="19">'Прил. 1 План ФХД вода 2023'!end_tabl</definedName>
    <definedName name="end_tabl_15" localSheetId="18">'Прил. 1 План ФХД стоки 2023'!end_tabl</definedName>
    <definedName name="end_tabl_15" localSheetId="17">'Прил. 1 План ФХД трансп. воды23'!end_tabl</definedName>
    <definedName name="end_tabl_15" localSheetId="15">'Прил.1 ПланФХД с транспортир.23'!end_tabl</definedName>
    <definedName name="end_tabl_15" localSheetId="16">'Прил.1 ПланФХД трансп. стоков23'!end_tabl</definedName>
    <definedName name="end_tabl_15" localSheetId="85">'Расчет товарной выручки 2018'!end_tabl</definedName>
    <definedName name="end_tabl_15" localSheetId="25">'Расчет товарной выручки 2019'!end_tabl</definedName>
    <definedName name="end_tabl_15" localSheetId="20">'Расчет товарной выручки 2023'!end_tabl</definedName>
    <definedName name="end_tabl_15" localSheetId="86">'рез к 2017-2023'!end_tabl</definedName>
    <definedName name="end_tabl_15" localSheetId="82">'рез к 2018-2024 (кор) '!end_tabl</definedName>
    <definedName name="end_tabl_15" localSheetId="13">'Текущий ремонт'!end_tabl</definedName>
    <definedName name="end_tabl_15" localSheetId="23">'ФАКТ.СЕБЕСТ.ВОДА за 1 пол. 2023'!end_tabl</definedName>
    <definedName name="end_tabl_15" localSheetId="21">'ФАКТ.СЕБЕСТ.СТОКИ за 1 пол.2023'!end_tabl</definedName>
    <definedName name="end_tabl_15" localSheetId="14">'Чистая прибыль с транспортир.23'!end_tabl</definedName>
    <definedName name="end_tabl_15">[0]!end_tabl</definedName>
    <definedName name="end_tabl_16" localSheetId="84">'А 2018'!end_tabl</definedName>
    <definedName name="end_tabl_16" localSheetId="66">'выпадающие расходы'!end_tabl</definedName>
    <definedName name="end_tabl_16" localSheetId="55">'ЗП с факт 3 кв. 2015'!end_tabl</definedName>
    <definedName name="end_tabl_16" localSheetId="24">'ПОЛНАЯ СЕБЕСТОИМОСТЬ ВОДА 2023'!end_tabl</definedName>
    <definedName name="end_tabl_16" localSheetId="22">'ПОЛНАЯ СЕБЕСТОИМОСТЬ СТОКИ 2023'!end_tabl</definedName>
    <definedName name="end_tabl_16" localSheetId="19">'Прил. 1 План ФХД вода 2023'!end_tabl</definedName>
    <definedName name="end_tabl_16" localSheetId="18">'Прил. 1 План ФХД стоки 2023'!end_tabl</definedName>
    <definedName name="end_tabl_16" localSheetId="17">'Прил. 1 План ФХД трансп. воды23'!end_tabl</definedName>
    <definedName name="end_tabl_16" localSheetId="15">'Прил.1 ПланФХД с транспортир.23'!end_tabl</definedName>
    <definedName name="end_tabl_16" localSheetId="16">'Прил.1 ПланФХД трансп. стоков23'!end_tabl</definedName>
    <definedName name="end_tabl_16" localSheetId="85">'Расчет товарной выручки 2018'!end_tabl</definedName>
    <definedName name="end_tabl_16" localSheetId="25">'Расчет товарной выручки 2019'!end_tabl</definedName>
    <definedName name="end_tabl_16" localSheetId="20">'Расчет товарной выручки 2023'!end_tabl</definedName>
    <definedName name="end_tabl_16" localSheetId="86">'рез к 2017-2023'!end_tabl</definedName>
    <definedName name="end_tabl_16" localSheetId="82">'рез к 2018-2024 (кор) '!end_tabl</definedName>
    <definedName name="end_tabl_16" localSheetId="13">'Текущий ремонт'!end_tabl</definedName>
    <definedName name="end_tabl_16" localSheetId="23">'ФАКТ.СЕБЕСТ.ВОДА за 1 пол. 2023'!end_tabl</definedName>
    <definedName name="end_tabl_16" localSheetId="21">'ФАКТ.СЕБЕСТ.СТОКИ за 1 пол.2023'!end_tabl</definedName>
    <definedName name="end_tabl_16" localSheetId="14">'Чистая прибыль с транспортир.23'!end_tabl</definedName>
    <definedName name="end_tabl_16">[0]!end_tabl</definedName>
    <definedName name="end_tabl_2" localSheetId="84">'А 2018'!end_tabl</definedName>
    <definedName name="end_tabl_2" localSheetId="66">'выпадающие расходы'!end_tabl</definedName>
    <definedName name="end_tabl_2" localSheetId="55">'ЗП с факт 3 кв. 2015'!end_tabl</definedName>
    <definedName name="end_tabl_2" localSheetId="24">'ПОЛНАЯ СЕБЕСТОИМОСТЬ ВОДА 2023'!end_tabl</definedName>
    <definedName name="end_tabl_2" localSheetId="22">'ПОЛНАЯ СЕБЕСТОИМОСТЬ СТОКИ 2023'!end_tabl</definedName>
    <definedName name="end_tabl_2" localSheetId="19">'Прил. 1 План ФХД вода 2023'!end_tabl</definedName>
    <definedName name="end_tabl_2" localSheetId="18">'Прил. 1 План ФХД стоки 2023'!end_tabl</definedName>
    <definedName name="end_tabl_2" localSheetId="17">'Прил. 1 План ФХД трансп. воды23'!end_tabl</definedName>
    <definedName name="end_tabl_2" localSheetId="15">'Прил.1 ПланФХД с транспортир.23'!end_tabl</definedName>
    <definedName name="end_tabl_2" localSheetId="16">'Прил.1 ПланФХД трансп. стоков23'!end_tabl</definedName>
    <definedName name="end_tabl_2" localSheetId="85">'Расчет товарной выручки 2018'!end_tabl</definedName>
    <definedName name="end_tabl_2" localSheetId="25">'Расчет товарной выручки 2019'!end_tabl</definedName>
    <definedName name="end_tabl_2" localSheetId="20">'Расчет товарной выручки 2023'!end_tabl</definedName>
    <definedName name="end_tabl_2" localSheetId="86">'рез к 2017-2023'!end_tabl</definedName>
    <definedName name="end_tabl_2" localSheetId="82">'рез к 2018-2024 (кор) '!end_tabl</definedName>
    <definedName name="end_tabl_2" localSheetId="13">'Текущий ремонт'!end_tabl</definedName>
    <definedName name="end_tabl_2" localSheetId="23">'ФАКТ.СЕБЕСТ.ВОДА за 1 пол. 2023'!end_tabl</definedName>
    <definedName name="end_tabl_2" localSheetId="21">'ФАКТ.СЕБЕСТ.СТОКИ за 1 пол.2023'!end_tabl</definedName>
    <definedName name="end_tabl_2" localSheetId="14">'Чистая прибыль с транспортир.23'!end_tabl</definedName>
    <definedName name="end_tabl_2">[0]!end_tabl</definedName>
    <definedName name="Excel_BuiltIn__FilterDatabase" localSheetId="84">#REF!</definedName>
    <definedName name="Excel_BuiltIn__FilterDatabase" localSheetId="64">#REF!</definedName>
    <definedName name="Excel_BuiltIn__FilterDatabase" localSheetId="65">#REF!</definedName>
    <definedName name="Excel_BuiltIn__FilterDatabase" localSheetId="66">#REF!</definedName>
    <definedName name="Excel_BuiltIn__FilterDatabase" localSheetId="55">#REF!</definedName>
    <definedName name="Excel_BuiltIn__FilterDatabase" localSheetId="80">#REF!</definedName>
    <definedName name="Excel_BuiltIn__FilterDatabase" localSheetId="32">#REF!</definedName>
    <definedName name="Excel_BuiltIn__FilterDatabase" localSheetId="17">#REF!</definedName>
    <definedName name="Excel_BuiltIn__FilterDatabase" localSheetId="15">#REF!</definedName>
    <definedName name="Excel_BuiltIn__FilterDatabase" localSheetId="16">#REF!</definedName>
    <definedName name="Excel_BuiltIn__FilterDatabase" localSheetId="85">#REF!</definedName>
    <definedName name="Excel_BuiltIn__FilterDatabase" localSheetId="25">#REF!</definedName>
    <definedName name="Excel_BuiltIn__FilterDatabase" localSheetId="20">#REF!</definedName>
    <definedName name="Excel_BuiltIn__FilterDatabase" localSheetId="86">#REF!</definedName>
    <definedName name="Excel_BuiltIn__FilterDatabase" localSheetId="82">#REF!</definedName>
    <definedName name="Excel_BuiltIn__FilterDatabase" localSheetId="31">#REF!</definedName>
    <definedName name="Excel_BuiltIn__FilterDatabase" localSheetId="30">#REF!</definedName>
    <definedName name="Excel_BuiltIn__FilterDatabase" localSheetId="14">#REF!</definedName>
    <definedName name="Excel_BuiltIn__FilterDatabase" localSheetId="38">#REF!</definedName>
    <definedName name="Excel_BuiltIn__FilterDatabase">#REF!</definedName>
    <definedName name="Excel_BuiltIn_Print_Area_15" localSheetId="84">'[8]распределение январь по бухг.'!#REF!</definedName>
    <definedName name="Excel_BuiltIn_Print_Area_15" localSheetId="64">'[9]распределение январь по бухг.'!#REF!</definedName>
    <definedName name="Excel_BuiltIn_Print_Area_15" localSheetId="65">'[9]распределение январь по бухг.'!#REF!</definedName>
    <definedName name="Excel_BuiltIn_Print_Area_15" localSheetId="66">'[10]распределение январь по бухг.'!#REF!</definedName>
    <definedName name="Excel_BuiltIn_Print_Area_15" localSheetId="55">'[9]распределение январь по бухг.'!#REF!</definedName>
    <definedName name="Excel_BuiltIn_Print_Area_15" localSheetId="80">'[9]распределение январь по бухг.'!#REF!</definedName>
    <definedName name="Excel_BuiltIn_Print_Area_15" localSheetId="32">'[9]распределение январь по бухг.'!#REF!</definedName>
    <definedName name="Excel_BuiltIn_Print_Area_15" localSheetId="24">'[9]распределение январь по бухг.'!#REF!</definedName>
    <definedName name="Excel_BuiltIn_Print_Area_15" localSheetId="22">'[9]распределение январь по бухг.'!#REF!</definedName>
    <definedName name="Excel_BuiltIn_Print_Area_15" localSheetId="19">'[9]распределение январь по бухг.'!#REF!</definedName>
    <definedName name="Excel_BuiltIn_Print_Area_15" localSheetId="18">'[9]распределение январь по бухг.'!#REF!</definedName>
    <definedName name="Excel_BuiltIn_Print_Area_15" localSheetId="17">'[9]распределение январь по бухг.'!#REF!</definedName>
    <definedName name="Excel_BuiltIn_Print_Area_15" localSheetId="15">'[9]распределение январь по бухг.'!#REF!</definedName>
    <definedName name="Excel_BuiltIn_Print_Area_15" localSheetId="16">'[9]распределение январь по бухг.'!#REF!</definedName>
    <definedName name="Excel_BuiltIn_Print_Area_15" localSheetId="85">'[10]распределение январь по бухг.'!#REF!</definedName>
    <definedName name="Excel_BuiltIn_Print_Area_15" localSheetId="25">'[9]распределение январь по бухг.'!#REF!</definedName>
    <definedName name="Excel_BuiltIn_Print_Area_15" localSheetId="20">'[10]распределение январь по бухг.'!#REF!</definedName>
    <definedName name="Excel_BuiltIn_Print_Area_15" localSheetId="86">'[10]распределение январь по бухг.'!#REF!</definedName>
    <definedName name="Excel_BuiltIn_Print_Area_15" localSheetId="82">'[10]распределение январь по бухг.'!#REF!</definedName>
    <definedName name="Excel_BuiltIn_Print_Area_15" localSheetId="31">'[9]распределение январь по бухг.'!#REF!</definedName>
    <definedName name="Excel_BuiltIn_Print_Area_15" localSheetId="13">'[9]распределение январь по бухг.'!#REF!</definedName>
    <definedName name="Excel_BuiltIn_Print_Area_15" localSheetId="30">'[9]распределение январь по бухг.'!#REF!</definedName>
    <definedName name="Excel_BuiltIn_Print_Area_15" localSheetId="23">'[9]распределение январь по бухг.'!#REF!</definedName>
    <definedName name="Excel_BuiltIn_Print_Area_15" localSheetId="21">'[9]распределение январь по бухг.'!#REF!</definedName>
    <definedName name="Excel_BuiltIn_Print_Area_15" localSheetId="14">'[9]распределение январь по бухг.'!#REF!</definedName>
    <definedName name="Excel_BuiltIn_Print_Area_15" localSheetId="38">'[9]распределение январь по бухг.'!#REF!</definedName>
    <definedName name="Excel_BuiltIn_Print_Area_15">'[9]распределение январь по бухг.'!#REF!</definedName>
    <definedName name="Excel_BuiltIn_Print_Area_21" localSheetId="84">[8]расшифровка!#REF!</definedName>
    <definedName name="Excel_BuiltIn_Print_Area_21" localSheetId="64">[9]расшифровка!#REF!</definedName>
    <definedName name="Excel_BuiltIn_Print_Area_21" localSheetId="65">[9]расшифровка!#REF!</definedName>
    <definedName name="Excel_BuiltIn_Print_Area_21" localSheetId="66">[10]расшифровка!#REF!</definedName>
    <definedName name="Excel_BuiltIn_Print_Area_21" localSheetId="55">[9]расшифровка!#REF!</definedName>
    <definedName name="Excel_BuiltIn_Print_Area_21" localSheetId="80">[9]расшифровка!#REF!</definedName>
    <definedName name="Excel_BuiltIn_Print_Area_21" localSheetId="32">[9]расшифровка!#REF!</definedName>
    <definedName name="Excel_BuiltIn_Print_Area_21" localSheetId="24">[9]расшифровка!#REF!</definedName>
    <definedName name="Excel_BuiltIn_Print_Area_21" localSheetId="22">[9]расшифровка!#REF!</definedName>
    <definedName name="Excel_BuiltIn_Print_Area_21" localSheetId="19">[9]расшифровка!#REF!</definedName>
    <definedName name="Excel_BuiltIn_Print_Area_21" localSheetId="18">[9]расшифровка!#REF!</definedName>
    <definedName name="Excel_BuiltIn_Print_Area_21" localSheetId="17">[9]расшифровка!#REF!</definedName>
    <definedName name="Excel_BuiltIn_Print_Area_21" localSheetId="15">[9]расшифровка!#REF!</definedName>
    <definedName name="Excel_BuiltIn_Print_Area_21" localSheetId="16">[9]расшифровка!#REF!</definedName>
    <definedName name="Excel_BuiltIn_Print_Area_21" localSheetId="85">[10]расшифровка!#REF!</definedName>
    <definedName name="Excel_BuiltIn_Print_Area_21" localSheetId="25">[9]расшифровка!#REF!</definedName>
    <definedName name="Excel_BuiltIn_Print_Area_21" localSheetId="20">[10]расшифровка!#REF!</definedName>
    <definedName name="Excel_BuiltIn_Print_Area_21" localSheetId="86">[10]расшифровка!#REF!</definedName>
    <definedName name="Excel_BuiltIn_Print_Area_21" localSheetId="82">[10]расшифровка!#REF!</definedName>
    <definedName name="Excel_BuiltIn_Print_Area_21" localSheetId="31">[9]расшифровка!#REF!</definedName>
    <definedName name="Excel_BuiltIn_Print_Area_21" localSheetId="13">[9]расшифровка!#REF!</definedName>
    <definedName name="Excel_BuiltIn_Print_Area_21" localSheetId="30">[9]расшифровка!#REF!</definedName>
    <definedName name="Excel_BuiltIn_Print_Area_21" localSheetId="23">[9]расшифровка!#REF!</definedName>
    <definedName name="Excel_BuiltIn_Print_Area_21" localSheetId="21">[9]расшифровка!#REF!</definedName>
    <definedName name="Excel_BuiltIn_Print_Area_21" localSheetId="14">[9]расшифровка!#REF!</definedName>
    <definedName name="Excel_BuiltIn_Print_Area_21" localSheetId="38">[9]расшифровка!#REF!</definedName>
    <definedName name="Excel_BuiltIn_Print_Area_21">[9]расшифровка!#REF!</definedName>
    <definedName name="Excel_BuiltIn_Print_Area_22" localSheetId="84">'[8]ЗП и резервы'!#REF!</definedName>
    <definedName name="Excel_BuiltIn_Print_Area_22" localSheetId="64">'[9]ЗП и резервы'!#REF!</definedName>
    <definedName name="Excel_BuiltIn_Print_Area_22" localSheetId="65">'[9]ЗП и резервы'!#REF!</definedName>
    <definedName name="Excel_BuiltIn_Print_Area_22" localSheetId="66">'[10]ЗП и резервы'!#REF!</definedName>
    <definedName name="Excel_BuiltIn_Print_Area_22" localSheetId="55">'[9]ЗП и резервы'!#REF!</definedName>
    <definedName name="Excel_BuiltIn_Print_Area_22" localSheetId="80">'[9]ЗП и резервы'!#REF!</definedName>
    <definedName name="Excel_BuiltIn_Print_Area_22" localSheetId="32">'[9]ЗП и резервы'!#REF!</definedName>
    <definedName name="Excel_BuiltIn_Print_Area_22" localSheetId="24">'[9]ЗП и резервы'!#REF!</definedName>
    <definedName name="Excel_BuiltIn_Print_Area_22" localSheetId="22">'[9]ЗП и резервы'!#REF!</definedName>
    <definedName name="Excel_BuiltIn_Print_Area_22" localSheetId="19">'[9]ЗП и резервы'!#REF!</definedName>
    <definedName name="Excel_BuiltIn_Print_Area_22" localSheetId="18">'[9]ЗП и резервы'!#REF!</definedName>
    <definedName name="Excel_BuiltIn_Print_Area_22" localSheetId="17">'[9]ЗП и резервы'!#REF!</definedName>
    <definedName name="Excel_BuiltIn_Print_Area_22" localSheetId="15">'[9]ЗП и резервы'!#REF!</definedName>
    <definedName name="Excel_BuiltIn_Print_Area_22" localSheetId="16">'[9]ЗП и резервы'!#REF!</definedName>
    <definedName name="Excel_BuiltIn_Print_Area_22" localSheetId="85">'[10]ЗП и резервы'!#REF!</definedName>
    <definedName name="Excel_BuiltIn_Print_Area_22" localSheetId="25">'[9]ЗП и резервы'!#REF!</definedName>
    <definedName name="Excel_BuiltIn_Print_Area_22" localSheetId="20">'[10]ЗП и резервы'!#REF!</definedName>
    <definedName name="Excel_BuiltIn_Print_Area_22" localSheetId="86">'[10]ЗП и резервы'!#REF!</definedName>
    <definedName name="Excel_BuiltIn_Print_Area_22" localSheetId="82">'[10]ЗП и резервы'!#REF!</definedName>
    <definedName name="Excel_BuiltIn_Print_Area_22" localSheetId="31">'[9]ЗП и резервы'!#REF!</definedName>
    <definedName name="Excel_BuiltIn_Print_Area_22" localSheetId="13">'[9]ЗП и резервы'!#REF!</definedName>
    <definedName name="Excel_BuiltIn_Print_Area_22" localSheetId="30">'[9]ЗП и резервы'!#REF!</definedName>
    <definedName name="Excel_BuiltIn_Print_Area_22" localSheetId="23">'[9]ЗП и резервы'!#REF!</definedName>
    <definedName name="Excel_BuiltIn_Print_Area_22" localSheetId="21">'[9]ЗП и резервы'!#REF!</definedName>
    <definedName name="Excel_BuiltIn_Print_Area_22" localSheetId="14">'[9]ЗП и резервы'!#REF!</definedName>
    <definedName name="Excel_BuiltIn_Print_Area_22" localSheetId="38">'[9]ЗП и резервы'!#REF!</definedName>
    <definedName name="Excel_BuiltIn_Print_Area_22">'[9]ЗП и резервы'!#REF!</definedName>
    <definedName name="Excel_BuiltIn_Print_Area_4" localSheetId="84">[11]Прибыль1!#REF!</definedName>
    <definedName name="Excel_BuiltIn_Print_Area_4" localSheetId="64">[12]Прибыль1!#REF!</definedName>
    <definedName name="Excel_BuiltIn_Print_Area_4" localSheetId="65">[12]Прибыль1!#REF!</definedName>
    <definedName name="Excel_BuiltIn_Print_Area_4" localSheetId="66">[13]Прибыль1!#REF!</definedName>
    <definedName name="Excel_BuiltIn_Print_Area_4" localSheetId="55">[12]Прибыль1!#REF!</definedName>
    <definedName name="Excel_BuiltIn_Print_Area_4" localSheetId="80">[12]Прибыль1!#REF!</definedName>
    <definedName name="Excel_BuiltIn_Print_Area_4" localSheetId="32">[12]Прибыль1!#REF!</definedName>
    <definedName name="Excel_BuiltIn_Print_Area_4" localSheetId="24">[12]Прибыль1!#REF!</definedName>
    <definedName name="Excel_BuiltIn_Print_Area_4" localSheetId="22">[12]Прибыль1!#REF!</definedName>
    <definedName name="Excel_BuiltIn_Print_Area_4" localSheetId="19">[12]Прибыль1!#REF!</definedName>
    <definedName name="Excel_BuiltIn_Print_Area_4" localSheetId="18">[12]Прибыль1!#REF!</definedName>
    <definedName name="Excel_BuiltIn_Print_Area_4" localSheetId="17">[12]Прибыль1!#REF!</definedName>
    <definedName name="Excel_BuiltIn_Print_Area_4" localSheetId="15">[12]Прибыль1!#REF!</definedName>
    <definedName name="Excel_BuiltIn_Print_Area_4" localSheetId="16">[12]Прибыль1!#REF!</definedName>
    <definedName name="Excel_BuiltIn_Print_Area_4" localSheetId="85">[13]Прибыль1!#REF!</definedName>
    <definedName name="Excel_BuiltIn_Print_Area_4" localSheetId="25">[12]Прибыль1!#REF!</definedName>
    <definedName name="Excel_BuiltIn_Print_Area_4" localSheetId="20">[13]Прибыль1!#REF!</definedName>
    <definedName name="Excel_BuiltIn_Print_Area_4" localSheetId="86">[13]Прибыль1!#REF!</definedName>
    <definedName name="Excel_BuiltIn_Print_Area_4" localSheetId="82">[13]Прибыль1!#REF!</definedName>
    <definedName name="Excel_BuiltIn_Print_Area_4" localSheetId="31">[12]Прибыль1!#REF!</definedName>
    <definedName name="Excel_BuiltIn_Print_Area_4" localSheetId="13">[12]Прибыль1!#REF!</definedName>
    <definedName name="Excel_BuiltIn_Print_Area_4" localSheetId="30">[12]Прибыль1!#REF!</definedName>
    <definedName name="Excel_BuiltIn_Print_Area_4" localSheetId="23">[12]Прибыль1!#REF!</definedName>
    <definedName name="Excel_BuiltIn_Print_Area_4" localSheetId="21">[12]Прибыль1!#REF!</definedName>
    <definedName name="Excel_BuiltIn_Print_Area_4" localSheetId="14">[12]Прибыль1!#REF!</definedName>
    <definedName name="Excel_BuiltIn_Print_Area_4" localSheetId="38">[12]Прибыль1!#REF!</definedName>
    <definedName name="Excel_BuiltIn_Print_Area_4">[12]Прибыль1!#REF!</definedName>
    <definedName name="Excel_BuiltIn_Print_Area_5" localSheetId="84">#REF!</definedName>
    <definedName name="Excel_BuiltIn_Print_Area_5" localSheetId="64">#REF!</definedName>
    <definedName name="Excel_BuiltIn_Print_Area_5" localSheetId="65">#REF!</definedName>
    <definedName name="Excel_BuiltIn_Print_Area_5" localSheetId="66">#REF!</definedName>
    <definedName name="Excel_BuiltIn_Print_Area_5" localSheetId="55">#REF!</definedName>
    <definedName name="Excel_BuiltIn_Print_Area_5" localSheetId="80">#REF!</definedName>
    <definedName name="Excel_BuiltIn_Print_Area_5" localSheetId="32">#REF!</definedName>
    <definedName name="Excel_BuiltIn_Print_Area_5" localSheetId="17">#REF!</definedName>
    <definedName name="Excel_BuiltIn_Print_Area_5" localSheetId="15">#REF!</definedName>
    <definedName name="Excel_BuiltIn_Print_Area_5" localSheetId="16">#REF!</definedName>
    <definedName name="Excel_BuiltIn_Print_Area_5" localSheetId="85">#REF!</definedName>
    <definedName name="Excel_BuiltIn_Print_Area_5" localSheetId="25">#REF!</definedName>
    <definedName name="Excel_BuiltIn_Print_Area_5" localSheetId="20">#REF!</definedName>
    <definedName name="Excel_BuiltIn_Print_Area_5" localSheetId="86">#REF!</definedName>
    <definedName name="Excel_BuiltIn_Print_Area_5" localSheetId="82">#REF!</definedName>
    <definedName name="Excel_BuiltIn_Print_Area_5" localSheetId="31">#REF!</definedName>
    <definedName name="Excel_BuiltIn_Print_Area_5" localSheetId="30">#REF!</definedName>
    <definedName name="Excel_BuiltIn_Print_Area_5" localSheetId="14">#REF!</definedName>
    <definedName name="Excel_BuiltIn_Print_Area_5" localSheetId="38">#REF!</definedName>
    <definedName name="Excel_BuiltIn_Print_Area_5">#REF!</definedName>
    <definedName name="Excel_BuiltIn_Print_Area_59" localSheetId="84">#REF!</definedName>
    <definedName name="Excel_BuiltIn_Print_Area_59" localSheetId="64">#REF!</definedName>
    <definedName name="Excel_BuiltIn_Print_Area_59" localSheetId="65">#REF!</definedName>
    <definedName name="Excel_BuiltIn_Print_Area_59" localSheetId="66">#REF!</definedName>
    <definedName name="Excel_BuiltIn_Print_Area_59" localSheetId="55">#REF!</definedName>
    <definedName name="Excel_BuiltIn_Print_Area_59" localSheetId="80">#REF!</definedName>
    <definedName name="Excel_BuiltIn_Print_Area_59" localSheetId="32">#REF!</definedName>
    <definedName name="Excel_BuiltIn_Print_Area_59" localSheetId="17">#REF!</definedName>
    <definedName name="Excel_BuiltIn_Print_Area_59" localSheetId="15">#REF!</definedName>
    <definedName name="Excel_BuiltIn_Print_Area_59" localSheetId="16">#REF!</definedName>
    <definedName name="Excel_BuiltIn_Print_Area_59" localSheetId="85">#REF!</definedName>
    <definedName name="Excel_BuiltIn_Print_Area_59" localSheetId="25">#REF!</definedName>
    <definedName name="Excel_BuiltIn_Print_Area_59" localSheetId="20">#REF!</definedName>
    <definedName name="Excel_BuiltIn_Print_Area_59" localSheetId="86">#REF!</definedName>
    <definedName name="Excel_BuiltIn_Print_Area_59" localSheetId="82">#REF!</definedName>
    <definedName name="Excel_BuiltIn_Print_Area_59" localSheetId="31">#REF!</definedName>
    <definedName name="Excel_BuiltIn_Print_Area_59" localSheetId="30">#REF!</definedName>
    <definedName name="Excel_BuiltIn_Print_Area_59" localSheetId="14">#REF!</definedName>
    <definedName name="Excel_BuiltIn_Print_Area_59" localSheetId="38">#REF!</definedName>
    <definedName name="Excel_BuiltIn_Print_Area_59">#REF!</definedName>
    <definedName name="Excel_BuiltIn_Print_Area_59_1" localSheetId="84">#REF!</definedName>
    <definedName name="Excel_BuiltIn_Print_Area_59_1" localSheetId="64">#REF!</definedName>
    <definedName name="Excel_BuiltIn_Print_Area_59_1" localSheetId="65">#REF!</definedName>
    <definedName name="Excel_BuiltIn_Print_Area_59_1" localSheetId="66">#REF!</definedName>
    <definedName name="Excel_BuiltIn_Print_Area_59_1" localSheetId="55">#REF!</definedName>
    <definedName name="Excel_BuiltIn_Print_Area_59_1" localSheetId="80">#REF!</definedName>
    <definedName name="Excel_BuiltIn_Print_Area_59_1" localSheetId="32">#REF!</definedName>
    <definedName name="Excel_BuiltIn_Print_Area_59_1" localSheetId="17">#REF!</definedName>
    <definedName name="Excel_BuiltIn_Print_Area_59_1" localSheetId="15">#REF!</definedName>
    <definedName name="Excel_BuiltIn_Print_Area_59_1" localSheetId="16">#REF!</definedName>
    <definedName name="Excel_BuiltIn_Print_Area_59_1" localSheetId="85">#REF!</definedName>
    <definedName name="Excel_BuiltIn_Print_Area_59_1" localSheetId="25">#REF!</definedName>
    <definedName name="Excel_BuiltIn_Print_Area_59_1" localSheetId="20">#REF!</definedName>
    <definedName name="Excel_BuiltIn_Print_Area_59_1" localSheetId="86">#REF!</definedName>
    <definedName name="Excel_BuiltIn_Print_Area_59_1" localSheetId="82">#REF!</definedName>
    <definedName name="Excel_BuiltIn_Print_Area_59_1" localSheetId="31">#REF!</definedName>
    <definedName name="Excel_BuiltIn_Print_Area_59_1" localSheetId="30">#REF!</definedName>
    <definedName name="Excel_BuiltIn_Print_Area_59_1" localSheetId="14">#REF!</definedName>
    <definedName name="Excel_BuiltIn_Print_Area_59_1" localSheetId="38">#REF!</definedName>
    <definedName name="Excel_BuiltIn_Print_Area_59_1">#REF!</definedName>
    <definedName name="Excel_BuiltIn_Print_Area_59_10" localSheetId="84">#REF!</definedName>
    <definedName name="Excel_BuiltIn_Print_Area_59_10" localSheetId="64">#REF!</definedName>
    <definedName name="Excel_BuiltIn_Print_Area_59_10" localSheetId="65">#REF!</definedName>
    <definedName name="Excel_BuiltIn_Print_Area_59_10" localSheetId="66">#REF!</definedName>
    <definedName name="Excel_BuiltIn_Print_Area_59_10" localSheetId="80">#REF!</definedName>
    <definedName name="Excel_BuiltIn_Print_Area_59_10" localSheetId="32">#REF!</definedName>
    <definedName name="Excel_BuiltIn_Print_Area_59_10" localSheetId="17">#REF!</definedName>
    <definedName name="Excel_BuiltIn_Print_Area_59_10" localSheetId="15">#REF!</definedName>
    <definedName name="Excel_BuiltIn_Print_Area_59_10" localSheetId="16">#REF!</definedName>
    <definedName name="Excel_BuiltIn_Print_Area_59_10" localSheetId="85">#REF!</definedName>
    <definedName name="Excel_BuiltIn_Print_Area_59_10" localSheetId="25">#REF!</definedName>
    <definedName name="Excel_BuiltIn_Print_Area_59_10" localSheetId="20">#REF!</definedName>
    <definedName name="Excel_BuiltIn_Print_Area_59_10" localSheetId="86">#REF!</definedName>
    <definedName name="Excel_BuiltIn_Print_Area_59_10" localSheetId="82">#REF!</definedName>
    <definedName name="Excel_BuiltIn_Print_Area_59_10" localSheetId="31">#REF!</definedName>
    <definedName name="Excel_BuiltIn_Print_Area_59_10" localSheetId="30">#REF!</definedName>
    <definedName name="Excel_BuiltIn_Print_Area_59_10" localSheetId="14">#REF!</definedName>
    <definedName name="Excel_BuiltIn_Print_Area_59_10" localSheetId="38">#REF!</definedName>
    <definedName name="Excel_BuiltIn_Print_Area_59_10">#REF!</definedName>
    <definedName name="Excel_BuiltIn_Print_Area_59_11" localSheetId="84">#REF!</definedName>
    <definedName name="Excel_BuiltIn_Print_Area_59_11" localSheetId="64">#REF!</definedName>
    <definedName name="Excel_BuiltIn_Print_Area_59_11" localSheetId="65">#REF!</definedName>
    <definedName name="Excel_BuiltIn_Print_Area_59_11" localSheetId="66">#REF!</definedName>
    <definedName name="Excel_BuiltIn_Print_Area_59_11" localSheetId="80">#REF!</definedName>
    <definedName name="Excel_BuiltIn_Print_Area_59_11" localSheetId="32">#REF!</definedName>
    <definedName name="Excel_BuiltIn_Print_Area_59_11" localSheetId="17">#REF!</definedName>
    <definedName name="Excel_BuiltIn_Print_Area_59_11" localSheetId="15">#REF!</definedName>
    <definedName name="Excel_BuiltIn_Print_Area_59_11" localSheetId="16">#REF!</definedName>
    <definedName name="Excel_BuiltIn_Print_Area_59_11" localSheetId="85">#REF!</definedName>
    <definedName name="Excel_BuiltIn_Print_Area_59_11" localSheetId="25">#REF!</definedName>
    <definedName name="Excel_BuiltIn_Print_Area_59_11" localSheetId="20">#REF!</definedName>
    <definedName name="Excel_BuiltIn_Print_Area_59_11" localSheetId="86">#REF!</definedName>
    <definedName name="Excel_BuiltIn_Print_Area_59_11" localSheetId="82">#REF!</definedName>
    <definedName name="Excel_BuiltIn_Print_Area_59_11" localSheetId="31">#REF!</definedName>
    <definedName name="Excel_BuiltIn_Print_Area_59_11" localSheetId="30">#REF!</definedName>
    <definedName name="Excel_BuiltIn_Print_Area_59_11" localSheetId="14">#REF!</definedName>
    <definedName name="Excel_BuiltIn_Print_Area_59_11" localSheetId="38">#REF!</definedName>
    <definedName name="Excel_BuiltIn_Print_Area_59_11">#REF!</definedName>
    <definedName name="Excel_BuiltIn_Print_Area_59_13" localSheetId="84">#REF!</definedName>
    <definedName name="Excel_BuiltIn_Print_Area_59_13" localSheetId="64">#REF!</definedName>
    <definedName name="Excel_BuiltIn_Print_Area_59_13" localSheetId="65">#REF!</definedName>
    <definedName name="Excel_BuiltIn_Print_Area_59_13" localSheetId="66">#REF!</definedName>
    <definedName name="Excel_BuiltIn_Print_Area_59_13" localSheetId="80">#REF!</definedName>
    <definedName name="Excel_BuiltIn_Print_Area_59_13" localSheetId="32">#REF!</definedName>
    <definedName name="Excel_BuiltIn_Print_Area_59_13" localSheetId="17">#REF!</definedName>
    <definedName name="Excel_BuiltIn_Print_Area_59_13" localSheetId="15">#REF!</definedName>
    <definedName name="Excel_BuiltIn_Print_Area_59_13" localSheetId="16">#REF!</definedName>
    <definedName name="Excel_BuiltIn_Print_Area_59_13" localSheetId="85">#REF!</definedName>
    <definedName name="Excel_BuiltIn_Print_Area_59_13" localSheetId="25">#REF!</definedName>
    <definedName name="Excel_BuiltIn_Print_Area_59_13" localSheetId="20">#REF!</definedName>
    <definedName name="Excel_BuiltIn_Print_Area_59_13" localSheetId="86">#REF!</definedName>
    <definedName name="Excel_BuiltIn_Print_Area_59_13" localSheetId="82">#REF!</definedName>
    <definedName name="Excel_BuiltIn_Print_Area_59_13" localSheetId="31">#REF!</definedName>
    <definedName name="Excel_BuiltIn_Print_Area_59_13" localSheetId="30">#REF!</definedName>
    <definedName name="Excel_BuiltIn_Print_Area_59_13" localSheetId="14">#REF!</definedName>
    <definedName name="Excel_BuiltIn_Print_Area_59_13" localSheetId="38">#REF!</definedName>
    <definedName name="Excel_BuiltIn_Print_Area_59_13">#REF!</definedName>
    <definedName name="Excel_BuiltIn_Print_Area_59_14" localSheetId="84">#REF!</definedName>
    <definedName name="Excel_BuiltIn_Print_Area_59_14" localSheetId="64">#REF!</definedName>
    <definedName name="Excel_BuiltIn_Print_Area_59_14" localSheetId="65">#REF!</definedName>
    <definedName name="Excel_BuiltIn_Print_Area_59_14" localSheetId="66">#REF!</definedName>
    <definedName name="Excel_BuiltIn_Print_Area_59_14" localSheetId="80">#REF!</definedName>
    <definedName name="Excel_BuiltIn_Print_Area_59_14" localSheetId="32">#REF!</definedName>
    <definedName name="Excel_BuiltIn_Print_Area_59_14" localSheetId="17">#REF!</definedName>
    <definedName name="Excel_BuiltIn_Print_Area_59_14" localSheetId="15">#REF!</definedName>
    <definedName name="Excel_BuiltIn_Print_Area_59_14" localSheetId="16">#REF!</definedName>
    <definedName name="Excel_BuiltIn_Print_Area_59_14" localSheetId="85">#REF!</definedName>
    <definedName name="Excel_BuiltIn_Print_Area_59_14" localSheetId="25">#REF!</definedName>
    <definedName name="Excel_BuiltIn_Print_Area_59_14" localSheetId="20">#REF!</definedName>
    <definedName name="Excel_BuiltIn_Print_Area_59_14" localSheetId="86">#REF!</definedName>
    <definedName name="Excel_BuiltIn_Print_Area_59_14" localSheetId="82">#REF!</definedName>
    <definedName name="Excel_BuiltIn_Print_Area_59_14" localSheetId="31">#REF!</definedName>
    <definedName name="Excel_BuiltIn_Print_Area_59_14" localSheetId="30">#REF!</definedName>
    <definedName name="Excel_BuiltIn_Print_Area_59_14" localSheetId="14">#REF!</definedName>
    <definedName name="Excel_BuiltIn_Print_Area_59_14" localSheetId="38">#REF!</definedName>
    <definedName name="Excel_BuiltIn_Print_Area_59_14">#REF!</definedName>
    <definedName name="Excel_BuiltIn_Print_Area_59_15" localSheetId="84">#REF!</definedName>
    <definedName name="Excel_BuiltIn_Print_Area_59_15" localSheetId="64">#REF!</definedName>
    <definedName name="Excel_BuiltIn_Print_Area_59_15" localSheetId="65">#REF!</definedName>
    <definedName name="Excel_BuiltIn_Print_Area_59_15" localSheetId="66">#REF!</definedName>
    <definedName name="Excel_BuiltIn_Print_Area_59_15" localSheetId="80">#REF!</definedName>
    <definedName name="Excel_BuiltIn_Print_Area_59_15" localSheetId="32">#REF!</definedName>
    <definedName name="Excel_BuiltIn_Print_Area_59_15" localSheetId="17">#REF!</definedName>
    <definedName name="Excel_BuiltIn_Print_Area_59_15" localSheetId="15">#REF!</definedName>
    <definedName name="Excel_BuiltIn_Print_Area_59_15" localSheetId="16">#REF!</definedName>
    <definedName name="Excel_BuiltIn_Print_Area_59_15" localSheetId="85">#REF!</definedName>
    <definedName name="Excel_BuiltIn_Print_Area_59_15" localSheetId="25">#REF!</definedName>
    <definedName name="Excel_BuiltIn_Print_Area_59_15" localSheetId="20">#REF!</definedName>
    <definedName name="Excel_BuiltIn_Print_Area_59_15" localSheetId="86">#REF!</definedName>
    <definedName name="Excel_BuiltIn_Print_Area_59_15" localSheetId="82">#REF!</definedName>
    <definedName name="Excel_BuiltIn_Print_Area_59_15" localSheetId="31">#REF!</definedName>
    <definedName name="Excel_BuiltIn_Print_Area_59_15" localSheetId="30">#REF!</definedName>
    <definedName name="Excel_BuiltIn_Print_Area_59_15" localSheetId="14">#REF!</definedName>
    <definedName name="Excel_BuiltIn_Print_Area_59_15" localSheetId="38">#REF!</definedName>
    <definedName name="Excel_BuiltIn_Print_Area_59_15">#REF!</definedName>
    <definedName name="Excel_BuiltIn_Print_Area_59_16" localSheetId="84">#REF!</definedName>
    <definedName name="Excel_BuiltIn_Print_Area_59_16" localSheetId="64">#REF!</definedName>
    <definedName name="Excel_BuiltIn_Print_Area_59_16" localSheetId="65">#REF!</definedName>
    <definedName name="Excel_BuiltIn_Print_Area_59_16" localSheetId="66">#REF!</definedName>
    <definedName name="Excel_BuiltIn_Print_Area_59_16" localSheetId="80">#REF!</definedName>
    <definedName name="Excel_BuiltIn_Print_Area_59_16" localSheetId="32">#REF!</definedName>
    <definedName name="Excel_BuiltIn_Print_Area_59_16" localSheetId="17">#REF!</definedName>
    <definedName name="Excel_BuiltIn_Print_Area_59_16" localSheetId="15">#REF!</definedName>
    <definedName name="Excel_BuiltIn_Print_Area_59_16" localSheetId="16">#REF!</definedName>
    <definedName name="Excel_BuiltIn_Print_Area_59_16" localSheetId="85">#REF!</definedName>
    <definedName name="Excel_BuiltIn_Print_Area_59_16" localSheetId="25">#REF!</definedName>
    <definedName name="Excel_BuiltIn_Print_Area_59_16" localSheetId="20">#REF!</definedName>
    <definedName name="Excel_BuiltIn_Print_Area_59_16" localSheetId="86">#REF!</definedName>
    <definedName name="Excel_BuiltIn_Print_Area_59_16" localSheetId="82">#REF!</definedName>
    <definedName name="Excel_BuiltIn_Print_Area_59_16" localSheetId="31">#REF!</definedName>
    <definedName name="Excel_BuiltIn_Print_Area_59_16" localSheetId="30">#REF!</definedName>
    <definedName name="Excel_BuiltIn_Print_Area_59_16" localSheetId="14">#REF!</definedName>
    <definedName name="Excel_BuiltIn_Print_Area_59_16" localSheetId="38">#REF!</definedName>
    <definedName name="Excel_BuiltIn_Print_Area_59_16">#REF!</definedName>
    <definedName name="Excel_BuiltIn_Print_Area_59_2" localSheetId="84">#REF!</definedName>
    <definedName name="Excel_BuiltIn_Print_Area_59_2" localSheetId="64">#REF!</definedName>
    <definedName name="Excel_BuiltIn_Print_Area_59_2" localSheetId="65">#REF!</definedName>
    <definedName name="Excel_BuiltIn_Print_Area_59_2" localSheetId="66">#REF!</definedName>
    <definedName name="Excel_BuiltIn_Print_Area_59_2" localSheetId="80">#REF!</definedName>
    <definedName name="Excel_BuiltIn_Print_Area_59_2" localSheetId="32">#REF!</definedName>
    <definedName name="Excel_BuiltIn_Print_Area_59_2" localSheetId="17">#REF!</definedName>
    <definedName name="Excel_BuiltIn_Print_Area_59_2" localSheetId="15">#REF!</definedName>
    <definedName name="Excel_BuiltIn_Print_Area_59_2" localSheetId="16">#REF!</definedName>
    <definedName name="Excel_BuiltIn_Print_Area_59_2" localSheetId="85">#REF!</definedName>
    <definedName name="Excel_BuiltIn_Print_Area_59_2" localSheetId="25">#REF!</definedName>
    <definedName name="Excel_BuiltIn_Print_Area_59_2" localSheetId="20">#REF!</definedName>
    <definedName name="Excel_BuiltIn_Print_Area_59_2" localSheetId="86">#REF!</definedName>
    <definedName name="Excel_BuiltIn_Print_Area_59_2" localSheetId="82">#REF!</definedName>
    <definedName name="Excel_BuiltIn_Print_Area_59_2" localSheetId="31">#REF!</definedName>
    <definedName name="Excel_BuiltIn_Print_Area_59_2" localSheetId="30">#REF!</definedName>
    <definedName name="Excel_BuiltIn_Print_Area_59_2" localSheetId="14">#REF!</definedName>
    <definedName name="Excel_BuiltIn_Print_Area_59_2" localSheetId="38">#REF!</definedName>
    <definedName name="Excel_BuiltIn_Print_Area_59_2">#REF!</definedName>
    <definedName name="Excel_BuiltIn_Print_Area_59_22" localSheetId="84">#REF!</definedName>
    <definedName name="Excel_BuiltIn_Print_Area_59_22" localSheetId="64">#REF!</definedName>
    <definedName name="Excel_BuiltIn_Print_Area_59_22" localSheetId="65">#REF!</definedName>
    <definedName name="Excel_BuiltIn_Print_Area_59_22" localSheetId="66">#REF!</definedName>
    <definedName name="Excel_BuiltIn_Print_Area_59_22" localSheetId="80">#REF!</definedName>
    <definedName name="Excel_BuiltIn_Print_Area_59_22" localSheetId="32">#REF!</definedName>
    <definedName name="Excel_BuiltIn_Print_Area_59_22" localSheetId="17">#REF!</definedName>
    <definedName name="Excel_BuiltIn_Print_Area_59_22" localSheetId="15">#REF!</definedName>
    <definedName name="Excel_BuiltIn_Print_Area_59_22" localSheetId="16">#REF!</definedName>
    <definedName name="Excel_BuiltIn_Print_Area_59_22" localSheetId="85">#REF!</definedName>
    <definedName name="Excel_BuiltIn_Print_Area_59_22" localSheetId="25">#REF!</definedName>
    <definedName name="Excel_BuiltIn_Print_Area_59_22" localSheetId="20">#REF!</definedName>
    <definedName name="Excel_BuiltIn_Print_Area_59_22" localSheetId="86">#REF!</definedName>
    <definedName name="Excel_BuiltIn_Print_Area_59_22" localSheetId="82">#REF!</definedName>
    <definedName name="Excel_BuiltIn_Print_Area_59_22" localSheetId="31">#REF!</definedName>
    <definedName name="Excel_BuiltIn_Print_Area_59_22" localSheetId="30">#REF!</definedName>
    <definedName name="Excel_BuiltIn_Print_Area_59_22" localSheetId="14">#REF!</definedName>
    <definedName name="Excel_BuiltIn_Print_Area_59_22" localSheetId="38">#REF!</definedName>
    <definedName name="Excel_BuiltIn_Print_Area_59_22">#REF!</definedName>
    <definedName name="Excel_BuiltIn_Print_Area_59_25" localSheetId="84">#REF!</definedName>
    <definedName name="Excel_BuiltIn_Print_Area_59_25" localSheetId="64">#REF!</definedName>
    <definedName name="Excel_BuiltIn_Print_Area_59_25" localSheetId="65">#REF!</definedName>
    <definedName name="Excel_BuiltIn_Print_Area_59_25" localSheetId="66">#REF!</definedName>
    <definedName name="Excel_BuiltIn_Print_Area_59_25" localSheetId="80">#REF!</definedName>
    <definedName name="Excel_BuiltIn_Print_Area_59_25" localSheetId="32">#REF!</definedName>
    <definedName name="Excel_BuiltIn_Print_Area_59_25" localSheetId="17">#REF!</definedName>
    <definedName name="Excel_BuiltIn_Print_Area_59_25" localSheetId="15">#REF!</definedName>
    <definedName name="Excel_BuiltIn_Print_Area_59_25" localSheetId="16">#REF!</definedName>
    <definedName name="Excel_BuiltIn_Print_Area_59_25" localSheetId="85">#REF!</definedName>
    <definedName name="Excel_BuiltIn_Print_Area_59_25" localSheetId="25">#REF!</definedName>
    <definedName name="Excel_BuiltIn_Print_Area_59_25" localSheetId="20">#REF!</definedName>
    <definedName name="Excel_BuiltIn_Print_Area_59_25" localSheetId="86">#REF!</definedName>
    <definedName name="Excel_BuiltIn_Print_Area_59_25" localSheetId="82">#REF!</definedName>
    <definedName name="Excel_BuiltIn_Print_Area_59_25" localSheetId="31">#REF!</definedName>
    <definedName name="Excel_BuiltIn_Print_Area_59_25" localSheetId="30">#REF!</definedName>
    <definedName name="Excel_BuiltIn_Print_Area_59_25" localSheetId="14">#REF!</definedName>
    <definedName name="Excel_BuiltIn_Print_Area_59_25" localSheetId="38">#REF!</definedName>
    <definedName name="Excel_BuiltIn_Print_Area_59_25">#REF!</definedName>
    <definedName name="Excel_BuiltIn_Print_Area_59_3" localSheetId="84">#REF!</definedName>
    <definedName name="Excel_BuiltIn_Print_Area_59_3" localSheetId="64">#REF!</definedName>
    <definedName name="Excel_BuiltIn_Print_Area_59_3" localSheetId="65">#REF!</definedName>
    <definedName name="Excel_BuiltIn_Print_Area_59_3" localSheetId="66">#REF!</definedName>
    <definedName name="Excel_BuiltIn_Print_Area_59_3" localSheetId="80">#REF!</definedName>
    <definedName name="Excel_BuiltIn_Print_Area_59_3" localSheetId="32">#REF!</definedName>
    <definedName name="Excel_BuiltIn_Print_Area_59_3" localSheetId="17">#REF!</definedName>
    <definedName name="Excel_BuiltIn_Print_Area_59_3" localSheetId="15">#REF!</definedName>
    <definedName name="Excel_BuiltIn_Print_Area_59_3" localSheetId="16">#REF!</definedName>
    <definedName name="Excel_BuiltIn_Print_Area_59_3" localSheetId="85">#REF!</definedName>
    <definedName name="Excel_BuiltIn_Print_Area_59_3" localSheetId="25">#REF!</definedName>
    <definedName name="Excel_BuiltIn_Print_Area_59_3" localSheetId="20">#REF!</definedName>
    <definedName name="Excel_BuiltIn_Print_Area_59_3" localSheetId="86">#REF!</definedName>
    <definedName name="Excel_BuiltIn_Print_Area_59_3" localSheetId="82">#REF!</definedName>
    <definedName name="Excel_BuiltIn_Print_Area_59_3" localSheetId="31">#REF!</definedName>
    <definedName name="Excel_BuiltIn_Print_Area_59_3" localSheetId="30">#REF!</definedName>
    <definedName name="Excel_BuiltIn_Print_Area_59_3" localSheetId="14">#REF!</definedName>
    <definedName name="Excel_BuiltIn_Print_Area_59_3" localSheetId="38">#REF!</definedName>
    <definedName name="Excel_BuiltIn_Print_Area_59_3">#REF!</definedName>
    <definedName name="Excel_BuiltIn_Print_Area_59_4" localSheetId="84">#REF!</definedName>
    <definedName name="Excel_BuiltIn_Print_Area_59_4" localSheetId="64">#REF!</definedName>
    <definedName name="Excel_BuiltIn_Print_Area_59_4" localSheetId="65">#REF!</definedName>
    <definedName name="Excel_BuiltIn_Print_Area_59_4" localSheetId="66">#REF!</definedName>
    <definedName name="Excel_BuiltIn_Print_Area_59_4" localSheetId="80">#REF!</definedName>
    <definedName name="Excel_BuiltIn_Print_Area_59_4" localSheetId="32">#REF!</definedName>
    <definedName name="Excel_BuiltIn_Print_Area_59_4" localSheetId="17">#REF!</definedName>
    <definedName name="Excel_BuiltIn_Print_Area_59_4" localSheetId="15">#REF!</definedName>
    <definedName name="Excel_BuiltIn_Print_Area_59_4" localSheetId="16">#REF!</definedName>
    <definedName name="Excel_BuiltIn_Print_Area_59_4" localSheetId="85">#REF!</definedName>
    <definedName name="Excel_BuiltIn_Print_Area_59_4" localSheetId="25">#REF!</definedName>
    <definedName name="Excel_BuiltIn_Print_Area_59_4" localSheetId="20">#REF!</definedName>
    <definedName name="Excel_BuiltIn_Print_Area_59_4" localSheetId="86">#REF!</definedName>
    <definedName name="Excel_BuiltIn_Print_Area_59_4" localSheetId="82">#REF!</definedName>
    <definedName name="Excel_BuiltIn_Print_Area_59_4" localSheetId="31">#REF!</definedName>
    <definedName name="Excel_BuiltIn_Print_Area_59_4" localSheetId="30">#REF!</definedName>
    <definedName name="Excel_BuiltIn_Print_Area_59_4" localSheetId="14">#REF!</definedName>
    <definedName name="Excel_BuiltIn_Print_Area_59_4" localSheetId="38">#REF!</definedName>
    <definedName name="Excel_BuiltIn_Print_Area_59_4">#REF!</definedName>
    <definedName name="Excel_BuiltIn_Print_Area_59_56" localSheetId="84">#REF!</definedName>
    <definedName name="Excel_BuiltIn_Print_Area_59_56" localSheetId="64">#REF!</definedName>
    <definedName name="Excel_BuiltIn_Print_Area_59_56" localSheetId="65">#REF!</definedName>
    <definedName name="Excel_BuiltIn_Print_Area_59_56" localSheetId="66">#REF!</definedName>
    <definedName name="Excel_BuiltIn_Print_Area_59_56" localSheetId="80">#REF!</definedName>
    <definedName name="Excel_BuiltIn_Print_Area_59_56" localSheetId="32">#REF!</definedName>
    <definedName name="Excel_BuiltIn_Print_Area_59_56" localSheetId="17">#REF!</definedName>
    <definedName name="Excel_BuiltIn_Print_Area_59_56" localSheetId="15">#REF!</definedName>
    <definedName name="Excel_BuiltIn_Print_Area_59_56" localSheetId="16">#REF!</definedName>
    <definedName name="Excel_BuiltIn_Print_Area_59_56" localSheetId="85">#REF!</definedName>
    <definedName name="Excel_BuiltIn_Print_Area_59_56" localSheetId="25">#REF!</definedName>
    <definedName name="Excel_BuiltIn_Print_Area_59_56" localSheetId="20">#REF!</definedName>
    <definedName name="Excel_BuiltIn_Print_Area_59_56" localSheetId="86">#REF!</definedName>
    <definedName name="Excel_BuiltIn_Print_Area_59_56" localSheetId="82">#REF!</definedName>
    <definedName name="Excel_BuiltIn_Print_Area_59_56" localSheetId="31">#REF!</definedName>
    <definedName name="Excel_BuiltIn_Print_Area_59_56" localSheetId="30">#REF!</definedName>
    <definedName name="Excel_BuiltIn_Print_Area_59_56" localSheetId="14">#REF!</definedName>
    <definedName name="Excel_BuiltIn_Print_Area_59_56" localSheetId="38">#REF!</definedName>
    <definedName name="Excel_BuiltIn_Print_Area_59_56">#REF!</definedName>
    <definedName name="Excel_BuiltIn_Print_Area_59_6" localSheetId="84">#REF!</definedName>
    <definedName name="Excel_BuiltIn_Print_Area_59_6" localSheetId="64">#REF!</definedName>
    <definedName name="Excel_BuiltIn_Print_Area_59_6" localSheetId="65">#REF!</definedName>
    <definedName name="Excel_BuiltIn_Print_Area_59_6" localSheetId="66">#REF!</definedName>
    <definedName name="Excel_BuiltIn_Print_Area_59_6" localSheetId="80">#REF!</definedName>
    <definedName name="Excel_BuiltIn_Print_Area_59_6" localSheetId="32">#REF!</definedName>
    <definedName name="Excel_BuiltIn_Print_Area_59_6" localSheetId="17">#REF!</definedName>
    <definedName name="Excel_BuiltIn_Print_Area_59_6" localSheetId="15">#REF!</definedName>
    <definedName name="Excel_BuiltIn_Print_Area_59_6" localSheetId="16">#REF!</definedName>
    <definedName name="Excel_BuiltIn_Print_Area_59_6" localSheetId="85">#REF!</definedName>
    <definedName name="Excel_BuiltIn_Print_Area_59_6" localSheetId="25">#REF!</definedName>
    <definedName name="Excel_BuiltIn_Print_Area_59_6" localSheetId="20">#REF!</definedName>
    <definedName name="Excel_BuiltIn_Print_Area_59_6" localSheetId="86">#REF!</definedName>
    <definedName name="Excel_BuiltIn_Print_Area_59_6" localSheetId="82">#REF!</definedName>
    <definedName name="Excel_BuiltIn_Print_Area_59_6" localSheetId="31">#REF!</definedName>
    <definedName name="Excel_BuiltIn_Print_Area_59_6" localSheetId="30">#REF!</definedName>
    <definedName name="Excel_BuiltIn_Print_Area_59_6" localSheetId="14">#REF!</definedName>
    <definedName name="Excel_BuiltIn_Print_Area_59_6" localSheetId="38">#REF!</definedName>
    <definedName name="Excel_BuiltIn_Print_Area_59_6">#REF!</definedName>
    <definedName name="Excel_BuiltIn_Print_Area_59_66" localSheetId="84">#REF!</definedName>
    <definedName name="Excel_BuiltIn_Print_Area_59_66" localSheetId="64">#REF!</definedName>
    <definedName name="Excel_BuiltIn_Print_Area_59_66" localSheetId="65">#REF!</definedName>
    <definedName name="Excel_BuiltIn_Print_Area_59_66" localSheetId="66">#REF!</definedName>
    <definedName name="Excel_BuiltIn_Print_Area_59_66" localSheetId="80">#REF!</definedName>
    <definedName name="Excel_BuiltIn_Print_Area_59_66" localSheetId="32">#REF!</definedName>
    <definedName name="Excel_BuiltIn_Print_Area_59_66" localSheetId="17">#REF!</definedName>
    <definedName name="Excel_BuiltIn_Print_Area_59_66" localSheetId="15">#REF!</definedName>
    <definedName name="Excel_BuiltIn_Print_Area_59_66" localSheetId="16">#REF!</definedName>
    <definedName name="Excel_BuiltIn_Print_Area_59_66" localSheetId="85">#REF!</definedName>
    <definedName name="Excel_BuiltIn_Print_Area_59_66" localSheetId="25">#REF!</definedName>
    <definedName name="Excel_BuiltIn_Print_Area_59_66" localSheetId="20">#REF!</definedName>
    <definedName name="Excel_BuiltIn_Print_Area_59_66" localSheetId="86">#REF!</definedName>
    <definedName name="Excel_BuiltIn_Print_Area_59_66" localSheetId="82">#REF!</definedName>
    <definedName name="Excel_BuiltIn_Print_Area_59_66" localSheetId="31">#REF!</definedName>
    <definedName name="Excel_BuiltIn_Print_Area_59_66" localSheetId="30">#REF!</definedName>
    <definedName name="Excel_BuiltIn_Print_Area_59_66" localSheetId="14">#REF!</definedName>
    <definedName name="Excel_BuiltIn_Print_Area_59_66" localSheetId="38">#REF!</definedName>
    <definedName name="Excel_BuiltIn_Print_Area_59_66">#REF!</definedName>
    <definedName name="Excel_BuiltIn_Print_Area_59_67" localSheetId="84">#REF!</definedName>
    <definedName name="Excel_BuiltIn_Print_Area_59_67" localSheetId="64">#REF!</definedName>
    <definedName name="Excel_BuiltIn_Print_Area_59_67" localSheetId="65">#REF!</definedName>
    <definedName name="Excel_BuiltIn_Print_Area_59_67" localSheetId="66">#REF!</definedName>
    <definedName name="Excel_BuiltIn_Print_Area_59_67" localSheetId="80">#REF!</definedName>
    <definedName name="Excel_BuiltIn_Print_Area_59_67" localSheetId="32">#REF!</definedName>
    <definedName name="Excel_BuiltIn_Print_Area_59_67" localSheetId="17">#REF!</definedName>
    <definedName name="Excel_BuiltIn_Print_Area_59_67" localSheetId="15">#REF!</definedName>
    <definedName name="Excel_BuiltIn_Print_Area_59_67" localSheetId="16">#REF!</definedName>
    <definedName name="Excel_BuiltIn_Print_Area_59_67" localSheetId="85">#REF!</definedName>
    <definedName name="Excel_BuiltIn_Print_Area_59_67" localSheetId="25">#REF!</definedName>
    <definedName name="Excel_BuiltIn_Print_Area_59_67" localSheetId="20">#REF!</definedName>
    <definedName name="Excel_BuiltIn_Print_Area_59_67" localSheetId="86">#REF!</definedName>
    <definedName name="Excel_BuiltIn_Print_Area_59_67" localSheetId="82">#REF!</definedName>
    <definedName name="Excel_BuiltIn_Print_Area_59_67" localSheetId="31">#REF!</definedName>
    <definedName name="Excel_BuiltIn_Print_Area_59_67" localSheetId="30">#REF!</definedName>
    <definedName name="Excel_BuiltIn_Print_Area_59_67" localSheetId="14">#REF!</definedName>
    <definedName name="Excel_BuiltIn_Print_Area_59_67" localSheetId="38">#REF!</definedName>
    <definedName name="Excel_BuiltIn_Print_Area_59_67">#REF!</definedName>
    <definedName name="Excel_BuiltIn_Print_Area_59_67_1" localSheetId="84">#REF!</definedName>
    <definedName name="Excel_BuiltIn_Print_Area_59_67_1" localSheetId="64">#REF!</definedName>
    <definedName name="Excel_BuiltIn_Print_Area_59_67_1" localSheetId="65">#REF!</definedName>
    <definedName name="Excel_BuiltIn_Print_Area_59_67_1" localSheetId="66">#REF!</definedName>
    <definedName name="Excel_BuiltIn_Print_Area_59_67_1" localSheetId="80">#REF!</definedName>
    <definedName name="Excel_BuiltIn_Print_Area_59_67_1" localSheetId="32">#REF!</definedName>
    <definedName name="Excel_BuiltIn_Print_Area_59_67_1" localSheetId="17">#REF!</definedName>
    <definedName name="Excel_BuiltIn_Print_Area_59_67_1" localSheetId="15">#REF!</definedName>
    <definedName name="Excel_BuiltIn_Print_Area_59_67_1" localSheetId="16">#REF!</definedName>
    <definedName name="Excel_BuiltIn_Print_Area_59_67_1" localSheetId="85">#REF!</definedName>
    <definedName name="Excel_BuiltIn_Print_Area_59_67_1" localSheetId="25">#REF!</definedName>
    <definedName name="Excel_BuiltIn_Print_Area_59_67_1" localSheetId="20">#REF!</definedName>
    <definedName name="Excel_BuiltIn_Print_Area_59_67_1" localSheetId="86">#REF!</definedName>
    <definedName name="Excel_BuiltIn_Print_Area_59_67_1" localSheetId="82">#REF!</definedName>
    <definedName name="Excel_BuiltIn_Print_Area_59_67_1" localSheetId="31">#REF!</definedName>
    <definedName name="Excel_BuiltIn_Print_Area_59_67_1" localSheetId="30">#REF!</definedName>
    <definedName name="Excel_BuiltIn_Print_Area_59_67_1" localSheetId="14">#REF!</definedName>
    <definedName name="Excel_BuiltIn_Print_Area_59_67_1" localSheetId="38">#REF!</definedName>
    <definedName name="Excel_BuiltIn_Print_Area_59_67_1">#REF!</definedName>
    <definedName name="Excel_BuiltIn_Print_Area_59_67_10" localSheetId="84">#REF!</definedName>
    <definedName name="Excel_BuiltIn_Print_Area_59_67_10" localSheetId="64">#REF!</definedName>
    <definedName name="Excel_BuiltIn_Print_Area_59_67_10" localSheetId="65">#REF!</definedName>
    <definedName name="Excel_BuiltIn_Print_Area_59_67_10" localSheetId="66">#REF!</definedName>
    <definedName name="Excel_BuiltIn_Print_Area_59_67_10" localSheetId="80">#REF!</definedName>
    <definedName name="Excel_BuiltIn_Print_Area_59_67_10" localSheetId="32">#REF!</definedName>
    <definedName name="Excel_BuiltIn_Print_Area_59_67_10" localSheetId="17">#REF!</definedName>
    <definedName name="Excel_BuiltIn_Print_Area_59_67_10" localSheetId="15">#REF!</definedName>
    <definedName name="Excel_BuiltIn_Print_Area_59_67_10" localSheetId="16">#REF!</definedName>
    <definedName name="Excel_BuiltIn_Print_Area_59_67_10" localSheetId="85">#REF!</definedName>
    <definedName name="Excel_BuiltIn_Print_Area_59_67_10" localSheetId="25">#REF!</definedName>
    <definedName name="Excel_BuiltIn_Print_Area_59_67_10" localSheetId="20">#REF!</definedName>
    <definedName name="Excel_BuiltIn_Print_Area_59_67_10" localSheetId="86">#REF!</definedName>
    <definedName name="Excel_BuiltIn_Print_Area_59_67_10" localSheetId="82">#REF!</definedName>
    <definedName name="Excel_BuiltIn_Print_Area_59_67_10" localSheetId="31">#REF!</definedName>
    <definedName name="Excel_BuiltIn_Print_Area_59_67_10" localSheetId="30">#REF!</definedName>
    <definedName name="Excel_BuiltIn_Print_Area_59_67_10" localSheetId="14">#REF!</definedName>
    <definedName name="Excel_BuiltIn_Print_Area_59_67_10" localSheetId="38">#REF!</definedName>
    <definedName name="Excel_BuiltIn_Print_Area_59_67_10">#REF!</definedName>
    <definedName name="Excel_BuiltIn_Print_Area_59_67_11" localSheetId="84">#REF!</definedName>
    <definedName name="Excel_BuiltIn_Print_Area_59_67_11" localSheetId="64">#REF!</definedName>
    <definedName name="Excel_BuiltIn_Print_Area_59_67_11" localSheetId="65">#REF!</definedName>
    <definedName name="Excel_BuiltIn_Print_Area_59_67_11" localSheetId="66">#REF!</definedName>
    <definedName name="Excel_BuiltIn_Print_Area_59_67_11" localSheetId="80">#REF!</definedName>
    <definedName name="Excel_BuiltIn_Print_Area_59_67_11" localSheetId="32">#REF!</definedName>
    <definedName name="Excel_BuiltIn_Print_Area_59_67_11" localSheetId="17">#REF!</definedName>
    <definedName name="Excel_BuiltIn_Print_Area_59_67_11" localSheetId="15">#REF!</definedName>
    <definedName name="Excel_BuiltIn_Print_Area_59_67_11" localSheetId="16">#REF!</definedName>
    <definedName name="Excel_BuiltIn_Print_Area_59_67_11" localSheetId="85">#REF!</definedName>
    <definedName name="Excel_BuiltIn_Print_Area_59_67_11" localSheetId="25">#REF!</definedName>
    <definedName name="Excel_BuiltIn_Print_Area_59_67_11" localSheetId="20">#REF!</definedName>
    <definedName name="Excel_BuiltIn_Print_Area_59_67_11" localSheetId="86">#REF!</definedName>
    <definedName name="Excel_BuiltIn_Print_Area_59_67_11" localSheetId="82">#REF!</definedName>
    <definedName name="Excel_BuiltIn_Print_Area_59_67_11" localSheetId="31">#REF!</definedName>
    <definedName name="Excel_BuiltIn_Print_Area_59_67_11" localSheetId="30">#REF!</definedName>
    <definedName name="Excel_BuiltIn_Print_Area_59_67_11" localSheetId="14">#REF!</definedName>
    <definedName name="Excel_BuiltIn_Print_Area_59_67_11" localSheetId="38">#REF!</definedName>
    <definedName name="Excel_BuiltIn_Print_Area_59_67_11">#REF!</definedName>
    <definedName name="Excel_BuiltIn_Print_Area_59_67_13" localSheetId="84">#REF!</definedName>
    <definedName name="Excel_BuiltIn_Print_Area_59_67_13" localSheetId="64">#REF!</definedName>
    <definedName name="Excel_BuiltIn_Print_Area_59_67_13" localSheetId="65">#REF!</definedName>
    <definedName name="Excel_BuiltIn_Print_Area_59_67_13" localSheetId="66">#REF!</definedName>
    <definedName name="Excel_BuiltIn_Print_Area_59_67_13" localSheetId="80">#REF!</definedName>
    <definedName name="Excel_BuiltIn_Print_Area_59_67_13" localSheetId="32">#REF!</definedName>
    <definedName name="Excel_BuiltIn_Print_Area_59_67_13" localSheetId="17">#REF!</definedName>
    <definedName name="Excel_BuiltIn_Print_Area_59_67_13" localSheetId="15">#REF!</definedName>
    <definedName name="Excel_BuiltIn_Print_Area_59_67_13" localSheetId="16">#REF!</definedName>
    <definedName name="Excel_BuiltIn_Print_Area_59_67_13" localSheetId="85">#REF!</definedName>
    <definedName name="Excel_BuiltIn_Print_Area_59_67_13" localSheetId="25">#REF!</definedName>
    <definedName name="Excel_BuiltIn_Print_Area_59_67_13" localSheetId="20">#REF!</definedName>
    <definedName name="Excel_BuiltIn_Print_Area_59_67_13" localSheetId="86">#REF!</definedName>
    <definedName name="Excel_BuiltIn_Print_Area_59_67_13" localSheetId="82">#REF!</definedName>
    <definedName name="Excel_BuiltIn_Print_Area_59_67_13" localSheetId="31">#REF!</definedName>
    <definedName name="Excel_BuiltIn_Print_Area_59_67_13" localSheetId="30">#REF!</definedName>
    <definedName name="Excel_BuiltIn_Print_Area_59_67_13" localSheetId="14">#REF!</definedName>
    <definedName name="Excel_BuiltIn_Print_Area_59_67_13" localSheetId="38">#REF!</definedName>
    <definedName name="Excel_BuiltIn_Print_Area_59_67_13">#REF!</definedName>
    <definedName name="Excel_BuiltIn_Print_Area_59_67_14" localSheetId="84">#REF!</definedName>
    <definedName name="Excel_BuiltIn_Print_Area_59_67_14" localSheetId="64">#REF!</definedName>
    <definedName name="Excel_BuiltIn_Print_Area_59_67_14" localSheetId="65">#REF!</definedName>
    <definedName name="Excel_BuiltIn_Print_Area_59_67_14" localSheetId="66">#REF!</definedName>
    <definedName name="Excel_BuiltIn_Print_Area_59_67_14" localSheetId="80">#REF!</definedName>
    <definedName name="Excel_BuiltIn_Print_Area_59_67_14" localSheetId="32">#REF!</definedName>
    <definedName name="Excel_BuiltIn_Print_Area_59_67_14" localSheetId="17">#REF!</definedName>
    <definedName name="Excel_BuiltIn_Print_Area_59_67_14" localSheetId="15">#REF!</definedName>
    <definedName name="Excel_BuiltIn_Print_Area_59_67_14" localSheetId="16">#REF!</definedName>
    <definedName name="Excel_BuiltIn_Print_Area_59_67_14" localSheetId="85">#REF!</definedName>
    <definedName name="Excel_BuiltIn_Print_Area_59_67_14" localSheetId="25">#REF!</definedName>
    <definedName name="Excel_BuiltIn_Print_Area_59_67_14" localSheetId="20">#REF!</definedName>
    <definedName name="Excel_BuiltIn_Print_Area_59_67_14" localSheetId="86">#REF!</definedName>
    <definedName name="Excel_BuiltIn_Print_Area_59_67_14" localSheetId="82">#REF!</definedName>
    <definedName name="Excel_BuiltIn_Print_Area_59_67_14" localSheetId="31">#REF!</definedName>
    <definedName name="Excel_BuiltIn_Print_Area_59_67_14" localSheetId="30">#REF!</definedName>
    <definedName name="Excel_BuiltIn_Print_Area_59_67_14" localSheetId="14">#REF!</definedName>
    <definedName name="Excel_BuiltIn_Print_Area_59_67_14" localSheetId="38">#REF!</definedName>
    <definedName name="Excel_BuiltIn_Print_Area_59_67_14">#REF!</definedName>
    <definedName name="Excel_BuiltIn_Print_Area_59_67_15" localSheetId="84">#REF!</definedName>
    <definedName name="Excel_BuiltIn_Print_Area_59_67_15" localSheetId="64">#REF!</definedName>
    <definedName name="Excel_BuiltIn_Print_Area_59_67_15" localSheetId="65">#REF!</definedName>
    <definedName name="Excel_BuiltIn_Print_Area_59_67_15" localSheetId="66">#REF!</definedName>
    <definedName name="Excel_BuiltIn_Print_Area_59_67_15" localSheetId="80">#REF!</definedName>
    <definedName name="Excel_BuiltIn_Print_Area_59_67_15" localSheetId="32">#REF!</definedName>
    <definedName name="Excel_BuiltIn_Print_Area_59_67_15" localSheetId="17">#REF!</definedName>
    <definedName name="Excel_BuiltIn_Print_Area_59_67_15" localSheetId="15">#REF!</definedName>
    <definedName name="Excel_BuiltIn_Print_Area_59_67_15" localSheetId="16">#REF!</definedName>
    <definedName name="Excel_BuiltIn_Print_Area_59_67_15" localSheetId="85">#REF!</definedName>
    <definedName name="Excel_BuiltIn_Print_Area_59_67_15" localSheetId="25">#REF!</definedName>
    <definedName name="Excel_BuiltIn_Print_Area_59_67_15" localSheetId="20">#REF!</definedName>
    <definedName name="Excel_BuiltIn_Print_Area_59_67_15" localSheetId="86">#REF!</definedName>
    <definedName name="Excel_BuiltIn_Print_Area_59_67_15" localSheetId="82">#REF!</definedName>
    <definedName name="Excel_BuiltIn_Print_Area_59_67_15" localSheetId="31">#REF!</definedName>
    <definedName name="Excel_BuiltIn_Print_Area_59_67_15" localSheetId="30">#REF!</definedName>
    <definedName name="Excel_BuiltIn_Print_Area_59_67_15" localSheetId="14">#REF!</definedName>
    <definedName name="Excel_BuiltIn_Print_Area_59_67_15" localSheetId="38">#REF!</definedName>
    <definedName name="Excel_BuiltIn_Print_Area_59_67_15">#REF!</definedName>
    <definedName name="Excel_BuiltIn_Print_Area_59_67_16" localSheetId="84">#REF!</definedName>
    <definedName name="Excel_BuiltIn_Print_Area_59_67_16" localSheetId="64">#REF!</definedName>
    <definedName name="Excel_BuiltIn_Print_Area_59_67_16" localSheetId="65">#REF!</definedName>
    <definedName name="Excel_BuiltIn_Print_Area_59_67_16" localSheetId="66">#REF!</definedName>
    <definedName name="Excel_BuiltIn_Print_Area_59_67_16" localSheetId="80">#REF!</definedName>
    <definedName name="Excel_BuiltIn_Print_Area_59_67_16" localSheetId="32">#REF!</definedName>
    <definedName name="Excel_BuiltIn_Print_Area_59_67_16" localSheetId="17">#REF!</definedName>
    <definedName name="Excel_BuiltIn_Print_Area_59_67_16" localSheetId="15">#REF!</definedName>
    <definedName name="Excel_BuiltIn_Print_Area_59_67_16" localSheetId="16">#REF!</definedName>
    <definedName name="Excel_BuiltIn_Print_Area_59_67_16" localSheetId="85">#REF!</definedName>
    <definedName name="Excel_BuiltIn_Print_Area_59_67_16" localSheetId="25">#REF!</definedName>
    <definedName name="Excel_BuiltIn_Print_Area_59_67_16" localSheetId="20">#REF!</definedName>
    <definedName name="Excel_BuiltIn_Print_Area_59_67_16" localSheetId="86">#REF!</definedName>
    <definedName name="Excel_BuiltIn_Print_Area_59_67_16" localSheetId="82">#REF!</definedName>
    <definedName name="Excel_BuiltIn_Print_Area_59_67_16" localSheetId="31">#REF!</definedName>
    <definedName name="Excel_BuiltIn_Print_Area_59_67_16" localSheetId="30">#REF!</definedName>
    <definedName name="Excel_BuiltIn_Print_Area_59_67_16" localSheetId="14">#REF!</definedName>
    <definedName name="Excel_BuiltIn_Print_Area_59_67_16" localSheetId="38">#REF!</definedName>
    <definedName name="Excel_BuiltIn_Print_Area_59_67_16">#REF!</definedName>
    <definedName name="Excel_BuiltIn_Print_Area_59_67_2" localSheetId="84">#REF!</definedName>
    <definedName name="Excel_BuiltIn_Print_Area_59_67_2" localSheetId="64">#REF!</definedName>
    <definedName name="Excel_BuiltIn_Print_Area_59_67_2" localSheetId="65">#REF!</definedName>
    <definedName name="Excel_BuiltIn_Print_Area_59_67_2" localSheetId="66">#REF!</definedName>
    <definedName name="Excel_BuiltIn_Print_Area_59_67_2" localSheetId="80">#REF!</definedName>
    <definedName name="Excel_BuiltIn_Print_Area_59_67_2" localSheetId="32">#REF!</definedName>
    <definedName name="Excel_BuiltIn_Print_Area_59_67_2" localSheetId="17">#REF!</definedName>
    <definedName name="Excel_BuiltIn_Print_Area_59_67_2" localSheetId="15">#REF!</definedName>
    <definedName name="Excel_BuiltIn_Print_Area_59_67_2" localSheetId="16">#REF!</definedName>
    <definedName name="Excel_BuiltIn_Print_Area_59_67_2" localSheetId="85">#REF!</definedName>
    <definedName name="Excel_BuiltIn_Print_Area_59_67_2" localSheetId="25">#REF!</definedName>
    <definedName name="Excel_BuiltIn_Print_Area_59_67_2" localSheetId="20">#REF!</definedName>
    <definedName name="Excel_BuiltIn_Print_Area_59_67_2" localSheetId="86">#REF!</definedName>
    <definedName name="Excel_BuiltIn_Print_Area_59_67_2" localSheetId="82">#REF!</definedName>
    <definedName name="Excel_BuiltIn_Print_Area_59_67_2" localSheetId="31">#REF!</definedName>
    <definedName name="Excel_BuiltIn_Print_Area_59_67_2" localSheetId="30">#REF!</definedName>
    <definedName name="Excel_BuiltIn_Print_Area_59_67_2" localSheetId="14">#REF!</definedName>
    <definedName name="Excel_BuiltIn_Print_Area_59_67_2" localSheetId="38">#REF!</definedName>
    <definedName name="Excel_BuiltIn_Print_Area_59_67_2">#REF!</definedName>
    <definedName name="Excel_BuiltIn_Print_Area_59_67_22" localSheetId="84">#REF!</definedName>
    <definedName name="Excel_BuiltIn_Print_Area_59_67_22" localSheetId="64">#REF!</definedName>
    <definedName name="Excel_BuiltIn_Print_Area_59_67_22" localSheetId="65">#REF!</definedName>
    <definedName name="Excel_BuiltIn_Print_Area_59_67_22" localSheetId="66">#REF!</definedName>
    <definedName name="Excel_BuiltIn_Print_Area_59_67_22" localSheetId="80">#REF!</definedName>
    <definedName name="Excel_BuiltIn_Print_Area_59_67_22" localSheetId="32">#REF!</definedName>
    <definedName name="Excel_BuiltIn_Print_Area_59_67_22" localSheetId="17">#REF!</definedName>
    <definedName name="Excel_BuiltIn_Print_Area_59_67_22" localSheetId="15">#REF!</definedName>
    <definedName name="Excel_BuiltIn_Print_Area_59_67_22" localSheetId="16">#REF!</definedName>
    <definedName name="Excel_BuiltIn_Print_Area_59_67_22" localSheetId="85">#REF!</definedName>
    <definedName name="Excel_BuiltIn_Print_Area_59_67_22" localSheetId="25">#REF!</definedName>
    <definedName name="Excel_BuiltIn_Print_Area_59_67_22" localSheetId="20">#REF!</definedName>
    <definedName name="Excel_BuiltIn_Print_Area_59_67_22" localSheetId="86">#REF!</definedName>
    <definedName name="Excel_BuiltIn_Print_Area_59_67_22" localSheetId="82">#REF!</definedName>
    <definedName name="Excel_BuiltIn_Print_Area_59_67_22" localSheetId="31">#REF!</definedName>
    <definedName name="Excel_BuiltIn_Print_Area_59_67_22" localSheetId="30">#REF!</definedName>
    <definedName name="Excel_BuiltIn_Print_Area_59_67_22" localSheetId="14">#REF!</definedName>
    <definedName name="Excel_BuiltIn_Print_Area_59_67_22" localSheetId="38">#REF!</definedName>
    <definedName name="Excel_BuiltIn_Print_Area_59_67_22">#REF!</definedName>
    <definedName name="Excel_BuiltIn_Print_Area_59_67_25" localSheetId="84">#REF!</definedName>
    <definedName name="Excel_BuiltIn_Print_Area_59_67_25" localSheetId="64">#REF!</definedName>
    <definedName name="Excel_BuiltIn_Print_Area_59_67_25" localSheetId="65">#REF!</definedName>
    <definedName name="Excel_BuiltIn_Print_Area_59_67_25" localSheetId="66">#REF!</definedName>
    <definedName name="Excel_BuiltIn_Print_Area_59_67_25" localSheetId="80">#REF!</definedName>
    <definedName name="Excel_BuiltIn_Print_Area_59_67_25" localSheetId="32">#REF!</definedName>
    <definedName name="Excel_BuiltIn_Print_Area_59_67_25" localSheetId="17">#REF!</definedName>
    <definedName name="Excel_BuiltIn_Print_Area_59_67_25" localSheetId="15">#REF!</definedName>
    <definedName name="Excel_BuiltIn_Print_Area_59_67_25" localSheetId="16">#REF!</definedName>
    <definedName name="Excel_BuiltIn_Print_Area_59_67_25" localSheetId="85">#REF!</definedName>
    <definedName name="Excel_BuiltIn_Print_Area_59_67_25" localSheetId="25">#REF!</definedName>
    <definedName name="Excel_BuiltIn_Print_Area_59_67_25" localSheetId="20">#REF!</definedName>
    <definedName name="Excel_BuiltIn_Print_Area_59_67_25" localSheetId="86">#REF!</definedName>
    <definedName name="Excel_BuiltIn_Print_Area_59_67_25" localSheetId="82">#REF!</definedName>
    <definedName name="Excel_BuiltIn_Print_Area_59_67_25" localSheetId="31">#REF!</definedName>
    <definedName name="Excel_BuiltIn_Print_Area_59_67_25" localSheetId="30">#REF!</definedName>
    <definedName name="Excel_BuiltIn_Print_Area_59_67_25" localSheetId="14">#REF!</definedName>
    <definedName name="Excel_BuiltIn_Print_Area_59_67_25" localSheetId="38">#REF!</definedName>
    <definedName name="Excel_BuiltIn_Print_Area_59_67_25">#REF!</definedName>
    <definedName name="Excel_BuiltIn_Print_Area_59_67_3" localSheetId="84">#REF!</definedName>
    <definedName name="Excel_BuiltIn_Print_Area_59_67_3" localSheetId="64">#REF!</definedName>
    <definedName name="Excel_BuiltIn_Print_Area_59_67_3" localSheetId="65">#REF!</definedName>
    <definedName name="Excel_BuiltIn_Print_Area_59_67_3" localSheetId="66">#REF!</definedName>
    <definedName name="Excel_BuiltIn_Print_Area_59_67_3" localSheetId="80">#REF!</definedName>
    <definedName name="Excel_BuiltIn_Print_Area_59_67_3" localSheetId="32">#REF!</definedName>
    <definedName name="Excel_BuiltIn_Print_Area_59_67_3" localSheetId="17">#REF!</definedName>
    <definedName name="Excel_BuiltIn_Print_Area_59_67_3" localSheetId="15">#REF!</definedName>
    <definedName name="Excel_BuiltIn_Print_Area_59_67_3" localSheetId="16">#REF!</definedName>
    <definedName name="Excel_BuiltIn_Print_Area_59_67_3" localSheetId="85">#REF!</definedName>
    <definedName name="Excel_BuiltIn_Print_Area_59_67_3" localSheetId="25">#REF!</definedName>
    <definedName name="Excel_BuiltIn_Print_Area_59_67_3" localSheetId="20">#REF!</definedName>
    <definedName name="Excel_BuiltIn_Print_Area_59_67_3" localSheetId="86">#REF!</definedName>
    <definedName name="Excel_BuiltIn_Print_Area_59_67_3" localSheetId="82">#REF!</definedName>
    <definedName name="Excel_BuiltIn_Print_Area_59_67_3" localSheetId="31">#REF!</definedName>
    <definedName name="Excel_BuiltIn_Print_Area_59_67_3" localSheetId="30">#REF!</definedName>
    <definedName name="Excel_BuiltIn_Print_Area_59_67_3" localSheetId="14">#REF!</definedName>
    <definedName name="Excel_BuiltIn_Print_Area_59_67_3" localSheetId="38">#REF!</definedName>
    <definedName name="Excel_BuiltIn_Print_Area_59_67_3">#REF!</definedName>
    <definedName name="Excel_BuiltIn_Print_Area_59_67_4" localSheetId="84">#REF!</definedName>
    <definedName name="Excel_BuiltIn_Print_Area_59_67_4" localSheetId="64">#REF!</definedName>
    <definedName name="Excel_BuiltIn_Print_Area_59_67_4" localSheetId="65">#REF!</definedName>
    <definedName name="Excel_BuiltIn_Print_Area_59_67_4" localSheetId="66">#REF!</definedName>
    <definedName name="Excel_BuiltIn_Print_Area_59_67_4" localSheetId="80">#REF!</definedName>
    <definedName name="Excel_BuiltIn_Print_Area_59_67_4" localSheetId="32">#REF!</definedName>
    <definedName name="Excel_BuiltIn_Print_Area_59_67_4" localSheetId="17">#REF!</definedName>
    <definedName name="Excel_BuiltIn_Print_Area_59_67_4" localSheetId="15">#REF!</definedName>
    <definedName name="Excel_BuiltIn_Print_Area_59_67_4" localSheetId="16">#REF!</definedName>
    <definedName name="Excel_BuiltIn_Print_Area_59_67_4" localSheetId="85">#REF!</definedName>
    <definedName name="Excel_BuiltIn_Print_Area_59_67_4" localSheetId="25">#REF!</definedName>
    <definedName name="Excel_BuiltIn_Print_Area_59_67_4" localSheetId="20">#REF!</definedName>
    <definedName name="Excel_BuiltIn_Print_Area_59_67_4" localSheetId="86">#REF!</definedName>
    <definedName name="Excel_BuiltIn_Print_Area_59_67_4" localSheetId="82">#REF!</definedName>
    <definedName name="Excel_BuiltIn_Print_Area_59_67_4" localSheetId="31">#REF!</definedName>
    <definedName name="Excel_BuiltIn_Print_Area_59_67_4" localSheetId="30">#REF!</definedName>
    <definedName name="Excel_BuiltIn_Print_Area_59_67_4" localSheetId="14">#REF!</definedName>
    <definedName name="Excel_BuiltIn_Print_Area_59_67_4" localSheetId="38">#REF!</definedName>
    <definedName name="Excel_BuiltIn_Print_Area_59_67_4">#REF!</definedName>
    <definedName name="Excel_BuiltIn_Print_Area_59_67_56" localSheetId="84">#REF!</definedName>
    <definedName name="Excel_BuiltIn_Print_Area_59_67_56" localSheetId="64">#REF!</definedName>
    <definedName name="Excel_BuiltIn_Print_Area_59_67_56" localSheetId="65">#REF!</definedName>
    <definedName name="Excel_BuiltIn_Print_Area_59_67_56" localSheetId="66">#REF!</definedName>
    <definedName name="Excel_BuiltIn_Print_Area_59_67_56" localSheetId="80">#REF!</definedName>
    <definedName name="Excel_BuiltIn_Print_Area_59_67_56" localSheetId="32">#REF!</definedName>
    <definedName name="Excel_BuiltIn_Print_Area_59_67_56" localSheetId="17">#REF!</definedName>
    <definedName name="Excel_BuiltIn_Print_Area_59_67_56" localSheetId="15">#REF!</definedName>
    <definedName name="Excel_BuiltIn_Print_Area_59_67_56" localSheetId="16">#REF!</definedName>
    <definedName name="Excel_BuiltIn_Print_Area_59_67_56" localSheetId="85">#REF!</definedName>
    <definedName name="Excel_BuiltIn_Print_Area_59_67_56" localSheetId="25">#REF!</definedName>
    <definedName name="Excel_BuiltIn_Print_Area_59_67_56" localSheetId="20">#REF!</definedName>
    <definedName name="Excel_BuiltIn_Print_Area_59_67_56" localSheetId="86">#REF!</definedName>
    <definedName name="Excel_BuiltIn_Print_Area_59_67_56" localSheetId="82">#REF!</definedName>
    <definedName name="Excel_BuiltIn_Print_Area_59_67_56" localSheetId="31">#REF!</definedName>
    <definedName name="Excel_BuiltIn_Print_Area_59_67_56" localSheetId="30">#REF!</definedName>
    <definedName name="Excel_BuiltIn_Print_Area_59_67_56" localSheetId="14">#REF!</definedName>
    <definedName name="Excel_BuiltIn_Print_Area_59_67_56" localSheetId="38">#REF!</definedName>
    <definedName name="Excel_BuiltIn_Print_Area_59_67_56">#REF!</definedName>
    <definedName name="Excel_BuiltIn_Print_Area_59_67_6" localSheetId="84">#REF!</definedName>
    <definedName name="Excel_BuiltIn_Print_Area_59_67_6" localSheetId="64">#REF!</definedName>
    <definedName name="Excel_BuiltIn_Print_Area_59_67_6" localSheetId="65">#REF!</definedName>
    <definedName name="Excel_BuiltIn_Print_Area_59_67_6" localSheetId="66">#REF!</definedName>
    <definedName name="Excel_BuiltIn_Print_Area_59_67_6" localSheetId="80">#REF!</definedName>
    <definedName name="Excel_BuiltIn_Print_Area_59_67_6" localSheetId="32">#REF!</definedName>
    <definedName name="Excel_BuiltIn_Print_Area_59_67_6" localSheetId="17">#REF!</definedName>
    <definedName name="Excel_BuiltIn_Print_Area_59_67_6" localSheetId="15">#REF!</definedName>
    <definedName name="Excel_BuiltIn_Print_Area_59_67_6" localSheetId="16">#REF!</definedName>
    <definedName name="Excel_BuiltIn_Print_Area_59_67_6" localSheetId="85">#REF!</definedName>
    <definedName name="Excel_BuiltIn_Print_Area_59_67_6" localSheetId="25">#REF!</definedName>
    <definedName name="Excel_BuiltIn_Print_Area_59_67_6" localSheetId="20">#REF!</definedName>
    <definedName name="Excel_BuiltIn_Print_Area_59_67_6" localSheetId="86">#REF!</definedName>
    <definedName name="Excel_BuiltIn_Print_Area_59_67_6" localSheetId="82">#REF!</definedName>
    <definedName name="Excel_BuiltIn_Print_Area_59_67_6" localSheetId="31">#REF!</definedName>
    <definedName name="Excel_BuiltIn_Print_Area_59_67_6" localSheetId="30">#REF!</definedName>
    <definedName name="Excel_BuiltIn_Print_Area_59_67_6" localSheetId="14">#REF!</definedName>
    <definedName name="Excel_BuiltIn_Print_Area_59_67_6" localSheetId="38">#REF!</definedName>
    <definedName name="Excel_BuiltIn_Print_Area_59_67_6">#REF!</definedName>
    <definedName name="Excel_BuiltIn_Print_Area_59_67_66" localSheetId="84">#REF!</definedName>
    <definedName name="Excel_BuiltIn_Print_Area_59_67_66" localSheetId="64">#REF!</definedName>
    <definedName name="Excel_BuiltIn_Print_Area_59_67_66" localSheetId="65">#REF!</definedName>
    <definedName name="Excel_BuiltIn_Print_Area_59_67_66" localSheetId="66">#REF!</definedName>
    <definedName name="Excel_BuiltIn_Print_Area_59_67_66" localSheetId="80">#REF!</definedName>
    <definedName name="Excel_BuiltIn_Print_Area_59_67_66" localSheetId="32">#REF!</definedName>
    <definedName name="Excel_BuiltIn_Print_Area_59_67_66" localSheetId="17">#REF!</definedName>
    <definedName name="Excel_BuiltIn_Print_Area_59_67_66" localSheetId="15">#REF!</definedName>
    <definedName name="Excel_BuiltIn_Print_Area_59_67_66" localSheetId="16">#REF!</definedName>
    <definedName name="Excel_BuiltIn_Print_Area_59_67_66" localSheetId="85">#REF!</definedName>
    <definedName name="Excel_BuiltIn_Print_Area_59_67_66" localSheetId="25">#REF!</definedName>
    <definedName name="Excel_BuiltIn_Print_Area_59_67_66" localSheetId="20">#REF!</definedName>
    <definedName name="Excel_BuiltIn_Print_Area_59_67_66" localSheetId="86">#REF!</definedName>
    <definedName name="Excel_BuiltIn_Print_Area_59_67_66" localSheetId="82">#REF!</definedName>
    <definedName name="Excel_BuiltIn_Print_Area_59_67_66" localSheetId="31">#REF!</definedName>
    <definedName name="Excel_BuiltIn_Print_Area_59_67_66" localSheetId="30">#REF!</definedName>
    <definedName name="Excel_BuiltIn_Print_Area_59_67_66" localSheetId="14">#REF!</definedName>
    <definedName name="Excel_BuiltIn_Print_Area_59_67_66" localSheetId="38">#REF!</definedName>
    <definedName name="Excel_BuiltIn_Print_Area_59_67_66">#REF!</definedName>
    <definedName name="Excel_BuiltIn_Print_Area_59_67_67" localSheetId="84">#REF!</definedName>
    <definedName name="Excel_BuiltIn_Print_Area_59_67_67" localSheetId="64">#REF!</definedName>
    <definedName name="Excel_BuiltIn_Print_Area_59_67_67" localSheetId="65">#REF!</definedName>
    <definedName name="Excel_BuiltIn_Print_Area_59_67_67" localSheetId="66">#REF!</definedName>
    <definedName name="Excel_BuiltIn_Print_Area_59_67_67" localSheetId="80">#REF!</definedName>
    <definedName name="Excel_BuiltIn_Print_Area_59_67_67" localSheetId="32">#REF!</definedName>
    <definedName name="Excel_BuiltIn_Print_Area_59_67_67" localSheetId="17">#REF!</definedName>
    <definedName name="Excel_BuiltIn_Print_Area_59_67_67" localSheetId="15">#REF!</definedName>
    <definedName name="Excel_BuiltIn_Print_Area_59_67_67" localSheetId="16">#REF!</definedName>
    <definedName name="Excel_BuiltIn_Print_Area_59_67_67" localSheetId="85">#REF!</definedName>
    <definedName name="Excel_BuiltIn_Print_Area_59_67_67" localSheetId="25">#REF!</definedName>
    <definedName name="Excel_BuiltIn_Print_Area_59_67_67" localSheetId="20">#REF!</definedName>
    <definedName name="Excel_BuiltIn_Print_Area_59_67_67" localSheetId="86">#REF!</definedName>
    <definedName name="Excel_BuiltIn_Print_Area_59_67_67" localSheetId="82">#REF!</definedName>
    <definedName name="Excel_BuiltIn_Print_Area_59_67_67" localSheetId="31">#REF!</definedName>
    <definedName name="Excel_BuiltIn_Print_Area_59_67_67" localSheetId="30">#REF!</definedName>
    <definedName name="Excel_BuiltIn_Print_Area_59_67_67" localSheetId="14">#REF!</definedName>
    <definedName name="Excel_BuiltIn_Print_Area_59_67_67" localSheetId="38">#REF!</definedName>
    <definedName name="Excel_BuiltIn_Print_Area_59_67_67">#REF!</definedName>
    <definedName name="Excel_BuiltIn_Print_Area_59_67_70" localSheetId="84">#REF!</definedName>
    <definedName name="Excel_BuiltIn_Print_Area_59_67_70" localSheetId="64">#REF!</definedName>
    <definedName name="Excel_BuiltIn_Print_Area_59_67_70" localSheetId="65">#REF!</definedName>
    <definedName name="Excel_BuiltIn_Print_Area_59_67_70" localSheetId="66">#REF!</definedName>
    <definedName name="Excel_BuiltIn_Print_Area_59_67_70" localSheetId="80">#REF!</definedName>
    <definedName name="Excel_BuiltIn_Print_Area_59_67_70" localSheetId="32">#REF!</definedName>
    <definedName name="Excel_BuiltIn_Print_Area_59_67_70" localSheetId="17">#REF!</definedName>
    <definedName name="Excel_BuiltIn_Print_Area_59_67_70" localSheetId="15">#REF!</definedName>
    <definedName name="Excel_BuiltIn_Print_Area_59_67_70" localSheetId="16">#REF!</definedName>
    <definedName name="Excel_BuiltIn_Print_Area_59_67_70" localSheetId="85">#REF!</definedName>
    <definedName name="Excel_BuiltIn_Print_Area_59_67_70" localSheetId="25">#REF!</definedName>
    <definedName name="Excel_BuiltIn_Print_Area_59_67_70" localSheetId="20">#REF!</definedName>
    <definedName name="Excel_BuiltIn_Print_Area_59_67_70" localSheetId="86">#REF!</definedName>
    <definedName name="Excel_BuiltIn_Print_Area_59_67_70" localSheetId="82">#REF!</definedName>
    <definedName name="Excel_BuiltIn_Print_Area_59_67_70" localSheetId="31">#REF!</definedName>
    <definedName name="Excel_BuiltIn_Print_Area_59_67_70" localSheetId="30">#REF!</definedName>
    <definedName name="Excel_BuiltIn_Print_Area_59_67_70" localSheetId="14">#REF!</definedName>
    <definedName name="Excel_BuiltIn_Print_Area_59_67_70" localSheetId="38">#REF!</definedName>
    <definedName name="Excel_BuiltIn_Print_Area_59_67_70">#REF!</definedName>
    <definedName name="Excel_BuiltIn_Print_Area_59_67_71" localSheetId="84">#REF!</definedName>
    <definedName name="Excel_BuiltIn_Print_Area_59_67_71" localSheetId="64">#REF!</definedName>
    <definedName name="Excel_BuiltIn_Print_Area_59_67_71" localSheetId="65">#REF!</definedName>
    <definedName name="Excel_BuiltIn_Print_Area_59_67_71" localSheetId="66">#REF!</definedName>
    <definedName name="Excel_BuiltIn_Print_Area_59_67_71" localSheetId="80">#REF!</definedName>
    <definedName name="Excel_BuiltIn_Print_Area_59_67_71" localSheetId="32">#REF!</definedName>
    <definedName name="Excel_BuiltIn_Print_Area_59_67_71" localSheetId="17">#REF!</definedName>
    <definedName name="Excel_BuiltIn_Print_Area_59_67_71" localSheetId="15">#REF!</definedName>
    <definedName name="Excel_BuiltIn_Print_Area_59_67_71" localSheetId="16">#REF!</definedName>
    <definedName name="Excel_BuiltIn_Print_Area_59_67_71" localSheetId="85">#REF!</definedName>
    <definedName name="Excel_BuiltIn_Print_Area_59_67_71" localSheetId="25">#REF!</definedName>
    <definedName name="Excel_BuiltIn_Print_Area_59_67_71" localSheetId="20">#REF!</definedName>
    <definedName name="Excel_BuiltIn_Print_Area_59_67_71" localSheetId="86">#REF!</definedName>
    <definedName name="Excel_BuiltIn_Print_Area_59_67_71" localSheetId="82">#REF!</definedName>
    <definedName name="Excel_BuiltIn_Print_Area_59_67_71" localSheetId="31">#REF!</definedName>
    <definedName name="Excel_BuiltIn_Print_Area_59_67_71" localSheetId="30">#REF!</definedName>
    <definedName name="Excel_BuiltIn_Print_Area_59_67_71" localSheetId="14">#REF!</definedName>
    <definedName name="Excel_BuiltIn_Print_Area_59_67_71" localSheetId="38">#REF!</definedName>
    <definedName name="Excel_BuiltIn_Print_Area_59_67_71">#REF!</definedName>
    <definedName name="Excel_BuiltIn_Print_Area_59_67_72" localSheetId="84">#REF!</definedName>
    <definedName name="Excel_BuiltIn_Print_Area_59_67_72" localSheetId="64">#REF!</definedName>
    <definedName name="Excel_BuiltIn_Print_Area_59_67_72" localSheetId="65">#REF!</definedName>
    <definedName name="Excel_BuiltIn_Print_Area_59_67_72" localSheetId="66">#REF!</definedName>
    <definedName name="Excel_BuiltIn_Print_Area_59_67_72" localSheetId="80">#REF!</definedName>
    <definedName name="Excel_BuiltIn_Print_Area_59_67_72" localSheetId="32">#REF!</definedName>
    <definedName name="Excel_BuiltIn_Print_Area_59_67_72" localSheetId="17">#REF!</definedName>
    <definedName name="Excel_BuiltIn_Print_Area_59_67_72" localSheetId="15">#REF!</definedName>
    <definedName name="Excel_BuiltIn_Print_Area_59_67_72" localSheetId="16">#REF!</definedName>
    <definedName name="Excel_BuiltIn_Print_Area_59_67_72" localSheetId="85">#REF!</definedName>
    <definedName name="Excel_BuiltIn_Print_Area_59_67_72" localSheetId="25">#REF!</definedName>
    <definedName name="Excel_BuiltIn_Print_Area_59_67_72" localSheetId="20">#REF!</definedName>
    <definedName name="Excel_BuiltIn_Print_Area_59_67_72" localSheetId="86">#REF!</definedName>
    <definedName name="Excel_BuiltIn_Print_Area_59_67_72" localSheetId="82">#REF!</definedName>
    <definedName name="Excel_BuiltIn_Print_Area_59_67_72" localSheetId="31">#REF!</definedName>
    <definedName name="Excel_BuiltIn_Print_Area_59_67_72" localSheetId="30">#REF!</definedName>
    <definedName name="Excel_BuiltIn_Print_Area_59_67_72" localSheetId="14">#REF!</definedName>
    <definedName name="Excel_BuiltIn_Print_Area_59_67_72" localSheetId="38">#REF!</definedName>
    <definedName name="Excel_BuiltIn_Print_Area_59_67_72">#REF!</definedName>
    <definedName name="Excel_BuiltIn_Print_Area_59_67_74" localSheetId="84">#REF!</definedName>
    <definedName name="Excel_BuiltIn_Print_Area_59_67_74" localSheetId="64">#REF!</definedName>
    <definedName name="Excel_BuiltIn_Print_Area_59_67_74" localSheetId="65">#REF!</definedName>
    <definedName name="Excel_BuiltIn_Print_Area_59_67_74" localSheetId="66">#REF!</definedName>
    <definedName name="Excel_BuiltIn_Print_Area_59_67_74" localSheetId="80">#REF!</definedName>
    <definedName name="Excel_BuiltIn_Print_Area_59_67_74" localSheetId="32">#REF!</definedName>
    <definedName name="Excel_BuiltIn_Print_Area_59_67_74" localSheetId="17">#REF!</definedName>
    <definedName name="Excel_BuiltIn_Print_Area_59_67_74" localSheetId="15">#REF!</definedName>
    <definedName name="Excel_BuiltIn_Print_Area_59_67_74" localSheetId="16">#REF!</definedName>
    <definedName name="Excel_BuiltIn_Print_Area_59_67_74" localSheetId="85">#REF!</definedName>
    <definedName name="Excel_BuiltIn_Print_Area_59_67_74" localSheetId="25">#REF!</definedName>
    <definedName name="Excel_BuiltIn_Print_Area_59_67_74" localSheetId="20">#REF!</definedName>
    <definedName name="Excel_BuiltIn_Print_Area_59_67_74" localSheetId="86">#REF!</definedName>
    <definedName name="Excel_BuiltIn_Print_Area_59_67_74" localSheetId="82">#REF!</definedName>
    <definedName name="Excel_BuiltIn_Print_Area_59_67_74" localSheetId="31">#REF!</definedName>
    <definedName name="Excel_BuiltIn_Print_Area_59_67_74" localSheetId="30">#REF!</definedName>
    <definedName name="Excel_BuiltIn_Print_Area_59_67_74" localSheetId="14">#REF!</definedName>
    <definedName name="Excel_BuiltIn_Print_Area_59_67_74" localSheetId="38">#REF!</definedName>
    <definedName name="Excel_BuiltIn_Print_Area_59_67_74">#REF!</definedName>
    <definedName name="Excel_BuiltIn_Print_Area_59_67_9" localSheetId="84">#REF!</definedName>
    <definedName name="Excel_BuiltIn_Print_Area_59_67_9" localSheetId="64">#REF!</definedName>
    <definedName name="Excel_BuiltIn_Print_Area_59_67_9" localSheetId="65">#REF!</definedName>
    <definedName name="Excel_BuiltIn_Print_Area_59_67_9" localSheetId="66">#REF!</definedName>
    <definedName name="Excel_BuiltIn_Print_Area_59_67_9" localSheetId="80">#REF!</definedName>
    <definedName name="Excel_BuiltIn_Print_Area_59_67_9" localSheetId="32">#REF!</definedName>
    <definedName name="Excel_BuiltIn_Print_Area_59_67_9" localSheetId="17">#REF!</definedName>
    <definedName name="Excel_BuiltIn_Print_Area_59_67_9" localSheetId="15">#REF!</definedName>
    <definedName name="Excel_BuiltIn_Print_Area_59_67_9" localSheetId="16">#REF!</definedName>
    <definedName name="Excel_BuiltIn_Print_Area_59_67_9" localSheetId="85">#REF!</definedName>
    <definedName name="Excel_BuiltIn_Print_Area_59_67_9" localSheetId="25">#REF!</definedName>
    <definedName name="Excel_BuiltIn_Print_Area_59_67_9" localSheetId="20">#REF!</definedName>
    <definedName name="Excel_BuiltIn_Print_Area_59_67_9" localSheetId="86">#REF!</definedName>
    <definedName name="Excel_BuiltIn_Print_Area_59_67_9" localSheetId="82">#REF!</definedName>
    <definedName name="Excel_BuiltIn_Print_Area_59_67_9" localSheetId="31">#REF!</definedName>
    <definedName name="Excel_BuiltIn_Print_Area_59_67_9" localSheetId="30">#REF!</definedName>
    <definedName name="Excel_BuiltIn_Print_Area_59_67_9" localSheetId="14">#REF!</definedName>
    <definedName name="Excel_BuiltIn_Print_Area_59_67_9" localSheetId="38">#REF!</definedName>
    <definedName name="Excel_BuiltIn_Print_Area_59_67_9">#REF!</definedName>
    <definedName name="Excel_BuiltIn_Print_Area_59_70" localSheetId="84">#REF!</definedName>
    <definedName name="Excel_BuiltIn_Print_Area_59_70" localSheetId="64">#REF!</definedName>
    <definedName name="Excel_BuiltIn_Print_Area_59_70" localSheetId="65">#REF!</definedName>
    <definedName name="Excel_BuiltIn_Print_Area_59_70" localSheetId="66">#REF!</definedName>
    <definedName name="Excel_BuiltIn_Print_Area_59_70" localSheetId="80">#REF!</definedName>
    <definedName name="Excel_BuiltIn_Print_Area_59_70" localSheetId="32">#REF!</definedName>
    <definedName name="Excel_BuiltIn_Print_Area_59_70" localSheetId="17">#REF!</definedName>
    <definedName name="Excel_BuiltIn_Print_Area_59_70" localSheetId="15">#REF!</definedName>
    <definedName name="Excel_BuiltIn_Print_Area_59_70" localSheetId="16">#REF!</definedName>
    <definedName name="Excel_BuiltIn_Print_Area_59_70" localSheetId="85">#REF!</definedName>
    <definedName name="Excel_BuiltIn_Print_Area_59_70" localSheetId="25">#REF!</definedName>
    <definedName name="Excel_BuiltIn_Print_Area_59_70" localSheetId="20">#REF!</definedName>
    <definedName name="Excel_BuiltIn_Print_Area_59_70" localSheetId="86">#REF!</definedName>
    <definedName name="Excel_BuiltIn_Print_Area_59_70" localSheetId="82">#REF!</definedName>
    <definedName name="Excel_BuiltIn_Print_Area_59_70" localSheetId="31">#REF!</definedName>
    <definedName name="Excel_BuiltIn_Print_Area_59_70" localSheetId="30">#REF!</definedName>
    <definedName name="Excel_BuiltIn_Print_Area_59_70" localSheetId="14">#REF!</definedName>
    <definedName name="Excel_BuiltIn_Print_Area_59_70" localSheetId="38">#REF!</definedName>
    <definedName name="Excel_BuiltIn_Print_Area_59_70">#REF!</definedName>
    <definedName name="Excel_BuiltIn_Print_Area_59_71" localSheetId="84">#REF!</definedName>
    <definedName name="Excel_BuiltIn_Print_Area_59_71" localSheetId="64">#REF!</definedName>
    <definedName name="Excel_BuiltIn_Print_Area_59_71" localSheetId="65">#REF!</definedName>
    <definedName name="Excel_BuiltIn_Print_Area_59_71" localSheetId="66">#REF!</definedName>
    <definedName name="Excel_BuiltIn_Print_Area_59_71" localSheetId="80">#REF!</definedName>
    <definedName name="Excel_BuiltIn_Print_Area_59_71" localSheetId="32">#REF!</definedName>
    <definedName name="Excel_BuiltIn_Print_Area_59_71" localSheetId="17">#REF!</definedName>
    <definedName name="Excel_BuiltIn_Print_Area_59_71" localSheetId="15">#REF!</definedName>
    <definedName name="Excel_BuiltIn_Print_Area_59_71" localSheetId="16">#REF!</definedName>
    <definedName name="Excel_BuiltIn_Print_Area_59_71" localSheetId="85">#REF!</definedName>
    <definedName name="Excel_BuiltIn_Print_Area_59_71" localSheetId="25">#REF!</definedName>
    <definedName name="Excel_BuiltIn_Print_Area_59_71" localSheetId="20">#REF!</definedName>
    <definedName name="Excel_BuiltIn_Print_Area_59_71" localSheetId="86">#REF!</definedName>
    <definedName name="Excel_BuiltIn_Print_Area_59_71" localSheetId="82">#REF!</definedName>
    <definedName name="Excel_BuiltIn_Print_Area_59_71" localSheetId="31">#REF!</definedName>
    <definedName name="Excel_BuiltIn_Print_Area_59_71" localSheetId="30">#REF!</definedName>
    <definedName name="Excel_BuiltIn_Print_Area_59_71" localSheetId="14">#REF!</definedName>
    <definedName name="Excel_BuiltIn_Print_Area_59_71" localSheetId="38">#REF!</definedName>
    <definedName name="Excel_BuiltIn_Print_Area_59_71">#REF!</definedName>
    <definedName name="Excel_BuiltIn_Print_Area_59_72" localSheetId="84">#REF!</definedName>
    <definedName name="Excel_BuiltIn_Print_Area_59_72" localSheetId="64">#REF!</definedName>
    <definedName name="Excel_BuiltIn_Print_Area_59_72" localSheetId="65">#REF!</definedName>
    <definedName name="Excel_BuiltIn_Print_Area_59_72" localSheetId="66">#REF!</definedName>
    <definedName name="Excel_BuiltIn_Print_Area_59_72" localSheetId="80">#REF!</definedName>
    <definedName name="Excel_BuiltIn_Print_Area_59_72" localSheetId="32">#REF!</definedName>
    <definedName name="Excel_BuiltIn_Print_Area_59_72" localSheetId="17">#REF!</definedName>
    <definedName name="Excel_BuiltIn_Print_Area_59_72" localSheetId="15">#REF!</definedName>
    <definedName name="Excel_BuiltIn_Print_Area_59_72" localSheetId="16">#REF!</definedName>
    <definedName name="Excel_BuiltIn_Print_Area_59_72" localSheetId="85">#REF!</definedName>
    <definedName name="Excel_BuiltIn_Print_Area_59_72" localSheetId="25">#REF!</definedName>
    <definedName name="Excel_BuiltIn_Print_Area_59_72" localSheetId="20">#REF!</definedName>
    <definedName name="Excel_BuiltIn_Print_Area_59_72" localSheetId="86">#REF!</definedName>
    <definedName name="Excel_BuiltIn_Print_Area_59_72" localSheetId="82">#REF!</definedName>
    <definedName name="Excel_BuiltIn_Print_Area_59_72" localSheetId="31">#REF!</definedName>
    <definedName name="Excel_BuiltIn_Print_Area_59_72" localSheetId="30">#REF!</definedName>
    <definedName name="Excel_BuiltIn_Print_Area_59_72" localSheetId="14">#REF!</definedName>
    <definedName name="Excel_BuiltIn_Print_Area_59_72" localSheetId="38">#REF!</definedName>
    <definedName name="Excel_BuiltIn_Print_Area_59_72">#REF!</definedName>
    <definedName name="Excel_BuiltIn_Print_Area_59_74" localSheetId="84">#REF!</definedName>
    <definedName name="Excel_BuiltIn_Print_Area_59_74" localSheetId="64">#REF!</definedName>
    <definedName name="Excel_BuiltIn_Print_Area_59_74" localSheetId="65">#REF!</definedName>
    <definedName name="Excel_BuiltIn_Print_Area_59_74" localSheetId="66">#REF!</definedName>
    <definedName name="Excel_BuiltIn_Print_Area_59_74" localSheetId="80">#REF!</definedName>
    <definedName name="Excel_BuiltIn_Print_Area_59_74" localSheetId="32">#REF!</definedName>
    <definedName name="Excel_BuiltIn_Print_Area_59_74" localSheetId="17">#REF!</definedName>
    <definedName name="Excel_BuiltIn_Print_Area_59_74" localSheetId="15">#REF!</definedName>
    <definedName name="Excel_BuiltIn_Print_Area_59_74" localSheetId="16">#REF!</definedName>
    <definedName name="Excel_BuiltIn_Print_Area_59_74" localSheetId="85">#REF!</definedName>
    <definedName name="Excel_BuiltIn_Print_Area_59_74" localSheetId="25">#REF!</definedName>
    <definedName name="Excel_BuiltIn_Print_Area_59_74" localSheetId="20">#REF!</definedName>
    <definedName name="Excel_BuiltIn_Print_Area_59_74" localSheetId="86">#REF!</definedName>
    <definedName name="Excel_BuiltIn_Print_Area_59_74" localSheetId="82">#REF!</definedName>
    <definedName name="Excel_BuiltIn_Print_Area_59_74" localSheetId="31">#REF!</definedName>
    <definedName name="Excel_BuiltIn_Print_Area_59_74" localSheetId="30">#REF!</definedName>
    <definedName name="Excel_BuiltIn_Print_Area_59_74" localSheetId="14">#REF!</definedName>
    <definedName name="Excel_BuiltIn_Print_Area_59_74" localSheetId="38">#REF!</definedName>
    <definedName name="Excel_BuiltIn_Print_Area_59_74">#REF!</definedName>
    <definedName name="Excel_BuiltIn_Print_Area_59_74_1" localSheetId="84">#REF!</definedName>
    <definedName name="Excel_BuiltIn_Print_Area_59_74_1" localSheetId="64">#REF!</definedName>
    <definedName name="Excel_BuiltIn_Print_Area_59_74_1" localSheetId="65">#REF!</definedName>
    <definedName name="Excel_BuiltIn_Print_Area_59_74_1" localSheetId="66">#REF!</definedName>
    <definedName name="Excel_BuiltIn_Print_Area_59_74_1" localSheetId="80">#REF!</definedName>
    <definedName name="Excel_BuiltIn_Print_Area_59_74_1" localSheetId="32">#REF!</definedName>
    <definedName name="Excel_BuiltIn_Print_Area_59_74_1" localSheetId="17">#REF!</definedName>
    <definedName name="Excel_BuiltIn_Print_Area_59_74_1" localSheetId="15">#REF!</definedName>
    <definedName name="Excel_BuiltIn_Print_Area_59_74_1" localSheetId="16">#REF!</definedName>
    <definedName name="Excel_BuiltIn_Print_Area_59_74_1" localSheetId="85">#REF!</definedName>
    <definedName name="Excel_BuiltIn_Print_Area_59_74_1" localSheetId="25">#REF!</definedName>
    <definedName name="Excel_BuiltIn_Print_Area_59_74_1" localSheetId="20">#REF!</definedName>
    <definedName name="Excel_BuiltIn_Print_Area_59_74_1" localSheetId="86">#REF!</definedName>
    <definedName name="Excel_BuiltIn_Print_Area_59_74_1" localSheetId="82">#REF!</definedName>
    <definedName name="Excel_BuiltIn_Print_Area_59_74_1" localSheetId="31">#REF!</definedName>
    <definedName name="Excel_BuiltIn_Print_Area_59_74_1" localSheetId="30">#REF!</definedName>
    <definedName name="Excel_BuiltIn_Print_Area_59_74_1" localSheetId="14">#REF!</definedName>
    <definedName name="Excel_BuiltIn_Print_Area_59_74_1" localSheetId="38">#REF!</definedName>
    <definedName name="Excel_BuiltIn_Print_Area_59_74_1">#REF!</definedName>
    <definedName name="Excel_BuiltIn_Print_Area_59_74_10" localSheetId="84">#REF!</definedName>
    <definedName name="Excel_BuiltIn_Print_Area_59_74_10" localSheetId="64">#REF!</definedName>
    <definedName name="Excel_BuiltIn_Print_Area_59_74_10" localSheetId="65">#REF!</definedName>
    <definedName name="Excel_BuiltIn_Print_Area_59_74_10" localSheetId="66">#REF!</definedName>
    <definedName name="Excel_BuiltIn_Print_Area_59_74_10" localSheetId="80">#REF!</definedName>
    <definedName name="Excel_BuiltIn_Print_Area_59_74_10" localSheetId="32">#REF!</definedName>
    <definedName name="Excel_BuiltIn_Print_Area_59_74_10" localSheetId="17">#REF!</definedName>
    <definedName name="Excel_BuiltIn_Print_Area_59_74_10" localSheetId="15">#REF!</definedName>
    <definedName name="Excel_BuiltIn_Print_Area_59_74_10" localSheetId="16">#REF!</definedName>
    <definedName name="Excel_BuiltIn_Print_Area_59_74_10" localSheetId="85">#REF!</definedName>
    <definedName name="Excel_BuiltIn_Print_Area_59_74_10" localSheetId="25">#REF!</definedName>
    <definedName name="Excel_BuiltIn_Print_Area_59_74_10" localSheetId="20">#REF!</definedName>
    <definedName name="Excel_BuiltIn_Print_Area_59_74_10" localSheetId="86">#REF!</definedName>
    <definedName name="Excel_BuiltIn_Print_Area_59_74_10" localSheetId="82">#REF!</definedName>
    <definedName name="Excel_BuiltIn_Print_Area_59_74_10" localSheetId="31">#REF!</definedName>
    <definedName name="Excel_BuiltIn_Print_Area_59_74_10" localSheetId="30">#REF!</definedName>
    <definedName name="Excel_BuiltIn_Print_Area_59_74_10" localSheetId="14">#REF!</definedName>
    <definedName name="Excel_BuiltIn_Print_Area_59_74_10" localSheetId="38">#REF!</definedName>
    <definedName name="Excel_BuiltIn_Print_Area_59_74_10">#REF!</definedName>
    <definedName name="Excel_BuiltIn_Print_Area_59_74_11" localSheetId="84">#REF!</definedName>
    <definedName name="Excel_BuiltIn_Print_Area_59_74_11" localSheetId="64">#REF!</definedName>
    <definedName name="Excel_BuiltIn_Print_Area_59_74_11" localSheetId="65">#REF!</definedName>
    <definedName name="Excel_BuiltIn_Print_Area_59_74_11" localSheetId="66">#REF!</definedName>
    <definedName name="Excel_BuiltIn_Print_Area_59_74_11" localSheetId="80">#REF!</definedName>
    <definedName name="Excel_BuiltIn_Print_Area_59_74_11" localSheetId="32">#REF!</definedName>
    <definedName name="Excel_BuiltIn_Print_Area_59_74_11" localSheetId="17">#REF!</definedName>
    <definedName name="Excel_BuiltIn_Print_Area_59_74_11" localSheetId="15">#REF!</definedName>
    <definedName name="Excel_BuiltIn_Print_Area_59_74_11" localSheetId="16">#REF!</definedName>
    <definedName name="Excel_BuiltIn_Print_Area_59_74_11" localSheetId="85">#REF!</definedName>
    <definedName name="Excel_BuiltIn_Print_Area_59_74_11" localSheetId="25">#REF!</definedName>
    <definedName name="Excel_BuiltIn_Print_Area_59_74_11" localSheetId="20">#REF!</definedName>
    <definedName name="Excel_BuiltIn_Print_Area_59_74_11" localSheetId="86">#REF!</definedName>
    <definedName name="Excel_BuiltIn_Print_Area_59_74_11" localSheetId="82">#REF!</definedName>
    <definedName name="Excel_BuiltIn_Print_Area_59_74_11" localSheetId="31">#REF!</definedName>
    <definedName name="Excel_BuiltIn_Print_Area_59_74_11" localSheetId="30">#REF!</definedName>
    <definedName name="Excel_BuiltIn_Print_Area_59_74_11" localSheetId="14">#REF!</definedName>
    <definedName name="Excel_BuiltIn_Print_Area_59_74_11" localSheetId="38">#REF!</definedName>
    <definedName name="Excel_BuiltIn_Print_Area_59_74_11">#REF!</definedName>
    <definedName name="Excel_BuiltIn_Print_Area_59_74_13" localSheetId="84">#REF!</definedName>
    <definedName name="Excel_BuiltIn_Print_Area_59_74_13" localSheetId="64">#REF!</definedName>
    <definedName name="Excel_BuiltIn_Print_Area_59_74_13" localSheetId="65">#REF!</definedName>
    <definedName name="Excel_BuiltIn_Print_Area_59_74_13" localSheetId="66">#REF!</definedName>
    <definedName name="Excel_BuiltIn_Print_Area_59_74_13" localSheetId="80">#REF!</definedName>
    <definedName name="Excel_BuiltIn_Print_Area_59_74_13" localSheetId="32">#REF!</definedName>
    <definedName name="Excel_BuiltIn_Print_Area_59_74_13" localSheetId="17">#REF!</definedName>
    <definedName name="Excel_BuiltIn_Print_Area_59_74_13" localSheetId="15">#REF!</definedName>
    <definedName name="Excel_BuiltIn_Print_Area_59_74_13" localSheetId="16">#REF!</definedName>
    <definedName name="Excel_BuiltIn_Print_Area_59_74_13" localSheetId="85">#REF!</definedName>
    <definedName name="Excel_BuiltIn_Print_Area_59_74_13" localSheetId="25">#REF!</definedName>
    <definedName name="Excel_BuiltIn_Print_Area_59_74_13" localSheetId="20">#REF!</definedName>
    <definedName name="Excel_BuiltIn_Print_Area_59_74_13" localSheetId="86">#REF!</definedName>
    <definedName name="Excel_BuiltIn_Print_Area_59_74_13" localSheetId="82">#REF!</definedName>
    <definedName name="Excel_BuiltIn_Print_Area_59_74_13" localSheetId="31">#REF!</definedName>
    <definedName name="Excel_BuiltIn_Print_Area_59_74_13" localSheetId="30">#REF!</definedName>
    <definedName name="Excel_BuiltIn_Print_Area_59_74_13" localSheetId="14">#REF!</definedName>
    <definedName name="Excel_BuiltIn_Print_Area_59_74_13" localSheetId="38">#REF!</definedName>
    <definedName name="Excel_BuiltIn_Print_Area_59_74_13">#REF!</definedName>
    <definedName name="Excel_BuiltIn_Print_Area_59_74_14" localSheetId="84">#REF!</definedName>
    <definedName name="Excel_BuiltIn_Print_Area_59_74_14" localSheetId="64">#REF!</definedName>
    <definedName name="Excel_BuiltIn_Print_Area_59_74_14" localSheetId="65">#REF!</definedName>
    <definedName name="Excel_BuiltIn_Print_Area_59_74_14" localSheetId="66">#REF!</definedName>
    <definedName name="Excel_BuiltIn_Print_Area_59_74_14" localSheetId="80">#REF!</definedName>
    <definedName name="Excel_BuiltIn_Print_Area_59_74_14" localSheetId="32">#REF!</definedName>
    <definedName name="Excel_BuiltIn_Print_Area_59_74_14" localSheetId="17">#REF!</definedName>
    <definedName name="Excel_BuiltIn_Print_Area_59_74_14" localSheetId="15">#REF!</definedName>
    <definedName name="Excel_BuiltIn_Print_Area_59_74_14" localSheetId="16">#REF!</definedName>
    <definedName name="Excel_BuiltIn_Print_Area_59_74_14" localSheetId="85">#REF!</definedName>
    <definedName name="Excel_BuiltIn_Print_Area_59_74_14" localSheetId="25">#REF!</definedName>
    <definedName name="Excel_BuiltIn_Print_Area_59_74_14" localSheetId="20">#REF!</definedName>
    <definedName name="Excel_BuiltIn_Print_Area_59_74_14" localSheetId="86">#REF!</definedName>
    <definedName name="Excel_BuiltIn_Print_Area_59_74_14" localSheetId="82">#REF!</definedName>
    <definedName name="Excel_BuiltIn_Print_Area_59_74_14" localSheetId="31">#REF!</definedName>
    <definedName name="Excel_BuiltIn_Print_Area_59_74_14" localSheetId="30">#REF!</definedName>
    <definedName name="Excel_BuiltIn_Print_Area_59_74_14" localSheetId="14">#REF!</definedName>
    <definedName name="Excel_BuiltIn_Print_Area_59_74_14" localSheetId="38">#REF!</definedName>
    <definedName name="Excel_BuiltIn_Print_Area_59_74_14">#REF!</definedName>
    <definedName name="Excel_BuiltIn_Print_Area_59_74_15" localSheetId="84">#REF!</definedName>
    <definedName name="Excel_BuiltIn_Print_Area_59_74_15" localSheetId="64">#REF!</definedName>
    <definedName name="Excel_BuiltIn_Print_Area_59_74_15" localSheetId="65">#REF!</definedName>
    <definedName name="Excel_BuiltIn_Print_Area_59_74_15" localSheetId="66">#REF!</definedName>
    <definedName name="Excel_BuiltIn_Print_Area_59_74_15" localSheetId="80">#REF!</definedName>
    <definedName name="Excel_BuiltIn_Print_Area_59_74_15" localSheetId="32">#REF!</definedName>
    <definedName name="Excel_BuiltIn_Print_Area_59_74_15" localSheetId="17">#REF!</definedName>
    <definedName name="Excel_BuiltIn_Print_Area_59_74_15" localSheetId="15">#REF!</definedName>
    <definedName name="Excel_BuiltIn_Print_Area_59_74_15" localSheetId="16">#REF!</definedName>
    <definedName name="Excel_BuiltIn_Print_Area_59_74_15" localSheetId="85">#REF!</definedName>
    <definedName name="Excel_BuiltIn_Print_Area_59_74_15" localSheetId="25">#REF!</definedName>
    <definedName name="Excel_BuiltIn_Print_Area_59_74_15" localSheetId="20">#REF!</definedName>
    <definedName name="Excel_BuiltIn_Print_Area_59_74_15" localSheetId="86">#REF!</definedName>
    <definedName name="Excel_BuiltIn_Print_Area_59_74_15" localSheetId="82">#REF!</definedName>
    <definedName name="Excel_BuiltIn_Print_Area_59_74_15" localSheetId="31">#REF!</definedName>
    <definedName name="Excel_BuiltIn_Print_Area_59_74_15" localSheetId="30">#REF!</definedName>
    <definedName name="Excel_BuiltIn_Print_Area_59_74_15" localSheetId="14">#REF!</definedName>
    <definedName name="Excel_BuiltIn_Print_Area_59_74_15" localSheetId="38">#REF!</definedName>
    <definedName name="Excel_BuiltIn_Print_Area_59_74_15">#REF!</definedName>
    <definedName name="Excel_BuiltIn_Print_Area_59_74_16" localSheetId="84">#REF!</definedName>
    <definedName name="Excel_BuiltIn_Print_Area_59_74_16" localSheetId="64">#REF!</definedName>
    <definedName name="Excel_BuiltIn_Print_Area_59_74_16" localSheetId="65">#REF!</definedName>
    <definedName name="Excel_BuiltIn_Print_Area_59_74_16" localSheetId="66">#REF!</definedName>
    <definedName name="Excel_BuiltIn_Print_Area_59_74_16" localSheetId="80">#REF!</definedName>
    <definedName name="Excel_BuiltIn_Print_Area_59_74_16" localSheetId="32">#REF!</definedName>
    <definedName name="Excel_BuiltIn_Print_Area_59_74_16" localSheetId="17">#REF!</definedName>
    <definedName name="Excel_BuiltIn_Print_Area_59_74_16" localSheetId="15">#REF!</definedName>
    <definedName name="Excel_BuiltIn_Print_Area_59_74_16" localSheetId="16">#REF!</definedName>
    <definedName name="Excel_BuiltIn_Print_Area_59_74_16" localSheetId="85">#REF!</definedName>
    <definedName name="Excel_BuiltIn_Print_Area_59_74_16" localSheetId="25">#REF!</definedName>
    <definedName name="Excel_BuiltIn_Print_Area_59_74_16" localSheetId="20">#REF!</definedName>
    <definedName name="Excel_BuiltIn_Print_Area_59_74_16" localSheetId="86">#REF!</definedName>
    <definedName name="Excel_BuiltIn_Print_Area_59_74_16" localSheetId="82">#REF!</definedName>
    <definedName name="Excel_BuiltIn_Print_Area_59_74_16" localSheetId="31">#REF!</definedName>
    <definedName name="Excel_BuiltIn_Print_Area_59_74_16" localSheetId="30">#REF!</definedName>
    <definedName name="Excel_BuiltIn_Print_Area_59_74_16" localSheetId="14">#REF!</definedName>
    <definedName name="Excel_BuiltIn_Print_Area_59_74_16" localSheetId="38">#REF!</definedName>
    <definedName name="Excel_BuiltIn_Print_Area_59_74_16">#REF!</definedName>
    <definedName name="Excel_BuiltIn_Print_Area_59_74_2" localSheetId="84">#REF!</definedName>
    <definedName name="Excel_BuiltIn_Print_Area_59_74_2" localSheetId="64">#REF!</definedName>
    <definedName name="Excel_BuiltIn_Print_Area_59_74_2" localSheetId="65">#REF!</definedName>
    <definedName name="Excel_BuiltIn_Print_Area_59_74_2" localSheetId="66">#REF!</definedName>
    <definedName name="Excel_BuiltIn_Print_Area_59_74_2" localSheetId="80">#REF!</definedName>
    <definedName name="Excel_BuiltIn_Print_Area_59_74_2" localSheetId="32">#REF!</definedName>
    <definedName name="Excel_BuiltIn_Print_Area_59_74_2" localSheetId="17">#REF!</definedName>
    <definedName name="Excel_BuiltIn_Print_Area_59_74_2" localSheetId="15">#REF!</definedName>
    <definedName name="Excel_BuiltIn_Print_Area_59_74_2" localSheetId="16">#REF!</definedName>
    <definedName name="Excel_BuiltIn_Print_Area_59_74_2" localSheetId="85">#REF!</definedName>
    <definedName name="Excel_BuiltIn_Print_Area_59_74_2" localSheetId="25">#REF!</definedName>
    <definedName name="Excel_BuiltIn_Print_Area_59_74_2" localSheetId="20">#REF!</definedName>
    <definedName name="Excel_BuiltIn_Print_Area_59_74_2" localSheetId="86">#REF!</definedName>
    <definedName name="Excel_BuiltIn_Print_Area_59_74_2" localSheetId="82">#REF!</definedName>
    <definedName name="Excel_BuiltIn_Print_Area_59_74_2" localSheetId="31">#REF!</definedName>
    <definedName name="Excel_BuiltIn_Print_Area_59_74_2" localSheetId="30">#REF!</definedName>
    <definedName name="Excel_BuiltIn_Print_Area_59_74_2" localSheetId="14">#REF!</definedName>
    <definedName name="Excel_BuiltIn_Print_Area_59_74_2" localSheetId="38">#REF!</definedName>
    <definedName name="Excel_BuiltIn_Print_Area_59_74_2">#REF!</definedName>
    <definedName name="Excel_BuiltIn_Print_Area_59_74_22" localSheetId="84">#REF!</definedName>
    <definedName name="Excel_BuiltIn_Print_Area_59_74_22" localSheetId="64">#REF!</definedName>
    <definedName name="Excel_BuiltIn_Print_Area_59_74_22" localSheetId="65">#REF!</definedName>
    <definedName name="Excel_BuiltIn_Print_Area_59_74_22" localSheetId="66">#REF!</definedName>
    <definedName name="Excel_BuiltIn_Print_Area_59_74_22" localSheetId="80">#REF!</definedName>
    <definedName name="Excel_BuiltIn_Print_Area_59_74_22" localSheetId="32">#REF!</definedName>
    <definedName name="Excel_BuiltIn_Print_Area_59_74_22" localSheetId="17">#REF!</definedName>
    <definedName name="Excel_BuiltIn_Print_Area_59_74_22" localSheetId="15">#REF!</definedName>
    <definedName name="Excel_BuiltIn_Print_Area_59_74_22" localSheetId="16">#REF!</definedName>
    <definedName name="Excel_BuiltIn_Print_Area_59_74_22" localSheetId="85">#REF!</definedName>
    <definedName name="Excel_BuiltIn_Print_Area_59_74_22" localSheetId="25">#REF!</definedName>
    <definedName name="Excel_BuiltIn_Print_Area_59_74_22" localSheetId="20">#REF!</definedName>
    <definedName name="Excel_BuiltIn_Print_Area_59_74_22" localSheetId="86">#REF!</definedName>
    <definedName name="Excel_BuiltIn_Print_Area_59_74_22" localSheetId="82">#REF!</definedName>
    <definedName name="Excel_BuiltIn_Print_Area_59_74_22" localSheetId="31">#REF!</definedName>
    <definedName name="Excel_BuiltIn_Print_Area_59_74_22" localSheetId="30">#REF!</definedName>
    <definedName name="Excel_BuiltIn_Print_Area_59_74_22" localSheetId="14">#REF!</definedName>
    <definedName name="Excel_BuiltIn_Print_Area_59_74_22" localSheetId="38">#REF!</definedName>
    <definedName name="Excel_BuiltIn_Print_Area_59_74_22">#REF!</definedName>
    <definedName name="Excel_BuiltIn_Print_Area_59_74_25" localSheetId="84">#REF!</definedName>
    <definedName name="Excel_BuiltIn_Print_Area_59_74_25" localSheetId="64">#REF!</definedName>
    <definedName name="Excel_BuiltIn_Print_Area_59_74_25" localSheetId="65">#REF!</definedName>
    <definedName name="Excel_BuiltIn_Print_Area_59_74_25" localSheetId="66">#REF!</definedName>
    <definedName name="Excel_BuiltIn_Print_Area_59_74_25" localSheetId="80">#REF!</definedName>
    <definedName name="Excel_BuiltIn_Print_Area_59_74_25" localSheetId="32">#REF!</definedName>
    <definedName name="Excel_BuiltIn_Print_Area_59_74_25" localSheetId="17">#REF!</definedName>
    <definedName name="Excel_BuiltIn_Print_Area_59_74_25" localSheetId="15">#REF!</definedName>
    <definedName name="Excel_BuiltIn_Print_Area_59_74_25" localSheetId="16">#REF!</definedName>
    <definedName name="Excel_BuiltIn_Print_Area_59_74_25" localSheetId="85">#REF!</definedName>
    <definedName name="Excel_BuiltIn_Print_Area_59_74_25" localSheetId="25">#REF!</definedName>
    <definedName name="Excel_BuiltIn_Print_Area_59_74_25" localSheetId="20">#REF!</definedName>
    <definedName name="Excel_BuiltIn_Print_Area_59_74_25" localSheetId="86">#REF!</definedName>
    <definedName name="Excel_BuiltIn_Print_Area_59_74_25" localSheetId="82">#REF!</definedName>
    <definedName name="Excel_BuiltIn_Print_Area_59_74_25" localSheetId="31">#REF!</definedName>
    <definedName name="Excel_BuiltIn_Print_Area_59_74_25" localSheetId="30">#REF!</definedName>
    <definedName name="Excel_BuiltIn_Print_Area_59_74_25" localSheetId="14">#REF!</definedName>
    <definedName name="Excel_BuiltIn_Print_Area_59_74_25" localSheetId="38">#REF!</definedName>
    <definedName name="Excel_BuiltIn_Print_Area_59_74_25">#REF!</definedName>
    <definedName name="Excel_BuiltIn_Print_Area_59_74_3" localSheetId="84">#REF!</definedName>
    <definedName name="Excel_BuiltIn_Print_Area_59_74_3" localSheetId="64">#REF!</definedName>
    <definedName name="Excel_BuiltIn_Print_Area_59_74_3" localSheetId="65">#REF!</definedName>
    <definedName name="Excel_BuiltIn_Print_Area_59_74_3" localSheetId="66">#REF!</definedName>
    <definedName name="Excel_BuiltIn_Print_Area_59_74_3" localSheetId="80">#REF!</definedName>
    <definedName name="Excel_BuiltIn_Print_Area_59_74_3" localSheetId="32">#REF!</definedName>
    <definedName name="Excel_BuiltIn_Print_Area_59_74_3" localSheetId="17">#REF!</definedName>
    <definedName name="Excel_BuiltIn_Print_Area_59_74_3" localSheetId="15">#REF!</definedName>
    <definedName name="Excel_BuiltIn_Print_Area_59_74_3" localSheetId="16">#REF!</definedName>
    <definedName name="Excel_BuiltIn_Print_Area_59_74_3" localSheetId="85">#REF!</definedName>
    <definedName name="Excel_BuiltIn_Print_Area_59_74_3" localSheetId="25">#REF!</definedName>
    <definedName name="Excel_BuiltIn_Print_Area_59_74_3" localSheetId="20">#REF!</definedName>
    <definedName name="Excel_BuiltIn_Print_Area_59_74_3" localSheetId="86">#REF!</definedName>
    <definedName name="Excel_BuiltIn_Print_Area_59_74_3" localSheetId="82">#REF!</definedName>
    <definedName name="Excel_BuiltIn_Print_Area_59_74_3" localSheetId="31">#REF!</definedName>
    <definedName name="Excel_BuiltIn_Print_Area_59_74_3" localSheetId="30">#REF!</definedName>
    <definedName name="Excel_BuiltIn_Print_Area_59_74_3" localSheetId="14">#REF!</definedName>
    <definedName name="Excel_BuiltIn_Print_Area_59_74_3" localSheetId="38">#REF!</definedName>
    <definedName name="Excel_BuiltIn_Print_Area_59_74_3">#REF!</definedName>
    <definedName name="Excel_BuiltIn_Print_Area_59_74_4" localSheetId="84">#REF!</definedName>
    <definedName name="Excel_BuiltIn_Print_Area_59_74_4" localSheetId="64">#REF!</definedName>
    <definedName name="Excel_BuiltIn_Print_Area_59_74_4" localSheetId="65">#REF!</definedName>
    <definedName name="Excel_BuiltIn_Print_Area_59_74_4" localSheetId="66">#REF!</definedName>
    <definedName name="Excel_BuiltIn_Print_Area_59_74_4" localSheetId="80">#REF!</definedName>
    <definedName name="Excel_BuiltIn_Print_Area_59_74_4" localSheetId="32">#REF!</definedName>
    <definedName name="Excel_BuiltIn_Print_Area_59_74_4" localSheetId="17">#REF!</definedName>
    <definedName name="Excel_BuiltIn_Print_Area_59_74_4" localSheetId="15">#REF!</definedName>
    <definedName name="Excel_BuiltIn_Print_Area_59_74_4" localSheetId="16">#REF!</definedName>
    <definedName name="Excel_BuiltIn_Print_Area_59_74_4" localSheetId="85">#REF!</definedName>
    <definedName name="Excel_BuiltIn_Print_Area_59_74_4" localSheetId="25">#REF!</definedName>
    <definedName name="Excel_BuiltIn_Print_Area_59_74_4" localSheetId="20">#REF!</definedName>
    <definedName name="Excel_BuiltIn_Print_Area_59_74_4" localSheetId="86">#REF!</definedName>
    <definedName name="Excel_BuiltIn_Print_Area_59_74_4" localSheetId="82">#REF!</definedName>
    <definedName name="Excel_BuiltIn_Print_Area_59_74_4" localSheetId="31">#REF!</definedName>
    <definedName name="Excel_BuiltIn_Print_Area_59_74_4" localSheetId="30">#REF!</definedName>
    <definedName name="Excel_BuiltIn_Print_Area_59_74_4" localSheetId="14">#REF!</definedName>
    <definedName name="Excel_BuiltIn_Print_Area_59_74_4" localSheetId="38">#REF!</definedName>
    <definedName name="Excel_BuiltIn_Print_Area_59_74_4">#REF!</definedName>
    <definedName name="Excel_BuiltIn_Print_Area_59_74_56" localSheetId="84">#REF!</definedName>
    <definedName name="Excel_BuiltIn_Print_Area_59_74_56" localSheetId="64">#REF!</definedName>
    <definedName name="Excel_BuiltIn_Print_Area_59_74_56" localSheetId="65">#REF!</definedName>
    <definedName name="Excel_BuiltIn_Print_Area_59_74_56" localSheetId="66">#REF!</definedName>
    <definedName name="Excel_BuiltIn_Print_Area_59_74_56" localSheetId="80">#REF!</definedName>
    <definedName name="Excel_BuiltIn_Print_Area_59_74_56" localSheetId="32">#REF!</definedName>
    <definedName name="Excel_BuiltIn_Print_Area_59_74_56" localSheetId="17">#REF!</definedName>
    <definedName name="Excel_BuiltIn_Print_Area_59_74_56" localSheetId="15">#REF!</definedName>
    <definedName name="Excel_BuiltIn_Print_Area_59_74_56" localSheetId="16">#REF!</definedName>
    <definedName name="Excel_BuiltIn_Print_Area_59_74_56" localSheetId="85">#REF!</definedName>
    <definedName name="Excel_BuiltIn_Print_Area_59_74_56" localSheetId="25">#REF!</definedName>
    <definedName name="Excel_BuiltIn_Print_Area_59_74_56" localSheetId="20">#REF!</definedName>
    <definedName name="Excel_BuiltIn_Print_Area_59_74_56" localSheetId="86">#REF!</definedName>
    <definedName name="Excel_BuiltIn_Print_Area_59_74_56" localSheetId="82">#REF!</definedName>
    <definedName name="Excel_BuiltIn_Print_Area_59_74_56" localSheetId="31">#REF!</definedName>
    <definedName name="Excel_BuiltIn_Print_Area_59_74_56" localSheetId="30">#REF!</definedName>
    <definedName name="Excel_BuiltIn_Print_Area_59_74_56" localSheetId="14">#REF!</definedName>
    <definedName name="Excel_BuiltIn_Print_Area_59_74_56" localSheetId="38">#REF!</definedName>
    <definedName name="Excel_BuiltIn_Print_Area_59_74_56">#REF!</definedName>
    <definedName name="Excel_BuiltIn_Print_Area_59_74_6" localSheetId="84">#REF!</definedName>
    <definedName name="Excel_BuiltIn_Print_Area_59_74_6" localSheetId="64">#REF!</definedName>
    <definedName name="Excel_BuiltIn_Print_Area_59_74_6" localSheetId="65">#REF!</definedName>
    <definedName name="Excel_BuiltIn_Print_Area_59_74_6" localSheetId="66">#REF!</definedName>
    <definedName name="Excel_BuiltIn_Print_Area_59_74_6" localSheetId="80">#REF!</definedName>
    <definedName name="Excel_BuiltIn_Print_Area_59_74_6" localSheetId="32">#REF!</definedName>
    <definedName name="Excel_BuiltIn_Print_Area_59_74_6" localSheetId="17">#REF!</definedName>
    <definedName name="Excel_BuiltIn_Print_Area_59_74_6" localSheetId="15">#REF!</definedName>
    <definedName name="Excel_BuiltIn_Print_Area_59_74_6" localSheetId="16">#REF!</definedName>
    <definedName name="Excel_BuiltIn_Print_Area_59_74_6" localSheetId="85">#REF!</definedName>
    <definedName name="Excel_BuiltIn_Print_Area_59_74_6" localSheetId="25">#REF!</definedName>
    <definedName name="Excel_BuiltIn_Print_Area_59_74_6" localSheetId="20">#REF!</definedName>
    <definedName name="Excel_BuiltIn_Print_Area_59_74_6" localSheetId="86">#REF!</definedName>
    <definedName name="Excel_BuiltIn_Print_Area_59_74_6" localSheetId="82">#REF!</definedName>
    <definedName name="Excel_BuiltIn_Print_Area_59_74_6" localSheetId="31">#REF!</definedName>
    <definedName name="Excel_BuiltIn_Print_Area_59_74_6" localSheetId="30">#REF!</definedName>
    <definedName name="Excel_BuiltIn_Print_Area_59_74_6" localSheetId="14">#REF!</definedName>
    <definedName name="Excel_BuiltIn_Print_Area_59_74_6" localSheetId="38">#REF!</definedName>
    <definedName name="Excel_BuiltIn_Print_Area_59_74_6">#REF!</definedName>
    <definedName name="Excel_BuiltIn_Print_Area_59_74_66" localSheetId="84">#REF!</definedName>
    <definedName name="Excel_BuiltIn_Print_Area_59_74_66" localSheetId="64">#REF!</definedName>
    <definedName name="Excel_BuiltIn_Print_Area_59_74_66" localSheetId="65">#REF!</definedName>
    <definedName name="Excel_BuiltIn_Print_Area_59_74_66" localSheetId="66">#REF!</definedName>
    <definedName name="Excel_BuiltIn_Print_Area_59_74_66" localSheetId="80">#REF!</definedName>
    <definedName name="Excel_BuiltIn_Print_Area_59_74_66" localSheetId="32">#REF!</definedName>
    <definedName name="Excel_BuiltIn_Print_Area_59_74_66" localSheetId="17">#REF!</definedName>
    <definedName name="Excel_BuiltIn_Print_Area_59_74_66" localSheetId="15">#REF!</definedName>
    <definedName name="Excel_BuiltIn_Print_Area_59_74_66" localSheetId="16">#REF!</definedName>
    <definedName name="Excel_BuiltIn_Print_Area_59_74_66" localSheetId="85">#REF!</definedName>
    <definedName name="Excel_BuiltIn_Print_Area_59_74_66" localSheetId="25">#REF!</definedName>
    <definedName name="Excel_BuiltIn_Print_Area_59_74_66" localSheetId="20">#REF!</definedName>
    <definedName name="Excel_BuiltIn_Print_Area_59_74_66" localSheetId="86">#REF!</definedName>
    <definedName name="Excel_BuiltIn_Print_Area_59_74_66" localSheetId="82">#REF!</definedName>
    <definedName name="Excel_BuiltIn_Print_Area_59_74_66" localSheetId="31">#REF!</definedName>
    <definedName name="Excel_BuiltIn_Print_Area_59_74_66" localSheetId="30">#REF!</definedName>
    <definedName name="Excel_BuiltIn_Print_Area_59_74_66" localSheetId="14">#REF!</definedName>
    <definedName name="Excel_BuiltIn_Print_Area_59_74_66" localSheetId="38">#REF!</definedName>
    <definedName name="Excel_BuiltIn_Print_Area_59_74_66">#REF!</definedName>
    <definedName name="Excel_BuiltIn_Print_Area_59_74_67" localSheetId="84">#REF!</definedName>
    <definedName name="Excel_BuiltIn_Print_Area_59_74_67" localSheetId="64">#REF!</definedName>
    <definedName name="Excel_BuiltIn_Print_Area_59_74_67" localSheetId="65">#REF!</definedName>
    <definedName name="Excel_BuiltIn_Print_Area_59_74_67" localSheetId="66">#REF!</definedName>
    <definedName name="Excel_BuiltIn_Print_Area_59_74_67" localSheetId="80">#REF!</definedName>
    <definedName name="Excel_BuiltIn_Print_Area_59_74_67" localSheetId="32">#REF!</definedName>
    <definedName name="Excel_BuiltIn_Print_Area_59_74_67" localSheetId="17">#REF!</definedName>
    <definedName name="Excel_BuiltIn_Print_Area_59_74_67" localSheetId="15">#REF!</definedName>
    <definedName name="Excel_BuiltIn_Print_Area_59_74_67" localSheetId="16">#REF!</definedName>
    <definedName name="Excel_BuiltIn_Print_Area_59_74_67" localSheetId="85">#REF!</definedName>
    <definedName name="Excel_BuiltIn_Print_Area_59_74_67" localSheetId="25">#REF!</definedName>
    <definedName name="Excel_BuiltIn_Print_Area_59_74_67" localSheetId="20">#REF!</definedName>
    <definedName name="Excel_BuiltIn_Print_Area_59_74_67" localSheetId="86">#REF!</definedName>
    <definedName name="Excel_BuiltIn_Print_Area_59_74_67" localSheetId="82">#REF!</definedName>
    <definedName name="Excel_BuiltIn_Print_Area_59_74_67" localSheetId="31">#REF!</definedName>
    <definedName name="Excel_BuiltIn_Print_Area_59_74_67" localSheetId="30">#REF!</definedName>
    <definedName name="Excel_BuiltIn_Print_Area_59_74_67" localSheetId="14">#REF!</definedName>
    <definedName name="Excel_BuiltIn_Print_Area_59_74_67" localSheetId="38">#REF!</definedName>
    <definedName name="Excel_BuiltIn_Print_Area_59_74_67">#REF!</definedName>
    <definedName name="Excel_BuiltIn_Print_Area_59_74_70" localSheetId="84">#REF!</definedName>
    <definedName name="Excel_BuiltIn_Print_Area_59_74_70" localSheetId="64">#REF!</definedName>
    <definedName name="Excel_BuiltIn_Print_Area_59_74_70" localSheetId="65">#REF!</definedName>
    <definedName name="Excel_BuiltIn_Print_Area_59_74_70" localSheetId="66">#REF!</definedName>
    <definedName name="Excel_BuiltIn_Print_Area_59_74_70" localSheetId="80">#REF!</definedName>
    <definedName name="Excel_BuiltIn_Print_Area_59_74_70" localSheetId="32">#REF!</definedName>
    <definedName name="Excel_BuiltIn_Print_Area_59_74_70" localSheetId="17">#REF!</definedName>
    <definedName name="Excel_BuiltIn_Print_Area_59_74_70" localSheetId="15">#REF!</definedName>
    <definedName name="Excel_BuiltIn_Print_Area_59_74_70" localSheetId="16">#REF!</definedName>
    <definedName name="Excel_BuiltIn_Print_Area_59_74_70" localSheetId="85">#REF!</definedName>
    <definedName name="Excel_BuiltIn_Print_Area_59_74_70" localSheetId="25">#REF!</definedName>
    <definedName name="Excel_BuiltIn_Print_Area_59_74_70" localSheetId="20">#REF!</definedName>
    <definedName name="Excel_BuiltIn_Print_Area_59_74_70" localSheetId="86">#REF!</definedName>
    <definedName name="Excel_BuiltIn_Print_Area_59_74_70" localSheetId="82">#REF!</definedName>
    <definedName name="Excel_BuiltIn_Print_Area_59_74_70" localSheetId="31">#REF!</definedName>
    <definedName name="Excel_BuiltIn_Print_Area_59_74_70" localSheetId="30">#REF!</definedName>
    <definedName name="Excel_BuiltIn_Print_Area_59_74_70" localSheetId="14">#REF!</definedName>
    <definedName name="Excel_BuiltIn_Print_Area_59_74_70" localSheetId="38">#REF!</definedName>
    <definedName name="Excel_BuiltIn_Print_Area_59_74_70">#REF!</definedName>
    <definedName name="Excel_BuiltIn_Print_Area_59_74_71" localSheetId="84">#REF!</definedName>
    <definedName name="Excel_BuiltIn_Print_Area_59_74_71" localSheetId="64">#REF!</definedName>
    <definedName name="Excel_BuiltIn_Print_Area_59_74_71" localSheetId="65">#REF!</definedName>
    <definedName name="Excel_BuiltIn_Print_Area_59_74_71" localSheetId="66">#REF!</definedName>
    <definedName name="Excel_BuiltIn_Print_Area_59_74_71" localSheetId="80">#REF!</definedName>
    <definedName name="Excel_BuiltIn_Print_Area_59_74_71" localSheetId="32">#REF!</definedName>
    <definedName name="Excel_BuiltIn_Print_Area_59_74_71" localSheetId="17">#REF!</definedName>
    <definedName name="Excel_BuiltIn_Print_Area_59_74_71" localSheetId="15">#REF!</definedName>
    <definedName name="Excel_BuiltIn_Print_Area_59_74_71" localSheetId="16">#REF!</definedName>
    <definedName name="Excel_BuiltIn_Print_Area_59_74_71" localSheetId="85">#REF!</definedName>
    <definedName name="Excel_BuiltIn_Print_Area_59_74_71" localSheetId="25">#REF!</definedName>
    <definedName name="Excel_BuiltIn_Print_Area_59_74_71" localSheetId="20">#REF!</definedName>
    <definedName name="Excel_BuiltIn_Print_Area_59_74_71" localSheetId="86">#REF!</definedName>
    <definedName name="Excel_BuiltIn_Print_Area_59_74_71" localSheetId="82">#REF!</definedName>
    <definedName name="Excel_BuiltIn_Print_Area_59_74_71" localSheetId="31">#REF!</definedName>
    <definedName name="Excel_BuiltIn_Print_Area_59_74_71" localSheetId="30">#REF!</definedName>
    <definedName name="Excel_BuiltIn_Print_Area_59_74_71" localSheetId="14">#REF!</definedName>
    <definedName name="Excel_BuiltIn_Print_Area_59_74_71" localSheetId="38">#REF!</definedName>
    <definedName name="Excel_BuiltIn_Print_Area_59_74_71">#REF!</definedName>
    <definedName name="Excel_BuiltIn_Print_Area_59_74_72" localSheetId="84">#REF!</definedName>
    <definedName name="Excel_BuiltIn_Print_Area_59_74_72" localSheetId="64">#REF!</definedName>
    <definedName name="Excel_BuiltIn_Print_Area_59_74_72" localSheetId="65">#REF!</definedName>
    <definedName name="Excel_BuiltIn_Print_Area_59_74_72" localSheetId="66">#REF!</definedName>
    <definedName name="Excel_BuiltIn_Print_Area_59_74_72" localSheetId="80">#REF!</definedName>
    <definedName name="Excel_BuiltIn_Print_Area_59_74_72" localSheetId="32">#REF!</definedName>
    <definedName name="Excel_BuiltIn_Print_Area_59_74_72" localSheetId="17">#REF!</definedName>
    <definedName name="Excel_BuiltIn_Print_Area_59_74_72" localSheetId="15">#REF!</definedName>
    <definedName name="Excel_BuiltIn_Print_Area_59_74_72" localSheetId="16">#REF!</definedName>
    <definedName name="Excel_BuiltIn_Print_Area_59_74_72" localSheetId="85">#REF!</definedName>
    <definedName name="Excel_BuiltIn_Print_Area_59_74_72" localSheetId="25">#REF!</definedName>
    <definedName name="Excel_BuiltIn_Print_Area_59_74_72" localSheetId="20">#REF!</definedName>
    <definedName name="Excel_BuiltIn_Print_Area_59_74_72" localSheetId="86">#REF!</definedName>
    <definedName name="Excel_BuiltIn_Print_Area_59_74_72" localSheetId="82">#REF!</definedName>
    <definedName name="Excel_BuiltIn_Print_Area_59_74_72" localSheetId="31">#REF!</definedName>
    <definedName name="Excel_BuiltIn_Print_Area_59_74_72" localSheetId="30">#REF!</definedName>
    <definedName name="Excel_BuiltIn_Print_Area_59_74_72" localSheetId="14">#REF!</definedName>
    <definedName name="Excel_BuiltIn_Print_Area_59_74_72" localSheetId="38">#REF!</definedName>
    <definedName name="Excel_BuiltIn_Print_Area_59_74_72">#REF!</definedName>
    <definedName name="Excel_BuiltIn_Print_Area_59_74_74" localSheetId="84">#REF!</definedName>
    <definedName name="Excel_BuiltIn_Print_Area_59_74_74" localSheetId="64">#REF!</definedName>
    <definedName name="Excel_BuiltIn_Print_Area_59_74_74" localSheetId="65">#REF!</definedName>
    <definedName name="Excel_BuiltIn_Print_Area_59_74_74" localSheetId="66">#REF!</definedName>
    <definedName name="Excel_BuiltIn_Print_Area_59_74_74" localSheetId="80">#REF!</definedName>
    <definedName name="Excel_BuiltIn_Print_Area_59_74_74" localSheetId="32">#REF!</definedName>
    <definedName name="Excel_BuiltIn_Print_Area_59_74_74" localSheetId="17">#REF!</definedName>
    <definedName name="Excel_BuiltIn_Print_Area_59_74_74" localSheetId="15">#REF!</definedName>
    <definedName name="Excel_BuiltIn_Print_Area_59_74_74" localSheetId="16">#REF!</definedName>
    <definedName name="Excel_BuiltIn_Print_Area_59_74_74" localSheetId="85">#REF!</definedName>
    <definedName name="Excel_BuiltIn_Print_Area_59_74_74" localSheetId="25">#REF!</definedName>
    <definedName name="Excel_BuiltIn_Print_Area_59_74_74" localSheetId="20">#REF!</definedName>
    <definedName name="Excel_BuiltIn_Print_Area_59_74_74" localSheetId="86">#REF!</definedName>
    <definedName name="Excel_BuiltIn_Print_Area_59_74_74" localSheetId="82">#REF!</definedName>
    <definedName name="Excel_BuiltIn_Print_Area_59_74_74" localSheetId="31">#REF!</definedName>
    <definedName name="Excel_BuiltIn_Print_Area_59_74_74" localSheetId="30">#REF!</definedName>
    <definedName name="Excel_BuiltIn_Print_Area_59_74_74" localSheetId="14">#REF!</definedName>
    <definedName name="Excel_BuiltIn_Print_Area_59_74_74" localSheetId="38">#REF!</definedName>
    <definedName name="Excel_BuiltIn_Print_Area_59_74_74">#REF!</definedName>
    <definedName name="Excel_BuiltIn_Print_Area_59_74_9" localSheetId="84">#REF!</definedName>
    <definedName name="Excel_BuiltIn_Print_Area_59_74_9" localSheetId="64">#REF!</definedName>
    <definedName name="Excel_BuiltIn_Print_Area_59_74_9" localSheetId="65">#REF!</definedName>
    <definedName name="Excel_BuiltIn_Print_Area_59_74_9" localSheetId="66">#REF!</definedName>
    <definedName name="Excel_BuiltIn_Print_Area_59_74_9" localSheetId="80">#REF!</definedName>
    <definedName name="Excel_BuiltIn_Print_Area_59_74_9" localSheetId="32">#REF!</definedName>
    <definedName name="Excel_BuiltIn_Print_Area_59_74_9" localSheetId="17">#REF!</definedName>
    <definedName name="Excel_BuiltIn_Print_Area_59_74_9" localSheetId="15">#REF!</definedName>
    <definedName name="Excel_BuiltIn_Print_Area_59_74_9" localSheetId="16">#REF!</definedName>
    <definedName name="Excel_BuiltIn_Print_Area_59_74_9" localSheetId="85">#REF!</definedName>
    <definedName name="Excel_BuiltIn_Print_Area_59_74_9" localSheetId="25">#REF!</definedName>
    <definedName name="Excel_BuiltIn_Print_Area_59_74_9" localSheetId="20">#REF!</definedName>
    <definedName name="Excel_BuiltIn_Print_Area_59_74_9" localSheetId="86">#REF!</definedName>
    <definedName name="Excel_BuiltIn_Print_Area_59_74_9" localSheetId="82">#REF!</definedName>
    <definedName name="Excel_BuiltIn_Print_Area_59_74_9" localSheetId="31">#REF!</definedName>
    <definedName name="Excel_BuiltIn_Print_Area_59_74_9" localSheetId="30">#REF!</definedName>
    <definedName name="Excel_BuiltIn_Print_Area_59_74_9" localSheetId="14">#REF!</definedName>
    <definedName name="Excel_BuiltIn_Print_Area_59_74_9" localSheetId="38">#REF!</definedName>
    <definedName name="Excel_BuiltIn_Print_Area_59_74_9">#REF!</definedName>
    <definedName name="Excel_BuiltIn_Print_Area_59_9" localSheetId="84">#REF!</definedName>
    <definedName name="Excel_BuiltIn_Print_Area_59_9" localSheetId="64">#REF!</definedName>
    <definedName name="Excel_BuiltIn_Print_Area_59_9" localSheetId="65">#REF!</definedName>
    <definedName name="Excel_BuiltIn_Print_Area_59_9" localSheetId="66">#REF!</definedName>
    <definedName name="Excel_BuiltIn_Print_Area_59_9" localSheetId="80">#REF!</definedName>
    <definedName name="Excel_BuiltIn_Print_Area_59_9" localSheetId="32">#REF!</definedName>
    <definedName name="Excel_BuiltIn_Print_Area_59_9" localSheetId="17">#REF!</definedName>
    <definedName name="Excel_BuiltIn_Print_Area_59_9" localSheetId="15">#REF!</definedName>
    <definedName name="Excel_BuiltIn_Print_Area_59_9" localSheetId="16">#REF!</definedName>
    <definedName name="Excel_BuiltIn_Print_Area_59_9" localSheetId="85">#REF!</definedName>
    <definedName name="Excel_BuiltIn_Print_Area_59_9" localSheetId="25">#REF!</definedName>
    <definedName name="Excel_BuiltIn_Print_Area_59_9" localSheetId="20">#REF!</definedName>
    <definedName name="Excel_BuiltIn_Print_Area_59_9" localSheetId="86">#REF!</definedName>
    <definedName name="Excel_BuiltIn_Print_Area_59_9" localSheetId="82">#REF!</definedName>
    <definedName name="Excel_BuiltIn_Print_Area_59_9" localSheetId="31">#REF!</definedName>
    <definedName name="Excel_BuiltIn_Print_Area_59_9" localSheetId="30">#REF!</definedName>
    <definedName name="Excel_BuiltIn_Print_Area_59_9" localSheetId="14">#REF!</definedName>
    <definedName name="Excel_BuiltIn_Print_Area_59_9" localSheetId="38">#REF!</definedName>
    <definedName name="Excel_BuiltIn_Print_Area_59_9">#REF!</definedName>
    <definedName name="ff" localSheetId="84">'А 2018'!ff</definedName>
    <definedName name="ff" localSheetId="66">#N/A</definedName>
    <definedName name="ff" localSheetId="55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8">#N/A</definedName>
    <definedName name="ff" localSheetId="17">#N/A</definedName>
    <definedName name="ff" localSheetId="15">#N/A</definedName>
    <definedName name="ff" localSheetId="16">#N/A</definedName>
    <definedName name="ff" localSheetId="85">#N/A</definedName>
    <definedName name="ff" localSheetId="25">#N/A</definedName>
    <definedName name="ff" localSheetId="20">#N/A</definedName>
    <definedName name="ff" localSheetId="86">'рез к 2017-2023'!ff</definedName>
    <definedName name="ff" localSheetId="82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84">'А 2018'!ff</definedName>
    <definedName name="ff_10" localSheetId="66">'выпадающие расходы'!ff</definedName>
    <definedName name="ff_10" localSheetId="55">'ЗП с факт 3 кв. 2015'!ff</definedName>
    <definedName name="ff_10" localSheetId="24">'ПОЛНАЯ СЕБЕСТОИМОСТЬ ВОДА 2023'!ff</definedName>
    <definedName name="ff_10" localSheetId="22">'ПОЛНАЯ СЕБЕСТОИМОСТЬ СТОКИ 2023'!ff</definedName>
    <definedName name="ff_10" localSheetId="19">'Прил. 1 План ФХД вода 2023'!ff</definedName>
    <definedName name="ff_10" localSheetId="18">'Прил. 1 План ФХД стоки 2023'!ff</definedName>
    <definedName name="ff_10" localSheetId="17">'Прил. 1 План ФХД трансп. воды23'!ff</definedName>
    <definedName name="ff_10" localSheetId="15">'Прил.1 ПланФХД с транспортир.23'!ff</definedName>
    <definedName name="ff_10" localSheetId="16">'Прил.1 ПланФХД трансп. стоков23'!ff</definedName>
    <definedName name="ff_10" localSheetId="85">'Расчет товарной выручки 2018'!ff</definedName>
    <definedName name="ff_10" localSheetId="25">'Расчет товарной выручки 2019'!ff</definedName>
    <definedName name="ff_10" localSheetId="20">'Расчет товарной выручки 2023'!ff</definedName>
    <definedName name="ff_10" localSheetId="86">'рез к 2017-2023'!ff</definedName>
    <definedName name="ff_10" localSheetId="82">'рез к 2018-2024 (кор) '!ff</definedName>
    <definedName name="ff_10" localSheetId="13">'Текущий ремонт'!ff</definedName>
    <definedName name="ff_10" localSheetId="23">'ФАКТ.СЕБЕСТ.ВОДА за 1 пол. 2023'!ff</definedName>
    <definedName name="ff_10" localSheetId="21">'ФАКТ.СЕБЕСТ.СТОКИ за 1 пол.2023'!ff</definedName>
    <definedName name="ff_10" localSheetId="14">'Чистая прибыль с транспортир.23'!ff</definedName>
    <definedName name="ff_10">[0]!ff</definedName>
    <definedName name="ff_14" localSheetId="84">'А 2018'!ff</definedName>
    <definedName name="ff_14" localSheetId="66">'выпадающие расходы'!ff</definedName>
    <definedName name="ff_14" localSheetId="55">'ЗП с факт 3 кв. 2015'!ff</definedName>
    <definedName name="ff_14" localSheetId="24">'ПОЛНАЯ СЕБЕСТОИМОСТЬ ВОДА 2023'!ff</definedName>
    <definedName name="ff_14" localSheetId="22">'ПОЛНАЯ СЕБЕСТОИМОСТЬ СТОКИ 2023'!ff</definedName>
    <definedName name="ff_14" localSheetId="19">'Прил. 1 План ФХД вода 2023'!ff</definedName>
    <definedName name="ff_14" localSheetId="18">'Прил. 1 План ФХД стоки 2023'!ff</definedName>
    <definedName name="ff_14" localSheetId="17">'Прил. 1 План ФХД трансп. воды23'!ff</definedName>
    <definedName name="ff_14" localSheetId="15">'Прил.1 ПланФХД с транспортир.23'!ff</definedName>
    <definedName name="ff_14" localSheetId="16">'Прил.1 ПланФХД трансп. стоков23'!ff</definedName>
    <definedName name="ff_14" localSheetId="85">'Расчет товарной выручки 2018'!ff</definedName>
    <definedName name="ff_14" localSheetId="25">'Расчет товарной выручки 2019'!ff</definedName>
    <definedName name="ff_14" localSheetId="20">'Расчет товарной выручки 2023'!ff</definedName>
    <definedName name="ff_14" localSheetId="86">'рез к 2017-2023'!ff</definedName>
    <definedName name="ff_14" localSheetId="82">'рез к 2018-2024 (кор) '!ff</definedName>
    <definedName name="ff_14" localSheetId="13">'Текущий ремонт'!ff</definedName>
    <definedName name="ff_14" localSheetId="23">'ФАКТ.СЕБЕСТ.ВОДА за 1 пол. 2023'!ff</definedName>
    <definedName name="ff_14" localSheetId="21">'ФАКТ.СЕБЕСТ.СТОКИ за 1 пол.2023'!ff</definedName>
    <definedName name="ff_14" localSheetId="14">'Чистая прибыль с транспортир.23'!ff</definedName>
    <definedName name="ff_14">[0]!ff</definedName>
    <definedName name="ff_15" localSheetId="84">'А 2018'!ff</definedName>
    <definedName name="ff_15" localSheetId="66">'выпадающие расходы'!ff</definedName>
    <definedName name="ff_15" localSheetId="55">'ЗП с факт 3 кв. 2015'!ff</definedName>
    <definedName name="ff_15" localSheetId="24">'ПОЛНАЯ СЕБЕСТОИМОСТЬ ВОДА 2023'!ff</definedName>
    <definedName name="ff_15" localSheetId="22">'ПОЛНАЯ СЕБЕСТОИМОСТЬ СТОКИ 2023'!ff</definedName>
    <definedName name="ff_15" localSheetId="19">'Прил. 1 План ФХД вода 2023'!ff</definedName>
    <definedName name="ff_15" localSheetId="18">'Прил. 1 План ФХД стоки 2023'!ff</definedName>
    <definedName name="ff_15" localSheetId="17">'Прил. 1 План ФХД трансп. воды23'!ff</definedName>
    <definedName name="ff_15" localSheetId="15">'Прил.1 ПланФХД с транспортир.23'!ff</definedName>
    <definedName name="ff_15" localSheetId="16">'Прил.1 ПланФХД трансп. стоков23'!ff</definedName>
    <definedName name="ff_15" localSheetId="85">'Расчет товарной выручки 2018'!ff</definedName>
    <definedName name="ff_15" localSheetId="25">'Расчет товарной выручки 2019'!ff</definedName>
    <definedName name="ff_15" localSheetId="20">'Расчет товарной выручки 2023'!ff</definedName>
    <definedName name="ff_15" localSheetId="86">'рез к 2017-2023'!ff</definedName>
    <definedName name="ff_15" localSheetId="82">'рез к 2018-2024 (кор) '!ff</definedName>
    <definedName name="ff_15" localSheetId="13">'Текущий ремонт'!ff</definedName>
    <definedName name="ff_15" localSheetId="23">'ФАКТ.СЕБЕСТ.ВОДА за 1 пол. 2023'!ff</definedName>
    <definedName name="ff_15" localSheetId="21">'ФАКТ.СЕБЕСТ.СТОКИ за 1 пол.2023'!ff</definedName>
    <definedName name="ff_15" localSheetId="14">'Чистая прибыль с транспортир.23'!ff</definedName>
    <definedName name="ff_15">[0]!ff</definedName>
    <definedName name="ff_16" localSheetId="84">'А 2018'!ff</definedName>
    <definedName name="ff_16" localSheetId="66">'выпадающие расходы'!ff</definedName>
    <definedName name="ff_16" localSheetId="55">'ЗП с факт 3 кв. 2015'!ff</definedName>
    <definedName name="ff_16" localSheetId="24">'ПОЛНАЯ СЕБЕСТОИМОСТЬ ВОДА 2023'!ff</definedName>
    <definedName name="ff_16" localSheetId="22">'ПОЛНАЯ СЕБЕСТОИМОСТЬ СТОКИ 2023'!ff</definedName>
    <definedName name="ff_16" localSheetId="19">'Прил. 1 План ФХД вода 2023'!ff</definedName>
    <definedName name="ff_16" localSheetId="18">'Прил. 1 План ФХД стоки 2023'!ff</definedName>
    <definedName name="ff_16" localSheetId="17">'Прил. 1 План ФХД трансп. воды23'!ff</definedName>
    <definedName name="ff_16" localSheetId="15">'Прил.1 ПланФХД с транспортир.23'!ff</definedName>
    <definedName name="ff_16" localSheetId="16">'Прил.1 ПланФХД трансп. стоков23'!ff</definedName>
    <definedName name="ff_16" localSheetId="85">'Расчет товарной выручки 2018'!ff</definedName>
    <definedName name="ff_16" localSheetId="25">'Расчет товарной выручки 2019'!ff</definedName>
    <definedName name="ff_16" localSheetId="20">'Расчет товарной выручки 2023'!ff</definedName>
    <definedName name="ff_16" localSheetId="86">'рез к 2017-2023'!ff</definedName>
    <definedName name="ff_16" localSheetId="82">'рез к 2018-2024 (кор) '!ff</definedName>
    <definedName name="ff_16" localSheetId="13">'Текущий ремонт'!ff</definedName>
    <definedName name="ff_16" localSheetId="23">'ФАКТ.СЕБЕСТ.ВОДА за 1 пол. 2023'!ff</definedName>
    <definedName name="ff_16" localSheetId="21">'ФАКТ.СЕБЕСТ.СТОКИ за 1 пол.2023'!ff</definedName>
    <definedName name="ff_16" localSheetId="14">'Чистая прибыль с транспортир.23'!ff</definedName>
    <definedName name="ff_16">[0]!ff</definedName>
    <definedName name="ff_2" localSheetId="84">'А 2018'!ff</definedName>
    <definedName name="ff_2" localSheetId="66">'выпадающие расходы'!ff</definedName>
    <definedName name="ff_2" localSheetId="55">'ЗП с факт 3 кв. 2015'!ff</definedName>
    <definedName name="ff_2" localSheetId="24">'ПОЛНАЯ СЕБЕСТОИМОСТЬ ВОДА 2023'!ff</definedName>
    <definedName name="ff_2" localSheetId="22">'ПОЛНАЯ СЕБЕСТОИМОСТЬ СТОКИ 2023'!ff</definedName>
    <definedName name="ff_2" localSheetId="19">'Прил. 1 План ФХД вода 2023'!ff</definedName>
    <definedName name="ff_2" localSheetId="18">'Прил. 1 План ФХД стоки 2023'!ff</definedName>
    <definedName name="ff_2" localSheetId="17">'Прил. 1 План ФХД трансп. воды23'!ff</definedName>
    <definedName name="ff_2" localSheetId="15">'Прил.1 ПланФХД с транспортир.23'!ff</definedName>
    <definedName name="ff_2" localSheetId="16">'Прил.1 ПланФХД трансп. стоков23'!ff</definedName>
    <definedName name="ff_2" localSheetId="85">'Расчет товарной выручки 2018'!ff</definedName>
    <definedName name="ff_2" localSheetId="25">'Расчет товарной выручки 2019'!ff</definedName>
    <definedName name="ff_2" localSheetId="20">'Расчет товарной выручки 2023'!ff</definedName>
    <definedName name="ff_2" localSheetId="86">'рез к 2017-2023'!ff</definedName>
    <definedName name="ff_2" localSheetId="82">'рез к 2018-2024 (кор) '!ff</definedName>
    <definedName name="ff_2" localSheetId="13">'Текущий ремонт'!ff</definedName>
    <definedName name="ff_2" localSheetId="23">'ФАКТ.СЕБЕСТ.ВОДА за 1 пол. 2023'!ff</definedName>
    <definedName name="ff_2" localSheetId="21">'ФАКТ.СЕБЕСТ.СТОКИ за 1 пол.2023'!ff</definedName>
    <definedName name="ff_2" localSheetId="14">'Чистая прибыль с транспортир.23'!ff</definedName>
    <definedName name="ff_2">[0]!ff</definedName>
    <definedName name="fsF" localSheetId="84">[5]Список!$J$2</definedName>
    <definedName name="fsF" localSheetId="66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8">[7]Список!$J$2</definedName>
    <definedName name="fsF" localSheetId="17">[7]Список!$J$2</definedName>
    <definedName name="fsF" localSheetId="15">[7]Список!$J$2</definedName>
    <definedName name="fsF" localSheetId="16">[7]Список!$J$2</definedName>
    <definedName name="fsF" localSheetId="85">[6]Список!$J$2</definedName>
    <definedName name="fsF" localSheetId="25">[7]Список!$J$2</definedName>
    <definedName name="fsF" localSheetId="20">[6]Список!$J$2</definedName>
    <definedName name="fsF" localSheetId="86">[6]Список!$J$2</definedName>
    <definedName name="fsF" localSheetId="82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84">'А 2018'!ggg</definedName>
    <definedName name="ggg" localSheetId="66">#N/A</definedName>
    <definedName name="ggg" localSheetId="55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8">#N/A</definedName>
    <definedName name="ggg" localSheetId="17">#N/A</definedName>
    <definedName name="ggg" localSheetId="15">#N/A</definedName>
    <definedName name="ggg" localSheetId="16">#N/A</definedName>
    <definedName name="ggg" localSheetId="85">#N/A</definedName>
    <definedName name="ggg" localSheetId="25">#N/A</definedName>
    <definedName name="ggg" localSheetId="20">#N/A</definedName>
    <definedName name="ggg" localSheetId="86">'рез к 2017-2023'!ggg</definedName>
    <definedName name="ggg" localSheetId="82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84">'А 2018'!ggg</definedName>
    <definedName name="ggg_10" localSheetId="66">'выпадающие расходы'!ggg</definedName>
    <definedName name="ggg_10" localSheetId="55">'ЗП с факт 3 кв. 2015'!ggg</definedName>
    <definedName name="ggg_10" localSheetId="24">'ПОЛНАЯ СЕБЕСТОИМОСТЬ ВОДА 2023'!ggg</definedName>
    <definedName name="ggg_10" localSheetId="22">'ПОЛНАЯ СЕБЕСТОИМОСТЬ СТОКИ 2023'!ggg</definedName>
    <definedName name="ggg_10" localSheetId="19">'Прил. 1 План ФХД вода 2023'!ggg</definedName>
    <definedName name="ggg_10" localSheetId="18">'Прил. 1 План ФХД стоки 2023'!ggg</definedName>
    <definedName name="ggg_10" localSheetId="17">'Прил. 1 План ФХД трансп. воды23'!ggg</definedName>
    <definedName name="ggg_10" localSheetId="15">'Прил.1 ПланФХД с транспортир.23'!ggg</definedName>
    <definedName name="ggg_10" localSheetId="16">'Прил.1 ПланФХД трансп. стоков23'!ggg</definedName>
    <definedName name="ggg_10" localSheetId="85">'Расчет товарной выручки 2018'!ggg</definedName>
    <definedName name="ggg_10" localSheetId="25">'Расчет товарной выручки 2019'!ggg</definedName>
    <definedName name="ggg_10" localSheetId="20">'Расчет товарной выручки 2023'!ggg</definedName>
    <definedName name="ggg_10" localSheetId="86">'рез к 2017-2023'!ggg</definedName>
    <definedName name="ggg_10" localSheetId="82">'рез к 2018-2024 (кор) '!ggg</definedName>
    <definedName name="ggg_10" localSheetId="13">'Текущий ремонт'!ggg</definedName>
    <definedName name="ggg_10" localSheetId="23">'ФАКТ.СЕБЕСТ.ВОДА за 1 пол. 2023'!ggg</definedName>
    <definedName name="ggg_10" localSheetId="21">'ФАКТ.СЕБЕСТ.СТОКИ за 1 пол.2023'!ggg</definedName>
    <definedName name="ggg_10" localSheetId="14">'Чистая прибыль с транспортир.23'!ggg</definedName>
    <definedName name="ggg_10">[0]!ggg</definedName>
    <definedName name="ggg_14" localSheetId="84">'А 2018'!ggg</definedName>
    <definedName name="ggg_14" localSheetId="66">'выпадающие расходы'!ggg</definedName>
    <definedName name="ggg_14" localSheetId="55">'ЗП с факт 3 кв. 2015'!ggg</definedName>
    <definedName name="ggg_14" localSheetId="24">'ПОЛНАЯ СЕБЕСТОИМОСТЬ ВОДА 2023'!ggg</definedName>
    <definedName name="ggg_14" localSheetId="22">'ПОЛНАЯ СЕБЕСТОИМОСТЬ СТОКИ 2023'!ggg</definedName>
    <definedName name="ggg_14" localSheetId="19">'Прил. 1 План ФХД вода 2023'!ggg</definedName>
    <definedName name="ggg_14" localSheetId="18">'Прил. 1 План ФХД стоки 2023'!ggg</definedName>
    <definedName name="ggg_14" localSheetId="17">'Прил. 1 План ФХД трансп. воды23'!ggg</definedName>
    <definedName name="ggg_14" localSheetId="15">'Прил.1 ПланФХД с транспортир.23'!ggg</definedName>
    <definedName name="ggg_14" localSheetId="16">'Прил.1 ПланФХД трансп. стоков23'!ggg</definedName>
    <definedName name="ggg_14" localSheetId="85">'Расчет товарной выручки 2018'!ggg</definedName>
    <definedName name="ggg_14" localSheetId="25">'Расчет товарной выручки 2019'!ggg</definedName>
    <definedName name="ggg_14" localSheetId="20">'Расчет товарной выручки 2023'!ggg</definedName>
    <definedName name="ggg_14" localSheetId="86">'рез к 2017-2023'!ggg</definedName>
    <definedName name="ggg_14" localSheetId="82">'рез к 2018-2024 (кор) '!ggg</definedName>
    <definedName name="ggg_14" localSheetId="13">'Текущий ремонт'!ggg</definedName>
    <definedName name="ggg_14" localSheetId="23">'ФАКТ.СЕБЕСТ.ВОДА за 1 пол. 2023'!ggg</definedName>
    <definedName name="ggg_14" localSheetId="21">'ФАКТ.СЕБЕСТ.СТОКИ за 1 пол.2023'!ggg</definedName>
    <definedName name="ggg_14" localSheetId="14">'Чистая прибыль с транспортир.23'!ggg</definedName>
    <definedName name="ggg_14">[0]!ggg</definedName>
    <definedName name="ggg_15" localSheetId="84">'А 2018'!ggg</definedName>
    <definedName name="ggg_15" localSheetId="66">'выпадающие расходы'!ggg</definedName>
    <definedName name="ggg_15" localSheetId="55">'ЗП с факт 3 кв. 2015'!ggg</definedName>
    <definedName name="ggg_15" localSheetId="24">'ПОЛНАЯ СЕБЕСТОИМОСТЬ ВОДА 2023'!ggg</definedName>
    <definedName name="ggg_15" localSheetId="22">'ПОЛНАЯ СЕБЕСТОИМОСТЬ СТОКИ 2023'!ggg</definedName>
    <definedName name="ggg_15" localSheetId="19">'Прил. 1 План ФХД вода 2023'!ggg</definedName>
    <definedName name="ggg_15" localSheetId="18">'Прил. 1 План ФХД стоки 2023'!ggg</definedName>
    <definedName name="ggg_15" localSheetId="17">'Прил. 1 План ФХД трансп. воды23'!ggg</definedName>
    <definedName name="ggg_15" localSheetId="15">'Прил.1 ПланФХД с транспортир.23'!ggg</definedName>
    <definedName name="ggg_15" localSheetId="16">'Прил.1 ПланФХД трансп. стоков23'!ggg</definedName>
    <definedName name="ggg_15" localSheetId="85">'Расчет товарной выручки 2018'!ggg</definedName>
    <definedName name="ggg_15" localSheetId="25">'Расчет товарной выручки 2019'!ggg</definedName>
    <definedName name="ggg_15" localSheetId="20">'Расчет товарной выручки 2023'!ggg</definedName>
    <definedName name="ggg_15" localSheetId="86">'рез к 2017-2023'!ggg</definedName>
    <definedName name="ggg_15" localSheetId="82">'рез к 2018-2024 (кор) '!ggg</definedName>
    <definedName name="ggg_15" localSheetId="13">'Текущий ремонт'!ggg</definedName>
    <definedName name="ggg_15" localSheetId="23">'ФАКТ.СЕБЕСТ.ВОДА за 1 пол. 2023'!ggg</definedName>
    <definedName name="ggg_15" localSheetId="21">'ФАКТ.СЕБЕСТ.СТОКИ за 1 пол.2023'!ggg</definedName>
    <definedName name="ggg_15" localSheetId="14">'Чистая прибыль с транспортир.23'!ggg</definedName>
    <definedName name="ggg_15">[0]!ggg</definedName>
    <definedName name="ggg_16" localSheetId="84">'А 2018'!ggg</definedName>
    <definedName name="ggg_16" localSheetId="66">'выпадающие расходы'!ggg</definedName>
    <definedName name="ggg_16" localSheetId="55">'ЗП с факт 3 кв. 2015'!ggg</definedName>
    <definedName name="ggg_16" localSheetId="24">'ПОЛНАЯ СЕБЕСТОИМОСТЬ ВОДА 2023'!ggg</definedName>
    <definedName name="ggg_16" localSheetId="22">'ПОЛНАЯ СЕБЕСТОИМОСТЬ СТОКИ 2023'!ggg</definedName>
    <definedName name="ggg_16" localSheetId="19">'Прил. 1 План ФХД вода 2023'!ggg</definedName>
    <definedName name="ggg_16" localSheetId="18">'Прил. 1 План ФХД стоки 2023'!ggg</definedName>
    <definedName name="ggg_16" localSheetId="17">'Прил. 1 План ФХД трансп. воды23'!ggg</definedName>
    <definedName name="ggg_16" localSheetId="15">'Прил.1 ПланФХД с транспортир.23'!ggg</definedName>
    <definedName name="ggg_16" localSheetId="16">'Прил.1 ПланФХД трансп. стоков23'!ggg</definedName>
    <definedName name="ggg_16" localSheetId="85">'Расчет товарной выручки 2018'!ggg</definedName>
    <definedName name="ggg_16" localSheetId="25">'Расчет товарной выручки 2019'!ggg</definedName>
    <definedName name="ggg_16" localSheetId="20">'Расчет товарной выручки 2023'!ggg</definedName>
    <definedName name="ggg_16" localSheetId="86">'рез к 2017-2023'!ggg</definedName>
    <definedName name="ggg_16" localSheetId="82">'рез к 2018-2024 (кор) '!ggg</definedName>
    <definedName name="ggg_16" localSheetId="13">'Текущий ремонт'!ggg</definedName>
    <definedName name="ggg_16" localSheetId="23">'ФАКТ.СЕБЕСТ.ВОДА за 1 пол. 2023'!ggg</definedName>
    <definedName name="ggg_16" localSheetId="21">'ФАКТ.СЕБЕСТ.СТОКИ за 1 пол.2023'!ggg</definedName>
    <definedName name="ggg_16" localSheetId="14">'Чистая прибыль с транспортир.23'!ggg</definedName>
    <definedName name="ggg_16">[0]!ggg</definedName>
    <definedName name="ggg_2" localSheetId="84">'А 2018'!ggg</definedName>
    <definedName name="ggg_2" localSheetId="66">'выпадающие расходы'!ggg</definedName>
    <definedName name="ggg_2" localSheetId="55">'ЗП с факт 3 кв. 2015'!ggg</definedName>
    <definedName name="ggg_2" localSheetId="24">'ПОЛНАЯ СЕБЕСТОИМОСТЬ ВОДА 2023'!ggg</definedName>
    <definedName name="ggg_2" localSheetId="22">'ПОЛНАЯ СЕБЕСТОИМОСТЬ СТОКИ 2023'!ggg</definedName>
    <definedName name="ggg_2" localSheetId="19">'Прил. 1 План ФХД вода 2023'!ggg</definedName>
    <definedName name="ggg_2" localSheetId="18">'Прил. 1 План ФХД стоки 2023'!ggg</definedName>
    <definedName name="ggg_2" localSheetId="17">'Прил. 1 План ФХД трансп. воды23'!ggg</definedName>
    <definedName name="ggg_2" localSheetId="15">'Прил.1 ПланФХД с транспортир.23'!ggg</definedName>
    <definedName name="ggg_2" localSheetId="16">'Прил.1 ПланФХД трансп. стоков23'!ggg</definedName>
    <definedName name="ggg_2" localSheetId="85">'Расчет товарной выручки 2018'!ggg</definedName>
    <definedName name="ggg_2" localSheetId="25">'Расчет товарной выручки 2019'!ggg</definedName>
    <definedName name="ggg_2" localSheetId="20">'Расчет товарной выручки 2023'!ggg</definedName>
    <definedName name="ggg_2" localSheetId="86">'рез к 2017-2023'!ggg</definedName>
    <definedName name="ggg_2" localSheetId="82">'рез к 2018-2024 (кор) '!ggg</definedName>
    <definedName name="ggg_2" localSheetId="13">'Текущий ремонт'!ggg</definedName>
    <definedName name="ggg_2" localSheetId="23">'ФАКТ.СЕБЕСТ.ВОДА за 1 пол. 2023'!ggg</definedName>
    <definedName name="ggg_2" localSheetId="21">'ФАКТ.СЕБЕСТ.СТОКИ за 1 пол.2023'!ggg</definedName>
    <definedName name="ggg_2" localSheetId="14">'Чистая прибыль с транспортир.23'!ggg</definedName>
    <definedName name="ggg_2">[0]!ggg</definedName>
    <definedName name="kind_of_activity">[14]TEHSHEET!$B$19:$B$23</definedName>
    <definedName name="Pi1_1" localSheetId="84">'А 2018'!_Pi1</definedName>
    <definedName name="Pi1_1" localSheetId="66">'выпадающие расходы'!_Pi1</definedName>
    <definedName name="Pi1_1" localSheetId="55">'ЗП с факт 3 кв. 2015'!_Pi1</definedName>
    <definedName name="Pi1_1" localSheetId="24">'ПОЛНАЯ СЕБЕСТОИМОСТЬ ВОДА 2023'!_Pi1</definedName>
    <definedName name="Pi1_1" localSheetId="22">'ПОЛНАЯ СЕБЕСТОИМОСТЬ СТОКИ 2023'!_Pi1</definedName>
    <definedName name="Pi1_1" localSheetId="19">'Прил. 1 План ФХД вода 2023'!_Pi1</definedName>
    <definedName name="Pi1_1" localSheetId="18">'Прил. 1 План ФХД стоки 2023'!_Pi1</definedName>
    <definedName name="Pi1_1" localSheetId="17">'Прил. 1 План ФХД трансп. воды23'!_Pi1</definedName>
    <definedName name="Pi1_1" localSheetId="15">'Прил.1 ПланФХД с транспортир.23'!_Pi1</definedName>
    <definedName name="Pi1_1" localSheetId="16">'Прил.1 ПланФХД трансп. стоков23'!_Pi1</definedName>
    <definedName name="Pi1_1" localSheetId="85">'Расчет товарной выручки 2018'!_Pi1</definedName>
    <definedName name="Pi1_1" localSheetId="25">'Расчет товарной выручки 2019'!_Pi1</definedName>
    <definedName name="Pi1_1" localSheetId="20">'Расчет товарной выручки 2023'!_Pi1</definedName>
    <definedName name="Pi1_1" localSheetId="86">'рез к 2017-2023'!_Pi1</definedName>
    <definedName name="Pi1_1" localSheetId="82">'рез к 2018-2024 (кор) '!_Pi1</definedName>
    <definedName name="Pi1_1" localSheetId="13">'Текущий ремонт'!_Pi1</definedName>
    <definedName name="Pi1_1" localSheetId="23">'ФАКТ.СЕБЕСТ.ВОДА за 1 пол. 2023'!_Pi1</definedName>
    <definedName name="Pi1_1" localSheetId="21">'ФАКТ.СЕБЕСТ.СТОКИ за 1 пол.2023'!_Pi1</definedName>
    <definedName name="Pi1_1" localSheetId="14">'Чистая прибыль с транспортир.23'!_Pi1</definedName>
    <definedName name="Pi1_1">[0]!_Pi1</definedName>
    <definedName name="Pi1_10" localSheetId="84">'А 2018'!_Pi1</definedName>
    <definedName name="Pi1_10" localSheetId="66">'выпадающие расходы'!_Pi1</definedName>
    <definedName name="Pi1_10" localSheetId="55">'ЗП с факт 3 кв. 2015'!_Pi1</definedName>
    <definedName name="Pi1_10" localSheetId="24">'ПОЛНАЯ СЕБЕСТОИМОСТЬ ВОДА 2023'!_Pi1</definedName>
    <definedName name="Pi1_10" localSheetId="22">'ПОЛНАЯ СЕБЕСТОИМОСТЬ СТОКИ 2023'!_Pi1</definedName>
    <definedName name="Pi1_10" localSheetId="19">'Прил. 1 План ФХД вода 2023'!_Pi1</definedName>
    <definedName name="Pi1_10" localSheetId="18">'Прил. 1 План ФХД стоки 2023'!_Pi1</definedName>
    <definedName name="Pi1_10" localSheetId="17">'Прил. 1 План ФХД трансп. воды23'!_Pi1</definedName>
    <definedName name="Pi1_10" localSheetId="15">'Прил.1 ПланФХД с транспортир.23'!_Pi1</definedName>
    <definedName name="Pi1_10" localSheetId="16">'Прил.1 ПланФХД трансп. стоков23'!_Pi1</definedName>
    <definedName name="Pi1_10" localSheetId="85">'Расчет товарной выручки 2018'!_Pi1</definedName>
    <definedName name="Pi1_10" localSheetId="25">'Расчет товарной выручки 2019'!_Pi1</definedName>
    <definedName name="Pi1_10" localSheetId="20">'Расчет товарной выручки 2023'!_Pi1</definedName>
    <definedName name="Pi1_10" localSheetId="86">'рез к 2017-2023'!_Pi1</definedName>
    <definedName name="Pi1_10" localSheetId="82">'рез к 2018-2024 (кор) '!_Pi1</definedName>
    <definedName name="Pi1_10" localSheetId="13">'Текущий ремонт'!_Pi1</definedName>
    <definedName name="Pi1_10" localSheetId="23">'ФАКТ.СЕБЕСТ.ВОДА за 1 пол. 2023'!_Pi1</definedName>
    <definedName name="Pi1_10" localSheetId="21">'ФАКТ.СЕБЕСТ.СТОКИ за 1 пол.2023'!_Pi1</definedName>
    <definedName name="Pi1_10" localSheetId="14">'Чистая прибыль с транспортир.23'!_Pi1</definedName>
    <definedName name="Pi1_10">[0]!_Pi1</definedName>
    <definedName name="Pi1_11" localSheetId="84">'А 2018'!_Pi1</definedName>
    <definedName name="Pi1_11" localSheetId="66">'выпадающие расходы'!_Pi1</definedName>
    <definedName name="Pi1_11" localSheetId="55">'ЗП с факт 3 кв. 2015'!_Pi1</definedName>
    <definedName name="Pi1_11" localSheetId="24">'ПОЛНАЯ СЕБЕСТОИМОСТЬ ВОДА 2023'!_Pi1</definedName>
    <definedName name="Pi1_11" localSheetId="22">'ПОЛНАЯ СЕБЕСТОИМОСТЬ СТОКИ 2023'!_Pi1</definedName>
    <definedName name="Pi1_11" localSheetId="19">'Прил. 1 План ФХД вода 2023'!_Pi1</definedName>
    <definedName name="Pi1_11" localSheetId="18">'Прил. 1 План ФХД стоки 2023'!_Pi1</definedName>
    <definedName name="Pi1_11" localSheetId="17">'Прил. 1 План ФХД трансп. воды23'!_Pi1</definedName>
    <definedName name="Pi1_11" localSheetId="15">'Прил.1 ПланФХД с транспортир.23'!_Pi1</definedName>
    <definedName name="Pi1_11" localSheetId="16">'Прил.1 ПланФХД трансп. стоков23'!_Pi1</definedName>
    <definedName name="Pi1_11" localSheetId="85">'Расчет товарной выручки 2018'!_Pi1</definedName>
    <definedName name="Pi1_11" localSheetId="25">'Расчет товарной выручки 2019'!_Pi1</definedName>
    <definedName name="Pi1_11" localSheetId="20">'Расчет товарной выручки 2023'!_Pi1</definedName>
    <definedName name="Pi1_11" localSheetId="86">'рез к 2017-2023'!_Pi1</definedName>
    <definedName name="Pi1_11" localSheetId="82">'рез к 2018-2024 (кор) '!_Pi1</definedName>
    <definedName name="Pi1_11" localSheetId="13">'Текущий ремонт'!_Pi1</definedName>
    <definedName name="Pi1_11" localSheetId="23">'ФАКТ.СЕБЕСТ.ВОДА за 1 пол. 2023'!_Pi1</definedName>
    <definedName name="Pi1_11" localSheetId="21">'ФАКТ.СЕБЕСТ.СТОКИ за 1 пол.2023'!_Pi1</definedName>
    <definedName name="Pi1_11" localSheetId="14">'Чистая прибыль с транспортир.23'!_Pi1</definedName>
    <definedName name="Pi1_11">[0]!_Pi1</definedName>
    <definedName name="Pi1_13" localSheetId="84">'А 2018'!_Pi1</definedName>
    <definedName name="Pi1_13" localSheetId="66">'выпадающие расходы'!_Pi1</definedName>
    <definedName name="Pi1_13" localSheetId="55">'ЗП с факт 3 кв. 2015'!_Pi1</definedName>
    <definedName name="Pi1_13" localSheetId="24">'ПОЛНАЯ СЕБЕСТОИМОСТЬ ВОДА 2023'!_Pi1</definedName>
    <definedName name="Pi1_13" localSheetId="22">'ПОЛНАЯ СЕБЕСТОИМОСТЬ СТОКИ 2023'!_Pi1</definedName>
    <definedName name="Pi1_13" localSheetId="19">'Прил. 1 План ФХД вода 2023'!_Pi1</definedName>
    <definedName name="Pi1_13" localSheetId="18">'Прил. 1 План ФХД стоки 2023'!_Pi1</definedName>
    <definedName name="Pi1_13" localSheetId="17">'Прил. 1 План ФХД трансп. воды23'!_Pi1</definedName>
    <definedName name="Pi1_13" localSheetId="15">'Прил.1 ПланФХД с транспортир.23'!_Pi1</definedName>
    <definedName name="Pi1_13" localSheetId="16">'Прил.1 ПланФХД трансп. стоков23'!_Pi1</definedName>
    <definedName name="Pi1_13" localSheetId="85">'Расчет товарной выручки 2018'!_Pi1</definedName>
    <definedName name="Pi1_13" localSheetId="25">'Расчет товарной выручки 2019'!_Pi1</definedName>
    <definedName name="Pi1_13" localSheetId="20">'Расчет товарной выручки 2023'!_Pi1</definedName>
    <definedName name="Pi1_13" localSheetId="86">'рез к 2017-2023'!_Pi1</definedName>
    <definedName name="Pi1_13" localSheetId="82">'рез к 2018-2024 (кор) '!_Pi1</definedName>
    <definedName name="Pi1_13" localSheetId="13">'Текущий ремонт'!_Pi1</definedName>
    <definedName name="Pi1_13" localSheetId="23">'ФАКТ.СЕБЕСТ.ВОДА за 1 пол. 2023'!_Pi1</definedName>
    <definedName name="Pi1_13" localSheetId="21">'ФАКТ.СЕБЕСТ.СТОКИ за 1 пол.2023'!_Pi1</definedName>
    <definedName name="Pi1_13" localSheetId="14">'Чистая прибыль с транспортир.23'!_Pi1</definedName>
    <definedName name="Pi1_13">[0]!_Pi1</definedName>
    <definedName name="Pi1_14" localSheetId="84">'А 2018'!_Pi1</definedName>
    <definedName name="Pi1_14" localSheetId="66">'выпадающие расходы'!_Pi1</definedName>
    <definedName name="Pi1_14" localSheetId="55">'ЗП с факт 3 кв. 2015'!_Pi1</definedName>
    <definedName name="Pi1_14" localSheetId="24">'ПОЛНАЯ СЕБЕСТОИМОСТЬ ВОДА 2023'!_Pi1</definedName>
    <definedName name="Pi1_14" localSheetId="22">'ПОЛНАЯ СЕБЕСТОИМОСТЬ СТОКИ 2023'!_Pi1</definedName>
    <definedName name="Pi1_14" localSheetId="19">'Прил. 1 План ФХД вода 2023'!_Pi1</definedName>
    <definedName name="Pi1_14" localSheetId="18">'Прил. 1 План ФХД стоки 2023'!_Pi1</definedName>
    <definedName name="Pi1_14" localSheetId="17">'Прил. 1 План ФХД трансп. воды23'!_Pi1</definedName>
    <definedName name="Pi1_14" localSheetId="15">'Прил.1 ПланФХД с транспортир.23'!_Pi1</definedName>
    <definedName name="Pi1_14" localSheetId="16">'Прил.1 ПланФХД трансп. стоков23'!_Pi1</definedName>
    <definedName name="Pi1_14" localSheetId="85">'Расчет товарной выручки 2018'!_Pi1</definedName>
    <definedName name="Pi1_14" localSheetId="25">'Расчет товарной выручки 2019'!_Pi1</definedName>
    <definedName name="Pi1_14" localSheetId="20">'Расчет товарной выручки 2023'!_Pi1</definedName>
    <definedName name="Pi1_14" localSheetId="86">'рез к 2017-2023'!_Pi1</definedName>
    <definedName name="Pi1_14" localSheetId="82">'рез к 2018-2024 (кор) '!_Pi1</definedName>
    <definedName name="Pi1_14" localSheetId="13">'Текущий ремонт'!_Pi1</definedName>
    <definedName name="Pi1_14" localSheetId="23">'ФАКТ.СЕБЕСТ.ВОДА за 1 пол. 2023'!_Pi1</definedName>
    <definedName name="Pi1_14" localSheetId="21">'ФАКТ.СЕБЕСТ.СТОКИ за 1 пол.2023'!_Pi1</definedName>
    <definedName name="Pi1_14" localSheetId="14">'Чистая прибыль с транспортир.23'!_Pi1</definedName>
    <definedName name="Pi1_14">[0]!_Pi1</definedName>
    <definedName name="Pi1_15" localSheetId="84">'А 2018'!_Pi1</definedName>
    <definedName name="Pi1_15" localSheetId="66">'выпадающие расходы'!_Pi1</definedName>
    <definedName name="Pi1_15" localSheetId="55">'ЗП с факт 3 кв. 2015'!_Pi1</definedName>
    <definedName name="Pi1_15" localSheetId="24">'ПОЛНАЯ СЕБЕСТОИМОСТЬ ВОДА 2023'!_Pi1</definedName>
    <definedName name="Pi1_15" localSheetId="22">'ПОЛНАЯ СЕБЕСТОИМОСТЬ СТОКИ 2023'!_Pi1</definedName>
    <definedName name="Pi1_15" localSheetId="19">'Прил. 1 План ФХД вода 2023'!_Pi1</definedName>
    <definedName name="Pi1_15" localSheetId="18">'Прил. 1 План ФХД стоки 2023'!_Pi1</definedName>
    <definedName name="Pi1_15" localSheetId="17">'Прил. 1 План ФХД трансп. воды23'!_Pi1</definedName>
    <definedName name="Pi1_15" localSheetId="15">'Прил.1 ПланФХД с транспортир.23'!_Pi1</definedName>
    <definedName name="Pi1_15" localSheetId="16">'Прил.1 ПланФХД трансп. стоков23'!_Pi1</definedName>
    <definedName name="Pi1_15" localSheetId="85">'Расчет товарной выручки 2018'!_Pi1</definedName>
    <definedName name="Pi1_15" localSheetId="25">'Расчет товарной выручки 2019'!_Pi1</definedName>
    <definedName name="Pi1_15" localSheetId="20">'Расчет товарной выручки 2023'!_Pi1</definedName>
    <definedName name="Pi1_15" localSheetId="86">'рез к 2017-2023'!_Pi1</definedName>
    <definedName name="Pi1_15" localSheetId="82">'рез к 2018-2024 (кор) '!_Pi1</definedName>
    <definedName name="Pi1_15" localSheetId="13">'Текущий ремонт'!_Pi1</definedName>
    <definedName name="Pi1_15" localSheetId="23">'ФАКТ.СЕБЕСТ.ВОДА за 1 пол. 2023'!_Pi1</definedName>
    <definedName name="Pi1_15" localSheetId="21">'ФАКТ.СЕБЕСТ.СТОКИ за 1 пол.2023'!_Pi1</definedName>
    <definedName name="Pi1_15" localSheetId="14">'Чистая прибыль с транспортир.23'!_Pi1</definedName>
    <definedName name="Pi1_15">_Pi1</definedName>
    <definedName name="Pi1_16" localSheetId="84">'А 2018'!_Pi1</definedName>
    <definedName name="Pi1_16" localSheetId="66">'выпадающие расходы'!_Pi1</definedName>
    <definedName name="Pi1_16" localSheetId="55">'ЗП с факт 3 кв. 2015'!_Pi1</definedName>
    <definedName name="Pi1_16" localSheetId="24">'ПОЛНАЯ СЕБЕСТОИМОСТЬ ВОДА 2023'!_Pi1</definedName>
    <definedName name="Pi1_16" localSheetId="22">'ПОЛНАЯ СЕБЕСТОИМОСТЬ СТОКИ 2023'!_Pi1</definedName>
    <definedName name="Pi1_16" localSheetId="19">'Прил. 1 План ФХД вода 2023'!_Pi1</definedName>
    <definedName name="Pi1_16" localSheetId="18">'Прил. 1 План ФХД стоки 2023'!_Pi1</definedName>
    <definedName name="Pi1_16" localSheetId="17">'Прил. 1 План ФХД трансп. воды23'!_Pi1</definedName>
    <definedName name="Pi1_16" localSheetId="15">'Прил.1 ПланФХД с транспортир.23'!_Pi1</definedName>
    <definedName name="Pi1_16" localSheetId="16">'Прил.1 ПланФХД трансп. стоков23'!_Pi1</definedName>
    <definedName name="Pi1_16" localSheetId="85">'Расчет товарной выручки 2018'!_Pi1</definedName>
    <definedName name="Pi1_16" localSheetId="25">'Расчет товарной выручки 2019'!_Pi1</definedName>
    <definedName name="Pi1_16" localSheetId="20">'Расчет товарной выручки 2023'!_Pi1</definedName>
    <definedName name="Pi1_16" localSheetId="86">'рез к 2017-2023'!_Pi1</definedName>
    <definedName name="Pi1_16" localSheetId="82">'рез к 2018-2024 (кор) '!_Pi1</definedName>
    <definedName name="Pi1_16" localSheetId="13">'Текущий ремонт'!_Pi1</definedName>
    <definedName name="Pi1_16" localSheetId="23">'ФАКТ.СЕБЕСТ.ВОДА за 1 пол. 2023'!_Pi1</definedName>
    <definedName name="Pi1_16" localSheetId="21">'ФАКТ.СЕБЕСТ.СТОКИ за 1 пол.2023'!_Pi1</definedName>
    <definedName name="Pi1_16" localSheetId="14">'Чистая прибыль с транспортир.23'!_Pi1</definedName>
    <definedName name="Pi1_16">[0]!_Pi1</definedName>
    <definedName name="Pi1_2" localSheetId="84">'А 2018'!_Pi1</definedName>
    <definedName name="Pi1_2" localSheetId="66">'выпадающие расходы'!_Pi1</definedName>
    <definedName name="Pi1_2" localSheetId="55">'ЗП с факт 3 кв. 2015'!_Pi1</definedName>
    <definedName name="Pi1_2" localSheetId="24">'ПОЛНАЯ СЕБЕСТОИМОСТЬ ВОДА 2023'!_Pi1</definedName>
    <definedName name="Pi1_2" localSheetId="22">'ПОЛНАЯ СЕБЕСТОИМОСТЬ СТОКИ 2023'!_Pi1</definedName>
    <definedName name="Pi1_2" localSheetId="19">'Прил. 1 План ФХД вода 2023'!_Pi1</definedName>
    <definedName name="Pi1_2" localSheetId="18">'Прил. 1 План ФХД стоки 2023'!_Pi1</definedName>
    <definedName name="Pi1_2" localSheetId="17">'Прил. 1 План ФХД трансп. воды23'!_Pi1</definedName>
    <definedName name="Pi1_2" localSheetId="15">'Прил.1 ПланФХД с транспортир.23'!_Pi1</definedName>
    <definedName name="Pi1_2" localSheetId="16">'Прил.1 ПланФХД трансп. стоков23'!_Pi1</definedName>
    <definedName name="Pi1_2" localSheetId="85">'Расчет товарной выручки 2018'!_Pi1</definedName>
    <definedName name="Pi1_2" localSheetId="25">'Расчет товарной выручки 2019'!_Pi1</definedName>
    <definedName name="Pi1_2" localSheetId="20">'Расчет товарной выручки 2023'!_Pi1</definedName>
    <definedName name="Pi1_2" localSheetId="86">'рез к 2017-2023'!_Pi1</definedName>
    <definedName name="Pi1_2" localSheetId="82">'рез к 2018-2024 (кор) '!_Pi1</definedName>
    <definedName name="Pi1_2" localSheetId="13">'Текущий ремонт'!_Pi1</definedName>
    <definedName name="Pi1_2" localSheetId="23">'ФАКТ.СЕБЕСТ.ВОДА за 1 пол. 2023'!_Pi1</definedName>
    <definedName name="Pi1_2" localSheetId="21">'ФАКТ.СЕБЕСТ.СТОКИ за 1 пол.2023'!_Pi1</definedName>
    <definedName name="Pi1_2" localSheetId="14">'Чистая прибыль с транспортир.23'!_Pi1</definedName>
    <definedName name="Pi1_2">[0]!_Pi1</definedName>
    <definedName name="Pi1_22" localSheetId="84">'А 2018'!_Pi1</definedName>
    <definedName name="Pi1_22" localSheetId="66">'выпадающие расходы'!_Pi1</definedName>
    <definedName name="Pi1_22" localSheetId="55">'ЗП с факт 3 кв. 2015'!_Pi1</definedName>
    <definedName name="Pi1_22" localSheetId="24">'ПОЛНАЯ СЕБЕСТОИМОСТЬ ВОДА 2023'!_Pi1</definedName>
    <definedName name="Pi1_22" localSheetId="22">'ПОЛНАЯ СЕБЕСТОИМОСТЬ СТОКИ 2023'!_Pi1</definedName>
    <definedName name="Pi1_22" localSheetId="19">'Прил. 1 План ФХД вода 2023'!_Pi1</definedName>
    <definedName name="Pi1_22" localSheetId="18">'Прил. 1 План ФХД стоки 2023'!_Pi1</definedName>
    <definedName name="Pi1_22" localSheetId="17">'Прил. 1 План ФХД трансп. воды23'!_Pi1</definedName>
    <definedName name="Pi1_22" localSheetId="15">'Прил.1 ПланФХД с транспортир.23'!_Pi1</definedName>
    <definedName name="Pi1_22" localSheetId="16">'Прил.1 ПланФХД трансп. стоков23'!_Pi1</definedName>
    <definedName name="Pi1_22" localSheetId="85">'Расчет товарной выручки 2018'!_Pi1</definedName>
    <definedName name="Pi1_22" localSheetId="25">'Расчет товарной выручки 2019'!_Pi1</definedName>
    <definedName name="Pi1_22" localSheetId="20">'Расчет товарной выручки 2023'!_Pi1</definedName>
    <definedName name="Pi1_22" localSheetId="86">'рез к 2017-2023'!_Pi1</definedName>
    <definedName name="Pi1_22" localSheetId="82">'рез к 2018-2024 (кор) '!_Pi1</definedName>
    <definedName name="Pi1_22" localSheetId="13">'Текущий ремонт'!_Pi1</definedName>
    <definedName name="Pi1_22" localSheetId="23">'ФАКТ.СЕБЕСТ.ВОДА за 1 пол. 2023'!_Pi1</definedName>
    <definedName name="Pi1_22" localSheetId="21">'ФАКТ.СЕБЕСТ.СТОКИ за 1 пол.2023'!_Pi1</definedName>
    <definedName name="Pi1_22" localSheetId="14">'Чистая прибыль с транспортир.23'!_Pi1</definedName>
    <definedName name="Pi1_22">_Pi1</definedName>
    <definedName name="Pi1_3" localSheetId="84">'А 2018'!_Pi1</definedName>
    <definedName name="Pi1_3" localSheetId="66">'выпадающие расходы'!_Pi1</definedName>
    <definedName name="Pi1_3" localSheetId="55">'ЗП с факт 3 кв. 2015'!_Pi1</definedName>
    <definedName name="Pi1_3" localSheetId="24">'ПОЛНАЯ СЕБЕСТОИМОСТЬ ВОДА 2023'!_Pi1</definedName>
    <definedName name="Pi1_3" localSheetId="22">'ПОЛНАЯ СЕБЕСТОИМОСТЬ СТОКИ 2023'!_Pi1</definedName>
    <definedName name="Pi1_3" localSheetId="19">'Прил. 1 План ФХД вода 2023'!_Pi1</definedName>
    <definedName name="Pi1_3" localSheetId="18">'Прил. 1 План ФХД стоки 2023'!_Pi1</definedName>
    <definedName name="Pi1_3" localSheetId="17">'Прил. 1 План ФХД трансп. воды23'!_Pi1</definedName>
    <definedName name="Pi1_3" localSheetId="15">'Прил.1 ПланФХД с транспортир.23'!_Pi1</definedName>
    <definedName name="Pi1_3" localSheetId="16">'Прил.1 ПланФХД трансп. стоков23'!_Pi1</definedName>
    <definedName name="Pi1_3" localSheetId="85">'Расчет товарной выручки 2018'!_Pi1</definedName>
    <definedName name="Pi1_3" localSheetId="25">'Расчет товарной выручки 2019'!_Pi1</definedName>
    <definedName name="Pi1_3" localSheetId="20">'Расчет товарной выручки 2023'!_Pi1</definedName>
    <definedName name="Pi1_3" localSheetId="86">'рез к 2017-2023'!_Pi1</definedName>
    <definedName name="Pi1_3" localSheetId="82">'рез к 2018-2024 (кор) '!_Pi1</definedName>
    <definedName name="Pi1_3" localSheetId="13">'Текущий ремонт'!_Pi1</definedName>
    <definedName name="Pi1_3" localSheetId="23">'ФАКТ.СЕБЕСТ.ВОДА за 1 пол. 2023'!_Pi1</definedName>
    <definedName name="Pi1_3" localSheetId="21">'ФАКТ.СЕБЕСТ.СТОКИ за 1 пол.2023'!_Pi1</definedName>
    <definedName name="Pi1_3" localSheetId="14">'Чистая прибыль с транспортир.23'!_Pi1</definedName>
    <definedName name="Pi1_3">[0]!_Pi1</definedName>
    <definedName name="Pi1_4" localSheetId="84">'А 2018'!_Pi1</definedName>
    <definedName name="Pi1_4" localSheetId="66">'выпадающие расходы'!_Pi1</definedName>
    <definedName name="Pi1_4" localSheetId="55">'ЗП с факт 3 кв. 2015'!_Pi1</definedName>
    <definedName name="Pi1_4" localSheetId="24">'ПОЛНАЯ СЕБЕСТОИМОСТЬ ВОДА 2023'!_Pi1</definedName>
    <definedName name="Pi1_4" localSheetId="22">'ПОЛНАЯ СЕБЕСТОИМОСТЬ СТОКИ 2023'!_Pi1</definedName>
    <definedName name="Pi1_4" localSheetId="19">'Прил. 1 План ФХД вода 2023'!_Pi1</definedName>
    <definedName name="Pi1_4" localSheetId="18">'Прил. 1 План ФХД стоки 2023'!_Pi1</definedName>
    <definedName name="Pi1_4" localSheetId="17">'Прил. 1 План ФХД трансп. воды23'!_Pi1</definedName>
    <definedName name="Pi1_4" localSheetId="15">'Прил.1 ПланФХД с транспортир.23'!_Pi1</definedName>
    <definedName name="Pi1_4" localSheetId="16">'Прил.1 ПланФХД трансп. стоков23'!_Pi1</definedName>
    <definedName name="Pi1_4" localSheetId="85">'Расчет товарной выручки 2018'!_Pi1</definedName>
    <definedName name="Pi1_4" localSheetId="25">'Расчет товарной выручки 2019'!_Pi1</definedName>
    <definedName name="Pi1_4" localSheetId="20">'Расчет товарной выручки 2023'!_Pi1</definedName>
    <definedName name="Pi1_4" localSheetId="86">'рез к 2017-2023'!_Pi1</definedName>
    <definedName name="Pi1_4" localSheetId="82">'рез к 2018-2024 (кор) '!_Pi1</definedName>
    <definedName name="Pi1_4" localSheetId="13">'Текущий ремонт'!_Pi1</definedName>
    <definedName name="Pi1_4" localSheetId="23">'ФАКТ.СЕБЕСТ.ВОДА за 1 пол. 2023'!_Pi1</definedName>
    <definedName name="Pi1_4" localSheetId="21">'ФАКТ.СЕБЕСТ.СТОКИ за 1 пол.2023'!_Pi1</definedName>
    <definedName name="Pi1_4" localSheetId="14">'Чистая прибыль с транспортир.23'!_Pi1</definedName>
    <definedName name="Pi1_4">_Pi1</definedName>
    <definedName name="Pi1_67" localSheetId="84">'А 2018'!_Pi1</definedName>
    <definedName name="Pi1_67" localSheetId="66">'выпадающие расходы'!_Pi1</definedName>
    <definedName name="Pi1_67" localSheetId="55">'ЗП с факт 3 кв. 2015'!_Pi1</definedName>
    <definedName name="Pi1_67" localSheetId="24">'ПОЛНАЯ СЕБЕСТОИМОСТЬ ВОДА 2023'!_Pi1</definedName>
    <definedName name="Pi1_67" localSheetId="22">'ПОЛНАЯ СЕБЕСТОИМОСТЬ СТОКИ 2023'!_Pi1</definedName>
    <definedName name="Pi1_67" localSheetId="19">'Прил. 1 План ФХД вода 2023'!_Pi1</definedName>
    <definedName name="Pi1_67" localSheetId="18">'Прил. 1 План ФХД стоки 2023'!_Pi1</definedName>
    <definedName name="Pi1_67" localSheetId="17">'Прил. 1 План ФХД трансп. воды23'!_Pi1</definedName>
    <definedName name="Pi1_67" localSheetId="15">'Прил.1 ПланФХД с транспортир.23'!_Pi1</definedName>
    <definedName name="Pi1_67" localSheetId="16">'Прил.1 ПланФХД трансп. стоков23'!_Pi1</definedName>
    <definedName name="Pi1_67" localSheetId="85">'Расчет товарной выручки 2018'!_Pi1</definedName>
    <definedName name="Pi1_67" localSheetId="25">'Расчет товарной выручки 2019'!_Pi1</definedName>
    <definedName name="Pi1_67" localSheetId="20">'Расчет товарной выручки 2023'!_Pi1</definedName>
    <definedName name="Pi1_67" localSheetId="86">'рез к 2017-2023'!_Pi1</definedName>
    <definedName name="Pi1_67" localSheetId="82">'рез к 2018-2024 (кор) '!_Pi1</definedName>
    <definedName name="Pi1_67" localSheetId="13">'Текущий ремонт'!_Pi1</definedName>
    <definedName name="Pi1_67" localSheetId="23">'ФАКТ.СЕБЕСТ.ВОДА за 1 пол. 2023'!_Pi1</definedName>
    <definedName name="Pi1_67" localSheetId="21">'ФАКТ.СЕБЕСТ.СТОКИ за 1 пол.2023'!_Pi1</definedName>
    <definedName name="Pi1_67" localSheetId="14">'Чистая прибыль с транспортир.23'!_Pi1</definedName>
    <definedName name="Pi1_67">_Pi1</definedName>
    <definedName name="Pi1_70" localSheetId="84">'А 2018'!_Pi1</definedName>
    <definedName name="Pi1_70" localSheetId="66">'выпадающие расходы'!_Pi1</definedName>
    <definedName name="Pi1_70" localSheetId="55">'ЗП с факт 3 кв. 2015'!_Pi1</definedName>
    <definedName name="Pi1_70" localSheetId="24">'ПОЛНАЯ СЕБЕСТОИМОСТЬ ВОДА 2023'!_Pi1</definedName>
    <definedName name="Pi1_70" localSheetId="22">'ПОЛНАЯ СЕБЕСТОИМОСТЬ СТОКИ 2023'!_Pi1</definedName>
    <definedName name="Pi1_70" localSheetId="19">'Прил. 1 План ФХД вода 2023'!_Pi1</definedName>
    <definedName name="Pi1_70" localSheetId="18">'Прил. 1 План ФХД стоки 2023'!_Pi1</definedName>
    <definedName name="Pi1_70" localSheetId="17">'Прил. 1 План ФХД трансп. воды23'!_Pi1</definedName>
    <definedName name="Pi1_70" localSheetId="15">'Прил.1 ПланФХД с транспортир.23'!_Pi1</definedName>
    <definedName name="Pi1_70" localSheetId="16">'Прил.1 ПланФХД трансп. стоков23'!_Pi1</definedName>
    <definedName name="Pi1_70" localSheetId="85">'Расчет товарной выручки 2018'!_Pi1</definedName>
    <definedName name="Pi1_70" localSheetId="25">'Расчет товарной выручки 2019'!_Pi1</definedName>
    <definedName name="Pi1_70" localSheetId="20">'Расчет товарной выручки 2023'!_Pi1</definedName>
    <definedName name="Pi1_70" localSheetId="86">'рез к 2017-2023'!_Pi1</definedName>
    <definedName name="Pi1_70" localSheetId="82">'рез к 2018-2024 (кор) '!_Pi1</definedName>
    <definedName name="Pi1_70" localSheetId="13">'Текущий ремонт'!_Pi1</definedName>
    <definedName name="Pi1_70" localSheetId="23">'ФАКТ.СЕБЕСТ.ВОДА за 1 пол. 2023'!_Pi1</definedName>
    <definedName name="Pi1_70" localSheetId="21">'ФАКТ.СЕБЕСТ.СТОКИ за 1 пол.2023'!_Pi1</definedName>
    <definedName name="Pi1_70" localSheetId="14">'Чистая прибыль с транспортир.23'!_Pi1</definedName>
    <definedName name="Pi1_70">_Pi1</definedName>
    <definedName name="Pi1_71" localSheetId="84">'А 2018'!_Pi1</definedName>
    <definedName name="Pi1_71" localSheetId="66">'выпадающие расходы'!_Pi1</definedName>
    <definedName name="Pi1_71" localSheetId="55">'ЗП с факт 3 кв. 2015'!_Pi1</definedName>
    <definedName name="Pi1_71" localSheetId="24">'ПОЛНАЯ СЕБЕСТОИМОСТЬ ВОДА 2023'!_Pi1</definedName>
    <definedName name="Pi1_71" localSheetId="22">'ПОЛНАЯ СЕБЕСТОИМОСТЬ СТОКИ 2023'!_Pi1</definedName>
    <definedName name="Pi1_71" localSheetId="19">'Прил. 1 План ФХД вода 2023'!_Pi1</definedName>
    <definedName name="Pi1_71" localSheetId="18">'Прил. 1 План ФХД стоки 2023'!_Pi1</definedName>
    <definedName name="Pi1_71" localSheetId="17">'Прил. 1 План ФХД трансп. воды23'!_Pi1</definedName>
    <definedName name="Pi1_71" localSheetId="15">'Прил.1 ПланФХД с транспортир.23'!_Pi1</definedName>
    <definedName name="Pi1_71" localSheetId="16">'Прил.1 ПланФХД трансп. стоков23'!_Pi1</definedName>
    <definedName name="Pi1_71" localSheetId="85">'Расчет товарной выручки 2018'!_Pi1</definedName>
    <definedName name="Pi1_71" localSheetId="25">'Расчет товарной выручки 2019'!_Pi1</definedName>
    <definedName name="Pi1_71" localSheetId="20">'Расчет товарной выручки 2023'!_Pi1</definedName>
    <definedName name="Pi1_71" localSheetId="86">'рез к 2017-2023'!_Pi1</definedName>
    <definedName name="Pi1_71" localSheetId="82">'рез к 2018-2024 (кор) '!_Pi1</definedName>
    <definedName name="Pi1_71" localSheetId="13">'Текущий ремонт'!_Pi1</definedName>
    <definedName name="Pi1_71" localSheetId="23">'ФАКТ.СЕБЕСТ.ВОДА за 1 пол. 2023'!_Pi1</definedName>
    <definedName name="Pi1_71" localSheetId="21">'ФАКТ.СЕБЕСТ.СТОКИ за 1 пол.2023'!_Pi1</definedName>
    <definedName name="Pi1_71" localSheetId="14">'Чистая прибыль с транспортир.23'!_Pi1</definedName>
    <definedName name="Pi1_71">_Pi1</definedName>
    <definedName name="Pi1_72" localSheetId="84">'А 2018'!_Pi1</definedName>
    <definedName name="Pi1_72" localSheetId="66">'выпадающие расходы'!_Pi1</definedName>
    <definedName name="Pi1_72" localSheetId="55">'ЗП с факт 3 кв. 2015'!_Pi1</definedName>
    <definedName name="Pi1_72" localSheetId="24">'ПОЛНАЯ СЕБЕСТОИМОСТЬ ВОДА 2023'!_Pi1</definedName>
    <definedName name="Pi1_72" localSheetId="22">'ПОЛНАЯ СЕБЕСТОИМОСТЬ СТОКИ 2023'!_Pi1</definedName>
    <definedName name="Pi1_72" localSheetId="19">'Прил. 1 План ФХД вода 2023'!_Pi1</definedName>
    <definedName name="Pi1_72" localSheetId="18">'Прил. 1 План ФХД стоки 2023'!_Pi1</definedName>
    <definedName name="Pi1_72" localSheetId="17">'Прил. 1 План ФХД трансп. воды23'!_Pi1</definedName>
    <definedName name="Pi1_72" localSheetId="15">'Прил.1 ПланФХД с транспортир.23'!_Pi1</definedName>
    <definedName name="Pi1_72" localSheetId="16">'Прил.1 ПланФХД трансп. стоков23'!_Pi1</definedName>
    <definedName name="Pi1_72" localSheetId="85">'Расчет товарной выручки 2018'!_Pi1</definedName>
    <definedName name="Pi1_72" localSheetId="25">'Расчет товарной выручки 2019'!_Pi1</definedName>
    <definedName name="Pi1_72" localSheetId="20">'Расчет товарной выручки 2023'!_Pi1</definedName>
    <definedName name="Pi1_72" localSheetId="86">'рез к 2017-2023'!_Pi1</definedName>
    <definedName name="Pi1_72" localSheetId="82">'рез к 2018-2024 (кор) '!_Pi1</definedName>
    <definedName name="Pi1_72" localSheetId="13">'Текущий ремонт'!_Pi1</definedName>
    <definedName name="Pi1_72" localSheetId="23">'ФАКТ.СЕБЕСТ.ВОДА за 1 пол. 2023'!_Pi1</definedName>
    <definedName name="Pi1_72" localSheetId="21">'ФАКТ.СЕБЕСТ.СТОКИ за 1 пол.2023'!_Pi1</definedName>
    <definedName name="Pi1_72" localSheetId="14">'Чистая прибыль с транспортир.23'!_Pi1</definedName>
    <definedName name="Pi1_72">_Pi1</definedName>
    <definedName name="Pi1_74" localSheetId="84">'А 2018'!_Pi1</definedName>
    <definedName name="Pi1_74" localSheetId="66">'выпадающие расходы'!_Pi1</definedName>
    <definedName name="Pi1_74" localSheetId="55">'ЗП с факт 3 кв. 2015'!_Pi1</definedName>
    <definedName name="Pi1_74" localSheetId="24">'ПОЛНАЯ СЕБЕСТОИМОСТЬ ВОДА 2023'!_Pi1</definedName>
    <definedName name="Pi1_74" localSheetId="22">'ПОЛНАЯ СЕБЕСТОИМОСТЬ СТОКИ 2023'!_Pi1</definedName>
    <definedName name="Pi1_74" localSheetId="19">'Прил. 1 План ФХД вода 2023'!_Pi1</definedName>
    <definedName name="Pi1_74" localSheetId="18">'Прил. 1 План ФХД стоки 2023'!_Pi1</definedName>
    <definedName name="Pi1_74" localSheetId="17">'Прил. 1 План ФХД трансп. воды23'!_Pi1</definedName>
    <definedName name="Pi1_74" localSheetId="15">'Прил.1 ПланФХД с транспортир.23'!_Pi1</definedName>
    <definedName name="Pi1_74" localSheetId="16">'Прил.1 ПланФХД трансп. стоков23'!_Pi1</definedName>
    <definedName name="Pi1_74" localSheetId="85">'Расчет товарной выручки 2018'!_Pi1</definedName>
    <definedName name="Pi1_74" localSheetId="25">'Расчет товарной выручки 2019'!_Pi1</definedName>
    <definedName name="Pi1_74" localSheetId="20">'Расчет товарной выручки 2023'!_Pi1</definedName>
    <definedName name="Pi1_74" localSheetId="86">'рез к 2017-2023'!_Pi1</definedName>
    <definedName name="Pi1_74" localSheetId="82">'рез к 2018-2024 (кор) '!_Pi1</definedName>
    <definedName name="Pi1_74" localSheetId="13">'Текущий ремонт'!_Pi1</definedName>
    <definedName name="Pi1_74" localSheetId="23">'ФАКТ.СЕБЕСТ.ВОДА за 1 пол. 2023'!_Pi1</definedName>
    <definedName name="Pi1_74" localSheetId="21">'ФАКТ.СЕБЕСТ.СТОКИ за 1 пол.2023'!_Pi1</definedName>
    <definedName name="Pi1_74" localSheetId="14">'Чистая прибыль с транспортир.23'!_Pi1</definedName>
    <definedName name="Pi1_74">_Pi1</definedName>
    <definedName name="Pi1_9" localSheetId="84">'А 2018'!_Pi1</definedName>
    <definedName name="Pi1_9" localSheetId="66">'выпадающие расходы'!_Pi1</definedName>
    <definedName name="Pi1_9" localSheetId="55">'ЗП с факт 3 кв. 2015'!_Pi1</definedName>
    <definedName name="Pi1_9" localSheetId="24">'ПОЛНАЯ СЕБЕСТОИМОСТЬ ВОДА 2023'!_Pi1</definedName>
    <definedName name="Pi1_9" localSheetId="22">'ПОЛНАЯ СЕБЕСТОИМОСТЬ СТОКИ 2023'!_Pi1</definedName>
    <definedName name="Pi1_9" localSheetId="19">'Прил. 1 План ФХД вода 2023'!_Pi1</definedName>
    <definedName name="Pi1_9" localSheetId="18">'Прил. 1 План ФХД стоки 2023'!_Pi1</definedName>
    <definedName name="Pi1_9" localSheetId="17">'Прил. 1 План ФХД трансп. воды23'!_Pi1</definedName>
    <definedName name="Pi1_9" localSheetId="15">'Прил.1 ПланФХД с транспортир.23'!_Pi1</definedName>
    <definedName name="Pi1_9" localSheetId="16">'Прил.1 ПланФХД трансп. стоков23'!_Pi1</definedName>
    <definedName name="Pi1_9" localSheetId="85">'Расчет товарной выручки 2018'!_Pi1</definedName>
    <definedName name="Pi1_9" localSheetId="25">'Расчет товарной выручки 2019'!_Pi1</definedName>
    <definedName name="Pi1_9" localSheetId="20">'Расчет товарной выручки 2023'!_Pi1</definedName>
    <definedName name="Pi1_9" localSheetId="86">'рез к 2017-2023'!_Pi1</definedName>
    <definedName name="Pi1_9" localSheetId="82">'рез к 2018-2024 (кор) '!_Pi1</definedName>
    <definedName name="Pi1_9" localSheetId="13">'Текущий ремонт'!_Pi1</definedName>
    <definedName name="Pi1_9" localSheetId="23">'ФАКТ.СЕБЕСТ.ВОДА за 1 пол. 2023'!_Pi1</definedName>
    <definedName name="Pi1_9" localSheetId="21">'ФАКТ.СЕБЕСТ.СТОКИ за 1 пол.2023'!_Pi1</definedName>
    <definedName name="Pi1_9" localSheetId="14">'Чистая прибыль с транспортир.23'!_Pi1</definedName>
    <definedName name="Pi1_9">_Pi1</definedName>
    <definedName name="Pi2_1" localSheetId="84">'А 2018'!_Pi2</definedName>
    <definedName name="Pi2_1" localSheetId="66">'выпадающие расходы'!_Pi2</definedName>
    <definedName name="Pi2_1" localSheetId="55">'ЗП с факт 3 кв. 2015'!_Pi2</definedName>
    <definedName name="Pi2_1" localSheetId="24">'ПОЛНАЯ СЕБЕСТОИМОСТЬ ВОДА 2023'!_Pi2</definedName>
    <definedName name="Pi2_1" localSheetId="22">'ПОЛНАЯ СЕБЕСТОИМОСТЬ СТОКИ 2023'!_Pi2</definedName>
    <definedName name="Pi2_1" localSheetId="19">'Прил. 1 План ФХД вода 2023'!_Pi2</definedName>
    <definedName name="Pi2_1" localSheetId="18">'Прил. 1 План ФХД стоки 2023'!_Pi2</definedName>
    <definedName name="Pi2_1" localSheetId="17">'Прил. 1 План ФХД трансп. воды23'!_Pi2</definedName>
    <definedName name="Pi2_1" localSheetId="15">'Прил.1 ПланФХД с транспортир.23'!_Pi2</definedName>
    <definedName name="Pi2_1" localSheetId="16">'Прил.1 ПланФХД трансп. стоков23'!_Pi2</definedName>
    <definedName name="Pi2_1" localSheetId="85">'Расчет товарной выручки 2018'!_Pi2</definedName>
    <definedName name="Pi2_1" localSheetId="25">'Расчет товарной выручки 2019'!_Pi2</definedName>
    <definedName name="Pi2_1" localSheetId="20">'Расчет товарной выручки 2023'!_Pi2</definedName>
    <definedName name="Pi2_1" localSheetId="86">'рез к 2017-2023'!_Pi2</definedName>
    <definedName name="Pi2_1" localSheetId="82">'рез к 2018-2024 (кор) '!_Pi2</definedName>
    <definedName name="Pi2_1" localSheetId="13">'Текущий ремонт'!_Pi2</definedName>
    <definedName name="Pi2_1" localSheetId="23">'ФАКТ.СЕБЕСТ.ВОДА за 1 пол. 2023'!_Pi2</definedName>
    <definedName name="Pi2_1" localSheetId="21">'ФАКТ.СЕБЕСТ.СТОКИ за 1 пол.2023'!_Pi2</definedName>
    <definedName name="Pi2_1" localSheetId="14">'Чистая прибыль с транспортир.23'!_Pi2</definedName>
    <definedName name="Pi2_1">[0]!_Pi2</definedName>
    <definedName name="Pi2_10" localSheetId="84">'А 2018'!_Pi2</definedName>
    <definedName name="Pi2_10" localSheetId="66">'выпадающие расходы'!_Pi2</definedName>
    <definedName name="Pi2_10" localSheetId="55">'ЗП с факт 3 кв. 2015'!_Pi2</definedName>
    <definedName name="Pi2_10" localSheetId="24">'ПОЛНАЯ СЕБЕСТОИМОСТЬ ВОДА 2023'!_Pi2</definedName>
    <definedName name="Pi2_10" localSheetId="22">'ПОЛНАЯ СЕБЕСТОИМОСТЬ СТОКИ 2023'!_Pi2</definedName>
    <definedName name="Pi2_10" localSheetId="19">'Прил. 1 План ФХД вода 2023'!_Pi2</definedName>
    <definedName name="Pi2_10" localSheetId="18">'Прил. 1 План ФХД стоки 2023'!_Pi2</definedName>
    <definedName name="Pi2_10" localSheetId="17">'Прил. 1 План ФХД трансп. воды23'!_Pi2</definedName>
    <definedName name="Pi2_10" localSheetId="15">'Прил.1 ПланФХД с транспортир.23'!_Pi2</definedName>
    <definedName name="Pi2_10" localSheetId="16">'Прил.1 ПланФХД трансп. стоков23'!_Pi2</definedName>
    <definedName name="Pi2_10" localSheetId="85">'Расчет товарной выручки 2018'!_Pi2</definedName>
    <definedName name="Pi2_10" localSheetId="25">'Расчет товарной выручки 2019'!_Pi2</definedName>
    <definedName name="Pi2_10" localSheetId="20">'Расчет товарной выручки 2023'!_Pi2</definedName>
    <definedName name="Pi2_10" localSheetId="86">'рез к 2017-2023'!_Pi2</definedName>
    <definedName name="Pi2_10" localSheetId="82">'рез к 2018-2024 (кор) '!_Pi2</definedName>
    <definedName name="Pi2_10" localSheetId="13">'Текущий ремонт'!_Pi2</definedName>
    <definedName name="Pi2_10" localSheetId="23">'ФАКТ.СЕБЕСТ.ВОДА за 1 пол. 2023'!_Pi2</definedName>
    <definedName name="Pi2_10" localSheetId="21">'ФАКТ.СЕБЕСТ.СТОКИ за 1 пол.2023'!_Pi2</definedName>
    <definedName name="Pi2_10" localSheetId="14">'Чистая прибыль с транспортир.23'!_Pi2</definedName>
    <definedName name="Pi2_10">[0]!_Pi2</definedName>
    <definedName name="Pi2_11" localSheetId="84">'А 2018'!_Pi2</definedName>
    <definedName name="Pi2_11" localSheetId="66">'выпадающие расходы'!_Pi2</definedName>
    <definedName name="Pi2_11" localSheetId="55">'ЗП с факт 3 кв. 2015'!_Pi2</definedName>
    <definedName name="Pi2_11" localSheetId="24">'ПОЛНАЯ СЕБЕСТОИМОСТЬ ВОДА 2023'!_Pi2</definedName>
    <definedName name="Pi2_11" localSheetId="22">'ПОЛНАЯ СЕБЕСТОИМОСТЬ СТОКИ 2023'!_Pi2</definedName>
    <definedName name="Pi2_11" localSheetId="19">'Прил. 1 План ФХД вода 2023'!_Pi2</definedName>
    <definedName name="Pi2_11" localSheetId="18">'Прил. 1 План ФХД стоки 2023'!_Pi2</definedName>
    <definedName name="Pi2_11" localSheetId="17">'Прил. 1 План ФХД трансп. воды23'!_Pi2</definedName>
    <definedName name="Pi2_11" localSheetId="15">'Прил.1 ПланФХД с транспортир.23'!_Pi2</definedName>
    <definedName name="Pi2_11" localSheetId="16">'Прил.1 ПланФХД трансп. стоков23'!_Pi2</definedName>
    <definedName name="Pi2_11" localSheetId="85">'Расчет товарной выручки 2018'!_Pi2</definedName>
    <definedName name="Pi2_11" localSheetId="25">'Расчет товарной выручки 2019'!_Pi2</definedName>
    <definedName name="Pi2_11" localSheetId="20">'Расчет товарной выручки 2023'!_Pi2</definedName>
    <definedName name="Pi2_11" localSheetId="86">'рез к 2017-2023'!_Pi2</definedName>
    <definedName name="Pi2_11" localSheetId="82">'рез к 2018-2024 (кор) '!_Pi2</definedName>
    <definedName name="Pi2_11" localSheetId="13">'Текущий ремонт'!_Pi2</definedName>
    <definedName name="Pi2_11" localSheetId="23">'ФАКТ.СЕБЕСТ.ВОДА за 1 пол. 2023'!_Pi2</definedName>
    <definedName name="Pi2_11" localSheetId="21">'ФАКТ.СЕБЕСТ.СТОКИ за 1 пол.2023'!_Pi2</definedName>
    <definedName name="Pi2_11" localSheetId="14">'Чистая прибыль с транспортир.23'!_Pi2</definedName>
    <definedName name="Pi2_11">[0]!_Pi2</definedName>
    <definedName name="Pi2_13" localSheetId="84">'А 2018'!_Pi2</definedName>
    <definedName name="Pi2_13" localSheetId="66">'выпадающие расходы'!_Pi2</definedName>
    <definedName name="Pi2_13" localSheetId="55">'ЗП с факт 3 кв. 2015'!_Pi2</definedName>
    <definedName name="Pi2_13" localSheetId="24">'ПОЛНАЯ СЕБЕСТОИМОСТЬ ВОДА 2023'!_Pi2</definedName>
    <definedName name="Pi2_13" localSheetId="22">'ПОЛНАЯ СЕБЕСТОИМОСТЬ СТОКИ 2023'!_Pi2</definedName>
    <definedName name="Pi2_13" localSheetId="19">'Прил. 1 План ФХД вода 2023'!_Pi2</definedName>
    <definedName name="Pi2_13" localSheetId="18">'Прил. 1 План ФХД стоки 2023'!_Pi2</definedName>
    <definedName name="Pi2_13" localSheetId="17">'Прил. 1 План ФХД трансп. воды23'!_Pi2</definedName>
    <definedName name="Pi2_13" localSheetId="15">'Прил.1 ПланФХД с транспортир.23'!_Pi2</definedName>
    <definedName name="Pi2_13" localSheetId="16">'Прил.1 ПланФХД трансп. стоков23'!_Pi2</definedName>
    <definedName name="Pi2_13" localSheetId="85">'Расчет товарной выручки 2018'!_Pi2</definedName>
    <definedName name="Pi2_13" localSheetId="25">'Расчет товарной выручки 2019'!_Pi2</definedName>
    <definedName name="Pi2_13" localSheetId="20">'Расчет товарной выручки 2023'!_Pi2</definedName>
    <definedName name="Pi2_13" localSheetId="86">'рез к 2017-2023'!_Pi2</definedName>
    <definedName name="Pi2_13" localSheetId="82">'рез к 2018-2024 (кор) '!_Pi2</definedName>
    <definedName name="Pi2_13" localSheetId="13">'Текущий ремонт'!_Pi2</definedName>
    <definedName name="Pi2_13" localSheetId="23">'ФАКТ.СЕБЕСТ.ВОДА за 1 пол. 2023'!_Pi2</definedName>
    <definedName name="Pi2_13" localSheetId="21">'ФАКТ.СЕБЕСТ.СТОКИ за 1 пол.2023'!_Pi2</definedName>
    <definedName name="Pi2_13" localSheetId="14">'Чистая прибыль с транспортир.23'!_Pi2</definedName>
    <definedName name="Pi2_13">[0]!_Pi2</definedName>
    <definedName name="Pi2_14" localSheetId="84">'А 2018'!_Pi2</definedName>
    <definedName name="Pi2_14" localSheetId="66">'выпадающие расходы'!_Pi2</definedName>
    <definedName name="Pi2_14" localSheetId="55">'ЗП с факт 3 кв. 2015'!_Pi2</definedName>
    <definedName name="Pi2_14" localSheetId="24">'ПОЛНАЯ СЕБЕСТОИМОСТЬ ВОДА 2023'!_Pi2</definedName>
    <definedName name="Pi2_14" localSheetId="22">'ПОЛНАЯ СЕБЕСТОИМОСТЬ СТОКИ 2023'!_Pi2</definedName>
    <definedName name="Pi2_14" localSheetId="19">'Прил. 1 План ФХД вода 2023'!_Pi2</definedName>
    <definedName name="Pi2_14" localSheetId="18">'Прил. 1 План ФХД стоки 2023'!_Pi2</definedName>
    <definedName name="Pi2_14" localSheetId="17">'Прил. 1 План ФХД трансп. воды23'!_Pi2</definedName>
    <definedName name="Pi2_14" localSheetId="15">'Прил.1 ПланФХД с транспортир.23'!_Pi2</definedName>
    <definedName name="Pi2_14" localSheetId="16">'Прил.1 ПланФХД трансп. стоков23'!_Pi2</definedName>
    <definedName name="Pi2_14" localSheetId="85">'Расчет товарной выручки 2018'!_Pi2</definedName>
    <definedName name="Pi2_14" localSheetId="25">'Расчет товарной выручки 2019'!_Pi2</definedName>
    <definedName name="Pi2_14" localSheetId="20">'Расчет товарной выручки 2023'!_Pi2</definedName>
    <definedName name="Pi2_14" localSheetId="86">'рез к 2017-2023'!_Pi2</definedName>
    <definedName name="Pi2_14" localSheetId="82">'рез к 2018-2024 (кор) '!_Pi2</definedName>
    <definedName name="Pi2_14" localSheetId="13">'Текущий ремонт'!_Pi2</definedName>
    <definedName name="Pi2_14" localSheetId="23">'ФАКТ.СЕБЕСТ.ВОДА за 1 пол. 2023'!_Pi2</definedName>
    <definedName name="Pi2_14" localSheetId="21">'ФАКТ.СЕБЕСТ.СТОКИ за 1 пол.2023'!_Pi2</definedName>
    <definedName name="Pi2_14" localSheetId="14">'Чистая прибыль с транспортир.23'!_Pi2</definedName>
    <definedName name="Pi2_14">[0]!_Pi2</definedName>
    <definedName name="Pi2_15" localSheetId="84">'А 2018'!_Pi2</definedName>
    <definedName name="Pi2_15" localSheetId="66">'выпадающие расходы'!_Pi2</definedName>
    <definedName name="Pi2_15" localSheetId="55">'ЗП с факт 3 кв. 2015'!_Pi2</definedName>
    <definedName name="Pi2_15" localSheetId="24">'ПОЛНАЯ СЕБЕСТОИМОСТЬ ВОДА 2023'!_Pi2</definedName>
    <definedName name="Pi2_15" localSheetId="22">'ПОЛНАЯ СЕБЕСТОИМОСТЬ СТОКИ 2023'!_Pi2</definedName>
    <definedName name="Pi2_15" localSheetId="19">'Прил. 1 План ФХД вода 2023'!_Pi2</definedName>
    <definedName name="Pi2_15" localSheetId="18">'Прил. 1 План ФХД стоки 2023'!_Pi2</definedName>
    <definedName name="Pi2_15" localSheetId="17">'Прил. 1 План ФХД трансп. воды23'!_Pi2</definedName>
    <definedName name="Pi2_15" localSheetId="15">'Прил.1 ПланФХД с транспортир.23'!_Pi2</definedName>
    <definedName name="Pi2_15" localSheetId="16">'Прил.1 ПланФХД трансп. стоков23'!_Pi2</definedName>
    <definedName name="Pi2_15" localSheetId="85">'Расчет товарной выручки 2018'!_Pi2</definedName>
    <definedName name="Pi2_15" localSheetId="25">'Расчет товарной выручки 2019'!_Pi2</definedName>
    <definedName name="Pi2_15" localSheetId="20">'Расчет товарной выручки 2023'!_Pi2</definedName>
    <definedName name="Pi2_15" localSheetId="86">'рез к 2017-2023'!_Pi2</definedName>
    <definedName name="Pi2_15" localSheetId="82">'рез к 2018-2024 (кор) '!_Pi2</definedName>
    <definedName name="Pi2_15" localSheetId="13">'Текущий ремонт'!_Pi2</definedName>
    <definedName name="Pi2_15" localSheetId="23">'ФАКТ.СЕБЕСТ.ВОДА за 1 пол. 2023'!_Pi2</definedName>
    <definedName name="Pi2_15" localSheetId="21">'ФАКТ.СЕБЕСТ.СТОКИ за 1 пол.2023'!_Pi2</definedName>
    <definedName name="Pi2_15" localSheetId="14">'Чистая прибыль с транспортир.23'!_Pi2</definedName>
    <definedName name="Pi2_15">_Pi2</definedName>
    <definedName name="Pi2_16" localSheetId="84">'А 2018'!_Pi2</definedName>
    <definedName name="Pi2_16" localSheetId="66">'выпадающие расходы'!_Pi2</definedName>
    <definedName name="Pi2_16" localSheetId="55">'ЗП с факт 3 кв. 2015'!_Pi2</definedName>
    <definedName name="Pi2_16" localSheetId="24">'ПОЛНАЯ СЕБЕСТОИМОСТЬ ВОДА 2023'!_Pi2</definedName>
    <definedName name="Pi2_16" localSheetId="22">'ПОЛНАЯ СЕБЕСТОИМОСТЬ СТОКИ 2023'!_Pi2</definedName>
    <definedName name="Pi2_16" localSheetId="19">'Прил. 1 План ФХД вода 2023'!_Pi2</definedName>
    <definedName name="Pi2_16" localSheetId="18">'Прил. 1 План ФХД стоки 2023'!_Pi2</definedName>
    <definedName name="Pi2_16" localSheetId="17">'Прил. 1 План ФХД трансп. воды23'!_Pi2</definedName>
    <definedName name="Pi2_16" localSheetId="15">'Прил.1 ПланФХД с транспортир.23'!_Pi2</definedName>
    <definedName name="Pi2_16" localSheetId="16">'Прил.1 ПланФХД трансп. стоков23'!_Pi2</definedName>
    <definedName name="Pi2_16" localSheetId="85">'Расчет товарной выручки 2018'!_Pi2</definedName>
    <definedName name="Pi2_16" localSheetId="25">'Расчет товарной выручки 2019'!_Pi2</definedName>
    <definedName name="Pi2_16" localSheetId="20">'Расчет товарной выручки 2023'!_Pi2</definedName>
    <definedName name="Pi2_16" localSheetId="86">'рез к 2017-2023'!_Pi2</definedName>
    <definedName name="Pi2_16" localSheetId="82">'рез к 2018-2024 (кор) '!_Pi2</definedName>
    <definedName name="Pi2_16" localSheetId="13">'Текущий ремонт'!_Pi2</definedName>
    <definedName name="Pi2_16" localSheetId="23">'ФАКТ.СЕБЕСТ.ВОДА за 1 пол. 2023'!_Pi2</definedName>
    <definedName name="Pi2_16" localSheetId="21">'ФАКТ.СЕБЕСТ.СТОКИ за 1 пол.2023'!_Pi2</definedName>
    <definedName name="Pi2_16" localSheetId="14">'Чистая прибыль с транспортир.23'!_Pi2</definedName>
    <definedName name="Pi2_16">[0]!_Pi2</definedName>
    <definedName name="Pi2_2" localSheetId="84">'А 2018'!_Pi2</definedName>
    <definedName name="Pi2_2" localSheetId="66">'выпадающие расходы'!_Pi2</definedName>
    <definedName name="Pi2_2" localSheetId="55">'ЗП с факт 3 кв. 2015'!_Pi2</definedName>
    <definedName name="Pi2_2" localSheetId="24">'ПОЛНАЯ СЕБЕСТОИМОСТЬ ВОДА 2023'!_Pi2</definedName>
    <definedName name="Pi2_2" localSheetId="22">'ПОЛНАЯ СЕБЕСТОИМОСТЬ СТОКИ 2023'!_Pi2</definedName>
    <definedName name="Pi2_2" localSheetId="19">'Прил. 1 План ФХД вода 2023'!_Pi2</definedName>
    <definedName name="Pi2_2" localSheetId="18">'Прил. 1 План ФХД стоки 2023'!_Pi2</definedName>
    <definedName name="Pi2_2" localSheetId="17">'Прил. 1 План ФХД трансп. воды23'!_Pi2</definedName>
    <definedName name="Pi2_2" localSheetId="15">'Прил.1 ПланФХД с транспортир.23'!_Pi2</definedName>
    <definedName name="Pi2_2" localSheetId="16">'Прил.1 ПланФХД трансп. стоков23'!_Pi2</definedName>
    <definedName name="Pi2_2" localSheetId="85">'Расчет товарной выручки 2018'!_Pi2</definedName>
    <definedName name="Pi2_2" localSheetId="25">'Расчет товарной выручки 2019'!_Pi2</definedName>
    <definedName name="Pi2_2" localSheetId="20">'Расчет товарной выручки 2023'!_Pi2</definedName>
    <definedName name="Pi2_2" localSheetId="86">'рез к 2017-2023'!_Pi2</definedName>
    <definedName name="Pi2_2" localSheetId="82">'рез к 2018-2024 (кор) '!_Pi2</definedName>
    <definedName name="Pi2_2" localSheetId="13">'Текущий ремонт'!_Pi2</definedName>
    <definedName name="Pi2_2" localSheetId="23">'ФАКТ.СЕБЕСТ.ВОДА за 1 пол. 2023'!_Pi2</definedName>
    <definedName name="Pi2_2" localSheetId="21">'ФАКТ.СЕБЕСТ.СТОКИ за 1 пол.2023'!_Pi2</definedName>
    <definedName name="Pi2_2" localSheetId="14">'Чистая прибыль с транспортир.23'!_Pi2</definedName>
    <definedName name="Pi2_2">[0]!_Pi2</definedName>
    <definedName name="Pi2_22" localSheetId="84">'А 2018'!_Pi2</definedName>
    <definedName name="Pi2_22" localSheetId="66">'выпадающие расходы'!_Pi2</definedName>
    <definedName name="Pi2_22" localSheetId="55">'ЗП с факт 3 кв. 2015'!_Pi2</definedName>
    <definedName name="Pi2_22" localSheetId="24">'ПОЛНАЯ СЕБЕСТОИМОСТЬ ВОДА 2023'!_Pi2</definedName>
    <definedName name="Pi2_22" localSheetId="22">'ПОЛНАЯ СЕБЕСТОИМОСТЬ СТОКИ 2023'!_Pi2</definedName>
    <definedName name="Pi2_22" localSheetId="19">'Прил. 1 План ФХД вода 2023'!_Pi2</definedName>
    <definedName name="Pi2_22" localSheetId="18">'Прил. 1 План ФХД стоки 2023'!_Pi2</definedName>
    <definedName name="Pi2_22" localSheetId="17">'Прил. 1 План ФХД трансп. воды23'!_Pi2</definedName>
    <definedName name="Pi2_22" localSheetId="15">'Прил.1 ПланФХД с транспортир.23'!_Pi2</definedName>
    <definedName name="Pi2_22" localSheetId="16">'Прил.1 ПланФХД трансп. стоков23'!_Pi2</definedName>
    <definedName name="Pi2_22" localSheetId="85">'Расчет товарной выручки 2018'!_Pi2</definedName>
    <definedName name="Pi2_22" localSheetId="25">'Расчет товарной выручки 2019'!_Pi2</definedName>
    <definedName name="Pi2_22" localSheetId="20">'Расчет товарной выручки 2023'!_Pi2</definedName>
    <definedName name="Pi2_22" localSheetId="86">'рез к 2017-2023'!_Pi2</definedName>
    <definedName name="Pi2_22" localSheetId="82">'рез к 2018-2024 (кор) '!_Pi2</definedName>
    <definedName name="Pi2_22" localSheetId="13">'Текущий ремонт'!_Pi2</definedName>
    <definedName name="Pi2_22" localSheetId="23">'ФАКТ.СЕБЕСТ.ВОДА за 1 пол. 2023'!_Pi2</definedName>
    <definedName name="Pi2_22" localSheetId="21">'ФАКТ.СЕБЕСТ.СТОКИ за 1 пол.2023'!_Pi2</definedName>
    <definedName name="Pi2_22" localSheetId="14">'Чистая прибыль с транспортир.23'!_Pi2</definedName>
    <definedName name="Pi2_22">_Pi2</definedName>
    <definedName name="Pi2_3" localSheetId="84">'А 2018'!_Pi2</definedName>
    <definedName name="Pi2_3" localSheetId="66">'выпадающие расходы'!_Pi2</definedName>
    <definedName name="Pi2_3" localSheetId="55">'ЗП с факт 3 кв. 2015'!_Pi2</definedName>
    <definedName name="Pi2_3" localSheetId="24">'ПОЛНАЯ СЕБЕСТОИМОСТЬ ВОДА 2023'!_Pi2</definedName>
    <definedName name="Pi2_3" localSheetId="22">'ПОЛНАЯ СЕБЕСТОИМОСТЬ СТОКИ 2023'!_Pi2</definedName>
    <definedName name="Pi2_3" localSheetId="19">'Прил. 1 План ФХД вода 2023'!_Pi2</definedName>
    <definedName name="Pi2_3" localSheetId="18">'Прил. 1 План ФХД стоки 2023'!_Pi2</definedName>
    <definedName name="Pi2_3" localSheetId="17">'Прил. 1 План ФХД трансп. воды23'!_Pi2</definedName>
    <definedName name="Pi2_3" localSheetId="15">'Прил.1 ПланФХД с транспортир.23'!_Pi2</definedName>
    <definedName name="Pi2_3" localSheetId="16">'Прил.1 ПланФХД трансп. стоков23'!_Pi2</definedName>
    <definedName name="Pi2_3" localSheetId="85">'Расчет товарной выручки 2018'!_Pi2</definedName>
    <definedName name="Pi2_3" localSheetId="25">'Расчет товарной выручки 2019'!_Pi2</definedName>
    <definedName name="Pi2_3" localSheetId="20">'Расчет товарной выручки 2023'!_Pi2</definedName>
    <definedName name="Pi2_3" localSheetId="86">'рез к 2017-2023'!_Pi2</definedName>
    <definedName name="Pi2_3" localSheetId="82">'рез к 2018-2024 (кор) '!_Pi2</definedName>
    <definedName name="Pi2_3" localSheetId="13">'Текущий ремонт'!_Pi2</definedName>
    <definedName name="Pi2_3" localSheetId="23">'ФАКТ.СЕБЕСТ.ВОДА за 1 пол. 2023'!_Pi2</definedName>
    <definedName name="Pi2_3" localSheetId="21">'ФАКТ.СЕБЕСТ.СТОКИ за 1 пол.2023'!_Pi2</definedName>
    <definedName name="Pi2_3" localSheetId="14">'Чистая прибыль с транспортир.23'!_Pi2</definedName>
    <definedName name="Pi2_3">[0]!_Pi2</definedName>
    <definedName name="Pi2_4" localSheetId="84">'А 2018'!_Pi2</definedName>
    <definedName name="Pi2_4" localSheetId="66">'выпадающие расходы'!_Pi2</definedName>
    <definedName name="Pi2_4" localSheetId="55">'ЗП с факт 3 кв. 2015'!_Pi2</definedName>
    <definedName name="Pi2_4" localSheetId="24">'ПОЛНАЯ СЕБЕСТОИМОСТЬ ВОДА 2023'!_Pi2</definedName>
    <definedName name="Pi2_4" localSheetId="22">'ПОЛНАЯ СЕБЕСТОИМОСТЬ СТОКИ 2023'!_Pi2</definedName>
    <definedName name="Pi2_4" localSheetId="19">'Прил. 1 План ФХД вода 2023'!_Pi2</definedName>
    <definedName name="Pi2_4" localSheetId="18">'Прил. 1 План ФХД стоки 2023'!_Pi2</definedName>
    <definedName name="Pi2_4" localSheetId="17">'Прил. 1 План ФХД трансп. воды23'!_Pi2</definedName>
    <definedName name="Pi2_4" localSheetId="15">'Прил.1 ПланФХД с транспортир.23'!_Pi2</definedName>
    <definedName name="Pi2_4" localSheetId="16">'Прил.1 ПланФХД трансп. стоков23'!_Pi2</definedName>
    <definedName name="Pi2_4" localSheetId="85">'Расчет товарной выручки 2018'!_Pi2</definedName>
    <definedName name="Pi2_4" localSheetId="25">'Расчет товарной выручки 2019'!_Pi2</definedName>
    <definedName name="Pi2_4" localSheetId="20">'Расчет товарной выручки 2023'!_Pi2</definedName>
    <definedName name="Pi2_4" localSheetId="86">'рез к 2017-2023'!_Pi2</definedName>
    <definedName name="Pi2_4" localSheetId="82">'рез к 2018-2024 (кор) '!_Pi2</definedName>
    <definedName name="Pi2_4" localSheetId="13">'Текущий ремонт'!_Pi2</definedName>
    <definedName name="Pi2_4" localSheetId="23">'ФАКТ.СЕБЕСТ.ВОДА за 1 пол. 2023'!_Pi2</definedName>
    <definedName name="Pi2_4" localSheetId="21">'ФАКТ.СЕБЕСТ.СТОКИ за 1 пол.2023'!_Pi2</definedName>
    <definedName name="Pi2_4" localSheetId="14">'Чистая прибыль с транспортир.23'!_Pi2</definedName>
    <definedName name="Pi2_4">_Pi2</definedName>
    <definedName name="Pi2_67" localSheetId="84">'А 2018'!_Pi2</definedName>
    <definedName name="Pi2_67" localSheetId="66">'выпадающие расходы'!_Pi2</definedName>
    <definedName name="Pi2_67" localSheetId="55">'ЗП с факт 3 кв. 2015'!_Pi2</definedName>
    <definedName name="Pi2_67" localSheetId="24">'ПОЛНАЯ СЕБЕСТОИМОСТЬ ВОДА 2023'!_Pi2</definedName>
    <definedName name="Pi2_67" localSheetId="22">'ПОЛНАЯ СЕБЕСТОИМОСТЬ СТОКИ 2023'!_Pi2</definedName>
    <definedName name="Pi2_67" localSheetId="19">'Прил. 1 План ФХД вода 2023'!_Pi2</definedName>
    <definedName name="Pi2_67" localSheetId="18">'Прил. 1 План ФХД стоки 2023'!_Pi2</definedName>
    <definedName name="Pi2_67" localSheetId="17">'Прил. 1 План ФХД трансп. воды23'!_Pi2</definedName>
    <definedName name="Pi2_67" localSheetId="15">'Прил.1 ПланФХД с транспортир.23'!_Pi2</definedName>
    <definedName name="Pi2_67" localSheetId="16">'Прил.1 ПланФХД трансп. стоков23'!_Pi2</definedName>
    <definedName name="Pi2_67" localSheetId="85">'Расчет товарной выручки 2018'!_Pi2</definedName>
    <definedName name="Pi2_67" localSheetId="25">'Расчет товарной выручки 2019'!_Pi2</definedName>
    <definedName name="Pi2_67" localSheetId="20">'Расчет товарной выручки 2023'!_Pi2</definedName>
    <definedName name="Pi2_67" localSheetId="86">'рез к 2017-2023'!_Pi2</definedName>
    <definedName name="Pi2_67" localSheetId="82">'рез к 2018-2024 (кор) '!_Pi2</definedName>
    <definedName name="Pi2_67" localSheetId="13">'Текущий ремонт'!_Pi2</definedName>
    <definedName name="Pi2_67" localSheetId="23">'ФАКТ.СЕБЕСТ.ВОДА за 1 пол. 2023'!_Pi2</definedName>
    <definedName name="Pi2_67" localSheetId="21">'ФАКТ.СЕБЕСТ.СТОКИ за 1 пол.2023'!_Pi2</definedName>
    <definedName name="Pi2_67" localSheetId="14">'Чистая прибыль с транспортир.23'!_Pi2</definedName>
    <definedName name="Pi2_67">_Pi2</definedName>
    <definedName name="Pi2_70" localSheetId="84">'А 2018'!_Pi2</definedName>
    <definedName name="Pi2_70" localSheetId="66">'выпадающие расходы'!_Pi2</definedName>
    <definedName name="Pi2_70" localSheetId="55">'ЗП с факт 3 кв. 2015'!_Pi2</definedName>
    <definedName name="Pi2_70" localSheetId="24">'ПОЛНАЯ СЕБЕСТОИМОСТЬ ВОДА 2023'!_Pi2</definedName>
    <definedName name="Pi2_70" localSheetId="22">'ПОЛНАЯ СЕБЕСТОИМОСТЬ СТОКИ 2023'!_Pi2</definedName>
    <definedName name="Pi2_70" localSheetId="19">'Прил. 1 План ФХД вода 2023'!_Pi2</definedName>
    <definedName name="Pi2_70" localSheetId="18">'Прил. 1 План ФХД стоки 2023'!_Pi2</definedName>
    <definedName name="Pi2_70" localSheetId="17">'Прил. 1 План ФХД трансп. воды23'!_Pi2</definedName>
    <definedName name="Pi2_70" localSheetId="15">'Прил.1 ПланФХД с транспортир.23'!_Pi2</definedName>
    <definedName name="Pi2_70" localSheetId="16">'Прил.1 ПланФХД трансп. стоков23'!_Pi2</definedName>
    <definedName name="Pi2_70" localSheetId="85">'Расчет товарной выручки 2018'!_Pi2</definedName>
    <definedName name="Pi2_70" localSheetId="25">'Расчет товарной выручки 2019'!_Pi2</definedName>
    <definedName name="Pi2_70" localSheetId="20">'Расчет товарной выручки 2023'!_Pi2</definedName>
    <definedName name="Pi2_70" localSheetId="86">'рез к 2017-2023'!_Pi2</definedName>
    <definedName name="Pi2_70" localSheetId="82">'рез к 2018-2024 (кор) '!_Pi2</definedName>
    <definedName name="Pi2_70" localSheetId="13">'Текущий ремонт'!_Pi2</definedName>
    <definedName name="Pi2_70" localSheetId="23">'ФАКТ.СЕБЕСТ.ВОДА за 1 пол. 2023'!_Pi2</definedName>
    <definedName name="Pi2_70" localSheetId="21">'ФАКТ.СЕБЕСТ.СТОКИ за 1 пол.2023'!_Pi2</definedName>
    <definedName name="Pi2_70" localSheetId="14">'Чистая прибыль с транспортир.23'!_Pi2</definedName>
    <definedName name="Pi2_70">_Pi2</definedName>
    <definedName name="Pi2_71" localSheetId="84">'А 2018'!_Pi2</definedName>
    <definedName name="Pi2_71" localSheetId="66">'выпадающие расходы'!_Pi2</definedName>
    <definedName name="Pi2_71" localSheetId="55">'ЗП с факт 3 кв. 2015'!_Pi2</definedName>
    <definedName name="Pi2_71" localSheetId="24">'ПОЛНАЯ СЕБЕСТОИМОСТЬ ВОДА 2023'!_Pi2</definedName>
    <definedName name="Pi2_71" localSheetId="22">'ПОЛНАЯ СЕБЕСТОИМОСТЬ СТОКИ 2023'!_Pi2</definedName>
    <definedName name="Pi2_71" localSheetId="19">'Прил. 1 План ФХД вода 2023'!_Pi2</definedName>
    <definedName name="Pi2_71" localSheetId="18">'Прил. 1 План ФХД стоки 2023'!_Pi2</definedName>
    <definedName name="Pi2_71" localSheetId="17">'Прил. 1 План ФХД трансп. воды23'!_Pi2</definedName>
    <definedName name="Pi2_71" localSheetId="15">'Прил.1 ПланФХД с транспортир.23'!_Pi2</definedName>
    <definedName name="Pi2_71" localSheetId="16">'Прил.1 ПланФХД трансп. стоков23'!_Pi2</definedName>
    <definedName name="Pi2_71" localSheetId="85">'Расчет товарной выручки 2018'!_Pi2</definedName>
    <definedName name="Pi2_71" localSheetId="25">'Расчет товарной выручки 2019'!_Pi2</definedName>
    <definedName name="Pi2_71" localSheetId="20">'Расчет товарной выручки 2023'!_Pi2</definedName>
    <definedName name="Pi2_71" localSheetId="86">'рез к 2017-2023'!_Pi2</definedName>
    <definedName name="Pi2_71" localSheetId="82">'рез к 2018-2024 (кор) '!_Pi2</definedName>
    <definedName name="Pi2_71" localSheetId="13">'Текущий ремонт'!_Pi2</definedName>
    <definedName name="Pi2_71" localSheetId="23">'ФАКТ.СЕБЕСТ.ВОДА за 1 пол. 2023'!_Pi2</definedName>
    <definedName name="Pi2_71" localSheetId="21">'ФАКТ.СЕБЕСТ.СТОКИ за 1 пол.2023'!_Pi2</definedName>
    <definedName name="Pi2_71" localSheetId="14">'Чистая прибыль с транспортир.23'!_Pi2</definedName>
    <definedName name="Pi2_71">_Pi2</definedName>
    <definedName name="Pi2_72" localSheetId="84">'А 2018'!_Pi2</definedName>
    <definedName name="Pi2_72" localSheetId="66">'выпадающие расходы'!_Pi2</definedName>
    <definedName name="Pi2_72" localSheetId="55">'ЗП с факт 3 кв. 2015'!_Pi2</definedName>
    <definedName name="Pi2_72" localSheetId="24">'ПОЛНАЯ СЕБЕСТОИМОСТЬ ВОДА 2023'!_Pi2</definedName>
    <definedName name="Pi2_72" localSheetId="22">'ПОЛНАЯ СЕБЕСТОИМОСТЬ СТОКИ 2023'!_Pi2</definedName>
    <definedName name="Pi2_72" localSheetId="19">'Прил. 1 План ФХД вода 2023'!_Pi2</definedName>
    <definedName name="Pi2_72" localSheetId="18">'Прил. 1 План ФХД стоки 2023'!_Pi2</definedName>
    <definedName name="Pi2_72" localSheetId="17">'Прил. 1 План ФХД трансп. воды23'!_Pi2</definedName>
    <definedName name="Pi2_72" localSheetId="15">'Прил.1 ПланФХД с транспортир.23'!_Pi2</definedName>
    <definedName name="Pi2_72" localSheetId="16">'Прил.1 ПланФХД трансп. стоков23'!_Pi2</definedName>
    <definedName name="Pi2_72" localSheetId="85">'Расчет товарной выручки 2018'!_Pi2</definedName>
    <definedName name="Pi2_72" localSheetId="25">'Расчет товарной выручки 2019'!_Pi2</definedName>
    <definedName name="Pi2_72" localSheetId="20">'Расчет товарной выручки 2023'!_Pi2</definedName>
    <definedName name="Pi2_72" localSheetId="86">'рез к 2017-2023'!_Pi2</definedName>
    <definedName name="Pi2_72" localSheetId="82">'рез к 2018-2024 (кор) '!_Pi2</definedName>
    <definedName name="Pi2_72" localSheetId="13">'Текущий ремонт'!_Pi2</definedName>
    <definedName name="Pi2_72" localSheetId="23">'ФАКТ.СЕБЕСТ.ВОДА за 1 пол. 2023'!_Pi2</definedName>
    <definedName name="Pi2_72" localSheetId="21">'ФАКТ.СЕБЕСТ.СТОКИ за 1 пол.2023'!_Pi2</definedName>
    <definedName name="Pi2_72" localSheetId="14">'Чистая прибыль с транспортир.23'!_Pi2</definedName>
    <definedName name="Pi2_72">_Pi2</definedName>
    <definedName name="Pi2_74" localSheetId="84">'А 2018'!_Pi2</definedName>
    <definedName name="Pi2_74" localSheetId="66">'выпадающие расходы'!_Pi2</definedName>
    <definedName name="Pi2_74" localSheetId="55">'ЗП с факт 3 кв. 2015'!_Pi2</definedName>
    <definedName name="Pi2_74" localSheetId="24">'ПОЛНАЯ СЕБЕСТОИМОСТЬ ВОДА 2023'!_Pi2</definedName>
    <definedName name="Pi2_74" localSheetId="22">'ПОЛНАЯ СЕБЕСТОИМОСТЬ СТОКИ 2023'!_Pi2</definedName>
    <definedName name="Pi2_74" localSheetId="19">'Прил. 1 План ФХД вода 2023'!_Pi2</definedName>
    <definedName name="Pi2_74" localSheetId="18">'Прил. 1 План ФХД стоки 2023'!_Pi2</definedName>
    <definedName name="Pi2_74" localSheetId="17">'Прил. 1 План ФХД трансп. воды23'!_Pi2</definedName>
    <definedName name="Pi2_74" localSheetId="15">'Прил.1 ПланФХД с транспортир.23'!_Pi2</definedName>
    <definedName name="Pi2_74" localSheetId="16">'Прил.1 ПланФХД трансп. стоков23'!_Pi2</definedName>
    <definedName name="Pi2_74" localSheetId="85">'Расчет товарной выручки 2018'!_Pi2</definedName>
    <definedName name="Pi2_74" localSheetId="25">'Расчет товарной выручки 2019'!_Pi2</definedName>
    <definedName name="Pi2_74" localSheetId="20">'Расчет товарной выручки 2023'!_Pi2</definedName>
    <definedName name="Pi2_74" localSheetId="86">'рез к 2017-2023'!_Pi2</definedName>
    <definedName name="Pi2_74" localSheetId="82">'рез к 2018-2024 (кор) '!_Pi2</definedName>
    <definedName name="Pi2_74" localSheetId="13">'Текущий ремонт'!_Pi2</definedName>
    <definedName name="Pi2_74" localSheetId="23">'ФАКТ.СЕБЕСТ.ВОДА за 1 пол. 2023'!_Pi2</definedName>
    <definedName name="Pi2_74" localSheetId="21">'ФАКТ.СЕБЕСТ.СТОКИ за 1 пол.2023'!_Pi2</definedName>
    <definedName name="Pi2_74" localSheetId="14">'Чистая прибыль с транспортир.23'!_Pi2</definedName>
    <definedName name="Pi2_74">_Pi2</definedName>
    <definedName name="Pi2_9" localSheetId="84">'А 2018'!_Pi2</definedName>
    <definedName name="Pi2_9" localSheetId="66">'выпадающие расходы'!_Pi2</definedName>
    <definedName name="Pi2_9" localSheetId="55">'ЗП с факт 3 кв. 2015'!_Pi2</definedName>
    <definedName name="Pi2_9" localSheetId="24">'ПОЛНАЯ СЕБЕСТОИМОСТЬ ВОДА 2023'!_Pi2</definedName>
    <definedName name="Pi2_9" localSheetId="22">'ПОЛНАЯ СЕБЕСТОИМОСТЬ СТОКИ 2023'!_Pi2</definedName>
    <definedName name="Pi2_9" localSheetId="19">'Прил. 1 План ФХД вода 2023'!_Pi2</definedName>
    <definedName name="Pi2_9" localSheetId="18">'Прил. 1 План ФХД стоки 2023'!_Pi2</definedName>
    <definedName name="Pi2_9" localSheetId="17">'Прил. 1 План ФХД трансп. воды23'!_Pi2</definedName>
    <definedName name="Pi2_9" localSheetId="15">'Прил.1 ПланФХД с транспортир.23'!_Pi2</definedName>
    <definedName name="Pi2_9" localSheetId="16">'Прил.1 ПланФХД трансп. стоков23'!_Pi2</definedName>
    <definedName name="Pi2_9" localSheetId="85">'Расчет товарной выручки 2018'!_Pi2</definedName>
    <definedName name="Pi2_9" localSheetId="25">'Расчет товарной выручки 2019'!_Pi2</definedName>
    <definedName name="Pi2_9" localSheetId="20">'Расчет товарной выручки 2023'!_Pi2</definedName>
    <definedName name="Pi2_9" localSheetId="86">'рез к 2017-2023'!_Pi2</definedName>
    <definedName name="Pi2_9" localSheetId="82">'рез к 2018-2024 (кор) '!_Pi2</definedName>
    <definedName name="Pi2_9" localSheetId="13">'Текущий ремонт'!_Pi2</definedName>
    <definedName name="Pi2_9" localSheetId="23">'ФАКТ.СЕБЕСТ.ВОДА за 1 пол. 2023'!_Pi2</definedName>
    <definedName name="Pi2_9" localSheetId="21">'ФАКТ.СЕБЕСТ.СТОКИ за 1 пол.2023'!_Pi2</definedName>
    <definedName name="Pi2_9" localSheetId="14">'Чистая прибыль с транспортир.23'!_Pi2</definedName>
    <definedName name="Pi2_9">_Pi2</definedName>
    <definedName name="Pi3_1" localSheetId="84">'А 2018'!_Pi3</definedName>
    <definedName name="Pi3_1" localSheetId="66">'выпадающие расходы'!_Pi3</definedName>
    <definedName name="Pi3_1" localSheetId="55">'ЗП с факт 3 кв. 2015'!_Pi3</definedName>
    <definedName name="Pi3_1" localSheetId="24">'ПОЛНАЯ СЕБЕСТОИМОСТЬ ВОДА 2023'!_Pi3</definedName>
    <definedName name="Pi3_1" localSheetId="22">'ПОЛНАЯ СЕБЕСТОИМОСТЬ СТОКИ 2023'!_Pi3</definedName>
    <definedName name="Pi3_1" localSheetId="19">'Прил. 1 План ФХД вода 2023'!_Pi3</definedName>
    <definedName name="Pi3_1" localSheetId="18">'Прил. 1 План ФХД стоки 2023'!_Pi3</definedName>
    <definedName name="Pi3_1" localSheetId="17">'Прил. 1 План ФХД трансп. воды23'!_Pi3</definedName>
    <definedName name="Pi3_1" localSheetId="15">'Прил.1 ПланФХД с транспортир.23'!_Pi3</definedName>
    <definedName name="Pi3_1" localSheetId="16">'Прил.1 ПланФХД трансп. стоков23'!_Pi3</definedName>
    <definedName name="Pi3_1" localSheetId="85">'Расчет товарной выручки 2018'!_Pi3</definedName>
    <definedName name="Pi3_1" localSheetId="25">'Расчет товарной выручки 2019'!_Pi3</definedName>
    <definedName name="Pi3_1" localSheetId="20">'Расчет товарной выручки 2023'!_Pi3</definedName>
    <definedName name="Pi3_1" localSheetId="86">'рез к 2017-2023'!_Pi3</definedName>
    <definedName name="Pi3_1" localSheetId="82">'рез к 2018-2024 (кор) '!_Pi3</definedName>
    <definedName name="Pi3_1" localSheetId="13">'Текущий ремонт'!_Pi3</definedName>
    <definedName name="Pi3_1" localSheetId="23">'ФАКТ.СЕБЕСТ.ВОДА за 1 пол. 2023'!_Pi3</definedName>
    <definedName name="Pi3_1" localSheetId="21">'ФАКТ.СЕБЕСТ.СТОКИ за 1 пол.2023'!_Pi3</definedName>
    <definedName name="Pi3_1" localSheetId="14">'Чистая прибыль с транспортир.23'!_Pi3</definedName>
    <definedName name="Pi3_1">[0]!_Pi3</definedName>
    <definedName name="Pi3_10" localSheetId="84">'А 2018'!_Pi3</definedName>
    <definedName name="Pi3_10" localSheetId="66">'выпадающие расходы'!_Pi3</definedName>
    <definedName name="Pi3_10" localSheetId="55">'ЗП с факт 3 кв. 2015'!_Pi3</definedName>
    <definedName name="Pi3_10" localSheetId="24">'ПОЛНАЯ СЕБЕСТОИМОСТЬ ВОДА 2023'!_Pi3</definedName>
    <definedName name="Pi3_10" localSheetId="22">'ПОЛНАЯ СЕБЕСТОИМОСТЬ СТОКИ 2023'!_Pi3</definedName>
    <definedName name="Pi3_10" localSheetId="19">'Прил. 1 План ФХД вода 2023'!_Pi3</definedName>
    <definedName name="Pi3_10" localSheetId="18">'Прил. 1 План ФХД стоки 2023'!_Pi3</definedName>
    <definedName name="Pi3_10" localSheetId="17">'Прил. 1 План ФХД трансп. воды23'!_Pi3</definedName>
    <definedName name="Pi3_10" localSheetId="15">'Прил.1 ПланФХД с транспортир.23'!_Pi3</definedName>
    <definedName name="Pi3_10" localSheetId="16">'Прил.1 ПланФХД трансп. стоков23'!_Pi3</definedName>
    <definedName name="Pi3_10" localSheetId="85">'Расчет товарной выручки 2018'!_Pi3</definedName>
    <definedName name="Pi3_10" localSheetId="25">'Расчет товарной выручки 2019'!_Pi3</definedName>
    <definedName name="Pi3_10" localSheetId="20">'Расчет товарной выручки 2023'!_Pi3</definedName>
    <definedName name="Pi3_10" localSheetId="86">'рез к 2017-2023'!_Pi3</definedName>
    <definedName name="Pi3_10" localSheetId="82">'рез к 2018-2024 (кор) '!_Pi3</definedName>
    <definedName name="Pi3_10" localSheetId="13">'Текущий ремонт'!_Pi3</definedName>
    <definedName name="Pi3_10" localSheetId="23">'ФАКТ.СЕБЕСТ.ВОДА за 1 пол. 2023'!_Pi3</definedName>
    <definedName name="Pi3_10" localSheetId="21">'ФАКТ.СЕБЕСТ.СТОКИ за 1 пол.2023'!_Pi3</definedName>
    <definedName name="Pi3_10" localSheetId="14">'Чистая прибыль с транспортир.23'!_Pi3</definedName>
    <definedName name="Pi3_10">[0]!_Pi3</definedName>
    <definedName name="Pi3_11" localSheetId="84">'А 2018'!_Pi3</definedName>
    <definedName name="Pi3_11" localSheetId="66">'выпадающие расходы'!_Pi3</definedName>
    <definedName name="Pi3_11" localSheetId="55">'ЗП с факт 3 кв. 2015'!_Pi3</definedName>
    <definedName name="Pi3_11" localSheetId="24">'ПОЛНАЯ СЕБЕСТОИМОСТЬ ВОДА 2023'!_Pi3</definedName>
    <definedName name="Pi3_11" localSheetId="22">'ПОЛНАЯ СЕБЕСТОИМОСТЬ СТОКИ 2023'!_Pi3</definedName>
    <definedName name="Pi3_11" localSheetId="19">'Прил. 1 План ФХД вода 2023'!_Pi3</definedName>
    <definedName name="Pi3_11" localSheetId="18">'Прил. 1 План ФХД стоки 2023'!_Pi3</definedName>
    <definedName name="Pi3_11" localSheetId="17">'Прил. 1 План ФХД трансп. воды23'!_Pi3</definedName>
    <definedName name="Pi3_11" localSheetId="15">'Прил.1 ПланФХД с транспортир.23'!_Pi3</definedName>
    <definedName name="Pi3_11" localSheetId="16">'Прил.1 ПланФХД трансп. стоков23'!_Pi3</definedName>
    <definedName name="Pi3_11" localSheetId="85">'Расчет товарной выручки 2018'!_Pi3</definedName>
    <definedName name="Pi3_11" localSheetId="25">'Расчет товарной выручки 2019'!_Pi3</definedName>
    <definedName name="Pi3_11" localSheetId="20">'Расчет товарной выручки 2023'!_Pi3</definedName>
    <definedName name="Pi3_11" localSheetId="86">'рез к 2017-2023'!_Pi3</definedName>
    <definedName name="Pi3_11" localSheetId="82">'рез к 2018-2024 (кор) '!_Pi3</definedName>
    <definedName name="Pi3_11" localSheetId="13">'Текущий ремонт'!_Pi3</definedName>
    <definedName name="Pi3_11" localSheetId="23">'ФАКТ.СЕБЕСТ.ВОДА за 1 пол. 2023'!_Pi3</definedName>
    <definedName name="Pi3_11" localSheetId="21">'ФАКТ.СЕБЕСТ.СТОКИ за 1 пол.2023'!_Pi3</definedName>
    <definedName name="Pi3_11" localSheetId="14">'Чистая прибыль с транспортир.23'!_Pi3</definedName>
    <definedName name="Pi3_11">[0]!_Pi3</definedName>
    <definedName name="Pi3_13" localSheetId="84">'А 2018'!_Pi3</definedName>
    <definedName name="Pi3_13" localSheetId="66">'выпадающие расходы'!_Pi3</definedName>
    <definedName name="Pi3_13" localSheetId="55">'ЗП с факт 3 кв. 2015'!_Pi3</definedName>
    <definedName name="Pi3_13" localSheetId="24">'ПОЛНАЯ СЕБЕСТОИМОСТЬ ВОДА 2023'!_Pi3</definedName>
    <definedName name="Pi3_13" localSheetId="22">'ПОЛНАЯ СЕБЕСТОИМОСТЬ СТОКИ 2023'!_Pi3</definedName>
    <definedName name="Pi3_13" localSheetId="19">'Прил. 1 План ФХД вода 2023'!_Pi3</definedName>
    <definedName name="Pi3_13" localSheetId="18">'Прил. 1 План ФХД стоки 2023'!_Pi3</definedName>
    <definedName name="Pi3_13" localSheetId="17">'Прил. 1 План ФХД трансп. воды23'!_Pi3</definedName>
    <definedName name="Pi3_13" localSheetId="15">'Прил.1 ПланФХД с транспортир.23'!_Pi3</definedName>
    <definedName name="Pi3_13" localSheetId="16">'Прил.1 ПланФХД трансп. стоков23'!_Pi3</definedName>
    <definedName name="Pi3_13" localSheetId="85">'Расчет товарной выручки 2018'!_Pi3</definedName>
    <definedName name="Pi3_13" localSheetId="25">'Расчет товарной выручки 2019'!_Pi3</definedName>
    <definedName name="Pi3_13" localSheetId="20">'Расчет товарной выручки 2023'!_Pi3</definedName>
    <definedName name="Pi3_13" localSheetId="86">'рез к 2017-2023'!_Pi3</definedName>
    <definedName name="Pi3_13" localSheetId="82">'рез к 2018-2024 (кор) '!_Pi3</definedName>
    <definedName name="Pi3_13" localSheetId="13">'Текущий ремонт'!_Pi3</definedName>
    <definedName name="Pi3_13" localSheetId="23">'ФАКТ.СЕБЕСТ.ВОДА за 1 пол. 2023'!_Pi3</definedName>
    <definedName name="Pi3_13" localSheetId="21">'ФАКТ.СЕБЕСТ.СТОКИ за 1 пол.2023'!_Pi3</definedName>
    <definedName name="Pi3_13" localSheetId="14">'Чистая прибыль с транспортир.23'!_Pi3</definedName>
    <definedName name="Pi3_13">[0]!_Pi3</definedName>
    <definedName name="Pi3_14" localSheetId="84">'А 2018'!_Pi3</definedName>
    <definedName name="Pi3_14" localSheetId="66">'выпадающие расходы'!_Pi3</definedName>
    <definedName name="Pi3_14" localSheetId="55">'ЗП с факт 3 кв. 2015'!_Pi3</definedName>
    <definedName name="Pi3_14" localSheetId="24">'ПОЛНАЯ СЕБЕСТОИМОСТЬ ВОДА 2023'!_Pi3</definedName>
    <definedName name="Pi3_14" localSheetId="22">'ПОЛНАЯ СЕБЕСТОИМОСТЬ СТОКИ 2023'!_Pi3</definedName>
    <definedName name="Pi3_14" localSheetId="19">'Прил. 1 План ФХД вода 2023'!_Pi3</definedName>
    <definedName name="Pi3_14" localSheetId="18">'Прил. 1 План ФХД стоки 2023'!_Pi3</definedName>
    <definedName name="Pi3_14" localSheetId="17">'Прил. 1 План ФХД трансп. воды23'!_Pi3</definedName>
    <definedName name="Pi3_14" localSheetId="15">'Прил.1 ПланФХД с транспортир.23'!_Pi3</definedName>
    <definedName name="Pi3_14" localSheetId="16">'Прил.1 ПланФХД трансп. стоков23'!_Pi3</definedName>
    <definedName name="Pi3_14" localSheetId="85">'Расчет товарной выручки 2018'!_Pi3</definedName>
    <definedName name="Pi3_14" localSheetId="25">'Расчет товарной выручки 2019'!_Pi3</definedName>
    <definedName name="Pi3_14" localSheetId="20">'Расчет товарной выручки 2023'!_Pi3</definedName>
    <definedName name="Pi3_14" localSheetId="86">'рез к 2017-2023'!_Pi3</definedName>
    <definedName name="Pi3_14" localSheetId="82">'рез к 2018-2024 (кор) '!_Pi3</definedName>
    <definedName name="Pi3_14" localSheetId="13">'Текущий ремонт'!_Pi3</definedName>
    <definedName name="Pi3_14" localSheetId="23">'ФАКТ.СЕБЕСТ.ВОДА за 1 пол. 2023'!_Pi3</definedName>
    <definedName name="Pi3_14" localSheetId="21">'ФАКТ.СЕБЕСТ.СТОКИ за 1 пол.2023'!_Pi3</definedName>
    <definedName name="Pi3_14" localSheetId="14">'Чистая прибыль с транспортир.23'!_Pi3</definedName>
    <definedName name="Pi3_14">[0]!_Pi3</definedName>
    <definedName name="Pi3_15" localSheetId="84">'А 2018'!_Pi3</definedName>
    <definedName name="Pi3_15" localSheetId="66">'выпадающие расходы'!_Pi3</definedName>
    <definedName name="Pi3_15" localSheetId="55">'ЗП с факт 3 кв. 2015'!_Pi3</definedName>
    <definedName name="Pi3_15" localSheetId="24">'ПОЛНАЯ СЕБЕСТОИМОСТЬ ВОДА 2023'!_Pi3</definedName>
    <definedName name="Pi3_15" localSheetId="22">'ПОЛНАЯ СЕБЕСТОИМОСТЬ СТОКИ 2023'!_Pi3</definedName>
    <definedName name="Pi3_15" localSheetId="19">'Прил. 1 План ФХД вода 2023'!_Pi3</definedName>
    <definedName name="Pi3_15" localSheetId="18">'Прил. 1 План ФХД стоки 2023'!_Pi3</definedName>
    <definedName name="Pi3_15" localSheetId="17">'Прил. 1 План ФХД трансп. воды23'!_Pi3</definedName>
    <definedName name="Pi3_15" localSheetId="15">'Прил.1 ПланФХД с транспортир.23'!_Pi3</definedName>
    <definedName name="Pi3_15" localSheetId="16">'Прил.1 ПланФХД трансп. стоков23'!_Pi3</definedName>
    <definedName name="Pi3_15" localSheetId="85">'Расчет товарной выручки 2018'!_Pi3</definedName>
    <definedName name="Pi3_15" localSheetId="25">'Расчет товарной выручки 2019'!_Pi3</definedName>
    <definedName name="Pi3_15" localSheetId="20">'Расчет товарной выручки 2023'!_Pi3</definedName>
    <definedName name="Pi3_15" localSheetId="86">'рез к 2017-2023'!_Pi3</definedName>
    <definedName name="Pi3_15" localSheetId="82">'рез к 2018-2024 (кор) '!_Pi3</definedName>
    <definedName name="Pi3_15" localSheetId="13">'Текущий ремонт'!_Pi3</definedName>
    <definedName name="Pi3_15" localSheetId="23">'ФАКТ.СЕБЕСТ.ВОДА за 1 пол. 2023'!_Pi3</definedName>
    <definedName name="Pi3_15" localSheetId="21">'ФАКТ.СЕБЕСТ.СТОКИ за 1 пол.2023'!_Pi3</definedName>
    <definedName name="Pi3_15" localSheetId="14">'Чистая прибыль с транспортир.23'!_Pi3</definedName>
    <definedName name="Pi3_15">_Pi3</definedName>
    <definedName name="Pi3_16" localSheetId="84">'А 2018'!_Pi3</definedName>
    <definedName name="Pi3_16" localSheetId="66">'выпадающие расходы'!_Pi3</definedName>
    <definedName name="Pi3_16" localSheetId="55">'ЗП с факт 3 кв. 2015'!_Pi3</definedName>
    <definedName name="Pi3_16" localSheetId="24">'ПОЛНАЯ СЕБЕСТОИМОСТЬ ВОДА 2023'!_Pi3</definedName>
    <definedName name="Pi3_16" localSheetId="22">'ПОЛНАЯ СЕБЕСТОИМОСТЬ СТОКИ 2023'!_Pi3</definedName>
    <definedName name="Pi3_16" localSheetId="19">'Прил. 1 План ФХД вода 2023'!_Pi3</definedName>
    <definedName name="Pi3_16" localSheetId="18">'Прил. 1 План ФХД стоки 2023'!_Pi3</definedName>
    <definedName name="Pi3_16" localSheetId="17">'Прил. 1 План ФХД трансп. воды23'!_Pi3</definedName>
    <definedName name="Pi3_16" localSheetId="15">'Прил.1 ПланФХД с транспортир.23'!_Pi3</definedName>
    <definedName name="Pi3_16" localSheetId="16">'Прил.1 ПланФХД трансп. стоков23'!_Pi3</definedName>
    <definedName name="Pi3_16" localSheetId="85">'Расчет товарной выручки 2018'!_Pi3</definedName>
    <definedName name="Pi3_16" localSheetId="25">'Расчет товарной выручки 2019'!_Pi3</definedName>
    <definedName name="Pi3_16" localSheetId="20">'Расчет товарной выручки 2023'!_Pi3</definedName>
    <definedName name="Pi3_16" localSheetId="86">'рез к 2017-2023'!_Pi3</definedName>
    <definedName name="Pi3_16" localSheetId="82">'рез к 2018-2024 (кор) '!_Pi3</definedName>
    <definedName name="Pi3_16" localSheetId="13">'Текущий ремонт'!_Pi3</definedName>
    <definedName name="Pi3_16" localSheetId="23">'ФАКТ.СЕБЕСТ.ВОДА за 1 пол. 2023'!_Pi3</definedName>
    <definedName name="Pi3_16" localSheetId="21">'ФАКТ.СЕБЕСТ.СТОКИ за 1 пол.2023'!_Pi3</definedName>
    <definedName name="Pi3_16" localSheetId="14">'Чистая прибыль с транспортир.23'!_Pi3</definedName>
    <definedName name="Pi3_16">[0]!_Pi3</definedName>
    <definedName name="Pi3_2" localSheetId="84">'А 2018'!_Pi3</definedName>
    <definedName name="Pi3_2" localSheetId="66">'выпадающие расходы'!_Pi3</definedName>
    <definedName name="Pi3_2" localSheetId="55">'ЗП с факт 3 кв. 2015'!_Pi3</definedName>
    <definedName name="Pi3_2" localSheetId="24">'ПОЛНАЯ СЕБЕСТОИМОСТЬ ВОДА 2023'!_Pi3</definedName>
    <definedName name="Pi3_2" localSheetId="22">'ПОЛНАЯ СЕБЕСТОИМОСТЬ СТОКИ 2023'!_Pi3</definedName>
    <definedName name="Pi3_2" localSheetId="19">'Прил. 1 План ФХД вода 2023'!_Pi3</definedName>
    <definedName name="Pi3_2" localSheetId="18">'Прил. 1 План ФХД стоки 2023'!_Pi3</definedName>
    <definedName name="Pi3_2" localSheetId="17">'Прил. 1 План ФХД трансп. воды23'!_Pi3</definedName>
    <definedName name="Pi3_2" localSheetId="15">'Прил.1 ПланФХД с транспортир.23'!_Pi3</definedName>
    <definedName name="Pi3_2" localSheetId="16">'Прил.1 ПланФХД трансп. стоков23'!_Pi3</definedName>
    <definedName name="Pi3_2" localSheetId="85">'Расчет товарной выручки 2018'!_Pi3</definedName>
    <definedName name="Pi3_2" localSheetId="25">'Расчет товарной выручки 2019'!_Pi3</definedName>
    <definedName name="Pi3_2" localSheetId="20">'Расчет товарной выручки 2023'!_Pi3</definedName>
    <definedName name="Pi3_2" localSheetId="86">'рез к 2017-2023'!_Pi3</definedName>
    <definedName name="Pi3_2" localSheetId="82">'рез к 2018-2024 (кор) '!_Pi3</definedName>
    <definedName name="Pi3_2" localSheetId="13">'Текущий ремонт'!_Pi3</definedName>
    <definedName name="Pi3_2" localSheetId="23">'ФАКТ.СЕБЕСТ.ВОДА за 1 пол. 2023'!_Pi3</definedName>
    <definedName name="Pi3_2" localSheetId="21">'ФАКТ.СЕБЕСТ.СТОКИ за 1 пол.2023'!_Pi3</definedName>
    <definedName name="Pi3_2" localSheetId="14">'Чистая прибыль с транспортир.23'!_Pi3</definedName>
    <definedName name="Pi3_2">[0]!_Pi3</definedName>
    <definedName name="Pi3_22" localSheetId="84">'А 2018'!_Pi3</definedName>
    <definedName name="Pi3_22" localSheetId="66">'выпадающие расходы'!_Pi3</definedName>
    <definedName name="Pi3_22" localSheetId="55">'ЗП с факт 3 кв. 2015'!_Pi3</definedName>
    <definedName name="Pi3_22" localSheetId="24">'ПОЛНАЯ СЕБЕСТОИМОСТЬ ВОДА 2023'!_Pi3</definedName>
    <definedName name="Pi3_22" localSheetId="22">'ПОЛНАЯ СЕБЕСТОИМОСТЬ СТОКИ 2023'!_Pi3</definedName>
    <definedName name="Pi3_22" localSheetId="19">'Прил. 1 План ФХД вода 2023'!_Pi3</definedName>
    <definedName name="Pi3_22" localSheetId="18">'Прил. 1 План ФХД стоки 2023'!_Pi3</definedName>
    <definedName name="Pi3_22" localSheetId="17">'Прил. 1 План ФХД трансп. воды23'!_Pi3</definedName>
    <definedName name="Pi3_22" localSheetId="15">'Прил.1 ПланФХД с транспортир.23'!_Pi3</definedName>
    <definedName name="Pi3_22" localSheetId="16">'Прил.1 ПланФХД трансп. стоков23'!_Pi3</definedName>
    <definedName name="Pi3_22" localSheetId="85">'Расчет товарной выручки 2018'!_Pi3</definedName>
    <definedName name="Pi3_22" localSheetId="25">'Расчет товарной выручки 2019'!_Pi3</definedName>
    <definedName name="Pi3_22" localSheetId="20">'Расчет товарной выручки 2023'!_Pi3</definedName>
    <definedName name="Pi3_22" localSheetId="86">'рез к 2017-2023'!_Pi3</definedName>
    <definedName name="Pi3_22" localSheetId="82">'рез к 2018-2024 (кор) '!_Pi3</definedName>
    <definedName name="Pi3_22" localSheetId="13">'Текущий ремонт'!_Pi3</definedName>
    <definedName name="Pi3_22" localSheetId="23">'ФАКТ.СЕБЕСТ.ВОДА за 1 пол. 2023'!_Pi3</definedName>
    <definedName name="Pi3_22" localSheetId="21">'ФАКТ.СЕБЕСТ.СТОКИ за 1 пол.2023'!_Pi3</definedName>
    <definedName name="Pi3_22" localSheetId="14">'Чистая прибыль с транспортир.23'!_Pi3</definedName>
    <definedName name="Pi3_22">_Pi3</definedName>
    <definedName name="Pi3_3" localSheetId="84">'А 2018'!_Pi3</definedName>
    <definedName name="Pi3_3" localSheetId="66">'выпадающие расходы'!_Pi3</definedName>
    <definedName name="Pi3_3" localSheetId="55">'ЗП с факт 3 кв. 2015'!_Pi3</definedName>
    <definedName name="Pi3_3" localSheetId="24">'ПОЛНАЯ СЕБЕСТОИМОСТЬ ВОДА 2023'!_Pi3</definedName>
    <definedName name="Pi3_3" localSheetId="22">'ПОЛНАЯ СЕБЕСТОИМОСТЬ СТОКИ 2023'!_Pi3</definedName>
    <definedName name="Pi3_3" localSheetId="19">'Прил. 1 План ФХД вода 2023'!_Pi3</definedName>
    <definedName name="Pi3_3" localSheetId="18">'Прил. 1 План ФХД стоки 2023'!_Pi3</definedName>
    <definedName name="Pi3_3" localSheetId="17">'Прил. 1 План ФХД трансп. воды23'!_Pi3</definedName>
    <definedName name="Pi3_3" localSheetId="15">'Прил.1 ПланФХД с транспортир.23'!_Pi3</definedName>
    <definedName name="Pi3_3" localSheetId="16">'Прил.1 ПланФХД трансп. стоков23'!_Pi3</definedName>
    <definedName name="Pi3_3" localSheetId="85">'Расчет товарной выручки 2018'!_Pi3</definedName>
    <definedName name="Pi3_3" localSheetId="25">'Расчет товарной выручки 2019'!_Pi3</definedName>
    <definedName name="Pi3_3" localSheetId="20">'Расчет товарной выручки 2023'!_Pi3</definedName>
    <definedName name="Pi3_3" localSheetId="86">'рез к 2017-2023'!_Pi3</definedName>
    <definedName name="Pi3_3" localSheetId="82">'рез к 2018-2024 (кор) '!_Pi3</definedName>
    <definedName name="Pi3_3" localSheetId="13">'Текущий ремонт'!_Pi3</definedName>
    <definedName name="Pi3_3" localSheetId="23">'ФАКТ.СЕБЕСТ.ВОДА за 1 пол. 2023'!_Pi3</definedName>
    <definedName name="Pi3_3" localSheetId="21">'ФАКТ.СЕБЕСТ.СТОКИ за 1 пол.2023'!_Pi3</definedName>
    <definedName name="Pi3_3" localSheetId="14">'Чистая прибыль с транспортир.23'!_Pi3</definedName>
    <definedName name="Pi3_3">[0]!_Pi3</definedName>
    <definedName name="Pi3_4" localSheetId="84">'А 2018'!_Pi3</definedName>
    <definedName name="Pi3_4" localSheetId="66">'выпадающие расходы'!_Pi3</definedName>
    <definedName name="Pi3_4" localSheetId="55">'ЗП с факт 3 кв. 2015'!_Pi3</definedName>
    <definedName name="Pi3_4" localSheetId="24">'ПОЛНАЯ СЕБЕСТОИМОСТЬ ВОДА 2023'!_Pi3</definedName>
    <definedName name="Pi3_4" localSheetId="22">'ПОЛНАЯ СЕБЕСТОИМОСТЬ СТОКИ 2023'!_Pi3</definedName>
    <definedName name="Pi3_4" localSheetId="19">'Прил. 1 План ФХД вода 2023'!_Pi3</definedName>
    <definedName name="Pi3_4" localSheetId="18">'Прил. 1 План ФХД стоки 2023'!_Pi3</definedName>
    <definedName name="Pi3_4" localSheetId="17">'Прил. 1 План ФХД трансп. воды23'!_Pi3</definedName>
    <definedName name="Pi3_4" localSheetId="15">'Прил.1 ПланФХД с транспортир.23'!_Pi3</definedName>
    <definedName name="Pi3_4" localSheetId="16">'Прил.1 ПланФХД трансп. стоков23'!_Pi3</definedName>
    <definedName name="Pi3_4" localSheetId="85">'Расчет товарной выручки 2018'!_Pi3</definedName>
    <definedName name="Pi3_4" localSheetId="25">'Расчет товарной выручки 2019'!_Pi3</definedName>
    <definedName name="Pi3_4" localSheetId="20">'Расчет товарной выручки 2023'!_Pi3</definedName>
    <definedName name="Pi3_4" localSheetId="86">'рез к 2017-2023'!_Pi3</definedName>
    <definedName name="Pi3_4" localSheetId="82">'рез к 2018-2024 (кор) '!_Pi3</definedName>
    <definedName name="Pi3_4" localSheetId="13">'Текущий ремонт'!_Pi3</definedName>
    <definedName name="Pi3_4" localSheetId="23">'ФАКТ.СЕБЕСТ.ВОДА за 1 пол. 2023'!_Pi3</definedName>
    <definedName name="Pi3_4" localSheetId="21">'ФАКТ.СЕБЕСТ.СТОКИ за 1 пол.2023'!_Pi3</definedName>
    <definedName name="Pi3_4" localSheetId="14">'Чистая прибыль с транспортир.23'!_Pi3</definedName>
    <definedName name="Pi3_4">_Pi3</definedName>
    <definedName name="Pi3_67" localSheetId="84">'А 2018'!_Pi3</definedName>
    <definedName name="Pi3_67" localSheetId="66">'выпадающие расходы'!_Pi3</definedName>
    <definedName name="Pi3_67" localSheetId="55">'ЗП с факт 3 кв. 2015'!_Pi3</definedName>
    <definedName name="Pi3_67" localSheetId="24">'ПОЛНАЯ СЕБЕСТОИМОСТЬ ВОДА 2023'!_Pi3</definedName>
    <definedName name="Pi3_67" localSheetId="22">'ПОЛНАЯ СЕБЕСТОИМОСТЬ СТОКИ 2023'!_Pi3</definedName>
    <definedName name="Pi3_67" localSheetId="19">'Прил. 1 План ФХД вода 2023'!_Pi3</definedName>
    <definedName name="Pi3_67" localSheetId="18">'Прил. 1 План ФХД стоки 2023'!_Pi3</definedName>
    <definedName name="Pi3_67" localSheetId="17">'Прил. 1 План ФХД трансп. воды23'!_Pi3</definedName>
    <definedName name="Pi3_67" localSheetId="15">'Прил.1 ПланФХД с транспортир.23'!_Pi3</definedName>
    <definedName name="Pi3_67" localSheetId="16">'Прил.1 ПланФХД трансп. стоков23'!_Pi3</definedName>
    <definedName name="Pi3_67" localSheetId="85">'Расчет товарной выручки 2018'!_Pi3</definedName>
    <definedName name="Pi3_67" localSheetId="25">'Расчет товарной выручки 2019'!_Pi3</definedName>
    <definedName name="Pi3_67" localSheetId="20">'Расчет товарной выручки 2023'!_Pi3</definedName>
    <definedName name="Pi3_67" localSheetId="86">'рез к 2017-2023'!_Pi3</definedName>
    <definedName name="Pi3_67" localSheetId="82">'рез к 2018-2024 (кор) '!_Pi3</definedName>
    <definedName name="Pi3_67" localSheetId="13">'Текущий ремонт'!_Pi3</definedName>
    <definedName name="Pi3_67" localSheetId="23">'ФАКТ.СЕБЕСТ.ВОДА за 1 пол. 2023'!_Pi3</definedName>
    <definedName name="Pi3_67" localSheetId="21">'ФАКТ.СЕБЕСТ.СТОКИ за 1 пол.2023'!_Pi3</definedName>
    <definedName name="Pi3_67" localSheetId="14">'Чистая прибыль с транспортир.23'!_Pi3</definedName>
    <definedName name="Pi3_67">_Pi3</definedName>
    <definedName name="Pi3_70" localSheetId="84">'А 2018'!_Pi3</definedName>
    <definedName name="Pi3_70" localSheetId="66">'выпадающие расходы'!_Pi3</definedName>
    <definedName name="Pi3_70" localSheetId="55">'ЗП с факт 3 кв. 2015'!_Pi3</definedName>
    <definedName name="Pi3_70" localSheetId="24">'ПОЛНАЯ СЕБЕСТОИМОСТЬ ВОДА 2023'!_Pi3</definedName>
    <definedName name="Pi3_70" localSheetId="22">'ПОЛНАЯ СЕБЕСТОИМОСТЬ СТОКИ 2023'!_Pi3</definedName>
    <definedName name="Pi3_70" localSheetId="19">'Прил. 1 План ФХД вода 2023'!_Pi3</definedName>
    <definedName name="Pi3_70" localSheetId="18">'Прил. 1 План ФХД стоки 2023'!_Pi3</definedName>
    <definedName name="Pi3_70" localSheetId="17">'Прил. 1 План ФХД трансп. воды23'!_Pi3</definedName>
    <definedName name="Pi3_70" localSheetId="15">'Прил.1 ПланФХД с транспортир.23'!_Pi3</definedName>
    <definedName name="Pi3_70" localSheetId="16">'Прил.1 ПланФХД трансп. стоков23'!_Pi3</definedName>
    <definedName name="Pi3_70" localSheetId="85">'Расчет товарной выручки 2018'!_Pi3</definedName>
    <definedName name="Pi3_70" localSheetId="25">'Расчет товарной выручки 2019'!_Pi3</definedName>
    <definedName name="Pi3_70" localSheetId="20">'Расчет товарной выручки 2023'!_Pi3</definedName>
    <definedName name="Pi3_70" localSheetId="86">'рез к 2017-2023'!_Pi3</definedName>
    <definedName name="Pi3_70" localSheetId="82">'рез к 2018-2024 (кор) '!_Pi3</definedName>
    <definedName name="Pi3_70" localSheetId="13">'Текущий ремонт'!_Pi3</definedName>
    <definedName name="Pi3_70" localSheetId="23">'ФАКТ.СЕБЕСТ.ВОДА за 1 пол. 2023'!_Pi3</definedName>
    <definedName name="Pi3_70" localSheetId="21">'ФАКТ.СЕБЕСТ.СТОКИ за 1 пол.2023'!_Pi3</definedName>
    <definedName name="Pi3_70" localSheetId="14">'Чистая прибыль с транспортир.23'!_Pi3</definedName>
    <definedName name="Pi3_70">_Pi3</definedName>
    <definedName name="Pi3_71" localSheetId="84">'А 2018'!_Pi3</definedName>
    <definedName name="Pi3_71" localSheetId="66">'выпадающие расходы'!_Pi3</definedName>
    <definedName name="Pi3_71" localSheetId="55">'ЗП с факт 3 кв. 2015'!_Pi3</definedName>
    <definedName name="Pi3_71" localSheetId="24">'ПОЛНАЯ СЕБЕСТОИМОСТЬ ВОДА 2023'!_Pi3</definedName>
    <definedName name="Pi3_71" localSheetId="22">'ПОЛНАЯ СЕБЕСТОИМОСТЬ СТОКИ 2023'!_Pi3</definedName>
    <definedName name="Pi3_71" localSheetId="19">'Прил. 1 План ФХД вода 2023'!_Pi3</definedName>
    <definedName name="Pi3_71" localSheetId="18">'Прил. 1 План ФХД стоки 2023'!_Pi3</definedName>
    <definedName name="Pi3_71" localSheetId="17">'Прил. 1 План ФХД трансп. воды23'!_Pi3</definedName>
    <definedName name="Pi3_71" localSheetId="15">'Прил.1 ПланФХД с транспортир.23'!_Pi3</definedName>
    <definedName name="Pi3_71" localSheetId="16">'Прил.1 ПланФХД трансп. стоков23'!_Pi3</definedName>
    <definedName name="Pi3_71" localSheetId="85">'Расчет товарной выручки 2018'!_Pi3</definedName>
    <definedName name="Pi3_71" localSheetId="25">'Расчет товарной выручки 2019'!_Pi3</definedName>
    <definedName name="Pi3_71" localSheetId="20">'Расчет товарной выручки 2023'!_Pi3</definedName>
    <definedName name="Pi3_71" localSheetId="86">'рез к 2017-2023'!_Pi3</definedName>
    <definedName name="Pi3_71" localSheetId="82">'рез к 2018-2024 (кор) '!_Pi3</definedName>
    <definedName name="Pi3_71" localSheetId="13">'Текущий ремонт'!_Pi3</definedName>
    <definedName name="Pi3_71" localSheetId="23">'ФАКТ.СЕБЕСТ.ВОДА за 1 пол. 2023'!_Pi3</definedName>
    <definedName name="Pi3_71" localSheetId="21">'ФАКТ.СЕБЕСТ.СТОКИ за 1 пол.2023'!_Pi3</definedName>
    <definedName name="Pi3_71" localSheetId="14">'Чистая прибыль с транспортир.23'!_Pi3</definedName>
    <definedName name="Pi3_71">_Pi3</definedName>
    <definedName name="Pi3_72" localSheetId="84">'А 2018'!_Pi3</definedName>
    <definedName name="Pi3_72" localSheetId="66">'выпадающие расходы'!_Pi3</definedName>
    <definedName name="Pi3_72" localSheetId="55">'ЗП с факт 3 кв. 2015'!_Pi3</definedName>
    <definedName name="Pi3_72" localSheetId="24">'ПОЛНАЯ СЕБЕСТОИМОСТЬ ВОДА 2023'!_Pi3</definedName>
    <definedName name="Pi3_72" localSheetId="22">'ПОЛНАЯ СЕБЕСТОИМОСТЬ СТОКИ 2023'!_Pi3</definedName>
    <definedName name="Pi3_72" localSheetId="19">'Прил. 1 План ФХД вода 2023'!_Pi3</definedName>
    <definedName name="Pi3_72" localSheetId="18">'Прил. 1 План ФХД стоки 2023'!_Pi3</definedName>
    <definedName name="Pi3_72" localSheetId="17">'Прил. 1 План ФХД трансп. воды23'!_Pi3</definedName>
    <definedName name="Pi3_72" localSheetId="15">'Прил.1 ПланФХД с транспортир.23'!_Pi3</definedName>
    <definedName name="Pi3_72" localSheetId="16">'Прил.1 ПланФХД трансп. стоков23'!_Pi3</definedName>
    <definedName name="Pi3_72" localSheetId="85">'Расчет товарной выручки 2018'!_Pi3</definedName>
    <definedName name="Pi3_72" localSheetId="25">'Расчет товарной выручки 2019'!_Pi3</definedName>
    <definedName name="Pi3_72" localSheetId="20">'Расчет товарной выручки 2023'!_Pi3</definedName>
    <definedName name="Pi3_72" localSheetId="86">'рез к 2017-2023'!_Pi3</definedName>
    <definedName name="Pi3_72" localSheetId="82">'рез к 2018-2024 (кор) '!_Pi3</definedName>
    <definedName name="Pi3_72" localSheetId="13">'Текущий ремонт'!_Pi3</definedName>
    <definedName name="Pi3_72" localSheetId="23">'ФАКТ.СЕБЕСТ.ВОДА за 1 пол. 2023'!_Pi3</definedName>
    <definedName name="Pi3_72" localSheetId="21">'ФАКТ.СЕБЕСТ.СТОКИ за 1 пол.2023'!_Pi3</definedName>
    <definedName name="Pi3_72" localSheetId="14">'Чистая прибыль с транспортир.23'!_Pi3</definedName>
    <definedName name="Pi3_72">_Pi3</definedName>
    <definedName name="Pi3_74" localSheetId="84">'А 2018'!_Pi3</definedName>
    <definedName name="Pi3_74" localSheetId="66">'выпадающие расходы'!_Pi3</definedName>
    <definedName name="Pi3_74" localSheetId="55">'ЗП с факт 3 кв. 2015'!_Pi3</definedName>
    <definedName name="Pi3_74" localSheetId="24">'ПОЛНАЯ СЕБЕСТОИМОСТЬ ВОДА 2023'!_Pi3</definedName>
    <definedName name="Pi3_74" localSheetId="22">'ПОЛНАЯ СЕБЕСТОИМОСТЬ СТОКИ 2023'!_Pi3</definedName>
    <definedName name="Pi3_74" localSheetId="19">'Прил. 1 План ФХД вода 2023'!_Pi3</definedName>
    <definedName name="Pi3_74" localSheetId="18">'Прил. 1 План ФХД стоки 2023'!_Pi3</definedName>
    <definedName name="Pi3_74" localSheetId="17">'Прил. 1 План ФХД трансп. воды23'!_Pi3</definedName>
    <definedName name="Pi3_74" localSheetId="15">'Прил.1 ПланФХД с транспортир.23'!_Pi3</definedName>
    <definedName name="Pi3_74" localSheetId="16">'Прил.1 ПланФХД трансп. стоков23'!_Pi3</definedName>
    <definedName name="Pi3_74" localSheetId="85">'Расчет товарной выручки 2018'!_Pi3</definedName>
    <definedName name="Pi3_74" localSheetId="25">'Расчет товарной выручки 2019'!_Pi3</definedName>
    <definedName name="Pi3_74" localSheetId="20">'Расчет товарной выручки 2023'!_Pi3</definedName>
    <definedName name="Pi3_74" localSheetId="86">'рез к 2017-2023'!_Pi3</definedName>
    <definedName name="Pi3_74" localSheetId="82">'рез к 2018-2024 (кор) '!_Pi3</definedName>
    <definedName name="Pi3_74" localSheetId="13">'Текущий ремонт'!_Pi3</definedName>
    <definedName name="Pi3_74" localSheetId="23">'ФАКТ.СЕБЕСТ.ВОДА за 1 пол. 2023'!_Pi3</definedName>
    <definedName name="Pi3_74" localSheetId="21">'ФАКТ.СЕБЕСТ.СТОКИ за 1 пол.2023'!_Pi3</definedName>
    <definedName name="Pi3_74" localSheetId="14">'Чистая прибыль с транспортир.23'!_Pi3</definedName>
    <definedName name="Pi3_74">_Pi3</definedName>
    <definedName name="Pi3_9" localSheetId="84">'А 2018'!_Pi3</definedName>
    <definedName name="Pi3_9" localSheetId="66">'выпадающие расходы'!_Pi3</definedName>
    <definedName name="Pi3_9" localSheetId="55">'ЗП с факт 3 кв. 2015'!_Pi3</definedName>
    <definedName name="Pi3_9" localSheetId="24">'ПОЛНАЯ СЕБЕСТОИМОСТЬ ВОДА 2023'!_Pi3</definedName>
    <definedName name="Pi3_9" localSheetId="22">'ПОЛНАЯ СЕБЕСТОИМОСТЬ СТОКИ 2023'!_Pi3</definedName>
    <definedName name="Pi3_9" localSheetId="19">'Прил. 1 План ФХД вода 2023'!_Pi3</definedName>
    <definedName name="Pi3_9" localSheetId="18">'Прил. 1 План ФХД стоки 2023'!_Pi3</definedName>
    <definedName name="Pi3_9" localSheetId="17">'Прил. 1 План ФХД трансп. воды23'!_Pi3</definedName>
    <definedName name="Pi3_9" localSheetId="15">'Прил.1 ПланФХД с транспортир.23'!_Pi3</definedName>
    <definedName name="Pi3_9" localSheetId="16">'Прил.1 ПланФХД трансп. стоков23'!_Pi3</definedName>
    <definedName name="Pi3_9" localSheetId="85">'Расчет товарной выручки 2018'!_Pi3</definedName>
    <definedName name="Pi3_9" localSheetId="25">'Расчет товарной выручки 2019'!_Pi3</definedName>
    <definedName name="Pi3_9" localSheetId="20">'Расчет товарной выручки 2023'!_Pi3</definedName>
    <definedName name="Pi3_9" localSheetId="86">'рез к 2017-2023'!_Pi3</definedName>
    <definedName name="Pi3_9" localSheetId="82">'рез к 2018-2024 (кор) '!_Pi3</definedName>
    <definedName name="Pi3_9" localSheetId="13">'Текущий ремонт'!_Pi3</definedName>
    <definedName name="Pi3_9" localSheetId="23">'ФАКТ.СЕБЕСТ.ВОДА за 1 пол. 2023'!_Pi3</definedName>
    <definedName name="Pi3_9" localSheetId="21">'ФАКТ.СЕБЕСТ.СТОКИ за 1 пол.2023'!_Pi3</definedName>
    <definedName name="Pi3_9" localSheetId="14">'Чистая прибыль с транспортир.23'!_Pi3</definedName>
    <definedName name="Pi3_9">_Pi3</definedName>
    <definedName name="Pi4_1" localSheetId="84">'А 2018'!_Pi4</definedName>
    <definedName name="Pi4_1" localSheetId="66">'выпадающие расходы'!_Pi4</definedName>
    <definedName name="Pi4_1" localSheetId="55">'ЗП с факт 3 кв. 2015'!_Pi4</definedName>
    <definedName name="Pi4_1" localSheetId="24">'ПОЛНАЯ СЕБЕСТОИМОСТЬ ВОДА 2023'!_Pi4</definedName>
    <definedName name="Pi4_1" localSheetId="22">'ПОЛНАЯ СЕБЕСТОИМОСТЬ СТОКИ 2023'!_Pi4</definedName>
    <definedName name="Pi4_1" localSheetId="19">'Прил. 1 План ФХД вода 2023'!_Pi4</definedName>
    <definedName name="Pi4_1" localSheetId="18">'Прил. 1 План ФХД стоки 2023'!_Pi4</definedName>
    <definedName name="Pi4_1" localSheetId="17">'Прил. 1 План ФХД трансп. воды23'!_Pi4</definedName>
    <definedName name="Pi4_1" localSheetId="15">'Прил.1 ПланФХД с транспортир.23'!_Pi4</definedName>
    <definedName name="Pi4_1" localSheetId="16">'Прил.1 ПланФХД трансп. стоков23'!_Pi4</definedName>
    <definedName name="Pi4_1" localSheetId="85">'Расчет товарной выручки 2018'!_Pi4</definedName>
    <definedName name="Pi4_1" localSheetId="25">'Расчет товарной выручки 2019'!_Pi4</definedName>
    <definedName name="Pi4_1" localSheetId="20">'Расчет товарной выручки 2023'!_Pi4</definedName>
    <definedName name="Pi4_1" localSheetId="86">'рез к 2017-2023'!_Pi4</definedName>
    <definedName name="Pi4_1" localSheetId="82">'рез к 2018-2024 (кор) '!_Pi4</definedName>
    <definedName name="Pi4_1" localSheetId="13">'Текущий ремонт'!_Pi4</definedName>
    <definedName name="Pi4_1" localSheetId="23">'ФАКТ.СЕБЕСТ.ВОДА за 1 пол. 2023'!_Pi4</definedName>
    <definedName name="Pi4_1" localSheetId="21">'ФАКТ.СЕБЕСТ.СТОКИ за 1 пол.2023'!_Pi4</definedName>
    <definedName name="Pi4_1" localSheetId="14">'Чистая прибыль с транспортир.23'!_Pi4</definedName>
    <definedName name="Pi4_1">[0]!_Pi4</definedName>
    <definedName name="Pi4_10" localSheetId="84">'А 2018'!_Pi4</definedName>
    <definedName name="Pi4_10" localSheetId="66">'выпадающие расходы'!_Pi4</definedName>
    <definedName name="Pi4_10" localSheetId="55">'ЗП с факт 3 кв. 2015'!_Pi4</definedName>
    <definedName name="Pi4_10" localSheetId="24">'ПОЛНАЯ СЕБЕСТОИМОСТЬ ВОДА 2023'!_Pi4</definedName>
    <definedName name="Pi4_10" localSheetId="22">'ПОЛНАЯ СЕБЕСТОИМОСТЬ СТОКИ 2023'!_Pi4</definedName>
    <definedName name="Pi4_10" localSheetId="19">'Прил. 1 План ФХД вода 2023'!_Pi4</definedName>
    <definedName name="Pi4_10" localSheetId="18">'Прил. 1 План ФХД стоки 2023'!_Pi4</definedName>
    <definedName name="Pi4_10" localSheetId="17">'Прил. 1 План ФХД трансп. воды23'!_Pi4</definedName>
    <definedName name="Pi4_10" localSheetId="15">'Прил.1 ПланФХД с транспортир.23'!_Pi4</definedName>
    <definedName name="Pi4_10" localSheetId="16">'Прил.1 ПланФХД трансп. стоков23'!_Pi4</definedName>
    <definedName name="Pi4_10" localSheetId="85">'Расчет товарной выручки 2018'!_Pi4</definedName>
    <definedName name="Pi4_10" localSheetId="25">'Расчет товарной выручки 2019'!_Pi4</definedName>
    <definedName name="Pi4_10" localSheetId="20">'Расчет товарной выручки 2023'!_Pi4</definedName>
    <definedName name="Pi4_10" localSheetId="86">'рез к 2017-2023'!_Pi4</definedName>
    <definedName name="Pi4_10" localSheetId="82">'рез к 2018-2024 (кор) '!_Pi4</definedName>
    <definedName name="Pi4_10" localSheetId="13">'Текущий ремонт'!_Pi4</definedName>
    <definedName name="Pi4_10" localSheetId="23">'ФАКТ.СЕБЕСТ.ВОДА за 1 пол. 2023'!_Pi4</definedName>
    <definedName name="Pi4_10" localSheetId="21">'ФАКТ.СЕБЕСТ.СТОКИ за 1 пол.2023'!_Pi4</definedName>
    <definedName name="Pi4_10" localSheetId="14">'Чистая прибыль с транспортир.23'!_Pi4</definedName>
    <definedName name="Pi4_10">[0]!_Pi4</definedName>
    <definedName name="Pi4_11" localSheetId="84">'А 2018'!_Pi4</definedName>
    <definedName name="Pi4_11" localSheetId="66">'выпадающие расходы'!_Pi4</definedName>
    <definedName name="Pi4_11" localSheetId="55">'ЗП с факт 3 кв. 2015'!_Pi4</definedName>
    <definedName name="Pi4_11" localSheetId="24">'ПОЛНАЯ СЕБЕСТОИМОСТЬ ВОДА 2023'!_Pi4</definedName>
    <definedName name="Pi4_11" localSheetId="22">'ПОЛНАЯ СЕБЕСТОИМОСТЬ СТОКИ 2023'!_Pi4</definedName>
    <definedName name="Pi4_11" localSheetId="19">'Прил. 1 План ФХД вода 2023'!_Pi4</definedName>
    <definedName name="Pi4_11" localSheetId="18">'Прил. 1 План ФХД стоки 2023'!_Pi4</definedName>
    <definedName name="Pi4_11" localSheetId="17">'Прил. 1 План ФХД трансп. воды23'!_Pi4</definedName>
    <definedName name="Pi4_11" localSheetId="15">'Прил.1 ПланФХД с транспортир.23'!_Pi4</definedName>
    <definedName name="Pi4_11" localSheetId="16">'Прил.1 ПланФХД трансп. стоков23'!_Pi4</definedName>
    <definedName name="Pi4_11" localSheetId="85">'Расчет товарной выручки 2018'!_Pi4</definedName>
    <definedName name="Pi4_11" localSheetId="25">'Расчет товарной выручки 2019'!_Pi4</definedName>
    <definedName name="Pi4_11" localSheetId="20">'Расчет товарной выручки 2023'!_Pi4</definedName>
    <definedName name="Pi4_11" localSheetId="86">'рез к 2017-2023'!_Pi4</definedName>
    <definedName name="Pi4_11" localSheetId="82">'рез к 2018-2024 (кор) '!_Pi4</definedName>
    <definedName name="Pi4_11" localSheetId="13">'Текущий ремонт'!_Pi4</definedName>
    <definedName name="Pi4_11" localSheetId="23">'ФАКТ.СЕБЕСТ.ВОДА за 1 пол. 2023'!_Pi4</definedName>
    <definedName name="Pi4_11" localSheetId="21">'ФАКТ.СЕБЕСТ.СТОКИ за 1 пол.2023'!_Pi4</definedName>
    <definedName name="Pi4_11" localSheetId="14">'Чистая прибыль с транспортир.23'!_Pi4</definedName>
    <definedName name="Pi4_11">[0]!_Pi4</definedName>
    <definedName name="Pi4_13" localSheetId="84">'А 2018'!_Pi4</definedName>
    <definedName name="Pi4_13" localSheetId="66">'выпадающие расходы'!_Pi4</definedName>
    <definedName name="Pi4_13" localSheetId="55">'ЗП с факт 3 кв. 2015'!_Pi4</definedName>
    <definedName name="Pi4_13" localSheetId="24">'ПОЛНАЯ СЕБЕСТОИМОСТЬ ВОДА 2023'!_Pi4</definedName>
    <definedName name="Pi4_13" localSheetId="22">'ПОЛНАЯ СЕБЕСТОИМОСТЬ СТОКИ 2023'!_Pi4</definedName>
    <definedName name="Pi4_13" localSheetId="19">'Прил. 1 План ФХД вода 2023'!_Pi4</definedName>
    <definedName name="Pi4_13" localSheetId="18">'Прил. 1 План ФХД стоки 2023'!_Pi4</definedName>
    <definedName name="Pi4_13" localSheetId="17">'Прил. 1 План ФХД трансп. воды23'!_Pi4</definedName>
    <definedName name="Pi4_13" localSheetId="15">'Прил.1 ПланФХД с транспортир.23'!_Pi4</definedName>
    <definedName name="Pi4_13" localSheetId="16">'Прил.1 ПланФХД трансп. стоков23'!_Pi4</definedName>
    <definedName name="Pi4_13" localSheetId="85">'Расчет товарной выручки 2018'!_Pi4</definedName>
    <definedName name="Pi4_13" localSheetId="25">'Расчет товарной выручки 2019'!_Pi4</definedName>
    <definedName name="Pi4_13" localSheetId="20">'Расчет товарной выручки 2023'!_Pi4</definedName>
    <definedName name="Pi4_13" localSheetId="86">'рез к 2017-2023'!_Pi4</definedName>
    <definedName name="Pi4_13" localSheetId="82">'рез к 2018-2024 (кор) '!_Pi4</definedName>
    <definedName name="Pi4_13" localSheetId="13">'Текущий ремонт'!_Pi4</definedName>
    <definedName name="Pi4_13" localSheetId="23">'ФАКТ.СЕБЕСТ.ВОДА за 1 пол. 2023'!_Pi4</definedName>
    <definedName name="Pi4_13" localSheetId="21">'ФАКТ.СЕБЕСТ.СТОКИ за 1 пол.2023'!_Pi4</definedName>
    <definedName name="Pi4_13" localSheetId="14">'Чистая прибыль с транспортир.23'!_Pi4</definedName>
    <definedName name="Pi4_13">[0]!_Pi4</definedName>
    <definedName name="Pi4_14" localSheetId="84">'А 2018'!_Pi4</definedName>
    <definedName name="Pi4_14" localSheetId="66">'выпадающие расходы'!_Pi4</definedName>
    <definedName name="Pi4_14" localSheetId="55">'ЗП с факт 3 кв. 2015'!_Pi4</definedName>
    <definedName name="Pi4_14" localSheetId="24">'ПОЛНАЯ СЕБЕСТОИМОСТЬ ВОДА 2023'!_Pi4</definedName>
    <definedName name="Pi4_14" localSheetId="22">'ПОЛНАЯ СЕБЕСТОИМОСТЬ СТОКИ 2023'!_Pi4</definedName>
    <definedName name="Pi4_14" localSheetId="19">'Прил. 1 План ФХД вода 2023'!_Pi4</definedName>
    <definedName name="Pi4_14" localSheetId="18">'Прил. 1 План ФХД стоки 2023'!_Pi4</definedName>
    <definedName name="Pi4_14" localSheetId="17">'Прил. 1 План ФХД трансп. воды23'!_Pi4</definedName>
    <definedName name="Pi4_14" localSheetId="15">'Прил.1 ПланФХД с транспортир.23'!_Pi4</definedName>
    <definedName name="Pi4_14" localSheetId="16">'Прил.1 ПланФХД трансп. стоков23'!_Pi4</definedName>
    <definedName name="Pi4_14" localSheetId="85">'Расчет товарной выручки 2018'!_Pi4</definedName>
    <definedName name="Pi4_14" localSheetId="25">'Расчет товарной выручки 2019'!_Pi4</definedName>
    <definedName name="Pi4_14" localSheetId="20">'Расчет товарной выручки 2023'!_Pi4</definedName>
    <definedName name="Pi4_14" localSheetId="86">'рез к 2017-2023'!_Pi4</definedName>
    <definedName name="Pi4_14" localSheetId="82">'рез к 2018-2024 (кор) '!_Pi4</definedName>
    <definedName name="Pi4_14" localSheetId="13">'Текущий ремонт'!_Pi4</definedName>
    <definedName name="Pi4_14" localSheetId="23">'ФАКТ.СЕБЕСТ.ВОДА за 1 пол. 2023'!_Pi4</definedName>
    <definedName name="Pi4_14" localSheetId="21">'ФАКТ.СЕБЕСТ.СТОКИ за 1 пол.2023'!_Pi4</definedName>
    <definedName name="Pi4_14" localSheetId="14">'Чистая прибыль с транспортир.23'!_Pi4</definedName>
    <definedName name="Pi4_14">[0]!_Pi4</definedName>
    <definedName name="Pi4_15" localSheetId="84">'А 2018'!_Pi4</definedName>
    <definedName name="Pi4_15" localSheetId="66">'выпадающие расходы'!_Pi4</definedName>
    <definedName name="Pi4_15" localSheetId="55">'ЗП с факт 3 кв. 2015'!_Pi4</definedName>
    <definedName name="Pi4_15" localSheetId="24">'ПОЛНАЯ СЕБЕСТОИМОСТЬ ВОДА 2023'!_Pi4</definedName>
    <definedName name="Pi4_15" localSheetId="22">'ПОЛНАЯ СЕБЕСТОИМОСТЬ СТОКИ 2023'!_Pi4</definedName>
    <definedName name="Pi4_15" localSheetId="19">'Прил. 1 План ФХД вода 2023'!_Pi4</definedName>
    <definedName name="Pi4_15" localSheetId="18">'Прил. 1 План ФХД стоки 2023'!_Pi4</definedName>
    <definedName name="Pi4_15" localSheetId="17">'Прил. 1 План ФХД трансп. воды23'!_Pi4</definedName>
    <definedName name="Pi4_15" localSheetId="15">'Прил.1 ПланФХД с транспортир.23'!_Pi4</definedName>
    <definedName name="Pi4_15" localSheetId="16">'Прил.1 ПланФХД трансп. стоков23'!_Pi4</definedName>
    <definedName name="Pi4_15" localSheetId="85">'Расчет товарной выручки 2018'!_Pi4</definedName>
    <definedName name="Pi4_15" localSheetId="25">'Расчет товарной выручки 2019'!_Pi4</definedName>
    <definedName name="Pi4_15" localSheetId="20">'Расчет товарной выручки 2023'!_Pi4</definedName>
    <definedName name="Pi4_15" localSheetId="86">'рез к 2017-2023'!_Pi4</definedName>
    <definedName name="Pi4_15" localSheetId="82">'рез к 2018-2024 (кор) '!_Pi4</definedName>
    <definedName name="Pi4_15" localSheetId="13">'Текущий ремонт'!_Pi4</definedName>
    <definedName name="Pi4_15" localSheetId="23">'ФАКТ.СЕБЕСТ.ВОДА за 1 пол. 2023'!_Pi4</definedName>
    <definedName name="Pi4_15" localSheetId="21">'ФАКТ.СЕБЕСТ.СТОКИ за 1 пол.2023'!_Pi4</definedName>
    <definedName name="Pi4_15" localSheetId="14">'Чистая прибыль с транспортир.23'!_Pi4</definedName>
    <definedName name="Pi4_15">_Pi4</definedName>
    <definedName name="Pi4_16" localSheetId="84">'А 2018'!_Pi4</definedName>
    <definedName name="Pi4_16" localSheetId="66">'выпадающие расходы'!_Pi4</definedName>
    <definedName name="Pi4_16" localSheetId="55">'ЗП с факт 3 кв. 2015'!_Pi4</definedName>
    <definedName name="Pi4_16" localSheetId="24">'ПОЛНАЯ СЕБЕСТОИМОСТЬ ВОДА 2023'!_Pi4</definedName>
    <definedName name="Pi4_16" localSheetId="22">'ПОЛНАЯ СЕБЕСТОИМОСТЬ СТОКИ 2023'!_Pi4</definedName>
    <definedName name="Pi4_16" localSheetId="19">'Прил. 1 План ФХД вода 2023'!_Pi4</definedName>
    <definedName name="Pi4_16" localSheetId="18">'Прил. 1 План ФХД стоки 2023'!_Pi4</definedName>
    <definedName name="Pi4_16" localSheetId="17">'Прил. 1 План ФХД трансп. воды23'!_Pi4</definedName>
    <definedName name="Pi4_16" localSheetId="15">'Прил.1 ПланФХД с транспортир.23'!_Pi4</definedName>
    <definedName name="Pi4_16" localSheetId="16">'Прил.1 ПланФХД трансп. стоков23'!_Pi4</definedName>
    <definedName name="Pi4_16" localSheetId="85">'Расчет товарной выручки 2018'!_Pi4</definedName>
    <definedName name="Pi4_16" localSheetId="25">'Расчет товарной выручки 2019'!_Pi4</definedName>
    <definedName name="Pi4_16" localSheetId="20">'Расчет товарной выручки 2023'!_Pi4</definedName>
    <definedName name="Pi4_16" localSheetId="86">'рез к 2017-2023'!_Pi4</definedName>
    <definedName name="Pi4_16" localSheetId="82">'рез к 2018-2024 (кор) '!_Pi4</definedName>
    <definedName name="Pi4_16" localSheetId="13">'Текущий ремонт'!_Pi4</definedName>
    <definedName name="Pi4_16" localSheetId="23">'ФАКТ.СЕБЕСТ.ВОДА за 1 пол. 2023'!_Pi4</definedName>
    <definedName name="Pi4_16" localSheetId="21">'ФАКТ.СЕБЕСТ.СТОКИ за 1 пол.2023'!_Pi4</definedName>
    <definedName name="Pi4_16" localSheetId="14">'Чистая прибыль с транспортир.23'!_Pi4</definedName>
    <definedName name="Pi4_16">[0]!_Pi4</definedName>
    <definedName name="Pi4_2" localSheetId="84">'А 2018'!_Pi4</definedName>
    <definedName name="Pi4_2" localSheetId="66">'выпадающие расходы'!_Pi4</definedName>
    <definedName name="Pi4_2" localSheetId="55">'ЗП с факт 3 кв. 2015'!_Pi4</definedName>
    <definedName name="Pi4_2" localSheetId="24">'ПОЛНАЯ СЕБЕСТОИМОСТЬ ВОДА 2023'!_Pi4</definedName>
    <definedName name="Pi4_2" localSheetId="22">'ПОЛНАЯ СЕБЕСТОИМОСТЬ СТОКИ 2023'!_Pi4</definedName>
    <definedName name="Pi4_2" localSheetId="19">'Прил. 1 План ФХД вода 2023'!_Pi4</definedName>
    <definedName name="Pi4_2" localSheetId="18">'Прил. 1 План ФХД стоки 2023'!_Pi4</definedName>
    <definedName name="Pi4_2" localSheetId="17">'Прил. 1 План ФХД трансп. воды23'!_Pi4</definedName>
    <definedName name="Pi4_2" localSheetId="15">'Прил.1 ПланФХД с транспортир.23'!_Pi4</definedName>
    <definedName name="Pi4_2" localSheetId="16">'Прил.1 ПланФХД трансп. стоков23'!_Pi4</definedName>
    <definedName name="Pi4_2" localSheetId="85">'Расчет товарной выручки 2018'!_Pi4</definedName>
    <definedName name="Pi4_2" localSheetId="25">'Расчет товарной выручки 2019'!_Pi4</definedName>
    <definedName name="Pi4_2" localSheetId="20">'Расчет товарной выручки 2023'!_Pi4</definedName>
    <definedName name="Pi4_2" localSheetId="86">'рез к 2017-2023'!_Pi4</definedName>
    <definedName name="Pi4_2" localSheetId="82">'рез к 2018-2024 (кор) '!_Pi4</definedName>
    <definedName name="Pi4_2" localSheetId="13">'Текущий ремонт'!_Pi4</definedName>
    <definedName name="Pi4_2" localSheetId="23">'ФАКТ.СЕБЕСТ.ВОДА за 1 пол. 2023'!_Pi4</definedName>
    <definedName name="Pi4_2" localSheetId="21">'ФАКТ.СЕБЕСТ.СТОКИ за 1 пол.2023'!_Pi4</definedName>
    <definedName name="Pi4_2" localSheetId="14">'Чистая прибыль с транспортир.23'!_Pi4</definedName>
    <definedName name="Pi4_2">[0]!_Pi4</definedName>
    <definedName name="Pi4_22" localSheetId="84">'А 2018'!_Pi4</definedName>
    <definedName name="Pi4_22" localSheetId="66">'выпадающие расходы'!_Pi4</definedName>
    <definedName name="Pi4_22" localSheetId="55">'ЗП с факт 3 кв. 2015'!_Pi4</definedName>
    <definedName name="Pi4_22" localSheetId="24">'ПОЛНАЯ СЕБЕСТОИМОСТЬ ВОДА 2023'!_Pi4</definedName>
    <definedName name="Pi4_22" localSheetId="22">'ПОЛНАЯ СЕБЕСТОИМОСТЬ СТОКИ 2023'!_Pi4</definedName>
    <definedName name="Pi4_22" localSheetId="19">'Прил. 1 План ФХД вода 2023'!_Pi4</definedName>
    <definedName name="Pi4_22" localSheetId="18">'Прил. 1 План ФХД стоки 2023'!_Pi4</definedName>
    <definedName name="Pi4_22" localSheetId="17">'Прил. 1 План ФХД трансп. воды23'!_Pi4</definedName>
    <definedName name="Pi4_22" localSheetId="15">'Прил.1 ПланФХД с транспортир.23'!_Pi4</definedName>
    <definedName name="Pi4_22" localSheetId="16">'Прил.1 ПланФХД трансп. стоков23'!_Pi4</definedName>
    <definedName name="Pi4_22" localSheetId="85">'Расчет товарной выручки 2018'!_Pi4</definedName>
    <definedName name="Pi4_22" localSheetId="25">'Расчет товарной выручки 2019'!_Pi4</definedName>
    <definedName name="Pi4_22" localSheetId="20">'Расчет товарной выручки 2023'!_Pi4</definedName>
    <definedName name="Pi4_22" localSheetId="86">'рез к 2017-2023'!_Pi4</definedName>
    <definedName name="Pi4_22" localSheetId="82">'рез к 2018-2024 (кор) '!_Pi4</definedName>
    <definedName name="Pi4_22" localSheetId="13">'Текущий ремонт'!_Pi4</definedName>
    <definedName name="Pi4_22" localSheetId="23">'ФАКТ.СЕБЕСТ.ВОДА за 1 пол. 2023'!_Pi4</definedName>
    <definedName name="Pi4_22" localSheetId="21">'ФАКТ.СЕБЕСТ.СТОКИ за 1 пол.2023'!_Pi4</definedName>
    <definedName name="Pi4_22" localSheetId="14">'Чистая прибыль с транспортир.23'!_Pi4</definedName>
    <definedName name="Pi4_22">_Pi4</definedName>
    <definedName name="Pi4_3" localSheetId="84">'А 2018'!_Pi4</definedName>
    <definedName name="Pi4_3" localSheetId="66">'выпадающие расходы'!_Pi4</definedName>
    <definedName name="Pi4_3" localSheetId="55">'ЗП с факт 3 кв. 2015'!_Pi4</definedName>
    <definedName name="Pi4_3" localSheetId="24">'ПОЛНАЯ СЕБЕСТОИМОСТЬ ВОДА 2023'!_Pi4</definedName>
    <definedName name="Pi4_3" localSheetId="22">'ПОЛНАЯ СЕБЕСТОИМОСТЬ СТОКИ 2023'!_Pi4</definedName>
    <definedName name="Pi4_3" localSheetId="19">'Прил. 1 План ФХД вода 2023'!_Pi4</definedName>
    <definedName name="Pi4_3" localSheetId="18">'Прил. 1 План ФХД стоки 2023'!_Pi4</definedName>
    <definedName name="Pi4_3" localSheetId="17">'Прил. 1 План ФХД трансп. воды23'!_Pi4</definedName>
    <definedName name="Pi4_3" localSheetId="15">'Прил.1 ПланФХД с транспортир.23'!_Pi4</definedName>
    <definedName name="Pi4_3" localSheetId="16">'Прил.1 ПланФХД трансп. стоков23'!_Pi4</definedName>
    <definedName name="Pi4_3" localSheetId="85">'Расчет товарной выручки 2018'!_Pi4</definedName>
    <definedName name="Pi4_3" localSheetId="25">'Расчет товарной выручки 2019'!_Pi4</definedName>
    <definedName name="Pi4_3" localSheetId="20">'Расчет товарной выручки 2023'!_Pi4</definedName>
    <definedName name="Pi4_3" localSheetId="86">'рез к 2017-2023'!_Pi4</definedName>
    <definedName name="Pi4_3" localSheetId="82">'рез к 2018-2024 (кор) '!_Pi4</definedName>
    <definedName name="Pi4_3" localSheetId="13">'Текущий ремонт'!_Pi4</definedName>
    <definedName name="Pi4_3" localSheetId="23">'ФАКТ.СЕБЕСТ.ВОДА за 1 пол. 2023'!_Pi4</definedName>
    <definedName name="Pi4_3" localSheetId="21">'ФАКТ.СЕБЕСТ.СТОКИ за 1 пол.2023'!_Pi4</definedName>
    <definedName name="Pi4_3" localSheetId="14">'Чистая прибыль с транспортир.23'!_Pi4</definedName>
    <definedName name="Pi4_3">[0]!_Pi4</definedName>
    <definedName name="Pi4_4" localSheetId="84">'А 2018'!_Pi4</definedName>
    <definedName name="Pi4_4" localSheetId="66">'выпадающие расходы'!_Pi4</definedName>
    <definedName name="Pi4_4" localSheetId="55">'ЗП с факт 3 кв. 2015'!_Pi4</definedName>
    <definedName name="Pi4_4" localSheetId="24">'ПОЛНАЯ СЕБЕСТОИМОСТЬ ВОДА 2023'!_Pi4</definedName>
    <definedName name="Pi4_4" localSheetId="22">'ПОЛНАЯ СЕБЕСТОИМОСТЬ СТОКИ 2023'!_Pi4</definedName>
    <definedName name="Pi4_4" localSheetId="19">'Прил. 1 План ФХД вода 2023'!_Pi4</definedName>
    <definedName name="Pi4_4" localSheetId="18">'Прил. 1 План ФХД стоки 2023'!_Pi4</definedName>
    <definedName name="Pi4_4" localSheetId="17">'Прил. 1 План ФХД трансп. воды23'!_Pi4</definedName>
    <definedName name="Pi4_4" localSheetId="15">'Прил.1 ПланФХД с транспортир.23'!_Pi4</definedName>
    <definedName name="Pi4_4" localSheetId="16">'Прил.1 ПланФХД трансп. стоков23'!_Pi4</definedName>
    <definedName name="Pi4_4" localSheetId="85">'Расчет товарной выручки 2018'!_Pi4</definedName>
    <definedName name="Pi4_4" localSheetId="25">'Расчет товарной выручки 2019'!_Pi4</definedName>
    <definedName name="Pi4_4" localSheetId="20">'Расчет товарной выручки 2023'!_Pi4</definedName>
    <definedName name="Pi4_4" localSheetId="86">'рез к 2017-2023'!_Pi4</definedName>
    <definedName name="Pi4_4" localSheetId="82">'рез к 2018-2024 (кор) '!_Pi4</definedName>
    <definedName name="Pi4_4" localSheetId="13">'Текущий ремонт'!_Pi4</definedName>
    <definedName name="Pi4_4" localSheetId="23">'ФАКТ.СЕБЕСТ.ВОДА за 1 пол. 2023'!_Pi4</definedName>
    <definedName name="Pi4_4" localSheetId="21">'ФАКТ.СЕБЕСТ.СТОКИ за 1 пол.2023'!_Pi4</definedName>
    <definedName name="Pi4_4" localSheetId="14">'Чистая прибыль с транспортир.23'!_Pi4</definedName>
    <definedName name="Pi4_4">_Pi4</definedName>
    <definedName name="Pi4_67" localSheetId="84">'А 2018'!_Pi4</definedName>
    <definedName name="Pi4_67" localSheetId="66">'выпадающие расходы'!_Pi4</definedName>
    <definedName name="Pi4_67" localSheetId="55">'ЗП с факт 3 кв. 2015'!_Pi4</definedName>
    <definedName name="Pi4_67" localSheetId="24">'ПОЛНАЯ СЕБЕСТОИМОСТЬ ВОДА 2023'!_Pi4</definedName>
    <definedName name="Pi4_67" localSheetId="22">'ПОЛНАЯ СЕБЕСТОИМОСТЬ СТОКИ 2023'!_Pi4</definedName>
    <definedName name="Pi4_67" localSheetId="19">'Прил. 1 План ФХД вода 2023'!_Pi4</definedName>
    <definedName name="Pi4_67" localSheetId="18">'Прил. 1 План ФХД стоки 2023'!_Pi4</definedName>
    <definedName name="Pi4_67" localSheetId="17">'Прил. 1 План ФХД трансп. воды23'!_Pi4</definedName>
    <definedName name="Pi4_67" localSheetId="15">'Прил.1 ПланФХД с транспортир.23'!_Pi4</definedName>
    <definedName name="Pi4_67" localSheetId="16">'Прил.1 ПланФХД трансп. стоков23'!_Pi4</definedName>
    <definedName name="Pi4_67" localSheetId="85">'Расчет товарной выручки 2018'!_Pi4</definedName>
    <definedName name="Pi4_67" localSheetId="25">'Расчет товарной выручки 2019'!_Pi4</definedName>
    <definedName name="Pi4_67" localSheetId="20">'Расчет товарной выручки 2023'!_Pi4</definedName>
    <definedName name="Pi4_67" localSheetId="86">'рез к 2017-2023'!_Pi4</definedName>
    <definedName name="Pi4_67" localSheetId="82">'рез к 2018-2024 (кор) '!_Pi4</definedName>
    <definedName name="Pi4_67" localSheetId="13">'Текущий ремонт'!_Pi4</definedName>
    <definedName name="Pi4_67" localSheetId="23">'ФАКТ.СЕБЕСТ.ВОДА за 1 пол. 2023'!_Pi4</definedName>
    <definedName name="Pi4_67" localSheetId="21">'ФАКТ.СЕБЕСТ.СТОКИ за 1 пол.2023'!_Pi4</definedName>
    <definedName name="Pi4_67" localSheetId="14">'Чистая прибыль с транспортир.23'!_Pi4</definedName>
    <definedName name="Pi4_67">_Pi4</definedName>
    <definedName name="Pi4_70" localSheetId="84">'А 2018'!_Pi4</definedName>
    <definedName name="Pi4_70" localSheetId="66">'выпадающие расходы'!_Pi4</definedName>
    <definedName name="Pi4_70" localSheetId="55">'ЗП с факт 3 кв. 2015'!_Pi4</definedName>
    <definedName name="Pi4_70" localSheetId="24">'ПОЛНАЯ СЕБЕСТОИМОСТЬ ВОДА 2023'!_Pi4</definedName>
    <definedName name="Pi4_70" localSheetId="22">'ПОЛНАЯ СЕБЕСТОИМОСТЬ СТОКИ 2023'!_Pi4</definedName>
    <definedName name="Pi4_70" localSheetId="19">'Прил. 1 План ФХД вода 2023'!_Pi4</definedName>
    <definedName name="Pi4_70" localSheetId="18">'Прил. 1 План ФХД стоки 2023'!_Pi4</definedName>
    <definedName name="Pi4_70" localSheetId="17">'Прил. 1 План ФХД трансп. воды23'!_Pi4</definedName>
    <definedName name="Pi4_70" localSheetId="15">'Прил.1 ПланФХД с транспортир.23'!_Pi4</definedName>
    <definedName name="Pi4_70" localSheetId="16">'Прил.1 ПланФХД трансп. стоков23'!_Pi4</definedName>
    <definedName name="Pi4_70" localSheetId="85">'Расчет товарной выручки 2018'!_Pi4</definedName>
    <definedName name="Pi4_70" localSheetId="25">'Расчет товарной выручки 2019'!_Pi4</definedName>
    <definedName name="Pi4_70" localSheetId="20">'Расчет товарной выручки 2023'!_Pi4</definedName>
    <definedName name="Pi4_70" localSheetId="86">'рез к 2017-2023'!_Pi4</definedName>
    <definedName name="Pi4_70" localSheetId="82">'рез к 2018-2024 (кор) '!_Pi4</definedName>
    <definedName name="Pi4_70" localSheetId="13">'Текущий ремонт'!_Pi4</definedName>
    <definedName name="Pi4_70" localSheetId="23">'ФАКТ.СЕБЕСТ.ВОДА за 1 пол. 2023'!_Pi4</definedName>
    <definedName name="Pi4_70" localSheetId="21">'ФАКТ.СЕБЕСТ.СТОКИ за 1 пол.2023'!_Pi4</definedName>
    <definedName name="Pi4_70" localSheetId="14">'Чистая прибыль с транспортир.23'!_Pi4</definedName>
    <definedName name="Pi4_70">_Pi4</definedName>
    <definedName name="Pi4_71" localSheetId="84">'А 2018'!_Pi4</definedName>
    <definedName name="Pi4_71" localSheetId="66">'выпадающие расходы'!_Pi4</definedName>
    <definedName name="Pi4_71" localSheetId="55">'ЗП с факт 3 кв. 2015'!_Pi4</definedName>
    <definedName name="Pi4_71" localSheetId="24">'ПОЛНАЯ СЕБЕСТОИМОСТЬ ВОДА 2023'!_Pi4</definedName>
    <definedName name="Pi4_71" localSheetId="22">'ПОЛНАЯ СЕБЕСТОИМОСТЬ СТОКИ 2023'!_Pi4</definedName>
    <definedName name="Pi4_71" localSheetId="19">'Прил. 1 План ФХД вода 2023'!_Pi4</definedName>
    <definedName name="Pi4_71" localSheetId="18">'Прил. 1 План ФХД стоки 2023'!_Pi4</definedName>
    <definedName name="Pi4_71" localSheetId="17">'Прил. 1 План ФХД трансп. воды23'!_Pi4</definedName>
    <definedName name="Pi4_71" localSheetId="15">'Прил.1 ПланФХД с транспортир.23'!_Pi4</definedName>
    <definedName name="Pi4_71" localSheetId="16">'Прил.1 ПланФХД трансп. стоков23'!_Pi4</definedName>
    <definedName name="Pi4_71" localSheetId="85">'Расчет товарной выручки 2018'!_Pi4</definedName>
    <definedName name="Pi4_71" localSheetId="25">'Расчет товарной выручки 2019'!_Pi4</definedName>
    <definedName name="Pi4_71" localSheetId="20">'Расчет товарной выручки 2023'!_Pi4</definedName>
    <definedName name="Pi4_71" localSheetId="86">'рез к 2017-2023'!_Pi4</definedName>
    <definedName name="Pi4_71" localSheetId="82">'рез к 2018-2024 (кор) '!_Pi4</definedName>
    <definedName name="Pi4_71" localSheetId="13">'Текущий ремонт'!_Pi4</definedName>
    <definedName name="Pi4_71" localSheetId="23">'ФАКТ.СЕБЕСТ.ВОДА за 1 пол. 2023'!_Pi4</definedName>
    <definedName name="Pi4_71" localSheetId="21">'ФАКТ.СЕБЕСТ.СТОКИ за 1 пол.2023'!_Pi4</definedName>
    <definedName name="Pi4_71" localSheetId="14">'Чистая прибыль с транспортир.23'!_Pi4</definedName>
    <definedName name="Pi4_71">_Pi4</definedName>
    <definedName name="Pi4_72" localSheetId="84">'А 2018'!_Pi4</definedName>
    <definedName name="Pi4_72" localSheetId="66">'выпадающие расходы'!_Pi4</definedName>
    <definedName name="Pi4_72" localSheetId="55">'ЗП с факт 3 кв. 2015'!_Pi4</definedName>
    <definedName name="Pi4_72" localSheetId="24">'ПОЛНАЯ СЕБЕСТОИМОСТЬ ВОДА 2023'!_Pi4</definedName>
    <definedName name="Pi4_72" localSheetId="22">'ПОЛНАЯ СЕБЕСТОИМОСТЬ СТОКИ 2023'!_Pi4</definedName>
    <definedName name="Pi4_72" localSheetId="19">'Прил. 1 План ФХД вода 2023'!_Pi4</definedName>
    <definedName name="Pi4_72" localSheetId="18">'Прил. 1 План ФХД стоки 2023'!_Pi4</definedName>
    <definedName name="Pi4_72" localSheetId="17">'Прил. 1 План ФХД трансп. воды23'!_Pi4</definedName>
    <definedName name="Pi4_72" localSheetId="15">'Прил.1 ПланФХД с транспортир.23'!_Pi4</definedName>
    <definedName name="Pi4_72" localSheetId="16">'Прил.1 ПланФХД трансп. стоков23'!_Pi4</definedName>
    <definedName name="Pi4_72" localSheetId="85">'Расчет товарной выручки 2018'!_Pi4</definedName>
    <definedName name="Pi4_72" localSheetId="25">'Расчет товарной выручки 2019'!_Pi4</definedName>
    <definedName name="Pi4_72" localSheetId="20">'Расчет товарной выручки 2023'!_Pi4</definedName>
    <definedName name="Pi4_72" localSheetId="86">'рез к 2017-2023'!_Pi4</definedName>
    <definedName name="Pi4_72" localSheetId="82">'рез к 2018-2024 (кор) '!_Pi4</definedName>
    <definedName name="Pi4_72" localSheetId="13">'Текущий ремонт'!_Pi4</definedName>
    <definedName name="Pi4_72" localSheetId="23">'ФАКТ.СЕБЕСТ.ВОДА за 1 пол. 2023'!_Pi4</definedName>
    <definedName name="Pi4_72" localSheetId="21">'ФАКТ.СЕБЕСТ.СТОКИ за 1 пол.2023'!_Pi4</definedName>
    <definedName name="Pi4_72" localSheetId="14">'Чистая прибыль с транспортир.23'!_Pi4</definedName>
    <definedName name="Pi4_72">_Pi4</definedName>
    <definedName name="Pi4_74" localSheetId="84">'А 2018'!_Pi4</definedName>
    <definedName name="Pi4_74" localSheetId="66">'выпадающие расходы'!_Pi4</definedName>
    <definedName name="Pi4_74" localSheetId="55">'ЗП с факт 3 кв. 2015'!_Pi4</definedName>
    <definedName name="Pi4_74" localSheetId="24">'ПОЛНАЯ СЕБЕСТОИМОСТЬ ВОДА 2023'!_Pi4</definedName>
    <definedName name="Pi4_74" localSheetId="22">'ПОЛНАЯ СЕБЕСТОИМОСТЬ СТОКИ 2023'!_Pi4</definedName>
    <definedName name="Pi4_74" localSheetId="19">'Прил. 1 План ФХД вода 2023'!_Pi4</definedName>
    <definedName name="Pi4_74" localSheetId="18">'Прил. 1 План ФХД стоки 2023'!_Pi4</definedName>
    <definedName name="Pi4_74" localSheetId="17">'Прил. 1 План ФХД трансп. воды23'!_Pi4</definedName>
    <definedName name="Pi4_74" localSheetId="15">'Прил.1 ПланФХД с транспортир.23'!_Pi4</definedName>
    <definedName name="Pi4_74" localSheetId="16">'Прил.1 ПланФХД трансп. стоков23'!_Pi4</definedName>
    <definedName name="Pi4_74" localSheetId="85">'Расчет товарной выручки 2018'!_Pi4</definedName>
    <definedName name="Pi4_74" localSheetId="25">'Расчет товарной выручки 2019'!_Pi4</definedName>
    <definedName name="Pi4_74" localSheetId="20">'Расчет товарной выручки 2023'!_Pi4</definedName>
    <definedName name="Pi4_74" localSheetId="86">'рез к 2017-2023'!_Pi4</definedName>
    <definedName name="Pi4_74" localSheetId="82">'рез к 2018-2024 (кор) '!_Pi4</definedName>
    <definedName name="Pi4_74" localSheetId="13">'Текущий ремонт'!_Pi4</definedName>
    <definedName name="Pi4_74" localSheetId="23">'ФАКТ.СЕБЕСТ.ВОДА за 1 пол. 2023'!_Pi4</definedName>
    <definedName name="Pi4_74" localSheetId="21">'ФАКТ.СЕБЕСТ.СТОКИ за 1 пол.2023'!_Pi4</definedName>
    <definedName name="Pi4_74" localSheetId="14">'Чистая прибыль с транспортир.23'!_Pi4</definedName>
    <definedName name="Pi4_74">_Pi4</definedName>
    <definedName name="Pi4_9" localSheetId="84">'А 2018'!_Pi4</definedName>
    <definedName name="Pi4_9" localSheetId="66">'выпадающие расходы'!_Pi4</definedName>
    <definedName name="Pi4_9" localSheetId="55">'ЗП с факт 3 кв. 2015'!_Pi4</definedName>
    <definedName name="Pi4_9" localSheetId="24">'ПОЛНАЯ СЕБЕСТОИМОСТЬ ВОДА 2023'!_Pi4</definedName>
    <definedName name="Pi4_9" localSheetId="22">'ПОЛНАЯ СЕБЕСТОИМОСТЬ СТОКИ 2023'!_Pi4</definedName>
    <definedName name="Pi4_9" localSheetId="19">'Прил. 1 План ФХД вода 2023'!_Pi4</definedName>
    <definedName name="Pi4_9" localSheetId="18">'Прил. 1 План ФХД стоки 2023'!_Pi4</definedName>
    <definedName name="Pi4_9" localSheetId="17">'Прил. 1 План ФХД трансп. воды23'!_Pi4</definedName>
    <definedName name="Pi4_9" localSheetId="15">'Прил.1 ПланФХД с транспортир.23'!_Pi4</definedName>
    <definedName name="Pi4_9" localSheetId="16">'Прил.1 ПланФХД трансп. стоков23'!_Pi4</definedName>
    <definedName name="Pi4_9" localSheetId="85">'Расчет товарной выручки 2018'!_Pi4</definedName>
    <definedName name="Pi4_9" localSheetId="25">'Расчет товарной выручки 2019'!_Pi4</definedName>
    <definedName name="Pi4_9" localSheetId="20">'Расчет товарной выручки 2023'!_Pi4</definedName>
    <definedName name="Pi4_9" localSheetId="86">'рез к 2017-2023'!_Pi4</definedName>
    <definedName name="Pi4_9" localSheetId="82">'рез к 2018-2024 (кор) '!_Pi4</definedName>
    <definedName name="Pi4_9" localSheetId="13">'Текущий ремонт'!_Pi4</definedName>
    <definedName name="Pi4_9" localSheetId="23">'ФАКТ.СЕБЕСТ.ВОДА за 1 пол. 2023'!_Pi4</definedName>
    <definedName name="Pi4_9" localSheetId="21">'ФАКТ.СЕБЕСТ.СТОКИ за 1 пол.2023'!_Pi4</definedName>
    <definedName name="Pi4_9" localSheetId="14">'Чистая прибыль с транспортир.23'!_Pi4</definedName>
    <definedName name="Pi4_9">_Pi4</definedName>
    <definedName name="Pi5_1" localSheetId="84">'А 2018'!_Pi5</definedName>
    <definedName name="Pi5_1" localSheetId="66">'выпадающие расходы'!_Pi5</definedName>
    <definedName name="Pi5_1" localSheetId="55">'ЗП с факт 3 кв. 2015'!_Pi5</definedName>
    <definedName name="Pi5_1" localSheetId="24">'ПОЛНАЯ СЕБЕСТОИМОСТЬ ВОДА 2023'!_Pi5</definedName>
    <definedName name="Pi5_1" localSheetId="22">'ПОЛНАЯ СЕБЕСТОИМОСТЬ СТОКИ 2023'!_Pi5</definedName>
    <definedName name="Pi5_1" localSheetId="19">'Прил. 1 План ФХД вода 2023'!_Pi5</definedName>
    <definedName name="Pi5_1" localSheetId="18">'Прил. 1 План ФХД стоки 2023'!_Pi5</definedName>
    <definedName name="Pi5_1" localSheetId="17">'Прил. 1 План ФХД трансп. воды23'!_Pi5</definedName>
    <definedName name="Pi5_1" localSheetId="15">'Прил.1 ПланФХД с транспортир.23'!_Pi5</definedName>
    <definedName name="Pi5_1" localSheetId="16">'Прил.1 ПланФХД трансп. стоков23'!_Pi5</definedName>
    <definedName name="Pi5_1" localSheetId="85">'Расчет товарной выручки 2018'!_Pi5</definedName>
    <definedName name="Pi5_1" localSheetId="25">'Расчет товарной выручки 2019'!_Pi5</definedName>
    <definedName name="Pi5_1" localSheetId="20">'Расчет товарной выручки 2023'!_Pi5</definedName>
    <definedName name="Pi5_1" localSheetId="86">'рез к 2017-2023'!_Pi5</definedName>
    <definedName name="Pi5_1" localSheetId="82">'рез к 2018-2024 (кор) '!_Pi5</definedName>
    <definedName name="Pi5_1" localSheetId="13">'Текущий ремонт'!_Pi5</definedName>
    <definedName name="Pi5_1" localSheetId="23">'ФАКТ.СЕБЕСТ.ВОДА за 1 пол. 2023'!_Pi5</definedName>
    <definedName name="Pi5_1" localSheetId="21">'ФАКТ.СЕБЕСТ.СТОКИ за 1 пол.2023'!_Pi5</definedName>
    <definedName name="Pi5_1" localSheetId="14">'Чистая прибыль с транспортир.23'!_Pi5</definedName>
    <definedName name="Pi5_1">[0]!_Pi5</definedName>
    <definedName name="Pi5_10" localSheetId="84">'А 2018'!_Pi5</definedName>
    <definedName name="Pi5_10" localSheetId="66">'выпадающие расходы'!_Pi5</definedName>
    <definedName name="Pi5_10" localSheetId="55">'ЗП с факт 3 кв. 2015'!_Pi5</definedName>
    <definedName name="Pi5_10" localSheetId="24">'ПОЛНАЯ СЕБЕСТОИМОСТЬ ВОДА 2023'!_Pi5</definedName>
    <definedName name="Pi5_10" localSheetId="22">'ПОЛНАЯ СЕБЕСТОИМОСТЬ СТОКИ 2023'!_Pi5</definedName>
    <definedName name="Pi5_10" localSheetId="19">'Прил. 1 План ФХД вода 2023'!_Pi5</definedName>
    <definedName name="Pi5_10" localSheetId="18">'Прил. 1 План ФХД стоки 2023'!_Pi5</definedName>
    <definedName name="Pi5_10" localSheetId="17">'Прил. 1 План ФХД трансп. воды23'!_Pi5</definedName>
    <definedName name="Pi5_10" localSheetId="15">'Прил.1 ПланФХД с транспортир.23'!_Pi5</definedName>
    <definedName name="Pi5_10" localSheetId="16">'Прил.1 ПланФХД трансп. стоков23'!_Pi5</definedName>
    <definedName name="Pi5_10" localSheetId="85">'Расчет товарной выручки 2018'!_Pi5</definedName>
    <definedName name="Pi5_10" localSheetId="25">'Расчет товарной выручки 2019'!_Pi5</definedName>
    <definedName name="Pi5_10" localSheetId="20">'Расчет товарной выручки 2023'!_Pi5</definedName>
    <definedName name="Pi5_10" localSheetId="86">'рез к 2017-2023'!_Pi5</definedName>
    <definedName name="Pi5_10" localSheetId="82">'рез к 2018-2024 (кор) '!_Pi5</definedName>
    <definedName name="Pi5_10" localSheetId="13">'Текущий ремонт'!_Pi5</definedName>
    <definedName name="Pi5_10" localSheetId="23">'ФАКТ.СЕБЕСТ.ВОДА за 1 пол. 2023'!_Pi5</definedName>
    <definedName name="Pi5_10" localSheetId="21">'ФАКТ.СЕБЕСТ.СТОКИ за 1 пол.2023'!_Pi5</definedName>
    <definedName name="Pi5_10" localSheetId="14">'Чистая прибыль с транспортир.23'!_Pi5</definedName>
    <definedName name="Pi5_10">[0]!_Pi5</definedName>
    <definedName name="Pi5_11" localSheetId="84">'А 2018'!_Pi5</definedName>
    <definedName name="Pi5_11" localSheetId="66">'выпадающие расходы'!_Pi5</definedName>
    <definedName name="Pi5_11" localSheetId="55">'ЗП с факт 3 кв. 2015'!_Pi5</definedName>
    <definedName name="Pi5_11" localSheetId="24">'ПОЛНАЯ СЕБЕСТОИМОСТЬ ВОДА 2023'!_Pi5</definedName>
    <definedName name="Pi5_11" localSheetId="22">'ПОЛНАЯ СЕБЕСТОИМОСТЬ СТОКИ 2023'!_Pi5</definedName>
    <definedName name="Pi5_11" localSheetId="19">'Прил. 1 План ФХД вода 2023'!_Pi5</definedName>
    <definedName name="Pi5_11" localSheetId="18">'Прил. 1 План ФХД стоки 2023'!_Pi5</definedName>
    <definedName name="Pi5_11" localSheetId="17">'Прил. 1 План ФХД трансп. воды23'!_Pi5</definedName>
    <definedName name="Pi5_11" localSheetId="15">'Прил.1 ПланФХД с транспортир.23'!_Pi5</definedName>
    <definedName name="Pi5_11" localSheetId="16">'Прил.1 ПланФХД трансп. стоков23'!_Pi5</definedName>
    <definedName name="Pi5_11" localSheetId="85">'Расчет товарной выручки 2018'!_Pi5</definedName>
    <definedName name="Pi5_11" localSheetId="25">'Расчет товарной выручки 2019'!_Pi5</definedName>
    <definedName name="Pi5_11" localSheetId="20">'Расчет товарной выручки 2023'!_Pi5</definedName>
    <definedName name="Pi5_11" localSheetId="86">'рез к 2017-2023'!_Pi5</definedName>
    <definedName name="Pi5_11" localSheetId="82">'рез к 2018-2024 (кор) '!_Pi5</definedName>
    <definedName name="Pi5_11" localSheetId="13">'Текущий ремонт'!_Pi5</definedName>
    <definedName name="Pi5_11" localSheetId="23">'ФАКТ.СЕБЕСТ.ВОДА за 1 пол. 2023'!_Pi5</definedName>
    <definedName name="Pi5_11" localSheetId="21">'ФАКТ.СЕБЕСТ.СТОКИ за 1 пол.2023'!_Pi5</definedName>
    <definedName name="Pi5_11" localSheetId="14">'Чистая прибыль с транспортир.23'!_Pi5</definedName>
    <definedName name="Pi5_11">[0]!_Pi5</definedName>
    <definedName name="Pi5_13" localSheetId="84">'А 2018'!_Pi5</definedName>
    <definedName name="Pi5_13" localSheetId="66">'выпадающие расходы'!_Pi5</definedName>
    <definedName name="Pi5_13" localSheetId="55">'ЗП с факт 3 кв. 2015'!_Pi5</definedName>
    <definedName name="Pi5_13" localSheetId="24">'ПОЛНАЯ СЕБЕСТОИМОСТЬ ВОДА 2023'!_Pi5</definedName>
    <definedName name="Pi5_13" localSheetId="22">'ПОЛНАЯ СЕБЕСТОИМОСТЬ СТОКИ 2023'!_Pi5</definedName>
    <definedName name="Pi5_13" localSheetId="19">'Прил. 1 План ФХД вода 2023'!_Pi5</definedName>
    <definedName name="Pi5_13" localSheetId="18">'Прил. 1 План ФХД стоки 2023'!_Pi5</definedName>
    <definedName name="Pi5_13" localSheetId="17">'Прил. 1 План ФХД трансп. воды23'!_Pi5</definedName>
    <definedName name="Pi5_13" localSheetId="15">'Прил.1 ПланФХД с транспортир.23'!_Pi5</definedName>
    <definedName name="Pi5_13" localSheetId="16">'Прил.1 ПланФХД трансп. стоков23'!_Pi5</definedName>
    <definedName name="Pi5_13" localSheetId="85">'Расчет товарной выручки 2018'!_Pi5</definedName>
    <definedName name="Pi5_13" localSheetId="25">'Расчет товарной выручки 2019'!_Pi5</definedName>
    <definedName name="Pi5_13" localSheetId="20">'Расчет товарной выручки 2023'!_Pi5</definedName>
    <definedName name="Pi5_13" localSheetId="86">'рез к 2017-2023'!_Pi5</definedName>
    <definedName name="Pi5_13" localSheetId="82">'рез к 2018-2024 (кор) '!_Pi5</definedName>
    <definedName name="Pi5_13" localSheetId="13">'Текущий ремонт'!_Pi5</definedName>
    <definedName name="Pi5_13" localSheetId="23">'ФАКТ.СЕБЕСТ.ВОДА за 1 пол. 2023'!_Pi5</definedName>
    <definedName name="Pi5_13" localSheetId="21">'ФАКТ.СЕБЕСТ.СТОКИ за 1 пол.2023'!_Pi5</definedName>
    <definedName name="Pi5_13" localSheetId="14">'Чистая прибыль с транспортир.23'!_Pi5</definedName>
    <definedName name="Pi5_13">[0]!_Pi5</definedName>
    <definedName name="Pi5_14" localSheetId="84">'А 2018'!_Pi5</definedName>
    <definedName name="Pi5_14" localSheetId="66">'выпадающие расходы'!_Pi5</definedName>
    <definedName name="Pi5_14" localSheetId="55">'ЗП с факт 3 кв. 2015'!_Pi5</definedName>
    <definedName name="Pi5_14" localSheetId="24">'ПОЛНАЯ СЕБЕСТОИМОСТЬ ВОДА 2023'!_Pi5</definedName>
    <definedName name="Pi5_14" localSheetId="22">'ПОЛНАЯ СЕБЕСТОИМОСТЬ СТОКИ 2023'!_Pi5</definedName>
    <definedName name="Pi5_14" localSheetId="19">'Прил. 1 План ФХД вода 2023'!_Pi5</definedName>
    <definedName name="Pi5_14" localSheetId="18">'Прил. 1 План ФХД стоки 2023'!_Pi5</definedName>
    <definedName name="Pi5_14" localSheetId="17">'Прил. 1 План ФХД трансп. воды23'!_Pi5</definedName>
    <definedName name="Pi5_14" localSheetId="15">'Прил.1 ПланФХД с транспортир.23'!_Pi5</definedName>
    <definedName name="Pi5_14" localSheetId="16">'Прил.1 ПланФХД трансп. стоков23'!_Pi5</definedName>
    <definedName name="Pi5_14" localSheetId="85">'Расчет товарной выручки 2018'!_Pi5</definedName>
    <definedName name="Pi5_14" localSheetId="25">'Расчет товарной выручки 2019'!_Pi5</definedName>
    <definedName name="Pi5_14" localSheetId="20">'Расчет товарной выручки 2023'!_Pi5</definedName>
    <definedName name="Pi5_14" localSheetId="86">'рез к 2017-2023'!_Pi5</definedName>
    <definedName name="Pi5_14" localSheetId="82">'рез к 2018-2024 (кор) '!_Pi5</definedName>
    <definedName name="Pi5_14" localSheetId="13">'Текущий ремонт'!_Pi5</definedName>
    <definedName name="Pi5_14" localSheetId="23">'ФАКТ.СЕБЕСТ.ВОДА за 1 пол. 2023'!_Pi5</definedName>
    <definedName name="Pi5_14" localSheetId="21">'ФАКТ.СЕБЕСТ.СТОКИ за 1 пол.2023'!_Pi5</definedName>
    <definedName name="Pi5_14" localSheetId="14">'Чистая прибыль с транспортир.23'!_Pi5</definedName>
    <definedName name="Pi5_14">[0]!_Pi5</definedName>
    <definedName name="Pi5_15" localSheetId="84">'А 2018'!_Pi5</definedName>
    <definedName name="Pi5_15" localSheetId="66">'выпадающие расходы'!_Pi5</definedName>
    <definedName name="Pi5_15" localSheetId="55">'ЗП с факт 3 кв. 2015'!_Pi5</definedName>
    <definedName name="Pi5_15" localSheetId="24">'ПОЛНАЯ СЕБЕСТОИМОСТЬ ВОДА 2023'!_Pi5</definedName>
    <definedName name="Pi5_15" localSheetId="22">'ПОЛНАЯ СЕБЕСТОИМОСТЬ СТОКИ 2023'!_Pi5</definedName>
    <definedName name="Pi5_15" localSheetId="19">'Прил. 1 План ФХД вода 2023'!_Pi5</definedName>
    <definedName name="Pi5_15" localSheetId="18">'Прил. 1 План ФХД стоки 2023'!_Pi5</definedName>
    <definedName name="Pi5_15" localSheetId="17">'Прил. 1 План ФХД трансп. воды23'!_Pi5</definedName>
    <definedName name="Pi5_15" localSheetId="15">'Прил.1 ПланФХД с транспортир.23'!_Pi5</definedName>
    <definedName name="Pi5_15" localSheetId="16">'Прил.1 ПланФХД трансп. стоков23'!_Pi5</definedName>
    <definedName name="Pi5_15" localSheetId="85">'Расчет товарной выручки 2018'!_Pi5</definedName>
    <definedName name="Pi5_15" localSheetId="25">'Расчет товарной выручки 2019'!_Pi5</definedName>
    <definedName name="Pi5_15" localSheetId="20">'Расчет товарной выручки 2023'!_Pi5</definedName>
    <definedName name="Pi5_15" localSheetId="86">'рез к 2017-2023'!_Pi5</definedName>
    <definedName name="Pi5_15" localSheetId="82">'рез к 2018-2024 (кор) '!_Pi5</definedName>
    <definedName name="Pi5_15" localSheetId="13">'Текущий ремонт'!_Pi5</definedName>
    <definedName name="Pi5_15" localSheetId="23">'ФАКТ.СЕБЕСТ.ВОДА за 1 пол. 2023'!_Pi5</definedName>
    <definedName name="Pi5_15" localSheetId="21">'ФАКТ.СЕБЕСТ.СТОКИ за 1 пол.2023'!_Pi5</definedName>
    <definedName name="Pi5_15" localSheetId="14">'Чистая прибыль с транспортир.23'!_Pi5</definedName>
    <definedName name="Pi5_15">_Pi5</definedName>
    <definedName name="Pi5_16" localSheetId="84">'А 2018'!_Pi5</definedName>
    <definedName name="Pi5_16" localSheetId="66">'выпадающие расходы'!_Pi5</definedName>
    <definedName name="Pi5_16" localSheetId="55">'ЗП с факт 3 кв. 2015'!_Pi5</definedName>
    <definedName name="Pi5_16" localSheetId="24">'ПОЛНАЯ СЕБЕСТОИМОСТЬ ВОДА 2023'!_Pi5</definedName>
    <definedName name="Pi5_16" localSheetId="22">'ПОЛНАЯ СЕБЕСТОИМОСТЬ СТОКИ 2023'!_Pi5</definedName>
    <definedName name="Pi5_16" localSheetId="19">'Прил. 1 План ФХД вода 2023'!_Pi5</definedName>
    <definedName name="Pi5_16" localSheetId="18">'Прил. 1 План ФХД стоки 2023'!_Pi5</definedName>
    <definedName name="Pi5_16" localSheetId="17">'Прил. 1 План ФХД трансп. воды23'!_Pi5</definedName>
    <definedName name="Pi5_16" localSheetId="15">'Прил.1 ПланФХД с транспортир.23'!_Pi5</definedName>
    <definedName name="Pi5_16" localSheetId="16">'Прил.1 ПланФХД трансп. стоков23'!_Pi5</definedName>
    <definedName name="Pi5_16" localSheetId="85">'Расчет товарной выручки 2018'!_Pi5</definedName>
    <definedName name="Pi5_16" localSheetId="25">'Расчет товарной выручки 2019'!_Pi5</definedName>
    <definedName name="Pi5_16" localSheetId="20">'Расчет товарной выручки 2023'!_Pi5</definedName>
    <definedName name="Pi5_16" localSheetId="86">'рез к 2017-2023'!_Pi5</definedName>
    <definedName name="Pi5_16" localSheetId="82">'рез к 2018-2024 (кор) '!_Pi5</definedName>
    <definedName name="Pi5_16" localSheetId="13">'Текущий ремонт'!_Pi5</definedName>
    <definedName name="Pi5_16" localSheetId="23">'ФАКТ.СЕБЕСТ.ВОДА за 1 пол. 2023'!_Pi5</definedName>
    <definedName name="Pi5_16" localSheetId="21">'ФАКТ.СЕБЕСТ.СТОКИ за 1 пол.2023'!_Pi5</definedName>
    <definedName name="Pi5_16" localSheetId="14">'Чистая прибыль с транспортир.23'!_Pi5</definedName>
    <definedName name="Pi5_16">[0]!_Pi5</definedName>
    <definedName name="Pi5_2" localSheetId="84">'А 2018'!_Pi5</definedName>
    <definedName name="Pi5_2" localSheetId="66">'выпадающие расходы'!_Pi5</definedName>
    <definedName name="Pi5_2" localSheetId="55">'ЗП с факт 3 кв. 2015'!_Pi5</definedName>
    <definedName name="Pi5_2" localSheetId="24">'ПОЛНАЯ СЕБЕСТОИМОСТЬ ВОДА 2023'!_Pi5</definedName>
    <definedName name="Pi5_2" localSheetId="22">'ПОЛНАЯ СЕБЕСТОИМОСТЬ СТОКИ 2023'!_Pi5</definedName>
    <definedName name="Pi5_2" localSheetId="19">'Прил. 1 План ФХД вода 2023'!_Pi5</definedName>
    <definedName name="Pi5_2" localSheetId="18">'Прил. 1 План ФХД стоки 2023'!_Pi5</definedName>
    <definedName name="Pi5_2" localSheetId="17">'Прил. 1 План ФХД трансп. воды23'!_Pi5</definedName>
    <definedName name="Pi5_2" localSheetId="15">'Прил.1 ПланФХД с транспортир.23'!_Pi5</definedName>
    <definedName name="Pi5_2" localSheetId="16">'Прил.1 ПланФХД трансп. стоков23'!_Pi5</definedName>
    <definedName name="Pi5_2" localSheetId="85">'Расчет товарной выручки 2018'!_Pi5</definedName>
    <definedName name="Pi5_2" localSheetId="25">'Расчет товарной выручки 2019'!_Pi5</definedName>
    <definedName name="Pi5_2" localSheetId="20">'Расчет товарной выручки 2023'!_Pi5</definedName>
    <definedName name="Pi5_2" localSheetId="86">'рез к 2017-2023'!_Pi5</definedName>
    <definedName name="Pi5_2" localSheetId="82">'рез к 2018-2024 (кор) '!_Pi5</definedName>
    <definedName name="Pi5_2" localSheetId="13">'Текущий ремонт'!_Pi5</definedName>
    <definedName name="Pi5_2" localSheetId="23">'ФАКТ.СЕБЕСТ.ВОДА за 1 пол. 2023'!_Pi5</definedName>
    <definedName name="Pi5_2" localSheetId="21">'ФАКТ.СЕБЕСТ.СТОКИ за 1 пол.2023'!_Pi5</definedName>
    <definedName name="Pi5_2" localSheetId="14">'Чистая прибыль с транспортир.23'!_Pi5</definedName>
    <definedName name="Pi5_2">[0]!_Pi5</definedName>
    <definedName name="Pi5_22" localSheetId="84">'А 2018'!_Pi5</definedName>
    <definedName name="Pi5_22" localSheetId="66">'выпадающие расходы'!_Pi5</definedName>
    <definedName name="Pi5_22" localSheetId="55">'ЗП с факт 3 кв. 2015'!_Pi5</definedName>
    <definedName name="Pi5_22" localSheetId="24">'ПОЛНАЯ СЕБЕСТОИМОСТЬ ВОДА 2023'!_Pi5</definedName>
    <definedName name="Pi5_22" localSheetId="22">'ПОЛНАЯ СЕБЕСТОИМОСТЬ СТОКИ 2023'!_Pi5</definedName>
    <definedName name="Pi5_22" localSheetId="19">'Прил. 1 План ФХД вода 2023'!_Pi5</definedName>
    <definedName name="Pi5_22" localSheetId="18">'Прил. 1 План ФХД стоки 2023'!_Pi5</definedName>
    <definedName name="Pi5_22" localSheetId="17">'Прил. 1 План ФХД трансп. воды23'!_Pi5</definedName>
    <definedName name="Pi5_22" localSheetId="15">'Прил.1 ПланФХД с транспортир.23'!_Pi5</definedName>
    <definedName name="Pi5_22" localSheetId="16">'Прил.1 ПланФХД трансп. стоков23'!_Pi5</definedName>
    <definedName name="Pi5_22" localSheetId="85">'Расчет товарной выручки 2018'!_Pi5</definedName>
    <definedName name="Pi5_22" localSheetId="25">'Расчет товарной выручки 2019'!_Pi5</definedName>
    <definedName name="Pi5_22" localSheetId="20">'Расчет товарной выручки 2023'!_Pi5</definedName>
    <definedName name="Pi5_22" localSheetId="86">'рез к 2017-2023'!_Pi5</definedName>
    <definedName name="Pi5_22" localSheetId="82">'рез к 2018-2024 (кор) '!_Pi5</definedName>
    <definedName name="Pi5_22" localSheetId="13">'Текущий ремонт'!_Pi5</definedName>
    <definedName name="Pi5_22" localSheetId="23">'ФАКТ.СЕБЕСТ.ВОДА за 1 пол. 2023'!_Pi5</definedName>
    <definedName name="Pi5_22" localSheetId="21">'ФАКТ.СЕБЕСТ.СТОКИ за 1 пол.2023'!_Pi5</definedName>
    <definedName name="Pi5_22" localSheetId="14">'Чистая прибыль с транспортир.23'!_Pi5</definedName>
    <definedName name="Pi5_22">_Pi5</definedName>
    <definedName name="Pi5_3" localSheetId="84">'А 2018'!_Pi5</definedName>
    <definedName name="Pi5_3" localSheetId="66">'выпадающие расходы'!_Pi5</definedName>
    <definedName name="Pi5_3" localSheetId="55">'ЗП с факт 3 кв. 2015'!_Pi5</definedName>
    <definedName name="Pi5_3" localSheetId="24">'ПОЛНАЯ СЕБЕСТОИМОСТЬ ВОДА 2023'!_Pi5</definedName>
    <definedName name="Pi5_3" localSheetId="22">'ПОЛНАЯ СЕБЕСТОИМОСТЬ СТОКИ 2023'!_Pi5</definedName>
    <definedName name="Pi5_3" localSheetId="19">'Прил. 1 План ФХД вода 2023'!_Pi5</definedName>
    <definedName name="Pi5_3" localSheetId="18">'Прил. 1 План ФХД стоки 2023'!_Pi5</definedName>
    <definedName name="Pi5_3" localSheetId="17">'Прил. 1 План ФХД трансп. воды23'!_Pi5</definedName>
    <definedName name="Pi5_3" localSheetId="15">'Прил.1 ПланФХД с транспортир.23'!_Pi5</definedName>
    <definedName name="Pi5_3" localSheetId="16">'Прил.1 ПланФХД трансп. стоков23'!_Pi5</definedName>
    <definedName name="Pi5_3" localSheetId="85">'Расчет товарной выручки 2018'!_Pi5</definedName>
    <definedName name="Pi5_3" localSheetId="25">'Расчет товарной выручки 2019'!_Pi5</definedName>
    <definedName name="Pi5_3" localSheetId="20">'Расчет товарной выручки 2023'!_Pi5</definedName>
    <definedName name="Pi5_3" localSheetId="86">'рез к 2017-2023'!_Pi5</definedName>
    <definedName name="Pi5_3" localSheetId="82">'рез к 2018-2024 (кор) '!_Pi5</definedName>
    <definedName name="Pi5_3" localSheetId="13">'Текущий ремонт'!_Pi5</definedName>
    <definedName name="Pi5_3" localSheetId="23">'ФАКТ.СЕБЕСТ.ВОДА за 1 пол. 2023'!_Pi5</definedName>
    <definedName name="Pi5_3" localSheetId="21">'ФАКТ.СЕБЕСТ.СТОКИ за 1 пол.2023'!_Pi5</definedName>
    <definedName name="Pi5_3" localSheetId="14">'Чистая прибыль с транспортир.23'!_Pi5</definedName>
    <definedName name="Pi5_3">[0]!_Pi5</definedName>
    <definedName name="Pi5_4" localSheetId="84">'А 2018'!_Pi5</definedName>
    <definedName name="Pi5_4" localSheetId="66">'выпадающие расходы'!_Pi5</definedName>
    <definedName name="Pi5_4" localSheetId="55">'ЗП с факт 3 кв. 2015'!_Pi5</definedName>
    <definedName name="Pi5_4" localSheetId="24">'ПОЛНАЯ СЕБЕСТОИМОСТЬ ВОДА 2023'!_Pi5</definedName>
    <definedName name="Pi5_4" localSheetId="22">'ПОЛНАЯ СЕБЕСТОИМОСТЬ СТОКИ 2023'!_Pi5</definedName>
    <definedName name="Pi5_4" localSheetId="19">'Прил. 1 План ФХД вода 2023'!_Pi5</definedName>
    <definedName name="Pi5_4" localSheetId="18">'Прил. 1 План ФХД стоки 2023'!_Pi5</definedName>
    <definedName name="Pi5_4" localSheetId="17">'Прил. 1 План ФХД трансп. воды23'!_Pi5</definedName>
    <definedName name="Pi5_4" localSheetId="15">'Прил.1 ПланФХД с транспортир.23'!_Pi5</definedName>
    <definedName name="Pi5_4" localSheetId="16">'Прил.1 ПланФХД трансп. стоков23'!_Pi5</definedName>
    <definedName name="Pi5_4" localSheetId="85">'Расчет товарной выручки 2018'!_Pi5</definedName>
    <definedName name="Pi5_4" localSheetId="25">'Расчет товарной выручки 2019'!_Pi5</definedName>
    <definedName name="Pi5_4" localSheetId="20">'Расчет товарной выручки 2023'!_Pi5</definedName>
    <definedName name="Pi5_4" localSheetId="86">'рез к 2017-2023'!_Pi5</definedName>
    <definedName name="Pi5_4" localSheetId="82">'рез к 2018-2024 (кор) '!_Pi5</definedName>
    <definedName name="Pi5_4" localSheetId="13">'Текущий ремонт'!_Pi5</definedName>
    <definedName name="Pi5_4" localSheetId="23">'ФАКТ.СЕБЕСТ.ВОДА за 1 пол. 2023'!_Pi5</definedName>
    <definedName name="Pi5_4" localSheetId="21">'ФАКТ.СЕБЕСТ.СТОКИ за 1 пол.2023'!_Pi5</definedName>
    <definedName name="Pi5_4" localSheetId="14">'Чистая прибыль с транспортир.23'!_Pi5</definedName>
    <definedName name="Pi5_4">_Pi5</definedName>
    <definedName name="Pi5_67" localSheetId="84">'А 2018'!_Pi5</definedName>
    <definedName name="Pi5_67" localSheetId="66">'выпадающие расходы'!_Pi5</definedName>
    <definedName name="Pi5_67" localSheetId="55">'ЗП с факт 3 кв. 2015'!_Pi5</definedName>
    <definedName name="Pi5_67" localSheetId="24">'ПОЛНАЯ СЕБЕСТОИМОСТЬ ВОДА 2023'!_Pi5</definedName>
    <definedName name="Pi5_67" localSheetId="22">'ПОЛНАЯ СЕБЕСТОИМОСТЬ СТОКИ 2023'!_Pi5</definedName>
    <definedName name="Pi5_67" localSheetId="19">'Прил. 1 План ФХД вода 2023'!_Pi5</definedName>
    <definedName name="Pi5_67" localSheetId="18">'Прил. 1 План ФХД стоки 2023'!_Pi5</definedName>
    <definedName name="Pi5_67" localSheetId="17">'Прил. 1 План ФХД трансп. воды23'!_Pi5</definedName>
    <definedName name="Pi5_67" localSheetId="15">'Прил.1 ПланФХД с транспортир.23'!_Pi5</definedName>
    <definedName name="Pi5_67" localSheetId="16">'Прил.1 ПланФХД трансп. стоков23'!_Pi5</definedName>
    <definedName name="Pi5_67" localSheetId="85">'Расчет товарной выручки 2018'!_Pi5</definedName>
    <definedName name="Pi5_67" localSheetId="25">'Расчет товарной выручки 2019'!_Pi5</definedName>
    <definedName name="Pi5_67" localSheetId="20">'Расчет товарной выручки 2023'!_Pi5</definedName>
    <definedName name="Pi5_67" localSheetId="86">'рез к 2017-2023'!_Pi5</definedName>
    <definedName name="Pi5_67" localSheetId="82">'рез к 2018-2024 (кор) '!_Pi5</definedName>
    <definedName name="Pi5_67" localSheetId="13">'Текущий ремонт'!_Pi5</definedName>
    <definedName name="Pi5_67" localSheetId="23">'ФАКТ.СЕБЕСТ.ВОДА за 1 пол. 2023'!_Pi5</definedName>
    <definedName name="Pi5_67" localSheetId="21">'ФАКТ.СЕБЕСТ.СТОКИ за 1 пол.2023'!_Pi5</definedName>
    <definedName name="Pi5_67" localSheetId="14">'Чистая прибыль с транспортир.23'!_Pi5</definedName>
    <definedName name="Pi5_67">_Pi5</definedName>
    <definedName name="Pi5_70" localSheetId="84">'А 2018'!_Pi5</definedName>
    <definedName name="Pi5_70" localSheetId="66">'выпадающие расходы'!_Pi5</definedName>
    <definedName name="Pi5_70" localSheetId="55">'ЗП с факт 3 кв. 2015'!_Pi5</definedName>
    <definedName name="Pi5_70" localSheetId="24">'ПОЛНАЯ СЕБЕСТОИМОСТЬ ВОДА 2023'!_Pi5</definedName>
    <definedName name="Pi5_70" localSheetId="22">'ПОЛНАЯ СЕБЕСТОИМОСТЬ СТОКИ 2023'!_Pi5</definedName>
    <definedName name="Pi5_70" localSheetId="19">'Прил. 1 План ФХД вода 2023'!_Pi5</definedName>
    <definedName name="Pi5_70" localSheetId="18">'Прил. 1 План ФХД стоки 2023'!_Pi5</definedName>
    <definedName name="Pi5_70" localSheetId="17">'Прил. 1 План ФХД трансп. воды23'!_Pi5</definedName>
    <definedName name="Pi5_70" localSheetId="15">'Прил.1 ПланФХД с транспортир.23'!_Pi5</definedName>
    <definedName name="Pi5_70" localSheetId="16">'Прил.1 ПланФХД трансп. стоков23'!_Pi5</definedName>
    <definedName name="Pi5_70" localSheetId="85">'Расчет товарной выручки 2018'!_Pi5</definedName>
    <definedName name="Pi5_70" localSheetId="25">'Расчет товарной выручки 2019'!_Pi5</definedName>
    <definedName name="Pi5_70" localSheetId="20">'Расчет товарной выручки 2023'!_Pi5</definedName>
    <definedName name="Pi5_70" localSheetId="86">'рез к 2017-2023'!_Pi5</definedName>
    <definedName name="Pi5_70" localSheetId="82">'рез к 2018-2024 (кор) '!_Pi5</definedName>
    <definedName name="Pi5_70" localSheetId="13">'Текущий ремонт'!_Pi5</definedName>
    <definedName name="Pi5_70" localSheetId="23">'ФАКТ.СЕБЕСТ.ВОДА за 1 пол. 2023'!_Pi5</definedName>
    <definedName name="Pi5_70" localSheetId="21">'ФАКТ.СЕБЕСТ.СТОКИ за 1 пол.2023'!_Pi5</definedName>
    <definedName name="Pi5_70" localSheetId="14">'Чистая прибыль с транспортир.23'!_Pi5</definedName>
    <definedName name="Pi5_70">_Pi5</definedName>
    <definedName name="Pi5_71" localSheetId="84">'А 2018'!_Pi5</definedName>
    <definedName name="Pi5_71" localSheetId="66">'выпадающие расходы'!_Pi5</definedName>
    <definedName name="Pi5_71" localSheetId="55">'ЗП с факт 3 кв. 2015'!_Pi5</definedName>
    <definedName name="Pi5_71" localSheetId="24">'ПОЛНАЯ СЕБЕСТОИМОСТЬ ВОДА 2023'!_Pi5</definedName>
    <definedName name="Pi5_71" localSheetId="22">'ПОЛНАЯ СЕБЕСТОИМОСТЬ СТОКИ 2023'!_Pi5</definedName>
    <definedName name="Pi5_71" localSheetId="19">'Прил. 1 План ФХД вода 2023'!_Pi5</definedName>
    <definedName name="Pi5_71" localSheetId="18">'Прил. 1 План ФХД стоки 2023'!_Pi5</definedName>
    <definedName name="Pi5_71" localSheetId="17">'Прил. 1 План ФХД трансп. воды23'!_Pi5</definedName>
    <definedName name="Pi5_71" localSheetId="15">'Прил.1 ПланФХД с транспортир.23'!_Pi5</definedName>
    <definedName name="Pi5_71" localSheetId="16">'Прил.1 ПланФХД трансп. стоков23'!_Pi5</definedName>
    <definedName name="Pi5_71" localSheetId="85">'Расчет товарной выручки 2018'!_Pi5</definedName>
    <definedName name="Pi5_71" localSheetId="25">'Расчет товарной выручки 2019'!_Pi5</definedName>
    <definedName name="Pi5_71" localSheetId="20">'Расчет товарной выручки 2023'!_Pi5</definedName>
    <definedName name="Pi5_71" localSheetId="86">'рез к 2017-2023'!_Pi5</definedName>
    <definedName name="Pi5_71" localSheetId="82">'рез к 2018-2024 (кор) '!_Pi5</definedName>
    <definedName name="Pi5_71" localSheetId="13">'Текущий ремонт'!_Pi5</definedName>
    <definedName name="Pi5_71" localSheetId="23">'ФАКТ.СЕБЕСТ.ВОДА за 1 пол. 2023'!_Pi5</definedName>
    <definedName name="Pi5_71" localSheetId="21">'ФАКТ.СЕБЕСТ.СТОКИ за 1 пол.2023'!_Pi5</definedName>
    <definedName name="Pi5_71" localSheetId="14">'Чистая прибыль с транспортир.23'!_Pi5</definedName>
    <definedName name="Pi5_71">_Pi5</definedName>
    <definedName name="Pi5_72" localSheetId="84">'А 2018'!_Pi5</definedName>
    <definedName name="Pi5_72" localSheetId="66">'выпадающие расходы'!_Pi5</definedName>
    <definedName name="Pi5_72" localSheetId="55">'ЗП с факт 3 кв. 2015'!_Pi5</definedName>
    <definedName name="Pi5_72" localSheetId="24">'ПОЛНАЯ СЕБЕСТОИМОСТЬ ВОДА 2023'!_Pi5</definedName>
    <definedName name="Pi5_72" localSheetId="22">'ПОЛНАЯ СЕБЕСТОИМОСТЬ СТОКИ 2023'!_Pi5</definedName>
    <definedName name="Pi5_72" localSheetId="19">'Прил. 1 План ФХД вода 2023'!_Pi5</definedName>
    <definedName name="Pi5_72" localSheetId="18">'Прил. 1 План ФХД стоки 2023'!_Pi5</definedName>
    <definedName name="Pi5_72" localSheetId="17">'Прил. 1 План ФХД трансп. воды23'!_Pi5</definedName>
    <definedName name="Pi5_72" localSheetId="15">'Прил.1 ПланФХД с транспортир.23'!_Pi5</definedName>
    <definedName name="Pi5_72" localSheetId="16">'Прил.1 ПланФХД трансп. стоков23'!_Pi5</definedName>
    <definedName name="Pi5_72" localSheetId="85">'Расчет товарной выручки 2018'!_Pi5</definedName>
    <definedName name="Pi5_72" localSheetId="25">'Расчет товарной выручки 2019'!_Pi5</definedName>
    <definedName name="Pi5_72" localSheetId="20">'Расчет товарной выручки 2023'!_Pi5</definedName>
    <definedName name="Pi5_72" localSheetId="86">'рез к 2017-2023'!_Pi5</definedName>
    <definedName name="Pi5_72" localSheetId="82">'рез к 2018-2024 (кор) '!_Pi5</definedName>
    <definedName name="Pi5_72" localSheetId="13">'Текущий ремонт'!_Pi5</definedName>
    <definedName name="Pi5_72" localSheetId="23">'ФАКТ.СЕБЕСТ.ВОДА за 1 пол. 2023'!_Pi5</definedName>
    <definedName name="Pi5_72" localSheetId="21">'ФАКТ.СЕБЕСТ.СТОКИ за 1 пол.2023'!_Pi5</definedName>
    <definedName name="Pi5_72" localSheetId="14">'Чистая прибыль с транспортир.23'!_Pi5</definedName>
    <definedName name="Pi5_72">_Pi5</definedName>
    <definedName name="Pi5_74" localSheetId="84">'А 2018'!_Pi5</definedName>
    <definedName name="Pi5_74" localSheetId="66">'выпадающие расходы'!_Pi5</definedName>
    <definedName name="Pi5_74" localSheetId="55">'ЗП с факт 3 кв. 2015'!_Pi5</definedName>
    <definedName name="Pi5_74" localSheetId="24">'ПОЛНАЯ СЕБЕСТОИМОСТЬ ВОДА 2023'!_Pi5</definedName>
    <definedName name="Pi5_74" localSheetId="22">'ПОЛНАЯ СЕБЕСТОИМОСТЬ СТОКИ 2023'!_Pi5</definedName>
    <definedName name="Pi5_74" localSheetId="19">'Прил. 1 План ФХД вода 2023'!_Pi5</definedName>
    <definedName name="Pi5_74" localSheetId="18">'Прил. 1 План ФХД стоки 2023'!_Pi5</definedName>
    <definedName name="Pi5_74" localSheetId="17">'Прил. 1 План ФХД трансп. воды23'!_Pi5</definedName>
    <definedName name="Pi5_74" localSheetId="15">'Прил.1 ПланФХД с транспортир.23'!_Pi5</definedName>
    <definedName name="Pi5_74" localSheetId="16">'Прил.1 ПланФХД трансп. стоков23'!_Pi5</definedName>
    <definedName name="Pi5_74" localSheetId="85">'Расчет товарной выручки 2018'!_Pi5</definedName>
    <definedName name="Pi5_74" localSheetId="25">'Расчет товарной выручки 2019'!_Pi5</definedName>
    <definedName name="Pi5_74" localSheetId="20">'Расчет товарной выручки 2023'!_Pi5</definedName>
    <definedName name="Pi5_74" localSheetId="86">'рез к 2017-2023'!_Pi5</definedName>
    <definedName name="Pi5_74" localSheetId="82">'рез к 2018-2024 (кор) '!_Pi5</definedName>
    <definedName name="Pi5_74" localSheetId="13">'Текущий ремонт'!_Pi5</definedName>
    <definedName name="Pi5_74" localSheetId="23">'ФАКТ.СЕБЕСТ.ВОДА за 1 пол. 2023'!_Pi5</definedName>
    <definedName name="Pi5_74" localSheetId="21">'ФАКТ.СЕБЕСТ.СТОКИ за 1 пол.2023'!_Pi5</definedName>
    <definedName name="Pi5_74" localSheetId="14">'Чистая прибыль с транспортир.23'!_Pi5</definedName>
    <definedName name="Pi5_74">_Pi5</definedName>
    <definedName name="Pi5_9" localSheetId="84">'А 2018'!_Pi5</definedName>
    <definedName name="Pi5_9" localSheetId="66">'выпадающие расходы'!_Pi5</definedName>
    <definedName name="Pi5_9" localSheetId="55">'ЗП с факт 3 кв. 2015'!_Pi5</definedName>
    <definedName name="Pi5_9" localSheetId="24">'ПОЛНАЯ СЕБЕСТОИМОСТЬ ВОДА 2023'!_Pi5</definedName>
    <definedName name="Pi5_9" localSheetId="22">'ПОЛНАЯ СЕБЕСТОИМОСТЬ СТОКИ 2023'!_Pi5</definedName>
    <definedName name="Pi5_9" localSheetId="19">'Прил. 1 План ФХД вода 2023'!_Pi5</definedName>
    <definedName name="Pi5_9" localSheetId="18">'Прил. 1 План ФХД стоки 2023'!_Pi5</definedName>
    <definedName name="Pi5_9" localSheetId="17">'Прил. 1 План ФХД трансп. воды23'!_Pi5</definedName>
    <definedName name="Pi5_9" localSheetId="15">'Прил.1 ПланФХД с транспортир.23'!_Pi5</definedName>
    <definedName name="Pi5_9" localSheetId="16">'Прил.1 ПланФХД трансп. стоков23'!_Pi5</definedName>
    <definedName name="Pi5_9" localSheetId="85">'Расчет товарной выручки 2018'!_Pi5</definedName>
    <definedName name="Pi5_9" localSheetId="25">'Расчет товарной выручки 2019'!_Pi5</definedName>
    <definedName name="Pi5_9" localSheetId="20">'Расчет товарной выручки 2023'!_Pi5</definedName>
    <definedName name="Pi5_9" localSheetId="86">'рез к 2017-2023'!_Pi5</definedName>
    <definedName name="Pi5_9" localSheetId="82">'рез к 2018-2024 (кор) '!_Pi5</definedName>
    <definedName name="Pi5_9" localSheetId="13">'Текущий ремонт'!_Pi5</definedName>
    <definedName name="Pi5_9" localSheetId="23">'ФАКТ.СЕБЕСТ.ВОДА за 1 пол. 2023'!_Pi5</definedName>
    <definedName name="Pi5_9" localSheetId="21">'ФАКТ.СЕБЕСТ.СТОКИ за 1 пол.2023'!_Pi5</definedName>
    <definedName name="Pi5_9" localSheetId="14">'Чистая прибыль с транспортир.23'!_Pi5</definedName>
    <definedName name="Pi5_9">_Pi5</definedName>
    <definedName name="TEMPLATE_SPHERE" localSheetId="84">[15]TECHSHEET!$G$2</definedName>
    <definedName name="TEMPLATE_SPHERE" localSheetId="66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8">[15]TECHSHEET!$G$2</definedName>
    <definedName name="TEMPLATE_SPHERE" localSheetId="17">[15]TECHSHEET!$G$2</definedName>
    <definedName name="TEMPLATE_SPHERE" localSheetId="15">[15]TECHSHEET!$G$2</definedName>
    <definedName name="TEMPLATE_SPHERE" localSheetId="16">[15]TECHSHEET!$G$2</definedName>
    <definedName name="TEMPLATE_SPHERE" localSheetId="85">[16]TECHSHEET!$G$2</definedName>
    <definedName name="TEMPLATE_SPHERE" localSheetId="25">[15]TECHSHEET!$G$2</definedName>
    <definedName name="TEMPLATE_SPHERE" localSheetId="20">[16]TECHSHEET!$G$2</definedName>
    <definedName name="TEMPLATE_SPHERE" localSheetId="86">[16]TECHSHEET!$G$2</definedName>
    <definedName name="TEMPLATE_SPHERE" localSheetId="82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84">[15]TECHSHEET!$G$37</definedName>
    <definedName name="TEMPLATE_SPHERE_CODE" localSheetId="66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5">[15]TECHSHEET!$G$37</definedName>
    <definedName name="TEMPLATE_SPHERE_CODE" localSheetId="16">[15]TECHSHEET!$G$37</definedName>
    <definedName name="TEMPLATE_SPHERE_CODE" localSheetId="85">[16]TECHSHEET!$G$37</definedName>
    <definedName name="TEMPLATE_SPHERE_CODE" localSheetId="25">[15]TECHSHEET!$G$37</definedName>
    <definedName name="TEMPLATE_SPHERE_CODE" localSheetId="20">[16]TECHSHEET!$G$37</definedName>
    <definedName name="TEMPLATE_SPHERE_CODE" localSheetId="86">[16]TECHSHEET!$G$37</definedName>
    <definedName name="TEMPLATE_SPHERE_CODE" localSheetId="82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84">'А 2018'!аа</definedName>
    <definedName name="аа" localSheetId="66">#N/A</definedName>
    <definedName name="аа" localSheetId="55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8">#N/A</definedName>
    <definedName name="аа" localSheetId="17">#N/A</definedName>
    <definedName name="аа" localSheetId="15">#N/A</definedName>
    <definedName name="аа" localSheetId="16">#N/A</definedName>
    <definedName name="аа" localSheetId="85">#N/A</definedName>
    <definedName name="аа" localSheetId="25">#N/A</definedName>
    <definedName name="аа" localSheetId="20">#N/A</definedName>
    <definedName name="аа" localSheetId="86">'рез к 2017-2023'!аа</definedName>
    <definedName name="аа" localSheetId="82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84">'А 2018'!аа</definedName>
    <definedName name="аа_10" localSheetId="66">'выпадающие расходы'!аа</definedName>
    <definedName name="аа_10" localSheetId="55">'ЗП с факт 3 кв. 2015'!аа</definedName>
    <definedName name="аа_10" localSheetId="24">'ПОЛНАЯ СЕБЕСТОИМОСТЬ ВОДА 2023'!аа</definedName>
    <definedName name="аа_10" localSheetId="22">'ПОЛНАЯ СЕБЕСТОИМОСТЬ СТОКИ 2023'!аа</definedName>
    <definedName name="аа_10" localSheetId="19">'Прил. 1 План ФХД вода 2023'!аа</definedName>
    <definedName name="аа_10" localSheetId="18">'Прил. 1 План ФХД стоки 2023'!аа</definedName>
    <definedName name="аа_10" localSheetId="17">'Прил. 1 План ФХД трансп. воды23'!аа</definedName>
    <definedName name="аа_10" localSheetId="15">'Прил.1 ПланФХД с транспортир.23'!аа</definedName>
    <definedName name="аа_10" localSheetId="16">'Прил.1 ПланФХД трансп. стоков23'!аа</definedName>
    <definedName name="аа_10" localSheetId="85">'Расчет товарной выручки 2018'!аа</definedName>
    <definedName name="аа_10" localSheetId="25">'Расчет товарной выручки 2019'!аа</definedName>
    <definedName name="аа_10" localSheetId="20">'Расчет товарной выручки 2023'!аа</definedName>
    <definedName name="аа_10" localSheetId="86">'рез к 2017-2023'!аа</definedName>
    <definedName name="аа_10" localSheetId="82">'рез к 2018-2024 (кор) '!аа</definedName>
    <definedName name="аа_10" localSheetId="13">'Текущий ремонт'!аа</definedName>
    <definedName name="аа_10" localSheetId="23">'ФАКТ.СЕБЕСТ.ВОДА за 1 пол. 2023'!аа</definedName>
    <definedName name="аа_10" localSheetId="21">'ФАКТ.СЕБЕСТ.СТОКИ за 1 пол.2023'!аа</definedName>
    <definedName name="аа_10" localSheetId="14">'Чистая прибыль с транспортир.23'!аа</definedName>
    <definedName name="аа_10">[0]!аа</definedName>
    <definedName name="аа_14" localSheetId="84">'А 2018'!аа</definedName>
    <definedName name="аа_14" localSheetId="66">'выпадающие расходы'!аа</definedName>
    <definedName name="аа_14" localSheetId="55">'ЗП с факт 3 кв. 2015'!аа</definedName>
    <definedName name="аа_14" localSheetId="24">'ПОЛНАЯ СЕБЕСТОИМОСТЬ ВОДА 2023'!аа</definedName>
    <definedName name="аа_14" localSheetId="22">'ПОЛНАЯ СЕБЕСТОИМОСТЬ СТОКИ 2023'!аа</definedName>
    <definedName name="аа_14" localSheetId="19">'Прил. 1 План ФХД вода 2023'!аа</definedName>
    <definedName name="аа_14" localSheetId="18">'Прил. 1 План ФХД стоки 2023'!аа</definedName>
    <definedName name="аа_14" localSheetId="17">'Прил. 1 План ФХД трансп. воды23'!аа</definedName>
    <definedName name="аа_14" localSheetId="15">'Прил.1 ПланФХД с транспортир.23'!аа</definedName>
    <definedName name="аа_14" localSheetId="16">'Прил.1 ПланФХД трансп. стоков23'!аа</definedName>
    <definedName name="аа_14" localSheetId="85">'Расчет товарной выручки 2018'!аа</definedName>
    <definedName name="аа_14" localSheetId="25">'Расчет товарной выручки 2019'!аа</definedName>
    <definedName name="аа_14" localSheetId="20">'Расчет товарной выручки 2023'!аа</definedName>
    <definedName name="аа_14" localSheetId="86">'рез к 2017-2023'!аа</definedName>
    <definedName name="аа_14" localSheetId="82">'рез к 2018-2024 (кор) '!аа</definedName>
    <definedName name="аа_14" localSheetId="13">'Текущий ремонт'!аа</definedName>
    <definedName name="аа_14" localSheetId="23">'ФАКТ.СЕБЕСТ.ВОДА за 1 пол. 2023'!аа</definedName>
    <definedName name="аа_14" localSheetId="21">'ФАКТ.СЕБЕСТ.СТОКИ за 1 пол.2023'!аа</definedName>
    <definedName name="аа_14" localSheetId="14">'Чистая прибыль с транспортир.23'!аа</definedName>
    <definedName name="аа_14">[0]!аа</definedName>
    <definedName name="аа_15" localSheetId="84">'А 2018'!аа</definedName>
    <definedName name="аа_15" localSheetId="66">'выпадающие расходы'!аа</definedName>
    <definedName name="аа_15" localSheetId="55">'ЗП с факт 3 кв. 2015'!аа</definedName>
    <definedName name="аа_15" localSheetId="24">'ПОЛНАЯ СЕБЕСТОИМОСТЬ ВОДА 2023'!аа</definedName>
    <definedName name="аа_15" localSheetId="22">'ПОЛНАЯ СЕБЕСТОИМОСТЬ СТОКИ 2023'!аа</definedName>
    <definedName name="аа_15" localSheetId="19">'Прил. 1 План ФХД вода 2023'!аа</definedName>
    <definedName name="аа_15" localSheetId="18">'Прил. 1 План ФХД стоки 2023'!аа</definedName>
    <definedName name="аа_15" localSheetId="17">'Прил. 1 План ФХД трансп. воды23'!аа</definedName>
    <definedName name="аа_15" localSheetId="15">'Прил.1 ПланФХД с транспортир.23'!аа</definedName>
    <definedName name="аа_15" localSheetId="16">'Прил.1 ПланФХД трансп. стоков23'!аа</definedName>
    <definedName name="аа_15" localSheetId="85">'Расчет товарной выручки 2018'!аа</definedName>
    <definedName name="аа_15" localSheetId="25">'Расчет товарной выручки 2019'!аа</definedName>
    <definedName name="аа_15" localSheetId="20">'Расчет товарной выручки 2023'!аа</definedName>
    <definedName name="аа_15" localSheetId="86">'рез к 2017-2023'!аа</definedName>
    <definedName name="аа_15" localSheetId="82">'рез к 2018-2024 (кор) '!аа</definedName>
    <definedName name="аа_15" localSheetId="13">'Текущий ремонт'!аа</definedName>
    <definedName name="аа_15" localSheetId="23">'ФАКТ.СЕБЕСТ.ВОДА за 1 пол. 2023'!аа</definedName>
    <definedName name="аа_15" localSheetId="21">'ФАКТ.СЕБЕСТ.СТОКИ за 1 пол.2023'!аа</definedName>
    <definedName name="аа_15" localSheetId="14">'Чистая прибыль с транспортир.23'!аа</definedName>
    <definedName name="аа_15">[0]!аа</definedName>
    <definedName name="аа_16" localSheetId="84">'А 2018'!аа</definedName>
    <definedName name="аа_16" localSheetId="66">'выпадающие расходы'!аа</definedName>
    <definedName name="аа_16" localSheetId="55">'ЗП с факт 3 кв. 2015'!аа</definedName>
    <definedName name="аа_16" localSheetId="24">'ПОЛНАЯ СЕБЕСТОИМОСТЬ ВОДА 2023'!аа</definedName>
    <definedName name="аа_16" localSheetId="22">'ПОЛНАЯ СЕБЕСТОИМОСТЬ СТОКИ 2023'!аа</definedName>
    <definedName name="аа_16" localSheetId="19">'Прил. 1 План ФХД вода 2023'!аа</definedName>
    <definedName name="аа_16" localSheetId="18">'Прил. 1 План ФХД стоки 2023'!аа</definedName>
    <definedName name="аа_16" localSheetId="17">'Прил. 1 План ФХД трансп. воды23'!аа</definedName>
    <definedName name="аа_16" localSheetId="15">'Прил.1 ПланФХД с транспортир.23'!аа</definedName>
    <definedName name="аа_16" localSheetId="16">'Прил.1 ПланФХД трансп. стоков23'!аа</definedName>
    <definedName name="аа_16" localSheetId="85">'Расчет товарной выручки 2018'!аа</definedName>
    <definedName name="аа_16" localSheetId="25">'Расчет товарной выручки 2019'!аа</definedName>
    <definedName name="аа_16" localSheetId="20">'Расчет товарной выручки 2023'!аа</definedName>
    <definedName name="аа_16" localSheetId="86">'рез к 2017-2023'!аа</definedName>
    <definedName name="аа_16" localSheetId="82">'рез к 2018-2024 (кор) '!аа</definedName>
    <definedName name="аа_16" localSheetId="13">'Текущий ремонт'!аа</definedName>
    <definedName name="аа_16" localSheetId="23">'ФАКТ.СЕБЕСТ.ВОДА за 1 пол. 2023'!аа</definedName>
    <definedName name="аа_16" localSheetId="21">'ФАКТ.СЕБЕСТ.СТОКИ за 1 пол.2023'!аа</definedName>
    <definedName name="аа_16" localSheetId="14">'Чистая прибыль с транспортир.23'!аа</definedName>
    <definedName name="аа_16">[0]!аа</definedName>
    <definedName name="аа_2" localSheetId="84">'А 2018'!аа</definedName>
    <definedName name="аа_2" localSheetId="66">'выпадающие расходы'!аа</definedName>
    <definedName name="аа_2" localSheetId="55">'ЗП с факт 3 кв. 2015'!аа</definedName>
    <definedName name="аа_2" localSheetId="24">'ПОЛНАЯ СЕБЕСТОИМОСТЬ ВОДА 2023'!аа</definedName>
    <definedName name="аа_2" localSheetId="22">'ПОЛНАЯ СЕБЕСТОИМОСТЬ СТОКИ 2023'!аа</definedName>
    <definedName name="аа_2" localSheetId="19">'Прил. 1 План ФХД вода 2023'!аа</definedName>
    <definedName name="аа_2" localSheetId="18">'Прил. 1 План ФХД стоки 2023'!аа</definedName>
    <definedName name="аа_2" localSheetId="17">'Прил. 1 План ФХД трансп. воды23'!аа</definedName>
    <definedName name="аа_2" localSheetId="15">'Прил.1 ПланФХД с транспортир.23'!аа</definedName>
    <definedName name="аа_2" localSheetId="16">'Прил.1 ПланФХД трансп. стоков23'!аа</definedName>
    <definedName name="аа_2" localSheetId="85">'Расчет товарной выручки 2018'!аа</definedName>
    <definedName name="аа_2" localSheetId="25">'Расчет товарной выручки 2019'!аа</definedName>
    <definedName name="аа_2" localSheetId="20">'Расчет товарной выручки 2023'!аа</definedName>
    <definedName name="аа_2" localSheetId="86">'рез к 2017-2023'!аа</definedName>
    <definedName name="аа_2" localSheetId="82">'рез к 2018-2024 (кор) '!аа</definedName>
    <definedName name="аа_2" localSheetId="13">'Текущий ремонт'!аа</definedName>
    <definedName name="аа_2" localSheetId="23">'ФАКТ.СЕБЕСТ.ВОДА за 1 пол. 2023'!аа</definedName>
    <definedName name="аа_2" localSheetId="21">'ФАКТ.СЕБЕСТ.СТОКИ за 1 пол.2023'!аа</definedName>
    <definedName name="аа_2" localSheetId="14">'Чистая прибыль с транспортир.23'!аа</definedName>
    <definedName name="аа_2">[0]!аа</definedName>
    <definedName name="апапа" localSheetId="84">'А 2018'!_Pi4</definedName>
    <definedName name="апапа" localSheetId="66">'выпадающие расходы'!_Pi4</definedName>
    <definedName name="апапа" localSheetId="55">'ЗП с факт 3 кв. 2015'!_Pi4</definedName>
    <definedName name="апапа" localSheetId="24">'ПОЛНАЯ СЕБЕСТОИМОСТЬ ВОДА 2023'!_Pi4</definedName>
    <definedName name="апапа" localSheetId="22">'ПОЛНАЯ СЕБЕСТОИМОСТЬ СТОКИ 2023'!_Pi4</definedName>
    <definedName name="апапа" localSheetId="19">'Прил. 1 План ФХД вода 2023'!_Pi4</definedName>
    <definedName name="апапа" localSheetId="18">'Прил. 1 План ФХД стоки 2023'!_Pi4</definedName>
    <definedName name="апапа" localSheetId="17">'Прил. 1 План ФХД трансп. воды23'!_Pi4</definedName>
    <definedName name="апапа" localSheetId="15">'Прил.1 ПланФХД с транспортир.23'!_Pi4</definedName>
    <definedName name="апапа" localSheetId="16">'Прил.1 ПланФХД трансп. стоков23'!_Pi4</definedName>
    <definedName name="апапа" localSheetId="85">'Расчет товарной выручки 2018'!_Pi4</definedName>
    <definedName name="апапа" localSheetId="25">'Расчет товарной выручки 2019'!_Pi4</definedName>
    <definedName name="апапа" localSheetId="20">'Расчет товарной выручки 2023'!_Pi4</definedName>
    <definedName name="апапа" localSheetId="86">'рез к 2017-2023'!_Pi4</definedName>
    <definedName name="апапа" localSheetId="82">'рез к 2018-2024 (кор) '!_Pi4</definedName>
    <definedName name="апапа" localSheetId="13">'Текущий ремонт'!_Pi4</definedName>
    <definedName name="апапа" localSheetId="23">'ФАКТ.СЕБЕСТ.ВОДА за 1 пол. 2023'!_Pi4</definedName>
    <definedName name="апапа" localSheetId="21">'ФАКТ.СЕБЕСТ.СТОКИ за 1 пол.2023'!_Pi4</definedName>
    <definedName name="апапа" localSheetId="14">'Чистая прибыль с транспортир.23'!_Pi4</definedName>
    <definedName name="апапа">[0]!_Pi4</definedName>
    <definedName name="апапа_1" localSheetId="84">'А 2018'!_Pi4</definedName>
    <definedName name="апапа_1" localSheetId="66">'выпадающие расходы'!_Pi4</definedName>
    <definedName name="апапа_1" localSheetId="55">'ЗП с факт 3 кв. 2015'!_Pi4</definedName>
    <definedName name="апапа_1" localSheetId="24">'ПОЛНАЯ СЕБЕСТОИМОСТЬ ВОДА 2023'!_Pi4</definedName>
    <definedName name="апапа_1" localSheetId="22">'ПОЛНАЯ СЕБЕСТОИМОСТЬ СТОКИ 2023'!_Pi4</definedName>
    <definedName name="апапа_1" localSheetId="19">'Прил. 1 План ФХД вода 2023'!_Pi4</definedName>
    <definedName name="апапа_1" localSheetId="18">'Прил. 1 План ФХД стоки 2023'!_Pi4</definedName>
    <definedName name="апапа_1" localSheetId="17">'Прил. 1 План ФХД трансп. воды23'!_Pi4</definedName>
    <definedName name="апапа_1" localSheetId="15">'Прил.1 ПланФХД с транспортир.23'!_Pi4</definedName>
    <definedName name="апапа_1" localSheetId="16">'Прил.1 ПланФХД трансп. стоков23'!_Pi4</definedName>
    <definedName name="апапа_1" localSheetId="85">'Расчет товарной выручки 2018'!_Pi4</definedName>
    <definedName name="апапа_1" localSheetId="25">'Расчет товарной выручки 2019'!_Pi4</definedName>
    <definedName name="апапа_1" localSheetId="20">'Расчет товарной выручки 2023'!_Pi4</definedName>
    <definedName name="апапа_1" localSheetId="86">'рез к 2017-2023'!_Pi4</definedName>
    <definedName name="апапа_1" localSheetId="82">'рез к 2018-2024 (кор) '!_Pi4</definedName>
    <definedName name="апапа_1" localSheetId="13">'Текущий ремонт'!_Pi4</definedName>
    <definedName name="апапа_1" localSheetId="23">'ФАКТ.СЕБЕСТ.ВОДА за 1 пол. 2023'!_Pi4</definedName>
    <definedName name="апапа_1" localSheetId="21">'ФАКТ.СЕБЕСТ.СТОКИ за 1 пол.2023'!_Pi4</definedName>
    <definedName name="апапа_1" localSheetId="14">'Чистая прибыль с транспортир.23'!_Pi4</definedName>
    <definedName name="апапа_1">[0]!_Pi4</definedName>
    <definedName name="апапа_13" localSheetId="84">'А 2018'!_Pi4</definedName>
    <definedName name="апапа_13" localSheetId="66">'выпадающие расходы'!_Pi4</definedName>
    <definedName name="апапа_13" localSheetId="55">'ЗП с факт 3 кв. 2015'!_Pi4</definedName>
    <definedName name="апапа_13" localSheetId="24">'ПОЛНАЯ СЕБЕСТОИМОСТЬ ВОДА 2023'!_Pi4</definedName>
    <definedName name="апапа_13" localSheetId="22">'ПОЛНАЯ СЕБЕСТОИМОСТЬ СТОКИ 2023'!_Pi4</definedName>
    <definedName name="апапа_13" localSheetId="19">'Прил. 1 План ФХД вода 2023'!_Pi4</definedName>
    <definedName name="апапа_13" localSheetId="18">'Прил. 1 План ФХД стоки 2023'!_Pi4</definedName>
    <definedName name="апапа_13" localSheetId="17">'Прил. 1 План ФХД трансп. воды23'!_Pi4</definedName>
    <definedName name="апапа_13" localSheetId="15">'Прил.1 ПланФХД с транспортир.23'!_Pi4</definedName>
    <definedName name="апапа_13" localSheetId="16">'Прил.1 ПланФХД трансп. стоков23'!_Pi4</definedName>
    <definedName name="апапа_13" localSheetId="85">'Расчет товарной выручки 2018'!_Pi4</definedName>
    <definedName name="апапа_13" localSheetId="25">'Расчет товарной выручки 2019'!_Pi4</definedName>
    <definedName name="апапа_13" localSheetId="20">'Расчет товарной выручки 2023'!_Pi4</definedName>
    <definedName name="апапа_13" localSheetId="86">'рез к 2017-2023'!_Pi4</definedName>
    <definedName name="апапа_13" localSheetId="82">'рез к 2018-2024 (кор) '!_Pi4</definedName>
    <definedName name="апапа_13" localSheetId="13">'Текущий ремонт'!_Pi4</definedName>
    <definedName name="апапа_13" localSheetId="23">'ФАКТ.СЕБЕСТ.ВОДА за 1 пол. 2023'!_Pi4</definedName>
    <definedName name="апапа_13" localSheetId="21">'ФАКТ.СЕБЕСТ.СТОКИ за 1 пол.2023'!_Pi4</definedName>
    <definedName name="апапа_13" localSheetId="14">'Чистая прибыль с транспортир.23'!_Pi4</definedName>
    <definedName name="апапа_13">[0]!_Pi4</definedName>
    <definedName name="апапа_2" localSheetId="84">'А 2018'!_Pi4</definedName>
    <definedName name="апапа_2" localSheetId="66">'выпадающие расходы'!_Pi4</definedName>
    <definedName name="апапа_2" localSheetId="55">'ЗП с факт 3 кв. 2015'!_Pi4</definedName>
    <definedName name="апапа_2" localSheetId="24">'ПОЛНАЯ СЕБЕСТОИМОСТЬ ВОДА 2023'!_Pi4</definedName>
    <definedName name="апапа_2" localSheetId="22">'ПОЛНАЯ СЕБЕСТОИМОСТЬ СТОКИ 2023'!_Pi4</definedName>
    <definedName name="апапа_2" localSheetId="19">'Прил. 1 План ФХД вода 2023'!_Pi4</definedName>
    <definedName name="апапа_2" localSheetId="18">'Прил. 1 План ФХД стоки 2023'!_Pi4</definedName>
    <definedName name="апапа_2" localSheetId="17">'Прил. 1 План ФХД трансп. воды23'!_Pi4</definedName>
    <definedName name="апапа_2" localSheetId="15">'Прил.1 ПланФХД с транспортир.23'!_Pi4</definedName>
    <definedName name="апапа_2" localSheetId="16">'Прил.1 ПланФХД трансп. стоков23'!_Pi4</definedName>
    <definedName name="апапа_2" localSheetId="85">'Расчет товарной выручки 2018'!_Pi4</definedName>
    <definedName name="апапа_2" localSheetId="25">'Расчет товарной выручки 2019'!_Pi4</definedName>
    <definedName name="апапа_2" localSheetId="20">'Расчет товарной выручки 2023'!_Pi4</definedName>
    <definedName name="апапа_2" localSheetId="86">'рез к 2017-2023'!_Pi4</definedName>
    <definedName name="апапа_2" localSheetId="82">'рез к 2018-2024 (кор) '!_Pi4</definedName>
    <definedName name="апапа_2" localSheetId="13">'Текущий ремонт'!_Pi4</definedName>
    <definedName name="апапа_2" localSheetId="23">'ФАКТ.СЕБЕСТ.ВОДА за 1 пол. 2023'!_Pi4</definedName>
    <definedName name="апапа_2" localSheetId="21">'ФАКТ.СЕБЕСТ.СТОКИ за 1 пол.2023'!_Pi4</definedName>
    <definedName name="апапа_2" localSheetId="14">'Чистая прибыль с транспортир.23'!_Pi4</definedName>
    <definedName name="апапа_2">[0]!_Pi4</definedName>
    <definedName name="апквуцыыыыы">#N/A</definedName>
    <definedName name="б" localSheetId="84">'А 2018'!б</definedName>
    <definedName name="б" localSheetId="66">#N/A</definedName>
    <definedName name="б" localSheetId="55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8">#N/A</definedName>
    <definedName name="б" localSheetId="17">#N/A</definedName>
    <definedName name="б" localSheetId="15">#N/A</definedName>
    <definedName name="б" localSheetId="16">#N/A</definedName>
    <definedName name="б" localSheetId="85">#N/A</definedName>
    <definedName name="б" localSheetId="25">#N/A</definedName>
    <definedName name="б" localSheetId="20">#N/A</definedName>
    <definedName name="б" localSheetId="86">'рез к 2017-2023'!б</definedName>
    <definedName name="б" localSheetId="82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84">'А 2018'!б</definedName>
    <definedName name="б_10" localSheetId="66">'выпадающие расходы'!б</definedName>
    <definedName name="б_10" localSheetId="55">'ЗП с факт 3 кв. 2015'!б</definedName>
    <definedName name="б_10" localSheetId="24">'ПОЛНАЯ СЕБЕСТОИМОСТЬ ВОДА 2023'!б</definedName>
    <definedName name="б_10" localSheetId="22">'ПОЛНАЯ СЕБЕСТОИМОСТЬ СТОКИ 2023'!б</definedName>
    <definedName name="б_10" localSheetId="19">'Прил. 1 План ФХД вода 2023'!б</definedName>
    <definedName name="б_10" localSheetId="18">'Прил. 1 План ФХД стоки 2023'!б</definedName>
    <definedName name="б_10" localSheetId="17">'Прил. 1 План ФХД трансп. воды23'!б</definedName>
    <definedName name="б_10" localSheetId="15">'Прил.1 ПланФХД с транспортир.23'!б</definedName>
    <definedName name="б_10" localSheetId="16">'Прил.1 ПланФХД трансп. стоков23'!б</definedName>
    <definedName name="б_10" localSheetId="85">'Расчет товарной выручки 2018'!б</definedName>
    <definedName name="б_10" localSheetId="25">'Расчет товарной выручки 2019'!б</definedName>
    <definedName name="б_10" localSheetId="20">'Расчет товарной выручки 2023'!б</definedName>
    <definedName name="б_10" localSheetId="86">'рез к 2017-2023'!б</definedName>
    <definedName name="б_10" localSheetId="82">'рез к 2018-2024 (кор) '!б</definedName>
    <definedName name="б_10" localSheetId="13">'Текущий ремонт'!б</definedName>
    <definedName name="б_10" localSheetId="23">'ФАКТ.СЕБЕСТ.ВОДА за 1 пол. 2023'!б</definedName>
    <definedName name="б_10" localSheetId="21">'ФАКТ.СЕБЕСТ.СТОКИ за 1 пол.2023'!б</definedName>
    <definedName name="б_10" localSheetId="14">'Чистая прибыль с транспортир.23'!б</definedName>
    <definedName name="б_10">[0]!б</definedName>
    <definedName name="б_14" localSheetId="84">'А 2018'!б</definedName>
    <definedName name="б_14" localSheetId="66">'выпадающие расходы'!б</definedName>
    <definedName name="б_14" localSheetId="55">'ЗП с факт 3 кв. 2015'!б</definedName>
    <definedName name="б_14" localSheetId="24">'ПОЛНАЯ СЕБЕСТОИМОСТЬ ВОДА 2023'!б</definedName>
    <definedName name="б_14" localSheetId="22">'ПОЛНАЯ СЕБЕСТОИМОСТЬ СТОКИ 2023'!б</definedName>
    <definedName name="б_14" localSheetId="19">'Прил. 1 План ФХД вода 2023'!б</definedName>
    <definedName name="б_14" localSheetId="18">'Прил. 1 План ФХД стоки 2023'!б</definedName>
    <definedName name="б_14" localSheetId="17">'Прил. 1 План ФХД трансп. воды23'!б</definedName>
    <definedName name="б_14" localSheetId="15">'Прил.1 ПланФХД с транспортир.23'!б</definedName>
    <definedName name="б_14" localSheetId="16">'Прил.1 ПланФХД трансп. стоков23'!б</definedName>
    <definedName name="б_14" localSheetId="85">'Расчет товарной выручки 2018'!б</definedName>
    <definedName name="б_14" localSheetId="25">'Расчет товарной выручки 2019'!б</definedName>
    <definedName name="б_14" localSheetId="20">'Расчет товарной выручки 2023'!б</definedName>
    <definedName name="б_14" localSheetId="86">'рез к 2017-2023'!б</definedName>
    <definedName name="б_14" localSheetId="82">'рез к 2018-2024 (кор) '!б</definedName>
    <definedName name="б_14" localSheetId="13">'Текущий ремонт'!б</definedName>
    <definedName name="б_14" localSheetId="23">'ФАКТ.СЕБЕСТ.ВОДА за 1 пол. 2023'!б</definedName>
    <definedName name="б_14" localSheetId="21">'ФАКТ.СЕБЕСТ.СТОКИ за 1 пол.2023'!б</definedName>
    <definedName name="б_14" localSheetId="14">'Чистая прибыль с транспортир.23'!б</definedName>
    <definedName name="б_14">[0]!б</definedName>
    <definedName name="б_15" localSheetId="84">'А 2018'!б</definedName>
    <definedName name="б_15" localSheetId="66">'выпадающие расходы'!б</definedName>
    <definedName name="б_15" localSheetId="55">'ЗП с факт 3 кв. 2015'!б</definedName>
    <definedName name="б_15" localSheetId="24">'ПОЛНАЯ СЕБЕСТОИМОСТЬ ВОДА 2023'!б</definedName>
    <definedName name="б_15" localSheetId="22">'ПОЛНАЯ СЕБЕСТОИМОСТЬ СТОКИ 2023'!б</definedName>
    <definedName name="б_15" localSheetId="19">'Прил. 1 План ФХД вода 2023'!б</definedName>
    <definedName name="б_15" localSheetId="18">'Прил. 1 План ФХД стоки 2023'!б</definedName>
    <definedName name="б_15" localSheetId="17">'Прил. 1 План ФХД трансп. воды23'!б</definedName>
    <definedName name="б_15" localSheetId="15">'Прил.1 ПланФХД с транспортир.23'!б</definedName>
    <definedName name="б_15" localSheetId="16">'Прил.1 ПланФХД трансп. стоков23'!б</definedName>
    <definedName name="б_15" localSheetId="85">'Расчет товарной выручки 2018'!б</definedName>
    <definedName name="б_15" localSheetId="25">'Расчет товарной выручки 2019'!б</definedName>
    <definedName name="б_15" localSheetId="20">'Расчет товарной выручки 2023'!б</definedName>
    <definedName name="б_15" localSheetId="86">'рез к 2017-2023'!б</definedName>
    <definedName name="б_15" localSheetId="82">'рез к 2018-2024 (кор) '!б</definedName>
    <definedName name="б_15" localSheetId="13">'Текущий ремонт'!б</definedName>
    <definedName name="б_15" localSheetId="23">'ФАКТ.СЕБЕСТ.ВОДА за 1 пол. 2023'!б</definedName>
    <definedName name="б_15" localSheetId="21">'ФАКТ.СЕБЕСТ.СТОКИ за 1 пол.2023'!б</definedName>
    <definedName name="б_15" localSheetId="14">'Чистая прибыль с транспортир.23'!б</definedName>
    <definedName name="б_15">[0]!б</definedName>
    <definedName name="б_16" localSheetId="84">'А 2018'!б</definedName>
    <definedName name="б_16" localSheetId="66">'выпадающие расходы'!б</definedName>
    <definedName name="б_16" localSheetId="55">'ЗП с факт 3 кв. 2015'!б</definedName>
    <definedName name="б_16" localSheetId="24">'ПОЛНАЯ СЕБЕСТОИМОСТЬ ВОДА 2023'!б</definedName>
    <definedName name="б_16" localSheetId="22">'ПОЛНАЯ СЕБЕСТОИМОСТЬ СТОКИ 2023'!б</definedName>
    <definedName name="б_16" localSheetId="19">'Прил. 1 План ФХД вода 2023'!б</definedName>
    <definedName name="б_16" localSheetId="18">'Прил. 1 План ФХД стоки 2023'!б</definedName>
    <definedName name="б_16" localSheetId="17">'Прил. 1 План ФХД трансп. воды23'!б</definedName>
    <definedName name="б_16" localSheetId="15">'Прил.1 ПланФХД с транспортир.23'!б</definedName>
    <definedName name="б_16" localSheetId="16">'Прил.1 ПланФХД трансп. стоков23'!б</definedName>
    <definedName name="б_16" localSheetId="85">'Расчет товарной выручки 2018'!б</definedName>
    <definedName name="б_16" localSheetId="25">'Расчет товарной выручки 2019'!б</definedName>
    <definedName name="б_16" localSheetId="20">'Расчет товарной выручки 2023'!б</definedName>
    <definedName name="б_16" localSheetId="86">'рез к 2017-2023'!б</definedName>
    <definedName name="б_16" localSheetId="82">'рез к 2018-2024 (кор) '!б</definedName>
    <definedName name="б_16" localSheetId="13">'Текущий ремонт'!б</definedName>
    <definedName name="б_16" localSheetId="23">'ФАКТ.СЕБЕСТ.ВОДА за 1 пол. 2023'!б</definedName>
    <definedName name="б_16" localSheetId="21">'ФАКТ.СЕБЕСТ.СТОКИ за 1 пол.2023'!б</definedName>
    <definedName name="б_16" localSheetId="14">'Чистая прибыль с транспортир.23'!б</definedName>
    <definedName name="б_16">[0]!б</definedName>
    <definedName name="б_2" localSheetId="84">'А 2018'!б</definedName>
    <definedName name="б_2" localSheetId="66">'выпадающие расходы'!б</definedName>
    <definedName name="б_2" localSheetId="55">'ЗП с факт 3 кв. 2015'!б</definedName>
    <definedName name="б_2" localSheetId="24">'ПОЛНАЯ СЕБЕСТОИМОСТЬ ВОДА 2023'!б</definedName>
    <definedName name="б_2" localSheetId="22">'ПОЛНАЯ СЕБЕСТОИМОСТЬ СТОКИ 2023'!б</definedName>
    <definedName name="б_2" localSheetId="19">'Прил. 1 План ФХД вода 2023'!б</definedName>
    <definedName name="б_2" localSheetId="18">'Прил. 1 План ФХД стоки 2023'!б</definedName>
    <definedName name="б_2" localSheetId="17">'Прил. 1 План ФХД трансп. воды23'!б</definedName>
    <definedName name="б_2" localSheetId="15">'Прил.1 ПланФХД с транспортир.23'!б</definedName>
    <definedName name="б_2" localSheetId="16">'Прил.1 ПланФХД трансп. стоков23'!б</definedName>
    <definedName name="б_2" localSheetId="85">'Расчет товарной выручки 2018'!б</definedName>
    <definedName name="б_2" localSheetId="25">'Расчет товарной выручки 2019'!б</definedName>
    <definedName name="б_2" localSheetId="20">'Расчет товарной выручки 2023'!б</definedName>
    <definedName name="б_2" localSheetId="86">'рез к 2017-2023'!б</definedName>
    <definedName name="б_2" localSheetId="82">'рез к 2018-2024 (кор) '!б</definedName>
    <definedName name="б_2" localSheetId="13">'Текущий ремонт'!б</definedName>
    <definedName name="б_2" localSheetId="23">'ФАКТ.СЕБЕСТ.ВОДА за 1 пол. 2023'!б</definedName>
    <definedName name="б_2" localSheetId="21">'ФАКТ.СЕБЕСТ.СТОКИ за 1 пол.2023'!б</definedName>
    <definedName name="б_2" localSheetId="14">'Чистая прибыль с транспортир.23'!б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84">'А 2018'!в</definedName>
    <definedName name="в" localSheetId="66">#N/A</definedName>
    <definedName name="в" localSheetId="55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8">#N/A</definedName>
    <definedName name="в" localSheetId="17">#N/A</definedName>
    <definedName name="в" localSheetId="15">#N/A</definedName>
    <definedName name="в" localSheetId="16">#N/A</definedName>
    <definedName name="в" localSheetId="85">#N/A</definedName>
    <definedName name="в" localSheetId="25">#N/A</definedName>
    <definedName name="в" localSheetId="20">#N/A</definedName>
    <definedName name="в" localSheetId="86">'рез к 2017-2023'!в</definedName>
    <definedName name="в" localSheetId="82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84">'А 2018'!в</definedName>
    <definedName name="в_10" localSheetId="66">'выпадающие расходы'!в</definedName>
    <definedName name="в_10" localSheetId="55">'ЗП с факт 3 кв. 2015'!в</definedName>
    <definedName name="в_10" localSheetId="24">'ПОЛНАЯ СЕБЕСТОИМОСТЬ ВОДА 2023'!в</definedName>
    <definedName name="в_10" localSheetId="22">'ПОЛНАЯ СЕБЕСТОИМОСТЬ СТОКИ 2023'!в</definedName>
    <definedName name="в_10" localSheetId="19">'Прил. 1 План ФХД вода 2023'!в</definedName>
    <definedName name="в_10" localSheetId="18">'Прил. 1 План ФХД стоки 2023'!в</definedName>
    <definedName name="в_10" localSheetId="17">'Прил. 1 План ФХД трансп. воды23'!в</definedName>
    <definedName name="в_10" localSheetId="15">'Прил.1 ПланФХД с транспортир.23'!в</definedName>
    <definedName name="в_10" localSheetId="16">'Прил.1 ПланФХД трансп. стоков23'!в</definedName>
    <definedName name="в_10" localSheetId="85">'Расчет товарной выручки 2018'!в</definedName>
    <definedName name="в_10" localSheetId="25">'Расчет товарной выручки 2019'!в</definedName>
    <definedName name="в_10" localSheetId="20">'Расчет товарной выручки 2023'!в</definedName>
    <definedName name="в_10" localSheetId="86">'рез к 2017-2023'!в</definedName>
    <definedName name="в_10" localSheetId="82">'рез к 2018-2024 (кор) '!в</definedName>
    <definedName name="в_10" localSheetId="13">'Текущий ремонт'!в</definedName>
    <definedName name="в_10" localSheetId="23">'ФАКТ.СЕБЕСТ.ВОДА за 1 пол. 2023'!в</definedName>
    <definedName name="в_10" localSheetId="21">'ФАКТ.СЕБЕСТ.СТОКИ за 1 пол.2023'!в</definedName>
    <definedName name="в_10" localSheetId="14">'Чистая прибыль с транспортир.23'!в</definedName>
    <definedName name="в_10">[0]!в</definedName>
    <definedName name="в_14" localSheetId="84">'А 2018'!в</definedName>
    <definedName name="в_14" localSheetId="66">'выпадающие расходы'!в</definedName>
    <definedName name="в_14" localSheetId="55">'ЗП с факт 3 кв. 2015'!в</definedName>
    <definedName name="в_14" localSheetId="24">'ПОЛНАЯ СЕБЕСТОИМОСТЬ ВОДА 2023'!в</definedName>
    <definedName name="в_14" localSheetId="22">'ПОЛНАЯ СЕБЕСТОИМОСТЬ СТОКИ 2023'!в</definedName>
    <definedName name="в_14" localSheetId="19">'Прил. 1 План ФХД вода 2023'!в</definedName>
    <definedName name="в_14" localSheetId="18">'Прил. 1 План ФХД стоки 2023'!в</definedName>
    <definedName name="в_14" localSheetId="17">'Прил. 1 План ФХД трансп. воды23'!в</definedName>
    <definedName name="в_14" localSheetId="15">'Прил.1 ПланФХД с транспортир.23'!в</definedName>
    <definedName name="в_14" localSheetId="16">'Прил.1 ПланФХД трансп. стоков23'!в</definedName>
    <definedName name="в_14" localSheetId="85">'Расчет товарной выручки 2018'!в</definedName>
    <definedName name="в_14" localSheetId="25">'Расчет товарной выручки 2019'!в</definedName>
    <definedName name="в_14" localSheetId="20">'Расчет товарной выручки 2023'!в</definedName>
    <definedName name="в_14" localSheetId="86">'рез к 2017-2023'!в</definedName>
    <definedName name="в_14" localSheetId="82">'рез к 2018-2024 (кор) '!в</definedName>
    <definedName name="в_14" localSheetId="13">'Текущий ремонт'!в</definedName>
    <definedName name="в_14" localSheetId="23">'ФАКТ.СЕБЕСТ.ВОДА за 1 пол. 2023'!в</definedName>
    <definedName name="в_14" localSheetId="21">'ФАКТ.СЕБЕСТ.СТОКИ за 1 пол.2023'!в</definedName>
    <definedName name="в_14" localSheetId="14">'Чистая прибыль с транспортир.23'!в</definedName>
    <definedName name="в_14">[0]!в</definedName>
    <definedName name="в_15" localSheetId="84">'А 2018'!в</definedName>
    <definedName name="в_15" localSheetId="66">'выпадающие расходы'!в</definedName>
    <definedName name="в_15" localSheetId="55">'ЗП с факт 3 кв. 2015'!в</definedName>
    <definedName name="в_15" localSheetId="24">'ПОЛНАЯ СЕБЕСТОИМОСТЬ ВОДА 2023'!в</definedName>
    <definedName name="в_15" localSheetId="22">'ПОЛНАЯ СЕБЕСТОИМОСТЬ СТОКИ 2023'!в</definedName>
    <definedName name="в_15" localSheetId="19">'Прил. 1 План ФХД вода 2023'!в</definedName>
    <definedName name="в_15" localSheetId="18">'Прил. 1 План ФХД стоки 2023'!в</definedName>
    <definedName name="в_15" localSheetId="17">'Прил. 1 План ФХД трансп. воды23'!в</definedName>
    <definedName name="в_15" localSheetId="15">'Прил.1 ПланФХД с транспортир.23'!в</definedName>
    <definedName name="в_15" localSheetId="16">'Прил.1 ПланФХД трансп. стоков23'!в</definedName>
    <definedName name="в_15" localSheetId="85">'Расчет товарной выручки 2018'!в</definedName>
    <definedName name="в_15" localSheetId="25">'Расчет товарной выручки 2019'!в</definedName>
    <definedName name="в_15" localSheetId="20">'Расчет товарной выручки 2023'!в</definedName>
    <definedName name="в_15" localSheetId="86">'рез к 2017-2023'!в</definedName>
    <definedName name="в_15" localSheetId="82">'рез к 2018-2024 (кор) '!в</definedName>
    <definedName name="в_15" localSheetId="13">'Текущий ремонт'!в</definedName>
    <definedName name="в_15" localSheetId="23">'ФАКТ.СЕБЕСТ.ВОДА за 1 пол. 2023'!в</definedName>
    <definedName name="в_15" localSheetId="21">'ФАКТ.СЕБЕСТ.СТОКИ за 1 пол.2023'!в</definedName>
    <definedName name="в_15" localSheetId="14">'Чистая прибыль с транспортир.23'!в</definedName>
    <definedName name="в_15">[0]!в</definedName>
    <definedName name="в_16" localSheetId="84">'А 2018'!в</definedName>
    <definedName name="в_16" localSheetId="66">'выпадающие расходы'!в</definedName>
    <definedName name="в_16" localSheetId="55">'ЗП с факт 3 кв. 2015'!в</definedName>
    <definedName name="в_16" localSheetId="24">'ПОЛНАЯ СЕБЕСТОИМОСТЬ ВОДА 2023'!в</definedName>
    <definedName name="в_16" localSheetId="22">'ПОЛНАЯ СЕБЕСТОИМОСТЬ СТОКИ 2023'!в</definedName>
    <definedName name="в_16" localSheetId="19">'Прил. 1 План ФХД вода 2023'!в</definedName>
    <definedName name="в_16" localSheetId="18">'Прил. 1 План ФХД стоки 2023'!в</definedName>
    <definedName name="в_16" localSheetId="17">'Прил. 1 План ФХД трансп. воды23'!в</definedName>
    <definedName name="в_16" localSheetId="15">'Прил.1 ПланФХД с транспортир.23'!в</definedName>
    <definedName name="в_16" localSheetId="16">'Прил.1 ПланФХД трансп. стоков23'!в</definedName>
    <definedName name="в_16" localSheetId="85">'Расчет товарной выручки 2018'!в</definedName>
    <definedName name="в_16" localSheetId="25">'Расчет товарной выручки 2019'!в</definedName>
    <definedName name="в_16" localSheetId="20">'Расчет товарной выручки 2023'!в</definedName>
    <definedName name="в_16" localSheetId="86">'рез к 2017-2023'!в</definedName>
    <definedName name="в_16" localSheetId="82">'рез к 2018-2024 (кор) '!в</definedName>
    <definedName name="в_16" localSheetId="13">'Текущий ремонт'!в</definedName>
    <definedName name="в_16" localSheetId="23">'ФАКТ.СЕБЕСТ.ВОДА за 1 пол. 2023'!в</definedName>
    <definedName name="в_16" localSheetId="21">'ФАКТ.СЕБЕСТ.СТОКИ за 1 пол.2023'!в</definedName>
    <definedName name="в_16" localSheetId="14">'Чистая прибыль с транспортир.23'!в</definedName>
    <definedName name="в_16">[0]!в</definedName>
    <definedName name="в_2" localSheetId="84">'А 2018'!в</definedName>
    <definedName name="в_2" localSheetId="66">'выпадающие расходы'!в</definedName>
    <definedName name="в_2" localSheetId="55">'ЗП с факт 3 кв. 2015'!в</definedName>
    <definedName name="в_2" localSheetId="24">'ПОЛНАЯ СЕБЕСТОИМОСТЬ ВОДА 2023'!в</definedName>
    <definedName name="в_2" localSheetId="22">'ПОЛНАЯ СЕБЕСТОИМОСТЬ СТОКИ 2023'!в</definedName>
    <definedName name="в_2" localSheetId="19">'Прил. 1 План ФХД вода 2023'!в</definedName>
    <definedName name="в_2" localSheetId="18">'Прил. 1 План ФХД стоки 2023'!в</definedName>
    <definedName name="в_2" localSheetId="17">'Прил. 1 План ФХД трансп. воды23'!в</definedName>
    <definedName name="в_2" localSheetId="15">'Прил.1 ПланФХД с транспортир.23'!в</definedName>
    <definedName name="в_2" localSheetId="16">'Прил.1 ПланФХД трансп. стоков23'!в</definedName>
    <definedName name="в_2" localSheetId="85">'Расчет товарной выручки 2018'!в</definedName>
    <definedName name="в_2" localSheetId="25">'Расчет товарной выручки 2019'!в</definedName>
    <definedName name="в_2" localSheetId="20">'Расчет товарной выручки 2023'!в</definedName>
    <definedName name="в_2" localSheetId="86">'рез к 2017-2023'!в</definedName>
    <definedName name="в_2" localSheetId="82">'рез к 2018-2024 (кор) '!в</definedName>
    <definedName name="в_2" localSheetId="13">'Текущий ремонт'!в</definedName>
    <definedName name="в_2" localSheetId="23">'ФАКТ.СЕБЕСТ.ВОДА за 1 пол. 2023'!в</definedName>
    <definedName name="в_2" localSheetId="21">'ФАКТ.СЕБЕСТ.СТОКИ за 1 пол.2023'!в</definedName>
    <definedName name="в_2" localSheetId="14">'Чистая прибыль с транспортир.23'!в</definedName>
    <definedName name="в_2">[0]!в</definedName>
    <definedName name="вааитььбблдшщщ">#N/A</definedName>
    <definedName name="вапроолдджюююююю">#N/A</definedName>
    <definedName name="выкапфвап" localSheetId="64">#REF!</definedName>
    <definedName name="выкапфвап" localSheetId="65">#REF!</definedName>
    <definedName name="выкапфвап" localSheetId="66">#REF!</definedName>
    <definedName name="выкапфвап" localSheetId="80">#REF!</definedName>
    <definedName name="выкапфвап" localSheetId="19">#REF!</definedName>
    <definedName name="выкапфвап" localSheetId="18">#REF!</definedName>
    <definedName name="выкапфвап" localSheetId="17">#REF!</definedName>
    <definedName name="выкапфвап" localSheetId="15">#REF!</definedName>
    <definedName name="выкапфвап" localSheetId="16">#REF!</definedName>
    <definedName name="выкапфвап" localSheetId="85">#REF!</definedName>
    <definedName name="выкапфвап" localSheetId="25">#REF!</definedName>
    <definedName name="выкапфвап" localSheetId="20">#REF!</definedName>
    <definedName name="выкапфвап" localSheetId="86">#REF!</definedName>
    <definedName name="выкапфвап" localSheetId="82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84">'[8]распределение январь по бухг.'!#REF!</definedName>
    <definedName name="гггггг" localSheetId="64">'[9]распределение январь по бухг.'!#REF!</definedName>
    <definedName name="гггггг" localSheetId="65">'[9]распределение январь по бухг.'!#REF!</definedName>
    <definedName name="гггггг" localSheetId="66">'[10]распределение январь по бухг.'!#REF!</definedName>
    <definedName name="гггггг" localSheetId="55">'[9]распределение январь по бухг.'!#REF!</definedName>
    <definedName name="гггггг" localSheetId="80">'[9]распределение январь по бухг.'!#REF!</definedName>
    <definedName name="гггггг" localSheetId="32">'[9]распределение январь по бухг.'!#REF!</definedName>
    <definedName name="гггггг" localSheetId="24">'[9]распределение январь по бухг.'!#REF!</definedName>
    <definedName name="гггггг" localSheetId="22">'[9]распределение январь по бухг.'!#REF!</definedName>
    <definedName name="гггггг" localSheetId="19">'[9]распределение январь по бухг.'!#REF!</definedName>
    <definedName name="гггггг" localSheetId="18">'[9]распределение январь по бухг.'!#REF!</definedName>
    <definedName name="гггггг" localSheetId="17">'[9]распределение январь по бухг.'!#REF!</definedName>
    <definedName name="гггггг" localSheetId="15">'[9]распределение январь по бухг.'!#REF!</definedName>
    <definedName name="гггггг" localSheetId="16">'[9]распределение январь по бухг.'!#REF!</definedName>
    <definedName name="гггггг" localSheetId="85">'[10]распределение январь по бухг.'!#REF!</definedName>
    <definedName name="гггггг" localSheetId="25">'[9]распределение январь по бухг.'!#REF!</definedName>
    <definedName name="гггггг" localSheetId="20">'[10]распределение январь по бухг.'!#REF!</definedName>
    <definedName name="гггггг" localSheetId="86">'[10]распределение январь по бухг.'!#REF!</definedName>
    <definedName name="гггггг" localSheetId="82">'[10]распределение январь по бухг.'!#REF!</definedName>
    <definedName name="гггггг" localSheetId="31">'[9]распределение январь по бухг.'!#REF!</definedName>
    <definedName name="гггггг" localSheetId="13">'[9]распределение январь по бухг.'!#REF!</definedName>
    <definedName name="гггггг" localSheetId="30">'[9]распределение январь по бухг.'!#REF!</definedName>
    <definedName name="гггггг" localSheetId="23">'[9]распределение январь по бухг.'!#REF!</definedName>
    <definedName name="гггггг" localSheetId="21">'[9]распределение январь по бухг.'!#REF!</definedName>
    <definedName name="гггггг" localSheetId="14">'[9]распределение январь по бухг.'!#REF!</definedName>
    <definedName name="гггггг" localSheetId="38">'[9]распределение январь по бухг.'!#REF!</definedName>
    <definedName name="гггггг">'[9]распределение январь по бухг.'!#REF!</definedName>
    <definedName name="гггггггггггггггггг" localSheetId="84">[8]расшифровка!#REF!</definedName>
    <definedName name="гггггггггггггггггг" localSheetId="64">[9]расшифровка!#REF!</definedName>
    <definedName name="гггггггггггггггггг" localSheetId="65">[9]расшифровка!#REF!</definedName>
    <definedName name="гггггггггггггггггг" localSheetId="66">[10]расшифровка!#REF!</definedName>
    <definedName name="гггггггггггггггггг" localSheetId="55">[9]расшифровка!#REF!</definedName>
    <definedName name="гггггггггггггггггг" localSheetId="80">[9]расшифровка!#REF!</definedName>
    <definedName name="гггггггггггггггггг" localSheetId="32">[9]расшифровка!#REF!</definedName>
    <definedName name="гггггггггггггггггг" localSheetId="24">[9]расшифровка!#REF!</definedName>
    <definedName name="гггггггггггггггггг" localSheetId="22">[9]расшифровка!#REF!</definedName>
    <definedName name="гггггггггггггггггг" localSheetId="19">[9]расшифровка!#REF!</definedName>
    <definedName name="гггггггггггггггггг" localSheetId="18">[9]расшифровка!#REF!</definedName>
    <definedName name="гггггггггггггггггг" localSheetId="17">[9]расшифровка!#REF!</definedName>
    <definedName name="гггггггггггггггггг" localSheetId="15">[9]расшифровка!#REF!</definedName>
    <definedName name="гггггггггггггггггг" localSheetId="16">[9]расшифровка!#REF!</definedName>
    <definedName name="гггггггггггггггггг" localSheetId="85">[10]расшифровка!#REF!</definedName>
    <definedName name="гггггггггггггггггг" localSheetId="25">[9]расшифровка!#REF!</definedName>
    <definedName name="гггггггггггггггггг" localSheetId="20">[10]расшифровка!#REF!</definedName>
    <definedName name="гггггггггггггггггг" localSheetId="86">[10]расшифровка!#REF!</definedName>
    <definedName name="гггггггггггггггггг" localSheetId="82">[10]расшифровка!#REF!</definedName>
    <definedName name="гггггггггггггггггг" localSheetId="31">[9]расшифровка!#REF!</definedName>
    <definedName name="гггггггггггггггггг" localSheetId="13">[9]расшифровка!#REF!</definedName>
    <definedName name="гггггггггггггггггг" localSheetId="30">[9]расшифровка!#REF!</definedName>
    <definedName name="гггггггггггггггггг" localSheetId="23">[9]расшифровка!#REF!</definedName>
    <definedName name="гггггггггггггггггг" localSheetId="21">[9]расшифровка!#REF!</definedName>
    <definedName name="гггггггггггггггггг" localSheetId="14">[9]расшифровка!#REF!</definedName>
    <definedName name="гггггггггггггггггг" localSheetId="38">[9]расшифровка!#REF!</definedName>
    <definedName name="гггггггггггггггггг">[9]расшифровка!#REF!</definedName>
    <definedName name="дапвеункее">#N/A</definedName>
    <definedName name="дголь" localSheetId="84">'А 2018'!_Pi3</definedName>
    <definedName name="дголь" localSheetId="66">'выпадающие расходы'!_Pi3</definedName>
    <definedName name="дголь" localSheetId="55">'ЗП с факт 3 кв. 2015'!_Pi3</definedName>
    <definedName name="дголь" localSheetId="24">'ПОЛНАЯ СЕБЕСТОИМОСТЬ ВОДА 2023'!_Pi3</definedName>
    <definedName name="дголь" localSheetId="22">'ПОЛНАЯ СЕБЕСТОИМОСТЬ СТОКИ 2023'!_Pi3</definedName>
    <definedName name="дголь" localSheetId="19">'Прил. 1 План ФХД вода 2023'!_Pi3</definedName>
    <definedName name="дголь" localSheetId="18">'Прил. 1 План ФХД стоки 2023'!_Pi3</definedName>
    <definedName name="дголь" localSheetId="17">'Прил. 1 План ФХД трансп. воды23'!_Pi3</definedName>
    <definedName name="дголь" localSheetId="15">'Прил.1 ПланФХД с транспортир.23'!_Pi3</definedName>
    <definedName name="дголь" localSheetId="16">'Прил.1 ПланФХД трансп. стоков23'!_Pi3</definedName>
    <definedName name="дголь" localSheetId="85">'Расчет товарной выручки 2018'!_Pi3</definedName>
    <definedName name="дголь" localSheetId="25">'Расчет товарной выручки 2019'!_Pi3</definedName>
    <definedName name="дголь" localSheetId="20">'Расчет товарной выручки 2023'!_Pi3</definedName>
    <definedName name="дголь" localSheetId="86">'рез к 2017-2023'!_Pi3</definedName>
    <definedName name="дголь" localSheetId="82">'рез к 2018-2024 (кор) '!_Pi3</definedName>
    <definedName name="дголь" localSheetId="13">'Текущий ремонт'!_Pi3</definedName>
    <definedName name="дголь" localSheetId="23">'ФАКТ.СЕБЕСТ.ВОДА за 1 пол. 2023'!_Pi3</definedName>
    <definedName name="дголь" localSheetId="21">'ФАКТ.СЕБЕСТ.СТОКИ за 1 пол.2023'!_Pi3</definedName>
    <definedName name="дголь" localSheetId="14">'Чистая прибыль с транспортир.23'!_Pi3</definedName>
    <definedName name="дголь">[0]!_Pi3</definedName>
    <definedName name="дголь_13" localSheetId="84">'А 2018'!_Pi3</definedName>
    <definedName name="дголь_13" localSheetId="66">'выпадающие расходы'!_Pi3</definedName>
    <definedName name="дголь_13" localSheetId="55">'ЗП с факт 3 кв. 2015'!_Pi3</definedName>
    <definedName name="дголь_13" localSheetId="24">'ПОЛНАЯ СЕБЕСТОИМОСТЬ ВОДА 2023'!_Pi3</definedName>
    <definedName name="дголь_13" localSheetId="22">'ПОЛНАЯ СЕБЕСТОИМОСТЬ СТОКИ 2023'!_Pi3</definedName>
    <definedName name="дголь_13" localSheetId="19">'Прил. 1 План ФХД вода 2023'!_Pi3</definedName>
    <definedName name="дголь_13" localSheetId="18">'Прил. 1 План ФХД стоки 2023'!_Pi3</definedName>
    <definedName name="дголь_13" localSheetId="17">'Прил. 1 План ФХД трансп. воды23'!_Pi3</definedName>
    <definedName name="дголь_13" localSheetId="15">'Прил.1 ПланФХД с транспортир.23'!_Pi3</definedName>
    <definedName name="дголь_13" localSheetId="16">'Прил.1 ПланФХД трансп. стоков23'!_Pi3</definedName>
    <definedName name="дголь_13" localSheetId="85">'Расчет товарной выручки 2018'!_Pi3</definedName>
    <definedName name="дголь_13" localSheetId="25">'Расчет товарной выручки 2019'!_Pi3</definedName>
    <definedName name="дголь_13" localSheetId="20">'Расчет товарной выручки 2023'!_Pi3</definedName>
    <definedName name="дголь_13" localSheetId="86">'рез к 2017-2023'!_Pi3</definedName>
    <definedName name="дголь_13" localSheetId="82">'рез к 2018-2024 (кор) '!_Pi3</definedName>
    <definedName name="дголь_13" localSheetId="13">'Текущий ремонт'!_Pi3</definedName>
    <definedName name="дголь_13" localSheetId="23">'ФАКТ.СЕБЕСТ.ВОДА за 1 пол. 2023'!_Pi3</definedName>
    <definedName name="дголь_13" localSheetId="21">'ФАКТ.СЕБЕСТ.СТОКИ за 1 пол.2023'!_Pi3</definedName>
    <definedName name="дголь_13" localSheetId="14">'Чистая прибыль с транспортир.23'!_Pi3</definedName>
    <definedName name="дголь_13">[0]!_Pi3</definedName>
    <definedName name="ддллоогггггггггггг">#N/A</definedName>
    <definedName name="длгоор" localSheetId="84">'А 2018'!_Pi5</definedName>
    <definedName name="длгоор" localSheetId="66">'выпадающие расходы'!_Pi5</definedName>
    <definedName name="длгоор" localSheetId="55">'ЗП с факт 3 кв. 2015'!_Pi5</definedName>
    <definedName name="длгоор" localSheetId="24">'ПОЛНАЯ СЕБЕСТОИМОСТЬ ВОДА 2023'!_Pi5</definedName>
    <definedName name="длгоор" localSheetId="22">'ПОЛНАЯ СЕБЕСТОИМОСТЬ СТОКИ 2023'!_Pi5</definedName>
    <definedName name="длгоор" localSheetId="19">'Прил. 1 План ФХД вода 2023'!_Pi5</definedName>
    <definedName name="длгоор" localSheetId="18">'Прил. 1 План ФХД стоки 2023'!_Pi5</definedName>
    <definedName name="длгоор" localSheetId="17">'Прил. 1 План ФХД трансп. воды23'!_Pi5</definedName>
    <definedName name="длгоор" localSheetId="15">'Прил.1 ПланФХД с транспортир.23'!_Pi5</definedName>
    <definedName name="длгоор" localSheetId="16">'Прил.1 ПланФХД трансп. стоков23'!_Pi5</definedName>
    <definedName name="длгоор" localSheetId="85">'Расчет товарной выручки 2018'!_Pi5</definedName>
    <definedName name="длгоор" localSheetId="25">'Расчет товарной выручки 2019'!_Pi5</definedName>
    <definedName name="длгоор" localSheetId="20">'Расчет товарной выручки 2023'!_Pi5</definedName>
    <definedName name="длгоор" localSheetId="86">'рез к 2017-2023'!_Pi5</definedName>
    <definedName name="длгоор" localSheetId="82">'рез к 2018-2024 (кор) '!_Pi5</definedName>
    <definedName name="длгоор" localSheetId="13">'Текущий ремонт'!_Pi5</definedName>
    <definedName name="длгоор" localSheetId="23">'ФАКТ.СЕБЕСТ.ВОДА за 1 пол. 2023'!_Pi5</definedName>
    <definedName name="длгоор" localSheetId="21">'ФАКТ.СЕБЕСТ.СТОКИ за 1 пол.2023'!_Pi5</definedName>
    <definedName name="длгоор" localSheetId="14">'Чистая прибыль с транспортир.23'!_Pi5</definedName>
    <definedName name="длгоор">[0]!_Pi5</definedName>
    <definedName name="длгоор_13" localSheetId="84">'А 2018'!_Pi5</definedName>
    <definedName name="длгоор_13" localSheetId="66">'выпадающие расходы'!_Pi5</definedName>
    <definedName name="длгоор_13" localSheetId="55">'ЗП с факт 3 кв. 2015'!_Pi5</definedName>
    <definedName name="длгоор_13" localSheetId="24">'ПОЛНАЯ СЕБЕСТОИМОСТЬ ВОДА 2023'!_Pi5</definedName>
    <definedName name="длгоор_13" localSheetId="22">'ПОЛНАЯ СЕБЕСТОИМОСТЬ СТОКИ 2023'!_Pi5</definedName>
    <definedName name="длгоор_13" localSheetId="19">'Прил. 1 План ФХД вода 2023'!_Pi5</definedName>
    <definedName name="длгоор_13" localSheetId="18">'Прил. 1 План ФХД стоки 2023'!_Pi5</definedName>
    <definedName name="длгоор_13" localSheetId="17">'Прил. 1 План ФХД трансп. воды23'!_Pi5</definedName>
    <definedName name="длгоор_13" localSheetId="15">'Прил.1 ПланФХД с транспортир.23'!_Pi5</definedName>
    <definedName name="длгоор_13" localSheetId="16">'Прил.1 ПланФХД трансп. стоков23'!_Pi5</definedName>
    <definedName name="длгоор_13" localSheetId="85">'Расчет товарной выручки 2018'!_Pi5</definedName>
    <definedName name="длгоор_13" localSheetId="25">'Расчет товарной выручки 2019'!_Pi5</definedName>
    <definedName name="длгоор_13" localSheetId="20">'Расчет товарной выручки 2023'!_Pi5</definedName>
    <definedName name="длгоор_13" localSheetId="86">'рез к 2017-2023'!_Pi5</definedName>
    <definedName name="длгоор_13" localSheetId="82">'рез к 2018-2024 (кор) '!_Pi5</definedName>
    <definedName name="длгоор_13" localSheetId="13">'Текущий ремонт'!_Pi5</definedName>
    <definedName name="длгоор_13" localSheetId="23">'ФАКТ.СЕБЕСТ.ВОДА за 1 пол. 2023'!_Pi5</definedName>
    <definedName name="длгоор_13" localSheetId="21">'ФАКТ.СЕБЕСТ.СТОКИ за 1 пол.2023'!_Pi5</definedName>
    <definedName name="длгоор_13" localSheetId="14">'Чистая прибыль с транспортир.23'!_Pi5</definedName>
    <definedName name="длгоор_13">[0]!_Pi5</definedName>
    <definedName name="длгоор_2" localSheetId="84">'А 2018'!_Pi5</definedName>
    <definedName name="длгоор_2" localSheetId="66">'выпадающие расходы'!_Pi5</definedName>
    <definedName name="длгоор_2" localSheetId="55">'ЗП с факт 3 кв. 2015'!_Pi5</definedName>
    <definedName name="длгоор_2" localSheetId="24">'ПОЛНАЯ СЕБЕСТОИМОСТЬ ВОДА 2023'!_Pi5</definedName>
    <definedName name="длгоор_2" localSheetId="22">'ПОЛНАЯ СЕБЕСТОИМОСТЬ СТОКИ 2023'!_Pi5</definedName>
    <definedName name="длгоор_2" localSheetId="19">'Прил. 1 План ФХД вода 2023'!_Pi5</definedName>
    <definedName name="длгоор_2" localSheetId="18">'Прил. 1 План ФХД стоки 2023'!_Pi5</definedName>
    <definedName name="длгоор_2" localSheetId="17">'Прил. 1 План ФХД трансп. воды23'!_Pi5</definedName>
    <definedName name="длгоор_2" localSheetId="15">'Прил.1 ПланФХД с транспортир.23'!_Pi5</definedName>
    <definedName name="длгоор_2" localSheetId="16">'Прил.1 ПланФХД трансп. стоков23'!_Pi5</definedName>
    <definedName name="длгоор_2" localSheetId="85">'Расчет товарной выручки 2018'!_Pi5</definedName>
    <definedName name="длгоор_2" localSheetId="25">'Расчет товарной выручки 2019'!_Pi5</definedName>
    <definedName name="длгоор_2" localSheetId="20">'Расчет товарной выручки 2023'!_Pi5</definedName>
    <definedName name="длгоор_2" localSheetId="86">'рез к 2017-2023'!_Pi5</definedName>
    <definedName name="длгоор_2" localSheetId="82">'рез к 2018-2024 (кор) '!_Pi5</definedName>
    <definedName name="длгоор_2" localSheetId="13">'Текущий ремонт'!_Pi5</definedName>
    <definedName name="длгоор_2" localSheetId="23">'ФАКТ.СЕБЕСТ.ВОДА за 1 пол. 2023'!_Pi5</definedName>
    <definedName name="длгоор_2" localSheetId="21">'ФАКТ.СЕБЕСТ.СТОКИ за 1 пол.2023'!_Pi5</definedName>
    <definedName name="длгоор_2" localSheetId="14">'Чистая прибыль с транспортир.23'!_Pi5</definedName>
    <definedName name="длгоор_2">[0]!_Pi5</definedName>
    <definedName name="дллллл" localSheetId="84">'А 2018'!_Pi3</definedName>
    <definedName name="дллллл" localSheetId="66">'выпадающие расходы'!_Pi3</definedName>
    <definedName name="дллллл" localSheetId="55">'ЗП с факт 3 кв. 2015'!_Pi3</definedName>
    <definedName name="дллллл" localSheetId="24">'ПОЛНАЯ СЕБЕСТОИМОСТЬ ВОДА 2023'!_Pi3</definedName>
    <definedName name="дллллл" localSheetId="22">'ПОЛНАЯ СЕБЕСТОИМОСТЬ СТОКИ 2023'!_Pi3</definedName>
    <definedName name="дллллл" localSheetId="19">'Прил. 1 План ФХД вода 2023'!_Pi3</definedName>
    <definedName name="дллллл" localSheetId="18">'Прил. 1 План ФХД стоки 2023'!_Pi3</definedName>
    <definedName name="дллллл" localSheetId="17">'Прил. 1 План ФХД трансп. воды23'!_Pi3</definedName>
    <definedName name="дллллл" localSheetId="15">'Прил.1 ПланФХД с транспортир.23'!_Pi3</definedName>
    <definedName name="дллллл" localSheetId="16">'Прил.1 ПланФХД трансп. стоков23'!_Pi3</definedName>
    <definedName name="дллллл" localSheetId="85">'Расчет товарной выручки 2018'!_Pi3</definedName>
    <definedName name="дллллл" localSheetId="25">'Расчет товарной выручки 2019'!_Pi3</definedName>
    <definedName name="дллллл" localSheetId="20">'Расчет товарной выручки 2023'!_Pi3</definedName>
    <definedName name="дллллл" localSheetId="86">'рез к 2017-2023'!_Pi3</definedName>
    <definedName name="дллллл" localSheetId="82">'рез к 2018-2024 (кор) '!_Pi3</definedName>
    <definedName name="дллллл" localSheetId="13">'Текущий ремонт'!_Pi3</definedName>
    <definedName name="дллллл" localSheetId="23">'ФАКТ.СЕБЕСТ.ВОДА за 1 пол. 2023'!_Pi3</definedName>
    <definedName name="дллллл" localSheetId="21">'ФАКТ.СЕБЕСТ.СТОКИ за 1 пол.2023'!_Pi3</definedName>
    <definedName name="дллллл" localSheetId="14">'Чистая прибыль с транспортир.23'!_Pi3</definedName>
    <definedName name="дллллл">[0]!_Pi3</definedName>
    <definedName name="дллллл_13" localSheetId="84">'А 2018'!_Pi3</definedName>
    <definedName name="дллллл_13" localSheetId="66">'выпадающие расходы'!_Pi3</definedName>
    <definedName name="дллллл_13" localSheetId="55">'ЗП с факт 3 кв. 2015'!_Pi3</definedName>
    <definedName name="дллллл_13" localSheetId="24">'ПОЛНАЯ СЕБЕСТОИМОСТЬ ВОДА 2023'!_Pi3</definedName>
    <definedName name="дллллл_13" localSheetId="22">'ПОЛНАЯ СЕБЕСТОИМОСТЬ СТОКИ 2023'!_Pi3</definedName>
    <definedName name="дллллл_13" localSheetId="19">'Прил. 1 План ФХД вода 2023'!_Pi3</definedName>
    <definedName name="дллллл_13" localSheetId="18">'Прил. 1 План ФХД стоки 2023'!_Pi3</definedName>
    <definedName name="дллллл_13" localSheetId="17">'Прил. 1 План ФХД трансп. воды23'!_Pi3</definedName>
    <definedName name="дллллл_13" localSheetId="15">'Прил.1 ПланФХД с транспортир.23'!_Pi3</definedName>
    <definedName name="дллллл_13" localSheetId="16">'Прил.1 ПланФХД трансп. стоков23'!_Pi3</definedName>
    <definedName name="дллллл_13" localSheetId="85">'Расчет товарной выручки 2018'!_Pi3</definedName>
    <definedName name="дллллл_13" localSheetId="25">'Расчет товарной выручки 2019'!_Pi3</definedName>
    <definedName name="дллллл_13" localSheetId="20">'Расчет товарной выручки 2023'!_Pi3</definedName>
    <definedName name="дллллл_13" localSheetId="86">'рез к 2017-2023'!_Pi3</definedName>
    <definedName name="дллллл_13" localSheetId="82">'рез к 2018-2024 (кор) '!_Pi3</definedName>
    <definedName name="дллллл_13" localSheetId="13">'Текущий ремонт'!_Pi3</definedName>
    <definedName name="дллллл_13" localSheetId="23">'ФАКТ.СЕБЕСТ.ВОДА за 1 пол. 2023'!_Pi3</definedName>
    <definedName name="дллллл_13" localSheetId="21">'ФАКТ.СЕБЕСТ.СТОКИ за 1 пол.2023'!_Pi3</definedName>
    <definedName name="дллллл_13" localSheetId="14">'Чистая прибыль с транспортир.23'!_Pi3</definedName>
    <definedName name="дллллл_13">[0]!_Pi3</definedName>
    <definedName name="дллллл_2" localSheetId="84">'А 2018'!_Pi3</definedName>
    <definedName name="дллллл_2" localSheetId="66">'выпадающие расходы'!_Pi3</definedName>
    <definedName name="дллллл_2" localSheetId="55">'ЗП с факт 3 кв. 2015'!_Pi3</definedName>
    <definedName name="дллллл_2" localSheetId="24">'ПОЛНАЯ СЕБЕСТОИМОСТЬ ВОДА 2023'!_Pi3</definedName>
    <definedName name="дллллл_2" localSheetId="22">'ПОЛНАЯ СЕБЕСТОИМОСТЬ СТОКИ 2023'!_Pi3</definedName>
    <definedName name="дллллл_2" localSheetId="19">'Прил. 1 План ФХД вода 2023'!_Pi3</definedName>
    <definedName name="дллллл_2" localSheetId="18">'Прил. 1 План ФХД стоки 2023'!_Pi3</definedName>
    <definedName name="дллллл_2" localSheetId="17">'Прил. 1 План ФХД трансп. воды23'!_Pi3</definedName>
    <definedName name="дллллл_2" localSheetId="15">'Прил.1 ПланФХД с транспортир.23'!_Pi3</definedName>
    <definedName name="дллллл_2" localSheetId="16">'Прил.1 ПланФХД трансп. стоков23'!_Pi3</definedName>
    <definedName name="дллллл_2" localSheetId="85">'Расчет товарной выручки 2018'!_Pi3</definedName>
    <definedName name="дллллл_2" localSheetId="25">'Расчет товарной выручки 2019'!_Pi3</definedName>
    <definedName name="дллллл_2" localSheetId="20">'Расчет товарной выручки 2023'!_Pi3</definedName>
    <definedName name="дллллл_2" localSheetId="86">'рез к 2017-2023'!_Pi3</definedName>
    <definedName name="дллллл_2" localSheetId="82">'рез к 2018-2024 (кор) '!_Pi3</definedName>
    <definedName name="дллллл_2" localSheetId="13">'Текущий ремонт'!_Pi3</definedName>
    <definedName name="дллллл_2" localSheetId="23">'ФАКТ.СЕБЕСТ.ВОДА за 1 пол. 2023'!_Pi3</definedName>
    <definedName name="дллллл_2" localSheetId="21">'ФАКТ.СЕБЕСТ.СТОКИ за 1 пол.2023'!_Pi3</definedName>
    <definedName name="дллллл_2" localSheetId="14">'Чистая прибыль с транспортир.23'!_Pi3</definedName>
    <definedName name="дллллл_2">[0]!_Pi3</definedName>
    <definedName name="длллоо" localSheetId="84">#REF!</definedName>
    <definedName name="длллоо" localSheetId="64">#REF!</definedName>
    <definedName name="длллоо" localSheetId="65">#REF!</definedName>
    <definedName name="длллоо" localSheetId="66">#REF!</definedName>
    <definedName name="длллоо" localSheetId="55">#REF!</definedName>
    <definedName name="длллоо" localSheetId="80">#REF!</definedName>
    <definedName name="длллоо" localSheetId="32">#REF!</definedName>
    <definedName name="длллоо" localSheetId="17">#REF!</definedName>
    <definedName name="длллоо" localSheetId="15">#REF!</definedName>
    <definedName name="длллоо" localSheetId="16">#REF!</definedName>
    <definedName name="длллоо" localSheetId="85">#REF!</definedName>
    <definedName name="длллоо" localSheetId="25">#REF!</definedName>
    <definedName name="длллоо" localSheetId="20">#REF!</definedName>
    <definedName name="длллоо" localSheetId="86">#REF!</definedName>
    <definedName name="длллоо" localSheetId="82">#REF!</definedName>
    <definedName name="длллоо" localSheetId="31">#REF!</definedName>
    <definedName name="длллоо" localSheetId="30">#REF!</definedName>
    <definedName name="длллоо" localSheetId="14">#REF!</definedName>
    <definedName name="длллоо" localSheetId="38">#REF!</definedName>
    <definedName name="длллоо">#REF!</definedName>
    <definedName name="длллоо_13" localSheetId="84">#REF!</definedName>
    <definedName name="длллоо_13" localSheetId="64">#REF!</definedName>
    <definedName name="длллоо_13" localSheetId="65">#REF!</definedName>
    <definedName name="длллоо_13" localSheetId="66">#REF!</definedName>
    <definedName name="длллоо_13" localSheetId="55">#REF!</definedName>
    <definedName name="длллоо_13" localSheetId="80">#REF!</definedName>
    <definedName name="длллоо_13" localSheetId="32">#REF!</definedName>
    <definedName name="длллоо_13" localSheetId="17">#REF!</definedName>
    <definedName name="длллоо_13" localSheetId="15">#REF!</definedName>
    <definedName name="длллоо_13" localSheetId="16">#REF!</definedName>
    <definedName name="длллоо_13" localSheetId="85">#REF!</definedName>
    <definedName name="длллоо_13" localSheetId="25">#REF!</definedName>
    <definedName name="длллоо_13" localSheetId="20">#REF!</definedName>
    <definedName name="длллоо_13" localSheetId="86">#REF!</definedName>
    <definedName name="длллоо_13" localSheetId="82">#REF!</definedName>
    <definedName name="длллоо_13" localSheetId="31">#REF!</definedName>
    <definedName name="длллоо_13" localSheetId="30">#REF!</definedName>
    <definedName name="длллоо_13" localSheetId="14">#REF!</definedName>
    <definedName name="длллоо_13" localSheetId="38">#REF!</definedName>
    <definedName name="длллоо_13">#REF!</definedName>
    <definedName name="_xlnm.Print_Titles" localSheetId="29">'вода 2019-2023 коррект'!$4:$6</definedName>
    <definedName name="_xlnm.Print_Titles" localSheetId="31">'стоки 2019-2023'!$3:$5</definedName>
    <definedName name="имя" localSheetId="84">'А 2018'!_Pi2</definedName>
    <definedName name="имя" localSheetId="66">'выпадающие расходы'!_Pi2</definedName>
    <definedName name="имя" localSheetId="55">'ЗП с факт 3 кв. 2015'!_Pi2</definedName>
    <definedName name="имя" localSheetId="24">'ПОЛНАЯ СЕБЕСТОИМОСТЬ ВОДА 2023'!_Pi2</definedName>
    <definedName name="имя" localSheetId="22">'ПОЛНАЯ СЕБЕСТОИМОСТЬ СТОКИ 2023'!_Pi2</definedName>
    <definedName name="имя" localSheetId="19">'Прил. 1 План ФХД вода 2023'!_Pi2</definedName>
    <definedName name="имя" localSheetId="18">'Прил. 1 План ФХД стоки 2023'!_Pi2</definedName>
    <definedName name="имя" localSheetId="17">'Прил. 1 План ФХД трансп. воды23'!_Pi2</definedName>
    <definedName name="имя" localSheetId="15">'Прил.1 ПланФХД с транспортир.23'!_Pi2</definedName>
    <definedName name="имя" localSheetId="16">'Прил.1 ПланФХД трансп. стоков23'!_Pi2</definedName>
    <definedName name="имя" localSheetId="85">'Расчет товарной выручки 2018'!_Pi2</definedName>
    <definedName name="имя" localSheetId="25">'Расчет товарной выручки 2019'!_Pi2</definedName>
    <definedName name="имя" localSheetId="20">'Расчет товарной выручки 2023'!_Pi2</definedName>
    <definedName name="имя" localSheetId="86">'рез к 2017-2023'!_Pi2</definedName>
    <definedName name="имя" localSheetId="82">'рез к 2018-2024 (кор) '!_Pi2</definedName>
    <definedName name="имя" localSheetId="13">'Текущий ремонт'!_Pi2</definedName>
    <definedName name="имя" localSheetId="23">'ФАКТ.СЕБЕСТ.ВОДА за 1 пол. 2023'!_Pi2</definedName>
    <definedName name="имя" localSheetId="21">'ФАКТ.СЕБЕСТ.СТОКИ за 1 пол.2023'!_Pi2</definedName>
    <definedName name="имя" localSheetId="14">'Чистая прибыль с транспортир.23'!_Pi2</definedName>
    <definedName name="имя">[0]!_Pi2</definedName>
    <definedName name="имя1" localSheetId="84">'А 2018'!_Pi2</definedName>
    <definedName name="имя1" localSheetId="66">'выпадающие расходы'!_Pi2</definedName>
    <definedName name="имя1" localSheetId="55">'ЗП с факт 3 кв. 2015'!_Pi2</definedName>
    <definedName name="имя1" localSheetId="24">'ПОЛНАЯ СЕБЕСТОИМОСТЬ ВОДА 2023'!_Pi2</definedName>
    <definedName name="имя1" localSheetId="22">'ПОЛНАЯ СЕБЕСТОИМОСТЬ СТОКИ 2023'!_Pi2</definedName>
    <definedName name="имя1" localSheetId="19">'Прил. 1 План ФХД вода 2023'!_Pi2</definedName>
    <definedName name="имя1" localSheetId="18">'Прил. 1 План ФХД стоки 2023'!_Pi2</definedName>
    <definedName name="имя1" localSheetId="17">'Прил. 1 План ФХД трансп. воды23'!_Pi2</definedName>
    <definedName name="имя1" localSheetId="15">'Прил.1 ПланФХД с транспортир.23'!_Pi2</definedName>
    <definedName name="имя1" localSheetId="16">'Прил.1 ПланФХД трансп. стоков23'!_Pi2</definedName>
    <definedName name="имя1" localSheetId="85">'Расчет товарной выручки 2018'!_Pi2</definedName>
    <definedName name="имя1" localSheetId="25">'Расчет товарной выручки 2019'!_Pi2</definedName>
    <definedName name="имя1" localSheetId="20">'Расчет товарной выручки 2023'!_Pi2</definedName>
    <definedName name="имя1" localSheetId="86">'рез к 2017-2023'!_Pi2</definedName>
    <definedName name="имя1" localSheetId="82">'рез к 2018-2024 (кор) '!_Pi2</definedName>
    <definedName name="имя1" localSheetId="13">'Текущий ремонт'!_Pi2</definedName>
    <definedName name="имя1" localSheetId="23">'ФАКТ.СЕБЕСТ.ВОДА за 1 пол. 2023'!_Pi2</definedName>
    <definedName name="имя1" localSheetId="21">'ФАКТ.СЕБЕСТ.СТОКИ за 1 пол.2023'!_Pi2</definedName>
    <definedName name="имя1" localSheetId="14">'Чистая прибыль с транспортир.23'!_Pi2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84">#REF!</definedName>
    <definedName name="итрооогнгггг" localSheetId="64">#REF!</definedName>
    <definedName name="итрооогнгггг" localSheetId="65">#REF!</definedName>
    <definedName name="итрооогнгггг" localSheetId="66">#REF!</definedName>
    <definedName name="итрооогнгггг" localSheetId="55">#REF!</definedName>
    <definedName name="итрооогнгггг" localSheetId="80">#REF!</definedName>
    <definedName name="итрооогнгггг" localSheetId="32">#REF!</definedName>
    <definedName name="итрооогнгггг" localSheetId="17">#REF!</definedName>
    <definedName name="итрооогнгггг" localSheetId="15">#REF!</definedName>
    <definedName name="итрооогнгггг" localSheetId="16">#REF!</definedName>
    <definedName name="итрооогнгггг" localSheetId="85">#REF!</definedName>
    <definedName name="итрооогнгггг" localSheetId="25">#REF!</definedName>
    <definedName name="итрооогнгггг" localSheetId="20">#REF!</definedName>
    <definedName name="итрооогнгггг" localSheetId="86">#REF!</definedName>
    <definedName name="итрооогнгггг" localSheetId="82">#REF!</definedName>
    <definedName name="итрооогнгггг" localSheetId="31">#REF!</definedName>
    <definedName name="итрооогнгггг" localSheetId="30">#REF!</definedName>
    <definedName name="итрооогнгггг" localSheetId="14">#REF!</definedName>
    <definedName name="итрооогнгггг" localSheetId="38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84">'А 2018'!коррект</definedName>
    <definedName name="коррект" localSheetId="66">#N/A</definedName>
    <definedName name="коррект" localSheetId="55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8">#N/A</definedName>
    <definedName name="коррект" localSheetId="17">#N/A</definedName>
    <definedName name="коррект" localSheetId="15">#N/A</definedName>
    <definedName name="коррект" localSheetId="16">#N/A</definedName>
    <definedName name="коррект" localSheetId="85">#N/A</definedName>
    <definedName name="коррект" localSheetId="25">#N/A</definedName>
    <definedName name="коррект" localSheetId="20">#N/A</definedName>
    <definedName name="коррект" localSheetId="86">'рез к 2017-2023'!коррект</definedName>
    <definedName name="коррект" localSheetId="82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84">'А 2018'!коррект</definedName>
    <definedName name="коррект_10" localSheetId="66">'выпадающие расходы'!коррект</definedName>
    <definedName name="коррект_10" localSheetId="55">'ЗП с факт 3 кв. 2015'!коррект</definedName>
    <definedName name="коррект_10" localSheetId="24">'ПОЛНАЯ СЕБЕСТОИМОСТЬ ВОДА 2023'!коррект</definedName>
    <definedName name="коррект_10" localSheetId="22">'ПОЛНАЯ СЕБЕСТОИМОСТЬ СТОКИ 2023'!коррект</definedName>
    <definedName name="коррект_10" localSheetId="19">'Прил. 1 План ФХД вода 2023'!коррект</definedName>
    <definedName name="коррект_10" localSheetId="18">'Прил. 1 План ФХД стоки 2023'!коррект</definedName>
    <definedName name="коррект_10" localSheetId="17">'Прил. 1 План ФХД трансп. воды23'!коррект</definedName>
    <definedName name="коррект_10" localSheetId="15">'Прил.1 ПланФХД с транспортир.23'!коррект</definedName>
    <definedName name="коррект_10" localSheetId="16">'Прил.1 ПланФХД трансп. стоков23'!коррект</definedName>
    <definedName name="коррект_10" localSheetId="85">'Расчет товарной выручки 2018'!коррект</definedName>
    <definedName name="коррект_10" localSheetId="25">'Расчет товарной выручки 2019'!коррект</definedName>
    <definedName name="коррект_10" localSheetId="20">'Расчет товарной выручки 2023'!коррект</definedName>
    <definedName name="коррект_10" localSheetId="86">'рез к 2017-2023'!коррект</definedName>
    <definedName name="коррект_10" localSheetId="82">'рез к 2018-2024 (кор) '!коррект</definedName>
    <definedName name="коррект_10" localSheetId="13">'Текущий ремонт'!коррект</definedName>
    <definedName name="коррект_10" localSheetId="23">'ФАКТ.СЕБЕСТ.ВОДА за 1 пол. 2023'!коррект</definedName>
    <definedName name="коррект_10" localSheetId="21">'ФАКТ.СЕБЕСТ.СТОКИ за 1 пол.2023'!коррект</definedName>
    <definedName name="коррект_10" localSheetId="14">'Чистая прибыль с транспортир.23'!коррект</definedName>
    <definedName name="коррект_10">[0]!коррект</definedName>
    <definedName name="коррект_14" localSheetId="84">'А 2018'!коррект</definedName>
    <definedName name="коррект_14" localSheetId="66">'выпадающие расходы'!коррект</definedName>
    <definedName name="коррект_14" localSheetId="55">'ЗП с факт 3 кв. 2015'!коррект</definedName>
    <definedName name="коррект_14" localSheetId="24">'ПОЛНАЯ СЕБЕСТОИМОСТЬ ВОДА 2023'!коррект</definedName>
    <definedName name="коррект_14" localSheetId="22">'ПОЛНАЯ СЕБЕСТОИМОСТЬ СТОКИ 2023'!коррект</definedName>
    <definedName name="коррект_14" localSheetId="19">'Прил. 1 План ФХД вода 2023'!коррект</definedName>
    <definedName name="коррект_14" localSheetId="18">'Прил. 1 План ФХД стоки 2023'!коррект</definedName>
    <definedName name="коррект_14" localSheetId="17">'Прил. 1 План ФХД трансп. воды23'!коррект</definedName>
    <definedName name="коррект_14" localSheetId="15">'Прил.1 ПланФХД с транспортир.23'!коррект</definedName>
    <definedName name="коррект_14" localSheetId="16">'Прил.1 ПланФХД трансп. стоков23'!коррект</definedName>
    <definedName name="коррект_14" localSheetId="85">'Расчет товарной выручки 2018'!коррект</definedName>
    <definedName name="коррект_14" localSheetId="25">'Расчет товарной выручки 2019'!коррект</definedName>
    <definedName name="коррект_14" localSheetId="20">'Расчет товарной выручки 2023'!коррект</definedName>
    <definedName name="коррект_14" localSheetId="86">'рез к 2017-2023'!коррект</definedName>
    <definedName name="коррект_14" localSheetId="82">'рез к 2018-2024 (кор) '!коррект</definedName>
    <definedName name="коррект_14" localSheetId="13">'Текущий ремонт'!коррект</definedName>
    <definedName name="коррект_14" localSheetId="23">'ФАКТ.СЕБЕСТ.ВОДА за 1 пол. 2023'!коррект</definedName>
    <definedName name="коррект_14" localSheetId="21">'ФАКТ.СЕБЕСТ.СТОКИ за 1 пол.2023'!коррект</definedName>
    <definedName name="коррект_14" localSheetId="14">'Чистая прибыль с транспортир.23'!коррект</definedName>
    <definedName name="коррект_14">[0]!коррект</definedName>
    <definedName name="коррект_15" localSheetId="84">'А 2018'!коррект</definedName>
    <definedName name="коррект_15" localSheetId="66">'выпадающие расходы'!коррект</definedName>
    <definedName name="коррект_15" localSheetId="55">'ЗП с факт 3 кв. 2015'!коррект</definedName>
    <definedName name="коррект_15" localSheetId="24">'ПОЛНАЯ СЕБЕСТОИМОСТЬ ВОДА 2023'!коррект</definedName>
    <definedName name="коррект_15" localSheetId="22">'ПОЛНАЯ СЕБЕСТОИМОСТЬ СТОКИ 2023'!коррект</definedName>
    <definedName name="коррект_15" localSheetId="19">'Прил. 1 План ФХД вода 2023'!коррект</definedName>
    <definedName name="коррект_15" localSheetId="18">'Прил. 1 План ФХД стоки 2023'!коррект</definedName>
    <definedName name="коррект_15" localSheetId="17">'Прил. 1 План ФХД трансп. воды23'!коррект</definedName>
    <definedName name="коррект_15" localSheetId="15">'Прил.1 ПланФХД с транспортир.23'!коррект</definedName>
    <definedName name="коррект_15" localSheetId="16">'Прил.1 ПланФХД трансп. стоков23'!коррект</definedName>
    <definedName name="коррект_15" localSheetId="85">'Расчет товарной выручки 2018'!коррект</definedName>
    <definedName name="коррект_15" localSheetId="25">'Расчет товарной выручки 2019'!коррект</definedName>
    <definedName name="коррект_15" localSheetId="20">'Расчет товарной выручки 2023'!коррект</definedName>
    <definedName name="коррект_15" localSheetId="86">'рез к 2017-2023'!коррект</definedName>
    <definedName name="коррект_15" localSheetId="82">'рез к 2018-2024 (кор) '!коррект</definedName>
    <definedName name="коррект_15" localSheetId="13">'Текущий ремонт'!коррект</definedName>
    <definedName name="коррект_15" localSheetId="23">'ФАКТ.СЕБЕСТ.ВОДА за 1 пол. 2023'!коррект</definedName>
    <definedName name="коррект_15" localSheetId="21">'ФАКТ.СЕБЕСТ.СТОКИ за 1 пол.2023'!коррект</definedName>
    <definedName name="коррект_15" localSheetId="14">'Чистая прибыль с транспортир.23'!коррект</definedName>
    <definedName name="коррект_15">[0]!коррект</definedName>
    <definedName name="коррект_16" localSheetId="84">'А 2018'!коррект</definedName>
    <definedName name="коррект_16" localSheetId="66">'выпадающие расходы'!коррект</definedName>
    <definedName name="коррект_16" localSheetId="55">'ЗП с факт 3 кв. 2015'!коррект</definedName>
    <definedName name="коррект_16" localSheetId="24">'ПОЛНАЯ СЕБЕСТОИМОСТЬ ВОДА 2023'!коррект</definedName>
    <definedName name="коррект_16" localSheetId="22">'ПОЛНАЯ СЕБЕСТОИМОСТЬ СТОКИ 2023'!коррект</definedName>
    <definedName name="коррект_16" localSheetId="19">'Прил. 1 План ФХД вода 2023'!коррект</definedName>
    <definedName name="коррект_16" localSheetId="18">'Прил. 1 План ФХД стоки 2023'!коррект</definedName>
    <definedName name="коррект_16" localSheetId="17">'Прил. 1 План ФХД трансп. воды23'!коррект</definedName>
    <definedName name="коррект_16" localSheetId="15">'Прил.1 ПланФХД с транспортир.23'!коррект</definedName>
    <definedName name="коррект_16" localSheetId="16">'Прил.1 ПланФХД трансп. стоков23'!коррект</definedName>
    <definedName name="коррект_16" localSheetId="85">'Расчет товарной выручки 2018'!коррект</definedName>
    <definedName name="коррект_16" localSheetId="25">'Расчет товарной выручки 2019'!коррект</definedName>
    <definedName name="коррект_16" localSheetId="20">'Расчет товарной выручки 2023'!коррект</definedName>
    <definedName name="коррект_16" localSheetId="86">'рез к 2017-2023'!коррект</definedName>
    <definedName name="коррект_16" localSheetId="82">'рез к 2018-2024 (кор) '!коррект</definedName>
    <definedName name="коррект_16" localSheetId="13">'Текущий ремонт'!коррект</definedName>
    <definedName name="коррект_16" localSheetId="23">'ФАКТ.СЕБЕСТ.ВОДА за 1 пол. 2023'!коррект</definedName>
    <definedName name="коррект_16" localSheetId="21">'ФАКТ.СЕБЕСТ.СТОКИ за 1 пол.2023'!коррект</definedName>
    <definedName name="коррект_16" localSheetId="14">'Чистая прибыль с транспортир.23'!коррект</definedName>
    <definedName name="коррект_16">[0]!коррект</definedName>
    <definedName name="коррект_2" localSheetId="84">'А 2018'!коррект</definedName>
    <definedName name="коррект_2" localSheetId="66">'выпадающие расходы'!коррект</definedName>
    <definedName name="коррект_2" localSheetId="55">'ЗП с факт 3 кв. 2015'!коррект</definedName>
    <definedName name="коррект_2" localSheetId="24">'ПОЛНАЯ СЕБЕСТОИМОСТЬ ВОДА 2023'!коррект</definedName>
    <definedName name="коррект_2" localSheetId="22">'ПОЛНАЯ СЕБЕСТОИМОСТЬ СТОКИ 2023'!коррект</definedName>
    <definedName name="коррект_2" localSheetId="19">'Прил. 1 План ФХД вода 2023'!коррект</definedName>
    <definedName name="коррект_2" localSheetId="18">'Прил. 1 План ФХД стоки 2023'!коррект</definedName>
    <definedName name="коррект_2" localSheetId="17">'Прил. 1 План ФХД трансп. воды23'!коррект</definedName>
    <definedName name="коррект_2" localSheetId="15">'Прил.1 ПланФХД с транспортир.23'!коррект</definedName>
    <definedName name="коррект_2" localSheetId="16">'Прил.1 ПланФХД трансп. стоков23'!коррект</definedName>
    <definedName name="коррект_2" localSheetId="85">'Расчет товарной выручки 2018'!коррект</definedName>
    <definedName name="коррект_2" localSheetId="25">'Расчет товарной выручки 2019'!коррект</definedName>
    <definedName name="коррект_2" localSheetId="20">'Расчет товарной выручки 2023'!коррект</definedName>
    <definedName name="коррект_2" localSheetId="86">'рез к 2017-2023'!коррект</definedName>
    <definedName name="коррект_2" localSheetId="82">'рез к 2018-2024 (кор) '!коррект</definedName>
    <definedName name="коррект_2" localSheetId="13">'Текущий ремонт'!коррект</definedName>
    <definedName name="коррект_2" localSheetId="23">'ФАКТ.СЕБЕСТ.ВОДА за 1 пол. 2023'!коррект</definedName>
    <definedName name="коррект_2" localSheetId="21">'ФАКТ.СЕБЕСТ.СТОКИ за 1 пол.2023'!коррект</definedName>
    <definedName name="коррект_2" localSheetId="14">'Чистая прибыль с транспортир.23'!коррект</definedName>
    <definedName name="коррект_2">[0]!коррект</definedName>
    <definedName name="кууееерототтт">#N/A</definedName>
    <definedName name="лист" localSheetId="84">'А 2018'!лист</definedName>
    <definedName name="лист" localSheetId="66">#N/A</definedName>
    <definedName name="лист" localSheetId="55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8">#N/A</definedName>
    <definedName name="лист" localSheetId="17">#N/A</definedName>
    <definedName name="лист" localSheetId="15">#N/A</definedName>
    <definedName name="лист" localSheetId="16">#N/A</definedName>
    <definedName name="лист" localSheetId="85">#N/A</definedName>
    <definedName name="лист" localSheetId="25">#N/A</definedName>
    <definedName name="лист" localSheetId="20">#N/A</definedName>
    <definedName name="лист" localSheetId="86">'рез к 2017-2023'!лист</definedName>
    <definedName name="лист" localSheetId="82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84">'А 2018'!лист</definedName>
    <definedName name="лист_10" localSheetId="66">'выпадающие расходы'!лист</definedName>
    <definedName name="лист_10" localSheetId="55">'ЗП с факт 3 кв. 2015'!лист</definedName>
    <definedName name="лист_10" localSheetId="24">'ПОЛНАЯ СЕБЕСТОИМОСТЬ ВОДА 2023'!лист</definedName>
    <definedName name="лист_10" localSheetId="22">'ПОЛНАЯ СЕБЕСТОИМОСТЬ СТОКИ 2023'!лист</definedName>
    <definedName name="лист_10" localSheetId="19">'Прил. 1 План ФХД вода 2023'!лист</definedName>
    <definedName name="лист_10" localSheetId="18">'Прил. 1 План ФХД стоки 2023'!лист</definedName>
    <definedName name="лист_10" localSheetId="17">'Прил. 1 План ФХД трансп. воды23'!лист</definedName>
    <definedName name="лист_10" localSheetId="15">'Прил.1 ПланФХД с транспортир.23'!лист</definedName>
    <definedName name="лист_10" localSheetId="16">'Прил.1 ПланФХД трансп. стоков23'!лист</definedName>
    <definedName name="лист_10" localSheetId="85">'Расчет товарной выручки 2018'!лист</definedName>
    <definedName name="лист_10" localSheetId="25">'Расчет товарной выручки 2019'!лист</definedName>
    <definedName name="лист_10" localSheetId="20">'Расчет товарной выручки 2023'!лист</definedName>
    <definedName name="лист_10" localSheetId="86">'рез к 2017-2023'!лист</definedName>
    <definedName name="лист_10" localSheetId="82">'рез к 2018-2024 (кор) '!лист</definedName>
    <definedName name="лист_10" localSheetId="13">'Текущий ремонт'!лист</definedName>
    <definedName name="лист_10" localSheetId="23">'ФАКТ.СЕБЕСТ.ВОДА за 1 пол. 2023'!лист</definedName>
    <definedName name="лист_10" localSheetId="21">'ФАКТ.СЕБЕСТ.СТОКИ за 1 пол.2023'!лист</definedName>
    <definedName name="лист_10" localSheetId="14">'Чистая прибыль с транспортир.23'!лист</definedName>
    <definedName name="лист_10">[0]!лист</definedName>
    <definedName name="лист_14" localSheetId="84">'А 2018'!лист</definedName>
    <definedName name="лист_14" localSheetId="66">'выпадающие расходы'!лист</definedName>
    <definedName name="лист_14" localSheetId="55">'ЗП с факт 3 кв. 2015'!лист</definedName>
    <definedName name="лист_14" localSheetId="24">'ПОЛНАЯ СЕБЕСТОИМОСТЬ ВОДА 2023'!лист</definedName>
    <definedName name="лист_14" localSheetId="22">'ПОЛНАЯ СЕБЕСТОИМОСТЬ СТОКИ 2023'!лист</definedName>
    <definedName name="лист_14" localSheetId="19">'Прил. 1 План ФХД вода 2023'!лист</definedName>
    <definedName name="лист_14" localSheetId="18">'Прил. 1 План ФХД стоки 2023'!лист</definedName>
    <definedName name="лист_14" localSheetId="17">'Прил. 1 План ФХД трансп. воды23'!лист</definedName>
    <definedName name="лист_14" localSheetId="15">'Прил.1 ПланФХД с транспортир.23'!лист</definedName>
    <definedName name="лист_14" localSheetId="16">'Прил.1 ПланФХД трансп. стоков23'!лист</definedName>
    <definedName name="лист_14" localSheetId="85">'Расчет товарной выручки 2018'!лист</definedName>
    <definedName name="лист_14" localSheetId="25">'Расчет товарной выручки 2019'!лист</definedName>
    <definedName name="лист_14" localSheetId="20">'Расчет товарной выручки 2023'!лист</definedName>
    <definedName name="лист_14" localSheetId="86">'рез к 2017-2023'!лист</definedName>
    <definedName name="лист_14" localSheetId="82">'рез к 2018-2024 (кор) '!лист</definedName>
    <definedName name="лист_14" localSheetId="13">'Текущий ремонт'!лист</definedName>
    <definedName name="лист_14" localSheetId="23">'ФАКТ.СЕБЕСТ.ВОДА за 1 пол. 2023'!лист</definedName>
    <definedName name="лист_14" localSheetId="21">'ФАКТ.СЕБЕСТ.СТОКИ за 1 пол.2023'!лист</definedName>
    <definedName name="лист_14" localSheetId="14">'Чистая прибыль с транспортир.23'!лист</definedName>
    <definedName name="лист_14">[0]!лист</definedName>
    <definedName name="лист_15" localSheetId="84">'А 2018'!лист</definedName>
    <definedName name="лист_15" localSheetId="66">'выпадающие расходы'!лист</definedName>
    <definedName name="лист_15" localSheetId="55">'ЗП с факт 3 кв. 2015'!лист</definedName>
    <definedName name="лист_15" localSheetId="24">'ПОЛНАЯ СЕБЕСТОИМОСТЬ ВОДА 2023'!лист</definedName>
    <definedName name="лист_15" localSheetId="22">'ПОЛНАЯ СЕБЕСТОИМОСТЬ СТОКИ 2023'!лист</definedName>
    <definedName name="лист_15" localSheetId="19">'Прил. 1 План ФХД вода 2023'!лист</definedName>
    <definedName name="лист_15" localSheetId="18">'Прил. 1 План ФХД стоки 2023'!лист</definedName>
    <definedName name="лист_15" localSheetId="17">'Прил. 1 План ФХД трансп. воды23'!лист</definedName>
    <definedName name="лист_15" localSheetId="15">'Прил.1 ПланФХД с транспортир.23'!лист</definedName>
    <definedName name="лист_15" localSheetId="16">'Прил.1 ПланФХД трансп. стоков23'!лист</definedName>
    <definedName name="лист_15" localSheetId="85">'Расчет товарной выручки 2018'!лист</definedName>
    <definedName name="лист_15" localSheetId="25">'Расчет товарной выручки 2019'!лист</definedName>
    <definedName name="лист_15" localSheetId="20">'Расчет товарной выручки 2023'!лист</definedName>
    <definedName name="лист_15" localSheetId="86">'рез к 2017-2023'!лист</definedName>
    <definedName name="лист_15" localSheetId="82">'рез к 2018-2024 (кор) '!лист</definedName>
    <definedName name="лист_15" localSheetId="13">'Текущий ремонт'!лист</definedName>
    <definedName name="лист_15" localSheetId="23">'ФАКТ.СЕБЕСТ.ВОДА за 1 пол. 2023'!лист</definedName>
    <definedName name="лист_15" localSheetId="21">'ФАКТ.СЕБЕСТ.СТОКИ за 1 пол.2023'!лист</definedName>
    <definedName name="лист_15" localSheetId="14">'Чистая прибыль с транспортир.23'!лист</definedName>
    <definedName name="лист_15">[0]!лист</definedName>
    <definedName name="лист_16" localSheetId="84">'А 2018'!лист</definedName>
    <definedName name="лист_16" localSheetId="66">'выпадающие расходы'!лист</definedName>
    <definedName name="лист_16" localSheetId="55">'ЗП с факт 3 кв. 2015'!лист</definedName>
    <definedName name="лист_16" localSheetId="24">'ПОЛНАЯ СЕБЕСТОИМОСТЬ ВОДА 2023'!лист</definedName>
    <definedName name="лист_16" localSheetId="22">'ПОЛНАЯ СЕБЕСТОИМОСТЬ СТОКИ 2023'!лист</definedName>
    <definedName name="лист_16" localSheetId="19">'Прил. 1 План ФХД вода 2023'!лист</definedName>
    <definedName name="лист_16" localSheetId="18">'Прил. 1 План ФХД стоки 2023'!лист</definedName>
    <definedName name="лист_16" localSheetId="17">'Прил. 1 План ФХД трансп. воды23'!лист</definedName>
    <definedName name="лист_16" localSheetId="15">'Прил.1 ПланФХД с транспортир.23'!лист</definedName>
    <definedName name="лист_16" localSheetId="16">'Прил.1 ПланФХД трансп. стоков23'!лист</definedName>
    <definedName name="лист_16" localSheetId="85">'Расчет товарной выручки 2018'!лист</definedName>
    <definedName name="лист_16" localSheetId="25">'Расчет товарной выручки 2019'!лист</definedName>
    <definedName name="лист_16" localSheetId="20">'Расчет товарной выручки 2023'!лист</definedName>
    <definedName name="лист_16" localSheetId="86">'рез к 2017-2023'!лист</definedName>
    <definedName name="лист_16" localSheetId="82">'рез к 2018-2024 (кор) '!лист</definedName>
    <definedName name="лист_16" localSheetId="13">'Текущий ремонт'!лист</definedName>
    <definedName name="лист_16" localSheetId="23">'ФАКТ.СЕБЕСТ.ВОДА за 1 пол. 2023'!лист</definedName>
    <definedName name="лист_16" localSheetId="21">'ФАКТ.СЕБЕСТ.СТОКИ за 1 пол.2023'!лист</definedName>
    <definedName name="лист_16" localSheetId="14">'Чистая прибыль с транспортир.23'!лист</definedName>
    <definedName name="лист_16">[0]!лист</definedName>
    <definedName name="лист_2" localSheetId="84">'А 2018'!лист</definedName>
    <definedName name="лист_2" localSheetId="66">'выпадающие расходы'!лист</definedName>
    <definedName name="лист_2" localSheetId="55">'ЗП с факт 3 кв. 2015'!лист</definedName>
    <definedName name="лист_2" localSheetId="24">'ПОЛНАЯ СЕБЕСТОИМОСТЬ ВОДА 2023'!лист</definedName>
    <definedName name="лист_2" localSheetId="22">'ПОЛНАЯ СЕБЕСТОИМОСТЬ СТОКИ 2023'!лист</definedName>
    <definedName name="лист_2" localSheetId="19">'Прил. 1 План ФХД вода 2023'!лист</definedName>
    <definedName name="лист_2" localSheetId="18">'Прил. 1 План ФХД стоки 2023'!лист</definedName>
    <definedName name="лист_2" localSheetId="17">'Прил. 1 План ФХД трансп. воды23'!лист</definedName>
    <definedName name="лист_2" localSheetId="15">'Прил.1 ПланФХД с транспортир.23'!лист</definedName>
    <definedName name="лист_2" localSheetId="16">'Прил.1 ПланФХД трансп. стоков23'!лист</definedName>
    <definedName name="лист_2" localSheetId="85">'Расчет товарной выручки 2018'!лист</definedName>
    <definedName name="лист_2" localSheetId="25">'Расчет товарной выручки 2019'!лист</definedName>
    <definedName name="лист_2" localSheetId="20">'Расчет товарной выручки 2023'!лист</definedName>
    <definedName name="лист_2" localSheetId="86">'рез к 2017-2023'!лист</definedName>
    <definedName name="лист_2" localSheetId="82">'рез к 2018-2024 (кор) '!лист</definedName>
    <definedName name="лист_2" localSheetId="13">'Текущий ремонт'!лист</definedName>
    <definedName name="лист_2" localSheetId="23">'ФАКТ.СЕБЕСТ.ВОДА за 1 пол. 2023'!лист</definedName>
    <definedName name="лист_2" localSheetId="21">'ФАКТ.СЕБЕСТ.СТОКИ за 1 пол.2023'!лист</definedName>
    <definedName name="лист_2" localSheetId="14">'Чистая прибыль с транспортир.23'!лист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84">#REF!</definedName>
    <definedName name="мапеенроооо" localSheetId="64">#REF!</definedName>
    <definedName name="мапеенроооо" localSheetId="65">#REF!</definedName>
    <definedName name="мапеенроооо" localSheetId="66">#REF!</definedName>
    <definedName name="мапеенроооо" localSheetId="55">#REF!</definedName>
    <definedName name="мапеенроооо" localSheetId="80">#REF!</definedName>
    <definedName name="мапеенроооо" localSheetId="32">#REF!</definedName>
    <definedName name="мапеенроооо" localSheetId="17">#REF!</definedName>
    <definedName name="мапеенроооо" localSheetId="15">#REF!</definedName>
    <definedName name="мапеенроооо" localSheetId="16">#REF!</definedName>
    <definedName name="мапеенроооо" localSheetId="85">#REF!</definedName>
    <definedName name="мапеенроооо" localSheetId="25">#REF!</definedName>
    <definedName name="мапеенроооо" localSheetId="20">#REF!</definedName>
    <definedName name="мапеенроооо" localSheetId="86">#REF!</definedName>
    <definedName name="мапеенроооо" localSheetId="82">#REF!</definedName>
    <definedName name="мапеенроооо" localSheetId="31">#REF!</definedName>
    <definedName name="мапеенроооо" localSheetId="30">#REF!</definedName>
    <definedName name="мапеенроооо" localSheetId="14">#REF!</definedName>
    <definedName name="мапеенроооо" localSheetId="38">#REF!</definedName>
    <definedName name="мапеенроооо">#REF!</definedName>
    <definedName name="мапппппппппп" localSheetId="84">#REF!</definedName>
    <definedName name="мапппппппппп" localSheetId="64">#REF!</definedName>
    <definedName name="мапппппппппп" localSheetId="65">#REF!</definedName>
    <definedName name="мапппппппппп" localSheetId="66">#REF!</definedName>
    <definedName name="мапппппппппп" localSheetId="55">#REF!</definedName>
    <definedName name="мапппппппппп" localSheetId="80">#REF!</definedName>
    <definedName name="мапппппппппп" localSheetId="32">#REF!</definedName>
    <definedName name="мапппппппппп" localSheetId="17">#REF!</definedName>
    <definedName name="мапппппппппп" localSheetId="15">#REF!</definedName>
    <definedName name="мапппппппппп" localSheetId="16">#REF!</definedName>
    <definedName name="мапппппппппп" localSheetId="85">#REF!</definedName>
    <definedName name="мапппппппппп" localSheetId="25">#REF!</definedName>
    <definedName name="мапппппппппп" localSheetId="20">#REF!</definedName>
    <definedName name="мапппппппппп" localSheetId="86">#REF!</definedName>
    <definedName name="мапппппппппп" localSheetId="82">#REF!</definedName>
    <definedName name="мапппппппппп" localSheetId="31">#REF!</definedName>
    <definedName name="мапппппппппп" localSheetId="30">#REF!</definedName>
    <definedName name="мапппппппппп" localSheetId="14">#REF!</definedName>
    <definedName name="мапппппппппп" localSheetId="38">#REF!</definedName>
    <definedName name="мапппппппппп">#REF!</definedName>
    <definedName name="мипакенроггггг">#N/A</definedName>
    <definedName name="НАЛ" localSheetId="84">'А 2018'!НАЛ</definedName>
    <definedName name="НАЛ" localSheetId="66">#N/A</definedName>
    <definedName name="НАЛ" localSheetId="55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8">#N/A</definedName>
    <definedName name="НАЛ" localSheetId="17">#N/A</definedName>
    <definedName name="НАЛ" localSheetId="15">#N/A</definedName>
    <definedName name="НАЛ" localSheetId="16">#N/A</definedName>
    <definedName name="НАЛ" localSheetId="85">#N/A</definedName>
    <definedName name="НАЛ" localSheetId="25">#N/A</definedName>
    <definedName name="НАЛ" localSheetId="20">#N/A</definedName>
    <definedName name="НАЛ" localSheetId="86">'рез к 2017-2023'!НАЛ</definedName>
    <definedName name="НАЛ" localSheetId="82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84">'А 2018'!НАЛ</definedName>
    <definedName name="НАЛ_10" localSheetId="66">'выпадающие расходы'!НАЛ</definedName>
    <definedName name="НАЛ_10" localSheetId="55">'ЗП с факт 3 кв. 2015'!НАЛ</definedName>
    <definedName name="НАЛ_10" localSheetId="24">'ПОЛНАЯ СЕБЕСТОИМОСТЬ ВОДА 2023'!НАЛ</definedName>
    <definedName name="НАЛ_10" localSheetId="22">'ПОЛНАЯ СЕБЕСТОИМОСТЬ СТОКИ 2023'!НАЛ</definedName>
    <definedName name="НАЛ_10" localSheetId="19">'Прил. 1 План ФХД вода 2023'!НАЛ</definedName>
    <definedName name="НАЛ_10" localSheetId="18">'Прил. 1 План ФХД стоки 2023'!НАЛ</definedName>
    <definedName name="НАЛ_10" localSheetId="17">'Прил. 1 План ФХД трансп. воды23'!НАЛ</definedName>
    <definedName name="НАЛ_10" localSheetId="15">'Прил.1 ПланФХД с транспортир.23'!НАЛ</definedName>
    <definedName name="НАЛ_10" localSheetId="16">'Прил.1 ПланФХД трансп. стоков23'!НАЛ</definedName>
    <definedName name="НАЛ_10" localSheetId="85">'Расчет товарной выручки 2018'!НАЛ</definedName>
    <definedName name="НАЛ_10" localSheetId="25">'Расчет товарной выручки 2019'!НАЛ</definedName>
    <definedName name="НАЛ_10" localSheetId="20">'Расчет товарной выручки 2023'!НАЛ</definedName>
    <definedName name="НАЛ_10" localSheetId="86">'рез к 2017-2023'!НАЛ</definedName>
    <definedName name="НАЛ_10" localSheetId="82">'рез к 2018-2024 (кор) '!НАЛ</definedName>
    <definedName name="НАЛ_10" localSheetId="13">'Текущий ремонт'!НАЛ</definedName>
    <definedName name="НАЛ_10" localSheetId="23">'ФАКТ.СЕБЕСТ.ВОДА за 1 пол. 2023'!НАЛ</definedName>
    <definedName name="НАЛ_10" localSheetId="21">'ФАКТ.СЕБЕСТ.СТОКИ за 1 пол.2023'!НАЛ</definedName>
    <definedName name="НАЛ_10" localSheetId="14">'Чистая прибыль с транспортир.23'!НАЛ</definedName>
    <definedName name="НАЛ_10">[0]!НАЛ</definedName>
    <definedName name="НАЛ_14" localSheetId="84">'А 2018'!НАЛ</definedName>
    <definedName name="НАЛ_14" localSheetId="66">'выпадающие расходы'!НАЛ</definedName>
    <definedName name="НАЛ_14" localSheetId="55">'ЗП с факт 3 кв. 2015'!НАЛ</definedName>
    <definedName name="НАЛ_14" localSheetId="24">'ПОЛНАЯ СЕБЕСТОИМОСТЬ ВОДА 2023'!НАЛ</definedName>
    <definedName name="НАЛ_14" localSheetId="22">'ПОЛНАЯ СЕБЕСТОИМОСТЬ СТОКИ 2023'!НАЛ</definedName>
    <definedName name="НАЛ_14" localSheetId="19">'Прил. 1 План ФХД вода 2023'!НАЛ</definedName>
    <definedName name="НАЛ_14" localSheetId="18">'Прил. 1 План ФХД стоки 2023'!НАЛ</definedName>
    <definedName name="НАЛ_14" localSheetId="17">'Прил. 1 План ФХД трансп. воды23'!НАЛ</definedName>
    <definedName name="НАЛ_14" localSheetId="15">'Прил.1 ПланФХД с транспортир.23'!НАЛ</definedName>
    <definedName name="НАЛ_14" localSheetId="16">'Прил.1 ПланФХД трансп. стоков23'!НАЛ</definedName>
    <definedName name="НАЛ_14" localSheetId="85">'Расчет товарной выручки 2018'!НАЛ</definedName>
    <definedName name="НАЛ_14" localSheetId="25">'Расчет товарной выручки 2019'!НАЛ</definedName>
    <definedName name="НАЛ_14" localSheetId="20">'Расчет товарной выручки 2023'!НАЛ</definedName>
    <definedName name="НАЛ_14" localSheetId="86">'рез к 2017-2023'!НАЛ</definedName>
    <definedName name="НАЛ_14" localSheetId="82">'рез к 2018-2024 (кор) '!НАЛ</definedName>
    <definedName name="НАЛ_14" localSheetId="13">'Текущий ремонт'!НАЛ</definedName>
    <definedName name="НАЛ_14" localSheetId="23">'ФАКТ.СЕБЕСТ.ВОДА за 1 пол. 2023'!НАЛ</definedName>
    <definedName name="НАЛ_14" localSheetId="21">'ФАКТ.СЕБЕСТ.СТОКИ за 1 пол.2023'!НАЛ</definedName>
    <definedName name="НАЛ_14" localSheetId="14">'Чистая прибыль с транспортир.23'!НАЛ</definedName>
    <definedName name="НАЛ_14">[0]!НАЛ</definedName>
    <definedName name="НАЛ_15" localSheetId="84">'А 2018'!НАЛ</definedName>
    <definedName name="НАЛ_15" localSheetId="66">'выпадающие расходы'!НАЛ</definedName>
    <definedName name="НАЛ_15" localSheetId="55">'ЗП с факт 3 кв. 2015'!НАЛ</definedName>
    <definedName name="НАЛ_15" localSheetId="24">'ПОЛНАЯ СЕБЕСТОИМОСТЬ ВОДА 2023'!НАЛ</definedName>
    <definedName name="НАЛ_15" localSheetId="22">'ПОЛНАЯ СЕБЕСТОИМОСТЬ СТОКИ 2023'!НАЛ</definedName>
    <definedName name="НАЛ_15" localSheetId="19">'Прил. 1 План ФХД вода 2023'!НАЛ</definedName>
    <definedName name="НАЛ_15" localSheetId="18">'Прил. 1 План ФХД стоки 2023'!НАЛ</definedName>
    <definedName name="НАЛ_15" localSheetId="17">'Прил. 1 План ФХД трансп. воды23'!НАЛ</definedName>
    <definedName name="НАЛ_15" localSheetId="15">'Прил.1 ПланФХД с транспортир.23'!НАЛ</definedName>
    <definedName name="НАЛ_15" localSheetId="16">'Прил.1 ПланФХД трансп. стоков23'!НАЛ</definedName>
    <definedName name="НАЛ_15" localSheetId="85">'Расчет товарной выручки 2018'!НАЛ</definedName>
    <definedName name="НАЛ_15" localSheetId="25">'Расчет товарной выручки 2019'!НАЛ</definedName>
    <definedName name="НАЛ_15" localSheetId="20">'Расчет товарной выручки 2023'!НАЛ</definedName>
    <definedName name="НАЛ_15" localSheetId="86">'рез к 2017-2023'!НАЛ</definedName>
    <definedName name="НАЛ_15" localSheetId="82">'рез к 2018-2024 (кор) '!НАЛ</definedName>
    <definedName name="НАЛ_15" localSheetId="13">'Текущий ремонт'!НАЛ</definedName>
    <definedName name="НАЛ_15" localSheetId="23">'ФАКТ.СЕБЕСТ.ВОДА за 1 пол. 2023'!НАЛ</definedName>
    <definedName name="НАЛ_15" localSheetId="21">'ФАКТ.СЕБЕСТ.СТОКИ за 1 пол.2023'!НАЛ</definedName>
    <definedName name="НАЛ_15" localSheetId="14">'Чистая прибыль с транспортир.23'!НАЛ</definedName>
    <definedName name="НАЛ_15">[0]!НАЛ</definedName>
    <definedName name="НАЛ_16" localSheetId="84">'А 2018'!НАЛ</definedName>
    <definedName name="НАЛ_16" localSheetId="66">'выпадающие расходы'!НАЛ</definedName>
    <definedName name="НАЛ_16" localSheetId="55">'ЗП с факт 3 кв. 2015'!НАЛ</definedName>
    <definedName name="НАЛ_16" localSheetId="24">'ПОЛНАЯ СЕБЕСТОИМОСТЬ ВОДА 2023'!НАЛ</definedName>
    <definedName name="НАЛ_16" localSheetId="22">'ПОЛНАЯ СЕБЕСТОИМОСТЬ СТОКИ 2023'!НАЛ</definedName>
    <definedName name="НАЛ_16" localSheetId="19">'Прил. 1 План ФХД вода 2023'!НАЛ</definedName>
    <definedName name="НАЛ_16" localSheetId="18">'Прил. 1 План ФХД стоки 2023'!НАЛ</definedName>
    <definedName name="НАЛ_16" localSheetId="17">'Прил. 1 План ФХД трансп. воды23'!НАЛ</definedName>
    <definedName name="НАЛ_16" localSheetId="15">'Прил.1 ПланФХД с транспортир.23'!НАЛ</definedName>
    <definedName name="НАЛ_16" localSheetId="16">'Прил.1 ПланФХД трансп. стоков23'!НАЛ</definedName>
    <definedName name="НАЛ_16" localSheetId="85">'Расчет товарной выручки 2018'!НАЛ</definedName>
    <definedName name="НАЛ_16" localSheetId="25">'Расчет товарной выручки 2019'!НАЛ</definedName>
    <definedName name="НАЛ_16" localSheetId="20">'Расчет товарной выручки 2023'!НАЛ</definedName>
    <definedName name="НАЛ_16" localSheetId="86">'рез к 2017-2023'!НАЛ</definedName>
    <definedName name="НАЛ_16" localSheetId="82">'рез к 2018-2024 (кор) '!НАЛ</definedName>
    <definedName name="НАЛ_16" localSheetId="13">'Текущий ремонт'!НАЛ</definedName>
    <definedName name="НАЛ_16" localSheetId="23">'ФАКТ.СЕБЕСТ.ВОДА за 1 пол. 2023'!НАЛ</definedName>
    <definedName name="НАЛ_16" localSheetId="21">'ФАКТ.СЕБЕСТ.СТОКИ за 1 пол.2023'!НАЛ</definedName>
    <definedName name="НАЛ_16" localSheetId="14">'Чистая прибыль с транспортир.23'!НАЛ</definedName>
    <definedName name="НАЛ_16">[0]!НАЛ</definedName>
    <definedName name="НАЛ_2" localSheetId="84">'А 2018'!НАЛ</definedName>
    <definedName name="НАЛ_2" localSheetId="66">'выпадающие расходы'!НАЛ</definedName>
    <definedName name="НАЛ_2" localSheetId="55">'ЗП с факт 3 кв. 2015'!НАЛ</definedName>
    <definedName name="НАЛ_2" localSheetId="24">'ПОЛНАЯ СЕБЕСТОИМОСТЬ ВОДА 2023'!НАЛ</definedName>
    <definedName name="НАЛ_2" localSheetId="22">'ПОЛНАЯ СЕБЕСТОИМОСТЬ СТОКИ 2023'!НАЛ</definedName>
    <definedName name="НАЛ_2" localSheetId="19">'Прил. 1 План ФХД вода 2023'!НАЛ</definedName>
    <definedName name="НАЛ_2" localSheetId="18">'Прил. 1 План ФХД стоки 2023'!НАЛ</definedName>
    <definedName name="НАЛ_2" localSheetId="17">'Прил. 1 План ФХД трансп. воды23'!НАЛ</definedName>
    <definedName name="НАЛ_2" localSheetId="15">'Прил.1 ПланФХД с транспортир.23'!НАЛ</definedName>
    <definedName name="НАЛ_2" localSheetId="16">'Прил.1 ПланФХД трансп. стоков23'!НАЛ</definedName>
    <definedName name="НАЛ_2" localSheetId="85">'Расчет товарной выручки 2018'!НАЛ</definedName>
    <definedName name="НАЛ_2" localSheetId="25">'Расчет товарной выручки 2019'!НАЛ</definedName>
    <definedName name="НАЛ_2" localSheetId="20">'Расчет товарной выручки 2023'!НАЛ</definedName>
    <definedName name="НАЛ_2" localSheetId="86">'рез к 2017-2023'!НАЛ</definedName>
    <definedName name="НАЛ_2" localSheetId="82">'рез к 2018-2024 (кор) '!НАЛ</definedName>
    <definedName name="НАЛ_2" localSheetId="13">'Текущий ремонт'!НАЛ</definedName>
    <definedName name="НАЛ_2" localSheetId="23">'ФАКТ.СЕБЕСТ.ВОДА за 1 пол. 2023'!НАЛ</definedName>
    <definedName name="НАЛ_2" localSheetId="21">'ФАКТ.СЕБЕСТ.СТОКИ за 1 пол.2023'!НАЛ</definedName>
    <definedName name="НАЛ_2" localSheetId="14">'Чистая прибыль с транспортир.23'!НАЛ</definedName>
    <definedName name="НАЛ_2">[0]!НАЛ</definedName>
    <definedName name="НАЛИЧКА" localSheetId="84">'А 2018'!НАЛИЧКА</definedName>
    <definedName name="НАЛИЧКА" localSheetId="66">#N/A</definedName>
    <definedName name="НАЛИЧКА" localSheetId="55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8">#N/A</definedName>
    <definedName name="НАЛИЧКА" localSheetId="17">#N/A</definedName>
    <definedName name="НАЛИЧКА" localSheetId="15">#N/A</definedName>
    <definedName name="НАЛИЧКА" localSheetId="16">#N/A</definedName>
    <definedName name="НАЛИЧКА" localSheetId="85">#N/A</definedName>
    <definedName name="НАЛИЧКА" localSheetId="25">#N/A</definedName>
    <definedName name="НАЛИЧКА" localSheetId="20">#N/A</definedName>
    <definedName name="НАЛИЧКА" localSheetId="86">'рез к 2017-2023'!НАЛИЧКА</definedName>
    <definedName name="НАЛИЧКА" localSheetId="82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84">'А 2018'!НАЛИЧКА</definedName>
    <definedName name="НАЛИЧКА_10" localSheetId="66">'выпадающие расходы'!НАЛИЧКА</definedName>
    <definedName name="НАЛИЧКА_10" localSheetId="55">'ЗП с факт 3 кв. 2015'!НАЛИЧКА</definedName>
    <definedName name="НАЛИЧКА_10" localSheetId="24">'ПОЛНАЯ СЕБЕСТОИМОСТЬ ВОДА 2023'!НАЛИЧКА</definedName>
    <definedName name="НАЛИЧКА_10" localSheetId="22">'ПОЛНАЯ СЕБЕСТОИМОСТЬ СТОКИ 2023'!НАЛИЧКА</definedName>
    <definedName name="НАЛИЧКА_10" localSheetId="19">'Прил. 1 План ФХД вода 2023'!НАЛИЧКА</definedName>
    <definedName name="НАЛИЧКА_10" localSheetId="18">'Прил. 1 План ФХД стоки 2023'!НАЛИЧКА</definedName>
    <definedName name="НАЛИЧКА_10" localSheetId="17">'Прил. 1 План ФХД трансп. воды23'!НАЛИЧКА</definedName>
    <definedName name="НАЛИЧКА_10" localSheetId="15">'Прил.1 ПланФХД с транспортир.23'!НАЛИЧКА</definedName>
    <definedName name="НАЛИЧКА_10" localSheetId="16">'Прил.1 ПланФХД трансп. стоков23'!НАЛИЧКА</definedName>
    <definedName name="НАЛИЧКА_10" localSheetId="85">'Расчет товарной выручки 2018'!НАЛИЧКА</definedName>
    <definedName name="НАЛИЧКА_10" localSheetId="25">'Расчет товарной выручки 2019'!НАЛИЧКА</definedName>
    <definedName name="НАЛИЧКА_10" localSheetId="20">'Расчет товарной выручки 2023'!НАЛИЧКА</definedName>
    <definedName name="НАЛИЧКА_10" localSheetId="86">'рез к 2017-2023'!НАЛИЧКА</definedName>
    <definedName name="НАЛИЧКА_10" localSheetId="82">'рез к 2018-2024 (кор) '!НАЛИЧКА</definedName>
    <definedName name="НАЛИЧКА_10" localSheetId="13">'Текущий ремонт'!НАЛИЧКА</definedName>
    <definedName name="НАЛИЧКА_10" localSheetId="23">'ФАКТ.СЕБЕСТ.ВОДА за 1 пол. 2023'!НАЛИЧКА</definedName>
    <definedName name="НАЛИЧКА_10" localSheetId="21">'ФАКТ.СЕБЕСТ.СТОКИ за 1 пол.2023'!НАЛИЧКА</definedName>
    <definedName name="НАЛИЧКА_10" localSheetId="14">'Чистая прибыль с транспортир.23'!НАЛИЧКА</definedName>
    <definedName name="НАЛИЧКА_10">[0]!НАЛИЧКА</definedName>
    <definedName name="НАЛИЧКА_14" localSheetId="84">'А 2018'!НАЛИЧКА</definedName>
    <definedName name="НАЛИЧКА_14" localSheetId="66">'выпадающие расходы'!НАЛИЧКА</definedName>
    <definedName name="НАЛИЧКА_14" localSheetId="55">'ЗП с факт 3 кв. 2015'!НАЛИЧКА</definedName>
    <definedName name="НАЛИЧКА_14" localSheetId="24">'ПОЛНАЯ СЕБЕСТОИМОСТЬ ВОДА 2023'!НАЛИЧКА</definedName>
    <definedName name="НАЛИЧКА_14" localSheetId="22">'ПОЛНАЯ СЕБЕСТОИМОСТЬ СТОКИ 2023'!НАЛИЧКА</definedName>
    <definedName name="НАЛИЧКА_14" localSheetId="19">'Прил. 1 План ФХД вода 2023'!НАЛИЧКА</definedName>
    <definedName name="НАЛИЧКА_14" localSheetId="18">'Прил. 1 План ФХД стоки 2023'!НАЛИЧКА</definedName>
    <definedName name="НАЛИЧКА_14" localSheetId="17">'Прил. 1 План ФХД трансп. воды23'!НАЛИЧКА</definedName>
    <definedName name="НАЛИЧКА_14" localSheetId="15">'Прил.1 ПланФХД с транспортир.23'!НАЛИЧКА</definedName>
    <definedName name="НАЛИЧКА_14" localSheetId="16">'Прил.1 ПланФХД трансп. стоков23'!НАЛИЧКА</definedName>
    <definedName name="НАЛИЧКА_14" localSheetId="85">'Расчет товарной выручки 2018'!НАЛИЧКА</definedName>
    <definedName name="НАЛИЧКА_14" localSheetId="25">'Расчет товарной выручки 2019'!НАЛИЧКА</definedName>
    <definedName name="НАЛИЧКА_14" localSheetId="20">'Расчет товарной выручки 2023'!НАЛИЧКА</definedName>
    <definedName name="НАЛИЧКА_14" localSheetId="86">'рез к 2017-2023'!НАЛИЧКА</definedName>
    <definedName name="НАЛИЧКА_14" localSheetId="82">'рез к 2018-2024 (кор) '!НАЛИЧКА</definedName>
    <definedName name="НАЛИЧКА_14" localSheetId="13">'Текущий ремонт'!НАЛИЧКА</definedName>
    <definedName name="НАЛИЧКА_14" localSheetId="23">'ФАКТ.СЕБЕСТ.ВОДА за 1 пол. 2023'!НАЛИЧКА</definedName>
    <definedName name="НАЛИЧКА_14" localSheetId="21">'ФАКТ.СЕБЕСТ.СТОКИ за 1 пол.2023'!НАЛИЧКА</definedName>
    <definedName name="НАЛИЧКА_14" localSheetId="14">'Чистая прибыль с транспортир.23'!НАЛИЧКА</definedName>
    <definedName name="НАЛИЧКА_14">[0]!НАЛИЧКА</definedName>
    <definedName name="НАЛИЧКА_15" localSheetId="84">'А 2018'!НАЛИЧКА</definedName>
    <definedName name="НАЛИЧКА_15" localSheetId="66">'выпадающие расходы'!НАЛИЧКА</definedName>
    <definedName name="НАЛИЧКА_15" localSheetId="55">'ЗП с факт 3 кв. 2015'!НАЛИЧКА</definedName>
    <definedName name="НАЛИЧКА_15" localSheetId="24">'ПОЛНАЯ СЕБЕСТОИМОСТЬ ВОДА 2023'!НАЛИЧКА</definedName>
    <definedName name="НАЛИЧКА_15" localSheetId="22">'ПОЛНАЯ СЕБЕСТОИМОСТЬ СТОКИ 2023'!НАЛИЧКА</definedName>
    <definedName name="НАЛИЧКА_15" localSheetId="19">'Прил. 1 План ФХД вода 2023'!НАЛИЧКА</definedName>
    <definedName name="НАЛИЧКА_15" localSheetId="18">'Прил. 1 План ФХД стоки 2023'!НАЛИЧКА</definedName>
    <definedName name="НАЛИЧКА_15" localSheetId="17">'Прил. 1 План ФХД трансп. воды23'!НАЛИЧКА</definedName>
    <definedName name="НАЛИЧКА_15" localSheetId="15">'Прил.1 ПланФХД с транспортир.23'!НАЛИЧКА</definedName>
    <definedName name="НАЛИЧКА_15" localSheetId="16">'Прил.1 ПланФХД трансп. стоков23'!НАЛИЧКА</definedName>
    <definedName name="НАЛИЧКА_15" localSheetId="85">'Расчет товарной выручки 2018'!НАЛИЧКА</definedName>
    <definedName name="НАЛИЧКА_15" localSheetId="25">'Расчет товарной выручки 2019'!НАЛИЧКА</definedName>
    <definedName name="НАЛИЧКА_15" localSheetId="20">'Расчет товарной выручки 2023'!НАЛИЧКА</definedName>
    <definedName name="НАЛИЧКА_15" localSheetId="86">'рез к 2017-2023'!НАЛИЧКА</definedName>
    <definedName name="НАЛИЧКА_15" localSheetId="82">'рез к 2018-2024 (кор) '!НАЛИЧКА</definedName>
    <definedName name="НАЛИЧКА_15" localSheetId="13">'Текущий ремонт'!НАЛИЧКА</definedName>
    <definedName name="НАЛИЧКА_15" localSheetId="23">'ФАКТ.СЕБЕСТ.ВОДА за 1 пол. 2023'!НАЛИЧКА</definedName>
    <definedName name="НАЛИЧКА_15" localSheetId="21">'ФАКТ.СЕБЕСТ.СТОКИ за 1 пол.2023'!НАЛИЧКА</definedName>
    <definedName name="НАЛИЧКА_15" localSheetId="14">'Чистая прибыль с транспортир.23'!НАЛИЧКА</definedName>
    <definedName name="НАЛИЧКА_15">[0]!НАЛИЧКА</definedName>
    <definedName name="НАЛИЧКА_16" localSheetId="84">'А 2018'!НАЛИЧКА</definedName>
    <definedName name="НАЛИЧКА_16" localSheetId="66">'выпадающие расходы'!НАЛИЧКА</definedName>
    <definedName name="НАЛИЧКА_16" localSheetId="55">'ЗП с факт 3 кв. 2015'!НАЛИЧКА</definedName>
    <definedName name="НАЛИЧКА_16" localSheetId="24">'ПОЛНАЯ СЕБЕСТОИМОСТЬ ВОДА 2023'!НАЛИЧКА</definedName>
    <definedName name="НАЛИЧКА_16" localSheetId="22">'ПОЛНАЯ СЕБЕСТОИМОСТЬ СТОКИ 2023'!НАЛИЧКА</definedName>
    <definedName name="НАЛИЧКА_16" localSheetId="19">'Прил. 1 План ФХД вода 2023'!НАЛИЧКА</definedName>
    <definedName name="НАЛИЧКА_16" localSheetId="18">'Прил. 1 План ФХД стоки 2023'!НАЛИЧКА</definedName>
    <definedName name="НАЛИЧКА_16" localSheetId="17">'Прил. 1 План ФХД трансп. воды23'!НАЛИЧКА</definedName>
    <definedName name="НАЛИЧКА_16" localSheetId="15">'Прил.1 ПланФХД с транспортир.23'!НАЛИЧКА</definedName>
    <definedName name="НАЛИЧКА_16" localSheetId="16">'Прил.1 ПланФХД трансп. стоков23'!НАЛИЧКА</definedName>
    <definedName name="НАЛИЧКА_16" localSheetId="85">'Расчет товарной выручки 2018'!НАЛИЧКА</definedName>
    <definedName name="НАЛИЧКА_16" localSheetId="25">'Расчет товарной выручки 2019'!НАЛИЧКА</definedName>
    <definedName name="НАЛИЧКА_16" localSheetId="20">'Расчет товарной выручки 2023'!НАЛИЧКА</definedName>
    <definedName name="НАЛИЧКА_16" localSheetId="86">'рез к 2017-2023'!НАЛИЧКА</definedName>
    <definedName name="НАЛИЧКА_16" localSheetId="82">'рез к 2018-2024 (кор) '!НАЛИЧКА</definedName>
    <definedName name="НАЛИЧКА_16" localSheetId="13">'Текущий ремонт'!НАЛИЧКА</definedName>
    <definedName name="НАЛИЧКА_16" localSheetId="23">'ФАКТ.СЕБЕСТ.ВОДА за 1 пол. 2023'!НАЛИЧКА</definedName>
    <definedName name="НАЛИЧКА_16" localSheetId="21">'ФАКТ.СЕБЕСТ.СТОКИ за 1 пол.2023'!НАЛИЧКА</definedName>
    <definedName name="НАЛИЧКА_16" localSheetId="14">'Чистая прибыль с транспортир.23'!НАЛИЧКА</definedName>
    <definedName name="НАЛИЧКА_16">[0]!НАЛИЧКА</definedName>
    <definedName name="НАЛИЧКА_2" localSheetId="84">'А 2018'!НАЛИЧКА</definedName>
    <definedName name="НАЛИЧКА_2" localSheetId="66">'выпадающие расходы'!НАЛИЧКА</definedName>
    <definedName name="НАЛИЧКА_2" localSheetId="55">'ЗП с факт 3 кв. 2015'!НАЛИЧКА</definedName>
    <definedName name="НАЛИЧКА_2" localSheetId="24">'ПОЛНАЯ СЕБЕСТОИМОСТЬ ВОДА 2023'!НАЛИЧКА</definedName>
    <definedName name="НАЛИЧКА_2" localSheetId="22">'ПОЛНАЯ СЕБЕСТОИМОСТЬ СТОКИ 2023'!НАЛИЧКА</definedName>
    <definedName name="НАЛИЧКА_2" localSheetId="19">'Прил. 1 План ФХД вода 2023'!НАЛИЧКА</definedName>
    <definedName name="НАЛИЧКА_2" localSheetId="18">'Прил. 1 План ФХД стоки 2023'!НАЛИЧКА</definedName>
    <definedName name="НАЛИЧКА_2" localSheetId="17">'Прил. 1 План ФХД трансп. воды23'!НАЛИЧКА</definedName>
    <definedName name="НАЛИЧКА_2" localSheetId="15">'Прил.1 ПланФХД с транспортир.23'!НАЛИЧКА</definedName>
    <definedName name="НАЛИЧКА_2" localSheetId="16">'Прил.1 ПланФХД трансп. стоков23'!НАЛИЧКА</definedName>
    <definedName name="НАЛИЧКА_2" localSheetId="85">'Расчет товарной выручки 2018'!НАЛИЧКА</definedName>
    <definedName name="НАЛИЧКА_2" localSheetId="25">'Расчет товарной выручки 2019'!НАЛИЧКА</definedName>
    <definedName name="НАЛИЧКА_2" localSheetId="20">'Расчет товарной выручки 2023'!НАЛИЧКА</definedName>
    <definedName name="НАЛИЧКА_2" localSheetId="86">'рез к 2017-2023'!НАЛИЧКА</definedName>
    <definedName name="НАЛИЧКА_2" localSheetId="82">'рез к 2018-2024 (кор) '!НАЛИЧКА</definedName>
    <definedName name="НАЛИЧКА_2" localSheetId="13">'Текущий ремонт'!НАЛИЧКА</definedName>
    <definedName name="НАЛИЧКА_2" localSheetId="23">'ФАКТ.СЕБЕСТ.ВОДА за 1 пол. 2023'!НАЛИЧКА</definedName>
    <definedName name="НАЛИЧКА_2" localSheetId="21">'ФАКТ.СЕБЕСТ.СТОКИ за 1 пол.2023'!НАЛИЧКА</definedName>
    <definedName name="НАЛИЧКА_2" localSheetId="14">'Чистая прибыль с транспортир.23'!НАЛИЧКА</definedName>
    <definedName name="НАЛИЧКА_2">[0]!НАЛИЧКА</definedName>
    <definedName name="_xlnm.Print_Area" localSheetId="61">'  текРемстоки 2016'!$A$1:$K$92</definedName>
    <definedName name="_xlnm.Print_Area" localSheetId="60">' текРемвода 2016'!$A$1:$L$197</definedName>
    <definedName name="_xlnm.Print_Area" localSheetId="89">'2018 к'!$A$1:$G$39</definedName>
    <definedName name="_xlnm.Print_Area" localSheetId="93">'2018 к смета'!$A$2:$M$30</definedName>
    <definedName name="_xlnm.Print_Area" localSheetId="69">'4.2. Налог на имущество'!$A$1:$AE$42</definedName>
    <definedName name="_xlnm.Print_Area" localSheetId="42">Аморт!$A$2:$CD$23</definedName>
    <definedName name="_xlnm.Print_Area" localSheetId="57">'Аренда земли'!$A$1:$AJ$39</definedName>
    <definedName name="_xlnm.Print_Area" localSheetId="64">'Бесхоз. сети вода'!$A$2:$DM$20</definedName>
    <definedName name="_xlnm.Print_Area" localSheetId="65">'Бесхоз. сети стоки'!$A$2:$DR$19</definedName>
    <definedName name="_xlnm.Print_Area" localSheetId="68">вод.налог!$A$2:$CD$79</definedName>
    <definedName name="_xlnm.Print_Area" localSheetId="27">вода!$A$138:$EG$174</definedName>
    <definedName name="_xlnm.Print_Area" localSheetId="29">'вода 2019-2023 коррект'!$A$2:$BX$70</definedName>
    <definedName name="_xlnm.Print_Area" localSheetId="72">'Выпадающ15-16'!$A$1:$I$25</definedName>
    <definedName name="_xlnm.Print_Area" localSheetId="66">'выпадающие расходы'!$A$26:$F$59</definedName>
    <definedName name="_xlnm.Print_Area" localSheetId="46">ЗП!$A$2:$ES$48</definedName>
    <definedName name="_xlnm.Print_Area" localSheetId="55">'ЗП с факт 3 кв. 2015'!$A$2:$CB$40</definedName>
    <definedName name="_xlnm.Print_Area" localSheetId="45">'ЗП среднемес'!$A$102:$T$118</definedName>
    <definedName name="_xlnm.Print_Area" localSheetId="80">'Налог на прибыль'!$A$31:$G$47</definedName>
    <definedName name="_xlnm.Print_Area" localSheetId="67">НАЛОГИ!$A$2:$AI$49</definedName>
    <definedName name="_xlnm.Print_Area" localSheetId="81">НВОС!$A$4:$AC$46</definedName>
    <definedName name="_xlnm.Print_Area" localSheetId="26">'объемы ВС и ВО 2023'!$A$2:$CJ$85</definedName>
    <definedName name="_xlnm.Print_Area" localSheetId="1">'объемы черн'!$A$33:$AG$62</definedName>
    <definedName name="_xlnm.Print_Area" localSheetId="50">'ОХР '!$A$2:$FL$72</definedName>
    <definedName name="_xlnm.Print_Area" localSheetId="32">'очистка 2019-2023'!$A$2:$BC$68</definedName>
    <definedName name="_xlnm.Print_Area" localSheetId="78">'платежка с ИП'!$A$1:$P$32</definedName>
    <definedName name="_xlnm.Print_Area" localSheetId="24">'ПОЛНАЯ СЕБЕСТОИМОСТЬ ВОДА 2023'!$A$4:$P$158</definedName>
    <definedName name="_xlnm.Print_Area" localSheetId="22">'ПОЛНАЯ СЕБЕСТОИМОСТЬ СТОКИ 2023'!$A$152:$D$186</definedName>
    <definedName name="_xlnm.Print_Area" localSheetId="19">'Прил. 1 План ФХД вода 2023'!$A$1:$AF$75</definedName>
    <definedName name="_xlnm.Print_Area" localSheetId="18">'Прил. 1 План ФХД стоки 2023'!$A$1:$AG$67</definedName>
    <definedName name="_xlnm.Print_Area" localSheetId="17">'Прил. 1 План ФХД трансп. воды23'!$A$1:$I$46</definedName>
    <definedName name="_xlnm.Print_Area" localSheetId="15">'Прил.1 ПланФХД с транспортир.23'!$A$1:$I$68</definedName>
    <definedName name="_xlnm.Print_Area" localSheetId="16">'Прил.1 ПланФХД трансп. стоков23'!$A$1:$I$44</definedName>
    <definedName name="_xlnm.Print_Area" localSheetId="53">'Природный газ, Теплоэнергия'!$A$1:$R$54</definedName>
    <definedName name="_xlnm.Print_Area" localSheetId="33">'Прочие неподконтр. расх'!$A$1:$D$15</definedName>
    <definedName name="_xlnm.Print_Area" localSheetId="34">'Прочие расходы дополнительно'!$A$1:$F$14</definedName>
    <definedName name="_xlnm.Print_Area" localSheetId="0">'расчет тарифов '!$A$1:$X$124</definedName>
    <definedName name="_xlnm.Print_Area" localSheetId="85">'Расчет товарной выручки 2018'!$A$1:$G$68</definedName>
    <definedName name="_xlnm.Print_Area" localSheetId="25">'Расчет товарной выручки 2019'!$A$1:$G$68</definedName>
    <definedName name="_xlnm.Print_Area" localSheetId="20">'Расчет товарной выручки 2023'!$A$1:$G$68</definedName>
    <definedName name="_xlnm.Print_Area" localSheetId="79">'рез к 2017'!$A$1:$F$49</definedName>
    <definedName name="_xlnm.Print_Area" localSheetId="86">'рез к 2017-2023'!$A$54:$F$118</definedName>
    <definedName name="_xlnm.Print_Area" localSheetId="82">'рез к 2018-2024 (кор) '!$A$54:$H$118</definedName>
    <definedName name="_xlnm.Print_Area" localSheetId="48">'рем программа'!$A$1:$Z$40</definedName>
    <definedName name="_xlnm.Print_Area" localSheetId="74">'Ремонт вода 2016'!$A$163:$L$191</definedName>
    <definedName name="_xlnm.Print_Area" localSheetId="77">'Ремонт стоки 2015'!$A$2:$N$19</definedName>
    <definedName name="_xlnm.Print_Area" localSheetId="73">'Ремонт стоки 2016'!$A$62:$K$88</definedName>
    <definedName name="_xlnm.Print_Area" localSheetId="49">ремонты!$A$1:$U$62</definedName>
    <definedName name="_xlnm.Print_Area" localSheetId="83">'Сбытовые расходы (дополн.)'!$A$1:$H$18</definedName>
    <definedName name="_xlnm.Print_Area" localSheetId="28">стоки!$A$90:$EL$127</definedName>
    <definedName name="_xlnm.Print_Area" localSheetId="31">'стоки 2019-2023'!$A$1:$BI$68</definedName>
    <definedName name="_xlnm.Print_Area" localSheetId="13">'Текущий ремонт'!$A$1:$L$25</definedName>
    <definedName name="_xlnm.Print_Area" localSheetId="52">'Тепловая энергия (3 подъем)'!$A$3:$AE$18</definedName>
    <definedName name="_xlnm.Print_Area" localSheetId="30">'тех вода 2019-2023'!$A$2:$BC$54</definedName>
    <definedName name="_xlnm.Print_Area" localSheetId="59">транс!$A$292:$E$339</definedName>
    <definedName name="_xlnm.Print_Area" localSheetId="54">'Транспортировка КЭМЗ'!$A$2:$U$16</definedName>
    <definedName name="_xlnm.Print_Area" localSheetId="23">'ФАКТ.СЕБЕСТ.ВОДА за 1 пол. 2023'!$A$1:$S$89</definedName>
    <definedName name="_xlnm.Print_Area" localSheetId="21">'ФАКТ.СЕБЕСТ.СТОКИ за 1 пол.2023'!$A$1:$S$76</definedName>
    <definedName name="_xlnm.Print_Area" localSheetId="44">'хим реагенты'!$A$2:$AC$83</definedName>
    <definedName name="_xlnm.Print_Area" localSheetId="37">ХР!$A$1:$BL$66</definedName>
    <definedName name="_xlnm.Print_Area" localSheetId="35">'цех вода 2023'!$A$2:$BM$61</definedName>
    <definedName name="_xlnm.Print_Area" localSheetId="36">'цех стоки 2023'!$A$2:$BH$59</definedName>
    <definedName name="_xlnm.Print_Area" localSheetId="14">'Чистая прибыль с транспортир.23'!$A$1:$T$50</definedName>
    <definedName name="_xlnm.Print_Area" localSheetId="39">электр!$A$38:$BG$62</definedName>
    <definedName name="_xlnm.Print_Area" localSheetId="38">'электр 2017-2018'!$A$1:$CS$63</definedName>
    <definedName name="_xlnm.Print_Area" localSheetId="40">'ЭЭ вода'!$A$1:$AT$55</definedName>
    <definedName name="_xlnm.Print_Area" localSheetId="41">'ЭЭ стоки'!$A$2:$AS$47</definedName>
    <definedName name="Объемы2" localSheetId="84">#REF!</definedName>
    <definedName name="Объемы2" localSheetId="64">#REF!</definedName>
    <definedName name="Объемы2" localSheetId="65">#REF!</definedName>
    <definedName name="Объемы2" localSheetId="66">#REF!</definedName>
    <definedName name="Объемы2" localSheetId="55">#REF!</definedName>
    <definedName name="Объемы2" localSheetId="80">#REF!</definedName>
    <definedName name="Объемы2" localSheetId="32">#REF!</definedName>
    <definedName name="Объемы2" localSheetId="17">#REF!</definedName>
    <definedName name="Объемы2" localSheetId="15">#REF!</definedName>
    <definedName name="Объемы2" localSheetId="16">#REF!</definedName>
    <definedName name="Объемы2" localSheetId="85">#REF!</definedName>
    <definedName name="Объемы2" localSheetId="25">#REF!</definedName>
    <definedName name="Объемы2" localSheetId="20">#REF!</definedName>
    <definedName name="Объемы2" localSheetId="86">#REF!</definedName>
    <definedName name="Объемы2" localSheetId="82">#REF!</definedName>
    <definedName name="Объемы2" localSheetId="31">#REF!</definedName>
    <definedName name="Объемы2" localSheetId="30">#REF!</definedName>
    <definedName name="Объемы2" localSheetId="14">#REF!</definedName>
    <definedName name="Объемы2" localSheetId="38">#REF!</definedName>
    <definedName name="Объемы2">#REF!</definedName>
    <definedName name="Объемы2_13" localSheetId="84">#REF!</definedName>
    <definedName name="Объемы2_13" localSheetId="64">#REF!</definedName>
    <definedName name="Объемы2_13" localSheetId="65">#REF!</definedName>
    <definedName name="Объемы2_13" localSheetId="66">#REF!</definedName>
    <definedName name="Объемы2_13" localSheetId="55">#REF!</definedName>
    <definedName name="Объемы2_13" localSheetId="80">#REF!</definedName>
    <definedName name="Объемы2_13" localSheetId="32">#REF!</definedName>
    <definedName name="Объемы2_13" localSheetId="17">#REF!</definedName>
    <definedName name="Объемы2_13" localSheetId="15">#REF!</definedName>
    <definedName name="Объемы2_13" localSheetId="16">#REF!</definedName>
    <definedName name="Объемы2_13" localSheetId="85">#REF!</definedName>
    <definedName name="Объемы2_13" localSheetId="25">#REF!</definedName>
    <definedName name="Объемы2_13" localSheetId="20">#REF!</definedName>
    <definedName name="Объемы2_13" localSheetId="86">#REF!</definedName>
    <definedName name="Объемы2_13" localSheetId="82">#REF!</definedName>
    <definedName name="Объемы2_13" localSheetId="31">#REF!</definedName>
    <definedName name="Объемы2_13" localSheetId="30">#REF!</definedName>
    <definedName name="Объемы2_13" localSheetId="14">#REF!</definedName>
    <definedName name="Объемы2_13" localSheetId="38">#REF!</definedName>
    <definedName name="Объемы2_13">#REF!</definedName>
    <definedName name="Объемы2_2" localSheetId="84">#REF!</definedName>
    <definedName name="Объемы2_2" localSheetId="64">#REF!</definedName>
    <definedName name="Объемы2_2" localSheetId="65">#REF!</definedName>
    <definedName name="Объемы2_2" localSheetId="66">#REF!</definedName>
    <definedName name="Объемы2_2" localSheetId="55">#REF!</definedName>
    <definedName name="Объемы2_2" localSheetId="80">#REF!</definedName>
    <definedName name="Объемы2_2" localSheetId="32">#REF!</definedName>
    <definedName name="Объемы2_2" localSheetId="17">#REF!</definedName>
    <definedName name="Объемы2_2" localSheetId="15">#REF!</definedName>
    <definedName name="Объемы2_2" localSheetId="16">#REF!</definedName>
    <definedName name="Объемы2_2" localSheetId="85">#REF!</definedName>
    <definedName name="Объемы2_2" localSheetId="25">#REF!</definedName>
    <definedName name="Объемы2_2" localSheetId="20">#REF!</definedName>
    <definedName name="Объемы2_2" localSheetId="86">#REF!</definedName>
    <definedName name="Объемы2_2" localSheetId="82">#REF!</definedName>
    <definedName name="Объемы2_2" localSheetId="31">#REF!</definedName>
    <definedName name="Объемы2_2" localSheetId="30">#REF!</definedName>
    <definedName name="Объемы2_2" localSheetId="14">#REF!</definedName>
    <definedName name="Объемы2_2" localSheetId="38">#REF!</definedName>
    <definedName name="Объемы2_2">#REF!</definedName>
    <definedName name="олггшщзжжхх">#N/A</definedName>
    <definedName name="пае" localSheetId="84">'А 2018'!пае</definedName>
    <definedName name="пае" localSheetId="66">#N/A</definedName>
    <definedName name="пае" localSheetId="55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8">#N/A</definedName>
    <definedName name="пае" localSheetId="17">#N/A</definedName>
    <definedName name="пае" localSheetId="15">#N/A</definedName>
    <definedName name="пае" localSheetId="16">#N/A</definedName>
    <definedName name="пае" localSheetId="85">#N/A</definedName>
    <definedName name="пае" localSheetId="25">#N/A</definedName>
    <definedName name="пае" localSheetId="20">#N/A</definedName>
    <definedName name="пае" localSheetId="86">'рез к 2017-2023'!пае</definedName>
    <definedName name="пае" localSheetId="82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84">'А 2018'!пае</definedName>
    <definedName name="пае_10" localSheetId="66">'выпадающие расходы'!пае</definedName>
    <definedName name="пае_10" localSheetId="55">'ЗП с факт 3 кв. 2015'!пае</definedName>
    <definedName name="пае_10" localSheetId="24">'ПОЛНАЯ СЕБЕСТОИМОСТЬ ВОДА 2023'!пае</definedName>
    <definedName name="пае_10" localSheetId="22">'ПОЛНАЯ СЕБЕСТОИМОСТЬ СТОКИ 2023'!пае</definedName>
    <definedName name="пае_10" localSheetId="19">'Прил. 1 План ФХД вода 2023'!пае</definedName>
    <definedName name="пае_10" localSheetId="18">'Прил. 1 План ФХД стоки 2023'!пае</definedName>
    <definedName name="пае_10" localSheetId="17">'Прил. 1 План ФХД трансп. воды23'!пае</definedName>
    <definedName name="пае_10" localSheetId="15">'Прил.1 ПланФХД с транспортир.23'!пае</definedName>
    <definedName name="пае_10" localSheetId="16">'Прил.1 ПланФХД трансп. стоков23'!пае</definedName>
    <definedName name="пае_10" localSheetId="85">'Расчет товарной выручки 2018'!пае</definedName>
    <definedName name="пае_10" localSheetId="25">'Расчет товарной выручки 2019'!пае</definedName>
    <definedName name="пае_10" localSheetId="20">'Расчет товарной выручки 2023'!пае</definedName>
    <definedName name="пае_10" localSheetId="86">'рез к 2017-2023'!пае</definedName>
    <definedName name="пае_10" localSheetId="82">'рез к 2018-2024 (кор) '!пае</definedName>
    <definedName name="пае_10" localSheetId="13">'Текущий ремонт'!пае</definedName>
    <definedName name="пае_10" localSheetId="23">'ФАКТ.СЕБЕСТ.ВОДА за 1 пол. 2023'!пае</definedName>
    <definedName name="пае_10" localSheetId="21">'ФАКТ.СЕБЕСТ.СТОКИ за 1 пол.2023'!пае</definedName>
    <definedName name="пае_10" localSheetId="14">'Чистая прибыль с транспортир.23'!пае</definedName>
    <definedName name="пае_10">[0]!пае</definedName>
    <definedName name="пае_14" localSheetId="84">'А 2018'!пае</definedName>
    <definedName name="пае_14" localSheetId="66">'выпадающие расходы'!пае</definedName>
    <definedName name="пае_14" localSheetId="55">'ЗП с факт 3 кв. 2015'!пае</definedName>
    <definedName name="пае_14" localSheetId="24">'ПОЛНАЯ СЕБЕСТОИМОСТЬ ВОДА 2023'!пае</definedName>
    <definedName name="пае_14" localSheetId="22">'ПОЛНАЯ СЕБЕСТОИМОСТЬ СТОКИ 2023'!пае</definedName>
    <definedName name="пае_14" localSheetId="19">'Прил. 1 План ФХД вода 2023'!пае</definedName>
    <definedName name="пае_14" localSheetId="18">'Прил. 1 План ФХД стоки 2023'!пае</definedName>
    <definedName name="пае_14" localSheetId="17">'Прил. 1 План ФХД трансп. воды23'!пае</definedName>
    <definedName name="пае_14" localSheetId="15">'Прил.1 ПланФХД с транспортир.23'!пае</definedName>
    <definedName name="пае_14" localSheetId="16">'Прил.1 ПланФХД трансп. стоков23'!пае</definedName>
    <definedName name="пае_14" localSheetId="85">'Расчет товарной выручки 2018'!пае</definedName>
    <definedName name="пае_14" localSheetId="25">'Расчет товарной выручки 2019'!пае</definedName>
    <definedName name="пае_14" localSheetId="20">'Расчет товарной выручки 2023'!пае</definedName>
    <definedName name="пае_14" localSheetId="86">'рез к 2017-2023'!пае</definedName>
    <definedName name="пае_14" localSheetId="82">'рез к 2018-2024 (кор) '!пае</definedName>
    <definedName name="пае_14" localSheetId="13">'Текущий ремонт'!пае</definedName>
    <definedName name="пае_14" localSheetId="23">'ФАКТ.СЕБЕСТ.ВОДА за 1 пол. 2023'!пае</definedName>
    <definedName name="пае_14" localSheetId="21">'ФАКТ.СЕБЕСТ.СТОКИ за 1 пол.2023'!пае</definedName>
    <definedName name="пае_14" localSheetId="14">'Чистая прибыль с транспортир.23'!пае</definedName>
    <definedName name="пае_14">[0]!пае</definedName>
    <definedName name="пае_15" localSheetId="84">'А 2018'!пае</definedName>
    <definedName name="пае_15" localSheetId="66">'выпадающие расходы'!пае</definedName>
    <definedName name="пае_15" localSheetId="55">'ЗП с факт 3 кв. 2015'!пае</definedName>
    <definedName name="пае_15" localSheetId="24">'ПОЛНАЯ СЕБЕСТОИМОСТЬ ВОДА 2023'!пае</definedName>
    <definedName name="пае_15" localSheetId="22">'ПОЛНАЯ СЕБЕСТОИМОСТЬ СТОКИ 2023'!пае</definedName>
    <definedName name="пае_15" localSheetId="19">'Прил. 1 План ФХД вода 2023'!пае</definedName>
    <definedName name="пае_15" localSheetId="18">'Прил. 1 План ФХД стоки 2023'!пае</definedName>
    <definedName name="пае_15" localSheetId="17">'Прил. 1 План ФХД трансп. воды23'!пае</definedName>
    <definedName name="пае_15" localSheetId="15">'Прил.1 ПланФХД с транспортир.23'!пае</definedName>
    <definedName name="пае_15" localSheetId="16">'Прил.1 ПланФХД трансп. стоков23'!пае</definedName>
    <definedName name="пае_15" localSheetId="85">'Расчет товарной выручки 2018'!пае</definedName>
    <definedName name="пае_15" localSheetId="25">'Расчет товарной выручки 2019'!пае</definedName>
    <definedName name="пае_15" localSheetId="20">'Расчет товарной выручки 2023'!пае</definedName>
    <definedName name="пае_15" localSheetId="86">'рез к 2017-2023'!пае</definedName>
    <definedName name="пае_15" localSheetId="82">'рез к 2018-2024 (кор) '!пае</definedName>
    <definedName name="пае_15" localSheetId="13">'Текущий ремонт'!пае</definedName>
    <definedName name="пае_15" localSheetId="23">'ФАКТ.СЕБЕСТ.ВОДА за 1 пол. 2023'!пае</definedName>
    <definedName name="пае_15" localSheetId="21">'ФАКТ.СЕБЕСТ.СТОКИ за 1 пол.2023'!пае</definedName>
    <definedName name="пае_15" localSheetId="14">'Чистая прибыль с транспортир.23'!пае</definedName>
    <definedName name="пае_15">[0]!пае</definedName>
    <definedName name="пае_16" localSheetId="84">'А 2018'!пае</definedName>
    <definedName name="пае_16" localSheetId="66">'выпадающие расходы'!пае</definedName>
    <definedName name="пае_16" localSheetId="55">'ЗП с факт 3 кв. 2015'!пае</definedName>
    <definedName name="пае_16" localSheetId="24">'ПОЛНАЯ СЕБЕСТОИМОСТЬ ВОДА 2023'!пае</definedName>
    <definedName name="пае_16" localSheetId="22">'ПОЛНАЯ СЕБЕСТОИМОСТЬ СТОКИ 2023'!пае</definedName>
    <definedName name="пае_16" localSheetId="19">'Прил. 1 План ФХД вода 2023'!пае</definedName>
    <definedName name="пае_16" localSheetId="18">'Прил. 1 План ФХД стоки 2023'!пае</definedName>
    <definedName name="пае_16" localSheetId="17">'Прил. 1 План ФХД трансп. воды23'!пае</definedName>
    <definedName name="пае_16" localSheetId="15">'Прил.1 ПланФХД с транспортир.23'!пае</definedName>
    <definedName name="пае_16" localSheetId="16">'Прил.1 ПланФХД трансп. стоков23'!пае</definedName>
    <definedName name="пае_16" localSheetId="85">'Расчет товарной выручки 2018'!пае</definedName>
    <definedName name="пае_16" localSheetId="25">'Расчет товарной выручки 2019'!пае</definedName>
    <definedName name="пае_16" localSheetId="20">'Расчет товарной выручки 2023'!пае</definedName>
    <definedName name="пае_16" localSheetId="86">'рез к 2017-2023'!пае</definedName>
    <definedName name="пае_16" localSheetId="82">'рез к 2018-2024 (кор) '!пае</definedName>
    <definedName name="пае_16" localSheetId="13">'Текущий ремонт'!пае</definedName>
    <definedName name="пае_16" localSheetId="23">'ФАКТ.СЕБЕСТ.ВОДА за 1 пол. 2023'!пае</definedName>
    <definedName name="пае_16" localSheetId="21">'ФАКТ.СЕБЕСТ.СТОКИ за 1 пол.2023'!пае</definedName>
    <definedName name="пае_16" localSheetId="14">'Чистая прибыль с транспортир.23'!пае</definedName>
    <definedName name="пае_16">[0]!пае</definedName>
    <definedName name="пае_2" localSheetId="84">'А 2018'!пае</definedName>
    <definedName name="пае_2" localSheetId="66">'выпадающие расходы'!пае</definedName>
    <definedName name="пае_2" localSheetId="55">'ЗП с факт 3 кв. 2015'!пае</definedName>
    <definedName name="пае_2" localSheetId="24">'ПОЛНАЯ СЕБЕСТОИМОСТЬ ВОДА 2023'!пае</definedName>
    <definedName name="пае_2" localSheetId="22">'ПОЛНАЯ СЕБЕСТОИМОСТЬ СТОКИ 2023'!пае</definedName>
    <definedName name="пае_2" localSheetId="19">'Прил. 1 План ФХД вода 2023'!пае</definedName>
    <definedName name="пае_2" localSheetId="18">'Прил. 1 План ФХД стоки 2023'!пае</definedName>
    <definedName name="пае_2" localSheetId="17">'Прил. 1 План ФХД трансп. воды23'!пае</definedName>
    <definedName name="пае_2" localSheetId="15">'Прил.1 ПланФХД с транспортир.23'!пае</definedName>
    <definedName name="пае_2" localSheetId="16">'Прил.1 ПланФХД трансп. стоков23'!пае</definedName>
    <definedName name="пае_2" localSheetId="85">'Расчет товарной выручки 2018'!пае</definedName>
    <definedName name="пае_2" localSheetId="25">'Расчет товарной выручки 2019'!пае</definedName>
    <definedName name="пае_2" localSheetId="20">'Расчет товарной выручки 2023'!пае</definedName>
    <definedName name="пае_2" localSheetId="86">'рез к 2017-2023'!пае</definedName>
    <definedName name="пае_2" localSheetId="82">'рез к 2018-2024 (кор) '!пае</definedName>
    <definedName name="пае_2" localSheetId="13">'Текущий ремонт'!пае</definedName>
    <definedName name="пае_2" localSheetId="23">'ФАКТ.СЕБЕСТ.ВОДА за 1 пол. 2023'!пае</definedName>
    <definedName name="пае_2" localSheetId="21">'ФАКТ.СЕБЕСТ.СТОКИ за 1 пол.2023'!пае</definedName>
    <definedName name="пае_2" localSheetId="14">'Чистая прибыль с транспортир.23'!пае</definedName>
    <definedName name="пае_2">[0]!пае</definedName>
    <definedName name="пимрн" localSheetId="84">'А 2018'!_Pi2</definedName>
    <definedName name="пимрн" localSheetId="66">'выпадающие расходы'!_Pi2</definedName>
    <definedName name="пимрн" localSheetId="55">'ЗП с факт 3 кв. 2015'!_Pi2</definedName>
    <definedName name="пимрн" localSheetId="24">'ПОЛНАЯ СЕБЕСТОИМОСТЬ ВОДА 2023'!_Pi2</definedName>
    <definedName name="пимрн" localSheetId="22">'ПОЛНАЯ СЕБЕСТОИМОСТЬ СТОКИ 2023'!_Pi2</definedName>
    <definedName name="пимрн" localSheetId="19">'Прил. 1 План ФХД вода 2023'!_Pi2</definedName>
    <definedName name="пимрн" localSheetId="18">'Прил. 1 План ФХД стоки 2023'!_Pi2</definedName>
    <definedName name="пимрн" localSheetId="17">'Прил. 1 План ФХД трансп. воды23'!_Pi2</definedName>
    <definedName name="пимрн" localSheetId="15">'Прил.1 ПланФХД с транспортир.23'!_Pi2</definedName>
    <definedName name="пимрн" localSheetId="16">'Прил.1 ПланФХД трансп. стоков23'!_Pi2</definedName>
    <definedName name="пимрн" localSheetId="85">'Расчет товарной выручки 2018'!_Pi2</definedName>
    <definedName name="пимрн" localSheetId="25">'Расчет товарной выручки 2019'!_Pi2</definedName>
    <definedName name="пимрн" localSheetId="20">'Расчет товарной выручки 2023'!_Pi2</definedName>
    <definedName name="пимрн" localSheetId="86">'рез к 2017-2023'!_Pi2</definedName>
    <definedName name="пимрн" localSheetId="82">'рез к 2018-2024 (кор) '!_Pi2</definedName>
    <definedName name="пимрн" localSheetId="13">'Текущий ремонт'!_Pi2</definedName>
    <definedName name="пимрн" localSheetId="23">'ФАКТ.СЕБЕСТ.ВОДА за 1 пол. 2023'!_Pi2</definedName>
    <definedName name="пимрн" localSheetId="21">'ФАКТ.СЕБЕСТ.СТОКИ за 1 пол.2023'!_Pi2</definedName>
    <definedName name="пимрн" localSheetId="14">'Чистая прибыль с транспортир.23'!_Pi2</definedName>
    <definedName name="пимрн">[0]!_Pi2</definedName>
    <definedName name="пимрн_1" localSheetId="84">'А 2018'!_Pi2</definedName>
    <definedName name="пимрн_1" localSheetId="66">'выпадающие расходы'!_Pi2</definedName>
    <definedName name="пимрн_1" localSheetId="55">'ЗП с факт 3 кв. 2015'!_Pi2</definedName>
    <definedName name="пимрн_1" localSheetId="24">'ПОЛНАЯ СЕБЕСТОИМОСТЬ ВОДА 2023'!_Pi2</definedName>
    <definedName name="пимрн_1" localSheetId="22">'ПОЛНАЯ СЕБЕСТОИМОСТЬ СТОКИ 2023'!_Pi2</definedName>
    <definedName name="пимрн_1" localSheetId="19">'Прил. 1 План ФХД вода 2023'!_Pi2</definedName>
    <definedName name="пимрн_1" localSheetId="18">'Прил. 1 План ФХД стоки 2023'!_Pi2</definedName>
    <definedName name="пимрн_1" localSheetId="17">'Прил. 1 План ФХД трансп. воды23'!_Pi2</definedName>
    <definedName name="пимрн_1" localSheetId="15">'Прил.1 ПланФХД с транспортир.23'!_Pi2</definedName>
    <definedName name="пимрн_1" localSheetId="16">'Прил.1 ПланФХД трансп. стоков23'!_Pi2</definedName>
    <definedName name="пимрн_1" localSheetId="85">'Расчет товарной выручки 2018'!_Pi2</definedName>
    <definedName name="пимрн_1" localSheetId="25">'Расчет товарной выручки 2019'!_Pi2</definedName>
    <definedName name="пимрн_1" localSheetId="20">'Расчет товарной выручки 2023'!_Pi2</definedName>
    <definedName name="пимрн_1" localSheetId="86">'рез к 2017-2023'!_Pi2</definedName>
    <definedName name="пимрн_1" localSheetId="82">'рез к 2018-2024 (кор) '!_Pi2</definedName>
    <definedName name="пимрн_1" localSheetId="13">'Текущий ремонт'!_Pi2</definedName>
    <definedName name="пимрн_1" localSheetId="23">'ФАКТ.СЕБЕСТ.ВОДА за 1 пол. 2023'!_Pi2</definedName>
    <definedName name="пимрн_1" localSheetId="21">'ФАКТ.СЕБЕСТ.СТОКИ за 1 пол.2023'!_Pi2</definedName>
    <definedName name="пимрн_1" localSheetId="14">'Чистая прибыль с транспортир.23'!_Pi2</definedName>
    <definedName name="пимрн_1">[0]!_Pi2</definedName>
    <definedName name="пимрн_13" localSheetId="84">'А 2018'!_Pi2</definedName>
    <definedName name="пимрн_13" localSheetId="66">'выпадающие расходы'!_Pi2</definedName>
    <definedName name="пимрн_13" localSheetId="55">'ЗП с факт 3 кв. 2015'!_Pi2</definedName>
    <definedName name="пимрн_13" localSheetId="24">'ПОЛНАЯ СЕБЕСТОИМОСТЬ ВОДА 2023'!_Pi2</definedName>
    <definedName name="пимрн_13" localSheetId="22">'ПОЛНАЯ СЕБЕСТОИМОСТЬ СТОКИ 2023'!_Pi2</definedName>
    <definedName name="пимрн_13" localSheetId="19">'Прил. 1 План ФХД вода 2023'!_Pi2</definedName>
    <definedName name="пимрн_13" localSheetId="18">'Прил. 1 План ФХД стоки 2023'!_Pi2</definedName>
    <definedName name="пимрн_13" localSheetId="17">'Прил. 1 План ФХД трансп. воды23'!_Pi2</definedName>
    <definedName name="пимрн_13" localSheetId="15">'Прил.1 ПланФХД с транспортир.23'!_Pi2</definedName>
    <definedName name="пимрн_13" localSheetId="16">'Прил.1 ПланФХД трансп. стоков23'!_Pi2</definedName>
    <definedName name="пимрн_13" localSheetId="85">'Расчет товарной выручки 2018'!_Pi2</definedName>
    <definedName name="пимрн_13" localSheetId="25">'Расчет товарной выручки 2019'!_Pi2</definedName>
    <definedName name="пимрн_13" localSheetId="20">'Расчет товарной выручки 2023'!_Pi2</definedName>
    <definedName name="пимрн_13" localSheetId="86">'рез к 2017-2023'!_Pi2</definedName>
    <definedName name="пимрн_13" localSheetId="82">'рез к 2018-2024 (кор) '!_Pi2</definedName>
    <definedName name="пимрн_13" localSheetId="13">'Текущий ремонт'!_Pi2</definedName>
    <definedName name="пимрн_13" localSheetId="23">'ФАКТ.СЕБЕСТ.ВОДА за 1 пол. 2023'!_Pi2</definedName>
    <definedName name="пимрн_13" localSheetId="21">'ФАКТ.СЕБЕСТ.СТОКИ за 1 пол.2023'!_Pi2</definedName>
    <definedName name="пимрн_13" localSheetId="14">'Чистая прибыль с транспортир.23'!_Pi2</definedName>
    <definedName name="пимрн_13">[0]!_Pi2</definedName>
    <definedName name="пимрн_2" localSheetId="84">'А 2018'!_Pi2</definedName>
    <definedName name="пимрн_2" localSheetId="66">'выпадающие расходы'!_Pi2</definedName>
    <definedName name="пимрн_2" localSheetId="55">'ЗП с факт 3 кв. 2015'!_Pi2</definedName>
    <definedName name="пимрн_2" localSheetId="24">'ПОЛНАЯ СЕБЕСТОИМОСТЬ ВОДА 2023'!_Pi2</definedName>
    <definedName name="пимрн_2" localSheetId="22">'ПОЛНАЯ СЕБЕСТОИМОСТЬ СТОКИ 2023'!_Pi2</definedName>
    <definedName name="пимрн_2" localSheetId="19">'Прил. 1 План ФХД вода 2023'!_Pi2</definedName>
    <definedName name="пимрн_2" localSheetId="18">'Прил. 1 План ФХД стоки 2023'!_Pi2</definedName>
    <definedName name="пимрн_2" localSheetId="17">'Прил. 1 План ФХД трансп. воды23'!_Pi2</definedName>
    <definedName name="пимрн_2" localSheetId="15">'Прил.1 ПланФХД с транспортир.23'!_Pi2</definedName>
    <definedName name="пимрн_2" localSheetId="16">'Прил.1 ПланФХД трансп. стоков23'!_Pi2</definedName>
    <definedName name="пимрн_2" localSheetId="85">'Расчет товарной выручки 2018'!_Pi2</definedName>
    <definedName name="пимрн_2" localSheetId="25">'Расчет товарной выручки 2019'!_Pi2</definedName>
    <definedName name="пимрн_2" localSheetId="20">'Расчет товарной выручки 2023'!_Pi2</definedName>
    <definedName name="пимрн_2" localSheetId="86">'рез к 2017-2023'!_Pi2</definedName>
    <definedName name="пимрн_2" localSheetId="82">'рез к 2018-2024 (кор) '!_Pi2</definedName>
    <definedName name="пимрн_2" localSheetId="13">'Текущий ремонт'!_Pi2</definedName>
    <definedName name="пимрн_2" localSheetId="23">'ФАКТ.СЕБЕСТ.ВОДА за 1 пол. 2023'!_Pi2</definedName>
    <definedName name="пимрн_2" localSheetId="21">'ФАКТ.СЕБЕСТ.СТОКИ за 1 пол.2023'!_Pi2</definedName>
    <definedName name="пимрн_2" localSheetId="14">'Чистая прибыль с транспортир.23'!_Pi2</definedName>
    <definedName name="пимрн_2">[0]!_Pi2</definedName>
    <definedName name="про" localSheetId="84">'А 2018'!про</definedName>
    <definedName name="про" localSheetId="66">#N/A</definedName>
    <definedName name="про" localSheetId="55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8">#N/A</definedName>
    <definedName name="про" localSheetId="17">#N/A</definedName>
    <definedName name="про" localSheetId="15">#N/A</definedName>
    <definedName name="про" localSheetId="16">#N/A</definedName>
    <definedName name="про" localSheetId="85">#N/A</definedName>
    <definedName name="про" localSheetId="25">#N/A</definedName>
    <definedName name="про" localSheetId="20">#N/A</definedName>
    <definedName name="про" localSheetId="86">'рез к 2017-2023'!про</definedName>
    <definedName name="про" localSheetId="82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84">'А 2018'!про</definedName>
    <definedName name="про_10" localSheetId="66">'выпадающие расходы'!про</definedName>
    <definedName name="про_10" localSheetId="55">'ЗП с факт 3 кв. 2015'!про</definedName>
    <definedName name="про_10" localSheetId="24">'ПОЛНАЯ СЕБЕСТОИМОСТЬ ВОДА 2023'!про</definedName>
    <definedName name="про_10" localSheetId="22">'ПОЛНАЯ СЕБЕСТОИМОСТЬ СТОКИ 2023'!про</definedName>
    <definedName name="про_10" localSheetId="19">'Прил. 1 План ФХД вода 2023'!про</definedName>
    <definedName name="про_10" localSheetId="18">'Прил. 1 План ФХД стоки 2023'!про</definedName>
    <definedName name="про_10" localSheetId="17">'Прил. 1 План ФХД трансп. воды23'!про</definedName>
    <definedName name="про_10" localSheetId="15">'Прил.1 ПланФХД с транспортир.23'!про</definedName>
    <definedName name="про_10" localSheetId="16">'Прил.1 ПланФХД трансп. стоков23'!про</definedName>
    <definedName name="про_10" localSheetId="85">'Расчет товарной выручки 2018'!про</definedName>
    <definedName name="про_10" localSheetId="25">'Расчет товарной выручки 2019'!про</definedName>
    <definedName name="про_10" localSheetId="20">'Расчет товарной выручки 2023'!про</definedName>
    <definedName name="про_10" localSheetId="86">'рез к 2017-2023'!про</definedName>
    <definedName name="про_10" localSheetId="82">'рез к 2018-2024 (кор) '!про</definedName>
    <definedName name="про_10" localSheetId="13">'Текущий ремонт'!про</definedName>
    <definedName name="про_10" localSheetId="23">'ФАКТ.СЕБЕСТ.ВОДА за 1 пол. 2023'!про</definedName>
    <definedName name="про_10" localSheetId="21">'ФАКТ.СЕБЕСТ.СТОКИ за 1 пол.2023'!про</definedName>
    <definedName name="про_10" localSheetId="14">'Чистая прибыль с транспортир.23'!про</definedName>
    <definedName name="про_10">[0]!про</definedName>
    <definedName name="про_14" localSheetId="84">'А 2018'!про</definedName>
    <definedName name="про_14" localSheetId="66">'выпадающие расходы'!про</definedName>
    <definedName name="про_14" localSheetId="55">'ЗП с факт 3 кв. 2015'!про</definedName>
    <definedName name="про_14" localSheetId="24">'ПОЛНАЯ СЕБЕСТОИМОСТЬ ВОДА 2023'!про</definedName>
    <definedName name="про_14" localSheetId="22">'ПОЛНАЯ СЕБЕСТОИМОСТЬ СТОКИ 2023'!про</definedName>
    <definedName name="про_14" localSheetId="19">'Прил. 1 План ФХД вода 2023'!про</definedName>
    <definedName name="про_14" localSheetId="18">'Прил. 1 План ФХД стоки 2023'!про</definedName>
    <definedName name="про_14" localSheetId="17">'Прил. 1 План ФХД трансп. воды23'!про</definedName>
    <definedName name="про_14" localSheetId="15">'Прил.1 ПланФХД с транспортир.23'!про</definedName>
    <definedName name="про_14" localSheetId="16">'Прил.1 ПланФХД трансп. стоков23'!про</definedName>
    <definedName name="про_14" localSheetId="85">'Расчет товарной выручки 2018'!про</definedName>
    <definedName name="про_14" localSheetId="25">'Расчет товарной выручки 2019'!про</definedName>
    <definedName name="про_14" localSheetId="20">'Расчет товарной выручки 2023'!про</definedName>
    <definedName name="про_14" localSheetId="86">'рез к 2017-2023'!про</definedName>
    <definedName name="про_14" localSheetId="82">'рез к 2018-2024 (кор) '!про</definedName>
    <definedName name="про_14" localSheetId="13">'Текущий ремонт'!про</definedName>
    <definedName name="про_14" localSheetId="23">'ФАКТ.СЕБЕСТ.ВОДА за 1 пол. 2023'!про</definedName>
    <definedName name="про_14" localSheetId="21">'ФАКТ.СЕБЕСТ.СТОКИ за 1 пол.2023'!про</definedName>
    <definedName name="про_14" localSheetId="14">'Чистая прибыль с транспортир.23'!про</definedName>
    <definedName name="про_14">[0]!про</definedName>
    <definedName name="про_15" localSheetId="84">'А 2018'!про</definedName>
    <definedName name="про_15" localSheetId="66">'выпадающие расходы'!про</definedName>
    <definedName name="про_15" localSheetId="55">'ЗП с факт 3 кв. 2015'!про</definedName>
    <definedName name="про_15" localSheetId="24">'ПОЛНАЯ СЕБЕСТОИМОСТЬ ВОДА 2023'!про</definedName>
    <definedName name="про_15" localSheetId="22">'ПОЛНАЯ СЕБЕСТОИМОСТЬ СТОКИ 2023'!про</definedName>
    <definedName name="про_15" localSheetId="19">'Прил. 1 План ФХД вода 2023'!про</definedName>
    <definedName name="про_15" localSheetId="18">'Прил. 1 План ФХД стоки 2023'!про</definedName>
    <definedName name="про_15" localSheetId="17">'Прил. 1 План ФХД трансп. воды23'!про</definedName>
    <definedName name="про_15" localSheetId="15">'Прил.1 ПланФХД с транспортир.23'!про</definedName>
    <definedName name="про_15" localSheetId="16">'Прил.1 ПланФХД трансп. стоков23'!про</definedName>
    <definedName name="про_15" localSheetId="85">'Расчет товарной выручки 2018'!про</definedName>
    <definedName name="про_15" localSheetId="25">'Расчет товарной выручки 2019'!про</definedName>
    <definedName name="про_15" localSheetId="20">'Расчет товарной выручки 2023'!про</definedName>
    <definedName name="про_15" localSheetId="86">'рез к 2017-2023'!про</definedName>
    <definedName name="про_15" localSheetId="82">'рез к 2018-2024 (кор) '!про</definedName>
    <definedName name="про_15" localSheetId="13">'Текущий ремонт'!про</definedName>
    <definedName name="про_15" localSheetId="23">'ФАКТ.СЕБЕСТ.ВОДА за 1 пол. 2023'!про</definedName>
    <definedName name="про_15" localSheetId="21">'ФАКТ.СЕБЕСТ.СТОКИ за 1 пол.2023'!про</definedName>
    <definedName name="про_15" localSheetId="14">'Чистая прибыль с транспортир.23'!про</definedName>
    <definedName name="про_15">[0]!про</definedName>
    <definedName name="про_16" localSheetId="84">'А 2018'!про</definedName>
    <definedName name="про_16" localSheetId="66">'выпадающие расходы'!про</definedName>
    <definedName name="про_16" localSheetId="55">'ЗП с факт 3 кв. 2015'!про</definedName>
    <definedName name="про_16" localSheetId="24">'ПОЛНАЯ СЕБЕСТОИМОСТЬ ВОДА 2023'!про</definedName>
    <definedName name="про_16" localSheetId="22">'ПОЛНАЯ СЕБЕСТОИМОСТЬ СТОКИ 2023'!про</definedName>
    <definedName name="про_16" localSheetId="19">'Прил. 1 План ФХД вода 2023'!про</definedName>
    <definedName name="про_16" localSheetId="18">'Прил. 1 План ФХД стоки 2023'!про</definedName>
    <definedName name="про_16" localSheetId="17">'Прил. 1 План ФХД трансп. воды23'!про</definedName>
    <definedName name="про_16" localSheetId="15">'Прил.1 ПланФХД с транспортир.23'!про</definedName>
    <definedName name="про_16" localSheetId="16">'Прил.1 ПланФХД трансп. стоков23'!про</definedName>
    <definedName name="про_16" localSheetId="85">'Расчет товарной выручки 2018'!про</definedName>
    <definedName name="про_16" localSheetId="25">'Расчет товарной выручки 2019'!про</definedName>
    <definedName name="про_16" localSheetId="20">'Расчет товарной выручки 2023'!про</definedName>
    <definedName name="про_16" localSheetId="86">'рез к 2017-2023'!про</definedName>
    <definedName name="про_16" localSheetId="82">'рез к 2018-2024 (кор) '!про</definedName>
    <definedName name="про_16" localSheetId="13">'Текущий ремонт'!про</definedName>
    <definedName name="про_16" localSheetId="23">'ФАКТ.СЕБЕСТ.ВОДА за 1 пол. 2023'!про</definedName>
    <definedName name="про_16" localSheetId="21">'ФАКТ.СЕБЕСТ.СТОКИ за 1 пол.2023'!про</definedName>
    <definedName name="про_16" localSheetId="14">'Чистая прибыль с транспортир.23'!про</definedName>
    <definedName name="про_16">[0]!про</definedName>
    <definedName name="про_2" localSheetId="84">'А 2018'!про</definedName>
    <definedName name="про_2" localSheetId="66">'выпадающие расходы'!про</definedName>
    <definedName name="про_2" localSheetId="55">'ЗП с факт 3 кв. 2015'!про</definedName>
    <definedName name="про_2" localSheetId="24">'ПОЛНАЯ СЕБЕСТОИМОСТЬ ВОДА 2023'!про</definedName>
    <definedName name="про_2" localSheetId="22">'ПОЛНАЯ СЕБЕСТОИМОСТЬ СТОКИ 2023'!про</definedName>
    <definedName name="про_2" localSheetId="19">'Прил. 1 План ФХД вода 2023'!про</definedName>
    <definedName name="про_2" localSheetId="18">'Прил. 1 План ФХД стоки 2023'!про</definedName>
    <definedName name="про_2" localSheetId="17">'Прил. 1 План ФХД трансп. воды23'!про</definedName>
    <definedName name="про_2" localSheetId="15">'Прил.1 ПланФХД с транспортир.23'!про</definedName>
    <definedName name="про_2" localSheetId="16">'Прил.1 ПланФХД трансп. стоков23'!про</definedName>
    <definedName name="про_2" localSheetId="85">'Расчет товарной выручки 2018'!про</definedName>
    <definedName name="про_2" localSheetId="25">'Расчет товарной выручки 2019'!про</definedName>
    <definedName name="про_2" localSheetId="20">'Расчет товарной выручки 2023'!про</definedName>
    <definedName name="про_2" localSheetId="86">'рез к 2017-2023'!про</definedName>
    <definedName name="про_2" localSheetId="82">'рез к 2018-2024 (кор) '!про</definedName>
    <definedName name="про_2" localSheetId="13">'Текущий ремонт'!про</definedName>
    <definedName name="про_2" localSheetId="23">'ФАКТ.СЕБЕСТ.ВОДА за 1 пол. 2023'!про</definedName>
    <definedName name="про_2" localSheetId="21">'ФАКТ.СЕБЕСТ.СТОКИ за 1 пол.2023'!про</definedName>
    <definedName name="про_2" localSheetId="14">'Чистая прибыль с транспортир.23'!про</definedName>
    <definedName name="про_2">[0]!про</definedName>
    <definedName name="р7" localSheetId="84">'А 2018'!р7</definedName>
    <definedName name="р7" localSheetId="66">#N/A</definedName>
    <definedName name="р7" localSheetId="55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8">#N/A</definedName>
    <definedName name="р7" localSheetId="17">#N/A</definedName>
    <definedName name="р7" localSheetId="15">#N/A</definedName>
    <definedName name="р7" localSheetId="16">#N/A</definedName>
    <definedName name="р7" localSheetId="85">#N/A</definedName>
    <definedName name="р7" localSheetId="25">#N/A</definedName>
    <definedName name="р7" localSheetId="20">#N/A</definedName>
    <definedName name="р7" localSheetId="86">'рез к 2017-2023'!р7</definedName>
    <definedName name="р7" localSheetId="82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84">'А 2018'!р7</definedName>
    <definedName name="р7_10" localSheetId="66">'выпадающие расходы'!р7</definedName>
    <definedName name="р7_10" localSheetId="55">'ЗП с факт 3 кв. 2015'!р7</definedName>
    <definedName name="р7_10" localSheetId="24">'ПОЛНАЯ СЕБЕСТОИМОСТЬ ВОДА 2023'!р7</definedName>
    <definedName name="р7_10" localSheetId="22">'ПОЛНАЯ СЕБЕСТОИМОСТЬ СТОКИ 2023'!р7</definedName>
    <definedName name="р7_10" localSheetId="19">'Прил. 1 План ФХД вода 2023'!р7</definedName>
    <definedName name="р7_10" localSheetId="18">'Прил. 1 План ФХД стоки 2023'!р7</definedName>
    <definedName name="р7_10" localSheetId="17">'Прил. 1 План ФХД трансп. воды23'!р7</definedName>
    <definedName name="р7_10" localSheetId="15">'Прил.1 ПланФХД с транспортир.23'!р7</definedName>
    <definedName name="р7_10" localSheetId="16">'Прил.1 ПланФХД трансп. стоков23'!р7</definedName>
    <definedName name="р7_10" localSheetId="85">'Расчет товарной выручки 2018'!р7</definedName>
    <definedName name="р7_10" localSheetId="25">'Расчет товарной выручки 2019'!р7</definedName>
    <definedName name="р7_10" localSheetId="20">'Расчет товарной выручки 2023'!р7</definedName>
    <definedName name="р7_10" localSheetId="86">'рез к 2017-2023'!р7</definedName>
    <definedName name="р7_10" localSheetId="82">'рез к 2018-2024 (кор) '!р7</definedName>
    <definedName name="р7_10" localSheetId="13">'Текущий ремонт'!р7</definedName>
    <definedName name="р7_10" localSheetId="23">'ФАКТ.СЕБЕСТ.ВОДА за 1 пол. 2023'!р7</definedName>
    <definedName name="р7_10" localSheetId="21">'ФАКТ.СЕБЕСТ.СТОКИ за 1 пол.2023'!р7</definedName>
    <definedName name="р7_10" localSheetId="14">'Чистая прибыль с транспортир.23'!р7</definedName>
    <definedName name="р7_10">[0]!р7</definedName>
    <definedName name="р7_14" localSheetId="84">'А 2018'!р7</definedName>
    <definedName name="р7_14" localSheetId="66">'выпадающие расходы'!р7</definedName>
    <definedName name="р7_14" localSheetId="55">'ЗП с факт 3 кв. 2015'!р7</definedName>
    <definedName name="р7_14" localSheetId="24">'ПОЛНАЯ СЕБЕСТОИМОСТЬ ВОДА 2023'!р7</definedName>
    <definedName name="р7_14" localSheetId="22">'ПОЛНАЯ СЕБЕСТОИМОСТЬ СТОКИ 2023'!р7</definedName>
    <definedName name="р7_14" localSheetId="19">'Прил. 1 План ФХД вода 2023'!р7</definedName>
    <definedName name="р7_14" localSheetId="18">'Прил. 1 План ФХД стоки 2023'!р7</definedName>
    <definedName name="р7_14" localSheetId="17">'Прил. 1 План ФХД трансп. воды23'!р7</definedName>
    <definedName name="р7_14" localSheetId="15">'Прил.1 ПланФХД с транспортир.23'!р7</definedName>
    <definedName name="р7_14" localSheetId="16">'Прил.1 ПланФХД трансп. стоков23'!р7</definedName>
    <definedName name="р7_14" localSheetId="85">'Расчет товарной выручки 2018'!р7</definedName>
    <definedName name="р7_14" localSheetId="25">'Расчет товарной выручки 2019'!р7</definedName>
    <definedName name="р7_14" localSheetId="20">'Расчет товарной выручки 2023'!р7</definedName>
    <definedName name="р7_14" localSheetId="86">'рез к 2017-2023'!р7</definedName>
    <definedName name="р7_14" localSheetId="82">'рез к 2018-2024 (кор) '!р7</definedName>
    <definedName name="р7_14" localSheetId="13">'Текущий ремонт'!р7</definedName>
    <definedName name="р7_14" localSheetId="23">'ФАКТ.СЕБЕСТ.ВОДА за 1 пол. 2023'!р7</definedName>
    <definedName name="р7_14" localSheetId="21">'ФАКТ.СЕБЕСТ.СТОКИ за 1 пол.2023'!р7</definedName>
    <definedName name="р7_14" localSheetId="14">'Чистая прибыль с транспортир.23'!р7</definedName>
    <definedName name="р7_14">[0]!р7</definedName>
    <definedName name="р7_15" localSheetId="84">'А 2018'!р7</definedName>
    <definedName name="р7_15" localSheetId="66">'выпадающие расходы'!р7</definedName>
    <definedName name="р7_15" localSheetId="55">'ЗП с факт 3 кв. 2015'!р7</definedName>
    <definedName name="р7_15" localSheetId="24">'ПОЛНАЯ СЕБЕСТОИМОСТЬ ВОДА 2023'!р7</definedName>
    <definedName name="р7_15" localSheetId="22">'ПОЛНАЯ СЕБЕСТОИМОСТЬ СТОКИ 2023'!р7</definedName>
    <definedName name="р7_15" localSheetId="19">'Прил. 1 План ФХД вода 2023'!р7</definedName>
    <definedName name="р7_15" localSheetId="18">'Прил. 1 План ФХД стоки 2023'!р7</definedName>
    <definedName name="р7_15" localSheetId="17">'Прил. 1 План ФХД трансп. воды23'!р7</definedName>
    <definedName name="р7_15" localSheetId="15">'Прил.1 ПланФХД с транспортир.23'!р7</definedName>
    <definedName name="р7_15" localSheetId="16">'Прил.1 ПланФХД трансп. стоков23'!р7</definedName>
    <definedName name="р7_15" localSheetId="85">'Расчет товарной выручки 2018'!р7</definedName>
    <definedName name="р7_15" localSheetId="25">'Расчет товарной выручки 2019'!р7</definedName>
    <definedName name="р7_15" localSheetId="20">'Расчет товарной выручки 2023'!р7</definedName>
    <definedName name="р7_15" localSheetId="86">'рез к 2017-2023'!р7</definedName>
    <definedName name="р7_15" localSheetId="82">'рез к 2018-2024 (кор) '!р7</definedName>
    <definedName name="р7_15" localSheetId="13">'Текущий ремонт'!р7</definedName>
    <definedName name="р7_15" localSheetId="23">'ФАКТ.СЕБЕСТ.ВОДА за 1 пол. 2023'!р7</definedName>
    <definedName name="р7_15" localSheetId="21">'ФАКТ.СЕБЕСТ.СТОКИ за 1 пол.2023'!р7</definedName>
    <definedName name="р7_15" localSheetId="14">'Чистая прибыль с транспортир.23'!р7</definedName>
    <definedName name="р7_15">[0]!р7</definedName>
    <definedName name="р7_16" localSheetId="84">'А 2018'!р7</definedName>
    <definedName name="р7_16" localSheetId="66">'выпадающие расходы'!р7</definedName>
    <definedName name="р7_16" localSheetId="55">'ЗП с факт 3 кв. 2015'!р7</definedName>
    <definedName name="р7_16" localSheetId="24">'ПОЛНАЯ СЕБЕСТОИМОСТЬ ВОДА 2023'!р7</definedName>
    <definedName name="р7_16" localSheetId="22">'ПОЛНАЯ СЕБЕСТОИМОСТЬ СТОКИ 2023'!р7</definedName>
    <definedName name="р7_16" localSheetId="19">'Прил. 1 План ФХД вода 2023'!р7</definedName>
    <definedName name="р7_16" localSheetId="18">'Прил. 1 План ФХД стоки 2023'!р7</definedName>
    <definedName name="р7_16" localSheetId="17">'Прил. 1 План ФХД трансп. воды23'!р7</definedName>
    <definedName name="р7_16" localSheetId="15">'Прил.1 ПланФХД с транспортир.23'!р7</definedName>
    <definedName name="р7_16" localSheetId="16">'Прил.1 ПланФХД трансп. стоков23'!р7</definedName>
    <definedName name="р7_16" localSheetId="85">'Расчет товарной выручки 2018'!р7</definedName>
    <definedName name="р7_16" localSheetId="25">'Расчет товарной выручки 2019'!р7</definedName>
    <definedName name="р7_16" localSheetId="20">'Расчет товарной выручки 2023'!р7</definedName>
    <definedName name="р7_16" localSheetId="86">'рез к 2017-2023'!р7</definedName>
    <definedName name="р7_16" localSheetId="82">'рез к 2018-2024 (кор) '!р7</definedName>
    <definedName name="р7_16" localSheetId="13">'Текущий ремонт'!р7</definedName>
    <definedName name="р7_16" localSheetId="23">'ФАКТ.СЕБЕСТ.ВОДА за 1 пол. 2023'!р7</definedName>
    <definedName name="р7_16" localSheetId="21">'ФАКТ.СЕБЕСТ.СТОКИ за 1 пол.2023'!р7</definedName>
    <definedName name="р7_16" localSheetId="14">'Чистая прибыль с транспортир.23'!р7</definedName>
    <definedName name="р7_16">[0]!р7</definedName>
    <definedName name="р7_2" localSheetId="84">'А 2018'!р7</definedName>
    <definedName name="р7_2" localSheetId="66">'выпадающие расходы'!р7</definedName>
    <definedName name="р7_2" localSheetId="55">'ЗП с факт 3 кв. 2015'!р7</definedName>
    <definedName name="р7_2" localSheetId="24">'ПОЛНАЯ СЕБЕСТОИМОСТЬ ВОДА 2023'!р7</definedName>
    <definedName name="р7_2" localSheetId="22">'ПОЛНАЯ СЕБЕСТОИМОСТЬ СТОКИ 2023'!р7</definedName>
    <definedName name="р7_2" localSheetId="19">'Прил. 1 План ФХД вода 2023'!р7</definedName>
    <definedName name="р7_2" localSheetId="18">'Прил. 1 План ФХД стоки 2023'!р7</definedName>
    <definedName name="р7_2" localSheetId="17">'Прил. 1 План ФХД трансп. воды23'!р7</definedName>
    <definedName name="р7_2" localSheetId="15">'Прил.1 ПланФХД с транспортир.23'!р7</definedName>
    <definedName name="р7_2" localSheetId="16">'Прил.1 ПланФХД трансп. стоков23'!р7</definedName>
    <definedName name="р7_2" localSheetId="85">'Расчет товарной выручки 2018'!р7</definedName>
    <definedName name="р7_2" localSheetId="25">'Расчет товарной выручки 2019'!р7</definedName>
    <definedName name="р7_2" localSheetId="20">'Расчет товарной выручки 2023'!р7</definedName>
    <definedName name="р7_2" localSheetId="86">'рез к 2017-2023'!р7</definedName>
    <definedName name="р7_2" localSheetId="82">'рез к 2018-2024 (кор) '!р7</definedName>
    <definedName name="р7_2" localSheetId="13">'Текущий ремонт'!р7</definedName>
    <definedName name="р7_2" localSheetId="23">'ФАКТ.СЕБЕСТ.ВОДА за 1 пол. 2023'!р7</definedName>
    <definedName name="р7_2" localSheetId="21">'ФАКТ.СЕБЕСТ.СТОКИ за 1 пол.2023'!р7</definedName>
    <definedName name="р7_2" localSheetId="14">'Чистая прибыль с транспортир.23'!р7</definedName>
    <definedName name="р7_2">[0]!р7</definedName>
    <definedName name="р71" localSheetId="84">'А 2018'!р71</definedName>
    <definedName name="р71" localSheetId="66">#N/A</definedName>
    <definedName name="р71" localSheetId="55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8">#N/A</definedName>
    <definedName name="р71" localSheetId="17">#N/A</definedName>
    <definedName name="р71" localSheetId="15">#N/A</definedName>
    <definedName name="р71" localSheetId="16">#N/A</definedName>
    <definedName name="р71" localSheetId="85">#N/A</definedName>
    <definedName name="р71" localSheetId="25">#N/A</definedName>
    <definedName name="р71" localSheetId="20">#N/A</definedName>
    <definedName name="р71" localSheetId="86">'рез к 2017-2023'!р71</definedName>
    <definedName name="р71" localSheetId="82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84">'А 2018'!р71</definedName>
    <definedName name="р71_10" localSheetId="66">'выпадающие расходы'!р71</definedName>
    <definedName name="р71_10" localSheetId="55">'ЗП с факт 3 кв. 2015'!р71</definedName>
    <definedName name="р71_10" localSheetId="24">'ПОЛНАЯ СЕБЕСТОИМОСТЬ ВОДА 2023'!р71</definedName>
    <definedName name="р71_10" localSheetId="22">'ПОЛНАЯ СЕБЕСТОИМОСТЬ СТОКИ 2023'!р71</definedName>
    <definedName name="р71_10" localSheetId="19">'Прил. 1 План ФХД вода 2023'!р71</definedName>
    <definedName name="р71_10" localSheetId="18">'Прил. 1 План ФХД стоки 2023'!р71</definedName>
    <definedName name="р71_10" localSheetId="17">'Прил. 1 План ФХД трансп. воды23'!р71</definedName>
    <definedName name="р71_10" localSheetId="15">'Прил.1 ПланФХД с транспортир.23'!р71</definedName>
    <definedName name="р71_10" localSheetId="16">'Прил.1 ПланФХД трансп. стоков23'!р71</definedName>
    <definedName name="р71_10" localSheetId="85">'Расчет товарной выручки 2018'!р71</definedName>
    <definedName name="р71_10" localSheetId="25">'Расчет товарной выручки 2019'!р71</definedName>
    <definedName name="р71_10" localSheetId="20">'Расчет товарной выручки 2023'!р71</definedName>
    <definedName name="р71_10" localSheetId="86">'рез к 2017-2023'!р71</definedName>
    <definedName name="р71_10" localSheetId="82">'рез к 2018-2024 (кор) '!р71</definedName>
    <definedName name="р71_10" localSheetId="13">'Текущий ремонт'!р71</definedName>
    <definedName name="р71_10" localSheetId="23">'ФАКТ.СЕБЕСТ.ВОДА за 1 пол. 2023'!р71</definedName>
    <definedName name="р71_10" localSheetId="21">'ФАКТ.СЕБЕСТ.СТОКИ за 1 пол.2023'!р71</definedName>
    <definedName name="р71_10" localSheetId="14">'Чистая прибыль с транспортир.23'!р71</definedName>
    <definedName name="р71_10">[0]!р71</definedName>
    <definedName name="р71_14" localSheetId="84">'А 2018'!р71</definedName>
    <definedName name="р71_14" localSheetId="66">'выпадающие расходы'!р71</definedName>
    <definedName name="р71_14" localSheetId="55">'ЗП с факт 3 кв. 2015'!р71</definedName>
    <definedName name="р71_14" localSheetId="24">'ПОЛНАЯ СЕБЕСТОИМОСТЬ ВОДА 2023'!р71</definedName>
    <definedName name="р71_14" localSheetId="22">'ПОЛНАЯ СЕБЕСТОИМОСТЬ СТОКИ 2023'!р71</definedName>
    <definedName name="р71_14" localSheetId="19">'Прил. 1 План ФХД вода 2023'!р71</definedName>
    <definedName name="р71_14" localSheetId="18">'Прил. 1 План ФХД стоки 2023'!р71</definedName>
    <definedName name="р71_14" localSheetId="17">'Прил. 1 План ФХД трансп. воды23'!р71</definedName>
    <definedName name="р71_14" localSheetId="15">'Прил.1 ПланФХД с транспортир.23'!р71</definedName>
    <definedName name="р71_14" localSheetId="16">'Прил.1 ПланФХД трансп. стоков23'!р71</definedName>
    <definedName name="р71_14" localSheetId="85">'Расчет товарной выручки 2018'!р71</definedName>
    <definedName name="р71_14" localSheetId="25">'Расчет товарной выручки 2019'!р71</definedName>
    <definedName name="р71_14" localSheetId="20">'Расчет товарной выручки 2023'!р71</definedName>
    <definedName name="р71_14" localSheetId="86">'рез к 2017-2023'!р71</definedName>
    <definedName name="р71_14" localSheetId="82">'рез к 2018-2024 (кор) '!р71</definedName>
    <definedName name="р71_14" localSheetId="13">'Текущий ремонт'!р71</definedName>
    <definedName name="р71_14" localSheetId="23">'ФАКТ.СЕБЕСТ.ВОДА за 1 пол. 2023'!р71</definedName>
    <definedName name="р71_14" localSheetId="21">'ФАКТ.СЕБЕСТ.СТОКИ за 1 пол.2023'!р71</definedName>
    <definedName name="р71_14" localSheetId="14">'Чистая прибыль с транспортир.23'!р71</definedName>
    <definedName name="р71_14">[0]!р71</definedName>
    <definedName name="р71_15" localSheetId="84">'А 2018'!р71</definedName>
    <definedName name="р71_15" localSheetId="66">'выпадающие расходы'!р71</definedName>
    <definedName name="р71_15" localSheetId="55">'ЗП с факт 3 кв. 2015'!р71</definedName>
    <definedName name="р71_15" localSheetId="24">'ПОЛНАЯ СЕБЕСТОИМОСТЬ ВОДА 2023'!р71</definedName>
    <definedName name="р71_15" localSheetId="22">'ПОЛНАЯ СЕБЕСТОИМОСТЬ СТОКИ 2023'!р71</definedName>
    <definedName name="р71_15" localSheetId="19">'Прил. 1 План ФХД вода 2023'!р71</definedName>
    <definedName name="р71_15" localSheetId="18">'Прил. 1 План ФХД стоки 2023'!р71</definedName>
    <definedName name="р71_15" localSheetId="17">'Прил. 1 План ФХД трансп. воды23'!р71</definedName>
    <definedName name="р71_15" localSheetId="15">'Прил.1 ПланФХД с транспортир.23'!р71</definedName>
    <definedName name="р71_15" localSheetId="16">'Прил.1 ПланФХД трансп. стоков23'!р71</definedName>
    <definedName name="р71_15" localSheetId="85">'Расчет товарной выручки 2018'!р71</definedName>
    <definedName name="р71_15" localSheetId="25">'Расчет товарной выручки 2019'!р71</definedName>
    <definedName name="р71_15" localSheetId="20">'Расчет товарной выручки 2023'!р71</definedName>
    <definedName name="р71_15" localSheetId="86">'рез к 2017-2023'!р71</definedName>
    <definedName name="р71_15" localSheetId="82">'рез к 2018-2024 (кор) '!р71</definedName>
    <definedName name="р71_15" localSheetId="13">'Текущий ремонт'!р71</definedName>
    <definedName name="р71_15" localSheetId="23">'ФАКТ.СЕБЕСТ.ВОДА за 1 пол. 2023'!р71</definedName>
    <definedName name="р71_15" localSheetId="21">'ФАКТ.СЕБЕСТ.СТОКИ за 1 пол.2023'!р71</definedName>
    <definedName name="р71_15" localSheetId="14">'Чистая прибыль с транспортир.23'!р71</definedName>
    <definedName name="р71_15">[0]!р71</definedName>
    <definedName name="р71_16" localSheetId="84">'А 2018'!р71</definedName>
    <definedName name="р71_16" localSheetId="66">'выпадающие расходы'!р71</definedName>
    <definedName name="р71_16" localSheetId="55">'ЗП с факт 3 кв. 2015'!р71</definedName>
    <definedName name="р71_16" localSheetId="24">'ПОЛНАЯ СЕБЕСТОИМОСТЬ ВОДА 2023'!р71</definedName>
    <definedName name="р71_16" localSheetId="22">'ПОЛНАЯ СЕБЕСТОИМОСТЬ СТОКИ 2023'!р71</definedName>
    <definedName name="р71_16" localSheetId="19">'Прил. 1 План ФХД вода 2023'!р71</definedName>
    <definedName name="р71_16" localSheetId="18">'Прил. 1 План ФХД стоки 2023'!р71</definedName>
    <definedName name="р71_16" localSheetId="17">'Прил. 1 План ФХД трансп. воды23'!р71</definedName>
    <definedName name="р71_16" localSheetId="15">'Прил.1 ПланФХД с транспортир.23'!р71</definedName>
    <definedName name="р71_16" localSheetId="16">'Прил.1 ПланФХД трансп. стоков23'!р71</definedName>
    <definedName name="р71_16" localSheetId="85">'Расчет товарной выручки 2018'!р71</definedName>
    <definedName name="р71_16" localSheetId="25">'Расчет товарной выручки 2019'!р71</definedName>
    <definedName name="р71_16" localSheetId="20">'Расчет товарной выручки 2023'!р71</definedName>
    <definedName name="р71_16" localSheetId="86">'рез к 2017-2023'!р71</definedName>
    <definedName name="р71_16" localSheetId="82">'рез к 2018-2024 (кор) '!р71</definedName>
    <definedName name="р71_16" localSheetId="13">'Текущий ремонт'!р71</definedName>
    <definedName name="р71_16" localSheetId="23">'ФАКТ.СЕБЕСТ.ВОДА за 1 пол. 2023'!р71</definedName>
    <definedName name="р71_16" localSheetId="21">'ФАКТ.СЕБЕСТ.СТОКИ за 1 пол.2023'!р71</definedName>
    <definedName name="р71_16" localSheetId="14">'Чистая прибыль с транспортир.23'!р71</definedName>
    <definedName name="р71_16">[0]!р71</definedName>
    <definedName name="р71_2" localSheetId="84">'А 2018'!р71</definedName>
    <definedName name="р71_2" localSheetId="66">'выпадающие расходы'!р71</definedName>
    <definedName name="р71_2" localSheetId="55">'ЗП с факт 3 кв. 2015'!р71</definedName>
    <definedName name="р71_2" localSheetId="24">'ПОЛНАЯ СЕБЕСТОИМОСТЬ ВОДА 2023'!р71</definedName>
    <definedName name="р71_2" localSheetId="22">'ПОЛНАЯ СЕБЕСТОИМОСТЬ СТОКИ 2023'!р71</definedName>
    <definedName name="р71_2" localSheetId="19">'Прил. 1 План ФХД вода 2023'!р71</definedName>
    <definedName name="р71_2" localSheetId="18">'Прил. 1 План ФХД стоки 2023'!р71</definedName>
    <definedName name="р71_2" localSheetId="17">'Прил. 1 План ФХД трансп. воды23'!р71</definedName>
    <definedName name="р71_2" localSheetId="15">'Прил.1 ПланФХД с транспортир.23'!р71</definedName>
    <definedName name="р71_2" localSheetId="16">'Прил.1 ПланФХД трансп. стоков23'!р71</definedName>
    <definedName name="р71_2" localSheetId="85">'Расчет товарной выручки 2018'!р71</definedName>
    <definedName name="р71_2" localSheetId="25">'Расчет товарной выручки 2019'!р71</definedName>
    <definedName name="р71_2" localSheetId="20">'Расчет товарной выручки 2023'!р71</definedName>
    <definedName name="р71_2" localSheetId="86">'рез к 2017-2023'!р71</definedName>
    <definedName name="р71_2" localSheetId="82">'рез к 2018-2024 (кор) '!р71</definedName>
    <definedName name="р71_2" localSheetId="13">'Текущий ремонт'!р71</definedName>
    <definedName name="р71_2" localSheetId="23">'ФАКТ.СЕБЕСТ.ВОДА за 1 пол. 2023'!р71</definedName>
    <definedName name="р71_2" localSheetId="21">'ФАКТ.СЕБЕСТ.СТОКИ за 1 пол.2023'!р71</definedName>
    <definedName name="р71_2" localSheetId="14">'Чистая прибыль с транспортир.23'!р71</definedName>
    <definedName name="р71_2">[0]!р71</definedName>
    <definedName name="ра71" localSheetId="84">'А 2018'!ра71</definedName>
    <definedName name="ра71" localSheetId="66">#N/A</definedName>
    <definedName name="ра71" localSheetId="55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8">#N/A</definedName>
    <definedName name="ра71" localSheetId="17">#N/A</definedName>
    <definedName name="ра71" localSheetId="15">#N/A</definedName>
    <definedName name="ра71" localSheetId="16">#N/A</definedName>
    <definedName name="ра71" localSheetId="85">#N/A</definedName>
    <definedName name="ра71" localSheetId="25">#N/A</definedName>
    <definedName name="ра71" localSheetId="20">#N/A</definedName>
    <definedName name="ра71" localSheetId="86">'рез к 2017-2023'!ра71</definedName>
    <definedName name="ра71" localSheetId="82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84">'А 2018'!ра71</definedName>
    <definedName name="ра71_10" localSheetId="66">'выпадающие расходы'!ра71</definedName>
    <definedName name="ра71_10" localSheetId="55">'ЗП с факт 3 кв. 2015'!ра71</definedName>
    <definedName name="ра71_10" localSheetId="24">'ПОЛНАЯ СЕБЕСТОИМОСТЬ ВОДА 2023'!ра71</definedName>
    <definedName name="ра71_10" localSheetId="22">'ПОЛНАЯ СЕБЕСТОИМОСТЬ СТОКИ 2023'!ра71</definedName>
    <definedName name="ра71_10" localSheetId="19">'Прил. 1 План ФХД вода 2023'!ра71</definedName>
    <definedName name="ра71_10" localSheetId="18">'Прил. 1 План ФХД стоки 2023'!ра71</definedName>
    <definedName name="ра71_10" localSheetId="17">'Прил. 1 План ФХД трансп. воды23'!ра71</definedName>
    <definedName name="ра71_10" localSheetId="15">'Прил.1 ПланФХД с транспортир.23'!ра71</definedName>
    <definedName name="ра71_10" localSheetId="16">'Прил.1 ПланФХД трансп. стоков23'!ра71</definedName>
    <definedName name="ра71_10" localSheetId="85">'Расчет товарной выручки 2018'!ра71</definedName>
    <definedName name="ра71_10" localSheetId="25">'Расчет товарной выручки 2019'!ра71</definedName>
    <definedName name="ра71_10" localSheetId="20">'Расчет товарной выручки 2023'!ра71</definedName>
    <definedName name="ра71_10" localSheetId="86">'рез к 2017-2023'!ра71</definedName>
    <definedName name="ра71_10" localSheetId="82">'рез к 2018-2024 (кор) '!ра71</definedName>
    <definedName name="ра71_10" localSheetId="13">'Текущий ремонт'!ра71</definedName>
    <definedName name="ра71_10" localSheetId="23">'ФАКТ.СЕБЕСТ.ВОДА за 1 пол. 2023'!ра71</definedName>
    <definedName name="ра71_10" localSheetId="21">'ФАКТ.СЕБЕСТ.СТОКИ за 1 пол.2023'!ра71</definedName>
    <definedName name="ра71_10" localSheetId="14">'Чистая прибыль с транспортир.23'!ра71</definedName>
    <definedName name="ра71_10">[0]!ра71</definedName>
    <definedName name="ра71_14" localSheetId="84">'А 2018'!ра71</definedName>
    <definedName name="ра71_14" localSheetId="66">'выпадающие расходы'!ра71</definedName>
    <definedName name="ра71_14" localSheetId="55">'ЗП с факт 3 кв. 2015'!ра71</definedName>
    <definedName name="ра71_14" localSheetId="24">'ПОЛНАЯ СЕБЕСТОИМОСТЬ ВОДА 2023'!ра71</definedName>
    <definedName name="ра71_14" localSheetId="22">'ПОЛНАЯ СЕБЕСТОИМОСТЬ СТОКИ 2023'!ра71</definedName>
    <definedName name="ра71_14" localSheetId="19">'Прил. 1 План ФХД вода 2023'!ра71</definedName>
    <definedName name="ра71_14" localSheetId="18">'Прил. 1 План ФХД стоки 2023'!ра71</definedName>
    <definedName name="ра71_14" localSheetId="17">'Прил. 1 План ФХД трансп. воды23'!ра71</definedName>
    <definedName name="ра71_14" localSheetId="15">'Прил.1 ПланФХД с транспортир.23'!ра71</definedName>
    <definedName name="ра71_14" localSheetId="16">'Прил.1 ПланФХД трансп. стоков23'!ра71</definedName>
    <definedName name="ра71_14" localSheetId="85">'Расчет товарной выручки 2018'!ра71</definedName>
    <definedName name="ра71_14" localSheetId="25">'Расчет товарной выручки 2019'!ра71</definedName>
    <definedName name="ра71_14" localSheetId="20">'Расчет товарной выручки 2023'!ра71</definedName>
    <definedName name="ра71_14" localSheetId="86">'рез к 2017-2023'!ра71</definedName>
    <definedName name="ра71_14" localSheetId="82">'рез к 2018-2024 (кор) '!ра71</definedName>
    <definedName name="ра71_14" localSheetId="13">'Текущий ремонт'!ра71</definedName>
    <definedName name="ра71_14" localSheetId="23">'ФАКТ.СЕБЕСТ.ВОДА за 1 пол. 2023'!ра71</definedName>
    <definedName name="ра71_14" localSheetId="21">'ФАКТ.СЕБЕСТ.СТОКИ за 1 пол.2023'!ра71</definedName>
    <definedName name="ра71_14" localSheetId="14">'Чистая прибыль с транспортир.23'!ра71</definedName>
    <definedName name="ра71_14">[0]!ра71</definedName>
    <definedName name="ра71_15" localSheetId="84">'А 2018'!ра71</definedName>
    <definedName name="ра71_15" localSheetId="66">'выпадающие расходы'!ра71</definedName>
    <definedName name="ра71_15" localSheetId="55">'ЗП с факт 3 кв. 2015'!ра71</definedName>
    <definedName name="ра71_15" localSheetId="24">'ПОЛНАЯ СЕБЕСТОИМОСТЬ ВОДА 2023'!ра71</definedName>
    <definedName name="ра71_15" localSheetId="22">'ПОЛНАЯ СЕБЕСТОИМОСТЬ СТОКИ 2023'!ра71</definedName>
    <definedName name="ра71_15" localSheetId="19">'Прил. 1 План ФХД вода 2023'!ра71</definedName>
    <definedName name="ра71_15" localSheetId="18">'Прил. 1 План ФХД стоки 2023'!ра71</definedName>
    <definedName name="ра71_15" localSheetId="17">'Прил. 1 План ФХД трансп. воды23'!ра71</definedName>
    <definedName name="ра71_15" localSheetId="15">'Прил.1 ПланФХД с транспортир.23'!ра71</definedName>
    <definedName name="ра71_15" localSheetId="16">'Прил.1 ПланФХД трансп. стоков23'!ра71</definedName>
    <definedName name="ра71_15" localSheetId="85">'Расчет товарной выручки 2018'!ра71</definedName>
    <definedName name="ра71_15" localSheetId="25">'Расчет товарной выручки 2019'!ра71</definedName>
    <definedName name="ра71_15" localSheetId="20">'Расчет товарной выручки 2023'!ра71</definedName>
    <definedName name="ра71_15" localSheetId="86">'рез к 2017-2023'!ра71</definedName>
    <definedName name="ра71_15" localSheetId="82">'рез к 2018-2024 (кор) '!ра71</definedName>
    <definedName name="ра71_15" localSheetId="13">'Текущий ремонт'!ра71</definedName>
    <definedName name="ра71_15" localSheetId="23">'ФАКТ.СЕБЕСТ.ВОДА за 1 пол. 2023'!ра71</definedName>
    <definedName name="ра71_15" localSheetId="21">'ФАКТ.СЕБЕСТ.СТОКИ за 1 пол.2023'!ра71</definedName>
    <definedName name="ра71_15" localSheetId="14">'Чистая прибыль с транспортир.23'!ра71</definedName>
    <definedName name="ра71_15">[0]!ра71</definedName>
    <definedName name="ра71_16" localSheetId="84">'А 2018'!ра71</definedName>
    <definedName name="ра71_16" localSheetId="66">'выпадающие расходы'!ра71</definedName>
    <definedName name="ра71_16" localSheetId="55">'ЗП с факт 3 кв. 2015'!ра71</definedName>
    <definedName name="ра71_16" localSheetId="24">'ПОЛНАЯ СЕБЕСТОИМОСТЬ ВОДА 2023'!ра71</definedName>
    <definedName name="ра71_16" localSheetId="22">'ПОЛНАЯ СЕБЕСТОИМОСТЬ СТОКИ 2023'!ра71</definedName>
    <definedName name="ра71_16" localSheetId="19">'Прил. 1 План ФХД вода 2023'!ра71</definedName>
    <definedName name="ра71_16" localSheetId="18">'Прил. 1 План ФХД стоки 2023'!ра71</definedName>
    <definedName name="ра71_16" localSheetId="17">'Прил. 1 План ФХД трансп. воды23'!ра71</definedName>
    <definedName name="ра71_16" localSheetId="15">'Прил.1 ПланФХД с транспортир.23'!ра71</definedName>
    <definedName name="ра71_16" localSheetId="16">'Прил.1 ПланФХД трансп. стоков23'!ра71</definedName>
    <definedName name="ра71_16" localSheetId="85">'Расчет товарной выручки 2018'!ра71</definedName>
    <definedName name="ра71_16" localSheetId="25">'Расчет товарной выручки 2019'!ра71</definedName>
    <definedName name="ра71_16" localSheetId="20">'Расчет товарной выручки 2023'!ра71</definedName>
    <definedName name="ра71_16" localSheetId="86">'рез к 2017-2023'!ра71</definedName>
    <definedName name="ра71_16" localSheetId="82">'рез к 2018-2024 (кор) '!ра71</definedName>
    <definedName name="ра71_16" localSheetId="13">'Текущий ремонт'!ра71</definedName>
    <definedName name="ра71_16" localSheetId="23">'ФАКТ.СЕБЕСТ.ВОДА за 1 пол. 2023'!ра71</definedName>
    <definedName name="ра71_16" localSheetId="21">'ФАКТ.СЕБЕСТ.СТОКИ за 1 пол.2023'!ра71</definedName>
    <definedName name="ра71_16" localSheetId="14">'Чистая прибыль с транспортир.23'!ра71</definedName>
    <definedName name="ра71_16">[0]!ра71</definedName>
    <definedName name="ра71_2" localSheetId="84">'А 2018'!ра71</definedName>
    <definedName name="ра71_2" localSheetId="66">'выпадающие расходы'!ра71</definedName>
    <definedName name="ра71_2" localSheetId="55">'ЗП с факт 3 кв. 2015'!ра71</definedName>
    <definedName name="ра71_2" localSheetId="24">'ПОЛНАЯ СЕБЕСТОИМОСТЬ ВОДА 2023'!ра71</definedName>
    <definedName name="ра71_2" localSheetId="22">'ПОЛНАЯ СЕБЕСТОИМОСТЬ СТОКИ 2023'!ра71</definedName>
    <definedName name="ра71_2" localSheetId="19">'Прил. 1 План ФХД вода 2023'!ра71</definedName>
    <definedName name="ра71_2" localSheetId="18">'Прил. 1 План ФХД стоки 2023'!ра71</definedName>
    <definedName name="ра71_2" localSheetId="17">'Прил. 1 План ФХД трансп. воды23'!ра71</definedName>
    <definedName name="ра71_2" localSheetId="15">'Прил.1 ПланФХД с транспортир.23'!ра71</definedName>
    <definedName name="ра71_2" localSheetId="16">'Прил.1 ПланФХД трансп. стоков23'!ра71</definedName>
    <definedName name="ра71_2" localSheetId="85">'Расчет товарной выручки 2018'!ра71</definedName>
    <definedName name="ра71_2" localSheetId="25">'Расчет товарной выручки 2019'!ра71</definedName>
    <definedName name="ра71_2" localSheetId="20">'Расчет товарной выручки 2023'!ра71</definedName>
    <definedName name="ра71_2" localSheetId="86">'рез к 2017-2023'!ра71</definedName>
    <definedName name="ра71_2" localSheetId="82">'рез к 2018-2024 (кор) '!ра71</definedName>
    <definedName name="ра71_2" localSheetId="13">'Текущий ремонт'!ра71</definedName>
    <definedName name="ра71_2" localSheetId="23">'ФАКТ.СЕБЕСТ.ВОДА за 1 пол. 2023'!ра71</definedName>
    <definedName name="ра71_2" localSheetId="21">'ФАКТ.СЕБЕСТ.СТОКИ за 1 пол.2023'!ра71</definedName>
    <definedName name="ра71_2" localSheetId="14">'Чистая прибыль с транспортир.23'!ра71</definedName>
    <definedName name="ра71_2">[0]!ра71</definedName>
    <definedName name="РТВ" localSheetId="84">[21]Нормат!$J$12</definedName>
    <definedName name="РТВ" localSheetId="66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8">[23]Нормат!$J$12</definedName>
    <definedName name="РТВ" localSheetId="17">[23]Нормат!$J$12</definedName>
    <definedName name="РТВ" localSheetId="15">[23]Нормат!$J$12</definedName>
    <definedName name="РТВ" localSheetId="16">[23]Нормат!$J$12</definedName>
    <definedName name="РТВ" localSheetId="85">[22]Нормат!$J$12</definedName>
    <definedName name="РТВ" localSheetId="25">[23]Нормат!$J$12</definedName>
    <definedName name="РТВ" localSheetId="20">[22]Нормат!$J$12</definedName>
    <definedName name="РТВ" localSheetId="86">[22]Нормат!$J$12</definedName>
    <definedName name="РТВ" localSheetId="82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84">[21]Нормат!$J$23</definedName>
    <definedName name="РТВ_201" localSheetId="66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8">[23]Нормат!$J$23</definedName>
    <definedName name="РТВ_201" localSheetId="17">[23]Нормат!$J$23</definedName>
    <definedName name="РТВ_201" localSheetId="15">[23]Нормат!$J$23</definedName>
    <definedName name="РТВ_201" localSheetId="16">[23]Нормат!$J$23</definedName>
    <definedName name="РТВ_201" localSheetId="85">[22]Нормат!$J$23</definedName>
    <definedName name="РТВ_201" localSheetId="25">[23]Нормат!$J$23</definedName>
    <definedName name="РТВ_201" localSheetId="20">[22]Нормат!$J$23</definedName>
    <definedName name="РТВ_201" localSheetId="86">[22]Нормат!$J$23</definedName>
    <definedName name="РТВ_201" localSheetId="82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84">[25]Нормат!$J$23</definedName>
    <definedName name="РТВ_201_24" localSheetId="66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8">[27]Нормат!$J$23</definedName>
    <definedName name="РТВ_201_24" localSheetId="17">[27]Нормат!$J$23</definedName>
    <definedName name="РТВ_201_24" localSheetId="15">[27]Нормат!$J$23</definedName>
    <definedName name="РТВ_201_24" localSheetId="16">[27]Нормат!$J$23</definedName>
    <definedName name="РТВ_201_24" localSheetId="85">[26]Нормат!$J$23</definedName>
    <definedName name="РТВ_201_24" localSheetId="25">[27]Нормат!$J$23</definedName>
    <definedName name="РТВ_201_24" localSheetId="20">[26]Нормат!$J$23</definedName>
    <definedName name="РТВ_201_24" localSheetId="86">[26]Нормат!$J$23</definedName>
    <definedName name="РТВ_201_24" localSheetId="82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84">[28]Нормат!$J$23</definedName>
    <definedName name="РТВ_201_25" localSheetId="66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8">[30]Нормат!$J$23</definedName>
    <definedName name="РТВ_201_25" localSheetId="17">[30]Нормат!$J$23</definedName>
    <definedName name="РТВ_201_25" localSheetId="15">[30]Нормат!$J$23</definedName>
    <definedName name="РТВ_201_25" localSheetId="16">[30]Нормат!$J$23</definedName>
    <definedName name="РТВ_201_25" localSheetId="85">[29]Нормат!$J$23</definedName>
    <definedName name="РТВ_201_25" localSheetId="25">[30]Нормат!$J$23</definedName>
    <definedName name="РТВ_201_25" localSheetId="20">[29]Нормат!$J$23</definedName>
    <definedName name="РТВ_201_25" localSheetId="86">[29]Нормат!$J$23</definedName>
    <definedName name="РТВ_201_25" localSheetId="82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84">[31]Нормат!$J$23</definedName>
    <definedName name="РТВ_201_3" localSheetId="66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8">[33]Нормат!$J$23</definedName>
    <definedName name="РТВ_201_3" localSheetId="17">[33]Нормат!$J$23</definedName>
    <definedName name="РТВ_201_3" localSheetId="15">[33]Нормат!$J$23</definedName>
    <definedName name="РТВ_201_3" localSheetId="16">[33]Нормат!$J$23</definedName>
    <definedName name="РТВ_201_3" localSheetId="85">[32]Нормат!$J$23</definedName>
    <definedName name="РТВ_201_3" localSheetId="25">[33]Нормат!$J$23</definedName>
    <definedName name="РТВ_201_3" localSheetId="20">[32]Нормат!$J$23</definedName>
    <definedName name="РТВ_201_3" localSheetId="86">[32]Нормат!$J$23</definedName>
    <definedName name="РТВ_201_3" localSheetId="82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84">[34]Нормат!$J$23</definedName>
    <definedName name="РТВ_201_59" localSheetId="66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8">[36]Нормат!$J$23</definedName>
    <definedName name="РТВ_201_59" localSheetId="17">[36]Нормат!$J$23</definedName>
    <definedName name="РТВ_201_59" localSheetId="15">[36]Нормат!$J$23</definedName>
    <definedName name="РТВ_201_59" localSheetId="16">[36]Нормат!$J$23</definedName>
    <definedName name="РТВ_201_59" localSheetId="85">[35]Нормат!$J$23</definedName>
    <definedName name="РТВ_201_59" localSheetId="25">[36]Нормат!$J$23</definedName>
    <definedName name="РТВ_201_59" localSheetId="20">[35]Нормат!$J$23</definedName>
    <definedName name="РТВ_201_59" localSheetId="86">[35]Нормат!$J$23</definedName>
    <definedName name="РТВ_201_59" localSheetId="82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84">[38]Нормат!$J$23</definedName>
    <definedName name="РТВ_201_6" localSheetId="66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8">[40]Нормат!$J$23</definedName>
    <definedName name="РТВ_201_6" localSheetId="17">[40]Нормат!$J$23</definedName>
    <definedName name="РТВ_201_6" localSheetId="15">[40]Нормат!$J$23</definedName>
    <definedName name="РТВ_201_6" localSheetId="16">[40]Нормат!$J$23</definedName>
    <definedName name="РТВ_201_6" localSheetId="85">[39]Нормат!$J$23</definedName>
    <definedName name="РТВ_201_6" localSheetId="25">[40]Нормат!$J$23</definedName>
    <definedName name="РТВ_201_6" localSheetId="20">[39]Нормат!$J$23</definedName>
    <definedName name="РТВ_201_6" localSheetId="86">[39]Нормат!$J$23</definedName>
    <definedName name="РТВ_201_6" localSheetId="82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84">[34]Нормат!$J$23</definedName>
    <definedName name="РТВ_201_60" localSheetId="66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8">[36]Нормат!$J$23</definedName>
    <definedName name="РТВ_201_60" localSheetId="17">[36]Нормат!$J$23</definedName>
    <definedName name="РТВ_201_60" localSheetId="15">[36]Нормат!$J$23</definedName>
    <definedName name="РТВ_201_60" localSheetId="16">[36]Нормат!$J$23</definedName>
    <definedName name="РТВ_201_60" localSheetId="85">[35]Нормат!$J$23</definedName>
    <definedName name="РТВ_201_60" localSheetId="25">[36]Нормат!$J$23</definedName>
    <definedName name="РТВ_201_60" localSheetId="20">[35]Нормат!$J$23</definedName>
    <definedName name="РТВ_201_60" localSheetId="86">[35]Нормат!$J$23</definedName>
    <definedName name="РТВ_201_60" localSheetId="82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84">[21]Нормат!$J$23</definedName>
    <definedName name="РТВ_201_72" localSheetId="66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8">[23]Нормат!$J$23</definedName>
    <definedName name="РТВ_201_72" localSheetId="17">[23]Нормат!$J$23</definedName>
    <definedName name="РТВ_201_72" localSheetId="15">[23]Нормат!$J$23</definedName>
    <definedName name="РТВ_201_72" localSheetId="16">[23]Нормат!$J$23</definedName>
    <definedName name="РТВ_201_72" localSheetId="85">[22]Нормат!$J$23</definedName>
    <definedName name="РТВ_201_72" localSheetId="25">[23]Нормат!$J$23</definedName>
    <definedName name="РТВ_201_72" localSheetId="20">[22]Нормат!$J$23</definedName>
    <definedName name="РТВ_201_72" localSheetId="86">[22]Нормат!$J$23</definedName>
    <definedName name="РТВ_201_72" localSheetId="82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84">[25]Нормат!$J$12</definedName>
    <definedName name="РТВ_24" localSheetId="66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8">[27]Нормат!$J$12</definedName>
    <definedName name="РТВ_24" localSheetId="17">[27]Нормат!$J$12</definedName>
    <definedName name="РТВ_24" localSheetId="15">[27]Нормат!$J$12</definedName>
    <definedName name="РТВ_24" localSheetId="16">[27]Нормат!$J$12</definedName>
    <definedName name="РТВ_24" localSheetId="85">[26]Нормат!$J$12</definedName>
    <definedName name="РТВ_24" localSheetId="25">[27]Нормат!$J$12</definedName>
    <definedName name="РТВ_24" localSheetId="20">[26]Нормат!$J$12</definedName>
    <definedName name="РТВ_24" localSheetId="86">[26]Нормат!$J$12</definedName>
    <definedName name="РТВ_24" localSheetId="82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84">[28]Нормат!$J$12</definedName>
    <definedName name="РТВ_25" localSheetId="66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8">[30]Нормат!$J$12</definedName>
    <definedName name="РТВ_25" localSheetId="17">[30]Нормат!$J$12</definedName>
    <definedName name="РТВ_25" localSheetId="15">[30]Нормат!$J$12</definedName>
    <definedName name="РТВ_25" localSheetId="16">[30]Нормат!$J$12</definedName>
    <definedName name="РТВ_25" localSheetId="85">[29]Нормат!$J$12</definedName>
    <definedName name="РТВ_25" localSheetId="25">[30]Нормат!$J$12</definedName>
    <definedName name="РТВ_25" localSheetId="20">[29]Нормат!$J$12</definedName>
    <definedName name="РТВ_25" localSheetId="86">[29]Нормат!$J$12</definedName>
    <definedName name="РТВ_25" localSheetId="82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84">[31]Нормат!$J$12</definedName>
    <definedName name="РТВ_3" localSheetId="66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8">[33]Нормат!$J$12</definedName>
    <definedName name="РТВ_3" localSheetId="17">[33]Нормат!$J$12</definedName>
    <definedName name="РТВ_3" localSheetId="15">[33]Нормат!$J$12</definedName>
    <definedName name="РТВ_3" localSheetId="16">[33]Нормат!$J$12</definedName>
    <definedName name="РТВ_3" localSheetId="85">[32]Нормат!$J$12</definedName>
    <definedName name="РТВ_3" localSheetId="25">[33]Нормат!$J$12</definedName>
    <definedName name="РТВ_3" localSheetId="20">[32]Нормат!$J$12</definedName>
    <definedName name="РТВ_3" localSheetId="86">[32]Нормат!$J$12</definedName>
    <definedName name="РТВ_3" localSheetId="82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84">[34]Нормат!$J$12</definedName>
    <definedName name="РТВ_59" localSheetId="66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8">[36]Нормат!$J$12</definedName>
    <definedName name="РТВ_59" localSheetId="17">[36]Нормат!$J$12</definedName>
    <definedName name="РТВ_59" localSheetId="15">[36]Нормат!$J$12</definedName>
    <definedName name="РТВ_59" localSheetId="16">[36]Нормат!$J$12</definedName>
    <definedName name="РТВ_59" localSheetId="85">[35]Нормат!$J$12</definedName>
    <definedName name="РТВ_59" localSheetId="25">[36]Нормат!$J$12</definedName>
    <definedName name="РТВ_59" localSheetId="20">[35]Нормат!$J$12</definedName>
    <definedName name="РТВ_59" localSheetId="86">[35]Нормат!$J$12</definedName>
    <definedName name="РТВ_59" localSheetId="82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84">[38]Нормат!$J$12</definedName>
    <definedName name="РТВ_6" localSheetId="66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8">[40]Нормат!$J$12</definedName>
    <definedName name="РТВ_6" localSheetId="17">[40]Нормат!$J$12</definedName>
    <definedName name="РТВ_6" localSheetId="15">[40]Нормат!$J$12</definedName>
    <definedName name="РТВ_6" localSheetId="16">[40]Нормат!$J$12</definedName>
    <definedName name="РТВ_6" localSheetId="85">[39]Нормат!$J$12</definedName>
    <definedName name="РТВ_6" localSheetId="25">[40]Нормат!$J$12</definedName>
    <definedName name="РТВ_6" localSheetId="20">[39]Нормат!$J$12</definedName>
    <definedName name="РТВ_6" localSheetId="86">[39]Нормат!$J$12</definedName>
    <definedName name="РТВ_6" localSheetId="82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84">[34]Нормат!$J$12</definedName>
    <definedName name="РТВ_60" localSheetId="66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8">[36]Нормат!$J$12</definedName>
    <definedName name="РТВ_60" localSheetId="17">[36]Нормат!$J$12</definedName>
    <definedName name="РТВ_60" localSheetId="15">[36]Нормат!$J$12</definedName>
    <definedName name="РТВ_60" localSheetId="16">[36]Нормат!$J$12</definedName>
    <definedName name="РТВ_60" localSheetId="85">[35]Нормат!$J$12</definedName>
    <definedName name="РТВ_60" localSheetId="25">[36]Нормат!$J$12</definedName>
    <definedName name="РТВ_60" localSheetId="20">[35]Нормат!$J$12</definedName>
    <definedName name="РТВ_60" localSheetId="86">[35]Нормат!$J$12</definedName>
    <definedName name="РТВ_60" localSheetId="82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84">[21]Нормат!$J$12</definedName>
    <definedName name="РТВ_72" localSheetId="66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8">[23]Нормат!$J$12</definedName>
    <definedName name="РТВ_72" localSheetId="17">[23]Нормат!$J$12</definedName>
    <definedName name="РТВ_72" localSheetId="15">[23]Нормат!$J$12</definedName>
    <definedName name="РТВ_72" localSheetId="16">[23]Нормат!$J$12</definedName>
    <definedName name="РТВ_72" localSheetId="85">[22]Нормат!$J$12</definedName>
    <definedName name="РТВ_72" localSheetId="25">[23]Нормат!$J$12</definedName>
    <definedName name="РТВ_72" localSheetId="20">[22]Нормат!$J$12</definedName>
    <definedName name="РТВ_72" localSheetId="86">[22]Нормат!$J$12</definedName>
    <definedName name="РТВ_72" localSheetId="82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84">#REF!</definedName>
    <definedName name="смитронгглллльббб" localSheetId="64">#REF!</definedName>
    <definedName name="смитронгглллльббб" localSheetId="65">#REF!</definedName>
    <definedName name="смитронгглллльббб" localSheetId="66">#REF!</definedName>
    <definedName name="смитронгглллльббб" localSheetId="55">#REF!</definedName>
    <definedName name="смитронгглллльббб" localSheetId="80">#REF!</definedName>
    <definedName name="смитронгглллльббб" localSheetId="32">#REF!</definedName>
    <definedName name="смитронгглллльббб" localSheetId="17">#REF!</definedName>
    <definedName name="смитронгглллльббб" localSheetId="15">#REF!</definedName>
    <definedName name="смитронгглллльббб" localSheetId="16">#REF!</definedName>
    <definedName name="смитронгглллльббб" localSheetId="85">#REF!</definedName>
    <definedName name="смитронгглллльббб" localSheetId="25">#REF!</definedName>
    <definedName name="смитронгглллльббб" localSheetId="20">#REF!</definedName>
    <definedName name="смитронгглллльббб" localSheetId="86">#REF!</definedName>
    <definedName name="смитронгглллльббб" localSheetId="82">#REF!</definedName>
    <definedName name="смитронгглллльббб" localSheetId="31">#REF!</definedName>
    <definedName name="смитронгглллльббб" localSheetId="30">#REF!</definedName>
    <definedName name="смитронгглллльббб" localSheetId="14">#REF!</definedName>
    <definedName name="смитронгглллльббб" localSheetId="38">#REF!</definedName>
    <definedName name="смитронгглллльббб">#REF!</definedName>
    <definedName name="сммаапеенннннн">#N/A</definedName>
    <definedName name="спсп" localSheetId="84">'А 2018'!_Pi1</definedName>
    <definedName name="спсп" localSheetId="66">'выпадающие расходы'!_Pi1</definedName>
    <definedName name="спсп" localSheetId="55">'ЗП с факт 3 кв. 2015'!_Pi1</definedName>
    <definedName name="спсп" localSheetId="24">'ПОЛНАЯ СЕБЕСТОИМОСТЬ ВОДА 2023'!_Pi1</definedName>
    <definedName name="спсп" localSheetId="22">'ПОЛНАЯ СЕБЕСТОИМОСТЬ СТОКИ 2023'!_Pi1</definedName>
    <definedName name="спсп" localSheetId="19">'Прил. 1 План ФХД вода 2023'!_Pi1</definedName>
    <definedName name="спсп" localSheetId="18">'Прил. 1 План ФХД стоки 2023'!_Pi1</definedName>
    <definedName name="спсп" localSheetId="17">'Прил. 1 План ФХД трансп. воды23'!_Pi1</definedName>
    <definedName name="спсп" localSheetId="15">'Прил.1 ПланФХД с транспортир.23'!_Pi1</definedName>
    <definedName name="спсп" localSheetId="16">'Прил.1 ПланФХД трансп. стоков23'!_Pi1</definedName>
    <definedName name="спсп" localSheetId="85">'Расчет товарной выручки 2018'!_Pi1</definedName>
    <definedName name="спсп" localSheetId="25">'Расчет товарной выручки 2019'!_Pi1</definedName>
    <definedName name="спсп" localSheetId="20">'Расчет товарной выручки 2023'!_Pi1</definedName>
    <definedName name="спсп" localSheetId="86">'рез к 2017-2023'!_Pi1</definedName>
    <definedName name="спсп" localSheetId="82">'рез к 2018-2024 (кор) '!_Pi1</definedName>
    <definedName name="спсп" localSheetId="13">'Текущий ремонт'!_Pi1</definedName>
    <definedName name="спсп" localSheetId="23">'ФАКТ.СЕБЕСТ.ВОДА за 1 пол. 2023'!_Pi1</definedName>
    <definedName name="спсп" localSheetId="21">'ФАКТ.СЕБЕСТ.СТОКИ за 1 пол.2023'!_Pi1</definedName>
    <definedName name="спсп" localSheetId="14">'Чистая прибыль с транспортир.23'!_Pi1</definedName>
    <definedName name="спсп">[0]!_Pi1</definedName>
    <definedName name="спсп_1" localSheetId="84">'А 2018'!_Pi1</definedName>
    <definedName name="спсп_1" localSheetId="66">'выпадающие расходы'!_Pi1</definedName>
    <definedName name="спсп_1" localSheetId="55">'ЗП с факт 3 кв. 2015'!_Pi1</definedName>
    <definedName name="спсп_1" localSheetId="24">'ПОЛНАЯ СЕБЕСТОИМОСТЬ ВОДА 2023'!_Pi1</definedName>
    <definedName name="спсп_1" localSheetId="22">'ПОЛНАЯ СЕБЕСТОИМОСТЬ СТОКИ 2023'!_Pi1</definedName>
    <definedName name="спсп_1" localSheetId="19">'Прил. 1 План ФХД вода 2023'!_Pi1</definedName>
    <definedName name="спсп_1" localSheetId="18">'Прил. 1 План ФХД стоки 2023'!_Pi1</definedName>
    <definedName name="спсп_1" localSheetId="17">'Прил. 1 План ФХД трансп. воды23'!_Pi1</definedName>
    <definedName name="спсп_1" localSheetId="15">'Прил.1 ПланФХД с транспортир.23'!_Pi1</definedName>
    <definedName name="спсп_1" localSheetId="16">'Прил.1 ПланФХД трансп. стоков23'!_Pi1</definedName>
    <definedName name="спсп_1" localSheetId="85">'Расчет товарной выручки 2018'!_Pi1</definedName>
    <definedName name="спсп_1" localSheetId="25">'Расчет товарной выручки 2019'!_Pi1</definedName>
    <definedName name="спсп_1" localSheetId="20">'Расчет товарной выручки 2023'!_Pi1</definedName>
    <definedName name="спсп_1" localSheetId="86">'рез к 2017-2023'!_Pi1</definedName>
    <definedName name="спсп_1" localSheetId="82">'рез к 2018-2024 (кор) '!_Pi1</definedName>
    <definedName name="спсп_1" localSheetId="13">'Текущий ремонт'!_Pi1</definedName>
    <definedName name="спсп_1" localSheetId="23">'ФАКТ.СЕБЕСТ.ВОДА за 1 пол. 2023'!_Pi1</definedName>
    <definedName name="спсп_1" localSheetId="21">'ФАКТ.СЕБЕСТ.СТОКИ за 1 пол.2023'!_Pi1</definedName>
    <definedName name="спсп_1" localSheetId="14">'Чистая прибыль с транспортир.23'!_Pi1</definedName>
    <definedName name="спсп_1">[0]!_Pi1</definedName>
    <definedName name="спсп_13" localSheetId="84">'А 2018'!_Pi1</definedName>
    <definedName name="спсп_13" localSheetId="66">'выпадающие расходы'!_Pi1</definedName>
    <definedName name="спсп_13" localSheetId="55">'ЗП с факт 3 кв. 2015'!_Pi1</definedName>
    <definedName name="спсп_13" localSheetId="24">'ПОЛНАЯ СЕБЕСТОИМОСТЬ ВОДА 2023'!_Pi1</definedName>
    <definedName name="спсп_13" localSheetId="22">'ПОЛНАЯ СЕБЕСТОИМОСТЬ СТОКИ 2023'!_Pi1</definedName>
    <definedName name="спсп_13" localSheetId="19">'Прил. 1 План ФХД вода 2023'!_Pi1</definedName>
    <definedName name="спсп_13" localSheetId="18">'Прил. 1 План ФХД стоки 2023'!_Pi1</definedName>
    <definedName name="спсп_13" localSheetId="17">'Прил. 1 План ФХД трансп. воды23'!_Pi1</definedName>
    <definedName name="спсп_13" localSheetId="15">'Прил.1 ПланФХД с транспортир.23'!_Pi1</definedName>
    <definedName name="спсп_13" localSheetId="16">'Прил.1 ПланФХД трансп. стоков23'!_Pi1</definedName>
    <definedName name="спсп_13" localSheetId="85">'Расчет товарной выручки 2018'!_Pi1</definedName>
    <definedName name="спсп_13" localSheetId="25">'Расчет товарной выручки 2019'!_Pi1</definedName>
    <definedName name="спсп_13" localSheetId="20">'Расчет товарной выручки 2023'!_Pi1</definedName>
    <definedName name="спсп_13" localSheetId="86">'рез к 2017-2023'!_Pi1</definedName>
    <definedName name="спсп_13" localSheetId="82">'рез к 2018-2024 (кор) '!_Pi1</definedName>
    <definedName name="спсп_13" localSheetId="13">'Текущий ремонт'!_Pi1</definedName>
    <definedName name="спсп_13" localSheetId="23">'ФАКТ.СЕБЕСТ.ВОДА за 1 пол. 2023'!_Pi1</definedName>
    <definedName name="спсп_13" localSheetId="21">'ФАКТ.СЕБЕСТ.СТОКИ за 1 пол.2023'!_Pi1</definedName>
    <definedName name="спсп_13" localSheetId="14">'Чистая прибыль с транспортир.23'!_Pi1</definedName>
    <definedName name="спсп_13">[0]!_Pi1</definedName>
    <definedName name="спсп_2" localSheetId="84">'А 2018'!_Pi1</definedName>
    <definedName name="спсп_2" localSheetId="66">'выпадающие расходы'!_Pi1</definedName>
    <definedName name="спсп_2" localSheetId="55">'ЗП с факт 3 кв. 2015'!_Pi1</definedName>
    <definedName name="спсп_2" localSheetId="24">'ПОЛНАЯ СЕБЕСТОИМОСТЬ ВОДА 2023'!_Pi1</definedName>
    <definedName name="спсп_2" localSheetId="22">'ПОЛНАЯ СЕБЕСТОИМОСТЬ СТОКИ 2023'!_Pi1</definedName>
    <definedName name="спсп_2" localSheetId="19">'Прил. 1 План ФХД вода 2023'!_Pi1</definedName>
    <definedName name="спсп_2" localSheetId="18">'Прил. 1 План ФХД стоки 2023'!_Pi1</definedName>
    <definedName name="спсп_2" localSheetId="17">'Прил. 1 План ФХД трансп. воды23'!_Pi1</definedName>
    <definedName name="спсп_2" localSheetId="15">'Прил.1 ПланФХД с транспортир.23'!_Pi1</definedName>
    <definedName name="спсп_2" localSheetId="16">'Прил.1 ПланФХД трансп. стоков23'!_Pi1</definedName>
    <definedName name="спсп_2" localSheetId="85">'Расчет товарной выручки 2018'!_Pi1</definedName>
    <definedName name="спсп_2" localSheetId="25">'Расчет товарной выручки 2019'!_Pi1</definedName>
    <definedName name="спсп_2" localSheetId="20">'Расчет товарной выручки 2023'!_Pi1</definedName>
    <definedName name="спсп_2" localSheetId="86">'рез к 2017-2023'!_Pi1</definedName>
    <definedName name="спсп_2" localSheetId="82">'рез к 2018-2024 (кор) '!_Pi1</definedName>
    <definedName name="спсп_2" localSheetId="13">'Текущий ремонт'!_Pi1</definedName>
    <definedName name="спсп_2" localSheetId="23">'ФАКТ.СЕБЕСТ.ВОДА за 1 пол. 2023'!_Pi1</definedName>
    <definedName name="спсп_2" localSheetId="21">'ФАКТ.СЕБЕСТ.СТОКИ за 1 пол.2023'!_Pi1</definedName>
    <definedName name="спсп_2" localSheetId="14">'Чистая прибыль с транспортир.23'!_Pi1</definedName>
    <definedName name="спсп_2">[0]!_Pi1</definedName>
    <definedName name="тарифы" localSheetId="84">'А 2018'!_Pi3</definedName>
    <definedName name="тарифы" localSheetId="66">'выпадающие расходы'!_Pi3</definedName>
    <definedName name="тарифы" localSheetId="55">'ЗП с факт 3 кв. 2015'!_Pi3</definedName>
    <definedName name="тарифы" localSheetId="24">'ПОЛНАЯ СЕБЕСТОИМОСТЬ ВОДА 2023'!_Pi3</definedName>
    <definedName name="тарифы" localSheetId="22">'ПОЛНАЯ СЕБЕСТОИМОСТЬ СТОКИ 2023'!_Pi3</definedName>
    <definedName name="тарифы" localSheetId="19">'Прил. 1 План ФХД вода 2023'!_Pi3</definedName>
    <definedName name="тарифы" localSheetId="18">'Прил. 1 План ФХД стоки 2023'!_Pi3</definedName>
    <definedName name="тарифы" localSheetId="17">'Прил. 1 План ФХД трансп. воды23'!_Pi3</definedName>
    <definedName name="тарифы" localSheetId="15">'Прил.1 ПланФХД с транспортир.23'!_Pi3</definedName>
    <definedName name="тарифы" localSheetId="16">'Прил.1 ПланФХД трансп. стоков23'!_Pi3</definedName>
    <definedName name="тарифы" localSheetId="85">'Расчет товарной выручки 2018'!_Pi3</definedName>
    <definedName name="тарифы" localSheetId="25">'Расчет товарной выручки 2019'!_Pi3</definedName>
    <definedName name="тарифы" localSheetId="20">'Расчет товарной выручки 2023'!_Pi3</definedName>
    <definedName name="тарифы" localSheetId="86">'рез к 2017-2023'!_Pi3</definedName>
    <definedName name="тарифы" localSheetId="82">'рез к 2018-2024 (кор) '!_Pi3</definedName>
    <definedName name="тарифы" localSheetId="13">'Текущий ремонт'!_Pi3</definedName>
    <definedName name="тарифы" localSheetId="23">'ФАКТ.СЕБЕСТ.ВОДА за 1 пол. 2023'!_Pi3</definedName>
    <definedName name="тарифы" localSheetId="21">'ФАКТ.СЕБЕСТ.СТОКИ за 1 пол.2023'!_Pi3</definedName>
    <definedName name="тарифы" localSheetId="14">'Чистая прибыль с транспортир.23'!_Pi3</definedName>
    <definedName name="тарифы">[0]!_Pi3</definedName>
    <definedName name="тарифы_1" localSheetId="84">'А 2018'!_Pi3</definedName>
    <definedName name="тарифы_1" localSheetId="66">'выпадающие расходы'!_Pi3</definedName>
    <definedName name="тарифы_1" localSheetId="55">'ЗП с факт 3 кв. 2015'!_Pi3</definedName>
    <definedName name="тарифы_1" localSheetId="24">'ПОЛНАЯ СЕБЕСТОИМОСТЬ ВОДА 2023'!_Pi3</definedName>
    <definedName name="тарифы_1" localSheetId="22">'ПОЛНАЯ СЕБЕСТОИМОСТЬ СТОКИ 2023'!_Pi3</definedName>
    <definedName name="тарифы_1" localSheetId="19">'Прил. 1 План ФХД вода 2023'!_Pi3</definedName>
    <definedName name="тарифы_1" localSheetId="18">'Прил. 1 План ФХД стоки 2023'!_Pi3</definedName>
    <definedName name="тарифы_1" localSheetId="17">'Прил. 1 План ФХД трансп. воды23'!_Pi3</definedName>
    <definedName name="тарифы_1" localSheetId="15">'Прил.1 ПланФХД с транспортир.23'!_Pi3</definedName>
    <definedName name="тарифы_1" localSheetId="16">'Прил.1 ПланФХД трансп. стоков23'!_Pi3</definedName>
    <definedName name="тарифы_1" localSheetId="85">'Расчет товарной выручки 2018'!_Pi3</definedName>
    <definedName name="тарифы_1" localSheetId="25">'Расчет товарной выручки 2019'!_Pi3</definedName>
    <definedName name="тарифы_1" localSheetId="20">'Расчет товарной выручки 2023'!_Pi3</definedName>
    <definedName name="тарифы_1" localSheetId="86">'рез к 2017-2023'!_Pi3</definedName>
    <definedName name="тарифы_1" localSheetId="82">'рез к 2018-2024 (кор) '!_Pi3</definedName>
    <definedName name="тарифы_1" localSheetId="13">'Текущий ремонт'!_Pi3</definedName>
    <definedName name="тарифы_1" localSheetId="23">'ФАКТ.СЕБЕСТ.ВОДА за 1 пол. 2023'!_Pi3</definedName>
    <definedName name="тарифы_1" localSheetId="21">'ФАКТ.СЕБЕСТ.СТОКИ за 1 пол.2023'!_Pi3</definedName>
    <definedName name="тарифы_1" localSheetId="14">'Чистая прибыль с транспортир.23'!_Pi3</definedName>
    <definedName name="тарифы_1">[0]!_Pi3</definedName>
    <definedName name="тарифы_13" localSheetId="84">'А 2018'!_Pi3</definedName>
    <definedName name="тарифы_13" localSheetId="66">'выпадающие расходы'!_Pi3</definedName>
    <definedName name="тарифы_13" localSheetId="55">'ЗП с факт 3 кв. 2015'!_Pi3</definedName>
    <definedName name="тарифы_13" localSheetId="24">'ПОЛНАЯ СЕБЕСТОИМОСТЬ ВОДА 2023'!_Pi3</definedName>
    <definedName name="тарифы_13" localSheetId="22">'ПОЛНАЯ СЕБЕСТОИМОСТЬ СТОКИ 2023'!_Pi3</definedName>
    <definedName name="тарифы_13" localSheetId="19">'Прил. 1 План ФХД вода 2023'!_Pi3</definedName>
    <definedName name="тарифы_13" localSheetId="18">'Прил. 1 План ФХД стоки 2023'!_Pi3</definedName>
    <definedName name="тарифы_13" localSheetId="17">'Прил. 1 План ФХД трансп. воды23'!_Pi3</definedName>
    <definedName name="тарифы_13" localSheetId="15">'Прил.1 ПланФХД с транспортир.23'!_Pi3</definedName>
    <definedName name="тарифы_13" localSheetId="16">'Прил.1 ПланФХД трансп. стоков23'!_Pi3</definedName>
    <definedName name="тарифы_13" localSheetId="85">'Расчет товарной выручки 2018'!_Pi3</definedName>
    <definedName name="тарифы_13" localSheetId="25">'Расчет товарной выручки 2019'!_Pi3</definedName>
    <definedName name="тарифы_13" localSheetId="20">'Расчет товарной выручки 2023'!_Pi3</definedName>
    <definedName name="тарифы_13" localSheetId="86">'рез к 2017-2023'!_Pi3</definedName>
    <definedName name="тарифы_13" localSheetId="82">'рез к 2018-2024 (кор) '!_Pi3</definedName>
    <definedName name="тарифы_13" localSheetId="13">'Текущий ремонт'!_Pi3</definedName>
    <definedName name="тарифы_13" localSheetId="23">'ФАКТ.СЕБЕСТ.ВОДА за 1 пол. 2023'!_Pi3</definedName>
    <definedName name="тарифы_13" localSheetId="21">'ФАКТ.СЕБЕСТ.СТОКИ за 1 пол.2023'!_Pi3</definedName>
    <definedName name="тарифы_13" localSheetId="14">'Чистая прибыль с транспортир.23'!_Pi3</definedName>
    <definedName name="тарифы_13">[0]!_Pi3</definedName>
    <definedName name="тарифы_2" localSheetId="84">'А 2018'!_Pi3</definedName>
    <definedName name="тарифы_2" localSheetId="66">'выпадающие расходы'!_Pi3</definedName>
    <definedName name="тарифы_2" localSheetId="55">'ЗП с факт 3 кв. 2015'!_Pi3</definedName>
    <definedName name="тарифы_2" localSheetId="24">'ПОЛНАЯ СЕБЕСТОИМОСТЬ ВОДА 2023'!_Pi3</definedName>
    <definedName name="тарифы_2" localSheetId="22">'ПОЛНАЯ СЕБЕСТОИМОСТЬ СТОКИ 2023'!_Pi3</definedName>
    <definedName name="тарифы_2" localSheetId="19">'Прил. 1 План ФХД вода 2023'!_Pi3</definedName>
    <definedName name="тарифы_2" localSheetId="18">'Прил. 1 План ФХД стоки 2023'!_Pi3</definedName>
    <definedName name="тарифы_2" localSheetId="17">'Прил. 1 План ФХД трансп. воды23'!_Pi3</definedName>
    <definedName name="тарифы_2" localSheetId="15">'Прил.1 ПланФХД с транспортир.23'!_Pi3</definedName>
    <definedName name="тарифы_2" localSheetId="16">'Прил.1 ПланФХД трансп. стоков23'!_Pi3</definedName>
    <definedName name="тарифы_2" localSheetId="85">'Расчет товарной выручки 2018'!_Pi3</definedName>
    <definedName name="тарифы_2" localSheetId="25">'Расчет товарной выручки 2019'!_Pi3</definedName>
    <definedName name="тарифы_2" localSheetId="20">'Расчет товарной выручки 2023'!_Pi3</definedName>
    <definedName name="тарифы_2" localSheetId="86">'рез к 2017-2023'!_Pi3</definedName>
    <definedName name="тарифы_2" localSheetId="82">'рез к 2018-2024 (кор) '!_Pi3</definedName>
    <definedName name="тарифы_2" localSheetId="13">'Текущий ремонт'!_Pi3</definedName>
    <definedName name="тарифы_2" localSheetId="23">'ФАКТ.СЕБЕСТ.ВОДА за 1 пол. 2023'!_Pi3</definedName>
    <definedName name="тарифы_2" localSheetId="21">'ФАКТ.СЕБЕСТ.СТОКИ за 1 пол.2023'!_Pi3</definedName>
    <definedName name="тарифы_2" localSheetId="14">'Чистая прибыль с транспортир.23'!_Pi3</definedName>
    <definedName name="тарифы_2">[0]!_Pi3</definedName>
    <definedName name="тир" localSheetId="84">'[8]распределение январь по бухг.'!#REF!</definedName>
    <definedName name="тир" localSheetId="64">'[9]распределение январь по бухг.'!#REF!</definedName>
    <definedName name="тир" localSheetId="65">'[9]распределение январь по бухг.'!#REF!</definedName>
    <definedName name="тир" localSheetId="66">'[10]распределение январь по бухг.'!#REF!</definedName>
    <definedName name="тир" localSheetId="55">'[9]распределение январь по бухг.'!#REF!</definedName>
    <definedName name="тир" localSheetId="80">'[9]распределение январь по бухг.'!#REF!</definedName>
    <definedName name="тир" localSheetId="32">'[9]распределение январь по бухг.'!#REF!</definedName>
    <definedName name="тир" localSheetId="24">'[9]распределение январь по бухг.'!#REF!</definedName>
    <definedName name="тир" localSheetId="22">'[9]распределение январь по бухг.'!#REF!</definedName>
    <definedName name="тир" localSheetId="19">'[9]распределение январь по бухг.'!#REF!</definedName>
    <definedName name="тир" localSheetId="18">'[9]распределение январь по бухг.'!#REF!</definedName>
    <definedName name="тир" localSheetId="17">'[9]распределение январь по бухг.'!#REF!</definedName>
    <definedName name="тир" localSheetId="15">'[9]распределение январь по бухг.'!#REF!</definedName>
    <definedName name="тир" localSheetId="16">'[9]распределение январь по бухг.'!#REF!</definedName>
    <definedName name="тир" localSheetId="85">'[10]распределение январь по бухг.'!#REF!</definedName>
    <definedName name="тир" localSheetId="25">'[9]распределение январь по бухг.'!#REF!</definedName>
    <definedName name="тир" localSheetId="20">'[10]распределение январь по бухг.'!#REF!</definedName>
    <definedName name="тир" localSheetId="86">'[10]распределение январь по бухг.'!#REF!</definedName>
    <definedName name="тир" localSheetId="82">'[10]распределение январь по бухг.'!#REF!</definedName>
    <definedName name="тир" localSheetId="31">'[9]распределение январь по бухг.'!#REF!</definedName>
    <definedName name="тир" localSheetId="13">'[9]распределение январь по бухг.'!#REF!</definedName>
    <definedName name="тир" localSheetId="30">'[9]распределение январь по бухг.'!#REF!</definedName>
    <definedName name="тир" localSheetId="23">'[9]распределение январь по бухг.'!#REF!</definedName>
    <definedName name="тир" localSheetId="21">'[9]распределение январь по бухг.'!#REF!</definedName>
    <definedName name="тир" localSheetId="14">'[9]распределение январь по бухг.'!#REF!</definedName>
    <definedName name="тир" localSheetId="38">'[9]распределение январь по бухг.'!#REF!</definedName>
    <definedName name="тир">'[9]распределение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84">#REF!</definedName>
    <definedName name="тпп" localSheetId="64">#REF!</definedName>
    <definedName name="тпп" localSheetId="65">#REF!</definedName>
    <definedName name="тпп" localSheetId="66">#REF!</definedName>
    <definedName name="тпп" localSheetId="55">#REF!</definedName>
    <definedName name="тпп" localSheetId="80">#REF!</definedName>
    <definedName name="тпп" localSheetId="32">#REF!</definedName>
    <definedName name="тпп" localSheetId="17">#REF!</definedName>
    <definedName name="тпп" localSheetId="15">#REF!</definedName>
    <definedName name="тпп" localSheetId="16">#REF!</definedName>
    <definedName name="тпп" localSheetId="85">#REF!</definedName>
    <definedName name="тпп" localSheetId="25">#REF!</definedName>
    <definedName name="тпп" localSheetId="20">#REF!</definedName>
    <definedName name="тпп" localSheetId="86">#REF!</definedName>
    <definedName name="тпп" localSheetId="82">#REF!</definedName>
    <definedName name="тпп" localSheetId="31">#REF!</definedName>
    <definedName name="тпп" localSheetId="30">#REF!</definedName>
    <definedName name="тпп" localSheetId="14">#REF!</definedName>
    <definedName name="тпп" localSheetId="38">#REF!</definedName>
    <definedName name="тпп">#REF!</definedName>
    <definedName name="тпп_1" localSheetId="84">#REF!</definedName>
    <definedName name="тпп_1" localSheetId="64">#REF!</definedName>
    <definedName name="тпп_1" localSheetId="65">#REF!</definedName>
    <definedName name="тпп_1" localSheetId="66">#REF!</definedName>
    <definedName name="тпп_1" localSheetId="55">#REF!</definedName>
    <definedName name="тпп_1" localSheetId="80">#REF!</definedName>
    <definedName name="тпп_1" localSheetId="32">#REF!</definedName>
    <definedName name="тпп_1" localSheetId="17">#REF!</definedName>
    <definedName name="тпп_1" localSheetId="15">#REF!</definedName>
    <definedName name="тпп_1" localSheetId="16">#REF!</definedName>
    <definedName name="тпп_1" localSheetId="85">#REF!</definedName>
    <definedName name="тпп_1" localSheetId="25">#REF!</definedName>
    <definedName name="тпп_1" localSheetId="20">#REF!</definedName>
    <definedName name="тпп_1" localSheetId="86">#REF!</definedName>
    <definedName name="тпп_1" localSheetId="82">#REF!</definedName>
    <definedName name="тпп_1" localSheetId="31">#REF!</definedName>
    <definedName name="тпп_1" localSheetId="30">#REF!</definedName>
    <definedName name="тпп_1" localSheetId="14">#REF!</definedName>
    <definedName name="тпп_1" localSheetId="38">#REF!</definedName>
    <definedName name="тпп_1">#REF!</definedName>
    <definedName name="тпп_13" localSheetId="84">#REF!</definedName>
    <definedName name="тпп_13" localSheetId="64">#REF!</definedName>
    <definedName name="тпп_13" localSheetId="65">#REF!</definedName>
    <definedName name="тпп_13" localSheetId="66">#REF!</definedName>
    <definedName name="тпп_13" localSheetId="55">#REF!</definedName>
    <definedName name="тпп_13" localSheetId="80">#REF!</definedName>
    <definedName name="тпп_13" localSheetId="32">#REF!</definedName>
    <definedName name="тпп_13" localSheetId="17">#REF!</definedName>
    <definedName name="тпп_13" localSheetId="15">#REF!</definedName>
    <definedName name="тпп_13" localSheetId="16">#REF!</definedName>
    <definedName name="тпп_13" localSheetId="85">#REF!</definedName>
    <definedName name="тпп_13" localSheetId="25">#REF!</definedName>
    <definedName name="тпп_13" localSheetId="20">#REF!</definedName>
    <definedName name="тпп_13" localSheetId="86">#REF!</definedName>
    <definedName name="тпп_13" localSheetId="82">#REF!</definedName>
    <definedName name="тпп_13" localSheetId="31">#REF!</definedName>
    <definedName name="тпп_13" localSheetId="30">#REF!</definedName>
    <definedName name="тпп_13" localSheetId="14">#REF!</definedName>
    <definedName name="тпп_13" localSheetId="38">#REF!</definedName>
    <definedName name="тпп_13">#REF!</definedName>
    <definedName name="тпп_2" localSheetId="84">#REF!</definedName>
    <definedName name="тпп_2" localSheetId="64">#REF!</definedName>
    <definedName name="тпп_2" localSheetId="65">#REF!</definedName>
    <definedName name="тпп_2" localSheetId="66">#REF!</definedName>
    <definedName name="тпп_2" localSheetId="80">#REF!</definedName>
    <definedName name="тпп_2" localSheetId="32">#REF!</definedName>
    <definedName name="тпп_2" localSheetId="17">#REF!</definedName>
    <definedName name="тпп_2" localSheetId="15">#REF!</definedName>
    <definedName name="тпп_2" localSheetId="16">#REF!</definedName>
    <definedName name="тпп_2" localSheetId="85">#REF!</definedName>
    <definedName name="тпп_2" localSheetId="25">#REF!</definedName>
    <definedName name="тпп_2" localSheetId="20">#REF!</definedName>
    <definedName name="тпп_2" localSheetId="86">#REF!</definedName>
    <definedName name="тпп_2" localSheetId="82">#REF!</definedName>
    <definedName name="тпп_2" localSheetId="31">#REF!</definedName>
    <definedName name="тпп_2" localSheetId="30">#REF!</definedName>
    <definedName name="тпп_2" localSheetId="14">#REF!</definedName>
    <definedName name="тпп_2" localSheetId="38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84">'А 2018'!ц</definedName>
    <definedName name="ц" localSheetId="66">#N/A</definedName>
    <definedName name="ц" localSheetId="55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8">#N/A</definedName>
    <definedName name="ц" localSheetId="17">#N/A</definedName>
    <definedName name="ц" localSheetId="15">#N/A</definedName>
    <definedName name="ц" localSheetId="16">#N/A</definedName>
    <definedName name="ц" localSheetId="85">#N/A</definedName>
    <definedName name="ц" localSheetId="25">#N/A</definedName>
    <definedName name="ц" localSheetId="20">#N/A</definedName>
    <definedName name="ц" localSheetId="86">'рез к 2017-2023'!ц</definedName>
    <definedName name="ц" localSheetId="82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84">'А 2018'!ц</definedName>
    <definedName name="ц_10" localSheetId="66">'выпадающие расходы'!ц</definedName>
    <definedName name="ц_10" localSheetId="55">'ЗП с факт 3 кв. 2015'!ц</definedName>
    <definedName name="ц_10" localSheetId="24">'ПОЛНАЯ СЕБЕСТОИМОСТЬ ВОДА 2023'!ц</definedName>
    <definedName name="ц_10" localSheetId="22">'ПОЛНАЯ СЕБЕСТОИМОСТЬ СТОКИ 2023'!ц</definedName>
    <definedName name="ц_10" localSheetId="19">'Прил. 1 План ФХД вода 2023'!ц</definedName>
    <definedName name="ц_10" localSheetId="18">'Прил. 1 План ФХД стоки 2023'!ц</definedName>
    <definedName name="ц_10" localSheetId="17">'Прил. 1 План ФХД трансп. воды23'!ц</definedName>
    <definedName name="ц_10" localSheetId="15">'Прил.1 ПланФХД с транспортир.23'!ц</definedName>
    <definedName name="ц_10" localSheetId="16">'Прил.1 ПланФХД трансп. стоков23'!ц</definedName>
    <definedName name="ц_10" localSheetId="85">'Расчет товарной выручки 2018'!ц</definedName>
    <definedName name="ц_10" localSheetId="25">'Расчет товарной выручки 2019'!ц</definedName>
    <definedName name="ц_10" localSheetId="20">'Расчет товарной выручки 2023'!ц</definedName>
    <definedName name="ц_10" localSheetId="86">'рез к 2017-2023'!ц</definedName>
    <definedName name="ц_10" localSheetId="82">'рез к 2018-2024 (кор) '!ц</definedName>
    <definedName name="ц_10" localSheetId="13">'Текущий ремонт'!ц</definedName>
    <definedName name="ц_10" localSheetId="23">'ФАКТ.СЕБЕСТ.ВОДА за 1 пол. 2023'!ц</definedName>
    <definedName name="ц_10" localSheetId="21">'ФАКТ.СЕБЕСТ.СТОКИ за 1 пол.2023'!ц</definedName>
    <definedName name="ц_10" localSheetId="14">'Чистая прибыль с транспортир.23'!ц</definedName>
    <definedName name="ц_10">[0]!ц</definedName>
    <definedName name="ц_14" localSheetId="84">'А 2018'!ц</definedName>
    <definedName name="ц_14" localSheetId="66">'выпадающие расходы'!ц</definedName>
    <definedName name="ц_14" localSheetId="55">'ЗП с факт 3 кв. 2015'!ц</definedName>
    <definedName name="ц_14" localSheetId="24">'ПОЛНАЯ СЕБЕСТОИМОСТЬ ВОДА 2023'!ц</definedName>
    <definedName name="ц_14" localSheetId="22">'ПОЛНАЯ СЕБЕСТОИМОСТЬ СТОКИ 2023'!ц</definedName>
    <definedName name="ц_14" localSheetId="19">'Прил. 1 План ФХД вода 2023'!ц</definedName>
    <definedName name="ц_14" localSheetId="18">'Прил. 1 План ФХД стоки 2023'!ц</definedName>
    <definedName name="ц_14" localSheetId="17">'Прил. 1 План ФХД трансп. воды23'!ц</definedName>
    <definedName name="ц_14" localSheetId="15">'Прил.1 ПланФХД с транспортир.23'!ц</definedName>
    <definedName name="ц_14" localSheetId="16">'Прил.1 ПланФХД трансп. стоков23'!ц</definedName>
    <definedName name="ц_14" localSheetId="85">'Расчет товарной выручки 2018'!ц</definedName>
    <definedName name="ц_14" localSheetId="25">'Расчет товарной выручки 2019'!ц</definedName>
    <definedName name="ц_14" localSheetId="20">'Расчет товарной выручки 2023'!ц</definedName>
    <definedName name="ц_14" localSheetId="86">'рез к 2017-2023'!ц</definedName>
    <definedName name="ц_14" localSheetId="82">'рез к 2018-2024 (кор) '!ц</definedName>
    <definedName name="ц_14" localSheetId="13">'Текущий ремонт'!ц</definedName>
    <definedName name="ц_14" localSheetId="23">'ФАКТ.СЕБЕСТ.ВОДА за 1 пол. 2023'!ц</definedName>
    <definedName name="ц_14" localSheetId="21">'ФАКТ.СЕБЕСТ.СТОКИ за 1 пол.2023'!ц</definedName>
    <definedName name="ц_14" localSheetId="14">'Чистая прибыль с транспортир.23'!ц</definedName>
    <definedName name="ц_14">[0]!ц</definedName>
    <definedName name="ц_15" localSheetId="84">'А 2018'!ц</definedName>
    <definedName name="ц_15" localSheetId="66">'выпадающие расходы'!ц</definedName>
    <definedName name="ц_15" localSheetId="55">'ЗП с факт 3 кв. 2015'!ц</definedName>
    <definedName name="ц_15" localSheetId="24">'ПОЛНАЯ СЕБЕСТОИМОСТЬ ВОДА 2023'!ц</definedName>
    <definedName name="ц_15" localSheetId="22">'ПОЛНАЯ СЕБЕСТОИМОСТЬ СТОКИ 2023'!ц</definedName>
    <definedName name="ц_15" localSheetId="19">'Прил. 1 План ФХД вода 2023'!ц</definedName>
    <definedName name="ц_15" localSheetId="18">'Прил. 1 План ФХД стоки 2023'!ц</definedName>
    <definedName name="ц_15" localSheetId="17">'Прил. 1 План ФХД трансп. воды23'!ц</definedName>
    <definedName name="ц_15" localSheetId="15">'Прил.1 ПланФХД с транспортир.23'!ц</definedName>
    <definedName name="ц_15" localSheetId="16">'Прил.1 ПланФХД трансп. стоков23'!ц</definedName>
    <definedName name="ц_15" localSheetId="85">'Расчет товарной выручки 2018'!ц</definedName>
    <definedName name="ц_15" localSheetId="25">'Расчет товарной выручки 2019'!ц</definedName>
    <definedName name="ц_15" localSheetId="20">'Расчет товарной выручки 2023'!ц</definedName>
    <definedName name="ц_15" localSheetId="86">'рез к 2017-2023'!ц</definedName>
    <definedName name="ц_15" localSheetId="82">'рез к 2018-2024 (кор) '!ц</definedName>
    <definedName name="ц_15" localSheetId="13">'Текущий ремонт'!ц</definedName>
    <definedName name="ц_15" localSheetId="23">'ФАКТ.СЕБЕСТ.ВОДА за 1 пол. 2023'!ц</definedName>
    <definedName name="ц_15" localSheetId="21">'ФАКТ.СЕБЕСТ.СТОКИ за 1 пол.2023'!ц</definedName>
    <definedName name="ц_15" localSheetId="14">'Чистая прибыль с транспортир.23'!ц</definedName>
    <definedName name="ц_15">[0]!ц</definedName>
    <definedName name="ц_16" localSheetId="84">'А 2018'!ц</definedName>
    <definedName name="ц_16" localSheetId="66">'выпадающие расходы'!ц</definedName>
    <definedName name="ц_16" localSheetId="55">'ЗП с факт 3 кв. 2015'!ц</definedName>
    <definedName name="ц_16" localSheetId="24">'ПОЛНАЯ СЕБЕСТОИМОСТЬ ВОДА 2023'!ц</definedName>
    <definedName name="ц_16" localSheetId="22">'ПОЛНАЯ СЕБЕСТОИМОСТЬ СТОКИ 2023'!ц</definedName>
    <definedName name="ц_16" localSheetId="19">'Прил. 1 План ФХД вода 2023'!ц</definedName>
    <definedName name="ц_16" localSheetId="18">'Прил. 1 План ФХД стоки 2023'!ц</definedName>
    <definedName name="ц_16" localSheetId="17">'Прил. 1 План ФХД трансп. воды23'!ц</definedName>
    <definedName name="ц_16" localSheetId="15">'Прил.1 ПланФХД с транспортир.23'!ц</definedName>
    <definedName name="ц_16" localSheetId="16">'Прил.1 ПланФХД трансп. стоков23'!ц</definedName>
    <definedName name="ц_16" localSheetId="85">'Расчет товарной выручки 2018'!ц</definedName>
    <definedName name="ц_16" localSheetId="25">'Расчет товарной выручки 2019'!ц</definedName>
    <definedName name="ц_16" localSheetId="20">'Расчет товарной выручки 2023'!ц</definedName>
    <definedName name="ц_16" localSheetId="86">'рез к 2017-2023'!ц</definedName>
    <definedName name="ц_16" localSheetId="82">'рез к 2018-2024 (кор) '!ц</definedName>
    <definedName name="ц_16" localSheetId="13">'Текущий ремонт'!ц</definedName>
    <definedName name="ц_16" localSheetId="23">'ФАКТ.СЕБЕСТ.ВОДА за 1 пол. 2023'!ц</definedName>
    <definedName name="ц_16" localSheetId="21">'ФАКТ.СЕБЕСТ.СТОКИ за 1 пол.2023'!ц</definedName>
    <definedName name="ц_16" localSheetId="14">'Чистая прибыль с транспортир.23'!ц</definedName>
    <definedName name="ц_16">[0]!ц</definedName>
    <definedName name="ц_2" localSheetId="84">'А 2018'!ц</definedName>
    <definedName name="ц_2" localSheetId="66">'выпадающие расходы'!ц</definedName>
    <definedName name="ц_2" localSheetId="55">'ЗП с факт 3 кв. 2015'!ц</definedName>
    <definedName name="ц_2" localSheetId="24">'ПОЛНАЯ СЕБЕСТОИМОСТЬ ВОДА 2023'!ц</definedName>
    <definedName name="ц_2" localSheetId="22">'ПОЛНАЯ СЕБЕСТОИМОСТЬ СТОКИ 2023'!ц</definedName>
    <definedName name="ц_2" localSheetId="19">'Прил. 1 План ФХД вода 2023'!ц</definedName>
    <definedName name="ц_2" localSheetId="18">'Прил. 1 План ФХД стоки 2023'!ц</definedName>
    <definedName name="ц_2" localSheetId="17">'Прил. 1 План ФХД трансп. воды23'!ц</definedName>
    <definedName name="ц_2" localSheetId="15">'Прил.1 ПланФХД с транспортир.23'!ц</definedName>
    <definedName name="ц_2" localSheetId="16">'Прил.1 ПланФХД трансп. стоков23'!ц</definedName>
    <definedName name="ц_2" localSheetId="85">'Расчет товарной выручки 2018'!ц</definedName>
    <definedName name="ц_2" localSheetId="25">'Расчет товарной выручки 2019'!ц</definedName>
    <definedName name="ц_2" localSheetId="20">'Расчет товарной выручки 2023'!ц</definedName>
    <definedName name="ц_2" localSheetId="86">'рез к 2017-2023'!ц</definedName>
    <definedName name="ц_2" localSheetId="82">'рез к 2018-2024 (кор) '!ц</definedName>
    <definedName name="ц_2" localSheetId="13">'Текущий ремонт'!ц</definedName>
    <definedName name="ц_2" localSheetId="23">'ФАКТ.СЕБЕСТ.ВОДА за 1 пол. 2023'!ц</definedName>
    <definedName name="ц_2" localSheetId="21">'ФАКТ.СЕБЕСТ.СТОКИ за 1 пол.2023'!ц</definedName>
    <definedName name="ц_2" localSheetId="14">'Чистая прибыль с транспортир.23'!ц</definedName>
    <definedName name="ц_2">[0]!ц</definedName>
    <definedName name="цу" localSheetId="64">#REF!</definedName>
    <definedName name="цу" localSheetId="65">#REF!</definedName>
    <definedName name="цу" localSheetId="66">#REF!</definedName>
    <definedName name="цу" localSheetId="80">#REF!</definedName>
    <definedName name="цу" localSheetId="19">#REF!</definedName>
    <definedName name="цу" localSheetId="18">#REF!</definedName>
    <definedName name="цу" localSheetId="17">#REF!</definedName>
    <definedName name="цу" localSheetId="15">#REF!</definedName>
    <definedName name="цу" localSheetId="16">#REF!</definedName>
    <definedName name="цу" localSheetId="85">#REF!</definedName>
    <definedName name="цу" localSheetId="25">#REF!</definedName>
    <definedName name="цу" localSheetId="20">#REF!</definedName>
    <definedName name="цу" localSheetId="86">#REF!</definedName>
    <definedName name="цу" localSheetId="82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84">[11]Прибыль1!#REF!</definedName>
    <definedName name="чяыйфцуккееенен" localSheetId="64">[12]Прибыль1!#REF!</definedName>
    <definedName name="чяыйфцуккееенен" localSheetId="65">[12]Прибыль1!#REF!</definedName>
    <definedName name="чяыйфцуккееенен" localSheetId="66">[13]Прибыль1!#REF!</definedName>
    <definedName name="чяыйфцуккееенен" localSheetId="55">[12]Прибыль1!#REF!</definedName>
    <definedName name="чяыйфцуккееенен" localSheetId="80">[12]Прибыль1!#REF!</definedName>
    <definedName name="чяыйфцуккееенен" localSheetId="32">[12]Прибыль1!#REF!</definedName>
    <definedName name="чяыйфцуккееенен" localSheetId="24">[12]Прибыль1!#REF!</definedName>
    <definedName name="чяыйфцуккееенен" localSheetId="22">[12]Прибыль1!#REF!</definedName>
    <definedName name="чяыйфцуккееенен" localSheetId="19">[12]Прибыль1!#REF!</definedName>
    <definedName name="чяыйфцуккееенен" localSheetId="18">[12]Прибыль1!#REF!</definedName>
    <definedName name="чяыйфцуккееенен" localSheetId="17">[12]Прибыль1!#REF!</definedName>
    <definedName name="чяыйфцуккееенен" localSheetId="15">[12]Прибыль1!#REF!</definedName>
    <definedName name="чяыйфцуккееенен" localSheetId="16">[12]Прибыль1!#REF!</definedName>
    <definedName name="чяыйфцуккееенен" localSheetId="85">[13]Прибыль1!#REF!</definedName>
    <definedName name="чяыйфцуккееенен" localSheetId="25">[12]Прибыль1!#REF!</definedName>
    <definedName name="чяыйфцуккееенен" localSheetId="20">[13]Прибыль1!#REF!</definedName>
    <definedName name="чяыйфцуккееенен" localSheetId="86">[13]Прибыль1!#REF!</definedName>
    <definedName name="чяыйфцуккееенен" localSheetId="82">[13]Прибыль1!#REF!</definedName>
    <definedName name="чяыйфцуккееенен" localSheetId="31">[12]Прибыль1!#REF!</definedName>
    <definedName name="чяыйфцуккееенен" localSheetId="13">[12]Прибыль1!#REF!</definedName>
    <definedName name="чяыйфцуккееенен" localSheetId="30">[12]Прибыль1!#REF!</definedName>
    <definedName name="чяыйфцуккееенен" localSheetId="23">[12]Прибыль1!#REF!</definedName>
    <definedName name="чяыйфцуккееенен" localSheetId="21">[12]Прибыль1!#REF!</definedName>
    <definedName name="чяыйфцуккееенен" localSheetId="14">[12]Прибыль1!#REF!</definedName>
    <definedName name="чяыйфцуккееенен" localSheetId="38">[12]Прибыль1!#REF!</definedName>
    <definedName name="чяыйфцуккееенен">[12]Прибыль1!#REF!</definedName>
    <definedName name="ш" localSheetId="84">'А 2018'!про</definedName>
    <definedName name="ш" localSheetId="66">'выпадающие расходы'!про</definedName>
    <definedName name="ш" localSheetId="55">'ЗП с факт 3 кв. 2015'!про</definedName>
    <definedName name="ш" localSheetId="24">'ПОЛНАЯ СЕБЕСТОИМОСТЬ ВОДА 2023'!про</definedName>
    <definedName name="ш" localSheetId="22">'ПОЛНАЯ СЕБЕСТОИМОСТЬ СТОКИ 2023'!про</definedName>
    <definedName name="ш" localSheetId="19">'Прил. 1 План ФХД вода 2023'!про</definedName>
    <definedName name="ш" localSheetId="18">'Прил. 1 План ФХД стоки 2023'!про</definedName>
    <definedName name="ш" localSheetId="17">'Прил. 1 План ФХД трансп. воды23'!про</definedName>
    <definedName name="ш" localSheetId="15">'Прил.1 ПланФХД с транспортир.23'!про</definedName>
    <definedName name="ш" localSheetId="16">'Прил.1 ПланФХД трансп. стоков23'!про</definedName>
    <definedName name="ш" localSheetId="85">'Расчет товарной выручки 2018'!про</definedName>
    <definedName name="ш" localSheetId="25">'Расчет товарной выручки 2019'!про</definedName>
    <definedName name="ш" localSheetId="20">'Расчет товарной выручки 2023'!про</definedName>
    <definedName name="ш" localSheetId="86">'рез к 2017-2023'!про</definedName>
    <definedName name="ш" localSheetId="82">'рез к 2018-2024 (кор) '!про</definedName>
    <definedName name="ш" localSheetId="13">'Текущий ремонт'!про</definedName>
    <definedName name="ш" localSheetId="23">'ФАКТ.СЕБЕСТ.ВОДА за 1 пол. 2023'!про</definedName>
    <definedName name="ш" localSheetId="21">'ФАКТ.СЕБЕСТ.СТОКИ за 1 пол.2023'!про</definedName>
    <definedName name="ш" localSheetId="14">'Чистая прибыль с транспортир.23'!про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79021"/>
  <fileRecoveryPr autoRecover="0"/>
</workbook>
</file>

<file path=xl/calcChain.xml><?xml version="1.0" encoding="utf-8"?>
<calcChain xmlns="http://schemas.openxmlformats.org/spreadsheetml/2006/main">
  <c r="CK13" i="121" l="1"/>
  <c r="CM54" i="121" l="1"/>
  <c r="CL54" i="121"/>
  <c r="CK54" i="121"/>
  <c r="CJ54" i="121"/>
  <c r="CI54" i="121"/>
  <c r="CH54" i="121"/>
  <c r="CG54" i="121"/>
  <c r="CF54" i="121"/>
  <c r="CE54" i="121"/>
  <c r="CD54" i="121"/>
  <c r="CC54" i="121"/>
  <c r="CB54" i="121"/>
  <c r="CB42" i="123"/>
  <c r="AS47" i="122" l="1"/>
  <c r="AS23" i="122"/>
  <c r="AS85" i="122"/>
  <c r="AS87" i="122"/>
  <c r="AS72" i="122"/>
  <c r="AS66" i="122"/>
  <c r="AS64" i="122"/>
  <c r="AS75" i="120" l="1"/>
  <c r="AS34" i="120" l="1"/>
  <c r="AS95" i="120"/>
  <c r="AS109" i="120"/>
  <c r="AS120" i="120"/>
  <c r="AS103" i="120"/>
  <c r="AS57" i="120"/>
  <c r="AS86" i="120"/>
  <c r="AS125" i="120"/>
  <c r="AS96" i="120"/>
  <c r="AS135" i="120"/>
  <c r="AA117" i="122" l="1"/>
  <c r="AB117" i="122"/>
  <c r="AA150" i="120"/>
  <c r="AB150" i="120"/>
  <c r="AA23" i="122" l="1"/>
  <c r="AA85" i="122"/>
  <c r="AA57" i="122"/>
  <c r="AA78" i="122"/>
  <c r="AA72" i="122"/>
  <c r="AA67" i="122"/>
  <c r="AA87" i="122"/>
  <c r="AA71" i="122"/>
  <c r="AA66" i="122"/>
  <c r="AA56" i="122"/>
  <c r="AA64" i="122"/>
  <c r="AA47" i="122"/>
  <c r="AA25" i="122"/>
  <c r="AA27" i="122"/>
  <c r="AA97" i="122"/>
  <c r="AA99" i="122"/>
  <c r="AA103" i="122"/>
  <c r="AA51" i="122"/>
  <c r="AA39" i="120"/>
  <c r="AA87" i="120"/>
  <c r="AA34" i="120"/>
  <c r="AA95" i="120"/>
  <c r="AA109" i="120"/>
  <c r="AA103" i="120"/>
  <c r="AA57" i="120"/>
  <c r="AA75" i="120"/>
  <c r="AA124" i="120"/>
  <c r="AA96" i="120"/>
  <c r="AA59" i="120"/>
  <c r="AA72" i="120"/>
  <c r="AA131" i="120"/>
  <c r="AA135" i="120"/>
  <c r="AA127" i="120"/>
  <c r="X57" i="122" l="1"/>
  <c r="X115" i="122" l="1"/>
  <c r="X35" i="122"/>
  <c r="X72" i="122" l="1"/>
  <c r="X23" i="122"/>
  <c r="X85" i="122"/>
  <c r="X73" i="122"/>
  <c r="X78" i="122"/>
  <c r="X87" i="122"/>
  <c r="X47" i="122"/>
  <c r="X66" i="122"/>
  <c r="X65" i="122" s="1"/>
  <c r="X64" i="122"/>
  <c r="U64" i="122"/>
  <c r="X27" i="122"/>
  <c r="X97" i="122"/>
  <c r="X99" i="122"/>
  <c r="X103" i="122"/>
  <c r="X51" i="122"/>
  <c r="Y47" i="122"/>
  <c r="X125" i="120"/>
  <c r="X89" i="120"/>
  <c r="X75" i="120"/>
  <c r="X70" i="122" l="1"/>
  <c r="X49" i="122" s="1"/>
  <c r="X40" i="122" s="1"/>
  <c r="X63" i="120"/>
  <c r="X34" i="120"/>
  <c r="X95" i="120" l="1"/>
  <c r="X109" i="120"/>
  <c r="X120" i="120"/>
  <c r="X103" i="120"/>
  <c r="X57" i="120"/>
  <c r="X59" i="120"/>
  <c r="X87" i="120"/>
  <c r="X72" i="120"/>
  <c r="X131" i="120"/>
  <c r="X135" i="120"/>
  <c r="U85" i="122" l="1"/>
  <c r="U97" i="122"/>
  <c r="U103" i="122"/>
  <c r="U23" i="122"/>
  <c r="U76" i="122"/>
  <c r="U44" i="122"/>
  <c r="U73" i="122"/>
  <c r="U83" i="122"/>
  <c r="U61" i="122"/>
  <c r="U72" i="122"/>
  <c r="U45" i="122"/>
  <c r="U87" i="122"/>
  <c r="U71" i="122"/>
  <c r="U66" i="122"/>
  <c r="U47" i="122"/>
  <c r="U25" i="122"/>
  <c r="U27" i="122"/>
  <c r="U99" i="122"/>
  <c r="U51" i="122"/>
  <c r="U39" i="120"/>
  <c r="U63" i="120"/>
  <c r="U34" i="120"/>
  <c r="U95" i="120"/>
  <c r="U109" i="120"/>
  <c r="U99" i="120"/>
  <c r="U56" i="120"/>
  <c r="U120" i="120"/>
  <c r="U103" i="120"/>
  <c r="U89" i="120"/>
  <c r="U57" i="120"/>
  <c r="U59" i="120"/>
  <c r="U87" i="120"/>
  <c r="U72" i="120"/>
  <c r="U131" i="120"/>
  <c r="U125" i="120"/>
  <c r="U135" i="120"/>
  <c r="J117" i="122" l="1"/>
  <c r="J47" i="122"/>
  <c r="I117" i="122"/>
  <c r="I78" i="122"/>
  <c r="I47" i="122"/>
  <c r="I27" i="122"/>
  <c r="I99" i="122"/>
  <c r="I103" i="122"/>
  <c r="I51" i="122"/>
  <c r="I150" i="120"/>
  <c r="I63" i="120"/>
  <c r="I34" i="120"/>
  <c r="I103" i="120"/>
  <c r="I59" i="120"/>
  <c r="I72" i="120"/>
  <c r="I131" i="120"/>
  <c r="I127" i="120"/>
  <c r="M117" i="122" l="1"/>
  <c r="M47" i="122"/>
  <c r="L117" i="122" l="1"/>
  <c r="L99" i="122"/>
  <c r="L97" i="122"/>
  <c r="L27" i="122"/>
  <c r="L51" i="122"/>
  <c r="L64" i="122"/>
  <c r="L78" i="122"/>
  <c r="L83" i="122"/>
  <c r="L85" i="122"/>
  <c r="L72" i="122"/>
  <c r="L87" i="122"/>
  <c r="L76" i="122"/>
  <c r="L73" i="122"/>
  <c r="L66" i="122"/>
  <c r="L56" i="122"/>
  <c r="L47" i="122"/>
  <c r="L150" i="120" l="1"/>
  <c r="L63" i="120"/>
  <c r="L39" i="120"/>
  <c r="L34" i="120"/>
  <c r="L95" i="120"/>
  <c r="L109" i="120"/>
  <c r="L99" i="120"/>
  <c r="L80" i="120"/>
  <c r="L120" i="120"/>
  <c r="L103" i="120"/>
  <c r="L90" i="120"/>
  <c r="L89" i="120"/>
  <c r="L57" i="120"/>
  <c r="L96" i="120"/>
  <c r="L87" i="120"/>
  <c r="L59" i="120"/>
  <c r="L72" i="120"/>
  <c r="L131" i="120"/>
  <c r="L125" i="120"/>
  <c r="L135" i="120"/>
  <c r="L127" i="120"/>
  <c r="I72" i="122" l="1"/>
  <c r="I85" i="122"/>
  <c r="I67" i="122"/>
  <c r="I66" i="122"/>
  <c r="I64" i="122"/>
  <c r="I36" i="122"/>
  <c r="I125" i="120" l="1"/>
  <c r="I39" i="120"/>
  <c r="I95" i="120"/>
  <c r="I109" i="120"/>
  <c r="I89" i="120"/>
  <c r="I96" i="120"/>
  <c r="I87" i="120"/>
  <c r="I135" i="120"/>
  <c r="I123" i="120"/>
  <c r="G117" i="122" l="1"/>
  <c r="G47" i="122"/>
  <c r="F117" i="122"/>
  <c r="F78" i="122"/>
  <c r="F47" i="122"/>
  <c r="F27" i="122" l="1"/>
  <c r="F99" i="122"/>
  <c r="F103" i="122"/>
  <c r="F51" i="122"/>
  <c r="F63" i="120"/>
  <c r="F34" i="120"/>
  <c r="F103" i="120"/>
  <c r="F59" i="120"/>
  <c r="F72" i="120"/>
  <c r="F131" i="120"/>
  <c r="F127" i="120"/>
  <c r="L21" i="125" l="1"/>
  <c r="M21" i="125"/>
  <c r="N21" i="125"/>
  <c r="O21" i="125"/>
  <c r="P21" i="125"/>
  <c r="Q21" i="125"/>
  <c r="R21" i="125"/>
  <c r="S21" i="125"/>
  <c r="T21" i="125"/>
  <c r="U21" i="125"/>
  <c r="V21" i="125"/>
  <c r="W21" i="125"/>
  <c r="X21" i="125"/>
  <c r="Y21" i="125"/>
  <c r="Z21" i="125"/>
  <c r="AA21" i="125"/>
  <c r="AB21" i="125"/>
  <c r="AC21" i="125"/>
  <c r="AD21" i="125"/>
  <c r="AE21" i="125"/>
  <c r="AF21" i="125"/>
  <c r="FL15" i="121" l="1"/>
  <c r="DM39" i="121" l="1"/>
  <c r="DJ8" i="121"/>
  <c r="DK8" i="121"/>
  <c r="DJ9" i="121"/>
  <c r="DJ10" i="121" s="1"/>
  <c r="DK9" i="121"/>
  <c r="DK11" i="121" s="1"/>
  <c r="DJ15" i="121"/>
  <c r="DK15" i="121"/>
  <c r="DJ16" i="121"/>
  <c r="DK16" i="121"/>
  <c r="DJ18" i="121"/>
  <c r="DK18" i="121"/>
  <c r="DJ19" i="121"/>
  <c r="DK19" i="121"/>
  <c r="DJ20" i="121"/>
  <c r="DK20" i="121"/>
  <c r="DJ22" i="121"/>
  <c r="DK22" i="121"/>
  <c r="DJ23" i="121"/>
  <c r="DK23" i="121"/>
  <c r="H85" i="121"/>
  <c r="H89" i="121" s="1"/>
  <c r="H80" i="121"/>
  <c r="H79" i="121"/>
  <c r="H76" i="121"/>
  <c r="FK41" i="121"/>
  <c r="FM40" i="121"/>
  <c r="FL39" i="121"/>
  <c r="FL38" i="121"/>
  <c r="FL37" i="121"/>
  <c r="FM35" i="121"/>
  <c r="FM42" i="121" s="1"/>
  <c r="FL35" i="121"/>
  <c r="FL42" i="121" s="1"/>
  <c r="FK42" i="121" s="1"/>
  <c r="FB41" i="121"/>
  <c r="FD40" i="121"/>
  <c r="FC39" i="121"/>
  <c r="FC38" i="121"/>
  <c r="FC37" i="121"/>
  <c r="FD35" i="121"/>
  <c r="FD42" i="121" s="1"/>
  <c r="FC35" i="121"/>
  <c r="FC42" i="121" s="1"/>
  <c r="ES41" i="121"/>
  <c r="EU40" i="121"/>
  <c r="ET39" i="121"/>
  <c r="ET38" i="121"/>
  <c r="ET37" i="121"/>
  <c r="EU35" i="121"/>
  <c r="EU42" i="121" s="1"/>
  <c r="ET35" i="121"/>
  <c r="ET42" i="121" s="1"/>
  <c r="DL41" i="121"/>
  <c r="DN40" i="121"/>
  <c r="DM38" i="121"/>
  <c r="DM37" i="121"/>
  <c r="DN35" i="121"/>
  <c r="DN42" i="121" s="1"/>
  <c r="DM35" i="121"/>
  <c r="DM42" i="121" s="1"/>
  <c r="DL42" i="121" s="1"/>
  <c r="DC41" i="121"/>
  <c r="DE40" i="121"/>
  <c r="DD39" i="121"/>
  <c r="DD38" i="121"/>
  <c r="DD37" i="121"/>
  <c r="DE35" i="121"/>
  <c r="DE42" i="121" s="1"/>
  <c r="DD35" i="121"/>
  <c r="DD42" i="121" s="1"/>
  <c r="CT41" i="121"/>
  <c r="CV40" i="121"/>
  <c r="CU38" i="121"/>
  <c r="CU37" i="121"/>
  <c r="CV35" i="121"/>
  <c r="CV42" i="121" s="1"/>
  <c r="CU35" i="121"/>
  <c r="CU42" i="121" s="1"/>
  <c r="CT42" i="121" s="1"/>
  <c r="BM41" i="121"/>
  <c r="BO40" i="121"/>
  <c r="BN39" i="121"/>
  <c r="BN38" i="121"/>
  <c r="BN37" i="121"/>
  <c r="BO35" i="121"/>
  <c r="BO42" i="121" s="1"/>
  <c r="BN35" i="121"/>
  <c r="BN42" i="121" s="1"/>
  <c r="BM42" i="121" s="1"/>
  <c r="BD41" i="121"/>
  <c r="BF40" i="121"/>
  <c r="BE39" i="121"/>
  <c r="BE38" i="121"/>
  <c r="BE37" i="121"/>
  <c r="BF35" i="121"/>
  <c r="BF42" i="121" s="1"/>
  <c r="BE35" i="121"/>
  <c r="BE42" i="121" s="1"/>
  <c r="AU41" i="121"/>
  <c r="AW40" i="121"/>
  <c r="AV39" i="121"/>
  <c r="AV38" i="121"/>
  <c r="AV37" i="121"/>
  <c r="AW35" i="121"/>
  <c r="AW42" i="121" s="1"/>
  <c r="AV35" i="121"/>
  <c r="AV42" i="121" s="1"/>
  <c r="Z41" i="121"/>
  <c r="AB40" i="121"/>
  <c r="AA39" i="121"/>
  <c r="AA38" i="121"/>
  <c r="AA37" i="121"/>
  <c r="AB35" i="121"/>
  <c r="AB42" i="121" s="1"/>
  <c r="AA35" i="121"/>
  <c r="AA42" i="121" s="1"/>
  <c r="Z42" i="121" s="1"/>
  <c r="Q41" i="121"/>
  <c r="S40" i="121"/>
  <c r="R39" i="121"/>
  <c r="R38" i="121"/>
  <c r="R37" i="121"/>
  <c r="S35" i="121"/>
  <c r="S42" i="121" s="1"/>
  <c r="R35" i="121"/>
  <c r="R42" i="121" s="1"/>
  <c r="H41" i="121"/>
  <c r="J40" i="121"/>
  <c r="I39" i="121"/>
  <c r="I38" i="121"/>
  <c r="I37" i="121"/>
  <c r="J35" i="121"/>
  <c r="J42" i="121" s="1"/>
  <c r="I35" i="121"/>
  <c r="I42" i="121" s="1"/>
  <c r="S36" i="121" l="1"/>
  <c r="AV36" i="121"/>
  <c r="Q35" i="121"/>
  <c r="H42" i="121"/>
  <c r="Q42" i="121"/>
  <c r="BD42" i="121"/>
  <c r="DC42" i="121"/>
  <c r="FB42" i="121"/>
  <c r="AU35" i="121"/>
  <c r="ET36" i="121"/>
  <c r="DK21" i="121"/>
  <c r="DJ11" i="121"/>
  <c r="BN36" i="121"/>
  <c r="FL36" i="121"/>
  <c r="DJ21" i="121"/>
  <c r="DJ14" i="121" s="1"/>
  <c r="R36" i="121"/>
  <c r="AU42" i="121"/>
  <c r="ES42" i="121"/>
  <c r="DK14" i="121"/>
  <c r="DK12" i="121" s="1"/>
  <c r="DK13" i="121" s="1"/>
  <c r="DK10" i="121"/>
  <c r="CU39" i="121"/>
  <c r="H77" i="121"/>
  <c r="H78" i="121" s="1"/>
  <c r="H82" i="121"/>
  <c r="H81" i="121"/>
  <c r="FK35" i="121"/>
  <c r="FM36" i="121"/>
  <c r="FB35" i="121"/>
  <c r="FC36" i="121"/>
  <c r="FD36" i="121"/>
  <c r="ES35" i="121"/>
  <c r="EU36" i="121"/>
  <c r="DL35" i="121"/>
  <c r="DC35" i="121"/>
  <c r="DD36" i="121"/>
  <c r="DE36" i="121"/>
  <c r="CT35" i="121"/>
  <c r="CU36" i="121"/>
  <c r="CV36" i="121"/>
  <c r="BM35" i="121"/>
  <c r="BO36" i="121"/>
  <c r="BD35" i="121"/>
  <c r="BE36" i="121"/>
  <c r="BF36" i="121"/>
  <c r="AW36" i="121"/>
  <c r="Z35" i="121"/>
  <c r="AA36" i="121"/>
  <c r="AB36" i="121"/>
  <c r="H35" i="121"/>
  <c r="I36" i="121"/>
  <c r="J36" i="121"/>
  <c r="DJ12" i="121" l="1"/>
  <c r="DJ13" i="121" s="1"/>
  <c r="DM36" i="121"/>
  <c r="DN36" i="121"/>
  <c r="FV42" i="121"/>
  <c r="FU42" i="121"/>
  <c r="FT42" i="121"/>
  <c r="FP42" i="121"/>
  <c r="FO42" i="121"/>
  <c r="FN42" i="121"/>
  <c r="FV41" i="121"/>
  <c r="FU41" i="121"/>
  <c r="FT41" i="121"/>
  <c r="FS41" i="121"/>
  <c r="FR41" i="121"/>
  <c r="FP41" i="121"/>
  <c r="FO41" i="121"/>
  <c r="FN41" i="121"/>
  <c r="DW42" i="121"/>
  <c r="DV42" i="121"/>
  <c r="DU42" i="121"/>
  <c r="DQ42" i="121"/>
  <c r="DP42" i="121"/>
  <c r="DO42" i="121"/>
  <c r="DW41" i="121"/>
  <c r="DV41" i="121"/>
  <c r="DU41" i="121"/>
  <c r="DT41" i="121"/>
  <c r="DS41" i="121"/>
  <c r="DY41" i="121" s="1"/>
  <c r="DQ41" i="121"/>
  <c r="DP41" i="121"/>
  <c r="DO41" i="121"/>
  <c r="BX42" i="121"/>
  <c r="BW42" i="121"/>
  <c r="BV42" i="121"/>
  <c r="BR42" i="121"/>
  <c r="BQ42" i="121"/>
  <c r="CC42" i="121" s="1"/>
  <c r="BP42" i="121"/>
  <c r="BX41" i="121"/>
  <c r="BW41" i="121"/>
  <c r="BV41" i="121"/>
  <c r="BU41" i="121"/>
  <c r="BT41" i="121"/>
  <c r="BR41" i="121"/>
  <c r="BQ41" i="121"/>
  <c r="CC41" i="121" s="1"/>
  <c r="BP41" i="121"/>
  <c r="AK42" i="121"/>
  <c r="AJ42" i="121"/>
  <c r="AI42" i="121"/>
  <c r="AE42" i="121"/>
  <c r="AD42" i="121"/>
  <c r="AC42" i="121"/>
  <c r="AK41" i="121"/>
  <c r="AJ41" i="121"/>
  <c r="AI41" i="121"/>
  <c r="AH41" i="121"/>
  <c r="AG41" i="121"/>
  <c r="AM41" i="121" s="1"/>
  <c r="AE41" i="121"/>
  <c r="AD41" i="121"/>
  <c r="AC41" i="121"/>
  <c r="FH41" i="121"/>
  <c r="EY41" i="121"/>
  <c r="EP41" i="121"/>
  <c r="DI41" i="121"/>
  <c r="CZ41" i="121"/>
  <c r="CQ41" i="121"/>
  <c r="BJ41" i="121"/>
  <c r="BA41" i="121"/>
  <c r="AR41" i="121"/>
  <c r="BS41" i="121" s="1"/>
  <c r="W41" i="121"/>
  <c r="N41" i="121"/>
  <c r="E41" i="121"/>
  <c r="FQ41" i="121" l="1"/>
  <c r="DR41" i="121"/>
  <c r="CB41" i="121"/>
  <c r="CA41" i="121"/>
  <c r="CB42" i="121"/>
  <c r="EA42" i="121" s="1"/>
  <c r="FZ42" i="121" s="1"/>
  <c r="DZ41" i="121"/>
  <c r="FY41" i="121"/>
  <c r="GA41" i="121"/>
  <c r="AN41" i="121"/>
  <c r="CD41" i="121"/>
  <c r="CD42" i="121"/>
  <c r="EA41" i="121"/>
  <c r="FZ41" i="121" s="1"/>
  <c r="AF41" i="121"/>
  <c r="AL41" i="121" s="1"/>
  <c r="EB41" i="121"/>
  <c r="EB42" i="121"/>
  <c r="GA42" i="121" s="1"/>
  <c r="FW41" i="121"/>
  <c r="CF41" i="121"/>
  <c r="CL41" i="121" s="1"/>
  <c r="H83" i="121"/>
  <c r="H84" i="121" s="1"/>
  <c r="CI41" i="121"/>
  <c r="CJ41" i="121"/>
  <c r="EI41" i="121" s="1"/>
  <c r="GH41" i="121" s="1"/>
  <c r="CI42" i="121"/>
  <c r="EH42" i="121" s="1"/>
  <c r="GG42" i="121" s="1"/>
  <c r="EH41" i="121"/>
  <c r="GG41" i="121" s="1"/>
  <c r="CH41" i="121"/>
  <c r="EG41" i="121" s="1"/>
  <c r="GF41" i="121" s="1"/>
  <c r="CJ42" i="121"/>
  <c r="EI42" i="121" s="1"/>
  <c r="GH42" i="121" s="1"/>
  <c r="CH42" i="121"/>
  <c r="EG42" i="121" s="1"/>
  <c r="GF42" i="121" s="1"/>
  <c r="FX41" i="121"/>
  <c r="DX41" i="121"/>
  <c r="EC41" i="121"/>
  <c r="GB41" i="121" s="1"/>
  <c r="EC42" i="121"/>
  <c r="GB42" i="121" s="1"/>
  <c r="BY41" i="121"/>
  <c r="CG41" i="121"/>
  <c r="CM41" i="121" s="1"/>
  <c r="BZ41" i="121"/>
  <c r="F72" i="122"/>
  <c r="F66" i="122"/>
  <c r="F65" i="122"/>
  <c r="F28" i="122"/>
  <c r="CE41" i="121" l="1"/>
  <c r="EF41" i="121"/>
  <c r="GE41" i="121" s="1"/>
  <c r="GK41" i="121" s="1"/>
  <c r="EE41" i="121"/>
  <c r="EK41" i="121" s="1"/>
  <c r="EL41" i="121"/>
  <c r="F100" i="120"/>
  <c r="F85" i="122"/>
  <c r="F64" i="122"/>
  <c r="F75" i="120"/>
  <c r="F95" i="120"/>
  <c r="F109" i="120"/>
  <c r="F120" i="120"/>
  <c r="CK41" i="121" l="1"/>
  <c r="ED41" i="121"/>
  <c r="GD41" i="121"/>
  <c r="GJ41" i="121" s="1"/>
  <c r="F89" i="120"/>
  <c r="F57" i="120"/>
  <c r="F87" i="120"/>
  <c r="F125" i="120"/>
  <c r="F96" i="120"/>
  <c r="F135" i="120"/>
  <c r="GC41" i="121" l="1"/>
  <c r="GI41" i="121" s="1"/>
  <c r="EJ41" i="121"/>
  <c r="FL63" i="123"/>
  <c r="BK46" i="65" l="1"/>
  <c r="BJ46" i="65"/>
  <c r="EO142" i="8" l="1"/>
  <c r="BD18" i="66" s="1"/>
  <c r="ER142" i="8"/>
  <c r="BE18" i="66" s="1"/>
  <c r="EQ98" i="8"/>
  <c r="EN98" i="8"/>
  <c r="EM190" i="7"/>
  <c r="EL190" i="7"/>
  <c r="EQ69" i="8"/>
  <c r="EN69" i="8"/>
  <c r="EQ66" i="8"/>
  <c r="ER66" i="8"/>
  <c r="EO66" i="8"/>
  <c r="ER69" i="8"/>
  <c r="EO69" i="8"/>
  <c r="EM76" i="7"/>
  <c r="EJ76" i="7"/>
  <c r="EL79" i="7"/>
  <c r="EL78" i="7"/>
  <c r="EL76" i="7"/>
  <c r="EI76" i="7"/>
  <c r="EI79" i="7"/>
  <c r="EI78" i="7"/>
  <c r="BZ36" i="61" l="1"/>
  <c r="BY36" i="61"/>
  <c r="BZ22" i="61"/>
  <c r="BY22" i="61"/>
  <c r="BZ19" i="61"/>
  <c r="BY19" i="61"/>
  <c r="EQ41" i="8" l="1"/>
  <c r="EN41" i="8"/>
  <c r="EQ38" i="8"/>
  <c r="EN38" i="8"/>
  <c r="EQ37" i="8"/>
  <c r="EN37" i="8"/>
  <c r="EQ35" i="8"/>
  <c r="EN35" i="8"/>
  <c r="EQ33" i="8"/>
  <c r="EN33" i="8"/>
  <c r="EQ32" i="8"/>
  <c r="EN32" i="8"/>
  <c r="EQ29" i="8"/>
  <c r="EN29" i="8"/>
  <c r="EQ28" i="8"/>
  <c r="EN28" i="8"/>
  <c r="EQ26" i="8"/>
  <c r="EN26" i="8"/>
  <c r="ER23" i="8"/>
  <c r="EO23" i="8"/>
  <c r="EQ23" i="8"/>
  <c r="EN23" i="8"/>
  <c r="EQ22" i="8"/>
  <c r="EN22" i="8"/>
  <c r="EQ20" i="8"/>
  <c r="EN20" i="8"/>
  <c r="ER18" i="8"/>
  <c r="EO18" i="8"/>
  <c r="EQ18" i="8"/>
  <c r="EN18" i="8"/>
  <c r="EQ51" i="8"/>
  <c r="EN51" i="8"/>
  <c r="EQ16" i="8"/>
  <c r="EN16" i="8"/>
  <c r="EQ13" i="8"/>
  <c r="EN13" i="8"/>
  <c r="EQ12" i="8"/>
  <c r="EN12" i="8"/>
  <c r="EQ10" i="8"/>
  <c r="EN10" i="8"/>
  <c r="EQ9" i="8"/>
  <c r="EQ138" i="8" s="1"/>
  <c r="BK12" i="65" s="1"/>
  <c r="EN9" i="8"/>
  <c r="EN138" i="8" s="1"/>
  <c r="BJ12" i="65" s="1"/>
  <c r="EM145" i="7"/>
  <c r="EJ145" i="7"/>
  <c r="EM147" i="7"/>
  <c r="EL147" i="7"/>
  <c r="EJ147" i="7"/>
  <c r="EI147" i="7"/>
  <c r="EN34" i="8" l="1"/>
  <c r="EQ34" i="8"/>
  <c r="EN97" i="8"/>
  <c r="EI58" i="7"/>
  <c r="EI57" i="7"/>
  <c r="EI56" i="7"/>
  <c r="EI54" i="7"/>
  <c r="EI53" i="7"/>
  <c r="EL42" i="7"/>
  <c r="EI42" i="7"/>
  <c r="EL39" i="7"/>
  <c r="EI39" i="7"/>
  <c r="EL38" i="7"/>
  <c r="EI38" i="7"/>
  <c r="EL36" i="7"/>
  <c r="EI36" i="7"/>
  <c r="EL34" i="7"/>
  <c r="EI34" i="7"/>
  <c r="EL31" i="7"/>
  <c r="EI31" i="7"/>
  <c r="EL29" i="7"/>
  <c r="EI29" i="7"/>
  <c r="EL28" i="7"/>
  <c r="EI28" i="7"/>
  <c r="EL48" i="7"/>
  <c r="EI48" i="7"/>
  <c r="EL46" i="7"/>
  <c r="EI46" i="7"/>
  <c r="EL44" i="7"/>
  <c r="EI44" i="7"/>
  <c r="EL23" i="7"/>
  <c r="EI23" i="7"/>
  <c r="EL22" i="7"/>
  <c r="EI22" i="7"/>
  <c r="EL20" i="7"/>
  <c r="EI20" i="7"/>
  <c r="EL16" i="7" l="1"/>
  <c r="EI16" i="7"/>
  <c r="EM13" i="7"/>
  <c r="EL13" i="7"/>
  <c r="EJ13" i="7"/>
  <c r="EI13" i="7"/>
  <c r="EL12" i="7"/>
  <c r="EI12" i="7"/>
  <c r="EL10" i="7"/>
  <c r="EI10" i="7"/>
  <c r="AE14" i="92"/>
  <c r="AE16" i="92" s="1"/>
  <c r="AK27" i="104" s="1"/>
  <c r="AK31" i="104" s="1"/>
  <c r="AD14" i="92"/>
  <c r="AD16" i="92" s="1"/>
  <c r="AJ27" i="104" s="1"/>
  <c r="AJ31" i="104" s="1"/>
  <c r="AE8" i="92"/>
  <c r="AD8" i="92"/>
  <c r="CJ69" i="32"/>
  <c r="CI68" i="32"/>
  <c r="CI67" i="32"/>
  <c r="CH66" i="32"/>
  <c r="CH65" i="32"/>
  <c r="CJ65" i="32" s="1"/>
  <c r="CJ72" i="32" s="1"/>
  <c r="CH64" i="32"/>
  <c r="CJ64" i="32" s="1"/>
  <c r="CH63" i="32"/>
  <c r="CJ63" i="32" s="1"/>
  <c r="CH62" i="32"/>
  <c r="CG69" i="32"/>
  <c r="CF68" i="32"/>
  <c r="CF67" i="32"/>
  <c r="CE66" i="32"/>
  <c r="CE65" i="32"/>
  <c r="CG65" i="32" s="1"/>
  <c r="CG72" i="32" s="1"/>
  <c r="CE64" i="32"/>
  <c r="CG64" i="32" s="1"/>
  <c r="CE63" i="32"/>
  <c r="CG63" i="32" s="1"/>
  <c r="CE62" i="32"/>
  <c r="CG62" i="32" s="1"/>
  <c r="AK23" i="104"/>
  <c r="AJ23" i="104"/>
  <c r="AL15" i="102"/>
  <c r="AL9" i="102"/>
  <c r="AK15" i="102"/>
  <c r="AK9" i="102"/>
  <c r="W10" i="103"/>
  <c r="V10" i="103"/>
  <c r="M23" i="142"/>
  <c r="L23" i="142"/>
  <c r="K23" i="142"/>
  <c r="J23" i="142"/>
  <c r="I23" i="142"/>
  <c r="H23" i="142"/>
  <c r="G22" i="142"/>
  <c r="F22" i="142"/>
  <c r="C22" i="142"/>
  <c r="P22" i="142" s="1"/>
  <c r="B22" i="142"/>
  <c r="G21" i="142"/>
  <c r="F21" i="142"/>
  <c r="E21" i="142"/>
  <c r="D21" i="142"/>
  <c r="C21" i="142"/>
  <c r="B21" i="142"/>
  <c r="G20" i="142"/>
  <c r="G23" i="142" s="1"/>
  <c r="F20" i="142"/>
  <c r="E20" i="142"/>
  <c r="D20" i="142"/>
  <c r="C20" i="142"/>
  <c r="B20" i="142"/>
  <c r="M18" i="142"/>
  <c r="L18" i="142"/>
  <c r="K18" i="142"/>
  <c r="J18" i="142"/>
  <c r="I18" i="142"/>
  <c r="H18" i="142"/>
  <c r="G17" i="142"/>
  <c r="F17" i="142"/>
  <c r="E17" i="142"/>
  <c r="D17" i="142"/>
  <c r="C17" i="142"/>
  <c r="B17" i="142"/>
  <c r="G16" i="142"/>
  <c r="F16" i="142"/>
  <c r="E16" i="142"/>
  <c r="D16" i="142"/>
  <c r="C16" i="142"/>
  <c r="B16" i="142"/>
  <c r="G15" i="142"/>
  <c r="F15" i="142"/>
  <c r="E15" i="142"/>
  <c r="D15" i="142"/>
  <c r="M13" i="142"/>
  <c r="L13" i="142"/>
  <c r="K13" i="142"/>
  <c r="J13" i="142"/>
  <c r="I13" i="142"/>
  <c r="H13" i="142"/>
  <c r="G12" i="142"/>
  <c r="F12" i="142"/>
  <c r="E12" i="142"/>
  <c r="D12" i="142"/>
  <c r="C12" i="142"/>
  <c r="B12" i="142"/>
  <c r="G11" i="142"/>
  <c r="F11" i="142"/>
  <c r="E11" i="142"/>
  <c r="D11" i="142"/>
  <c r="C11" i="142"/>
  <c r="B11" i="142"/>
  <c r="G10" i="142"/>
  <c r="F10" i="142"/>
  <c r="E10" i="142"/>
  <c r="D10" i="142"/>
  <c r="C10" i="142"/>
  <c r="B10" i="142"/>
  <c r="M9" i="142"/>
  <c r="L9" i="142"/>
  <c r="L14" i="142" s="1"/>
  <c r="K9" i="142"/>
  <c r="K14" i="142" s="1"/>
  <c r="K19" i="142" s="1"/>
  <c r="K24" i="142" s="1"/>
  <c r="J9" i="142"/>
  <c r="J14" i="142" s="1"/>
  <c r="I9" i="142"/>
  <c r="H9" i="142"/>
  <c r="H14" i="142" s="1"/>
  <c r="G8" i="142"/>
  <c r="F8" i="142"/>
  <c r="E8" i="142"/>
  <c r="D8" i="142"/>
  <c r="C8" i="142"/>
  <c r="P8" i="142" s="1"/>
  <c r="B8" i="142"/>
  <c r="G7" i="142"/>
  <c r="F7" i="142"/>
  <c r="E7" i="142"/>
  <c r="D7" i="142"/>
  <c r="C7" i="142"/>
  <c r="B7" i="142"/>
  <c r="G6" i="142"/>
  <c r="F6" i="142"/>
  <c r="E6" i="142"/>
  <c r="D6" i="142"/>
  <c r="C6" i="142"/>
  <c r="B6" i="142"/>
  <c r="J51" i="142"/>
  <c r="I51" i="142"/>
  <c r="G51" i="142"/>
  <c r="F51" i="142"/>
  <c r="D51" i="142"/>
  <c r="C51" i="142"/>
  <c r="M50" i="142"/>
  <c r="K50" i="142" s="1"/>
  <c r="L50" i="142"/>
  <c r="H50" i="142"/>
  <c r="E50" i="142"/>
  <c r="B50" i="142"/>
  <c r="M49" i="142"/>
  <c r="L49" i="142"/>
  <c r="H49" i="142"/>
  <c r="E49" i="142"/>
  <c r="B49" i="142"/>
  <c r="M48" i="142"/>
  <c r="L48" i="142"/>
  <c r="H48" i="142"/>
  <c r="E48" i="142"/>
  <c r="B48" i="142"/>
  <c r="J46" i="142"/>
  <c r="I46" i="142"/>
  <c r="G46" i="142"/>
  <c r="F46" i="142"/>
  <c r="D46" i="142"/>
  <c r="C46" i="142"/>
  <c r="M45" i="142"/>
  <c r="L45" i="142"/>
  <c r="H45" i="142"/>
  <c r="E45" i="142"/>
  <c r="B45" i="142"/>
  <c r="M44" i="142"/>
  <c r="L44" i="142"/>
  <c r="K44" i="142" s="1"/>
  <c r="H44" i="142"/>
  <c r="E44" i="142"/>
  <c r="B44" i="142"/>
  <c r="M43" i="142"/>
  <c r="L43" i="142"/>
  <c r="H43" i="142"/>
  <c r="E43" i="142"/>
  <c r="B43" i="142"/>
  <c r="J41" i="142"/>
  <c r="H41" i="142" s="1"/>
  <c r="I41" i="142"/>
  <c r="G41" i="142"/>
  <c r="F41" i="142"/>
  <c r="D41" i="142"/>
  <c r="C41" i="142"/>
  <c r="M40" i="142"/>
  <c r="L40" i="142"/>
  <c r="H40" i="142"/>
  <c r="E40" i="142"/>
  <c r="B40" i="142"/>
  <c r="M39" i="142"/>
  <c r="L39" i="142"/>
  <c r="H39" i="142"/>
  <c r="E39" i="142"/>
  <c r="B39" i="142"/>
  <c r="M38" i="142"/>
  <c r="L38" i="142"/>
  <c r="H38" i="142"/>
  <c r="E38" i="142"/>
  <c r="B38" i="142"/>
  <c r="G37" i="142"/>
  <c r="F37" i="142"/>
  <c r="D37" i="142"/>
  <c r="D42" i="142" s="1"/>
  <c r="C37" i="142"/>
  <c r="M36" i="142"/>
  <c r="L36" i="142"/>
  <c r="H36" i="142"/>
  <c r="E36" i="142"/>
  <c r="B36" i="142"/>
  <c r="J35" i="142"/>
  <c r="M35" i="142" s="1"/>
  <c r="I35" i="142"/>
  <c r="E35" i="142"/>
  <c r="B35" i="142"/>
  <c r="M34" i="142"/>
  <c r="L34" i="142"/>
  <c r="H34" i="142"/>
  <c r="E34" i="142"/>
  <c r="B34" i="142"/>
  <c r="AG10" i="100"/>
  <c r="EL47" i="7" s="1"/>
  <c r="EL145" i="7" s="1"/>
  <c r="AF10" i="100"/>
  <c r="EI47" i="7" s="1"/>
  <c r="EI145" i="7" s="1"/>
  <c r="FS14" i="19"/>
  <c r="FS13" i="19" s="1"/>
  <c r="FQ14" i="19"/>
  <c r="FQ13" i="19" s="1"/>
  <c r="FO14" i="19"/>
  <c r="FP14" i="19" s="1"/>
  <c r="FP13" i="19" s="1"/>
  <c r="FV43" i="19"/>
  <c r="FR14" i="19" l="1"/>
  <c r="FR13" i="19" s="1"/>
  <c r="K34" i="142"/>
  <c r="B9" i="142"/>
  <c r="J19" i="142"/>
  <c r="J24" i="142" s="1"/>
  <c r="B13" i="142"/>
  <c r="F13" i="142"/>
  <c r="N11" i="142"/>
  <c r="N12" i="142"/>
  <c r="O12" i="142" s="1"/>
  <c r="B18" i="142"/>
  <c r="H46" i="142"/>
  <c r="C13" i="142"/>
  <c r="G13" i="142"/>
  <c r="P13" i="142" s="1"/>
  <c r="P12" i="142"/>
  <c r="P15" i="142"/>
  <c r="P16" i="142"/>
  <c r="K36" i="142"/>
  <c r="K40" i="142"/>
  <c r="L51" i="142"/>
  <c r="FO13" i="19"/>
  <c r="B37" i="142"/>
  <c r="C42" i="142"/>
  <c r="C47" i="142" s="1"/>
  <c r="C52" i="142" s="1"/>
  <c r="K48" i="142"/>
  <c r="N7" i="142"/>
  <c r="N8" i="142"/>
  <c r="H19" i="142"/>
  <c r="H24" i="142" s="1"/>
  <c r="L19" i="142"/>
  <c r="L24" i="142" s="1"/>
  <c r="F18" i="142"/>
  <c r="N16" i="142"/>
  <c r="F42" i="142"/>
  <c r="F47" i="142" s="1"/>
  <c r="F52" i="142" s="1"/>
  <c r="E41" i="142"/>
  <c r="B46" i="142"/>
  <c r="H35" i="142"/>
  <c r="M41" i="142"/>
  <c r="K45" i="142"/>
  <c r="E46" i="142"/>
  <c r="K49" i="142"/>
  <c r="H51" i="142"/>
  <c r="E9" i="142"/>
  <c r="P7" i="142"/>
  <c r="O7" i="142" s="1"/>
  <c r="G18" i="142"/>
  <c r="D9" i="142"/>
  <c r="AK13" i="102"/>
  <c r="EN142" i="8"/>
  <c r="BJ16" i="65" s="1"/>
  <c r="FT14" i="19"/>
  <c r="FT13" i="19" s="1"/>
  <c r="K39" i="142"/>
  <c r="B41" i="142"/>
  <c r="F9" i="142"/>
  <c r="F14" i="142" s="1"/>
  <c r="F19" i="142" s="1"/>
  <c r="N10" i="142"/>
  <c r="AL7" i="102"/>
  <c r="BZ18" i="61"/>
  <c r="C23" i="142"/>
  <c r="L35" i="142"/>
  <c r="L37" i="142" s="1"/>
  <c r="I37" i="142"/>
  <c r="I42" i="142" s="1"/>
  <c r="I47" i="142" s="1"/>
  <c r="I52" i="142" s="1"/>
  <c r="K38" i="142"/>
  <c r="L46" i="142"/>
  <c r="E51" i="142"/>
  <c r="C9" i="142"/>
  <c r="G9" i="142"/>
  <c r="I14" i="142"/>
  <c r="I19" i="142" s="1"/>
  <c r="I24" i="142" s="1"/>
  <c r="M14" i="142"/>
  <c r="M19" i="142" s="1"/>
  <c r="M24" i="142" s="1"/>
  <c r="E13" i="142"/>
  <c r="P11" i="142"/>
  <c r="O11" i="142" s="1"/>
  <c r="N15" i="142"/>
  <c r="P17" i="142"/>
  <c r="O17" i="142" s="1"/>
  <c r="E23" i="142"/>
  <c r="P21" i="142"/>
  <c r="AL13" i="102"/>
  <c r="AL23" i="102" s="1"/>
  <c r="EQ142" i="8"/>
  <c r="BK16" i="65" s="1"/>
  <c r="CE67" i="32"/>
  <c r="CH61" i="32"/>
  <c r="CH70" i="32" s="1"/>
  <c r="E37" i="142"/>
  <c r="L41" i="142"/>
  <c r="K41" i="142" s="1"/>
  <c r="K43" i="142"/>
  <c r="M51" i="142"/>
  <c r="K51" i="142" s="1"/>
  <c r="B51" i="142"/>
  <c r="O8" i="142"/>
  <c r="E18" i="142"/>
  <c r="N17" i="142"/>
  <c r="C18" i="142"/>
  <c r="N20" i="142"/>
  <c r="F23" i="142"/>
  <c r="D23" i="142"/>
  <c r="N22" i="142"/>
  <c r="O22" i="142" s="1"/>
  <c r="AK7" i="102"/>
  <c r="BY18" i="61"/>
  <c r="CE61" i="32"/>
  <c r="CE70" i="32" s="1"/>
  <c r="CJ62" i="32"/>
  <c r="CH67" i="32"/>
  <c r="CJ67" i="32" s="1"/>
  <c r="CG67" i="32"/>
  <c r="CG70" i="32" s="1"/>
  <c r="CE68" i="32"/>
  <c r="CG68" i="32" s="1"/>
  <c r="CG73" i="32" s="1"/>
  <c r="AK23" i="102"/>
  <c r="B14" i="142"/>
  <c r="P9" i="142"/>
  <c r="C14" i="142"/>
  <c r="O15" i="142"/>
  <c r="E14" i="142"/>
  <c r="E19" i="142" s="1"/>
  <c r="E24" i="142" s="1"/>
  <c r="O16" i="142"/>
  <c r="P23" i="142"/>
  <c r="N6" i="142"/>
  <c r="P10" i="142"/>
  <c r="D18" i="142"/>
  <c r="N18" i="142" s="1"/>
  <c r="P20" i="142"/>
  <c r="N21" i="142"/>
  <c r="O21" i="142" s="1"/>
  <c r="D13" i="142"/>
  <c r="N13" i="142" s="1"/>
  <c r="B23" i="142"/>
  <c r="N23" i="142" s="1"/>
  <c r="P6" i="142"/>
  <c r="D47" i="142"/>
  <c r="B42" i="142"/>
  <c r="M37" i="142"/>
  <c r="M46" i="142"/>
  <c r="K46" i="142" s="1"/>
  <c r="G42" i="142"/>
  <c r="J37" i="142"/>
  <c r="FS43" i="19"/>
  <c r="FU43" i="19"/>
  <c r="FT43" i="19"/>
  <c r="FQ43" i="19"/>
  <c r="FP43" i="19"/>
  <c r="FS34" i="19"/>
  <c r="FV34" i="19"/>
  <c r="FU34" i="19"/>
  <c r="FT34" i="19"/>
  <c r="FS16" i="19"/>
  <c r="FS49" i="19" s="1"/>
  <c r="FV16" i="19"/>
  <c r="FV49" i="19" s="1"/>
  <c r="FU16" i="19"/>
  <c r="FT16" i="19"/>
  <c r="FO16" i="19"/>
  <c r="FO49" i="19" s="1"/>
  <c r="FR16" i="19"/>
  <c r="FR49" i="19" s="1"/>
  <c r="FQ16" i="19"/>
  <c r="FP16" i="19"/>
  <c r="FU49" i="19"/>
  <c r="FP49" i="19"/>
  <c r="FV12" i="19"/>
  <c r="FU12" i="19"/>
  <c r="FT12" i="19"/>
  <c r="FS12" i="19"/>
  <c r="FR12" i="19"/>
  <c r="FP12" i="19"/>
  <c r="FO12" i="19"/>
  <c r="W55" i="97"/>
  <c r="W56" i="97" s="1"/>
  <c r="W50" i="97"/>
  <c r="V50" i="97"/>
  <c r="AB32" i="111"/>
  <c r="AA32" i="111"/>
  <c r="AB26" i="111"/>
  <c r="AA26" i="111"/>
  <c r="EX32" i="17"/>
  <c r="EU36" i="17"/>
  <c r="EU35" i="17"/>
  <c r="EU34" i="17"/>
  <c r="EU33" i="17"/>
  <c r="EU32" i="17"/>
  <c r="EU30" i="17"/>
  <c r="EU29" i="17"/>
  <c r="EU28" i="17"/>
  <c r="EU27" i="17"/>
  <c r="EU26" i="17"/>
  <c r="EU25" i="17"/>
  <c r="EX36" i="17"/>
  <c r="EX35" i="17"/>
  <c r="EX34" i="17"/>
  <c r="EX33" i="17"/>
  <c r="EY31" i="17"/>
  <c r="EW31" i="17"/>
  <c r="EX30" i="17"/>
  <c r="EX29" i="17"/>
  <c r="EX28" i="17"/>
  <c r="EX27" i="17"/>
  <c r="EX26" i="17"/>
  <c r="EX25" i="17"/>
  <c r="EY24" i="17"/>
  <c r="EW24" i="17"/>
  <c r="EV31" i="17"/>
  <c r="ET31" i="17"/>
  <c r="EV24" i="17"/>
  <c r="ET24" i="17"/>
  <c r="AE41" i="96"/>
  <c r="AD41" i="96"/>
  <c r="AE67" i="96"/>
  <c r="EQ19" i="8" s="1"/>
  <c r="AD67" i="96"/>
  <c r="EN19" i="8" s="1"/>
  <c r="AE64" i="96"/>
  <c r="AD64" i="96"/>
  <c r="AE59" i="96"/>
  <c r="AD59" i="96"/>
  <c r="AE54" i="96"/>
  <c r="AD54" i="96"/>
  <c r="AE49" i="96"/>
  <c r="AD49" i="96"/>
  <c r="AE36" i="96"/>
  <c r="AD36" i="96"/>
  <c r="AE31" i="96"/>
  <c r="AD31" i="96"/>
  <c r="AE26" i="96"/>
  <c r="AD26" i="96"/>
  <c r="AE21" i="96"/>
  <c r="AD21" i="96"/>
  <c r="AE16" i="96"/>
  <c r="AD16" i="96"/>
  <c r="AE11" i="96"/>
  <c r="AD11" i="96"/>
  <c r="EU24" i="17" l="1"/>
  <c r="P18" i="142"/>
  <c r="F24" i="142"/>
  <c r="EU31" i="17"/>
  <c r="EU40" i="17" s="1"/>
  <c r="FT49" i="19"/>
  <c r="G14" i="142"/>
  <c r="K35" i="142"/>
  <c r="O6" i="142"/>
  <c r="O20" i="142"/>
  <c r="G19" i="142"/>
  <c r="G24" i="142" s="1"/>
  <c r="L42" i="142"/>
  <c r="L47" i="142" s="1"/>
  <c r="L52" i="142" s="1"/>
  <c r="EL59" i="7"/>
  <c r="FS50" i="19"/>
  <c r="EM59" i="7"/>
  <c r="FT50" i="19"/>
  <c r="EO47" i="8"/>
  <c r="ER47" i="8"/>
  <c r="FV50" i="19"/>
  <c r="EJ59" i="7"/>
  <c r="EU38" i="17"/>
  <c r="O10" i="142"/>
  <c r="EQ47" i="8"/>
  <c r="FU50" i="19"/>
  <c r="EI59" i="7"/>
  <c r="N9" i="142"/>
  <c r="O9" i="142" s="1"/>
  <c r="CJ70" i="32"/>
  <c r="CH68" i="32"/>
  <c r="CJ68" i="32" s="1"/>
  <c r="CJ73" i="32" s="1"/>
  <c r="O23" i="142"/>
  <c r="D14" i="142"/>
  <c r="D19" i="142" s="1"/>
  <c r="D24" i="142" s="1"/>
  <c r="O13" i="142"/>
  <c r="O18" i="142"/>
  <c r="C19" i="142"/>
  <c r="P14" i="142"/>
  <c r="B19" i="142"/>
  <c r="M42" i="142"/>
  <c r="K37" i="142"/>
  <c r="G47" i="142"/>
  <c r="E42" i="142"/>
  <c r="J42" i="142"/>
  <c r="H37" i="142"/>
  <c r="D52" i="142"/>
  <c r="B52" i="142" s="1"/>
  <c r="B47" i="142"/>
  <c r="FQ49" i="19"/>
  <c r="FR50" i="19" s="1"/>
  <c r="FV14" i="19"/>
  <c r="FV13" i="19" s="1"/>
  <c r="FQ12" i="19"/>
  <c r="FU14" i="19"/>
  <c r="FU13" i="19" s="1"/>
  <c r="EX24" i="17"/>
  <c r="EX39" i="17" s="1"/>
  <c r="EX31" i="17"/>
  <c r="EX40" i="17" s="1"/>
  <c r="EX38" i="17"/>
  <c r="EU39" i="17"/>
  <c r="CF18" i="10"/>
  <c r="CF13" i="10"/>
  <c r="CE18" i="10"/>
  <c r="CE13" i="10"/>
  <c r="AU41" i="98"/>
  <c r="AT41" i="98"/>
  <c r="AU40" i="98"/>
  <c r="AT40" i="98"/>
  <c r="AU34" i="98"/>
  <c r="AT34" i="98"/>
  <c r="AU29" i="98"/>
  <c r="AT29" i="98"/>
  <c r="AU19" i="98"/>
  <c r="AT19" i="98"/>
  <c r="AU14" i="98"/>
  <c r="AT14" i="98"/>
  <c r="AT42" i="98" s="1"/>
  <c r="AV21" i="95"/>
  <c r="EM9" i="7" s="1"/>
  <c r="AU21" i="95"/>
  <c r="EJ9" i="7" s="1"/>
  <c r="AV20" i="95"/>
  <c r="EL9" i="7" s="1"/>
  <c r="AU20" i="95"/>
  <c r="EI9" i="7" s="1"/>
  <c r="CF19" i="10" l="1"/>
  <c r="AU18" i="98"/>
  <c r="AU38" i="98"/>
  <c r="N14" i="142"/>
  <c r="O14" i="142" s="1"/>
  <c r="FP50" i="19"/>
  <c r="AT33" i="98"/>
  <c r="AT38" i="98"/>
  <c r="AT43" i="98" s="1"/>
  <c r="EN47" i="8"/>
  <c r="FQ50" i="19"/>
  <c r="FO50" i="19"/>
  <c r="N19" i="142"/>
  <c r="B24" i="142"/>
  <c r="N24" i="142" s="1"/>
  <c r="C24" i="142"/>
  <c r="P24" i="142" s="1"/>
  <c r="P19" i="142"/>
  <c r="O19" i="142" s="1"/>
  <c r="G52" i="142"/>
  <c r="E52" i="142" s="1"/>
  <c r="E47" i="142"/>
  <c r="J47" i="142"/>
  <c r="H42" i="142"/>
  <c r="M47" i="142"/>
  <c r="K42" i="142"/>
  <c r="CE19" i="10"/>
  <c r="AU33" i="98"/>
  <c r="AT18" i="98"/>
  <c r="AU42" i="98"/>
  <c r="AV11" i="95"/>
  <c r="AU11" i="95"/>
  <c r="AV10" i="95"/>
  <c r="AU10" i="95"/>
  <c r="AV43" i="95"/>
  <c r="AU43" i="95"/>
  <c r="AV38" i="95"/>
  <c r="AV31" i="95"/>
  <c r="AV50" i="95" s="1"/>
  <c r="AU31" i="95"/>
  <c r="AU50" i="95" s="1"/>
  <c r="AV30" i="95"/>
  <c r="AV49" i="95" s="1"/>
  <c r="AU30" i="95"/>
  <c r="AU49" i="95" s="1"/>
  <c r="AV18" i="95"/>
  <c r="AV28" i="95" s="1"/>
  <c r="AU18" i="95"/>
  <c r="AU28" i="95" s="1"/>
  <c r="AV13" i="95"/>
  <c r="AU13" i="95"/>
  <c r="BI11" i="6"/>
  <c r="BI46" i="6"/>
  <c r="BI25" i="6"/>
  <c r="BI18" i="6"/>
  <c r="BI13" i="6"/>
  <c r="BJ46" i="6"/>
  <c r="BJ25" i="6"/>
  <c r="BJ18" i="6"/>
  <c r="BJ13" i="6"/>
  <c r="BJ11" i="6"/>
  <c r="BO49" i="5"/>
  <c r="BN49" i="5"/>
  <c r="AU43" i="98" l="1"/>
  <c r="EI75" i="7"/>
  <c r="EI185" i="7"/>
  <c r="EL75" i="7"/>
  <c r="EL185" i="7"/>
  <c r="AV42" i="95"/>
  <c r="EL18" i="7"/>
  <c r="AU47" i="95"/>
  <c r="EJ185" i="7"/>
  <c r="BD13" i="64" s="1"/>
  <c r="EJ75" i="7"/>
  <c r="O24" i="142"/>
  <c r="AV47" i="95"/>
  <c r="EM75" i="7"/>
  <c r="EM185" i="7"/>
  <c r="BE13" i="64" s="1"/>
  <c r="AU42" i="95"/>
  <c r="EI18" i="7"/>
  <c r="J52" i="142"/>
  <c r="H52" i="142" s="1"/>
  <c r="H47" i="142"/>
  <c r="M52" i="142"/>
  <c r="K52" i="142" s="1"/>
  <c r="K47" i="142"/>
  <c r="AV51" i="95"/>
  <c r="AV8" i="95"/>
  <c r="AV12" i="95" s="1"/>
  <c r="AU8" i="95"/>
  <c r="AU12" i="95" s="1"/>
  <c r="AU51" i="95"/>
  <c r="AU52" i="95" s="1"/>
  <c r="BJ45" i="6"/>
  <c r="BJ53" i="6" s="1"/>
  <c r="BI45" i="6"/>
  <c r="AV52" i="95" l="1"/>
  <c r="BJ54" i="6"/>
  <c r="BI54" i="6"/>
  <c r="BJ52" i="6"/>
  <c r="BJ51" i="6"/>
  <c r="BI51" i="6"/>
  <c r="BI52" i="6"/>
  <c r="BI53" i="6"/>
  <c r="BN10" i="5" l="1"/>
  <c r="BN47" i="5" l="1"/>
  <c r="BN26" i="5"/>
  <c r="BN17" i="5"/>
  <c r="BN12" i="5"/>
  <c r="BO47" i="5"/>
  <c r="BO26" i="5"/>
  <c r="BO17" i="5"/>
  <c r="BO12" i="5"/>
  <c r="BO10" i="5"/>
  <c r="BD25" i="66"/>
  <c r="BD22" i="66"/>
  <c r="BD21" i="66"/>
  <c r="BD20" i="66"/>
  <c r="BD19" i="66"/>
  <c r="BE25" i="66"/>
  <c r="BE22" i="66"/>
  <c r="BE21" i="66"/>
  <c r="BE20" i="66"/>
  <c r="BE19" i="66"/>
  <c r="BJ31" i="65"/>
  <c r="BK31" i="65"/>
  <c r="BD24" i="64"/>
  <c r="BD21" i="64"/>
  <c r="BD20" i="64"/>
  <c r="BD19" i="64"/>
  <c r="BD18" i="64"/>
  <c r="BE24" i="64"/>
  <c r="BE21" i="64"/>
  <c r="BE20" i="64"/>
  <c r="BE19" i="64"/>
  <c r="BE18" i="64"/>
  <c r="BY46" i="61"/>
  <c r="EO125" i="8"/>
  <c r="EN125" i="8"/>
  <c r="EM125" i="8"/>
  <c r="EM122" i="8"/>
  <c r="EO111" i="8"/>
  <c r="EO146" i="8" s="1"/>
  <c r="EN111" i="8"/>
  <c r="EN146" i="8" s="1"/>
  <c r="EO110" i="8"/>
  <c r="EN110" i="8"/>
  <c r="EO109" i="8"/>
  <c r="EO140" i="8" s="1"/>
  <c r="EN109" i="8"/>
  <c r="EO108" i="8"/>
  <c r="EO106" i="8"/>
  <c r="EO143" i="8" s="1"/>
  <c r="EN106" i="8"/>
  <c r="BJ17" i="65" s="1"/>
  <c r="EO103" i="8"/>
  <c r="EO102" i="8"/>
  <c r="EN102" i="8"/>
  <c r="EO101" i="8"/>
  <c r="EN101" i="8"/>
  <c r="EO100" i="8"/>
  <c r="EO99" i="8"/>
  <c r="EN99" i="8"/>
  <c r="EM98" i="8"/>
  <c r="EO97" i="8"/>
  <c r="EN96" i="8"/>
  <c r="EN68" i="8"/>
  <c r="EO67" i="8"/>
  <c r="EN67" i="8"/>
  <c r="EM53" i="8"/>
  <c r="EM111" i="8" s="1"/>
  <c r="EM52" i="8"/>
  <c r="EM110" i="8" s="1"/>
  <c r="EM51" i="8"/>
  <c r="EM109" i="8" s="1"/>
  <c r="EN50" i="8"/>
  <c r="EM50" i="8" s="1"/>
  <c r="EM108" i="8" s="1"/>
  <c r="EM48" i="8"/>
  <c r="EM106" i="8" s="1"/>
  <c r="EO105" i="8"/>
  <c r="EO46" i="8"/>
  <c r="EN46" i="8"/>
  <c r="EN45" i="8"/>
  <c r="EM45" i="8" s="1"/>
  <c r="EO44" i="8"/>
  <c r="EN44" i="8"/>
  <c r="EO43" i="8"/>
  <c r="EN43" i="8"/>
  <c r="EM41" i="8"/>
  <c r="EM39" i="8"/>
  <c r="EN40" i="8"/>
  <c r="EM37" i="8"/>
  <c r="EM36" i="8"/>
  <c r="EO34" i="8"/>
  <c r="EM33" i="8"/>
  <c r="EM32" i="8"/>
  <c r="EM30" i="8"/>
  <c r="EM29" i="8"/>
  <c r="EM28" i="8"/>
  <c r="EO27" i="8"/>
  <c r="EM26" i="8"/>
  <c r="EM24" i="8"/>
  <c r="EO17" i="8"/>
  <c r="EN25" i="8"/>
  <c r="EM22" i="8"/>
  <c r="EM21" i="8"/>
  <c r="EM20" i="8"/>
  <c r="EM19" i="8"/>
  <c r="EM102" i="8" s="1"/>
  <c r="EM18" i="8"/>
  <c r="EM16" i="8"/>
  <c r="EM14" i="8"/>
  <c r="EN15" i="8"/>
  <c r="EM12" i="8"/>
  <c r="EM11" i="8"/>
  <c r="EM10" i="8"/>
  <c r="EO9" i="8"/>
  <c r="EO65" i="8" s="1"/>
  <c r="EN65" i="8"/>
  <c r="EJ190" i="7"/>
  <c r="EI190" i="7"/>
  <c r="EJ172" i="7"/>
  <c r="EI172" i="7"/>
  <c r="EH172" i="7"/>
  <c r="EJ169" i="7"/>
  <c r="EI169" i="7"/>
  <c r="EH169" i="7"/>
  <c r="EJ160" i="7"/>
  <c r="EJ194" i="7" s="1"/>
  <c r="EI160" i="7"/>
  <c r="EI194" i="7" s="1"/>
  <c r="EJ159" i="7"/>
  <c r="EI159" i="7"/>
  <c r="EH159" i="7"/>
  <c r="EJ158" i="7"/>
  <c r="EJ187" i="7" s="1"/>
  <c r="EJ155" i="7"/>
  <c r="EI155" i="7"/>
  <c r="EJ152" i="7"/>
  <c r="EJ151" i="7"/>
  <c r="EJ150" i="7"/>
  <c r="EI150" i="7"/>
  <c r="EJ148" i="7"/>
  <c r="EI148" i="7"/>
  <c r="EJ144" i="7"/>
  <c r="EI144" i="7"/>
  <c r="BY14" i="61" s="1"/>
  <c r="EJ79" i="7"/>
  <c r="EJ77" i="7"/>
  <c r="EJ189" i="7" s="1"/>
  <c r="EH65" i="7"/>
  <c r="EH160" i="7" s="1"/>
  <c r="EH62" i="7"/>
  <c r="EH155" i="7" s="1"/>
  <c r="EI61" i="7"/>
  <c r="EI158" i="7" s="1"/>
  <c r="EJ60" i="7"/>
  <c r="BD17" i="64" s="1"/>
  <c r="EI60" i="7"/>
  <c r="EI157" i="7" s="1"/>
  <c r="EH58" i="7"/>
  <c r="EH57" i="7"/>
  <c r="EH56" i="7"/>
  <c r="EH55" i="7"/>
  <c r="EJ54" i="7"/>
  <c r="EH54" i="7" s="1"/>
  <c r="EH53" i="7"/>
  <c r="EI52" i="7"/>
  <c r="EH49" i="7"/>
  <c r="EH48" i="7"/>
  <c r="EH47" i="7"/>
  <c r="EH145" i="7" s="1"/>
  <c r="EH46" i="7"/>
  <c r="EH45" i="7"/>
  <c r="EH44" i="7"/>
  <c r="EJ43" i="7"/>
  <c r="EH42" i="7"/>
  <c r="EH40" i="7"/>
  <c r="EH39" i="7"/>
  <c r="EH38" i="7"/>
  <c r="EH37" i="7"/>
  <c r="EH36" i="7"/>
  <c r="EJ35" i="7"/>
  <c r="EH34" i="7"/>
  <c r="EH32" i="7"/>
  <c r="EI33" i="7"/>
  <c r="EH30" i="7"/>
  <c r="EH29" i="7"/>
  <c r="EH28" i="7"/>
  <c r="EJ27" i="7"/>
  <c r="EH26" i="7"/>
  <c r="EI25" i="7"/>
  <c r="EH24" i="7"/>
  <c r="EH23" i="7"/>
  <c r="EH22" i="7"/>
  <c r="EH21" i="7"/>
  <c r="EH20" i="7"/>
  <c r="EH18" i="7"/>
  <c r="EJ17" i="7"/>
  <c r="EI152" i="7"/>
  <c r="EH16" i="7"/>
  <c r="EH14" i="7"/>
  <c r="EJ15" i="7"/>
  <c r="EI15" i="7"/>
  <c r="EH12" i="7"/>
  <c r="EH11" i="7"/>
  <c r="EJ146" i="7"/>
  <c r="EJ191" i="7" s="1"/>
  <c r="BD22" i="64" s="1"/>
  <c r="EH10" i="7"/>
  <c r="EH9" i="7"/>
  <c r="EN143" i="8" l="1"/>
  <c r="EH147" i="7"/>
  <c r="EM43" i="8"/>
  <c r="EN140" i="8"/>
  <c r="BJ14" i="65"/>
  <c r="EO144" i="8"/>
  <c r="BD23" i="66"/>
  <c r="EJ157" i="7"/>
  <c r="EN108" i="8"/>
  <c r="EJ52" i="7"/>
  <c r="EJ153" i="7" s="1"/>
  <c r="EJ188" i="7" s="1"/>
  <c r="BD16" i="64" s="1"/>
  <c r="EI187" i="7"/>
  <c r="BY16" i="61"/>
  <c r="EM31" i="8"/>
  <c r="EM27" i="8" s="1"/>
  <c r="EM44" i="8"/>
  <c r="EM46" i="8"/>
  <c r="EO96" i="8"/>
  <c r="EO138" i="8" s="1"/>
  <c r="BD14" i="66" s="1"/>
  <c r="EO137" i="8"/>
  <c r="BD13" i="66" s="1"/>
  <c r="EM99" i="8"/>
  <c r="EM101" i="8"/>
  <c r="EM103" i="8"/>
  <c r="EH52" i="7"/>
  <c r="EH153" i="7" s="1"/>
  <c r="EH61" i="7"/>
  <c r="EH158" i="7" s="1"/>
  <c r="EH60" i="7"/>
  <c r="EH157" i="7" s="1"/>
  <c r="EI77" i="7"/>
  <c r="EI189" i="7" s="1"/>
  <c r="EI153" i="7"/>
  <c r="EH148" i="7"/>
  <c r="EH150" i="7"/>
  <c r="EH144" i="7"/>
  <c r="EO42" i="8"/>
  <c r="EO104" i="8" s="1"/>
  <c r="EO64" i="8"/>
  <c r="EN31" i="8"/>
  <c r="EN27" i="8" s="1"/>
  <c r="EN17" i="8"/>
  <c r="EI43" i="7"/>
  <c r="EI50" i="7"/>
  <c r="EH25" i="7"/>
  <c r="EI41" i="7"/>
  <c r="EI35" i="7" s="1"/>
  <c r="EH43" i="7"/>
  <c r="EI149" i="7"/>
  <c r="EH13" i="7"/>
  <c r="EJ149" i="7"/>
  <c r="EH41" i="7"/>
  <c r="EH35" i="7" s="1"/>
  <c r="EH31" i="7"/>
  <c r="EH33" i="7" s="1"/>
  <c r="EH50" i="7"/>
  <c r="EM38" i="8"/>
  <c r="EM40" i="8" s="1"/>
  <c r="EN100" i="8"/>
  <c r="EH146" i="7"/>
  <c r="EI8" i="7"/>
  <c r="EI146" i="7"/>
  <c r="EN8" i="8"/>
  <c r="EJ8" i="7"/>
  <c r="EI27" i="7"/>
  <c r="EN144" i="8"/>
  <c r="BJ30" i="65" s="1"/>
  <c r="EM35" i="8"/>
  <c r="EN103" i="8"/>
  <c r="BO46" i="5"/>
  <c r="BO55" i="5" s="1"/>
  <c r="BN46" i="5"/>
  <c r="BN55" i="5" s="1"/>
  <c r="EH152" i="7"/>
  <c r="EM42" i="8"/>
  <c r="EM104" i="8" s="1"/>
  <c r="EO8" i="8"/>
  <c r="EO61" i="8" s="1"/>
  <c r="EN42" i="8"/>
  <c r="EN104" i="8" s="1"/>
  <c r="EO25" i="8"/>
  <c r="EM9" i="8"/>
  <c r="EM96" i="8" s="1"/>
  <c r="EM13" i="8"/>
  <c r="EM23" i="8"/>
  <c r="EM17" i="8" s="1"/>
  <c r="CK66" i="3"/>
  <c r="CL63" i="3"/>
  <c r="CK63" i="3"/>
  <c r="CK57" i="3"/>
  <c r="CK49" i="3" s="1"/>
  <c r="CK53" i="3"/>
  <c r="CL49" i="3"/>
  <c r="CL44" i="3"/>
  <c r="CK43" i="3"/>
  <c r="CL39" i="3"/>
  <c r="CK39" i="3"/>
  <c r="AD7" i="96" s="1"/>
  <c r="BZ46" i="61"/>
  <c r="ER125" i="8"/>
  <c r="EQ125" i="8"/>
  <c r="EP125" i="8"/>
  <c r="EP122" i="8"/>
  <c r="ER111" i="8"/>
  <c r="ER146" i="8" s="1"/>
  <c r="EQ111" i="8"/>
  <c r="EQ146" i="8" s="1"/>
  <c r="ER110" i="8"/>
  <c r="EQ110" i="8"/>
  <c r="ER109" i="8"/>
  <c r="ER140" i="8" s="1"/>
  <c r="ER108" i="8"/>
  <c r="ER106" i="8"/>
  <c r="ER143" i="8" s="1"/>
  <c r="EQ106" i="8"/>
  <c r="ER103" i="8"/>
  <c r="ER102" i="8"/>
  <c r="ER101" i="8"/>
  <c r="EQ101" i="8"/>
  <c r="ER99" i="8"/>
  <c r="EP98" i="8"/>
  <c r="ER97" i="8"/>
  <c r="ER67" i="8"/>
  <c r="EQ68" i="8"/>
  <c r="EP53" i="8"/>
  <c r="EP111" i="8" s="1"/>
  <c r="EP52" i="8"/>
  <c r="EP110" i="8" s="1"/>
  <c r="EP51" i="8"/>
  <c r="EP109" i="8" s="1"/>
  <c r="EQ50" i="8"/>
  <c r="EP50" i="8" s="1"/>
  <c r="EP108" i="8" s="1"/>
  <c r="EP48" i="8"/>
  <c r="EP106" i="8" s="1"/>
  <c r="ER105" i="8"/>
  <c r="ER46" i="8"/>
  <c r="EQ46" i="8"/>
  <c r="EQ45" i="8"/>
  <c r="EP45" i="8" s="1"/>
  <c r="ER44" i="8"/>
  <c r="EQ44" i="8"/>
  <c r="ER43" i="8"/>
  <c r="EQ43" i="8"/>
  <c r="EP41" i="8"/>
  <c r="EP39" i="8"/>
  <c r="EQ40" i="8"/>
  <c r="EP38" i="8"/>
  <c r="EP37" i="8"/>
  <c r="EP36" i="8"/>
  <c r="EP35" i="8"/>
  <c r="ER34" i="8"/>
  <c r="EP33" i="8"/>
  <c r="EP32" i="8"/>
  <c r="EP30" i="8"/>
  <c r="EQ31" i="8"/>
  <c r="EP29" i="8"/>
  <c r="EP28" i="8"/>
  <c r="ER27" i="8"/>
  <c r="EP26" i="8"/>
  <c r="EP24" i="8"/>
  <c r="ER100" i="8"/>
  <c r="EQ25" i="8"/>
  <c r="EP22" i="8"/>
  <c r="EP21" i="8"/>
  <c r="EP20" i="8"/>
  <c r="EP19" i="8"/>
  <c r="EP102" i="8" s="1"/>
  <c r="EP18" i="8"/>
  <c r="EP16" i="8"/>
  <c r="EP14" i="8"/>
  <c r="EQ15" i="8"/>
  <c r="EP12" i="8"/>
  <c r="EP11" i="8"/>
  <c r="EQ97" i="8"/>
  <c r="EQ144" i="8" s="1"/>
  <c r="BK30" i="65" s="1"/>
  <c r="ER9" i="8"/>
  <c r="ER8" i="8" s="1"/>
  <c r="EM175" i="7"/>
  <c r="EL175" i="7"/>
  <c r="EK175" i="7"/>
  <c r="EM172" i="7"/>
  <c r="EL172" i="7"/>
  <c r="EK172" i="7"/>
  <c r="EM169" i="7"/>
  <c r="EL169" i="7"/>
  <c r="EK169" i="7"/>
  <c r="EM160" i="7"/>
  <c r="EM194" i="7" s="1"/>
  <c r="EL160" i="7"/>
  <c r="EL194" i="7" s="1"/>
  <c r="EM159" i="7"/>
  <c r="EL159" i="7"/>
  <c r="EK159" i="7"/>
  <c r="EM158" i="7"/>
  <c r="EM187" i="7" s="1"/>
  <c r="EM155" i="7"/>
  <c r="EL155" i="7"/>
  <c r="EM152" i="7"/>
  <c r="EM151" i="7"/>
  <c r="EM150" i="7"/>
  <c r="EL150" i="7"/>
  <c r="EM148" i="7"/>
  <c r="EM79" i="7"/>
  <c r="EM77" i="7" s="1"/>
  <c r="EM189" i="7" s="1"/>
  <c r="EK65" i="7"/>
  <c r="EK160" i="7" s="1"/>
  <c r="EK62" i="7"/>
  <c r="EK155" i="7" s="1"/>
  <c r="EL61" i="7"/>
  <c r="EK61" i="7" s="1"/>
  <c r="EK158" i="7" s="1"/>
  <c r="EM60" i="7"/>
  <c r="EL60" i="7"/>
  <c r="EL157" i="7" s="1"/>
  <c r="EM154" i="7"/>
  <c r="EL58" i="7"/>
  <c r="EK58" i="7" s="1"/>
  <c r="EL57" i="7"/>
  <c r="EK57" i="7" s="1"/>
  <c r="EL56" i="7"/>
  <c r="EK56" i="7" s="1"/>
  <c r="EK55" i="7"/>
  <c r="EM54" i="7"/>
  <c r="EM52" i="7" s="1"/>
  <c r="EM153" i="7" s="1"/>
  <c r="EM188" i="7" s="1"/>
  <c r="BE16" i="64" s="1"/>
  <c r="EL54" i="7"/>
  <c r="EL53" i="7"/>
  <c r="EK53" i="7" s="1"/>
  <c r="EK49" i="7"/>
  <c r="EL50" i="7"/>
  <c r="EK47" i="7"/>
  <c r="EK145" i="7" s="1"/>
  <c r="EK46" i="7"/>
  <c r="EK45" i="7"/>
  <c r="EK44" i="7"/>
  <c r="EM43" i="7"/>
  <c r="EK42" i="7"/>
  <c r="EK40" i="7"/>
  <c r="EL41" i="7"/>
  <c r="EK38" i="7"/>
  <c r="EK37" i="7"/>
  <c r="EK36" i="7"/>
  <c r="EM35" i="7"/>
  <c r="EK34" i="7"/>
  <c r="EK32" i="7"/>
  <c r="EK31" i="7"/>
  <c r="EK30" i="7"/>
  <c r="EK29" i="7"/>
  <c r="EK28" i="7"/>
  <c r="EM27" i="7"/>
  <c r="EK26" i="7"/>
  <c r="EK24" i="7"/>
  <c r="EL25" i="7"/>
  <c r="EK22" i="7"/>
  <c r="EK21" i="7"/>
  <c r="EK20" i="7"/>
  <c r="EK18" i="7"/>
  <c r="EM17" i="7"/>
  <c r="EK16" i="7"/>
  <c r="EK14" i="7"/>
  <c r="EM15" i="7"/>
  <c r="EL15" i="7"/>
  <c r="EK12" i="7"/>
  <c r="EK11" i="7"/>
  <c r="EM146" i="7"/>
  <c r="EM191" i="7" s="1"/>
  <c r="BE22" i="64" s="1"/>
  <c r="EM144" i="7"/>
  <c r="CM66" i="3"/>
  <c r="CN63" i="3"/>
  <c r="CM63" i="3"/>
  <c r="CM57" i="3"/>
  <c r="CM49" i="3" s="1"/>
  <c r="CM53" i="3"/>
  <c r="CN49" i="3"/>
  <c r="CN44" i="3"/>
  <c r="CN39" i="3" s="1"/>
  <c r="CM43" i="3"/>
  <c r="CM39" i="3"/>
  <c r="AE7" i="96" s="1"/>
  <c r="EO119" i="8" l="1"/>
  <c r="EO123" i="8" s="1"/>
  <c r="CK62" i="3"/>
  <c r="AD45" i="96" s="1"/>
  <c r="AD58" i="96" s="1"/>
  <c r="CK45" i="3"/>
  <c r="CK44" i="3" s="1"/>
  <c r="BY45" i="61"/>
  <c r="EI167" i="7"/>
  <c r="AD63" i="96"/>
  <c r="CM45" i="3"/>
  <c r="CM44" i="3" s="1"/>
  <c r="EL167" i="7"/>
  <c r="EL72" i="7" s="1"/>
  <c r="BZ45" i="61"/>
  <c r="EM157" i="7"/>
  <c r="BE17" i="64"/>
  <c r="EP43" i="8"/>
  <c r="EO141" i="8"/>
  <c r="EO152" i="8" s="1"/>
  <c r="BD17" i="66"/>
  <c r="BD15" i="66" s="1"/>
  <c r="BD12" i="66" s="1"/>
  <c r="EI188" i="7"/>
  <c r="BY17" i="61"/>
  <c r="ER137" i="8"/>
  <c r="BE13" i="66" s="1"/>
  <c r="AD35" i="96"/>
  <c r="AD40" i="96"/>
  <c r="AD25" i="96"/>
  <c r="AD10" i="96"/>
  <c r="AD30" i="96"/>
  <c r="AD20" i="96"/>
  <c r="AD15" i="96"/>
  <c r="EN141" i="8"/>
  <c r="BJ15" i="65"/>
  <c r="EI191" i="7"/>
  <c r="BY31" i="61"/>
  <c r="AE35" i="96"/>
  <c r="AE40" i="96"/>
  <c r="AE25" i="96"/>
  <c r="AE10" i="96"/>
  <c r="AE30" i="96"/>
  <c r="AE15" i="96"/>
  <c r="AE20" i="96"/>
  <c r="CM62" i="3"/>
  <c r="AE45" i="96" s="1"/>
  <c r="BK45" i="65"/>
  <c r="EQ62" i="8"/>
  <c r="EQ120" i="8"/>
  <c r="AU11" i="98"/>
  <c r="EM167" i="7"/>
  <c r="EM72" i="7" s="1"/>
  <c r="BE36" i="64"/>
  <c r="BE37" i="66"/>
  <c r="BE38" i="66" s="1"/>
  <c r="ER62" i="8"/>
  <c r="ER120" i="8"/>
  <c r="AU12" i="98"/>
  <c r="AU27" i="98" s="1"/>
  <c r="EK147" i="7"/>
  <c r="EQ143" i="8"/>
  <c r="BK17" i="65"/>
  <c r="BD36" i="64"/>
  <c r="EJ167" i="7"/>
  <c r="EJ72" i="7" s="1"/>
  <c r="BJ45" i="65"/>
  <c r="EN120" i="8"/>
  <c r="EN62" i="8"/>
  <c r="AT11" i="98"/>
  <c r="AT26" i="98" s="1"/>
  <c r="ER144" i="8"/>
  <c r="BE23" i="66"/>
  <c r="BD37" i="66"/>
  <c r="BD38" i="66" s="1"/>
  <c r="EO120" i="8"/>
  <c r="EO121" i="8" s="1"/>
  <c r="EO62" i="8"/>
  <c r="EO63" i="8" s="1"/>
  <c r="AT12" i="98"/>
  <c r="EN61" i="8"/>
  <c r="EP40" i="8"/>
  <c r="EP101" i="8"/>
  <c r="EK54" i="7"/>
  <c r="EK150" i="7"/>
  <c r="EK148" i="7"/>
  <c r="EL74" i="7"/>
  <c r="EM74" i="7"/>
  <c r="EM34" i="8"/>
  <c r="EH27" i="7"/>
  <c r="EH149" i="7"/>
  <c r="EH15" i="7"/>
  <c r="EH8" i="7" s="1"/>
  <c r="EM15" i="8"/>
  <c r="EM8" i="8" s="1"/>
  <c r="EM100" i="8"/>
  <c r="EM97" i="8"/>
  <c r="BO52" i="5"/>
  <c r="BO53" i="5"/>
  <c r="BO54" i="5"/>
  <c r="BN52" i="5"/>
  <c r="BN53" i="5"/>
  <c r="BN54" i="5"/>
  <c r="EO124" i="8"/>
  <c r="EO126" i="8"/>
  <c r="EO127" i="8" s="1"/>
  <c r="EM25" i="8"/>
  <c r="EP10" i="8"/>
  <c r="EP97" i="8" s="1"/>
  <c r="EQ100" i="8"/>
  <c r="EP103" i="8"/>
  <c r="EQ109" i="8"/>
  <c r="ER42" i="8"/>
  <c r="ER104" i="8" s="1"/>
  <c r="EP46" i="8"/>
  <c r="EQ67" i="8"/>
  <c r="EP99" i="8"/>
  <c r="EQ8" i="8"/>
  <c r="EQ17" i="8"/>
  <c r="EP44" i="8"/>
  <c r="EQ99" i="8"/>
  <c r="EQ103" i="8"/>
  <c r="EQ108" i="8"/>
  <c r="EQ65" i="8"/>
  <c r="EQ64" i="8" s="1"/>
  <c r="ER17" i="8"/>
  <c r="EP31" i="8"/>
  <c r="EP27" i="8" s="1"/>
  <c r="EP47" i="8"/>
  <c r="EP105" i="8" s="1"/>
  <c r="EQ96" i="8"/>
  <c r="EQ102" i="8"/>
  <c r="EQ27" i="8"/>
  <c r="ER96" i="8"/>
  <c r="ER138" i="8" s="1"/>
  <c r="BE14" i="66" s="1"/>
  <c r="EQ105" i="8"/>
  <c r="EK59" i="7"/>
  <c r="EK154" i="7" s="1"/>
  <c r="EL77" i="7"/>
  <c r="EL189" i="7" s="1"/>
  <c r="EL146" i="7"/>
  <c r="EK52" i="7"/>
  <c r="EK153" i="7" s="1"/>
  <c r="EK152" i="7"/>
  <c r="EK9" i="7"/>
  <c r="EK144" i="7" s="1"/>
  <c r="EL144" i="7"/>
  <c r="BZ14" i="61" s="1"/>
  <c r="EL154" i="7"/>
  <c r="EK10" i="7"/>
  <c r="EK146" i="7" s="1"/>
  <c r="EK13" i="7"/>
  <c r="EK33" i="7"/>
  <c r="EK27" i="7" s="1"/>
  <c r="EL35" i="7"/>
  <c r="EL149" i="7"/>
  <c r="EL158" i="7"/>
  <c r="EL8" i="7"/>
  <c r="EL33" i="7"/>
  <c r="EL27" i="7" s="1"/>
  <c r="EK60" i="7"/>
  <c r="EK157" i="7" s="1"/>
  <c r="EL148" i="7"/>
  <c r="EM149" i="7"/>
  <c r="EM166" i="7" s="1"/>
  <c r="EL152" i="7"/>
  <c r="EM8" i="7"/>
  <c r="EM71" i="7" s="1"/>
  <c r="EM73" i="7" s="1"/>
  <c r="EP34" i="8"/>
  <c r="ER25" i="8"/>
  <c r="EQ42" i="8"/>
  <c r="EQ104" i="8" s="1"/>
  <c r="ER65" i="8"/>
  <c r="ER64" i="8" s="1"/>
  <c r="EP9" i="8"/>
  <c r="EP96" i="8" s="1"/>
  <c r="EP13" i="8"/>
  <c r="EP23" i="8"/>
  <c r="EP25" i="8" s="1"/>
  <c r="EK39" i="7"/>
  <c r="EK41" i="7" s="1"/>
  <c r="EK35" i="7" s="1"/>
  <c r="EL43" i="7"/>
  <c r="EL52" i="7"/>
  <c r="EL153" i="7" s="1"/>
  <c r="EK23" i="7"/>
  <c r="EK25" i="7" s="1"/>
  <c r="EK48" i="7"/>
  <c r="EK50" i="7" s="1"/>
  <c r="EK167" i="7" l="1"/>
  <c r="EK72" i="7" s="1"/>
  <c r="AD48" i="96"/>
  <c r="AD53" i="96"/>
  <c r="EL188" i="7"/>
  <c r="BZ17" i="61"/>
  <c r="ER61" i="8"/>
  <c r="ER63" i="8" s="1"/>
  <c r="EQ137" i="8"/>
  <c r="BK11" i="65" s="1"/>
  <c r="EQ140" i="8"/>
  <c r="EQ152" i="8" s="1"/>
  <c r="BK14" i="65"/>
  <c r="EM120" i="8"/>
  <c r="EM62" i="8" s="1"/>
  <c r="EI72" i="7"/>
  <c r="EH167" i="7"/>
  <c r="EH72" i="7" s="1"/>
  <c r="AT9" i="98"/>
  <c r="AT13" i="98" s="1"/>
  <c r="AT27" i="98"/>
  <c r="AT24" i="98" s="1"/>
  <c r="AT28" i="98" s="1"/>
  <c r="AU26" i="98"/>
  <c r="AU24" i="98" s="1"/>
  <c r="AU28" i="98" s="1"/>
  <c r="AU9" i="98"/>
  <c r="AU13" i="98" s="1"/>
  <c r="AE63" i="96"/>
  <c r="AE58" i="96"/>
  <c r="AE53" i="96"/>
  <c r="AE48" i="96"/>
  <c r="EM184" i="7"/>
  <c r="CM48" i="3"/>
  <c r="AV35" i="95"/>
  <c r="AV33" i="95" s="1"/>
  <c r="AV37" i="95" s="1"/>
  <c r="EQ141" i="8"/>
  <c r="BK15" i="65"/>
  <c r="EL187" i="7"/>
  <c r="BZ16" i="61"/>
  <c r="EL191" i="7"/>
  <c r="BZ31" i="61"/>
  <c r="EP42" i="8"/>
  <c r="EP104" i="8" s="1"/>
  <c r="EP120" i="8"/>
  <c r="EP62" i="8" s="1"/>
  <c r="CK48" i="3"/>
  <c r="AU35" i="95"/>
  <c r="AU33" i="95" s="1"/>
  <c r="AU37" i="95" s="1"/>
  <c r="ER141" i="8"/>
  <c r="ER152" i="8" s="1"/>
  <c r="BE17" i="66"/>
  <c r="BE15" i="66" s="1"/>
  <c r="EQ119" i="8"/>
  <c r="EQ61" i="8"/>
  <c r="EQ63" i="8" s="1"/>
  <c r="ER119" i="8"/>
  <c r="EP15" i="8"/>
  <c r="EP8" i="8" s="1"/>
  <c r="EP100" i="8"/>
  <c r="EM170" i="7"/>
  <c r="EM171" i="7" s="1"/>
  <c r="EM168" i="7"/>
  <c r="EK15" i="7"/>
  <c r="EK8" i="7" s="1"/>
  <c r="EK149" i="7"/>
  <c r="EP17" i="8"/>
  <c r="EK43" i="7"/>
  <c r="CR8" i="123"/>
  <c r="CS8" i="123"/>
  <c r="CR10" i="123"/>
  <c r="CS10" i="123"/>
  <c r="CR11" i="123"/>
  <c r="CS11" i="123"/>
  <c r="CR12" i="123"/>
  <c r="CS12" i="123"/>
  <c r="CS13" i="123"/>
  <c r="CR14" i="123"/>
  <c r="CS14" i="123"/>
  <c r="CR15" i="123"/>
  <c r="CS15" i="123"/>
  <c r="CR16" i="123"/>
  <c r="CS16" i="123"/>
  <c r="EP119" i="8" l="1"/>
  <c r="EP121" i="8" s="1"/>
  <c r="BE12" i="64"/>
  <c r="EM199" i="7"/>
  <c r="EM173" i="7"/>
  <c r="EM176" i="7" s="1"/>
  <c r="EM177" i="7" s="1"/>
  <c r="EQ121" i="8"/>
  <c r="EQ123" i="8"/>
  <c r="ER123" i="8"/>
  <c r="ER121" i="8"/>
  <c r="EP61" i="8"/>
  <c r="EP63" i="8" s="1"/>
  <c r="EM174" i="7" l="1"/>
  <c r="EQ124" i="8"/>
  <c r="EQ126" i="8"/>
  <c r="EQ127" i="8" s="1"/>
  <c r="EP123" i="8"/>
  <c r="EP124" i="8" s="1"/>
  <c r="ER124" i="8"/>
  <c r="ER126" i="8"/>
  <c r="FK23" i="121"/>
  <c r="FK22" i="121"/>
  <c r="FK21" i="121"/>
  <c r="FK20" i="121"/>
  <c r="FK19" i="121"/>
  <c r="FK18" i="121"/>
  <c r="FK17" i="121"/>
  <c r="FK16" i="121"/>
  <c r="FK15" i="121"/>
  <c r="FK14" i="121"/>
  <c r="FK36" i="121" s="1"/>
  <c r="FK9" i="121"/>
  <c r="FK8" i="121"/>
  <c r="FB23" i="121"/>
  <c r="FB22" i="121"/>
  <c r="FB21" i="121"/>
  <c r="FB20" i="121"/>
  <c r="FB19" i="121"/>
  <c r="FB18" i="121"/>
  <c r="FB17" i="121"/>
  <c r="FB16" i="121"/>
  <c r="FB15" i="121"/>
  <c r="FB14" i="121"/>
  <c r="FB36" i="121" s="1"/>
  <c r="FB9" i="121"/>
  <c r="FB8" i="121"/>
  <c r="ES23" i="121"/>
  <c r="ES22" i="121"/>
  <c r="ES21" i="121"/>
  <c r="ES20" i="121"/>
  <c r="ES19" i="121"/>
  <c r="ES18" i="121"/>
  <c r="ES17" i="121"/>
  <c r="ES16" i="121"/>
  <c r="ES15" i="121"/>
  <c r="ES14" i="121"/>
  <c r="ES36" i="121" s="1"/>
  <c r="ES9" i="121"/>
  <c r="ES8" i="121"/>
  <c r="DL23" i="121"/>
  <c r="DL22" i="121"/>
  <c r="DL21" i="121"/>
  <c r="DL20" i="121"/>
  <c r="DL19" i="121"/>
  <c r="DL18" i="121"/>
  <c r="DL17" i="121"/>
  <c r="DL16" i="121"/>
  <c r="DL15" i="121"/>
  <c r="DL14" i="121"/>
  <c r="DL36" i="121" s="1"/>
  <c r="DL9" i="121"/>
  <c r="DL8" i="121"/>
  <c r="DC23" i="121"/>
  <c r="DC22" i="121"/>
  <c r="DC21" i="121"/>
  <c r="DC20" i="121"/>
  <c r="DC19" i="121"/>
  <c r="DC18" i="121"/>
  <c r="DC17" i="121"/>
  <c r="DC16" i="121"/>
  <c r="DC15" i="121"/>
  <c r="DC14" i="121"/>
  <c r="DC36" i="121" s="1"/>
  <c r="DC9" i="121"/>
  <c r="DC8" i="121"/>
  <c r="CT23" i="121"/>
  <c r="CT22" i="121"/>
  <c r="CT21" i="121"/>
  <c r="CT20" i="121"/>
  <c r="CT19" i="121"/>
  <c r="CT18" i="121"/>
  <c r="CT17" i="121"/>
  <c r="CT16" i="121"/>
  <c r="CT15" i="121"/>
  <c r="CT14" i="121"/>
  <c r="CT36" i="121" s="1"/>
  <c r="CT9" i="121"/>
  <c r="CT8" i="121"/>
  <c r="BX23" i="121"/>
  <c r="BW23" i="121"/>
  <c r="BX22" i="121"/>
  <c r="BW22" i="121"/>
  <c r="BX20" i="121"/>
  <c r="BW20" i="121"/>
  <c r="BX19" i="121"/>
  <c r="BW19" i="121"/>
  <c r="BX18" i="121"/>
  <c r="BW18" i="121"/>
  <c r="BX17" i="121"/>
  <c r="BW17" i="121"/>
  <c r="BX16" i="121"/>
  <c r="BW16" i="121"/>
  <c r="BX15" i="121"/>
  <c r="BW15" i="121"/>
  <c r="BX9" i="121"/>
  <c r="BW9" i="121"/>
  <c r="BX8" i="121"/>
  <c r="BW8" i="121"/>
  <c r="BM23" i="121"/>
  <c r="BM22" i="121"/>
  <c r="BM21" i="121"/>
  <c r="BM20" i="121"/>
  <c r="BM19" i="121"/>
  <c r="BM18" i="121"/>
  <c r="BM17" i="121"/>
  <c r="BM16" i="121"/>
  <c r="BM15" i="121"/>
  <c r="BM14" i="121"/>
  <c r="BM36" i="121" s="1"/>
  <c r="BM9" i="121"/>
  <c r="BM8" i="121"/>
  <c r="BD23" i="121"/>
  <c r="BD22" i="121"/>
  <c r="BD21" i="121"/>
  <c r="BD20" i="121"/>
  <c r="BD19" i="121"/>
  <c r="BD18" i="121"/>
  <c r="BD17" i="121"/>
  <c r="BD16" i="121"/>
  <c r="BD15" i="121"/>
  <c r="BD14" i="121"/>
  <c r="BD36" i="121" s="1"/>
  <c r="BD9" i="121"/>
  <c r="BD8" i="121"/>
  <c r="BD10" i="121" s="1"/>
  <c r="AU23" i="121"/>
  <c r="AU22" i="121"/>
  <c r="AU21" i="121"/>
  <c r="AU20" i="121"/>
  <c r="AU19" i="121"/>
  <c r="AU18" i="121"/>
  <c r="AU17" i="121"/>
  <c r="AU16" i="121"/>
  <c r="AU15" i="121"/>
  <c r="AU14" i="121"/>
  <c r="AU36" i="121" s="1"/>
  <c r="AU9" i="121"/>
  <c r="AU8" i="121"/>
  <c r="Z23" i="121"/>
  <c r="Z22" i="121"/>
  <c r="Z21" i="121"/>
  <c r="Z20" i="121"/>
  <c r="Z19" i="121"/>
  <c r="Z18" i="121"/>
  <c r="Z17" i="121"/>
  <c r="Z16" i="121"/>
  <c r="Z15" i="121"/>
  <c r="Z14" i="121"/>
  <c r="Z36" i="121" s="1"/>
  <c r="Z9" i="121"/>
  <c r="Z8" i="121"/>
  <c r="Q23" i="121"/>
  <c r="Q22" i="121"/>
  <c r="Q21" i="121"/>
  <c r="Q20" i="121"/>
  <c r="Q19" i="121"/>
  <c r="Q18" i="121"/>
  <c r="Q17" i="121"/>
  <c r="Q16" i="121"/>
  <c r="Q15" i="121"/>
  <c r="Q14" i="121"/>
  <c r="Q36" i="121" s="1"/>
  <c r="Q9" i="121"/>
  <c r="Q8" i="121"/>
  <c r="H23" i="121"/>
  <c r="H22" i="121"/>
  <c r="H21" i="121"/>
  <c r="H20" i="121"/>
  <c r="H19" i="121"/>
  <c r="H18" i="121"/>
  <c r="H17" i="121"/>
  <c r="H16" i="121"/>
  <c r="H15" i="121"/>
  <c r="H14" i="121"/>
  <c r="H36" i="121" s="1"/>
  <c r="H9" i="121"/>
  <c r="H8" i="121"/>
  <c r="CT10" i="121" l="1"/>
  <c r="DL10" i="121"/>
  <c r="BX11" i="121"/>
  <c r="DC10" i="121"/>
  <c r="H10" i="121"/>
  <c r="FB10" i="121"/>
  <c r="BV22" i="121"/>
  <c r="BV8" i="121"/>
  <c r="BV23" i="121"/>
  <c r="BW11" i="121"/>
  <c r="BV19" i="121"/>
  <c r="Z10" i="121"/>
  <c r="BV15" i="121"/>
  <c r="BV18" i="121"/>
  <c r="AU10" i="121"/>
  <c r="BV16" i="121"/>
  <c r="BV20" i="121"/>
  <c r="BW10" i="121"/>
  <c r="BW21" i="121"/>
  <c r="BW14" i="121" s="1"/>
  <c r="ES10" i="121"/>
  <c r="BV17" i="121"/>
  <c r="BM10" i="121"/>
  <c r="BX21" i="121"/>
  <c r="BX14" i="121" s="1"/>
  <c r="ER127" i="8"/>
  <c r="EP126" i="8"/>
  <c r="EP127" i="8" s="1"/>
  <c r="FK10" i="121"/>
  <c r="BX10" i="121"/>
  <c r="BV9" i="121"/>
  <c r="Q10" i="121"/>
  <c r="FK12" i="121"/>
  <c r="FK11" i="121"/>
  <c r="FB11" i="121"/>
  <c r="ES11" i="121"/>
  <c r="DL12" i="121"/>
  <c r="DL11" i="121"/>
  <c r="DC12" i="121"/>
  <c r="DC11" i="121"/>
  <c r="CT12" i="121"/>
  <c r="CT11" i="121"/>
  <c r="BM12" i="121"/>
  <c r="BM11" i="121"/>
  <c r="BD12" i="121"/>
  <c r="BD11" i="121"/>
  <c r="AU12" i="121"/>
  <c r="AU11" i="121"/>
  <c r="Z12" i="121"/>
  <c r="Z11" i="121"/>
  <c r="Q12" i="121"/>
  <c r="Q11" i="121"/>
  <c r="H12" i="121"/>
  <c r="H11" i="121"/>
  <c r="BW12" i="121" l="1"/>
  <c r="BW13" i="121" s="1"/>
  <c r="BX12" i="121"/>
  <c r="BX13" i="121" s="1"/>
  <c r="BV21" i="121"/>
  <c r="BV10" i="121"/>
  <c r="BD13" i="121"/>
  <c r="DC13" i="121"/>
  <c r="BV14" i="121"/>
  <c r="BV11" i="121"/>
  <c r="FK13" i="121"/>
  <c r="FB12" i="121"/>
  <c r="FB13" i="121" s="1"/>
  <c r="ES12" i="121"/>
  <c r="ES13" i="121" s="1"/>
  <c r="DL13" i="121"/>
  <c r="CT13" i="121"/>
  <c r="BM13" i="121"/>
  <c r="AU13" i="121"/>
  <c r="Z13" i="121"/>
  <c r="Q13" i="121"/>
  <c r="H13" i="121"/>
  <c r="BV12" i="121" l="1"/>
  <c r="BV13" i="121" s="1"/>
  <c r="K57" i="127"/>
  <c r="E57" i="127"/>
  <c r="G57" i="127" s="1"/>
  <c r="I57" i="127" s="1"/>
  <c r="K56" i="127"/>
  <c r="E56" i="127"/>
  <c r="G56" i="127" s="1"/>
  <c r="I56" i="127" s="1"/>
  <c r="K55" i="127"/>
  <c r="E55" i="127"/>
  <c r="H54" i="127"/>
  <c r="F54" i="127"/>
  <c r="D54" i="127"/>
  <c r="K53" i="127"/>
  <c r="E53" i="127"/>
  <c r="G53" i="127" s="1"/>
  <c r="I53" i="127" s="1"/>
  <c r="H46" i="127"/>
  <c r="F46" i="127"/>
  <c r="D46" i="127"/>
  <c r="C46" i="127"/>
  <c r="H45" i="127"/>
  <c r="F45" i="127"/>
  <c r="D45" i="127"/>
  <c r="C45" i="127"/>
  <c r="H44" i="127"/>
  <c r="F44" i="127"/>
  <c r="D44" i="127"/>
  <c r="K34" i="127"/>
  <c r="E34" i="127"/>
  <c r="G34" i="127" s="1"/>
  <c r="K33" i="127"/>
  <c r="E33" i="127"/>
  <c r="G33" i="127" s="1"/>
  <c r="H32" i="127"/>
  <c r="F32" i="127"/>
  <c r="F52" i="127" s="1"/>
  <c r="D32" i="127"/>
  <c r="C32" i="127"/>
  <c r="C35" i="133"/>
  <c r="H35" i="133" s="1"/>
  <c r="I33" i="133"/>
  <c r="C31" i="133"/>
  <c r="F31" i="133" s="1"/>
  <c r="C30" i="133"/>
  <c r="C29" i="133"/>
  <c r="F29" i="133" s="1"/>
  <c r="I28" i="133"/>
  <c r="C27" i="133"/>
  <c r="H27" i="133" s="1"/>
  <c r="C26" i="133"/>
  <c r="F26" i="133" s="1"/>
  <c r="C25" i="133"/>
  <c r="H25" i="133" s="1"/>
  <c r="I24" i="133"/>
  <c r="C23" i="133"/>
  <c r="C22" i="133"/>
  <c r="F22" i="133" s="1"/>
  <c r="C21" i="133"/>
  <c r="C20" i="133"/>
  <c r="F20" i="133" s="1"/>
  <c r="H17" i="133"/>
  <c r="D17" i="133"/>
  <c r="C12" i="133"/>
  <c r="C15" i="133" s="1"/>
  <c r="C16" i="133" s="1"/>
  <c r="C31" i="127" s="1"/>
  <c r="C35" i="132"/>
  <c r="F35" i="132" s="1"/>
  <c r="I34" i="132"/>
  <c r="I32" i="132" s="1"/>
  <c r="C33" i="132"/>
  <c r="F33" i="132" s="1"/>
  <c r="C31" i="132"/>
  <c r="F31" i="132" s="1"/>
  <c r="I30" i="132"/>
  <c r="C30" i="132" s="1"/>
  <c r="C29" i="132"/>
  <c r="H29" i="132" s="1"/>
  <c r="C27" i="132"/>
  <c r="F27" i="132" s="1"/>
  <c r="I26" i="132"/>
  <c r="C26" i="132" s="1"/>
  <c r="C25" i="132"/>
  <c r="F25" i="132" s="1"/>
  <c r="C24" i="132"/>
  <c r="F24" i="132" s="1"/>
  <c r="H20" i="132"/>
  <c r="D20" i="132"/>
  <c r="I15" i="132"/>
  <c r="I37" i="132" s="1"/>
  <c r="I14" i="132"/>
  <c r="C14" i="132"/>
  <c r="G13" i="132"/>
  <c r="C12" i="132"/>
  <c r="H12" i="132" s="1"/>
  <c r="N66" i="123"/>
  <c r="N67" i="123"/>
  <c r="D66" i="123"/>
  <c r="C66" i="123"/>
  <c r="CO27" i="123"/>
  <c r="C27" i="123"/>
  <c r="FV62" i="123"/>
  <c r="FU62" i="123"/>
  <c r="FK62" i="123"/>
  <c r="FB62" i="123"/>
  <c r="ES62" i="123"/>
  <c r="DW62" i="123"/>
  <c r="DV62" i="123"/>
  <c r="DL62" i="123"/>
  <c r="DC62" i="123"/>
  <c r="CT62" i="123"/>
  <c r="BX62" i="123"/>
  <c r="BW62" i="123"/>
  <c r="BM62" i="123"/>
  <c r="BD62" i="123"/>
  <c r="AU62" i="123"/>
  <c r="AK62" i="123"/>
  <c r="AJ62" i="123"/>
  <c r="Z62" i="123"/>
  <c r="Q62" i="123"/>
  <c r="H62" i="123"/>
  <c r="AI62" i="123" s="1"/>
  <c r="CD125" i="122"/>
  <c r="CD124" i="122"/>
  <c r="CD179" i="122" s="1"/>
  <c r="CD123" i="122"/>
  <c r="CD115" i="122"/>
  <c r="CD170" i="122" s="1"/>
  <c r="CD101" i="122"/>
  <c r="CD99" i="122"/>
  <c r="CC99" i="122"/>
  <c r="CD98" i="122"/>
  <c r="D98" i="122" s="1"/>
  <c r="CD97" i="122"/>
  <c r="D97" i="122" s="1"/>
  <c r="S97" i="122" s="1"/>
  <c r="CD96" i="122"/>
  <c r="CC96" i="122"/>
  <c r="C96" i="122" s="1"/>
  <c r="CD95" i="122"/>
  <c r="D95" i="122" s="1"/>
  <c r="S95" i="122" s="1"/>
  <c r="CD81" i="122"/>
  <c r="CD80" i="122"/>
  <c r="CD78" i="122"/>
  <c r="CC78" i="122"/>
  <c r="CD77" i="122"/>
  <c r="CD79" i="122" s="1"/>
  <c r="CD76" i="122"/>
  <c r="CD49" i="122"/>
  <c r="CD47" i="122"/>
  <c r="CC47" i="122"/>
  <c r="CD45" i="122"/>
  <c r="D45" i="122" s="1"/>
  <c r="CD44" i="122"/>
  <c r="CC44" i="122"/>
  <c r="C44" i="122" s="1"/>
  <c r="CD43" i="122"/>
  <c r="D43" i="122" s="1"/>
  <c r="CD42" i="122"/>
  <c r="D42" i="122" s="1"/>
  <c r="CD29" i="122"/>
  <c r="CD27" i="122"/>
  <c r="D27" i="122" s="1"/>
  <c r="CC27" i="122"/>
  <c r="C27" i="122" s="1"/>
  <c r="CD26" i="122"/>
  <c r="D26" i="122" s="1"/>
  <c r="S26" i="122" s="1"/>
  <c r="CD25" i="122"/>
  <c r="CD24" i="122"/>
  <c r="CC24" i="122"/>
  <c r="C24" i="122" s="1"/>
  <c r="CD23" i="122"/>
  <c r="D23" i="122" s="1"/>
  <c r="CD22" i="122"/>
  <c r="CC13" i="122"/>
  <c r="GA13" i="123" s="1"/>
  <c r="CC12" i="122"/>
  <c r="GA12" i="123" s="1"/>
  <c r="CC10" i="122"/>
  <c r="CB10" i="122" s="1"/>
  <c r="BX226" i="122"/>
  <c r="BW226" i="122"/>
  <c r="BU226" i="122"/>
  <c r="BT226" i="122"/>
  <c r="BR226" i="122"/>
  <c r="BQ226" i="122"/>
  <c r="AZ226" i="122"/>
  <c r="AY226" i="122"/>
  <c r="AW226" i="122"/>
  <c r="AV226" i="122"/>
  <c r="AT226" i="122"/>
  <c r="AS226" i="122"/>
  <c r="AB226" i="122"/>
  <c r="AA226" i="122"/>
  <c r="Y226" i="122"/>
  <c r="X226" i="122"/>
  <c r="V226" i="122"/>
  <c r="U226" i="122"/>
  <c r="M226" i="122"/>
  <c r="L226" i="122"/>
  <c r="J226" i="122"/>
  <c r="I226" i="122"/>
  <c r="G226" i="122"/>
  <c r="F226" i="122"/>
  <c r="BX225" i="122"/>
  <c r="BW225" i="122"/>
  <c r="BU225" i="122"/>
  <c r="BT225" i="122"/>
  <c r="BR225" i="122"/>
  <c r="BQ225" i="122"/>
  <c r="AZ225" i="122"/>
  <c r="AY225" i="122"/>
  <c r="AW225" i="122"/>
  <c r="AV225" i="122"/>
  <c r="AT225" i="122"/>
  <c r="AS225" i="122"/>
  <c r="AB225" i="122"/>
  <c r="AA225" i="122"/>
  <c r="Y225" i="122"/>
  <c r="X225" i="122"/>
  <c r="V225" i="122"/>
  <c r="U225" i="122"/>
  <c r="M225" i="122"/>
  <c r="L225" i="122"/>
  <c r="J225" i="122"/>
  <c r="I225" i="122"/>
  <c r="G225" i="122"/>
  <c r="F225" i="122"/>
  <c r="BX224" i="122"/>
  <c r="BW224" i="122"/>
  <c r="BU224" i="122"/>
  <c r="BT224" i="122"/>
  <c r="BR224" i="122"/>
  <c r="BQ224" i="122"/>
  <c r="AZ224" i="122"/>
  <c r="AY224" i="122"/>
  <c r="AW224" i="122"/>
  <c r="AV224" i="122"/>
  <c r="AT224" i="122"/>
  <c r="AS224" i="122"/>
  <c r="AB224" i="122"/>
  <c r="AA224" i="122"/>
  <c r="Y224" i="122"/>
  <c r="X224" i="122"/>
  <c r="V224" i="122"/>
  <c r="U224" i="122"/>
  <c r="M224" i="122"/>
  <c r="L224" i="122"/>
  <c r="J224" i="122"/>
  <c r="I224" i="122"/>
  <c r="G224" i="122"/>
  <c r="F224" i="122"/>
  <c r="BX223" i="122"/>
  <c r="BW223" i="122"/>
  <c r="BU223" i="122"/>
  <c r="BT223" i="122"/>
  <c r="BR223" i="122"/>
  <c r="BQ223" i="122"/>
  <c r="AZ223" i="122"/>
  <c r="AY223" i="122"/>
  <c r="AW223" i="122"/>
  <c r="AV223" i="122"/>
  <c r="AT223" i="122"/>
  <c r="AS223" i="122"/>
  <c r="AB223" i="122"/>
  <c r="AA223" i="122"/>
  <c r="Y223" i="122"/>
  <c r="X223" i="122"/>
  <c r="V223" i="122"/>
  <c r="U223" i="122"/>
  <c r="M223" i="122"/>
  <c r="L223" i="122"/>
  <c r="J223" i="122"/>
  <c r="I223" i="122"/>
  <c r="G223" i="122"/>
  <c r="F223" i="122"/>
  <c r="BX221" i="122"/>
  <c r="BW221" i="122"/>
  <c r="BU221" i="122"/>
  <c r="BT221" i="122"/>
  <c r="BR221" i="122"/>
  <c r="BQ221" i="122"/>
  <c r="AZ221" i="122"/>
  <c r="AY221" i="122"/>
  <c r="AW221" i="122"/>
  <c r="AV221" i="122"/>
  <c r="AT221" i="122"/>
  <c r="AS221" i="122"/>
  <c r="AB221" i="122"/>
  <c r="AA221" i="122"/>
  <c r="Y221" i="122"/>
  <c r="X221" i="122"/>
  <c r="V221" i="122"/>
  <c r="U221" i="122"/>
  <c r="M221" i="122"/>
  <c r="L221" i="122"/>
  <c r="J221" i="122"/>
  <c r="I221" i="122"/>
  <c r="G221" i="122"/>
  <c r="F221" i="122"/>
  <c r="BX220" i="122"/>
  <c r="BW220" i="122"/>
  <c r="BU220" i="122"/>
  <c r="BT220" i="122"/>
  <c r="BR220" i="122"/>
  <c r="BQ220" i="122"/>
  <c r="AZ220" i="122"/>
  <c r="AY220" i="122"/>
  <c r="AW220" i="122"/>
  <c r="AV220" i="122"/>
  <c r="AT220" i="122"/>
  <c r="AS220" i="122"/>
  <c r="AB220" i="122"/>
  <c r="AA220" i="122"/>
  <c r="Y220" i="122"/>
  <c r="X220" i="122"/>
  <c r="V220" i="122"/>
  <c r="U220" i="122"/>
  <c r="M220" i="122"/>
  <c r="L220" i="122"/>
  <c r="J220" i="122"/>
  <c r="I220" i="122"/>
  <c r="G220" i="122"/>
  <c r="F220" i="122"/>
  <c r="BX219" i="122"/>
  <c r="BW219" i="122"/>
  <c r="BU219" i="122"/>
  <c r="BT219" i="122"/>
  <c r="BR219" i="122"/>
  <c r="BQ219" i="122"/>
  <c r="AZ219" i="122"/>
  <c r="AY219" i="122"/>
  <c r="AW219" i="122"/>
  <c r="AV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8" i="122"/>
  <c r="BW218" i="122"/>
  <c r="BU218" i="122"/>
  <c r="BT218" i="122"/>
  <c r="BR218" i="122"/>
  <c r="BQ218" i="122"/>
  <c r="AZ218" i="122"/>
  <c r="AY218" i="122"/>
  <c r="AW218" i="122"/>
  <c r="AV218" i="122"/>
  <c r="AT218" i="122"/>
  <c r="AS218" i="122"/>
  <c r="AB218" i="122"/>
  <c r="AA218" i="122"/>
  <c r="Y218" i="122"/>
  <c r="X218" i="122"/>
  <c r="V218" i="122"/>
  <c r="U218" i="122"/>
  <c r="M218" i="122"/>
  <c r="L218" i="122"/>
  <c r="J218" i="122"/>
  <c r="I218" i="122"/>
  <c r="G218" i="122"/>
  <c r="F218" i="122"/>
  <c r="BX216" i="122"/>
  <c r="BW216" i="122"/>
  <c r="BU216" i="122"/>
  <c r="BT216" i="122"/>
  <c r="BR216" i="122"/>
  <c r="BQ216" i="122"/>
  <c r="AZ216" i="122"/>
  <c r="AY216" i="122"/>
  <c r="AW216" i="122"/>
  <c r="AV216" i="122"/>
  <c r="AT216" i="122"/>
  <c r="AS216" i="122"/>
  <c r="AB216" i="122"/>
  <c r="AA216" i="122"/>
  <c r="Y216" i="122"/>
  <c r="X216" i="122"/>
  <c r="V216" i="122"/>
  <c r="U216" i="122"/>
  <c r="M216" i="122"/>
  <c r="L216" i="122"/>
  <c r="J216" i="122"/>
  <c r="I216" i="122"/>
  <c r="G216" i="122"/>
  <c r="F216" i="122"/>
  <c r="BX215" i="122"/>
  <c r="BW215" i="122"/>
  <c r="BU215" i="122"/>
  <c r="BT215" i="122"/>
  <c r="BR215" i="122"/>
  <c r="BQ215" i="122"/>
  <c r="AZ215" i="122"/>
  <c r="AY215" i="122"/>
  <c r="AW215" i="122"/>
  <c r="AV215" i="122"/>
  <c r="AT215" i="122"/>
  <c r="AS215" i="122"/>
  <c r="AB215" i="122"/>
  <c r="AA215" i="122"/>
  <c r="Y215" i="122"/>
  <c r="X215" i="122"/>
  <c r="V215" i="122"/>
  <c r="U215" i="122"/>
  <c r="M215" i="122"/>
  <c r="L215" i="122"/>
  <c r="J215" i="122"/>
  <c r="I215" i="122"/>
  <c r="G215" i="122"/>
  <c r="F215" i="122"/>
  <c r="BX214" i="122"/>
  <c r="BW214" i="122"/>
  <c r="BU214" i="122"/>
  <c r="BT214" i="122"/>
  <c r="BR214" i="122"/>
  <c r="BQ214" i="122"/>
  <c r="AZ214" i="122"/>
  <c r="AY214" i="122"/>
  <c r="AW214" i="122"/>
  <c r="AV214" i="122"/>
  <c r="AT214" i="122"/>
  <c r="AS214" i="122"/>
  <c r="AB214" i="122"/>
  <c r="AA214" i="122"/>
  <c r="Y214" i="122"/>
  <c r="X214" i="122"/>
  <c r="V214" i="122"/>
  <c r="U214" i="122"/>
  <c r="M214" i="122"/>
  <c r="L214" i="122"/>
  <c r="J214" i="122"/>
  <c r="I214" i="122"/>
  <c r="G214" i="122"/>
  <c r="F214" i="122"/>
  <c r="BX213" i="122"/>
  <c r="BW213" i="122"/>
  <c r="BU213" i="122"/>
  <c r="BT213" i="122"/>
  <c r="BR213" i="122"/>
  <c r="BQ213" i="122"/>
  <c r="AZ213" i="122"/>
  <c r="AY213" i="122"/>
  <c r="AW213" i="122"/>
  <c r="AV213" i="122"/>
  <c r="AT213" i="122"/>
  <c r="AS213" i="122"/>
  <c r="AB213" i="122"/>
  <c r="AA213" i="122"/>
  <c r="Y213" i="122"/>
  <c r="X213" i="122"/>
  <c r="V213" i="122"/>
  <c r="U213" i="122"/>
  <c r="M213" i="122"/>
  <c r="L213" i="122"/>
  <c r="J213" i="122"/>
  <c r="I213" i="122"/>
  <c r="G213" i="122"/>
  <c r="F213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T211" i="122"/>
  <c r="BR211" i="122"/>
  <c r="BQ211" i="122"/>
  <c r="AZ211" i="122"/>
  <c r="AY211" i="122"/>
  <c r="AW211" i="122"/>
  <c r="AV211" i="122"/>
  <c r="AT211" i="122"/>
  <c r="AS211" i="122"/>
  <c r="AB211" i="122"/>
  <c r="AA211" i="122"/>
  <c r="Y211" i="122"/>
  <c r="X211" i="122"/>
  <c r="V211" i="122"/>
  <c r="U211" i="122"/>
  <c r="M211" i="122"/>
  <c r="L211" i="122"/>
  <c r="J211" i="122"/>
  <c r="I211" i="122"/>
  <c r="G211" i="122"/>
  <c r="F211" i="122"/>
  <c r="BX210" i="122"/>
  <c r="BW210" i="122"/>
  <c r="BU210" i="122"/>
  <c r="BT210" i="122"/>
  <c r="BR210" i="122"/>
  <c r="BQ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I210" i="122"/>
  <c r="G210" i="122"/>
  <c r="F210" i="122"/>
  <c r="BX209" i="122"/>
  <c r="BW209" i="122"/>
  <c r="BU209" i="122"/>
  <c r="BT209" i="122"/>
  <c r="BR209" i="122"/>
  <c r="BQ209" i="122"/>
  <c r="AZ209" i="122"/>
  <c r="AY209" i="122"/>
  <c r="AW209" i="122"/>
  <c r="AV209" i="122"/>
  <c r="AT209" i="122"/>
  <c r="AS209" i="122"/>
  <c r="AB209" i="122"/>
  <c r="AA209" i="122"/>
  <c r="Y209" i="122"/>
  <c r="X209" i="122"/>
  <c r="V209" i="122"/>
  <c r="U209" i="122"/>
  <c r="M209" i="122"/>
  <c r="L209" i="122"/>
  <c r="J209" i="122"/>
  <c r="I209" i="122"/>
  <c r="G209" i="122"/>
  <c r="F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AA207" i="122"/>
  <c r="Y207" i="122"/>
  <c r="X207" i="122"/>
  <c r="V207" i="122"/>
  <c r="U207" i="122"/>
  <c r="M207" i="122"/>
  <c r="L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AA205" i="122"/>
  <c r="Y205" i="122"/>
  <c r="X205" i="122"/>
  <c r="V205" i="122"/>
  <c r="U205" i="122"/>
  <c r="M205" i="122"/>
  <c r="L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BQ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U203" i="122"/>
  <c r="M203" i="122"/>
  <c r="L203" i="122"/>
  <c r="J203" i="122"/>
  <c r="I203" i="122"/>
  <c r="G203" i="122"/>
  <c r="F203" i="122"/>
  <c r="BX202" i="122"/>
  <c r="BW202" i="122"/>
  <c r="BU202" i="122"/>
  <c r="BT202" i="122"/>
  <c r="BR202" i="122"/>
  <c r="BQ202" i="122"/>
  <c r="AZ202" i="122"/>
  <c r="AY202" i="122"/>
  <c r="AW202" i="122"/>
  <c r="AV202" i="122"/>
  <c r="AT202" i="122"/>
  <c r="AS202" i="122"/>
  <c r="AB202" i="122"/>
  <c r="AA202" i="122"/>
  <c r="Y202" i="122"/>
  <c r="X202" i="122"/>
  <c r="V202" i="122"/>
  <c r="U202" i="122"/>
  <c r="M202" i="122"/>
  <c r="L202" i="122"/>
  <c r="J202" i="122"/>
  <c r="I202" i="122"/>
  <c r="G202" i="122"/>
  <c r="F202" i="122"/>
  <c r="BX201" i="122"/>
  <c r="BW201" i="122"/>
  <c r="BU201" i="122"/>
  <c r="BT201" i="122"/>
  <c r="BR201" i="122"/>
  <c r="BQ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U201" i="122"/>
  <c r="M201" i="122"/>
  <c r="L201" i="122"/>
  <c r="J201" i="122"/>
  <c r="I201" i="122"/>
  <c r="G201" i="122"/>
  <c r="F201" i="122"/>
  <c r="BX200" i="122"/>
  <c r="BW200" i="122"/>
  <c r="BU200" i="122"/>
  <c r="BT200" i="122"/>
  <c r="BR200" i="122"/>
  <c r="BQ200" i="122"/>
  <c r="AZ200" i="122"/>
  <c r="AY200" i="122"/>
  <c r="AW200" i="122"/>
  <c r="AV200" i="122"/>
  <c r="AT200" i="122"/>
  <c r="AS200" i="122"/>
  <c r="AB200" i="122"/>
  <c r="AA200" i="122"/>
  <c r="Y200" i="122"/>
  <c r="X200" i="122"/>
  <c r="V200" i="122"/>
  <c r="U200" i="122"/>
  <c r="M200" i="122"/>
  <c r="L200" i="122"/>
  <c r="J200" i="122"/>
  <c r="I200" i="122"/>
  <c r="G200" i="122"/>
  <c r="F200" i="122"/>
  <c r="BX199" i="122"/>
  <c r="BW199" i="122"/>
  <c r="BU199" i="122"/>
  <c r="BT199" i="122"/>
  <c r="BR199" i="122"/>
  <c r="BQ199" i="122"/>
  <c r="AZ199" i="122"/>
  <c r="AY199" i="122"/>
  <c r="AW199" i="122"/>
  <c r="AV199" i="122"/>
  <c r="AT199" i="122"/>
  <c r="AS199" i="122"/>
  <c r="AB199" i="122"/>
  <c r="AA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V187" i="122"/>
  <c r="BS187" i="122"/>
  <c r="EY75" i="123" s="1"/>
  <c r="BP187" i="122"/>
  <c r="EP75" i="123" s="1"/>
  <c r="AX187" i="122"/>
  <c r="AU187" i="122"/>
  <c r="CZ75" i="123" s="1"/>
  <c r="AR187" i="122"/>
  <c r="CQ75" i="123" s="1"/>
  <c r="Z187" i="122"/>
  <c r="W187" i="122"/>
  <c r="BA75" i="123" s="1"/>
  <c r="T187" i="122"/>
  <c r="AR75" i="123" s="1"/>
  <c r="K187" i="122"/>
  <c r="W75" i="123" s="1"/>
  <c r="H187" i="122"/>
  <c r="N75" i="123" s="1"/>
  <c r="E187" i="122"/>
  <c r="E75" i="123" s="1"/>
  <c r="BV186" i="122"/>
  <c r="FH74" i="123" s="1"/>
  <c r="BS186" i="122"/>
  <c r="BP186" i="122"/>
  <c r="EP74" i="123" s="1"/>
  <c r="AX186" i="122"/>
  <c r="DI74" i="123" s="1"/>
  <c r="AU186" i="122"/>
  <c r="CZ74" i="123" s="1"/>
  <c r="AR186" i="122"/>
  <c r="CQ74" i="123" s="1"/>
  <c r="Z186" i="122"/>
  <c r="BJ74" i="123" s="1"/>
  <c r="W186" i="122"/>
  <c r="BA74" i="123" s="1"/>
  <c r="T186" i="122"/>
  <c r="AR74" i="123" s="1"/>
  <c r="K186" i="122"/>
  <c r="W74" i="123" s="1"/>
  <c r="H186" i="122"/>
  <c r="N74" i="123" s="1"/>
  <c r="E186" i="122"/>
  <c r="E74" i="123" s="1"/>
  <c r="BV185" i="122"/>
  <c r="FH73" i="123" s="1"/>
  <c r="BS185" i="122"/>
  <c r="EY73" i="123" s="1"/>
  <c r="BP185" i="122"/>
  <c r="EP73" i="123" s="1"/>
  <c r="AX185" i="122"/>
  <c r="DI73" i="123" s="1"/>
  <c r="AU185" i="122"/>
  <c r="CZ73" i="123" s="1"/>
  <c r="AR185" i="122"/>
  <c r="CQ73" i="123" s="1"/>
  <c r="Z185" i="122"/>
  <c r="BJ73" i="123" s="1"/>
  <c r="W185" i="122"/>
  <c r="T185" i="122"/>
  <c r="AR73" i="123" s="1"/>
  <c r="K185" i="122"/>
  <c r="W73" i="123" s="1"/>
  <c r="H185" i="122"/>
  <c r="E185" i="122"/>
  <c r="BX180" i="122"/>
  <c r="FJ62" i="123" s="1"/>
  <c r="BW180" i="122"/>
  <c r="FI62" i="123" s="1"/>
  <c r="FH62" i="123" s="1"/>
  <c r="BU180" i="122"/>
  <c r="FA62" i="123" s="1"/>
  <c r="BT180" i="122"/>
  <c r="EZ62" i="123" s="1"/>
  <c r="BR180" i="122"/>
  <c r="ER62" i="123" s="1"/>
  <c r="BQ180" i="122"/>
  <c r="EQ62" i="123" s="1"/>
  <c r="AZ180" i="122"/>
  <c r="DK62" i="123" s="1"/>
  <c r="AY180" i="122"/>
  <c r="DJ62" i="123" s="1"/>
  <c r="AW180" i="122"/>
  <c r="DB62" i="123" s="1"/>
  <c r="AV180" i="122"/>
  <c r="DA62" i="123" s="1"/>
  <c r="AT180" i="122"/>
  <c r="CS62" i="123" s="1"/>
  <c r="DT62" i="123" s="1"/>
  <c r="AS180" i="122"/>
  <c r="CR62" i="123" s="1"/>
  <c r="AB180" i="122"/>
  <c r="BL62" i="123" s="1"/>
  <c r="AA180" i="122"/>
  <c r="BK62" i="123" s="1"/>
  <c r="BJ62" i="123" s="1"/>
  <c r="Y180" i="122"/>
  <c r="BC62" i="123" s="1"/>
  <c r="X180" i="122"/>
  <c r="BB62" i="123" s="1"/>
  <c r="V180" i="122"/>
  <c r="AT62" i="123" s="1"/>
  <c r="U180" i="122"/>
  <c r="AS62" i="123" s="1"/>
  <c r="M180" i="122"/>
  <c r="Y62" i="123" s="1"/>
  <c r="W62" i="123" s="1"/>
  <c r="L180" i="122"/>
  <c r="X62" i="123" s="1"/>
  <c r="J180" i="122"/>
  <c r="P62" i="123" s="1"/>
  <c r="I180" i="122"/>
  <c r="O62" i="123" s="1"/>
  <c r="G180" i="122"/>
  <c r="G62" i="123" s="1"/>
  <c r="AH62" i="123" s="1"/>
  <c r="F180" i="122"/>
  <c r="F62" i="123" s="1"/>
  <c r="BX179" i="122"/>
  <c r="FJ61" i="123" s="1"/>
  <c r="BW179" i="122"/>
  <c r="FI61" i="123" s="1"/>
  <c r="BU179" i="122"/>
  <c r="FA61" i="123" s="1"/>
  <c r="BT179" i="122"/>
  <c r="EZ61" i="123" s="1"/>
  <c r="BR179" i="122"/>
  <c r="ER61" i="123" s="1"/>
  <c r="BQ179" i="122"/>
  <c r="EQ61" i="123" s="1"/>
  <c r="AZ179" i="122"/>
  <c r="DK61" i="123" s="1"/>
  <c r="AY179" i="122"/>
  <c r="DJ61" i="123" s="1"/>
  <c r="AW179" i="122"/>
  <c r="DB61" i="123" s="1"/>
  <c r="AV179" i="122"/>
  <c r="DA61" i="123" s="1"/>
  <c r="AT179" i="122"/>
  <c r="CS61" i="123" s="1"/>
  <c r="AS179" i="122"/>
  <c r="CR61" i="123" s="1"/>
  <c r="AB179" i="122"/>
  <c r="BL61" i="123" s="1"/>
  <c r="AA179" i="122"/>
  <c r="BK61" i="123" s="1"/>
  <c r="Y179" i="122"/>
  <c r="BC61" i="123" s="1"/>
  <c r="X179" i="122"/>
  <c r="BB61" i="123" s="1"/>
  <c r="V179" i="122"/>
  <c r="AT61" i="123" s="1"/>
  <c r="U179" i="122"/>
  <c r="AS61" i="123" s="1"/>
  <c r="M179" i="122"/>
  <c r="Y61" i="123" s="1"/>
  <c r="L179" i="122"/>
  <c r="X61" i="123" s="1"/>
  <c r="J179" i="122"/>
  <c r="P61" i="123" s="1"/>
  <c r="I179" i="122"/>
  <c r="O61" i="123" s="1"/>
  <c r="G179" i="122"/>
  <c r="G61" i="123" s="1"/>
  <c r="F179" i="122"/>
  <c r="F61" i="123" s="1"/>
  <c r="BX178" i="122"/>
  <c r="FJ60" i="123" s="1"/>
  <c r="BW178" i="122"/>
  <c r="FI60" i="123" s="1"/>
  <c r="BU178" i="122"/>
  <c r="FA60" i="123" s="1"/>
  <c r="BT178" i="122"/>
  <c r="EZ60" i="123" s="1"/>
  <c r="BR178" i="122"/>
  <c r="ER60" i="123" s="1"/>
  <c r="BQ178" i="122"/>
  <c r="EQ60" i="123" s="1"/>
  <c r="AZ178" i="122"/>
  <c r="DK60" i="123" s="1"/>
  <c r="AY178" i="122"/>
  <c r="DJ60" i="123" s="1"/>
  <c r="AW178" i="122"/>
  <c r="DB60" i="123" s="1"/>
  <c r="AV178" i="122"/>
  <c r="DA60" i="123" s="1"/>
  <c r="AT178" i="122"/>
  <c r="CS60" i="123" s="1"/>
  <c r="AS178" i="122"/>
  <c r="CR60" i="123" s="1"/>
  <c r="AB178" i="122"/>
  <c r="BL60" i="123" s="1"/>
  <c r="AA178" i="122"/>
  <c r="BK60" i="123" s="1"/>
  <c r="Y178" i="122"/>
  <c r="BC60" i="123" s="1"/>
  <c r="X178" i="122"/>
  <c r="BB60" i="123" s="1"/>
  <c r="V178" i="122"/>
  <c r="AT60" i="123" s="1"/>
  <c r="U178" i="122"/>
  <c r="AS60" i="123" s="1"/>
  <c r="M178" i="122"/>
  <c r="Y60" i="123" s="1"/>
  <c r="L178" i="122"/>
  <c r="X60" i="123" s="1"/>
  <c r="J178" i="122"/>
  <c r="P60" i="123" s="1"/>
  <c r="I178" i="122"/>
  <c r="O60" i="123" s="1"/>
  <c r="G178" i="122"/>
  <c r="G60" i="123" s="1"/>
  <c r="F178" i="122"/>
  <c r="F60" i="123" s="1"/>
  <c r="CD177" i="122"/>
  <c r="CC177" i="122"/>
  <c r="BX177" i="122"/>
  <c r="FJ59" i="123" s="1"/>
  <c r="BW177" i="122"/>
  <c r="FI59" i="123" s="1"/>
  <c r="BU177" i="122"/>
  <c r="FA59" i="123" s="1"/>
  <c r="BT177" i="122"/>
  <c r="EZ59" i="123" s="1"/>
  <c r="BR177" i="122"/>
  <c r="ER59" i="123" s="1"/>
  <c r="BQ177" i="122"/>
  <c r="EQ59" i="123" s="1"/>
  <c r="AZ177" i="122"/>
  <c r="DK59" i="123" s="1"/>
  <c r="AY177" i="122"/>
  <c r="DJ59" i="123" s="1"/>
  <c r="AW177" i="122"/>
  <c r="DB59" i="123" s="1"/>
  <c r="AV177" i="122"/>
  <c r="DA59" i="123" s="1"/>
  <c r="AT177" i="122"/>
  <c r="CS59" i="123" s="1"/>
  <c r="AS177" i="122"/>
  <c r="CR59" i="123" s="1"/>
  <c r="AB177" i="122"/>
  <c r="BL59" i="123" s="1"/>
  <c r="AA177" i="122"/>
  <c r="BK59" i="123" s="1"/>
  <c r="Y177" i="122"/>
  <c r="BC59" i="123" s="1"/>
  <c r="X177" i="122"/>
  <c r="BB59" i="123" s="1"/>
  <c r="V177" i="122"/>
  <c r="AT59" i="123" s="1"/>
  <c r="U177" i="122"/>
  <c r="AS59" i="123" s="1"/>
  <c r="M177" i="122"/>
  <c r="Y59" i="123" s="1"/>
  <c r="L177" i="122"/>
  <c r="X59" i="123" s="1"/>
  <c r="J177" i="122"/>
  <c r="P59" i="123" s="1"/>
  <c r="I177" i="122"/>
  <c r="O59" i="123" s="1"/>
  <c r="G177" i="122"/>
  <c r="G59" i="123" s="1"/>
  <c r="F177" i="122"/>
  <c r="F59" i="123" s="1"/>
  <c r="BX176" i="122"/>
  <c r="FJ58" i="123" s="1"/>
  <c r="BW176" i="122"/>
  <c r="FI58" i="123" s="1"/>
  <c r="BU176" i="122"/>
  <c r="FA58" i="123" s="1"/>
  <c r="BT176" i="122"/>
  <c r="EZ58" i="123" s="1"/>
  <c r="BR176" i="122"/>
  <c r="ER58" i="123" s="1"/>
  <c r="BQ176" i="122"/>
  <c r="EQ58" i="123" s="1"/>
  <c r="AZ176" i="122"/>
  <c r="DK58" i="123" s="1"/>
  <c r="AY176" i="122"/>
  <c r="DJ58" i="123" s="1"/>
  <c r="AW176" i="122"/>
  <c r="DB58" i="123" s="1"/>
  <c r="AV176" i="122"/>
  <c r="DA58" i="123" s="1"/>
  <c r="AT176" i="122"/>
  <c r="CS58" i="123" s="1"/>
  <c r="AS176" i="122"/>
  <c r="CR58" i="123" s="1"/>
  <c r="AB176" i="122"/>
  <c r="BL58" i="123" s="1"/>
  <c r="AA176" i="122"/>
  <c r="BK58" i="123" s="1"/>
  <c r="Y176" i="122"/>
  <c r="BC58" i="123" s="1"/>
  <c r="X176" i="122"/>
  <c r="BB58" i="123" s="1"/>
  <c r="V176" i="122"/>
  <c r="AT58" i="123" s="1"/>
  <c r="U176" i="122"/>
  <c r="AS58" i="123" s="1"/>
  <c r="M176" i="122"/>
  <c r="Y58" i="123" s="1"/>
  <c r="L176" i="122"/>
  <c r="X58" i="123" s="1"/>
  <c r="J176" i="122"/>
  <c r="P58" i="123" s="1"/>
  <c r="I176" i="122"/>
  <c r="O58" i="123" s="1"/>
  <c r="G176" i="122"/>
  <c r="G58" i="123" s="1"/>
  <c r="F176" i="122"/>
  <c r="F58" i="123" s="1"/>
  <c r="CD175" i="122"/>
  <c r="BX175" i="122"/>
  <c r="FJ57" i="123" s="1"/>
  <c r="BW175" i="122"/>
  <c r="FI57" i="123" s="1"/>
  <c r="BU175" i="122"/>
  <c r="FA57" i="123" s="1"/>
  <c r="BT175" i="122"/>
  <c r="EZ57" i="123" s="1"/>
  <c r="BR175" i="122"/>
  <c r="ER57" i="123" s="1"/>
  <c r="BQ175" i="122"/>
  <c r="EQ57" i="123" s="1"/>
  <c r="AZ175" i="122"/>
  <c r="DK57" i="123" s="1"/>
  <c r="AY175" i="122"/>
  <c r="DJ57" i="123" s="1"/>
  <c r="AW175" i="122"/>
  <c r="DB57" i="123" s="1"/>
  <c r="AV175" i="122"/>
  <c r="DA57" i="123" s="1"/>
  <c r="AT175" i="122"/>
  <c r="CS57" i="123" s="1"/>
  <c r="AS175" i="122"/>
  <c r="CR57" i="123" s="1"/>
  <c r="AB175" i="122"/>
  <c r="BL57" i="123" s="1"/>
  <c r="AA175" i="122"/>
  <c r="BK57" i="123" s="1"/>
  <c r="Y175" i="122"/>
  <c r="BC57" i="123" s="1"/>
  <c r="X175" i="122"/>
  <c r="BB57" i="123" s="1"/>
  <c r="V175" i="122"/>
  <c r="AT57" i="123" s="1"/>
  <c r="U175" i="122"/>
  <c r="AS57" i="123" s="1"/>
  <c r="M175" i="122"/>
  <c r="Y57" i="123" s="1"/>
  <c r="L175" i="122"/>
  <c r="X57" i="123" s="1"/>
  <c r="J175" i="122"/>
  <c r="P57" i="123" s="1"/>
  <c r="I175" i="122"/>
  <c r="O57" i="123" s="1"/>
  <c r="G175" i="122"/>
  <c r="G57" i="123" s="1"/>
  <c r="F175" i="122"/>
  <c r="F57" i="123" s="1"/>
  <c r="CD174" i="122"/>
  <c r="BX174" i="122"/>
  <c r="FJ56" i="123" s="1"/>
  <c r="BW174" i="122"/>
  <c r="FI56" i="123" s="1"/>
  <c r="BU174" i="122"/>
  <c r="FA56" i="123" s="1"/>
  <c r="BT174" i="122"/>
  <c r="EZ56" i="123" s="1"/>
  <c r="BR174" i="122"/>
  <c r="ER56" i="123" s="1"/>
  <c r="BQ174" i="122"/>
  <c r="EQ56" i="123" s="1"/>
  <c r="AZ174" i="122"/>
  <c r="DK56" i="123" s="1"/>
  <c r="AY174" i="122"/>
  <c r="DJ56" i="123" s="1"/>
  <c r="AW174" i="122"/>
  <c r="DB56" i="123" s="1"/>
  <c r="AV174" i="122"/>
  <c r="DA56" i="123" s="1"/>
  <c r="AT174" i="122"/>
  <c r="CS56" i="123" s="1"/>
  <c r="AS174" i="122"/>
  <c r="CR56" i="123" s="1"/>
  <c r="AB174" i="122"/>
  <c r="BL56" i="123" s="1"/>
  <c r="AA174" i="122"/>
  <c r="BK56" i="123" s="1"/>
  <c r="Y174" i="122"/>
  <c r="BC56" i="123" s="1"/>
  <c r="X174" i="122"/>
  <c r="BB56" i="123" s="1"/>
  <c r="V174" i="122"/>
  <c r="AT56" i="123" s="1"/>
  <c r="U174" i="122"/>
  <c r="AS56" i="123" s="1"/>
  <c r="M174" i="122"/>
  <c r="Y56" i="123" s="1"/>
  <c r="L174" i="122"/>
  <c r="X56" i="123" s="1"/>
  <c r="J174" i="122"/>
  <c r="P56" i="123" s="1"/>
  <c r="I174" i="122"/>
  <c r="O56" i="123" s="1"/>
  <c r="G174" i="122"/>
  <c r="G56" i="123" s="1"/>
  <c r="F174" i="122"/>
  <c r="F56" i="123" s="1"/>
  <c r="CD173" i="122"/>
  <c r="BX173" i="122"/>
  <c r="FJ55" i="123" s="1"/>
  <c r="BW173" i="122"/>
  <c r="FI55" i="123" s="1"/>
  <c r="BU173" i="122"/>
  <c r="FA55" i="123" s="1"/>
  <c r="BT173" i="122"/>
  <c r="EZ55" i="123" s="1"/>
  <c r="BR173" i="122"/>
  <c r="ER55" i="123" s="1"/>
  <c r="BQ173" i="122"/>
  <c r="EQ55" i="123" s="1"/>
  <c r="AZ173" i="122"/>
  <c r="DK55" i="123" s="1"/>
  <c r="AY173" i="122"/>
  <c r="DJ55" i="123" s="1"/>
  <c r="AW173" i="122"/>
  <c r="DB55" i="123" s="1"/>
  <c r="AV173" i="122"/>
  <c r="DA55" i="123" s="1"/>
  <c r="AT173" i="122"/>
  <c r="CS55" i="123" s="1"/>
  <c r="AS173" i="122"/>
  <c r="CR55" i="123" s="1"/>
  <c r="AB173" i="122"/>
  <c r="BL55" i="123" s="1"/>
  <c r="AA173" i="122"/>
  <c r="BK55" i="123" s="1"/>
  <c r="Y173" i="122"/>
  <c r="BC55" i="123" s="1"/>
  <c r="X173" i="122"/>
  <c r="BB55" i="123" s="1"/>
  <c r="V173" i="122"/>
  <c r="AT55" i="123" s="1"/>
  <c r="U173" i="122"/>
  <c r="AS55" i="123" s="1"/>
  <c r="M173" i="122"/>
  <c r="Y55" i="123" s="1"/>
  <c r="L173" i="122"/>
  <c r="X55" i="123" s="1"/>
  <c r="J173" i="122"/>
  <c r="P55" i="123" s="1"/>
  <c r="I173" i="122"/>
  <c r="O55" i="123" s="1"/>
  <c r="G173" i="122"/>
  <c r="G55" i="123" s="1"/>
  <c r="F173" i="122"/>
  <c r="F55" i="123" s="1"/>
  <c r="CD172" i="122"/>
  <c r="BX172" i="122"/>
  <c r="FJ54" i="123" s="1"/>
  <c r="BW172" i="122"/>
  <c r="FI54" i="123" s="1"/>
  <c r="BU172" i="122"/>
  <c r="FA54" i="123" s="1"/>
  <c r="BT172" i="122"/>
  <c r="EZ54" i="123" s="1"/>
  <c r="BR172" i="122"/>
  <c r="ER54" i="123" s="1"/>
  <c r="BQ172" i="122"/>
  <c r="EQ54" i="123" s="1"/>
  <c r="AZ172" i="122"/>
  <c r="DK54" i="123" s="1"/>
  <c r="AY172" i="122"/>
  <c r="DJ54" i="123" s="1"/>
  <c r="AW172" i="122"/>
  <c r="DB54" i="123" s="1"/>
  <c r="AV172" i="122"/>
  <c r="DA54" i="123" s="1"/>
  <c r="AT172" i="122"/>
  <c r="CS54" i="123" s="1"/>
  <c r="AS172" i="122"/>
  <c r="CR54" i="123" s="1"/>
  <c r="AB172" i="122"/>
  <c r="BL54" i="123" s="1"/>
  <c r="AA172" i="122"/>
  <c r="BK54" i="123" s="1"/>
  <c r="Y172" i="122"/>
  <c r="BC54" i="123" s="1"/>
  <c r="X172" i="122"/>
  <c r="BB54" i="123" s="1"/>
  <c r="V172" i="122"/>
  <c r="AT54" i="123" s="1"/>
  <c r="U172" i="122"/>
  <c r="AS54" i="123" s="1"/>
  <c r="M172" i="122"/>
  <c r="Y54" i="123" s="1"/>
  <c r="L172" i="122"/>
  <c r="X54" i="123" s="1"/>
  <c r="J172" i="122"/>
  <c r="P54" i="123" s="1"/>
  <c r="I172" i="122"/>
  <c r="O54" i="123" s="1"/>
  <c r="G172" i="122"/>
  <c r="G54" i="123" s="1"/>
  <c r="F172" i="122"/>
  <c r="F54" i="123" s="1"/>
  <c r="CD171" i="122"/>
  <c r="BX171" i="122"/>
  <c r="FJ53" i="123" s="1"/>
  <c r="BW171" i="122"/>
  <c r="FI53" i="123" s="1"/>
  <c r="BU171" i="122"/>
  <c r="FA53" i="123" s="1"/>
  <c r="BT171" i="122"/>
  <c r="EZ53" i="123" s="1"/>
  <c r="BR171" i="122"/>
  <c r="ER53" i="123" s="1"/>
  <c r="BQ171" i="122"/>
  <c r="EQ53" i="123" s="1"/>
  <c r="AZ171" i="122"/>
  <c r="DK53" i="123" s="1"/>
  <c r="AY171" i="122"/>
  <c r="DJ53" i="123" s="1"/>
  <c r="AW171" i="122"/>
  <c r="DB53" i="123" s="1"/>
  <c r="AV171" i="122"/>
  <c r="DA53" i="123" s="1"/>
  <c r="AT171" i="122"/>
  <c r="CS53" i="123" s="1"/>
  <c r="AS171" i="122"/>
  <c r="CR53" i="123" s="1"/>
  <c r="AB171" i="122"/>
  <c r="BL53" i="123" s="1"/>
  <c r="AA171" i="122"/>
  <c r="BK53" i="123" s="1"/>
  <c r="Y171" i="122"/>
  <c r="BC53" i="123" s="1"/>
  <c r="X171" i="122"/>
  <c r="BB53" i="123" s="1"/>
  <c r="V171" i="122"/>
  <c r="AT53" i="123" s="1"/>
  <c r="U171" i="122"/>
  <c r="AS53" i="123" s="1"/>
  <c r="M171" i="122"/>
  <c r="Y53" i="123" s="1"/>
  <c r="L171" i="122"/>
  <c r="X53" i="123" s="1"/>
  <c r="J171" i="122"/>
  <c r="P53" i="123" s="1"/>
  <c r="I171" i="122"/>
  <c r="O53" i="123" s="1"/>
  <c r="G171" i="122"/>
  <c r="G53" i="123" s="1"/>
  <c r="F171" i="122"/>
  <c r="F53" i="123" s="1"/>
  <c r="BX169" i="122"/>
  <c r="FJ51" i="123" s="1"/>
  <c r="BW169" i="122"/>
  <c r="FI51" i="123" s="1"/>
  <c r="BU169" i="122"/>
  <c r="FA51" i="123" s="1"/>
  <c r="BT169" i="122"/>
  <c r="EZ51" i="123" s="1"/>
  <c r="BR169" i="122"/>
  <c r="ER51" i="123" s="1"/>
  <c r="BQ169" i="122"/>
  <c r="EQ51" i="123" s="1"/>
  <c r="AZ169" i="122"/>
  <c r="DK51" i="123" s="1"/>
  <c r="AY169" i="122"/>
  <c r="DJ51" i="123" s="1"/>
  <c r="AW169" i="122"/>
  <c r="DB51" i="123" s="1"/>
  <c r="AV169" i="122"/>
  <c r="DA51" i="123" s="1"/>
  <c r="AT169" i="122"/>
  <c r="CS51" i="123" s="1"/>
  <c r="AS169" i="122"/>
  <c r="CR51" i="123" s="1"/>
  <c r="AB169" i="122"/>
  <c r="BL51" i="123" s="1"/>
  <c r="AA169" i="122"/>
  <c r="BK51" i="123" s="1"/>
  <c r="Y169" i="122"/>
  <c r="BC51" i="123" s="1"/>
  <c r="X169" i="122"/>
  <c r="BB51" i="123" s="1"/>
  <c r="V169" i="122"/>
  <c r="AT51" i="123" s="1"/>
  <c r="U169" i="122"/>
  <c r="AS51" i="123" s="1"/>
  <c r="M169" i="122"/>
  <c r="Y51" i="123" s="1"/>
  <c r="L169" i="122"/>
  <c r="X51" i="123" s="1"/>
  <c r="J169" i="122"/>
  <c r="P51" i="123" s="1"/>
  <c r="I169" i="122"/>
  <c r="O51" i="123" s="1"/>
  <c r="G169" i="122"/>
  <c r="G51" i="123" s="1"/>
  <c r="F169" i="122"/>
  <c r="F51" i="123" s="1"/>
  <c r="BX168" i="122"/>
  <c r="FJ50" i="123" s="1"/>
  <c r="BW168" i="122"/>
  <c r="FI50" i="123" s="1"/>
  <c r="BU168" i="122"/>
  <c r="FA50" i="123" s="1"/>
  <c r="BT168" i="122"/>
  <c r="EZ50" i="123" s="1"/>
  <c r="BR168" i="122"/>
  <c r="ER50" i="123" s="1"/>
  <c r="BQ168" i="122"/>
  <c r="EQ50" i="123" s="1"/>
  <c r="AZ168" i="122"/>
  <c r="DK50" i="123" s="1"/>
  <c r="AY168" i="122"/>
  <c r="DJ50" i="123" s="1"/>
  <c r="AW168" i="122"/>
  <c r="DB50" i="123" s="1"/>
  <c r="AV168" i="122"/>
  <c r="DA50" i="123" s="1"/>
  <c r="AT168" i="122"/>
  <c r="CS50" i="123" s="1"/>
  <c r="AS168" i="122"/>
  <c r="CR50" i="123" s="1"/>
  <c r="AB168" i="122"/>
  <c r="BL50" i="123" s="1"/>
  <c r="AA168" i="122"/>
  <c r="BK50" i="123" s="1"/>
  <c r="Y168" i="122"/>
  <c r="BC50" i="123" s="1"/>
  <c r="X168" i="122"/>
  <c r="BB50" i="123" s="1"/>
  <c r="V168" i="122"/>
  <c r="AT50" i="123" s="1"/>
  <c r="U168" i="122"/>
  <c r="AS50" i="123" s="1"/>
  <c r="M168" i="122"/>
  <c r="Y50" i="123" s="1"/>
  <c r="L168" i="122"/>
  <c r="X50" i="123" s="1"/>
  <c r="J168" i="122"/>
  <c r="P50" i="123" s="1"/>
  <c r="I168" i="122"/>
  <c r="O50" i="123" s="1"/>
  <c r="G168" i="122"/>
  <c r="G50" i="123" s="1"/>
  <c r="F168" i="122"/>
  <c r="F50" i="123" s="1"/>
  <c r="BX167" i="122"/>
  <c r="FJ49" i="123" s="1"/>
  <c r="BW167" i="122"/>
  <c r="FI49" i="123" s="1"/>
  <c r="BU167" i="122"/>
  <c r="FA49" i="123" s="1"/>
  <c r="BT167" i="122"/>
  <c r="EZ49" i="123" s="1"/>
  <c r="BR167" i="122"/>
  <c r="ER49" i="123" s="1"/>
  <c r="BQ167" i="122"/>
  <c r="EQ49" i="123" s="1"/>
  <c r="AZ167" i="122"/>
  <c r="DK49" i="123" s="1"/>
  <c r="AY167" i="122"/>
  <c r="DJ49" i="123" s="1"/>
  <c r="AW167" i="122"/>
  <c r="DB49" i="123" s="1"/>
  <c r="AV167" i="122"/>
  <c r="DA49" i="123" s="1"/>
  <c r="AT167" i="122"/>
  <c r="CS49" i="123" s="1"/>
  <c r="AS167" i="122"/>
  <c r="CR49" i="123" s="1"/>
  <c r="AB167" i="122"/>
  <c r="BL49" i="123" s="1"/>
  <c r="AA167" i="122"/>
  <c r="BK49" i="123" s="1"/>
  <c r="Y167" i="122"/>
  <c r="BC49" i="123" s="1"/>
  <c r="X167" i="122"/>
  <c r="BB49" i="123" s="1"/>
  <c r="V167" i="122"/>
  <c r="AT49" i="123" s="1"/>
  <c r="U167" i="122"/>
  <c r="AS49" i="123" s="1"/>
  <c r="M167" i="122"/>
  <c r="Y49" i="123" s="1"/>
  <c r="L167" i="122"/>
  <c r="X49" i="123" s="1"/>
  <c r="J167" i="122"/>
  <c r="P49" i="123" s="1"/>
  <c r="I167" i="122"/>
  <c r="O49" i="123" s="1"/>
  <c r="G167" i="122"/>
  <c r="G49" i="123" s="1"/>
  <c r="F167" i="122"/>
  <c r="F49" i="123" s="1"/>
  <c r="CD164" i="122"/>
  <c r="CC164" i="122"/>
  <c r="BX164" i="122"/>
  <c r="FJ46" i="123" s="1"/>
  <c r="BW164" i="122"/>
  <c r="FI46" i="123" s="1"/>
  <c r="BU164" i="122"/>
  <c r="FA46" i="123" s="1"/>
  <c r="BT164" i="122"/>
  <c r="EZ46" i="123" s="1"/>
  <c r="BR164" i="122"/>
  <c r="ER46" i="123" s="1"/>
  <c r="BQ164" i="122"/>
  <c r="EQ46" i="123" s="1"/>
  <c r="AZ164" i="122"/>
  <c r="DK46" i="123" s="1"/>
  <c r="AY164" i="122"/>
  <c r="DJ46" i="123" s="1"/>
  <c r="AW164" i="122"/>
  <c r="DB46" i="123" s="1"/>
  <c r="AV164" i="122"/>
  <c r="DA46" i="123" s="1"/>
  <c r="AT164" i="122"/>
  <c r="CS46" i="123" s="1"/>
  <c r="AS164" i="122"/>
  <c r="CR46" i="123" s="1"/>
  <c r="AB164" i="122"/>
  <c r="BL46" i="123" s="1"/>
  <c r="AA164" i="122"/>
  <c r="BK46" i="123" s="1"/>
  <c r="Y164" i="122"/>
  <c r="BC46" i="123" s="1"/>
  <c r="X164" i="122"/>
  <c r="BB46" i="123" s="1"/>
  <c r="V164" i="122"/>
  <c r="AT46" i="123" s="1"/>
  <c r="U164" i="122"/>
  <c r="AS46" i="123" s="1"/>
  <c r="M164" i="122"/>
  <c r="Y46" i="123" s="1"/>
  <c r="L164" i="122"/>
  <c r="X46" i="123" s="1"/>
  <c r="J164" i="122"/>
  <c r="P46" i="123" s="1"/>
  <c r="I164" i="122"/>
  <c r="O46" i="123" s="1"/>
  <c r="N46" i="123" s="1"/>
  <c r="G164" i="122"/>
  <c r="G46" i="123" s="1"/>
  <c r="F164" i="122"/>
  <c r="F46" i="123" s="1"/>
  <c r="CD163" i="122"/>
  <c r="BX163" i="122"/>
  <c r="FJ45" i="123" s="1"/>
  <c r="BW163" i="122"/>
  <c r="FI45" i="123" s="1"/>
  <c r="BU163" i="122"/>
  <c r="FA45" i="123" s="1"/>
  <c r="BT163" i="122"/>
  <c r="EZ45" i="123" s="1"/>
  <c r="BR163" i="122"/>
  <c r="ER45" i="123" s="1"/>
  <c r="BQ163" i="122"/>
  <c r="EQ45" i="123" s="1"/>
  <c r="AZ163" i="122"/>
  <c r="DK45" i="123" s="1"/>
  <c r="AY163" i="122"/>
  <c r="DJ45" i="123" s="1"/>
  <c r="AW163" i="122"/>
  <c r="DB45" i="123" s="1"/>
  <c r="AV163" i="122"/>
  <c r="DA45" i="123" s="1"/>
  <c r="AT163" i="122"/>
  <c r="CS45" i="123" s="1"/>
  <c r="AS163" i="122"/>
  <c r="CR45" i="123" s="1"/>
  <c r="AB163" i="122"/>
  <c r="BL45" i="123" s="1"/>
  <c r="AA163" i="122"/>
  <c r="BK45" i="123" s="1"/>
  <c r="Y163" i="122"/>
  <c r="BC45" i="123" s="1"/>
  <c r="X163" i="122"/>
  <c r="BB45" i="123" s="1"/>
  <c r="V163" i="122"/>
  <c r="AT45" i="123" s="1"/>
  <c r="U163" i="122"/>
  <c r="AS45" i="123" s="1"/>
  <c r="M163" i="122"/>
  <c r="Y45" i="123" s="1"/>
  <c r="L163" i="122"/>
  <c r="X45" i="123" s="1"/>
  <c r="J163" i="122"/>
  <c r="P45" i="123" s="1"/>
  <c r="I163" i="122"/>
  <c r="O45" i="123" s="1"/>
  <c r="G163" i="122"/>
  <c r="G45" i="123" s="1"/>
  <c r="F163" i="122"/>
  <c r="F45" i="123" s="1"/>
  <c r="CD162" i="122"/>
  <c r="BX162" i="122"/>
  <c r="FJ44" i="123" s="1"/>
  <c r="BW162" i="122"/>
  <c r="FI44" i="123" s="1"/>
  <c r="BU162" i="122"/>
  <c r="FA44" i="123" s="1"/>
  <c r="BT162" i="122"/>
  <c r="EZ44" i="123" s="1"/>
  <c r="BR162" i="122"/>
  <c r="ER44" i="123" s="1"/>
  <c r="BQ162" i="122"/>
  <c r="EQ44" i="123" s="1"/>
  <c r="AZ162" i="122"/>
  <c r="DK44" i="123" s="1"/>
  <c r="AY162" i="122"/>
  <c r="DJ44" i="123" s="1"/>
  <c r="AW162" i="122"/>
  <c r="DB44" i="123" s="1"/>
  <c r="AV162" i="122"/>
  <c r="DA44" i="123" s="1"/>
  <c r="AT162" i="122"/>
  <c r="CS44" i="123" s="1"/>
  <c r="AS162" i="122"/>
  <c r="CR44" i="123" s="1"/>
  <c r="AB162" i="122"/>
  <c r="BL44" i="123" s="1"/>
  <c r="AA162" i="122"/>
  <c r="BK44" i="123" s="1"/>
  <c r="Y162" i="122"/>
  <c r="BC44" i="123" s="1"/>
  <c r="X162" i="122"/>
  <c r="BB44" i="123" s="1"/>
  <c r="V162" i="122"/>
  <c r="AT44" i="123" s="1"/>
  <c r="U162" i="122"/>
  <c r="AS44" i="123" s="1"/>
  <c r="M162" i="122"/>
  <c r="Y44" i="123" s="1"/>
  <c r="L162" i="122"/>
  <c r="X44" i="123" s="1"/>
  <c r="J162" i="122"/>
  <c r="P44" i="123" s="1"/>
  <c r="I162" i="122"/>
  <c r="O44" i="123" s="1"/>
  <c r="G162" i="122"/>
  <c r="G44" i="123" s="1"/>
  <c r="F162" i="122"/>
  <c r="F44" i="123" s="1"/>
  <c r="BX159" i="122"/>
  <c r="BW159" i="122"/>
  <c r="FI41" i="123" s="1"/>
  <c r="BU159" i="122"/>
  <c r="FA41" i="123" s="1"/>
  <c r="BT159" i="122"/>
  <c r="BR159" i="122"/>
  <c r="BQ159" i="122"/>
  <c r="AZ159" i="122"/>
  <c r="AY159" i="122"/>
  <c r="DJ41" i="123" s="1"/>
  <c r="AW159" i="122"/>
  <c r="DB41" i="123" s="1"/>
  <c r="AV159" i="122"/>
  <c r="AT159" i="122"/>
  <c r="AS159" i="122"/>
  <c r="CR41" i="123" s="1"/>
  <c r="AB159" i="122"/>
  <c r="AA159" i="122"/>
  <c r="Y159" i="122"/>
  <c r="BC41" i="123" s="1"/>
  <c r="X159" i="122"/>
  <c r="V159" i="122"/>
  <c r="AT41" i="123" s="1"/>
  <c r="U159" i="122"/>
  <c r="M159" i="122"/>
  <c r="Y41" i="123" s="1"/>
  <c r="L159" i="122"/>
  <c r="J159" i="122"/>
  <c r="I159" i="122"/>
  <c r="G159" i="122"/>
  <c r="G41" i="123" s="1"/>
  <c r="F159" i="122"/>
  <c r="F41" i="123" s="1"/>
  <c r="BX158" i="122"/>
  <c r="FJ40" i="123" s="1"/>
  <c r="BW158" i="122"/>
  <c r="BU158" i="122"/>
  <c r="FA40" i="123" s="1"/>
  <c r="BT158" i="122"/>
  <c r="EZ40" i="123" s="1"/>
  <c r="BR158" i="122"/>
  <c r="ER40" i="123" s="1"/>
  <c r="BQ158" i="122"/>
  <c r="EQ40" i="123" s="1"/>
  <c r="AZ158" i="122"/>
  <c r="DK40" i="123" s="1"/>
  <c r="AY158" i="122"/>
  <c r="DJ40" i="123" s="1"/>
  <c r="AW158" i="122"/>
  <c r="DB40" i="123" s="1"/>
  <c r="AV158" i="122"/>
  <c r="DA40" i="123" s="1"/>
  <c r="AT158" i="122"/>
  <c r="CS40" i="123" s="1"/>
  <c r="AS158" i="122"/>
  <c r="CR40" i="123" s="1"/>
  <c r="AB158" i="122"/>
  <c r="BL40" i="123" s="1"/>
  <c r="AA158" i="122"/>
  <c r="BK40" i="123" s="1"/>
  <c r="Y158" i="122"/>
  <c r="BC40" i="123" s="1"/>
  <c r="X158" i="122"/>
  <c r="BB40" i="123" s="1"/>
  <c r="V158" i="122"/>
  <c r="AT40" i="123" s="1"/>
  <c r="U158" i="122"/>
  <c r="AS40" i="123" s="1"/>
  <c r="M158" i="122"/>
  <c r="Y40" i="123" s="1"/>
  <c r="L158" i="122"/>
  <c r="X40" i="123" s="1"/>
  <c r="J158" i="122"/>
  <c r="P40" i="123" s="1"/>
  <c r="I158" i="122"/>
  <c r="O40" i="123" s="1"/>
  <c r="G158" i="122"/>
  <c r="G40" i="123" s="1"/>
  <c r="F158" i="122"/>
  <c r="F40" i="123" s="1"/>
  <c r="BX157" i="122"/>
  <c r="FJ39" i="123" s="1"/>
  <c r="BW157" i="122"/>
  <c r="FI39" i="123" s="1"/>
  <c r="BU157" i="122"/>
  <c r="FA39" i="123" s="1"/>
  <c r="BT157" i="122"/>
  <c r="EZ39" i="123" s="1"/>
  <c r="BR157" i="122"/>
  <c r="ER39" i="123" s="1"/>
  <c r="BQ157" i="122"/>
  <c r="EQ39" i="123" s="1"/>
  <c r="AZ157" i="122"/>
  <c r="DK39" i="123" s="1"/>
  <c r="AY157" i="122"/>
  <c r="DJ39" i="123" s="1"/>
  <c r="AW157" i="122"/>
  <c r="DB39" i="123" s="1"/>
  <c r="AV157" i="122"/>
  <c r="DA39" i="123" s="1"/>
  <c r="AT157" i="122"/>
  <c r="CS39" i="123" s="1"/>
  <c r="AS157" i="122"/>
  <c r="CR39" i="123" s="1"/>
  <c r="AB157" i="122"/>
  <c r="BL39" i="123" s="1"/>
  <c r="AA157" i="122"/>
  <c r="BK39" i="123" s="1"/>
  <c r="Y157" i="122"/>
  <c r="BC39" i="123" s="1"/>
  <c r="X157" i="122"/>
  <c r="BB39" i="123" s="1"/>
  <c r="V157" i="122"/>
  <c r="AT39" i="123" s="1"/>
  <c r="U157" i="122"/>
  <c r="AS39" i="123" s="1"/>
  <c r="M157" i="122"/>
  <c r="Y39" i="123" s="1"/>
  <c r="L157" i="122"/>
  <c r="X39" i="123" s="1"/>
  <c r="J157" i="122"/>
  <c r="P39" i="123" s="1"/>
  <c r="I157" i="122"/>
  <c r="O39" i="123" s="1"/>
  <c r="N39" i="123" s="1"/>
  <c r="G157" i="122"/>
  <c r="G39" i="123" s="1"/>
  <c r="F157" i="122"/>
  <c r="F39" i="123" s="1"/>
  <c r="BX156" i="122"/>
  <c r="FJ38" i="123" s="1"/>
  <c r="BW156" i="122"/>
  <c r="FI38" i="123" s="1"/>
  <c r="BU156" i="122"/>
  <c r="FA38" i="123" s="1"/>
  <c r="BT156" i="122"/>
  <c r="EZ38" i="123" s="1"/>
  <c r="BR156" i="122"/>
  <c r="ER38" i="123" s="1"/>
  <c r="BQ156" i="122"/>
  <c r="EQ38" i="123" s="1"/>
  <c r="AZ156" i="122"/>
  <c r="DK38" i="123" s="1"/>
  <c r="AY156" i="122"/>
  <c r="DJ38" i="123" s="1"/>
  <c r="AW156" i="122"/>
  <c r="DB38" i="123" s="1"/>
  <c r="AV156" i="122"/>
  <c r="DA38" i="123" s="1"/>
  <c r="AT156" i="122"/>
  <c r="CS38" i="123" s="1"/>
  <c r="AS156" i="122"/>
  <c r="CR38" i="123" s="1"/>
  <c r="AB156" i="122"/>
  <c r="BL38" i="123" s="1"/>
  <c r="AA156" i="122"/>
  <c r="BK38" i="123" s="1"/>
  <c r="Y156" i="122"/>
  <c r="BC38" i="123" s="1"/>
  <c r="X156" i="122"/>
  <c r="BB38" i="123" s="1"/>
  <c r="V156" i="122"/>
  <c r="AT38" i="123" s="1"/>
  <c r="U156" i="122"/>
  <c r="AS38" i="123" s="1"/>
  <c r="M156" i="122"/>
  <c r="Y38" i="123" s="1"/>
  <c r="L156" i="122"/>
  <c r="X38" i="123" s="1"/>
  <c r="J156" i="122"/>
  <c r="P38" i="123" s="1"/>
  <c r="I156" i="122"/>
  <c r="O38" i="123" s="1"/>
  <c r="G156" i="122"/>
  <c r="G38" i="123" s="1"/>
  <c r="F156" i="122"/>
  <c r="F38" i="123" s="1"/>
  <c r="BX155" i="122"/>
  <c r="FJ37" i="123" s="1"/>
  <c r="BW155" i="122"/>
  <c r="FI37" i="123" s="1"/>
  <c r="BU155" i="122"/>
  <c r="FA37" i="123" s="1"/>
  <c r="BT155" i="122"/>
  <c r="EZ37" i="123" s="1"/>
  <c r="BR155" i="122"/>
  <c r="ER37" i="123" s="1"/>
  <c r="BQ155" i="122"/>
  <c r="EQ37" i="123" s="1"/>
  <c r="AZ155" i="122"/>
  <c r="DK37" i="123" s="1"/>
  <c r="AY155" i="122"/>
  <c r="DJ37" i="123" s="1"/>
  <c r="AW155" i="122"/>
  <c r="DB37" i="123" s="1"/>
  <c r="AV155" i="122"/>
  <c r="DA37" i="123" s="1"/>
  <c r="AT155" i="122"/>
  <c r="CS37" i="123" s="1"/>
  <c r="AS155" i="122"/>
  <c r="CR37" i="123" s="1"/>
  <c r="AB155" i="122"/>
  <c r="BL37" i="123" s="1"/>
  <c r="AA155" i="122"/>
  <c r="BK37" i="123" s="1"/>
  <c r="Y155" i="122"/>
  <c r="BC37" i="123" s="1"/>
  <c r="X155" i="122"/>
  <c r="BB37" i="123" s="1"/>
  <c r="V155" i="122"/>
  <c r="AT37" i="123" s="1"/>
  <c r="U155" i="122"/>
  <c r="AS37" i="123" s="1"/>
  <c r="M155" i="122"/>
  <c r="Y37" i="123" s="1"/>
  <c r="L155" i="122"/>
  <c r="X37" i="123" s="1"/>
  <c r="J155" i="122"/>
  <c r="P37" i="123" s="1"/>
  <c r="I155" i="122"/>
  <c r="O37" i="123" s="1"/>
  <c r="N37" i="123" s="1"/>
  <c r="G155" i="122"/>
  <c r="G37" i="123" s="1"/>
  <c r="F155" i="122"/>
  <c r="F37" i="123" s="1"/>
  <c r="BX154" i="122"/>
  <c r="FJ36" i="123" s="1"/>
  <c r="BW154" i="122"/>
  <c r="FI36" i="123" s="1"/>
  <c r="BU154" i="122"/>
  <c r="FA36" i="123" s="1"/>
  <c r="BT154" i="122"/>
  <c r="EZ36" i="123" s="1"/>
  <c r="BR154" i="122"/>
  <c r="ER36" i="123" s="1"/>
  <c r="BQ154" i="122"/>
  <c r="EQ36" i="123" s="1"/>
  <c r="AZ154" i="122"/>
  <c r="DK36" i="123" s="1"/>
  <c r="AY154" i="122"/>
  <c r="DJ36" i="123" s="1"/>
  <c r="AW154" i="122"/>
  <c r="DB36" i="123" s="1"/>
  <c r="AV154" i="122"/>
  <c r="DA36" i="123" s="1"/>
  <c r="AT154" i="122"/>
  <c r="CS36" i="123" s="1"/>
  <c r="AS154" i="122"/>
  <c r="CR36" i="123" s="1"/>
  <c r="AB154" i="122"/>
  <c r="BL36" i="123" s="1"/>
  <c r="AA154" i="122"/>
  <c r="BK36" i="123" s="1"/>
  <c r="Y154" i="122"/>
  <c r="BC36" i="123" s="1"/>
  <c r="X154" i="122"/>
  <c r="BB36" i="123" s="1"/>
  <c r="V154" i="122"/>
  <c r="AT36" i="123" s="1"/>
  <c r="U154" i="122"/>
  <c r="AS36" i="123" s="1"/>
  <c r="M154" i="122"/>
  <c r="Y36" i="123" s="1"/>
  <c r="L154" i="122"/>
  <c r="X36" i="123" s="1"/>
  <c r="J154" i="122"/>
  <c r="P36" i="123" s="1"/>
  <c r="I154" i="122"/>
  <c r="O36" i="123" s="1"/>
  <c r="G154" i="122"/>
  <c r="G36" i="123" s="1"/>
  <c r="F154" i="122"/>
  <c r="F36" i="123" s="1"/>
  <c r="BX153" i="122"/>
  <c r="FJ35" i="123" s="1"/>
  <c r="BW153" i="122"/>
  <c r="FI35" i="123" s="1"/>
  <c r="BU153" i="122"/>
  <c r="FA35" i="123" s="1"/>
  <c r="BT153" i="122"/>
  <c r="EZ35" i="123" s="1"/>
  <c r="BR153" i="122"/>
  <c r="ER35" i="123" s="1"/>
  <c r="BQ153" i="122"/>
  <c r="EQ35" i="123" s="1"/>
  <c r="AZ153" i="122"/>
  <c r="DK35" i="123" s="1"/>
  <c r="AY153" i="122"/>
  <c r="DJ35" i="123" s="1"/>
  <c r="AW153" i="122"/>
  <c r="DB35" i="123" s="1"/>
  <c r="AV153" i="122"/>
  <c r="DA35" i="123" s="1"/>
  <c r="AT153" i="122"/>
  <c r="CS35" i="123" s="1"/>
  <c r="AS153" i="122"/>
  <c r="CR35" i="123" s="1"/>
  <c r="AB153" i="122"/>
  <c r="BL35" i="123" s="1"/>
  <c r="AA153" i="122"/>
  <c r="BK35" i="123" s="1"/>
  <c r="Y153" i="122"/>
  <c r="BC35" i="123" s="1"/>
  <c r="X153" i="122"/>
  <c r="BB35" i="123" s="1"/>
  <c r="V153" i="122"/>
  <c r="AT35" i="123" s="1"/>
  <c r="U153" i="122"/>
  <c r="AS35" i="123" s="1"/>
  <c r="M153" i="122"/>
  <c r="Y35" i="123" s="1"/>
  <c r="L153" i="122"/>
  <c r="X35" i="123" s="1"/>
  <c r="J153" i="122"/>
  <c r="P35" i="123" s="1"/>
  <c r="I153" i="122"/>
  <c r="O35" i="123" s="1"/>
  <c r="G153" i="122"/>
  <c r="G35" i="123" s="1"/>
  <c r="F153" i="122"/>
  <c r="F35" i="123" s="1"/>
  <c r="BX148" i="122"/>
  <c r="BW148" i="122"/>
  <c r="BU148" i="122"/>
  <c r="BT148" i="122"/>
  <c r="BR148" i="122"/>
  <c r="BQ148" i="122"/>
  <c r="AZ148" i="122"/>
  <c r="AY148" i="122"/>
  <c r="AW148" i="122"/>
  <c r="AV148" i="122"/>
  <c r="AT148" i="122"/>
  <c r="AS148" i="122"/>
  <c r="AB148" i="122"/>
  <c r="AA148" i="122"/>
  <c r="Y148" i="122"/>
  <c r="X148" i="122"/>
  <c r="V148" i="122"/>
  <c r="U148" i="122"/>
  <c r="M148" i="122"/>
  <c r="L148" i="122"/>
  <c r="J148" i="122"/>
  <c r="I148" i="122"/>
  <c r="G148" i="122"/>
  <c r="F148" i="122"/>
  <c r="BX147" i="122"/>
  <c r="BW147" i="122"/>
  <c r="BU147" i="122"/>
  <c r="BT147" i="122"/>
  <c r="BR147" i="122"/>
  <c r="BQ147" i="122"/>
  <c r="AZ147" i="122"/>
  <c r="AY147" i="122"/>
  <c r="AW147" i="122"/>
  <c r="AV147" i="122"/>
  <c r="AT147" i="122"/>
  <c r="AS147" i="122"/>
  <c r="AB147" i="122"/>
  <c r="AA147" i="122"/>
  <c r="Y147" i="122"/>
  <c r="X147" i="122"/>
  <c r="V147" i="122"/>
  <c r="U147" i="122"/>
  <c r="M147" i="122"/>
  <c r="L147" i="122"/>
  <c r="J147" i="122"/>
  <c r="I147" i="122"/>
  <c r="G147" i="122"/>
  <c r="F147" i="122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Y132" i="122"/>
  <c r="BA132" i="122"/>
  <c r="AC132" i="122"/>
  <c r="N132" i="122"/>
  <c r="B132" i="122"/>
  <c r="B187" i="122" s="1"/>
  <c r="B75" i="123" s="1"/>
  <c r="BY131" i="122"/>
  <c r="BA131" i="122"/>
  <c r="AC131" i="122"/>
  <c r="N131" i="122"/>
  <c r="B131" i="122"/>
  <c r="B186" i="122" s="1"/>
  <c r="B74" i="123" s="1"/>
  <c r="BY130" i="122"/>
  <c r="BA130" i="122"/>
  <c r="BA129" i="122" s="1"/>
  <c r="AC130" i="122"/>
  <c r="N130" i="122"/>
  <c r="B130" i="122"/>
  <c r="BV129" i="122"/>
  <c r="BS129" i="122"/>
  <c r="BP129" i="122"/>
  <c r="AX129" i="122"/>
  <c r="AU129" i="122"/>
  <c r="AR129" i="122"/>
  <c r="Z129" i="122"/>
  <c r="W129" i="122"/>
  <c r="T129" i="122"/>
  <c r="K129" i="122"/>
  <c r="H129" i="122"/>
  <c r="E129" i="122"/>
  <c r="CA125" i="122"/>
  <c r="CA180" i="122" s="1"/>
  <c r="BZ125" i="122"/>
  <c r="BV125" i="122"/>
  <c r="BV180" i="122" s="1"/>
  <c r="BS125" i="122"/>
  <c r="BS180" i="122" s="1"/>
  <c r="BP125" i="122"/>
  <c r="BP180" i="122" s="1"/>
  <c r="BC125" i="122"/>
  <c r="BC180" i="122" s="1"/>
  <c r="BB125" i="122"/>
  <c r="BB180" i="122" s="1"/>
  <c r="AX125" i="122"/>
  <c r="AX180" i="122" s="1"/>
  <c r="AU125" i="122"/>
  <c r="AU180" i="122" s="1"/>
  <c r="AR125" i="122"/>
  <c r="AR180" i="122" s="1"/>
  <c r="AE125" i="122"/>
  <c r="AE180" i="122" s="1"/>
  <c r="AD125" i="122"/>
  <c r="Z125" i="122"/>
  <c r="Z180" i="122" s="1"/>
  <c r="W125" i="122"/>
  <c r="W180" i="122" s="1"/>
  <c r="T125" i="122"/>
  <c r="T180" i="122" s="1"/>
  <c r="P125" i="122"/>
  <c r="O125" i="122"/>
  <c r="O180" i="122" s="1"/>
  <c r="K125" i="122"/>
  <c r="K180" i="122" s="1"/>
  <c r="H125" i="122"/>
  <c r="H180" i="122" s="1"/>
  <c r="E125" i="122"/>
  <c r="E180" i="122" s="1"/>
  <c r="CA124" i="122"/>
  <c r="CA179" i="122" s="1"/>
  <c r="BZ124" i="122"/>
  <c r="BZ179" i="122" s="1"/>
  <c r="BV124" i="122"/>
  <c r="BV179" i="122" s="1"/>
  <c r="BS124" i="122"/>
  <c r="BS179" i="122" s="1"/>
  <c r="BP124" i="122"/>
  <c r="BP179" i="122" s="1"/>
  <c r="BC124" i="122"/>
  <c r="BC179" i="122" s="1"/>
  <c r="BB124" i="122"/>
  <c r="BB179" i="122" s="1"/>
  <c r="AX124" i="122"/>
  <c r="AX179" i="122" s="1"/>
  <c r="AU124" i="122"/>
  <c r="AU179" i="122" s="1"/>
  <c r="AR124" i="122"/>
  <c r="AR179" i="122" s="1"/>
  <c r="AE124" i="122"/>
  <c r="AD124" i="122"/>
  <c r="AD179" i="122" s="1"/>
  <c r="Z124" i="122"/>
  <c r="Z179" i="122" s="1"/>
  <c r="W124" i="122"/>
  <c r="W179" i="122" s="1"/>
  <c r="T124" i="122"/>
  <c r="T179" i="122" s="1"/>
  <c r="P124" i="122"/>
  <c r="P179" i="122" s="1"/>
  <c r="O124" i="122"/>
  <c r="K124" i="122"/>
  <c r="K179" i="122" s="1"/>
  <c r="H124" i="122"/>
  <c r="H179" i="122" s="1"/>
  <c r="E124" i="122"/>
  <c r="E179" i="122" s="1"/>
  <c r="CD178" i="122"/>
  <c r="CA123" i="122"/>
  <c r="CA178" i="122" s="1"/>
  <c r="BZ123" i="122"/>
  <c r="BZ178" i="122" s="1"/>
  <c r="BV123" i="122"/>
  <c r="BV178" i="122" s="1"/>
  <c r="BS123" i="122"/>
  <c r="BS178" i="122" s="1"/>
  <c r="BP123" i="122"/>
  <c r="BP178" i="122" s="1"/>
  <c r="BC123" i="122"/>
  <c r="BC178" i="122" s="1"/>
  <c r="BB123" i="122"/>
  <c r="AX123" i="122"/>
  <c r="AX178" i="122" s="1"/>
  <c r="AU123" i="122"/>
  <c r="AU178" i="122" s="1"/>
  <c r="AR123" i="122"/>
  <c r="AR178" i="122" s="1"/>
  <c r="AE123" i="122"/>
  <c r="AE178" i="122" s="1"/>
  <c r="AD123" i="122"/>
  <c r="Z123" i="122"/>
  <c r="Z178" i="122" s="1"/>
  <c r="W123" i="122"/>
  <c r="W178" i="122" s="1"/>
  <c r="T123" i="122"/>
  <c r="T178" i="122" s="1"/>
  <c r="P123" i="122"/>
  <c r="P178" i="122" s="1"/>
  <c r="O123" i="122"/>
  <c r="O178" i="122" s="1"/>
  <c r="K123" i="122"/>
  <c r="K178" i="122" s="1"/>
  <c r="H123" i="122"/>
  <c r="H178" i="122" s="1"/>
  <c r="E123" i="122"/>
  <c r="E178" i="122" s="1"/>
  <c r="D123" i="122"/>
  <c r="CB122" i="122"/>
  <c r="CB177" i="122" s="1"/>
  <c r="CA122" i="122"/>
  <c r="CA177" i="122" s="1"/>
  <c r="BZ122" i="122"/>
  <c r="BZ177" i="122" s="1"/>
  <c r="BV122" i="122"/>
  <c r="BV177" i="122" s="1"/>
  <c r="BS122" i="122"/>
  <c r="BS177" i="122" s="1"/>
  <c r="BP122" i="122"/>
  <c r="BP177" i="122" s="1"/>
  <c r="BC122" i="122"/>
  <c r="BB122" i="122"/>
  <c r="BB177" i="122" s="1"/>
  <c r="AX122" i="122"/>
  <c r="AX177" i="122" s="1"/>
  <c r="AU122" i="122"/>
  <c r="AU177" i="122" s="1"/>
  <c r="AR122" i="122"/>
  <c r="AR177" i="122" s="1"/>
  <c r="AE122" i="122"/>
  <c r="AD122" i="122"/>
  <c r="AD177" i="122" s="1"/>
  <c r="Z122" i="122"/>
  <c r="Z177" i="122" s="1"/>
  <c r="W122" i="122"/>
  <c r="W177" i="122" s="1"/>
  <c r="T122" i="122"/>
  <c r="T177" i="122" s="1"/>
  <c r="P122" i="122"/>
  <c r="P177" i="122" s="1"/>
  <c r="O122" i="122"/>
  <c r="K122" i="122"/>
  <c r="K177" i="122" s="1"/>
  <c r="H122" i="122"/>
  <c r="H177" i="122" s="1"/>
  <c r="E122" i="122"/>
  <c r="E177" i="122" s="1"/>
  <c r="D122" i="122"/>
  <c r="C122" i="122"/>
  <c r="C177" i="122" s="1"/>
  <c r="C59" i="123" s="1"/>
  <c r="CA121" i="122"/>
  <c r="CA176" i="122" s="1"/>
  <c r="BZ121" i="122"/>
  <c r="BZ176" i="122" s="1"/>
  <c r="BV121" i="122"/>
  <c r="BV176" i="122" s="1"/>
  <c r="BS121" i="122"/>
  <c r="BS176" i="122" s="1"/>
  <c r="BP121" i="122"/>
  <c r="BP176" i="122" s="1"/>
  <c r="BC121" i="122"/>
  <c r="BC176" i="122" s="1"/>
  <c r="BB121" i="122"/>
  <c r="AX121" i="122"/>
  <c r="AX176" i="122" s="1"/>
  <c r="AU121" i="122"/>
  <c r="AU176" i="122" s="1"/>
  <c r="AR121" i="122"/>
  <c r="AR176" i="122" s="1"/>
  <c r="AE121" i="122"/>
  <c r="AE176" i="122" s="1"/>
  <c r="AD121" i="122"/>
  <c r="AD176" i="122" s="1"/>
  <c r="Z121" i="122"/>
  <c r="Z176" i="122" s="1"/>
  <c r="W121" i="122"/>
  <c r="W176" i="122" s="1"/>
  <c r="T121" i="122"/>
  <c r="T176" i="122" s="1"/>
  <c r="P121" i="122"/>
  <c r="P176" i="122" s="1"/>
  <c r="O121" i="122"/>
  <c r="O176" i="122" s="1"/>
  <c r="K121" i="122"/>
  <c r="K176" i="122" s="1"/>
  <c r="H121" i="122"/>
  <c r="H176" i="122" s="1"/>
  <c r="E121" i="122"/>
  <c r="E176" i="122" s="1"/>
  <c r="CA120" i="122"/>
  <c r="CA175" i="122" s="1"/>
  <c r="BZ120" i="122"/>
  <c r="BV120" i="122"/>
  <c r="BV175" i="122" s="1"/>
  <c r="BS120" i="122"/>
  <c r="BS175" i="122" s="1"/>
  <c r="BP120" i="122"/>
  <c r="BP175" i="122" s="1"/>
  <c r="BC120" i="122"/>
  <c r="BC175" i="122" s="1"/>
  <c r="BB120" i="122"/>
  <c r="BB175" i="122" s="1"/>
  <c r="AX120" i="122"/>
  <c r="AX175" i="122" s="1"/>
  <c r="AU120" i="122"/>
  <c r="AU175" i="122" s="1"/>
  <c r="AR120" i="122"/>
  <c r="AR175" i="122" s="1"/>
  <c r="AE120" i="122"/>
  <c r="AE175" i="122" s="1"/>
  <c r="AD120" i="122"/>
  <c r="Z120" i="122"/>
  <c r="Z175" i="122" s="1"/>
  <c r="W120" i="122"/>
  <c r="W175" i="122" s="1"/>
  <c r="T120" i="122"/>
  <c r="T175" i="122" s="1"/>
  <c r="P120" i="122"/>
  <c r="O120" i="122"/>
  <c r="O175" i="122" s="1"/>
  <c r="K120" i="122"/>
  <c r="K175" i="122" s="1"/>
  <c r="H120" i="122"/>
  <c r="H175" i="122" s="1"/>
  <c r="E120" i="122"/>
  <c r="E175" i="122" s="1"/>
  <c r="D120" i="122"/>
  <c r="D175" i="122" s="1"/>
  <c r="D57" i="123" s="1"/>
  <c r="CA119" i="122"/>
  <c r="CA174" i="122" s="1"/>
  <c r="BZ119" i="122"/>
  <c r="BZ174" i="122" s="1"/>
  <c r="BV119" i="122"/>
  <c r="BV174" i="122" s="1"/>
  <c r="BS119" i="122"/>
  <c r="BS174" i="122" s="1"/>
  <c r="BP119" i="122"/>
  <c r="BP174" i="122" s="1"/>
  <c r="BC119" i="122"/>
  <c r="BC174" i="122" s="1"/>
  <c r="BB119" i="122"/>
  <c r="AX119" i="122"/>
  <c r="AX174" i="122" s="1"/>
  <c r="AU119" i="122"/>
  <c r="AU174" i="122" s="1"/>
  <c r="AR119" i="122"/>
  <c r="AR174" i="122" s="1"/>
  <c r="AE119" i="122"/>
  <c r="AE174" i="122" s="1"/>
  <c r="AD119" i="122"/>
  <c r="AD174" i="122" s="1"/>
  <c r="Z119" i="122"/>
  <c r="Z174" i="122" s="1"/>
  <c r="W119" i="122"/>
  <c r="W174" i="122" s="1"/>
  <c r="T119" i="122"/>
  <c r="T174" i="122" s="1"/>
  <c r="P119" i="122"/>
  <c r="P174" i="122" s="1"/>
  <c r="O119" i="122"/>
  <c r="K119" i="122"/>
  <c r="K174" i="122" s="1"/>
  <c r="H119" i="122"/>
  <c r="H174" i="122" s="1"/>
  <c r="E119" i="122"/>
  <c r="E174" i="122" s="1"/>
  <c r="D119" i="122"/>
  <c r="CA118" i="122"/>
  <c r="CA173" i="122" s="1"/>
  <c r="BZ118" i="122"/>
  <c r="BV118" i="122"/>
  <c r="BV173" i="122" s="1"/>
  <c r="BS118" i="122"/>
  <c r="BS173" i="122" s="1"/>
  <c r="BP118" i="122"/>
  <c r="BP173" i="122" s="1"/>
  <c r="BC118" i="122"/>
  <c r="BC173" i="122" s="1"/>
  <c r="BB118" i="122"/>
  <c r="BB173" i="122" s="1"/>
  <c r="AX118" i="122"/>
  <c r="AX173" i="122" s="1"/>
  <c r="AU118" i="122"/>
  <c r="AU173" i="122" s="1"/>
  <c r="AR118" i="122"/>
  <c r="AR173" i="122" s="1"/>
  <c r="AE118" i="122"/>
  <c r="AE173" i="122" s="1"/>
  <c r="AD118" i="122"/>
  <c r="Z118" i="122"/>
  <c r="Z173" i="122" s="1"/>
  <c r="W118" i="122"/>
  <c r="W173" i="122" s="1"/>
  <c r="T118" i="122"/>
  <c r="T173" i="122" s="1"/>
  <c r="P118" i="122"/>
  <c r="O118" i="122"/>
  <c r="O173" i="122" s="1"/>
  <c r="K118" i="122"/>
  <c r="K173" i="122" s="1"/>
  <c r="H118" i="122"/>
  <c r="H173" i="122" s="1"/>
  <c r="E118" i="122"/>
  <c r="E173" i="122" s="1"/>
  <c r="D118" i="122"/>
  <c r="CA117" i="122"/>
  <c r="CA172" i="122" s="1"/>
  <c r="BZ117" i="122"/>
  <c r="BZ172" i="122" s="1"/>
  <c r="BV117" i="122"/>
  <c r="BV172" i="122" s="1"/>
  <c r="BS117" i="122"/>
  <c r="BS172" i="122" s="1"/>
  <c r="BP117" i="122"/>
  <c r="BP172" i="122" s="1"/>
  <c r="BC117" i="122"/>
  <c r="BC172" i="122" s="1"/>
  <c r="BB117" i="122"/>
  <c r="AX117" i="122"/>
  <c r="AX172" i="122" s="1"/>
  <c r="AU117" i="122"/>
  <c r="AU172" i="122" s="1"/>
  <c r="AR117" i="122"/>
  <c r="AR172" i="122" s="1"/>
  <c r="AE117" i="122"/>
  <c r="AE172" i="122" s="1"/>
  <c r="AD117" i="122"/>
  <c r="AD172" i="122" s="1"/>
  <c r="Z117" i="122"/>
  <c r="Z172" i="122" s="1"/>
  <c r="W117" i="122"/>
  <c r="W172" i="122" s="1"/>
  <c r="T117" i="122"/>
  <c r="T172" i="122" s="1"/>
  <c r="P117" i="122"/>
  <c r="P172" i="122" s="1"/>
  <c r="O117" i="122"/>
  <c r="O172" i="122" s="1"/>
  <c r="K117" i="122"/>
  <c r="K172" i="122" s="1"/>
  <c r="H117" i="122"/>
  <c r="H172" i="122" s="1"/>
  <c r="E117" i="122"/>
  <c r="E172" i="122" s="1"/>
  <c r="D117" i="122"/>
  <c r="CA116" i="122"/>
  <c r="CA171" i="122" s="1"/>
  <c r="BZ116" i="122"/>
  <c r="BV116" i="122"/>
  <c r="BV171" i="122" s="1"/>
  <c r="BS116" i="122"/>
  <c r="BS171" i="122" s="1"/>
  <c r="BP116" i="122"/>
  <c r="BP171" i="122" s="1"/>
  <c r="BC116" i="122"/>
  <c r="BC171" i="122" s="1"/>
  <c r="BB116" i="122"/>
  <c r="BB171" i="122" s="1"/>
  <c r="AX116" i="122"/>
  <c r="AX171" i="122" s="1"/>
  <c r="AU116" i="122"/>
  <c r="AU171" i="122" s="1"/>
  <c r="AR116" i="122"/>
  <c r="AR171" i="122" s="1"/>
  <c r="AE116" i="122"/>
  <c r="AE171" i="122" s="1"/>
  <c r="AD116" i="122"/>
  <c r="Z116" i="122"/>
  <c r="Z171" i="122" s="1"/>
  <c r="W116" i="122"/>
  <c r="W171" i="122" s="1"/>
  <c r="T116" i="122"/>
  <c r="T171" i="122" s="1"/>
  <c r="P116" i="122"/>
  <c r="O116" i="122"/>
  <c r="O171" i="122" s="1"/>
  <c r="K116" i="122"/>
  <c r="K171" i="122" s="1"/>
  <c r="H116" i="122"/>
  <c r="H171" i="122" s="1"/>
  <c r="E116" i="122"/>
  <c r="E171" i="122" s="1"/>
  <c r="D116" i="122"/>
  <c r="D171" i="122" s="1"/>
  <c r="D53" i="123" s="1"/>
  <c r="BX115" i="122"/>
  <c r="BX170" i="122" s="1"/>
  <c r="FJ52" i="123" s="1"/>
  <c r="BW115" i="122"/>
  <c r="BW170" i="122" s="1"/>
  <c r="FI52" i="123" s="1"/>
  <c r="BU115" i="122"/>
  <c r="BT115" i="122"/>
  <c r="BT170" i="122" s="1"/>
  <c r="EZ52" i="123" s="1"/>
  <c r="BR115" i="122"/>
  <c r="BR170" i="122" s="1"/>
  <c r="ER52" i="123" s="1"/>
  <c r="BQ115" i="122"/>
  <c r="AZ115" i="122"/>
  <c r="AZ170" i="122" s="1"/>
  <c r="DK52" i="123" s="1"/>
  <c r="AY115" i="122"/>
  <c r="AY170" i="122" s="1"/>
  <c r="DJ52" i="123" s="1"/>
  <c r="AW115" i="122"/>
  <c r="AV115" i="122"/>
  <c r="AV170" i="122" s="1"/>
  <c r="DA52" i="123" s="1"/>
  <c r="AT115" i="122"/>
  <c r="AT170" i="122" s="1"/>
  <c r="CS52" i="123" s="1"/>
  <c r="AS115" i="122"/>
  <c r="AB115" i="122"/>
  <c r="AB170" i="122" s="1"/>
  <c r="BL52" i="123" s="1"/>
  <c r="AA115" i="122"/>
  <c r="AA170" i="122" s="1"/>
  <c r="BK52" i="123" s="1"/>
  <c r="Y115" i="122"/>
  <c r="X170" i="122"/>
  <c r="BB52" i="123" s="1"/>
  <c r="V115" i="122"/>
  <c r="V170" i="122" s="1"/>
  <c r="AT52" i="123" s="1"/>
  <c r="U115" i="122"/>
  <c r="M115" i="122"/>
  <c r="L115" i="122"/>
  <c r="L170" i="122" s="1"/>
  <c r="X52" i="123" s="1"/>
  <c r="J115" i="122"/>
  <c r="J170" i="122" s="1"/>
  <c r="P52" i="123" s="1"/>
  <c r="I115" i="122"/>
  <c r="G115" i="122"/>
  <c r="G170" i="122" s="1"/>
  <c r="G52" i="123" s="1"/>
  <c r="F115" i="122"/>
  <c r="F170" i="122" s="1"/>
  <c r="F52" i="123" s="1"/>
  <c r="CA114" i="122"/>
  <c r="CA169" i="122" s="1"/>
  <c r="BZ114" i="122"/>
  <c r="BZ169" i="122" s="1"/>
  <c r="BV114" i="122"/>
  <c r="BV169" i="122" s="1"/>
  <c r="BS114" i="122"/>
  <c r="BS169" i="122" s="1"/>
  <c r="BP114" i="122"/>
  <c r="BP169" i="122" s="1"/>
  <c r="BC114" i="122"/>
  <c r="BC169" i="122" s="1"/>
  <c r="BB114" i="122"/>
  <c r="AX114" i="122"/>
  <c r="AX169" i="122" s="1"/>
  <c r="AU114" i="122"/>
  <c r="AU169" i="122" s="1"/>
  <c r="AR114" i="122"/>
  <c r="AR169" i="122" s="1"/>
  <c r="AE114" i="122"/>
  <c r="AE169" i="122" s="1"/>
  <c r="AD114" i="122"/>
  <c r="Z114" i="122"/>
  <c r="Z169" i="122" s="1"/>
  <c r="W114" i="122"/>
  <c r="W169" i="122" s="1"/>
  <c r="T114" i="122"/>
  <c r="T169" i="122" s="1"/>
  <c r="P114" i="122"/>
  <c r="P169" i="122" s="1"/>
  <c r="O114" i="122"/>
  <c r="O169" i="122" s="1"/>
  <c r="K114" i="122"/>
  <c r="K169" i="122" s="1"/>
  <c r="H114" i="122"/>
  <c r="H169" i="122" s="1"/>
  <c r="E114" i="122"/>
  <c r="E169" i="122" s="1"/>
  <c r="CA113" i="122"/>
  <c r="BZ113" i="122"/>
  <c r="BZ168" i="122" s="1"/>
  <c r="BV113" i="122"/>
  <c r="BV168" i="122" s="1"/>
  <c r="BS113" i="122"/>
  <c r="BS168" i="122" s="1"/>
  <c r="BP113" i="122"/>
  <c r="BP168" i="122" s="1"/>
  <c r="BC113" i="122"/>
  <c r="BC168" i="122" s="1"/>
  <c r="BB113" i="122"/>
  <c r="AX113" i="122"/>
  <c r="AX168" i="122" s="1"/>
  <c r="AU113" i="122"/>
  <c r="AU168" i="122" s="1"/>
  <c r="AR113" i="122"/>
  <c r="AR168" i="122" s="1"/>
  <c r="AE113" i="122"/>
  <c r="AD113" i="122"/>
  <c r="AD168" i="122" s="1"/>
  <c r="Z113" i="122"/>
  <c r="Z168" i="122" s="1"/>
  <c r="W113" i="122"/>
  <c r="W168" i="122" s="1"/>
  <c r="T113" i="122"/>
  <c r="T168" i="122" s="1"/>
  <c r="P113" i="122"/>
  <c r="P168" i="122" s="1"/>
  <c r="O113" i="122"/>
  <c r="O168" i="122" s="1"/>
  <c r="K113" i="122"/>
  <c r="K168" i="122" s="1"/>
  <c r="H113" i="122"/>
  <c r="H168" i="122" s="1"/>
  <c r="E113" i="122"/>
  <c r="E168" i="122" s="1"/>
  <c r="CA112" i="122"/>
  <c r="CA167" i="122" s="1"/>
  <c r="BZ112" i="122"/>
  <c r="BV112" i="122"/>
  <c r="BV167" i="122" s="1"/>
  <c r="BS112" i="122"/>
  <c r="BS167" i="122" s="1"/>
  <c r="BP112" i="122"/>
  <c r="BP167" i="122" s="1"/>
  <c r="BC112" i="122"/>
  <c r="BC167" i="122" s="1"/>
  <c r="BB112" i="122"/>
  <c r="BB167" i="122" s="1"/>
  <c r="AX112" i="122"/>
  <c r="AX167" i="122" s="1"/>
  <c r="AU112" i="122"/>
  <c r="AU167" i="122" s="1"/>
  <c r="AR112" i="122"/>
  <c r="AR167" i="122" s="1"/>
  <c r="AE112" i="122"/>
  <c r="AE167" i="122" s="1"/>
  <c r="AD112" i="122"/>
  <c r="Z112" i="122"/>
  <c r="Z167" i="122" s="1"/>
  <c r="W112" i="122"/>
  <c r="W167" i="122" s="1"/>
  <c r="T112" i="122"/>
  <c r="T167" i="122" s="1"/>
  <c r="P112" i="122"/>
  <c r="O112" i="122"/>
  <c r="O167" i="122" s="1"/>
  <c r="K112" i="122"/>
  <c r="K167" i="122" s="1"/>
  <c r="H112" i="122"/>
  <c r="H167" i="122" s="1"/>
  <c r="E112" i="122"/>
  <c r="E167" i="122" s="1"/>
  <c r="BX111" i="122"/>
  <c r="BX166" i="122" s="1"/>
  <c r="FJ48" i="123" s="1"/>
  <c r="BW111" i="122"/>
  <c r="BW166" i="122" s="1"/>
  <c r="FI48" i="123" s="1"/>
  <c r="BU111" i="122"/>
  <c r="BT111" i="122"/>
  <c r="BT166" i="122" s="1"/>
  <c r="EZ48" i="123" s="1"/>
  <c r="BR111" i="122"/>
  <c r="BR166" i="122" s="1"/>
  <c r="ER48" i="123" s="1"/>
  <c r="BQ111" i="122"/>
  <c r="AZ111" i="122"/>
  <c r="AZ166" i="122" s="1"/>
  <c r="DK48" i="123" s="1"/>
  <c r="AY111" i="122"/>
  <c r="AY166" i="122" s="1"/>
  <c r="DJ48" i="123" s="1"/>
  <c r="AW111" i="122"/>
  <c r="AW166" i="122" s="1"/>
  <c r="DB48" i="123" s="1"/>
  <c r="AV111" i="122"/>
  <c r="AV166" i="122" s="1"/>
  <c r="DA48" i="123" s="1"/>
  <c r="AT111" i="122"/>
  <c r="AT166" i="122" s="1"/>
  <c r="CS48" i="123" s="1"/>
  <c r="AS111" i="122"/>
  <c r="AB111" i="122"/>
  <c r="AB166" i="122" s="1"/>
  <c r="BL48" i="123" s="1"/>
  <c r="AA111" i="122"/>
  <c r="AA166" i="122" s="1"/>
  <c r="BK48" i="123" s="1"/>
  <c r="Y111" i="122"/>
  <c r="Y166" i="122" s="1"/>
  <c r="BC48" i="123" s="1"/>
  <c r="X111" i="122"/>
  <c r="X166" i="122" s="1"/>
  <c r="BB48" i="123" s="1"/>
  <c r="V111" i="122"/>
  <c r="V166" i="122" s="1"/>
  <c r="AT48" i="123" s="1"/>
  <c r="U111" i="122"/>
  <c r="M111" i="122"/>
  <c r="L111" i="122"/>
  <c r="L166" i="122" s="1"/>
  <c r="X48" i="123" s="1"/>
  <c r="J111" i="122"/>
  <c r="J166" i="122" s="1"/>
  <c r="P48" i="123" s="1"/>
  <c r="I111" i="122"/>
  <c r="G111" i="122"/>
  <c r="G166" i="122" s="1"/>
  <c r="G48" i="123" s="1"/>
  <c r="F111" i="122"/>
  <c r="F166" i="122" s="1"/>
  <c r="F48" i="123" s="1"/>
  <c r="CC110" i="122"/>
  <c r="CA110" i="122"/>
  <c r="BZ110" i="122"/>
  <c r="BV110" i="122"/>
  <c r="BS110" i="122"/>
  <c r="BP110" i="122"/>
  <c r="BC110" i="122"/>
  <c r="BB110" i="122"/>
  <c r="BA110" i="122" s="1"/>
  <c r="AX110" i="122"/>
  <c r="AU110" i="122"/>
  <c r="AR110" i="122"/>
  <c r="AE110" i="122"/>
  <c r="AK110" i="122" s="1"/>
  <c r="AD110" i="122"/>
  <c r="Z110" i="122"/>
  <c r="W110" i="122"/>
  <c r="T110" i="122"/>
  <c r="P110" i="122"/>
  <c r="O110" i="122"/>
  <c r="N110" i="122" s="1"/>
  <c r="K110" i="122"/>
  <c r="H110" i="122"/>
  <c r="E110" i="122"/>
  <c r="D110" i="122"/>
  <c r="S110" i="122" s="1"/>
  <c r="AH110" i="122" s="1"/>
  <c r="AQ110" i="122" s="1"/>
  <c r="BO110" i="122" s="1"/>
  <c r="CB109" i="122"/>
  <c r="CA109" i="122"/>
  <c r="BZ109" i="122"/>
  <c r="BV109" i="122"/>
  <c r="BS109" i="122"/>
  <c r="BP109" i="122"/>
  <c r="BC109" i="122"/>
  <c r="BB109" i="122"/>
  <c r="AX109" i="122"/>
  <c r="AU109" i="122"/>
  <c r="AR109" i="122"/>
  <c r="AE109" i="122"/>
  <c r="AD109" i="122"/>
  <c r="Z109" i="122"/>
  <c r="W109" i="122"/>
  <c r="T109" i="122"/>
  <c r="P109" i="122"/>
  <c r="O109" i="122"/>
  <c r="K109" i="122"/>
  <c r="H109" i="122"/>
  <c r="E109" i="122"/>
  <c r="D109" i="122"/>
  <c r="C109" i="122"/>
  <c r="R109" i="122" s="1"/>
  <c r="CD108" i="122"/>
  <c r="CC108" i="122"/>
  <c r="BX108" i="122"/>
  <c r="BW108" i="122"/>
  <c r="BU108" i="122"/>
  <c r="BU101" i="122" s="1"/>
  <c r="BU94" i="122" s="1"/>
  <c r="BT108" i="122"/>
  <c r="BR108" i="122"/>
  <c r="BQ108" i="122"/>
  <c r="AZ108" i="122"/>
  <c r="AY108" i="122"/>
  <c r="AW108" i="122"/>
  <c r="AV108" i="122"/>
  <c r="AT108" i="122"/>
  <c r="AS108" i="122"/>
  <c r="AS101" i="122" s="1"/>
  <c r="AS94" i="122" s="1"/>
  <c r="AB108" i="122"/>
  <c r="AA108" i="122"/>
  <c r="Y108" i="122"/>
  <c r="W108" i="122" s="1"/>
  <c r="X108" i="122"/>
  <c r="V108" i="122"/>
  <c r="U108" i="122"/>
  <c r="U101" i="122" s="1"/>
  <c r="U94" i="122" s="1"/>
  <c r="M108" i="122"/>
  <c r="L108" i="122"/>
  <c r="J108" i="122"/>
  <c r="I108" i="122"/>
  <c r="G108" i="122"/>
  <c r="F108" i="122"/>
  <c r="CB107" i="122"/>
  <c r="CA107" i="122"/>
  <c r="BZ107" i="122"/>
  <c r="BV107" i="122"/>
  <c r="BS107" i="122"/>
  <c r="BP107" i="122"/>
  <c r="BC107" i="122"/>
  <c r="BB107" i="122"/>
  <c r="AX107" i="122"/>
  <c r="AU107" i="122"/>
  <c r="AR107" i="122"/>
  <c r="AE107" i="122"/>
  <c r="AD107" i="122"/>
  <c r="Z107" i="122"/>
  <c r="W107" i="122"/>
  <c r="T107" i="122"/>
  <c r="P107" i="122"/>
  <c r="O107" i="122"/>
  <c r="K107" i="122"/>
  <c r="H107" i="122"/>
  <c r="E107" i="122"/>
  <c r="D107" i="122"/>
  <c r="C107" i="122"/>
  <c r="CD106" i="122"/>
  <c r="CC106" i="122"/>
  <c r="BX106" i="122"/>
  <c r="BW106" i="122"/>
  <c r="BU106" i="122"/>
  <c r="BT106" i="122"/>
  <c r="BR106" i="122"/>
  <c r="BQ106" i="122"/>
  <c r="AZ106" i="122"/>
  <c r="AY106" i="122"/>
  <c r="AW106" i="122"/>
  <c r="AV106" i="122"/>
  <c r="AT106" i="122"/>
  <c r="AS106" i="122"/>
  <c r="AE106" i="122"/>
  <c r="AB106" i="122"/>
  <c r="AA106" i="122"/>
  <c r="Y106" i="122"/>
  <c r="X106" i="122"/>
  <c r="V106" i="122"/>
  <c r="U106" i="122"/>
  <c r="M106" i="122"/>
  <c r="L106" i="122"/>
  <c r="J106" i="122"/>
  <c r="J101" i="122" s="1"/>
  <c r="I106" i="122"/>
  <c r="G106" i="122"/>
  <c r="F106" i="122"/>
  <c r="C106" i="122"/>
  <c r="CB105" i="122"/>
  <c r="CA105" i="122"/>
  <c r="BZ105" i="122"/>
  <c r="BV105" i="122"/>
  <c r="BS105" i="122"/>
  <c r="BP105" i="122"/>
  <c r="BC105" i="122"/>
  <c r="BB105" i="122"/>
  <c r="AX105" i="122"/>
  <c r="AU105" i="122"/>
  <c r="AR105" i="122"/>
  <c r="AE105" i="122"/>
  <c r="AD105" i="122"/>
  <c r="Z105" i="122"/>
  <c r="W105" i="122"/>
  <c r="T105" i="122"/>
  <c r="P105" i="122"/>
  <c r="O105" i="122"/>
  <c r="K105" i="122"/>
  <c r="H105" i="122"/>
  <c r="E105" i="122"/>
  <c r="D105" i="122"/>
  <c r="C105" i="122"/>
  <c r="CB104" i="122"/>
  <c r="CA104" i="122"/>
  <c r="BZ104" i="122"/>
  <c r="BV104" i="122"/>
  <c r="BS104" i="122"/>
  <c r="BP104" i="122"/>
  <c r="BC104" i="122"/>
  <c r="BB104" i="122"/>
  <c r="AX104" i="122"/>
  <c r="AU104" i="122"/>
  <c r="AR104" i="122"/>
  <c r="AE104" i="122"/>
  <c r="AK104" i="122" s="1"/>
  <c r="AD104" i="122"/>
  <c r="Z104" i="122"/>
  <c r="W104" i="122"/>
  <c r="T104" i="122"/>
  <c r="P104" i="122"/>
  <c r="O104" i="122"/>
  <c r="K104" i="122"/>
  <c r="H104" i="122"/>
  <c r="E104" i="122"/>
  <c r="D104" i="122"/>
  <c r="S104" i="122" s="1"/>
  <c r="C104" i="122"/>
  <c r="R104" i="122" s="1"/>
  <c r="CB103" i="122"/>
  <c r="CA103" i="122"/>
  <c r="BZ103" i="122"/>
  <c r="BV103" i="122"/>
  <c r="BS103" i="122"/>
  <c r="BP103" i="122"/>
  <c r="BC103" i="122"/>
  <c r="BB103" i="122"/>
  <c r="AX103" i="122"/>
  <c r="AU103" i="122"/>
  <c r="AR103" i="122"/>
  <c r="AE103" i="122"/>
  <c r="AD103" i="122"/>
  <c r="Z103" i="122"/>
  <c r="W103" i="122"/>
  <c r="T103" i="122"/>
  <c r="P103" i="122"/>
  <c r="O103" i="122"/>
  <c r="K103" i="122"/>
  <c r="H103" i="122"/>
  <c r="E103" i="122"/>
  <c r="D103" i="122"/>
  <c r="S103" i="122" s="1"/>
  <c r="AH103" i="122" s="1"/>
  <c r="C103" i="122"/>
  <c r="R103" i="122" s="1"/>
  <c r="CB102" i="122"/>
  <c r="CA102" i="122"/>
  <c r="BZ102" i="122"/>
  <c r="BV102" i="122"/>
  <c r="BS102" i="122"/>
  <c r="BP102" i="122"/>
  <c r="BC102" i="122"/>
  <c r="BB102" i="122"/>
  <c r="AX102" i="122"/>
  <c r="AU102" i="122"/>
  <c r="AR102" i="122"/>
  <c r="AE102" i="122"/>
  <c r="AD102" i="122"/>
  <c r="Z102" i="122"/>
  <c r="W102" i="122"/>
  <c r="T102" i="122"/>
  <c r="P102" i="122"/>
  <c r="O102" i="122"/>
  <c r="K102" i="122"/>
  <c r="H102" i="122"/>
  <c r="E102" i="122"/>
  <c r="D102" i="122"/>
  <c r="S102" i="122" s="1"/>
  <c r="C102" i="122"/>
  <c r="BQ101" i="122"/>
  <c r="AV101" i="122"/>
  <c r="M101" i="122"/>
  <c r="M94" i="122" s="1"/>
  <c r="BX100" i="122"/>
  <c r="BW100" i="122"/>
  <c r="BU100" i="122"/>
  <c r="BT100" i="122"/>
  <c r="BR100" i="122"/>
  <c r="BQ100" i="122"/>
  <c r="AZ100" i="122"/>
  <c r="AY100" i="122"/>
  <c r="AW100" i="122"/>
  <c r="AV100" i="122"/>
  <c r="AT100" i="122"/>
  <c r="AS100" i="122"/>
  <c r="BB100" i="122" s="1"/>
  <c r="BA100" i="122" s="1"/>
  <c r="AB100" i="122"/>
  <c r="AA100" i="122"/>
  <c r="Y100" i="122"/>
  <c r="X100" i="122"/>
  <c r="V100" i="122"/>
  <c r="U100" i="122"/>
  <c r="M100" i="122"/>
  <c r="L100" i="122"/>
  <c r="J100" i="122"/>
  <c r="I100" i="122"/>
  <c r="G100" i="122"/>
  <c r="F100" i="122"/>
  <c r="CA99" i="122"/>
  <c r="BY99" i="122" s="1"/>
  <c r="BZ99" i="122"/>
  <c r="BV99" i="122"/>
  <c r="BS99" i="122"/>
  <c r="BP99" i="122"/>
  <c r="BC99" i="122"/>
  <c r="BB99" i="122"/>
  <c r="AX99" i="122"/>
  <c r="AU99" i="122"/>
  <c r="AR99" i="122"/>
  <c r="AE99" i="122"/>
  <c r="AD99" i="122"/>
  <c r="Z99" i="122"/>
  <c r="W99" i="122"/>
  <c r="T99" i="122"/>
  <c r="P99" i="122"/>
  <c r="O99" i="122"/>
  <c r="K99" i="122"/>
  <c r="H99" i="122"/>
  <c r="E99" i="122"/>
  <c r="D99" i="122"/>
  <c r="S99" i="122" s="1"/>
  <c r="CA98" i="122"/>
  <c r="BZ98" i="122"/>
  <c r="BV98" i="122"/>
  <c r="BS98" i="122"/>
  <c r="BP98" i="122"/>
  <c r="BC98" i="122"/>
  <c r="BB98" i="122"/>
  <c r="AX98" i="122"/>
  <c r="AU98" i="122"/>
  <c r="AR98" i="122"/>
  <c r="AE98" i="122"/>
  <c r="AD98" i="122"/>
  <c r="Z98" i="122"/>
  <c r="W98" i="122"/>
  <c r="T98" i="122"/>
  <c r="P98" i="122"/>
  <c r="O98" i="122"/>
  <c r="K98" i="122"/>
  <c r="H98" i="122"/>
  <c r="E98" i="122"/>
  <c r="CA97" i="122"/>
  <c r="BZ97" i="122"/>
  <c r="BV97" i="122"/>
  <c r="BS97" i="122"/>
  <c r="BP97" i="122"/>
  <c r="BC97" i="122"/>
  <c r="BB97" i="122"/>
  <c r="AX97" i="122"/>
  <c r="AU97" i="122"/>
  <c r="AR97" i="122"/>
  <c r="AE97" i="122"/>
  <c r="AD97" i="122"/>
  <c r="Z97" i="122"/>
  <c r="W97" i="122"/>
  <c r="T97" i="122"/>
  <c r="P97" i="122"/>
  <c r="O97" i="122"/>
  <c r="K97" i="122"/>
  <c r="H97" i="122"/>
  <c r="E97" i="122"/>
  <c r="CA96" i="122"/>
  <c r="BZ96" i="122"/>
  <c r="BV96" i="122"/>
  <c r="BS96" i="122"/>
  <c r="BP96" i="122"/>
  <c r="BC96" i="122"/>
  <c r="BB96" i="122"/>
  <c r="BA96" i="122" s="1"/>
  <c r="AX96" i="122"/>
  <c r="AU96" i="122"/>
  <c r="AR96" i="122"/>
  <c r="AE96" i="122"/>
  <c r="AD96" i="122"/>
  <c r="Z96" i="122"/>
  <c r="W96" i="122"/>
  <c r="T96" i="122"/>
  <c r="P96" i="122"/>
  <c r="O96" i="122"/>
  <c r="K96" i="122"/>
  <c r="H96" i="122"/>
  <c r="E96" i="122"/>
  <c r="CA95" i="122"/>
  <c r="BY95" i="122" s="1"/>
  <c r="BZ95" i="122"/>
  <c r="BV95" i="122"/>
  <c r="BS95" i="122"/>
  <c r="BP95" i="122"/>
  <c r="BC95" i="122"/>
  <c r="BB95" i="122"/>
  <c r="AX95" i="122"/>
  <c r="AU95" i="122"/>
  <c r="AR95" i="122"/>
  <c r="AE95" i="122"/>
  <c r="AD95" i="122"/>
  <c r="Z95" i="122"/>
  <c r="W95" i="122"/>
  <c r="T95" i="122"/>
  <c r="P95" i="122"/>
  <c r="O95" i="122"/>
  <c r="K95" i="122"/>
  <c r="H95" i="122"/>
  <c r="E95" i="122"/>
  <c r="BQ94" i="122"/>
  <c r="CB93" i="122"/>
  <c r="CA93" i="122"/>
  <c r="BZ93" i="122"/>
  <c r="BV93" i="122"/>
  <c r="BV92" i="122" s="1"/>
  <c r="BS93" i="122"/>
  <c r="BS92" i="122" s="1"/>
  <c r="BP93" i="122"/>
  <c r="BC93" i="122"/>
  <c r="BA93" i="122" s="1"/>
  <c r="BB93" i="122"/>
  <c r="AX93" i="122"/>
  <c r="AX92" i="122" s="1"/>
  <c r="AU93" i="122"/>
  <c r="AU92" i="122" s="1"/>
  <c r="AR93" i="122"/>
  <c r="AR92" i="122" s="1"/>
  <c r="AE93" i="122"/>
  <c r="AD93" i="122"/>
  <c r="AC93" i="122" s="1"/>
  <c r="Z93" i="122"/>
  <c r="W93" i="122"/>
  <c r="W92" i="122" s="1"/>
  <c r="T93" i="122"/>
  <c r="P93" i="122"/>
  <c r="AK93" i="122" s="1"/>
  <c r="O93" i="122"/>
  <c r="K93" i="122"/>
  <c r="H93" i="122"/>
  <c r="E93" i="122"/>
  <c r="D93" i="122"/>
  <c r="D92" i="122" s="1"/>
  <c r="C93" i="122"/>
  <c r="R93" i="122" s="1"/>
  <c r="CD92" i="122"/>
  <c r="CC92" i="122"/>
  <c r="BX92" i="122"/>
  <c r="BW92" i="122"/>
  <c r="BU92" i="122"/>
  <c r="BT92" i="122"/>
  <c r="BR92" i="122"/>
  <c r="BQ92" i="122"/>
  <c r="BP92" i="122"/>
  <c r="AZ92" i="122"/>
  <c r="AY92" i="122"/>
  <c r="AW92" i="122"/>
  <c r="AV92" i="122"/>
  <c r="AT92" i="122"/>
  <c r="AS92" i="122"/>
  <c r="AB92" i="122"/>
  <c r="AA92" i="122"/>
  <c r="Z92" i="122"/>
  <c r="Y92" i="122"/>
  <c r="X92" i="122"/>
  <c r="V92" i="122"/>
  <c r="U92" i="122"/>
  <c r="T92" i="122"/>
  <c r="M92" i="122"/>
  <c r="L92" i="122"/>
  <c r="J92" i="122"/>
  <c r="H92" i="122" s="1"/>
  <c r="I92" i="122"/>
  <c r="G92" i="122"/>
  <c r="F92" i="122"/>
  <c r="CB91" i="122"/>
  <c r="CA91" i="122"/>
  <c r="BZ91" i="122"/>
  <c r="BV91" i="122"/>
  <c r="BV90" i="122" s="1"/>
  <c r="BS91" i="122"/>
  <c r="BS90" i="122" s="1"/>
  <c r="BP91" i="122"/>
  <c r="BP90" i="122" s="1"/>
  <c r="BC91" i="122"/>
  <c r="BB91" i="122"/>
  <c r="AX91" i="122"/>
  <c r="AX90" i="122" s="1"/>
  <c r="AU91" i="122"/>
  <c r="AU90" i="122" s="1"/>
  <c r="AR91" i="122"/>
  <c r="AR90" i="122" s="1"/>
  <c r="AE91" i="122"/>
  <c r="AD91" i="122"/>
  <c r="Z91" i="122"/>
  <c r="W91" i="122"/>
  <c r="W90" i="122" s="1"/>
  <c r="T91" i="122"/>
  <c r="T90" i="122" s="1"/>
  <c r="P91" i="122"/>
  <c r="O91" i="122"/>
  <c r="K91" i="122"/>
  <c r="H91" i="122"/>
  <c r="E91" i="122"/>
  <c r="D91" i="122"/>
  <c r="S91" i="122" s="1"/>
  <c r="S90" i="122" s="1"/>
  <c r="C91" i="122"/>
  <c r="R91" i="122" s="1"/>
  <c r="CD90" i="122"/>
  <c r="CC90" i="122"/>
  <c r="BX90" i="122"/>
  <c r="BW90" i="122"/>
  <c r="BU90" i="122"/>
  <c r="BT90" i="122"/>
  <c r="BR90" i="122"/>
  <c r="BQ90" i="122"/>
  <c r="BQ81" i="122" s="1"/>
  <c r="BQ75" i="122" s="1"/>
  <c r="AZ90" i="122"/>
  <c r="AY90" i="122"/>
  <c r="AW90" i="122"/>
  <c r="AV90" i="122"/>
  <c r="AT90" i="122"/>
  <c r="AS90" i="122"/>
  <c r="AS81" i="122" s="1"/>
  <c r="AS75" i="122" s="1"/>
  <c r="AB90" i="122"/>
  <c r="AA90" i="122"/>
  <c r="Z90" i="122"/>
  <c r="Y90" i="122"/>
  <c r="X90" i="122"/>
  <c r="V90" i="122"/>
  <c r="U90" i="122"/>
  <c r="M90" i="122"/>
  <c r="L90" i="122"/>
  <c r="J90" i="122"/>
  <c r="I90" i="122"/>
  <c r="G90" i="122"/>
  <c r="F90" i="122"/>
  <c r="D90" i="122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Z89" i="122"/>
  <c r="W89" i="122"/>
  <c r="T89" i="122"/>
  <c r="P89" i="122"/>
  <c r="O89" i="122"/>
  <c r="K89" i="122"/>
  <c r="H89" i="122"/>
  <c r="E89" i="122"/>
  <c r="D89" i="122"/>
  <c r="S89" i="122" s="1"/>
  <c r="C89" i="122"/>
  <c r="R89" i="122" s="1"/>
  <c r="CB88" i="122"/>
  <c r="CA88" i="122"/>
  <c r="CA215" i="122" s="1"/>
  <c r="BZ88" i="122"/>
  <c r="BV88" i="122"/>
  <c r="BV215" i="122" s="1"/>
  <c r="BS88" i="122"/>
  <c r="BS215" i="122" s="1"/>
  <c r="BP88" i="122"/>
  <c r="BP215" i="122" s="1"/>
  <c r="BC88" i="122"/>
  <c r="BC215" i="122" s="1"/>
  <c r="BB88" i="122"/>
  <c r="BB215" i="122" s="1"/>
  <c r="AX88" i="122"/>
  <c r="AX215" i="122" s="1"/>
  <c r="AU88" i="122"/>
  <c r="AU215" i="122" s="1"/>
  <c r="AR88" i="122"/>
  <c r="AR215" i="122" s="1"/>
  <c r="AE88" i="122"/>
  <c r="AE215" i="122" s="1"/>
  <c r="AD88" i="122"/>
  <c r="Z88" i="122"/>
  <c r="Z215" i="122" s="1"/>
  <c r="W88" i="122"/>
  <c r="W215" i="122" s="1"/>
  <c r="T88" i="122"/>
  <c r="T215" i="122" s="1"/>
  <c r="P88" i="122"/>
  <c r="O88" i="122"/>
  <c r="O215" i="122" s="1"/>
  <c r="K88" i="122"/>
  <c r="K215" i="122" s="1"/>
  <c r="H88" i="122"/>
  <c r="H215" i="122" s="1"/>
  <c r="E88" i="122"/>
  <c r="E215" i="122" s="1"/>
  <c r="D88" i="122"/>
  <c r="D215" i="122" s="1"/>
  <c r="C88" i="122"/>
  <c r="C215" i="122" s="1"/>
  <c r="CB87" i="122"/>
  <c r="CA87" i="122"/>
  <c r="BZ87" i="122"/>
  <c r="BZ214" i="122" s="1"/>
  <c r="BV87" i="122"/>
  <c r="BV214" i="122" s="1"/>
  <c r="BS87" i="122"/>
  <c r="BS214" i="122" s="1"/>
  <c r="BP87" i="122"/>
  <c r="BP214" i="122" s="1"/>
  <c r="BC87" i="122"/>
  <c r="BC214" i="122" s="1"/>
  <c r="BB87" i="122"/>
  <c r="AX87" i="122"/>
  <c r="AX214" i="122" s="1"/>
  <c r="AU87" i="122"/>
  <c r="AU214" i="122" s="1"/>
  <c r="AR87" i="122"/>
  <c r="AR214" i="122" s="1"/>
  <c r="AE87" i="122"/>
  <c r="AD87" i="122"/>
  <c r="AD214" i="122" s="1"/>
  <c r="Z87" i="122"/>
  <c r="Z214" i="122" s="1"/>
  <c r="W87" i="122"/>
  <c r="W214" i="122" s="1"/>
  <c r="T87" i="122"/>
  <c r="T214" i="122" s="1"/>
  <c r="P87" i="122"/>
  <c r="P214" i="122" s="1"/>
  <c r="O87" i="122"/>
  <c r="O214" i="122" s="1"/>
  <c r="K87" i="122"/>
  <c r="K214" i="122" s="1"/>
  <c r="H87" i="122"/>
  <c r="H214" i="122" s="1"/>
  <c r="E87" i="122"/>
  <c r="E214" i="122" s="1"/>
  <c r="D87" i="122"/>
  <c r="C87" i="122"/>
  <c r="CB86" i="122"/>
  <c r="CA86" i="122"/>
  <c r="BZ86" i="122"/>
  <c r="BV86" i="122"/>
  <c r="BS86" i="122"/>
  <c r="BP86" i="122"/>
  <c r="BC86" i="122"/>
  <c r="BB86" i="122"/>
  <c r="AX86" i="122"/>
  <c r="AU86" i="122"/>
  <c r="AR86" i="122"/>
  <c r="AE86" i="122"/>
  <c r="AD86" i="122"/>
  <c r="Z86" i="122"/>
  <c r="W86" i="122"/>
  <c r="T86" i="122"/>
  <c r="P86" i="122"/>
  <c r="O86" i="122"/>
  <c r="K86" i="122"/>
  <c r="H86" i="122"/>
  <c r="E86" i="122"/>
  <c r="D86" i="122"/>
  <c r="C86" i="122"/>
  <c r="CB85" i="122"/>
  <c r="CB164" i="122" s="1"/>
  <c r="CA85" i="122"/>
  <c r="BZ85" i="122"/>
  <c r="BV85" i="122"/>
  <c r="BS85" i="122"/>
  <c r="BP85" i="122"/>
  <c r="BC85" i="122"/>
  <c r="BB85" i="122"/>
  <c r="AX85" i="122"/>
  <c r="AU85" i="122"/>
  <c r="AR85" i="122"/>
  <c r="AE85" i="122"/>
  <c r="AD85" i="122"/>
  <c r="Z85" i="122"/>
  <c r="W85" i="122"/>
  <c r="T85" i="122"/>
  <c r="P85" i="122"/>
  <c r="O85" i="122"/>
  <c r="K85" i="122"/>
  <c r="H85" i="122"/>
  <c r="E85" i="122"/>
  <c r="D85" i="122"/>
  <c r="S85" i="122" s="1"/>
  <c r="C85" i="122"/>
  <c r="CB84" i="122"/>
  <c r="CA84" i="122"/>
  <c r="BZ84" i="122"/>
  <c r="BV84" i="122"/>
  <c r="BS84" i="122"/>
  <c r="BP84" i="122"/>
  <c r="BC84" i="122"/>
  <c r="BB84" i="122"/>
  <c r="AX84" i="122"/>
  <c r="AU84" i="122"/>
  <c r="AR84" i="122"/>
  <c r="AE84" i="122"/>
  <c r="AD84" i="122"/>
  <c r="Z84" i="122"/>
  <c r="W84" i="122"/>
  <c r="T84" i="122"/>
  <c r="P84" i="122"/>
  <c r="O84" i="122"/>
  <c r="K84" i="122"/>
  <c r="H84" i="122"/>
  <c r="E84" i="122"/>
  <c r="D84" i="122"/>
  <c r="S84" i="122" s="1"/>
  <c r="AH84" i="122" s="1"/>
  <c r="C84" i="122"/>
  <c r="R84" i="122" s="1"/>
  <c r="CB83" i="122"/>
  <c r="CA83" i="122"/>
  <c r="BZ83" i="122"/>
  <c r="BV83" i="122"/>
  <c r="BS83" i="122"/>
  <c r="BP83" i="122"/>
  <c r="BC83" i="122"/>
  <c r="BB83" i="122"/>
  <c r="AX83" i="122"/>
  <c r="AU83" i="122"/>
  <c r="AR83" i="122"/>
  <c r="AE83" i="122"/>
  <c r="AD83" i="122"/>
  <c r="Z83" i="122"/>
  <c r="W83" i="122"/>
  <c r="T83" i="122"/>
  <c r="P83" i="122"/>
  <c r="O83" i="122"/>
  <c r="K83" i="122"/>
  <c r="H83" i="122"/>
  <c r="E83" i="122"/>
  <c r="D83" i="122"/>
  <c r="C83" i="122"/>
  <c r="CB82" i="122"/>
  <c r="CA82" i="122"/>
  <c r="BZ82" i="122"/>
  <c r="BV82" i="122"/>
  <c r="BS82" i="122"/>
  <c r="BP82" i="122"/>
  <c r="BC82" i="122"/>
  <c r="BB82" i="122"/>
  <c r="AX82" i="122"/>
  <c r="AU82" i="122"/>
  <c r="AR82" i="122"/>
  <c r="AE82" i="122"/>
  <c r="AD82" i="122"/>
  <c r="Z82" i="122"/>
  <c r="W82" i="122"/>
  <c r="T82" i="122"/>
  <c r="P82" i="122"/>
  <c r="O82" i="122"/>
  <c r="K82" i="122"/>
  <c r="H82" i="122"/>
  <c r="E82" i="122"/>
  <c r="D82" i="122"/>
  <c r="C82" i="122"/>
  <c r="BU81" i="122"/>
  <c r="BU75" i="122" s="1"/>
  <c r="AW81" i="122"/>
  <c r="AW75" i="122" s="1"/>
  <c r="Y81" i="122"/>
  <c r="J81" i="122"/>
  <c r="J75" i="122" s="1"/>
  <c r="G81" i="122"/>
  <c r="CA80" i="122"/>
  <c r="BZ80" i="122"/>
  <c r="BV80" i="122"/>
  <c r="BS80" i="122"/>
  <c r="BP80" i="122"/>
  <c r="BC80" i="122"/>
  <c r="BB80" i="122"/>
  <c r="BA80" i="122" s="1"/>
  <c r="AX80" i="122"/>
  <c r="AU80" i="122"/>
  <c r="AR80" i="122"/>
  <c r="AE80" i="122"/>
  <c r="AD80" i="122"/>
  <c r="Z80" i="122"/>
  <c r="W80" i="122"/>
  <c r="T80" i="122"/>
  <c r="P80" i="122"/>
  <c r="O80" i="122"/>
  <c r="K80" i="122"/>
  <c r="H80" i="122"/>
  <c r="E80" i="122"/>
  <c r="BX79" i="122"/>
  <c r="BW79" i="122"/>
  <c r="BU79" i="122"/>
  <c r="BT79" i="122"/>
  <c r="BR79" i="122"/>
  <c r="BQ79" i="122"/>
  <c r="AZ79" i="122"/>
  <c r="AY79" i="122"/>
  <c r="AW79" i="122"/>
  <c r="AV79" i="122"/>
  <c r="AT79" i="122"/>
  <c r="AS79" i="122"/>
  <c r="AB79" i="122"/>
  <c r="AA79" i="122"/>
  <c r="Y79" i="122"/>
  <c r="AE79" i="122" s="1"/>
  <c r="X79" i="122"/>
  <c r="V79" i="122"/>
  <c r="U79" i="122"/>
  <c r="M79" i="122"/>
  <c r="L79" i="122"/>
  <c r="J79" i="122"/>
  <c r="I79" i="122"/>
  <c r="G79" i="122"/>
  <c r="P79" i="122" s="1"/>
  <c r="F79" i="122"/>
  <c r="CA78" i="122"/>
  <c r="BZ78" i="122"/>
  <c r="BV78" i="122"/>
  <c r="BS78" i="122"/>
  <c r="BP78" i="122"/>
  <c r="BC78" i="122"/>
  <c r="BB78" i="122"/>
  <c r="AX78" i="122"/>
  <c r="AU78" i="122"/>
  <c r="AR78" i="122"/>
  <c r="AE78" i="122"/>
  <c r="AD78" i="122"/>
  <c r="Z78" i="122"/>
  <c r="W78" i="122"/>
  <c r="T78" i="122"/>
  <c r="P78" i="122"/>
  <c r="O78" i="122"/>
  <c r="K78" i="122"/>
  <c r="H78" i="122"/>
  <c r="E78" i="122"/>
  <c r="D78" i="122"/>
  <c r="S78" i="122" s="1"/>
  <c r="CA77" i="122"/>
  <c r="BZ77" i="122"/>
  <c r="BV77" i="122"/>
  <c r="BS77" i="122"/>
  <c r="BP77" i="122"/>
  <c r="BC77" i="122"/>
  <c r="BB77" i="122"/>
  <c r="AX77" i="122"/>
  <c r="AU77" i="122"/>
  <c r="AR77" i="122"/>
  <c r="AE77" i="122"/>
  <c r="AD77" i="122"/>
  <c r="Z77" i="122"/>
  <c r="W77" i="122"/>
  <c r="T77" i="122"/>
  <c r="P77" i="122"/>
  <c r="O77" i="122"/>
  <c r="K77" i="122"/>
  <c r="H77" i="122"/>
  <c r="E77" i="122"/>
  <c r="D77" i="122"/>
  <c r="D76" i="122"/>
  <c r="CA76" i="122"/>
  <c r="BZ76" i="122"/>
  <c r="BV76" i="122"/>
  <c r="BS76" i="122"/>
  <c r="BP76" i="122"/>
  <c r="BC76" i="122"/>
  <c r="BB76" i="122"/>
  <c r="AX76" i="122"/>
  <c r="AU76" i="122"/>
  <c r="AR76" i="122"/>
  <c r="AE76" i="122"/>
  <c r="AD76" i="122"/>
  <c r="Z76" i="122"/>
  <c r="W76" i="122"/>
  <c r="T76" i="122"/>
  <c r="P76" i="122"/>
  <c r="O76" i="122"/>
  <c r="K76" i="122"/>
  <c r="H76" i="122"/>
  <c r="E76" i="122"/>
  <c r="Y75" i="122"/>
  <c r="CB74" i="122"/>
  <c r="CA74" i="122"/>
  <c r="BZ74" i="122"/>
  <c r="BV74" i="122"/>
  <c r="BS74" i="122"/>
  <c r="BP74" i="122"/>
  <c r="BC74" i="122"/>
  <c r="BB74" i="122"/>
  <c r="AX74" i="122"/>
  <c r="AU74" i="122"/>
  <c r="AR74" i="122"/>
  <c r="AE74" i="122"/>
  <c r="AD74" i="122"/>
  <c r="Z74" i="122"/>
  <c r="W74" i="122"/>
  <c r="T74" i="122"/>
  <c r="P74" i="122"/>
  <c r="O74" i="122"/>
  <c r="K74" i="122"/>
  <c r="K226" i="122" s="1"/>
  <c r="H74" i="122"/>
  <c r="E74" i="122"/>
  <c r="D74" i="122"/>
  <c r="C74" i="122"/>
  <c r="CB73" i="122"/>
  <c r="CA73" i="122"/>
  <c r="CA225" i="122" s="1"/>
  <c r="BZ73" i="122"/>
  <c r="BZ225" i="122" s="1"/>
  <c r="BV73" i="122"/>
  <c r="BV225" i="122" s="1"/>
  <c r="BS73" i="122"/>
  <c r="BS225" i="122" s="1"/>
  <c r="BP73" i="122"/>
  <c r="BP225" i="122" s="1"/>
  <c r="BC73" i="122"/>
  <c r="BC225" i="122" s="1"/>
  <c r="BB73" i="122"/>
  <c r="AX73" i="122"/>
  <c r="AX225" i="122" s="1"/>
  <c r="AU73" i="122"/>
  <c r="AU225" i="122" s="1"/>
  <c r="AR73" i="122"/>
  <c r="AE73" i="122"/>
  <c r="AE225" i="122" s="1"/>
  <c r="AD73" i="122"/>
  <c r="Z73" i="122"/>
  <c r="Z225" i="122" s="1"/>
  <c r="W73" i="122"/>
  <c r="W225" i="122" s="1"/>
  <c r="T73" i="122"/>
  <c r="T225" i="122" s="1"/>
  <c r="P73" i="122"/>
  <c r="P225" i="122" s="1"/>
  <c r="O73" i="122"/>
  <c r="O225" i="122" s="1"/>
  <c r="K73" i="122"/>
  <c r="K225" i="122" s="1"/>
  <c r="H73" i="122"/>
  <c r="H225" i="122" s="1"/>
  <c r="E73" i="122"/>
  <c r="E225" i="122" s="1"/>
  <c r="D73" i="122"/>
  <c r="C73" i="122"/>
  <c r="CB72" i="122"/>
  <c r="CA72" i="122"/>
  <c r="CA224" i="122" s="1"/>
  <c r="BZ72" i="122"/>
  <c r="BZ224" i="122" s="1"/>
  <c r="BV72" i="122"/>
  <c r="BV224" i="122" s="1"/>
  <c r="BS72" i="122"/>
  <c r="BS224" i="122" s="1"/>
  <c r="BP72" i="122"/>
  <c r="BP224" i="122" s="1"/>
  <c r="BC72" i="122"/>
  <c r="BC224" i="122" s="1"/>
  <c r="BB72" i="122"/>
  <c r="BB224" i="122" s="1"/>
  <c r="AX72" i="122"/>
  <c r="AX224" i="122" s="1"/>
  <c r="AU72" i="122"/>
  <c r="AU224" i="122" s="1"/>
  <c r="AR72" i="122"/>
  <c r="AR224" i="122" s="1"/>
  <c r="AE72" i="122"/>
  <c r="AE224" i="122" s="1"/>
  <c r="AD72" i="122"/>
  <c r="Z72" i="122"/>
  <c r="Z224" i="122" s="1"/>
  <c r="W72" i="122"/>
  <c r="W224" i="122" s="1"/>
  <c r="T72" i="122"/>
  <c r="T224" i="122" s="1"/>
  <c r="P72" i="122"/>
  <c r="P224" i="122" s="1"/>
  <c r="O72" i="122"/>
  <c r="K72" i="122"/>
  <c r="K224" i="122" s="1"/>
  <c r="H72" i="122"/>
  <c r="H224" i="122" s="1"/>
  <c r="E72" i="122"/>
  <c r="D72" i="122"/>
  <c r="C72" i="122"/>
  <c r="C224" i="122" s="1"/>
  <c r="CB71" i="122"/>
  <c r="CA71" i="122"/>
  <c r="BZ71" i="122"/>
  <c r="BV71" i="122"/>
  <c r="BS71" i="122"/>
  <c r="BP71" i="122"/>
  <c r="BC71" i="122"/>
  <c r="BB71" i="122"/>
  <c r="AX71" i="122"/>
  <c r="AU71" i="122"/>
  <c r="AR71" i="122"/>
  <c r="AE71" i="122"/>
  <c r="AD71" i="122"/>
  <c r="Z71" i="122"/>
  <c r="W71" i="122"/>
  <c r="T71" i="122"/>
  <c r="P71" i="122"/>
  <c r="O71" i="122"/>
  <c r="K71" i="122"/>
  <c r="H71" i="122"/>
  <c r="E71" i="122"/>
  <c r="D71" i="122"/>
  <c r="C71" i="122"/>
  <c r="R71" i="122" s="1"/>
  <c r="CD70" i="122"/>
  <c r="CC70" i="122"/>
  <c r="BX70" i="122"/>
  <c r="BX49" i="122" s="1"/>
  <c r="BX40" i="122" s="1"/>
  <c r="BW70" i="122"/>
  <c r="BU70" i="122"/>
  <c r="BT70" i="122"/>
  <c r="BR70" i="122"/>
  <c r="BQ70" i="122"/>
  <c r="AZ70" i="122"/>
  <c r="AY70" i="122"/>
  <c r="AW70" i="122"/>
  <c r="AV70" i="122"/>
  <c r="AT70" i="122"/>
  <c r="AS70" i="122"/>
  <c r="AB70" i="122"/>
  <c r="AB49" i="122" s="1"/>
  <c r="AB40" i="122" s="1"/>
  <c r="AA70" i="122"/>
  <c r="Y70" i="122"/>
  <c r="V70" i="122"/>
  <c r="U70" i="122"/>
  <c r="M70" i="122"/>
  <c r="L70" i="122"/>
  <c r="J70" i="122"/>
  <c r="I70" i="122"/>
  <c r="G70" i="122"/>
  <c r="F70" i="122"/>
  <c r="F49" i="122" s="1"/>
  <c r="F40" i="122" s="1"/>
  <c r="CB69" i="122"/>
  <c r="CA69" i="122"/>
  <c r="BZ69" i="122"/>
  <c r="BV69" i="122"/>
  <c r="BS69" i="122"/>
  <c r="BP69" i="122"/>
  <c r="BC69" i="122"/>
  <c r="BB69" i="122"/>
  <c r="AX69" i="122"/>
  <c r="AU69" i="122"/>
  <c r="AR69" i="122"/>
  <c r="AE69" i="122"/>
  <c r="AD69" i="122"/>
  <c r="Z69" i="122"/>
  <c r="W69" i="122"/>
  <c r="T69" i="122"/>
  <c r="P69" i="122"/>
  <c r="O69" i="122"/>
  <c r="K69" i="122"/>
  <c r="H69" i="122"/>
  <c r="E69" i="122"/>
  <c r="D69" i="122"/>
  <c r="S69" i="122" s="1"/>
  <c r="AH69" i="122" s="1"/>
  <c r="C69" i="122"/>
  <c r="CC68" i="122"/>
  <c r="C68" i="122" s="1"/>
  <c r="CA68" i="122"/>
  <c r="CA220" i="122" s="1"/>
  <c r="BZ68" i="122"/>
  <c r="BZ220" i="122" s="1"/>
  <c r="BV68" i="122"/>
  <c r="BV220" i="122" s="1"/>
  <c r="BS68" i="122"/>
  <c r="BP68" i="122"/>
  <c r="BP220" i="122" s="1"/>
  <c r="BC68" i="122"/>
  <c r="BC220" i="122" s="1"/>
  <c r="BB68" i="122"/>
  <c r="BB220" i="122" s="1"/>
  <c r="AX68" i="122"/>
  <c r="AX220" i="122" s="1"/>
  <c r="AU68" i="122"/>
  <c r="AU220" i="122" s="1"/>
  <c r="AR68" i="122"/>
  <c r="AR220" i="122" s="1"/>
  <c r="AE68" i="122"/>
  <c r="AD68" i="122"/>
  <c r="AD220" i="122" s="1"/>
  <c r="Z68" i="122"/>
  <c r="Z220" i="122" s="1"/>
  <c r="W68" i="122"/>
  <c r="T68" i="122"/>
  <c r="T220" i="122" s="1"/>
  <c r="P68" i="122"/>
  <c r="P220" i="122" s="1"/>
  <c r="O68" i="122"/>
  <c r="O220" i="122" s="1"/>
  <c r="K68" i="122"/>
  <c r="H68" i="122"/>
  <c r="H220" i="122" s="1"/>
  <c r="E68" i="122"/>
  <c r="E220" i="122" s="1"/>
  <c r="D68" i="122"/>
  <c r="CB67" i="122"/>
  <c r="CA67" i="122"/>
  <c r="BZ67" i="122"/>
  <c r="BY67" i="122" s="1"/>
  <c r="BV67" i="122"/>
  <c r="BS67" i="122"/>
  <c r="BP67" i="122"/>
  <c r="BC67" i="122"/>
  <c r="BB67" i="122"/>
  <c r="AX67" i="122"/>
  <c r="AU67" i="122"/>
  <c r="AR67" i="122"/>
  <c r="AE67" i="122"/>
  <c r="AD67" i="122"/>
  <c r="AC67" i="122" s="1"/>
  <c r="Z67" i="122"/>
  <c r="W67" i="122"/>
  <c r="T67" i="122"/>
  <c r="P67" i="122"/>
  <c r="O67" i="122"/>
  <c r="K67" i="122"/>
  <c r="H67" i="122"/>
  <c r="E67" i="122"/>
  <c r="D67" i="122"/>
  <c r="C67" i="122"/>
  <c r="R67" i="122" s="1"/>
  <c r="CB66" i="122"/>
  <c r="CA66" i="122"/>
  <c r="CA218" i="122" s="1"/>
  <c r="BZ66" i="122"/>
  <c r="BZ218" i="122" s="1"/>
  <c r="BV66" i="122"/>
  <c r="BV218" i="122" s="1"/>
  <c r="BS66" i="122"/>
  <c r="BS218" i="122" s="1"/>
  <c r="BP66" i="122"/>
  <c r="BP218" i="122" s="1"/>
  <c r="BC66" i="122"/>
  <c r="BC218" i="122" s="1"/>
  <c r="BB66" i="122"/>
  <c r="BB218" i="122" s="1"/>
  <c r="AX66" i="122"/>
  <c r="AU66" i="122"/>
  <c r="AR66" i="122"/>
  <c r="AR218" i="122" s="1"/>
  <c r="AE66" i="122"/>
  <c r="AE218" i="122" s="1"/>
  <c r="AD66" i="122"/>
  <c r="Z66" i="122"/>
  <c r="Z218" i="122" s="1"/>
  <c r="W66" i="122"/>
  <c r="W218" i="122" s="1"/>
  <c r="T66" i="122"/>
  <c r="T218" i="122" s="1"/>
  <c r="P66" i="122"/>
  <c r="O66" i="122"/>
  <c r="K66" i="122"/>
  <c r="K218" i="122" s="1"/>
  <c r="H66" i="122"/>
  <c r="H218" i="122" s="1"/>
  <c r="E66" i="122"/>
  <c r="D66" i="122"/>
  <c r="D218" i="122" s="1"/>
  <c r="C66" i="122"/>
  <c r="C218" i="122" s="1"/>
  <c r="CD65" i="122"/>
  <c r="CC65" i="122"/>
  <c r="BX65" i="122"/>
  <c r="BW65" i="122"/>
  <c r="BU65" i="122"/>
  <c r="BT65" i="122"/>
  <c r="BR65" i="122"/>
  <c r="BQ65" i="122"/>
  <c r="AZ65" i="122"/>
  <c r="AZ49" i="122" s="1"/>
  <c r="AZ40" i="122" s="1"/>
  <c r="AY65" i="122"/>
  <c r="AW65" i="122"/>
  <c r="AV65" i="122"/>
  <c r="AV49" i="122" s="1"/>
  <c r="AT65" i="122"/>
  <c r="AT49" i="122" s="1"/>
  <c r="AT40" i="122" s="1"/>
  <c r="AS65" i="122"/>
  <c r="AB65" i="122"/>
  <c r="AA65" i="122"/>
  <c r="AA49" i="122" s="1"/>
  <c r="Y65" i="122"/>
  <c r="V65" i="122"/>
  <c r="U65" i="122"/>
  <c r="M65" i="122"/>
  <c r="L65" i="122"/>
  <c r="J65" i="122"/>
  <c r="J49" i="122" s="1"/>
  <c r="I65" i="122"/>
  <c r="G65" i="122"/>
  <c r="CB64" i="122"/>
  <c r="CA64" i="122"/>
  <c r="CA212" i="122" s="1"/>
  <c r="BZ64" i="122"/>
  <c r="BV64" i="122"/>
  <c r="BS64" i="122"/>
  <c r="BS212" i="122" s="1"/>
  <c r="BP64" i="122"/>
  <c r="BP212" i="122" s="1"/>
  <c r="BC64" i="122"/>
  <c r="BB64" i="122"/>
  <c r="AX64" i="122"/>
  <c r="AX212" i="122" s="1"/>
  <c r="AU64" i="122"/>
  <c r="AU212" i="122" s="1"/>
  <c r="AR64" i="122"/>
  <c r="AE64" i="122"/>
  <c r="AD64" i="122"/>
  <c r="Z64" i="122"/>
  <c r="Z212" i="122" s="1"/>
  <c r="W64" i="122"/>
  <c r="W212" i="122" s="1"/>
  <c r="T64" i="122"/>
  <c r="P64" i="122"/>
  <c r="P212" i="122" s="1"/>
  <c r="O64" i="122"/>
  <c r="K64" i="122"/>
  <c r="K212" i="122" s="1"/>
  <c r="H64" i="122"/>
  <c r="E64" i="122"/>
  <c r="E212" i="122" s="1"/>
  <c r="D64" i="122"/>
  <c r="C64" i="122"/>
  <c r="C212" i="122" s="1"/>
  <c r="CB63" i="122"/>
  <c r="CA63" i="122"/>
  <c r="CA211" i="122" s="1"/>
  <c r="BZ63" i="122"/>
  <c r="BV63" i="122"/>
  <c r="BV211" i="122" s="1"/>
  <c r="BS63" i="122"/>
  <c r="BS211" i="122" s="1"/>
  <c r="BP63" i="122"/>
  <c r="BP211" i="122" s="1"/>
  <c r="BC63" i="122"/>
  <c r="BC211" i="122" s="1"/>
  <c r="BB63" i="122"/>
  <c r="BB211" i="122" s="1"/>
  <c r="AX63" i="122"/>
  <c r="AX211" i="122" s="1"/>
  <c r="AU63" i="122"/>
  <c r="AU211" i="122" s="1"/>
  <c r="AR63" i="122"/>
  <c r="AR211" i="122" s="1"/>
  <c r="AE63" i="122"/>
  <c r="AD63" i="122"/>
  <c r="Z63" i="122"/>
  <c r="Z211" i="122" s="1"/>
  <c r="W63" i="122"/>
  <c r="W211" i="122" s="1"/>
  <c r="T63" i="122"/>
  <c r="T211" i="122" s="1"/>
  <c r="P63" i="122"/>
  <c r="P211" i="122" s="1"/>
  <c r="O63" i="122"/>
  <c r="O211" i="122" s="1"/>
  <c r="K63" i="122"/>
  <c r="K211" i="122" s="1"/>
  <c r="H63" i="122"/>
  <c r="H211" i="122" s="1"/>
  <c r="E63" i="122"/>
  <c r="E211" i="122" s="1"/>
  <c r="D63" i="122"/>
  <c r="C63" i="122"/>
  <c r="CB62" i="122"/>
  <c r="CA62" i="122"/>
  <c r="CA210" i="122" s="1"/>
  <c r="BZ62" i="122"/>
  <c r="BZ210" i="122" s="1"/>
  <c r="BV62" i="122"/>
  <c r="BV210" i="122" s="1"/>
  <c r="BS62" i="122"/>
  <c r="BS210" i="122" s="1"/>
  <c r="BP62" i="122"/>
  <c r="BP210" i="122" s="1"/>
  <c r="BC62" i="122"/>
  <c r="BC210" i="122" s="1"/>
  <c r="BB62" i="122"/>
  <c r="BB210" i="122" s="1"/>
  <c r="AX62" i="122"/>
  <c r="AX210" i="122" s="1"/>
  <c r="AU62" i="122"/>
  <c r="AU210" i="122" s="1"/>
  <c r="AR62" i="122"/>
  <c r="AR210" i="122" s="1"/>
  <c r="AE62" i="122"/>
  <c r="AD62" i="122"/>
  <c r="Z62" i="122"/>
  <c r="Z210" i="122" s="1"/>
  <c r="W62" i="122"/>
  <c r="W210" i="122" s="1"/>
  <c r="T62" i="122"/>
  <c r="T210" i="122" s="1"/>
  <c r="P62" i="122"/>
  <c r="P210" i="122" s="1"/>
  <c r="O62" i="122"/>
  <c r="O210" i="122" s="1"/>
  <c r="K62" i="122"/>
  <c r="K210" i="122" s="1"/>
  <c r="H62" i="122"/>
  <c r="H210" i="122" s="1"/>
  <c r="E62" i="122"/>
  <c r="E210" i="122" s="1"/>
  <c r="D62" i="122"/>
  <c r="C62" i="122"/>
  <c r="R62" i="122" s="1"/>
  <c r="R210" i="122" s="1"/>
  <c r="CB61" i="122"/>
  <c r="CA61" i="122"/>
  <c r="CA209" i="122" s="1"/>
  <c r="BZ61" i="122"/>
  <c r="BZ209" i="122" s="1"/>
  <c r="BV61" i="122"/>
  <c r="BV209" i="122" s="1"/>
  <c r="BS61" i="122"/>
  <c r="BS209" i="122" s="1"/>
  <c r="BP61" i="122"/>
  <c r="BP209" i="122" s="1"/>
  <c r="BC61" i="122"/>
  <c r="BC209" i="122" s="1"/>
  <c r="BB61" i="122"/>
  <c r="AX61" i="122"/>
  <c r="AX209" i="122" s="1"/>
  <c r="AU61" i="122"/>
  <c r="AU209" i="122" s="1"/>
  <c r="AR61" i="122"/>
  <c r="AR209" i="122" s="1"/>
  <c r="AE61" i="122"/>
  <c r="AE209" i="122" s="1"/>
  <c r="AD61" i="122"/>
  <c r="AD209" i="122" s="1"/>
  <c r="Z61" i="122"/>
  <c r="Z209" i="122" s="1"/>
  <c r="W61" i="122"/>
  <c r="W209" i="122" s="1"/>
  <c r="T61" i="122"/>
  <c r="T209" i="122" s="1"/>
  <c r="P61" i="122"/>
  <c r="P209" i="122" s="1"/>
  <c r="O61" i="122"/>
  <c r="K61" i="122"/>
  <c r="K209" i="122" s="1"/>
  <c r="H61" i="122"/>
  <c r="H209" i="122" s="1"/>
  <c r="E61" i="122"/>
  <c r="E209" i="122" s="1"/>
  <c r="D61" i="122"/>
  <c r="C61" i="122"/>
  <c r="C209" i="122" s="1"/>
  <c r="CB60" i="122"/>
  <c r="CA60" i="122"/>
  <c r="CA208" i="122" s="1"/>
  <c r="BZ60" i="122"/>
  <c r="BZ208" i="122" s="1"/>
  <c r="BV60" i="122"/>
  <c r="BV208" i="122" s="1"/>
  <c r="BS60" i="122"/>
  <c r="BS208" i="122" s="1"/>
  <c r="BP60" i="122"/>
  <c r="BP208" i="122" s="1"/>
  <c r="BC60" i="122"/>
  <c r="BC208" i="122" s="1"/>
  <c r="BB60" i="122"/>
  <c r="BB208" i="122" s="1"/>
  <c r="AX60" i="122"/>
  <c r="AX208" i="122" s="1"/>
  <c r="AU60" i="122"/>
  <c r="AU208" i="122" s="1"/>
  <c r="AR60" i="122"/>
  <c r="AR208" i="122" s="1"/>
  <c r="AE60" i="122"/>
  <c r="AE208" i="122" s="1"/>
  <c r="AD60" i="122"/>
  <c r="Z60" i="122"/>
  <c r="Z208" i="122" s="1"/>
  <c r="W60" i="122"/>
  <c r="W208" i="122" s="1"/>
  <c r="T60" i="122"/>
  <c r="T208" i="122" s="1"/>
  <c r="P60" i="122"/>
  <c r="O60" i="122"/>
  <c r="K60" i="122"/>
  <c r="K208" i="122" s="1"/>
  <c r="H60" i="122"/>
  <c r="H208" i="122" s="1"/>
  <c r="E60" i="122"/>
  <c r="E208" i="122" s="1"/>
  <c r="D60" i="122"/>
  <c r="D208" i="122" s="1"/>
  <c r="C60" i="122"/>
  <c r="C208" i="122" s="1"/>
  <c r="CB59" i="122"/>
  <c r="CA59" i="122"/>
  <c r="CA207" i="122" s="1"/>
  <c r="BZ59" i="122"/>
  <c r="BZ207" i="122" s="1"/>
  <c r="BV59" i="122"/>
  <c r="BV207" i="122" s="1"/>
  <c r="BS59" i="122"/>
  <c r="BS207" i="122" s="1"/>
  <c r="BP59" i="122"/>
  <c r="BP207" i="122" s="1"/>
  <c r="BC59" i="122"/>
  <c r="BC207" i="122" s="1"/>
  <c r="BB59" i="122"/>
  <c r="BB207" i="122" s="1"/>
  <c r="AX59" i="122"/>
  <c r="AX207" i="122" s="1"/>
  <c r="AU59" i="122"/>
  <c r="AU207" i="122" s="1"/>
  <c r="AR59" i="122"/>
  <c r="AR207" i="122" s="1"/>
  <c r="AE59" i="122"/>
  <c r="AD59" i="122"/>
  <c r="Z59" i="122"/>
  <c r="Z207" i="122" s="1"/>
  <c r="W59" i="122"/>
  <c r="W207" i="122" s="1"/>
  <c r="T59" i="122"/>
  <c r="T207" i="122" s="1"/>
  <c r="P59" i="122"/>
  <c r="P207" i="122" s="1"/>
  <c r="O59" i="122"/>
  <c r="K59" i="122"/>
  <c r="K207" i="122" s="1"/>
  <c r="H59" i="122"/>
  <c r="H207" i="122" s="1"/>
  <c r="E59" i="122"/>
  <c r="E207" i="122" s="1"/>
  <c r="D59" i="122"/>
  <c r="D207" i="122" s="1"/>
  <c r="C59" i="122"/>
  <c r="CB58" i="122"/>
  <c r="CA58" i="122"/>
  <c r="CA206" i="122" s="1"/>
  <c r="BZ58" i="122"/>
  <c r="BV58" i="122"/>
  <c r="BV206" i="122" s="1"/>
  <c r="BS58" i="122"/>
  <c r="BS206" i="122" s="1"/>
  <c r="BP58" i="122"/>
  <c r="BP206" i="122" s="1"/>
  <c r="BC58" i="122"/>
  <c r="BC206" i="122" s="1"/>
  <c r="BB58" i="122"/>
  <c r="AX58" i="122"/>
  <c r="AX206" i="122" s="1"/>
  <c r="AU58" i="122"/>
  <c r="AU206" i="122" s="1"/>
  <c r="AR58" i="122"/>
  <c r="AR206" i="122" s="1"/>
  <c r="AE58" i="122"/>
  <c r="AD58" i="122"/>
  <c r="AJ58" i="122" s="1"/>
  <c r="BH58" i="122" s="1"/>
  <c r="Z58" i="122"/>
  <c r="Z206" i="122" s="1"/>
  <c r="W58" i="122"/>
  <c r="W206" i="122" s="1"/>
  <c r="T58" i="122"/>
  <c r="T206" i="122" s="1"/>
  <c r="P58" i="122"/>
  <c r="P206" i="122" s="1"/>
  <c r="O58" i="122"/>
  <c r="O206" i="122" s="1"/>
  <c r="K58" i="122"/>
  <c r="K206" i="122" s="1"/>
  <c r="H58" i="122"/>
  <c r="H206" i="122" s="1"/>
  <c r="E58" i="122"/>
  <c r="E206" i="122" s="1"/>
  <c r="D58" i="122"/>
  <c r="C58" i="122"/>
  <c r="CB57" i="122"/>
  <c r="CA57" i="122"/>
  <c r="CA205" i="122" s="1"/>
  <c r="BZ57" i="122"/>
  <c r="BV57" i="122"/>
  <c r="BV205" i="122" s="1"/>
  <c r="BS57" i="122"/>
  <c r="BS205" i="122" s="1"/>
  <c r="BP57" i="122"/>
  <c r="BP205" i="122" s="1"/>
  <c r="BC57" i="122"/>
  <c r="BC205" i="122" s="1"/>
  <c r="BB57" i="122"/>
  <c r="BB205" i="122" s="1"/>
  <c r="AX57" i="122"/>
  <c r="AX205" i="122" s="1"/>
  <c r="AU57" i="122"/>
  <c r="AU205" i="122" s="1"/>
  <c r="AR57" i="122"/>
  <c r="AR205" i="122" s="1"/>
  <c r="AE57" i="122"/>
  <c r="AE205" i="122" s="1"/>
  <c r="AD57" i="122"/>
  <c r="Z57" i="122"/>
  <c r="Z205" i="122" s="1"/>
  <c r="W57" i="122"/>
  <c r="W205" i="122" s="1"/>
  <c r="T57" i="122"/>
  <c r="T205" i="122" s="1"/>
  <c r="P57" i="122"/>
  <c r="O57" i="122"/>
  <c r="O205" i="122" s="1"/>
  <c r="K57" i="122"/>
  <c r="K205" i="122" s="1"/>
  <c r="H57" i="122"/>
  <c r="H205" i="122" s="1"/>
  <c r="E57" i="122"/>
  <c r="E205" i="122" s="1"/>
  <c r="D57" i="122"/>
  <c r="D205" i="122" s="1"/>
  <c r="C57" i="122"/>
  <c r="C205" i="122" s="1"/>
  <c r="CB56" i="122"/>
  <c r="CA56" i="122"/>
  <c r="BZ56" i="122"/>
  <c r="BZ204" i="122" s="1"/>
  <c r="BV56" i="122"/>
  <c r="BV204" i="122" s="1"/>
  <c r="BS56" i="122"/>
  <c r="BS204" i="122" s="1"/>
  <c r="BP56" i="122"/>
  <c r="BP204" i="122" s="1"/>
  <c r="BC56" i="122"/>
  <c r="BC204" i="122" s="1"/>
  <c r="BB56" i="122"/>
  <c r="AX56" i="122"/>
  <c r="AX204" i="122" s="1"/>
  <c r="AU56" i="122"/>
  <c r="AU204" i="122" s="1"/>
  <c r="AR56" i="122"/>
  <c r="AR204" i="122" s="1"/>
  <c r="AE56" i="122"/>
  <c r="AD56" i="122"/>
  <c r="AD204" i="122" s="1"/>
  <c r="Z56" i="122"/>
  <c r="Z204" i="122" s="1"/>
  <c r="W56" i="122"/>
  <c r="W204" i="122" s="1"/>
  <c r="T56" i="122"/>
  <c r="T204" i="122" s="1"/>
  <c r="P56" i="122"/>
  <c r="P204" i="122" s="1"/>
  <c r="O56" i="122"/>
  <c r="O204" i="122" s="1"/>
  <c r="K56" i="122"/>
  <c r="K204" i="122" s="1"/>
  <c r="H56" i="122"/>
  <c r="H204" i="122" s="1"/>
  <c r="E56" i="122"/>
  <c r="E204" i="122" s="1"/>
  <c r="D56" i="122"/>
  <c r="C56" i="122"/>
  <c r="CB55" i="122"/>
  <c r="CA55" i="122"/>
  <c r="BZ55" i="122"/>
  <c r="BV55" i="122"/>
  <c r="BS55" i="122"/>
  <c r="BP55" i="122"/>
  <c r="BC55" i="122"/>
  <c r="BB55" i="122"/>
  <c r="AX55" i="122"/>
  <c r="AU55" i="122"/>
  <c r="AR55" i="122"/>
  <c r="AE55" i="122"/>
  <c r="AD55" i="122"/>
  <c r="Z55" i="122"/>
  <c r="W55" i="122"/>
  <c r="T55" i="122"/>
  <c r="P55" i="122"/>
  <c r="O55" i="122"/>
  <c r="AJ55" i="122" s="1"/>
  <c r="K55" i="122"/>
  <c r="H55" i="122"/>
  <c r="E55" i="122"/>
  <c r="D55" i="122"/>
  <c r="C55" i="122"/>
  <c r="CB54" i="122"/>
  <c r="CA54" i="122"/>
  <c r="CA203" i="122" s="1"/>
  <c r="BZ54" i="122"/>
  <c r="BZ203" i="122" s="1"/>
  <c r="BV54" i="122"/>
  <c r="BV203" i="122" s="1"/>
  <c r="BS54" i="122"/>
  <c r="BS203" i="122" s="1"/>
  <c r="BP54" i="122"/>
  <c r="BP203" i="122" s="1"/>
  <c r="BC54" i="122"/>
  <c r="BB54" i="122"/>
  <c r="BB203" i="122" s="1"/>
  <c r="AX54" i="122"/>
  <c r="AX203" i="122" s="1"/>
  <c r="AU54" i="122"/>
  <c r="AU203" i="122" s="1"/>
  <c r="AR54" i="122"/>
  <c r="AR203" i="122" s="1"/>
  <c r="AE54" i="122"/>
  <c r="AE203" i="122" s="1"/>
  <c r="AD54" i="122"/>
  <c r="AD203" i="122" s="1"/>
  <c r="Z54" i="122"/>
  <c r="Z203" i="122" s="1"/>
  <c r="W54" i="122"/>
  <c r="W203" i="122" s="1"/>
  <c r="T54" i="122"/>
  <c r="T203" i="122" s="1"/>
  <c r="P54" i="122"/>
  <c r="P203" i="122" s="1"/>
  <c r="O54" i="122"/>
  <c r="K54" i="122"/>
  <c r="K203" i="122" s="1"/>
  <c r="H54" i="122"/>
  <c r="H203" i="122" s="1"/>
  <c r="E54" i="122"/>
  <c r="E203" i="122" s="1"/>
  <c r="D54" i="122"/>
  <c r="D203" i="122" s="1"/>
  <c r="C54" i="122"/>
  <c r="C203" i="122" s="1"/>
  <c r="CB53" i="122"/>
  <c r="CA53" i="122"/>
  <c r="CA202" i="122" s="1"/>
  <c r="BZ53" i="122"/>
  <c r="BV53" i="122"/>
  <c r="BV202" i="122" s="1"/>
  <c r="BS53" i="122"/>
  <c r="BS202" i="122" s="1"/>
  <c r="BP53" i="122"/>
  <c r="BP202" i="122" s="1"/>
  <c r="BC53" i="122"/>
  <c r="BC202" i="122" s="1"/>
  <c r="BB53" i="122"/>
  <c r="BB202" i="122" s="1"/>
  <c r="AX53" i="122"/>
  <c r="AX202" i="122" s="1"/>
  <c r="AU53" i="122"/>
  <c r="AU202" i="122" s="1"/>
  <c r="AR53" i="122"/>
  <c r="AR202" i="122" s="1"/>
  <c r="AE53" i="122"/>
  <c r="AE202" i="122" s="1"/>
  <c r="AD53" i="122"/>
  <c r="Z53" i="122"/>
  <c r="Z202" i="122" s="1"/>
  <c r="W53" i="122"/>
  <c r="W202" i="122" s="1"/>
  <c r="T53" i="122"/>
  <c r="T202" i="122" s="1"/>
  <c r="P53" i="122"/>
  <c r="O53" i="122"/>
  <c r="O202" i="122" s="1"/>
  <c r="K53" i="122"/>
  <c r="K202" i="122" s="1"/>
  <c r="H53" i="122"/>
  <c r="H202" i="122" s="1"/>
  <c r="E53" i="122"/>
  <c r="E202" i="122" s="1"/>
  <c r="D53" i="122"/>
  <c r="D202" i="122" s="1"/>
  <c r="C53" i="122"/>
  <c r="C202" i="122" s="1"/>
  <c r="CB52" i="122"/>
  <c r="CA52" i="122"/>
  <c r="BZ52" i="122"/>
  <c r="BV52" i="122"/>
  <c r="BS52" i="122"/>
  <c r="BP52" i="122"/>
  <c r="BC52" i="122"/>
  <c r="BB52" i="122"/>
  <c r="AX52" i="122"/>
  <c r="AU52" i="122"/>
  <c r="AR52" i="122"/>
  <c r="AE52" i="122"/>
  <c r="AD52" i="122"/>
  <c r="Z52" i="122"/>
  <c r="W52" i="122"/>
  <c r="T52" i="122"/>
  <c r="P52" i="122"/>
  <c r="O52" i="122"/>
  <c r="K52" i="122"/>
  <c r="H52" i="122"/>
  <c r="E52" i="122"/>
  <c r="D52" i="122"/>
  <c r="S52" i="122" s="1"/>
  <c r="C52" i="122"/>
  <c r="CC51" i="122"/>
  <c r="CA51" i="122"/>
  <c r="BZ51" i="122"/>
  <c r="BV51" i="122"/>
  <c r="BS51" i="122"/>
  <c r="BP51" i="122"/>
  <c r="BC51" i="122"/>
  <c r="BB51" i="122"/>
  <c r="AX51" i="122"/>
  <c r="AU51" i="122"/>
  <c r="AR51" i="122"/>
  <c r="AE51" i="122"/>
  <c r="AD51" i="122"/>
  <c r="Z51" i="122"/>
  <c r="W51" i="122"/>
  <c r="T51" i="122"/>
  <c r="P51" i="122"/>
  <c r="O51" i="122"/>
  <c r="K51" i="122"/>
  <c r="H51" i="122"/>
  <c r="E51" i="122"/>
  <c r="D51" i="122"/>
  <c r="S51" i="122" s="1"/>
  <c r="CC50" i="122"/>
  <c r="CC162" i="122" s="1"/>
  <c r="CA50" i="122"/>
  <c r="BZ50" i="122"/>
  <c r="BV50" i="122"/>
  <c r="BS50" i="122"/>
  <c r="BP50" i="122"/>
  <c r="BC50" i="122"/>
  <c r="BB50" i="122"/>
  <c r="AX50" i="122"/>
  <c r="AU50" i="122"/>
  <c r="AR50" i="122"/>
  <c r="AE50" i="122"/>
  <c r="AD50" i="122"/>
  <c r="Z50" i="122"/>
  <c r="W50" i="122"/>
  <c r="T50" i="122"/>
  <c r="P50" i="122"/>
  <c r="O50" i="122"/>
  <c r="K50" i="122"/>
  <c r="H50" i="122"/>
  <c r="E50" i="122"/>
  <c r="D50" i="122"/>
  <c r="S50" i="122" s="1"/>
  <c r="BW49" i="122"/>
  <c r="V49" i="122"/>
  <c r="V40" i="122" s="1"/>
  <c r="G49" i="122"/>
  <c r="BX48" i="122"/>
  <c r="BW48" i="122"/>
  <c r="BU48" i="122"/>
  <c r="BT48" i="122"/>
  <c r="BR48" i="122"/>
  <c r="BQ48" i="122"/>
  <c r="AZ48" i="122"/>
  <c r="AY48" i="122"/>
  <c r="AW48" i="122"/>
  <c r="AV48" i="122"/>
  <c r="AT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 s="1"/>
  <c r="A100" i="122" s="1"/>
  <c r="CA47" i="122"/>
  <c r="BZ47" i="122"/>
  <c r="BV47" i="122"/>
  <c r="BS47" i="122"/>
  <c r="BP47" i="122"/>
  <c r="BC47" i="122"/>
  <c r="BB47" i="122"/>
  <c r="AX47" i="122"/>
  <c r="AU47" i="122"/>
  <c r="AR47" i="122"/>
  <c r="AE47" i="122"/>
  <c r="AD47" i="122"/>
  <c r="Z47" i="122"/>
  <c r="W47" i="122"/>
  <c r="T47" i="122"/>
  <c r="P47" i="122"/>
  <c r="O47" i="122"/>
  <c r="K47" i="122"/>
  <c r="H47" i="122"/>
  <c r="E47" i="122"/>
  <c r="D47" i="122"/>
  <c r="S47" i="122" s="1"/>
  <c r="CA46" i="122"/>
  <c r="BZ46" i="122"/>
  <c r="BV46" i="122"/>
  <c r="BS46" i="122"/>
  <c r="BP46" i="122"/>
  <c r="BC46" i="122"/>
  <c r="BB46" i="122"/>
  <c r="AX46" i="122"/>
  <c r="AU46" i="122"/>
  <c r="AR46" i="122"/>
  <c r="AE46" i="122"/>
  <c r="AD46" i="122"/>
  <c r="Z46" i="122"/>
  <c r="W46" i="122"/>
  <c r="T46" i="122"/>
  <c r="P46" i="122"/>
  <c r="O46" i="122"/>
  <c r="K46" i="122"/>
  <c r="H46" i="122"/>
  <c r="E46" i="122"/>
  <c r="CA45" i="122"/>
  <c r="BZ45" i="122"/>
  <c r="BV45" i="122"/>
  <c r="BS45" i="122"/>
  <c r="BP45" i="122"/>
  <c r="BC45" i="122"/>
  <c r="BB45" i="122"/>
  <c r="AX45" i="122"/>
  <c r="AU45" i="122"/>
  <c r="AR45" i="122"/>
  <c r="AE45" i="122"/>
  <c r="AD45" i="122"/>
  <c r="Z45" i="122"/>
  <c r="W45" i="122"/>
  <c r="T45" i="122"/>
  <c r="P45" i="122"/>
  <c r="O45" i="122"/>
  <c r="K45" i="122"/>
  <c r="H45" i="122"/>
  <c r="E45" i="122"/>
  <c r="CA44" i="122"/>
  <c r="BZ44" i="122"/>
  <c r="BV44" i="122"/>
  <c r="BS44" i="122"/>
  <c r="BP44" i="122"/>
  <c r="BC44" i="122"/>
  <c r="BB44" i="122"/>
  <c r="BA44" i="122" s="1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AX43" i="122"/>
  <c r="AU43" i="122"/>
  <c r="AR43" i="122"/>
  <c r="AE43" i="122"/>
  <c r="AD43" i="122"/>
  <c r="Z43" i="122"/>
  <c r="W43" i="122"/>
  <c r="T43" i="122"/>
  <c r="P43" i="122"/>
  <c r="O43" i="122"/>
  <c r="N43" i="122" s="1"/>
  <c r="K43" i="122"/>
  <c r="H43" i="122"/>
  <c r="E43" i="122"/>
  <c r="CA42" i="122"/>
  <c r="CA156" i="122" s="1"/>
  <c r="BZ42" i="122"/>
  <c r="BZ156" i="122" s="1"/>
  <c r="BV42" i="122"/>
  <c r="BV156" i="122" s="1"/>
  <c r="BS42" i="122"/>
  <c r="BS156" i="122" s="1"/>
  <c r="BP42" i="122"/>
  <c r="BP156" i="122" s="1"/>
  <c r="BC42" i="122"/>
  <c r="BC156" i="122" s="1"/>
  <c r="BB42" i="122"/>
  <c r="AX42" i="122"/>
  <c r="AX156" i="122" s="1"/>
  <c r="AU42" i="122"/>
  <c r="AU156" i="122" s="1"/>
  <c r="AR42" i="122"/>
  <c r="AR156" i="122" s="1"/>
  <c r="AE42" i="122"/>
  <c r="AE156" i="122" s="1"/>
  <c r="AD42" i="122"/>
  <c r="AD156" i="122" s="1"/>
  <c r="Z42" i="122"/>
  <c r="Z156" i="122" s="1"/>
  <c r="W42" i="122"/>
  <c r="W156" i="122" s="1"/>
  <c r="T42" i="122"/>
  <c r="T156" i="122" s="1"/>
  <c r="P42" i="122"/>
  <c r="P156" i="122" s="1"/>
  <c r="O42" i="122"/>
  <c r="O156" i="122" s="1"/>
  <c r="K42" i="122"/>
  <c r="K156" i="122" s="1"/>
  <c r="H42" i="122"/>
  <c r="H156" i="122" s="1"/>
  <c r="E42" i="122"/>
  <c r="E156" i="122" s="1"/>
  <c r="CA41" i="122"/>
  <c r="BZ41" i="122"/>
  <c r="BV41" i="122"/>
  <c r="BS41" i="122"/>
  <c r="BP41" i="122"/>
  <c r="BC41" i="122"/>
  <c r="BB41" i="122"/>
  <c r="AX41" i="122"/>
  <c r="AU41" i="122"/>
  <c r="AR41" i="122"/>
  <c r="AE41" i="122"/>
  <c r="AD41" i="122"/>
  <c r="Z41" i="122"/>
  <c r="W41" i="122"/>
  <c r="T41" i="122"/>
  <c r="P41" i="122"/>
  <c r="O41" i="122"/>
  <c r="K41" i="122"/>
  <c r="H41" i="122"/>
  <c r="E41" i="122"/>
  <c r="BW40" i="122"/>
  <c r="J40" i="122"/>
  <c r="G40" i="122"/>
  <c r="CB39" i="122"/>
  <c r="CA39" i="122"/>
  <c r="BZ39" i="122"/>
  <c r="BV39" i="122"/>
  <c r="BS39" i="122"/>
  <c r="BP39" i="122"/>
  <c r="BC39" i="122"/>
  <c r="BB39" i="122"/>
  <c r="AX39" i="122"/>
  <c r="AX38" i="122" s="1"/>
  <c r="AU39" i="122"/>
  <c r="AR39" i="122"/>
  <c r="AR38" i="122" s="1"/>
  <c r="AE39" i="122"/>
  <c r="AD39" i="122"/>
  <c r="Z39" i="122"/>
  <c r="Z223" i="122" s="1"/>
  <c r="W39" i="122"/>
  <c r="T39" i="122"/>
  <c r="P39" i="122"/>
  <c r="P223" i="122" s="1"/>
  <c r="O39" i="122"/>
  <c r="K39" i="122"/>
  <c r="H39" i="122"/>
  <c r="E39" i="122"/>
  <c r="D39" i="122"/>
  <c r="S39" i="122" s="1"/>
  <c r="S38" i="122" s="1"/>
  <c r="C39" i="122"/>
  <c r="CD38" i="122"/>
  <c r="CC38" i="122"/>
  <c r="BX38" i="122"/>
  <c r="BX29" i="122" s="1"/>
  <c r="BW38" i="122"/>
  <c r="BU38" i="122"/>
  <c r="BT38" i="122"/>
  <c r="BR38" i="122"/>
  <c r="BQ38" i="122"/>
  <c r="BQ222" i="122" s="1"/>
  <c r="AZ38" i="122"/>
  <c r="AY38" i="122"/>
  <c r="AW38" i="122"/>
  <c r="AW29" i="122" s="1"/>
  <c r="AW21" i="122" s="1"/>
  <c r="AV38" i="122"/>
  <c r="AT38" i="122"/>
  <c r="AS38" i="122"/>
  <c r="AB38" i="122"/>
  <c r="AB29" i="122" s="1"/>
  <c r="AA38" i="122"/>
  <c r="Y38" i="122"/>
  <c r="X38" i="122"/>
  <c r="X29" i="122" s="1"/>
  <c r="X21" i="122" s="1"/>
  <c r="V38" i="122"/>
  <c r="U38" i="122"/>
  <c r="M38" i="122"/>
  <c r="M222" i="122" s="1"/>
  <c r="L38" i="122"/>
  <c r="J38" i="122"/>
  <c r="I38" i="122"/>
  <c r="G38" i="122"/>
  <c r="F38" i="122"/>
  <c r="CB37" i="122"/>
  <c r="CA37" i="122"/>
  <c r="BZ37" i="122"/>
  <c r="BV37" i="122"/>
  <c r="BV221" i="122" s="1"/>
  <c r="BS37" i="122"/>
  <c r="BS221" i="122" s="1"/>
  <c r="BP37" i="122"/>
  <c r="BC37" i="122"/>
  <c r="BC221" i="122" s="1"/>
  <c r="BB37" i="122"/>
  <c r="AX37" i="122"/>
  <c r="AX221" i="122" s="1"/>
  <c r="AU37" i="122"/>
  <c r="AR37" i="122"/>
  <c r="AR221" i="122" s="1"/>
  <c r="AE37" i="122"/>
  <c r="AD37" i="122"/>
  <c r="AD221" i="122" s="1"/>
  <c r="Z37" i="122"/>
  <c r="W37" i="122"/>
  <c r="T37" i="122"/>
  <c r="T221" i="122" s="1"/>
  <c r="P37" i="122"/>
  <c r="P221" i="122" s="1"/>
  <c r="O37" i="122"/>
  <c r="K37" i="122"/>
  <c r="H37" i="122"/>
  <c r="H221" i="122" s="1"/>
  <c r="E37" i="122"/>
  <c r="E221" i="122" s="1"/>
  <c r="D37" i="122"/>
  <c r="C37" i="122"/>
  <c r="CB36" i="122"/>
  <c r="CA36" i="122"/>
  <c r="BZ36" i="122"/>
  <c r="BV36" i="122"/>
  <c r="BS36" i="122"/>
  <c r="BP36" i="122"/>
  <c r="BC36" i="122"/>
  <c r="BB36" i="122"/>
  <c r="AX36" i="122"/>
  <c r="AU36" i="122"/>
  <c r="AR36" i="122"/>
  <c r="AE36" i="122"/>
  <c r="AD36" i="122"/>
  <c r="Z36" i="122"/>
  <c r="W36" i="122"/>
  <c r="T36" i="122"/>
  <c r="P36" i="122"/>
  <c r="O36" i="122"/>
  <c r="K36" i="122"/>
  <c r="H36" i="122"/>
  <c r="E36" i="122"/>
  <c r="D36" i="122"/>
  <c r="C36" i="122"/>
  <c r="CD35" i="122"/>
  <c r="CC35" i="122"/>
  <c r="BX35" i="122"/>
  <c r="BW35" i="122"/>
  <c r="BU35" i="122"/>
  <c r="BT35" i="122"/>
  <c r="BT29" i="122" s="1"/>
  <c r="BT21" i="122" s="1"/>
  <c r="BR35" i="122"/>
  <c r="BQ35" i="122"/>
  <c r="AZ35" i="122"/>
  <c r="AY35" i="122"/>
  <c r="AW35" i="122"/>
  <c r="AV35" i="122"/>
  <c r="AT35" i="122"/>
  <c r="AS35" i="122"/>
  <c r="AS217" i="122" s="1"/>
  <c r="AB35" i="122"/>
  <c r="AA35" i="122"/>
  <c r="Y35" i="122"/>
  <c r="V35" i="122"/>
  <c r="U35" i="122"/>
  <c r="M35" i="122"/>
  <c r="M29" i="122" s="1"/>
  <c r="L35" i="122"/>
  <c r="J35" i="122"/>
  <c r="I35" i="122"/>
  <c r="G35" i="122"/>
  <c r="F35" i="122"/>
  <c r="F217" i="122" s="1"/>
  <c r="CA34" i="122"/>
  <c r="CA216" i="122" s="1"/>
  <c r="BZ34" i="122"/>
  <c r="BZ216" i="122" s="1"/>
  <c r="BV34" i="122"/>
  <c r="BV216" i="122" s="1"/>
  <c r="BS34" i="122"/>
  <c r="BS216" i="122" s="1"/>
  <c r="BP34" i="122"/>
  <c r="BP216" i="122" s="1"/>
  <c r="BC34" i="122"/>
  <c r="BB34" i="122"/>
  <c r="BB216" i="122" s="1"/>
  <c r="AX34" i="122"/>
  <c r="AX216" i="122" s="1"/>
  <c r="AU34" i="122"/>
  <c r="AU216" i="122" s="1"/>
  <c r="AR34" i="122"/>
  <c r="AR216" i="122" s="1"/>
  <c r="AE34" i="122"/>
  <c r="AE216" i="122" s="1"/>
  <c r="AD34" i="122"/>
  <c r="AD216" i="122" s="1"/>
  <c r="Z34" i="122"/>
  <c r="Z216" i="122" s="1"/>
  <c r="W34" i="122"/>
  <c r="W216" i="122" s="1"/>
  <c r="T34" i="122"/>
  <c r="T216" i="122" s="1"/>
  <c r="P34" i="122"/>
  <c r="P216" i="122" s="1"/>
  <c r="O34" i="122"/>
  <c r="K34" i="122"/>
  <c r="K216" i="122" s="1"/>
  <c r="H34" i="122"/>
  <c r="H216" i="122" s="1"/>
  <c r="E34" i="122"/>
  <c r="E216" i="122" s="1"/>
  <c r="D34" i="122"/>
  <c r="D216" i="122" s="1"/>
  <c r="CB33" i="122"/>
  <c r="CA33" i="122"/>
  <c r="BZ33" i="122"/>
  <c r="BV33" i="122"/>
  <c r="BS33" i="122"/>
  <c r="BP33" i="122"/>
  <c r="BC33" i="122"/>
  <c r="BC201" i="122" s="1"/>
  <c r="BB33" i="122"/>
  <c r="AX33" i="122"/>
  <c r="AU33" i="122"/>
  <c r="AR33" i="122"/>
  <c r="AE33" i="122"/>
  <c r="AD33" i="122"/>
  <c r="Z33" i="122"/>
  <c r="W33" i="122"/>
  <c r="W201" i="122" s="1"/>
  <c r="T33" i="122"/>
  <c r="P33" i="122"/>
  <c r="O33" i="122"/>
  <c r="K33" i="122"/>
  <c r="H33" i="122"/>
  <c r="E33" i="122"/>
  <c r="D33" i="122"/>
  <c r="C33" i="122"/>
  <c r="C201" i="122" s="1"/>
  <c r="CB32" i="122"/>
  <c r="CA32" i="122"/>
  <c r="BZ32" i="122"/>
  <c r="BV32" i="122"/>
  <c r="BV200" i="122" s="1"/>
  <c r="BS32" i="122"/>
  <c r="BP32" i="122"/>
  <c r="BC32" i="122"/>
  <c r="BB32" i="122"/>
  <c r="AX32" i="122"/>
  <c r="AU32" i="122"/>
  <c r="AR32" i="122"/>
  <c r="AE32" i="122"/>
  <c r="AD32" i="122"/>
  <c r="Z32" i="122"/>
  <c r="W32" i="122"/>
  <c r="T32" i="122"/>
  <c r="P32" i="122"/>
  <c r="O32" i="122"/>
  <c r="K32" i="122"/>
  <c r="H32" i="122"/>
  <c r="H200" i="122" s="1"/>
  <c r="E32" i="122"/>
  <c r="D32" i="122"/>
  <c r="S32" i="122" s="1"/>
  <c r="C32" i="122"/>
  <c r="CB31" i="122"/>
  <c r="CA31" i="122"/>
  <c r="BZ31" i="122"/>
  <c r="BV31" i="122"/>
  <c r="BS31" i="122"/>
  <c r="BP31" i="122"/>
  <c r="BC31" i="122"/>
  <c r="BB31" i="122"/>
  <c r="AX31" i="122"/>
  <c r="AU31" i="122"/>
  <c r="AR31" i="122"/>
  <c r="AE31" i="122"/>
  <c r="AD31" i="122"/>
  <c r="Z31" i="122"/>
  <c r="W31" i="122"/>
  <c r="T31" i="122"/>
  <c r="P31" i="122"/>
  <c r="O31" i="122"/>
  <c r="K31" i="122"/>
  <c r="H31" i="122"/>
  <c r="E31" i="122"/>
  <c r="D31" i="122"/>
  <c r="C31" i="122"/>
  <c r="CB30" i="122"/>
  <c r="CA30" i="122"/>
  <c r="BZ30" i="122"/>
  <c r="BV30" i="122"/>
  <c r="BS30" i="122"/>
  <c r="BP30" i="122"/>
  <c r="BC30" i="122"/>
  <c r="BB30" i="122"/>
  <c r="AX30" i="122"/>
  <c r="AU30" i="122"/>
  <c r="AR30" i="122"/>
  <c r="AE30" i="122"/>
  <c r="AD30" i="122"/>
  <c r="Z30" i="122"/>
  <c r="W30" i="122"/>
  <c r="T30" i="122"/>
  <c r="P30" i="122"/>
  <c r="AK30" i="122" s="1"/>
  <c r="O30" i="122"/>
  <c r="K30" i="122"/>
  <c r="H30" i="122"/>
  <c r="E30" i="122"/>
  <c r="D30" i="122"/>
  <c r="S30" i="122" s="1"/>
  <c r="C30" i="122"/>
  <c r="BQ29" i="122"/>
  <c r="BQ21" i="122" s="1"/>
  <c r="L29" i="122"/>
  <c r="L21" i="122" s="1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CA27" i="122"/>
  <c r="BZ27" i="122"/>
  <c r="BV27" i="122"/>
  <c r="BS27" i="122"/>
  <c r="BP27" i="122"/>
  <c r="BC27" i="122"/>
  <c r="BB27" i="122"/>
  <c r="AX27" i="122"/>
  <c r="AU27" i="122"/>
  <c r="AR27" i="122"/>
  <c r="AE27" i="122"/>
  <c r="AD27" i="122"/>
  <c r="Z27" i="122"/>
  <c r="W27" i="122"/>
  <c r="T27" i="122"/>
  <c r="P27" i="122"/>
  <c r="O27" i="122"/>
  <c r="K27" i="122"/>
  <c r="H27" i="122"/>
  <c r="E27" i="122"/>
  <c r="CA26" i="122"/>
  <c r="BZ26" i="122"/>
  <c r="BV26" i="122"/>
  <c r="BS26" i="122"/>
  <c r="BS158" i="122" s="1"/>
  <c r="BP26" i="122"/>
  <c r="BC26" i="122"/>
  <c r="BB26" i="122"/>
  <c r="AX26" i="122"/>
  <c r="AX158" i="122" s="1"/>
  <c r="AU26" i="122"/>
  <c r="AR26" i="122"/>
  <c r="AE26" i="122"/>
  <c r="AD26" i="122"/>
  <c r="Z26" i="122"/>
  <c r="W26" i="122"/>
  <c r="T26" i="122"/>
  <c r="P26" i="122"/>
  <c r="O26" i="122"/>
  <c r="K26" i="122"/>
  <c r="H26" i="122"/>
  <c r="E26" i="122"/>
  <c r="CA25" i="122"/>
  <c r="BZ25" i="122"/>
  <c r="BV25" i="122"/>
  <c r="BS25" i="122"/>
  <c r="BP25" i="122"/>
  <c r="BP157" i="122" s="1"/>
  <c r="BC25" i="122"/>
  <c r="BC157" i="122" s="1"/>
  <c r="BB25" i="122"/>
  <c r="AX25" i="122"/>
  <c r="AU25" i="122"/>
  <c r="AU157" i="122" s="1"/>
  <c r="AR25" i="122"/>
  <c r="AR157" i="122" s="1"/>
  <c r="AE25" i="122"/>
  <c r="AD25" i="122"/>
  <c r="Z25" i="122"/>
  <c r="Z157" i="122" s="1"/>
  <c r="W25" i="122"/>
  <c r="T25" i="122"/>
  <c r="P25" i="122"/>
  <c r="O25" i="122"/>
  <c r="K25" i="122"/>
  <c r="H25" i="122"/>
  <c r="E25" i="122"/>
  <c r="D25" i="122"/>
  <c r="CA24" i="122"/>
  <c r="BZ24" i="122"/>
  <c r="BV24" i="122"/>
  <c r="BS24" i="122"/>
  <c r="BP24" i="122"/>
  <c r="BC24" i="122"/>
  <c r="BC155" i="122" s="1"/>
  <c r="BB24" i="122"/>
  <c r="AX24" i="122"/>
  <c r="AU24" i="122"/>
  <c r="AR24" i="122"/>
  <c r="AR155" i="122" s="1"/>
  <c r="AE24" i="122"/>
  <c r="AD24" i="122"/>
  <c r="Z24" i="122"/>
  <c r="W24" i="122"/>
  <c r="W155" i="122" s="1"/>
  <c r="T24" i="122"/>
  <c r="P24" i="122"/>
  <c r="O24" i="122"/>
  <c r="K24" i="122"/>
  <c r="K155" i="122" s="1"/>
  <c r="H24" i="122"/>
  <c r="E24" i="122"/>
  <c r="D24" i="122"/>
  <c r="S24" i="122" s="1"/>
  <c r="CA23" i="122"/>
  <c r="BZ23" i="122"/>
  <c r="BV23" i="122"/>
  <c r="BS23" i="122"/>
  <c r="BS154" i="122" s="1"/>
  <c r="BP23" i="122"/>
  <c r="BC23" i="122"/>
  <c r="BB23" i="122"/>
  <c r="AX23" i="122"/>
  <c r="AX154" i="122" s="1"/>
  <c r="AU23" i="122"/>
  <c r="AR23" i="122"/>
  <c r="AR154" i="122" s="1"/>
  <c r="AE23" i="122"/>
  <c r="AD23" i="122"/>
  <c r="Z23" i="122"/>
  <c r="W23" i="122"/>
  <c r="T23" i="122"/>
  <c r="P23" i="122"/>
  <c r="O23" i="122"/>
  <c r="K23" i="122"/>
  <c r="K154" i="122" s="1"/>
  <c r="H23" i="122"/>
  <c r="E23" i="122"/>
  <c r="CA22" i="122"/>
  <c r="BZ22" i="122"/>
  <c r="BV22" i="122"/>
  <c r="BV153" i="122" s="1"/>
  <c r="BS22" i="122"/>
  <c r="BS153" i="122" s="1"/>
  <c r="BP22" i="122"/>
  <c r="BC22" i="122"/>
  <c r="BB22" i="122"/>
  <c r="AX22" i="122"/>
  <c r="AX153" i="122" s="1"/>
  <c r="AU22" i="122"/>
  <c r="AR22" i="122"/>
  <c r="AE22" i="122"/>
  <c r="AE153" i="122" s="1"/>
  <c r="AD22" i="122"/>
  <c r="Z22" i="122"/>
  <c r="W22" i="122"/>
  <c r="T22" i="122"/>
  <c r="P22" i="122"/>
  <c r="O22" i="122"/>
  <c r="K22" i="122"/>
  <c r="H22" i="122"/>
  <c r="H153" i="122" s="1"/>
  <c r="E22" i="122"/>
  <c r="M21" i="122"/>
  <c r="CC16" i="122"/>
  <c r="CB16" i="122" s="1"/>
  <c r="CA16" i="122"/>
  <c r="BZ16" i="122"/>
  <c r="BV16" i="122"/>
  <c r="BS16" i="122"/>
  <c r="BP16" i="122"/>
  <c r="BO16" i="122"/>
  <c r="BC16" i="122"/>
  <c r="BB16" i="122"/>
  <c r="AX16" i="122"/>
  <c r="AU16" i="122"/>
  <c r="AR16" i="122"/>
  <c r="AQ16" i="122"/>
  <c r="AE16" i="122"/>
  <c r="AD16" i="122"/>
  <c r="Z16" i="122"/>
  <c r="W16" i="122"/>
  <c r="T16" i="122"/>
  <c r="S16" i="122"/>
  <c r="P16" i="122"/>
  <c r="O16" i="122"/>
  <c r="K16" i="122"/>
  <c r="H16" i="122"/>
  <c r="E16" i="122"/>
  <c r="D16" i="122"/>
  <c r="CA15" i="122"/>
  <c r="BZ15" i="122"/>
  <c r="BV15" i="122"/>
  <c r="BS15" i="122"/>
  <c r="BP15" i="122"/>
  <c r="BO15" i="122"/>
  <c r="BC15" i="122"/>
  <c r="BB15" i="122"/>
  <c r="AX15" i="122"/>
  <c r="AU15" i="122"/>
  <c r="AR15" i="122"/>
  <c r="AQ15" i="122"/>
  <c r="AE15" i="122"/>
  <c r="AD15" i="122"/>
  <c r="Z15" i="122"/>
  <c r="W15" i="122"/>
  <c r="T15" i="122"/>
  <c r="S15" i="122"/>
  <c r="P15" i="122"/>
  <c r="O15" i="122"/>
  <c r="K15" i="122"/>
  <c r="H15" i="122"/>
  <c r="E15" i="122"/>
  <c r="D15" i="122"/>
  <c r="CC14" i="122"/>
  <c r="CB14" i="122" s="1"/>
  <c r="CA14" i="122"/>
  <c r="BZ14" i="122"/>
  <c r="BV14" i="122"/>
  <c r="BS14" i="122"/>
  <c r="BP14" i="122"/>
  <c r="BO14" i="122"/>
  <c r="BC14" i="122"/>
  <c r="BB14" i="122"/>
  <c r="AX14" i="122"/>
  <c r="AU14" i="122"/>
  <c r="AR14" i="122"/>
  <c r="AQ14" i="122"/>
  <c r="AE14" i="122"/>
  <c r="AD14" i="122"/>
  <c r="Z14" i="122"/>
  <c r="W14" i="122"/>
  <c r="T14" i="122"/>
  <c r="S14" i="122"/>
  <c r="P14" i="122"/>
  <c r="O14" i="122"/>
  <c r="K14" i="122"/>
  <c r="H14" i="122"/>
  <c r="E14" i="122"/>
  <c r="D14" i="122"/>
  <c r="CC15" i="122"/>
  <c r="GA15" i="123" s="1"/>
  <c r="CA13" i="122"/>
  <c r="BW13" i="122"/>
  <c r="BV13" i="122" s="1"/>
  <c r="BT13" i="122"/>
  <c r="BS13" i="122" s="1"/>
  <c r="BQ13" i="122"/>
  <c r="BP13" i="122" s="1"/>
  <c r="BO13" i="122"/>
  <c r="BN13" i="122"/>
  <c r="BC13" i="122"/>
  <c r="AY13" i="122"/>
  <c r="AX13" i="122" s="1"/>
  <c r="AV13" i="122"/>
  <c r="AU13" i="122" s="1"/>
  <c r="AS13" i="122"/>
  <c r="AQ13" i="122"/>
  <c r="AE13" i="122"/>
  <c r="AA13" i="122"/>
  <c r="Z13" i="122" s="1"/>
  <c r="X13" i="122"/>
  <c r="W13" i="122" s="1"/>
  <c r="U13" i="122"/>
  <c r="T13" i="122" s="1"/>
  <c r="S13" i="122"/>
  <c r="R13" i="122"/>
  <c r="P13" i="122"/>
  <c r="L13" i="122"/>
  <c r="K13" i="122" s="1"/>
  <c r="I13" i="122"/>
  <c r="H13" i="122" s="1"/>
  <c r="F13" i="122"/>
  <c r="E13" i="122" s="1"/>
  <c r="D13" i="122"/>
  <c r="C13" i="122"/>
  <c r="B13" i="122" s="1"/>
  <c r="CA12" i="122"/>
  <c r="BZ12" i="122"/>
  <c r="BZ148" i="122" s="1"/>
  <c r="BV12" i="122"/>
  <c r="BV148" i="122" s="1"/>
  <c r="BS12" i="122"/>
  <c r="BS148" i="122" s="1"/>
  <c r="BP12" i="122"/>
  <c r="BP148" i="122" s="1"/>
  <c r="BO12" i="122"/>
  <c r="BO148" i="122" s="1"/>
  <c r="BC12" i="122"/>
  <c r="BC148" i="122" s="1"/>
  <c r="BB12" i="122"/>
  <c r="BB148" i="122" s="1"/>
  <c r="AX12" i="122"/>
  <c r="AX148" i="122" s="1"/>
  <c r="AU12" i="122"/>
  <c r="AU148" i="122" s="1"/>
  <c r="AR12" i="122"/>
  <c r="AR148" i="122" s="1"/>
  <c r="AQ12" i="122"/>
  <c r="AQ148" i="122" s="1"/>
  <c r="AE12" i="122"/>
  <c r="AE148" i="122" s="1"/>
  <c r="AD12" i="122"/>
  <c r="AD148" i="122" s="1"/>
  <c r="Z12" i="122"/>
  <c r="Z148" i="122" s="1"/>
  <c r="W12" i="122"/>
  <c r="W148" i="122" s="1"/>
  <c r="T12" i="122"/>
  <c r="T148" i="122" s="1"/>
  <c r="S12" i="122"/>
  <c r="S148" i="122" s="1"/>
  <c r="P12" i="122"/>
  <c r="P148" i="122" s="1"/>
  <c r="O12" i="122"/>
  <c r="O148" i="122" s="1"/>
  <c r="K12" i="122"/>
  <c r="K148" i="122" s="1"/>
  <c r="H12" i="122"/>
  <c r="H148" i="122" s="1"/>
  <c r="E12" i="122"/>
  <c r="E148" i="122" s="1"/>
  <c r="D12" i="122"/>
  <c r="D148" i="122" s="1"/>
  <c r="CA11" i="122"/>
  <c r="CA147" i="122" s="1"/>
  <c r="BZ11" i="122"/>
  <c r="BZ147" i="122" s="1"/>
  <c r="BV11" i="122"/>
  <c r="BV147" i="122" s="1"/>
  <c r="BS11" i="122"/>
  <c r="BS147" i="122" s="1"/>
  <c r="BP11" i="122"/>
  <c r="BP147" i="122" s="1"/>
  <c r="BN11" i="122"/>
  <c r="BN147" i="122" s="1"/>
  <c r="BC11" i="122"/>
  <c r="BB11" i="122"/>
  <c r="BB147" i="122" s="1"/>
  <c r="AX11" i="122"/>
  <c r="AX147" i="122" s="1"/>
  <c r="AU11" i="122"/>
  <c r="AU147" i="122" s="1"/>
  <c r="AR11" i="122"/>
  <c r="AR147" i="122" s="1"/>
  <c r="AP11" i="122"/>
  <c r="AP147" i="122" s="1"/>
  <c r="AE11" i="122"/>
  <c r="AE147" i="122" s="1"/>
  <c r="AD11" i="122"/>
  <c r="AD147" i="122" s="1"/>
  <c r="Z11" i="122"/>
  <c r="Z147" i="122" s="1"/>
  <c r="W11" i="122"/>
  <c r="W147" i="122" s="1"/>
  <c r="T11" i="122"/>
  <c r="T147" i="122" s="1"/>
  <c r="R11" i="122"/>
  <c r="R147" i="122" s="1"/>
  <c r="P11" i="122"/>
  <c r="P147" i="122" s="1"/>
  <c r="O11" i="122"/>
  <c r="O147" i="122" s="1"/>
  <c r="K11" i="122"/>
  <c r="K147" i="122" s="1"/>
  <c r="H11" i="122"/>
  <c r="H147" i="122" s="1"/>
  <c r="E11" i="122"/>
  <c r="E147" i="122" s="1"/>
  <c r="C11" i="122"/>
  <c r="C147" i="122" s="1"/>
  <c r="CA10" i="122"/>
  <c r="CA146" i="122" s="1"/>
  <c r="BZ10" i="122"/>
  <c r="BV10" i="122"/>
  <c r="BV146" i="122" s="1"/>
  <c r="BS10" i="122"/>
  <c r="BS146" i="122" s="1"/>
  <c r="BP10" i="122"/>
  <c r="BP146" i="122" s="1"/>
  <c r="BO10" i="122"/>
  <c r="BO146" i="122" s="1"/>
  <c r="BC10" i="122"/>
  <c r="BC146" i="122" s="1"/>
  <c r="BB10" i="122"/>
  <c r="BB146" i="122" s="1"/>
  <c r="AX10" i="122"/>
  <c r="AX146" i="122" s="1"/>
  <c r="AU10" i="122"/>
  <c r="AU146" i="122" s="1"/>
  <c r="AR10" i="122"/>
  <c r="AR146" i="122" s="1"/>
  <c r="AQ10" i="122"/>
  <c r="AQ146" i="122" s="1"/>
  <c r="AE10" i="122"/>
  <c r="AD10" i="122"/>
  <c r="AD146" i="122" s="1"/>
  <c r="Z10" i="122"/>
  <c r="Z146" i="122" s="1"/>
  <c r="W10" i="122"/>
  <c r="W146" i="122" s="1"/>
  <c r="T10" i="122"/>
  <c r="T146" i="122" s="1"/>
  <c r="S10" i="122"/>
  <c r="S146" i="122" s="1"/>
  <c r="P10" i="122"/>
  <c r="P146" i="122" s="1"/>
  <c r="O10" i="122"/>
  <c r="O146" i="122" s="1"/>
  <c r="K10" i="122"/>
  <c r="K146" i="122" s="1"/>
  <c r="H10" i="122"/>
  <c r="H146" i="122" s="1"/>
  <c r="E10" i="122"/>
  <c r="E146" i="122" s="1"/>
  <c r="D10" i="122"/>
  <c r="D146" i="122" s="1"/>
  <c r="BX9" i="122"/>
  <c r="BW9" i="122"/>
  <c r="BU9" i="122"/>
  <c r="BT9" i="122"/>
  <c r="BR9" i="122"/>
  <c r="BQ9" i="122"/>
  <c r="AZ9" i="122"/>
  <c r="AY9" i="122"/>
  <c r="AW9" i="122"/>
  <c r="AV9" i="122"/>
  <c r="AT9" i="122"/>
  <c r="AS9" i="122"/>
  <c r="CR9" i="123" s="1"/>
  <c r="AB9" i="122"/>
  <c r="AA9" i="122"/>
  <c r="Y9" i="122"/>
  <c r="X9" i="122"/>
  <c r="V9" i="122"/>
  <c r="U9" i="122"/>
  <c r="M9" i="122"/>
  <c r="L9" i="122"/>
  <c r="J9" i="122"/>
  <c r="I9" i="122"/>
  <c r="G9" i="122"/>
  <c r="F9" i="122"/>
  <c r="CA8" i="122"/>
  <c r="BZ8" i="122"/>
  <c r="BV8" i="122"/>
  <c r="BS8" i="122"/>
  <c r="BP8" i="122"/>
  <c r="BC8" i="122"/>
  <c r="BB8" i="122"/>
  <c r="AX8" i="122"/>
  <c r="AU8" i="122"/>
  <c r="AR8" i="122"/>
  <c r="AE8" i="122"/>
  <c r="AD8" i="122"/>
  <c r="Z8" i="122"/>
  <c r="W8" i="122"/>
  <c r="T8" i="122"/>
  <c r="P8" i="122"/>
  <c r="O8" i="122"/>
  <c r="K8" i="122"/>
  <c r="H8" i="122"/>
  <c r="E8" i="122"/>
  <c r="CO37" i="121"/>
  <c r="CN37" i="121" s="1"/>
  <c r="D79" i="121"/>
  <c r="M79" i="121" s="1"/>
  <c r="C79" i="121"/>
  <c r="C37" i="121"/>
  <c r="GB20" i="121"/>
  <c r="DH20" i="121" s="1"/>
  <c r="GB19" i="121"/>
  <c r="EX19" i="121" s="1"/>
  <c r="GB18" i="121"/>
  <c r="M18" i="121" s="1"/>
  <c r="F8" i="121"/>
  <c r="G8" i="121"/>
  <c r="O8" i="121"/>
  <c r="P8" i="121"/>
  <c r="X8" i="121"/>
  <c r="Y8" i="121"/>
  <c r="AI8" i="121"/>
  <c r="AJ8" i="121"/>
  <c r="CI8" i="121" s="1"/>
  <c r="AK8" i="121"/>
  <c r="CJ8" i="121" s="1"/>
  <c r="AS8" i="121"/>
  <c r="AT8" i="121"/>
  <c r="BB8" i="121"/>
  <c r="BC8" i="121"/>
  <c r="BK8" i="121"/>
  <c r="BL8" i="121"/>
  <c r="BL11" i="121" s="1"/>
  <c r="CR8" i="121"/>
  <c r="CS8" i="121"/>
  <c r="DA8" i="121"/>
  <c r="DB8" i="121"/>
  <c r="DU8" i="121"/>
  <c r="DV8" i="121"/>
  <c r="DW8" i="121"/>
  <c r="EQ8" i="121"/>
  <c r="ER8" i="121"/>
  <c r="EZ8" i="121"/>
  <c r="FA8" i="121"/>
  <c r="FI8" i="121"/>
  <c r="FJ8" i="121"/>
  <c r="FT8" i="121"/>
  <c r="FU8" i="121"/>
  <c r="FV8" i="121"/>
  <c r="F9" i="121"/>
  <c r="G9" i="121"/>
  <c r="O9" i="121"/>
  <c r="P9" i="121"/>
  <c r="X9" i="121"/>
  <c r="Y9" i="121"/>
  <c r="AJ9" i="121"/>
  <c r="AK9" i="121"/>
  <c r="AS9" i="121"/>
  <c r="AT9" i="121"/>
  <c r="BB9" i="121"/>
  <c r="BC9" i="121"/>
  <c r="BK9" i="121"/>
  <c r="BL9" i="121"/>
  <c r="CR9" i="121"/>
  <c r="CS9" i="121"/>
  <c r="DA9" i="121"/>
  <c r="DB9" i="121"/>
  <c r="DI9" i="121"/>
  <c r="DV9" i="121"/>
  <c r="DW9" i="121"/>
  <c r="EQ9" i="121"/>
  <c r="ER9" i="121"/>
  <c r="EZ9" i="121"/>
  <c r="FA9" i="121"/>
  <c r="FI9" i="121"/>
  <c r="FJ9" i="121"/>
  <c r="FT9" i="121"/>
  <c r="FU9" i="121"/>
  <c r="FV9" i="121"/>
  <c r="F15" i="121"/>
  <c r="G15" i="121"/>
  <c r="AI15" i="121"/>
  <c r="O15" i="121"/>
  <c r="P15" i="121"/>
  <c r="X15" i="121"/>
  <c r="X38" i="121" s="1"/>
  <c r="Y15" i="121"/>
  <c r="AJ15" i="121"/>
  <c r="AK15" i="121"/>
  <c r="AS15" i="121"/>
  <c r="AT15" i="121"/>
  <c r="BB15" i="121"/>
  <c r="BB37" i="121" s="1"/>
  <c r="BC15" i="121"/>
  <c r="BK15" i="121"/>
  <c r="BK37" i="121" s="1"/>
  <c r="BL15" i="121"/>
  <c r="CR15" i="121"/>
  <c r="CR37" i="121" s="1"/>
  <c r="CS15" i="121"/>
  <c r="DA15" i="121"/>
  <c r="DA38" i="121" s="1"/>
  <c r="DB15" i="121"/>
  <c r="DU15" i="121"/>
  <c r="DV15" i="121"/>
  <c r="DW15" i="121"/>
  <c r="EQ15" i="121"/>
  <c r="ER15" i="121"/>
  <c r="EZ15" i="121"/>
  <c r="FA15" i="121"/>
  <c r="FI15" i="121"/>
  <c r="FJ15" i="121"/>
  <c r="FT15" i="121"/>
  <c r="FU15" i="121"/>
  <c r="FV15" i="121"/>
  <c r="F16" i="121"/>
  <c r="G16" i="121"/>
  <c r="G40" i="121" s="1"/>
  <c r="AI16" i="121"/>
  <c r="O16" i="121"/>
  <c r="P16" i="121"/>
  <c r="X16" i="121"/>
  <c r="Y16" i="121"/>
  <c r="AJ16" i="121"/>
  <c r="AK16" i="121"/>
  <c r="AS16" i="121"/>
  <c r="AT16" i="121"/>
  <c r="AT40" i="121" s="1"/>
  <c r="BB16" i="121"/>
  <c r="BC16" i="121"/>
  <c r="BC40" i="121" s="1"/>
  <c r="BK16" i="121"/>
  <c r="BL16" i="121"/>
  <c r="BL40" i="121" s="1"/>
  <c r="CR16" i="121"/>
  <c r="CS16" i="121"/>
  <c r="CS40" i="121" s="1"/>
  <c r="DA16" i="121"/>
  <c r="DB16" i="121"/>
  <c r="DB40" i="121" s="1"/>
  <c r="DU16" i="121"/>
  <c r="DV16" i="121"/>
  <c r="DW16" i="121"/>
  <c r="EQ16" i="121"/>
  <c r="ER16" i="121"/>
  <c r="ER40" i="121" s="1"/>
  <c r="FT16" i="121"/>
  <c r="EZ16" i="121"/>
  <c r="FA16" i="121"/>
  <c r="FI16" i="121"/>
  <c r="FJ16" i="121"/>
  <c r="FJ40" i="121" s="1"/>
  <c r="FU16" i="121"/>
  <c r="FV16" i="121"/>
  <c r="AJ17" i="121"/>
  <c r="F18" i="121"/>
  <c r="G18" i="121"/>
  <c r="O18" i="121"/>
  <c r="P18" i="121"/>
  <c r="AI18" i="121"/>
  <c r="X18" i="121"/>
  <c r="Y18" i="121"/>
  <c r="AJ18" i="121"/>
  <c r="CI18" i="121" s="1"/>
  <c r="AK18" i="121"/>
  <c r="AS18" i="121"/>
  <c r="AT18" i="121"/>
  <c r="BB18" i="121"/>
  <c r="BC18" i="121"/>
  <c r="BK18" i="121"/>
  <c r="BL18" i="121"/>
  <c r="CR18" i="121"/>
  <c r="CS18" i="121"/>
  <c r="DA18" i="121"/>
  <c r="DB18" i="121"/>
  <c r="DU18" i="121"/>
  <c r="DV18" i="121"/>
  <c r="DW18" i="121"/>
  <c r="EQ18" i="121"/>
  <c r="ER18" i="121"/>
  <c r="FT18" i="121"/>
  <c r="EZ18" i="121"/>
  <c r="FA18" i="121"/>
  <c r="FI18" i="121"/>
  <c r="FJ18" i="121"/>
  <c r="FU18" i="121"/>
  <c r="FV18" i="121"/>
  <c r="F19" i="121"/>
  <c r="G19" i="121"/>
  <c r="O19" i="121"/>
  <c r="P19" i="121"/>
  <c r="X19" i="121"/>
  <c r="Y19" i="121"/>
  <c r="AJ19" i="121"/>
  <c r="AK19" i="121"/>
  <c r="AS19" i="121"/>
  <c r="AT19" i="121"/>
  <c r="BB19" i="121"/>
  <c r="BC19" i="121"/>
  <c r="BK19" i="121"/>
  <c r="BL19" i="121"/>
  <c r="CR19" i="121"/>
  <c r="CS19" i="121"/>
  <c r="DU19" i="121"/>
  <c r="DA19" i="121"/>
  <c r="DB19" i="121"/>
  <c r="DV19" i="121"/>
  <c r="DW19" i="121"/>
  <c r="EQ19" i="121"/>
  <c r="ER19" i="121"/>
  <c r="EZ19" i="121"/>
  <c r="FA19" i="121"/>
  <c r="FI19" i="121"/>
  <c r="FJ19" i="121"/>
  <c r="FT19" i="121"/>
  <c r="FU19" i="121"/>
  <c r="FV19" i="121"/>
  <c r="F20" i="121"/>
  <c r="G20" i="121"/>
  <c r="O20" i="121"/>
  <c r="P20" i="121"/>
  <c r="AI20" i="121"/>
  <c r="X20" i="121"/>
  <c r="Y20" i="121"/>
  <c r="AJ20" i="121"/>
  <c r="AK20" i="121"/>
  <c r="AS20" i="121"/>
  <c r="AT20" i="121"/>
  <c r="BB20" i="121"/>
  <c r="BC20" i="121"/>
  <c r="BK20" i="121"/>
  <c r="BL20" i="121"/>
  <c r="CR20" i="121"/>
  <c r="CS20" i="121"/>
  <c r="DA20" i="121"/>
  <c r="DB20" i="121"/>
  <c r="DU20" i="121"/>
  <c r="DV20" i="121"/>
  <c r="DW20" i="121"/>
  <c r="EQ20" i="121"/>
  <c r="ER20" i="121"/>
  <c r="EZ20" i="121"/>
  <c r="FA20" i="121"/>
  <c r="FI20" i="121"/>
  <c r="FJ20" i="121"/>
  <c r="FT20" i="121"/>
  <c r="FU20" i="121"/>
  <c r="FV20" i="121"/>
  <c r="F22" i="121"/>
  <c r="G22" i="121"/>
  <c r="O22" i="121"/>
  <c r="P22" i="121"/>
  <c r="X22" i="121"/>
  <c r="Y22" i="121"/>
  <c r="AI22" i="121"/>
  <c r="AJ22" i="121"/>
  <c r="AK22" i="121"/>
  <c r="AS22" i="121"/>
  <c r="AT22" i="121"/>
  <c r="BB22" i="121"/>
  <c r="BC22" i="121"/>
  <c r="BK22" i="121"/>
  <c r="BL22" i="121"/>
  <c r="CR22" i="121"/>
  <c r="CS22" i="121"/>
  <c r="DU22" i="121"/>
  <c r="DA22" i="121"/>
  <c r="DB22" i="121"/>
  <c r="DH22" i="121"/>
  <c r="DV22" i="121"/>
  <c r="DW22" i="121"/>
  <c r="EQ22" i="121"/>
  <c r="ER22" i="121"/>
  <c r="EZ22" i="121"/>
  <c r="FA22" i="121"/>
  <c r="FT22" i="121"/>
  <c r="FI22" i="121"/>
  <c r="FJ22" i="121"/>
  <c r="FU22" i="121"/>
  <c r="FV22" i="121"/>
  <c r="F23" i="121"/>
  <c r="G23" i="121"/>
  <c r="O23" i="121"/>
  <c r="P23" i="121"/>
  <c r="X23" i="121"/>
  <c r="Y23" i="121"/>
  <c r="AI23" i="121"/>
  <c r="AJ23" i="121"/>
  <c r="CI23" i="121" s="1"/>
  <c r="AK23" i="121"/>
  <c r="CJ23" i="121" s="1"/>
  <c r="AS23" i="121"/>
  <c r="AT23" i="121"/>
  <c r="BB23" i="121"/>
  <c r="BC23" i="121"/>
  <c r="BK23" i="121"/>
  <c r="BK21" i="121" s="1"/>
  <c r="BL23" i="121"/>
  <c r="CR23" i="121"/>
  <c r="CS23" i="121"/>
  <c r="DA23" i="121"/>
  <c r="DB23" i="121"/>
  <c r="DU23" i="121"/>
  <c r="DH23" i="121"/>
  <c r="DV23" i="121"/>
  <c r="DW23" i="121"/>
  <c r="EQ23" i="121"/>
  <c r="ER23" i="121"/>
  <c r="EZ23" i="121"/>
  <c r="FA23" i="121"/>
  <c r="FI23" i="121"/>
  <c r="FJ23" i="121"/>
  <c r="FT23" i="121"/>
  <c r="FU23" i="121"/>
  <c r="FV23" i="121"/>
  <c r="E28" i="121"/>
  <c r="H28" i="121"/>
  <c r="H37" i="121" s="1"/>
  <c r="N28" i="121"/>
  <c r="Q28" i="121"/>
  <c r="Q37" i="121" s="1"/>
  <c r="W28" i="121"/>
  <c r="Z28" i="121"/>
  <c r="Z37" i="121" s="1"/>
  <c r="AE28" i="121"/>
  <c r="AG28" i="121"/>
  <c r="AH28" i="121"/>
  <c r="AJ28" i="121"/>
  <c r="AK28" i="121"/>
  <c r="AR28" i="121"/>
  <c r="AU28" i="121"/>
  <c r="AU37" i="121" s="1"/>
  <c r="BA28" i="121"/>
  <c r="BD28" i="121"/>
  <c r="BD37" i="121" s="1"/>
  <c r="BJ28" i="121"/>
  <c r="BM28" i="121"/>
  <c r="BM37" i="121" s="1"/>
  <c r="BR28" i="121"/>
  <c r="BT28" i="121"/>
  <c r="BU28" i="121"/>
  <c r="BW28" i="121"/>
  <c r="BW37" i="121" s="1"/>
  <c r="BX28" i="121"/>
  <c r="CQ28" i="121"/>
  <c r="CT28" i="121"/>
  <c r="CT37" i="121" s="1"/>
  <c r="CZ28" i="121"/>
  <c r="DC28" i="121"/>
  <c r="DC37" i="121" s="1"/>
  <c r="DI28" i="121"/>
  <c r="DL28" i="121"/>
  <c r="DL37" i="121" s="1"/>
  <c r="DQ28" i="121"/>
  <c r="DS28" i="121"/>
  <c r="DT28" i="121"/>
  <c r="DV28" i="121"/>
  <c r="DW28" i="121"/>
  <c r="EP28" i="121"/>
  <c r="ES28" i="121"/>
  <c r="ES37" i="121" s="1"/>
  <c r="EY28" i="121"/>
  <c r="FB28" i="121"/>
  <c r="FB37" i="121" s="1"/>
  <c r="FH28" i="121"/>
  <c r="FK28" i="121"/>
  <c r="FK37" i="121" s="1"/>
  <c r="FP28" i="121"/>
  <c r="FR28" i="121"/>
  <c r="FS28" i="121"/>
  <c r="FU28" i="121"/>
  <c r="FV28" i="121"/>
  <c r="E29" i="121"/>
  <c r="H29" i="121"/>
  <c r="H38" i="121" s="1"/>
  <c r="N29" i="121"/>
  <c r="Q29" i="121"/>
  <c r="Q38" i="121" s="1"/>
  <c r="W29" i="121"/>
  <c r="Z29" i="121"/>
  <c r="Z38" i="121" s="1"/>
  <c r="AE29" i="121"/>
  <c r="AG29" i="121"/>
  <c r="AH29" i="121"/>
  <c r="AJ29" i="121"/>
  <c r="AK29" i="121"/>
  <c r="AR29" i="121"/>
  <c r="AU29" i="121"/>
  <c r="AU38" i="121" s="1"/>
  <c r="BA29" i="121"/>
  <c r="BD29" i="121"/>
  <c r="BD38" i="121" s="1"/>
  <c r="BJ29" i="121"/>
  <c r="BM29" i="121"/>
  <c r="BM38" i="121" s="1"/>
  <c r="BR29" i="121"/>
  <c r="BT29" i="121"/>
  <c r="BU29" i="121"/>
  <c r="BW29" i="121"/>
  <c r="BW38" i="121" s="1"/>
  <c r="BX29" i="121"/>
  <c r="CQ29" i="121"/>
  <c r="CT29" i="121"/>
  <c r="CT38" i="121" s="1"/>
  <c r="CZ29" i="121"/>
  <c r="DC29" i="121"/>
  <c r="DC38" i="121" s="1"/>
  <c r="DI29" i="121"/>
  <c r="DL29" i="121"/>
  <c r="DL38" i="121" s="1"/>
  <c r="DQ29" i="121"/>
  <c r="DS29" i="121"/>
  <c r="DT29" i="121"/>
  <c r="DV29" i="121"/>
  <c r="DW29" i="121"/>
  <c r="EP29" i="121"/>
  <c r="ES29" i="121"/>
  <c r="ES38" i="121" s="1"/>
  <c r="EY29" i="121"/>
  <c r="FB29" i="121"/>
  <c r="FB38" i="121" s="1"/>
  <c r="FH29" i="121"/>
  <c r="FK29" i="121"/>
  <c r="FK38" i="121" s="1"/>
  <c r="FP29" i="121"/>
  <c r="FR29" i="121"/>
  <c r="FS29" i="121"/>
  <c r="FU29" i="121"/>
  <c r="FV29" i="121"/>
  <c r="E30" i="121"/>
  <c r="H30" i="121"/>
  <c r="N30" i="121"/>
  <c r="Q30" i="121"/>
  <c r="W30" i="121"/>
  <c r="Z30" i="121"/>
  <c r="AE30" i="121"/>
  <c r="AG30" i="121"/>
  <c r="AH30" i="121"/>
  <c r="AJ30" i="121"/>
  <c r="AK30" i="121"/>
  <c r="AR30" i="121"/>
  <c r="AU30" i="121"/>
  <c r="BA30" i="121"/>
  <c r="BD30" i="121"/>
  <c r="BJ30" i="121"/>
  <c r="BM30" i="121"/>
  <c r="BR30" i="121"/>
  <c r="BT30" i="121"/>
  <c r="BU30" i="121"/>
  <c r="BW30" i="121"/>
  <c r="BX30" i="121"/>
  <c r="CQ30" i="121"/>
  <c r="CT30" i="121"/>
  <c r="CZ30" i="121"/>
  <c r="DC30" i="121"/>
  <c r="DI30" i="121"/>
  <c r="DL30" i="121"/>
  <c r="DQ30" i="121"/>
  <c r="DS30" i="121"/>
  <c r="DT30" i="121"/>
  <c r="DV30" i="121"/>
  <c r="DW30" i="121"/>
  <c r="EP30" i="121"/>
  <c r="ES30" i="121"/>
  <c r="EY30" i="121"/>
  <c r="FB30" i="121"/>
  <c r="FH30" i="121"/>
  <c r="FK30" i="121"/>
  <c r="FP30" i="121"/>
  <c r="FR30" i="121"/>
  <c r="FS30" i="121"/>
  <c r="FU30" i="121"/>
  <c r="FV30" i="121"/>
  <c r="E31" i="121"/>
  <c r="H31" i="121"/>
  <c r="H40" i="121" s="1"/>
  <c r="N31" i="121"/>
  <c r="Q31" i="121"/>
  <c r="Q40" i="121" s="1"/>
  <c r="W31" i="121"/>
  <c r="Z31" i="121"/>
  <c r="Z40" i="121" s="1"/>
  <c r="AD31" i="121"/>
  <c r="AG31" i="121"/>
  <c r="AH31" i="121"/>
  <c r="AJ31" i="121"/>
  <c r="AK31" i="121"/>
  <c r="AR31" i="121"/>
  <c r="AU31" i="121"/>
  <c r="AU40" i="121" s="1"/>
  <c r="BA31" i="121"/>
  <c r="BA40" i="121" s="1"/>
  <c r="BD31" i="121"/>
  <c r="BD40" i="121" s="1"/>
  <c r="BJ31" i="121"/>
  <c r="BM31" i="121"/>
  <c r="BM40" i="121" s="1"/>
  <c r="BQ31" i="121"/>
  <c r="BT31" i="121"/>
  <c r="BU31" i="121"/>
  <c r="BW31" i="121"/>
  <c r="BX31" i="121"/>
  <c r="CQ31" i="121"/>
  <c r="CT31" i="121"/>
  <c r="CT40" i="121" s="1"/>
  <c r="CZ31" i="121"/>
  <c r="DC31" i="121"/>
  <c r="DC40" i="121" s="1"/>
  <c r="DI31" i="121"/>
  <c r="DL31" i="121"/>
  <c r="DL40" i="121" s="1"/>
  <c r="DP31" i="121"/>
  <c r="DS31" i="121"/>
  <c r="DT31" i="121"/>
  <c r="DV31" i="121"/>
  <c r="DW31" i="121"/>
  <c r="EP31" i="121"/>
  <c r="ES31" i="121"/>
  <c r="ES40" i="121" s="1"/>
  <c r="EY31" i="121"/>
  <c r="FB31" i="121"/>
  <c r="FB40" i="121" s="1"/>
  <c r="FH31" i="121"/>
  <c r="FK31" i="121"/>
  <c r="FK40" i="121" s="1"/>
  <c r="FO31" i="121"/>
  <c r="FR31" i="121"/>
  <c r="FS31" i="121"/>
  <c r="FU31" i="121"/>
  <c r="FV31" i="121"/>
  <c r="FV40" i="121" s="1"/>
  <c r="F32" i="121"/>
  <c r="E32" i="121" s="1"/>
  <c r="O32" i="121"/>
  <c r="X32" i="121"/>
  <c r="W32" i="121" s="1"/>
  <c r="Z32" i="121"/>
  <c r="AE32" i="121"/>
  <c r="AH32" i="121"/>
  <c r="AJ32" i="121"/>
  <c r="AK32" i="121"/>
  <c r="AS32" i="121"/>
  <c r="BB32" i="121"/>
  <c r="BB35" i="121" s="1"/>
  <c r="BK32" i="121"/>
  <c r="BJ32" i="121" s="1"/>
  <c r="BR32" i="121"/>
  <c r="BU32" i="121"/>
  <c r="BW32" i="121"/>
  <c r="BX32" i="121"/>
  <c r="CR32" i="121"/>
  <c r="CR35" i="121" s="1"/>
  <c r="DA32" i="121"/>
  <c r="CZ32" i="121" s="1"/>
  <c r="DJ32" i="121"/>
  <c r="DQ32" i="121"/>
  <c r="DT32" i="121"/>
  <c r="DV32" i="121"/>
  <c r="DW32" i="121"/>
  <c r="EQ32" i="121"/>
  <c r="EP32" i="121" s="1"/>
  <c r="EZ32" i="121"/>
  <c r="EZ35" i="121" s="1"/>
  <c r="EZ42" i="121" s="1"/>
  <c r="FI32" i="121"/>
  <c r="FH32" i="121" s="1"/>
  <c r="FP32" i="121"/>
  <c r="FS32" i="121"/>
  <c r="FU32" i="121"/>
  <c r="FV32" i="121"/>
  <c r="E33" i="121"/>
  <c r="H33" i="121"/>
  <c r="N33" i="121"/>
  <c r="Q33" i="121"/>
  <c r="W33" i="121"/>
  <c r="Z33" i="121"/>
  <c r="AE33" i="121"/>
  <c r="AG33" i="121"/>
  <c r="AH33" i="121"/>
  <c r="AJ33" i="121"/>
  <c r="AK33" i="121"/>
  <c r="AR33" i="121"/>
  <c r="AU33" i="121"/>
  <c r="BA33" i="121"/>
  <c r="BD33" i="121"/>
  <c r="BJ33" i="121"/>
  <c r="BM33" i="121"/>
  <c r="BR33" i="121"/>
  <c r="BT33" i="121"/>
  <c r="BU33" i="121"/>
  <c r="BW33" i="121"/>
  <c r="BX33" i="121"/>
  <c r="CQ33" i="121"/>
  <c r="CT33" i="121"/>
  <c r="CZ33" i="121"/>
  <c r="DC33" i="121"/>
  <c r="DI33" i="121"/>
  <c r="DL33" i="121"/>
  <c r="DQ33" i="121"/>
  <c r="DS33" i="121"/>
  <c r="DT33" i="121"/>
  <c r="DV33" i="121"/>
  <c r="DW33" i="121"/>
  <c r="EP33" i="121"/>
  <c r="ES33" i="121"/>
  <c r="EY33" i="121"/>
  <c r="FB33" i="121"/>
  <c r="FH33" i="121"/>
  <c r="FK33" i="121"/>
  <c r="FP33" i="121"/>
  <c r="FR33" i="121"/>
  <c r="FS33" i="121"/>
  <c r="FY33" i="121" s="1"/>
  <c r="FU33" i="121"/>
  <c r="FV33" i="121"/>
  <c r="E34" i="121"/>
  <c r="H34" i="121"/>
  <c r="N34" i="121"/>
  <c r="Q34" i="121"/>
  <c r="W34" i="121"/>
  <c r="Z34" i="121"/>
  <c r="AE34" i="121"/>
  <c r="AG34" i="121"/>
  <c r="AH34" i="121"/>
  <c r="AJ34" i="121"/>
  <c r="AK34" i="121"/>
  <c r="AR34" i="121"/>
  <c r="AU34" i="121"/>
  <c r="BA34" i="121"/>
  <c r="BD34" i="121"/>
  <c r="BJ34" i="121"/>
  <c r="BM34" i="121"/>
  <c r="BM32" i="121" s="1"/>
  <c r="BR34" i="121"/>
  <c r="BT34" i="121"/>
  <c r="BU34" i="121"/>
  <c r="BW34" i="121"/>
  <c r="BX34" i="121"/>
  <c r="CQ34" i="121"/>
  <c r="CT34" i="121"/>
  <c r="CZ34" i="121"/>
  <c r="DC34" i="121"/>
  <c r="DI34" i="121"/>
  <c r="DL34" i="121"/>
  <c r="DQ34" i="121"/>
  <c r="DS34" i="121"/>
  <c r="DT34" i="121"/>
  <c r="DV34" i="121"/>
  <c r="DW34" i="121"/>
  <c r="EP34" i="121"/>
  <c r="ES34" i="121"/>
  <c r="EY34" i="121"/>
  <c r="FB34" i="121"/>
  <c r="FH34" i="121"/>
  <c r="FK34" i="121"/>
  <c r="FP34" i="121"/>
  <c r="FR34" i="121"/>
  <c r="FS34" i="121"/>
  <c r="FU34" i="121"/>
  <c r="FV34" i="121"/>
  <c r="G35" i="121"/>
  <c r="G42" i="121" s="1"/>
  <c r="P35" i="121"/>
  <c r="P42" i="121" s="1"/>
  <c r="Y35" i="121"/>
  <c r="Y42" i="121" s="1"/>
  <c r="AK35" i="121"/>
  <c r="AT35" i="121"/>
  <c r="AT42" i="121" s="1"/>
  <c r="BC35" i="121"/>
  <c r="BC42" i="121" s="1"/>
  <c r="BL35" i="121"/>
  <c r="BL42" i="121" s="1"/>
  <c r="CS35" i="121"/>
  <c r="CS42" i="121" s="1"/>
  <c r="DA35" i="121"/>
  <c r="DA42" i="121" s="1"/>
  <c r="CZ42" i="121" s="1"/>
  <c r="DB35" i="121"/>
  <c r="DB42" i="121" s="1"/>
  <c r="DK35" i="121"/>
  <c r="DK42" i="121" s="1"/>
  <c r="ER35" i="121"/>
  <c r="ER42" i="121" s="1"/>
  <c r="FV35" i="121"/>
  <c r="FA35" i="121"/>
  <c r="FA42" i="121" s="1"/>
  <c r="FI35" i="121"/>
  <c r="FI42" i="121" s="1"/>
  <c r="FJ35" i="121"/>
  <c r="FJ42" i="121" s="1"/>
  <c r="FU35" i="121"/>
  <c r="F37" i="121"/>
  <c r="AN37" i="121"/>
  <c r="CA37" i="121"/>
  <c r="CM37" i="121"/>
  <c r="DZ37" i="121"/>
  <c r="EL37" i="121"/>
  <c r="EQ37" i="121"/>
  <c r="FI37" i="121"/>
  <c r="FY37" i="121"/>
  <c r="GK37" i="121"/>
  <c r="F38" i="121"/>
  <c r="AJ38" i="121"/>
  <c r="AN38" i="121"/>
  <c r="CA38" i="121"/>
  <c r="CM38" i="121"/>
  <c r="DZ38" i="121"/>
  <c r="EL38" i="121"/>
  <c r="EQ38" i="121"/>
  <c r="FI38" i="121"/>
  <c r="FY38" i="121"/>
  <c r="GK38" i="121"/>
  <c r="AN39" i="121"/>
  <c r="CA39" i="121"/>
  <c r="CM39" i="121"/>
  <c r="DZ39" i="121"/>
  <c r="EL39" i="121"/>
  <c r="FY39" i="121"/>
  <c r="GK39" i="121"/>
  <c r="FX40" i="121"/>
  <c r="GJ40" i="121"/>
  <c r="H47" i="121"/>
  <c r="Q47" i="121"/>
  <c r="Z47" i="121"/>
  <c r="AJ47" i="121"/>
  <c r="AK47" i="121"/>
  <c r="AU47" i="121"/>
  <c r="BD47" i="121"/>
  <c r="BM47" i="121"/>
  <c r="BW47" i="121"/>
  <c r="BX47" i="121"/>
  <c r="CT47" i="121"/>
  <c r="DC47" i="121"/>
  <c r="DL47" i="121"/>
  <c r="DV47" i="121"/>
  <c r="DW47" i="121"/>
  <c r="ES47" i="121"/>
  <c r="FB47" i="121"/>
  <c r="FK47" i="121"/>
  <c r="FU47" i="121"/>
  <c r="FV47" i="121"/>
  <c r="H48" i="121"/>
  <c r="Q48" i="121"/>
  <c r="Z48" i="121"/>
  <c r="AJ48" i="121"/>
  <c r="AK48" i="121"/>
  <c r="AU48" i="121"/>
  <c r="BD48" i="121"/>
  <c r="BM48" i="121"/>
  <c r="BW48" i="121"/>
  <c r="BX48" i="121"/>
  <c r="CT48" i="121"/>
  <c r="DC48" i="121"/>
  <c r="DL48" i="121"/>
  <c r="DV48" i="121"/>
  <c r="DW48" i="121"/>
  <c r="ES48" i="121"/>
  <c r="FB48" i="121"/>
  <c r="FK48" i="121"/>
  <c r="FU48" i="121"/>
  <c r="FV48" i="121"/>
  <c r="H49" i="121"/>
  <c r="Q49" i="121"/>
  <c r="Z49" i="121"/>
  <c r="AJ49" i="121"/>
  <c r="AK49" i="121"/>
  <c r="AU49" i="121"/>
  <c r="BD49" i="121"/>
  <c r="BM49" i="121"/>
  <c r="BW49" i="121"/>
  <c r="BX49" i="121"/>
  <c r="CT49" i="121"/>
  <c r="DC49" i="121"/>
  <c r="DL49" i="121"/>
  <c r="DV49" i="121"/>
  <c r="DW49" i="121"/>
  <c r="ES49" i="121"/>
  <c r="FB49" i="121"/>
  <c r="FK49" i="121"/>
  <c r="FU49" i="121"/>
  <c r="FV49" i="121"/>
  <c r="H50" i="121"/>
  <c r="Q50" i="121"/>
  <c r="Z50" i="121"/>
  <c r="AJ50" i="121"/>
  <c r="AK50" i="121"/>
  <c r="AU50" i="121"/>
  <c r="BD50" i="121"/>
  <c r="BM50" i="121"/>
  <c r="BW50" i="121"/>
  <c r="BX50" i="121"/>
  <c r="CT50" i="121"/>
  <c r="DC50" i="121"/>
  <c r="DL50" i="121"/>
  <c r="DV50" i="121"/>
  <c r="DW50" i="121"/>
  <c r="ES50" i="121"/>
  <c r="FB50" i="121"/>
  <c r="FK50" i="121"/>
  <c r="FU50" i="121"/>
  <c r="FV50" i="121"/>
  <c r="H51" i="121"/>
  <c r="Q51" i="121"/>
  <c r="Z51" i="121"/>
  <c r="AJ51" i="121"/>
  <c r="AK51" i="121"/>
  <c r="AU51" i="121"/>
  <c r="BD51" i="121"/>
  <c r="BM51" i="121"/>
  <c r="BW51" i="121"/>
  <c r="BX51" i="121"/>
  <c r="CT51" i="121"/>
  <c r="DC51" i="121"/>
  <c r="DL51" i="121"/>
  <c r="DV51" i="121"/>
  <c r="DW51" i="121"/>
  <c r="ES51" i="121"/>
  <c r="FB51" i="121"/>
  <c r="FK51" i="121"/>
  <c r="FU51" i="121"/>
  <c r="FV51" i="121"/>
  <c r="H52" i="121"/>
  <c r="Q52" i="121"/>
  <c r="Z52" i="121"/>
  <c r="AJ52" i="121"/>
  <c r="AK52" i="121"/>
  <c r="AU52" i="121"/>
  <c r="BD52" i="121"/>
  <c r="BM52" i="121"/>
  <c r="BW52" i="121"/>
  <c r="BX52" i="121"/>
  <c r="CT52" i="121"/>
  <c r="DC52" i="121"/>
  <c r="DL52" i="121"/>
  <c r="DV52" i="121"/>
  <c r="DW52" i="121"/>
  <c r="ES52" i="121"/>
  <c r="FB52" i="121"/>
  <c r="FK52" i="121"/>
  <c r="FU52" i="121"/>
  <c r="FV52" i="121"/>
  <c r="H53" i="121"/>
  <c r="Q53" i="121"/>
  <c r="Q54" i="121" s="1"/>
  <c r="Z53" i="121"/>
  <c r="AJ53" i="121"/>
  <c r="AK53" i="121"/>
  <c r="AK54" i="121" s="1"/>
  <c r="AU53" i="121"/>
  <c r="BD53" i="121"/>
  <c r="BD54" i="121" s="1"/>
  <c r="BM53" i="121"/>
  <c r="BW53" i="121"/>
  <c r="BX53" i="121"/>
  <c r="CT53" i="121"/>
  <c r="CT54" i="121" s="1"/>
  <c r="DC53" i="121"/>
  <c r="DL53" i="121"/>
  <c r="DL54" i="121" s="1"/>
  <c r="DV53" i="121"/>
  <c r="DW53" i="121"/>
  <c r="ES53" i="121"/>
  <c r="FB53" i="121"/>
  <c r="FK53" i="121"/>
  <c r="FK54" i="121" s="1"/>
  <c r="FU53" i="121"/>
  <c r="FU54" i="121" s="1"/>
  <c r="FV53" i="121"/>
  <c r="FV54" i="121" s="1"/>
  <c r="BW54" i="121"/>
  <c r="AK55" i="121"/>
  <c r="BX55" i="121"/>
  <c r="BW55" i="121"/>
  <c r="DW55" i="121"/>
  <c r="DV55" i="121"/>
  <c r="FU55" i="121"/>
  <c r="FV55" i="121"/>
  <c r="H56" i="121"/>
  <c r="Q56" i="121"/>
  <c r="Z56" i="121"/>
  <c r="AJ56" i="121"/>
  <c r="AK56" i="121"/>
  <c r="AU56" i="121"/>
  <c r="BD56" i="121"/>
  <c r="BM56" i="121"/>
  <c r="BW56" i="121"/>
  <c r="BX56" i="121"/>
  <c r="CT56" i="121"/>
  <c r="DC56" i="121"/>
  <c r="DL56" i="121"/>
  <c r="DV56" i="121"/>
  <c r="DW56" i="121"/>
  <c r="ES56" i="121"/>
  <c r="FB56" i="121"/>
  <c r="FK56" i="121"/>
  <c r="FU56" i="121"/>
  <c r="FV56" i="121"/>
  <c r="H57" i="121"/>
  <c r="Q57" i="121"/>
  <c r="Z57" i="121"/>
  <c r="AJ57" i="121"/>
  <c r="AK57" i="121"/>
  <c r="AU57" i="121"/>
  <c r="BD57" i="121"/>
  <c r="BM57" i="121"/>
  <c r="BW57" i="121"/>
  <c r="BX57" i="121"/>
  <c r="CT57" i="121"/>
  <c r="DC57" i="121"/>
  <c r="DL57" i="121"/>
  <c r="DV57" i="121"/>
  <c r="DW57" i="121"/>
  <c r="ES57" i="121"/>
  <c r="FB57" i="121"/>
  <c r="FK57" i="121"/>
  <c r="FU57" i="121"/>
  <c r="FV57" i="121"/>
  <c r="H58" i="121"/>
  <c r="Q58" i="121"/>
  <c r="Z58" i="121"/>
  <c r="AJ58" i="121"/>
  <c r="AK58" i="121"/>
  <c r="AU58" i="121"/>
  <c r="BD58" i="121"/>
  <c r="BM58" i="121"/>
  <c r="BW58" i="121"/>
  <c r="BX58" i="121"/>
  <c r="CT58" i="121"/>
  <c r="DC58" i="121"/>
  <c r="DL58" i="121"/>
  <c r="DV58" i="121"/>
  <c r="DW58" i="121"/>
  <c r="ES58" i="121"/>
  <c r="FB58" i="121"/>
  <c r="FK58" i="121"/>
  <c r="FU58" i="121"/>
  <c r="FV58" i="121"/>
  <c r="H59" i="121"/>
  <c r="Q59" i="121"/>
  <c r="Z59" i="121"/>
  <c r="AJ59" i="121"/>
  <c r="AK59" i="121"/>
  <c r="AU59" i="121"/>
  <c r="BD59" i="121"/>
  <c r="BM59" i="121"/>
  <c r="BM55" i="121" s="1"/>
  <c r="BW59" i="121"/>
  <c r="BX59" i="121"/>
  <c r="CT59" i="121"/>
  <c r="DC59" i="121"/>
  <c r="DL59" i="121"/>
  <c r="DV59" i="121"/>
  <c r="DW59" i="121"/>
  <c r="ES59" i="121"/>
  <c r="FB59" i="121"/>
  <c r="FK59" i="121"/>
  <c r="FU59" i="121"/>
  <c r="FV59" i="121"/>
  <c r="BW60" i="121"/>
  <c r="DV60" i="121"/>
  <c r="DW60" i="121"/>
  <c r="FV60" i="121"/>
  <c r="H61" i="121"/>
  <c r="Q61" i="121"/>
  <c r="Z61" i="121"/>
  <c r="AJ61" i="121"/>
  <c r="AK61" i="121"/>
  <c r="AU61" i="121"/>
  <c r="BD61" i="121"/>
  <c r="BM61" i="121"/>
  <c r="BW61" i="121"/>
  <c r="BX61" i="121"/>
  <c r="CT61" i="121"/>
  <c r="DC61" i="121"/>
  <c r="DL61" i="121"/>
  <c r="DV61" i="121"/>
  <c r="DW61" i="121"/>
  <c r="ES61" i="121"/>
  <c r="FB61" i="121"/>
  <c r="FK61" i="121"/>
  <c r="FU61" i="121"/>
  <c r="FV61" i="121"/>
  <c r="H62" i="121"/>
  <c r="Q62" i="121"/>
  <c r="Z62" i="121"/>
  <c r="AJ62" i="121"/>
  <c r="AK62" i="121"/>
  <c r="AU62" i="121"/>
  <c r="BD62" i="121"/>
  <c r="BM62" i="121"/>
  <c r="BW62" i="121"/>
  <c r="BX62" i="121"/>
  <c r="CT62" i="121"/>
  <c r="DC62" i="121"/>
  <c r="DL62" i="121"/>
  <c r="DV62" i="121"/>
  <c r="DW62" i="121"/>
  <c r="ES62" i="121"/>
  <c r="FB62" i="121"/>
  <c r="FK62" i="121"/>
  <c r="FU62" i="121"/>
  <c r="FV62" i="121"/>
  <c r="H63" i="121"/>
  <c r="Q63" i="121"/>
  <c r="Z63" i="121"/>
  <c r="AJ63" i="121"/>
  <c r="AK63" i="121"/>
  <c r="AU63" i="121"/>
  <c r="BD63" i="121"/>
  <c r="BM63" i="121"/>
  <c r="BW63" i="121"/>
  <c r="BX63" i="121"/>
  <c r="CT63" i="121"/>
  <c r="DC63" i="121"/>
  <c r="DL63" i="121"/>
  <c r="DV63" i="121"/>
  <c r="DW63" i="121"/>
  <c r="ES63" i="121"/>
  <c r="FB63" i="121"/>
  <c r="FK63" i="121"/>
  <c r="FU63" i="121"/>
  <c r="FV63" i="121"/>
  <c r="H64" i="121"/>
  <c r="Q64" i="121"/>
  <c r="Z64" i="121"/>
  <c r="AJ64" i="121"/>
  <c r="AK64" i="121"/>
  <c r="AU64" i="121"/>
  <c r="BD64" i="121"/>
  <c r="BM64" i="121"/>
  <c r="BW64" i="121"/>
  <c r="BX64" i="121"/>
  <c r="CT64" i="121"/>
  <c r="DC64" i="121"/>
  <c r="DL64" i="121"/>
  <c r="DV64" i="121"/>
  <c r="DW64" i="121"/>
  <c r="ES64" i="121"/>
  <c r="FB64" i="121"/>
  <c r="FK64" i="121"/>
  <c r="FU64" i="121"/>
  <c r="FV64" i="121"/>
  <c r="H65" i="121"/>
  <c r="Q65" i="121"/>
  <c r="Z65" i="121"/>
  <c r="AJ65" i="121"/>
  <c r="AK65" i="121"/>
  <c r="AU65" i="121"/>
  <c r="BD65" i="121"/>
  <c r="BM65" i="121"/>
  <c r="BW65" i="121"/>
  <c r="BX65" i="121"/>
  <c r="CT65" i="121"/>
  <c r="DC65" i="121"/>
  <c r="DL65" i="121"/>
  <c r="DV65" i="121"/>
  <c r="DW65" i="121"/>
  <c r="ES65" i="121"/>
  <c r="FB65" i="121"/>
  <c r="FK65" i="121"/>
  <c r="FU65" i="121"/>
  <c r="FV65" i="121"/>
  <c r="AJ66" i="121"/>
  <c r="AK66" i="121"/>
  <c r="BW66" i="121"/>
  <c r="BX66" i="121"/>
  <c r="DW66" i="121"/>
  <c r="FU66" i="121"/>
  <c r="H67" i="121"/>
  <c r="Q67" i="121"/>
  <c r="Z67" i="121"/>
  <c r="AJ67" i="121"/>
  <c r="AK67" i="121"/>
  <c r="AU67" i="121"/>
  <c r="BD67" i="121"/>
  <c r="BM67" i="121"/>
  <c r="BW67" i="121"/>
  <c r="BX67" i="121"/>
  <c r="CT67" i="121"/>
  <c r="DC67" i="121"/>
  <c r="DL67" i="121"/>
  <c r="DV67" i="121"/>
  <c r="DW67" i="121"/>
  <c r="ES67" i="121"/>
  <c r="FB67" i="121"/>
  <c r="FK67" i="121"/>
  <c r="FU67" i="121"/>
  <c r="FV67" i="121"/>
  <c r="H68" i="121"/>
  <c r="Q68" i="121"/>
  <c r="Z68" i="121"/>
  <c r="AJ68" i="121"/>
  <c r="AK68" i="121"/>
  <c r="AU68" i="121"/>
  <c r="BD68" i="121"/>
  <c r="BM68" i="121"/>
  <c r="BW68" i="121"/>
  <c r="BX68" i="121"/>
  <c r="CT68" i="121"/>
  <c r="DC68" i="121"/>
  <c r="DL68" i="121"/>
  <c r="DV68" i="121"/>
  <c r="DW68" i="121"/>
  <c r="ES68" i="121"/>
  <c r="FB68" i="121"/>
  <c r="FK68" i="121"/>
  <c r="FU68" i="121"/>
  <c r="FV68" i="121"/>
  <c r="H69" i="121"/>
  <c r="Q69" i="121"/>
  <c r="Z69" i="121"/>
  <c r="AJ69" i="121"/>
  <c r="AK69" i="121"/>
  <c r="AU69" i="121"/>
  <c r="BD69" i="121"/>
  <c r="BM69" i="121"/>
  <c r="BW69" i="121"/>
  <c r="BX69" i="121"/>
  <c r="CT69" i="121"/>
  <c r="DC69" i="121"/>
  <c r="DL69" i="121"/>
  <c r="DV69" i="121"/>
  <c r="DW69" i="121"/>
  <c r="ES69" i="121"/>
  <c r="FB69" i="121"/>
  <c r="FK69" i="121"/>
  <c r="FU69" i="121"/>
  <c r="FV69" i="121"/>
  <c r="H70" i="121"/>
  <c r="Q70" i="121"/>
  <c r="Z70" i="121"/>
  <c r="AJ70" i="121"/>
  <c r="AK70" i="121"/>
  <c r="AU70" i="121"/>
  <c r="BD70" i="121"/>
  <c r="BM70" i="121"/>
  <c r="BW70" i="121"/>
  <c r="BX70" i="121"/>
  <c r="CT70" i="121"/>
  <c r="DC70" i="121"/>
  <c r="DL70" i="121"/>
  <c r="DV70" i="121"/>
  <c r="DW70" i="121"/>
  <c r="ES70" i="121"/>
  <c r="FB70" i="121"/>
  <c r="FK70" i="121"/>
  <c r="FU70" i="121"/>
  <c r="FV70" i="121"/>
  <c r="H71" i="121"/>
  <c r="Q71" i="121"/>
  <c r="Z71" i="121"/>
  <c r="AJ71" i="121"/>
  <c r="AK71" i="121"/>
  <c r="AU71" i="121"/>
  <c r="BD71" i="121"/>
  <c r="BM71" i="121"/>
  <c r="BW71" i="121"/>
  <c r="BX71" i="121"/>
  <c r="CT71" i="121"/>
  <c r="DC71" i="121"/>
  <c r="DL71" i="121"/>
  <c r="DV71" i="121"/>
  <c r="DW71" i="121"/>
  <c r="ES71" i="121"/>
  <c r="FB71" i="121"/>
  <c r="FK71" i="121"/>
  <c r="FU71" i="121"/>
  <c r="FV71" i="121"/>
  <c r="H72" i="121"/>
  <c r="Q72" i="121"/>
  <c r="Z72" i="121"/>
  <c r="AJ72" i="121"/>
  <c r="AK72" i="121"/>
  <c r="AU72" i="121"/>
  <c r="BD72" i="121"/>
  <c r="BM72" i="121"/>
  <c r="BW72" i="121"/>
  <c r="BX72" i="121"/>
  <c r="CT72" i="121"/>
  <c r="DC72" i="121"/>
  <c r="DL72" i="121"/>
  <c r="DV72" i="121"/>
  <c r="DW72" i="121"/>
  <c r="ES72" i="121"/>
  <c r="FB72" i="121"/>
  <c r="FK72" i="121"/>
  <c r="FU72" i="121"/>
  <c r="FV72" i="121"/>
  <c r="H73" i="121"/>
  <c r="Q73" i="121"/>
  <c r="Z73" i="121"/>
  <c r="AJ73" i="121"/>
  <c r="AK73" i="121"/>
  <c r="AU73" i="121"/>
  <c r="BD73" i="121"/>
  <c r="BM73" i="121"/>
  <c r="BW73" i="121"/>
  <c r="BX73" i="121"/>
  <c r="CT73" i="121"/>
  <c r="DC73" i="121"/>
  <c r="DL73" i="121"/>
  <c r="DV73" i="121"/>
  <c r="DW73" i="121"/>
  <c r="ES73" i="121"/>
  <c r="FB73" i="121"/>
  <c r="FK73" i="121"/>
  <c r="FU73" i="121"/>
  <c r="FV73" i="121"/>
  <c r="H74" i="121"/>
  <c r="Q74" i="121"/>
  <c r="Z74" i="121"/>
  <c r="AJ74" i="121"/>
  <c r="AK74" i="121"/>
  <c r="AU74" i="121"/>
  <c r="BD74" i="121"/>
  <c r="BM74" i="121"/>
  <c r="BW74" i="121"/>
  <c r="BX74" i="121"/>
  <c r="CT74" i="121"/>
  <c r="DC74" i="121"/>
  <c r="DL74" i="121"/>
  <c r="DV74" i="121"/>
  <c r="DW74" i="121"/>
  <c r="ES74" i="121"/>
  <c r="FB74" i="121"/>
  <c r="FK74" i="121"/>
  <c r="FU74" i="121"/>
  <c r="FV74" i="121"/>
  <c r="H75" i="121"/>
  <c r="Q75" i="121"/>
  <c r="Z75" i="121"/>
  <c r="AJ75" i="121"/>
  <c r="AK75" i="121"/>
  <c r="AU75" i="121"/>
  <c r="BD75" i="121"/>
  <c r="BM75" i="121"/>
  <c r="BW75" i="121"/>
  <c r="BX75" i="121"/>
  <c r="CT75" i="121"/>
  <c r="DC75" i="121"/>
  <c r="DL75" i="121"/>
  <c r="DV75" i="121"/>
  <c r="DW75" i="121"/>
  <c r="ES75" i="121"/>
  <c r="FB75" i="121"/>
  <c r="FK75" i="121"/>
  <c r="FU75" i="121"/>
  <c r="FV75" i="121"/>
  <c r="FK77" i="121"/>
  <c r="E79" i="121"/>
  <c r="N79" i="121"/>
  <c r="Q79" i="121"/>
  <c r="W79" i="121"/>
  <c r="Z79" i="121"/>
  <c r="AG79" i="121"/>
  <c r="AH79" i="121"/>
  <c r="AJ79" i="121"/>
  <c r="AK79" i="121"/>
  <c r="AR79" i="121"/>
  <c r="AU79" i="121"/>
  <c r="BA79" i="121"/>
  <c r="BD79" i="121"/>
  <c r="BJ79" i="121"/>
  <c r="BM79" i="121"/>
  <c r="BT79" i="121"/>
  <c r="BU79" i="121"/>
  <c r="BW79" i="121"/>
  <c r="BX79" i="121"/>
  <c r="CQ79" i="121"/>
  <c r="CT79" i="121"/>
  <c r="CZ79" i="121"/>
  <c r="DR79" i="121" s="1"/>
  <c r="DC79" i="121"/>
  <c r="DI79" i="121"/>
  <c r="DL79" i="121"/>
  <c r="DS79" i="121"/>
  <c r="DT79" i="121"/>
  <c r="DV79" i="121"/>
  <c r="DW79" i="121"/>
  <c r="EP79" i="121"/>
  <c r="ES79" i="121"/>
  <c r="EY79" i="121"/>
  <c r="FB79" i="121"/>
  <c r="FH79" i="121"/>
  <c r="FK79" i="121"/>
  <c r="FR79" i="121"/>
  <c r="FS79" i="121"/>
  <c r="FU79" i="121"/>
  <c r="FV79" i="121"/>
  <c r="B80" i="121"/>
  <c r="E80" i="121"/>
  <c r="L80" i="121"/>
  <c r="M80" i="121"/>
  <c r="V80" i="121" s="1"/>
  <c r="N80" i="121"/>
  <c r="Q80" i="121"/>
  <c r="W80" i="121"/>
  <c r="Z80" i="121"/>
  <c r="AG80" i="121"/>
  <c r="AH80" i="121"/>
  <c r="AJ80" i="121"/>
  <c r="AK80" i="121"/>
  <c r="AR80" i="121"/>
  <c r="AU80" i="121"/>
  <c r="BA80" i="121"/>
  <c r="BD80" i="121"/>
  <c r="BJ80" i="121"/>
  <c r="BM80" i="121"/>
  <c r="BT80" i="121"/>
  <c r="BU80" i="121"/>
  <c r="BW80" i="121"/>
  <c r="BX80" i="121"/>
  <c r="CQ80" i="121"/>
  <c r="CT80" i="121"/>
  <c r="CZ80" i="121"/>
  <c r="DC80" i="121"/>
  <c r="DI80" i="121"/>
  <c r="DL80" i="121"/>
  <c r="DS80" i="121"/>
  <c r="DT80" i="121"/>
  <c r="DV80" i="121"/>
  <c r="DW80" i="121"/>
  <c r="EP80" i="121"/>
  <c r="ES80" i="121"/>
  <c r="EY80" i="121"/>
  <c r="FB80" i="121"/>
  <c r="FH80" i="121"/>
  <c r="FK80" i="121"/>
  <c r="FR80" i="121"/>
  <c r="FS80" i="121"/>
  <c r="FU80" i="121"/>
  <c r="FV80" i="121"/>
  <c r="BM81" i="121"/>
  <c r="Q85" i="121"/>
  <c r="Z85" i="121"/>
  <c r="AU85" i="121"/>
  <c r="BD85" i="121"/>
  <c r="BM85" i="121"/>
  <c r="CT85" i="121"/>
  <c r="DC85" i="121"/>
  <c r="DL85" i="121"/>
  <c r="ES85" i="121"/>
  <c r="FB85" i="121"/>
  <c r="FK85" i="121"/>
  <c r="AI86" i="121"/>
  <c r="BV86" i="121"/>
  <c r="DU86" i="121"/>
  <c r="FT86" i="121"/>
  <c r="AI87" i="121"/>
  <c r="BV87" i="121"/>
  <c r="DU87" i="121"/>
  <c r="FT87" i="121"/>
  <c r="AI88" i="121"/>
  <c r="BV88" i="121"/>
  <c r="DU88" i="121"/>
  <c r="FT88" i="121"/>
  <c r="CC156" i="120"/>
  <c r="CD150" i="120"/>
  <c r="CD148" i="120"/>
  <c r="CD146" i="120"/>
  <c r="CD144" i="120"/>
  <c r="CC127" i="120"/>
  <c r="CC124" i="120"/>
  <c r="CC103" i="120"/>
  <c r="CC101" i="120"/>
  <c r="CC65" i="120"/>
  <c r="CC63" i="120"/>
  <c r="CC59" i="120"/>
  <c r="CC56" i="120"/>
  <c r="BB200" i="122" l="1"/>
  <c r="BB153" i="122"/>
  <c r="AS29" i="122"/>
  <c r="AS21" i="122" s="1"/>
  <c r="AS222" i="122"/>
  <c r="AS227" i="122" s="1"/>
  <c r="AW49" i="122"/>
  <c r="AW40" i="122" s="1"/>
  <c r="BR49" i="122"/>
  <c r="BR40" i="122" s="1"/>
  <c r="CP19" i="121"/>
  <c r="FU11" i="121"/>
  <c r="AX157" i="122"/>
  <c r="AC30" i="122"/>
  <c r="W200" i="122"/>
  <c r="AR200" i="122"/>
  <c r="BC200" i="122"/>
  <c r="BZ200" i="122"/>
  <c r="BT222" i="122"/>
  <c r="BY47" i="122"/>
  <c r="Z226" i="122"/>
  <c r="BP226" i="122"/>
  <c r="AK76" i="122"/>
  <c r="BI76" i="122" s="1"/>
  <c r="BA89" i="122"/>
  <c r="AK91" i="122"/>
  <c r="H31" i="132"/>
  <c r="AU153" i="122"/>
  <c r="BP153" i="122"/>
  <c r="CA153" i="122"/>
  <c r="AU154" i="122"/>
  <c r="BP154" i="122"/>
  <c r="AB217" i="122"/>
  <c r="AW217" i="122"/>
  <c r="BP219" i="122"/>
  <c r="CA219" i="122"/>
  <c r="U222" i="122"/>
  <c r="Z38" i="122"/>
  <c r="BU29" i="122"/>
  <c r="BU21" i="122" s="1"/>
  <c r="T223" i="122"/>
  <c r="BB223" i="122"/>
  <c r="BV223" i="122"/>
  <c r="AE65" i="122"/>
  <c r="BV70" i="122"/>
  <c r="P226" i="122"/>
  <c r="AD226" i="122"/>
  <c r="AX226" i="122"/>
  <c r="BS226" i="122"/>
  <c r="Y101" i="122"/>
  <c r="Y94" i="122" s="1"/>
  <c r="AT101" i="122"/>
  <c r="CA106" i="122"/>
  <c r="AW101" i="122"/>
  <c r="AW94" i="122" s="1"/>
  <c r="BR101" i="122"/>
  <c r="E111" i="122"/>
  <c r="E166" i="122" s="1"/>
  <c r="H20" i="133"/>
  <c r="H31" i="133"/>
  <c r="V19" i="121"/>
  <c r="AX9" i="122"/>
  <c r="AU155" i="122"/>
  <c r="CA155" i="122"/>
  <c r="BC158" i="122"/>
  <c r="BZ158" i="122"/>
  <c r="W159" i="122"/>
  <c r="AR159" i="122"/>
  <c r="N31" i="122"/>
  <c r="T201" i="122"/>
  <c r="J217" i="122"/>
  <c r="V217" i="122"/>
  <c r="E35" i="122"/>
  <c r="BS35" i="122"/>
  <c r="D38" i="122"/>
  <c r="T212" i="122"/>
  <c r="BB212" i="122"/>
  <c r="H90" i="122"/>
  <c r="U81" i="122"/>
  <c r="U75" i="122" s="1"/>
  <c r="AY81" i="122"/>
  <c r="AY75" i="122" s="1"/>
  <c r="D33" i="132"/>
  <c r="CR42" i="121"/>
  <c r="CQ42" i="121" s="1"/>
  <c r="CR11" i="121"/>
  <c r="Z153" i="122"/>
  <c r="CB12" i="122"/>
  <c r="BY14" i="122"/>
  <c r="AH15" i="122"/>
  <c r="BF15" i="122" s="1"/>
  <c r="H154" i="122"/>
  <c r="T154" i="122"/>
  <c r="AE154" i="122"/>
  <c r="BV154" i="122"/>
  <c r="AU158" i="122"/>
  <c r="BP158" i="122"/>
  <c r="CA158" i="122"/>
  <c r="CA159" i="122"/>
  <c r="W28" i="122"/>
  <c r="AW161" i="122"/>
  <c r="B30" i="122"/>
  <c r="Y217" i="122"/>
  <c r="AZ217" i="122"/>
  <c r="BU217" i="122"/>
  <c r="AE219" i="122"/>
  <c r="L222" i="122"/>
  <c r="BV38" i="122"/>
  <c r="CB38" i="122"/>
  <c r="AJ39" i="122"/>
  <c r="BH39" i="122" s="1"/>
  <c r="BV40" i="122"/>
  <c r="BA52" i="122"/>
  <c r="CB68" i="122"/>
  <c r="T226" i="122"/>
  <c r="BB226" i="122"/>
  <c r="N78" i="122"/>
  <c r="AK85" i="122"/>
  <c r="BY91" i="122"/>
  <c r="P92" i="122"/>
  <c r="X101" i="122"/>
  <c r="X94" i="122" s="1"/>
  <c r="BS108" i="122"/>
  <c r="BY110" i="122"/>
  <c r="BY129" i="122"/>
  <c r="BA8" i="122"/>
  <c r="AH14" i="122"/>
  <c r="K153" i="122"/>
  <c r="AR153" i="122"/>
  <c r="AE155" i="122"/>
  <c r="BB155" i="122"/>
  <c r="BV155" i="122"/>
  <c r="E200" i="122"/>
  <c r="P200" i="122"/>
  <c r="Z200" i="122"/>
  <c r="AU200" i="122"/>
  <c r="AU201" i="122"/>
  <c r="BP201" i="122"/>
  <c r="CA201" i="122"/>
  <c r="C219" i="122"/>
  <c r="K219" i="122"/>
  <c r="BC219" i="122"/>
  <c r="BZ219" i="122"/>
  <c r="O221" i="122"/>
  <c r="Z221" i="122"/>
  <c r="AU221" i="122"/>
  <c r="BP221" i="122"/>
  <c r="AW222" i="122"/>
  <c r="AK72" i="122"/>
  <c r="W226" i="122"/>
  <c r="BZ226" i="122"/>
  <c r="X81" i="122"/>
  <c r="X75" i="122" s="1"/>
  <c r="S93" i="122"/>
  <c r="L101" i="122"/>
  <c r="L94" i="122" s="1"/>
  <c r="BC106" i="122"/>
  <c r="BC28" i="122"/>
  <c r="T9" i="122"/>
  <c r="BP9" i="122"/>
  <c r="N23" i="122"/>
  <c r="CA154" i="122"/>
  <c r="H157" i="122"/>
  <c r="BV157" i="122"/>
  <c r="BA26" i="122"/>
  <c r="AE159" i="122"/>
  <c r="AX200" i="122"/>
  <c r="H201" i="122"/>
  <c r="R33" i="122"/>
  <c r="AX201" i="122"/>
  <c r="BS201" i="122"/>
  <c r="U29" i="122"/>
  <c r="U21" i="122" s="1"/>
  <c r="AU35" i="122"/>
  <c r="T38" i="122"/>
  <c r="BX222" i="122"/>
  <c r="D223" i="122"/>
  <c r="AK43" i="122"/>
  <c r="BY51" i="122"/>
  <c r="BY52" i="122"/>
  <c r="B63" i="122"/>
  <c r="B211" i="122" s="1"/>
  <c r="BY71" i="122"/>
  <c r="BY72" i="122"/>
  <c r="BY224" i="122" s="1"/>
  <c r="D226" i="122"/>
  <c r="AK78" i="122"/>
  <c r="BV79" i="122"/>
  <c r="BA83" i="122"/>
  <c r="Q84" i="122"/>
  <c r="AC91" i="122"/>
  <c r="AC99" i="122"/>
  <c r="AU108" i="122"/>
  <c r="S116" i="122"/>
  <c r="S171" i="122" s="1"/>
  <c r="AQ53" i="123" s="1"/>
  <c r="AE201" i="122"/>
  <c r="AD219" i="122"/>
  <c r="AK51" i="122"/>
  <c r="AK69" i="122"/>
  <c r="AN69" i="122" s="1"/>
  <c r="AK89" i="122"/>
  <c r="AC89" i="122"/>
  <c r="EY62" i="123"/>
  <c r="Z155" i="122"/>
  <c r="Z154" i="122"/>
  <c r="W219" i="122"/>
  <c r="AJ86" i="122"/>
  <c r="W81" i="122"/>
  <c r="AC78" i="122"/>
  <c r="W154" i="122"/>
  <c r="W221" i="122"/>
  <c r="AC47" i="122"/>
  <c r="AJ98" i="122"/>
  <c r="W158" i="122"/>
  <c r="AE158" i="122"/>
  <c r="AE160" i="122" s="1"/>
  <c r="FH42" i="121"/>
  <c r="FS42" i="121"/>
  <c r="FY42" i="121" s="1"/>
  <c r="DT42" i="121"/>
  <c r="DZ42" i="121" s="1"/>
  <c r="BM39" i="121"/>
  <c r="BC11" i="121"/>
  <c r="H9" i="122"/>
  <c r="AH16" i="122"/>
  <c r="CA28" i="122"/>
  <c r="AK31" i="122"/>
  <c r="BI31" i="122" s="1"/>
  <c r="CG31" i="122" s="1"/>
  <c r="BY43" i="122"/>
  <c r="S59" i="122"/>
  <c r="S207" i="122" s="1"/>
  <c r="AH207" i="122" s="1"/>
  <c r="BA69" i="122"/>
  <c r="AY49" i="122"/>
  <c r="AY40" i="122" s="1"/>
  <c r="BT49" i="122"/>
  <c r="BT40" i="122" s="1"/>
  <c r="CB70" i="122"/>
  <c r="BA74" i="122"/>
  <c r="F101" i="122"/>
  <c r="F94" i="122" s="1"/>
  <c r="AB101" i="122"/>
  <c r="AB94" i="122" s="1"/>
  <c r="F29" i="132"/>
  <c r="D22" i="133"/>
  <c r="E22" i="133" s="1"/>
  <c r="G22" i="133" s="1"/>
  <c r="I32" i="133"/>
  <c r="D27" i="133"/>
  <c r="E27" i="133" s="1"/>
  <c r="D35" i="133"/>
  <c r="E35" i="133" s="1"/>
  <c r="EY42" i="121"/>
  <c r="CA29" i="121"/>
  <c r="BA15" i="122"/>
  <c r="AC22" i="122"/>
  <c r="BY30" i="122"/>
  <c r="BY31" i="122"/>
  <c r="B33" i="122"/>
  <c r="F29" i="122"/>
  <c r="F21" i="122" s="1"/>
  <c r="N44" i="122"/>
  <c r="Z48" i="122"/>
  <c r="AC51" i="122"/>
  <c r="AC55" i="122"/>
  <c r="B57" i="122"/>
  <c r="B205" i="122" s="1"/>
  <c r="R57" i="122"/>
  <c r="R205" i="122" s="1"/>
  <c r="AG205" i="122" s="1"/>
  <c r="BY61" i="122"/>
  <c r="BY209" i="122" s="1"/>
  <c r="H65" i="122"/>
  <c r="T65" i="122"/>
  <c r="AK67" i="122"/>
  <c r="BA76" i="122"/>
  <c r="W79" i="122"/>
  <c r="BC90" i="122"/>
  <c r="AG91" i="122"/>
  <c r="BA95" i="122"/>
  <c r="AK96" i="122"/>
  <c r="Z100" i="122"/>
  <c r="BA99" i="122"/>
  <c r="AE100" i="122"/>
  <c r="BA104" i="122"/>
  <c r="CA108" i="122"/>
  <c r="AU28" i="122"/>
  <c r="AE35" i="122"/>
  <c r="BA45" i="122"/>
  <c r="BA46" i="122"/>
  <c r="CA65" i="122"/>
  <c r="D65" i="122"/>
  <c r="N68" i="122"/>
  <c r="N220" i="122" s="1"/>
  <c r="AJ68" i="122"/>
  <c r="BH68" i="122" s="1"/>
  <c r="BA68" i="122"/>
  <c r="BA220" i="122" s="1"/>
  <c r="CA79" i="122"/>
  <c r="BY89" i="122"/>
  <c r="CB90" i="122"/>
  <c r="F81" i="122"/>
  <c r="F75" i="122" s="1"/>
  <c r="BR81" i="122"/>
  <c r="BR75" i="122" s="1"/>
  <c r="BP75" i="122" s="1"/>
  <c r="BA97" i="122"/>
  <c r="BA98" i="122"/>
  <c r="BA102" i="122"/>
  <c r="Q103" i="122"/>
  <c r="BY103" i="122"/>
  <c r="BX101" i="122"/>
  <c r="BX94" i="122" s="1"/>
  <c r="N109" i="122"/>
  <c r="BU62" i="123"/>
  <c r="I28" i="132"/>
  <c r="I36" i="132" s="1"/>
  <c r="H33" i="132"/>
  <c r="H22" i="133"/>
  <c r="D52" i="127"/>
  <c r="Z39" i="121"/>
  <c r="BY15" i="122"/>
  <c r="BY16" i="122"/>
  <c r="AJ31" i="122"/>
  <c r="BH31" i="122" s="1"/>
  <c r="CF31" i="122" s="1"/>
  <c r="AK34" i="122"/>
  <c r="BI34" i="122" s="1"/>
  <c r="CG34" i="122" s="1"/>
  <c r="CJ34" i="122" s="1"/>
  <c r="I29" i="122"/>
  <c r="I21" i="122" s="1"/>
  <c r="Y29" i="122"/>
  <c r="Y21" i="122" s="1"/>
  <c r="AD38" i="122"/>
  <c r="C50" i="122"/>
  <c r="BA50" i="122"/>
  <c r="BA51" i="122"/>
  <c r="AK54" i="122"/>
  <c r="BI54" i="122" s="1"/>
  <c r="CG54" i="122" s="1"/>
  <c r="CJ54" i="122" s="1"/>
  <c r="R61" i="122"/>
  <c r="AC69" i="122"/>
  <c r="BC70" i="122"/>
  <c r="N76" i="122"/>
  <c r="AK77" i="122"/>
  <c r="BI77" i="122" s="1"/>
  <c r="CG77" i="122" s="1"/>
  <c r="CJ77" i="122" s="1"/>
  <c r="BY78" i="122"/>
  <c r="AD79" i="122"/>
  <c r="AC79" i="122" s="1"/>
  <c r="BY85" i="122"/>
  <c r="AK86" i="122"/>
  <c r="BI86" i="122" s="1"/>
  <c r="CG86" i="122" s="1"/>
  <c r="CJ86" i="122" s="1"/>
  <c r="AC86" i="122"/>
  <c r="B88" i="122"/>
  <c r="B215" i="122" s="1"/>
  <c r="R88" i="122"/>
  <c r="R215" i="122" s="1"/>
  <c r="AG215" i="122" s="1"/>
  <c r="V81" i="122"/>
  <c r="V75" i="122" s="1"/>
  <c r="AA81" i="122"/>
  <c r="AA75" i="122" s="1"/>
  <c r="CB92" i="122"/>
  <c r="BY93" i="122"/>
  <c r="AK95" i="122"/>
  <c r="AC95" i="122"/>
  <c r="BA105" i="122"/>
  <c r="AU106" i="122"/>
  <c r="V101" i="122"/>
  <c r="AZ101" i="122"/>
  <c r="AZ94" i="122" s="1"/>
  <c r="S120" i="122"/>
  <c r="S175" i="122" s="1"/>
  <c r="AQ57" i="123" s="1"/>
  <c r="BA62" i="123"/>
  <c r="BA32" i="121"/>
  <c r="BB42" i="121"/>
  <c r="BA42" i="121" s="1"/>
  <c r="BU42" i="121"/>
  <c r="CA42" i="121" s="1"/>
  <c r="AJ8" i="122"/>
  <c r="T157" i="122"/>
  <c r="AD200" i="122"/>
  <c r="AJ82" i="122"/>
  <c r="T153" i="122"/>
  <c r="AD158" i="122"/>
  <c r="T158" i="122"/>
  <c r="AJ46" i="122"/>
  <c r="AC43" i="122"/>
  <c r="AI43" i="122" s="1"/>
  <c r="AC26" i="122"/>
  <c r="AC61" i="122"/>
  <c r="AJ61" i="122"/>
  <c r="AC85" i="122"/>
  <c r="AC213" i="122" s="1"/>
  <c r="T219" i="122"/>
  <c r="AK16" i="122"/>
  <c r="AN16" i="122" s="1"/>
  <c r="AC16" i="122"/>
  <c r="AK14" i="122"/>
  <c r="AN14" i="122" s="1"/>
  <c r="AC14" i="122"/>
  <c r="AK13" i="122"/>
  <c r="AJ146" i="122"/>
  <c r="K184" i="122"/>
  <c r="K159" i="122"/>
  <c r="L49" i="122"/>
  <c r="L40" i="122" s="1"/>
  <c r="K158" i="122"/>
  <c r="K201" i="122"/>
  <c r="N98" i="122"/>
  <c r="N107" i="122"/>
  <c r="K106" i="122"/>
  <c r="AK107" i="122"/>
  <c r="BI107" i="122" s="1"/>
  <c r="AK105" i="122"/>
  <c r="BI105" i="122" s="1"/>
  <c r="N105" i="122"/>
  <c r="P158" i="122"/>
  <c r="N83" i="122"/>
  <c r="X37" i="121"/>
  <c r="Y11" i="121"/>
  <c r="N56" i="123"/>
  <c r="I81" i="122"/>
  <c r="O157" i="122"/>
  <c r="H158" i="122"/>
  <c r="AJ52" i="122"/>
  <c r="BH52" i="122" s="1"/>
  <c r="CF52" i="122" s="1"/>
  <c r="CI52" i="122" s="1"/>
  <c r="H219" i="122"/>
  <c r="N46" i="122"/>
  <c r="I217" i="122"/>
  <c r="O106" i="122"/>
  <c r="AJ102" i="122"/>
  <c r="BH102" i="122" s="1"/>
  <c r="AH42" i="121"/>
  <c r="O10" i="121"/>
  <c r="F126" i="122"/>
  <c r="AI78" i="122"/>
  <c r="CJ48" i="121"/>
  <c r="FU38" i="121"/>
  <c r="CI79" i="121"/>
  <c r="CJ31" i="121"/>
  <c r="E40" i="121"/>
  <c r="DI18" i="121"/>
  <c r="FR32" i="121"/>
  <c r="DV38" i="121"/>
  <c r="CJ79" i="121"/>
  <c r="EI79" i="121" s="1"/>
  <c r="GH79" i="121" s="1"/>
  <c r="CC31" i="121"/>
  <c r="EB31" i="121" s="1"/>
  <c r="GA31" i="121" s="1"/>
  <c r="CF79" i="121"/>
  <c r="EE79" i="121" s="1"/>
  <c r="GD79" i="121" s="1"/>
  <c r="CJ63" i="121"/>
  <c r="EI63" i="121" s="1"/>
  <c r="GH63" i="121" s="1"/>
  <c r="BA35" i="121"/>
  <c r="BU35" i="121"/>
  <c r="CI62" i="121"/>
  <c r="EH62" i="121" s="1"/>
  <c r="GG62" i="121" s="1"/>
  <c r="BS29" i="121"/>
  <c r="DL32" i="121"/>
  <c r="DL39" i="121" s="1"/>
  <c r="CG33" i="121"/>
  <c r="EF33" i="121" s="1"/>
  <c r="DS32" i="121"/>
  <c r="CF30" i="121"/>
  <c r="EE30" i="121" s="1"/>
  <c r="CF29" i="121"/>
  <c r="EE29" i="121" s="1"/>
  <c r="GD29" i="121" s="1"/>
  <c r="CD29" i="121"/>
  <c r="EC29" i="121" s="1"/>
  <c r="GB29" i="121" s="1"/>
  <c r="CS11" i="121"/>
  <c r="CQ11" i="121" s="1"/>
  <c r="BC10" i="121"/>
  <c r="FK32" i="121"/>
  <c r="FK39" i="121" s="1"/>
  <c r="DZ33" i="121"/>
  <c r="DR33" i="121"/>
  <c r="FH40" i="121"/>
  <c r="FA11" i="121"/>
  <c r="DW11" i="121"/>
  <c r="DS8" i="121"/>
  <c r="P10" i="121"/>
  <c r="EQ35" i="121"/>
  <c r="EQ42" i="121" s="1"/>
  <c r="FR42" i="121" s="1"/>
  <c r="FX42" i="121" s="1"/>
  <c r="FQ33" i="121"/>
  <c r="BT32" i="121"/>
  <c r="FX31" i="121"/>
  <c r="CZ40" i="121"/>
  <c r="AJ37" i="121"/>
  <c r="N15" i="121"/>
  <c r="N38" i="121" s="1"/>
  <c r="CT60" i="121"/>
  <c r="O37" i="121"/>
  <c r="BK35" i="121"/>
  <c r="BK42" i="121" s="1"/>
  <c r="BJ42" i="121" s="1"/>
  <c r="AR32" i="121"/>
  <c r="FQ29" i="121"/>
  <c r="DT22" i="121"/>
  <c r="EP18" i="121"/>
  <c r="FU10" i="121"/>
  <c r="FA10" i="121"/>
  <c r="DW10" i="121"/>
  <c r="EY8" i="121"/>
  <c r="BS80" i="121"/>
  <c r="BS79" i="121"/>
  <c r="CG80" i="121"/>
  <c r="EF80" i="121" s="1"/>
  <c r="GE80" i="121" s="1"/>
  <c r="BB38" i="121"/>
  <c r="O38" i="121"/>
  <c r="DJ35" i="121"/>
  <c r="AS35" i="121"/>
  <c r="X35" i="121"/>
  <c r="CG34" i="121"/>
  <c r="EF34" i="121" s="1"/>
  <c r="GE34" i="121" s="1"/>
  <c r="CF34" i="121"/>
  <c r="EE34" i="121" s="1"/>
  <c r="CD33" i="121"/>
  <c r="EC33" i="121" s="1"/>
  <c r="GB33" i="121" s="1"/>
  <c r="CG32" i="121"/>
  <c r="EF32" i="121" s="1"/>
  <c r="GE32" i="121" s="1"/>
  <c r="BJ40" i="121"/>
  <c r="FY30" i="121"/>
  <c r="AN30" i="121"/>
  <c r="DZ28" i="121"/>
  <c r="CD28" i="121"/>
  <c r="EC28" i="121" s="1"/>
  <c r="GB28" i="121" s="1"/>
  <c r="FS23" i="121"/>
  <c r="BA20" i="121"/>
  <c r="CZ19" i="121"/>
  <c r="EZ10" i="121"/>
  <c r="DV10" i="121"/>
  <c r="AS10" i="121"/>
  <c r="BU8" i="121"/>
  <c r="DR29" i="121"/>
  <c r="CJ75" i="121"/>
  <c r="EI75" i="121" s="1"/>
  <c r="GH75" i="121" s="1"/>
  <c r="CJ73" i="121"/>
  <c r="EI73" i="121" s="1"/>
  <c r="GH73" i="121" s="1"/>
  <c r="CJ67" i="121"/>
  <c r="EI67" i="121" s="1"/>
  <c r="GH67" i="121" s="1"/>
  <c r="CI59" i="121"/>
  <c r="EH59" i="121" s="1"/>
  <c r="GG59" i="121" s="1"/>
  <c r="CI57" i="121"/>
  <c r="EH57" i="121" s="1"/>
  <c r="GG57" i="121" s="1"/>
  <c r="AN33" i="121"/>
  <c r="AF29" i="121"/>
  <c r="FQ28" i="121"/>
  <c r="AG18" i="121"/>
  <c r="EY40" i="121"/>
  <c r="EP16" i="121"/>
  <c r="AK40" i="121"/>
  <c r="N40" i="121"/>
  <c r="AI75" i="121"/>
  <c r="AI69" i="121"/>
  <c r="DU63" i="121"/>
  <c r="CI63" i="121"/>
  <c r="EH63" i="121" s="1"/>
  <c r="GG63" i="121" s="1"/>
  <c r="FK60" i="121"/>
  <c r="CJ59" i="121"/>
  <c r="EI59" i="121" s="1"/>
  <c r="GH59" i="121" s="1"/>
  <c r="CI49" i="121"/>
  <c r="CI47" i="121"/>
  <c r="EH47" i="121" s="1"/>
  <c r="GG47" i="121" s="1"/>
  <c r="FT34" i="121"/>
  <c r="EY32" i="121"/>
  <c r="FQ32" i="121" s="1"/>
  <c r="DI32" i="121"/>
  <c r="CQ32" i="121"/>
  <c r="CI31" i="121"/>
  <c r="EH31" i="121" s="1"/>
  <c r="GG31" i="121" s="1"/>
  <c r="DZ30" i="121"/>
  <c r="CG30" i="121"/>
  <c r="EF30" i="121" s="1"/>
  <c r="GE30" i="121" s="1"/>
  <c r="BA23" i="121"/>
  <c r="EQ21" i="121"/>
  <c r="EQ39" i="121" s="1"/>
  <c r="FH20" i="121"/>
  <c r="EP20" i="121"/>
  <c r="FH18" i="121"/>
  <c r="BJ18" i="121"/>
  <c r="W18" i="121"/>
  <c r="DW40" i="121"/>
  <c r="N16" i="121"/>
  <c r="BX54" i="121"/>
  <c r="EI31" i="121"/>
  <c r="GH31" i="121" s="1"/>
  <c r="FT73" i="121"/>
  <c r="DU58" i="121"/>
  <c r="BV51" i="121"/>
  <c r="FA40" i="121"/>
  <c r="P40" i="121"/>
  <c r="DU30" i="121"/>
  <c r="BU23" i="121"/>
  <c r="CZ22" i="121"/>
  <c r="FS18" i="121"/>
  <c r="W40" i="121"/>
  <c r="P11" i="121"/>
  <c r="Q32" i="121"/>
  <c r="Q39" i="121" s="1"/>
  <c r="BT9" i="121"/>
  <c r="CF80" i="121"/>
  <c r="EE80" i="121" s="1"/>
  <c r="GD80" i="121" s="1"/>
  <c r="CI74" i="121"/>
  <c r="EH74" i="121" s="1"/>
  <c r="GG74" i="121" s="1"/>
  <c r="AI73" i="121"/>
  <c r="CI72" i="121"/>
  <c r="CI68" i="121"/>
  <c r="EH68" i="121" s="1"/>
  <c r="GG68" i="121" s="1"/>
  <c r="BX40" i="121"/>
  <c r="DG37" i="121"/>
  <c r="DF37" i="121" s="1"/>
  <c r="BZ31" i="121"/>
  <c r="CD30" i="121"/>
  <c r="EC30" i="121" s="1"/>
  <c r="GB30" i="121" s="1"/>
  <c r="FY29" i="121"/>
  <c r="DZ29" i="121"/>
  <c r="FY28" i="121"/>
  <c r="W22" i="121"/>
  <c r="FH19" i="121"/>
  <c r="CQ18" i="121"/>
  <c r="FS16" i="121"/>
  <c r="FS40" i="121" s="1"/>
  <c r="EN37" i="121"/>
  <c r="DA37" i="121"/>
  <c r="N37" i="121"/>
  <c r="FR19" i="121"/>
  <c r="EY18" i="121"/>
  <c r="FH15" i="121"/>
  <c r="EP15" i="121"/>
  <c r="EP38" i="121" s="1"/>
  <c r="BJ15" i="121"/>
  <c r="BJ37" i="121" s="1"/>
  <c r="BK38" i="121"/>
  <c r="FF37" i="121"/>
  <c r="CX37" i="121"/>
  <c r="CW37" i="121" s="1"/>
  <c r="BC21" i="121"/>
  <c r="BC14" i="121" s="1"/>
  <c r="AR19" i="121"/>
  <c r="BJ16" i="121"/>
  <c r="AH15" i="121"/>
  <c r="AS11" i="121"/>
  <c r="AJ10" i="121"/>
  <c r="FS8" i="121"/>
  <c r="BJ8" i="121"/>
  <c r="EW37" i="121"/>
  <c r="FS20" i="121"/>
  <c r="DT20" i="121"/>
  <c r="BU20" i="121"/>
  <c r="AH9" i="121"/>
  <c r="X11" i="121"/>
  <c r="N121" i="122"/>
  <c r="N176" i="122" s="1"/>
  <c r="E153" i="122"/>
  <c r="P153" i="122"/>
  <c r="N41" i="122"/>
  <c r="E40" i="123"/>
  <c r="AJ121" i="122"/>
  <c r="AJ176" i="122" s="1"/>
  <c r="N84" i="122"/>
  <c r="E157" i="122"/>
  <c r="N77" i="122"/>
  <c r="AJ77" i="122"/>
  <c r="E79" i="122"/>
  <c r="O79" i="122"/>
  <c r="N79" i="122" s="1"/>
  <c r="E48" i="122"/>
  <c r="N27" i="122"/>
  <c r="AJ27" i="122"/>
  <c r="BH27" i="122" s="1"/>
  <c r="O28" i="122"/>
  <c r="O219" i="122"/>
  <c r="AJ219" i="122" s="1"/>
  <c r="AJ107" i="122"/>
  <c r="AJ97" i="122"/>
  <c r="BH97" i="122" s="1"/>
  <c r="CF97" i="122" s="1"/>
  <c r="O223" i="122"/>
  <c r="E223" i="122"/>
  <c r="O201" i="122"/>
  <c r="AJ105" i="122"/>
  <c r="BH105" i="122" s="1"/>
  <c r="CF105" i="122" s="1"/>
  <c r="CI105" i="122" s="1"/>
  <c r="E37" i="123"/>
  <c r="N96" i="122"/>
  <c r="E100" i="122"/>
  <c r="AJ50" i="122"/>
  <c r="BH50" i="122" s="1"/>
  <c r="CF50" i="122" s="1"/>
  <c r="CI50" i="122" s="1"/>
  <c r="BV69" i="121"/>
  <c r="AE80" i="121"/>
  <c r="AN80" i="121" s="1"/>
  <c r="AQ80" i="121"/>
  <c r="AZ80" i="121" s="1"/>
  <c r="BI80" i="121" s="1"/>
  <c r="CP80" i="121" s="1"/>
  <c r="CY80" i="121" s="1"/>
  <c r="DH80" i="121" s="1"/>
  <c r="EO80" i="121" s="1"/>
  <c r="EX80" i="121" s="1"/>
  <c r="FG80" i="121" s="1"/>
  <c r="BA8" i="121"/>
  <c r="BB11" i="121"/>
  <c r="BA11" i="121" s="1"/>
  <c r="AF80" i="121"/>
  <c r="CE80" i="121" s="1"/>
  <c r="DJ38" i="121"/>
  <c r="DJ37" i="121"/>
  <c r="AR81" i="122"/>
  <c r="W106" i="122"/>
  <c r="DA10" i="121"/>
  <c r="DA11" i="121"/>
  <c r="BZ146" i="122"/>
  <c r="BY10" i="122"/>
  <c r="BY146" i="122" s="1"/>
  <c r="BV75" i="121"/>
  <c r="FT72" i="121"/>
  <c r="DU71" i="121"/>
  <c r="CR38" i="121"/>
  <c r="BZ212" i="122"/>
  <c r="BY64" i="122"/>
  <c r="BY212" i="122" s="1"/>
  <c r="R69" i="122"/>
  <c r="AG69" i="122" s="1"/>
  <c r="B69" i="122"/>
  <c r="AI71" i="121"/>
  <c r="AI68" i="121"/>
  <c r="CJ61" i="121"/>
  <c r="EI61" i="121" s="1"/>
  <c r="GH61" i="121" s="1"/>
  <c r="BR217" i="122"/>
  <c r="CA35" i="122"/>
  <c r="BW222" i="122"/>
  <c r="BZ38" i="122"/>
  <c r="BV65" i="121"/>
  <c r="AI65" i="121"/>
  <c r="CJ62" i="121"/>
  <c r="EI62" i="121" s="1"/>
  <c r="GH62" i="121" s="1"/>
  <c r="DW54" i="121"/>
  <c r="BM54" i="121"/>
  <c r="CA34" i="121"/>
  <c r="CD34" i="121"/>
  <c r="DR30" i="121"/>
  <c r="DT19" i="121"/>
  <c r="DI40" i="121"/>
  <c r="DK40" i="121"/>
  <c r="CQ16" i="121"/>
  <c r="CQ40" i="121"/>
  <c r="EZ37" i="121"/>
  <c r="EZ38" i="121"/>
  <c r="FS9" i="121"/>
  <c r="FJ11" i="121"/>
  <c r="FJ10" i="121"/>
  <c r="EP9" i="121"/>
  <c r="ER11" i="121"/>
  <c r="ER10" i="121"/>
  <c r="FH8" i="121"/>
  <c r="FI11" i="121"/>
  <c r="FI10" i="121"/>
  <c r="EQ11" i="121"/>
  <c r="EQ10" i="121"/>
  <c r="DI8" i="121"/>
  <c r="DI10" i="121" s="1"/>
  <c r="AE146" i="122"/>
  <c r="AC10" i="122"/>
  <c r="AC146" i="122" s="1"/>
  <c r="CA148" i="122"/>
  <c r="BY12" i="122"/>
  <c r="BY148" i="122" s="1"/>
  <c r="BS159" i="122"/>
  <c r="BS28" i="122"/>
  <c r="AT217" i="122"/>
  <c r="BC35" i="122"/>
  <c r="P219" i="122"/>
  <c r="N36" i="122"/>
  <c r="BB221" i="122"/>
  <c r="BA37" i="122"/>
  <c r="BA221" i="122" s="1"/>
  <c r="S83" i="122"/>
  <c r="AH83" i="122" s="1"/>
  <c r="ES54" i="121"/>
  <c r="CI51" i="121"/>
  <c r="EH51" i="121" s="1"/>
  <c r="GG51" i="121" s="1"/>
  <c r="Y40" i="121"/>
  <c r="N32" i="121"/>
  <c r="AF32" i="121" s="1"/>
  <c r="O35" i="121"/>
  <c r="O42" i="121" s="1"/>
  <c r="N42" i="121" s="1"/>
  <c r="DR31" i="121"/>
  <c r="AR40" i="121"/>
  <c r="BS31" i="121"/>
  <c r="CF31" i="121"/>
  <c r="CG29" i="121"/>
  <c r="DS23" i="121"/>
  <c r="DI23" i="121"/>
  <c r="AT21" i="121"/>
  <c r="AT14" i="121" s="1"/>
  <c r="AR22" i="121"/>
  <c r="BA9" i="121"/>
  <c r="BB10" i="121"/>
  <c r="O11" i="121"/>
  <c r="N9" i="121"/>
  <c r="AZ222" i="122"/>
  <c r="AZ227" i="122" s="1"/>
  <c r="AZ29" i="122"/>
  <c r="AZ21" i="122" s="1"/>
  <c r="BP223" i="122"/>
  <c r="BP38" i="122"/>
  <c r="D204" i="122"/>
  <c r="S56" i="122"/>
  <c r="S204" i="122" s="1"/>
  <c r="P208" i="122"/>
  <c r="AK60" i="122"/>
  <c r="BA226" i="122"/>
  <c r="BW81" i="122"/>
  <c r="BW75" i="122" s="1"/>
  <c r="FK55" i="121"/>
  <c r="DR34" i="121"/>
  <c r="BS33" i="121"/>
  <c r="CF33" i="121"/>
  <c r="EE33" i="121" s="1"/>
  <c r="GD33" i="121" s="1"/>
  <c r="EP40" i="121"/>
  <c r="FQ31" i="121"/>
  <c r="DR28" i="121"/>
  <c r="FJ21" i="121"/>
  <c r="FH22" i="121"/>
  <c r="AS37" i="121"/>
  <c r="AS38" i="121"/>
  <c r="BT15" i="121"/>
  <c r="BT38" i="121" s="1"/>
  <c r="BJ9" i="121"/>
  <c r="BL10" i="121"/>
  <c r="CS9" i="123"/>
  <c r="AR9" i="122"/>
  <c r="BC147" i="122"/>
  <c r="BA11" i="122"/>
  <c r="BA147" i="122" s="1"/>
  <c r="S200" i="122"/>
  <c r="D221" i="122"/>
  <c r="S37" i="122"/>
  <c r="AV222" i="122"/>
  <c r="AV29" i="122"/>
  <c r="AV21" i="122" s="1"/>
  <c r="H223" i="122"/>
  <c r="H38" i="122"/>
  <c r="D224" i="122"/>
  <c r="S72" i="122"/>
  <c r="S224" i="122" s="1"/>
  <c r="AH224" i="122" s="1"/>
  <c r="C225" i="122"/>
  <c r="R73" i="122"/>
  <c r="N185" i="122"/>
  <c r="E73" i="123"/>
  <c r="BA73" i="123"/>
  <c r="W184" i="122"/>
  <c r="AX184" i="122"/>
  <c r="DI75" i="123"/>
  <c r="EP35" i="121"/>
  <c r="FY34" i="121"/>
  <c r="AF34" i="121"/>
  <c r="FY32" i="121"/>
  <c r="AF30" i="121"/>
  <c r="CJ28" i="121"/>
  <c r="EI28" i="121" s="1"/>
  <c r="GH28" i="121" s="1"/>
  <c r="EY23" i="121"/>
  <c r="CZ23" i="121"/>
  <c r="FI21" i="121"/>
  <c r="FI14" i="121" s="1"/>
  <c r="EZ21" i="121"/>
  <c r="EZ39" i="121" s="1"/>
  <c r="DH21" i="121"/>
  <c r="AS21" i="121"/>
  <c r="AS39" i="121" s="1"/>
  <c r="DI20" i="121"/>
  <c r="W20" i="121"/>
  <c r="N20" i="121"/>
  <c r="EY19" i="121"/>
  <c r="DI19" i="121"/>
  <c r="BJ19" i="121"/>
  <c r="BA15" i="121"/>
  <c r="EZ11" i="121"/>
  <c r="EY11" i="121" s="1"/>
  <c r="BK11" i="121"/>
  <c r="BJ11" i="121" s="1"/>
  <c r="CZ8" i="121"/>
  <c r="P9" i="122"/>
  <c r="P145" i="122" s="1"/>
  <c r="P182" i="122" s="1"/>
  <c r="AH148" i="122"/>
  <c r="BF148" i="122" s="1"/>
  <c r="AC12" i="122"/>
  <c r="AC148" i="122" s="1"/>
  <c r="O13" i="122"/>
  <c r="AR13" i="122"/>
  <c r="CR13" i="123"/>
  <c r="BM13" i="122"/>
  <c r="BA14" i="122"/>
  <c r="BA16" i="122"/>
  <c r="BA22" i="122"/>
  <c r="BY26" i="122"/>
  <c r="BB159" i="122"/>
  <c r="BV159" i="122"/>
  <c r="K200" i="122"/>
  <c r="BA32" i="122"/>
  <c r="BS200" i="122"/>
  <c r="E201" i="122"/>
  <c r="S34" i="122"/>
  <c r="S216" i="122" s="1"/>
  <c r="AH216" i="122" s="1"/>
  <c r="AC34" i="122"/>
  <c r="AC216" i="122" s="1"/>
  <c r="BY34" i="122"/>
  <c r="R36" i="122"/>
  <c r="BB38" i="122"/>
  <c r="BA39" i="122"/>
  <c r="BV49" i="122"/>
  <c r="D211" i="122"/>
  <c r="S63" i="122"/>
  <c r="D212" i="122"/>
  <c r="S64" i="122"/>
  <c r="S212" i="122" s="1"/>
  <c r="AC66" i="122"/>
  <c r="AC218" i="122" s="1"/>
  <c r="S71" i="122"/>
  <c r="Q71" i="122" s="1"/>
  <c r="AD224" i="122"/>
  <c r="AC72" i="122"/>
  <c r="AC224" i="122" s="1"/>
  <c r="T75" i="122"/>
  <c r="Z81" i="122"/>
  <c r="BB214" i="122"/>
  <c r="BA87" i="122"/>
  <c r="BA214" i="122" s="1"/>
  <c r="P90" i="122"/>
  <c r="M81" i="122"/>
  <c r="M75" i="122" s="1"/>
  <c r="K94" i="122"/>
  <c r="AC104" i="122"/>
  <c r="O108" i="122"/>
  <c r="K108" i="122"/>
  <c r="AC109" i="122"/>
  <c r="AI109" i="122" s="1"/>
  <c r="AJ109" i="122"/>
  <c r="BH109" i="122" s="1"/>
  <c r="AH35" i="121"/>
  <c r="DZ34" i="121"/>
  <c r="BS34" i="121"/>
  <c r="DC32" i="121"/>
  <c r="DC39" i="121" s="1"/>
  <c r="DZ32" i="121"/>
  <c r="DY31" i="121"/>
  <c r="CA30" i="121"/>
  <c r="BS30" i="121"/>
  <c r="AI30" i="121"/>
  <c r="DB21" i="121"/>
  <c r="DB14" i="121" s="1"/>
  <c r="AH16" i="121"/>
  <c r="AH146" i="122"/>
  <c r="BF146" i="122" s="1"/>
  <c r="AJ147" i="122"/>
  <c r="AD13" i="122"/>
  <c r="AC13" i="122" s="1"/>
  <c r="BZ13" i="122"/>
  <c r="BY13" i="122" s="1"/>
  <c r="AJ15" i="122"/>
  <c r="BH15" i="122" s="1"/>
  <c r="AW126" i="122"/>
  <c r="P154" i="122"/>
  <c r="AW165" i="122"/>
  <c r="DB47" i="123" s="1"/>
  <c r="DB43" i="123"/>
  <c r="AR199" i="122"/>
  <c r="D200" i="122"/>
  <c r="O200" i="122"/>
  <c r="X217" i="122"/>
  <c r="AX219" i="122"/>
  <c r="BS219" i="122"/>
  <c r="AA222" i="122"/>
  <c r="AR223" i="122"/>
  <c r="E40" i="122"/>
  <c r="BB204" i="122"/>
  <c r="BA56" i="122"/>
  <c r="BA204" i="122" s="1"/>
  <c r="BB70" i="122"/>
  <c r="BA70" i="122" s="1"/>
  <c r="AS49" i="122"/>
  <c r="AR49" i="122" s="1"/>
  <c r="AX40" i="122"/>
  <c r="P100" i="122"/>
  <c r="AK99" i="122"/>
  <c r="BS106" i="122"/>
  <c r="BT101" i="122"/>
  <c r="O174" i="122"/>
  <c r="AJ119" i="122"/>
  <c r="AJ174" i="122" s="1"/>
  <c r="N119" i="122"/>
  <c r="N174" i="122" s="1"/>
  <c r="AE177" i="122"/>
  <c r="AK122" i="122"/>
  <c r="BW160" i="122"/>
  <c r="FI40" i="123"/>
  <c r="I160" i="122"/>
  <c r="O41" i="123"/>
  <c r="O42" i="123" s="1"/>
  <c r="AS41" i="123"/>
  <c r="U160" i="122"/>
  <c r="AA160" i="122"/>
  <c r="BK41" i="123"/>
  <c r="AV160" i="122"/>
  <c r="DA41" i="123"/>
  <c r="EQ41" i="123"/>
  <c r="BQ160" i="122"/>
  <c r="EH49" i="121"/>
  <c r="GG49" i="121" s="1"/>
  <c r="FQ34" i="121"/>
  <c r="AN34" i="121"/>
  <c r="CA33" i="121"/>
  <c r="AF33" i="121"/>
  <c r="AN32" i="121"/>
  <c r="CG31" i="121"/>
  <c r="EF31" i="121" s="1"/>
  <c r="GE31" i="121" s="1"/>
  <c r="AF31" i="121"/>
  <c r="FQ30" i="121"/>
  <c r="BV30" i="121"/>
  <c r="CA28" i="121"/>
  <c r="FH23" i="121"/>
  <c r="AR23" i="121"/>
  <c r="G21" i="121"/>
  <c r="G14" i="121" s="1"/>
  <c r="G77" i="121" s="1"/>
  <c r="FR22" i="121"/>
  <c r="DA21" i="121"/>
  <c r="DA14" i="121" s="1"/>
  <c r="CR21" i="121"/>
  <c r="CR39" i="121" s="1"/>
  <c r="X21" i="121"/>
  <c r="X39" i="121" s="1"/>
  <c r="AG20" i="121"/>
  <c r="CQ19" i="121"/>
  <c r="W19" i="121"/>
  <c r="N18" i="121"/>
  <c r="CZ16" i="121"/>
  <c r="DI15" i="121"/>
  <c r="DI38" i="121" s="1"/>
  <c r="BK10" i="121"/>
  <c r="FT10" i="121"/>
  <c r="AR8" i="121"/>
  <c r="BY8" i="122"/>
  <c r="BV9" i="122"/>
  <c r="AJ148" i="122"/>
  <c r="BH148" i="122" s="1"/>
  <c r="AH13" i="122"/>
  <c r="BF13" i="122" s="1"/>
  <c r="Q13" i="122"/>
  <c r="BF14" i="122"/>
  <c r="AJ14" i="122"/>
  <c r="BH14" i="122" s="1"/>
  <c r="BF16" i="122"/>
  <c r="AJ16" i="122"/>
  <c r="BH16" i="122" s="1"/>
  <c r="BC153" i="122"/>
  <c r="BY22" i="122"/>
  <c r="E155" i="122"/>
  <c r="BS155" i="122"/>
  <c r="AK26" i="122"/>
  <c r="R31" i="122"/>
  <c r="AG31" i="122" s="1"/>
  <c r="AC31" i="122"/>
  <c r="BA33" i="122"/>
  <c r="AK216" i="122"/>
  <c r="AN216" i="122" s="1"/>
  <c r="O35" i="122"/>
  <c r="CB35" i="122"/>
  <c r="AJ36" i="122"/>
  <c r="BH36" i="122" s="1"/>
  <c r="CF36" i="122" s="1"/>
  <c r="CI36" i="122" s="1"/>
  <c r="C35" i="122"/>
  <c r="K221" i="122"/>
  <c r="AU223" i="122"/>
  <c r="BC223" i="122"/>
  <c r="BZ223" i="122"/>
  <c r="BA41" i="122"/>
  <c r="P48" i="122"/>
  <c r="AK47" i="122"/>
  <c r="AX49" i="122"/>
  <c r="AD210" i="122"/>
  <c r="AJ210" i="122" s="1"/>
  <c r="BH210" i="122" s="1"/>
  <c r="CF210" i="122" s="1"/>
  <c r="AJ62" i="122"/>
  <c r="BH62" i="122" s="1"/>
  <c r="CF62" i="122" s="1"/>
  <c r="CI62" i="122" s="1"/>
  <c r="AE212" i="122"/>
  <c r="AK64" i="122"/>
  <c r="Z49" i="122"/>
  <c r="AA40" i="122"/>
  <c r="Z40" i="122" s="1"/>
  <c r="AJ67" i="122"/>
  <c r="N67" i="122"/>
  <c r="T70" i="122"/>
  <c r="AD225" i="122"/>
  <c r="AJ225" i="122" s="1"/>
  <c r="AJ73" i="122"/>
  <c r="BH73" i="122" s="1"/>
  <c r="D214" i="122"/>
  <c r="S87" i="122"/>
  <c r="S214" i="122" s="1"/>
  <c r="AH214" i="122" s="1"/>
  <c r="BC92" i="122"/>
  <c r="AT81" i="122"/>
  <c r="AT75" i="122" s="1"/>
  <c r="AR75" i="122" s="1"/>
  <c r="AU101" i="122"/>
  <c r="AV94" i="122"/>
  <c r="BY104" i="122"/>
  <c r="H108" i="122"/>
  <c r="I101" i="122"/>
  <c r="I94" i="122" s="1"/>
  <c r="BC108" i="122"/>
  <c r="BB168" i="122"/>
  <c r="BA113" i="122"/>
  <c r="BA168" i="122" s="1"/>
  <c r="AJ41" i="122"/>
  <c r="BH41" i="122" s="1"/>
  <c r="CF41" i="122" s="1"/>
  <c r="N42" i="122"/>
  <c r="N156" i="122" s="1"/>
  <c r="AJ42" i="122"/>
  <c r="AJ156" i="122" s="1"/>
  <c r="BA43" i="122"/>
  <c r="BY46" i="122"/>
  <c r="H48" i="122"/>
  <c r="T48" i="122"/>
  <c r="AJ47" i="122"/>
  <c r="AJ48" i="122" s="1"/>
  <c r="AU48" i="122"/>
  <c r="BP48" i="122"/>
  <c r="AJ51" i="122"/>
  <c r="BH51" i="122" s="1"/>
  <c r="AH52" i="122"/>
  <c r="N52" i="122"/>
  <c r="B53" i="122"/>
  <c r="B202" i="122" s="1"/>
  <c r="R53" i="122"/>
  <c r="R202" i="122" s="1"/>
  <c r="AG202" i="122" s="1"/>
  <c r="S54" i="122"/>
  <c r="S203" i="122" s="1"/>
  <c r="AH203" i="122" s="1"/>
  <c r="AC54" i="122"/>
  <c r="AC203" i="122" s="1"/>
  <c r="BY54" i="122"/>
  <c r="BY203" i="122" s="1"/>
  <c r="R55" i="122"/>
  <c r="AG55" i="122" s="1"/>
  <c r="R60" i="122"/>
  <c r="BY60" i="122"/>
  <c r="BY208" i="122" s="1"/>
  <c r="N62" i="122"/>
  <c r="N210" i="122" s="1"/>
  <c r="BA63" i="122"/>
  <c r="BA211" i="122" s="1"/>
  <c r="B66" i="122"/>
  <c r="B218" i="122" s="1"/>
  <c r="R66" i="122"/>
  <c r="R218" i="122" s="1"/>
  <c r="AG218" i="122" s="1"/>
  <c r="AG66" i="122"/>
  <c r="AP66" i="122" s="1"/>
  <c r="AG67" i="122"/>
  <c r="P70" i="122"/>
  <c r="AK71" i="122"/>
  <c r="AG71" i="122"/>
  <c r="AU70" i="122"/>
  <c r="BP70" i="122"/>
  <c r="AK224" i="122"/>
  <c r="N73" i="122"/>
  <c r="N225" i="122" s="1"/>
  <c r="AK225" i="122"/>
  <c r="H226" i="122"/>
  <c r="S74" i="122"/>
  <c r="AR226" i="122"/>
  <c r="BV226" i="122"/>
  <c r="BA77" i="122"/>
  <c r="BA78" i="122"/>
  <c r="BC79" i="122"/>
  <c r="BZ79" i="122"/>
  <c r="BY79" i="122" s="1"/>
  <c r="AG82" i="122"/>
  <c r="R82" i="122"/>
  <c r="AC82" i="122"/>
  <c r="B84" i="122"/>
  <c r="AG86" i="122"/>
  <c r="R86" i="122"/>
  <c r="AJ89" i="122"/>
  <c r="AH90" i="122"/>
  <c r="AD90" i="122"/>
  <c r="BB90" i="122"/>
  <c r="BZ90" i="122"/>
  <c r="AJ91" i="122"/>
  <c r="AM91" i="122" s="1"/>
  <c r="BA91" i="122"/>
  <c r="AB81" i="122"/>
  <c r="AB161" i="122" s="1"/>
  <c r="AJ93" i="122"/>
  <c r="BY98" i="122"/>
  <c r="H100" i="122"/>
  <c r="T100" i="122"/>
  <c r="AJ99" i="122"/>
  <c r="BH99" i="122" s="1"/>
  <c r="CF99" i="122" s="1"/>
  <c r="AU100" i="122"/>
  <c r="BP100" i="122"/>
  <c r="AD100" i="122"/>
  <c r="AC100" i="122" s="1"/>
  <c r="CA100" i="122"/>
  <c r="AH102" i="122"/>
  <c r="AQ102" i="122" s="1"/>
  <c r="BO102" i="122" s="1"/>
  <c r="N102" i="122"/>
  <c r="AD106" i="122"/>
  <c r="AC106" i="122" s="1"/>
  <c r="BZ106" i="122"/>
  <c r="CB106" i="122"/>
  <c r="BA107" i="122"/>
  <c r="AE108" i="122"/>
  <c r="D108" i="122"/>
  <c r="AK109" i="122"/>
  <c r="BI109" i="122" s="1"/>
  <c r="CG109" i="122" s="1"/>
  <c r="CJ109" i="122" s="1"/>
  <c r="AN110" i="122"/>
  <c r="CB110" i="122"/>
  <c r="C110" i="122"/>
  <c r="C108" i="122" s="1"/>
  <c r="AD178" i="122"/>
  <c r="AJ123" i="122"/>
  <c r="N60" i="123"/>
  <c r="FR62" i="123"/>
  <c r="AK46" i="122"/>
  <c r="BI46" i="122" s="1"/>
  <c r="CG46" i="122" s="1"/>
  <c r="AC46" i="122"/>
  <c r="AI46" i="122" s="1"/>
  <c r="K48" i="122"/>
  <c r="W48" i="122"/>
  <c r="AE48" i="122"/>
  <c r="AX48" i="122"/>
  <c r="BS48" i="122"/>
  <c r="CA48" i="122"/>
  <c r="AH50" i="122"/>
  <c r="AQ50" i="122" s="1"/>
  <c r="BO50" i="122" s="1"/>
  <c r="N50" i="122"/>
  <c r="AH51" i="122"/>
  <c r="N51" i="122"/>
  <c r="N55" i="122"/>
  <c r="AK55" i="122"/>
  <c r="BI55" i="122" s="1"/>
  <c r="CG55" i="122" s="1"/>
  <c r="CJ55" i="122" s="1"/>
  <c r="BY59" i="122"/>
  <c r="BY207" i="122" s="1"/>
  <c r="AK209" i="122"/>
  <c r="B64" i="122"/>
  <c r="H212" i="122"/>
  <c r="R64" i="122"/>
  <c r="Q64" i="122" s="1"/>
  <c r="BV212" i="122"/>
  <c r="AR65" i="122"/>
  <c r="S66" i="122"/>
  <c r="BA67" i="122"/>
  <c r="AJ220" i="122"/>
  <c r="CF68" i="122"/>
  <c r="CI68" i="122" s="1"/>
  <c r="AD70" i="122"/>
  <c r="BZ70" i="122"/>
  <c r="B71" i="122"/>
  <c r="H70" i="122"/>
  <c r="AX70" i="122"/>
  <c r="R72" i="122"/>
  <c r="R224" i="122" s="1"/>
  <c r="AG224" i="122" s="1"/>
  <c r="AC76" i="122"/>
  <c r="AI76" i="122" s="1"/>
  <c r="BY77" i="122"/>
  <c r="H79" i="122"/>
  <c r="T79" i="122"/>
  <c r="AU79" i="122"/>
  <c r="BP79" i="122"/>
  <c r="BB79" i="122"/>
  <c r="BA79" i="122" s="1"/>
  <c r="N82" i="122"/>
  <c r="AK82" i="122"/>
  <c r="BI82" i="122" s="1"/>
  <c r="AJ83" i="122"/>
  <c r="BH83" i="122" s="1"/>
  <c r="CF83" i="122" s="1"/>
  <c r="CI83" i="122" s="1"/>
  <c r="AG84" i="122"/>
  <c r="AK84" i="122"/>
  <c r="AN84" i="122" s="1"/>
  <c r="BA84" i="122"/>
  <c r="B85" i="122"/>
  <c r="N86" i="122"/>
  <c r="N89" i="122"/>
  <c r="AI89" i="122" s="1"/>
  <c r="BG89" i="122" s="1"/>
  <c r="CE89" i="122" s="1"/>
  <c r="CH89" i="122" s="1"/>
  <c r="AH91" i="122"/>
  <c r="N91" i="122"/>
  <c r="N93" i="122"/>
  <c r="AI93" i="122" s="1"/>
  <c r="BG93" i="122" s="1"/>
  <c r="CE93" i="122" s="1"/>
  <c r="CH93" i="122" s="1"/>
  <c r="AK98" i="122"/>
  <c r="BI98" i="122" s="1"/>
  <c r="AC98" i="122"/>
  <c r="AI98" i="122" s="1"/>
  <c r="BG98" i="122" s="1"/>
  <c r="K100" i="122"/>
  <c r="W100" i="122"/>
  <c r="AX100" i="122"/>
  <c r="BS100" i="122"/>
  <c r="BC100" i="122"/>
  <c r="BZ100" i="122"/>
  <c r="BY100" i="122" s="1"/>
  <c r="B103" i="122"/>
  <c r="R105" i="122"/>
  <c r="AG105" i="122" s="1"/>
  <c r="AC105" i="122"/>
  <c r="AI105" i="122" s="1"/>
  <c r="BG105" i="122" s="1"/>
  <c r="Z106" i="122"/>
  <c r="AX106" i="122"/>
  <c r="BV106" i="122"/>
  <c r="AD108" i="122"/>
  <c r="BZ108" i="122"/>
  <c r="CB108" i="122"/>
  <c r="BA109" i="122"/>
  <c r="BG109" i="122" s="1"/>
  <c r="D173" i="122"/>
  <c r="D55" i="123" s="1"/>
  <c r="S118" i="122"/>
  <c r="S173" i="122" s="1"/>
  <c r="AQ55" i="123" s="1"/>
  <c r="D177" i="122"/>
  <c r="D59" i="123" s="1"/>
  <c r="S122" i="122"/>
  <c r="S177" i="122" s="1"/>
  <c r="AQ59" i="123" s="1"/>
  <c r="AI132" i="122"/>
  <c r="BG132" i="122" s="1"/>
  <c r="CE132" i="122" s="1"/>
  <c r="N129" i="122"/>
  <c r="E41" i="123"/>
  <c r="N44" i="123"/>
  <c r="N50" i="123"/>
  <c r="EY74" i="123"/>
  <c r="BS184" i="122"/>
  <c r="AJ45" i="122"/>
  <c r="BH45" i="122" s="1"/>
  <c r="AK203" i="122"/>
  <c r="BA55" i="122"/>
  <c r="AK61" i="122"/>
  <c r="BI61" i="122" s="1"/>
  <c r="AC64" i="122"/>
  <c r="AR212" i="122"/>
  <c r="BC212" i="122"/>
  <c r="CB65" i="122"/>
  <c r="BA71" i="122"/>
  <c r="N74" i="122"/>
  <c r="N226" i="122" s="1"/>
  <c r="AH74" i="122"/>
  <c r="AQ74" i="122" s="1"/>
  <c r="AC77" i="122"/>
  <c r="K79" i="122"/>
  <c r="AX79" i="122"/>
  <c r="BS79" i="122"/>
  <c r="BA82" i="122"/>
  <c r="BV81" i="122"/>
  <c r="BY84" i="122"/>
  <c r="BA86" i="122"/>
  <c r="K90" i="122"/>
  <c r="BS81" i="122"/>
  <c r="N95" i="122"/>
  <c r="N97" i="122"/>
  <c r="BV100" i="122"/>
  <c r="K101" i="122"/>
  <c r="AG103" i="122"/>
  <c r="BA103" i="122"/>
  <c r="H106" i="122"/>
  <c r="R107" i="122"/>
  <c r="AG107" i="122" s="1"/>
  <c r="AC107" i="122"/>
  <c r="AI107" i="122" s="1"/>
  <c r="AD169" i="122"/>
  <c r="AJ114" i="122"/>
  <c r="AE179" i="122"/>
  <c r="AK124" i="122"/>
  <c r="B185" i="122"/>
  <c r="B73" i="123" s="1"/>
  <c r="B129" i="122"/>
  <c r="N54" i="123"/>
  <c r="N58" i="123"/>
  <c r="E62" i="123"/>
  <c r="E115" i="122"/>
  <c r="E170" i="122" s="1"/>
  <c r="N117" i="122"/>
  <c r="N172" i="122" s="1"/>
  <c r="AJ117" i="122"/>
  <c r="AJ172" i="122" s="1"/>
  <c r="Q132" i="122"/>
  <c r="J160" i="122"/>
  <c r="V160" i="122"/>
  <c r="AB160" i="122"/>
  <c r="BL41" i="123"/>
  <c r="BR160" i="122"/>
  <c r="ER41" i="123"/>
  <c r="BX160" i="122"/>
  <c r="FJ41" i="123"/>
  <c r="Y160" i="122"/>
  <c r="BU160" i="122"/>
  <c r="H184" i="122"/>
  <c r="Z184" i="122"/>
  <c r="BJ75" i="123"/>
  <c r="N114" i="122"/>
  <c r="N169" i="122" s="1"/>
  <c r="AH116" i="122"/>
  <c r="AH120" i="122"/>
  <c r="AC122" i="122"/>
  <c r="BY122" i="122"/>
  <c r="BY177" i="122" s="1"/>
  <c r="N123" i="122"/>
  <c r="N178" i="122" s="1"/>
  <c r="AC124" i="122"/>
  <c r="BY124" i="122"/>
  <c r="AC129" i="122"/>
  <c r="AI131" i="122"/>
  <c r="BG131" i="122" s="1"/>
  <c r="F160" i="122"/>
  <c r="L160" i="122"/>
  <c r="X160" i="122"/>
  <c r="BB41" i="123"/>
  <c r="BT160" i="122"/>
  <c r="EZ41" i="123"/>
  <c r="AS160" i="122"/>
  <c r="BT62" i="123"/>
  <c r="AU184" i="122"/>
  <c r="AC186" i="122"/>
  <c r="BA186" i="122"/>
  <c r="BY186" i="122"/>
  <c r="N187" i="122"/>
  <c r="AR62" i="123"/>
  <c r="BS62" i="123" s="1"/>
  <c r="P41" i="123"/>
  <c r="P42" i="123" s="1"/>
  <c r="X41" i="123"/>
  <c r="Q131" i="122"/>
  <c r="G160" i="122"/>
  <c r="AT160" i="122"/>
  <c r="CS41" i="123"/>
  <c r="AZ160" i="122"/>
  <c r="DK41" i="123"/>
  <c r="M160" i="122"/>
  <c r="AW160" i="122"/>
  <c r="BV184" i="122"/>
  <c r="FH75" i="123"/>
  <c r="N73" i="123"/>
  <c r="N72" i="123" s="1"/>
  <c r="F30" i="132"/>
  <c r="F28" i="132" s="1"/>
  <c r="D30" i="132"/>
  <c r="H30" i="132"/>
  <c r="D25" i="132"/>
  <c r="I38" i="132"/>
  <c r="F12" i="133"/>
  <c r="D25" i="133"/>
  <c r="D26" i="133"/>
  <c r="D29" i="133"/>
  <c r="E29" i="133" s="1"/>
  <c r="G29" i="133" s="1"/>
  <c r="C33" i="133"/>
  <c r="K45" i="127"/>
  <c r="K46" i="127"/>
  <c r="C20" i="127"/>
  <c r="F12" i="132"/>
  <c r="F14" i="132" s="1"/>
  <c r="C15" i="132"/>
  <c r="C16" i="127" s="1"/>
  <c r="H25" i="132"/>
  <c r="H28" i="132"/>
  <c r="D20" i="133"/>
  <c r="E25" i="133"/>
  <c r="H26" i="133"/>
  <c r="H24" i="133" s="1"/>
  <c r="F27" i="133"/>
  <c r="G27" i="133" s="1"/>
  <c r="D31" i="133"/>
  <c r="F35" i="133"/>
  <c r="G35" i="133" s="1"/>
  <c r="E54" i="127"/>
  <c r="D29" i="132"/>
  <c r="E29" i="132" s="1"/>
  <c r="G29" i="132" s="1"/>
  <c r="D31" i="132"/>
  <c r="E31" i="132" s="1"/>
  <c r="G31" i="132" s="1"/>
  <c r="E20" i="133"/>
  <c r="F25" i="133"/>
  <c r="H29" i="133"/>
  <c r="E31" i="133"/>
  <c r="H52" i="127"/>
  <c r="K54" i="127"/>
  <c r="G55" i="127"/>
  <c r="I55" i="127" s="1"/>
  <c r="I54" i="127" s="1"/>
  <c r="E20" i="121"/>
  <c r="F35" i="121"/>
  <c r="F42" i="121" s="1"/>
  <c r="AG32" i="121"/>
  <c r="AM31" i="121"/>
  <c r="AK15" i="122"/>
  <c r="AN15" i="122" s="1"/>
  <c r="AK12" i="122"/>
  <c r="BI12" i="122" s="1"/>
  <c r="AK10" i="122"/>
  <c r="E9" i="122"/>
  <c r="E145" i="122" s="1"/>
  <c r="E182" i="122" s="1"/>
  <c r="AK8" i="122"/>
  <c r="E23" i="121"/>
  <c r="E15" i="121"/>
  <c r="G10" i="121"/>
  <c r="E9" i="121"/>
  <c r="G11" i="121"/>
  <c r="E16" i="121"/>
  <c r="E8" i="121"/>
  <c r="F11" i="121"/>
  <c r="F10" i="121"/>
  <c r="B79" i="121"/>
  <c r="U37" i="121"/>
  <c r="T37" i="121" s="1"/>
  <c r="B37" i="121"/>
  <c r="CD100" i="122"/>
  <c r="CD156" i="122"/>
  <c r="AH97" i="122"/>
  <c r="R27" i="122"/>
  <c r="AG27" i="122" s="1"/>
  <c r="D124" i="122"/>
  <c r="D179" i="122" s="1"/>
  <c r="D61" i="123" s="1"/>
  <c r="L79" i="121"/>
  <c r="V79" i="121"/>
  <c r="AQ79" i="121" s="1"/>
  <c r="AZ79" i="121" s="1"/>
  <c r="BI79" i="121" s="1"/>
  <c r="CP79" i="121" s="1"/>
  <c r="GA14" i="123"/>
  <c r="GA10" i="123"/>
  <c r="GA16" i="123"/>
  <c r="CI62" i="123"/>
  <c r="EH62" i="123" s="1"/>
  <c r="GG62" i="123" s="1"/>
  <c r="FT75" i="121"/>
  <c r="FT62" i="121"/>
  <c r="FT74" i="121"/>
  <c r="FT69" i="121"/>
  <c r="FT59" i="121"/>
  <c r="FT63" i="121"/>
  <c r="FT58" i="121"/>
  <c r="FT79" i="121"/>
  <c r="FT71" i="121"/>
  <c r="FT50" i="121"/>
  <c r="FT85" i="121"/>
  <c r="FT53" i="121"/>
  <c r="FT49" i="121"/>
  <c r="DU64" i="121"/>
  <c r="DU51" i="121"/>
  <c r="DU72" i="121"/>
  <c r="DU59" i="121"/>
  <c r="DL55" i="121"/>
  <c r="DU70" i="121"/>
  <c r="DU85" i="121"/>
  <c r="DU73" i="121"/>
  <c r="DC60" i="121"/>
  <c r="EI48" i="121"/>
  <c r="GH48" i="121" s="1"/>
  <c r="DU75" i="121"/>
  <c r="DU57" i="121"/>
  <c r="DC55" i="121"/>
  <c r="DC54" i="121"/>
  <c r="DU47" i="121"/>
  <c r="DU68" i="121"/>
  <c r="DV54" i="121"/>
  <c r="DU74" i="121"/>
  <c r="DU69" i="121"/>
  <c r="DU67" i="121"/>
  <c r="DU50" i="121"/>
  <c r="EH72" i="121"/>
  <c r="GG72" i="121" s="1"/>
  <c r="DW76" i="121"/>
  <c r="EH79" i="121"/>
  <c r="GG79" i="121" s="1"/>
  <c r="BV73" i="121"/>
  <c r="CI71" i="121"/>
  <c r="EH71" i="121" s="1"/>
  <c r="GG71" i="121" s="1"/>
  <c r="BV70" i="121"/>
  <c r="BM66" i="121"/>
  <c r="BV62" i="121"/>
  <c r="CH86" i="121"/>
  <c r="EG86" i="121" s="1"/>
  <c r="BV71" i="121"/>
  <c r="BD60" i="121"/>
  <c r="BV79" i="121"/>
  <c r="BV68" i="121"/>
  <c r="BV64" i="121"/>
  <c r="CI64" i="121"/>
  <c r="EH64" i="121" s="1"/>
  <c r="GG64" i="121" s="1"/>
  <c r="CJ56" i="121"/>
  <c r="BV61" i="121"/>
  <c r="CJ57" i="121"/>
  <c r="EI57" i="121" s="1"/>
  <c r="GH57" i="121" s="1"/>
  <c r="CJ51" i="121"/>
  <c r="EI51" i="121" s="1"/>
  <c r="GH51" i="121" s="1"/>
  <c r="BV72" i="121"/>
  <c r="CI69" i="121"/>
  <c r="EH69" i="121" s="1"/>
  <c r="GG69" i="121" s="1"/>
  <c r="BV56" i="121"/>
  <c r="BV48" i="121"/>
  <c r="BV47" i="121"/>
  <c r="CH88" i="121"/>
  <c r="EG88" i="121" s="1"/>
  <c r="GF88" i="121" s="1"/>
  <c r="CH87" i="121"/>
  <c r="EG87" i="121" s="1"/>
  <c r="GF87" i="121" s="1"/>
  <c r="CI73" i="121"/>
  <c r="EH73" i="121" s="1"/>
  <c r="GG73" i="121" s="1"/>
  <c r="CJ72" i="121"/>
  <c r="CI67" i="121"/>
  <c r="EH67" i="121" s="1"/>
  <c r="GG67" i="121" s="1"/>
  <c r="CJ66" i="121"/>
  <c r="EI66" i="121" s="1"/>
  <c r="CI65" i="121"/>
  <c r="EH65" i="121" s="1"/>
  <c r="GG65" i="121" s="1"/>
  <c r="CI56" i="121"/>
  <c r="EH56" i="121" s="1"/>
  <c r="GG56" i="121" s="1"/>
  <c r="CI53" i="121"/>
  <c r="EH53" i="121" s="1"/>
  <c r="CI48" i="121"/>
  <c r="EH48" i="121" s="1"/>
  <c r="GG48" i="121" s="1"/>
  <c r="CI75" i="121"/>
  <c r="EH75" i="121" s="1"/>
  <c r="GG75" i="121" s="1"/>
  <c r="CJ74" i="121"/>
  <c r="EI74" i="121" s="1"/>
  <c r="GH74" i="121" s="1"/>
  <c r="CJ68" i="121"/>
  <c r="EI68" i="121" s="1"/>
  <c r="GH68" i="121" s="1"/>
  <c r="CI61" i="121"/>
  <c r="EH61" i="121" s="1"/>
  <c r="GG61" i="121" s="1"/>
  <c r="AU55" i="121"/>
  <c r="CJ71" i="121"/>
  <c r="EI71" i="121" s="1"/>
  <c r="GH71" i="121" s="1"/>
  <c r="CJ69" i="121"/>
  <c r="EI69" i="121" s="1"/>
  <c r="GH69" i="121" s="1"/>
  <c r="CJ64" i="121"/>
  <c r="EI64" i="121" s="1"/>
  <c r="GH64" i="121" s="1"/>
  <c r="BV58" i="121"/>
  <c r="CI58" i="121"/>
  <c r="EH58" i="121" s="1"/>
  <c r="GG58" i="121" s="1"/>
  <c r="CJ55" i="121"/>
  <c r="EI55" i="121" s="1"/>
  <c r="GH55" i="121" s="1"/>
  <c r="CJ52" i="121"/>
  <c r="EI52" i="121" s="1"/>
  <c r="GH52" i="121" s="1"/>
  <c r="CI50" i="121"/>
  <c r="EH50" i="121" s="1"/>
  <c r="CJ47" i="121"/>
  <c r="EI47" i="121" s="1"/>
  <c r="GH47" i="121" s="1"/>
  <c r="BV74" i="121"/>
  <c r="CJ65" i="121"/>
  <c r="EI65" i="121" s="1"/>
  <c r="GH65" i="121" s="1"/>
  <c r="CI52" i="121"/>
  <c r="EH52" i="121" s="1"/>
  <c r="GG52" i="121" s="1"/>
  <c r="AI74" i="121"/>
  <c r="Z55" i="121"/>
  <c r="Z54" i="121"/>
  <c r="AI57" i="121"/>
  <c r="AI79" i="121"/>
  <c r="AI72" i="121"/>
  <c r="CH72" i="121" s="1"/>
  <c r="Q66" i="121"/>
  <c r="CJ49" i="121"/>
  <c r="EI49" i="121" s="1"/>
  <c r="GH49" i="121" s="1"/>
  <c r="AI80" i="121"/>
  <c r="AI62" i="121"/>
  <c r="AI49" i="121"/>
  <c r="AI85" i="121"/>
  <c r="H55" i="121"/>
  <c r="AJ54" i="121"/>
  <c r="CJ53" i="121"/>
  <c r="EI53" i="121" s="1"/>
  <c r="CJ50" i="121"/>
  <c r="EI50" i="121" s="1"/>
  <c r="GH50" i="121" s="1"/>
  <c r="AI48" i="121"/>
  <c r="H60" i="121"/>
  <c r="EI72" i="121"/>
  <c r="GH72" i="121" s="1"/>
  <c r="FT30" i="121"/>
  <c r="FT29" i="121"/>
  <c r="FB32" i="121"/>
  <c r="FB39" i="121" s="1"/>
  <c r="FT33" i="121"/>
  <c r="ES32" i="121"/>
  <c r="ES39" i="121" s="1"/>
  <c r="DU33" i="121"/>
  <c r="DU29" i="121"/>
  <c r="DU38" i="121" s="1"/>
  <c r="DU34" i="121"/>
  <c r="CJ32" i="121"/>
  <c r="EI32" i="121" s="1"/>
  <c r="GH32" i="121" s="1"/>
  <c r="BV34" i="121"/>
  <c r="BV29" i="121"/>
  <c r="BV38" i="121" s="1"/>
  <c r="BV28" i="121"/>
  <c r="BV37" i="121" s="1"/>
  <c r="BV33" i="121"/>
  <c r="BD32" i="121"/>
  <c r="BD39" i="121" s="1"/>
  <c r="CI30" i="121"/>
  <c r="EH30" i="121" s="1"/>
  <c r="GG30" i="121" s="1"/>
  <c r="CJ33" i="121"/>
  <c r="EI33" i="121" s="1"/>
  <c r="GH33" i="121" s="1"/>
  <c r="CI28" i="121"/>
  <c r="EH28" i="121" s="1"/>
  <c r="GG28" i="121" s="1"/>
  <c r="CJ34" i="121"/>
  <c r="EI34" i="121" s="1"/>
  <c r="GH34" i="121" s="1"/>
  <c r="CI33" i="121"/>
  <c r="EH33" i="121" s="1"/>
  <c r="GG33" i="121" s="1"/>
  <c r="CJ29" i="121"/>
  <c r="EI29" i="121" s="1"/>
  <c r="GH29" i="121" s="1"/>
  <c r="CI34" i="121"/>
  <c r="EH34" i="121" s="1"/>
  <c r="GG34" i="121" s="1"/>
  <c r="AU32" i="121"/>
  <c r="AU39" i="121" s="1"/>
  <c r="CI32" i="121"/>
  <c r="EH32" i="121" s="1"/>
  <c r="GG32" i="121" s="1"/>
  <c r="CJ30" i="121"/>
  <c r="EI30" i="121" s="1"/>
  <c r="GH30" i="121" s="1"/>
  <c r="CI29" i="121"/>
  <c r="EH29" i="121" s="1"/>
  <c r="GG29" i="121" s="1"/>
  <c r="AI34" i="121"/>
  <c r="AI28" i="121"/>
  <c r="AI37" i="121" s="1"/>
  <c r="AI29" i="121"/>
  <c r="AI33" i="121"/>
  <c r="FU37" i="121"/>
  <c r="FT11" i="121"/>
  <c r="FT38" i="121"/>
  <c r="AJ11" i="121"/>
  <c r="CI9" i="121"/>
  <c r="CI10" i="121" s="1"/>
  <c r="AK11" i="121"/>
  <c r="FV11" i="121"/>
  <c r="FV21" i="121"/>
  <c r="FV14" i="121" s="1"/>
  <c r="FV36" i="121" s="1"/>
  <c r="FV10" i="121"/>
  <c r="DV11" i="121"/>
  <c r="DV21" i="121"/>
  <c r="DV39" i="121" s="1"/>
  <c r="EH23" i="121"/>
  <c r="GG23" i="121" s="1"/>
  <c r="EH18" i="121"/>
  <c r="GG18" i="121" s="1"/>
  <c r="EI8" i="121"/>
  <c r="GH8" i="121" s="1"/>
  <c r="DU21" i="121"/>
  <c r="DV37" i="121"/>
  <c r="BW39" i="121"/>
  <c r="EH8" i="121"/>
  <c r="GG8" i="121" s="1"/>
  <c r="CI20" i="121"/>
  <c r="EH20" i="121" s="1"/>
  <c r="GG20" i="121" s="1"/>
  <c r="CI15" i="121"/>
  <c r="EH15" i="121" s="1"/>
  <c r="CJ16" i="121"/>
  <c r="CJ9" i="121"/>
  <c r="CJ11" i="121" s="1"/>
  <c r="CH23" i="121"/>
  <c r="EG23" i="121" s="1"/>
  <c r="GF23" i="121" s="1"/>
  <c r="CJ19" i="121"/>
  <c r="EI19" i="121" s="1"/>
  <c r="GH19" i="121" s="1"/>
  <c r="CJ22" i="121"/>
  <c r="CJ21" i="121" s="1"/>
  <c r="CH22" i="121"/>
  <c r="EG22" i="121" s="1"/>
  <c r="CJ20" i="121"/>
  <c r="EI20" i="121" s="1"/>
  <c r="GH20" i="121" s="1"/>
  <c r="CI19" i="121"/>
  <c r="EH19" i="121" s="1"/>
  <c r="GG19" i="121" s="1"/>
  <c r="CJ18" i="121"/>
  <c r="EI18" i="121" s="1"/>
  <c r="GH18" i="121" s="1"/>
  <c r="CJ15" i="121"/>
  <c r="EI15" i="121" s="1"/>
  <c r="CH15" i="121"/>
  <c r="EG15" i="121" s="1"/>
  <c r="GF15" i="121" s="1"/>
  <c r="AK10" i="121"/>
  <c r="AI21" i="121"/>
  <c r="CI16" i="121"/>
  <c r="EH16" i="121" s="1"/>
  <c r="GG16" i="121" s="1"/>
  <c r="AK21" i="121"/>
  <c r="G46" i="127"/>
  <c r="I34" i="127"/>
  <c r="I46" i="127" s="1"/>
  <c r="G45" i="127"/>
  <c r="G44" i="127" s="1"/>
  <c r="G32" i="127"/>
  <c r="I33" i="127"/>
  <c r="E32" i="127"/>
  <c r="E45" i="127"/>
  <c r="E46" i="127"/>
  <c r="C44" i="127"/>
  <c r="K32" i="127"/>
  <c r="I36" i="133"/>
  <c r="I34" i="133"/>
  <c r="G31" i="133"/>
  <c r="F21" i="133"/>
  <c r="F23" i="133"/>
  <c r="C28" i="133"/>
  <c r="F30" i="133"/>
  <c r="F28" i="133" s="1"/>
  <c r="D21" i="133"/>
  <c r="E21" i="133" s="1"/>
  <c r="H21" i="133"/>
  <c r="D23" i="133"/>
  <c r="E23" i="133" s="1"/>
  <c r="G23" i="133" s="1"/>
  <c r="H23" i="133"/>
  <c r="E26" i="133"/>
  <c r="D30" i="133"/>
  <c r="H30" i="133"/>
  <c r="D12" i="133"/>
  <c r="D20" i="127" s="1"/>
  <c r="H12" i="133"/>
  <c r="H20" i="127" s="1"/>
  <c r="F15" i="133"/>
  <c r="F16" i="133" s="1"/>
  <c r="F31" i="127" s="1"/>
  <c r="G20" i="133"/>
  <c r="C24" i="133"/>
  <c r="H15" i="132"/>
  <c r="H16" i="127" s="1"/>
  <c r="H14" i="132"/>
  <c r="H26" i="132"/>
  <c r="D26" i="132"/>
  <c r="E26" i="132" s="1"/>
  <c r="G26" i="132" s="1"/>
  <c r="F26" i="132"/>
  <c r="E25" i="132"/>
  <c r="G25" i="132" s="1"/>
  <c r="D27" i="132"/>
  <c r="E27" i="132" s="1"/>
  <c r="G27" i="132" s="1"/>
  <c r="H27" i="132"/>
  <c r="E30" i="132"/>
  <c r="E33" i="132"/>
  <c r="C34" i="132"/>
  <c r="D35" i="132"/>
  <c r="E35" i="132" s="1"/>
  <c r="G35" i="132" s="1"/>
  <c r="H35" i="132"/>
  <c r="C37" i="132"/>
  <c r="D12" i="132"/>
  <c r="F15" i="132"/>
  <c r="F16" i="127" s="1"/>
  <c r="C18" i="132"/>
  <c r="D24" i="132"/>
  <c r="H24" i="132"/>
  <c r="C28" i="132"/>
  <c r="DS62" i="123"/>
  <c r="CZ62" i="123"/>
  <c r="FT62" i="123"/>
  <c r="BV62" i="123"/>
  <c r="CH62" i="123" s="1"/>
  <c r="DU62" i="123"/>
  <c r="DI62" i="123"/>
  <c r="E38" i="123"/>
  <c r="E39" i="123"/>
  <c r="N36" i="123"/>
  <c r="N38" i="123"/>
  <c r="N40" i="123"/>
  <c r="N45" i="123"/>
  <c r="N49" i="123"/>
  <c r="N51" i="123"/>
  <c r="N53" i="123"/>
  <c r="N55" i="123"/>
  <c r="N57" i="123"/>
  <c r="N61" i="123"/>
  <c r="CJ62" i="123"/>
  <c r="EI62" i="123" s="1"/>
  <c r="GH62" i="123" s="1"/>
  <c r="EP62" i="123"/>
  <c r="FQ62" i="123" s="1"/>
  <c r="E36" i="123"/>
  <c r="N59" i="123"/>
  <c r="N35" i="123"/>
  <c r="N62" i="123"/>
  <c r="AF62" i="123" s="1"/>
  <c r="CG62" i="123"/>
  <c r="AG62" i="123"/>
  <c r="CQ62" i="123"/>
  <c r="DR62" i="123" s="1"/>
  <c r="FS62" i="123"/>
  <c r="S124" i="122"/>
  <c r="S179" i="122" s="1"/>
  <c r="AQ61" i="123" s="1"/>
  <c r="R96" i="122"/>
  <c r="AG96" i="122" s="1"/>
  <c r="AP96" i="122" s="1"/>
  <c r="BE96" i="122" s="1"/>
  <c r="S43" i="122"/>
  <c r="AH43" i="122" s="1"/>
  <c r="R44" i="122"/>
  <c r="AG44" i="122" s="1"/>
  <c r="S45" i="122"/>
  <c r="AH45" i="122" s="1"/>
  <c r="BH8" i="122"/>
  <c r="AI8" i="122"/>
  <c r="AX127" i="122"/>
  <c r="AX145" i="122"/>
  <c r="AX182" i="122" s="1"/>
  <c r="C155" i="122"/>
  <c r="C37" i="123" s="1"/>
  <c r="B24" i="122"/>
  <c r="R24" i="122"/>
  <c r="AG24" i="122" s="1"/>
  <c r="AP24" i="122" s="1"/>
  <c r="AQ69" i="122"/>
  <c r="BO69" i="122" s="1"/>
  <c r="E127" i="122"/>
  <c r="BV145" i="122"/>
  <c r="BV182" i="122" s="1"/>
  <c r="BV127" i="122"/>
  <c r="AP15" i="122"/>
  <c r="AO15" i="122" s="1"/>
  <c r="CB15" i="122"/>
  <c r="BN15" i="122"/>
  <c r="BM15" i="122" s="1"/>
  <c r="R15" i="122"/>
  <c r="Q15" i="122" s="1"/>
  <c r="C15" i="122"/>
  <c r="BI15" i="122"/>
  <c r="D159" i="122"/>
  <c r="D41" i="123" s="1"/>
  <c r="S27" i="122"/>
  <c r="AH27" i="122" s="1"/>
  <c r="D28" i="122"/>
  <c r="B27" i="122"/>
  <c r="BI8" i="122"/>
  <c r="BH61" i="122"/>
  <c r="CF61" i="122" s="1"/>
  <c r="CI61" i="122" s="1"/>
  <c r="AB145" i="122"/>
  <c r="AB182" i="122" s="1"/>
  <c r="AB127" i="122"/>
  <c r="AR145" i="122"/>
  <c r="AR182" i="122" s="1"/>
  <c r="AR127" i="122"/>
  <c r="BT145" i="122"/>
  <c r="BT182" i="122" s="1"/>
  <c r="BT127" i="122"/>
  <c r="BH146" i="122"/>
  <c r="S23" i="122"/>
  <c r="P157" i="122"/>
  <c r="AK25" i="122"/>
  <c r="Q27" i="122"/>
  <c r="BP159" i="122"/>
  <c r="BP160" i="122" s="1"/>
  <c r="BP28" i="122"/>
  <c r="BI30" i="122"/>
  <c r="AD201" i="122"/>
  <c r="AJ201" i="122" s="1"/>
  <c r="AC33" i="122"/>
  <c r="AJ33" i="122"/>
  <c r="BZ201" i="122"/>
  <c r="BY33" i="122"/>
  <c r="G217" i="122"/>
  <c r="G29" i="122"/>
  <c r="P35" i="122"/>
  <c r="AT222" i="122"/>
  <c r="AT227" i="122" s="1"/>
  <c r="AT29" i="122"/>
  <c r="BC38" i="122"/>
  <c r="W223" i="122"/>
  <c r="W38" i="122"/>
  <c r="B55" i="122"/>
  <c r="S55" i="122"/>
  <c r="Q55" i="122" s="1"/>
  <c r="AE204" i="122"/>
  <c r="AK204" i="122" s="1"/>
  <c r="AK56" i="122"/>
  <c r="AC56" i="122"/>
  <c r="BZ205" i="122"/>
  <c r="BY57" i="122"/>
  <c r="BI60" i="122"/>
  <c r="AB75" i="122"/>
  <c r="Z75" i="122" s="1"/>
  <c r="AE81" i="122"/>
  <c r="AQ103" i="122"/>
  <c r="BO103" i="122" s="1"/>
  <c r="AC108" i="122"/>
  <c r="AJ108" i="122"/>
  <c r="N8" i="122"/>
  <c r="I145" i="122"/>
  <c r="I182" i="122" s="1"/>
  <c r="I127" i="122"/>
  <c r="M145" i="122"/>
  <c r="M182" i="122" s="1"/>
  <c r="M127" i="122"/>
  <c r="U145" i="122"/>
  <c r="U182" i="122" s="1"/>
  <c r="U127" i="122"/>
  <c r="Y145" i="122"/>
  <c r="Y182" i="122" s="1"/>
  <c r="Y127" i="122"/>
  <c r="AS145" i="122"/>
  <c r="AS182" i="122" s="1"/>
  <c r="AS127" i="122"/>
  <c r="AW145" i="122"/>
  <c r="AW182" i="122" s="1"/>
  <c r="AW127" i="122"/>
  <c r="BQ145" i="122"/>
  <c r="BQ182" i="122" s="1"/>
  <c r="BQ127" i="122"/>
  <c r="BU145" i="122"/>
  <c r="BU182" i="122" s="1"/>
  <c r="BU127" i="122"/>
  <c r="CC9" i="122"/>
  <c r="GA9" i="123" s="1"/>
  <c r="AK146" i="122"/>
  <c r="AI146" i="122" s="1"/>
  <c r="AH10" i="122"/>
  <c r="BF10" i="122" s="1"/>
  <c r="AP10" i="122"/>
  <c r="N11" i="122"/>
  <c r="N147" i="122" s="1"/>
  <c r="AG147" i="122"/>
  <c r="BE147" i="122" s="1"/>
  <c r="CC147" i="122" s="1"/>
  <c r="AJ11" i="122"/>
  <c r="AK148" i="122"/>
  <c r="AH12" i="122"/>
  <c r="BF12" i="122" s="1"/>
  <c r="AP12" i="122"/>
  <c r="AP13" i="122"/>
  <c r="AO13" i="122" s="1"/>
  <c r="BI13" i="122"/>
  <c r="CB13" i="122"/>
  <c r="AP14" i="122"/>
  <c r="AO14" i="122" s="1"/>
  <c r="N15" i="122"/>
  <c r="AP16" i="122"/>
  <c r="AO16" i="122" s="1"/>
  <c r="AU21" i="122"/>
  <c r="O153" i="122"/>
  <c r="N22" i="122"/>
  <c r="N153" i="122" s="1"/>
  <c r="AD153" i="122"/>
  <c r="AJ22" i="122"/>
  <c r="BZ154" i="122"/>
  <c r="BY23" i="122"/>
  <c r="CD154" i="122"/>
  <c r="AC24" i="122"/>
  <c r="BA24" i="122"/>
  <c r="BA155" i="122" s="1"/>
  <c r="BY24" i="122"/>
  <c r="AD157" i="122"/>
  <c r="AC25" i="122"/>
  <c r="AJ25" i="122"/>
  <c r="E158" i="122"/>
  <c r="E28" i="122"/>
  <c r="T159" i="122"/>
  <c r="T160" i="122" s="1"/>
  <c r="T28" i="122"/>
  <c r="K28" i="122"/>
  <c r="AE28" i="122"/>
  <c r="K29" i="122"/>
  <c r="CA200" i="122"/>
  <c r="BY32" i="122"/>
  <c r="O216" i="122"/>
  <c r="AJ216" i="122" s="1"/>
  <c r="AJ34" i="122"/>
  <c r="N34" i="122"/>
  <c r="N216" i="122" s="1"/>
  <c r="BC216" i="122"/>
  <c r="BA34" i="122"/>
  <c r="BA216" i="122" s="1"/>
  <c r="AA217" i="122"/>
  <c r="AA29" i="122"/>
  <c r="Z219" i="122"/>
  <c r="Z35" i="122"/>
  <c r="BV219" i="122"/>
  <c r="BV35" i="122"/>
  <c r="F222" i="122"/>
  <c r="F227" i="122" s="1"/>
  <c r="O38" i="122"/>
  <c r="J222" i="122"/>
  <c r="J227" i="122" s="1"/>
  <c r="P38" i="122"/>
  <c r="J29" i="122"/>
  <c r="BS223" i="122"/>
  <c r="BS38" i="122"/>
  <c r="BB156" i="122"/>
  <c r="BA42" i="122"/>
  <c r="BA156" i="122" s="1"/>
  <c r="AK44" i="122"/>
  <c r="BI47" i="122"/>
  <c r="BV48" i="122"/>
  <c r="CB47" i="122"/>
  <c r="C47" i="122"/>
  <c r="B50" i="122"/>
  <c r="R50" i="122"/>
  <c r="Q50" i="122" s="1"/>
  <c r="AI51" i="122"/>
  <c r="BI51" i="122"/>
  <c r="CC163" i="122"/>
  <c r="CB51" i="122"/>
  <c r="CB163" i="122" s="1"/>
  <c r="C51" i="122"/>
  <c r="C199" i="122" s="1"/>
  <c r="CA204" i="122"/>
  <c r="BY56" i="122"/>
  <c r="AD208" i="122"/>
  <c r="AJ60" i="122"/>
  <c r="AC60" i="122"/>
  <c r="AE211" i="122"/>
  <c r="AK211" i="122" s="1"/>
  <c r="AK63" i="122"/>
  <c r="BZ65" i="122"/>
  <c r="BQ49" i="122"/>
  <c r="BQ161" i="122" s="1"/>
  <c r="E218" i="122"/>
  <c r="E65" i="122"/>
  <c r="P218" i="122"/>
  <c r="AK66" i="122"/>
  <c r="AM67" i="122"/>
  <c r="BH67" i="122"/>
  <c r="CF67" i="122" s="1"/>
  <c r="CI67" i="122" s="1"/>
  <c r="O70" i="122"/>
  <c r="N70" i="122" s="1"/>
  <c r="I49" i="122"/>
  <c r="O49" i="122" s="1"/>
  <c r="AE70" i="122"/>
  <c r="Y49" i="122"/>
  <c r="Y40" i="122" s="1"/>
  <c r="Y126" i="122" s="1"/>
  <c r="Y128" i="122" s="1"/>
  <c r="AC71" i="122"/>
  <c r="AJ71" i="122"/>
  <c r="CA226" i="122"/>
  <c r="S77" i="122"/>
  <c r="AH77" i="122" s="1"/>
  <c r="BY83" i="122"/>
  <c r="AQ84" i="122"/>
  <c r="BO84" i="122" s="1"/>
  <c r="AU81" i="122"/>
  <c r="BY213" i="122"/>
  <c r="BY164" i="122"/>
  <c r="Q89" i="122"/>
  <c r="AG89" i="122"/>
  <c r="AF91" i="122"/>
  <c r="AP91" i="122"/>
  <c r="Q93" i="122"/>
  <c r="R92" i="122"/>
  <c r="AG93" i="122"/>
  <c r="AM93" i="122" s="1"/>
  <c r="BH93" i="122"/>
  <c r="CF93" i="122" s="1"/>
  <c r="CI93" i="122" s="1"/>
  <c r="AQ97" i="122"/>
  <c r="BO97" i="122" s="1"/>
  <c r="E108" i="122"/>
  <c r="P108" i="122"/>
  <c r="G101" i="122"/>
  <c r="AR163" i="122"/>
  <c r="L145" i="122"/>
  <c r="L182" i="122" s="1"/>
  <c r="L127" i="122"/>
  <c r="X145" i="122"/>
  <c r="X182" i="122" s="1"/>
  <c r="X127" i="122"/>
  <c r="AV145" i="122"/>
  <c r="AV182" i="122" s="1"/>
  <c r="AV127" i="122"/>
  <c r="BP145" i="122"/>
  <c r="BP182" i="122" s="1"/>
  <c r="BP127" i="122"/>
  <c r="CD146" i="122"/>
  <c r="CD148" i="122"/>
  <c r="BI26" i="122"/>
  <c r="D199" i="122"/>
  <c r="D163" i="122"/>
  <c r="D45" i="123" s="1"/>
  <c r="B31" i="122"/>
  <c r="S31" i="122"/>
  <c r="AE200" i="122"/>
  <c r="AK200" i="122" s="1"/>
  <c r="AK32" i="122"/>
  <c r="AC32" i="122"/>
  <c r="BY216" i="122"/>
  <c r="CA221" i="122"/>
  <c r="BY37" i="122"/>
  <c r="CA223" i="122"/>
  <c r="BY39" i="122"/>
  <c r="AD202" i="122"/>
  <c r="AJ202" i="122" s="1"/>
  <c r="AC53" i="122"/>
  <c r="AJ53" i="122"/>
  <c r="BZ202" i="122"/>
  <c r="BY53" i="122"/>
  <c r="AD205" i="122"/>
  <c r="AJ205" i="122" s="1"/>
  <c r="AC57" i="122"/>
  <c r="AJ57" i="122"/>
  <c r="C206" i="122"/>
  <c r="B58" i="122"/>
  <c r="B206" i="122" s="1"/>
  <c r="R58" i="122"/>
  <c r="AG58" i="122" s="1"/>
  <c r="AF84" i="122"/>
  <c r="AP84" i="122"/>
  <c r="BE84" i="122" s="1"/>
  <c r="B213" i="122"/>
  <c r="B164" i="122"/>
  <c r="BY102" i="122"/>
  <c r="BC177" i="122"/>
  <c r="BA122" i="122"/>
  <c r="BA177" i="122" s="1"/>
  <c r="AC8" i="122"/>
  <c r="F127" i="122"/>
  <c r="F145" i="122"/>
  <c r="F182" i="122" s="1"/>
  <c r="J145" i="122"/>
  <c r="J182" i="122" s="1"/>
  <c r="J127" i="122"/>
  <c r="V127" i="122"/>
  <c r="V145" i="122"/>
  <c r="V182" i="122" s="1"/>
  <c r="Z9" i="122"/>
  <c r="AD9" i="122"/>
  <c r="AT145" i="122"/>
  <c r="AT182" i="122" s="1"/>
  <c r="AT127" i="122"/>
  <c r="BB9" i="122"/>
  <c r="BR127" i="122"/>
  <c r="BR145" i="122"/>
  <c r="BR182" i="122" s="1"/>
  <c r="BZ9" i="122"/>
  <c r="C10" i="122"/>
  <c r="BA10" i="122"/>
  <c r="BA146" i="122" s="1"/>
  <c r="BI10" i="122"/>
  <c r="BH147" i="122"/>
  <c r="AC11" i="122"/>
  <c r="AC147" i="122" s="1"/>
  <c r="AG11" i="122"/>
  <c r="AK11" i="122"/>
  <c r="BY11" i="122"/>
  <c r="BY147" i="122" s="1"/>
  <c r="C12" i="122"/>
  <c r="BA12" i="122"/>
  <c r="BA148" i="122" s="1"/>
  <c r="BB13" i="122"/>
  <c r="BA13" i="122" s="1"/>
  <c r="C14" i="122"/>
  <c r="AC15" i="122"/>
  <c r="C16" i="122"/>
  <c r="K21" i="122"/>
  <c r="AB21" i="122"/>
  <c r="AW128" i="122"/>
  <c r="BX21" i="122"/>
  <c r="W153" i="122"/>
  <c r="AK22" i="122"/>
  <c r="BB154" i="122"/>
  <c r="BA23" i="122"/>
  <c r="BA154" i="122" s="1"/>
  <c r="O155" i="122"/>
  <c r="AJ24" i="122"/>
  <c r="N24" i="122"/>
  <c r="N155" i="122" s="1"/>
  <c r="AK24" i="122"/>
  <c r="D157" i="122"/>
  <c r="D39" i="123" s="1"/>
  <c r="S25" i="122"/>
  <c r="N25" i="122"/>
  <c r="AX159" i="122"/>
  <c r="AX160" i="122" s="1"/>
  <c r="AX28" i="122"/>
  <c r="CD159" i="122"/>
  <c r="CD28" i="122"/>
  <c r="CB27" i="122"/>
  <c r="W29" i="122"/>
  <c r="AU29" i="122"/>
  <c r="BS29" i="122"/>
  <c r="AH30" i="122"/>
  <c r="O198" i="122"/>
  <c r="O162" i="122"/>
  <c r="AJ30" i="122"/>
  <c r="N30" i="122"/>
  <c r="AI30" i="122" s="1"/>
  <c r="BC198" i="122"/>
  <c r="BC162" i="122"/>
  <c r="BA30" i="122"/>
  <c r="Z199" i="122"/>
  <c r="Z163" i="122"/>
  <c r="BV199" i="122"/>
  <c r="BV163" i="122"/>
  <c r="N35" i="122"/>
  <c r="W35" i="122"/>
  <c r="R219" i="122"/>
  <c r="AG219" i="122" s="1"/>
  <c r="BB219" i="122"/>
  <c r="BA36" i="122"/>
  <c r="C221" i="122"/>
  <c r="B37" i="122"/>
  <c r="B221" i="122" s="1"/>
  <c r="R37" i="122"/>
  <c r="R35" i="122" s="1"/>
  <c r="BA38" i="122"/>
  <c r="C223" i="122"/>
  <c r="B39" i="122"/>
  <c r="R39" i="122"/>
  <c r="C38" i="122"/>
  <c r="K223" i="122"/>
  <c r="K38" i="122"/>
  <c r="D156" i="122"/>
  <c r="D38" i="123" s="1"/>
  <c r="S42" i="122"/>
  <c r="S156" i="122" s="1"/>
  <c r="AQ38" i="123" s="1"/>
  <c r="BI43" i="122"/>
  <c r="CF45" i="122"/>
  <c r="AK45" i="122"/>
  <c r="AC45" i="122"/>
  <c r="BB48" i="122"/>
  <c r="BF50" i="122"/>
  <c r="AK50" i="122"/>
  <c r="AC50" i="122"/>
  <c r="O203" i="122"/>
  <c r="N54" i="122"/>
  <c r="N203" i="122" s="1"/>
  <c r="BC203" i="122"/>
  <c r="BA54" i="122"/>
  <c r="BA203" i="122" s="1"/>
  <c r="BH55" i="122"/>
  <c r="CF55" i="122" s="1"/>
  <c r="CI55" i="122" s="1"/>
  <c r="CF58" i="122"/>
  <c r="CI58" i="122" s="1"/>
  <c r="AE207" i="122"/>
  <c r="AK207" i="122" s="1"/>
  <c r="AC59" i="122"/>
  <c r="Q212" i="122"/>
  <c r="M49" i="122"/>
  <c r="M40" i="122" s="1"/>
  <c r="M126" i="122" s="1"/>
  <c r="P65" i="122"/>
  <c r="AK65" i="122" s="1"/>
  <c r="AU218" i="122"/>
  <c r="AU65" i="122"/>
  <c r="AU217" i="122" s="1"/>
  <c r="C220" i="122"/>
  <c r="B68" i="122"/>
  <c r="B220" i="122" s="1"/>
  <c r="C65" i="122"/>
  <c r="R68" i="122"/>
  <c r="K220" i="122"/>
  <c r="K65" i="122"/>
  <c r="BI69" i="122"/>
  <c r="CG69" i="122" s="1"/>
  <c r="CJ69" i="122" s="1"/>
  <c r="E224" i="122"/>
  <c r="E70" i="122"/>
  <c r="BI78" i="122"/>
  <c r="AK79" i="122"/>
  <c r="CA214" i="122"/>
  <c r="BY87" i="122"/>
  <c r="AX108" i="122"/>
  <c r="AY101" i="122"/>
  <c r="P173" i="122"/>
  <c r="AK118" i="122"/>
  <c r="H145" i="122"/>
  <c r="H182" i="122" s="1"/>
  <c r="H127" i="122"/>
  <c r="T145" i="122"/>
  <c r="T182" i="122" s="1"/>
  <c r="T127" i="122"/>
  <c r="AZ145" i="122"/>
  <c r="AZ182" i="122" s="1"/>
  <c r="AZ127" i="122"/>
  <c r="BX145" i="122"/>
  <c r="BX182" i="122" s="1"/>
  <c r="BX127" i="122"/>
  <c r="AG13" i="122"/>
  <c r="CC155" i="122"/>
  <c r="CB24" i="122"/>
  <c r="BB157" i="122"/>
  <c r="BA25" i="122"/>
  <c r="BA157" i="122" s="1"/>
  <c r="O158" i="122"/>
  <c r="N26" i="122"/>
  <c r="AD159" i="122"/>
  <c r="AD28" i="122"/>
  <c r="AC27" i="122"/>
  <c r="AY217" i="122"/>
  <c r="AY29" i="122"/>
  <c r="V222" i="122"/>
  <c r="V227" i="122" s="1"/>
  <c r="V29" i="122"/>
  <c r="AE38" i="122"/>
  <c r="BR222" i="122"/>
  <c r="BR227" i="122" s="1"/>
  <c r="BR29" i="122"/>
  <c r="CA38" i="122"/>
  <c r="BY41" i="122"/>
  <c r="BH42" i="122"/>
  <c r="AC44" i="122"/>
  <c r="AI44" i="122" s="1"/>
  <c r="AJ44" i="122"/>
  <c r="BY44" i="122"/>
  <c r="AK52" i="122"/>
  <c r="AC52" i="122"/>
  <c r="AI52" i="122" s="1"/>
  <c r="O209" i="122"/>
  <c r="N61" i="122"/>
  <c r="N209" i="122" s="1"/>
  <c r="AD65" i="122"/>
  <c r="U49" i="122"/>
  <c r="U161" i="122" s="1"/>
  <c r="D81" i="122"/>
  <c r="AD92" i="122"/>
  <c r="AK97" i="122"/>
  <c r="AC97" i="122"/>
  <c r="AI97" i="122" s="1"/>
  <c r="G145" i="122"/>
  <c r="G182" i="122" s="1"/>
  <c r="G127" i="122"/>
  <c r="P127" i="122" s="1"/>
  <c r="K9" i="122"/>
  <c r="O9" i="122"/>
  <c r="W9" i="122"/>
  <c r="AA145" i="122"/>
  <c r="AA182" i="122" s="1"/>
  <c r="AA127" i="122"/>
  <c r="AE9" i="122"/>
  <c r="AE145" i="122" s="1"/>
  <c r="AE182" i="122" s="1"/>
  <c r="AU9" i="122"/>
  <c r="AY145" i="122"/>
  <c r="AY182" i="122" s="1"/>
  <c r="AY127" i="122"/>
  <c r="BC9" i="122"/>
  <c r="BC145" i="122" s="1"/>
  <c r="BC182" i="122" s="1"/>
  <c r="BS9" i="122"/>
  <c r="BW145" i="122"/>
  <c r="BW182" i="122" s="1"/>
  <c r="BW127" i="122"/>
  <c r="CA9" i="122"/>
  <c r="CA145" i="122" s="1"/>
  <c r="CA182" i="122" s="1"/>
  <c r="N10" i="122"/>
  <c r="N146" i="122" s="1"/>
  <c r="R10" i="122"/>
  <c r="AJ10" i="122"/>
  <c r="BN10" i="122"/>
  <c r="AK147" i="122"/>
  <c r="N12" i="122"/>
  <c r="N148" i="122" s="1"/>
  <c r="R12" i="122"/>
  <c r="AJ12" i="122"/>
  <c r="BN12" i="122"/>
  <c r="N14" i="122"/>
  <c r="R14" i="122"/>
  <c r="Q14" i="122" s="1"/>
  <c r="BN14" i="122"/>
  <c r="BM14" i="122" s="1"/>
  <c r="N16" i="122"/>
  <c r="R16" i="122"/>
  <c r="Q16" i="122" s="1"/>
  <c r="BN16" i="122"/>
  <c r="BM16" i="122" s="1"/>
  <c r="W21" i="122"/>
  <c r="BS21" i="122"/>
  <c r="BZ153" i="122"/>
  <c r="AD154" i="122"/>
  <c r="AC23" i="122"/>
  <c r="AJ23" i="122"/>
  <c r="BZ157" i="122"/>
  <c r="BY25" i="122"/>
  <c r="CD157" i="122"/>
  <c r="AH26" i="122"/>
  <c r="BY158" i="122"/>
  <c r="H159" i="122"/>
  <c r="H160" i="122" s="1"/>
  <c r="H28" i="122"/>
  <c r="P159" i="122"/>
  <c r="P160" i="122" s="1"/>
  <c r="P28" i="122"/>
  <c r="Z159" i="122"/>
  <c r="Z28" i="122"/>
  <c r="BZ159" i="122"/>
  <c r="BZ160" i="122" s="1"/>
  <c r="BZ28" i="122"/>
  <c r="BY27" i="122"/>
  <c r="E198" i="122"/>
  <c r="E162" i="122"/>
  <c r="AU198" i="122"/>
  <c r="AU162" i="122"/>
  <c r="Q31" i="122"/>
  <c r="AI31" i="122"/>
  <c r="BB199" i="122"/>
  <c r="BB163" i="122"/>
  <c r="BA31" i="122"/>
  <c r="BY199" i="122"/>
  <c r="BY163" i="122"/>
  <c r="C200" i="122"/>
  <c r="B32" i="122"/>
  <c r="R32" i="122"/>
  <c r="AG32" i="122" s="1"/>
  <c r="P201" i="122"/>
  <c r="AK201" i="122" s="1"/>
  <c r="AK33" i="122"/>
  <c r="N33" i="122"/>
  <c r="N201" i="122" s="1"/>
  <c r="K35" i="122"/>
  <c r="AK35" i="122"/>
  <c r="BW217" i="122"/>
  <c r="BW227" i="122" s="1"/>
  <c r="BW29" i="122"/>
  <c r="D219" i="122"/>
  <c r="B36" i="122"/>
  <c r="S36" i="122"/>
  <c r="D35" i="122"/>
  <c r="D29" i="122" s="1"/>
  <c r="AR219" i="122"/>
  <c r="AR35" i="122"/>
  <c r="AE221" i="122"/>
  <c r="AK221" i="122" s="1"/>
  <c r="AK37" i="122"/>
  <c r="AC37" i="122"/>
  <c r="AH38" i="122"/>
  <c r="AX222" i="122"/>
  <c r="AE223" i="122"/>
  <c r="AK223" i="122" s="1"/>
  <c r="AK39" i="122"/>
  <c r="AC39" i="122"/>
  <c r="AK41" i="122"/>
  <c r="AC41" i="122"/>
  <c r="AJ43" i="122"/>
  <c r="CB44" i="122"/>
  <c r="D44" i="122"/>
  <c r="BY45" i="122"/>
  <c r="BH46" i="122"/>
  <c r="N47" i="122"/>
  <c r="N48" i="122" s="1"/>
  <c r="O48" i="122"/>
  <c r="AR48" i="122"/>
  <c r="BC48" i="122"/>
  <c r="BA47" i="122"/>
  <c r="BA48" i="122" s="1"/>
  <c r="BY48" i="122"/>
  <c r="E49" i="122"/>
  <c r="BC49" i="122"/>
  <c r="BC40" i="122" s="1"/>
  <c r="BY50" i="122"/>
  <c r="AQ51" i="122"/>
  <c r="BO51" i="122" s="1"/>
  <c r="B52" i="122"/>
  <c r="R52" i="122"/>
  <c r="Q52" i="122" s="1"/>
  <c r="AQ52" i="122"/>
  <c r="BO52" i="122" s="1"/>
  <c r="P202" i="122"/>
  <c r="AK202" i="122" s="1"/>
  <c r="N53" i="122"/>
  <c r="N202" i="122" s="1"/>
  <c r="AI55" i="122"/>
  <c r="C204" i="122"/>
  <c r="B56" i="122"/>
  <c r="B204" i="122" s="1"/>
  <c r="R56" i="122"/>
  <c r="P205" i="122"/>
  <c r="AK57" i="122"/>
  <c r="N57" i="122"/>
  <c r="N205" i="122" s="1"/>
  <c r="BB206" i="122"/>
  <c r="BA58" i="122"/>
  <c r="BA206" i="122" s="1"/>
  <c r="AK59" i="122"/>
  <c r="O208" i="122"/>
  <c r="N60" i="122"/>
  <c r="N208" i="122" s="1"/>
  <c r="AC212" i="122"/>
  <c r="AV40" i="122"/>
  <c r="AU40" i="122" s="1"/>
  <c r="AU49" i="122"/>
  <c r="BI67" i="122"/>
  <c r="CG67" i="122" s="1"/>
  <c r="CJ67" i="122" s="1"/>
  <c r="BY69" i="122"/>
  <c r="CA70" i="122"/>
  <c r="BU49" i="122"/>
  <c r="BU40" i="122" s="1"/>
  <c r="BU126" i="122" s="1"/>
  <c r="BU128" i="122" s="1"/>
  <c r="BG76" i="122"/>
  <c r="S76" i="122"/>
  <c r="AH76" i="122" s="1"/>
  <c r="AN76" i="122" s="1"/>
  <c r="CB78" i="122"/>
  <c r="C78" i="122"/>
  <c r="AC80" i="122"/>
  <c r="AJ80" i="122"/>
  <c r="BY80" i="122"/>
  <c r="BI95" i="122"/>
  <c r="AF103" i="122"/>
  <c r="AP103" i="122"/>
  <c r="Q104" i="122"/>
  <c r="AG104" i="122"/>
  <c r="E106" i="122"/>
  <c r="P106" i="122"/>
  <c r="W160" i="122"/>
  <c r="BA27" i="122"/>
  <c r="BS160" i="122"/>
  <c r="CA160" i="122"/>
  <c r="AR28" i="122"/>
  <c r="Y161" i="122"/>
  <c r="H198" i="122"/>
  <c r="H162" i="122"/>
  <c r="P198" i="122"/>
  <c r="P162" i="122"/>
  <c r="T198" i="122"/>
  <c r="T162" i="122"/>
  <c r="AD198" i="122"/>
  <c r="AJ198" i="122" s="1"/>
  <c r="AD162" i="122"/>
  <c r="AX198" i="122"/>
  <c r="AX162" i="122"/>
  <c r="BP198" i="122"/>
  <c r="BP162" i="122"/>
  <c r="BZ198" i="122"/>
  <c r="BZ162" i="122"/>
  <c r="E163" i="122"/>
  <c r="E199" i="122"/>
  <c r="O199" i="122"/>
  <c r="O163" i="122"/>
  <c r="AU199" i="122"/>
  <c r="AU163" i="122"/>
  <c r="BC199" i="122"/>
  <c r="BC163" i="122"/>
  <c r="N32" i="122"/>
  <c r="AJ32" i="122"/>
  <c r="AH34" i="122"/>
  <c r="AN34" i="122" s="1"/>
  <c r="H35" i="122"/>
  <c r="L217" i="122"/>
  <c r="L227" i="122" s="1"/>
  <c r="T35" i="122"/>
  <c r="AV217" i="122"/>
  <c r="AV227" i="122" s="1"/>
  <c r="BP35" i="122"/>
  <c r="BT217" i="122"/>
  <c r="BX217" i="122"/>
  <c r="BX227" i="122" s="1"/>
  <c r="E219" i="122"/>
  <c r="AC36" i="122"/>
  <c r="AG36" i="122"/>
  <c r="AK36" i="122"/>
  <c r="AU219" i="122"/>
  <c r="BY36" i="122"/>
  <c r="N37" i="122"/>
  <c r="AJ37" i="122"/>
  <c r="G222" i="122"/>
  <c r="G227" i="122" s="1"/>
  <c r="AA227" i="122"/>
  <c r="AU38" i="122"/>
  <c r="AU222" i="122" s="1"/>
  <c r="AY222" i="122"/>
  <c r="AY227" i="122" s="1"/>
  <c r="N39" i="122"/>
  <c r="AC42" i="122"/>
  <c r="AK42" i="122"/>
  <c r="BY42" i="122"/>
  <c r="N45" i="122"/>
  <c r="AH47" i="122"/>
  <c r="AN47" i="122" s="1"/>
  <c r="AD48" i="122"/>
  <c r="BZ48" i="122"/>
  <c r="CB50" i="122"/>
  <c r="CB162" i="122" s="1"/>
  <c r="BA53" i="122"/>
  <c r="BA202" i="122" s="1"/>
  <c r="B54" i="122"/>
  <c r="B203" i="122" s="1"/>
  <c r="AJ203" i="122"/>
  <c r="AH54" i="122"/>
  <c r="BY55" i="122"/>
  <c r="N56" i="122"/>
  <c r="N204" i="122" s="1"/>
  <c r="AJ56" i="122"/>
  <c r="AK205" i="122"/>
  <c r="BA57" i="122"/>
  <c r="BA205" i="122" s="1"/>
  <c r="D206" i="122"/>
  <c r="S58" i="122"/>
  <c r="N58" i="122"/>
  <c r="N206" i="122" s="1"/>
  <c r="AD206" i="122"/>
  <c r="AJ206" i="122" s="1"/>
  <c r="AC58" i="122"/>
  <c r="B59" i="122"/>
  <c r="B207" i="122" s="1"/>
  <c r="BA59" i="122"/>
  <c r="BA207" i="122" s="1"/>
  <c r="B60" i="122"/>
  <c r="B208" i="122" s="1"/>
  <c r="C210" i="122"/>
  <c r="AG210" i="122" s="1"/>
  <c r="B62" i="122"/>
  <c r="B210" i="122" s="1"/>
  <c r="AG62" i="122"/>
  <c r="BA62" i="122"/>
  <c r="BA210" i="122" s="1"/>
  <c r="AH64" i="122"/>
  <c r="O65" i="122"/>
  <c r="N65" i="122" s="1"/>
  <c r="BC65" i="122"/>
  <c r="BC217" i="122" s="1"/>
  <c r="BE66" i="122"/>
  <c r="AX218" i="122"/>
  <c r="AX65" i="122"/>
  <c r="BY66" i="122"/>
  <c r="B67" i="122"/>
  <c r="D220" i="122"/>
  <c r="S68" i="122"/>
  <c r="S220" i="122" s="1"/>
  <c r="N69" i="122"/>
  <c r="AJ69" i="122"/>
  <c r="N71" i="122"/>
  <c r="R225" i="122"/>
  <c r="AG225" i="122" s="1"/>
  <c r="BB225" i="122"/>
  <c r="BH225" i="122" s="1"/>
  <c r="BA73" i="122"/>
  <c r="BA225" i="122" s="1"/>
  <c r="C226" i="122"/>
  <c r="B74" i="122"/>
  <c r="R74" i="122"/>
  <c r="R70" i="122" s="1"/>
  <c r="BY76" i="122"/>
  <c r="AJ78" i="122"/>
  <c r="AM82" i="122"/>
  <c r="BH82" i="122"/>
  <c r="CF82" i="122" s="1"/>
  <c r="CI82" i="122" s="1"/>
  <c r="AX81" i="122"/>
  <c r="AH85" i="122"/>
  <c r="AN85" i="122" s="1"/>
  <c r="O213" i="122"/>
  <c r="O164" i="122"/>
  <c r="N85" i="122"/>
  <c r="BC213" i="122"/>
  <c r="BC164" i="122"/>
  <c r="BA85" i="122"/>
  <c r="BH86" i="122"/>
  <c r="CF86" i="122" s="1"/>
  <c r="CI86" i="122" s="1"/>
  <c r="AH89" i="122"/>
  <c r="AN89" i="122" s="1"/>
  <c r="AE90" i="122"/>
  <c r="AK90" i="122" s="1"/>
  <c r="BA90" i="122"/>
  <c r="AI91" i="122"/>
  <c r="AN91" i="122"/>
  <c r="BI91" i="122"/>
  <c r="O92" i="122"/>
  <c r="N92" i="122" s="1"/>
  <c r="T81" i="122"/>
  <c r="CA92" i="122"/>
  <c r="AJ95" i="122"/>
  <c r="CB96" i="122"/>
  <c r="D96" i="122"/>
  <c r="BY97" i="122"/>
  <c r="CG98" i="122"/>
  <c r="CJ98" i="122" s="1"/>
  <c r="BH98" i="122"/>
  <c r="D100" i="122"/>
  <c r="N99" i="122"/>
  <c r="N100" i="122" s="1"/>
  <c r="O100" i="122"/>
  <c r="AR100" i="122"/>
  <c r="T101" i="122"/>
  <c r="V94" i="122"/>
  <c r="AE101" i="122"/>
  <c r="BP101" i="122"/>
  <c r="BR94" i="122"/>
  <c r="CA101" i="122"/>
  <c r="AH104" i="122"/>
  <c r="AJ104" i="122"/>
  <c r="N104" i="122"/>
  <c r="BH107" i="122"/>
  <c r="CF107" i="122" s="1"/>
  <c r="CI107" i="122" s="1"/>
  <c r="Z108" i="122"/>
  <c r="AA101" i="122"/>
  <c r="Q186" i="122"/>
  <c r="AF186" i="122" s="1"/>
  <c r="AO131" i="122"/>
  <c r="CD161" i="122"/>
  <c r="CD165" i="122" s="1"/>
  <c r="C198" i="122"/>
  <c r="C162" i="122"/>
  <c r="C44" i="123" s="1"/>
  <c r="K198" i="122"/>
  <c r="K162" i="122"/>
  <c r="W198" i="122"/>
  <c r="W162" i="122"/>
  <c r="AE198" i="122"/>
  <c r="AE162" i="122"/>
  <c r="BS198" i="122"/>
  <c r="BS162" i="122"/>
  <c r="CA198" i="122"/>
  <c r="CA162" i="122"/>
  <c r="CG30" i="122"/>
  <c r="H199" i="122"/>
  <c r="H163" i="122"/>
  <c r="P199" i="122"/>
  <c r="P163" i="122"/>
  <c r="T199" i="122"/>
  <c r="T163" i="122"/>
  <c r="AD199" i="122"/>
  <c r="AD163" i="122"/>
  <c r="AX199" i="122"/>
  <c r="AX163" i="122"/>
  <c r="BP199" i="122"/>
  <c r="BP163" i="122"/>
  <c r="BZ199" i="122"/>
  <c r="BZ163" i="122"/>
  <c r="D201" i="122"/>
  <c r="R201" i="122"/>
  <c r="AG201" i="122" s="1"/>
  <c r="Z201" i="122"/>
  <c r="AR201" i="122"/>
  <c r="BB201" i="122"/>
  <c r="BV201" i="122"/>
  <c r="M217" i="122"/>
  <c r="M227" i="122" s="1"/>
  <c r="U217" i="122"/>
  <c r="U227" i="122" s="1"/>
  <c r="BQ217" i="122"/>
  <c r="BQ227" i="122" s="1"/>
  <c r="S221" i="122"/>
  <c r="AH221" i="122" s="1"/>
  <c r="X222" i="122"/>
  <c r="AB222" i="122"/>
  <c r="AB227" i="122" s="1"/>
  <c r="BT227" i="122"/>
  <c r="BI203" i="122"/>
  <c r="CG203" i="122" s="1"/>
  <c r="AN203" i="122"/>
  <c r="AE206" i="122"/>
  <c r="AK206" i="122" s="1"/>
  <c r="AK58" i="122"/>
  <c r="BZ206" i="122"/>
  <c r="BY58" i="122"/>
  <c r="C207" i="122"/>
  <c r="R59" i="122"/>
  <c r="AH59" i="122"/>
  <c r="R209" i="122"/>
  <c r="AG209" i="122" s="1"/>
  <c r="D210" i="122"/>
  <c r="S62" i="122"/>
  <c r="S210" i="122" s="1"/>
  <c r="BZ211" i="122"/>
  <c r="BY63" i="122"/>
  <c r="O212" i="122"/>
  <c r="N64" i="122"/>
  <c r="AD212" i="122"/>
  <c r="AJ64" i="122"/>
  <c r="BI64" i="122"/>
  <c r="CG64" i="122" s="1"/>
  <c r="CJ64" i="122" s="1"/>
  <c r="BB65" i="122"/>
  <c r="S218" i="122"/>
  <c r="AH218" i="122" s="1"/>
  <c r="AH66" i="122"/>
  <c r="AP218" i="122"/>
  <c r="BN66" i="122"/>
  <c r="S67" i="122"/>
  <c r="S65" i="122" s="1"/>
  <c r="AH65" i="122" s="1"/>
  <c r="AI67" i="122"/>
  <c r="AP67" i="122"/>
  <c r="BE67" i="122" s="1"/>
  <c r="AE220" i="122"/>
  <c r="AK220" i="122" s="1"/>
  <c r="AK68" i="122"/>
  <c r="BS220" i="122"/>
  <c r="BS65" i="122"/>
  <c r="BS217" i="122" s="1"/>
  <c r="BI72" i="122"/>
  <c r="CG72" i="122" s="1"/>
  <c r="CJ72" i="122" s="1"/>
  <c r="D225" i="122"/>
  <c r="D70" i="122"/>
  <c r="S73" i="122"/>
  <c r="S225" i="122" s="1"/>
  <c r="AR225" i="122"/>
  <c r="AR70" i="122"/>
  <c r="AE226" i="122"/>
  <c r="AK226" i="122" s="1"/>
  <c r="AK74" i="122"/>
  <c r="BO74" i="122"/>
  <c r="CG76" i="122"/>
  <c r="CJ76" i="122" s="1"/>
  <c r="BH77" i="122"/>
  <c r="D79" i="122"/>
  <c r="AR79" i="122"/>
  <c r="AP82" i="122"/>
  <c r="BE82" i="122" s="1"/>
  <c r="B83" i="122"/>
  <c r="R83" i="122"/>
  <c r="Q83" i="122" s="1"/>
  <c r="E213" i="122"/>
  <c r="E164" i="122"/>
  <c r="AU213" i="122"/>
  <c r="AU164" i="122"/>
  <c r="AP86" i="122"/>
  <c r="BE86" i="122" s="1"/>
  <c r="C214" i="122"/>
  <c r="B87" i="122"/>
  <c r="B214" i="122" s="1"/>
  <c r="R87" i="122"/>
  <c r="AG87" i="122" s="1"/>
  <c r="P215" i="122"/>
  <c r="AK215" i="122" s="1"/>
  <c r="N88" i="122"/>
  <c r="N215" i="122" s="1"/>
  <c r="Q91" i="122"/>
  <c r="R90" i="122"/>
  <c r="Q90" i="122" s="1"/>
  <c r="K92" i="122"/>
  <c r="L81" i="122"/>
  <c r="BZ92" i="122"/>
  <c r="BT81" i="122"/>
  <c r="BT75" i="122" s="1"/>
  <c r="BX81" i="122"/>
  <c r="BX161" i="122" s="1"/>
  <c r="AU94" i="122"/>
  <c r="AH95" i="122"/>
  <c r="AC96" i="122"/>
  <c r="AI96" i="122" s="1"/>
  <c r="AJ96" i="122"/>
  <c r="BY96" i="122"/>
  <c r="B102" i="122"/>
  <c r="R102" i="122"/>
  <c r="Q102" i="122" s="1"/>
  <c r="AK103" i="122"/>
  <c r="N103" i="122"/>
  <c r="N163" i="122" s="1"/>
  <c r="BY106" i="122"/>
  <c r="R106" i="122"/>
  <c r="AG106" i="122" s="1"/>
  <c r="BY108" i="122"/>
  <c r="AD171" i="122"/>
  <c r="AC116" i="122"/>
  <c r="AJ116" i="122"/>
  <c r="O177" i="122"/>
  <c r="AJ122" i="122"/>
  <c r="N122" i="122"/>
  <c r="N177" i="122" s="1"/>
  <c r="O179" i="122"/>
  <c r="AJ124" i="122"/>
  <c r="N124" i="122"/>
  <c r="N179" i="122" s="1"/>
  <c r="D22" i="122"/>
  <c r="E154" i="122"/>
  <c r="O154" i="122"/>
  <c r="AK23" i="122"/>
  <c r="BC154" i="122"/>
  <c r="H155" i="122"/>
  <c r="P155" i="122"/>
  <c r="T155" i="122"/>
  <c r="AD155" i="122"/>
  <c r="AH24" i="122"/>
  <c r="AX155" i="122"/>
  <c r="BP155" i="122"/>
  <c r="BZ155" i="122"/>
  <c r="CD155" i="122"/>
  <c r="K157" i="122"/>
  <c r="W157" i="122"/>
  <c r="AE157" i="122"/>
  <c r="BS157" i="122"/>
  <c r="CA157" i="122"/>
  <c r="Z158" i="122"/>
  <c r="AJ26" i="122"/>
  <c r="AR158" i="122"/>
  <c r="BB158" i="122"/>
  <c r="BV158" i="122"/>
  <c r="BV160" i="122" s="1"/>
  <c r="E159" i="122"/>
  <c r="O159" i="122"/>
  <c r="AK27" i="122"/>
  <c r="AU159" i="122"/>
  <c r="AU160" i="122" s="1"/>
  <c r="BC159" i="122"/>
  <c r="CC159" i="122"/>
  <c r="BB28" i="122"/>
  <c r="BV28" i="122"/>
  <c r="D198" i="122"/>
  <c r="D162" i="122"/>
  <c r="D44" i="123" s="1"/>
  <c r="R30" i="122"/>
  <c r="Z198" i="122"/>
  <c r="Z162" i="122"/>
  <c r="AR162" i="122"/>
  <c r="AR198" i="122"/>
  <c r="BB198" i="122"/>
  <c r="BB162" i="122"/>
  <c r="BV198" i="122"/>
  <c r="BV162" i="122"/>
  <c r="C163" i="122"/>
  <c r="C45" i="123" s="1"/>
  <c r="K199" i="122"/>
  <c r="K163" i="122"/>
  <c r="W199" i="122"/>
  <c r="W163" i="122"/>
  <c r="AE199" i="122"/>
  <c r="AE163" i="122"/>
  <c r="BS163" i="122"/>
  <c r="BS199" i="122"/>
  <c r="CA199" i="122"/>
  <c r="CA163" i="122"/>
  <c r="T200" i="122"/>
  <c r="AH32" i="122"/>
  <c r="BP200" i="122"/>
  <c r="S33" i="122"/>
  <c r="Q33" i="122" s="1"/>
  <c r="AG33" i="122"/>
  <c r="AD35" i="122"/>
  <c r="AX35" i="122"/>
  <c r="BB35" i="122"/>
  <c r="BZ35" i="122"/>
  <c r="BZ29" i="122" s="1"/>
  <c r="AK219" i="122"/>
  <c r="AJ221" i="122"/>
  <c r="AH37" i="122"/>
  <c r="BZ221" i="122"/>
  <c r="E38" i="122"/>
  <c r="I222" i="122"/>
  <c r="I227" i="122" s="1"/>
  <c r="Y222" i="122"/>
  <c r="Y227" i="122" s="1"/>
  <c r="AW227" i="122"/>
  <c r="BU222" i="122"/>
  <c r="BU227" i="122" s="1"/>
  <c r="AD223" i="122"/>
  <c r="AJ223" i="122" s="1"/>
  <c r="AH39" i="122"/>
  <c r="AX223" i="122"/>
  <c r="CF39" i="122"/>
  <c r="CI39" i="122" s="1"/>
  <c r="S53" i="122"/>
  <c r="AG53" i="122"/>
  <c r="AK53" i="122"/>
  <c r="R54" i="122"/>
  <c r="AJ54" i="122"/>
  <c r="AJ204" i="122"/>
  <c r="AH56" i="122"/>
  <c r="S57" i="122"/>
  <c r="AG57" i="122"/>
  <c r="O207" i="122"/>
  <c r="N59" i="122"/>
  <c r="N207" i="122" s="1"/>
  <c r="AD207" i="122"/>
  <c r="AJ59" i="122"/>
  <c r="S60" i="122"/>
  <c r="S208" i="122" s="1"/>
  <c r="AH208" i="122" s="1"/>
  <c r="D209" i="122"/>
  <c r="S61" i="122"/>
  <c r="S209" i="122" s="1"/>
  <c r="AC209" i="122"/>
  <c r="AI209" i="122" s="1"/>
  <c r="AI61" i="122"/>
  <c r="AG61" i="122"/>
  <c r="AM61" i="122" s="1"/>
  <c r="BB209" i="122"/>
  <c r="BA61" i="122"/>
  <c r="BA209" i="122" s="1"/>
  <c r="AE210" i="122"/>
  <c r="AK210" i="122" s="1"/>
  <c r="AK62" i="122"/>
  <c r="C211" i="122"/>
  <c r="R63" i="122"/>
  <c r="AG63" i="122" s="1"/>
  <c r="AD211" i="122"/>
  <c r="AJ211" i="122" s="1"/>
  <c r="AC63" i="122"/>
  <c r="AJ63" i="122"/>
  <c r="BP65" i="122"/>
  <c r="O218" i="122"/>
  <c r="N66" i="122"/>
  <c r="N218" i="122" s="1"/>
  <c r="AD218" i="122"/>
  <c r="AJ66" i="122"/>
  <c r="W220" i="122"/>
  <c r="W65" i="122"/>
  <c r="Q69" i="122"/>
  <c r="Z70" i="122"/>
  <c r="O224" i="122"/>
  <c r="AJ72" i="122"/>
  <c r="N72" i="122"/>
  <c r="N224" i="122" s="1"/>
  <c r="BF74" i="122"/>
  <c r="Z79" i="122"/>
  <c r="AK80" i="122"/>
  <c r="N80" i="122"/>
  <c r="D80" i="122"/>
  <c r="D154" i="122" s="1"/>
  <c r="D36" i="123" s="1"/>
  <c r="E81" i="122"/>
  <c r="P81" i="122"/>
  <c r="G75" i="122"/>
  <c r="P75" i="122" s="1"/>
  <c r="B82" i="122"/>
  <c r="S82" i="122"/>
  <c r="Q82" i="122" s="1"/>
  <c r="CG82" i="122"/>
  <c r="CJ82" i="122" s="1"/>
  <c r="AK83" i="122"/>
  <c r="AC83" i="122"/>
  <c r="AI83" i="122" s="1"/>
  <c r="AC84" i="122"/>
  <c r="AI84" i="122" s="1"/>
  <c r="AJ84" i="122"/>
  <c r="S213" i="122"/>
  <c r="S164" i="122"/>
  <c r="AQ46" i="123" s="1"/>
  <c r="AK164" i="122"/>
  <c r="BI85" i="122"/>
  <c r="CG85" i="122" s="1"/>
  <c r="B86" i="122"/>
  <c r="S86" i="122"/>
  <c r="Q86" i="122" s="1"/>
  <c r="AE214" i="122"/>
  <c r="AK214" i="122" s="1"/>
  <c r="AK87" i="122"/>
  <c r="AC87" i="122"/>
  <c r="AD215" i="122"/>
  <c r="AJ215" i="122" s="1"/>
  <c r="AC88" i="122"/>
  <c r="AJ88" i="122"/>
  <c r="BZ215" i="122"/>
  <c r="BY88" i="122"/>
  <c r="BI89" i="122"/>
  <c r="CG89" i="122" s="1"/>
  <c r="CJ89" i="122" s="1"/>
  <c r="O90" i="122"/>
  <c r="CA90" i="122"/>
  <c r="AQ91" i="122"/>
  <c r="BF91" i="122" s="1"/>
  <c r="AE92" i="122"/>
  <c r="AK92" i="122" s="1"/>
  <c r="BB92" i="122"/>
  <c r="BA92" i="122" s="1"/>
  <c r="AV81" i="122"/>
  <c r="AV75" i="122" s="1"/>
  <c r="AZ81" i="122"/>
  <c r="AZ161" i="122" s="1"/>
  <c r="BP81" i="122"/>
  <c r="S92" i="122"/>
  <c r="AH93" i="122"/>
  <c r="AN93" i="122" s="1"/>
  <c r="BI93" i="122"/>
  <c r="BI96" i="122"/>
  <c r="CG96" i="122" s="1"/>
  <c r="CJ96" i="122" s="1"/>
  <c r="S98" i="122"/>
  <c r="AH98" i="122" s="1"/>
  <c r="BI99" i="122"/>
  <c r="CB99" i="122"/>
  <c r="C99" i="122"/>
  <c r="AK100" i="122"/>
  <c r="J94" i="122"/>
  <c r="AR101" i="122"/>
  <c r="AT94" i="122"/>
  <c r="BC101" i="122"/>
  <c r="BF102" i="122"/>
  <c r="AK102" i="122"/>
  <c r="AC102" i="122"/>
  <c r="CF102" i="122"/>
  <c r="CI102" i="122" s="1"/>
  <c r="AC103" i="122"/>
  <c r="AJ103" i="122"/>
  <c r="BI104" i="122"/>
  <c r="B105" i="122"/>
  <c r="S105" i="122"/>
  <c r="Q105" i="122" s="1"/>
  <c r="CG105" i="122"/>
  <c r="CJ105" i="122" s="1"/>
  <c r="AK106" i="122"/>
  <c r="BB106" i="122"/>
  <c r="BA106" i="122" s="1"/>
  <c r="B107" i="122"/>
  <c r="S107" i="122"/>
  <c r="S106" i="122" s="1"/>
  <c r="D106" i="122"/>
  <c r="D101" i="122" s="1"/>
  <c r="CG107" i="122"/>
  <c r="CJ107" i="122" s="1"/>
  <c r="AK108" i="122"/>
  <c r="BB108" i="122"/>
  <c r="BA108" i="122" s="1"/>
  <c r="BV108" i="122"/>
  <c r="BV222" i="122" s="1"/>
  <c r="BW101" i="122"/>
  <c r="BB169" i="122"/>
  <c r="BA114" i="122"/>
  <c r="BA169" i="122" s="1"/>
  <c r="AW170" i="122"/>
  <c r="BC115" i="122"/>
  <c r="BC170" i="122" s="1"/>
  <c r="BZ171" i="122"/>
  <c r="BY116" i="122"/>
  <c r="AH175" i="122"/>
  <c r="AQ120" i="122"/>
  <c r="BF120" i="122" s="1"/>
  <c r="BF175" i="122" s="1"/>
  <c r="AJ178" i="122"/>
  <c r="BH123" i="122"/>
  <c r="AK208" i="122"/>
  <c r="BA60" i="122"/>
  <c r="BA208" i="122" s="1"/>
  <c r="CG60" i="122"/>
  <c r="CJ60" i="122" s="1"/>
  <c r="B61" i="122"/>
  <c r="B209" i="122" s="1"/>
  <c r="AJ209" i="122"/>
  <c r="AC62" i="122"/>
  <c r="BY62" i="122"/>
  <c r="N63" i="122"/>
  <c r="N211" i="122" s="1"/>
  <c r="AK212" i="122"/>
  <c r="BA64" i="122"/>
  <c r="BA212" i="122" s="1"/>
  <c r="R65" i="122"/>
  <c r="Z65" i="122"/>
  <c r="BV65" i="122"/>
  <c r="Q66" i="122"/>
  <c r="Q218" i="122" s="1"/>
  <c r="AF218" i="122" s="1"/>
  <c r="AK218" i="122"/>
  <c r="BA66" i="122"/>
  <c r="BA218" i="122" s="1"/>
  <c r="AC68" i="122"/>
  <c r="BY68" i="122"/>
  <c r="B72" i="122"/>
  <c r="B224" i="122" s="1"/>
  <c r="AH72" i="122"/>
  <c r="AN72" i="122" s="1"/>
  <c r="AC73" i="122"/>
  <c r="AG73" i="122"/>
  <c r="AK73" i="122"/>
  <c r="BY73" i="122"/>
  <c r="AJ74" i="122"/>
  <c r="AJ76" i="122"/>
  <c r="AH78" i="122"/>
  <c r="AN78" i="122" s="1"/>
  <c r="BY82" i="122"/>
  <c r="H213" i="122"/>
  <c r="H164" i="122"/>
  <c r="P213" i="122"/>
  <c r="P164" i="122"/>
  <c r="T213" i="122"/>
  <c r="T164" i="122"/>
  <c r="AD213" i="122"/>
  <c r="AD164" i="122"/>
  <c r="AX213" i="122"/>
  <c r="AX164" i="122"/>
  <c r="BP213" i="122"/>
  <c r="BP164" i="122"/>
  <c r="BZ213" i="122"/>
  <c r="BZ164" i="122"/>
  <c r="BY86" i="122"/>
  <c r="N87" i="122"/>
  <c r="N214" i="122" s="1"/>
  <c r="AJ87" i="122"/>
  <c r="BA88" i="122"/>
  <c r="BA215" i="122" s="1"/>
  <c r="B89" i="122"/>
  <c r="B212" i="122" s="1"/>
  <c r="E90" i="122"/>
  <c r="B91" i="122"/>
  <c r="E92" i="122"/>
  <c r="B93" i="122"/>
  <c r="AH99" i="122"/>
  <c r="AN99" i="122" s="1"/>
  <c r="B104" i="122"/>
  <c r="BY105" i="122"/>
  <c r="T106" i="122"/>
  <c r="AR106" i="122"/>
  <c r="BP106" i="122"/>
  <c r="BY107" i="122"/>
  <c r="T108" i="122"/>
  <c r="T222" i="122" s="1"/>
  <c r="AR108" i="122"/>
  <c r="BP108" i="122"/>
  <c r="BP222" i="122" s="1"/>
  <c r="B109" i="122"/>
  <c r="AG109" i="122"/>
  <c r="CF109" i="122"/>
  <c r="CI109" i="122" s="1"/>
  <c r="AC110" i="122"/>
  <c r="AI110" i="122" s="1"/>
  <c r="BI110" i="122"/>
  <c r="M166" i="122"/>
  <c r="Y48" i="123" s="1"/>
  <c r="P111" i="122"/>
  <c r="P166" i="122" s="1"/>
  <c r="AS166" i="122"/>
  <c r="CR48" i="123" s="1"/>
  <c r="AR111" i="122"/>
  <c r="AR166" i="122" s="1"/>
  <c r="BB111" i="122"/>
  <c r="M170" i="122"/>
  <c r="P115" i="122"/>
  <c r="P170" i="122" s="1"/>
  <c r="AS170" i="122"/>
  <c r="CR52" i="123" s="1"/>
  <c r="AR115" i="122"/>
  <c r="AR170" i="122" s="1"/>
  <c r="BB115" i="122"/>
  <c r="BB172" i="122"/>
  <c r="BA117" i="122"/>
  <c r="BA172" i="122" s="1"/>
  <c r="AC118" i="122"/>
  <c r="AD173" i="122"/>
  <c r="AJ118" i="122"/>
  <c r="BZ173" i="122"/>
  <c r="BY118" i="122"/>
  <c r="P175" i="122"/>
  <c r="AK120" i="122"/>
  <c r="BB178" i="122"/>
  <c r="BA123" i="122"/>
  <c r="BA178" i="122" s="1"/>
  <c r="CD180" i="122"/>
  <c r="D125" i="122"/>
  <c r="BI209" i="122"/>
  <c r="CG209" i="122" s="1"/>
  <c r="R212" i="122"/>
  <c r="AG212" i="122" s="1"/>
  <c r="BE218" i="122"/>
  <c r="BH220" i="122"/>
  <c r="CF220" i="122" s="1"/>
  <c r="C70" i="122"/>
  <c r="K70" i="122"/>
  <c r="W70" i="122"/>
  <c r="BS70" i="122"/>
  <c r="Q72" i="122"/>
  <c r="Q224" i="122" s="1"/>
  <c r="AF224" i="122" s="1"/>
  <c r="AN224" i="122"/>
  <c r="BI224" i="122"/>
  <c r="CG224" i="122" s="1"/>
  <c r="BA72" i="122"/>
  <c r="BA224" i="122" s="1"/>
  <c r="B73" i="122"/>
  <c r="B225" i="122" s="1"/>
  <c r="AM225" i="122"/>
  <c r="E226" i="122"/>
  <c r="O226" i="122"/>
  <c r="AJ226" i="122" s="1"/>
  <c r="S226" i="122"/>
  <c r="AH226" i="122" s="1"/>
  <c r="AC74" i="122"/>
  <c r="AU226" i="122"/>
  <c r="BC226" i="122"/>
  <c r="BY74" i="122"/>
  <c r="C213" i="122"/>
  <c r="C164" i="122"/>
  <c r="C46" i="123" s="1"/>
  <c r="K213" i="122"/>
  <c r="K164" i="122"/>
  <c r="W213" i="122"/>
  <c r="W164" i="122"/>
  <c r="AE213" i="122"/>
  <c r="AE164" i="122"/>
  <c r="BS213" i="122"/>
  <c r="BS164" i="122"/>
  <c r="CA213" i="122"/>
  <c r="CA164" i="122"/>
  <c r="S109" i="122"/>
  <c r="S108" i="122" s="1"/>
  <c r="AH108" i="122" s="1"/>
  <c r="B110" i="122"/>
  <c r="R110" i="122"/>
  <c r="Q110" i="122" s="1"/>
  <c r="I166" i="122"/>
  <c r="O48" i="123" s="1"/>
  <c r="N48" i="123" s="1"/>
  <c r="H111" i="122"/>
  <c r="H166" i="122" s="1"/>
  <c r="BU166" i="122"/>
  <c r="FA48" i="123" s="1"/>
  <c r="CA111" i="122"/>
  <c r="P167" i="122"/>
  <c r="AK112" i="122"/>
  <c r="AD167" i="122"/>
  <c r="AC112" i="122"/>
  <c r="AJ112" i="122"/>
  <c r="BZ167" i="122"/>
  <c r="BY112" i="122"/>
  <c r="AE168" i="122"/>
  <c r="AK113" i="122"/>
  <c r="I170" i="122"/>
  <c r="O52" i="123" s="1"/>
  <c r="N52" i="123" s="1"/>
  <c r="H115" i="122"/>
  <c r="H170" i="122" s="1"/>
  <c r="O115" i="122"/>
  <c r="Y170" i="122"/>
  <c r="AE115" i="122"/>
  <c r="BU170" i="122"/>
  <c r="FA52" i="123" s="1"/>
  <c r="CA115" i="122"/>
  <c r="AH171" i="122"/>
  <c r="AQ116" i="122"/>
  <c r="BF116" i="122" s="1"/>
  <c r="BF171" i="122" s="1"/>
  <c r="D172" i="122"/>
  <c r="D54" i="123" s="1"/>
  <c r="S117" i="122"/>
  <c r="AH117" i="122" s="1"/>
  <c r="BB174" i="122"/>
  <c r="BA119" i="122"/>
  <c r="BA174" i="122" s="1"/>
  <c r="AD175" i="122"/>
  <c r="AC120" i="122"/>
  <c r="AJ120" i="122"/>
  <c r="BZ175" i="122"/>
  <c r="BY120" i="122"/>
  <c r="BB176" i="122"/>
  <c r="BA121" i="122"/>
  <c r="BA176" i="122" s="1"/>
  <c r="AC177" i="122"/>
  <c r="AK177" i="122"/>
  <c r="BI122" i="122"/>
  <c r="CG122" i="122" s="1"/>
  <c r="D178" i="122"/>
  <c r="D60" i="123" s="1"/>
  <c r="S123" i="122"/>
  <c r="S178" i="122" s="1"/>
  <c r="AQ60" i="123" s="1"/>
  <c r="AC179" i="122"/>
  <c r="AI124" i="122"/>
  <c r="AK179" i="122"/>
  <c r="BI124" i="122"/>
  <c r="P180" i="122"/>
  <c r="AK125" i="122"/>
  <c r="AD180" i="122"/>
  <c r="AC125" i="122"/>
  <c r="AJ125" i="122"/>
  <c r="BZ180" i="122"/>
  <c r="BY125" i="122"/>
  <c r="BI225" i="122"/>
  <c r="CG225" i="122" s="1"/>
  <c r="D213" i="122"/>
  <c r="D164" i="122"/>
  <c r="D46" i="123" s="1"/>
  <c r="R85" i="122"/>
  <c r="Z213" i="122"/>
  <c r="Z164" i="122"/>
  <c r="AJ85" i="122"/>
  <c r="AR213" i="122"/>
  <c r="AR164" i="122"/>
  <c r="BB213" i="122"/>
  <c r="BB164" i="122"/>
  <c r="BV213" i="122"/>
  <c r="BV164" i="122"/>
  <c r="AJ214" i="122"/>
  <c r="AH87" i="122"/>
  <c r="S88" i="122"/>
  <c r="Q88" i="122" s="1"/>
  <c r="Q215" i="122" s="1"/>
  <c r="AF215" i="122" s="1"/>
  <c r="AG88" i="122"/>
  <c r="AK88" i="122"/>
  <c r="C90" i="122"/>
  <c r="C92" i="122"/>
  <c r="BF110" i="122"/>
  <c r="CG110" i="122"/>
  <c r="CJ110" i="122" s="1"/>
  <c r="U166" i="122"/>
  <c r="T111" i="122"/>
  <c r="T166" i="122" s="1"/>
  <c r="AD111" i="122"/>
  <c r="BQ166" i="122"/>
  <c r="EQ48" i="123" s="1"/>
  <c r="BP111" i="122"/>
  <c r="BP166" i="122" s="1"/>
  <c r="BZ111" i="122"/>
  <c r="CA168" i="122"/>
  <c r="AJ169" i="122"/>
  <c r="BH114" i="122"/>
  <c r="U170" i="122"/>
  <c r="AS52" i="123" s="1"/>
  <c r="T115" i="122"/>
  <c r="T170" i="122" s="1"/>
  <c r="AD115" i="122"/>
  <c r="BQ170" i="122"/>
  <c r="EQ52" i="123" s="1"/>
  <c r="BP115" i="122"/>
  <c r="BP170" i="122" s="1"/>
  <c r="BZ115" i="122"/>
  <c r="P171" i="122"/>
  <c r="AK116" i="122"/>
  <c r="D174" i="122"/>
  <c r="D56" i="123" s="1"/>
  <c r="S119" i="122"/>
  <c r="S174" i="122" s="1"/>
  <c r="AQ56" i="123" s="1"/>
  <c r="BY179" i="122"/>
  <c r="AI130" i="122"/>
  <c r="BG130" i="122" s="1"/>
  <c r="BY109" i="122"/>
  <c r="AJ110" i="122"/>
  <c r="Z111" i="122"/>
  <c r="Z166" i="122" s="1"/>
  <c r="AX111" i="122"/>
  <c r="AX166" i="122" s="1"/>
  <c r="BV111" i="122"/>
  <c r="BV166" i="122" s="1"/>
  <c r="BA112" i="122"/>
  <c r="BA167" i="122" s="1"/>
  <c r="N113" i="122"/>
  <c r="N168" i="122" s="1"/>
  <c r="AJ113" i="122"/>
  <c r="AC114" i="122"/>
  <c r="AK114" i="122"/>
  <c r="BY114" i="122"/>
  <c r="Z115" i="122"/>
  <c r="Z170" i="122" s="1"/>
  <c r="AX115" i="122"/>
  <c r="AX170" i="122" s="1"/>
  <c r="BV115" i="122"/>
  <c r="BV170" i="122" s="1"/>
  <c r="BA116" i="122"/>
  <c r="BA171" i="122" s="1"/>
  <c r="AC117" i="122"/>
  <c r="AK117" i="122"/>
  <c r="BY117" i="122"/>
  <c r="BA118" i="122"/>
  <c r="BA173" i="122" s="1"/>
  <c r="AC119" i="122"/>
  <c r="AK119" i="122"/>
  <c r="BY119" i="122"/>
  <c r="BA120" i="122"/>
  <c r="BA175" i="122" s="1"/>
  <c r="AC121" i="122"/>
  <c r="AK121" i="122"/>
  <c r="BY121" i="122"/>
  <c r="B122" i="122"/>
  <c r="B177" i="122" s="1"/>
  <c r="AH122" i="122"/>
  <c r="AC123" i="122"/>
  <c r="AK123" i="122"/>
  <c r="BY123" i="122"/>
  <c r="AH124" i="122"/>
  <c r="AN124" i="122" s="1"/>
  <c r="BA125" i="122"/>
  <c r="BA180" i="122" s="1"/>
  <c r="B184" i="122"/>
  <c r="Q187" i="122"/>
  <c r="AF187" i="122" s="1"/>
  <c r="AO132" i="122"/>
  <c r="K111" i="122"/>
  <c r="K166" i="122" s="1"/>
  <c r="O111" i="122"/>
  <c r="W111" i="122"/>
  <c r="W166" i="122" s="1"/>
  <c r="AE111" i="122"/>
  <c r="AU111" i="122"/>
  <c r="AU166" i="122" s="1"/>
  <c r="BC111" i="122"/>
  <c r="BC166" i="122" s="1"/>
  <c r="BS111" i="122"/>
  <c r="BS166" i="122" s="1"/>
  <c r="N112" i="122"/>
  <c r="N167" i="122" s="1"/>
  <c r="AC113" i="122"/>
  <c r="BY113" i="122"/>
  <c r="K115" i="122"/>
  <c r="K170" i="122" s="1"/>
  <c r="W115" i="122"/>
  <c r="W170" i="122" s="1"/>
  <c r="AU115" i="122"/>
  <c r="AU170" i="122" s="1"/>
  <c r="BS115" i="122"/>
  <c r="BS170" i="122" s="1"/>
  <c r="N116" i="122"/>
  <c r="N171" i="122" s="1"/>
  <c r="N118" i="122"/>
  <c r="N173" i="122" s="1"/>
  <c r="N120" i="122"/>
  <c r="N175" i="122" s="1"/>
  <c r="CD121" i="122"/>
  <c r="BA124" i="122"/>
  <c r="BA179" i="122" s="1"/>
  <c r="N125" i="122"/>
  <c r="N180" i="122" s="1"/>
  <c r="AF131" i="122"/>
  <c r="AY160" i="122"/>
  <c r="R122" i="122"/>
  <c r="Q130" i="122"/>
  <c r="AF130" i="122" s="1"/>
  <c r="AF132" i="122"/>
  <c r="AC187" i="122"/>
  <c r="AI187" i="122" s="1"/>
  <c r="BA187" i="122"/>
  <c r="BY187" i="122"/>
  <c r="AC185" i="122"/>
  <c r="T184" i="122"/>
  <c r="BA185" i="122"/>
  <c r="AR184" i="122"/>
  <c r="BY185" i="122"/>
  <c r="BP184" i="122"/>
  <c r="N186" i="122"/>
  <c r="E184" i="122"/>
  <c r="FE37" i="121"/>
  <c r="DU80" i="121"/>
  <c r="CJ80" i="121"/>
  <c r="EI80" i="121" s="1"/>
  <c r="GH80" i="121" s="1"/>
  <c r="FT80" i="121"/>
  <c r="CI80" i="121"/>
  <c r="EH80" i="121" s="1"/>
  <c r="GG80" i="121" s="1"/>
  <c r="AN29" i="121"/>
  <c r="FG18" i="121"/>
  <c r="EO18" i="121"/>
  <c r="BI18" i="121"/>
  <c r="D18" i="121"/>
  <c r="FU82" i="121"/>
  <c r="FB82" i="121"/>
  <c r="ES82" i="121"/>
  <c r="Z83" i="121"/>
  <c r="CT82" i="121"/>
  <c r="Q83" i="121"/>
  <c r="AK83" i="121"/>
  <c r="DQ80" i="121"/>
  <c r="DZ80" i="121" s="1"/>
  <c r="BR80" i="121"/>
  <c r="CA80" i="121" s="1"/>
  <c r="U80" i="121"/>
  <c r="Z81" i="121"/>
  <c r="Q81" i="121"/>
  <c r="AK81" i="121"/>
  <c r="FP80" i="121"/>
  <c r="FY80" i="121" s="1"/>
  <c r="K80" i="121"/>
  <c r="BV85" i="121"/>
  <c r="DR80" i="121"/>
  <c r="BV80" i="121"/>
  <c r="CH80" i="121" s="1"/>
  <c r="DU79" i="121"/>
  <c r="CG79" i="121"/>
  <c r="AF79" i="121"/>
  <c r="Z82" i="121"/>
  <c r="Q82" i="121"/>
  <c r="AK82" i="121"/>
  <c r="FU81" i="121"/>
  <c r="FB81" i="121"/>
  <c r="ES81" i="121"/>
  <c r="FV81" i="121"/>
  <c r="CT81" i="121"/>
  <c r="FQ80" i="121"/>
  <c r="FQ79" i="121"/>
  <c r="FK66" i="121"/>
  <c r="DV81" i="121"/>
  <c r="CI70" i="121"/>
  <c r="EH70" i="121" s="1"/>
  <c r="GG70" i="121" s="1"/>
  <c r="Z66" i="121"/>
  <c r="BW76" i="121"/>
  <c r="DC66" i="121"/>
  <c r="DC76" i="121" s="1"/>
  <c r="AI67" i="121"/>
  <c r="H66" i="121"/>
  <c r="Z60" i="121"/>
  <c r="AI61" i="121"/>
  <c r="CH61" i="121" s="1"/>
  <c r="EI56" i="121"/>
  <c r="GH56" i="121" s="1"/>
  <c r="AI53" i="121"/>
  <c r="H54" i="121"/>
  <c r="AI70" i="121"/>
  <c r="FB66" i="121"/>
  <c r="ES66" i="121"/>
  <c r="DL66" i="121"/>
  <c r="CI66" i="121"/>
  <c r="AU60" i="121"/>
  <c r="Q55" i="121"/>
  <c r="FT70" i="121"/>
  <c r="CJ70" i="121"/>
  <c r="EI70" i="121" s="1"/>
  <c r="GH70" i="121" s="1"/>
  <c r="FT67" i="121"/>
  <c r="BD66" i="121"/>
  <c r="BV67" i="121"/>
  <c r="DV66" i="121"/>
  <c r="DV76" i="121" s="1"/>
  <c r="FT56" i="121"/>
  <c r="FB55" i="121"/>
  <c r="CA32" i="121"/>
  <c r="CD32" i="121"/>
  <c r="AU66" i="121"/>
  <c r="CT66" i="121"/>
  <c r="FV66" i="121"/>
  <c r="FV76" i="121" s="1"/>
  <c r="DU65" i="121"/>
  <c r="FT64" i="121"/>
  <c r="AI64" i="121"/>
  <c r="BV63" i="121"/>
  <c r="AI63" i="121"/>
  <c r="ES60" i="121"/>
  <c r="DU62" i="121"/>
  <c r="DU61" i="121"/>
  <c r="AK60" i="121"/>
  <c r="BV59" i="121"/>
  <c r="AI59" i="121"/>
  <c r="CJ58" i="121"/>
  <c r="EI58" i="121" s="1"/>
  <c r="GH58" i="121" s="1"/>
  <c r="FT57" i="121"/>
  <c r="AI56" i="121"/>
  <c r="ES55" i="121"/>
  <c r="BV52" i="121"/>
  <c r="AU54" i="121"/>
  <c r="FT48" i="121"/>
  <c r="CQ35" i="121"/>
  <c r="DT35" i="121"/>
  <c r="BT19" i="121"/>
  <c r="BA19" i="121"/>
  <c r="AG19" i="121"/>
  <c r="E19" i="121"/>
  <c r="BM60" i="121"/>
  <c r="BM76" i="121" s="1"/>
  <c r="Q60" i="121"/>
  <c r="FU60" i="121"/>
  <c r="FU76" i="121" s="1"/>
  <c r="BX60" i="121"/>
  <c r="BX76" i="121" s="1"/>
  <c r="AJ60" i="121"/>
  <c r="CI60" i="121" s="1"/>
  <c r="EH60" i="121" s="1"/>
  <c r="DU56" i="121"/>
  <c r="CT55" i="121"/>
  <c r="FT52" i="121"/>
  <c r="FB54" i="121"/>
  <c r="AJ35" i="121"/>
  <c r="AI31" i="121"/>
  <c r="EF29" i="121"/>
  <c r="DW21" i="121"/>
  <c r="DW14" i="121" s="1"/>
  <c r="EI23" i="121"/>
  <c r="BK39" i="121"/>
  <c r="FT68" i="121"/>
  <c r="FT65" i="121"/>
  <c r="FT61" i="121"/>
  <c r="DL60" i="121"/>
  <c r="FB60" i="121"/>
  <c r="AJ55" i="121"/>
  <c r="AY37" i="121"/>
  <c r="L37" i="121"/>
  <c r="AP37" i="121"/>
  <c r="BH37" i="121"/>
  <c r="BW35" i="121"/>
  <c r="BX35" i="121"/>
  <c r="CJ35" i="121" s="1"/>
  <c r="BS32" i="121"/>
  <c r="BV57" i="121"/>
  <c r="BV53" i="121"/>
  <c r="BV49" i="121"/>
  <c r="CZ35" i="121"/>
  <c r="AI58" i="121"/>
  <c r="BD55" i="121"/>
  <c r="DU53" i="121"/>
  <c r="DU52" i="121"/>
  <c r="AI52" i="121"/>
  <c r="FT51" i="121"/>
  <c r="AI51" i="121"/>
  <c r="CH51" i="121" s="1"/>
  <c r="BV50" i="121"/>
  <c r="AI50" i="121"/>
  <c r="DU49" i="121"/>
  <c r="DU48" i="121"/>
  <c r="FT47" i="121"/>
  <c r="AI47" i="121"/>
  <c r="CH47" i="121" s="1"/>
  <c r="EG47" i="121" s="1"/>
  <c r="CF28" i="121"/>
  <c r="FH35" i="121"/>
  <c r="EY35" i="121"/>
  <c r="FS35" i="121"/>
  <c r="DW35" i="121"/>
  <c r="FR20" i="121"/>
  <c r="EY20" i="121"/>
  <c r="FT35" i="121"/>
  <c r="FT31" i="121"/>
  <c r="FT40" i="121" s="1"/>
  <c r="DU31" i="121"/>
  <c r="DU40" i="121" s="1"/>
  <c r="BV31" i="121"/>
  <c r="BV40" i="121" s="1"/>
  <c r="FT28" i="121"/>
  <c r="FT37" i="121" s="1"/>
  <c r="DU28" i="121"/>
  <c r="DU37" i="121" s="1"/>
  <c r="CG28" i="121"/>
  <c r="BS28" i="121"/>
  <c r="BJ23" i="121"/>
  <c r="BT23" i="121"/>
  <c r="W23" i="121"/>
  <c r="AH23" i="121"/>
  <c r="DI22" i="121"/>
  <c r="DS22" i="121"/>
  <c r="CS21" i="121"/>
  <c r="CS14" i="121" s="1"/>
  <c r="BA18" i="121"/>
  <c r="BU18" i="121"/>
  <c r="CT32" i="121"/>
  <c r="CT39" i="121" s="1"/>
  <c r="H32" i="121"/>
  <c r="H39" i="121" s="1"/>
  <c r="AN28" i="121"/>
  <c r="AF28" i="121"/>
  <c r="FR23" i="121"/>
  <c r="EP23" i="121"/>
  <c r="DT23" i="121"/>
  <c r="CQ23" i="121"/>
  <c r="AG23" i="121"/>
  <c r="N23" i="121"/>
  <c r="FT21" i="121"/>
  <c r="BL21" i="121"/>
  <c r="BJ21" i="121" s="1"/>
  <c r="BJ39" i="121" s="1"/>
  <c r="BU22" i="121"/>
  <c r="P21" i="121"/>
  <c r="P14" i="121" s="1"/>
  <c r="P77" i="121" s="1"/>
  <c r="AH22" i="121"/>
  <c r="AR20" i="121"/>
  <c r="BT20" i="121"/>
  <c r="CH20" i="121"/>
  <c r="EG20" i="121" s="1"/>
  <c r="GF20" i="121" s="1"/>
  <c r="AH18" i="121"/>
  <c r="E18" i="121"/>
  <c r="FT17" i="121"/>
  <c r="FV17" i="121"/>
  <c r="FR35" i="121"/>
  <c r="DV35" i="121"/>
  <c r="FU21" i="121"/>
  <c r="FA21" i="121"/>
  <c r="FA14" i="121" s="1"/>
  <c r="FA36" i="121" s="1"/>
  <c r="ER21" i="121"/>
  <c r="FS22" i="121"/>
  <c r="EP22" i="121"/>
  <c r="BJ22" i="121"/>
  <c r="BT22" i="121"/>
  <c r="BB21" i="121"/>
  <c r="BB14" i="121" s="1"/>
  <c r="BA22" i="121"/>
  <c r="AJ21" i="121"/>
  <c r="AJ39" i="121" s="1"/>
  <c r="CI22" i="121"/>
  <c r="N22" i="121"/>
  <c r="AG22" i="121"/>
  <c r="F21" i="121"/>
  <c r="F14" i="121" s="1"/>
  <c r="E22" i="121"/>
  <c r="O21" i="121"/>
  <c r="O14" i="121" s="1"/>
  <c r="O77" i="121" s="1"/>
  <c r="V20" i="121"/>
  <c r="D20" i="121"/>
  <c r="AZ20" i="121"/>
  <c r="CY20" i="121"/>
  <c r="FG20" i="121"/>
  <c r="M20" i="121"/>
  <c r="BI20" i="121"/>
  <c r="CP20" i="121"/>
  <c r="DQ20" i="121" s="1"/>
  <c r="EX20" i="121"/>
  <c r="AQ20" i="121"/>
  <c r="EO20" i="121"/>
  <c r="CZ20" i="121"/>
  <c r="DS20" i="121"/>
  <c r="CQ20" i="121"/>
  <c r="EQ14" i="121"/>
  <c r="BJ20" i="121"/>
  <c r="AH20" i="121"/>
  <c r="DT18" i="121"/>
  <c r="BT18" i="121"/>
  <c r="AR18" i="121"/>
  <c r="AI17" i="121"/>
  <c r="FR15" i="121"/>
  <c r="EY15" i="121"/>
  <c r="Y21" i="121"/>
  <c r="M19" i="121"/>
  <c r="BI19" i="121"/>
  <c r="EO19" i="121"/>
  <c r="D19" i="121"/>
  <c r="AZ19" i="121"/>
  <c r="DH19" i="121"/>
  <c r="AQ19" i="121"/>
  <c r="CY19" i="121"/>
  <c r="FG19" i="121"/>
  <c r="FS19" i="121"/>
  <c r="EP19" i="121"/>
  <c r="AI19" i="121"/>
  <c r="CH19" i="121" s="1"/>
  <c r="EG19" i="121" s="1"/>
  <c r="GF19" i="121" s="1"/>
  <c r="DS18" i="121"/>
  <c r="CZ18" i="121"/>
  <c r="FR16" i="121"/>
  <c r="EY16" i="121"/>
  <c r="AG16" i="121"/>
  <c r="W16" i="121"/>
  <c r="EY22" i="121"/>
  <c r="CQ22" i="121"/>
  <c r="BU19" i="121"/>
  <c r="N19" i="121"/>
  <c r="AH19" i="121"/>
  <c r="CH18" i="121"/>
  <c r="EG18" i="121" s="1"/>
  <c r="GF18" i="121" s="1"/>
  <c r="DV17" i="121"/>
  <c r="DW17" i="121"/>
  <c r="CI17" i="121"/>
  <c r="AR16" i="121"/>
  <c r="BT16" i="121"/>
  <c r="W15" i="121"/>
  <c r="AG15" i="121"/>
  <c r="DS19" i="121"/>
  <c r="FR18" i="121"/>
  <c r="EX18" i="121"/>
  <c r="CP18" i="121"/>
  <c r="V18" i="121"/>
  <c r="DS16" i="121"/>
  <c r="CH16" i="121"/>
  <c r="EG16" i="121" s="1"/>
  <c r="GF16" i="121" s="1"/>
  <c r="AK14" i="121"/>
  <c r="CY18" i="121"/>
  <c r="AQ18" i="121"/>
  <c r="DT15" i="121"/>
  <c r="BU15" i="121"/>
  <c r="DT9" i="121"/>
  <c r="DB11" i="121"/>
  <c r="DB10" i="121"/>
  <c r="AI9" i="121"/>
  <c r="DH18" i="121"/>
  <c r="AZ18" i="121"/>
  <c r="FU17" i="121"/>
  <c r="AK17" i="121"/>
  <c r="CJ17" i="121" s="1"/>
  <c r="FH16" i="121"/>
  <c r="DI16" i="121"/>
  <c r="DT16" i="121"/>
  <c r="BA16" i="121"/>
  <c r="BU16" i="121"/>
  <c r="FJ14" i="121"/>
  <c r="FS15" i="121"/>
  <c r="CZ15" i="121"/>
  <c r="DS15" i="121"/>
  <c r="CQ15" i="121"/>
  <c r="BK14" i="121"/>
  <c r="AR15" i="121"/>
  <c r="BU9" i="121"/>
  <c r="AT10" i="121"/>
  <c r="AT11" i="121"/>
  <c r="CZ9" i="121"/>
  <c r="DS9" i="121"/>
  <c r="CR10" i="121"/>
  <c r="CQ9" i="121"/>
  <c r="AR9" i="121"/>
  <c r="BT8" i="121"/>
  <c r="W8" i="121"/>
  <c r="Y10" i="121"/>
  <c r="AH8" i="121"/>
  <c r="FH9" i="121"/>
  <c r="FR9" i="121"/>
  <c r="EY9" i="121"/>
  <c r="X10" i="121"/>
  <c r="W9" i="121"/>
  <c r="AG9" i="121"/>
  <c r="DT8" i="121"/>
  <c r="CS10" i="121"/>
  <c r="CH8" i="121"/>
  <c r="AG8" i="121"/>
  <c r="N8" i="121"/>
  <c r="DU9" i="121"/>
  <c r="FR8" i="121"/>
  <c r="EP8" i="121"/>
  <c r="CQ8" i="121"/>
  <c r="BB29" i="122" l="1"/>
  <c r="BB21" i="122" s="1"/>
  <c r="BA219" i="122"/>
  <c r="BG107" i="122"/>
  <c r="BA158" i="122"/>
  <c r="BB160" i="122"/>
  <c r="BG46" i="122"/>
  <c r="BC160" i="122"/>
  <c r="C32" i="133"/>
  <c r="GK30" i="121"/>
  <c r="BB81" i="122"/>
  <c r="AK213" i="122"/>
  <c r="CE29" i="121"/>
  <c r="ED29" i="121" s="1"/>
  <c r="GC29" i="121" s="1"/>
  <c r="AQ83" i="122"/>
  <c r="BO83" i="122" s="1"/>
  <c r="AH68" i="122"/>
  <c r="AG52" i="122"/>
  <c r="AP52" i="122" s="1"/>
  <c r="AC90" i="122"/>
  <c r="AN13" i="122"/>
  <c r="AH71" i="122"/>
  <c r="AQ71" i="122" s="1"/>
  <c r="AG74" i="122"/>
  <c r="AP74" i="122" s="1"/>
  <c r="W49" i="122"/>
  <c r="AJ38" i="122"/>
  <c r="AI22" i="122"/>
  <c r="AM86" i="122"/>
  <c r="AN51" i="122"/>
  <c r="AN71" i="122"/>
  <c r="BI84" i="122"/>
  <c r="AD160" i="122"/>
  <c r="BI71" i="122"/>
  <c r="CG71" i="122" s="1"/>
  <c r="CJ71" i="122" s="1"/>
  <c r="AN77" i="122"/>
  <c r="BI216" i="122"/>
  <c r="AI148" i="122"/>
  <c r="BI16" i="122"/>
  <c r="BL16" i="122" s="1"/>
  <c r="AI16" i="122"/>
  <c r="AC184" i="122"/>
  <c r="X227" i="122"/>
  <c r="AI86" i="122"/>
  <c r="BG86" i="122" s="1"/>
  <c r="CE86" i="122" s="1"/>
  <c r="CH86" i="122" s="1"/>
  <c r="AJ200" i="122"/>
  <c r="BH200" i="122" s="1"/>
  <c r="AJ224" i="122"/>
  <c r="BH224" i="122" s="1"/>
  <c r="AM210" i="122"/>
  <c r="AI69" i="122"/>
  <c r="AC164" i="122"/>
  <c r="AI85" i="122"/>
  <c r="AI164" i="122" s="1"/>
  <c r="AI95" i="122"/>
  <c r="BG95" i="122" s="1"/>
  <c r="CE95" i="122" s="1"/>
  <c r="AC48" i="122"/>
  <c r="AC158" i="122"/>
  <c r="W40" i="122"/>
  <c r="AP69" i="122"/>
  <c r="BN69" i="122" s="1"/>
  <c r="BM69" i="122" s="1"/>
  <c r="AF69" i="122"/>
  <c r="AI122" i="122"/>
  <c r="AI177" i="122" s="1"/>
  <c r="Q60" i="122"/>
  <c r="Q208" i="122" s="1"/>
  <c r="AF208" i="122" s="1"/>
  <c r="AH105" i="122"/>
  <c r="AQ105" i="122" s="1"/>
  <c r="BO105" i="122" s="1"/>
  <c r="S100" i="122"/>
  <c r="AH73" i="122"/>
  <c r="AF73" i="122" s="1"/>
  <c r="BF51" i="122"/>
  <c r="AM147" i="122"/>
  <c r="D28" i="133"/>
  <c r="AI104" i="122"/>
  <c r="AH204" i="122"/>
  <c r="AN204" i="122" s="1"/>
  <c r="K160" i="122"/>
  <c r="AH210" i="122"/>
  <c r="BY162" i="122"/>
  <c r="AK162" i="122"/>
  <c r="G54" i="127"/>
  <c r="E44" i="127"/>
  <c r="D24" i="133"/>
  <c r="D32" i="133" s="1"/>
  <c r="CE98" i="122"/>
  <c r="AM89" i="122"/>
  <c r="AI77" i="122"/>
  <c r="AI79" i="122" s="1"/>
  <c r="EP42" i="121"/>
  <c r="FQ42" i="121" s="1"/>
  <c r="FW42" i="121" s="1"/>
  <c r="AE18" i="121"/>
  <c r="EG80" i="121"/>
  <c r="AH109" i="122"/>
  <c r="AN109" i="122" s="1"/>
  <c r="AH61" i="122"/>
  <c r="AH225" i="122"/>
  <c r="AN225" i="122" s="1"/>
  <c r="BF84" i="122"/>
  <c r="BD84" i="122" s="1"/>
  <c r="H28" i="133"/>
  <c r="F24" i="133"/>
  <c r="F32" i="133" s="1"/>
  <c r="F36" i="133" s="1"/>
  <c r="N108" i="122"/>
  <c r="AI216" i="122"/>
  <c r="BJ35" i="121"/>
  <c r="BS35" i="121" s="1"/>
  <c r="DI35" i="121"/>
  <c r="DJ42" i="121"/>
  <c r="BG78" i="122"/>
  <c r="CE78" i="122" s="1"/>
  <c r="CH78" i="122" s="1"/>
  <c r="BI14" i="122"/>
  <c r="BG14" i="122" s="1"/>
  <c r="AI14" i="122"/>
  <c r="AI186" i="122"/>
  <c r="BG186" i="122" s="1"/>
  <c r="AI129" i="122"/>
  <c r="BH91" i="122"/>
  <c r="CF91" i="122" s="1"/>
  <c r="CI91" i="122" s="1"/>
  <c r="AJ100" i="122"/>
  <c r="AR35" i="121"/>
  <c r="AS42" i="121"/>
  <c r="AJ13" i="122"/>
  <c r="AM13" i="122" s="1"/>
  <c r="AL13" i="122" s="1"/>
  <c r="BH117" i="122"/>
  <c r="BH172" i="122" s="1"/>
  <c r="AJ213" i="122"/>
  <c r="BH213" i="122" s="1"/>
  <c r="CF213" i="122" s="1"/>
  <c r="AM73" i="122"/>
  <c r="N158" i="122"/>
  <c r="L161" i="122"/>
  <c r="X43" i="123" s="1"/>
  <c r="X63" i="123" s="1"/>
  <c r="N106" i="122"/>
  <c r="AI50" i="122"/>
  <c r="BG50" i="122" s="1"/>
  <c r="CE50" i="122" s="1"/>
  <c r="CH50" i="122" s="1"/>
  <c r="AJ163" i="122"/>
  <c r="K217" i="122"/>
  <c r="AJ106" i="122"/>
  <c r="CE107" i="122"/>
  <c r="CH107" i="122" s="1"/>
  <c r="K40" i="122"/>
  <c r="M161" i="122"/>
  <c r="Y43" i="123" s="1"/>
  <c r="AK199" i="122"/>
  <c r="W35" i="121"/>
  <c r="X42" i="121"/>
  <c r="W42" i="121" s="1"/>
  <c r="W11" i="121"/>
  <c r="I161" i="122"/>
  <c r="I181" i="122" s="1"/>
  <c r="I183" i="122" s="1"/>
  <c r="H81" i="122"/>
  <c r="I75" i="122"/>
  <c r="H75" i="122" s="1"/>
  <c r="N41" i="123"/>
  <c r="N42" i="123" s="1"/>
  <c r="H217" i="122"/>
  <c r="CE105" i="122"/>
  <c r="CH105" i="122" s="1"/>
  <c r="H94" i="122"/>
  <c r="H101" i="122"/>
  <c r="O101" i="122"/>
  <c r="AJ199" i="122"/>
  <c r="BH199" i="122" s="1"/>
  <c r="AN42" i="121"/>
  <c r="CG42" i="121"/>
  <c r="E42" i="121"/>
  <c r="AI15" i="122"/>
  <c r="N13" i="122"/>
  <c r="CF18" i="121"/>
  <c r="AF18" i="121"/>
  <c r="BH121" i="122"/>
  <c r="BH176" i="122" s="1"/>
  <c r="BH119" i="122"/>
  <c r="BH174" i="122" s="1"/>
  <c r="CH70" i="121"/>
  <c r="EG70" i="121" s="1"/>
  <c r="CH49" i="121"/>
  <c r="BS9" i="121"/>
  <c r="EP21" i="121"/>
  <c r="EP39" i="121" s="1"/>
  <c r="CH69" i="121"/>
  <c r="EG69" i="121" s="1"/>
  <c r="GF69" i="121" s="1"/>
  <c r="CH75" i="121"/>
  <c r="EG75" i="121" s="1"/>
  <c r="GF75" i="121" s="1"/>
  <c r="BT35" i="121"/>
  <c r="CH64" i="121"/>
  <c r="EG64" i="121" s="1"/>
  <c r="GF64" i="121" s="1"/>
  <c r="FT32" i="121"/>
  <c r="BJ10" i="121"/>
  <c r="EY10" i="121"/>
  <c r="CE31" i="121"/>
  <c r="CM30" i="121"/>
  <c r="CR14" i="121"/>
  <c r="CR36" i="121" s="1"/>
  <c r="CH52" i="121"/>
  <c r="EG52" i="121" s="1"/>
  <c r="GF52" i="121" s="1"/>
  <c r="CL31" i="121"/>
  <c r="CG35" i="121"/>
  <c r="EF35" i="121" s="1"/>
  <c r="EZ14" i="121"/>
  <c r="EZ77" i="121" s="1"/>
  <c r="CH29" i="121"/>
  <c r="CH38" i="121" s="1"/>
  <c r="BV32" i="121"/>
  <c r="BV39" i="121" s="1"/>
  <c r="DS35" i="121"/>
  <c r="AG35" i="121"/>
  <c r="CE30" i="121"/>
  <c r="DR32" i="121"/>
  <c r="EE31" i="121"/>
  <c r="EK31" i="121" s="1"/>
  <c r="CE33" i="121"/>
  <c r="ED33" i="121" s="1"/>
  <c r="GC33" i="121" s="1"/>
  <c r="CE34" i="121"/>
  <c r="ED34" i="121" s="1"/>
  <c r="CM29" i="121"/>
  <c r="CF32" i="121"/>
  <c r="EE32" i="121" s="1"/>
  <c r="CH65" i="121"/>
  <c r="EG65" i="121" s="1"/>
  <c r="GF65" i="121" s="1"/>
  <c r="CH71" i="121"/>
  <c r="EG71" i="121" s="1"/>
  <c r="GF71" i="121" s="1"/>
  <c r="CH58" i="121"/>
  <c r="EG58" i="121" s="1"/>
  <c r="GF58" i="121" s="1"/>
  <c r="CH68" i="121"/>
  <c r="EG68" i="121" s="1"/>
  <c r="GF68" i="121" s="1"/>
  <c r="N10" i="121"/>
  <c r="EP10" i="121"/>
  <c r="CH74" i="121"/>
  <c r="BS15" i="121"/>
  <c r="BS38" i="121" s="1"/>
  <c r="DZ20" i="121"/>
  <c r="CH62" i="121"/>
  <c r="EG62" i="121" s="1"/>
  <c r="GF62" i="121" s="1"/>
  <c r="BJ38" i="121"/>
  <c r="AH10" i="121"/>
  <c r="DV14" i="121"/>
  <c r="DV36" i="121" s="1"/>
  <c r="AR21" i="121"/>
  <c r="AR39" i="121" s="1"/>
  <c r="BV54" i="121"/>
  <c r="CM33" i="121"/>
  <c r="AI60" i="121"/>
  <c r="G36" i="121"/>
  <c r="EP37" i="121"/>
  <c r="CG9" i="121"/>
  <c r="EF9" i="121" s="1"/>
  <c r="CH57" i="121"/>
  <c r="EG57" i="121" s="1"/>
  <c r="GF57" i="121" s="1"/>
  <c r="EG72" i="121"/>
  <c r="GF72" i="121" s="1"/>
  <c r="EG74" i="121"/>
  <c r="GF74" i="121" s="1"/>
  <c r="FQ40" i="121"/>
  <c r="CH73" i="121"/>
  <c r="EG73" i="121" s="1"/>
  <c r="GF73" i="121" s="1"/>
  <c r="DR8" i="121"/>
  <c r="AS14" i="121"/>
  <c r="AS12" i="121" s="1"/>
  <c r="AS13" i="121" s="1"/>
  <c r="EL30" i="121"/>
  <c r="CH30" i="121"/>
  <c r="EG30" i="121" s="1"/>
  <c r="GF30" i="121" s="1"/>
  <c r="N11" i="121"/>
  <c r="GG53" i="121"/>
  <c r="GG54" i="121" s="1"/>
  <c r="EH54" i="121"/>
  <c r="ER14" i="121"/>
  <c r="ER12" i="121" s="1"/>
  <c r="ER13" i="121" s="1"/>
  <c r="CH56" i="121"/>
  <c r="EG56" i="121" s="1"/>
  <c r="GF56" i="121" s="1"/>
  <c r="DU66" i="121"/>
  <c r="CH85" i="121"/>
  <c r="AF40" i="121"/>
  <c r="AI38" i="121"/>
  <c r="CJ10" i="121"/>
  <c r="EI9" i="121"/>
  <c r="GH9" i="121" s="1"/>
  <c r="W10" i="121"/>
  <c r="DL76" i="121"/>
  <c r="CH34" i="121"/>
  <c r="CH48" i="121"/>
  <c r="EG48" i="121" s="1"/>
  <c r="GF48" i="121" s="1"/>
  <c r="CZ11" i="121"/>
  <c r="BL14" i="121"/>
  <c r="BL77" i="121" s="1"/>
  <c r="EG51" i="121"/>
  <c r="GF51" i="121" s="1"/>
  <c r="CH33" i="121"/>
  <c r="EG33" i="121" s="1"/>
  <c r="GF33" i="121" s="1"/>
  <c r="EG34" i="121"/>
  <c r="GF34" i="121" s="1"/>
  <c r="CH79" i="121"/>
  <c r="EG79" i="121" s="1"/>
  <c r="GF79" i="121" s="1"/>
  <c r="G12" i="121"/>
  <c r="G13" i="121" s="1"/>
  <c r="CG16" i="121"/>
  <c r="FP18" i="121"/>
  <c r="FY18" i="121" s="1"/>
  <c r="FQ19" i="121"/>
  <c r="BD76" i="121"/>
  <c r="AI55" i="121"/>
  <c r="FK76" i="121"/>
  <c r="FK89" i="121" s="1"/>
  <c r="AH40" i="121"/>
  <c r="FH10" i="121"/>
  <c r="AR10" i="121"/>
  <c r="X14" i="121"/>
  <c r="X12" i="121" s="1"/>
  <c r="BT37" i="121"/>
  <c r="Z76" i="121"/>
  <c r="Z89" i="121" s="1"/>
  <c r="DI11" i="121"/>
  <c r="BA10" i="121"/>
  <c r="FH38" i="121"/>
  <c r="FH37" i="121"/>
  <c r="CZ10" i="121"/>
  <c r="FH11" i="121"/>
  <c r="AF20" i="121"/>
  <c r="FR21" i="121"/>
  <c r="FR14" i="121" s="1"/>
  <c r="EV37" i="121"/>
  <c r="E10" i="121"/>
  <c r="EM37" i="121"/>
  <c r="E35" i="121"/>
  <c r="E160" i="122"/>
  <c r="AI41" i="122"/>
  <c r="BG41" i="122" s="1"/>
  <c r="CE41" i="122" s="1"/>
  <c r="AK48" i="122"/>
  <c r="AK158" i="122"/>
  <c r="BH89" i="122"/>
  <c r="CF89" i="122" s="1"/>
  <c r="CI89" i="122" s="1"/>
  <c r="N212" i="122"/>
  <c r="AI212" i="122" s="1"/>
  <c r="BH47" i="122"/>
  <c r="CF47" i="122" s="1"/>
  <c r="CI47" i="122" s="1"/>
  <c r="BH219" i="122"/>
  <c r="CF219" i="122" s="1"/>
  <c r="AJ159" i="122"/>
  <c r="O160" i="122"/>
  <c r="E217" i="122"/>
  <c r="AI99" i="122"/>
  <c r="AI100" i="122" s="1"/>
  <c r="CE109" i="122"/>
  <c r="CH109" i="122" s="1"/>
  <c r="N154" i="122"/>
  <c r="AI103" i="122"/>
  <c r="AI163" i="122" s="1"/>
  <c r="AI102" i="122"/>
  <c r="CQ10" i="121"/>
  <c r="AB165" i="122"/>
  <c r="BL47" i="123" s="1"/>
  <c r="BL43" i="123"/>
  <c r="BL63" i="123" s="1"/>
  <c r="AB181" i="122"/>
  <c r="AB183" i="122" s="1"/>
  <c r="AM31" i="122"/>
  <c r="AP31" i="122"/>
  <c r="BE31" i="122" s="1"/>
  <c r="BK31" i="122" s="1"/>
  <c r="AT12" i="121"/>
  <c r="AT13" i="121" s="1"/>
  <c r="AR11" i="121"/>
  <c r="AZ165" i="122"/>
  <c r="DK47" i="123" s="1"/>
  <c r="DK43" i="123"/>
  <c r="L165" i="122"/>
  <c r="X47" i="123" s="1"/>
  <c r="AM107" i="122"/>
  <c r="AP107" i="122"/>
  <c r="AM105" i="122"/>
  <c r="AP105" i="122"/>
  <c r="BX165" i="122"/>
  <c r="FJ47" i="123" s="1"/>
  <c r="FJ43" i="123"/>
  <c r="C101" i="122"/>
  <c r="B108" i="122"/>
  <c r="AP55" i="122"/>
  <c r="AM55" i="122"/>
  <c r="AH119" i="122"/>
  <c r="AH174" i="122" s="1"/>
  <c r="AH213" i="122"/>
  <c r="AR222" i="122"/>
  <c r="AI72" i="122"/>
  <c r="BG72" i="122" s="1"/>
  <c r="Q62" i="122"/>
  <c r="Q210" i="122" s="1"/>
  <c r="AF210" i="122" s="1"/>
  <c r="U165" i="122"/>
  <c r="AS47" i="123" s="1"/>
  <c r="AS43" i="123"/>
  <c r="BC127" i="122"/>
  <c r="B198" i="122"/>
  <c r="BZ127" i="122"/>
  <c r="W222" i="122"/>
  <c r="N199" i="122"/>
  <c r="D28" i="132"/>
  <c r="BB49" i="122"/>
  <c r="AS40" i="122"/>
  <c r="S211" i="122"/>
  <c r="AH211" i="122" s="1"/>
  <c r="AN211" i="122" s="1"/>
  <c r="AH63" i="122"/>
  <c r="BA200" i="122"/>
  <c r="AH200" i="122"/>
  <c r="DI37" i="121"/>
  <c r="N219" i="122"/>
  <c r="CM34" i="121"/>
  <c r="EC34" i="121"/>
  <c r="DU54" i="121"/>
  <c r="AL186" i="122"/>
  <c r="BG187" i="122"/>
  <c r="CE187" i="122" s="1"/>
  <c r="U181" i="122"/>
  <c r="U183" i="122" s="1"/>
  <c r="AS48" i="123"/>
  <c r="Y52" i="123"/>
  <c r="AH86" i="122"/>
  <c r="AG102" i="122"/>
  <c r="AM102" i="122" s="1"/>
  <c r="AH67" i="122"/>
  <c r="AF67" i="122" s="1"/>
  <c r="AL67" i="122" s="1"/>
  <c r="Q67" i="122"/>
  <c r="M165" i="122"/>
  <c r="Y47" i="123" s="1"/>
  <c r="S162" i="122"/>
  <c r="AQ44" i="123" s="1"/>
  <c r="K222" i="122"/>
  <c r="S70" i="122"/>
  <c r="Z217" i="122"/>
  <c r="B201" i="122"/>
  <c r="G25" i="133"/>
  <c r="CZ21" i="121"/>
  <c r="CZ39" i="121" s="1"/>
  <c r="DA39" i="121"/>
  <c r="AH118" i="122"/>
  <c r="AN118" i="122" s="1"/>
  <c r="BA153" i="122"/>
  <c r="AS161" i="122"/>
  <c r="W101" i="122"/>
  <c r="W161" i="122" s="1"/>
  <c r="W165" i="122" s="1"/>
  <c r="Y181" i="122"/>
  <c r="Y183" i="122" s="1"/>
  <c r="BC52" i="123"/>
  <c r="Q109" i="122"/>
  <c r="Q65" i="122"/>
  <c r="AW181" i="122"/>
  <c r="AW183" i="122" s="1"/>
  <c r="DB52" i="123"/>
  <c r="AH82" i="122"/>
  <c r="AH60" i="122"/>
  <c r="BQ165" i="122"/>
  <c r="EQ47" i="123" s="1"/>
  <c r="EQ43" i="123"/>
  <c r="I165" i="122"/>
  <c r="O47" i="123" s="1"/>
  <c r="O43" i="123"/>
  <c r="B200" i="122"/>
  <c r="S198" i="122"/>
  <c r="AH198" i="122" s="1"/>
  <c r="AI106" i="122"/>
  <c r="BG106" i="122" s="1"/>
  <c r="CE106" i="122" s="1"/>
  <c r="CH106" i="122" s="1"/>
  <c r="K49" i="122"/>
  <c r="BV217" i="122"/>
  <c r="BV227" i="122" s="1"/>
  <c r="BF103" i="122"/>
  <c r="N28" i="122"/>
  <c r="H32" i="133"/>
  <c r="H36" i="133" s="1"/>
  <c r="H37" i="133" s="1"/>
  <c r="G52" i="127"/>
  <c r="F33" i="133"/>
  <c r="F20" i="127"/>
  <c r="K20" i="127" s="1"/>
  <c r="AG72" i="122"/>
  <c r="AM72" i="122" s="1"/>
  <c r="AG64" i="122"/>
  <c r="AM64" i="122" s="1"/>
  <c r="R208" i="122"/>
  <c r="AG208" i="122" s="1"/>
  <c r="AG60" i="122"/>
  <c r="AP60" i="122" s="1"/>
  <c r="BE60" i="122" s="1"/>
  <c r="AH212" i="122"/>
  <c r="BA38" i="121"/>
  <c r="BA37" i="121"/>
  <c r="H222" i="122"/>
  <c r="N35" i="121"/>
  <c r="AF35" i="121" s="1"/>
  <c r="EP11" i="121"/>
  <c r="BL110" i="122"/>
  <c r="S81" i="122"/>
  <c r="E222" i="122"/>
  <c r="Z222" i="122"/>
  <c r="B226" i="122"/>
  <c r="Q73" i="122"/>
  <c r="Q225" i="122" s="1"/>
  <c r="AF225" i="122" s="1"/>
  <c r="Y165" i="122"/>
  <c r="BC47" i="123" s="1"/>
  <c r="BC43" i="123"/>
  <c r="BY198" i="122"/>
  <c r="AR217" i="122"/>
  <c r="O217" i="122"/>
  <c r="BL51" i="122"/>
  <c r="AI82" i="122"/>
  <c r="BG82" i="122" s="1"/>
  <c r="CE82" i="122" s="1"/>
  <c r="CH82" i="122" s="1"/>
  <c r="AF71" i="122"/>
  <c r="AP71" i="122"/>
  <c r="BA201" i="122"/>
  <c r="BS101" i="122"/>
  <c r="BT94" i="122"/>
  <c r="BS94" i="122" s="1"/>
  <c r="BA223" i="122"/>
  <c r="FH21" i="121"/>
  <c r="FH39" i="121" s="1"/>
  <c r="FI39" i="121"/>
  <c r="FS11" i="121"/>
  <c r="FS10" i="121"/>
  <c r="E38" i="121"/>
  <c r="E37" i="121"/>
  <c r="E11" i="121"/>
  <c r="S79" i="122"/>
  <c r="C159" i="122"/>
  <c r="C41" i="123" s="1"/>
  <c r="B41" i="123" s="1"/>
  <c r="U79" i="121"/>
  <c r="K79" i="121"/>
  <c r="AE79" i="121"/>
  <c r="AN79" i="121" s="1"/>
  <c r="EG62" i="123"/>
  <c r="GF62" i="123" s="1"/>
  <c r="GF80" i="121"/>
  <c r="FT54" i="121"/>
  <c r="FT66" i="121"/>
  <c r="EG49" i="121"/>
  <c r="GF49" i="121" s="1"/>
  <c r="BV66" i="121"/>
  <c r="CH63" i="121"/>
  <c r="EG63" i="121" s="1"/>
  <c r="GF63" i="121" s="1"/>
  <c r="GH53" i="121"/>
  <c r="GH54" i="121" s="1"/>
  <c r="EI54" i="121"/>
  <c r="CH28" i="121"/>
  <c r="CH21" i="121"/>
  <c r="CI11" i="121"/>
  <c r="EH9" i="121"/>
  <c r="GG9" i="121" s="1"/>
  <c r="GG11" i="121" s="1"/>
  <c r="CJ14" i="121"/>
  <c r="CJ77" i="121" s="1"/>
  <c r="AJ14" i="121"/>
  <c r="AJ12" i="121" s="1"/>
  <c r="AJ13" i="121" s="1"/>
  <c r="EI22" i="121"/>
  <c r="GH22" i="121" s="1"/>
  <c r="CI37" i="121"/>
  <c r="EI17" i="121"/>
  <c r="GH17" i="121" s="1"/>
  <c r="EH17" i="121"/>
  <c r="GG17" i="121" s="1"/>
  <c r="EH38" i="121"/>
  <c r="GG15" i="121"/>
  <c r="GG37" i="121" s="1"/>
  <c r="EH37" i="121"/>
  <c r="CI38" i="121"/>
  <c r="CH17" i="121"/>
  <c r="EI16" i="121"/>
  <c r="CJ40" i="121"/>
  <c r="E52" i="127"/>
  <c r="K44" i="127"/>
  <c r="C52" i="127"/>
  <c r="K52" i="127" s="1"/>
  <c r="I45" i="127"/>
  <c r="I44" i="127" s="1"/>
  <c r="I32" i="127"/>
  <c r="G21" i="133"/>
  <c r="C34" i="133"/>
  <c r="C36" i="133"/>
  <c r="D15" i="133"/>
  <c r="D33" i="133"/>
  <c r="E12" i="133"/>
  <c r="E20" i="127" s="1"/>
  <c r="G26" i="133"/>
  <c r="G24" i="133" s="1"/>
  <c r="E24" i="133"/>
  <c r="H33" i="133"/>
  <c r="H34" i="133" s="1"/>
  <c r="H15" i="133"/>
  <c r="H16" i="133" s="1"/>
  <c r="H31" i="127" s="1"/>
  <c r="E30" i="133"/>
  <c r="C32" i="132"/>
  <c r="C36" i="132" s="1"/>
  <c r="H34" i="132"/>
  <c r="H32" i="132" s="1"/>
  <c r="H36" i="132" s="1"/>
  <c r="D34" i="132"/>
  <c r="D32" i="132" s="1"/>
  <c r="D36" i="132" s="1"/>
  <c r="F34" i="132"/>
  <c r="F32" i="132" s="1"/>
  <c r="F36" i="132" s="1"/>
  <c r="E24" i="132"/>
  <c r="G33" i="132"/>
  <c r="E12" i="132"/>
  <c r="D14" i="132"/>
  <c r="D15" i="132"/>
  <c r="D16" i="127" s="1"/>
  <c r="K16" i="127" s="1"/>
  <c r="C19" i="132"/>
  <c r="C26" i="127" s="1"/>
  <c r="G30" i="132"/>
  <c r="G28" i="132" s="1"/>
  <c r="E28" i="132"/>
  <c r="F37" i="132"/>
  <c r="F18" i="132"/>
  <c r="F19" i="132" s="1"/>
  <c r="F26" i="127" s="1"/>
  <c r="H18" i="132"/>
  <c r="H19" i="132" s="1"/>
  <c r="H26" i="127" s="1"/>
  <c r="H37" i="132"/>
  <c r="EF62" i="123"/>
  <c r="CE62" i="123"/>
  <c r="CF62" i="123"/>
  <c r="AH123" i="122"/>
  <c r="AN123" i="122" s="1"/>
  <c r="D75" i="122"/>
  <c r="AP44" i="122"/>
  <c r="BN44" i="122" s="1"/>
  <c r="AN43" i="122"/>
  <c r="AQ43" i="122"/>
  <c r="BO43" i="122" s="1"/>
  <c r="AQ45" i="122"/>
  <c r="BO45" i="122" s="1"/>
  <c r="AH23" i="122"/>
  <c r="AQ23" i="122" s="1"/>
  <c r="AH159" i="122"/>
  <c r="AH28" i="122"/>
  <c r="AQ27" i="122"/>
  <c r="BF27" i="122" s="1"/>
  <c r="BG69" i="122"/>
  <c r="AL69" i="122"/>
  <c r="D21" i="122"/>
  <c r="AN98" i="122"/>
  <c r="AQ98" i="122"/>
  <c r="BO98" i="122" s="1"/>
  <c r="BI202" i="122"/>
  <c r="R217" i="122"/>
  <c r="AG35" i="122"/>
  <c r="CG216" i="122"/>
  <c r="BH226" i="122"/>
  <c r="CG164" i="122"/>
  <c r="CJ164" i="122" s="1"/>
  <c r="CJ85" i="122"/>
  <c r="Q201" i="122"/>
  <c r="R177" i="122"/>
  <c r="AP59" i="123" s="1"/>
  <c r="Q122" i="122"/>
  <c r="Q177" i="122" s="1"/>
  <c r="AG122" i="122"/>
  <c r="AK111" i="122"/>
  <c r="AE166" i="122"/>
  <c r="AK178" i="122"/>
  <c r="BI123" i="122"/>
  <c r="BY174" i="122"/>
  <c r="AI179" i="122"/>
  <c r="BG124" i="122"/>
  <c r="AH172" i="122"/>
  <c r="AQ117" i="122"/>
  <c r="AK168" i="122"/>
  <c r="BI113" i="122"/>
  <c r="AK167" i="122"/>
  <c r="BI112" i="122"/>
  <c r="AN213" i="122"/>
  <c r="BI213" i="122"/>
  <c r="CG213" i="122" s="1"/>
  <c r="D180" i="122"/>
  <c r="D62" i="123" s="1"/>
  <c r="M62" i="123" s="1"/>
  <c r="V62" i="123" s="1"/>
  <c r="S125" i="122"/>
  <c r="S180" i="122" s="1"/>
  <c r="AQ62" i="123" s="1"/>
  <c r="AZ62" i="123" s="1"/>
  <c r="BI62" i="123" s="1"/>
  <c r="BR62" i="123" s="1"/>
  <c r="AP109" i="122"/>
  <c r="BI218" i="122"/>
  <c r="AN218" i="122"/>
  <c r="BI212" i="122"/>
  <c r="AN212" i="122"/>
  <c r="BI108" i="122"/>
  <c r="AN108" i="122"/>
  <c r="BI106" i="122"/>
  <c r="BG104" i="122"/>
  <c r="AQ86" i="122"/>
  <c r="BO86" i="122" s="1"/>
  <c r="AN86" i="122"/>
  <c r="AF86" i="122"/>
  <c r="AF63" i="122"/>
  <c r="AP63" i="122"/>
  <c r="BG61" i="122"/>
  <c r="S205" i="122"/>
  <c r="AH205" i="122" s="1"/>
  <c r="AN205" i="122" s="1"/>
  <c r="AH57" i="122"/>
  <c r="BI219" i="122"/>
  <c r="BI199" i="122"/>
  <c r="CG199" i="122" s="1"/>
  <c r="R198" i="122"/>
  <c r="AG198" i="122" s="1"/>
  <c r="R162" i="122"/>
  <c r="AP44" i="123" s="1"/>
  <c r="Q30" i="122"/>
  <c r="AG30" i="122"/>
  <c r="BN105" i="122"/>
  <c r="AQ64" i="122"/>
  <c r="BF64" i="122" s="1"/>
  <c r="BL64" i="122" s="1"/>
  <c r="AQ54" i="122"/>
  <c r="BA159" i="122"/>
  <c r="BA160" i="122" s="1"/>
  <c r="BA28" i="122"/>
  <c r="R204" i="122"/>
  <c r="AG204" i="122" s="1"/>
  <c r="AM204" i="122" s="1"/>
  <c r="Q56" i="122"/>
  <c r="Q204" i="122" s="1"/>
  <c r="AF204" i="122" s="1"/>
  <c r="BN55" i="122"/>
  <c r="AM52" i="122"/>
  <c r="BH43" i="122"/>
  <c r="AN39" i="122"/>
  <c r="BI39" i="122"/>
  <c r="S219" i="122"/>
  <c r="AH219" i="122" s="1"/>
  <c r="S35" i="122"/>
  <c r="S217" i="122" s="1"/>
  <c r="BW161" i="122"/>
  <c r="FI43" i="123" s="1"/>
  <c r="BW21" i="122"/>
  <c r="BV29" i="122"/>
  <c r="BG216" i="122"/>
  <c r="AQ26" i="122"/>
  <c r="BF26" i="122" s="1"/>
  <c r="BL26" i="122" s="1"/>
  <c r="W75" i="122"/>
  <c r="AD75" i="122"/>
  <c r="BG44" i="122"/>
  <c r="AY161" i="122"/>
  <c r="DJ43" i="123" s="1"/>
  <c r="AY21" i="122"/>
  <c r="AX29" i="122"/>
  <c r="BI207" i="122"/>
  <c r="AN207" i="122"/>
  <c r="AN45" i="122"/>
  <c r="BI45" i="122"/>
  <c r="S222" i="122"/>
  <c r="S199" i="122"/>
  <c r="AH199" i="122" s="1"/>
  <c r="S163" i="122"/>
  <c r="AQ45" i="123" s="1"/>
  <c r="BY155" i="122"/>
  <c r="BA184" i="122"/>
  <c r="N184" i="122"/>
  <c r="AI184" i="122" s="1"/>
  <c r="BY168" i="122"/>
  <c r="AK169" i="122"/>
  <c r="BI114" i="122"/>
  <c r="AK171" i="122"/>
  <c r="AN171" i="122" s="1"/>
  <c r="AN116" i="122"/>
  <c r="BI116" i="122"/>
  <c r="R213" i="122"/>
  <c r="AG213" i="122" s="1"/>
  <c r="R164" i="122"/>
  <c r="AP46" i="123" s="1"/>
  <c r="Q85" i="122"/>
  <c r="AG85" i="122"/>
  <c r="AM85" i="122" s="1"/>
  <c r="AC180" i="122"/>
  <c r="AI125" i="122"/>
  <c r="BI179" i="122"/>
  <c r="CG124" i="122"/>
  <c r="AC175" i="122"/>
  <c r="AI120" i="122"/>
  <c r="O170" i="122"/>
  <c r="N115" i="122"/>
  <c r="N170" i="122" s="1"/>
  <c r="AJ167" i="122"/>
  <c r="BH112" i="122"/>
  <c r="BG110" i="122"/>
  <c r="BY171" i="122"/>
  <c r="AF105" i="122"/>
  <c r="AL105" i="122" s="1"/>
  <c r="BC94" i="122"/>
  <c r="AR94" i="122"/>
  <c r="BI100" i="122"/>
  <c r="CG99" i="122"/>
  <c r="BI92" i="122"/>
  <c r="CG92" i="122" s="1"/>
  <c r="CJ92" i="122" s="1"/>
  <c r="BI214" i="122"/>
  <c r="AN214" i="122"/>
  <c r="BG83" i="122"/>
  <c r="CE83" i="122" s="1"/>
  <c r="CH83" i="122" s="1"/>
  <c r="BO71" i="122"/>
  <c r="BH221" i="122"/>
  <c r="CF221" i="122" s="1"/>
  <c r="BZ217" i="122"/>
  <c r="BY35" i="122"/>
  <c r="AK159" i="122"/>
  <c r="AK28" i="122"/>
  <c r="AN28" i="122" s="1"/>
  <c r="BI27" i="122"/>
  <c r="AN27" i="122"/>
  <c r="AJ158" i="122"/>
  <c r="BH26" i="122"/>
  <c r="AC171" i="122"/>
  <c r="AI116" i="122"/>
  <c r="R108" i="122"/>
  <c r="AP106" i="122"/>
  <c r="BN107" i="122"/>
  <c r="CG93" i="122"/>
  <c r="CJ93" i="122" s="1"/>
  <c r="R207" i="122"/>
  <c r="AG207" i="122" s="1"/>
  <c r="Q59" i="122"/>
  <c r="Q207" i="122" s="1"/>
  <c r="AF207" i="122" s="1"/>
  <c r="BI58" i="122"/>
  <c r="AM219" i="122"/>
  <c r="CF98" i="122"/>
  <c r="CF100" i="122" s="1"/>
  <c r="AP62" i="122"/>
  <c r="BE62" i="122" s="1"/>
  <c r="BI205" i="122"/>
  <c r="AC156" i="122"/>
  <c r="AI42" i="122"/>
  <c r="BH37" i="122"/>
  <c r="T217" i="122"/>
  <c r="T227" i="122" s="1"/>
  <c r="BI201" i="122"/>
  <c r="AO103" i="122"/>
  <c r="BN103" i="122"/>
  <c r="BM103" i="122" s="1"/>
  <c r="BH80" i="122"/>
  <c r="BY70" i="122"/>
  <c r="AI64" i="122"/>
  <c r="AG56" i="122"/>
  <c r="BE55" i="122"/>
  <c r="S44" i="122"/>
  <c r="B44" i="122"/>
  <c r="BA163" i="122"/>
  <c r="BA199" i="122"/>
  <c r="M128" i="122"/>
  <c r="BN148" i="122"/>
  <c r="BM12" i="122"/>
  <c r="BM148" i="122" s="1"/>
  <c r="R146" i="122"/>
  <c r="Q10" i="122"/>
  <c r="Q146" i="122" s="1"/>
  <c r="AC92" i="122"/>
  <c r="AI92" i="122" s="1"/>
  <c r="AJ92" i="122"/>
  <c r="AN52" i="122"/>
  <c r="BI52" i="122"/>
  <c r="BH156" i="122"/>
  <c r="CF42" i="122"/>
  <c r="AY94" i="122"/>
  <c r="AX101" i="122"/>
  <c r="BB101" i="122"/>
  <c r="BA101" i="122" s="1"/>
  <c r="CG84" i="122"/>
  <c r="CJ84" i="122" s="1"/>
  <c r="AF212" i="122"/>
  <c r="BA222" i="122"/>
  <c r="BT161" i="122"/>
  <c r="EZ43" i="123" s="1"/>
  <c r="X161" i="122"/>
  <c r="BB43" i="123" s="1"/>
  <c r="BB63" i="123" s="1"/>
  <c r="BH205" i="122"/>
  <c r="CF205" i="122" s="1"/>
  <c r="AM205" i="122"/>
  <c r="CG51" i="122"/>
  <c r="CJ51" i="122" s="1"/>
  <c r="BY221" i="122"/>
  <c r="AR160" i="122"/>
  <c r="G94" i="122"/>
  <c r="P94" i="122" s="1"/>
  <c r="P101" i="122"/>
  <c r="AF93" i="122"/>
  <c r="AL93" i="122" s="1"/>
  <c r="AP93" i="122"/>
  <c r="BQ40" i="122"/>
  <c r="BP49" i="122"/>
  <c r="BZ49" i="122"/>
  <c r="AM60" i="122"/>
  <c r="BH60" i="122"/>
  <c r="AE49" i="122"/>
  <c r="AA161" i="122"/>
  <c r="BK43" i="123" s="1"/>
  <c r="BK63" i="123" s="1"/>
  <c r="AA21" i="122"/>
  <c r="Z29" i="122"/>
  <c r="AJ157" i="122"/>
  <c r="BH25" i="122"/>
  <c r="AJ153" i="122"/>
  <c r="BH22" i="122"/>
  <c r="BB127" i="122"/>
  <c r="BY201" i="122"/>
  <c r="BH201" i="122"/>
  <c r="CF201" i="122" s="1"/>
  <c r="AM201" i="122"/>
  <c r="AK157" i="122"/>
  <c r="BI25" i="122"/>
  <c r="AK145" i="122"/>
  <c r="CF14" i="122"/>
  <c r="AN10" i="122"/>
  <c r="B15" i="122"/>
  <c r="AG15" i="122"/>
  <c r="N159" i="122"/>
  <c r="BF69" i="122"/>
  <c r="BL69" i="122" s="1"/>
  <c r="BQ181" i="122"/>
  <c r="BQ183" i="122" s="1"/>
  <c r="Q185" i="122"/>
  <c r="Q129" i="122"/>
  <c r="AF129" i="122" s="1"/>
  <c r="AO130" i="122"/>
  <c r="BD130" i="122" s="1"/>
  <c r="BJ130" i="122" s="1"/>
  <c r="AI185" i="122"/>
  <c r="CG177" i="122"/>
  <c r="CJ177" i="122" s="1"/>
  <c r="CJ122" i="122"/>
  <c r="AI113" i="122"/>
  <c r="AC168" i="122"/>
  <c r="O166" i="122"/>
  <c r="N111" i="122"/>
  <c r="N166" i="122" s="1"/>
  <c r="AO187" i="122"/>
  <c r="CN75" i="123" s="1"/>
  <c r="BM132" i="122"/>
  <c r="AC178" i="122"/>
  <c r="AI123" i="122"/>
  <c r="BY172" i="122"/>
  <c r="AJ168" i="122"/>
  <c r="BH113" i="122"/>
  <c r="BH110" i="122"/>
  <c r="AD170" i="122"/>
  <c r="AJ115" i="122"/>
  <c r="AC115" i="122"/>
  <c r="BZ166" i="122"/>
  <c r="BY111" i="122"/>
  <c r="AM109" i="122"/>
  <c r="AP88" i="122"/>
  <c r="AQ87" i="122"/>
  <c r="BF87" i="122" s="1"/>
  <c r="AJ164" i="122"/>
  <c r="BH85" i="122"/>
  <c r="BY180" i="122"/>
  <c r="BI177" i="122"/>
  <c r="BY175" i="122"/>
  <c r="AC167" i="122"/>
  <c r="AI112" i="122"/>
  <c r="AG110" i="122"/>
  <c r="AM110" i="122" s="1"/>
  <c r="S101" i="122"/>
  <c r="AC226" i="122"/>
  <c r="AI226" i="122" s="1"/>
  <c r="AI74" i="122"/>
  <c r="CF73" i="122"/>
  <c r="CI73" i="122" s="1"/>
  <c r="BH76" i="122"/>
  <c r="AP73" i="122"/>
  <c r="AQ72" i="122"/>
  <c r="BF72" i="122" s="1"/>
  <c r="BL72" i="122" s="1"/>
  <c r="Q70" i="122"/>
  <c r="BY210" i="122"/>
  <c r="BH209" i="122"/>
  <c r="AM209" i="122"/>
  <c r="BH178" i="122"/>
  <c r="CF123" i="122"/>
  <c r="AH107" i="122"/>
  <c r="AM103" i="122"/>
  <c r="BH103" i="122"/>
  <c r="BH163" i="122" s="1"/>
  <c r="AN102" i="122"/>
  <c r="BI102" i="122"/>
  <c r="AZ75" i="122"/>
  <c r="BC81" i="122"/>
  <c r="N90" i="122"/>
  <c r="N217" i="122" s="1"/>
  <c r="AJ90" i="122"/>
  <c r="BY215" i="122"/>
  <c r="BH215" i="122"/>
  <c r="AM215" i="122"/>
  <c r="AM84" i="122"/>
  <c r="BH84" i="122"/>
  <c r="AN83" i="122"/>
  <c r="BI83" i="122"/>
  <c r="S80" i="122"/>
  <c r="S75" i="122" s="1"/>
  <c r="AE75" i="122"/>
  <c r="AK75" i="122" s="1"/>
  <c r="BF71" i="122"/>
  <c r="BL71" i="122" s="1"/>
  <c r="AM66" i="122"/>
  <c r="BH66" i="122"/>
  <c r="BH211" i="122"/>
  <c r="CF211" i="122" s="1"/>
  <c r="AM62" i="122"/>
  <c r="AH209" i="122"/>
  <c r="BH59" i="122"/>
  <c r="R203" i="122"/>
  <c r="AG203" i="122" s="1"/>
  <c r="Q54" i="122"/>
  <c r="Q203" i="122" s="1"/>
  <c r="AF203" i="122" s="1"/>
  <c r="AG54" i="122"/>
  <c r="BB217" i="122"/>
  <c r="BA35" i="122"/>
  <c r="AP33" i="122"/>
  <c r="BE33" i="122" s="1"/>
  <c r="CJ31" i="122"/>
  <c r="AP27" i="122"/>
  <c r="BE27" i="122" s="1"/>
  <c r="AF27" i="122"/>
  <c r="AQ24" i="122"/>
  <c r="BF24" i="122" s="1"/>
  <c r="AJ177" i="122"/>
  <c r="AM122" i="122"/>
  <c r="BH122" i="122"/>
  <c r="BE107" i="122"/>
  <c r="BK107" i="122" s="1"/>
  <c r="CG104" i="122"/>
  <c r="CJ104" i="122" s="1"/>
  <c r="AM96" i="122"/>
  <c r="BH96" i="122"/>
  <c r="AQ95" i="122"/>
  <c r="BO95" i="122" s="1"/>
  <c r="L75" i="122"/>
  <c r="K81" i="122"/>
  <c r="O81" i="122"/>
  <c r="N81" i="122" s="1"/>
  <c r="R214" i="122"/>
  <c r="AG214" i="122" s="1"/>
  <c r="Q87" i="122"/>
  <c r="Q214" i="122" s="1"/>
  <c r="AF214" i="122" s="1"/>
  <c r="AO86" i="122"/>
  <c r="BN86" i="122"/>
  <c r="BM86" i="122" s="1"/>
  <c r="AG83" i="122"/>
  <c r="AD81" i="122"/>
  <c r="CF77" i="122"/>
  <c r="AI224" i="122"/>
  <c r="BI220" i="122"/>
  <c r="BG67" i="122"/>
  <c r="AQ66" i="122"/>
  <c r="BF66" i="122" s="1"/>
  <c r="BD66" i="122" s="1"/>
  <c r="BH64" i="122"/>
  <c r="BY211" i="122"/>
  <c r="AH62" i="122"/>
  <c r="AN62" i="122" s="1"/>
  <c r="Q61" i="122"/>
  <c r="Q209" i="122" s="1"/>
  <c r="AF209" i="122" s="1"/>
  <c r="AL209" i="122" s="1"/>
  <c r="BI206" i="122"/>
  <c r="S223" i="122"/>
  <c r="AH223" i="122" s="1"/>
  <c r="AN223" i="122" s="1"/>
  <c r="AK198" i="122"/>
  <c r="AK101" i="122"/>
  <c r="O94" i="122"/>
  <c r="AL91" i="122"/>
  <c r="BG91" i="122"/>
  <c r="AQ89" i="122"/>
  <c r="BO89" i="122" s="1"/>
  <c r="BA213" i="122"/>
  <c r="BA164" i="122"/>
  <c r="AJ79" i="122"/>
  <c r="BH78" i="122"/>
  <c r="R226" i="122"/>
  <c r="AG226" i="122" s="1"/>
  <c r="AM226" i="122" s="1"/>
  <c r="Q74" i="122"/>
  <c r="Q226" i="122" s="1"/>
  <c r="AF226" i="122" s="1"/>
  <c r="AH220" i="122"/>
  <c r="AC206" i="122"/>
  <c r="AI206" i="122" s="1"/>
  <c r="AI58" i="122"/>
  <c r="Q57" i="122"/>
  <c r="Q205" i="122" s="1"/>
  <c r="AF205" i="122" s="1"/>
  <c r="BY156" i="122"/>
  <c r="AU227" i="122"/>
  <c r="N221" i="122"/>
  <c r="AP36" i="122"/>
  <c r="BH216" i="122"/>
  <c r="BH32" i="122"/>
  <c r="AM32" i="122"/>
  <c r="BE103" i="122"/>
  <c r="BD103" i="122" s="1"/>
  <c r="AN95" i="122"/>
  <c r="AI80" i="122"/>
  <c r="AN59" i="122"/>
  <c r="BI59" i="122"/>
  <c r="AN57" i="122"/>
  <c r="BI57" i="122"/>
  <c r="BG55" i="122"/>
  <c r="CF46" i="122"/>
  <c r="AC221" i="122"/>
  <c r="AI37" i="122"/>
  <c r="AH36" i="122"/>
  <c r="AN36" i="122" s="1"/>
  <c r="BI35" i="122"/>
  <c r="R200" i="122"/>
  <c r="AG200" i="122" s="1"/>
  <c r="Q32" i="122"/>
  <c r="Q200" i="122" s="1"/>
  <c r="AF200" i="122" s="1"/>
  <c r="AC163" i="122"/>
  <c r="CF27" i="122"/>
  <c r="AI26" i="122"/>
  <c r="AI12" i="122"/>
  <c r="BH12" i="122"/>
  <c r="BS145" i="122"/>
  <c r="BS182" i="122" s="1"/>
  <c r="BS127" i="122"/>
  <c r="O145" i="122"/>
  <c r="N9" i="122"/>
  <c r="N145" i="122" s="1"/>
  <c r="N182" i="122" s="1"/>
  <c r="AJ9" i="122"/>
  <c r="AH81" i="122"/>
  <c r="AI54" i="122"/>
  <c r="BF52" i="122"/>
  <c r="CE44" i="122"/>
  <c r="CH44" i="122" s="1"/>
  <c r="CA222" i="122"/>
  <c r="CA29" i="122"/>
  <c r="V161" i="122"/>
  <c r="AT43" i="123" s="1"/>
  <c r="AT63" i="123" s="1"/>
  <c r="V21" i="122"/>
  <c r="T29" i="122"/>
  <c r="AC159" i="122"/>
  <c r="AC160" i="122" s="1"/>
  <c r="AC28" i="122"/>
  <c r="AI27" i="122"/>
  <c r="BN24" i="122"/>
  <c r="B65" i="122"/>
  <c r="AG65" i="122"/>
  <c r="AN50" i="122"/>
  <c r="BI50" i="122"/>
  <c r="AH42" i="122"/>
  <c r="AN42" i="122" s="1"/>
  <c r="B223" i="122"/>
  <c r="BY38" i="122"/>
  <c r="BB222" i="122"/>
  <c r="AD222" i="122"/>
  <c r="W217" i="122"/>
  <c r="AU161" i="122"/>
  <c r="AU165" i="122" s="1"/>
  <c r="S157" i="122"/>
  <c r="AQ39" i="123" s="1"/>
  <c r="AH25" i="122"/>
  <c r="AN25" i="122" s="1"/>
  <c r="AJ155" i="122"/>
  <c r="BH24" i="122"/>
  <c r="AM24" i="122"/>
  <c r="CG16" i="122"/>
  <c r="CJ16" i="122" s="1"/>
  <c r="B14" i="122"/>
  <c r="AG14" i="122"/>
  <c r="C148" i="122"/>
  <c r="AG12" i="122"/>
  <c r="B12" i="122"/>
  <c r="B148" i="122" s="1"/>
  <c r="BI11" i="122"/>
  <c r="BK147" i="122"/>
  <c r="CF147" i="122"/>
  <c r="CA127" i="122"/>
  <c r="BY127" i="122" s="1"/>
  <c r="AE127" i="122"/>
  <c r="AK127" i="122" s="1"/>
  <c r="O127" i="122"/>
  <c r="N127" i="122" s="1"/>
  <c r="AM53" i="122"/>
  <c r="BH53" i="122"/>
  <c r="CA49" i="122"/>
  <c r="CA40" i="122" s="1"/>
  <c r="AN32" i="122"/>
  <c r="BI32" i="122"/>
  <c r="AH31" i="122"/>
  <c r="AC162" i="122"/>
  <c r="BI158" i="122"/>
  <c r="BF97" i="122"/>
  <c r="R81" i="122"/>
  <c r="Q81" i="122" s="1"/>
  <c r="Q92" i="122"/>
  <c r="AM71" i="122"/>
  <c r="BH71" i="122"/>
  <c r="AC70" i="122"/>
  <c r="AI70" i="122" s="1"/>
  <c r="AK70" i="122"/>
  <c r="BY65" i="122"/>
  <c r="AN63" i="122"/>
  <c r="BI63" i="122"/>
  <c r="AJ208" i="122"/>
  <c r="BG51" i="122"/>
  <c r="AG50" i="122"/>
  <c r="P49" i="122"/>
  <c r="P40" i="122" s="1"/>
  <c r="AI47" i="122"/>
  <c r="J161" i="122"/>
  <c r="P43" i="123" s="1"/>
  <c r="P63" i="123" s="1"/>
  <c r="P68" i="123" s="1"/>
  <c r="H29" i="122"/>
  <c r="J21" i="122"/>
  <c r="F161" i="122"/>
  <c r="F43" i="123" s="1"/>
  <c r="F63" i="123" s="1"/>
  <c r="E29" i="122"/>
  <c r="BH34" i="122"/>
  <c r="B162" i="122"/>
  <c r="CG26" i="122"/>
  <c r="AC157" i="122"/>
  <c r="AI25" i="122"/>
  <c r="AC155" i="122"/>
  <c r="AI24" i="122"/>
  <c r="BY154" i="122"/>
  <c r="CC127" i="122"/>
  <c r="C9" i="122"/>
  <c r="BN9" i="122"/>
  <c r="AP9" i="122"/>
  <c r="R9" i="122"/>
  <c r="CC8" i="122"/>
  <c r="GA8" i="123" s="1"/>
  <c r="AD127" i="122"/>
  <c r="AI108" i="122"/>
  <c r="BY205" i="122"/>
  <c r="AN56" i="122"/>
  <c r="BI56" i="122"/>
  <c r="AH55" i="122"/>
  <c r="BC222" i="122"/>
  <c r="BC227" i="122" s="1"/>
  <c r="BC29" i="122"/>
  <c r="P217" i="122"/>
  <c r="AC153" i="122"/>
  <c r="CF146" i="122"/>
  <c r="AN12" i="122"/>
  <c r="AM27" i="122"/>
  <c r="AG155" i="122"/>
  <c r="AF24" i="122"/>
  <c r="BE24" i="122"/>
  <c r="BD132" i="122"/>
  <c r="BJ132" i="122" s="1"/>
  <c r="AL132" i="122"/>
  <c r="CE131" i="122"/>
  <c r="AH177" i="122"/>
  <c r="AN177" i="122" s="1"/>
  <c r="AQ122" i="122"/>
  <c r="BF122" i="122" s="1"/>
  <c r="BF177" i="122" s="1"/>
  <c r="AK176" i="122"/>
  <c r="BI121" i="122"/>
  <c r="BY169" i="122"/>
  <c r="AQ119" i="122"/>
  <c r="BF119" i="122" s="1"/>
  <c r="BF174" i="122" s="1"/>
  <c r="B90" i="122"/>
  <c r="AG90" i="122"/>
  <c r="CE130" i="122"/>
  <c r="AJ180" i="122"/>
  <c r="BH125" i="122"/>
  <c r="AH178" i="122"/>
  <c r="AQ123" i="122"/>
  <c r="BF123" i="122" s="1"/>
  <c r="BF178" i="122" s="1"/>
  <c r="AJ175" i="122"/>
  <c r="BH120" i="122"/>
  <c r="CA166" i="122"/>
  <c r="B70" i="122"/>
  <c r="C49" i="122"/>
  <c r="AG70" i="122"/>
  <c r="BB170" i="122"/>
  <c r="BA115" i="122"/>
  <c r="BA170" i="122" s="1"/>
  <c r="BY225" i="122"/>
  <c r="AC220" i="122"/>
  <c r="AI220" i="122" s="1"/>
  <c r="AI68" i="122"/>
  <c r="AM88" i="122"/>
  <c r="BH88" i="122"/>
  <c r="AN87" i="122"/>
  <c r="BI87" i="122"/>
  <c r="AQ82" i="122"/>
  <c r="BO82" i="122" s="1"/>
  <c r="AN82" i="122"/>
  <c r="AF82" i="122"/>
  <c r="BH63" i="122"/>
  <c r="AM63" i="122"/>
  <c r="BI210" i="122"/>
  <c r="AN210" i="122"/>
  <c r="BH204" i="122"/>
  <c r="AP53" i="122"/>
  <c r="BE53" i="122" s="1"/>
  <c r="BH223" i="122"/>
  <c r="AQ37" i="122"/>
  <c r="BF37" i="122" s="1"/>
  <c r="AD217" i="122"/>
  <c r="AC35" i="122"/>
  <c r="AJ35" i="122"/>
  <c r="AM200" i="122"/>
  <c r="AJ171" i="122"/>
  <c r="BH116" i="122"/>
  <c r="Q107" i="122"/>
  <c r="AN103" i="122"/>
  <c r="BI103" i="122"/>
  <c r="BS75" i="122"/>
  <c r="BZ75" i="122"/>
  <c r="AI90" i="122"/>
  <c r="BN82" i="122"/>
  <c r="BI226" i="122"/>
  <c r="CG226" i="122" s="1"/>
  <c r="AN226" i="122"/>
  <c r="AQ73" i="122"/>
  <c r="BF73" i="122" s="1"/>
  <c r="BN67" i="122"/>
  <c r="AQ67" i="122"/>
  <c r="BO67" i="122" s="1"/>
  <c r="BN218" i="122"/>
  <c r="CC218" i="122" s="1"/>
  <c r="AI218" i="122"/>
  <c r="CJ30" i="122"/>
  <c r="AM104" i="122"/>
  <c r="BH104" i="122"/>
  <c r="CA94" i="122"/>
  <c r="BP94" i="122"/>
  <c r="CI99" i="122"/>
  <c r="S96" i="122"/>
  <c r="Q96" i="122" s="1"/>
  <c r="B96" i="122"/>
  <c r="BL91" i="122"/>
  <c r="BI90" i="122"/>
  <c r="CG90" i="122" s="1"/>
  <c r="CJ90" i="122" s="1"/>
  <c r="AN90" i="122"/>
  <c r="AH164" i="122"/>
  <c r="AN164" i="122" s="1"/>
  <c r="AQ85" i="122"/>
  <c r="AM198" i="122"/>
  <c r="BH198" i="122"/>
  <c r="CF198" i="122" s="1"/>
  <c r="O40" i="122"/>
  <c r="AN221" i="122"/>
  <c r="BI221" i="122"/>
  <c r="CG221" i="122" s="1"/>
  <c r="BI33" i="122"/>
  <c r="AC154" i="122"/>
  <c r="AI23" i="122"/>
  <c r="AI10" i="122"/>
  <c r="BH10" i="122"/>
  <c r="W145" i="122"/>
  <c r="W182" i="122" s="1"/>
  <c r="W127" i="122"/>
  <c r="AN97" i="122"/>
  <c r="BI97" i="122"/>
  <c r="AC65" i="122"/>
  <c r="AI65" i="122" s="1"/>
  <c r="AJ65" i="122"/>
  <c r="BG52" i="122"/>
  <c r="BN96" i="122"/>
  <c r="CG214" i="122"/>
  <c r="BI79" i="122"/>
  <c r="CG78" i="122"/>
  <c r="R220" i="122"/>
  <c r="AG220" i="122" s="1"/>
  <c r="Q68" i="122"/>
  <c r="Q220" i="122" s="1"/>
  <c r="AF220" i="122" s="1"/>
  <c r="BK55" i="122"/>
  <c r="BS40" i="122"/>
  <c r="R223" i="122"/>
  <c r="AG223" i="122" s="1"/>
  <c r="AM223" i="122" s="1"/>
  <c r="Q39" i="122"/>
  <c r="Q223" i="122" s="1"/>
  <c r="R38" i="122"/>
  <c r="BY29" i="122"/>
  <c r="BZ21" i="122"/>
  <c r="BH38" i="122"/>
  <c r="R221" i="122"/>
  <c r="AG221" i="122" s="1"/>
  <c r="AM221" i="122" s="1"/>
  <c r="Q37" i="122"/>
  <c r="Q221" i="122" s="1"/>
  <c r="AF221" i="122" s="1"/>
  <c r="BA198" i="122"/>
  <c r="BA162" i="122"/>
  <c r="AJ162" i="122"/>
  <c r="BH30" i="122"/>
  <c r="CB159" i="122"/>
  <c r="AK155" i="122"/>
  <c r="AN24" i="122"/>
  <c r="BI24" i="122"/>
  <c r="CG12" i="122"/>
  <c r="CJ12" i="122" s="1"/>
  <c r="BL12" i="122"/>
  <c r="BZ145" i="122"/>
  <c r="BZ182" i="122" s="1"/>
  <c r="BY9" i="122"/>
  <c r="BY145" i="122" s="1"/>
  <c r="BY182" i="122" s="1"/>
  <c r="Z145" i="122"/>
  <c r="Z182" i="122" s="1"/>
  <c r="Z127" i="122"/>
  <c r="AC205" i="122"/>
  <c r="AI205" i="122" s="1"/>
  <c r="AI57" i="122"/>
  <c r="BY202" i="122"/>
  <c r="BH202" i="122"/>
  <c r="CF202" i="122" s="1"/>
  <c r="AM202" i="122"/>
  <c r="CE216" i="122"/>
  <c r="CF148" i="122"/>
  <c r="BN91" i="122"/>
  <c r="AP90" i="122"/>
  <c r="AO91" i="122"/>
  <c r="S49" i="122"/>
  <c r="AC208" i="122"/>
  <c r="AI208" i="122" s="1"/>
  <c r="AI60" i="122"/>
  <c r="BS49" i="122"/>
  <c r="BI48" i="122"/>
  <c r="CG47" i="122"/>
  <c r="BY200" i="122"/>
  <c r="BO23" i="122"/>
  <c r="BG22" i="122"/>
  <c r="AC201" i="122"/>
  <c r="AI201" i="122" s="1"/>
  <c r="AI33" i="122"/>
  <c r="BG15" i="122"/>
  <c r="CF15" i="122"/>
  <c r="S159" i="122"/>
  <c r="AQ41" i="123" s="1"/>
  <c r="S28" i="122"/>
  <c r="BL15" i="122"/>
  <c r="CG15" i="122"/>
  <c r="CJ15" i="122" s="1"/>
  <c r="CF16" i="122"/>
  <c r="BG16" i="122"/>
  <c r="C217" i="122"/>
  <c r="BX181" i="122"/>
  <c r="BX183" i="122" s="1"/>
  <c r="BD131" i="122"/>
  <c r="BJ131" i="122" s="1"/>
  <c r="AL131" i="122"/>
  <c r="AH179" i="122"/>
  <c r="AN179" i="122" s="1"/>
  <c r="AQ124" i="122"/>
  <c r="AC176" i="122"/>
  <c r="AI121" i="122"/>
  <c r="AK174" i="122"/>
  <c r="BI119" i="122"/>
  <c r="AN119" i="122"/>
  <c r="AI117" i="122"/>
  <c r="AC172" i="122"/>
  <c r="BH169" i="122"/>
  <c r="CF114" i="122"/>
  <c r="AD166" i="122"/>
  <c r="AJ111" i="122"/>
  <c r="AC111" i="122"/>
  <c r="BI88" i="122"/>
  <c r="CA170" i="122"/>
  <c r="AK175" i="122"/>
  <c r="AN175" i="122" s="1"/>
  <c r="AN120" i="122"/>
  <c r="BI120" i="122"/>
  <c r="AJ173" i="122"/>
  <c r="BH118" i="122"/>
  <c r="BI215" i="122"/>
  <c r="BI73" i="122"/>
  <c r="AN73" i="122"/>
  <c r="AQ175" i="122"/>
  <c r="CP57" i="123" s="1"/>
  <c r="BO120" i="122"/>
  <c r="BO175" i="122" s="1"/>
  <c r="EO57" i="123" s="1"/>
  <c r="BW94" i="122"/>
  <c r="BZ101" i="122"/>
  <c r="BV101" i="122"/>
  <c r="BG102" i="122"/>
  <c r="CE102" i="122" s="1"/>
  <c r="CH102" i="122" s="1"/>
  <c r="AC215" i="122"/>
  <c r="AI215" i="122" s="1"/>
  <c r="AI88" i="122"/>
  <c r="BI164" i="122"/>
  <c r="BA81" i="122"/>
  <c r="BI80" i="122"/>
  <c r="AC211" i="122"/>
  <c r="AI211" i="122" s="1"/>
  <c r="AI63" i="122"/>
  <c r="BG209" i="122"/>
  <c r="AM54" i="122"/>
  <c r="BH54" i="122"/>
  <c r="S202" i="122"/>
  <c r="AH202" i="122" s="1"/>
  <c r="AH53" i="122"/>
  <c r="AN53" i="122" s="1"/>
  <c r="AK154" i="122"/>
  <c r="BI23" i="122"/>
  <c r="AN23" i="122"/>
  <c r="S22" i="122"/>
  <c r="AH22" i="122" s="1"/>
  <c r="AN22" i="122" s="1"/>
  <c r="B101" i="122"/>
  <c r="BE105" i="122"/>
  <c r="BK105" i="122" s="1"/>
  <c r="BY92" i="122"/>
  <c r="AH70" i="122"/>
  <c r="D49" i="122"/>
  <c r="AN68" i="122"/>
  <c r="BI68" i="122"/>
  <c r="AN64" i="122"/>
  <c r="D222" i="122"/>
  <c r="CI31" i="122"/>
  <c r="AO186" i="122"/>
  <c r="CN74" i="123" s="1"/>
  <c r="BM131" i="122"/>
  <c r="AQ104" i="122"/>
  <c r="BO104" i="122" s="1"/>
  <c r="N213" i="122"/>
  <c r="AI213" i="122" s="1"/>
  <c r="N164" i="122"/>
  <c r="AM69" i="122"/>
  <c r="BH69" i="122"/>
  <c r="S206" i="122"/>
  <c r="AH206" i="122" s="1"/>
  <c r="AH58" i="122"/>
  <c r="AN58" i="122" s="1"/>
  <c r="BH203" i="122"/>
  <c r="AM203" i="122"/>
  <c r="BI36" i="122"/>
  <c r="AQ34" i="122"/>
  <c r="BF34" i="122" s="1"/>
  <c r="BL34" i="122" s="1"/>
  <c r="D155" i="122"/>
  <c r="D37" i="123" s="1"/>
  <c r="B37" i="123" s="1"/>
  <c r="CG95" i="122"/>
  <c r="CJ95" i="122" s="1"/>
  <c r="BI223" i="122"/>
  <c r="CG223" i="122" s="1"/>
  <c r="B219" i="122"/>
  <c r="BG31" i="122"/>
  <c r="BI147" i="122"/>
  <c r="AE222" i="122"/>
  <c r="AK38" i="122"/>
  <c r="AE29" i="122"/>
  <c r="CB155" i="122"/>
  <c r="AF13" i="122"/>
  <c r="BE13" i="122"/>
  <c r="BD13" i="122" s="1"/>
  <c r="BH100" i="122"/>
  <c r="BY90" i="122"/>
  <c r="AG68" i="122"/>
  <c r="AN65" i="122"/>
  <c r="BI65" i="122"/>
  <c r="AG59" i="122"/>
  <c r="AM59" i="122" s="1"/>
  <c r="CG43" i="122"/>
  <c r="CJ43" i="122" s="1"/>
  <c r="K227" i="122"/>
  <c r="AG39" i="122"/>
  <c r="AC38" i="122"/>
  <c r="AG37" i="122"/>
  <c r="N157" i="122"/>
  <c r="CG10" i="122"/>
  <c r="CJ10" i="122" s="1"/>
  <c r="BL10" i="122"/>
  <c r="AP58" i="122"/>
  <c r="BE58" i="122" s="1"/>
  <c r="AM58" i="122"/>
  <c r="AC200" i="122"/>
  <c r="AI32" i="122"/>
  <c r="BG30" i="122"/>
  <c r="BE91" i="122"/>
  <c r="BD91" i="122" s="1"/>
  <c r="AF89" i="122"/>
  <c r="AL89" i="122" s="1"/>
  <c r="AP89" i="122"/>
  <c r="AN66" i="122"/>
  <c r="BI66" i="122"/>
  <c r="AF64" i="122"/>
  <c r="R51" i="122"/>
  <c r="R49" i="122" s="1"/>
  <c r="B51" i="122"/>
  <c r="B199" i="122" s="1"/>
  <c r="R47" i="122"/>
  <c r="AG47" i="122" s="1"/>
  <c r="B47" i="122"/>
  <c r="O222" i="122"/>
  <c r="O29" i="122"/>
  <c r="N38" i="122"/>
  <c r="N222" i="122" s="1"/>
  <c r="BL13" i="122"/>
  <c r="CG13" i="122"/>
  <c r="CJ13" i="122" s="1"/>
  <c r="AN148" i="122"/>
  <c r="BI148" i="122"/>
  <c r="BG148" i="122" s="1"/>
  <c r="BI146" i="122"/>
  <c r="BG146" i="122" s="1"/>
  <c r="AN146" i="122"/>
  <c r="BH108" i="122"/>
  <c r="AC204" i="122"/>
  <c r="AI204" i="122" s="1"/>
  <c r="AI56" i="122"/>
  <c r="BY184" i="122"/>
  <c r="AL187" i="122"/>
  <c r="AZ181" i="122"/>
  <c r="AZ183" i="122" s="1"/>
  <c r="CD176" i="122"/>
  <c r="D121" i="122"/>
  <c r="BY178" i="122"/>
  <c r="BY176" i="122"/>
  <c r="AC174" i="122"/>
  <c r="AI119" i="122"/>
  <c r="AK172" i="122"/>
  <c r="AN172" i="122" s="1"/>
  <c r="BI117" i="122"/>
  <c r="AN117" i="122"/>
  <c r="AC169" i="122"/>
  <c r="AI114" i="122"/>
  <c r="AL130" i="122"/>
  <c r="BZ170" i="122"/>
  <c r="BY115" i="122"/>
  <c r="B92" i="122"/>
  <c r="AG92" i="122"/>
  <c r="C81" i="122"/>
  <c r="S215" i="122"/>
  <c r="AH215" i="122" s="1"/>
  <c r="AN215" i="122" s="1"/>
  <c r="AH88" i="122"/>
  <c r="AF88" i="122" s="1"/>
  <c r="BH214" i="122"/>
  <c r="AM214" i="122"/>
  <c r="AK180" i="122"/>
  <c r="BI125" i="122"/>
  <c r="AN122" i="122"/>
  <c r="S172" i="122"/>
  <c r="AQ54" i="123" s="1"/>
  <c r="AQ171" i="122"/>
  <c r="CP53" i="123" s="1"/>
  <c r="BO116" i="122"/>
  <c r="AE170" i="122"/>
  <c r="AK115" i="122"/>
  <c r="BY167" i="122"/>
  <c r="AQ109" i="122"/>
  <c r="BY226" i="122"/>
  <c r="CF225" i="122"/>
  <c r="CG61" i="122"/>
  <c r="CJ61" i="122" s="1"/>
  <c r="BY173" i="122"/>
  <c r="AC173" i="122"/>
  <c r="AI118" i="122"/>
  <c r="BB166" i="122"/>
  <c r="BA111" i="122"/>
  <c r="BA166" i="122" s="1"/>
  <c r="AQ99" i="122"/>
  <c r="BF99" i="122" s="1"/>
  <c r="BL99" i="122" s="1"/>
  <c r="AH100" i="122"/>
  <c r="AN100" i="122" s="1"/>
  <c r="BH87" i="122"/>
  <c r="AM87" i="122"/>
  <c r="AQ78" i="122"/>
  <c r="AH79" i="122"/>
  <c r="AN79" i="122" s="1"/>
  <c r="BH74" i="122"/>
  <c r="AM74" i="122"/>
  <c r="AC225" i="122"/>
  <c r="AI225" i="122" s="1"/>
  <c r="AI73" i="122"/>
  <c r="BY220" i="122"/>
  <c r="AC210" i="122"/>
  <c r="AI210" i="122" s="1"/>
  <c r="AI62" i="122"/>
  <c r="BI208" i="122"/>
  <c r="AN208" i="122"/>
  <c r="AH101" i="122"/>
  <c r="D94" i="122"/>
  <c r="AH106" i="122"/>
  <c r="AF106" i="122" s="1"/>
  <c r="AN104" i="122"/>
  <c r="AL103" i="122"/>
  <c r="R99" i="122"/>
  <c r="AG99" i="122" s="1"/>
  <c r="B99" i="122"/>
  <c r="AQ93" i="122"/>
  <c r="BF93" i="122" s="1"/>
  <c r="BL93" i="122" s="1"/>
  <c r="AU75" i="122"/>
  <c r="BB75" i="122"/>
  <c r="AQ90" i="122"/>
  <c r="BF90" i="122" s="1"/>
  <c r="BO91" i="122"/>
  <c r="BO90" i="122" s="1"/>
  <c r="CF215" i="122"/>
  <c r="AC214" i="122"/>
  <c r="AI214" i="122" s="1"/>
  <c r="AI87" i="122"/>
  <c r="BG84" i="122"/>
  <c r="AL84" i="122"/>
  <c r="BH72" i="122"/>
  <c r="AJ218" i="122"/>
  <c r="R211" i="122"/>
  <c r="AG211" i="122" s="1"/>
  <c r="AM211" i="122" s="1"/>
  <c r="Q63" i="122"/>
  <c r="Q211" i="122" s="1"/>
  <c r="AF211" i="122" s="1"/>
  <c r="BI62" i="122"/>
  <c r="AP61" i="122"/>
  <c r="BE61" i="122" s="1"/>
  <c r="AF61" i="122"/>
  <c r="AL61" i="122" s="1"/>
  <c r="AQ61" i="122"/>
  <c r="BF61" i="122" s="1"/>
  <c r="BL61" i="122" s="1"/>
  <c r="AN61" i="122"/>
  <c r="AP208" i="122"/>
  <c r="BN60" i="122"/>
  <c r="AJ207" i="122"/>
  <c r="AP57" i="122"/>
  <c r="BE57" i="122" s="1"/>
  <c r="AQ56" i="122"/>
  <c r="BF56" i="122" s="1"/>
  <c r="BI53" i="122"/>
  <c r="AQ39" i="122"/>
  <c r="BF39" i="122" s="1"/>
  <c r="AX217" i="122"/>
  <c r="S201" i="122"/>
  <c r="AH201" i="122" s="1"/>
  <c r="AH33" i="122"/>
  <c r="AF33" i="122" s="1"/>
  <c r="AQ32" i="122"/>
  <c r="BF32" i="122" s="1"/>
  <c r="BG129" i="122"/>
  <c r="AJ179" i="122"/>
  <c r="BH124" i="122"/>
  <c r="Q106" i="122"/>
  <c r="B106" i="122"/>
  <c r="AP102" i="122"/>
  <c r="BE102" i="122" s="1"/>
  <c r="BG96" i="122"/>
  <c r="BX75" i="122"/>
  <c r="CA81" i="122"/>
  <c r="AP87" i="122"/>
  <c r="BE87" i="122" s="1"/>
  <c r="AF87" i="122"/>
  <c r="AN74" i="122"/>
  <c r="BI74" i="122"/>
  <c r="AI66" i="122"/>
  <c r="BA65" i="122"/>
  <c r="AJ212" i="122"/>
  <c r="AQ59" i="122"/>
  <c r="BY206" i="122"/>
  <c r="CF117" i="122"/>
  <c r="AA94" i="122"/>
  <c r="AD101" i="122"/>
  <c r="Z101" i="122"/>
  <c r="AE94" i="122"/>
  <c r="T94" i="122"/>
  <c r="E101" i="122"/>
  <c r="BH95" i="122"/>
  <c r="BK86" i="122"/>
  <c r="BK82" i="122"/>
  <c r="CE76" i="122"/>
  <c r="AJ70" i="122"/>
  <c r="AQ68" i="122"/>
  <c r="BY218" i="122"/>
  <c r="AF66" i="122"/>
  <c r="BH206" i="122"/>
  <c r="CF206" i="122" s="1"/>
  <c r="BH56" i="122"/>
  <c r="AM56" i="122"/>
  <c r="Q53" i="122"/>
  <c r="Q202" i="122" s="1"/>
  <c r="AF202" i="122" s="1"/>
  <c r="AQ47" i="122"/>
  <c r="BF47" i="122" s="1"/>
  <c r="AK156" i="122"/>
  <c r="BI42" i="122"/>
  <c r="N223" i="122"/>
  <c r="BY219" i="122"/>
  <c r="AC219" i="122"/>
  <c r="AI219" i="122" s="1"/>
  <c r="AI36" i="122"/>
  <c r="BP217" i="122"/>
  <c r="BP227" i="122" s="1"/>
  <c r="N200" i="122"/>
  <c r="BU161" i="122"/>
  <c r="FA43" i="123" s="1"/>
  <c r="AF104" i="122"/>
  <c r="AL104" i="122" s="1"/>
  <c r="AP104" i="122"/>
  <c r="BE104" i="122" s="1"/>
  <c r="R78" i="122"/>
  <c r="AG78" i="122" s="1"/>
  <c r="B78" i="122"/>
  <c r="AQ76" i="122"/>
  <c r="BF76" i="122" s="1"/>
  <c r="BL76" i="122" s="1"/>
  <c r="E75" i="122"/>
  <c r="BI41" i="122"/>
  <c r="AC223" i="122"/>
  <c r="AI39" i="122"/>
  <c r="AX227" i="122"/>
  <c r="AN37" i="122"/>
  <c r="BI37" i="122"/>
  <c r="D217" i="122"/>
  <c r="AH35" i="122"/>
  <c r="AE217" i="122"/>
  <c r="AK217" i="122" s="1"/>
  <c r="AI34" i="122"/>
  <c r="AP32" i="122"/>
  <c r="BE32" i="122" s="1"/>
  <c r="AF32" i="122"/>
  <c r="AC199" i="122"/>
  <c r="BY159" i="122"/>
  <c r="BY160" i="122" s="1"/>
  <c r="BY28" i="122"/>
  <c r="Z160" i="122"/>
  <c r="BY157" i="122"/>
  <c r="AJ154" i="122"/>
  <c r="BH23" i="122"/>
  <c r="BT126" i="122"/>
  <c r="R148" i="122"/>
  <c r="Q12" i="122"/>
  <c r="Q148" i="122" s="1"/>
  <c r="BN146" i="122"/>
  <c r="BM10" i="122"/>
  <c r="BM146" i="122" s="1"/>
  <c r="AU145" i="122"/>
  <c r="AU182" i="122" s="1"/>
  <c r="AU127" i="122"/>
  <c r="K145" i="122"/>
  <c r="K182" i="122" s="1"/>
  <c r="K127" i="122"/>
  <c r="BG97" i="122"/>
  <c r="CE97" i="122" s="1"/>
  <c r="AH92" i="122"/>
  <c r="U40" i="122"/>
  <c r="T49" i="122"/>
  <c r="AD49" i="122"/>
  <c r="AI203" i="122"/>
  <c r="AM44" i="122"/>
  <c r="BH44" i="122"/>
  <c r="BR161" i="122"/>
  <c r="ER43" i="123" s="1"/>
  <c r="BP29" i="122"/>
  <c r="BP161" i="122" s="1"/>
  <c r="BP165" i="122" s="1"/>
  <c r="BR21" i="122"/>
  <c r="AK173" i="122"/>
  <c r="BI118" i="122"/>
  <c r="BH106" i="122"/>
  <c r="AM106" i="122"/>
  <c r="CG91" i="122"/>
  <c r="CJ91" i="122" s="1"/>
  <c r="BY214" i="122"/>
  <c r="AC207" i="122"/>
  <c r="AI207" i="122" s="1"/>
  <c r="AI59" i="122"/>
  <c r="CF51" i="122"/>
  <c r="CI51" i="122" s="1"/>
  <c r="AI45" i="122"/>
  <c r="BG43" i="122"/>
  <c r="S29" i="122"/>
  <c r="AH29" i="122" s="1"/>
  <c r="C222" i="122"/>
  <c r="AG38" i="122"/>
  <c r="AM38" i="122" s="1"/>
  <c r="B38" i="122"/>
  <c r="BZ222" i="122"/>
  <c r="AD29" i="122"/>
  <c r="Q36" i="122"/>
  <c r="Q219" i="122" s="1"/>
  <c r="N198" i="122"/>
  <c r="N162" i="122"/>
  <c r="AH162" i="122"/>
  <c r="AQ30" i="122"/>
  <c r="AV161" i="122"/>
  <c r="DA43" i="123" s="1"/>
  <c r="BF23" i="122"/>
  <c r="AK153" i="122"/>
  <c r="BI22" i="122"/>
  <c r="AB126" i="122"/>
  <c r="AB128" i="122" s="1"/>
  <c r="AG16" i="122"/>
  <c r="B16" i="122"/>
  <c r="BE11" i="122"/>
  <c r="AI147" i="122"/>
  <c r="C146" i="122"/>
  <c r="AG10" i="122"/>
  <c r="AM10" i="122" s="1"/>
  <c r="B10" i="122"/>
  <c r="B146" i="122" s="1"/>
  <c r="BB145" i="122"/>
  <c r="BB182" i="122" s="1"/>
  <c r="BA9" i="122"/>
  <c r="BA145" i="122" s="1"/>
  <c r="BA182" i="122" s="1"/>
  <c r="AD145" i="122"/>
  <c r="AD182" i="122" s="1"/>
  <c r="AC9" i="122"/>
  <c r="AC145" i="122" s="1"/>
  <c r="AC182" i="122" s="1"/>
  <c r="AO84" i="122"/>
  <c r="BN84" i="122"/>
  <c r="BM84" i="122" s="1"/>
  <c r="R206" i="122"/>
  <c r="AG206" i="122" s="1"/>
  <c r="AM206" i="122" s="1"/>
  <c r="Q58" i="122"/>
  <c r="Q206" i="122" s="1"/>
  <c r="AF206" i="122" s="1"/>
  <c r="AM57" i="122"/>
  <c r="BH57" i="122"/>
  <c r="AN54" i="122"/>
  <c r="AC202" i="122"/>
  <c r="AI202" i="122" s="1"/>
  <c r="AI53" i="122"/>
  <c r="CE46" i="122"/>
  <c r="BY223" i="122"/>
  <c r="BI200" i="122"/>
  <c r="CG200" i="122" s="1"/>
  <c r="AN200" i="122"/>
  <c r="AC198" i="122"/>
  <c r="BZ81" i="122"/>
  <c r="AQ77" i="122"/>
  <c r="BO77" i="122" s="1"/>
  <c r="AI71" i="122"/>
  <c r="I40" i="122"/>
  <c r="H49" i="122"/>
  <c r="BK67" i="122"/>
  <c r="BI211" i="122"/>
  <c r="BY204" i="122"/>
  <c r="BI44" i="122"/>
  <c r="BS222" i="122"/>
  <c r="BS227" i="122" s="1"/>
  <c r="P222" i="122"/>
  <c r="P29" i="122"/>
  <c r="AM36" i="122"/>
  <c r="CA217" i="122"/>
  <c r="AV126" i="122"/>
  <c r="AP148" i="122"/>
  <c r="AO12" i="122"/>
  <c r="AO148" i="122" s="1"/>
  <c r="BH11" i="122"/>
  <c r="AM11" i="122"/>
  <c r="AI11" i="122"/>
  <c r="AP146" i="122"/>
  <c r="AO10" i="122"/>
  <c r="AO146" i="122" s="1"/>
  <c r="AK9" i="122"/>
  <c r="AK81" i="122"/>
  <c r="BI204" i="122"/>
  <c r="CG204" i="122" s="1"/>
  <c r="BF43" i="122"/>
  <c r="BL43" i="122" s="1"/>
  <c r="AT161" i="122"/>
  <c r="CS43" i="123" s="1"/>
  <c r="AR29" i="122"/>
  <c r="AR161" i="122" s="1"/>
  <c r="AR165" i="122" s="1"/>
  <c r="AT21" i="122"/>
  <c r="G161" i="122"/>
  <c r="G43" i="123" s="1"/>
  <c r="G63" i="123" s="1"/>
  <c r="G21" i="122"/>
  <c r="AM33" i="122"/>
  <c r="BH33" i="122"/>
  <c r="AK163" i="122"/>
  <c r="AN30" i="122"/>
  <c r="AN26" i="122"/>
  <c r="CG8" i="122"/>
  <c r="BY153" i="122"/>
  <c r="B35" i="122"/>
  <c r="B217" i="122" s="1"/>
  <c r="AJ28" i="122"/>
  <c r="R155" i="122"/>
  <c r="AP37" i="123" s="1"/>
  <c r="Q24" i="122"/>
  <c r="BG8" i="122"/>
  <c r="CF8" i="122"/>
  <c r="DQ19" i="121"/>
  <c r="DZ19" i="121" s="1"/>
  <c r="AE19" i="121"/>
  <c r="BR19" i="121"/>
  <c r="CA19" i="121" s="1"/>
  <c r="FP19" i="121"/>
  <c r="FY19" i="121" s="1"/>
  <c r="FP20" i="121"/>
  <c r="FY20" i="121" s="1"/>
  <c r="O12" i="121"/>
  <c r="N14" i="121"/>
  <c r="O36" i="121"/>
  <c r="AF9" i="121"/>
  <c r="AG10" i="121"/>
  <c r="CF9" i="121"/>
  <c r="BU10" i="121"/>
  <c r="BU11" i="121"/>
  <c r="AR38" i="121"/>
  <c r="AR37" i="121"/>
  <c r="DR15" i="121"/>
  <c r="DS37" i="121"/>
  <c r="DS38" i="121"/>
  <c r="CH9" i="121"/>
  <c r="CH11" i="121" s="1"/>
  <c r="AI10" i="121"/>
  <c r="AI11" i="121"/>
  <c r="GH15" i="121"/>
  <c r="DR16" i="121"/>
  <c r="DR19" i="121"/>
  <c r="AF16" i="121"/>
  <c r="CF16" i="121"/>
  <c r="EQ12" i="121"/>
  <c r="EQ36" i="121"/>
  <c r="EQ77" i="121"/>
  <c r="FS21" i="121"/>
  <c r="FS14" i="121" s="1"/>
  <c r="FS36" i="121" s="1"/>
  <c r="DA12" i="121"/>
  <c r="CZ14" i="121"/>
  <c r="CZ36" i="121" s="1"/>
  <c r="DA77" i="121"/>
  <c r="AI32" i="121"/>
  <c r="CS12" i="121"/>
  <c r="CS13" i="121" s="1"/>
  <c r="CS77" i="121"/>
  <c r="EY21" i="121"/>
  <c r="EG29" i="121"/>
  <c r="BD89" i="121"/>
  <c r="ED31" i="121"/>
  <c r="K37" i="121"/>
  <c r="EL29" i="121"/>
  <c r="GE29" i="121"/>
  <c r="GK29" i="121" s="1"/>
  <c r="EL33" i="121"/>
  <c r="GE33" i="121"/>
  <c r="GK33" i="121" s="1"/>
  <c r="FT76" i="121"/>
  <c r="CF19" i="121"/>
  <c r="AF19" i="121"/>
  <c r="DR35" i="121"/>
  <c r="FT55" i="121"/>
  <c r="ES76" i="121"/>
  <c r="CJ60" i="121"/>
  <c r="AK76" i="121"/>
  <c r="FT60" i="121"/>
  <c r="DU76" i="121"/>
  <c r="BV60" i="121"/>
  <c r="AU76" i="121"/>
  <c r="EH66" i="121"/>
  <c r="GG66" i="121" s="1"/>
  <c r="GF70" i="121"/>
  <c r="EG61" i="121"/>
  <c r="GF61" i="121" s="1"/>
  <c r="AP80" i="121"/>
  <c r="T80" i="121"/>
  <c r="AC80" i="121" s="1"/>
  <c r="GF86" i="121"/>
  <c r="GF85" i="121" s="1"/>
  <c r="EG85" i="121"/>
  <c r="CY79" i="121"/>
  <c r="DH79" i="121" s="1"/>
  <c r="EO79" i="121" s="1"/>
  <c r="FQ9" i="121"/>
  <c r="FR10" i="121"/>
  <c r="BS8" i="121"/>
  <c r="BS10" i="121" s="1"/>
  <c r="BT11" i="121"/>
  <c r="DS10" i="121"/>
  <c r="DR9" i="121"/>
  <c r="DS11" i="121"/>
  <c r="DK36" i="121"/>
  <c r="DK77" i="121"/>
  <c r="BB12" i="121"/>
  <c r="BA14" i="121"/>
  <c r="BA36" i="121" s="1"/>
  <c r="BB36" i="121"/>
  <c r="BB77" i="121"/>
  <c r="CZ38" i="121"/>
  <c r="CZ37" i="121"/>
  <c r="DT40" i="121"/>
  <c r="AT36" i="121"/>
  <c r="AT77" i="121"/>
  <c r="DB36" i="121"/>
  <c r="DB77" i="121"/>
  <c r="BR18" i="121"/>
  <c r="CD18" i="121" s="1"/>
  <c r="AK12" i="121"/>
  <c r="AK13" i="121" s="1"/>
  <c r="AK77" i="121"/>
  <c r="AK84" i="121" s="1"/>
  <c r="FQ18" i="121"/>
  <c r="BS16" i="121"/>
  <c r="EY39" i="121"/>
  <c r="Y14" i="121"/>
  <c r="W21" i="121"/>
  <c r="W39" i="121" s="1"/>
  <c r="EY38" i="121"/>
  <c r="EY37" i="121"/>
  <c r="BS18" i="121"/>
  <c r="CG20" i="121"/>
  <c r="DR20" i="121"/>
  <c r="BR20" i="121"/>
  <c r="CA20" i="121" s="1"/>
  <c r="AE20" i="121"/>
  <c r="EH22" i="121"/>
  <c r="CI21" i="121"/>
  <c r="BA21" i="121"/>
  <c r="BA39" i="121" s="1"/>
  <c r="BB39" i="121"/>
  <c r="BS20" i="121"/>
  <c r="CF20" i="121"/>
  <c r="AH21" i="121"/>
  <c r="AH14" i="121" s="1"/>
  <c r="CG22" i="121"/>
  <c r="AF23" i="121"/>
  <c r="CF23" i="121"/>
  <c r="FQ23" i="121"/>
  <c r="DU32" i="121"/>
  <c r="DU39" i="121" s="1"/>
  <c r="DR22" i="121"/>
  <c r="DS21" i="121"/>
  <c r="DS39" i="121" s="1"/>
  <c r="DT21" i="121"/>
  <c r="BS23" i="121"/>
  <c r="CM28" i="121"/>
  <c r="EF28" i="121"/>
  <c r="DW36" i="121"/>
  <c r="DA36" i="121"/>
  <c r="BG37" i="121"/>
  <c r="AX37" i="121"/>
  <c r="GG50" i="121"/>
  <c r="DU55" i="121"/>
  <c r="CT76" i="121"/>
  <c r="GG60" i="121"/>
  <c r="CS36" i="121"/>
  <c r="Q76" i="121"/>
  <c r="GD34" i="121"/>
  <c r="CH53" i="121"/>
  <c r="AI54" i="121"/>
  <c r="AI66" i="121"/>
  <c r="CH66" i="121" s="1"/>
  <c r="EG66" i="121" s="1"/>
  <c r="GF66" i="121" s="1"/>
  <c r="DC89" i="121"/>
  <c r="AI81" i="121"/>
  <c r="AJ81" i="121"/>
  <c r="FV83" i="121"/>
  <c r="FK81" i="121"/>
  <c r="FT81" i="121" s="1"/>
  <c r="ED80" i="121"/>
  <c r="FU83" i="121"/>
  <c r="FB83" i="121"/>
  <c r="EG8" i="121"/>
  <c r="BC12" i="121"/>
  <c r="BC13" i="121" s="1"/>
  <c r="BC36" i="121"/>
  <c r="BC77" i="121"/>
  <c r="FR11" i="121"/>
  <c r="FQ8" i="121"/>
  <c r="DU10" i="121"/>
  <c r="DU11" i="121"/>
  <c r="AF8" i="121"/>
  <c r="CF8" i="121"/>
  <c r="AG11" i="121"/>
  <c r="DT11" i="121"/>
  <c r="AH11" i="121"/>
  <c r="CG8" i="121"/>
  <c r="BT10" i="121"/>
  <c r="BK12" i="121"/>
  <c r="BK36" i="121"/>
  <c r="BK77" i="121"/>
  <c r="CQ38" i="121"/>
  <c r="CQ37" i="121"/>
  <c r="DI14" i="121"/>
  <c r="DI36" i="121" s="1"/>
  <c r="DJ36" i="121"/>
  <c r="DJ77" i="121"/>
  <c r="DB12" i="121"/>
  <c r="DB13" i="121" s="1"/>
  <c r="BW77" i="121"/>
  <c r="BW78" i="121" s="1"/>
  <c r="DW12" i="121"/>
  <c r="DW13" i="121" s="1"/>
  <c r="DW77" i="121"/>
  <c r="DW78" i="121" s="1"/>
  <c r="BX77" i="121"/>
  <c r="BX78" i="121" s="1"/>
  <c r="AF15" i="121"/>
  <c r="AF38" i="121" s="1"/>
  <c r="CF15" i="121"/>
  <c r="CF37" i="121" s="1"/>
  <c r="AG38" i="121"/>
  <c r="AG37" i="121"/>
  <c r="FH14" i="121"/>
  <c r="FH36" i="121" s="1"/>
  <c r="FI12" i="121"/>
  <c r="FI77" i="121"/>
  <c r="DU17" i="121"/>
  <c r="FQ16" i="121"/>
  <c r="DR18" i="121"/>
  <c r="EZ36" i="121"/>
  <c r="P12" i="121"/>
  <c r="P13" i="121" s="1"/>
  <c r="P36" i="121"/>
  <c r="E21" i="121"/>
  <c r="E39" i="121" s="1"/>
  <c r="F39" i="121"/>
  <c r="BT21" i="121"/>
  <c r="BS22" i="121"/>
  <c r="FA12" i="121"/>
  <c r="FA13" i="121" s="1"/>
  <c r="FA77" i="121"/>
  <c r="CG15" i="121"/>
  <c r="EG21" i="121"/>
  <c r="GF22" i="121"/>
  <c r="GF21" i="121" s="1"/>
  <c r="DR23" i="121"/>
  <c r="CE28" i="121"/>
  <c r="EI35" i="121"/>
  <c r="FI36" i="121"/>
  <c r="CQ21" i="121"/>
  <c r="CQ39" i="121" s="1"/>
  <c r="EE28" i="121"/>
  <c r="GF47" i="121"/>
  <c r="CH50" i="121"/>
  <c r="EG50" i="121" s="1"/>
  <c r="GF50" i="121" s="1"/>
  <c r="CE32" i="121"/>
  <c r="BX36" i="121"/>
  <c r="BW36" i="121"/>
  <c r="AO37" i="121"/>
  <c r="CI55" i="121"/>
  <c r="AJ76" i="121"/>
  <c r="GH23" i="121"/>
  <c r="CI35" i="121"/>
  <c r="BS19" i="121"/>
  <c r="FT39" i="121"/>
  <c r="CH59" i="121"/>
  <c r="EG59" i="121" s="1"/>
  <c r="GF59" i="121" s="1"/>
  <c r="DU60" i="121"/>
  <c r="CH67" i="121"/>
  <c r="EG67" i="121" s="1"/>
  <c r="GF67" i="121" s="1"/>
  <c r="GD30" i="121"/>
  <c r="BV76" i="121"/>
  <c r="GH66" i="121"/>
  <c r="CE79" i="121"/>
  <c r="BW81" i="121"/>
  <c r="BD81" i="121"/>
  <c r="CD80" i="121"/>
  <c r="ES83" i="121"/>
  <c r="F12" i="121"/>
  <c r="E14" i="121"/>
  <c r="F36" i="121"/>
  <c r="F77" i="121"/>
  <c r="E77" i="121" s="1"/>
  <c r="FJ12" i="121"/>
  <c r="FJ13" i="121" s="1"/>
  <c r="FJ36" i="121"/>
  <c r="FJ77" i="121"/>
  <c r="BU40" i="121"/>
  <c r="BS40" i="121"/>
  <c r="DT10" i="121"/>
  <c r="FV12" i="121"/>
  <c r="FV13" i="121" s="1"/>
  <c r="FV77" i="121"/>
  <c r="FV78" i="121" s="1"/>
  <c r="DQ18" i="121"/>
  <c r="DZ18" i="121" s="1"/>
  <c r="W37" i="121"/>
  <c r="W38" i="121"/>
  <c r="CG19" i="121"/>
  <c r="FQ15" i="121"/>
  <c r="FR37" i="121"/>
  <c r="FR38" i="121"/>
  <c r="EE18" i="121"/>
  <c r="N21" i="121"/>
  <c r="N39" i="121" s="1"/>
  <c r="O39" i="121"/>
  <c r="AG21" i="121"/>
  <c r="CF22" i="121"/>
  <c r="AF22" i="121"/>
  <c r="FU14" i="121"/>
  <c r="FU39" i="121"/>
  <c r="CG18" i="121"/>
  <c r="CE18" i="121" s="1"/>
  <c r="AN18" i="121"/>
  <c r="BU21" i="121"/>
  <c r="BU14" i="121" s="1"/>
  <c r="DI21" i="121"/>
  <c r="DI39" i="121" s="1"/>
  <c r="DJ39" i="121"/>
  <c r="CG23" i="121"/>
  <c r="FQ20" i="121"/>
  <c r="ED30" i="121"/>
  <c r="AK36" i="121"/>
  <c r="DR40" i="121"/>
  <c r="FQ35" i="121"/>
  <c r="BV35" i="121"/>
  <c r="DL89" i="121"/>
  <c r="CH31" i="121"/>
  <c r="AI40" i="121"/>
  <c r="AI35" i="121"/>
  <c r="BV55" i="121"/>
  <c r="BM89" i="121"/>
  <c r="FQ22" i="121"/>
  <c r="CM32" i="121"/>
  <c r="EC32" i="121"/>
  <c r="FB76" i="121"/>
  <c r="DU35" i="121"/>
  <c r="DL81" i="121"/>
  <c r="DW83" i="121"/>
  <c r="DC81" i="121"/>
  <c r="DW81" i="121"/>
  <c r="EF79" i="121"/>
  <c r="AU81" i="121"/>
  <c r="BX81" i="121"/>
  <c r="CJ81" i="121" s="1"/>
  <c r="BM82" i="121"/>
  <c r="AD80" i="121"/>
  <c r="CT83" i="121"/>
  <c r="BR79" i="121"/>
  <c r="BL84" i="122" l="1"/>
  <c r="BF83" i="122"/>
  <c r="E34" i="132"/>
  <c r="E32" i="132" s="1"/>
  <c r="AN105" i="122"/>
  <c r="AF52" i="122"/>
  <c r="AL52" i="122" s="1"/>
  <c r="BE208" i="122"/>
  <c r="AU181" i="122"/>
  <c r="AU188" i="122" s="1"/>
  <c r="AF74" i="122"/>
  <c r="AN174" i="122"/>
  <c r="BG77" i="122"/>
  <c r="BG79" i="122" s="1"/>
  <c r="N94" i="122"/>
  <c r="AN67" i="122"/>
  <c r="AF109" i="122"/>
  <c r="AL109" i="122" s="1"/>
  <c r="Q35" i="122"/>
  <c r="AF60" i="122"/>
  <c r="AL60" i="122" s="1"/>
  <c r="AN162" i="122"/>
  <c r="AO69" i="122"/>
  <c r="AF148" i="122"/>
  <c r="BH13" i="122"/>
  <c r="BG13" i="122" s="1"/>
  <c r="BS161" i="122"/>
  <c r="BF67" i="122"/>
  <c r="BD67" i="122" s="1"/>
  <c r="BA127" i="122"/>
  <c r="AN199" i="122"/>
  <c r="AL86" i="122"/>
  <c r="CF121" i="122"/>
  <c r="CF176" i="122" s="1"/>
  <c r="BC63" i="123"/>
  <c r="BU63" i="123" s="1"/>
  <c r="AM224" i="122"/>
  <c r="BG85" i="122"/>
  <c r="BG164" i="122" s="1"/>
  <c r="W227" i="122"/>
  <c r="W181" i="122"/>
  <c r="W188" i="122" s="1"/>
  <c r="FK78" i="121"/>
  <c r="G126" i="122"/>
  <c r="B222" i="122"/>
  <c r="AI13" i="122"/>
  <c r="AN60" i="122"/>
  <c r="AQ60" i="122"/>
  <c r="AO60" i="122" s="1"/>
  <c r="AO208" i="122" s="1"/>
  <c r="BD208" i="122" s="1"/>
  <c r="BZ161" i="122"/>
  <c r="BZ181" i="122" s="1"/>
  <c r="BZ183" i="122" s="1"/>
  <c r="AF219" i="122"/>
  <c r="AL219" i="122" s="1"/>
  <c r="BD32" i="122"/>
  <c r="B155" i="122"/>
  <c r="BI162" i="122"/>
  <c r="CG14" i="122"/>
  <c r="CJ14" i="122" s="1"/>
  <c r="BG122" i="122"/>
  <c r="AF201" i="122"/>
  <c r="AL201" i="122" s="1"/>
  <c r="F34" i="133"/>
  <c r="AM213" i="122"/>
  <c r="DI42" i="121"/>
  <c r="DR42" i="121" s="1"/>
  <c r="DX42" i="121" s="1"/>
  <c r="DS42" i="121"/>
  <c r="DY42" i="121" s="1"/>
  <c r="BE69" i="122"/>
  <c r="BD69" i="122" s="1"/>
  <c r="AF58" i="122"/>
  <c r="AL58" i="122" s="1"/>
  <c r="P227" i="122"/>
  <c r="AG148" i="122"/>
  <c r="BN31" i="122"/>
  <c r="AK94" i="122"/>
  <c r="AF102" i="122"/>
  <c r="AL102" i="122" s="1"/>
  <c r="BL67" i="122"/>
  <c r="BM67" i="122"/>
  <c r="AP155" i="122"/>
  <c r="CO37" i="123" s="1"/>
  <c r="E94" i="122"/>
  <c r="AQ70" i="122"/>
  <c r="Z227" i="122"/>
  <c r="BL14" i="122"/>
  <c r="AL82" i="122"/>
  <c r="AI162" i="122"/>
  <c r="AI153" i="122"/>
  <c r="CE40" i="121"/>
  <c r="AR42" i="121"/>
  <c r="BS42" i="121" s="1"/>
  <c r="BY42" i="121" s="1"/>
  <c r="BT42" i="121"/>
  <c r="BZ42" i="121" s="1"/>
  <c r="CF35" i="121"/>
  <c r="EE35" i="121" s="1"/>
  <c r="GD35" i="121" s="1"/>
  <c r="E36" i="121"/>
  <c r="N160" i="122"/>
  <c r="N40" i="122"/>
  <c r="CF119" i="122"/>
  <c r="CF174" i="122" s="1"/>
  <c r="BG99" i="122"/>
  <c r="BG100" i="122" s="1"/>
  <c r="L181" i="122"/>
  <c r="L183" i="122" s="1"/>
  <c r="M181" i="122"/>
  <c r="M183" i="122" s="1"/>
  <c r="N49" i="122"/>
  <c r="K161" i="122"/>
  <c r="K165" i="122" s="1"/>
  <c r="AI199" i="122"/>
  <c r="BG199" i="122" s="1"/>
  <c r="AG42" i="121"/>
  <c r="CF42" i="121" s="1"/>
  <c r="AF42" i="121"/>
  <c r="AL42" i="121" s="1"/>
  <c r="BH159" i="122"/>
  <c r="H227" i="122"/>
  <c r="N101" i="122"/>
  <c r="CM42" i="121"/>
  <c r="EF42" i="121"/>
  <c r="AL10" i="122"/>
  <c r="BH48" i="122"/>
  <c r="BG103" i="122"/>
  <c r="BJ103" i="122" s="1"/>
  <c r="DI77" i="121"/>
  <c r="EG17" i="121"/>
  <c r="GF17" i="121" s="1"/>
  <c r="CJ12" i="121"/>
  <c r="CJ13" i="121" s="1"/>
  <c r="CJ36" i="121"/>
  <c r="GG10" i="121"/>
  <c r="ER77" i="121"/>
  <c r="EP77" i="121" s="1"/>
  <c r="AJ77" i="121"/>
  <c r="AJ78" i="121" s="1"/>
  <c r="DR10" i="121"/>
  <c r="EP14" i="121"/>
  <c r="EP36" i="121" s="1"/>
  <c r="X77" i="121"/>
  <c r="ER36" i="121"/>
  <c r="X36" i="121"/>
  <c r="CQ14" i="121"/>
  <c r="CQ36" i="121" s="1"/>
  <c r="W14" i="121"/>
  <c r="W36" i="121" s="1"/>
  <c r="DV12" i="121"/>
  <c r="DV13" i="121" s="1"/>
  <c r="CR12" i="121"/>
  <c r="CR13" i="121" s="1"/>
  <c r="EY14" i="121"/>
  <c r="EY36" i="121" s="1"/>
  <c r="EI11" i="121"/>
  <c r="CR77" i="121"/>
  <c r="CQ77" i="121" s="1"/>
  <c r="EZ12" i="121"/>
  <c r="EZ13" i="121" s="1"/>
  <c r="GD31" i="121"/>
  <c r="GJ31" i="121" s="1"/>
  <c r="GH21" i="121"/>
  <c r="BJ14" i="121"/>
  <c r="BJ36" i="121" s="1"/>
  <c r="FR39" i="121"/>
  <c r="EI21" i="121"/>
  <c r="EI14" i="121" s="1"/>
  <c r="CG40" i="121"/>
  <c r="EI10" i="121"/>
  <c r="DV77" i="121"/>
  <c r="DV78" i="121" s="1"/>
  <c r="DU14" i="121"/>
  <c r="DU12" i="121" s="1"/>
  <c r="DU13" i="121" s="1"/>
  <c r="AJ36" i="121"/>
  <c r="AI14" i="121"/>
  <c r="AI36" i="121" s="1"/>
  <c r="EF16" i="121"/>
  <c r="ED40" i="121" s="1"/>
  <c r="BJ77" i="121"/>
  <c r="BL36" i="121"/>
  <c r="N36" i="121"/>
  <c r="AR12" i="121"/>
  <c r="AR13" i="121" s="1"/>
  <c r="CH55" i="121"/>
  <c r="EG55" i="121" s="1"/>
  <c r="GF55" i="121" s="1"/>
  <c r="BS37" i="121"/>
  <c r="AS77" i="121"/>
  <c r="AR77" i="121" s="1"/>
  <c r="AR14" i="121"/>
  <c r="AR36" i="121" s="1"/>
  <c r="AS36" i="121"/>
  <c r="AH12" i="121"/>
  <c r="AH13" i="121" s="1"/>
  <c r="BL12" i="121"/>
  <c r="BL13" i="121" s="1"/>
  <c r="AF21" i="121"/>
  <c r="AF39" i="121" s="1"/>
  <c r="CH60" i="121"/>
  <c r="EG60" i="121" s="1"/>
  <c r="GF60" i="121" s="1"/>
  <c r="DU81" i="121"/>
  <c r="E227" i="122"/>
  <c r="AJ217" i="122"/>
  <c r="O227" i="122"/>
  <c r="AL106" i="122"/>
  <c r="E161" i="122"/>
  <c r="E165" i="122" s="1"/>
  <c r="BF86" i="122"/>
  <c r="Q217" i="122"/>
  <c r="AF217" i="122" s="1"/>
  <c r="AO71" i="122"/>
  <c r="BE71" i="122"/>
  <c r="BD71" i="122" s="1"/>
  <c r="BN71" i="122"/>
  <c r="BM71" i="122" s="1"/>
  <c r="AF72" i="122"/>
  <c r="AL72" i="122" s="1"/>
  <c r="AP72" i="122"/>
  <c r="BE72" i="122" s="1"/>
  <c r="AS165" i="122"/>
  <c r="CR47" i="123" s="1"/>
  <c r="CR43" i="123"/>
  <c r="AS181" i="122"/>
  <c r="AS183" i="122" s="1"/>
  <c r="B163" i="122"/>
  <c r="N43" i="123"/>
  <c r="N63" i="123" s="1"/>
  <c r="N76" i="123" s="1"/>
  <c r="O63" i="123"/>
  <c r="O68" i="123" s="1"/>
  <c r="N68" i="123" s="1"/>
  <c r="EL34" i="121"/>
  <c r="GB34" i="121"/>
  <c r="GK34" i="121" s="1"/>
  <c r="AR40" i="122"/>
  <c r="AS126" i="122"/>
  <c r="AS128" i="122" s="1"/>
  <c r="AS63" i="123"/>
  <c r="BT63" i="123" s="1"/>
  <c r="AR227" i="122"/>
  <c r="BA77" i="121"/>
  <c r="FQ10" i="121"/>
  <c r="BD186" i="122"/>
  <c r="BJ186" i="122" s="1"/>
  <c r="W94" i="122"/>
  <c r="X126" i="122"/>
  <c r="AQ118" i="122"/>
  <c r="BF118" i="122" s="1"/>
  <c r="AH173" i="122"/>
  <c r="AN173" i="122" s="1"/>
  <c r="BA49" i="122"/>
  <c r="BB40" i="122"/>
  <c r="BA40" i="122" s="1"/>
  <c r="BM82" i="122"/>
  <c r="Z161" i="122"/>
  <c r="Z165" i="122" s="1"/>
  <c r="BD187" i="122"/>
  <c r="BJ187" i="122" s="1"/>
  <c r="BP181" i="122"/>
  <c r="BP183" i="122" s="1"/>
  <c r="AP64" i="122"/>
  <c r="BE64" i="122" s="1"/>
  <c r="Y63" i="123"/>
  <c r="AH63" i="123" s="1"/>
  <c r="AQ63" i="122"/>
  <c r="BF63" i="122" s="1"/>
  <c r="BL63" i="122" s="1"/>
  <c r="AG14" i="121"/>
  <c r="AG36" i="121" s="1"/>
  <c r="DQ79" i="121"/>
  <c r="DZ79" i="121" s="1"/>
  <c r="AH75" i="122"/>
  <c r="AN75" i="122" s="1"/>
  <c r="AO24" i="122"/>
  <c r="AH125" i="122"/>
  <c r="AN125" i="122" s="1"/>
  <c r="AH96" i="122"/>
  <c r="AQ96" i="122" s="1"/>
  <c r="BF95" i="122"/>
  <c r="BL95" i="122" s="1"/>
  <c r="R53" i="126"/>
  <c r="CA62" i="123"/>
  <c r="AE62" i="123"/>
  <c r="O53" i="126" s="1"/>
  <c r="AP79" i="121"/>
  <c r="T79" i="121"/>
  <c r="AC79" i="121" s="1"/>
  <c r="AL79" i="121" s="1"/>
  <c r="AD79" i="121"/>
  <c r="AM79" i="121" s="1"/>
  <c r="EI81" i="121"/>
  <c r="GH81" i="121" s="1"/>
  <c r="CH37" i="121"/>
  <c r="EG28" i="121"/>
  <c r="EH11" i="121"/>
  <c r="EH10" i="121"/>
  <c r="DU77" i="121"/>
  <c r="DU78" i="121" s="1"/>
  <c r="DW84" i="121"/>
  <c r="GG38" i="121"/>
  <c r="GH16" i="121"/>
  <c r="GH40" i="121" s="1"/>
  <c r="EI40" i="121"/>
  <c r="I52" i="127"/>
  <c r="F37" i="133"/>
  <c r="F38" i="133" s="1"/>
  <c r="H38" i="133"/>
  <c r="D36" i="133"/>
  <c r="D34" i="133"/>
  <c r="C37" i="133"/>
  <c r="C38" i="133" s="1"/>
  <c r="C43" i="127" s="1"/>
  <c r="E33" i="133"/>
  <c r="G12" i="133"/>
  <c r="G30" i="133"/>
  <c r="G28" i="133" s="1"/>
  <c r="G32" i="133" s="1"/>
  <c r="E28" i="133"/>
  <c r="E32" i="133" s="1"/>
  <c r="D16" i="133"/>
  <c r="E15" i="133"/>
  <c r="H38" i="132"/>
  <c r="H39" i="132"/>
  <c r="H40" i="132" s="1"/>
  <c r="F38" i="132"/>
  <c r="F39" i="132"/>
  <c r="F40" i="132" s="1"/>
  <c r="C38" i="132"/>
  <c r="C39" i="132"/>
  <c r="G24" i="132"/>
  <c r="E36" i="132"/>
  <c r="D18" i="132"/>
  <c r="D39" i="132"/>
  <c r="D40" i="132" s="1"/>
  <c r="D37" i="132"/>
  <c r="D38" i="132" s="1"/>
  <c r="G34" i="132"/>
  <c r="E14" i="132"/>
  <c r="E15" i="132"/>
  <c r="G12" i="132"/>
  <c r="G32" i="132"/>
  <c r="ED62" i="123"/>
  <c r="EE62" i="123"/>
  <c r="GE62" i="123"/>
  <c r="BF77" i="122"/>
  <c r="BL77" i="122" s="1"/>
  <c r="BF45" i="122"/>
  <c r="BL45" i="122" s="1"/>
  <c r="BE44" i="122"/>
  <c r="BE155" i="122" s="1"/>
  <c r="AG146" i="122"/>
  <c r="BE146" i="122" s="1"/>
  <c r="BS165" i="122"/>
  <c r="BS181" i="122"/>
  <c r="BD102" i="122"/>
  <c r="BJ102" i="122" s="1"/>
  <c r="BK102" i="122"/>
  <c r="BD61" i="122"/>
  <c r="BJ61" i="122" s="1"/>
  <c r="BK61" i="122"/>
  <c r="BF28" i="122"/>
  <c r="BZ165" i="122"/>
  <c r="Q49" i="122"/>
  <c r="AF47" i="122"/>
  <c r="AM47" i="122"/>
  <c r="AP47" i="122"/>
  <c r="BE47" i="122" s="1"/>
  <c r="AG159" i="122"/>
  <c r="BG213" i="122"/>
  <c r="BH35" i="122"/>
  <c r="AM35" i="122"/>
  <c r="AU183" i="122"/>
  <c r="CG211" i="122"/>
  <c r="AF16" i="122"/>
  <c r="BE16" i="122"/>
  <c r="AM16" i="122"/>
  <c r="AL16" i="122" s="1"/>
  <c r="AQ198" i="122"/>
  <c r="BF198" i="122" s="1"/>
  <c r="AQ162" i="122"/>
  <c r="CP44" i="123" s="1"/>
  <c r="BO30" i="122"/>
  <c r="BG59" i="122"/>
  <c r="BR126" i="122"/>
  <c r="BP21" i="122"/>
  <c r="BG36" i="122"/>
  <c r="BH207" i="122"/>
  <c r="AM207" i="122"/>
  <c r="AL87" i="122"/>
  <c r="BG87" i="122"/>
  <c r="CF74" i="122"/>
  <c r="CI74" i="122" s="1"/>
  <c r="BO109" i="122"/>
  <c r="BO108" i="122" s="1"/>
  <c r="AQ108" i="122"/>
  <c r="AP68" i="122"/>
  <c r="BE68" i="122" s="1"/>
  <c r="AF68" i="122"/>
  <c r="AL68" i="122" s="1"/>
  <c r="AM68" i="122"/>
  <c r="CE72" i="122"/>
  <c r="CH72" i="122" s="1"/>
  <c r="AJ166" i="122"/>
  <c r="BH111" i="122"/>
  <c r="AQ179" i="122"/>
  <c r="CP61" i="123" s="1"/>
  <c r="BO124" i="122"/>
  <c r="BO179" i="122" s="1"/>
  <c r="EO61" i="123" s="1"/>
  <c r="BM91" i="122"/>
  <c r="BN90" i="122"/>
  <c r="BM90" i="122" s="1"/>
  <c r="CE52" i="122"/>
  <c r="CH52" i="122" s="1"/>
  <c r="Q184" i="122"/>
  <c r="AF184" i="122" s="1"/>
  <c r="AF185" i="122"/>
  <c r="AL185" i="122" s="1"/>
  <c r="BK60" i="122"/>
  <c r="CF60" i="122"/>
  <c r="CI60" i="122" s="1"/>
  <c r="BT165" i="122"/>
  <c r="EZ47" i="123" s="1"/>
  <c r="BT181" i="122"/>
  <c r="BT183" i="122" s="1"/>
  <c r="CF156" i="122"/>
  <c r="S155" i="122"/>
  <c r="AQ37" i="123" s="1"/>
  <c r="Q44" i="122"/>
  <c r="Q155" i="122" s="1"/>
  <c r="AN201" i="122"/>
  <c r="AY165" i="122"/>
  <c r="DJ47" i="123" s="1"/>
  <c r="AY181" i="122"/>
  <c r="AY183" i="122" s="1"/>
  <c r="BL39" i="122"/>
  <c r="CG39" i="122"/>
  <c r="CJ39" i="122" s="1"/>
  <c r="BP188" i="122"/>
  <c r="S154" i="122"/>
  <c r="AQ36" i="123" s="1"/>
  <c r="BK33" i="122"/>
  <c r="CF33" i="122"/>
  <c r="CI33" i="122" s="1"/>
  <c r="AT126" i="122"/>
  <c r="AR21" i="122"/>
  <c r="BI81" i="122"/>
  <c r="AN81" i="122"/>
  <c r="AI198" i="122"/>
  <c r="BF30" i="122"/>
  <c r="AD161" i="122"/>
  <c r="AC29" i="122"/>
  <c r="AJ29" i="122"/>
  <c r="AD21" i="122"/>
  <c r="AF38" i="122"/>
  <c r="BG45" i="122"/>
  <c r="AL207" i="122"/>
  <c r="BG207" i="122"/>
  <c r="BI173" i="122"/>
  <c r="CG118" i="122"/>
  <c r="T40" i="122"/>
  <c r="U126" i="122"/>
  <c r="BD148" i="122"/>
  <c r="BJ148" i="122" s="1"/>
  <c r="BO76" i="122"/>
  <c r="BN104" i="122"/>
  <c r="BM104" i="122" s="1"/>
  <c r="AO104" i="122"/>
  <c r="BU165" i="122"/>
  <c r="FA47" i="123" s="1"/>
  <c r="BU181" i="122"/>
  <c r="BU183" i="122" s="1"/>
  <c r="BG219" i="122"/>
  <c r="CE219" i="122" s="1"/>
  <c r="BO47" i="122"/>
  <c r="CF56" i="122"/>
  <c r="CI56" i="122" s="1"/>
  <c r="BH70" i="122"/>
  <c r="AM70" i="122"/>
  <c r="BE74" i="122"/>
  <c r="BD74" i="122" s="1"/>
  <c r="CF172" i="122"/>
  <c r="BG66" i="122"/>
  <c r="AL66" i="122"/>
  <c r="BL74" i="122"/>
  <c r="CG74" i="122"/>
  <c r="CJ74" i="122" s="1"/>
  <c r="BD87" i="122"/>
  <c r="BV75" i="122"/>
  <c r="CA75" i="122"/>
  <c r="CF124" i="122"/>
  <c r="BH179" i="122"/>
  <c r="AQ200" i="122"/>
  <c r="BF200" i="122" s="1"/>
  <c r="BL200" i="122" s="1"/>
  <c r="BO32" i="122"/>
  <c r="BO200" i="122" s="1"/>
  <c r="CG53" i="122"/>
  <c r="CJ53" i="122" s="1"/>
  <c r="AP205" i="122"/>
  <c r="BE205" i="122" s="1"/>
  <c r="BN57" i="122"/>
  <c r="BG214" i="122"/>
  <c r="CE214" i="122" s="1"/>
  <c r="AL214" i="122"/>
  <c r="BG62" i="122"/>
  <c r="AL73" i="122"/>
  <c r="BG73" i="122"/>
  <c r="BK87" i="122"/>
  <c r="CF87" i="122"/>
  <c r="CI87" i="122" s="1"/>
  <c r="BF109" i="122"/>
  <c r="BL109" i="122" s="1"/>
  <c r="BI180" i="122"/>
  <c r="CG125" i="122"/>
  <c r="CF214" i="122"/>
  <c r="AF92" i="122"/>
  <c r="BG56" i="122"/>
  <c r="AG51" i="122"/>
  <c r="BL66" i="122"/>
  <c r="CG66" i="122"/>
  <c r="CJ66" i="122" s="1"/>
  <c r="AL32" i="122"/>
  <c r="BG32" i="122"/>
  <c r="AP37" i="122"/>
  <c r="AP35" i="122" s="1"/>
  <c r="BE35" i="122" s="1"/>
  <c r="AF37" i="122"/>
  <c r="AL37" i="122" s="1"/>
  <c r="AF59" i="122"/>
  <c r="AL59" i="122" s="1"/>
  <c r="AP59" i="122"/>
  <c r="BI38" i="122"/>
  <c r="AN38" i="122"/>
  <c r="AQ216" i="122"/>
  <c r="BF216" i="122" s="1"/>
  <c r="BL216" i="122" s="1"/>
  <c r="BO34" i="122"/>
  <c r="BO216" i="122" s="1"/>
  <c r="CF69" i="122"/>
  <c r="CI69" i="122" s="1"/>
  <c r="BM186" i="122"/>
  <c r="CB131" i="122"/>
  <c r="AQ53" i="122"/>
  <c r="CG80" i="122"/>
  <c r="CJ80" i="122" s="1"/>
  <c r="BY101" i="122"/>
  <c r="CG215" i="122"/>
  <c r="BI175" i="122"/>
  <c r="BL175" i="122" s="1"/>
  <c r="CG120" i="122"/>
  <c r="BL120" i="122"/>
  <c r="CG88" i="122"/>
  <c r="CJ88" i="122" s="1"/>
  <c r="BF124" i="122"/>
  <c r="BK13" i="122"/>
  <c r="BJ13" i="122" s="1"/>
  <c r="BG201" i="122"/>
  <c r="CE201" i="122" s="1"/>
  <c r="BG153" i="122"/>
  <c r="CE22" i="122"/>
  <c r="CJ47" i="122"/>
  <c r="CG48" i="122"/>
  <c r="BG57" i="122"/>
  <c r="BH162" i="122"/>
  <c r="CF30" i="122"/>
  <c r="CF38" i="122"/>
  <c r="CI38" i="122" s="1"/>
  <c r="AM220" i="122"/>
  <c r="AI154" i="122"/>
  <c r="BG23" i="122"/>
  <c r="AO67" i="122"/>
  <c r="BY75" i="122"/>
  <c r="AC217" i="122"/>
  <c r="AI217" i="122" s="1"/>
  <c r="AI35" i="122"/>
  <c r="CF223" i="122"/>
  <c r="AF53" i="122"/>
  <c r="CG210" i="122"/>
  <c r="BE90" i="122"/>
  <c r="BD90" i="122" s="1"/>
  <c r="AF90" i="122"/>
  <c r="AQ174" i="122"/>
  <c r="CP56" i="123" s="1"/>
  <c r="BO119" i="122"/>
  <c r="BO174" i="122" s="1"/>
  <c r="EO56" i="123" s="1"/>
  <c r="BI176" i="122"/>
  <c r="CG121" i="122"/>
  <c r="BL56" i="122"/>
  <c r="CG56" i="122"/>
  <c r="CJ56" i="122" s="1"/>
  <c r="BG108" i="122"/>
  <c r="R127" i="122"/>
  <c r="R145" i="122"/>
  <c r="F165" i="122"/>
  <c r="F47" i="123" s="1"/>
  <c r="F181" i="122"/>
  <c r="F183" i="122" s="1"/>
  <c r="AM208" i="122"/>
  <c r="BH208" i="122"/>
  <c r="BK71" i="122"/>
  <c r="CF71" i="122"/>
  <c r="CI71" i="122" s="1"/>
  <c r="AH157" i="122"/>
  <c r="AN157" i="122" s="1"/>
  <c r="AQ25" i="122"/>
  <c r="AD227" i="122"/>
  <c r="AJ222" i="122"/>
  <c r="BN155" i="122"/>
  <c r="EN37" i="123" s="1"/>
  <c r="CA161" i="122"/>
  <c r="CA21" i="122"/>
  <c r="BY21" i="122" s="1"/>
  <c r="CF12" i="122"/>
  <c r="BG12" i="122"/>
  <c r="AQ36" i="122"/>
  <c r="BF36" i="122" s="1"/>
  <c r="BL36" i="122" s="1"/>
  <c r="CG59" i="122"/>
  <c r="CJ59" i="122" s="1"/>
  <c r="BG80" i="122"/>
  <c r="AF36" i="122"/>
  <c r="AL36" i="122" s="1"/>
  <c r="BG58" i="122"/>
  <c r="BF89" i="122"/>
  <c r="BL89" i="122" s="1"/>
  <c r="BI198" i="122"/>
  <c r="AN198" i="122"/>
  <c r="AQ62" i="122"/>
  <c r="BJ67" i="122"/>
  <c r="CE67" i="122"/>
  <c r="CH67" i="122" s="1"/>
  <c r="BG224" i="122"/>
  <c r="AL224" i="122"/>
  <c r="BK96" i="122"/>
  <c r="CF96" i="122"/>
  <c r="CI96" i="122" s="1"/>
  <c r="BO24" i="122"/>
  <c r="BM24" i="122" s="1"/>
  <c r="AO27" i="122"/>
  <c r="BN27" i="122"/>
  <c r="AF54" i="122"/>
  <c r="BE54" i="122"/>
  <c r="AP54" i="122"/>
  <c r="CF59" i="122"/>
  <c r="CI59" i="122" s="1"/>
  <c r="BL83" i="122"/>
  <c r="CG83" i="122"/>
  <c r="CJ83" i="122" s="1"/>
  <c r="AQ107" i="122"/>
  <c r="BF107" i="122" s="1"/>
  <c r="BL107" i="122" s="1"/>
  <c r="AN107" i="122"/>
  <c r="AF107" i="122"/>
  <c r="AL107" i="122" s="1"/>
  <c r="CF76" i="122"/>
  <c r="AL226" i="122"/>
  <c r="BG226" i="122"/>
  <c r="CE226" i="122" s="1"/>
  <c r="BL177" i="122"/>
  <c r="BH164" i="122"/>
  <c r="CF85" i="122"/>
  <c r="AJ170" i="122"/>
  <c r="BH115" i="122"/>
  <c r="BH168" i="122"/>
  <c r="CF113" i="122"/>
  <c r="AI178" i="122"/>
  <c r="BG123" i="122"/>
  <c r="AI168" i="122"/>
  <c r="BG113" i="122"/>
  <c r="CI14" i="122"/>
  <c r="BI157" i="122"/>
  <c r="CG25" i="122"/>
  <c r="BH157" i="122"/>
  <c r="CF25" i="122"/>
  <c r="AA126" i="122"/>
  <c r="Z21" i="122"/>
  <c r="BX126" i="122"/>
  <c r="BX128" i="122" s="1"/>
  <c r="AM92" i="122"/>
  <c r="BH92" i="122"/>
  <c r="CB148" i="122"/>
  <c r="AF62" i="122"/>
  <c r="AL62" i="122" s="1"/>
  <c r="BN106" i="122"/>
  <c r="AI171" i="122"/>
  <c r="BG116" i="122"/>
  <c r="AK160" i="122"/>
  <c r="AN159" i="122"/>
  <c r="BF105" i="122"/>
  <c r="BL105" i="122" s="1"/>
  <c r="AI175" i="122"/>
  <c r="BG120" i="122"/>
  <c r="AI180" i="122"/>
  <c r="BG125" i="122"/>
  <c r="AJ160" i="122"/>
  <c r="CG45" i="122"/>
  <c r="CJ45" i="122" s="1"/>
  <c r="AH217" i="122"/>
  <c r="CF48" i="122"/>
  <c r="AO52" i="122"/>
  <c r="BN52" i="122"/>
  <c r="BM52" i="122" s="1"/>
  <c r="AQ212" i="122"/>
  <c r="BF212" i="122" s="1"/>
  <c r="BO64" i="122"/>
  <c r="BO212" i="122" s="1"/>
  <c r="CD212" i="122" s="1"/>
  <c r="AO105" i="122"/>
  <c r="Q198" i="122"/>
  <c r="AF198" i="122" s="1"/>
  <c r="Q162" i="122"/>
  <c r="AN106" i="122"/>
  <c r="BI167" i="122"/>
  <c r="CG112" i="122"/>
  <c r="AG217" i="122"/>
  <c r="AL148" i="122"/>
  <c r="BG202" i="122"/>
  <c r="AL202" i="122"/>
  <c r="CF106" i="122"/>
  <c r="CI106" i="122" s="1"/>
  <c r="BH154" i="122"/>
  <c r="CF23" i="122"/>
  <c r="AF78" i="122"/>
  <c r="AP78" i="122"/>
  <c r="AF99" i="122"/>
  <c r="AM99" i="122"/>
  <c r="AP99" i="122"/>
  <c r="BE99" i="122" s="1"/>
  <c r="CG208" i="122"/>
  <c r="B81" i="122"/>
  <c r="AG81" i="122"/>
  <c r="AI169" i="122"/>
  <c r="BG114" i="122"/>
  <c r="BK58" i="122"/>
  <c r="AE161" i="122"/>
  <c r="AE21" i="122"/>
  <c r="AK29" i="122"/>
  <c r="CG36" i="122"/>
  <c r="CJ36" i="122" s="1"/>
  <c r="BI174" i="122"/>
  <c r="BL174" i="122" s="1"/>
  <c r="BL119" i="122"/>
  <c r="CG119" i="122"/>
  <c r="CF88" i="122"/>
  <c r="CI88" i="122" s="1"/>
  <c r="BG220" i="122"/>
  <c r="CE220" i="122" s="1"/>
  <c r="AL220" i="122"/>
  <c r="BH180" i="122"/>
  <c r="CF125" i="122"/>
  <c r="AP8" i="122"/>
  <c r="BN8" i="122"/>
  <c r="R8" i="122"/>
  <c r="C8" i="122"/>
  <c r="AI157" i="122"/>
  <c r="BG25" i="122"/>
  <c r="CF34" i="122"/>
  <c r="J165" i="122"/>
  <c r="P47" i="123" s="1"/>
  <c r="N47" i="123" s="1"/>
  <c r="J181" i="122"/>
  <c r="J183" i="122" s="1"/>
  <c r="BG70" i="122"/>
  <c r="CE70" i="122" s="1"/>
  <c r="CH70" i="122" s="1"/>
  <c r="BI127" i="122"/>
  <c r="AF12" i="122"/>
  <c r="BE12" i="122"/>
  <c r="BD12" i="122" s="1"/>
  <c r="AM155" i="122"/>
  <c r="V165" i="122"/>
  <c r="AT47" i="123" s="1"/>
  <c r="V181" i="122"/>
  <c r="V183" i="122" s="1"/>
  <c r="CG35" i="122"/>
  <c r="CJ35" i="122" s="1"/>
  <c r="AM78" i="122"/>
  <c r="CG220" i="122"/>
  <c r="AP201" i="122"/>
  <c r="BE201" i="122" s="1"/>
  <c r="BK201" i="122" s="1"/>
  <c r="BN33" i="122"/>
  <c r="BL102" i="122"/>
  <c r="CG102" i="122"/>
  <c r="CJ102" i="122" s="1"/>
  <c r="AL74" i="122"/>
  <c r="BG74" i="122"/>
  <c r="AQ214" i="122"/>
  <c r="BF214" i="122" s="1"/>
  <c r="BL214" i="122" s="1"/>
  <c r="BO87" i="122"/>
  <c r="BO214" i="122" s="1"/>
  <c r="BM187" i="122"/>
  <c r="CB132" i="122"/>
  <c r="CH132" i="122" s="1"/>
  <c r="AI156" i="122"/>
  <c r="BG42" i="122"/>
  <c r="BH158" i="122"/>
  <c r="CF26" i="122"/>
  <c r="CF28" i="122" s="1"/>
  <c r="BH167" i="122"/>
  <c r="CF112" i="122"/>
  <c r="AG162" i="122"/>
  <c r="AM162" i="122" s="1"/>
  <c r="AF30" i="122"/>
  <c r="AP30" i="122"/>
  <c r="BE30" i="122" s="1"/>
  <c r="CE61" i="122"/>
  <c r="CH61" i="122" s="1"/>
  <c r="AO109" i="122"/>
  <c r="BN109" i="122"/>
  <c r="BI168" i="122"/>
  <c r="CG113" i="122"/>
  <c r="BJ69" i="122"/>
  <c r="BI9" i="122"/>
  <c r="AV128" i="122"/>
  <c r="AU126" i="122"/>
  <c r="CG44" i="122"/>
  <c r="CJ44" i="122" s="1"/>
  <c r="H40" i="122"/>
  <c r="I126" i="122"/>
  <c r="BY81" i="122"/>
  <c r="BK57" i="122"/>
  <c r="CF57" i="122"/>
  <c r="CI57" i="122" s="1"/>
  <c r="AF10" i="122"/>
  <c r="BE10" i="122"/>
  <c r="BD10" i="122" s="1"/>
  <c r="BI153" i="122"/>
  <c r="CG22" i="122"/>
  <c r="BZ227" i="122"/>
  <c r="BR165" i="122"/>
  <c r="ER47" i="123" s="1"/>
  <c r="BR181" i="122"/>
  <c r="BR183" i="122" s="1"/>
  <c r="AL203" i="122"/>
  <c r="BG203" i="122"/>
  <c r="BE148" i="122"/>
  <c r="BK148" i="122" s="1"/>
  <c r="AM148" i="122"/>
  <c r="AP200" i="122"/>
  <c r="AO32" i="122"/>
  <c r="BN32" i="122"/>
  <c r="BG39" i="122"/>
  <c r="CG42" i="122"/>
  <c r="BI156" i="122"/>
  <c r="AC101" i="122"/>
  <c r="AI101" i="122" s="1"/>
  <c r="AJ101" i="122"/>
  <c r="AQ207" i="122"/>
  <c r="BF207" i="122" s="1"/>
  <c r="BO59" i="122"/>
  <c r="BO207" i="122" s="1"/>
  <c r="BN208" i="122"/>
  <c r="CC208" i="122" s="1"/>
  <c r="AQ209" i="122"/>
  <c r="BF209" i="122" s="1"/>
  <c r="BL209" i="122" s="1"/>
  <c r="BO61" i="122"/>
  <c r="BO209" i="122" s="1"/>
  <c r="BH218" i="122"/>
  <c r="AM218" i="122"/>
  <c r="BJ84" i="122"/>
  <c r="CE84" i="122"/>
  <c r="CH84" i="122" s="1"/>
  <c r="BG210" i="122"/>
  <c r="CE210" i="122" s="1"/>
  <c r="AL210" i="122"/>
  <c r="AL225" i="122"/>
  <c r="BG225" i="122"/>
  <c r="AQ79" i="122"/>
  <c r="BO78" i="122"/>
  <c r="BO79" i="122" s="1"/>
  <c r="AQ88" i="122"/>
  <c r="AO88" i="122" s="1"/>
  <c r="AO215" i="122" s="1"/>
  <c r="BD215" i="122" s="1"/>
  <c r="AI174" i="122"/>
  <c r="BG119" i="122"/>
  <c r="BG204" i="122"/>
  <c r="AL204" i="122"/>
  <c r="CG146" i="122"/>
  <c r="CJ146" i="122" s="1"/>
  <c r="BL146" i="122"/>
  <c r="N227" i="122"/>
  <c r="BN89" i="122"/>
  <c r="BM89" i="122" s="1"/>
  <c r="AO89" i="122"/>
  <c r="BG162" i="122"/>
  <c r="CE30" i="122"/>
  <c r="AI200" i="122"/>
  <c r="AP206" i="122"/>
  <c r="BE206" i="122" s="1"/>
  <c r="BK206" i="122" s="1"/>
  <c r="BN58" i="122"/>
  <c r="AC222" i="122"/>
  <c r="AI38" i="122"/>
  <c r="CG65" i="122"/>
  <c r="CJ65" i="122" s="1"/>
  <c r="AE227" i="122"/>
  <c r="AK227" i="122" s="1"/>
  <c r="AK222" i="122"/>
  <c r="CG147" i="122"/>
  <c r="CF203" i="122"/>
  <c r="CG68" i="122"/>
  <c r="CJ68" i="122" s="1"/>
  <c r="AH49" i="122"/>
  <c r="AQ22" i="122"/>
  <c r="BI154" i="122"/>
  <c r="BL23" i="122"/>
  <c r="CG23" i="122"/>
  <c r="CE209" i="122"/>
  <c r="BG88" i="122"/>
  <c r="AL88" i="122"/>
  <c r="BV94" i="122"/>
  <c r="BZ94" i="122"/>
  <c r="BH173" i="122"/>
  <c r="CF118" i="122"/>
  <c r="AN88" i="122"/>
  <c r="CF169" i="122"/>
  <c r="AI172" i="122"/>
  <c r="BG117" i="122"/>
  <c r="AI176" i="122"/>
  <c r="BG121" i="122"/>
  <c r="CI16" i="122"/>
  <c r="CH16" i="122" s="1"/>
  <c r="CE16" i="122"/>
  <c r="BG60" i="122"/>
  <c r="BG205" i="122"/>
  <c r="AL205" i="122"/>
  <c r="BI155" i="122"/>
  <c r="BL24" i="122"/>
  <c r="CG24" i="122"/>
  <c r="AM30" i="122"/>
  <c r="R222" i="122"/>
  <c r="Q38" i="122"/>
  <c r="CJ78" i="122"/>
  <c r="CG79" i="122"/>
  <c r="CJ79" i="122" s="1"/>
  <c r="AM65" i="122"/>
  <c r="BH65" i="122"/>
  <c r="CF10" i="122"/>
  <c r="BG10" i="122"/>
  <c r="CG33" i="122"/>
  <c r="CJ33" i="122" s="1"/>
  <c r="AQ213" i="122"/>
  <c r="BF213" i="122" s="1"/>
  <c r="AQ164" i="122"/>
  <c r="CP46" i="123" s="1"/>
  <c r="BO85" i="122"/>
  <c r="BL90" i="122"/>
  <c r="BG218" i="122"/>
  <c r="AL218" i="122"/>
  <c r="BH171" i="122"/>
  <c r="CF116" i="122"/>
  <c r="CF200" i="122"/>
  <c r="CF204" i="122"/>
  <c r="BL87" i="122"/>
  <c r="CG87" i="122"/>
  <c r="CJ87" i="122" s="1"/>
  <c r="BH175" i="122"/>
  <c r="CF120" i="122"/>
  <c r="AQ178" i="122"/>
  <c r="CP60" i="123" s="1"/>
  <c r="BO123" i="122"/>
  <c r="BO178" i="122" s="1"/>
  <c r="EO60" i="123" s="1"/>
  <c r="BD24" i="122"/>
  <c r="BC161" i="122"/>
  <c r="BC21" i="122"/>
  <c r="BA21" i="122" s="1"/>
  <c r="AC127" i="122"/>
  <c r="AI127" i="122" s="1"/>
  <c r="AJ127" i="122"/>
  <c r="AP145" i="122"/>
  <c r="AP182" i="122" s="1"/>
  <c r="AP127" i="122"/>
  <c r="AI155" i="122"/>
  <c r="AL24" i="122"/>
  <c r="BG24" i="122"/>
  <c r="CG158" i="122"/>
  <c r="CJ26" i="122"/>
  <c r="J126" i="122"/>
  <c r="J128" i="122" s="1"/>
  <c r="H21" i="122"/>
  <c r="AF50" i="122"/>
  <c r="AL50" i="122" s="1"/>
  <c r="AM50" i="122"/>
  <c r="AP50" i="122"/>
  <c r="BE50" i="122" s="1"/>
  <c r="CG63" i="122"/>
  <c r="CJ63" i="122" s="1"/>
  <c r="CI147" i="122"/>
  <c r="CG11" i="122"/>
  <c r="AF14" i="122"/>
  <c r="BE14" i="122"/>
  <c r="AM14" i="122"/>
  <c r="AL14" i="122" s="1"/>
  <c r="BB227" i="122"/>
  <c r="AH156" i="122"/>
  <c r="AN156" i="122" s="1"/>
  <c r="AQ42" i="122"/>
  <c r="AF65" i="122"/>
  <c r="T161" i="122"/>
  <c r="AJ145" i="122"/>
  <c r="O182" i="122"/>
  <c r="AI158" i="122"/>
  <c r="BG26" i="122"/>
  <c r="BE200" i="122"/>
  <c r="BK200" i="122" s="1"/>
  <c r="BG37" i="122"/>
  <c r="BK32" i="122"/>
  <c r="CF32" i="122"/>
  <c r="CI32" i="122" s="1"/>
  <c r="AP219" i="122"/>
  <c r="BE219" i="122" s="1"/>
  <c r="BK219" i="122" s="1"/>
  <c r="AO36" i="122"/>
  <c r="BN36" i="122"/>
  <c r="BG206" i="122"/>
  <c r="AL206" i="122"/>
  <c r="BJ91" i="122"/>
  <c r="CE91" i="122"/>
  <c r="CH91" i="122" s="1"/>
  <c r="AN206" i="122"/>
  <c r="AC81" i="122"/>
  <c r="AI81" i="122" s="1"/>
  <c r="AJ81" i="122"/>
  <c r="K75" i="122"/>
  <c r="L126" i="122"/>
  <c r="O75" i="122"/>
  <c r="N75" i="122" s="1"/>
  <c r="BH177" i="122"/>
  <c r="CF122" i="122"/>
  <c r="BD27" i="122"/>
  <c r="AN209" i="122"/>
  <c r="BK66" i="122"/>
  <c r="CF66" i="122"/>
  <c r="CI66" i="122" s="1"/>
  <c r="AM90" i="122"/>
  <c r="BH90" i="122"/>
  <c r="AX75" i="122"/>
  <c r="AZ126" i="122"/>
  <c r="AZ128" i="122" s="1"/>
  <c r="BC75" i="122"/>
  <c r="BI75" i="122" s="1"/>
  <c r="BK103" i="122"/>
  <c r="CF103" i="122"/>
  <c r="CI103" i="122" s="1"/>
  <c r="CF178" i="122"/>
  <c r="CF209" i="122"/>
  <c r="AP225" i="122"/>
  <c r="BE225" i="122" s="1"/>
  <c r="BK225" i="122" s="1"/>
  <c r="AO73" i="122"/>
  <c r="AO225" i="122" s="1"/>
  <c r="BD225" i="122" s="1"/>
  <c r="BN73" i="122"/>
  <c r="S94" i="122"/>
  <c r="AH94" i="122" s="1"/>
  <c r="AP215" i="122"/>
  <c r="BE215" i="122" s="1"/>
  <c r="BK215" i="122" s="1"/>
  <c r="BN88" i="122"/>
  <c r="BY166" i="122"/>
  <c r="CF110" i="122"/>
  <c r="CI110" i="122" s="1"/>
  <c r="AO185" i="122"/>
  <c r="BM130" i="122"/>
  <c r="AO129" i="122"/>
  <c r="BD129" i="122" s="1"/>
  <c r="BJ129" i="122" s="1"/>
  <c r="BH28" i="122"/>
  <c r="B159" i="122"/>
  <c r="AA165" i="122"/>
  <c r="BK47" i="123" s="1"/>
  <c r="AA181" i="122"/>
  <c r="AA183" i="122" s="1"/>
  <c r="BY49" i="122"/>
  <c r="BZ40" i="122"/>
  <c r="BN93" i="122"/>
  <c r="AP92" i="122"/>
  <c r="BE92" i="122" s="1"/>
  <c r="AO93" i="122"/>
  <c r="BK205" i="122"/>
  <c r="BG92" i="122"/>
  <c r="CE92" i="122" s="1"/>
  <c r="CH92" i="122" s="1"/>
  <c r="AL92" i="122"/>
  <c r="AP56" i="122"/>
  <c r="AF56" i="122"/>
  <c r="AL56" i="122" s="1"/>
  <c r="AM37" i="122"/>
  <c r="CE55" i="122"/>
  <c r="CH55" i="122" s="1"/>
  <c r="BK62" i="122"/>
  <c r="CG58" i="122"/>
  <c r="CJ58" i="122" s="1"/>
  <c r="AN92" i="122"/>
  <c r="CG179" i="122"/>
  <c r="CJ179" i="122" s="1"/>
  <c r="CJ124" i="122"/>
  <c r="BG185" i="122"/>
  <c r="BA29" i="122"/>
  <c r="BL207" i="122"/>
  <c r="CG207" i="122"/>
  <c r="AX161" i="122"/>
  <c r="BV161" i="122"/>
  <c r="CF43" i="122"/>
  <c r="AQ203" i="122"/>
  <c r="BF203" i="122" s="1"/>
  <c r="BL203" i="122" s="1"/>
  <c r="BO54" i="122"/>
  <c r="BO203" i="122" s="1"/>
  <c r="AN219" i="122"/>
  <c r="AQ208" i="122"/>
  <c r="BF208" i="122" s="1"/>
  <c r="BL208" i="122" s="1"/>
  <c r="BO60" i="122"/>
  <c r="BO208" i="122" s="1"/>
  <c r="AP211" i="122"/>
  <c r="BE211" i="122" s="1"/>
  <c r="BK211" i="122" s="1"/>
  <c r="BN63" i="122"/>
  <c r="CG106" i="122"/>
  <c r="CJ106" i="122" s="1"/>
  <c r="CG218" i="122"/>
  <c r="BE109" i="122"/>
  <c r="AH180" i="122"/>
  <c r="AN180" i="122" s="1"/>
  <c r="BI178" i="122"/>
  <c r="BL178" i="122" s="1"/>
  <c r="BL123" i="122"/>
  <c r="CG123" i="122"/>
  <c r="AK166" i="122"/>
  <c r="BI111" i="122"/>
  <c r="D161" i="122"/>
  <c r="G165" i="122"/>
  <c r="G47" i="123" s="1"/>
  <c r="G181" i="122"/>
  <c r="G183" i="122" s="1"/>
  <c r="CE43" i="122"/>
  <c r="CF44" i="122"/>
  <c r="CI44" i="122" s="1"/>
  <c r="BI217" i="122"/>
  <c r="CG217" i="122" s="1"/>
  <c r="CG41" i="122"/>
  <c r="AQ220" i="122"/>
  <c r="BF220" i="122" s="1"/>
  <c r="BL220" i="122" s="1"/>
  <c r="BO68" i="122"/>
  <c r="BO220" i="122" s="1"/>
  <c r="CG81" i="122"/>
  <c r="CJ81" i="122" s="1"/>
  <c r="AO102" i="122"/>
  <c r="BN102" i="122"/>
  <c r="BM102" i="122" s="1"/>
  <c r="CE129" i="122"/>
  <c r="AP209" i="122"/>
  <c r="BE209" i="122" s="1"/>
  <c r="BK209" i="122" s="1"/>
  <c r="AO61" i="122"/>
  <c r="AO209" i="122" s="1"/>
  <c r="BD209" i="122" s="1"/>
  <c r="BJ209" i="122" s="1"/>
  <c r="BN61" i="122"/>
  <c r="AQ92" i="122"/>
  <c r="BO93" i="122"/>
  <c r="AQ226" i="122"/>
  <c r="BF226" i="122" s="1"/>
  <c r="BL226" i="122" s="1"/>
  <c r="AK170" i="122"/>
  <c r="BI115" i="122"/>
  <c r="BY170" i="122"/>
  <c r="BI172" i="122"/>
  <c r="CG117" i="122"/>
  <c r="D176" i="122"/>
  <c r="D58" i="123" s="1"/>
  <c r="S121" i="122"/>
  <c r="AH121" i="122" s="1"/>
  <c r="D115" i="122"/>
  <c r="CE186" i="122"/>
  <c r="CF108" i="122"/>
  <c r="CI108" i="122" s="1"/>
  <c r="Q47" i="122"/>
  <c r="R159" i="122"/>
  <c r="BD105" i="122"/>
  <c r="BJ105" i="122" s="1"/>
  <c r="AL211" i="122"/>
  <c r="BG211" i="122"/>
  <c r="CE211" i="122" s="1"/>
  <c r="BG33" i="122"/>
  <c r="AL33" i="122"/>
  <c r="BL97" i="122"/>
  <c r="CG97" i="122"/>
  <c r="CJ97" i="122" s="1"/>
  <c r="BG90" i="122"/>
  <c r="CE90" i="122" s="1"/>
  <c r="CH90" i="122" s="1"/>
  <c r="AL90" i="122"/>
  <c r="AG49" i="122"/>
  <c r="B49" i="122"/>
  <c r="AQ55" i="122"/>
  <c r="BF55" i="122" s="1"/>
  <c r="BL55" i="122" s="1"/>
  <c r="AF55" i="122"/>
  <c r="AL55" i="122" s="1"/>
  <c r="AN55" i="122"/>
  <c r="C145" i="122"/>
  <c r="C182" i="122" s="1"/>
  <c r="C127" i="122"/>
  <c r="AG9" i="122"/>
  <c r="AM9" i="122" s="1"/>
  <c r="AI48" i="122"/>
  <c r="AL47" i="122"/>
  <c r="BG47" i="122"/>
  <c r="BL32" i="122"/>
  <c r="CG32" i="122"/>
  <c r="CJ32" i="122" s="1"/>
  <c r="BK53" i="122"/>
  <c r="CF53" i="122"/>
  <c r="CI53" i="122" s="1"/>
  <c r="BL50" i="122"/>
  <c r="CG50" i="122"/>
  <c r="AI9" i="122"/>
  <c r="BH9" i="122"/>
  <c r="BI101" i="122"/>
  <c r="AN101" i="122"/>
  <c r="CF64" i="122"/>
  <c r="CI64" i="122" s="1"/>
  <c r="AI167" i="122"/>
  <c r="BG112" i="122"/>
  <c r="BL122" i="122"/>
  <c r="AC170" i="122"/>
  <c r="AI115" i="122"/>
  <c r="BP40" i="122"/>
  <c r="BQ126" i="122"/>
  <c r="Q108" i="122"/>
  <c r="R101" i="122"/>
  <c r="AG108" i="122"/>
  <c r="CJ99" i="122"/>
  <c r="CG100" i="122"/>
  <c r="CJ100" i="122" s="1"/>
  <c r="CE110" i="122"/>
  <c r="CH110" i="122" s="1"/>
  <c r="Q213" i="122"/>
  <c r="AF213" i="122" s="1"/>
  <c r="Q164" i="122"/>
  <c r="S227" i="122"/>
  <c r="AH222" i="122"/>
  <c r="BW165" i="122"/>
  <c r="FI47" i="123" s="1"/>
  <c r="BW181" i="122"/>
  <c r="BW183" i="122" s="1"/>
  <c r="BM105" i="122"/>
  <c r="AQ57" i="122"/>
  <c r="AO57" i="122" s="1"/>
  <c r="AO205" i="122" s="1"/>
  <c r="BD205" i="122" s="1"/>
  <c r="CG108" i="122"/>
  <c r="CJ108" i="122" s="1"/>
  <c r="BL212" i="122"/>
  <c r="CG212" i="122"/>
  <c r="AQ172" i="122"/>
  <c r="CP54" i="123" s="1"/>
  <c r="BO117" i="122"/>
  <c r="BO172" i="122" s="1"/>
  <c r="EO54" i="123" s="1"/>
  <c r="CF226" i="122"/>
  <c r="CG202" i="122"/>
  <c r="AQ159" i="122"/>
  <c r="CP41" i="123" s="1"/>
  <c r="BO27" i="122"/>
  <c r="AQ28" i="122"/>
  <c r="CI8" i="122"/>
  <c r="CE8" i="122"/>
  <c r="G128" i="122"/>
  <c r="AT165" i="122"/>
  <c r="CS47" i="123" s="1"/>
  <c r="AT181" i="122"/>
  <c r="AT183" i="122" s="1"/>
  <c r="CF11" i="122"/>
  <c r="BK11" i="122"/>
  <c r="BG11" i="122"/>
  <c r="P161" i="122"/>
  <c r="P21" i="122"/>
  <c r="BG71" i="122"/>
  <c r="AL71" i="122"/>
  <c r="BG53" i="122"/>
  <c r="AL53" i="122"/>
  <c r="AV165" i="122"/>
  <c r="DA47" i="123" s="1"/>
  <c r="AV181" i="122"/>
  <c r="AV183" i="122" s="1"/>
  <c r="S161" i="122"/>
  <c r="S21" i="122"/>
  <c r="AH21" i="122" s="1"/>
  <c r="AC49" i="122"/>
  <c r="AJ49" i="122"/>
  <c r="AD40" i="122"/>
  <c r="BT128" i="122"/>
  <c r="BS126" i="122"/>
  <c r="BG34" i="122"/>
  <c r="BL37" i="122"/>
  <c r="CG37" i="122"/>
  <c r="CJ37" i="122" s="1"/>
  <c r="AI223" i="122"/>
  <c r="CE69" i="122"/>
  <c r="CH69" i="122" s="1"/>
  <c r="Q78" i="122"/>
  <c r="BF68" i="122"/>
  <c r="BL68" i="122" s="1"/>
  <c r="AO74" i="122"/>
  <c r="BN74" i="122"/>
  <c r="CF95" i="122"/>
  <c r="BI94" i="122"/>
  <c r="Z94" i="122"/>
  <c r="AD94" i="122"/>
  <c r="CF199" i="122"/>
  <c r="BF59" i="122"/>
  <c r="BL59" i="122" s="1"/>
  <c r="AM212" i="122"/>
  <c r="BH212" i="122"/>
  <c r="AP214" i="122"/>
  <c r="AO87" i="122"/>
  <c r="AO214" i="122" s="1"/>
  <c r="BD214" i="122" s="1"/>
  <c r="BN87" i="122"/>
  <c r="AQ33" i="122"/>
  <c r="AQ223" i="122"/>
  <c r="BF223" i="122" s="1"/>
  <c r="BL223" i="122" s="1"/>
  <c r="BO39" i="122"/>
  <c r="AQ38" i="122"/>
  <c r="AQ204" i="122"/>
  <c r="BF204" i="122" s="1"/>
  <c r="BL204" i="122" s="1"/>
  <c r="BO56" i="122"/>
  <c r="BO204" i="122" s="1"/>
  <c r="AF57" i="122"/>
  <c r="AL57" i="122" s="1"/>
  <c r="CG62" i="122"/>
  <c r="CJ62" i="122" s="1"/>
  <c r="CF72" i="122"/>
  <c r="CI72" i="122" s="1"/>
  <c r="Q99" i="122"/>
  <c r="BF78" i="122"/>
  <c r="BF159" i="122" s="1"/>
  <c r="AQ100" i="122"/>
  <c r="BO99" i="122"/>
  <c r="BO100" i="122" s="1"/>
  <c r="AI173" i="122"/>
  <c r="BG118" i="122"/>
  <c r="BO171" i="122"/>
  <c r="EO53" i="123" s="1"/>
  <c r="BL148" i="122"/>
  <c r="CG148" i="122"/>
  <c r="CJ148" i="122" s="1"/>
  <c r="O161" i="122"/>
  <c r="O21" i="122"/>
  <c r="N29" i="122"/>
  <c r="Q51" i="122"/>
  <c r="R199" i="122"/>
  <c r="AG199" i="122" s="1"/>
  <c r="R163" i="122"/>
  <c r="AP45" i="123" s="1"/>
  <c r="BE89" i="122"/>
  <c r="AP39" i="122"/>
  <c r="AF39" i="122"/>
  <c r="AL39" i="122" s="1"/>
  <c r="AM39" i="122"/>
  <c r="CE31" i="122"/>
  <c r="AQ58" i="122"/>
  <c r="AO58" i="122" s="1"/>
  <c r="AO206" i="122" s="1"/>
  <c r="BD206" i="122" s="1"/>
  <c r="BF104" i="122"/>
  <c r="BL104" i="122" s="1"/>
  <c r="D227" i="122"/>
  <c r="BF70" i="122"/>
  <c r="CE96" i="122"/>
  <c r="CH96" i="122" s="1"/>
  <c r="CF54" i="122"/>
  <c r="CI54" i="122" s="1"/>
  <c r="BG63" i="122"/>
  <c r="AL63" i="122"/>
  <c r="AL215" i="122"/>
  <c r="BG215" i="122"/>
  <c r="BL73" i="122"/>
  <c r="CG73" i="122"/>
  <c r="CJ73" i="122" s="1"/>
  <c r="AC166" i="122"/>
  <c r="AI111" i="122"/>
  <c r="CI15" i="122"/>
  <c r="CH15" i="122" s="1"/>
  <c r="CE15" i="122"/>
  <c r="BL47" i="122"/>
  <c r="BG208" i="122"/>
  <c r="AL208" i="122"/>
  <c r="AO90" i="122"/>
  <c r="AF223" i="122"/>
  <c r="BG65" i="122"/>
  <c r="AL65" i="122"/>
  <c r="AN33" i="122"/>
  <c r="BF85" i="122"/>
  <c r="BK104" i="122"/>
  <c r="CF104" i="122"/>
  <c r="CI104" i="122" s="1"/>
  <c r="AQ225" i="122"/>
  <c r="BF225" i="122" s="1"/>
  <c r="BL225" i="122" s="1"/>
  <c r="BO73" i="122"/>
  <c r="BO225" i="122" s="1"/>
  <c r="AO82" i="122"/>
  <c r="BL103" i="122"/>
  <c r="CG103" i="122"/>
  <c r="CJ103" i="122" s="1"/>
  <c r="AQ221" i="122"/>
  <c r="BF221" i="122" s="1"/>
  <c r="BL221" i="122" s="1"/>
  <c r="BO37" i="122"/>
  <c r="BO221" i="122" s="1"/>
  <c r="AP202" i="122"/>
  <c r="BE202" i="122" s="1"/>
  <c r="BK202" i="122" s="1"/>
  <c r="BN53" i="122"/>
  <c r="CF63" i="122"/>
  <c r="CI63" i="122" s="1"/>
  <c r="BF82" i="122"/>
  <c r="BG68" i="122"/>
  <c r="AF70" i="122"/>
  <c r="AL70" i="122" s="1"/>
  <c r="AQ177" i="122"/>
  <c r="CP59" i="123" s="1"/>
  <c r="BO122" i="122"/>
  <c r="BO177" i="122" s="1"/>
  <c r="EO59" i="123" s="1"/>
  <c r="CH131" i="122"/>
  <c r="BI163" i="122"/>
  <c r="BN127" i="122"/>
  <c r="BN145" i="122"/>
  <c r="E21" i="122"/>
  <c r="H161" i="122"/>
  <c r="CE51" i="122"/>
  <c r="CH51" i="122" s="1"/>
  <c r="AN70" i="122"/>
  <c r="BI70" i="122"/>
  <c r="AH163" i="122"/>
  <c r="AN163" i="122" s="1"/>
  <c r="AQ31" i="122"/>
  <c r="AF31" i="122"/>
  <c r="AN31" i="122"/>
  <c r="BG147" i="122"/>
  <c r="BH155" i="122"/>
  <c r="CF24" i="122"/>
  <c r="BK24" i="122"/>
  <c r="BY222" i="122"/>
  <c r="AI159" i="122"/>
  <c r="BG27" i="122"/>
  <c r="AI28" i="122"/>
  <c r="AL27" i="122"/>
  <c r="V126" i="122"/>
  <c r="T21" i="122"/>
  <c r="CA227" i="122"/>
  <c r="AL54" i="122"/>
  <c r="BG54" i="122"/>
  <c r="AM12" i="122"/>
  <c r="AL12" i="122" s="1"/>
  <c r="CI27" i="122"/>
  <c r="AN35" i="122"/>
  <c r="AI221" i="122"/>
  <c r="CG57" i="122"/>
  <c r="CJ57" i="122" s="1"/>
  <c r="BG212" i="122"/>
  <c r="AL212" i="122"/>
  <c r="CF216" i="122"/>
  <c r="BE36" i="122"/>
  <c r="BH79" i="122"/>
  <c r="CF78" i="122"/>
  <c r="CG206" i="122"/>
  <c r="AQ218" i="122"/>
  <c r="BF218" i="122" s="1"/>
  <c r="BL218" i="122" s="1"/>
  <c r="AQ65" i="122"/>
  <c r="BF65" i="122" s="1"/>
  <c r="BL65" i="122" s="1"/>
  <c r="BO66" i="122"/>
  <c r="AO66" i="122"/>
  <c r="AO218" i="122" s="1"/>
  <c r="BD218" i="122" s="1"/>
  <c r="AN220" i="122"/>
  <c r="AP83" i="122"/>
  <c r="AF83" i="122"/>
  <c r="AL83" i="122" s="1"/>
  <c r="AM83" i="122"/>
  <c r="BE214" i="122"/>
  <c r="BK214" i="122" s="1"/>
  <c r="BA217" i="122"/>
  <c r="BA227" i="122" s="1"/>
  <c r="AH80" i="122"/>
  <c r="BK84" i="122"/>
  <c r="CF84" i="122"/>
  <c r="CI84" i="122" s="1"/>
  <c r="AQ224" i="122"/>
  <c r="BF224" i="122" s="1"/>
  <c r="BL224" i="122" s="1"/>
  <c r="BO72" i="122"/>
  <c r="BO224" i="122" s="1"/>
  <c r="BE73" i="122"/>
  <c r="AP110" i="122"/>
  <c r="AP108" i="122" s="1"/>
  <c r="AF110" i="122"/>
  <c r="AL110" i="122" s="1"/>
  <c r="BE88" i="122"/>
  <c r="BK88" i="122" s="1"/>
  <c r="BK27" i="122"/>
  <c r="AF15" i="122"/>
  <c r="BE15" i="122"/>
  <c r="AM15" i="122"/>
  <c r="AL15" i="122" s="1"/>
  <c r="AK182" i="122"/>
  <c r="BI145" i="122"/>
  <c r="BH153" i="122"/>
  <c r="CF22" i="122"/>
  <c r="AK49" i="122"/>
  <c r="AE40" i="122"/>
  <c r="AK40" i="122" s="1"/>
  <c r="BE93" i="122"/>
  <c r="X165" i="122"/>
  <c r="BB47" i="123" s="1"/>
  <c r="X181" i="122"/>
  <c r="X183" i="122" s="1"/>
  <c r="AX94" i="122"/>
  <c r="BB94" i="122"/>
  <c r="BA94" i="122" s="1"/>
  <c r="BL52" i="122"/>
  <c r="CG52" i="122"/>
  <c r="CJ52" i="122" s="1"/>
  <c r="AF146" i="122"/>
  <c r="AH44" i="122"/>
  <c r="AL64" i="122"/>
  <c r="BG64" i="122"/>
  <c r="CF80" i="122"/>
  <c r="CG201" i="122"/>
  <c r="CF37" i="122"/>
  <c r="CI37" i="122" s="1"/>
  <c r="CG205" i="122"/>
  <c r="AP210" i="122"/>
  <c r="BE210" i="122" s="1"/>
  <c r="BK210" i="122" s="1"/>
  <c r="BN62" i="122"/>
  <c r="BI159" i="122"/>
  <c r="BI28" i="122"/>
  <c r="BL28" i="122" s="1"/>
  <c r="BL27" i="122"/>
  <c r="CG27" i="122"/>
  <c r="BY217" i="122"/>
  <c r="BG177" i="122"/>
  <c r="CE122" i="122"/>
  <c r="AG164" i="122"/>
  <c r="AM164" i="122" s="1"/>
  <c r="AF85" i="122"/>
  <c r="AP85" i="122"/>
  <c r="BI171" i="122"/>
  <c r="BL171" i="122" s="1"/>
  <c r="CG116" i="122"/>
  <c r="BL116" i="122"/>
  <c r="BI169" i="122"/>
  <c r="CG114" i="122"/>
  <c r="AL184" i="122"/>
  <c r="BG184" i="122"/>
  <c r="CE184" i="122" s="1"/>
  <c r="BB161" i="122"/>
  <c r="AY126" i="122"/>
  <c r="AX21" i="122"/>
  <c r="AC75" i="122"/>
  <c r="BO26" i="122"/>
  <c r="BW126" i="122"/>
  <c r="BV21" i="122"/>
  <c r="BE52" i="122"/>
  <c r="BF54" i="122"/>
  <c r="BL54" i="122" s="1"/>
  <c r="BK91" i="122"/>
  <c r="AL129" i="122"/>
  <c r="CG219" i="122"/>
  <c r="BF60" i="122"/>
  <c r="BE63" i="122"/>
  <c r="CE104" i="122"/>
  <c r="CH104" i="122" s="1"/>
  <c r="BL213" i="122"/>
  <c r="BF117" i="122"/>
  <c r="BF172" i="122" s="1"/>
  <c r="BG179" i="122"/>
  <c r="CE124" i="122"/>
  <c r="AN178" i="122"/>
  <c r="AG177" i="122"/>
  <c r="AM177" i="122" s="1"/>
  <c r="AF122" i="122"/>
  <c r="BE122" i="122"/>
  <c r="AP122" i="122"/>
  <c r="AF35" i="122"/>
  <c r="AN202" i="122"/>
  <c r="AR181" i="122"/>
  <c r="BF98" i="122"/>
  <c r="BL98" i="122" s="1"/>
  <c r="CF224" i="122"/>
  <c r="BE106" i="122"/>
  <c r="BK106" i="122" s="1"/>
  <c r="CD19" i="121"/>
  <c r="EC19" i="121" s="1"/>
  <c r="EC18" i="121"/>
  <c r="AN19" i="121"/>
  <c r="CD20" i="121"/>
  <c r="EC20" i="121" s="1"/>
  <c r="CA18" i="121"/>
  <c r="AJ83" i="121"/>
  <c r="BU77" i="121"/>
  <c r="BU36" i="121"/>
  <c r="AL80" i="121"/>
  <c r="GE79" i="121"/>
  <c r="DL83" i="121"/>
  <c r="FB89" i="121"/>
  <c r="EG31" i="121"/>
  <c r="CH40" i="121"/>
  <c r="CF21" i="121"/>
  <c r="CF14" i="121" s="1"/>
  <c r="CE22" i="121"/>
  <c r="EE22" i="121"/>
  <c r="FV84" i="121"/>
  <c r="EH55" i="121"/>
  <c r="CI76" i="121"/>
  <c r="BS21" i="121"/>
  <c r="BS39" i="121" s="1"/>
  <c r="BT14" i="121"/>
  <c r="BT12" i="121" s="1"/>
  <c r="BX82" i="121"/>
  <c r="CJ82" i="121" s="1"/>
  <c r="AU82" i="121"/>
  <c r="DL82" i="121"/>
  <c r="DV82" i="121"/>
  <c r="GE35" i="121"/>
  <c r="BV36" i="121"/>
  <c r="GC30" i="121"/>
  <c r="EF18" i="121"/>
  <c r="ED18" i="121" s="1"/>
  <c r="CM18" i="121"/>
  <c r="FU12" i="121"/>
  <c r="FU13" i="121" s="1"/>
  <c r="FT14" i="121"/>
  <c r="FU77" i="121"/>
  <c r="FU84" i="121" s="1"/>
  <c r="FU36" i="121"/>
  <c r="FQ14" i="121"/>
  <c r="FQ36" i="121" s="1"/>
  <c r="FR77" i="121"/>
  <c r="E12" i="121"/>
  <c r="E13" i="121" s="1"/>
  <c r="F13" i="121"/>
  <c r="CE35" i="121"/>
  <c r="GD32" i="121"/>
  <c r="ED28" i="121"/>
  <c r="EF15" i="121"/>
  <c r="EE15" i="121"/>
  <c r="EE37" i="121" s="1"/>
  <c r="CE15" i="121"/>
  <c r="CE38" i="121" s="1"/>
  <c r="CF38" i="121"/>
  <c r="DI12" i="121"/>
  <c r="DI13" i="121" s="1"/>
  <c r="CE8" i="121"/>
  <c r="EE8" i="121"/>
  <c r="CF11" i="121"/>
  <c r="EG53" i="121"/>
  <c r="Q89" i="121"/>
  <c r="GE28" i="121"/>
  <c r="GK28" i="121" s="1"/>
  <c r="EL28" i="121"/>
  <c r="EE20" i="121"/>
  <c r="CE20" i="121"/>
  <c r="EH21" i="121"/>
  <c r="GG22" i="121"/>
  <c r="GG21" i="121" s="1"/>
  <c r="AN20" i="121"/>
  <c r="Q77" i="121"/>
  <c r="Q84" i="121" s="1"/>
  <c r="EX79" i="121"/>
  <c r="FG79" i="121" s="1"/>
  <c r="ES89" i="121"/>
  <c r="GC31" i="121"/>
  <c r="AI39" i="121"/>
  <c r="CH32" i="121"/>
  <c r="DA13" i="121"/>
  <c r="CZ12" i="121"/>
  <c r="CZ13" i="121" s="1"/>
  <c r="EE16" i="121"/>
  <c r="CE16" i="121"/>
  <c r="DT14" i="121"/>
  <c r="DT12" i="121" s="1"/>
  <c r="BU12" i="121"/>
  <c r="BU13" i="121" s="1"/>
  <c r="EE9" i="121"/>
  <c r="CF10" i="121"/>
  <c r="CE9" i="121"/>
  <c r="EL32" i="121"/>
  <c r="GB32" i="121"/>
  <c r="GK32" i="121" s="1"/>
  <c r="CH35" i="121"/>
  <c r="GD18" i="121"/>
  <c r="BM77" i="121"/>
  <c r="BM78" i="121" s="1"/>
  <c r="EC80" i="121"/>
  <c r="CM80" i="121"/>
  <c r="ED79" i="121"/>
  <c r="EH35" i="121"/>
  <c r="AU77" i="121"/>
  <c r="AU78" i="121" s="1"/>
  <c r="EY12" i="121"/>
  <c r="EY13" i="121" s="1"/>
  <c r="BD77" i="121"/>
  <c r="BD78" i="121" s="1"/>
  <c r="GF8" i="121"/>
  <c r="GC80" i="121"/>
  <c r="FK83" i="121"/>
  <c r="FK84" i="121" s="1"/>
  <c r="AI82" i="121"/>
  <c r="AJ82" i="121"/>
  <c r="BT39" i="121"/>
  <c r="DR21" i="121"/>
  <c r="DR39" i="121" s="1"/>
  <c r="Z77" i="121"/>
  <c r="DC77" i="121"/>
  <c r="DC78" i="121" s="1"/>
  <c r="ES77" i="121"/>
  <c r="ES84" i="121" s="1"/>
  <c r="GH11" i="121"/>
  <c r="GH10" i="121"/>
  <c r="AU89" i="121"/>
  <c r="GC34" i="121"/>
  <c r="X13" i="121"/>
  <c r="EG9" i="121"/>
  <c r="CH10" i="121"/>
  <c r="DR38" i="121"/>
  <c r="DR37" i="121"/>
  <c r="N12" i="121"/>
  <c r="N13" i="121" s="1"/>
  <c r="O13" i="121"/>
  <c r="CA79" i="121"/>
  <c r="CD79" i="121"/>
  <c r="DC83" i="121"/>
  <c r="CQ12" i="121"/>
  <c r="CQ13" i="121" s="1"/>
  <c r="BD83" i="121"/>
  <c r="BW83" i="121"/>
  <c r="BW84" i="121" s="1"/>
  <c r="BV89" i="121"/>
  <c r="DV83" i="121"/>
  <c r="DV84" i="121" s="1"/>
  <c r="AM80" i="121"/>
  <c r="BM83" i="121"/>
  <c r="BV81" i="121"/>
  <c r="CH81" i="121" s="1"/>
  <c r="DC82" i="121"/>
  <c r="DW82" i="121"/>
  <c r="EF23" i="121"/>
  <c r="FR36" i="121"/>
  <c r="EF19" i="121"/>
  <c r="BD82" i="121"/>
  <c r="BW82" i="121"/>
  <c r="AI76" i="121"/>
  <c r="AG39" i="121"/>
  <c r="GH35" i="121"/>
  <c r="AF37" i="121"/>
  <c r="EY77" i="121"/>
  <c r="FH77" i="121"/>
  <c r="BV77" i="121"/>
  <c r="BV78" i="121" s="1"/>
  <c r="BK13" i="121"/>
  <c r="EF8" i="121"/>
  <c r="EF10" i="121" s="1"/>
  <c r="CG11" i="121"/>
  <c r="AF11" i="121"/>
  <c r="CG10" i="121"/>
  <c r="FV82" i="121"/>
  <c r="FK82" i="121"/>
  <c r="FT82" i="121" s="1"/>
  <c r="CI81" i="121"/>
  <c r="EH81" i="121" s="1"/>
  <c r="GG81" i="121" s="1"/>
  <c r="CG21" i="121"/>
  <c r="CG14" i="121" s="1"/>
  <c r="EF22" i="121"/>
  <c r="BA12" i="121"/>
  <c r="BA13" i="121" s="1"/>
  <c r="BB13" i="121"/>
  <c r="DR11" i="121"/>
  <c r="BS11" i="121"/>
  <c r="AO80" i="121"/>
  <c r="AY80" i="121"/>
  <c r="AK78" i="121"/>
  <c r="CE19" i="121"/>
  <c r="EE19" i="121"/>
  <c r="GF29" i="121"/>
  <c r="GF38" i="121" s="1"/>
  <c r="EG38" i="121"/>
  <c r="CT77" i="121"/>
  <c r="CT84" i="121" s="1"/>
  <c r="CZ77" i="121"/>
  <c r="EP12" i="121"/>
  <c r="EP13" i="121" s="1"/>
  <c r="EQ13" i="121"/>
  <c r="DL77" i="121"/>
  <c r="DL78" i="121" s="1"/>
  <c r="AF10" i="121"/>
  <c r="N77" i="121"/>
  <c r="FQ21" i="121"/>
  <c r="FQ39" i="121" s="1"/>
  <c r="BX83" i="121"/>
  <c r="AU83" i="121"/>
  <c r="FQ38" i="121"/>
  <c r="FQ37" i="121"/>
  <c r="ED32" i="121"/>
  <c r="GD28" i="121"/>
  <c r="FI13" i="121"/>
  <c r="FH12" i="121"/>
  <c r="FH13" i="121" s="1"/>
  <c r="FS12" i="121"/>
  <c r="FS77" i="121"/>
  <c r="FR12" i="121"/>
  <c r="FQ11" i="121"/>
  <c r="GE9" i="121"/>
  <c r="CT89" i="121"/>
  <c r="CE23" i="121"/>
  <c r="EE23" i="121"/>
  <c r="AH77" i="121"/>
  <c r="AH36" i="121"/>
  <c r="CI39" i="121"/>
  <c r="CI14" i="121"/>
  <c r="EF20" i="121"/>
  <c r="Y12" i="121"/>
  <c r="Y13" i="121" s="1"/>
  <c r="Y77" i="121"/>
  <c r="Y36" i="121"/>
  <c r="FB77" i="121"/>
  <c r="FB84" i="121" s="1"/>
  <c r="DU89" i="121"/>
  <c r="EI60" i="121"/>
  <c r="CJ76" i="121"/>
  <c r="CJ78" i="121" s="1"/>
  <c r="FT89" i="121"/>
  <c r="DS14" i="121"/>
  <c r="EF40" i="121"/>
  <c r="CE85" i="122" l="1"/>
  <c r="CE77" i="122"/>
  <c r="G36" i="132"/>
  <c r="BK44" i="122"/>
  <c r="CE14" i="122"/>
  <c r="CE99" i="122"/>
  <c r="CE100" i="122" s="1"/>
  <c r="CH14" i="122"/>
  <c r="CF13" i="122"/>
  <c r="CJ212" i="122"/>
  <c r="AQ125" i="122"/>
  <c r="BF125" i="122" s="1"/>
  <c r="W183" i="122"/>
  <c r="CG63" i="123"/>
  <c r="BF173" i="122"/>
  <c r="BL118" i="122"/>
  <c r="BK146" i="122"/>
  <c r="CC146" i="122"/>
  <c r="CI146" i="122" s="1"/>
  <c r="GE16" i="121"/>
  <c r="CD204" i="122"/>
  <c r="CJ204" i="122" s="1"/>
  <c r="AO63" i="122"/>
  <c r="AO211" i="122" s="1"/>
  <c r="BD211" i="122" s="1"/>
  <c r="BA161" i="122"/>
  <c r="BA75" i="122"/>
  <c r="CD207" i="122"/>
  <c r="AO200" i="122"/>
  <c r="BD200" i="122" s="1"/>
  <c r="BK69" i="122"/>
  <c r="CD225" i="122"/>
  <c r="CJ225" i="122" s="1"/>
  <c r="BL173" i="122"/>
  <c r="AM146" i="122"/>
  <c r="BD63" i="122"/>
  <c r="BJ63" i="122" s="1"/>
  <c r="N21" i="122"/>
  <c r="AF159" i="122"/>
  <c r="AM217" i="122"/>
  <c r="BG163" i="122"/>
  <c r="CE148" i="122"/>
  <c r="CH148" i="122" s="1"/>
  <c r="AM42" i="121"/>
  <c r="CE42" i="121"/>
  <c r="N161" i="122"/>
  <c r="N165" i="122" s="1"/>
  <c r="AI49" i="122"/>
  <c r="BG49" i="122" s="1"/>
  <c r="CE49" i="122" s="1"/>
  <c r="BH160" i="122"/>
  <c r="K181" i="122"/>
  <c r="K183" i="122" s="1"/>
  <c r="BH217" i="122"/>
  <c r="CF217" i="122" s="1"/>
  <c r="CE103" i="122"/>
  <c r="CH103" i="122" s="1"/>
  <c r="AJ227" i="122"/>
  <c r="BH227" i="122" s="1"/>
  <c r="GE42" i="121"/>
  <c r="GK42" i="121" s="1"/>
  <c r="EL42" i="121"/>
  <c r="CL42" i="121"/>
  <c r="EE42" i="121"/>
  <c r="E181" i="122"/>
  <c r="E188" i="122" s="1"/>
  <c r="AI12" i="121"/>
  <c r="AI13" i="121" s="1"/>
  <c r="AI77" i="121"/>
  <c r="DU36" i="121"/>
  <c r="AG77" i="121"/>
  <c r="AF77" i="121" s="1"/>
  <c r="DU83" i="121"/>
  <c r="DU84" i="121" s="1"/>
  <c r="EI12" i="121"/>
  <c r="EI13" i="121" s="1"/>
  <c r="EI77" i="121"/>
  <c r="EI36" i="121"/>
  <c r="AF14" i="121"/>
  <c r="AF36" i="121" s="1"/>
  <c r="AG12" i="121"/>
  <c r="AG13" i="121" s="1"/>
  <c r="BJ12" i="121"/>
  <c r="BJ13" i="121" s="1"/>
  <c r="EG81" i="121"/>
  <c r="GF81" i="121" s="1"/>
  <c r="BD84" i="121"/>
  <c r="DU82" i="121"/>
  <c r="CE10" i="121"/>
  <c r="CM19" i="121"/>
  <c r="AJ75" i="122"/>
  <c r="BH75" i="122" s="1"/>
  <c r="AI75" i="122"/>
  <c r="BG75" i="122" s="1"/>
  <c r="CE75" i="122" s="1"/>
  <c r="BD64" i="122"/>
  <c r="BK64" i="122"/>
  <c r="BD72" i="122"/>
  <c r="BJ72" i="122" s="1"/>
  <c r="BK72" i="122"/>
  <c r="AQ81" i="122"/>
  <c r="BF81" i="122" s="1"/>
  <c r="BL81" i="122" s="1"/>
  <c r="BE37" i="122"/>
  <c r="BD37" i="122" s="1"/>
  <c r="Z181" i="122"/>
  <c r="Z183" i="122" s="1"/>
  <c r="E16" i="133"/>
  <c r="D31" i="127"/>
  <c r="AQ173" i="122"/>
  <c r="CP55" i="123" s="1"/>
  <c r="BO118" i="122"/>
  <c r="BO173" i="122" s="1"/>
  <c r="EO55" i="123" s="1"/>
  <c r="AH227" i="122"/>
  <c r="AN227" i="122" s="1"/>
  <c r="BL172" i="122"/>
  <c r="CD208" i="122"/>
  <c r="CJ207" i="122"/>
  <c r="BY161" i="122"/>
  <c r="BJ218" i="122"/>
  <c r="BF92" i="122"/>
  <c r="BL92" i="122" s="1"/>
  <c r="E37" i="132"/>
  <c r="E38" i="132" s="1"/>
  <c r="E16" i="127"/>
  <c r="D41" i="132"/>
  <c r="D39" i="127"/>
  <c r="H41" i="132"/>
  <c r="H39" i="127"/>
  <c r="H49" i="127" s="1"/>
  <c r="H39" i="133"/>
  <c r="H43" i="127"/>
  <c r="H51" i="127" s="1"/>
  <c r="BL86" i="122"/>
  <c r="BD86" i="122"/>
  <c r="BJ86" i="122" s="1"/>
  <c r="AG63" i="123"/>
  <c r="CF63" i="123" s="1"/>
  <c r="S165" i="122"/>
  <c r="AQ47" i="123" s="1"/>
  <c r="AQ43" i="123"/>
  <c r="AO184" i="122"/>
  <c r="BD184" i="122" s="1"/>
  <c r="BJ184" i="122" s="1"/>
  <c r="CN73" i="123"/>
  <c r="BJ225" i="122"/>
  <c r="CB187" i="122"/>
  <c r="CH187" i="122" s="1"/>
  <c r="EM75" i="123"/>
  <c r="BD54" i="122"/>
  <c r="BJ54" i="122" s="1"/>
  <c r="CB186" i="122"/>
  <c r="CH186" i="122" s="1"/>
  <c r="EM74" i="123"/>
  <c r="C51" i="127"/>
  <c r="F39" i="133"/>
  <c r="F43" i="127"/>
  <c r="F51" i="127" s="1"/>
  <c r="AO64" i="122"/>
  <c r="AO212" i="122" s="1"/>
  <c r="BD212" i="122" s="1"/>
  <c r="BJ212" i="122" s="1"/>
  <c r="AP212" i="122"/>
  <c r="BE212" i="122" s="1"/>
  <c r="BK212" i="122" s="1"/>
  <c r="BN64" i="122"/>
  <c r="BM64" i="122" s="1"/>
  <c r="X128" i="122"/>
  <c r="W126" i="122"/>
  <c r="BM84" i="121"/>
  <c r="DC84" i="121"/>
  <c r="CD224" i="122"/>
  <c r="CJ224" i="122" s="1"/>
  <c r="CD221" i="122"/>
  <c r="CJ221" i="122" s="1"/>
  <c r="D165" i="122"/>
  <c r="D47" i="123" s="1"/>
  <c r="D43" i="123"/>
  <c r="CF163" i="122"/>
  <c r="CI163" i="122" s="1"/>
  <c r="CD214" i="122"/>
  <c r="CJ214" i="122" s="1"/>
  <c r="CD200" i="122"/>
  <c r="CJ200" i="122" s="1"/>
  <c r="F41" i="132"/>
  <c r="F39" i="127"/>
  <c r="F49" i="127" s="1"/>
  <c r="G33" i="133"/>
  <c r="G34" i="133" s="1"/>
  <c r="G20" i="127"/>
  <c r="I20" i="127" s="1"/>
  <c r="AQ211" i="122"/>
  <c r="BF211" i="122" s="1"/>
  <c r="BL211" i="122" s="1"/>
  <c r="BO63" i="122"/>
  <c r="BO211" i="122" s="1"/>
  <c r="BN72" i="122"/>
  <c r="BN224" i="122" s="1"/>
  <c r="AO72" i="122"/>
  <c r="AO224" i="122" s="1"/>
  <c r="BD224" i="122" s="1"/>
  <c r="BJ224" i="122" s="1"/>
  <c r="AP224" i="122"/>
  <c r="BE224" i="122" s="1"/>
  <c r="BK224" i="122" s="1"/>
  <c r="AP70" i="122"/>
  <c r="AN62" i="123"/>
  <c r="AF96" i="122"/>
  <c r="AL96" i="122" s="1"/>
  <c r="CD62" i="123"/>
  <c r="U53" i="126" s="1"/>
  <c r="AN96" i="122"/>
  <c r="AP41" i="123"/>
  <c r="AO79" i="121"/>
  <c r="AY79" i="121"/>
  <c r="CC148" i="122"/>
  <c r="CI148" i="122" s="1"/>
  <c r="CT78" i="121"/>
  <c r="EG37" i="121"/>
  <c r="GF28" i="121"/>
  <c r="GF37" i="121" s="1"/>
  <c r="GH14" i="121"/>
  <c r="GH77" i="121" s="1"/>
  <c r="E34" i="133"/>
  <c r="E36" i="133"/>
  <c r="G36" i="133"/>
  <c r="E17" i="133"/>
  <c r="G15" i="133"/>
  <c r="D37" i="133"/>
  <c r="D38" i="133" s="1"/>
  <c r="D43" i="127" s="1"/>
  <c r="C39" i="133"/>
  <c r="E39" i="132"/>
  <c r="G39" i="132" s="1"/>
  <c r="I39" i="132" s="1"/>
  <c r="D19" i="132"/>
  <c r="E18" i="132"/>
  <c r="C40" i="132"/>
  <c r="C39" i="127" s="1"/>
  <c r="G15" i="132"/>
  <c r="G14" i="132"/>
  <c r="GC62" i="123"/>
  <c r="GD62" i="123"/>
  <c r="BF180" i="122"/>
  <c r="BL180" i="122" s="1"/>
  <c r="BL125" i="122"/>
  <c r="BK155" i="122"/>
  <c r="BK12" i="122"/>
  <c r="BJ12" i="122" s="1"/>
  <c r="AG127" i="122"/>
  <c r="AM127" i="122" s="1"/>
  <c r="BY165" i="122"/>
  <c r="BY181" i="122"/>
  <c r="AN94" i="122"/>
  <c r="BE162" i="122"/>
  <c r="BD30" i="122"/>
  <c r="BK30" i="122"/>
  <c r="CF171" i="122"/>
  <c r="BE177" i="122"/>
  <c r="BD122" i="122"/>
  <c r="AP213" i="122"/>
  <c r="BE213" i="122" s="1"/>
  <c r="BK213" i="122" s="1"/>
  <c r="AP164" i="122"/>
  <c r="CO46" i="123" s="1"/>
  <c r="BN85" i="122"/>
  <c r="AO85" i="122"/>
  <c r="BJ64" i="122"/>
  <c r="CE64" i="122"/>
  <c r="CH64" i="122" s="1"/>
  <c r="CF153" i="122"/>
  <c r="BD73" i="122"/>
  <c r="BJ73" i="122" s="1"/>
  <c r="BK73" i="122"/>
  <c r="AO83" i="122"/>
  <c r="BN83" i="122"/>
  <c r="BM83" i="122" s="1"/>
  <c r="CE54" i="122"/>
  <c r="CH54" i="122" s="1"/>
  <c r="AQ199" i="122"/>
  <c r="BF199" i="122" s="1"/>
  <c r="BL199" i="122" s="1"/>
  <c r="AQ163" i="122"/>
  <c r="CP45" i="123" s="1"/>
  <c r="BO31" i="122"/>
  <c r="AO31" i="122"/>
  <c r="CF65" i="122"/>
  <c r="CI65" i="122" s="1"/>
  <c r="BJ205" i="122"/>
  <c r="BI227" i="122"/>
  <c r="CG227" i="122" s="1"/>
  <c r="BG200" i="122"/>
  <c r="AL200" i="122"/>
  <c r="CG168" i="122"/>
  <c r="AO108" i="122"/>
  <c r="AP101" i="122"/>
  <c r="BG157" i="122"/>
  <c r="CE25" i="122"/>
  <c r="CE205" i="122"/>
  <c r="BN78" i="122"/>
  <c r="AO78" i="122"/>
  <c r="CG157" i="122"/>
  <c r="CJ157" i="122" s="1"/>
  <c r="CJ25" i="122"/>
  <c r="BG178" i="122"/>
  <c r="CE123" i="122"/>
  <c r="AQ210" i="122"/>
  <c r="BF210" i="122" s="1"/>
  <c r="BL210" i="122" s="1"/>
  <c r="BO62" i="122"/>
  <c r="BO210" i="122" s="1"/>
  <c r="CA165" i="122"/>
  <c r="CA181" i="122"/>
  <c r="CA183" i="122" s="1"/>
  <c r="CE57" i="122"/>
  <c r="CH57" i="122" s="1"/>
  <c r="CI13" i="122"/>
  <c r="CH13" i="122" s="1"/>
  <c r="CE13" i="122"/>
  <c r="AQ202" i="122"/>
  <c r="BF202" i="122" s="1"/>
  <c r="BL202" i="122" s="1"/>
  <c r="BO53" i="122"/>
  <c r="BO202" i="122" s="1"/>
  <c r="CF70" i="122"/>
  <c r="CE213" i="122"/>
  <c r="AR188" i="122"/>
  <c r="AR183" i="122"/>
  <c r="AF177" i="122"/>
  <c r="AL177" i="122" s="1"/>
  <c r="AL122" i="122"/>
  <c r="BL60" i="122"/>
  <c r="BD60" i="122"/>
  <c r="BV126" i="122"/>
  <c r="BW128" i="122"/>
  <c r="BB165" i="122"/>
  <c r="BB181" i="122"/>
  <c r="BB183" i="122" s="1"/>
  <c r="BE85" i="122"/>
  <c r="BI160" i="122"/>
  <c r="BL159" i="122"/>
  <c r="BN210" i="122"/>
  <c r="CC210" i="122" s="1"/>
  <c r="CI210" i="122" s="1"/>
  <c r="BM62" i="122"/>
  <c r="BM210" i="122" s="1"/>
  <c r="BI40" i="122"/>
  <c r="AO110" i="122"/>
  <c r="AO226" i="122" s="1"/>
  <c r="BD226" i="122" s="1"/>
  <c r="BJ226" i="122" s="1"/>
  <c r="BN110" i="122"/>
  <c r="BM110" i="122" s="1"/>
  <c r="V128" i="122"/>
  <c r="AE126" i="122"/>
  <c r="AI160" i="122"/>
  <c r="AL159" i="122"/>
  <c r="CF155" i="122"/>
  <c r="CI155" i="122" s="1"/>
  <c r="CI24" i="122"/>
  <c r="H165" i="122"/>
  <c r="H181" i="122"/>
  <c r="BN182" i="122"/>
  <c r="CE68" i="122"/>
  <c r="CH68" i="122" s="1"/>
  <c r="BN202" i="122"/>
  <c r="CC202" i="122" s="1"/>
  <c r="CI202" i="122" s="1"/>
  <c r="BM53" i="122"/>
  <c r="BM202" i="122" s="1"/>
  <c r="BJ215" i="122"/>
  <c r="CE163" i="122"/>
  <c r="CH163" i="122" s="1"/>
  <c r="CH31" i="122"/>
  <c r="AP223" i="122"/>
  <c r="BE223" i="122" s="1"/>
  <c r="BK223" i="122" s="1"/>
  <c r="AO39" i="122"/>
  <c r="AO223" i="122" s="1"/>
  <c r="BN39" i="122"/>
  <c r="AP38" i="122"/>
  <c r="AQ205" i="122"/>
  <c r="BF205" i="122" s="1"/>
  <c r="BL205" i="122" s="1"/>
  <c r="BO57" i="122"/>
  <c r="BO205" i="122" s="1"/>
  <c r="BO55" i="122"/>
  <c r="BM55" i="122" s="1"/>
  <c r="AO55" i="122"/>
  <c r="Q159" i="122"/>
  <c r="BF100" i="122"/>
  <c r="BL100" i="122" s="1"/>
  <c r="CG178" i="122"/>
  <c r="CJ178" i="122" s="1"/>
  <c r="CJ123" i="122"/>
  <c r="AQ180" i="122"/>
  <c r="CP62" i="123" s="1"/>
  <c r="BO125" i="122"/>
  <c r="BO180" i="122" s="1"/>
  <c r="EO62" i="123" s="1"/>
  <c r="BN211" i="122"/>
  <c r="CC211" i="122" s="1"/>
  <c r="CI211" i="122" s="1"/>
  <c r="BM63" i="122"/>
  <c r="BM211" i="122" s="1"/>
  <c r="CB211" i="122" s="1"/>
  <c r="CH211" i="122" s="1"/>
  <c r="AP81" i="122"/>
  <c r="AO81" i="122" s="1"/>
  <c r="AO92" i="122"/>
  <c r="BM185" i="122"/>
  <c r="EM73" i="123" s="1"/>
  <c r="CB130" i="122"/>
  <c r="CH130" i="122" s="1"/>
  <c r="BM129" i="122"/>
  <c r="CB129" i="122" s="1"/>
  <c r="CH129" i="122" s="1"/>
  <c r="BH81" i="122"/>
  <c r="AM81" i="122"/>
  <c r="BN219" i="122"/>
  <c r="CC219" i="122" s="1"/>
  <c r="CI219" i="122" s="1"/>
  <c r="BD50" i="122"/>
  <c r="BJ50" i="122" s="1"/>
  <c r="BK50" i="122"/>
  <c r="BC165" i="122"/>
  <c r="BC181" i="122"/>
  <c r="BC183" i="122" s="1"/>
  <c r="CG94" i="122"/>
  <c r="BN206" i="122"/>
  <c r="CC206" i="122" s="1"/>
  <c r="CI206" i="122" s="1"/>
  <c r="CE162" i="122"/>
  <c r="CH162" i="122" s="1"/>
  <c r="CH30" i="122"/>
  <c r="BK218" i="122"/>
  <c r="CF218" i="122"/>
  <c r="CI218" i="122" s="1"/>
  <c r="BG101" i="122"/>
  <c r="CE101" i="122" s="1"/>
  <c r="CG156" i="122"/>
  <c r="CJ156" i="122" s="1"/>
  <c r="CJ42" i="122"/>
  <c r="CE203" i="122"/>
  <c r="BM212" i="122"/>
  <c r="AK21" i="122"/>
  <c r="BN99" i="122"/>
  <c r="AO99" i="122"/>
  <c r="AL99" i="122"/>
  <c r="CG167" i="122"/>
  <c r="BG180" i="122"/>
  <c r="CE125" i="122"/>
  <c r="BG175" i="122"/>
  <c r="CE120" i="122"/>
  <c r="BD55" i="122"/>
  <c r="BJ55" i="122" s="1"/>
  <c r="BG168" i="122"/>
  <c r="CE113" i="122"/>
  <c r="CF164" i="122"/>
  <c r="CI164" i="122" s="1"/>
  <c r="CI85" i="122"/>
  <c r="AP159" i="122"/>
  <c r="BD107" i="122"/>
  <c r="BJ107" i="122" s="1"/>
  <c r="CE224" i="122"/>
  <c r="BF62" i="122"/>
  <c r="CE58" i="122"/>
  <c r="CH58" i="122" s="1"/>
  <c r="AQ219" i="122"/>
  <c r="BF219" i="122" s="1"/>
  <c r="BL219" i="122" s="1"/>
  <c r="BO36" i="122"/>
  <c r="AQ35" i="122"/>
  <c r="AQ29" i="122" s="1"/>
  <c r="CI12" i="122"/>
  <c r="CH12" i="122" s="1"/>
  <c r="CE12" i="122"/>
  <c r="AQ157" i="122"/>
  <c r="CP39" i="123" s="1"/>
  <c r="BO25" i="122"/>
  <c r="BO157" i="122" s="1"/>
  <c r="EO39" i="123" s="1"/>
  <c r="CG127" i="122"/>
  <c r="BK208" i="122"/>
  <c r="CF208" i="122"/>
  <c r="CI208" i="122" s="1"/>
  <c r="R182" i="122"/>
  <c r="AG145" i="122"/>
  <c r="AL35" i="122"/>
  <c r="BG35" i="122"/>
  <c r="BG154" i="122"/>
  <c r="CE23" i="122"/>
  <c r="BF53" i="122"/>
  <c r="AP207" i="122"/>
  <c r="BE207" i="122" s="1"/>
  <c r="BK207" i="122" s="1"/>
  <c r="BN59" i="122"/>
  <c r="AO59" i="122"/>
  <c r="AO207" i="122" s="1"/>
  <c r="BD207" i="122" s="1"/>
  <c r="BJ214" i="122"/>
  <c r="CG75" i="122"/>
  <c r="AD165" i="122"/>
  <c r="AD181" i="122"/>
  <c r="AD183" i="122" s="1"/>
  <c r="CE202" i="122"/>
  <c r="BK74" i="122"/>
  <c r="CE36" i="122"/>
  <c r="CH36" i="122" s="1"/>
  <c r="CE59" i="122"/>
  <c r="CH59" i="122" s="1"/>
  <c r="CE179" i="122"/>
  <c r="AX126" i="122"/>
  <c r="AY128" i="122"/>
  <c r="BD93" i="122"/>
  <c r="BJ93" i="122" s="1"/>
  <c r="BK93" i="122"/>
  <c r="BG159" i="122"/>
  <c r="BJ27" i="122"/>
  <c r="BG28" i="122"/>
  <c r="CE27" i="122"/>
  <c r="BD109" i="122"/>
  <c r="BJ109" i="122" s="1"/>
  <c r="BK109" i="122"/>
  <c r="AP204" i="122"/>
  <c r="BE204" i="122" s="1"/>
  <c r="BK204" i="122" s="1"/>
  <c r="AO56" i="122"/>
  <c r="AO204" i="122" s="1"/>
  <c r="BD204" i="122" s="1"/>
  <c r="BN56" i="122"/>
  <c r="CG169" i="122"/>
  <c r="CG171" i="122"/>
  <c r="CJ171" i="122" s="1"/>
  <c r="CJ116" i="122"/>
  <c r="AF164" i="122"/>
  <c r="AL164" i="122" s="1"/>
  <c r="AL85" i="122"/>
  <c r="CG159" i="122"/>
  <c r="CG28" i="122"/>
  <c r="CJ28" i="122" s="1"/>
  <c r="CJ27" i="122"/>
  <c r="AO62" i="122"/>
  <c r="AO210" i="122" s="1"/>
  <c r="BD210" i="122" s="1"/>
  <c r="BJ210" i="122" s="1"/>
  <c r="AF44" i="122"/>
  <c r="AQ44" i="122"/>
  <c r="AH155" i="122"/>
  <c r="AN155" i="122" s="1"/>
  <c r="AN44" i="122"/>
  <c r="BI49" i="122"/>
  <c r="AN49" i="122"/>
  <c r="CG163" i="122"/>
  <c r="CJ163" i="122" s="1"/>
  <c r="BE83" i="122"/>
  <c r="CF79" i="122"/>
  <c r="CI78" i="122"/>
  <c r="BG221" i="122"/>
  <c r="AL221" i="122"/>
  <c r="CF159" i="122"/>
  <c r="AL31" i="122"/>
  <c r="BL70" i="122"/>
  <c r="CG70" i="122"/>
  <c r="BL82" i="122"/>
  <c r="BD82" i="122"/>
  <c r="BJ82" i="122" s="1"/>
  <c r="AO53" i="122"/>
  <c r="AO202" i="122" s="1"/>
  <c r="BD202" i="122" s="1"/>
  <c r="BJ202" i="122" s="1"/>
  <c r="BF164" i="122"/>
  <c r="BL164" i="122" s="1"/>
  <c r="BL85" i="122"/>
  <c r="BK54" i="122"/>
  <c r="AM199" i="122"/>
  <c r="O165" i="122"/>
  <c r="O181" i="122"/>
  <c r="O183" i="122" s="1"/>
  <c r="BG173" i="122"/>
  <c r="CE118" i="122"/>
  <c r="BF79" i="122"/>
  <c r="BL79" i="122" s="1"/>
  <c r="BL78" i="122"/>
  <c r="AQ201" i="122"/>
  <c r="BF201" i="122" s="1"/>
  <c r="BL201" i="122" s="1"/>
  <c r="BO33" i="122"/>
  <c r="BM33" i="122" s="1"/>
  <c r="BN214" i="122"/>
  <c r="CC214" i="122" s="1"/>
  <c r="CI214" i="122" s="1"/>
  <c r="BM87" i="122"/>
  <c r="BM214" i="122" s="1"/>
  <c r="CB214" i="122" s="1"/>
  <c r="CH214" i="122" s="1"/>
  <c r="CF212" i="122"/>
  <c r="AC94" i="122"/>
  <c r="AI94" i="122" s="1"/>
  <c r="AJ94" i="122"/>
  <c r="AP226" i="122"/>
  <c r="BE226" i="122" s="1"/>
  <c r="BK226" i="122" s="1"/>
  <c r="CE199" i="122"/>
  <c r="BS133" i="122"/>
  <c r="BS128" i="122"/>
  <c r="AC40" i="122"/>
  <c r="AI40" i="122" s="1"/>
  <c r="AJ40" i="122"/>
  <c r="BJ71" i="122"/>
  <c r="CE71" i="122"/>
  <c r="CH71" i="122" s="1"/>
  <c r="BF57" i="122"/>
  <c r="BE108" i="122"/>
  <c r="AF108" i="122"/>
  <c r="AL108" i="122" s="1"/>
  <c r="AM108" i="122"/>
  <c r="BZ126" i="122"/>
  <c r="BP126" i="122"/>
  <c r="BQ128" i="122"/>
  <c r="CG101" i="122"/>
  <c r="CJ101" i="122" s="1"/>
  <c r="CE65" i="122"/>
  <c r="CH65" i="122" s="1"/>
  <c r="BE9" i="122"/>
  <c r="BO96" i="122"/>
  <c r="BM96" i="122" s="1"/>
  <c r="AO96" i="122"/>
  <c r="CE33" i="122"/>
  <c r="CH33" i="122" s="1"/>
  <c r="BJ211" i="122"/>
  <c r="D170" i="122"/>
  <c r="D52" i="123" s="1"/>
  <c r="CG172" i="122"/>
  <c r="CJ172" i="122" s="1"/>
  <c r="CJ117" i="122"/>
  <c r="BI170" i="122"/>
  <c r="CG115" i="122"/>
  <c r="BN209" i="122"/>
  <c r="CC209" i="122" s="1"/>
  <c r="BM61" i="122"/>
  <c r="BM209" i="122" s="1"/>
  <c r="CB209" i="122" s="1"/>
  <c r="CH209" i="122" s="1"/>
  <c r="CD220" i="122"/>
  <c r="CJ220" i="122" s="1"/>
  <c r="BI166" i="122"/>
  <c r="CG111" i="122"/>
  <c r="BV165" i="122"/>
  <c r="BV181" i="122"/>
  <c r="BE56" i="122"/>
  <c r="BM93" i="122"/>
  <c r="BN92" i="122"/>
  <c r="CF177" i="122"/>
  <c r="CI177" i="122" s="1"/>
  <c r="CI122" i="122"/>
  <c r="L128" i="122"/>
  <c r="K126" i="122"/>
  <c r="BG81" i="122"/>
  <c r="CE81" i="122" s="1"/>
  <c r="BG158" i="122"/>
  <c r="CE26" i="122"/>
  <c r="AJ182" i="122"/>
  <c r="BH145" i="122"/>
  <c r="AI145" i="122"/>
  <c r="AQ156" i="122"/>
  <c r="CP38" i="123" s="1"/>
  <c r="BO42" i="122"/>
  <c r="BO156" i="122" s="1"/>
  <c r="EO38" i="123" s="1"/>
  <c r="BH127" i="122"/>
  <c r="CE146" i="122"/>
  <c r="CI10" i="122"/>
  <c r="CH10" i="122" s="1"/>
  <c r="CE10" i="122"/>
  <c r="Q222" i="122"/>
  <c r="BG172" i="122"/>
  <c r="CE117" i="122"/>
  <c r="BO22" i="122"/>
  <c r="BJ204" i="122"/>
  <c r="AQ215" i="122"/>
  <c r="BF215" i="122" s="1"/>
  <c r="BL215" i="122" s="1"/>
  <c r="BO88" i="122"/>
  <c r="BO215" i="122" s="1"/>
  <c r="CD209" i="122"/>
  <c r="CJ209" i="122" s="1"/>
  <c r="CE218" i="122"/>
  <c r="CG153" i="122"/>
  <c r="CJ22" i="122"/>
  <c r="BN212" i="122"/>
  <c r="BB126" i="122"/>
  <c r="CG9" i="122"/>
  <c r="AF162" i="122"/>
  <c r="AL162" i="122" s="1"/>
  <c r="AL30" i="122"/>
  <c r="AQ49" i="122"/>
  <c r="BG156" i="122"/>
  <c r="CE42" i="122"/>
  <c r="BJ74" i="122"/>
  <c r="CE74" i="122"/>
  <c r="CH74" i="122" s="1"/>
  <c r="BN201" i="122"/>
  <c r="CC201" i="122" s="1"/>
  <c r="CI201" i="122" s="1"/>
  <c r="CF180" i="122"/>
  <c r="CG174" i="122"/>
  <c r="CJ174" i="122" s="1"/>
  <c r="CJ119" i="122"/>
  <c r="AE165" i="122"/>
  <c r="AE181" i="122"/>
  <c r="AE183" i="122" s="1"/>
  <c r="BE78" i="122"/>
  <c r="BO70" i="122"/>
  <c r="BH170" i="122"/>
  <c r="CF115" i="122"/>
  <c r="BO107" i="122"/>
  <c r="AQ106" i="122"/>
  <c r="AO107" i="122"/>
  <c r="AO219" i="122" s="1"/>
  <c r="BD219" i="122" s="1"/>
  <c r="BJ219" i="122" s="1"/>
  <c r="BM27" i="122"/>
  <c r="BF25" i="122"/>
  <c r="CE79" i="122"/>
  <c r="BG217" i="122"/>
  <c r="AL217" i="122"/>
  <c r="BK162" i="122"/>
  <c r="CE153" i="122"/>
  <c r="CG175" i="122"/>
  <c r="CJ175" i="122" s="1"/>
  <c r="CJ120" i="122"/>
  <c r="BE59" i="122"/>
  <c r="AP221" i="122"/>
  <c r="BE221" i="122" s="1"/>
  <c r="BK221" i="122" s="1"/>
  <c r="AO37" i="122"/>
  <c r="AO221" i="122" s="1"/>
  <c r="BD221" i="122" s="1"/>
  <c r="BN37" i="122"/>
  <c r="BN35" i="122" s="1"/>
  <c r="CE73" i="122"/>
  <c r="CH73" i="122" s="1"/>
  <c r="BJ66" i="122"/>
  <c r="CE66" i="122"/>
  <c r="CH66" i="122" s="1"/>
  <c r="CG173" i="122"/>
  <c r="CJ173" i="122" s="1"/>
  <c r="CJ118" i="122"/>
  <c r="CE45" i="122"/>
  <c r="AC21" i="122"/>
  <c r="AI21" i="122" s="1"/>
  <c r="AJ21" i="122"/>
  <c r="BF162" i="122"/>
  <c r="BL162" i="122" s="1"/>
  <c r="BL30" i="122"/>
  <c r="BG198" i="122"/>
  <c r="AL198" i="122"/>
  <c r="BD68" i="122"/>
  <c r="BJ68" i="122" s="1"/>
  <c r="BK68" i="122"/>
  <c r="BF108" i="122"/>
  <c r="BL108" i="122" s="1"/>
  <c r="BO198" i="122"/>
  <c r="CD198" i="122" s="1"/>
  <c r="BO162" i="122"/>
  <c r="EO44" i="123" s="1"/>
  <c r="BD16" i="122"/>
  <c r="BK16" i="122"/>
  <c r="BJ16" i="122" s="1"/>
  <c r="BK35" i="122"/>
  <c r="CF35" i="122"/>
  <c r="CI35" i="122" s="1"/>
  <c r="AM159" i="122"/>
  <c r="BD47" i="122"/>
  <c r="BJ47" i="122" s="1"/>
  <c r="BK47" i="122"/>
  <c r="CE177" i="122"/>
  <c r="CH177" i="122" s="1"/>
  <c r="CH122" i="122"/>
  <c r="BI182" i="122"/>
  <c r="CG145" i="122"/>
  <c r="BO218" i="122"/>
  <c r="CD218" i="122" s="1"/>
  <c r="CJ218" i="122" s="1"/>
  <c r="BO65" i="122"/>
  <c r="BM66" i="122"/>
  <c r="BM218" i="122" s="1"/>
  <c r="CB218" i="122" s="1"/>
  <c r="BK63" i="122"/>
  <c r="BJ208" i="122"/>
  <c r="CE208" i="122"/>
  <c r="CE63" i="122"/>
  <c r="CH63" i="122" s="1"/>
  <c r="AQ206" i="122"/>
  <c r="BF206" i="122" s="1"/>
  <c r="BL206" i="122" s="1"/>
  <c r="BO58" i="122"/>
  <c r="BO206" i="122" s="1"/>
  <c r="BD89" i="122"/>
  <c r="BJ89" i="122" s="1"/>
  <c r="BK89" i="122"/>
  <c r="BO223" i="122"/>
  <c r="CD223" i="122" s="1"/>
  <c r="CJ223" i="122" s="1"/>
  <c r="BO38" i="122"/>
  <c r="BM74" i="122"/>
  <c r="BG223" i="122"/>
  <c r="AL223" i="122"/>
  <c r="P165" i="122"/>
  <c r="P181" i="122"/>
  <c r="P183" i="122" s="1"/>
  <c r="BO159" i="122"/>
  <c r="BO28" i="122"/>
  <c r="BG115" i="122"/>
  <c r="AI170" i="122"/>
  <c r="BG167" i="122"/>
  <c r="CE112" i="122"/>
  <c r="BG9" i="122"/>
  <c r="CF9" i="122"/>
  <c r="CJ50" i="122"/>
  <c r="CG162" i="122"/>
  <c r="CJ162" i="122" s="1"/>
  <c r="BE127" i="122"/>
  <c r="AF49" i="122"/>
  <c r="AH176" i="122"/>
  <c r="AN176" i="122" s="1"/>
  <c r="AN121" i="122"/>
  <c r="AQ121" i="122"/>
  <c r="BO92" i="122"/>
  <c r="BO226" i="122"/>
  <c r="CD226" i="122" s="1"/>
  <c r="CJ226" i="122" s="1"/>
  <c r="BN225" i="122"/>
  <c r="CC225" i="122" s="1"/>
  <c r="CI225" i="122" s="1"/>
  <c r="BM73" i="122"/>
  <c r="BM225" i="122" s="1"/>
  <c r="CB225" i="122" s="1"/>
  <c r="BK90" i="122"/>
  <c r="CF90" i="122"/>
  <c r="CI90" i="122" s="1"/>
  <c r="BK177" i="122"/>
  <c r="BJ206" i="122"/>
  <c r="CF175" i="122"/>
  <c r="CG155" i="122"/>
  <c r="CJ155" i="122" s="1"/>
  <c r="CJ24" i="122"/>
  <c r="CF173" i="122"/>
  <c r="AC227" i="122"/>
  <c r="AI227" i="122" s="1"/>
  <c r="AI222" i="122"/>
  <c r="BM60" i="122"/>
  <c r="BM208" i="122" s="1"/>
  <c r="CB208" i="122" s="1"/>
  <c r="BH101" i="122"/>
  <c r="CE39" i="122"/>
  <c r="CH39" i="122" s="1"/>
  <c r="BN200" i="122"/>
  <c r="CC200" i="122" s="1"/>
  <c r="CI200" i="122" s="1"/>
  <c r="BM32" i="122"/>
  <c r="BM200" i="122" s="1"/>
  <c r="CB200" i="122" s="1"/>
  <c r="AP198" i="122"/>
  <c r="BE198" i="122" s="1"/>
  <c r="BK198" i="122" s="1"/>
  <c r="AP162" i="122"/>
  <c r="CO44" i="123" s="1"/>
  <c r="BN30" i="122"/>
  <c r="AO30" i="122"/>
  <c r="AK161" i="122"/>
  <c r="BI29" i="122"/>
  <c r="AN29" i="122"/>
  <c r="BD99" i="122"/>
  <c r="BK99" i="122"/>
  <c r="CF154" i="122"/>
  <c r="CF157" i="122"/>
  <c r="BL198" i="122"/>
  <c r="CG198" i="122"/>
  <c r="CE80" i="122"/>
  <c r="CF162" i="122"/>
  <c r="CI162" i="122" s="1"/>
  <c r="CI30" i="122"/>
  <c r="CE56" i="122"/>
  <c r="CH56" i="122" s="1"/>
  <c r="BD92" i="122"/>
  <c r="BJ92" i="122" s="1"/>
  <c r="CE62" i="122"/>
  <c r="CH62" i="122" s="1"/>
  <c r="CF179" i="122"/>
  <c r="BJ207" i="122"/>
  <c r="CE207" i="122"/>
  <c r="AC161" i="122"/>
  <c r="AI29" i="122"/>
  <c r="AT128" i="122"/>
  <c r="BC126" i="122"/>
  <c r="BC128" i="122" s="1"/>
  <c r="AR126" i="122"/>
  <c r="AP177" i="122"/>
  <c r="CO59" i="123" s="1"/>
  <c r="BN122" i="122"/>
  <c r="AO122" i="122"/>
  <c r="AO177" i="122" s="1"/>
  <c r="BD52" i="122"/>
  <c r="BJ52" i="122" s="1"/>
  <c r="BK52" i="122"/>
  <c r="BK37" i="122"/>
  <c r="BD146" i="122"/>
  <c r="AL146" i="122"/>
  <c r="BD15" i="122"/>
  <c r="BK15" i="122"/>
  <c r="BJ15" i="122" s="1"/>
  <c r="BE110" i="122"/>
  <c r="AQ80" i="122"/>
  <c r="BF80" i="122" s="1"/>
  <c r="AN80" i="122"/>
  <c r="AH154" i="122"/>
  <c r="AN154" i="122" s="1"/>
  <c r="BD36" i="122"/>
  <c r="BJ36" i="122" s="1"/>
  <c r="BK36" i="122"/>
  <c r="CE212" i="122"/>
  <c r="BY227" i="122"/>
  <c r="BF31" i="122"/>
  <c r="E126" i="122"/>
  <c r="F128" i="122"/>
  <c r="O126" i="122"/>
  <c r="CE164" i="122"/>
  <c r="CH164" i="122" s="1"/>
  <c r="CH85" i="122"/>
  <c r="BD223" i="122"/>
  <c r="AI166" i="122"/>
  <c r="BG111" i="122"/>
  <c r="BF58" i="122"/>
  <c r="BE39" i="122"/>
  <c r="Q199" i="122"/>
  <c r="AF199" i="122" s="1"/>
  <c r="Q163" i="122"/>
  <c r="AQ222" i="122"/>
  <c r="BF222" i="122" s="1"/>
  <c r="BF38" i="122"/>
  <c r="BL38" i="122" s="1"/>
  <c r="BF33" i="122"/>
  <c r="CE34" i="122"/>
  <c r="BH49" i="122"/>
  <c r="AM49" i="122"/>
  <c r="CE53" i="122"/>
  <c r="CH53" i="122" s="1"/>
  <c r="CI11" i="122"/>
  <c r="CE11" i="122"/>
  <c r="P126" i="122"/>
  <c r="P128" i="122" s="1"/>
  <c r="Q101" i="122"/>
  <c r="AG101" i="122"/>
  <c r="AM101" i="122" s="1"/>
  <c r="BG48" i="122"/>
  <c r="CE47" i="122"/>
  <c r="BJ90" i="122"/>
  <c r="BF96" i="122"/>
  <c r="S176" i="122"/>
  <c r="AQ58" i="123" s="1"/>
  <c r="S115" i="122"/>
  <c r="S170" i="122" s="1"/>
  <c r="AQ52" i="123" s="1"/>
  <c r="BL117" i="122"/>
  <c r="AN217" i="122"/>
  <c r="CD203" i="122"/>
  <c r="CJ203" i="122" s="1"/>
  <c r="AX165" i="122"/>
  <c r="AX181" i="122"/>
  <c r="CE185" i="122"/>
  <c r="BY40" i="122"/>
  <c r="BN215" i="122"/>
  <c r="CC215" i="122" s="1"/>
  <c r="CI215" i="122" s="1"/>
  <c r="CI209" i="122"/>
  <c r="BK122" i="122"/>
  <c r="BJ37" i="122"/>
  <c r="CE37" i="122"/>
  <c r="CH37" i="122" s="1"/>
  <c r="T165" i="122"/>
  <c r="T181" i="122"/>
  <c r="BF42" i="122"/>
  <c r="BD14" i="122"/>
  <c r="BK14" i="122"/>
  <c r="BJ14" i="122" s="1"/>
  <c r="CE147" i="122"/>
  <c r="AO50" i="122"/>
  <c r="BN50" i="122"/>
  <c r="BM50" i="122" s="1"/>
  <c r="BG155" i="122"/>
  <c r="BJ24" i="122"/>
  <c r="CE24" i="122"/>
  <c r="BG127" i="122"/>
  <c r="CE225" i="122"/>
  <c r="BO213" i="122"/>
  <c r="CD213" i="122" s="1"/>
  <c r="CJ213" i="122" s="1"/>
  <c r="BO164" i="122"/>
  <c r="EO46" i="123" s="1"/>
  <c r="BK10" i="122"/>
  <c r="BJ10" i="122" s="1"/>
  <c r="AG222" i="122"/>
  <c r="AM222" i="122" s="1"/>
  <c r="BJ60" i="122"/>
  <c r="CE60" i="122"/>
  <c r="CH60" i="122" s="1"/>
  <c r="BG176" i="122"/>
  <c r="CE121" i="122"/>
  <c r="BY94" i="122"/>
  <c r="CE88" i="122"/>
  <c r="CH88" i="122" s="1"/>
  <c r="CG154" i="122"/>
  <c r="CJ154" i="122" s="1"/>
  <c r="CJ23" i="122"/>
  <c r="BF22" i="122"/>
  <c r="BI222" i="122"/>
  <c r="AN222" i="122"/>
  <c r="BG38" i="122"/>
  <c r="AL38" i="122"/>
  <c r="BG174" i="122"/>
  <c r="CE119" i="122"/>
  <c r="BF88" i="122"/>
  <c r="BL88" i="122" s="1"/>
  <c r="BD104" i="122"/>
  <c r="BJ104" i="122" s="1"/>
  <c r="H126" i="122"/>
  <c r="I128" i="122"/>
  <c r="CE204" i="122"/>
  <c r="AU133" i="122"/>
  <c r="AU128" i="122"/>
  <c r="BN108" i="122"/>
  <c r="BM109" i="122"/>
  <c r="CF167" i="122"/>
  <c r="CF158" i="122"/>
  <c r="AO33" i="122"/>
  <c r="AG8" i="122"/>
  <c r="BG169" i="122"/>
  <c r="CE114" i="122"/>
  <c r="BE81" i="122"/>
  <c r="BD81" i="122" s="1"/>
  <c r="AF81" i="122"/>
  <c r="AL81" i="122" s="1"/>
  <c r="CJ208" i="122"/>
  <c r="AL78" i="122"/>
  <c r="BG171" i="122"/>
  <c r="CE116" i="122"/>
  <c r="BK92" i="122"/>
  <c r="CF92" i="122"/>
  <c r="CI92" i="122" s="1"/>
  <c r="Z126" i="122"/>
  <c r="AA128" i="122"/>
  <c r="CF168" i="122"/>
  <c r="CE215" i="122"/>
  <c r="AP203" i="122"/>
  <c r="BE203" i="122" s="1"/>
  <c r="BK203" i="122" s="1"/>
  <c r="BN54" i="122"/>
  <c r="AO54" i="122"/>
  <c r="AO203" i="122" s="1"/>
  <c r="BD203" i="122" s="1"/>
  <c r="BJ203" i="122" s="1"/>
  <c r="BH222" i="122"/>
  <c r="CE108" i="122"/>
  <c r="CH108" i="122" s="1"/>
  <c r="CG176" i="122"/>
  <c r="CJ176" i="122" s="1"/>
  <c r="CJ121" i="122"/>
  <c r="BF179" i="122"/>
  <c r="BL179" i="122" s="1"/>
  <c r="BL124" i="122"/>
  <c r="CD216" i="122"/>
  <c r="CJ216" i="122" s="1"/>
  <c r="CG38" i="122"/>
  <c r="CJ38" i="122" s="1"/>
  <c r="BJ32" i="122"/>
  <c r="CE32" i="122"/>
  <c r="CH32" i="122" s="1"/>
  <c r="AF51" i="122"/>
  <c r="AL51" i="122" s="1"/>
  <c r="AG163" i="122"/>
  <c r="AM163" i="122" s="1"/>
  <c r="AP51" i="122"/>
  <c r="BE51" i="122" s="1"/>
  <c r="AM51" i="122"/>
  <c r="CG180" i="122"/>
  <c r="CJ180" i="122" s="1"/>
  <c r="CJ125" i="122"/>
  <c r="BN205" i="122"/>
  <c r="CC205" i="122" s="1"/>
  <c r="CI205" i="122" s="1"/>
  <c r="BM57" i="122"/>
  <c r="BM205" i="122" s="1"/>
  <c r="CB205" i="122" s="1"/>
  <c r="CE206" i="122"/>
  <c r="AD126" i="122"/>
  <c r="T126" i="122"/>
  <c r="U128" i="122"/>
  <c r="AJ161" i="122"/>
  <c r="BH29" i="122"/>
  <c r="BD185" i="122"/>
  <c r="BJ185" i="122" s="1"/>
  <c r="BH166" i="122"/>
  <c r="CF111" i="122"/>
  <c r="AP220" i="122"/>
  <c r="BE220" i="122" s="1"/>
  <c r="BK220" i="122" s="1"/>
  <c r="AO68" i="122"/>
  <c r="AO220" i="122" s="1"/>
  <c r="BD220" i="122" s="1"/>
  <c r="BJ220" i="122" s="1"/>
  <c r="BN68" i="122"/>
  <c r="AP65" i="122"/>
  <c r="BJ87" i="122"/>
  <c r="CE87" i="122"/>
  <c r="CH87" i="122" s="1"/>
  <c r="CF207" i="122"/>
  <c r="BR128" i="122"/>
  <c r="CA126" i="122"/>
  <c r="AL213" i="122"/>
  <c r="BN47" i="122"/>
  <c r="AO47" i="122"/>
  <c r="BS183" i="122"/>
  <c r="BS188" i="122"/>
  <c r="AH161" i="122"/>
  <c r="AH165" i="122" s="1"/>
  <c r="FP79" i="121"/>
  <c r="FY79" i="121" s="1"/>
  <c r="CM20" i="121"/>
  <c r="CG77" i="121"/>
  <c r="CG36" i="121"/>
  <c r="DT13" i="121"/>
  <c r="DR14" i="121"/>
  <c r="DR36" i="121" s="1"/>
  <c r="DS77" i="121"/>
  <c r="DS36" i="121"/>
  <c r="FQ12" i="121"/>
  <c r="FQ13" i="121" s="1"/>
  <c r="FR13" i="121"/>
  <c r="BV83" i="121"/>
  <c r="BV84" i="121" s="1"/>
  <c r="AU84" i="121"/>
  <c r="W77" i="121"/>
  <c r="ED19" i="121"/>
  <c r="GD19" i="121"/>
  <c r="AI89" i="121"/>
  <c r="AI78" i="121"/>
  <c r="CI82" i="121"/>
  <c r="EH82" i="121" s="1"/>
  <c r="GG82" i="121" s="1"/>
  <c r="GG35" i="121"/>
  <c r="GB80" i="121"/>
  <c r="GK80" i="121" s="1"/>
  <c r="EL80" i="121"/>
  <c r="Q78" i="121"/>
  <c r="EG54" i="121"/>
  <c r="GF53" i="121"/>
  <c r="GF54" i="121" s="1"/>
  <c r="CE11" i="121"/>
  <c r="CF12" i="121"/>
  <c r="CE14" i="121"/>
  <c r="CE36" i="121" s="1"/>
  <c r="CF77" i="121"/>
  <c r="CF36" i="121"/>
  <c r="CE37" i="121"/>
  <c r="FQ77" i="121"/>
  <c r="AJ84" i="121"/>
  <c r="CI83" i="121"/>
  <c r="GH60" i="121"/>
  <c r="GH76" i="121" s="1"/>
  <c r="GH78" i="121" s="1"/>
  <c r="EI76" i="121"/>
  <c r="CI12" i="121"/>
  <c r="CI13" i="121" s="1"/>
  <c r="CH14" i="121"/>
  <c r="CH12" i="121" s="1"/>
  <c r="CH13" i="121" s="1"/>
  <c r="CI77" i="121"/>
  <c r="CH77" i="121" s="1"/>
  <c r="GD23" i="121"/>
  <c r="ED23" i="121"/>
  <c r="BX84" i="121"/>
  <c r="CJ83" i="121"/>
  <c r="GE8" i="121"/>
  <c r="EF11" i="121"/>
  <c r="GE19" i="121"/>
  <c r="GK19" i="121" s="1"/>
  <c r="EL19" i="121"/>
  <c r="EC79" i="121"/>
  <c r="CM79" i="121"/>
  <c r="Z78" i="121"/>
  <c r="Z84" i="121"/>
  <c r="GC79" i="121"/>
  <c r="EG32" i="121"/>
  <c r="CH39" i="121"/>
  <c r="ES78" i="121"/>
  <c r="GD8" i="121"/>
  <c r="ED8" i="121"/>
  <c r="EE11" i="121"/>
  <c r="FT83" i="121"/>
  <c r="FT77" i="121"/>
  <c r="FT78" i="121" s="1"/>
  <c r="FU78" i="121"/>
  <c r="EL18" i="121"/>
  <c r="GE18" i="121"/>
  <c r="GK18" i="121" s="1"/>
  <c r="BV82" i="121"/>
  <c r="CH82" i="121" s="1"/>
  <c r="BS14" i="121"/>
  <c r="BS36" i="121" s="1"/>
  <c r="BT77" i="121"/>
  <c r="BT36" i="121"/>
  <c r="CH76" i="121"/>
  <c r="CE21" i="121"/>
  <c r="CE39" i="121" s="1"/>
  <c r="CF39" i="121"/>
  <c r="GF31" i="121"/>
  <c r="GF40" i="121" s="1"/>
  <c r="EG40" i="121"/>
  <c r="GE20" i="121"/>
  <c r="GK20" i="121" s="1"/>
  <c r="EL20" i="121"/>
  <c r="GE40" i="121"/>
  <c r="GC32" i="121"/>
  <c r="AX80" i="121"/>
  <c r="BH80" i="121"/>
  <c r="DS12" i="121"/>
  <c r="EF21" i="121"/>
  <c r="EF14" i="121" s="1"/>
  <c r="GE22" i="121"/>
  <c r="GE23" i="121"/>
  <c r="EG10" i="121"/>
  <c r="GF9" i="121"/>
  <c r="GF10" i="121" s="1"/>
  <c r="EG11" i="121"/>
  <c r="EG35" i="121"/>
  <c r="DT77" i="121"/>
  <c r="DT36" i="121"/>
  <c r="GD16" i="121"/>
  <c r="ED16" i="121"/>
  <c r="GG39" i="121"/>
  <c r="GG14" i="121"/>
  <c r="GD20" i="121"/>
  <c r="ED20" i="121"/>
  <c r="GD15" i="121"/>
  <c r="ED15" i="121"/>
  <c r="ED38" i="121" s="1"/>
  <c r="EE38" i="121"/>
  <c r="GE15" i="121"/>
  <c r="FT12" i="121"/>
  <c r="FT13" i="121" s="1"/>
  <c r="FT36" i="121"/>
  <c r="EI82" i="121"/>
  <c r="GH82" i="121" s="1"/>
  <c r="GG55" i="121"/>
  <c r="GG76" i="121" s="1"/>
  <c r="EH76" i="121"/>
  <c r="FB78" i="121"/>
  <c r="FS13" i="121"/>
  <c r="BS12" i="121"/>
  <c r="BS13" i="121" s="1"/>
  <c r="BT13" i="121"/>
  <c r="CG12" i="121"/>
  <c r="W12" i="121"/>
  <c r="W13" i="121" s="1"/>
  <c r="CI36" i="121"/>
  <c r="GD9" i="121"/>
  <c r="EE10" i="121"/>
  <c r="ED9" i="121"/>
  <c r="GC40" i="121"/>
  <c r="EH39" i="121"/>
  <c r="EH14" i="121"/>
  <c r="GC28" i="121"/>
  <c r="ED35" i="121"/>
  <c r="ED22" i="121"/>
  <c r="EE21" i="121"/>
  <c r="GD22" i="121"/>
  <c r="DL84" i="121"/>
  <c r="AI83" i="121"/>
  <c r="CH99" i="122" l="1"/>
  <c r="K43" i="127"/>
  <c r="E43" i="127"/>
  <c r="G43" i="127" s="1"/>
  <c r="I43" i="127" s="1"/>
  <c r="Z188" i="122"/>
  <c r="CB212" i="122"/>
  <c r="CC224" i="122"/>
  <c r="CI224" i="122" s="1"/>
  <c r="CM62" i="123"/>
  <c r="CD211" i="122"/>
  <c r="CJ211" i="122" s="1"/>
  <c r="AL49" i="122"/>
  <c r="BA165" i="122"/>
  <c r="BA181" i="122"/>
  <c r="BM226" i="122"/>
  <c r="AO201" i="122"/>
  <c r="BD201" i="122" s="1"/>
  <c r="BJ201" i="122" s="1"/>
  <c r="BN70" i="122"/>
  <c r="N181" i="122"/>
  <c r="CK42" i="121"/>
  <c r="ED42" i="121"/>
  <c r="K188" i="122"/>
  <c r="EK42" i="121"/>
  <c r="GD42" i="121"/>
  <c r="GJ42" i="121" s="1"/>
  <c r="E183" i="122"/>
  <c r="EI78" i="121"/>
  <c r="AF12" i="121"/>
  <c r="AF13" i="121" s="1"/>
  <c r="ED37" i="121"/>
  <c r="EG82" i="121"/>
  <c r="GF82" i="121" s="1"/>
  <c r="ED10" i="121"/>
  <c r="CD206" i="122"/>
  <c r="CJ206" i="122" s="1"/>
  <c r="CH208" i="122"/>
  <c r="BM201" i="122"/>
  <c r="CB201" i="122" s="1"/>
  <c r="CH201" i="122" s="1"/>
  <c r="CC212" i="122"/>
  <c r="BO201" i="122"/>
  <c r="CD201" i="122" s="1"/>
  <c r="CJ201" i="122" s="1"/>
  <c r="BM72" i="122"/>
  <c r="BM224" i="122" s="1"/>
  <c r="CB224" i="122" s="1"/>
  <c r="E19" i="132"/>
  <c r="D26" i="127"/>
  <c r="G37" i="132"/>
  <c r="G38" i="132" s="1"/>
  <c r="G16" i="127"/>
  <c r="I16" i="127" s="1"/>
  <c r="D51" i="127"/>
  <c r="K51" i="127" s="1"/>
  <c r="K31" i="127"/>
  <c r="K39" i="127"/>
  <c r="E39" i="127"/>
  <c r="G39" i="127" s="1"/>
  <c r="I39" i="127" s="1"/>
  <c r="C49" i="127"/>
  <c r="W133" i="122"/>
  <c r="W128" i="122"/>
  <c r="G16" i="133"/>
  <c r="E31" i="127"/>
  <c r="E51" i="127" s="1"/>
  <c r="AP49" i="122"/>
  <c r="CH212" i="122"/>
  <c r="BN226" i="122"/>
  <c r="CC226" i="122" s="1"/>
  <c r="CI226" i="122" s="1"/>
  <c r="CD202" i="122"/>
  <c r="CJ202" i="122" s="1"/>
  <c r="BE70" i="122"/>
  <c r="AO70" i="122"/>
  <c r="CY62" i="123"/>
  <c r="DH62" i="123" s="1"/>
  <c r="EX62" i="123"/>
  <c r="FG62" i="123" s="1"/>
  <c r="BN159" i="122"/>
  <c r="EN41" i="123" s="1"/>
  <c r="EO41" i="123"/>
  <c r="CO41" i="123"/>
  <c r="AH115" i="122"/>
  <c r="AH170" i="122" s="1"/>
  <c r="AN170" i="122" s="1"/>
  <c r="BH79" i="121"/>
  <c r="AX79" i="121"/>
  <c r="GH12" i="121"/>
  <c r="GH13" i="121" s="1"/>
  <c r="GH36" i="121"/>
  <c r="FT84" i="121"/>
  <c r="GF11" i="121"/>
  <c r="CI78" i="121"/>
  <c r="CH36" i="121"/>
  <c r="D39" i="133"/>
  <c r="E38" i="133"/>
  <c r="E37" i="133"/>
  <c r="G37" i="133" s="1"/>
  <c r="I37" i="133" s="1"/>
  <c r="I15" i="133"/>
  <c r="G17" i="133"/>
  <c r="G18" i="132"/>
  <c r="E20" i="132"/>
  <c r="E40" i="132"/>
  <c r="C41" i="132"/>
  <c r="BD51" i="122"/>
  <c r="BJ51" i="122" s="1"/>
  <c r="BK51" i="122"/>
  <c r="BE163" i="122"/>
  <c r="BK163" i="122" s="1"/>
  <c r="AQ21" i="122"/>
  <c r="BF29" i="122"/>
  <c r="BL29" i="122" s="1"/>
  <c r="AO49" i="122"/>
  <c r="BN203" i="122"/>
  <c r="CC203" i="122" s="1"/>
  <c r="CI203" i="122" s="1"/>
  <c r="BM54" i="122"/>
  <c r="BM203" i="122" s="1"/>
  <c r="CB203" i="122" s="1"/>
  <c r="Z133" i="122"/>
  <c r="Z128" i="122"/>
  <c r="CE169" i="122"/>
  <c r="BM108" i="122"/>
  <c r="BN101" i="122"/>
  <c r="CE174" i="122"/>
  <c r="CE38" i="122"/>
  <c r="CH38" i="122" s="1"/>
  <c r="CE155" i="122"/>
  <c r="CH155" i="122" s="1"/>
  <c r="CH24" i="122"/>
  <c r="BF156" i="122"/>
  <c r="BL156" i="122" s="1"/>
  <c r="BL42" i="122"/>
  <c r="BG166" i="122"/>
  <c r="CE111" i="122"/>
  <c r="N126" i="122"/>
  <c r="O128" i="122"/>
  <c r="AK165" i="122"/>
  <c r="AN165" i="122" s="1"/>
  <c r="AN161" i="122"/>
  <c r="AK181" i="122"/>
  <c r="BO222" i="122"/>
  <c r="BH21" i="122"/>
  <c r="BF157" i="122"/>
  <c r="BL157" i="122" s="1"/>
  <c r="BL25" i="122"/>
  <c r="BF106" i="122"/>
  <c r="AO106" i="122"/>
  <c r="BO49" i="122"/>
  <c r="BV183" i="122"/>
  <c r="BV188" i="122"/>
  <c r="CF160" i="122"/>
  <c r="CI159" i="122"/>
  <c r="N183" i="122"/>
  <c r="N188" i="122"/>
  <c r="CE175" i="122"/>
  <c r="BM99" i="122"/>
  <c r="BK81" i="122"/>
  <c r="CF81" i="122"/>
  <c r="AO65" i="122"/>
  <c r="BE65" i="122"/>
  <c r="CF166" i="122"/>
  <c r="BH161" i="122"/>
  <c r="CF29" i="122"/>
  <c r="T133" i="122"/>
  <c r="T128" i="122"/>
  <c r="CF222" i="122"/>
  <c r="H133" i="122"/>
  <c r="H128" i="122"/>
  <c r="BL22" i="122"/>
  <c r="CE127" i="122"/>
  <c r="T188" i="122"/>
  <c r="T183" i="122"/>
  <c r="AO35" i="122"/>
  <c r="BM88" i="122"/>
  <c r="BM215" i="122" s="1"/>
  <c r="CB215" i="122" s="1"/>
  <c r="BO80" i="122"/>
  <c r="AQ154" i="122"/>
  <c r="CP36" i="123" s="1"/>
  <c r="AQ75" i="122"/>
  <c r="BF75" i="122" s="1"/>
  <c r="BL75" i="122" s="1"/>
  <c r="AI161" i="122"/>
  <c r="BG29" i="122"/>
  <c r="CF101" i="122"/>
  <c r="BK9" i="122"/>
  <c r="BJ223" i="122"/>
  <c r="CE223" i="122"/>
  <c r="CE198" i="122"/>
  <c r="BG21" i="122"/>
  <c r="BO106" i="122"/>
  <c r="BM107" i="122"/>
  <c r="BD78" i="122"/>
  <c r="BK78" i="122"/>
  <c r="BE159" i="122"/>
  <c r="CE156" i="122"/>
  <c r="CH218" i="122"/>
  <c r="BN81" i="122"/>
  <c r="BM92" i="122"/>
  <c r="BL57" i="122"/>
  <c r="BD57" i="122"/>
  <c r="BJ57" i="122" s="1"/>
  <c r="BH40" i="122"/>
  <c r="BG94" i="122"/>
  <c r="BD83" i="122"/>
  <c r="BJ83" i="122" s="1"/>
  <c r="BK83" i="122"/>
  <c r="BO44" i="122"/>
  <c r="AO44" i="122"/>
  <c r="AO155" i="122" s="1"/>
  <c r="AQ155" i="122"/>
  <c r="CP37" i="123" s="1"/>
  <c r="AX133" i="122"/>
  <c r="AX128" i="122"/>
  <c r="CE154" i="122"/>
  <c r="CE35" i="122"/>
  <c r="CH35" i="122" s="1"/>
  <c r="BO219" i="122"/>
  <c r="CD219" i="122" s="1"/>
  <c r="CJ219" i="122" s="1"/>
  <c r="BO35" i="122"/>
  <c r="BO217" i="122" s="1"/>
  <c r="BD62" i="122"/>
  <c r="BJ62" i="122" s="1"/>
  <c r="BL62" i="122"/>
  <c r="BM36" i="122"/>
  <c r="CD205" i="122"/>
  <c r="CJ205" i="122" s="1"/>
  <c r="BN223" i="122"/>
  <c r="CC223" i="122" s="1"/>
  <c r="CI223" i="122" s="1"/>
  <c r="BM39" i="122"/>
  <c r="BM223" i="122" s="1"/>
  <c r="CB223" i="122" s="1"/>
  <c r="BN38" i="122"/>
  <c r="CB202" i="122"/>
  <c r="CI70" i="122"/>
  <c r="CF49" i="122"/>
  <c r="CE178" i="122"/>
  <c r="BD162" i="122"/>
  <c r="BJ162" i="122" s="1"/>
  <c r="BJ30" i="122"/>
  <c r="BY188" i="122"/>
  <c r="BY183" i="122"/>
  <c r="CE176" i="122"/>
  <c r="BD39" i="122"/>
  <c r="BJ39" i="122" s="1"/>
  <c r="BK39" i="122"/>
  <c r="BJ99" i="122"/>
  <c r="BN198" i="122"/>
  <c r="CC198" i="122" s="1"/>
  <c r="CI198" i="122" s="1"/>
  <c r="BN162" i="122"/>
  <c r="EN44" i="123" s="1"/>
  <c r="BM30" i="122"/>
  <c r="BG227" i="122"/>
  <c r="AQ176" i="122"/>
  <c r="CP58" i="123" s="1"/>
  <c r="BO121" i="122"/>
  <c r="AQ115" i="122"/>
  <c r="AQ170" i="122" s="1"/>
  <c r="CP52" i="123" s="1"/>
  <c r="BH182" i="122"/>
  <c r="CF145" i="122"/>
  <c r="BG145" i="122"/>
  <c r="K128" i="122"/>
  <c r="K133" i="122"/>
  <c r="BY126" i="122"/>
  <c r="BZ128" i="122"/>
  <c r="BH94" i="122"/>
  <c r="CJ70" i="122"/>
  <c r="CG49" i="122"/>
  <c r="CJ49" i="122" s="1"/>
  <c r="CE159" i="122"/>
  <c r="CH27" i="122"/>
  <c r="CE28" i="122"/>
  <c r="BL53" i="122"/>
  <c r="BD53" i="122"/>
  <c r="BJ53" i="122" s="1"/>
  <c r="AG182" i="122"/>
  <c r="AM182" i="122" s="1"/>
  <c r="BE145" i="122"/>
  <c r="BK145" i="122" s="1"/>
  <c r="AQ217" i="122"/>
  <c r="BF217" i="122" s="1"/>
  <c r="BL217" i="122" s="1"/>
  <c r="BF35" i="122"/>
  <c r="CH203" i="122"/>
  <c r="BM35" i="122"/>
  <c r="AP222" i="122"/>
  <c r="AO38" i="122"/>
  <c r="AO222" i="122" s="1"/>
  <c r="BE38" i="122"/>
  <c r="H188" i="122"/>
  <c r="H183" i="122"/>
  <c r="BE164" i="122"/>
  <c r="BK164" i="122" s="1"/>
  <c r="BD85" i="122"/>
  <c r="BK85" i="122"/>
  <c r="CE157" i="122"/>
  <c r="BD177" i="122"/>
  <c r="BJ177" i="122" s="1"/>
  <c r="BJ122" i="122"/>
  <c r="BN220" i="122"/>
  <c r="CC220" i="122" s="1"/>
  <c r="CI220" i="122" s="1"/>
  <c r="BM68" i="122"/>
  <c r="BM220" i="122" s="1"/>
  <c r="CB220" i="122" s="1"/>
  <c r="CH220" i="122" s="1"/>
  <c r="BN65" i="122"/>
  <c r="BM65" i="122" s="1"/>
  <c r="AC126" i="122"/>
  <c r="AD128" i="122"/>
  <c r="AJ126" i="122"/>
  <c r="AO159" i="122"/>
  <c r="CH215" i="122"/>
  <c r="BL222" i="122"/>
  <c r="CG222" i="122"/>
  <c r="CH225" i="122"/>
  <c r="AP217" i="122"/>
  <c r="BE217" i="122" s="1"/>
  <c r="BK217" i="122" s="1"/>
  <c r="BL58" i="122"/>
  <c r="BD58" i="122"/>
  <c r="BJ58" i="122" s="1"/>
  <c r="E133" i="122"/>
  <c r="E128" i="122"/>
  <c r="BF154" i="122"/>
  <c r="BL154" i="122" s="1"/>
  <c r="BL80" i="122"/>
  <c r="CB146" i="122"/>
  <c r="CH146" i="122" s="1"/>
  <c r="BJ146" i="122"/>
  <c r="AR133" i="122"/>
  <c r="AR128" i="122"/>
  <c r="AC165" i="122"/>
  <c r="AC181" i="122"/>
  <c r="BM70" i="122"/>
  <c r="BO81" i="122"/>
  <c r="BF121" i="122"/>
  <c r="BE49" i="122"/>
  <c r="CE167" i="122"/>
  <c r="CB226" i="122"/>
  <c r="CH226" i="122" s="1"/>
  <c r="CG182" i="122"/>
  <c r="BD59" i="122"/>
  <c r="BJ59" i="122" s="1"/>
  <c r="BK59" i="122"/>
  <c r="CF170" i="122"/>
  <c r="BA126" i="122"/>
  <c r="BB128" i="122"/>
  <c r="BF49" i="122"/>
  <c r="BL49" i="122" s="1"/>
  <c r="CE172" i="122"/>
  <c r="AF222" i="122"/>
  <c r="AL222" i="122" s="1"/>
  <c r="BK127" i="122"/>
  <c r="CF127" i="122"/>
  <c r="CI127" i="122" s="1"/>
  <c r="AI182" i="122"/>
  <c r="CE158" i="122"/>
  <c r="BJ81" i="122"/>
  <c r="CG166" i="122"/>
  <c r="BG40" i="122"/>
  <c r="CE40" i="122" s="1"/>
  <c r="CI212" i="122"/>
  <c r="CE173" i="122"/>
  <c r="BJ221" i="122"/>
  <c r="CE221" i="122"/>
  <c r="AL44" i="122"/>
  <c r="AF155" i="122"/>
  <c r="AL155" i="122" s="1"/>
  <c r="BN204" i="122"/>
  <c r="CC204" i="122" s="1"/>
  <c r="CI204" i="122" s="1"/>
  <c r="BM56" i="122"/>
  <c r="BM204" i="122" s="1"/>
  <c r="CB204" i="122" s="1"/>
  <c r="CH204" i="122" s="1"/>
  <c r="CH202" i="122"/>
  <c r="BN207" i="122"/>
  <c r="CC207" i="122" s="1"/>
  <c r="CI207" i="122" s="1"/>
  <c r="BM59" i="122"/>
  <c r="BM207" i="122" s="1"/>
  <c r="CB207" i="122" s="1"/>
  <c r="CH224" i="122"/>
  <c r="CE168" i="122"/>
  <c r="BI21" i="122"/>
  <c r="AN21" i="122"/>
  <c r="AE128" i="122"/>
  <c r="AK126" i="122"/>
  <c r="CG40" i="122"/>
  <c r="BM78" i="122"/>
  <c r="AO213" i="122"/>
  <c r="BD213" i="122" s="1"/>
  <c r="BJ213" i="122" s="1"/>
  <c r="AO164" i="122"/>
  <c r="BM47" i="122"/>
  <c r="CA128" i="122"/>
  <c r="AJ165" i="122"/>
  <c r="AJ181" i="122"/>
  <c r="BN51" i="122"/>
  <c r="AO51" i="122"/>
  <c r="AO199" i="122" s="1"/>
  <c r="BD199" i="122" s="1"/>
  <c r="BJ199" i="122" s="1"/>
  <c r="AP199" i="122"/>
  <c r="BE199" i="122" s="1"/>
  <c r="BK199" i="122" s="1"/>
  <c r="AP163" i="122"/>
  <c r="CO45" i="123" s="1"/>
  <c r="CE171" i="122"/>
  <c r="BE8" i="122"/>
  <c r="AM8" i="122"/>
  <c r="AX183" i="122"/>
  <c r="AX188" i="122"/>
  <c r="BL96" i="122"/>
  <c r="BD96" i="122"/>
  <c r="BJ96" i="122" s="1"/>
  <c r="CE48" i="122"/>
  <c r="CH47" i="122"/>
  <c r="BE101" i="122"/>
  <c r="AF101" i="122"/>
  <c r="AL101" i="122" s="1"/>
  <c r="BD33" i="122"/>
  <c r="BJ33" i="122" s="1"/>
  <c r="BL33" i="122"/>
  <c r="AL199" i="122"/>
  <c r="BF163" i="122"/>
  <c r="BL163" i="122" s="1"/>
  <c r="BD31" i="122"/>
  <c r="BL31" i="122"/>
  <c r="BD110" i="122"/>
  <c r="BJ110" i="122" s="1"/>
  <c r="BK110" i="122"/>
  <c r="BN177" i="122"/>
  <c r="EN59" i="123" s="1"/>
  <c r="BM122" i="122"/>
  <c r="BM177" i="122" s="1"/>
  <c r="CH207" i="122"/>
  <c r="CJ198" i="122"/>
  <c r="BI161" i="122"/>
  <c r="CG29" i="122"/>
  <c r="AO198" i="122"/>
  <c r="BD198" i="122" s="1"/>
  <c r="BJ198" i="122" s="1"/>
  <c r="AO162" i="122"/>
  <c r="CF227" i="122"/>
  <c r="BG222" i="122"/>
  <c r="CI9" i="122"/>
  <c r="CE9" i="122"/>
  <c r="BG170" i="122"/>
  <c r="CE115" i="122"/>
  <c r="CF75" i="122"/>
  <c r="AQ101" i="122"/>
  <c r="AO101" i="122" s="1"/>
  <c r="BN221" i="122"/>
  <c r="CC221" i="122" s="1"/>
  <c r="CI221" i="122" s="1"/>
  <c r="BM37" i="122"/>
  <c r="BM221" i="122" s="1"/>
  <c r="CB221" i="122" s="1"/>
  <c r="CD215" i="122"/>
  <c r="CJ215" i="122" s="1"/>
  <c r="AM145" i="122"/>
  <c r="BD56" i="122"/>
  <c r="BJ56" i="122" s="1"/>
  <c r="BK56" i="122"/>
  <c r="CG170" i="122"/>
  <c r="CJ170" i="122" s="1"/>
  <c r="CJ115" i="122"/>
  <c r="BP133" i="122"/>
  <c r="BP128" i="122"/>
  <c r="BD108" i="122"/>
  <c r="BJ108" i="122" s="1"/>
  <c r="BK108" i="122"/>
  <c r="AF163" i="122"/>
  <c r="AL163" i="122" s="1"/>
  <c r="BF44" i="122"/>
  <c r="CG160" i="122"/>
  <c r="CJ159" i="122"/>
  <c r="BG160" i="122"/>
  <c r="CE180" i="122"/>
  <c r="BM58" i="122"/>
  <c r="BM206" i="122" s="1"/>
  <c r="CB206" i="122" s="1"/>
  <c r="CH206" i="122" s="1"/>
  <c r="BM184" i="122"/>
  <c r="CB184" i="122" s="1"/>
  <c r="CH184" i="122" s="1"/>
  <c r="CB185" i="122"/>
  <c r="CH185" i="122" s="1"/>
  <c r="BD88" i="122"/>
  <c r="BJ88" i="122" s="1"/>
  <c r="CB210" i="122"/>
  <c r="CH210" i="122" s="1"/>
  <c r="CE217" i="122"/>
  <c r="BV133" i="122"/>
  <c r="BV128" i="122"/>
  <c r="CD210" i="122"/>
  <c r="CJ210" i="122" s="1"/>
  <c r="CH205" i="122"/>
  <c r="BJ200" i="122"/>
  <c r="CE200" i="122"/>
  <c r="CH200" i="122" s="1"/>
  <c r="BO199" i="122"/>
  <c r="CD199" i="122" s="1"/>
  <c r="CJ199" i="122" s="1"/>
  <c r="BO163" i="122"/>
  <c r="EO45" i="123" s="1"/>
  <c r="BM31" i="122"/>
  <c r="BN213" i="122"/>
  <c r="CC213" i="122" s="1"/>
  <c r="CI213" i="122" s="1"/>
  <c r="BN164" i="122"/>
  <c r="EN46" i="123" s="1"/>
  <c r="BM85" i="122"/>
  <c r="EG76" i="121"/>
  <c r="GG12" i="121"/>
  <c r="GG13" i="121" s="1"/>
  <c r="GF14" i="121"/>
  <c r="GG77" i="121"/>
  <c r="GF77" i="121" s="1"/>
  <c r="ED11" i="121"/>
  <c r="GC23" i="121"/>
  <c r="GG36" i="121"/>
  <c r="EH12" i="121"/>
  <c r="EH13" i="121" s="1"/>
  <c r="EG14" i="121"/>
  <c r="EG77" i="121" s="1"/>
  <c r="EH77" i="121"/>
  <c r="EH78" i="121" s="1"/>
  <c r="CG13" i="121"/>
  <c r="GF76" i="121"/>
  <c r="EF77" i="121"/>
  <c r="EF36" i="121"/>
  <c r="GC15" i="121"/>
  <c r="GC38" i="121" s="1"/>
  <c r="GD38" i="121"/>
  <c r="CO80" i="121"/>
  <c r="BG80" i="121"/>
  <c r="BP80" i="121" s="1"/>
  <c r="BQ80" i="121"/>
  <c r="CH89" i="121"/>
  <c r="CH78" i="121"/>
  <c r="EG39" i="121"/>
  <c r="GF32" i="121"/>
  <c r="GF39" i="121" s="1"/>
  <c r="GC18" i="121"/>
  <c r="GE11" i="121"/>
  <c r="CE77" i="121"/>
  <c r="CE12" i="121"/>
  <c r="CE13" i="121" s="1"/>
  <c r="CF13" i="121"/>
  <c r="EH36" i="121"/>
  <c r="GE10" i="121"/>
  <c r="DR77" i="121"/>
  <c r="CH83" i="121"/>
  <c r="AI84" i="121"/>
  <c r="GD21" i="121"/>
  <c r="GD14" i="121" s="1"/>
  <c r="GC22" i="121"/>
  <c r="GC9" i="121"/>
  <c r="GD10" i="121"/>
  <c r="ED21" i="121"/>
  <c r="ED39" i="121" s="1"/>
  <c r="EE14" i="121"/>
  <c r="GC16" i="121"/>
  <c r="GF35" i="121"/>
  <c r="GE21" i="121"/>
  <c r="DR12" i="121"/>
  <c r="DR13" i="121" s="1"/>
  <c r="DS13" i="121"/>
  <c r="EI83" i="121"/>
  <c r="CJ84" i="121"/>
  <c r="EH83" i="121"/>
  <c r="CI84" i="121"/>
  <c r="GC19" i="121"/>
  <c r="GC35" i="121"/>
  <c r="GC20" i="121"/>
  <c r="EE39" i="121"/>
  <c r="BS77" i="121"/>
  <c r="GD11" i="121"/>
  <c r="GC8" i="121"/>
  <c r="GB79" i="121"/>
  <c r="GK79" i="121" s="1"/>
  <c r="EL79" i="121"/>
  <c r="EF12" i="121"/>
  <c r="GD37" i="121"/>
  <c r="BD49" i="122" l="1"/>
  <c r="BJ49" i="122" s="1"/>
  <c r="FP62" i="123"/>
  <c r="BA183" i="122"/>
  <c r="BA188" i="122"/>
  <c r="GC42" i="121"/>
  <c r="GI42" i="121" s="1"/>
  <c r="EJ42" i="121"/>
  <c r="BO29" i="122"/>
  <c r="DQ62" i="123"/>
  <c r="DZ62" i="123" s="1"/>
  <c r="I16" i="133"/>
  <c r="I17" i="133" s="1"/>
  <c r="G31" i="127"/>
  <c r="D49" i="127"/>
  <c r="K49" i="127" s="1"/>
  <c r="K26" i="127"/>
  <c r="G19" i="132"/>
  <c r="E26" i="127"/>
  <c r="E49" i="127" s="1"/>
  <c r="BD222" i="122"/>
  <c r="EG12" i="121"/>
  <c r="EG13" i="121" s="1"/>
  <c r="AO217" i="122"/>
  <c r="BD217" i="122" s="1"/>
  <c r="BJ217" i="122" s="1"/>
  <c r="BD70" i="122"/>
  <c r="BJ70" i="122" s="1"/>
  <c r="BK70" i="122"/>
  <c r="GD39" i="121"/>
  <c r="AD53" i="126"/>
  <c r="FY62" i="123"/>
  <c r="AN115" i="122"/>
  <c r="X53" i="126"/>
  <c r="BG79" i="121"/>
  <c r="BP79" i="121" s="1"/>
  <c r="CO79" i="121"/>
  <c r="BQ79" i="121"/>
  <c r="GF36" i="121"/>
  <c r="GF12" i="121"/>
  <c r="GF13" i="121" s="1"/>
  <c r="GG78" i="121"/>
  <c r="EG36" i="121"/>
  <c r="E39" i="133"/>
  <c r="G38" i="133"/>
  <c r="E41" i="132"/>
  <c r="G40" i="132"/>
  <c r="G20" i="132"/>
  <c r="I18" i="132"/>
  <c r="AJ128" i="122"/>
  <c r="BH126" i="122"/>
  <c r="BM44" i="122"/>
  <c r="BM155" i="122" s="1"/>
  <c r="BO155" i="122"/>
  <c r="EO37" i="123" s="1"/>
  <c r="BK159" i="122"/>
  <c r="CE21" i="122"/>
  <c r="CE170" i="122"/>
  <c r="BI165" i="122"/>
  <c r="BI181" i="122"/>
  <c r="AJ183" i="122"/>
  <c r="BA133" i="122"/>
  <c r="BA128" i="122"/>
  <c r="BF176" i="122"/>
  <c r="BL176" i="122" s="1"/>
  <c r="BL121" i="122"/>
  <c r="BD164" i="122"/>
  <c r="BJ164" i="122" s="1"/>
  <c r="BJ85" i="122"/>
  <c r="BD38" i="122"/>
  <c r="BJ38" i="122" s="1"/>
  <c r="BK38" i="122"/>
  <c r="BE182" i="122"/>
  <c r="BK182" i="122" s="1"/>
  <c r="CC145" i="122"/>
  <c r="CC182" i="122" s="1"/>
  <c r="BM159" i="122"/>
  <c r="CD217" i="122"/>
  <c r="CJ217" i="122" s="1"/>
  <c r="BM106" i="122"/>
  <c r="BM217" i="122" s="1"/>
  <c r="BO101" i="122"/>
  <c r="BO94" i="122" s="1"/>
  <c r="BG161" i="122"/>
  <c r="CE29" i="122"/>
  <c r="CF161" i="122"/>
  <c r="BO227" i="122"/>
  <c r="CD222" i="122"/>
  <c r="BM213" i="122"/>
  <c r="CB213" i="122" s="1"/>
  <c r="CH213" i="122" s="1"/>
  <c r="BM164" i="122"/>
  <c r="CF182" i="122"/>
  <c r="CE145" i="122"/>
  <c r="BO176" i="122"/>
  <c r="EO58" i="123" s="1"/>
  <c r="BO115" i="122"/>
  <c r="BO170" i="122" s="1"/>
  <c r="EO52" i="123" s="1"/>
  <c r="BM198" i="122"/>
  <c r="CB198" i="122" s="1"/>
  <c r="CH198" i="122" s="1"/>
  <c r="BM162" i="122"/>
  <c r="BE222" i="122"/>
  <c r="BK222" i="122" s="1"/>
  <c r="CF21" i="122"/>
  <c r="BO161" i="122"/>
  <c r="BO21" i="122"/>
  <c r="CE166" i="122"/>
  <c r="BD163" i="122"/>
  <c r="BJ163" i="122" s="1"/>
  <c r="BJ31" i="122"/>
  <c r="AO163" i="122"/>
  <c r="CH221" i="122"/>
  <c r="AQ227" i="122"/>
  <c r="BF227" i="122" s="1"/>
  <c r="BL227" i="122" s="1"/>
  <c r="AC133" i="122"/>
  <c r="AI126" i="122"/>
  <c r="AC128" i="122"/>
  <c r="BN217" i="122"/>
  <c r="CC217" i="122" s="1"/>
  <c r="CI217" i="122" s="1"/>
  <c r="BG182" i="122"/>
  <c r="BM81" i="122"/>
  <c r="CH223" i="122"/>
  <c r="AI165" i="122"/>
  <c r="AI181" i="122"/>
  <c r="BO154" i="122"/>
  <c r="EO36" i="123" s="1"/>
  <c r="BO75" i="122"/>
  <c r="BD65" i="122"/>
  <c r="BJ65" i="122" s="1"/>
  <c r="BK65" i="122"/>
  <c r="BF115" i="122"/>
  <c r="AK183" i="122"/>
  <c r="BF21" i="122"/>
  <c r="BL21" i="122" s="1"/>
  <c r="BM51" i="122"/>
  <c r="BM199" i="122" s="1"/>
  <c r="CB199" i="122" s="1"/>
  <c r="CH199" i="122" s="1"/>
  <c r="BN163" i="122"/>
  <c r="EN45" i="123" s="1"/>
  <c r="BN199" i="122"/>
  <c r="CC199" i="122" s="1"/>
  <c r="CI199" i="122" s="1"/>
  <c r="CG21" i="122"/>
  <c r="BD44" i="122"/>
  <c r="BF155" i="122"/>
  <c r="BL155" i="122" s="1"/>
  <c r="BL44" i="122"/>
  <c r="AQ94" i="122"/>
  <c r="BF94" i="122" s="1"/>
  <c r="BL94" i="122" s="1"/>
  <c r="BF101" i="122"/>
  <c r="BL101" i="122" s="1"/>
  <c r="BJ222" i="122"/>
  <c r="CE222" i="122"/>
  <c r="CG161" i="122"/>
  <c r="CJ29" i="122"/>
  <c r="CE94" i="122"/>
  <c r="BK8" i="122"/>
  <c r="BI126" i="122"/>
  <c r="AK128" i="122"/>
  <c r="BN49" i="122"/>
  <c r="AC188" i="122"/>
  <c r="AI188" i="122" s="1"/>
  <c r="AC183" i="122"/>
  <c r="BK49" i="122"/>
  <c r="CJ222" i="122"/>
  <c r="BL35" i="122"/>
  <c r="BD35" i="122"/>
  <c r="BJ35" i="122" s="1"/>
  <c r="CE160" i="122"/>
  <c r="CH159" i="122"/>
  <c r="CF94" i="122"/>
  <c r="BY133" i="122"/>
  <c r="BY128" i="122"/>
  <c r="BN222" i="122"/>
  <c r="BM38" i="122"/>
  <c r="BM222" i="122" s="1"/>
  <c r="BM219" i="122"/>
  <c r="CB219" i="122" s="1"/>
  <c r="CH219" i="122" s="1"/>
  <c r="CF40" i="122"/>
  <c r="BJ78" i="122"/>
  <c r="BD159" i="122"/>
  <c r="BK101" i="122"/>
  <c r="CE227" i="122"/>
  <c r="BH165" i="122"/>
  <c r="BH181" i="122"/>
  <c r="BL106" i="122"/>
  <c r="BD106" i="122"/>
  <c r="BJ106" i="122" s="1"/>
  <c r="N133" i="122"/>
  <c r="N128" i="122"/>
  <c r="AQ161" i="122"/>
  <c r="GD77" i="121"/>
  <c r="GD36" i="121"/>
  <c r="BY80" i="121"/>
  <c r="CB80" i="121"/>
  <c r="GE14" i="121"/>
  <c r="GE12" i="121" s="1"/>
  <c r="EF13" i="121"/>
  <c r="GH83" i="121"/>
  <c r="GH84" i="121" s="1"/>
  <c r="EI84" i="121"/>
  <c r="BZ80" i="121"/>
  <c r="CC80" i="121"/>
  <c r="EG78" i="121"/>
  <c r="EG89" i="121"/>
  <c r="GD12" i="121"/>
  <c r="GC11" i="121"/>
  <c r="ED14" i="121"/>
  <c r="EE77" i="121"/>
  <c r="EE36" i="121"/>
  <c r="GC10" i="121"/>
  <c r="GC21" i="121"/>
  <c r="GC39" i="121" s="1"/>
  <c r="EG83" i="121"/>
  <c r="CH84" i="121"/>
  <c r="EE12" i="121"/>
  <c r="GG83" i="121"/>
  <c r="GG84" i="121" s="1"/>
  <c r="EH84" i="121"/>
  <c r="CX80" i="121"/>
  <c r="CN80" i="121"/>
  <c r="GF78" i="121"/>
  <c r="GF89" i="121"/>
  <c r="GC37" i="121"/>
  <c r="EC62" i="123" l="1"/>
  <c r="BM101" i="122"/>
  <c r="AI133" i="122"/>
  <c r="BG133" i="122" s="1"/>
  <c r="CE133" i="122" s="1"/>
  <c r="AQ165" i="122"/>
  <c r="CP47" i="123" s="1"/>
  <c r="CP43" i="123"/>
  <c r="BO165" i="122"/>
  <c r="EO47" i="123" s="1"/>
  <c r="EO43" i="123"/>
  <c r="CB217" i="122"/>
  <c r="CH217" i="122" s="1"/>
  <c r="I31" i="127"/>
  <c r="I51" i="127" s="1"/>
  <c r="G51" i="127"/>
  <c r="I19" i="132"/>
  <c r="I20" i="132" s="1"/>
  <c r="G26" i="127"/>
  <c r="AA53" i="126"/>
  <c r="GB62" i="123"/>
  <c r="EL62" i="123"/>
  <c r="BZ79" i="121"/>
  <c r="CC79" i="121"/>
  <c r="CL79" i="121" s="1"/>
  <c r="CN79" i="121"/>
  <c r="CX79" i="121"/>
  <c r="BY79" i="121"/>
  <c r="CB79" i="121"/>
  <c r="CK79" i="121" s="1"/>
  <c r="G39" i="133"/>
  <c r="I38" i="133"/>
  <c r="I39" i="133" s="1"/>
  <c r="G41" i="132"/>
  <c r="I40" i="132"/>
  <c r="I41" i="132" s="1"/>
  <c r="CG165" i="122"/>
  <c r="CJ165" i="122" s="1"/>
  <c r="CJ161" i="122"/>
  <c r="CG181" i="122"/>
  <c r="BF161" i="122"/>
  <c r="CE182" i="122"/>
  <c r="BH128" i="122"/>
  <c r="CF126" i="122"/>
  <c r="BJ159" i="122"/>
  <c r="BM163" i="122"/>
  <c r="CI145" i="122"/>
  <c r="CF165" i="122"/>
  <c r="CF181" i="122"/>
  <c r="BG165" i="122"/>
  <c r="BG181" i="122"/>
  <c r="BH183" i="122"/>
  <c r="CC222" i="122"/>
  <c r="CI222" i="122" s="1"/>
  <c r="AI183" i="122"/>
  <c r="BD101" i="122"/>
  <c r="BJ101" i="122" s="1"/>
  <c r="BG188" i="122"/>
  <c r="CE161" i="122"/>
  <c r="BI183" i="122"/>
  <c r="BJ44" i="122"/>
  <c r="BD155" i="122"/>
  <c r="BJ155" i="122" s="1"/>
  <c r="CB222" i="122"/>
  <c r="CH222" i="122" s="1"/>
  <c r="BM49" i="122"/>
  <c r="BI128" i="122"/>
  <c r="CG126" i="122"/>
  <c r="BF170" i="122"/>
  <c r="BL170" i="122" s="1"/>
  <c r="BL115" i="122"/>
  <c r="AI128" i="122"/>
  <c r="BG126" i="122"/>
  <c r="CI182" i="122"/>
  <c r="CD227" i="122"/>
  <c r="CJ227" i="122" s="1"/>
  <c r="GE77" i="121"/>
  <c r="GC77" i="121" s="1"/>
  <c r="GE36" i="121"/>
  <c r="CK80" i="121"/>
  <c r="GC14" i="121"/>
  <c r="GC36" i="121" s="1"/>
  <c r="CW80" i="121"/>
  <c r="DG80" i="121"/>
  <c r="EG84" i="121"/>
  <c r="GF83" i="121"/>
  <c r="GF84" i="121" s="1"/>
  <c r="CL80" i="121"/>
  <c r="GE13" i="121"/>
  <c r="ED12" i="121"/>
  <c r="ED13" i="121" s="1"/>
  <c r="EE13" i="121"/>
  <c r="ED77" i="121"/>
  <c r="ED36" i="121"/>
  <c r="GC12" i="121"/>
  <c r="GC13" i="121" s="1"/>
  <c r="GD13" i="121"/>
  <c r="I26" i="127" l="1"/>
  <c r="I49" i="127" s="1"/>
  <c r="G49" i="127"/>
  <c r="GK62" i="123"/>
  <c r="AG53" i="126"/>
  <c r="CW79" i="121"/>
  <c r="DG79" i="121"/>
  <c r="DP79" i="121" s="1"/>
  <c r="CE165" i="122"/>
  <c r="CE181" i="122"/>
  <c r="BF165" i="122"/>
  <c r="BL165" i="122" s="1"/>
  <c r="BL161" i="122"/>
  <c r="CG183" i="122"/>
  <c r="CE188" i="122"/>
  <c r="CF128" i="122"/>
  <c r="CG128" i="122"/>
  <c r="BG183" i="122"/>
  <c r="BG128" i="122"/>
  <c r="CE126" i="122"/>
  <c r="CF183" i="122"/>
  <c r="DF80" i="121"/>
  <c r="DO80" i="121" s="1"/>
  <c r="EN80" i="121"/>
  <c r="DP80" i="121"/>
  <c r="DY79" i="121" l="1"/>
  <c r="EB79" i="121"/>
  <c r="EK79" i="121" s="1"/>
  <c r="EN79" i="121"/>
  <c r="DF79" i="121"/>
  <c r="DO79" i="121" s="1"/>
  <c r="CE183" i="122"/>
  <c r="CE128" i="122"/>
  <c r="DX80" i="121"/>
  <c r="EA80" i="121"/>
  <c r="EW80" i="121"/>
  <c r="EM80" i="121"/>
  <c r="DY80" i="121"/>
  <c r="EB80" i="121"/>
  <c r="DX79" i="121" l="1"/>
  <c r="EA79" i="121"/>
  <c r="EJ79" i="121" s="1"/>
  <c r="EW79" i="121"/>
  <c r="EM79" i="121"/>
  <c r="EK80" i="121"/>
  <c r="FF80" i="121"/>
  <c r="EV80" i="121"/>
  <c r="EJ80" i="121"/>
  <c r="FF79" i="121" l="1"/>
  <c r="FE79" i="121" s="1"/>
  <c r="EV79" i="121"/>
  <c r="FE80" i="121"/>
  <c r="FN80" i="121" s="1"/>
  <c r="FO80" i="121"/>
  <c r="FO79" i="121" l="1"/>
  <c r="FX79" i="121" s="1"/>
  <c r="GM79" i="121"/>
  <c r="FN79" i="121"/>
  <c r="FW80" i="121"/>
  <c r="FZ80" i="121"/>
  <c r="GI80" i="121" s="1"/>
  <c r="FX80" i="121"/>
  <c r="GA80" i="121"/>
  <c r="GJ80" i="121" s="1"/>
  <c r="GA79" i="121" l="1"/>
  <c r="GJ79" i="121" s="1"/>
  <c r="FW79" i="121"/>
  <c r="FZ79" i="121"/>
  <c r="GI79" i="121" s="1"/>
  <c r="CD36" i="120"/>
  <c r="CD34" i="120"/>
  <c r="D34" i="120" s="1"/>
  <c r="CC34" i="120"/>
  <c r="CD32" i="120"/>
  <c r="CD31" i="120"/>
  <c r="CD197" i="120" s="1"/>
  <c r="CC31" i="120"/>
  <c r="CD30" i="120"/>
  <c r="CD22" i="120"/>
  <c r="GB22" i="121" s="1"/>
  <c r="CC22" i="120"/>
  <c r="GA22" i="121" s="1"/>
  <c r="CD17" i="120"/>
  <c r="GB17" i="121" s="1"/>
  <c r="CC17" i="120"/>
  <c r="GA17" i="121" s="1"/>
  <c r="CD16" i="120"/>
  <c r="GB16" i="121" s="1"/>
  <c r="CC16" i="120"/>
  <c r="GA16" i="121" s="1"/>
  <c r="CD15" i="120"/>
  <c r="GB15" i="121" s="1"/>
  <c r="CC15" i="120"/>
  <c r="GA15" i="121" s="1"/>
  <c r="CD9" i="120"/>
  <c r="GB9" i="121" s="1"/>
  <c r="CC9" i="120"/>
  <c r="GA9" i="121" s="1"/>
  <c r="CD269" i="120"/>
  <c r="BX269" i="120"/>
  <c r="BW269" i="120"/>
  <c r="BU269" i="120"/>
  <c r="BT269" i="120"/>
  <c r="BR269" i="120"/>
  <c r="BQ269" i="120"/>
  <c r="AZ269" i="120"/>
  <c r="AY269" i="120"/>
  <c r="AW269" i="120"/>
  <c r="AV269" i="120"/>
  <c r="AT269" i="120"/>
  <c r="AS269" i="120"/>
  <c r="AB269" i="120"/>
  <c r="AA269" i="120"/>
  <c r="Y269" i="120"/>
  <c r="X269" i="120"/>
  <c r="V269" i="120"/>
  <c r="U269" i="120"/>
  <c r="M269" i="120"/>
  <c r="L269" i="120"/>
  <c r="J269" i="120"/>
  <c r="I269" i="120"/>
  <c r="G269" i="120"/>
  <c r="F269" i="120"/>
  <c r="CD268" i="120"/>
  <c r="CC268" i="120"/>
  <c r="BX268" i="120"/>
  <c r="BW268" i="120"/>
  <c r="BU268" i="120"/>
  <c r="BT268" i="120"/>
  <c r="BR268" i="120"/>
  <c r="BQ268" i="120"/>
  <c r="AZ268" i="120"/>
  <c r="AY268" i="120"/>
  <c r="AW268" i="120"/>
  <c r="AV268" i="120"/>
  <c r="AT268" i="120"/>
  <c r="AS268" i="120"/>
  <c r="AB268" i="120"/>
  <c r="AA268" i="120"/>
  <c r="Y268" i="120"/>
  <c r="X268" i="120"/>
  <c r="V268" i="120"/>
  <c r="U268" i="120"/>
  <c r="M268" i="120"/>
  <c r="L268" i="120"/>
  <c r="J268" i="120"/>
  <c r="I268" i="120"/>
  <c r="G268" i="120"/>
  <c r="F268" i="120"/>
  <c r="CD267" i="120"/>
  <c r="CC267" i="120"/>
  <c r="BX267" i="120"/>
  <c r="BW267" i="120"/>
  <c r="BU267" i="120"/>
  <c r="BT267" i="120"/>
  <c r="BT265" i="120" s="1"/>
  <c r="BR267" i="120"/>
  <c r="BQ267" i="120"/>
  <c r="AZ267" i="120"/>
  <c r="AY267" i="120"/>
  <c r="AW267" i="120"/>
  <c r="AV267" i="120"/>
  <c r="AT267" i="120"/>
  <c r="AS267" i="120"/>
  <c r="AB267" i="120"/>
  <c r="AA267" i="120"/>
  <c r="Y267" i="120"/>
  <c r="X267" i="120"/>
  <c r="V267" i="120"/>
  <c r="U267" i="120"/>
  <c r="M267" i="120"/>
  <c r="L267" i="120"/>
  <c r="J267" i="120"/>
  <c r="I267" i="120"/>
  <c r="G267" i="120"/>
  <c r="F267" i="120"/>
  <c r="CD266" i="120"/>
  <c r="CC266" i="120"/>
  <c r="BX266" i="120"/>
  <c r="BW266" i="120"/>
  <c r="BU266" i="120"/>
  <c r="BT266" i="120"/>
  <c r="BR266" i="120"/>
  <c r="BQ266" i="120"/>
  <c r="AZ266" i="120"/>
  <c r="AY266" i="120"/>
  <c r="AW266" i="120"/>
  <c r="AW265" i="120" s="1"/>
  <c r="AV266" i="120"/>
  <c r="AT266" i="120"/>
  <c r="AS266" i="120"/>
  <c r="AB266" i="120"/>
  <c r="AA266" i="120"/>
  <c r="Y266" i="120"/>
  <c r="X266" i="120"/>
  <c r="V266" i="120"/>
  <c r="V265" i="120" s="1"/>
  <c r="U266" i="120"/>
  <c r="M266" i="120"/>
  <c r="L266" i="120"/>
  <c r="J266" i="120"/>
  <c r="I266" i="120"/>
  <c r="G266" i="120"/>
  <c r="F266" i="120"/>
  <c r="CD264" i="120"/>
  <c r="CC264" i="120"/>
  <c r="BX264" i="120"/>
  <c r="BW264" i="120"/>
  <c r="BU264" i="120"/>
  <c r="BT264" i="120"/>
  <c r="BR264" i="120"/>
  <c r="BQ264" i="120"/>
  <c r="AZ264" i="120"/>
  <c r="AY264" i="120"/>
  <c r="AW264" i="120"/>
  <c r="AV264" i="120"/>
  <c r="AT264" i="120"/>
  <c r="AS264" i="120"/>
  <c r="AB264" i="120"/>
  <c r="AA264" i="120"/>
  <c r="Y264" i="120"/>
  <c r="X264" i="120"/>
  <c r="V264" i="120"/>
  <c r="U264" i="120"/>
  <c r="M264" i="120"/>
  <c r="L264" i="120"/>
  <c r="J264" i="120"/>
  <c r="I264" i="120"/>
  <c r="G264" i="120"/>
  <c r="F264" i="120"/>
  <c r="CD263" i="120"/>
  <c r="CC263" i="120"/>
  <c r="BX263" i="120"/>
  <c r="BW263" i="120"/>
  <c r="BU263" i="120"/>
  <c r="BT263" i="120"/>
  <c r="BR263" i="120"/>
  <c r="BQ263" i="120"/>
  <c r="AZ263" i="120"/>
  <c r="AY263" i="120"/>
  <c r="AW263" i="120"/>
  <c r="AV263" i="120"/>
  <c r="AT263" i="120"/>
  <c r="AS263" i="120"/>
  <c r="AB263" i="120"/>
  <c r="AA263" i="120"/>
  <c r="Y263" i="120"/>
  <c r="X263" i="120"/>
  <c r="V263" i="120"/>
  <c r="U263" i="120"/>
  <c r="M263" i="120"/>
  <c r="L263" i="120"/>
  <c r="J263" i="120"/>
  <c r="I263" i="120"/>
  <c r="G263" i="120"/>
  <c r="F263" i="120"/>
  <c r="CD262" i="120"/>
  <c r="CC262" i="120"/>
  <c r="BX262" i="120"/>
  <c r="BW262" i="120"/>
  <c r="BU262" i="120"/>
  <c r="BT262" i="120"/>
  <c r="BR262" i="120"/>
  <c r="BQ262" i="120"/>
  <c r="AZ262" i="120"/>
  <c r="AY262" i="120"/>
  <c r="AW262" i="120"/>
  <c r="AV262" i="120"/>
  <c r="AT262" i="120"/>
  <c r="AS262" i="120"/>
  <c r="AB262" i="120"/>
  <c r="AA262" i="120"/>
  <c r="Y262" i="120"/>
  <c r="X262" i="120"/>
  <c r="V262" i="120"/>
  <c r="U262" i="120"/>
  <c r="M262" i="120"/>
  <c r="L262" i="120"/>
  <c r="J262" i="120"/>
  <c r="I262" i="120"/>
  <c r="G262" i="120"/>
  <c r="F262" i="120"/>
  <c r="CD259" i="120"/>
  <c r="CC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AA259" i="120"/>
  <c r="Y259" i="120"/>
  <c r="X259" i="120"/>
  <c r="V259" i="120"/>
  <c r="U259" i="120"/>
  <c r="M259" i="120"/>
  <c r="L259" i="120"/>
  <c r="J259" i="120"/>
  <c r="I259" i="120"/>
  <c r="G259" i="120"/>
  <c r="F259" i="120"/>
  <c r="CD258" i="120"/>
  <c r="CC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CC257" i="120"/>
  <c r="BX257" i="120"/>
  <c r="BW257" i="120"/>
  <c r="BU257" i="120"/>
  <c r="BT257" i="120"/>
  <c r="BR257" i="120"/>
  <c r="BQ257" i="120"/>
  <c r="AZ257" i="120"/>
  <c r="AY257" i="120"/>
  <c r="AW257" i="120"/>
  <c r="AV257" i="120"/>
  <c r="AT257" i="120"/>
  <c r="AS257" i="120"/>
  <c r="AB257" i="120"/>
  <c r="AA257" i="120"/>
  <c r="Y257" i="120"/>
  <c r="X257" i="120"/>
  <c r="V257" i="120"/>
  <c r="U257" i="120"/>
  <c r="M257" i="120"/>
  <c r="L257" i="120"/>
  <c r="J257" i="120"/>
  <c r="I257" i="120"/>
  <c r="G257" i="120"/>
  <c r="F257" i="120"/>
  <c r="CD256" i="120"/>
  <c r="CC256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CD255" i="120"/>
  <c r="CC255" i="120"/>
  <c r="BX255" i="120"/>
  <c r="BW255" i="120"/>
  <c r="BU255" i="120"/>
  <c r="BT255" i="120"/>
  <c r="BR255" i="120"/>
  <c r="BQ255" i="120"/>
  <c r="AZ255" i="120"/>
  <c r="AY255" i="120"/>
  <c r="AW255" i="120"/>
  <c r="AV255" i="120"/>
  <c r="AT255" i="120"/>
  <c r="AS255" i="120"/>
  <c r="AB255" i="120"/>
  <c r="AA255" i="120"/>
  <c r="Y255" i="120"/>
  <c r="X255" i="120"/>
  <c r="V255" i="120"/>
  <c r="U255" i="120"/>
  <c r="M255" i="120"/>
  <c r="L255" i="120"/>
  <c r="J255" i="120"/>
  <c r="I255" i="120"/>
  <c r="G255" i="120"/>
  <c r="F255" i="120"/>
  <c r="CD254" i="120"/>
  <c r="CC254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CD253" i="120"/>
  <c r="CC253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X253" i="120"/>
  <c r="V253" i="120"/>
  <c r="U253" i="120"/>
  <c r="M253" i="120"/>
  <c r="L253" i="120"/>
  <c r="J253" i="120"/>
  <c r="I253" i="120"/>
  <c r="G253" i="120"/>
  <c r="F253" i="120"/>
  <c r="CD252" i="120"/>
  <c r="CC252" i="120"/>
  <c r="BX252" i="120"/>
  <c r="BW252" i="120"/>
  <c r="BU252" i="120"/>
  <c r="BT252" i="120"/>
  <c r="BR252" i="120"/>
  <c r="BQ252" i="120"/>
  <c r="AZ252" i="120"/>
  <c r="AY252" i="120"/>
  <c r="AW252" i="120"/>
  <c r="AV252" i="120"/>
  <c r="AT252" i="120"/>
  <c r="AS252" i="120"/>
  <c r="AB252" i="120"/>
  <c r="AA252" i="120"/>
  <c r="Y252" i="120"/>
  <c r="X252" i="120"/>
  <c r="V252" i="120"/>
  <c r="U252" i="120"/>
  <c r="M252" i="120"/>
  <c r="L252" i="120"/>
  <c r="J252" i="120"/>
  <c r="I252" i="120"/>
  <c r="G252" i="120"/>
  <c r="F252" i="120"/>
  <c r="CD251" i="120"/>
  <c r="CC251" i="120"/>
  <c r="BX251" i="120"/>
  <c r="BW251" i="120"/>
  <c r="BU251" i="120"/>
  <c r="BT251" i="120"/>
  <c r="BR251" i="120"/>
  <c r="BQ251" i="120"/>
  <c r="AZ251" i="120"/>
  <c r="AY251" i="120"/>
  <c r="AW251" i="120"/>
  <c r="AV251" i="120"/>
  <c r="AT251" i="120"/>
  <c r="AS251" i="120"/>
  <c r="AB251" i="120"/>
  <c r="AA251" i="120"/>
  <c r="Y251" i="120"/>
  <c r="X251" i="120"/>
  <c r="V251" i="120"/>
  <c r="U251" i="120"/>
  <c r="M251" i="120"/>
  <c r="L251" i="120"/>
  <c r="J251" i="120"/>
  <c r="I251" i="120"/>
  <c r="G251" i="120"/>
  <c r="F251" i="120"/>
  <c r="CD250" i="120"/>
  <c r="CC250" i="120"/>
  <c r="BX250" i="120"/>
  <c r="BW250" i="120"/>
  <c r="BU250" i="120"/>
  <c r="BT250" i="120"/>
  <c r="BR250" i="120"/>
  <c r="BQ250" i="120"/>
  <c r="AZ250" i="120"/>
  <c r="AY250" i="120"/>
  <c r="AW250" i="120"/>
  <c r="AV250" i="120"/>
  <c r="AT250" i="120"/>
  <c r="AS250" i="120"/>
  <c r="AB250" i="120"/>
  <c r="AA250" i="120"/>
  <c r="Y250" i="120"/>
  <c r="X250" i="120"/>
  <c r="V250" i="120"/>
  <c r="U250" i="120"/>
  <c r="M250" i="120"/>
  <c r="L250" i="120"/>
  <c r="J250" i="120"/>
  <c r="I250" i="120"/>
  <c r="G250" i="120"/>
  <c r="F250" i="120"/>
  <c r="CD249" i="120"/>
  <c r="CC249" i="120"/>
  <c r="BX249" i="120"/>
  <c r="BW249" i="120"/>
  <c r="BU249" i="120"/>
  <c r="BT249" i="120"/>
  <c r="BR249" i="120"/>
  <c r="BQ249" i="120"/>
  <c r="AZ249" i="120"/>
  <c r="AY249" i="120"/>
  <c r="AW249" i="120"/>
  <c r="AV249" i="120"/>
  <c r="AT249" i="120"/>
  <c r="AS249" i="120"/>
  <c r="AB249" i="120"/>
  <c r="AA249" i="120"/>
  <c r="Y249" i="120"/>
  <c r="X249" i="120"/>
  <c r="V249" i="120"/>
  <c r="U249" i="120"/>
  <c r="M249" i="120"/>
  <c r="L249" i="120"/>
  <c r="J249" i="120"/>
  <c r="I249" i="120"/>
  <c r="G249" i="120"/>
  <c r="F249" i="120"/>
  <c r="CD248" i="120"/>
  <c r="CC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CD247" i="120"/>
  <c r="CC247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CC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CD245" i="120"/>
  <c r="BX245" i="120"/>
  <c r="BW245" i="120"/>
  <c r="BU245" i="120"/>
  <c r="BT245" i="120"/>
  <c r="BR245" i="120"/>
  <c r="BQ245" i="120"/>
  <c r="AZ245" i="120"/>
  <c r="AY245" i="120"/>
  <c r="AW245" i="120"/>
  <c r="AV245" i="120"/>
  <c r="AT245" i="120"/>
  <c r="AS245" i="120"/>
  <c r="AB245" i="120"/>
  <c r="AA245" i="120"/>
  <c r="Y245" i="120"/>
  <c r="X245" i="120"/>
  <c r="V245" i="120"/>
  <c r="U245" i="120"/>
  <c r="M245" i="120"/>
  <c r="L245" i="120"/>
  <c r="J245" i="120"/>
  <c r="I245" i="120"/>
  <c r="G245" i="120"/>
  <c r="F245" i="120"/>
  <c r="CD244" i="120"/>
  <c r="CC244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CD243" i="120"/>
  <c r="BX243" i="120"/>
  <c r="BW243" i="120"/>
  <c r="BU243" i="120"/>
  <c r="BT243" i="120"/>
  <c r="BR243" i="120"/>
  <c r="BQ243" i="120"/>
  <c r="AZ243" i="120"/>
  <c r="AY243" i="120"/>
  <c r="AW243" i="120"/>
  <c r="AV243" i="120"/>
  <c r="AT243" i="120"/>
  <c r="AS243" i="120"/>
  <c r="AB243" i="120"/>
  <c r="AA243" i="120"/>
  <c r="Y243" i="120"/>
  <c r="X243" i="120"/>
  <c r="V243" i="120"/>
  <c r="U243" i="120"/>
  <c r="M243" i="120"/>
  <c r="L243" i="120"/>
  <c r="J243" i="120"/>
  <c r="I243" i="120"/>
  <c r="G243" i="120"/>
  <c r="F243" i="120"/>
  <c r="CD242" i="120"/>
  <c r="CC242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CD241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L241" i="120"/>
  <c r="J241" i="120"/>
  <c r="I241" i="120"/>
  <c r="G241" i="120"/>
  <c r="F241" i="120"/>
  <c r="CD240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CD239" i="120"/>
  <c r="BX239" i="120"/>
  <c r="BW239" i="120"/>
  <c r="BU239" i="120"/>
  <c r="BT239" i="120"/>
  <c r="BR239" i="120"/>
  <c r="BQ239" i="120"/>
  <c r="AZ239" i="120"/>
  <c r="AY239" i="120"/>
  <c r="AW239" i="120"/>
  <c r="AV239" i="120"/>
  <c r="AT239" i="120"/>
  <c r="AS239" i="120"/>
  <c r="AB239" i="120"/>
  <c r="AA239" i="120"/>
  <c r="Y239" i="120"/>
  <c r="X239" i="120"/>
  <c r="V239" i="120"/>
  <c r="U239" i="120"/>
  <c r="M239" i="120"/>
  <c r="L239" i="120"/>
  <c r="J239" i="120"/>
  <c r="I239" i="120"/>
  <c r="G239" i="120"/>
  <c r="F239" i="120"/>
  <c r="CD238" i="120"/>
  <c r="BX238" i="120"/>
  <c r="BW238" i="120"/>
  <c r="BU238" i="120"/>
  <c r="BT238" i="120"/>
  <c r="BR238" i="120"/>
  <c r="BQ238" i="120"/>
  <c r="AZ238" i="120"/>
  <c r="AY238" i="120"/>
  <c r="AW238" i="120"/>
  <c r="AV238" i="120"/>
  <c r="AT238" i="120"/>
  <c r="AS238" i="120"/>
  <c r="AB238" i="120"/>
  <c r="AA238" i="120"/>
  <c r="Y238" i="120"/>
  <c r="X238" i="120"/>
  <c r="V238" i="120"/>
  <c r="U238" i="120"/>
  <c r="M238" i="120"/>
  <c r="L238" i="120"/>
  <c r="J238" i="120"/>
  <c r="I238" i="120"/>
  <c r="G238" i="120"/>
  <c r="F238" i="120"/>
  <c r="BV230" i="120"/>
  <c r="FH88" i="121" s="1"/>
  <c r="BS230" i="120"/>
  <c r="EY88" i="121" s="1"/>
  <c r="BP230" i="120"/>
  <c r="EP88" i="121" s="1"/>
  <c r="AX230" i="120"/>
  <c r="DI88" i="121" s="1"/>
  <c r="AU230" i="120"/>
  <c r="AR230" i="120"/>
  <c r="CQ88" i="121" s="1"/>
  <c r="Z230" i="120"/>
  <c r="BJ88" i="121" s="1"/>
  <c r="W230" i="120"/>
  <c r="BA88" i="121" s="1"/>
  <c r="T230" i="120"/>
  <c r="AR88" i="121" s="1"/>
  <c r="K230" i="120"/>
  <c r="H230" i="120"/>
  <c r="N88" i="121" s="1"/>
  <c r="E230" i="120"/>
  <c r="E88" i="121" s="1"/>
  <c r="BV229" i="120"/>
  <c r="BS229" i="120"/>
  <c r="EY87" i="121" s="1"/>
  <c r="BP229" i="120"/>
  <c r="EP87" i="121" s="1"/>
  <c r="AX229" i="120"/>
  <c r="AU229" i="120"/>
  <c r="CZ87" i="121" s="1"/>
  <c r="AR229" i="120"/>
  <c r="CQ87" i="121" s="1"/>
  <c r="Z229" i="120"/>
  <c r="BJ87" i="121" s="1"/>
  <c r="W229" i="120"/>
  <c r="BA87" i="121" s="1"/>
  <c r="T229" i="120"/>
  <c r="AR87" i="121" s="1"/>
  <c r="K229" i="120"/>
  <c r="W87" i="121" s="1"/>
  <c r="H229" i="120"/>
  <c r="N87" i="121" s="1"/>
  <c r="E229" i="120"/>
  <c r="BV228" i="120"/>
  <c r="FH86" i="121" s="1"/>
  <c r="BS228" i="120"/>
  <c r="BP228" i="120"/>
  <c r="EP86" i="121" s="1"/>
  <c r="AX228" i="120"/>
  <c r="DI86" i="121" s="1"/>
  <c r="AU228" i="120"/>
  <c r="CZ86" i="121" s="1"/>
  <c r="AR228" i="120"/>
  <c r="CQ86" i="121" s="1"/>
  <c r="Z228" i="120"/>
  <c r="BJ86" i="121" s="1"/>
  <c r="W228" i="120"/>
  <c r="BA86" i="121" s="1"/>
  <c r="BA85" i="121" s="1"/>
  <c r="T228" i="120"/>
  <c r="AR86" i="121" s="1"/>
  <c r="K228" i="120"/>
  <c r="H228" i="120"/>
  <c r="N86" i="121" s="1"/>
  <c r="E228" i="120"/>
  <c r="E86" i="121" s="1"/>
  <c r="AU227" i="120"/>
  <c r="CD223" i="120"/>
  <c r="BX223" i="120"/>
  <c r="FJ75" i="121" s="1"/>
  <c r="BW223" i="120"/>
  <c r="FI75" i="121" s="1"/>
  <c r="BU223" i="120"/>
  <c r="FA75" i="121" s="1"/>
  <c r="BT223" i="120"/>
  <c r="EZ75" i="121" s="1"/>
  <c r="BR223" i="120"/>
  <c r="ER75" i="121" s="1"/>
  <c r="BQ223" i="120"/>
  <c r="EQ75" i="121" s="1"/>
  <c r="AZ223" i="120"/>
  <c r="DK75" i="121" s="1"/>
  <c r="AY223" i="120"/>
  <c r="DJ75" i="121" s="1"/>
  <c r="AW223" i="120"/>
  <c r="DB75" i="121" s="1"/>
  <c r="AV223" i="120"/>
  <c r="DA75" i="121" s="1"/>
  <c r="AT223" i="120"/>
  <c r="CS75" i="121" s="1"/>
  <c r="AS223" i="120"/>
  <c r="CR75" i="121" s="1"/>
  <c r="AB223" i="120"/>
  <c r="BL75" i="121" s="1"/>
  <c r="AA223" i="120"/>
  <c r="BK75" i="121" s="1"/>
  <c r="Y223" i="120"/>
  <c r="BC75" i="121" s="1"/>
  <c r="X223" i="120"/>
  <c r="BB75" i="121" s="1"/>
  <c r="V223" i="120"/>
  <c r="AT75" i="121" s="1"/>
  <c r="U223" i="120"/>
  <c r="AS75" i="121" s="1"/>
  <c r="M223" i="120"/>
  <c r="Y75" i="121" s="1"/>
  <c r="L223" i="120"/>
  <c r="X75" i="121" s="1"/>
  <c r="J223" i="120"/>
  <c r="P75" i="121" s="1"/>
  <c r="I223" i="120"/>
  <c r="O75" i="121" s="1"/>
  <c r="G223" i="120"/>
  <c r="G75" i="121" s="1"/>
  <c r="F223" i="120"/>
  <c r="F75" i="121" s="1"/>
  <c r="CD222" i="120"/>
  <c r="BX222" i="120"/>
  <c r="FJ74" i="121" s="1"/>
  <c r="BW222" i="120"/>
  <c r="FI74" i="121" s="1"/>
  <c r="BU222" i="120"/>
  <c r="FA74" i="121" s="1"/>
  <c r="BT222" i="120"/>
  <c r="EZ74" i="121" s="1"/>
  <c r="BR222" i="120"/>
  <c r="ER74" i="121" s="1"/>
  <c r="BQ222" i="120"/>
  <c r="EQ74" i="121" s="1"/>
  <c r="AZ222" i="120"/>
  <c r="DK74" i="121" s="1"/>
  <c r="AY222" i="120"/>
  <c r="DJ74" i="121" s="1"/>
  <c r="AW222" i="120"/>
  <c r="DB74" i="121" s="1"/>
  <c r="AV222" i="120"/>
  <c r="DA74" i="121" s="1"/>
  <c r="AT222" i="120"/>
  <c r="CS74" i="121" s="1"/>
  <c r="AS222" i="120"/>
  <c r="CR74" i="121" s="1"/>
  <c r="AB222" i="120"/>
  <c r="BL74" i="121" s="1"/>
  <c r="AA222" i="120"/>
  <c r="BK74" i="121" s="1"/>
  <c r="Y222" i="120"/>
  <c r="BC74" i="121" s="1"/>
  <c r="X222" i="120"/>
  <c r="BB74" i="121" s="1"/>
  <c r="V222" i="120"/>
  <c r="AT74" i="121" s="1"/>
  <c r="U222" i="120"/>
  <c r="AS74" i="121" s="1"/>
  <c r="M222" i="120"/>
  <c r="Y74" i="121" s="1"/>
  <c r="L222" i="120"/>
  <c r="X74" i="121" s="1"/>
  <c r="J222" i="120"/>
  <c r="P74" i="121" s="1"/>
  <c r="I222" i="120"/>
  <c r="O74" i="121" s="1"/>
  <c r="G222" i="120"/>
  <c r="G74" i="121" s="1"/>
  <c r="F222" i="120"/>
  <c r="F74" i="121" s="1"/>
  <c r="CD221" i="120"/>
  <c r="CC221" i="120"/>
  <c r="CB221" i="120"/>
  <c r="BX221" i="120"/>
  <c r="FJ73" i="121" s="1"/>
  <c r="BW221" i="120"/>
  <c r="FI73" i="121" s="1"/>
  <c r="BU221" i="120"/>
  <c r="FA73" i="121" s="1"/>
  <c r="BT221" i="120"/>
  <c r="EZ73" i="121" s="1"/>
  <c r="BR221" i="120"/>
  <c r="ER73" i="121" s="1"/>
  <c r="BQ221" i="120"/>
  <c r="EQ73" i="121" s="1"/>
  <c r="AZ221" i="120"/>
  <c r="DK73" i="121" s="1"/>
  <c r="AY221" i="120"/>
  <c r="DJ73" i="121" s="1"/>
  <c r="AW221" i="120"/>
  <c r="DB73" i="121" s="1"/>
  <c r="AV221" i="120"/>
  <c r="DA73" i="121" s="1"/>
  <c r="AT221" i="120"/>
  <c r="CS73" i="121" s="1"/>
  <c r="AS221" i="120"/>
  <c r="CR73" i="121" s="1"/>
  <c r="AB221" i="120"/>
  <c r="BL73" i="121" s="1"/>
  <c r="AA221" i="120"/>
  <c r="BK73" i="121" s="1"/>
  <c r="Y221" i="120"/>
  <c r="BC73" i="121" s="1"/>
  <c r="X221" i="120"/>
  <c r="BB73" i="121" s="1"/>
  <c r="V221" i="120"/>
  <c r="AT73" i="121" s="1"/>
  <c r="U221" i="120"/>
  <c r="AS73" i="121" s="1"/>
  <c r="M221" i="120"/>
  <c r="Y73" i="121" s="1"/>
  <c r="L221" i="120"/>
  <c r="X73" i="121" s="1"/>
  <c r="J221" i="120"/>
  <c r="P73" i="121" s="1"/>
  <c r="I221" i="120"/>
  <c r="O73" i="121" s="1"/>
  <c r="G221" i="120"/>
  <c r="G73" i="121" s="1"/>
  <c r="F221" i="120"/>
  <c r="F73" i="121" s="1"/>
  <c r="BX220" i="120"/>
  <c r="FJ72" i="121" s="1"/>
  <c r="BW220" i="120"/>
  <c r="FI72" i="121" s="1"/>
  <c r="BU220" i="120"/>
  <c r="FA72" i="121" s="1"/>
  <c r="BT220" i="120"/>
  <c r="EZ72" i="121" s="1"/>
  <c r="BR220" i="120"/>
  <c r="ER72" i="121" s="1"/>
  <c r="BQ220" i="120"/>
  <c r="EQ72" i="121" s="1"/>
  <c r="AZ220" i="120"/>
  <c r="DK72" i="121" s="1"/>
  <c r="AY220" i="120"/>
  <c r="DJ72" i="121" s="1"/>
  <c r="AW220" i="120"/>
  <c r="DB72" i="121" s="1"/>
  <c r="AV220" i="120"/>
  <c r="DA72" i="121" s="1"/>
  <c r="AT220" i="120"/>
  <c r="CS72" i="121" s="1"/>
  <c r="AS220" i="120"/>
  <c r="CR72" i="121" s="1"/>
  <c r="AB220" i="120"/>
  <c r="BL72" i="121" s="1"/>
  <c r="AA220" i="120"/>
  <c r="BK72" i="121" s="1"/>
  <c r="Y220" i="120"/>
  <c r="BC72" i="121" s="1"/>
  <c r="X220" i="120"/>
  <c r="BB72" i="121" s="1"/>
  <c r="V220" i="120"/>
  <c r="AT72" i="121" s="1"/>
  <c r="U220" i="120"/>
  <c r="AS72" i="121" s="1"/>
  <c r="M220" i="120"/>
  <c r="Y72" i="121" s="1"/>
  <c r="L220" i="120"/>
  <c r="X72" i="121" s="1"/>
  <c r="J220" i="120"/>
  <c r="P72" i="121" s="1"/>
  <c r="I220" i="120"/>
  <c r="O72" i="121" s="1"/>
  <c r="G220" i="120"/>
  <c r="G72" i="121" s="1"/>
  <c r="F220" i="120"/>
  <c r="F72" i="121" s="1"/>
  <c r="CD219" i="120"/>
  <c r="CC219" i="120"/>
  <c r="BX219" i="120"/>
  <c r="FJ71" i="121" s="1"/>
  <c r="BW219" i="120"/>
  <c r="FI71" i="121" s="1"/>
  <c r="BU219" i="120"/>
  <c r="FA71" i="121" s="1"/>
  <c r="BT219" i="120"/>
  <c r="EZ71" i="121" s="1"/>
  <c r="BR219" i="120"/>
  <c r="ER71" i="121" s="1"/>
  <c r="BQ219" i="120"/>
  <c r="EQ71" i="121" s="1"/>
  <c r="AZ219" i="120"/>
  <c r="DK71" i="121" s="1"/>
  <c r="AY219" i="120"/>
  <c r="DJ71" i="121" s="1"/>
  <c r="AW219" i="120"/>
  <c r="DB71" i="121" s="1"/>
  <c r="AV219" i="120"/>
  <c r="DA71" i="121" s="1"/>
  <c r="AT219" i="120"/>
  <c r="CS71" i="121" s="1"/>
  <c r="AS219" i="120"/>
  <c r="CR71" i="121" s="1"/>
  <c r="AB219" i="120"/>
  <c r="BL71" i="121" s="1"/>
  <c r="AA219" i="120"/>
  <c r="BK71" i="121" s="1"/>
  <c r="Y219" i="120"/>
  <c r="BC71" i="121" s="1"/>
  <c r="X219" i="120"/>
  <c r="BB71" i="121" s="1"/>
  <c r="V219" i="120"/>
  <c r="AT71" i="121" s="1"/>
  <c r="U219" i="120"/>
  <c r="AS71" i="121" s="1"/>
  <c r="M219" i="120"/>
  <c r="Y71" i="121" s="1"/>
  <c r="L219" i="120"/>
  <c r="X71" i="121" s="1"/>
  <c r="J219" i="120"/>
  <c r="P71" i="121" s="1"/>
  <c r="I219" i="120"/>
  <c r="O71" i="121" s="1"/>
  <c r="G219" i="120"/>
  <c r="G71" i="121" s="1"/>
  <c r="F219" i="120"/>
  <c r="F71" i="121" s="1"/>
  <c r="CD218" i="120"/>
  <c r="CC218" i="120"/>
  <c r="BX218" i="120"/>
  <c r="FJ70" i="121" s="1"/>
  <c r="BW218" i="120"/>
  <c r="FI70" i="121" s="1"/>
  <c r="BU218" i="120"/>
  <c r="FA70" i="121" s="1"/>
  <c r="BT218" i="120"/>
  <c r="EZ70" i="121" s="1"/>
  <c r="BR218" i="120"/>
  <c r="ER70" i="121" s="1"/>
  <c r="BQ218" i="120"/>
  <c r="EQ70" i="121" s="1"/>
  <c r="AZ218" i="120"/>
  <c r="DK70" i="121" s="1"/>
  <c r="AY218" i="120"/>
  <c r="DJ70" i="121" s="1"/>
  <c r="AW218" i="120"/>
  <c r="DB70" i="121" s="1"/>
  <c r="AV218" i="120"/>
  <c r="DA70" i="121" s="1"/>
  <c r="AT218" i="120"/>
  <c r="CS70" i="121" s="1"/>
  <c r="AS218" i="120"/>
  <c r="CR70" i="121" s="1"/>
  <c r="AB218" i="120"/>
  <c r="BL70" i="121" s="1"/>
  <c r="AA218" i="120"/>
  <c r="BK70" i="121" s="1"/>
  <c r="Y218" i="120"/>
  <c r="BC70" i="121" s="1"/>
  <c r="X218" i="120"/>
  <c r="BB70" i="121" s="1"/>
  <c r="V218" i="120"/>
  <c r="AT70" i="121" s="1"/>
  <c r="U218" i="120"/>
  <c r="AS70" i="121" s="1"/>
  <c r="M218" i="120"/>
  <c r="Y70" i="121" s="1"/>
  <c r="L218" i="120"/>
  <c r="X70" i="121" s="1"/>
  <c r="J218" i="120"/>
  <c r="P70" i="121" s="1"/>
  <c r="I218" i="120"/>
  <c r="O70" i="121" s="1"/>
  <c r="G218" i="120"/>
  <c r="G70" i="121" s="1"/>
  <c r="F218" i="120"/>
  <c r="F70" i="121" s="1"/>
  <c r="CD217" i="120"/>
  <c r="BX217" i="120"/>
  <c r="FJ69" i="121" s="1"/>
  <c r="BW217" i="120"/>
  <c r="FI69" i="121" s="1"/>
  <c r="BU217" i="120"/>
  <c r="FA69" i="121" s="1"/>
  <c r="BT217" i="120"/>
  <c r="EZ69" i="121" s="1"/>
  <c r="BR217" i="120"/>
  <c r="ER69" i="121" s="1"/>
  <c r="BQ217" i="120"/>
  <c r="EQ69" i="121" s="1"/>
  <c r="AZ217" i="120"/>
  <c r="DK69" i="121" s="1"/>
  <c r="AY217" i="120"/>
  <c r="DJ69" i="121" s="1"/>
  <c r="AW217" i="120"/>
  <c r="DB69" i="121" s="1"/>
  <c r="AV217" i="120"/>
  <c r="DA69" i="121" s="1"/>
  <c r="AT217" i="120"/>
  <c r="CS69" i="121" s="1"/>
  <c r="AS217" i="120"/>
  <c r="CR69" i="121" s="1"/>
  <c r="AB217" i="120"/>
  <c r="BL69" i="121" s="1"/>
  <c r="AA217" i="120"/>
  <c r="BK69" i="121" s="1"/>
  <c r="Y217" i="120"/>
  <c r="BC69" i="121" s="1"/>
  <c r="X217" i="120"/>
  <c r="BB69" i="121" s="1"/>
  <c r="V217" i="120"/>
  <c r="AT69" i="121" s="1"/>
  <c r="U217" i="120"/>
  <c r="AS69" i="121" s="1"/>
  <c r="M217" i="120"/>
  <c r="Y69" i="121" s="1"/>
  <c r="L217" i="120"/>
  <c r="X69" i="121" s="1"/>
  <c r="J217" i="120"/>
  <c r="P69" i="121" s="1"/>
  <c r="I217" i="120"/>
  <c r="O69" i="121" s="1"/>
  <c r="G217" i="120"/>
  <c r="G69" i="121" s="1"/>
  <c r="F217" i="120"/>
  <c r="F69" i="121" s="1"/>
  <c r="BX216" i="120"/>
  <c r="FJ68" i="121" s="1"/>
  <c r="BW216" i="120"/>
  <c r="FI68" i="121" s="1"/>
  <c r="BU216" i="120"/>
  <c r="FA68" i="121" s="1"/>
  <c r="BT216" i="120"/>
  <c r="EZ68" i="121" s="1"/>
  <c r="BR216" i="120"/>
  <c r="ER68" i="121" s="1"/>
  <c r="BQ216" i="120"/>
  <c r="EQ68" i="121" s="1"/>
  <c r="AZ216" i="120"/>
  <c r="DK68" i="121" s="1"/>
  <c r="AY216" i="120"/>
  <c r="DJ68" i="121" s="1"/>
  <c r="AW216" i="120"/>
  <c r="DB68" i="121" s="1"/>
  <c r="AV216" i="120"/>
  <c r="DA68" i="121" s="1"/>
  <c r="AT216" i="120"/>
  <c r="CS68" i="121" s="1"/>
  <c r="AS216" i="120"/>
  <c r="CR68" i="121" s="1"/>
  <c r="AB216" i="120"/>
  <c r="BL68" i="121" s="1"/>
  <c r="AA216" i="120"/>
  <c r="BK68" i="121" s="1"/>
  <c r="Y216" i="120"/>
  <c r="BC68" i="121" s="1"/>
  <c r="X216" i="120"/>
  <c r="BB68" i="121" s="1"/>
  <c r="V216" i="120"/>
  <c r="AT68" i="121" s="1"/>
  <c r="U216" i="120"/>
  <c r="AS68" i="121" s="1"/>
  <c r="M216" i="120"/>
  <c r="Y68" i="121" s="1"/>
  <c r="L216" i="120"/>
  <c r="X68" i="121" s="1"/>
  <c r="J216" i="120"/>
  <c r="P68" i="121" s="1"/>
  <c r="I216" i="120"/>
  <c r="O68" i="121" s="1"/>
  <c r="G216" i="120"/>
  <c r="G68" i="121" s="1"/>
  <c r="F216" i="120"/>
  <c r="F68" i="121" s="1"/>
  <c r="CD215" i="120"/>
  <c r="BX215" i="120"/>
  <c r="FJ67" i="121" s="1"/>
  <c r="BW215" i="120"/>
  <c r="FI67" i="121" s="1"/>
  <c r="BU215" i="120"/>
  <c r="FA67" i="121" s="1"/>
  <c r="BT215" i="120"/>
  <c r="EZ67" i="121" s="1"/>
  <c r="BR215" i="120"/>
  <c r="ER67" i="121" s="1"/>
  <c r="BQ215" i="120"/>
  <c r="EQ67" i="121" s="1"/>
  <c r="AZ215" i="120"/>
  <c r="DK67" i="121" s="1"/>
  <c r="AY215" i="120"/>
  <c r="DJ67" i="121" s="1"/>
  <c r="AW215" i="120"/>
  <c r="DB67" i="121" s="1"/>
  <c r="AV215" i="120"/>
  <c r="DA67" i="121" s="1"/>
  <c r="AT215" i="120"/>
  <c r="CS67" i="121" s="1"/>
  <c r="AS215" i="120"/>
  <c r="CR67" i="121" s="1"/>
  <c r="AB215" i="120"/>
  <c r="BL67" i="121" s="1"/>
  <c r="AA215" i="120"/>
  <c r="BK67" i="121" s="1"/>
  <c r="Y215" i="120"/>
  <c r="BC67" i="121" s="1"/>
  <c r="X215" i="120"/>
  <c r="BB67" i="121" s="1"/>
  <c r="V215" i="120"/>
  <c r="AT67" i="121" s="1"/>
  <c r="U215" i="120"/>
  <c r="AS67" i="121" s="1"/>
  <c r="M215" i="120"/>
  <c r="Y67" i="121" s="1"/>
  <c r="L215" i="120"/>
  <c r="X67" i="121" s="1"/>
  <c r="J215" i="120"/>
  <c r="P67" i="121" s="1"/>
  <c r="I215" i="120"/>
  <c r="O67" i="121" s="1"/>
  <c r="G215" i="120"/>
  <c r="G67" i="121" s="1"/>
  <c r="F215" i="120"/>
  <c r="F67" i="121" s="1"/>
  <c r="CD213" i="120"/>
  <c r="CC213" i="120"/>
  <c r="BX213" i="120"/>
  <c r="FJ65" i="121" s="1"/>
  <c r="BW213" i="120"/>
  <c r="FI65" i="121" s="1"/>
  <c r="BU213" i="120"/>
  <c r="FA65" i="121" s="1"/>
  <c r="BT213" i="120"/>
  <c r="EZ65" i="121" s="1"/>
  <c r="BR213" i="120"/>
  <c r="ER65" i="121" s="1"/>
  <c r="BQ213" i="120"/>
  <c r="EQ65" i="121" s="1"/>
  <c r="AZ213" i="120"/>
  <c r="DK65" i="121" s="1"/>
  <c r="AY213" i="120"/>
  <c r="DJ65" i="121" s="1"/>
  <c r="AW213" i="120"/>
  <c r="DB65" i="121" s="1"/>
  <c r="AV213" i="120"/>
  <c r="DA65" i="121" s="1"/>
  <c r="AT213" i="120"/>
  <c r="CS65" i="121" s="1"/>
  <c r="AS213" i="120"/>
  <c r="CR65" i="121" s="1"/>
  <c r="AB213" i="120"/>
  <c r="BL65" i="121" s="1"/>
  <c r="AA213" i="120"/>
  <c r="BK65" i="121" s="1"/>
  <c r="Y213" i="120"/>
  <c r="BC65" i="121" s="1"/>
  <c r="X213" i="120"/>
  <c r="BB65" i="121" s="1"/>
  <c r="V213" i="120"/>
  <c r="AT65" i="121" s="1"/>
  <c r="U213" i="120"/>
  <c r="AS65" i="121" s="1"/>
  <c r="M213" i="120"/>
  <c r="Y65" i="121" s="1"/>
  <c r="L213" i="120"/>
  <c r="X65" i="121" s="1"/>
  <c r="J213" i="120"/>
  <c r="P65" i="121" s="1"/>
  <c r="I213" i="120"/>
  <c r="O65" i="121" s="1"/>
  <c r="G213" i="120"/>
  <c r="G65" i="121" s="1"/>
  <c r="F213" i="120"/>
  <c r="F65" i="121" s="1"/>
  <c r="BX212" i="120"/>
  <c r="FJ64" i="121" s="1"/>
  <c r="BW212" i="120"/>
  <c r="FI64" i="121" s="1"/>
  <c r="BU212" i="120"/>
  <c r="FA64" i="121" s="1"/>
  <c r="BT212" i="120"/>
  <c r="EZ64" i="121" s="1"/>
  <c r="BR212" i="120"/>
  <c r="ER64" i="121" s="1"/>
  <c r="BQ212" i="120"/>
  <c r="EQ64" i="121" s="1"/>
  <c r="AZ212" i="120"/>
  <c r="DK64" i="121" s="1"/>
  <c r="AY212" i="120"/>
  <c r="DJ64" i="121" s="1"/>
  <c r="AW212" i="120"/>
  <c r="DB64" i="121" s="1"/>
  <c r="AV212" i="120"/>
  <c r="DA64" i="121" s="1"/>
  <c r="AT212" i="120"/>
  <c r="CS64" i="121" s="1"/>
  <c r="AS212" i="120"/>
  <c r="CR64" i="121" s="1"/>
  <c r="AB212" i="120"/>
  <c r="BL64" i="121" s="1"/>
  <c r="AA212" i="120"/>
  <c r="BK64" i="121" s="1"/>
  <c r="Y212" i="120"/>
  <c r="BC64" i="121" s="1"/>
  <c r="X212" i="120"/>
  <c r="BB64" i="121" s="1"/>
  <c r="V212" i="120"/>
  <c r="AT64" i="121" s="1"/>
  <c r="U212" i="120"/>
  <c r="AS64" i="121" s="1"/>
  <c r="M212" i="120"/>
  <c r="Y64" i="121" s="1"/>
  <c r="L212" i="120"/>
  <c r="X64" i="121" s="1"/>
  <c r="J212" i="120"/>
  <c r="P64" i="121" s="1"/>
  <c r="I212" i="120"/>
  <c r="O64" i="121" s="1"/>
  <c r="G212" i="120"/>
  <c r="G64" i="121" s="1"/>
  <c r="F212" i="120"/>
  <c r="F64" i="121" s="1"/>
  <c r="CD211" i="120"/>
  <c r="CC211" i="120"/>
  <c r="BX211" i="120"/>
  <c r="FJ63" i="121" s="1"/>
  <c r="BW211" i="120"/>
  <c r="FI63" i="121" s="1"/>
  <c r="BU211" i="120"/>
  <c r="FA63" i="121" s="1"/>
  <c r="BT211" i="120"/>
  <c r="EZ63" i="121" s="1"/>
  <c r="BR211" i="120"/>
  <c r="ER63" i="121" s="1"/>
  <c r="BQ211" i="120"/>
  <c r="EQ63" i="121" s="1"/>
  <c r="AZ211" i="120"/>
  <c r="DK63" i="121" s="1"/>
  <c r="AY211" i="120"/>
  <c r="DJ63" i="121" s="1"/>
  <c r="AW211" i="120"/>
  <c r="DB63" i="121" s="1"/>
  <c r="AV211" i="120"/>
  <c r="DA63" i="121" s="1"/>
  <c r="AT211" i="120"/>
  <c r="CS63" i="121" s="1"/>
  <c r="AS211" i="120"/>
  <c r="CR63" i="121" s="1"/>
  <c r="AB211" i="120"/>
  <c r="BL63" i="121" s="1"/>
  <c r="AA211" i="120"/>
  <c r="BK63" i="121" s="1"/>
  <c r="Y211" i="120"/>
  <c r="BC63" i="121" s="1"/>
  <c r="X211" i="120"/>
  <c r="BB63" i="121" s="1"/>
  <c r="V211" i="120"/>
  <c r="AT63" i="121" s="1"/>
  <c r="U211" i="120"/>
  <c r="AS63" i="121" s="1"/>
  <c r="M211" i="120"/>
  <c r="Y63" i="121" s="1"/>
  <c r="L211" i="120"/>
  <c r="X63" i="121" s="1"/>
  <c r="J211" i="120"/>
  <c r="P63" i="121" s="1"/>
  <c r="I211" i="120"/>
  <c r="O63" i="121" s="1"/>
  <c r="G211" i="120"/>
  <c r="G63" i="121" s="1"/>
  <c r="F211" i="120"/>
  <c r="F63" i="121" s="1"/>
  <c r="BX210" i="120"/>
  <c r="FJ62" i="121" s="1"/>
  <c r="BW210" i="120"/>
  <c r="FI62" i="121" s="1"/>
  <c r="BU210" i="120"/>
  <c r="FA62" i="121" s="1"/>
  <c r="BT210" i="120"/>
  <c r="EZ62" i="121" s="1"/>
  <c r="BR210" i="120"/>
  <c r="ER62" i="121" s="1"/>
  <c r="BQ210" i="120"/>
  <c r="EQ62" i="121" s="1"/>
  <c r="AZ210" i="120"/>
  <c r="DK62" i="121" s="1"/>
  <c r="AY210" i="120"/>
  <c r="DJ62" i="121" s="1"/>
  <c r="AW210" i="120"/>
  <c r="DB62" i="121" s="1"/>
  <c r="AV210" i="120"/>
  <c r="DA62" i="121" s="1"/>
  <c r="AT210" i="120"/>
  <c r="CS62" i="121" s="1"/>
  <c r="AS210" i="120"/>
  <c r="CR62" i="121" s="1"/>
  <c r="AB210" i="120"/>
  <c r="BL62" i="121" s="1"/>
  <c r="AA210" i="120"/>
  <c r="BK62" i="121" s="1"/>
  <c r="Y210" i="120"/>
  <c r="BC62" i="121" s="1"/>
  <c r="X210" i="120"/>
  <c r="BB62" i="121" s="1"/>
  <c r="V210" i="120"/>
  <c r="AT62" i="121" s="1"/>
  <c r="U210" i="120"/>
  <c r="AS62" i="121" s="1"/>
  <c r="M210" i="120"/>
  <c r="Y62" i="121" s="1"/>
  <c r="L210" i="120"/>
  <c r="X62" i="121" s="1"/>
  <c r="J210" i="120"/>
  <c r="P62" i="121" s="1"/>
  <c r="I210" i="120"/>
  <c r="O62" i="121" s="1"/>
  <c r="G210" i="120"/>
  <c r="G62" i="121" s="1"/>
  <c r="F210" i="120"/>
  <c r="F62" i="121" s="1"/>
  <c r="BX209" i="120"/>
  <c r="FJ61" i="121" s="1"/>
  <c r="BW209" i="120"/>
  <c r="FI61" i="121" s="1"/>
  <c r="BU209" i="120"/>
  <c r="FA61" i="121" s="1"/>
  <c r="BT209" i="120"/>
  <c r="EZ61" i="121" s="1"/>
  <c r="BR209" i="120"/>
  <c r="ER61" i="121" s="1"/>
  <c r="BQ209" i="120"/>
  <c r="EQ61" i="121" s="1"/>
  <c r="AZ209" i="120"/>
  <c r="DK61" i="121" s="1"/>
  <c r="AY209" i="120"/>
  <c r="DJ61" i="121" s="1"/>
  <c r="AW209" i="120"/>
  <c r="DB61" i="121" s="1"/>
  <c r="AV209" i="120"/>
  <c r="DA61" i="121" s="1"/>
  <c r="AT209" i="120"/>
  <c r="CS61" i="121" s="1"/>
  <c r="AS209" i="120"/>
  <c r="CR61" i="121" s="1"/>
  <c r="AB209" i="120"/>
  <c r="BL61" i="121" s="1"/>
  <c r="AA209" i="120"/>
  <c r="BK61" i="121" s="1"/>
  <c r="Y209" i="120"/>
  <c r="BC61" i="121" s="1"/>
  <c r="X209" i="120"/>
  <c r="BB61" i="121" s="1"/>
  <c r="V209" i="120"/>
  <c r="AT61" i="121" s="1"/>
  <c r="U209" i="120"/>
  <c r="AS61" i="121" s="1"/>
  <c r="M209" i="120"/>
  <c r="Y61" i="121" s="1"/>
  <c r="L209" i="120"/>
  <c r="X61" i="121" s="1"/>
  <c r="J209" i="120"/>
  <c r="P61" i="121" s="1"/>
  <c r="I209" i="120"/>
  <c r="O61" i="121" s="1"/>
  <c r="G209" i="120"/>
  <c r="G61" i="121" s="1"/>
  <c r="F209" i="120"/>
  <c r="F61" i="121" s="1"/>
  <c r="CD206" i="120"/>
  <c r="CC206" i="120"/>
  <c r="BX206" i="120"/>
  <c r="FJ58" i="121" s="1"/>
  <c r="BW206" i="120"/>
  <c r="FI58" i="121" s="1"/>
  <c r="BU206" i="120"/>
  <c r="FA58" i="121" s="1"/>
  <c r="BT206" i="120"/>
  <c r="EZ58" i="121" s="1"/>
  <c r="BR206" i="120"/>
  <c r="ER58" i="121" s="1"/>
  <c r="BQ206" i="120"/>
  <c r="EQ58" i="121" s="1"/>
  <c r="AZ206" i="120"/>
  <c r="DK58" i="121" s="1"/>
  <c r="AY206" i="120"/>
  <c r="DJ58" i="121" s="1"/>
  <c r="AW206" i="120"/>
  <c r="DB58" i="121" s="1"/>
  <c r="AV206" i="120"/>
  <c r="DA58" i="121" s="1"/>
  <c r="AT206" i="120"/>
  <c r="CS58" i="121" s="1"/>
  <c r="AS206" i="120"/>
  <c r="CR58" i="121" s="1"/>
  <c r="AB206" i="120"/>
  <c r="BL58" i="121" s="1"/>
  <c r="AA206" i="120"/>
  <c r="BK58" i="121" s="1"/>
  <c r="Y206" i="120"/>
  <c r="BC58" i="121" s="1"/>
  <c r="X206" i="120"/>
  <c r="BB58" i="121" s="1"/>
  <c r="V206" i="120"/>
  <c r="AT58" i="121" s="1"/>
  <c r="U206" i="120"/>
  <c r="AS58" i="121" s="1"/>
  <c r="M206" i="120"/>
  <c r="Y58" i="121" s="1"/>
  <c r="L206" i="120"/>
  <c r="X58" i="121" s="1"/>
  <c r="J206" i="120"/>
  <c r="P58" i="121" s="1"/>
  <c r="I206" i="120"/>
  <c r="O58" i="121" s="1"/>
  <c r="G206" i="120"/>
  <c r="G58" i="121" s="1"/>
  <c r="F206" i="120"/>
  <c r="F58" i="121" s="1"/>
  <c r="CD205" i="120"/>
  <c r="BX205" i="120"/>
  <c r="FJ57" i="121" s="1"/>
  <c r="BW205" i="120"/>
  <c r="FI57" i="121" s="1"/>
  <c r="BU205" i="120"/>
  <c r="FA57" i="121" s="1"/>
  <c r="BT205" i="120"/>
  <c r="EZ57" i="121" s="1"/>
  <c r="BR205" i="120"/>
  <c r="ER57" i="121" s="1"/>
  <c r="BQ205" i="120"/>
  <c r="EQ57" i="121" s="1"/>
  <c r="AZ205" i="120"/>
  <c r="DK57" i="121" s="1"/>
  <c r="AY205" i="120"/>
  <c r="DJ57" i="121" s="1"/>
  <c r="AW205" i="120"/>
  <c r="DB57" i="121" s="1"/>
  <c r="AV205" i="120"/>
  <c r="DA57" i="121" s="1"/>
  <c r="AT205" i="120"/>
  <c r="CS57" i="121" s="1"/>
  <c r="AS205" i="120"/>
  <c r="CR57" i="121" s="1"/>
  <c r="AB205" i="120"/>
  <c r="BL57" i="121" s="1"/>
  <c r="AA205" i="120"/>
  <c r="BK57" i="121" s="1"/>
  <c r="Y205" i="120"/>
  <c r="BC57" i="121" s="1"/>
  <c r="X205" i="120"/>
  <c r="BB57" i="121" s="1"/>
  <c r="V205" i="120"/>
  <c r="AT57" i="121" s="1"/>
  <c r="U205" i="120"/>
  <c r="AS57" i="121" s="1"/>
  <c r="M205" i="120"/>
  <c r="Y57" i="121" s="1"/>
  <c r="L205" i="120"/>
  <c r="X57" i="121" s="1"/>
  <c r="J205" i="120"/>
  <c r="P57" i="121" s="1"/>
  <c r="I205" i="120"/>
  <c r="O57" i="121" s="1"/>
  <c r="G205" i="120"/>
  <c r="G57" i="121" s="1"/>
  <c r="F205" i="120"/>
  <c r="F57" i="121" s="1"/>
  <c r="CD204" i="120"/>
  <c r="BX204" i="120"/>
  <c r="FJ56" i="121" s="1"/>
  <c r="BW204" i="120"/>
  <c r="FI56" i="121" s="1"/>
  <c r="BU204" i="120"/>
  <c r="FA56" i="121" s="1"/>
  <c r="BT204" i="120"/>
  <c r="EZ56" i="121" s="1"/>
  <c r="BR204" i="120"/>
  <c r="ER56" i="121" s="1"/>
  <c r="BQ204" i="120"/>
  <c r="EQ56" i="121" s="1"/>
  <c r="AZ204" i="120"/>
  <c r="DK56" i="121" s="1"/>
  <c r="AY204" i="120"/>
  <c r="DJ56" i="121" s="1"/>
  <c r="AW204" i="120"/>
  <c r="DB56" i="121" s="1"/>
  <c r="AV204" i="120"/>
  <c r="DA56" i="121" s="1"/>
  <c r="AT204" i="120"/>
  <c r="CS56" i="121" s="1"/>
  <c r="AS204" i="120"/>
  <c r="CR56" i="121" s="1"/>
  <c r="AB204" i="120"/>
  <c r="BL56" i="121" s="1"/>
  <c r="AA204" i="120"/>
  <c r="BK56" i="121" s="1"/>
  <c r="Y204" i="120"/>
  <c r="BC56" i="121" s="1"/>
  <c r="X204" i="120"/>
  <c r="BB56" i="121" s="1"/>
  <c r="V204" i="120"/>
  <c r="AT56" i="121" s="1"/>
  <c r="U204" i="120"/>
  <c r="AS56" i="121" s="1"/>
  <c r="M204" i="120"/>
  <c r="Y56" i="121" s="1"/>
  <c r="L204" i="120"/>
  <c r="X56" i="121" s="1"/>
  <c r="J204" i="120"/>
  <c r="P56" i="121" s="1"/>
  <c r="I204" i="120"/>
  <c r="O56" i="121" s="1"/>
  <c r="G204" i="120"/>
  <c r="G56" i="121" s="1"/>
  <c r="F204" i="120"/>
  <c r="F56" i="121" s="1"/>
  <c r="BX201" i="120"/>
  <c r="BW201" i="120"/>
  <c r="FI53" i="121" s="1"/>
  <c r="BU201" i="120"/>
  <c r="FA53" i="121" s="1"/>
  <c r="BT201" i="120"/>
  <c r="BR201" i="120"/>
  <c r="BQ201" i="120"/>
  <c r="EQ53" i="121" s="1"/>
  <c r="AZ201" i="120"/>
  <c r="AY201" i="120"/>
  <c r="DJ53" i="121" s="1"/>
  <c r="AW201" i="120"/>
  <c r="DB53" i="121" s="1"/>
  <c r="AV201" i="120"/>
  <c r="AT201" i="120"/>
  <c r="AS201" i="120"/>
  <c r="CR53" i="121" s="1"/>
  <c r="AB201" i="120"/>
  <c r="AA201" i="120"/>
  <c r="BK53" i="121" s="1"/>
  <c r="Y201" i="120"/>
  <c r="BC53" i="121" s="1"/>
  <c r="X201" i="120"/>
  <c r="V201" i="120"/>
  <c r="U201" i="120"/>
  <c r="AS53" i="121" s="1"/>
  <c r="M201" i="120"/>
  <c r="Y53" i="121" s="1"/>
  <c r="L201" i="120"/>
  <c r="J201" i="120"/>
  <c r="I201" i="120"/>
  <c r="O53" i="121" s="1"/>
  <c r="G201" i="120"/>
  <c r="G53" i="121" s="1"/>
  <c r="F201" i="120"/>
  <c r="BX200" i="120"/>
  <c r="FJ52" i="121" s="1"/>
  <c r="BW200" i="120"/>
  <c r="BU200" i="120"/>
  <c r="FA52" i="121" s="1"/>
  <c r="BT200" i="120"/>
  <c r="EZ52" i="121" s="1"/>
  <c r="BR200" i="120"/>
  <c r="ER52" i="121" s="1"/>
  <c r="BQ200" i="120"/>
  <c r="EQ52" i="121" s="1"/>
  <c r="AZ200" i="120"/>
  <c r="DK52" i="121" s="1"/>
  <c r="AY200" i="120"/>
  <c r="AW200" i="120"/>
  <c r="DB52" i="121" s="1"/>
  <c r="AV200" i="120"/>
  <c r="DA52" i="121" s="1"/>
  <c r="AT200" i="120"/>
  <c r="CS52" i="121" s="1"/>
  <c r="AS200" i="120"/>
  <c r="CR52" i="121" s="1"/>
  <c r="AB200" i="120"/>
  <c r="BL52" i="121" s="1"/>
  <c r="AA200" i="120"/>
  <c r="Y200" i="120"/>
  <c r="BC52" i="121" s="1"/>
  <c r="X200" i="120"/>
  <c r="BB52" i="121" s="1"/>
  <c r="V200" i="120"/>
  <c r="AT52" i="121" s="1"/>
  <c r="U200" i="120"/>
  <c r="AS52" i="121" s="1"/>
  <c r="M200" i="120"/>
  <c r="Y52" i="121" s="1"/>
  <c r="L200" i="120"/>
  <c r="X52" i="121" s="1"/>
  <c r="J200" i="120"/>
  <c r="P52" i="121" s="1"/>
  <c r="I200" i="120"/>
  <c r="O52" i="121" s="1"/>
  <c r="G200" i="120"/>
  <c r="F200" i="120"/>
  <c r="F52" i="121" s="1"/>
  <c r="CD199" i="120"/>
  <c r="BX199" i="120"/>
  <c r="FJ51" i="121" s="1"/>
  <c r="BW199" i="120"/>
  <c r="FI51" i="121" s="1"/>
  <c r="BU199" i="120"/>
  <c r="FA51" i="121" s="1"/>
  <c r="BT199" i="120"/>
  <c r="EZ51" i="121" s="1"/>
  <c r="BR199" i="120"/>
  <c r="ER51" i="121" s="1"/>
  <c r="BQ199" i="120"/>
  <c r="EQ51" i="121" s="1"/>
  <c r="AZ199" i="120"/>
  <c r="DK51" i="121" s="1"/>
  <c r="AY199" i="120"/>
  <c r="DJ51" i="121" s="1"/>
  <c r="AW199" i="120"/>
  <c r="DB51" i="121" s="1"/>
  <c r="AV199" i="120"/>
  <c r="DA51" i="121" s="1"/>
  <c r="AT199" i="120"/>
  <c r="CS51" i="121" s="1"/>
  <c r="AS199" i="120"/>
  <c r="CR51" i="121" s="1"/>
  <c r="AB199" i="120"/>
  <c r="BL51" i="121" s="1"/>
  <c r="AA199" i="120"/>
  <c r="BK51" i="121" s="1"/>
  <c r="Y199" i="120"/>
  <c r="BC51" i="121" s="1"/>
  <c r="X199" i="120"/>
  <c r="BB51" i="121" s="1"/>
  <c r="V199" i="120"/>
  <c r="AT51" i="121" s="1"/>
  <c r="U199" i="120"/>
  <c r="AS51" i="121" s="1"/>
  <c r="M199" i="120"/>
  <c r="Y51" i="121" s="1"/>
  <c r="L199" i="120"/>
  <c r="X51" i="121" s="1"/>
  <c r="J199" i="120"/>
  <c r="P51" i="121" s="1"/>
  <c r="I199" i="120"/>
  <c r="O51" i="121" s="1"/>
  <c r="G199" i="120"/>
  <c r="G51" i="121" s="1"/>
  <c r="F199" i="120"/>
  <c r="F51" i="121" s="1"/>
  <c r="BX198" i="120"/>
  <c r="FJ50" i="121" s="1"/>
  <c r="BW198" i="120"/>
  <c r="FI50" i="121" s="1"/>
  <c r="BU198" i="120"/>
  <c r="FA50" i="121" s="1"/>
  <c r="BT198" i="120"/>
  <c r="EZ50" i="121" s="1"/>
  <c r="BR198" i="120"/>
  <c r="ER50" i="121" s="1"/>
  <c r="BQ198" i="120"/>
  <c r="EQ50" i="121" s="1"/>
  <c r="AZ198" i="120"/>
  <c r="DK50" i="121" s="1"/>
  <c r="AY198" i="120"/>
  <c r="DJ50" i="121" s="1"/>
  <c r="AW198" i="120"/>
  <c r="DB50" i="121" s="1"/>
  <c r="AV198" i="120"/>
  <c r="DA50" i="121" s="1"/>
  <c r="AT198" i="120"/>
  <c r="CS50" i="121" s="1"/>
  <c r="AS198" i="120"/>
  <c r="CR50" i="121" s="1"/>
  <c r="AB198" i="120"/>
  <c r="BL50" i="121" s="1"/>
  <c r="AA198" i="120"/>
  <c r="BK50" i="121" s="1"/>
  <c r="Y198" i="120"/>
  <c r="BC50" i="121" s="1"/>
  <c r="X198" i="120"/>
  <c r="BB50" i="121" s="1"/>
  <c r="V198" i="120"/>
  <c r="AT50" i="121" s="1"/>
  <c r="U198" i="120"/>
  <c r="AS50" i="121" s="1"/>
  <c r="M198" i="120"/>
  <c r="Y50" i="121" s="1"/>
  <c r="L198" i="120"/>
  <c r="X50" i="121" s="1"/>
  <c r="J198" i="120"/>
  <c r="P50" i="121" s="1"/>
  <c r="I198" i="120"/>
  <c r="O50" i="121" s="1"/>
  <c r="G198" i="120"/>
  <c r="G50" i="121" s="1"/>
  <c r="F198" i="120"/>
  <c r="F50" i="121" s="1"/>
  <c r="BX197" i="120"/>
  <c r="FJ49" i="121" s="1"/>
  <c r="BW197" i="120"/>
  <c r="FI49" i="121" s="1"/>
  <c r="BU197" i="120"/>
  <c r="FA49" i="121" s="1"/>
  <c r="BT197" i="120"/>
  <c r="EZ49" i="121" s="1"/>
  <c r="BR197" i="120"/>
  <c r="ER49" i="121" s="1"/>
  <c r="BQ197" i="120"/>
  <c r="EQ49" i="121" s="1"/>
  <c r="AZ197" i="120"/>
  <c r="DK49" i="121" s="1"/>
  <c r="AY197" i="120"/>
  <c r="DJ49" i="121" s="1"/>
  <c r="AW197" i="120"/>
  <c r="DB49" i="121" s="1"/>
  <c r="AV197" i="120"/>
  <c r="DA49" i="121" s="1"/>
  <c r="AT197" i="120"/>
  <c r="CS49" i="121" s="1"/>
  <c r="AS197" i="120"/>
  <c r="CR49" i="121" s="1"/>
  <c r="AB197" i="120"/>
  <c r="BL49" i="121" s="1"/>
  <c r="AA197" i="120"/>
  <c r="BK49" i="121" s="1"/>
  <c r="Y197" i="120"/>
  <c r="BC49" i="121" s="1"/>
  <c r="X197" i="120"/>
  <c r="BB49" i="121" s="1"/>
  <c r="V197" i="120"/>
  <c r="AT49" i="121" s="1"/>
  <c r="U197" i="120"/>
  <c r="AS49" i="121" s="1"/>
  <c r="M197" i="120"/>
  <c r="Y49" i="121" s="1"/>
  <c r="L197" i="120"/>
  <c r="X49" i="121" s="1"/>
  <c r="J197" i="120"/>
  <c r="P49" i="121" s="1"/>
  <c r="I197" i="120"/>
  <c r="O49" i="121" s="1"/>
  <c r="G197" i="120"/>
  <c r="G49" i="121" s="1"/>
  <c r="F197" i="120"/>
  <c r="F49" i="121" s="1"/>
  <c r="BX196" i="120"/>
  <c r="FJ48" i="121" s="1"/>
  <c r="BW196" i="120"/>
  <c r="FI48" i="121" s="1"/>
  <c r="BU196" i="120"/>
  <c r="FA48" i="121" s="1"/>
  <c r="BT196" i="120"/>
  <c r="EZ48" i="121" s="1"/>
  <c r="BR196" i="120"/>
  <c r="ER48" i="121" s="1"/>
  <c r="BQ196" i="120"/>
  <c r="EQ48" i="121" s="1"/>
  <c r="AZ196" i="120"/>
  <c r="DK48" i="121" s="1"/>
  <c r="AY196" i="120"/>
  <c r="DJ48" i="121" s="1"/>
  <c r="AW196" i="120"/>
  <c r="DB48" i="121" s="1"/>
  <c r="AV196" i="120"/>
  <c r="DA48" i="121" s="1"/>
  <c r="AT196" i="120"/>
  <c r="CS48" i="121" s="1"/>
  <c r="AS196" i="120"/>
  <c r="CR48" i="121" s="1"/>
  <c r="AB196" i="120"/>
  <c r="BL48" i="121" s="1"/>
  <c r="AA196" i="120"/>
  <c r="BK48" i="121" s="1"/>
  <c r="Y196" i="120"/>
  <c r="BC48" i="121" s="1"/>
  <c r="X196" i="120"/>
  <c r="BB48" i="121" s="1"/>
  <c r="V196" i="120"/>
  <c r="AT48" i="121" s="1"/>
  <c r="U196" i="120"/>
  <c r="AS48" i="121" s="1"/>
  <c r="M196" i="120"/>
  <c r="Y48" i="121" s="1"/>
  <c r="L196" i="120"/>
  <c r="X48" i="121" s="1"/>
  <c r="J196" i="120"/>
  <c r="P48" i="121" s="1"/>
  <c r="I196" i="120"/>
  <c r="O48" i="121" s="1"/>
  <c r="G196" i="120"/>
  <c r="G48" i="121" s="1"/>
  <c r="F196" i="120"/>
  <c r="F48" i="121" s="1"/>
  <c r="BX195" i="120"/>
  <c r="FJ47" i="121" s="1"/>
  <c r="BW195" i="120"/>
  <c r="FI47" i="121" s="1"/>
  <c r="BU195" i="120"/>
  <c r="FA47" i="121" s="1"/>
  <c r="BT195" i="120"/>
  <c r="EZ47" i="121" s="1"/>
  <c r="BR195" i="120"/>
  <c r="ER47" i="121" s="1"/>
  <c r="BQ195" i="120"/>
  <c r="EQ47" i="121" s="1"/>
  <c r="AZ195" i="120"/>
  <c r="DK47" i="121" s="1"/>
  <c r="AY195" i="120"/>
  <c r="DJ47" i="121" s="1"/>
  <c r="AW195" i="120"/>
  <c r="DB47" i="121" s="1"/>
  <c r="AV195" i="120"/>
  <c r="DA47" i="121" s="1"/>
  <c r="AT195" i="120"/>
  <c r="CS47" i="121" s="1"/>
  <c r="AS195" i="120"/>
  <c r="CR47" i="121" s="1"/>
  <c r="AB195" i="120"/>
  <c r="BL47" i="121" s="1"/>
  <c r="AA195" i="120"/>
  <c r="BK47" i="121" s="1"/>
  <c r="Y195" i="120"/>
  <c r="BC47" i="121" s="1"/>
  <c r="X195" i="120"/>
  <c r="BB47" i="121" s="1"/>
  <c r="V195" i="120"/>
  <c r="AT47" i="121" s="1"/>
  <c r="U195" i="120"/>
  <c r="AS47" i="121" s="1"/>
  <c r="M195" i="120"/>
  <c r="Y47" i="121" s="1"/>
  <c r="L195" i="120"/>
  <c r="X47" i="121" s="1"/>
  <c r="J195" i="120"/>
  <c r="P47" i="121" s="1"/>
  <c r="I195" i="120"/>
  <c r="O47" i="121" s="1"/>
  <c r="G195" i="120"/>
  <c r="G47" i="121" s="1"/>
  <c r="F195" i="120"/>
  <c r="F47" i="121" s="1"/>
  <c r="BX190" i="120"/>
  <c r="BW190" i="120"/>
  <c r="BU190" i="120"/>
  <c r="BT190" i="120"/>
  <c r="BR190" i="120"/>
  <c r="BQ190" i="120"/>
  <c r="AZ190" i="120"/>
  <c r="AY190" i="120"/>
  <c r="AW190" i="120"/>
  <c r="AV190" i="120"/>
  <c r="AT190" i="120"/>
  <c r="AS190" i="120"/>
  <c r="AB190" i="120"/>
  <c r="AA190" i="120"/>
  <c r="Y190" i="120"/>
  <c r="X190" i="120"/>
  <c r="V190" i="120"/>
  <c r="U190" i="120"/>
  <c r="M190" i="120"/>
  <c r="L190" i="120"/>
  <c r="J190" i="120"/>
  <c r="I190" i="120"/>
  <c r="G190" i="120"/>
  <c r="F190" i="120"/>
  <c r="BX189" i="120"/>
  <c r="BW189" i="120"/>
  <c r="BU189" i="120"/>
  <c r="BT189" i="120"/>
  <c r="BR189" i="120"/>
  <c r="BQ189" i="120"/>
  <c r="AZ189" i="120"/>
  <c r="AY189" i="120"/>
  <c r="AW189" i="120"/>
  <c r="AV189" i="120"/>
  <c r="AT189" i="120"/>
  <c r="AS189" i="120"/>
  <c r="AB189" i="120"/>
  <c r="AA189" i="120"/>
  <c r="Y189" i="120"/>
  <c r="X189" i="120"/>
  <c r="V189" i="120"/>
  <c r="U189" i="120"/>
  <c r="M189" i="120"/>
  <c r="L189" i="120"/>
  <c r="J189" i="120"/>
  <c r="I189" i="120"/>
  <c r="G189" i="120"/>
  <c r="F189" i="120"/>
  <c r="CD187" i="120"/>
  <c r="BX187" i="120"/>
  <c r="BW187" i="120"/>
  <c r="BU187" i="120"/>
  <c r="BT187" i="120"/>
  <c r="BR187" i="120"/>
  <c r="BQ187" i="120"/>
  <c r="AZ187" i="120"/>
  <c r="AY187" i="120"/>
  <c r="AW187" i="120"/>
  <c r="AV187" i="120"/>
  <c r="AT187" i="120"/>
  <c r="AS187" i="120"/>
  <c r="AB187" i="120"/>
  <c r="AA187" i="120"/>
  <c r="Y187" i="120"/>
  <c r="X187" i="120"/>
  <c r="V187" i="120"/>
  <c r="U187" i="120"/>
  <c r="M187" i="120"/>
  <c r="L187" i="120"/>
  <c r="J187" i="120"/>
  <c r="I187" i="120"/>
  <c r="G187" i="120"/>
  <c r="F187" i="120"/>
  <c r="CD186" i="120"/>
  <c r="BX186" i="120"/>
  <c r="BW186" i="120"/>
  <c r="BU186" i="120"/>
  <c r="BT186" i="120"/>
  <c r="BR186" i="120"/>
  <c r="BQ186" i="120"/>
  <c r="AZ186" i="120"/>
  <c r="AY186" i="120"/>
  <c r="AW186" i="120"/>
  <c r="AV186" i="120"/>
  <c r="AT186" i="120"/>
  <c r="AS186" i="120"/>
  <c r="AB186" i="120"/>
  <c r="AA186" i="120"/>
  <c r="Y186" i="120"/>
  <c r="X186" i="120"/>
  <c r="V186" i="120"/>
  <c r="U186" i="120"/>
  <c r="M186" i="120"/>
  <c r="L186" i="120"/>
  <c r="J186" i="120"/>
  <c r="I186" i="120"/>
  <c r="G186" i="120"/>
  <c r="F186" i="120"/>
  <c r="CD185" i="120"/>
  <c r="BX185" i="120"/>
  <c r="BW185" i="120"/>
  <c r="BU185" i="120"/>
  <c r="BT185" i="120"/>
  <c r="BR185" i="120"/>
  <c r="BQ185" i="120"/>
  <c r="AZ185" i="120"/>
  <c r="AY185" i="120"/>
  <c r="AW185" i="120"/>
  <c r="AV185" i="120"/>
  <c r="AT185" i="120"/>
  <c r="AS185" i="120"/>
  <c r="AB185" i="120"/>
  <c r="AA185" i="120"/>
  <c r="Y185" i="120"/>
  <c r="X185" i="120"/>
  <c r="V185" i="120"/>
  <c r="U185" i="120"/>
  <c r="M185" i="120"/>
  <c r="L185" i="120"/>
  <c r="J185" i="120"/>
  <c r="I185" i="120"/>
  <c r="G185" i="120"/>
  <c r="F185" i="120"/>
  <c r="BX183" i="120"/>
  <c r="BW183" i="120"/>
  <c r="BU183" i="120"/>
  <c r="BT183" i="120"/>
  <c r="BR183" i="120"/>
  <c r="BQ183" i="120"/>
  <c r="AZ183" i="120"/>
  <c r="AY183" i="120"/>
  <c r="AW183" i="120"/>
  <c r="AV183" i="120"/>
  <c r="AT183" i="120"/>
  <c r="AS183" i="120"/>
  <c r="AB183" i="120"/>
  <c r="AA183" i="120"/>
  <c r="Y183" i="120"/>
  <c r="X183" i="120"/>
  <c r="V183" i="120"/>
  <c r="U183" i="120"/>
  <c r="M183" i="120"/>
  <c r="L183" i="120"/>
  <c r="J183" i="120"/>
  <c r="I183" i="120"/>
  <c r="G183" i="120"/>
  <c r="F183" i="120"/>
  <c r="BX182" i="120"/>
  <c r="BW182" i="120"/>
  <c r="BU182" i="120"/>
  <c r="BT182" i="120"/>
  <c r="BR182" i="120"/>
  <c r="BQ182" i="120"/>
  <c r="AZ182" i="120"/>
  <c r="AY182" i="120"/>
  <c r="AW182" i="120"/>
  <c r="AV182" i="120"/>
  <c r="AT182" i="120"/>
  <c r="AS182" i="120"/>
  <c r="AB182" i="120"/>
  <c r="AA182" i="120"/>
  <c r="Y182" i="120"/>
  <c r="X182" i="120"/>
  <c r="V182" i="120"/>
  <c r="U182" i="120"/>
  <c r="M182" i="120"/>
  <c r="L182" i="120"/>
  <c r="J182" i="120"/>
  <c r="I182" i="120"/>
  <c r="G182" i="120"/>
  <c r="F182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J176" i="120"/>
  <c r="I176" i="120"/>
  <c r="G176" i="120"/>
  <c r="F176" i="120"/>
  <c r="BX175" i="120"/>
  <c r="BW175" i="120"/>
  <c r="BU175" i="120"/>
  <c r="BT175" i="120"/>
  <c r="BR175" i="120"/>
  <c r="BQ175" i="120"/>
  <c r="AZ175" i="120"/>
  <c r="AY175" i="120"/>
  <c r="AW175" i="120"/>
  <c r="AV175" i="120"/>
  <c r="AT175" i="120"/>
  <c r="AS175" i="120"/>
  <c r="AB175" i="120"/>
  <c r="AA175" i="120"/>
  <c r="Y175" i="120"/>
  <c r="X175" i="120"/>
  <c r="V175" i="120"/>
  <c r="U175" i="120"/>
  <c r="M175" i="120"/>
  <c r="L175" i="120"/>
  <c r="J175" i="120"/>
  <c r="I175" i="120"/>
  <c r="G175" i="120"/>
  <c r="G177" i="120" s="1"/>
  <c r="F175" i="120"/>
  <c r="BY164" i="120"/>
  <c r="BA164" i="120"/>
  <c r="AC164" i="120"/>
  <c r="N164" i="120"/>
  <c r="B164" i="120"/>
  <c r="B230" i="120" s="1"/>
  <c r="B88" i="121" s="1"/>
  <c r="BY163" i="120"/>
  <c r="BA163" i="120"/>
  <c r="AC163" i="120"/>
  <c r="N163" i="120"/>
  <c r="B163" i="120"/>
  <c r="B229" i="120" s="1"/>
  <c r="B87" i="121" s="1"/>
  <c r="BY162" i="120"/>
  <c r="BA162" i="120"/>
  <c r="AC162" i="120"/>
  <c r="N162" i="120"/>
  <c r="B162" i="120"/>
  <c r="CN161" i="120"/>
  <c r="CM161" i="120"/>
  <c r="BV161" i="120"/>
  <c r="BS161" i="120"/>
  <c r="BP161" i="120"/>
  <c r="AX161" i="120"/>
  <c r="AU161" i="120"/>
  <c r="AR161" i="120"/>
  <c r="Z161" i="120"/>
  <c r="W161" i="120"/>
  <c r="T161" i="120"/>
  <c r="K161" i="120"/>
  <c r="H161" i="120"/>
  <c r="E161" i="120"/>
  <c r="CA157" i="120"/>
  <c r="CA223" i="120" s="1"/>
  <c r="BZ157" i="120"/>
  <c r="BZ223" i="120" s="1"/>
  <c r="BV157" i="120"/>
  <c r="BV223" i="120" s="1"/>
  <c r="BS157" i="120"/>
  <c r="BS223" i="120" s="1"/>
  <c r="BP157" i="120"/>
  <c r="BP223" i="120" s="1"/>
  <c r="BC157" i="120"/>
  <c r="BC223" i="120" s="1"/>
  <c r="BB157" i="120"/>
  <c r="AX157" i="120"/>
  <c r="AX223" i="120" s="1"/>
  <c r="AU157" i="120"/>
  <c r="AU223" i="120" s="1"/>
  <c r="AR157" i="120"/>
  <c r="AR223" i="120" s="1"/>
  <c r="AE157" i="120"/>
  <c r="AE223" i="120" s="1"/>
  <c r="AD157" i="120"/>
  <c r="AD223" i="120" s="1"/>
  <c r="Z157" i="120"/>
  <c r="Z223" i="120" s="1"/>
  <c r="W157" i="120"/>
  <c r="W223" i="120" s="1"/>
  <c r="T157" i="120"/>
  <c r="T223" i="120" s="1"/>
  <c r="P157" i="120"/>
  <c r="P223" i="120" s="1"/>
  <c r="O157" i="120"/>
  <c r="K157" i="120"/>
  <c r="K223" i="120" s="1"/>
  <c r="H157" i="120"/>
  <c r="H223" i="120" s="1"/>
  <c r="E157" i="120"/>
  <c r="E223" i="120" s="1"/>
  <c r="D157" i="120"/>
  <c r="CA156" i="120"/>
  <c r="CA222" i="120" s="1"/>
  <c r="BZ156" i="120"/>
  <c r="BV156" i="120"/>
  <c r="BV222" i="120" s="1"/>
  <c r="BS156" i="120"/>
  <c r="BS222" i="120" s="1"/>
  <c r="BP156" i="120"/>
  <c r="BP222" i="120" s="1"/>
  <c r="BC156" i="120"/>
  <c r="BB156" i="120"/>
  <c r="BB222" i="120" s="1"/>
  <c r="AX156" i="120"/>
  <c r="AX222" i="120" s="1"/>
  <c r="AU156" i="120"/>
  <c r="AU222" i="120" s="1"/>
  <c r="AR156" i="120"/>
  <c r="AR222" i="120" s="1"/>
  <c r="AE156" i="120"/>
  <c r="AE222" i="120" s="1"/>
  <c r="AD156" i="120"/>
  <c r="AD222" i="120" s="1"/>
  <c r="Z156" i="120"/>
  <c r="Z222" i="120" s="1"/>
  <c r="W156" i="120"/>
  <c r="W222" i="120" s="1"/>
  <c r="T156" i="120"/>
  <c r="T222" i="120" s="1"/>
  <c r="P156" i="120"/>
  <c r="P222" i="120" s="1"/>
  <c r="O156" i="120"/>
  <c r="K156" i="120"/>
  <c r="K222" i="120" s="1"/>
  <c r="H156" i="120"/>
  <c r="H222" i="120" s="1"/>
  <c r="E156" i="120"/>
  <c r="E222" i="120" s="1"/>
  <c r="D156" i="120"/>
  <c r="D222" i="120" s="1"/>
  <c r="D74" i="121" s="1"/>
  <c r="M74" i="121" s="1"/>
  <c r="V74" i="121" s="1"/>
  <c r="AE74" i="121" s="1"/>
  <c r="CA155" i="120"/>
  <c r="CA221" i="120" s="1"/>
  <c r="BZ155" i="120"/>
  <c r="BZ221" i="120" s="1"/>
  <c r="BV155" i="120"/>
  <c r="BV221" i="120" s="1"/>
  <c r="BS155" i="120"/>
  <c r="BS221" i="120" s="1"/>
  <c r="BP155" i="120"/>
  <c r="BP221" i="120" s="1"/>
  <c r="BC155" i="120"/>
  <c r="BC221" i="120" s="1"/>
  <c r="BB155" i="120"/>
  <c r="AX155" i="120"/>
  <c r="AX221" i="120" s="1"/>
  <c r="AU155" i="120"/>
  <c r="AU221" i="120" s="1"/>
  <c r="AR155" i="120"/>
  <c r="AR221" i="120" s="1"/>
  <c r="AE155" i="120"/>
  <c r="AD155" i="120"/>
  <c r="AD221" i="120" s="1"/>
  <c r="Z155" i="120"/>
  <c r="Z221" i="120" s="1"/>
  <c r="W155" i="120"/>
  <c r="W221" i="120" s="1"/>
  <c r="T155" i="120"/>
  <c r="T221" i="120" s="1"/>
  <c r="P155" i="120"/>
  <c r="P221" i="120" s="1"/>
  <c r="O155" i="120"/>
  <c r="O221" i="120" s="1"/>
  <c r="K155" i="120"/>
  <c r="K221" i="120" s="1"/>
  <c r="H155" i="120"/>
  <c r="H221" i="120" s="1"/>
  <c r="E155" i="120"/>
  <c r="E221" i="120" s="1"/>
  <c r="D155" i="120"/>
  <c r="C155" i="120"/>
  <c r="C221" i="120" s="1"/>
  <c r="C73" i="121" s="1"/>
  <c r="CA154" i="120"/>
  <c r="BZ154" i="120"/>
  <c r="BV154" i="120"/>
  <c r="BV220" i="120" s="1"/>
  <c r="BS154" i="120"/>
  <c r="BS220" i="120" s="1"/>
  <c r="BP154" i="120"/>
  <c r="BP220" i="120" s="1"/>
  <c r="BC154" i="120"/>
  <c r="BC220" i="120" s="1"/>
  <c r="BB154" i="120"/>
  <c r="BB220" i="120" s="1"/>
  <c r="AX154" i="120"/>
  <c r="AX220" i="120" s="1"/>
  <c r="AU154" i="120"/>
  <c r="AU220" i="120" s="1"/>
  <c r="AR154" i="120"/>
  <c r="AR220" i="120" s="1"/>
  <c r="AE154" i="120"/>
  <c r="AD154" i="120"/>
  <c r="Z154" i="120"/>
  <c r="Z220" i="120" s="1"/>
  <c r="W154" i="120"/>
  <c r="W220" i="120" s="1"/>
  <c r="T154" i="120"/>
  <c r="T220" i="120" s="1"/>
  <c r="P154" i="120"/>
  <c r="P220" i="120" s="1"/>
  <c r="O154" i="120"/>
  <c r="K154" i="120"/>
  <c r="K220" i="120" s="1"/>
  <c r="H154" i="120"/>
  <c r="H220" i="120" s="1"/>
  <c r="E154" i="120"/>
  <c r="E220" i="120" s="1"/>
  <c r="CB153" i="120"/>
  <c r="CB219" i="120" s="1"/>
  <c r="CA153" i="120"/>
  <c r="CA219" i="120" s="1"/>
  <c r="BZ153" i="120"/>
  <c r="BZ219" i="120" s="1"/>
  <c r="BV153" i="120"/>
  <c r="BV219" i="120" s="1"/>
  <c r="BS153" i="120"/>
  <c r="BS219" i="120" s="1"/>
  <c r="BP153" i="120"/>
  <c r="BP219" i="120" s="1"/>
  <c r="BC153" i="120"/>
  <c r="BC219" i="120" s="1"/>
  <c r="BB153" i="120"/>
  <c r="BB219" i="120" s="1"/>
  <c r="AX153" i="120"/>
  <c r="AX219" i="120" s="1"/>
  <c r="AU153" i="120"/>
  <c r="AU219" i="120" s="1"/>
  <c r="AR153" i="120"/>
  <c r="AR219" i="120" s="1"/>
  <c r="AE153" i="120"/>
  <c r="AD153" i="120"/>
  <c r="AD219" i="120" s="1"/>
  <c r="Z153" i="120"/>
  <c r="Z219" i="120" s="1"/>
  <c r="W153" i="120"/>
  <c r="W219" i="120" s="1"/>
  <c r="T153" i="120"/>
  <c r="T219" i="120" s="1"/>
  <c r="P153" i="120"/>
  <c r="P219" i="120" s="1"/>
  <c r="O153" i="120"/>
  <c r="O219" i="120" s="1"/>
  <c r="K153" i="120"/>
  <c r="K219" i="120" s="1"/>
  <c r="H153" i="120"/>
  <c r="H219" i="120" s="1"/>
  <c r="E153" i="120"/>
  <c r="E219" i="120" s="1"/>
  <c r="D153" i="120"/>
  <c r="D219" i="120" s="1"/>
  <c r="D71" i="121" s="1"/>
  <c r="C153" i="120"/>
  <c r="CB152" i="120"/>
  <c r="CB218" i="120" s="1"/>
  <c r="CA152" i="120"/>
  <c r="CA218" i="120" s="1"/>
  <c r="BZ152" i="120"/>
  <c r="BZ218" i="120" s="1"/>
  <c r="BV152" i="120"/>
  <c r="BV218" i="120" s="1"/>
  <c r="BS152" i="120"/>
  <c r="BS218" i="120" s="1"/>
  <c r="BP152" i="120"/>
  <c r="BP218" i="120" s="1"/>
  <c r="BC152" i="120"/>
  <c r="BC218" i="120" s="1"/>
  <c r="BB152" i="120"/>
  <c r="BB218" i="120" s="1"/>
  <c r="AX152" i="120"/>
  <c r="AX218" i="120" s="1"/>
  <c r="AU152" i="120"/>
  <c r="AU218" i="120" s="1"/>
  <c r="AR152" i="120"/>
  <c r="AR218" i="120" s="1"/>
  <c r="AE152" i="120"/>
  <c r="AD152" i="120"/>
  <c r="AD218" i="120" s="1"/>
  <c r="Z152" i="120"/>
  <c r="Z218" i="120" s="1"/>
  <c r="W152" i="120"/>
  <c r="W218" i="120" s="1"/>
  <c r="T152" i="120"/>
  <c r="T218" i="120" s="1"/>
  <c r="P152" i="120"/>
  <c r="P218" i="120" s="1"/>
  <c r="O152" i="120"/>
  <c r="O218" i="120" s="1"/>
  <c r="K152" i="120"/>
  <c r="K218" i="120" s="1"/>
  <c r="H152" i="120"/>
  <c r="H218" i="120" s="1"/>
  <c r="E152" i="120"/>
  <c r="E218" i="120" s="1"/>
  <c r="D152" i="120"/>
  <c r="D218" i="120" s="1"/>
  <c r="D70" i="121" s="1"/>
  <c r="C152" i="120"/>
  <c r="CA151" i="120"/>
  <c r="CA217" i="120" s="1"/>
  <c r="BZ151" i="120"/>
  <c r="BZ217" i="120" s="1"/>
  <c r="BV151" i="120"/>
  <c r="BV217" i="120" s="1"/>
  <c r="BS151" i="120"/>
  <c r="BS217" i="120" s="1"/>
  <c r="BP151" i="120"/>
  <c r="BP217" i="120" s="1"/>
  <c r="BC151" i="120"/>
  <c r="BC217" i="120" s="1"/>
  <c r="BB151" i="120"/>
  <c r="AX151" i="120"/>
  <c r="AX217" i="120" s="1"/>
  <c r="AU151" i="120"/>
  <c r="AU217" i="120" s="1"/>
  <c r="AR151" i="120"/>
  <c r="AR217" i="120" s="1"/>
  <c r="AE151" i="120"/>
  <c r="AE217" i="120" s="1"/>
  <c r="AD151" i="120"/>
  <c r="AD217" i="120" s="1"/>
  <c r="Z151" i="120"/>
  <c r="Z217" i="120" s="1"/>
  <c r="W151" i="120"/>
  <c r="W217" i="120" s="1"/>
  <c r="T151" i="120"/>
  <c r="T217" i="120" s="1"/>
  <c r="P151" i="120"/>
  <c r="P217" i="120" s="1"/>
  <c r="O151" i="120"/>
  <c r="O217" i="120" s="1"/>
  <c r="K151" i="120"/>
  <c r="K217" i="120" s="1"/>
  <c r="H151" i="120"/>
  <c r="H217" i="120" s="1"/>
  <c r="E151" i="120"/>
  <c r="E217" i="120" s="1"/>
  <c r="D151" i="120"/>
  <c r="CA150" i="120"/>
  <c r="CA216" i="120" s="1"/>
  <c r="BZ150" i="120"/>
  <c r="BV150" i="120"/>
  <c r="BV216" i="120" s="1"/>
  <c r="BS150" i="120"/>
  <c r="BS216" i="120" s="1"/>
  <c r="BP150" i="120"/>
  <c r="BP216" i="120" s="1"/>
  <c r="BC150" i="120"/>
  <c r="BC216" i="120" s="1"/>
  <c r="BB150" i="120"/>
  <c r="BB216" i="120" s="1"/>
  <c r="AX150" i="120"/>
  <c r="AX216" i="120" s="1"/>
  <c r="AU150" i="120"/>
  <c r="AU216" i="120" s="1"/>
  <c r="AR150" i="120"/>
  <c r="AR216" i="120" s="1"/>
  <c r="AE150" i="120"/>
  <c r="AE216" i="120" s="1"/>
  <c r="AD150" i="120"/>
  <c r="Z150" i="120"/>
  <c r="Z216" i="120" s="1"/>
  <c r="W150" i="120"/>
  <c r="W216" i="120" s="1"/>
  <c r="T150" i="120"/>
  <c r="T216" i="120" s="1"/>
  <c r="P150" i="120"/>
  <c r="P216" i="120" s="1"/>
  <c r="O150" i="120"/>
  <c r="O216" i="120" s="1"/>
  <c r="K150" i="120"/>
  <c r="K216" i="120" s="1"/>
  <c r="H150" i="120"/>
  <c r="H216" i="120" s="1"/>
  <c r="E150" i="120"/>
  <c r="E216" i="120" s="1"/>
  <c r="CA149" i="120"/>
  <c r="BZ149" i="120"/>
  <c r="BZ215" i="120" s="1"/>
  <c r="BV149" i="120"/>
  <c r="BV215" i="120" s="1"/>
  <c r="BS149" i="120"/>
  <c r="BS215" i="120" s="1"/>
  <c r="BP149" i="120"/>
  <c r="BP215" i="120" s="1"/>
  <c r="BC149" i="120"/>
  <c r="BC215" i="120" s="1"/>
  <c r="BB149" i="120"/>
  <c r="BB215" i="120" s="1"/>
  <c r="AX149" i="120"/>
  <c r="AX215" i="120" s="1"/>
  <c r="AU149" i="120"/>
  <c r="AU215" i="120" s="1"/>
  <c r="AR149" i="120"/>
  <c r="AR215" i="120" s="1"/>
  <c r="AE149" i="120"/>
  <c r="AD149" i="120"/>
  <c r="AD215" i="120" s="1"/>
  <c r="Z149" i="120"/>
  <c r="Z215" i="120" s="1"/>
  <c r="W149" i="120"/>
  <c r="W215" i="120" s="1"/>
  <c r="T149" i="120"/>
  <c r="T215" i="120" s="1"/>
  <c r="P149" i="120"/>
  <c r="P215" i="120" s="1"/>
  <c r="O149" i="120"/>
  <c r="O215" i="120" s="1"/>
  <c r="K149" i="120"/>
  <c r="K215" i="120" s="1"/>
  <c r="H149" i="120"/>
  <c r="H215" i="120" s="1"/>
  <c r="E149" i="120"/>
  <c r="E215" i="120" s="1"/>
  <c r="D149" i="120"/>
  <c r="D215" i="120" s="1"/>
  <c r="D67" i="121" s="1"/>
  <c r="CD214" i="120"/>
  <c r="BX148" i="120"/>
  <c r="BX214" i="120" s="1"/>
  <c r="FJ66" i="121" s="1"/>
  <c r="BW148" i="120"/>
  <c r="BW214" i="120" s="1"/>
  <c r="FI66" i="121" s="1"/>
  <c r="BU148" i="120"/>
  <c r="BU214" i="120" s="1"/>
  <c r="FA66" i="121" s="1"/>
  <c r="BT148" i="120"/>
  <c r="BT214" i="120" s="1"/>
  <c r="EZ66" i="121" s="1"/>
  <c r="BR148" i="120"/>
  <c r="BR214" i="120" s="1"/>
  <c r="ER66" i="121" s="1"/>
  <c r="BQ148" i="120"/>
  <c r="AZ148" i="120"/>
  <c r="AZ214" i="120" s="1"/>
  <c r="DK66" i="121" s="1"/>
  <c r="AY148" i="120"/>
  <c r="AY214" i="120" s="1"/>
  <c r="DJ66" i="121" s="1"/>
  <c r="AW148" i="120"/>
  <c r="AW214" i="120" s="1"/>
  <c r="DB66" i="121" s="1"/>
  <c r="AV148" i="120"/>
  <c r="AV214" i="120" s="1"/>
  <c r="DA66" i="121" s="1"/>
  <c r="AT148" i="120"/>
  <c r="AT214" i="120" s="1"/>
  <c r="CS66" i="121" s="1"/>
  <c r="AS148" i="120"/>
  <c r="AB148" i="120"/>
  <c r="AB214" i="120" s="1"/>
  <c r="BL66" i="121" s="1"/>
  <c r="AA148" i="120"/>
  <c r="AA214" i="120" s="1"/>
  <c r="BK66" i="121" s="1"/>
  <c r="Y148" i="120"/>
  <c r="Y214" i="120" s="1"/>
  <c r="BC66" i="121" s="1"/>
  <c r="X148" i="120"/>
  <c r="X214" i="120" s="1"/>
  <c r="BB66" i="121" s="1"/>
  <c r="V148" i="120"/>
  <c r="V214" i="120" s="1"/>
  <c r="AT66" i="121" s="1"/>
  <c r="U148" i="120"/>
  <c r="M148" i="120"/>
  <c r="M214" i="120" s="1"/>
  <c r="Y66" i="121" s="1"/>
  <c r="L148" i="120"/>
  <c r="L214" i="120" s="1"/>
  <c r="X66" i="121" s="1"/>
  <c r="J148" i="120"/>
  <c r="J214" i="120" s="1"/>
  <c r="P66" i="121" s="1"/>
  <c r="I148" i="120"/>
  <c r="G148" i="120"/>
  <c r="G214" i="120" s="1"/>
  <c r="G66" i="121" s="1"/>
  <c r="F148" i="120"/>
  <c r="F214" i="120" s="1"/>
  <c r="F66" i="121" s="1"/>
  <c r="CB147" i="120"/>
  <c r="CB213" i="120" s="1"/>
  <c r="CA147" i="120"/>
  <c r="CA213" i="120" s="1"/>
  <c r="BZ147" i="120"/>
  <c r="BZ213" i="120" s="1"/>
  <c r="BV147" i="120"/>
  <c r="BV213" i="120" s="1"/>
  <c r="BS147" i="120"/>
  <c r="BS213" i="120" s="1"/>
  <c r="BP147" i="120"/>
  <c r="BP213" i="120" s="1"/>
  <c r="BC147" i="120"/>
  <c r="BC213" i="120" s="1"/>
  <c r="BB147" i="120"/>
  <c r="BB213" i="120" s="1"/>
  <c r="AX147" i="120"/>
  <c r="AX213" i="120" s="1"/>
  <c r="AU147" i="120"/>
  <c r="AU213" i="120" s="1"/>
  <c r="AR147" i="120"/>
  <c r="AR213" i="120" s="1"/>
  <c r="AE147" i="120"/>
  <c r="AE213" i="120" s="1"/>
  <c r="AD147" i="120"/>
  <c r="AD213" i="120" s="1"/>
  <c r="Z147" i="120"/>
  <c r="Z213" i="120" s="1"/>
  <c r="W147" i="120"/>
  <c r="W213" i="120" s="1"/>
  <c r="T147" i="120"/>
  <c r="T213" i="120" s="1"/>
  <c r="P147" i="120"/>
  <c r="P213" i="120" s="1"/>
  <c r="O147" i="120"/>
  <c r="K147" i="120"/>
  <c r="K213" i="120" s="1"/>
  <c r="H147" i="120"/>
  <c r="H213" i="120" s="1"/>
  <c r="E147" i="120"/>
  <c r="E213" i="120" s="1"/>
  <c r="D147" i="120"/>
  <c r="D213" i="120" s="1"/>
  <c r="D65" i="121" s="1"/>
  <c r="C147" i="120"/>
  <c r="C213" i="120" s="1"/>
  <c r="C65" i="121" s="1"/>
  <c r="CD212" i="120"/>
  <c r="CA146" i="120"/>
  <c r="BZ146" i="120"/>
  <c r="BZ212" i="120" s="1"/>
  <c r="BV146" i="120"/>
  <c r="BV212" i="120" s="1"/>
  <c r="BS146" i="120"/>
  <c r="BS212" i="120" s="1"/>
  <c r="BP146" i="120"/>
  <c r="BP212" i="120" s="1"/>
  <c r="BC146" i="120"/>
  <c r="BC212" i="120" s="1"/>
  <c r="BB146" i="120"/>
  <c r="BB212" i="120" s="1"/>
  <c r="AX146" i="120"/>
  <c r="AX212" i="120" s="1"/>
  <c r="AU146" i="120"/>
  <c r="AU212" i="120" s="1"/>
  <c r="AR146" i="120"/>
  <c r="AR212" i="120" s="1"/>
  <c r="AE146" i="120"/>
  <c r="AD146" i="120"/>
  <c r="AD212" i="120" s="1"/>
  <c r="Z146" i="120"/>
  <c r="Z212" i="120" s="1"/>
  <c r="W146" i="120"/>
  <c r="W212" i="120" s="1"/>
  <c r="T146" i="120"/>
  <c r="T212" i="120" s="1"/>
  <c r="P146" i="120"/>
  <c r="P212" i="120" s="1"/>
  <c r="O146" i="120"/>
  <c r="O212" i="120" s="1"/>
  <c r="K146" i="120"/>
  <c r="K212" i="120" s="1"/>
  <c r="H146" i="120"/>
  <c r="H212" i="120" s="1"/>
  <c r="E146" i="120"/>
  <c r="E212" i="120" s="1"/>
  <c r="D146" i="120"/>
  <c r="D212" i="120" s="1"/>
  <c r="D64" i="121" s="1"/>
  <c r="CB145" i="120"/>
  <c r="CB211" i="120" s="1"/>
  <c r="CA145" i="120"/>
  <c r="CA211" i="120" s="1"/>
  <c r="BZ145" i="120"/>
  <c r="BZ211" i="120" s="1"/>
  <c r="BV145" i="120"/>
  <c r="BV211" i="120" s="1"/>
  <c r="BS145" i="120"/>
  <c r="BS211" i="120" s="1"/>
  <c r="BP145" i="120"/>
  <c r="BP211" i="120" s="1"/>
  <c r="BC145" i="120"/>
  <c r="BC211" i="120" s="1"/>
  <c r="BB145" i="120"/>
  <c r="BB211" i="120" s="1"/>
  <c r="AX145" i="120"/>
  <c r="AX211" i="120" s="1"/>
  <c r="AU145" i="120"/>
  <c r="AU211" i="120" s="1"/>
  <c r="AR145" i="120"/>
  <c r="AR211" i="120" s="1"/>
  <c r="AE145" i="120"/>
  <c r="AD145" i="120"/>
  <c r="AD211" i="120" s="1"/>
  <c r="Z145" i="120"/>
  <c r="Z211" i="120" s="1"/>
  <c r="W145" i="120"/>
  <c r="W211" i="120" s="1"/>
  <c r="T145" i="120"/>
  <c r="T211" i="120" s="1"/>
  <c r="P145" i="120"/>
  <c r="P211" i="120" s="1"/>
  <c r="O145" i="120"/>
  <c r="O211" i="120" s="1"/>
  <c r="K145" i="120"/>
  <c r="K211" i="120" s="1"/>
  <c r="H145" i="120"/>
  <c r="H211" i="120" s="1"/>
  <c r="E145" i="120"/>
  <c r="E211" i="120" s="1"/>
  <c r="D145" i="120"/>
  <c r="D211" i="120" s="1"/>
  <c r="D63" i="121" s="1"/>
  <c r="C145" i="120"/>
  <c r="CD210" i="120"/>
  <c r="CA144" i="120"/>
  <c r="CA210" i="120" s="1"/>
  <c r="BZ144" i="120"/>
  <c r="BZ210" i="120" s="1"/>
  <c r="BV144" i="120"/>
  <c r="BV210" i="120" s="1"/>
  <c r="BS144" i="120"/>
  <c r="BS210" i="120" s="1"/>
  <c r="BP144" i="120"/>
  <c r="BP210" i="120" s="1"/>
  <c r="BC144" i="120"/>
  <c r="BC210" i="120" s="1"/>
  <c r="BB144" i="120"/>
  <c r="AX144" i="120"/>
  <c r="AX210" i="120" s="1"/>
  <c r="AU144" i="120"/>
  <c r="AU210" i="120" s="1"/>
  <c r="AR144" i="120"/>
  <c r="AR210" i="120" s="1"/>
  <c r="AE144" i="120"/>
  <c r="AE210" i="120" s="1"/>
  <c r="AD144" i="120"/>
  <c r="AD210" i="120" s="1"/>
  <c r="Z144" i="120"/>
  <c r="Z210" i="120" s="1"/>
  <c r="W144" i="120"/>
  <c r="W210" i="120" s="1"/>
  <c r="T144" i="120"/>
  <c r="T210" i="120" s="1"/>
  <c r="P144" i="120"/>
  <c r="P210" i="120" s="1"/>
  <c r="O144" i="120"/>
  <c r="K144" i="120"/>
  <c r="K210" i="120" s="1"/>
  <c r="H144" i="120"/>
  <c r="H210" i="120" s="1"/>
  <c r="E144" i="120"/>
  <c r="E210" i="120" s="1"/>
  <c r="CA143" i="120"/>
  <c r="BZ143" i="120"/>
  <c r="BZ209" i="120" s="1"/>
  <c r="BV143" i="120"/>
  <c r="BV209" i="120" s="1"/>
  <c r="BS143" i="120"/>
  <c r="BS209" i="120" s="1"/>
  <c r="BP143" i="120"/>
  <c r="BP209" i="120" s="1"/>
  <c r="BC143" i="120"/>
  <c r="BC209" i="120" s="1"/>
  <c r="BB143" i="120"/>
  <c r="BB209" i="120" s="1"/>
  <c r="AX143" i="120"/>
  <c r="AX209" i="120" s="1"/>
  <c r="AU143" i="120"/>
  <c r="AU209" i="120" s="1"/>
  <c r="AR143" i="120"/>
  <c r="AR209" i="120" s="1"/>
  <c r="AE143" i="120"/>
  <c r="AD143" i="120"/>
  <c r="AD209" i="120" s="1"/>
  <c r="Z143" i="120"/>
  <c r="Z209" i="120" s="1"/>
  <c r="W143" i="120"/>
  <c r="W209" i="120" s="1"/>
  <c r="T143" i="120"/>
  <c r="T209" i="120" s="1"/>
  <c r="P143" i="120"/>
  <c r="P209" i="120" s="1"/>
  <c r="O143" i="120"/>
  <c r="O209" i="120" s="1"/>
  <c r="K143" i="120"/>
  <c r="K209" i="120" s="1"/>
  <c r="H143" i="120"/>
  <c r="H209" i="120" s="1"/>
  <c r="E143" i="120"/>
  <c r="E209" i="120" s="1"/>
  <c r="BX142" i="120"/>
  <c r="BX208" i="120" s="1"/>
  <c r="FJ60" i="121" s="1"/>
  <c r="BW142" i="120"/>
  <c r="BW208" i="120" s="1"/>
  <c r="FI60" i="121" s="1"/>
  <c r="BU142" i="120"/>
  <c r="BU208" i="120" s="1"/>
  <c r="FA60" i="121" s="1"/>
  <c r="BT142" i="120"/>
  <c r="BT208" i="120" s="1"/>
  <c r="EZ60" i="121" s="1"/>
  <c r="BR142" i="120"/>
  <c r="BQ142" i="120"/>
  <c r="AZ142" i="120"/>
  <c r="AZ208" i="120" s="1"/>
  <c r="DK60" i="121" s="1"/>
  <c r="AY142" i="120"/>
  <c r="AY208" i="120" s="1"/>
  <c r="DJ60" i="121" s="1"/>
  <c r="AW142" i="120"/>
  <c r="AW208" i="120" s="1"/>
  <c r="DB60" i="121" s="1"/>
  <c r="AV142" i="120"/>
  <c r="AV208" i="120" s="1"/>
  <c r="DA60" i="121" s="1"/>
  <c r="AT142" i="120"/>
  <c r="AS142" i="120"/>
  <c r="AB142" i="120"/>
  <c r="AB208" i="120" s="1"/>
  <c r="BL60" i="121" s="1"/>
  <c r="AA142" i="120"/>
  <c r="Y142" i="120"/>
  <c r="Y208" i="120" s="1"/>
  <c r="BC60" i="121" s="1"/>
  <c r="X142" i="120"/>
  <c r="X208" i="120" s="1"/>
  <c r="BB60" i="121" s="1"/>
  <c r="V142" i="120"/>
  <c r="U142" i="120"/>
  <c r="M142" i="120"/>
  <c r="M208" i="120" s="1"/>
  <c r="Y60" i="121" s="1"/>
  <c r="L142" i="120"/>
  <c r="L208" i="120" s="1"/>
  <c r="X60" i="121" s="1"/>
  <c r="J142" i="120"/>
  <c r="I142" i="120"/>
  <c r="G142" i="120"/>
  <c r="G208" i="120" s="1"/>
  <c r="G60" i="121" s="1"/>
  <c r="F142" i="120"/>
  <c r="CB141" i="120"/>
  <c r="CA141" i="120"/>
  <c r="BZ141" i="120"/>
  <c r="BV141" i="120"/>
  <c r="BS141" i="120"/>
  <c r="BP141" i="120"/>
  <c r="BC141" i="120"/>
  <c r="BB141" i="120"/>
  <c r="AX141" i="120"/>
  <c r="AU141" i="120"/>
  <c r="AR141" i="120"/>
  <c r="AE141" i="120"/>
  <c r="AD141" i="120"/>
  <c r="Z141" i="120"/>
  <c r="W141" i="120"/>
  <c r="T141" i="120"/>
  <c r="P141" i="120"/>
  <c r="O141" i="120"/>
  <c r="K141" i="120"/>
  <c r="H141" i="120"/>
  <c r="E141" i="120"/>
  <c r="D141" i="120"/>
  <c r="S141" i="120" s="1"/>
  <c r="AH141" i="120" s="1"/>
  <c r="C141" i="120"/>
  <c r="CB140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Z140" i="120"/>
  <c r="W140" i="120"/>
  <c r="T140" i="120"/>
  <c r="P140" i="120"/>
  <c r="O140" i="120"/>
  <c r="K140" i="120"/>
  <c r="H140" i="120"/>
  <c r="E140" i="120"/>
  <c r="D140" i="120"/>
  <c r="C140" i="120"/>
  <c r="R140" i="120" s="1"/>
  <c r="AG140" i="120" s="1"/>
  <c r="CB139" i="120"/>
  <c r="CA139" i="120"/>
  <c r="BZ139" i="120"/>
  <c r="BV139" i="120"/>
  <c r="BS139" i="120"/>
  <c r="BP139" i="120"/>
  <c r="BC139" i="120"/>
  <c r="BB139" i="120"/>
  <c r="AX139" i="120"/>
  <c r="AU139" i="120"/>
  <c r="AR139" i="120"/>
  <c r="AE139" i="120"/>
  <c r="AD139" i="120"/>
  <c r="Z139" i="120"/>
  <c r="W139" i="120"/>
  <c r="T139" i="120"/>
  <c r="P139" i="120"/>
  <c r="O139" i="120"/>
  <c r="K139" i="120"/>
  <c r="H139" i="120"/>
  <c r="E139" i="120"/>
  <c r="D139" i="120"/>
  <c r="C139" i="120"/>
  <c r="R139" i="120" s="1"/>
  <c r="AG139" i="120" s="1"/>
  <c r="AP139" i="120" s="1"/>
  <c r="CD138" i="120"/>
  <c r="CC138" i="120"/>
  <c r="BX138" i="120"/>
  <c r="BW138" i="120"/>
  <c r="BU138" i="120"/>
  <c r="BT138" i="120"/>
  <c r="BR138" i="120"/>
  <c r="BQ138" i="120"/>
  <c r="AZ138" i="120"/>
  <c r="AY138" i="120"/>
  <c r="AW138" i="120"/>
  <c r="AV138" i="120"/>
  <c r="AT138" i="120"/>
  <c r="AS138" i="120"/>
  <c r="AB138" i="120"/>
  <c r="AA138" i="120"/>
  <c r="Y138" i="120"/>
  <c r="X138" i="120"/>
  <c r="V138" i="120"/>
  <c r="U138" i="120"/>
  <c r="M138" i="120"/>
  <c r="L138" i="120"/>
  <c r="J138" i="120"/>
  <c r="I138" i="120"/>
  <c r="G138" i="120"/>
  <c r="F138" i="120"/>
  <c r="CB137" i="120"/>
  <c r="CA137" i="120"/>
  <c r="BZ137" i="120"/>
  <c r="BV137" i="120"/>
  <c r="BS137" i="120"/>
  <c r="BP137" i="120"/>
  <c r="BC137" i="120"/>
  <c r="BB137" i="120"/>
  <c r="AX137" i="120"/>
  <c r="AU137" i="120"/>
  <c r="AR137" i="120"/>
  <c r="AE137" i="120"/>
  <c r="AD137" i="120"/>
  <c r="Z137" i="120"/>
  <c r="W137" i="120"/>
  <c r="T137" i="120"/>
  <c r="P137" i="120"/>
  <c r="O137" i="120"/>
  <c r="K137" i="120"/>
  <c r="H137" i="120"/>
  <c r="E137" i="120"/>
  <c r="D137" i="120"/>
  <c r="C137" i="120"/>
  <c r="R137" i="120" s="1"/>
  <c r="CD136" i="120"/>
  <c r="CC136" i="120"/>
  <c r="BX136" i="120"/>
  <c r="BW136" i="120"/>
  <c r="BU136" i="120"/>
  <c r="BT136" i="120"/>
  <c r="BR136" i="120"/>
  <c r="BQ136" i="120"/>
  <c r="AZ136" i="120"/>
  <c r="AY136" i="120"/>
  <c r="AW136" i="120"/>
  <c r="AV136" i="120"/>
  <c r="AT136" i="120"/>
  <c r="AS136" i="120"/>
  <c r="AB136" i="120"/>
  <c r="AA136" i="120"/>
  <c r="Y136" i="120"/>
  <c r="X136" i="120"/>
  <c r="V136" i="120"/>
  <c r="U136" i="120"/>
  <c r="M136" i="120"/>
  <c r="L136" i="120"/>
  <c r="J136" i="120"/>
  <c r="I136" i="120"/>
  <c r="G136" i="120"/>
  <c r="F136" i="120"/>
  <c r="CB135" i="120"/>
  <c r="CA135" i="120"/>
  <c r="BZ135" i="120"/>
  <c r="BV135" i="120"/>
  <c r="BS135" i="120"/>
  <c r="BP135" i="120"/>
  <c r="BC135" i="120"/>
  <c r="BB135" i="120"/>
  <c r="AX135" i="120"/>
  <c r="AU135" i="120"/>
  <c r="AR135" i="120"/>
  <c r="AE135" i="120"/>
  <c r="AD135" i="120"/>
  <c r="Z135" i="120"/>
  <c r="W135" i="120"/>
  <c r="T135" i="120"/>
  <c r="P135" i="120"/>
  <c r="O135" i="120"/>
  <c r="K135" i="120"/>
  <c r="H135" i="120"/>
  <c r="E135" i="120"/>
  <c r="D135" i="120"/>
  <c r="S135" i="120" s="1"/>
  <c r="AH135" i="120" s="1"/>
  <c r="C135" i="120"/>
  <c r="R135" i="120" s="1"/>
  <c r="CB134" i="120"/>
  <c r="CA134" i="120"/>
  <c r="BZ134" i="120"/>
  <c r="BV134" i="120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O134" i="120"/>
  <c r="K134" i="120"/>
  <c r="H134" i="120"/>
  <c r="E134" i="120"/>
  <c r="D134" i="120"/>
  <c r="S134" i="120" s="1"/>
  <c r="AH134" i="120" s="1"/>
  <c r="C134" i="120"/>
  <c r="R134" i="120" s="1"/>
  <c r="AG134" i="120" s="1"/>
  <c r="CB133" i="120"/>
  <c r="CA133" i="120"/>
  <c r="BZ133" i="120"/>
  <c r="BV133" i="120"/>
  <c r="BS133" i="120"/>
  <c r="BP133" i="120"/>
  <c r="BC133" i="120"/>
  <c r="BB133" i="120"/>
  <c r="AX133" i="120"/>
  <c r="AU133" i="120"/>
  <c r="AR133" i="120"/>
  <c r="AE133" i="120"/>
  <c r="AD133" i="120"/>
  <c r="Z133" i="120"/>
  <c r="W133" i="120"/>
  <c r="T133" i="120"/>
  <c r="P133" i="120"/>
  <c r="O133" i="120"/>
  <c r="K133" i="120"/>
  <c r="H133" i="120"/>
  <c r="E133" i="120"/>
  <c r="D133" i="120"/>
  <c r="S133" i="120" s="1"/>
  <c r="AH133" i="120" s="1"/>
  <c r="C133" i="120"/>
  <c r="CB132" i="120"/>
  <c r="CA132" i="120"/>
  <c r="BZ132" i="120"/>
  <c r="BV132" i="120"/>
  <c r="BS132" i="120"/>
  <c r="BP132" i="120"/>
  <c r="BC132" i="120"/>
  <c r="BB132" i="120"/>
  <c r="AX132" i="120"/>
  <c r="AU132" i="120"/>
  <c r="AR132" i="120"/>
  <c r="AE132" i="120"/>
  <c r="AD132" i="120"/>
  <c r="Z132" i="120"/>
  <c r="W132" i="120"/>
  <c r="T132" i="120"/>
  <c r="P132" i="120"/>
  <c r="O132" i="120"/>
  <c r="K132" i="120"/>
  <c r="H132" i="120"/>
  <c r="E132" i="120"/>
  <c r="D132" i="120"/>
  <c r="S132" i="120" s="1"/>
  <c r="C132" i="120"/>
  <c r="CC131" i="120"/>
  <c r="CB131" i="120" s="1"/>
  <c r="CA131" i="120"/>
  <c r="BZ131" i="120"/>
  <c r="BV131" i="120"/>
  <c r="BS131" i="120"/>
  <c r="BP131" i="120"/>
  <c r="BC131" i="120"/>
  <c r="BB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H131" i="120"/>
  <c r="E131" i="120"/>
  <c r="D131" i="120"/>
  <c r="CB130" i="120"/>
  <c r="CA130" i="120"/>
  <c r="BZ130" i="120"/>
  <c r="BV130" i="120"/>
  <c r="BS130" i="120"/>
  <c r="BP130" i="120"/>
  <c r="BC130" i="120"/>
  <c r="BB130" i="120"/>
  <c r="AX130" i="120"/>
  <c r="AU130" i="120"/>
  <c r="AR130" i="120"/>
  <c r="AE130" i="120"/>
  <c r="AD130" i="120"/>
  <c r="Z130" i="120"/>
  <c r="W130" i="120"/>
  <c r="T130" i="120"/>
  <c r="P130" i="120"/>
  <c r="O130" i="120"/>
  <c r="K130" i="120"/>
  <c r="H130" i="120"/>
  <c r="E130" i="120"/>
  <c r="D130" i="120"/>
  <c r="C130" i="120"/>
  <c r="CD128" i="120"/>
  <c r="BX128" i="120"/>
  <c r="BW128" i="120"/>
  <c r="BU128" i="120"/>
  <c r="BT128" i="120"/>
  <c r="BR128" i="120"/>
  <c r="BQ128" i="120"/>
  <c r="AZ128" i="120"/>
  <c r="AY128" i="120"/>
  <c r="AW128" i="120"/>
  <c r="AV128" i="120"/>
  <c r="AT128" i="120"/>
  <c r="AS128" i="120"/>
  <c r="AB128" i="120"/>
  <c r="AA128" i="120"/>
  <c r="Y128" i="120"/>
  <c r="X128" i="120"/>
  <c r="V128" i="120"/>
  <c r="U128" i="120"/>
  <c r="M128" i="120"/>
  <c r="L128" i="120"/>
  <c r="J128" i="120"/>
  <c r="I128" i="120"/>
  <c r="G128" i="120"/>
  <c r="F128" i="120"/>
  <c r="CB127" i="120"/>
  <c r="CA127" i="120"/>
  <c r="BZ127" i="120"/>
  <c r="BV127" i="120"/>
  <c r="BS127" i="120"/>
  <c r="BP127" i="120"/>
  <c r="BC127" i="120"/>
  <c r="BB127" i="120"/>
  <c r="AX127" i="120"/>
  <c r="AU127" i="120"/>
  <c r="AR127" i="120"/>
  <c r="AE127" i="120"/>
  <c r="AD127" i="120"/>
  <c r="Z127" i="120"/>
  <c r="W127" i="120"/>
  <c r="T127" i="120"/>
  <c r="P127" i="120"/>
  <c r="O127" i="120"/>
  <c r="K127" i="120"/>
  <c r="H127" i="120"/>
  <c r="E127" i="120"/>
  <c r="D127" i="120"/>
  <c r="CA126" i="120"/>
  <c r="BZ126" i="120"/>
  <c r="BV126" i="120"/>
  <c r="BS126" i="120"/>
  <c r="BP126" i="120"/>
  <c r="BC126" i="120"/>
  <c r="BB126" i="120"/>
  <c r="AX126" i="120"/>
  <c r="AU126" i="120"/>
  <c r="AR126" i="120"/>
  <c r="AE126" i="120"/>
  <c r="AD126" i="120"/>
  <c r="Z126" i="120"/>
  <c r="W126" i="120"/>
  <c r="T126" i="120"/>
  <c r="P126" i="120"/>
  <c r="O126" i="120"/>
  <c r="K126" i="120"/>
  <c r="H126" i="120"/>
  <c r="E126" i="120"/>
  <c r="D126" i="120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Z125" i="120"/>
  <c r="W125" i="120"/>
  <c r="T125" i="120"/>
  <c r="P125" i="120"/>
  <c r="O125" i="120"/>
  <c r="K125" i="120"/>
  <c r="H125" i="120"/>
  <c r="E125" i="120"/>
  <c r="D125" i="120"/>
  <c r="S125" i="120" s="1"/>
  <c r="AH125" i="120" s="1"/>
  <c r="CB124" i="120"/>
  <c r="CA124" i="120"/>
  <c r="BZ124" i="120"/>
  <c r="BV124" i="120"/>
  <c r="BS124" i="120"/>
  <c r="BP124" i="120"/>
  <c r="BC124" i="120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K124" i="120"/>
  <c r="H124" i="120"/>
  <c r="E124" i="120"/>
  <c r="D124" i="120"/>
  <c r="C124" i="120"/>
  <c r="CA123" i="120"/>
  <c r="BZ123" i="120"/>
  <c r="BV123" i="120"/>
  <c r="BS123" i="120"/>
  <c r="BP123" i="120"/>
  <c r="BC123" i="120"/>
  <c r="BB123" i="120"/>
  <c r="AX123" i="120"/>
  <c r="AU123" i="120"/>
  <c r="AR123" i="120"/>
  <c r="AE123" i="120"/>
  <c r="AD123" i="120"/>
  <c r="Z123" i="120"/>
  <c r="W123" i="120"/>
  <c r="T123" i="120"/>
  <c r="P123" i="120"/>
  <c r="O123" i="120"/>
  <c r="K123" i="120"/>
  <c r="H123" i="120"/>
  <c r="E123" i="120"/>
  <c r="D123" i="120"/>
  <c r="CC121" i="120"/>
  <c r="CA121" i="120"/>
  <c r="BZ121" i="120"/>
  <c r="BV121" i="120"/>
  <c r="BS121" i="120"/>
  <c r="BP121" i="120"/>
  <c r="BC121" i="120"/>
  <c r="BB121" i="120"/>
  <c r="AX121" i="120"/>
  <c r="AU121" i="120"/>
  <c r="AR121" i="120"/>
  <c r="AE121" i="120"/>
  <c r="AD121" i="120"/>
  <c r="Z121" i="120"/>
  <c r="W121" i="120"/>
  <c r="T121" i="120"/>
  <c r="P121" i="120"/>
  <c r="O121" i="120"/>
  <c r="K121" i="120"/>
  <c r="H121" i="120"/>
  <c r="E121" i="120"/>
  <c r="D121" i="120"/>
  <c r="S121" i="120" s="1"/>
  <c r="AH121" i="120" s="1"/>
  <c r="CB120" i="120"/>
  <c r="CA120" i="120"/>
  <c r="BZ120" i="120"/>
  <c r="BV120" i="120"/>
  <c r="BS120" i="120"/>
  <c r="BP120" i="120"/>
  <c r="BC120" i="120"/>
  <c r="BB120" i="120"/>
  <c r="AX120" i="120"/>
  <c r="AU120" i="120"/>
  <c r="AR120" i="120"/>
  <c r="AE120" i="120"/>
  <c r="AD120" i="120"/>
  <c r="Z120" i="120"/>
  <c r="W120" i="120"/>
  <c r="T120" i="120"/>
  <c r="P120" i="120"/>
  <c r="O120" i="120"/>
  <c r="K120" i="120"/>
  <c r="H120" i="120"/>
  <c r="E120" i="120"/>
  <c r="D120" i="120"/>
  <c r="S120" i="120" s="1"/>
  <c r="C120" i="120"/>
  <c r="CB119" i="120"/>
  <c r="CA119" i="120"/>
  <c r="BZ119" i="120"/>
  <c r="BV119" i="120"/>
  <c r="BS119" i="120"/>
  <c r="BP119" i="120"/>
  <c r="BC119" i="120"/>
  <c r="BB119" i="120"/>
  <c r="AX119" i="120"/>
  <c r="AU119" i="120"/>
  <c r="AR119" i="120"/>
  <c r="AE119" i="120"/>
  <c r="AD119" i="120"/>
  <c r="Z119" i="120"/>
  <c r="W119" i="120"/>
  <c r="T119" i="120"/>
  <c r="P119" i="120"/>
  <c r="O119" i="120"/>
  <c r="K119" i="120"/>
  <c r="H119" i="120"/>
  <c r="E119" i="120"/>
  <c r="D119" i="120"/>
  <c r="S119" i="120" s="1"/>
  <c r="C119" i="120"/>
  <c r="R119" i="120" s="1"/>
  <c r="AG119" i="120" s="1"/>
  <c r="AP119" i="120" s="1"/>
  <c r="CD118" i="120"/>
  <c r="BX118" i="120"/>
  <c r="BW118" i="120"/>
  <c r="BU118" i="120"/>
  <c r="BT118" i="120"/>
  <c r="BR118" i="120"/>
  <c r="BQ118" i="120"/>
  <c r="AZ118" i="120"/>
  <c r="AY118" i="120"/>
  <c r="AW118" i="120"/>
  <c r="AV118" i="120"/>
  <c r="AT118" i="120"/>
  <c r="AS118" i="120"/>
  <c r="AB118" i="120"/>
  <c r="AA118" i="120"/>
  <c r="Y118" i="120"/>
  <c r="X118" i="120"/>
  <c r="V118" i="120"/>
  <c r="U118" i="120"/>
  <c r="M118" i="120"/>
  <c r="L118" i="120"/>
  <c r="J118" i="120"/>
  <c r="I118" i="120"/>
  <c r="G118" i="120"/>
  <c r="F118" i="120"/>
  <c r="CB117" i="120"/>
  <c r="CA117" i="120"/>
  <c r="BZ117" i="120"/>
  <c r="BV117" i="120"/>
  <c r="BS117" i="120"/>
  <c r="BS116" i="120" s="1"/>
  <c r="BP117" i="120"/>
  <c r="BP116" i="120" s="1"/>
  <c r="BC117" i="120"/>
  <c r="BB117" i="120"/>
  <c r="AX117" i="120"/>
  <c r="AX116" i="120" s="1"/>
  <c r="AU117" i="120"/>
  <c r="AU116" i="120" s="1"/>
  <c r="AR117" i="120"/>
  <c r="AR116" i="120" s="1"/>
  <c r="AE117" i="120"/>
  <c r="AD117" i="120"/>
  <c r="Z117" i="120"/>
  <c r="Z116" i="120" s="1"/>
  <c r="W117" i="120"/>
  <c r="W116" i="120" s="1"/>
  <c r="T117" i="120"/>
  <c r="T116" i="120" s="1"/>
  <c r="P117" i="120"/>
  <c r="O117" i="120"/>
  <c r="K117" i="120"/>
  <c r="K116" i="120" s="1"/>
  <c r="H117" i="120"/>
  <c r="H116" i="120" s="1"/>
  <c r="E117" i="120"/>
  <c r="E116" i="120" s="1"/>
  <c r="D117" i="120"/>
  <c r="C117" i="120"/>
  <c r="R117" i="120" s="1"/>
  <c r="CD116" i="120"/>
  <c r="CC116" i="120"/>
  <c r="BX116" i="120"/>
  <c r="BW116" i="120"/>
  <c r="BV116" i="120"/>
  <c r="BU116" i="120"/>
  <c r="BU105" i="120" s="1"/>
  <c r="BT116" i="120"/>
  <c r="BR116" i="120"/>
  <c r="BQ116" i="120"/>
  <c r="BQ105" i="120" s="1"/>
  <c r="BQ98" i="120" s="1"/>
  <c r="AZ116" i="120"/>
  <c r="AZ105" i="120" s="1"/>
  <c r="AZ98" i="120" s="1"/>
  <c r="AY116" i="120"/>
  <c r="AW116" i="120"/>
  <c r="AV116" i="120"/>
  <c r="AV105" i="120" s="1"/>
  <c r="AV98" i="120" s="1"/>
  <c r="AT116" i="120"/>
  <c r="AS116" i="120"/>
  <c r="AB116" i="120"/>
  <c r="AA116" i="120"/>
  <c r="Y116" i="120"/>
  <c r="X116" i="120"/>
  <c r="V116" i="120"/>
  <c r="U116" i="120"/>
  <c r="M116" i="120"/>
  <c r="M105" i="120" s="1"/>
  <c r="M98" i="120" s="1"/>
  <c r="L116" i="120"/>
  <c r="J116" i="120"/>
  <c r="I116" i="120"/>
  <c r="I105" i="120" s="1"/>
  <c r="I98" i="120" s="1"/>
  <c r="G116" i="120"/>
  <c r="F116" i="120"/>
  <c r="CB115" i="120"/>
  <c r="CA115" i="120"/>
  <c r="BZ115" i="120"/>
  <c r="BV115" i="120"/>
  <c r="BS115" i="120"/>
  <c r="BP115" i="120"/>
  <c r="BC115" i="120"/>
  <c r="BB115" i="120"/>
  <c r="AX115" i="120"/>
  <c r="AU115" i="120"/>
  <c r="AR115" i="120"/>
  <c r="AE115" i="120"/>
  <c r="AD115" i="120"/>
  <c r="Z115" i="120"/>
  <c r="W115" i="120"/>
  <c r="T115" i="120"/>
  <c r="P115" i="120"/>
  <c r="O115" i="120"/>
  <c r="K115" i="120"/>
  <c r="H115" i="120"/>
  <c r="E115" i="120"/>
  <c r="D115" i="120"/>
  <c r="C115" i="120"/>
  <c r="CB114" i="120"/>
  <c r="CA114" i="120"/>
  <c r="BZ114" i="120"/>
  <c r="BV114" i="120"/>
  <c r="BS114" i="120"/>
  <c r="BP114" i="120"/>
  <c r="BC114" i="120"/>
  <c r="BB114" i="120"/>
  <c r="AX114" i="120"/>
  <c r="AU114" i="120"/>
  <c r="AR114" i="120"/>
  <c r="AE114" i="120"/>
  <c r="AD114" i="120"/>
  <c r="Z114" i="120"/>
  <c r="W114" i="120"/>
  <c r="T114" i="120"/>
  <c r="P114" i="120"/>
  <c r="O114" i="120"/>
  <c r="K114" i="120"/>
  <c r="H114" i="120"/>
  <c r="E114" i="120"/>
  <c r="D114" i="120"/>
  <c r="C114" i="120"/>
  <c r="CB113" i="120"/>
  <c r="CB253" i="120" s="1"/>
  <c r="CA113" i="120"/>
  <c r="CA253" i="120" s="1"/>
  <c r="BZ113" i="120"/>
  <c r="BZ253" i="120" s="1"/>
  <c r="BV113" i="120"/>
  <c r="BV253" i="120" s="1"/>
  <c r="BS113" i="120"/>
  <c r="BS253" i="120" s="1"/>
  <c r="BP113" i="120"/>
  <c r="BP253" i="120" s="1"/>
  <c r="BC113" i="120"/>
  <c r="BB113" i="120"/>
  <c r="BB253" i="120" s="1"/>
  <c r="AX113" i="120"/>
  <c r="AX253" i="120" s="1"/>
  <c r="AU113" i="120"/>
  <c r="AU253" i="120" s="1"/>
  <c r="AR113" i="120"/>
  <c r="AR253" i="120" s="1"/>
  <c r="AE113" i="120"/>
  <c r="AD113" i="120"/>
  <c r="AD253" i="120" s="1"/>
  <c r="Z113" i="120"/>
  <c r="Z253" i="120" s="1"/>
  <c r="W113" i="120"/>
  <c r="W253" i="120" s="1"/>
  <c r="T113" i="120"/>
  <c r="T253" i="120" s="1"/>
  <c r="P113" i="120"/>
  <c r="P253" i="120" s="1"/>
  <c r="O113" i="120"/>
  <c r="O253" i="120" s="1"/>
  <c r="K113" i="120"/>
  <c r="K253" i="120" s="1"/>
  <c r="H113" i="120"/>
  <c r="H253" i="120" s="1"/>
  <c r="E113" i="120"/>
  <c r="E253" i="120" s="1"/>
  <c r="D113" i="120"/>
  <c r="D253" i="120" s="1"/>
  <c r="C113" i="120"/>
  <c r="CB112" i="120"/>
  <c r="CB252" i="120" s="1"/>
  <c r="CA112" i="120"/>
  <c r="CA252" i="120" s="1"/>
  <c r="BZ112" i="120"/>
  <c r="BZ252" i="120" s="1"/>
  <c r="BV112" i="120"/>
  <c r="BV252" i="120" s="1"/>
  <c r="BS112" i="120"/>
  <c r="BS252" i="120" s="1"/>
  <c r="BP112" i="120"/>
  <c r="BP252" i="120" s="1"/>
  <c r="BC112" i="120"/>
  <c r="BB112" i="120"/>
  <c r="BB252" i="120" s="1"/>
  <c r="AX112" i="120"/>
  <c r="AX252" i="120" s="1"/>
  <c r="AU112" i="120"/>
  <c r="AU252" i="120" s="1"/>
  <c r="AR112" i="120"/>
  <c r="AR252" i="120" s="1"/>
  <c r="AE112" i="120"/>
  <c r="AD112" i="120"/>
  <c r="AD252" i="120" s="1"/>
  <c r="Z112" i="120"/>
  <c r="Z252" i="120" s="1"/>
  <c r="W112" i="120"/>
  <c r="W252" i="120" s="1"/>
  <c r="T112" i="120"/>
  <c r="T252" i="120" s="1"/>
  <c r="P112" i="120"/>
  <c r="P252" i="120" s="1"/>
  <c r="O112" i="120"/>
  <c r="O252" i="120" s="1"/>
  <c r="K112" i="120"/>
  <c r="K252" i="120" s="1"/>
  <c r="H112" i="120"/>
  <c r="H252" i="120" s="1"/>
  <c r="E112" i="120"/>
  <c r="E252" i="120" s="1"/>
  <c r="D112" i="120"/>
  <c r="D252" i="120" s="1"/>
  <c r="C112" i="120"/>
  <c r="CB111" i="120"/>
  <c r="CB251" i="120" s="1"/>
  <c r="CA111" i="120"/>
  <c r="BZ111" i="120"/>
  <c r="BZ251" i="120" s="1"/>
  <c r="BV111" i="120"/>
  <c r="BV251" i="120" s="1"/>
  <c r="BS111" i="120"/>
  <c r="BS251" i="120" s="1"/>
  <c r="BP111" i="120"/>
  <c r="BP251" i="120" s="1"/>
  <c r="BC111" i="120"/>
  <c r="BB111" i="120"/>
  <c r="BB251" i="120" s="1"/>
  <c r="AX111" i="120"/>
  <c r="AX251" i="120" s="1"/>
  <c r="AU111" i="120"/>
  <c r="AU251" i="120" s="1"/>
  <c r="AR111" i="120"/>
  <c r="AR251" i="120" s="1"/>
  <c r="AE111" i="120"/>
  <c r="AD111" i="120"/>
  <c r="AD251" i="120" s="1"/>
  <c r="Z111" i="120"/>
  <c r="Z251" i="120" s="1"/>
  <c r="W111" i="120"/>
  <c r="W251" i="120" s="1"/>
  <c r="T111" i="120"/>
  <c r="T251" i="120" s="1"/>
  <c r="P111" i="120"/>
  <c r="P251" i="120" s="1"/>
  <c r="O111" i="120"/>
  <c r="O251" i="120" s="1"/>
  <c r="K111" i="120"/>
  <c r="K251" i="120" s="1"/>
  <c r="H111" i="120"/>
  <c r="H251" i="120" s="1"/>
  <c r="E111" i="120"/>
  <c r="E251" i="120" s="1"/>
  <c r="D111" i="120"/>
  <c r="D251" i="120" s="1"/>
  <c r="C111" i="120"/>
  <c r="CB110" i="120"/>
  <c r="CA110" i="120"/>
  <c r="BZ110" i="120"/>
  <c r="BV110" i="120"/>
  <c r="BS110" i="120"/>
  <c r="BP110" i="120"/>
  <c r="BC110" i="120"/>
  <c r="BB110" i="120"/>
  <c r="AX110" i="120"/>
  <c r="AU110" i="120"/>
  <c r="AR110" i="120"/>
  <c r="AE110" i="120"/>
  <c r="AD110" i="120"/>
  <c r="Z110" i="120"/>
  <c r="W110" i="120"/>
  <c r="T110" i="120"/>
  <c r="P110" i="120"/>
  <c r="O110" i="120"/>
  <c r="K110" i="120"/>
  <c r="H110" i="120"/>
  <c r="E110" i="120"/>
  <c r="D110" i="120"/>
  <c r="C110" i="120"/>
  <c r="CB109" i="120"/>
  <c r="CA109" i="120"/>
  <c r="BZ109" i="120"/>
  <c r="BV109" i="120"/>
  <c r="BS109" i="120"/>
  <c r="BP109" i="120"/>
  <c r="BC109" i="120"/>
  <c r="BB109" i="120"/>
  <c r="AX109" i="120"/>
  <c r="AU109" i="120"/>
  <c r="AR109" i="120"/>
  <c r="AE109" i="120"/>
  <c r="AD109" i="120"/>
  <c r="Z109" i="120"/>
  <c r="W109" i="120"/>
  <c r="T109" i="120"/>
  <c r="P109" i="120"/>
  <c r="O109" i="120"/>
  <c r="K109" i="120"/>
  <c r="H109" i="120"/>
  <c r="E109" i="120"/>
  <c r="D109" i="120"/>
  <c r="C109" i="120"/>
  <c r="CB108" i="120"/>
  <c r="CA108" i="120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O108" i="120"/>
  <c r="K108" i="120"/>
  <c r="H108" i="120"/>
  <c r="E108" i="120"/>
  <c r="D108" i="120"/>
  <c r="C108" i="120"/>
  <c r="CB107" i="120"/>
  <c r="CA107" i="120"/>
  <c r="BZ107" i="120"/>
  <c r="BV107" i="120"/>
  <c r="BS107" i="120"/>
  <c r="BP107" i="120"/>
  <c r="BC107" i="120"/>
  <c r="BB107" i="120"/>
  <c r="AX107" i="120"/>
  <c r="AU107" i="120"/>
  <c r="AR107" i="120"/>
  <c r="AE107" i="120"/>
  <c r="AD107" i="120"/>
  <c r="Z107" i="120"/>
  <c r="W107" i="120"/>
  <c r="T107" i="120"/>
  <c r="P107" i="120"/>
  <c r="O107" i="120"/>
  <c r="K107" i="120"/>
  <c r="H107" i="120"/>
  <c r="E107" i="120"/>
  <c r="D107" i="120"/>
  <c r="C107" i="120"/>
  <c r="CB106" i="120"/>
  <c r="CA106" i="120"/>
  <c r="BZ106" i="120"/>
  <c r="BV106" i="120"/>
  <c r="BS106" i="120"/>
  <c r="BP106" i="120"/>
  <c r="BC106" i="120"/>
  <c r="BB106" i="120"/>
  <c r="AX106" i="120"/>
  <c r="AU106" i="120"/>
  <c r="AR106" i="120"/>
  <c r="AE106" i="120"/>
  <c r="AD106" i="120"/>
  <c r="Z106" i="120"/>
  <c r="W106" i="120"/>
  <c r="T106" i="120"/>
  <c r="P106" i="120"/>
  <c r="O106" i="120"/>
  <c r="K106" i="120"/>
  <c r="H106" i="120"/>
  <c r="E106" i="120"/>
  <c r="D106" i="120"/>
  <c r="C106" i="120"/>
  <c r="AW105" i="120"/>
  <c r="CD104" i="120"/>
  <c r="BX104" i="120"/>
  <c r="BW104" i="120"/>
  <c r="BU104" i="120"/>
  <c r="BT104" i="120"/>
  <c r="BR104" i="120"/>
  <c r="BQ104" i="120"/>
  <c r="AZ104" i="120"/>
  <c r="AY104" i="120"/>
  <c r="AW104" i="120"/>
  <c r="AV104" i="120"/>
  <c r="AT104" i="120"/>
  <c r="AS104" i="120"/>
  <c r="AB104" i="120"/>
  <c r="AA104" i="120"/>
  <c r="Y104" i="120"/>
  <c r="X104" i="120"/>
  <c r="V104" i="120"/>
  <c r="U104" i="120"/>
  <c r="M104" i="120"/>
  <c r="L104" i="120"/>
  <c r="J104" i="120"/>
  <c r="I104" i="120"/>
  <c r="G104" i="120"/>
  <c r="F104" i="120"/>
  <c r="CB103" i="120"/>
  <c r="CA103" i="120"/>
  <c r="BZ103" i="120"/>
  <c r="BV103" i="120"/>
  <c r="BS103" i="120"/>
  <c r="BP103" i="120"/>
  <c r="BC103" i="120"/>
  <c r="BB103" i="120"/>
  <c r="AX103" i="120"/>
  <c r="AU103" i="120"/>
  <c r="AR103" i="120"/>
  <c r="AE103" i="120"/>
  <c r="AD103" i="120"/>
  <c r="Z103" i="120"/>
  <c r="W103" i="120"/>
  <c r="T103" i="120"/>
  <c r="P103" i="120"/>
  <c r="O103" i="120"/>
  <c r="K103" i="120"/>
  <c r="H103" i="120"/>
  <c r="E103" i="120"/>
  <c r="D103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D102" i="120"/>
  <c r="Z102" i="120"/>
  <c r="W102" i="120"/>
  <c r="T102" i="120"/>
  <c r="P102" i="120"/>
  <c r="O102" i="120"/>
  <c r="K102" i="120"/>
  <c r="H102" i="120"/>
  <c r="E102" i="120"/>
  <c r="D102" i="120"/>
  <c r="S102" i="120" s="1"/>
  <c r="CB101" i="120"/>
  <c r="CA101" i="120"/>
  <c r="BZ101" i="120"/>
  <c r="BV101" i="120"/>
  <c r="BS101" i="120"/>
  <c r="BP101" i="120"/>
  <c r="BC101" i="120"/>
  <c r="BB101" i="120"/>
  <c r="AX101" i="120"/>
  <c r="AU101" i="120"/>
  <c r="AR101" i="120"/>
  <c r="AE101" i="120"/>
  <c r="AD101" i="120"/>
  <c r="Z101" i="120"/>
  <c r="W101" i="120"/>
  <c r="T101" i="120"/>
  <c r="P101" i="120"/>
  <c r="O101" i="120"/>
  <c r="K101" i="120"/>
  <c r="H101" i="120"/>
  <c r="E101" i="120"/>
  <c r="D101" i="120"/>
  <c r="C101" i="120"/>
  <c r="CA100" i="120"/>
  <c r="BZ100" i="120"/>
  <c r="BV100" i="120"/>
  <c r="BS100" i="120"/>
  <c r="BP100" i="120"/>
  <c r="BC100" i="120"/>
  <c r="BB100" i="120"/>
  <c r="AX100" i="120"/>
  <c r="AU100" i="120"/>
  <c r="AR100" i="120"/>
  <c r="AE100" i="120"/>
  <c r="AD100" i="120"/>
  <c r="Z100" i="120"/>
  <c r="W100" i="120"/>
  <c r="T100" i="120"/>
  <c r="P100" i="120"/>
  <c r="O100" i="120"/>
  <c r="K100" i="120"/>
  <c r="H100" i="120"/>
  <c r="E100" i="120"/>
  <c r="D100" i="120"/>
  <c r="CA99" i="120"/>
  <c r="BZ99" i="120"/>
  <c r="BV99" i="120"/>
  <c r="BS99" i="120"/>
  <c r="BP99" i="120"/>
  <c r="BC99" i="120"/>
  <c r="BB99" i="120"/>
  <c r="AX99" i="120"/>
  <c r="AU99" i="120"/>
  <c r="AR99" i="120"/>
  <c r="AE99" i="120"/>
  <c r="AD99" i="120"/>
  <c r="Z99" i="120"/>
  <c r="W99" i="120"/>
  <c r="T99" i="120"/>
  <c r="P99" i="120"/>
  <c r="O99" i="120"/>
  <c r="K99" i="120"/>
  <c r="H99" i="120"/>
  <c r="E99" i="120"/>
  <c r="D99" i="120"/>
  <c r="BU98" i="120"/>
  <c r="AW98" i="120"/>
  <c r="CB97" i="120"/>
  <c r="CA97" i="120"/>
  <c r="CA269" i="120" s="1"/>
  <c r="BZ97" i="120"/>
  <c r="BV97" i="120"/>
  <c r="BS97" i="120"/>
  <c r="BP97" i="120"/>
  <c r="BP269" i="120" s="1"/>
  <c r="BC97" i="120"/>
  <c r="BB97" i="120"/>
  <c r="AX97" i="120"/>
  <c r="AU97" i="120"/>
  <c r="AU269" i="120" s="1"/>
  <c r="AR97" i="120"/>
  <c r="AE97" i="120"/>
  <c r="AD97" i="120"/>
  <c r="Z97" i="120"/>
  <c r="W97" i="120"/>
  <c r="T97" i="120"/>
  <c r="P97" i="120"/>
  <c r="O97" i="120"/>
  <c r="K97" i="120"/>
  <c r="K269" i="120" s="1"/>
  <c r="H97" i="120"/>
  <c r="H269" i="120" s="1"/>
  <c r="E97" i="120"/>
  <c r="D97" i="120"/>
  <c r="C97" i="120"/>
  <c r="CB96" i="120"/>
  <c r="CB267" i="120" s="1"/>
  <c r="CA96" i="120"/>
  <c r="BZ96" i="120"/>
  <c r="BV96" i="120"/>
  <c r="BS96" i="120"/>
  <c r="BS267" i="120" s="1"/>
  <c r="BP96" i="120"/>
  <c r="BC96" i="120"/>
  <c r="BB96" i="120"/>
  <c r="AX96" i="120"/>
  <c r="AX267" i="120" s="1"/>
  <c r="AU96" i="120"/>
  <c r="AR96" i="120"/>
  <c r="AE96" i="120"/>
  <c r="AD96" i="120"/>
  <c r="Z96" i="120"/>
  <c r="W96" i="120"/>
  <c r="T96" i="120"/>
  <c r="P96" i="120"/>
  <c r="O96" i="120"/>
  <c r="K96" i="120"/>
  <c r="H96" i="120"/>
  <c r="H267" i="120" s="1"/>
  <c r="E96" i="120"/>
  <c r="E267" i="120" s="1"/>
  <c r="D96" i="120"/>
  <c r="C96" i="120"/>
  <c r="CB95" i="120"/>
  <c r="CA95" i="120"/>
  <c r="BZ95" i="120"/>
  <c r="BV95" i="120"/>
  <c r="BS95" i="120"/>
  <c r="BP95" i="120"/>
  <c r="BC95" i="120"/>
  <c r="BB95" i="120"/>
  <c r="AX95" i="120"/>
  <c r="AU95" i="120"/>
  <c r="AR95" i="120"/>
  <c r="AE95" i="120"/>
  <c r="AD95" i="120"/>
  <c r="Z95" i="120"/>
  <c r="W95" i="120"/>
  <c r="T95" i="120"/>
  <c r="P95" i="120"/>
  <c r="O95" i="120"/>
  <c r="K95" i="120"/>
  <c r="H95" i="120"/>
  <c r="E95" i="120"/>
  <c r="D95" i="120"/>
  <c r="C95" i="120"/>
  <c r="CB94" i="120"/>
  <c r="CA94" i="120"/>
  <c r="BZ94" i="120"/>
  <c r="BV94" i="120"/>
  <c r="BS94" i="120"/>
  <c r="BP94" i="120"/>
  <c r="BC94" i="120"/>
  <c r="BB94" i="120"/>
  <c r="AX94" i="120"/>
  <c r="AU94" i="120"/>
  <c r="AR94" i="120"/>
  <c r="AE94" i="120"/>
  <c r="AD94" i="120"/>
  <c r="Z94" i="120"/>
  <c r="W94" i="120"/>
  <c r="T94" i="120"/>
  <c r="P94" i="120"/>
  <c r="O94" i="120"/>
  <c r="K94" i="120"/>
  <c r="H94" i="120"/>
  <c r="E94" i="120"/>
  <c r="D94" i="120"/>
  <c r="C94" i="120"/>
  <c r="CD93" i="120"/>
  <c r="CC93" i="120"/>
  <c r="BX93" i="120"/>
  <c r="BW93" i="120"/>
  <c r="BU93" i="120"/>
  <c r="BT93" i="120"/>
  <c r="BR93" i="120"/>
  <c r="BQ93" i="120"/>
  <c r="AZ93" i="120"/>
  <c r="AY93" i="120"/>
  <c r="AW93" i="120"/>
  <c r="AV93" i="120"/>
  <c r="AT93" i="120"/>
  <c r="AS93" i="120"/>
  <c r="AB93" i="120"/>
  <c r="AA93" i="120"/>
  <c r="Y93" i="120"/>
  <c r="X93" i="120"/>
  <c r="V93" i="120"/>
  <c r="U93" i="120"/>
  <c r="M93" i="120"/>
  <c r="L93" i="120"/>
  <c r="J93" i="120"/>
  <c r="I93" i="120"/>
  <c r="G93" i="120"/>
  <c r="F93" i="120"/>
  <c r="CB92" i="120"/>
  <c r="CA92" i="120"/>
  <c r="BZ92" i="120"/>
  <c r="BV92" i="120"/>
  <c r="BS92" i="120"/>
  <c r="BP92" i="120"/>
  <c r="BC92" i="120"/>
  <c r="BB92" i="120"/>
  <c r="AX92" i="120"/>
  <c r="AU92" i="120"/>
  <c r="AR92" i="120"/>
  <c r="AE92" i="120"/>
  <c r="AD92" i="120"/>
  <c r="Z92" i="120"/>
  <c r="W92" i="120"/>
  <c r="T92" i="120"/>
  <c r="P92" i="120"/>
  <c r="O92" i="120"/>
  <c r="K92" i="120"/>
  <c r="H92" i="120"/>
  <c r="E92" i="120"/>
  <c r="D92" i="120"/>
  <c r="C92" i="120"/>
  <c r="R92" i="120" s="1"/>
  <c r="CB91" i="120"/>
  <c r="CA91" i="120"/>
  <c r="BZ91" i="120"/>
  <c r="BV91" i="120"/>
  <c r="BS91" i="120"/>
  <c r="BP91" i="120"/>
  <c r="BC91" i="120"/>
  <c r="BB91" i="120"/>
  <c r="AX91" i="120"/>
  <c r="AU91" i="120"/>
  <c r="AR91" i="120"/>
  <c r="AE91" i="120"/>
  <c r="AD91" i="120"/>
  <c r="Z91" i="120"/>
  <c r="W91" i="120"/>
  <c r="T91" i="120"/>
  <c r="P91" i="120"/>
  <c r="O91" i="120"/>
  <c r="K91" i="120"/>
  <c r="H91" i="120"/>
  <c r="E91" i="120"/>
  <c r="D91" i="120"/>
  <c r="C91" i="120"/>
  <c r="CB90" i="120"/>
  <c r="CA90" i="120"/>
  <c r="BZ90" i="120"/>
  <c r="BV90" i="120"/>
  <c r="BS90" i="120"/>
  <c r="BP90" i="120"/>
  <c r="BC90" i="120"/>
  <c r="BB90" i="120"/>
  <c r="AX90" i="120"/>
  <c r="AU90" i="120"/>
  <c r="AR90" i="120"/>
  <c r="AE90" i="120"/>
  <c r="AD90" i="120"/>
  <c r="Z90" i="120"/>
  <c r="W90" i="120"/>
  <c r="T90" i="120"/>
  <c r="P90" i="120"/>
  <c r="O90" i="120"/>
  <c r="K90" i="120"/>
  <c r="H90" i="120"/>
  <c r="E90" i="120"/>
  <c r="D90" i="120"/>
  <c r="C90" i="120"/>
  <c r="R90" i="120" s="1"/>
  <c r="CB89" i="120"/>
  <c r="CA89" i="120"/>
  <c r="BZ89" i="120"/>
  <c r="BV89" i="120"/>
  <c r="BS89" i="120"/>
  <c r="BP89" i="120"/>
  <c r="BC89" i="120"/>
  <c r="BB89" i="120"/>
  <c r="AX89" i="120"/>
  <c r="AU89" i="120"/>
  <c r="AR89" i="120"/>
  <c r="AE89" i="120"/>
  <c r="AD89" i="120"/>
  <c r="Z89" i="120"/>
  <c r="W89" i="120"/>
  <c r="T89" i="120"/>
  <c r="P89" i="120"/>
  <c r="O89" i="120"/>
  <c r="K89" i="120"/>
  <c r="H89" i="120"/>
  <c r="E89" i="120"/>
  <c r="D89" i="120"/>
  <c r="C89" i="120"/>
  <c r="R89" i="120" s="1"/>
  <c r="CD88" i="120"/>
  <c r="CC88" i="120"/>
  <c r="BX88" i="120"/>
  <c r="BW88" i="120"/>
  <c r="BU88" i="120"/>
  <c r="BT88" i="120"/>
  <c r="BR88" i="120"/>
  <c r="BQ88" i="120"/>
  <c r="AZ88" i="120"/>
  <c r="AY88" i="120"/>
  <c r="AW88" i="120"/>
  <c r="AV88" i="120"/>
  <c r="AT88" i="120"/>
  <c r="AS88" i="120"/>
  <c r="AB88" i="120"/>
  <c r="AA88" i="120"/>
  <c r="AA70" i="120" s="1"/>
  <c r="Y88" i="120"/>
  <c r="Y70" i="120" s="1"/>
  <c r="X88" i="120"/>
  <c r="V88" i="120"/>
  <c r="U88" i="120"/>
  <c r="M88" i="120"/>
  <c r="L88" i="120"/>
  <c r="L70" i="120" s="1"/>
  <c r="J88" i="120"/>
  <c r="I88" i="120"/>
  <c r="G88" i="120"/>
  <c r="F88" i="120"/>
  <c r="CB87" i="120"/>
  <c r="CA87" i="120"/>
  <c r="BZ87" i="120"/>
  <c r="BZ249" i="120" s="1"/>
  <c r="BV87" i="120"/>
  <c r="BV249" i="120" s="1"/>
  <c r="BS87" i="120"/>
  <c r="BP87" i="120"/>
  <c r="BC87" i="120"/>
  <c r="BB87" i="120"/>
  <c r="AX87" i="120"/>
  <c r="AU87" i="120"/>
  <c r="AR87" i="120"/>
  <c r="AR249" i="120" s="1"/>
  <c r="AE87" i="120"/>
  <c r="AD87" i="120"/>
  <c r="Z87" i="120"/>
  <c r="W87" i="120"/>
  <c r="T87" i="120"/>
  <c r="T249" i="120" s="1"/>
  <c r="P87" i="120"/>
  <c r="O87" i="120"/>
  <c r="K87" i="120"/>
  <c r="H87" i="120"/>
  <c r="H249" i="120" s="1"/>
  <c r="E87" i="120"/>
  <c r="D87" i="120"/>
  <c r="C87" i="120"/>
  <c r="CB86" i="120"/>
  <c r="CA86" i="120"/>
  <c r="BZ86" i="120"/>
  <c r="BV86" i="120"/>
  <c r="BS86" i="120"/>
  <c r="BP86" i="120"/>
  <c r="BC86" i="120"/>
  <c r="BB86" i="120"/>
  <c r="AX86" i="120"/>
  <c r="AU86" i="120"/>
  <c r="AR86" i="120"/>
  <c r="AE86" i="120"/>
  <c r="AD86" i="120"/>
  <c r="Z86" i="120"/>
  <c r="W86" i="120"/>
  <c r="T86" i="120"/>
  <c r="P86" i="120"/>
  <c r="O86" i="120"/>
  <c r="K86" i="120"/>
  <c r="H86" i="120"/>
  <c r="E86" i="120"/>
  <c r="D86" i="120"/>
  <c r="S86" i="120" s="1"/>
  <c r="AH86" i="120" s="1"/>
  <c r="C86" i="120"/>
  <c r="CB85" i="120"/>
  <c r="CB244" i="120" s="1"/>
  <c r="CA85" i="120"/>
  <c r="CA244" i="120" s="1"/>
  <c r="BZ85" i="120"/>
  <c r="BV85" i="120"/>
  <c r="BV244" i="120" s="1"/>
  <c r="BS85" i="120"/>
  <c r="BS244" i="120" s="1"/>
  <c r="BP85" i="120"/>
  <c r="BP244" i="120" s="1"/>
  <c r="BC85" i="120"/>
  <c r="BC244" i="120" s="1"/>
  <c r="BB85" i="120"/>
  <c r="BB244" i="120" s="1"/>
  <c r="AX85" i="120"/>
  <c r="AX244" i="120" s="1"/>
  <c r="AU85" i="120"/>
  <c r="AU244" i="120" s="1"/>
  <c r="AR85" i="120"/>
  <c r="AR244" i="120" s="1"/>
  <c r="AE85" i="120"/>
  <c r="AE244" i="120" s="1"/>
  <c r="AD85" i="120"/>
  <c r="Z85" i="120"/>
  <c r="Z244" i="120" s="1"/>
  <c r="W85" i="120"/>
  <c r="W244" i="120" s="1"/>
  <c r="T85" i="120"/>
  <c r="T244" i="120" s="1"/>
  <c r="P85" i="120"/>
  <c r="P244" i="120" s="1"/>
  <c r="O85" i="120"/>
  <c r="K85" i="120"/>
  <c r="K244" i="120" s="1"/>
  <c r="H85" i="120"/>
  <c r="H244" i="120" s="1"/>
  <c r="E85" i="120"/>
  <c r="E244" i="120" s="1"/>
  <c r="D85" i="120"/>
  <c r="D244" i="120" s="1"/>
  <c r="C85" i="120"/>
  <c r="C244" i="120" s="1"/>
  <c r="CB84" i="120"/>
  <c r="CB259" i="120" s="1"/>
  <c r="CA84" i="120"/>
  <c r="CA259" i="120" s="1"/>
  <c r="BZ84" i="120"/>
  <c r="BZ259" i="120" s="1"/>
  <c r="BV84" i="120"/>
  <c r="BV259" i="120" s="1"/>
  <c r="BS84" i="120"/>
  <c r="BS259" i="120" s="1"/>
  <c r="BP84" i="120"/>
  <c r="BP259" i="120" s="1"/>
  <c r="BC84" i="120"/>
  <c r="BC259" i="120" s="1"/>
  <c r="BB84" i="120"/>
  <c r="BB259" i="120" s="1"/>
  <c r="AX84" i="120"/>
  <c r="AX259" i="120" s="1"/>
  <c r="AU84" i="120"/>
  <c r="AU259" i="120" s="1"/>
  <c r="AR84" i="120"/>
  <c r="AR259" i="120" s="1"/>
  <c r="AE84" i="120"/>
  <c r="AE259" i="120" s="1"/>
  <c r="AD84" i="120"/>
  <c r="Z84" i="120"/>
  <c r="Z259" i="120" s="1"/>
  <c r="W84" i="120"/>
  <c r="W259" i="120" s="1"/>
  <c r="T84" i="120"/>
  <c r="T259" i="120" s="1"/>
  <c r="P84" i="120"/>
  <c r="P259" i="120" s="1"/>
  <c r="O84" i="120"/>
  <c r="K84" i="120"/>
  <c r="K259" i="120" s="1"/>
  <c r="H84" i="120"/>
  <c r="H259" i="120" s="1"/>
  <c r="E84" i="120"/>
  <c r="E259" i="120" s="1"/>
  <c r="D84" i="120"/>
  <c r="C84" i="120"/>
  <c r="C259" i="120" s="1"/>
  <c r="CB83" i="120"/>
  <c r="CB258" i="120" s="1"/>
  <c r="CA83" i="120"/>
  <c r="CA258" i="120" s="1"/>
  <c r="BZ83" i="120"/>
  <c r="BZ258" i="120" s="1"/>
  <c r="BV83" i="120"/>
  <c r="BV258" i="120" s="1"/>
  <c r="BS83" i="120"/>
  <c r="BS258" i="120" s="1"/>
  <c r="BP83" i="120"/>
  <c r="BP258" i="120" s="1"/>
  <c r="BC83" i="120"/>
  <c r="BC258" i="120" s="1"/>
  <c r="BB83" i="120"/>
  <c r="BB258" i="120" s="1"/>
  <c r="AX83" i="120"/>
  <c r="AX258" i="120" s="1"/>
  <c r="AU83" i="120"/>
  <c r="AU258" i="120" s="1"/>
  <c r="AR83" i="120"/>
  <c r="AR258" i="120" s="1"/>
  <c r="AE83" i="120"/>
  <c r="AE258" i="120" s="1"/>
  <c r="AD83" i="120"/>
  <c r="Z83" i="120"/>
  <c r="Z258" i="120" s="1"/>
  <c r="W83" i="120"/>
  <c r="W258" i="120" s="1"/>
  <c r="T83" i="120"/>
  <c r="T258" i="120" s="1"/>
  <c r="P83" i="120"/>
  <c r="O83" i="120"/>
  <c r="K83" i="120"/>
  <c r="K258" i="120" s="1"/>
  <c r="H83" i="120"/>
  <c r="H258" i="120" s="1"/>
  <c r="E83" i="120"/>
  <c r="E258" i="120" s="1"/>
  <c r="D83" i="120"/>
  <c r="D258" i="120" s="1"/>
  <c r="C83" i="120"/>
  <c r="C258" i="120" s="1"/>
  <c r="CB82" i="120"/>
  <c r="CB257" i="120" s="1"/>
  <c r="CA82" i="120"/>
  <c r="CA257" i="120" s="1"/>
  <c r="BZ82" i="120"/>
  <c r="BZ257" i="120" s="1"/>
  <c r="BV82" i="120"/>
  <c r="BV257" i="120" s="1"/>
  <c r="BS82" i="120"/>
  <c r="BS257" i="120" s="1"/>
  <c r="BP82" i="120"/>
  <c r="BP257" i="120" s="1"/>
  <c r="BC82" i="120"/>
  <c r="BC257" i="120" s="1"/>
  <c r="BB82" i="120"/>
  <c r="BB257" i="120" s="1"/>
  <c r="AX82" i="120"/>
  <c r="AX257" i="120" s="1"/>
  <c r="AU82" i="120"/>
  <c r="AU257" i="120" s="1"/>
  <c r="AR82" i="120"/>
  <c r="AR257" i="120" s="1"/>
  <c r="AE82" i="120"/>
  <c r="AE257" i="120" s="1"/>
  <c r="AD82" i="120"/>
  <c r="Z82" i="120"/>
  <c r="Z257" i="120" s="1"/>
  <c r="W82" i="120"/>
  <c r="W257" i="120" s="1"/>
  <c r="T82" i="120"/>
  <c r="T257" i="120" s="1"/>
  <c r="P82" i="120"/>
  <c r="P257" i="120" s="1"/>
  <c r="O82" i="120"/>
  <c r="K82" i="120"/>
  <c r="K257" i="120" s="1"/>
  <c r="H82" i="120"/>
  <c r="H257" i="120" s="1"/>
  <c r="E82" i="120"/>
  <c r="E257" i="120" s="1"/>
  <c r="D82" i="120"/>
  <c r="D257" i="120" s="1"/>
  <c r="C82" i="120"/>
  <c r="CB81" i="120"/>
  <c r="CB256" i="120" s="1"/>
  <c r="CA81" i="120"/>
  <c r="CA256" i="120" s="1"/>
  <c r="BZ81" i="120"/>
  <c r="BV81" i="120"/>
  <c r="BV256" i="120" s="1"/>
  <c r="BS81" i="120"/>
  <c r="BS256" i="120" s="1"/>
  <c r="BP81" i="120"/>
  <c r="BP256" i="120" s="1"/>
  <c r="BC81" i="120"/>
  <c r="BC256" i="120" s="1"/>
  <c r="BB81" i="120"/>
  <c r="BB256" i="120" s="1"/>
  <c r="AX81" i="120"/>
  <c r="AX256" i="120" s="1"/>
  <c r="AU81" i="120"/>
  <c r="AU256" i="120" s="1"/>
  <c r="AR81" i="120"/>
  <c r="AR256" i="120" s="1"/>
  <c r="AE81" i="120"/>
  <c r="AE256" i="120" s="1"/>
  <c r="AD81" i="120"/>
  <c r="Z81" i="120"/>
  <c r="Z256" i="120" s="1"/>
  <c r="W81" i="120"/>
  <c r="W256" i="120" s="1"/>
  <c r="T81" i="120"/>
  <c r="T256" i="120" s="1"/>
  <c r="P81" i="120"/>
  <c r="P256" i="120" s="1"/>
  <c r="O81" i="120"/>
  <c r="K81" i="120"/>
  <c r="K256" i="120" s="1"/>
  <c r="H81" i="120"/>
  <c r="H256" i="120" s="1"/>
  <c r="E81" i="120"/>
  <c r="E256" i="120" s="1"/>
  <c r="D81" i="120"/>
  <c r="D256" i="120" s="1"/>
  <c r="C81" i="120"/>
  <c r="C256" i="120" s="1"/>
  <c r="CB80" i="120"/>
  <c r="CB255" i="120" s="1"/>
  <c r="CA80" i="120"/>
  <c r="CA255" i="120" s="1"/>
  <c r="BZ80" i="120"/>
  <c r="BZ255" i="120" s="1"/>
  <c r="BV80" i="120"/>
  <c r="BV255" i="120" s="1"/>
  <c r="BS80" i="120"/>
  <c r="BS255" i="120" s="1"/>
  <c r="BP80" i="120"/>
  <c r="BP255" i="120" s="1"/>
  <c r="BC80" i="120"/>
  <c r="BC255" i="120" s="1"/>
  <c r="BB80" i="120"/>
  <c r="BB255" i="120" s="1"/>
  <c r="AX80" i="120"/>
  <c r="AX255" i="120" s="1"/>
  <c r="AU80" i="120"/>
  <c r="AU255" i="120" s="1"/>
  <c r="AR80" i="120"/>
  <c r="AR255" i="120" s="1"/>
  <c r="AE80" i="120"/>
  <c r="AE255" i="120" s="1"/>
  <c r="AD80" i="120"/>
  <c r="Z80" i="120"/>
  <c r="Z255" i="120" s="1"/>
  <c r="W80" i="120"/>
  <c r="W255" i="120" s="1"/>
  <c r="T80" i="120"/>
  <c r="T255" i="120" s="1"/>
  <c r="P80" i="120"/>
  <c r="P255" i="120" s="1"/>
  <c r="O80" i="120"/>
  <c r="K80" i="120"/>
  <c r="K255" i="120" s="1"/>
  <c r="H80" i="120"/>
  <c r="H255" i="120" s="1"/>
  <c r="E80" i="120"/>
  <c r="E255" i="120" s="1"/>
  <c r="D80" i="120"/>
  <c r="D255" i="120" s="1"/>
  <c r="C80" i="120"/>
  <c r="C255" i="120" s="1"/>
  <c r="CB79" i="120"/>
  <c r="CB247" i="120" s="1"/>
  <c r="CA79" i="120"/>
  <c r="CA247" i="120" s="1"/>
  <c r="BZ79" i="120"/>
  <c r="BZ247" i="120" s="1"/>
  <c r="BV79" i="120"/>
  <c r="BV247" i="120" s="1"/>
  <c r="BS79" i="120"/>
  <c r="BS247" i="120" s="1"/>
  <c r="BP79" i="120"/>
  <c r="BP247" i="120" s="1"/>
  <c r="BC79" i="120"/>
  <c r="BC247" i="120" s="1"/>
  <c r="BB79" i="120"/>
  <c r="BB247" i="120" s="1"/>
  <c r="AX79" i="120"/>
  <c r="AX247" i="120" s="1"/>
  <c r="AU79" i="120"/>
  <c r="AU247" i="120" s="1"/>
  <c r="AR79" i="120"/>
  <c r="AR247" i="120" s="1"/>
  <c r="AE79" i="120"/>
  <c r="AE247" i="120" s="1"/>
  <c r="AD79" i="120"/>
  <c r="Z79" i="120"/>
  <c r="Z247" i="120" s="1"/>
  <c r="W79" i="120"/>
  <c r="W247" i="120" s="1"/>
  <c r="T79" i="120"/>
  <c r="T247" i="120" s="1"/>
  <c r="P79" i="120"/>
  <c r="O79" i="120"/>
  <c r="K79" i="120"/>
  <c r="K247" i="120" s="1"/>
  <c r="H79" i="120"/>
  <c r="H247" i="120" s="1"/>
  <c r="E79" i="120"/>
  <c r="E247" i="120" s="1"/>
  <c r="D79" i="120"/>
  <c r="D247" i="120" s="1"/>
  <c r="C79" i="120"/>
  <c r="C247" i="120" s="1"/>
  <c r="CA78" i="120"/>
  <c r="BZ78" i="120"/>
  <c r="BV78" i="120"/>
  <c r="BS78" i="120"/>
  <c r="BP78" i="120"/>
  <c r="BC78" i="120"/>
  <c r="BB78" i="120"/>
  <c r="AX78" i="120"/>
  <c r="AU78" i="120"/>
  <c r="AR78" i="120"/>
  <c r="AE78" i="120"/>
  <c r="AD78" i="120"/>
  <c r="Z78" i="120"/>
  <c r="W78" i="120"/>
  <c r="T78" i="120"/>
  <c r="P78" i="120"/>
  <c r="O78" i="120"/>
  <c r="K78" i="120"/>
  <c r="H78" i="120"/>
  <c r="E78" i="120"/>
  <c r="D78" i="120"/>
  <c r="S78" i="120" s="1"/>
  <c r="AH78" i="120" s="1"/>
  <c r="CB77" i="120"/>
  <c r="CB246" i="120" s="1"/>
  <c r="CA77" i="120"/>
  <c r="CA246" i="120" s="1"/>
  <c r="BZ77" i="120"/>
  <c r="BV77" i="120"/>
  <c r="BV246" i="120" s="1"/>
  <c r="BS77" i="120"/>
  <c r="BS246" i="120" s="1"/>
  <c r="BP77" i="120"/>
  <c r="BP246" i="120" s="1"/>
  <c r="BC77" i="120"/>
  <c r="BC246" i="120" s="1"/>
  <c r="BB77" i="120"/>
  <c r="BB246" i="120" s="1"/>
  <c r="AX77" i="120"/>
  <c r="AX246" i="120" s="1"/>
  <c r="AU77" i="120"/>
  <c r="AU246" i="120" s="1"/>
  <c r="AR77" i="120"/>
  <c r="AR246" i="120" s="1"/>
  <c r="AE77" i="120"/>
  <c r="AE246" i="120" s="1"/>
  <c r="AD77" i="120"/>
  <c r="Z77" i="120"/>
  <c r="Z246" i="120" s="1"/>
  <c r="W77" i="120"/>
  <c r="W246" i="120" s="1"/>
  <c r="T77" i="120"/>
  <c r="T246" i="120" s="1"/>
  <c r="P77" i="120"/>
  <c r="P246" i="120" s="1"/>
  <c r="O77" i="120"/>
  <c r="K77" i="120"/>
  <c r="K246" i="120" s="1"/>
  <c r="H77" i="120"/>
  <c r="H246" i="120" s="1"/>
  <c r="E77" i="120"/>
  <c r="E246" i="120" s="1"/>
  <c r="D77" i="120"/>
  <c r="D246" i="120" s="1"/>
  <c r="C77" i="120"/>
  <c r="CB76" i="120"/>
  <c r="CB248" i="120" s="1"/>
  <c r="CA76" i="120"/>
  <c r="CA248" i="120" s="1"/>
  <c r="BZ76" i="120"/>
  <c r="BZ248" i="120" s="1"/>
  <c r="BV76" i="120"/>
  <c r="BV248" i="120" s="1"/>
  <c r="BS76" i="120"/>
  <c r="BS248" i="120" s="1"/>
  <c r="BP76" i="120"/>
  <c r="BP248" i="120" s="1"/>
  <c r="BC76" i="120"/>
  <c r="BB76" i="120"/>
  <c r="BB248" i="120" s="1"/>
  <c r="AX76" i="120"/>
  <c r="AX248" i="120" s="1"/>
  <c r="AU76" i="120"/>
  <c r="AU248" i="120" s="1"/>
  <c r="AR76" i="120"/>
  <c r="AR248" i="120" s="1"/>
  <c r="AE76" i="120"/>
  <c r="AE248" i="120" s="1"/>
  <c r="AD76" i="120"/>
  <c r="Z76" i="120"/>
  <c r="Z248" i="120" s="1"/>
  <c r="W76" i="120"/>
  <c r="W248" i="120" s="1"/>
  <c r="T76" i="120"/>
  <c r="T248" i="120" s="1"/>
  <c r="P76" i="120"/>
  <c r="P248" i="120" s="1"/>
  <c r="O76" i="120"/>
  <c r="K76" i="120"/>
  <c r="K248" i="120" s="1"/>
  <c r="H76" i="120"/>
  <c r="H248" i="120" s="1"/>
  <c r="E76" i="120"/>
  <c r="E248" i="120" s="1"/>
  <c r="D76" i="120"/>
  <c r="D248" i="120" s="1"/>
  <c r="C76" i="120"/>
  <c r="CB75" i="120"/>
  <c r="CA75" i="120"/>
  <c r="BZ75" i="120"/>
  <c r="BV75" i="120"/>
  <c r="BS75" i="120"/>
  <c r="BP75" i="120"/>
  <c r="BC75" i="120"/>
  <c r="BB75" i="120"/>
  <c r="AX75" i="120"/>
  <c r="AU75" i="120"/>
  <c r="AR75" i="120"/>
  <c r="AE75" i="120"/>
  <c r="AD75" i="120"/>
  <c r="Z75" i="120"/>
  <c r="W75" i="120"/>
  <c r="T75" i="120"/>
  <c r="P75" i="120"/>
  <c r="O75" i="120"/>
  <c r="K75" i="120"/>
  <c r="H75" i="120"/>
  <c r="E75" i="120"/>
  <c r="D75" i="120"/>
  <c r="S75" i="120" s="1"/>
  <c r="C75" i="120"/>
  <c r="CB74" i="120"/>
  <c r="CA74" i="120"/>
  <c r="BZ74" i="120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O74" i="120"/>
  <c r="K74" i="120"/>
  <c r="H74" i="120"/>
  <c r="E74" i="120"/>
  <c r="D74" i="120"/>
  <c r="S74" i="120" s="1"/>
  <c r="C74" i="120"/>
  <c r="CB73" i="120"/>
  <c r="CA73" i="120"/>
  <c r="BZ73" i="120"/>
  <c r="BV73" i="120"/>
  <c r="BS73" i="120"/>
  <c r="BP73" i="120"/>
  <c r="BC73" i="120"/>
  <c r="BB73" i="120"/>
  <c r="AX73" i="120"/>
  <c r="AU73" i="120"/>
  <c r="AR73" i="120"/>
  <c r="AE73" i="120"/>
  <c r="AD73" i="120"/>
  <c r="Z73" i="120"/>
  <c r="W73" i="120"/>
  <c r="T73" i="120"/>
  <c r="P73" i="120"/>
  <c r="O73" i="120"/>
  <c r="K73" i="120"/>
  <c r="H73" i="120"/>
  <c r="E73" i="120"/>
  <c r="D73" i="120"/>
  <c r="S73" i="120" s="1"/>
  <c r="C73" i="120"/>
  <c r="CB72" i="120"/>
  <c r="CA72" i="120"/>
  <c r="BZ72" i="120"/>
  <c r="BV72" i="120"/>
  <c r="BS72" i="120"/>
  <c r="BP72" i="120"/>
  <c r="BC72" i="120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H72" i="120"/>
  <c r="E72" i="120"/>
  <c r="D72" i="120"/>
  <c r="S72" i="120" s="1"/>
  <c r="C72" i="120"/>
  <c r="R72" i="120" s="1"/>
  <c r="AG72" i="120" s="1"/>
  <c r="CB71" i="120"/>
  <c r="CA71" i="120"/>
  <c r="BZ71" i="120"/>
  <c r="BV71" i="120"/>
  <c r="BS71" i="120"/>
  <c r="BP71" i="120"/>
  <c r="BC71" i="120"/>
  <c r="BB71" i="120"/>
  <c r="AX71" i="120"/>
  <c r="AU71" i="120"/>
  <c r="AR71" i="120"/>
  <c r="AE71" i="120"/>
  <c r="AD71" i="120"/>
  <c r="Z71" i="120"/>
  <c r="W71" i="120"/>
  <c r="T71" i="120"/>
  <c r="P71" i="120"/>
  <c r="O71" i="120"/>
  <c r="K71" i="120"/>
  <c r="H71" i="120"/>
  <c r="E71" i="120"/>
  <c r="D71" i="120"/>
  <c r="S71" i="120" s="1"/>
  <c r="C71" i="120"/>
  <c r="BT70" i="120"/>
  <c r="BQ70" i="120"/>
  <c r="F70" i="120"/>
  <c r="CA69" i="120"/>
  <c r="BZ69" i="120"/>
  <c r="BV69" i="120"/>
  <c r="BS69" i="120"/>
  <c r="BP69" i="120"/>
  <c r="BC69" i="120"/>
  <c r="BB69" i="120"/>
  <c r="AX69" i="120"/>
  <c r="AU69" i="120"/>
  <c r="AR69" i="120"/>
  <c r="AE69" i="120"/>
  <c r="AD69" i="120"/>
  <c r="Z69" i="120"/>
  <c r="W69" i="120"/>
  <c r="T69" i="120"/>
  <c r="S69" i="120"/>
  <c r="S68" i="120" s="1"/>
  <c r="P69" i="120"/>
  <c r="O69" i="120"/>
  <c r="K69" i="120"/>
  <c r="H69" i="120"/>
  <c r="E69" i="120"/>
  <c r="D69" i="120"/>
  <c r="D68" i="120" s="1"/>
  <c r="CD68" i="120"/>
  <c r="CD261" i="120" s="1"/>
  <c r="CD260" i="120" s="1"/>
  <c r="BX68" i="120"/>
  <c r="BW68" i="120"/>
  <c r="BW261" i="120" s="1"/>
  <c r="BW260" i="120" s="1"/>
  <c r="BU68" i="120"/>
  <c r="BT68" i="120"/>
  <c r="BR68" i="120"/>
  <c r="BR261" i="120" s="1"/>
  <c r="BR260" i="120" s="1"/>
  <c r="BQ68" i="120"/>
  <c r="AZ68" i="120"/>
  <c r="AY68" i="120"/>
  <c r="AY261" i="120" s="1"/>
  <c r="AW68" i="120"/>
  <c r="AV68" i="120"/>
  <c r="AT68" i="120"/>
  <c r="AT261" i="120" s="1"/>
  <c r="AT260" i="120" s="1"/>
  <c r="AS68" i="120"/>
  <c r="AS61" i="120" s="1"/>
  <c r="AB68" i="120"/>
  <c r="AA68" i="120"/>
  <c r="AA261" i="120" s="1"/>
  <c r="AA260" i="120" s="1"/>
  <c r="Y68" i="120"/>
  <c r="Y61" i="120" s="1"/>
  <c r="X68" i="120"/>
  <c r="V68" i="120"/>
  <c r="V261" i="120" s="1"/>
  <c r="V260" i="120" s="1"/>
  <c r="U68" i="120"/>
  <c r="U61" i="120" s="1"/>
  <c r="M68" i="120"/>
  <c r="M261" i="120" s="1"/>
  <c r="M260" i="120" s="1"/>
  <c r="L68" i="120"/>
  <c r="J68" i="120"/>
  <c r="J261" i="120" s="1"/>
  <c r="J260" i="120" s="1"/>
  <c r="I68" i="120"/>
  <c r="G68" i="120"/>
  <c r="G261" i="120" s="1"/>
  <c r="G260" i="120" s="1"/>
  <c r="F68" i="120"/>
  <c r="F261" i="120" s="1"/>
  <c r="CC67" i="120"/>
  <c r="CA67" i="120"/>
  <c r="BZ67" i="120"/>
  <c r="BV67" i="120"/>
  <c r="BS67" i="120"/>
  <c r="BP67" i="120"/>
  <c r="BC67" i="120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S67" i="120" s="1"/>
  <c r="AH67" i="120" s="1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Z66" i="120"/>
  <c r="W66" i="120"/>
  <c r="T66" i="120"/>
  <c r="P66" i="120"/>
  <c r="O66" i="120"/>
  <c r="K66" i="120"/>
  <c r="H66" i="120"/>
  <c r="E66" i="120"/>
  <c r="D66" i="120"/>
  <c r="CB65" i="120"/>
  <c r="CA65" i="120"/>
  <c r="BZ65" i="120"/>
  <c r="BV65" i="120"/>
  <c r="BS65" i="120"/>
  <c r="BP65" i="120"/>
  <c r="BC65" i="120"/>
  <c r="BB65" i="120"/>
  <c r="AX65" i="120"/>
  <c r="AU65" i="120"/>
  <c r="AR65" i="120"/>
  <c r="AE65" i="120"/>
  <c r="AD65" i="120"/>
  <c r="Z65" i="120"/>
  <c r="W65" i="120"/>
  <c r="T65" i="120"/>
  <c r="P65" i="120"/>
  <c r="O65" i="120"/>
  <c r="K65" i="120"/>
  <c r="H65" i="120"/>
  <c r="E65" i="120"/>
  <c r="D65" i="120"/>
  <c r="C65" i="120"/>
  <c r="R65" i="120" s="1"/>
  <c r="CD64" i="120"/>
  <c r="BX64" i="120"/>
  <c r="BW64" i="120"/>
  <c r="BU64" i="120"/>
  <c r="BT64" i="120"/>
  <c r="BR64" i="120"/>
  <c r="BQ64" i="120"/>
  <c r="AZ64" i="120"/>
  <c r="AY64" i="120"/>
  <c r="AW64" i="120"/>
  <c r="AV64" i="120"/>
  <c r="AT64" i="120"/>
  <c r="AS64" i="120"/>
  <c r="AB64" i="120"/>
  <c r="AA64" i="120"/>
  <c r="Y64" i="120"/>
  <c r="X64" i="120"/>
  <c r="V64" i="120"/>
  <c r="U64" i="120"/>
  <c r="M64" i="120"/>
  <c r="L64" i="120"/>
  <c r="J64" i="120"/>
  <c r="I64" i="120"/>
  <c r="G64" i="120"/>
  <c r="F64" i="120"/>
  <c r="CB63" i="120"/>
  <c r="CA63" i="120"/>
  <c r="BZ63" i="120"/>
  <c r="BV63" i="120"/>
  <c r="BS63" i="120"/>
  <c r="BP63" i="120"/>
  <c r="BC63" i="120"/>
  <c r="BB63" i="120"/>
  <c r="AX63" i="120"/>
  <c r="AU63" i="120"/>
  <c r="AR63" i="120"/>
  <c r="AE63" i="120"/>
  <c r="AD63" i="120"/>
  <c r="Z63" i="120"/>
  <c r="W63" i="120"/>
  <c r="T63" i="120"/>
  <c r="P63" i="120"/>
  <c r="O63" i="120"/>
  <c r="K63" i="120"/>
  <c r="H63" i="120"/>
  <c r="E63" i="120"/>
  <c r="D63" i="120"/>
  <c r="C63" i="120"/>
  <c r="CA62" i="120"/>
  <c r="BZ62" i="120"/>
  <c r="BV62" i="120"/>
  <c r="BS62" i="120"/>
  <c r="BP62" i="120"/>
  <c r="BC62" i="120"/>
  <c r="BB62" i="120"/>
  <c r="AX62" i="120"/>
  <c r="AU62" i="120"/>
  <c r="AR62" i="120"/>
  <c r="AE62" i="120"/>
  <c r="AD62" i="120"/>
  <c r="Z62" i="120"/>
  <c r="W62" i="120"/>
  <c r="T62" i="120"/>
  <c r="P62" i="120"/>
  <c r="O62" i="120"/>
  <c r="K62" i="120"/>
  <c r="H62" i="120"/>
  <c r="E62" i="120"/>
  <c r="D62" i="120"/>
  <c r="BU61" i="120"/>
  <c r="BQ61" i="120"/>
  <c r="AW61" i="120"/>
  <c r="M61" i="120"/>
  <c r="CD60" i="120"/>
  <c r="BX60" i="120"/>
  <c r="BW60" i="120"/>
  <c r="BV60" i="120" s="1"/>
  <c r="BU60" i="120"/>
  <c r="BT60" i="120"/>
  <c r="BS60" i="120" s="1"/>
  <c r="BR60" i="120"/>
  <c r="BQ60" i="120"/>
  <c r="BP60" i="120" s="1"/>
  <c r="AZ60" i="120"/>
  <c r="AY60" i="120"/>
  <c r="AX60" i="120" s="1"/>
  <c r="AW60" i="120"/>
  <c r="AV60" i="120"/>
  <c r="AU60" i="120" s="1"/>
  <c r="AT60" i="120"/>
  <c r="AS60" i="120"/>
  <c r="AR60" i="120" s="1"/>
  <c r="AB60" i="120"/>
  <c r="AA60" i="120"/>
  <c r="Z60" i="120" s="1"/>
  <c r="Y60" i="120"/>
  <c r="X60" i="120"/>
  <c r="W60" i="120" s="1"/>
  <c r="V60" i="120"/>
  <c r="U60" i="120"/>
  <c r="M60" i="120"/>
  <c r="L60" i="120"/>
  <c r="K60" i="120" s="1"/>
  <c r="J60" i="120"/>
  <c r="I60" i="120"/>
  <c r="G60" i="120"/>
  <c r="F60" i="120"/>
  <c r="A60" i="120"/>
  <c r="CA59" i="120"/>
  <c r="BZ59" i="120"/>
  <c r="BV59" i="120"/>
  <c r="BS59" i="120"/>
  <c r="BP59" i="120"/>
  <c r="BC59" i="120"/>
  <c r="BB59" i="120"/>
  <c r="AX59" i="120"/>
  <c r="AU59" i="120"/>
  <c r="AR59" i="120"/>
  <c r="AE59" i="120"/>
  <c r="AD59" i="120"/>
  <c r="Z59" i="120"/>
  <c r="W59" i="120"/>
  <c r="T59" i="120"/>
  <c r="P59" i="120"/>
  <c r="O59" i="120"/>
  <c r="K59" i="120"/>
  <c r="H59" i="120"/>
  <c r="E59" i="120"/>
  <c r="D59" i="120"/>
  <c r="S59" i="120" s="1"/>
  <c r="CA58" i="120"/>
  <c r="BZ58" i="120"/>
  <c r="BV58" i="120"/>
  <c r="BS58" i="120"/>
  <c r="BP58" i="120"/>
  <c r="BC58" i="120"/>
  <c r="BB58" i="120"/>
  <c r="AX58" i="120"/>
  <c r="AU58" i="120"/>
  <c r="AR58" i="120"/>
  <c r="AE58" i="120"/>
  <c r="AD58" i="120"/>
  <c r="Z58" i="120"/>
  <c r="W58" i="120"/>
  <c r="T58" i="120"/>
  <c r="P58" i="120"/>
  <c r="O58" i="120"/>
  <c r="K58" i="120"/>
  <c r="H58" i="120"/>
  <c r="E58" i="120"/>
  <c r="D58" i="120"/>
  <c r="S58" i="120" s="1"/>
  <c r="AH58" i="120" s="1"/>
  <c r="CA57" i="120"/>
  <c r="BZ57" i="120"/>
  <c r="BV57" i="120"/>
  <c r="BS57" i="120"/>
  <c r="BP57" i="120"/>
  <c r="BC57" i="120"/>
  <c r="BB57" i="120"/>
  <c r="AX57" i="120"/>
  <c r="AU57" i="120"/>
  <c r="AR57" i="120"/>
  <c r="AE57" i="120"/>
  <c r="AD57" i="120"/>
  <c r="Z57" i="120"/>
  <c r="W57" i="120"/>
  <c r="T57" i="120"/>
  <c r="P57" i="120"/>
  <c r="O57" i="120"/>
  <c r="K57" i="120"/>
  <c r="H57" i="120"/>
  <c r="E57" i="120"/>
  <c r="D57" i="120"/>
  <c r="CA56" i="120"/>
  <c r="BZ56" i="120"/>
  <c r="BV56" i="120"/>
  <c r="BS56" i="120"/>
  <c r="BP56" i="120"/>
  <c r="BC56" i="120"/>
  <c r="BB56" i="120"/>
  <c r="AX56" i="120"/>
  <c r="AU56" i="120"/>
  <c r="AR56" i="120"/>
  <c r="AE56" i="120"/>
  <c r="AD56" i="120"/>
  <c r="Z56" i="120"/>
  <c r="W56" i="120"/>
  <c r="T56" i="120"/>
  <c r="P56" i="120"/>
  <c r="O56" i="120"/>
  <c r="K56" i="120"/>
  <c r="H56" i="120"/>
  <c r="E56" i="120"/>
  <c r="D56" i="120"/>
  <c r="CA55" i="120"/>
  <c r="BZ55" i="120"/>
  <c r="BV55" i="120"/>
  <c r="BS55" i="120"/>
  <c r="BP55" i="120"/>
  <c r="BC55" i="120"/>
  <c r="BB55" i="120"/>
  <c r="AX55" i="120"/>
  <c r="AU55" i="120"/>
  <c r="AR55" i="120"/>
  <c r="AE55" i="120"/>
  <c r="AD55" i="120"/>
  <c r="Z55" i="120"/>
  <c r="W55" i="120"/>
  <c r="T55" i="120"/>
  <c r="P55" i="120"/>
  <c r="O55" i="120"/>
  <c r="K55" i="120"/>
  <c r="H55" i="120"/>
  <c r="E55" i="120"/>
  <c r="D55" i="120"/>
  <c r="S55" i="120" s="1"/>
  <c r="AH55" i="120" s="1"/>
  <c r="CA54" i="120"/>
  <c r="BZ54" i="120"/>
  <c r="BV54" i="120"/>
  <c r="BV199" i="120" s="1"/>
  <c r="BS54" i="120"/>
  <c r="BS199" i="120" s="1"/>
  <c r="BP54" i="120"/>
  <c r="BP199" i="120" s="1"/>
  <c r="BC54" i="120"/>
  <c r="BC199" i="120" s="1"/>
  <c r="BB54" i="120"/>
  <c r="BB199" i="120" s="1"/>
  <c r="AX54" i="120"/>
  <c r="AX199" i="120" s="1"/>
  <c r="AU54" i="120"/>
  <c r="AU199" i="120" s="1"/>
  <c r="AR54" i="120"/>
  <c r="AR199" i="120" s="1"/>
  <c r="AE54" i="120"/>
  <c r="AD54" i="120"/>
  <c r="Z54" i="120"/>
  <c r="Z199" i="120" s="1"/>
  <c r="W54" i="120"/>
  <c r="W199" i="120" s="1"/>
  <c r="T54" i="120"/>
  <c r="T199" i="120" s="1"/>
  <c r="P54" i="120"/>
  <c r="O54" i="120"/>
  <c r="O199" i="120" s="1"/>
  <c r="K54" i="120"/>
  <c r="K199" i="120" s="1"/>
  <c r="H54" i="120"/>
  <c r="H199" i="120" s="1"/>
  <c r="E54" i="120"/>
  <c r="E199" i="120" s="1"/>
  <c r="D54" i="120"/>
  <c r="D199" i="120" s="1"/>
  <c r="D51" i="121" s="1"/>
  <c r="CA53" i="120"/>
  <c r="BZ53" i="120"/>
  <c r="BV53" i="120"/>
  <c r="BS53" i="120"/>
  <c r="BP53" i="120"/>
  <c r="BC53" i="120"/>
  <c r="BB53" i="120"/>
  <c r="AX53" i="120"/>
  <c r="AU53" i="120"/>
  <c r="AR53" i="120"/>
  <c r="AE53" i="120"/>
  <c r="AD53" i="120"/>
  <c r="Z53" i="120"/>
  <c r="W53" i="120"/>
  <c r="T53" i="120"/>
  <c r="P53" i="120"/>
  <c r="O53" i="120"/>
  <c r="K53" i="120"/>
  <c r="H53" i="120"/>
  <c r="E53" i="120"/>
  <c r="D53" i="120"/>
  <c r="CB51" i="120"/>
  <c r="CA51" i="120"/>
  <c r="CA268" i="120" s="1"/>
  <c r="BZ51" i="120"/>
  <c r="BV51" i="120"/>
  <c r="BV268" i="120" s="1"/>
  <c r="BS51" i="120"/>
  <c r="BP51" i="120"/>
  <c r="BP268" i="120" s="1"/>
  <c r="BC51" i="120"/>
  <c r="BB51" i="120"/>
  <c r="BB268" i="120" s="1"/>
  <c r="AX51" i="120"/>
  <c r="AU51" i="120"/>
  <c r="AU268" i="120" s="1"/>
  <c r="AR51" i="120"/>
  <c r="AE51" i="120"/>
  <c r="AE268" i="120" s="1"/>
  <c r="AD51" i="120"/>
  <c r="Z51" i="120"/>
  <c r="Z268" i="120" s="1"/>
  <c r="W51" i="120"/>
  <c r="T51" i="120"/>
  <c r="T268" i="120" s="1"/>
  <c r="P51" i="120"/>
  <c r="O51" i="120"/>
  <c r="K51" i="120"/>
  <c r="K268" i="120" s="1"/>
  <c r="H51" i="120"/>
  <c r="H268" i="120" s="1"/>
  <c r="E51" i="120"/>
  <c r="D51" i="120"/>
  <c r="C51" i="120"/>
  <c r="C268" i="120" s="1"/>
  <c r="CB50" i="120"/>
  <c r="CB266" i="120" s="1"/>
  <c r="CA50" i="120"/>
  <c r="BZ50" i="120"/>
  <c r="BV50" i="120"/>
  <c r="BS50" i="120"/>
  <c r="BS266" i="120" s="1"/>
  <c r="BP50" i="120"/>
  <c r="BC50" i="120"/>
  <c r="BB50" i="120"/>
  <c r="AX50" i="120"/>
  <c r="AX266" i="120" s="1"/>
  <c r="AU50" i="120"/>
  <c r="AR50" i="120"/>
  <c r="AE50" i="120"/>
  <c r="AD50" i="120"/>
  <c r="Z50" i="120"/>
  <c r="W50" i="120"/>
  <c r="W266" i="120" s="1"/>
  <c r="T50" i="120"/>
  <c r="P50" i="120"/>
  <c r="P266" i="120" s="1"/>
  <c r="O50" i="120"/>
  <c r="K50" i="120"/>
  <c r="K266" i="120" s="1"/>
  <c r="H50" i="120"/>
  <c r="E50" i="120"/>
  <c r="E266" i="120" s="1"/>
  <c r="D50" i="120"/>
  <c r="C50" i="120"/>
  <c r="C266" i="120" s="1"/>
  <c r="CD49" i="120"/>
  <c r="CC49" i="120"/>
  <c r="BX49" i="120"/>
  <c r="BW49" i="120"/>
  <c r="BU49" i="120"/>
  <c r="BT49" i="120"/>
  <c r="BR49" i="120"/>
  <c r="BQ49" i="120"/>
  <c r="AZ49" i="120"/>
  <c r="AY49" i="120"/>
  <c r="AW49" i="120"/>
  <c r="AV49" i="120"/>
  <c r="AT49" i="120"/>
  <c r="AS49" i="120"/>
  <c r="AB49" i="120"/>
  <c r="AA49" i="120"/>
  <c r="Y49" i="120"/>
  <c r="X49" i="120"/>
  <c r="V49" i="120"/>
  <c r="U49" i="120"/>
  <c r="M49" i="120"/>
  <c r="L49" i="120"/>
  <c r="J49" i="120"/>
  <c r="I49" i="120"/>
  <c r="G49" i="120"/>
  <c r="F49" i="120"/>
  <c r="CB48" i="120"/>
  <c r="CA48" i="120"/>
  <c r="BZ48" i="120"/>
  <c r="BZ264" i="120" s="1"/>
  <c r="BV48" i="120"/>
  <c r="BV264" i="120" s="1"/>
  <c r="BS48" i="120"/>
  <c r="BP48" i="120"/>
  <c r="BP264" i="120" s="1"/>
  <c r="BC48" i="120"/>
  <c r="BC264" i="120" s="1"/>
  <c r="BB48" i="120"/>
  <c r="BB264" i="120" s="1"/>
  <c r="AX48" i="120"/>
  <c r="AU48" i="120"/>
  <c r="AU264" i="120" s="1"/>
  <c r="AR48" i="120"/>
  <c r="AR264" i="120" s="1"/>
  <c r="AE48" i="120"/>
  <c r="AD48" i="120"/>
  <c r="Z48" i="120"/>
  <c r="Z264" i="120" s="1"/>
  <c r="W48" i="120"/>
  <c r="W264" i="120" s="1"/>
  <c r="T48" i="120"/>
  <c r="T264" i="120" s="1"/>
  <c r="P48" i="120"/>
  <c r="O48" i="120"/>
  <c r="K48" i="120"/>
  <c r="K264" i="120" s="1"/>
  <c r="H48" i="120"/>
  <c r="H264" i="120" s="1"/>
  <c r="E48" i="120"/>
  <c r="D48" i="120"/>
  <c r="C48" i="120"/>
  <c r="CB47" i="120"/>
  <c r="CB263" i="120" s="1"/>
  <c r="CA47" i="120"/>
  <c r="BZ47" i="120"/>
  <c r="BZ263" i="120" s="1"/>
  <c r="BV47" i="120"/>
  <c r="BV263" i="120" s="1"/>
  <c r="BS47" i="120"/>
  <c r="BS263" i="120" s="1"/>
  <c r="BP47" i="120"/>
  <c r="BC47" i="120"/>
  <c r="BC263" i="120" s="1"/>
  <c r="BB47" i="120"/>
  <c r="BB263" i="120" s="1"/>
  <c r="AX47" i="120"/>
  <c r="AX263" i="120" s="1"/>
  <c r="AU47" i="120"/>
  <c r="AR47" i="120"/>
  <c r="AR263" i="120" s="1"/>
  <c r="AE47" i="120"/>
  <c r="AD47" i="120"/>
  <c r="AD263" i="120" s="1"/>
  <c r="Z47" i="120"/>
  <c r="W47" i="120"/>
  <c r="W263" i="120" s="1"/>
  <c r="T47" i="120"/>
  <c r="T263" i="120" s="1"/>
  <c r="P47" i="120"/>
  <c r="P263" i="120" s="1"/>
  <c r="O47" i="120"/>
  <c r="K47" i="120"/>
  <c r="H47" i="120"/>
  <c r="H263" i="120" s="1"/>
  <c r="E47" i="120"/>
  <c r="E263" i="120" s="1"/>
  <c r="D47" i="120"/>
  <c r="C47" i="120"/>
  <c r="R47" i="120" s="1"/>
  <c r="CB46" i="120"/>
  <c r="CB262" i="120" s="1"/>
  <c r="CA46" i="120"/>
  <c r="BZ46" i="120"/>
  <c r="BV46" i="120"/>
  <c r="BS46" i="120"/>
  <c r="BS262" i="120" s="1"/>
  <c r="BP46" i="120"/>
  <c r="BP262" i="120" s="1"/>
  <c r="BC46" i="120"/>
  <c r="BB46" i="120"/>
  <c r="AX46" i="120"/>
  <c r="AX262" i="120" s="1"/>
  <c r="AU46" i="120"/>
  <c r="AU262" i="120" s="1"/>
  <c r="AR46" i="120"/>
  <c r="AE46" i="120"/>
  <c r="AD46" i="120"/>
  <c r="AD262" i="120" s="1"/>
  <c r="Z46" i="120"/>
  <c r="Z262" i="120" s="1"/>
  <c r="W46" i="120"/>
  <c r="T46" i="120"/>
  <c r="P46" i="120"/>
  <c r="P262" i="120" s="1"/>
  <c r="O46" i="120"/>
  <c r="O262" i="120" s="1"/>
  <c r="K46" i="120"/>
  <c r="H46" i="120"/>
  <c r="E46" i="120"/>
  <c r="E262" i="120" s="1"/>
  <c r="D46" i="120"/>
  <c r="C46" i="120"/>
  <c r="R46" i="120" s="1"/>
  <c r="CD45" i="120"/>
  <c r="CC45" i="120"/>
  <c r="CB45" i="120" s="1"/>
  <c r="BX45" i="120"/>
  <c r="BW45" i="120"/>
  <c r="BU45" i="120"/>
  <c r="BT45" i="120"/>
  <c r="BR45" i="120"/>
  <c r="BQ45" i="120"/>
  <c r="AZ45" i="120"/>
  <c r="AY45" i="120"/>
  <c r="AX45" i="120" s="1"/>
  <c r="AW45" i="120"/>
  <c r="AV45" i="120"/>
  <c r="AT45" i="120"/>
  <c r="AS45" i="120"/>
  <c r="AB45" i="120"/>
  <c r="AA45" i="120"/>
  <c r="Y45" i="120"/>
  <c r="X45" i="120"/>
  <c r="V45" i="120"/>
  <c r="V36" i="120" s="1"/>
  <c r="V28" i="120" s="1"/>
  <c r="U45" i="120"/>
  <c r="M45" i="120"/>
  <c r="L45" i="120"/>
  <c r="J45" i="120"/>
  <c r="J36" i="120" s="1"/>
  <c r="J28" i="120" s="1"/>
  <c r="I45" i="120"/>
  <c r="G45" i="120"/>
  <c r="F45" i="120"/>
  <c r="CB44" i="120"/>
  <c r="CB254" i="120" s="1"/>
  <c r="CA44" i="120"/>
  <c r="CA254" i="120" s="1"/>
  <c r="BZ44" i="120"/>
  <c r="BV44" i="120"/>
  <c r="BS44" i="120"/>
  <c r="BS254" i="120" s="1"/>
  <c r="BP44" i="120"/>
  <c r="BP254" i="120" s="1"/>
  <c r="BC44" i="120"/>
  <c r="BB44" i="120"/>
  <c r="AX44" i="120"/>
  <c r="AX254" i="120" s="1"/>
  <c r="AU44" i="120"/>
  <c r="AU254" i="120" s="1"/>
  <c r="AR44" i="120"/>
  <c r="AE44" i="120"/>
  <c r="AD44" i="120"/>
  <c r="Z44" i="120"/>
  <c r="Z254" i="120" s="1"/>
  <c r="W44" i="120"/>
  <c r="T44" i="120"/>
  <c r="P44" i="120"/>
  <c r="P254" i="120" s="1"/>
  <c r="O44" i="120"/>
  <c r="K44" i="120"/>
  <c r="H44" i="120"/>
  <c r="E44" i="120"/>
  <c r="E254" i="120" s="1"/>
  <c r="D44" i="120"/>
  <c r="D254" i="120" s="1"/>
  <c r="C44" i="120"/>
  <c r="CC43" i="120"/>
  <c r="CB43" i="120" s="1"/>
  <c r="CA43" i="120"/>
  <c r="BZ43" i="120"/>
  <c r="BV43" i="120"/>
  <c r="BS43" i="120"/>
  <c r="BP43" i="120"/>
  <c r="BP245" i="120" s="1"/>
  <c r="BC43" i="120"/>
  <c r="BB43" i="120"/>
  <c r="AX43" i="120"/>
  <c r="AU43" i="120"/>
  <c r="AR43" i="120"/>
  <c r="AR245" i="120" s="1"/>
  <c r="AE43" i="120"/>
  <c r="AD43" i="120"/>
  <c r="Z43" i="120"/>
  <c r="Z245" i="120" s="1"/>
  <c r="W43" i="120"/>
  <c r="W245" i="120" s="1"/>
  <c r="T43" i="120"/>
  <c r="P43" i="120"/>
  <c r="O43" i="120"/>
  <c r="K43" i="120"/>
  <c r="K245" i="120" s="1"/>
  <c r="H43" i="120"/>
  <c r="E43" i="120"/>
  <c r="D43" i="120"/>
  <c r="D245" i="120" s="1"/>
  <c r="CC42" i="120"/>
  <c r="CC243" i="120" s="1"/>
  <c r="CA42" i="120"/>
  <c r="BZ42" i="120"/>
  <c r="BV42" i="120"/>
  <c r="BV243" i="120" s="1"/>
  <c r="BS42" i="120"/>
  <c r="BP42" i="120"/>
  <c r="BC42" i="120"/>
  <c r="BB42" i="120"/>
  <c r="BB243" i="120" s="1"/>
  <c r="AX42" i="120"/>
  <c r="AU42" i="120"/>
  <c r="AR42" i="120"/>
  <c r="AE42" i="120"/>
  <c r="AD42" i="120"/>
  <c r="Z42" i="120"/>
  <c r="W42" i="120"/>
  <c r="T42" i="120"/>
  <c r="P42" i="120"/>
  <c r="O42" i="120"/>
  <c r="K42" i="120"/>
  <c r="H42" i="120"/>
  <c r="E42" i="120"/>
  <c r="D42" i="120"/>
  <c r="CB41" i="120"/>
  <c r="CB242" i="120" s="1"/>
  <c r="CA41" i="120"/>
  <c r="BZ41" i="120"/>
  <c r="BZ242" i="120" s="1"/>
  <c r="BV41" i="120"/>
  <c r="BV242" i="120" s="1"/>
  <c r="BS41" i="120"/>
  <c r="BP41" i="120"/>
  <c r="BP242" i="120" s="1"/>
  <c r="BC41" i="120"/>
  <c r="BB41" i="120"/>
  <c r="BB242" i="120" s="1"/>
  <c r="AX41" i="120"/>
  <c r="AU41" i="120"/>
  <c r="AR41" i="120"/>
  <c r="AE41" i="120"/>
  <c r="AD41" i="120"/>
  <c r="AD242" i="120" s="1"/>
  <c r="Z41" i="120"/>
  <c r="Z242" i="120" s="1"/>
  <c r="W41" i="120"/>
  <c r="T41" i="120"/>
  <c r="T242" i="120" s="1"/>
  <c r="P41" i="120"/>
  <c r="P242" i="120" s="1"/>
  <c r="O41" i="120"/>
  <c r="K41" i="120"/>
  <c r="H41" i="120"/>
  <c r="H242" i="120" s="1"/>
  <c r="E41" i="120"/>
  <c r="E242" i="120" s="1"/>
  <c r="D41" i="120"/>
  <c r="C41" i="120"/>
  <c r="R41" i="120" s="1"/>
  <c r="CC40" i="120"/>
  <c r="CB40" i="120" s="1"/>
  <c r="CA40" i="120"/>
  <c r="BZ40" i="120"/>
  <c r="BV40" i="120"/>
  <c r="BS40" i="120"/>
  <c r="BP40" i="120"/>
  <c r="BC40" i="120"/>
  <c r="BC241" i="120" s="1"/>
  <c r="BB40" i="120"/>
  <c r="AX40" i="120"/>
  <c r="AU40" i="120"/>
  <c r="AR40" i="120"/>
  <c r="AR241" i="120" s="1"/>
  <c r="AE40" i="120"/>
  <c r="AD40" i="120"/>
  <c r="Z40" i="120"/>
  <c r="W40" i="120"/>
  <c r="T40" i="120"/>
  <c r="P40" i="120"/>
  <c r="O40" i="120"/>
  <c r="K40" i="120"/>
  <c r="H40" i="120"/>
  <c r="E40" i="120"/>
  <c r="D40" i="120"/>
  <c r="CC39" i="120"/>
  <c r="CA39" i="120"/>
  <c r="BZ39" i="120"/>
  <c r="BZ240" i="120" s="1"/>
  <c r="BV39" i="120"/>
  <c r="BV240" i="120" s="1"/>
  <c r="BS39" i="120"/>
  <c r="BS240" i="120" s="1"/>
  <c r="BP39" i="120"/>
  <c r="BP240" i="120" s="1"/>
  <c r="BC39" i="120"/>
  <c r="BC240" i="120" s="1"/>
  <c r="BB39" i="120"/>
  <c r="BB240" i="120" s="1"/>
  <c r="AX39" i="120"/>
  <c r="AX240" i="120" s="1"/>
  <c r="AU39" i="120"/>
  <c r="AU240" i="120" s="1"/>
  <c r="AR39" i="120"/>
  <c r="AR240" i="120" s="1"/>
  <c r="AE39" i="120"/>
  <c r="AE240" i="120" s="1"/>
  <c r="AD39" i="120"/>
  <c r="Z39" i="120"/>
  <c r="Z240" i="120" s="1"/>
  <c r="W39" i="120"/>
  <c r="W240" i="120" s="1"/>
  <c r="T39" i="120"/>
  <c r="T240" i="120" s="1"/>
  <c r="P39" i="120"/>
  <c r="P240" i="120" s="1"/>
  <c r="O39" i="120"/>
  <c r="K39" i="120"/>
  <c r="K240" i="120" s="1"/>
  <c r="H39" i="120"/>
  <c r="H240" i="120" s="1"/>
  <c r="E39" i="120"/>
  <c r="E240" i="120" s="1"/>
  <c r="D39" i="120"/>
  <c r="D240" i="120" s="1"/>
  <c r="CA38" i="120"/>
  <c r="BZ38" i="120"/>
  <c r="BV38" i="120"/>
  <c r="BS38" i="120"/>
  <c r="BP38" i="120"/>
  <c r="BC38" i="120"/>
  <c r="BB38" i="120"/>
  <c r="AX38" i="120"/>
  <c r="AU38" i="120"/>
  <c r="AR38" i="120"/>
  <c r="AE38" i="120"/>
  <c r="AD38" i="120"/>
  <c r="Z38" i="120"/>
  <c r="W38" i="120"/>
  <c r="T38" i="120"/>
  <c r="P38" i="120"/>
  <c r="O38" i="120"/>
  <c r="K38" i="120"/>
  <c r="H38" i="120"/>
  <c r="E38" i="120"/>
  <c r="D38" i="120"/>
  <c r="CA37" i="120"/>
  <c r="BZ37" i="120"/>
  <c r="BV37" i="120"/>
  <c r="BS37" i="120"/>
  <c r="BP37" i="120"/>
  <c r="BC37" i="120"/>
  <c r="BB37" i="120"/>
  <c r="AX37" i="120"/>
  <c r="AU37" i="120"/>
  <c r="AR37" i="120"/>
  <c r="AE37" i="120"/>
  <c r="AD37" i="120"/>
  <c r="Z37" i="120"/>
  <c r="W37" i="120"/>
  <c r="T37" i="120"/>
  <c r="P37" i="120"/>
  <c r="O37" i="120"/>
  <c r="K37" i="120"/>
  <c r="H37" i="120"/>
  <c r="E37" i="120"/>
  <c r="D37" i="120"/>
  <c r="S37" i="120" s="1"/>
  <c r="BW36" i="120"/>
  <c r="BW28" i="120" s="1"/>
  <c r="AT36" i="120"/>
  <c r="AT28" i="120" s="1"/>
  <c r="U36" i="120"/>
  <c r="U28" i="120" s="1"/>
  <c r="BX35" i="120"/>
  <c r="BW35" i="120"/>
  <c r="BU35" i="120"/>
  <c r="BT35" i="120"/>
  <c r="BR35" i="120"/>
  <c r="BQ35" i="120"/>
  <c r="AZ35" i="120"/>
  <c r="AY35" i="120"/>
  <c r="AW35" i="120"/>
  <c r="AV35" i="120"/>
  <c r="AT35" i="120"/>
  <c r="AS35" i="120"/>
  <c r="AB35" i="120"/>
  <c r="AA35" i="120"/>
  <c r="Y35" i="120"/>
  <c r="X35" i="120"/>
  <c r="V35" i="120"/>
  <c r="U35" i="120"/>
  <c r="M35" i="120"/>
  <c r="L35" i="120"/>
  <c r="J35" i="120"/>
  <c r="I35" i="120"/>
  <c r="G35" i="120"/>
  <c r="F35" i="120"/>
  <c r="CA34" i="120"/>
  <c r="BZ34" i="120"/>
  <c r="BV34" i="120"/>
  <c r="BS34" i="120"/>
  <c r="BP34" i="120"/>
  <c r="BC34" i="120"/>
  <c r="BB34" i="120"/>
  <c r="AX34" i="120"/>
  <c r="AU34" i="120"/>
  <c r="AR34" i="120"/>
  <c r="AE34" i="120"/>
  <c r="AD34" i="120"/>
  <c r="Z34" i="120"/>
  <c r="W34" i="120"/>
  <c r="T34" i="120"/>
  <c r="P34" i="120"/>
  <c r="O34" i="120"/>
  <c r="K34" i="120"/>
  <c r="H34" i="120"/>
  <c r="E34" i="120"/>
  <c r="CA33" i="120"/>
  <c r="BZ33" i="120"/>
  <c r="BV33" i="120"/>
  <c r="BS33" i="120"/>
  <c r="BS200" i="120" s="1"/>
  <c r="BP33" i="120"/>
  <c r="BC33" i="120"/>
  <c r="BB33" i="120"/>
  <c r="AX33" i="120"/>
  <c r="AX200" i="120" s="1"/>
  <c r="AU33" i="120"/>
  <c r="AR33" i="120"/>
  <c r="AE33" i="120"/>
  <c r="AD33" i="120"/>
  <c r="AD200" i="120" s="1"/>
  <c r="Z33" i="120"/>
  <c r="W33" i="120"/>
  <c r="T33" i="120"/>
  <c r="P33" i="120"/>
  <c r="O33" i="120"/>
  <c r="K33" i="120"/>
  <c r="H33" i="120"/>
  <c r="E33" i="120"/>
  <c r="CD198" i="120"/>
  <c r="CA32" i="120"/>
  <c r="BZ32" i="120"/>
  <c r="BV32" i="120"/>
  <c r="BS32" i="120"/>
  <c r="BP32" i="120"/>
  <c r="BC32" i="120"/>
  <c r="BB32" i="120"/>
  <c r="AX32" i="120"/>
  <c r="AU32" i="120"/>
  <c r="AR32" i="120"/>
  <c r="AE32" i="120"/>
  <c r="AD32" i="120"/>
  <c r="AD198" i="120" s="1"/>
  <c r="Z32" i="120"/>
  <c r="W32" i="120"/>
  <c r="T32" i="120"/>
  <c r="P32" i="120"/>
  <c r="P198" i="120" s="1"/>
  <c r="O32" i="120"/>
  <c r="K32" i="120"/>
  <c r="H32" i="120"/>
  <c r="E32" i="120"/>
  <c r="E198" i="120" s="1"/>
  <c r="D32" i="120"/>
  <c r="S32" i="120" s="1"/>
  <c r="CA31" i="120"/>
  <c r="BZ31" i="120"/>
  <c r="BZ197" i="120" s="1"/>
  <c r="BV31" i="120"/>
  <c r="BV197" i="120" s="1"/>
  <c r="BS31" i="120"/>
  <c r="BP31" i="120"/>
  <c r="BC31" i="120"/>
  <c r="BC197" i="120" s="1"/>
  <c r="BB31" i="120"/>
  <c r="BB197" i="120" s="1"/>
  <c r="AX31" i="120"/>
  <c r="AU31" i="120"/>
  <c r="AR31" i="120"/>
  <c r="AR197" i="120" s="1"/>
  <c r="AE31" i="120"/>
  <c r="AD31" i="120"/>
  <c r="Z31" i="120"/>
  <c r="W31" i="120"/>
  <c r="T31" i="120"/>
  <c r="T197" i="120" s="1"/>
  <c r="P31" i="120"/>
  <c r="O31" i="120"/>
  <c r="K31" i="120"/>
  <c r="H31" i="120"/>
  <c r="H197" i="120" s="1"/>
  <c r="E31" i="120"/>
  <c r="CD196" i="120"/>
  <c r="CA30" i="120"/>
  <c r="BZ30" i="120"/>
  <c r="BV30" i="120"/>
  <c r="BS30" i="120"/>
  <c r="BP30" i="120"/>
  <c r="BP196" i="120" s="1"/>
  <c r="BC30" i="120"/>
  <c r="BB30" i="120"/>
  <c r="AX30" i="120"/>
  <c r="AU30" i="120"/>
  <c r="AU196" i="120" s="1"/>
  <c r="AR30" i="120"/>
  <c r="AE30" i="120"/>
  <c r="AD30" i="120"/>
  <c r="Z30" i="120"/>
  <c r="Z196" i="120" s="1"/>
  <c r="W30" i="120"/>
  <c r="T30" i="120"/>
  <c r="P30" i="120"/>
  <c r="O30" i="120"/>
  <c r="K30" i="120"/>
  <c r="H30" i="120"/>
  <c r="E30" i="120"/>
  <c r="D30" i="120"/>
  <c r="D196" i="120" s="1"/>
  <c r="D48" i="121" s="1"/>
  <c r="CA29" i="120"/>
  <c r="BZ29" i="120"/>
  <c r="BV29" i="120"/>
  <c r="BV195" i="120" s="1"/>
  <c r="BS29" i="120"/>
  <c r="BP29" i="120"/>
  <c r="BC29" i="120"/>
  <c r="BB29" i="120"/>
  <c r="AX29" i="120"/>
  <c r="AU29" i="120"/>
  <c r="AR29" i="120"/>
  <c r="AE29" i="120"/>
  <c r="AE195" i="120" s="1"/>
  <c r="AD29" i="120"/>
  <c r="Z29" i="120"/>
  <c r="W29" i="120"/>
  <c r="T29" i="120"/>
  <c r="P29" i="120"/>
  <c r="O29" i="120"/>
  <c r="K29" i="120"/>
  <c r="H29" i="120"/>
  <c r="H195" i="120" s="1"/>
  <c r="E29" i="120"/>
  <c r="CD23" i="120"/>
  <c r="D23" i="120" s="1"/>
  <c r="D190" i="120" s="1"/>
  <c r="CC23" i="120"/>
  <c r="CA23" i="120"/>
  <c r="CA190" i="120" s="1"/>
  <c r="BZ23" i="120"/>
  <c r="BZ190" i="120" s="1"/>
  <c r="BV23" i="120"/>
  <c r="BV190" i="120" s="1"/>
  <c r="BS23" i="120"/>
  <c r="BS190" i="120" s="1"/>
  <c r="BP23" i="120"/>
  <c r="BP190" i="120" s="1"/>
  <c r="BC23" i="120"/>
  <c r="BC190" i="120" s="1"/>
  <c r="BB23" i="120"/>
  <c r="BB190" i="120" s="1"/>
  <c r="AX23" i="120"/>
  <c r="AX190" i="120" s="1"/>
  <c r="AU23" i="120"/>
  <c r="AU190" i="120" s="1"/>
  <c r="AR23" i="120"/>
  <c r="AR190" i="120" s="1"/>
  <c r="AE23" i="120"/>
  <c r="AE190" i="120" s="1"/>
  <c r="AD23" i="120"/>
  <c r="AD190" i="120" s="1"/>
  <c r="Z23" i="120"/>
  <c r="Z190" i="120" s="1"/>
  <c r="W23" i="120"/>
  <c r="W190" i="120" s="1"/>
  <c r="T23" i="120"/>
  <c r="T190" i="120" s="1"/>
  <c r="P23" i="120"/>
  <c r="P190" i="120" s="1"/>
  <c r="O23" i="120"/>
  <c r="O190" i="120" s="1"/>
  <c r="K23" i="120"/>
  <c r="K190" i="120" s="1"/>
  <c r="H23" i="120"/>
  <c r="H190" i="120" s="1"/>
  <c r="E23" i="120"/>
  <c r="E190" i="120" s="1"/>
  <c r="CD189" i="120"/>
  <c r="CC189" i="120"/>
  <c r="CA22" i="120"/>
  <c r="CA189" i="120" s="1"/>
  <c r="BZ22" i="120"/>
  <c r="BZ189" i="120" s="1"/>
  <c r="BV22" i="120"/>
  <c r="BV189" i="120" s="1"/>
  <c r="BS22" i="120"/>
  <c r="BS189" i="120" s="1"/>
  <c r="BP22" i="120"/>
  <c r="BP189" i="120" s="1"/>
  <c r="BO22" i="120"/>
  <c r="BO189" i="120" s="1"/>
  <c r="BC22" i="120"/>
  <c r="BC189" i="120" s="1"/>
  <c r="BB22" i="120"/>
  <c r="BB189" i="120" s="1"/>
  <c r="AX22" i="120"/>
  <c r="AX189" i="120" s="1"/>
  <c r="AU22" i="120"/>
  <c r="AU189" i="120" s="1"/>
  <c r="AR22" i="120"/>
  <c r="AR189" i="120" s="1"/>
  <c r="AQ22" i="120"/>
  <c r="AQ189" i="120" s="1"/>
  <c r="AE22" i="120"/>
  <c r="AE189" i="120" s="1"/>
  <c r="AD22" i="120"/>
  <c r="AD189" i="120" s="1"/>
  <c r="Z22" i="120"/>
  <c r="Z189" i="120" s="1"/>
  <c r="W22" i="120"/>
  <c r="W189" i="120" s="1"/>
  <c r="T22" i="120"/>
  <c r="T189" i="120" s="1"/>
  <c r="S22" i="120"/>
  <c r="S189" i="120" s="1"/>
  <c r="P22" i="120"/>
  <c r="P189" i="120" s="1"/>
  <c r="O22" i="120"/>
  <c r="O189" i="120" s="1"/>
  <c r="K22" i="120"/>
  <c r="K189" i="120" s="1"/>
  <c r="H22" i="120"/>
  <c r="H189" i="120" s="1"/>
  <c r="E22" i="120"/>
  <c r="E189" i="120" s="1"/>
  <c r="D22" i="120"/>
  <c r="D189" i="120" s="1"/>
  <c r="BX21" i="120"/>
  <c r="BX188" i="120" s="1"/>
  <c r="BW21" i="120"/>
  <c r="BW188" i="120" s="1"/>
  <c r="BU21" i="120"/>
  <c r="BU188" i="120" s="1"/>
  <c r="BT21" i="120"/>
  <c r="BT188" i="120" s="1"/>
  <c r="BR21" i="120"/>
  <c r="BR188" i="120" s="1"/>
  <c r="BQ21" i="120"/>
  <c r="BQ188" i="120" s="1"/>
  <c r="AZ21" i="120"/>
  <c r="AZ188" i="120" s="1"/>
  <c r="AY21" i="120"/>
  <c r="AY188" i="120" s="1"/>
  <c r="AW21" i="120"/>
  <c r="AW188" i="120" s="1"/>
  <c r="AV21" i="120"/>
  <c r="AV188" i="120" s="1"/>
  <c r="AT21" i="120"/>
  <c r="AT188" i="120" s="1"/>
  <c r="AS21" i="120"/>
  <c r="AS188" i="120" s="1"/>
  <c r="AB21" i="120"/>
  <c r="AB188" i="120" s="1"/>
  <c r="AA21" i="120"/>
  <c r="AA188" i="120" s="1"/>
  <c r="Y21" i="120"/>
  <c r="Y188" i="120" s="1"/>
  <c r="X21" i="120"/>
  <c r="X188" i="120" s="1"/>
  <c r="V21" i="120"/>
  <c r="V188" i="120" s="1"/>
  <c r="U21" i="120"/>
  <c r="U188" i="120" s="1"/>
  <c r="M21" i="120"/>
  <c r="M188" i="120" s="1"/>
  <c r="L21" i="120"/>
  <c r="L188" i="120" s="1"/>
  <c r="J21" i="120"/>
  <c r="J188" i="120" s="1"/>
  <c r="I21" i="120"/>
  <c r="I188" i="120" s="1"/>
  <c r="G21" i="120"/>
  <c r="G188" i="120" s="1"/>
  <c r="F21" i="120"/>
  <c r="F188" i="120" s="1"/>
  <c r="CA20" i="120"/>
  <c r="CA187" i="120" s="1"/>
  <c r="BZ20" i="120"/>
  <c r="BV20" i="120"/>
  <c r="BV187" i="120" s="1"/>
  <c r="BS20" i="120"/>
  <c r="BS187" i="120" s="1"/>
  <c r="BP20" i="120"/>
  <c r="BP187" i="120" s="1"/>
  <c r="BO20" i="120"/>
  <c r="BO187" i="120" s="1"/>
  <c r="BC20" i="120"/>
  <c r="BC187" i="120" s="1"/>
  <c r="BB20" i="120"/>
  <c r="BB187" i="120" s="1"/>
  <c r="AX20" i="120"/>
  <c r="AX187" i="120" s="1"/>
  <c r="AU20" i="120"/>
  <c r="AU187" i="120" s="1"/>
  <c r="AR20" i="120"/>
  <c r="AR187" i="120" s="1"/>
  <c r="AQ20" i="120"/>
  <c r="AQ187" i="120" s="1"/>
  <c r="AE20" i="120"/>
  <c r="AE187" i="120" s="1"/>
  <c r="AD20" i="120"/>
  <c r="AD187" i="120" s="1"/>
  <c r="Z20" i="120"/>
  <c r="Z187" i="120" s="1"/>
  <c r="W20" i="120"/>
  <c r="W187" i="120" s="1"/>
  <c r="T20" i="120"/>
  <c r="T187" i="120" s="1"/>
  <c r="S20" i="120"/>
  <c r="S187" i="120" s="1"/>
  <c r="P20" i="120"/>
  <c r="P187" i="120" s="1"/>
  <c r="O20" i="120"/>
  <c r="O187" i="120" s="1"/>
  <c r="K20" i="120"/>
  <c r="K187" i="120" s="1"/>
  <c r="H20" i="120"/>
  <c r="H187" i="120" s="1"/>
  <c r="E20" i="120"/>
  <c r="E187" i="120" s="1"/>
  <c r="D20" i="120"/>
  <c r="D187" i="120" s="1"/>
  <c r="CA19" i="120"/>
  <c r="CA186" i="120" s="1"/>
  <c r="BZ19" i="120"/>
  <c r="BZ186" i="120" s="1"/>
  <c r="BV19" i="120"/>
  <c r="BV186" i="120" s="1"/>
  <c r="BS19" i="120"/>
  <c r="BS186" i="120" s="1"/>
  <c r="BP19" i="120"/>
  <c r="BP186" i="120" s="1"/>
  <c r="BO19" i="120"/>
  <c r="BO186" i="120" s="1"/>
  <c r="BC19" i="120"/>
  <c r="BC186" i="120" s="1"/>
  <c r="BB19" i="120"/>
  <c r="BB186" i="120" s="1"/>
  <c r="AX19" i="120"/>
  <c r="AX186" i="120" s="1"/>
  <c r="AU19" i="120"/>
  <c r="AU186" i="120" s="1"/>
  <c r="AR19" i="120"/>
  <c r="AR186" i="120" s="1"/>
  <c r="AQ19" i="120"/>
  <c r="AQ186" i="120" s="1"/>
  <c r="AE19" i="120"/>
  <c r="AE186" i="120" s="1"/>
  <c r="AD19" i="120"/>
  <c r="AD186" i="120" s="1"/>
  <c r="Z19" i="120"/>
  <c r="Z186" i="120" s="1"/>
  <c r="W19" i="120"/>
  <c r="W186" i="120" s="1"/>
  <c r="T19" i="120"/>
  <c r="T186" i="120" s="1"/>
  <c r="S19" i="120"/>
  <c r="S186" i="120" s="1"/>
  <c r="P19" i="120"/>
  <c r="P186" i="120" s="1"/>
  <c r="O19" i="120"/>
  <c r="O186" i="120" s="1"/>
  <c r="K19" i="120"/>
  <c r="K186" i="120" s="1"/>
  <c r="H19" i="120"/>
  <c r="H186" i="120" s="1"/>
  <c r="E19" i="120"/>
  <c r="E186" i="120" s="1"/>
  <c r="D19" i="120"/>
  <c r="D186" i="120" s="1"/>
  <c r="CA18" i="120"/>
  <c r="CA185" i="120" s="1"/>
  <c r="BZ18" i="120"/>
  <c r="BZ185" i="120" s="1"/>
  <c r="BV18" i="120"/>
  <c r="BV185" i="120" s="1"/>
  <c r="BS18" i="120"/>
  <c r="BS185" i="120" s="1"/>
  <c r="BP18" i="120"/>
  <c r="BP185" i="120" s="1"/>
  <c r="BO18" i="120"/>
  <c r="BO185" i="120" s="1"/>
  <c r="BC18" i="120"/>
  <c r="BC185" i="120" s="1"/>
  <c r="BB18" i="120"/>
  <c r="BB185" i="120" s="1"/>
  <c r="AX18" i="120"/>
  <c r="AX185" i="120" s="1"/>
  <c r="AU18" i="120"/>
  <c r="AU185" i="120" s="1"/>
  <c r="AR18" i="120"/>
  <c r="AR185" i="120" s="1"/>
  <c r="AQ18" i="120"/>
  <c r="AQ185" i="120" s="1"/>
  <c r="AE18" i="120"/>
  <c r="AE185" i="120" s="1"/>
  <c r="AD18" i="120"/>
  <c r="AD185" i="120" s="1"/>
  <c r="Z18" i="120"/>
  <c r="Z185" i="120" s="1"/>
  <c r="W18" i="120"/>
  <c r="W185" i="120" s="1"/>
  <c r="T18" i="120"/>
  <c r="T185" i="120" s="1"/>
  <c r="S18" i="120"/>
  <c r="S185" i="120" s="1"/>
  <c r="P18" i="120"/>
  <c r="P185" i="120" s="1"/>
  <c r="O18" i="120"/>
  <c r="O185" i="120" s="1"/>
  <c r="K18" i="120"/>
  <c r="K185" i="120" s="1"/>
  <c r="H18" i="120"/>
  <c r="H185" i="120" s="1"/>
  <c r="E18" i="120"/>
  <c r="E185" i="120" s="1"/>
  <c r="D18" i="120"/>
  <c r="D185" i="120" s="1"/>
  <c r="CC184" i="120"/>
  <c r="BX17" i="120"/>
  <c r="BX14" i="120" s="1"/>
  <c r="BW17" i="120"/>
  <c r="BU17" i="120"/>
  <c r="BT17" i="120"/>
  <c r="BR17" i="120"/>
  <c r="BQ17" i="120"/>
  <c r="BN17" i="120"/>
  <c r="BN184" i="120" s="1"/>
  <c r="AZ17" i="120"/>
  <c r="AY17" i="120"/>
  <c r="DJ17" i="121" s="1"/>
  <c r="AW17" i="120"/>
  <c r="AV17" i="120"/>
  <c r="AT17" i="120"/>
  <c r="AS17" i="120"/>
  <c r="AP17" i="120"/>
  <c r="AP184" i="120" s="1"/>
  <c r="AB17" i="120"/>
  <c r="AA17" i="120"/>
  <c r="Y17" i="120"/>
  <c r="X17" i="120"/>
  <c r="V17" i="120"/>
  <c r="U17" i="120"/>
  <c r="R17" i="120"/>
  <c r="R184" i="120" s="1"/>
  <c r="M17" i="120"/>
  <c r="L17" i="120"/>
  <c r="J17" i="120"/>
  <c r="I17" i="120"/>
  <c r="G17" i="120"/>
  <c r="F17" i="120"/>
  <c r="CD183" i="120"/>
  <c r="CA16" i="120"/>
  <c r="CA183" i="120" s="1"/>
  <c r="BZ16" i="120"/>
  <c r="BZ183" i="120" s="1"/>
  <c r="BV16" i="120"/>
  <c r="BV183" i="120" s="1"/>
  <c r="BS16" i="120"/>
  <c r="BS183" i="120" s="1"/>
  <c r="BP16" i="120"/>
  <c r="BP183" i="120" s="1"/>
  <c r="BC16" i="120"/>
  <c r="BC183" i="120" s="1"/>
  <c r="BB16" i="120"/>
  <c r="BB183" i="120" s="1"/>
  <c r="AX16" i="120"/>
  <c r="AX183" i="120" s="1"/>
  <c r="AU16" i="120"/>
  <c r="AU183" i="120" s="1"/>
  <c r="AR16" i="120"/>
  <c r="AR183" i="120" s="1"/>
  <c r="AE16" i="120"/>
  <c r="AE183" i="120" s="1"/>
  <c r="AD16" i="120"/>
  <c r="AD183" i="120" s="1"/>
  <c r="Z16" i="120"/>
  <c r="Z183" i="120" s="1"/>
  <c r="W16" i="120"/>
  <c r="W183" i="120" s="1"/>
  <c r="T16" i="120"/>
  <c r="T183" i="120" s="1"/>
  <c r="P16" i="120"/>
  <c r="P183" i="120" s="1"/>
  <c r="O16" i="120"/>
  <c r="O183" i="120" s="1"/>
  <c r="K16" i="120"/>
  <c r="K183" i="120" s="1"/>
  <c r="H16" i="120"/>
  <c r="H183" i="120" s="1"/>
  <c r="E16" i="120"/>
  <c r="E183" i="120" s="1"/>
  <c r="CC182" i="120"/>
  <c r="CA15" i="120"/>
  <c r="CA182" i="120" s="1"/>
  <c r="BZ15" i="120"/>
  <c r="BZ182" i="120" s="1"/>
  <c r="BV15" i="120"/>
  <c r="BV182" i="120" s="1"/>
  <c r="BS15" i="120"/>
  <c r="BS182" i="120" s="1"/>
  <c r="BP15" i="120"/>
  <c r="BP182" i="120" s="1"/>
  <c r="BN15" i="120"/>
  <c r="BN182" i="120" s="1"/>
  <c r="BC15" i="120"/>
  <c r="BC182" i="120" s="1"/>
  <c r="BB15" i="120"/>
  <c r="BB182" i="120" s="1"/>
  <c r="AX15" i="120"/>
  <c r="AX182" i="120" s="1"/>
  <c r="AU15" i="120"/>
  <c r="AU182" i="120" s="1"/>
  <c r="AR15" i="120"/>
  <c r="AR182" i="120" s="1"/>
  <c r="AP15" i="120"/>
  <c r="AP182" i="120" s="1"/>
  <c r="AE15" i="120"/>
  <c r="AE182" i="120" s="1"/>
  <c r="AD15" i="120"/>
  <c r="AD182" i="120" s="1"/>
  <c r="Z15" i="120"/>
  <c r="Z182" i="120" s="1"/>
  <c r="W15" i="120"/>
  <c r="W182" i="120" s="1"/>
  <c r="T15" i="120"/>
  <c r="T182" i="120" s="1"/>
  <c r="R15" i="120"/>
  <c r="R182" i="120" s="1"/>
  <c r="P15" i="120"/>
  <c r="P182" i="120" s="1"/>
  <c r="O15" i="120"/>
  <c r="O182" i="120" s="1"/>
  <c r="K15" i="120"/>
  <c r="K182" i="120" s="1"/>
  <c r="H15" i="120"/>
  <c r="H182" i="120" s="1"/>
  <c r="E15" i="120"/>
  <c r="E182" i="120" s="1"/>
  <c r="D15" i="120"/>
  <c r="D182" i="120" s="1"/>
  <c r="C15" i="120"/>
  <c r="C182" i="120" s="1"/>
  <c r="BX11" i="120"/>
  <c r="BX178" i="120" s="1"/>
  <c r="BW11" i="120"/>
  <c r="BW178" i="120" s="1"/>
  <c r="BU11" i="120"/>
  <c r="BU178" i="120" s="1"/>
  <c r="BT11" i="120"/>
  <c r="BT178" i="120" s="1"/>
  <c r="BR11" i="120"/>
  <c r="BR178" i="120" s="1"/>
  <c r="BQ11" i="120"/>
  <c r="BQ178" i="120" s="1"/>
  <c r="AZ11" i="120"/>
  <c r="AZ178" i="120" s="1"/>
  <c r="AY11" i="120"/>
  <c r="AY178" i="120" s="1"/>
  <c r="AW11" i="120"/>
  <c r="AW178" i="120" s="1"/>
  <c r="AV11" i="120"/>
  <c r="AV178" i="120" s="1"/>
  <c r="AT11" i="120"/>
  <c r="AT178" i="120" s="1"/>
  <c r="AS11" i="120"/>
  <c r="AS178" i="120" s="1"/>
  <c r="AB11" i="120"/>
  <c r="AB178" i="120" s="1"/>
  <c r="AA11" i="120"/>
  <c r="AA178" i="120" s="1"/>
  <c r="Y11" i="120"/>
  <c r="Y178" i="120" s="1"/>
  <c r="X11" i="120"/>
  <c r="X178" i="120" s="1"/>
  <c r="V11" i="120"/>
  <c r="V178" i="120" s="1"/>
  <c r="U11" i="120"/>
  <c r="U178" i="120" s="1"/>
  <c r="M11" i="120"/>
  <c r="M178" i="120" s="1"/>
  <c r="L11" i="120"/>
  <c r="L178" i="120" s="1"/>
  <c r="J11" i="120"/>
  <c r="J178" i="120" s="1"/>
  <c r="I11" i="120"/>
  <c r="I178" i="120" s="1"/>
  <c r="G11" i="120"/>
  <c r="G178" i="120" s="1"/>
  <c r="F11" i="120"/>
  <c r="F178" i="120" s="1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6" i="120"/>
  <c r="CC176" i="120"/>
  <c r="CA9" i="120"/>
  <c r="CA176" i="120" s="1"/>
  <c r="BZ9" i="120"/>
  <c r="BZ176" i="120" s="1"/>
  <c r="BV9" i="120"/>
  <c r="BV176" i="120" s="1"/>
  <c r="BS9" i="120"/>
  <c r="BS176" i="120" s="1"/>
  <c r="BP9" i="120"/>
  <c r="BP176" i="120" s="1"/>
  <c r="BC9" i="120"/>
  <c r="BC176" i="120" s="1"/>
  <c r="BB9" i="120"/>
  <c r="BB176" i="120" s="1"/>
  <c r="AX9" i="120"/>
  <c r="AX176" i="120" s="1"/>
  <c r="AU9" i="120"/>
  <c r="AU176" i="120" s="1"/>
  <c r="AR9" i="120"/>
  <c r="AR176" i="120" s="1"/>
  <c r="AQ9" i="120"/>
  <c r="AQ176" i="120" s="1"/>
  <c r="AE9" i="120"/>
  <c r="AE176" i="120" s="1"/>
  <c r="AD9" i="120"/>
  <c r="AD176" i="120" s="1"/>
  <c r="Z9" i="120"/>
  <c r="Z176" i="120" s="1"/>
  <c r="W9" i="120"/>
  <c r="W176" i="120" s="1"/>
  <c r="T9" i="120"/>
  <c r="T176" i="120" s="1"/>
  <c r="S9" i="120"/>
  <c r="S176" i="120" s="1"/>
  <c r="P9" i="120"/>
  <c r="P176" i="120" s="1"/>
  <c r="O9" i="120"/>
  <c r="O176" i="120" s="1"/>
  <c r="K9" i="120"/>
  <c r="K176" i="120" s="1"/>
  <c r="H9" i="120"/>
  <c r="H176" i="120" s="1"/>
  <c r="E9" i="120"/>
  <c r="E176" i="120" s="1"/>
  <c r="D9" i="120"/>
  <c r="D176" i="120" s="1"/>
  <c r="C9" i="120"/>
  <c r="C176" i="120" s="1"/>
  <c r="CA8" i="120"/>
  <c r="CA175" i="120" s="1"/>
  <c r="BZ8" i="120"/>
  <c r="BZ175" i="120" s="1"/>
  <c r="BV8" i="120"/>
  <c r="BV175" i="120" s="1"/>
  <c r="BS8" i="120"/>
  <c r="BS175" i="120" s="1"/>
  <c r="BP8" i="120"/>
  <c r="BP175" i="120" s="1"/>
  <c r="BC8" i="120"/>
  <c r="BC175" i="120" s="1"/>
  <c r="BB8" i="120"/>
  <c r="BB175" i="120" s="1"/>
  <c r="AX8" i="120"/>
  <c r="AX175" i="120" s="1"/>
  <c r="AU8" i="120"/>
  <c r="AU175" i="120" s="1"/>
  <c r="AR8" i="120"/>
  <c r="AR175" i="120" s="1"/>
  <c r="AE8" i="120"/>
  <c r="AE175" i="120" s="1"/>
  <c r="AD8" i="120"/>
  <c r="AD175" i="120" s="1"/>
  <c r="Z8" i="120"/>
  <c r="Z175" i="120" s="1"/>
  <c r="W8" i="120"/>
  <c r="W175" i="120" s="1"/>
  <c r="T8" i="120"/>
  <c r="T175" i="120" s="1"/>
  <c r="P8" i="120"/>
  <c r="P175" i="120" s="1"/>
  <c r="O8" i="120"/>
  <c r="O175" i="120" s="1"/>
  <c r="K8" i="120"/>
  <c r="K175" i="120" s="1"/>
  <c r="H8" i="120"/>
  <c r="H175" i="120" s="1"/>
  <c r="E8" i="120"/>
  <c r="E175" i="120" s="1"/>
  <c r="BB195" i="120" l="1"/>
  <c r="AR266" i="120"/>
  <c r="BB128" i="120"/>
  <c r="Y36" i="120"/>
  <c r="Y28" i="120" s="1"/>
  <c r="AY70" i="120"/>
  <c r="BX129" i="120"/>
  <c r="BX122" i="120" s="1"/>
  <c r="I70" i="120"/>
  <c r="BY57" i="120"/>
  <c r="AB70" i="120"/>
  <c r="BX70" i="120"/>
  <c r="Y105" i="120"/>
  <c r="Y98" i="120" s="1"/>
  <c r="R9" i="120"/>
  <c r="R176" i="120" s="1"/>
  <c r="CB9" i="120"/>
  <c r="CB176" i="120" s="1"/>
  <c r="AP16" i="120"/>
  <c r="AP183" i="120" s="1"/>
  <c r="AZ14" i="120"/>
  <c r="DK17" i="121"/>
  <c r="E243" i="120"/>
  <c r="AD243" i="120"/>
  <c r="BS243" i="120"/>
  <c r="K262" i="120"/>
  <c r="W262" i="120"/>
  <c r="AR262" i="120"/>
  <c r="BC262" i="120"/>
  <c r="O263" i="120"/>
  <c r="Z263" i="120"/>
  <c r="AU263" i="120"/>
  <c r="BP263" i="120"/>
  <c r="E264" i="120"/>
  <c r="P264" i="120"/>
  <c r="AD264" i="120"/>
  <c r="AX264" i="120"/>
  <c r="BS264" i="120"/>
  <c r="CB264" i="120"/>
  <c r="D266" i="120"/>
  <c r="Z266" i="120"/>
  <c r="AU266" i="120"/>
  <c r="BP266" i="120"/>
  <c r="CA266" i="120"/>
  <c r="P268" i="120"/>
  <c r="BY63" i="120"/>
  <c r="Y52" i="120"/>
  <c r="B74" i="120"/>
  <c r="AC96" i="120"/>
  <c r="BA99" i="120"/>
  <c r="L129" i="120"/>
  <c r="AA265" i="120"/>
  <c r="AV265" i="120"/>
  <c r="BW265" i="120"/>
  <c r="CB31" i="120"/>
  <c r="AU197" i="120"/>
  <c r="BP197" i="120"/>
  <c r="H198" i="120"/>
  <c r="BB198" i="120"/>
  <c r="P201" i="120"/>
  <c r="BS201" i="120"/>
  <c r="BS202" i="120" s="1"/>
  <c r="D241" i="120"/>
  <c r="Z241" i="120"/>
  <c r="AU241" i="120"/>
  <c r="CA241" i="120"/>
  <c r="E245" i="120"/>
  <c r="AX245" i="120"/>
  <c r="BS245" i="120"/>
  <c r="T254" i="120"/>
  <c r="AE254" i="120"/>
  <c r="BB254" i="120"/>
  <c r="BV254" i="120"/>
  <c r="H266" i="120"/>
  <c r="T266" i="120"/>
  <c r="AE266" i="120"/>
  <c r="BB266" i="120"/>
  <c r="BV266" i="120"/>
  <c r="J61" i="120"/>
  <c r="F260" i="120"/>
  <c r="D249" i="120"/>
  <c r="AK95" i="120"/>
  <c r="BI95" i="120" s="1"/>
  <c r="CG95" i="120" s="1"/>
  <c r="CJ95" i="120" s="1"/>
  <c r="W267" i="120"/>
  <c r="AR267" i="120"/>
  <c r="BC267" i="120"/>
  <c r="P116" i="120"/>
  <c r="AB105" i="120"/>
  <c r="AB98" i="120" s="1"/>
  <c r="FH56" i="121"/>
  <c r="BN9" i="120"/>
  <c r="BN176" i="120" s="1"/>
  <c r="AP9" i="120"/>
  <c r="CC183" i="120"/>
  <c r="CC21" i="120"/>
  <c r="CC188" i="120" s="1"/>
  <c r="BC198" i="120"/>
  <c r="BZ198" i="120"/>
  <c r="H200" i="120"/>
  <c r="AE200" i="120"/>
  <c r="AK37" i="120"/>
  <c r="BI37" i="120" s="1"/>
  <c r="CG37" i="120" s="1"/>
  <c r="CJ37" i="120" s="1"/>
  <c r="AC37" i="120"/>
  <c r="N38" i="120"/>
  <c r="P241" i="120"/>
  <c r="AD241" i="120"/>
  <c r="AX241" i="120"/>
  <c r="CB241" i="120"/>
  <c r="C254" i="120"/>
  <c r="K254" i="120"/>
  <c r="AR254" i="120"/>
  <c r="BZ254" i="120"/>
  <c r="H262" i="120"/>
  <c r="T262" i="120"/>
  <c r="BB262" i="120"/>
  <c r="BV262" i="120"/>
  <c r="H49" i="120"/>
  <c r="H60" i="120"/>
  <c r="T60" i="120"/>
  <c r="AY260" i="120"/>
  <c r="J70" i="120"/>
  <c r="V70" i="120"/>
  <c r="AE70" i="120" s="1"/>
  <c r="AW70" i="120"/>
  <c r="CA88" i="120"/>
  <c r="P93" i="120"/>
  <c r="D267" i="120"/>
  <c r="Z267" i="120"/>
  <c r="AU267" i="120"/>
  <c r="CA267" i="120"/>
  <c r="E269" i="120"/>
  <c r="AX269" i="120"/>
  <c r="BS269" i="120"/>
  <c r="Z118" i="120"/>
  <c r="AU118" i="120"/>
  <c r="AC123" i="120"/>
  <c r="Y265" i="120"/>
  <c r="BU265" i="120"/>
  <c r="T243" i="120"/>
  <c r="AC102" i="120"/>
  <c r="T195" i="120"/>
  <c r="T200" i="120"/>
  <c r="K198" i="120"/>
  <c r="I265" i="120"/>
  <c r="E200" i="120"/>
  <c r="BT14" i="120"/>
  <c r="AK32" i="120"/>
  <c r="AS36" i="120"/>
  <c r="H68" i="120"/>
  <c r="BY69" i="120"/>
  <c r="AJ99" i="120"/>
  <c r="BH99" i="120" s="1"/>
  <c r="L265" i="120"/>
  <c r="X265" i="120"/>
  <c r="AS265" i="120"/>
  <c r="BA144" i="120"/>
  <c r="BA210" i="120" s="1"/>
  <c r="AU198" i="120"/>
  <c r="BP198" i="120"/>
  <c r="CA198" i="120"/>
  <c r="BY33" i="120"/>
  <c r="BY34" i="120"/>
  <c r="BQ36" i="120"/>
  <c r="BQ28" i="120" s="1"/>
  <c r="BW61" i="120"/>
  <c r="G70" i="120"/>
  <c r="E70" i="120" s="1"/>
  <c r="M70" i="120"/>
  <c r="AT70" i="120"/>
  <c r="AZ70" i="120"/>
  <c r="AX70" i="120" s="1"/>
  <c r="BU70" i="120"/>
  <c r="BS70" i="120" s="1"/>
  <c r="AK99" i="120"/>
  <c r="BI99" i="120" s="1"/>
  <c r="CG99" i="120" s="1"/>
  <c r="CJ99" i="120" s="1"/>
  <c r="BA101" i="120"/>
  <c r="AS105" i="120"/>
  <c r="AS98" i="120" s="1"/>
  <c r="AK125" i="120"/>
  <c r="AN125" i="120" s="1"/>
  <c r="AC125" i="120"/>
  <c r="AJ126" i="120"/>
  <c r="AH66" i="121"/>
  <c r="W48" i="121"/>
  <c r="BA48" i="121"/>
  <c r="DI48" i="121"/>
  <c r="EY48" i="121"/>
  <c r="W49" i="121"/>
  <c r="BA49" i="121"/>
  <c r="DI49" i="121"/>
  <c r="EY49" i="121"/>
  <c r="W50" i="121"/>
  <c r="BA50" i="121"/>
  <c r="DI50" i="121"/>
  <c r="EY50" i="121"/>
  <c r="W51" i="121"/>
  <c r="BA51" i="121"/>
  <c r="DI51" i="121"/>
  <c r="EY51" i="121"/>
  <c r="AC74" i="120"/>
  <c r="U70" i="120"/>
  <c r="U52" i="120" s="1"/>
  <c r="AV70" i="120"/>
  <c r="CB93" i="120"/>
  <c r="BY96" i="120"/>
  <c r="BJ66" i="121"/>
  <c r="CZ66" i="121"/>
  <c r="R84" i="120"/>
  <c r="R259" i="120" s="1"/>
  <c r="M52" i="120"/>
  <c r="BA89" i="120"/>
  <c r="N91" i="120"/>
  <c r="AC92" i="120"/>
  <c r="N106" i="120"/>
  <c r="AI106" i="120" s="1"/>
  <c r="AC106" i="120"/>
  <c r="AK107" i="120"/>
  <c r="BA107" i="120"/>
  <c r="N109" i="120"/>
  <c r="N206" i="120" s="1"/>
  <c r="L105" i="120"/>
  <c r="L98" i="120" s="1"/>
  <c r="X105" i="120"/>
  <c r="X98" i="120" s="1"/>
  <c r="AK131" i="120"/>
  <c r="BY133" i="120"/>
  <c r="AK135" i="120"/>
  <c r="AB129" i="120"/>
  <c r="AB122" i="120" s="1"/>
  <c r="N137" i="120"/>
  <c r="BP138" i="120"/>
  <c r="N140" i="120"/>
  <c r="BY140" i="120"/>
  <c r="FH60" i="121"/>
  <c r="F14" i="120"/>
  <c r="F159" i="120" s="1"/>
  <c r="BV17" i="120"/>
  <c r="BV184" i="120" s="1"/>
  <c r="Z200" i="120"/>
  <c r="AU200" i="120"/>
  <c r="BY39" i="120"/>
  <c r="BY240" i="120" s="1"/>
  <c r="H241" i="120"/>
  <c r="T241" i="120"/>
  <c r="AE241" i="120"/>
  <c r="BV241" i="120"/>
  <c r="K242" i="120"/>
  <c r="W242" i="120"/>
  <c r="P49" i="120"/>
  <c r="AC154" i="120"/>
  <c r="AC220" i="120" s="1"/>
  <c r="W68" i="121"/>
  <c r="J265" i="120"/>
  <c r="AB265" i="120"/>
  <c r="BR265" i="120"/>
  <c r="M265" i="120"/>
  <c r="AT265" i="120"/>
  <c r="AZ265" i="120"/>
  <c r="X14" i="120"/>
  <c r="K195" i="120"/>
  <c r="W195" i="120"/>
  <c r="AR195" i="120"/>
  <c r="BC195" i="120"/>
  <c r="BZ195" i="120"/>
  <c r="H196" i="120"/>
  <c r="T196" i="120"/>
  <c r="AC30" i="120"/>
  <c r="BB196" i="120"/>
  <c r="BV196" i="120"/>
  <c r="P197" i="120"/>
  <c r="AD197" i="120"/>
  <c r="AX197" i="120"/>
  <c r="BS197" i="120"/>
  <c r="CD203" i="120"/>
  <c r="CD207" i="120" s="1"/>
  <c r="BA38" i="120"/>
  <c r="C43" i="120"/>
  <c r="Z45" i="120"/>
  <c r="BV45" i="120"/>
  <c r="BZ45" i="120"/>
  <c r="BC49" i="120"/>
  <c r="D49" i="120"/>
  <c r="BY55" i="120"/>
  <c r="BA57" i="120"/>
  <c r="G61" i="120"/>
  <c r="BV64" i="120"/>
  <c r="AK71" i="120"/>
  <c r="BI71" i="120" s="1"/>
  <c r="BA71" i="120"/>
  <c r="BY73" i="120"/>
  <c r="BY74" i="120"/>
  <c r="AC81" i="120"/>
  <c r="AK84" i="120"/>
  <c r="BY86" i="120"/>
  <c r="Z88" i="120"/>
  <c r="N89" i="120"/>
  <c r="AK91" i="120"/>
  <c r="BI91" i="120" s="1"/>
  <c r="CG91" i="120" s="1"/>
  <c r="CJ91" i="120" s="1"/>
  <c r="BA91" i="120"/>
  <c r="N107" i="120"/>
  <c r="BA109" i="120"/>
  <c r="BA250" i="120" s="1"/>
  <c r="BA110" i="120"/>
  <c r="N131" i="120"/>
  <c r="BA134" i="120"/>
  <c r="AX136" i="120"/>
  <c r="BU129" i="120"/>
  <c r="BU122" i="120" s="1"/>
  <c r="AK137" i="120"/>
  <c r="BI137" i="120" s="1"/>
  <c r="BA137" i="120"/>
  <c r="AR138" i="120"/>
  <c r="BT129" i="120"/>
  <c r="BT122" i="120" s="1"/>
  <c r="BS122" i="120" s="1"/>
  <c r="CB138" i="120"/>
  <c r="AC140" i="120"/>
  <c r="AC141" i="120"/>
  <c r="DI60" i="121"/>
  <c r="BU61" i="121"/>
  <c r="FS61" i="121"/>
  <c r="BU62" i="121"/>
  <c r="FS62" i="121"/>
  <c r="BU63" i="121"/>
  <c r="N68" i="121"/>
  <c r="BJ68" i="121"/>
  <c r="CZ68" i="121"/>
  <c r="EP68" i="121"/>
  <c r="N69" i="121"/>
  <c r="AR69" i="121"/>
  <c r="CZ69" i="121"/>
  <c r="FH69" i="121"/>
  <c r="N74" i="121"/>
  <c r="BJ74" i="121"/>
  <c r="CZ74" i="121"/>
  <c r="FH74" i="121"/>
  <c r="DT75" i="121"/>
  <c r="T227" i="120"/>
  <c r="AR35" i="120"/>
  <c r="AY14" i="120"/>
  <c r="AD17" i="120"/>
  <c r="AD184" i="120" s="1"/>
  <c r="Z195" i="120"/>
  <c r="AU195" i="120"/>
  <c r="BP195" i="120"/>
  <c r="CA195" i="120"/>
  <c r="Z198" i="120"/>
  <c r="K243" i="120"/>
  <c r="W243" i="120"/>
  <c r="AR243" i="120"/>
  <c r="BC243" i="120"/>
  <c r="F36" i="120"/>
  <c r="F28" i="120" s="1"/>
  <c r="K49" i="120"/>
  <c r="CD61" i="120"/>
  <c r="CD52" i="120" s="1"/>
  <c r="W61" i="121"/>
  <c r="BA61" i="121"/>
  <c r="DI61" i="121"/>
  <c r="EY61" i="121"/>
  <c r="W62" i="121"/>
  <c r="BA62" i="121"/>
  <c r="DI62" i="121"/>
  <c r="EY62" i="121"/>
  <c r="W63" i="121"/>
  <c r="BA63" i="121"/>
  <c r="DI63" i="121"/>
  <c r="BJ75" i="121"/>
  <c r="AB14" i="120"/>
  <c r="BB17" i="120"/>
  <c r="BB184" i="120" s="1"/>
  <c r="BY23" i="120"/>
  <c r="BY190" i="120" s="1"/>
  <c r="S39" i="120"/>
  <c r="N41" i="120"/>
  <c r="B43" i="120"/>
  <c r="I36" i="120"/>
  <c r="I28" i="120" s="1"/>
  <c r="T45" i="120"/>
  <c r="W49" i="120"/>
  <c r="AY36" i="120"/>
  <c r="AY28" i="120" s="1"/>
  <c r="BR36" i="120"/>
  <c r="BR28" i="120" s="1"/>
  <c r="AK55" i="120"/>
  <c r="AC55" i="120"/>
  <c r="BY56" i="120"/>
  <c r="BA58" i="120"/>
  <c r="BY67" i="120"/>
  <c r="BR70" i="120"/>
  <c r="BP70" i="120" s="1"/>
  <c r="AC73" i="120"/>
  <c r="BA75" i="120"/>
  <c r="K93" i="120"/>
  <c r="AS70" i="120"/>
  <c r="S96" i="120"/>
  <c r="T104" i="120"/>
  <c r="BV104" i="120"/>
  <c r="BX105" i="120"/>
  <c r="BX98" i="120" s="1"/>
  <c r="AK119" i="120"/>
  <c r="AK120" i="120"/>
  <c r="BA120" i="120"/>
  <c r="BV118" i="120"/>
  <c r="BV105" i="120" s="1"/>
  <c r="N121" i="120"/>
  <c r="AD128" i="120"/>
  <c r="Z128" i="120"/>
  <c r="BA131" i="120"/>
  <c r="AK134" i="120"/>
  <c r="S51" i="120"/>
  <c r="J52" i="120"/>
  <c r="BU52" i="120"/>
  <c r="AC23" i="120"/>
  <c r="AC190" i="120" s="1"/>
  <c r="T49" i="120"/>
  <c r="Z49" i="120"/>
  <c r="AU49" i="120"/>
  <c r="BS49" i="120"/>
  <c r="CB49" i="120"/>
  <c r="H265" i="120"/>
  <c r="BA55" i="120"/>
  <c r="AC56" i="120"/>
  <c r="AT61" i="120"/>
  <c r="AT52" i="120" s="1"/>
  <c r="Z64" i="120"/>
  <c r="AU64" i="120"/>
  <c r="BP64" i="120"/>
  <c r="BA66" i="120"/>
  <c r="AC67" i="120"/>
  <c r="T68" i="120"/>
  <c r="T261" i="120" s="1"/>
  <c r="T260" i="120" s="1"/>
  <c r="N78" i="120"/>
  <c r="R79" i="120"/>
  <c r="R247" i="120" s="1"/>
  <c r="R80" i="120"/>
  <c r="K88" i="120"/>
  <c r="AU93" i="120"/>
  <c r="AC94" i="120"/>
  <c r="BA94" i="120"/>
  <c r="BY95" i="120"/>
  <c r="BY97" i="120"/>
  <c r="AJ103" i="120"/>
  <c r="BH103" i="120" s="1"/>
  <c r="Z104" i="120"/>
  <c r="CA104" i="120"/>
  <c r="BA114" i="120"/>
  <c r="BB116" i="120"/>
  <c r="W118" i="120"/>
  <c r="BY119" i="120"/>
  <c r="AK121" i="120"/>
  <c r="BY125" i="120"/>
  <c r="BY126" i="120"/>
  <c r="T128" i="120"/>
  <c r="B130" i="120"/>
  <c r="AC132" i="120"/>
  <c r="AK133" i="120"/>
  <c r="BA133" i="120"/>
  <c r="BY135" i="120"/>
  <c r="AV129" i="120"/>
  <c r="AV122" i="120" s="1"/>
  <c r="G129" i="120"/>
  <c r="G122" i="120" s="1"/>
  <c r="K138" i="120"/>
  <c r="BA139" i="120"/>
  <c r="BY141" i="120"/>
  <c r="BU57" i="121"/>
  <c r="AD64" i="120"/>
  <c r="AK144" i="120"/>
  <c r="AX148" i="120"/>
  <c r="AX214" i="120" s="1"/>
  <c r="FS66" i="121"/>
  <c r="BA150" i="120"/>
  <c r="BA216" i="120" s="1"/>
  <c r="BA154" i="120"/>
  <c r="BA220" i="120" s="1"/>
  <c r="N48" i="121"/>
  <c r="BJ48" i="121"/>
  <c r="CZ48" i="121"/>
  <c r="FH48" i="121"/>
  <c r="N49" i="121"/>
  <c r="BJ49" i="121"/>
  <c r="CZ49" i="121"/>
  <c r="FH49" i="121"/>
  <c r="N50" i="121"/>
  <c r="BJ50" i="121"/>
  <c r="CZ50" i="121"/>
  <c r="FH50" i="121"/>
  <c r="N51" i="121"/>
  <c r="BJ51" i="121"/>
  <c r="CZ51" i="121"/>
  <c r="FH51" i="121"/>
  <c r="E57" i="121"/>
  <c r="DI57" i="121"/>
  <c r="EY57" i="121"/>
  <c r="BA74" i="121"/>
  <c r="DI74" i="121"/>
  <c r="EY74" i="121"/>
  <c r="R95" i="120"/>
  <c r="BC251" i="120"/>
  <c r="BA111" i="120"/>
  <c r="BA251" i="120" s="1"/>
  <c r="BZ118" i="120"/>
  <c r="BT105" i="120"/>
  <c r="BT98" i="120" s="1"/>
  <c r="R120" i="120"/>
  <c r="B120" i="120"/>
  <c r="S140" i="120"/>
  <c r="AH140" i="120" s="1"/>
  <c r="B140" i="120"/>
  <c r="D138" i="120"/>
  <c r="AA208" i="120"/>
  <c r="BK60" i="121" s="1"/>
  <c r="BJ60" i="121" s="1"/>
  <c r="Z142" i="120"/>
  <c r="Z208" i="120" s="1"/>
  <c r="W86" i="121"/>
  <c r="AF86" i="121" s="1"/>
  <c r="K227" i="120"/>
  <c r="EY86" i="121"/>
  <c r="BS227" i="120"/>
  <c r="T11" i="120"/>
  <c r="T178" i="120" s="1"/>
  <c r="L14" i="120"/>
  <c r="AV14" i="120"/>
  <c r="BW14" i="120"/>
  <c r="BV14" i="120" s="1"/>
  <c r="BV181" i="120" s="1"/>
  <c r="BV225" i="120" s="1"/>
  <c r="AQ15" i="120"/>
  <c r="AQ182" i="120" s="1"/>
  <c r="CB15" i="120"/>
  <c r="CB182" i="120" s="1"/>
  <c r="G14" i="120"/>
  <c r="CD184" i="120"/>
  <c r="CD21" i="120"/>
  <c r="CD188" i="120" s="1"/>
  <c r="K196" i="120"/>
  <c r="W196" i="120"/>
  <c r="AR196" i="120"/>
  <c r="BC196" i="120"/>
  <c r="BZ196" i="120"/>
  <c r="AE197" i="120"/>
  <c r="AR198" i="120"/>
  <c r="BB200" i="120"/>
  <c r="BV200" i="120"/>
  <c r="T201" i="120"/>
  <c r="AC34" i="120"/>
  <c r="BV201" i="120"/>
  <c r="AJ38" i="120"/>
  <c r="AX242" i="120"/>
  <c r="BS242" i="120"/>
  <c r="AC44" i="120"/>
  <c r="C49" i="120"/>
  <c r="CA49" i="120"/>
  <c r="BY50" i="120"/>
  <c r="D268" i="120"/>
  <c r="W268" i="120"/>
  <c r="AR268" i="120"/>
  <c r="BZ268" i="120"/>
  <c r="AJ56" i="120"/>
  <c r="BH56" i="120" s="1"/>
  <c r="CF56" i="120" s="1"/>
  <c r="CI56" i="120" s="1"/>
  <c r="AK56" i="120"/>
  <c r="BI56" i="120" s="1"/>
  <c r="CG56" i="120" s="1"/>
  <c r="CJ56" i="120" s="1"/>
  <c r="BA56" i="120"/>
  <c r="AJ57" i="120"/>
  <c r="BH57" i="120" s="1"/>
  <c r="CF57" i="120" s="1"/>
  <c r="I61" i="120"/>
  <c r="H61" i="120" s="1"/>
  <c r="V61" i="120"/>
  <c r="V52" i="120" s="1"/>
  <c r="BR61" i="120"/>
  <c r="AJ62" i="120"/>
  <c r="BH62" i="120" s="1"/>
  <c r="CF62" i="120" s="1"/>
  <c r="BA63" i="120"/>
  <c r="BA64" i="120" s="1"/>
  <c r="AK65" i="120"/>
  <c r="BI65" i="120" s="1"/>
  <c r="CG65" i="120" s="1"/>
  <c r="CJ65" i="120" s="1"/>
  <c r="BA65" i="120"/>
  <c r="N66" i="120"/>
  <c r="BA67" i="120"/>
  <c r="BA69" i="120"/>
  <c r="Z70" i="120"/>
  <c r="AK72" i="120"/>
  <c r="AK74" i="120"/>
  <c r="R87" i="120"/>
  <c r="AG87" i="120" s="1"/>
  <c r="AP87" i="120" s="1"/>
  <c r="BN87" i="120" s="1"/>
  <c r="K118" i="120"/>
  <c r="AK126" i="120"/>
  <c r="AC126" i="120"/>
  <c r="AZ129" i="120"/>
  <c r="AZ122" i="120" s="1"/>
  <c r="AE138" i="120"/>
  <c r="BP227" i="120"/>
  <c r="C257" i="120"/>
  <c r="R82" i="120"/>
  <c r="B82" i="120"/>
  <c r="B257" i="120" s="1"/>
  <c r="AD195" i="120"/>
  <c r="BS195" i="120"/>
  <c r="CA196" i="120"/>
  <c r="W197" i="120"/>
  <c r="K200" i="120"/>
  <c r="AR200" i="120"/>
  <c r="AR201" i="120"/>
  <c r="Z243" i="120"/>
  <c r="AU243" i="120"/>
  <c r="BC45" i="120"/>
  <c r="AE49" i="120"/>
  <c r="AK49" i="120" s="1"/>
  <c r="BA54" i="120"/>
  <c r="BA199" i="120" s="1"/>
  <c r="BP68" i="120"/>
  <c r="BP261" i="120" s="1"/>
  <c r="AH69" i="120"/>
  <c r="AQ69" i="120" s="1"/>
  <c r="AQ68" i="120" s="1"/>
  <c r="B75" i="120"/>
  <c r="R86" i="120"/>
  <c r="Q86" i="120" s="1"/>
  <c r="D93" i="120"/>
  <c r="S94" i="120"/>
  <c r="AH94" i="120" s="1"/>
  <c r="BZ104" i="120"/>
  <c r="BY102" i="120"/>
  <c r="BC253" i="120"/>
  <c r="BA113" i="120"/>
  <c r="BA253" i="120" s="1"/>
  <c r="AZ177" i="120"/>
  <c r="H227" i="120"/>
  <c r="BO23" i="120"/>
  <c r="BO190" i="120" s="1"/>
  <c r="R97" i="120"/>
  <c r="B97" i="120"/>
  <c r="BZ21" i="120"/>
  <c r="BZ188" i="120" s="1"/>
  <c r="K197" i="120"/>
  <c r="W200" i="120"/>
  <c r="BC200" i="120"/>
  <c r="K201" i="120"/>
  <c r="K202" i="120" s="1"/>
  <c r="BC201" i="120"/>
  <c r="AA14" i="120"/>
  <c r="AA159" i="120" s="1"/>
  <c r="CD182" i="120"/>
  <c r="Z17" i="120"/>
  <c r="Z184" i="120" s="1"/>
  <c r="CA21" i="120"/>
  <c r="CA188" i="120" s="1"/>
  <c r="AD196" i="120"/>
  <c r="CA197" i="120"/>
  <c r="AX198" i="120"/>
  <c r="BP200" i="120"/>
  <c r="CA200" i="120"/>
  <c r="O201" i="120"/>
  <c r="AU201" i="120"/>
  <c r="CA201" i="120"/>
  <c r="W241" i="120"/>
  <c r="BY40" i="120"/>
  <c r="AR242" i="120"/>
  <c r="H245" i="120"/>
  <c r="T245" i="120"/>
  <c r="BB245" i="120"/>
  <c r="BV245" i="120"/>
  <c r="E45" i="120"/>
  <c r="K45" i="120"/>
  <c r="AR45" i="120"/>
  <c r="BP45" i="120"/>
  <c r="AR49" i="120"/>
  <c r="BP49" i="120"/>
  <c r="BS268" i="120"/>
  <c r="BS265" i="120" s="1"/>
  <c r="CB268" i="120"/>
  <c r="N53" i="120"/>
  <c r="BY58" i="120"/>
  <c r="AC59" i="120"/>
  <c r="E60" i="120"/>
  <c r="AA61" i="120"/>
  <c r="AA52" i="120" s="1"/>
  <c r="AY61" i="120"/>
  <c r="AY52" i="120" s="1"/>
  <c r="BA62" i="120"/>
  <c r="AJ65" i="120"/>
  <c r="BH65" i="120" s="1"/>
  <c r="CF65" i="120" s="1"/>
  <c r="CI65" i="120" s="1"/>
  <c r="AK66" i="120"/>
  <c r="B71" i="120"/>
  <c r="BY71" i="120"/>
  <c r="D259" i="120"/>
  <c r="B84" i="120"/>
  <c r="AE269" i="120"/>
  <c r="BB269" i="120"/>
  <c r="BV269" i="120"/>
  <c r="BC252" i="120"/>
  <c r="BA112" i="120"/>
  <c r="BA252" i="120" s="1"/>
  <c r="Z136" i="120"/>
  <c r="AA129" i="120"/>
  <c r="AA122" i="120" s="1"/>
  <c r="Z122" i="120" s="1"/>
  <c r="AE221" i="120"/>
  <c r="AC155" i="120"/>
  <c r="AC221" i="120" s="1"/>
  <c r="AC72" i="120"/>
  <c r="AK73" i="120"/>
  <c r="AC77" i="120"/>
  <c r="AC246" i="120" s="1"/>
  <c r="BA78" i="120"/>
  <c r="BY82" i="120"/>
  <c r="BY257" i="120" s="1"/>
  <c r="B83" i="120"/>
  <c r="R83" i="120"/>
  <c r="R258" i="120" s="1"/>
  <c r="AX88" i="120"/>
  <c r="AJ89" i="120"/>
  <c r="BA90" i="120"/>
  <c r="AJ92" i="120"/>
  <c r="BH92" i="120" s="1"/>
  <c r="AR93" i="120"/>
  <c r="AK94" i="120"/>
  <c r="B95" i="120"/>
  <c r="N95" i="120"/>
  <c r="C267" i="120"/>
  <c r="K267" i="120"/>
  <c r="K265" i="120" s="1"/>
  <c r="T267" i="120"/>
  <c r="D269" i="120"/>
  <c r="D265" i="120" s="1"/>
  <c r="W269" i="120"/>
  <c r="AR269" i="120"/>
  <c r="BC269" i="120"/>
  <c r="N99" i="120"/>
  <c r="BY99" i="120"/>
  <c r="AK100" i="120"/>
  <c r="BA100" i="120"/>
  <c r="K104" i="120"/>
  <c r="W104" i="120"/>
  <c r="AJ107" i="120"/>
  <c r="BH107" i="120" s="1"/>
  <c r="AK108" i="120"/>
  <c r="BA108" i="120"/>
  <c r="AJ110" i="120"/>
  <c r="BH110" i="120" s="1"/>
  <c r="CF110" i="120" s="1"/>
  <c r="CI110" i="120" s="1"/>
  <c r="N114" i="120"/>
  <c r="AC114" i="120"/>
  <c r="AK115" i="120"/>
  <c r="O116" i="120"/>
  <c r="CB116" i="120"/>
  <c r="BA117" i="120"/>
  <c r="H118" i="120"/>
  <c r="H105" i="120" s="1"/>
  <c r="AX118" i="120"/>
  <c r="AX105" i="120" s="1"/>
  <c r="BS118" i="120"/>
  <c r="N120" i="120"/>
  <c r="BA123" i="120"/>
  <c r="E128" i="120"/>
  <c r="AX128" i="120"/>
  <c r="BA130" i="120"/>
  <c r="AK132" i="120"/>
  <c r="BY132" i="120"/>
  <c r="B134" i="120"/>
  <c r="AC134" i="120"/>
  <c r="BV136" i="120"/>
  <c r="C138" i="120"/>
  <c r="H138" i="120"/>
  <c r="T138" i="120"/>
  <c r="Z138" i="120"/>
  <c r="BS138" i="120"/>
  <c r="AC139" i="120"/>
  <c r="AK141" i="120"/>
  <c r="W60" i="121"/>
  <c r="BA60" i="121"/>
  <c r="BY155" i="120"/>
  <c r="AI162" i="120"/>
  <c r="BG162" i="120" s="1"/>
  <c r="AV177" i="120"/>
  <c r="FH75" i="121"/>
  <c r="E249" i="120"/>
  <c r="Z249" i="120"/>
  <c r="AU249" i="120"/>
  <c r="BP249" i="120"/>
  <c r="CA249" i="120"/>
  <c r="O93" i="120"/>
  <c r="N93" i="120" s="1"/>
  <c r="AE267" i="120"/>
  <c r="BB267" i="120"/>
  <c r="BV267" i="120"/>
  <c r="Z269" i="120"/>
  <c r="BZ269" i="120"/>
  <c r="AK102" i="120"/>
  <c r="AD118" i="120"/>
  <c r="BP118" i="120"/>
  <c r="BP105" i="120" s="1"/>
  <c r="BV128" i="120"/>
  <c r="AK139" i="120"/>
  <c r="AC161" i="120"/>
  <c r="AB177" i="120"/>
  <c r="BX177" i="120"/>
  <c r="BY228" i="120"/>
  <c r="BY72" i="120"/>
  <c r="BA74" i="120"/>
  <c r="AC75" i="120"/>
  <c r="S85" i="120"/>
  <c r="AX249" i="120"/>
  <c r="BS249" i="120"/>
  <c r="CB249" i="120"/>
  <c r="BV88" i="120"/>
  <c r="AJ90" i="120"/>
  <c r="BH90" i="120" s="1"/>
  <c r="CF90" i="120" s="1"/>
  <c r="CI90" i="120" s="1"/>
  <c r="AJ91" i="120"/>
  <c r="BH91" i="120" s="1"/>
  <c r="BA92" i="120"/>
  <c r="T93" i="120"/>
  <c r="BP93" i="120"/>
  <c r="AC97" i="120"/>
  <c r="N100" i="120"/>
  <c r="AD104" i="120"/>
  <c r="AX104" i="120"/>
  <c r="BS104" i="120"/>
  <c r="BA106" i="120"/>
  <c r="AJ108" i="120"/>
  <c r="BH108" i="120" s="1"/>
  <c r="CF108" i="120" s="1"/>
  <c r="CI108" i="120" s="1"/>
  <c r="AK110" i="120"/>
  <c r="AJ115" i="120"/>
  <c r="BH115" i="120" s="1"/>
  <c r="CF115" i="120" s="1"/>
  <c r="CI115" i="120" s="1"/>
  <c r="U105" i="120"/>
  <c r="U98" i="120" s="1"/>
  <c r="AJ117" i="120"/>
  <c r="CA118" i="120"/>
  <c r="N119" i="120"/>
  <c r="AR118" i="120"/>
  <c r="AR105" i="120" s="1"/>
  <c r="AC120" i="120"/>
  <c r="BA124" i="120"/>
  <c r="N125" i="120"/>
  <c r="AI125" i="120" s="1"/>
  <c r="BZ128" i="120"/>
  <c r="S130" i="120"/>
  <c r="AH130" i="120" s="1"/>
  <c r="BY134" i="120"/>
  <c r="E136" i="120"/>
  <c r="M129" i="120"/>
  <c r="Y129" i="120"/>
  <c r="Y122" i="120" s="1"/>
  <c r="Y158" i="120" s="1"/>
  <c r="CB136" i="120"/>
  <c r="AC137" i="120"/>
  <c r="AU138" i="120"/>
  <c r="B139" i="120"/>
  <c r="N139" i="120"/>
  <c r="AK140" i="120"/>
  <c r="BY156" i="120"/>
  <c r="L177" i="120"/>
  <c r="X177" i="120"/>
  <c r="BT177" i="120"/>
  <c r="EY68" i="121"/>
  <c r="DI69" i="121"/>
  <c r="N57" i="121"/>
  <c r="FQ88" i="121"/>
  <c r="DI66" i="121"/>
  <c r="EY66" i="121"/>
  <c r="DT52" i="121"/>
  <c r="AH56" i="121"/>
  <c r="DT56" i="121"/>
  <c r="BU58" i="121"/>
  <c r="BJ58" i="121"/>
  <c r="DT58" i="121"/>
  <c r="BU64" i="121"/>
  <c r="FS64" i="121"/>
  <c r="BU65" i="121"/>
  <c r="FS65" i="121"/>
  <c r="AH67" i="121"/>
  <c r="DT67" i="121"/>
  <c r="DS68" i="121"/>
  <c r="BU70" i="121"/>
  <c r="FS70" i="121"/>
  <c r="AH71" i="121"/>
  <c r="BU72" i="121"/>
  <c r="BU73" i="121"/>
  <c r="DT73" i="121"/>
  <c r="FS73" i="121"/>
  <c r="BU75" i="121"/>
  <c r="FS75" i="121"/>
  <c r="BS87" i="121"/>
  <c r="BS88" i="121"/>
  <c r="FH66" i="121"/>
  <c r="FS48" i="121"/>
  <c r="BU49" i="121"/>
  <c r="FS49" i="121"/>
  <c r="BU50" i="121"/>
  <c r="FS50" i="121"/>
  <c r="BU51" i="121"/>
  <c r="FS51" i="121"/>
  <c r="N52" i="121"/>
  <c r="CZ52" i="121"/>
  <c r="N56" i="121"/>
  <c r="W58" i="121"/>
  <c r="BA58" i="121"/>
  <c r="DI58" i="121"/>
  <c r="EY58" i="121"/>
  <c r="FH63" i="121"/>
  <c r="W64" i="121"/>
  <c r="BA64" i="121"/>
  <c r="DI64" i="121"/>
  <c r="EY64" i="121"/>
  <c r="W65" i="121"/>
  <c r="BA65" i="121"/>
  <c r="DI65" i="121"/>
  <c r="EY65" i="121"/>
  <c r="N67" i="121"/>
  <c r="CZ67" i="121"/>
  <c r="FR67" i="121"/>
  <c r="FH67" i="121"/>
  <c r="AH68" i="121"/>
  <c r="BU68" i="121"/>
  <c r="AH69" i="121"/>
  <c r="DT69" i="121"/>
  <c r="W70" i="121"/>
  <c r="BA70" i="121"/>
  <c r="DS70" i="121"/>
  <c r="DI70" i="121"/>
  <c r="EY70" i="121"/>
  <c r="N71" i="121"/>
  <c r="BJ71" i="121"/>
  <c r="CZ71" i="121"/>
  <c r="FH71" i="121"/>
  <c r="W72" i="121"/>
  <c r="BA72" i="121"/>
  <c r="DI72" i="121"/>
  <c r="EY72" i="121"/>
  <c r="W73" i="121"/>
  <c r="BA73" i="121"/>
  <c r="DI73" i="121"/>
  <c r="EY73" i="121"/>
  <c r="AH74" i="121"/>
  <c r="BU74" i="121"/>
  <c r="W75" i="121"/>
  <c r="BA75" i="121"/>
  <c r="DI75" i="121"/>
  <c r="EY75" i="121"/>
  <c r="N85" i="121"/>
  <c r="BJ85" i="121"/>
  <c r="EP85" i="121"/>
  <c r="N151" i="120"/>
  <c r="N217" i="120" s="1"/>
  <c r="O198" i="120"/>
  <c r="E197" i="120"/>
  <c r="O197" i="120"/>
  <c r="F61" i="120"/>
  <c r="N62" i="120"/>
  <c r="E64" i="120"/>
  <c r="O196" i="120"/>
  <c r="E196" i="120"/>
  <c r="N65" i="120"/>
  <c r="E268" i="120"/>
  <c r="N117" i="120"/>
  <c r="O243" i="120"/>
  <c r="E118" i="120"/>
  <c r="E105" i="120" s="1"/>
  <c r="AJ100" i="120"/>
  <c r="BH100" i="120" s="1"/>
  <c r="CF100" i="120" s="1"/>
  <c r="O195" i="120"/>
  <c r="AJ53" i="120"/>
  <c r="BH53" i="120" s="1"/>
  <c r="CF53" i="120" s="1"/>
  <c r="N57" i="120"/>
  <c r="O60" i="120"/>
  <c r="O264" i="120"/>
  <c r="E241" i="120"/>
  <c r="AJ109" i="120"/>
  <c r="BH109" i="120" s="1"/>
  <c r="CF109" i="120" s="1"/>
  <c r="F265" i="120"/>
  <c r="O128" i="120"/>
  <c r="E201" i="120"/>
  <c r="E202" i="120" s="1"/>
  <c r="N123" i="120"/>
  <c r="T10" i="120"/>
  <c r="H11" i="120"/>
  <c r="H178" i="120" s="1"/>
  <c r="AR11" i="120"/>
  <c r="AR178" i="120" s="1"/>
  <c r="BP11" i="120"/>
  <c r="BP178" i="120" s="1"/>
  <c r="M184" i="120"/>
  <c r="Y17" i="121"/>
  <c r="X184" i="120"/>
  <c r="BB17" i="121"/>
  <c r="AB184" i="120"/>
  <c r="BL17" i="121"/>
  <c r="AT184" i="120"/>
  <c r="CS17" i="121"/>
  <c r="AY184" i="120"/>
  <c r="BQ184" i="120"/>
  <c r="EQ17" i="121"/>
  <c r="BA19" i="120"/>
  <c r="BA186" i="120" s="1"/>
  <c r="BY22" i="120"/>
  <c r="BY189" i="120" s="1"/>
  <c r="BA31" i="120"/>
  <c r="AC40" i="120"/>
  <c r="AK40" i="120"/>
  <c r="N42" i="120"/>
  <c r="AJ42" i="120"/>
  <c r="BH42" i="120" s="1"/>
  <c r="BA42" i="120"/>
  <c r="CB42" i="120"/>
  <c r="CB243" i="120" s="1"/>
  <c r="B44" i="120"/>
  <c r="S44" i="120"/>
  <c r="AH44" i="120" s="1"/>
  <c r="P45" i="120"/>
  <c r="P36" i="120" s="1"/>
  <c r="W45" i="120"/>
  <c r="AD45" i="120"/>
  <c r="AU45" i="120"/>
  <c r="BS45" i="120"/>
  <c r="N46" i="120"/>
  <c r="AJ46" i="120"/>
  <c r="BA46" i="120"/>
  <c r="N48" i="120"/>
  <c r="AJ48" i="120"/>
  <c r="BA48" i="120"/>
  <c r="E49" i="120"/>
  <c r="AB36" i="120"/>
  <c r="BT36" i="120"/>
  <c r="BT28" i="120" s="1"/>
  <c r="B50" i="120"/>
  <c r="S50" i="120"/>
  <c r="AH50" i="120" s="1"/>
  <c r="AC50" i="120"/>
  <c r="CA265" i="120"/>
  <c r="BY51" i="120"/>
  <c r="BA53" i="120"/>
  <c r="N56" i="120"/>
  <c r="N58" i="120"/>
  <c r="BY62" i="120"/>
  <c r="BY64" i="120" s="1"/>
  <c r="H64" i="120"/>
  <c r="T64" i="120"/>
  <c r="AK67" i="120"/>
  <c r="AN67" i="120" s="1"/>
  <c r="B72" i="120"/>
  <c r="BA72" i="120"/>
  <c r="R73" i="120"/>
  <c r="AG73" i="120" s="1"/>
  <c r="AK75" i="120"/>
  <c r="BI75" i="120" s="1"/>
  <c r="CG75" i="120" s="1"/>
  <c r="CJ75" i="120" s="1"/>
  <c r="S76" i="120"/>
  <c r="S248" i="120" s="1"/>
  <c r="S82" i="120"/>
  <c r="S257" i="120" s="1"/>
  <c r="AC82" i="120"/>
  <c r="S83" i="120"/>
  <c r="S258" i="120" s="1"/>
  <c r="AC83" i="120"/>
  <c r="AC258" i="120" s="1"/>
  <c r="S84" i="120"/>
  <c r="S259" i="120" s="1"/>
  <c r="B85" i="120"/>
  <c r="R85" i="120"/>
  <c r="R244" i="120" s="1"/>
  <c r="AK86" i="120"/>
  <c r="P88" i="120"/>
  <c r="C93" i="120"/>
  <c r="B93" i="120" s="1"/>
  <c r="H93" i="120"/>
  <c r="Z93" i="120"/>
  <c r="BY94" i="120"/>
  <c r="S95" i="120"/>
  <c r="AH95" i="120" s="1"/>
  <c r="AQ95" i="120" s="1"/>
  <c r="BF95" i="120" s="1"/>
  <c r="AC95" i="120"/>
  <c r="B96" i="120"/>
  <c r="R96" i="120"/>
  <c r="H104" i="120"/>
  <c r="P104" i="120"/>
  <c r="AC103" i="120"/>
  <c r="AK103" i="120"/>
  <c r="BA103" i="120"/>
  <c r="AK106" i="120"/>
  <c r="AC108" i="120"/>
  <c r="AC110" i="120"/>
  <c r="AJ114" i="120"/>
  <c r="BH114" i="120" s="1"/>
  <c r="CF114" i="120" s="1"/>
  <c r="CI114" i="120" s="1"/>
  <c r="B117" i="120"/>
  <c r="D118" i="120"/>
  <c r="AH119" i="120"/>
  <c r="BY121" i="120"/>
  <c r="N124" i="120"/>
  <c r="H128" i="120"/>
  <c r="P128" i="120"/>
  <c r="BP128" i="120"/>
  <c r="CA128" i="120"/>
  <c r="N130" i="120"/>
  <c r="B132" i="120"/>
  <c r="R132" i="120"/>
  <c r="AG132" i="120" s="1"/>
  <c r="N133" i="120"/>
  <c r="N135" i="120"/>
  <c r="K136" i="120"/>
  <c r="W136" i="120"/>
  <c r="AW129" i="120"/>
  <c r="AW122" i="120" s="1"/>
  <c r="S139" i="120"/>
  <c r="B141" i="120"/>
  <c r="R141" i="120"/>
  <c r="R138" i="120" s="1"/>
  <c r="BA141" i="120"/>
  <c r="CZ60" i="121"/>
  <c r="EY60" i="121"/>
  <c r="N143" i="120"/>
  <c r="N209" i="120" s="1"/>
  <c r="AJ143" i="120"/>
  <c r="AJ209" i="120" s="1"/>
  <c r="BA143" i="120"/>
  <c r="BA209" i="120" s="1"/>
  <c r="AC144" i="120"/>
  <c r="BY144" i="120"/>
  <c r="M65" i="121"/>
  <c r="V65" i="121" s="1"/>
  <c r="AE65" i="121" s="1"/>
  <c r="AK147" i="120"/>
  <c r="Z148" i="120"/>
  <c r="Z214" i="120" s="1"/>
  <c r="DT66" i="121"/>
  <c r="AJ151" i="120"/>
  <c r="AJ217" i="120" s="1"/>
  <c r="M71" i="121"/>
  <c r="V71" i="121" s="1"/>
  <c r="N153" i="120"/>
  <c r="N219" i="120" s="1"/>
  <c r="AJ153" i="120"/>
  <c r="AJ219" i="120" s="1"/>
  <c r="BA153" i="120"/>
  <c r="BA219" i="120" s="1"/>
  <c r="N155" i="120"/>
  <c r="N221" i="120" s="1"/>
  <c r="AK157" i="120"/>
  <c r="AK223" i="120" s="1"/>
  <c r="AI163" i="120"/>
  <c r="BG163" i="120" s="1"/>
  <c r="Q164" i="120"/>
  <c r="AF164" i="120" s="1"/>
  <c r="AS177" i="120"/>
  <c r="AY177" i="120"/>
  <c r="BU47" i="121"/>
  <c r="FS47" i="121"/>
  <c r="BU48" i="121"/>
  <c r="AR52" i="121"/>
  <c r="AA202" i="120"/>
  <c r="BK52" i="121"/>
  <c r="BJ52" i="121" s="1"/>
  <c r="EP52" i="121"/>
  <c r="BW202" i="120"/>
  <c r="FI52" i="121"/>
  <c r="FH52" i="121" s="1"/>
  <c r="O54" i="121"/>
  <c r="AS54" i="121"/>
  <c r="AV202" i="120"/>
  <c r="DA53" i="121"/>
  <c r="DS53" i="121" s="1"/>
  <c r="EQ54" i="121"/>
  <c r="U202" i="120"/>
  <c r="BQ202" i="120"/>
  <c r="BT56" i="121"/>
  <c r="AR56" i="121"/>
  <c r="BJ56" i="121"/>
  <c r="CZ56" i="121"/>
  <c r="EP56" i="121"/>
  <c r="FR56" i="121"/>
  <c r="AH57" i="121"/>
  <c r="BA57" i="121"/>
  <c r="DT57" i="121"/>
  <c r="AG58" i="121"/>
  <c r="E58" i="121"/>
  <c r="DS58" i="121"/>
  <c r="CQ58" i="121"/>
  <c r="AH61" i="121"/>
  <c r="CG61" i="121" s="1"/>
  <c r="DT61" i="121"/>
  <c r="AH62" i="121"/>
  <c r="DT62" i="121"/>
  <c r="AG63" i="121"/>
  <c r="E63" i="121"/>
  <c r="CQ63" i="121"/>
  <c r="DS63" i="121"/>
  <c r="FS63" i="121"/>
  <c r="AH64" i="121"/>
  <c r="DT64" i="121"/>
  <c r="AH65" i="121"/>
  <c r="DT65" i="121"/>
  <c r="BU67" i="121"/>
  <c r="BJ67" i="121"/>
  <c r="EP67" i="121"/>
  <c r="FS67" i="121"/>
  <c r="AR68" i="121"/>
  <c r="BT68" i="121"/>
  <c r="FR68" i="121"/>
  <c r="FH68" i="121"/>
  <c r="BT69" i="121"/>
  <c r="FR69" i="121"/>
  <c r="EP69" i="121"/>
  <c r="AH70" i="121"/>
  <c r="CQ70" i="121"/>
  <c r="DT70" i="121"/>
  <c r="BU71" i="121"/>
  <c r="DT71" i="121"/>
  <c r="FS71" i="121"/>
  <c r="AH72" i="121"/>
  <c r="DT72" i="121"/>
  <c r="FS72" i="121"/>
  <c r="AH73" i="121"/>
  <c r="AR74" i="121"/>
  <c r="BT74" i="121"/>
  <c r="EP74" i="121"/>
  <c r="FR74" i="121"/>
  <c r="AH75" i="121"/>
  <c r="BQ265" i="120"/>
  <c r="CD265" i="120"/>
  <c r="CD270" i="120" s="1"/>
  <c r="D201" i="120"/>
  <c r="D53" i="121" s="1"/>
  <c r="AU10" i="120"/>
  <c r="I184" i="120"/>
  <c r="O17" i="121"/>
  <c r="Y184" i="120"/>
  <c r="BC17" i="121"/>
  <c r="AV184" i="120"/>
  <c r="DA17" i="121"/>
  <c r="AZ184" i="120"/>
  <c r="BR184" i="120"/>
  <c r="ER17" i="121"/>
  <c r="BW184" i="120"/>
  <c r="FI17" i="121"/>
  <c r="L36" i="120"/>
  <c r="L28" i="120" s="1"/>
  <c r="X36" i="120"/>
  <c r="AZ36" i="120"/>
  <c r="P61" i="120"/>
  <c r="BP61" i="120"/>
  <c r="B63" i="120"/>
  <c r="K64" i="120"/>
  <c r="W64" i="120"/>
  <c r="S66" i="120"/>
  <c r="AH66" i="120" s="1"/>
  <c r="E68" i="120"/>
  <c r="H70" i="120"/>
  <c r="AH72" i="120"/>
  <c r="B73" i="120"/>
  <c r="BA73" i="120"/>
  <c r="R74" i="120"/>
  <c r="R242" i="120" s="1"/>
  <c r="B77" i="120"/>
  <c r="B246" i="120" s="1"/>
  <c r="S77" i="120"/>
  <c r="B79" i="120"/>
  <c r="B80" i="120"/>
  <c r="AK80" i="120"/>
  <c r="AC85" i="120"/>
  <c r="AC244" i="120" s="1"/>
  <c r="B86" i="120"/>
  <c r="B87" i="120"/>
  <c r="BB88" i="120"/>
  <c r="AG97" i="120"/>
  <c r="AP97" i="120" s="1"/>
  <c r="BE97" i="120" s="1"/>
  <c r="AC99" i="120"/>
  <c r="AR104" i="120"/>
  <c r="BY103" i="120"/>
  <c r="AE104" i="120"/>
  <c r="N111" i="120"/>
  <c r="N251" i="120" s="1"/>
  <c r="AJ111" i="120"/>
  <c r="AJ251" i="120" s="1"/>
  <c r="N113" i="120"/>
  <c r="N253" i="120" s="1"/>
  <c r="AJ113" i="120"/>
  <c r="AJ253" i="120" s="1"/>
  <c r="AK117" i="120"/>
  <c r="BI117" i="120" s="1"/>
  <c r="AE118" i="120"/>
  <c r="B119" i="120"/>
  <c r="K128" i="120"/>
  <c r="BS128" i="120"/>
  <c r="S131" i="120"/>
  <c r="AH131" i="120" s="1"/>
  <c r="AG135" i="120"/>
  <c r="BB142" i="120"/>
  <c r="M63" i="121"/>
  <c r="V63" i="121" s="1"/>
  <c r="N145" i="120"/>
  <c r="N211" i="120" s="1"/>
  <c r="AJ145" i="120"/>
  <c r="BH145" i="120" s="1"/>
  <c r="BA145" i="120"/>
  <c r="BA211" i="120" s="1"/>
  <c r="AC147" i="120"/>
  <c r="BY147" i="120"/>
  <c r="BY213" i="120" s="1"/>
  <c r="E148" i="120"/>
  <c r="E214" i="120" s="1"/>
  <c r="BU66" i="121"/>
  <c r="CG66" i="121" s="1"/>
  <c r="AC151" i="120"/>
  <c r="AC217" i="120" s="1"/>
  <c r="AK151" i="120"/>
  <c r="AK217" i="120" s="1"/>
  <c r="AK155" i="120"/>
  <c r="AK156" i="120"/>
  <c r="AC157" i="120"/>
  <c r="BY157" i="120"/>
  <c r="BY223" i="120" s="1"/>
  <c r="Q163" i="120"/>
  <c r="Y177" i="120"/>
  <c r="BU177" i="120"/>
  <c r="E47" i="121"/>
  <c r="AG47" i="121"/>
  <c r="W47" i="121"/>
  <c r="BA47" i="121"/>
  <c r="CQ47" i="121"/>
  <c r="DS47" i="121"/>
  <c r="DI47" i="121"/>
  <c r="EY47" i="121"/>
  <c r="AG48" i="121"/>
  <c r="E48" i="121"/>
  <c r="CQ48" i="121"/>
  <c r="DS48" i="121"/>
  <c r="E49" i="121"/>
  <c r="AG49" i="121"/>
  <c r="CQ49" i="121"/>
  <c r="DS49" i="121"/>
  <c r="E50" i="121"/>
  <c r="AG50" i="121"/>
  <c r="CQ50" i="121"/>
  <c r="DS50" i="121"/>
  <c r="E51" i="121"/>
  <c r="AG51" i="121"/>
  <c r="CQ51" i="121"/>
  <c r="DS51" i="121"/>
  <c r="BU52" i="121"/>
  <c r="FS52" i="121"/>
  <c r="J202" i="120"/>
  <c r="P53" i="121"/>
  <c r="N53" i="121" s="1"/>
  <c r="V202" i="120"/>
  <c r="AT53" i="121"/>
  <c r="AB202" i="120"/>
  <c r="BL53" i="121"/>
  <c r="DB54" i="121"/>
  <c r="BR202" i="120"/>
  <c r="ER53" i="121"/>
  <c r="EP53" i="121" s="1"/>
  <c r="BX202" i="120"/>
  <c r="FJ53" i="121"/>
  <c r="FJ54" i="121" s="1"/>
  <c r="Y202" i="120"/>
  <c r="BU202" i="120"/>
  <c r="BU56" i="121"/>
  <c r="FS56" i="121"/>
  <c r="BT57" i="121"/>
  <c r="AR57" i="121"/>
  <c r="BJ57" i="121"/>
  <c r="CZ57" i="121"/>
  <c r="FR57" i="121"/>
  <c r="EP57" i="121"/>
  <c r="FH57" i="121"/>
  <c r="AH58" i="121"/>
  <c r="N61" i="121"/>
  <c r="AR61" i="121"/>
  <c r="BT61" i="121"/>
  <c r="BJ61" i="121"/>
  <c r="CZ61" i="121"/>
  <c r="EP61" i="121"/>
  <c r="FR61" i="121"/>
  <c r="FH61" i="121"/>
  <c r="N62" i="121"/>
  <c r="AR62" i="121"/>
  <c r="BT62" i="121"/>
  <c r="BJ62" i="121"/>
  <c r="CZ62" i="121"/>
  <c r="BB210" i="120"/>
  <c r="AH63" i="121"/>
  <c r="DT63" i="121"/>
  <c r="EY63" i="121"/>
  <c r="N64" i="121"/>
  <c r="AR64" i="121"/>
  <c r="BT64" i="121"/>
  <c r="BJ64" i="121"/>
  <c r="CZ64" i="121"/>
  <c r="FR64" i="121"/>
  <c r="EP64" i="121"/>
  <c r="FH64" i="121"/>
  <c r="N65" i="121"/>
  <c r="AR65" i="121"/>
  <c r="BT65" i="121"/>
  <c r="BJ65" i="121"/>
  <c r="CZ65" i="121"/>
  <c r="EP65" i="121"/>
  <c r="FR65" i="121"/>
  <c r="FH65" i="121"/>
  <c r="E67" i="121"/>
  <c r="AG67" i="121"/>
  <c r="W67" i="121"/>
  <c r="BA67" i="121"/>
  <c r="CQ67" i="121"/>
  <c r="DS67" i="121"/>
  <c r="DI67" i="121"/>
  <c r="EY67" i="121"/>
  <c r="FS68" i="121"/>
  <c r="BU69" i="121"/>
  <c r="BJ69" i="121"/>
  <c r="FS69" i="121"/>
  <c r="N70" i="121"/>
  <c r="AR70" i="121"/>
  <c r="BT70" i="121"/>
  <c r="BJ70" i="121"/>
  <c r="CZ70" i="121"/>
  <c r="EP70" i="121"/>
  <c r="FR70" i="121"/>
  <c r="FH70" i="121"/>
  <c r="E71" i="121"/>
  <c r="AG71" i="121"/>
  <c r="W71" i="121"/>
  <c r="BA71" i="121"/>
  <c r="DS71" i="121"/>
  <c r="CQ71" i="121"/>
  <c r="DI71" i="121"/>
  <c r="EY71" i="121"/>
  <c r="N72" i="121"/>
  <c r="AR72" i="121"/>
  <c r="BT72" i="121"/>
  <c r="BJ72" i="121"/>
  <c r="CZ72" i="121"/>
  <c r="FR72" i="121"/>
  <c r="EP72" i="121"/>
  <c r="FH72" i="121"/>
  <c r="N73" i="121"/>
  <c r="AR73" i="121"/>
  <c r="BT73" i="121"/>
  <c r="BJ73" i="121"/>
  <c r="CZ73" i="121"/>
  <c r="EP73" i="121"/>
  <c r="FR73" i="121"/>
  <c r="FH73" i="121"/>
  <c r="FS74" i="121"/>
  <c r="N75" i="121"/>
  <c r="AR75" i="121"/>
  <c r="BT75" i="121"/>
  <c r="CZ75" i="121"/>
  <c r="EP75" i="121"/>
  <c r="FR75" i="121"/>
  <c r="AC228" i="120"/>
  <c r="N229" i="120"/>
  <c r="E87" i="121"/>
  <c r="AF87" i="121" s="1"/>
  <c r="BV227" i="120"/>
  <c r="FH87" i="121"/>
  <c r="FQ87" i="121" s="1"/>
  <c r="N230" i="120"/>
  <c r="W88" i="121"/>
  <c r="G265" i="120"/>
  <c r="G270" i="120" s="1"/>
  <c r="BC10" i="120"/>
  <c r="J184" i="120"/>
  <c r="P17" i="121"/>
  <c r="U184" i="120"/>
  <c r="AS17" i="121"/>
  <c r="AW184" i="120"/>
  <c r="DB17" i="121"/>
  <c r="BT184" i="120"/>
  <c r="EZ17" i="121"/>
  <c r="BX184" i="120"/>
  <c r="FJ17" i="121"/>
  <c r="AH18" i="120"/>
  <c r="AH185" i="120" s="1"/>
  <c r="AD21" i="120"/>
  <c r="BA29" i="120"/>
  <c r="AK30" i="120"/>
  <c r="BI30" i="120" s="1"/>
  <c r="CG30" i="120" s="1"/>
  <c r="AC32" i="120"/>
  <c r="BY32" i="120"/>
  <c r="N33" i="120"/>
  <c r="AK34" i="120"/>
  <c r="BI34" i="120" s="1"/>
  <c r="CG34" i="120" s="1"/>
  <c r="BA34" i="120"/>
  <c r="AX36" i="120"/>
  <c r="BA43" i="120"/>
  <c r="H45" i="120"/>
  <c r="N47" i="120"/>
  <c r="N263" i="120" s="1"/>
  <c r="AV36" i="120"/>
  <c r="BB49" i="120"/>
  <c r="BA49" i="120" s="1"/>
  <c r="B51" i="120"/>
  <c r="AC51" i="120"/>
  <c r="BY53" i="120"/>
  <c r="AK59" i="120"/>
  <c r="BI59" i="120" s="1"/>
  <c r="BB60" i="120"/>
  <c r="D64" i="120"/>
  <c r="O64" i="120"/>
  <c r="BC64" i="120"/>
  <c r="BB64" i="120"/>
  <c r="AW52" i="120"/>
  <c r="R71" i="120"/>
  <c r="AG71" i="120" s="1"/>
  <c r="AH73" i="120"/>
  <c r="BY75" i="120"/>
  <c r="BA77" i="120"/>
  <c r="BA246" i="120" s="1"/>
  <c r="AK78" i="120"/>
  <c r="S79" i="120"/>
  <c r="S247" i="120" s="1"/>
  <c r="AC79" i="120"/>
  <c r="AC247" i="120" s="1"/>
  <c r="S80" i="120"/>
  <c r="S255" i="120" s="1"/>
  <c r="B81" i="120"/>
  <c r="B256" i="120" s="1"/>
  <c r="R81" i="120"/>
  <c r="R256" i="120" s="1"/>
  <c r="AG84" i="120"/>
  <c r="AC86" i="120"/>
  <c r="S87" i="120"/>
  <c r="AC87" i="120"/>
  <c r="AR88" i="120"/>
  <c r="N90" i="120"/>
  <c r="N262" i="120" s="1"/>
  <c r="AK90" i="120"/>
  <c r="BI90" i="120" s="1"/>
  <c r="CF91" i="120"/>
  <c r="CI91" i="120" s="1"/>
  <c r="N92" i="120"/>
  <c r="AI92" i="120" s="1"/>
  <c r="BG92" i="120" s="1"/>
  <c r="AK92" i="120"/>
  <c r="BI92" i="120" s="1"/>
  <c r="CG92" i="120" s="1"/>
  <c r="CJ92" i="120" s="1"/>
  <c r="E93" i="120"/>
  <c r="AE93" i="120"/>
  <c r="AK93" i="120" s="1"/>
  <c r="BC93" i="120"/>
  <c r="BS93" i="120"/>
  <c r="CA93" i="120"/>
  <c r="B94" i="120"/>
  <c r="R94" i="120"/>
  <c r="S97" i="120"/>
  <c r="S269" i="120" s="1"/>
  <c r="AK97" i="120"/>
  <c r="N102" i="120"/>
  <c r="N103" i="120"/>
  <c r="AI103" i="120" s="1"/>
  <c r="AU104" i="120"/>
  <c r="BP104" i="120"/>
  <c r="Z105" i="120"/>
  <c r="AJ106" i="120"/>
  <c r="BH106" i="120" s="1"/>
  <c r="CF106" i="120" s="1"/>
  <c r="CI106" i="120" s="1"/>
  <c r="N108" i="120"/>
  <c r="N110" i="120"/>
  <c r="AK114" i="120"/>
  <c r="N115" i="120"/>
  <c r="BA115" i="120"/>
  <c r="AE116" i="120"/>
  <c r="BZ116" i="120"/>
  <c r="G105" i="120"/>
  <c r="G98" i="120" s="1"/>
  <c r="AA105" i="120"/>
  <c r="AA98" i="120" s="1"/>
  <c r="Z98" i="120" s="1"/>
  <c r="BC118" i="120"/>
  <c r="AY105" i="120"/>
  <c r="AY98" i="120" s="1"/>
  <c r="AX98" i="120" s="1"/>
  <c r="BW105" i="120"/>
  <c r="BW98" i="120" s="1"/>
  <c r="AK123" i="120"/>
  <c r="BI123" i="120" s="1"/>
  <c r="CG123" i="120" s="1"/>
  <c r="CJ123" i="120" s="1"/>
  <c r="AK124" i="120"/>
  <c r="N127" i="120"/>
  <c r="W128" i="120"/>
  <c r="AJ127" i="120"/>
  <c r="AJ128" i="120" s="1"/>
  <c r="BA127" i="120"/>
  <c r="C131" i="120"/>
  <c r="R131" i="120" s="1"/>
  <c r="Q131" i="120" s="1"/>
  <c r="N132" i="120"/>
  <c r="BA132" i="120"/>
  <c r="B133" i="120"/>
  <c r="R133" i="120"/>
  <c r="AG133" i="120" s="1"/>
  <c r="B135" i="120"/>
  <c r="BS136" i="120"/>
  <c r="CG137" i="120"/>
  <c r="CJ137" i="120" s="1"/>
  <c r="E138" i="120"/>
  <c r="O138" i="120"/>
  <c r="AX138" i="120"/>
  <c r="BY139" i="120"/>
  <c r="BA140" i="120"/>
  <c r="AX142" i="120"/>
  <c r="AX208" i="120" s="1"/>
  <c r="BV142" i="120"/>
  <c r="BV208" i="120" s="1"/>
  <c r="N146" i="120"/>
  <c r="N212" i="120" s="1"/>
  <c r="AJ146" i="120"/>
  <c r="AJ212" i="120" s="1"/>
  <c r="BA146" i="120"/>
  <c r="BA212" i="120" s="1"/>
  <c r="E66" i="121"/>
  <c r="W66" i="121"/>
  <c r="BA66" i="121"/>
  <c r="BV148" i="120"/>
  <c r="BV214" i="120" s="1"/>
  <c r="M67" i="121"/>
  <c r="V67" i="121" s="1"/>
  <c r="N149" i="120"/>
  <c r="N215" i="120" s="1"/>
  <c r="AJ149" i="120"/>
  <c r="AJ215" i="120" s="1"/>
  <c r="BA149" i="120"/>
  <c r="BA215" i="120" s="1"/>
  <c r="BY151" i="120"/>
  <c r="BY217" i="120" s="1"/>
  <c r="M70" i="121"/>
  <c r="V70" i="121" s="1"/>
  <c r="N152" i="120"/>
  <c r="N218" i="120" s="1"/>
  <c r="AJ152" i="120"/>
  <c r="AJ218" i="120" s="1"/>
  <c r="BA152" i="120"/>
  <c r="BA218" i="120" s="1"/>
  <c r="K88" i="121"/>
  <c r="T88" i="121" s="1"/>
  <c r="AO88" i="121" s="1"/>
  <c r="AA177" i="120"/>
  <c r="BQ177" i="120"/>
  <c r="BW177" i="120"/>
  <c r="AH47" i="121"/>
  <c r="DT47" i="121"/>
  <c r="AH48" i="121"/>
  <c r="DT48" i="121"/>
  <c r="AH49" i="121"/>
  <c r="DT49" i="121"/>
  <c r="AH50" i="121"/>
  <c r="DT50" i="121"/>
  <c r="AH51" i="121"/>
  <c r="DT51" i="121"/>
  <c r="AG52" i="121"/>
  <c r="W52" i="121"/>
  <c r="BA52" i="121"/>
  <c r="CQ52" i="121"/>
  <c r="AY202" i="120"/>
  <c r="DJ52" i="121"/>
  <c r="DI52" i="121" s="1"/>
  <c r="EY52" i="121"/>
  <c r="F202" i="120"/>
  <c r="F53" i="121"/>
  <c r="L202" i="120"/>
  <c r="X53" i="121"/>
  <c r="X202" i="120"/>
  <c r="BB53" i="121"/>
  <c r="CR54" i="121"/>
  <c r="BT202" i="120"/>
  <c r="EZ53" i="121"/>
  <c r="I202" i="120"/>
  <c r="AS202" i="120"/>
  <c r="E56" i="121"/>
  <c r="AG56" i="121"/>
  <c r="W56" i="121"/>
  <c r="BA56" i="121"/>
  <c r="DS56" i="121"/>
  <c r="CQ56" i="121"/>
  <c r="DI56" i="121"/>
  <c r="EY56" i="121"/>
  <c r="FS57" i="121"/>
  <c r="N58" i="121"/>
  <c r="BT58" i="121"/>
  <c r="AR58" i="121"/>
  <c r="CZ58" i="121"/>
  <c r="EP58" i="121"/>
  <c r="FR58" i="121"/>
  <c r="FH58" i="121"/>
  <c r="EP62" i="121"/>
  <c r="FR62" i="121"/>
  <c r="FH62" i="121"/>
  <c r="N63" i="121"/>
  <c r="BT63" i="121"/>
  <c r="AR63" i="121"/>
  <c r="BJ63" i="121"/>
  <c r="CZ63" i="121"/>
  <c r="E68" i="121"/>
  <c r="AG68" i="121"/>
  <c r="BA68" i="121"/>
  <c r="DI68" i="121"/>
  <c r="E69" i="121"/>
  <c r="AG69" i="121"/>
  <c r="W69" i="121"/>
  <c r="BA69" i="121"/>
  <c r="DS69" i="121"/>
  <c r="CQ69" i="121"/>
  <c r="EY69" i="121"/>
  <c r="AG74" i="121"/>
  <c r="E74" i="121"/>
  <c r="W74" i="121"/>
  <c r="CQ74" i="121"/>
  <c r="DS74" i="121"/>
  <c r="AR85" i="121"/>
  <c r="BS86" i="121"/>
  <c r="DR86" i="121"/>
  <c r="CQ85" i="121"/>
  <c r="AX227" i="120"/>
  <c r="DI87" i="121"/>
  <c r="DR87" i="121" s="1"/>
  <c r="BY229" i="120"/>
  <c r="BA230" i="120"/>
  <c r="CZ88" i="121"/>
  <c r="DR88" i="121" s="1"/>
  <c r="U265" i="120"/>
  <c r="H10" i="120"/>
  <c r="BP10" i="120"/>
  <c r="BC11" i="120"/>
  <c r="BC178" i="120" s="1"/>
  <c r="L184" i="120"/>
  <c r="X17" i="121"/>
  <c r="V184" i="120"/>
  <c r="AT17" i="121"/>
  <c r="AA184" i="120"/>
  <c r="BK17" i="121"/>
  <c r="AS184" i="120"/>
  <c r="CR17" i="121"/>
  <c r="AX17" i="120"/>
  <c r="AX184" i="120" s="1"/>
  <c r="BU184" i="120"/>
  <c r="FA17" i="121"/>
  <c r="BZ17" i="120"/>
  <c r="BZ184" i="120" s="1"/>
  <c r="AH19" i="120"/>
  <c r="AH186" i="120" s="1"/>
  <c r="BY20" i="120"/>
  <c r="BY187" i="120" s="1"/>
  <c r="AE21" i="120"/>
  <c r="AE188" i="120" s="1"/>
  <c r="AC22" i="120"/>
  <c r="AC189" i="120" s="1"/>
  <c r="BY30" i="120"/>
  <c r="BA33" i="120"/>
  <c r="AJ40" i="120"/>
  <c r="BH40" i="120" s="1"/>
  <c r="CF40" i="120" s="1"/>
  <c r="AJ41" i="120"/>
  <c r="C42" i="120"/>
  <c r="B42" i="120" s="1"/>
  <c r="BY44" i="120"/>
  <c r="O45" i="120"/>
  <c r="AJ47" i="120"/>
  <c r="BX36" i="120"/>
  <c r="M51" i="121"/>
  <c r="V51" i="121" s="1"/>
  <c r="BA59" i="120"/>
  <c r="BA60" i="120" s="1"/>
  <c r="AX64" i="120"/>
  <c r="AC71" i="120"/>
  <c r="S81" i="120"/>
  <c r="S256" i="120" s="1"/>
  <c r="E104" i="120"/>
  <c r="N112" i="120"/>
  <c r="N252" i="120" s="1"/>
  <c r="AJ112" i="120"/>
  <c r="AJ252" i="120" s="1"/>
  <c r="AU105" i="120"/>
  <c r="AJ123" i="120"/>
  <c r="BH123" i="120" s="1"/>
  <c r="BC128" i="120"/>
  <c r="AK130" i="120"/>
  <c r="AC133" i="120"/>
  <c r="AJ137" i="120"/>
  <c r="BH137" i="120" s="1"/>
  <c r="CF137" i="120" s="1"/>
  <c r="CI137" i="120" s="1"/>
  <c r="P138" i="120"/>
  <c r="BC138" i="120"/>
  <c r="CA138" i="120"/>
  <c r="B65" i="121"/>
  <c r="L65" i="121"/>
  <c r="L73" i="121"/>
  <c r="S156" i="120"/>
  <c r="S222" i="120" s="1"/>
  <c r="AQ74" i="121" s="1"/>
  <c r="K87" i="121"/>
  <c r="T87" i="121" s="1"/>
  <c r="AO87" i="121" s="1"/>
  <c r="J177" i="120"/>
  <c r="AW177" i="120"/>
  <c r="BR177" i="120"/>
  <c r="BZ187" i="120"/>
  <c r="N47" i="121"/>
  <c r="AR47" i="121"/>
  <c r="BT47" i="121"/>
  <c r="BJ47" i="121"/>
  <c r="CZ47" i="121"/>
  <c r="FR47" i="121"/>
  <c r="EP47" i="121"/>
  <c r="FH47" i="121"/>
  <c r="AR48" i="121"/>
  <c r="BT48" i="121"/>
  <c r="EP48" i="121"/>
  <c r="FQ48" i="121" s="1"/>
  <c r="FR48" i="121"/>
  <c r="AR49" i="121"/>
  <c r="BT49" i="121"/>
  <c r="EP49" i="121"/>
  <c r="FQ49" i="121" s="1"/>
  <c r="FR49" i="121"/>
  <c r="AR50" i="121"/>
  <c r="BT50" i="121"/>
  <c r="EP50" i="121"/>
  <c r="FQ50" i="121" s="1"/>
  <c r="FR50" i="121"/>
  <c r="AR51" i="121"/>
  <c r="BT51" i="121"/>
  <c r="EP51" i="121"/>
  <c r="FQ51" i="121" s="1"/>
  <c r="FR51" i="121"/>
  <c r="G202" i="120"/>
  <c r="G52" i="121"/>
  <c r="AH52" i="121" s="1"/>
  <c r="Y54" i="121"/>
  <c r="BC54" i="121"/>
  <c r="AT202" i="120"/>
  <c r="CS53" i="121"/>
  <c r="AZ202" i="120"/>
  <c r="DK53" i="121"/>
  <c r="DK54" i="121" s="1"/>
  <c r="FA54" i="121"/>
  <c r="M202" i="120"/>
  <c r="AW202" i="120"/>
  <c r="AG57" i="121"/>
  <c r="CF57" i="121" s="1"/>
  <c r="W57" i="121"/>
  <c r="CQ57" i="121"/>
  <c r="DS57" i="121"/>
  <c r="FS58" i="121"/>
  <c r="AG61" i="121"/>
  <c r="E61" i="121"/>
  <c r="DS61" i="121"/>
  <c r="CQ61" i="121"/>
  <c r="DR61" i="121" s="1"/>
  <c r="E62" i="121"/>
  <c r="AG62" i="121"/>
  <c r="CQ62" i="121"/>
  <c r="DR62" i="121" s="1"/>
  <c r="DS62" i="121"/>
  <c r="EP63" i="121"/>
  <c r="FR63" i="121"/>
  <c r="E64" i="121"/>
  <c r="AG64" i="121"/>
  <c r="CQ64" i="121"/>
  <c r="DS64" i="121"/>
  <c r="E65" i="121"/>
  <c r="AG65" i="121"/>
  <c r="DS65" i="121"/>
  <c r="CQ65" i="121"/>
  <c r="AR67" i="121"/>
  <c r="BS67" i="121" s="1"/>
  <c r="BT67" i="121"/>
  <c r="CQ68" i="121"/>
  <c r="DT68" i="121"/>
  <c r="AG70" i="121"/>
  <c r="CF70" i="121" s="1"/>
  <c r="EE70" i="121" s="1"/>
  <c r="GD70" i="121" s="1"/>
  <c r="E70" i="121"/>
  <c r="AR71" i="121"/>
  <c r="BT71" i="121"/>
  <c r="EP71" i="121"/>
  <c r="FR71" i="121"/>
  <c r="E72" i="121"/>
  <c r="AG72" i="121"/>
  <c r="CQ72" i="121"/>
  <c r="DS72" i="121"/>
  <c r="E73" i="121"/>
  <c r="AG73" i="121"/>
  <c r="DS73" i="121"/>
  <c r="CQ73" i="121"/>
  <c r="DT74" i="121"/>
  <c r="AG75" i="121"/>
  <c r="CF75" i="121" s="1"/>
  <c r="E75" i="121"/>
  <c r="CQ75" i="121"/>
  <c r="DS75" i="121"/>
  <c r="FH85" i="121"/>
  <c r="AC229" i="120"/>
  <c r="BX265" i="120"/>
  <c r="AJ20" i="120"/>
  <c r="AJ187" i="120" s="1"/>
  <c r="F184" i="120"/>
  <c r="F17" i="121"/>
  <c r="E21" i="120"/>
  <c r="E188" i="120" s="1"/>
  <c r="AK23" i="120"/>
  <c r="BI23" i="120" s="1"/>
  <c r="AK22" i="120"/>
  <c r="BI22" i="120" s="1"/>
  <c r="P21" i="120"/>
  <c r="P188" i="120" s="1"/>
  <c r="N20" i="120"/>
  <c r="N187" i="120" s="1"/>
  <c r="G184" i="120"/>
  <c r="G17" i="121"/>
  <c r="N15" i="120"/>
  <c r="N182" i="120" s="1"/>
  <c r="AJ15" i="120"/>
  <c r="AJ182" i="120" s="1"/>
  <c r="AJ9" i="120"/>
  <c r="AJ176" i="120" s="1"/>
  <c r="N9" i="120"/>
  <c r="N176" i="120" s="1"/>
  <c r="P10" i="120"/>
  <c r="P11" i="120"/>
  <c r="P178" i="120" s="1"/>
  <c r="N8" i="120"/>
  <c r="N175" i="120" s="1"/>
  <c r="AJ8" i="120"/>
  <c r="AJ175" i="120" s="1"/>
  <c r="O11" i="120"/>
  <c r="O178" i="120" s="1"/>
  <c r="O10" i="120"/>
  <c r="F177" i="120"/>
  <c r="M48" i="121"/>
  <c r="V48" i="121" s="1"/>
  <c r="M53" i="121"/>
  <c r="M64" i="121"/>
  <c r="V64" i="121" s="1"/>
  <c r="CX9" i="121"/>
  <c r="FF9" i="121"/>
  <c r="AP9" i="121"/>
  <c r="U9" i="121"/>
  <c r="FZ9" i="121"/>
  <c r="AY9" i="121"/>
  <c r="EN9" i="121"/>
  <c r="C9" i="121"/>
  <c r="BH9" i="121"/>
  <c r="EW9" i="121"/>
  <c r="L9" i="121"/>
  <c r="CO9" i="121"/>
  <c r="DG9" i="121"/>
  <c r="GJ9" i="121"/>
  <c r="FZ16" i="121"/>
  <c r="C16" i="121"/>
  <c r="EW16" i="121"/>
  <c r="AP16" i="121"/>
  <c r="FF16" i="121"/>
  <c r="L16" i="121"/>
  <c r="AY16" i="121"/>
  <c r="U16" i="121"/>
  <c r="BH16" i="121"/>
  <c r="CX16" i="121"/>
  <c r="CO16" i="121"/>
  <c r="EN16" i="121"/>
  <c r="DG16" i="121"/>
  <c r="GJ16" i="121"/>
  <c r="FZ22" i="121"/>
  <c r="L22" i="121"/>
  <c r="EN22" i="121"/>
  <c r="C22" i="121"/>
  <c r="BH22" i="121"/>
  <c r="CO22" i="121"/>
  <c r="AP22" i="121"/>
  <c r="DG22" i="121"/>
  <c r="FF22" i="121"/>
  <c r="AY22" i="121"/>
  <c r="EW22" i="121"/>
  <c r="U22" i="121"/>
  <c r="CX22" i="121"/>
  <c r="GJ22" i="121"/>
  <c r="V9" i="121"/>
  <c r="BI9" i="121"/>
  <c r="DH9" i="121"/>
  <c r="AQ9" i="121"/>
  <c r="CP9" i="121"/>
  <c r="EO9" i="121"/>
  <c r="AZ9" i="121"/>
  <c r="D9" i="121"/>
  <c r="CY9" i="121"/>
  <c r="EX9" i="121"/>
  <c r="M9" i="121"/>
  <c r="FG9" i="121"/>
  <c r="GK9" i="121"/>
  <c r="BI16" i="121"/>
  <c r="AZ16" i="121"/>
  <c r="DH16" i="121"/>
  <c r="CY16" i="121"/>
  <c r="EX16" i="121"/>
  <c r="D16" i="121"/>
  <c r="FG16" i="121"/>
  <c r="V16" i="121"/>
  <c r="EO16" i="121"/>
  <c r="M16" i="121"/>
  <c r="AQ16" i="121"/>
  <c r="CP16" i="121"/>
  <c r="GK16" i="121"/>
  <c r="CP22" i="121"/>
  <c r="V22" i="121"/>
  <c r="M22" i="121"/>
  <c r="FG22" i="121"/>
  <c r="AQ22" i="121"/>
  <c r="D22" i="121"/>
  <c r="CY22" i="121"/>
  <c r="EX22" i="121"/>
  <c r="BI22" i="121"/>
  <c r="AZ22" i="121"/>
  <c r="EO22" i="121"/>
  <c r="GK22" i="121"/>
  <c r="FZ15" i="121"/>
  <c r="AP15" i="121"/>
  <c r="CX15" i="121"/>
  <c r="U15" i="121"/>
  <c r="FF15" i="121"/>
  <c r="CO15" i="121"/>
  <c r="DG15" i="121"/>
  <c r="EN15" i="121"/>
  <c r="AY15" i="121"/>
  <c r="BH15" i="121"/>
  <c r="C15" i="121"/>
  <c r="L15" i="121"/>
  <c r="EW15" i="121"/>
  <c r="GJ15" i="121"/>
  <c r="FF17" i="121"/>
  <c r="FZ17" i="121"/>
  <c r="EN17" i="121"/>
  <c r="U17" i="121"/>
  <c r="CX17" i="121"/>
  <c r="EW17" i="121"/>
  <c r="C17" i="121"/>
  <c r="AY17" i="121"/>
  <c r="AP17" i="121"/>
  <c r="CO17" i="121"/>
  <c r="BH17" i="121"/>
  <c r="L17" i="121"/>
  <c r="DG17" i="121"/>
  <c r="AZ15" i="121"/>
  <c r="D15" i="121"/>
  <c r="DH15" i="121"/>
  <c r="DH14" i="121" s="1"/>
  <c r="DH77" i="121" s="1"/>
  <c r="CY15" i="121"/>
  <c r="EX15" i="121"/>
  <c r="FG15" i="121"/>
  <c r="M15" i="121"/>
  <c r="V15" i="121"/>
  <c r="BI15" i="121"/>
  <c r="AQ15" i="121"/>
  <c r="CP15" i="121"/>
  <c r="EO15" i="121"/>
  <c r="GK15" i="121"/>
  <c r="AZ17" i="121"/>
  <c r="M17" i="121"/>
  <c r="K17" i="121" s="1"/>
  <c r="CP17" i="121"/>
  <c r="FG17" i="121"/>
  <c r="BI17" i="121"/>
  <c r="EX17" i="121"/>
  <c r="DH17" i="121"/>
  <c r="D17" i="121"/>
  <c r="CY17" i="121"/>
  <c r="EO17" i="121"/>
  <c r="AQ17" i="121"/>
  <c r="V17" i="121"/>
  <c r="CC190" i="120"/>
  <c r="GA23" i="121"/>
  <c r="CD190" i="120"/>
  <c r="GB23" i="121"/>
  <c r="S124" i="120"/>
  <c r="AH124" i="120" s="1"/>
  <c r="B101" i="120"/>
  <c r="S23" i="120"/>
  <c r="S21" i="120" s="1"/>
  <c r="S188" i="120" s="1"/>
  <c r="AQ23" i="120"/>
  <c r="AQ190" i="120" s="1"/>
  <c r="S101" i="120"/>
  <c r="AH101" i="120" s="1"/>
  <c r="AQ101" i="120" s="1"/>
  <c r="C127" i="120"/>
  <c r="R127" i="120" s="1"/>
  <c r="B147" i="120"/>
  <c r="B213" i="120" s="1"/>
  <c r="R147" i="120"/>
  <c r="R213" i="120" s="1"/>
  <c r="AP65" i="121" s="1"/>
  <c r="S147" i="120"/>
  <c r="R155" i="120"/>
  <c r="R221" i="120" s="1"/>
  <c r="AP73" i="121" s="1"/>
  <c r="D60" i="120"/>
  <c r="D198" i="120"/>
  <c r="D50" i="121" s="1"/>
  <c r="S30" i="120"/>
  <c r="AH30" i="120" s="1"/>
  <c r="C31" i="120"/>
  <c r="R31" i="120" s="1"/>
  <c r="S34" i="120"/>
  <c r="AH34" i="120" s="1"/>
  <c r="D21" i="120"/>
  <c r="D188" i="120" s="1"/>
  <c r="CC14" i="120"/>
  <c r="R262" i="120"/>
  <c r="AQ55" i="120"/>
  <c r="BF55" i="120" s="1"/>
  <c r="BY35" i="120"/>
  <c r="AQ67" i="120"/>
  <c r="BF67" i="120" s="1"/>
  <c r="AQ58" i="120"/>
  <c r="BF58" i="120" s="1"/>
  <c r="BI67" i="120"/>
  <c r="Z177" i="120"/>
  <c r="BB177" i="120"/>
  <c r="L159" i="120"/>
  <c r="L181" i="120"/>
  <c r="L225" i="120" s="1"/>
  <c r="BX159" i="120"/>
  <c r="BX181" i="120"/>
  <c r="BX225" i="120" s="1"/>
  <c r="O238" i="120"/>
  <c r="O204" i="120"/>
  <c r="BB238" i="120"/>
  <c r="BB204" i="120"/>
  <c r="BS238" i="120"/>
  <c r="BS204" i="120"/>
  <c r="T239" i="120"/>
  <c r="T205" i="120"/>
  <c r="AX239" i="120"/>
  <c r="AX205" i="120"/>
  <c r="CC240" i="120"/>
  <c r="CB39" i="120"/>
  <c r="CB240" i="120" s="1"/>
  <c r="BB241" i="120"/>
  <c r="BA40" i="120"/>
  <c r="AK53" i="120"/>
  <c r="AC53" i="120"/>
  <c r="AH59" i="120"/>
  <c r="L261" i="120"/>
  <c r="L260" i="120" s="1"/>
  <c r="L270" i="120" s="1"/>
  <c r="K68" i="120"/>
  <c r="K261" i="120" s="1"/>
  <c r="L61" i="120"/>
  <c r="AS261" i="120"/>
  <c r="AS260" i="120" s="1"/>
  <c r="BB68" i="120"/>
  <c r="BB261" i="120" s="1"/>
  <c r="BB260" i="120" s="1"/>
  <c r="BT261" i="120"/>
  <c r="BT260" i="120" s="1"/>
  <c r="BS68" i="120"/>
  <c r="BT61" i="120"/>
  <c r="AQ72" i="120"/>
  <c r="BO72" i="120" s="1"/>
  <c r="AQ73" i="120"/>
  <c r="BO73" i="120" s="1"/>
  <c r="BZ244" i="120"/>
  <c r="BY85" i="120"/>
  <c r="P249" i="120"/>
  <c r="AK87" i="120"/>
  <c r="O269" i="120"/>
  <c r="N97" i="120"/>
  <c r="AI97" i="120" s="1"/>
  <c r="C252" i="120"/>
  <c r="B112" i="120"/>
  <c r="R112" i="120"/>
  <c r="AG112" i="120" s="1"/>
  <c r="S118" i="120"/>
  <c r="AH120" i="120"/>
  <c r="BY120" i="120"/>
  <c r="D136" i="120"/>
  <c r="S137" i="120"/>
  <c r="S136" i="120" s="1"/>
  <c r="AC8" i="120"/>
  <c r="AC175" i="120" s="1"/>
  <c r="AK8" i="120"/>
  <c r="BY8" i="120"/>
  <c r="BY175" i="120" s="1"/>
  <c r="E177" i="120"/>
  <c r="O177" i="120"/>
  <c r="AC9" i="120"/>
  <c r="AG9" i="120"/>
  <c r="AK9" i="120"/>
  <c r="AU177" i="120"/>
  <c r="BC177" i="120"/>
  <c r="BO9" i="120"/>
  <c r="BM9" i="120" s="1"/>
  <c r="BY9" i="120"/>
  <c r="E10" i="120"/>
  <c r="E11" i="120"/>
  <c r="E178" i="120" s="1"/>
  <c r="I14" i="120"/>
  <c r="M14" i="120"/>
  <c r="U14" i="120"/>
  <c r="Y14" i="120"/>
  <c r="AS14" i="120"/>
  <c r="AW14" i="120"/>
  <c r="BQ14" i="120"/>
  <c r="BU14" i="120"/>
  <c r="S15" i="120"/>
  <c r="AC15" i="120"/>
  <c r="AC182" i="120" s="1"/>
  <c r="AG15" i="120"/>
  <c r="AK15" i="120"/>
  <c r="BO15" i="120"/>
  <c r="BY15" i="120"/>
  <c r="BY182" i="120" s="1"/>
  <c r="C16" i="120"/>
  <c r="AQ16" i="120"/>
  <c r="AO16" i="120" s="1"/>
  <c r="AO183" i="120" s="1"/>
  <c r="BA16" i="120"/>
  <c r="BA183" i="120" s="1"/>
  <c r="C17" i="120"/>
  <c r="K17" i="120"/>
  <c r="K184" i="120" s="1"/>
  <c r="O17" i="120"/>
  <c r="S17" i="120"/>
  <c r="S184" i="120" s="1"/>
  <c r="W17" i="120"/>
  <c r="W184" i="120" s="1"/>
  <c r="AE17" i="120"/>
  <c r="AC17" i="120" s="1"/>
  <c r="AC184" i="120" s="1"/>
  <c r="AQ17" i="120"/>
  <c r="AQ184" i="120" s="1"/>
  <c r="AU17" i="120"/>
  <c r="AU184" i="120" s="1"/>
  <c r="BC17" i="120"/>
  <c r="BO17" i="120"/>
  <c r="BO184" i="120" s="1"/>
  <c r="BS17" i="120"/>
  <c r="BS184" i="120" s="1"/>
  <c r="CA17" i="120"/>
  <c r="BY17" i="120" s="1"/>
  <c r="BY184" i="120" s="1"/>
  <c r="BA18" i="120"/>
  <c r="BA185" i="120" s="1"/>
  <c r="N19" i="120"/>
  <c r="N186" i="120" s="1"/>
  <c r="AJ19" i="120"/>
  <c r="AC20" i="120"/>
  <c r="AC187" i="120" s="1"/>
  <c r="AK20" i="120"/>
  <c r="CC20" i="120"/>
  <c r="GA20" i="121" s="1"/>
  <c r="Z21" i="120"/>
  <c r="Z188" i="120" s="1"/>
  <c r="AX21" i="120"/>
  <c r="AX188" i="120" s="1"/>
  <c r="BB21" i="120"/>
  <c r="BV21" i="120"/>
  <c r="BV188" i="120" s="1"/>
  <c r="AH22" i="120"/>
  <c r="AP22" i="120"/>
  <c r="AP23" i="120"/>
  <c r="N29" i="120"/>
  <c r="AJ29" i="120"/>
  <c r="P196" i="120"/>
  <c r="AX196" i="120"/>
  <c r="D31" i="120"/>
  <c r="N31" i="120"/>
  <c r="Z197" i="120"/>
  <c r="AJ31" i="120"/>
  <c r="T198" i="120"/>
  <c r="AH32" i="120"/>
  <c r="AJ33" i="120"/>
  <c r="H201" i="120"/>
  <c r="H202" i="120" s="1"/>
  <c r="AD201" i="120"/>
  <c r="AD202" i="120" s="1"/>
  <c r="AD35" i="120"/>
  <c r="AX201" i="120"/>
  <c r="AX202" i="120" s="1"/>
  <c r="AX35" i="120"/>
  <c r="CC201" i="120"/>
  <c r="CB34" i="120"/>
  <c r="O35" i="120"/>
  <c r="T35" i="120"/>
  <c r="BC35" i="120"/>
  <c r="AA36" i="120"/>
  <c r="AW36" i="120"/>
  <c r="AU238" i="120"/>
  <c r="AU204" i="120"/>
  <c r="BC204" i="120"/>
  <c r="BC238" i="120"/>
  <c r="BV238" i="120"/>
  <c r="BV204" i="120"/>
  <c r="H239" i="120"/>
  <c r="H205" i="120"/>
  <c r="P239" i="120"/>
  <c r="P205" i="120"/>
  <c r="W239" i="120"/>
  <c r="W205" i="120"/>
  <c r="BP239" i="120"/>
  <c r="BP205" i="120"/>
  <c r="CA239" i="120"/>
  <c r="CA205" i="120"/>
  <c r="AK39" i="120"/>
  <c r="N40" i="120"/>
  <c r="S40" i="120"/>
  <c r="C243" i="120"/>
  <c r="AD245" i="120"/>
  <c r="AC43" i="120"/>
  <c r="AJ43" i="120"/>
  <c r="CA245" i="120"/>
  <c r="H254" i="120"/>
  <c r="BB45" i="120"/>
  <c r="D262" i="120"/>
  <c r="D45" i="120"/>
  <c r="D36" i="120" s="1"/>
  <c r="S46" i="120"/>
  <c r="Q46" i="120" s="1"/>
  <c r="CA262" i="120"/>
  <c r="BY46" i="120"/>
  <c r="CA45" i="120"/>
  <c r="AE263" i="120"/>
  <c r="AK47" i="120"/>
  <c r="AC47" i="120"/>
  <c r="B49" i="120"/>
  <c r="AX268" i="120"/>
  <c r="AX265" i="120" s="1"/>
  <c r="P199" i="120"/>
  <c r="N54" i="120"/>
  <c r="N199" i="120" s="1"/>
  <c r="BZ199" i="120"/>
  <c r="BY54" i="120"/>
  <c r="S56" i="120"/>
  <c r="AH56" i="120" s="1"/>
  <c r="AC58" i="120"/>
  <c r="AJ58" i="120"/>
  <c r="AD60" i="120"/>
  <c r="AJ59" i="120"/>
  <c r="P60" i="120"/>
  <c r="CA60" i="120"/>
  <c r="P64" i="120"/>
  <c r="N63" i="120"/>
  <c r="N64" i="120" s="1"/>
  <c r="AH68" i="120"/>
  <c r="Y261" i="120"/>
  <c r="Y260" i="120" s="1"/>
  <c r="Y270" i="120" s="1"/>
  <c r="AE68" i="120"/>
  <c r="AE261" i="120" s="1"/>
  <c r="AZ261" i="120"/>
  <c r="AZ260" i="120" s="1"/>
  <c r="AZ270" i="120" s="1"/>
  <c r="AZ61" i="120"/>
  <c r="BU261" i="120"/>
  <c r="BU260" i="120" s="1"/>
  <c r="CA68" i="120"/>
  <c r="CA261" i="120" s="1"/>
  <c r="AC69" i="120"/>
  <c r="AJ69" i="120"/>
  <c r="O248" i="120"/>
  <c r="N76" i="120"/>
  <c r="N248" i="120" s="1"/>
  <c r="AK255" i="120"/>
  <c r="BI80" i="120"/>
  <c r="AC256" i="120"/>
  <c r="AC257" i="120"/>
  <c r="S244" i="120"/>
  <c r="AH85" i="120"/>
  <c r="AQ86" i="120"/>
  <c r="O88" i="120"/>
  <c r="N88" i="120" s="1"/>
  <c r="E88" i="120"/>
  <c r="AK89" i="120"/>
  <c r="S92" i="120"/>
  <c r="AH92" i="120" s="1"/>
  <c r="BI94" i="120"/>
  <c r="CG94" i="120" s="1"/>
  <c r="CJ94" i="120" s="1"/>
  <c r="AE253" i="120"/>
  <c r="AK113" i="120"/>
  <c r="BI119" i="120"/>
  <c r="S123" i="120"/>
  <c r="AH123" i="120" s="1"/>
  <c r="AQ125" i="120"/>
  <c r="AC131" i="120"/>
  <c r="AI131" i="120" s="1"/>
  <c r="AJ131" i="120"/>
  <c r="AQ135" i="120"/>
  <c r="BF135" i="120" s="1"/>
  <c r="AJ135" i="120"/>
  <c r="AC135" i="120"/>
  <c r="AI135" i="120" s="1"/>
  <c r="BV138" i="120"/>
  <c r="BW129" i="120"/>
  <c r="AQ140" i="120"/>
  <c r="BF140" i="120" s="1"/>
  <c r="AA181" i="120"/>
  <c r="AA225" i="120" s="1"/>
  <c r="BT12" i="120"/>
  <c r="E35" i="120"/>
  <c r="W35" i="120"/>
  <c r="CA35" i="120"/>
  <c r="T36" i="120"/>
  <c r="BP36" i="120"/>
  <c r="E238" i="120"/>
  <c r="E204" i="120"/>
  <c r="AR238" i="120"/>
  <c r="AR204" i="120"/>
  <c r="CA238" i="120"/>
  <c r="CA204" i="120"/>
  <c r="AE239" i="120"/>
  <c r="AE205" i="120"/>
  <c r="AK38" i="120"/>
  <c r="BZ239" i="120"/>
  <c r="BZ205" i="120"/>
  <c r="BY38" i="120"/>
  <c r="O240" i="120"/>
  <c r="N39" i="120"/>
  <c r="N240" i="120" s="1"/>
  <c r="AD240" i="120"/>
  <c r="AJ39" i="120"/>
  <c r="BI40" i="120"/>
  <c r="AE242" i="120"/>
  <c r="AK41" i="120"/>
  <c r="AC41" i="120"/>
  <c r="P245" i="120"/>
  <c r="N43" i="120"/>
  <c r="N245" i="120" s="1"/>
  <c r="BZ245" i="120"/>
  <c r="BY43" i="120"/>
  <c r="C262" i="120"/>
  <c r="B46" i="120"/>
  <c r="AG46" i="120"/>
  <c r="AM46" i="120" s="1"/>
  <c r="C45" i="120"/>
  <c r="D263" i="120"/>
  <c r="S47" i="120"/>
  <c r="CA263" i="120"/>
  <c r="BY47" i="120"/>
  <c r="AE264" i="120"/>
  <c r="AK48" i="120"/>
  <c r="AC48" i="120"/>
  <c r="O266" i="120"/>
  <c r="N50" i="120"/>
  <c r="O268" i="120"/>
  <c r="N51" i="120"/>
  <c r="C56" i="120"/>
  <c r="BZ60" i="120"/>
  <c r="AK62" i="120"/>
  <c r="AC62" i="120"/>
  <c r="AI62" i="120" s="1"/>
  <c r="BI66" i="120"/>
  <c r="CG66" i="120" s="1"/>
  <c r="CJ66" i="120" s="1"/>
  <c r="X261" i="120"/>
  <c r="X260" i="120" s="1"/>
  <c r="X270" i="120" s="1"/>
  <c r="W68" i="120"/>
  <c r="W261" i="120" s="1"/>
  <c r="W260" i="120" s="1"/>
  <c r="X61" i="120"/>
  <c r="BO69" i="120"/>
  <c r="BO68" i="120" s="1"/>
  <c r="AJ71" i="120"/>
  <c r="N71" i="120"/>
  <c r="AJ72" i="120"/>
  <c r="N72" i="120"/>
  <c r="N239" i="120" s="1"/>
  <c r="AJ73" i="120"/>
  <c r="N73" i="120"/>
  <c r="AJ74" i="120"/>
  <c r="AJ242" i="120" s="1"/>
  <c r="N74" i="120"/>
  <c r="P247" i="120"/>
  <c r="AK79" i="120"/>
  <c r="BZ256" i="120"/>
  <c r="BY81" i="120"/>
  <c r="P258" i="120"/>
  <c r="AK83" i="120"/>
  <c r="B91" i="120"/>
  <c r="R91" i="120"/>
  <c r="AE250" i="120"/>
  <c r="AE206" i="120"/>
  <c r="AK109" i="120"/>
  <c r="R124" i="120"/>
  <c r="B124" i="120"/>
  <c r="AE128" i="120"/>
  <c r="AK127" i="120"/>
  <c r="B9" i="120"/>
  <c r="H177" i="120"/>
  <c r="P177" i="120"/>
  <c r="T177" i="120"/>
  <c r="AD177" i="120"/>
  <c r="AH9" i="120"/>
  <c r="AX177" i="120"/>
  <c r="BP177" i="120"/>
  <c r="BZ177" i="120"/>
  <c r="Z10" i="120"/>
  <c r="AD10" i="120"/>
  <c r="AX10" i="120"/>
  <c r="BB10" i="120"/>
  <c r="BV10" i="120"/>
  <c r="BZ10" i="120"/>
  <c r="Z11" i="120"/>
  <c r="Z178" i="120" s="1"/>
  <c r="AD11" i="120"/>
  <c r="AX11" i="120"/>
  <c r="AX178" i="120" s="1"/>
  <c r="BB11" i="120"/>
  <c r="BV11" i="120"/>
  <c r="BV178" i="120" s="1"/>
  <c r="BZ11" i="120"/>
  <c r="J14" i="120"/>
  <c r="V14" i="120"/>
  <c r="V12" i="120" s="1"/>
  <c r="AD14" i="120"/>
  <c r="AT14" i="120"/>
  <c r="BR14" i="120"/>
  <c r="BZ14" i="120"/>
  <c r="B15" i="120"/>
  <c r="D16" i="120"/>
  <c r="N16" i="120"/>
  <c r="N183" i="120" s="1"/>
  <c r="R16" i="120"/>
  <c r="AJ16" i="120"/>
  <c r="BN16" i="120"/>
  <c r="CB16" i="120"/>
  <c r="CB183" i="120" s="1"/>
  <c r="D17" i="120"/>
  <c r="H17" i="120"/>
  <c r="H184" i="120" s="1"/>
  <c r="P17" i="120"/>
  <c r="T17" i="120"/>
  <c r="T184" i="120" s="1"/>
  <c r="AR17" i="120"/>
  <c r="AR184" i="120" s="1"/>
  <c r="BP17" i="120"/>
  <c r="BP184" i="120" s="1"/>
  <c r="CB17" i="120"/>
  <c r="CB184" i="120" s="1"/>
  <c r="N18" i="120"/>
  <c r="N185" i="120" s="1"/>
  <c r="AJ18" i="120"/>
  <c r="AC19" i="120"/>
  <c r="AC186" i="120" s="1"/>
  <c r="AK19" i="120"/>
  <c r="BY19" i="120"/>
  <c r="BY186" i="120" s="1"/>
  <c r="CC19" i="120"/>
  <c r="GA19" i="121" s="1"/>
  <c r="AH20" i="120"/>
  <c r="K21" i="120"/>
  <c r="K188" i="120" s="1"/>
  <c r="O21" i="120"/>
  <c r="W21" i="120"/>
  <c r="W188" i="120" s="1"/>
  <c r="AU21" i="120"/>
  <c r="AU188" i="120" s="1"/>
  <c r="BC21" i="120"/>
  <c r="BC188" i="120" s="1"/>
  <c r="BS21" i="120"/>
  <c r="BS188" i="120" s="1"/>
  <c r="C22" i="120"/>
  <c r="BA22" i="120"/>
  <c r="BA189" i="120" s="1"/>
  <c r="C23" i="120"/>
  <c r="BA23" i="120"/>
  <c r="BA190" i="120" s="1"/>
  <c r="E195" i="120"/>
  <c r="AC29" i="120"/>
  <c r="AK29" i="120"/>
  <c r="BY29" i="120"/>
  <c r="AE196" i="120"/>
  <c r="BA30" i="120"/>
  <c r="BA196" i="120" s="1"/>
  <c r="BS196" i="120"/>
  <c r="AC31" i="120"/>
  <c r="AK31" i="120"/>
  <c r="BY31" i="120"/>
  <c r="CC197" i="120"/>
  <c r="W198" i="120"/>
  <c r="AE198" i="120"/>
  <c r="BA32" i="120"/>
  <c r="BI32" i="120"/>
  <c r="BS198" i="120"/>
  <c r="O200" i="120"/>
  <c r="O202" i="120" s="1"/>
  <c r="AC33" i="120"/>
  <c r="AC35" i="120" s="1"/>
  <c r="AK33" i="120"/>
  <c r="AK35" i="120" s="1"/>
  <c r="C34" i="120"/>
  <c r="W201" i="120"/>
  <c r="AE201" i="120"/>
  <c r="AE202" i="120" s="1"/>
  <c r="CD201" i="120"/>
  <c r="K35" i="120"/>
  <c r="P35" i="120"/>
  <c r="AE35" i="120"/>
  <c r="BS35" i="120"/>
  <c r="G36" i="120"/>
  <c r="M36" i="120"/>
  <c r="BC36" i="120"/>
  <c r="K238" i="120"/>
  <c r="K204" i="120"/>
  <c r="W238" i="120"/>
  <c r="W204" i="120"/>
  <c r="AE238" i="120"/>
  <c r="AE204" i="120"/>
  <c r="AJ37" i="120"/>
  <c r="BY37" i="120"/>
  <c r="K239" i="120"/>
  <c r="K205" i="120"/>
  <c r="Z239" i="120"/>
  <c r="Z205" i="120"/>
  <c r="AR239" i="120"/>
  <c r="AR205" i="120"/>
  <c r="BB239" i="120"/>
  <c r="BB205" i="120"/>
  <c r="BS239" i="120"/>
  <c r="BS205" i="120"/>
  <c r="BA39" i="120"/>
  <c r="BA240" i="120" s="1"/>
  <c r="O241" i="120"/>
  <c r="CC241" i="120"/>
  <c r="C40" i="120"/>
  <c r="C242" i="120"/>
  <c r="B41" i="120"/>
  <c r="AG41" i="120"/>
  <c r="BA41" i="120"/>
  <c r="BA242" i="120" s="1"/>
  <c r="D243" i="120"/>
  <c r="S42" i="120"/>
  <c r="AH42" i="120" s="1"/>
  <c r="CA243" i="120"/>
  <c r="BY42" i="120"/>
  <c r="R43" i="120"/>
  <c r="AG43" i="120" s="1"/>
  <c r="AE245" i="120"/>
  <c r="AK43" i="120"/>
  <c r="AD254" i="120"/>
  <c r="AJ44" i="120"/>
  <c r="AK44" i="120"/>
  <c r="BC254" i="120"/>
  <c r="BA44" i="120"/>
  <c r="AE262" i="120"/>
  <c r="AK46" i="120"/>
  <c r="AC46" i="120"/>
  <c r="AE45" i="120"/>
  <c r="C264" i="120"/>
  <c r="B48" i="120"/>
  <c r="BZ266" i="120"/>
  <c r="BZ49" i="120"/>
  <c r="AH51" i="120"/>
  <c r="BQ52" i="120"/>
  <c r="AD199" i="120"/>
  <c r="AC54" i="120"/>
  <c r="AJ54" i="120"/>
  <c r="CA199" i="120"/>
  <c r="AJ55" i="120"/>
  <c r="S57" i="120"/>
  <c r="AH57" i="120" s="1"/>
  <c r="AK58" i="120"/>
  <c r="N59" i="120"/>
  <c r="CB59" i="120"/>
  <c r="C59" i="120"/>
  <c r="S60" i="120"/>
  <c r="BC60" i="120"/>
  <c r="AC63" i="120"/>
  <c r="AJ63" i="120"/>
  <c r="AR64" i="120"/>
  <c r="CA64" i="120"/>
  <c r="B65" i="120"/>
  <c r="AG65" i="120"/>
  <c r="BY65" i="120"/>
  <c r="BY66" i="120"/>
  <c r="AJ67" i="120"/>
  <c r="I261" i="120"/>
  <c r="I260" i="120" s="1"/>
  <c r="O68" i="120"/>
  <c r="P68" i="120"/>
  <c r="U261" i="120"/>
  <c r="U260" i="120" s="1"/>
  <c r="AD68" i="120"/>
  <c r="AD261" i="120" s="1"/>
  <c r="AD260" i="120" s="1"/>
  <c r="AV261" i="120"/>
  <c r="AV260" i="120" s="1"/>
  <c r="AU68" i="120"/>
  <c r="AU261" i="120" s="1"/>
  <c r="AU260" i="120" s="1"/>
  <c r="AV61" i="120"/>
  <c r="BB61" i="120" s="1"/>
  <c r="BQ261" i="120"/>
  <c r="BQ260" i="120" s="1"/>
  <c r="BZ68" i="120"/>
  <c r="BZ261" i="120" s="1"/>
  <c r="N69" i="120"/>
  <c r="AK69" i="120"/>
  <c r="O70" i="120"/>
  <c r="K70" i="120"/>
  <c r="AF72" i="120"/>
  <c r="AP72" i="120"/>
  <c r="BE72" i="120" s="1"/>
  <c r="Q74" i="120"/>
  <c r="BZ246" i="120"/>
  <c r="BY77" i="120"/>
  <c r="AQ78" i="120"/>
  <c r="BF78" i="120" s="1"/>
  <c r="AJ78" i="120"/>
  <c r="AC78" i="120"/>
  <c r="AI78" i="120" s="1"/>
  <c r="AD255" i="120"/>
  <c r="AJ80" i="120"/>
  <c r="AC80" i="120"/>
  <c r="AD259" i="120"/>
  <c r="AJ84" i="120"/>
  <c r="AC84" i="120"/>
  <c r="AD93" i="120"/>
  <c r="W93" i="120"/>
  <c r="X70" i="120"/>
  <c r="W70" i="120" s="1"/>
  <c r="CA251" i="120"/>
  <c r="BY117" i="120"/>
  <c r="L122" i="120"/>
  <c r="BP136" i="120"/>
  <c r="BQ129" i="120"/>
  <c r="BQ203" i="120" s="1"/>
  <c r="EQ55" i="121" s="1"/>
  <c r="BZ136" i="120"/>
  <c r="AE215" i="120"/>
  <c r="AK149" i="120"/>
  <c r="C218" i="120"/>
  <c r="C70" i="121" s="1"/>
  <c r="B152" i="120"/>
  <c r="R152" i="120"/>
  <c r="AG152" i="120" s="1"/>
  <c r="AK190" i="120"/>
  <c r="AR177" i="120"/>
  <c r="BV177" i="120"/>
  <c r="AR10" i="120"/>
  <c r="L12" i="120"/>
  <c r="AZ12" i="120"/>
  <c r="BX12" i="120"/>
  <c r="AZ159" i="120"/>
  <c r="AZ181" i="120"/>
  <c r="AZ225" i="120" s="1"/>
  <c r="BT159" i="120"/>
  <c r="BT181" i="120"/>
  <c r="BT225" i="120" s="1"/>
  <c r="BA8" i="120"/>
  <c r="BA175" i="120" s="1"/>
  <c r="K177" i="120"/>
  <c r="Q9" i="120"/>
  <c r="W177" i="120"/>
  <c r="AE177" i="120"/>
  <c r="BA9" i="120"/>
  <c r="BS177" i="120"/>
  <c r="CA177" i="120"/>
  <c r="K10" i="120"/>
  <c r="W10" i="120"/>
  <c r="AE10" i="120"/>
  <c r="BS10" i="120"/>
  <c r="CA10" i="120"/>
  <c r="K11" i="120"/>
  <c r="K178" i="120" s="1"/>
  <c r="W11" i="120"/>
  <c r="W178" i="120" s="1"/>
  <c r="AE11" i="120"/>
  <c r="AU11" i="120"/>
  <c r="AU178" i="120" s="1"/>
  <c r="BS11" i="120"/>
  <c r="BS178" i="120" s="1"/>
  <c r="CA11" i="120"/>
  <c r="G12" i="120"/>
  <c r="AA12" i="120"/>
  <c r="AY12" i="120"/>
  <c r="BW12" i="120"/>
  <c r="G159" i="120"/>
  <c r="G181" i="120"/>
  <c r="G225" i="120" s="1"/>
  <c r="AY159" i="120"/>
  <c r="AY181" i="120"/>
  <c r="AY225" i="120" s="1"/>
  <c r="BW159" i="120"/>
  <c r="BW181" i="120"/>
  <c r="BW225" i="120" s="1"/>
  <c r="BA15" i="120"/>
  <c r="BA182" i="120" s="1"/>
  <c r="BM15" i="120"/>
  <c r="BM182" i="120" s="1"/>
  <c r="S16" i="120"/>
  <c r="S183" i="120" s="1"/>
  <c r="AC16" i="120"/>
  <c r="AC183" i="120" s="1"/>
  <c r="AK16" i="120"/>
  <c r="BO16" i="120"/>
  <c r="BO183" i="120" s="1"/>
  <c r="BY16" i="120"/>
  <c r="BY183" i="120" s="1"/>
  <c r="E17" i="120"/>
  <c r="E184" i="120" s="1"/>
  <c r="BA17" i="120"/>
  <c r="BA184" i="120" s="1"/>
  <c r="AC18" i="120"/>
  <c r="AC185" i="120" s="1"/>
  <c r="AK18" i="120"/>
  <c r="BY18" i="120"/>
  <c r="BY185" i="120" s="1"/>
  <c r="CC18" i="120"/>
  <c r="GA18" i="121" s="1"/>
  <c r="BA20" i="120"/>
  <c r="BA187" i="120" s="1"/>
  <c r="H21" i="120"/>
  <c r="H188" i="120" s="1"/>
  <c r="T21" i="120"/>
  <c r="T188" i="120" s="1"/>
  <c r="AR21" i="120"/>
  <c r="AR188" i="120" s="1"/>
  <c r="BP21" i="120"/>
  <c r="BP188" i="120" s="1"/>
  <c r="CB21" i="120"/>
  <c r="CB188" i="120" s="1"/>
  <c r="N22" i="120"/>
  <c r="N189" i="120" s="1"/>
  <c r="R22" i="120"/>
  <c r="AJ22" i="120"/>
  <c r="BN22" i="120"/>
  <c r="CB22" i="120"/>
  <c r="CB189" i="120" s="1"/>
  <c r="N23" i="120"/>
  <c r="N190" i="120" s="1"/>
  <c r="R23" i="120"/>
  <c r="AJ23" i="120"/>
  <c r="BN23" i="120"/>
  <c r="CB23" i="120"/>
  <c r="CB190" i="120" s="1"/>
  <c r="H28" i="120"/>
  <c r="T28" i="120"/>
  <c r="AZ28" i="120"/>
  <c r="AX28" i="120" s="1"/>
  <c r="BP28" i="120"/>
  <c r="BX28" i="120"/>
  <c r="BV28" i="120" s="1"/>
  <c r="P195" i="120"/>
  <c r="AX195" i="120"/>
  <c r="N30" i="120"/>
  <c r="AJ30" i="120"/>
  <c r="N32" i="120"/>
  <c r="AJ32" i="120"/>
  <c r="BV198" i="120"/>
  <c r="P200" i="120"/>
  <c r="P202" i="120" s="1"/>
  <c r="BZ200" i="120"/>
  <c r="N34" i="120"/>
  <c r="AI34" i="120" s="1"/>
  <c r="Z201" i="120"/>
  <c r="Z202" i="120" s="1"/>
  <c r="Z35" i="120"/>
  <c r="AJ34" i="120"/>
  <c r="BB201" i="120"/>
  <c r="BB35" i="120"/>
  <c r="BP201" i="120"/>
  <c r="BZ201" i="120"/>
  <c r="BZ202" i="120" s="1"/>
  <c r="BZ35" i="120"/>
  <c r="H35" i="120"/>
  <c r="AU35" i="120"/>
  <c r="BP35" i="120"/>
  <c r="H36" i="120"/>
  <c r="BU36" i="120"/>
  <c r="D238" i="120"/>
  <c r="D204" i="120"/>
  <c r="D56" i="121" s="1"/>
  <c r="AH37" i="120"/>
  <c r="AN37" i="120" s="1"/>
  <c r="N37" i="120"/>
  <c r="Z238" i="120"/>
  <c r="Z204" i="120"/>
  <c r="AK238" i="120"/>
  <c r="AK204" i="120"/>
  <c r="BA37" i="120"/>
  <c r="D239" i="120"/>
  <c r="D205" i="120"/>
  <c r="D57" i="121" s="1"/>
  <c r="S38" i="120"/>
  <c r="AD239" i="120"/>
  <c r="AD205" i="120"/>
  <c r="AC38" i="120"/>
  <c r="BH38" i="120"/>
  <c r="BV239" i="120"/>
  <c r="BV205" i="120"/>
  <c r="C39" i="120"/>
  <c r="AC39" i="120"/>
  <c r="CA240" i="120"/>
  <c r="BP241" i="120"/>
  <c r="BZ241" i="120"/>
  <c r="D242" i="120"/>
  <c r="S41" i="120"/>
  <c r="S242" i="120" s="1"/>
  <c r="BH41" i="120"/>
  <c r="CF41" i="120" s="1"/>
  <c r="CA242" i="120"/>
  <c r="BY41" i="120"/>
  <c r="AE243" i="120"/>
  <c r="AK42" i="120"/>
  <c r="AC42" i="120"/>
  <c r="O254" i="120"/>
  <c r="N44" i="120"/>
  <c r="C263" i="120"/>
  <c r="B47" i="120"/>
  <c r="AG47" i="120"/>
  <c r="K263" i="120"/>
  <c r="BA47" i="120"/>
  <c r="BA263" i="120" s="1"/>
  <c r="D264" i="120"/>
  <c r="S48" i="120"/>
  <c r="S264" i="120" s="1"/>
  <c r="R48" i="120"/>
  <c r="AG48" i="120" s="1"/>
  <c r="AJ264" i="120"/>
  <c r="BH48" i="120"/>
  <c r="CF48" i="120" s="1"/>
  <c r="CA264" i="120"/>
  <c r="BY48" i="120"/>
  <c r="O49" i="120"/>
  <c r="AX49" i="120"/>
  <c r="BV49" i="120"/>
  <c r="AD266" i="120"/>
  <c r="AJ50" i="120"/>
  <c r="AD49" i="120"/>
  <c r="AK50" i="120"/>
  <c r="BC266" i="120"/>
  <c r="BA50" i="120"/>
  <c r="AD268" i="120"/>
  <c r="AJ51" i="120"/>
  <c r="AK51" i="120"/>
  <c r="BC268" i="120"/>
  <c r="BA51" i="120"/>
  <c r="S53" i="120"/>
  <c r="AH53" i="120" s="1"/>
  <c r="AE199" i="120"/>
  <c r="AK54" i="120"/>
  <c r="N55" i="120"/>
  <c r="CB56" i="120"/>
  <c r="CB197" i="120" s="1"/>
  <c r="AK57" i="120"/>
  <c r="AC57" i="120"/>
  <c r="AI57" i="120" s="1"/>
  <c r="BY59" i="120"/>
  <c r="AE60" i="120"/>
  <c r="D61" i="120"/>
  <c r="S62" i="120"/>
  <c r="AH62" i="120" s="1"/>
  <c r="R63" i="120"/>
  <c r="AG63" i="120" s="1"/>
  <c r="AK63" i="120"/>
  <c r="AE64" i="120"/>
  <c r="BS64" i="120"/>
  <c r="BZ64" i="120"/>
  <c r="S65" i="120"/>
  <c r="Q65" i="120" s="1"/>
  <c r="AC65" i="120"/>
  <c r="AC66" i="120"/>
  <c r="AI66" i="120" s="1"/>
  <c r="AJ66" i="120"/>
  <c r="N67" i="120"/>
  <c r="CB67" i="120"/>
  <c r="C67" i="120"/>
  <c r="AB261" i="120"/>
  <c r="AB260" i="120" s="1"/>
  <c r="AB61" i="120"/>
  <c r="AR68" i="120"/>
  <c r="AR261" i="120" s="1"/>
  <c r="AW261" i="120"/>
  <c r="AW260" i="120" s="1"/>
  <c r="BC68" i="120"/>
  <c r="BC261" i="120" s="1"/>
  <c r="BC260" i="120" s="1"/>
  <c r="BX261" i="120"/>
  <c r="BX260" i="120" s="1"/>
  <c r="BX61" i="120"/>
  <c r="BF69" i="120"/>
  <c r="AU70" i="120"/>
  <c r="AN72" i="120"/>
  <c r="BI72" i="120"/>
  <c r="CG72" i="120" s="1"/>
  <c r="CJ72" i="120" s="1"/>
  <c r="AI73" i="120"/>
  <c r="AN73" i="120"/>
  <c r="BI73" i="120"/>
  <c r="BI74" i="120"/>
  <c r="AD248" i="120"/>
  <c r="AJ76" i="120"/>
  <c r="AC76" i="120"/>
  <c r="BC248" i="120"/>
  <c r="BA76" i="120"/>
  <c r="BA248" i="120" s="1"/>
  <c r="O255" i="120"/>
  <c r="N80" i="120"/>
  <c r="N255" i="120" s="1"/>
  <c r="O259" i="120"/>
  <c r="N84" i="120"/>
  <c r="N259" i="120" s="1"/>
  <c r="AN86" i="120"/>
  <c r="BI86" i="120"/>
  <c r="CG86" i="120" s="1"/>
  <c r="CJ86" i="120" s="1"/>
  <c r="BS261" i="120"/>
  <c r="BS260" i="120" s="1"/>
  <c r="CB88" i="120"/>
  <c r="CG90" i="120"/>
  <c r="CJ90" i="120" s="1"/>
  <c r="BV93" i="120"/>
  <c r="BW70" i="120"/>
  <c r="P267" i="120"/>
  <c r="AK96" i="120"/>
  <c r="B108" i="120"/>
  <c r="R108" i="120"/>
  <c r="AG108" i="120" s="1"/>
  <c r="BY118" i="120"/>
  <c r="AU128" i="120"/>
  <c r="AQ133" i="120"/>
  <c r="AE211" i="120"/>
  <c r="AK145" i="120"/>
  <c r="O242" i="120"/>
  <c r="AU242" i="120"/>
  <c r="BC242" i="120"/>
  <c r="W254" i="120"/>
  <c r="A104" i="120"/>
  <c r="A128" i="120"/>
  <c r="Z68" i="120"/>
  <c r="Z261" i="120" s="1"/>
  <c r="Z260" i="120" s="1"/>
  <c r="AX68" i="120"/>
  <c r="AX261" i="120" s="1"/>
  <c r="AX260" i="120" s="1"/>
  <c r="BV68" i="120"/>
  <c r="BV261" i="120" s="1"/>
  <c r="BV260" i="120" s="1"/>
  <c r="AH71" i="120"/>
  <c r="AH74" i="120"/>
  <c r="R75" i="120"/>
  <c r="AH75" i="120"/>
  <c r="AK76" i="120"/>
  <c r="BY76" i="120"/>
  <c r="C246" i="120"/>
  <c r="R77" i="120"/>
  <c r="BY78" i="120"/>
  <c r="B247" i="120"/>
  <c r="BY79" i="120"/>
  <c r="O256" i="120"/>
  <c r="N81" i="120"/>
  <c r="N256" i="120" s="1"/>
  <c r="AD256" i="120"/>
  <c r="AJ81" i="120"/>
  <c r="AK81" i="120"/>
  <c r="AH82" i="120"/>
  <c r="B258" i="120"/>
  <c r="BY83" i="120"/>
  <c r="O244" i="120"/>
  <c r="N85" i="120"/>
  <c r="N244" i="120" s="1"/>
  <c r="AD244" i="120"/>
  <c r="AJ85" i="120"/>
  <c r="AK85" i="120"/>
  <c r="BA86" i="120"/>
  <c r="Q87" i="120"/>
  <c r="BY87" i="120"/>
  <c r="T88" i="120"/>
  <c r="AD88" i="120"/>
  <c r="BC88" i="120"/>
  <c r="BS88" i="120"/>
  <c r="B90" i="120"/>
  <c r="AG90" i="120"/>
  <c r="S91" i="120"/>
  <c r="AH91" i="120" s="1"/>
  <c r="AC91" i="120"/>
  <c r="AI91" i="120" s="1"/>
  <c r="AX93" i="120"/>
  <c r="N94" i="120"/>
  <c r="AJ94" i="120"/>
  <c r="BA95" i="120"/>
  <c r="S99" i="120"/>
  <c r="AH99" i="120" s="1"/>
  <c r="AC100" i="120"/>
  <c r="AC101" i="120"/>
  <c r="AJ101" i="120"/>
  <c r="D104" i="120"/>
  <c r="S103" i="120"/>
  <c r="S104" i="120" s="1"/>
  <c r="AK104" i="120"/>
  <c r="B107" i="120"/>
  <c r="R107" i="120"/>
  <c r="AG107" i="120" s="1"/>
  <c r="AC107" i="120"/>
  <c r="AI107" i="120" s="1"/>
  <c r="BI108" i="120"/>
  <c r="W250" i="120"/>
  <c r="W206" i="120"/>
  <c r="BY109" i="120"/>
  <c r="C251" i="120"/>
  <c r="B111" i="120"/>
  <c r="R111" i="120"/>
  <c r="AG111" i="120" s="1"/>
  <c r="AE252" i="120"/>
  <c r="AK112" i="120"/>
  <c r="B115" i="120"/>
  <c r="R115" i="120"/>
  <c r="AC115" i="120"/>
  <c r="AI115" i="120" s="1"/>
  <c r="AD116" i="120"/>
  <c r="CA116" i="120"/>
  <c r="BR105" i="120"/>
  <c r="J105" i="120"/>
  <c r="W105" i="120"/>
  <c r="AC119" i="120"/>
  <c r="AI119" i="120" s="1"/>
  <c r="AJ119" i="120"/>
  <c r="AN121" i="120"/>
  <c r="BI121" i="120"/>
  <c r="BY130" i="120"/>
  <c r="AN134" i="120"/>
  <c r="BI134" i="120"/>
  <c r="CG134" i="120" s="1"/>
  <c r="CJ134" i="120" s="1"/>
  <c r="BN139" i="120"/>
  <c r="CM139" i="120" s="1"/>
  <c r="AN141" i="120"/>
  <c r="BI141" i="120"/>
  <c r="CG141" i="120" s="1"/>
  <c r="CJ141" i="120" s="1"/>
  <c r="BR208" i="120"/>
  <c r="ER60" i="121" s="1"/>
  <c r="FS60" i="121" s="1"/>
  <c r="CA142" i="120"/>
  <c r="AE219" i="120"/>
  <c r="AK153" i="120"/>
  <c r="BZ220" i="120"/>
  <c r="BY154" i="120"/>
  <c r="BV202" i="120"/>
  <c r="BV35" i="120"/>
  <c r="H238" i="120"/>
  <c r="H204" i="120"/>
  <c r="P238" i="120"/>
  <c r="P204" i="120"/>
  <c r="T238" i="120"/>
  <c r="T204" i="120"/>
  <c r="AD238" i="120"/>
  <c r="AD204" i="120"/>
  <c r="AX238" i="120"/>
  <c r="AX204" i="120"/>
  <c r="BP238" i="120"/>
  <c r="BP204" i="120"/>
  <c r="BZ238" i="120"/>
  <c r="BZ204" i="120"/>
  <c r="E239" i="120"/>
  <c r="E205" i="120"/>
  <c r="O239" i="120"/>
  <c r="O205" i="120"/>
  <c r="AU239" i="120"/>
  <c r="AU205" i="120"/>
  <c r="BC239" i="120"/>
  <c r="BC205" i="120"/>
  <c r="K241" i="120"/>
  <c r="BS241" i="120"/>
  <c r="H243" i="120"/>
  <c r="P243" i="120"/>
  <c r="AX243" i="120"/>
  <c r="BP243" i="120"/>
  <c r="BZ243" i="120"/>
  <c r="O245" i="120"/>
  <c r="S43" i="120"/>
  <c r="AU245" i="120"/>
  <c r="BC245" i="120"/>
  <c r="R44" i="120"/>
  <c r="BZ262" i="120"/>
  <c r="R50" i="120"/>
  <c r="R51" i="120"/>
  <c r="S54" i="120"/>
  <c r="S63" i="120"/>
  <c r="Q71" i="120"/>
  <c r="Q72" i="120"/>
  <c r="Q73" i="120"/>
  <c r="N75" i="120"/>
  <c r="AJ75" i="120"/>
  <c r="B76" i="120"/>
  <c r="O246" i="120"/>
  <c r="N77" i="120"/>
  <c r="N246" i="120" s="1"/>
  <c r="AD246" i="120"/>
  <c r="AJ77" i="120"/>
  <c r="AH79" i="120"/>
  <c r="B255" i="120"/>
  <c r="BY80" i="120"/>
  <c r="O257" i="120"/>
  <c r="N82" i="120"/>
  <c r="N257" i="120" s="1"/>
  <c r="AD257" i="120"/>
  <c r="AJ82" i="120"/>
  <c r="AK82" i="120"/>
  <c r="B259" i="120"/>
  <c r="BY84" i="120"/>
  <c r="N86" i="120"/>
  <c r="AJ86" i="120"/>
  <c r="AH87" i="120"/>
  <c r="BA87" i="120"/>
  <c r="H88" i="120"/>
  <c r="AE88" i="120"/>
  <c r="AK88" i="120" s="1"/>
  <c r="AU88" i="120"/>
  <c r="B89" i="120"/>
  <c r="AG89" i="120"/>
  <c r="C88" i="120"/>
  <c r="BY89" i="120"/>
  <c r="S90" i="120"/>
  <c r="Q90" i="120" s="1"/>
  <c r="AC90" i="120"/>
  <c r="BZ93" i="120"/>
  <c r="AJ95" i="120"/>
  <c r="AN95" i="120"/>
  <c r="S267" i="120"/>
  <c r="AH96" i="120"/>
  <c r="BI100" i="120"/>
  <c r="AK101" i="120"/>
  <c r="BY101" i="120"/>
  <c r="AH102" i="120"/>
  <c r="BI102" i="120"/>
  <c r="O104" i="120"/>
  <c r="B106" i="120"/>
  <c r="R106" i="120"/>
  <c r="BI107" i="120"/>
  <c r="CA250" i="120"/>
  <c r="CA206" i="120"/>
  <c r="B110" i="120"/>
  <c r="R110" i="120"/>
  <c r="AG110" i="120" s="1"/>
  <c r="AE251" i="120"/>
  <c r="AK111" i="120"/>
  <c r="B114" i="120"/>
  <c r="R114" i="120"/>
  <c r="BI115" i="120"/>
  <c r="CG115" i="120" s="1"/>
  <c r="CJ115" i="120" s="1"/>
  <c r="BC116" i="120"/>
  <c r="BA116" i="120" s="1"/>
  <c r="AT105" i="120"/>
  <c r="BH117" i="120"/>
  <c r="CF117" i="120" s="1"/>
  <c r="CI117" i="120" s="1"/>
  <c r="F105" i="120"/>
  <c r="O118" i="120"/>
  <c r="K105" i="120"/>
  <c r="AC118" i="120"/>
  <c r="BB118" i="120"/>
  <c r="BA118" i="120" s="1"/>
  <c r="T118" i="120"/>
  <c r="T105" i="120" s="1"/>
  <c r="BH126" i="120"/>
  <c r="BI126" i="120"/>
  <c r="P136" i="120"/>
  <c r="J129" i="120"/>
  <c r="J122" i="120" s="1"/>
  <c r="AU129" i="120"/>
  <c r="AD138" i="120"/>
  <c r="W138" i="120"/>
  <c r="X129" i="120"/>
  <c r="AK138" i="120"/>
  <c r="BB208" i="120"/>
  <c r="AE209" i="120"/>
  <c r="AK143" i="120"/>
  <c r="I214" i="120"/>
  <c r="O66" i="121" s="1"/>
  <c r="N66" i="121" s="1"/>
  <c r="H148" i="120"/>
  <c r="H214" i="120" s="1"/>
  <c r="BY161" i="120"/>
  <c r="C248" i="120"/>
  <c r="R76" i="120"/>
  <c r="AK77" i="120"/>
  <c r="O247" i="120"/>
  <c r="N79" i="120"/>
  <c r="N247" i="120" s="1"/>
  <c r="AD247" i="120"/>
  <c r="AJ79" i="120"/>
  <c r="AH80" i="120"/>
  <c r="O258" i="120"/>
  <c r="N83" i="120"/>
  <c r="N258" i="120" s="1"/>
  <c r="AD258" i="120"/>
  <c r="AJ83" i="120"/>
  <c r="AH84" i="120"/>
  <c r="B244" i="120"/>
  <c r="O249" i="120"/>
  <c r="N87" i="120"/>
  <c r="AD249" i="120"/>
  <c r="AJ87" i="120"/>
  <c r="BC249" i="120"/>
  <c r="W88" i="120"/>
  <c r="BP88" i="120"/>
  <c r="BZ88" i="120"/>
  <c r="D261" i="120"/>
  <c r="D88" i="120"/>
  <c r="S89" i="120"/>
  <c r="Q89" i="120" s="1"/>
  <c r="AC89" i="120"/>
  <c r="BH89" i="120"/>
  <c r="CF89" i="120" s="1"/>
  <c r="B92" i="120"/>
  <c r="AG92" i="120"/>
  <c r="AM92" i="120" s="1"/>
  <c r="CF92" i="120"/>
  <c r="CI92" i="120" s="1"/>
  <c r="BB93" i="120"/>
  <c r="O267" i="120"/>
  <c r="N96" i="120"/>
  <c r="N267" i="120" s="1"/>
  <c r="AD267" i="120"/>
  <c r="AJ96" i="120"/>
  <c r="AH97" i="120"/>
  <c r="AN97" i="120" s="1"/>
  <c r="AK269" i="120"/>
  <c r="BI97" i="120"/>
  <c r="CG97" i="120" s="1"/>
  <c r="BY100" i="120"/>
  <c r="N101" i="120"/>
  <c r="AJ102" i="120"/>
  <c r="BA102" i="120"/>
  <c r="BC104" i="120"/>
  <c r="BB104" i="120"/>
  <c r="K98" i="120"/>
  <c r="W98" i="120"/>
  <c r="AU98" i="120"/>
  <c r="BI106" i="120"/>
  <c r="CG106" i="120" s="1"/>
  <c r="CJ106" i="120" s="1"/>
  <c r="CF107" i="120"/>
  <c r="CI107" i="120" s="1"/>
  <c r="C250" i="120"/>
  <c r="C206" i="120"/>
  <c r="C58" i="121" s="1"/>
  <c r="B109" i="120"/>
  <c r="R109" i="120"/>
  <c r="K250" i="120"/>
  <c r="K206" i="120"/>
  <c r="AC109" i="120"/>
  <c r="BS250" i="120"/>
  <c r="BS206" i="120"/>
  <c r="BI110" i="120"/>
  <c r="CG110" i="120" s="1"/>
  <c r="CJ110" i="120" s="1"/>
  <c r="C253" i="120"/>
  <c r="B113" i="120"/>
  <c r="R113" i="120"/>
  <c r="AG113" i="120" s="1"/>
  <c r="BI114" i="120"/>
  <c r="N116" i="120"/>
  <c r="CG117" i="120"/>
  <c r="CJ117" i="120" s="1"/>
  <c r="BS105" i="120"/>
  <c r="BV98" i="120"/>
  <c r="BN119" i="120"/>
  <c r="AQ121" i="120"/>
  <c r="BO121" i="120" s="1"/>
  <c r="AJ121" i="120"/>
  <c r="AC121" i="120"/>
  <c r="AI121" i="120" s="1"/>
  <c r="AC124" i="120"/>
  <c r="AI124" i="120" s="1"/>
  <c r="AJ124" i="120"/>
  <c r="AH132" i="120"/>
  <c r="AQ134" i="120"/>
  <c r="AN135" i="120"/>
  <c r="BI135" i="120"/>
  <c r="CG135" i="120" s="1"/>
  <c r="CJ135" i="120" s="1"/>
  <c r="Q137" i="120"/>
  <c r="R136" i="120"/>
  <c r="S138" i="120"/>
  <c r="AH139" i="120"/>
  <c r="AF139" i="120" s="1"/>
  <c r="AF140" i="120"/>
  <c r="AP140" i="120"/>
  <c r="AQ141" i="120"/>
  <c r="BF141" i="120" s="1"/>
  <c r="F208" i="120"/>
  <c r="F60" i="121" s="1"/>
  <c r="O142" i="120"/>
  <c r="E142" i="120"/>
  <c r="E208" i="120" s="1"/>
  <c r="AS208" i="120"/>
  <c r="CR60" i="121" s="1"/>
  <c r="AR142" i="120"/>
  <c r="AR208" i="120" s="1"/>
  <c r="BY210" i="120"/>
  <c r="AS214" i="120"/>
  <c r="CR66" i="121" s="1"/>
  <c r="AR148" i="120"/>
  <c r="AR214" i="120" s="1"/>
  <c r="BB148" i="120"/>
  <c r="D217" i="120"/>
  <c r="D69" i="121" s="1"/>
  <c r="M69" i="121" s="1"/>
  <c r="V69" i="121" s="1"/>
  <c r="AE69" i="121" s="1"/>
  <c r="S151" i="120"/>
  <c r="S217" i="120" s="1"/>
  <c r="AQ69" i="121" s="1"/>
  <c r="AK222" i="120"/>
  <c r="BI156" i="120"/>
  <c r="CG156" i="120" s="1"/>
  <c r="BP267" i="120"/>
  <c r="BP265" i="120" s="1"/>
  <c r="BZ267" i="120"/>
  <c r="P269" i="120"/>
  <c r="T269" i="120"/>
  <c r="T265" i="120" s="1"/>
  <c r="AD269" i="120"/>
  <c r="D250" i="120"/>
  <c r="D206" i="120"/>
  <c r="D58" i="121" s="1"/>
  <c r="Z250" i="120"/>
  <c r="Z206" i="120"/>
  <c r="AJ250" i="120"/>
  <c r="AJ206" i="120"/>
  <c r="AR250" i="120"/>
  <c r="AR206" i="120"/>
  <c r="BB250" i="120"/>
  <c r="BB206" i="120"/>
  <c r="BV250" i="120"/>
  <c r="BV206" i="120"/>
  <c r="CB250" i="120"/>
  <c r="CB206" i="120"/>
  <c r="AJ120" i="120"/>
  <c r="AN120" i="120"/>
  <c r="BI120" i="120"/>
  <c r="CG120" i="120" s="1"/>
  <c r="CJ120" i="120" s="1"/>
  <c r="CC269" i="120"/>
  <c r="CC265" i="120" s="1"/>
  <c r="CB121" i="120"/>
  <c r="CB269" i="120" s="1"/>
  <c r="C121" i="120"/>
  <c r="C269" i="120" s="1"/>
  <c r="CC118" i="120"/>
  <c r="CB118" i="120" s="1"/>
  <c r="BI124" i="120"/>
  <c r="R130" i="120"/>
  <c r="AG130" i="120" s="1"/>
  <c r="AC130" i="120"/>
  <c r="AI130" i="120" s="1"/>
  <c r="AJ130" i="120"/>
  <c r="BI131" i="120"/>
  <c r="AJ132" i="120"/>
  <c r="AF134" i="120"/>
  <c r="F129" i="120"/>
  <c r="O136" i="120"/>
  <c r="AR136" i="120"/>
  <c r="AS129" i="120"/>
  <c r="BB136" i="120"/>
  <c r="BR129" i="120"/>
  <c r="CA136" i="120"/>
  <c r="AJ139" i="120"/>
  <c r="BI139" i="120"/>
  <c r="CG139" i="120" s="1"/>
  <c r="CJ139" i="120" s="1"/>
  <c r="U208" i="120"/>
  <c r="AS60" i="121" s="1"/>
  <c r="T142" i="120"/>
  <c r="T208" i="120" s="1"/>
  <c r="AD142" i="120"/>
  <c r="AT208" i="120"/>
  <c r="CS60" i="121" s="1"/>
  <c r="DT60" i="121" s="1"/>
  <c r="BC142" i="120"/>
  <c r="BC208" i="120" s="1"/>
  <c r="O210" i="120"/>
  <c r="N144" i="120"/>
  <c r="N210" i="120" s="1"/>
  <c r="CA212" i="120"/>
  <c r="S213" i="120"/>
  <c r="AQ65" i="121" s="1"/>
  <c r="AH147" i="120"/>
  <c r="AC213" i="120"/>
  <c r="AK213" i="120"/>
  <c r="BI147" i="120"/>
  <c r="CG147" i="120" s="1"/>
  <c r="U214" i="120"/>
  <c r="AS66" i="121" s="1"/>
  <c r="T148" i="120"/>
  <c r="T214" i="120" s="1"/>
  <c r="AD148" i="120"/>
  <c r="AD216" i="120"/>
  <c r="AC150" i="120"/>
  <c r="AJ150" i="120"/>
  <c r="CD216" i="120"/>
  <c r="D150" i="120"/>
  <c r="BB217" i="120"/>
  <c r="BA151" i="120"/>
  <c r="BA217" i="120" s="1"/>
  <c r="AE218" i="120"/>
  <c r="AK152" i="120"/>
  <c r="BC222" i="120"/>
  <c r="BA156" i="120"/>
  <c r="BA222" i="120" s="1"/>
  <c r="B228" i="120"/>
  <c r="B86" i="121" s="1"/>
  <c r="Q162" i="120"/>
  <c r="AF162" i="120" s="1"/>
  <c r="B161" i="120"/>
  <c r="Q79" i="120"/>
  <c r="Q247" i="120" s="1"/>
  <c r="BA79" i="120"/>
  <c r="BA247" i="120" s="1"/>
  <c r="BA80" i="120"/>
  <c r="BA255" i="120" s="1"/>
  <c r="CG80" i="120"/>
  <c r="Q81" i="120"/>
  <c r="Q256" i="120" s="1"/>
  <c r="BA81" i="120"/>
  <c r="BA256" i="120" s="1"/>
  <c r="BA82" i="120"/>
  <c r="BA257" i="120" s="1"/>
  <c r="BA83" i="120"/>
  <c r="BA258" i="120" s="1"/>
  <c r="Q84" i="120"/>
  <c r="Q259" i="120" s="1"/>
  <c r="BA84" i="120"/>
  <c r="BA259" i="120" s="1"/>
  <c r="Q85" i="120"/>
  <c r="Q244" i="120" s="1"/>
  <c r="BA85" i="120"/>
  <c r="BA244" i="120" s="1"/>
  <c r="C249" i="120"/>
  <c r="K249" i="120"/>
  <c r="W249" i="120"/>
  <c r="AE249" i="120"/>
  <c r="E261" i="120"/>
  <c r="E260" i="120" s="1"/>
  <c r="BY90" i="120"/>
  <c r="BY91" i="120"/>
  <c r="BY92" i="120"/>
  <c r="Q96" i="120"/>
  <c r="BA96" i="120"/>
  <c r="BA267" i="120" s="1"/>
  <c r="BA97" i="120"/>
  <c r="S100" i="120"/>
  <c r="AH100" i="120" s="1"/>
  <c r="R101" i="120"/>
  <c r="Q101" i="120" s="1"/>
  <c r="V105" i="120"/>
  <c r="S106" i="120"/>
  <c r="S238" i="120" s="1"/>
  <c r="BY106" i="120"/>
  <c r="S107" i="120"/>
  <c r="AH107" i="120" s="1"/>
  <c r="BY107" i="120"/>
  <c r="S108" i="120"/>
  <c r="AH108" i="120" s="1"/>
  <c r="BY108" i="120"/>
  <c r="E250" i="120"/>
  <c r="E206" i="120"/>
  <c r="O250" i="120"/>
  <c r="O206" i="120"/>
  <c r="S109" i="120"/>
  <c r="AH109" i="120" s="1"/>
  <c r="AU250" i="120"/>
  <c r="AU206" i="120"/>
  <c r="BC250" i="120"/>
  <c r="BC206" i="120"/>
  <c r="S110" i="120"/>
  <c r="AH110" i="120" s="1"/>
  <c r="BY110" i="120"/>
  <c r="S111" i="120"/>
  <c r="S251" i="120" s="1"/>
  <c r="AC111" i="120"/>
  <c r="BY111" i="120"/>
  <c r="S112" i="120"/>
  <c r="S252" i="120" s="1"/>
  <c r="AC112" i="120"/>
  <c r="BY112" i="120"/>
  <c r="S113" i="120"/>
  <c r="S253" i="120" s="1"/>
  <c r="AC113" i="120"/>
  <c r="BY113" i="120"/>
  <c r="S114" i="120"/>
  <c r="BY114" i="120"/>
  <c r="S115" i="120"/>
  <c r="BY115" i="120"/>
  <c r="D116" i="120"/>
  <c r="R116" i="120"/>
  <c r="AG117" i="120"/>
  <c r="C116" i="120"/>
  <c r="P118" i="120"/>
  <c r="AK118" i="120" s="1"/>
  <c r="Q119" i="120"/>
  <c r="AF119" i="120"/>
  <c r="BA119" i="120"/>
  <c r="CG119" i="120"/>
  <c r="CJ119" i="120" s="1"/>
  <c r="BA125" i="120"/>
  <c r="N126" i="120"/>
  <c r="S126" i="120"/>
  <c r="BA126" i="120"/>
  <c r="AG127" i="120"/>
  <c r="BY127" i="120"/>
  <c r="BI130" i="120"/>
  <c r="AJ133" i="120"/>
  <c r="AN133" i="120"/>
  <c r="BI133" i="120"/>
  <c r="CG133" i="120" s="1"/>
  <c r="CJ133" i="120" s="1"/>
  <c r="AP134" i="120"/>
  <c r="BE134" i="120" s="1"/>
  <c r="AF135" i="120"/>
  <c r="T136" i="120"/>
  <c r="U129" i="120"/>
  <c r="AD136" i="120"/>
  <c r="AT129" i="120"/>
  <c r="BC136" i="120"/>
  <c r="B138" i="120"/>
  <c r="BZ138" i="120"/>
  <c r="AJ140" i="120"/>
  <c r="I208" i="120"/>
  <c r="O60" i="121" s="1"/>
  <c r="H142" i="120"/>
  <c r="H208" i="120" s="1"/>
  <c r="V208" i="120"/>
  <c r="AT60" i="121" s="1"/>
  <c r="BU60" i="121" s="1"/>
  <c r="AE142" i="120"/>
  <c r="BH211" i="120"/>
  <c r="O213" i="120"/>
  <c r="N147" i="120"/>
  <c r="N213" i="120" s="1"/>
  <c r="CA215" i="120"/>
  <c r="BZ216" i="120"/>
  <c r="BY150" i="120"/>
  <c r="AJ156" i="120"/>
  <c r="AC156" i="120"/>
  <c r="BY222" i="120"/>
  <c r="O223" i="120"/>
  <c r="N157" i="120"/>
  <c r="N223" i="120" s="1"/>
  <c r="AJ157" i="120"/>
  <c r="R249" i="120"/>
  <c r="BB249" i="120"/>
  <c r="H261" i="120"/>
  <c r="H260" i="120" s="1"/>
  <c r="P261" i="120"/>
  <c r="P260" i="120" s="1"/>
  <c r="AJ97" i="120"/>
  <c r="C103" i="120"/>
  <c r="BI103" i="120"/>
  <c r="H250" i="120"/>
  <c r="H206" i="120"/>
  <c r="P250" i="120"/>
  <c r="P206" i="120"/>
  <c r="T250" i="120"/>
  <c r="T206" i="120"/>
  <c r="AD250" i="120"/>
  <c r="AD206" i="120"/>
  <c r="AX250" i="120"/>
  <c r="AX206" i="120"/>
  <c r="BP250" i="120"/>
  <c r="BP206" i="120"/>
  <c r="BZ250" i="120"/>
  <c r="BZ206" i="120"/>
  <c r="BH111" i="120"/>
  <c r="CF111" i="120" s="1"/>
  <c r="BH112" i="120"/>
  <c r="CF112" i="120" s="1"/>
  <c r="BH113" i="120"/>
  <c r="S117" i="120"/>
  <c r="S116" i="120" s="1"/>
  <c r="AC117" i="120"/>
  <c r="BE119" i="120"/>
  <c r="BA121" i="120"/>
  <c r="BY123" i="120"/>
  <c r="BY124" i="120"/>
  <c r="AJ125" i="120"/>
  <c r="D128" i="120"/>
  <c r="S127" i="120"/>
  <c r="Q127" i="120" s="1"/>
  <c r="AC127" i="120"/>
  <c r="AR128" i="120"/>
  <c r="AY129" i="120"/>
  <c r="BY131" i="120"/>
  <c r="N134" i="120"/>
  <c r="AI134" i="120" s="1"/>
  <c r="AJ134" i="120"/>
  <c r="AP135" i="120"/>
  <c r="BA135" i="120"/>
  <c r="H136" i="120"/>
  <c r="I129" i="120"/>
  <c r="V129" i="120"/>
  <c r="AE136" i="120"/>
  <c r="AU136" i="120"/>
  <c r="B137" i="120"/>
  <c r="AG137" i="120"/>
  <c r="C136" i="120"/>
  <c r="BB138" i="120"/>
  <c r="BA138" i="120" s="1"/>
  <c r="BE139" i="120"/>
  <c r="N141" i="120"/>
  <c r="AI141" i="120" s="1"/>
  <c r="AJ141" i="120"/>
  <c r="J208" i="120"/>
  <c r="P60" i="121" s="1"/>
  <c r="AH60" i="121" s="1"/>
  <c r="P142" i="120"/>
  <c r="P208" i="120" s="1"/>
  <c r="BQ208" i="120"/>
  <c r="EQ60" i="121" s="1"/>
  <c r="BP142" i="120"/>
  <c r="BP208" i="120" s="1"/>
  <c r="BZ142" i="120"/>
  <c r="CA209" i="120"/>
  <c r="AC210" i="120"/>
  <c r="AK210" i="120"/>
  <c r="BI144" i="120"/>
  <c r="C211" i="120"/>
  <c r="C63" i="121" s="1"/>
  <c r="B145" i="120"/>
  <c r="R145" i="120"/>
  <c r="AG145" i="120" s="1"/>
  <c r="AE212" i="120"/>
  <c r="AK146" i="120"/>
  <c r="BQ214" i="120"/>
  <c r="EQ66" i="121" s="1"/>
  <c r="BP148" i="120"/>
  <c r="BP214" i="120" s="1"/>
  <c r="BZ148" i="120"/>
  <c r="BH151" i="120"/>
  <c r="C219" i="120"/>
  <c r="C71" i="121" s="1"/>
  <c r="B153" i="120"/>
  <c r="R153" i="120"/>
  <c r="AG153" i="120" s="1"/>
  <c r="BY221" i="120"/>
  <c r="AI164" i="120"/>
  <c r="N161" i="120"/>
  <c r="U177" i="120"/>
  <c r="O220" i="120"/>
  <c r="N154" i="120"/>
  <c r="N220" i="120" s="1"/>
  <c r="AD220" i="120"/>
  <c r="AJ154" i="120"/>
  <c r="CA220" i="120"/>
  <c r="D221" i="120"/>
  <c r="D73" i="121" s="1"/>
  <c r="B73" i="121" s="1"/>
  <c r="S155" i="120"/>
  <c r="S221" i="120" s="1"/>
  <c r="AQ73" i="121" s="1"/>
  <c r="AZ73" i="121" s="1"/>
  <c r="BI73" i="121" s="1"/>
  <c r="BR73" i="121" s="1"/>
  <c r="BB221" i="120"/>
  <c r="BA155" i="120"/>
  <c r="BA221" i="120" s="1"/>
  <c r="O222" i="120"/>
  <c r="N156" i="120"/>
  <c r="N222" i="120" s="1"/>
  <c r="CC222" i="120"/>
  <c r="CB156" i="120"/>
  <c r="CB222" i="120" s="1"/>
  <c r="C156" i="120"/>
  <c r="BI157" i="120"/>
  <c r="BA161" i="120"/>
  <c r="AO164" i="120"/>
  <c r="V177" i="120"/>
  <c r="AT177" i="120"/>
  <c r="AJ211" i="120"/>
  <c r="Q132" i="120"/>
  <c r="Q134" i="120"/>
  <c r="Q135" i="120"/>
  <c r="BY137" i="120"/>
  <c r="Q139" i="120"/>
  <c r="Q140" i="120"/>
  <c r="Q141" i="120"/>
  <c r="K142" i="120"/>
  <c r="K208" i="120" s="1"/>
  <c r="W142" i="120"/>
  <c r="W208" i="120" s="1"/>
  <c r="AU142" i="120"/>
  <c r="AU208" i="120" s="1"/>
  <c r="BS142" i="120"/>
  <c r="BS208" i="120" s="1"/>
  <c r="AC143" i="120"/>
  <c r="BY143" i="120"/>
  <c r="S145" i="120"/>
  <c r="S211" i="120" s="1"/>
  <c r="AQ63" i="121" s="1"/>
  <c r="AC145" i="120"/>
  <c r="BY145" i="120"/>
  <c r="S146" i="120"/>
  <c r="AH146" i="120" s="1"/>
  <c r="AC146" i="120"/>
  <c r="BY146" i="120"/>
  <c r="Q147" i="120"/>
  <c r="Q213" i="120" s="1"/>
  <c r="BA147" i="120"/>
  <c r="BA213" i="120" s="1"/>
  <c r="K148" i="120"/>
  <c r="K214" i="120" s="1"/>
  <c r="O148" i="120"/>
  <c r="W148" i="120"/>
  <c r="W214" i="120" s="1"/>
  <c r="AE148" i="120"/>
  <c r="AU148" i="120"/>
  <c r="AU214" i="120" s="1"/>
  <c r="BC148" i="120"/>
  <c r="BC214" i="120" s="1"/>
  <c r="BS148" i="120"/>
  <c r="BS214" i="120" s="1"/>
  <c r="CA148" i="120"/>
  <c r="S149" i="120"/>
  <c r="AH149" i="120" s="1"/>
  <c r="AC149" i="120"/>
  <c r="BY149" i="120"/>
  <c r="N150" i="120"/>
  <c r="N216" i="120" s="1"/>
  <c r="S152" i="120"/>
  <c r="S218" i="120" s="1"/>
  <c r="AQ70" i="121" s="1"/>
  <c r="AC152" i="120"/>
  <c r="BY152" i="120"/>
  <c r="S153" i="120"/>
  <c r="S219" i="120" s="1"/>
  <c r="AQ71" i="121" s="1"/>
  <c r="AC153" i="120"/>
  <c r="BY153" i="120"/>
  <c r="AE220" i="120"/>
  <c r="AK154" i="120"/>
  <c r="CD154" i="120"/>
  <c r="AJ155" i="120"/>
  <c r="D144" i="120"/>
  <c r="AJ144" i="120"/>
  <c r="AH145" i="120"/>
  <c r="CF145" i="120"/>
  <c r="AJ147" i="120"/>
  <c r="P148" i="120"/>
  <c r="P214" i="120" s="1"/>
  <c r="AK150" i="120"/>
  <c r="BI151" i="120"/>
  <c r="AK221" i="120"/>
  <c r="BI155" i="120"/>
  <c r="AH156" i="120"/>
  <c r="AN156" i="120" s="1"/>
  <c r="BZ222" i="120"/>
  <c r="D223" i="120"/>
  <c r="D75" i="121" s="1"/>
  <c r="S157" i="120"/>
  <c r="S223" i="120" s="1"/>
  <c r="AQ75" i="121" s="1"/>
  <c r="AC223" i="120"/>
  <c r="BB223" i="120"/>
  <c r="BA157" i="120"/>
  <c r="BA223" i="120" s="1"/>
  <c r="I177" i="120"/>
  <c r="M177" i="120"/>
  <c r="B155" i="120"/>
  <c r="AF163" i="120"/>
  <c r="BA228" i="120"/>
  <c r="AR227" i="120"/>
  <c r="AI229" i="120"/>
  <c r="AC230" i="120"/>
  <c r="W227" i="120"/>
  <c r="N228" i="120"/>
  <c r="E227" i="120"/>
  <c r="BA229" i="120"/>
  <c r="BY230" i="120"/>
  <c r="Z227" i="120"/>
  <c r="AA270" i="120"/>
  <c r="AB270" i="120"/>
  <c r="AW270" i="120"/>
  <c r="BW270" i="120"/>
  <c r="M270" i="120"/>
  <c r="BQ270" i="120"/>
  <c r="BT270" i="120"/>
  <c r="F270" i="120"/>
  <c r="BU270" i="120"/>
  <c r="I270" i="120"/>
  <c r="J270" i="120"/>
  <c r="AY265" i="120"/>
  <c r="AY270" i="120" s="1"/>
  <c r="V270" i="120"/>
  <c r="AT270" i="120"/>
  <c r="BR270" i="120"/>
  <c r="BA206" i="120" l="1"/>
  <c r="AS203" i="120"/>
  <c r="AS270" i="120"/>
  <c r="BA88" i="120"/>
  <c r="AR260" i="120"/>
  <c r="BA128" i="120"/>
  <c r="B267" i="120"/>
  <c r="AI123" i="120"/>
  <c r="BC70" i="120"/>
  <c r="AK116" i="120"/>
  <c r="AC267" i="120"/>
  <c r="AX14" i="120"/>
  <c r="AX181" i="120" s="1"/>
  <c r="AX225" i="120" s="1"/>
  <c r="N177" i="120"/>
  <c r="BA239" i="120"/>
  <c r="AI74" i="120"/>
  <c r="BY268" i="120"/>
  <c r="AU265" i="120"/>
  <c r="Z129" i="120"/>
  <c r="Z14" i="120"/>
  <c r="AI161" i="120"/>
  <c r="W202" i="120"/>
  <c r="AJ104" i="120"/>
  <c r="AI94" i="120"/>
  <c r="BS51" i="121"/>
  <c r="BS49" i="121"/>
  <c r="BS50" i="121"/>
  <c r="BS48" i="121"/>
  <c r="N250" i="120"/>
  <c r="BI125" i="120"/>
  <c r="AI90" i="120"/>
  <c r="BG90" i="120" s="1"/>
  <c r="AI86" i="120"/>
  <c r="BG86" i="120" s="1"/>
  <c r="S93" i="120"/>
  <c r="AH93" i="120" s="1"/>
  <c r="AI55" i="120"/>
  <c r="BG55" i="120" s="1"/>
  <c r="BO21" i="120"/>
  <c r="BO188" i="120" s="1"/>
  <c r="F12" i="120"/>
  <c r="BF19" i="120"/>
  <c r="BF186" i="120" s="1"/>
  <c r="AH15" i="120"/>
  <c r="Q15" i="120"/>
  <c r="Q182" i="120" s="1"/>
  <c r="AJ263" i="120"/>
  <c r="BH47" i="120"/>
  <c r="CF47" i="120" s="1"/>
  <c r="BI78" i="120"/>
  <c r="CG78" i="120" s="1"/>
  <c r="CJ78" i="120" s="1"/>
  <c r="AN78" i="120"/>
  <c r="BA195" i="120"/>
  <c r="EF66" i="121"/>
  <c r="GE66" i="121" s="1"/>
  <c r="S246" i="120"/>
  <c r="AH77" i="120"/>
  <c r="AN119" i="120"/>
  <c r="AQ119" i="120"/>
  <c r="BA243" i="120"/>
  <c r="F52" i="120"/>
  <c r="E61" i="120"/>
  <c r="M122" i="120"/>
  <c r="K122" i="120" s="1"/>
  <c r="K129" i="120"/>
  <c r="AE265" i="120"/>
  <c r="CA70" i="120"/>
  <c r="BS129" i="120"/>
  <c r="R257" i="120"/>
  <c r="Q82" i="120"/>
  <c r="Q257" i="120" s="1"/>
  <c r="AG82" i="120"/>
  <c r="AG120" i="120"/>
  <c r="Q120" i="120"/>
  <c r="AS28" i="120"/>
  <c r="AR28" i="120" s="1"/>
  <c r="AR36" i="120"/>
  <c r="AP176" i="120"/>
  <c r="AO9" i="120"/>
  <c r="AO176" i="120" s="1"/>
  <c r="S190" i="120"/>
  <c r="AH23" i="120"/>
  <c r="AR70" i="120"/>
  <c r="AS52" i="120"/>
  <c r="AR52" i="120" s="1"/>
  <c r="BB70" i="120"/>
  <c r="E14" i="120"/>
  <c r="DR74" i="121"/>
  <c r="AP84" i="120"/>
  <c r="BE84" i="120"/>
  <c r="R255" i="120"/>
  <c r="AG80" i="120"/>
  <c r="BI55" i="120"/>
  <c r="CG55" i="120" s="1"/>
  <c r="CJ55" i="120" s="1"/>
  <c r="AN55" i="120"/>
  <c r="S240" i="120"/>
  <c r="AH39" i="120"/>
  <c r="P70" i="120"/>
  <c r="AF82" i="120"/>
  <c r="AF257" i="120" s="1"/>
  <c r="AB159" i="120"/>
  <c r="AB12" i="120"/>
  <c r="AB179" i="120" s="1"/>
  <c r="AB180" i="120" s="1"/>
  <c r="AB181" i="120"/>
  <c r="AB225" i="120" s="1"/>
  <c r="AK259" i="120"/>
  <c r="BI84" i="120"/>
  <c r="CG84" i="120" s="1"/>
  <c r="X181" i="120"/>
  <c r="X225" i="120" s="1"/>
  <c r="X12" i="120"/>
  <c r="AK70" i="120"/>
  <c r="BI70" i="120" s="1"/>
  <c r="CG70" i="120" s="1"/>
  <c r="CJ70" i="120" s="1"/>
  <c r="BH127" i="120"/>
  <c r="AD98" i="120"/>
  <c r="N70" i="120"/>
  <c r="X159" i="120"/>
  <c r="AN123" i="120"/>
  <c r="AG155" i="120"/>
  <c r="AP155" i="120" s="1"/>
  <c r="BE155" i="120" s="1"/>
  <c r="B127" i="120"/>
  <c r="Q80" i="120"/>
  <c r="Q255" i="120" s="1"/>
  <c r="AH76" i="120"/>
  <c r="AD105" i="120"/>
  <c r="AI30" i="120"/>
  <c r="F181" i="120"/>
  <c r="F225" i="120" s="1"/>
  <c r="U270" i="120"/>
  <c r="X28" i="120"/>
  <c r="W28" i="120" s="1"/>
  <c r="W36" i="120"/>
  <c r="AG138" i="120"/>
  <c r="BR52" i="120"/>
  <c r="AV159" i="120"/>
  <c r="AU14" i="120"/>
  <c r="AV181" i="120"/>
  <c r="AV225" i="120" s="1"/>
  <c r="AV12" i="120"/>
  <c r="FQ86" i="121"/>
  <c r="FQ85" i="121" s="1"/>
  <c r="EY85" i="121"/>
  <c r="AU202" i="120"/>
  <c r="BY267" i="120"/>
  <c r="BZ61" i="120"/>
  <c r="AN59" i="120"/>
  <c r="AN30" i="120"/>
  <c r="AF61" i="121"/>
  <c r="DR69" i="121"/>
  <c r="AF48" i="121"/>
  <c r="R267" i="120"/>
  <c r="CG74" i="121"/>
  <c r="Z265" i="120"/>
  <c r="Z270" i="120" s="1"/>
  <c r="BP260" i="120"/>
  <c r="S268" i="120"/>
  <c r="AI140" i="120"/>
  <c r="AI65" i="120"/>
  <c r="BG65" i="120" s="1"/>
  <c r="CE65" i="120" s="1"/>
  <c r="CH65" i="120" s="1"/>
  <c r="AK198" i="120"/>
  <c r="AI230" i="120"/>
  <c r="BG230" i="120" s="1"/>
  <c r="S254" i="120"/>
  <c r="Q138" i="120"/>
  <c r="N249" i="120"/>
  <c r="AN102" i="120"/>
  <c r="B249" i="120"/>
  <c r="AN71" i="120"/>
  <c r="AE61" i="120"/>
  <c r="AK61" i="120" s="1"/>
  <c r="AI67" i="120"/>
  <c r="AM47" i="120"/>
  <c r="BP202" i="120"/>
  <c r="AV270" i="120"/>
  <c r="N68" i="120"/>
  <c r="N261" i="120" s="1"/>
  <c r="N242" i="120"/>
  <c r="BA45" i="120"/>
  <c r="K14" i="120"/>
  <c r="BS71" i="121"/>
  <c r="CG49" i="121"/>
  <c r="AF51" i="121"/>
  <c r="CE51" i="121" s="1"/>
  <c r="AF50" i="121"/>
  <c r="AF49" i="121"/>
  <c r="FQ68" i="121"/>
  <c r="AC104" i="120"/>
  <c r="E265" i="120"/>
  <c r="AI56" i="120"/>
  <c r="G52" i="120"/>
  <c r="CF69" i="121"/>
  <c r="EE69" i="121" s="1"/>
  <c r="GD69" i="121" s="1"/>
  <c r="T202" i="120"/>
  <c r="U203" i="120"/>
  <c r="T70" i="120"/>
  <c r="T52" i="120"/>
  <c r="AI15" i="120"/>
  <c r="AI182" i="120" s="1"/>
  <c r="BH152" i="120"/>
  <c r="CF152" i="120" s="1"/>
  <c r="AF68" i="121"/>
  <c r="I52" i="120"/>
  <c r="H52" i="120" s="1"/>
  <c r="AI151" i="120"/>
  <c r="BG151" i="120" s="1"/>
  <c r="O61" i="120"/>
  <c r="N61" i="120" s="1"/>
  <c r="AH138" i="120"/>
  <c r="AO17" i="120"/>
  <c r="AO184" i="120" s="1"/>
  <c r="AI53" i="120"/>
  <c r="AX159" i="120"/>
  <c r="DR72" i="121"/>
  <c r="N45" i="120"/>
  <c r="Q97" i="120"/>
  <c r="BA197" i="120"/>
  <c r="BG140" i="120"/>
  <c r="CE140" i="120" s="1"/>
  <c r="CH140" i="120" s="1"/>
  <c r="FQ74" i="121"/>
  <c r="AC241" i="120"/>
  <c r="BA205" i="120"/>
  <c r="AN140" i="120"/>
  <c r="AI137" i="120"/>
  <c r="BG137" i="120" s="1"/>
  <c r="CE137" i="120" s="1"/>
  <c r="CH137" i="120" s="1"/>
  <c r="AI120" i="120"/>
  <c r="BG120" i="120" s="1"/>
  <c r="CE120" i="120" s="1"/>
  <c r="CH120" i="120" s="1"/>
  <c r="AI114" i="120"/>
  <c r="BG114" i="120" s="1"/>
  <c r="CE114" i="120" s="1"/>
  <c r="CH114" i="120" s="1"/>
  <c r="K260" i="120"/>
  <c r="K270" i="120" s="1"/>
  <c r="L203" i="120"/>
  <c r="L224" i="120" s="1"/>
  <c r="AI40" i="120"/>
  <c r="BG40" i="120" s="1"/>
  <c r="AN23" i="120"/>
  <c r="AN190" i="120" s="1"/>
  <c r="AI20" i="120"/>
  <c r="AI187" i="120" s="1"/>
  <c r="BB265" i="120"/>
  <c r="BB270" i="120" s="1"/>
  <c r="AF62" i="121"/>
  <c r="CG62" i="121"/>
  <c r="P52" i="120"/>
  <c r="E52" i="120"/>
  <c r="AC227" i="120"/>
  <c r="BV265" i="120"/>
  <c r="AC254" i="120"/>
  <c r="B268" i="120"/>
  <c r="BZ98" i="120"/>
  <c r="Q95" i="120"/>
  <c r="BY269" i="120"/>
  <c r="AI144" i="120"/>
  <c r="AN34" i="120"/>
  <c r="AH53" i="121"/>
  <c r="AH54" i="121" s="1"/>
  <c r="BS74" i="121"/>
  <c r="BC202" i="120"/>
  <c r="Y203" i="120"/>
  <c r="Y207" i="120" s="1"/>
  <c r="BC59" i="121" s="1"/>
  <c r="BH15" i="120"/>
  <c r="BH182" i="120" s="1"/>
  <c r="DR68" i="121"/>
  <c r="CF61" i="121"/>
  <c r="CF56" i="121"/>
  <c r="BA201" i="120"/>
  <c r="AZ203" i="120"/>
  <c r="AZ224" i="120" s="1"/>
  <c r="AZ226" i="120" s="1"/>
  <c r="BA262" i="120"/>
  <c r="BG106" i="120"/>
  <c r="AC60" i="120"/>
  <c r="AH155" i="120"/>
  <c r="AH111" i="120"/>
  <c r="N136" i="120"/>
  <c r="BZ260" i="120"/>
  <c r="AJ11" i="120"/>
  <c r="AQ21" i="120"/>
  <c r="AQ188" i="120" s="1"/>
  <c r="DR51" i="121"/>
  <c r="DR50" i="121"/>
  <c r="DR49" i="121"/>
  <c r="DR48" i="121"/>
  <c r="CG70" i="121"/>
  <c r="AU122" i="120"/>
  <c r="AR265" i="120"/>
  <c r="AK136" i="120"/>
  <c r="AN139" i="120"/>
  <c r="AH41" i="120"/>
  <c r="AH242" i="120" s="1"/>
  <c r="AM9" i="120"/>
  <c r="R42" i="120"/>
  <c r="AG42" i="120" s="1"/>
  <c r="BF18" i="120"/>
  <c r="BF185" i="120" s="1"/>
  <c r="N268" i="120"/>
  <c r="AH81" i="120"/>
  <c r="AI8" i="120"/>
  <c r="AI175" i="120" s="1"/>
  <c r="BA241" i="120"/>
  <c r="BA35" i="120"/>
  <c r="AG147" i="120"/>
  <c r="BX270" i="120"/>
  <c r="AI71" i="120"/>
  <c r="AI132" i="120"/>
  <c r="BG132" i="120" s="1"/>
  <c r="CE132" i="120" s="1"/>
  <c r="CH132" i="120" s="1"/>
  <c r="AR61" i="120"/>
  <c r="CA202" i="120"/>
  <c r="BY200" i="120"/>
  <c r="W265" i="120"/>
  <c r="W270" i="120" s="1"/>
  <c r="AN132" i="120"/>
  <c r="AH153" i="120"/>
  <c r="BH20" i="120"/>
  <c r="BH8" i="120"/>
  <c r="CF8" i="120" s="1"/>
  <c r="AJ10" i="120"/>
  <c r="BV159" i="120"/>
  <c r="AG83" i="120"/>
  <c r="AI99" i="120"/>
  <c r="BG99" i="120" s="1"/>
  <c r="CE99" i="120" s="1"/>
  <c r="AI95" i="120"/>
  <c r="BG95" i="120" s="1"/>
  <c r="CE95" i="120" s="1"/>
  <c r="CH95" i="120" s="1"/>
  <c r="AG79" i="120"/>
  <c r="B266" i="120"/>
  <c r="BA264" i="120"/>
  <c r="AJ262" i="120"/>
  <c r="AQ130" i="120"/>
  <c r="BF130" i="120" s="1"/>
  <c r="BL130" i="120" s="1"/>
  <c r="Y224" i="120"/>
  <c r="L226" i="120"/>
  <c r="AI157" i="120"/>
  <c r="BH143" i="120"/>
  <c r="Q230" i="120"/>
  <c r="AF230" i="120" s="1"/>
  <c r="AI155" i="120"/>
  <c r="AI221" i="120" s="1"/>
  <c r="AI117" i="120"/>
  <c r="BG117" i="120" s="1"/>
  <c r="CE117" i="120" s="1"/>
  <c r="CH117" i="120" s="1"/>
  <c r="AH112" i="120"/>
  <c r="BI140" i="120"/>
  <c r="BL140" i="120" s="1"/>
  <c r="N128" i="120"/>
  <c r="CE106" i="120"/>
  <c r="CH106" i="120" s="1"/>
  <c r="S196" i="120"/>
  <c r="AQ48" i="121" s="1"/>
  <c r="Q83" i="120"/>
  <c r="Q258" i="120" s="1"/>
  <c r="AN147" i="120"/>
  <c r="BI132" i="120"/>
  <c r="CG132" i="120" s="1"/>
  <c r="CJ132" i="120" s="1"/>
  <c r="C265" i="120"/>
  <c r="BF121" i="120"/>
  <c r="BL121" i="120" s="1"/>
  <c r="BS98" i="120"/>
  <c r="D260" i="120"/>
  <c r="BB105" i="120"/>
  <c r="AG259" i="120"/>
  <c r="AH83" i="120"/>
  <c r="AF83" i="120" s="1"/>
  <c r="AF258" i="120" s="1"/>
  <c r="AI75" i="120"/>
  <c r="B131" i="120"/>
  <c r="AI100" i="120"/>
  <c r="BE87" i="120"/>
  <c r="AG247" i="120"/>
  <c r="CN69" i="120"/>
  <c r="T61" i="120"/>
  <c r="AK196" i="120"/>
  <c r="Q92" i="120"/>
  <c r="AK241" i="120"/>
  <c r="AI58" i="120"/>
  <c r="BG58" i="120" s="1"/>
  <c r="BT203" i="120"/>
  <c r="BT224" i="120" s="1"/>
  <c r="BT226" i="120" s="1"/>
  <c r="AG17" i="121"/>
  <c r="AN74" i="121"/>
  <c r="DR57" i="121"/>
  <c r="AI133" i="120"/>
  <c r="BG133" i="120" s="1"/>
  <c r="CE133" i="120" s="1"/>
  <c r="CH133" i="120" s="1"/>
  <c r="BC55" i="121"/>
  <c r="BC76" i="121" s="1"/>
  <c r="BC78" i="121" s="1"/>
  <c r="W85" i="121"/>
  <c r="CG56" i="121"/>
  <c r="EF56" i="121" s="1"/>
  <c r="BY104" i="120"/>
  <c r="AG96" i="120"/>
  <c r="AF96" i="120" s="1"/>
  <c r="AG86" i="120"/>
  <c r="AR202" i="120"/>
  <c r="AG95" i="120"/>
  <c r="Q133" i="120"/>
  <c r="BG125" i="120"/>
  <c r="CB265" i="120"/>
  <c r="BV270" i="120"/>
  <c r="AL140" i="120"/>
  <c r="BA93" i="120"/>
  <c r="BB202" i="120"/>
  <c r="BH46" i="120"/>
  <c r="AO15" i="120"/>
  <c r="AO182" i="120" s="1"/>
  <c r="AC268" i="120"/>
  <c r="AN130" i="120"/>
  <c r="BA245" i="120"/>
  <c r="BY266" i="120"/>
  <c r="BY21" i="120"/>
  <c r="BY188" i="120" s="1"/>
  <c r="FQ65" i="121"/>
  <c r="CG71" i="121"/>
  <c r="EF71" i="121" s="1"/>
  <c r="AI139" i="120"/>
  <c r="BG139" i="120" s="1"/>
  <c r="R93" i="120"/>
  <c r="BY227" i="120"/>
  <c r="AH152" i="120"/>
  <c r="BH149" i="120"/>
  <c r="BH146" i="120"/>
  <c r="BH212" i="120" s="1"/>
  <c r="CA73" i="121"/>
  <c r="AM137" i="120"/>
  <c r="P129" i="120"/>
  <c r="CN121" i="120"/>
  <c r="AU270" i="120"/>
  <c r="Q94" i="120"/>
  <c r="B254" i="120"/>
  <c r="BI196" i="120"/>
  <c r="BB98" i="120"/>
  <c r="N198" i="120"/>
  <c r="BM17" i="120"/>
  <c r="BM184" i="120" s="1"/>
  <c r="N60" i="120"/>
  <c r="CD14" i="120"/>
  <c r="CD181" i="120" s="1"/>
  <c r="CD225" i="120" s="1"/>
  <c r="Q124" i="120"/>
  <c r="CN68" i="120"/>
  <c r="AH46" i="120"/>
  <c r="CF64" i="121"/>
  <c r="EE64" i="121" s="1"/>
  <c r="GD64" i="121" s="1"/>
  <c r="EE57" i="121"/>
  <c r="GD57" i="121" s="1"/>
  <c r="N138" i="120"/>
  <c r="BK54" i="121"/>
  <c r="BS70" i="121"/>
  <c r="FQ61" i="121"/>
  <c r="CG68" i="121"/>
  <c r="EF68" i="121" s="1"/>
  <c r="DR75" i="121"/>
  <c r="CF72" i="121"/>
  <c r="EE72" i="121" s="1"/>
  <c r="GD72" i="121" s="1"/>
  <c r="AF65" i="121"/>
  <c r="AF64" i="121"/>
  <c r="AF57" i="121"/>
  <c r="CG52" i="121"/>
  <c r="EF52" i="121" s="1"/>
  <c r="GE52" i="121" s="1"/>
  <c r="CF68" i="121"/>
  <c r="EE68" i="121" s="1"/>
  <c r="GD68" i="121" s="1"/>
  <c r="BS63" i="121"/>
  <c r="FQ58" i="121"/>
  <c r="DR56" i="121"/>
  <c r="CG67" i="121"/>
  <c r="EF67" i="121" s="1"/>
  <c r="CG64" i="121"/>
  <c r="EF64" i="121" s="1"/>
  <c r="GE64" i="121" s="1"/>
  <c r="DR65" i="121"/>
  <c r="AF69" i="121"/>
  <c r="AF56" i="121"/>
  <c r="DQ15" i="121"/>
  <c r="DZ15" i="121" s="1"/>
  <c r="DR73" i="121"/>
  <c r="AF70" i="121"/>
  <c r="CE70" i="121" s="1"/>
  <c r="BU17" i="121"/>
  <c r="BS69" i="121"/>
  <c r="DR63" i="121"/>
  <c r="EF49" i="121"/>
  <c r="GE49" i="121" s="1"/>
  <c r="FQ75" i="121"/>
  <c r="FQ73" i="121"/>
  <c r="BS73" i="121"/>
  <c r="BS72" i="121"/>
  <c r="DR71" i="121"/>
  <c r="FQ70" i="121"/>
  <c r="CG69" i="121"/>
  <c r="EF69" i="121" s="1"/>
  <c r="GE69" i="121" s="1"/>
  <c r="N54" i="121"/>
  <c r="CZ85" i="121"/>
  <c r="FQ71" i="121"/>
  <c r="AC87" i="121"/>
  <c r="EF61" i="121"/>
  <c r="GE61" i="121" s="1"/>
  <c r="CG60" i="121"/>
  <c r="EF60" i="121" s="1"/>
  <c r="GE60" i="121" s="1"/>
  <c r="AF88" i="121"/>
  <c r="CE88" i="121" s="1"/>
  <c r="AF75" i="121"/>
  <c r="DR64" i="121"/>
  <c r="FQ63" i="121"/>
  <c r="CF62" i="121"/>
  <c r="EE62" i="121" s="1"/>
  <c r="GD62" i="121" s="1"/>
  <c r="W17" i="121"/>
  <c r="AF74" i="121"/>
  <c r="CE74" i="121" s="1"/>
  <c r="BS58" i="121"/>
  <c r="DJ54" i="121"/>
  <c r="DR52" i="121"/>
  <c r="CG50" i="121"/>
  <c r="EF50" i="121" s="1"/>
  <c r="GE50" i="121" s="1"/>
  <c r="CG48" i="121"/>
  <c r="EF48" i="121" s="1"/>
  <c r="GE48" i="121" s="1"/>
  <c r="CG72" i="121"/>
  <c r="EF72" i="121" s="1"/>
  <c r="GE72" i="121" s="1"/>
  <c r="N60" i="121"/>
  <c r="EQ76" i="121"/>
  <c r="EQ81" i="121" s="1"/>
  <c r="T15" i="121"/>
  <c r="K22" i="121"/>
  <c r="E85" i="121"/>
  <c r="AF73" i="121"/>
  <c r="AF72" i="121"/>
  <c r="FQ52" i="121"/>
  <c r="DS52" i="121"/>
  <c r="DS54" i="121" s="1"/>
  <c r="BS75" i="121"/>
  <c r="FQ72" i="121"/>
  <c r="AF71" i="121"/>
  <c r="CE71" i="121" s="1"/>
  <c r="DR67" i="121"/>
  <c r="FQ64" i="121"/>
  <c r="BS61" i="121"/>
  <c r="CE61" i="121" s="1"/>
  <c r="ED61" i="121" s="1"/>
  <c r="EF62" i="121"/>
  <c r="GE62" i="121" s="1"/>
  <c r="N11" i="120"/>
  <c r="N178" i="120" s="1"/>
  <c r="BH153" i="120"/>
  <c r="CF153" i="120" s="1"/>
  <c r="N104" i="120"/>
  <c r="AI102" i="120"/>
  <c r="AI72" i="120"/>
  <c r="AL72" i="120" s="1"/>
  <c r="N205" i="120"/>
  <c r="AI126" i="120"/>
  <c r="BG126" i="120" s="1"/>
  <c r="AF73" i="120"/>
  <c r="AP73" i="120"/>
  <c r="BN73" i="120" s="1"/>
  <c r="AS207" i="120"/>
  <c r="CR59" i="121" s="1"/>
  <c r="CR55" i="121"/>
  <c r="AS224" i="120"/>
  <c r="AF133" i="120"/>
  <c r="AL133" i="120" s="1"/>
  <c r="AP133" i="120"/>
  <c r="BE133" i="120" s="1"/>
  <c r="AP71" i="120"/>
  <c r="BE71" i="120" s="1"/>
  <c r="AQ131" i="120"/>
  <c r="BO131" i="120" s="1"/>
  <c r="AN131" i="120"/>
  <c r="AQ66" i="120"/>
  <c r="AN66" i="120"/>
  <c r="AP132" i="120"/>
  <c r="BE132" i="120" s="1"/>
  <c r="AF132" i="120"/>
  <c r="U207" i="120"/>
  <c r="AS59" i="121" s="1"/>
  <c r="AS55" i="121"/>
  <c r="EP54" i="121"/>
  <c r="AZ75" i="121"/>
  <c r="BI75" i="121" s="1"/>
  <c r="AO73" i="121"/>
  <c r="AY73" i="121"/>
  <c r="FR66" i="121"/>
  <c r="EP66" i="121"/>
  <c r="FQ66" i="121" s="1"/>
  <c r="CE92" i="120"/>
  <c r="CH92" i="120" s="1"/>
  <c r="BT66" i="121"/>
  <c r="AR66" i="121"/>
  <c r="BS66" i="121" s="1"/>
  <c r="AI147" i="120"/>
  <c r="T270" i="120"/>
  <c r="AH117" i="120"/>
  <c r="Q106" i="120"/>
  <c r="H270" i="120"/>
  <c r="P265" i="120"/>
  <c r="P270" i="120" s="1"/>
  <c r="BA266" i="120"/>
  <c r="Q41" i="120"/>
  <c r="Q242" i="120" s="1"/>
  <c r="E270" i="120"/>
  <c r="AE260" i="120"/>
  <c r="BT207" i="120"/>
  <c r="EZ59" i="121" s="1"/>
  <c r="EZ55" i="121"/>
  <c r="EZ76" i="121" s="1"/>
  <c r="BS270" i="120"/>
  <c r="AI32" i="120"/>
  <c r="BR17" i="121"/>
  <c r="AJ177" i="120"/>
  <c r="CE86" i="121"/>
  <c r="EF74" i="121"/>
  <c r="EE61" i="121"/>
  <c r="GD61" i="121" s="1"/>
  <c r="G54" i="121"/>
  <c r="DR85" i="121"/>
  <c r="FQ62" i="121"/>
  <c r="DI53" i="121"/>
  <c r="DI54" i="121" s="1"/>
  <c r="BA53" i="121"/>
  <c r="BA54" i="121" s="1"/>
  <c r="BB54" i="121"/>
  <c r="E53" i="121"/>
  <c r="F54" i="121"/>
  <c r="AG53" i="121"/>
  <c r="CG51" i="121"/>
  <c r="BS65" i="121"/>
  <c r="BS64" i="121"/>
  <c r="BU53" i="121"/>
  <c r="BU54" i="121" s="1"/>
  <c r="AT54" i="121"/>
  <c r="CE48" i="121"/>
  <c r="DR47" i="121"/>
  <c r="AG74" i="120"/>
  <c r="DI85" i="121"/>
  <c r="CG73" i="121"/>
  <c r="DR70" i="121"/>
  <c r="FH53" i="121"/>
  <c r="FH54" i="121" s="1"/>
  <c r="CZ53" i="121"/>
  <c r="CZ54" i="121" s="1"/>
  <c r="DA54" i="121"/>
  <c r="BS52" i="121"/>
  <c r="AE71" i="121"/>
  <c r="BZ105" i="120"/>
  <c r="AB203" i="120"/>
  <c r="AB28" i="120"/>
  <c r="N264" i="120"/>
  <c r="N260" i="120" s="1"/>
  <c r="DI17" i="121"/>
  <c r="BJ17" i="121"/>
  <c r="AG94" i="120"/>
  <c r="M75" i="121"/>
  <c r="V75" i="121" s="1"/>
  <c r="B63" i="121"/>
  <c r="L63" i="121"/>
  <c r="FR60" i="121"/>
  <c r="EP60" i="121"/>
  <c r="FQ60" i="121" s="1"/>
  <c r="M58" i="121"/>
  <c r="V58" i="121" s="1"/>
  <c r="AZ69" i="121"/>
  <c r="BI69" i="121" s="1"/>
  <c r="DS66" i="121"/>
  <c r="CQ66" i="121"/>
  <c r="DR66" i="121" s="1"/>
  <c r="E60" i="121"/>
  <c r="AF60" i="121" s="1"/>
  <c r="AG60" i="121"/>
  <c r="L58" i="121"/>
  <c r="B58" i="121"/>
  <c r="N118" i="120"/>
  <c r="AI118" i="120" s="1"/>
  <c r="BR203" i="120"/>
  <c r="ER55" i="121" s="1"/>
  <c r="N254" i="120"/>
  <c r="AI77" i="120"/>
  <c r="AE48" i="121"/>
  <c r="AN48" i="121" s="1"/>
  <c r="EE75" i="121"/>
  <c r="GD75" i="121" s="1"/>
  <c r="CF73" i="121"/>
  <c r="AZ74" i="121"/>
  <c r="BI74" i="121" s="1"/>
  <c r="BX203" i="120"/>
  <c r="BV36" i="120"/>
  <c r="BS85" i="121"/>
  <c r="EE56" i="121"/>
  <c r="GD56" i="121" s="1"/>
  <c r="EZ54" i="121"/>
  <c r="EY53" i="121"/>
  <c r="EY54" i="121" s="1"/>
  <c r="AE67" i="121"/>
  <c r="AL87" i="121"/>
  <c r="CE87" i="121"/>
  <c r="CG58" i="121"/>
  <c r="BL54" i="121"/>
  <c r="CF48" i="121"/>
  <c r="EE48" i="121" s="1"/>
  <c r="GD48" i="121" s="1"/>
  <c r="BS47" i="121"/>
  <c r="CF47" i="121"/>
  <c r="AE63" i="121"/>
  <c r="AN63" i="121" s="1"/>
  <c r="FH17" i="121"/>
  <c r="CG75" i="121"/>
  <c r="AF63" i="121"/>
  <c r="AF58" i="121"/>
  <c r="CG57" i="121"/>
  <c r="BT53" i="121"/>
  <c r="AI108" i="120"/>
  <c r="BG108" i="120" s="1"/>
  <c r="CE108" i="120" s="1"/>
  <c r="CH108" i="120" s="1"/>
  <c r="AG85" i="120"/>
  <c r="S266" i="120"/>
  <c r="S265" i="120" s="1"/>
  <c r="S49" i="120"/>
  <c r="AH49" i="120" s="1"/>
  <c r="B85" i="121"/>
  <c r="K86" i="121"/>
  <c r="BA136" i="120"/>
  <c r="CQ60" i="121"/>
  <c r="DR60" i="121" s="1"/>
  <c r="DS60" i="121"/>
  <c r="BY196" i="120"/>
  <c r="D270" i="120"/>
  <c r="Q114" i="120"/>
  <c r="AH90" i="120"/>
  <c r="BI238" i="120"/>
  <c r="M57" i="121"/>
  <c r="V57" i="121" s="1"/>
  <c r="BY241" i="120"/>
  <c r="AO65" i="121"/>
  <c r="AY65" i="121"/>
  <c r="CF65" i="121"/>
  <c r="EF70" i="121"/>
  <c r="X54" i="121"/>
  <c r="W53" i="121"/>
  <c r="W54" i="121" s="1"/>
  <c r="E52" i="121"/>
  <c r="AF52" i="121" s="1"/>
  <c r="CG47" i="121"/>
  <c r="AX88" i="121"/>
  <c r="BG88" i="121" s="1"/>
  <c r="AF66" i="121"/>
  <c r="AV203" i="120"/>
  <c r="AV28" i="120"/>
  <c r="AD188" i="120"/>
  <c r="AC21" i="120"/>
  <c r="AC188" i="120" s="1"/>
  <c r="EY17" i="121"/>
  <c r="BT17" i="121"/>
  <c r="AR17" i="121"/>
  <c r="CF71" i="121"/>
  <c r="EE71" i="121" s="1"/>
  <c r="GD71" i="121" s="1"/>
  <c r="CF67" i="121"/>
  <c r="EE67" i="121" s="1"/>
  <c r="GD67" i="121" s="1"/>
  <c r="CG63" i="121"/>
  <c r="AF47" i="121"/>
  <c r="Q229" i="120"/>
  <c r="AF229" i="120" s="1"/>
  <c r="AL229" i="120" s="1"/>
  <c r="AO163" i="120"/>
  <c r="AZ207" i="120"/>
  <c r="DK59" i="121" s="1"/>
  <c r="DK55" i="121"/>
  <c r="DK76" i="121" s="1"/>
  <c r="CF74" i="121"/>
  <c r="FQ69" i="121"/>
  <c r="FQ67" i="121"/>
  <c r="CG65" i="121"/>
  <c r="AN65" i="121"/>
  <c r="CF63" i="121"/>
  <c r="CF58" i="121"/>
  <c r="BS56" i="121"/>
  <c r="AR53" i="121"/>
  <c r="AJ45" i="120"/>
  <c r="BH45" i="120" s="1"/>
  <c r="CF45" i="120" s="1"/>
  <c r="CI45" i="120" s="1"/>
  <c r="EP17" i="121"/>
  <c r="FR17" i="121"/>
  <c r="DT17" i="121"/>
  <c r="BA17" i="121"/>
  <c r="AG141" i="120"/>
  <c r="BG229" i="120"/>
  <c r="CE229" i="120" s="1"/>
  <c r="BD163" i="120"/>
  <c r="AZ70" i="121"/>
  <c r="BI70" i="121" s="1"/>
  <c r="AZ71" i="121"/>
  <c r="BI71" i="121" s="1"/>
  <c r="AZ63" i="121"/>
  <c r="BI63" i="121" s="1"/>
  <c r="M73" i="121"/>
  <c r="V73" i="121" s="1"/>
  <c r="AZ65" i="121"/>
  <c r="BI65" i="121" s="1"/>
  <c r="AR60" i="121"/>
  <c r="BS60" i="121" s="1"/>
  <c r="BT60" i="121"/>
  <c r="BP270" i="120"/>
  <c r="AI154" i="120"/>
  <c r="BG154" i="120" s="1"/>
  <c r="CE154" i="120" s="1"/>
  <c r="BA200" i="120"/>
  <c r="BA104" i="120"/>
  <c r="AG131" i="120"/>
  <c r="AP131" i="120" s="1"/>
  <c r="BE131" i="120" s="1"/>
  <c r="AH65" i="120"/>
  <c r="AN65" i="120" s="1"/>
  <c r="BA268" i="120"/>
  <c r="M56" i="121"/>
  <c r="V56" i="121" s="1"/>
  <c r="AI83" i="120"/>
  <c r="BG83" i="120" s="1"/>
  <c r="CE83" i="120" s="1"/>
  <c r="BA254" i="120"/>
  <c r="T17" i="121"/>
  <c r="FE17" i="121"/>
  <c r="AN69" i="121"/>
  <c r="CS54" i="121"/>
  <c r="DT53" i="121"/>
  <c r="DT54" i="121" s="1"/>
  <c r="FQ47" i="121"/>
  <c r="AX87" i="121"/>
  <c r="BG87" i="121" s="1"/>
  <c r="U73" i="121"/>
  <c r="U65" i="121"/>
  <c r="K65" i="121"/>
  <c r="AE51" i="121"/>
  <c r="DS17" i="121"/>
  <c r="CQ17" i="121"/>
  <c r="CQ53" i="121"/>
  <c r="AC88" i="121"/>
  <c r="AE70" i="121"/>
  <c r="AG66" i="121"/>
  <c r="AG81" i="120"/>
  <c r="AF67" i="121"/>
  <c r="CE67" i="121" s="1"/>
  <c r="BS62" i="121"/>
  <c r="CE62" i="121" s="1"/>
  <c r="ED62" i="121" s="1"/>
  <c r="GC62" i="121" s="1"/>
  <c r="FQ57" i="121"/>
  <c r="BS57" i="121"/>
  <c r="ER54" i="121"/>
  <c r="FS53" i="121"/>
  <c r="FS54" i="121" s="1"/>
  <c r="P54" i="121"/>
  <c r="CF51" i="121"/>
  <c r="EE51" i="121" s="1"/>
  <c r="GD51" i="121" s="1"/>
  <c r="CF50" i="121"/>
  <c r="EE50" i="121" s="1"/>
  <c r="GD50" i="121" s="1"/>
  <c r="CF49" i="121"/>
  <c r="EE49" i="121" s="1"/>
  <c r="GD49" i="121" s="1"/>
  <c r="FS17" i="121"/>
  <c r="CZ17" i="121"/>
  <c r="N17" i="121"/>
  <c r="BS68" i="121"/>
  <c r="CE68" i="121" s="1"/>
  <c r="ED68" i="121" s="1"/>
  <c r="GC68" i="121" s="1"/>
  <c r="DR58" i="121"/>
  <c r="FQ56" i="121"/>
  <c r="FI54" i="121"/>
  <c r="FR53" i="121"/>
  <c r="BJ53" i="121"/>
  <c r="BJ54" i="121" s="1"/>
  <c r="FR52" i="121"/>
  <c r="BT52" i="121"/>
  <c r="AI110" i="120"/>
  <c r="BG110" i="120" s="1"/>
  <c r="CE110" i="120" s="1"/>
  <c r="CH110" i="120" s="1"/>
  <c r="AK189" i="120"/>
  <c r="AK21" i="120"/>
  <c r="AK188" i="120" s="1"/>
  <c r="E17" i="121"/>
  <c r="AH17" i="121"/>
  <c r="AI9" i="120"/>
  <c r="AI176" i="120" s="1"/>
  <c r="BH9" i="120"/>
  <c r="N10" i="120"/>
  <c r="L71" i="121"/>
  <c r="B71" i="121"/>
  <c r="B70" i="121"/>
  <c r="L70" i="121"/>
  <c r="AG31" i="120"/>
  <c r="AP31" i="120" s="1"/>
  <c r="C197" i="120"/>
  <c r="C49" i="121" s="1"/>
  <c r="L49" i="121" s="1"/>
  <c r="AE64" i="121"/>
  <c r="AN64" i="121" s="1"/>
  <c r="V53" i="121"/>
  <c r="AE53" i="121" s="1"/>
  <c r="AG101" i="120"/>
  <c r="AM101" i="120" s="1"/>
  <c r="AZ48" i="121"/>
  <c r="BI48" i="121" s="1"/>
  <c r="B31" i="120"/>
  <c r="M50" i="121"/>
  <c r="V50" i="121" s="1"/>
  <c r="FP17" i="121"/>
  <c r="FY17" i="121" s="1"/>
  <c r="BG17" i="121"/>
  <c r="AE17" i="121"/>
  <c r="AD17" i="121"/>
  <c r="B17" i="121"/>
  <c r="EM17" i="121"/>
  <c r="FO17" i="121"/>
  <c r="EV15" i="121"/>
  <c r="EW28" i="121"/>
  <c r="EV28" i="121" s="1"/>
  <c r="AX15" i="121"/>
  <c r="AY28" i="121"/>
  <c r="AX28" i="121" s="1"/>
  <c r="FF28" i="121"/>
  <c r="FE28" i="121" s="1"/>
  <c r="FE15" i="121"/>
  <c r="BR22" i="121"/>
  <c r="CA22" i="121" s="1"/>
  <c r="DQ22" i="121"/>
  <c r="DZ22" i="121" s="1"/>
  <c r="AE16" i="121"/>
  <c r="GI22" i="121"/>
  <c r="AX22" i="121"/>
  <c r="CN22" i="121"/>
  <c r="DP22" i="121"/>
  <c r="EM16" i="121"/>
  <c r="FO16" i="121"/>
  <c r="T16" i="121"/>
  <c r="BQ16" i="121"/>
  <c r="AO16" i="121"/>
  <c r="GI9" i="121"/>
  <c r="EV9" i="121"/>
  <c r="AX9" i="121"/>
  <c r="AO9" i="121"/>
  <c r="BQ9" i="121"/>
  <c r="FZ18" i="121"/>
  <c r="FF18" i="121"/>
  <c r="FE18" i="121" s="1"/>
  <c r="L18" i="121"/>
  <c r="K18" i="121" s="1"/>
  <c r="DG18" i="121"/>
  <c r="DF18" i="121" s="1"/>
  <c r="U18" i="121"/>
  <c r="T18" i="121" s="1"/>
  <c r="BH18" i="121"/>
  <c r="BG18" i="121" s="1"/>
  <c r="EW18" i="121"/>
  <c r="EV18" i="121" s="1"/>
  <c r="C18" i="121"/>
  <c r="AP18" i="121"/>
  <c r="CO18" i="121"/>
  <c r="EN18" i="121"/>
  <c r="AY18" i="121"/>
  <c r="AX18" i="121" s="1"/>
  <c r="CX18" i="121"/>
  <c r="CW18" i="121" s="1"/>
  <c r="GJ18" i="121"/>
  <c r="GI18" i="121" s="1"/>
  <c r="DQ17" i="121"/>
  <c r="FP15" i="121"/>
  <c r="FY15" i="121" s="1"/>
  <c r="CN17" i="121"/>
  <c r="DP17" i="121"/>
  <c r="EV17" i="121"/>
  <c r="K15" i="121"/>
  <c r="L28" i="121"/>
  <c r="K28" i="121" s="1"/>
  <c r="EM15" i="121"/>
  <c r="FO15" i="121"/>
  <c r="EN28" i="121"/>
  <c r="U28" i="121"/>
  <c r="T28" i="121" s="1"/>
  <c r="FP16" i="121"/>
  <c r="FY16" i="121" s="1"/>
  <c r="FP9" i="121"/>
  <c r="CW22" i="121"/>
  <c r="FE22" i="121"/>
  <c r="BG22" i="121"/>
  <c r="DP16" i="121"/>
  <c r="CN16" i="121"/>
  <c r="AX16" i="121"/>
  <c r="EV16" i="121"/>
  <c r="DF9" i="121"/>
  <c r="BG9" i="121"/>
  <c r="FE9" i="121"/>
  <c r="FZ19" i="121"/>
  <c r="C19" i="121"/>
  <c r="FF19" i="121"/>
  <c r="FE19" i="121" s="1"/>
  <c r="L19" i="121"/>
  <c r="K19" i="121" s="1"/>
  <c r="CX19" i="121"/>
  <c r="CW19" i="121" s="1"/>
  <c r="AY19" i="121"/>
  <c r="AX19" i="121" s="1"/>
  <c r="EN19" i="121"/>
  <c r="CO19" i="121"/>
  <c r="AP19" i="121"/>
  <c r="BH19" i="121"/>
  <c r="BG19" i="121" s="1"/>
  <c r="U19" i="121"/>
  <c r="T19" i="121" s="1"/>
  <c r="EW19" i="121"/>
  <c r="EV19" i="121" s="1"/>
  <c r="DG19" i="121"/>
  <c r="DF19" i="121" s="1"/>
  <c r="GJ19" i="121"/>
  <c r="GI19" i="121" s="1"/>
  <c r="FF20" i="121"/>
  <c r="FE20" i="121" s="1"/>
  <c r="FZ20" i="121"/>
  <c r="C20" i="121"/>
  <c r="CX20" i="121"/>
  <c r="CW20" i="121" s="1"/>
  <c r="AP20" i="121"/>
  <c r="DG20" i="121"/>
  <c r="DF20" i="121" s="1"/>
  <c r="EW20" i="121"/>
  <c r="EV20" i="121" s="1"/>
  <c r="AY20" i="121"/>
  <c r="AX20" i="121" s="1"/>
  <c r="U20" i="121"/>
  <c r="T20" i="121" s="1"/>
  <c r="BH20" i="121"/>
  <c r="BG20" i="121" s="1"/>
  <c r="EN20" i="121"/>
  <c r="CO20" i="121"/>
  <c r="L20" i="121"/>
  <c r="K20" i="121" s="1"/>
  <c r="GJ20" i="121"/>
  <c r="GI20" i="121" s="1"/>
  <c r="DF17" i="121"/>
  <c r="AO17" i="121"/>
  <c r="BQ17" i="121"/>
  <c r="CW17" i="121"/>
  <c r="C28" i="121"/>
  <c r="AD15" i="121"/>
  <c r="B15" i="121"/>
  <c r="DF15" i="121"/>
  <c r="DG28" i="121"/>
  <c r="DF28" i="121" s="1"/>
  <c r="CX28" i="121"/>
  <c r="CW28" i="121" s="1"/>
  <c r="CW15" i="121"/>
  <c r="EM22" i="121"/>
  <c r="FP22" i="121"/>
  <c r="FY22" i="121" s="1"/>
  <c r="DQ16" i="121"/>
  <c r="DZ16" i="121" s="1"/>
  <c r="DQ9" i="121"/>
  <c r="T22" i="121"/>
  <c r="DF22" i="121"/>
  <c r="AD22" i="121"/>
  <c r="B22" i="121"/>
  <c r="GI16" i="121"/>
  <c r="CW16" i="121"/>
  <c r="K16" i="121"/>
  <c r="B16" i="121"/>
  <c r="AD16" i="121"/>
  <c r="DP9" i="121"/>
  <c r="CN9" i="121"/>
  <c r="B9" i="121"/>
  <c r="AD9" i="121"/>
  <c r="T9" i="121"/>
  <c r="CW9" i="121"/>
  <c r="BR15" i="121"/>
  <c r="CA15" i="121" s="1"/>
  <c r="AE15" i="121"/>
  <c r="AX17" i="121"/>
  <c r="GI15" i="121"/>
  <c r="BG15" i="121"/>
  <c r="BH28" i="121"/>
  <c r="BG28" i="121" s="1"/>
  <c r="DP15" i="121"/>
  <c r="CN15" i="121"/>
  <c r="CO28" i="121"/>
  <c r="AO15" i="121"/>
  <c r="BQ15" i="121"/>
  <c r="AP28" i="121"/>
  <c r="AE22" i="121"/>
  <c r="BR16" i="121"/>
  <c r="CA16" i="121" s="1"/>
  <c r="AE9" i="121"/>
  <c r="BR9" i="121"/>
  <c r="EV22" i="121"/>
  <c r="AO22" i="121"/>
  <c r="BQ22" i="121"/>
  <c r="FO22" i="121"/>
  <c r="DF16" i="121"/>
  <c r="BG16" i="121"/>
  <c r="FE16" i="121"/>
  <c r="K9" i="121"/>
  <c r="EM9" i="121"/>
  <c r="FO9" i="121"/>
  <c r="AQ23" i="121"/>
  <c r="AQ21" i="121" s="1"/>
  <c r="AQ14" i="121" s="1"/>
  <c r="CY23" i="121"/>
  <c r="CY21" i="121" s="1"/>
  <c r="CY14" i="121" s="1"/>
  <c r="FG23" i="121"/>
  <c r="FG21" i="121" s="1"/>
  <c r="FG14" i="121" s="1"/>
  <c r="V23" i="121"/>
  <c r="V21" i="121" s="1"/>
  <c r="V14" i="121" s="1"/>
  <c r="AZ23" i="121"/>
  <c r="GB21" i="121"/>
  <c r="CP23" i="121"/>
  <c r="EO23" i="121"/>
  <c r="M23" i="121"/>
  <c r="EX23" i="121"/>
  <c r="EX21" i="121" s="1"/>
  <c r="EX14" i="121" s="1"/>
  <c r="BI23" i="121"/>
  <c r="BI21" i="121" s="1"/>
  <c r="BI14" i="121" s="1"/>
  <c r="D23" i="121"/>
  <c r="GK23" i="121"/>
  <c r="FZ23" i="121"/>
  <c r="CO23" i="121"/>
  <c r="EW23" i="121"/>
  <c r="U23" i="121"/>
  <c r="L23" i="121"/>
  <c r="GA21" i="121"/>
  <c r="AY23" i="121"/>
  <c r="BH23" i="121"/>
  <c r="AP23" i="121"/>
  <c r="FF23" i="121"/>
  <c r="DG23" i="121"/>
  <c r="C23" i="121"/>
  <c r="EN23" i="121"/>
  <c r="CX23" i="121"/>
  <c r="GJ23" i="121"/>
  <c r="AQ124" i="120"/>
  <c r="BF124" i="120" s="1"/>
  <c r="BL124" i="120" s="1"/>
  <c r="AN124" i="120"/>
  <c r="AG124" i="120"/>
  <c r="AF124" i="120" s="1"/>
  <c r="AL124" i="120" s="1"/>
  <c r="S198" i="120"/>
  <c r="AQ50" i="121" s="1"/>
  <c r="CF218" i="120"/>
  <c r="CI218" i="120" s="1"/>
  <c r="CI152" i="120"/>
  <c r="CE125" i="120"/>
  <c r="BI118" i="120"/>
  <c r="AQ107" i="120"/>
  <c r="BF107" i="120" s="1"/>
  <c r="BL107" i="120" s="1"/>
  <c r="AN107" i="120"/>
  <c r="AG253" i="120"/>
  <c r="AM253" i="120" s="1"/>
  <c r="AP113" i="120"/>
  <c r="BE113" i="120" s="1"/>
  <c r="BK113" i="120" s="1"/>
  <c r="AM113" i="120"/>
  <c r="AN91" i="120"/>
  <c r="AQ91" i="120"/>
  <c r="BO91" i="120" s="1"/>
  <c r="BQ207" i="120"/>
  <c r="EQ59" i="121" s="1"/>
  <c r="BQ224" i="120"/>
  <c r="AQ92" i="120"/>
  <c r="AN92" i="120"/>
  <c r="BG94" i="120"/>
  <c r="AP108" i="120"/>
  <c r="BE108" i="120" s="1"/>
  <c r="AF108" i="120"/>
  <c r="AM108" i="120"/>
  <c r="AX270" i="120"/>
  <c r="AG211" i="120"/>
  <c r="AP145" i="120"/>
  <c r="BE145" i="120" s="1"/>
  <c r="AF145" i="120"/>
  <c r="AF211" i="120" s="1"/>
  <c r="AM145" i="120"/>
  <c r="BG141" i="120"/>
  <c r="BG134" i="120"/>
  <c r="AL134" i="120"/>
  <c r="CF252" i="120"/>
  <c r="CI252" i="120" s="1"/>
  <c r="CI112" i="120"/>
  <c r="AQ110" i="120"/>
  <c r="BF110" i="120" s="1"/>
  <c r="BL110" i="120" s="1"/>
  <c r="AN110" i="120"/>
  <c r="BG75" i="120"/>
  <c r="AG218" i="120"/>
  <c r="AM218" i="120" s="1"/>
  <c r="AP152" i="120"/>
  <c r="AF152" i="120"/>
  <c r="AF218" i="120" s="1"/>
  <c r="AM152" i="120"/>
  <c r="AM42" i="120"/>
  <c r="AF42" i="120"/>
  <c r="AP42" i="120"/>
  <c r="BE42" i="120" s="1"/>
  <c r="BK42" i="120" s="1"/>
  <c r="V179" i="120"/>
  <c r="V180" i="120" s="1"/>
  <c r="V13" i="120"/>
  <c r="BH215" i="120"/>
  <c r="CF149" i="120"/>
  <c r="CD220" i="120"/>
  <c r="D154" i="120"/>
  <c r="AC212" i="120"/>
  <c r="AI146" i="120"/>
  <c r="AJ220" i="120"/>
  <c r="BH154" i="120"/>
  <c r="BI210" i="120"/>
  <c r="CG144" i="120"/>
  <c r="BZ208" i="120"/>
  <c r="BY142" i="120"/>
  <c r="BN135" i="120"/>
  <c r="CM135" i="120" s="1"/>
  <c r="AO135" i="120"/>
  <c r="BH253" i="120"/>
  <c r="AH250" i="120"/>
  <c r="AH206" i="120"/>
  <c r="AQ109" i="120"/>
  <c r="BF109" i="120" s="1"/>
  <c r="AF138" i="120"/>
  <c r="BE135" i="120"/>
  <c r="BD135" i="120" s="1"/>
  <c r="AF117" i="120"/>
  <c r="AP117" i="120"/>
  <c r="BE117" i="120" s="1"/>
  <c r="BK117" i="120" s="1"/>
  <c r="E129" i="120"/>
  <c r="F122" i="120"/>
  <c r="O129" i="120"/>
  <c r="AM132" i="120"/>
  <c r="BH132" i="120"/>
  <c r="BI222" i="120"/>
  <c r="CG125" i="120"/>
  <c r="CJ125" i="120" s="1"/>
  <c r="R250" i="120"/>
  <c r="R206" i="120"/>
  <c r="AP58" i="121" s="1"/>
  <c r="Q109" i="120"/>
  <c r="R248" i="120"/>
  <c r="Q76" i="120"/>
  <c r="Q248" i="120" s="1"/>
  <c r="CG126" i="120"/>
  <c r="CJ126" i="120" s="1"/>
  <c r="AQ117" i="120"/>
  <c r="AP110" i="120"/>
  <c r="BE110" i="120" s="1"/>
  <c r="AF110" i="120"/>
  <c r="AM110" i="120"/>
  <c r="BI88" i="120"/>
  <c r="BY259" i="120"/>
  <c r="AJ246" i="120"/>
  <c r="BH77" i="120"/>
  <c r="S64" i="120"/>
  <c r="AH63" i="120"/>
  <c r="AN63" i="120" s="1"/>
  <c r="CF264" i="120"/>
  <c r="CI264" i="120" s="1"/>
  <c r="CI48" i="120"/>
  <c r="S245" i="120"/>
  <c r="AH43" i="120"/>
  <c r="CI41" i="120"/>
  <c r="CA208" i="120"/>
  <c r="AF131" i="120"/>
  <c r="B251" i="120"/>
  <c r="AP107" i="120"/>
  <c r="AF107" i="120"/>
  <c r="AL107" i="120" s="1"/>
  <c r="AM107" i="120"/>
  <c r="AP90" i="120"/>
  <c r="AM90" i="120"/>
  <c r="AF90" i="120"/>
  <c r="BY247" i="120"/>
  <c r="AQ75" i="120"/>
  <c r="BF75" i="120" s="1"/>
  <c r="BL75" i="120" s="1"/>
  <c r="BO133" i="120"/>
  <c r="CN133" i="120" s="1"/>
  <c r="BX52" i="120"/>
  <c r="CA52" i="120" s="1"/>
  <c r="BV61" i="120"/>
  <c r="BG66" i="120"/>
  <c r="CE66" i="120" s="1"/>
  <c r="BA238" i="120"/>
  <c r="BA204" i="120"/>
  <c r="BN189" i="120"/>
  <c r="BM22" i="120"/>
  <c r="BM189" i="120" s="1"/>
  <c r="BN21" i="120"/>
  <c r="AY179" i="120"/>
  <c r="AY180" i="120" s="1"/>
  <c r="AY13" i="120"/>
  <c r="AX12" i="120"/>
  <c r="AE178" i="120"/>
  <c r="AM176" i="120"/>
  <c r="AC259" i="120"/>
  <c r="AI84" i="120"/>
  <c r="AO73" i="120"/>
  <c r="AF71" i="120"/>
  <c r="AL71" i="120" s="1"/>
  <c r="BY68" i="120"/>
  <c r="BY261" i="120" s="1"/>
  <c r="AH268" i="120"/>
  <c r="AQ51" i="120"/>
  <c r="BF51" i="120" s="1"/>
  <c r="BF268" i="120" s="1"/>
  <c r="AG264" i="120"/>
  <c r="AP48" i="120"/>
  <c r="AM48" i="120"/>
  <c r="AK262" i="120"/>
  <c r="AN46" i="120"/>
  <c r="BI46" i="120"/>
  <c r="BY243" i="120"/>
  <c r="AG242" i="120"/>
  <c r="AM242" i="120" s="1"/>
  <c r="AP41" i="120"/>
  <c r="BE41" i="120" s="1"/>
  <c r="BK41" i="120" s="1"/>
  <c r="AM41" i="120"/>
  <c r="C201" i="120"/>
  <c r="C53" i="121" s="1"/>
  <c r="R34" i="120"/>
  <c r="AG34" i="120" s="1"/>
  <c r="AM34" i="120" s="1"/>
  <c r="B34" i="120"/>
  <c r="BG30" i="120"/>
  <c r="C189" i="120"/>
  <c r="C21" i="120"/>
  <c r="AG22" i="120"/>
  <c r="AM22" i="120" s="1"/>
  <c r="B22" i="120"/>
  <c r="R183" i="120"/>
  <c r="Q16" i="120"/>
  <c r="Q183" i="120" s="1"/>
  <c r="B182" i="120"/>
  <c r="J181" i="120"/>
  <c r="J225" i="120" s="1"/>
  <c r="J159" i="120"/>
  <c r="AH176" i="120"/>
  <c r="BF9" i="120"/>
  <c r="AK258" i="120"/>
  <c r="AN83" i="120"/>
  <c r="BI83" i="120"/>
  <c r="AM74" i="120"/>
  <c r="BH74" i="120"/>
  <c r="BH242" i="120" s="1"/>
  <c r="BI62" i="120"/>
  <c r="AN62" i="120"/>
  <c r="AC264" i="120"/>
  <c r="AI48" i="120"/>
  <c r="B45" i="120"/>
  <c r="BT179" i="120"/>
  <c r="BT180" i="120" s="1"/>
  <c r="BT13" i="120"/>
  <c r="BO86" i="120"/>
  <c r="CN86" i="120" s="1"/>
  <c r="AH256" i="120"/>
  <c r="AQ81" i="120"/>
  <c r="BG67" i="120"/>
  <c r="BY199" i="120"/>
  <c r="S241" i="120"/>
  <c r="AW203" i="120"/>
  <c r="DB55" i="121" s="1"/>
  <c r="DB76" i="121" s="1"/>
  <c r="AU36" i="120"/>
  <c r="AU203" i="120" s="1"/>
  <c r="AW28" i="120"/>
  <c r="AH198" i="120"/>
  <c r="AN198" i="120" s="1"/>
  <c r="AJ195" i="120"/>
  <c r="BH29" i="120"/>
  <c r="AH189" i="120"/>
  <c r="BF22" i="120"/>
  <c r="AH21" i="120"/>
  <c r="AH188" i="120" s="1"/>
  <c r="AG182" i="120"/>
  <c r="BE15" i="120"/>
  <c r="AF15" i="120"/>
  <c r="AF182" i="120" s="1"/>
  <c r="BA227" i="120"/>
  <c r="BI217" i="120"/>
  <c r="CG151" i="120"/>
  <c r="AH215" i="120"/>
  <c r="AQ149" i="120"/>
  <c r="BF149" i="120" s="1"/>
  <c r="BF215" i="120" s="1"/>
  <c r="BH209" i="120"/>
  <c r="CF143" i="120"/>
  <c r="AC218" i="120"/>
  <c r="AI152" i="120"/>
  <c r="BG164" i="120"/>
  <c r="AL164" i="120"/>
  <c r="AK212" i="120"/>
  <c r="AN146" i="120"/>
  <c r="BI146" i="120"/>
  <c r="H129" i="120"/>
  <c r="H203" i="120" s="1"/>
  <c r="I122" i="120"/>
  <c r="S128" i="120"/>
  <c r="BH125" i="120"/>
  <c r="AH113" i="120"/>
  <c r="AF113" i="120" s="1"/>
  <c r="AF253" i="120" s="1"/>
  <c r="CF251" i="120"/>
  <c r="CI251" i="120" s="1"/>
  <c r="CI111" i="120"/>
  <c r="BH250" i="120"/>
  <c r="BH206" i="120"/>
  <c r="BI104" i="120"/>
  <c r="CG103" i="120"/>
  <c r="AQ100" i="120"/>
  <c r="BF100" i="120" s="1"/>
  <c r="BL100" i="120" s="1"/>
  <c r="AJ223" i="120"/>
  <c r="BH157" i="120"/>
  <c r="BY216" i="120"/>
  <c r="AM140" i="120"/>
  <c r="BH140" i="120"/>
  <c r="AJ136" i="120"/>
  <c r="AC136" i="120"/>
  <c r="AI136" i="120" s="1"/>
  <c r="AM133" i="120"/>
  <c r="BH133" i="120"/>
  <c r="BY128" i="120"/>
  <c r="Q116" i="120"/>
  <c r="BY253" i="120"/>
  <c r="BY252" i="120"/>
  <c r="BY251" i="120"/>
  <c r="CJ97" i="120"/>
  <c r="CG259" i="120"/>
  <c r="CJ259" i="120" s="1"/>
  <c r="CJ84" i="120"/>
  <c r="CG255" i="120"/>
  <c r="CJ255" i="120" s="1"/>
  <c r="CJ80" i="120"/>
  <c r="Q228" i="120"/>
  <c r="Q227" i="120" s="1"/>
  <c r="Q161" i="120"/>
  <c r="AF161" i="120" s="1"/>
  <c r="AO162" i="120"/>
  <c r="AK218" i="120"/>
  <c r="AN152" i="120"/>
  <c r="BI152" i="120"/>
  <c r="AC216" i="120"/>
  <c r="AI150" i="120"/>
  <c r="AI213" i="120"/>
  <c r="BG147" i="120"/>
  <c r="AM139" i="120"/>
  <c r="BH139" i="120"/>
  <c r="BB129" i="120"/>
  <c r="AR129" i="120"/>
  <c r="AS122" i="120"/>
  <c r="R129" i="120"/>
  <c r="Q130" i="120"/>
  <c r="AM120" i="120"/>
  <c r="BH120" i="120"/>
  <c r="BB214" i="120"/>
  <c r="BA148" i="120"/>
  <c r="BA214" i="120" s="1"/>
  <c r="BN140" i="120"/>
  <c r="AO140" i="120"/>
  <c r="BO134" i="120"/>
  <c r="CN134" i="120" s="1"/>
  <c r="BG121" i="120"/>
  <c r="AC250" i="120"/>
  <c r="AC206" i="120"/>
  <c r="AI109" i="120"/>
  <c r="BO101" i="120"/>
  <c r="CN101" i="120" s="1"/>
  <c r="BI269" i="120"/>
  <c r="AC269" i="120"/>
  <c r="AP92" i="120"/>
  <c r="BE92" i="120" s="1"/>
  <c r="AF92" i="120"/>
  <c r="AL92" i="120" s="1"/>
  <c r="AJ258" i="120"/>
  <c r="AM83" i="120"/>
  <c r="BH83" i="120"/>
  <c r="AH255" i="120"/>
  <c r="AN255" i="120" s="1"/>
  <c r="AQ80" i="120"/>
  <c r="BA142" i="120"/>
  <c r="BA208" i="120" s="1"/>
  <c r="W129" i="120"/>
  <c r="W203" i="120" s="1"/>
  <c r="W207" i="120" s="1"/>
  <c r="X122" i="120"/>
  <c r="W122" i="120" s="1"/>
  <c r="CF126" i="120"/>
  <c r="AJ118" i="120"/>
  <c r="O105" i="120"/>
  <c r="F98" i="120"/>
  <c r="BC105" i="120"/>
  <c r="AT98" i="120"/>
  <c r="AG106" i="120"/>
  <c r="AI96" i="120"/>
  <c r="AM86" i="120"/>
  <c r="BH86" i="120"/>
  <c r="BE259" i="120"/>
  <c r="AH258" i="120"/>
  <c r="AQ83" i="120"/>
  <c r="BF83" i="120" s="1"/>
  <c r="BF258" i="120" s="1"/>
  <c r="AH247" i="120"/>
  <c r="AQ79" i="120"/>
  <c r="B248" i="120"/>
  <c r="S199" i="120"/>
  <c r="AQ51" i="121" s="1"/>
  <c r="AH54" i="120"/>
  <c r="CF263" i="120"/>
  <c r="CI263" i="120" s="1"/>
  <c r="CI47" i="120"/>
  <c r="R254" i="120"/>
  <c r="Q44" i="120"/>
  <c r="AG44" i="120"/>
  <c r="AM119" i="120"/>
  <c r="BH119" i="120"/>
  <c r="J98" i="120"/>
  <c r="P105" i="120"/>
  <c r="Q115" i="120"/>
  <c r="Q249" i="120" s="1"/>
  <c r="R251" i="120"/>
  <c r="Q111" i="120"/>
  <c r="Q251" i="120" s="1"/>
  <c r="BG107" i="120"/>
  <c r="CE107" i="120" s="1"/>
  <c r="CH107" i="120" s="1"/>
  <c r="BH101" i="120"/>
  <c r="AJ244" i="120"/>
  <c r="AM85" i="120"/>
  <c r="BH85" i="120"/>
  <c r="AH257" i="120"/>
  <c r="AQ82" i="120"/>
  <c r="Q75" i="120"/>
  <c r="AG75" i="120"/>
  <c r="AK211" i="120"/>
  <c r="AN145" i="120"/>
  <c r="BI145" i="120"/>
  <c r="BF133" i="120"/>
  <c r="BD133" i="120" s="1"/>
  <c r="BJ133" i="120" s="1"/>
  <c r="CG100" i="120"/>
  <c r="CJ100" i="120" s="1"/>
  <c r="AQ94" i="120"/>
  <c r="BF94" i="120" s="1"/>
  <c r="BL94" i="120" s="1"/>
  <c r="BW52" i="120"/>
  <c r="BV70" i="120"/>
  <c r="BL78" i="120"/>
  <c r="AN74" i="120"/>
  <c r="AB52" i="120"/>
  <c r="AE52" i="120" s="1"/>
  <c r="AK52" i="120" s="1"/>
  <c r="Z61" i="120"/>
  <c r="BI63" i="120"/>
  <c r="AK64" i="120"/>
  <c r="S61" i="120"/>
  <c r="AH61" i="120" s="1"/>
  <c r="BY60" i="120"/>
  <c r="AK199" i="120"/>
  <c r="BI54" i="120"/>
  <c r="AK268" i="120"/>
  <c r="AN51" i="120"/>
  <c r="BI51" i="120"/>
  <c r="BC265" i="120"/>
  <c r="BC270" i="120" s="1"/>
  <c r="AD265" i="120"/>
  <c r="AD270" i="120" s="1"/>
  <c r="BH264" i="120"/>
  <c r="Q47" i="120"/>
  <c r="BY242" i="120"/>
  <c r="S239" i="120"/>
  <c r="S205" i="120"/>
  <c r="AQ57" i="121" s="1"/>
  <c r="N238" i="120"/>
  <c r="N204" i="120"/>
  <c r="R190" i="120"/>
  <c r="Q23" i="120"/>
  <c r="Q190" i="120" s="1"/>
  <c r="AN22" i="120"/>
  <c r="CC185" i="120"/>
  <c r="AP18" i="120"/>
  <c r="CB18" i="120"/>
  <c r="CB185" i="120" s="1"/>
  <c r="BN18" i="120"/>
  <c r="R18" i="120"/>
  <c r="C18" i="120"/>
  <c r="AM15" i="120"/>
  <c r="AU159" i="120"/>
  <c r="AU181" i="120"/>
  <c r="AU225" i="120" s="1"/>
  <c r="AA179" i="120"/>
  <c r="AA180" i="120" s="1"/>
  <c r="AA13" i="120"/>
  <c r="BM176" i="120"/>
  <c r="AV179" i="120"/>
  <c r="AV180" i="120" s="1"/>
  <c r="AV13" i="120"/>
  <c r="AI87" i="120"/>
  <c r="AJ259" i="120"/>
  <c r="AM84" i="120"/>
  <c r="BH84" i="120"/>
  <c r="BH78" i="120"/>
  <c r="BY246" i="120"/>
  <c r="BE73" i="120"/>
  <c r="BN72" i="120"/>
  <c r="AO72" i="120"/>
  <c r="CG71" i="120"/>
  <c r="AJ68" i="120"/>
  <c r="AC68" i="120"/>
  <c r="AI68" i="120" s="1"/>
  <c r="BO66" i="120"/>
  <c r="CN66" i="120" s="1"/>
  <c r="R59" i="120"/>
  <c r="AG59" i="120" s="1"/>
  <c r="AM59" i="120" s="1"/>
  <c r="B59" i="120"/>
  <c r="AN58" i="120"/>
  <c r="BI58" i="120"/>
  <c r="BH55" i="120"/>
  <c r="AJ199" i="120"/>
  <c r="BH54" i="120"/>
  <c r="BZ265" i="120"/>
  <c r="X203" i="120"/>
  <c r="BB55" i="121" s="1"/>
  <c r="BA55" i="121" s="1"/>
  <c r="B264" i="120"/>
  <c r="AK245" i="120"/>
  <c r="BI43" i="120"/>
  <c r="N243" i="120"/>
  <c r="B242" i="120"/>
  <c r="BA198" i="120"/>
  <c r="AK197" i="120"/>
  <c r="BI31" i="120"/>
  <c r="BY195" i="120"/>
  <c r="C190" i="120"/>
  <c r="B23" i="120"/>
  <c r="AG23" i="120"/>
  <c r="BH187" i="120"/>
  <c r="CF20" i="120"/>
  <c r="AK186" i="120"/>
  <c r="BI19" i="120"/>
  <c r="AN19" i="120"/>
  <c r="AN186" i="120" s="1"/>
  <c r="AD181" i="120"/>
  <c r="AD225" i="120" s="1"/>
  <c r="BZ178" i="120"/>
  <c r="BZ12" i="120"/>
  <c r="BY11" i="120"/>
  <c r="BY178" i="120" s="1"/>
  <c r="BH176" i="120"/>
  <c r="B176" i="120"/>
  <c r="BI127" i="120"/>
  <c r="BI201" i="120" s="1"/>
  <c r="AK128" i="120"/>
  <c r="CG114" i="120"/>
  <c r="CJ114" i="120" s="1"/>
  <c r="R88" i="120"/>
  <c r="Q91" i="120"/>
  <c r="N266" i="120"/>
  <c r="AK264" i="120"/>
  <c r="BI48" i="120"/>
  <c r="BH263" i="120"/>
  <c r="AG262" i="120"/>
  <c r="AP46" i="120"/>
  <c r="BE46" i="120" s="1"/>
  <c r="BK46" i="120" s="1"/>
  <c r="AF46" i="120"/>
  <c r="BY254" i="120"/>
  <c r="BI241" i="120"/>
  <c r="CG40" i="120"/>
  <c r="S204" i="120"/>
  <c r="AQ56" i="121" s="1"/>
  <c r="J203" i="120"/>
  <c r="P55" i="121" s="1"/>
  <c r="P76" i="121" s="1"/>
  <c r="BO140" i="120"/>
  <c r="CN140" i="120" s="1"/>
  <c r="BG135" i="120"/>
  <c r="AL135" i="120"/>
  <c r="AM131" i="120"/>
  <c r="BH131" i="120"/>
  <c r="BO119" i="120"/>
  <c r="BM119" i="120" s="1"/>
  <c r="CF103" i="120"/>
  <c r="BF86" i="120"/>
  <c r="BL86" i="120" s="1"/>
  <c r="AI81" i="120"/>
  <c r="BI255" i="120"/>
  <c r="BH69" i="120"/>
  <c r="AZ52" i="120"/>
  <c r="AZ158" i="120" s="1"/>
  <c r="AZ160" i="120" s="1"/>
  <c r="AX61" i="120"/>
  <c r="BF68" i="120"/>
  <c r="BF66" i="120"/>
  <c r="BL66" i="120" s="1"/>
  <c r="AK60" i="120"/>
  <c r="BY45" i="120"/>
  <c r="CA36" i="120"/>
  <c r="AC245" i="120"/>
  <c r="AI43" i="120"/>
  <c r="N241" i="120"/>
  <c r="AI37" i="120"/>
  <c r="BW203" i="120"/>
  <c r="FI55" i="121" s="1"/>
  <c r="AA203" i="120"/>
  <c r="BK55" i="121" s="1"/>
  <c r="AA28" i="120"/>
  <c r="Z36" i="120"/>
  <c r="Z203" i="120" s="1"/>
  <c r="Z207" i="120" s="1"/>
  <c r="CB201" i="120"/>
  <c r="AQ34" i="120"/>
  <c r="AJ200" i="120"/>
  <c r="BH33" i="120"/>
  <c r="AP190" i="120"/>
  <c r="AO23" i="120"/>
  <c r="AO190" i="120" s="1"/>
  <c r="CC187" i="120"/>
  <c r="C20" i="120"/>
  <c r="CB20" i="120"/>
  <c r="CB187" i="120" s="1"/>
  <c r="R20" i="120"/>
  <c r="AP20" i="120"/>
  <c r="BN20" i="120"/>
  <c r="AJ186" i="120"/>
  <c r="BH19" i="120"/>
  <c r="AI19" i="120"/>
  <c r="AI186" i="120" s="1"/>
  <c r="O184" i="120"/>
  <c r="AJ17" i="120"/>
  <c r="N17" i="120"/>
  <c r="N184" i="120" s="1"/>
  <c r="AQ183" i="120"/>
  <c r="AQ14" i="120"/>
  <c r="BO182" i="120"/>
  <c r="BQ181" i="120"/>
  <c r="BQ225" i="120" s="1"/>
  <c r="BQ159" i="120"/>
  <c r="BZ159" i="120" s="1"/>
  <c r="BP14" i="120"/>
  <c r="U181" i="120"/>
  <c r="U225" i="120" s="1"/>
  <c r="U159" i="120"/>
  <c r="AD159" i="120" s="1"/>
  <c r="T14" i="120"/>
  <c r="BQ12" i="120"/>
  <c r="U12" i="120"/>
  <c r="BY176" i="120"/>
  <c r="BY177" i="120" s="1"/>
  <c r="BY10" i="120"/>
  <c r="R252" i="120"/>
  <c r="Q112" i="120"/>
  <c r="Q252" i="120" s="1"/>
  <c r="BF72" i="120"/>
  <c r="BL72" i="120" s="1"/>
  <c r="L52" i="120"/>
  <c r="K61" i="120"/>
  <c r="AH60" i="120"/>
  <c r="AQ59" i="120"/>
  <c r="BF59" i="120" s="1"/>
  <c r="BF60" i="120" s="1"/>
  <c r="CN72" i="120"/>
  <c r="CG67" i="120"/>
  <c r="CJ67" i="120" s="1"/>
  <c r="BL67" i="120"/>
  <c r="AI51" i="120"/>
  <c r="CN73" i="120"/>
  <c r="BO67" i="120"/>
  <c r="CN67" i="120" s="1"/>
  <c r="N200" i="120"/>
  <c r="CF211" i="120"/>
  <c r="CI211" i="120" s="1"/>
  <c r="CI145" i="120"/>
  <c r="BY219" i="120"/>
  <c r="AC211" i="120"/>
  <c r="AI145" i="120"/>
  <c r="BI223" i="120"/>
  <c r="CG157" i="120"/>
  <c r="AH221" i="120"/>
  <c r="AN221" i="120" s="1"/>
  <c r="AQ155" i="120"/>
  <c r="BF155" i="120" s="1"/>
  <c r="AN155" i="120"/>
  <c r="B219" i="120"/>
  <c r="V122" i="120"/>
  <c r="AE122" i="120" s="1"/>
  <c r="AE129" i="120"/>
  <c r="AX129" i="120"/>
  <c r="AX203" i="120" s="1"/>
  <c r="AX207" i="120" s="1"/>
  <c r="AY122" i="120"/>
  <c r="AI127" i="120"/>
  <c r="AC128" i="120"/>
  <c r="CF250" i="120"/>
  <c r="CI250" i="120" s="1"/>
  <c r="CF206" i="120"/>
  <c r="CI206" i="120" s="1"/>
  <c r="CI109" i="120"/>
  <c r="AJ269" i="120"/>
  <c r="AM97" i="120"/>
  <c r="BH97" i="120"/>
  <c r="AE208" i="120"/>
  <c r="AK142" i="120"/>
  <c r="AT122" i="120"/>
  <c r="BC122" i="120" s="1"/>
  <c r="BC129" i="120"/>
  <c r="AI269" i="120"/>
  <c r="BG97" i="120"/>
  <c r="AC261" i="120"/>
  <c r="AI89" i="120"/>
  <c r="AJ249" i="120"/>
  <c r="AM87" i="120"/>
  <c r="BH87" i="120"/>
  <c r="AH259" i="120"/>
  <c r="AN259" i="120" s="1"/>
  <c r="AQ84" i="120"/>
  <c r="BF84" i="120" s="1"/>
  <c r="AK246" i="120"/>
  <c r="AN77" i="120"/>
  <c r="BI77" i="120"/>
  <c r="BI138" i="120"/>
  <c r="AN138" i="120"/>
  <c r="AK251" i="120"/>
  <c r="AN111" i="120"/>
  <c r="BI111" i="120"/>
  <c r="CG102" i="120"/>
  <c r="CJ102" i="120" s="1"/>
  <c r="BN97" i="120"/>
  <c r="CM97" i="120" s="1"/>
  <c r="AM95" i="120"/>
  <c r="BH95" i="120"/>
  <c r="AP89" i="120"/>
  <c r="BE89" i="120" s="1"/>
  <c r="AM89" i="120"/>
  <c r="BY255" i="120"/>
  <c r="BY220" i="120"/>
  <c r="BG115" i="120"/>
  <c r="AQ108" i="120"/>
  <c r="BO108" i="120" s="1"/>
  <c r="BY249" i="120"/>
  <c r="AK244" i="120"/>
  <c r="AN85" i="120"/>
  <c r="BI85" i="120"/>
  <c r="AQ71" i="120"/>
  <c r="AP63" i="120"/>
  <c r="BE63" i="120" s="1"/>
  <c r="AJ266" i="120"/>
  <c r="BH50" i="120"/>
  <c r="B263" i="120"/>
  <c r="C240" i="120"/>
  <c r="R39" i="120"/>
  <c r="AG39" i="120" s="1"/>
  <c r="B39" i="120"/>
  <c r="AC205" i="120"/>
  <c r="AC239" i="120"/>
  <c r="AI38" i="120"/>
  <c r="AT203" i="120"/>
  <c r="CS55" i="121" s="1"/>
  <c r="AJ201" i="120"/>
  <c r="AJ35" i="120"/>
  <c r="BH34" i="120"/>
  <c r="AJ198" i="120"/>
  <c r="BH32" i="120"/>
  <c r="AJ190" i="120"/>
  <c r="AM23" i="120"/>
  <c r="AI23" i="120"/>
  <c r="AI190" i="120" s="1"/>
  <c r="BH23" i="120"/>
  <c r="CA178" i="120"/>
  <c r="Q176" i="120"/>
  <c r="AZ179" i="120"/>
  <c r="AZ180" i="120" s="1"/>
  <c r="AZ13" i="120"/>
  <c r="AK215" i="120"/>
  <c r="AN215" i="120" s="1"/>
  <c r="AN149" i="120"/>
  <c r="BI149" i="120"/>
  <c r="BI93" i="120"/>
  <c r="AN93" i="120"/>
  <c r="AI258" i="120"/>
  <c r="AL258" i="120" s="1"/>
  <c r="AL83" i="120"/>
  <c r="BG78" i="120"/>
  <c r="CE78" i="120" s="1"/>
  <c r="CA61" i="120"/>
  <c r="BY49" i="120"/>
  <c r="BZ36" i="120"/>
  <c r="BI49" i="120"/>
  <c r="AN49" i="120"/>
  <c r="AP43" i="120"/>
  <c r="BE43" i="120" s="1"/>
  <c r="R243" i="120"/>
  <c r="Q42" i="120"/>
  <c r="BG34" i="120"/>
  <c r="AC200" i="120"/>
  <c r="AI33" i="120"/>
  <c r="CG32" i="120"/>
  <c r="BY197" i="120"/>
  <c r="AK195" i="120"/>
  <c r="BI29" i="120"/>
  <c r="AJ185" i="120"/>
  <c r="AI18" i="120"/>
  <c r="AI185" i="120" s="1"/>
  <c r="BH18" i="120"/>
  <c r="D184" i="120"/>
  <c r="AH17" i="120"/>
  <c r="AT181" i="120"/>
  <c r="AT225" i="120" s="1"/>
  <c r="AT159" i="120"/>
  <c r="AT12" i="120"/>
  <c r="BB178" i="120"/>
  <c r="BA11" i="120"/>
  <c r="BA178" i="120" s="1"/>
  <c r="AK247" i="120"/>
  <c r="AN79" i="120"/>
  <c r="BI79" i="120"/>
  <c r="AM72" i="120"/>
  <c r="BH72" i="120"/>
  <c r="S263" i="120"/>
  <c r="AK253" i="120"/>
  <c r="BI113" i="120"/>
  <c r="CF99" i="120"/>
  <c r="AN84" i="120"/>
  <c r="AQ56" i="120"/>
  <c r="AN56" i="120"/>
  <c r="BH262" i="120"/>
  <c r="AI44" i="120"/>
  <c r="AJ245" i="120"/>
  <c r="AM43" i="120"/>
  <c r="BH43" i="120"/>
  <c r="CA184" i="120"/>
  <c r="CA14" i="120"/>
  <c r="CA181" i="120" s="1"/>
  <c r="CA225" i="120" s="1"/>
  <c r="BU181" i="120"/>
  <c r="BU225" i="120" s="1"/>
  <c r="BU159" i="120"/>
  <c r="Y181" i="120"/>
  <c r="Y225" i="120" s="1"/>
  <c r="Y159" i="120"/>
  <c r="Y160" i="120" s="1"/>
  <c r="BU12" i="120"/>
  <c r="Y12" i="120"/>
  <c r="AC176" i="120"/>
  <c r="AC177" i="120" s="1"/>
  <c r="AC10" i="120"/>
  <c r="B252" i="120"/>
  <c r="AN75" i="120"/>
  <c r="BT52" i="120"/>
  <c r="BS61" i="120"/>
  <c r="BI53" i="120"/>
  <c r="AN53" i="120"/>
  <c r="AJ239" i="120"/>
  <c r="AC238" i="120"/>
  <c r="CJ34" i="120"/>
  <c r="BO55" i="120"/>
  <c r="CN55" i="120" s="1"/>
  <c r="BI204" i="120"/>
  <c r="BG32" i="120"/>
  <c r="AI228" i="120"/>
  <c r="N227" i="120"/>
  <c r="BD164" i="120"/>
  <c r="AH157" i="120"/>
  <c r="BI221" i="120"/>
  <c r="AH219" i="120"/>
  <c r="AQ153" i="120"/>
  <c r="AK216" i="120"/>
  <c r="BI150" i="120"/>
  <c r="AJ213" i="120"/>
  <c r="AM147" i="120"/>
  <c r="BH147" i="120"/>
  <c r="AH211" i="120"/>
  <c r="AQ145" i="120"/>
  <c r="BF145" i="120" s="1"/>
  <c r="BF211" i="120" s="1"/>
  <c r="AK220" i="120"/>
  <c r="BI154" i="120"/>
  <c r="AC219" i="120"/>
  <c r="AI153" i="120"/>
  <c r="AC215" i="120"/>
  <c r="AI149" i="120"/>
  <c r="O214" i="120"/>
  <c r="N148" i="120"/>
  <c r="N214" i="120" s="1"/>
  <c r="S212" i="120"/>
  <c r="AQ64" i="121" s="1"/>
  <c r="BG161" i="120"/>
  <c r="R219" i="120"/>
  <c r="AP71" i="121" s="1"/>
  <c r="Q153" i="120"/>
  <c r="Q219" i="120" s="1"/>
  <c r="U224" i="120"/>
  <c r="U226" i="120" s="1"/>
  <c r="CG155" i="120"/>
  <c r="AI223" i="120"/>
  <c r="BG157" i="120"/>
  <c r="S215" i="120"/>
  <c r="AQ67" i="121" s="1"/>
  <c r="AM211" i="120"/>
  <c r="CE162" i="120"/>
  <c r="C222" i="120"/>
  <c r="C74" i="121" s="1"/>
  <c r="R156" i="120"/>
  <c r="AG156" i="120" s="1"/>
  <c r="AM156" i="120" s="1"/>
  <c r="B156" i="120"/>
  <c r="BH217" i="120"/>
  <c r="CF151" i="120"/>
  <c r="BZ214" i="120"/>
  <c r="BY148" i="120"/>
  <c r="B211" i="120"/>
  <c r="AM141" i="120"/>
  <c r="BH141" i="120"/>
  <c r="AM134" i="120"/>
  <c r="BH134" i="120"/>
  <c r="BH128" i="120"/>
  <c r="CF127" i="120"/>
  <c r="AH127" i="120"/>
  <c r="AF127" i="120" s="1"/>
  <c r="BH251" i="120"/>
  <c r="AI104" i="120"/>
  <c r="BG103" i="120"/>
  <c r="AC222" i="120"/>
  <c r="AI156" i="120"/>
  <c r="BY138" i="120"/>
  <c r="AD129" i="120"/>
  <c r="T129" i="120"/>
  <c r="T203" i="120" s="1"/>
  <c r="U122" i="120"/>
  <c r="AP127" i="120"/>
  <c r="BE127" i="120" s="1"/>
  <c r="AM127" i="120"/>
  <c r="AH126" i="120"/>
  <c r="AH116" i="120"/>
  <c r="AN116" i="120" s="1"/>
  <c r="D105" i="120"/>
  <c r="AC253" i="120"/>
  <c r="AI113" i="120"/>
  <c r="AC252" i="120"/>
  <c r="AI112" i="120"/>
  <c r="AC251" i="120"/>
  <c r="AI111" i="120"/>
  <c r="AE105" i="120"/>
  <c r="V98" i="120"/>
  <c r="BA269" i="120"/>
  <c r="Q267" i="120"/>
  <c r="O261" i="120"/>
  <c r="O260" i="120" s="1"/>
  <c r="B227" i="120"/>
  <c r="D216" i="120"/>
  <c r="D68" i="121" s="1"/>
  <c r="M68" i="121" s="1"/>
  <c r="V68" i="121" s="1"/>
  <c r="AE68" i="121" s="1"/>
  <c r="S150" i="120"/>
  <c r="S216" i="120" s="1"/>
  <c r="AQ68" i="121" s="1"/>
  <c r="AZ68" i="121" s="1"/>
  <c r="BI68" i="121" s="1"/>
  <c r="BR68" i="121" s="1"/>
  <c r="CA68" i="121" s="1"/>
  <c r="BI213" i="120"/>
  <c r="AM130" i="120"/>
  <c r="BH130" i="120"/>
  <c r="BJ163" i="120"/>
  <c r="CE163" i="120"/>
  <c r="AH151" i="120"/>
  <c r="BO141" i="120"/>
  <c r="CN141" i="120" s="1"/>
  <c r="BE140" i="120"/>
  <c r="BD140" i="120" s="1"/>
  <c r="BJ140" i="120" s="1"/>
  <c r="CE139" i="120"/>
  <c r="CH139" i="120" s="1"/>
  <c r="S129" i="120"/>
  <c r="S122" i="120" s="1"/>
  <c r="Q136" i="120"/>
  <c r="BL135" i="120"/>
  <c r="BF134" i="120"/>
  <c r="BL134" i="120" s="1"/>
  <c r="AQ132" i="120"/>
  <c r="BF132" i="120" s="1"/>
  <c r="CG131" i="120"/>
  <c r="CJ131" i="120" s="1"/>
  <c r="CG124" i="120"/>
  <c r="CJ124" i="120" s="1"/>
  <c r="BG123" i="120"/>
  <c r="BH121" i="120"/>
  <c r="CM119" i="120"/>
  <c r="BI116" i="120"/>
  <c r="AH114" i="120"/>
  <c r="B253" i="120"/>
  <c r="AG109" i="120"/>
  <c r="AH106" i="120"/>
  <c r="AH238" i="120" s="1"/>
  <c r="AN238" i="120" s="1"/>
  <c r="BF101" i="120"/>
  <c r="AH269" i="120"/>
  <c r="AN269" i="120" s="1"/>
  <c r="AQ97" i="120"/>
  <c r="AO97" i="120" s="1"/>
  <c r="AJ267" i="120"/>
  <c r="AM96" i="120"/>
  <c r="BH96" i="120"/>
  <c r="AH89" i="120"/>
  <c r="AF81" i="120"/>
  <c r="AF256" i="120" s="1"/>
  <c r="AJ247" i="120"/>
  <c r="AM247" i="120" s="1"/>
  <c r="AM79" i="120"/>
  <c r="BH79" i="120"/>
  <c r="AM117" i="120"/>
  <c r="AG114" i="120"/>
  <c r="Q110" i="120"/>
  <c r="BG102" i="120"/>
  <c r="AN100" i="120"/>
  <c r="AF97" i="120"/>
  <c r="BL95" i="120"/>
  <c r="BY93" i="120"/>
  <c r="AQ87" i="120"/>
  <c r="BF87" i="120" s="1"/>
  <c r="AF84" i="120"/>
  <c r="AF259" i="120" s="1"/>
  <c r="AK257" i="120"/>
  <c r="AN82" i="120"/>
  <c r="BI82" i="120"/>
  <c r="AF80" i="120"/>
  <c r="AF255" i="120" s="1"/>
  <c r="BH75" i="120"/>
  <c r="AM75" i="120"/>
  <c r="R266" i="120"/>
  <c r="R49" i="120"/>
  <c r="Q50" i="120"/>
  <c r="AG50" i="120"/>
  <c r="CF46" i="120"/>
  <c r="AK219" i="120"/>
  <c r="AN219" i="120" s="1"/>
  <c r="AN153" i="120"/>
  <c r="BI153" i="120"/>
  <c r="BL141" i="120"/>
  <c r="CF123" i="120"/>
  <c r="AL119" i="120"/>
  <c r="BG119" i="120"/>
  <c r="AN117" i="120"/>
  <c r="AC116" i="120"/>
  <c r="AI116" i="120" s="1"/>
  <c r="AJ116" i="120"/>
  <c r="AG115" i="120"/>
  <c r="Q107" i="120"/>
  <c r="AH103" i="120"/>
  <c r="AI101" i="120"/>
  <c r="AJ88" i="120"/>
  <c r="AC88" i="120"/>
  <c r="AI88" i="120" s="1"/>
  <c r="AF87" i="120"/>
  <c r="BY258" i="120"/>
  <c r="AK256" i="120"/>
  <c r="AN256" i="120" s="1"/>
  <c r="AN81" i="120"/>
  <c r="BI81" i="120"/>
  <c r="AF79" i="120"/>
  <c r="AF247" i="120" s="1"/>
  <c r="AH246" i="120"/>
  <c r="AQ77" i="120"/>
  <c r="BF77" i="120" s="1"/>
  <c r="BF246" i="120" s="1"/>
  <c r="BY248" i="120"/>
  <c r="AC248" i="120"/>
  <c r="AI76" i="120"/>
  <c r="BG74" i="120"/>
  <c r="AL73" i="120"/>
  <c r="BG73" i="120"/>
  <c r="BG72" i="120"/>
  <c r="BG71" i="120"/>
  <c r="Q63" i="120"/>
  <c r="BG57" i="120"/>
  <c r="AJ268" i="120"/>
  <c r="BH51" i="120"/>
  <c r="AK266" i="120"/>
  <c r="AN50" i="120"/>
  <c r="BI50" i="120"/>
  <c r="N49" i="120"/>
  <c r="O36" i="120"/>
  <c r="AM264" i="120"/>
  <c r="AH48" i="120"/>
  <c r="AC243" i="120"/>
  <c r="AI42" i="120"/>
  <c r="CI40" i="120"/>
  <c r="AJ241" i="120"/>
  <c r="AH240" i="120"/>
  <c r="AQ39" i="120"/>
  <c r="AQ37" i="120"/>
  <c r="BU203" i="120"/>
  <c r="FA55" i="121" s="1"/>
  <c r="FA76" i="121" s="1"/>
  <c r="BS36" i="120"/>
  <c r="BS203" i="120" s="1"/>
  <c r="BS207" i="120" s="1"/>
  <c r="BU28" i="120"/>
  <c r="AJ196" i="120"/>
  <c r="BH30" i="120"/>
  <c r="AJ189" i="120"/>
  <c r="AJ21" i="120"/>
  <c r="AI22" i="120"/>
  <c r="AI189" i="120" s="1"/>
  <c r="BH22" i="120"/>
  <c r="Q17" i="120"/>
  <c r="Q184" i="120" s="1"/>
  <c r="BS14" i="120"/>
  <c r="W14" i="120"/>
  <c r="BW179" i="120"/>
  <c r="BW180" i="120" s="1"/>
  <c r="BW13" i="120"/>
  <c r="BV12" i="120"/>
  <c r="BA176" i="120"/>
  <c r="BA177" i="120" s="1"/>
  <c r="BA10" i="120"/>
  <c r="BY198" i="120"/>
  <c r="X179" i="120"/>
  <c r="X180" i="120" s="1"/>
  <c r="X13" i="120"/>
  <c r="B218" i="120"/>
  <c r="BY136" i="120"/>
  <c r="BY116" i="120"/>
  <c r="CG108" i="120"/>
  <c r="CJ108" i="120" s="1"/>
  <c r="AC249" i="120"/>
  <c r="AC255" i="120"/>
  <c r="AI80" i="120"/>
  <c r="AI79" i="120"/>
  <c r="BO78" i="120"/>
  <c r="CN78" i="120" s="1"/>
  <c r="CG74" i="120"/>
  <c r="CJ74" i="120" s="1"/>
  <c r="BZ70" i="120"/>
  <c r="AN69" i="120"/>
  <c r="BI69" i="120"/>
  <c r="AV52" i="120"/>
  <c r="AU61" i="120"/>
  <c r="BH67" i="120"/>
  <c r="AJ64" i="120"/>
  <c r="AM63" i="120"/>
  <c r="BH63" i="120"/>
  <c r="AQ57" i="120"/>
  <c r="BF57" i="120" s="1"/>
  <c r="AC199" i="120"/>
  <c r="AI54" i="120"/>
  <c r="AK45" i="120"/>
  <c r="AC45" i="120"/>
  <c r="AI45" i="120" s="1"/>
  <c r="AE36" i="120"/>
  <c r="AK254" i="120"/>
  <c r="AN44" i="120"/>
  <c r="BI44" i="120"/>
  <c r="CF42" i="120"/>
  <c r="S243" i="120"/>
  <c r="AH40" i="120"/>
  <c r="BY238" i="120"/>
  <c r="BY204" i="120"/>
  <c r="BC28" i="120"/>
  <c r="M203" i="120"/>
  <c r="Y55" i="121" s="1"/>
  <c r="Y76" i="121" s="1"/>
  <c r="M28" i="120"/>
  <c r="K36" i="120"/>
  <c r="K203" i="120" s="1"/>
  <c r="AK200" i="120"/>
  <c r="BI33" i="120"/>
  <c r="AQ32" i="120"/>
  <c r="AC195" i="120"/>
  <c r="AI29" i="120"/>
  <c r="BI189" i="120"/>
  <c r="CG22" i="120"/>
  <c r="BI21" i="120"/>
  <c r="BI188" i="120" s="1"/>
  <c r="BL22" i="120"/>
  <c r="AH187" i="120"/>
  <c r="BF20" i="120"/>
  <c r="BF187" i="120" s="1"/>
  <c r="P184" i="120"/>
  <c r="AK17" i="120"/>
  <c r="P14" i="120"/>
  <c r="BN183" i="120"/>
  <c r="BM16" i="120"/>
  <c r="BM183" i="120" s="1"/>
  <c r="D183" i="120"/>
  <c r="AH16" i="120"/>
  <c r="AH14" i="120" s="1"/>
  <c r="AH181" i="120" s="1"/>
  <c r="AH225" i="120" s="1"/>
  <c r="D14" i="120"/>
  <c r="BZ181" i="120"/>
  <c r="BZ225" i="120" s="1"/>
  <c r="Z181" i="120"/>
  <c r="Z225" i="120" s="1"/>
  <c r="Z159" i="120"/>
  <c r="J12" i="120"/>
  <c r="Q117" i="120"/>
  <c r="Q262" i="120" s="1"/>
  <c r="AK250" i="120"/>
  <c r="AK206" i="120"/>
  <c r="AN206" i="120" s="1"/>
  <c r="AN109" i="120"/>
  <c r="BI109" i="120"/>
  <c r="BY256" i="120"/>
  <c r="AM73" i="120"/>
  <c r="BH73" i="120"/>
  <c r="AM71" i="120"/>
  <c r="BH71" i="120"/>
  <c r="X52" i="120"/>
  <c r="W61" i="120"/>
  <c r="AD61" i="120"/>
  <c r="O265" i="120"/>
  <c r="AH47" i="120"/>
  <c r="AN47" i="120" s="1"/>
  <c r="B262" i="120"/>
  <c r="BY245" i="120"/>
  <c r="AC242" i="120"/>
  <c r="AI41" i="120"/>
  <c r="AK239" i="120"/>
  <c r="AK205" i="120"/>
  <c r="BI38" i="120"/>
  <c r="S201" i="120"/>
  <c r="AQ53" i="121" s="1"/>
  <c r="AM135" i="120"/>
  <c r="BH135" i="120"/>
  <c r="BG131" i="120"/>
  <c r="AL131" i="120"/>
  <c r="BO125" i="120"/>
  <c r="CN125" i="120" s="1"/>
  <c r="AQ123" i="120"/>
  <c r="BO123" i="120" s="1"/>
  <c r="CG107" i="120"/>
  <c r="CJ107" i="120" s="1"/>
  <c r="AH244" i="120"/>
  <c r="AQ85" i="120"/>
  <c r="AI82" i="120"/>
  <c r="AN80" i="120"/>
  <c r="AI69" i="120"/>
  <c r="CG59" i="120"/>
  <c r="BG56" i="120"/>
  <c r="AC263" i="120"/>
  <c r="AI47" i="120"/>
  <c r="BY262" i="120"/>
  <c r="AQ46" i="120"/>
  <c r="V203" i="120"/>
  <c r="AT55" i="121" s="1"/>
  <c r="AT76" i="121" s="1"/>
  <c r="N197" i="120"/>
  <c r="AH196" i="120"/>
  <c r="AN196" i="120" s="1"/>
  <c r="AQ30" i="120"/>
  <c r="AH190" i="120"/>
  <c r="BF23" i="120"/>
  <c r="BF190" i="120" s="1"/>
  <c r="BB188" i="120"/>
  <c r="BB14" i="120"/>
  <c r="BA21" i="120"/>
  <c r="BA188" i="120" s="1"/>
  <c r="AK187" i="120"/>
  <c r="BI20" i="120"/>
  <c r="AN20" i="120"/>
  <c r="AN187" i="120" s="1"/>
  <c r="AE184" i="120"/>
  <c r="AE14" i="120"/>
  <c r="AE181" i="120" s="1"/>
  <c r="AE225" i="120" s="1"/>
  <c r="C183" i="120"/>
  <c r="AG16" i="120"/>
  <c r="B16" i="120"/>
  <c r="S182" i="120"/>
  <c r="S14" i="120"/>
  <c r="AW181" i="120"/>
  <c r="AW225" i="120" s="1"/>
  <c r="AW159" i="120"/>
  <c r="M181" i="120"/>
  <c r="M225" i="120" s="1"/>
  <c r="M159" i="120"/>
  <c r="AW12" i="120"/>
  <c r="M12" i="120"/>
  <c r="BO176" i="120"/>
  <c r="AK176" i="120"/>
  <c r="BI9" i="120"/>
  <c r="AN9" i="120"/>
  <c r="AN176" i="120" s="1"/>
  <c r="AK10" i="120"/>
  <c r="D129" i="120"/>
  <c r="AH136" i="120"/>
  <c r="AN136" i="120" s="1"/>
  <c r="AQ120" i="120"/>
  <c r="AQ118" i="120" s="1"/>
  <c r="N269" i="120"/>
  <c r="BY244" i="120"/>
  <c r="AG76" i="120"/>
  <c r="D70" i="120"/>
  <c r="AK201" i="120"/>
  <c r="AI50" i="120"/>
  <c r="AH38" i="120"/>
  <c r="BY201" i="120"/>
  <c r="BY202" i="120" s="1"/>
  <c r="CG222" i="120"/>
  <c r="CJ222" i="120" s="1"/>
  <c r="CJ156" i="120"/>
  <c r="AH218" i="120"/>
  <c r="AQ152" i="120"/>
  <c r="D210" i="120"/>
  <c r="D62" i="121" s="1"/>
  <c r="S144" i="120"/>
  <c r="S210" i="120" s="1"/>
  <c r="AQ62" i="121" s="1"/>
  <c r="BY218" i="120"/>
  <c r="BY215" i="120"/>
  <c r="CG213" i="120"/>
  <c r="CJ213" i="120" s="1"/>
  <c r="CJ147" i="120"/>
  <c r="AC209" i="120"/>
  <c r="AI143" i="120"/>
  <c r="AP137" i="120"/>
  <c r="BE137" i="120" s="1"/>
  <c r="AH252" i="120"/>
  <c r="AQ112" i="120"/>
  <c r="BN134" i="120"/>
  <c r="BM134" i="120" s="1"/>
  <c r="AO134" i="120"/>
  <c r="S250" i="120"/>
  <c r="S206" i="120"/>
  <c r="AQ58" i="121" s="1"/>
  <c r="AJ216" i="120"/>
  <c r="BH150" i="120"/>
  <c r="BN133" i="120"/>
  <c r="BM133" i="120" s="1"/>
  <c r="AO133" i="120"/>
  <c r="BG124" i="120"/>
  <c r="CE124" i="120" s="1"/>
  <c r="CH124" i="120" s="1"/>
  <c r="BY88" i="120"/>
  <c r="B221" i="120"/>
  <c r="AH222" i="120"/>
  <c r="AN222" i="120" s="1"/>
  <c r="AQ156" i="120"/>
  <c r="BF156" i="120" s="1"/>
  <c r="BF222" i="120" s="1"/>
  <c r="BH218" i="120"/>
  <c r="AH212" i="120"/>
  <c r="AQ146" i="120"/>
  <c r="AJ210" i="120"/>
  <c r="BH144" i="120"/>
  <c r="AJ221" i="120"/>
  <c r="AM155" i="120"/>
  <c r="BH155" i="120"/>
  <c r="CA214" i="120"/>
  <c r="AE214" i="120"/>
  <c r="AK148" i="120"/>
  <c r="BY212" i="120"/>
  <c r="BY211" i="120"/>
  <c r="BY209" i="120"/>
  <c r="AO230" i="120"/>
  <c r="CN88" i="121" s="1"/>
  <c r="BM164" i="120"/>
  <c r="AL162" i="120"/>
  <c r="Q155" i="120"/>
  <c r="Q221" i="120" s="1"/>
  <c r="AG219" i="120"/>
  <c r="AM219" i="120" s="1"/>
  <c r="AP153" i="120"/>
  <c r="BE153" i="120" s="1"/>
  <c r="AF153" i="120"/>
  <c r="AF219" i="120" s="1"/>
  <c r="AM153" i="120"/>
  <c r="R211" i="120"/>
  <c r="AP63" i="121" s="1"/>
  <c r="Q145" i="120"/>
  <c r="Q211" i="120" s="1"/>
  <c r="AI210" i="120"/>
  <c r="BG144" i="120"/>
  <c r="AG136" i="120"/>
  <c r="B136" i="120"/>
  <c r="BI136" i="120"/>
  <c r="CG136" i="120" s="1"/>
  <c r="CJ136" i="120" s="1"/>
  <c r="C129" i="120"/>
  <c r="CF113" i="120"/>
  <c r="BH252" i="120"/>
  <c r="AH251" i="120"/>
  <c r="AQ111" i="120"/>
  <c r="B103" i="120"/>
  <c r="R103" i="120"/>
  <c r="AG103" i="120" s="1"/>
  <c r="CI89" i="120"/>
  <c r="CM87" i="120"/>
  <c r="AJ222" i="120"/>
  <c r="BH156" i="120"/>
  <c r="CG130" i="120"/>
  <c r="CJ130" i="120" s="1"/>
  <c r="AG116" i="120"/>
  <c r="B116" i="120"/>
  <c r="AD214" i="120"/>
  <c r="AJ148" i="120"/>
  <c r="AC148" i="120"/>
  <c r="AH213" i="120"/>
  <c r="AN213" i="120" s="1"/>
  <c r="AQ147" i="120"/>
  <c r="AD208" i="120"/>
  <c r="AJ142" i="120"/>
  <c r="AC142" i="120"/>
  <c r="BR122" i="120"/>
  <c r="CA122" i="120" s="1"/>
  <c r="CA129" i="120"/>
  <c r="BG130" i="120"/>
  <c r="CE130" i="120" s="1"/>
  <c r="CH130" i="120" s="1"/>
  <c r="AF130" i="120"/>
  <c r="AL130" i="120" s="1"/>
  <c r="AP130" i="120"/>
  <c r="BE130" i="120" s="1"/>
  <c r="R121" i="120"/>
  <c r="AG121" i="120" s="1"/>
  <c r="C118" i="120"/>
  <c r="B121" i="120"/>
  <c r="AL163" i="120"/>
  <c r="O208" i="120"/>
  <c r="N142" i="120"/>
  <c r="N208" i="120" s="1"/>
  <c r="AQ139" i="120"/>
  <c r="BF139" i="120" s="1"/>
  <c r="BD139" i="120" s="1"/>
  <c r="BJ139" i="120" s="1"/>
  <c r="BH124" i="120"/>
  <c r="R253" i="120"/>
  <c r="Q113" i="120"/>
  <c r="Q253" i="120" s="1"/>
  <c r="B250" i="120"/>
  <c r="B206" i="120"/>
  <c r="BH102" i="120"/>
  <c r="CA260" i="120"/>
  <c r="CA270" i="120" s="1"/>
  <c r="S261" i="120"/>
  <c r="S88" i="120"/>
  <c r="S70" i="120" s="1"/>
  <c r="AH248" i="120"/>
  <c r="AQ76" i="120"/>
  <c r="BF76" i="120" s="1"/>
  <c r="BF248" i="120" s="1"/>
  <c r="CE161" i="120"/>
  <c r="AK209" i="120"/>
  <c r="BI143" i="120"/>
  <c r="AC138" i="120"/>
  <c r="AI138" i="120" s="1"/>
  <c r="AJ138" i="120"/>
  <c r="AH115" i="120"/>
  <c r="AQ102" i="120"/>
  <c r="BF102" i="120" s="1"/>
  <c r="BL102" i="120" s="1"/>
  <c r="AN101" i="120"/>
  <c r="BI101" i="120"/>
  <c r="AH267" i="120"/>
  <c r="AQ96" i="120"/>
  <c r="AQ90" i="120"/>
  <c r="BO90" i="120" s="1"/>
  <c r="AN90" i="120"/>
  <c r="AG88" i="120"/>
  <c r="B88" i="120"/>
  <c r="BA249" i="120"/>
  <c r="S249" i="120"/>
  <c r="AJ257" i="120"/>
  <c r="AM82" i="120"/>
  <c r="BH82" i="120"/>
  <c r="R268" i="120"/>
  <c r="Q51" i="120"/>
  <c r="AG51" i="120"/>
  <c r="CG121" i="120"/>
  <c r="CJ121" i="120" s="1"/>
  <c r="CA105" i="120"/>
  <c r="BR98" i="120"/>
  <c r="AK252" i="120"/>
  <c r="AN112" i="120"/>
  <c r="BI112" i="120"/>
  <c r="AG251" i="120"/>
  <c r="AM251" i="120" s="1"/>
  <c r="AP111" i="120"/>
  <c r="AF111" i="120"/>
  <c r="AF251" i="120" s="1"/>
  <c r="AM111" i="120"/>
  <c r="BY250" i="120"/>
  <c r="BY206" i="120"/>
  <c r="AN108" i="120"/>
  <c r="AQ99" i="120"/>
  <c r="BF99" i="120" s="1"/>
  <c r="BL99" i="120" s="1"/>
  <c r="AN99" i="120"/>
  <c r="AM94" i="120"/>
  <c r="BH94" i="120"/>
  <c r="BG91" i="120"/>
  <c r="CE91" i="120" s="1"/>
  <c r="CH91" i="120" s="1"/>
  <c r="AJ256" i="120"/>
  <c r="AM81" i="120"/>
  <c r="BH81" i="120"/>
  <c r="R246" i="120"/>
  <c r="Q77" i="120"/>
  <c r="AG77" i="120"/>
  <c r="AK248" i="120"/>
  <c r="AN76" i="120"/>
  <c r="BI76" i="120"/>
  <c r="AQ74" i="120"/>
  <c r="Q108" i="120"/>
  <c r="AK267" i="120"/>
  <c r="AN96" i="120"/>
  <c r="BI96" i="120"/>
  <c r="BO95" i="120"/>
  <c r="CN95" i="120" s="1"/>
  <c r="AJ248" i="120"/>
  <c r="BH76" i="120"/>
  <c r="R67" i="120"/>
  <c r="Q67" i="120" s="1"/>
  <c r="B67" i="120"/>
  <c r="BH66" i="120"/>
  <c r="AQ65" i="120"/>
  <c r="BF65" i="120" s="1"/>
  <c r="BL65" i="120" s="1"/>
  <c r="AQ62" i="120"/>
  <c r="BF62" i="120" s="1"/>
  <c r="BI57" i="120"/>
  <c r="AN57" i="120"/>
  <c r="AQ53" i="120"/>
  <c r="BF53" i="120" s="1"/>
  <c r="AC49" i="120"/>
  <c r="AD36" i="120"/>
  <c r="AJ49" i="120"/>
  <c r="BY264" i="120"/>
  <c r="R264" i="120"/>
  <c r="Q48" i="120"/>
  <c r="Q264" i="120" s="1"/>
  <c r="AP47" i="120"/>
  <c r="BE47" i="120" s="1"/>
  <c r="AK243" i="120"/>
  <c r="BI42" i="120"/>
  <c r="AN42" i="120"/>
  <c r="AC240" i="120"/>
  <c r="AI39" i="120"/>
  <c r="AY203" i="120"/>
  <c r="DJ55" i="121" s="1"/>
  <c r="DI55" i="121" s="1"/>
  <c r="I203" i="120"/>
  <c r="O55" i="121" s="1"/>
  <c r="N201" i="120"/>
  <c r="N35" i="120"/>
  <c r="AN32" i="120"/>
  <c r="N196" i="120"/>
  <c r="BN190" i="120"/>
  <c r="BM23" i="120"/>
  <c r="BM190" i="120" s="1"/>
  <c r="R189" i="120"/>
  <c r="Q22" i="120"/>
  <c r="Q189" i="120" s="1"/>
  <c r="R21" i="120"/>
  <c r="AK185" i="120"/>
  <c r="AN18" i="120"/>
  <c r="AN185" i="120" s="1"/>
  <c r="BI18" i="120"/>
  <c r="AK183" i="120"/>
  <c r="BI16" i="120"/>
  <c r="K159" i="120"/>
  <c r="K181" i="120"/>
  <c r="K225" i="120" s="1"/>
  <c r="G179" i="120"/>
  <c r="G180" i="120" s="1"/>
  <c r="G13" i="120"/>
  <c r="AC198" i="120"/>
  <c r="BX179" i="120"/>
  <c r="BX180" i="120" s="1"/>
  <c r="BX13" i="120"/>
  <c r="L179" i="120"/>
  <c r="L180" i="120" s="1"/>
  <c r="L13" i="120"/>
  <c r="R218" i="120"/>
  <c r="AP70" i="121" s="1"/>
  <c r="Q152" i="120"/>
  <c r="Q218" i="120" s="1"/>
  <c r="BZ129" i="120"/>
  <c r="BP129" i="120"/>
  <c r="BP203" i="120" s="1"/>
  <c r="BQ122" i="120"/>
  <c r="AC93" i="120"/>
  <c r="AI93" i="120" s="1"/>
  <c r="AJ93" i="120"/>
  <c r="AJ255" i="120"/>
  <c r="AM80" i="120"/>
  <c r="BH80" i="120"/>
  <c r="AI246" i="120"/>
  <c r="BG77" i="120"/>
  <c r="CE77" i="120" s="1"/>
  <c r="CG73" i="120"/>
  <c r="CJ73" i="120" s="1"/>
  <c r="AP65" i="120"/>
  <c r="AF65" i="120"/>
  <c r="AL65" i="120" s="1"/>
  <c r="AM65" i="120"/>
  <c r="AI63" i="120"/>
  <c r="AC64" i="120"/>
  <c r="BP52" i="120"/>
  <c r="AH266" i="120"/>
  <c r="AQ50" i="120"/>
  <c r="BF50" i="120" s="1"/>
  <c r="AQ49" i="120"/>
  <c r="BF49" i="120" s="1"/>
  <c r="AC262" i="120"/>
  <c r="AI46" i="120"/>
  <c r="AJ254" i="120"/>
  <c r="BH44" i="120"/>
  <c r="Q43" i="120"/>
  <c r="AJ243" i="120"/>
  <c r="AH243" i="120"/>
  <c r="AQ42" i="120"/>
  <c r="BF42" i="120" s="1"/>
  <c r="C241" i="120"/>
  <c r="R40" i="120"/>
  <c r="AG40" i="120" s="1"/>
  <c r="B40" i="120"/>
  <c r="AJ204" i="120"/>
  <c r="AJ238" i="120"/>
  <c r="BH37" i="120"/>
  <c r="G203" i="120"/>
  <c r="G55" i="121" s="1"/>
  <c r="G28" i="120"/>
  <c r="E36" i="120"/>
  <c r="AC197" i="120"/>
  <c r="AI31" i="120"/>
  <c r="BI190" i="120"/>
  <c r="CG23" i="120"/>
  <c r="BL23" i="120"/>
  <c r="BL190" i="120" s="1"/>
  <c r="O188" i="120"/>
  <c r="O14" i="120"/>
  <c r="N21" i="120"/>
  <c r="N188" i="120" s="1"/>
  <c r="CC186" i="120"/>
  <c r="AP19" i="120"/>
  <c r="CB19" i="120"/>
  <c r="CB186" i="120" s="1"/>
  <c r="BN19" i="120"/>
  <c r="R19" i="120"/>
  <c r="C19" i="120"/>
  <c r="AJ183" i="120"/>
  <c r="AI16" i="120"/>
  <c r="AI183" i="120" s="1"/>
  <c r="BH16" i="120"/>
  <c r="AH182" i="120"/>
  <c r="BF15" i="120"/>
  <c r="BR181" i="120"/>
  <c r="BR225" i="120" s="1"/>
  <c r="BR159" i="120"/>
  <c r="V181" i="120"/>
  <c r="V225" i="120" s="1"/>
  <c r="V159" i="120"/>
  <c r="BR12" i="120"/>
  <c r="F179" i="120"/>
  <c r="F180" i="120" s="1"/>
  <c r="F13" i="120"/>
  <c r="E12" i="120"/>
  <c r="AD178" i="120"/>
  <c r="AD12" i="120"/>
  <c r="AC11" i="120"/>
  <c r="AC178" i="120" s="1"/>
  <c r="AG91" i="120"/>
  <c r="AG263" i="120" s="1"/>
  <c r="AM263" i="120" s="1"/>
  <c r="BG62" i="120"/>
  <c r="AI59" i="120"/>
  <c r="B56" i="120"/>
  <c r="R56" i="120"/>
  <c r="Q56" i="120" s="1"/>
  <c r="P28" i="120"/>
  <c r="BY263" i="120"/>
  <c r="R263" i="120"/>
  <c r="AK242" i="120"/>
  <c r="BI41" i="120"/>
  <c r="AN41" i="120"/>
  <c r="AJ240" i="120"/>
  <c r="BH39" i="120"/>
  <c r="BY205" i="120"/>
  <c r="BY239" i="120"/>
  <c r="AJ178" i="120"/>
  <c r="BV129" i="120"/>
  <c r="BW122" i="120"/>
  <c r="BV122" i="120" s="1"/>
  <c r="BO135" i="120"/>
  <c r="CN135" i="120" s="1"/>
  <c r="BF125" i="120"/>
  <c r="BL125" i="120" s="1"/>
  <c r="AN94" i="120"/>
  <c r="BI89" i="120"/>
  <c r="AN89" i="120"/>
  <c r="AI85" i="120"/>
  <c r="BI259" i="120"/>
  <c r="BA70" i="120"/>
  <c r="AK68" i="120"/>
  <c r="AK261" i="120" s="1"/>
  <c r="BC61" i="120"/>
  <c r="BA61" i="120" s="1"/>
  <c r="AJ60" i="120"/>
  <c r="BH59" i="120"/>
  <c r="BH58" i="120"/>
  <c r="AK263" i="120"/>
  <c r="BI47" i="120"/>
  <c r="S262" i="120"/>
  <c r="S45" i="120"/>
  <c r="AH254" i="120"/>
  <c r="AQ44" i="120"/>
  <c r="BF44" i="120" s="1"/>
  <c r="B243" i="120"/>
  <c r="AK240" i="120"/>
  <c r="AN240" i="120" s="1"/>
  <c r="AN39" i="120"/>
  <c r="BI39" i="120"/>
  <c r="BB36" i="120"/>
  <c r="F203" i="120"/>
  <c r="F55" i="121" s="1"/>
  <c r="AJ197" i="120"/>
  <c r="BH31" i="120"/>
  <c r="D197" i="120"/>
  <c r="D49" i="121" s="1"/>
  <c r="S31" i="120"/>
  <c r="S197" i="120" s="1"/>
  <c r="AQ49" i="121" s="1"/>
  <c r="N195" i="120"/>
  <c r="AP189" i="120"/>
  <c r="AP21" i="120"/>
  <c r="AO22" i="120"/>
  <c r="AO189" i="120" s="1"/>
  <c r="BC184" i="120"/>
  <c r="BC14" i="120"/>
  <c r="C184" i="120"/>
  <c r="AG17" i="120"/>
  <c r="B17" i="120"/>
  <c r="AK182" i="120"/>
  <c r="BI15" i="120"/>
  <c r="AN15" i="120"/>
  <c r="AK14" i="120"/>
  <c r="AK181" i="120" s="1"/>
  <c r="AK225" i="120" s="1"/>
  <c r="CC181" i="120"/>
  <c r="CC225" i="120" s="1"/>
  <c r="CB14" i="120"/>
  <c r="CB181" i="120" s="1"/>
  <c r="CB225" i="120" s="1"/>
  <c r="AS181" i="120"/>
  <c r="AS225" i="120" s="1"/>
  <c r="AS159" i="120"/>
  <c r="BB159" i="120" s="1"/>
  <c r="AR14" i="120"/>
  <c r="I181" i="120"/>
  <c r="I225" i="120" s="1"/>
  <c r="I159" i="120"/>
  <c r="O159" i="120" s="1"/>
  <c r="H14" i="120"/>
  <c r="AS12" i="120"/>
  <c r="I12" i="120"/>
  <c r="AG176" i="120"/>
  <c r="BE9" i="120"/>
  <c r="BK9" i="120" s="1"/>
  <c r="AF9" i="120"/>
  <c r="AK175" i="120"/>
  <c r="BI8" i="120"/>
  <c r="AK11" i="120"/>
  <c r="AH137" i="120"/>
  <c r="AH262" i="120" s="1"/>
  <c r="S105" i="120"/>
  <c r="S98" i="120" s="1"/>
  <c r="AH118" i="120"/>
  <c r="AG252" i="120"/>
  <c r="AM252" i="120" s="1"/>
  <c r="AP112" i="120"/>
  <c r="BE112" i="120" s="1"/>
  <c r="BK112" i="120" s="1"/>
  <c r="AF112" i="120"/>
  <c r="AF252" i="120" s="1"/>
  <c r="AM112" i="120"/>
  <c r="AK249" i="120"/>
  <c r="AN87" i="120"/>
  <c r="BI87" i="120"/>
  <c r="BF73" i="120"/>
  <c r="BL73" i="120" s="1"/>
  <c r="BA68" i="120"/>
  <c r="BA261" i="120" s="1"/>
  <c r="BG53" i="120"/>
  <c r="AJ205" i="120"/>
  <c r="AC204" i="120"/>
  <c r="AC201" i="120"/>
  <c r="AC196" i="120"/>
  <c r="AD70" i="120"/>
  <c r="BO58" i="120"/>
  <c r="CN58" i="120" s="1"/>
  <c r="BL55" i="120"/>
  <c r="CF38" i="120"/>
  <c r="AC266" i="120"/>
  <c r="R45" i="120"/>
  <c r="CG196" i="120"/>
  <c r="CJ196" i="120" s="1"/>
  <c r="CJ30" i="120"/>
  <c r="AR270" i="120" l="1"/>
  <c r="BA202" i="120"/>
  <c r="AS226" i="120"/>
  <c r="AR203" i="120"/>
  <c r="AR207" i="120" s="1"/>
  <c r="ED48" i="121"/>
  <c r="GC48" i="121" s="1"/>
  <c r="BA105" i="120"/>
  <c r="BA260" i="120"/>
  <c r="P122" i="120"/>
  <c r="AK122" i="120" s="1"/>
  <c r="BI122" i="120" s="1"/>
  <c r="AE270" i="120"/>
  <c r="CE50" i="121"/>
  <c r="ED51" i="121"/>
  <c r="GC51" i="121" s="1"/>
  <c r="CE49" i="121"/>
  <c r="ED49" i="121" s="1"/>
  <c r="GC49" i="121" s="1"/>
  <c r="CE65" i="121"/>
  <c r="BH239" i="120"/>
  <c r="AL230" i="120"/>
  <c r="AL90" i="120"/>
  <c r="BC81" i="121"/>
  <c r="Y226" i="120"/>
  <c r="AL117" i="120"/>
  <c r="AM262" i="120"/>
  <c r="AC202" i="120"/>
  <c r="AI196" i="120"/>
  <c r="BH205" i="120"/>
  <c r="BM73" i="120"/>
  <c r="CM73" i="120"/>
  <c r="AN242" i="120"/>
  <c r="AP80" i="120"/>
  <c r="BE80" i="120" s="1"/>
  <c r="AG255" i="120"/>
  <c r="AM255" i="120" s="1"/>
  <c r="AM31" i="120"/>
  <c r="AN267" i="120"/>
  <c r="BH243" i="120"/>
  <c r="AF155" i="120"/>
  <c r="AF221" i="120" s="1"/>
  <c r="BO14" i="120"/>
  <c r="CL9" i="120"/>
  <c r="AJ105" i="120"/>
  <c r="BH105" i="120" s="1"/>
  <c r="CL15" i="120"/>
  <c r="X55" i="121"/>
  <c r="X76" i="121" s="1"/>
  <c r="X81" i="121" s="1"/>
  <c r="E159" i="120"/>
  <c r="E181" i="120"/>
  <c r="E225" i="120" s="1"/>
  <c r="AP101" i="120"/>
  <c r="AH201" i="120"/>
  <c r="AG221" i="120"/>
  <c r="AI198" i="120"/>
  <c r="AN113" i="120"/>
  <c r="AB13" i="120"/>
  <c r="BZ270" i="120"/>
  <c r="Z12" i="120"/>
  <c r="Z13" i="120" s="1"/>
  <c r="AF41" i="120"/>
  <c r="AQ41" i="120"/>
  <c r="BR224" i="120"/>
  <c r="AL132" i="120"/>
  <c r="ED71" i="121"/>
  <c r="GC71" i="121" s="1"/>
  <c r="BY265" i="120"/>
  <c r="AP120" i="120"/>
  <c r="BN120" i="120" s="1"/>
  <c r="CM120" i="120" s="1"/>
  <c r="AF120" i="120"/>
  <c r="AL120" i="120" s="1"/>
  <c r="BF119" i="120"/>
  <c r="AO119" i="120"/>
  <c r="CL119" i="120" s="1"/>
  <c r="BL133" i="120"/>
  <c r="BH175" i="120"/>
  <c r="BN71" i="120"/>
  <c r="AK105" i="120"/>
  <c r="CG140" i="120"/>
  <c r="CJ140" i="120" s="1"/>
  <c r="BR207" i="120"/>
  <c r="ER59" i="121" s="1"/>
  <c r="GC61" i="121"/>
  <c r="BN84" i="120"/>
  <c r="AP259" i="120"/>
  <c r="AG257" i="120"/>
  <c r="AM257" i="120" s="1"/>
  <c r="AP82" i="120"/>
  <c r="AI227" i="120"/>
  <c r="BG227" i="120" s="1"/>
  <c r="CE227" i="120" s="1"/>
  <c r="CE72" i="121"/>
  <c r="ED72" i="121" s="1"/>
  <c r="GC72" i="121" s="1"/>
  <c r="CF15" i="120"/>
  <c r="CF182" i="120" s="1"/>
  <c r="BK15" i="120"/>
  <c r="BS17" i="121"/>
  <c r="CA17" i="121"/>
  <c r="AI10" i="120"/>
  <c r="BH219" i="120"/>
  <c r="BK153" i="120"/>
  <c r="AI217" i="120"/>
  <c r="AI220" i="120"/>
  <c r="L207" i="120"/>
  <c r="X59" i="121" s="1"/>
  <c r="AI177" i="120"/>
  <c r="BH10" i="120"/>
  <c r="BG8" i="120"/>
  <c r="BG175" i="120" s="1"/>
  <c r="ED70" i="121"/>
  <c r="GC70" i="121" s="1"/>
  <c r="CE69" i="121"/>
  <c r="ED69" i="121" s="1"/>
  <c r="GC69" i="121" s="1"/>
  <c r="CE56" i="121"/>
  <c r="ED56" i="121" s="1"/>
  <c r="GC56" i="121" s="1"/>
  <c r="AL139" i="120"/>
  <c r="CE47" i="121"/>
  <c r="ED47" i="121" s="1"/>
  <c r="GC47" i="121" s="1"/>
  <c r="FR55" i="121"/>
  <c r="ED67" i="121"/>
  <c r="GC67" i="121" s="1"/>
  <c r="ED50" i="121"/>
  <c r="GC50" i="121" s="1"/>
  <c r="CE73" i="121"/>
  <c r="ED73" i="121" s="1"/>
  <c r="CE57" i="121"/>
  <c r="ED57" i="121" s="1"/>
  <c r="GC57" i="121" s="1"/>
  <c r="AF85" i="121"/>
  <c r="CA159" i="120"/>
  <c r="AN16" i="120"/>
  <c r="AN183" i="120" s="1"/>
  <c r="BD72" i="120"/>
  <c r="AL110" i="120"/>
  <c r="DZ17" i="121"/>
  <c r="CN91" i="120"/>
  <c r="AP79" i="120"/>
  <c r="BE79" i="120" s="1"/>
  <c r="AM221" i="120"/>
  <c r="O270" i="120"/>
  <c r="AH204" i="120"/>
  <c r="AN204" i="120" s="1"/>
  <c r="CE64" i="121"/>
  <c r="ED64" i="121" s="1"/>
  <c r="GC64" i="121" s="1"/>
  <c r="AG213" i="120"/>
  <c r="AM213" i="120" s="1"/>
  <c r="AP147" i="120"/>
  <c r="Q45" i="120"/>
  <c r="AF47" i="120"/>
  <c r="AL47" i="120" s="1"/>
  <c r="BD130" i="120"/>
  <c r="AO147" i="120"/>
  <c r="AP83" i="120"/>
  <c r="AG258" i="120"/>
  <c r="AM258" i="120" s="1"/>
  <c r="AF147" i="120"/>
  <c r="AG93" i="120"/>
  <c r="AF93" i="120" s="1"/>
  <c r="AL93" i="120" s="1"/>
  <c r="Q93" i="120"/>
  <c r="AE159" i="120"/>
  <c r="AC159" i="120" s="1"/>
  <c r="AH265" i="120"/>
  <c r="BY14" i="120"/>
  <c r="BY181" i="120" s="1"/>
  <c r="BY225" i="120" s="1"/>
  <c r="AF228" i="120"/>
  <c r="BA265" i="120"/>
  <c r="BG155" i="120"/>
  <c r="BG221" i="120" s="1"/>
  <c r="AX224" i="120"/>
  <c r="AX231" i="120" s="1"/>
  <c r="BG100" i="120"/>
  <c r="CE100" i="120" s="1"/>
  <c r="P203" i="120"/>
  <c r="CE66" i="121"/>
  <c r="ED66" i="121" s="1"/>
  <c r="GC66" i="121" s="1"/>
  <c r="AF86" i="120"/>
  <c r="AL86" i="120" s="1"/>
  <c r="AP86" i="120"/>
  <c r="AN252" i="120"/>
  <c r="AN250" i="120"/>
  <c r="AF227" i="120"/>
  <c r="CN131" i="120"/>
  <c r="CF146" i="120"/>
  <c r="CF212" i="120" s="1"/>
  <c r="EQ78" i="121"/>
  <c r="AG267" i="120"/>
  <c r="AM267" i="120" s="1"/>
  <c r="BE96" i="120"/>
  <c r="AP96" i="120"/>
  <c r="V158" i="120"/>
  <c r="V160" i="120" s="1"/>
  <c r="AC265" i="120"/>
  <c r="BF131" i="120"/>
  <c r="BL131" i="120" s="1"/>
  <c r="AK129" i="120"/>
  <c r="AM259" i="120"/>
  <c r="AN268" i="120"/>
  <c r="CL73" i="120"/>
  <c r="N129" i="120"/>
  <c r="AF95" i="120"/>
  <c r="AL95" i="120" s="1"/>
  <c r="BE95" i="120"/>
  <c r="BD95" i="120" s="1"/>
  <c r="BJ95" i="120" s="1"/>
  <c r="AP95" i="120"/>
  <c r="BO130" i="120"/>
  <c r="CN130" i="120" s="1"/>
  <c r="AH55" i="121"/>
  <c r="AH76" i="121" s="1"/>
  <c r="AH78" i="121" s="1"/>
  <c r="BR70" i="121"/>
  <c r="CD70" i="121" s="1"/>
  <c r="CM70" i="121" s="1"/>
  <c r="AE57" i="121"/>
  <c r="AN57" i="121" s="1"/>
  <c r="CE75" i="121"/>
  <c r="ED75" i="121" s="1"/>
  <c r="GC75" i="121" s="1"/>
  <c r="BP87" i="121"/>
  <c r="BY87" i="121" s="1"/>
  <c r="DR17" i="121"/>
  <c r="B49" i="121"/>
  <c r="CF66" i="121"/>
  <c r="EE66" i="121" s="1"/>
  <c r="GD66" i="121" s="1"/>
  <c r="K73" i="121"/>
  <c r="DT55" i="121"/>
  <c r="DT76" i="121" s="1"/>
  <c r="DT78" i="121" s="1"/>
  <c r="CG53" i="121"/>
  <c r="EF53" i="121" s="1"/>
  <c r="BG9" i="120"/>
  <c r="BG176" i="120" s="1"/>
  <c r="BH11" i="120"/>
  <c r="BH178" i="120" s="1"/>
  <c r="CF9" i="120"/>
  <c r="CF11" i="120" s="1"/>
  <c r="AL108" i="120"/>
  <c r="AI241" i="120"/>
  <c r="AT81" i="121"/>
  <c r="AT78" i="121"/>
  <c r="DK78" i="121"/>
  <c r="DK81" i="121"/>
  <c r="DK82" i="121" s="1"/>
  <c r="DK83" i="121" s="1"/>
  <c r="DK84" i="121" s="1"/>
  <c r="FR76" i="121"/>
  <c r="BF221" i="120"/>
  <c r="BL221" i="120" s="1"/>
  <c r="BL155" i="120"/>
  <c r="P81" i="121"/>
  <c r="P82" i="121" s="1"/>
  <c r="P83" i="121" s="1"/>
  <c r="P84" i="121" s="1"/>
  <c r="P78" i="121"/>
  <c r="E55" i="121"/>
  <c r="AI201" i="120"/>
  <c r="AN248" i="120"/>
  <c r="AF137" i="120"/>
  <c r="AL137" i="120" s="1"/>
  <c r="BF120" i="120"/>
  <c r="Y81" i="121"/>
  <c r="Y82" i="121" s="1"/>
  <c r="Y83" i="121" s="1"/>
  <c r="Y84" i="121" s="1"/>
  <c r="Y78" i="121"/>
  <c r="AZ51" i="121"/>
  <c r="BI51" i="121" s="1"/>
  <c r="FR54" i="121"/>
  <c r="T73" i="121"/>
  <c r="AD73" i="121"/>
  <c r="AE56" i="121"/>
  <c r="BR65" i="121"/>
  <c r="BR63" i="121"/>
  <c r="CA63" i="121" s="1"/>
  <c r="AP141" i="120"/>
  <c r="AF141" i="120"/>
  <c r="AL141" i="120" s="1"/>
  <c r="EE58" i="121"/>
  <c r="EF65" i="121"/>
  <c r="EE74" i="121"/>
  <c r="EY76" i="121"/>
  <c r="EZ81" i="121"/>
  <c r="EZ78" i="121"/>
  <c r="AV207" i="120"/>
  <c r="DA59" i="121" s="1"/>
  <c r="DA55" i="121"/>
  <c r="DS55" i="121" s="1"/>
  <c r="DS76" i="121" s="1"/>
  <c r="AV224" i="120"/>
  <c r="AV226" i="120" s="1"/>
  <c r="EF47" i="121"/>
  <c r="GE70" i="121"/>
  <c r="EE47" i="121"/>
  <c r="AN67" i="121"/>
  <c r="BR74" i="121"/>
  <c r="GE56" i="121"/>
  <c r="AE58" i="121"/>
  <c r="AE75" i="121"/>
  <c r="CE52" i="121"/>
  <c r="ED52" i="121" s="1"/>
  <c r="GC52" i="121" s="1"/>
  <c r="CF53" i="121"/>
  <c r="AG54" i="121"/>
  <c r="GE68" i="121"/>
  <c r="CE85" i="121"/>
  <c r="ED86" i="121"/>
  <c r="AL88" i="121"/>
  <c r="FA81" i="121"/>
  <c r="FA78" i="121"/>
  <c r="BS224" i="120"/>
  <c r="BS231" i="120" s="1"/>
  <c r="CN108" i="120"/>
  <c r="EP59" i="121"/>
  <c r="BD230" i="120"/>
  <c r="F76" i="121"/>
  <c r="AP81" i="120"/>
  <c r="BE81" i="120" s="1"/>
  <c r="AG256" i="120"/>
  <c r="AR54" i="121"/>
  <c r="BS53" i="121"/>
  <c r="BS54" i="121" s="1"/>
  <c r="EF63" i="121"/>
  <c r="EE65" i="121"/>
  <c r="K85" i="121"/>
  <c r="T86" i="121"/>
  <c r="CE58" i="121"/>
  <c r="AN70" i="121"/>
  <c r="G76" i="121"/>
  <c r="K58" i="121"/>
  <c r="U58" i="121"/>
  <c r="AN71" i="121"/>
  <c r="EF73" i="121"/>
  <c r="DJ76" i="121"/>
  <c r="CF17" i="121"/>
  <c r="EE17" i="121" s="1"/>
  <c r="GD17" i="121" s="1"/>
  <c r="GJ17" i="121" s="1"/>
  <c r="AX73" i="121"/>
  <c r="BH73" i="121"/>
  <c r="BG73" i="121" s="1"/>
  <c r="BC82" i="121"/>
  <c r="BC83" i="121" s="1"/>
  <c r="BC84" i="121" s="1"/>
  <c r="CQ55" i="121"/>
  <c r="CR76" i="121"/>
  <c r="N55" i="121"/>
  <c r="O76" i="121"/>
  <c r="BF90" i="120"/>
  <c r="BL90" i="120" s="1"/>
  <c r="CN90" i="120"/>
  <c r="CD68" i="121"/>
  <c r="AN68" i="121"/>
  <c r="AZ67" i="121"/>
  <c r="BI67" i="121" s="1"/>
  <c r="BK76" i="121"/>
  <c r="AZ56" i="121"/>
  <c r="BI56" i="121" s="1"/>
  <c r="AZ57" i="121"/>
  <c r="BI57" i="121" s="1"/>
  <c r="CG269" i="120"/>
  <c r="CJ269" i="120" s="1"/>
  <c r="P159" i="120"/>
  <c r="N159" i="120" s="1"/>
  <c r="W76" i="121"/>
  <c r="GE67" i="121"/>
  <c r="AE73" i="121"/>
  <c r="BR71" i="121"/>
  <c r="CD71" i="121" s="1"/>
  <c r="EE63" i="121"/>
  <c r="BB76" i="121"/>
  <c r="BP88" i="121"/>
  <c r="BY88" i="121" s="1"/>
  <c r="AP85" i="120"/>
  <c r="BE85" i="120" s="1"/>
  <c r="AG244" i="120"/>
  <c r="AM244" i="120" s="1"/>
  <c r="AF85" i="120"/>
  <c r="AF244" i="120" s="1"/>
  <c r="BT54" i="121"/>
  <c r="CE63" i="121"/>
  <c r="CD63" i="121"/>
  <c r="EF58" i="121"/>
  <c r="ED87" i="121"/>
  <c r="CF52" i="121"/>
  <c r="EE52" i="121" s="1"/>
  <c r="GD52" i="121" s="1"/>
  <c r="GE71" i="121"/>
  <c r="W55" i="121"/>
  <c r="CF60" i="121"/>
  <c r="EE60" i="121" s="1"/>
  <c r="GD60" i="121" s="1"/>
  <c r="BR69" i="121"/>
  <c r="CD69" i="121" s="1"/>
  <c r="U63" i="121"/>
  <c r="K63" i="121"/>
  <c r="AP94" i="120"/>
  <c r="BE94" i="120" s="1"/>
  <c r="BD94" i="120" s="1"/>
  <c r="BJ94" i="120" s="1"/>
  <c r="AF94" i="120"/>
  <c r="AL94" i="120" s="1"/>
  <c r="AN51" i="121"/>
  <c r="E54" i="121"/>
  <c r="AF53" i="121"/>
  <c r="GE74" i="121"/>
  <c r="EY55" i="121"/>
  <c r="FQ53" i="121"/>
  <c r="FQ54" i="121" s="1"/>
  <c r="EQ82" i="121"/>
  <c r="EQ83" i="121" s="1"/>
  <c r="AM256" i="120"/>
  <c r="BF147" i="120"/>
  <c r="BF213" i="120" s="1"/>
  <c r="AY63" i="121"/>
  <c r="AO63" i="121"/>
  <c r="CW88" i="121"/>
  <c r="DF88" i="121" s="1"/>
  <c r="AZ58" i="121"/>
  <c r="BI58" i="121" s="1"/>
  <c r="B74" i="121"/>
  <c r="L74" i="121"/>
  <c r="FI76" i="121"/>
  <c r="DB81" i="121"/>
  <c r="DB78" i="121"/>
  <c r="AY58" i="121"/>
  <c r="AO58" i="121"/>
  <c r="DR53" i="121"/>
  <c r="DR54" i="121" s="1"/>
  <c r="CQ54" i="121"/>
  <c r="T65" i="121"/>
  <c r="AC65" i="121" s="1"/>
  <c r="AD65" i="121"/>
  <c r="ED65" i="121"/>
  <c r="FQ17" i="121"/>
  <c r="AO229" i="120"/>
  <c r="BM163" i="120"/>
  <c r="AX65" i="121"/>
  <c r="BH65" i="121"/>
  <c r="BG65" i="121" s="1"/>
  <c r="EF57" i="121"/>
  <c r="EF75" i="121"/>
  <c r="BX207" i="120"/>
  <c r="FJ59" i="121" s="1"/>
  <c r="FJ55" i="121"/>
  <c r="FJ76" i="121" s="1"/>
  <c r="BX224" i="120"/>
  <c r="BX226" i="120" s="1"/>
  <c r="EE73" i="121"/>
  <c r="EP55" i="121"/>
  <c r="CE60" i="121"/>
  <c r="ED60" i="121" s="1"/>
  <c r="GC60" i="121" s="1"/>
  <c r="AB207" i="120"/>
  <c r="BL59" i="121" s="1"/>
  <c r="BL55" i="121"/>
  <c r="BL76" i="121" s="1"/>
  <c r="AB224" i="120"/>
  <c r="AB226" i="120" s="1"/>
  <c r="ER76" i="121"/>
  <c r="AP74" i="120"/>
  <c r="BE74" i="120" s="1"/>
  <c r="EF51" i="121"/>
  <c r="ED74" i="121"/>
  <c r="ED88" i="121"/>
  <c r="AF74" i="120"/>
  <c r="AL74" i="120" s="1"/>
  <c r="BR75" i="121"/>
  <c r="CA75" i="121" s="1"/>
  <c r="AR55" i="121"/>
  <c r="BT55" i="121"/>
  <c r="BT76" i="121" s="1"/>
  <c r="AS76" i="121"/>
  <c r="BN132" i="120"/>
  <c r="CM132" i="120" s="1"/>
  <c r="CS76" i="121"/>
  <c r="GI23" i="121"/>
  <c r="AF17" i="121"/>
  <c r="CG17" i="121"/>
  <c r="AO70" i="121"/>
  <c r="AY70" i="121"/>
  <c r="AO71" i="121"/>
  <c r="AY71" i="121"/>
  <c r="K70" i="121"/>
  <c r="U70" i="121"/>
  <c r="U71" i="121"/>
  <c r="K71" i="121"/>
  <c r="AE50" i="121"/>
  <c r="AP124" i="120"/>
  <c r="BN124" i="120" s="1"/>
  <c r="AM124" i="120"/>
  <c r="B197" i="120"/>
  <c r="BR48" i="121"/>
  <c r="CA48" i="121" s="1"/>
  <c r="M62" i="121"/>
  <c r="V62" i="121" s="1"/>
  <c r="AF101" i="120"/>
  <c r="AL101" i="120" s="1"/>
  <c r="AZ53" i="121"/>
  <c r="AZ50" i="121"/>
  <c r="BI50" i="121" s="1"/>
  <c r="AN53" i="121"/>
  <c r="AZ49" i="121"/>
  <c r="BI49" i="121" s="1"/>
  <c r="AZ64" i="121"/>
  <c r="BI64" i="121" s="1"/>
  <c r="AN50" i="121"/>
  <c r="U49" i="121"/>
  <c r="AD49" i="121" s="1"/>
  <c r="M49" i="121"/>
  <c r="V49" i="121" s="1"/>
  <c r="AZ62" i="121"/>
  <c r="BI62" i="121" s="1"/>
  <c r="B53" i="121"/>
  <c r="L53" i="121"/>
  <c r="CD9" i="121"/>
  <c r="AN9" i="121"/>
  <c r="BP15" i="121"/>
  <c r="BZ15" i="121"/>
  <c r="BY15" i="121" s="1"/>
  <c r="DY15" i="121"/>
  <c r="DX15" i="121" s="1"/>
  <c r="DO15" i="121"/>
  <c r="AM16" i="121"/>
  <c r="CC16" i="121"/>
  <c r="GM22" i="121"/>
  <c r="AM15" i="121"/>
  <c r="AC15" i="121"/>
  <c r="CC15" i="121"/>
  <c r="BP17" i="121"/>
  <c r="BZ17" i="121"/>
  <c r="BY17" i="121" s="1"/>
  <c r="DP19" i="121"/>
  <c r="CN19" i="121"/>
  <c r="EM28" i="121"/>
  <c r="FN28" i="121" s="1"/>
  <c r="FO28" i="121"/>
  <c r="CN18" i="121"/>
  <c r="DP18" i="121"/>
  <c r="BP9" i="121"/>
  <c r="BZ9" i="121"/>
  <c r="FX16" i="121"/>
  <c r="FW16" i="121" s="1"/>
  <c r="FN16" i="121"/>
  <c r="FN9" i="121"/>
  <c r="FX9" i="121"/>
  <c r="BZ22" i="121"/>
  <c r="BY22" i="121" s="1"/>
  <c r="BP22" i="121"/>
  <c r="CA9" i="121"/>
  <c r="AN22" i="121"/>
  <c r="CD22" i="121"/>
  <c r="GM16" i="121"/>
  <c r="AM22" i="121"/>
  <c r="CC22" i="121"/>
  <c r="AC22" i="121"/>
  <c r="DZ9" i="121"/>
  <c r="AO20" i="121"/>
  <c r="BQ20" i="121"/>
  <c r="EM19" i="121"/>
  <c r="FO19" i="121"/>
  <c r="FX15" i="121"/>
  <c r="FW15" i="121" s="1"/>
  <c r="FN15" i="121"/>
  <c r="BQ18" i="121"/>
  <c r="AO18" i="121"/>
  <c r="BZ16" i="121"/>
  <c r="BY16" i="121" s="1"/>
  <c r="BP16" i="121"/>
  <c r="DO22" i="121"/>
  <c r="DY22" i="121"/>
  <c r="DX22" i="121" s="1"/>
  <c r="AC16" i="121"/>
  <c r="CD16" i="121"/>
  <c r="AN16" i="121"/>
  <c r="AL16" i="121" s="1"/>
  <c r="GM17" i="121"/>
  <c r="CN28" i="121"/>
  <c r="DO28" i="121" s="1"/>
  <c r="DP28" i="121"/>
  <c r="AM9" i="121"/>
  <c r="CC9" i="121"/>
  <c r="AC9" i="121"/>
  <c r="DY9" i="121"/>
  <c r="DO9" i="121"/>
  <c r="B28" i="121"/>
  <c r="AD28" i="121"/>
  <c r="DP20" i="121"/>
  <c r="CN20" i="121"/>
  <c r="AD19" i="121"/>
  <c r="B19" i="121"/>
  <c r="AD18" i="121"/>
  <c r="B18" i="121"/>
  <c r="AM17" i="121"/>
  <c r="AC17" i="121"/>
  <c r="CC17" i="121"/>
  <c r="FX22" i="121"/>
  <c r="FW22" i="121" s="1"/>
  <c r="FN22" i="121"/>
  <c r="AO28" i="121"/>
  <c r="BP28" i="121" s="1"/>
  <c r="BQ28" i="121"/>
  <c r="AN15" i="121"/>
  <c r="CD15" i="121"/>
  <c r="GM9" i="121"/>
  <c r="GM15" i="121"/>
  <c r="EM20" i="121"/>
  <c r="FO20" i="121"/>
  <c r="AD20" i="121"/>
  <c r="B20" i="121"/>
  <c r="BQ19" i="121"/>
  <c r="AO19" i="121"/>
  <c r="DY16" i="121"/>
  <c r="DX16" i="121" s="1"/>
  <c r="DO16" i="121"/>
  <c r="FY9" i="121"/>
  <c r="DY17" i="121"/>
  <c r="DO17" i="121"/>
  <c r="EM18" i="121"/>
  <c r="FO18" i="121"/>
  <c r="FX17" i="121"/>
  <c r="FW17" i="121" s="1"/>
  <c r="FN17" i="121"/>
  <c r="CD17" i="121"/>
  <c r="AN17" i="121"/>
  <c r="DG21" i="121"/>
  <c r="DF23" i="121"/>
  <c r="AY21" i="121"/>
  <c r="AY14" i="121" s="1"/>
  <c r="AX23" i="121"/>
  <c r="AX21" i="121" s="1"/>
  <c r="EW21" i="121"/>
  <c r="EV23" i="121"/>
  <c r="D21" i="121"/>
  <c r="AE23" i="121"/>
  <c r="EO21" i="121"/>
  <c r="FP23" i="121"/>
  <c r="V77" i="121"/>
  <c r="CX21" i="121"/>
  <c r="CW23" i="121"/>
  <c r="FE23" i="121"/>
  <c r="FF21" i="121"/>
  <c r="GA14" i="121"/>
  <c r="FZ21" i="121"/>
  <c r="GJ21" i="121"/>
  <c r="CN23" i="121"/>
  <c r="DP23" i="121"/>
  <c r="CO21" i="121"/>
  <c r="BI77" i="121"/>
  <c r="DQ23" i="121"/>
  <c r="CP21" i="121"/>
  <c r="CP14" i="121" s="1"/>
  <c r="FG77" i="121"/>
  <c r="EN21" i="121"/>
  <c r="EN14" i="121" s="1"/>
  <c r="FO23" i="121"/>
  <c r="EM23" i="121"/>
  <c r="AO23" i="121"/>
  <c r="AP21" i="121"/>
  <c r="BQ23" i="121"/>
  <c r="L21" i="121"/>
  <c r="EX77" i="121"/>
  <c r="GB14" i="121"/>
  <c r="GK21" i="121"/>
  <c r="CY77" i="121"/>
  <c r="C21" i="121"/>
  <c r="C14" i="121" s="1"/>
  <c r="B23" i="121"/>
  <c r="AD23" i="121"/>
  <c r="BH21" i="121"/>
  <c r="BG23" i="121"/>
  <c r="T23" i="121"/>
  <c r="U21" i="121"/>
  <c r="K23" i="121"/>
  <c r="M21" i="121"/>
  <c r="M14" i="121" s="1"/>
  <c r="BR23" i="121"/>
  <c r="AZ21" i="121"/>
  <c r="AZ14" i="121" s="1"/>
  <c r="AQ77" i="121"/>
  <c r="AH150" i="120"/>
  <c r="AH216" i="120" s="1"/>
  <c r="AN216" i="120" s="1"/>
  <c r="BO124" i="120"/>
  <c r="CN124" i="120" s="1"/>
  <c r="AN211" i="120"/>
  <c r="BF123" i="120"/>
  <c r="BL123" i="120" s="1"/>
  <c r="AN212" i="120"/>
  <c r="AL155" i="120"/>
  <c r="AG56" i="120"/>
  <c r="AG197" i="120" s="1"/>
  <c r="AM197" i="120" s="1"/>
  <c r="AN225" i="120"/>
  <c r="CE220" i="120"/>
  <c r="BL132" i="120"/>
  <c r="BD132" i="120"/>
  <c r="BJ132" i="120" s="1"/>
  <c r="AG240" i="120"/>
  <c r="AF39" i="120"/>
  <c r="AF240" i="120" s="1"/>
  <c r="AP39" i="120"/>
  <c r="AM39" i="120"/>
  <c r="BK92" i="120"/>
  <c r="BD87" i="120"/>
  <c r="P207" i="120"/>
  <c r="P224" i="120"/>
  <c r="BF250" i="120"/>
  <c r="BF206" i="120"/>
  <c r="BK176" i="120"/>
  <c r="AF103" i="120"/>
  <c r="AM103" i="120"/>
  <c r="AP103" i="120"/>
  <c r="BE103" i="120" s="1"/>
  <c r="BP207" i="120"/>
  <c r="BP224" i="120"/>
  <c r="BF259" i="120"/>
  <c r="BD84" i="120"/>
  <c r="BD259" i="120" s="1"/>
  <c r="BL84" i="120"/>
  <c r="H207" i="120"/>
  <c r="H224" i="120"/>
  <c r="BI182" i="120"/>
  <c r="BL15" i="120"/>
  <c r="BJ15" i="120" s="1"/>
  <c r="BJ182" i="120" s="1"/>
  <c r="CG15" i="120"/>
  <c r="CE15" i="120" s="1"/>
  <c r="CE182" i="120" s="1"/>
  <c r="BB203" i="120"/>
  <c r="BB28" i="120"/>
  <c r="BA28" i="120" s="1"/>
  <c r="BA36" i="120"/>
  <c r="BI263" i="120"/>
  <c r="CG47" i="120"/>
  <c r="BH240" i="120"/>
  <c r="CF39" i="120"/>
  <c r="BR179" i="120"/>
  <c r="BR180" i="120" s="1"/>
  <c r="BR13" i="120"/>
  <c r="C186" i="120"/>
  <c r="B19" i="120"/>
  <c r="AG19" i="120"/>
  <c r="BH254" i="120"/>
  <c r="CF44" i="120"/>
  <c r="BG63" i="120"/>
  <c r="AI64" i="120"/>
  <c r="AP251" i="120"/>
  <c r="AO111" i="120"/>
  <c r="AO251" i="120" s="1"/>
  <c r="BN111" i="120"/>
  <c r="CM111" i="120" s="1"/>
  <c r="CF102" i="120"/>
  <c r="CF104" i="120" s="1"/>
  <c r="AF116" i="120"/>
  <c r="AQ212" i="120"/>
  <c r="CP64" i="121" s="1"/>
  <c r="BO146" i="120"/>
  <c r="BO212" i="120" s="1"/>
  <c r="EO64" i="121" s="1"/>
  <c r="AQ196" i="120"/>
  <c r="CP48" i="121" s="1"/>
  <c r="BO30" i="120"/>
  <c r="CN30" i="120" s="1"/>
  <c r="W52" i="120"/>
  <c r="X158" i="120"/>
  <c r="AD52" i="120"/>
  <c r="BI250" i="120"/>
  <c r="BL250" i="120" s="1"/>
  <c r="BI206" i="120"/>
  <c r="BL109" i="120"/>
  <c r="CG109" i="120"/>
  <c r="J179" i="120"/>
  <c r="J180" i="120" s="1"/>
  <c r="J13" i="120"/>
  <c r="BI200" i="120"/>
  <c r="CG33" i="120"/>
  <c r="BY70" i="120"/>
  <c r="AN266" i="120"/>
  <c r="AK265" i="120"/>
  <c r="D52" i="120"/>
  <c r="AI248" i="120"/>
  <c r="BG76" i="120"/>
  <c r="CF262" i="120"/>
  <c r="CI262" i="120" s="1"/>
  <c r="CI46" i="120"/>
  <c r="BI257" i="120"/>
  <c r="CG82" i="120"/>
  <c r="AP114" i="120"/>
  <c r="BE114" i="120" s="1"/>
  <c r="AF114" i="120"/>
  <c r="AL114" i="120" s="1"/>
  <c r="AM114" i="120"/>
  <c r="BI105" i="120"/>
  <c r="AI222" i="120"/>
  <c r="BG156" i="120"/>
  <c r="CG221" i="120"/>
  <c r="CJ221" i="120" s="1"/>
  <c r="CJ155" i="120"/>
  <c r="AI215" i="120"/>
  <c r="BG149" i="120"/>
  <c r="BS52" i="120"/>
  <c r="BT158" i="120"/>
  <c r="BO56" i="120"/>
  <c r="CN56" i="120" s="1"/>
  <c r="BI247" i="120"/>
  <c r="CG79" i="120"/>
  <c r="CE34" i="120"/>
  <c r="AJ202" i="120"/>
  <c r="BH266" i="120"/>
  <c r="CF50" i="120"/>
  <c r="BO71" i="120"/>
  <c r="CN71" i="120" s="1"/>
  <c r="BY260" i="120"/>
  <c r="BY270" i="120" s="1"/>
  <c r="AX122" i="120"/>
  <c r="AY158" i="120"/>
  <c r="AJ159" i="120"/>
  <c r="AI238" i="120"/>
  <c r="AI204" i="120"/>
  <c r="BG37" i="120"/>
  <c r="BI264" i="120"/>
  <c r="CG48" i="120"/>
  <c r="BI186" i="120"/>
  <c r="BL19" i="120"/>
  <c r="BL186" i="120" s="1"/>
  <c r="CG19" i="120"/>
  <c r="BH199" i="120"/>
  <c r="CF54" i="120"/>
  <c r="CE246" i="120"/>
  <c r="CH246" i="120" s="1"/>
  <c r="CH77" i="120"/>
  <c r="CF86" i="120"/>
  <c r="CI86" i="120" s="1"/>
  <c r="AP106" i="120"/>
  <c r="BE106" i="120" s="1"/>
  <c r="AF106" i="120"/>
  <c r="AL106" i="120" s="1"/>
  <c r="AM106" i="120"/>
  <c r="AO228" i="120"/>
  <c r="AO161" i="120"/>
  <c r="BD161" i="120" s="1"/>
  <c r="BJ161" i="120" s="1"/>
  <c r="BM162" i="120"/>
  <c r="AI218" i="120"/>
  <c r="AL218" i="120" s="1"/>
  <c r="AL152" i="120"/>
  <c r="BG152" i="120"/>
  <c r="CG217" i="120"/>
  <c r="CJ217" i="120" s="1"/>
  <c r="CJ151" i="120"/>
  <c r="AQ256" i="120"/>
  <c r="BO81" i="120"/>
  <c r="CN81" i="120" s="1"/>
  <c r="AO81" i="120"/>
  <c r="BL62" i="120"/>
  <c r="CG62" i="120"/>
  <c r="CJ62" i="120" s="1"/>
  <c r="BF176" i="120"/>
  <c r="C188" i="120"/>
  <c r="C14" i="120"/>
  <c r="B21" i="120"/>
  <c r="B201" i="120"/>
  <c r="AQ242" i="120"/>
  <c r="BO41" i="120"/>
  <c r="CN41" i="120" s="1"/>
  <c r="AO90" i="120"/>
  <c r="BN90" i="120"/>
  <c r="BM90" i="120" s="1"/>
  <c r="AO107" i="120"/>
  <c r="BN107" i="120"/>
  <c r="AH245" i="120"/>
  <c r="AQ43" i="120"/>
  <c r="BH246" i="120"/>
  <c r="CF77" i="120"/>
  <c r="BO117" i="120"/>
  <c r="AQ116" i="120"/>
  <c r="Z224" i="120"/>
  <c r="AP218" i="120"/>
  <c r="CO70" i="121" s="1"/>
  <c r="AO152" i="120"/>
  <c r="BN152" i="120"/>
  <c r="CM152" i="120" s="1"/>
  <c r="BO92" i="120"/>
  <c r="CN92" i="120" s="1"/>
  <c r="BF118" i="120"/>
  <c r="BL118" i="120" s="1"/>
  <c r="AS179" i="120"/>
  <c r="AS180" i="120" s="1"/>
  <c r="AR12" i="120"/>
  <c r="AS13" i="120"/>
  <c r="AR159" i="120"/>
  <c r="AR181" i="120"/>
  <c r="AR225" i="120" s="1"/>
  <c r="BH197" i="120"/>
  <c r="CF31" i="120"/>
  <c r="AK260" i="120"/>
  <c r="BF182" i="120"/>
  <c r="R186" i="120"/>
  <c r="Q19" i="120"/>
  <c r="Q186" i="120" s="1"/>
  <c r="B241" i="120"/>
  <c r="AI240" i="120"/>
  <c r="BG39" i="120"/>
  <c r="AQ267" i="120"/>
  <c r="BO96" i="120"/>
  <c r="CN96" i="120" s="1"/>
  <c r="AQ115" i="120"/>
  <c r="AN115" i="120"/>
  <c r="Q121" i="120"/>
  <c r="Q269" i="120" s="1"/>
  <c r="R118" i="120"/>
  <c r="AG118" i="120" s="1"/>
  <c r="AM118" i="120" s="1"/>
  <c r="R269" i="120"/>
  <c r="CE126" i="120"/>
  <c r="AQ252" i="120"/>
  <c r="BO112" i="120"/>
  <c r="BO252" i="120" s="1"/>
  <c r="AH239" i="120"/>
  <c r="AN239" i="120" s="1"/>
  <c r="AH205" i="120"/>
  <c r="AN205" i="120" s="1"/>
  <c r="AQ38" i="120"/>
  <c r="BF38" i="120" s="1"/>
  <c r="BI176" i="120"/>
  <c r="BL9" i="120"/>
  <c r="BL176" i="120" s="1"/>
  <c r="BI10" i="120"/>
  <c r="CG9" i="120"/>
  <c r="AG183" i="120"/>
  <c r="AF16" i="120"/>
  <c r="AF183" i="120" s="1"/>
  <c r="BE16" i="120"/>
  <c r="BK16" i="120" s="1"/>
  <c r="BB181" i="120"/>
  <c r="BB225" i="120" s="1"/>
  <c r="BA14" i="120"/>
  <c r="BA181" i="120" s="1"/>
  <c r="BA225" i="120" s="1"/>
  <c r="BF30" i="120"/>
  <c r="CJ59" i="120"/>
  <c r="BK135" i="120"/>
  <c r="CF135" i="120"/>
  <c r="CI135" i="120" s="1"/>
  <c r="AN38" i="120"/>
  <c r="AI242" i="120"/>
  <c r="AL41" i="120"/>
  <c r="BG41" i="120"/>
  <c r="BK71" i="120"/>
  <c r="CF71" i="120"/>
  <c r="CI71" i="120" s="1"/>
  <c r="D159" i="120"/>
  <c r="D181" i="120"/>
  <c r="D225" i="120" s="1"/>
  <c r="CG189" i="120"/>
  <c r="CJ22" i="120"/>
  <c r="CG21" i="120"/>
  <c r="CG188" i="120" s="1"/>
  <c r="AU52" i="120"/>
  <c r="AV158" i="120"/>
  <c r="AO71" i="120"/>
  <c r="AJ188" i="120"/>
  <c r="AI21" i="120"/>
  <c r="AI188" i="120" s="1"/>
  <c r="AJ14" i="120"/>
  <c r="BO37" i="120"/>
  <c r="CN37" i="120" s="1"/>
  <c r="BH268" i="120"/>
  <c r="CF51" i="120"/>
  <c r="BG101" i="120"/>
  <c r="BI219" i="120"/>
  <c r="CG153" i="120"/>
  <c r="AG266" i="120"/>
  <c r="AF50" i="120"/>
  <c r="AP50" i="120"/>
  <c r="BK130" i="120"/>
  <c r="CF130" i="120"/>
  <c r="CI130" i="120" s="1"/>
  <c r="BD228" i="120"/>
  <c r="AI251" i="120"/>
  <c r="AL251" i="120" s="1"/>
  <c r="AL111" i="120"/>
  <c r="BG111" i="120"/>
  <c r="AI253" i="120"/>
  <c r="AL253" i="120" s="1"/>
  <c r="AL113" i="120"/>
  <c r="BG113" i="120"/>
  <c r="AQ127" i="120"/>
  <c r="BF127" i="120" s="1"/>
  <c r="BL127" i="120" s="1"/>
  <c r="AH128" i="120"/>
  <c r="CF141" i="120"/>
  <c r="CI141" i="120" s="1"/>
  <c r="AG222" i="120"/>
  <c r="AM222" i="120" s="1"/>
  <c r="AF156" i="120"/>
  <c r="AF222" i="120" s="1"/>
  <c r="AP156" i="120"/>
  <c r="BG223" i="120"/>
  <c r="CE157" i="120"/>
  <c r="AL221" i="120"/>
  <c r="AQ219" i="120"/>
  <c r="CP71" i="121" s="1"/>
  <c r="BO153" i="120"/>
  <c r="BO219" i="120" s="1"/>
  <c r="EO71" i="121" s="1"/>
  <c r="BI61" i="120"/>
  <c r="CG61" i="120" s="1"/>
  <c r="CJ61" i="120" s="1"/>
  <c r="Y179" i="120"/>
  <c r="Y180" i="120" s="1"/>
  <c r="Y13" i="120"/>
  <c r="AI254" i="120"/>
  <c r="BG44" i="120"/>
  <c r="AT179" i="120"/>
  <c r="AT180" i="120" s="1"/>
  <c r="AT13" i="120"/>
  <c r="BN43" i="120"/>
  <c r="BL49" i="120"/>
  <c r="CG49" i="120"/>
  <c r="CJ49" i="120" s="1"/>
  <c r="AM190" i="120"/>
  <c r="AL23" i="120"/>
  <c r="AL190" i="120" s="1"/>
  <c r="BH201" i="120"/>
  <c r="BH35" i="120"/>
  <c r="CF34" i="120"/>
  <c r="AT207" i="120"/>
  <c r="CS59" i="121" s="1"/>
  <c r="CQ59" i="121" s="1"/>
  <c r="AT224" i="120"/>
  <c r="AT226" i="120" s="1"/>
  <c r="B240" i="120"/>
  <c r="AM50" i="120"/>
  <c r="BF71" i="120"/>
  <c r="BN89" i="120"/>
  <c r="CM89" i="120" s="1"/>
  <c r="AN251" i="120"/>
  <c r="BI246" i="120"/>
  <c r="BL246" i="120" s="1"/>
  <c r="BL77" i="120"/>
  <c r="CG77" i="120"/>
  <c r="AL97" i="120"/>
  <c r="CG223" i="120"/>
  <c r="CJ223" i="120" s="1"/>
  <c r="CJ157" i="120"/>
  <c r="AI211" i="120"/>
  <c r="AL211" i="120" s="1"/>
  <c r="AL145" i="120"/>
  <c r="BG145" i="120"/>
  <c r="AI268" i="120"/>
  <c r="BG51" i="120"/>
  <c r="BO59" i="120"/>
  <c r="BO60" i="120" s="1"/>
  <c r="AQ60" i="120"/>
  <c r="K52" i="120"/>
  <c r="L158" i="120"/>
  <c r="U179" i="120"/>
  <c r="U180" i="120" s="1"/>
  <c r="U13" i="120"/>
  <c r="T12" i="120"/>
  <c r="BO159" i="120"/>
  <c r="BO181" i="120"/>
  <c r="BO225" i="120" s="1"/>
  <c r="AJ184" i="120"/>
  <c r="BH17" i="120"/>
  <c r="AM17" i="120"/>
  <c r="AI17" i="120"/>
  <c r="AI184" i="120" s="1"/>
  <c r="BH186" i="120"/>
  <c r="BG19" i="120"/>
  <c r="BG186" i="120" s="1"/>
  <c r="CF19" i="120"/>
  <c r="R187" i="120"/>
  <c r="Q20" i="120"/>
  <c r="Q187" i="120" s="1"/>
  <c r="Q31" i="120"/>
  <c r="AA158" i="120"/>
  <c r="Z28" i="120"/>
  <c r="AH45" i="120"/>
  <c r="AH36" i="120" s="1"/>
  <c r="AN60" i="120"/>
  <c r="AX52" i="120"/>
  <c r="BC52" i="120"/>
  <c r="CF69" i="120"/>
  <c r="AI256" i="120"/>
  <c r="AL256" i="120" s="1"/>
  <c r="BG81" i="120"/>
  <c r="AL81" i="120"/>
  <c r="CN119" i="120"/>
  <c r="BJ135" i="120"/>
  <c r="CE135" i="120"/>
  <c r="CH135" i="120" s="1"/>
  <c r="BK47" i="120"/>
  <c r="AN127" i="120"/>
  <c r="BI245" i="120"/>
  <c r="CG43" i="120"/>
  <c r="BL58" i="120"/>
  <c r="CG58" i="120"/>
  <c r="CJ58" i="120" s="1"/>
  <c r="AI249" i="120"/>
  <c r="BG87" i="120"/>
  <c r="AL87" i="120"/>
  <c r="BN185" i="120"/>
  <c r="BM18" i="120"/>
  <c r="BM185" i="120" s="1"/>
  <c r="AN189" i="120"/>
  <c r="AN21" i="120"/>
  <c r="AN188" i="120" s="1"/>
  <c r="S36" i="120"/>
  <c r="Q263" i="120"/>
  <c r="BI64" i="120"/>
  <c r="CG63" i="120"/>
  <c r="BO94" i="120"/>
  <c r="CN94" i="120" s="1"/>
  <c r="AQ93" i="120"/>
  <c r="AO94" i="120"/>
  <c r="AF75" i="120"/>
  <c r="AL75" i="120" s="1"/>
  <c r="AP75" i="120"/>
  <c r="BE75" i="120" s="1"/>
  <c r="BH244" i="120"/>
  <c r="CF85" i="120"/>
  <c r="J158" i="120"/>
  <c r="J160" i="120" s="1"/>
  <c r="P98" i="120"/>
  <c r="P158" i="120" s="1"/>
  <c r="P160" i="120" s="1"/>
  <c r="H98" i="120"/>
  <c r="Q254" i="120"/>
  <c r="AI267" i="120"/>
  <c r="AL96" i="120"/>
  <c r="BG96" i="120"/>
  <c r="O98" i="120"/>
  <c r="E98" i="120"/>
  <c r="F158" i="120"/>
  <c r="CF120" i="120"/>
  <c r="CI120" i="120" s="1"/>
  <c r="Q129" i="120"/>
  <c r="BA129" i="120"/>
  <c r="BI218" i="120"/>
  <c r="CG152" i="120"/>
  <c r="BH136" i="120"/>
  <c r="AM136" i="120"/>
  <c r="BO100" i="120"/>
  <c r="CN100" i="120" s="1"/>
  <c r="AQ215" i="120"/>
  <c r="CP67" i="121" s="1"/>
  <c r="CY67" i="121" s="1"/>
  <c r="DH67" i="121" s="1"/>
  <c r="DQ67" i="121" s="1"/>
  <c r="DZ67" i="121" s="1"/>
  <c r="BO149" i="120"/>
  <c r="CN149" i="120" s="1"/>
  <c r="BH195" i="120"/>
  <c r="CF29" i="120"/>
  <c r="AW158" i="120"/>
  <c r="AW160" i="120" s="1"/>
  <c r="AU28" i="120"/>
  <c r="BL59" i="120"/>
  <c r="BF81" i="120"/>
  <c r="BL81" i="120" s="1"/>
  <c r="AI264" i="120"/>
  <c r="BG48" i="120"/>
  <c r="CF74" i="120"/>
  <c r="AN258" i="120"/>
  <c r="AN262" i="120"/>
  <c r="AP264" i="120"/>
  <c r="BN48" i="120"/>
  <c r="AE12" i="120"/>
  <c r="AC12" i="120" s="1"/>
  <c r="BF41" i="120"/>
  <c r="BL41" i="120" s="1"/>
  <c r="BD110" i="120"/>
  <c r="BJ110" i="120" s="1"/>
  <c r="BK110" i="120"/>
  <c r="BF117" i="120"/>
  <c r="BL117" i="120" s="1"/>
  <c r="BY208" i="120"/>
  <c r="D220" i="120"/>
  <c r="D72" i="121" s="1"/>
  <c r="S154" i="120"/>
  <c r="D148" i="120"/>
  <c r="BD42" i="120"/>
  <c r="BE152" i="120"/>
  <c r="CE134" i="120"/>
  <c r="CH134" i="120" s="1"/>
  <c r="CE94" i="120"/>
  <c r="CH94" i="120" s="1"/>
  <c r="BF92" i="120"/>
  <c r="BL92" i="120" s="1"/>
  <c r="AK178" i="120"/>
  <c r="AK12" i="120"/>
  <c r="I179" i="120"/>
  <c r="I180" i="120" s="1"/>
  <c r="I13" i="120"/>
  <c r="H12" i="120"/>
  <c r="AP188" i="120"/>
  <c r="AP14" i="120"/>
  <c r="AO21" i="120"/>
  <c r="AO188" i="120" s="1"/>
  <c r="CF58" i="120"/>
  <c r="CG89" i="120"/>
  <c r="T207" i="120"/>
  <c r="T224" i="120"/>
  <c r="BI242" i="120"/>
  <c r="CG41" i="120"/>
  <c r="CE62" i="120"/>
  <c r="AD179" i="120"/>
  <c r="AD180" i="120" s="1"/>
  <c r="AD13" i="120"/>
  <c r="BH183" i="120"/>
  <c r="BG16" i="120"/>
  <c r="BG183" i="120" s="1"/>
  <c r="CF16" i="120"/>
  <c r="AP186" i="120"/>
  <c r="AO19" i="120"/>
  <c r="AO186" i="120" s="1"/>
  <c r="AO65" i="120"/>
  <c r="BN65" i="120"/>
  <c r="CM65" i="120" s="1"/>
  <c r="BZ122" i="120"/>
  <c r="BP122" i="120"/>
  <c r="BI183" i="120"/>
  <c r="CG16" i="120"/>
  <c r="CF66" i="120"/>
  <c r="B129" i="120"/>
  <c r="AG129" i="120"/>
  <c r="BH216" i="120"/>
  <c r="CF150" i="120"/>
  <c r="AH70" i="120"/>
  <c r="BN31" i="120"/>
  <c r="CM31" i="120" s="1"/>
  <c r="BI45" i="120"/>
  <c r="AI255" i="120"/>
  <c r="AL255" i="120" s="1"/>
  <c r="BG80" i="120"/>
  <c r="AL80" i="120"/>
  <c r="BV179" i="120"/>
  <c r="BV180" i="120" s="1"/>
  <c r="BV13" i="120"/>
  <c r="AM189" i="120"/>
  <c r="AM21" i="120"/>
  <c r="AL22" i="120"/>
  <c r="AL189" i="120" s="1"/>
  <c r="AI243" i="120"/>
  <c r="AL42" i="120"/>
  <c r="BG42" i="120"/>
  <c r="CE71" i="120"/>
  <c r="CH71" i="120" s="1"/>
  <c r="AQ249" i="120"/>
  <c r="BO87" i="120"/>
  <c r="CN87" i="120" s="1"/>
  <c r="AO87" i="120"/>
  <c r="BE221" i="120"/>
  <c r="BD155" i="120"/>
  <c r="BD221" i="120" s="1"/>
  <c r="BH185" i="120"/>
  <c r="BG18" i="120"/>
  <c r="BG185" i="120" s="1"/>
  <c r="CF18" i="120"/>
  <c r="AN244" i="120"/>
  <c r="CG138" i="120"/>
  <c r="CJ138" i="120" s="1"/>
  <c r="BG269" i="120"/>
  <c r="CE97" i="120"/>
  <c r="BH269" i="120"/>
  <c r="BK97" i="120"/>
  <c r="CF97" i="120"/>
  <c r="AP187" i="120"/>
  <c r="AO20" i="120"/>
  <c r="AO187" i="120" s="1"/>
  <c r="BH200" i="120"/>
  <c r="CF33" i="120"/>
  <c r="CA203" i="120"/>
  <c r="CA28" i="120"/>
  <c r="BH259" i="120"/>
  <c r="BK259" i="120" s="1"/>
  <c r="BK84" i="120"/>
  <c r="CF84" i="120"/>
  <c r="Z179" i="120"/>
  <c r="Z180" i="120" s="1"/>
  <c r="R185" i="120"/>
  <c r="Q18" i="120"/>
  <c r="Q185" i="120" s="1"/>
  <c r="AG254" i="120"/>
  <c r="AM254" i="120" s="1"/>
  <c r="AF44" i="120"/>
  <c r="AF254" i="120" s="1"/>
  <c r="AP44" i="120"/>
  <c r="BE44" i="120" s="1"/>
  <c r="BK44" i="120" s="1"/>
  <c r="BG136" i="120"/>
  <c r="CE136" i="120" s="1"/>
  <c r="CH136" i="120" s="1"/>
  <c r="AO131" i="120"/>
  <c r="BN131" i="120"/>
  <c r="BM131" i="120" s="1"/>
  <c r="BK132" i="120"/>
  <c r="CF132" i="120"/>
  <c r="CI132" i="120" s="1"/>
  <c r="AQ250" i="120"/>
  <c r="AQ206" i="120"/>
  <c r="CP58" i="121" s="1"/>
  <c r="CY58" i="121" s="1"/>
  <c r="DH58" i="121" s="1"/>
  <c r="DQ58" i="121" s="1"/>
  <c r="DZ58" i="121" s="1"/>
  <c r="BO109" i="120"/>
  <c r="CG210" i="120"/>
  <c r="CJ210" i="120" s="1"/>
  <c r="CJ144" i="120"/>
  <c r="AF243" i="120"/>
  <c r="BE211" i="120"/>
  <c r="BK211" i="120" s="1"/>
  <c r="BD145" i="120"/>
  <c r="BD211" i="120" s="1"/>
  <c r="BK145" i="120"/>
  <c r="BO107" i="120"/>
  <c r="CN107" i="120" s="1"/>
  <c r="AF176" i="120"/>
  <c r="BC181" i="120"/>
  <c r="BC225" i="120" s="1"/>
  <c r="BC12" i="120"/>
  <c r="BL259" i="120"/>
  <c r="E179" i="120"/>
  <c r="E180" i="120" s="1"/>
  <c r="E13" i="120"/>
  <c r="BH49" i="120"/>
  <c r="BL57" i="120"/>
  <c r="CG57" i="120"/>
  <c r="CJ57" i="120" s="1"/>
  <c r="AG67" i="120"/>
  <c r="BO74" i="120"/>
  <c r="CN74" i="120" s="1"/>
  <c r="CF94" i="120"/>
  <c r="CI94" i="120" s="1"/>
  <c r="B269" i="120"/>
  <c r="B265" i="120" s="1"/>
  <c r="AC214" i="120"/>
  <c r="AI148" i="120"/>
  <c r="BG210" i="120"/>
  <c r="CE144" i="120"/>
  <c r="BF146" i="120"/>
  <c r="BF212" i="120" s="1"/>
  <c r="AL161" i="120"/>
  <c r="AG248" i="120"/>
  <c r="AF76" i="120"/>
  <c r="AF248" i="120" s="1"/>
  <c r="AP76" i="120"/>
  <c r="BE76" i="120" s="1"/>
  <c r="M179" i="120"/>
  <c r="M180" i="120" s="1"/>
  <c r="M13" i="120"/>
  <c r="BI52" i="120"/>
  <c r="AI257" i="120"/>
  <c r="AL257" i="120" s="1"/>
  <c r="AL82" i="120"/>
  <c r="BG82" i="120"/>
  <c r="AO124" i="120"/>
  <c r="AN254" i="120"/>
  <c r="AI199" i="120"/>
  <c r="BG54" i="120"/>
  <c r="BH196" i="120"/>
  <c r="CF30" i="120"/>
  <c r="CE53" i="120"/>
  <c r="AP252" i="120"/>
  <c r="AO112" i="120"/>
  <c r="BN112" i="120"/>
  <c r="CM112" i="120" s="1"/>
  <c r="BI175" i="120"/>
  <c r="BI11" i="120"/>
  <c r="CG8" i="120"/>
  <c r="CE8" i="120" s="1"/>
  <c r="CE175" i="120" s="1"/>
  <c r="BE176" i="120"/>
  <c r="BD9" i="120"/>
  <c r="H159" i="120"/>
  <c r="H181" i="120"/>
  <c r="H225" i="120" s="1"/>
  <c r="B184" i="120"/>
  <c r="CL17" i="120"/>
  <c r="AH31" i="120"/>
  <c r="BI240" i="120"/>
  <c r="CG39" i="120"/>
  <c r="BH60" i="120"/>
  <c r="CF59" i="120"/>
  <c r="BI68" i="120"/>
  <c r="AN68" i="120"/>
  <c r="AI244" i="120"/>
  <c r="AL244" i="120" s="1"/>
  <c r="BG85" i="120"/>
  <c r="AM240" i="120"/>
  <c r="AP91" i="120"/>
  <c r="AP88" i="120" s="1"/>
  <c r="BE88" i="120" s="1"/>
  <c r="AF91" i="120"/>
  <c r="AL91" i="120" s="1"/>
  <c r="AM91" i="120"/>
  <c r="AM16" i="120"/>
  <c r="BN186" i="120"/>
  <c r="BM19" i="120"/>
  <c r="BM186" i="120" s="1"/>
  <c r="CG190" i="120"/>
  <c r="CJ23" i="120"/>
  <c r="CJ190" i="120" s="1"/>
  <c r="BI35" i="120"/>
  <c r="G158" i="120"/>
  <c r="G160" i="120" s="1"/>
  <c r="E28" i="120"/>
  <c r="BH238" i="120"/>
  <c r="BH204" i="120"/>
  <c r="CF37" i="120"/>
  <c r="R241" i="120"/>
  <c r="Q40" i="120"/>
  <c r="Q241" i="120" s="1"/>
  <c r="AQ243" i="120"/>
  <c r="BO42" i="120"/>
  <c r="CN42" i="120" s="1"/>
  <c r="BO49" i="120"/>
  <c r="CN49" i="120" s="1"/>
  <c r="BO50" i="120"/>
  <c r="AQ266" i="120"/>
  <c r="BH93" i="120"/>
  <c r="BY129" i="120"/>
  <c r="K12" i="120"/>
  <c r="R188" i="120"/>
  <c r="R14" i="120"/>
  <c r="Q21" i="120"/>
  <c r="Q188" i="120" s="1"/>
  <c r="BI243" i="120"/>
  <c r="BL42" i="120"/>
  <c r="CG42" i="120"/>
  <c r="BN47" i="120"/>
  <c r="CM47" i="120" s="1"/>
  <c r="AD203" i="120"/>
  <c r="AJ36" i="120"/>
  <c r="AC36" i="120"/>
  <c r="AD28" i="120"/>
  <c r="BO62" i="120"/>
  <c r="CN62" i="120" s="1"/>
  <c r="AM76" i="120"/>
  <c r="BF74" i="120"/>
  <c r="AG246" i="120"/>
  <c r="AM246" i="120" s="1"/>
  <c r="AF77" i="120"/>
  <c r="AP77" i="120"/>
  <c r="BE77" i="120" s="1"/>
  <c r="BH256" i="120"/>
  <c r="CF81" i="120"/>
  <c r="BE111" i="120"/>
  <c r="BI252" i="120"/>
  <c r="CG112" i="120"/>
  <c r="CA98" i="120"/>
  <c r="BR158" i="120"/>
  <c r="BP98" i="120"/>
  <c r="AG268" i="120"/>
  <c r="AM268" i="120" s="1"/>
  <c r="AF51" i="120"/>
  <c r="AF268" i="120" s="1"/>
  <c r="AP51" i="120"/>
  <c r="BF96" i="120"/>
  <c r="BO102" i="120"/>
  <c r="CN102" i="120" s="1"/>
  <c r="AL138" i="120"/>
  <c r="BG138" i="120"/>
  <c r="CE138" i="120" s="1"/>
  <c r="CH138" i="120" s="1"/>
  <c r="S260" i="120"/>
  <c r="S270" i="120" s="1"/>
  <c r="CM133" i="120"/>
  <c r="BJ130" i="120"/>
  <c r="BL139" i="120"/>
  <c r="AQ213" i="120"/>
  <c r="CP65" i="121" s="1"/>
  <c r="BO147" i="120"/>
  <c r="BO213" i="120" s="1"/>
  <c r="EO65" i="121" s="1"/>
  <c r="AJ214" i="120"/>
  <c r="BH148" i="120"/>
  <c r="CE90" i="120"/>
  <c r="CH90" i="120" s="1"/>
  <c r="AQ251" i="120"/>
  <c r="BO111" i="120"/>
  <c r="BO251" i="120" s="1"/>
  <c r="AP219" i="120"/>
  <c r="CO71" i="121" s="1"/>
  <c r="AO153" i="120"/>
  <c r="AO219" i="120" s="1"/>
  <c r="BN153" i="120"/>
  <c r="BM230" i="120"/>
  <c r="CB164" i="120"/>
  <c r="AK214" i="120"/>
  <c r="BI148" i="120"/>
  <c r="BH221" i="120"/>
  <c r="BK155" i="120"/>
  <c r="CF155" i="120"/>
  <c r="CF219" i="120"/>
  <c r="CI219" i="120" s="1"/>
  <c r="CI153" i="120"/>
  <c r="AO101" i="120"/>
  <c r="BN101" i="120"/>
  <c r="BM101" i="120" s="1"/>
  <c r="BF112" i="120"/>
  <c r="BF252" i="120" s="1"/>
  <c r="BN137" i="120"/>
  <c r="AP136" i="120"/>
  <c r="BE136" i="120" s="1"/>
  <c r="AI209" i="120"/>
  <c r="BG143" i="120"/>
  <c r="AQ218" i="120"/>
  <c r="CP70" i="121" s="1"/>
  <c r="BO152" i="120"/>
  <c r="BO218" i="120" s="1"/>
  <c r="EO70" i="121" s="1"/>
  <c r="AI266" i="120"/>
  <c r="AL50" i="120"/>
  <c r="BG50" i="120"/>
  <c r="AH129" i="120"/>
  <c r="AN129" i="120" s="1"/>
  <c r="D122" i="120"/>
  <c r="AK177" i="120"/>
  <c r="AW179" i="120"/>
  <c r="AW180" i="120" s="1"/>
  <c r="AW13" i="120"/>
  <c r="BI187" i="120"/>
  <c r="BL20" i="120"/>
  <c r="BL187" i="120" s="1"/>
  <c r="CG20" i="120"/>
  <c r="BO46" i="120"/>
  <c r="CN46" i="120" s="1"/>
  <c r="CE56" i="120"/>
  <c r="CH56" i="120" s="1"/>
  <c r="AQ244" i="120"/>
  <c r="BO85" i="120"/>
  <c r="CN85" i="120" s="1"/>
  <c r="AO85" i="120"/>
  <c r="AJ61" i="120"/>
  <c r="AC61" i="120"/>
  <c r="AI61" i="120" s="1"/>
  <c r="CF175" i="120"/>
  <c r="BK182" i="120"/>
  <c r="AH183" i="120"/>
  <c r="BF16" i="120"/>
  <c r="BF183" i="120" s="1"/>
  <c r="P181" i="120"/>
  <c r="P225" i="120" s="1"/>
  <c r="P12" i="120"/>
  <c r="AQ198" i="120"/>
  <c r="CP50" i="121" s="1"/>
  <c r="BO32" i="120"/>
  <c r="CN32" i="120" s="1"/>
  <c r="K207" i="120"/>
  <c r="K224" i="120"/>
  <c r="BC203" i="120"/>
  <c r="AH241" i="120"/>
  <c r="AN241" i="120" s="1"/>
  <c r="AQ40" i="120"/>
  <c r="AN40" i="120"/>
  <c r="AE203" i="120"/>
  <c r="AE28" i="120"/>
  <c r="AK28" i="120" s="1"/>
  <c r="AK36" i="120"/>
  <c r="BH64" i="120"/>
  <c r="BK63" i="120"/>
  <c r="CF63" i="120"/>
  <c r="CF67" i="120"/>
  <c r="CI67" i="120" s="1"/>
  <c r="BL69" i="120"/>
  <c r="CG69" i="120"/>
  <c r="CJ69" i="120" s="1"/>
  <c r="BM71" i="120"/>
  <c r="BH189" i="120"/>
  <c r="CF22" i="120"/>
  <c r="BH21" i="120"/>
  <c r="BG22" i="120"/>
  <c r="BG189" i="120" s="1"/>
  <c r="BU158" i="120"/>
  <c r="BU160" i="120" s="1"/>
  <c r="BS28" i="120"/>
  <c r="BF37" i="120"/>
  <c r="AQ240" i="120"/>
  <c r="BO39" i="120"/>
  <c r="BO240" i="120" s="1"/>
  <c r="AH264" i="120"/>
  <c r="AN264" i="120" s="1"/>
  <c r="AQ48" i="120"/>
  <c r="BF48" i="120" s="1"/>
  <c r="BF264" i="120" s="1"/>
  <c r="BI266" i="120"/>
  <c r="BL50" i="120"/>
  <c r="CG50" i="120"/>
  <c r="AM51" i="120"/>
  <c r="BJ72" i="120"/>
  <c r="CE72" i="120"/>
  <c r="CH72" i="120" s="1"/>
  <c r="CE74" i="120"/>
  <c r="CH74" i="120" s="1"/>
  <c r="BG88" i="120"/>
  <c r="AQ103" i="120"/>
  <c r="BF103" i="120" s="1"/>
  <c r="AN103" i="120"/>
  <c r="AH104" i="120"/>
  <c r="AN104" i="120" s="1"/>
  <c r="AP115" i="120"/>
  <c r="AF115" i="120"/>
  <c r="AL115" i="120" s="1"/>
  <c r="AM115" i="120"/>
  <c r="AG249" i="120"/>
  <c r="AM249" i="120" s="1"/>
  <c r="CE119" i="120"/>
  <c r="CH119" i="120" s="1"/>
  <c r="Q266" i="120"/>
  <c r="CF75" i="120"/>
  <c r="CI75" i="120" s="1"/>
  <c r="AN257" i="120"/>
  <c r="AH249" i="120"/>
  <c r="AN249" i="120" s="1"/>
  <c r="AH261" i="120"/>
  <c r="AQ89" i="120"/>
  <c r="AO89" i="120" s="1"/>
  <c r="AQ269" i="120"/>
  <c r="BO97" i="120"/>
  <c r="BO269" i="120" s="1"/>
  <c r="AQ106" i="120"/>
  <c r="AQ204" i="120" s="1"/>
  <c r="CP56" i="121" s="1"/>
  <c r="AN106" i="120"/>
  <c r="AQ114" i="120"/>
  <c r="BF114" i="120" s="1"/>
  <c r="AN114" i="120"/>
  <c r="CF121" i="120"/>
  <c r="CI121" i="120" s="1"/>
  <c r="BL147" i="120"/>
  <c r="AQ126" i="120"/>
  <c r="BF126" i="120" s="1"/>
  <c r="BL126" i="120" s="1"/>
  <c r="AN126" i="120"/>
  <c r="AD122" i="120"/>
  <c r="T122" i="120"/>
  <c r="U158" i="120"/>
  <c r="CF128" i="120"/>
  <c r="CI127" i="120"/>
  <c r="BY214" i="120"/>
  <c r="CF217" i="120"/>
  <c r="Q156" i="120"/>
  <c r="Q222" i="120" s="1"/>
  <c r="R222" i="120"/>
  <c r="AP74" i="121" s="1"/>
  <c r="BJ230" i="120"/>
  <c r="AI219" i="120"/>
  <c r="AL219" i="120" s="1"/>
  <c r="AL153" i="120"/>
  <c r="BG153" i="120"/>
  <c r="BI216" i="120"/>
  <c r="CG150" i="120"/>
  <c r="BF153" i="120"/>
  <c r="BF219" i="120" s="1"/>
  <c r="AH223" i="120"/>
  <c r="AN223" i="120" s="1"/>
  <c r="AQ157" i="120"/>
  <c r="AN157" i="120"/>
  <c r="BG198" i="120"/>
  <c r="CE32" i="120"/>
  <c r="AN61" i="120"/>
  <c r="BU179" i="120"/>
  <c r="BU180" i="120" s="1"/>
  <c r="BU13" i="120"/>
  <c r="BH245" i="120"/>
  <c r="BK43" i="120"/>
  <c r="CF43" i="120"/>
  <c r="CE58" i="120"/>
  <c r="BI253" i="120"/>
  <c r="CG113" i="120"/>
  <c r="BK72" i="120"/>
  <c r="CF72" i="120"/>
  <c r="CI72" i="120" s="1"/>
  <c r="AN247" i="120"/>
  <c r="BC159" i="120"/>
  <c r="BA159" i="120" s="1"/>
  <c r="AH184" i="120"/>
  <c r="BF17" i="120"/>
  <c r="BF184" i="120" s="1"/>
  <c r="CG198" i="120"/>
  <c r="CJ198" i="120" s="1"/>
  <c r="CJ32" i="120"/>
  <c r="Q243" i="120"/>
  <c r="AF43" i="120"/>
  <c r="CG93" i="120"/>
  <c r="CJ93" i="120" s="1"/>
  <c r="AI239" i="120"/>
  <c r="AI205" i="120"/>
  <c r="BG38" i="120"/>
  <c r="AM266" i="120"/>
  <c r="AJ265" i="120"/>
  <c r="AF63" i="120"/>
  <c r="BI244" i="120"/>
  <c r="CG85" i="120"/>
  <c r="AI261" i="120"/>
  <c r="BG89" i="120"/>
  <c r="AK208" i="120"/>
  <c r="BI142" i="120"/>
  <c r="BI129" i="120"/>
  <c r="CG129" i="120" s="1"/>
  <c r="CJ129" i="120" s="1"/>
  <c r="BQ179" i="120"/>
  <c r="BQ180" i="120" s="1"/>
  <c r="BQ13" i="120"/>
  <c r="BP12" i="120"/>
  <c r="BP159" i="120"/>
  <c r="BP181" i="120"/>
  <c r="BP225" i="120" s="1"/>
  <c r="AQ159" i="120"/>
  <c r="AQ181" i="120"/>
  <c r="AQ225" i="120" s="1"/>
  <c r="R197" i="120"/>
  <c r="AP49" i="121" s="1"/>
  <c r="BO34" i="120"/>
  <c r="CN34" i="120" s="1"/>
  <c r="AA207" i="120"/>
  <c r="BK59" i="121" s="1"/>
  <c r="AA224" i="120"/>
  <c r="AA226" i="120" s="1"/>
  <c r="BH104" i="120"/>
  <c r="BK131" i="120"/>
  <c r="CF131" i="120"/>
  <c r="CI131" i="120" s="1"/>
  <c r="J207" i="120"/>
  <c r="P59" i="121" s="1"/>
  <c r="J224" i="120"/>
  <c r="J226" i="120" s="1"/>
  <c r="CG241" i="120"/>
  <c r="CJ241" i="120" s="1"/>
  <c r="CJ40" i="120"/>
  <c r="N265" i="120"/>
  <c r="N270" i="120" s="1"/>
  <c r="Q88" i="120"/>
  <c r="AN128" i="120"/>
  <c r="BG20" i="120"/>
  <c r="BG187" i="120" s="1"/>
  <c r="AG190" i="120"/>
  <c r="AF23" i="120"/>
  <c r="AF190" i="120" s="1"/>
  <c r="BE23" i="120"/>
  <c r="BK23" i="120" s="1"/>
  <c r="AN43" i="120"/>
  <c r="X207" i="120"/>
  <c r="BB59" i="121" s="1"/>
  <c r="BA59" i="121" s="1"/>
  <c r="X224" i="120"/>
  <c r="X226" i="120" s="1"/>
  <c r="AF59" i="120"/>
  <c r="AP59" i="120"/>
  <c r="BE59" i="120" s="1"/>
  <c r="BG68" i="120"/>
  <c r="CE68" i="120" s="1"/>
  <c r="BM72" i="120"/>
  <c r="CL72" i="120" s="1"/>
  <c r="CM72" i="120"/>
  <c r="CF78" i="120"/>
  <c r="AU12" i="120"/>
  <c r="AM182" i="120"/>
  <c r="AL15" i="120"/>
  <c r="AL182" i="120" s="1"/>
  <c r="BI199" i="120"/>
  <c r="CG54" i="120"/>
  <c r="Z52" i="120"/>
  <c r="AB158" i="120"/>
  <c r="AB160" i="120" s="1"/>
  <c r="BI211" i="120"/>
  <c r="BL211" i="120" s="1"/>
  <c r="BL145" i="120"/>
  <c r="CG145" i="120"/>
  <c r="AQ257" i="120"/>
  <c r="BO82" i="120"/>
  <c r="BO257" i="120" s="1"/>
  <c r="BK119" i="120"/>
  <c r="CF119" i="120"/>
  <c r="CI119" i="120" s="1"/>
  <c r="AH199" i="120"/>
  <c r="AN199" i="120" s="1"/>
  <c r="AQ54" i="120"/>
  <c r="BF54" i="120" s="1"/>
  <c r="BF199" i="120" s="1"/>
  <c r="AQ247" i="120"/>
  <c r="BO79" i="120"/>
  <c r="CN79" i="120" s="1"/>
  <c r="AO79" i="120"/>
  <c r="N105" i="120"/>
  <c r="AQ255" i="120"/>
  <c r="BO80" i="120"/>
  <c r="AO80" i="120"/>
  <c r="AH88" i="120"/>
  <c r="AO92" i="120"/>
  <c r="BN92" i="120"/>
  <c r="BM92" i="120" s="1"/>
  <c r="BM140" i="120"/>
  <c r="CL140" i="120" s="1"/>
  <c r="CM140" i="120"/>
  <c r="BK139" i="120"/>
  <c r="CF139" i="120"/>
  <c r="CI139" i="120" s="1"/>
  <c r="BK133" i="120"/>
  <c r="CF133" i="120"/>
  <c r="CI133" i="120" s="1"/>
  <c r="BH223" i="120"/>
  <c r="CF157" i="120"/>
  <c r="CE131" i="120"/>
  <c r="CH131" i="120" s="1"/>
  <c r="BI212" i="120"/>
  <c r="BL146" i="120"/>
  <c r="CG146" i="120"/>
  <c r="CF209" i="120"/>
  <c r="BF189" i="120"/>
  <c r="BF21" i="120"/>
  <c r="BF188" i="120" s="1"/>
  <c r="AU207" i="120"/>
  <c r="AU224" i="120"/>
  <c r="BI60" i="120"/>
  <c r="BL60" i="120" s="1"/>
  <c r="B189" i="120"/>
  <c r="CL22" i="120"/>
  <c r="AG201" i="120"/>
  <c r="AF34" i="120"/>
  <c r="AP34" i="120"/>
  <c r="R201" i="120"/>
  <c r="AP53" i="121" s="1"/>
  <c r="Q34" i="120"/>
  <c r="BD41" i="120"/>
  <c r="AF48" i="120"/>
  <c r="AF264" i="120" s="1"/>
  <c r="BN188" i="120"/>
  <c r="BN14" i="120"/>
  <c r="BM21" i="120"/>
  <c r="BM188" i="120" s="1"/>
  <c r="BE90" i="120"/>
  <c r="BE107" i="120"/>
  <c r="CG88" i="120"/>
  <c r="CJ88" i="120" s="1"/>
  <c r="BL156" i="120"/>
  <c r="AO117" i="120"/>
  <c r="AP116" i="120"/>
  <c r="BE116" i="120" s="1"/>
  <c r="BN117" i="120"/>
  <c r="CM117" i="120" s="1"/>
  <c r="CE123" i="120"/>
  <c r="AI212" i="120"/>
  <c r="BG146" i="120"/>
  <c r="CE75" i="120"/>
  <c r="CH75" i="120" s="1"/>
  <c r="BD134" i="120"/>
  <c r="BJ134" i="120" s="1"/>
  <c r="AP211" i="120"/>
  <c r="CO63" i="121" s="1"/>
  <c r="AO145" i="120"/>
  <c r="AO211" i="120" s="1"/>
  <c r="BN145" i="120"/>
  <c r="CM145" i="120" s="1"/>
  <c r="CN123" i="120"/>
  <c r="CE55" i="120"/>
  <c r="BF91" i="120"/>
  <c r="BL91" i="120" s="1"/>
  <c r="AP253" i="120"/>
  <c r="BN113" i="120"/>
  <c r="CM113" i="120" s="1"/>
  <c r="AN118" i="120"/>
  <c r="AI197" i="120"/>
  <c r="BG31" i="120"/>
  <c r="AI262" i="120"/>
  <c r="AL46" i="120"/>
  <c r="BG46" i="120"/>
  <c r="I207" i="120"/>
  <c r="O59" i="121" s="1"/>
  <c r="I224" i="120"/>
  <c r="I226" i="120" s="1"/>
  <c r="BO53" i="120"/>
  <c r="CN53" i="120" s="1"/>
  <c r="BO99" i="120"/>
  <c r="CN99" i="120" s="1"/>
  <c r="BH257" i="120"/>
  <c r="CF82" i="120"/>
  <c r="BL101" i="120"/>
  <c r="CG101" i="120"/>
  <c r="CJ101" i="120" s="1"/>
  <c r="BG220" i="120"/>
  <c r="AF121" i="120"/>
  <c r="AL121" i="120" s="1"/>
  <c r="AG269" i="120"/>
  <c r="AM269" i="120" s="1"/>
  <c r="AP121" i="120"/>
  <c r="AJ208" i="120"/>
  <c r="BH142" i="120"/>
  <c r="BE219" i="120"/>
  <c r="B183" i="120"/>
  <c r="CL16" i="120"/>
  <c r="V207" i="120"/>
  <c r="AT59" i="121" s="1"/>
  <c r="V224" i="120"/>
  <c r="V226" i="120" s="1"/>
  <c r="BI239" i="120"/>
  <c r="BI205" i="120"/>
  <c r="CG38" i="120"/>
  <c r="M207" i="120"/>
  <c r="Y59" i="121" s="1"/>
  <c r="W59" i="121" s="1"/>
  <c r="M224" i="120"/>
  <c r="M226" i="120" s="1"/>
  <c r="CI42" i="120"/>
  <c r="BS159" i="120"/>
  <c r="BS181" i="120"/>
  <c r="BS225" i="120" s="1"/>
  <c r="BU207" i="120"/>
  <c r="FA59" i="121" s="1"/>
  <c r="FS59" i="121" s="1"/>
  <c r="BU224" i="120"/>
  <c r="BU226" i="120" s="1"/>
  <c r="O203" i="120"/>
  <c r="N36" i="120"/>
  <c r="O28" i="120"/>
  <c r="CE57" i="120"/>
  <c r="CE73" i="120"/>
  <c r="CH73" i="120" s="1"/>
  <c r="BG116" i="120"/>
  <c r="AL116" i="120"/>
  <c r="R265" i="120"/>
  <c r="CE102" i="120"/>
  <c r="BH247" i="120"/>
  <c r="CF79" i="120"/>
  <c r="BO132" i="120"/>
  <c r="AO132" i="120"/>
  <c r="BF116" i="120"/>
  <c r="BL116" i="120" s="1"/>
  <c r="AC129" i="120"/>
  <c r="AJ129" i="120"/>
  <c r="BG217" i="120"/>
  <c r="CE151" i="120"/>
  <c r="BI220" i="120"/>
  <c r="CG154" i="120"/>
  <c r="AQ211" i="120"/>
  <c r="CP63" i="121" s="1"/>
  <c r="BO145" i="120"/>
  <c r="BO211" i="120" s="1"/>
  <c r="EO63" i="121" s="1"/>
  <c r="BL53" i="120"/>
  <c r="CG53" i="120"/>
  <c r="CJ53" i="120" s="1"/>
  <c r="BI195" i="120"/>
  <c r="CG29" i="120"/>
  <c r="AI200" i="120"/>
  <c r="BG33" i="120"/>
  <c r="BG35" i="120" s="1"/>
  <c r="BH198" i="120"/>
  <c r="CF32" i="120"/>
  <c r="R240" i="120"/>
  <c r="Q39" i="120"/>
  <c r="Q240" i="120" s="1"/>
  <c r="AQ259" i="120"/>
  <c r="BO84" i="120"/>
  <c r="CN84" i="120" s="1"/>
  <c r="AO84" i="120"/>
  <c r="BZ179" i="120"/>
  <c r="BZ180" i="120" s="1"/>
  <c r="BZ13" i="120"/>
  <c r="CF187" i="120"/>
  <c r="CI20" i="120"/>
  <c r="CE20" i="120"/>
  <c r="CE187" i="120" s="1"/>
  <c r="BI197" i="120"/>
  <c r="CG31" i="120"/>
  <c r="CJ71" i="120"/>
  <c r="CG204" i="120"/>
  <c r="CJ204" i="120" s="1"/>
  <c r="CG238" i="120"/>
  <c r="CJ238" i="120" s="1"/>
  <c r="BV52" i="120"/>
  <c r="BW158" i="120"/>
  <c r="CF101" i="120"/>
  <c r="CI101" i="120" s="1"/>
  <c r="BG213" i="120"/>
  <c r="CE147" i="120"/>
  <c r="BG196" i="120"/>
  <c r="CE30" i="120"/>
  <c r="CG52" i="120"/>
  <c r="CJ52" i="120" s="1"/>
  <c r="BO75" i="120"/>
  <c r="CN75" i="120" s="1"/>
  <c r="AH64" i="120"/>
  <c r="AN64" i="120" s="1"/>
  <c r="AQ63" i="120"/>
  <c r="Q250" i="120"/>
  <c r="Q206" i="120"/>
  <c r="BM135" i="120"/>
  <c r="CL135" i="120" s="1"/>
  <c r="BK108" i="120"/>
  <c r="BR226" i="120"/>
  <c r="BE253" i="120"/>
  <c r="BK253" i="120" s="1"/>
  <c r="BQ158" i="120"/>
  <c r="AI11" i="120"/>
  <c r="AI178" i="120" s="1"/>
  <c r="AM56" i="120"/>
  <c r="AK159" i="120"/>
  <c r="E203" i="120"/>
  <c r="AM44" i="120"/>
  <c r="BZ52" i="120"/>
  <c r="BH255" i="120"/>
  <c r="CF80" i="120"/>
  <c r="AY207" i="120"/>
  <c r="DJ59" i="121" s="1"/>
  <c r="DI59" i="121" s="1"/>
  <c r="AY224" i="120"/>
  <c r="AY226" i="120" s="1"/>
  <c r="BO65" i="120"/>
  <c r="CN65" i="120" s="1"/>
  <c r="BH248" i="120"/>
  <c r="CF76" i="120"/>
  <c r="BI267" i="120"/>
  <c r="BL96" i="120"/>
  <c r="CG96" i="120"/>
  <c r="BH138" i="120"/>
  <c r="AM138" i="120"/>
  <c r="CE115" i="120"/>
  <c r="CH115" i="120" s="1"/>
  <c r="Q103" i="120"/>
  <c r="AF136" i="120"/>
  <c r="AL136" i="120" s="1"/>
  <c r="BH210" i="120"/>
  <c r="CF144" i="120"/>
  <c r="AO213" i="120"/>
  <c r="BG15" i="120"/>
  <c r="BG182" i="120" s="1"/>
  <c r="AJ70" i="120"/>
  <c r="AC70" i="120"/>
  <c r="AI70" i="120" s="1"/>
  <c r="BI249" i="120"/>
  <c r="BL87" i="120"/>
  <c r="CG87" i="120"/>
  <c r="BE252" i="120"/>
  <c r="BK252" i="120" s="1"/>
  <c r="BD112" i="120"/>
  <c r="BD252" i="120" s="1"/>
  <c r="AQ137" i="120"/>
  <c r="AO137" i="120" s="1"/>
  <c r="AN137" i="120"/>
  <c r="AN182" i="120"/>
  <c r="AG184" i="120"/>
  <c r="BE17" i="120"/>
  <c r="AF17" i="120"/>
  <c r="AF184" i="120" s="1"/>
  <c r="F207" i="120"/>
  <c r="F59" i="121" s="1"/>
  <c r="F224" i="120"/>
  <c r="F226" i="120" s="1"/>
  <c r="BO44" i="120"/>
  <c r="BG59" i="120"/>
  <c r="AI60" i="120"/>
  <c r="O181" i="120"/>
  <c r="O225" i="120" s="1"/>
  <c r="N14" i="120"/>
  <c r="N181" i="120" s="1"/>
  <c r="N225" i="120" s="1"/>
  <c r="O12" i="120"/>
  <c r="G207" i="120"/>
  <c r="G59" i="121" s="1"/>
  <c r="G224" i="120"/>
  <c r="G226" i="120" s="1"/>
  <c r="AG241" i="120"/>
  <c r="AM241" i="120" s="1"/>
  <c r="AP40" i="120"/>
  <c r="BE40" i="120" s="1"/>
  <c r="AF40" i="120"/>
  <c r="AM40" i="120"/>
  <c r="BF243" i="120"/>
  <c r="BF266" i="120"/>
  <c r="BE65" i="120"/>
  <c r="BG246" i="120"/>
  <c r="BG93" i="120"/>
  <c r="CE93" i="120" s="1"/>
  <c r="CH93" i="120" s="1"/>
  <c r="BI185" i="120"/>
  <c r="CG18" i="120"/>
  <c r="BL18" i="120"/>
  <c r="BL185" i="120" s="1"/>
  <c r="BX158" i="120"/>
  <c r="BX160" i="120" s="1"/>
  <c r="N202" i="120"/>
  <c r="AN243" i="120"/>
  <c r="AI49" i="120"/>
  <c r="AM248" i="120"/>
  <c r="BI248" i="120"/>
  <c r="BL248" i="120" s="1"/>
  <c r="BL76" i="120"/>
  <c r="CG76" i="120"/>
  <c r="Q246" i="120"/>
  <c r="AO96" i="120"/>
  <c r="CG105" i="120"/>
  <c r="CJ105" i="120" s="1"/>
  <c r="BY105" i="120"/>
  <c r="BK137" i="120"/>
  <c r="Q268" i="120"/>
  <c r="AC105" i="120"/>
  <c r="BI209" i="120"/>
  <c r="CG143" i="120"/>
  <c r="AQ248" i="120"/>
  <c r="BO76" i="120"/>
  <c r="BO248" i="120" s="1"/>
  <c r="CF124" i="120"/>
  <c r="CI124" i="120" s="1"/>
  <c r="BO139" i="120"/>
  <c r="CN139" i="120" s="1"/>
  <c r="AQ138" i="120"/>
  <c r="AO139" i="120"/>
  <c r="C105" i="120"/>
  <c r="B118" i="120"/>
  <c r="AO130" i="120"/>
  <c r="BN130" i="120"/>
  <c r="CM134" i="120"/>
  <c r="AC208" i="120"/>
  <c r="AI142" i="120"/>
  <c r="BH222" i="120"/>
  <c r="CF156" i="120"/>
  <c r="BF111" i="120"/>
  <c r="BF251" i="120" s="1"/>
  <c r="CF253" i="120"/>
  <c r="CI253" i="120" s="1"/>
  <c r="CI113" i="120"/>
  <c r="AQ222" i="120"/>
  <c r="CP74" i="121" s="1"/>
  <c r="BO156" i="120"/>
  <c r="BO222" i="120" s="1"/>
  <c r="EO74" i="121" s="1"/>
  <c r="CL133" i="120"/>
  <c r="CL134" i="120"/>
  <c r="BE101" i="120"/>
  <c r="BD101" i="120" s="1"/>
  <c r="AH144" i="120"/>
  <c r="BF152" i="120"/>
  <c r="BF218" i="120" s="1"/>
  <c r="AN201" i="120"/>
  <c r="AK202" i="120"/>
  <c r="BO120" i="120"/>
  <c r="BM120" i="120" s="1"/>
  <c r="AO120" i="120"/>
  <c r="S159" i="120"/>
  <c r="S181" i="120"/>
  <c r="S225" i="120" s="1"/>
  <c r="BG241" i="120"/>
  <c r="CE40" i="120"/>
  <c r="BF46" i="120"/>
  <c r="AI263" i="120"/>
  <c r="BG47" i="120"/>
  <c r="BG69" i="120"/>
  <c r="BF85" i="120"/>
  <c r="BL85" i="120" s="1"/>
  <c r="AH263" i="120"/>
  <c r="AN263" i="120" s="1"/>
  <c r="AQ47" i="120"/>
  <c r="BF47" i="120" s="1"/>
  <c r="BK73" i="120"/>
  <c r="CF73" i="120"/>
  <c r="BH241" i="120"/>
  <c r="AK184" i="120"/>
  <c r="BI17" i="120"/>
  <c r="BI14" i="120" s="1"/>
  <c r="BI181" i="120" s="1"/>
  <c r="BI225" i="120" s="1"/>
  <c r="AN17" i="120"/>
  <c r="AN184" i="120" s="1"/>
  <c r="BL189" i="120"/>
  <c r="BL21" i="120"/>
  <c r="BL188" i="120" s="1"/>
  <c r="AI195" i="120"/>
  <c r="BG29" i="120"/>
  <c r="BE31" i="120"/>
  <c r="BK31" i="120" s="1"/>
  <c r="M158" i="120"/>
  <c r="M160" i="120" s="1"/>
  <c r="K28" i="120"/>
  <c r="BI254" i="120"/>
  <c r="BL44" i="120"/>
  <c r="CG44" i="120"/>
  <c r="BG45" i="120"/>
  <c r="D203" i="120"/>
  <c r="BO57" i="120"/>
  <c r="CN57" i="120" s="1"/>
  <c r="AI247" i="120"/>
  <c r="AL247" i="120" s="1"/>
  <c r="BG79" i="120"/>
  <c r="AL79" i="120"/>
  <c r="W12" i="120"/>
  <c r="W159" i="120"/>
  <c r="W181" i="120"/>
  <c r="W225" i="120" s="1"/>
  <c r="BF39" i="120"/>
  <c r="BF240" i="120" s="1"/>
  <c r="AQ246" i="120"/>
  <c r="BO77" i="120"/>
  <c r="BO246" i="120" s="1"/>
  <c r="BI256" i="120"/>
  <c r="CG81" i="120"/>
  <c r="CE258" i="120"/>
  <c r="CH258" i="120" s="1"/>
  <c r="CH83" i="120"/>
  <c r="BH88" i="120"/>
  <c r="AM88" i="120"/>
  <c r="AM116" i="120"/>
  <c r="BH116" i="120"/>
  <c r="Q49" i="120"/>
  <c r="AG49" i="120"/>
  <c r="BG118" i="120"/>
  <c r="BK89" i="120"/>
  <c r="BH267" i="120"/>
  <c r="BK96" i="120"/>
  <c r="CF96" i="120"/>
  <c r="BF97" i="120"/>
  <c r="AG250" i="120"/>
  <c r="AM250" i="120" s="1"/>
  <c r="AG206" i="120"/>
  <c r="AM206" i="120" s="1"/>
  <c r="AP109" i="120"/>
  <c r="BE109" i="120" s="1"/>
  <c r="AF109" i="120"/>
  <c r="AL109" i="120" s="1"/>
  <c r="AM109" i="120"/>
  <c r="AM121" i="120"/>
  <c r="AH217" i="120"/>
  <c r="AN217" i="120" s="1"/>
  <c r="AQ151" i="120"/>
  <c r="BF151" i="120" s="1"/>
  <c r="AN151" i="120"/>
  <c r="BL213" i="120"/>
  <c r="AE98" i="120"/>
  <c r="T98" i="120"/>
  <c r="AI252" i="120"/>
  <c r="AL252" i="120" s="1"/>
  <c r="AL112" i="120"/>
  <c r="BG112" i="120"/>
  <c r="D98" i="120"/>
  <c r="AH105" i="120"/>
  <c r="AN105" i="120" s="1"/>
  <c r="AO127" i="120"/>
  <c r="BN127" i="120"/>
  <c r="CM127" i="120" s="1"/>
  <c r="BG104" i="120"/>
  <c r="CE103" i="120"/>
  <c r="BK127" i="120"/>
  <c r="BK134" i="120"/>
  <c r="CF134" i="120"/>
  <c r="CI134" i="120" s="1"/>
  <c r="AP221" i="120"/>
  <c r="CO73" i="121" s="1"/>
  <c r="BN155" i="120"/>
  <c r="CM155" i="120" s="1"/>
  <c r="AO155" i="120"/>
  <c r="AO221" i="120" s="1"/>
  <c r="B222" i="120"/>
  <c r="CE230" i="120"/>
  <c r="BH213" i="120"/>
  <c r="CF147" i="120"/>
  <c r="AN150" i="120"/>
  <c r="AL228" i="120"/>
  <c r="BF56" i="120"/>
  <c r="BL56" i="120" s="1"/>
  <c r="BB12" i="120"/>
  <c r="BI198" i="120"/>
  <c r="AI35" i="120"/>
  <c r="BZ203" i="120"/>
  <c r="BY36" i="120"/>
  <c r="BZ28" i="120"/>
  <c r="BG258" i="120"/>
  <c r="BI215" i="120"/>
  <c r="BL215" i="120" s="1"/>
  <c r="BL149" i="120"/>
  <c r="CG149" i="120"/>
  <c r="CA12" i="120"/>
  <c r="BY12" i="120" s="1"/>
  <c r="BH190" i="120"/>
  <c r="CF23" i="120"/>
  <c r="BG23" i="120"/>
  <c r="BG190" i="120" s="1"/>
  <c r="AX226" i="120"/>
  <c r="BN63" i="120"/>
  <c r="CM63" i="120" s="1"/>
  <c r="BF108" i="120"/>
  <c r="BL108" i="120" s="1"/>
  <c r="AF89" i="120"/>
  <c r="CF95" i="120"/>
  <c r="CI95" i="120" s="1"/>
  <c r="BI251" i="120"/>
  <c r="CG111" i="120"/>
  <c r="AN246" i="120"/>
  <c r="BH249" i="120"/>
  <c r="BK87" i="120"/>
  <c r="CF87" i="120"/>
  <c r="AC260" i="120"/>
  <c r="BD162" i="120"/>
  <c r="BJ162" i="120" s="1"/>
  <c r="AL127" i="120"/>
  <c r="AI128" i="120"/>
  <c r="BG127" i="120"/>
  <c r="AQ221" i="120"/>
  <c r="CP73" i="121" s="1"/>
  <c r="BO155" i="120"/>
  <c r="BO221" i="120" s="1"/>
  <c r="EO73" i="121" s="1"/>
  <c r="T159" i="120"/>
  <c r="T181" i="120"/>
  <c r="T225" i="120" s="1"/>
  <c r="BY159" i="120"/>
  <c r="BN187" i="120"/>
  <c r="BM20" i="120"/>
  <c r="BM187" i="120" s="1"/>
  <c r="C187" i="120"/>
  <c r="B20" i="120"/>
  <c r="AG20" i="120"/>
  <c r="BF34" i="120"/>
  <c r="BW207" i="120"/>
  <c r="FI59" i="121" s="1"/>
  <c r="FH59" i="121" s="1"/>
  <c r="BW224" i="120"/>
  <c r="BW226" i="120" s="1"/>
  <c r="AI245" i="120"/>
  <c r="BG43" i="120"/>
  <c r="AL43" i="120"/>
  <c r="BB52" i="120"/>
  <c r="CI103" i="120"/>
  <c r="AP262" i="120"/>
  <c r="AO46" i="120"/>
  <c r="BN46" i="120"/>
  <c r="AN48" i="120"/>
  <c r="O52" i="120"/>
  <c r="N52" i="120" s="1"/>
  <c r="BI128" i="120"/>
  <c r="CG127" i="120"/>
  <c r="CF176" i="120"/>
  <c r="BH177" i="120"/>
  <c r="AC14" i="120"/>
  <c r="AC181" i="120" s="1"/>
  <c r="AC225" i="120" s="1"/>
  <c r="B190" i="120"/>
  <c r="CL23" i="120"/>
  <c r="AN245" i="120"/>
  <c r="CF55" i="120"/>
  <c r="Q59" i="120"/>
  <c r="BH68" i="120"/>
  <c r="AJ261" i="120"/>
  <c r="BD73" i="120"/>
  <c r="BJ73" i="120" s="1"/>
  <c r="C185" i="120"/>
  <c r="AG18" i="120"/>
  <c r="B18" i="120"/>
  <c r="AP185" i="120"/>
  <c r="AO18" i="120"/>
  <c r="AO185" i="120" s="1"/>
  <c r="BI268" i="120"/>
  <c r="BL268" i="120" s="1"/>
  <c r="BL51" i="120"/>
  <c r="CG51" i="120"/>
  <c r="AN54" i="120"/>
  <c r="S52" i="120"/>
  <c r="BV203" i="120"/>
  <c r="BF82" i="120"/>
  <c r="BL82" i="120" s="1"/>
  <c r="BF79" i="120"/>
  <c r="AQ258" i="120"/>
  <c r="BO83" i="120"/>
  <c r="CN83" i="120" s="1"/>
  <c r="BC98" i="120"/>
  <c r="BA98" i="120" s="1"/>
  <c r="AT158" i="120"/>
  <c r="AR98" i="120"/>
  <c r="BH118" i="120"/>
  <c r="BF80" i="120"/>
  <c r="BH258" i="120"/>
  <c r="CF83" i="120"/>
  <c r="AI250" i="120"/>
  <c r="AI206" i="120"/>
  <c r="BG109" i="120"/>
  <c r="CE121" i="120"/>
  <c r="CH121" i="120" s="1"/>
  <c r="BB122" i="120"/>
  <c r="BA122" i="120" s="1"/>
  <c r="AR122" i="120"/>
  <c r="AS158" i="120"/>
  <c r="AI216" i="120"/>
  <c r="BG150" i="120"/>
  <c r="AN218" i="120"/>
  <c r="BK140" i="120"/>
  <c r="CF140" i="120"/>
  <c r="CI140" i="120" s="1"/>
  <c r="CG104" i="120"/>
  <c r="CJ104" i="120" s="1"/>
  <c r="CJ103" i="120"/>
  <c r="AH253" i="120"/>
  <c r="AN253" i="120" s="1"/>
  <c r="AQ113" i="120"/>
  <c r="CF125" i="120"/>
  <c r="H122" i="120"/>
  <c r="I158" i="120"/>
  <c r="BJ164" i="120"/>
  <c r="CE164" i="120"/>
  <c r="CH164" i="120" s="1"/>
  <c r="BG228" i="120"/>
  <c r="BE182" i="120"/>
  <c r="BD15" i="120"/>
  <c r="BD182" i="120" s="1"/>
  <c r="BF32" i="120"/>
  <c r="AW207" i="120"/>
  <c r="DB59" i="121" s="1"/>
  <c r="AW224" i="120"/>
  <c r="AW226" i="120" s="1"/>
  <c r="CE67" i="120"/>
  <c r="CH67" i="120" s="1"/>
  <c r="BS12" i="120"/>
  <c r="AG45" i="120"/>
  <c r="BI258" i="120"/>
  <c r="BL258" i="120" s="1"/>
  <c r="BL83" i="120"/>
  <c r="CG83" i="120"/>
  <c r="AG189" i="120"/>
  <c r="AF22" i="120"/>
  <c r="AF189" i="120" s="1"/>
  <c r="AG21" i="120"/>
  <c r="BE22" i="120"/>
  <c r="AO41" i="120"/>
  <c r="BN41" i="120"/>
  <c r="CM41" i="120" s="1"/>
  <c r="BI262" i="120"/>
  <c r="BL46" i="120"/>
  <c r="CG46" i="120"/>
  <c r="BE48" i="120"/>
  <c r="AQ268" i="120"/>
  <c r="BO51" i="120"/>
  <c r="BO268" i="120" s="1"/>
  <c r="AI259" i="120"/>
  <c r="AL259" i="120" s="1"/>
  <c r="BG84" i="120"/>
  <c r="AL84" i="120"/>
  <c r="AL9" i="120"/>
  <c r="AL176" i="120" s="1"/>
  <c r="AX179" i="120"/>
  <c r="AX180" i="120" s="1"/>
  <c r="AX13" i="120"/>
  <c r="CG116" i="120"/>
  <c r="CJ116" i="120" s="1"/>
  <c r="AM77" i="120"/>
  <c r="AO110" i="120"/>
  <c r="BN110" i="120"/>
  <c r="CM110" i="120" s="1"/>
  <c r="BL222" i="120"/>
  <c r="O122" i="120"/>
  <c r="N122" i="120" s="1"/>
  <c r="E122" i="120"/>
  <c r="BH220" i="120"/>
  <c r="CF154" i="120"/>
  <c r="CF215" i="120"/>
  <c r="AP243" i="120"/>
  <c r="AO42" i="120"/>
  <c r="BN42" i="120"/>
  <c r="AG243" i="120"/>
  <c r="AM243" i="120" s="1"/>
  <c r="CE86" i="120"/>
  <c r="CH86" i="120" s="1"/>
  <c r="BO110" i="120"/>
  <c r="CN110" i="120" s="1"/>
  <c r="CE141" i="120"/>
  <c r="CH141" i="120" s="1"/>
  <c r="BY61" i="120"/>
  <c r="W224" i="120"/>
  <c r="AO108" i="120"/>
  <c r="BN108" i="120"/>
  <c r="BM108" i="120" s="1"/>
  <c r="BQ226" i="120"/>
  <c r="CM71" i="120"/>
  <c r="CG118" i="120"/>
  <c r="CJ118" i="120" s="1"/>
  <c r="BK219" i="120" l="1"/>
  <c r="AR224" i="120"/>
  <c r="AR231" i="120" s="1"/>
  <c r="BA270" i="120"/>
  <c r="BE255" i="120"/>
  <c r="BK80" i="120"/>
  <c r="BE120" i="120"/>
  <c r="BK120" i="120" s="1"/>
  <c r="BK255" i="120"/>
  <c r="BE267" i="120"/>
  <c r="CI15" i="120"/>
  <c r="CF10" i="120"/>
  <c r="CE9" i="120"/>
  <c r="CE176" i="120" s="1"/>
  <c r="CI9" i="120"/>
  <c r="AC270" i="120"/>
  <c r="BE82" i="120"/>
  <c r="BN82" i="120"/>
  <c r="AP257" i="120"/>
  <c r="AO82" i="120"/>
  <c r="AO257" i="120" s="1"/>
  <c r="BN80" i="120"/>
  <c r="AP255" i="120"/>
  <c r="X78" i="121"/>
  <c r="AG55" i="121"/>
  <c r="BL119" i="120"/>
  <c r="BD119" i="120"/>
  <c r="BJ119" i="120" s="1"/>
  <c r="AF267" i="120"/>
  <c r="AL267" i="120" s="1"/>
  <c r="BD153" i="120"/>
  <c r="BD219" i="120" s="1"/>
  <c r="AQ150" i="120"/>
  <c r="BO150" i="120" s="1"/>
  <c r="BO216" i="120" s="1"/>
  <c r="EO68" i="121" s="1"/>
  <c r="CM84" i="120"/>
  <c r="BN259" i="120"/>
  <c r="BG177" i="120"/>
  <c r="AL227" i="120"/>
  <c r="BG11" i="120"/>
  <c r="BG178" i="120" s="1"/>
  <c r="AI129" i="120"/>
  <c r="BF263" i="120"/>
  <c r="AF266" i="120"/>
  <c r="AF263" i="120"/>
  <c r="CB87" i="121"/>
  <c r="CK87" i="121" s="1"/>
  <c r="DX17" i="121"/>
  <c r="AH59" i="121"/>
  <c r="N59" i="121"/>
  <c r="BE247" i="120"/>
  <c r="BK247" i="120" s="1"/>
  <c r="BK79" i="120"/>
  <c r="BM124" i="120"/>
  <c r="AP258" i="120"/>
  <c r="BN83" i="120"/>
  <c r="BN258" i="120" s="1"/>
  <c r="AO83" i="120"/>
  <c r="BK95" i="120"/>
  <c r="CN145" i="120"/>
  <c r="BK267" i="120"/>
  <c r="BE124" i="120"/>
  <c r="BD124" i="120" s="1"/>
  <c r="BJ124" i="120" s="1"/>
  <c r="BJ221" i="120"/>
  <c r="AF213" i="120"/>
  <c r="AL213" i="120" s="1"/>
  <c r="AL147" i="120"/>
  <c r="AF262" i="120"/>
  <c r="AL262" i="120" s="1"/>
  <c r="BD131" i="120"/>
  <c r="BJ131" i="120" s="1"/>
  <c r="BE147" i="120"/>
  <c r="BN147" i="120"/>
  <c r="AP213" i="120"/>
  <c r="CO65" i="121" s="1"/>
  <c r="CX65" i="121" s="1"/>
  <c r="DG65" i="121" s="1"/>
  <c r="AI105" i="120"/>
  <c r="AL85" i="120"/>
  <c r="BA52" i="120"/>
  <c r="BM97" i="120"/>
  <c r="CL97" i="120" s="1"/>
  <c r="CN152" i="120"/>
  <c r="AM93" i="120"/>
  <c r="CN112" i="120"/>
  <c r="BE83" i="120"/>
  <c r="BN79" i="120"/>
  <c r="AP247" i="120"/>
  <c r="BK74" i="120"/>
  <c r="BE242" i="120"/>
  <c r="BK242" i="120" s="1"/>
  <c r="BE256" i="120"/>
  <c r="BK256" i="120" s="1"/>
  <c r="BK81" i="120"/>
  <c r="CE155" i="120"/>
  <c r="AO86" i="120"/>
  <c r="BN86" i="120"/>
  <c r="BM86" i="120" s="1"/>
  <c r="BE86" i="120"/>
  <c r="AQ105" i="120"/>
  <c r="BJ155" i="120"/>
  <c r="AL263" i="120"/>
  <c r="BS226" i="120"/>
  <c r="BD116" i="120"/>
  <c r="AP263" i="120"/>
  <c r="AN45" i="120"/>
  <c r="CL90" i="120"/>
  <c r="BN95" i="120"/>
  <c r="AO95" i="120"/>
  <c r="AP267" i="120"/>
  <c r="BN96" i="120"/>
  <c r="BD117" i="120"/>
  <c r="BJ117" i="120" s="1"/>
  <c r="BM132" i="120"/>
  <c r="CL132" i="120" s="1"/>
  <c r="BU59" i="121"/>
  <c r="BG10" i="120"/>
  <c r="AC73" i="121"/>
  <c r="AL73" i="121" s="1"/>
  <c r="AP242" i="120"/>
  <c r="BJ59" i="121"/>
  <c r="CN39" i="120"/>
  <c r="CN111" i="120"/>
  <c r="BE91" i="120"/>
  <c r="BK91" i="120" s="1"/>
  <c r="BK94" i="120"/>
  <c r="AL243" i="120"/>
  <c r="BP73" i="121"/>
  <c r="BY73" i="121" s="1"/>
  <c r="DX9" i="121"/>
  <c r="BP65" i="121"/>
  <c r="BY65" i="121" s="1"/>
  <c r="FH55" i="121"/>
  <c r="FQ55" i="121" s="1"/>
  <c r="BR51" i="121"/>
  <c r="CD48" i="121"/>
  <c r="CM48" i="121" s="1"/>
  <c r="CF243" i="120"/>
  <c r="CI243" i="120" s="1"/>
  <c r="N203" i="120"/>
  <c r="CF205" i="120"/>
  <c r="CF239" i="120"/>
  <c r="EQ84" i="121"/>
  <c r="BE244" i="120"/>
  <c r="BK244" i="120" s="1"/>
  <c r="BK85" i="120"/>
  <c r="CM71" i="121"/>
  <c r="BT78" i="121"/>
  <c r="CN51" i="120"/>
  <c r="BF113" i="120"/>
  <c r="BF253" i="120" s="1"/>
  <c r="CN73" i="121"/>
  <c r="CX73" i="121"/>
  <c r="CL120" i="120"/>
  <c r="BD108" i="120"/>
  <c r="BJ108" i="120" s="1"/>
  <c r="CL92" i="120"/>
  <c r="BF106" i="120"/>
  <c r="BL106" i="120" s="1"/>
  <c r="EX65" i="121"/>
  <c r="FG65" i="121" s="1"/>
  <c r="CN153" i="120"/>
  <c r="AL9" i="121"/>
  <c r="GC88" i="121"/>
  <c r="AO74" i="120"/>
  <c r="BN74" i="120"/>
  <c r="FJ81" i="121"/>
  <c r="FJ82" i="121" s="1"/>
  <c r="FJ83" i="121" s="1"/>
  <c r="FJ84" i="121" s="1"/>
  <c r="FJ78" i="121"/>
  <c r="DB82" i="121"/>
  <c r="BU55" i="121"/>
  <c r="DO88" i="121"/>
  <c r="DX88" i="121" s="1"/>
  <c r="BH63" i="121"/>
  <c r="AX63" i="121"/>
  <c r="GC87" i="121"/>
  <c r="GD63" i="121"/>
  <c r="EF54" i="121"/>
  <c r="GE53" i="121"/>
  <c r="GE54" i="121" s="1"/>
  <c r="BR57" i="121"/>
  <c r="BK81" i="121"/>
  <c r="BK78" i="121"/>
  <c r="BJ76" i="121"/>
  <c r="FS55" i="121"/>
  <c r="FS76" i="121" s="1"/>
  <c r="FS78" i="121" s="1"/>
  <c r="ED58" i="121"/>
  <c r="CM63" i="121"/>
  <c r="AP256" i="120"/>
  <c r="BN81" i="120"/>
  <c r="BN256" i="120" s="1"/>
  <c r="AR59" i="121"/>
  <c r="EE53" i="121"/>
  <c r="AN58" i="121"/>
  <c r="CA74" i="121"/>
  <c r="CD74" i="121"/>
  <c r="GD47" i="121"/>
  <c r="CZ55" i="121"/>
  <c r="DR55" i="121" s="1"/>
  <c r="DA76" i="121"/>
  <c r="EY89" i="121"/>
  <c r="EY78" i="121"/>
  <c r="GE65" i="121"/>
  <c r="BN141" i="120"/>
  <c r="BE141" i="120"/>
  <c r="AP138" i="120"/>
  <c r="AO141" i="120"/>
  <c r="CM141" i="120"/>
  <c r="AM73" i="121"/>
  <c r="AF55" i="121"/>
  <c r="BQ65" i="121"/>
  <c r="BZ65" i="121" s="1"/>
  <c r="EX73" i="121"/>
  <c r="FG73" i="121" s="1"/>
  <c r="D207" i="120"/>
  <c r="D59" i="121" s="1"/>
  <c r="D55" i="121"/>
  <c r="EX74" i="121"/>
  <c r="FG74" i="121" s="1"/>
  <c r="EX63" i="121"/>
  <c r="FG63" i="121" s="1"/>
  <c r="CN63" i="121"/>
  <c r="CX63" i="121"/>
  <c r="AL89" i="120"/>
  <c r="AY74" i="121"/>
  <c r="AO74" i="121"/>
  <c r="CY65" i="121"/>
  <c r="DH65" i="121" s="1"/>
  <c r="AL264" i="120"/>
  <c r="EX71" i="121"/>
  <c r="FG71" i="121" s="1"/>
  <c r="AO227" i="120"/>
  <c r="BD227" i="120" s="1"/>
  <c r="BJ227" i="120" s="1"/>
  <c r="CN86" i="121"/>
  <c r="ER78" i="121"/>
  <c r="ER81" i="121"/>
  <c r="EP76" i="121"/>
  <c r="GE57" i="121"/>
  <c r="T63" i="121"/>
  <c r="AC63" i="121" s="1"/>
  <c r="AD63" i="121"/>
  <c r="CB65" i="121"/>
  <c r="AL65" i="121"/>
  <c r="W81" i="121"/>
  <c r="X82" i="121"/>
  <c r="W82" i="121" s="1"/>
  <c r="AF242" i="120"/>
  <c r="BJ55" i="121"/>
  <c r="BS55" i="121" s="1"/>
  <c r="CM68" i="121"/>
  <c r="O81" i="121"/>
  <c r="O78" i="121"/>
  <c r="N76" i="121"/>
  <c r="DR76" i="121"/>
  <c r="DS78" i="121"/>
  <c r="DJ81" i="121"/>
  <c r="DI76" i="121"/>
  <c r="DJ78" i="121"/>
  <c r="G78" i="121"/>
  <c r="G81" i="121"/>
  <c r="GE63" i="121"/>
  <c r="E76" i="121"/>
  <c r="F81" i="121"/>
  <c r="F78" i="121"/>
  <c r="FA82" i="121"/>
  <c r="FA83" i="121" s="1"/>
  <c r="FA84" i="121" s="1"/>
  <c r="GE47" i="121"/>
  <c r="CZ59" i="121"/>
  <c r="DR59" i="121" s="1"/>
  <c r="FQ76" i="121"/>
  <c r="FR78" i="121"/>
  <c r="CY73" i="121"/>
  <c r="DH73" i="121" s="1"/>
  <c r="CY74" i="121"/>
  <c r="DH74" i="121" s="1"/>
  <c r="AG59" i="121"/>
  <c r="E59" i="121"/>
  <c r="BF137" i="120"/>
  <c r="BL137" i="120" s="1"/>
  <c r="CY63" i="121"/>
  <c r="DH63" i="121" s="1"/>
  <c r="BJ116" i="120"/>
  <c r="AO113" i="120"/>
  <c r="CM92" i="120"/>
  <c r="CN82" i="120"/>
  <c r="CN97" i="120"/>
  <c r="EX70" i="121"/>
  <c r="FG70" i="121" s="1"/>
  <c r="CB230" i="120"/>
  <c r="CH230" i="120" s="1"/>
  <c r="EM88" i="121"/>
  <c r="EV88" i="121" s="1"/>
  <c r="FE88" i="121" s="1"/>
  <c r="FN88" i="121" s="1"/>
  <c r="FW88" i="121" s="1"/>
  <c r="DT59" i="121"/>
  <c r="CY71" i="121"/>
  <c r="DH71" i="121" s="1"/>
  <c r="GC73" i="121"/>
  <c r="AS81" i="121"/>
  <c r="AS78" i="121"/>
  <c r="GE51" i="121"/>
  <c r="GD73" i="121"/>
  <c r="GE75" i="121"/>
  <c r="CB163" i="120"/>
  <c r="CH163" i="120" s="1"/>
  <c r="BM229" i="120"/>
  <c r="GC65" i="121"/>
  <c r="AX58" i="121"/>
  <c r="BH58" i="121"/>
  <c r="BG58" i="121" s="1"/>
  <c r="FI81" i="121"/>
  <c r="FH76" i="121"/>
  <c r="FI78" i="121"/>
  <c r="K74" i="121"/>
  <c r="U74" i="121"/>
  <c r="BR58" i="121"/>
  <c r="CA58" i="121" s="1"/>
  <c r="CE53" i="121"/>
  <c r="AF54" i="121"/>
  <c r="CM69" i="121"/>
  <c r="ED63" i="121"/>
  <c r="BB81" i="121"/>
  <c r="BA76" i="121"/>
  <c r="BB78" i="121"/>
  <c r="CD73" i="121"/>
  <c r="AN73" i="121"/>
  <c r="W89" i="121"/>
  <c r="W78" i="121"/>
  <c r="BR56" i="121"/>
  <c r="CA56" i="121" s="1"/>
  <c r="BR67" i="121"/>
  <c r="T58" i="121"/>
  <c r="AC58" i="121" s="1"/>
  <c r="AD58" i="121"/>
  <c r="T85" i="121"/>
  <c r="AO86" i="121"/>
  <c r="GD65" i="121"/>
  <c r="GD74" i="121"/>
  <c r="GD58" i="121"/>
  <c r="CA65" i="121"/>
  <c r="CD65" i="121"/>
  <c r="CB88" i="121"/>
  <c r="BD120" i="120"/>
  <c r="BJ120" i="120" s="1"/>
  <c r="BL120" i="120"/>
  <c r="BQ73" i="121"/>
  <c r="BZ73" i="121" s="1"/>
  <c r="AT82" i="121"/>
  <c r="CL108" i="120"/>
  <c r="CN120" i="120"/>
  <c r="CY56" i="121"/>
  <c r="DH56" i="121" s="1"/>
  <c r="CY70" i="121"/>
  <c r="DH70" i="121" s="1"/>
  <c r="AL44" i="120"/>
  <c r="AL242" i="120"/>
  <c r="AI159" i="120"/>
  <c r="BG159" i="120" s="1"/>
  <c r="CE159" i="120" s="1"/>
  <c r="CS81" i="121"/>
  <c r="CS78" i="121"/>
  <c r="EY59" i="121"/>
  <c r="FQ59" i="121" s="1"/>
  <c r="GC74" i="121"/>
  <c r="BL78" i="121"/>
  <c r="BL81" i="121"/>
  <c r="CN87" i="121"/>
  <c r="BD229" i="120"/>
  <c r="BJ229" i="120" s="1"/>
  <c r="CC65" i="121"/>
  <c r="AM65" i="121"/>
  <c r="DS59" i="121"/>
  <c r="BN94" i="120"/>
  <c r="BN93" i="120" s="1"/>
  <c r="AP93" i="120"/>
  <c r="BE93" i="120" s="1"/>
  <c r="GE58" i="121"/>
  <c r="AP244" i="120"/>
  <c r="BN85" i="120"/>
  <c r="BN244" i="120" s="1"/>
  <c r="CR81" i="121"/>
  <c r="CR78" i="121"/>
  <c r="CQ76" i="121"/>
  <c r="GE73" i="121"/>
  <c r="FR59" i="121"/>
  <c r="BT59" i="121"/>
  <c r="GC86" i="121"/>
  <c r="ED85" i="121"/>
  <c r="CD75" i="121"/>
  <c r="AN75" i="121"/>
  <c r="EZ82" i="121"/>
  <c r="EY81" i="121"/>
  <c r="AN56" i="121"/>
  <c r="CF55" i="121"/>
  <c r="EE55" i="121" s="1"/>
  <c r="GD55" i="121" s="1"/>
  <c r="AG76" i="121"/>
  <c r="AC86" i="121"/>
  <c r="AR76" i="121"/>
  <c r="AL22" i="121"/>
  <c r="CE17" i="121"/>
  <c r="EF17" i="121"/>
  <c r="CM124" i="120"/>
  <c r="CN70" i="121"/>
  <c r="CX70" i="121"/>
  <c r="T70" i="121"/>
  <c r="AD70" i="121"/>
  <c r="CN71" i="121"/>
  <c r="CX71" i="121"/>
  <c r="BH71" i="121"/>
  <c r="BG71" i="121" s="1"/>
  <c r="AX71" i="121"/>
  <c r="BH70" i="121"/>
  <c r="AX70" i="121"/>
  <c r="T71" i="121"/>
  <c r="AC71" i="121" s="1"/>
  <c r="AL71" i="121" s="1"/>
  <c r="AD71" i="121"/>
  <c r="AM71" i="121" s="1"/>
  <c r="AP56" i="120"/>
  <c r="AP197" i="120" s="1"/>
  <c r="CO49" i="121" s="1"/>
  <c r="CX49" i="121" s="1"/>
  <c r="BR50" i="121"/>
  <c r="CA50" i="121" s="1"/>
  <c r="AF56" i="120"/>
  <c r="AL56" i="120" s="1"/>
  <c r="AM49" i="121"/>
  <c r="M72" i="121"/>
  <c r="V72" i="121" s="1"/>
  <c r="CY64" i="121"/>
  <c r="DH64" i="121" s="1"/>
  <c r="BL212" i="120"/>
  <c r="CY50" i="121"/>
  <c r="BR62" i="121"/>
  <c r="CA62" i="121" s="1"/>
  <c r="K49" i="121"/>
  <c r="AE62" i="121"/>
  <c r="AO53" i="121"/>
  <c r="AY53" i="121"/>
  <c r="AO49" i="121"/>
  <c r="AY49" i="121"/>
  <c r="CY48" i="121"/>
  <c r="DH48" i="121" s="1"/>
  <c r="U53" i="121"/>
  <c r="K53" i="121"/>
  <c r="T49" i="121"/>
  <c r="BI53" i="121"/>
  <c r="EX64" i="121"/>
  <c r="FG64" i="121" s="1"/>
  <c r="AE49" i="121"/>
  <c r="BR64" i="121"/>
  <c r="BR49" i="121"/>
  <c r="CA49" i="121" s="1"/>
  <c r="GM20" i="121"/>
  <c r="BP19" i="121"/>
  <c r="BZ19" i="121"/>
  <c r="BY19" i="121" s="1"/>
  <c r="CM15" i="121"/>
  <c r="EC15" i="121"/>
  <c r="EL15" i="121" s="1"/>
  <c r="CL17" i="121"/>
  <c r="CB17" i="121"/>
  <c r="EB17" i="121"/>
  <c r="AC18" i="121"/>
  <c r="AM18" i="121"/>
  <c r="AL18" i="121" s="1"/>
  <c r="CC18" i="121"/>
  <c r="AM19" i="121"/>
  <c r="AL19" i="121" s="1"/>
  <c r="CC19" i="121"/>
  <c r="AC19" i="121"/>
  <c r="AC28" i="121"/>
  <c r="GM28" i="121"/>
  <c r="GM37" i="121" s="1"/>
  <c r="EC16" i="121"/>
  <c r="EL16" i="121" s="1"/>
  <c r="CM16" i="121"/>
  <c r="FN19" i="121"/>
  <c r="FX19" i="121"/>
  <c r="FW19" i="121" s="1"/>
  <c r="FO37" i="121"/>
  <c r="FX37" i="121" s="1"/>
  <c r="FX28" i="121"/>
  <c r="DO19" i="121"/>
  <c r="DY19" i="121"/>
  <c r="DX19" i="121" s="1"/>
  <c r="CL9" i="121"/>
  <c r="EB9" i="121"/>
  <c r="CB9" i="121"/>
  <c r="DY28" i="121"/>
  <c r="DP37" i="121"/>
  <c r="DY37" i="121" s="1"/>
  <c r="BP18" i="121"/>
  <c r="BZ18" i="121"/>
  <c r="BY18" i="121" s="1"/>
  <c r="FW9" i="121"/>
  <c r="FN37" i="121"/>
  <c r="FW37" i="121" s="1"/>
  <c r="FW28" i="121"/>
  <c r="AL15" i="121"/>
  <c r="CM9" i="121"/>
  <c r="EC9" i="121"/>
  <c r="AM20" i="121"/>
  <c r="AL20" i="121" s="1"/>
  <c r="CC20" i="121"/>
  <c r="AC20" i="121"/>
  <c r="BQ37" i="121"/>
  <c r="BZ37" i="121" s="1"/>
  <c r="BZ28" i="121"/>
  <c r="AL17" i="121"/>
  <c r="DO20" i="121"/>
  <c r="DY20" i="121"/>
  <c r="DX20" i="121" s="1"/>
  <c r="DO37" i="121"/>
  <c r="DX37" i="121" s="1"/>
  <c r="DX28" i="121"/>
  <c r="BP20" i="121"/>
  <c r="BZ20" i="121"/>
  <c r="BY20" i="121" s="1"/>
  <c r="CM22" i="121"/>
  <c r="EC22" i="121"/>
  <c r="EL22" i="121" s="1"/>
  <c r="DY18" i="121"/>
  <c r="DX18" i="121" s="1"/>
  <c r="DO18" i="121"/>
  <c r="CM17" i="121"/>
  <c r="EC17" i="121"/>
  <c r="FN18" i="121"/>
  <c r="FX18" i="121"/>
  <c r="FW18" i="121" s="1"/>
  <c r="FN20" i="121"/>
  <c r="FX20" i="121"/>
  <c r="FW20" i="121" s="1"/>
  <c r="BP37" i="121"/>
  <c r="BY37" i="121" s="1"/>
  <c r="BY28" i="121"/>
  <c r="GM18" i="121"/>
  <c r="GM19" i="121"/>
  <c r="CC28" i="121"/>
  <c r="AM28" i="121"/>
  <c r="AD37" i="121"/>
  <c r="AM37" i="121" s="1"/>
  <c r="CL22" i="121"/>
  <c r="CB22" i="121"/>
  <c r="EB22" i="121"/>
  <c r="BY9" i="121"/>
  <c r="EB15" i="121"/>
  <c r="CB15" i="121"/>
  <c r="CL15" i="121"/>
  <c r="CB16" i="121"/>
  <c r="CL16" i="121"/>
  <c r="EB16" i="121"/>
  <c r="CA23" i="121"/>
  <c r="CA21" i="121" s="1"/>
  <c r="CA14" i="121" s="1"/>
  <c r="BR21" i="121"/>
  <c r="BR14" i="121" s="1"/>
  <c r="C77" i="121"/>
  <c r="AP14" i="121"/>
  <c r="AO21" i="121"/>
  <c r="DO23" i="121"/>
  <c r="DY23" i="121"/>
  <c r="DP21" i="121"/>
  <c r="EM21" i="121"/>
  <c r="EO14" i="121"/>
  <c r="EM14" i="121" s="1"/>
  <c r="EV21" i="121"/>
  <c r="EW14" i="121"/>
  <c r="AX14" i="121"/>
  <c r="AY77" i="121"/>
  <c r="M77" i="121"/>
  <c r="CC23" i="121"/>
  <c r="AM23" i="121"/>
  <c r="AD21" i="121"/>
  <c r="AC23" i="121"/>
  <c r="GB77" i="121"/>
  <c r="GK14" i="121"/>
  <c r="L14" i="121"/>
  <c r="K21" i="121"/>
  <c r="FN23" i="121"/>
  <c r="FX23" i="121"/>
  <c r="FO21" i="121"/>
  <c r="FZ14" i="121"/>
  <c r="GA77" i="121"/>
  <c r="GJ14" i="121"/>
  <c r="GI14" i="121" s="1"/>
  <c r="CD23" i="121"/>
  <c r="AE21" i="121"/>
  <c r="AE14" i="121" s="1"/>
  <c r="AN23" i="121"/>
  <c r="AN21" i="121" s="1"/>
  <c r="AN14" i="121" s="1"/>
  <c r="GM23" i="121"/>
  <c r="EN77" i="121"/>
  <c r="CP77" i="121"/>
  <c r="FE21" i="121"/>
  <c r="FF14" i="121"/>
  <c r="B21" i="121"/>
  <c r="D14" i="121"/>
  <c r="AZ77" i="121"/>
  <c r="T21" i="121"/>
  <c r="U14" i="121"/>
  <c r="BG21" i="121"/>
  <c r="BH14" i="121"/>
  <c r="BP23" i="121"/>
  <c r="BZ23" i="121"/>
  <c r="BQ21" i="121"/>
  <c r="DZ23" i="121"/>
  <c r="DQ21" i="121"/>
  <c r="CN21" i="121"/>
  <c r="CO14" i="121"/>
  <c r="GI21" i="121"/>
  <c r="CW21" i="121"/>
  <c r="CX14" i="121"/>
  <c r="FY23" i="121"/>
  <c r="FP21" i="121"/>
  <c r="DF21" i="121"/>
  <c r="DG14" i="121"/>
  <c r="BK101" i="120"/>
  <c r="AL156" i="120"/>
  <c r="CN147" i="120"/>
  <c r="CL124" i="120"/>
  <c r="AL59" i="120"/>
  <c r="CN60" i="120"/>
  <c r="AN14" i="120"/>
  <c r="AN181" i="120" s="1"/>
  <c r="BE250" i="120"/>
  <c r="BK250" i="120" s="1"/>
  <c r="BE206" i="120"/>
  <c r="BK206" i="120" s="1"/>
  <c r="BD109" i="120"/>
  <c r="BJ109" i="120" s="1"/>
  <c r="BK109" i="120"/>
  <c r="BE241" i="120"/>
  <c r="BK40" i="120"/>
  <c r="BE248" i="120"/>
  <c r="BK248" i="120" s="1"/>
  <c r="BD76" i="120"/>
  <c r="BD248" i="120" s="1"/>
  <c r="BK76" i="120"/>
  <c r="BD75" i="120"/>
  <c r="BJ75" i="120" s="1"/>
  <c r="BK75" i="120"/>
  <c r="BE243" i="120"/>
  <c r="BK243" i="120" s="1"/>
  <c r="AQ98" i="120"/>
  <c r="BY179" i="120"/>
  <c r="BY180" i="120" s="1"/>
  <c r="BY13" i="120"/>
  <c r="BL114" i="120"/>
  <c r="BF254" i="120"/>
  <c r="BD106" i="120"/>
  <c r="BJ106" i="120" s="1"/>
  <c r="BK106" i="120"/>
  <c r="BE264" i="120"/>
  <c r="BK264" i="120" s="1"/>
  <c r="BD48" i="120"/>
  <c r="BK48" i="120"/>
  <c r="BG216" i="120"/>
  <c r="CE150" i="120"/>
  <c r="BL34" i="120"/>
  <c r="CF249" i="120"/>
  <c r="CI249" i="120" s="1"/>
  <c r="CI87" i="120"/>
  <c r="BK190" i="120"/>
  <c r="BJ23" i="120"/>
  <c r="BJ190" i="120" s="1"/>
  <c r="BB179" i="120"/>
  <c r="BB180" i="120" s="1"/>
  <c r="BB13" i="120"/>
  <c r="BA12" i="120"/>
  <c r="AK98" i="120"/>
  <c r="AC98" i="120"/>
  <c r="AF49" i="120"/>
  <c r="AL49" i="120" s="1"/>
  <c r="AP49" i="120"/>
  <c r="BE49" i="120" s="1"/>
  <c r="BD49" i="120" s="1"/>
  <c r="BL254" i="120"/>
  <c r="CF255" i="120"/>
  <c r="CI255" i="120" s="1"/>
  <c r="CI80" i="120"/>
  <c r="CI187" i="120"/>
  <c r="BG129" i="120"/>
  <c r="CE129" i="120" s="1"/>
  <c r="CF257" i="120"/>
  <c r="CI257" i="120" s="1"/>
  <c r="CI82" i="120"/>
  <c r="AR226" i="120"/>
  <c r="AO253" i="120"/>
  <c r="AP201" i="120"/>
  <c r="CO53" i="121" s="1"/>
  <c r="BN34" i="120"/>
  <c r="CM34" i="120" s="1"/>
  <c r="AO34" i="120"/>
  <c r="CF223" i="120"/>
  <c r="BO255" i="120"/>
  <c r="BM80" i="120"/>
  <c r="BM255" i="120" s="1"/>
  <c r="CG211" i="120"/>
  <c r="CJ211" i="120" s="1"/>
  <c r="CJ145" i="120"/>
  <c r="BL113" i="120"/>
  <c r="AO115" i="120"/>
  <c r="AO249" i="120" s="1"/>
  <c r="BN115" i="120"/>
  <c r="CM115" i="120" s="1"/>
  <c r="AP249" i="120"/>
  <c r="BL266" i="120"/>
  <c r="BI265" i="120"/>
  <c r="AQ241" i="120"/>
  <c r="BO40" i="120"/>
  <c r="BO241" i="120" s="1"/>
  <c r="BN136" i="120"/>
  <c r="CM136" i="120" s="1"/>
  <c r="BH214" i="120"/>
  <c r="CF148" i="120"/>
  <c r="BE246" i="120"/>
  <c r="BD77" i="120"/>
  <c r="R181" i="120"/>
  <c r="R225" i="120" s="1"/>
  <c r="R159" i="120"/>
  <c r="Q159" i="120" s="1"/>
  <c r="Q14" i="120"/>
  <c r="Q181" i="120" s="1"/>
  <c r="Q225" i="120" s="1"/>
  <c r="K179" i="120"/>
  <c r="K180" i="120" s="1"/>
  <c r="K13" i="120"/>
  <c r="CF238" i="120"/>
  <c r="CF204" i="120"/>
  <c r="BD91" i="120"/>
  <c r="BJ91" i="120" s="1"/>
  <c r="BL68" i="120"/>
  <c r="CG68" i="120"/>
  <c r="CJ68" i="120" s="1"/>
  <c r="AO252" i="120"/>
  <c r="CE116" i="120"/>
  <c r="CH116" i="120" s="1"/>
  <c r="BO250" i="120"/>
  <c r="BO206" i="120"/>
  <c r="EO58" i="121" s="1"/>
  <c r="CN109" i="120"/>
  <c r="CF200" i="120"/>
  <c r="BG243" i="120"/>
  <c r="BJ42" i="120"/>
  <c r="CE42" i="120"/>
  <c r="CF216" i="120"/>
  <c r="AF129" i="120"/>
  <c r="CG183" i="120"/>
  <c r="CJ16" i="120"/>
  <c r="CJ183" i="120" s="1"/>
  <c r="CF183" i="120"/>
  <c r="CI16" i="120"/>
  <c r="CE16" i="120"/>
  <c r="CE183" i="120" s="1"/>
  <c r="AC179" i="120"/>
  <c r="AC180" i="120" s="1"/>
  <c r="AC13" i="120"/>
  <c r="BI261" i="120"/>
  <c r="H179" i="120"/>
  <c r="H180" i="120" s="1"/>
  <c r="H13" i="120"/>
  <c r="S220" i="120"/>
  <c r="AQ72" i="121" s="1"/>
  <c r="S148" i="120"/>
  <c r="S214" i="120" s="1"/>
  <c r="AQ66" i="121" s="1"/>
  <c r="CI74" i="120"/>
  <c r="CF242" i="120"/>
  <c r="CI242" i="120" s="1"/>
  <c r="BK136" i="120"/>
  <c r="CF136" i="120"/>
  <c r="CI136" i="120" s="1"/>
  <c r="S203" i="120"/>
  <c r="AQ55" i="121" s="1"/>
  <c r="BH184" i="120"/>
  <c r="CF17" i="120"/>
  <c r="BK17" i="120"/>
  <c r="BG17" i="120"/>
  <c r="BG184" i="120" s="1"/>
  <c r="BG268" i="120"/>
  <c r="CE51" i="120"/>
  <c r="AP222" i="120"/>
  <c r="CO74" i="121" s="1"/>
  <c r="BN156" i="120"/>
  <c r="CM156" i="120" s="1"/>
  <c r="AO156" i="120"/>
  <c r="BF128" i="120"/>
  <c r="BL128" i="120" s="1"/>
  <c r="AP266" i="120"/>
  <c r="BN50" i="120"/>
  <c r="CM50" i="120" s="1"/>
  <c r="AO50" i="120"/>
  <c r="CG219" i="120"/>
  <c r="CJ219" i="120" s="1"/>
  <c r="CJ153" i="120"/>
  <c r="CF268" i="120"/>
  <c r="CI268" i="120" s="1"/>
  <c r="CI51" i="120"/>
  <c r="AJ181" i="120"/>
  <c r="AJ225" i="120" s="1"/>
  <c r="AI14" i="120"/>
  <c r="AI181" i="120" s="1"/>
  <c r="AI225" i="120" s="1"/>
  <c r="AJ12" i="120"/>
  <c r="AU158" i="120"/>
  <c r="AV160" i="120"/>
  <c r="BG242" i="120"/>
  <c r="BJ41" i="120"/>
  <c r="CE41" i="120"/>
  <c r="BF196" i="120"/>
  <c r="BL196" i="120" s="1"/>
  <c r="BL30" i="120"/>
  <c r="BF239" i="120"/>
  <c r="BL239" i="120" s="1"/>
  <c r="BF205" i="120"/>
  <c r="BL205" i="120" s="1"/>
  <c r="BD47" i="120"/>
  <c r="BJ47" i="120" s="1"/>
  <c r="AL240" i="120"/>
  <c r="CF197" i="120"/>
  <c r="CI197" i="120" s="1"/>
  <c r="CI31" i="120"/>
  <c r="AO218" i="120"/>
  <c r="BO116" i="120"/>
  <c r="CN117" i="120"/>
  <c r="AQ245" i="120"/>
  <c r="BO43" i="120"/>
  <c r="BO245" i="120" s="1"/>
  <c r="BM107" i="120"/>
  <c r="CL107" i="120" s="1"/>
  <c r="B188" i="120"/>
  <c r="CL21" i="120"/>
  <c r="CG264" i="120"/>
  <c r="CJ264" i="120" s="1"/>
  <c r="CJ48" i="120"/>
  <c r="CH34" i="120"/>
  <c r="CG247" i="120"/>
  <c r="CJ247" i="120" s="1"/>
  <c r="CJ79" i="120"/>
  <c r="BD114" i="120"/>
  <c r="BJ114" i="120" s="1"/>
  <c r="BK114" i="120"/>
  <c r="CG257" i="120"/>
  <c r="CJ257" i="120" s="1"/>
  <c r="CJ82" i="120"/>
  <c r="AH52" i="120"/>
  <c r="AL63" i="120"/>
  <c r="B186" i="120"/>
  <c r="CL19" i="120"/>
  <c r="BL47" i="120"/>
  <c r="BB207" i="120"/>
  <c r="BB224" i="120"/>
  <c r="BB226" i="120" s="1"/>
  <c r="BJ9" i="120"/>
  <c r="BJ176" i="120" s="1"/>
  <c r="CF220" i="120"/>
  <c r="CG262" i="120"/>
  <c r="CJ262" i="120" s="1"/>
  <c r="CJ46" i="120"/>
  <c r="BN242" i="120"/>
  <c r="BM41" i="120"/>
  <c r="CL41" i="120" s="1"/>
  <c r="AF45" i="120"/>
  <c r="AL45" i="120" s="1"/>
  <c r="AP45" i="120"/>
  <c r="BE45" i="120" s="1"/>
  <c r="AM45" i="120"/>
  <c r="BF247" i="120"/>
  <c r="BL247" i="120" s="1"/>
  <c r="BD79" i="120"/>
  <c r="BD247" i="120" s="1"/>
  <c r="BV207" i="120"/>
  <c r="BV224" i="120"/>
  <c r="CG268" i="120"/>
  <c r="CJ268" i="120" s="1"/>
  <c r="CJ51" i="120"/>
  <c r="AO262" i="120"/>
  <c r="AG187" i="120"/>
  <c r="BE20" i="120"/>
  <c r="AF20" i="120"/>
  <c r="AF187" i="120" s="1"/>
  <c r="AM20" i="120"/>
  <c r="CN155" i="120"/>
  <c r="BL111" i="120"/>
  <c r="CG215" i="120"/>
  <c r="CJ215" i="120" s="1"/>
  <c r="CJ149" i="120"/>
  <c r="BZ207" i="120"/>
  <c r="BZ224" i="120"/>
  <c r="BZ226" i="120" s="1"/>
  <c r="CE221" i="120"/>
  <c r="CH221" i="120" s="1"/>
  <c r="CH155" i="120"/>
  <c r="BF105" i="120"/>
  <c r="BL105" i="120" s="1"/>
  <c r="AQ217" i="120"/>
  <c r="CP69" i="121" s="1"/>
  <c r="CY69" i="121" s="1"/>
  <c r="DH69" i="121" s="1"/>
  <c r="DQ69" i="121" s="1"/>
  <c r="DZ69" i="121" s="1"/>
  <c r="BO151" i="120"/>
  <c r="BO217" i="120" s="1"/>
  <c r="EO69" i="121" s="1"/>
  <c r="CE118" i="120"/>
  <c r="CH118" i="120" s="1"/>
  <c r="BK88" i="120"/>
  <c r="CF88" i="120"/>
  <c r="CI88" i="120" s="1"/>
  <c r="W179" i="120"/>
  <c r="W180" i="120" s="1"/>
  <c r="W13" i="120"/>
  <c r="BG195" i="120"/>
  <c r="CE29" i="120"/>
  <c r="CE69" i="120"/>
  <c r="AH210" i="120"/>
  <c r="AN210" i="120" s="1"/>
  <c r="AQ144" i="120"/>
  <c r="AN144" i="120"/>
  <c r="CN156" i="120"/>
  <c r="B105" i="120"/>
  <c r="CG209" i="120"/>
  <c r="CG185" i="120"/>
  <c r="CJ18" i="120"/>
  <c r="CJ185" i="120" s="1"/>
  <c r="BD65" i="120"/>
  <c r="BJ65" i="120" s="1"/>
  <c r="BK65" i="120"/>
  <c r="CN44" i="120"/>
  <c r="BE184" i="120"/>
  <c r="BD17" i="120"/>
  <c r="BD184" i="120" s="1"/>
  <c r="BG70" i="120"/>
  <c r="CE70" i="120" s="1"/>
  <c r="CG122" i="120"/>
  <c r="CJ122" i="120" s="1"/>
  <c r="CF248" i="120"/>
  <c r="CI248" i="120" s="1"/>
  <c r="CI76" i="120"/>
  <c r="BZ158" i="120"/>
  <c r="BQ160" i="120"/>
  <c r="BP158" i="120"/>
  <c r="BV158" i="120"/>
  <c r="BW160" i="120"/>
  <c r="CF198" i="120"/>
  <c r="CF247" i="120"/>
  <c r="CI247" i="120" s="1"/>
  <c r="CI79" i="120"/>
  <c r="O158" i="120"/>
  <c r="N28" i="120"/>
  <c r="BG262" i="120"/>
  <c r="CE46" i="120"/>
  <c r="BD107" i="120"/>
  <c r="BJ107" i="120" s="1"/>
  <c r="BK107" i="120"/>
  <c r="Q201" i="120"/>
  <c r="CG212" i="120"/>
  <c r="CJ212" i="120" s="1"/>
  <c r="CJ146" i="120"/>
  <c r="AN88" i="120"/>
  <c r="BO247" i="120"/>
  <c r="BM79" i="120"/>
  <c r="BM247" i="120" s="1"/>
  <c r="BD46" i="120"/>
  <c r="BJ46" i="120" s="1"/>
  <c r="BP179" i="120"/>
  <c r="BP180" i="120" s="1"/>
  <c r="BP13" i="120"/>
  <c r="AI260" i="120"/>
  <c r="CG244" i="120"/>
  <c r="CJ244" i="120" s="1"/>
  <c r="CJ85" i="120"/>
  <c r="BL253" i="120"/>
  <c r="BG219" i="120"/>
  <c r="BJ219" i="120" s="1"/>
  <c r="BJ153" i="120"/>
  <c r="CE153" i="120"/>
  <c r="AD158" i="120"/>
  <c r="U160" i="120"/>
  <c r="T158" i="120"/>
  <c r="BF89" i="120"/>
  <c r="BE115" i="120"/>
  <c r="AQ104" i="120"/>
  <c r="BO103" i="120"/>
  <c r="BO104" i="120" s="1"/>
  <c r="AQ264" i="120"/>
  <c r="BO48" i="120"/>
  <c r="BO264" i="120" s="1"/>
  <c r="CF189" i="120"/>
  <c r="CF21" i="120"/>
  <c r="CI22" i="120"/>
  <c r="CE22" i="120"/>
  <c r="CE189" i="120" s="1"/>
  <c r="CF64" i="120"/>
  <c r="CI63" i="120"/>
  <c r="P179" i="120"/>
  <c r="P180" i="120" s="1"/>
  <c r="P13" i="120"/>
  <c r="BH61" i="120"/>
  <c r="BO244" i="120"/>
  <c r="BM85" i="120"/>
  <c r="BM244" i="120" s="1"/>
  <c r="BG266" i="120"/>
  <c r="CE50" i="120"/>
  <c r="CL101" i="120"/>
  <c r="BK221" i="120"/>
  <c r="CF105" i="120"/>
  <c r="BF267" i="120"/>
  <c r="BL267" i="120" s="1"/>
  <c r="BD96" i="120"/>
  <c r="BD267" i="120" s="1"/>
  <c r="CG252" i="120"/>
  <c r="CJ252" i="120" s="1"/>
  <c r="CJ112" i="120"/>
  <c r="CF256" i="120"/>
  <c r="CI256" i="120" s="1"/>
  <c r="CI81" i="120"/>
  <c r="AP246" i="120"/>
  <c r="BN77" i="120"/>
  <c r="AO77" i="120"/>
  <c r="AC203" i="120"/>
  <c r="AI36" i="120"/>
  <c r="AQ265" i="120"/>
  <c r="AO91" i="120"/>
  <c r="BN91" i="120"/>
  <c r="BM91" i="120" s="1"/>
  <c r="BG244" i="120"/>
  <c r="CE85" i="120"/>
  <c r="CF60" i="120"/>
  <c r="CI59" i="120"/>
  <c r="CG240" i="120"/>
  <c r="CJ240" i="120" s="1"/>
  <c r="CJ39" i="120"/>
  <c r="AF88" i="120"/>
  <c r="AL88" i="120" s="1"/>
  <c r="CF49" i="120"/>
  <c r="CI49" i="120" s="1"/>
  <c r="AP254" i="120"/>
  <c r="BN44" i="120"/>
  <c r="CM44" i="120" s="1"/>
  <c r="AO44" i="120"/>
  <c r="CE269" i="120"/>
  <c r="CH269" i="120" s="1"/>
  <c r="CH97" i="120"/>
  <c r="BM87" i="120"/>
  <c r="BG255" i="120"/>
  <c r="CE80" i="120"/>
  <c r="BM65" i="120"/>
  <c r="CL65" i="120" s="1"/>
  <c r="BI202" i="120"/>
  <c r="CG242" i="120"/>
  <c r="CJ242" i="120" s="1"/>
  <c r="CJ41" i="120"/>
  <c r="AH154" i="120"/>
  <c r="BF242" i="120"/>
  <c r="AO48" i="120"/>
  <c r="BF256" i="120"/>
  <c r="BL256" i="120" s="1"/>
  <c r="BD81" i="120"/>
  <c r="BD256" i="120" s="1"/>
  <c r="BO215" i="120"/>
  <c r="EO67" i="121" s="1"/>
  <c r="CG218" i="120"/>
  <c r="CJ218" i="120" s="1"/>
  <c r="CJ152" i="120"/>
  <c r="BG267" i="120"/>
  <c r="CE96" i="120"/>
  <c r="BO118" i="120"/>
  <c r="Z158" i="120"/>
  <c r="AA160" i="120"/>
  <c r="CN59" i="120"/>
  <c r="AL51" i="120"/>
  <c r="CF201" i="120"/>
  <c r="CI34" i="120"/>
  <c r="CF35" i="120"/>
  <c r="AL254" i="120"/>
  <c r="BE156" i="120"/>
  <c r="BE50" i="120"/>
  <c r="BL153" i="120"/>
  <c r="BJ101" i="120"/>
  <c r="CE101" i="120"/>
  <c r="CH101" i="120" s="1"/>
  <c r="BI177" i="120"/>
  <c r="BO267" i="120"/>
  <c r="BF14" i="120"/>
  <c r="BF181" i="120" s="1"/>
  <c r="BF225" i="120" s="1"/>
  <c r="BL225" i="120" s="1"/>
  <c r="CF246" i="120"/>
  <c r="CI246" i="120" s="1"/>
  <c r="CI77" i="120"/>
  <c r="BF43" i="120"/>
  <c r="C159" i="120"/>
  <c r="C181" i="120"/>
  <c r="C225" i="120" s="1"/>
  <c r="B14" i="120"/>
  <c r="BO256" i="120"/>
  <c r="BM81" i="120"/>
  <c r="BM256" i="120" s="1"/>
  <c r="BG218" i="120"/>
  <c r="CE152" i="120"/>
  <c r="BM228" i="120"/>
  <c r="EM86" i="121" s="1"/>
  <c r="CB162" i="120"/>
  <c r="CH162" i="120" s="1"/>
  <c r="BM161" i="120"/>
  <c r="CB161" i="120" s="1"/>
  <c r="CH161" i="120" s="1"/>
  <c r="CG186" i="120"/>
  <c r="CJ19" i="120"/>
  <c r="CJ186" i="120" s="1"/>
  <c r="BL48" i="120"/>
  <c r="BH159" i="120"/>
  <c r="BH265" i="120"/>
  <c r="BL79" i="120"/>
  <c r="BG222" i="120"/>
  <c r="CE156" i="120"/>
  <c r="AL76" i="120"/>
  <c r="AK270" i="120"/>
  <c r="AN265" i="120"/>
  <c r="CG250" i="120"/>
  <c r="CJ250" i="120" s="1"/>
  <c r="CG206" i="120"/>
  <c r="CJ206" i="120" s="1"/>
  <c r="CJ109" i="120"/>
  <c r="AJ52" i="120"/>
  <c r="AC52" i="120"/>
  <c r="AI52" i="120" s="1"/>
  <c r="BL263" i="120"/>
  <c r="BP226" i="120"/>
  <c r="BP231" i="120"/>
  <c r="AL103" i="120"/>
  <c r="CF118" i="120"/>
  <c r="CI118" i="120" s="1"/>
  <c r="BF217" i="120"/>
  <c r="BL217" i="120" s="1"/>
  <c r="BL151" i="120"/>
  <c r="CF267" i="120"/>
  <c r="CI267" i="120" s="1"/>
  <c r="CI96" i="120"/>
  <c r="AH203" i="120"/>
  <c r="AH207" i="120" s="1"/>
  <c r="BO63" i="120"/>
  <c r="BO64" i="120" s="1"/>
  <c r="AQ64" i="120"/>
  <c r="CE213" i="120"/>
  <c r="CH213" i="120" s="1"/>
  <c r="CH147" i="120"/>
  <c r="BG200" i="120"/>
  <c r="CE33" i="120"/>
  <c r="BN121" i="120"/>
  <c r="CM121" i="120" s="1"/>
  <c r="AO121" i="120"/>
  <c r="AO269" i="120" s="1"/>
  <c r="AP118" i="120"/>
  <c r="BE118" i="120" s="1"/>
  <c r="BD118" i="120" s="1"/>
  <c r="BJ118" i="120" s="1"/>
  <c r="AP269" i="120"/>
  <c r="BD59" i="120"/>
  <c r="AQ223" i="120"/>
  <c r="CP75" i="121" s="1"/>
  <c r="BO157" i="120"/>
  <c r="BO223" i="120" s="1"/>
  <c r="EO75" i="121" s="1"/>
  <c r="EX75" i="121" s="1"/>
  <c r="FG75" i="121" s="1"/>
  <c r="FP75" i="121" s="1"/>
  <c r="FY75" i="121" s="1"/>
  <c r="BO114" i="120"/>
  <c r="BO254" i="120" s="1"/>
  <c r="AQ261" i="120"/>
  <c r="BO89" i="120"/>
  <c r="AQ88" i="120"/>
  <c r="AO88" i="120" s="1"/>
  <c r="BH188" i="120"/>
  <c r="BG21" i="120"/>
  <c r="BG188" i="120" s="1"/>
  <c r="BH14" i="120"/>
  <c r="AE207" i="120"/>
  <c r="AE224" i="120"/>
  <c r="AE226" i="120" s="1"/>
  <c r="BG61" i="120"/>
  <c r="BY98" i="120"/>
  <c r="BE251" i="120"/>
  <c r="BK251" i="120" s="1"/>
  <c r="BD111" i="120"/>
  <c r="BD251" i="120" s="1"/>
  <c r="BK111" i="120"/>
  <c r="BD74" i="120"/>
  <c r="BJ74" i="120" s="1"/>
  <c r="BL74" i="120"/>
  <c r="AQ61" i="120"/>
  <c r="CG243" i="120"/>
  <c r="CJ243" i="120" s="1"/>
  <c r="CJ42" i="120"/>
  <c r="BK93" i="120"/>
  <c r="CF93" i="120"/>
  <c r="CI93" i="120" s="1"/>
  <c r="AE158" i="120"/>
  <c r="BD176" i="120"/>
  <c r="AP248" i="120"/>
  <c r="BN76" i="120"/>
  <c r="AO76" i="120"/>
  <c r="AM188" i="120"/>
  <c r="AM14" i="120"/>
  <c r="AL21" i="120"/>
  <c r="AL188" i="120" s="1"/>
  <c r="T226" i="120"/>
  <c r="T231" i="120"/>
  <c r="BD243" i="120"/>
  <c r="BN264" i="120"/>
  <c r="BM48" i="120"/>
  <c r="BM264" i="120" s="1"/>
  <c r="CM48" i="120"/>
  <c r="CF195" i="120"/>
  <c r="N98" i="120"/>
  <c r="AJ98" i="120"/>
  <c r="CG64" i="120"/>
  <c r="CJ64" i="120" s="1"/>
  <c r="CJ63" i="120"/>
  <c r="T179" i="120"/>
  <c r="T180" i="120" s="1"/>
  <c r="T13" i="120"/>
  <c r="BH202" i="120"/>
  <c r="W231" i="120"/>
  <c r="W226" i="120"/>
  <c r="BG259" i="120"/>
  <c r="BJ259" i="120" s="1"/>
  <c r="BJ84" i="120"/>
  <c r="CE84" i="120"/>
  <c r="AO242" i="120"/>
  <c r="BE189" i="120"/>
  <c r="BE21" i="120"/>
  <c r="BD22" i="120"/>
  <c r="BD189" i="120" s="1"/>
  <c r="CG258" i="120"/>
  <c r="CJ258" i="120" s="1"/>
  <c r="CJ83" i="120"/>
  <c r="BS179" i="120"/>
  <c r="BS180" i="120" s="1"/>
  <c r="BS13" i="120"/>
  <c r="BB158" i="120"/>
  <c r="AS160" i="120"/>
  <c r="AR158" i="120"/>
  <c r="BF255" i="120"/>
  <c r="BL255" i="120" s="1"/>
  <c r="BL80" i="120"/>
  <c r="BD80" i="120"/>
  <c r="BD255" i="120" s="1"/>
  <c r="AT160" i="120"/>
  <c r="BC158" i="120"/>
  <c r="BC160" i="120" s="1"/>
  <c r="AO258" i="120"/>
  <c r="B185" i="120"/>
  <c r="CL18" i="120"/>
  <c r="AJ260" i="120"/>
  <c r="CF177" i="120"/>
  <c r="CG128" i="120"/>
  <c r="CJ128" i="120" s="1"/>
  <c r="CJ127" i="120"/>
  <c r="CG201" i="120"/>
  <c r="B187" i="120"/>
  <c r="CL20" i="120"/>
  <c r="BL251" i="120"/>
  <c r="BM63" i="120"/>
  <c r="CF190" i="120"/>
  <c r="CI23" i="120"/>
  <c r="CE23" i="120"/>
  <c r="CE190" i="120" s="1"/>
  <c r="BY28" i="120"/>
  <c r="CE104" i="120"/>
  <c r="CH103" i="120"/>
  <c r="BK116" i="120"/>
  <c r="CF116" i="120"/>
  <c r="CI116" i="120" s="1"/>
  <c r="CG254" i="120"/>
  <c r="CJ254" i="120" s="1"/>
  <c r="CJ44" i="120"/>
  <c r="CI182" i="120"/>
  <c r="AQ263" i="120"/>
  <c r="BO47" i="120"/>
  <c r="BO263" i="120" s="1"/>
  <c r="BG263" i="120"/>
  <c r="CE47" i="120"/>
  <c r="CE241" i="120"/>
  <c r="CH241" i="120" s="1"/>
  <c r="CH40" i="120"/>
  <c r="CF222" i="120"/>
  <c r="CI222" i="120" s="1"/>
  <c r="CI156" i="120"/>
  <c r="BM130" i="120"/>
  <c r="CL130" i="120" s="1"/>
  <c r="CM130" i="120"/>
  <c r="BF138" i="120"/>
  <c r="BL138" i="120" s="1"/>
  <c r="CN76" i="120"/>
  <c r="AO267" i="120"/>
  <c r="CG248" i="120"/>
  <c r="CJ248" i="120" s="1"/>
  <c r="CJ76" i="120"/>
  <c r="BG60" i="120"/>
  <c r="CE59" i="120"/>
  <c r="AQ254" i="120"/>
  <c r="BO137" i="120"/>
  <c r="BO136" i="120" s="1"/>
  <c r="AQ136" i="120"/>
  <c r="AQ129" i="120" s="1"/>
  <c r="CG249" i="120"/>
  <c r="CJ249" i="120" s="1"/>
  <c r="CJ87" i="120"/>
  <c r="BH70" i="120"/>
  <c r="CG267" i="120"/>
  <c r="CJ267" i="120" s="1"/>
  <c r="CJ96" i="120"/>
  <c r="E207" i="120"/>
  <c r="E224" i="120"/>
  <c r="BF63" i="120"/>
  <c r="BF201" i="120" s="1"/>
  <c r="CE196" i="120"/>
  <c r="CN146" i="120"/>
  <c r="CN132" i="120"/>
  <c r="CG239" i="120"/>
  <c r="CJ239" i="120" s="1"/>
  <c r="CG205" i="120"/>
  <c r="CJ205" i="120" s="1"/>
  <c r="CJ38" i="120"/>
  <c r="BH208" i="120"/>
  <c r="CF142" i="120"/>
  <c r="BE121" i="120"/>
  <c r="BG197" i="120"/>
  <c r="CE31" i="120"/>
  <c r="BN211" i="120"/>
  <c r="EN63" i="121" s="1"/>
  <c r="BM145" i="120"/>
  <c r="BM211" i="120" s="1"/>
  <c r="BM117" i="120"/>
  <c r="CL117" i="120" s="1"/>
  <c r="BN116" i="120"/>
  <c r="BM116" i="120" s="1"/>
  <c r="BD90" i="120"/>
  <c r="BJ90" i="120" s="1"/>
  <c r="BK90" i="120"/>
  <c r="BE34" i="120"/>
  <c r="AO255" i="120"/>
  <c r="CG199" i="120"/>
  <c r="CJ199" i="120" s="1"/>
  <c r="CJ54" i="120"/>
  <c r="BE262" i="120"/>
  <c r="BK262" i="120" s="1"/>
  <c r="CE198" i="120"/>
  <c r="BO126" i="120"/>
  <c r="CN126" i="120" s="1"/>
  <c r="AH260" i="120"/>
  <c r="AN260" i="120" s="1"/>
  <c r="Q265" i="120"/>
  <c r="BF104" i="120"/>
  <c r="BL104" i="120" s="1"/>
  <c r="BL103" i="120"/>
  <c r="CG266" i="120"/>
  <c r="CJ50" i="120"/>
  <c r="AK203" i="120"/>
  <c r="AN36" i="120"/>
  <c r="BI36" i="120"/>
  <c r="BC207" i="120"/>
  <c r="BC224" i="120"/>
  <c r="BC226" i="120" s="1"/>
  <c r="BO198" i="120"/>
  <c r="EO50" i="121" s="1"/>
  <c r="CG187" i="120"/>
  <c r="CJ20" i="120"/>
  <c r="CJ187" i="120" s="1"/>
  <c r="AH122" i="120"/>
  <c r="CM137" i="120"/>
  <c r="BI214" i="120"/>
  <c r="CG148" i="120"/>
  <c r="AP268" i="120"/>
  <c r="BN51" i="120"/>
  <c r="AO51" i="120"/>
  <c r="BL112" i="120"/>
  <c r="AF246" i="120"/>
  <c r="AL246" i="120" s="1"/>
  <c r="AL77" i="120"/>
  <c r="AJ203" i="120"/>
  <c r="BH36" i="120"/>
  <c r="AO47" i="120"/>
  <c r="BL243" i="120"/>
  <c r="BO266" i="120"/>
  <c r="BO265" i="120" s="1"/>
  <c r="AM183" i="120"/>
  <c r="AL16" i="120"/>
  <c r="AL183" i="120" s="1"/>
  <c r="BK59" i="120"/>
  <c r="BL39" i="120"/>
  <c r="CG175" i="120"/>
  <c r="CG11" i="120"/>
  <c r="CF196" i="120"/>
  <c r="BG199" i="120"/>
  <c r="CE54" i="120"/>
  <c r="AI214" i="120"/>
  <c r="BG148" i="120"/>
  <c r="AF67" i="120"/>
  <c r="AL67" i="120" s="1"/>
  <c r="AP67" i="120"/>
  <c r="BE67" i="120" s="1"/>
  <c r="AM67" i="120"/>
  <c r="AM49" i="120"/>
  <c r="BC179" i="120"/>
  <c r="BC180" i="120" s="1"/>
  <c r="BC13" i="120"/>
  <c r="BD44" i="120"/>
  <c r="CF259" i="120"/>
  <c r="CI259" i="120" s="1"/>
  <c r="CI84" i="120"/>
  <c r="CF269" i="120"/>
  <c r="CI269" i="120" s="1"/>
  <c r="CI97" i="120"/>
  <c r="AN70" i="120"/>
  <c r="BK183" i="120"/>
  <c r="CJ89" i="120"/>
  <c r="AP181" i="120"/>
  <c r="AP225" i="120" s="1"/>
  <c r="AP159" i="120"/>
  <c r="AO159" i="120" s="1"/>
  <c r="AO14" i="120"/>
  <c r="AO181" i="120" s="1"/>
  <c r="AO225" i="120" s="1"/>
  <c r="AE179" i="120"/>
  <c r="AE180" i="120" s="1"/>
  <c r="AE13" i="120"/>
  <c r="BG264" i="120"/>
  <c r="BJ48" i="120"/>
  <c r="CE48" i="120"/>
  <c r="BL152" i="120"/>
  <c r="F160" i="120"/>
  <c r="E158" i="120"/>
  <c r="CM131" i="120"/>
  <c r="CF244" i="120"/>
  <c r="CI244" i="120" s="1"/>
  <c r="CI85" i="120"/>
  <c r="BN75" i="120"/>
  <c r="BM75" i="120" s="1"/>
  <c r="AO75" i="120"/>
  <c r="AO93" i="120"/>
  <c r="BF93" i="120"/>
  <c r="BG249" i="120"/>
  <c r="BJ87" i="120"/>
  <c r="CE87" i="120"/>
  <c r="CE45" i="120"/>
  <c r="CH45" i="120" s="1"/>
  <c r="CF186" i="120"/>
  <c r="CI19" i="120"/>
  <c r="CE19" i="120"/>
  <c r="CE186" i="120" s="1"/>
  <c r="AL268" i="120"/>
  <c r="CG246" i="120"/>
  <c r="CJ246" i="120" s="1"/>
  <c r="CJ77" i="120"/>
  <c r="CM43" i="120"/>
  <c r="CE223" i="120"/>
  <c r="BD127" i="120"/>
  <c r="BJ127" i="120" s="1"/>
  <c r="BG251" i="120"/>
  <c r="CE111" i="120"/>
  <c r="AQ216" i="120"/>
  <c r="CP68" i="121" s="1"/>
  <c r="BL219" i="120"/>
  <c r="AF249" i="120"/>
  <c r="CN159" i="120"/>
  <c r="AH159" i="120"/>
  <c r="BF159" i="120" s="1"/>
  <c r="CD159" i="120" s="1"/>
  <c r="CG176" i="120"/>
  <c r="CJ9" i="120"/>
  <c r="CJ176" i="120" s="1"/>
  <c r="CG10" i="120"/>
  <c r="CM93" i="120"/>
  <c r="BO115" i="120"/>
  <c r="CN115" i="120" s="1"/>
  <c r="AL39" i="120"/>
  <c r="AN261" i="120"/>
  <c r="AR179" i="120"/>
  <c r="AR180" i="120" s="1"/>
  <c r="AR13" i="120"/>
  <c r="Z226" i="120"/>
  <c r="Z231" i="120"/>
  <c r="BK77" i="120"/>
  <c r="CF199" i="120"/>
  <c r="BL264" i="120"/>
  <c r="AX158" i="120"/>
  <c r="AY160" i="120"/>
  <c r="AM201" i="120"/>
  <c r="BS158" i="120"/>
  <c r="BT160" i="120"/>
  <c r="BG215" i="120"/>
  <c r="CE149" i="120"/>
  <c r="AL222" i="120"/>
  <c r="AO114" i="120"/>
  <c r="BN114" i="120"/>
  <c r="BG248" i="120"/>
  <c r="CE76" i="120"/>
  <c r="CG200" i="120"/>
  <c r="CG35" i="120"/>
  <c r="W158" i="120"/>
  <c r="X160" i="120"/>
  <c r="BO196" i="120"/>
  <c r="EO48" i="121" s="1"/>
  <c r="BG64" i="120"/>
  <c r="CE63" i="120"/>
  <c r="CF240" i="120"/>
  <c r="CI240" i="120" s="1"/>
  <c r="CI39" i="120"/>
  <c r="BA203" i="120"/>
  <c r="CG182" i="120"/>
  <c r="CJ15" i="120"/>
  <c r="H231" i="120"/>
  <c r="H226" i="120"/>
  <c r="BD103" i="120"/>
  <c r="BK103" i="120"/>
  <c r="AI202" i="120"/>
  <c r="AP240" i="120"/>
  <c r="BN39" i="120"/>
  <c r="AO39" i="120"/>
  <c r="AO240" i="120" s="1"/>
  <c r="BF198" i="120"/>
  <c r="BL198" i="120" s="1"/>
  <c r="BL32" i="120"/>
  <c r="CI176" i="120"/>
  <c r="BN262" i="120"/>
  <c r="BM46" i="120"/>
  <c r="CL46" i="120" s="1"/>
  <c r="BN45" i="120"/>
  <c r="BG245" i="120"/>
  <c r="CE43" i="120"/>
  <c r="CG251" i="120"/>
  <c r="CJ251" i="120" s="1"/>
  <c r="CJ111" i="120"/>
  <c r="CA179" i="120"/>
  <c r="CA180" i="120" s="1"/>
  <c r="CA13" i="120"/>
  <c r="BG252" i="120"/>
  <c r="BJ252" i="120" s="1"/>
  <c r="BJ112" i="120"/>
  <c r="CE112" i="120"/>
  <c r="AP250" i="120"/>
  <c r="AP206" i="120"/>
  <c r="CO58" i="121" s="1"/>
  <c r="AO109" i="120"/>
  <c r="BN109" i="120"/>
  <c r="CM109" i="120" s="1"/>
  <c r="CG256" i="120"/>
  <c r="CJ256" i="120" s="1"/>
  <c r="CJ81" i="120"/>
  <c r="CI73" i="120"/>
  <c r="CF241" i="120"/>
  <c r="CI241" i="120" s="1"/>
  <c r="BG105" i="120"/>
  <c r="AP241" i="120"/>
  <c r="AO40" i="120"/>
  <c r="AO241" i="120" s="1"/>
  <c r="BN40" i="120"/>
  <c r="CM40" i="120" s="1"/>
  <c r="CG197" i="120"/>
  <c r="CJ197" i="120" s="1"/>
  <c r="CJ31" i="120"/>
  <c r="BO259" i="120"/>
  <c r="BM84" i="120"/>
  <c r="BM259" i="120" s="1"/>
  <c r="BG212" i="120"/>
  <c r="CE146" i="120"/>
  <c r="AU226" i="120"/>
  <c r="AU231" i="120"/>
  <c r="BL199" i="120"/>
  <c r="BG239" i="120"/>
  <c r="BG205" i="120"/>
  <c r="CE38" i="120"/>
  <c r="CF245" i="120"/>
  <c r="CI43" i="120"/>
  <c r="AJ28" i="120"/>
  <c r="AC28" i="120"/>
  <c r="CM108" i="120"/>
  <c r="BM42" i="120"/>
  <c r="CL42" i="120" s="1"/>
  <c r="CM42" i="120"/>
  <c r="BM110" i="120"/>
  <c r="CL110" i="120" s="1"/>
  <c r="AG188" i="120"/>
  <c r="AF21" i="120"/>
  <c r="AF188" i="120" s="1"/>
  <c r="AG14" i="120"/>
  <c r="BJ228" i="120"/>
  <c r="CE228" i="120"/>
  <c r="I160" i="120"/>
  <c r="H158" i="120"/>
  <c r="AQ253" i="120"/>
  <c r="BO113" i="120"/>
  <c r="BO253" i="120" s="1"/>
  <c r="BG250" i="120"/>
  <c r="BG206" i="120"/>
  <c r="CE109" i="120"/>
  <c r="CF258" i="120"/>
  <c r="CI258" i="120" s="1"/>
  <c r="CI83" i="120"/>
  <c r="BO258" i="120"/>
  <c r="BM83" i="120"/>
  <c r="BM258" i="120" s="1"/>
  <c r="BF257" i="120"/>
  <c r="BL257" i="120" s="1"/>
  <c r="BD82" i="120"/>
  <c r="BD257" i="120" s="1"/>
  <c r="AG185" i="120"/>
  <c r="AF18" i="120"/>
  <c r="AF185" i="120" s="1"/>
  <c r="BE18" i="120"/>
  <c r="AM18" i="120"/>
  <c r="CF68" i="120"/>
  <c r="BH261" i="120"/>
  <c r="CE10" i="120"/>
  <c r="CM46" i="120"/>
  <c r="BG128" i="120"/>
  <c r="CE127" i="120"/>
  <c r="AO63" i="120"/>
  <c r="BY203" i="120"/>
  <c r="CF213" i="120"/>
  <c r="CI213" i="120" s="1"/>
  <c r="CI147" i="120"/>
  <c r="BN221" i="120"/>
  <c r="EN73" i="121" s="1"/>
  <c r="BM155" i="120"/>
  <c r="BM221" i="120" s="1"/>
  <c r="AH98" i="120"/>
  <c r="AF250" i="120"/>
  <c r="AL250" i="120" s="1"/>
  <c r="AF206" i="120"/>
  <c r="AL206" i="120" s="1"/>
  <c r="BF269" i="120"/>
  <c r="BL269" i="120" s="1"/>
  <c r="BL97" i="120"/>
  <c r="BD97" i="120"/>
  <c r="CN77" i="120"/>
  <c r="BG247" i="120"/>
  <c r="BJ247" i="120" s="1"/>
  <c r="BJ79" i="120"/>
  <c r="CE79" i="120"/>
  <c r="BI184" i="120"/>
  <c r="CG17" i="120"/>
  <c r="CG14" i="120" s="1"/>
  <c r="CG181" i="120" s="1"/>
  <c r="CG225" i="120" s="1"/>
  <c r="CJ225" i="120" s="1"/>
  <c r="BL17" i="120"/>
  <c r="BL184" i="120" s="1"/>
  <c r="BK241" i="120"/>
  <c r="BF244" i="120"/>
  <c r="BL244" i="120" s="1"/>
  <c r="BD85" i="120"/>
  <c r="BD244" i="120" s="1"/>
  <c r="AI208" i="120"/>
  <c r="BG142" i="120"/>
  <c r="AF118" i="120"/>
  <c r="AL118" i="120" s="1"/>
  <c r="BO138" i="120"/>
  <c r="BM139" i="120"/>
  <c r="CL139" i="120" s="1"/>
  <c r="BG49" i="120"/>
  <c r="AF241" i="120"/>
  <c r="AL241" i="120" s="1"/>
  <c r="AL40" i="120"/>
  <c r="O179" i="120"/>
  <c r="O180" i="120" s="1"/>
  <c r="O13" i="120"/>
  <c r="N12" i="120"/>
  <c r="CF210" i="120"/>
  <c r="CF138" i="120"/>
  <c r="CI138" i="120" s="1"/>
  <c r="BY52" i="120"/>
  <c r="BI159" i="120"/>
  <c r="BD113" i="120"/>
  <c r="BD253" i="120" s="1"/>
  <c r="AO259" i="120"/>
  <c r="CG195" i="120"/>
  <c r="CG220" i="120"/>
  <c r="CJ220" i="120" s="1"/>
  <c r="CJ154" i="120"/>
  <c r="CE217" i="120"/>
  <c r="AM129" i="120"/>
  <c r="BH129" i="120"/>
  <c r="O207" i="120"/>
  <c r="O224" i="120"/>
  <c r="O226" i="120" s="1"/>
  <c r="BL38" i="120"/>
  <c r="BN253" i="120"/>
  <c r="AO116" i="120"/>
  <c r="CL116" i="120" s="1"/>
  <c r="BN181" i="120"/>
  <c r="BN225" i="120" s="1"/>
  <c r="BN159" i="120"/>
  <c r="BM159" i="120" s="1"/>
  <c r="BM14" i="120"/>
  <c r="BM181" i="120" s="1"/>
  <c r="BM225" i="120" s="1"/>
  <c r="BD242" i="120"/>
  <c r="AF201" i="120"/>
  <c r="AL34" i="120"/>
  <c r="CN80" i="120"/>
  <c r="AO247" i="120"/>
  <c r="CL79" i="120"/>
  <c r="AQ199" i="120"/>
  <c r="CP51" i="121" s="1"/>
  <c r="BO54" i="120"/>
  <c r="BO199" i="120" s="1"/>
  <c r="EO51" i="121" s="1"/>
  <c r="BL54" i="120"/>
  <c r="AU179" i="120"/>
  <c r="AU180" i="120" s="1"/>
  <c r="AU13" i="120"/>
  <c r="BN59" i="120"/>
  <c r="CM59" i="120" s="1"/>
  <c r="AO59" i="120"/>
  <c r="BE190" i="120"/>
  <c r="BD23" i="120"/>
  <c r="BD190" i="120" s="1"/>
  <c r="AQ201" i="120"/>
  <c r="CP53" i="121" s="1"/>
  <c r="BI208" i="120"/>
  <c r="CG142" i="120"/>
  <c r="BG261" i="120"/>
  <c r="CE89" i="120"/>
  <c r="CG253" i="120"/>
  <c r="CJ253" i="120" s="1"/>
  <c r="CJ113" i="120"/>
  <c r="BF157" i="120"/>
  <c r="CG216" i="120"/>
  <c r="CJ216" i="120" s="1"/>
  <c r="CJ150" i="120"/>
  <c r="AJ122" i="120"/>
  <c r="AC122" i="120"/>
  <c r="AI122" i="120" s="1"/>
  <c r="BO106" i="120"/>
  <c r="BO238" i="120" s="1"/>
  <c r="BF238" i="120"/>
  <c r="BL238" i="120" s="1"/>
  <c r="BF204" i="120"/>
  <c r="BL204" i="120" s="1"/>
  <c r="BL37" i="120"/>
  <c r="BK22" i="120"/>
  <c r="BI28" i="120"/>
  <c r="BF40" i="120"/>
  <c r="BD40" i="120" s="1"/>
  <c r="K231" i="120"/>
  <c r="K226" i="120"/>
  <c r="CF178" i="120"/>
  <c r="CE11" i="120"/>
  <c r="CE178" i="120" s="1"/>
  <c r="AO244" i="120"/>
  <c r="AQ262" i="120"/>
  <c r="AI265" i="120"/>
  <c r="AL266" i="120"/>
  <c r="BG209" i="120"/>
  <c r="CE143" i="120"/>
  <c r="CM101" i="120"/>
  <c r="CF221" i="120"/>
  <c r="CI221" i="120" s="1"/>
  <c r="CI155" i="120"/>
  <c r="BN219" i="120"/>
  <c r="EN71" i="121" s="1"/>
  <c r="BM153" i="120"/>
  <c r="CM153" i="120"/>
  <c r="BE51" i="120"/>
  <c r="BR160" i="120"/>
  <c r="CA158" i="120"/>
  <c r="BL252" i="120"/>
  <c r="AD207" i="120"/>
  <c r="AD224" i="120"/>
  <c r="AD226" i="120" s="1"/>
  <c r="CN50" i="120"/>
  <c r="BO243" i="120"/>
  <c r="BL240" i="120"/>
  <c r="AH197" i="120"/>
  <c r="AN197" i="120" s="1"/>
  <c r="AQ31" i="120"/>
  <c r="AN31" i="120"/>
  <c r="AF31" i="120"/>
  <c r="BI178" i="120"/>
  <c r="BI12" i="120"/>
  <c r="BN252" i="120"/>
  <c r="BM112" i="120"/>
  <c r="BM252" i="120" s="1"/>
  <c r="BG257" i="120"/>
  <c r="CE82" i="120"/>
  <c r="CE210" i="120"/>
  <c r="CL131" i="120"/>
  <c r="CA207" i="120"/>
  <c r="CA224" i="120"/>
  <c r="CA226" i="120" s="1"/>
  <c r="CF185" i="120"/>
  <c r="CI18" i="120"/>
  <c r="CE18" i="120"/>
  <c r="CE185" i="120" s="1"/>
  <c r="CL87" i="120"/>
  <c r="CG45" i="120"/>
  <c r="CJ45" i="120" s="1"/>
  <c r="CE88" i="120"/>
  <c r="CH88" i="120" s="1"/>
  <c r="BL16" i="120"/>
  <c r="BL183" i="120" s="1"/>
  <c r="BY122" i="120"/>
  <c r="BL242" i="120"/>
  <c r="AK179" i="120"/>
  <c r="AK180" i="120" s="1"/>
  <c r="AK13" i="120"/>
  <c r="BE218" i="120"/>
  <c r="BK218" i="120" s="1"/>
  <c r="BD152" i="120"/>
  <c r="BD218" i="120" s="1"/>
  <c r="BK152" i="120"/>
  <c r="D214" i="120"/>
  <c r="D66" i="121" s="1"/>
  <c r="AL48" i="120"/>
  <c r="BL218" i="120"/>
  <c r="BO93" i="120"/>
  <c r="CN93" i="120" s="1"/>
  <c r="BM94" i="120"/>
  <c r="CL94" i="120" s="1"/>
  <c r="AL249" i="120"/>
  <c r="CG245" i="120"/>
  <c r="CJ245" i="120" s="1"/>
  <c r="CJ43" i="120"/>
  <c r="BG256" i="120"/>
  <c r="CE81" i="120"/>
  <c r="AQ45" i="120"/>
  <c r="BF45" i="120" s="1"/>
  <c r="BL45" i="120" s="1"/>
  <c r="Q197" i="120"/>
  <c r="AM184" i="120"/>
  <c r="AL17" i="120"/>
  <c r="AL184" i="120" s="1"/>
  <c r="K158" i="120"/>
  <c r="L160" i="120"/>
  <c r="BG211" i="120"/>
  <c r="BJ211" i="120" s="1"/>
  <c r="BJ145" i="120"/>
  <c r="CE145" i="120"/>
  <c r="BL71" i="120"/>
  <c r="BD71" i="120"/>
  <c r="BJ71" i="120" s="1"/>
  <c r="AO43" i="120"/>
  <c r="BG254" i="120"/>
  <c r="CE44" i="120"/>
  <c r="AQ128" i="120"/>
  <c r="BO127" i="120"/>
  <c r="BG253" i="120"/>
  <c r="BJ113" i="120"/>
  <c r="CE113" i="120"/>
  <c r="BF150" i="120"/>
  <c r="AG265" i="120"/>
  <c r="AQ238" i="120"/>
  <c r="CL71" i="120"/>
  <c r="CJ189" i="120"/>
  <c r="CJ21" i="120"/>
  <c r="CJ188" i="120" s="1"/>
  <c r="CG60" i="120"/>
  <c r="CJ60" i="120" s="1"/>
  <c r="BE183" i="120"/>
  <c r="BD16" i="120"/>
  <c r="BD183" i="120" s="1"/>
  <c r="AQ239" i="120"/>
  <c r="AQ205" i="120"/>
  <c r="CP57" i="121" s="1"/>
  <c r="BO38" i="120"/>
  <c r="CN38" i="120" s="1"/>
  <c r="Q118" i="120"/>
  <c r="R105" i="120"/>
  <c r="BF115" i="120"/>
  <c r="BG240" i="120"/>
  <c r="CE39" i="120"/>
  <c r="BN218" i="120"/>
  <c r="EN70" i="121" s="1"/>
  <c r="BM152" i="120"/>
  <c r="BM218" i="120" s="1"/>
  <c r="CN116" i="120"/>
  <c r="BK246" i="120"/>
  <c r="CM107" i="120"/>
  <c r="CM90" i="120"/>
  <c r="BO242" i="120"/>
  <c r="AO256" i="120"/>
  <c r="CL81" i="120"/>
  <c r="AO106" i="120"/>
  <c r="BN106" i="120"/>
  <c r="BG238" i="120"/>
  <c r="BG204" i="120"/>
  <c r="CE37" i="120"/>
  <c r="CF266" i="120"/>
  <c r="CI50" i="120"/>
  <c r="BG201" i="120"/>
  <c r="AF269" i="120"/>
  <c r="AL269" i="120" s="1"/>
  <c r="AL248" i="120"/>
  <c r="BL206" i="120"/>
  <c r="BN251" i="120"/>
  <c r="BM111" i="120"/>
  <c r="BM251" i="120" s="1"/>
  <c r="CF254" i="120"/>
  <c r="CI254" i="120" s="1"/>
  <c r="CI44" i="120"/>
  <c r="AG186" i="120"/>
  <c r="AF19" i="120"/>
  <c r="AF186" i="120" s="1"/>
  <c r="BE19" i="120"/>
  <c r="AM19" i="120"/>
  <c r="CG263" i="120"/>
  <c r="CJ263" i="120" s="1"/>
  <c r="CJ47" i="120"/>
  <c r="BL182" i="120"/>
  <c r="AO103" i="120"/>
  <c r="BN103" i="120"/>
  <c r="P226" i="120"/>
  <c r="BD92" i="120"/>
  <c r="BJ92" i="120" s="1"/>
  <c r="BE39" i="120"/>
  <c r="BJ256" i="120" l="1"/>
  <c r="BJ82" i="120"/>
  <c r="CN151" i="120"/>
  <c r="BK124" i="120"/>
  <c r="BJ257" i="120"/>
  <c r="BN243" i="120"/>
  <c r="BM114" i="120"/>
  <c r="CN150" i="120"/>
  <c r="BM43" i="120"/>
  <c r="BE263" i="120"/>
  <c r="BK263" i="120" s="1"/>
  <c r="AO56" i="120"/>
  <c r="BE56" i="120"/>
  <c r="BN56" i="120"/>
  <c r="CG59" i="121"/>
  <c r="BN257" i="120"/>
  <c r="CM82" i="120"/>
  <c r="BM82" i="120"/>
  <c r="CM80" i="120"/>
  <c r="BN255" i="120"/>
  <c r="BE257" i="120"/>
  <c r="BK257" i="120" s="1"/>
  <c r="BK82" i="120"/>
  <c r="AL129" i="120"/>
  <c r="BJ81" i="120"/>
  <c r="CL161" i="120"/>
  <c r="BO262" i="120"/>
  <c r="BO128" i="120"/>
  <c r="CL85" i="120"/>
  <c r="CN65" i="121"/>
  <c r="CW65" i="121"/>
  <c r="AF59" i="121"/>
  <c r="CB73" i="121"/>
  <c r="CK73" i="121" s="1"/>
  <c r="EL17" i="121"/>
  <c r="CD56" i="121"/>
  <c r="DQ71" i="121"/>
  <c r="DZ71" i="121" s="1"/>
  <c r="BE213" i="120"/>
  <c r="BK213" i="120" s="1"/>
  <c r="BD147" i="120"/>
  <c r="BK147" i="120"/>
  <c r="CN137" i="120"/>
  <c r="CM79" i="120"/>
  <c r="BN247" i="120"/>
  <c r="CM83" i="120"/>
  <c r="BE258" i="120"/>
  <c r="BK258" i="120" s="1"/>
  <c r="BD83" i="120"/>
  <c r="BK83" i="120"/>
  <c r="BN213" i="120"/>
  <c r="EN65" i="121" s="1"/>
  <c r="BM147" i="120"/>
  <c r="CM147" i="120"/>
  <c r="BD86" i="120"/>
  <c r="BJ86" i="120" s="1"/>
  <c r="BK86" i="120"/>
  <c r="BM106" i="120"/>
  <c r="BD137" i="120"/>
  <c r="BJ137" i="120" s="1"/>
  <c r="BJ253" i="120"/>
  <c r="BN88" i="120"/>
  <c r="CM88" i="120" s="1"/>
  <c r="BM113" i="120"/>
  <c r="BM253" i="120" s="1"/>
  <c r="BJ76" i="120"/>
  <c r="CL114" i="120"/>
  <c r="CN157" i="120"/>
  <c r="BF262" i="120"/>
  <c r="BL262" i="120" s="1"/>
  <c r="CK15" i="121"/>
  <c r="BS59" i="121"/>
  <c r="CL86" i="120"/>
  <c r="AO136" i="120"/>
  <c r="BJ248" i="120"/>
  <c r="BD254" i="120"/>
  <c r="BJ254" i="120" s="1"/>
  <c r="BJ96" i="120"/>
  <c r="BD263" i="120"/>
  <c r="CM95" i="120"/>
  <c r="BM95" i="120"/>
  <c r="CL95" i="120" s="1"/>
  <c r="CM116" i="120"/>
  <c r="CN113" i="120"/>
  <c r="CM114" i="120"/>
  <c r="AQ70" i="120"/>
  <c r="BF70" i="120" s="1"/>
  <c r="BL70" i="120" s="1"/>
  <c r="BE254" i="120"/>
  <c r="BK254" i="120" s="1"/>
  <c r="BJ263" i="120"/>
  <c r="CN114" i="120"/>
  <c r="BJ267" i="120"/>
  <c r="EY82" i="121"/>
  <c r="BM96" i="120"/>
  <c r="CM96" i="120"/>
  <c r="BN267" i="120"/>
  <c r="CM86" i="120"/>
  <c r="DQ56" i="121"/>
  <c r="DZ56" i="121" s="1"/>
  <c r="FP71" i="121"/>
  <c r="FY71" i="121" s="1"/>
  <c r="DF65" i="121"/>
  <c r="DQ65" i="121"/>
  <c r="DZ65" i="121" s="1"/>
  <c r="DQ63" i="121"/>
  <c r="DZ63" i="121" s="1"/>
  <c r="CA51" i="121"/>
  <c r="CD51" i="121"/>
  <c r="CM51" i="121" s="1"/>
  <c r="EZ83" i="121"/>
  <c r="EY83" i="121" s="1"/>
  <c r="EY84" i="121" s="1"/>
  <c r="CK16" i="121"/>
  <c r="BP58" i="121"/>
  <c r="BY58" i="121" s="1"/>
  <c r="DQ74" i="121"/>
  <c r="DZ74" i="121" s="1"/>
  <c r="FP73" i="121"/>
  <c r="FY73" i="121" s="1"/>
  <c r="FP65" i="121"/>
  <c r="FY65" i="121" s="1"/>
  <c r="AI28" i="120"/>
  <c r="BG28" i="120" s="1"/>
  <c r="CE28" i="120" s="1"/>
  <c r="N207" i="120"/>
  <c r="N224" i="120"/>
  <c r="CE201" i="120"/>
  <c r="CH201" i="120" s="1"/>
  <c r="EX51" i="121"/>
  <c r="FG51" i="121" s="1"/>
  <c r="CY68" i="121"/>
  <c r="DH68" i="121" s="1"/>
  <c r="CY75" i="121"/>
  <c r="DH75" i="121" s="1"/>
  <c r="AQ36" i="120"/>
  <c r="BF36" i="120" s="1"/>
  <c r="BF88" i="120"/>
  <c r="BL88" i="120" s="1"/>
  <c r="CN74" i="121"/>
  <c r="CX74" i="121"/>
  <c r="EX58" i="121"/>
  <c r="FG58" i="121" s="1"/>
  <c r="CN40" i="120"/>
  <c r="AC85" i="121"/>
  <c r="AL85" i="121" s="1"/>
  <c r="AL86" i="121"/>
  <c r="GC85" i="121"/>
  <c r="CM85" i="120"/>
  <c r="CS82" i="121"/>
  <c r="DT82" i="121" s="1"/>
  <c r="DT81" i="121"/>
  <c r="DQ70" i="121"/>
  <c r="AT83" i="121"/>
  <c r="BA81" i="121"/>
  <c r="BB82" i="121"/>
  <c r="BA82" i="121" s="1"/>
  <c r="T74" i="121"/>
  <c r="AC74" i="121" s="1"/>
  <c r="AD74" i="121"/>
  <c r="FH81" i="121"/>
  <c r="FI82" i="121"/>
  <c r="FR82" i="121" s="1"/>
  <c r="FR81" i="121"/>
  <c r="CF76" i="121"/>
  <c r="AG81" i="121"/>
  <c r="F82" i="121"/>
  <c r="E81" i="121"/>
  <c r="DI78" i="121"/>
  <c r="DI89" i="121"/>
  <c r="N89" i="121"/>
  <c r="N78" i="121"/>
  <c r="AM63" i="121"/>
  <c r="CW86" i="121"/>
  <c r="CN85" i="121"/>
  <c r="M59" i="121"/>
  <c r="V59" i="121" s="1"/>
  <c r="BN138" i="120"/>
  <c r="CM138" i="120" s="1"/>
  <c r="BM141" i="120"/>
  <c r="CL141" i="120" s="1"/>
  <c r="EE76" i="121"/>
  <c r="CM81" i="120"/>
  <c r="BK82" i="121"/>
  <c r="BK83" i="121" s="1"/>
  <c r="BJ81" i="121"/>
  <c r="CW73" i="121"/>
  <c r="DG73" i="121"/>
  <c r="BQ58" i="121"/>
  <c r="BZ58" i="121" s="1"/>
  <c r="CY51" i="121"/>
  <c r="DH51" i="121" s="1"/>
  <c r="CX58" i="121"/>
  <c r="CN58" i="121"/>
  <c r="EM63" i="121"/>
  <c r="EW63" i="121"/>
  <c r="CL83" i="120"/>
  <c r="EV86" i="121"/>
  <c r="AF76" i="121"/>
  <c r="AG78" i="121"/>
  <c r="CM75" i="121"/>
  <c r="CQ78" i="121"/>
  <c r="CQ89" i="121"/>
  <c r="CW87" i="121"/>
  <c r="DF87" i="121" s="1"/>
  <c r="EA88" i="121"/>
  <c r="CK88" i="121"/>
  <c r="CC58" i="121"/>
  <c r="AM58" i="121"/>
  <c r="CM73" i="121"/>
  <c r="EC69" i="121"/>
  <c r="CB229" i="120"/>
  <c r="CH229" i="120" s="1"/>
  <c r="EM87" i="121"/>
  <c r="EM85" i="121" s="1"/>
  <c r="E78" i="121"/>
  <c r="E89" i="121"/>
  <c r="AH81" i="121"/>
  <c r="G82" i="121"/>
  <c r="DI81" i="121"/>
  <c r="DJ82" i="121"/>
  <c r="DI82" i="121" s="1"/>
  <c r="AL63" i="121"/>
  <c r="EP78" i="121"/>
  <c r="EP89" i="121"/>
  <c r="AX74" i="121"/>
  <c r="BH74" i="121"/>
  <c r="BG74" i="121" s="1"/>
  <c r="CW63" i="121"/>
  <c r="DG63" i="121"/>
  <c r="DF63" i="121" s="1"/>
  <c r="CE55" i="121"/>
  <c r="ED55" i="121" s="1"/>
  <c r="GC55" i="121" s="1"/>
  <c r="DA81" i="121"/>
  <c r="DS81" i="121" s="1"/>
  <c r="CZ76" i="121"/>
  <c r="DA78" i="121"/>
  <c r="CD58" i="121"/>
  <c r="CA57" i="121"/>
  <c r="CD57" i="121"/>
  <c r="BU76" i="121"/>
  <c r="CG55" i="121"/>
  <c r="BM93" i="120"/>
  <c r="CL93" i="120" s="1"/>
  <c r="CM75" i="120"/>
  <c r="CN63" i="120"/>
  <c r="EX69" i="121"/>
  <c r="FG69" i="121" s="1"/>
  <c r="CL113" i="120"/>
  <c r="BL82" i="121"/>
  <c r="BU82" i="121" s="1"/>
  <c r="CM65" i="121"/>
  <c r="AL58" i="121"/>
  <c r="GC63" i="121"/>
  <c r="CF59" i="121"/>
  <c r="EE59" i="121" s="1"/>
  <c r="GD59" i="121" s="1"/>
  <c r="FQ89" i="121"/>
  <c r="FQ78" i="121"/>
  <c r="O82" i="121"/>
  <c r="N81" i="121"/>
  <c r="FS81" i="121"/>
  <c r="ER82" i="121"/>
  <c r="EP81" i="121"/>
  <c r="FP74" i="121"/>
  <c r="FY74" i="121" s="1"/>
  <c r="BE138" i="120"/>
  <c r="BK138" i="120" s="1"/>
  <c r="AP129" i="120"/>
  <c r="BE129" i="120" s="1"/>
  <c r="BK129" i="120" s="1"/>
  <c r="AO138" i="120"/>
  <c r="CM74" i="121"/>
  <c r="BJ78" i="121"/>
  <c r="BJ89" i="121"/>
  <c r="BM74" i="120"/>
  <c r="CL74" i="120" s="1"/>
  <c r="CM74" i="120"/>
  <c r="BL14" i="120"/>
  <c r="BL181" i="120" s="1"/>
  <c r="CY57" i="121"/>
  <c r="DH57" i="121" s="1"/>
  <c r="EM73" i="121"/>
  <c r="EW73" i="121"/>
  <c r="EX68" i="121"/>
  <c r="FG68" i="121" s="1"/>
  <c r="CL75" i="120"/>
  <c r="EX67" i="121"/>
  <c r="FG67" i="121" s="1"/>
  <c r="AZ55" i="121"/>
  <c r="BI55" i="121" s="1"/>
  <c r="AR89" i="121"/>
  <c r="AR78" i="121"/>
  <c r="CR82" i="121"/>
  <c r="CR83" i="121" s="1"/>
  <c r="CQ81" i="121"/>
  <c r="CM94" i="120"/>
  <c r="CL65" i="121"/>
  <c r="BU81" i="121"/>
  <c r="AX86" i="121"/>
  <c r="AO85" i="121"/>
  <c r="CA67" i="121"/>
  <c r="CD67" i="121"/>
  <c r="BA78" i="121"/>
  <c r="BA89" i="121"/>
  <c r="ED53" i="121"/>
  <c r="FH89" i="121"/>
  <c r="FH78" i="121"/>
  <c r="BT81" i="121"/>
  <c r="AS82" i="121"/>
  <c r="AS83" i="121" s="1"/>
  <c r="AR81" i="121"/>
  <c r="FP70" i="121"/>
  <c r="FY70" i="121" s="1"/>
  <c r="EF59" i="121"/>
  <c r="DQ73" i="121"/>
  <c r="DZ73" i="121" s="1"/>
  <c r="DR89" i="121"/>
  <c r="DR78" i="121"/>
  <c r="X83" i="121"/>
  <c r="CK65" i="121"/>
  <c r="FP63" i="121"/>
  <c r="FY63" i="121" s="1"/>
  <c r="M55" i="121"/>
  <c r="V55" i="121" s="1"/>
  <c r="CC73" i="121"/>
  <c r="BD141" i="120"/>
  <c r="BJ141" i="120" s="1"/>
  <c r="BK141" i="120"/>
  <c r="GD53" i="121"/>
  <c r="GD54" i="121" s="1"/>
  <c r="EE54" i="121"/>
  <c r="GC58" i="121"/>
  <c r="BG63" i="121"/>
  <c r="BP63" i="121" s="1"/>
  <c r="BY63" i="121" s="1"/>
  <c r="BQ63" i="121"/>
  <c r="BZ63" i="121" s="1"/>
  <c r="DB83" i="121"/>
  <c r="DB84" i="121" s="1"/>
  <c r="DP65" i="121"/>
  <c r="DY65" i="121" s="1"/>
  <c r="CK22" i="121"/>
  <c r="GE17" i="121"/>
  <c r="ED17" i="121"/>
  <c r="CK9" i="121"/>
  <c r="CD50" i="121"/>
  <c r="CM50" i="121" s="1"/>
  <c r="BP71" i="121"/>
  <c r="CB71" i="121" s="1"/>
  <c r="EW70" i="121"/>
  <c r="EM70" i="121"/>
  <c r="AM70" i="121"/>
  <c r="CW71" i="121"/>
  <c r="DG71" i="121"/>
  <c r="AC70" i="121"/>
  <c r="BQ71" i="121"/>
  <c r="CC71" i="121" s="1"/>
  <c r="EM71" i="121"/>
  <c r="EW71" i="121"/>
  <c r="BG70" i="121"/>
  <c r="BQ70" i="121"/>
  <c r="CC70" i="121" s="1"/>
  <c r="CW70" i="121"/>
  <c r="DG70" i="121"/>
  <c r="DF70" i="121" s="1"/>
  <c r="DQ48" i="121"/>
  <c r="EC48" i="121" s="1"/>
  <c r="FP64" i="121"/>
  <c r="FY64" i="121" s="1"/>
  <c r="DQ64" i="121"/>
  <c r="DZ64" i="121" s="1"/>
  <c r="BM56" i="120"/>
  <c r="CL56" i="120" s="1"/>
  <c r="BN197" i="120"/>
  <c r="EN49" i="121" s="1"/>
  <c r="DH50" i="121"/>
  <c r="DQ50" i="121" s="1"/>
  <c r="DZ50" i="121" s="1"/>
  <c r="CA64" i="121"/>
  <c r="CD64" i="121"/>
  <c r="BJ59" i="120"/>
  <c r="AZ66" i="121"/>
  <c r="BI66" i="121" s="1"/>
  <c r="CX53" i="121"/>
  <c r="CN53" i="121"/>
  <c r="DG49" i="121"/>
  <c r="CY53" i="121"/>
  <c r="EX48" i="121"/>
  <c r="FG48" i="121" s="1"/>
  <c r="AZ72" i="121"/>
  <c r="BI72" i="121" s="1"/>
  <c r="AX49" i="121"/>
  <c r="BH49" i="121"/>
  <c r="CD49" i="121"/>
  <c r="AN49" i="121"/>
  <c r="AX53" i="121"/>
  <c r="BH53" i="121"/>
  <c r="AC49" i="121"/>
  <c r="M66" i="121"/>
  <c r="V66" i="121" s="1"/>
  <c r="EX50" i="121"/>
  <c r="FG50" i="121" s="1"/>
  <c r="AD53" i="121"/>
  <c r="T53" i="121"/>
  <c r="AN62" i="121"/>
  <c r="CD62" i="121"/>
  <c r="AE72" i="121"/>
  <c r="BR53" i="121"/>
  <c r="EB20" i="121"/>
  <c r="CB20" i="121"/>
  <c r="CL20" i="121"/>
  <c r="CK20" i="121" s="1"/>
  <c r="EA17" i="121"/>
  <c r="EK17" i="121"/>
  <c r="EK22" i="121"/>
  <c r="EJ22" i="121" s="1"/>
  <c r="EA22" i="121"/>
  <c r="EL9" i="121"/>
  <c r="EK9" i="121"/>
  <c r="EA9" i="121"/>
  <c r="CB28" i="121"/>
  <c r="AL28" i="121"/>
  <c r="AC37" i="121"/>
  <c r="AL37" i="121" s="1"/>
  <c r="CL18" i="121"/>
  <c r="CK18" i="121" s="1"/>
  <c r="CB18" i="121"/>
  <c r="EB18" i="121"/>
  <c r="EK16" i="121"/>
  <c r="EJ16" i="121" s="1"/>
  <c r="EA16" i="121"/>
  <c r="EB28" i="121"/>
  <c r="CC37" i="121"/>
  <c r="CL37" i="121" s="1"/>
  <c r="CL28" i="121"/>
  <c r="CK17" i="121"/>
  <c r="EK15" i="121"/>
  <c r="EJ15" i="121" s="1"/>
  <c r="EA15" i="121"/>
  <c r="CL19" i="121"/>
  <c r="CK19" i="121" s="1"/>
  <c r="EB19" i="121"/>
  <c r="CB19" i="121"/>
  <c r="CN14" i="121"/>
  <c r="CO77" i="121"/>
  <c r="CN77" i="121" s="1"/>
  <c r="BP21" i="121"/>
  <c r="BQ14" i="121"/>
  <c r="BH77" i="121"/>
  <c r="BG77" i="121" s="1"/>
  <c r="BG14" i="121"/>
  <c r="FW23" i="121"/>
  <c r="AC21" i="121"/>
  <c r="AD14" i="121"/>
  <c r="AO14" i="121"/>
  <c r="AP77" i="121"/>
  <c r="AO77" i="121" s="1"/>
  <c r="FY21" i="121"/>
  <c r="FP14" i="121"/>
  <c r="BY23" i="121"/>
  <c r="BZ21" i="121"/>
  <c r="D77" i="121"/>
  <c r="FE14" i="121"/>
  <c r="FF77" i="121"/>
  <c r="FE77" i="121" s="1"/>
  <c r="AE77" i="121"/>
  <c r="GK77" i="121"/>
  <c r="AL23" i="121"/>
  <c r="AM21" i="121"/>
  <c r="EV14" i="121"/>
  <c r="EW77" i="121"/>
  <c r="EV77" i="121" s="1"/>
  <c r="DP14" i="121"/>
  <c r="DO21" i="121"/>
  <c r="DY21" i="121"/>
  <c r="B14" i="121"/>
  <c r="DQ14" i="121"/>
  <c r="DZ21" i="121"/>
  <c r="T14" i="121"/>
  <c r="U77" i="121"/>
  <c r="T77" i="121" s="1"/>
  <c r="GM21" i="121"/>
  <c r="EC23" i="121"/>
  <c r="CM23" i="121"/>
  <c r="CD21" i="121"/>
  <c r="FZ77" i="121"/>
  <c r="GI77" i="121" s="1"/>
  <c r="GJ77" i="121"/>
  <c r="L77" i="121"/>
  <c r="K77" i="121" s="1"/>
  <c r="K14" i="121"/>
  <c r="CL23" i="121"/>
  <c r="CB23" i="121"/>
  <c r="CC21" i="121"/>
  <c r="EB23" i="121"/>
  <c r="DX23" i="121"/>
  <c r="BR77" i="121"/>
  <c r="DF14" i="121"/>
  <c r="DG77" i="121"/>
  <c r="DF77" i="121" s="1"/>
  <c r="CX77" i="121"/>
  <c r="CW77" i="121" s="1"/>
  <c r="CW14" i="121"/>
  <c r="FO14" i="121"/>
  <c r="FN21" i="121"/>
  <c r="FX21" i="121"/>
  <c r="AX77" i="121"/>
  <c r="EO77" i="121"/>
  <c r="AH148" i="120"/>
  <c r="AH214" i="120" s="1"/>
  <c r="AN214" i="120" s="1"/>
  <c r="BM127" i="120"/>
  <c r="CL127" i="120" s="1"/>
  <c r="CN103" i="120"/>
  <c r="BO201" i="120"/>
  <c r="EO53" i="121" s="1"/>
  <c r="CN104" i="120"/>
  <c r="CM56" i="120"/>
  <c r="BD241" i="120"/>
  <c r="BJ241" i="120" s="1"/>
  <c r="BJ40" i="120"/>
  <c r="AQ122" i="120"/>
  <c r="BF122" i="120" s="1"/>
  <c r="BL122" i="120" s="1"/>
  <c r="BF129" i="120"/>
  <c r="BL129" i="120" s="1"/>
  <c r="AO129" i="120"/>
  <c r="BE186" i="120"/>
  <c r="BD19" i="120"/>
  <c r="BD186" i="120" s="1"/>
  <c r="BK19" i="120"/>
  <c r="AI270" i="120"/>
  <c r="BH122" i="120"/>
  <c r="BL159" i="120"/>
  <c r="CG159" i="120"/>
  <c r="CJ159" i="120" s="1"/>
  <c r="BH260" i="120"/>
  <c r="BH270" i="120" s="1"/>
  <c r="BJ103" i="120"/>
  <c r="CE215" i="120"/>
  <c r="CI186" i="120"/>
  <c r="CH19" i="120"/>
  <c r="CH186" i="120" s="1"/>
  <c r="CE249" i="120"/>
  <c r="CH249" i="120" s="1"/>
  <c r="CH87" i="120"/>
  <c r="CE264" i="120"/>
  <c r="CH264" i="120" s="1"/>
  <c r="CH48" i="120"/>
  <c r="CJ266" i="120"/>
  <c r="CG265" i="120"/>
  <c r="CF208" i="120"/>
  <c r="E231" i="120"/>
  <c r="E226" i="120"/>
  <c r="AQ52" i="120"/>
  <c r="BF52" i="120" s="1"/>
  <c r="BL52" i="120" s="1"/>
  <c r="BF61" i="120"/>
  <c r="BL61" i="120" s="1"/>
  <c r="BK118" i="120"/>
  <c r="BG52" i="120"/>
  <c r="CE52" i="120" s="1"/>
  <c r="B181" i="120"/>
  <c r="B225" i="120" s="1"/>
  <c r="CL14" i="120"/>
  <c r="AH220" i="120"/>
  <c r="AN220" i="120" s="1"/>
  <c r="AQ154" i="120"/>
  <c r="BF154" i="120" s="1"/>
  <c r="AN154" i="120"/>
  <c r="CE266" i="120"/>
  <c r="CH50" i="120"/>
  <c r="CE219" i="120"/>
  <c r="CH219" i="120" s="1"/>
  <c r="CH153" i="120"/>
  <c r="BZ160" i="120"/>
  <c r="BY158" i="120"/>
  <c r="CE195" i="120"/>
  <c r="AM187" i="120"/>
  <c r="AL20" i="120"/>
  <c r="AL187" i="120" s="1"/>
  <c r="CE242" i="120"/>
  <c r="CH242" i="120" s="1"/>
  <c r="CH41" i="120"/>
  <c r="AJ179" i="120"/>
  <c r="AJ180" i="120" s="1"/>
  <c r="AI12" i="120"/>
  <c r="AJ13" i="120"/>
  <c r="BI260" i="120"/>
  <c r="CE243" i="120"/>
  <c r="CH243" i="120" s="1"/>
  <c r="CH42" i="120"/>
  <c r="CL112" i="120"/>
  <c r="AO201" i="120"/>
  <c r="BL201" i="120"/>
  <c r="BE240" i="120"/>
  <c r="BK240" i="120" s="1"/>
  <c r="BD39" i="120"/>
  <c r="BK39" i="120"/>
  <c r="CL145" i="120"/>
  <c r="CM106" i="120"/>
  <c r="CE240" i="120"/>
  <c r="CH240" i="120" s="1"/>
  <c r="CH39" i="120"/>
  <c r="Q105" i="120"/>
  <c r="BO239" i="120"/>
  <c r="BO205" i="120"/>
  <c r="EO57" i="121" s="1"/>
  <c r="BF216" i="120"/>
  <c r="BL216" i="120" s="1"/>
  <c r="BL150" i="120"/>
  <c r="CN127" i="120"/>
  <c r="CE254" i="120"/>
  <c r="CH254" i="120" s="1"/>
  <c r="CH44" i="120"/>
  <c r="CE256" i="120"/>
  <c r="CH256" i="120" s="1"/>
  <c r="CH81" i="120"/>
  <c r="CI185" i="120"/>
  <c r="CH18" i="120"/>
  <c r="CH185" i="120" s="1"/>
  <c r="CA160" i="120"/>
  <c r="BM219" i="120"/>
  <c r="CL153" i="120"/>
  <c r="CN106" i="120"/>
  <c r="BG260" i="120"/>
  <c r="CF129" i="120"/>
  <c r="CL84" i="120"/>
  <c r="AN159" i="120"/>
  <c r="N179" i="120"/>
  <c r="N180" i="120" s="1"/>
  <c r="N13" i="120"/>
  <c r="CE247" i="120"/>
  <c r="CH247" i="120" s="1"/>
  <c r="CH79" i="120"/>
  <c r="BJ97" i="120"/>
  <c r="BY207" i="120"/>
  <c r="BY224" i="120"/>
  <c r="CF261" i="120"/>
  <c r="CE250" i="120"/>
  <c r="CH250" i="120" s="1"/>
  <c r="CE206" i="120"/>
  <c r="CH206" i="120" s="1"/>
  <c r="CH109" i="120"/>
  <c r="CE61" i="120"/>
  <c r="BN241" i="120"/>
  <c r="BM40" i="120"/>
  <c r="CH9" i="120"/>
  <c r="CH176" i="120" s="1"/>
  <c r="BN240" i="120"/>
  <c r="BM39" i="120"/>
  <c r="BM240" i="120" s="1"/>
  <c r="CM39" i="120"/>
  <c r="CG177" i="120"/>
  <c r="AF265" i="120"/>
  <c r="CE251" i="120"/>
  <c r="CH251" i="120" s="1"/>
  <c r="CH111" i="120"/>
  <c r="BL93" i="120"/>
  <c r="BD93" i="120"/>
  <c r="BJ93" i="120" s="1"/>
  <c r="CG178" i="120"/>
  <c r="CG12" i="120"/>
  <c r="BH203" i="120"/>
  <c r="CF36" i="120"/>
  <c r="CL155" i="120"/>
  <c r="CE60" i="120"/>
  <c r="CH59" i="120"/>
  <c r="CN47" i="120"/>
  <c r="BH98" i="120"/>
  <c r="AQ260" i="120"/>
  <c r="AQ270" i="120" s="1"/>
  <c r="BM121" i="120"/>
  <c r="BN118" i="120"/>
  <c r="CM118" i="120" s="1"/>
  <c r="BN269" i="120"/>
  <c r="CN64" i="120"/>
  <c r="BH52" i="120"/>
  <c r="BM227" i="120"/>
  <c r="CB227" i="120" s="1"/>
  <c r="CH227" i="120" s="1"/>
  <c r="CB228" i="120"/>
  <c r="CH228" i="120" s="1"/>
  <c r="BO204" i="120"/>
  <c r="EO56" i="121" s="1"/>
  <c r="AO264" i="120"/>
  <c r="CL48" i="120"/>
  <c r="BJ255" i="120"/>
  <c r="BJ85" i="120"/>
  <c r="CL91" i="120"/>
  <c r="AC207" i="120"/>
  <c r="AC224" i="120"/>
  <c r="BN246" i="120"/>
  <c r="BM77" i="120"/>
  <c r="BM246" i="120" s="1"/>
  <c r="CN48" i="120"/>
  <c r="T165" i="120"/>
  <c r="T160" i="120"/>
  <c r="AJ270" i="120"/>
  <c r="BV160" i="120"/>
  <c r="BV165" i="120"/>
  <c r="CN43" i="120"/>
  <c r="BN266" i="120"/>
  <c r="BM50" i="120"/>
  <c r="BM266" i="120" s="1"/>
  <c r="AO222" i="120"/>
  <c r="BD88" i="120"/>
  <c r="BJ88" i="120" s="1"/>
  <c r="BD246" i="120"/>
  <c r="BJ246" i="120" s="1"/>
  <c r="BJ77" i="120"/>
  <c r="BM115" i="120"/>
  <c r="BM249" i="120" s="1"/>
  <c r="BN249" i="120"/>
  <c r="BN201" i="120"/>
  <c r="EN53" i="121" s="1"/>
  <c r="BM34" i="120"/>
  <c r="CL34" i="120" s="1"/>
  <c r="BN49" i="120"/>
  <c r="CM49" i="120" s="1"/>
  <c r="AO49" i="120"/>
  <c r="AI98" i="120"/>
  <c r="BD250" i="120"/>
  <c r="BJ250" i="120" s="1"/>
  <c r="BD206" i="120"/>
  <c r="BJ206" i="120" s="1"/>
  <c r="CE238" i="120"/>
  <c r="CE204" i="120"/>
  <c r="CL43" i="120"/>
  <c r="AF197" i="120"/>
  <c r="AL197" i="120" s="1"/>
  <c r="AL31" i="120"/>
  <c r="CE209" i="120"/>
  <c r="AL201" i="120"/>
  <c r="BH28" i="120"/>
  <c r="CJ182" i="120"/>
  <c r="BS165" i="120"/>
  <c r="BS160" i="120"/>
  <c r="BN268" i="120"/>
  <c r="BM51" i="120"/>
  <c r="AR165" i="120"/>
  <c r="AR160" i="120"/>
  <c r="BE188" i="120"/>
  <c r="BD21" i="120"/>
  <c r="BD188" i="120" s="1"/>
  <c r="BE14" i="120"/>
  <c r="CE259" i="120"/>
  <c r="CH259" i="120" s="1"/>
  <c r="CH84" i="120"/>
  <c r="AM181" i="120"/>
  <c r="AL14" i="120"/>
  <c r="AL181" i="120" s="1"/>
  <c r="BN248" i="120"/>
  <c r="BM76" i="120"/>
  <c r="BM248" i="120" s="1"/>
  <c r="BO261" i="120"/>
  <c r="BO260" i="120" s="1"/>
  <c r="BO88" i="120"/>
  <c r="BO70" i="120" s="1"/>
  <c r="BJ218" i="120"/>
  <c r="BF245" i="120"/>
  <c r="BL245" i="120" s="1"/>
  <c r="BL43" i="120"/>
  <c r="BD43" i="120"/>
  <c r="BO105" i="120"/>
  <c r="CN118" i="120"/>
  <c r="BJ80" i="120"/>
  <c r="CE244" i="120"/>
  <c r="CH244" i="120" s="1"/>
  <c r="CH85" i="120"/>
  <c r="AI203" i="120"/>
  <c r="BG36" i="120"/>
  <c r="AO246" i="120"/>
  <c r="CF61" i="120"/>
  <c r="BF261" i="120"/>
  <c r="BF260" i="120" s="1"/>
  <c r="BL89" i="120"/>
  <c r="BD89" i="120"/>
  <c r="BV226" i="120"/>
  <c r="BV231" i="120"/>
  <c r="BD45" i="120"/>
  <c r="BJ45" i="120" s="1"/>
  <c r="BK45" i="120"/>
  <c r="AO266" i="120"/>
  <c r="CI183" i="120"/>
  <c r="CH16" i="120"/>
  <c r="CH183" i="120" s="1"/>
  <c r="AH270" i="120"/>
  <c r="AN270" i="120" s="1"/>
  <c r="BI179" i="120"/>
  <c r="BI180" i="120" s="1"/>
  <c r="BI13" i="120"/>
  <c r="AQ197" i="120"/>
  <c r="CP49" i="121" s="1"/>
  <c r="BO31" i="120"/>
  <c r="CN31" i="120" s="1"/>
  <c r="AO31" i="120"/>
  <c r="BF265" i="120"/>
  <c r="BL265" i="120" s="1"/>
  <c r="BO129" i="120"/>
  <c r="BO122" i="120" s="1"/>
  <c r="BM138" i="120"/>
  <c r="BG208" i="120"/>
  <c r="CE142" i="120"/>
  <c r="BF98" i="120"/>
  <c r="CL63" i="120"/>
  <c r="BN250" i="120"/>
  <c r="BN206" i="120"/>
  <c r="EN58" i="121" s="1"/>
  <c r="BM109" i="120"/>
  <c r="CL109" i="120" s="1"/>
  <c r="CE252" i="120"/>
  <c r="CH252" i="120" s="1"/>
  <c r="CH112" i="120"/>
  <c r="CH63" i="120"/>
  <c r="CE64" i="120"/>
  <c r="BJ111" i="120"/>
  <c r="CG261" i="120"/>
  <c r="AJ207" i="120"/>
  <c r="AJ224" i="120"/>
  <c r="CM51" i="120"/>
  <c r="CG214" i="120"/>
  <c r="CJ214" i="120" s="1"/>
  <c r="CJ148" i="120"/>
  <c r="AK207" i="120"/>
  <c r="AN207" i="120" s="1"/>
  <c r="AN203" i="120"/>
  <c r="AK224" i="120"/>
  <c r="CL80" i="120"/>
  <c r="BE201" i="120"/>
  <c r="BD34" i="120"/>
  <c r="BK34" i="120"/>
  <c r="CE197" i="120"/>
  <c r="CH197" i="120" s="1"/>
  <c r="CH31" i="120"/>
  <c r="CF70" i="120"/>
  <c r="CN136" i="120"/>
  <c r="BF136" i="120"/>
  <c r="CE263" i="120"/>
  <c r="CH263" i="120" s="1"/>
  <c r="CH47" i="120"/>
  <c r="BB160" i="120"/>
  <c r="BA158" i="120"/>
  <c r="CM76" i="120"/>
  <c r="AK158" i="120"/>
  <c r="AE160" i="120"/>
  <c r="CN89" i="120"/>
  <c r="CE222" i="120"/>
  <c r="CH222" i="120" s="1"/>
  <c r="CH156" i="120"/>
  <c r="CF159" i="120"/>
  <c r="CE218" i="120"/>
  <c r="CH218" i="120" s="1"/>
  <c r="CH152" i="120"/>
  <c r="AG159" i="120"/>
  <c r="B159" i="120"/>
  <c r="CL159" i="120" s="1"/>
  <c r="CM159" i="120"/>
  <c r="BE266" i="120"/>
  <c r="BD50" i="120"/>
  <c r="BK50" i="120"/>
  <c r="CF202" i="120"/>
  <c r="CI201" i="120"/>
  <c r="BO249" i="120"/>
  <c r="AO254" i="120"/>
  <c r="BK49" i="120"/>
  <c r="BJ244" i="120"/>
  <c r="BM47" i="120"/>
  <c r="BM263" i="120" s="1"/>
  <c r="BO61" i="120"/>
  <c r="BG265" i="120"/>
  <c r="CI189" i="120"/>
  <c r="CI21" i="120"/>
  <c r="CH22" i="120"/>
  <c r="CH189" i="120" s="1"/>
  <c r="AM265" i="120"/>
  <c r="N158" i="120"/>
  <c r="O160" i="120"/>
  <c r="BP165" i="120"/>
  <c r="BP160" i="120"/>
  <c r="AG105" i="120"/>
  <c r="AQ210" i="120"/>
  <c r="CP62" i="121" s="1"/>
  <c r="BO144" i="120"/>
  <c r="CN144" i="120" s="1"/>
  <c r="BE187" i="120"/>
  <c r="BD20" i="120"/>
  <c r="BD187" i="120" s="1"/>
  <c r="BK20" i="120"/>
  <c r="CL152" i="120"/>
  <c r="BJ242" i="120"/>
  <c r="AP265" i="120"/>
  <c r="BN222" i="120"/>
  <c r="EN74" i="121" s="1"/>
  <c r="BM156" i="120"/>
  <c r="BM222" i="120" s="1"/>
  <c r="CE268" i="120"/>
  <c r="CH268" i="120" s="1"/>
  <c r="CH51" i="120"/>
  <c r="BK184" i="120"/>
  <c r="BJ17" i="120"/>
  <c r="BJ184" i="120" s="1"/>
  <c r="BJ243" i="120"/>
  <c r="BM137" i="120"/>
  <c r="CL137" i="120" s="1"/>
  <c r="CH20" i="120"/>
  <c r="CH187" i="120" s="1"/>
  <c r="CE105" i="120"/>
  <c r="AN98" i="120"/>
  <c r="BI98" i="120"/>
  <c r="AO243" i="120"/>
  <c r="BM103" i="120"/>
  <c r="CL103" i="120" s="1"/>
  <c r="CM103" i="120"/>
  <c r="BG202" i="120"/>
  <c r="BL115" i="120"/>
  <c r="BF249" i="120"/>
  <c r="BL249" i="120" s="1"/>
  <c r="CE177" i="120"/>
  <c r="BE185" i="120"/>
  <c r="BD18" i="120"/>
  <c r="BD185" i="120" s="1"/>
  <c r="BK18" i="120"/>
  <c r="CE239" i="120"/>
  <c r="CE205" i="120"/>
  <c r="AX160" i="120"/>
  <c r="AX165" i="120"/>
  <c r="CG28" i="120"/>
  <c r="BD67" i="120"/>
  <c r="BJ67" i="120" s="1"/>
  <c r="BK67" i="120"/>
  <c r="CE199" i="120"/>
  <c r="BI203" i="120"/>
  <c r="BL36" i="120"/>
  <c r="CG36" i="120"/>
  <c r="CH15" i="120"/>
  <c r="CH182" i="120" s="1"/>
  <c r="CE253" i="120"/>
  <c r="CH253" i="120" s="1"/>
  <c r="CH113" i="120"/>
  <c r="BJ44" i="120"/>
  <c r="CE211" i="120"/>
  <c r="CH211" i="120" s="1"/>
  <c r="CH145" i="120"/>
  <c r="K165" i="120"/>
  <c r="K160" i="120"/>
  <c r="CG208" i="120"/>
  <c r="AM186" i="120"/>
  <c r="AL19" i="120"/>
  <c r="AL186" i="120" s="1"/>
  <c r="CF265" i="120"/>
  <c r="CI266" i="120"/>
  <c r="CL106" i="120"/>
  <c r="CN128" i="120"/>
  <c r="BM89" i="120"/>
  <c r="CE257" i="120"/>
  <c r="CH257" i="120" s="1"/>
  <c r="CH82" i="120"/>
  <c r="BF31" i="120"/>
  <c r="BE268" i="120"/>
  <c r="BK268" i="120" s="1"/>
  <c r="BD51" i="120"/>
  <c r="BK51" i="120"/>
  <c r="BF241" i="120"/>
  <c r="BL241" i="120" s="1"/>
  <c r="BL40" i="120"/>
  <c r="BK189" i="120"/>
  <c r="BJ22" i="120"/>
  <c r="BJ189" i="120" s="1"/>
  <c r="BK21" i="120"/>
  <c r="BG122" i="120"/>
  <c r="BF223" i="120"/>
  <c r="BL223" i="120" s="1"/>
  <c r="BL157" i="120"/>
  <c r="CE261" i="120"/>
  <c r="CH89" i="120"/>
  <c r="BM59" i="120"/>
  <c r="CN54" i="120"/>
  <c r="BJ49" i="120"/>
  <c r="CE49" i="120"/>
  <c r="CH49" i="120" s="1"/>
  <c r="CG184" i="120"/>
  <c r="CJ17" i="120"/>
  <c r="CJ184" i="120" s="1"/>
  <c r="CE128" i="120"/>
  <c r="CH127" i="120"/>
  <c r="AM185" i="120"/>
  <c r="AL18" i="120"/>
  <c r="AL185" i="120" s="1"/>
  <c r="H165" i="120"/>
  <c r="H160" i="120"/>
  <c r="AG181" i="120"/>
  <c r="AG225" i="120" s="1"/>
  <c r="AM225" i="120" s="1"/>
  <c r="AF14" i="120"/>
  <c r="AF181" i="120" s="1"/>
  <c r="AF225" i="120" s="1"/>
  <c r="AL225" i="120" s="1"/>
  <c r="BM243" i="120"/>
  <c r="CE212" i="120"/>
  <c r="AO250" i="120"/>
  <c r="AO206" i="120"/>
  <c r="CE245" i="120"/>
  <c r="CH43" i="120"/>
  <c r="BA207" i="120"/>
  <c r="BA224" i="120"/>
  <c r="W165" i="120"/>
  <c r="W160" i="120"/>
  <c r="CE248" i="120"/>
  <c r="CH248" i="120" s="1"/>
  <c r="CH76" i="120"/>
  <c r="BJ251" i="120"/>
  <c r="E160" i="120"/>
  <c r="E165" i="120"/>
  <c r="BJ16" i="120"/>
  <c r="BJ183" i="120" s="1"/>
  <c r="BN67" i="120"/>
  <c r="CM67" i="120" s="1"/>
  <c r="AO67" i="120"/>
  <c r="BG214" i="120"/>
  <c r="CE148" i="120"/>
  <c r="AO263" i="120"/>
  <c r="AO268" i="120"/>
  <c r="CL51" i="120"/>
  <c r="AN122" i="120"/>
  <c r="BO45" i="120"/>
  <c r="BM45" i="120" s="1"/>
  <c r="BD121" i="120"/>
  <c r="BJ121" i="120" s="1"/>
  <c r="BE269" i="120"/>
  <c r="BK269" i="120" s="1"/>
  <c r="BK121" i="120"/>
  <c r="BF64" i="120"/>
  <c r="BL64" i="120" s="1"/>
  <c r="BD63" i="120"/>
  <c r="BL63" i="120"/>
  <c r="CN138" i="120"/>
  <c r="CI190" i="120"/>
  <c r="CH23" i="120"/>
  <c r="CH190" i="120" s="1"/>
  <c r="CJ201" i="120"/>
  <c r="CG202" i="120"/>
  <c r="BD138" i="120"/>
  <c r="BJ138" i="120" s="1"/>
  <c r="AO248" i="120"/>
  <c r="BH181" i="120"/>
  <c r="BH225" i="120" s="1"/>
  <c r="BG14" i="120"/>
  <c r="BG181" i="120" s="1"/>
  <c r="BG225" i="120" s="1"/>
  <c r="BH12" i="120"/>
  <c r="AO118" i="120"/>
  <c r="AP105" i="120"/>
  <c r="CE200" i="120"/>
  <c r="BJ152" i="120"/>
  <c r="BE222" i="120"/>
  <c r="BK222" i="120" s="1"/>
  <c r="BD156" i="120"/>
  <c r="BK156" i="120"/>
  <c r="CL39" i="120"/>
  <c r="Z160" i="120"/>
  <c r="Z165" i="120"/>
  <c r="CE267" i="120"/>
  <c r="CH267" i="120" s="1"/>
  <c r="CH96" i="120"/>
  <c r="CL111" i="120"/>
  <c r="CE255" i="120"/>
  <c r="CH255" i="120" s="1"/>
  <c r="CH80" i="120"/>
  <c r="BN254" i="120"/>
  <c r="BM44" i="120"/>
  <c r="BM254" i="120" s="1"/>
  <c r="CM91" i="120"/>
  <c r="BN263" i="120"/>
  <c r="CM77" i="120"/>
  <c r="CF188" i="120"/>
  <c r="CF14" i="120"/>
  <c r="CE21" i="120"/>
  <c r="CE188" i="120" s="1"/>
  <c r="BD115" i="120"/>
  <c r="BK115" i="120"/>
  <c r="BE249" i="120"/>
  <c r="BK249" i="120" s="1"/>
  <c r="AD160" i="120"/>
  <c r="AC158" i="120"/>
  <c r="AJ158" i="120"/>
  <c r="CE262" i="120"/>
  <c r="CH262" i="120" s="1"/>
  <c r="CH46" i="120"/>
  <c r="BF144" i="120"/>
  <c r="AO45" i="120"/>
  <c r="CM45" i="120"/>
  <c r="AN52" i="120"/>
  <c r="CE35" i="120"/>
  <c r="AU165" i="120"/>
  <c r="AU160" i="120"/>
  <c r="CF184" i="120"/>
  <c r="CI17" i="120"/>
  <c r="CE17" i="120"/>
  <c r="CE184" i="120" s="1"/>
  <c r="S207" i="120"/>
  <c r="AQ59" i="121" s="1"/>
  <c r="CF214" i="120"/>
  <c r="BM136" i="120"/>
  <c r="CL136" i="120" s="1"/>
  <c r="BA179" i="120"/>
  <c r="BA180" i="120" s="1"/>
  <c r="BA13" i="120"/>
  <c r="CE216" i="120"/>
  <c r="BD264" i="120"/>
  <c r="BJ264" i="120" s="1"/>
  <c r="BD56" i="120" l="1"/>
  <c r="BJ56" i="120" s="1"/>
  <c r="BE197" i="120"/>
  <c r="BK197" i="120" s="1"/>
  <c r="BK56" i="120"/>
  <c r="CN70" i="120"/>
  <c r="EJ17" i="121"/>
  <c r="BM268" i="120"/>
  <c r="BM257" i="120"/>
  <c r="CL82" i="120"/>
  <c r="EC71" i="121"/>
  <c r="CL50" i="120"/>
  <c r="EC65" i="121"/>
  <c r="GB65" i="121" s="1"/>
  <c r="GK65" i="121" s="1"/>
  <c r="DO65" i="121"/>
  <c r="DX65" i="121" s="1"/>
  <c r="CE59" i="121"/>
  <c r="ED59" i="121" s="1"/>
  <c r="GC59" i="121" s="1"/>
  <c r="EC56" i="121"/>
  <c r="DZ48" i="121"/>
  <c r="CM56" i="121"/>
  <c r="BM213" i="120"/>
  <c r="CL147" i="120"/>
  <c r="EM65" i="121"/>
  <c r="EW65" i="121"/>
  <c r="BD213" i="120"/>
  <c r="BJ213" i="120" s="1"/>
  <c r="BJ147" i="120"/>
  <c r="BD258" i="120"/>
  <c r="BJ258" i="120" s="1"/>
  <c r="BJ83" i="120"/>
  <c r="CL96" i="120"/>
  <c r="BM267" i="120"/>
  <c r="BO270" i="120"/>
  <c r="BM269" i="120"/>
  <c r="AQ203" i="120"/>
  <c r="BM88" i="120"/>
  <c r="CL88" i="120" s="1"/>
  <c r="BD262" i="120"/>
  <c r="BJ262" i="120" s="1"/>
  <c r="CN88" i="120"/>
  <c r="EC63" i="121"/>
  <c r="GB63" i="121" s="1"/>
  <c r="GK63" i="121" s="1"/>
  <c r="EC74" i="121"/>
  <c r="EL74" i="121" s="1"/>
  <c r="AE59" i="121"/>
  <c r="AN59" i="121" s="1"/>
  <c r="BP74" i="121"/>
  <c r="BY74" i="121" s="1"/>
  <c r="BQ74" i="121"/>
  <c r="BZ74" i="121" s="1"/>
  <c r="CB58" i="121"/>
  <c r="CK58" i="121" s="1"/>
  <c r="FP67" i="121"/>
  <c r="FY67" i="121" s="1"/>
  <c r="FP68" i="121"/>
  <c r="FY68" i="121" s="1"/>
  <c r="FP69" i="121"/>
  <c r="FY69" i="121" s="1"/>
  <c r="EC73" i="121"/>
  <c r="GB73" i="121" s="1"/>
  <c r="GK73" i="121" s="1"/>
  <c r="BB83" i="121"/>
  <c r="BB84" i="121" s="1"/>
  <c r="AE55" i="121"/>
  <c r="AN55" i="121" s="1"/>
  <c r="BR55" i="121"/>
  <c r="CA55" i="121" s="1"/>
  <c r="EZ84" i="121"/>
  <c r="DQ57" i="121"/>
  <c r="DZ57" i="121" s="1"/>
  <c r="DQ68" i="121"/>
  <c r="DZ68" i="121" s="1"/>
  <c r="CE202" i="120"/>
  <c r="N231" i="120"/>
  <c r="N226" i="120"/>
  <c r="GD76" i="121"/>
  <c r="GD78" i="121" s="1"/>
  <c r="AS84" i="121"/>
  <c r="AR83" i="121"/>
  <c r="AZ59" i="121"/>
  <c r="BI59" i="121" s="1"/>
  <c r="CL115" i="120"/>
  <c r="EM74" i="121"/>
  <c r="EW74" i="121"/>
  <c r="BN265" i="120"/>
  <c r="CK23" i="121"/>
  <c r="GC53" i="121"/>
  <c r="GC54" i="121" s="1"/>
  <c r="ED54" i="121"/>
  <c r="CQ82" i="121"/>
  <c r="BN129" i="120"/>
  <c r="CM129" i="120" s="1"/>
  <c r="BL83" i="121"/>
  <c r="BL84" i="121" s="1"/>
  <c r="GB71" i="121"/>
  <c r="GK71" i="121" s="1"/>
  <c r="EL71" i="121"/>
  <c r="EC58" i="121"/>
  <c r="CM58" i="121"/>
  <c r="DA82" i="121"/>
  <c r="CZ81" i="121"/>
  <c r="DR81" i="121" s="1"/>
  <c r="CG81" i="121"/>
  <c r="EF81" i="121" s="1"/>
  <c r="GE81" i="121" s="1"/>
  <c r="EV87" i="121"/>
  <c r="FE87" i="121" s="1"/>
  <c r="BM242" i="120"/>
  <c r="DQ51" i="121"/>
  <c r="DF73" i="121"/>
  <c r="DO73" i="121" s="1"/>
  <c r="DP73" i="121"/>
  <c r="DY73" i="121" s="1"/>
  <c r="BJ82" i="121"/>
  <c r="DF86" i="121"/>
  <c r="CW85" i="121"/>
  <c r="CF78" i="121"/>
  <c r="FI83" i="121"/>
  <c r="FH82" i="121"/>
  <c r="CS83" i="121"/>
  <c r="EW58" i="121"/>
  <c r="EM58" i="121"/>
  <c r="AQ207" i="120"/>
  <c r="CP59" i="121" s="1"/>
  <c r="CP55" i="121"/>
  <c r="GE59" i="121"/>
  <c r="BT82" i="121"/>
  <c r="AR82" i="121"/>
  <c r="CR84" i="121"/>
  <c r="EV73" i="121"/>
  <c r="FF73" i="121"/>
  <c r="FE73" i="121" s="1"/>
  <c r="FZ88" i="121"/>
  <c r="GI88" i="121" s="1"/>
  <c r="EJ88" i="121"/>
  <c r="BK84" i="121"/>
  <c r="AF81" i="121"/>
  <c r="AT84" i="121"/>
  <c r="CW74" i="121"/>
  <c r="DG74" i="121"/>
  <c r="BM262" i="120"/>
  <c r="CN45" i="120"/>
  <c r="CL121" i="120"/>
  <c r="EX56" i="121"/>
  <c r="FG56" i="121" s="1"/>
  <c r="BD269" i="120"/>
  <c r="BJ269" i="120" s="1"/>
  <c r="CL73" i="121"/>
  <c r="W83" i="121"/>
  <c r="W84" i="121" s="1"/>
  <c r="X84" i="121"/>
  <c r="EB65" i="121"/>
  <c r="FQ81" i="121"/>
  <c r="O83" i="121"/>
  <c r="N82" i="121"/>
  <c r="EF55" i="121"/>
  <c r="CG76" i="121"/>
  <c r="CG78" i="121" s="1"/>
  <c r="CM57" i="121"/>
  <c r="DO63" i="121"/>
  <c r="DX63" i="121" s="1"/>
  <c r="DJ83" i="121"/>
  <c r="DO87" i="121"/>
  <c r="FE86" i="121"/>
  <c r="F83" i="121"/>
  <c r="E82" i="121"/>
  <c r="AG82" i="121"/>
  <c r="AM74" i="121"/>
  <c r="DZ70" i="121"/>
  <c r="EC70" i="121"/>
  <c r="EL56" i="121"/>
  <c r="EX57" i="121"/>
  <c r="FG57" i="121" s="1"/>
  <c r="BO36" i="120"/>
  <c r="BO203" i="120" s="1"/>
  <c r="CL138" i="120"/>
  <c r="CN129" i="120"/>
  <c r="BS81" i="121"/>
  <c r="EC67" i="121"/>
  <c r="CM67" i="121"/>
  <c r="AX85" i="121"/>
  <c r="BG86" i="121"/>
  <c r="GB74" i="121"/>
  <c r="GK74" i="121" s="1"/>
  <c r="ER83" i="121"/>
  <c r="FS82" i="121"/>
  <c r="EP82" i="121"/>
  <c r="BU78" i="121"/>
  <c r="BS76" i="121"/>
  <c r="CZ89" i="121"/>
  <c r="CZ78" i="121"/>
  <c r="CB63" i="121"/>
  <c r="G83" i="121"/>
  <c r="AH82" i="121"/>
  <c r="CG82" i="121" s="1"/>
  <c r="EF82" i="121" s="1"/>
  <c r="EL69" i="121"/>
  <c r="CL58" i="121"/>
  <c r="AF89" i="121"/>
  <c r="AF78" i="121"/>
  <c r="EV63" i="121"/>
  <c r="FF63" i="121"/>
  <c r="FE63" i="121" s="1"/>
  <c r="DG58" i="121"/>
  <c r="CW58" i="121"/>
  <c r="EE78" i="121"/>
  <c r="CC63" i="121"/>
  <c r="CF81" i="121"/>
  <c r="EE81" i="121" s="1"/>
  <c r="GD81" i="121" s="1"/>
  <c r="AL74" i="121"/>
  <c r="FP58" i="121"/>
  <c r="FY58" i="121" s="1"/>
  <c r="DQ75" i="121"/>
  <c r="FP51" i="121"/>
  <c r="FY51" i="121" s="1"/>
  <c r="DP63" i="121"/>
  <c r="DY63" i="121" s="1"/>
  <c r="GC17" i="121"/>
  <c r="GK17" i="121"/>
  <c r="GI17" i="121" s="1"/>
  <c r="DO70" i="121"/>
  <c r="DX70" i="121" s="1"/>
  <c r="CL71" i="121"/>
  <c r="DF71" i="121"/>
  <c r="DO71" i="121" s="1"/>
  <c r="DX71" i="121" s="1"/>
  <c r="DP71" i="121"/>
  <c r="DY71" i="121" s="1"/>
  <c r="CL70" i="121"/>
  <c r="FF70" i="121"/>
  <c r="FE70" i="121" s="1"/>
  <c r="EV70" i="121"/>
  <c r="FF71" i="121"/>
  <c r="EV71" i="121"/>
  <c r="BP70" i="121"/>
  <c r="CB70" i="121" s="1"/>
  <c r="CK71" i="121"/>
  <c r="DP70" i="121"/>
  <c r="DY70" i="121" s="1"/>
  <c r="AL70" i="121"/>
  <c r="FO70" i="121"/>
  <c r="FX70" i="121" s="1"/>
  <c r="EC50" i="121"/>
  <c r="EL50" i="121" s="1"/>
  <c r="FP50" i="121"/>
  <c r="FY50" i="121" s="1"/>
  <c r="AN72" i="121"/>
  <c r="BG49" i="121"/>
  <c r="BQ49" i="121"/>
  <c r="DP49" i="121"/>
  <c r="DY49" i="121" s="1"/>
  <c r="CW53" i="121"/>
  <c r="DG53" i="121"/>
  <c r="DP53" i="121" s="1"/>
  <c r="DH53" i="121"/>
  <c r="AN148" i="120"/>
  <c r="CY62" i="121"/>
  <c r="DH62" i="121" s="1"/>
  <c r="CY49" i="121"/>
  <c r="CN49" i="121"/>
  <c r="AE66" i="121"/>
  <c r="FP48" i="121"/>
  <c r="FY48" i="121" s="1"/>
  <c r="BR66" i="121"/>
  <c r="CA66" i="121" s="1"/>
  <c r="EL48" i="121"/>
  <c r="EX53" i="121"/>
  <c r="AL49" i="121"/>
  <c r="CM62" i="121"/>
  <c r="AM53" i="121"/>
  <c r="EW53" i="121"/>
  <c r="EM53" i="121"/>
  <c r="CA53" i="121"/>
  <c r="CD53" i="121"/>
  <c r="AC53" i="121"/>
  <c r="BG53" i="121"/>
  <c r="BQ53" i="121"/>
  <c r="CM49" i="121"/>
  <c r="BR72" i="121"/>
  <c r="CA72" i="121" s="1"/>
  <c r="EC64" i="121"/>
  <c r="CM64" i="121"/>
  <c r="EW49" i="121"/>
  <c r="EA18" i="121"/>
  <c r="EK18" i="121"/>
  <c r="EJ18" i="121" s="1"/>
  <c r="DX21" i="121"/>
  <c r="EA28" i="121"/>
  <c r="CB37" i="121"/>
  <c r="CK37" i="121" s="1"/>
  <c r="CK28" i="121"/>
  <c r="EJ9" i="121"/>
  <c r="EA20" i="121"/>
  <c r="EK20" i="121"/>
  <c r="EJ20" i="121" s="1"/>
  <c r="EA19" i="121"/>
  <c r="EK19" i="121"/>
  <c r="EJ19" i="121" s="1"/>
  <c r="EB37" i="121"/>
  <c r="EK37" i="121" s="1"/>
  <c r="EK28" i="121"/>
  <c r="GA28" i="121"/>
  <c r="EA23" i="121"/>
  <c r="EB21" i="121"/>
  <c r="EK23" i="121"/>
  <c r="CD14" i="121"/>
  <c r="CM21" i="121"/>
  <c r="FW21" i="121"/>
  <c r="CA77" i="121"/>
  <c r="CB21" i="121"/>
  <c r="CC14" i="121"/>
  <c r="CL21" i="121"/>
  <c r="GM14" i="121"/>
  <c r="AL21" i="121"/>
  <c r="AM14" i="121"/>
  <c r="AN77" i="121"/>
  <c r="EL23" i="121"/>
  <c r="EC21" i="121"/>
  <c r="FN14" i="121"/>
  <c r="FO77" i="121"/>
  <c r="FX14" i="121"/>
  <c r="DQ77" i="121"/>
  <c r="DZ14" i="121"/>
  <c r="DP77" i="121"/>
  <c r="DY14" i="121"/>
  <c r="DO14" i="121"/>
  <c r="BY21" i="121"/>
  <c r="BZ14" i="121"/>
  <c r="FP77" i="121"/>
  <c r="FY14" i="121"/>
  <c r="B77" i="121"/>
  <c r="AD77" i="121"/>
  <c r="AC14" i="121"/>
  <c r="EM77" i="121"/>
  <c r="BQ77" i="121"/>
  <c r="BP14" i="121"/>
  <c r="BL261" i="120"/>
  <c r="BF220" i="120"/>
  <c r="BL220" i="120" s="1"/>
  <c r="BL154" i="120"/>
  <c r="CL45" i="120"/>
  <c r="AJ160" i="120"/>
  <c r="BH158" i="120"/>
  <c r="CG203" i="120"/>
  <c r="CJ36" i="120"/>
  <c r="BF210" i="120"/>
  <c r="BL210" i="120" s="1"/>
  <c r="BL144" i="120"/>
  <c r="AC160" i="120"/>
  <c r="AC165" i="120"/>
  <c r="AI158" i="120"/>
  <c r="AO105" i="120"/>
  <c r="BK188" i="120"/>
  <c r="BK14" i="120"/>
  <c r="BJ21" i="120"/>
  <c r="BJ188" i="120" s="1"/>
  <c r="BL98" i="120"/>
  <c r="CG98" i="120"/>
  <c r="CJ98" i="120" s="1"/>
  <c r="AF159" i="120"/>
  <c r="AL159" i="120" s="1"/>
  <c r="BE159" i="120"/>
  <c r="AM159" i="120"/>
  <c r="AK160" i="120"/>
  <c r="BI158" i="120"/>
  <c r="AJ226" i="120"/>
  <c r="CG260" i="120"/>
  <c r="CJ260" i="120" s="1"/>
  <c r="CJ261" i="120"/>
  <c r="AO265" i="120"/>
  <c r="BG203" i="120"/>
  <c r="CE36" i="120"/>
  <c r="BJ43" i="120"/>
  <c r="CF28" i="120"/>
  <c r="CL156" i="120"/>
  <c r="CF52" i="120"/>
  <c r="CG179" i="120"/>
  <c r="CG180" i="120" s="1"/>
  <c r="CG13" i="120"/>
  <c r="BM241" i="120"/>
  <c r="CL40" i="120"/>
  <c r="CF260" i="120"/>
  <c r="BD240" i="120"/>
  <c r="BJ240" i="120" s="1"/>
  <c r="BJ39" i="120"/>
  <c r="BL260" i="120"/>
  <c r="CJ265" i="120"/>
  <c r="CF122" i="120"/>
  <c r="AL265" i="120"/>
  <c r="BH179" i="120"/>
  <c r="BH180" i="120" s="1"/>
  <c r="BG12" i="120"/>
  <c r="BH13" i="120"/>
  <c r="CE260" i="120"/>
  <c r="BD268" i="120"/>
  <c r="BJ268" i="120" s="1"/>
  <c r="BJ51" i="120"/>
  <c r="BE105" i="120"/>
  <c r="AF105" i="120"/>
  <c r="AL105" i="120" s="1"/>
  <c r="AM105" i="120"/>
  <c r="CI188" i="120"/>
  <c r="CI14" i="120"/>
  <c r="CH21" i="120"/>
  <c r="CH188" i="120" s="1"/>
  <c r="BO98" i="120"/>
  <c r="CN98" i="120" s="1"/>
  <c r="CN105" i="120"/>
  <c r="CH266" i="120"/>
  <c r="CE265" i="120"/>
  <c r="BJ115" i="120"/>
  <c r="BD249" i="120"/>
  <c r="BJ249" i="120" s="1"/>
  <c r="CE122" i="120"/>
  <c r="CL89" i="120"/>
  <c r="BG270" i="120"/>
  <c r="BD266" i="120"/>
  <c r="BJ50" i="120"/>
  <c r="BK201" i="120"/>
  <c r="CI184" i="120"/>
  <c r="CH17" i="120"/>
  <c r="CH184" i="120" s="1"/>
  <c r="BJ63" i="120"/>
  <c r="CL47" i="120"/>
  <c r="CE214" i="120"/>
  <c r="BA231" i="120"/>
  <c r="BA226" i="120"/>
  <c r="BF197" i="120"/>
  <c r="BL197" i="120" s="1"/>
  <c r="BL31" i="120"/>
  <c r="BD31" i="120"/>
  <c r="BI207" i="120"/>
  <c r="BI224" i="120"/>
  <c r="BK187" i="120"/>
  <c r="BJ20" i="120"/>
  <c r="BJ187" i="120" s="1"/>
  <c r="BO210" i="120"/>
  <c r="EO62" i="121" s="1"/>
  <c r="N160" i="120"/>
  <c r="N165" i="120"/>
  <c r="BO52" i="120"/>
  <c r="CN52" i="120" s="1"/>
  <c r="CL44" i="120"/>
  <c r="BE265" i="120"/>
  <c r="BK266" i="120"/>
  <c r="CE208" i="120"/>
  <c r="CL59" i="120"/>
  <c r="BO197" i="120"/>
  <c r="EO49" i="121" s="1"/>
  <c r="EM49" i="121" s="1"/>
  <c r="BM31" i="120"/>
  <c r="BM197" i="120" s="1"/>
  <c r="CL77" i="120"/>
  <c r="AI207" i="120"/>
  <c r="AI224" i="120"/>
  <c r="BE181" i="120"/>
  <c r="BE225" i="120" s="1"/>
  <c r="BK225" i="120" s="1"/>
  <c r="BD14" i="120"/>
  <c r="BD181" i="120" s="1"/>
  <c r="BD225" i="120" s="1"/>
  <c r="BJ225" i="120" s="1"/>
  <c r="CJ14" i="120"/>
  <c r="CJ181" i="120" s="1"/>
  <c r="BG98" i="120"/>
  <c r="BM49" i="120"/>
  <c r="CL49" i="120" s="1"/>
  <c r="BI270" i="120"/>
  <c r="BD129" i="120"/>
  <c r="BJ129" i="120" s="1"/>
  <c r="AC231" i="120"/>
  <c r="AC226" i="120"/>
  <c r="BM118" i="120"/>
  <c r="CL118" i="120" s="1"/>
  <c r="BN105" i="120"/>
  <c r="CF203" i="120"/>
  <c r="BY160" i="120"/>
  <c r="BY165" i="120"/>
  <c r="CN61" i="120"/>
  <c r="CN122" i="120"/>
  <c r="BM67" i="120"/>
  <c r="CL67" i="120" s="1"/>
  <c r="CI265" i="120"/>
  <c r="AO197" i="120"/>
  <c r="BH207" i="120"/>
  <c r="BH224" i="120"/>
  <c r="BY231" i="120"/>
  <c r="BY226" i="120"/>
  <c r="AQ220" i="120"/>
  <c r="CP72" i="121" s="1"/>
  <c r="CY72" i="121" s="1"/>
  <c r="DH72" i="121" s="1"/>
  <c r="DQ72" i="121" s="1"/>
  <c r="DZ72" i="121" s="1"/>
  <c r="BO154" i="120"/>
  <c r="AQ148" i="120"/>
  <c r="CF181" i="120"/>
  <c r="CF225" i="120" s="1"/>
  <c r="CI225" i="120" s="1"/>
  <c r="CE14" i="120"/>
  <c r="CE181" i="120" s="1"/>
  <c r="CE225" i="120" s="1"/>
  <c r="CH225" i="120" s="1"/>
  <c r="CF12" i="120"/>
  <c r="BD222" i="120"/>
  <c r="BJ222" i="120" s="1"/>
  <c r="BJ156" i="120"/>
  <c r="CL76" i="120"/>
  <c r="BK185" i="120"/>
  <c r="BJ18" i="120"/>
  <c r="BJ185" i="120" s="1"/>
  <c r="BA160" i="120"/>
  <c r="BA165" i="120"/>
  <c r="BL136" i="120"/>
  <c r="BD136" i="120"/>
  <c r="BJ136" i="120" s="1"/>
  <c r="BD201" i="120"/>
  <c r="BJ34" i="120"/>
  <c r="AK226" i="120"/>
  <c r="BM250" i="120"/>
  <c r="BM206" i="120"/>
  <c r="BF270" i="120"/>
  <c r="BJ89" i="120"/>
  <c r="BM201" i="120"/>
  <c r="CF98" i="120"/>
  <c r="AI179" i="120"/>
  <c r="AI180" i="120" s="1"/>
  <c r="AI13" i="120"/>
  <c r="BF203" i="120"/>
  <c r="BF207" i="120" s="1"/>
  <c r="BK186" i="120"/>
  <c r="BJ19" i="120"/>
  <c r="BJ186" i="120" s="1"/>
  <c r="BM129" i="120" l="1"/>
  <c r="CL129" i="120" s="1"/>
  <c r="EC68" i="121"/>
  <c r="BA83" i="121"/>
  <c r="BA84" i="121" s="1"/>
  <c r="EL65" i="121"/>
  <c r="EA65" i="121"/>
  <c r="EJ65" i="121" s="1"/>
  <c r="AI165" i="120"/>
  <c r="BG165" i="120" s="1"/>
  <c r="CE165" i="120" s="1"/>
  <c r="BM265" i="120"/>
  <c r="BS82" i="121"/>
  <c r="CF82" i="121"/>
  <c r="EL63" i="121"/>
  <c r="CC74" i="121"/>
  <c r="CL74" i="121" s="1"/>
  <c r="GB69" i="121"/>
  <c r="GK69" i="121" s="1"/>
  <c r="BT83" i="121"/>
  <c r="BT84" i="121" s="1"/>
  <c r="CB74" i="121"/>
  <c r="FF65" i="121"/>
  <c r="FE65" i="121" s="1"/>
  <c r="EV65" i="121"/>
  <c r="FQ82" i="121"/>
  <c r="CD55" i="121"/>
  <c r="DQ62" i="121"/>
  <c r="DZ62" i="121" s="1"/>
  <c r="FP57" i="121"/>
  <c r="FY57" i="121" s="1"/>
  <c r="EB73" i="121"/>
  <c r="EL73" i="121"/>
  <c r="BU83" i="121"/>
  <c r="BU84" i="121" s="1"/>
  <c r="BJ83" i="121"/>
  <c r="BJ84" i="121" s="1"/>
  <c r="GE82" i="121"/>
  <c r="CE76" i="121"/>
  <c r="CE78" i="121" s="1"/>
  <c r="FN63" i="121"/>
  <c r="FW63" i="121" s="1"/>
  <c r="EC57" i="121"/>
  <c r="GB57" i="121" s="1"/>
  <c r="GK57" i="121" s="1"/>
  <c r="AI231" i="120"/>
  <c r="BG231" i="120" s="1"/>
  <c r="BO207" i="120"/>
  <c r="EO59" i="121" s="1"/>
  <c r="EO55" i="121"/>
  <c r="DZ75" i="121"/>
  <c r="EC75" i="121"/>
  <c r="CN36" i="120"/>
  <c r="CL31" i="120"/>
  <c r="CG270" i="120"/>
  <c r="CJ270" i="120" s="1"/>
  <c r="CK74" i="121"/>
  <c r="GM63" i="121"/>
  <c r="G84" i="121"/>
  <c r="AH83" i="121"/>
  <c r="BS89" i="121"/>
  <c r="BS78" i="121"/>
  <c r="BG85" i="121"/>
  <c r="BP86" i="121"/>
  <c r="E83" i="121"/>
  <c r="F84" i="121"/>
  <c r="AG83" i="121"/>
  <c r="FE85" i="121"/>
  <c r="FN86" i="121"/>
  <c r="GE55" i="121"/>
  <c r="EF76" i="121"/>
  <c r="FP56" i="121"/>
  <c r="GB68" i="121"/>
  <c r="GK68" i="121" s="1"/>
  <c r="EL68" i="121"/>
  <c r="CY55" i="121"/>
  <c r="DH55" i="121" s="1"/>
  <c r="EV58" i="121"/>
  <c r="FF58" i="121"/>
  <c r="EV74" i="121"/>
  <c r="FF74" i="121"/>
  <c r="BR59" i="121"/>
  <c r="FO73" i="121"/>
  <c r="FX73" i="121" s="1"/>
  <c r="EA63" i="121"/>
  <c r="CK63" i="121"/>
  <c r="CS84" i="121"/>
  <c r="DT83" i="121"/>
  <c r="DT84" i="121" s="1"/>
  <c r="DA83" i="121"/>
  <c r="CZ82" i="121"/>
  <c r="DR82" i="121" s="1"/>
  <c r="DS82" i="121"/>
  <c r="EK65" i="121"/>
  <c r="EB63" i="121"/>
  <c r="CL63" i="121"/>
  <c r="DF58" i="121"/>
  <c r="DO58" i="121" s="1"/>
  <c r="DP58" i="121"/>
  <c r="DI83" i="121"/>
  <c r="DI84" i="121" s="1"/>
  <c r="DJ84" i="121"/>
  <c r="O84" i="121"/>
  <c r="N83" i="121"/>
  <c r="N84" i="121" s="1"/>
  <c r="DP74" i="121"/>
  <c r="DY74" i="121" s="1"/>
  <c r="DF74" i="121"/>
  <c r="CE81" i="121"/>
  <c r="ED81" i="121" s="1"/>
  <c r="GC81" i="121" s="1"/>
  <c r="FN73" i="121"/>
  <c r="FW73" i="121" s="1"/>
  <c r="DX73" i="121"/>
  <c r="EA73" i="121"/>
  <c r="FN87" i="121"/>
  <c r="FW87" i="121" s="1"/>
  <c r="GM73" i="121"/>
  <c r="AR84" i="121"/>
  <c r="DX87" i="121"/>
  <c r="EA87" i="121"/>
  <c r="EK73" i="121"/>
  <c r="CY59" i="121"/>
  <c r="DH59" i="121" s="1"/>
  <c r="DX14" i="121"/>
  <c r="FS83" i="121"/>
  <c r="FS84" i="121" s="1"/>
  <c r="ER84" i="121"/>
  <c r="EP83" i="121"/>
  <c r="GB67" i="121"/>
  <c r="GK67" i="121" s="1"/>
  <c r="EL67" i="121"/>
  <c r="GB70" i="121"/>
  <c r="GK70" i="121" s="1"/>
  <c r="EL70" i="121"/>
  <c r="AF82" i="121"/>
  <c r="EV85" i="121"/>
  <c r="CM55" i="121"/>
  <c r="CQ83" i="121"/>
  <c r="FI84" i="121"/>
  <c r="FH83" i="121"/>
  <c r="FH84" i="121" s="1"/>
  <c r="FR83" i="121"/>
  <c r="FR84" i="121" s="1"/>
  <c r="DF85" i="121"/>
  <c r="DO86" i="121"/>
  <c r="DZ51" i="121"/>
  <c r="EC51" i="121"/>
  <c r="GB58" i="121"/>
  <c r="GK58" i="121" s="1"/>
  <c r="EL58" i="121"/>
  <c r="FO63" i="121"/>
  <c r="FX63" i="121" s="1"/>
  <c r="GB50" i="121"/>
  <c r="GK50" i="121" s="1"/>
  <c r="FN70" i="121"/>
  <c r="FW70" i="121" s="1"/>
  <c r="EB71" i="121"/>
  <c r="EK71" i="121" s="1"/>
  <c r="CK70" i="121"/>
  <c r="EA70" i="121"/>
  <c r="EB70" i="121"/>
  <c r="FE71" i="121"/>
  <c r="FN71" i="121" s="1"/>
  <c r="FW71" i="121" s="1"/>
  <c r="FO71" i="121"/>
  <c r="FX71" i="121" s="1"/>
  <c r="EA71" i="121"/>
  <c r="GM70" i="121"/>
  <c r="GB48" i="121"/>
  <c r="GK48" i="121" s="1"/>
  <c r="FF49" i="121"/>
  <c r="CM53" i="121"/>
  <c r="DH49" i="121"/>
  <c r="DF49" i="121" s="1"/>
  <c r="CW49" i="121"/>
  <c r="BP49" i="121"/>
  <c r="DY53" i="121"/>
  <c r="EX62" i="121"/>
  <c r="FG62" i="121" s="1"/>
  <c r="AL53" i="121"/>
  <c r="FG53" i="121"/>
  <c r="BP53" i="121"/>
  <c r="DQ53" i="121"/>
  <c r="DF53" i="121"/>
  <c r="CD72" i="121"/>
  <c r="EX49" i="121"/>
  <c r="FG49" i="121" s="1"/>
  <c r="GB64" i="121"/>
  <c r="GK64" i="121" s="1"/>
  <c r="EL64" i="121"/>
  <c r="BZ53" i="121"/>
  <c r="FF53" i="121"/>
  <c r="EV53" i="121"/>
  <c r="CC53" i="121"/>
  <c r="CD66" i="121"/>
  <c r="AN66" i="121"/>
  <c r="BZ49" i="121"/>
  <c r="CC49" i="121"/>
  <c r="CK21" i="121"/>
  <c r="FW14" i="121"/>
  <c r="FZ28" i="121"/>
  <c r="EA37" i="121"/>
  <c r="EJ37" i="121" s="1"/>
  <c r="EJ28" i="121"/>
  <c r="GJ28" i="121"/>
  <c r="GA37" i="121"/>
  <c r="GJ37" i="121" s="1"/>
  <c r="BP77" i="121"/>
  <c r="BY77" i="121" s="1"/>
  <c r="BZ77" i="121"/>
  <c r="BY14" i="121"/>
  <c r="CL14" i="121"/>
  <c r="CB14" i="121"/>
  <c r="CC77" i="121"/>
  <c r="CD77" i="121"/>
  <c r="CM14" i="121"/>
  <c r="AC77" i="121"/>
  <c r="AL77" i="121" s="1"/>
  <c r="AM77" i="121"/>
  <c r="FN77" i="121"/>
  <c r="FW77" i="121" s="1"/>
  <c r="FX77" i="121"/>
  <c r="EJ23" i="121"/>
  <c r="EL21" i="121"/>
  <c r="EC14" i="121"/>
  <c r="AL14" i="121"/>
  <c r="EA21" i="121"/>
  <c r="EK21" i="121"/>
  <c r="EB14" i="121"/>
  <c r="GM77" i="121"/>
  <c r="FY77" i="121"/>
  <c r="DO77" i="121"/>
  <c r="DX77" i="121" s="1"/>
  <c r="DY77" i="121"/>
  <c r="DZ77" i="121"/>
  <c r="CN154" i="120"/>
  <c r="CF207" i="120"/>
  <c r="CF224" i="120"/>
  <c r="AI226" i="120"/>
  <c r="BD197" i="120"/>
  <c r="BJ197" i="120" s="1"/>
  <c r="BJ31" i="120"/>
  <c r="BJ201" i="120"/>
  <c r="AQ214" i="120"/>
  <c r="CP66" i="121" s="1"/>
  <c r="BF148" i="120"/>
  <c r="CF270" i="120"/>
  <c r="BM105" i="120"/>
  <c r="CL105" i="120" s="1"/>
  <c r="BL270" i="120"/>
  <c r="CE98" i="120"/>
  <c r="BI226" i="120"/>
  <c r="CM105" i="120"/>
  <c r="BD265" i="120"/>
  <c r="BJ266" i="120"/>
  <c r="BG179" i="120"/>
  <c r="BG180" i="120" s="1"/>
  <c r="BG13" i="120"/>
  <c r="BD159" i="120"/>
  <c r="BJ159" i="120" s="1"/>
  <c r="CC159" i="120"/>
  <c r="BK159" i="120"/>
  <c r="BG158" i="120"/>
  <c r="AI160" i="120"/>
  <c r="CH265" i="120"/>
  <c r="CE270" i="120"/>
  <c r="BK265" i="120"/>
  <c r="BL203" i="120"/>
  <c r="CI181" i="120"/>
  <c r="CH14" i="120"/>
  <c r="CH181" i="120" s="1"/>
  <c r="BD105" i="120"/>
  <c r="BJ105" i="120" s="1"/>
  <c r="BK105" i="120"/>
  <c r="BG207" i="120"/>
  <c r="BG224" i="120"/>
  <c r="BI160" i="120"/>
  <c r="CG158" i="120"/>
  <c r="BH160" i="120"/>
  <c r="CF158" i="120"/>
  <c r="CE203" i="120"/>
  <c r="BO220" i="120"/>
  <c r="EO72" i="121" s="1"/>
  <c r="BO148" i="120"/>
  <c r="BH226" i="120"/>
  <c r="CF179" i="120"/>
  <c r="CF180" i="120" s="1"/>
  <c r="CE12" i="120"/>
  <c r="CF13" i="120"/>
  <c r="BL207" i="120"/>
  <c r="BK181" i="120"/>
  <c r="BJ14" i="120"/>
  <c r="BJ181" i="120" s="1"/>
  <c r="CG207" i="120"/>
  <c r="CJ207" i="120" s="1"/>
  <c r="CJ203" i="120"/>
  <c r="CG224" i="120"/>
  <c r="CE82" i="121" l="1"/>
  <c r="ED82" i="121" s="1"/>
  <c r="GC82" i="121" s="1"/>
  <c r="CE89" i="121"/>
  <c r="EE82" i="121"/>
  <c r="GD82" i="121" s="1"/>
  <c r="FO65" i="121"/>
  <c r="FX65" i="121" s="1"/>
  <c r="EC62" i="121"/>
  <c r="GM65" i="121"/>
  <c r="FN65" i="121"/>
  <c r="EL57" i="121"/>
  <c r="BS83" i="121"/>
  <c r="BS84" i="121" s="1"/>
  <c r="GM71" i="121"/>
  <c r="DQ59" i="121"/>
  <c r="DZ59" i="121" s="1"/>
  <c r="DQ55" i="121"/>
  <c r="DZ55" i="121" s="1"/>
  <c r="DY58" i="121"/>
  <c r="EB58" i="121"/>
  <c r="EX55" i="121"/>
  <c r="FG55" i="121" s="1"/>
  <c r="GA63" i="121"/>
  <c r="GJ63" i="121" s="1"/>
  <c r="EK63" i="121"/>
  <c r="FZ63" i="121"/>
  <c r="GI63" i="121" s="1"/>
  <c r="EJ63" i="121"/>
  <c r="FY56" i="121"/>
  <c r="GB56" i="121"/>
  <c r="GK56" i="121" s="1"/>
  <c r="FN85" i="121"/>
  <c r="FW85" i="121" s="1"/>
  <c r="FW86" i="121"/>
  <c r="E84" i="121"/>
  <c r="AF83" i="121"/>
  <c r="DA84" i="121"/>
  <c r="CZ83" i="121"/>
  <c r="CZ84" i="121" s="1"/>
  <c r="DS83" i="121"/>
  <c r="DS84" i="121" s="1"/>
  <c r="EF78" i="121"/>
  <c r="ED76" i="121"/>
  <c r="DR83" i="121"/>
  <c r="DR84" i="121" s="1"/>
  <c r="CQ84" i="121"/>
  <c r="FQ83" i="121"/>
  <c r="FQ84" i="121" s="1"/>
  <c r="EP84" i="121"/>
  <c r="GA73" i="121"/>
  <c r="GJ73" i="121" s="1"/>
  <c r="DX58" i="121"/>
  <c r="EA58" i="121"/>
  <c r="CA59" i="121"/>
  <c r="CD59" i="121"/>
  <c r="FE58" i="121"/>
  <c r="FN58" i="121" s="1"/>
  <c r="FW58" i="121" s="1"/>
  <c r="FO58" i="121"/>
  <c r="FX58" i="121" s="1"/>
  <c r="GE76" i="121"/>
  <c r="AG84" i="121"/>
  <c r="CF83" i="121"/>
  <c r="EB74" i="121"/>
  <c r="EX59" i="121"/>
  <c r="FG59" i="121" s="1"/>
  <c r="DO85" i="121"/>
  <c r="DX85" i="121" s="1"/>
  <c r="DX86" i="121"/>
  <c r="FZ73" i="121"/>
  <c r="GI73" i="121" s="1"/>
  <c r="EJ73" i="121"/>
  <c r="DO74" i="121"/>
  <c r="BP85" i="121"/>
  <c r="BY85" i="121" s="1"/>
  <c r="BY86" i="121"/>
  <c r="CB86" i="121"/>
  <c r="AH84" i="121"/>
  <c r="CG83" i="121"/>
  <c r="GB51" i="121"/>
  <c r="GK51" i="121" s="1"/>
  <c r="EL51" i="121"/>
  <c r="FZ87" i="121"/>
  <c r="GI87" i="121" s="1"/>
  <c r="EJ87" i="121"/>
  <c r="FE74" i="121"/>
  <c r="FN74" i="121" s="1"/>
  <c r="FW74" i="121" s="1"/>
  <c r="FO74" i="121"/>
  <c r="FX74" i="121" s="1"/>
  <c r="GB75" i="121"/>
  <c r="GK75" i="121" s="1"/>
  <c r="EL75" i="121"/>
  <c r="EJ21" i="121"/>
  <c r="FP49" i="121"/>
  <c r="FY49" i="121" s="1"/>
  <c r="GA71" i="121"/>
  <c r="GJ71" i="121" s="1"/>
  <c r="GA70" i="121"/>
  <c r="GJ70" i="121" s="1"/>
  <c r="EK70" i="121"/>
  <c r="EJ70" i="121"/>
  <c r="FZ70" i="121"/>
  <c r="GI70" i="121" s="1"/>
  <c r="EJ71" i="121"/>
  <c r="FZ71" i="121"/>
  <c r="GI71" i="121" s="1"/>
  <c r="FP62" i="121"/>
  <c r="FY62" i="121" s="1"/>
  <c r="EV49" i="121"/>
  <c r="FE49" i="121"/>
  <c r="FO49" i="121"/>
  <c r="FX49" i="121" s="1"/>
  <c r="EL62" i="121"/>
  <c r="DO53" i="121"/>
  <c r="CY66" i="121"/>
  <c r="DH66" i="121" s="1"/>
  <c r="EB49" i="121"/>
  <c r="CL49" i="121"/>
  <c r="BY49" i="121"/>
  <c r="CB49" i="121"/>
  <c r="CL53" i="121"/>
  <c r="EB53" i="121"/>
  <c r="CM72" i="121"/>
  <c r="EC72" i="121"/>
  <c r="EX72" i="121"/>
  <c r="FG72" i="121" s="1"/>
  <c r="DQ49" i="121"/>
  <c r="BY53" i="121"/>
  <c r="CM66" i="121"/>
  <c r="FE53" i="121"/>
  <c r="FN53" i="121" s="1"/>
  <c r="FW53" i="121" s="1"/>
  <c r="FO53" i="121"/>
  <c r="DZ53" i="121"/>
  <c r="FP53" i="121"/>
  <c r="FY53" i="121" s="1"/>
  <c r="CB53" i="121"/>
  <c r="DO49" i="121"/>
  <c r="DX49" i="121" s="1"/>
  <c r="EC53" i="121"/>
  <c r="FZ37" i="121"/>
  <c r="GI37" i="121" s="1"/>
  <c r="GI28" i="121"/>
  <c r="EK14" i="121"/>
  <c r="EA14" i="121"/>
  <c r="EA77" i="121" s="1"/>
  <c r="EJ77" i="121" s="1"/>
  <c r="EB77" i="121"/>
  <c r="EK77" i="121" s="1"/>
  <c r="EC77" i="121"/>
  <c r="EL14" i="121"/>
  <c r="CM77" i="121"/>
  <c r="CL77" i="121"/>
  <c r="CB77" i="121"/>
  <c r="CK77" i="121" s="1"/>
  <c r="CK14" i="121"/>
  <c r="BO214" i="120"/>
  <c r="EO66" i="121" s="1"/>
  <c r="BG226" i="120"/>
  <c r="BG160" i="120"/>
  <c r="CE158" i="120"/>
  <c r="BF214" i="120"/>
  <c r="BL148" i="120"/>
  <c r="CG226" i="120"/>
  <c r="CG160" i="120"/>
  <c r="BJ265" i="120"/>
  <c r="CN148" i="120"/>
  <c r="CE179" i="120"/>
  <c r="CE180" i="120" s="1"/>
  <c r="CE13" i="120"/>
  <c r="CE207" i="120"/>
  <c r="CE224" i="120"/>
  <c r="CB159" i="120"/>
  <c r="CI159" i="120"/>
  <c r="CE231" i="120"/>
  <c r="CF160" i="120"/>
  <c r="CF226" i="120"/>
  <c r="GA65" i="121" l="1"/>
  <c r="GJ65" i="121" s="1"/>
  <c r="FW65" i="121"/>
  <c r="FZ65" i="121"/>
  <c r="GI65" i="121" s="1"/>
  <c r="GB62" i="121"/>
  <c r="GK62" i="121" s="1"/>
  <c r="FP59" i="121"/>
  <c r="FY59" i="121" s="1"/>
  <c r="EC55" i="121"/>
  <c r="EL55" i="121" s="1"/>
  <c r="FP72" i="121"/>
  <c r="FY72" i="121" s="1"/>
  <c r="GM49" i="121"/>
  <c r="GM58" i="121"/>
  <c r="CB85" i="121"/>
  <c r="CK85" i="121" s="1"/>
  <c r="EA86" i="121"/>
  <c r="CK86" i="121"/>
  <c r="GM74" i="121"/>
  <c r="EE83" i="121"/>
  <c r="CF84" i="121"/>
  <c r="FZ58" i="121"/>
  <c r="GI58" i="121" s="1"/>
  <c r="EJ58" i="121"/>
  <c r="AF84" i="121"/>
  <c r="CE83" i="121"/>
  <c r="FP55" i="121"/>
  <c r="FY55" i="121" s="1"/>
  <c r="CG84" i="121"/>
  <c r="EF83" i="121"/>
  <c r="GE78" i="121"/>
  <c r="GC76" i="121"/>
  <c r="EC59" i="121"/>
  <c r="CM59" i="121"/>
  <c r="GA58" i="121"/>
  <c r="GJ58" i="121" s="1"/>
  <c r="EK58" i="121"/>
  <c r="DX74" i="121"/>
  <c r="EA74" i="121"/>
  <c r="GA74" i="121"/>
  <c r="GJ74" i="121" s="1"/>
  <c r="EK74" i="121"/>
  <c r="ED89" i="121"/>
  <c r="ED78" i="121"/>
  <c r="FN49" i="121"/>
  <c r="FW49" i="121" s="1"/>
  <c r="CK53" i="121"/>
  <c r="EA53" i="121"/>
  <c r="FX53" i="121"/>
  <c r="GB53" i="121"/>
  <c r="EL53" i="121"/>
  <c r="DZ49" i="121"/>
  <c r="EC49" i="121"/>
  <c r="EL72" i="121"/>
  <c r="GA49" i="121"/>
  <c r="GJ49" i="121" s="1"/>
  <c r="EK49" i="121"/>
  <c r="DX53" i="121"/>
  <c r="EX66" i="121"/>
  <c r="FG66" i="121" s="1"/>
  <c r="EK53" i="121"/>
  <c r="GA53" i="121"/>
  <c r="GM53" i="121"/>
  <c r="EA49" i="121"/>
  <c r="CK49" i="121"/>
  <c r="DQ66" i="121"/>
  <c r="EL77" i="121"/>
  <c r="EJ14" i="121"/>
  <c r="CE160" i="120"/>
  <c r="CH159" i="120"/>
  <c r="CE226" i="120"/>
  <c r="BL214" i="120"/>
  <c r="GB72" i="121" l="1"/>
  <c r="GK72" i="121" s="1"/>
  <c r="GB55" i="121"/>
  <c r="GK55" i="121" s="1"/>
  <c r="GC89" i="121"/>
  <c r="GC78" i="121"/>
  <c r="CE84" i="121"/>
  <c r="ED83" i="121"/>
  <c r="FZ86" i="121"/>
  <c r="EA85" i="121"/>
  <c r="EJ85" i="121" s="1"/>
  <c r="EJ86" i="121"/>
  <c r="FZ74" i="121"/>
  <c r="GI74" i="121" s="1"/>
  <c r="EJ74" i="121"/>
  <c r="GE83" i="121"/>
  <c r="GE84" i="121" s="1"/>
  <c r="EF84" i="121"/>
  <c r="GD83" i="121"/>
  <c r="GD84" i="121" s="1"/>
  <c r="EE84" i="121"/>
  <c r="GB59" i="121"/>
  <c r="GK59" i="121" s="1"/>
  <c r="EL59" i="121"/>
  <c r="FP66" i="121"/>
  <c r="FY66" i="121" s="1"/>
  <c r="GK53" i="121"/>
  <c r="DZ66" i="121"/>
  <c r="EC66" i="121"/>
  <c r="FZ49" i="121"/>
  <c r="GI49" i="121" s="1"/>
  <c r="EJ49" i="121"/>
  <c r="EJ53" i="121"/>
  <c r="FZ53" i="121"/>
  <c r="GB49" i="121"/>
  <c r="GK49" i="121" s="1"/>
  <c r="EL49" i="121"/>
  <c r="GJ53" i="121"/>
  <c r="GC83" i="121" l="1"/>
  <c r="GC84" i="121" s="1"/>
  <c r="ED84" i="121"/>
  <c r="FZ85" i="121"/>
  <c r="GI85" i="121" s="1"/>
  <c r="GI86" i="121"/>
  <c r="GB66" i="121"/>
  <c r="GK66" i="121" s="1"/>
  <c r="EL66" i="121"/>
  <c r="GI53" i="121"/>
  <c r="BB33" i="66"/>
  <c r="BI37" i="65"/>
  <c r="BH64" i="65"/>
  <c r="BH59" i="65"/>
  <c r="BH46" i="65"/>
  <c r="BH40" i="65"/>
  <c r="BI40" i="65" s="1"/>
  <c r="BB32" i="64"/>
  <c r="BX41" i="61"/>
  <c r="BX39" i="61"/>
  <c r="BX38" i="61"/>
  <c r="BX21" i="61"/>
  <c r="BX20" i="61"/>
  <c r="BW65" i="61"/>
  <c r="BW60" i="61"/>
  <c r="BW46" i="61"/>
  <c r="BW26" i="61"/>
  <c r="BW25" i="61"/>
  <c r="EF62" i="7"/>
  <c r="BW19" i="61" s="1"/>
  <c r="EF44" i="7" l="1"/>
  <c r="EE70" i="7" l="1"/>
  <c r="EE69" i="7"/>
  <c r="EE68" i="7"/>
  <c r="EE67" i="7"/>
  <c r="EE65" i="7"/>
  <c r="EE64" i="7"/>
  <c r="EE63" i="7"/>
  <c r="EE62" i="7"/>
  <c r="EE61" i="7"/>
  <c r="EE58" i="7"/>
  <c r="EE57" i="7"/>
  <c r="EE55" i="7"/>
  <c r="EE49" i="7"/>
  <c r="EE44" i="7"/>
  <c r="EG43" i="7"/>
  <c r="EE40" i="7"/>
  <c r="EE37" i="7"/>
  <c r="EG35" i="7"/>
  <c r="EE32" i="7"/>
  <c r="EE30" i="7"/>
  <c r="EG27" i="7"/>
  <c r="EE24" i="7"/>
  <c r="EE21" i="7"/>
  <c r="EG17" i="7"/>
  <c r="EE14" i="7"/>
  <c r="EE11" i="7"/>
  <c r="EL118" i="8"/>
  <c r="EK118" i="8"/>
  <c r="EJ118" i="8" s="1"/>
  <c r="EL117" i="8"/>
  <c r="EK117" i="8"/>
  <c r="EL116" i="8"/>
  <c r="EL128" i="8"/>
  <c r="EK128" i="8"/>
  <c r="EJ128" i="8"/>
  <c r="EL125" i="8"/>
  <c r="EK125" i="8"/>
  <c r="EJ125" i="8"/>
  <c r="EJ122" i="8"/>
  <c r="EL115" i="8"/>
  <c r="EK115" i="8"/>
  <c r="EL114" i="8"/>
  <c r="EK114" i="8"/>
  <c r="EL113" i="8"/>
  <c r="EK113" i="8"/>
  <c r="EL112" i="8"/>
  <c r="EL111" i="8"/>
  <c r="EK111" i="8"/>
  <c r="EL110" i="8"/>
  <c r="EK110" i="8"/>
  <c r="EL109" i="8"/>
  <c r="EL108" i="8"/>
  <c r="EK107" i="8"/>
  <c r="BH17" i="65" s="1"/>
  <c r="EL106" i="8"/>
  <c r="EL105" i="8"/>
  <c r="EL103" i="8"/>
  <c r="EL102" i="8"/>
  <c r="EL101" i="8"/>
  <c r="EK101" i="8"/>
  <c r="EL99" i="8"/>
  <c r="EL97" i="8"/>
  <c r="BB23" i="66" s="1"/>
  <c r="EK50" i="8"/>
  <c r="EK108" i="8" s="1"/>
  <c r="BH16" i="65" s="1"/>
  <c r="EK48" i="8"/>
  <c r="EJ60" i="8"/>
  <c r="EJ59" i="8"/>
  <c r="EJ57" i="8"/>
  <c r="EJ115" i="8" s="1"/>
  <c r="EJ56" i="8"/>
  <c r="EJ114" i="8" s="1"/>
  <c r="EJ55" i="8"/>
  <c r="EJ113" i="8" s="1"/>
  <c r="EJ53" i="8"/>
  <c r="EJ111" i="8" s="1"/>
  <c r="EJ52" i="8"/>
  <c r="EJ110" i="8" s="1"/>
  <c r="EJ50" i="8"/>
  <c r="EJ108" i="8" s="1"/>
  <c r="EJ49" i="8"/>
  <c r="EJ107" i="8" s="1"/>
  <c r="EL46" i="8"/>
  <c r="CD114" i="122" s="1"/>
  <c r="EJ45" i="8"/>
  <c r="EL44" i="8"/>
  <c r="CD113" i="122" s="1"/>
  <c r="EL43" i="8"/>
  <c r="CD112" i="122" s="1"/>
  <c r="EJ39" i="8"/>
  <c r="EJ36" i="8"/>
  <c r="EL34" i="8"/>
  <c r="CD94" i="122" s="1"/>
  <c r="CJ94" i="122" s="1"/>
  <c r="EJ30" i="8"/>
  <c r="EL27" i="8"/>
  <c r="CD75" i="122" s="1"/>
  <c r="CJ75" i="122" s="1"/>
  <c r="EJ24" i="8"/>
  <c r="EJ21" i="8"/>
  <c r="EJ14" i="8"/>
  <c r="EJ101" i="8" s="1"/>
  <c r="EJ11" i="8"/>
  <c r="EL8" i="8"/>
  <c r="CD21" i="122" s="1"/>
  <c r="CJ21" i="122" s="1"/>
  <c r="AT42" i="95"/>
  <c r="AT26" i="95"/>
  <c r="AT17" i="95"/>
  <c r="AS33" i="98"/>
  <c r="AS18" i="98"/>
  <c r="ES36" i="17"/>
  <c r="EL23" i="8" s="1"/>
  <c r="CD46" i="122" s="1"/>
  <c r="EQ35" i="17"/>
  <c r="EQ34" i="17"/>
  <c r="EQ33" i="17"/>
  <c r="EQ32" i="17"/>
  <c r="ES30" i="17"/>
  <c r="EG13" i="7" s="1"/>
  <c r="EQ28" i="17"/>
  <c r="EQ27" i="17"/>
  <c r="EQ26" i="17"/>
  <c r="EQ25" i="17"/>
  <c r="AC59" i="96"/>
  <c r="AC58" i="96"/>
  <c r="AC49" i="96"/>
  <c r="AC48" i="96"/>
  <c r="AC45" i="96"/>
  <c r="AC7" i="96"/>
  <c r="O59" i="143"/>
  <c r="O47" i="143"/>
  <c r="O35" i="143"/>
  <c r="O23" i="143"/>
  <c r="O11" i="143"/>
  <c r="Q8" i="143"/>
  <c r="O8" i="143"/>
  <c r="P7" i="143"/>
  <c r="P8" i="143" s="1"/>
  <c r="B60" i="143"/>
  <c r="B59" i="143"/>
  <c r="B58" i="143"/>
  <c r="B57" i="143"/>
  <c r="B56" i="143"/>
  <c r="B55" i="143"/>
  <c r="B54" i="143"/>
  <c r="B53" i="143"/>
  <c r="B52" i="143"/>
  <c r="B51" i="143"/>
  <c r="B50" i="143"/>
  <c r="B49" i="143"/>
  <c r="B48" i="143"/>
  <c r="B47" i="143"/>
  <c r="B46" i="143"/>
  <c r="B45" i="143"/>
  <c r="B44" i="143"/>
  <c r="B43" i="143"/>
  <c r="B42" i="143"/>
  <c r="B41" i="143"/>
  <c r="B40" i="143"/>
  <c r="B39" i="143"/>
  <c r="B38" i="143"/>
  <c r="B37" i="143"/>
  <c r="B36" i="143"/>
  <c r="B35" i="143"/>
  <c r="B34" i="143"/>
  <c r="B33" i="143"/>
  <c r="B32" i="143"/>
  <c r="B31" i="143"/>
  <c r="B30" i="143"/>
  <c r="B29" i="143"/>
  <c r="B28" i="143"/>
  <c r="B27" i="143"/>
  <c r="B26" i="143"/>
  <c r="B25" i="143"/>
  <c r="B24" i="143"/>
  <c r="B23" i="143"/>
  <c r="B22" i="143"/>
  <c r="B21" i="143"/>
  <c r="B20" i="143"/>
  <c r="B19" i="143"/>
  <c r="B18" i="143"/>
  <c r="B17" i="143"/>
  <c r="B16" i="143"/>
  <c r="B15" i="143"/>
  <c r="B14" i="143"/>
  <c r="B13" i="143"/>
  <c r="B12" i="143"/>
  <c r="B11" i="143"/>
  <c r="B10" i="143"/>
  <c r="B9" i="143"/>
  <c r="B8" i="143"/>
  <c r="C7" i="143"/>
  <c r="C8" i="143" s="1"/>
  <c r="C9" i="143" s="1"/>
  <c r="C10" i="143" s="1"/>
  <c r="C11" i="143" s="1"/>
  <c r="C12" i="143" s="1"/>
  <c r="C13" i="143" s="1"/>
  <c r="C14" i="143" s="1"/>
  <c r="C15" i="143" s="1"/>
  <c r="C16" i="143" s="1"/>
  <c r="C17" i="143" s="1"/>
  <c r="C18" i="143" s="1"/>
  <c r="C19" i="143" s="1"/>
  <c r="C20" i="143" s="1"/>
  <c r="C21" i="143" s="1"/>
  <c r="C22" i="143" s="1"/>
  <c r="C23" i="143" s="1"/>
  <c r="C24" i="143" s="1"/>
  <c r="C25" i="143" s="1"/>
  <c r="C26" i="143" s="1"/>
  <c r="C27" i="143" s="1"/>
  <c r="C28" i="143" s="1"/>
  <c r="C29" i="143" s="1"/>
  <c r="C30" i="143" s="1"/>
  <c r="C31" i="143" s="1"/>
  <c r="C32" i="143" s="1"/>
  <c r="C33" i="143" s="1"/>
  <c r="C34" i="143" s="1"/>
  <c r="C35" i="143" s="1"/>
  <c r="C36" i="143" s="1"/>
  <c r="C37" i="143" s="1"/>
  <c r="C38" i="143" s="1"/>
  <c r="C39" i="143" s="1"/>
  <c r="C40" i="143" s="1"/>
  <c r="C41" i="143" s="1"/>
  <c r="C42" i="143" s="1"/>
  <c r="C43" i="143" s="1"/>
  <c r="C44" i="143" s="1"/>
  <c r="C45" i="143" s="1"/>
  <c r="C46" i="143" s="1"/>
  <c r="C47" i="143" s="1"/>
  <c r="C48" i="143" s="1"/>
  <c r="C49" i="143" s="1"/>
  <c r="C50" i="143" s="1"/>
  <c r="C51" i="143" s="1"/>
  <c r="C52" i="143" s="1"/>
  <c r="C53" i="143" s="1"/>
  <c r="C54" i="143" s="1"/>
  <c r="C55" i="143" s="1"/>
  <c r="C56" i="143" s="1"/>
  <c r="C57" i="143" s="1"/>
  <c r="C58" i="143" s="1"/>
  <c r="C59" i="143" s="1"/>
  <c r="C60" i="143" s="1"/>
  <c r="N3" i="143"/>
  <c r="M3" i="143"/>
  <c r="L3" i="143"/>
  <c r="K3" i="143"/>
  <c r="N2" i="143"/>
  <c r="M2" i="143"/>
  <c r="L2" i="143"/>
  <c r="K2" i="143"/>
  <c r="D2" i="143"/>
  <c r="D1" i="143"/>
  <c r="V5" i="143" s="1"/>
  <c r="Z36" i="111"/>
  <c r="EK37" i="8" s="1"/>
  <c r="Z34" i="111"/>
  <c r="EK22" i="8" s="1"/>
  <c r="CC45" i="122" s="1"/>
  <c r="Z33" i="111"/>
  <c r="EK12" i="8" s="1"/>
  <c r="Z31" i="111"/>
  <c r="EF38" i="7" s="1"/>
  <c r="Z29" i="111"/>
  <c r="EF46" i="7" s="1"/>
  <c r="CC66" i="120" s="1"/>
  <c r="CB66" i="120" s="1"/>
  <c r="CH66" i="120" s="1"/>
  <c r="Z28" i="111"/>
  <c r="EF22" i="7" s="1"/>
  <c r="Z27" i="111"/>
  <c r="U55" i="97"/>
  <c r="U52" i="97"/>
  <c r="U51" i="97"/>
  <c r="U47" i="97"/>
  <c r="U46" i="97"/>
  <c r="U45" i="97"/>
  <c r="U12" i="103"/>
  <c r="CC34" i="122" s="1"/>
  <c r="BM45" i="5"/>
  <c r="BM44" i="5"/>
  <c r="BM43" i="5"/>
  <c r="BM42" i="5"/>
  <c r="BM36" i="5"/>
  <c r="BM35" i="5"/>
  <c r="BM33" i="5"/>
  <c r="BM31" i="5"/>
  <c r="BM25" i="5"/>
  <c r="BM22" i="5"/>
  <c r="BM17" i="5"/>
  <c r="BH44" i="6"/>
  <c r="BH43" i="6"/>
  <c r="BH41" i="6"/>
  <c r="BH31" i="6"/>
  <c r="FN15" i="19"/>
  <c r="FM15" i="19"/>
  <c r="AJ7" i="102"/>
  <c r="EF60" i="7" s="1"/>
  <c r="EE60" i="7" s="1"/>
  <c r="AI36" i="104"/>
  <c r="AI35" i="104"/>
  <c r="AI34" i="104"/>
  <c r="AI20" i="104"/>
  <c r="AI17" i="104"/>
  <c r="CB66" i="32"/>
  <c r="CB64" i="32"/>
  <c r="CB62" i="32"/>
  <c r="CD62" i="32" s="1"/>
  <c r="CC67" i="32"/>
  <c r="CC64" i="32"/>
  <c r="CC68" i="32" s="1"/>
  <c r="CC65" i="32" l="1"/>
  <c r="CD64" i="32"/>
  <c r="EJ117" i="8"/>
  <c r="CC57" i="120"/>
  <c r="C57" i="120" s="1"/>
  <c r="EE22" i="7"/>
  <c r="CD33" i="120"/>
  <c r="CD200" i="120" s="1"/>
  <c r="EG15" i="7"/>
  <c r="EE46" i="7"/>
  <c r="AI39" i="104"/>
  <c r="EK51" i="8"/>
  <c r="EJ51" i="8" s="1"/>
  <c r="EJ109" i="8" s="1"/>
  <c r="CI66" i="120"/>
  <c r="CB34" i="122"/>
  <c r="CH34" i="122" s="1"/>
  <c r="C34" i="122"/>
  <c r="CI34" i="122"/>
  <c r="EF12" i="7"/>
  <c r="C66" i="120"/>
  <c r="B66" i="120" s="1"/>
  <c r="CC78" i="120"/>
  <c r="BW18" i="61"/>
  <c r="EL100" i="8"/>
  <c r="D112" i="122"/>
  <c r="CD167" i="122"/>
  <c r="CJ167" i="122" s="1"/>
  <c r="CJ112" i="122"/>
  <c r="C45" i="122"/>
  <c r="CB45" i="122"/>
  <c r="CH45" i="122" s="1"/>
  <c r="CI45" i="122"/>
  <c r="CD168" i="122"/>
  <c r="CJ168" i="122" s="1"/>
  <c r="D113" i="122"/>
  <c r="CJ113" i="122"/>
  <c r="EJ37" i="8"/>
  <c r="CC97" i="122"/>
  <c r="EJ22" i="8"/>
  <c r="CD158" i="122"/>
  <c r="CD48" i="122"/>
  <c r="CJ48" i="122" s="1"/>
  <c r="D46" i="122"/>
  <c r="CJ46" i="122"/>
  <c r="CD169" i="122"/>
  <c r="CJ169" i="122" s="1"/>
  <c r="D114" i="122"/>
  <c r="CJ114" i="122"/>
  <c r="EJ12" i="8"/>
  <c r="CC25" i="122"/>
  <c r="EJ48" i="8"/>
  <c r="EJ106" i="8" s="1"/>
  <c r="CC123" i="122"/>
  <c r="EK106" i="8"/>
  <c r="CJ33" i="120"/>
  <c r="EE38" i="7"/>
  <c r="CC125" i="120"/>
  <c r="EL25" i="8"/>
  <c r="EL42" i="8"/>
  <c r="EQ31" i="17"/>
  <c r="AC47" i="96"/>
  <c r="AC50" i="96" s="1"/>
  <c r="AC57" i="96"/>
  <c r="AC60" i="96" s="1"/>
  <c r="P9" i="143"/>
  <c r="Q9" i="143" s="1"/>
  <c r="R8" i="143"/>
  <c r="F8" i="143"/>
  <c r="G7" i="143"/>
  <c r="K7" i="143"/>
  <c r="I8" i="143" s="1"/>
  <c r="CJ63" i="3"/>
  <c r="CI63" i="3"/>
  <c r="CI57" i="3"/>
  <c r="CJ49" i="3"/>
  <c r="CJ44" i="3"/>
  <c r="CJ39" i="3" s="1"/>
  <c r="CI43" i="3"/>
  <c r="CI39" i="3"/>
  <c r="AG33" i="105"/>
  <c r="AG36" i="105" s="1"/>
  <c r="EK46" i="8" s="1"/>
  <c r="CC114" i="122" s="1"/>
  <c r="CC169" i="122" s="1"/>
  <c r="CI169" i="122" s="1"/>
  <c r="AF33" i="105"/>
  <c r="AF36" i="105" s="1"/>
  <c r="AG27" i="105"/>
  <c r="AF27" i="105"/>
  <c r="AG26" i="105"/>
  <c r="AF26" i="105"/>
  <c r="AG19" i="105"/>
  <c r="AF19" i="105"/>
  <c r="AG14" i="105"/>
  <c r="AF14" i="105"/>
  <c r="AG6" i="105"/>
  <c r="AF6" i="105"/>
  <c r="AE31" i="105"/>
  <c r="AE6" i="105"/>
  <c r="CI57" i="120" l="1"/>
  <c r="CB57" i="120"/>
  <c r="CH57" i="120" s="1"/>
  <c r="R66" i="120"/>
  <c r="Q66" i="120" s="1"/>
  <c r="D33" i="120"/>
  <c r="AG25" i="105"/>
  <c r="EK109" i="8"/>
  <c r="BH14" i="65" s="1"/>
  <c r="CD35" i="120"/>
  <c r="CJ35" i="120" s="1"/>
  <c r="EJ46" i="8"/>
  <c r="CI114" i="122"/>
  <c r="C216" i="122"/>
  <c r="C227" i="122" s="1"/>
  <c r="R34" i="122"/>
  <c r="C29" i="122"/>
  <c r="B34" i="122"/>
  <c r="B216" i="122" s="1"/>
  <c r="B227" i="122" s="1"/>
  <c r="AG34" i="122"/>
  <c r="CD11" i="122"/>
  <c r="BB37" i="66"/>
  <c r="AS12" i="98"/>
  <c r="EL120" i="8"/>
  <c r="EL62" i="8" s="1"/>
  <c r="BB36" i="64"/>
  <c r="EG167" i="7"/>
  <c r="EG72" i="7" s="1"/>
  <c r="CC32" i="120"/>
  <c r="EE12" i="7"/>
  <c r="BH45" i="65"/>
  <c r="AS11" i="98"/>
  <c r="EK120" i="8"/>
  <c r="CI49" i="3"/>
  <c r="BW45" i="61" s="1"/>
  <c r="CB63" i="32"/>
  <c r="CC245" i="120"/>
  <c r="CI245" i="120" s="1"/>
  <c r="C78" i="120"/>
  <c r="CI78" i="120"/>
  <c r="CB78" i="120"/>
  <c r="CB114" i="122"/>
  <c r="CH114" i="122" s="1"/>
  <c r="AF25" i="105"/>
  <c r="C114" i="122"/>
  <c r="C169" i="122" s="1"/>
  <c r="C51" i="123" s="1"/>
  <c r="CB25" i="122"/>
  <c r="C25" i="122"/>
  <c r="CI25" i="122"/>
  <c r="D169" i="122"/>
  <c r="D51" i="123" s="1"/>
  <c r="S114" i="122"/>
  <c r="S169" i="122" s="1"/>
  <c r="AQ51" i="123" s="1"/>
  <c r="CD160" i="122"/>
  <c r="CJ160" i="122" s="1"/>
  <c r="CJ158" i="122"/>
  <c r="CB169" i="122"/>
  <c r="CH169" i="122" s="1"/>
  <c r="C97" i="122"/>
  <c r="CB97" i="122"/>
  <c r="CH97" i="122" s="1"/>
  <c r="CI97" i="122"/>
  <c r="R45" i="122"/>
  <c r="Q45" i="122" s="1"/>
  <c r="B45" i="122"/>
  <c r="D167" i="122"/>
  <c r="D49" i="123" s="1"/>
  <c r="S112" i="122"/>
  <c r="D111" i="122"/>
  <c r="CD111" i="122"/>
  <c r="EL104" i="8"/>
  <c r="BB17" i="66" s="1"/>
  <c r="CC178" i="122"/>
  <c r="CI178" i="122" s="1"/>
  <c r="CB123" i="122"/>
  <c r="C123" i="122"/>
  <c r="CI123" i="122"/>
  <c r="R114" i="122"/>
  <c r="D158" i="122"/>
  <c r="D48" i="122"/>
  <c r="S46" i="122"/>
  <c r="AH46" i="122" s="1"/>
  <c r="D168" i="122"/>
  <c r="D50" i="123" s="1"/>
  <c r="S113" i="122"/>
  <c r="S168" i="122" s="1"/>
  <c r="AQ50" i="123" s="1"/>
  <c r="B57" i="120"/>
  <c r="R57" i="120"/>
  <c r="Q57" i="120" s="1"/>
  <c r="D35" i="120"/>
  <c r="D200" i="120"/>
  <c r="S33" i="120"/>
  <c r="C125" i="120"/>
  <c r="CB125" i="120"/>
  <c r="CH125" i="120" s="1"/>
  <c r="CI125" i="120"/>
  <c r="AG66" i="120"/>
  <c r="CD202" i="120"/>
  <c r="CJ202" i="120" s="1"/>
  <c r="CJ200" i="120"/>
  <c r="AT10" i="95"/>
  <c r="CC8" i="120"/>
  <c r="CD8" i="120"/>
  <c r="AT11" i="95"/>
  <c r="CB65" i="32"/>
  <c r="CI45" i="3"/>
  <c r="CI44" i="3" s="1"/>
  <c r="EF167" i="7"/>
  <c r="EF72" i="7" s="1"/>
  <c r="P10" i="143"/>
  <c r="Q10" i="143" s="1"/>
  <c r="R9" i="143"/>
  <c r="D8" i="143"/>
  <c r="E8" i="143" s="1"/>
  <c r="G8" i="143" s="1"/>
  <c r="K8" i="143"/>
  <c r="J8" i="143"/>
  <c r="CI62" i="3"/>
  <c r="ED156" i="7"/>
  <c r="AF34" i="122" l="1"/>
  <c r="AL34" i="122" s="1"/>
  <c r="AM34" i="122"/>
  <c r="AP34" i="122"/>
  <c r="B78" i="120"/>
  <c r="B245" i="120" s="1"/>
  <c r="R78" i="120"/>
  <c r="C245" i="120"/>
  <c r="C70" i="120"/>
  <c r="B70" i="120" s="1"/>
  <c r="EK62" i="8"/>
  <c r="EJ62" i="8" s="1"/>
  <c r="EJ120" i="8"/>
  <c r="C32" i="120"/>
  <c r="CB32" i="120"/>
  <c r="CH32" i="120" s="1"/>
  <c r="CI32" i="120"/>
  <c r="C161" i="122"/>
  <c r="B29" i="122"/>
  <c r="B161" i="122" s="1"/>
  <c r="B165" i="122" s="1"/>
  <c r="CB245" i="120"/>
  <c r="CH245" i="120" s="1"/>
  <c r="CH78" i="120"/>
  <c r="CD63" i="32"/>
  <c r="CB67" i="32"/>
  <c r="BO11" i="122"/>
  <c r="CB11" i="122"/>
  <c r="CD9" i="122"/>
  <c r="GB11" i="123"/>
  <c r="S11" i="122"/>
  <c r="D11" i="122"/>
  <c r="AQ11" i="122"/>
  <c r="CJ11" i="122"/>
  <c r="CH11" i="122" s="1"/>
  <c r="R216" i="122"/>
  <c r="Q34" i="122"/>
  <c r="Q216" i="122" s="1"/>
  <c r="R29" i="122"/>
  <c r="AG29" i="122" s="1"/>
  <c r="AG57" i="120"/>
  <c r="B114" i="122"/>
  <c r="B169" i="122" s="1"/>
  <c r="AG114" i="122"/>
  <c r="AH113" i="122"/>
  <c r="D40" i="123"/>
  <c r="D160" i="122"/>
  <c r="R97" i="122"/>
  <c r="Q97" i="122" s="1"/>
  <c r="B97" i="122"/>
  <c r="AG97" i="122"/>
  <c r="AH114" i="122"/>
  <c r="AF114" i="122" s="1"/>
  <c r="AM114" i="122"/>
  <c r="AG169" i="122"/>
  <c r="AM169" i="122" s="1"/>
  <c r="AP114" i="122"/>
  <c r="BE114" i="122" s="1"/>
  <c r="AH158" i="122"/>
  <c r="AH48" i="122"/>
  <c r="AN48" i="122" s="1"/>
  <c r="AN46" i="122"/>
  <c r="AQ46" i="122"/>
  <c r="BF46" i="122" s="1"/>
  <c r="Q114" i="122"/>
  <c r="Q169" i="122" s="1"/>
  <c r="R169" i="122"/>
  <c r="AP51" i="123" s="1"/>
  <c r="C178" i="122"/>
  <c r="C60" i="123" s="1"/>
  <c r="B123" i="122"/>
  <c r="B178" i="122" s="1"/>
  <c r="R123" i="122"/>
  <c r="AG123" i="122" s="1"/>
  <c r="CD166" i="122"/>
  <c r="CJ166" i="122" s="1"/>
  <c r="CJ111" i="122"/>
  <c r="AG45" i="122"/>
  <c r="B25" i="122"/>
  <c r="R25" i="122"/>
  <c r="AH112" i="122"/>
  <c r="S111" i="122"/>
  <c r="S166" i="122" s="1"/>
  <c r="AQ48" i="123" s="1"/>
  <c r="S167" i="122"/>
  <c r="AQ49" i="123" s="1"/>
  <c r="S48" i="122"/>
  <c r="S158" i="122"/>
  <c r="CB178" i="122"/>
  <c r="CH178" i="122" s="1"/>
  <c r="CH123" i="122"/>
  <c r="D166" i="122"/>
  <c r="D48" i="123" s="1"/>
  <c r="CH25" i="122"/>
  <c r="S200" i="120"/>
  <c r="S35" i="120"/>
  <c r="AM66" i="120"/>
  <c r="AF66" i="120"/>
  <c r="AL66" i="120" s="1"/>
  <c r="AP66" i="120"/>
  <c r="R125" i="120"/>
  <c r="Q125" i="120" s="1"/>
  <c r="B125" i="120"/>
  <c r="D202" i="120"/>
  <c r="D52" i="121"/>
  <c r="AF57" i="120"/>
  <c r="AL57" i="120" s="1"/>
  <c r="AM57" i="120"/>
  <c r="AP57" i="120"/>
  <c r="AH33" i="120"/>
  <c r="GB8" i="121"/>
  <c r="D8" i="120"/>
  <c r="CD175" i="120"/>
  <c r="CD177" i="120" s="1"/>
  <c r="AQ8" i="120"/>
  <c r="CD11" i="120"/>
  <c r="CD10" i="120"/>
  <c r="CJ10" i="120" s="1"/>
  <c r="S8" i="120"/>
  <c r="BO8" i="120"/>
  <c r="CJ8" i="120"/>
  <c r="CB8" i="120"/>
  <c r="GA8" i="121"/>
  <c r="CC175" i="120"/>
  <c r="CC177" i="120" s="1"/>
  <c r="C8" i="120"/>
  <c r="R8" i="120"/>
  <c r="CC10" i="120"/>
  <c r="CI10" i="120" s="1"/>
  <c r="BN8" i="120"/>
  <c r="AP8" i="120"/>
  <c r="CC11" i="120"/>
  <c r="CI8" i="120"/>
  <c r="CB61" i="32"/>
  <c r="CB70" i="32" s="1"/>
  <c r="AK10" i="104" s="1"/>
  <c r="AK14" i="104" s="1"/>
  <c r="CD65" i="32"/>
  <c r="CD72" i="32" s="1"/>
  <c r="CI48" i="3"/>
  <c r="AT33" i="95"/>
  <c r="R10" i="143"/>
  <c r="P11" i="143"/>
  <c r="F9" i="143"/>
  <c r="D9" i="143"/>
  <c r="J9" i="143"/>
  <c r="I9" i="143"/>
  <c r="H8" i="143"/>
  <c r="D10" i="141"/>
  <c r="C10" i="141"/>
  <c r="B10" i="141"/>
  <c r="E9" i="141"/>
  <c r="F9" i="141" s="1"/>
  <c r="G9" i="141" s="1"/>
  <c r="H9" i="141" s="1"/>
  <c r="E8" i="141"/>
  <c r="F8" i="141" s="1"/>
  <c r="G8" i="141" s="1"/>
  <c r="H8" i="141" s="1"/>
  <c r="E7" i="141"/>
  <c r="F7" i="141" s="1"/>
  <c r="G7" i="141" s="1"/>
  <c r="H7" i="141" s="1"/>
  <c r="E6" i="141"/>
  <c r="AM29" i="122" l="1"/>
  <c r="AF29" i="122"/>
  <c r="AG161" i="122"/>
  <c r="E10" i="141"/>
  <c r="AF216" i="122"/>
  <c r="AL216" i="122" s="1"/>
  <c r="Q227" i="122"/>
  <c r="AF227" i="122" s="1"/>
  <c r="AL227" i="122" s="1"/>
  <c r="B11" i="122"/>
  <c r="B147" i="122" s="1"/>
  <c r="D147" i="122"/>
  <c r="AH11" i="122"/>
  <c r="C43" i="123"/>
  <c r="C165" i="122"/>
  <c r="C47" i="123" s="1"/>
  <c r="R32" i="120"/>
  <c r="Q32" i="120" s="1"/>
  <c r="B32" i="120"/>
  <c r="AO34" i="122"/>
  <c r="AO216" i="122" s="1"/>
  <c r="AP216" i="122"/>
  <c r="BN34" i="122"/>
  <c r="AP29" i="122"/>
  <c r="AG216" i="122"/>
  <c r="AM216" i="122" s="1"/>
  <c r="R227" i="122"/>
  <c r="AG227" i="122" s="1"/>
  <c r="AM227" i="122" s="1"/>
  <c r="S147" i="122"/>
  <c r="Q11" i="122"/>
  <c r="Q147" i="122" s="1"/>
  <c r="BM11" i="122"/>
  <c r="BM147" i="122" s="1"/>
  <c r="BO147" i="122"/>
  <c r="CD67" i="32"/>
  <c r="CB68" i="32"/>
  <c r="CD68" i="32" s="1"/>
  <c r="CD73" i="32" s="1"/>
  <c r="R70" i="120"/>
  <c r="AG78" i="120"/>
  <c r="Q78" i="120"/>
  <c r="Q245" i="120" s="1"/>
  <c r="R245" i="120"/>
  <c r="BE34" i="122"/>
  <c r="Q29" i="122"/>
  <c r="Q161" i="122" s="1"/>
  <c r="Q165" i="122" s="1"/>
  <c r="R161" i="122"/>
  <c r="AQ147" i="122"/>
  <c r="AO11" i="122"/>
  <c r="AO147" i="122" s="1"/>
  <c r="AQ9" i="122"/>
  <c r="BO9" i="122"/>
  <c r="CD8" i="122"/>
  <c r="S9" i="122"/>
  <c r="D9" i="122"/>
  <c r="CB9" i="122"/>
  <c r="CD127" i="122"/>
  <c r="GB9" i="123"/>
  <c r="CJ9" i="122"/>
  <c r="CH9" i="122" s="1"/>
  <c r="AH111" i="122"/>
  <c r="BE169" i="122"/>
  <c r="BK169" i="122" s="1"/>
  <c r="BK114" i="122"/>
  <c r="AH167" i="122"/>
  <c r="AN167" i="122" s="1"/>
  <c r="AN112" i="122"/>
  <c r="AQ112" i="122"/>
  <c r="BF112" i="122" s="1"/>
  <c r="Q123" i="122"/>
  <c r="Q178" i="122" s="1"/>
  <c r="R178" i="122"/>
  <c r="AP60" i="123" s="1"/>
  <c r="BL46" i="122"/>
  <c r="BF48" i="122"/>
  <c r="BL48" i="122" s="1"/>
  <c r="BF158" i="122"/>
  <c r="AP169" i="122"/>
  <c r="CO51" i="123" s="1"/>
  <c r="BN114" i="122"/>
  <c r="AH168" i="122"/>
  <c r="AN168" i="122" s="1"/>
  <c r="AN113" i="122"/>
  <c r="AQ113" i="122"/>
  <c r="AF123" i="122"/>
  <c r="AM123" i="122"/>
  <c r="AG178" i="122"/>
  <c r="AM178" i="122" s="1"/>
  <c r="AP123" i="122"/>
  <c r="BE123" i="122" s="1"/>
  <c r="AH169" i="122"/>
  <c r="AN169" i="122" s="1"/>
  <c r="AN114" i="122"/>
  <c r="AQ114" i="122"/>
  <c r="AO114" i="122" s="1"/>
  <c r="AO169" i="122" s="1"/>
  <c r="AF169" i="122"/>
  <c r="AL169" i="122" s="1"/>
  <c r="AL114" i="122"/>
  <c r="AM97" i="122"/>
  <c r="AF97" i="122"/>
  <c r="AL97" i="122" s="1"/>
  <c r="AP97" i="122"/>
  <c r="AN111" i="122"/>
  <c r="AH166" i="122"/>
  <c r="AN166" i="122" s="1"/>
  <c r="AQ40" i="123"/>
  <c r="S160" i="122"/>
  <c r="AG25" i="122"/>
  <c r="Q25" i="122"/>
  <c r="AP45" i="122"/>
  <c r="BE45" i="122" s="1"/>
  <c r="AF45" i="122"/>
  <c r="AL45" i="122" s="1"/>
  <c r="AM45" i="122"/>
  <c r="BO46" i="122"/>
  <c r="AQ48" i="122"/>
  <c r="AQ158" i="122"/>
  <c r="AN158" i="122"/>
  <c r="AH160" i="122"/>
  <c r="AN160" i="122" s="1"/>
  <c r="S202" i="120"/>
  <c r="AQ52" i="121"/>
  <c r="M52" i="121"/>
  <c r="D54" i="121"/>
  <c r="AG125" i="120"/>
  <c r="BE57" i="120"/>
  <c r="AO57" i="120"/>
  <c r="BN57" i="120"/>
  <c r="BM57" i="120" s="1"/>
  <c r="AN33" i="120"/>
  <c r="AH35" i="120"/>
  <c r="AN35" i="120" s="1"/>
  <c r="AH200" i="120"/>
  <c r="AQ33" i="120"/>
  <c r="BE66" i="120"/>
  <c r="BN66" i="120"/>
  <c r="BM66" i="120" s="1"/>
  <c r="AO66" i="120"/>
  <c r="BN175" i="120"/>
  <c r="BN177" i="120" s="1"/>
  <c r="BN11" i="120"/>
  <c r="BN10" i="120"/>
  <c r="BM8" i="120"/>
  <c r="BO11" i="120"/>
  <c r="BO175" i="120"/>
  <c r="BO177" i="120" s="1"/>
  <c r="BO10" i="120"/>
  <c r="AQ175" i="120"/>
  <c r="AQ177" i="120" s="1"/>
  <c r="AQ10" i="120"/>
  <c r="AQ11" i="120"/>
  <c r="CI175" i="120"/>
  <c r="CI177" i="120" s="1"/>
  <c r="CI11" i="120"/>
  <c r="EW8" i="121"/>
  <c r="CO8" i="121"/>
  <c r="CX8" i="121"/>
  <c r="DG8" i="121"/>
  <c r="C8" i="121"/>
  <c r="EN8" i="121"/>
  <c r="U8" i="121"/>
  <c r="FZ8" i="121"/>
  <c r="FZ10" i="121" s="1"/>
  <c r="GI10" i="121" s="1"/>
  <c r="GA11" i="121"/>
  <c r="FF8" i="121"/>
  <c r="AP8" i="121"/>
  <c r="AY8" i="121"/>
  <c r="BH8" i="121"/>
  <c r="L8" i="121"/>
  <c r="GJ8" i="121"/>
  <c r="GA10" i="121"/>
  <c r="GJ10" i="121" s="1"/>
  <c r="S175" i="120"/>
  <c r="S177" i="120" s="1"/>
  <c r="S11" i="120"/>
  <c r="S10" i="120"/>
  <c r="CC12" i="120"/>
  <c r="CC178" i="120"/>
  <c r="CB11" i="120"/>
  <c r="CB178" i="120" s="1"/>
  <c r="R175" i="120"/>
  <c r="R177" i="120" s="1"/>
  <c r="R10" i="120"/>
  <c r="R11" i="120"/>
  <c r="Q8" i="120"/>
  <c r="CB175" i="120"/>
  <c r="CB177" i="120" s="1"/>
  <c r="CB10" i="120"/>
  <c r="CH10" i="120" s="1"/>
  <c r="D175" i="120"/>
  <c r="D177" i="120" s="1"/>
  <c r="D11" i="120"/>
  <c r="D10" i="120"/>
  <c r="AH8" i="120"/>
  <c r="EG53" i="7"/>
  <c r="AI19" i="104"/>
  <c r="AI23" i="104" s="1"/>
  <c r="AP175" i="120"/>
  <c r="AP177" i="120" s="1"/>
  <c r="AP10" i="120"/>
  <c r="AO8" i="120"/>
  <c r="AP11" i="120"/>
  <c r="C175" i="120"/>
  <c r="C177" i="120" s="1"/>
  <c r="C10" i="120"/>
  <c r="B8" i="120"/>
  <c r="C11" i="120"/>
  <c r="AG8" i="120"/>
  <c r="CH8" i="120"/>
  <c r="CH175" i="120" s="1"/>
  <c r="CH177" i="120" s="1"/>
  <c r="CJ175" i="120"/>
  <c r="CJ177" i="120" s="1"/>
  <c r="CJ11" i="120"/>
  <c r="CD178" i="120"/>
  <c r="CD12" i="120"/>
  <c r="GB11" i="121"/>
  <c r="FG8" i="121"/>
  <c r="AQ8" i="121"/>
  <c r="CY8" i="121"/>
  <c r="V8" i="121"/>
  <c r="AZ8" i="121"/>
  <c r="BI8" i="121"/>
  <c r="CP8" i="121"/>
  <c r="D8" i="121"/>
  <c r="EO8" i="121"/>
  <c r="M8" i="121"/>
  <c r="DH8" i="121"/>
  <c r="EX8" i="121"/>
  <c r="GK8" i="121"/>
  <c r="GB10" i="121"/>
  <c r="GK10" i="121" s="1"/>
  <c r="P12" i="143"/>
  <c r="R11" i="143"/>
  <c r="E9" i="143"/>
  <c r="Q11" i="143"/>
  <c r="H9" i="143"/>
  <c r="K9" i="143"/>
  <c r="F6" i="141"/>
  <c r="L83" i="96"/>
  <c r="P83" i="96" s="1"/>
  <c r="AB59" i="96" s="1"/>
  <c r="P82" i="96"/>
  <c r="AB41" i="96" s="1"/>
  <c r="AB42" i="96" s="1"/>
  <c r="AB21" i="96"/>
  <c r="P81" i="96"/>
  <c r="AB11" i="96" s="1"/>
  <c r="P80" i="96"/>
  <c r="AB26" i="96" s="1"/>
  <c r="P79" i="96"/>
  <c r="AB16" i="96" s="1"/>
  <c r="P78" i="96"/>
  <c r="AB36" i="96" s="1"/>
  <c r="P76" i="96"/>
  <c r="AB31" i="96" s="1"/>
  <c r="I78" i="96"/>
  <c r="I77" i="96"/>
  <c r="AB54" i="96" l="1"/>
  <c r="AF147" i="122"/>
  <c r="AG32" i="120"/>
  <c r="AM32" i="120" s="1"/>
  <c r="Q12" i="143"/>
  <c r="S145" i="122"/>
  <c r="S127" i="122"/>
  <c r="Q9" i="122"/>
  <c r="AM78" i="120"/>
  <c r="AG245" i="120"/>
  <c r="AM245" i="120" s="1"/>
  <c r="AF78" i="120"/>
  <c r="AP78" i="120"/>
  <c r="BD216" i="122"/>
  <c r="BJ216" i="122" s="1"/>
  <c r="AO227" i="122"/>
  <c r="BD227" i="122" s="1"/>
  <c r="BJ227" i="122" s="1"/>
  <c r="AM161" i="122"/>
  <c r="AG165" i="122"/>
  <c r="AM165" i="122" s="1"/>
  <c r="CB127" i="122"/>
  <c r="CH127" i="122" s="1"/>
  <c r="CJ127" i="122"/>
  <c r="GB8" i="123"/>
  <c r="D8" i="122"/>
  <c r="AQ8" i="122"/>
  <c r="AO8" i="122" s="1"/>
  <c r="BO8" i="122"/>
  <c r="BM8" i="122" s="1"/>
  <c r="S8" i="122"/>
  <c r="Q8" i="122" s="1"/>
  <c r="CJ8" i="122"/>
  <c r="CH8" i="122" s="1"/>
  <c r="CB8" i="122"/>
  <c r="BD34" i="122"/>
  <c r="BJ34" i="122" s="1"/>
  <c r="BK34" i="122"/>
  <c r="Q70" i="120"/>
  <c r="AG70" i="120"/>
  <c r="BE29" i="122"/>
  <c r="AP161" i="122"/>
  <c r="AO29" i="122"/>
  <c r="AO161" i="122" s="1"/>
  <c r="AO165" i="122" s="1"/>
  <c r="AL29" i="122"/>
  <c r="AF161" i="122"/>
  <c r="BO145" i="122"/>
  <c r="BO127" i="122"/>
  <c r="BM9" i="122"/>
  <c r="R165" i="122"/>
  <c r="AP47" i="123" s="1"/>
  <c r="AP43" i="123"/>
  <c r="AI10" i="104"/>
  <c r="EF53" i="7"/>
  <c r="CC143" i="120" s="1"/>
  <c r="BM34" i="122"/>
  <c r="BM216" i="122" s="1"/>
  <c r="BN216" i="122"/>
  <c r="BN29" i="122"/>
  <c r="BF11" i="122"/>
  <c r="AN11" i="122"/>
  <c r="AL11" i="122" s="1"/>
  <c r="AF11" i="122"/>
  <c r="AH9" i="122"/>
  <c r="D127" i="122"/>
  <c r="AH127" i="122" s="1"/>
  <c r="D145" i="122"/>
  <c r="D182" i="122" s="1"/>
  <c r="B9" i="122"/>
  <c r="AQ145" i="122"/>
  <c r="AQ182" i="122" s="1"/>
  <c r="AQ127" i="122"/>
  <c r="AO9" i="122"/>
  <c r="CD70" i="32"/>
  <c r="BD147" i="122"/>
  <c r="AL147" i="122"/>
  <c r="BE216" i="122"/>
  <c r="BK216" i="122" s="1"/>
  <c r="AP227" i="122"/>
  <c r="BE227" i="122" s="1"/>
  <c r="BK227" i="122" s="1"/>
  <c r="AH147" i="122"/>
  <c r="CM66" i="120"/>
  <c r="BD45" i="122"/>
  <c r="BJ45" i="122" s="1"/>
  <c r="BK45" i="122"/>
  <c r="AQ160" i="122"/>
  <c r="CP40" i="123"/>
  <c r="BN97" i="122"/>
  <c r="BM97" i="122" s="1"/>
  <c r="AO97" i="122"/>
  <c r="AQ168" i="122"/>
  <c r="CP50" i="123" s="1"/>
  <c r="BO113" i="122"/>
  <c r="BO168" i="122" s="1"/>
  <c r="EO50" i="123" s="1"/>
  <c r="BE97" i="122"/>
  <c r="BF113" i="122"/>
  <c r="AQ167" i="122"/>
  <c r="CP49" i="123" s="1"/>
  <c r="BO112" i="122"/>
  <c r="AQ111" i="122"/>
  <c r="AF25" i="122"/>
  <c r="AM25" i="122"/>
  <c r="AP25" i="122"/>
  <c r="BO48" i="122"/>
  <c r="BO158" i="122"/>
  <c r="BN45" i="122"/>
  <c r="BM45" i="122" s="1"/>
  <c r="AO45" i="122"/>
  <c r="BF167" i="122"/>
  <c r="BL167" i="122" s="1"/>
  <c r="BL112" i="122"/>
  <c r="BE178" i="122"/>
  <c r="BK178" i="122" s="1"/>
  <c r="BK123" i="122"/>
  <c r="BD123" i="122"/>
  <c r="BF114" i="122"/>
  <c r="AQ169" i="122"/>
  <c r="CP51" i="123" s="1"/>
  <c r="BO114" i="122"/>
  <c r="BO169" i="122" s="1"/>
  <c r="EO51" i="123" s="1"/>
  <c r="AP178" i="122"/>
  <c r="CO60" i="123" s="1"/>
  <c r="AO123" i="122"/>
  <c r="AO178" i="122" s="1"/>
  <c r="BN123" i="122"/>
  <c r="AF178" i="122"/>
  <c r="AL178" i="122" s="1"/>
  <c r="AL123" i="122"/>
  <c r="BN169" i="122"/>
  <c r="EN51" i="123" s="1"/>
  <c r="BM114" i="122"/>
  <c r="BM169" i="122" s="1"/>
  <c r="BL158" i="122"/>
  <c r="BF160" i="122"/>
  <c r="BL160" i="122" s="1"/>
  <c r="CL66" i="120"/>
  <c r="BO33" i="120"/>
  <c r="AQ200" i="120"/>
  <c r="AQ35" i="120"/>
  <c r="AZ52" i="121"/>
  <c r="AQ54" i="121"/>
  <c r="CL57" i="120"/>
  <c r="AF125" i="120"/>
  <c r="AM125" i="120"/>
  <c r="AP125" i="120"/>
  <c r="BE125" i="120" s="1"/>
  <c r="BF33" i="120"/>
  <c r="AN200" i="120"/>
  <c r="AH202" i="120"/>
  <c r="AN202" i="120" s="1"/>
  <c r="BK57" i="120"/>
  <c r="BD57" i="120"/>
  <c r="BJ57" i="120" s="1"/>
  <c r="V52" i="121"/>
  <c r="M54" i="121"/>
  <c r="BD66" i="120"/>
  <c r="BJ66" i="120" s="1"/>
  <c r="BK66" i="120"/>
  <c r="CM57" i="120"/>
  <c r="EO11" i="121"/>
  <c r="EO12" i="121" s="1"/>
  <c r="EO13" i="121" s="1"/>
  <c r="FP8" i="121"/>
  <c r="EO10" i="121"/>
  <c r="AZ11" i="121"/>
  <c r="AZ12" i="121" s="1"/>
  <c r="AZ13" i="121" s="1"/>
  <c r="AZ10" i="121"/>
  <c r="FG11" i="121"/>
  <c r="FG12" i="121" s="1"/>
  <c r="FG13" i="121" s="1"/>
  <c r="FG10" i="121"/>
  <c r="CJ178" i="120"/>
  <c r="CJ12" i="120"/>
  <c r="CJ179" i="120" s="1"/>
  <c r="C178" i="120"/>
  <c r="B11" i="120"/>
  <c r="C12" i="120"/>
  <c r="AP178" i="120"/>
  <c r="AO11" i="120"/>
  <c r="AO178" i="120" s="1"/>
  <c r="AP12" i="120"/>
  <c r="D178" i="120"/>
  <c r="D12" i="120"/>
  <c r="Q175" i="120"/>
  <c r="Q177" i="120" s="1"/>
  <c r="Q10" i="120"/>
  <c r="Q11" i="120"/>
  <c r="Q178" i="120" s="1"/>
  <c r="S178" i="120"/>
  <c r="S12" i="120"/>
  <c r="L11" i="121"/>
  <c r="K8" i="121"/>
  <c r="K10" i="121" s="1"/>
  <c r="L10" i="121"/>
  <c r="FE8" i="121"/>
  <c r="FE10" i="121" s="1"/>
  <c r="FF11" i="121"/>
  <c r="FF10" i="121"/>
  <c r="EM8" i="121"/>
  <c r="EM10" i="121" s="1"/>
  <c r="FO8" i="121"/>
  <c r="EN11" i="121"/>
  <c r="EN10" i="121"/>
  <c r="DP8" i="121"/>
  <c r="CO11" i="121"/>
  <c r="CO12" i="121" s="1"/>
  <c r="CO10" i="121"/>
  <c r="BM175" i="120"/>
  <c r="BM177" i="120" s="1"/>
  <c r="BM10" i="120"/>
  <c r="EV8" i="121"/>
  <c r="EV10" i="121" s="1"/>
  <c r="EX11" i="121"/>
  <c r="EX12" i="121" s="1"/>
  <c r="EX13" i="121" s="1"/>
  <c r="EX10" i="121"/>
  <c r="AE8" i="121"/>
  <c r="D11" i="121"/>
  <c r="D12" i="121" s="1"/>
  <c r="D13" i="121" s="1"/>
  <c r="D10" i="121"/>
  <c r="V11" i="121"/>
  <c r="V12" i="121" s="1"/>
  <c r="V13" i="121" s="1"/>
  <c r="V10" i="121"/>
  <c r="GK11" i="121"/>
  <c r="GB12" i="121"/>
  <c r="B10" i="120"/>
  <c r="B175" i="120"/>
  <c r="B177" i="120" s="1"/>
  <c r="CL8" i="120"/>
  <c r="AO175" i="120"/>
  <c r="AO177" i="120" s="1"/>
  <c r="AO10" i="120"/>
  <c r="EG52" i="7"/>
  <c r="CD143" i="120"/>
  <c r="R178" i="120"/>
  <c r="R12" i="120"/>
  <c r="BH11" i="121"/>
  <c r="BG8" i="121"/>
  <c r="BG10" i="121" s="1"/>
  <c r="BH10" i="121"/>
  <c r="FZ11" i="121"/>
  <c r="GJ11" i="121"/>
  <c r="GA12" i="121"/>
  <c r="AD8" i="121"/>
  <c r="C11" i="121"/>
  <c r="B8" i="121"/>
  <c r="C10" i="121"/>
  <c r="EW11" i="121"/>
  <c r="EW10" i="121"/>
  <c r="DH11" i="121"/>
  <c r="DH12" i="121" s="1"/>
  <c r="DH13" i="121" s="1"/>
  <c r="DH10" i="121"/>
  <c r="CN8" i="121"/>
  <c r="CN10" i="121" s="1"/>
  <c r="DQ8" i="121"/>
  <c r="CP11" i="121"/>
  <c r="CP10" i="121"/>
  <c r="CY11" i="121"/>
  <c r="CY12" i="121" s="1"/>
  <c r="CY13" i="121" s="1"/>
  <c r="CY10" i="121"/>
  <c r="CD179" i="120"/>
  <c r="CD180" i="120" s="1"/>
  <c r="CD13" i="120"/>
  <c r="CJ13" i="120" s="1"/>
  <c r="CJ180" i="120" s="1"/>
  <c r="BF8" i="120"/>
  <c r="AH10" i="120"/>
  <c r="AN10" i="120" s="1"/>
  <c r="AN177" i="120" s="1"/>
  <c r="AH175" i="120"/>
  <c r="AH177" i="120" s="1"/>
  <c r="AH11" i="120"/>
  <c r="AN8" i="120"/>
  <c r="CC179" i="120"/>
  <c r="CC180" i="120" s="1"/>
  <c r="CC13" i="120"/>
  <c r="CI13" i="120" s="1"/>
  <c r="CI180" i="120" s="1"/>
  <c r="CB12" i="120"/>
  <c r="AY11" i="121"/>
  <c r="AX8" i="121"/>
  <c r="AX10" i="121" s="1"/>
  <c r="AY10" i="121"/>
  <c r="DF8" i="121"/>
  <c r="DF10" i="121" s="1"/>
  <c r="DG11" i="121"/>
  <c r="DG10" i="121"/>
  <c r="CI178" i="120"/>
  <c r="CH11" i="120"/>
  <c r="CH178" i="120" s="1"/>
  <c r="CI12" i="120"/>
  <c r="AQ178" i="120"/>
  <c r="AQ12" i="120"/>
  <c r="BN178" i="120"/>
  <c r="BM11" i="120"/>
  <c r="BM178" i="120" s="1"/>
  <c r="BN12" i="120"/>
  <c r="M11" i="121"/>
  <c r="M12" i="121" s="1"/>
  <c r="M13" i="121" s="1"/>
  <c r="M10" i="121"/>
  <c r="BI11" i="121"/>
  <c r="BI12" i="121" s="1"/>
  <c r="BI13" i="121" s="1"/>
  <c r="BI10" i="121"/>
  <c r="AQ11" i="121"/>
  <c r="AQ12" i="121" s="1"/>
  <c r="AQ13" i="121" s="1"/>
  <c r="BR8" i="121"/>
  <c r="AQ10" i="121"/>
  <c r="AM8" i="120"/>
  <c r="BE8" i="120"/>
  <c r="AG11" i="120"/>
  <c r="AF8" i="120"/>
  <c r="AG175" i="120"/>
  <c r="AG177" i="120" s="1"/>
  <c r="AG10" i="120"/>
  <c r="AM10" i="120" s="1"/>
  <c r="AM177" i="120" s="1"/>
  <c r="GI8" i="121"/>
  <c r="AO8" i="121"/>
  <c r="AO10" i="121" s="1"/>
  <c r="AP11" i="121"/>
  <c r="BQ8" i="121"/>
  <c r="AP10" i="121"/>
  <c r="U11" i="121"/>
  <c r="T8" i="121"/>
  <c r="T10" i="121" s="1"/>
  <c r="U10" i="121"/>
  <c r="CW8" i="121"/>
  <c r="CW10" i="121" s="1"/>
  <c r="CX11" i="121"/>
  <c r="CX10" i="121"/>
  <c r="BO178" i="120"/>
  <c r="BO12" i="120"/>
  <c r="G9" i="143"/>
  <c r="R12" i="143"/>
  <c r="P13" i="143"/>
  <c r="J10" i="143"/>
  <c r="I10" i="143"/>
  <c r="K10" i="143" s="1"/>
  <c r="G6" i="141"/>
  <c r="F10" i="141"/>
  <c r="AF32" i="120" l="1"/>
  <c r="AL32" i="120" s="1"/>
  <c r="AP32" i="120"/>
  <c r="B127" i="122"/>
  <c r="B145" i="122"/>
  <c r="B182" i="122" s="1"/>
  <c r="CC216" i="122"/>
  <c r="CI216" i="122" s="1"/>
  <c r="BN227" i="122"/>
  <c r="CC227" i="122" s="1"/>
  <c r="CI227" i="122" s="1"/>
  <c r="BO182" i="122"/>
  <c r="BD29" i="122"/>
  <c r="BE161" i="122"/>
  <c r="BK29" i="122"/>
  <c r="AL78" i="120"/>
  <c r="AF245" i="120"/>
  <c r="AL245" i="120" s="1"/>
  <c r="AO145" i="122"/>
  <c r="AO182" i="122" s="1"/>
  <c r="AO127" i="122"/>
  <c r="CB216" i="122"/>
  <c r="CH216" i="122" s="1"/>
  <c r="BM227" i="122"/>
  <c r="CB227" i="122" s="1"/>
  <c r="CH227" i="122" s="1"/>
  <c r="AF165" i="122"/>
  <c r="AL165" i="122" s="1"/>
  <c r="AL161" i="122"/>
  <c r="AM70" i="120"/>
  <c r="AF70" i="120"/>
  <c r="AL70" i="120" s="1"/>
  <c r="S182" i="122"/>
  <c r="AH145" i="122"/>
  <c r="BF127" i="122"/>
  <c r="AN127" i="122"/>
  <c r="AF127" i="122"/>
  <c r="AL127" i="122" s="1"/>
  <c r="BL11" i="122"/>
  <c r="BJ11" i="122" s="1"/>
  <c r="BD11" i="122"/>
  <c r="C143" i="120"/>
  <c r="CC209" i="120"/>
  <c r="CI209" i="120" s="1"/>
  <c r="CI143" i="120"/>
  <c r="BM127" i="122"/>
  <c r="BM145" i="122"/>
  <c r="AH8" i="122"/>
  <c r="B8" i="122"/>
  <c r="EE53" i="7"/>
  <c r="BF147" i="122"/>
  <c r="AN147" i="122"/>
  <c r="CB147" i="122"/>
  <c r="CH147" i="122" s="1"/>
  <c r="BJ147" i="122"/>
  <c r="BF9" i="122"/>
  <c r="AN9" i="122"/>
  <c r="AL9" i="122" s="1"/>
  <c r="AF9" i="122"/>
  <c r="BN161" i="122"/>
  <c r="BM29" i="122"/>
  <c r="BM161" i="122" s="1"/>
  <c r="BM165" i="122" s="1"/>
  <c r="BE32" i="120"/>
  <c r="AO32" i="120"/>
  <c r="BN32" i="120"/>
  <c r="CO43" i="123"/>
  <c r="AP165" i="122"/>
  <c r="CO47" i="123" s="1"/>
  <c r="AP245" i="120"/>
  <c r="BN78" i="120"/>
  <c r="BE78" i="120"/>
  <c r="AP70" i="120"/>
  <c r="AO78" i="120"/>
  <c r="AO245" i="120" s="1"/>
  <c r="Q145" i="122"/>
  <c r="Q127" i="122"/>
  <c r="BN25" i="122"/>
  <c r="AO25" i="122"/>
  <c r="BF168" i="122"/>
  <c r="BL168" i="122" s="1"/>
  <c r="BL113" i="122"/>
  <c r="BD178" i="122"/>
  <c r="BJ178" i="122" s="1"/>
  <c r="BJ123" i="122"/>
  <c r="BE25" i="122"/>
  <c r="AQ166" i="122"/>
  <c r="CP48" i="123" s="1"/>
  <c r="BF111" i="122"/>
  <c r="AL25" i="122"/>
  <c r="BN178" i="122"/>
  <c r="EN60" i="123" s="1"/>
  <c r="BM123" i="122"/>
  <c r="BM178" i="122" s="1"/>
  <c r="BO111" i="122"/>
  <c r="BO166" i="122" s="1"/>
  <c r="EO48" i="123" s="1"/>
  <c r="BO167" i="122"/>
  <c r="EO49" i="123" s="1"/>
  <c r="BK97" i="122"/>
  <c r="BD97" i="122"/>
  <c r="BJ97" i="122" s="1"/>
  <c r="BF169" i="122"/>
  <c r="BL169" i="122" s="1"/>
  <c r="BL114" i="122"/>
  <c r="BD114" i="122"/>
  <c r="EO40" i="123"/>
  <c r="BO160" i="122"/>
  <c r="BK125" i="120"/>
  <c r="BD125" i="120"/>
  <c r="BJ125" i="120" s="1"/>
  <c r="V54" i="121"/>
  <c r="AE52" i="121"/>
  <c r="BF200" i="120"/>
  <c r="BL33" i="120"/>
  <c r="BF35" i="120"/>
  <c r="BL35" i="120" s="1"/>
  <c r="AL125" i="120"/>
  <c r="BI52" i="121"/>
  <c r="BI54" i="121" s="1"/>
  <c r="AZ54" i="121"/>
  <c r="CP52" i="121"/>
  <c r="AQ202" i="120"/>
  <c r="BN125" i="120"/>
  <c r="AO125" i="120"/>
  <c r="CN33" i="120"/>
  <c r="BO35" i="120"/>
  <c r="CN35" i="120" s="1"/>
  <c r="BO200" i="120"/>
  <c r="GI11" i="121"/>
  <c r="BO179" i="120"/>
  <c r="BO180" i="120" s="1"/>
  <c r="BO13" i="120"/>
  <c r="AG178" i="120"/>
  <c r="AF11" i="120"/>
  <c r="AF178" i="120" s="1"/>
  <c r="AG12" i="120"/>
  <c r="CA8" i="121"/>
  <c r="CA11" i="121" s="1"/>
  <c r="CA12" i="121" s="1"/>
  <c r="BR11" i="121"/>
  <c r="BR12" i="121" s="1"/>
  <c r="BR13" i="121" s="1"/>
  <c r="CA13" i="121" s="1"/>
  <c r="BR10" i="121"/>
  <c r="CA10" i="121" s="1"/>
  <c r="CN11" i="121"/>
  <c r="CP12" i="121"/>
  <c r="CP13" i="121" s="1"/>
  <c r="EV11" i="121"/>
  <c r="EW12" i="121"/>
  <c r="AM8" i="121"/>
  <c r="AC8" i="121"/>
  <c r="AC10" i="121" s="1"/>
  <c r="AL10" i="121" s="1"/>
  <c r="AD11" i="121"/>
  <c r="CC8" i="121"/>
  <c r="AD10" i="121"/>
  <c r="AM10" i="121" s="1"/>
  <c r="GB13" i="121"/>
  <c r="GK13" i="121" s="1"/>
  <c r="GK12" i="121"/>
  <c r="C179" i="120"/>
  <c r="C180" i="120" s="1"/>
  <c r="C13" i="120"/>
  <c r="B12" i="120"/>
  <c r="BZ8" i="121"/>
  <c r="BQ11" i="121"/>
  <c r="BP8" i="121"/>
  <c r="BP10" i="121" s="1"/>
  <c r="BY10" i="121" s="1"/>
  <c r="BQ10" i="121"/>
  <c r="BZ10" i="121" s="1"/>
  <c r="BK8" i="120"/>
  <c r="BE10" i="120"/>
  <c r="BK10" i="120" s="1"/>
  <c r="BK177" i="120" s="1"/>
  <c r="BE11" i="120"/>
  <c r="BE175" i="120"/>
  <c r="BE177" i="120" s="1"/>
  <c r="BD8" i="120"/>
  <c r="AQ179" i="120"/>
  <c r="AQ180" i="120" s="1"/>
  <c r="AQ13" i="120"/>
  <c r="DZ8" i="121"/>
  <c r="DQ11" i="121"/>
  <c r="DQ10" i="121"/>
  <c r="DZ10" i="121" s="1"/>
  <c r="FZ12" i="121"/>
  <c r="FZ13" i="121" s="1"/>
  <c r="GI13" i="121" s="1"/>
  <c r="GJ12" i="121"/>
  <c r="GA13" i="121"/>
  <c r="GJ13" i="121" s="1"/>
  <c r="CD209" i="120"/>
  <c r="CJ209" i="120" s="1"/>
  <c r="D143" i="120"/>
  <c r="CD142" i="120"/>
  <c r="CJ143" i="120"/>
  <c r="CB143" i="120"/>
  <c r="EM11" i="121"/>
  <c r="EN12" i="121"/>
  <c r="FE11" i="121"/>
  <c r="FF12" i="121"/>
  <c r="K11" i="121"/>
  <c r="L12" i="121"/>
  <c r="AO12" i="120"/>
  <c r="AP179" i="120"/>
  <c r="AP180" i="120" s="1"/>
  <c r="AP13" i="120"/>
  <c r="CL11" i="120"/>
  <c r="B178" i="120"/>
  <c r="AO11" i="121"/>
  <c r="AP12" i="121"/>
  <c r="AM175" i="120"/>
  <c r="AM11" i="120"/>
  <c r="BM12" i="120"/>
  <c r="BN179" i="120"/>
  <c r="BN180" i="120" s="1"/>
  <c r="BN13" i="120"/>
  <c r="CI179" i="120"/>
  <c r="CH12" i="120"/>
  <c r="CH179" i="120" s="1"/>
  <c r="DF11" i="121"/>
  <c r="DG12" i="121"/>
  <c r="AX11" i="121"/>
  <c r="AY12" i="121"/>
  <c r="AL8" i="120"/>
  <c r="AL175" i="120" s="1"/>
  <c r="AN175" i="120"/>
  <c r="AN11" i="120"/>
  <c r="BF175" i="120"/>
  <c r="BF177" i="120" s="1"/>
  <c r="BF10" i="120"/>
  <c r="BL10" i="120" s="1"/>
  <c r="BL177" i="120" s="1"/>
  <c r="BF11" i="120"/>
  <c r="BL8" i="120"/>
  <c r="GM8" i="121"/>
  <c r="B10" i="121"/>
  <c r="GM10" i="121" s="1"/>
  <c r="BG11" i="121"/>
  <c r="BH12" i="121"/>
  <c r="AN8" i="121"/>
  <c r="AN11" i="121" s="1"/>
  <c r="AN12" i="121" s="1"/>
  <c r="AE11" i="121"/>
  <c r="AE12" i="121" s="1"/>
  <c r="AE13" i="121" s="1"/>
  <c r="AN13" i="121" s="1"/>
  <c r="CD8" i="121"/>
  <c r="AE10" i="121"/>
  <c r="AN10" i="121" s="1"/>
  <c r="CO13" i="121"/>
  <c r="FX8" i="121"/>
  <c r="FN8" i="121"/>
  <c r="FN10" i="121" s="1"/>
  <c r="FW10" i="121" s="1"/>
  <c r="FO11" i="121"/>
  <c r="FO10" i="121"/>
  <c r="FX10" i="121" s="1"/>
  <c r="S179" i="120"/>
  <c r="S180" i="120" s="1"/>
  <c r="S13" i="120"/>
  <c r="FY8" i="121"/>
  <c r="FP11" i="121"/>
  <c r="FP10" i="121"/>
  <c r="FY10" i="121" s="1"/>
  <c r="CW11" i="121"/>
  <c r="CX12" i="121"/>
  <c r="T11" i="121"/>
  <c r="U12" i="121"/>
  <c r="AF175" i="120"/>
  <c r="AF177" i="120" s="1"/>
  <c r="AF10" i="120"/>
  <c r="AL10" i="120" s="1"/>
  <c r="AL177" i="120" s="1"/>
  <c r="CB179" i="120"/>
  <c r="CB180" i="120" s="1"/>
  <c r="CB13" i="120"/>
  <c r="CH13" i="120" s="1"/>
  <c r="CH180" i="120" s="1"/>
  <c r="AH12" i="120"/>
  <c r="AH178" i="120"/>
  <c r="B11" i="121"/>
  <c r="C12" i="121"/>
  <c r="R13" i="120"/>
  <c r="Q12" i="120"/>
  <c r="R179" i="120"/>
  <c r="R180" i="120" s="1"/>
  <c r="CL10" i="120"/>
  <c r="DY8" i="121"/>
  <c r="DO8" i="121"/>
  <c r="DO10" i="121" s="1"/>
  <c r="DX10" i="121" s="1"/>
  <c r="DP11" i="121"/>
  <c r="DP10" i="121"/>
  <c r="DY10" i="121" s="1"/>
  <c r="D179" i="120"/>
  <c r="D180" i="120" s="1"/>
  <c r="D13" i="120"/>
  <c r="P14" i="143"/>
  <c r="R13" i="143"/>
  <c r="F10" i="143"/>
  <c r="D10" i="143"/>
  <c r="Q13" i="143"/>
  <c r="Q14" i="143" s="1"/>
  <c r="J11" i="143"/>
  <c r="I11" i="143"/>
  <c r="H10" i="143"/>
  <c r="G10" i="141"/>
  <c r="EC63" i="7" s="1"/>
  <c r="H6" i="141"/>
  <c r="H10" i="141" s="1"/>
  <c r="EH49" i="8" s="1"/>
  <c r="D9" i="140"/>
  <c r="H11" i="143" l="1"/>
  <c r="E10" i="143"/>
  <c r="G10" i="143" s="1"/>
  <c r="CN12" i="121"/>
  <c r="CN13" i="121" s="1"/>
  <c r="DX8" i="121"/>
  <c r="GI12" i="121"/>
  <c r="GM11" i="121"/>
  <c r="AF145" i="122"/>
  <c r="Q182" i="122"/>
  <c r="CM78" i="120"/>
  <c r="BN245" i="120"/>
  <c r="BN70" i="120"/>
  <c r="BM78" i="120"/>
  <c r="CM32" i="120"/>
  <c r="BM32" i="120"/>
  <c r="EN43" i="123"/>
  <c r="BN165" i="122"/>
  <c r="EN47" i="123" s="1"/>
  <c r="BM182" i="122"/>
  <c r="C209" i="120"/>
  <c r="C61" i="121" s="1"/>
  <c r="L61" i="121" s="1"/>
  <c r="U61" i="121" s="1"/>
  <c r="R143" i="120"/>
  <c r="BE165" i="122"/>
  <c r="BK165" i="122" s="1"/>
  <c r="BK161" i="122"/>
  <c r="CL32" i="120"/>
  <c r="BL127" i="122"/>
  <c r="BD127" i="122"/>
  <c r="BJ127" i="122" s="1"/>
  <c r="BJ29" i="122"/>
  <c r="BD161" i="122"/>
  <c r="BE70" i="120"/>
  <c r="AO70" i="120"/>
  <c r="BK32" i="120"/>
  <c r="BD32" i="120"/>
  <c r="BJ32" i="120" s="1"/>
  <c r="FW8" i="121"/>
  <c r="BD78" i="120"/>
  <c r="BE245" i="120"/>
  <c r="BK245" i="120" s="1"/>
  <c r="BK78" i="120"/>
  <c r="BL9" i="122"/>
  <c r="BJ9" i="122" s="1"/>
  <c r="BD9" i="122"/>
  <c r="CD147" i="122"/>
  <c r="CJ147" i="122" s="1"/>
  <c r="BL147" i="122"/>
  <c r="BF8" i="122"/>
  <c r="AN8" i="122"/>
  <c r="AL8" i="122" s="1"/>
  <c r="AF8" i="122"/>
  <c r="AN145" i="122"/>
  <c r="BF145" i="122"/>
  <c r="AH182" i="122"/>
  <c r="AN182" i="122" s="1"/>
  <c r="BF166" i="122"/>
  <c r="BL166" i="122" s="1"/>
  <c r="BL111" i="122"/>
  <c r="BD169" i="122"/>
  <c r="BJ169" i="122" s="1"/>
  <c r="BJ114" i="122"/>
  <c r="BD25" i="122"/>
  <c r="BK25" i="122"/>
  <c r="BM25" i="122"/>
  <c r="BO202" i="120"/>
  <c r="EO52" i="121"/>
  <c r="BM125" i="120"/>
  <c r="AN52" i="121"/>
  <c r="AE54" i="121"/>
  <c r="AN54" i="121" s="1"/>
  <c r="CM125" i="120"/>
  <c r="CY52" i="121"/>
  <c r="CP54" i="121"/>
  <c r="BL200" i="120"/>
  <c r="BF202" i="120"/>
  <c r="BL202" i="120" s="1"/>
  <c r="CL125" i="120"/>
  <c r="BR52" i="121"/>
  <c r="CD52" i="121" s="1"/>
  <c r="Q179" i="120"/>
  <c r="Q180" i="120" s="1"/>
  <c r="Q13" i="120"/>
  <c r="FY11" i="121"/>
  <c r="FP12" i="121"/>
  <c r="BL175" i="120"/>
  <c r="BL11" i="120"/>
  <c r="AL11" i="120"/>
  <c r="AL178" i="120" s="1"/>
  <c r="AN178" i="120"/>
  <c r="AN12" i="120"/>
  <c r="AN179" i="120" s="1"/>
  <c r="AM178" i="120"/>
  <c r="AM12" i="120"/>
  <c r="AO179" i="120"/>
  <c r="AO180" i="120" s="1"/>
  <c r="AO13" i="120"/>
  <c r="DZ11" i="121"/>
  <c r="DQ12" i="121"/>
  <c r="BD175" i="120"/>
  <c r="BD177" i="120" s="1"/>
  <c r="BD10" i="120"/>
  <c r="BJ10" i="120" s="1"/>
  <c r="BJ177" i="120" s="1"/>
  <c r="BK175" i="120"/>
  <c r="BK11" i="120"/>
  <c r="BJ8" i="120"/>
  <c r="BJ175" i="120" s="1"/>
  <c r="BY8" i="121"/>
  <c r="BZ11" i="121"/>
  <c r="AC11" i="121"/>
  <c r="AD12" i="121"/>
  <c r="CX13" i="121"/>
  <c r="CW12" i="121"/>
  <c r="CW13" i="121" s="1"/>
  <c r="FX11" i="121"/>
  <c r="FN11" i="121"/>
  <c r="FO12" i="121"/>
  <c r="BF178" i="120"/>
  <c r="BF12" i="120"/>
  <c r="DG13" i="121"/>
  <c r="DF12" i="121"/>
  <c r="DF13" i="121" s="1"/>
  <c r="K12" i="121"/>
  <c r="K13" i="121" s="1"/>
  <c r="L13" i="121"/>
  <c r="EN13" i="121"/>
  <c r="EM12" i="121"/>
  <c r="EM13" i="121" s="1"/>
  <c r="B179" i="120"/>
  <c r="B180" i="120" s="1"/>
  <c r="B13" i="120"/>
  <c r="CL12" i="120"/>
  <c r="C13" i="121"/>
  <c r="B12" i="121"/>
  <c r="AH179" i="120"/>
  <c r="AH180" i="120" s="1"/>
  <c r="AH13" i="120"/>
  <c r="AN13" i="120" s="1"/>
  <c r="AN180" i="120" s="1"/>
  <c r="BG12" i="121"/>
  <c r="BG13" i="121" s="1"/>
  <c r="BH13" i="121"/>
  <c r="AP13" i="121"/>
  <c r="AO12" i="121"/>
  <c r="AO13" i="121" s="1"/>
  <c r="CD208" i="120"/>
  <c r="CJ208" i="120" s="1"/>
  <c r="CJ142" i="120"/>
  <c r="BE178" i="120"/>
  <c r="BD11" i="120"/>
  <c r="BD178" i="120" s="1"/>
  <c r="BE12" i="120"/>
  <c r="AL8" i="121"/>
  <c r="AM11" i="121"/>
  <c r="AG179" i="120"/>
  <c r="AG180" i="120" s="1"/>
  <c r="AG13" i="120"/>
  <c r="AM13" i="120" s="1"/>
  <c r="AM180" i="120" s="1"/>
  <c r="AF12" i="120"/>
  <c r="DY11" i="121"/>
  <c r="DO11" i="121"/>
  <c r="DP12" i="121"/>
  <c r="U13" i="121"/>
  <c r="T12" i="121"/>
  <c r="T13" i="121" s="1"/>
  <c r="EC8" i="121"/>
  <c r="CD11" i="121"/>
  <c r="CM8" i="121"/>
  <c r="CD10" i="121"/>
  <c r="CM10" i="121" s="1"/>
  <c r="AY13" i="121"/>
  <c r="AX12" i="121"/>
  <c r="AX13" i="121" s="1"/>
  <c r="BM179" i="120"/>
  <c r="BM180" i="120" s="1"/>
  <c r="BM13" i="120"/>
  <c r="FE12" i="121"/>
  <c r="FE13" i="121" s="1"/>
  <c r="FF13" i="121"/>
  <c r="CB209" i="120"/>
  <c r="CH209" i="120" s="1"/>
  <c r="CH143" i="120"/>
  <c r="S143" i="120"/>
  <c r="D209" i="120"/>
  <c r="D61" i="121" s="1"/>
  <c r="D142" i="120"/>
  <c r="B143" i="120"/>
  <c r="BP11" i="121"/>
  <c r="BQ12" i="121"/>
  <c r="CB8" i="121"/>
  <c r="CB10" i="121" s="1"/>
  <c r="CK10" i="121" s="1"/>
  <c r="CC11" i="121"/>
  <c r="EB8" i="121"/>
  <c r="CL8" i="121"/>
  <c r="CC10" i="121"/>
  <c r="CL10" i="121" s="1"/>
  <c r="EW13" i="121"/>
  <c r="EV12" i="121"/>
  <c r="EV13" i="121" s="1"/>
  <c r="P15" i="143"/>
  <c r="R14" i="143"/>
  <c r="K11" i="143"/>
  <c r="EG49" i="8"/>
  <c r="EH107" i="8"/>
  <c r="BF18" i="65" s="1"/>
  <c r="EC156" i="7"/>
  <c r="EC198" i="7" s="1"/>
  <c r="BU22" i="61"/>
  <c r="EB63" i="7"/>
  <c r="ED165" i="7"/>
  <c r="ED164" i="7"/>
  <c r="BF56" i="65"/>
  <c r="BF46" i="65"/>
  <c r="BV21" i="61"/>
  <c r="BV20" i="61"/>
  <c r="BU57" i="61"/>
  <c r="BU58" i="61" s="1"/>
  <c r="BU46" i="61"/>
  <c r="DX11" i="121" l="1"/>
  <c r="CK8" i="121"/>
  <c r="BD70" i="120"/>
  <c r="BJ70" i="120" s="1"/>
  <c r="BK70" i="120"/>
  <c r="BD165" i="122"/>
  <c r="BJ165" i="122" s="1"/>
  <c r="BJ161" i="122"/>
  <c r="AG143" i="120"/>
  <c r="R209" i="120"/>
  <c r="AP61" i="121" s="1"/>
  <c r="AY61" i="121" s="1"/>
  <c r="BH61" i="121" s="1"/>
  <c r="BM245" i="120"/>
  <c r="CL78" i="120"/>
  <c r="BJ78" i="120"/>
  <c r="BD245" i="120"/>
  <c r="BJ245" i="120" s="1"/>
  <c r="BM70" i="120"/>
  <c r="CL70" i="120" s="1"/>
  <c r="CM70" i="120"/>
  <c r="AL145" i="122"/>
  <c r="BD145" i="122"/>
  <c r="AF182" i="122"/>
  <c r="AL182" i="122" s="1"/>
  <c r="BL145" i="122"/>
  <c r="BF182" i="122"/>
  <c r="BL182" i="122" s="1"/>
  <c r="CD145" i="122"/>
  <c r="BL8" i="122"/>
  <c r="BJ8" i="122" s="1"/>
  <c r="BD8" i="122"/>
  <c r="BJ25" i="122"/>
  <c r="CM52" i="121"/>
  <c r="CA52" i="121"/>
  <c r="BR54" i="121"/>
  <c r="CA54" i="121" s="1"/>
  <c r="DH52" i="121"/>
  <c r="DH54" i="121" s="1"/>
  <c r="CY54" i="121"/>
  <c r="EX52" i="121"/>
  <c r="EO54" i="121"/>
  <c r="BQ13" i="121"/>
  <c r="BZ13" i="121" s="1"/>
  <c r="BP12" i="121"/>
  <c r="BP13" i="121" s="1"/>
  <c r="BY13" i="121" s="1"/>
  <c r="D208" i="120"/>
  <c r="D60" i="121" s="1"/>
  <c r="AL11" i="121"/>
  <c r="AM12" i="121"/>
  <c r="AL12" i="121" s="1"/>
  <c r="AD13" i="121"/>
  <c r="AM13" i="121" s="1"/>
  <c r="AC12" i="121"/>
  <c r="AC13" i="121" s="1"/>
  <c r="AL13" i="121" s="1"/>
  <c r="AL12" i="120"/>
  <c r="AL179" i="120" s="1"/>
  <c r="AM179" i="120"/>
  <c r="FW11" i="121"/>
  <c r="EB11" i="121"/>
  <c r="EA8" i="121"/>
  <c r="EA10" i="121" s="1"/>
  <c r="EJ10" i="121" s="1"/>
  <c r="EK8" i="121"/>
  <c r="EB10" i="121"/>
  <c r="EK10" i="121" s="1"/>
  <c r="M61" i="121"/>
  <c r="B61" i="121"/>
  <c r="AF179" i="120"/>
  <c r="AF180" i="120" s="1"/>
  <c r="AF13" i="120"/>
  <c r="AL13" i="120" s="1"/>
  <c r="AL180" i="120" s="1"/>
  <c r="BF179" i="120"/>
  <c r="BF180" i="120" s="1"/>
  <c r="BF13" i="120"/>
  <c r="BL13" i="120" s="1"/>
  <c r="BL180" i="120" s="1"/>
  <c r="BJ11" i="120"/>
  <c r="BJ178" i="120" s="1"/>
  <c r="BK178" i="120"/>
  <c r="BK12" i="120"/>
  <c r="DQ13" i="121"/>
  <c r="DZ13" i="121" s="1"/>
  <c r="DZ12" i="121"/>
  <c r="BL178" i="120"/>
  <c r="BL12" i="120"/>
  <c r="BL179" i="120" s="1"/>
  <c r="CL11" i="121"/>
  <c r="CB11" i="121"/>
  <c r="CC12" i="121"/>
  <c r="B209" i="120"/>
  <c r="AH143" i="120"/>
  <c r="S209" i="120"/>
  <c r="AQ61" i="121" s="1"/>
  <c r="S142" i="120"/>
  <c r="AH142" i="120" s="1"/>
  <c r="Q143" i="120"/>
  <c r="Q209" i="120" s="1"/>
  <c r="CM11" i="121"/>
  <c r="CD12" i="121"/>
  <c r="DP13" i="121"/>
  <c r="DY13" i="121" s="1"/>
  <c r="DY12" i="121"/>
  <c r="DO12" i="121"/>
  <c r="DO13" i="121" s="1"/>
  <c r="DX13" i="121" s="1"/>
  <c r="BE13" i="120"/>
  <c r="BK13" i="120" s="1"/>
  <c r="BK180" i="120" s="1"/>
  <c r="BD12" i="120"/>
  <c r="BE179" i="120"/>
  <c r="BE180" i="120" s="1"/>
  <c r="B13" i="121"/>
  <c r="GM13" i="121" s="1"/>
  <c r="GM12" i="121"/>
  <c r="CL13" i="120"/>
  <c r="BY11" i="121"/>
  <c r="BZ12" i="121"/>
  <c r="BY12" i="121" s="1"/>
  <c r="EL8" i="121"/>
  <c r="EC11" i="121"/>
  <c r="EC10" i="121"/>
  <c r="EL10" i="121" s="1"/>
  <c r="FN12" i="121"/>
  <c r="FN13" i="121" s="1"/>
  <c r="FW13" i="121" s="1"/>
  <c r="FO13" i="121"/>
  <c r="FX13" i="121" s="1"/>
  <c r="FX12" i="121"/>
  <c r="FP13" i="121"/>
  <c r="FY13" i="121" s="1"/>
  <c r="FY12" i="121"/>
  <c r="AD61" i="121"/>
  <c r="AM61" i="121" s="1"/>
  <c r="R15" i="143"/>
  <c r="P16" i="143"/>
  <c r="D11" i="143"/>
  <c r="F11" i="143"/>
  <c r="Q15" i="143"/>
  <c r="J12" i="143"/>
  <c r="I12" i="143"/>
  <c r="K12" i="143" s="1"/>
  <c r="EB156" i="7"/>
  <c r="BP22" i="61"/>
  <c r="EG107" i="8"/>
  <c r="EI142" i="8"/>
  <c r="EI69" i="8"/>
  <c r="EI67" i="8" s="1"/>
  <c r="EH69" i="8"/>
  <c r="EH57" i="8"/>
  <c r="EG57" i="8" s="1"/>
  <c r="EG115" i="8" s="1"/>
  <c r="EI46" i="8"/>
  <c r="EI44" i="8"/>
  <c r="EI43" i="8"/>
  <c r="ED78" i="7"/>
  <c r="ED77" i="7" s="1"/>
  <c r="EC68" i="7"/>
  <c r="EB68" i="7" s="1"/>
  <c r="EB163" i="7" s="1"/>
  <c r="ED60" i="7"/>
  <c r="ED157" i="7" s="1"/>
  <c r="EC58" i="7"/>
  <c r="EB58" i="7" s="1"/>
  <c r="EC46" i="7"/>
  <c r="EB46" i="7" s="1"/>
  <c r="EC44" i="7"/>
  <c r="EC36" i="7"/>
  <c r="EB36" i="7" s="1"/>
  <c r="EC29" i="7"/>
  <c r="EB29" i="7" s="1"/>
  <c r="EC20" i="7"/>
  <c r="EC10" i="7"/>
  <c r="EB10" i="7" s="1"/>
  <c r="D11" i="140"/>
  <c r="C10" i="140"/>
  <c r="B10" i="140"/>
  <c r="C9" i="140"/>
  <c r="C8" i="140"/>
  <c r="B7" i="140"/>
  <c r="BF62" i="65"/>
  <c r="BG37" i="65"/>
  <c r="BU60" i="61"/>
  <c r="BU63" i="61"/>
  <c r="BV39" i="61"/>
  <c r="BV38" i="61"/>
  <c r="BW33" i="61"/>
  <c r="BU33" i="61"/>
  <c r="AB49" i="96"/>
  <c r="EH153" i="8"/>
  <c r="EI128" i="8"/>
  <c r="EH128" i="8"/>
  <c r="EG128" i="8"/>
  <c r="EI125" i="8"/>
  <c r="EH125" i="8"/>
  <c r="EG125" i="8"/>
  <c r="EG122" i="8"/>
  <c r="EI115" i="8"/>
  <c r="EI114" i="8"/>
  <c r="EI113" i="8"/>
  <c r="EI112" i="8"/>
  <c r="EI145" i="8" s="1"/>
  <c r="EI111" i="8"/>
  <c r="EI146" i="8" s="1"/>
  <c r="EI110" i="8"/>
  <c r="EI147" i="8" s="1"/>
  <c r="EI109" i="8"/>
  <c r="EI140" i="8" s="1"/>
  <c r="EI108" i="8"/>
  <c r="EI106" i="8"/>
  <c r="EI103" i="8"/>
  <c r="EI102" i="8"/>
  <c r="EI101" i="8"/>
  <c r="EH101" i="8"/>
  <c r="EI99" i="8"/>
  <c r="EI97" i="8"/>
  <c r="EI144" i="8" s="1"/>
  <c r="EL69" i="8"/>
  <c r="EL67" i="8" s="1"/>
  <c r="EK68" i="8"/>
  <c r="EK67" i="8" s="1"/>
  <c r="EG39" i="8"/>
  <c r="EG36" i="8"/>
  <c r="EI34" i="8"/>
  <c r="EG30" i="8"/>
  <c r="EI27" i="8"/>
  <c r="EG24" i="8"/>
  <c r="EG21" i="8"/>
  <c r="EG14" i="8"/>
  <c r="EG11" i="8"/>
  <c r="EI8" i="8"/>
  <c r="ED190" i="7"/>
  <c r="EG175" i="7"/>
  <c r="EF175" i="7"/>
  <c r="EE175" i="7"/>
  <c r="ED175" i="7"/>
  <c r="EC175" i="7"/>
  <c r="EB175" i="7"/>
  <c r="EG172" i="7"/>
  <c r="EF172" i="7"/>
  <c r="EE172" i="7"/>
  <c r="ED172" i="7"/>
  <c r="EC172" i="7"/>
  <c r="EB172" i="7"/>
  <c r="EE169" i="7"/>
  <c r="ED169" i="7"/>
  <c r="EC169" i="7"/>
  <c r="EB169" i="7"/>
  <c r="ED163" i="7"/>
  <c r="ED162" i="7"/>
  <c r="EG161" i="7"/>
  <c r="ED161" i="7"/>
  <c r="ED192" i="7" s="1"/>
  <c r="ED160" i="7"/>
  <c r="EG159" i="7"/>
  <c r="EF159" i="7"/>
  <c r="EE159" i="7"/>
  <c r="ED159" i="7"/>
  <c r="ED194" i="7" s="1"/>
  <c r="EG158" i="7"/>
  <c r="ED158" i="7"/>
  <c r="ED187" i="7" s="1"/>
  <c r="EC158" i="7"/>
  <c r="EC187" i="7" s="1"/>
  <c r="EG157" i="7"/>
  <c r="EG155" i="7"/>
  <c r="ED155" i="7"/>
  <c r="EG152" i="7"/>
  <c r="ED152" i="7"/>
  <c r="EG151" i="7"/>
  <c r="ED151" i="7"/>
  <c r="ED150" i="7"/>
  <c r="EC150" i="7"/>
  <c r="EG148" i="7"/>
  <c r="ED148" i="7"/>
  <c r="EG146" i="7"/>
  <c r="ED146" i="7"/>
  <c r="ED191" i="7" s="1"/>
  <c r="EG145" i="7"/>
  <c r="EF78" i="7"/>
  <c r="EF77" i="7" s="1"/>
  <c r="EG77" i="7"/>
  <c r="EG75" i="7"/>
  <c r="EG74" i="7" s="1"/>
  <c r="EF75" i="7"/>
  <c r="EF74" i="7" s="1"/>
  <c r="EE155" i="7"/>
  <c r="EE158" i="7"/>
  <c r="EB61" i="7"/>
  <c r="EB158" i="7" s="1"/>
  <c r="EE157" i="7"/>
  <c r="EB55" i="7"/>
  <c r="ED54" i="7"/>
  <c r="EB49" i="7"/>
  <c r="ED43" i="7"/>
  <c r="EB40" i="7"/>
  <c r="EB37" i="7"/>
  <c r="ED35" i="7"/>
  <c r="EB32" i="7"/>
  <c r="EB30" i="7"/>
  <c r="ED27" i="7"/>
  <c r="EB24" i="7"/>
  <c r="EB21" i="7"/>
  <c r="ED17" i="7"/>
  <c r="EB14" i="7"/>
  <c r="EB11" i="7"/>
  <c r="ED186" i="7" l="1"/>
  <c r="FW12" i="121"/>
  <c r="DX12" i="121"/>
  <c r="BU16" i="61"/>
  <c r="CD182" i="122"/>
  <c r="CJ182" i="122" s="1"/>
  <c r="CJ145" i="122"/>
  <c r="BU28" i="61"/>
  <c r="EC69" i="7"/>
  <c r="BJ145" i="122"/>
  <c r="BD182" i="122"/>
  <c r="BJ182" i="122" s="1"/>
  <c r="CB145" i="122"/>
  <c r="C11" i="140"/>
  <c r="BF26" i="65"/>
  <c r="EH58" i="8"/>
  <c r="EG58" i="8" s="1"/>
  <c r="EH116" i="8"/>
  <c r="EG116" i="8" s="1"/>
  <c r="EH149" i="8"/>
  <c r="AM143" i="120"/>
  <c r="AG209" i="120"/>
  <c r="AM209" i="120" s="1"/>
  <c r="AP143" i="120"/>
  <c r="BZ33" i="61"/>
  <c r="FG52" i="121"/>
  <c r="EX54" i="121"/>
  <c r="DQ52" i="121"/>
  <c r="AN142" i="120"/>
  <c r="AH208" i="120"/>
  <c r="AN208" i="120" s="1"/>
  <c r="CD13" i="121"/>
  <c r="CM13" i="121" s="1"/>
  <c r="CM12" i="121"/>
  <c r="AZ61" i="121"/>
  <c r="AO61" i="121"/>
  <c r="CB12" i="121"/>
  <c r="CB13" i="121" s="1"/>
  <c r="CL12" i="121"/>
  <c r="CK12" i="121" s="1"/>
  <c r="CC13" i="121"/>
  <c r="CL13" i="121" s="1"/>
  <c r="BK179" i="120"/>
  <c r="BJ12" i="120"/>
  <c r="BJ179" i="120" s="1"/>
  <c r="EL11" i="121"/>
  <c r="EC12" i="121"/>
  <c r="AH209" i="120"/>
  <c r="AN209" i="120" s="1"/>
  <c r="AN143" i="120"/>
  <c r="AQ143" i="120"/>
  <c r="BF143" i="120" s="1"/>
  <c r="AF143" i="120"/>
  <c r="BQ61" i="121"/>
  <c r="EJ8" i="121"/>
  <c r="M60" i="121"/>
  <c r="CK11" i="121"/>
  <c r="BD13" i="120"/>
  <c r="BJ13" i="120" s="1"/>
  <c r="BJ180" i="120" s="1"/>
  <c r="BD179" i="120"/>
  <c r="BD180" i="120" s="1"/>
  <c r="S208" i="120"/>
  <c r="AQ60" i="121" s="1"/>
  <c r="V61" i="121"/>
  <c r="T61" i="121" s="1"/>
  <c r="K61" i="121"/>
  <c r="EK11" i="121"/>
  <c r="EA11" i="121"/>
  <c r="EB12" i="121"/>
  <c r="R16" i="143"/>
  <c r="P17" i="143"/>
  <c r="E11" i="143"/>
  <c r="Q16" i="143"/>
  <c r="J13" i="143"/>
  <c r="I13" i="143"/>
  <c r="H12" i="143"/>
  <c r="EH150" i="8"/>
  <c r="EH59" i="8"/>
  <c r="EG59" i="8" s="1"/>
  <c r="EH117" i="8"/>
  <c r="EG117" i="8" s="1"/>
  <c r="BF27" i="65"/>
  <c r="B11" i="140"/>
  <c r="EC70" i="7"/>
  <c r="BU29" i="61"/>
  <c r="EH118" i="8"/>
  <c r="EG118" i="8" s="1"/>
  <c r="EH60" i="8"/>
  <c r="EH151" i="8"/>
  <c r="BF28" i="65"/>
  <c r="EG101" i="8"/>
  <c r="EH115" i="8"/>
  <c r="BF29" i="65" s="1"/>
  <c r="EC163" i="7"/>
  <c r="BU30" i="61" s="1"/>
  <c r="EG153" i="7"/>
  <c r="BB16" i="64" s="1"/>
  <c r="EF157" i="7"/>
  <c r="EB150" i="7"/>
  <c r="EF155" i="7"/>
  <c r="ED189" i="7"/>
  <c r="EE167" i="7"/>
  <c r="EE72" i="7" s="1"/>
  <c r="EC146" i="7"/>
  <c r="BU64" i="61"/>
  <c r="BU66" i="61" s="1"/>
  <c r="EB20" i="7"/>
  <c r="EB44" i="7"/>
  <c r="EF158" i="7"/>
  <c r="EG149" i="7"/>
  <c r="EI42" i="8"/>
  <c r="BQ46" i="61"/>
  <c r="BS64" i="61"/>
  <c r="BS57" i="61"/>
  <c r="BS63" i="61" s="1"/>
  <c r="BQ57" i="61"/>
  <c r="BQ63" i="61" s="1"/>
  <c r="BS46" i="61"/>
  <c r="BT39" i="61"/>
  <c r="BR39" i="61"/>
  <c r="BT38" i="61"/>
  <c r="BR38" i="61"/>
  <c r="BS33" i="61"/>
  <c r="BQ33" i="61"/>
  <c r="BS24" i="61"/>
  <c r="BT23" i="61"/>
  <c r="BT21" i="61"/>
  <c r="BR21" i="61"/>
  <c r="BT20" i="61"/>
  <c r="BR20" i="61"/>
  <c r="BS19" i="61"/>
  <c r="BT16" i="61"/>
  <c r="BC30" i="64"/>
  <c r="BA30" i="64"/>
  <c r="BC29" i="64"/>
  <c r="BA29" i="64"/>
  <c r="BC27" i="64"/>
  <c r="BA27" i="64"/>
  <c r="BC26" i="64"/>
  <c r="BA26" i="64"/>
  <c r="BC25" i="64"/>
  <c r="BA25" i="64"/>
  <c r="BB24" i="64"/>
  <c r="AZ24" i="64"/>
  <c r="BB22" i="64"/>
  <c r="BB21" i="64"/>
  <c r="AZ21" i="64"/>
  <c r="BB20" i="64"/>
  <c r="AZ20" i="64"/>
  <c r="BB19" i="64"/>
  <c r="AZ19" i="64"/>
  <c r="BB18" i="64"/>
  <c r="AZ18" i="64"/>
  <c r="BB46" i="65"/>
  <c r="BD63" i="65"/>
  <c r="BD56" i="65"/>
  <c r="BD62" i="65" s="1"/>
  <c r="BB56" i="65"/>
  <c r="BB57" i="65" s="1"/>
  <c r="BB59" i="65" s="1"/>
  <c r="BD46" i="65"/>
  <c r="BD42" i="65"/>
  <c r="BD41" i="65"/>
  <c r="BE37" i="65"/>
  <c r="BC37" i="65"/>
  <c r="BD33" i="65"/>
  <c r="BD20" i="65"/>
  <c r="BB25" i="66"/>
  <c r="BB22" i="66"/>
  <c r="BB21" i="66"/>
  <c r="BB20" i="66"/>
  <c r="BB19" i="66"/>
  <c r="BB18" i="66"/>
  <c r="BA31" i="66"/>
  <c r="BA30" i="66"/>
  <c r="BA28" i="66"/>
  <c r="BA27" i="66"/>
  <c r="BA26" i="66"/>
  <c r="AZ25" i="66"/>
  <c r="AZ22" i="66"/>
  <c r="AZ21" i="66"/>
  <c r="AZ20" i="66"/>
  <c r="AZ19" i="66"/>
  <c r="EJ11" i="121" l="1"/>
  <c r="BE143" i="120"/>
  <c r="BD143" i="120" s="1"/>
  <c r="AP209" i="120"/>
  <c r="CO61" i="121" s="1"/>
  <c r="CX61" i="121" s="1"/>
  <c r="DG61" i="121" s="1"/>
  <c r="BN143" i="120"/>
  <c r="CB182" i="122"/>
  <c r="CH182" i="122" s="1"/>
  <c r="CH145" i="122"/>
  <c r="EB69" i="7"/>
  <c r="EB164" i="7" s="1"/>
  <c r="EC164" i="7"/>
  <c r="EC196" i="7" s="1"/>
  <c r="BY33" i="61"/>
  <c r="DZ52" i="121"/>
  <c r="DQ54" i="121"/>
  <c r="DZ54" i="121" s="1"/>
  <c r="EC52" i="121"/>
  <c r="FG54" i="121"/>
  <c r="FP52" i="121"/>
  <c r="BF209" i="120"/>
  <c r="BL209" i="120" s="1"/>
  <c r="BL143" i="120"/>
  <c r="EB13" i="121"/>
  <c r="EK13" i="121" s="1"/>
  <c r="EK12" i="121"/>
  <c r="EA12" i="121"/>
  <c r="EA13" i="121" s="1"/>
  <c r="EJ13" i="121" s="1"/>
  <c r="V60" i="121"/>
  <c r="AC61" i="121"/>
  <c r="BI61" i="121"/>
  <c r="BG61" i="121" s="1"/>
  <c r="AX61" i="121"/>
  <c r="AZ60" i="121"/>
  <c r="CC61" i="121"/>
  <c r="BZ61" i="121"/>
  <c r="AF209" i="120"/>
  <c r="AL209" i="120" s="1"/>
  <c r="AL143" i="120"/>
  <c r="AQ209" i="120"/>
  <c r="CP61" i="121" s="1"/>
  <c r="BO143" i="120"/>
  <c r="CN143" i="120" s="1"/>
  <c r="AQ142" i="120"/>
  <c r="AO143" i="120"/>
  <c r="EL12" i="121"/>
  <c r="EC13" i="121"/>
  <c r="EL13" i="121" s="1"/>
  <c r="AE61" i="121"/>
  <c r="BB38" i="66"/>
  <c r="BB52" i="66" s="1"/>
  <c r="BB62" i="65"/>
  <c r="BF57" i="65"/>
  <c r="BF59" i="65" s="1"/>
  <c r="BQ58" i="61"/>
  <c r="Q17" i="143"/>
  <c r="P18" i="143"/>
  <c r="R17" i="143"/>
  <c r="G11" i="143"/>
  <c r="H13" i="143"/>
  <c r="K13" i="143"/>
  <c r="EB70" i="7"/>
  <c r="EB165" i="7" s="1"/>
  <c r="EC165" i="7"/>
  <c r="EC197" i="7" s="1"/>
  <c r="EG60" i="8"/>
  <c r="EC191" i="7"/>
  <c r="BU31" i="61"/>
  <c r="BB63" i="65"/>
  <c r="EI104" i="8"/>
  <c r="EB146" i="7"/>
  <c r="BS66" i="61"/>
  <c r="BS60" i="61"/>
  <c r="BD65" i="65"/>
  <c r="BD59" i="65"/>
  <c r="DX163" i="7"/>
  <c r="DX162" i="7"/>
  <c r="DX160" i="7"/>
  <c r="DX186" i="7" l="1"/>
  <c r="BF63" i="65"/>
  <c r="BF65" i="65" s="1"/>
  <c r="BB65" i="65"/>
  <c r="BE209" i="120"/>
  <c r="BK209" i="120" s="1"/>
  <c r="BK143" i="120"/>
  <c r="BN209" i="120"/>
  <c r="EN61" i="121" s="1"/>
  <c r="EW61" i="121" s="1"/>
  <c r="CM143" i="120"/>
  <c r="BR61" i="121"/>
  <c r="CA61" i="121" s="1"/>
  <c r="BP61" i="121"/>
  <c r="BY61" i="121" s="1"/>
  <c r="FP54" i="121"/>
  <c r="FY54" i="121" s="1"/>
  <c r="FY52" i="121"/>
  <c r="GB52" i="121"/>
  <c r="EL52" i="121"/>
  <c r="EC54" i="121"/>
  <c r="EL54" i="121" s="1"/>
  <c r="AO209" i="120"/>
  <c r="CY61" i="121"/>
  <c r="CN61" i="121"/>
  <c r="FF61" i="121"/>
  <c r="BD209" i="120"/>
  <c r="BJ209" i="120" s="1"/>
  <c r="BJ143" i="120"/>
  <c r="DP61" i="121"/>
  <c r="DY61" i="121" s="1"/>
  <c r="AE60" i="121"/>
  <c r="AN61" i="121"/>
  <c r="AQ208" i="120"/>
  <c r="CP60" i="121" s="1"/>
  <c r="BF142" i="120"/>
  <c r="BI60" i="121"/>
  <c r="EJ12" i="121"/>
  <c r="BO209" i="120"/>
  <c r="EO61" i="121" s="1"/>
  <c r="BO142" i="120"/>
  <c r="BM143" i="120"/>
  <c r="BM209" i="120" s="1"/>
  <c r="CL61" i="121"/>
  <c r="AL61" i="121"/>
  <c r="F12" i="143"/>
  <c r="D12" i="143"/>
  <c r="P19" i="143"/>
  <c r="R18" i="143"/>
  <c r="Q18" i="143"/>
  <c r="J14" i="143"/>
  <c r="I14" i="143"/>
  <c r="EI141" i="8"/>
  <c r="BQ60" i="61"/>
  <c r="BQ64" i="61"/>
  <c r="BQ66" i="61" s="1"/>
  <c r="DX78" i="7"/>
  <c r="DW68" i="7"/>
  <c r="DW58" i="7"/>
  <c r="DW46" i="7"/>
  <c r="DW44" i="7"/>
  <c r="DW36" i="7"/>
  <c r="DW29" i="7"/>
  <c r="DW20" i="7"/>
  <c r="DW10" i="7"/>
  <c r="DZ9" i="7"/>
  <c r="EA9" i="7"/>
  <c r="EA185" i="7" s="1"/>
  <c r="EA190" i="7"/>
  <c r="DX190" i="7"/>
  <c r="EA189" i="7"/>
  <c r="EA175" i="7"/>
  <c r="DZ175" i="7"/>
  <c r="DY175" i="7"/>
  <c r="DX175" i="7"/>
  <c r="DW175" i="7"/>
  <c r="DV175" i="7"/>
  <c r="EA172" i="7"/>
  <c r="DZ172" i="7"/>
  <c r="DY172" i="7"/>
  <c r="DX172" i="7"/>
  <c r="DW172" i="7"/>
  <c r="DV172" i="7"/>
  <c r="DY169" i="7"/>
  <c r="DX169" i="7"/>
  <c r="DW169" i="7"/>
  <c r="DV169" i="7"/>
  <c r="EA167" i="7"/>
  <c r="DZ167" i="7"/>
  <c r="EA161" i="7"/>
  <c r="EA192" i="7" s="1"/>
  <c r="DX161" i="7"/>
  <c r="DX192" i="7" s="1"/>
  <c r="EA159" i="7"/>
  <c r="DZ159" i="7"/>
  <c r="DX159" i="7"/>
  <c r="DX194" i="7" s="1"/>
  <c r="EA158" i="7"/>
  <c r="EA187" i="7" s="1"/>
  <c r="DX158" i="7"/>
  <c r="DX187" i="7" s="1"/>
  <c r="DW158" i="7"/>
  <c r="EA157" i="7"/>
  <c r="EA155" i="7"/>
  <c r="DX155" i="7"/>
  <c r="EA152" i="7"/>
  <c r="DX152" i="7"/>
  <c r="EA151" i="7"/>
  <c r="DX151" i="7"/>
  <c r="DX150" i="7"/>
  <c r="DW150" i="7"/>
  <c r="EA148" i="7"/>
  <c r="DX148" i="7"/>
  <c r="EA146" i="7"/>
  <c r="EA191" i="7" s="1"/>
  <c r="DX146" i="7"/>
  <c r="DX191" i="7" s="1"/>
  <c r="AZ22" i="64" s="1"/>
  <c r="EA145" i="7"/>
  <c r="CD61" i="121" l="1"/>
  <c r="CM61" i="121" s="1"/>
  <c r="DW187" i="7"/>
  <c r="BQ16" i="61"/>
  <c r="H14" i="143"/>
  <c r="CB61" i="121"/>
  <c r="CK61" i="121" s="1"/>
  <c r="EB61" i="121"/>
  <c r="EK61" i="121" s="1"/>
  <c r="GK52" i="121"/>
  <c r="GB54" i="121"/>
  <c r="GK54" i="121" s="1"/>
  <c r="BO208" i="120"/>
  <c r="EO60" i="121" s="1"/>
  <c r="BR60" i="121"/>
  <c r="CA60" i="121" s="1"/>
  <c r="AN60" i="121"/>
  <c r="EX61" i="121"/>
  <c r="EM61" i="121"/>
  <c r="BF208" i="120"/>
  <c r="BL208" i="120" s="1"/>
  <c r="BL142" i="120"/>
  <c r="FO61" i="121"/>
  <c r="FX61" i="121" s="1"/>
  <c r="CN142" i="120"/>
  <c r="DH61" i="121"/>
  <c r="CW61" i="121"/>
  <c r="CY60" i="121"/>
  <c r="CL143" i="120"/>
  <c r="P20" i="143"/>
  <c r="R19" i="143"/>
  <c r="E12" i="143"/>
  <c r="Q19" i="143"/>
  <c r="Q20" i="143" s="1"/>
  <c r="F3" i="143"/>
  <c r="K14" i="143"/>
  <c r="EA144" i="7"/>
  <c r="DV68" i="7"/>
  <c r="DV163" i="7" s="1"/>
  <c r="DW163" i="7"/>
  <c r="BQ30" i="61" s="1"/>
  <c r="DY167" i="7"/>
  <c r="DY72" i="7" s="1"/>
  <c r="DW146" i="7"/>
  <c r="DZ78" i="7"/>
  <c r="DZ77" i="7" s="1"/>
  <c r="EA77" i="7"/>
  <c r="DX77" i="7"/>
  <c r="EA75" i="7"/>
  <c r="EA74" i="7" s="1"/>
  <c r="DZ75" i="7"/>
  <c r="DZ74" i="7" s="1"/>
  <c r="EA72" i="7"/>
  <c r="DZ72" i="7"/>
  <c r="DZ66" i="7"/>
  <c r="DZ161" i="7" s="1"/>
  <c r="DZ192" i="7" s="1"/>
  <c r="DY64" i="7"/>
  <c r="DY159" i="7" s="1"/>
  <c r="DZ62" i="7"/>
  <c r="DZ61" i="7"/>
  <c r="DZ158" i="7" s="1"/>
  <c r="DZ187" i="7" s="1"/>
  <c r="DV61" i="7"/>
  <c r="DV158" i="7" s="1"/>
  <c r="DZ60" i="7"/>
  <c r="DY60" i="7" s="1"/>
  <c r="DY157" i="7" s="1"/>
  <c r="DX60" i="7"/>
  <c r="AZ17" i="64" s="1"/>
  <c r="DZ58" i="7"/>
  <c r="DY58" i="7" s="1"/>
  <c r="DV58" i="7"/>
  <c r="DZ56" i="7"/>
  <c r="DY56" i="7" s="1"/>
  <c r="DY55" i="7"/>
  <c r="DV55" i="7"/>
  <c r="EA54" i="7"/>
  <c r="DZ54" i="7"/>
  <c r="DX54" i="7"/>
  <c r="EA53" i="7"/>
  <c r="DZ53" i="7"/>
  <c r="DV49" i="7"/>
  <c r="DZ47" i="7"/>
  <c r="DZ46" i="7"/>
  <c r="DY46" i="7" s="1"/>
  <c r="DV46" i="7"/>
  <c r="DZ45" i="7"/>
  <c r="DY45" i="7" s="1"/>
  <c r="DZ44" i="7"/>
  <c r="DY44" i="7" s="1"/>
  <c r="DV44" i="7"/>
  <c r="EA43" i="7"/>
  <c r="DX43" i="7"/>
  <c r="DZ42" i="7"/>
  <c r="DY42" i="7" s="1"/>
  <c r="DV40" i="7"/>
  <c r="DZ38" i="7"/>
  <c r="DY38" i="7" s="1"/>
  <c r="DY37" i="7"/>
  <c r="DV37" i="7"/>
  <c r="DZ36" i="7"/>
  <c r="DY36" i="7" s="1"/>
  <c r="DV36" i="7"/>
  <c r="DX35" i="7"/>
  <c r="DZ34" i="7"/>
  <c r="DY34" i="7" s="1"/>
  <c r="DV32" i="7"/>
  <c r="DY30" i="7"/>
  <c r="DV30" i="7"/>
  <c r="DZ29" i="7"/>
  <c r="DY29" i="7" s="1"/>
  <c r="DV29" i="7"/>
  <c r="DZ28" i="7"/>
  <c r="DY28" i="7" s="1"/>
  <c r="DX27" i="7"/>
  <c r="DZ26" i="7"/>
  <c r="DY26" i="7" s="1"/>
  <c r="DY25" i="7"/>
  <c r="DV24" i="7"/>
  <c r="DZ22" i="7"/>
  <c r="DY22" i="7" s="1"/>
  <c r="DY21" i="7"/>
  <c r="DV21" i="7"/>
  <c r="DZ20" i="7"/>
  <c r="DY20" i="7" s="1"/>
  <c r="DV20" i="7"/>
  <c r="DZ19" i="7"/>
  <c r="DZ151" i="7" s="1"/>
  <c r="DZ18" i="7"/>
  <c r="DX17" i="7"/>
  <c r="DZ16" i="7"/>
  <c r="DY16" i="7" s="1"/>
  <c r="DV14" i="7"/>
  <c r="EA13" i="7"/>
  <c r="DZ12" i="7"/>
  <c r="DY12" i="7" s="1"/>
  <c r="DY11" i="7"/>
  <c r="DV11" i="7"/>
  <c r="DZ10" i="7"/>
  <c r="DV10" i="7"/>
  <c r="DY9" i="7"/>
  <c r="EC142" i="8"/>
  <c r="AZ18" i="66" s="1"/>
  <c r="EC115" i="8"/>
  <c r="EC114" i="8"/>
  <c r="EC113" i="8"/>
  <c r="EC111" i="8"/>
  <c r="EC146" i="8" s="1"/>
  <c r="EB69" i="8"/>
  <c r="EB57" i="8"/>
  <c r="EA57" i="8" s="1"/>
  <c r="EA115" i="8" s="1"/>
  <c r="CD60" i="121" l="1"/>
  <c r="DY53" i="7"/>
  <c r="FG61" i="121"/>
  <c r="FE61" i="121" s="1"/>
  <c r="EV61" i="121"/>
  <c r="CM60" i="121"/>
  <c r="DH60" i="121"/>
  <c r="GA61" i="121"/>
  <c r="GJ61" i="121" s="1"/>
  <c r="EX60" i="121"/>
  <c r="DF61" i="121"/>
  <c r="DO61" i="121" s="1"/>
  <c r="DQ61" i="121"/>
  <c r="FP61" i="121"/>
  <c r="FY61" i="121" s="1"/>
  <c r="G12" i="143"/>
  <c r="F2" i="143"/>
  <c r="P21" i="143"/>
  <c r="R20" i="143"/>
  <c r="J15" i="143"/>
  <c r="I15" i="143"/>
  <c r="DZ144" i="7"/>
  <c r="DW191" i="7"/>
  <c r="BQ31" i="61"/>
  <c r="DZ52" i="7"/>
  <c r="DZ153" i="7" s="1"/>
  <c r="DZ188" i="7" s="1"/>
  <c r="DY19" i="7"/>
  <c r="DY151" i="7" s="1"/>
  <c r="DY66" i="7"/>
  <c r="DY161" i="7" s="1"/>
  <c r="DY148" i="7"/>
  <c r="DZ146" i="7"/>
  <c r="DZ191" i="7" s="1"/>
  <c r="DY61" i="7"/>
  <c r="DY158" i="7" s="1"/>
  <c r="DZ148" i="7"/>
  <c r="DY18" i="7"/>
  <c r="DY144" i="7" s="1"/>
  <c r="DY54" i="7"/>
  <c r="DZ155" i="7"/>
  <c r="DZ190" i="7"/>
  <c r="DY152" i="7"/>
  <c r="DX157" i="7"/>
  <c r="DX189" i="7"/>
  <c r="DV146" i="7"/>
  <c r="EA149" i="7"/>
  <c r="DZ152" i="7"/>
  <c r="DY47" i="7"/>
  <c r="DY145" i="7" s="1"/>
  <c r="DZ145" i="7"/>
  <c r="DZ157" i="7"/>
  <c r="DZ189" i="7"/>
  <c r="DY10" i="7"/>
  <c r="DY146" i="7" s="1"/>
  <c r="EA52" i="7"/>
  <c r="EA153" i="7" s="1"/>
  <c r="DY62" i="7"/>
  <c r="DY155" i="7" s="1"/>
  <c r="DV150" i="7"/>
  <c r="EB115" i="8"/>
  <c r="BB29" i="65" s="1"/>
  <c r="DZ185" i="7" l="1"/>
  <c r="H15" i="143"/>
  <c r="DY52" i="7"/>
  <c r="DY153" i="7" s="1"/>
  <c r="FN61" i="121"/>
  <c r="FW61" i="121" s="1"/>
  <c r="DZ61" i="121"/>
  <c r="EC61" i="121"/>
  <c r="FG60" i="121"/>
  <c r="DX61" i="121"/>
  <c r="EA61" i="121"/>
  <c r="DQ60" i="121"/>
  <c r="GM61" i="121"/>
  <c r="R21" i="143"/>
  <c r="P22" i="143"/>
  <c r="D13" i="143"/>
  <c r="F13" i="143"/>
  <c r="Q21" i="143"/>
  <c r="K15" i="143"/>
  <c r="EA188" i="7"/>
  <c r="EN36" i="17"/>
  <c r="EE9" i="8"/>
  <c r="EE10" i="8"/>
  <c r="EE12" i="8"/>
  <c r="ED12" i="8" s="1"/>
  <c r="EE153" i="8"/>
  <c r="EB153" i="8"/>
  <c r="EF128" i="8"/>
  <c r="EE128" i="8"/>
  <c r="ED128" i="8"/>
  <c r="EC128" i="8"/>
  <c r="EB128" i="8"/>
  <c r="EA128" i="8"/>
  <c r="EF125" i="8"/>
  <c r="EE125" i="8"/>
  <c r="ED125" i="8"/>
  <c r="EC125" i="8"/>
  <c r="EB125" i="8"/>
  <c r="EA125" i="8"/>
  <c r="ED122" i="8"/>
  <c r="EA122" i="8"/>
  <c r="EF120" i="8"/>
  <c r="EE120" i="8"/>
  <c r="EE62" i="8" s="1"/>
  <c r="EF112" i="8"/>
  <c r="EC112" i="8"/>
  <c r="EC145" i="8" s="1"/>
  <c r="EF110" i="8"/>
  <c r="EE110" i="8"/>
  <c r="EC110" i="8"/>
  <c r="EC147" i="8" s="1"/>
  <c r="EF109" i="8"/>
  <c r="EF140" i="8" s="1"/>
  <c r="EC109" i="8"/>
  <c r="EC140" i="8" s="1"/>
  <c r="EF108" i="8"/>
  <c r="EF142" i="8" s="1"/>
  <c r="EC108" i="8"/>
  <c r="EF106" i="8"/>
  <c r="EC106" i="8"/>
  <c r="EF103" i="8"/>
  <c r="EC103" i="8"/>
  <c r="EF102" i="8"/>
  <c r="EC102" i="8"/>
  <c r="EC101" i="8"/>
  <c r="EB101" i="8"/>
  <c r="EF99" i="8"/>
  <c r="EC99" i="8"/>
  <c r="EF97" i="8"/>
  <c r="EF144" i="8" s="1"/>
  <c r="EC97" i="8"/>
  <c r="EF69" i="8"/>
  <c r="EF67" i="8" s="1"/>
  <c r="EC69" i="8"/>
  <c r="EC67" i="8" s="1"/>
  <c r="EE68" i="8"/>
  <c r="EE67" i="8" s="1"/>
  <c r="EF62" i="8"/>
  <c r="EE54" i="8"/>
  <c r="ED54" i="8" s="1"/>
  <c r="ED112" i="8" s="1"/>
  <c r="ED52" i="8"/>
  <c r="ED110" i="8" s="1"/>
  <c r="EE51" i="8"/>
  <c r="ED51" i="8" s="1"/>
  <c r="ED109" i="8" s="1"/>
  <c r="EE50" i="8"/>
  <c r="ED50" i="8" s="1"/>
  <c r="ED108" i="8" s="1"/>
  <c r="EE48" i="8"/>
  <c r="ED48" i="8" s="1"/>
  <c r="ED106" i="8" s="1"/>
  <c r="EF46" i="8"/>
  <c r="EE46" i="8"/>
  <c r="EC46" i="8"/>
  <c r="EF44" i="8"/>
  <c r="EE44" i="8"/>
  <c r="EC44" i="8"/>
  <c r="EF43" i="8"/>
  <c r="EE43" i="8"/>
  <c r="EC43" i="8"/>
  <c r="EE41" i="8"/>
  <c r="ED41" i="8" s="1"/>
  <c r="EF40" i="8"/>
  <c r="EF39" i="8" s="1"/>
  <c r="EF34" i="8" s="1"/>
  <c r="EE40" i="8"/>
  <c r="ED40" i="8"/>
  <c r="EA39" i="8"/>
  <c r="EE37" i="8"/>
  <c r="ED37" i="8" s="1"/>
  <c r="ED36" i="8"/>
  <c r="EA36" i="8"/>
  <c r="EE35" i="8"/>
  <c r="ED35" i="8" s="1"/>
  <c r="EC34" i="8"/>
  <c r="EE33" i="8"/>
  <c r="ED33" i="8" s="1"/>
  <c r="EE32" i="8"/>
  <c r="ED32" i="8" s="1"/>
  <c r="EF31" i="8"/>
  <c r="EF30" i="8" s="1"/>
  <c r="EF27" i="8" s="1"/>
  <c r="EE31" i="8"/>
  <c r="ED31" i="8"/>
  <c r="EA30" i="8"/>
  <c r="EE28" i="8"/>
  <c r="ED28" i="8" s="1"/>
  <c r="EC27" i="8"/>
  <c r="EE26" i="8"/>
  <c r="ED26" i="8" s="1"/>
  <c r="EF25" i="8"/>
  <c r="EE25" i="8"/>
  <c r="ED25" i="8"/>
  <c r="EA24" i="8"/>
  <c r="EF23" i="8"/>
  <c r="EF24" i="8" s="1"/>
  <c r="EE22" i="8"/>
  <c r="ED22" i="8" s="1"/>
  <c r="ED21" i="8"/>
  <c r="EA21" i="8"/>
  <c r="EE20" i="8"/>
  <c r="ED20" i="8" s="1"/>
  <c r="EE19" i="8"/>
  <c r="ED19" i="8" s="1"/>
  <c r="ED102" i="8" s="1"/>
  <c r="EF18" i="8"/>
  <c r="EF96" i="8" s="1"/>
  <c r="EF138" i="8" s="1"/>
  <c r="EE18" i="8"/>
  <c r="EE16" i="8"/>
  <c r="ED16" i="8" s="1"/>
  <c r="EF15" i="8"/>
  <c r="EF14" i="8" s="1"/>
  <c r="EE15" i="8"/>
  <c r="ED15" i="8"/>
  <c r="EA14" i="8"/>
  <c r="ED11" i="8"/>
  <c r="EA11" i="8"/>
  <c r="EC8" i="8"/>
  <c r="Q22" i="143" l="1"/>
  <c r="E13" i="143"/>
  <c r="G13" i="143" s="1"/>
  <c r="D14" i="143" s="1"/>
  <c r="FP60" i="121"/>
  <c r="FY60" i="121" s="1"/>
  <c r="FZ61" i="121"/>
  <c r="GI61" i="121" s="1"/>
  <c r="EJ61" i="121"/>
  <c r="GB61" i="121"/>
  <c r="GK61" i="121" s="1"/>
  <c r="EL61" i="121"/>
  <c r="DZ60" i="121"/>
  <c r="EC60" i="121"/>
  <c r="R22" i="143"/>
  <c r="P23" i="143"/>
  <c r="K16" i="143"/>
  <c r="J16" i="143"/>
  <c r="I16" i="143"/>
  <c r="EC144" i="8"/>
  <c r="AZ23" i="66"/>
  <c r="EF101" i="8"/>
  <c r="ED120" i="8"/>
  <c r="ED62" i="8" s="1"/>
  <c r="ED18" i="8"/>
  <c r="ED103" i="8"/>
  <c r="EE42" i="8"/>
  <c r="EE104" i="8" s="1"/>
  <c r="EE141" i="8" s="1"/>
  <c r="ED44" i="8"/>
  <c r="EF42" i="8"/>
  <c r="EF104" i="8" s="1"/>
  <c r="ED46" i="8"/>
  <c r="ED99" i="8"/>
  <c r="EE106" i="8"/>
  <c r="EE143" i="8" s="1"/>
  <c r="EE112" i="8"/>
  <c r="EE145" i="8" s="1"/>
  <c r="EE97" i="8"/>
  <c r="EC42" i="8"/>
  <c r="EC104" i="8" s="1"/>
  <c r="EF100" i="8"/>
  <c r="EE102" i="8"/>
  <c r="EE108" i="8"/>
  <c r="EE142" i="8" s="1"/>
  <c r="EE65" i="8"/>
  <c r="EE64" i="8" s="1"/>
  <c r="EE99" i="8"/>
  <c r="EE103" i="8"/>
  <c r="EE109" i="8"/>
  <c r="EE140" i="8" s="1"/>
  <c r="EA101" i="8"/>
  <c r="ED10" i="8"/>
  <c r="ED97" i="8" s="1"/>
  <c r="BD11" i="66" s="1"/>
  <c r="BD36" i="66" s="1"/>
  <c r="BD39" i="66" s="1"/>
  <c r="EE138" i="8"/>
  <c r="ED9" i="8"/>
  <c r="EE96" i="8"/>
  <c r="EF17" i="8"/>
  <c r="ED43" i="8"/>
  <c r="EF65" i="8"/>
  <c r="EF64" i="8" s="1"/>
  <c r="EF8" i="8"/>
  <c r="E45" i="117"/>
  <c r="D45" i="117"/>
  <c r="D39" i="117"/>
  <c r="F14" i="143" l="1"/>
  <c r="E14" i="143" s="1"/>
  <c r="G14" i="143" s="1"/>
  <c r="H16" i="143"/>
  <c r="EE144" i="8"/>
  <c r="GB60" i="121"/>
  <c r="GK60" i="121" s="1"/>
  <c r="EL60" i="121"/>
  <c r="R23" i="143"/>
  <c r="P24" i="143"/>
  <c r="Q23" i="143"/>
  <c r="J17" i="143"/>
  <c r="I17" i="143"/>
  <c r="ED96" i="8"/>
  <c r="EC141" i="8"/>
  <c r="AZ17" i="66"/>
  <c r="EF141" i="8"/>
  <c r="ED42" i="8"/>
  <c r="ED104" i="8" s="1"/>
  <c r="E43" i="139"/>
  <c r="D43" i="139"/>
  <c r="G42" i="139"/>
  <c r="F42" i="139"/>
  <c r="G41" i="139"/>
  <c r="F41" i="139"/>
  <c r="G38" i="139"/>
  <c r="F38" i="139"/>
  <c r="F49" i="117"/>
  <c r="F48" i="117"/>
  <c r="F47" i="117"/>
  <c r="F37" i="117"/>
  <c r="F36" i="117"/>
  <c r="F35" i="117"/>
  <c r="F43" i="139" l="1"/>
  <c r="E40" i="117" s="1"/>
  <c r="F40" i="117" s="1"/>
  <c r="F15" i="143"/>
  <c r="D15" i="143"/>
  <c r="G43" i="139"/>
  <c r="E53" i="117" s="1"/>
  <c r="F53" i="117" s="1"/>
  <c r="F52" i="117" s="1"/>
  <c r="H17" i="143"/>
  <c r="P25" i="143"/>
  <c r="R24" i="143"/>
  <c r="Q24" i="143"/>
  <c r="K17" i="143"/>
  <c r="AZ15" i="66"/>
  <c r="D44" i="117"/>
  <c r="D54" i="117" s="1"/>
  <c r="D29" i="117"/>
  <c r="CI70" i="117"/>
  <c r="CB81" i="117"/>
  <c r="BQ81" i="117"/>
  <c r="AK81" i="117"/>
  <c r="Z81" i="117"/>
  <c r="W81" i="117"/>
  <c r="CK80" i="117"/>
  <c r="CJ80" i="117"/>
  <c r="CH80" i="117"/>
  <c r="CG80" i="117"/>
  <c r="CE80" i="117"/>
  <c r="CD80" i="117"/>
  <c r="BZ80" i="117"/>
  <c r="BY80" i="117"/>
  <c r="BW80" i="117"/>
  <c r="BV80" i="117"/>
  <c r="BT80" i="117"/>
  <c r="BS80" i="117"/>
  <c r="BP80" i="117"/>
  <c r="BQ77" i="117" s="1"/>
  <c r="BO80" i="117"/>
  <c r="BN80" i="117"/>
  <c r="BL80" i="117"/>
  <c r="BK80" i="117"/>
  <c r="BI80" i="117"/>
  <c r="BH80" i="117"/>
  <c r="AY80" i="117"/>
  <c r="AT80" i="117"/>
  <c r="AS80" i="117"/>
  <c r="AP80" i="117"/>
  <c r="AN80" i="117"/>
  <c r="AL80" i="117"/>
  <c r="AJ80" i="117"/>
  <c r="AI80" i="117"/>
  <c r="AF80" i="117"/>
  <c r="AE80" i="117"/>
  <c r="AD80" i="117"/>
  <c r="AC80" i="117"/>
  <c r="Y80" i="117"/>
  <c r="X80" i="117"/>
  <c r="V80" i="117"/>
  <c r="U80" i="117"/>
  <c r="T80" i="117"/>
  <c r="Q80" i="117"/>
  <c r="CI79" i="117"/>
  <c r="CF79" i="117"/>
  <c r="CC79" i="117"/>
  <c r="CA79" i="117"/>
  <c r="BX79" i="117"/>
  <c r="BU79" i="117"/>
  <c r="BR79" i="117"/>
  <c r="BM79" i="117"/>
  <c r="BJ79" i="117"/>
  <c r="BG79" i="117"/>
  <c r="BE79" i="117"/>
  <c r="BF79" i="117" s="1"/>
  <c r="AZ79" i="117"/>
  <c r="BA79" i="117" s="1"/>
  <c r="BB79" i="117" s="1"/>
  <c r="BC79" i="117" s="1"/>
  <c r="BD79" i="117" s="1"/>
  <c r="AU79" i="117"/>
  <c r="AV79" i="117" s="1"/>
  <c r="AW79" i="117" s="1"/>
  <c r="AX79" i="117" s="1"/>
  <c r="AQ79" i="117"/>
  <c r="AO79" i="117"/>
  <c r="AM79" i="117"/>
  <c r="AG79" i="117"/>
  <c r="AA79" i="117"/>
  <c r="S79" i="117"/>
  <c r="R79" i="117"/>
  <c r="CI78" i="117"/>
  <c r="CF78" i="117"/>
  <c r="CC78" i="117"/>
  <c r="CA78" i="117"/>
  <c r="BX78" i="117"/>
  <c r="BU78" i="117"/>
  <c r="BR78" i="117"/>
  <c r="BM78" i="117"/>
  <c r="BJ78" i="117"/>
  <c r="BG78" i="117"/>
  <c r="BE78" i="117"/>
  <c r="BF78" i="117" s="1"/>
  <c r="AZ78" i="117"/>
  <c r="AU78" i="117"/>
  <c r="AV78" i="117" s="1"/>
  <c r="AW78" i="117" s="1"/>
  <c r="AX78" i="117" s="1"/>
  <c r="AQ78" i="117"/>
  <c r="AO78" i="117"/>
  <c r="AM78" i="117"/>
  <c r="AG78" i="117"/>
  <c r="AA78" i="117"/>
  <c r="S78" i="117"/>
  <c r="R78" i="117"/>
  <c r="CI77" i="117"/>
  <c r="CF77" i="117"/>
  <c r="CC77" i="117"/>
  <c r="CA77" i="117"/>
  <c r="BX77" i="117"/>
  <c r="BU77" i="117"/>
  <c r="BR77" i="117"/>
  <c r="BM77" i="117"/>
  <c r="BJ77" i="117"/>
  <c r="BG77" i="117"/>
  <c r="BE77" i="117"/>
  <c r="AZ77" i="117"/>
  <c r="BF77" i="117" s="1"/>
  <c r="AU77" i="117"/>
  <c r="AV77" i="117" s="1"/>
  <c r="AQ77" i="117"/>
  <c r="AO77" i="117"/>
  <c r="AM77" i="117"/>
  <c r="AG77" i="117"/>
  <c r="AA77" i="117"/>
  <c r="S77" i="117"/>
  <c r="R77" i="117"/>
  <c r="CI76" i="117"/>
  <c r="CF76" i="117"/>
  <c r="CC76" i="117"/>
  <c r="CA76" i="117"/>
  <c r="CA80" i="117" s="1"/>
  <c r="BX76" i="117"/>
  <c r="BU76" i="117"/>
  <c r="BR76" i="117"/>
  <c r="BR80" i="117" s="1"/>
  <c r="BQ76" i="117"/>
  <c r="BM76" i="117"/>
  <c r="BJ76" i="117"/>
  <c r="BG76" i="117"/>
  <c r="BE76" i="117"/>
  <c r="AZ76" i="117"/>
  <c r="BA76" i="117" s="1"/>
  <c r="BB76" i="117" s="1"/>
  <c r="AU76" i="117"/>
  <c r="AQ76" i="117"/>
  <c r="AO76" i="117"/>
  <c r="AM76" i="117"/>
  <c r="AG76" i="117"/>
  <c r="AA76" i="117"/>
  <c r="S76" i="117"/>
  <c r="S80" i="117" s="1"/>
  <c r="S81" i="117" s="1"/>
  <c r="R76" i="117"/>
  <c r="CK75" i="117"/>
  <c r="CJ75" i="117"/>
  <c r="CH75" i="117"/>
  <c r="CG75" i="117"/>
  <c r="CE75" i="117"/>
  <c r="CD75" i="117"/>
  <c r="BZ75" i="117"/>
  <c r="BY75" i="117"/>
  <c r="BW75" i="117"/>
  <c r="BV75" i="117"/>
  <c r="BT75" i="117"/>
  <c r="BS75" i="117"/>
  <c r="BP75" i="117"/>
  <c r="BQ73" i="117" s="1"/>
  <c r="BO75" i="117"/>
  <c r="BN75" i="117"/>
  <c r="BL75" i="117"/>
  <c r="BK75" i="117"/>
  <c r="BI75" i="117"/>
  <c r="BH75" i="117"/>
  <c r="AY75" i="117"/>
  <c r="AT75" i="117"/>
  <c r="AS75" i="117"/>
  <c r="AP75" i="117"/>
  <c r="AN75" i="117"/>
  <c r="AL75" i="117"/>
  <c r="AJ75" i="117"/>
  <c r="AI75" i="117"/>
  <c r="AG75" i="117"/>
  <c r="AF75" i="117"/>
  <c r="AE75" i="117"/>
  <c r="AD75" i="117"/>
  <c r="AC75" i="117"/>
  <c r="Y75" i="117"/>
  <c r="X75" i="117"/>
  <c r="V75" i="117"/>
  <c r="U75" i="117"/>
  <c r="T75" i="117"/>
  <c r="Q75" i="117"/>
  <c r="R75" i="117" s="1"/>
  <c r="CI74" i="117"/>
  <c r="CF74" i="117"/>
  <c r="CC74" i="117"/>
  <c r="BX74" i="117"/>
  <c r="BU74" i="117"/>
  <c r="BR74" i="117"/>
  <c r="BM74" i="117"/>
  <c r="BJ74" i="117"/>
  <c r="BG74" i="117"/>
  <c r="AZ74" i="117"/>
  <c r="BA74" i="117" s="1"/>
  <c r="BB74" i="117" s="1"/>
  <c r="BC74" i="117" s="1"/>
  <c r="BD74" i="117" s="1"/>
  <c r="AU74" i="117"/>
  <c r="AV74" i="117" s="1"/>
  <c r="AW74" i="117" s="1"/>
  <c r="AX74" i="117" s="1"/>
  <c r="CI73" i="117"/>
  <c r="CF73" i="117"/>
  <c r="CC73" i="117"/>
  <c r="CA73" i="117"/>
  <c r="BX73" i="117"/>
  <c r="BU73" i="117"/>
  <c r="BR73" i="117"/>
  <c r="BM73" i="117"/>
  <c r="BJ73" i="117"/>
  <c r="BG73" i="117"/>
  <c r="BE73" i="117"/>
  <c r="BF73" i="117" s="1"/>
  <c r="AZ73" i="117"/>
  <c r="BA73" i="117" s="1"/>
  <c r="BB73" i="117" s="1"/>
  <c r="BC73" i="117" s="1"/>
  <c r="BD73" i="117" s="1"/>
  <c r="AU73" i="117"/>
  <c r="AV73" i="117" s="1"/>
  <c r="AW73" i="117" s="1"/>
  <c r="AX73" i="117" s="1"/>
  <c r="AQ73" i="117"/>
  <c r="AO73" i="117"/>
  <c r="AM73" i="117"/>
  <c r="AR73" i="117" s="1"/>
  <c r="AA73" i="117"/>
  <c r="AH73" i="117" s="1"/>
  <c r="S73" i="117"/>
  <c r="R73" i="117"/>
  <c r="CI72" i="117"/>
  <c r="CF72" i="117"/>
  <c r="CC72" i="117"/>
  <c r="CA72" i="117"/>
  <c r="BX72" i="117"/>
  <c r="BU72" i="117"/>
  <c r="BR72" i="117"/>
  <c r="BM72" i="117"/>
  <c r="BJ72" i="117"/>
  <c r="BG72" i="117"/>
  <c r="BE72" i="117"/>
  <c r="AZ72" i="117"/>
  <c r="BA72" i="117" s="1"/>
  <c r="BB72" i="117" s="1"/>
  <c r="BC72" i="117" s="1"/>
  <c r="BD72" i="117" s="1"/>
  <c r="AU72" i="117"/>
  <c r="AV72" i="117" s="1"/>
  <c r="AW72" i="117" s="1"/>
  <c r="AX72" i="117" s="1"/>
  <c r="AQ72" i="117"/>
  <c r="AO72" i="117"/>
  <c r="AM72" i="117"/>
  <c r="AR72" i="117" s="1"/>
  <c r="AA72" i="117"/>
  <c r="AH72" i="117" s="1"/>
  <c r="S72" i="117"/>
  <c r="R72" i="117"/>
  <c r="CI71" i="117"/>
  <c r="CF71" i="117"/>
  <c r="CC71" i="117"/>
  <c r="CA71" i="117"/>
  <c r="BX71" i="117"/>
  <c r="BU71" i="117"/>
  <c r="BR71" i="117"/>
  <c r="BM71" i="117"/>
  <c r="BJ71" i="117"/>
  <c r="BG71" i="117"/>
  <c r="BE71" i="117"/>
  <c r="BF71" i="117" s="1"/>
  <c r="AZ71" i="117"/>
  <c r="BA71" i="117" s="1"/>
  <c r="AU71" i="117"/>
  <c r="AV71" i="117" s="1"/>
  <c r="AW71" i="117" s="1"/>
  <c r="AX71" i="117" s="1"/>
  <c r="AQ71" i="117"/>
  <c r="AO71" i="117"/>
  <c r="AM71" i="117"/>
  <c r="AR71" i="117" s="1"/>
  <c r="AA71" i="117"/>
  <c r="AH71" i="117" s="1"/>
  <c r="S71" i="117"/>
  <c r="R71" i="117"/>
  <c r="CF70" i="117"/>
  <c r="CC70" i="117"/>
  <c r="CA70" i="117"/>
  <c r="BX70" i="117"/>
  <c r="BU70" i="117"/>
  <c r="BR70" i="117"/>
  <c r="BM70" i="117"/>
  <c r="BJ70" i="117"/>
  <c r="BG70" i="117"/>
  <c r="BE70" i="117"/>
  <c r="AZ70" i="117"/>
  <c r="AU70" i="117"/>
  <c r="AQ70" i="117"/>
  <c r="AO70" i="117"/>
  <c r="AM70" i="117"/>
  <c r="AA70" i="117"/>
  <c r="S70" i="117"/>
  <c r="S75" i="117" s="1"/>
  <c r="R70" i="117"/>
  <c r="AS26" i="98"/>
  <c r="AS9" i="98"/>
  <c r="AS42" i="95"/>
  <c r="AS23" i="95"/>
  <c r="AS25" i="95" s="1"/>
  <c r="AS17" i="95"/>
  <c r="AS41" i="95"/>
  <c r="CC13" i="10"/>
  <c r="CD10" i="10" s="1"/>
  <c r="EF36" i="7" s="1"/>
  <c r="CC123" i="120" s="1"/>
  <c r="CD19" i="10"/>
  <c r="T51" i="97"/>
  <c r="T54" i="97"/>
  <c r="Y36" i="111" s="1"/>
  <c r="T53" i="97"/>
  <c r="Y35" i="111" s="1"/>
  <c r="T48" i="97"/>
  <c r="T49" i="97"/>
  <c r="Y31" i="111" s="1"/>
  <c r="T46" i="97"/>
  <c r="Y28" i="111" s="1"/>
  <c r="T45" i="97"/>
  <c r="Y30" i="111"/>
  <c r="EN27" i="17"/>
  <c r="EN26" i="17"/>
  <c r="Z43" i="96"/>
  <c r="AB43" i="96" s="1"/>
  <c r="AA66" i="96"/>
  <c r="AA64" i="96"/>
  <c r="AA63" i="96"/>
  <c r="AA57" i="96"/>
  <c r="AA52" i="96"/>
  <c r="Z49" i="96"/>
  <c r="AA47" i="96"/>
  <c r="AA45" i="96"/>
  <c r="AA43" i="96"/>
  <c r="AA34" i="96"/>
  <c r="AA29" i="96"/>
  <c r="AA24" i="96"/>
  <c r="AA19" i="96"/>
  <c r="AA14" i="96"/>
  <c r="AA9" i="96"/>
  <c r="AD8" i="100"/>
  <c r="AE9" i="100"/>
  <c r="AE10" i="100" s="1"/>
  <c r="AI34" i="102"/>
  <c r="AI33" i="102"/>
  <c r="AI32" i="102"/>
  <c r="AI31" i="102"/>
  <c r="AI30" i="102"/>
  <c r="AI29" i="102"/>
  <c r="AI28" i="102"/>
  <c r="AI27" i="102"/>
  <c r="AI26" i="102"/>
  <c r="AH38" i="102"/>
  <c r="AH37" i="102"/>
  <c r="AH36" i="102"/>
  <c r="AH35" i="102"/>
  <c r="AJ13" i="102"/>
  <c r="T10" i="103"/>
  <c r="T11" i="103"/>
  <c r="AS46" i="95" l="1"/>
  <c r="E52" i="117"/>
  <c r="E15" i="143"/>
  <c r="G15" i="143" s="1"/>
  <c r="D16" i="143" s="1"/>
  <c r="AI36" i="102"/>
  <c r="AI9" i="102" s="1"/>
  <c r="AI7" i="102" s="1"/>
  <c r="EC78" i="7" s="1"/>
  <c r="EC77" i="7" s="1"/>
  <c r="CL77" i="117"/>
  <c r="EC22" i="7"/>
  <c r="EB22" i="7" s="1"/>
  <c r="DW22" i="7"/>
  <c r="DV22" i="7" s="1"/>
  <c r="EH37" i="8"/>
  <c r="EG37" i="8" s="1"/>
  <c r="EB37" i="8"/>
  <c r="EA37" i="8" s="1"/>
  <c r="DW78" i="7"/>
  <c r="DW77" i="7" s="1"/>
  <c r="CC69" i="120"/>
  <c r="EF47" i="7"/>
  <c r="EC38" i="7"/>
  <c r="EB38" i="7" s="1"/>
  <c r="DW38" i="7"/>
  <c r="DV38" i="7" s="1"/>
  <c r="EC28" i="7"/>
  <c r="EB28" i="7" s="1"/>
  <c r="DW28" i="7"/>
  <c r="DV28" i="7" s="1"/>
  <c r="F16" i="143"/>
  <c r="E16" i="143" s="1"/>
  <c r="G16" i="143" s="1"/>
  <c r="EH28" i="8"/>
  <c r="EG28" i="8" s="1"/>
  <c r="EB28" i="8"/>
  <c r="EA28" i="8" s="1"/>
  <c r="C123" i="120"/>
  <c r="CB123" i="120"/>
  <c r="CH123" i="120" s="1"/>
  <c r="CI123" i="120"/>
  <c r="EE36" i="7"/>
  <c r="Q25" i="143"/>
  <c r="P26" i="143"/>
  <c r="R25" i="143"/>
  <c r="J18" i="143"/>
  <c r="T8" i="143" s="1"/>
  <c r="I18" i="143"/>
  <c r="K18" i="143" s="1"/>
  <c r="AF81" i="117"/>
  <c r="E29" i="117"/>
  <c r="CL76" i="117"/>
  <c r="BE80" i="117"/>
  <c r="CL73" i="117"/>
  <c r="AG80" i="117"/>
  <c r="AU80" i="117"/>
  <c r="BX75" i="117"/>
  <c r="AH77" i="117"/>
  <c r="AR77" i="117"/>
  <c r="AQ80" i="117"/>
  <c r="AB79" i="117"/>
  <c r="AZ75" i="117"/>
  <c r="CA75" i="117"/>
  <c r="CB70" i="117" s="1"/>
  <c r="AV76" i="117"/>
  <c r="AW76" i="117" s="1"/>
  <c r="AX76" i="117" s="1"/>
  <c r="AB77" i="117"/>
  <c r="AR79" i="117"/>
  <c r="V81" i="117"/>
  <c r="AD81" i="117"/>
  <c r="BV81" i="117"/>
  <c r="CD81" i="117"/>
  <c r="CJ81" i="117"/>
  <c r="AO75" i="117"/>
  <c r="BE75" i="117"/>
  <c r="AB71" i="117"/>
  <c r="AB76" i="117"/>
  <c r="AH78" i="117"/>
  <c r="BQ70" i="117"/>
  <c r="CL70" i="117" s="1"/>
  <c r="CC80" i="117"/>
  <c r="Q81" i="117"/>
  <c r="R81" i="117" s="1"/>
  <c r="X81" i="117"/>
  <c r="BK81" i="117"/>
  <c r="AQ75" i="117"/>
  <c r="BQ71" i="117"/>
  <c r="CL71" i="117" s="1"/>
  <c r="BQ72" i="117"/>
  <c r="CL72" i="117" s="1"/>
  <c r="BJ80" i="117"/>
  <c r="AR78" i="117"/>
  <c r="T81" i="117"/>
  <c r="AA75" i="117"/>
  <c r="BR75" i="117"/>
  <c r="BR81" i="117" s="1"/>
  <c r="AB73" i="117"/>
  <c r="AJ81" i="117"/>
  <c r="U81" i="117"/>
  <c r="AC81" i="117"/>
  <c r="AI81" i="117"/>
  <c r="BH81" i="117"/>
  <c r="BN81" i="117"/>
  <c r="BT81" i="117"/>
  <c r="BZ81" i="117"/>
  <c r="CH81" i="117"/>
  <c r="BM75" i="117"/>
  <c r="BF76" i="117"/>
  <c r="BF80" i="117" s="1"/>
  <c r="BU80" i="117"/>
  <c r="BF70" i="117"/>
  <c r="AG81" i="117"/>
  <c r="BG80" i="117"/>
  <c r="AS81" i="117"/>
  <c r="BI81" i="117"/>
  <c r="BO81" i="117"/>
  <c r="BF72" i="117"/>
  <c r="AB70" i="117"/>
  <c r="AB75" i="117" s="1"/>
  <c r="BA70" i="117"/>
  <c r="BB70" i="117" s="1"/>
  <c r="BC70" i="117" s="1"/>
  <c r="CF80" i="117"/>
  <c r="AZ80" i="117"/>
  <c r="CB79" i="117"/>
  <c r="AE81" i="117"/>
  <c r="AL81" i="117"/>
  <c r="AT81" i="117"/>
  <c r="BW81" i="117"/>
  <c r="CE81" i="117"/>
  <c r="CK81" i="117"/>
  <c r="AP81" i="117"/>
  <c r="AU75" i="117"/>
  <c r="BG75" i="117"/>
  <c r="CC75" i="117"/>
  <c r="AB72" i="117"/>
  <c r="AM80" i="117"/>
  <c r="AM75" i="117"/>
  <c r="AV70" i="117"/>
  <c r="BJ75" i="117"/>
  <c r="BU75" i="117"/>
  <c r="BU81" i="117" s="1"/>
  <c r="CF75" i="117"/>
  <c r="AO80" i="117"/>
  <c r="AO81" i="117" s="1"/>
  <c r="BM80" i="117"/>
  <c r="BX80" i="117"/>
  <c r="CI80" i="117"/>
  <c r="AH79" i="117"/>
  <c r="Y81" i="117"/>
  <c r="AN81" i="117"/>
  <c r="AY81" i="117"/>
  <c r="BL81" i="117"/>
  <c r="BS81" i="117"/>
  <c r="BY81" i="117"/>
  <c r="CG81" i="117"/>
  <c r="AW77" i="117"/>
  <c r="AX77" i="117" s="1"/>
  <c r="BB71" i="117"/>
  <c r="BC71" i="117" s="1"/>
  <c r="BD71" i="117" s="1"/>
  <c r="CB78" i="117"/>
  <c r="CB77" i="117"/>
  <c r="AH70" i="117"/>
  <c r="AH75" i="117" s="1"/>
  <c r="AR70" i="117"/>
  <c r="AR75" i="117" s="1"/>
  <c r="AH76" i="117"/>
  <c r="AR76" i="117"/>
  <c r="BC76" i="117"/>
  <c r="CB76" i="117"/>
  <c r="AB78" i="117"/>
  <c r="BA78" i="117"/>
  <c r="BB78" i="117" s="1"/>
  <c r="BC78" i="117" s="1"/>
  <c r="BD78" i="117" s="1"/>
  <c r="BQ79" i="117"/>
  <c r="CL79" i="117" s="1"/>
  <c r="R80" i="117"/>
  <c r="AA80" i="117"/>
  <c r="BP81" i="117"/>
  <c r="BA77" i="117"/>
  <c r="BB77" i="117" s="1"/>
  <c r="BC77" i="117" s="1"/>
  <c r="BD77" i="117" s="1"/>
  <c r="BQ78" i="117"/>
  <c r="CL78" i="117" s="1"/>
  <c r="AS27" i="98"/>
  <c r="AT8" i="95"/>
  <c r="CD7" i="10"/>
  <c r="EF10" i="7" s="1"/>
  <c r="CC30" i="120" s="1"/>
  <c r="CD9" i="10"/>
  <c r="EF29" i="7" s="1"/>
  <c r="CC100" i="120" s="1"/>
  <c r="CD8" i="10"/>
  <c r="EF20" i="7" s="1"/>
  <c r="Y33" i="111"/>
  <c r="Y27" i="111"/>
  <c r="EN24" i="17"/>
  <c r="AJ23" i="102"/>
  <c r="AI35" i="102"/>
  <c r="AI37" i="102"/>
  <c r="AI16" i="102" s="1"/>
  <c r="T12" i="103"/>
  <c r="DW60" i="7" l="1"/>
  <c r="EC60" i="7"/>
  <c r="AR80" i="117"/>
  <c r="CA81" i="117"/>
  <c r="Q26" i="143"/>
  <c r="F17" i="143"/>
  <c r="D17" i="143"/>
  <c r="E17" i="143" s="1"/>
  <c r="G17" i="143" s="1"/>
  <c r="EH68" i="8"/>
  <c r="EH67" i="8" s="1"/>
  <c r="EH50" i="8"/>
  <c r="EB50" i="8"/>
  <c r="EB68" i="8"/>
  <c r="EB67" i="8" s="1"/>
  <c r="AI15" i="102"/>
  <c r="AI13" i="102"/>
  <c r="EH12" i="8"/>
  <c r="EB12" i="8"/>
  <c r="F29" i="117"/>
  <c r="DW157" i="7"/>
  <c r="DW189" i="7"/>
  <c r="BQ18" i="61"/>
  <c r="DV60" i="7"/>
  <c r="DV157" i="7" s="1"/>
  <c r="EH51" i="8"/>
  <c r="EB51" i="8"/>
  <c r="H18" i="143"/>
  <c r="S8" i="143"/>
  <c r="EE47" i="7"/>
  <c r="EE145" i="7" s="1"/>
  <c r="EF145" i="7"/>
  <c r="EC189" i="7"/>
  <c r="EB60" i="7"/>
  <c r="EB157" i="7" s="1"/>
  <c r="BU18" i="61"/>
  <c r="EC157" i="7"/>
  <c r="EC12" i="7"/>
  <c r="DW12" i="7"/>
  <c r="C69" i="120"/>
  <c r="CB69" i="120"/>
  <c r="CH69" i="120" s="1"/>
  <c r="CC68" i="120"/>
  <c r="CI69" i="120"/>
  <c r="CB100" i="120"/>
  <c r="CH100" i="120" s="1"/>
  <c r="C100" i="120"/>
  <c r="CI100" i="120"/>
  <c r="CB30" i="120"/>
  <c r="C30" i="120"/>
  <c r="CI30" i="120"/>
  <c r="EE20" i="7"/>
  <c r="CC55" i="120"/>
  <c r="CC196" i="120" s="1"/>
  <c r="CI196" i="120" s="1"/>
  <c r="R123" i="120"/>
  <c r="B123" i="120"/>
  <c r="EE10" i="7"/>
  <c r="EF146" i="7"/>
  <c r="BW31" i="61" s="1"/>
  <c r="EE29" i="7"/>
  <c r="R26" i="143"/>
  <c r="P27" i="143"/>
  <c r="Q27" i="143" s="1"/>
  <c r="J19" i="143"/>
  <c r="I19" i="143"/>
  <c r="BX81" i="117"/>
  <c r="BF75" i="117"/>
  <c r="BF81" i="117" s="1"/>
  <c r="AU81" i="117"/>
  <c r="AQ81" i="117"/>
  <c r="AV80" i="117"/>
  <c r="BM81" i="117"/>
  <c r="BE81" i="117"/>
  <c r="AH80" i="117"/>
  <c r="AH81" i="117" s="1"/>
  <c r="AZ81" i="117"/>
  <c r="CC81" i="117"/>
  <c r="CL80" i="117"/>
  <c r="E44" i="117"/>
  <c r="E54" i="117" s="1"/>
  <c r="CB71" i="117"/>
  <c r="CL75" i="117"/>
  <c r="CB73" i="117"/>
  <c r="AM81" i="117"/>
  <c r="CB72" i="117"/>
  <c r="AR81" i="117"/>
  <c r="BJ81" i="117"/>
  <c r="AX80" i="117"/>
  <c r="BA75" i="117"/>
  <c r="AW80" i="117"/>
  <c r="BG81" i="117"/>
  <c r="AV75" i="117"/>
  <c r="AW70" i="117"/>
  <c r="CF81" i="117"/>
  <c r="BB75" i="117"/>
  <c r="BC75" i="117"/>
  <c r="BD70" i="117"/>
  <c r="BD75" i="117" s="1"/>
  <c r="BB80" i="117"/>
  <c r="AA81" i="117"/>
  <c r="AB81" i="117" s="1"/>
  <c r="AB80" i="117"/>
  <c r="BA80" i="117"/>
  <c r="BC80" i="117"/>
  <c r="BD76" i="117"/>
  <c r="BD80" i="117" s="1"/>
  <c r="AS24" i="98"/>
  <c r="DQ13" i="136"/>
  <c r="DQ11" i="136"/>
  <c r="DQ10" i="136"/>
  <c r="DQ9" i="136"/>
  <c r="DQ8" i="136"/>
  <c r="DR12" i="136"/>
  <c r="DR7" i="136"/>
  <c r="DR14" i="136" s="1"/>
  <c r="DL14" i="135"/>
  <c r="DL12" i="135"/>
  <c r="DL11" i="135"/>
  <c r="DM7" i="135"/>
  <c r="EF66" i="7" s="1"/>
  <c r="CC157" i="120" s="1"/>
  <c r="BL45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5" i="5"/>
  <c r="BL24" i="5"/>
  <c r="BL23" i="5"/>
  <c r="BL22" i="5"/>
  <c r="BL21" i="5"/>
  <c r="BL20" i="5"/>
  <c r="BL19" i="5"/>
  <c r="BL18" i="5"/>
  <c r="BL16" i="5"/>
  <c r="BL15" i="5"/>
  <c r="BL14" i="5"/>
  <c r="BL13" i="5"/>
  <c r="FJ48" i="19"/>
  <c r="FI48" i="19"/>
  <c r="FH48" i="19"/>
  <c r="FG48" i="19"/>
  <c r="FF48" i="19"/>
  <c r="FJ47" i="19"/>
  <c r="FI47" i="19"/>
  <c r="FH47" i="19"/>
  <c r="FG47" i="19"/>
  <c r="FF47" i="19"/>
  <c r="FJ46" i="19"/>
  <c r="FI46" i="19"/>
  <c r="FH46" i="19"/>
  <c r="FG46" i="19"/>
  <c r="FJ45" i="19"/>
  <c r="FI45" i="19"/>
  <c r="FH45" i="19"/>
  <c r="FG45" i="19"/>
  <c r="FF45" i="19"/>
  <c r="FJ44" i="19"/>
  <c r="FI44" i="19"/>
  <c r="FH44" i="19"/>
  <c r="FG44" i="19"/>
  <c r="FJ43" i="19"/>
  <c r="FI43" i="19"/>
  <c r="FH43" i="19"/>
  <c r="FG43" i="19"/>
  <c r="FJ42" i="19"/>
  <c r="FI42" i="19"/>
  <c r="FH42" i="19"/>
  <c r="FG42" i="19"/>
  <c r="FF42" i="19"/>
  <c r="FJ41" i="19"/>
  <c r="FI41" i="19"/>
  <c r="FH41" i="19"/>
  <c r="FG41" i="19"/>
  <c r="FF41" i="19"/>
  <c r="FJ40" i="19"/>
  <c r="FI40" i="19"/>
  <c r="FH40" i="19"/>
  <c r="FG40" i="19"/>
  <c r="FJ39" i="19"/>
  <c r="FI39" i="19"/>
  <c r="FH39" i="19"/>
  <c r="FG39" i="19"/>
  <c r="FF39" i="19"/>
  <c r="FJ38" i="19"/>
  <c r="FI38" i="19"/>
  <c r="FH38" i="19"/>
  <c r="FG38" i="19"/>
  <c r="FJ37" i="19"/>
  <c r="FI37" i="19"/>
  <c r="FH37" i="19"/>
  <c r="FG37" i="19"/>
  <c r="FF37" i="19"/>
  <c r="FJ36" i="19"/>
  <c r="FI36" i="19"/>
  <c r="FH36" i="19"/>
  <c r="FG36" i="19"/>
  <c r="FF36" i="19"/>
  <c r="FJ35" i="19"/>
  <c r="FI35" i="19"/>
  <c r="FH35" i="19"/>
  <c r="FG35" i="19"/>
  <c r="FJ34" i="19"/>
  <c r="FI34" i="19"/>
  <c r="FH34" i="19"/>
  <c r="FG34" i="19"/>
  <c r="FF34" i="19"/>
  <c r="FJ33" i="19"/>
  <c r="FI33" i="19"/>
  <c r="FH33" i="19"/>
  <c r="FG33" i="19"/>
  <c r="FJ32" i="19"/>
  <c r="FI32" i="19"/>
  <c r="FH32" i="19"/>
  <c r="FG32" i="19"/>
  <c r="FF32" i="19"/>
  <c r="FJ31" i="19"/>
  <c r="FI31" i="19"/>
  <c r="FH31" i="19"/>
  <c r="FG31" i="19"/>
  <c r="FF31" i="19"/>
  <c r="FJ30" i="19"/>
  <c r="FI30" i="19"/>
  <c r="FH30" i="19"/>
  <c r="FG30" i="19"/>
  <c r="FF30" i="19"/>
  <c r="FJ29" i="19"/>
  <c r="FI29" i="19"/>
  <c r="FH29" i="19"/>
  <c r="FG29" i="19"/>
  <c r="FF29" i="19"/>
  <c r="FJ28" i="19"/>
  <c r="FI28" i="19"/>
  <c r="FH28" i="19"/>
  <c r="FG28" i="19"/>
  <c r="FF28" i="19"/>
  <c r="FJ27" i="19"/>
  <c r="FI27" i="19"/>
  <c r="FH27" i="19"/>
  <c r="FG27" i="19"/>
  <c r="FF27" i="19"/>
  <c r="FJ26" i="19"/>
  <c r="FI26" i="19"/>
  <c r="FH26" i="19"/>
  <c r="FG26" i="19"/>
  <c r="FF26" i="19"/>
  <c r="FJ25" i="19"/>
  <c r="FI25" i="19"/>
  <c r="FH25" i="19"/>
  <c r="FG25" i="19"/>
  <c r="FJ24" i="19"/>
  <c r="FI24" i="19"/>
  <c r="FH24" i="19"/>
  <c r="FG24" i="19"/>
  <c r="FF24" i="19"/>
  <c r="FJ23" i="19"/>
  <c r="FI23" i="19"/>
  <c r="FH23" i="19"/>
  <c r="FG23" i="19"/>
  <c r="FF23" i="19"/>
  <c r="FJ22" i="19"/>
  <c r="FI22" i="19"/>
  <c r="FH22" i="19"/>
  <c r="FG22" i="19"/>
  <c r="FJ21" i="19"/>
  <c r="FI21" i="19"/>
  <c r="FH21" i="19"/>
  <c r="FG21" i="19"/>
  <c r="FF21" i="19"/>
  <c r="FJ20" i="19"/>
  <c r="FI20" i="19"/>
  <c r="FH20" i="19"/>
  <c r="FG20" i="19"/>
  <c r="FF20" i="19"/>
  <c r="FJ19" i="19"/>
  <c r="FI19" i="19"/>
  <c r="FH19" i="19"/>
  <c r="FG19" i="19"/>
  <c r="FF19" i="19"/>
  <c r="FJ18" i="19"/>
  <c r="FI18" i="19"/>
  <c r="FH18" i="19"/>
  <c r="FG18" i="19"/>
  <c r="FF18" i="19"/>
  <c r="FJ17" i="19"/>
  <c r="FI17" i="19"/>
  <c r="FH17" i="19"/>
  <c r="FG17" i="19"/>
  <c r="FF17" i="19"/>
  <c r="FJ16" i="19"/>
  <c r="FI16" i="19"/>
  <c r="FH16" i="19"/>
  <c r="FG16" i="19"/>
  <c r="FF16" i="19"/>
  <c r="FJ15" i="19"/>
  <c r="FI15" i="19"/>
  <c r="FH15" i="19"/>
  <c r="FG15" i="19"/>
  <c r="FJ8" i="19"/>
  <c r="FI8" i="19"/>
  <c r="FH8" i="19"/>
  <c r="FG8" i="19"/>
  <c r="FF8" i="19"/>
  <c r="FK13" i="19"/>
  <c r="BL26" i="5" l="1"/>
  <c r="AV81" i="117"/>
  <c r="BL17" i="5"/>
  <c r="B69" i="120"/>
  <c r="C68" i="120"/>
  <c r="R69" i="120"/>
  <c r="EB109" i="8"/>
  <c r="EA51" i="8"/>
  <c r="EA109" i="8" s="1"/>
  <c r="EH108" i="8"/>
  <c r="BF16" i="65" s="1"/>
  <c r="EG50" i="8"/>
  <c r="EG108" i="8" s="1"/>
  <c r="H19" i="143"/>
  <c r="DV12" i="7"/>
  <c r="DV148" i="7" s="1"/>
  <c r="DW148" i="7"/>
  <c r="EG51" i="8"/>
  <c r="EG109" i="8" s="1"/>
  <c r="EH109" i="8"/>
  <c r="EA12" i="8"/>
  <c r="EH142" i="8"/>
  <c r="EB142" i="8"/>
  <c r="CC261" i="120"/>
  <c r="CB68" i="120"/>
  <c r="CI68" i="120"/>
  <c r="EB12" i="7"/>
  <c r="EB148" i="7" s="1"/>
  <c r="EC148" i="7"/>
  <c r="EG12" i="8"/>
  <c r="F18" i="143"/>
  <c r="D18" i="143"/>
  <c r="EB108" i="8"/>
  <c r="BB16" i="65" s="1"/>
  <c r="EA50" i="8"/>
  <c r="EA108" i="8" s="1"/>
  <c r="B100" i="120"/>
  <c r="R100" i="120"/>
  <c r="AG100" i="120" s="1"/>
  <c r="CB157" i="120"/>
  <c r="CC223" i="120"/>
  <c r="CI223" i="120" s="1"/>
  <c r="C157" i="120"/>
  <c r="CI157" i="120"/>
  <c r="Q123" i="120"/>
  <c r="CB55" i="120"/>
  <c r="CH55" i="120" s="1"/>
  <c r="C55" i="120"/>
  <c r="CI55" i="120"/>
  <c r="B30" i="120"/>
  <c r="R30" i="120"/>
  <c r="AG30" i="120" s="1"/>
  <c r="C196" i="120"/>
  <c r="C48" i="121" s="1"/>
  <c r="AG123" i="120"/>
  <c r="CH30" i="120"/>
  <c r="DR16" i="136"/>
  <c r="EK54" i="8"/>
  <c r="CC124" i="122" s="1"/>
  <c r="EE66" i="7"/>
  <c r="EE161" i="7" s="1"/>
  <c r="EF161" i="7"/>
  <c r="BW24" i="61" s="1"/>
  <c r="EE146" i="7"/>
  <c r="R27" i="143"/>
  <c r="P28" i="143"/>
  <c r="K19" i="143"/>
  <c r="EH66" i="8"/>
  <c r="EB66" i="8"/>
  <c r="ED76" i="7"/>
  <c r="DX76" i="7"/>
  <c r="EI66" i="8"/>
  <c r="EC66" i="8"/>
  <c r="FK10" i="19"/>
  <c r="FK12" i="19" s="1"/>
  <c r="EC76" i="7"/>
  <c r="DW76" i="7"/>
  <c r="CL81" i="117"/>
  <c r="BD81" i="117"/>
  <c r="BB81" i="117"/>
  <c r="BC81" i="117"/>
  <c r="BA81" i="117"/>
  <c r="AX70" i="117"/>
  <c r="AX75" i="117" s="1"/>
  <c r="AX81" i="117" s="1"/>
  <c r="AW75" i="117"/>
  <c r="AW81" i="117" s="1"/>
  <c r="DM15" i="135"/>
  <c r="DM17" i="135" s="1"/>
  <c r="DL13" i="135"/>
  <c r="AH11" i="104"/>
  <c r="BY66" i="32"/>
  <c r="BY64" i="32"/>
  <c r="BY62" i="32"/>
  <c r="AD33" i="105"/>
  <c r="AD22" i="105"/>
  <c r="AD28" i="105" s="1"/>
  <c r="AD21" i="105"/>
  <c r="AD20" i="105"/>
  <c r="AD26" i="105" s="1"/>
  <c r="AD14" i="105"/>
  <c r="AD6" i="105"/>
  <c r="G15" i="139"/>
  <c r="F15" i="139"/>
  <c r="G14" i="139"/>
  <c r="F14" i="139"/>
  <c r="G11" i="139"/>
  <c r="F11" i="139"/>
  <c r="E16" i="139"/>
  <c r="D11" i="139"/>
  <c r="D16" i="139" s="1"/>
  <c r="E18" i="143" l="1"/>
  <c r="G18" i="143" s="1"/>
  <c r="F19" i="143" s="1"/>
  <c r="CC260" i="120"/>
  <c r="CI260" i="120" s="1"/>
  <c r="CI261" i="120"/>
  <c r="AG69" i="120"/>
  <c r="R68" i="120"/>
  <c r="Q69" i="120"/>
  <c r="AI11" i="104"/>
  <c r="EF54" i="7" s="1"/>
  <c r="EC54" i="7"/>
  <c r="EB54" i="7" s="1"/>
  <c r="DW54" i="7"/>
  <c r="DV54" i="7" s="1"/>
  <c r="BF14" i="65"/>
  <c r="EH140" i="8"/>
  <c r="B68" i="120"/>
  <c r="B261" i="120" s="1"/>
  <c r="B260" i="120" s="1"/>
  <c r="C261" i="120"/>
  <c r="C260" i="120" s="1"/>
  <c r="CB261" i="120"/>
  <c r="CH68" i="120"/>
  <c r="EB140" i="8"/>
  <c r="BB14" i="65"/>
  <c r="AD19" i="105"/>
  <c r="AD36" i="105"/>
  <c r="AE33" i="105"/>
  <c r="AI8" i="104" s="1"/>
  <c r="EC56" i="7"/>
  <c r="EB56" i="7" s="1"/>
  <c r="DW56" i="7"/>
  <c r="DV56" i="7" s="1"/>
  <c r="C124" i="122"/>
  <c r="CB124" i="122"/>
  <c r="CC179" i="122"/>
  <c r="CI179" i="122" s="1"/>
  <c r="CI124" i="122"/>
  <c r="CB196" i="120"/>
  <c r="CH196" i="120" s="1"/>
  <c r="L48" i="121"/>
  <c r="B48" i="121"/>
  <c r="AM100" i="120"/>
  <c r="AF100" i="120"/>
  <c r="AL100" i="120" s="1"/>
  <c r="AP100" i="120"/>
  <c r="AM30" i="120"/>
  <c r="AF30" i="120"/>
  <c r="AP30" i="120"/>
  <c r="BE30" i="120" s="1"/>
  <c r="AF123" i="120"/>
  <c r="AL123" i="120" s="1"/>
  <c r="AM123" i="120"/>
  <c r="AP123" i="120"/>
  <c r="Q30" i="120"/>
  <c r="B55" i="120"/>
  <c r="B196" i="120" s="1"/>
  <c r="R55" i="120"/>
  <c r="Q55" i="120" s="1"/>
  <c r="CB223" i="120"/>
  <c r="CH223" i="120" s="1"/>
  <c r="CH157" i="120"/>
  <c r="Q100" i="120"/>
  <c r="R157" i="120"/>
  <c r="B157" i="120"/>
  <c r="C223" i="120"/>
  <c r="C75" i="121" s="1"/>
  <c r="EJ54" i="8"/>
  <c r="EK112" i="8"/>
  <c r="P29" i="143"/>
  <c r="R28" i="143"/>
  <c r="Q28" i="143"/>
  <c r="Q29" i="143" s="1"/>
  <c r="J20" i="143"/>
  <c r="I20" i="143"/>
  <c r="F16" i="139"/>
  <c r="AH7" i="104" s="1"/>
  <c r="G16" i="139"/>
  <c r="AH25" i="104" s="1"/>
  <c r="DQ12" i="136"/>
  <c r="DQ7" i="136"/>
  <c r="DQ14" i="136" s="1"/>
  <c r="AD27" i="105"/>
  <c r="AD25" i="105" s="1"/>
  <c r="AB17" i="92"/>
  <c r="AB15" i="92"/>
  <c r="AB13" i="92"/>
  <c r="AB12" i="92"/>
  <c r="AB11" i="92"/>
  <c r="AB10" i="92"/>
  <c r="AB9" i="92"/>
  <c r="AA14" i="92"/>
  <c r="DY43" i="8" s="1"/>
  <c r="AA8" i="92"/>
  <c r="AB8" i="92" l="1"/>
  <c r="D19" i="143"/>
  <c r="E19" i="143" s="1"/>
  <c r="G19" i="143" s="1"/>
  <c r="AB14" i="92"/>
  <c r="EH45" i="8"/>
  <c r="EG45" i="8" s="1"/>
  <c r="EB45" i="8"/>
  <c r="EA45" i="8" s="1"/>
  <c r="EC57" i="7"/>
  <c r="EB57" i="7" s="1"/>
  <c r="DW57" i="7"/>
  <c r="DV57" i="7" s="1"/>
  <c r="AG68" i="120"/>
  <c r="Q68" i="120"/>
  <c r="Q261" i="120" s="1"/>
  <c r="Q260" i="120" s="1"/>
  <c r="R261" i="120"/>
  <c r="R260" i="120" s="1"/>
  <c r="EH54" i="8"/>
  <c r="EB54" i="8"/>
  <c r="DQ16" i="136"/>
  <c r="CB260" i="120"/>
  <c r="CH260" i="120" s="1"/>
  <c r="CH261" i="120"/>
  <c r="AM69" i="120"/>
  <c r="AF69" i="120"/>
  <c r="AL69" i="120" s="1"/>
  <c r="AP69" i="120"/>
  <c r="AA16" i="92"/>
  <c r="H20" i="143"/>
  <c r="CC144" i="120"/>
  <c r="EE54" i="7"/>
  <c r="AG55" i="120"/>
  <c r="AG196" i="120" s="1"/>
  <c r="AM196" i="120" s="1"/>
  <c r="EF56" i="7"/>
  <c r="AI14" i="104"/>
  <c r="AE36" i="105"/>
  <c r="AI26" i="104" s="1"/>
  <c r="EH46" i="8"/>
  <c r="EB46" i="8"/>
  <c r="R196" i="120"/>
  <c r="AP48" i="121" s="1"/>
  <c r="AO48" i="121" s="1"/>
  <c r="CB179" i="122"/>
  <c r="CH179" i="122" s="1"/>
  <c r="CH124" i="122"/>
  <c r="C179" i="122"/>
  <c r="C61" i="123" s="1"/>
  <c r="B124" i="122"/>
  <c r="B179" i="122" s="1"/>
  <c r="R124" i="122"/>
  <c r="AG124" i="122" s="1"/>
  <c r="BD30" i="120"/>
  <c r="BK30" i="120"/>
  <c r="AG157" i="120"/>
  <c r="R223" i="120"/>
  <c r="AP75" i="121" s="1"/>
  <c r="Q157" i="120"/>
  <c r="Q223" i="120" s="1"/>
  <c r="BE123" i="120"/>
  <c r="BN123" i="120"/>
  <c r="AO123" i="120"/>
  <c r="BN100" i="120"/>
  <c r="AO100" i="120"/>
  <c r="BN30" i="120"/>
  <c r="AO30" i="120"/>
  <c r="BE100" i="120"/>
  <c r="U48" i="121"/>
  <c r="K48" i="121"/>
  <c r="B223" i="120"/>
  <c r="AF55" i="120"/>
  <c r="AL55" i="120" s="1"/>
  <c r="AP55" i="120"/>
  <c r="L75" i="121"/>
  <c r="B75" i="121"/>
  <c r="Q196" i="120"/>
  <c r="AL30" i="120"/>
  <c r="BH20" i="65"/>
  <c r="EJ112" i="8"/>
  <c r="P30" i="143"/>
  <c r="R29" i="143"/>
  <c r="F20" i="143"/>
  <c r="D20" i="143"/>
  <c r="K20" i="143"/>
  <c r="CA69" i="32"/>
  <c r="BZ67" i="32"/>
  <c r="BZ64" i="32"/>
  <c r="BZ68" i="32" s="1"/>
  <c r="AM55" i="120" l="1"/>
  <c r="EB112" i="8"/>
  <c r="EB145" i="8" s="1"/>
  <c r="BB20" i="65" s="1"/>
  <c r="EA54" i="8"/>
  <c r="EA112" i="8" s="1"/>
  <c r="AG261" i="120"/>
  <c r="AM68" i="120"/>
  <c r="AF68" i="120"/>
  <c r="CC210" i="120"/>
  <c r="CI210" i="120" s="1"/>
  <c r="CB144" i="120"/>
  <c r="C144" i="120"/>
  <c r="CI144" i="120"/>
  <c r="EH112" i="8"/>
  <c r="EH145" i="8" s="1"/>
  <c r="BF20" i="65" s="1"/>
  <c r="EG54" i="8"/>
  <c r="EG112" i="8" s="1"/>
  <c r="BE69" i="120"/>
  <c r="AP68" i="120"/>
  <c r="BE68" i="120" s="1"/>
  <c r="AO69" i="120"/>
  <c r="BN69" i="120"/>
  <c r="CM69" i="120" s="1"/>
  <c r="AB16" i="92"/>
  <c r="EH43" i="8"/>
  <c r="EG43" i="8" s="1"/>
  <c r="EB43" i="8"/>
  <c r="EA43" i="8" s="1"/>
  <c r="AY48" i="121"/>
  <c r="BH48" i="121" s="1"/>
  <c r="EG46" i="8"/>
  <c r="EA46" i="8"/>
  <c r="CC146" i="120"/>
  <c r="EE56" i="7"/>
  <c r="EE52" i="7" s="1"/>
  <c r="EE153" i="7" s="1"/>
  <c r="EF52" i="7"/>
  <c r="AF124" i="122"/>
  <c r="AM124" i="122"/>
  <c r="AG179" i="122"/>
  <c r="AM179" i="122" s="1"/>
  <c r="AP124" i="122"/>
  <c r="R179" i="122"/>
  <c r="AP61" i="123" s="1"/>
  <c r="Q124" i="122"/>
  <c r="Q179" i="122" s="1"/>
  <c r="AF196" i="120"/>
  <c r="AL196" i="120" s="1"/>
  <c r="BK100" i="120"/>
  <c r="BD100" i="120"/>
  <c r="BJ100" i="120" s="1"/>
  <c r="CM30" i="120"/>
  <c r="BM30" i="120"/>
  <c r="CL30" i="120" s="1"/>
  <c r="BM100" i="120"/>
  <c r="CL100" i="120" s="1"/>
  <c r="BM123" i="120"/>
  <c r="CL123" i="120" s="1"/>
  <c r="AG223" i="120"/>
  <c r="AM223" i="120" s="1"/>
  <c r="AF157" i="120"/>
  <c r="AM157" i="120"/>
  <c r="AP157" i="120"/>
  <c r="BE55" i="120"/>
  <c r="AO55" i="120"/>
  <c r="BN55" i="120"/>
  <c r="CM100" i="120"/>
  <c r="CM123" i="120"/>
  <c r="BD123" i="120"/>
  <c r="BJ123" i="120" s="1"/>
  <c r="BK123" i="120"/>
  <c r="BJ30" i="120"/>
  <c r="U75" i="121"/>
  <c r="T75" i="121" s="1"/>
  <c r="K75" i="121"/>
  <c r="T48" i="121"/>
  <c r="AC48" i="121" s="1"/>
  <c r="AD48" i="121"/>
  <c r="AP196" i="120"/>
  <c r="CO48" i="121" s="1"/>
  <c r="AO75" i="121"/>
  <c r="AY75" i="121"/>
  <c r="P31" i="143"/>
  <c r="R30" i="143"/>
  <c r="E20" i="143"/>
  <c r="G20" i="143" s="1"/>
  <c r="F21" i="143" s="1"/>
  <c r="Q30" i="143"/>
  <c r="J21" i="143"/>
  <c r="I21" i="143"/>
  <c r="CA64" i="32"/>
  <c r="CA62" i="32"/>
  <c r="BZ65" i="32"/>
  <c r="E74" i="118"/>
  <c r="H74" i="118" s="1"/>
  <c r="E69" i="118"/>
  <c r="H69" i="118" s="1"/>
  <c r="CG66" i="3"/>
  <c r="CH63" i="3"/>
  <c r="CG63" i="3"/>
  <c r="CG62" i="3" s="1"/>
  <c r="Z45" i="96" s="1"/>
  <c r="CG57" i="3"/>
  <c r="CG53" i="3"/>
  <c r="CH49" i="3"/>
  <c r="CG43" i="3"/>
  <c r="CG39" i="3"/>
  <c r="AX48" i="121" l="1"/>
  <c r="AB45" i="96"/>
  <c r="Z48" i="96"/>
  <c r="Z58" i="96"/>
  <c r="H21" i="143"/>
  <c r="CH46" i="3"/>
  <c r="CH44" i="3" s="1"/>
  <c r="ED167" i="7"/>
  <c r="DX167" i="7"/>
  <c r="BF45" i="65"/>
  <c r="EH120" i="8"/>
  <c r="BB45" i="65"/>
  <c r="EB120" i="8"/>
  <c r="AR11" i="98"/>
  <c r="AC16" i="92"/>
  <c r="AH27" i="104"/>
  <c r="AO68" i="120"/>
  <c r="AO261" i="120" s="1"/>
  <c r="AO260" i="120" s="1"/>
  <c r="AP261" i="120"/>
  <c r="AP260" i="120" s="1"/>
  <c r="AG260" i="120"/>
  <c r="AM260" i="120" s="1"/>
  <c r="AM261" i="120"/>
  <c r="EI120" i="8"/>
  <c r="AZ37" i="66"/>
  <c r="AZ38" i="66" s="1"/>
  <c r="EC120" i="8"/>
  <c r="AR12" i="98"/>
  <c r="K21" i="143"/>
  <c r="J22" i="143" s="1"/>
  <c r="BD69" i="120"/>
  <c r="BJ69" i="120" s="1"/>
  <c r="BK69" i="120"/>
  <c r="BK68" i="120"/>
  <c r="BD68" i="120"/>
  <c r="BE261" i="120"/>
  <c r="CG49" i="3"/>
  <c r="BY63" i="32"/>
  <c r="Q31" i="143"/>
  <c r="BN68" i="120"/>
  <c r="BM69" i="120"/>
  <c r="CL69" i="120" s="1"/>
  <c r="B144" i="120"/>
  <c r="C210" i="120"/>
  <c r="C62" i="121" s="1"/>
  <c r="R144" i="120"/>
  <c r="AG144" i="120" s="1"/>
  <c r="AL68" i="120"/>
  <c r="AF261" i="120"/>
  <c r="CB210" i="120"/>
  <c r="CH210" i="120" s="1"/>
  <c r="CH144" i="120"/>
  <c r="CC212" i="120"/>
  <c r="CI212" i="120" s="1"/>
  <c r="C146" i="120"/>
  <c r="CB146" i="120"/>
  <c r="CI146" i="120"/>
  <c r="CC142" i="120"/>
  <c r="BW17" i="61"/>
  <c r="EF153" i="7"/>
  <c r="BE124" i="122"/>
  <c r="BN124" i="122"/>
  <c r="AP179" i="122"/>
  <c r="CO61" i="123" s="1"/>
  <c r="AO124" i="122"/>
  <c r="AO179" i="122" s="1"/>
  <c r="AL124" i="122"/>
  <c r="AF179" i="122"/>
  <c r="AL179" i="122" s="1"/>
  <c r="AC75" i="121"/>
  <c r="AL75" i="121" s="1"/>
  <c r="BQ48" i="121"/>
  <c r="BZ48" i="121" s="1"/>
  <c r="BG48" i="121"/>
  <c r="BP48" i="121" s="1"/>
  <c r="BY48" i="121" s="1"/>
  <c r="BM55" i="120"/>
  <c r="CL55" i="120" s="1"/>
  <c r="CM55" i="120"/>
  <c r="BE157" i="120"/>
  <c r="AP223" i="120"/>
  <c r="CO75" i="121" s="1"/>
  <c r="AO157" i="120"/>
  <c r="BN157" i="120"/>
  <c r="CM157" i="120" s="1"/>
  <c r="BN196" i="120"/>
  <c r="EN48" i="121" s="1"/>
  <c r="AD75" i="121"/>
  <c r="CX48" i="121"/>
  <c r="CN48" i="121"/>
  <c r="BD55" i="120"/>
  <c r="BK55" i="120"/>
  <c r="BE196" i="120"/>
  <c r="BK196" i="120" s="1"/>
  <c r="AL48" i="121"/>
  <c r="AX75" i="121"/>
  <c r="BH75" i="121"/>
  <c r="AM48" i="121"/>
  <c r="AO196" i="120"/>
  <c r="AF223" i="120"/>
  <c r="AL223" i="120" s="1"/>
  <c r="AL157" i="120"/>
  <c r="AS10" i="95"/>
  <c r="Z7" i="96"/>
  <c r="CH41" i="3"/>
  <c r="CH39" i="3" s="1"/>
  <c r="AZ36" i="64"/>
  <c r="D21" i="143"/>
  <c r="E21" i="143" s="1"/>
  <c r="G21" i="143" s="1"/>
  <c r="R31" i="143"/>
  <c r="P32" i="143"/>
  <c r="C10" i="138"/>
  <c r="E8" i="138"/>
  <c r="D8" i="138"/>
  <c r="E7" i="138"/>
  <c r="E6" i="138"/>
  <c r="D6" i="138"/>
  <c r="E5" i="138"/>
  <c r="D5" i="138"/>
  <c r="I22" i="143" l="1"/>
  <c r="E10" i="138"/>
  <c r="CC48" i="121"/>
  <c r="EH53" i="8"/>
  <c r="EB53" i="8"/>
  <c r="EC67" i="7"/>
  <c r="DW67" i="7"/>
  <c r="AF260" i="120"/>
  <c r="AL260" i="120" s="1"/>
  <c r="AL261" i="120"/>
  <c r="Q144" i="120"/>
  <c r="Q210" i="120" s="1"/>
  <c r="R210" i="120"/>
  <c r="AP62" i="121" s="1"/>
  <c r="BN261" i="120"/>
  <c r="BN260" i="120" s="1"/>
  <c r="BM68" i="120"/>
  <c r="BE260" i="120"/>
  <c r="BK260" i="120" s="1"/>
  <c r="BK261" i="120"/>
  <c r="EI62" i="8"/>
  <c r="EC62" i="8"/>
  <c r="EB62" i="8"/>
  <c r="EH62" i="8"/>
  <c r="EA120" i="8"/>
  <c r="EA62" i="8" s="1"/>
  <c r="DX72" i="7"/>
  <c r="ED72" i="7"/>
  <c r="EC65" i="7"/>
  <c r="DW65" i="7"/>
  <c r="EH56" i="8"/>
  <c r="EB56" i="8"/>
  <c r="H22" i="143"/>
  <c r="B62" i="121"/>
  <c r="L62" i="121"/>
  <c r="BJ68" i="120"/>
  <c r="BD261" i="120"/>
  <c r="CM68" i="120"/>
  <c r="EK43" i="8"/>
  <c r="AI27" i="104"/>
  <c r="B210" i="120"/>
  <c r="CA63" i="32"/>
  <c r="BY67" i="32"/>
  <c r="EG120" i="8"/>
  <c r="EG62" i="8" s="1"/>
  <c r="D10" i="138"/>
  <c r="EH55" i="8"/>
  <c r="EB55" i="8"/>
  <c r="AM144" i="120"/>
  <c r="AG210" i="120"/>
  <c r="AM210" i="120" s="1"/>
  <c r="AF144" i="120"/>
  <c r="AP144" i="120"/>
  <c r="CG45" i="3"/>
  <c r="CG44" i="3" s="1"/>
  <c r="BU45" i="61"/>
  <c r="EC167" i="7"/>
  <c r="EB167" i="7" s="1"/>
  <c r="EB72" i="7" s="1"/>
  <c r="BQ45" i="61"/>
  <c r="DW167" i="7"/>
  <c r="AR27" i="98"/>
  <c r="AR26" i="98"/>
  <c r="AR24" i="98" s="1"/>
  <c r="AR9" i="98"/>
  <c r="AB48" i="96"/>
  <c r="AB58" i="96"/>
  <c r="CH146" i="120"/>
  <c r="CB212" i="120"/>
  <c r="CH212" i="120" s="1"/>
  <c r="CC208" i="120"/>
  <c r="CI208" i="120" s="1"/>
  <c r="CI142" i="120"/>
  <c r="CB142" i="120"/>
  <c r="R146" i="120"/>
  <c r="C212" i="120"/>
  <c r="C64" i="121" s="1"/>
  <c r="B146" i="120"/>
  <c r="C142" i="120"/>
  <c r="BN179" i="122"/>
  <c r="EN61" i="123" s="1"/>
  <c r="BM124" i="122"/>
  <c r="BM179" i="122" s="1"/>
  <c r="BD124" i="122"/>
  <c r="BE179" i="122"/>
  <c r="BK179" i="122" s="1"/>
  <c r="BK124" i="122"/>
  <c r="CB48" i="121"/>
  <c r="CK48" i="121" s="1"/>
  <c r="CL48" i="121"/>
  <c r="BG75" i="121"/>
  <c r="BP75" i="121" s="1"/>
  <c r="BQ75" i="121"/>
  <c r="BZ75" i="121" s="1"/>
  <c r="BM196" i="120"/>
  <c r="CW48" i="121"/>
  <c r="DG48" i="121"/>
  <c r="AM75" i="121"/>
  <c r="BN223" i="120"/>
  <c r="EN75" i="121" s="1"/>
  <c r="BM157" i="120"/>
  <c r="BM223" i="120" s="1"/>
  <c r="CN75" i="121"/>
  <c r="CX75" i="121"/>
  <c r="BE223" i="120"/>
  <c r="BK223" i="120" s="1"/>
  <c r="BK157" i="120"/>
  <c r="BD157" i="120"/>
  <c r="BJ55" i="120"/>
  <c r="BD196" i="120"/>
  <c r="BJ196" i="120" s="1"/>
  <c r="EW48" i="121"/>
  <c r="EM48" i="121"/>
  <c r="AO223" i="120"/>
  <c r="AS11" i="95"/>
  <c r="BY65" i="32"/>
  <c r="Z10" i="96"/>
  <c r="AB7" i="96"/>
  <c r="R32" i="143"/>
  <c r="P33" i="143"/>
  <c r="Q32" i="143"/>
  <c r="K22" i="143"/>
  <c r="F22" i="143"/>
  <c r="D22" i="143"/>
  <c r="AG42" i="104"/>
  <c r="AG41" i="104"/>
  <c r="AG40" i="104"/>
  <c r="AH28" i="104"/>
  <c r="AH26" i="104"/>
  <c r="AH20" i="104"/>
  <c r="AH17" i="104"/>
  <c r="AH8" i="104"/>
  <c r="AH31" i="104" l="1"/>
  <c r="Q33" i="143"/>
  <c r="CC75" i="121"/>
  <c r="CL75" i="121" s="1"/>
  <c r="AF210" i="120"/>
  <c r="AL210" i="120" s="1"/>
  <c r="AL144" i="120"/>
  <c r="EG55" i="8"/>
  <c r="EG113" i="8" s="1"/>
  <c r="EH113" i="8"/>
  <c r="CC112" i="122"/>
  <c r="EJ43" i="8"/>
  <c r="EA56" i="8"/>
  <c r="EA114" i="8" s="1"/>
  <c r="EB114" i="8"/>
  <c r="BB24" i="65" s="1"/>
  <c r="EC162" i="7"/>
  <c r="EB67" i="7"/>
  <c r="EB162" i="7" s="1"/>
  <c r="EC72" i="7"/>
  <c r="DV167" i="7"/>
  <c r="DV72" i="7" s="1"/>
  <c r="DW72" i="7"/>
  <c r="CG48" i="3"/>
  <c r="AS33" i="95"/>
  <c r="K62" i="121"/>
  <c r="U62" i="121"/>
  <c r="T62" i="121" s="1"/>
  <c r="EH114" i="8"/>
  <c r="BF24" i="65" s="1"/>
  <c r="EG56" i="8"/>
  <c r="EG114" i="8" s="1"/>
  <c r="CL68" i="120"/>
  <c r="BM261" i="120"/>
  <c r="BM260" i="120" s="1"/>
  <c r="EA53" i="8"/>
  <c r="EA111" i="8" s="1"/>
  <c r="EB111" i="8"/>
  <c r="BN144" i="120"/>
  <c r="CM144" i="120" s="1"/>
  <c r="AP210" i="120"/>
  <c r="CO62" i="121" s="1"/>
  <c r="AO144" i="120"/>
  <c r="BD260" i="120"/>
  <c r="BJ260" i="120" s="1"/>
  <c r="BJ261" i="120"/>
  <c r="DW193" i="7"/>
  <c r="DV65" i="7"/>
  <c r="DV160" i="7" s="1"/>
  <c r="DW160" i="7"/>
  <c r="BQ25" i="61" s="1"/>
  <c r="EH111" i="8"/>
  <c r="EG53" i="8"/>
  <c r="EG111" i="8" s="1"/>
  <c r="AI28" i="104"/>
  <c r="EK44" i="8" s="1"/>
  <c r="EH44" i="8"/>
  <c r="EB44" i="8"/>
  <c r="BE144" i="120"/>
  <c r="EA55" i="8"/>
  <c r="EA113" i="8" s="1"/>
  <c r="EB113" i="8"/>
  <c r="CA67" i="32"/>
  <c r="BY68" i="32"/>
  <c r="CA68" i="32" s="1"/>
  <c r="AI31" i="104"/>
  <c r="EC160" i="7"/>
  <c r="BU25" i="61" s="1"/>
  <c r="EB65" i="7"/>
  <c r="EB160" i="7" s="1"/>
  <c r="EC193" i="7"/>
  <c r="AY62" i="121"/>
  <c r="AO62" i="121"/>
  <c r="DV67" i="7"/>
  <c r="DV162" i="7" s="1"/>
  <c r="DW162" i="7"/>
  <c r="CL157" i="120"/>
  <c r="B212" i="120"/>
  <c r="L64" i="121"/>
  <c r="B64" i="121"/>
  <c r="C208" i="120"/>
  <c r="C60" i="121" s="1"/>
  <c r="B142" i="120"/>
  <c r="AG146" i="120"/>
  <c r="R212" i="120"/>
  <c r="AP64" i="121" s="1"/>
  <c r="Q146" i="120"/>
  <c r="Q212" i="120" s="1"/>
  <c r="R142" i="120"/>
  <c r="AG142" i="120" s="1"/>
  <c r="CB208" i="120"/>
  <c r="CH208" i="120" s="1"/>
  <c r="CH142" i="120"/>
  <c r="BJ124" i="122"/>
  <c r="BD179" i="122"/>
  <c r="BJ179" i="122" s="1"/>
  <c r="EW75" i="121"/>
  <c r="EM75" i="121"/>
  <c r="CW75" i="121"/>
  <c r="DG75" i="121"/>
  <c r="CB75" i="121"/>
  <c r="BY75" i="121"/>
  <c r="EV48" i="121"/>
  <c r="FF48" i="121"/>
  <c r="BD223" i="120"/>
  <c r="BJ223" i="120" s="1"/>
  <c r="BJ157" i="120"/>
  <c r="DF48" i="121"/>
  <c r="DO48" i="121" s="1"/>
  <c r="DP48" i="121"/>
  <c r="AS8" i="95"/>
  <c r="AB10" i="96"/>
  <c r="AB40" i="96"/>
  <c r="BY61" i="32"/>
  <c r="BY70" i="32" s="1"/>
  <c r="AJ10" i="104" s="1"/>
  <c r="AJ14" i="104" s="1"/>
  <c r="CA65" i="32"/>
  <c r="R33" i="143"/>
  <c r="P34" i="143"/>
  <c r="E22" i="143"/>
  <c r="G22" i="143" s="1"/>
  <c r="J23" i="143"/>
  <c r="I23" i="143"/>
  <c r="D105" i="68"/>
  <c r="CA73" i="32" l="1"/>
  <c r="DW53" i="7" s="1"/>
  <c r="DW52" i="7" s="1"/>
  <c r="DW153" i="7" s="1"/>
  <c r="AC62" i="121"/>
  <c r="BB23" i="65"/>
  <c r="EB139" i="8"/>
  <c r="EA44" i="8"/>
  <c r="EA42" i="8" s="1"/>
  <c r="EA104" i="8" s="1"/>
  <c r="EB42" i="8"/>
  <c r="EB104" i="8" s="1"/>
  <c r="EH146" i="8"/>
  <c r="BF22" i="65"/>
  <c r="EB146" i="8"/>
  <c r="BB22" i="65"/>
  <c r="AS35" i="95"/>
  <c r="AS40" i="95" s="1"/>
  <c r="AS45" i="95" s="1"/>
  <c r="AS43" i="95" s="1"/>
  <c r="AS38" i="95"/>
  <c r="BF23" i="65"/>
  <c r="EH139" i="8"/>
  <c r="DW186" i="7"/>
  <c r="BQ26" i="61"/>
  <c r="AX62" i="121"/>
  <c r="BH62" i="121"/>
  <c r="BG62" i="121" s="1"/>
  <c r="EG44" i="8"/>
  <c r="EG42" i="8" s="1"/>
  <c r="EG104" i="8" s="1"/>
  <c r="EH42" i="8"/>
  <c r="EH104" i="8" s="1"/>
  <c r="AL62" i="121"/>
  <c r="AO210" i="120"/>
  <c r="EC53" i="7"/>
  <c r="EC52" i="7" s="1"/>
  <c r="EC153" i="7" s="1"/>
  <c r="EC188" i="7" s="1"/>
  <c r="BD144" i="120"/>
  <c r="BK144" i="120"/>
  <c r="BE210" i="120"/>
  <c r="BK210" i="120" s="1"/>
  <c r="CC113" i="122"/>
  <c r="EJ44" i="8"/>
  <c r="EJ42" i="8" s="1"/>
  <c r="EJ104" i="8" s="1"/>
  <c r="CX62" i="121"/>
  <c r="CN62" i="121"/>
  <c r="BU26" i="61"/>
  <c r="EC186" i="7"/>
  <c r="EK42" i="8"/>
  <c r="H23" i="143"/>
  <c r="BN210" i="120"/>
  <c r="EN62" i="121" s="1"/>
  <c r="BM144" i="120"/>
  <c r="BM210" i="120" s="1"/>
  <c r="CB112" i="122"/>
  <c r="C112" i="122"/>
  <c r="CI112" i="122"/>
  <c r="CC167" i="122"/>
  <c r="CI167" i="122" s="1"/>
  <c r="AD62" i="121"/>
  <c r="B208" i="120"/>
  <c r="AO64" i="121"/>
  <c r="AY64" i="121"/>
  <c r="AM142" i="120"/>
  <c r="AG208" i="120"/>
  <c r="AM208" i="120" s="1"/>
  <c r="AF142" i="120"/>
  <c r="K64" i="121"/>
  <c r="U64" i="121"/>
  <c r="T64" i="121" s="1"/>
  <c r="AG212" i="120"/>
  <c r="AM212" i="120" s="1"/>
  <c r="AF146" i="120"/>
  <c r="AM146" i="120"/>
  <c r="AP146" i="120"/>
  <c r="BE146" i="120" s="1"/>
  <c r="L60" i="121"/>
  <c r="B60" i="121"/>
  <c r="R208" i="120"/>
  <c r="AP60" i="121" s="1"/>
  <c r="Q142" i="120"/>
  <c r="Q208" i="120" s="1"/>
  <c r="DX48" i="121"/>
  <c r="EA48" i="121"/>
  <c r="DY48" i="121"/>
  <c r="EB48" i="121"/>
  <c r="DF75" i="121"/>
  <c r="DO75" i="121" s="1"/>
  <c r="DX75" i="121" s="1"/>
  <c r="DP75" i="121"/>
  <c r="FF75" i="121"/>
  <c r="FE75" i="121" s="1"/>
  <c r="EV75" i="121"/>
  <c r="FE48" i="121"/>
  <c r="GM48" i="121" s="1"/>
  <c r="FO48" i="121"/>
  <c r="FX48" i="121" s="1"/>
  <c r="CK75" i="121"/>
  <c r="BU17" i="61"/>
  <c r="CA72" i="32"/>
  <c r="CA70" i="32"/>
  <c r="R34" i="143"/>
  <c r="P35" i="143"/>
  <c r="Q34" i="143"/>
  <c r="K23" i="143"/>
  <c r="F23" i="143"/>
  <c r="D23" i="143"/>
  <c r="D107" i="68"/>
  <c r="F105" i="68"/>
  <c r="BQ17" i="61" l="1"/>
  <c r="DW188" i="7"/>
  <c r="AH10" i="104"/>
  <c r="AH14" i="104" s="1"/>
  <c r="BQ62" i="121"/>
  <c r="BZ62" i="121" s="1"/>
  <c r="AM62" i="121"/>
  <c r="R112" i="122"/>
  <c r="AG112" i="122" s="1"/>
  <c r="B112" i="122"/>
  <c r="B167" i="122" s="1"/>
  <c r="C167" i="122"/>
  <c r="C49" i="123" s="1"/>
  <c r="CW62" i="121"/>
  <c r="DG62" i="121"/>
  <c r="CB167" i="122"/>
  <c r="CH167" i="122" s="1"/>
  <c r="CH112" i="122"/>
  <c r="BJ144" i="120"/>
  <c r="BD210" i="120"/>
  <c r="BJ210" i="120" s="1"/>
  <c r="BB15" i="65"/>
  <c r="EB141" i="8"/>
  <c r="BP62" i="121"/>
  <c r="Q35" i="143"/>
  <c r="CB113" i="122"/>
  <c r="CI113" i="122"/>
  <c r="CC168" i="122"/>
  <c r="CI168" i="122" s="1"/>
  <c r="C113" i="122"/>
  <c r="CL144" i="120"/>
  <c r="EH141" i="8"/>
  <c r="BF15" i="65"/>
  <c r="EM62" i="121"/>
  <c r="EW62" i="121"/>
  <c r="CC111" i="122"/>
  <c r="EK104" i="8"/>
  <c r="BH15" i="65" s="1"/>
  <c r="DW18" i="7"/>
  <c r="DV18" i="7" s="1"/>
  <c r="EC18" i="7"/>
  <c r="EB18" i="7" s="1"/>
  <c r="FO75" i="121"/>
  <c r="FX75" i="121" s="1"/>
  <c r="AC64" i="121"/>
  <c r="AL64" i="121" s="1"/>
  <c r="AY60" i="121"/>
  <c r="AO60" i="121"/>
  <c r="U60" i="121"/>
  <c r="T60" i="121" s="1"/>
  <c r="K60" i="121"/>
  <c r="AF212" i="120"/>
  <c r="AL212" i="120" s="1"/>
  <c r="AL146" i="120"/>
  <c r="AF208" i="120"/>
  <c r="AL208" i="120" s="1"/>
  <c r="AL142" i="120"/>
  <c r="AD64" i="121"/>
  <c r="AO146" i="120"/>
  <c r="AP212" i="120"/>
  <c r="CO64" i="121" s="1"/>
  <c r="BN146" i="120"/>
  <c r="CM146" i="120" s="1"/>
  <c r="AP142" i="120"/>
  <c r="BH64" i="121"/>
  <c r="AX64" i="121"/>
  <c r="BE212" i="120"/>
  <c r="BK212" i="120" s="1"/>
  <c r="BD146" i="120"/>
  <c r="BK146" i="120"/>
  <c r="GM75" i="121"/>
  <c r="EA75" i="121"/>
  <c r="FN75" i="121"/>
  <c r="FW75" i="121" s="1"/>
  <c r="DY75" i="121"/>
  <c r="EB75" i="121"/>
  <c r="EJ48" i="121"/>
  <c r="GA48" i="121"/>
  <c r="GJ48" i="121" s="1"/>
  <c r="EK48" i="121"/>
  <c r="FN48" i="121"/>
  <c r="FW48" i="121" s="1"/>
  <c r="ED53" i="7"/>
  <c r="DX53" i="7"/>
  <c r="AH19" i="104"/>
  <c r="AH23" i="104" s="1"/>
  <c r="P36" i="143"/>
  <c r="R35" i="143"/>
  <c r="E23" i="143"/>
  <c r="G23" i="143" s="1"/>
  <c r="J24" i="143"/>
  <c r="I24" i="143"/>
  <c r="H105" i="68"/>
  <c r="D108" i="68"/>
  <c r="D111" i="68"/>
  <c r="D109" i="68"/>
  <c r="D110" i="68"/>
  <c r="BP36" i="61"/>
  <c r="BO36" i="61"/>
  <c r="BN36" i="61"/>
  <c r="DT97" i="8"/>
  <c r="DW97" i="8"/>
  <c r="DZ97" i="8"/>
  <c r="AY23" i="66" s="1"/>
  <c r="DS65" i="7"/>
  <c r="DS160" i="7" s="1"/>
  <c r="DP65" i="7"/>
  <c r="DP160" i="7" s="1"/>
  <c r="DM65" i="7"/>
  <c r="DX53" i="8"/>
  <c r="DX111" i="8" s="1"/>
  <c r="DU53" i="8"/>
  <c r="DU111" i="8" s="1"/>
  <c r="DR53" i="8"/>
  <c r="DR111" i="8" s="1"/>
  <c r="DZ111" i="8"/>
  <c r="DZ146" i="8" s="1"/>
  <c r="DY111" i="8"/>
  <c r="DY146" i="8" s="1"/>
  <c r="DW111" i="8"/>
  <c r="DV111" i="8"/>
  <c r="AZ35" i="65" s="1"/>
  <c r="AZ31" i="65" s="1"/>
  <c r="DT111" i="8"/>
  <c r="DT146" i="8" s="1"/>
  <c r="DS111" i="8"/>
  <c r="AY35" i="65" s="1"/>
  <c r="AY31" i="65" s="1"/>
  <c r="DU194" i="7"/>
  <c r="DU160" i="7"/>
  <c r="DR160" i="7"/>
  <c r="DQ160" i="7"/>
  <c r="DO160" i="7"/>
  <c r="DO194" i="7" s="1"/>
  <c r="DN160" i="7"/>
  <c r="DM160" i="7"/>
  <c r="DY45" i="8"/>
  <c r="DX45" i="8" s="1"/>
  <c r="DU45" i="8"/>
  <c r="DR45" i="8"/>
  <c r="DT57" i="7"/>
  <c r="DS57" i="7" s="1"/>
  <c r="DP57" i="7"/>
  <c r="DM57" i="7"/>
  <c r="AX23" i="66"/>
  <c r="BA46" i="65"/>
  <c r="AZ46" i="65"/>
  <c r="BP46" i="61"/>
  <c r="BO46" i="61"/>
  <c r="BP19" i="61"/>
  <c r="BO19" i="61"/>
  <c r="CC62" i="121" l="1"/>
  <c r="AC60" i="121"/>
  <c r="AL60" i="121" s="1"/>
  <c r="H24" i="143"/>
  <c r="FF62" i="121"/>
  <c r="EV62" i="121"/>
  <c r="AM112" i="122"/>
  <c r="AG167" i="122"/>
  <c r="AM167" i="122" s="1"/>
  <c r="AF112" i="122"/>
  <c r="AP112" i="122"/>
  <c r="R167" i="122"/>
  <c r="AP49" i="123" s="1"/>
  <c r="Q112" i="122"/>
  <c r="Q167" i="122" s="1"/>
  <c r="CH113" i="122"/>
  <c r="CB168" i="122"/>
  <c r="CH168" i="122" s="1"/>
  <c r="CL62" i="121"/>
  <c r="CC166" i="122"/>
  <c r="CI166" i="122" s="1"/>
  <c r="CB111" i="122"/>
  <c r="CI111" i="122"/>
  <c r="B113" i="122"/>
  <c r="B168" i="122" s="1"/>
  <c r="R113" i="122"/>
  <c r="AG113" i="122" s="1"/>
  <c r="C168" i="122"/>
  <c r="C50" i="123" s="1"/>
  <c r="DF62" i="121"/>
  <c r="DO62" i="121" s="1"/>
  <c r="DX62" i="121" s="1"/>
  <c r="DP62" i="121"/>
  <c r="DY62" i="121" s="1"/>
  <c r="BY62" i="121"/>
  <c r="CB62" i="121"/>
  <c r="C111" i="122"/>
  <c r="FZ75" i="121"/>
  <c r="GI75" i="121" s="1"/>
  <c r="BG64" i="121"/>
  <c r="BP64" i="121" s="1"/>
  <c r="BQ64" i="121"/>
  <c r="BZ64" i="121" s="1"/>
  <c r="CN64" i="121"/>
  <c r="CX64" i="121"/>
  <c r="AD60" i="121"/>
  <c r="AO212" i="120"/>
  <c r="AP208" i="120"/>
  <c r="CO60" i="121" s="1"/>
  <c r="AO142" i="120"/>
  <c r="BE142" i="120"/>
  <c r="AM64" i="121"/>
  <c r="BD212" i="120"/>
  <c r="BJ212" i="120" s="1"/>
  <c r="BJ146" i="120"/>
  <c r="BN212" i="120"/>
  <c r="EN64" i="121" s="1"/>
  <c r="BM146" i="120"/>
  <c r="BM212" i="120" s="1"/>
  <c r="BN142" i="120"/>
  <c r="BH60" i="121"/>
  <c r="AX60" i="121"/>
  <c r="EJ75" i="121"/>
  <c r="FZ48" i="121"/>
  <c r="GI48" i="121" s="1"/>
  <c r="GA75" i="121"/>
  <c r="GJ75" i="121" s="1"/>
  <c r="EK75" i="121"/>
  <c r="DX52" i="7"/>
  <c r="DX153" i="7" s="1"/>
  <c r="DX188" i="7" s="1"/>
  <c r="AZ16" i="64" s="1"/>
  <c r="AZ14" i="64" s="1"/>
  <c r="DV53" i="7"/>
  <c r="DV52" i="7" s="1"/>
  <c r="DV153" i="7" s="1"/>
  <c r="ED52" i="7"/>
  <c r="ED153" i="7" s="1"/>
  <c r="ED188" i="7" s="1"/>
  <c r="EB53" i="7"/>
  <c r="EB52" i="7" s="1"/>
  <c r="EB153" i="7" s="1"/>
  <c r="P37" i="143"/>
  <c r="R36" i="143"/>
  <c r="Q36" i="143"/>
  <c r="K24" i="143"/>
  <c r="F24" i="143"/>
  <c r="G3" i="143" s="1"/>
  <c r="D24" i="143"/>
  <c r="BA35" i="65"/>
  <c r="BA31" i="65" s="1"/>
  <c r="D113" i="68"/>
  <c r="D112" i="68"/>
  <c r="J105" i="68"/>
  <c r="DT160" i="7"/>
  <c r="DT194" i="7" s="1"/>
  <c r="DQ194" i="7"/>
  <c r="DR194" i="7"/>
  <c r="DN194" i="7"/>
  <c r="DS146" i="8"/>
  <c r="DV146" i="8"/>
  <c r="DW146" i="8"/>
  <c r="DZ142" i="8"/>
  <c r="AY18" i="66" s="1"/>
  <c r="DW142" i="8"/>
  <c r="AX18" i="66" s="1"/>
  <c r="DZ69" i="8"/>
  <c r="DY69" i="8"/>
  <c r="DW69" i="8"/>
  <c r="DV69" i="8"/>
  <c r="DY68" i="8"/>
  <c r="DV68" i="8"/>
  <c r="DZ66" i="8"/>
  <c r="DY66" i="8"/>
  <c r="DW66" i="8"/>
  <c r="DV66" i="8"/>
  <c r="Q37" i="143" l="1"/>
  <c r="E24" i="143"/>
  <c r="C166" i="122"/>
  <c r="C48" i="123" s="1"/>
  <c r="B111" i="122"/>
  <c r="B166" i="122" s="1"/>
  <c r="EB62" i="121"/>
  <c r="AL112" i="122"/>
  <c r="AF167" i="122"/>
  <c r="AL167" i="122" s="1"/>
  <c r="FE62" i="121"/>
  <c r="FN62" i="121" s="1"/>
  <c r="FW62" i="121" s="1"/>
  <c r="FO62" i="121"/>
  <c r="FX62" i="121" s="1"/>
  <c r="CK62" i="121"/>
  <c r="EA62" i="121"/>
  <c r="AG168" i="122"/>
  <c r="AM168" i="122" s="1"/>
  <c r="AF113" i="122"/>
  <c r="AM113" i="122"/>
  <c r="AP113" i="122"/>
  <c r="CB166" i="122"/>
  <c r="CH166" i="122" s="1"/>
  <c r="CH111" i="122"/>
  <c r="AO112" i="122"/>
  <c r="AO167" i="122" s="1"/>
  <c r="AP167" i="122"/>
  <c r="CO49" i="123" s="1"/>
  <c r="BN112" i="122"/>
  <c r="D114" i="68"/>
  <c r="R168" i="122"/>
  <c r="AP50" i="123" s="1"/>
  <c r="Q113" i="122"/>
  <c r="Q168" i="122" s="1"/>
  <c r="R111" i="122"/>
  <c r="AG111" i="122" s="1"/>
  <c r="BE112" i="122"/>
  <c r="AM60" i="121"/>
  <c r="DG64" i="121"/>
  <c r="DF64" i="121" s="1"/>
  <c r="CW64" i="121"/>
  <c r="EW64" i="121"/>
  <c r="EM64" i="121"/>
  <c r="CC64" i="121"/>
  <c r="CX60" i="121"/>
  <c r="CN60" i="121"/>
  <c r="BG60" i="121"/>
  <c r="BP60" i="121" s="1"/>
  <c r="BQ60" i="121"/>
  <c r="BZ60" i="121" s="1"/>
  <c r="BK142" i="120"/>
  <c r="BE208" i="120"/>
  <c r="BK208" i="120" s="1"/>
  <c r="BD142" i="120"/>
  <c r="CL146" i="120"/>
  <c r="AO208" i="120"/>
  <c r="BN208" i="120"/>
  <c r="EN60" i="121" s="1"/>
  <c r="BM142" i="120"/>
  <c r="BM208" i="120" s="1"/>
  <c r="CM142" i="120"/>
  <c r="BY64" i="121"/>
  <c r="CB64" i="121"/>
  <c r="G24" i="143"/>
  <c r="D25" i="143" s="1"/>
  <c r="G2" i="143"/>
  <c r="V6" i="143"/>
  <c r="V7" i="143" s="1"/>
  <c r="EK58" i="8" s="1"/>
  <c r="R37" i="143"/>
  <c r="P38" i="143"/>
  <c r="J25" i="143"/>
  <c r="I25" i="143"/>
  <c r="K25" i="143" s="1"/>
  <c r="L105" i="68"/>
  <c r="DZ18" i="8"/>
  <c r="DW18" i="8"/>
  <c r="DY98" i="8"/>
  <c r="DX98" i="8" s="1"/>
  <c r="DV98" i="8"/>
  <c r="DU98" i="8" s="1"/>
  <c r="DY51" i="8"/>
  <c r="DV51" i="8"/>
  <c r="DY44" i="8"/>
  <c r="DV44" i="8"/>
  <c r="DV43" i="8"/>
  <c r="DY41" i="8"/>
  <c r="DV41" i="8"/>
  <c r="DY37" i="8"/>
  <c r="DV37" i="8"/>
  <c r="DY35" i="8"/>
  <c r="DV35" i="8"/>
  <c r="DY33" i="8"/>
  <c r="DV33" i="8"/>
  <c r="DY32" i="8"/>
  <c r="DV32" i="8"/>
  <c r="DY28" i="8"/>
  <c r="DV28" i="8"/>
  <c r="DY26" i="8"/>
  <c r="DV26" i="8"/>
  <c r="DY22" i="8"/>
  <c r="DV22" i="8"/>
  <c r="DY20" i="8"/>
  <c r="DV20" i="8"/>
  <c r="DY18" i="8"/>
  <c r="DV18" i="8"/>
  <c r="DY16" i="8"/>
  <c r="DV16" i="8"/>
  <c r="DY12" i="8"/>
  <c r="DV12" i="8"/>
  <c r="DY10" i="8"/>
  <c r="DV10" i="8"/>
  <c r="DV97" i="8" s="1"/>
  <c r="DZ9" i="8"/>
  <c r="DW9" i="8"/>
  <c r="DY9" i="8"/>
  <c r="DV9" i="8"/>
  <c r="DS98" i="8"/>
  <c r="DR98" i="8" s="1"/>
  <c r="GM62" i="121" l="1"/>
  <c r="F25" i="143"/>
  <c r="DP64" i="121"/>
  <c r="DY64" i="121" s="1"/>
  <c r="DO64" i="121"/>
  <c r="DX64" i="121" s="1"/>
  <c r="AG166" i="122"/>
  <c r="AM166" i="122" s="1"/>
  <c r="AF111" i="122"/>
  <c r="AM111" i="122"/>
  <c r="AL113" i="122"/>
  <c r="AF168" i="122"/>
  <c r="AL168" i="122" s="1"/>
  <c r="EK62" i="121"/>
  <c r="GA62" i="121"/>
  <c r="GJ62" i="121" s="1"/>
  <c r="CC125" i="122"/>
  <c r="EK116" i="8"/>
  <c r="EJ58" i="8"/>
  <c r="AO113" i="122"/>
  <c r="AO168" i="122" s="1"/>
  <c r="BN113" i="122"/>
  <c r="BN111" i="122" s="1"/>
  <c r="AP168" i="122"/>
  <c r="CO50" i="123" s="1"/>
  <c r="BD112" i="122"/>
  <c r="BE167" i="122"/>
  <c r="BK167" i="122" s="1"/>
  <c r="BK112" i="122"/>
  <c r="AP111" i="122"/>
  <c r="BE111" i="122" s="1"/>
  <c r="BE113" i="122"/>
  <c r="EJ62" i="121"/>
  <c r="FZ62" i="121"/>
  <c r="GI62" i="121" s="1"/>
  <c r="H25" i="143"/>
  <c r="Q111" i="122"/>
  <c r="Q166" i="122" s="1"/>
  <c r="R166" i="122"/>
  <c r="AP48" i="123" s="1"/>
  <c r="BN167" i="122"/>
  <c r="EN49" i="123" s="1"/>
  <c r="BM112" i="122"/>
  <c r="BM167" i="122" s="1"/>
  <c r="CL142" i="120"/>
  <c r="CK64" i="121"/>
  <c r="DG60" i="121"/>
  <c r="CW60" i="121"/>
  <c r="FF64" i="121"/>
  <c r="EV64" i="121"/>
  <c r="CC60" i="121"/>
  <c r="EW60" i="121"/>
  <c r="EM60" i="121"/>
  <c r="BD208" i="120"/>
  <c r="BJ208" i="120" s="1"/>
  <c r="BJ142" i="120"/>
  <c r="BY60" i="121"/>
  <c r="CB60" i="121"/>
  <c r="CL64" i="121"/>
  <c r="R38" i="143"/>
  <c r="P39" i="143"/>
  <c r="Q38" i="143"/>
  <c r="I26" i="143"/>
  <c r="J26" i="143"/>
  <c r="E25" i="143"/>
  <c r="DY97" i="8"/>
  <c r="N105" i="68"/>
  <c r="DY138" i="8"/>
  <c r="BA12" i="65" s="1"/>
  <c r="DY65" i="8"/>
  <c r="DV65" i="8"/>
  <c r="DV138" i="8"/>
  <c r="AZ12" i="65" s="1"/>
  <c r="DT79" i="7"/>
  <c r="DT78" i="7"/>
  <c r="DU76" i="7"/>
  <c r="DT76" i="7"/>
  <c r="DQ79" i="7"/>
  <c r="DN79" i="7"/>
  <c r="DQ78" i="7"/>
  <c r="DR76" i="7"/>
  <c r="DQ76" i="7"/>
  <c r="EB64" i="121" l="1"/>
  <c r="EA64" i="121"/>
  <c r="BK111" i="122"/>
  <c r="BE166" i="122"/>
  <c r="BK166" i="122" s="1"/>
  <c r="BD111" i="122"/>
  <c r="BK113" i="122"/>
  <c r="BD113" i="122"/>
  <c r="BE168" i="122"/>
  <c r="BK168" i="122" s="1"/>
  <c r="BD167" i="122"/>
  <c r="BJ167" i="122" s="1"/>
  <c r="BJ112" i="122"/>
  <c r="AP166" i="122"/>
  <c r="CO48" i="123" s="1"/>
  <c r="AO111" i="122"/>
  <c r="AO166" i="122" s="1"/>
  <c r="EJ116" i="8"/>
  <c r="BH26" i="65"/>
  <c r="BH13" i="65" s="1"/>
  <c r="BN168" i="122"/>
  <c r="EN50" i="123" s="1"/>
  <c r="BM113" i="122"/>
  <c r="BM168" i="122" s="1"/>
  <c r="CC180" i="122"/>
  <c r="CI180" i="122" s="1"/>
  <c r="CB125" i="122"/>
  <c r="C125" i="122"/>
  <c r="CI125" i="122"/>
  <c r="AF166" i="122"/>
  <c r="AL166" i="122" s="1"/>
  <c r="AL111" i="122"/>
  <c r="BM111" i="122"/>
  <c r="BM166" i="122" s="1"/>
  <c r="BN166" i="122"/>
  <c r="EN48" i="123" s="1"/>
  <c r="CK60" i="121"/>
  <c r="EJ64" i="121"/>
  <c r="FE64" i="121"/>
  <c r="FN64" i="121" s="1"/>
  <c r="FW64" i="121" s="1"/>
  <c r="FO64" i="121"/>
  <c r="FX64" i="121" s="1"/>
  <c r="EK64" i="121"/>
  <c r="FF60" i="121"/>
  <c r="EV60" i="121"/>
  <c r="CL60" i="121"/>
  <c r="DP60" i="121"/>
  <c r="DY60" i="121" s="1"/>
  <c r="DF60" i="121"/>
  <c r="P40" i="143"/>
  <c r="R39" i="143"/>
  <c r="Q39" i="143"/>
  <c r="G25" i="143"/>
  <c r="H26" i="143"/>
  <c r="K26" i="143"/>
  <c r="P105" i="68"/>
  <c r="AF27" i="104"/>
  <c r="Q40" i="143" l="1"/>
  <c r="B125" i="122"/>
  <c r="B180" i="122" s="1"/>
  <c r="C180" i="122"/>
  <c r="C62" i="123" s="1"/>
  <c r="R125" i="122"/>
  <c r="AG125" i="122" s="1"/>
  <c r="BD168" i="122"/>
  <c r="BJ168" i="122" s="1"/>
  <c r="BJ113" i="122"/>
  <c r="CB180" i="122"/>
  <c r="CH180" i="122" s="1"/>
  <c r="CH125" i="122"/>
  <c r="BJ111" i="122"/>
  <c r="BD166" i="122"/>
  <c r="BJ166" i="122" s="1"/>
  <c r="GM64" i="121"/>
  <c r="FE60" i="121"/>
  <c r="FN60" i="121" s="1"/>
  <c r="FW60" i="121" s="1"/>
  <c r="FO60" i="121"/>
  <c r="FX60" i="121" s="1"/>
  <c r="EB60" i="121"/>
  <c r="GA64" i="121"/>
  <c r="GJ64" i="121" s="1"/>
  <c r="FZ64" i="121"/>
  <c r="GI64" i="121" s="1"/>
  <c r="DO60" i="121"/>
  <c r="P41" i="143"/>
  <c r="Q41" i="143" s="1"/>
  <c r="R40" i="143"/>
  <c r="J27" i="143"/>
  <c r="I27" i="143"/>
  <c r="F26" i="143"/>
  <c r="D26" i="143"/>
  <c r="R105" i="68"/>
  <c r="DT54" i="7"/>
  <c r="DQ54" i="7"/>
  <c r="E26" i="143" l="1"/>
  <c r="AM125" i="122"/>
  <c r="AG180" i="122"/>
  <c r="AM180" i="122" s="1"/>
  <c r="AF125" i="122"/>
  <c r="AP125" i="122"/>
  <c r="H27" i="143"/>
  <c r="R180" i="122"/>
  <c r="AP62" i="123" s="1"/>
  <c r="Q125" i="122"/>
  <c r="Q180" i="122" s="1"/>
  <c r="B62" i="123"/>
  <c r="L62" i="123"/>
  <c r="EK60" i="121"/>
  <c r="GA60" i="121"/>
  <c r="GJ60" i="121" s="1"/>
  <c r="DX60" i="121"/>
  <c r="EA60" i="121"/>
  <c r="GM60" i="121"/>
  <c r="G26" i="143"/>
  <c r="F27" i="143" s="1"/>
  <c r="R41" i="143"/>
  <c r="P42" i="143"/>
  <c r="Q42" i="143" s="1"/>
  <c r="K27" i="143"/>
  <c r="T105" i="68"/>
  <c r="D27" i="143" l="1"/>
  <c r="AO62" i="123"/>
  <c r="AY62" i="123"/>
  <c r="BE125" i="122"/>
  <c r="AP180" i="122"/>
  <c r="CO62" i="123" s="1"/>
  <c r="BN125" i="122"/>
  <c r="AO125" i="122"/>
  <c r="AO180" i="122" s="1"/>
  <c r="U62" i="123"/>
  <c r="T62" i="123" s="1"/>
  <c r="K62" i="123"/>
  <c r="AF180" i="122"/>
  <c r="AL180" i="122" s="1"/>
  <c r="AL125" i="122"/>
  <c r="E27" i="143"/>
  <c r="G27" i="143" s="1"/>
  <c r="D28" i="143" s="1"/>
  <c r="FZ60" i="121"/>
  <c r="GI60" i="121" s="1"/>
  <c r="EJ60" i="121"/>
  <c r="R42" i="143"/>
  <c r="P43" i="143"/>
  <c r="Q43" i="143" s="1"/>
  <c r="J28" i="143"/>
  <c r="I28" i="143"/>
  <c r="K28" i="143" s="1"/>
  <c r="BW68" i="32"/>
  <c r="BW67" i="32"/>
  <c r="BT68" i="32"/>
  <c r="BT67" i="32"/>
  <c r="BV66" i="32"/>
  <c r="BV64" i="32"/>
  <c r="BV62" i="32"/>
  <c r="BS66" i="32"/>
  <c r="BS64" i="32"/>
  <c r="BS62" i="32"/>
  <c r="DT46" i="7"/>
  <c r="DS46" i="7" s="1"/>
  <c r="DQ46" i="7"/>
  <c r="DP46" i="7" s="1"/>
  <c r="DT45" i="7"/>
  <c r="DQ45" i="7"/>
  <c r="DT44" i="7"/>
  <c r="DQ44" i="7"/>
  <c r="DT42" i="7"/>
  <c r="DQ42" i="7"/>
  <c r="DT38" i="7"/>
  <c r="DQ38" i="7"/>
  <c r="DT36" i="7"/>
  <c r="DQ36" i="7"/>
  <c r="DT34" i="7"/>
  <c r="DQ34" i="7"/>
  <c r="DT29" i="7"/>
  <c r="DQ29" i="7"/>
  <c r="DT28" i="7"/>
  <c r="DQ28" i="7"/>
  <c r="DT26" i="7"/>
  <c r="DQ26" i="7"/>
  <c r="DQ23" i="7"/>
  <c r="DT22" i="7"/>
  <c r="DQ22" i="7"/>
  <c r="DT20" i="7"/>
  <c r="DQ20" i="7"/>
  <c r="DT16" i="7"/>
  <c r="DQ16" i="7"/>
  <c r="F28" i="143" l="1"/>
  <c r="BN180" i="122"/>
  <c r="EN62" i="123" s="1"/>
  <c r="BM125" i="122"/>
  <c r="BM180" i="122" s="1"/>
  <c r="AX62" i="123"/>
  <c r="BH62" i="123"/>
  <c r="BG62" i="123" s="1"/>
  <c r="H28" i="143"/>
  <c r="CX62" i="123"/>
  <c r="CN62" i="123"/>
  <c r="AC62" i="123"/>
  <c r="BK125" i="122"/>
  <c r="BE180" i="122"/>
  <c r="BK180" i="122" s="1"/>
  <c r="BD125" i="122"/>
  <c r="AD62" i="123"/>
  <c r="R43" i="143"/>
  <c r="P44" i="143"/>
  <c r="E28" i="143"/>
  <c r="J29" i="143"/>
  <c r="I29" i="143"/>
  <c r="DT12" i="7"/>
  <c r="DQ12" i="7"/>
  <c r="DT10" i="7"/>
  <c r="DQ10" i="7"/>
  <c r="DU9" i="7"/>
  <c r="DR9" i="7"/>
  <c r="DT9" i="7"/>
  <c r="DQ9" i="7"/>
  <c r="H29" i="143" l="1"/>
  <c r="AM62" i="123"/>
  <c r="N53" i="126"/>
  <c r="AL62" i="123"/>
  <c r="M53" i="126"/>
  <c r="DG62" i="123"/>
  <c r="CW62" i="123"/>
  <c r="BJ125" i="122"/>
  <c r="BD180" i="122"/>
  <c r="BJ180" i="122" s="1"/>
  <c r="EW62" i="123"/>
  <c r="EM62" i="123"/>
  <c r="BP62" i="123"/>
  <c r="CB62" i="123" s="1"/>
  <c r="BQ62" i="123"/>
  <c r="CC62" i="123" s="1"/>
  <c r="R44" i="143"/>
  <c r="P45" i="143"/>
  <c r="G28" i="143"/>
  <c r="F29" i="143" s="1"/>
  <c r="Q44" i="143"/>
  <c r="K29" i="143"/>
  <c r="S10" i="103"/>
  <c r="R10" i="103"/>
  <c r="T53" i="126" l="1"/>
  <c r="CL62" i="123"/>
  <c r="S53" i="126"/>
  <c r="CK62" i="123"/>
  <c r="DF62" i="123"/>
  <c r="DO62" i="123" s="1"/>
  <c r="EA62" i="123" s="1"/>
  <c r="DP62" i="123"/>
  <c r="Q53" i="126"/>
  <c r="BZ62" i="123"/>
  <c r="BY62" i="123"/>
  <c r="P53" i="126"/>
  <c r="D29" i="143"/>
  <c r="E29" i="143" s="1"/>
  <c r="EV62" i="123"/>
  <c r="FF62" i="123"/>
  <c r="P46" i="143"/>
  <c r="R45" i="143"/>
  <c r="Q45" i="143"/>
  <c r="Q46" i="143" s="1"/>
  <c r="J30" i="143"/>
  <c r="T19" i="143" s="1"/>
  <c r="I30" i="143"/>
  <c r="EI27" i="17"/>
  <c r="Y53" i="126" l="1"/>
  <c r="EJ62" i="123"/>
  <c r="W53" i="126"/>
  <c r="DY62" i="123"/>
  <c r="FE62" i="123"/>
  <c r="FN62" i="123" s="1"/>
  <c r="FZ62" i="123" s="1"/>
  <c r="FO62" i="123"/>
  <c r="DX62" i="123"/>
  <c r="V53" i="126"/>
  <c r="EB62" i="123"/>
  <c r="H30" i="143"/>
  <c r="S19" i="143"/>
  <c r="G29" i="143"/>
  <c r="F30" i="143" s="1"/>
  <c r="P47" i="143"/>
  <c r="R46" i="143"/>
  <c r="K30" i="143"/>
  <c r="D30" i="143"/>
  <c r="AR10" i="95"/>
  <c r="AQ10" i="95"/>
  <c r="CC57" i="3"/>
  <c r="CC53" i="3"/>
  <c r="CE57" i="3"/>
  <c r="CE53" i="3"/>
  <c r="CF49" i="3"/>
  <c r="CE43" i="3"/>
  <c r="CE39" i="3"/>
  <c r="Y7" i="96" s="1"/>
  <c r="CF46" i="3" l="1"/>
  <c r="CF44" i="3" s="1"/>
  <c r="BS45" i="61"/>
  <c r="DU167" i="7"/>
  <c r="BV65" i="32"/>
  <c r="FX62" i="123"/>
  <c r="AC53" i="126"/>
  <c r="AE53" i="126"/>
  <c r="GI62" i="123"/>
  <c r="CE49" i="3"/>
  <c r="BV63" i="32"/>
  <c r="BV67" i="32" s="1"/>
  <c r="GA62" i="123"/>
  <c r="Z53" i="126"/>
  <c r="EK62" i="123"/>
  <c r="AB53" i="126"/>
  <c r="FW62" i="123"/>
  <c r="E30" i="143"/>
  <c r="P48" i="143"/>
  <c r="R47" i="143"/>
  <c r="Q47" i="143"/>
  <c r="Q48" i="143" s="1"/>
  <c r="J31" i="143"/>
  <c r="I31" i="143"/>
  <c r="K31" i="143" s="1"/>
  <c r="CC49" i="3"/>
  <c r="BS63" i="32"/>
  <c r="BS67" i="32" s="1"/>
  <c r="DQ167" i="7" l="1"/>
  <c r="BO45" i="61"/>
  <c r="GJ62" i="123"/>
  <c r="AF53" i="126"/>
  <c r="H31" i="143"/>
  <c r="CE45" i="3"/>
  <c r="CE44" i="3" s="1"/>
  <c r="BP45" i="61"/>
  <c r="DT167" i="7"/>
  <c r="CF41" i="3"/>
  <c r="AY36" i="64"/>
  <c r="R48" i="143"/>
  <c r="P49" i="143"/>
  <c r="Q49" i="143" s="1"/>
  <c r="G30" i="143"/>
  <c r="J32" i="143"/>
  <c r="I32" i="143"/>
  <c r="CE48" i="3" l="1"/>
  <c r="AR35" i="95"/>
  <c r="CF39" i="3"/>
  <c r="AR11" i="95"/>
  <c r="H32" i="143"/>
  <c r="F31" i="143"/>
  <c r="D31" i="143"/>
  <c r="R49" i="143"/>
  <c r="P50" i="143"/>
  <c r="K32" i="143"/>
  <c r="E31" i="143" l="1"/>
  <c r="G31" i="143" s="1"/>
  <c r="F32" i="143"/>
  <c r="D32" i="143"/>
  <c r="E32" i="143" s="1"/>
  <c r="G32" i="143" s="1"/>
  <c r="P51" i="143"/>
  <c r="R50" i="143"/>
  <c r="Q50" i="143"/>
  <c r="J33" i="143"/>
  <c r="I33" i="143"/>
  <c r="Q51" i="143" l="1"/>
  <c r="P52" i="143"/>
  <c r="R51" i="143"/>
  <c r="F33" i="143"/>
  <c r="D33" i="143"/>
  <c r="Q52" i="143"/>
  <c r="H33" i="143"/>
  <c r="K33" i="143"/>
  <c r="E33" i="143" l="1"/>
  <c r="G33" i="143" s="1"/>
  <c r="F34" i="143" s="1"/>
  <c r="D34" i="143"/>
  <c r="P53" i="143"/>
  <c r="R52" i="143"/>
  <c r="J34" i="143"/>
  <c r="I34" i="143"/>
  <c r="E34" i="143" l="1"/>
  <c r="G34" i="143" s="1"/>
  <c r="R53" i="143"/>
  <c r="P54" i="143"/>
  <c r="Q53" i="143"/>
  <c r="D35" i="143"/>
  <c r="F35" i="143"/>
  <c r="H34" i="143"/>
  <c r="K34" i="143"/>
  <c r="E35" i="143" l="1"/>
  <c r="G35" i="143" s="1"/>
  <c r="Q54" i="143"/>
  <c r="F36" i="143"/>
  <c r="H3" i="143" s="1"/>
  <c r="D36" i="143"/>
  <c r="P55" i="143"/>
  <c r="R54" i="143"/>
  <c r="J35" i="143"/>
  <c r="I35" i="143"/>
  <c r="E36" i="143" l="1"/>
  <c r="H35" i="143"/>
  <c r="R55" i="143"/>
  <c r="P56" i="143"/>
  <c r="G36" i="143"/>
  <c r="H2" i="143"/>
  <c r="Q55" i="143"/>
  <c r="K35" i="143"/>
  <c r="Q56" i="143" l="1"/>
  <c r="D37" i="143"/>
  <c r="F37" i="143"/>
  <c r="Q57" i="143"/>
  <c r="P57" i="143"/>
  <c r="R56" i="143"/>
  <c r="J36" i="143"/>
  <c r="I36" i="143"/>
  <c r="H36" i="143" l="1"/>
  <c r="E37" i="143"/>
  <c r="G37" i="143" s="1"/>
  <c r="P58" i="143"/>
  <c r="R57" i="143"/>
  <c r="K36" i="143"/>
  <c r="F38" i="143" l="1"/>
  <c r="D38" i="143"/>
  <c r="P59" i="143"/>
  <c r="R58" i="143"/>
  <c r="Q58" i="143"/>
  <c r="J37" i="143"/>
  <c r="I37" i="143"/>
  <c r="K37" i="143" s="1"/>
  <c r="H37" i="143" l="1"/>
  <c r="E38" i="143"/>
  <c r="P60" i="143"/>
  <c r="R60" i="143" s="1"/>
  <c r="R59" i="143"/>
  <c r="Q59" i="143"/>
  <c r="J38" i="143"/>
  <c r="I38" i="143"/>
  <c r="H38" i="143" s="1"/>
  <c r="Q60" i="143" l="1"/>
  <c r="G38" i="143"/>
  <c r="K38" i="143"/>
  <c r="FV61" i="123"/>
  <c r="FU61" i="123"/>
  <c r="FK61" i="123"/>
  <c r="FB61" i="123"/>
  <c r="ES61" i="123"/>
  <c r="DW61" i="123"/>
  <c r="DV61" i="123"/>
  <c r="DL61" i="123"/>
  <c r="DC61" i="123"/>
  <c r="CT61" i="123"/>
  <c r="BX61" i="123"/>
  <c r="BW61" i="123"/>
  <c r="BM61" i="123"/>
  <c r="BD61" i="123"/>
  <c r="AU61" i="123"/>
  <c r="AK61" i="123"/>
  <c r="AJ61" i="123"/>
  <c r="Z61" i="123"/>
  <c r="Q61" i="123"/>
  <c r="H61" i="123"/>
  <c r="F39" i="143" l="1"/>
  <c r="D39" i="143"/>
  <c r="E39" i="143" s="1"/>
  <c r="J39" i="143"/>
  <c r="I39" i="143"/>
  <c r="K39" i="143" s="1"/>
  <c r="FT61" i="123"/>
  <c r="AI61" i="123"/>
  <c r="CJ61" i="123"/>
  <c r="EI61" i="123" s="1"/>
  <c r="GH61" i="123" s="1"/>
  <c r="BV61" i="123"/>
  <c r="DU61" i="123"/>
  <c r="CI61" i="123"/>
  <c r="EH61" i="123" s="1"/>
  <c r="GG61" i="123" s="1"/>
  <c r="E61" i="123"/>
  <c r="H39" i="143" l="1"/>
  <c r="G39" i="143"/>
  <c r="J40" i="143"/>
  <c r="I40" i="143"/>
  <c r="H40" i="143" s="1"/>
  <c r="CH61" i="123"/>
  <c r="EG61" i="123" s="1"/>
  <c r="GF61" i="123" s="1"/>
  <c r="F40" i="143" l="1"/>
  <c r="D40" i="143"/>
  <c r="E40" i="143" s="1"/>
  <c r="K40" i="143"/>
  <c r="G40" i="143" l="1"/>
  <c r="J41" i="143"/>
  <c r="I41" i="143"/>
  <c r="Q61" i="125"/>
  <c r="H41" i="143" l="1"/>
  <c r="K41" i="143"/>
  <c r="J42" i="143" s="1"/>
  <c r="T31" i="143" s="1"/>
  <c r="F41" i="143"/>
  <c r="D41" i="143"/>
  <c r="I42" i="143" l="1"/>
  <c r="E41" i="143"/>
  <c r="G41" i="143" s="1"/>
  <c r="H42" i="143"/>
  <c r="S31" i="143"/>
  <c r="K42" i="143"/>
  <c r="N61" i="125"/>
  <c r="T61" i="125"/>
  <c r="F42" i="143" l="1"/>
  <c r="D42" i="143"/>
  <c r="E42" i="143" s="1"/>
  <c r="J43" i="143"/>
  <c r="I43" i="143"/>
  <c r="H43" i="143" l="1"/>
  <c r="K43" i="143"/>
  <c r="J44" i="143" s="1"/>
  <c r="G42" i="143"/>
  <c r="AW56" i="65"/>
  <c r="I44" i="143" l="1"/>
  <c r="D43" i="143"/>
  <c r="F43" i="143"/>
  <c r="AC61" i="125"/>
  <c r="W61" i="125"/>
  <c r="AW46" i="65"/>
  <c r="BL57" i="61"/>
  <c r="BL46" i="61"/>
  <c r="BH18" i="5"/>
  <c r="BH15" i="5"/>
  <c r="BH41" i="5"/>
  <c r="BH40" i="5"/>
  <c r="BH38" i="5"/>
  <c r="BH23" i="5"/>
  <c r="EH23" i="19"/>
  <c r="EH42" i="19"/>
  <c r="EH25" i="19"/>
  <c r="BC34" i="6"/>
  <c r="BG34" i="6" s="1"/>
  <c r="BC33" i="6"/>
  <c r="BG33" i="6" s="1"/>
  <c r="BC14" i="6"/>
  <c r="BG14" i="6" s="1"/>
  <c r="BC15" i="6"/>
  <c r="BG15" i="6" s="1"/>
  <c r="BC24" i="6"/>
  <c r="BG24" i="6" s="1"/>
  <c r="BC22" i="6"/>
  <c r="BG22" i="6" s="1"/>
  <c r="BC21" i="6"/>
  <c r="BG21" i="6" s="1"/>
  <c r="BH20" i="5"/>
  <c r="BH13" i="5"/>
  <c r="DL145" i="7"/>
  <c r="AU33" i="66"/>
  <c r="AU32" i="64"/>
  <c r="AU17" i="64"/>
  <c r="DQ47" i="8"/>
  <c r="ED30" i="17"/>
  <c r="DL13" i="7" s="1"/>
  <c r="B69" i="118"/>
  <c r="C69" i="118"/>
  <c r="B74" i="118"/>
  <c r="C74" i="118"/>
  <c r="C84" i="118"/>
  <c r="B85" i="118"/>
  <c r="C85" i="118" s="1"/>
  <c r="B84" i="118"/>
  <c r="C64" i="118"/>
  <c r="B65" i="118"/>
  <c r="C65" i="118" s="1"/>
  <c r="D65" i="118" s="1"/>
  <c r="B64" i="118"/>
  <c r="B75" i="118"/>
  <c r="C75" i="118" s="1"/>
  <c r="C94" i="118"/>
  <c r="B95" i="118"/>
  <c r="C95" i="118" s="1"/>
  <c r="D95" i="118" s="1"/>
  <c r="B94" i="118"/>
  <c r="C104" i="118"/>
  <c r="B105" i="118"/>
  <c r="C105" i="118" s="1"/>
  <c r="D105" i="118" s="1"/>
  <c r="B104" i="118"/>
  <c r="DP153" i="8"/>
  <c r="DQ105" i="8"/>
  <c r="DQ112" i="8"/>
  <c r="DP68" i="8"/>
  <c r="DP67" i="8" s="1"/>
  <c r="DQ69" i="8"/>
  <c r="DQ67" i="8" s="1"/>
  <c r="DJ169" i="7"/>
  <c r="C79" i="118"/>
  <c r="B80" i="118"/>
  <c r="C80" i="118" s="1"/>
  <c r="D80" i="118" s="1"/>
  <c r="B79" i="118"/>
  <c r="C59" i="118"/>
  <c r="B60" i="118"/>
  <c r="C60" i="118" s="1"/>
  <c r="D60" i="118" s="1"/>
  <c r="B59" i="118"/>
  <c r="B70" i="118"/>
  <c r="C70" i="118" s="1"/>
  <c r="C71" i="118" s="1"/>
  <c r="C72" i="118" s="1"/>
  <c r="C89" i="118"/>
  <c r="B90" i="118"/>
  <c r="C90" i="118" s="1"/>
  <c r="D90" i="118" s="1"/>
  <c r="B89" i="118"/>
  <c r="C99" i="118"/>
  <c r="B100" i="118"/>
  <c r="C100" i="118" s="1"/>
  <c r="B99" i="118"/>
  <c r="DL146" i="7"/>
  <c r="DL148" i="7"/>
  <c r="DL151" i="7"/>
  <c r="DL152" i="7"/>
  <c r="DL155" i="7"/>
  <c r="DL157" i="7"/>
  <c r="DL158" i="7"/>
  <c r="DK159" i="7"/>
  <c r="DL159" i="7"/>
  <c r="DL161" i="7"/>
  <c r="DL192" i="7" s="1"/>
  <c r="DL187" i="7"/>
  <c r="DL189" i="7"/>
  <c r="DL190" i="7"/>
  <c r="DK56" i="7"/>
  <c r="DK54" i="7"/>
  <c r="DL50" i="7"/>
  <c r="DK44" i="7"/>
  <c r="DQ40" i="8"/>
  <c r="DQ39" i="8" s="1"/>
  <c r="DQ31" i="8"/>
  <c r="DQ30" i="8" s="1"/>
  <c r="DL25" i="7"/>
  <c r="DL17" i="7" s="1"/>
  <c r="DQ15" i="8"/>
  <c r="DQ14" i="8" s="1"/>
  <c r="DQ8" i="8" s="1"/>
  <c r="AE10" i="102"/>
  <c r="AE9" i="102" s="1"/>
  <c r="AE16" i="102"/>
  <c r="DP50" i="8" s="1"/>
  <c r="DO50" i="8" s="1"/>
  <c r="DO108" i="8" s="1"/>
  <c r="EI15" i="19"/>
  <c r="EH15" i="19"/>
  <c r="P55" i="97"/>
  <c r="P52" i="97"/>
  <c r="P51" i="97"/>
  <c r="P47" i="97"/>
  <c r="P46" i="97"/>
  <c r="P45" i="97"/>
  <c r="U36" i="111"/>
  <c r="DP37" i="8" s="1"/>
  <c r="U34" i="111"/>
  <c r="DP22" i="8" s="1"/>
  <c r="U33" i="111"/>
  <c r="DP12" i="8" s="1"/>
  <c r="U31" i="111"/>
  <c r="DK38" i="7" s="1"/>
  <c r="U29" i="111"/>
  <c r="DK46" i="7" s="1"/>
  <c r="U28" i="111"/>
  <c r="DK22" i="7" s="1"/>
  <c r="U27" i="111"/>
  <c r="DK12" i="7" s="1"/>
  <c r="ED36" i="17"/>
  <c r="DQ23" i="8" s="1"/>
  <c r="EC36" i="17"/>
  <c r="EC30" i="17"/>
  <c r="EB36" i="17"/>
  <c r="EB35" i="17"/>
  <c r="EN35" i="17" s="1"/>
  <c r="EB34" i="17"/>
  <c r="EN34" i="17" s="1"/>
  <c r="EB33" i="17"/>
  <c r="EN33" i="17" s="1"/>
  <c r="EB32" i="17"/>
  <c r="EN32" i="17" s="1"/>
  <c r="EB30" i="17"/>
  <c r="EB28" i="17"/>
  <c r="EB27" i="17"/>
  <c r="EB26" i="17"/>
  <c r="EB25" i="17"/>
  <c r="V49" i="96"/>
  <c r="V59" i="96"/>
  <c r="V58" i="96"/>
  <c r="V57" i="96"/>
  <c r="BC44" i="6"/>
  <c r="BG44" i="6" s="1"/>
  <c r="BC43" i="6"/>
  <c r="BG43" i="6" s="1"/>
  <c r="BC41" i="6"/>
  <c r="BG41" i="6" s="1"/>
  <c r="BC31" i="6"/>
  <c r="BG31" i="6" s="1"/>
  <c r="BH45" i="5"/>
  <c r="BH44" i="5"/>
  <c r="BH43" i="5"/>
  <c r="BH42" i="5"/>
  <c r="BH37" i="5"/>
  <c r="BH36" i="5"/>
  <c r="BH35" i="5"/>
  <c r="BH33" i="5"/>
  <c r="BH32" i="5"/>
  <c r="BH31" i="5"/>
  <c r="BH25" i="5"/>
  <c r="BH24" i="5"/>
  <c r="BH22" i="5"/>
  <c r="BH21" i="5"/>
  <c r="BH19" i="5"/>
  <c r="BH16" i="5"/>
  <c r="AD26" i="104"/>
  <c r="DP46" i="8" s="1"/>
  <c r="AD8" i="104"/>
  <c r="BM66" i="32"/>
  <c r="BM64" i="32"/>
  <c r="BO64" i="32" s="1"/>
  <c r="BM62" i="32"/>
  <c r="BO62" i="32" s="1"/>
  <c r="DP12" i="136"/>
  <c r="DP7" i="136"/>
  <c r="DP14" i="136" s="1"/>
  <c r="DK13" i="135"/>
  <c r="AO17" i="95"/>
  <c r="AY46" i="65"/>
  <c r="BN46" i="61"/>
  <c r="BN19" i="61"/>
  <c r="BN18" i="61"/>
  <c r="DT142" i="8"/>
  <c r="AW18" i="66" s="1"/>
  <c r="DT69" i="8"/>
  <c r="DT67" i="8" s="1"/>
  <c r="DS69" i="8"/>
  <c r="DS68" i="8"/>
  <c r="DT66" i="8"/>
  <c r="DS66" i="8"/>
  <c r="DS51" i="8"/>
  <c r="DS109" i="8" s="1"/>
  <c r="AY14" i="65" s="1"/>
  <c r="DS44" i="8"/>
  <c r="DS43" i="8"/>
  <c r="DS41" i="8"/>
  <c r="DR41" i="8" s="1"/>
  <c r="DS37" i="8"/>
  <c r="DR37" i="8" s="1"/>
  <c r="DS35" i="8"/>
  <c r="DS33" i="8"/>
  <c r="DS32" i="8"/>
  <c r="DR32" i="8" s="1"/>
  <c r="DS28" i="8"/>
  <c r="DS26" i="8"/>
  <c r="DS22" i="8"/>
  <c r="DR22" i="8" s="1"/>
  <c r="DS20" i="8"/>
  <c r="DR20" i="8" s="1"/>
  <c r="DT18" i="8"/>
  <c r="DS18" i="8"/>
  <c r="DS16" i="8"/>
  <c r="DR16" i="8" s="1"/>
  <c r="DS12" i="8"/>
  <c r="DR12" i="8" s="1"/>
  <c r="DS10" i="8"/>
  <c r="DT9" i="8"/>
  <c r="DS9" i="8"/>
  <c r="DO78" i="7"/>
  <c r="DN78" i="7"/>
  <c r="DO76" i="7"/>
  <c r="DN76" i="7"/>
  <c r="DN54" i="7"/>
  <c r="DN46" i="7"/>
  <c r="DM46" i="7" s="1"/>
  <c r="DN45" i="7"/>
  <c r="DM45" i="7" s="1"/>
  <c r="DN44" i="7"/>
  <c r="DM44" i="7" s="1"/>
  <c r="DN42" i="7"/>
  <c r="DM42" i="7" s="1"/>
  <c r="DN38" i="7"/>
  <c r="DM38" i="7" s="1"/>
  <c r="DN36" i="7"/>
  <c r="DM36" i="7" s="1"/>
  <c r="DN34" i="7"/>
  <c r="DM34" i="7" s="1"/>
  <c r="DN29" i="7"/>
  <c r="DM29" i="7" s="1"/>
  <c r="DN28" i="7"/>
  <c r="DM28" i="7" s="1"/>
  <c r="DN26" i="7"/>
  <c r="DM26" i="7" s="1"/>
  <c r="DN23" i="7"/>
  <c r="DN22" i="7"/>
  <c r="DM22" i="7" s="1"/>
  <c r="DN20" i="7"/>
  <c r="DM20" i="7" s="1"/>
  <c r="DN16" i="7"/>
  <c r="DM16" i="7" s="1"/>
  <c r="DO13" i="7"/>
  <c r="DO149" i="7" s="1"/>
  <c r="DN13" i="7"/>
  <c r="DN15" i="7" s="1"/>
  <c r="DN12" i="7"/>
  <c r="DM12" i="7" s="1"/>
  <c r="DN10" i="7"/>
  <c r="DM10" i="7" s="1"/>
  <c r="DO9" i="7"/>
  <c r="DO144" i="7" s="1"/>
  <c r="DN9" i="7"/>
  <c r="AA14" i="105"/>
  <c r="BP66" i="32"/>
  <c r="BP64" i="32"/>
  <c r="BR64" i="32" s="1"/>
  <c r="BP62" i="32"/>
  <c r="BR62" i="32" s="1"/>
  <c r="EM30" i="19"/>
  <c r="EM49" i="19" s="1"/>
  <c r="EQ27" i="19"/>
  <c r="EQ30" i="19"/>
  <c r="EQ16" i="19"/>
  <c r="EQ11" i="19"/>
  <c r="EQ12" i="19" s="1"/>
  <c r="EN27" i="19"/>
  <c r="EN30" i="19"/>
  <c r="EN16" i="19"/>
  <c r="EN11" i="19"/>
  <c r="EN12" i="19" s="1"/>
  <c r="EL11" i="19"/>
  <c r="EL27" i="19"/>
  <c r="EL30" i="19"/>
  <c r="EL16" i="19"/>
  <c r="Q50" i="97"/>
  <c r="EI36" i="17"/>
  <c r="EI35" i="17"/>
  <c r="EI34" i="17"/>
  <c r="EI33" i="17"/>
  <c r="EI32" i="17"/>
  <c r="EI30" i="17"/>
  <c r="EI29" i="17"/>
  <c r="EI28" i="17"/>
  <c r="EI26" i="17"/>
  <c r="EI25" i="17"/>
  <c r="EG24" i="17"/>
  <c r="EE24" i="17"/>
  <c r="EG31" i="17"/>
  <c r="EE31" i="17"/>
  <c r="EF36" i="17"/>
  <c r="EF35" i="17"/>
  <c r="EF34" i="17"/>
  <c r="EF33" i="17"/>
  <c r="EF32" i="17"/>
  <c r="EF30" i="17"/>
  <c r="EF29" i="17"/>
  <c r="EF28" i="17"/>
  <c r="EF27" i="17"/>
  <c r="EF26" i="17"/>
  <c r="EF25" i="17"/>
  <c r="AP10" i="95"/>
  <c r="BF25" i="6"/>
  <c r="BE25" i="6"/>
  <c r="BD25" i="6"/>
  <c r="BD18" i="6"/>
  <c r="BF46" i="6"/>
  <c r="BE46" i="6"/>
  <c r="BD46" i="6"/>
  <c r="BE11" i="6"/>
  <c r="BD11" i="6"/>
  <c r="BI47" i="5"/>
  <c r="BJ47" i="5"/>
  <c r="BK47" i="5"/>
  <c r="BJ10" i="5"/>
  <c r="BI10" i="5"/>
  <c r="AG27" i="104"/>
  <c r="Z8" i="92"/>
  <c r="Z14" i="92" s="1"/>
  <c r="Y8" i="92"/>
  <c r="Y14" i="92" s="1"/>
  <c r="AC33" i="105"/>
  <c r="AB33" i="105"/>
  <c r="AA33" i="105"/>
  <c r="AA36" i="105" s="1"/>
  <c r="DS46" i="8" s="1"/>
  <c r="AC22" i="105"/>
  <c r="AC28" i="105" s="1"/>
  <c r="AB22" i="105"/>
  <c r="AB28" i="105" s="1"/>
  <c r="AA22" i="105"/>
  <c r="AA28" i="105" s="1"/>
  <c r="AC21" i="105"/>
  <c r="AC27" i="105" s="1"/>
  <c r="AB21" i="105"/>
  <c r="AA21" i="105"/>
  <c r="AA27" i="105" s="1"/>
  <c r="AC20" i="105"/>
  <c r="AB20" i="105"/>
  <c r="AB26" i="105" s="1"/>
  <c r="AA20" i="105"/>
  <c r="AC14" i="105"/>
  <c r="AB14" i="105"/>
  <c r="AC6" i="105"/>
  <c r="AB6" i="105"/>
  <c r="AA6" i="105"/>
  <c r="BX62" i="32"/>
  <c r="BX63" i="32"/>
  <c r="BX64" i="32"/>
  <c r="BX67" i="32"/>
  <c r="BV68" i="32"/>
  <c r="BX69" i="32"/>
  <c r="BX65" i="32"/>
  <c r="BX72" i="32" s="1"/>
  <c r="BU63" i="32"/>
  <c r="BU64" i="32"/>
  <c r="BU67" i="32"/>
  <c r="BS68" i="32"/>
  <c r="BU69" i="32"/>
  <c r="BQ67" i="32"/>
  <c r="BQ68" i="32"/>
  <c r="BR69" i="32"/>
  <c r="AE14" i="104"/>
  <c r="AF31" i="104"/>
  <c r="AE31" i="104"/>
  <c r="AG23" i="104"/>
  <c r="AF23" i="104"/>
  <c r="AE23" i="104"/>
  <c r="AH9" i="102"/>
  <c r="AH15" i="102"/>
  <c r="AG9" i="102"/>
  <c r="AG15" i="102"/>
  <c r="AF9" i="102"/>
  <c r="AF7" i="102" s="1"/>
  <c r="AF15" i="102"/>
  <c r="Q11" i="103"/>
  <c r="AC10" i="100"/>
  <c r="AB10" i="100"/>
  <c r="DQ47" i="7" s="1"/>
  <c r="DP47" i="7" s="1"/>
  <c r="AA10" i="100"/>
  <c r="DN47" i="7" s="1"/>
  <c r="DM47" i="7" s="1"/>
  <c r="FE16" i="19"/>
  <c r="FE48" i="19"/>
  <c r="EY15" i="19"/>
  <c r="FF15" i="19" s="1"/>
  <c r="EY22" i="19"/>
  <c r="FF22" i="19" s="1"/>
  <c r="EY25" i="19"/>
  <c r="FF25" i="19" s="1"/>
  <c r="EY33" i="19"/>
  <c r="FF33" i="19" s="1"/>
  <c r="EY35" i="19"/>
  <c r="FF35" i="19" s="1"/>
  <c r="EY38" i="19"/>
  <c r="FF38" i="19" s="1"/>
  <c r="EY40" i="19"/>
  <c r="FF40" i="19" s="1"/>
  <c r="EY43" i="19"/>
  <c r="FF43" i="19" s="1"/>
  <c r="EY44" i="19"/>
  <c r="FF44" i="19" s="1"/>
  <c r="EY46" i="19"/>
  <c r="FF46" i="19" s="1"/>
  <c r="EY9" i="19"/>
  <c r="FF9" i="19" s="1"/>
  <c r="FD49" i="19"/>
  <c r="EX16" i="19"/>
  <c r="EX26" i="19"/>
  <c r="EX27" i="19"/>
  <c r="ER15" i="19"/>
  <c r="ER17" i="19"/>
  <c r="ER18" i="19"/>
  <c r="ER19" i="19"/>
  <c r="ER20" i="19"/>
  <c r="ER21" i="19"/>
  <c r="ER22" i="19"/>
  <c r="ER23" i="19"/>
  <c r="ER24" i="19"/>
  <c r="ER25" i="19"/>
  <c r="ER28" i="19"/>
  <c r="ER29" i="19"/>
  <c r="ER30" i="19"/>
  <c r="ER31" i="19"/>
  <c r="ER32" i="19"/>
  <c r="ER33" i="19"/>
  <c r="ER34" i="19"/>
  <c r="ER35" i="19"/>
  <c r="ER36" i="19"/>
  <c r="ER37" i="19"/>
  <c r="ER38" i="19"/>
  <c r="ER39" i="19"/>
  <c r="ER40" i="19"/>
  <c r="ER41" i="19"/>
  <c r="ER42" i="19"/>
  <c r="ER43" i="19"/>
  <c r="ER44" i="19"/>
  <c r="ER45" i="19"/>
  <c r="ER46" i="19"/>
  <c r="ER47" i="19"/>
  <c r="ER8" i="19"/>
  <c r="ER9" i="19"/>
  <c r="ER14" i="19"/>
  <c r="ES14" i="19" s="1"/>
  <c r="ES13" i="19" s="1"/>
  <c r="ER11" i="19"/>
  <c r="EW49" i="19"/>
  <c r="DZ59" i="7" s="1"/>
  <c r="DZ154" i="7" s="1"/>
  <c r="EK15" i="19"/>
  <c r="EK17" i="19"/>
  <c r="EK18" i="19"/>
  <c r="EK19" i="19"/>
  <c r="EK20" i="19"/>
  <c r="EK21" i="19"/>
  <c r="EK22" i="19"/>
  <c r="EK23" i="19"/>
  <c r="EK24" i="19"/>
  <c r="EK25" i="19"/>
  <c r="EK26" i="19"/>
  <c r="EK28" i="19"/>
  <c r="EK29" i="19"/>
  <c r="EK31" i="19"/>
  <c r="EK32" i="19"/>
  <c r="EK33" i="19"/>
  <c r="EK34" i="19"/>
  <c r="EK35" i="19"/>
  <c r="EK36" i="19"/>
  <c r="EK37" i="19"/>
  <c r="EK38" i="19"/>
  <c r="EK39" i="19"/>
  <c r="EK40" i="19"/>
  <c r="EK41" i="19"/>
  <c r="EK42" i="19"/>
  <c r="EK43" i="19"/>
  <c r="EK44" i="19"/>
  <c r="EK45" i="19"/>
  <c r="EK46" i="19"/>
  <c r="EK47" i="19"/>
  <c r="EK48" i="19"/>
  <c r="EK8" i="19"/>
  <c r="EK9" i="19"/>
  <c r="EK10" i="19"/>
  <c r="EK14" i="19" s="1"/>
  <c r="EP49" i="19"/>
  <c r="EO49" i="19"/>
  <c r="FD14" i="19"/>
  <c r="EW14" i="19"/>
  <c r="EP14" i="19"/>
  <c r="FE12" i="19"/>
  <c r="FD12" i="19"/>
  <c r="FC12" i="19"/>
  <c r="FB12" i="19"/>
  <c r="FA12" i="19"/>
  <c r="EZ12" i="19"/>
  <c r="EX12" i="19"/>
  <c r="EW12" i="19"/>
  <c r="EV12" i="19"/>
  <c r="EU12" i="19"/>
  <c r="ET12" i="19"/>
  <c r="ES12" i="19"/>
  <c r="EP12" i="19"/>
  <c r="EO12" i="19"/>
  <c r="EM12" i="19"/>
  <c r="S56" i="97"/>
  <c r="R56" i="97"/>
  <c r="Q56" i="97"/>
  <c r="S50" i="97"/>
  <c r="R50" i="97"/>
  <c r="X32" i="111"/>
  <c r="W32" i="111"/>
  <c r="V32" i="111"/>
  <c r="X26" i="111"/>
  <c r="W26" i="111"/>
  <c r="V26" i="111"/>
  <c r="EM31" i="17"/>
  <c r="EK31" i="17"/>
  <c r="EM24" i="17"/>
  <c r="EK24" i="17"/>
  <c r="EL36" i="17"/>
  <c r="EL35" i="17"/>
  <c r="EL34" i="17"/>
  <c r="EL33" i="17"/>
  <c r="EL32" i="17"/>
  <c r="EL30" i="17"/>
  <c r="EL29" i="17"/>
  <c r="EL28" i="17"/>
  <c r="EL27" i="17"/>
  <c r="EL26" i="17"/>
  <c r="EL25" i="17"/>
  <c r="EJ31" i="17"/>
  <c r="EH31" i="17"/>
  <c r="EJ24" i="17"/>
  <c r="EH24" i="17"/>
  <c r="Y67" i="96"/>
  <c r="DY19" i="8" s="1"/>
  <c r="X67" i="96"/>
  <c r="DV19" i="8" s="1"/>
  <c r="W67" i="96"/>
  <c r="DS19" i="8" s="1"/>
  <c r="Y64" i="96"/>
  <c r="X64" i="96"/>
  <c r="W64" i="96"/>
  <c r="BZ63" i="3"/>
  <c r="BY63" i="3"/>
  <c r="Y59" i="96"/>
  <c r="Z59" i="96" s="1"/>
  <c r="Z60" i="96" s="1"/>
  <c r="X59" i="96"/>
  <c r="W59" i="96"/>
  <c r="Y54" i="96"/>
  <c r="X54" i="96"/>
  <c r="W54" i="96"/>
  <c r="Y49" i="96"/>
  <c r="X49" i="96"/>
  <c r="W49" i="96"/>
  <c r="Y44" i="96"/>
  <c r="DT19" i="7" s="1"/>
  <c r="X44" i="96"/>
  <c r="DQ19" i="7" s="1"/>
  <c r="DQ151" i="7" s="1"/>
  <c r="W44" i="96"/>
  <c r="DN19" i="7" s="1"/>
  <c r="DM19" i="7" s="1"/>
  <c r="DM151" i="7" s="1"/>
  <c r="Y36" i="96"/>
  <c r="X36" i="96"/>
  <c r="W36" i="96"/>
  <c r="Y35" i="96"/>
  <c r="BY39" i="3"/>
  <c r="V7" i="96" s="1"/>
  <c r="Y31" i="96"/>
  <c r="X31" i="96"/>
  <c r="W31" i="96"/>
  <c r="Y30" i="96"/>
  <c r="Y26" i="96"/>
  <c r="Z26" i="96" s="1"/>
  <c r="X26" i="96"/>
  <c r="W26" i="96"/>
  <c r="Y25" i="96"/>
  <c r="Y21" i="96"/>
  <c r="X21" i="96"/>
  <c r="W21" i="96"/>
  <c r="Y20" i="96"/>
  <c r="Y16" i="96"/>
  <c r="X16" i="96"/>
  <c r="W16" i="96"/>
  <c r="Y15" i="96"/>
  <c r="Y11" i="96"/>
  <c r="X11" i="96"/>
  <c r="W11" i="96"/>
  <c r="Y10" i="96"/>
  <c r="CB18" i="10"/>
  <c r="CB13" i="10"/>
  <c r="CA18" i="10"/>
  <c r="CA13" i="10"/>
  <c r="BZ14" i="10"/>
  <c r="BZ15" i="10"/>
  <c r="BZ16" i="10"/>
  <c r="CC16" i="10" s="1"/>
  <c r="BZ17" i="10"/>
  <c r="CC17" i="10" s="1"/>
  <c r="BZ7" i="10"/>
  <c r="BZ8" i="10"/>
  <c r="BZ9" i="10"/>
  <c r="BZ10" i="10"/>
  <c r="BZ11" i="10"/>
  <c r="BY18" i="10"/>
  <c r="BY13" i="10"/>
  <c r="BX18" i="10"/>
  <c r="BX13" i="10"/>
  <c r="BW14" i="10"/>
  <c r="BW15" i="10"/>
  <c r="BW16" i="10"/>
  <c r="BW17" i="10"/>
  <c r="BW7" i="10"/>
  <c r="BW8" i="10"/>
  <c r="BW9" i="10"/>
  <c r="BW10" i="10"/>
  <c r="BW11" i="10"/>
  <c r="BV18" i="10"/>
  <c r="BV13" i="10"/>
  <c r="BU18" i="10"/>
  <c r="BU13" i="10"/>
  <c r="BT14" i="10"/>
  <c r="BT15" i="10"/>
  <c r="BT16" i="10"/>
  <c r="BT17" i="10"/>
  <c r="BT7" i="10"/>
  <c r="BT8" i="10"/>
  <c r="BT9" i="10"/>
  <c r="BT10" i="10"/>
  <c r="BT11" i="10"/>
  <c r="AQ40" i="98"/>
  <c r="AQ41" i="98"/>
  <c r="AQ14" i="98"/>
  <c r="AQ29" i="98"/>
  <c r="AP40" i="98"/>
  <c r="AP41" i="98"/>
  <c r="AP14" i="98"/>
  <c r="AP29" i="98"/>
  <c r="AO40" i="98"/>
  <c r="AO41" i="98"/>
  <c r="AO14" i="98"/>
  <c r="AO29" i="98"/>
  <c r="AQ34" i="98"/>
  <c r="AP34" i="98"/>
  <c r="AO34" i="98"/>
  <c r="AQ19" i="98"/>
  <c r="AP19" i="98"/>
  <c r="AO19" i="98"/>
  <c r="AR18" i="95"/>
  <c r="AR28" i="95" s="1"/>
  <c r="AR43" i="95"/>
  <c r="DT18" i="7" s="1"/>
  <c r="DT144" i="7" s="1"/>
  <c r="AR13" i="95"/>
  <c r="AR38" i="95"/>
  <c r="AR31" i="95"/>
  <c r="AR50" i="95" s="1"/>
  <c r="AR30" i="95"/>
  <c r="AR49" i="95" s="1"/>
  <c r="AR33" i="95"/>
  <c r="AR26" i="95"/>
  <c r="AR24" i="95"/>
  <c r="AR8" i="95"/>
  <c r="AQ18" i="95"/>
  <c r="AQ28" i="95" s="1"/>
  <c r="AQ43" i="95"/>
  <c r="DQ18" i="7" s="1"/>
  <c r="AQ13" i="95"/>
  <c r="AQ38" i="95"/>
  <c r="AQ31" i="95"/>
  <c r="AQ50" i="95" s="1"/>
  <c r="AQ30" i="95"/>
  <c r="AQ49" i="95" s="1"/>
  <c r="BY57" i="3"/>
  <c r="AQ26" i="95"/>
  <c r="AQ24" i="95"/>
  <c r="AP18" i="95"/>
  <c r="AP28" i="95" s="1"/>
  <c r="AP43" i="95"/>
  <c r="AP13" i="95"/>
  <c r="AP38" i="95"/>
  <c r="AP31" i="95"/>
  <c r="AP50" i="95" s="1"/>
  <c r="DO185" i="7" s="1"/>
  <c r="AW13" i="64" s="1"/>
  <c r="AP30" i="95"/>
  <c r="AP49" i="95" s="1"/>
  <c r="AP26" i="95"/>
  <c r="AP24" i="95"/>
  <c r="BF18" i="6"/>
  <c r="BF13" i="6"/>
  <c r="BG13" i="6" s="1"/>
  <c r="BF11" i="6"/>
  <c r="BE18" i="6"/>
  <c r="BE13" i="6"/>
  <c r="BD13" i="6"/>
  <c r="BK17" i="5"/>
  <c r="BK26" i="5"/>
  <c r="BK12" i="5"/>
  <c r="BL12" i="5" s="1"/>
  <c r="BK10" i="5"/>
  <c r="BL10" i="5" s="1"/>
  <c r="BL8" i="5" s="1"/>
  <c r="BJ17" i="5"/>
  <c r="BJ26" i="5"/>
  <c r="BJ12" i="5"/>
  <c r="BI17" i="5"/>
  <c r="BI26" i="5"/>
  <c r="BI12" i="5"/>
  <c r="DT43" i="8"/>
  <c r="DT44" i="8"/>
  <c r="DT46" i="8"/>
  <c r="AY19" i="66"/>
  <c r="AY22" i="66"/>
  <c r="AY25" i="66"/>
  <c r="AX19" i="66"/>
  <c r="AX22" i="66"/>
  <c r="AX25" i="66"/>
  <c r="DM43" i="8"/>
  <c r="DN43" i="8"/>
  <c r="DM44" i="8"/>
  <c r="DN44" i="8"/>
  <c r="DM46" i="8"/>
  <c r="DN46" i="8"/>
  <c r="AW19" i="66"/>
  <c r="AW22" i="66"/>
  <c r="AW25" i="66"/>
  <c r="AY21" i="66"/>
  <c r="AX21" i="66"/>
  <c r="AW21" i="66"/>
  <c r="AY20" i="66"/>
  <c r="AX20" i="66"/>
  <c r="AW20" i="66"/>
  <c r="DN97" i="8"/>
  <c r="DN144" i="8" s="1"/>
  <c r="DK43" i="8"/>
  <c r="DK44" i="8"/>
  <c r="DK46" i="8"/>
  <c r="AY18" i="64"/>
  <c r="AY21" i="64"/>
  <c r="AY24" i="64"/>
  <c r="AX18" i="64"/>
  <c r="AX21" i="64"/>
  <c r="AX24" i="64"/>
  <c r="AW18" i="64"/>
  <c r="AW21" i="64"/>
  <c r="AW24" i="64"/>
  <c r="AY20" i="64"/>
  <c r="AX20" i="64"/>
  <c r="AW20" i="64"/>
  <c r="AY19" i="64"/>
  <c r="AX19" i="64"/>
  <c r="AW19" i="64"/>
  <c r="DL54" i="7"/>
  <c r="BP33" i="61"/>
  <c r="DI54" i="7"/>
  <c r="DI146" i="7"/>
  <c r="BO33" i="61"/>
  <c r="DF54" i="7"/>
  <c r="DF52" i="7" s="1"/>
  <c r="DF153" i="7" s="1"/>
  <c r="DF188" i="7" s="1"/>
  <c r="AR16" i="64" s="1"/>
  <c r="BN33" i="61"/>
  <c r="DZ23" i="8"/>
  <c r="DZ25" i="8" s="1"/>
  <c r="DZ43" i="8"/>
  <c r="DZ44" i="8"/>
  <c r="DZ46" i="8"/>
  <c r="DY13" i="8"/>
  <c r="DY15" i="8" s="1"/>
  <c r="DY23" i="8"/>
  <c r="DY25" i="8" s="1"/>
  <c r="DY29" i="8"/>
  <c r="DY38" i="8"/>
  <c r="DW23" i="8"/>
  <c r="DW100" i="8" s="1"/>
  <c r="DV13" i="8"/>
  <c r="DV23" i="8"/>
  <c r="DV25" i="8" s="1"/>
  <c r="DV29" i="8"/>
  <c r="DU29" i="8" s="1"/>
  <c r="DV38" i="8"/>
  <c r="DV40" i="8" s="1"/>
  <c r="DU35" i="8"/>
  <c r="DW43" i="8"/>
  <c r="DW44" i="8"/>
  <c r="DW46" i="8"/>
  <c r="DT23" i="8"/>
  <c r="DT100" i="8" s="1"/>
  <c r="DT101" i="8"/>
  <c r="AW23" i="66"/>
  <c r="DS13" i="8"/>
  <c r="DR13" i="8" s="1"/>
  <c r="DS23" i="8"/>
  <c r="DR23" i="8" s="1"/>
  <c r="DS29" i="8"/>
  <c r="DS31" i="8" s="1"/>
  <c r="DS38" i="8"/>
  <c r="DR38" i="8" s="1"/>
  <c r="DS101" i="8"/>
  <c r="DS106" i="8"/>
  <c r="DZ99" i="8"/>
  <c r="DZ101" i="8"/>
  <c r="DZ102" i="8"/>
  <c r="DZ103" i="8"/>
  <c r="DZ106" i="8"/>
  <c r="DZ143" i="8" s="1"/>
  <c r="DZ108" i="8"/>
  <c r="DZ109" i="8"/>
  <c r="DZ140" i="8" s="1"/>
  <c r="DZ110" i="8"/>
  <c r="DZ125" i="8"/>
  <c r="DY101" i="8"/>
  <c r="DY106" i="8"/>
  <c r="DY110" i="8"/>
  <c r="DY125" i="8"/>
  <c r="DX125" i="8"/>
  <c r="DX122" i="8"/>
  <c r="DX44" i="8"/>
  <c r="DW99" i="8"/>
  <c r="DW101" i="8"/>
  <c r="DW102" i="8"/>
  <c r="DW103" i="8"/>
  <c r="DW106" i="8"/>
  <c r="DW108" i="8"/>
  <c r="BD16" i="65" s="1"/>
  <c r="DW109" i="8"/>
  <c r="DW110" i="8"/>
  <c r="DW125" i="8"/>
  <c r="DV101" i="8"/>
  <c r="DV106" i="8"/>
  <c r="DV110" i="8"/>
  <c r="DV125" i="8"/>
  <c r="DU125" i="8"/>
  <c r="DU122" i="8"/>
  <c r="DU20" i="8"/>
  <c r="DU32" i="8"/>
  <c r="DT99" i="8"/>
  <c r="DT102" i="8"/>
  <c r="DT103" i="8"/>
  <c r="DT106" i="8"/>
  <c r="DT143" i="8" s="1"/>
  <c r="DT108" i="8"/>
  <c r="DT109" i="8"/>
  <c r="DT140" i="8" s="1"/>
  <c r="DT110" i="8"/>
  <c r="DT125" i="8"/>
  <c r="DS110" i="8"/>
  <c r="DS125" i="8"/>
  <c r="DR125" i="8"/>
  <c r="DR122" i="8"/>
  <c r="DR14" i="8"/>
  <c r="DR24" i="8"/>
  <c r="DR30" i="8"/>
  <c r="DR39" i="8"/>
  <c r="DR48" i="8"/>
  <c r="DR106" i="8" s="1"/>
  <c r="DZ67" i="8"/>
  <c r="DZ144" i="8"/>
  <c r="DZ27" i="8"/>
  <c r="DZ34" i="8"/>
  <c r="DX12" i="8"/>
  <c r="DX20" i="8"/>
  <c r="DX22" i="8"/>
  <c r="DX26" i="8"/>
  <c r="DX28" i="8"/>
  <c r="DX35" i="8"/>
  <c r="DX37" i="8"/>
  <c r="DX41" i="8"/>
  <c r="DY109" i="8"/>
  <c r="DX11" i="8"/>
  <c r="DX14" i="8"/>
  <c r="DX16" i="8"/>
  <c r="DX24" i="8"/>
  <c r="DX21" i="8"/>
  <c r="DX30" i="8"/>
  <c r="DX39" i="8"/>
  <c r="DX48" i="8"/>
  <c r="DX52" i="8"/>
  <c r="DX110" i="8" s="1"/>
  <c r="DY50" i="8"/>
  <c r="DX50" i="8" s="1"/>
  <c r="DX108" i="8" s="1"/>
  <c r="DX36" i="8"/>
  <c r="DX33" i="8"/>
  <c r="DX32" i="8"/>
  <c r="DW67" i="8"/>
  <c r="DW144" i="8"/>
  <c r="BD30" i="65" s="1"/>
  <c r="DW27" i="8"/>
  <c r="DW34" i="8"/>
  <c r="DU22" i="8"/>
  <c r="DU26" i="8"/>
  <c r="DU28" i="8"/>
  <c r="DU37" i="8"/>
  <c r="DU41" i="8"/>
  <c r="DU51" i="8"/>
  <c r="DU109" i="8" s="1"/>
  <c r="DU11" i="8"/>
  <c r="DU14" i="8"/>
  <c r="DU16" i="8"/>
  <c r="DU24" i="8"/>
  <c r="DU21" i="8"/>
  <c r="DU30" i="8"/>
  <c r="DU39" i="8"/>
  <c r="DU48" i="8"/>
  <c r="DU106" i="8" s="1"/>
  <c r="DU52" i="8"/>
  <c r="DU110" i="8" s="1"/>
  <c r="DV50" i="8"/>
  <c r="DU50" i="8" s="1"/>
  <c r="DU108" i="8" s="1"/>
  <c r="DU36" i="8"/>
  <c r="DU33" i="8"/>
  <c r="DT27" i="8"/>
  <c r="DT34" i="8"/>
  <c r="DR11" i="8"/>
  <c r="DR21" i="8"/>
  <c r="DR52" i="8"/>
  <c r="DR110" i="8" s="1"/>
  <c r="DS50" i="8"/>
  <c r="DR36" i="8"/>
  <c r="DU148" i="7"/>
  <c r="DU13" i="7"/>
  <c r="DU149" i="7" s="1"/>
  <c r="DU150" i="7"/>
  <c r="DU151" i="7"/>
  <c r="DU152" i="7"/>
  <c r="DU158" i="7"/>
  <c r="DU187" i="7" s="1"/>
  <c r="DU54" i="7"/>
  <c r="DU52" i="7" s="1"/>
  <c r="DU153" i="7" s="1"/>
  <c r="DU188" i="7" s="1"/>
  <c r="AY16" i="64" s="1"/>
  <c r="DU190" i="7"/>
  <c r="DT13" i="7"/>
  <c r="DT23" i="7"/>
  <c r="DS23" i="7" s="1"/>
  <c r="DT31" i="7"/>
  <c r="DS31" i="7" s="1"/>
  <c r="DT39" i="7"/>
  <c r="DT41" i="7" s="1"/>
  <c r="DT48" i="7"/>
  <c r="DT150" i="7"/>
  <c r="DT190" i="7"/>
  <c r="DU169" i="7"/>
  <c r="DU155" i="7"/>
  <c r="DU159" i="7"/>
  <c r="DU172" i="7"/>
  <c r="DU175" i="7"/>
  <c r="DU72" i="7"/>
  <c r="DT169" i="7"/>
  <c r="DT155" i="7"/>
  <c r="DT159" i="7"/>
  <c r="DT172" i="7"/>
  <c r="DT175" i="7"/>
  <c r="DS172" i="7"/>
  <c r="DS175" i="7"/>
  <c r="DS169" i="7"/>
  <c r="DS159" i="7"/>
  <c r="DR148" i="7"/>
  <c r="DR13" i="7"/>
  <c r="DR149" i="7" s="1"/>
  <c r="DR150" i="7"/>
  <c r="DR151" i="7"/>
  <c r="DR152" i="7"/>
  <c r="DR158" i="7"/>
  <c r="DR187" i="7" s="1"/>
  <c r="DR54" i="7"/>
  <c r="DR52" i="7" s="1"/>
  <c r="DR153" i="7" s="1"/>
  <c r="DR190" i="7"/>
  <c r="DQ13" i="7"/>
  <c r="DQ15" i="7" s="1"/>
  <c r="DQ31" i="7"/>
  <c r="DP31" i="7" s="1"/>
  <c r="DQ39" i="7"/>
  <c r="DP39" i="7" s="1"/>
  <c r="DQ48" i="7"/>
  <c r="DP48" i="7" s="1"/>
  <c r="DQ150" i="7"/>
  <c r="DQ190" i="7"/>
  <c r="DP20" i="7"/>
  <c r="DP36" i="7"/>
  <c r="DR169" i="7"/>
  <c r="DR155" i="7"/>
  <c r="DR159" i="7"/>
  <c r="DR172" i="7"/>
  <c r="DR175" i="7"/>
  <c r="DQ169" i="7"/>
  <c r="DQ155" i="7"/>
  <c r="DQ159" i="7"/>
  <c r="DQ172" i="7"/>
  <c r="DQ175" i="7"/>
  <c r="DQ72" i="7"/>
  <c r="DP172" i="7"/>
  <c r="DP175" i="7"/>
  <c r="DP169" i="7"/>
  <c r="DP159" i="7"/>
  <c r="DO148" i="7"/>
  <c r="DO150" i="7"/>
  <c r="DO151" i="7"/>
  <c r="DO152" i="7"/>
  <c r="DO158" i="7"/>
  <c r="DO187" i="7" s="1"/>
  <c r="DO54" i="7"/>
  <c r="DO52" i="7" s="1"/>
  <c r="DO153" i="7" s="1"/>
  <c r="DO188" i="7" s="1"/>
  <c r="AW16" i="64" s="1"/>
  <c r="DO190" i="7"/>
  <c r="DO146" i="7"/>
  <c r="DO191" i="7" s="1"/>
  <c r="AW22" i="64" s="1"/>
  <c r="DN31" i="7"/>
  <c r="DN39" i="7"/>
  <c r="DN48" i="7"/>
  <c r="DN50" i="7" s="1"/>
  <c r="DN150" i="7"/>
  <c r="DN190" i="7"/>
  <c r="DO169" i="7"/>
  <c r="DO155" i="7"/>
  <c r="DO159" i="7"/>
  <c r="DO172" i="7"/>
  <c r="DO175" i="7"/>
  <c r="DN169" i="7"/>
  <c r="DN155" i="7"/>
  <c r="DN159" i="7"/>
  <c r="DN172" i="7"/>
  <c r="DN175" i="7"/>
  <c r="DM172" i="7"/>
  <c r="DM175" i="7"/>
  <c r="DM169" i="7"/>
  <c r="DM14" i="7"/>
  <c r="DM24" i="7"/>
  <c r="DM32" i="7"/>
  <c r="DM40" i="7"/>
  <c r="DM49" i="7"/>
  <c r="DM62" i="7"/>
  <c r="DM155" i="7" s="1"/>
  <c r="DM159" i="7"/>
  <c r="DU79" i="7"/>
  <c r="DU77" i="7" s="1"/>
  <c r="DU189" i="7" s="1"/>
  <c r="DU10" i="7"/>
  <c r="DU146" i="7" s="1"/>
  <c r="DU191" i="7" s="1"/>
  <c r="AY22" i="64" s="1"/>
  <c r="DU17" i="7"/>
  <c r="DU27" i="7"/>
  <c r="DU35" i="7"/>
  <c r="DU43" i="7"/>
  <c r="DS12" i="7"/>
  <c r="DS20" i="7"/>
  <c r="DS22" i="7"/>
  <c r="DS26" i="7"/>
  <c r="DS28" i="7"/>
  <c r="DS29" i="7"/>
  <c r="DS36" i="7"/>
  <c r="DS38" i="7"/>
  <c r="DT58" i="7"/>
  <c r="DS58" i="7" s="1"/>
  <c r="DS44" i="7"/>
  <c r="DT61" i="7"/>
  <c r="DT158" i="7" s="1"/>
  <c r="DS11" i="7"/>
  <c r="DS14" i="7"/>
  <c r="DS18" i="7"/>
  <c r="DS21" i="7"/>
  <c r="DS24" i="7"/>
  <c r="DS30" i="7"/>
  <c r="DS32" i="7"/>
  <c r="DS34" i="7"/>
  <c r="DS37" i="7"/>
  <c r="DS40" i="7"/>
  <c r="DS42" i="7"/>
  <c r="DS55" i="7"/>
  <c r="DS62" i="7"/>
  <c r="DS49" i="7"/>
  <c r="DU60" i="7"/>
  <c r="AY17" i="64" s="1"/>
  <c r="DT60" i="7"/>
  <c r="DT157" i="7" s="1"/>
  <c r="DR79" i="7"/>
  <c r="DR77" i="7" s="1"/>
  <c r="DR189" i="7" s="1"/>
  <c r="DR144" i="7"/>
  <c r="DR10" i="7"/>
  <c r="DR17" i="7"/>
  <c r="DR27" i="7"/>
  <c r="DR35" i="7"/>
  <c r="DR43" i="7"/>
  <c r="DP12" i="7"/>
  <c r="DP16" i="7"/>
  <c r="DP18" i="7"/>
  <c r="DP22" i="7"/>
  <c r="DP26" i="7"/>
  <c r="DP28" i="7"/>
  <c r="DP38" i="7"/>
  <c r="DQ58" i="7"/>
  <c r="DP58" i="7" s="1"/>
  <c r="DP45" i="7"/>
  <c r="DQ61" i="7"/>
  <c r="DQ158" i="7" s="1"/>
  <c r="DP11" i="7"/>
  <c r="DP14" i="7"/>
  <c r="DP21" i="7"/>
  <c r="DP24" i="7"/>
  <c r="DP30" i="7"/>
  <c r="DP32" i="7"/>
  <c r="DP34" i="7"/>
  <c r="DP37" i="7"/>
  <c r="DP40" i="7"/>
  <c r="DP55" i="7"/>
  <c r="DP62" i="7"/>
  <c r="DP49" i="7"/>
  <c r="DR60" i="7"/>
  <c r="DQ60" i="7"/>
  <c r="DO79" i="7"/>
  <c r="DO17" i="7"/>
  <c r="DO27" i="7"/>
  <c r="DO35" i="7"/>
  <c r="DO43" i="7"/>
  <c r="DN58" i="7"/>
  <c r="DM58" i="7" s="1"/>
  <c r="DN61" i="7"/>
  <c r="DN158" i="7" s="1"/>
  <c r="DM11" i="7"/>
  <c r="DM21" i="7"/>
  <c r="DM30" i="7"/>
  <c r="DM37" i="7"/>
  <c r="DM55" i="7"/>
  <c r="DO60" i="7"/>
  <c r="DN60" i="7"/>
  <c r="DN157" i="7" s="1"/>
  <c r="CE66" i="3"/>
  <c r="CF63" i="3"/>
  <c r="CE63" i="3"/>
  <c r="CC66" i="3"/>
  <c r="CD63" i="3"/>
  <c r="CC63" i="3"/>
  <c r="CA66" i="3"/>
  <c r="CB63" i="3"/>
  <c r="CA63" i="3"/>
  <c r="CD49" i="3"/>
  <c r="CC45" i="3"/>
  <c r="CC44" i="3" s="1"/>
  <c r="CC43" i="3"/>
  <c r="CC39" i="3"/>
  <c r="X7" i="96" s="1"/>
  <c r="CA57" i="3"/>
  <c r="CA53" i="3"/>
  <c r="CB49" i="3"/>
  <c r="CB46" i="3" s="1"/>
  <c r="CB44" i="3" s="1"/>
  <c r="CA43" i="3"/>
  <c r="CA39" i="3"/>
  <c r="W7" i="96" s="1"/>
  <c r="CW53" i="7"/>
  <c r="CW54" i="7"/>
  <c r="T19" i="104"/>
  <c r="CH53" i="7" s="1"/>
  <c r="M20" i="104"/>
  <c r="O20" i="104" s="1"/>
  <c r="Q20" i="104" s="1"/>
  <c r="S20" i="104" s="1"/>
  <c r="T20" i="104" s="1"/>
  <c r="CH54" i="7" s="1"/>
  <c r="D8" i="104"/>
  <c r="D17" i="104"/>
  <c r="X28" i="104"/>
  <c r="Y28" i="104" s="1"/>
  <c r="DA44" i="8" s="1"/>
  <c r="Y26" i="104"/>
  <c r="DA46" i="8" s="1"/>
  <c r="DM153" i="8"/>
  <c r="F51" i="117"/>
  <c r="F50" i="117"/>
  <c r="F46" i="117"/>
  <c r="F44" i="117"/>
  <c r="F38" i="117"/>
  <c r="AU56" i="65"/>
  <c r="DN112" i="8"/>
  <c r="DN145" i="8" s="1"/>
  <c r="AC11" i="104"/>
  <c r="DH54" i="7" s="1"/>
  <c r="F24" i="61"/>
  <c r="DI161" i="7"/>
  <c r="DI192" i="7" s="1"/>
  <c r="DN16" i="136"/>
  <c r="DM16" i="136"/>
  <c r="DK14" i="136"/>
  <c r="DK16" i="136" s="1"/>
  <c r="DH14" i="136"/>
  <c r="DH16" i="136" s="1"/>
  <c r="DE14" i="136"/>
  <c r="DE16" i="136" s="1"/>
  <c r="CM14" i="136"/>
  <c r="CM16" i="136" s="1"/>
  <c r="D9" i="135"/>
  <c r="F9" i="135"/>
  <c r="H9" i="135"/>
  <c r="L9" i="135"/>
  <c r="U9" i="135"/>
  <c r="AC9" i="135"/>
  <c r="AD9" i="135" s="1"/>
  <c r="AH9" i="135"/>
  <c r="AL9" i="135"/>
  <c r="AP9" i="135"/>
  <c r="AS9" i="135"/>
  <c r="AW9" i="135"/>
  <c r="AZ9" i="135"/>
  <c r="BD9" i="135"/>
  <c r="BG9" i="135"/>
  <c r="BJ9" i="135"/>
  <c r="BM9" i="135"/>
  <c r="BP9" i="135"/>
  <c r="BS9" i="135"/>
  <c r="BW9" i="135"/>
  <c r="BZ9" i="135"/>
  <c r="CG9" i="135"/>
  <c r="CI9" i="135"/>
  <c r="CL9" i="135"/>
  <c r="CO9" i="135"/>
  <c r="CR9" i="135"/>
  <c r="CU9" i="135"/>
  <c r="CX9" i="135"/>
  <c r="DA9" i="135"/>
  <c r="DD9" i="135"/>
  <c r="DG9" i="135"/>
  <c r="DF15" i="135"/>
  <c r="DF17" i="135" s="1"/>
  <c r="CW15" i="135"/>
  <c r="CW17" i="135" s="1"/>
  <c r="CA15" i="135"/>
  <c r="BX15" i="135"/>
  <c r="BU15" i="135"/>
  <c r="BT15" i="135"/>
  <c r="DN5" i="135"/>
  <c r="DJ13" i="136"/>
  <c r="DI13" i="136" s="1"/>
  <c r="DG13" i="136"/>
  <c r="DF13" i="136" s="1"/>
  <c r="DD13" i="136"/>
  <c r="DC13" i="136" s="1"/>
  <c r="CU13" i="136"/>
  <c r="CT13" i="136" s="1"/>
  <c r="CR13" i="136"/>
  <c r="CQ13" i="136" s="1"/>
  <c r="CO13" i="136"/>
  <c r="CN13" i="136" s="1"/>
  <c r="BP13" i="136"/>
  <c r="BM13" i="136"/>
  <c r="BJ13" i="136"/>
  <c r="BG13" i="136"/>
  <c r="BD13" i="136"/>
  <c r="AX13" i="136"/>
  <c r="AS13" i="136"/>
  <c r="AT13" i="136" s="1"/>
  <c r="AP13" i="136"/>
  <c r="AQ13" i="136" s="1"/>
  <c r="AM13" i="136"/>
  <c r="AO13" i="136" s="1"/>
  <c r="AB13" i="136"/>
  <c r="AC13" i="136" s="1"/>
  <c r="Q13" i="136"/>
  <c r="L13" i="136"/>
  <c r="R13" i="136" s="1"/>
  <c r="F13" i="136"/>
  <c r="D13" i="136"/>
  <c r="DS12" i="136"/>
  <c r="DS11" i="136" s="1"/>
  <c r="DS7" i="136" s="1"/>
  <c r="DB12" i="136"/>
  <c r="DB11" i="136" s="1"/>
  <c r="BQ12" i="136"/>
  <c r="BN12" i="136"/>
  <c r="BK12" i="136"/>
  <c r="BH12" i="136"/>
  <c r="BE12" i="136"/>
  <c r="AM12" i="136"/>
  <c r="AO12" i="136" s="1"/>
  <c r="AB12" i="136"/>
  <c r="W12" i="136"/>
  <c r="U12" i="136"/>
  <c r="S12" i="136"/>
  <c r="L12" i="136"/>
  <c r="K12" i="136"/>
  <c r="J12" i="136"/>
  <c r="J7" i="136" s="1"/>
  <c r="E12" i="136"/>
  <c r="E7" i="136" s="1"/>
  <c r="DL11" i="136"/>
  <c r="DI11" i="136"/>
  <c r="DF11" i="136"/>
  <c r="DC11" i="136"/>
  <c r="CW11" i="136"/>
  <c r="CT11" i="136"/>
  <c r="CQ11" i="136"/>
  <c r="CN11" i="136"/>
  <c r="BP11" i="136"/>
  <c r="BM11" i="136"/>
  <c r="BJ11" i="136"/>
  <c r="BG11" i="136"/>
  <c r="BD11" i="136"/>
  <c r="AY11" i="136"/>
  <c r="AY7" i="136" s="1"/>
  <c r="AT11" i="136"/>
  <c r="AQ11" i="136"/>
  <c r="AM11" i="136"/>
  <c r="AO11" i="136" s="1"/>
  <c r="AL11" i="136"/>
  <c r="AC11" i="136"/>
  <c r="I11" i="136"/>
  <c r="G11" i="136"/>
  <c r="F11" i="136"/>
  <c r="D11" i="136"/>
  <c r="DJ10" i="136"/>
  <c r="DG10" i="136"/>
  <c r="DG12" i="136" s="1"/>
  <c r="DD10" i="136"/>
  <c r="DC10" i="136" s="1"/>
  <c r="CU10" i="136"/>
  <c r="CU12" i="136" s="1"/>
  <c r="CR10" i="136"/>
  <c r="CO10" i="136"/>
  <c r="BP10" i="136"/>
  <c r="BM10" i="136"/>
  <c r="BJ10" i="136"/>
  <c r="BG10" i="136"/>
  <c r="BD10" i="136"/>
  <c r="AS10" i="136"/>
  <c r="AS12" i="136" s="1"/>
  <c r="AP10" i="136"/>
  <c r="AQ10" i="136" s="1"/>
  <c r="AM10" i="136"/>
  <c r="AO10" i="136" s="1"/>
  <c r="AL10" i="136"/>
  <c r="AC10" i="136"/>
  <c r="M10" i="136"/>
  <c r="H10" i="136"/>
  <c r="F10" i="136"/>
  <c r="D10" i="136"/>
  <c r="DJ9" i="136"/>
  <c r="DI9" i="136" s="1"/>
  <c r="DG9" i="136"/>
  <c r="DF9" i="136" s="1"/>
  <c r="DD9" i="136"/>
  <c r="DC9" i="136" s="1"/>
  <c r="CU9" i="136"/>
  <c r="CT9" i="136" s="1"/>
  <c r="CR9" i="136"/>
  <c r="CO9" i="136"/>
  <c r="CN9" i="136" s="1"/>
  <c r="BP9" i="136"/>
  <c r="BM9" i="136"/>
  <c r="BJ9" i="136"/>
  <c r="BG9" i="136"/>
  <c r="BD9" i="136"/>
  <c r="AS9" i="136"/>
  <c r="AP9" i="136"/>
  <c r="AM9" i="136"/>
  <c r="AO9" i="136" s="1"/>
  <c r="AK9" i="136"/>
  <c r="AB9" i="136"/>
  <c r="Z9" i="136"/>
  <c r="P9" i="136"/>
  <c r="R9" i="136" s="1"/>
  <c r="F9" i="136"/>
  <c r="D9" i="136"/>
  <c r="DJ8" i="136"/>
  <c r="DG8" i="136"/>
  <c r="DF8" i="136" s="1"/>
  <c r="DD8" i="136"/>
  <c r="CY8" i="136"/>
  <c r="CY14" i="136" s="1"/>
  <c r="CY16" i="136" s="1"/>
  <c r="CX8" i="136"/>
  <c r="CV8" i="136"/>
  <c r="CV14" i="136" s="1"/>
  <c r="CV16" i="136" s="1"/>
  <c r="CU8" i="136"/>
  <c r="CS8" i="136"/>
  <c r="CS14" i="136" s="1"/>
  <c r="CS16" i="136" s="1"/>
  <c r="CR8" i="136"/>
  <c r="CP8" i="136"/>
  <c r="CP14" i="136" s="1"/>
  <c r="CP16" i="136" s="1"/>
  <c r="CO8" i="136"/>
  <c r="BT8" i="136"/>
  <c r="BS8" i="136" s="1"/>
  <c r="BP8" i="136"/>
  <c r="BM8" i="136"/>
  <c r="BJ8" i="136"/>
  <c r="BG8" i="136"/>
  <c r="BD8" i="136"/>
  <c r="AV8" i="136"/>
  <c r="AX8" i="136" s="1"/>
  <c r="AS8" i="136"/>
  <c r="AP8" i="136"/>
  <c r="AQ8" i="136" s="1"/>
  <c r="AM8" i="136"/>
  <c r="AO8" i="136" s="1"/>
  <c r="AB8" i="136"/>
  <c r="AC8" i="136" s="1"/>
  <c r="R8" i="136"/>
  <c r="Q8" i="136"/>
  <c r="N8" i="136"/>
  <c r="O8" i="136" s="1"/>
  <c r="G8" i="136"/>
  <c r="F8" i="136"/>
  <c r="D8" i="136"/>
  <c r="DK7" i="136"/>
  <c r="DH7" i="136"/>
  <c r="DE7" i="136"/>
  <c r="CM7" i="136"/>
  <c r="BX7" i="136"/>
  <c r="BU7" i="136"/>
  <c r="BR7" i="136"/>
  <c r="BQ7" i="136"/>
  <c r="BO7" i="136"/>
  <c r="BN7" i="136"/>
  <c r="BL7" i="136"/>
  <c r="BK7" i="136"/>
  <c r="BI7" i="136"/>
  <c r="BH7" i="136"/>
  <c r="BF7" i="136"/>
  <c r="BE7" i="136"/>
  <c r="AU7" i="136"/>
  <c r="AR7" i="136"/>
  <c r="AM7" i="136"/>
  <c r="AO7" i="136" s="1"/>
  <c r="AD7" i="136"/>
  <c r="AA7" i="136"/>
  <c r="W7" i="136"/>
  <c r="V7" i="136"/>
  <c r="U7" i="136"/>
  <c r="T7" i="136"/>
  <c r="S7" i="136"/>
  <c r="C7" i="136"/>
  <c r="B7" i="136"/>
  <c r="BY8" i="136"/>
  <c r="BY10" i="136"/>
  <c r="BY13" i="136"/>
  <c r="DE14" i="135"/>
  <c r="DB14" i="135"/>
  <c r="DA14" i="135" s="1"/>
  <c r="CY14" i="135"/>
  <c r="CX14" i="135" s="1"/>
  <c r="CP14" i="135"/>
  <c r="CO14" i="135" s="1"/>
  <c r="CM14" i="135"/>
  <c r="CL14" i="135" s="1"/>
  <c r="CJ14" i="135"/>
  <c r="CI14" i="135" s="1"/>
  <c r="BS14" i="135"/>
  <c r="BP14" i="135"/>
  <c r="BM14" i="135"/>
  <c r="BJ14" i="135"/>
  <c r="BG14" i="135"/>
  <c r="AW14" i="135"/>
  <c r="AH14" i="135"/>
  <c r="AF14" i="135"/>
  <c r="AG14" i="135" s="1"/>
  <c r="M14" i="135"/>
  <c r="F14" i="135"/>
  <c r="D14" i="135"/>
  <c r="BU13" i="135"/>
  <c r="BU7" i="135" s="1"/>
  <c r="BT13" i="135"/>
  <c r="BT7" i="135" s="1"/>
  <c r="BR13" i="135"/>
  <c r="BR7" i="135" s="1"/>
  <c r="BR15" i="135" s="1"/>
  <c r="BQ13" i="135"/>
  <c r="BQ7" i="135" s="1"/>
  <c r="BQ15" i="135" s="1"/>
  <c r="BO13" i="135"/>
  <c r="BO7" i="135" s="1"/>
  <c r="BO15" i="135" s="1"/>
  <c r="BN13" i="135"/>
  <c r="BN7" i="135" s="1"/>
  <c r="BN15" i="135" s="1"/>
  <c r="BL13" i="135"/>
  <c r="BL7" i="135" s="1"/>
  <c r="BL15" i="135" s="1"/>
  <c r="BK13" i="135"/>
  <c r="BK7" i="135" s="1"/>
  <c r="BK15" i="135" s="1"/>
  <c r="BI13" i="135"/>
  <c r="BI7" i="135" s="1"/>
  <c r="BI15" i="135" s="1"/>
  <c r="BH13" i="135"/>
  <c r="BH7" i="135" s="1"/>
  <c r="BH15" i="135" s="1"/>
  <c r="AY13" i="135"/>
  <c r="AY7" i="135" s="1"/>
  <c r="AY15" i="135" s="1"/>
  <c r="AX13" i="135"/>
  <c r="AX7" i="135" s="1"/>
  <c r="AX15" i="135" s="1"/>
  <c r="Y13" i="135"/>
  <c r="Y7" i="135" s="1"/>
  <c r="Y15" i="135" s="1"/>
  <c r="V13" i="135"/>
  <c r="V7" i="135" s="1"/>
  <c r="V15" i="135" s="1"/>
  <c r="L13" i="135"/>
  <c r="K13" i="135"/>
  <c r="J13" i="135"/>
  <c r="J7" i="135" s="1"/>
  <c r="J15" i="135" s="1"/>
  <c r="E13" i="135"/>
  <c r="E7" i="135" s="1"/>
  <c r="E15" i="135" s="1"/>
  <c r="DG12" i="135"/>
  <c r="DD12" i="135"/>
  <c r="DA12" i="135"/>
  <c r="CX12" i="135"/>
  <c r="CR12" i="135"/>
  <c r="CO12" i="135"/>
  <c r="CL12" i="135"/>
  <c r="CI12" i="135"/>
  <c r="BS12" i="135"/>
  <c r="BP12" i="135"/>
  <c r="BM12" i="135"/>
  <c r="BJ12" i="135"/>
  <c r="BG12" i="135"/>
  <c r="AW12" i="135"/>
  <c r="AJ12" i="135"/>
  <c r="I12" i="135"/>
  <c r="G12" i="135"/>
  <c r="G13" i="135" s="1"/>
  <c r="F12" i="135"/>
  <c r="D12" i="135"/>
  <c r="DE11" i="135"/>
  <c r="DB11" i="135"/>
  <c r="CY11" i="135"/>
  <c r="CX11" i="135" s="1"/>
  <c r="CP11" i="135"/>
  <c r="CP13" i="135" s="1"/>
  <c r="CM11" i="135"/>
  <c r="CL11" i="135" s="1"/>
  <c r="CJ11" i="135"/>
  <c r="BS11" i="135"/>
  <c r="BP11" i="135"/>
  <c r="BM11" i="135"/>
  <c r="BJ11" i="135"/>
  <c r="BG11" i="135"/>
  <c r="AW11" i="135"/>
  <c r="AT11" i="135"/>
  <c r="AU11" i="135" s="1"/>
  <c r="AH11" i="135"/>
  <c r="AE11" i="135"/>
  <c r="AE13" i="135" s="1"/>
  <c r="W11" i="135"/>
  <c r="X11" i="135" s="1"/>
  <c r="N11" i="135"/>
  <c r="N13" i="135" s="1"/>
  <c r="M11" i="135"/>
  <c r="H11" i="135"/>
  <c r="F11" i="135"/>
  <c r="D11" i="135"/>
  <c r="DE10" i="135"/>
  <c r="DD10" i="135" s="1"/>
  <c r="DB10" i="135"/>
  <c r="CY10" i="135"/>
  <c r="CX10" i="135" s="1"/>
  <c r="CP10" i="135"/>
  <c r="CO10" i="135" s="1"/>
  <c r="CM10" i="135"/>
  <c r="CL10" i="135" s="1"/>
  <c r="CJ10" i="135"/>
  <c r="CI10" i="135" s="1"/>
  <c r="BS10" i="135"/>
  <c r="BP10" i="135"/>
  <c r="BM10" i="135"/>
  <c r="BJ10" i="135"/>
  <c r="BG10" i="135"/>
  <c r="AZ10" i="135"/>
  <c r="AW10" i="135"/>
  <c r="AP10" i="135"/>
  <c r="AQ10" i="135" s="1"/>
  <c r="AR10" i="135" s="1"/>
  <c r="AL10" i="135"/>
  <c r="AH10" i="135"/>
  <c r="AF10" i="135"/>
  <c r="AC10" i="135"/>
  <c r="AD10" i="135" s="1"/>
  <c r="AB10" i="135"/>
  <c r="Z10" i="135"/>
  <c r="W10" i="135"/>
  <c r="S10" i="135"/>
  <c r="R10" i="135"/>
  <c r="M10" i="135"/>
  <c r="F10" i="135"/>
  <c r="D10" i="135"/>
  <c r="DE8" i="135"/>
  <c r="DD8" i="135" s="1"/>
  <c r="DB8" i="135"/>
  <c r="DA8" i="135" s="1"/>
  <c r="CY8" i="135"/>
  <c r="CT8" i="135"/>
  <c r="CT7" i="135" s="1"/>
  <c r="CS8" i="135"/>
  <c r="CQ8" i="135"/>
  <c r="CP8" i="135"/>
  <c r="CN8" i="135"/>
  <c r="CN7" i="135" s="1"/>
  <c r="CN15" i="135" s="1"/>
  <c r="CN17" i="135" s="1"/>
  <c r="CM8" i="135"/>
  <c r="CK8" i="135"/>
  <c r="CK7" i="135" s="1"/>
  <c r="CK15" i="135" s="1"/>
  <c r="CK17" i="135" s="1"/>
  <c r="CJ8" i="135"/>
  <c r="BV8" i="135"/>
  <c r="BW8" i="135" s="1"/>
  <c r="BS8" i="135"/>
  <c r="BP8" i="135"/>
  <c r="BM8" i="135"/>
  <c r="BJ8" i="135"/>
  <c r="BG8" i="135"/>
  <c r="BD8" i="135"/>
  <c r="AZ8" i="135"/>
  <c r="BB8" i="135" s="1"/>
  <c r="AW8" i="135"/>
  <c r="AT8" i="135"/>
  <c r="AU8" i="135" s="1"/>
  <c r="AV8" i="135" s="1"/>
  <c r="AH8" i="135"/>
  <c r="AE8" i="135"/>
  <c r="AF8" i="135" s="1"/>
  <c r="AG8" i="135" s="1"/>
  <c r="Z8" i="135"/>
  <c r="W8" i="135"/>
  <c r="X8" i="135" s="1"/>
  <c r="X7" i="135" s="1"/>
  <c r="X15" i="135" s="1"/>
  <c r="S8" i="135"/>
  <c r="R8" i="135"/>
  <c r="P8" i="135"/>
  <c r="N8" i="135"/>
  <c r="M8" i="135"/>
  <c r="H8" i="135"/>
  <c r="F8" i="135"/>
  <c r="D8" i="135"/>
  <c r="DF7" i="135"/>
  <c r="DC7" i="135"/>
  <c r="DC15" i="135" s="1"/>
  <c r="DC17" i="135" s="1"/>
  <c r="CZ7" i="135"/>
  <c r="CZ15" i="135" s="1"/>
  <c r="CZ17" i="135" s="1"/>
  <c r="AK7" i="135"/>
  <c r="AK15" i="135" s="1"/>
  <c r="C7" i="135"/>
  <c r="B7" i="135"/>
  <c r="B15" i="135" s="1"/>
  <c r="CB8" i="135"/>
  <c r="CB14" i="135"/>
  <c r="CB11" i="135"/>
  <c r="O15" i="135"/>
  <c r="G15" i="135"/>
  <c r="AH5" i="135"/>
  <c r="CP7" i="136"/>
  <c r="DN7" i="136"/>
  <c r="DI7" i="135"/>
  <c r="DI15" i="135"/>
  <c r="T8" i="135"/>
  <c r="U8" i="135" s="1"/>
  <c r="BB14" i="135"/>
  <c r="BC14" i="135" s="1"/>
  <c r="AU12" i="135"/>
  <c r="AV12" i="135" s="1"/>
  <c r="AU14" i="135"/>
  <c r="AV14" i="135" s="1"/>
  <c r="AT31" i="66"/>
  <c r="AT30" i="66"/>
  <c r="AT28" i="66"/>
  <c r="AT27" i="66"/>
  <c r="AT26" i="66"/>
  <c r="AU25" i="66"/>
  <c r="AS25" i="66"/>
  <c r="AU22" i="66"/>
  <c r="AS22" i="66"/>
  <c r="BA22" i="66" s="1"/>
  <c r="AU21" i="66"/>
  <c r="AS21" i="66"/>
  <c r="BA21" i="66" s="1"/>
  <c r="AU20" i="66"/>
  <c r="AS20" i="66"/>
  <c r="BA20" i="66" s="1"/>
  <c r="AU19" i="66"/>
  <c r="AS19" i="66"/>
  <c r="BA19" i="66" s="1"/>
  <c r="AU46" i="65"/>
  <c r="AW63" i="65"/>
  <c r="BH65" i="65" s="1"/>
  <c r="AW62" i="65"/>
  <c r="AW59" i="65"/>
  <c r="AC43" i="65"/>
  <c r="AP43" i="65" s="1"/>
  <c r="AV43" i="65" s="1"/>
  <c r="AW42" i="65"/>
  <c r="AW41" i="65"/>
  <c r="AX37" i="65"/>
  <c r="AV37" i="65"/>
  <c r="AW33" i="65"/>
  <c r="AT46" i="65"/>
  <c r="AV30" i="64"/>
  <c r="AT30" i="64"/>
  <c r="AV29" i="64"/>
  <c r="AT29" i="64"/>
  <c r="AV27" i="64"/>
  <c r="AT27" i="64"/>
  <c r="AV26" i="64"/>
  <c r="AT26" i="64"/>
  <c r="AV25" i="64"/>
  <c r="AT25" i="64"/>
  <c r="AU24" i="64"/>
  <c r="AS24" i="64"/>
  <c r="AU21" i="64"/>
  <c r="BC21" i="64" s="1"/>
  <c r="AS21" i="64"/>
  <c r="BA21" i="64" s="1"/>
  <c r="AU20" i="64"/>
  <c r="BC20" i="64" s="1"/>
  <c r="AS20" i="64"/>
  <c r="BA20" i="64" s="1"/>
  <c r="AU19" i="64"/>
  <c r="BC19" i="64" s="1"/>
  <c r="AS19" i="64"/>
  <c r="BA19" i="64" s="1"/>
  <c r="AU18" i="64"/>
  <c r="BC18" i="64" s="1"/>
  <c r="AS18" i="64"/>
  <c r="BA18" i="64" s="1"/>
  <c r="BI19" i="61"/>
  <c r="BJ46" i="61"/>
  <c r="BL64" i="61"/>
  <c r="BW66" i="61" s="1"/>
  <c r="BL63" i="61"/>
  <c r="BL60" i="61"/>
  <c r="BJ57" i="61"/>
  <c r="BJ58" i="61" s="1"/>
  <c r="BJ64" i="61" s="1"/>
  <c r="BM39" i="61"/>
  <c r="BK39" i="61"/>
  <c r="BM38" i="61"/>
  <c r="BK38" i="61"/>
  <c r="BL33" i="61"/>
  <c r="BJ33" i="61"/>
  <c r="BM23" i="61"/>
  <c r="BM21" i="61"/>
  <c r="BK21" i="61"/>
  <c r="BM20" i="61"/>
  <c r="BK20" i="61"/>
  <c r="BM16" i="61"/>
  <c r="BI46" i="61"/>
  <c r="AF12" i="135"/>
  <c r="DI78" i="7"/>
  <c r="DI77" i="7" s="1"/>
  <c r="BX13" i="135"/>
  <c r="BZ13" i="135"/>
  <c r="BW13" i="135"/>
  <c r="CV13" i="135" s="1"/>
  <c r="CA13" i="135"/>
  <c r="CA7" i="135" s="1"/>
  <c r="BJ60" i="61"/>
  <c r="DI60" i="7"/>
  <c r="AS17" i="64" s="1"/>
  <c r="DH58" i="7"/>
  <c r="DG58" i="7" s="1"/>
  <c r="DH44" i="7"/>
  <c r="DG44" i="7" s="1"/>
  <c r="DI190" i="7"/>
  <c r="DL175" i="7"/>
  <c r="DK175" i="7"/>
  <c r="DJ175" i="7"/>
  <c r="DI175" i="7"/>
  <c r="DH175" i="7"/>
  <c r="DG175" i="7"/>
  <c r="DL172" i="7"/>
  <c r="DK172" i="7"/>
  <c r="DJ172" i="7"/>
  <c r="DI172" i="7"/>
  <c r="DH172" i="7"/>
  <c r="DG172" i="7"/>
  <c r="DI169" i="7"/>
  <c r="DH169" i="7"/>
  <c r="DG169" i="7"/>
  <c r="DI159" i="7"/>
  <c r="DH159" i="7"/>
  <c r="DI158" i="7"/>
  <c r="DI155" i="7"/>
  <c r="DI152" i="7"/>
  <c r="DI151" i="7"/>
  <c r="DI150" i="7"/>
  <c r="DH150" i="7"/>
  <c r="DI148" i="7"/>
  <c r="DN69" i="8"/>
  <c r="DN67" i="8" s="1"/>
  <c r="DM69" i="8"/>
  <c r="E64" i="118"/>
  <c r="E59" i="118"/>
  <c r="H64" i="118"/>
  <c r="H59" i="118"/>
  <c r="DQ128" i="8"/>
  <c r="DP128" i="8"/>
  <c r="DO128" i="8"/>
  <c r="DN128" i="8"/>
  <c r="DM128" i="8"/>
  <c r="DL128" i="8"/>
  <c r="DQ125" i="8"/>
  <c r="DP125" i="8"/>
  <c r="DO125" i="8"/>
  <c r="DN125" i="8"/>
  <c r="DM125" i="8"/>
  <c r="DL125" i="8"/>
  <c r="DO122" i="8"/>
  <c r="DL122" i="8"/>
  <c r="DQ110" i="8"/>
  <c r="DP110" i="8"/>
  <c r="DN110" i="8"/>
  <c r="DM110" i="8"/>
  <c r="DQ109" i="8"/>
  <c r="DN109" i="8"/>
  <c r="DQ108" i="8"/>
  <c r="DN108" i="8"/>
  <c r="DN142" i="8" s="1"/>
  <c r="DQ106" i="8"/>
  <c r="DN106" i="8"/>
  <c r="DQ103" i="8"/>
  <c r="DN103" i="8"/>
  <c r="DQ102" i="8"/>
  <c r="DN102" i="8"/>
  <c r="DN101" i="8"/>
  <c r="DM101" i="8"/>
  <c r="DQ99" i="8"/>
  <c r="DN99" i="8"/>
  <c r="DQ97" i="8"/>
  <c r="DO52" i="8"/>
  <c r="DO110" i="8" s="1"/>
  <c r="DL52" i="8"/>
  <c r="DL110" i="8" s="1"/>
  <c r="DL39" i="8"/>
  <c r="DO36" i="8"/>
  <c r="DL36" i="8"/>
  <c r="DN27" i="8"/>
  <c r="DL30" i="8"/>
  <c r="DL24" i="8"/>
  <c r="DO21" i="8"/>
  <c r="DL21" i="8"/>
  <c r="DL14" i="8"/>
  <c r="DO11" i="8"/>
  <c r="DL11" i="8"/>
  <c r="DK142" i="8"/>
  <c r="AR18" i="66" s="1"/>
  <c r="DN34" i="8"/>
  <c r="DN8" i="8"/>
  <c r="DK69" i="8"/>
  <c r="DK67" i="8" s="1"/>
  <c r="DJ69" i="8"/>
  <c r="DJ68" i="8"/>
  <c r="DK66" i="8"/>
  <c r="DJ66" i="8"/>
  <c r="DJ51" i="8"/>
  <c r="DI51" i="8" s="1"/>
  <c r="DI109" i="8" s="1"/>
  <c r="DJ46" i="8"/>
  <c r="DJ44" i="8"/>
  <c r="DJ43" i="8"/>
  <c r="DJ41" i="8"/>
  <c r="DI41" i="8" s="1"/>
  <c r="DJ38" i="8"/>
  <c r="DI38" i="8" s="1"/>
  <c r="DJ37" i="8"/>
  <c r="DI37" i="8" s="1"/>
  <c r="DJ35" i="8"/>
  <c r="DI35" i="8" s="1"/>
  <c r="DJ33" i="8"/>
  <c r="DI33" i="8" s="1"/>
  <c r="DJ32" i="8"/>
  <c r="DI32" i="8" s="1"/>
  <c r="DJ29" i="8"/>
  <c r="DI29" i="8" s="1"/>
  <c r="DJ28" i="8"/>
  <c r="DI28" i="8" s="1"/>
  <c r="DJ26" i="8"/>
  <c r="DI26" i="8" s="1"/>
  <c r="DK23" i="8"/>
  <c r="DJ23" i="8"/>
  <c r="DJ22" i="8"/>
  <c r="DJ20" i="8"/>
  <c r="DI20" i="8" s="1"/>
  <c r="DK18" i="8"/>
  <c r="DK17" i="8" s="1"/>
  <c r="DJ18" i="8"/>
  <c r="DJ16" i="8"/>
  <c r="DI16" i="8" s="1"/>
  <c r="DJ13" i="8"/>
  <c r="DI13" i="8" s="1"/>
  <c r="DJ12" i="8"/>
  <c r="DI12" i="8" s="1"/>
  <c r="DK10" i="8"/>
  <c r="DK97" i="8" s="1"/>
  <c r="AR23" i="66" s="1"/>
  <c r="DJ10" i="8"/>
  <c r="BR17" i="10"/>
  <c r="BR16" i="10"/>
  <c r="DM32" i="8" s="1"/>
  <c r="DL32" i="8" s="1"/>
  <c r="BR15" i="10"/>
  <c r="BR14" i="10"/>
  <c r="BR10" i="10"/>
  <c r="BR9" i="10"/>
  <c r="DH29" i="7" s="1"/>
  <c r="DG29" i="7" s="1"/>
  <c r="BR8" i="10"/>
  <c r="DH20" i="7" s="1"/>
  <c r="DG20" i="7" s="1"/>
  <c r="DK9" i="8"/>
  <c r="DJ9" i="8"/>
  <c r="DL77" i="7"/>
  <c r="DJ64" i="7"/>
  <c r="DJ159" i="7" s="1"/>
  <c r="DG64" i="7"/>
  <c r="DG159" i="7" s="1"/>
  <c r="DK61" i="7"/>
  <c r="DK158" i="7" s="1"/>
  <c r="DK187" i="7" s="1"/>
  <c r="DH61" i="7"/>
  <c r="DG61" i="7" s="1"/>
  <c r="DG158" i="7" s="1"/>
  <c r="DK58" i="7"/>
  <c r="DJ58" i="7" s="1"/>
  <c r="DJ55" i="7"/>
  <c r="DG55" i="7"/>
  <c r="DG49" i="7"/>
  <c r="DL43" i="7"/>
  <c r="DI43" i="7"/>
  <c r="DG40" i="7"/>
  <c r="DJ37" i="7"/>
  <c r="DG37" i="7"/>
  <c r="DI35" i="7"/>
  <c r="DG32" i="7"/>
  <c r="DI27" i="7"/>
  <c r="DJ30" i="7"/>
  <c r="DG30" i="7"/>
  <c r="DG24" i="7"/>
  <c r="DJ21" i="7"/>
  <c r="DG21" i="7"/>
  <c r="DI17" i="7"/>
  <c r="DG14" i="7"/>
  <c r="DJ11" i="7"/>
  <c r="DG11" i="7"/>
  <c r="DF79" i="7"/>
  <c r="DF77" i="7" s="1"/>
  <c r="DF189" i="7" s="1"/>
  <c r="DE79" i="7"/>
  <c r="DE78" i="7"/>
  <c r="DF76" i="7"/>
  <c r="DE76" i="7"/>
  <c r="DE54" i="7"/>
  <c r="DE48" i="7"/>
  <c r="DE50" i="7" s="1"/>
  <c r="DE45" i="7"/>
  <c r="DD45" i="7" s="1"/>
  <c r="DE44" i="7"/>
  <c r="DD44" i="7" s="1"/>
  <c r="DE42" i="7"/>
  <c r="DD42" i="7" s="1"/>
  <c r="DE39" i="7"/>
  <c r="DD39" i="7" s="1"/>
  <c r="DE38" i="7"/>
  <c r="DD38" i="7" s="1"/>
  <c r="DE36" i="7"/>
  <c r="DD36" i="7" s="1"/>
  <c r="DE34" i="7"/>
  <c r="DD34" i="7" s="1"/>
  <c r="DE31" i="7"/>
  <c r="DD31" i="7" s="1"/>
  <c r="DE29" i="7"/>
  <c r="DD29" i="7" s="1"/>
  <c r="DE28" i="7"/>
  <c r="DD28" i="7" s="1"/>
  <c r="DE26" i="7"/>
  <c r="DE23" i="7"/>
  <c r="DE25" i="7" s="1"/>
  <c r="DE22" i="7"/>
  <c r="DD22" i="7" s="1"/>
  <c r="DE20" i="7"/>
  <c r="DD20" i="7" s="1"/>
  <c r="DF9" i="7"/>
  <c r="DF144" i="7" s="1"/>
  <c r="DE16" i="7"/>
  <c r="DD16" i="7" s="1"/>
  <c r="DF13" i="7"/>
  <c r="DE13" i="7"/>
  <c r="DE15" i="7" s="1"/>
  <c r="DE12" i="7"/>
  <c r="DF10" i="7"/>
  <c r="DF146" i="7" s="1"/>
  <c r="DE10" i="7"/>
  <c r="DE9" i="7"/>
  <c r="R8" i="92"/>
  <c r="R17" i="92"/>
  <c r="AD27" i="104"/>
  <c r="S16" i="92" s="1"/>
  <c r="DP43" i="8" s="1"/>
  <c r="Y33" i="105"/>
  <c r="Y36" i="105" s="1"/>
  <c r="AC26" i="104" s="1"/>
  <c r="Y22" i="105"/>
  <c r="Y28" i="105" s="1"/>
  <c r="Y21" i="105"/>
  <c r="Y20" i="105"/>
  <c r="Y26" i="105" s="1"/>
  <c r="Y14" i="105"/>
  <c r="Y6" i="105"/>
  <c r="X33" i="105"/>
  <c r="X36" i="105" s="1"/>
  <c r="Z22" i="105"/>
  <c r="Z28" i="105" s="1"/>
  <c r="Z21" i="105"/>
  <c r="Z27" i="105" s="1"/>
  <c r="Z20" i="105"/>
  <c r="Z26" i="105" s="1"/>
  <c r="Z14" i="105"/>
  <c r="Z6" i="105"/>
  <c r="BJ66" i="32"/>
  <c r="BJ64" i="32"/>
  <c r="BJ62" i="32"/>
  <c r="BL62" i="32" s="1"/>
  <c r="BO69" i="32"/>
  <c r="BN68" i="32"/>
  <c r="BN67" i="32"/>
  <c r="BK67" i="32"/>
  <c r="BK64" i="32"/>
  <c r="BK68" i="32" s="1"/>
  <c r="BI69" i="32"/>
  <c r="BG66" i="32"/>
  <c r="BG68" i="32" s="1"/>
  <c r="BG64" i="32"/>
  <c r="BI64" i="32" s="1"/>
  <c r="BH68" i="32"/>
  <c r="BH67" i="32"/>
  <c r="BI67" i="32" s="1"/>
  <c r="BG62" i="32"/>
  <c r="BI62" i="32" s="1"/>
  <c r="AD36" i="104"/>
  <c r="Y36" i="104"/>
  <c r="AC36" i="104" s="1"/>
  <c r="Z35" i="104"/>
  <c r="AD35" i="104" s="1"/>
  <c r="U35" i="104"/>
  <c r="Y35" i="104" s="1"/>
  <c r="AD34" i="104"/>
  <c r="AH34" i="104" s="1"/>
  <c r="Y34" i="104"/>
  <c r="AC34" i="104" s="1"/>
  <c r="AC28" i="104"/>
  <c r="AD28" i="104" s="1"/>
  <c r="AD20" i="104"/>
  <c r="AC20" i="104"/>
  <c r="AD17" i="104"/>
  <c r="AC17" i="104"/>
  <c r="BL69" i="32"/>
  <c r="O11" i="103"/>
  <c r="O10" i="103"/>
  <c r="P12" i="103"/>
  <c r="DP51" i="8" s="1"/>
  <c r="N11" i="103"/>
  <c r="X8" i="100"/>
  <c r="Y9" i="100"/>
  <c r="Y10" i="100" s="1"/>
  <c r="DK47" i="7" s="1"/>
  <c r="EF13" i="19"/>
  <c r="EF10" i="19" s="1"/>
  <c r="EF12" i="19" s="1"/>
  <c r="DU48" i="19"/>
  <c r="DW48" i="19"/>
  <c r="DX48" i="19"/>
  <c r="DZ48" i="19"/>
  <c r="DV48" i="19"/>
  <c r="DU30" i="19"/>
  <c r="DT30" i="19" s="1"/>
  <c r="EA30" i="19" s="1"/>
  <c r="DU16" i="19"/>
  <c r="DX16" i="19"/>
  <c r="DW16" i="19"/>
  <c r="DV16" i="19"/>
  <c r="DZ16" i="19"/>
  <c r="O52" i="97"/>
  <c r="O55" i="97"/>
  <c r="V55" i="97" s="1"/>
  <c r="V56" i="97" s="1"/>
  <c r="O54" i="97"/>
  <c r="T36" i="111" s="1"/>
  <c r="O53" i="97"/>
  <c r="T35" i="111" s="1"/>
  <c r="DM28" i="8" s="1"/>
  <c r="DL28" i="8" s="1"/>
  <c r="O49" i="97"/>
  <c r="T31" i="111" s="1"/>
  <c r="O51" i="97"/>
  <c r="O48" i="97"/>
  <c r="T30" i="111" s="1"/>
  <c r="DH28" i="7" s="1"/>
  <c r="DG28" i="7" s="1"/>
  <c r="O46" i="97"/>
  <c r="T28" i="111" s="1"/>
  <c r="DH22" i="7" s="1"/>
  <c r="DG22" i="7" s="1"/>
  <c r="O45" i="97"/>
  <c r="T27" i="111" s="1"/>
  <c r="N56" i="97"/>
  <c r="N50" i="97"/>
  <c r="DY31" i="17"/>
  <c r="DY24" i="17"/>
  <c r="D91" i="68"/>
  <c r="D93" i="68" s="1"/>
  <c r="U43" i="96"/>
  <c r="T64" i="96"/>
  <c r="U64" i="96" s="1"/>
  <c r="U65" i="96" s="1"/>
  <c r="U60" i="96"/>
  <c r="U49" i="96"/>
  <c r="V47" i="96"/>
  <c r="U37" i="96"/>
  <c r="U32" i="96"/>
  <c r="U27" i="96"/>
  <c r="U22" i="96"/>
  <c r="U17" i="96"/>
  <c r="U12" i="96"/>
  <c r="BR7" i="10"/>
  <c r="BS19" i="10"/>
  <c r="AM38" i="95"/>
  <c r="AM26" i="95"/>
  <c r="AO26" i="95" s="1"/>
  <c r="AS26" i="95" s="1"/>
  <c r="AS27" i="95" s="1"/>
  <c r="AM13" i="95"/>
  <c r="AN41" i="95"/>
  <c r="AN25" i="95"/>
  <c r="BB43" i="6"/>
  <c r="BB41" i="6"/>
  <c r="BB40" i="6"/>
  <c r="BB37" i="6"/>
  <c r="BB34" i="6"/>
  <c r="BB33" i="6"/>
  <c r="BB27" i="6"/>
  <c r="BB22" i="6"/>
  <c r="BB24" i="6"/>
  <c r="BB21" i="6"/>
  <c r="BB19" i="6"/>
  <c r="BB15" i="6"/>
  <c r="BB14" i="6"/>
  <c r="BG45" i="5"/>
  <c r="BG42" i="5"/>
  <c r="BG41" i="5"/>
  <c r="BG40" i="5"/>
  <c r="BG39" i="5"/>
  <c r="BG38" i="5"/>
  <c r="BG37" i="5"/>
  <c r="BG35" i="5"/>
  <c r="BG34" i="5"/>
  <c r="BG28" i="5"/>
  <c r="BG23" i="5"/>
  <c r="BG20" i="5"/>
  <c r="BG18" i="5"/>
  <c r="BG15" i="5"/>
  <c r="BG14" i="5"/>
  <c r="BG13" i="5"/>
  <c r="BG43" i="5"/>
  <c r="BG33" i="5"/>
  <c r="BG32" i="5"/>
  <c r="BY66" i="3"/>
  <c r="BY53" i="3"/>
  <c r="BZ49" i="3"/>
  <c r="BZ46" i="3" s="1"/>
  <c r="BZ44" i="3" s="1"/>
  <c r="BY43" i="3"/>
  <c r="BW66" i="3"/>
  <c r="BX63" i="3"/>
  <c r="BW63" i="3"/>
  <c r="BW57" i="3"/>
  <c r="BW53" i="3"/>
  <c r="BX49" i="3"/>
  <c r="DI167" i="7" s="1"/>
  <c r="DI72" i="7" s="1"/>
  <c r="BW43" i="3"/>
  <c r="BW39" i="3"/>
  <c r="U7" i="96" s="1"/>
  <c r="FK16" i="123"/>
  <c r="FK15" i="123"/>
  <c r="FK14" i="123"/>
  <c r="FK13" i="123"/>
  <c r="FK12" i="123"/>
  <c r="FK11" i="123"/>
  <c r="FK10" i="123"/>
  <c r="FV9" i="123"/>
  <c r="FK8" i="123"/>
  <c r="CT57" i="123"/>
  <c r="CT58" i="123"/>
  <c r="FB16" i="123"/>
  <c r="FB15" i="123"/>
  <c r="FB14" i="123"/>
  <c r="FB13" i="123"/>
  <c r="FB12" i="123"/>
  <c r="FB11" i="123"/>
  <c r="FB10" i="123"/>
  <c r="FB9" i="123"/>
  <c r="FB64" i="123" s="1"/>
  <c r="FB8" i="123"/>
  <c r="ES16" i="123"/>
  <c r="ES15" i="123"/>
  <c r="ES14" i="123"/>
  <c r="ES13" i="123"/>
  <c r="ES12" i="123"/>
  <c r="ES11" i="123"/>
  <c r="ES10" i="123"/>
  <c r="ES9" i="123"/>
  <c r="ES64" i="123" s="1"/>
  <c r="ES8" i="123"/>
  <c r="DL16" i="123"/>
  <c r="DL15" i="123"/>
  <c r="DL14" i="123"/>
  <c r="DL13" i="123"/>
  <c r="DL12" i="123"/>
  <c r="DL11" i="123"/>
  <c r="DL10" i="123"/>
  <c r="DL9" i="123"/>
  <c r="DL64" i="123" s="1"/>
  <c r="DL8" i="123"/>
  <c r="DC16" i="123"/>
  <c r="DC15" i="123"/>
  <c r="DC14" i="123"/>
  <c r="DC13" i="123"/>
  <c r="DC12" i="123"/>
  <c r="DC11" i="123"/>
  <c r="DC10" i="123"/>
  <c r="DC9" i="123"/>
  <c r="DC8" i="123"/>
  <c r="CT16" i="123"/>
  <c r="CT15" i="123"/>
  <c r="CT14" i="123"/>
  <c r="CT13" i="123"/>
  <c r="CT12" i="123"/>
  <c r="CT11" i="123"/>
  <c r="CT10" i="123"/>
  <c r="CT9" i="123"/>
  <c r="CT64" i="123" s="1"/>
  <c r="CT8" i="123"/>
  <c r="BM16" i="123"/>
  <c r="BM15" i="123"/>
  <c r="BM14" i="123"/>
  <c r="BM13" i="123"/>
  <c r="BM12" i="123"/>
  <c r="BM11" i="123"/>
  <c r="BM10" i="123"/>
  <c r="BM9" i="123"/>
  <c r="BM64" i="123" s="1"/>
  <c r="BM8" i="123"/>
  <c r="BD16" i="123"/>
  <c r="BD15" i="123"/>
  <c r="BD14" i="123"/>
  <c r="BD13" i="123"/>
  <c r="BD12" i="123"/>
  <c r="BD11" i="123"/>
  <c r="BD10" i="123"/>
  <c r="BD9" i="123"/>
  <c r="BD64" i="123" s="1"/>
  <c r="BD8" i="123"/>
  <c r="AU16" i="123"/>
  <c r="AU15" i="123"/>
  <c r="AU14" i="123"/>
  <c r="AU13" i="123"/>
  <c r="AU12" i="123"/>
  <c r="AU11" i="123"/>
  <c r="AU10" i="123"/>
  <c r="AU9" i="123"/>
  <c r="AU64" i="123" s="1"/>
  <c r="AU8" i="123"/>
  <c r="Z16" i="123"/>
  <c r="Z15" i="123"/>
  <c r="Z14" i="123"/>
  <c r="Z13" i="123"/>
  <c r="Z12" i="123"/>
  <c r="Z11" i="123"/>
  <c r="Z10" i="123"/>
  <c r="Z9" i="123"/>
  <c r="Z64" i="123" s="1"/>
  <c r="Z8" i="123"/>
  <c r="Q16" i="123"/>
  <c r="Q15" i="123"/>
  <c r="Q14" i="123"/>
  <c r="Q13" i="123"/>
  <c r="Q12" i="123"/>
  <c r="Q11" i="123"/>
  <c r="Q10" i="123"/>
  <c r="Q9" i="123"/>
  <c r="Q64" i="123" s="1"/>
  <c r="Q8" i="123"/>
  <c r="H8" i="123"/>
  <c r="H9" i="123"/>
  <c r="H10" i="123"/>
  <c r="H11" i="123"/>
  <c r="H12" i="123"/>
  <c r="H13" i="123"/>
  <c r="H14" i="123"/>
  <c r="H15" i="123"/>
  <c r="H16" i="123"/>
  <c r="K13" i="132"/>
  <c r="K34" i="132"/>
  <c r="K12" i="132"/>
  <c r="K25" i="132"/>
  <c r="K35" i="132"/>
  <c r="K29" i="132"/>
  <c r="K15" i="132"/>
  <c r="K14" i="132"/>
  <c r="K37" i="132"/>
  <c r="K31" i="132"/>
  <c r="K30" i="132"/>
  <c r="K24" i="132"/>
  <c r="K27" i="132"/>
  <c r="K28" i="132"/>
  <c r="K26" i="132"/>
  <c r="K32" i="132"/>
  <c r="K18" i="132"/>
  <c r="K33" i="132"/>
  <c r="K36" i="132"/>
  <c r="K19" i="132"/>
  <c r="K38" i="132"/>
  <c r="K39" i="132"/>
  <c r="K40" i="132"/>
  <c r="K41" i="132"/>
  <c r="BW61" i="7"/>
  <c r="BW158" i="7" s="1"/>
  <c r="X16" i="61" s="1"/>
  <c r="K16" i="61"/>
  <c r="C12" i="77" s="1"/>
  <c r="B12" i="77" s="1"/>
  <c r="H18" i="87"/>
  <c r="I18" i="87" s="1"/>
  <c r="P16" i="61" s="1"/>
  <c r="C26" i="119"/>
  <c r="C23" i="119" s="1"/>
  <c r="AX43" i="61" s="1"/>
  <c r="AN17" i="66"/>
  <c r="C33" i="119"/>
  <c r="K14" i="65"/>
  <c r="F12" i="77" s="1"/>
  <c r="E12" i="77" s="1"/>
  <c r="D10" i="103"/>
  <c r="D12" i="103" s="1"/>
  <c r="AB14" i="65" s="1"/>
  <c r="C10" i="103"/>
  <c r="C12" i="103" s="1"/>
  <c r="AP46" i="65"/>
  <c r="BF23" i="61"/>
  <c r="BF21" i="61"/>
  <c r="BF20" i="61"/>
  <c r="BE64" i="61"/>
  <c r="BE63" i="61"/>
  <c r="BE46" i="61"/>
  <c r="BM46" i="61" s="1"/>
  <c r="BE33" i="61"/>
  <c r="BE60" i="61"/>
  <c r="BF39" i="61"/>
  <c r="BF38" i="61"/>
  <c r="DA68" i="8"/>
  <c r="DA67" i="8" s="1"/>
  <c r="DA122" i="8"/>
  <c r="CZ122" i="8" s="1"/>
  <c r="L66" i="123"/>
  <c r="U66" i="123" s="1"/>
  <c r="DB69" i="8"/>
  <c r="DB67" i="8" s="1"/>
  <c r="DB105" i="8"/>
  <c r="DA50" i="8"/>
  <c r="CV78" i="7"/>
  <c r="CV77" i="7" s="1"/>
  <c r="DB40" i="8"/>
  <c r="DB39" i="8" s="1"/>
  <c r="DB34" i="8" s="1"/>
  <c r="DB31" i="8"/>
  <c r="DB30" i="8" s="1"/>
  <c r="DB27" i="8" s="1"/>
  <c r="DB15" i="8"/>
  <c r="DB14" i="8" s="1"/>
  <c r="DB8" i="8" s="1"/>
  <c r="DB99" i="8"/>
  <c r="DB102" i="8"/>
  <c r="DB103" i="8"/>
  <c r="DB109" i="8"/>
  <c r="DB140" i="8" s="1"/>
  <c r="DB108" i="8"/>
  <c r="DB142" i="8" s="1"/>
  <c r="AN18" i="66" s="1"/>
  <c r="DB97" i="8"/>
  <c r="DB144" i="8" s="1"/>
  <c r="DB106" i="8"/>
  <c r="DB110" i="8"/>
  <c r="DB125" i="8"/>
  <c r="DB128" i="8"/>
  <c r="DA110" i="8"/>
  <c r="DA125" i="8"/>
  <c r="DA128" i="8"/>
  <c r="CZ128" i="8"/>
  <c r="CZ125" i="8"/>
  <c r="DB43" i="8"/>
  <c r="DB44" i="8"/>
  <c r="DB46" i="8"/>
  <c r="DA48" i="8"/>
  <c r="CZ48" i="8" s="1"/>
  <c r="CZ106" i="8" s="1"/>
  <c r="CZ11" i="8"/>
  <c r="CZ21" i="8"/>
  <c r="CZ52" i="8"/>
  <c r="CZ110" i="8" s="1"/>
  <c r="CZ36" i="8"/>
  <c r="AN32" i="64"/>
  <c r="AO30" i="64"/>
  <c r="AO29" i="64"/>
  <c r="AO27" i="64"/>
  <c r="AO26" i="64"/>
  <c r="AO25" i="64"/>
  <c r="AN17" i="64"/>
  <c r="AN18" i="64"/>
  <c r="AN21" i="64"/>
  <c r="AN24" i="64"/>
  <c r="AN20" i="64"/>
  <c r="AN19" i="64"/>
  <c r="CW78" i="7"/>
  <c r="CW77" i="7" s="1"/>
  <c r="CW13" i="7"/>
  <c r="CW149" i="7" s="1"/>
  <c r="CW189" i="7"/>
  <c r="CW190" i="7"/>
  <c r="CW172" i="7"/>
  <c r="CW175" i="7"/>
  <c r="CV172" i="7"/>
  <c r="CV175" i="7"/>
  <c r="CU172" i="7"/>
  <c r="CU175" i="7"/>
  <c r="CU169" i="7"/>
  <c r="CW146" i="7"/>
  <c r="CW191" i="7" s="1"/>
  <c r="AN22" i="64" s="1"/>
  <c r="CW148" i="7"/>
  <c r="CW151" i="7"/>
  <c r="CW152" i="7"/>
  <c r="CW155" i="7"/>
  <c r="CW157" i="7"/>
  <c r="CW158" i="7"/>
  <c r="CW187" i="7" s="1"/>
  <c r="CW159" i="7"/>
  <c r="CV159" i="7"/>
  <c r="CV62" i="7"/>
  <c r="CU62" i="7" s="1"/>
  <c r="CU155" i="7" s="1"/>
  <c r="BH16" i="19"/>
  <c r="BK16" i="19" s="1"/>
  <c r="BW16" i="19" s="1"/>
  <c r="AU17" i="19"/>
  <c r="BK17" i="19" s="1"/>
  <c r="BW17" i="19" s="1"/>
  <c r="AU18" i="19"/>
  <c r="BK18" i="19" s="1"/>
  <c r="BP18" i="19" s="1"/>
  <c r="AR19" i="19"/>
  <c r="AU19" i="19"/>
  <c r="BK21" i="19"/>
  <c r="AR23" i="19"/>
  <c r="BK23" i="19" s="1"/>
  <c r="BP23" i="19" s="1"/>
  <c r="AU24" i="19"/>
  <c r="AU26" i="19"/>
  <c r="BK26" i="19" s="1"/>
  <c r="BW26" i="19" s="1"/>
  <c r="AR27" i="19"/>
  <c r="AU27" i="19"/>
  <c r="BH30" i="19"/>
  <c r="BK30" i="19" s="1"/>
  <c r="BW30" i="19" s="1"/>
  <c r="AU31" i="19"/>
  <c r="BK31" i="19" s="1"/>
  <c r="BW31" i="19" s="1"/>
  <c r="AR33" i="19"/>
  <c r="BK33" i="19" s="1"/>
  <c r="BP33" i="19" s="1"/>
  <c r="AR34" i="19"/>
  <c r="AU34" i="19"/>
  <c r="AU36" i="19"/>
  <c r="BK36" i="19" s="1"/>
  <c r="BP36" i="19" s="1"/>
  <c r="AU37" i="19"/>
  <c r="BK37" i="19" s="1"/>
  <c r="BW37" i="19" s="1"/>
  <c r="AU39" i="19"/>
  <c r="BK39" i="19" s="1"/>
  <c r="BP39" i="19" s="1"/>
  <c r="AU41" i="19"/>
  <c r="BK41" i="19" s="1"/>
  <c r="BW41" i="19" s="1"/>
  <c r="AU42" i="19"/>
  <c r="BK42" i="19" s="1"/>
  <c r="BW42" i="19" s="1"/>
  <c r="AV48" i="19"/>
  <c r="AW48" i="19"/>
  <c r="BK13" i="19"/>
  <c r="AU10" i="19"/>
  <c r="AU14" i="19" s="1"/>
  <c r="DD15" i="19"/>
  <c r="CV56" i="7"/>
  <c r="CU56" i="7" s="1"/>
  <c r="CV54" i="7"/>
  <c r="CV53" i="7"/>
  <c r="CW50" i="7"/>
  <c r="EA50" i="7" s="1"/>
  <c r="CV44" i="7"/>
  <c r="CU44" i="7" s="1"/>
  <c r="DM36" i="17"/>
  <c r="DB23" i="8" s="1"/>
  <c r="DB100" i="8" s="1"/>
  <c r="DL30" i="17"/>
  <c r="CP17" i="19"/>
  <c r="CW17" i="19" s="1"/>
  <c r="CU49" i="19"/>
  <c r="CP15" i="19"/>
  <c r="CW15" i="19" s="1"/>
  <c r="CQ16" i="19"/>
  <c r="CR16" i="19"/>
  <c r="CS16" i="19"/>
  <c r="CT16" i="19"/>
  <c r="CV16" i="19"/>
  <c r="CP18" i="19"/>
  <c r="CW18" i="19" s="1"/>
  <c r="CP19" i="19"/>
  <c r="CW19" i="19" s="1"/>
  <c r="CP20" i="19"/>
  <c r="CW20" i="19" s="1"/>
  <c r="CP21" i="19"/>
  <c r="CW21" i="19" s="1"/>
  <c r="CP22" i="19"/>
  <c r="CW22" i="19" s="1"/>
  <c r="CP23" i="19"/>
  <c r="CW23" i="19" s="1"/>
  <c r="CP24" i="19"/>
  <c r="CW24" i="19" s="1"/>
  <c r="CP25" i="19"/>
  <c r="CW25" i="19" s="1"/>
  <c r="CQ26" i="19"/>
  <c r="CR26" i="19"/>
  <c r="CS26" i="19"/>
  <c r="CT26" i="19"/>
  <c r="CV26" i="19"/>
  <c r="CQ27" i="19"/>
  <c r="CR27" i="19"/>
  <c r="CS27" i="19"/>
  <c r="CT27" i="19"/>
  <c r="CV27" i="19"/>
  <c r="CP28" i="19"/>
  <c r="CW28" i="19" s="1"/>
  <c r="CP29" i="19"/>
  <c r="CW29" i="19" s="1"/>
  <c r="CP30" i="19"/>
  <c r="CW30" i="19" s="1"/>
  <c r="CP31" i="19"/>
  <c r="CW31" i="19" s="1"/>
  <c r="CP32" i="19"/>
  <c r="CW32" i="19" s="1"/>
  <c r="CP33" i="19"/>
  <c r="CW33" i="19" s="1"/>
  <c r="CP34" i="19"/>
  <c r="CW34" i="19" s="1"/>
  <c r="CP35" i="19"/>
  <c r="CW35" i="19" s="1"/>
  <c r="CP36" i="19"/>
  <c r="CW36" i="19" s="1"/>
  <c r="CP37" i="19"/>
  <c r="CW37" i="19" s="1"/>
  <c r="CP38" i="19"/>
  <c r="CW38" i="19" s="1"/>
  <c r="CP39" i="19"/>
  <c r="CW39" i="19" s="1"/>
  <c r="CP40" i="19"/>
  <c r="CW40" i="19" s="1"/>
  <c r="CP41" i="19"/>
  <c r="CW41" i="19" s="1"/>
  <c r="CP42" i="19"/>
  <c r="CW42" i="19" s="1"/>
  <c r="CP43" i="19"/>
  <c r="CW43" i="19" s="1"/>
  <c r="CP44" i="19"/>
  <c r="CW44" i="19" s="1"/>
  <c r="CP45" i="19"/>
  <c r="CW45" i="19" s="1"/>
  <c r="CP46" i="19"/>
  <c r="CW46" i="19" s="1"/>
  <c r="CP47" i="19"/>
  <c r="CW47" i="19" s="1"/>
  <c r="CP48" i="19"/>
  <c r="CW48" i="19" s="1"/>
  <c r="CP8" i="19"/>
  <c r="CW8" i="19" s="1"/>
  <c r="CP9" i="19"/>
  <c r="CW9" i="19" s="1"/>
  <c r="CP10" i="19"/>
  <c r="CP14" i="19" s="1"/>
  <c r="CQ14" i="19" s="1"/>
  <c r="CP11" i="19"/>
  <c r="DK30" i="17"/>
  <c r="CW17" i="7"/>
  <c r="DB13" i="19"/>
  <c r="DB10" i="19" s="1"/>
  <c r="CW43" i="7"/>
  <c r="CV58" i="7"/>
  <c r="CU58" i="7" s="1"/>
  <c r="CV61" i="7"/>
  <c r="CV158" i="7" s="1"/>
  <c r="CV187" i="7" s="1"/>
  <c r="CU11" i="7"/>
  <c r="CU21" i="7"/>
  <c r="CU30" i="7"/>
  <c r="CU37" i="7"/>
  <c r="CU55" i="7"/>
  <c r="CU64" i="7"/>
  <c r="CU159" i="7" s="1"/>
  <c r="Z7" i="102"/>
  <c r="CV60" i="7" s="1"/>
  <c r="CV189" i="7" s="1"/>
  <c r="DE15" i="19"/>
  <c r="M55" i="97"/>
  <c r="T55" i="97" s="1"/>
  <c r="M52" i="97"/>
  <c r="M51" i="97"/>
  <c r="M47" i="97"/>
  <c r="M46" i="97"/>
  <c r="M45" i="97"/>
  <c r="P36" i="111"/>
  <c r="DA9" i="136" s="1"/>
  <c r="CZ9" i="136" s="1"/>
  <c r="P34" i="111"/>
  <c r="DA22" i="8" s="1"/>
  <c r="CZ22" i="8" s="1"/>
  <c r="P33" i="111"/>
  <c r="DA12" i="8" s="1"/>
  <c r="CZ12" i="8" s="1"/>
  <c r="P31" i="111"/>
  <c r="CV10" i="135" s="1"/>
  <c r="CU10" i="135" s="1"/>
  <c r="P29" i="111"/>
  <c r="CV46" i="7" s="1"/>
  <c r="CU46" i="7" s="1"/>
  <c r="P28" i="111"/>
  <c r="CV22" i="7" s="1"/>
  <c r="CU22" i="7" s="1"/>
  <c r="P27" i="111"/>
  <c r="CV12" i="7" s="1"/>
  <c r="CU12" i="7" s="1"/>
  <c r="DL36" i="17"/>
  <c r="DK36" i="17"/>
  <c r="DK35" i="17"/>
  <c r="DK34" i="17"/>
  <c r="DK33" i="17"/>
  <c r="DK32" i="17"/>
  <c r="DK28" i="17"/>
  <c r="DK27" i="17"/>
  <c r="DK26" i="17"/>
  <c r="DK25" i="17"/>
  <c r="Q47" i="96"/>
  <c r="Q49" i="96"/>
  <c r="Q48" i="96"/>
  <c r="Q57" i="96"/>
  <c r="Q59" i="96"/>
  <c r="Q58" i="96"/>
  <c r="AU44" i="6"/>
  <c r="AU43" i="6"/>
  <c r="AU38" i="6"/>
  <c r="AU31" i="6"/>
  <c r="BC45" i="5"/>
  <c r="BC44" i="5"/>
  <c r="BG44" i="5" s="1"/>
  <c r="BC43" i="5"/>
  <c r="BC42" i="5"/>
  <c r="BC37" i="5"/>
  <c r="BC36" i="5"/>
  <c r="BG36" i="5" s="1"/>
  <c r="BC35" i="5"/>
  <c r="BC33" i="5"/>
  <c r="BC32" i="5"/>
  <c r="BC31" i="5"/>
  <c r="BG31" i="5" s="1"/>
  <c r="BC25" i="5"/>
  <c r="BC24" i="5"/>
  <c r="BC22" i="5"/>
  <c r="BC21" i="5"/>
  <c r="BG21" i="5" s="1"/>
  <c r="BC19" i="5"/>
  <c r="BC16" i="5"/>
  <c r="BG16" i="5" s="1"/>
  <c r="Y19" i="104"/>
  <c r="Y10" i="104"/>
  <c r="AX66" i="32"/>
  <c r="AX64" i="32"/>
  <c r="AX62" i="32"/>
  <c r="AZ62" i="32" s="1"/>
  <c r="AY64" i="32"/>
  <c r="AY68" i="32" s="1"/>
  <c r="AY67" i="32"/>
  <c r="AZ69" i="32"/>
  <c r="U22" i="105"/>
  <c r="U28" i="105" s="1"/>
  <c r="U21" i="105"/>
  <c r="U27" i="105" s="1"/>
  <c r="U20" i="105"/>
  <c r="U26" i="105" s="1"/>
  <c r="U14" i="105"/>
  <c r="U6" i="105"/>
  <c r="Y17" i="104"/>
  <c r="Y20" i="104"/>
  <c r="Y8" i="104"/>
  <c r="T9" i="100"/>
  <c r="T10" i="100" s="1"/>
  <c r="L12" i="103"/>
  <c r="DA51" i="8" s="1"/>
  <c r="AJ26" i="95"/>
  <c r="AN26" i="95" s="1"/>
  <c r="AJ23" i="95"/>
  <c r="AJ17" i="95"/>
  <c r="AN17" i="95" s="1"/>
  <c r="BN66" i="3"/>
  <c r="BO63" i="3"/>
  <c r="BN63" i="3"/>
  <c r="BN57" i="3"/>
  <c r="AX63" i="32" s="1"/>
  <c r="AZ63" i="32" s="1"/>
  <c r="BN53" i="3"/>
  <c r="BO49" i="3"/>
  <c r="CW167" i="7" s="1"/>
  <c r="CW72" i="7" s="1"/>
  <c r="BN43" i="3"/>
  <c r="BN39" i="3"/>
  <c r="Q7" i="96" s="1"/>
  <c r="DQ16" i="19"/>
  <c r="DQ27" i="19"/>
  <c r="DQ48" i="19"/>
  <c r="AS46" i="65"/>
  <c r="DP16" i="19"/>
  <c r="DP26" i="19"/>
  <c r="DP27" i="19"/>
  <c r="DP48" i="19"/>
  <c r="DO16" i="19"/>
  <c r="DO26" i="19"/>
  <c r="DO27" i="19"/>
  <c r="DO48" i="19"/>
  <c r="BH19" i="61"/>
  <c r="DN16" i="19"/>
  <c r="DN26" i="19"/>
  <c r="DN27" i="19"/>
  <c r="DN48" i="19"/>
  <c r="DH142" i="8"/>
  <c r="AQ18" i="66" s="1"/>
  <c r="DH69" i="8"/>
  <c r="DH67" i="8" s="1"/>
  <c r="DG69" i="8"/>
  <c r="DG68" i="8"/>
  <c r="DH66" i="8"/>
  <c r="DG66" i="8"/>
  <c r="DC79" i="7"/>
  <c r="DC77" i="7" s="1"/>
  <c r="DB79" i="7"/>
  <c r="DB78" i="7"/>
  <c r="CZ76" i="7"/>
  <c r="CY76" i="7"/>
  <c r="DC76" i="7"/>
  <c r="DB76" i="7"/>
  <c r="DG18" i="8"/>
  <c r="DG46" i="8"/>
  <c r="DG44" i="8"/>
  <c r="DG43" i="8"/>
  <c r="DG41" i="8"/>
  <c r="DF41" i="8" s="1"/>
  <c r="DG38" i="8"/>
  <c r="DG37" i="8"/>
  <c r="DF37" i="8" s="1"/>
  <c r="DG35" i="8"/>
  <c r="DF35" i="8" s="1"/>
  <c r="DG33" i="8"/>
  <c r="DF33" i="8" s="1"/>
  <c r="DG32" i="8"/>
  <c r="DG29" i="8"/>
  <c r="DG31" i="8" s="1"/>
  <c r="DG28" i="8"/>
  <c r="DF28" i="8" s="1"/>
  <c r="DG26" i="8"/>
  <c r="DF26" i="8" s="1"/>
  <c r="DH23" i="8"/>
  <c r="DH100" i="8" s="1"/>
  <c r="DG23" i="8"/>
  <c r="DG25" i="8" s="1"/>
  <c r="DG22" i="8"/>
  <c r="DF22" i="8" s="1"/>
  <c r="DG20" i="8"/>
  <c r="DF20" i="8" s="1"/>
  <c r="DH18" i="8"/>
  <c r="DG16" i="8"/>
  <c r="DG13" i="8"/>
  <c r="DF13" i="8" s="1"/>
  <c r="DG12" i="8"/>
  <c r="DH10" i="8"/>
  <c r="DH97" i="8" s="1"/>
  <c r="AQ23" i="66" s="1"/>
  <c r="DG10" i="8"/>
  <c r="DE10" i="8"/>
  <c r="DH9" i="8"/>
  <c r="DG9" i="8"/>
  <c r="DC189" i="7"/>
  <c r="DH48" i="19"/>
  <c r="DH49" i="19" s="1"/>
  <c r="DB54" i="7"/>
  <c r="DB56" i="7"/>
  <c r="DA56" i="7" s="1"/>
  <c r="DB48" i="7"/>
  <c r="V10" i="100"/>
  <c r="CV47" i="7" s="1"/>
  <c r="CU47" i="7" s="1"/>
  <c r="DB45" i="7"/>
  <c r="DA45" i="7" s="1"/>
  <c r="DB44" i="7"/>
  <c r="DA44" i="7" s="1"/>
  <c r="DB39" i="7"/>
  <c r="DB42" i="7"/>
  <c r="DA42" i="7" s="1"/>
  <c r="DB38" i="7"/>
  <c r="DA38" i="7" s="1"/>
  <c r="DB36" i="7"/>
  <c r="DA36" i="7" s="1"/>
  <c r="DB34" i="7"/>
  <c r="DA34" i="7" s="1"/>
  <c r="DB31" i="7"/>
  <c r="DA31" i="7" s="1"/>
  <c r="DB29" i="7"/>
  <c r="DA29" i="7" s="1"/>
  <c r="DB28" i="7"/>
  <c r="DA28" i="7" s="1"/>
  <c r="DB26" i="7"/>
  <c r="DA26" i="7" s="1"/>
  <c r="DB23" i="7"/>
  <c r="DA23" i="7" s="1"/>
  <c r="DB22" i="7"/>
  <c r="DA22" i="7" s="1"/>
  <c r="DB20" i="7"/>
  <c r="DB16" i="7"/>
  <c r="DC13" i="7"/>
  <c r="DC149" i="7" s="1"/>
  <c r="DB13" i="7"/>
  <c r="DB15" i="7" s="1"/>
  <c r="DB12" i="7"/>
  <c r="DC10" i="7"/>
  <c r="DB10" i="7"/>
  <c r="DC9" i="7"/>
  <c r="DC144" i="7" s="1"/>
  <c r="DB9" i="7"/>
  <c r="BD66" i="32"/>
  <c r="BD68" i="32" s="1"/>
  <c r="BD64" i="32"/>
  <c r="BF64" i="32" s="1"/>
  <c r="BD62" i="32"/>
  <c r="BF62" i="32" s="1"/>
  <c r="AA39" i="104"/>
  <c r="DS16" i="19"/>
  <c r="DS48" i="19"/>
  <c r="DS26" i="19"/>
  <c r="DS27" i="19"/>
  <c r="S66" i="96"/>
  <c r="S67" i="96" s="1"/>
  <c r="DG19" i="8" s="1"/>
  <c r="S64" i="96"/>
  <c r="S43" i="96"/>
  <c r="S44" i="96" s="1"/>
  <c r="DB19" i="7" s="1"/>
  <c r="AK34" i="98"/>
  <c r="AL45" i="95"/>
  <c r="AL43" i="95" s="1"/>
  <c r="DB18" i="7" s="1"/>
  <c r="DA18" i="7" s="1"/>
  <c r="AL40" i="95"/>
  <c r="AL38" i="95" s="1"/>
  <c r="AL15" i="95"/>
  <c r="AL13" i="95" s="1"/>
  <c r="BL14" i="10"/>
  <c r="BL17" i="10"/>
  <c r="DJ16" i="19"/>
  <c r="DJ48" i="19"/>
  <c r="AR46" i="65"/>
  <c r="DI48" i="19"/>
  <c r="DI49" i="19" s="1"/>
  <c r="DE142" i="8"/>
  <c r="AP18" i="66" s="1"/>
  <c r="DE69" i="8"/>
  <c r="DE67" i="8" s="1"/>
  <c r="DD69" i="8"/>
  <c r="DD68" i="8"/>
  <c r="DE66" i="8"/>
  <c r="DD66" i="8"/>
  <c r="DE44" i="8"/>
  <c r="DD44" i="8"/>
  <c r="DD43" i="8"/>
  <c r="DE43" i="8"/>
  <c r="DD41" i="8"/>
  <c r="DC41" i="8" s="1"/>
  <c r="DD38" i="8"/>
  <c r="DD37" i="8"/>
  <c r="DC37" i="8" s="1"/>
  <c r="DE20" i="8"/>
  <c r="DD35" i="8"/>
  <c r="DC35" i="8" s="1"/>
  <c r="DD33" i="8"/>
  <c r="DC33" i="8" s="1"/>
  <c r="DE32" i="8"/>
  <c r="DE27" i="8" s="1"/>
  <c r="DD32" i="8"/>
  <c r="DD29" i="8"/>
  <c r="DD28" i="8"/>
  <c r="DC28" i="8" s="1"/>
  <c r="DD26" i="8"/>
  <c r="DC26" i="8" s="1"/>
  <c r="DE23" i="8"/>
  <c r="DE25" i="8" s="1"/>
  <c r="DD23" i="8"/>
  <c r="DD25" i="8" s="1"/>
  <c r="DD22" i="8"/>
  <c r="DD20" i="8"/>
  <c r="DE18" i="8"/>
  <c r="DE17" i="8" s="1"/>
  <c r="DD18" i="8"/>
  <c r="DD16" i="8"/>
  <c r="DD13" i="8"/>
  <c r="DD12" i="8"/>
  <c r="DC12" i="8" s="1"/>
  <c r="DD10" i="8"/>
  <c r="DE9" i="8"/>
  <c r="DD9" i="8"/>
  <c r="BL8" i="10"/>
  <c r="BL9" i="10"/>
  <c r="BL10" i="10"/>
  <c r="CZ146" i="7"/>
  <c r="CZ191" i="7" s="1"/>
  <c r="AP22" i="64" s="1"/>
  <c r="BG46" i="61"/>
  <c r="BG19" i="61"/>
  <c r="DG48" i="19"/>
  <c r="DG49" i="19" s="1"/>
  <c r="CY59" i="7" s="1"/>
  <c r="CY154" i="7" s="1"/>
  <c r="CY79" i="7"/>
  <c r="CZ79" i="7"/>
  <c r="CZ77" i="7" s="1"/>
  <c r="CY78" i="7"/>
  <c r="CZ189" i="7"/>
  <c r="CY54" i="7"/>
  <c r="CY42" i="7"/>
  <c r="CX42" i="7" s="1"/>
  <c r="CY34" i="7"/>
  <c r="CY26" i="7"/>
  <c r="CX26" i="7" s="1"/>
  <c r="CY16" i="7"/>
  <c r="CX16" i="7" s="1"/>
  <c r="CZ13" i="7"/>
  <c r="CZ149" i="7" s="1"/>
  <c r="CY48" i="7"/>
  <c r="CX48" i="7" s="1"/>
  <c r="CY39" i="7"/>
  <c r="CY31" i="7"/>
  <c r="CX31" i="7" s="1"/>
  <c r="CY23" i="7"/>
  <c r="CY25" i="7" s="1"/>
  <c r="CY13" i="7"/>
  <c r="CY15" i="7" s="1"/>
  <c r="CY45" i="7"/>
  <c r="CY44" i="7"/>
  <c r="CX44" i="7" s="1"/>
  <c r="CY36" i="7"/>
  <c r="CX36" i="7" s="1"/>
  <c r="CY29" i="7"/>
  <c r="CX29" i="7" s="1"/>
  <c r="CY20" i="7"/>
  <c r="CY38" i="7"/>
  <c r="CX38" i="7" s="1"/>
  <c r="CY28" i="7"/>
  <c r="CX28" i="7" s="1"/>
  <c r="CY22" i="7"/>
  <c r="CY12" i="7"/>
  <c r="CY10" i="7"/>
  <c r="CX10" i="7" s="1"/>
  <c r="CZ9" i="7"/>
  <c r="CZ144" i="7" s="1"/>
  <c r="CY9" i="7"/>
  <c r="V36" i="105"/>
  <c r="DD46" i="8" s="1"/>
  <c r="V33" i="105"/>
  <c r="CY56" i="7" s="1"/>
  <c r="CX56" i="7" s="1"/>
  <c r="BB67" i="32"/>
  <c r="BC67" i="32" s="1"/>
  <c r="BB68" i="32"/>
  <c r="BA66" i="32"/>
  <c r="BA68" i="32" s="1"/>
  <c r="BA64" i="32"/>
  <c r="BC64" i="32" s="1"/>
  <c r="BA62" i="32"/>
  <c r="BC62" i="32" s="1"/>
  <c r="DL48" i="19"/>
  <c r="DL49" i="19" s="1"/>
  <c r="R64" i="96"/>
  <c r="R67" i="96"/>
  <c r="DD19" i="8" s="1"/>
  <c r="DD102" i="8" s="1"/>
  <c r="BT63" i="3"/>
  <c r="AQ37" i="66" s="1"/>
  <c r="AQ38" i="66" s="1"/>
  <c r="BS63" i="3"/>
  <c r="DG120" i="8" s="1"/>
  <c r="DG62" i="8" s="1"/>
  <c r="R44" i="96"/>
  <c r="CY19" i="7" s="1"/>
  <c r="CY151" i="7" s="1"/>
  <c r="BS57" i="3"/>
  <c r="AK45" i="95"/>
  <c r="AK43" i="95" s="1"/>
  <c r="CY18" i="7" s="1"/>
  <c r="CX18" i="7" s="1"/>
  <c r="AK40" i="95"/>
  <c r="AK38" i="95" s="1"/>
  <c r="AK15" i="95"/>
  <c r="AK13" i="95" s="1"/>
  <c r="BT49" i="3"/>
  <c r="Q16" i="92"/>
  <c r="Q8" i="92"/>
  <c r="Q14" i="92" s="1"/>
  <c r="P8" i="92"/>
  <c r="P14" i="92" s="1"/>
  <c r="O8" i="92"/>
  <c r="O14" i="92" s="1"/>
  <c r="W31" i="105"/>
  <c r="X22" i="105"/>
  <c r="W22" i="105"/>
  <c r="W28" i="105" s="1"/>
  <c r="V22" i="105"/>
  <c r="V28" i="105" s="1"/>
  <c r="X21" i="105"/>
  <c r="X27" i="105" s="1"/>
  <c r="W21" i="105"/>
  <c r="W27" i="105" s="1"/>
  <c r="V21" i="105"/>
  <c r="V27" i="105" s="1"/>
  <c r="X20" i="105"/>
  <c r="X26" i="105" s="1"/>
  <c r="W20" i="105"/>
  <c r="W26" i="105" s="1"/>
  <c r="V20" i="105"/>
  <c r="V26" i="105" s="1"/>
  <c r="X14" i="105"/>
  <c r="W14" i="105"/>
  <c r="V14" i="105"/>
  <c r="X6" i="105"/>
  <c r="W6" i="105"/>
  <c r="V6" i="105"/>
  <c r="BE67" i="32"/>
  <c r="BF67" i="32" s="1"/>
  <c r="BB65" i="32"/>
  <c r="AB31" i="104"/>
  <c r="AA31" i="104"/>
  <c r="AB23" i="104"/>
  <c r="Z19" i="104"/>
  <c r="Z23" i="104" s="1"/>
  <c r="AA19" i="104"/>
  <c r="AA23" i="104" s="1"/>
  <c r="AB14" i="104"/>
  <c r="AA14" i="104"/>
  <c r="Z14" i="104"/>
  <c r="AC15" i="102"/>
  <c r="AC13" i="102" s="1"/>
  <c r="AB15" i="102"/>
  <c r="AB13" i="102" s="1"/>
  <c r="AA15" i="102"/>
  <c r="DD142" i="8" s="1"/>
  <c r="AR16" i="65" s="1"/>
  <c r="AC9" i="102"/>
  <c r="AC7" i="102" s="1"/>
  <c r="AB9" i="102"/>
  <c r="BH18" i="61" s="1"/>
  <c r="AA9" i="102"/>
  <c r="BG18" i="61" s="1"/>
  <c r="W10" i="100"/>
  <c r="DE47" i="7" s="1"/>
  <c r="DD47" i="7" s="1"/>
  <c r="U10" i="100"/>
  <c r="CY47" i="7" s="1"/>
  <c r="CX47" i="7" s="1"/>
  <c r="DP12" i="19"/>
  <c r="DY49" i="19"/>
  <c r="DR49" i="19"/>
  <c r="DK49" i="19"/>
  <c r="DT47" i="19"/>
  <c r="EA47" i="19" s="1"/>
  <c r="DM47" i="19"/>
  <c r="DF47" i="19"/>
  <c r="DT46" i="19"/>
  <c r="EA46" i="19" s="1"/>
  <c r="DM46" i="19"/>
  <c r="DF46" i="19"/>
  <c r="DT45" i="19"/>
  <c r="EA45" i="19" s="1"/>
  <c r="DM45" i="19"/>
  <c r="DF45" i="19"/>
  <c r="DT44" i="19"/>
  <c r="EA44" i="19" s="1"/>
  <c r="DM44" i="19"/>
  <c r="DF44" i="19"/>
  <c r="DT43" i="19"/>
  <c r="EA43" i="19" s="1"/>
  <c r="DM43" i="19"/>
  <c r="DF43" i="19"/>
  <c r="DT42" i="19"/>
  <c r="EA42" i="19" s="1"/>
  <c r="DM42" i="19"/>
  <c r="DF42" i="19"/>
  <c r="DT41" i="19"/>
  <c r="EA41" i="19" s="1"/>
  <c r="DM41" i="19"/>
  <c r="DF41" i="19"/>
  <c r="DT40" i="19"/>
  <c r="EA40" i="19" s="1"/>
  <c r="DM40" i="19"/>
  <c r="DF40" i="19"/>
  <c r="DT39" i="19"/>
  <c r="EA39" i="19" s="1"/>
  <c r="DM39" i="19"/>
  <c r="DF39" i="19"/>
  <c r="DT38" i="19"/>
  <c r="EA38" i="19" s="1"/>
  <c r="DM38" i="19"/>
  <c r="DF38" i="19"/>
  <c r="DT37" i="19"/>
  <c r="EA37" i="19" s="1"/>
  <c r="DM37" i="19"/>
  <c r="DF37" i="19"/>
  <c r="DT36" i="19"/>
  <c r="EA36" i="19" s="1"/>
  <c r="DM36" i="19"/>
  <c r="DF36" i="19"/>
  <c r="DT35" i="19"/>
  <c r="EA35" i="19" s="1"/>
  <c r="DM35" i="19"/>
  <c r="DF35" i="19"/>
  <c r="DT34" i="19"/>
  <c r="EA34" i="19" s="1"/>
  <c r="DM34" i="19"/>
  <c r="DF34" i="19"/>
  <c r="DT33" i="19"/>
  <c r="EA33" i="19" s="1"/>
  <c r="DM33" i="19"/>
  <c r="DF33" i="19"/>
  <c r="DT32" i="19"/>
  <c r="EA32" i="19" s="1"/>
  <c r="DM32" i="19"/>
  <c r="DF32" i="19"/>
  <c r="DT31" i="19"/>
  <c r="EA31" i="19" s="1"/>
  <c r="DM31" i="19"/>
  <c r="DF31" i="19"/>
  <c r="DM30" i="19"/>
  <c r="DF30" i="19"/>
  <c r="DT29" i="19"/>
  <c r="EA29" i="19" s="1"/>
  <c r="DM29" i="19"/>
  <c r="DF29" i="19"/>
  <c r="DT28" i="19"/>
  <c r="EA28" i="19" s="1"/>
  <c r="DM28" i="19"/>
  <c r="DF28" i="19"/>
  <c r="DF27" i="19"/>
  <c r="DT26" i="19"/>
  <c r="EA26" i="19" s="1"/>
  <c r="DT25" i="19"/>
  <c r="EA25" i="19" s="1"/>
  <c r="DM25" i="19"/>
  <c r="DF25" i="19"/>
  <c r="DT24" i="19"/>
  <c r="EA24" i="19" s="1"/>
  <c r="DM24" i="19"/>
  <c r="DF24" i="19"/>
  <c r="DT23" i="19"/>
  <c r="EA23" i="19" s="1"/>
  <c r="DM23" i="19"/>
  <c r="DF23" i="19"/>
  <c r="DT22" i="19"/>
  <c r="EA22" i="19" s="1"/>
  <c r="DM22" i="19"/>
  <c r="DF22" i="19"/>
  <c r="DT21" i="19"/>
  <c r="EA21" i="19" s="1"/>
  <c r="DM21" i="19"/>
  <c r="DF21" i="19"/>
  <c r="DT20" i="19"/>
  <c r="EA20" i="19" s="1"/>
  <c r="DM20" i="19"/>
  <c r="DF20" i="19"/>
  <c r="DT19" i="19"/>
  <c r="EA19" i="19" s="1"/>
  <c r="DM19" i="19"/>
  <c r="DF19" i="19"/>
  <c r="DT18" i="19"/>
  <c r="EA18" i="19" s="1"/>
  <c r="DM18" i="19"/>
  <c r="DF18" i="19"/>
  <c r="DT17" i="19"/>
  <c r="EA17" i="19" s="1"/>
  <c r="DM17" i="19"/>
  <c r="DF17" i="19"/>
  <c r="DT15" i="19"/>
  <c r="EA15" i="19" s="1"/>
  <c r="DM15" i="19"/>
  <c r="DF15" i="19"/>
  <c r="DY14" i="19"/>
  <c r="DR14" i="19"/>
  <c r="DK14" i="19"/>
  <c r="DZ12" i="19"/>
  <c r="DY12" i="19"/>
  <c r="DX12" i="19"/>
  <c r="DW12" i="19"/>
  <c r="DV12" i="19"/>
  <c r="DU12" i="19"/>
  <c r="DS12" i="19"/>
  <c r="DR12" i="19"/>
  <c r="DQ12" i="19"/>
  <c r="DO12" i="19"/>
  <c r="DN12" i="19"/>
  <c r="DL12" i="19"/>
  <c r="DK12" i="19"/>
  <c r="DJ12" i="19"/>
  <c r="DI12" i="19"/>
  <c r="DH12" i="19"/>
  <c r="DG12" i="19"/>
  <c r="DT11" i="19"/>
  <c r="DT10" i="19"/>
  <c r="DM11" i="19"/>
  <c r="DF11" i="19"/>
  <c r="DM10" i="19"/>
  <c r="DF10" i="19"/>
  <c r="DF14" i="19" s="1"/>
  <c r="DG14" i="19" s="1"/>
  <c r="DG13" i="19" s="1"/>
  <c r="DT9" i="19"/>
  <c r="EA9" i="19" s="1"/>
  <c r="DM9" i="19"/>
  <c r="DF9" i="19"/>
  <c r="DT8" i="19"/>
  <c r="EA8" i="19" s="1"/>
  <c r="DM8" i="19"/>
  <c r="DF8" i="19"/>
  <c r="S32" i="111"/>
  <c r="R32" i="111"/>
  <c r="Q32" i="111"/>
  <c r="R26" i="111"/>
  <c r="S26" i="111"/>
  <c r="Q26" i="111"/>
  <c r="DW36" i="17"/>
  <c r="DT36" i="17"/>
  <c r="DQ36" i="17"/>
  <c r="DW35" i="17"/>
  <c r="DT35" i="17"/>
  <c r="DQ35" i="17"/>
  <c r="DW34" i="17"/>
  <c r="DT34" i="17"/>
  <c r="DQ34" i="17"/>
  <c r="DW33" i="17"/>
  <c r="DT33" i="17"/>
  <c r="DQ33" i="17"/>
  <c r="DW32" i="17"/>
  <c r="DT32" i="17"/>
  <c r="DQ32" i="17"/>
  <c r="DX31" i="17"/>
  <c r="DV31" i="17"/>
  <c r="DU31" i="17"/>
  <c r="DS31" i="17"/>
  <c r="DR31" i="17"/>
  <c r="DP31" i="17"/>
  <c r="DW30" i="17"/>
  <c r="DT30" i="17"/>
  <c r="DQ30" i="17"/>
  <c r="DW29" i="17"/>
  <c r="DT29" i="17"/>
  <c r="DQ29" i="17"/>
  <c r="DW28" i="17"/>
  <c r="DT28" i="17"/>
  <c r="DQ28" i="17"/>
  <c r="DW27" i="17"/>
  <c r="DT27" i="17"/>
  <c r="DQ27" i="17"/>
  <c r="DW26" i="17"/>
  <c r="DT26" i="17"/>
  <c r="DQ26" i="17"/>
  <c r="DW25" i="17"/>
  <c r="DT25" i="17"/>
  <c r="DQ25" i="17"/>
  <c r="DX24" i="17"/>
  <c r="DV24" i="17"/>
  <c r="DU24" i="17"/>
  <c r="DS24" i="17"/>
  <c r="DR24" i="17"/>
  <c r="DP24" i="17"/>
  <c r="T67" i="96"/>
  <c r="DJ19" i="8" s="1"/>
  <c r="T59" i="96"/>
  <c r="U59" i="96" s="1"/>
  <c r="S59" i="96"/>
  <c r="R59" i="96"/>
  <c r="T54" i="96"/>
  <c r="U54" i="96" s="1"/>
  <c r="U55" i="96" s="1"/>
  <c r="S54" i="96"/>
  <c r="R54" i="96"/>
  <c r="T49" i="96"/>
  <c r="S49" i="96"/>
  <c r="R49" i="96"/>
  <c r="T44" i="96"/>
  <c r="DE19" i="7" s="1"/>
  <c r="DD19" i="7" s="1"/>
  <c r="DD151" i="7" s="1"/>
  <c r="T36" i="96"/>
  <c r="S36" i="96"/>
  <c r="R36" i="96"/>
  <c r="T31" i="96"/>
  <c r="S31" i="96"/>
  <c r="R31" i="96"/>
  <c r="T26" i="96"/>
  <c r="U26" i="96" s="1"/>
  <c r="S26" i="96"/>
  <c r="R26" i="96"/>
  <c r="T21" i="96"/>
  <c r="S21" i="96"/>
  <c r="R21" i="96"/>
  <c r="T16" i="96"/>
  <c r="U16" i="96" s="1"/>
  <c r="S16" i="96"/>
  <c r="R16" i="96"/>
  <c r="T11" i="96"/>
  <c r="S11" i="96"/>
  <c r="R11" i="96"/>
  <c r="BQ18" i="10"/>
  <c r="BP18" i="10"/>
  <c r="BN18" i="10"/>
  <c r="BM18" i="10"/>
  <c r="BK18" i="10"/>
  <c r="BJ18" i="10"/>
  <c r="BO17" i="10"/>
  <c r="BI17" i="10"/>
  <c r="BO16" i="10"/>
  <c r="DH27" i="8"/>
  <c r="BL16" i="10"/>
  <c r="BI16" i="10"/>
  <c r="BO15" i="10"/>
  <c r="BL15" i="10"/>
  <c r="BI15" i="10"/>
  <c r="BO14" i="10"/>
  <c r="BI14" i="10"/>
  <c r="BQ13" i="10"/>
  <c r="BP13" i="10"/>
  <c r="BN13" i="10"/>
  <c r="BM13" i="10"/>
  <c r="BK13" i="10"/>
  <c r="BJ13" i="10"/>
  <c r="BO11" i="10"/>
  <c r="BL11" i="10"/>
  <c r="BI11" i="10"/>
  <c r="BO10" i="10"/>
  <c r="BI10" i="10"/>
  <c r="BO9" i="10"/>
  <c r="CZ27" i="7"/>
  <c r="BI9" i="10"/>
  <c r="BO8" i="10"/>
  <c r="BI8" i="10"/>
  <c r="BO7" i="10"/>
  <c r="BL7" i="10"/>
  <c r="BI7" i="10"/>
  <c r="AL41" i="98"/>
  <c r="AK41" i="98"/>
  <c r="AJ41" i="98"/>
  <c r="AL40" i="98"/>
  <c r="AK40" i="98"/>
  <c r="AJ40" i="98"/>
  <c r="AL34" i="98"/>
  <c r="AJ34" i="98"/>
  <c r="AL29" i="98"/>
  <c r="AK29" i="98"/>
  <c r="AJ29" i="98"/>
  <c r="AL19" i="98"/>
  <c r="AK19" i="98"/>
  <c r="AJ19" i="98"/>
  <c r="AL14" i="98"/>
  <c r="AK14" i="98"/>
  <c r="AJ14" i="98"/>
  <c r="AL31" i="95"/>
  <c r="AL50" i="95" s="1"/>
  <c r="AM43" i="95"/>
  <c r="AM31" i="95"/>
  <c r="AM50" i="95" s="1"/>
  <c r="AK31" i="95"/>
  <c r="AK50" i="95" s="1"/>
  <c r="AM30" i="95"/>
  <c r="AM49" i="95" s="1"/>
  <c r="AL30" i="95"/>
  <c r="AK30" i="95"/>
  <c r="AL26" i="95"/>
  <c r="AK26" i="95"/>
  <c r="AM24" i="95"/>
  <c r="AL24" i="95"/>
  <c r="AK24" i="95"/>
  <c r="AM18" i="95"/>
  <c r="AM28" i="95" s="1"/>
  <c r="AL18" i="95"/>
  <c r="AL28" i="95" s="1"/>
  <c r="AK18" i="95"/>
  <c r="AK28" i="95" s="1"/>
  <c r="BA46" i="6"/>
  <c r="AZ46" i="6"/>
  <c r="AY46" i="6"/>
  <c r="BA25" i="6"/>
  <c r="AZ25" i="6"/>
  <c r="AZ18" i="6"/>
  <c r="AY25" i="6"/>
  <c r="BA18" i="6"/>
  <c r="BA45" i="6" s="1"/>
  <c r="AY18" i="6"/>
  <c r="BA13" i="6"/>
  <c r="BB13" i="6" s="1"/>
  <c r="AZ13" i="6"/>
  <c r="AY13" i="6"/>
  <c r="BA11" i="6"/>
  <c r="AZ11" i="6"/>
  <c r="AY11" i="6"/>
  <c r="BF47" i="5"/>
  <c r="BE47" i="5"/>
  <c r="BD47" i="5"/>
  <c r="BF26" i="5"/>
  <c r="BE26" i="5"/>
  <c r="BE17" i="5"/>
  <c r="BD26" i="5"/>
  <c r="BF17" i="5"/>
  <c r="BD17" i="5"/>
  <c r="BF12" i="5"/>
  <c r="BG12" i="5" s="1"/>
  <c r="BE12" i="5"/>
  <c r="BD12" i="5"/>
  <c r="BF10" i="5"/>
  <c r="BE10" i="5"/>
  <c r="BD10" i="5"/>
  <c r="AR25" i="66"/>
  <c r="AQ25" i="66"/>
  <c r="AP25" i="66"/>
  <c r="AR22" i="66"/>
  <c r="AQ22" i="66"/>
  <c r="AP22" i="66"/>
  <c r="AR21" i="66"/>
  <c r="AQ21" i="66"/>
  <c r="AP21" i="66"/>
  <c r="AR20" i="66"/>
  <c r="AQ20" i="66"/>
  <c r="AP20" i="66"/>
  <c r="AR19" i="66"/>
  <c r="AQ19" i="66"/>
  <c r="AP19" i="66"/>
  <c r="AR24" i="64"/>
  <c r="AQ24" i="64"/>
  <c r="AP24" i="64"/>
  <c r="AR21" i="64"/>
  <c r="AQ21" i="64"/>
  <c r="AP21" i="64"/>
  <c r="AR20" i="64"/>
  <c r="AQ20" i="64"/>
  <c r="AP20" i="64"/>
  <c r="AR19" i="64"/>
  <c r="AQ19" i="64"/>
  <c r="AP19" i="64"/>
  <c r="AR18" i="64"/>
  <c r="AQ18" i="64"/>
  <c r="AP18" i="64"/>
  <c r="BH46" i="61"/>
  <c r="BI33" i="61"/>
  <c r="BH33" i="61"/>
  <c r="BG33" i="61"/>
  <c r="DK128" i="8"/>
  <c r="DJ128" i="8"/>
  <c r="DI128" i="8"/>
  <c r="DH128" i="8"/>
  <c r="DG128" i="8"/>
  <c r="DF128" i="8"/>
  <c r="DE128" i="8"/>
  <c r="DD128" i="8"/>
  <c r="DC128" i="8"/>
  <c r="DK125" i="8"/>
  <c r="DJ125" i="8"/>
  <c r="DI125" i="8"/>
  <c r="DH125" i="8"/>
  <c r="DG125" i="8"/>
  <c r="DF125" i="8"/>
  <c r="DE125" i="8"/>
  <c r="DD125" i="8"/>
  <c r="DC125" i="8"/>
  <c r="DI122" i="8"/>
  <c r="DF122" i="8"/>
  <c r="DC122" i="8"/>
  <c r="DK110" i="8"/>
  <c r="DJ110" i="8"/>
  <c r="DH110" i="8"/>
  <c r="DG110" i="8"/>
  <c r="DE110" i="8"/>
  <c r="DD110" i="8"/>
  <c r="DK109" i="8"/>
  <c r="DK140" i="8" s="1"/>
  <c r="DH109" i="8"/>
  <c r="DH140" i="8" s="1"/>
  <c r="DG109" i="8"/>
  <c r="DF51" i="8"/>
  <c r="DF109" i="8" s="1"/>
  <c r="DE109" i="8"/>
  <c r="DE140" i="8" s="1"/>
  <c r="DD109" i="8"/>
  <c r="DD140" i="8" s="1"/>
  <c r="DK106" i="8"/>
  <c r="DK143" i="8" s="1"/>
  <c r="DJ106" i="8"/>
  <c r="AT17" i="65" s="1"/>
  <c r="DH106" i="8"/>
  <c r="DH143" i="8" s="1"/>
  <c r="DG106" i="8"/>
  <c r="AS17" i="65" s="1"/>
  <c r="DE106" i="8"/>
  <c r="DE143" i="8" s="1"/>
  <c r="DD106" i="8"/>
  <c r="AR17" i="65" s="1"/>
  <c r="DK103" i="8"/>
  <c r="DH103" i="8"/>
  <c r="DE103" i="8"/>
  <c r="DK102" i="8"/>
  <c r="DH102" i="8"/>
  <c r="DE102" i="8"/>
  <c r="DK101" i="8"/>
  <c r="DJ101" i="8"/>
  <c r="DH101" i="8"/>
  <c r="DG101" i="8"/>
  <c r="DF14" i="8"/>
  <c r="DF24" i="8"/>
  <c r="DF30" i="8"/>
  <c r="DF39" i="8"/>
  <c r="DE101" i="8"/>
  <c r="DD101" i="8"/>
  <c r="DK99" i="8"/>
  <c r="DH99" i="8"/>
  <c r="DE99" i="8"/>
  <c r="DI52" i="8"/>
  <c r="DI110" i="8" s="1"/>
  <c r="DF52" i="8"/>
  <c r="DF110" i="8" s="1"/>
  <c r="DC52" i="8"/>
  <c r="DC110" i="8" s="1"/>
  <c r="DC51" i="8"/>
  <c r="DC109" i="8" s="1"/>
  <c r="DK108" i="8"/>
  <c r="DH108" i="8"/>
  <c r="DG108" i="8"/>
  <c r="DE108" i="8"/>
  <c r="DD108" i="8"/>
  <c r="DI48" i="8"/>
  <c r="DI106" i="8" s="1"/>
  <c r="DF48" i="8"/>
  <c r="DF106" i="8" s="1"/>
  <c r="DC48" i="8"/>
  <c r="DC106" i="8" s="1"/>
  <c r="DH46" i="8"/>
  <c r="DH44" i="8"/>
  <c r="DH43" i="8"/>
  <c r="DI39" i="8"/>
  <c r="DC39" i="8"/>
  <c r="DI36" i="8"/>
  <c r="DF36" i="8"/>
  <c r="DC36" i="8"/>
  <c r="DH34" i="8"/>
  <c r="DE34" i="8"/>
  <c r="DI30" i="8"/>
  <c r="DC30" i="8"/>
  <c r="DI24" i="8"/>
  <c r="DC24" i="8"/>
  <c r="DI21" i="8"/>
  <c r="DF21" i="8"/>
  <c r="DC21" i="8"/>
  <c r="DI14" i="8"/>
  <c r="DC14" i="8"/>
  <c r="DI11" i="8"/>
  <c r="DF11" i="8"/>
  <c r="DC11" i="8"/>
  <c r="DF190" i="7"/>
  <c r="DE190" i="7"/>
  <c r="DC190" i="7"/>
  <c r="DB190" i="7"/>
  <c r="CZ190" i="7"/>
  <c r="CY190" i="7"/>
  <c r="DF175" i="7"/>
  <c r="DE175" i="7"/>
  <c r="DD175" i="7"/>
  <c r="DC175" i="7"/>
  <c r="DB175" i="7"/>
  <c r="DA175" i="7"/>
  <c r="CZ175" i="7"/>
  <c r="CY175" i="7"/>
  <c r="CX175" i="7"/>
  <c r="DF172" i="7"/>
  <c r="DE172" i="7"/>
  <c r="DD172" i="7"/>
  <c r="DC172" i="7"/>
  <c r="DB172" i="7"/>
  <c r="DA172" i="7"/>
  <c r="CZ172" i="7"/>
  <c r="CY172" i="7"/>
  <c r="CX172" i="7"/>
  <c r="DF169" i="7"/>
  <c r="DE169" i="7"/>
  <c r="DD169" i="7"/>
  <c r="DC169" i="7"/>
  <c r="DB169" i="7"/>
  <c r="DA169" i="7"/>
  <c r="CZ169" i="7"/>
  <c r="CY169" i="7"/>
  <c r="CX169" i="7"/>
  <c r="DF159" i="7"/>
  <c r="DE159" i="7"/>
  <c r="DD159" i="7"/>
  <c r="DC159" i="7"/>
  <c r="DB159" i="7"/>
  <c r="DA159" i="7"/>
  <c r="CZ159" i="7"/>
  <c r="CY159" i="7"/>
  <c r="CX159" i="7"/>
  <c r="DF158" i="7"/>
  <c r="DF187" i="7" s="1"/>
  <c r="DC158" i="7"/>
  <c r="DC187" i="7" s="1"/>
  <c r="DB158" i="7"/>
  <c r="CZ158" i="7"/>
  <c r="CZ187" i="7" s="1"/>
  <c r="CY158" i="7"/>
  <c r="CY187" i="7" s="1"/>
  <c r="DF155" i="7"/>
  <c r="DE155" i="7"/>
  <c r="DC155" i="7"/>
  <c r="DB155" i="7"/>
  <c r="CZ155" i="7"/>
  <c r="CY155" i="7"/>
  <c r="DF152" i="7"/>
  <c r="DC152" i="7"/>
  <c r="CZ152" i="7"/>
  <c r="DF151" i="7"/>
  <c r="DC151" i="7"/>
  <c r="CZ151" i="7"/>
  <c r="DF150" i="7"/>
  <c r="DE150" i="7"/>
  <c r="DC150" i="7"/>
  <c r="DB150" i="7"/>
  <c r="DA14" i="7"/>
  <c r="DA24" i="7"/>
  <c r="DA32" i="7"/>
  <c r="DA40" i="7"/>
  <c r="DA49" i="7"/>
  <c r="CZ150" i="7"/>
  <c r="CY150" i="7"/>
  <c r="DF148" i="7"/>
  <c r="DC148" i="7"/>
  <c r="DA46" i="7"/>
  <c r="CZ148" i="7"/>
  <c r="DD62" i="7"/>
  <c r="DD155" i="7" s="1"/>
  <c r="DA62" i="7"/>
  <c r="DA155" i="7" s="1"/>
  <c r="CX62" i="7"/>
  <c r="CX155" i="7" s="1"/>
  <c r="DE61" i="7"/>
  <c r="DD61" i="7" s="1"/>
  <c r="DD158" i="7" s="1"/>
  <c r="DA61" i="7"/>
  <c r="DA158" i="7" s="1"/>
  <c r="CX61" i="7"/>
  <c r="CX158" i="7" s="1"/>
  <c r="DF60" i="7"/>
  <c r="AR17" i="64" s="1"/>
  <c r="DE60" i="7"/>
  <c r="DE157" i="7" s="1"/>
  <c r="DC60" i="7"/>
  <c r="DC157" i="7" s="1"/>
  <c r="DB60" i="7"/>
  <c r="DB157" i="7" s="1"/>
  <c r="CZ60" i="7"/>
  <c r="AP17" i="64" s="1"/>
  <c r="CY60" i="7"/>
  <c r="CY157" i="7" s="1"/>
  <c r="DE58" i="7"/>
  <c r="DD58" i="7" s="1"/>
  <c r="DB58" i="7"/>
  <c r="DA58" i="7" s="1"/>
  <c r="CX58" i="7"/>
  <c r="DD55" i="7"/>
  <c r="DA55" i="7"/>
  <c r="CX55" i="7"/>
  <c r="DC54" i="7"/>
  <c r="DC52" i="7" s="1"/>
  <c r="DC153" i="7" s="1"/>
  <c r="DC188" i="7" s="1"/>
  <c r="AQ16" i="64" s="1"/>
  <c r="CZ54" i="7"/>
  <c r="DD49" i="7"/>
  <c r="CX49" i="7"/>
  <c r="DD46" i="7"/>
  <c r="CX46" i="7"/>
  <c r="DF43" i="7"/>
  <c r="DC43" i="7"/>
  <c r="CZ43" i="7"/>
  <c r="DD40" i="7"/>
  <c r="CX40" i="7"/>
  <c r="DD37" i="7"/>
  <c r="DA37" i="7"/>
  <c r="CX37" i="7"/>
  <c r="CZ35" i="7"/>
  <c r="DF35" i="7"/>
  <c r="DD32" i="7"/>
  <c r="CX32" i="7"/>
  <c r="DD30" i="7"/>
  <c r="DA30" i="7"/>
  <c r="CX30" i="7"/>
  <c r="DD24" i="7"/>
  <c r="CX24" i="7"/>
  <c r="DD21" i="7"/>
  <c r="DA21" i="7"/>
  <c r="CX21" i="7"/>
  <c r="DD14" i="7"/>
  <c r="CX14" i="7"/>
  <c r="DD11" i="7"/>
  <c r="DA11" i="7"/>
  <c r="CX11" i="7"/>
  <c r="Z31" i="104"/>
  <c r="BE68" i="32"/>
  <c r="DC50" i="8"/>
  <c r="DC108" i="8" s="1"/>
  <c r="DF50" i="8"/>
  <c r="DF108" i="8" s="1"/>
  <c r="DT27" i="19"/>
  <c r="EA27" i="19" s="1"/>
  <c r="DF26" i="19"/>
  <c r="DC35" i="7"/>
  <c r="CZ17" i="7"/>
  <c r="DK34" i="8"/>
  <c r="DC27" i="7"/>
  <c r="BU66" i="3"/>
  <c r="BS66" i="3"/>
  <c r="BQ66" i="3"/>
  <c r="BU53" i="3"/>
  <c r="BQ53" i="3"/>
  <c r="BV63" i="3"/>
  <c r="BU63" i="3"/>
  <c r="BR63" i="3"/>
  <c r="AJ12" i="98" s="1"/>
  <c r="AJ27" i="98" s="1"/>
  <c r="BQ63" i="3"/>
  <c r="BU57" i="3"/>
  <c r="BG63" i="32" s="1"/>
  <c r="BI63" i="32" s="1"/>
  <c r="BQ57" i="3"/>
  <c r="BA63" i="32" s="1"/>
  <c r="BS53" i="3"/>
  <c r="BV49" i="3"/>
  <c r="BV46" i="3" s="1"/>
  <c r="BV44" i="3" s="1"/>
  <c r="BR49" i="3"/>
  <c r="BA65" i="32" s="1"/>
  <c r="AN25" i="66"/>
  <c r="AN22" i="66"/>
  <c r="AN21" i="66"/>
  <c r="AN20" i="66"/>
  <c r="AN19" i="66"/>
  <c r="AL25" i="66"/>
  <c r="AL22" i="66"/>
  <c r="AL21" i="66"/>
  <c r="AL20" i="66"/>
  <c r="AL19" i="66"/>
  <c r="AN46" i="65"/>
  <c r="AL24" i="64"/>
  <c r="AL21" i="64"/>
  <c r="AL20" i="64"/>
  <c r="AL19" i="64"/>
  <c r="AL18" i="64"/>
  <c r="BC46" i="61"/>
  <c r="BC33" i="61"/>
  <c r="S36" i="104"/>
  <c r="CX35" i="8"/>
  <c r="CX32" i="8"/>
  <c r="CY128" i="8"/>
  <c r="CX128" i="8"/>
  <c r="CW128" i="8"/>
  <c r="CY125" i="8"/>
  <c r="CX125" i="8"/>
  <c r="CW125" i="8"/>
  <c r="CW122" i="8"/>
  <c r="CY110" i="8"/>
  <c r="CX110" i="8"/>
  <c r="CY109" i="8"/>
  <c r="CY140" i="8" s="1"/>
  <c r="CY108" i="8"/>
  <c r="CY142" i="8" s="1"/>
  <c r="AL18" i="66" s="1"/>
  <c r="CY106" i="8"/>
  <c r="CY103" i="8"/>
  <c r="CY102" i="8"/>
  <c r="CY101" i="8"/>
  <c r="CX101" i="8"/>
  <c r="CY99" i="8"/>
  <c r="CY69" i="8"/>
  <c r="CY67" i="8" s="1"/>
  <c r="CX69" i="8"/>
  <c r="CW52" i="8"/>
  <c r="CW110" i="8" s="1"/>
  <c r="CW39" i="8"/>
  <c r="CW36" i="8"/>
  <c r="CY35" i="8"/>
  <c r="CY34" i="8" s="1"/>
  <c r="CY32" i="8"/>
  <c r="CW30" i="8"/>
  <c r="CW24" i="8"/>
  <c r="CX20" i="8"/>
  <c r="CX10" i="8"/>
  <c r="CT190" i="7"/>
  <c r="CT78" i="7"/>
  <c r="CT77" i="7" s="1"/>
  <c r="CT175" i="7"/>
  <c r="CS175" i="7"/>
  <c r="CR175" i="7"/>
  <c r="CT172" i="7"/>
  <c r="CS172" i="7"/>
  <c r="CR172" i="7"/>
  <c r="CT169" i="7"/>
  <c r="CS169" i="7"/>
  <c r="CR169" i="7"/>
  <c r="CT159" i="7"/>
  <c r="CS159" i="7"/>
  <c r="CT158" i="7"/>
  <c r="CT187" i="7" s="1"/>
  <c r="CT155" i="7"/>
  <c r="CT152" i="7"/>
  <c r="CT151" i="7"/>
  <c r="CT150" i="7"/>
  <c r="CS150" i="7"/>
  <c r="CT148" i="7"/>
  <c r="CR64" i="7"/>
  <c r="CR159" i="7" s="1"/>
  <c r="CS61" i="7"/>
  <c r="CS158" i="7" s="1"/>
  <c r="CS187" i="7" s="1"/>
  <c r="CT60" i="7"/>
  <c r="CT157" i="7" s="1"/>
  <c r="CS58" i="7"/>
  <c r="CR58" i="7" s="1"/>
  <c r="X20" i="104"/>
  <c r="CT54" i="7" s="1"/>
  <c r="S11" i="104"/>
  <c r="CS36" i="7"/>
  <c r="CS29" i="7"/>
  <c r="CR29" i="7" s="1"/>
  <c r="CS20" i="7"/>
  <c r="CS10" i="7"/>
  <c r="CR10" i="7" s="1"/>
  <c r="CR55" i="7"/>
  <c r="CR49" i="7"/>
  <c r="CS47" i="7"/>
  <c r="CR47" i="7" s="1"/>
  <c r="CS44" i="7"/>
  <c r="CR44" i="7" s="1"/>
  <c r="CT43" i="7"/>
  <c r="CR40" i="7"/>
  <c r="CR37" i="7"/>
  <c r="CT36" i="7"/>
  <c r="CR32" i="7"/>
  <c r="CR30" i="7"/>
  <c r="CR24" i="7"/>
  <c r="CR21" i="7"/>
  <c r="CT20" i="7"/>
  <c r="CR14" i="7"/>
  <c r="CR11" i="7"/>
  <c r="AM31" i="66"/>
  <c r="AM30" i="66"/>
  <c r="AM28" i="66"/>
  <c r="AM27" i="66"/>
  <c r="AM26" i="66"/>
  <c r="AP42" i="65"/>
  <c r="AP41" i="65"/>
  <c r="AQ37" i="65"/>
  <c r="AO37" i="65"/>
  <c r="AP33" i="65"/>
  <c r="CV50" i="8"/>
  <c r="AM30" i="64"/>
  <c r="AM29" i="64"/>
  <c r="AM27" i="64"/>
  <c r="AM26" i="64"/>
  <c r="AM25" i="64"/>
  <c r="BD39" i="61"/>
  <c r="BD38" i="61"/>
  <c r="BD21" i="61"/>
  <c r="BD20" i="61"/>
  <c r="BB33" i="61"/>
  <c r="BB46" i="61"/>
  <c r="CV69" i="8"/>
  <c r="CV67" i="8" s="1"/>
  <c r="CU69" i="8"/>
  <c r="CU68" i="8"/>
  <c r="CV66" i="8"/>
  <c r="CU66" i="8"/>
  <c r="CU51" i="8"/>
  <c r="CU109" i="8" s="1"/>
  <c r="AM14" i="65" s="1"/>
  <c r="CU44" i="8"/>
  <c r="CU43" i="8"/>
  <c r="CU41" i="8"/>
  <c r="CT41" i="8" s="1"/>
  <c r="CU37" i="8"/>
  <c r="CT37" i="8" s="1"/>
  <c r="CU33" i="8"/>
  <c r="CT33" i="8" s="1"/>
  <c r="CU28" i="8"/>
  <c r="CT28" i="8" s="1"/>
  <c r="CU26" i="8"/>
  <c r="CU22" i="8"/>
  <c r="CT22" i="8" s="1"/>
  <c r="CU20" i="8"/>
  <c r="CV18" i="8"/>
  <c r="CU18" i="8"/>
  <c r="CU16" i="8"/>
  <c r="CT16" i="8" s="1"/>
  <c r="CU13" i="8"/>
  <c r="CU12" i="8"/>
  <c r="CT12" i="8" s="1"/>
  <c r="CV10" i="8"/>
  <c r="CU10" i="8"/>
  <c r="CV9" i="8"/>
  <c r="CU9" i="8"/>
  <c r="CV128" i="8"/>
  <c r="CU128" i="8"/>
  <c r="CT128" i="8"/>
  <c r="CV125" i="8"/>
  <c r="CU125" i="8"/>
  <c r="CT125" i="8"/>
  <c r="CT122" i="8"/>
  <c r="CV110" i="8"/>
  <c r="CU110" i="8"/>
  <c r="CV109" i="8"/>
  <c r="CV140" i="8" s="1"/>
  <c r="CV106" i="8"/>
  <c r="CV143" i="8" s="1"/>
  <c r="CU106" i="8"/>
  <c r="CU143" i="8" s="1"/>
  <c r="CV103" i="8"/>
  <c r="CV102" i="8"/>
  <c r="CV101" i="8"/>
  <c r="CU101" i="8"/>
  <c r="CV99" i="8"/>
  <c r="CT52" i="8"/>
  <c r="CT110" i="8" s="1"/>
  <c r="CT48" i="8"/>
  <c r="CT106" i="8" s="1"/>
  <c r="CV43" i="8"/>
  <c r="CT39" i="8"/>
  <c r="CU38" i="8"/>
  <c r="CT38" i="8" s="1"/>
  <c r="CT36" i="8"/>
  <c r="CV35" i="8"/>
  <c r="CV34" i="8" s="1"/>
  <c r="CU35" i="8"/>
  <c r="CV32" i="8"/>
  <c r="CV27" i="8" s="1"/>
  <c r="CU32" i="8"/>
  <c r="CT30" i="8"/>
  <c r="CU29" i="8"/>
  <c r="CT24" i="8"/>
  <c r="CV23" i="8"/>
  <c r="CU23" i="8"/>
  <c r="CU25" i="8" s="1"/>
  <c r="CT21" i="8"/>
  <c r="CV20" i="8"/>
  <c r="CT14" i="8"/>
  <c r="CT11" i="8"/>
  <c r="CQ190" i="7"/>
  <c r="CQ79" i="7"/>
  <c r="CQ77" i="7" s="1"/>
  <c r="CP79" i="7"/>
  <c r="CP78" i="7"/>
  <c r="CQ76" i="7"/>
  <c r="CP76" i="7"/>
  <c r="CQ148" i="7"/>
  <c r="CP54" i="7"/>
  <c r="CQ43" i="7"/>
  <c r="CQ9" i="7"/>
  <c r="CQ144" i="7" s="1"/>
  <c r="CW21" i="8"/>
  <c r="CY20" i="8"/>
  <c r="CW14" i="8"/>
  <c r="CW11" i="8"/>
  <c r="CY10" i="8"/>
  <c r="CY9" i="8"/>
  <c r="C67" i="134"/>
  <c r="F67" i="134" s="1"/>
  <c r="B67" i="134"/>
  <c r="E67" i="134" s="1"/>
  <c r="C66" i="134"/>
  <c r="F66" i="134" s="1"/>
  <c r="B66" i="134"/>
  <c r="E66" i="134" s="1"/>
  <c r="C65" i="134"/>
  <c r="F65" i="134" s="1"/>
  <c r="B65" i="134"/>
  <c r="E65" i="134" s="1"/>
  <c r="C64" i="134"/>
  <c r="F64" i="134" s="1"/>
  <c r="B64" i="134"/>
  <c r="E64" i="134" s="1"/>
  <c r="C63" i="134"/>
  <c r="F63" i="134" s="1"/>
  <c r="B63" i="134"/>
  <c r="E63" i="134" s="1"/>
  <c r="C62" i="134"/>
  <c r="F62" i="134" s="1"/>
  <c r="B62" i="134"/>
  <c r="E62" i="134" s="1"/>
  <c r="C61" i="134"/>
  <c r="F61" i="134" s="1"/>
  <c r="B61" i="134"/>
  <c r="E61" i="134" s="1"/>
  <c r="C60" i="134"/>
  <c r="F60" i="134" s="1"/>
  <c r="B60" i="134"/>
  <c r="E60" i="134" s="1"/>
  <c r="C59" i="134"/>
  <c r="F59" i="134" s="1"/>
  <c r="B59" i="134"/>
  <c r="E59" i="134" s="1"/>
  <c r="C58" i="134"/>
  <c r="F58" i="134" s="1"/>
  <c r="B58" i="134"/>
  <c r="E58" i="134" s="1"/>
  <c r="C57" i="134"/>
  <c r="F57" i="134" s="1"/>
  <c r="B57" i="134"/>
  <c r="E57" i="134" s="1"/>
  <c r="C56" i="134"/>
  <c r="B56" i="134"/>
  <c r="E56" i="134" s="1"/>
  <c r="C50" i="134"/>
  <c r="B50" i="134"/>
  <c r="E50" i="134" s="1"/>
  <c r="C49" i="134"/>
  <c r="F49" i="134" s="1"/>
  <c r="B49" i="134"/>
  <c r="E49" i="134" s="1"/>
  <c r="C48" i="134"/>
  <c r="F48" i="134" s="1"/>
  <c r="B48" i="134"/>
  <c r="E48" i="134" s="1"/>
  <c r="C47" i="134"/>
  <c r="F47" i="134" s="1"/>
  <c r="B47" i="134"/>
  <c r="E47" i="134" s="1"/>
  <c r="C46" i="134"/>
  <c r="F46" i="134" s="1"/>
  <c r="B46" i="134"/>
  <c r="E46" i="134" s="1"/>
  <c r="C45" i="134"/>
  <c r="F45" i="134" s="1"/>
  <c r="B45" i="134"/>
  <c r="E45" i="134" s="1"/>
  <c r="C44" i="134"/>
  <c r="F44" i="134" s="1"/>
  <c r="B44" i="134"/>
  <c r="E44" i="134" s="1"/>
  <c r="C43" i="134"/>
  <c r="F43" i="134" s="1"/>
  <c r="B43" i="134"/>
  <c r="E43" i="134" s="1"/>
  <c r="C42" i="134"/>
  <c r="F42" i="134" s="1"/>
  <c r="B42" i="134"/>
  <c r="E42" i="134" s="1"/>
  <c r="C41" i="134"/>
  <c r="F41" i="134" s="1"/>
  <c r="B41" i="134"/>
  <c r="E41" i="134" s="1"/>
  <c r="C40" i="134"/>
  <c r="F40" i="134" s="1"/>
  <c r="B40" i="134"/>
  <c r="C39" i="134"/>
  <c r="F39" i="134" s="1"/>
  <c r="B39" i="134"/>
  <c r="E39" i="134" s="1"/>
  <c r="C33" i="134"/>
  <c r="F33" i="134" s="1"/>
  <c r="B33" i="134"/>
  <c r="E33" i="134" s="1"/>
  <c r="C32" i="134"/>
  <c r="F32" i="134" s="1"/>
  <c r="B32" i="134"/>
  <c r="E32" i="134" s="1"/>
  <c r="C31" i="134"/>
  <c r="F31" i="134" s="1"/>
  <c r="B31" i="134"/>
  <c r="E31" i="134" s="1"/>
  <c r="C30" i="134"/>
  <c r="F30" i="134" s="1"/>
  <c r="B30" i="134"/>
  <c r="E30" i="134" s="1"/>
  <c r="C29" i="134"/>
  <c r="F29" i="134" s="1"/>
  <c r="B29" i="134"/>
  <c r="E29" i="134" s="1"/>
  <c r="C28" i="134"/>
  <c r="F28" i="134" s="1"/>
  <c r="B28" i="134"/>
  <c r="E28" i="134" s="1"/>
  <c r="C27" i="134"/>
  <c r="F27" i="134" s="1"/>
  <c r="B27" i="134"/>
  <c r="E27" i="134" s="1"/>
  <c r="C26" i="134"/>
  <c r="F26" i="134" s="1"/>
  <c r="B26" i="134"/>
  <c r="E26" i="134" s="1"/>
  <c r="C25" i="134"/>
  <c r="F25" i="134" s="1"/>
  <c r="B25" i="134"/>
  <c r="E25" i="134" s="1"/>
  <c r="C24" i="134"/>
  <c r="F24" i="134" s="1"/>
  <c r="B24" i="134"/>
  <c r="E24" i="134" s="1"/>
  <c r="C23" i="134"/>
  <c r="F23" i="134" s="1"/>
  <c r="B23" i="134"/>
  <c r="E23" i="134" s="1"/>
  <c r="C22" i="134"/>
  <c r="F22" i="134" s="1"/>
  <c r="B22" i="134"/>
  <c r="C16" i="134"/>
  <c r="F16" i="134" s="1"/>
  <c r="B16" i="134"/>
  <c r="E16" i="134" s="1"/>
  <c r="C15" i="134"/>
  <c r="F15" i="134" s="1"/>
  <c r="B15" i="134"/>
  <c r="E15" i="134" s="1"/>
  <c r="C14" i="134"/>
  <c r="F14" i="134" s="1"/>
  <c r="B14" i="134"/>
  <c r="E14" i="134" s="1"/>
  <c r="C13" i="134"/>
  <c r="F13" i="134" s="1"/>
  <c r="B13" i="134"/>
  <c r="E13" i="134" s="1"/>
  <c r="C12" i="134"/>
  <c r="F12" i="134" s="1"/>
  <c r="B12" i="134"/>
  <c r="E12" i="134" s="1"/>
  <c r="C11" i="134"/>
  <c r="F11" i="134" s="1"/>
  <c r="B11" i="134"/>
  <c r="E11" i="134" s="1"/>
  <c r="C10" i="134"/>
  <c r="F10" i="134" s="1"/>
  <c r="B10" i="134"/>
  <c r="E10" i="134" s="1"/>
  <c r="C9" i="134"/>
  <c r="F9" i="134" s="1"/>
  <c r="B9" i="134"/>
  <c r="E9" i="134" s="1"/>
  <c r="C8" i="134"/>
  <c r="F8" i="134" s="1"/>
  <c r="B8" i="134"/>
  <c r="E8" i="134" s="1"/>
  <c r="C7" i="134"/>
  <c r="F7" i="134" s="1"/>
  <c r="B7" i="134"/>
  <c r="E7" i="134" s="1"/>
  <c r="C6" i="134"/>
  <c r="F6" i="134" s="1"/>
  <c r="B6" i="134"/>
  <c r="E6" i="134" s="1"/>
  <c r="C5" i="134"/>
  <c r="F5" i="134" s="1"/>
  <c r="B5" i="134"/>
  <c r="E5" i="134" s="1"/>
  <c r="X19" i="104"/>
  <c r="X17" i="104"/>
  <c r="W23" i="104"/>
  <c r="AU66" i="32"/>
  <c r="AU68" i="32" s="1"/>
  <c r="AU64" i="32"/>
  <c r="AU62" i="32"/>
  <c r="AW62" i="32" s="1"/>
  <c r="AV67" i="32"/>
  <c r="AW67" i="32" s="1"/>
  <c r="AV64" i="32"/>
  <c r="AV65" i="32" s="1"/>
  <c r="AR69" i="32"/>
  <c r="AT69" i="32" s="1"/>
  <c r="AR68" i="32"/>
  <c r="AS67" i="32"/>
  <c r="AT67" i="32" s="1"/>
  <c r="M10" i="92"/>
  <c r="CX43" i="8" s="1"/>
  <c r="L16" i="92"/>
  <c r="W27" i="104" s="1"/>
  <c r="Y27" i="104" s="1"/>
  <c r="N16" i="92" s="1"/>
  <c r="DA43" i="8" s="1"/>
  <c r="L8" i="92"/>
  <c r="L14" i="92" s="1"/>
  <c r="M17" i="92"/>
  <c r="T36" i="105"/>
  <c r="X26" i="104" s="1"/>
  <c r="CX46" i="8" s="1"/>
  <c r="T33" i="105"/>
  <c r="W8" i="104" s="1"/>
  <c r="T22" i="105"/>
  <c r="T28" i="105" s="1"/>
  <c r="T21" i="105"/>
  <c r="T27" i="105" s="1"/>
  <c r="T20" i="105"/>
  <c r="T26" i="105" s="1"/>
  <c r="T14" i="105"/>
  <c r="T6" i="105"/>
  <c r="S22" i="105"/>
  <c r="S28" i="105" s="1"/>
  <c r="S21" i="105"/>
  <c r="S20" i="105"/>
  <c r="S26" i="105" s="1"/>
  <c r="S14" i="105"/>
  <c r="S6" i="105"/>
  <c r="W15" i="102"/>
  <c r="CU50" i="8" s="1"/>
  <c r="CU108" i="8" s="1"/>
  <c r="CU142" i="8" s="1"/>
  <c r="W9" i="102"/>
  <c r="W7" i="102" s="1"/>
  <c r="K11" i="103"/>
  <c r="R10" i="100"/>
  <c r="CP47" i="7" s="1"/>
  <c r="CO47" i="7" s="1"/>
  <c r="CU14" i="19"/>
  <c r="CV12" i="19"/>
  <c r="CU12" i="19"/>
  <c r="CT12" i="19"/>
  <c r="CS12" i="19"/>
  <c r="CR12" i="19"/>
  <c r="CQ12" i="19"/>
  <c r="AT41" i="6"/>
  <c r="AT40" i="6"/>
  <c r="AT37" i="6"/>
  <c r="AT36" i="6"/>
  <c r="AT35" i="6"/>
  <c r="AT34" i="6"/>
  <c r="AT33" i="6"/>
  <c r="AT27" i="6"/>
  <c r="AT24" i="6"/>
  <c r="AT22" i="6"/>
  <c r="AT21" i="6"/>
  <c r="AT19" i="6"/>
  <c r="AT15" i="6"/>
  <c r="AT14" i="6"/>
  <c r="BB45" i="5"/>
  <c r="BB43" i="5"/>
  <c r="BB42" i="5"/>
  <c r="BB41" i="5"/>
  <c r="BB40" i="5"/>
  <c r="BB39" i="5"/>
  <c r="BB38" i="5"/>
  <c r="BB37" i="5"/>
  <c r="BB36" i="5"/>
  <c r="BB35" i="5"/>
  <c r="BB34" i="5"/>
  <c r="BB28" i="5"/>
  <c r="BB23" i="5"/>
  <c r="BB14" i="5"/>
  <c r="BB33" i="5"/>
  <c r="BB32" i="5"/>
  <c r="BA16" i="5"/>
  <c r="L52" i="97"/>
  <c r="O34" i="111" s="1"/>
  <c r="CX22" i="8" s="1"/>
  <c r="CW22" i="8" s="1"/>
  <c r="L54" i="97"/>
  <c r="O36" i="111" s="1"/>
  <c r="L53" i="97"/>
  <c r="O35" i="111" s="1"/>
  <c r="CX28" i="8" s="1"/>
  <c r="CW28" i="8" s="1"/>
  <c r="L51" i="97"/>
  <c r="L49" i="97"/>
  <c r="O31" i="111" s="1"/>
  <c r="L48" i="97"/>
  <c r="O30" i="111" s="1"/>
  <c r="CS28" i="7" s="1"/>
  <c r="CR28" i="7" s="1"/>
  <c r="L45" i="97"/>
  <c r="O27" i="111" s="1"/>
  <c r="L46" i="97"/>
  <c r="L47" i="97"/>
  <c r="O47" i="97" s="1"/>
  <c r="K56" i="97"/>
  <c r="K50" i="97"/>
  <c r="L55" i="97"/>
  <c r="D77" i="68"/>
  <c r="D79" i="68" s="1"/>
  <c r="D81" i="68" s="1"/>
  <c r="DH31" i="17"/>
  <c r="DH24" i="17"/>
  <c r="DF36" i="17"/>
  <c r="DF35" i="17"/>
  <c r="DF34" i="17"/>
  <c r="DF33" i="17"/>
  <c r="DF32" i="17"/>
  <c r="DF30" i="17"/>
  <c r="DF29" i="17"/>
  <c r="DF28" i="17"/>
  <c r="DF27" i="17"/>
  <c r="DF26" i="17"/>
  <c r="DF25" i="17"/>
  <c r="P66" i="96"/>
  <c r="P60" i="96"/>
  <c r="P43" i="96"/>
  <c r="P37" i="96"/>
  <c r="P36" i="96" s="1"/>
  <c r="P32" i="96"/>
  <c r="P31" i="96" s="1"/>
  <c r="P27" i="96"/>
  <c r="P26" i="96" s="1"/>
  <c r="P22" i="96"/>
  <c r="P21" i="96" s="1"/>
  <c r="P17" i="96"/>
  <c r="P16" i="96" s="1"/>
  <c r="P12" i="96"/>
  <c r="P11" i="96" s="1"/>
  <c r="P59" i="96"/>
  <c r="P49" i="96"/>
  <c r="O67" i="96"/>
  <c r="CU19" i="8" s="1"/>
  <c r="O59" i="96"/>
  <c r="O54" i="96"/>
  <c r="BD18" i="10"/>
  <c r="BD13" i="10"/>
  <c r="AG14" i="98"/>
  <c r="AH8" i="95"/>
  <c r="AH12" i="95" s="1"/>
  <c r="AH43" i="95"/>
  <c r="AH38" i="95"/>
  <c r="BL57" i="3"/>
  <c r="AU63" i="32" s="1"/>
  <c r="BL53" i="3"/>
  <c r="BM49" i="3"/>
  <c r="CT167" i="7" s="1"/>
  <c r="CT72" i="7" s="1"/>
  <c r="BL66" i="3"/>
  <c r="BL63" i="3"/>
  <c r="CX120" i="8" s="1"/>
  <c r="CX62" i="8" s="1"/>
  <c r="BK63" i="3"/>
  <c r="AK37" i="66" s="1"/>
  <c r="AK38" i="66" s="1"/>
  <c r="BJ63" i="3"/>
  <c r="CU120" i="8" s="1"/>
  <c r="CU62" i="8" s="1"/>
  <c r="K42" i="128"/>
  <c r="K40" i="128"/>
  <c r="M40" i="128" s="1"/>
  <c r="B42" i="128"/>
  <c r="D42" i="128" s="1"/>
  <c r="K41" i="128"/>
  <c r="M41" i="128" s="1"/>
  <c r="B41" i="128"/>
  <c r="B40" i="128"/>
  <c r="C40" i="128" s="1"/>
  <c r="B38" i="128"/>
  <c r="C38" i="128" s="1"/>
  <c r="B19" i="128"/>
  <c r="H19" i="128" s="1"/>
  <c r="B18" i="128"/>
  <c r="K4" i="129"/>
  <c r="K8" i="129" s="1"/>
  <c r="J4" i="129"/>
  <c r="J8" i="129" s="1"/>
  <c r="V46" i="126"/>
  <c r="AG22" i="126"/>
  <c r="AG21" i="126"/>
  <c r="AG20" i="126"/>
  <c r="AG19" i="126"/>
  <c r="AF18" i="126"/>
  <c r="AG17" i="126"/>
  <c r="H8" i="129"/>
  <c r="H5" i="129"/>
  <c r="B31" i="128"/>
  <c r="B30" i="128"/>
  <c r="H30" i="128" s="1"/>
  <c r="G18" i="126"/>
  <c r="F18" i="126"/>
  <c r="G16" i="126"/>
  <c r="F16" i="126"/>
  <c r="K15" i="126"/>
  <c r="I15" i="126"/>
  <c r="H15" i="126"/>
  <c r="F15" i="126"/>
  <c r="FK60" i="123"/>
  <c r="FK59" i="123"/>
  <c r="FK58" i="123"/>
  <c r="FK57" i="123"/>
  <c r="FK56" i="123"/>
  <c r="FK55" i="123"/>
  <c r="FK54" i="123"/>
  <c r="FK53" i="123"/>
  <c r="FK51" i="123"/>
  <c r="FK50" i="123"/>
  <c r="FK49" i="123"/>
  <c r="FK47" i="123"/>
  <c r="FK46" i="123"/>
  <c r="FK45" i="123"/>
  <c r="FK44" i="123"/>
  <c r="FK41" i="123"/>
  <c r="FK40" i="123"/>
  <c r="FK39" i="123"/>
  <c r="FK38" i="123"/>
  <c r="FK37" i="123"/>
  <c r="FK36" i="123"/>
  <c r="FK35" i="123"/>
  <c r="FB60" i="123"/>
  <c r="FB59" i="123"/>
  <c r="FB58" i="123"/>
  <c r="FB57" i="123"/>
  <c r="FB56" i="123"/>
  <c r="FB55" i="123"/>
  <c r="FB54" i="123"/>
  <c r="FB53" i="123"/>
  <c r="FB51" i="123"/>
  <c r="FB50" i="123"/>
  <c r="FB49" i="123"/>
  <c r="FB47" i="123"/>
  <c r="FB46" i="123"/>
  <c r="FB45" i="123"/>
  <c r="FB44" i="123"/>
  <c r="FB41" i="123"/>
  <c r="FB40" i="123"/>
  <c r="FB39" i="123"/>
  <c r="FB38" i="123"/>
  <c r="FB37" i="123"/>
  <c r="FB36" i="123"/>
  <c r="FB35" i="123"/>
  <c r="ES60" i="123"/>
  <c r="ES59" i="123"/>
  <c r="ES58" i="123"/>
  <c r="ES57" i="123"/>
  <c r="ES56" i="123"/>
  <c r="ES55" i="123"/>
  <c r="ES54" i="123"/>
  <c r="ES53" i="123"/>
  <c r="ES51" i="123"/>
  <c r="ES50" i="123"/>
  <c r="ES49" i="123"/>
  <c r="FV48" i="123"/>
  <c r="ES47" i="123"/>
  <c r="ES46" i="123"/>
  <c r="ES45" i="123"/>
  <c r="ES44" i="123"/>
  <c r="FU63" i="123"/>
  <c r="ES41" i="123"/>
  <c r="ES40" i="123"/>
  <c r="ES39" i="123"/>
  <c r="ES38" i="123"/>
  <c r="ES37" i="123"/>
  <c r="ES36" i="123"/>
  <c r="ES35" i="123"/>
  <c r="DL60" i="123"/>
  <c r="DL59" i="123"/>
  <c r="DL58" i="123"/>
  <c r="DL57" i="123"/>
  <c r="DL56" i="123"/>
  <c r="DL55" i="123"/>
  <c r="DL54" i="123"/>
  <c r="DL53" i="123"/>
  <c r="DL51" i="123"/>
  <c r="DL50" i="123"/>
  <c r="DL49" i="123"/>
  <c r="DL47" i="123"/>
  <c r="DL46" i="123"/>
  <c r="DL45" i="123"/>
  <c r="DL44" i="123"/>
  <c r="DL41" i="123"/>
  <c r="DL40" i="123"/>
  <c r="DL39" i="123"/>
  <c r="DL38" i="123"/>
  <c r="DL37" i="123"/>
  <c r="DL36" i="123"/>
  <c r="DL35" i="123"/>
  <c r="DC60" i="123"/>
  <c r="DC59" i="123"/>
  <c r="DC58" i="123"/>
  <c r="DC57" i="123"/>
  <c r="DC56" i="123"/>
  <c r="DC55" i="123"/>
  <c r="DC54" i="123"/>
  <c r="DC53" i="123"/>
  <c r="DC51" i="123"/>
  <c r="DC50" i="123"/>
  <c r="DC49" i="123"/>
  <c r="DC47" i="123"/>
  <c r="DC46" i="123"/>
  <c r="DC45" i="123"/>
  <c r="DC44" i="123"/>
  <c r="DC41" i="123"/>
  <c r="DC40" i="123"/>
  <c r="DC39" i="123"/>
  <c r="DC38" i="123"/>
  <c r="DC37" i="123"/>
  <c r="DC36" i="123"/>
  <c r="DC35" i="123"/>
  <c r="CT60" i="123"/>
  <c r="CT59" i="123"/>
  <c r="CT56" i="123"/>
  <c r="CT55" i="123"/>
  <c r="CT54" i="123"/>
  <c r="CT53" i="123"/>
  <c r="DV52" i="123"/>
  <c r="CT51" i="123"/>
  <c r="CT50" i="123"/>
  <c r="CT49" i="123"/>
  <c r="DW48" i="123"/>
  <c r="CT47" i="123"/>
  <c r="CT46" i="123"/>
  <c r="CT45" i="123"/>
  <c r="CT44" i="123"/>
  <c r="CT41" i="123"/>
  <c r="CT40" i="123"/>
  <c r="CT39" i="123"/>
  <c r="CT38" i="123"/>
  <c r="CT37" i="123"/>
  <c r="CT36" i="123"/>
  <c r="CT35" i="123"/>
  <c r="BM60" i="123"/>
  <c r="BM59" i="123"/>
  <c r="BM58" i="123"/>
  <c r="BM57" i="123"/>
  <c r="BM56" i="123"/>
  <c r="BM55" i="123"/>
  <c r="BM54" i="123"/>
  <c r="BM53" i="123"/>
  <c r="BM51" i="123"/>
  <c r="BM50" i="123"/>
  <c r="BM49" i="123"/>
  <c r="BM47" i="123"/>
  <c r="BM46" i="123"/>
  <c r="BM45" i="123"/>
  <c r="BM44" i="123"/>
  <c r="BM41" i="123"/>
  <c r="BM40" i="123"/>
  <c r="BM39" i="123"/>
  <c r="BM38" i="123"/>
  <c r="BM37" i="123"/>
  <c r="BM36" i="123"/>
  <c r="BM35" i="123"/>
  <c r="BD60" i="123"/>
  <c r="BD59" i="123"/>
  <c r="BD58" i="123"/>
  <c r="BD57" i="123"/>
  <c r="BD56" i="123"/>
  <c r="BD55" i="123"/>
  <c r="BD54" i="123"/>
  <c r="BD53" i="123"/>
  <c r="BD51" i="123"/>
  <c r="BD50" i="123"/>
  <c r="BD49" i="123"/>
  <c r="BD47" i="123"/>
  <c r="BD46" i="123"/>
  <c r="BD45" i="123"/>
  <c r="BD44" i="123"/>
  <c r="BD41" i="123"/>
  <c r="BD40" i="123"/>
  <c r="BD39" i="123"/>
  <c r="BD38" i="123"/>
  <c r="BD37" i="123"/>
  <c r="BD36" i="123"/>
  <c r="BD35" i="123"/>
  <c r="AU60" i="123"/>
  <c r="AU59" i="123"/>
  <c r="AU58" i="123"/>
  <c r="AU57" i="123"/>
  <c r="AU56" i="123"/>
  <c r="AU55" i="123"/>
  <c r="AU54" i="123"/>
  <c r="AU53" i="123"/>
  <c r="AU51" i="123"/>
  <c r="AU50" i="123"/>
  <c r="AU49" i="123"/>
  <c r="AU47" i="123"/>
  <c r="AU46" i="123"/>
  <c r="AU45" i="123"/>
  <c r="AU44" i="123"/>
  <c r="AU41" i="123"/>
  <c r="AU40" i="123"/>
  <c r="AU39" i="123"/>
  <c r="AU38" i="123"/>
  <c r="AU37" i="123"/>
  <c r="AU36" i="123"/>
  <c r="AU35" i="123"/>
  <c r="Z60" i="123"/>
  <c r="Z59" i="123"/>
  <c r="Z58" i="123"/>
  <c r="Z57" i="123"/>
  <c r="Z56" i="123"/>
  <c r="Z55" i="123"/>
  <c r="Z54" i="123"/>
  <c r="Z53" i="123"/>
  <c r="Z51" i="123"/>
  <c r="Z50" i="123"/>
  <c r="Z49" i="123"/>
  <c r="Z47" i="123"/>
  <c r="Z46" i="123"/>
  <c r="Z45" i="123"/>
  <c r="Z44" i="123"/>
  <c r="Z41" i="123"/>
  <c r="Z40" i="123"/>
  <c r="Z39" i="123"/>
  <c r="Z38" i="123"/>
  <c r="Z37" i="123"/>
  <c r="Z36" i="123"/>
  <c r="Z35" i="123"/>
  <c r="Q60" i="123"/>
  <c r="Q59" i="123"/>
  <c r="Q58" i="123"/>
  <c r="Q57" i="123"/>
  <c r="Q56" i="123"/>
  <c r="Q55" i="123"/>
  <c r="Q54" i="123"/>
  <c r="Q53" i="123"/>
  <c r="Q51" i="123"/>
  <c r="Q50" i="123"/>
  <c r="Q49" i="123"/>
  <c r="Q47" i="123"/>
  <c r="Q46" i="123"/>
  <c r="Q45" i="123"/>
  <c r="Q44" i="123"/>
  <c r="Q41" i="123"/>
  <c r="Q40" i="123"/>
  <c r="Q39" i="123"/>
  <c r="Q38" i="123"/>
  <c r="Q37" i="123"/>
  <c r="Q36" i="123"/>
  <c r="Q35" i="123"/>
  <c r="H60" i="123"/>
  <c r="H59" i="123"/>
  <c r="H58" i="123"/>
  <c r="H57" i="123"/>
  <c r="H56" i="123"/>
  <c r="H55" i="123"/>
  <c r="H54" i="123"/>
  <c r="H53" i="123"/>
  <c r="H51" i="123"/>
  <c r="H50" i="123"/>
  <c r="H49" i="123"/>
  <c r="H47" i="123"/>
  <c r="H46" i="123"/>
  <c r="H45" i="123"/>
  <c r="H44" i="123"/>
  <c r="H41" i="123"/>
  <c r="H40" i="123"/>
  <c r="H39" i="123"/>
  <c r="H38" i="123"/>
  <c r="H37" i="123"/>
  <c r="H36" i="123"/>
  <c r="H35" i="123"/>
  <c r="CG58" i="7"/>
  <c r="CF58" i="7" s="1"/>
  <c r="FH24" i="123"/>
  <c r="FH23" i="123"/>
  <c r="FH22" i="123"/>
  <c r="FH21" i="123"/>
  <c r="FK24" i="123"/>
  <c r="FK23" i="123"/>
  <c r="FK22" i="123"/>
  <c r="FK21" i="123"/>
  <c r="FB24" i="123"/>
  <c r="FB23" i="123"/>
  <c r="FB22" i="123"/>
  <c r="FB21" i="123"/>
  <c r="ES24" i="123"/>
  <c r="ES23" i="123"/>
  <c r="ES22" i="123"/>
  <c r="ES21" i="123"/>
  <c r="FT21" i="123" s="1"/>
  <c r="DL24" i="123"/>
  <c r="DL23" i="123"/>
  <c r="DL22" i="123"/>
  <c r="DL21" i="123"/>
  <c r="DC24" i="123"/>
  <c r="DC23" i="123"/>
  <c r="DC22" i="123"/>
  <c r="DC21" i="123"/>
  <c r="CT24" i="123"/>
  <c r="CT23" i="123"/>
  <c r="CT22" i="123"/>
  <c r="DU22" i="123" s="1"/>
  <c r="CT21" i="123"/>
  <c r="DU21" i="123" s="1"/>
  <c r="BM24" i="123"/>
  <c r="BM23" i="123"/>
  <c r="BM22" i="123"/>
  <c r="BM21" i="123"/>
  <c r="BD24" i="123"/>
  <c r="BD23" i="123"/>
  <c r="BD22" i="123"/>
  <c r="BD21" i="123"/>
  <c r="AU24" i="123"/>
  <c r="AU23" i="123"/>
  <c r="AU22" i="123"/>
  <c r="AU21" i="123"/>
  <c r="BV21" i="123" s="1"/>
  <c r="Z24" i="123"/>
  <c r="Z23" i="123"/>
  <c r="Z22" i="123"/>
  <c r="Z21" i="123"/>
  <c r="Q24" i="123"/>
  <c r="Q23" i="123"/>
  <c r="Q22" i="123"/>
  <c r="Q21" i="123"/>
  <c r="H24" i="123"/>
  <c r="H23" i="123"/>
  <c r="AI23" i="123" s="1"/>
  <c r="H22" i="123"/>
  <c r="H21" i="123"/>
  <c r="AI21" i="123" s="1"/>
  <c r="FJ16" i="123"/>
  <c r="FI16" i="123"/>
  <c r="FJ15" i="123"/>
  <c r="FI15" i="123"/>
  <c r="FJ14" i="123"/>
  <c r="FI14" i="123"/>
  <c r="FJ13" i="123"/>
  <c r="FJ12" i="123"/>
  <c r="FI12" i="123"/>
  <c r="FJ11" i="123"/>
  <c r="FI11" i="123"/>
  <c r="FJ10" i="123"/>
  <c r="FI10" i="123"/>
  <c r="FI27" i="123" s="1"/>
  <c r="FJ8" i="123"/>
  <c r="FI8" i="123"/>
  <c r="FA16" i="123"/>
  <c r="EZ16" i="123"/>
  <c r="FA15" i="123"/>
  <c r="EZ15" i="123"/>
  <c r="FA14" i="123"/>
  <c r="EZ14" i="123"/>
  <c r="FA13" i="123"/>
  <c r="FA12" i="123"/>
  <c r="EZ12" i="123"/>
  <c r="EZ30" i="123" s="1"/>
  <c r="FA11" i="123"/>
  <c r="FA29" i="123" s="1"/>
  <c r="EZ11" i="123"/>
  <c r="FA10" i="123"/>
  <c r="EZ10" i="123"/>
  <c r="FA8" i="123"/>
  <c r="EZ8" i="123"/>
  <c r="ER16" i="123"/>
  <c r="EQ16" i="123"/>
  <c r="ER15" i="123"/>
  <c r="EQ15" i="123"/>
  <c r="ER14" i="123"/>
  <c r="EQ14" i="123"/>
  <c r="ER13" i="123"/>
  <c r="ER12" i="123"/>
  <c r="EQ12" i="123"/>
  <c r="EQ30" i="123" s="1"/>
  <c r="ER11" i="123"/>
  <c r="ER29" i="123" s="1"/>
  <c r="EQ11" i="123"/>
  <c r="ER10" i="123"/>
  <c r="EQ10" i="123"/>
  <c r="EQ27" i="123" s="1"/>
  <c r="ER8" i="123"/>
  <c r="EQ8" i="123"/>
  <c r="DK16" i="123"/>
  <c r="DJ16" i="123"/>
  <c r="DK15" i="123"/>
  <c r="DJ15" i="123"/>
  <c r="DK14" i="123"/>
  <c r="DJ14" i="123"/>
  <c r="DK13" i="123"/>
  <c r="DK12" i="123"/>
  <c r="DJ12" i="123"/>
  <c r="DJ30" i="123" s="1"/>
  <c r="DK11" i="123"/>
  <c r="DK29" i="123" s="1"/>
  <c r="DJ11" i="123"/>
  <c r="DK10" i="123"/>
  <c r="DJ10" i="123"/>
  <c r="DJ28" i="123" s="1"/>
  <c r="DK8" i="123"/>
  <c r="DJ8" i="123"/>
  <c r="DB16" i="123"/>
  <c r="DA16" i="123"/>
  <c r="DB15" i="123"/>
  <c r="DA15" i="123"/>
  <c r="DB14" i="123"/>
  <c r="DA14" i="123"/>
  <c r="DB13" i="123"/>
  <c r="DB12" i="123"/>
  <c r="DA12" i="123"/>
  <c r="DA30" i="123" s="1"/>
  <c r="DB11" i="123"/>
  <c r="DB29" i="123" s="1"/>
  <c r="DA11" i="123"/>
  <c r="DB10" i="123"/>
  <c r="DA10" i="123"/>
  <c r="DB8" i="123"/>
  <c r="DA8" i="123"/>
  <c r="CR27" i="123"/>
  <c r="BL16" i="123"/>
  <c r="BK16" i="123"/>
  <c r="BL15" i="123"/>
  <c r="BK15" i="123"/>
  <c r="BL14" i="123"/>
  <c r="BK14" i="123"/>
  <c r="BL13" i="123"/>
  <c r="BL12" i="123"/>
  <c r="BK12" i="123"/>
  <c r="BK30" i="123" s="1"/>
  <c r="BL11" i="123"/>
  <c r="BL29" i="123" s="1"/>
  <c r="BK11" i="123"/>
  <c r="BL10" i="123"/>
  <c r="BK10" i="123"/>
  <c r="BL8" i="123"/>
  <c r="BK8" i="123"/>
  <c r="BC16" i="123"/>
  <c r="BB16" i="123"/>
  <c r="BC15" i="123"/>
  <c r="BB15" i="123"/>
  <c r="BC14" i="123"/>
  <c r="BB14" i="123"/>
  <c r="BC13" i="123"/>
  <c r="BC12" i="123"/>
  <c r="BB12" i="123"/>
  <c r="BC11" i="123"/>
  <c r="BC29" i="123" s="1"/>
  <c r="BB11" i="123"/>
  <c r="BC10" i="123"/>
  <c r="BB10" i="123"/>
  <c r="BC8" i="123"/>
  <c r="BB8" i="123"/>
  <c r="AT16" i="123"/>
  <c r="AS16" i="123"/>
  <c r="AT15" i="123"/>
  <c r="AS15" i="123"/>
  <c r="AT14" i="123"/>
  <c r="AS14" i="123"/>
  <c r="AT13" i="123"/>
  <c r="AT12" i="123"/>
  <c r="AS12" i="123"/>
  <c r="AS30" i="123" s="1"/>
  <c r="AT11" i="123"/>
  <c r="AS11" i="123"/>
  <c r="AT10" i="123"/>
  <c r="AS10" i="123"/>
  <c r="AT8" i="123"/>
  <c r="AS8" i="123"/>
  <c r="Y16" i="123"/>
  <c r="X16" i="123"/>
  <c r="Y15" i="123"/>
  <c r="X15" i="123"/>
  <c r="Y14" i="123"/>
  <c r="X14" i="123"/>
  <c r="Y13" i="123"/>
  <c r="Y12" i="123"/>
  <c r="X12" i="123"/>
  <c r="Y11" i="123"/>
  <c r="Y29" i="123" s="1"/>
  <c r="X11" i="123"/>
  <c r="Y10" i="123"/>
  <c r="X10" i="123"/>
  <c r="Y8" i="123"/>
  <c r="X8" i="123"/>
  <c r="P16" i="123"/>
  <c r="O16" i="123"/>
  <c r="P15" i="123"/>
  <c r="O15" i="123"/>
  <c r="P14" i="123"/>
  <c r="O14" i="123"/>
  <c r="P13" i="123"/>
  <c r="P12" i="123"/>
  <c r="O12" i="123"/>
  <c r="O30" i="123" s="1"/>
  <c r="P11" i="123"/>
  <c r="P29" i="123" s="1"/>
  <c r="O11" i="123"/>
  <c r="P10" i="123"/>
  <c r="O10" i="123"/>
  <c r="P8" i="123"/>
  <c r="O8" i="123"/>
  <c r="FV16" i="123"/>
  <c r="FU16" i="123"/>
  <c r="FV15" i="123"/>
  <c r="FU15" i="123"/>
  <c r="FV14" i="123"/>
  <c r="FU14" i="123"/>
  <c r="FV13" i="123"/>
  <c r="DW16" i="123"/>
  <c r="DV16" i="123"/>
  <c r="DW15" i="123"/>
  <c r="DV15" i="123"/>
  <c r="DW14" i="123"/>
  <c r="DV14" i="123"/>
  <c r="DW13" i="123"/>
  <c r="BX16" i="123"/>
  <c r="BW16" i="123"/>
  <c r="BX15" i="123"/>
  <c r="BW15" i="123"/>
  <c r="BX14" i="123"/>
  <c r="BW14" i="123"/>
  <c r="BX13" i="123"/>
  <c r="AK16" i="123"/>
  <c r="AJ16" i="123"/>
  <c r="AK15" i="123"/>
  <c r="AJ15" i="123"/>
  <c r="AK14" i="123"/>
  <c r="AJ14" i="123"/>
  <c r="AK13" i="123"/>
  <c r="G16" i="123"/>
  <c r="F16" i="123"/>
  <c r="G15" i="123"/>
  <c r="F15" i="123"/>
  <c r="G14" i="123"/>
  <c r="F14" i="123"/>
  <c r="G13" i="123"/>
  <c r="G12" i="123"/>
  <c r="F12" i="123"/>
  <c r="F30" i="123" s="1"/>
  <c r="G11" i="123"/>
  <c r="G29" i="123" s="1"/>
  <c r="F11" i="123"/>
  <c r="G10" i="123"/>
  <c r="F10" i="123"/>
  <c r="G8" i="123"/>
  <c r="F8" i="123"/>
  <c r="FG16" i="123"/>
  <c r="FG15" i="123"/>
  <c r="FG14" i="123"/>
  <c r="FG13" i="123"/>
  <c r="EX16" i="123"/>
  <c r="EX15" i="123"/>
  <c r="EX14" i="123"/>
  <c r="EX13" i="123"/>
  <c r="EO16" i="123"/>
  <c r="EO15" i="123"/>
  <c r="FP15" i="123" s="1"/>
  <c r="EO14" i="123"/>
  <c r="EO13" i="123"/>
  <c r="DH16" i="123"/>
  <c r="DH15" i="123"/>
  <c r="DH14" i="123"/>
  <c r="DH13" i="123"/>
  <c r="CY16" i="123"/>
  <c r="CY15" i="123"/>
  <c r="CY14" i="123"/>
  <c r="CY13" i="123"/>
  <c r="CP16" i="123"/>
  <c r="CP15" i="123"/>
  <c r="DQ15" i="123" s="1"/>
  <c r="X22" i="126" s="1"/>
  <c r="CP14" i="123"/>
  <c r="DQ14" i="123" s="1"/>
  <c r="X21" i="126" s="1"/>
  <c r="CP13" i="123"/>
  <c r="BI16" i="123"/>
  <c r="BI15" i="123"/>
  <c r="BI14" i="123"/>
  <c r="BI13" i="123"/>
  <c r="AZ16" i="123"/>
  <c r="AZ15" i="123"/>
  <c r="AZ14" i="123"/>
  <c r="AZ13" i="123"/>
  <c r="AQ16" i="123"/>
  <c r="BR16" i="123" s="1"/>
  <c r="AQ15" i="123"/>
  <c r="BR15" i="123" s="1"/>
  <c r="R22" i="126" s="1"/>
  <c r="AQ14" i="123"/>
  <c r="AQ13" i="123"/>
  <c r="BR13" i="123" s="1"/>
  <c r="V16" i="123"/>
  <c r="V15" i="123"/>
  <c r="V14" i="123"/>
  <c r="V13" i="123"/>
  <c r="M16" i="123"/>
  <c r="M15" i="123"/>
  <c r="M14" i="123"/>
  <c r="L14" i="123"/>
  <c r="M13" i="123"/>
  <c r="D16" i="123"/>
  <c r="D15" i="123"/>
  <c r="D14" i="123"/>
  <c r="D13" i="123"/>
  <c r="EN16" i="123"/>
  <c r="EW14" i="123"/>
  <c r="AF19" i="126"/>
  <c r="AF17" i="126"/>
  <c r="FZ14" i="123"/>
  <c r="AE21" i="126" s="1"/>
  <c r="FA9" i="123"/>
  <c r="C66" i="124" s="1"/>
  <c r="DK9" i="123"/>
  <c r="AS13" i="123"/>
  <c r="X13" i="123"/>
  <c r="CX15" i="123"/>
  <c r="AF22" i="126"/>
  <c r="AY15" i="123"/>
  <c r="BH14" i="123"/>
  <c r="DG15" i="123"/>
  <c r="FF15" i="123"/>
  <c r="FZ15" i="123"/>
  <c r="AE22" i="126" s="1"/>
  <c r="C15" i="123"/>
  <c r="AP15" i="123"/>
  <c r="EW15" i="123"/>
  <c r="U14" i="123"/>
  <c r="CO14" i="123"/>
  <c r="EN15" i="123"/>
  <c r="FF14" i="123"/>
  <c r="AF21" i="126"/>
  <c r="L16" i="123"/>
  <c r="CX14" i="123"/>
  <c r="L15" i="123"/>
  <c r="U16" i="123"/>
  <c r="BH15" i="123"/>
  <c r="CO15" i="123"/>
  <c r="CX16" i="123"/>
  <c r="DG14" i="123"/>
  <c r="DG16" i="123"/>
  <c r="EW16" i="123"/>
  <c r="BW13" i="123"/>
  <c r="DV13" i="123"/>
  <c r="FZ16" i="123"/>
  <c r="C14" i="123"/>
  <c r="C16" i="123"/>
  <c r="U15" i="123"/>
  <c r="AP14" i="123"/>
  <c r="AY14" i="123"/>
  <c r="AP16" i="123"/>
  <c r="AY16" i="123"/>
  <c r="EN14" i="123"/>
  <c r="FF16" i="123"/>
  <c r="BH16" i="123"/>
  <c r="CO16" i="123"/>
  <c r="AJ13" i="123"/>
  <c r="AF14" i="125"/>
  <c r="AF20" i="125"/>
  <c r="AF29" i="125"/>
  <c r="AE29" i="125"/>
  <c r="AF28" i="125"/>
  <c r="AE28" i="125"/>
  <c r="AF22" i="125"/>
  <c r="AE22" i="125"/>
  <c r="AE20" i="125"/>
  <c r="AE14" i="125"/>
  <c r="AF26" i="125"/>
  <c r="M24" i="125"/>
  <c r="AE24" i="125"/>
  <c r="AF23" i="125"/>
  <c r="W24" i="125"/>
  <c r="AF24" i="125"/>
  <c r="AE25" i="125"/>
  <c r="AF25" i="125"/>
  <c r="AB26" i="125"/>
  <c r="AE26" i="125"/>
  <c r="V26" i="125"/>
  <c r="W26" i="125"/>
  <c r="AD26" i="125"/>
  <c r="W23" i="125"/>
  <c r="Q23" i="125"/>
  <c r="AD24" i="125"/>
  <c r="P25" i="125"/>
  <c r="M25" i="125"/>
  <c r="AC25" i="125"/>
  <c r="N25" i="125"/>
  <c r="AD25" i="125"/>
  <c r="FT75" i="123"/>
  <c r="DU75" i="123"/>
  <c r="BV75" i="123"/>
  <c r="AI75" i="123"/>
  <c r="FT74" i="123"/>
  <c r="DU74" i="123"/>
  <c r="BV74" i="123"/>
  <c r="AI74" i="123"/>
  <c r="FT73" i="123"/>
  <c r="FT72" i="123" s="1"/>
  <c r="DU73" i="123"/>
  <c r="DU72" i="123" s="1"/>
  <c r="BV73" i="123"/>
  <c r="BV72" i="123" s="1"/>
  <c r="AI73" i="123"/>
  <c r="FK72" i="123"/>
  <c r="FB72" i="123"/>
  <c r="ES72" i="123"/>
  <c r="DL72" i="123"/>
  <c r="DC72" i="123"/>
  <c r="CT72" i="123"/>
  <c r="BM72" i="123"/>
  <c r="BD72" i="123"/>
  <c r="AU72" i="123"/>
  <c r="Z72" i="123"/>
  <c r="Q72" i="123"/>
  <c r="H72" i="123"/>
  <c r="FV67" i="123"/>
  <c r="FU67" i="123"/>
  <c r="FS67" i="123"/>
  <c r="FR67" i="123"/>
  <c r="FK67" i="123"/>
  <c r="FH67" i="123"/>
  <c r="FB67" i="123"/>
  <c r="EY67" i="123"/>
  <c r="ES67" i="123"/>
  <c r="EP67" i="123"/>
  <c r="DW67" i="123"/>
  <c r="DV67" i="123"/>
  <c r="DT67" i="123"/>
  <c r="DS67" i="123"/>
  <c r="DL67" i="123"/>
  <c r="DI67" i="123"/>
  <c r="DC67" i="123"/>
  <c r="CZ67" i="123"/>
  <c r="CT67" i="123"/>
  <c r="CQ67" i="123"/>
  <c r="BX67" i="123"/>
  <c r="BW67" i="123"/>
  <c r="BU67" i="123"/>
  <c r="BT67" i="123"/>
  <c r="BM67" i="123"/>
  <c r="BJ67" i="123"/>
  <c r="BD67" i="123"/>
  <c r="BA67" i="123"/>
  <c r="AU67" i="123"/>
  <c r="AR67" i="123"/>
  <c r="AK67" i="123"/>
  <c r="AJ67" i="123"/>
  <c r="AH67" i="123"/>
  <c r="AG67" i="123"/>
  <c r="Z67" i="123"/>
  <c r="W67" i="123"/>
  <c r="Q67" i="123"/>
  <c r="M67" i="123"/>
  <c r="V67" i="123" s="1"/>
  <c r="H67" i="123"/>
  <c r="E67" i="123"/>
  <c r="L67" i="123"/>
  <c r="FV66" i="123"/>
  <c r="FU66" i="123"/>
  <c r="FS66" i="123"/>
  <c r="FR66" i="123"/>
  <c r="FK66" i="123"/>
  <c r="FH66" i="123"/>
  <c r="FB66" i="123"/>
  <c r="EY66" i="123"/>
  <c r="ES66" i="123"/>
  <c r="EP66" i="123"/>
  <c r="DW66" i="123"/>
  <c r="DV66" i="123"/>
  <c r="DT66" i="123"/>
  <c r="DS66" i="123"/>
  <c r="DL66" i="123"/>
  <c r="DI66" i="123"/>
  <c r="DC66" i="123"/>
  <c r="CZ66" i="123"/>
  <c r="CT66" i="123"/>
  <c r="CQ66" i="123"/>
  <c r="BX66" i="123"/>
  <c r="BW66" i="123"/>
  <c r="BU66" i="123"/>
  <c r="BT66" i="123"/>
  <c r="BM66" i="123"/>
  <c r="BJ66" i="123"/>
  <c r="BD66" i="123"/>
  <c r="BA66" i="123"/>
  <c r="AU66" i="123"/>
  <c r="AR66" i="123"/>
  <c r="AK66" i="123"/>
  <c r="AJ66" i="123"/>
  <c r="AH66" i="123"/>
  <c r="AG66" i="123"/>
  <c r="Z66" i="123"/>
  <c r="W66" i="123"/>
  <c r="Q66" i="123"/>
  <c r="H66" i="123"/>
  <c r="E66" i="123"/>
  <c r="FV49" i="123"/>
  <c r="FU49" i="123"/>
  <c r="DW49" i="123"/>
  <c r="DV49" i="123"/>
  <c r="BX49" i="123"/>
  <c r="AK49" i="123"/>
  <c r="AJ49" i="123"/>
  <c r="FV46" i="123"/>
  <c r="FU46" i="123"/>
  <c r="DW46" i="123"/>
  <c r="DV46" i="123"/>
  <c r="BX46" i="123"/>
  <c r="AK46" i="123"/>
  <c r="FY30" i="123"/>
  <c r="DZ30" i="123"/>
  <c r="CM30" i="123"/>
  <c r="CA30" i="123"/>
  <c r="AN30" i="123"/>
  <c r="GJ29" i="123"/>
  <c r="FX29" i="123"/>
  <c r="EK29" i="123"/>
  <c r="DY29" i="123"/>
  <c r="CL29" i="123"/>
  <c r="BZ29" i="123"/>
  <c r="AM29" i="123"/>
  <c r="GK28" i="123"/>
  <c r="FY28" i="123"/>
  <c r="EL28" i="123"/>
  <c r="DZ28" i="123"/>
  <c r="CM28" i="123"/>
  <c r="CA28" i="123"/>
  <c r="AN28" i="123"/>
  <c r="GK27" i="123"/>
  <c r="FY27" i="123"/>
  <c r="EL27" i="123"/>
  <c r="DZ27" i="123"/>
  <c r="CM27" i="123"/>
  <c r="CA27" i="123"/>
  <c r="AN27" i="123"/>
  <c r="FJ25" i="123"/>
  <c r="FI25" i="123"/>
  <c r="FA25" i="123"/>
  <c r="EZ25" i="123"/>
  <c r="ER25" i="123"/>
  <c r="EQ25" i="123"/>
  <c r="DK25" i="123"/>
  <c r="DJ25" i="123"/>
  <c r="DB25" i="123"/>
  <c r="DA25" i="123"/>
  <c r="CS25" i="123"/>
  <c r="CR25" i="123"/>
  <c r="BL25" i="123"/>
  <c r="BK25" i="123"/>
  <c r="BC25" i="123"/>
  <c r="BB25" i="123"/>
  <c r="AT25" i="123"/>
  <c r="AS25" i="123"/>
  <c r="Y25" i="123"/>
  <c r="X25" i="123"/>
  <c r="P25" i="123"/>
  <c r="P69" i="123" s="1"/>
  <c r="O25" i="123"/>
  <c r="O69" i="123" s="1"/>
  <c r="O70" i="123" s="1"/>
  <c r="G25" i="123"/>
  <c r="F25" i="123"/>
  <c r="FV24" i="123"/>
  <c r="FS24" i="123"/>
  <c r="FR24" i="123"/>
  <c r="FP24" i="123"/>
  <c r="EY24" i="123"/>
  <c r="EP24" i="123"/>
  <c r="DW24" i="123"/>
  <c r="DT24" i="123"/>
  <c r="DS24" i="123"/>
  <c r="DQ24" i="123"/>
  <c r="DI24" i="123"/>
  <c r="CZ24" i="123"/>
  <c r="CQ24" i="123"/>
  <c r="BX24" i="123"/>
  <c r="BU24" i="123"/>
  <c r="BT24" i="123"/>
  <c r="BR24" i="123"/>
  <c r="BJ24" i="123"/>
  <c r="BA24" i="123"/>
  <c r="AR24" i="123"/>
  <c r="AK24" i="123"/>
  <c r="AH24" i="123"/>
  <c r="AG24" i="123"/>
  <c r="AE24" i="123"/>
  <c r="W24" i="123"/>
  <c r="N24" i="123"/>
  <c r="AJ24" i="123"/>
  <c r="E24" i="123"/>
  <c r="FU23" i="123"/>
  <c r="FS23" i="123"/>
  <c r="FR23" i="123"/>
  <c r="FO23" i="123"/>
  <c r="EY23" i="123"/>
  <c r="EP23" i="123"/>
  <c r="DV23" i="123"/>
  <c r="DT23" i="123"/>
  <c r="DS23" i="123"/>
  <c r="DP23" i="123"/>
  <c r="DI23" i="123"/>
  <c r="CZ23" i="123"/>
  <c r="CQ23" i="123"/>
  <c r="BW23" i="123"/>
  <c r="BU23" i="123"/>
  <c r="BT23" i="123"/>
  <c r="BQ23" i="123"/>
  <c r="BJ23" i="123"/>
  <c r="BA23" i="123"/>
  <c r="AR23" i="123"/>
  <c r="AJ23" i="123"/>
  <c r="AH23" i="123"/>
  <c r="AG23" i="123"/>
  <c r="AD23" i="123"/>
  <c r="W23" i="123"/>
  <c r="N23" i="123"/>
  <c r="E23" i="123"/>
  <c r="FV22" i="123"/>
  <c r="FS22" i="123"/>
  <c r="FR22" i="123"/>
  <c r="FP22" i="123"/>
  <c r="EY22" i="123"/>
  <c r="EP22" i="123"/>
  <c r="DW22" i="123"/>
  <c r="DT22" i="123"/>
  <c r="DS22" i="123"/>
  <c r="DQ22" i="123"/>
  <c r="DI22" i="123"/>
  <c r="CZ22" i="123"/>
  <c r="CQ22" i="123"/>
  <c r="BX22" i="123"/>
  <c r="BU22" i="123"/>
  <c r="BT22" i="123"/>
  <c r="BR22" i="123"/>
  <c r="BJ22" i="123"/>
  <c r="BA22" i="123"/>
  <c r="AR22" i="123"/>
  <c r="AK22" i="123"/>
  <c r="AH22" i="123"/>
  <c r="AG22" i="123"/>
  <c r="AE22" i="123"/>
  <c r="W22" i="123"/>
  <c r="N22" i="123"/>
  <c r="E22" i="123"/>
  <c r="FV21" i="123"/>
  <c r="FS21" i="123"/>
  <c r="FR21" i="123"/>
  <c r="FP21" i="123"/>
  <c r="EY21" i="123"/>
  <c r="EP21" i="123"/>
  <c r="DW21" i="123"/>
  <c r="DT21" i="123"/>
  <c r="DS21" i="123"/>
  <c r="DQ21" i="123"/>
  <c r="DI21" i="123"/>
  <c r="CZ21" i="123"/>
  <c r="CQ21" i="123"/>
  <c r="BX21" i="123"/>
  <c r="BU21" i="123"/>
  <c r="BT21" i="123"/>
  <c r="BR21" i="123"/>
  <c r="BJ21" i="123"/>
  <c r="BA21" i="123"/>
  <c r="AR21" i="123"/>
  <c r="AK21" i="123"/>
  <c r="AH21" i="123"/>
  <c r="AG21" i="123"/>
  <c r="AE21" i="123"/>
  <c r="W21" i="123"/>
  <c r="N21" i="123"/>
  <c r="E21" i="123"/>
  <c r="L12" i="123"/>
  <c r="FV12" i="123"/>
  <c r="FU12" i="123"/>
  <c r="FG12" i="123"/>
  <c r="EX12" i="123"/>
  <c r="EO12" i="123"/>
  <c r="DW12" i="123"/>
  <c r="DH12" i="123"/>
  <c r="CY12" i="123"/>
  <c r="DV12" i="123"/>
  <c r="CP12" i="123"/>
  <c r="CO12" i="123"/>
  <c r="BX12" i="123"/>
  <c r="BI12" i="123"/>
  <c r="AZ12" i="123"/>
  <c r="BW12" i="123"/>
  <c r="AQ12" i="123"/>
  <c r="AP12" i="123"/>
  <c r="AK12" i="123"/>
  <c r="V12" i="123"/>
  <c r="M12" i="123"/>
  <c r="D12" i="123"/>
  <c r="C12" i="123"/>
  <c r="FU11" i="123"/>
  <c r="FF11" i="123"/>
  <c r="EW11" i="123"/>
  <c r="FV11" i="123"/>
  <c r="EN11" i="123"/>
  <c r="DV11" i="123"/>
  <c r="DG11" i="123"/>
  <c r="CX11" i="123"/>
  <c r="CO11" i="123"/>
  <c r="BW11" i="123"/>
  <c r="BH11" i="123"/>
  <c r="AY11" i="123"/>
  <c r="AP11" i="123"/>
  <c r="AJ11" i="123"/>
  <c r="CI11" i="123" s="1"/>
  <c r="EH11" i="123" s="1"/>
  <c r="U11" i="123"/>
  <c r="L11" i="123"/>
  <c r="C11" i="123"/>
  <c r="FZ10" i="123"/>
  <c r="AE17" i="126" s="1"/>
  <c r="FV10" i="123"/>
  <c r="FG10" i="123"/>
  <c r="EX10" i="123"/>
  <c r="EO10" i="123"/>
  <c r="DW10" i="123"/>
  <c r="DH10" i="123"/>
  <c r="DG10" i="123"/>
  <c r="CY10" i="123"/>
  <c r="CP10" i="123"/>
  <c r="BX10" i="123"/>
  <c r="BI10" i="123"/>
  <c r="AZ10" i="123"/>
  <c r="AQ10" i="123"/>
  <c r="AK10" i="123"/>
  <c r="V10" i="123"/>
  <c r="M10" i="123"/>
  <c r="D10" i="123"/>
  <c r="C10" i="123"/>
  <c r="C21" i="123" s="1"/>
  <c r="B21" i="123" s="1"/>
  <c r="K75" i="123"/>
  <c r="T75" i="123" s="1"/>
  <c r="K74" i="123"/>
  <c r="T74" i="123" s="1"/>
  <c r="K73" i="123"/>
  <c r="AZ53" i="123"/>
  <c r="BI53" i="123" s="1"/>
  <c r="CM81" i="122"/>
  <c r="M46" i="123"/>
  <c r="V46" i="123" s="1"/>
  <c r="N29" i="125"/>
  <c r="P28" i="125"/>
  <c r="AB22" i="125"/>
  <c r="P22" i="125"/>
  <c r="N22" i="125"/>
  <c r="M20" i="125"/>
  <c r="BW46" i="123"/>
  <c r="EW12" i="123"/>
  <c r="FZ12" i="123"/>
  <c r="AE19" i="126" s="1"/>
  <c r="EN12" i="123"/>
  <c r="DG12" i="123"/>
  <c r="U12" i="123"/>
  <c r="AY12" i="123"/>
  <c r="CX12" i="123"/>
  <c r="FF12" i="123"/>
  <c r="AY10" i="123"/>
  <c r="BH12" i="123"/>
  <c r="DJ27" i="123"/>
  <c r="Q20" i="125"/>
  <c r="AC20" i="125"/>
  <c r="N14" i="125"/>
  <c r="DW9" i="123"/>
  <c r="BX9" i="123"/>
  <c r="BW10" i="123"/>
  <c r="FU22" i="123"/>
  <c r="FV23" i="123"/>
  <c r="AP10" i="123"/>
  <c r="CX10" i="123"/>
  <c r="DV10" i="123"/>
  <c r="FF10" i="123"/>
  <c r="DW11" i="123"/>
  <c r="DW25" i="123"/>
  <c r="BX11" i="123"/>
  <c r="U10" i="123"/>
  <c r="CO10" i="123"/>
  <c r="CO21" i="123" s="1"/>
  <c r="CN21" i="123" s="1"/>
  <c r="EW10" i="123"/>
  <c r="FU10" i="123"/>
  <c r="BW22" i="123"/>
  <c r="BX23" i="123"/>
  <c r="BW24" i="123"/>
  <c r="FU24" i="123"/>
  <c r="BW49" i="123"/>
  <c r="DW53" i="123"/>
  <c r="DV9" i="123"/>
  <c r="L10" i="123"/>
  <c r="BB27" i="123"/>
  <c r="BH10" i="123"/>
  <c r="EN10" i="123"/>
  <c r="AJ21" i="123"/>
  <c r="BW21" i="123"/>
  <c r="DV21" i="123"/>
  <c r="FU21" i="123"/>
  <c r="AJ22" i="123"/>
  <c r="DV22" i="123"/>
  <c r="AK23" i="123"/>
  <c r="DW23" i="123"/>
  <c r="DV24" i="123"/>
  <c r="B67" i="123"/>
  <c r="AI72" i="123"/>
  <c r="AD28" i="125"/>
  <c r="Q28" i="125"/>
  <c r="V14" i="125"/>
  <c r="AB14" i="125"/>
  <c r="M14" i="125"/>
  <c r="V20" i="125"/>
  <c r="AD20" i="125"/>
  <c r="AB29" i="125"/>
  <c r="DW44" i="123"/>
  <c r="FU39" i="123"/>
  <c r="FV39" i="123"/>
  <c r="FV56" i="123"/>
  <c r="FU56" i="123"/>
  <c r="BX53" i="123"/>
  <c r="BW40" i="123"/>
  <c r="BX40" i="123"/>
  <c r="AK25" i="123"/>
  <c r="DW50" i="123"/>
  <c r="DV56" i="123"/>
  <c r="DW56" i="123"/>
  <c r="DW59" i="123"/>
  <c r="DV59" i="123"/>
  <c r="FV41" i="123"/>
  <c r="BX35" i="123"/>
  <c r="FU47" i="123"/>
  <c r="FV47" i="123"/>
  <c r="FU54" i="123"/>
  <c r="FV54" i="123"/>
  <c r="FV57" i="123"/>
  <c r="FU57" i="123"/>
  <c r="FV8" i="123"/>
  <c r="FU8" i="123"/>
  <c r="DV40" i="123"/>
  <c r="DW40" i="123"/>
  <c r="DV36" i="123"/>
  <c r="DW36" i="123"/>
  <c r="FU37" i="123"/>
  <c r="FV37" i="123"/>
  <c r="BW45" i="123"/>
  <c r="BX45" i="123"/>
  <c r="BX50" i="123"/>
  <c r="BX59" i="123"/>
  <c r="BW59" i="123"/>
  <c r="BW36" i="123"/>
  <c r="BX36" i="123"/>
  <c r="DW60" i="123"/>
  <c r="DV60" i="123"/>
  <c r="FU55" i="123"/>
  <c r="FV55" i="123"/>
  <c r="DV38" i="123"/>
  <c r="DW38" i="123"/>
  <c r="FU36" i="123"/>
  <c r="FV36" i="123"/>
  <c r="AJ25" i="123"/>
  <c r="DV54" i="123"/>
  <c r="DW54" i="123"/>
  <c r="DW57" i="123"/>
  <c r="DV57" i="123"/>
  <c r="BW37" i="123"/>
  <c r="BX37" i="123"/>
  <c r="BW39" i="123"/>
  <c r="BX39" i="123"/>
  <c r="FV35" i="123"/>
  <c r="FU51" i="123"/>
  <c r="FV51" i="123"/>
  <c r="FV59" i="123"/>
  <c r="FU59" i="123"/>
  <c r="FV58" i="123"/>
  <c r="FU58" i="123"/>
  <c r="BX41" i="123"/>
  <c r="DV45" i="123"/>
  <c r="DW45" i="123"/>
  <c r="BW38" i="123"/>
  <c r="BX38" i="123"/>
  <c r="BW9" i="123"/>
  <c r="DW39" i="123"/>
  <c r="DW35" i="123"/>
  <c r="BW55" i="123"/>
  <c r="BX55" i="123"/>
  <c r="BW54" i="123"/>
  <c r="BX54" i="123"/>
  <c r="BX60" i="123"/>
  <c r="BW60" i="123"/>
  <c r="BX8" i="123"/>
  <c r="BW8" i="123"/>
  <c r="DV55" i="123"/>
  <c r="DW55" i="123"/>
  <c r="FV50" i="123"/>
  <c r="FU38" i="123"/>
  <c r="FV38" i="123"/>
  <c r="BX44" i="123"/>
  <c r="BX58" i="123"/>
  <c r="BW58" i="123"/>
  <c r="FU40" i="123"/>
  <c r="FV40" i="123"/>
  <c r="DV25" i="123"/>
  <c r="DV47" i="123"/>
  <c r="DW47" i="123"/>
  <c r="DV51" i="123"/>
  <c r="DW51" i="123"/>
  <c r="DW58" i="123"/>
  <c r="DV58" i="123"/>
  <c r="FV44" i="123"/>
  <c r="DW41" i="123"/>
  <c r="DV37" i="123"/>
  <c r="DW37" i="123"/>
  <c r="BX25" i="123"/>
  <c r="FU45" i="123"/>
  <c r="FV45" i="123"/>
  <c r="FV53" i="123"/>
  <c r="FV60" i="123"/>
  <c r="FU60" i="123"/>
  <c r="DW8" i="123"/>
  <c r="DV8" i="123"/>
  <c r="BW51" i="123"/>
  <c r="BX51" i="123"/>
  <c r="DV39" i="123"/>
  <c r="DV35" i="123"/>
  <c r="BW47" i="123"/>
  <c r="BX47" i="123"/>
  <c r="BW56" i="123"/>
  <c r="BX56" i="123"/>
  <c r="BX57" i="123"/>
  <c r="BW57" i="123"/>
  <c r="FU44" i="123"/>
  <c r="FU53" i="123"/>
  <c r="BW44" i="123"/>
  <c r="BW41" i="123"/>
  <c r="FU35" i="123"/>
  <c r="DV41" i="123"/>
  <c r="FU41" i="123"/>
  <c r="CW75" i="123"/>
  <c r="DF75" i="123" s="1"/>
  <c r="DO75" i="123" s="1"/>
  <c r="FU50" i="123"/>
  <c r="BW53" i="123"/>
  <c r="BW35" i="123"/>
  <c r="DV44" i="123"/>
  <c r="DV53" i="123"/>
  <c r="AK8" i="123"/>
  <c r="BW50" i="123"/>
  <c r="DV50" i="123"/>
  <c r="EV74" i="123"/>
  <c r="FE74" i="123" s="1"/>
  <c r="AG33" i="66"/>
  <c r="AO33" i="66" s="1"/>
  <c r="P5" i="65"/>
  <c r="CI127" i="8"/>
  <c r="CE127" i="8"/>
  <c r="CA127" i="8"/>
  <c r="CJ127" i="8"/>
  <c r="CH127" i="8"/>
  <c r="CG127" i="8"/>
  <c r="CF127" i="8"/>
  <c r="CD127" i="8"/>
  <c r="CC127" i="8"/>
  <c r="CB127" i="8"/>
  <c r="BZ127" i="8"/>
  <c r="BY127" i="8"/>
  <c r="CE173" i="7"/>
  <c r="CD173" i="7"/>
  <c r="CC173" i="7"/>
  <c r="CB173" i="7"/>
  <c r="CN169" i="7"/>
  <c r="CM169" i="7"/>
  <c r="CL169" i="7"/>
  <c r="CK169" i="7"/>
  <c r="CJ169" i="7"/>
  <c r="CI169" i="7"/>
  <c r="CQ122" i="8"/>
  <c r="CN122" i="8"/>
  <c r="BV122" i="8"/>
  <c r="BS122" i="8"/>
  <c r="BP122" i="8"/>
  <c r="BM122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J122" i="8"/>
  <c r="CJ62" i="8"/>
  <c r="CJ63" i="8" s="1"/>
  <c r="CI62" i="8"/>
  <c r="CI63" i="8" s="1"/>
  <c r="CH62" i="8"/>
  <c r="CH63" i="8" s="1"/>
  <c r="CG62" i="8"/>
  <c r="CG63" i="8" s="1"/>
  <c r="CF62" i="8"/>
  <c r="CF63" i="8" s="1"/>
  <c r="CE62" i="8"/>
  <c r="CE63" i="8" s="1"/>
  <c r="CD62" i="8"/>
  <c r="CD63" i="8" s="1"/>
  <c r="CC62" i="8"/>
  <c r="CC63" i="8" s="1"/>
  <c r="CB62" i="8"/>
  <c r="CB63" i="8" s="1"/>
  <c r="CA62" i="8"/>
  <c r="CA63" i="8" s="1"/>
  <c r="BZ62" i="8"/>
  <c r="BZ63" i="8" s="1"/>
  <c r="BY62" i="8"/>
  <c r="BY63" i="8" s="1"/>
  <c r="BO62" i="8"/>
  <c r="BN62" i="8"/>
  <c r="BB63" i="8"/>
  <c r="AZ63" i="8" s="1"/>
  <c r="AS63" i="8"/>
  <c r="AP63" i="8"/>
  <c r="AI63" i="8"/>
  <c r="AW63" i="8" s="1"/>
  <c r="CE171" i="7"/>
  <c r="CD171" i="7"/>
  <c r="CC171" i="7"/>
  <c r="CB171" i="7"/>
  <c r="BS169" i="7"/>
  <c r="BP169" i="7"/>
  <c r="CE168" i="7"/>
  <c r="CD168" i="7"/>
  <c r="CC168" i="7"/>
  <c r="CB168" i="7"/>
  <c r="BM169" i="7"/>
  <c r="CE72" i="7"/>
  <c r="CE73" i="7" s="1"/>
  <c r="CD72" i="7"/>
  <c r="CD73" i="7" s="1"/>
  <c r="CC72" i="7"/>
  <c r="CC73" i="7" s="1"/>
  <c r="CB72" i="7"/>
  <c r="CB73" i="7" s="1"/>
  <c r="BR72" i="7"/>
  <c r="BQ72" i="7"/>
  <c r="BO72" i="7"/>
  <c r="BN72" i="7"/>
  <c r="AI40" i="65"/>
  <c r="AH31" i="66"/>
  <c r="AH30" i="66"/>
  <c r="AH28" i="66"/>
  <c r="AH27" i="66"/>
  <c r="AH26" i="66"/>
  <c r="AG25" i="66"/>
  <c r="AG22" i="66"/>
  <c r="AG21" i="66"/>
  <c r="AG20" i="66"/>
  <c r="AG19" i="66"/>
  <c r="AI46" i="65"/>
  <c r="AI41" i="65"/>
  <c r="AJ37" i="65"/>
  <c r="AI33" i="65"/>
  <c r="AG17" i="64"/>
  <c r="CH190" i="7"/>
  <c r="CH189" i="7"/>
  <c r="AH30" i="64"/>
  <c r="AH29" i="64"/>
  <c r="AH27" i="64"/>
  <c r="AH26" i="64"/>
  <c r="AH25" i="64"/>
  <c r="AG24" i="64"/>
  <c r="AG21" i="64"/>
  <c r="AG20" i="64"/>
  <c r="AG19" i="64"/>
  <c r="AG18" i="64"/>
  <c r="AY23" i="61"/>
  <c r="AY21" i="61"/>
  <c r="AY20" i="61"/>
  <c r="AX46" i="61"/>
  <c r="C40" i="119"/>
  <c r="C32" i="119"/>
  <c r="C25" i="119"/>
  <c r="G12" i="119"/>
  <c r="G11" i="119"/>
  <c r="G9" i="119"/>
  <c r="F9" i="119"/>
  <c r="F10" i="119" s="1"/>
  <c r="G8" i="119"/>
  <c r="G7" i="119"/>
  <c r="G6" i="119"/>
  <c r="F6" i="119"/>
  <c r="AX41" i="61"/>
  <c r="T7" i="102"/>
  <c r="CG60" i="7" s="1"/>
  <c r="CF60" i="7" s="1"/>
  <c r="CF157" i="7" s="1"/>
  <c r="M66" i="123"/>
  <c r="V66" i="123" s="1"/>
  <c r="AQ66" i="123" s="1"/>
  <c r="AZ66" i="123" s="1"/>
  <c r="BI66" i="123" s="1"/>
  <c r="BR66" i="123" s="1"/>
  <c r="AX42" i="61"/>
  <c r="AX33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T13" i="102"/>
  <c r="Y13" i="102" s="1"/>
  <c r="Y16" i="102" s="1"/>
  <c r="CM106" i="8"/>
  <c r="CM143" i="8" s="1"/>
  <c r="CL48" i="8"/>
  <c r="CL106" i="8" s="1"/>
  <c r="CG62" i="7"/>
  <c r="AX19" i="61" s="1"/>
  <c r="E108" i="118"/>
  <c r="E48" i="118"/>
  <c r="E46" i="118"/>
  <c r="D43" i="118"/>
  <c r="B43" i="118" s="1"/>
  <c r="C43" i="118" s="1"/>
  <c r="C44" i="118" s="1"/>
  <c r="D38" i="118"/>
  <c r="B38" i="118" s="1"/>
  <c r="C38" i="118" s="1"/>
  <c r="C37" i="118"/>
  <c r="B37" i="118"/>
  <c r="B33" i="118"/>
  <c r="C33" i="118" s="1"/>
  <c r="D33" i="118" s="1"/>
  <c r="B32" i="118"/>
  <c r="B28" i="118"/>
  <c r="C28" i="118" s="1"/>
  <c r="B27" i="118"/>
  <c r="D23" i="118"/>
  <c r="B23" i="118" s="1"/>
  <c r="D18" i="118"/>
  <c r="B18" i="118" s="1"/>
  <c r="B13" i="118"/>
  <c r="C13" i="118" s="1"/>
  <c r="B8" i="118"/>
  <c r="Z17" i="65"/>
  <c r="AB17" i="65" s="1"/>
  <c r="AC17" i="65" s="1"/>
  <c r="AD17" i="65" s="1"/>
  <c r="AE17" i="65" s="1"/>
  <c r="AF17" i="65" s="1"/>
  <c r="I16" i="92"/>
  <c r="T27" i="104" s="1"/>
  <c r="CL43" i="8" s="1"/>
  <c r="T10" i="104"/>
  <c r="CG53" i="7" s="1"/>
  <c r="AK69" i="32"/>
  <c r="AI66" i="32"/>
  <c r="AI64" i="32"/>
  <c r="AI62" i="32"/>
  <c r="AP44" i="6"/>
  <c r="AP43" i="6"/>
  <c r="AP41" i="6"/>
  <c r="AP38" i="6"/>
  <c r="AP31" i="6"/>
  <c r="AP17" i="6"/>
  <c r="AP10" i="6"/>
  <c r="AX45" i="5"/>
  <c r="AX44" i="5"/>
  <c r="BB44" i="5" s="1"/>
  <c r="AX43" i="5"/>
  <c r="AX42" i="5"/>
  <c r="AX37" i="5"/>
  <c r="AX36" i="5"/>
  <c r="AX35" i="5"/>
  <c r="AX33" i="5"/>
  <c r="AX32" i="5"/>
  <c r="AX31" i="5"/>
  <c r="BB31" i="5" s="1"/>
  <c r="AX22" i="5"/>
  <c r="AX21" i="5"/>
  <c r="BB21" i="5" s="1"/>
  <c r="AX20" i="5"/>
  <c r="BB20" i="5" s="1"/>
  <c r="AX19" i="5"/>
  <c r="BB19" i="5" s="1"/>
  <c r="AX16" i="5"/>
  <c r="BB16" i="5" s="1"/>
  <c r="AX9" i="5"/>
  <c r="CM30" i="8"/>
  <c r="CM27" i="8" s="1"/>
  <c r="CH49" i="7"/>
  <c r="CH43" i="7" s="1"/>
  <c r="CV29" i="17"/>
  <c r="CV24" i="17" s="1"/>
  <c r="CV31" i="17"/>
  <c r="K28" i="111"/>
  <c r="CF22" i="7" s="1"/>
  <c r="K27" i="111"/>
  <c r="CF12" i="7" s="1"/>
  <c r="L26" i="111"/>
  <c r="L32" i="111"/>
  <c r="J55" i="97"/>
  <c r="J52" i="97"/>
  <c r="K34" i="111" s="1"/>
  <c r="CK22" i="8" s="1"/>
  <c r="J51" i="97"/>
  <c r="K33" i="111" s="1"/>
  <c r="CG44" i="7"/>
  <c r="CF44" i="7" s="1"/>
  <c r="CM128" i="8"/>
  <c r="CL128" i="8"/>
  <c r="CK128" i="8"/>
  <c r="CM125" i="8"/>
  <c r="CL125" i="8"/>
  <c r="CK125" i="8"/>
  <c r="CM110" i="8"/>
  <c r="CL110" i="8"/>
  <c r="CM109" i="8"/>
  <c r="CM140" i="8" s="1"/>
  <c r="CL109" i="8"/>
  <c r="AI14" i="65" s="1"/>
  <c r="CM108" i="8"/>
  <c r="CM142" i="8" s="1"/>
  <c r="CK52" i="8"/>
  <c r="CK110" i="8" s="1"/>
  <c r="CK51" i="8"/>
  <c r="CK109" i="8" s="1"/>
  <c r="CK36" i="8"/>
  <c r="CK21" i="8"/>
  <c r="CM102" i="8"/>
  <c r="CK11" i="8"/>
  <c r="CH175" i="7"/>
  <c r="CG175" i="7"/>
  <c r="CF175" i="7"/>
  <c r="CH172" i="7"/>
  <c r="CG172" i="7"/>
  <c r="CF172" i="7"/>
  <c r="CH159" i="7"/>
  <c r="CG159" i="7"/>
  <c r="CF159" i="7"/>
  <c r="CH158" i="7"/>
  <c r="CH187" i="7" s="1"/>
  <c r="CH155" i="7"/>
  <c r="CH151" i="7"/>
  <c r="CG61" i="7"/>
  <c r="CF61" i="7" s="1"/>
  <c r="CF158" i="7" s="1"/>
  <c r="CH157" i="7"/>
  <c r="CG37" i="7"/>
  <c r="CH24" i="7"/>
  <c r="CH17" i="7" s="1"/>
  <c r="CF21" i="7"/>
  <c r="CF11" i="7"/>
  <c r="AD33" i="98"/>
  <c r="AD18" i="98"/>
  <c r="AH18" i="98" s="1"/>
  <c r="AH22" i="98" s="1"/>
  <c r="AE42" i="95"/>
  <c r="AI42" i="95" s="1"/>
  <c r="M26" i="95"/>
  <c r="AE26" i="95" s="1"/>
  <c r="AI26" i="95" s="1"/>
  <c r="AE17" i="95"/>
  <c r="AI17" i="95" s="1"/>
  <c r="CM34" i="8"/>
  <c r="CM99" i="8"/>
  <c r="BD66" i="3"/>
  <c r="BD63" i="3"/>
  <c r="CL120" i="8" s="1"/>
  <c r="CL62" i="8" s="1"/>
  <c r="BD57" i="3"/>
  <c r="BD49" i="3" s="1"/>
  <c r="BD45" i="3" s="1"/>
  <c r="BD44" i="3" s="1"/>
  <c r="BD53" i="3"/>
  <c r="BE49" i="3"/>
  <c r="BE46" i="3" s="1"/>
  <c r="BE44" i="3" s="1"/>
  <c r="V27" i="104"/>
  <c r="R20" i="105"/>
  <c r="R26" i="105" s="1"/>
  <c r="R21" i="105"/>
  <c r="R27" i="105" s="1"/>
  <c r="R22" i="105"/>
  <c r="R28" i="105" s="1"/>
  <c r="R14" i="105"/>
  <c r="R6" i="105"/>
  <c r="CS69" i="8"/>
  <c r="CS67" i="8" s="1"/>
  <c r="CR69" i="8"/>
  <c r="CR68" i="8"/>
  <c r="CS66" i="8"/>
  <c r="CR66" i="8"/>
  <c r="CP50" i="8"/>
  <c r="CP108" i="8" s="1"/>
  <c r="K8" i="92"/>
  <c r="K14" i="92" s="1"/>
  <c r="CS18" i="8"/>
  <c r="CR18" i="8"/>
  <c r="CK148" i="7"/>
  <c r="CN148" i="7"/>
  <c r="CN159" i="7"/>
  <c r="CM159" i="7"/>
  <c r="CL159" i="7"/>
  <c r="CN158" i="7"/>
  <c r="CN187" i="7" s="1"/>
  <c r="CM158" i="7"/>
  <c r="CN155" i="7"/>
  <c r="CM155" i="7"/>
  <c r="CN152" i="7"/>
  <c r="CN151" i="7"/>
  <c r="CN150" i="7"/>
  <c r="CM150" i="7"/>
  <c r="CM190" i="7"/>
  <c r="CN190" i="7"/>
  <c r="CN175" i="7"/>
  <c r="CM175" i="7"/>
  <c r="CL175" i="7"/>
  <c r="CN172" i="7"/>
  <c r="CM172" i="7"/>
  <c r="CL172" i="7"/>
  <c r="CN79" i="7"/>
  <c r="CN77" i="7" s="1"/>
  <c r="CM79" i="7"/>
  <c r="CM78" i="7"/>
  <c r="CN76" i="7"/>
  <c r="CM76" i="7"/>
  <c r="CK60" i="7"/>
  <c r="M28" i="111"/>
  <c r="CM22" i="7" s="1"/>
  <c r="AO66" i="32"/>
  <c r="AO68" i="32" s="1"/>
  <c r="AO64" i="32"/>
  <c r="AO62" i="32"/>
  <c r="AQ62" i="32" s="1"/>
  <c r="V15" i="102"/>
  <c r="V13" i="102" s="1"/>
  <c r="V9" i="102"/>
  <c r="Q10" i="100"/>
  <c r="CM47" i="7" s="1"/>
  <c r="CL47" i="7" s="1"/>
  <c r="CJ26" i="19"/>
  <c r="CM26" i="19"/>
  <c r="CL26" i="19"/>
  <c r="CK26" i="19"/>
  <c r="CO26" i="19"/>
  <c r="CJ27" i="19"/>
  <c r="CM27" i="19"/>
  <c r="CL27" i="19"/>
  <c r="CK27" i="19"/>
  <c r="CO27" i="19"/>
  <c r="CJ16" i="19"/>
  <c r="CM16" i="19"/>
  <c r="CL16" i="19"/>
  <c r="CK16" i="19"/>
  <c r="CO16" i="19"/>
  <c r="CN14" i="19"/>
  <c r="CO12" i="19"/>
  <c r="CN12" i="19"/>
  <c r="CM12" i="19"/>
  <c r="CL12" i="19"/>
  <c r="CK12" i="19"/>
  <c r="CJ12" i="19"/>
  <c r="CN49" i="19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5" i="19"/>
  <c r="CI24" i="19"/>
  <c r="CI23" i="19"/>
  <c r="CI22" i="19"/>
  <c r="CI21" i="19"/>
  <c r="CI20" i="19"/>
  <c r="CI19" i="19"/>
  <c r="CI18" i="19"/>
  <c r="CI17" i="19"/>
  <c r="CI15" i="19"/>
  <c r="CI11" i="19"/>
  <c r="CI10" i="19"/>
  <c r="CI14" i="19" s="1"/>
  <c r="CJ14" i="19" s="1"/>
  <c r="CL14" i="19" s="1"/>
  <c r="CL13" i="19" s="1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N67" i="96"/>
  <c r="CR19" i="8" s="1"/>
  <c r="N59" i="96"/>
  <c r="AA59" i="96" s="1"/>
  <c r="M59" i="96"/>
  <c r="M58" i="96"/>
  <c r="N54" i="96"/>
  <c r="AA54" i="96" s="1"/>
  <c r="AA55" i="96" s="1"/>
  <c r="N11" i="96"/>
  <c r="AA11" i="96" s="1"/>
  <c r="AA12" i="96" s="1"/>
  <c r="AF19" i="98"/>
  <c r="AG40" i="95"/>
  <c r="AG38" i="95" s="1"/>
  <c r="AG26" i="95"/>
  <c r="BH63" i="3"/>
  <c r="BF63" i="3"/>
  <c r="BH66" i="3"/>
  <c r="BH53" i="3"/>
  <c r="AZ66" i="3"/>
  <c r="BF66" i="3"/>
  <c r="BB66" i="3"/>
  <c r="AZ53" i="3"/>
  <c r="BF53" i="3"/>
  <c r="BB53" i="3"/>
  <c r="AV66" i="3"/>
  <c r="AV53" i="3"/>
  <c r="CP142" i="8"/>
  <c r="AI18" i="66" s="1"/>
  <c r="CK189" i="7"/>
  <c r="CP69" i="8"/>
  <c r="CP67" i="8" s="1"/>
  <c r="CO69" i="8"/>
  <c r="CO68" i="8"/>
  <c r="CP66" i="8"/>
  <c r="CO66" i="8"/>
  <c r="CK79" i="7"/>
  <c r="CK77" i="7" s="1"/>
  <c r="CK76" i="7"/>
  <c r="CJ79" i="7"/>
  <c r="CJ78" i="7"/>
  <c r="CJ76" i="7"/>
  <c r="U15" i="102"/>
  <c r="U13" i="102" s="1"/>
  <c r="U9" i="102"/>
  <c r="CJ60" i="7" s="1"/>
  <c r="CJ157" i="7" s="1"/>
  <c r="CO18" i="8"/>
  <c r="CP18" i="8"/>
  <c r="CJ26" i="7"/>
  <c r="CI26" i="7" s="1"/>
  <c r="Q22" i="105"/>
  <c r="Q28" i="105" s="1"/>
  <c r="Q21" i="105"/>
  <c r="Q27" i="105" s="1"/>
  <c r="Q20" i="105"/>
  <c r="Q26" i="105" s="1"/>
  <c r="Q14" i="105"/>
  <c r="Q6" i="105"/>
  <c r="U39" i="104"/>
  <c r="U27" i="104"/>
  <c r="J8" i="92"/>
  <c r="J14" i="92" s="1"/>
  <c r="AL66" i="32"/>
  <c r="AL64" i="32"/>
  <c r="AN64" i="32" s="1"/>
  <c r="AL62" i="32"/>
  <c r="AN62" i="32" s="1"/>
  <c r="P10" i="100"/>
  <c r="CJ47" i="7" s="1"/>
  <c r="CI47" i="7" s="1"/>
  <c r="CC16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D16" i="19"/>
  <c r="CH16" i="19"/>
  <c r="CB17" i="19"/>
  <c r="CB15" i="19"/>
  <c r="CG14" i="19"/>
  <c r="CH12" i="19"/>
  <c r="CG12" i="19"/>
  <c r="CF12" i="19"/>
  <c r="CE12" i="19"/>
  <c r="CD12" i="19"/>
  <c r="CC12" i="19"/>
  <c r="CB11" i="19"/>
  <c r="CB10" i="19"/>
  <c r="CB14" i="19" s="1"/>
  <c r="CD14" i="19" s="1"/>
  <c r="CD13" i="19" s="1"/>
  <c r="CB9" i="19"/>
  <c r="CB8" i="19"/>
  <c r="DG31" i="17"/>
  <c r="DE31" i="17"/>
  <c r="DD31" i="17"/>
  <c r="DB31" i="17"/>
  <c r="CZ36" i="17"/>
  <c r="CZ35" i="17"/>
  <c r="CZ34" i="17"/>
  <c r="CZ33" i="17"/>
  <c r="CZ32" i="17"/>
  <c r="DA31" i="17"/>
  <c r="CY31" i="17"/>
  <c r="CZ30" i="17"/>
  <c r="CZ29" i="17"/>
  <c r="CZ28" i="17"/>
  <c r="CZ27" i="17"/>
  <c r="CZ26" i="17"/>
  <c r="CZ25" i="17"/>
  <c r="DG24" i="17"/>
  <c r="DE24" i="17"/>
  <c r="DD24" i="17"/>
  <c r="DB24" i="17"/>
  <c r="DA24" i="17"/>
  <c r="CY24" i="17"/>
  <c r="CJ56" i="7"/>
  <c r="CI56" i="7" s="1"/>
  <c r="Q31" i="105"/>
  <c r="U8" i="104"/>
  <c r="CO46" i="8"/>
  <c r="U26" i="104"/>
  <c r="M67" i="96"/>
  <c r="CO19" i="8" s="1"/>
  <c r="M54" i="96"/>
  <c r="O21" i="96"/>
  <c r="N21" i="96"/>
  <c r="AA21" i="96" s="1"/>
  <c r="AA22" i="96" s="1"/>
  <c r="O26" i="96"/>
  <c r="N26" i="96"/>
  <c r="AA26" i="96" s="1"/>
  <c r="AA27" i="96" s="1"/>
  <c r="O31" i="96"/>
  <c r="N31" i="96"/>
  <c r="AA31" i="96" s="1"/>
  <c r="AA32" i="96" s="1"/>
  <c r="O36" i="96"/>
  <c r="N36" i="96"/>
  <c r="AA36" i="96" s="1"/>
  <c r="AA37" i="96" s="1"/>
  <c r="O49" i="96"/>
  <c r="N49" i="96"/>
  <c r="AA49" i="96" s="1"/>
  <c r="AA50" i="96" s="1"/>
  <c r="M49" i="96"/>
  <c r="O44" i="96"/>
  <c r="CP19" i="7" s="1"/>
  <c r="CO19" i="7" s="1"/>
  <c r="CO151" i="7" s="1"/>
  <c r="N44" i="96"/>
  <c r="CM19" i="7" s="1"/>
  <c r="CM151" i="7" s="1"/>
  <c r="M44" i="96"/>
  <c r="CJ19" i="7" s="1"/>
  <c r="M36" i="96"/>
  <c r="M31" i="96"/>
  <c r="M26" i="96"/>
  <c r="M21" i="96"/>
  <c r="O16" i="96"/>
  <c r="N16" i="96"/>
  <c r="AA16" i="96" s="1"/>
  <c r="AA17" i="96" s="1"/>
  <c r="M16" i="96"/>
  <c r="O11" i="96"/>
  <c r="M11" i="96"/>
  <c r="BC18" i="10"/>
  <c r="BB18" i="10"/>
  <c r="BC13" i="10"/>
  <c r="BB13" i="10"/>
  <c r="BA17" i="10"/>
  <c r="BA16" i="10"/>
  <c r="BA15" i="10"/>
  <c r="BA14" i="10"/>
  <c r="BA11" i="10"/>
  <c r="BA10" i="10"/>
  <c r="BA9" i="10"/>
  <c r="BA8" i="10"/>
  <c r="BA7" i="10"/>
  <c r="AZ18" i="10"/>
  <c r="AY18" i="10"/>
  <c r="AX17" i="10"/>
  <c r="AX16" i="10"/>
  <c r="AX15" i="10"/>
  <c r="AX14" i="10"/>
  <c r="AX11" i="10"/>
  <c r="AX10" i="10"/>
  <c r="AX9" i="10"/>
  <c r="AX8" i="10"/>
  <c r="AX7" i="10"/>
  <c r="AZ13" i="10"/>
  <c r="AY13" i="10"/>
  <c r="AU17" i="10"/>
  <c r="AU16" i="10"/>
  <c r="AU15" i="10"/>
  <c r="AU14" i="10"/>
  <c r="AW18" i="10"/>
  <c r="AV18" i="10"/>
  <c r="AW13" i="10"/>
  <c r="AU11" i="10"/>
  <c r="AU10" i="10"/>
  <c r="AU9" i="10"/>
  <c r="AU8" i="10"/>
  <c r="AU7" i="10"/>
  <c r="AV13" i="10"/>
  <c r="AG41" i="98"/>
  <c r="AF41" i="98"/>
  <c r="AE41" i="98"/>
  <c r="AG40" i="98"/>
  <c r="AF40" i="98"/>
  <c r="AE40" i="98"/>
  <c r="AG34" i="98"/>
  <c r="AF34" i="98"/>
  <c r="AE34" i="98"/>
  <c r="AG29" i="98"/>
  <c r="AF29" i="98"/>
  <c r="AE29" i="98"/>
  <c r="AE19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G43" i="95"/>
  <c r="CM18" i="7" s="1"/>
  <c r="CL18" i="7" s="1"/>
  <c r="AF43" i="95"/>
  <c r="CJ18" i="7" s="1"/>
  <c r="AF40" i="95"/>
  <c r="AF38" i="95" s="1"/>
  <c r="AH31" i="95"/>
  <c r="AH50" i="95" s="1"/>
  <c r="AG31" i="95"/>
  <c r="AG50" i="95" s="1"/>
  <c r="AF31" i="95"/>
  <c r="AF50" i="95" s="1"/>
  <c r="AH30" i="95"/>
  <c r="AH49" i="95" s="1"/>
  <c r="AG30" i="95"/>
  <c r="AG49" i="95" s="1"/>
  <c r="AF30" i="95"/>
  <c r="AF49" i="95" s="1"/>
  <c r="AF26" i="95"/>
  <c r="AH24" i="95"/>
  <c r="AG24" i="95"/>
  <c r="AF24" i="95"/>
  <c r="AH18" i="95"/>
  <c r="AH28" i="95" s="1"/>
  <c r="AH47" i="95" s="1"/>
  <c r="AG18" i="95"/>
  <c r="AG28" i="95" s="1"/>
  <c r="AG8" i="95"/>
  <c r="AF8" i="95"/>
  <c r="AF18" i="95"/>
  <c r="AF28" i="95" s="1"/>
  <c r="AG13" i="95"/>
  <c r="AF13" i="95"/>
  <c r="AS46" i="6"/>
  <c r="AR46" i="6"/>
  <c r="AQ46" i="6"/>
  <c r="BA47" i="5"/>
  <c r="AZ47" i="5"/>
  <c r="AY47" i="5"/>
  <c r="AS25" i="6"/>
  <c r="AR25" i="6"/>
  <c r="AQ25" i="6"/>
  <c r="AS18" i="6"/>
  <c r="AR18" i="6"/>
  <c r="AQ18" i="6"/>
  <c r="AS13" i="6"/>
  <c r="AT13" i="6" s="1"/>
  <c r="AR13" i="6"/>
  <c r="AQ13" i="6"/>
  <c r="AR11" i="6"/>
  <c r="AQ11" i="6"/>
  <c r="BA10" i="5"/>
  <c r="AZ10" i="5"/>
  <c r="AY10" i="5"/>
  <c r="AK10" i="5"/>
  <c r="AN10" i="5" s="1"/>
  <c r="AN8" i="5" s="1"/>
  <c r="AS11" i="6"/>
  <c r="BA17" i="5"/>
  <c r="AZ17" i="5"/>
  <c r="AY17" i="5"/>
  <c r="BA26" i="5"/>
  <c r="AZ26" i="5"/>
  <c r="AY26" i="5"/>
  <c r="BA12" i="5"/>
  <c r="BB12" i="5" s="1"/>
  <c r="AZ12" i="5"/>
  <c r="AY12" i="5"/>
  <c r="AM46" i="65"/>
  <c r="AL46" i="65"/>
  <c r="AK46" i="65"/>
  <c r="CK190" i="7"/>
  <c r="CJ190" i="7"/>
  <c r="BA46" i="61"/>
  <c r="AZ46" i="61"/>
  <c r="BA19" i="61"/>
  <c r="AZ19" i="61"/>
  <c r="BI63" i="3"/>
  <c r="BG63" i="3"/>
  <c r="BJ57" i="3"/>
  <c r="BJ49" i="3" s="1"/>
  <c r="BJ45" i="3" s="1"/>
  <c r="BJ44" i="3" s="1"/>
  <c r="BK49" i="3"/>
  <c r="CQ167" i="7" s="1"/>
  <c r="CQ72" i="7" s="1"/>
  <c r="BH57" i="3"/>
  <c r="BI49" i="3"/>
  <c r="AO65" i="32" s="1"/>
  <c r="BF57" i="3"/>
  <c r="BF49" i="3" s="1"/>
  <c r="BG49" i="3"/>
  <c r="AL65" i="32" s="1"/>
  <c r="AF12" i="98"/>
  <c r="AF27" i="98" s="1"/>
  <c r="CS50" i="8"/>
  <c r="CQ48" i="8"/>
  <c r="CQ106" i="8" s="1"/>
  <c r="CN48" i="8"/>
  <c r="CN106" i="8" s="1"/>
  <c r="CS46" i="8"/>
  <c r="CP46" i="8"/>
  <c r="CS44" i="8"/>
  <c r="CP44" i="8"/>
  <c r="CR44" i="8"/>
  <c r="CO44" i="8"/>
  <c r="CS43" i="8"/>
  <c r="CR43" i="8"/>
  <c r="CP43" i="8"/>
  <c r="CR41" i="8"/>
  <c r="CQ41" i="8" s="1"/>
  <c r="CO41" i="8"/>
  <c r="CN41" i="8" s="1"/>
  <c r="CR38" i="8"/>
  <c r="CR40" i="8" s="1"/>
  <c r="CO38" i="8"/>
  <c r="CO40" i="8" s="1"/>
  <c r="CR37" i="8"/>
  <c r="CQ37" i="8" s="1"/>
  <c r="CO37" i="8"/>
  <c r="CN37" i="8" s="1"/>
  <c r="CQ39" i="8"/>
  <c r="CN39" i="8"/>
  <c r="CS35" i="8"/>
  <c r="CS34" i="8" s="1"/>
  <c r="CR35" i="8"/>
  <c r="CP35" i="8"/>
  <c r="CP34" i="8" s="1"/>
  <c r="CO35" i="8"/>
  <c r="CR33" i="8"/>
  <c r="CQ33" i="8" s="1"/>
  <c r="CO33" i="8"/>
  <c r="CN33" i="8" s="1"/>
  <c r="CS32" i="8"/>
  <c r="CS27" i="8" s="1"/>
  <c r="CR32" i="8"/>
  <c r="CP32" i="8"/>
  <c r="CP27" i="8" s="1"/>
  <c r="CO32" i="8"/>
  <c r="CR29" i="8"/>
  <c r="CR31" i="8" s="1"/>
  <c r="CO29" i="8"/>
  <c r="CR28" i="8"/>
  <c r="CQ28" i="8" s="1"/>
  <c r="CO28" i="8"/>
  <c r="CN28" i="8" s="1"/>
  <c r="CQ30" i="8"/>
  <c r="CN30" i="8"/>
  <c r="CR26" i="8"/>
  <c r="CQ26" i="8" s="1"/>
  <c r="CO26" i="8"/>
  <c r="CN26" i="8" s="1"/>
  <c r="CS23" i="8"/>
  <c r="CS25" i="8" s="1"/>
  <c r="CR23" i="8"/>
  <c r="CR25" i="8" s="1"/>
  <c r="CP23" i="8"/>
  <c r="CP25" i="8" s="1"/>
  <c r="CO23" i="8"/>
  <c r="CR22" i="8"/>
  <c r="CQ22" i="8" s="1"/>
  <c r="CO22" i="8"/>
  <c r="CN22" i="8" s="1"/>
  <c r="CS20" i="8"/>
  <c r="CR20" i="8"/>
  <c r="CP20" i="8"/>
  <c r="CO20" i="8"/>
  <c r="CQ21" i="8"/>
  <c r="CN21" i="8"/>
  <c r="CQ24" i="8"/>
  <c r="CN24" i="8"/>
  <c r="CR16" i="8"/>
  <c r="CR103" i="8" s="1"/>
  <c r="CO16" i="8"/>
  <c r="CN16" i="8" s="1"/>
  <c r="CQ14" i="8"/>
  <c r="CQ101" i="8" s="1"/>
  <c r="CN14" i="8"/>
  <c r="CR13" i="8"/>
  <c r="CQ13" i="8" s="1"/>
  <c r="CO13" i="8"/>
  <c r="CN13" i="8" s="1"/>
  <c r="CR12" i="8"/>
  <c r="CQ12" i="8" s="1"/>
  <c r="CO12" i="8"/>
  <c r="CS10" i="8"/>
  <c r="CR10" i="8"/>
  <c r="CP10" i="8"/>
  <c r="CO10" i="8"/>
  <c r="CS9" i="8"/>
  <c r="CS8" i="8" s="1"/>
  <c r="CP9" i="8"/>
  <c r="AG11" i="98"/>
  <c r="AG26" i="98" s="1"/>
  <c r="AM45" i="65"/>
  <c r="CQ60" i="7"/>
  <c r="CQ189" i="7" s="1"/>
  <c r="CN60" i="7"/>
  <c r="CN189" i="7" s="1"/>
  <c r="CP58" i="7"/>
  <c r="CO58" i="7" s="1"/>
  <c r="CM58" i="7"/>
  <c r="CL58" i="7" s="1"/>
  <c r="CJ58" i="7"/>
  <c r="CI58" i="7" s="1"/>
  <c r="CQ54" i="7"/>
  <c r="CN54" i="7"/>
  <c r="CN52" i="7" s="1"/>
  <c r="CN153" i="7" s="1"/>
  <c r="CN188" i="7" s="1"/>
  <c r="AJ16" i="64" s="1"/>
  <c r="CM54" i="7"/>
  <c r="CK54" i="7"/>
  <c r="CK52" i="7" s="1"/>
  <c r="CK153" i="7" s="1"/>
  <c r="CK188" i="7" s="1"/>
  <c r="AI16" i="64" s="1"/>
  <c r="CJ54" i="7"/>
  <c r="CO55" i="7"/>
  <c r="CL55" i="7"/>
  <c r="CI55" i="7"/>
  <c r="CP48" i="7"/>
  <c r="CM48" i="7"/>
  <c r="CM50" i="7" s="1"/>
  <c r="CJ48" i="7"/>
  <c r="CI48" i="7" s="1"/>
  <c r="CP45" i="7"/>
  <c r="CO45" i="7" s="1"/>
  <c r="CM45" i="7"/>
  <c r="CL45" i="7" s="1"/>
  <c r="CJ45" i="7"/>
  <c r="CI45" i="7" s="1"/>
  <c r="CP44" i="7"/>
  <c r="CO44" i="7" s="1"/>
  <c r="CM44" i="7"/>
  <c r="CL44" i="7" s="1"/>
  <c r="CJ44" i="7"/>
  <c r="CI44" i="7" s="1"/>
  <c r="CO46" i="7"/>
  <c r="CL46" i="7"/>
  <c r="CI46" i="7"/>
  <c r="CO49" i="7"/>
  <c r="CL49" i="7"/>
  <c r="CI49" i="7"/>
  <c r="CP42" i="7"/>
  <c r="CO42" i="7" s="1"/>
  <c r="CM42" i="7"/>
  <c r="CL42" i="7" s="1"/>
  <c r="CJ42" i="7"/>
  <c r="CI42" i="7" s="1"/>
  <c r="CP39" i="7"/>
  <c r="CM39" i="7"/>
  <c r="CJ39" i="7"/>
  <c r="CI39" i="7" s="1"/>
  <c r="CO40" i="7"/>
  <c r="CL40" i="7"/>
  <c r="CI40" i="7"/>
  <c r="CP38" i="7"/>
  <c r="CO38" i="7" s="1"/>
  <c r="CM38" i="7"/>
  <c r="CL38" i="7" s="1"/>
  <c r="CJ38" i="7"/>
  <c r="CI38" i="7" s="1"/>
  <c r="CL37" i="7"/>
  <c r="CI37" i="7"/>
  <c r="CQ36" i="7"/>
  <c r="CQ35" i="7" s="1"/>
  <c r="CP36" i="7"/>
  <c r="CN36" i="7"/>
  <c r="CN35" i="7" s="1"/>
  <c r="CM36" i="7"/>
  <c r="CK36" i="7"/>
  <c r="CK35" i="7" s="1"/>
  <c r="CJ36" i="7"/>
  <c r="CP34" i="7"/>
  <c r="CO34" i="7" s="1"/>
  <c r="CM34" i="7"/>
  <c r="CL34" i="7" s="1"/>
  <c r="CJ34" i="7"/>
  <c r="CI34" i="7" s="1"/>
  <c r="CO32" i="7"/>
  <c r="CL32" i="7"/>
  <c r="CI32" i="7"/>
  <c r="CM23" i="7"/>
  <c r="CM25" i="7" s="1"/>
  <c r="EA25" i="7" s="1"/>
  <c r="EA17" i="7" s="1"/>
  <c r="CP31" i="7"/>
  <c r="CO31" i="7" s="1"/>
  <c r="CO33" i="7" s="1"/>
  <c r="CM31" i="7"/>
  <c r="CM33" i="7" s="1"/>
  <c r="CJ31" i="7"/>
  <c r="CI31" i="7" s="1"/>
  <c r="CO30" i="7"/>
  <c r="CL30" i="7"/>
  <c r="CI30" i="7"/>
  <c r="CQ29" i="7"/>
  <c r="CQ27" i="7" s="1"/>
  <c r="CP29" i="7"/>
  <c r="CN29" i="7"/>
  <c r="CN27" i="7" s="1"/>
  <c r="CM29" i="7"/>
  <c r="CK29" i="7"/>
  <c r="CK27" i="7" s="1"/>
  <c r="CJ29" i="7"/>
  <c r="CP28" i="7"/>
  <c r="CO28" i="7" s="1"/>
  <c r="CM28" i="7"/>
  <c r="CL28" i="7" s="1"/>
  <c r="CJ28" i="7"/>
  <c r="CI28" i="7" s="1"/>
  <c r="CP26" i="7"/>
  <c r="CO26" i="7" s="1"/>
  <c r="CM26" i="7"/>
  <c r="CL26" i="7" s="1"/>
  <c r="CO24" i="7"/>
  <c r="CL24" i="7"/>
  <c r="CI24" i="7"/>
  <c r="CP23" i="7"/>
  <c r="CO23" i="7" s="1"/>
  <c r="CJ23" i="7"/>
  <c r="CI23" i="7" s="1"/>
  <c r="CP22" i="7"/>
  <c r="CO22" i="7" s="1"/>
  <c r="CJ22" i="7"/>
  <c r="CI22" i="7" s="1"/>
  <c r="CQ20" i="7"/>
  <c r="CQ17" i="7" s="1"/>
  <c r="CP20" i="7"/>
  <c r="CN20" i="7"/>
  <c r="CM20" i="7"/>
  <c r="CK20" i="7"/>
  <c r="CK17" i="7" s="1"/>
  <c r="CJ20" i="7"/>
  <c r="CP18" i="7"/>
  <c r="CO18" i="7" s="1"/>
  <c r="CP16" i="7"/>
  <c r="CM16" i="7"/>
  <c r="CL16" i="7" s="1"/>
  <c r="CJ16" i="7"/>
  <c r="CO14" i="7"/>
  <c r="CL14" i="7"/>
  <c r="CI14" i="7"/>
  <c r="CQ13" i="7"/>
  <c r="CN13" i="7"/>
  <c r="CN15" i="7" s="1"/>
  <c r="CK13" i="7"/>
  <c r="CK149" i="7" s="1"/>
  <c r="CP13" i="7"/>
  <c r="CP15" i="7" s="1"/>
  <c r="CM13" i="7"/>
  <c r="CJ13" i="7"/>
  <c r="CJ15" i="7" s="1"/>
  <c r="CP12" i="7"/>
  <c r="CO12" i="7" s="1"/>
  <c r="CM12" i="7"/>
  <c r="CL12" i="7" s="1"/>
  <c r="CJ12" i="7"/>
  <c r="CI12" i="7" s="1"/>
  <c r="CQ10" i="7"/>
  <c r="CP10" i="7"/>
  <c r="CN10" i="7"/>
  <c r="CM10" i="7"/>
  <c r="CK10" i="7"/>
  <c r="CK9" i="7"/>
  <c r="CK144" i="7" s="1"/>
  <c r="CJ10" i="7"/>
  <c r="CP9" i="7"/>
  <c r="CN9" i="7"/>
  <c r="CN144" i="7" s="1"/>
  <c r="CM9" i="7"/>
  <c r="CJ9" i="7"/>
  <c r="CQ175" i="7"/>
  <c r="CP175" i="7"/>
  <c r="CO175" i="7"/>
  <c r="CQ172" i="7"/>
  <c r="CP172" i="7"/>
  <c r="CO172" i="7"/>
  <c r="CQ169" i="7"/>
  <c r="CP169" i="7"/>
  <c r="CO169" i="7"/>
  <c r="CQ159" i="7"/>
  <c r="CP159" i="7"/>
  <c r="CO159" i="7"/>
  <c r="CQ158" i="7"/>
  <c r="CQ187" i="7" s="1"/>
  <c r="CQ155" i="7"/>
  <c r="CQ151" i="7"/>
  <c r="CK175" i="7"/>
  <c r="CJ175" i="7"/>
  <c r="CI175" i="7"/>
  <c r="CK172" i="7"/>
  <c r="CJ172" i="7"/>
  <c r="CI172" i="7"/>
  <c r="CK159" i="7"/>
  <c r="CJ159" i="7"/>
  <c r="CI159" i="7"/>
  <c r="CK158" i="7"/>
  <c r="CK187" i="7" s="1"/>
  <c r="CJ158" i="7"/>
  <c r="AZ16" i="61" s="1"/>
  <c r="CK155" i="7"/>
  <c r="CJ155" i="7"/>
  <c r="CK151" i="7"/>
  <c r="CP61" i="7"/>
  <c r="CO61" i="7" s="1"/>
  <c r="CO158" i="7" s="1"/>
  <c r="CO21" i="7"/>
  <c r="CO11" i="7"/>
  <c r="CL62" i="7"/>
  <c r="CL155" i="7" s="1"/>
  <c r="CL61" i="7"/>
  <c r="CL158" i="7" s="1"/>
  <c r="CN43" i="7"/>
  <c r="CL21" i="7"/>
  <c r="CL11" i="7"/>
  <c r="CI62" i="7"/>
  <c r="CI155" i="7" s="1"/>
  <c r="CI61" i="7"/>
  <c r="CI158" i="7" s="1"/>
  <c r="CK43" i="7"/>
  <c r="CI21" i="7"/>
  <c r="CI11" i="7"/>
  <c r="CS128" i="8"/>
  <c r="CR128" i="8"/>
  <c r="CQ128" i="8"/>
  <c r="CS125" i="8"/>
  <c r="CR125" i="8"/>
  <c r="CQ125" i="8"/>
  <c r="CS110" i="8"/>
  <c r="CR110" i="8"/>
  <c r="CS109" i="8"/>
  <c r="CS140" i="8" s="1"/>
  <c r="CR109" i="8"/>
  <c r="AL14" i="65" s="1"/>
  <c r="CS106" i="8"/>
  <c r="CS143" i="8" s="1"/>
  <c r="CR106" i="8"/>
  <c r="AL17" i="65" s="1"/>
  <c r="CS103" i="8"/>
  <c r="CS102" i="8"/>
  <c r="CS99" i="8"/>
  <c r="CP128" i="8"/>
  <c r="CO128" i="8"/>
  <c r="CN128" i="8"/>
  <c r="CP125" i="8"/>
  <c r="CO125" i="8"/>
  <c r="CN125" i="8"/>
  <c r="CP110" i="8"/>
  <c r="CO110" i="8"/>
  <c r="CP109" i="8"/>
  <c r="CP140" i="8" s="1"/>
  <c r="CO109" i="8"/>
  <c r="AK14" i="65" s="1"/>
  <c r="CP106" i="8"/>
  <c r="CP143" i="8" s="1"/>
  <c r="CO106" i="8"/>
  <c r="AK17" i="65" s="1"/>
  <c r="CP103" i="8"/>
  <c r="CP99" i="8"/>
  <c r="CQ52" i="8"/>
  <c r="CQ110" i="8" s="1"/>
  <c r="CQ51" i="8"/>
  <c r="CQ109" i="8" s="1"/>
  <c r="CQ36" i="8"/>
  <c r="CQ11" i="8"/>
  <c r="CN52" i="8"/>
  <c r="CN110" i="8" s="1"/>
  <c r="CN51" i="8"/>
  <c r="CN109" i="8" s="1"/>
  <c r="CN36" i="8"/>
  <c r="CP101" i="8"/>
  <c r="CN11" i="8"/>
  <c r="BA33" i="61"/>
  <c r="AZ33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25" i="66"/>
  <c r="AK22" i="66"/>
  <c r="AK21" i="66"/>
  <c r="AK20" i="66"/>
  <c r="AK19" i="66"/>
  <c r="AJ25" i="66"/>
  <c r="AJ22" i="66"/>
  <c r="AJ21" i="66"/>
  <c r="AJ20" i="66"/>
  <c r="AJ19" i="66"/>
  <c r="AI25" i="66"/>
  <c r="AI22" i="66"/>
  <c r="AI21" i="66"/>
  <c r="AI20" i="66"/>
  <c r="AI19" i="66"/>
  <c r="N32" i="111"/>
  <c r="M32" i="111"/>
  <c r="N26" i="111"/>
  <c r="CP62" i="7"/>
  <c r="CP155" i="7" s="1"/>
  <c r="CS101" i="8"/>
  <c r="AS63" i="32"/>
  <c r="AS64" i="32" s="1"/>
  <c r="AT62" i="32"/>
  <c r="AP67" i="32"/>
  <c r="AQ67" i="32" s="1"/>
  <c r="AP63" i="32"/>
  <c r="AP64" i="32" s="1"/>
  <c r="AM67" i="32"/>
  <c r="AN67" i="32" s="1"/>
  <c r="CO101" i="8"/>
  <c r="CR101" i="8"/>
  <c r="AR61" i="32"/>
  <c r="AR70" i="32" s="1"/>
  <c r="AM65" i="32"/>
  <c r="AM68" i="32"/>
  <c r="E39" i="117"/>
  <c r="E30" i="117"/>
  <c r="E41" i="117" s="1"/>
  <c r="D30" i="117"/>
  <c r="D41" i="117" s="1"/>
  <c r="F39" i="117"/>
  <c r="F34" i="117"/>
  <c r="F33" i="117"/>
  <c r="F32" i="117"/>
  <c r="F31" i="117"/>
  <c r="F21" i="117"/>
  <c r="F20" i="117"/>
  <c r="F19" i="117"/>
  <c r="E18" i="117"/>
  <c r="E22" i="117" s="1"/>
  <c r="D18" i="117"/>
  <c r="D22" i="117" s="1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08" i="116"/>
  <c r="B105" i="116"/>
  <c r="C105" i="116" s="1"/>
  <c r="D105" i="116" s="1"/>
  <c r="B100" i="116"/>
  <c r="C100" i="116" s="1"/>
  <c r="B95" i="116"/>
  <c r="C95" i="116" s="1"/>
  <c r="D95" i="116" s="1"/>
  <c r="B90" i="116"/>
  <c r="C90" i="116" s="1"/>
  <c r="D90" i="116" s="1"/>
  <c r="B85" i="116"/>
  <c r="C85" i="116" s="1"/>
  <c r="B84" i="116"/>
  <c r="C84" i="116" s="1"/>
  <c r="B94" i="116" s="1"/>
  <c r="B80" i="116"/>
  <c r="C80" i="116" s="1"/>
  <c r="B79" i="116"/>
  <c r="C79" i="116" s="1"/>
  <c r="B89" i="116" s="1"/>
  <c r="B75" i="116"/>
  <c r="B76" i="116" s="1"/>
  <c r="B77" i="116" s="1"/>
  <c r="B70" i="116"/>
  <c r="C70" i="116" s="1"/>
  <c r="D70" i="116" s="1"/>
  <c r="C65" i="116"/>
  <c r="C66" i="116" s="1"/>
  <c r="C67" i="116" s="1"/>
  <c r="B65" i="116"/>
  <c r="B66" i="116" s="1"/>
  <c r="B67" i="116" s="1"/>
  <c r="C60" i="116"/>
  <c r="C61" i="116" s="1"/>
  <c r="B60" i="116"/>
  <c r="B61" i="116" s="1"/>
  <c r="B62" i="116" s="1"/>
  <c r="E48" i="116"/>
  <c r="E46" i="116"/>
  <c r="D43" i="116"/>
  <c r="B43" i="116" s="1"/>
  <c r="D38" i="116"/>
  <c r="B38" i="116" s="1"/>
  <c r="C38" i="116" s="1"/>
  <c r="C37" i="116"/>
  <c r="B37" i="116"/>
  <c r="B33" i="116"/>
  <c r="C33" i="116" s="1"/>
  <c r="B32" i="116"/>
  <c r="B28" i="116"/>
  <c r="C28" i="116" s="1"/>
  <c r="B27" i="116"/>
  <c r="D23" i="116"/>
  <c r="B23" i="116" s="1"/>
  <c r="D18" i="116"/>
  <c r="B18" i="116" s="1"/>
  <c r="B13" i="116"/>
  <c r="C13" i="116" s="1"/>
  <c r="B8" i="116"/>
  <c r="C8" i="116" s="1"/>
  <c r="AF30" i="64"/>
  <c r="AF29" i="64"/>
  <c r="AF27" i="64"/>
  <c r="AF26" i="64"/>
  <c r="AF25" i="64"/>
  <c r="AE24" i="64"/>
  <c r="AE21" i="64"/>
  <c r="AE20" i="64"/>
  <c r="AE19" i="64"/>
  <c r="AE18" i="64"/>
  <c r="AE15" i="64"/>
  <c r="AF39" i="61"/>
  <c r="AF38" i="61"/>
  <c r="AF21" i="61"/>
  <c r="AF20" i="61"/>
  <c r="AE43" i="61"/>
  <c r="AE42" i="61"/>
  <c r="AE41" i="61"/>
  <c r="AE33" i="61"/>
  <c r="AF31" i="66"/>
  <c r="AF30" i="66"/>
  <c r="AF28" i="66"/>
  <c r="AF27" i="66"/>
  <c r="AF26" i="66"/>
  <c r="AE25" i="66"/>
  <c r="AE22" i="66"/>
  <c r="AE21" i="66"/>
  <c r="AE20" i="66"/>
  <c r="AE19" i="66"/>
  <c r="AE18" i="66"/>
  <c r="AE16" i="66"/>
  <c r="C67" i="114"/>
  <c r="F67" i="114" s="1"/>
  <c r="B67" i="114"/>
  <c r="E67" i="114" s="1"/>
  <c r="C66" i="114"/>
  <c r="F66" i="114" s="1"/>
  <c r="B66" i="114"/>
  <c r="E66" i="114" s="1"/>
  <c r="C65" i="114"/>
  <c r="F65" i="114" s="1"/>
  <c r="B65" i="114"/>
  <c r="E65" i="114" s="1"/>
  <c r="C64" i="114"/>
  <c r="F64" i="114" s="1"/>
  <c r="B64" i="114"/>
  <c r="E64" i="114" s="1"/>
  <c r="C63" i="114"/>
  <c r="F63" i="114" s="1"/>
  <c r="B63" i="114"/>
  <c r="E63" i="114" s="1"/>
  <c r="C62" i="114"/>
  <c r="F62" i="114" s="1"/>
  <c r="B62" i="114"/>
  <c r="E62" i="114" s="1"/>
  <c r="C61" i="114"/>
  <c r="F61" i="114" s="1"/>
  <c r="B61" i="114"/>
  <c r="E61" i="114" s="1"/>
  <c r="C60" i="114"/>
  <c r="F60" i="114" s="1"/>
  <c r="B60" i="114"/>
  <c r="E60" i="114" s="1"/>
  <c r="C59" i="114"/>
  <c r="F59" i="114" s="1"/>
  <c r="B59" i="114"/>
  <c r="E59" i="114" s="1"/>
  <c r="C58" i="114"/>
  <c r="F58" i="114" s="1"/>
  <c r="B58" i="114"/>
  <c r="E58" i="114" s="1"/>
  <c r="C57" i="114"/>
  <c r="F57" i="114" s="1"/>
  <c r="B57" i="114"/>
  <c r="E57" i="114" s="1"/>
  <c r="C56" i="114"/>
  <c r="F56" i="114" s="1"/>
  <c r="B56" i="114"/>
  <c r="C50" i="114"/>
  <c r="F50" i="114" s="1"/>
  <c r="B50" i="114"/>
  <c r="E50" i="114" s="1"/>
  <c r="C49" i="114"/>
  <c r="F49" i="114" s="1"/>
  <c r="B49" i="114"/>
  <c r="E49" i="114" s="1"/>
  <c r="C48" i="114"/>
  <c r="F48" i="114" s="1"/>
  <c r="B48" i="114"/>
  <c r="E48" i="114" s="1"/>
  <c r="C47" i="114"/>
  <c r="F47" i="114" s="1"/>
  <c r="B47" i="114"/>
  <c r="E47" i="114" s="1"/>
  <c r="C46" i="114"/>
  <c r="F46" i="114" s="1"/>
  <c r="B46" i="114"/>
  <c r="E46" i="114" s="1"/>
  <c r="C45" i="114"/>
  <c r="F45" i="114" s="1"/>
  <c r="B45" i="114"/>
  <c r="E45" i="114" s="1"/>
  <c r="C44" i="114"/>
  <c r="F44" i="114" s="1"/>
  <c r="B44" i="114"/>
  <c r="E44" i="114" s="1"/>
  <c r="C43" i="114"/>
  <c r="F43" i="114" s="1"/>
  <c r="B43" i="114"/>
  <c r="E43" i="114" s="1"/>
  <c r="C42" i="114"/>
  <c r="F42" i="114" s="1"/>
  <c r="B42" i="114"/>
  <c r="E42" i="114" s="1"/>
  <c r="C41" i="114"/>
  <c r="F41" i="114" s="1"/>
  <c r="B41" i="114"/>
  <c r="E41" i="114" s="1"/>
  <c r="C40" i="114"/>
  <c r="F40" i="114" s="1"/>
  <c r="B40" i="114"/>
  <c r="E40" i="114" s="1"/>
  <c r="C39" i="114"/>
  <c r="F39" i="114" s="1"/>
  <c r="B39" i="114"/>
  <c r="E39" i="114" s="1"/>
  <c r="C33" i="114"/>
  <c r="F33" i="114" s="1"/>
  <c r="B33" i="114"/>
  <c r="E33" i="114" s="1"/>
  <c r="C32" i="114"/>
  <c r="F32" i="114" s="1"/>
  <c r="B32" i="114"/>
  <c r="E32" i="114" s="1"/>
  <c r="C31" i="114"/>
  <c r="F31" i="114" s="1"/>
  <c r="B31" i="114"/>
  <c r="E31" i="114" s="1"/>
  <c r="C30" i="114"/>
  <c r="F30" i="114" s="1"/>
  <c r="B30" i="114"/>
  <c r="E30" i="114" s="1"/>
  <c r="C29" i="114"/>
  <c r="F29" i="114" s="1"/>
  <c r="B29" i="114"/>
  <c r="E29" i="114" s="1"/>
  <c r="C28" i="114"/>
  <c r="F28" i="114" s="1"/>
  <c r="B28" i="114"/>
  <c r="E28" i="114" s="1"/>
  <c r="C27" i="114"/>
  <c r="F27" i="114" s="1"/>
  <c r="B27" i="114"/>
  <c r="E27" i="114" s="1"/>
  <c r="C26" i="114"/>
  <c r="F26" i="114" s="1"/>
  <c r="B26" i="114"/>
  <c r="E26" i="114" s="1"/>
  <c r="C25" i="114"/>
  <c r="F25" i="114" s="1"/>
  <c r="B25" i="114"/>
  <c r="E25" i="114" s="1"/>
  <c r="C24" i="114"/>
  <c r="F24" i="114" s="1"/>
  <c r="B24" i="114"/>
  <c r="E24" i="114" s="1"/>
  <c r="C23" i="114"/>
  <c r="F23" i="114" s="1"/>
  <c r="B23" i="114"/>
  <c r="E23" i="114" s="1"/>
  <c r="C22" i="114"/>
  <c r="F22" i="114" s="1"/>
  <c r="B22" i="114"/>
  <c r="E22" i="114" s="1"/>
  <c r="C16" i="114"/>
  <c r="F16" i="114" s="1"/>
  <c r="B16" i="114"/>
  <c r="E16" i="114" s="1"/>
  <c r="C15" i="114"/>
  <c r="F15" i="114" s="1"/>
  <c r="B15" i="114"/>
  <c r="E15" i="114" s="1"/>
  <c r="C14" i="114"/>
  <c r="F14" i="114" s="1"/>
  <c r="B14" i="114"/>
  <c r="E14" i="114" s="1"/>
  <c r="C13" i="114"/>
  <c r="F13" i="114" s="1"/>
  <c r="B13" i="114"/>
  <c r="E13" i="114" s="1"/>
  <c r="C12" i="114"/>
  <c r="F12" i="114" s="1"/>
  <c r="B12" i="114"/>
  <c r="E12" i="114" s="1"/>
  <c r="C11" i="114"/>
  <c r="F11" i="114" s="1"/>
  <c r="B11" i="114"/>
  <c r="E11" i="114" s="1"/>
  <c r="C10" i="114"/>
  <c r="F10" i="114" s="1"/>
  <c r="B10" i="114"/>
  <c r="E10" i="114" s="1"/>
  <c r="C9" i="114"/>
  <c r="F9" i="114" s="1"/>
  <c r="B9" i="114"/>
  <c r="E9" i="114" s="1"/>
  <c r="C8" i="114"/>
  <c r="F8" i="114" s="1"/>
  <c r="B8" i="114"/>
  <c r="E8" i="114" s="1"/>
  <c r="C7" i="114"/>
  <c r="F7" i="114" s="1"/>
  <c r="B7" i="114"/>
  <c r="E7" i="114" s="1"/>
  <c r="C6" i="114"/>
  <c r="F6" i="114" s="1"/>
  <c r="B6" i="114"/>
  <c r="E6" i="114" s="1"/>
  <c r="C5" i="114"/>
  <c r="F5" i="114" s="1"/>
  <c r="B5" i="114"/>
  <c r="E5" i="114" s="1"/>
  <c r="BW48" i="8"/>
  <c r="BW106" i="8" s="1"/>
  <c r="AH37" i="65"/>
  <c r="AG42" i="65"/>
  <c r="AG41" i="65"/>
  <c r="AG33" i="65"/>
  <c r="AG20" i="65"/>
  <c r="AG19" i="65"/>
  <c r="S15" i="102"/>
  <c r="BV50" i="8" s="1"/>
  <c r="BM50" i="8"/>
  <c r="CA175" i="7"/>
  <c r="BZ175" i="7"/>
  <c r="BY175" i="7"/>
  <c r="BR60" i="7"/>
  <c r="BQ60" i="7"/>
  <c r="BQ189" i="7" s="1"/>
  <c r="S28" i="104"/>
  <c r="BW44" i="8" s="1"/>
  <c r="F39" i="104"/>
  <c r="E39" i="104"/>
  <c r="F31" i="104"/>
  <c r="E31" i="104"/>
  <c r="F23" i="104"/>
  <c r="E23" i="104"/>
  <c r="F14" i="104"/>
  <c r="E14" i="104"/>
  <c r="H10" i="92"/>
  <c r="H14" i="92"/>
  <c r="H16" i="92" s="1"/>
  <c r="BW43" i="8" s="1"/>
  <c r="F38" i="105"/>
  <c r="F37" i="105"/>
  <c r="F35" i="105"/>
  <c r="F34" i="105"/>
  <c r="E36" i="105"/>
  <c r="E33" i="105"/>
  <c r="F30" i="105"/>
  <c r="F21" i="105"/>
  <c r="F27" i="105" s="1"/>
  <c r="F36" i="105" s="1"/>
  <c r="F6" i="105"/>
  <c r="M29" i="105"/>
  <c r="P29" i="105" s="1"/>
  <c r="M28" i="105"/>
  <c r="P28" i="105" s="1"/>
  <c r="AG67" i="32"/>
  <c r="AJ67" i="32" s="1"/>
  <c r="AG62" i="32"/>
  <c r="AJ62" i="32" s="1"/>
  <c r="H61" i="32"/>
  <c r="H69" i="32"/>
  <c r="H70" i="32" s="1"/>
  <c r="J65" i="32"/>
  <c r="J72" i="32" s="1"/>
  <c r="J64" i="32"/>
  <c r="J63" i="32"/>
  <c r="J62" i="32"/>
  <c r="H67" i="32"/>
  <c r="J67" i="32" s="1"/>
  <c r="G65" i="32"/>
  <c r="G72" i="32" s="1"/>
  <c r="G64" i="32"/>
  <c r="G63" i="32"/>
  <c r="G62" i="32"/>
  <c r="E67" i="32"/>
  <c r="E68" i="32" s="1"/>
  <c r="G68" i="32" s="1"/>
  <c r="I11" i="103"/>
  <c r="S22" i="102"/>
  <c r="S19" i="102"/>
  <c r="S18" i="102"/>
  <c r="S12" i="102"/>
  <c r="CA60" i="7" s="1"/>
  <c r="AE17" i="64" s="1"/>
  <c r="S9" i="102"/>
  <c r="BZ60" i="7" s="1"/>
  <c r="F23" i="102"/>
  <c r="G13" i="102"/>
  <c r="G7" i="102"/>
  <c r="F20" i="105"/>
  <c r="F26" i="105" s="1"/>
  <c r="F14" i="105"/>
  <c r="S16" i="65"/>
  <c r="S46" i="65"/>
  <c r="S40" i="65"/>
  <c r="S43" i="65" s="1"/>
  <c r="S33" i="65"/>
  <c r="S20" i="65"/>
  <c r="S19" i="65"/>
  <c r="Q45" i="61"/>
  <c r="Q19" i="61"/>
  <c r="Q16" i="61"/>
  <c r="Q46" i="61"/>
  <c r="Q42" i="61"/>
  <c r="Q41" i="61"/>
  <c r="Q33" i="61"/>
  <c r="BR190" i="7"/>
  <c r="BQ190" i="7"/>
  <c r="BR187" i="7"/>
  <c r="BQ187" i="7"/>
  <c r="Q24" i="64"/>
  <c r="Q21" i="64"/>
  <c r="Q20" i="64"/>
  <c r="Q19" i="64"/>
  <c r="Q18" i="64"/>
  <c r="Q15" i="64"/>
  <c r="BO142" i="8"/>
  <c r="BN142" i="8"/>
  <c r="Q18" i="66" s="1"/>
  <c r="BO140" i="8"/>
  <c r="BN140" i="8"/>
  <c r="Q33" i="66"/>
  <c r="Q25" i="66"/>
  <c r="Q22" i="66"/>
  <c r="Q21" i="66"/>
  <c r="Q16" i="66"/>
  <c r="N9" i="100"/>
  <c r="S9" i="100" s="1"/>
  <c r="BP40" i="19"/>
  <c r="BP28" i="19"/>
  <c r="BP13" i="19"/>
  <c r="BG12" i="19"/>
  <c r="BF12" i="19"/>
  <c r="BE12" i="19"/>
  <c r="BD12" i="19"/>
  <c r="BC12" i="19"/>
  <c r="BV8" i="19"/>
  <c r="BU8" i="19"/>
  <c r="BT8" i="19"/>
  <c r="BS8" i="19"/>
  <c r="BR8" i="19"/>
  <c r="BQ8" i="19"/>
  <c r="BP46" i="19"/>
  <c r="BP45" i="19"/>
  <c r="BP44" i="19"/>
  <c r="BP35" i="19"/>
  <c r="BP32" i="19"/>
  <c r="BP22" i="19"/>
  <c r="BP15" i="19"/>
  <c r="BP9" i="19"/>
  <c r="BA47" i="19"/>
  <c r="BP47" i="19" s="1"/>
  <c r="BA46" i="19"/>
  <c r="BA45" i="19"/>
  <c r="BA44" i="19"/>
  <c r="BA43" i="19"/>
  <c r="BP43" i="19" s="1"/>
  <c r="BA42" i="19"/>
  <c r="BP42" i="19" s="1"/>
  <c r="BA41" i="19"/>
  <c r="BP41" i="19" s="1"/>
  <c r="BA40" i="19"/>
  <c r="BA39" i="19"/>
  <c r="BA38" i="19"/>
  <c r="BP38" i="19" s="1"/>
  <c r="BA37" i="19"/>
  <c r="BP37" i="19" s="1"/>
  <c r="BA36" i="19"/>
  <c r="BA35" i="19"/>
  <c r="BA34" i="19"/>
  <c r="BP34" i="19" s="1"/>
  <c r="BA33" i="19"/>
  <c r="BA32" i="19"/>
  <c r="BA31" i="19"/>
  <c r="BP31" i="19" s="1"/>
  <c r="BA30" i="19"/>
  <c r="BP30" i="19" s="1"/>
  <c r="BA29" i="19"/>
  <c r="BP29" i="19" s="1"/>
  <c r="BA28" i="19"/>
  <c r="BA26" i="19"/>
  <c r="BP26" i="19" s="1"/>
  <c r="BA25" i="19"/>
  <c r="BA23" i="19"/>
  <c r="BA22" i="19"/>
  <c r="BA21" i="19"/>
  <c r="BP21" i="19" s="1"/>
  <c r="BA20" i="19"/>
  <c r="BP20" i="19" s="1"/>
  <c r="BA19" i="19"/>
  <c r="BP19" i="19" s="1"/>
  <c r="BA18" i="19"/>
  <c r="BA17" i="19"/>
  <c r="BP17" i="19" s="1"/>
  <c r="BA15" i="19"/>
  <c r="BA11" i="19"/>
  <c r="BA10" i="19"/>
  <c r="BA14" i="19" s="1"/>
  <c r="BF14" i="19" s="1"/>
  <c r="BA9" i="19"/>
  <c r="BA8" i="19"/>
  <c r="BG16" i="19"/>
  <c r="BG49" i="19" s="1"/>
  <c r="BF16" i="19"/>
  <c r="BE16" i="19"/>
  <c r="BE49" i="19" s="1"/>
  <c r="BC16" i="19"/>
  <c r="BC49" i="19" s="1"/>
  <c r="BF24" i="19"/>
  <c r="BA24" i="19" s="1"/>
  <c r="BB48" i="19"/>
  <c r="BD48" i="19"/>
  <c r="BD27" i="19"/>
  <c r="BB27" i="19"/>
  <c r="BD16" i="19"/>
  <c r="BB16" i="19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K13" i="6" s="1"/>
  <c r="AJ17" i="5"/>
  <c r="AJ8" i="5"/>
  <c r="AJ12" i="5" s="1"/>
  <c r="AJ26" i="5"/>
  <c r="F52" i="97"/>
  <c r="I34" i="111" s="1"/>
  <c r="BV22" i="8" s="1"/>
  <c r="BW22" i="8" s="1"/>
  <c r="F46" i="97"/>
  <c r="I28" i="111" s="1"/>
  <c r="BZ22" i="7" s="1"/>
  <c r="BY22" i="7" s="1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 s="1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K26" i="5"/>
  <c r="AK12" i="5"/>
  <c r="J66" i="96"/>
  <c r="J43" i="96"/>
  <c r="G67" i="96"/>
  <c r="G54" i="96"/>
  <c r="G44" i="96"/>
  <c r="G36" i="96"/>
  <c r="G31" i="96"/>
  <c r="G26" i="96"/>
  <c r="G21" i="96"/>
  <c r="G16" i="96"/>
  <c r="G11" i="96"/>
  <c r="CA24" i="7"/>
  <c r="CA17" i="7" s="1"/>
  <c r="BX128" i="8"/>
  <c r="BW128" i="8"/>
  <c r="BV128" i="8"/>
  <c r="BX125" i="8"/>
  <c r="BW125" i="8"/>
  <c r="BV125" i="8"/>
  <c r="BX110" i="8"/>
  <c r="BW110" i="8"/>
  <c r="BX109" i="8"/>
  <c r="BX140" i="8" s="1"/>
  <c r="BX108" i="8"/>
  <c r="BX142" i="8" s="1"/>
  <c r="BX106" i="8"/>
  <c r="BX143" i="8" s="1"/>
  <c r="BV106" i="8"/>
  <c r="BX99" i="8"/>
  <c r="BZ44" i="7"/>
  <c r="BY44" i="7" s="1"/>
  <c r="CS31" i="17"/>
  <c r="CS24" i="17"/>
  <c r="D63" i="68"/>
  <c r="D65" i="68" s="1"/>
  <c r="T64" i="68"/>
  <c r="T78" i="68" s="1"/>
  <c r="T92" i="68" s="1"/>
  <c r="T106" i="68" s="1"/>
  <c r="T107" i="68" s="1"/>
  <c r="R64" i="68"/>
  <c r="R78" i="68" s="1"/>
  <c r="R92" i="68" s="1"/>
  <c r="R106" i="68" s="1"/>
  <c r="R107" i="68" s="1"/>
  <c r="P64" i="68"/>
  <c r="P78" i="68" s="1"/>
  <c r="P92" i="68" s="1"/>
  <c r="P106" i="68" s="1"/>
  <c r="P107" i="68" s="1"/>
  <c r="L64" i="68"/>
  <c r="L78" i="68" s="1"/>
  <c r="L92" i="68" s="1"/>
  <c r="L106" i="68" s="1"/>
  <c r="L107" i="68" s="1"/>
  <c r="J64" i="68"/>
  <c r="J78" i="68" s="1"/>
  <c r="J92" i="68" s="1"/>
  <c r="J106" i="68" s="1"/>
  <c r="J107" i="68" s="1"/>
  <c r="CJ31" i="17"/>
  <c r="CK29" i="17"/>
  <c r="CJ24" i="17"/>
  <c r="CK35" i="17"/>
  <c r="CK34" i="17"/>
  <c r="CK33" i="17"/>
  <c r="CK32" i="17"/>
  <c r="CK28" i="17"/>
  <c r="CK27" i="17"/>
  <c r="CK26" i="17"/>
  <c r="CK25" i="17"/>
  <c r="CL31" i="17"/>
  <c r="CL24" i="17"/>
  <c r="F51" i="97"/>
  <c r="I33" i="111" s="1"/>
  <c r="BV12" i="8" s="1"/>
  <c r="BW12" i="8" s="1"/>
  <c r="F45" i="97"/>
  <c r="I27" i="111" s="1"/>
  <c r="BZ12" i="7" s="1"/>
  <c r="BY12" i="7" s="1"/>
  <c r="D56" i="97"/>
  <c r="C56" i="97"/>
  <c r="B56" i="97"/>
  <c r="D50" i="97"/>
  <c r="C50" i="97"/>
  <c r="B50" i="97"/>
  <c r="D20" i="97"/>
  <c r="D26" i="97"/>
  <c r="H26" i="111"/>
  <c r="H32" i="111"/>
  <c r="BV52" i="8"/>
  <c r="BV110" i="8" s="1"/>
  <c r="BV36" i="8"/>
  <c r="BX34" i="8"/>
  <c r="BX27" i="8"/>
  <c r="BV21" i="8"/>
  <c r="BV11" i="8"/>
  <c r="G56" i="97"/>
  <c r="G50" i="97"/>
  <c r="BM120" i="8"/>
  <c r="BM62" i="8" s="1"/>
  <c r="BO125" i="8"/>
  <c r="BN125" i="8"/>
  <c r="BM125" i="8"/>
  <c r="BO110" i="8"/>
  <c r="BN110" i="8"/>
  <c r="BM110" i="8"/>
  <c r="BO106" i="8"/>
  <c r="BO143" i="8" s="1"/>
  <c r="BN106" i="8"/>
  <c r="BN143" i="8" s="1"/>
  <c r="BM106" i="8"/>
  <c r="BO105" i="8"/>
  <c r="BN105" i="8"/>
  <c r="BO103" i="8"/>
  <c r="BN103" i="8"/>
  <c r="BO102" i="8"/>
  <c r="BN102" i="8"/>
  <c r="BO101" i="8"/>
  <c r="BN101" i="8"/>
  <c r="BO100" i="8"/>
  <c r="BN100" i="8"/>
  <c r="BO99" i="8"/>
  <c r="BN99" i="8"/>
  <c r="BO97" i="8"/>
  <c r="BO144" i="8" s="1"/>
  <c r="Q23" i="66" s="1"/>
  <c r="BN97" i="8"/>
  <c r="BN144" i="8" s="1"/>
  <c r="S30" i="65" s="1"/>
  <c r="BO96" i="8"/>
  <c r="BO138" i="8" s="1"/>
  <c r="Q14" i="66" s="1"/>
  <c r="BN96" i="8"/>
  <c r="BN138" i="8" s="1"/>
  <c r="S12" i="65" s="1"/>
  <c r="BM47" i="8"/>
  <c r="BM105" i="8" s="1"/>
  <c r="BM46" i="8"/>
  <c r="BM44" i="8"/>
  <c r="BM43" i="8"/>
  <c r="BO42" i="8"/>
  <c r="BO104" i="8" s="1"/>
  <c r="BO141" i="8" s="1"/>
  <c r="Q17" i="66" s="1"/>
  <c r="BN42" i="8"/>
  <c r="BN104" i="8" s="1"/>
  <c r="BN141" i="8" s="1"/>
  <c r="BM41" i="8"/>
  <c r="BN40" i="8"/>
  <c r="BM39" i="8"/>
  <c r="BM38" i="8"/>
  <c r="BM37" i="8"/>
  <c r="BM36" i="8"/>
  <c r="BM35" i="8"/>
  <c r="BO34" i="8"/>
  <c r="BN34" i="8"/>
  <c r="BM33" i="8"/>
  <c r="BM32" i="8"/>
  <c r="BN31" i="8"/>
  <c r="BN27" i="8" s="1"/>
  <c r="BM30" i="8"/>
  <c r="BM29" i="8"/>
  <c r="BM28" i="8"/>
  <c r="BO27" i="8"/>
  <c r="BM26" i="8"/>
  <c r="BO25" i="8"/>
  <c r="BN25" i="8"/>
  <c r="BM24" i="8"/>
  <c r="BM23" i="8"/>
  <c r="BM22" i="8"/>
  <c r="BM21" i="8"/>
  <c r="BM20" i="8"/>
  <c r="BM19" i="8"/>
  <c r="BM102" i="8" s="1"/>
  <c r="BM18" i="8"/>
  <c r="BO17" i="8"/>
  <c r="BN17" i="8"/>
  <c r="BM16" i="8"/>
  <c r="BN15" i="8"/>
  <c r="BN8" i="8" s="1"/>
  <c r="BM14" i="8"/>
  <c r="BM13" i="8"/>
  <c r="BM12" i="8"/>
  <c r="BM11" i="8"/>
  <c r="BM10" i="8"/>
  <c r="BM9" i="8"/>
  <c r="BO8" i="8"/>
  <c r="BP167" i="7"/>
  <c r="BP72" i="7" s="1"/>
  <c r="BR146" i="7"/>
  <c r="BR191" i="7" s="1"/>
  <c r="Q22" i="64" s="1"/>
  <c r="BQ146" i="7"/>
  <c r="Q31" i="61" s="1"/>
  <c r="BR152" i="7"/>
  <c r="BQ152" i="7"/>
  <c r="BR151" i="7"/>
  <c r="BQ151" i="7"/>
  <c r="BQ150" i="7"/>
  <c r="BR149" i="7"/>
  <c r="BQ149" i="7"/>
  <c r="BR148" i="7"/>
  <c r="BQ148" i="7"/>
  <c r="BR144" i="7"/>
  <c r="BR185" i="7" s="1"/>
  <c r="Q13" i="64" s="1"/>
  <c r="BQ144" i="7"/>
  <c r="BQ185" i="7" s="1"/>
  <c r="BQ154" i="7"/>
  <c r="BR154" i="7"/>
  <c r="BQ155" i="7"/>
  <c r="BR155" i="7"/>
  <c r="BR159" i="7"/>
  <c r="BP172" i="7"/>
  <c r="BQ172" i="7"/>
  <c r="BR172" i="7"/>
  <c r="BP58" i="7"/>
  <c r="BR43" i="7"/>
  <c r="BP51" i="7"/>
  <c r="BP49" i="7"/>
  <c r="BP48" i="7"/>
  <c r="BP47" i="7"/>
  <c r="BP46" i="7"/>
  <c r="BP45" i="7"/>
  <c r="BP44" i="7"/>
  <c r="BQ50" i="7"/>
  <c r="BQ43" i="7" s="1"/>
  <c r="BR33" i="7"/>
  <c r="BR27" i="7" s="1"/>
  <c r="BQ33" i="7"/>
  <c r="BQ27" i="7" s="1"/>
  <c r="BO33" i="7"/>
  <c r="BO27" i="7" s="1"/>
  <c r="BN33" i="7"/>
  <c r="BN27" i="7" s="1"/>
  <c r="BQ64" i="7"/>
  <c r="BP62" i="7"/>
  <c r="BP155" i="7" s="1"/>
  <c r="BP59" i="7"/>
  <c r="BP154" i="7" s="1"/>
  <c r="BP56" i="7"/>
  <c r="BP55" i="7"/>
  <c r="BP54" i="7"/>
  <c r="BP53" i="7"/>
  <c r="BR52" i="7"/>
  <c r="BR153" i="7" s="1"/>
  <c r="BR188" i="7" s="1"/>
  <c r="Q16" i="64" s="1"/>
  <c r="BQ52" i="7"/>
  <c r="BQ153" i="7" s="1"/>
  <c r="BP42" i="7"/>
  <c r="BR41" i="7"/>
  <c r="BR35" i="7" s="1"/>
  <c r="BQ41" i="7"/>
  <c r="BQ35" i="7" s="1"/>
  <c r="BP40" i="7"/>
  <c r="BP39" i="7"/>
  <c r="BP38" i="7"/>
  <c r="BP37" i="7"/>
  <c r="BP36" i="7"/>
  <c r="BP34" i="7"/>
  <c r="BP32" i="7"/>
  <c r="BP31" i="7"/>
  <c r="BP30" i="7"/>
  <c r="BP29" i="7"/>
  <c r="BP28" i="7"/>
  <c r="BP26" i="7"/>
  <c r="BQ25" i="7"/>
  <c r="BQ17" i="7" s="1"/>
  <c r="BR24" i="7"/>
  <c r="BP23" i="7"/>
  <c r="BP22" i="7"/>
  <c r="BP21" i="7"/>
  <c r="BP20" i="7"/>
  <c r="BP19" i="7"/>
  <c r="BP151" i="7" s="1"/>
  <c r="BP18" i="7"/>
  <c r="BP16" i="7"/>
  <c r="BR15" i="7"/>
  <c r="BR8" i="7" s="1"/>
  <c r="BQ15" i="7"/>
  <c r="BQ8" i="7" s="1"/>
  <c r="BP14" i="7"/>
  <c r="BP13" i="7"/>
  <c r="BP12" i="7"/>
  <c r="BP11" i="7"/>
  <c r="BP10" i="7"/>
  <c r="BP9" i="7"/>
  <c r="BJ48" i="8"/>
  <c r="BJ106" i="8" s="1"/>
  <c r="BL125" i="8"/>
  <c r="BK125" i="8"/>
  <c r="BL120" i="8"/>
  <c r="BL62" i="8" s="1"/>
  <c r="BK120" i="8"/>
  <c r="BK62" i="8" s="1"/>
  <c r="BL110" i="8"/>
  <c r="BK110" i="8"/>
  <c r="BJ110" i="8"/>
  <c r="BL106" i="8"/>
  <c r="BK106" i="8"/>
  <c r="BL105" i="8"/>
  <c r="BK105" i="8"/>
  <c r="BL103" i="8"/>
  <c r="BK103" i="8"/>
  <c r="BL102" i="8"/>
  <c r="BK102" i="8"/>
  <c r="BL101" i="8"/>
  <c r="BK101" i="8"/>
  <c r="BL100" i="8"/>
  <c r="BK100" i="8"/>
  <c r="BL99" i="8"/>
  <c r="BK99" i="8"/>
  <c r="BL97" i="8"/>
  <c r="BK97" i="8"/>
  <c r="BL96" i="8"/>
  <c r="BK96" i="8"/>
  <c r="BJ75" i="8"/>
  <c r="BJ120" i="8" s="1"/>
  <c r="BJ62" i="8" s="1"/>
  <c r="BJ47" i="8"/>
  <c r="BJ105" i="8" s="1"/>
  <c r="BJ46" i="8"/>
  <c r="BJ44" i="8"/>
  <c r="BJ43" i="8"/>
  <c r="BL42" i="8"/>
  <c r="BL104" i="8" s="1"/>
  <c r="BK42" i="8"/>
  <c r="BK104" i="8" s="1"/>
  <c r="BJ41" i="8"/>
  <c r="BK40" i="8"/>
  <c r="BJ39" i="8"/>
  <c r="BJ38" i="8"/>
  <c r="BJ37" i="8"/>
  <c r="BJ36" i="8"/>
  <c r="BJ35" i="8"/>
  <c r="BL34" i="8"/>
  <c r="BK34" i="8"/>
  <c r="BJ33" i="8"/>
  <c r="BJ32" i="8"/>
  <c r="BK31" i="8"/>
  <c r="BK27" i="8" s="1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102" i="8" s="1"/>
  <c r="BJ18" i="8"/>
  <c r="BL17" i="8"/>
  <c r="BK17" i="8"/>
  <c r="BJ16" i="8"/>
  <c r="BK15" i="8"/>
  <c r="BJ14" i="8"/>
  <c r="BJ13" i="8"/>
  <c r="BJ12" i="8"/>
  <c r="BJ11" i="8"/>
  <c r="BJ10" i="8"/>
  <c r="BJ9" i="8"/>
  <c r="BL8" i="8"/>
  <c r="BK8" i="8"/>
  <c r="BM167" i="7"/>
  <c r="BM72" i="7" s="1"/>
  <c r="BO172" i="7"/>
  <c r="BN172" i="7"/>
  <c r="BM172" i="7"/>
  <c r="BO159" i="7"/>
  <c r="BO155" i="7"/>
  <c r="BN155" i="7"/>
  <c r="BO154" i="7"/>
  <c r="BN154" i="7"/>
  <c r="BO152" i="7"/>
  <c r="BN152" i="7"/>
  <c r="BO151" i="7"/>
  <c r="BN151" i="7"/>
  <c r="BN150" i="7"/>
  <c r="BO149" i="7"/>
  <c r="BN149" i="7"/>
  <c r="BO148" i="7"/>
  <c r="BN148" i="7"/>
  <c r="BO146" i="7"/>
  <c r="BN146" i="7"/>
  <c r="BO144" i="7"/>
  <c r="BN144" i="7"/>
  <c r="BM59" i="7"/>
  <c r="BM154" i="7" s="1"/>
  <c r="BM56" i="7"/>
  <c r="BM55" i="7"/>
  <c r="BM54" i="7"/>
  <c r="BM53" i="7"/>
  <c r="BM42" i="7"/>
  <c r="BM40" i="7"/>
  <c r="BM39" i="7"/>
  <c r="BM38" i="7"/>
  <c r="BM37" i="7"/>
  <c r="BM36" i="7"/>
  <c r="BM34" i="7"/>
  <c r="BM32" i="7"/>
  <c r="BM31" i="7"/>
  <c r="BM30" i="7"/>
  <c r="BM29" i="7"/>
  <c r="BM28" i="7"/>
  <c r="BM23" i="7"/>
  <c r="BM26" i="7"/>
  <c r="BM22" i="7"/>
  <c r="BM21" i="7"/>
  <c r="BM19" i="7"/>
  <c r="BM151" i="7" s="1"/>
  <c r="BM18" i="7"/>
  <c r="BN25" i="7"/>
  <c r="BN17" i="7" s="1"/>
  <c r="BM16" i="7"/>
  <c r="BM14" i="7"/>
  <c r="BM13" i="7"/>
  <c r="BM12" i="7"/>
  <c r="BM11" i="7"/>
  <c r="BM10" i="7"/>
  <c r="BM9" i="7"/>
  <c r="BN64" i="7"/>
  <c r="BN159" i="7" s="1"/>
  <c r="BM62" i="7"/>
  <c r="BM155" i="7" s="1"/>
  <c r="BN52" i="7"/>
  <c r="BN153" i="7" s="1"/>
  <c r="BO15" i="7"/>
  <c r="BO8" i="7" s="1"/>
  <c r="CA190" i="7"/>
  <c r="CA172" i="7"/>
  <c r="BZ172" i="7"/>
  <c r="BY172" i="7"/>
  <c r="CA169" i="7"/>
  <c r="BZ169" i="7"/>
  <c r="BY169" i="7"/>
  <c r="CA159" i="7"/>
  <c r="BZ159" i="7"/>
  <c r="BY159" i="7"/>
  <c r="CA158" i="7"/>
  <c r="CA187" i="7" s="1"/>
  <c r="CA155" i="7"/>
  <c r="CA151" i="7"/>
  <c r="CA43" i="7"/>
  <c r="BZ37" i="7"/>
  <c r="BY21" i="7"/>
  <c r="BY11" i="7"/>
  <c r="BO41" i="7"/>
  <c r="BO35" i="7" s="1"/>
  <c r="BN15" i="7"/>
  <c r="BN8" i="7" s="1"/>
  <c r="BO52" i="7"/>
  <c r="BO153" i="7" s="1"/>
  <c r="BN41" i="7"/>
  <c r="BN35" i="7" s="1"/>
  <c r="M41" i="98"/>
  <c r="M34" i="98"/>
  <c r="M38" i="98" s="1"/>
  <c r="M29" i="98"/>
  <c r="M27" i="98"/>
  <c r="M26" i="98"/>
  <c r="M21" i="98"/>
  <c r="M40" i="98" s="1"/>
  <c r="M14" i="98"/>
  <c r="M42" i="98" s="1"/>
  <c r="M9" i="98"/>
  <c r="M33" i="95"/>
  <c r="M43" i="95"/>
  <c r="M38" i="95"/>
  <c r="M51" i="95" s="1"/>
  <c r="M31" i="95"/>
  <c r="M50" i="95" s="1"/>
  <c r="M28" i="95"/>
  <c r="M20" i="95"/>
  <c r="M30" i="95" s="1"/>
  <c r="M49" i="95" s="1"/>
  <c r="M17" i="95"/>
  <c r="M8" i="95"/>
  <c r="M12" i="95" s="1"/>
  <c r="AS17" i="10"/>
  <c r="BW8" i="136" s="1"/>
  <c r="AS16" i="10"/>
  <c r="BW32" i="8" s="1"/>
  <c r="BV32" i="8" s="1"/>
  <c r="AS15" i="10"/>
  <c r="BV20" i="8" s="1"/>
  <c r="AS14" i="10"/>
  <c r="BW10" i="8" s="1"/>
  <c r="BV10" i="8" s="1"/>
  <c r="AS10" i="10"/>
  <c r="BY8" i="135" s="1"/>
  <c r="AS9" i="10"/>
  <c r="BY29" i="7" s="1"/>
  <c r="AS8" i="10"/>
  <c r="AT8" i="10" s="1"/>
  <c r="AS7" i="10"/>
  <c r="BY10" i="7" s="1"/>
  <c r="AG18" i="10"/>
  <c r="AG13" i="10"/>
  <c r="BB57" i="3"/>
  <c r="BB52" i="3"/>
  <c r="BC49" i="3"/>
  <c r="CA87" i="7" s="1"/>
  <c r="CA167" i="7" s="1"/>
  <c r="CA72" i="7" s="1"/>
  <c r="AW63" i="3"/>
  <c r="Q37" i="66" s="1"/>
  <c r="Q38" i="66" s="1"/>
  <c r="AV63" i="3"/>
  <c r="AV57" i="3"/>
  <c r="AW49" i="3"/>
  <c r="Q36" i="64" s="1"/>
  <c r="AW44" i="3"/>
  <c r="AW41" i="3" s="1"/>
  <c r="AW39" i="3" s="1"/>
  <c r="Z41" i="65"/>
  <c r="T17" i="95"/>
  <c r="T26" i="95" s="1"/>
  <c r="AV39" i="3"/>
  <c r="AV43" i="3" s="1"/>
  <c r="AZ52" i="3"/>
  <c r="M46" i="61"/>
  <c r="L46" i="61" s="1"/>
  <c r="AZ50" i="3"/>
  <c r="BB50" i="3" s="1"/>
  <c r="D20" i="112"/>
  <c r="E20" i="112" s="1"/>
  <c r="B56" i="68" s="1"/>
  <c r="B31" i="101"/>
  <c r="C31" i="101" s="1"/>
  <c r="G35" i="111"/>
  <c r="G32" i="111" s="1"/>
  <c r="G30" i="111"/>
  <c r="G26" i="111" s="1"/>
  <c r="F35" i="111"/>
  <c r="F32" i="111" s="1"/>
  <c r="F30" i="111"/>
  <c r="F26" i="111" s="1"/>
  <c r="E35" i="111"/>
  <c r="E32" i="111" s="1"/>
  <c r="E30" i="111"/>
  <c r="E26" i="111" s="1"/>
  <c r="D35" i="111"/>
  <c r="D32" i="111" s="1"/>
  <c r="D30" i="111"/>
  <c r="D26" i="111" s="1"/>
  <c r="C35" i="111"/>
  <c r="F53" i="97" s="1"/>
  <c r="I35" i="111" s="1"/>
  <c r="BV28" i="8" s="1"/>
  <c r="BW28" i="8" s="1"/>
  <c r="C30" i="111"/>
  <c r="F48" i="97" s="1"/>
  <c r="I30" i="111" s="1"/>
  <c r="BY28" i="7" s="1"/>
  <c r="B35" i="111"/>
  <c r="B30" i="111"/>
  <c r="B20" i="112"/>
  <c r="C20" i="112" s="1"/>
  <c r="D15" i="112"/>
  <c r="E15" i="112" s="1"/>
  <c r="B55" i="68" s="1"/>
  <c r="B15" i="112"/>
  <c r="C15" i="112" s="1"/>
  <c r="CM24" i="17"/>
  <c r="AD16" i="61"/>
  <c r="AC16" i="61"/>
  <c r="AB16" i="61"/>
  <c r="AA16" i="61"/>
  <c r="Z16" i="61"/>
  <c r="T37" i="95"/>
  <c r="U37" i="95" s="1"/>
  <c r="V37" i="95" s="1"/>
  <c r="W37" i="95" s="1"/>
  <c r="D8" i="97"/>
  <c r="E38" i="97" s="1"/>
  <c r="D5" i="97"/>
  <c r="E33" i="97" s="1"/>
  <c r="BV12" i="7"/>
  <c r="D14" i="100"/>
  <c r="H8" i="100" s="1"/>
  <c r="L46" i="65"/>
  <c r="M46" i="65" s="1"/>
  <c r="BV22" i="7"/>
  <c r="F20" i="111"/>
  <c r="D20" i="111" s="1"/>
  <c r="F19" i="111"/>
  <c r="F18" i="111"/>
  <c r="C18" i="111" s="1"/>
  <c r="F17" i="111"/>
  <c r="D17" i="111" s="1"/>
  <c r="F16" i="111"/>
  <c r="D16" i="111" s="1"/>
  <c r="F15" i="111"/>
  <c r="D18" i="111"/>
  <c r="F12" i="111"/>
  <c r="C12" i="111" s="1"/>
  <c r="F11" i="111"/>
  <c r="D11" i="111" s="1"/>
  <c r="F10" i="111"/>
  <c r="F9" i="111"/>
  <c r="C9" i="111" s="1"/>
  <c r="F8" i="111"/>
  <c r="C8" i="111" s="1"/>
  <c r="F7" i="111"/>
  <c r="D7" i="111" s="1"/>
  <c r="M38" i="65"/>
  <c r="BA70" i="3"/>
  <c r="R32" i="65"/>
  <c r="R14" i="65"/>
  <c r="H12" i="95"/>
  <c r="AZ42" i="3"/>
  <c r="AZ64" i="3"/>
  <c r="BB64" i="3" s="1"/>
  <c r="AG46" i="65" s="1"/>
  <c r="BT22" i="8"/>
  <c r="BT12" i="8"/>
  <c r="S13" i="98"/>
  <c r="AB18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 s="1"/>
  <c r="N16" i="109"/>
  <c r="O16" i="109" s="1"/>
  <c r="N15" i="109"/>
  <c r="O15" i="109" s="1"/>
  <c r="N54" i="109"/>
  <c r="O54" i="109" s="1"/>
  <c r="N9" i="109"/>
  <c r="O9" i="109" s="1"/>
  <c r="B9" i="110"/>
  <c r="B15" i="110" s="1"/>
  <c r="B24" i="110" s="1"/>
  <c r="B25" i="110" s="1"/>
  <c r="B26" i="110" s="1"/>
  <c r="B17" i="110"/>
  <c r="B19" i="110" s="1"/>
  <c r="B20" i="110" s="1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0" i="109"/>
  <c r="O60" i="109" s="1"/>
  <c r="N59" i="109"/>
  <c r="O59" i="109" s="1"/>
  <c r="N58" i="109"/>
  <c r="O58" i="109" s="1"/>
  <c r="N56" i="109"/>
  <c r="O56" i="109" s="1"/>
  <c r="N55" i="109"/>
  <c r="O55" i="109" s="1"/>
  <c r="N53" i="109"/>
  <c r="O53" i="109" s="1"/>
  <c r="N51" i="109"/>
  <c r="O51" i="109" s="1"/>
  <c r="N50" i="109"/>
  <c r="O50" i="109" s="1"/>
  <c r="N49" i="109"/>
  <c r="O49" i="109" s="1"/>
  <c r="N48" i="109"/>
  <c r="O48" i="109" s="1"/>
  <c r="N47" i="109"/>
  <c r="O47" i="109" s="1"/>
  <c r="N43" i="109"/>
  <c r="O43" i="109" s="1"/>
  <c r="N42" i="109"/>
  <c r="O42" i="109" s="1"/>
  <c r="N39" i="109"/>
  <c r="O39" i="109" s="1"/>
  <c r="N37" i="109"/>
  <c r="O37" i="109" s="1"/>
  <c r="N34" i="109"/>
  <c r="O34" i="109" s="1"/>
  <c r="N33" i="109"/>
  <c r="O33" i="109" s="1"/>
  <c r="N32" i="109"/>
  <c r="O32" i="109" s="1"/>
  <c r="N31" i="109"/>
  <c r="O31" i="109" s="1"/>
  <c r="N30" i="109"/>
  <c r="O30" i="109" s="1"/>
  <c r="N28" i="109"/>
  <c r="O28" i="109" s="1"/>
  <c r="N25" i="109"/>
  <c r="O25" i="109" s="1"/>
  <c r="N23" i="109"/>
  <c r="O23" i="109" s="1"/>
  <c r="N22" i="109"/>
  <c r="O22" i="109" s="1"/>
  <c r="N21" i="109"/>
  <c r="O21" i="109" s="1"/>
  <c r="N20" i="109"/>
  <c r="O20" i="109" s="1"/>
  <c r="N19" i="109"/>
  <c r="O19" i="109" s="1"/>
  <c r="N13" i="109"/>
  <c r="O13" i="109" s="1"/>
  <c r="N12" i="109"/>
  <c r="O12" i="109" s="1"/>
  <c r="G9" i="109"/>
  <c r="F5" i="108"/>
  <c r="E5" i="108"/>
  <c r="H6" i="108"/>
  <c r="F4" i="108"/>
  <c r="E4" i="108"/>
  <c r="D4" i="108"/>
  <c r="F121" i="106"/>
  <c r="B15" i="107"/>
  <c r="B14" i="107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54" i="102"/>
  <c r="B53" i="102"/>
  <c r="B55" i="102"/>
  <c r="D43" i="102"/>
  <c r="D44" i="102"/>
  <c r="D45" i="102"/>
  <c r="D46" i="102"/>
  <c r="D48" i="102"/>
  <c r="D50" i="102"/>
  <c r="D42" i="102"/>
  <c r="D55" i="102" s="1"/>
  <c r="B77" i="102"/>
  <c r="B88" i="102"/>
  <c r="B51" i="102"/>
  <c r="AU63" i="3"/>
  <c r="AT63" i="3"/>
  <c r="AU44" i="3"/>
  <c r="AU41" i="3" s="1"/>
  <c r="AU39" i="3" s="1"/>
  <c r="AU49" i="3"/>
  <c r="AT57" i="3"/>
  <c r="AT49" i="3" s="1"/>
  <c r="AT45" i="3" s="1"/>
  <c r="AT44" i="3" s="1"/>
  <c r="A48" i="98"/>
  <c r="BU108" i="8"/>
  <c r="BU142" i="8" s="1"/>
  <c r="X18" i="66" s="1"/>
  <c r="BU109" i="8"/>
  <c r="BU140" i="8" s="1"/>
  <c r="BS48" i="8"/>
  <c r="BT48" i="8" s="1"/>
  <c r="BT106" i="8" s="1"/>
  <c r="BT143" i="8" s="1"/>
  <c r="BX190" i="7"/>
  <c r="BW62" i="7"/>
  <c r="BV62" i="7" s="1"/>
  <c r="BV155" i="7" s="1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V8" i="92"/>
  <c r="X22" i="92"/>
  <c r="Y22" i="92"/>
  <c r="X23" i="92"/>
  <c r="Y23" i="92"/>
  <c r="X24" i="92"/>
  <c r="Y24" i="92"/>
  <c r="X25" i="92"/>
  <c r="Y25" i="92"/>
  <c r="X26" i="92"/>
  <c r="Y26" i="92"/>
  <c r="X27" i="92"/>
  <c r="Y27" i="92"/>
  <c r="X28" i="92"/>
  <c r="Y28" i="92"/>
  <c r="X29" i="92"/>
  <c r="Y29" i="92"/>
  <c r="X30" i="92"/>
  <c r="Y30" i="92"/>
  <c r="X31" i="92"/>
  <c r="Y31" i="92"/>
  <c r="X32" i="92"/>
  <c r="Y32" i="92"/>
  <c r="X33" i="92"/>
  <c r="Y33" i="92"/>
  <c r="X34" i="92"/>
  <c r="Y34" i="92"/>
  <c r="X35" i="92"/>
  <c r="Y35" i="92"/>
  <c r="X36" i="92"/>
  <c r="Y36" i="92"/>
  <c r="X37" i="92"/>
  <c r="Y37" i="92"/>
  <c r="X39" i="92"/>
  <c r="W40" i="92"/>
  <c r="D14" i="105"/>
  <c r="D23" i="105"/>
  <c r="D29" i="105" s="1"/>
  <c r="C8" i="105"/>
  <c r="C9" i="105"/>
  <c r="C10" i="105"/>
  <c r="C7" i="105"/>
  <c r="H22" i="105"/>
  <c r="H28" i="105" s="1"/>
  <c r="I22" i="105"/>
  <c r="I28" i="105" s="1"/>
  <c r="J22" i="105"/>
  <c r="J28" i="105" s="1"/>
  <c r="K22" i="105"/>
  <c r="K28" i="105" s="1"/>
  <c r="L22" i="105"/>
  <c r="L28" i="105" s="1"/>
  <c r="H23" i="105"/>
  <c r="H29" i="105" s="1"/>
  <c r="I23" i="105"/>
  <c r="I29" i="105" s="1"/>
  <c r="J23" i="105"/>
  <c r="J29" i="105" s="1"/>
  <c r="K23" i="105"/>
  <c r="K29" i="105" s="1"/>
  <c r="L23" i="105"/>
  <c r="L29" i="105" s="1"/>
  <c r="B21" i="105"/>
  <c r="B27" i="105" s="1"/>
  <c r="B22" i="105"/>
  <c r="B28" i="105" s="1"/>
  <c r="B23" i="105"/>
  <c r="B29" i="105" s="1"/>
  <c r="B20" i="105"/>
  <c r="B26" i="105" s="1"/>
  <c r="B14" i="105"/>
  <c r="B6" i="105"/>
  <c r="D28" i="67"/>
  <c r="C28" i="67"/>
  <c r="E24" i="67"/>
  <c r="E25" i="67" s="1"/>
  <c r="E26" i="67" s="1"/>
  <c r="D24" i="67"/>
  <c r="D25" i="67" s="1"/>
  <c r="D26" i="67" s="1"/>
  <c r="C24" i="67"/>
  <c r="C25" i="67" s="1"/>
  <c r="C26" i="67" s="1"/>
  <c r="AN32" i="6"/>
  <c r="BH32" i="6" s="1"/>
  <c r="AN15" i="6"/>
  <c r="AP15" i="6" s="1"/>
  <c r="AN29" i="6"/>
  <c r="AN28" i="6"/>
  <c r="AN19" i="6"/>
  <c r="AN14" i="6"/>
  <c r="AP14" i="6" s="1"/>
  <c r="AM41" i="5"/>
  <c r="AM18" i="5"/>
  <c r="AX18" i="5" s="1"/>
  <c r="AM15" i="5"/>
  <c r="I26" i="96"/>
  <c r="I16" i="96"/>
  <c r="AC16" i="96" s="1"/>
  <c r="I31" i="96"/>
  <c r="I21" i="96"/>
  <c r="I11" i="96"/>
  <c r="I36" i="96"/>
  <c r="AC36" i="96" s="1"/>
  <c r="BX158" i="7"/>
  <c r="BX187" i="7" s="1"/>
  <c r="E10" i="103"/>
  <c r="E12" i="103" s="1"/>
  <c r="AC14" i="65" s="1"/>
  <c r="K12" i="103"/>
  <c r="CX51" i="8" s="1"/>
  <c r="F10" i="103"/>
  <c r="F12" i="103" s="1"/>
  <c r="AD14" i="65" s="1"/>
  <c r="G10" i="103"/>
  <c r="G12" i="103" s="1"/>
  <c r="AE14" i="65" s="1"/>
  <c r="H10" i="103"/>
  <c r="H12" i="103" s="1"/>
  <c r="AF14" i="65" s="1"/>
  <c r="D6" i="103"/>
  <c r="D8" i="103" s="1"/>
  <c r="BZ61" i="7"/>
  <c r="BZ158" i="7" s="1"/>
  <c r="AE16" i="61" s="1"/>
  <c r="C6" i="103"/>
  <c r="C8" i="103" s="1"/>
  <c r="Z56" i="65"/>
  <c r="Y33" i="65"/>
  <c r="Z33" i="65"/>
  <c r="AB33" i="65"/>
  <c r="AC33" i="65"/>
  <c r="AD33" i="65"/>
  <c r="AE33" i="65"/>
  <c r="AF33" i="65"/>
  <c r="Y19" i="65"/>
  <c r="AB19" i="65"/>
  <c r="AC19" i="65"/>
  <c r="AD19" i="65"/>
  <c r="AE19" i="65"/>
  <c r="AF19" i="65"/>
  <c r="Y20" i="65"/>
  <c r="Z20" i="65"/>
  <c r="AB20" i="65"/>
  <c r="AC20" i="65"/>
  <c r="AD20" i="65"/>
  <c r="AE20" i="65"/>
  <c r="AF20" i="65"/>
  <c r="M16" i="65"/>
  <c r="E13" i="102" s="1"/>
  <c r="M23" i="66"/>
  <c r="U18" i="64"/>
  <c r="V18" i="64"/>
  <c r="W18" i="64"/>
  <c r="X18" i="64"/>
  <c r="Z18" i="64"/>
  <c r="AA18" i="64"/>
  <c r="AB18" i="64"/>
  <c r="AC18" i="64"/>
  <c r="AD18" i="64"/>
  <c r="S19" i="64"/>
  <c r="U19" i="64"/>
  <c r="V19" i="64"/>
  <c r="W19" i="64"/>
  <c r="X19" i="64"/>
  <c r="Z19" i="64"/>
  <c r="AA19" i="64"/>
  <c r="AB19" i="64"/>
  <c r="AC19" i="64"/>
  <c r="AD19" i="64"/>
  <c r="S20" i="64"/>
  <c r="T20" i="64"/>
  <c r="U20" i="64"/>
  <c r="V20" i="64"/>
  <c r="W20" i="64"/>
  <c r="X20" i="64"/>
  <c r="Z20" i="64"/>
  <c r="AA20" i="64"/>
  <c r="AB20" i="64"/>
  <c r="AC20" i="64"/>
  <c r="AD20" i="64"/>
  <c r="S21" i="64"/>
  <c r="T21" i="64"/>
  <c r="U21" i="64"/>
  <c r="V21" i="64"/>
  <c r="W21" i="64"/>
  <c r="X21" i="64"/>
  <c r="Z21" i="64"/>
  <c r="AA21" i="64"/>
  <c r="AB21" i="64"/>
  <c r="AC21" i="64"/>
  <c r="AD21" i="64"/>
  <c r="BT35" i="8"/>
  <c r="BS35" i="8" s="1"/>
  <c r="BT32" i="8"/>
  <c r="BS32" i="8" s="1"/>
  <c r="BS20" i="8"/>
  <c r="BT10" i="8"/>
  <c r="BS10" i="8" s="1"/>
  <c r="BU128" i="8"/>
  <c r="BT128" i="8"/>
  <c r="BS128" i="8"/>
  <c r="BU125" i="8"/>
  <c r="BT125" i="8"/>
  <c r="BU110" i="8"/>
  <c r="BT110" i="8"/>
  <c r="BU106" i="8"/>
  <c r="BU143" i="8" s="1"/>
  <c r="BU102" i="8"/>
  <c r="BU99" i="8"/>
  <c r="BR128" i="8"/>
  <c r="BQ128" i="8"/>
  <c r="BP128" i="8"/>
  <c r="BR125" i="8"/>
  <c r="BQ125" i="8"/>
  <c r="BR120" i="8"/>
  <c r="BR62" i="8" s="1"/>
  <c r="BQ120" i="8"/>
  <c r="BQ62" i="8" s="1"/>
  <c r="BR110" i="8"/>
  <c r="BQ110" i="8"/>
  <c r="BR106" i="8"/>
  <c r="BQ106" i="8"/>
  <c r="BP106" i="8"/>
  <c r="BR105" i="8"/>
  <c r="BQ105" i="8"/>
  <c r="BR103" i="8"/>
  <c r="BQ103" i="8"/>
  <c r="BR102" i="8"/>
  <c r="BQ102" i="8"/>
  <c r="BR101" i="8"/>
  <c r="BQ101" i="8"/>
  <c r="BR100" i="8"/>
  <c r="BQ100" i="8"/>
  <c r="BR99" i="8"/>
  <c r="BQ99" i="8"/>
  <c r="BR97" i="8"/>
  <c r="BQ97" i="8"/>
  <c r="BR96" i="8"/>
  <c r="BQ96" i="8"/>
  <c r="BI128" i="8"/>
  <c r="BH128" i="8"/>
  <c r="BI125" i="8"/>
  <c r="BH125" i="8"/>
  <c r="BI120" i="8"/>
  <c r="BH120" i="8"/>
  <c r="BI110" i="8"/>
  <c r="BH110" i="8"/>
  <c r="BI106" i="8"/>
  <c r="BH106" i="8"/>
  <c r="BI105" i="8"/>
  <c r="BH105" i="8"/>
  <c r="BI103" i="8"/>
  <c r="BH103" i="8"/>
  <c r="BI102" i="8"/>
  <c r="BH102" i="8"/>
  <c r="BI101" i="8"/>
  <c r="BH101" i="8"/>
  <c r="BI100" i="8"/>
  <c r="BH100" i="8"/>
  <c r="BI99" i="8"/>
  <c r="BH99" i="8"/>
  <c r="BI97" i="8"/>
  <c r="BH97" i="8"/>
  <c r="BI96" i="8"/>
  <c r="BH96" i="8"/>
  <c r="BG128" i="8"/>
  <c r="BG110" i="8"/>
  <c r="BG106" i="8"/>
  <c r="BF128" i="8"/>
  <c r="BF125" i="8"/>
  <c r="BF120" i="8"/>
  <c r="BF110" i="8"/>
  <c r="BF106" i="8"/>
  <c r="BF105" i="8"/>
  <c r="BF103" i="8"/>
  <c r="BF102" i="8"/>
  <c r="BF101" i="8"/>
  <c r="BF100" i="8"/>
  <c r="BF99" i="8"/>
  <c r="BF97" i="8"/>
  <c r="BF96" i="8"/>
  <c r="BE128" i="8"/>
  <c r="BE125" i="8"/>
  <c r="BE120" i="8"/>
  <c r="BE110" i="8"/>
  <c r="BE106" i="8"/>
  <c r="BE105" i="8"/>
  <c r="BE103" i="8"/>
  <c r="BE102" i="8"/>
  <c r="BE101" i="8"/>
  <c r="BE100" i="8"/>
  <c r="BE99" i="8"/>
  <c r="BE97" i="8"/>
  <c r="BE96" i="8"/>
  <c r="BD110" i="8"/>
  <c r="BD106" i="8"/>
  <c r="BS79" i="8"/>
  <c r="BS125" i="8" s="1"/>
  <c r="BS52" i="8"/>
  <c r="BS110" i="8" s="1"/>
  <c r="BS36" i="8"/>
  <c r="BU34" i="8"/>
  <c r="BU27" i="8"/>
  <c r="BS21" i="8"/>
  <c r="BS11" i="8"/>
  <c r="BU8" i="8"/>
  <c r="BP52" i="8"/>
  <c r="BP110" i="8" s="1"/>
  <c r="BP75" i="8"/>
  <c r="BP120" i="8" s="1"/>
  <c r="BP62" i="8" s="1"/>
  <c r="BP47" i="8"/>
  <c r="BP105" i="8" s="1"/>
  <c r="BP46" i="8"/>
  <c r="BP44" i="8"/>
  <c r="BP43" i="8"/>
  <c r="BR42" i="8"/>
  <c r="BR104" i="8" s="1"/>
  <c r="BQ42" i="8"/>
  <c r="BQ104" i="8" s="1"/>
  <c r="BP41" i="8"/>
  <c r="BQ40" i="8"/>
  <c r="BP39" i="8"/>
  <c r="BP38" i="8"/>
  <c r="BP37" i="8"/>
  <c r="BP36" i="8"/>
  <c r="BP35" i="8"/>
  <c r="BR34" i="8"/>
  <c r="BQ34" i="8"/>
  <c r="BP33" i="8"/>
  <c r="BP32" i="8"/>
  <c r="BQ31" i="8"/>
  <c r="BQ27" i="8" s="1"/>
  <c r="BP30" i="8"/>
  <c r="BP29" i="8"/>
  <c r="BP28" i="8"/>
  <c r="BR27" i="8"/>
  <c r="BP26" i="8"/>
  <c r="BR25" i="8"/>
  <c r="BQ25" i="8"/>
  <c r="BP24" i="8"/>
  <c r="BP23" i="8"/>
  <c r="BP22" i="8"/>
  <c r="BP21" i="8"/>
  <c r="BP20" i="8"/>
  <c r="BP19" i="8"/>
  <c r="BP102" i="8" s="1"/>
  <c r="BP18" i="8"/>
  <c r="BR17" i="8"/>
  <c r="BQ17" i="8"/>
  <c r="BP16" i="8"/>
  <c r="BQ15" i="8"/>
  <c r="BQ8" i="8" s="1"/>
  <c r="BP14" i="8"/>
  <c r="BP13" i="8"/>
  <c r="BP12" i="8"/>
  <c r="BP11" i="8"/>
  <c r="BP10" i="8"/>
  <c r="BP9" i="8"/>
  <c r="BR8" i="8"/>
  <c r="BG47" i="8"/>
  <c r="BG105" i="8" s="1"/>
  <c r="BG75" i="8"/>
  <c r="BG120" i="8" s="1"/>
  <c r="BG46" i="8"/>
  <c r="BG44" i="8"/>
  <c r="BG43" i="8"/>
  <c r="BI42" i="8"/>
  <c r="BI104" i="8" s="1"/>
  <c r="BH42" i="8"/>
  <c r="BH104" i="8" s="1"/>
  <c r="BG41" i="8"/>
  <c r="BH40" i="8"/>
  <c r="BG39" i="8"/>
  <c r="BG38" i="8"/>
  <c r="BG37" i="8"/>
  <c r="BG36" i="8"/>
  <c r="BG35" i="8"/>
  <c r="BI34" i="8"/>
  <c r="BH34" i="8"/>
  <c r="BG33" i="8"/>
  <c r="BG32" i="8"/>
  <c r="BH31" i="8"/>
  <c r="BH27" i="8" s="1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102" i="8" s="1"/>
  <c r="BG18" i="8"/>
  <c r="BI17" i="8"/>
  <c r="BH17" i="8"/>
  <c r="BG16" i="8"/>
  <c r="BH15" i="8"/>
  <c r="BH8" i="8" s="1"/>
  <c r="BG14" i="8"/>
  <c r="BG13" i="8"/>
  <c r="BG12" i="8"/>
  <c r="BG11" i="8"/>
  <c r="BG10" i="8"/>
  <c r="BG9" i="8"/>
  <c r="BI8" i="8"/>
  <c r="BD75" i="8"/>
  <c r="BD120" i="8" s="1"/>
  <c r="BD47" i="8"/>
  <c r="BD105" i="8" s="1"/>
  <c r="BD26" i="8"/>
  <c r="BD44" i="8"/>
  <c r="BD46" i="8"/>
  <c r="BD43" i="8"/>
  <c r="BE42" i="8"/>
  <c r="BE104" i="8" s="1"/>
  <c r="BF42" i="8"/>
  <c r="BF104" i="8" s="1"/>
  <c r="BE34" i="8"/>
  <c r="BF34" i="8"/>
  <c r="BD41" i="8"/>
  <c r="BD36" i="8"/>
  <c r="BD37" i="8"/>
  <c r="BD38" i="8"/>
  <c r="BD39" i="8"/>
  <c r="BD35" i="8"/>
  <c r="BE40" i="8"/>
  <c r="BD33" i="8"/>
  <c r="BD32" i="8"/>
  <c r="BD29" i="8"/>
  <c r="BD30" i="8"/>
  <c r="BD28" i="8"/>
  <c r="BE31" i="8"/>
  <c r="BE27" i="8" s="1"/>
  <c r="BF27" i="8"/>
  <c r="BD24" i="8"/>
  <c r="BE15" i="8"/>
  <c r="BE8" i="8" s="1"/>
  <c r="BF25" i="8"/>
  <c r="BE25" i="8"/>
  <c r="BD19" i="8"/>
  <c r="BD102" i="8" s="1"/>
  <c r="BD20" i="8"/>
  <c r="BD21" i="8"/>
  <c r="BD22" i="8"/>
  <c r="BD23" i="8"/>
  <c r="BD18" i="8"/>
  <c r="BE17" i="8"/>
  <c r="BF17" i="8"/>
  <c r="BD16" i="8"/>
  <c r="BD10" i="8"/>
  <c r="BD11" i="8"/>
  <c r="BD12" i="8"/>
  <c r="BD13" i="8"/>
  <c r="BD14" i="8"/>
  <c r="BD9" i="8"/>
  <c r="BF8" i="8"/>
  <c r="BD83" i="8"/>
  <c r="BD128" i="8" s="1"/>
  <c r="N36" i="104"/>
  <c r="O36" i="104"/>
  <c r="P36" i="104"/>
  <c r="Q36" i="104"/>
  <c r="R36" i="104"/>
  <c r="N28" i="104"/>
  <c r="O28" i="104"/>
  <c r="P28" i="104"/>
  <c r="Q28" i="104"/>
  <c r="R28" i="104"/>
  <c r="D36" i="104"/>
  <c r="M36" i="104" s="1"/>
  <c r="BU44" i="8" s="1"/>
  <c r="D34" i="104"/>
  <c r="D26" i="104"/>
  <c r="D28" i="104"/>
  <c r="M28" i="104" s="1"/>
  <c r="BT44" i="8" s="1"/>
  <c r="D20" i="104"/>
  <c r="N20" i="104"/>
  <c r="P20" i="104" s="1"/>
  <c r="R20" i="104" s="1"/>
  <c r="C39" i="104"/>
  <c r="G39" i="104"/>
  <c r="H39" i="104"/>
  <c r="I39" i="104"/>
  <c r="J39" i="104"/>
  <c r="K39" i="104"/>
  <c r="L39" i="104"/>
  <c r="B39" i="104"/>
  <c r="C31" i="104"/>
  <c r="G31" i="104"/>
  <c r="H31" i="104"/>
  <c r="I31" i="104"/>
  <c r="J31" i="104"/>
  <c r="K31" i="104"/>
  <c r="L31" i="104"/>
  <c r="C23" i="104"/>
  <c r="G23" i="104"/>
  <c r="R16" i="64" s="1"/>
  <c r="H23" i="104"/>
  <c r="S16" i="64" s="1"/>
  <c r="I23" i="104"/>
  <c r="T16" i="64" s="1"/>
  <c r="J23" i="104"/>
  <c r="U16" i="64" s="1"/>
  <c r="K23" i="104"/>
  <c r="V16" i="64" s="1"/>
  <c r="L23" i="104"/>
  <c r="B31" i="104"/>
  <c r="B23" i="104"/>
  <c r="C14" i="104"/>
  <c r="G14" i="104"/>
  <c r="H14" i="104"/>
  <c r="I14" i="104"/>
  <c r="J14" i="104"/>
  <c r="K14" i="104"/>
  <c r="L14" i="104"/>
  <c r="B14" i="104"/>
  <c r="R20" i="61"/>
  <c r="T20" i="61"/>
  <c r="V20" i="61"/>
  <c r="W20" i="61"/>
  <c r="R21" i="61"/>
  <c r="T21" i="61"/>
  <c r="U21" i="61"/>
  <c r="V21" i="61"/>
  <c r="W21" i="61"/>
  <c r="AC15" i="10"/>
  <c r="AC16" i="10"/>
  <c r="AC17" i="10"/>
  <c r="AC14" i="10"/>
  <c r="AC8" i="10"/>
  <c r="AC9" i="10"/>
  <c r="AC10" i="10"/>
  <c r="AC7" i="10"/>
  <c r="M18" i="61"/>
  <c r="J13" i="95"/>
  <c r="G8" i="94"/>
  <c r="U27" i="123"/>
  <c r="BH27" i="123"/>
  <c r="BG27" i="123" s="1"/>
  <c r="L27" i="123"/>
  <c r="B27" i="123"/>
  <c r="AP27" i="123"/>
  <c r="AO27" i="123" s="1"/>
  <c r="BX151" i="7"/>
  <c r="V87" i="10"/>
  <c r="Y87" i="10"/>
  <c r="Z87" i="10"/>
  <c r="AD87" i="10"/>
  <c r="U70" i="10"/>
  <c r="U71" i="10" s="1"/>
  <c r="AD64" i="32"/>
  <c r="AD68" i="32" s="1"/>
  <c r="AD65" i="32"/>
  <c r="AD63" i="32"/>
  <c r="AA63" i="32"/>
  <c r="AA64" i="32" s="1"/>
  <c r="X63" i="32"/>
  <c r="X64" i="32" s="1"/>
  <c r="U63" i="32"/>
  <c r="U64" i="32" s="1"/>
  <c r="R64" i="32"/>
  <c r="AG64" i="32" s="1"/>
  <c r="AJ64" i="32" s="1"/>
  <c r="R65" i="32"/>
  <c r="AG65" i="32" s="1"/>
  <c r="AJ65" i="32" s="1"/>
  <c r="R63" i="32"/>
  <c r="AG63" i="32" s="1"/>
  <c r="AJ63" i="32" s="1"/>
  <c r="L63" i="32"/>
  <c r="L64" i="32" s="1"/>
  <c r="L65" i="32" s="1"/>
  <c r="N72" i="32"/>
  <c r="O72" i="32"/>
  <c r="P72" i="32"/>
  <c r="C64" i="32"/>
  <c r="C65" i="32" s="1"/>
  <c r="C63" i="32"/>
  <c r="B65" i="32"/>
  <c r="B62" i="32"/>
  <c r="D62" i="32" s="1"/>
  <c r="AD67" i="32"/>
  <c r="AA67" i="32"/>
  <c r="X67" i="32"/>
  <c r="U67" i="32"/>
  <c r="O67" i="32"/>
  <c r="C67" i="32"/>
  <c r="O64" i="32"/>
  <c r="O68" i="32" s="1"/>
  <c r="L67" i="32"/>
  <c r="N61" i="32"/>
  <c r="AP62" i="65"/>
  <c r="FF27" i="123"/>
  <c r="FE27" i="123" s="1"/>
  <c r="CN27" i="123"/>
  <c r="EW27" i="123"/>
  <c r="EV27" i="123" s="1"/>
  <c r="DG27" i="123"/>
  <c r="DF27" i="123" s="1"/>
  <c r="CX27" i="123"/>
  <c r="EN27" i="123"/>
  <c r="B15" i="101"/>
  <c r="B16" i="101" s="1"/>
  <c r="B17" i="101" s="1"/>
  <c r="B19" i="101" s="1"/>
  <c r="CP29" i="17" s="1"/>
  <c r="E6" i="101"/>
  <c r="F6" i="101" s="1"/>
  <c r="E7" i="101"/>
  <c r="F7" i="101" s="1"/>
  <c r="E8" i="101"/>
  <c r="F8" i="101" s="1"/>
  <c r="E5" i="101"/>
  <c r="B9" i="101"/>
  <c r="C9" i="101" s="1"/>
  <c r="CN29" i="17"/>
  <c r="J9" i="100"/>
  <c r="K9" i="100" s="1"/>
  <c r="L9" i="100" s="1"/>
  <c r="M9" i="100" s="1"/>
  <c r="AH13" i="10"/>
  <c r="AN15" i="10"/>
  <c r="AT15" i="10" s="1"/>
  <c r="CK20" i="8" s="1"/>
  <c r="AN16" i="10"/>
  <c r="AN17" i="10"/>
  <c r="AO17" i="10" s="1"/>
  <c r="AN14" i="10"/>
  <c r="AN8" i="10"/>
  <c r="AO8" i="10" s="1"/>
  <c r="AP8" i="10" s="1"/>
  <c r="AQ8" i="10" s="1"/>
  <c r="AR8" i="10" s="1"/>
  <c r="AN9" i="10"/>
  <c r="AN10" i="10"/>
  <c r="AO10" i="10" s="1"/>
  <c r="AP10" i="10" s="1"/>
  <c r="AQ10" i="10" s="1"/>
  <c r="AR10" i="10" s="1"/>
  <c r="AN7" i="10"/>
  <c r="U64" i="10"/>
  <c r="U82" i="10" s="1"/>
  <c r="AC65" i="10"/>
  <c r="AI11" i="10"/>
  <c r="AJ11" i="10" s="1"/>
  <c r="AK11" i="10" s="1"/>
  <c r="AL11" i="10" s="1"/>
  <c r="AB13" i="10"/>
  <c r="X13" i="10"/>
  <c r="W13" i="10"/>
  <c r="U13" i="10"/>
  <c r="C12" i="75" s="1"/>
  <c r="U24" i="95"/>
  <c r="U23" i="95"/>
  <c r="V23" i="95" s="1"/>
  <c r="T25" i="95"/>
  <c r="BT45" i="7"/>
  <c r="BT47" i="7"/>
  <c r="BT48" i="7"/>
  <c r="BT49" i="7"/>
  <c r="BU43" i="7"/>
  <c r="BX43" i="7"/>
  <c r="BT44" i="7"/>
  <c r="BS50" i="7"/>
  <c r="BS43" i="7"/>
  <c r="BX85" i="7"/>
  <c r="BW85" i="7" s="1"/>
  <c r="BV85" i="7" s="1"/>
  <c r="BW20" i="7"/>
  <c r="BV29" i="7"/>
  <c r="BV36" i="7"/>
  <c r="BW36" i="7" s="1"/>
  <c r="BW37" i="7"/>
  <c r="D24" i="99"/>
  <c r="B24" i="99"/>
  <c r="D16" i="99"/>
  <c r="B16" i="99"/>
  <c r="BH47" i="19"/>
  <c r="AU15" i="19"/>
  <c r="AW20" i="19"/>
  <c r="AV20" i="19"/>
  <c r="BW21" i="19"/>
  <c r="AW16" i="19"/>
  <c r="AV16" i="19"/>
  <c r="AU16" i="19"/>
  <c r="N24" i="98"/>
  <c r="O24" i="98"/>
  <c r="O13" i="98"/>
  <c r="P13" i="98" s="1"/>
  <c r="Q13" i="98" s="1"/>
  <c r="R13" i="98" s="1"/>
  <c r="P9" i="98"/>
  <c r="J33" i="98"/>
  <c r="S33" i="98" s="1"/>
  <c r="S18" i="98" s="1"/>
  <c r="J28" i="98"/>
  <c r="J18" i="98"/>
  <c r="J22" i="98" s="1"/>
  <c r="J11" i="98"/>
  <c r="J26" i="98" s="1"/>
  <c r="H24" i="98"/>
  <c r="L24" i="98"/>
  <c r="G38" i="98"/>
  <c r="H38" i="98"/>
  <c r="I38" i="98"/>
  <c r="G24" i="98"/>
  <c r="I24" i="98" s="1"/>
  <c r="D38" i="98"/>
  <c r="E38" i="98"/>
  <c r="E28" i="98"/>
  <c r="E24" i="98"/>
  <c r="D24" i="98"/>
  <c r="E13" i="98"/>
  <c r="F28" i="98"/>
  <c r="K28" i="98" s="1"/>
  <c r="L28" i="98" s="1"/>
  <c r="F24" i="98"/>
  <c r="K24" i="98" s="1"/>
  <c r="K38" i="98"/>
  <c r="F9" i="98"/>
  <c r="K9" i="98" s="1"/>
  <c r="F13" i="98"/>
  <c r="G13" i="98" s="1"/>
  <c r="J13" i="98" s="1"/>
  <c r="A17" i="98"/>
  <c r="A22" i="98" s="1"/>
  <c r="A27" i="98" s="1"/>
  <c r="A32" i="98" s="1"/>
  <c r="A37" i="98" s="1"/>
  <c r="A41" i="98" s="1"/>
  <c r="A16" i="98"/>
  <c r="A21" i="98" s="1"/>
  <c r="A26" i="98" s="1"/>
  <c r="A31" i="98" s="1"/>
  <c r="A36" i="98" s="1"/>
  <c r="A40" i="98" s="1"/>
  <c r="R38" i="98"/>
  <c r="Q38" i="98"/>
  <c r="P38" i="98"/>
  <c r="O38" i="98"/>
  <c r="N38" i="98"/>
  <c r="L38" i="98"/>
  <c r="F38" i="98"/>
  <c r="C38" i="98"/>
  <c r="I47" i="95"/>
  <c r="J38" i="95"/>
  <c r="J40" i="95" s="1"/>
  <c r="I42" i="95"/>
  <c r="J42" i="95" s="1"/>
  <c r="I17" i="95"/>
  <c r="J17" i="95" s="1"/>
  <c r="AP59" i="65"/>
  <c r="AP63" i="65"/>
  <c r="BE19" i="10"/>
  <c r="BW44" i="7"/>
  <c r="BV44" i="7" s="1"/>
  <c r="AM13" i="10"/>
  <c r="AN11" i="10"/>
  <c r="AO11" i="10" s="1"/>
  <c r="AP11" i="10" s="1"/>
  <c r="AQ11" i="10" s="1"/>
  <c r="AR11" i="10" s="1"/>
  <c r="U12" i="95"/>
  <c r="V12" i="95" s="1"/>
  <c r="W12" i="95" s="1"/>
  <c r="X12" i="95" s="1"/>
  <c r="Y12" i="95" s="1"/>
  <c r="Z12" i="95" s="1"/>
  <c r="AA12" i="95" s="1"/>
  <c r="AB12" i="95" s="1"/>
  <c r="AC12" i="95" s="1"/>
  <c r="AD12" i="95" s="1"/>
  <c r="AE12" i="95" s="1"/>
  <c r="I43" i="96"/>
  <c r="I53" i="96"/>
  <c r="I63" i="96"/>
  <c r="AZ57" i="3"/>
  <c r="B40" i="96"/>
  <c r="C7" i="96"/>
  <c r="B67" i="96"/>
  <c r="B44" i="96"/>
  <c r="B30" i="96"/>
  <c r="B15" i="96"/>
  <c r="B25" i="96"/>
  <c r="B35" i="96"/>
  <c r="B10" i="96"/>
  <c r="B20" i="96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1" i="19"/>
  <c r="BH10" i="19"/>
  <c r="BH14" i="19" s="1"/>
  <c r="BI14" i="19" s="1"/>
  <c r="BI13" i="19" s="1"/>
  <c r="BH9" i="19"/>
  <c r="BH8" i="19"/>
  <c r="AV12" i="19"/>
  <c r="AW12" i="19"/>
  <c r="AU46" i="19"/>
  <c r="AU45" i="19"/>
  <c r="AU44" i="19"/>
  <c r="AU43" i="19"/>
  <c r="AU40" i="19"/>
  <c r="AU38" i="19"/>
  <c r="AU35" i="19"/>
  <c r="AU33" i="19"/>
  <c r="AU32" i="19"/>
  <c r="AU30" i="19"/>
  <c r="AU29" i="19"/>
  <c r="AU28" i="19"/>
  <c r="AU25" i="19"/>
  <c r="AU23" i="19"/>
  <c r="AU22" i="19"/>
  <c r="AU21" i="19"/>
  <c r="AU11" i="19"/>
  <c r="AU9" i="19"/>
  <c r="AU8" i="19"/>
  <c r="AS12" i="19"/>
  <c r="AT12" i="19"/>
  <c r="AS49" i="19"/>
  <c r="AT49" i="19"/>
  <c r="AR9" i="19"/>
  <c r="AR10" i="19"/>
  <c r="AR14" i="19" s="1"/>
  <c r="AS14" i="19" s="1"/>
  <c r="AR11" i="19"/>
  <c r="AR16" i="19"/>
  <c r="AR17" i="19"/>
  <c r="AR18" i="19"/>
  <c r="AR20" i="19"/>
  <c r="AR21" i="19"/>
  <c r="AR22" i="19"/>
  <c r="AR24" i="19"/>
  <c r="AR25" i="19"/>
  <c r="AR26" i="19"/>
  <c r="AR28" i="19"/>
  <c r="AR29" i="19"/>
  <c r="AR30" i="19"/>
  <c r="AR31" i="19"/>
  <c r="AR32" i="19"/>
  <c r="AR35" i="19"/>
  <c r="AR36" i="19"/>
  <c r="AR37" i="19"/>
  <c r="AR38" i="19"/>
  <c r="AR39" i="19"/>
  <c r="BI39" i="19" s="1"/>
  <c r="AR40" i="19"/>
  <c r="AR41" i="19"/>
  <c r="AR42" i="19"/>
  <c r="AR43" i="19"/>
  <c r="AR44" i="19"/>
  <c r="AR45" i="19"/>
  <c r="AR46" i="19"/>
  <c r="AR47" i="19"/>
  <c r="AR48" i="19"/>
  <c r="AR8" i="19"/>
  <c r="AN42" i="6"/>
  <c r="AN40" i="6"/>
  <c r="BH40" i="6" s="1"/>
  <c r="AN39" i="6"/>
  <c r="AN37" i="6"/>
  <c r="AN36" i="6"/>
  <c r="AN35" i="6"/>
  <c r="AN34" i="6"/>
  <c r="BH34" i="6" s="1"/>
  <c r="AN33" i="6"/>
  <c r="AP33" i="6" s="1"/>
  <c r="AN30" i="6"/>
  <c r="BH30" i="6" s="1"/>
  <c r="AN27" i="6"/>
  <c r="BH27" i="6" s="1"/>
  <c r="AN24" i="6"/>
  <c r="AP24" i="6" s="1"/>
  <c r="AN22" i="6"/>
  <c r="AP22" i="6" s="1"/>
  <c r="AN21" i="6"/>
  <c r="AP21" i="6" s="1"/>
  <c r="AN20" i="6"/>
  <c r="BH20" i="6" s="1"/>
  <c r="BH18" i="6" s="1"/>
  <c r="AN16" i="6"/>
  <c r="AI18" i="6"/>
  <c r="AJ18" i="6"/>
  <c r="AM18" i="6"/>
  <c r="AJ25" i="6"/>
  <c r="AM25" i="6"/>
  <c r="AI25" i="6"/>
  <c r="AI11" i="6"/>
  <c r="AJ11" i="6"/>
  <c r="AM11" i="6"/>
  <c r="AJ13" i="6"/>
  <c r="AM13" i="6"/>
  <c r="AI13" i="6"/>
  <c r="AM40" i="5"/>
  <c r="AM39" i="5"/>
  <c r="AM38" i="5"/>
  <c r="AM34" i="5"/>
  <c r="AM30" i="5"/>
  <c r="AX30" i="5" s="1"/>
  <c r="BB30" i="5" s="1"/>
  <c r="AM29" i="5"/>
  <c r="AM28" i="5"/>
  <c r="BH28" i="5" s="1"/>
  <c r="AM23" i="5"/>
  <c r="AM14" i="5"/>
  <c r="AM13" i="5"/>
  <c r="AN13" i="5" s="1"/>
  <c r="AL26" i="5"/>
  <c r="AL46" i="5" s="1"/>
  <c r="AL12" i="5"/>
  <c r="AH26" i="5"/>
  <c r="AI26" i="5"/>
  <c r="AI46" i="5" s="1"/>
  <c r="AI54" i="5" s="1"/>
  <c r="AH17" i="5"/>
  <c r="AI12" i="5"/>
  <c r="AH12" i="5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 s="1"/>
  <c r="F26" i="97"/>
  <c r="F27" i="97" s="1"/>
  <c r="G26" i="97"/>
  <c r="G27" i="97" s="1"/>
  <c r="H26" i="97"/>
  <c r="H27" i="97" s="1"/>
  <c r="I26" i="97"/>
  <c r="I27" i="97" s="1"/>
  <c r="B26" i="97"/>
  <c r="B20" i="97"/>
  <c r="C11" i="97"/>
  <c r="C7" i="97"/>
  <c r="C9" i="97"/>
  <c r="C10" i="97"/>
  <c r="C6" i="97"/>
  <c r="I66" i="96"/>
  <c r="I64" i="96"/>
  <c r="D67" i="96"/>
  <c r="E67" i="96"/>
  <c r="H67" i="96"/>
  <c r="C67" i="96"/>
  <c r="I80" i="96"/>
  <c r="I88" i="96"/>
  <c r="I87" i="96"/>
  <c r="I81" i="96"/>
  <c r="I79" i="96"/>
  <c r="I76" i="96"/>
  <c r="D44" i="96"/>
  <c r="E44" i="96"/>
  <c r="H44" i="96"/>
  <c r="C44" i="96"/>
  <c r="H44" i="68"/>
  <c r="H64" i="68" s="1"/>
  <c r="H78" i="68" s="1"/>
  <c r="H92" i="68" s="1"/>
  <c r="H106" i="68" s="1"/>
  <c r="H107" i="68" s="1"/>
  <c r="F44" i="68"/>
  <c r="F64" i="68" s="1"/>
  <c r="D45" i="68"/>
  <c r="D8" i="68"/>
  <c r="N44" i="68"/>
  <c r="N64" i="68" s="1"/>
  <c r="N78" i="68" s="1"/>
  <c r="N92" i="68" s="1"/>
  <c r="N106" i="68" s="1"/>
  <c r="N107" i="68" s="1"/>
  <c r="F43" i="68"/>
  <c r="H43" i="68" s="1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0" i="7"/>
  <c r="AI15" i="10"/>
  <c r="AJ15" i="10" s="1"/>
  <c r="AK15" i="10" s="1"/>
  <c r="AI16" i="10"/>
  <c r="AJ16" i="10" s="1"/>
  <c r="AK16" i="10" s="1"/>
  <c r="AL16" i="10" s="1"/>
  <c r="AI17" i="10"/>
  <c r="AJ17" i="10" s="1"/>
  <c r="AK17" i="10" s="1"/>
  <c r="AL17" i="10" s="1"/>
  <c r="AI14" i="10"/>
  <c r="AJ14" i="10" s="1"/>
  <c r="AI8" i="10"/>
  <c r="AJ8" i="10" s="1"/>
  <c r="AI9" i="10"/>
  <c r="AI10" i="10"/>
  <c r="AJ10" i="10" s="1"/>
  <c r="AK10" i="10" s="1"/>
  <c r="AL10" i="10" s="1"/>
  <c r="AI7" i="10"/>
  <c r="AJ7" i="10" s="1"/>
  <c r="AK7" i="10" s="1"/>
  <c r="AL7" i="10" s="1"/>
  <c r="AH18" i="10"/>
  <c r="AM18" i="10"/>
  <c r="S47" i="95"/>
  <c r="N47" i="95"/>
  <c r="O47" i="95"/>
  <c r="P47" i="95"/>
  <c r="Q47" i="95"/>
  <c r="R47" i="95"/>
  <c r="O37" i="95"/>
  <c r="P37" i="95"/>
  <c r="Q37" i="95"/>
  <c r="R37" i="95"/>
  <c r="N37" i="95"/>
  <c r="O12" i="95"/>
  <c r="P12" i="95"/>
  <c r="Q12" i="95"/>
  <c r="R12" i="95"/>
  <c r="N12" i="95"/>
  <c r="D47" i="95"/>
  <c r="E47" i="95"/>
  <c r="F47" i="95"/>
  <c r="G47" i="95"/>
  <c r="H47" i="95"/>
  <c r="K47" i="95"/>
  <c r="L47" i="95"/>
  <c r="C47" i="95"/>
  <c r="CH54" i="72"/>
  <c r="CH52" i="72"/>
  <c r="CH50" i="72"/>
  <c r="CH48" i="72"/>
  <c r="CG63" i="72"/>
  <c r="CG62" i="72"/>
  <c r="BV21" i="7"/>
  <c r="BV11" i="7"/>
  <c r="BS175" i="7"/>
  <c r="BT175" i="7"/>
  <c r="BU175" i="7"/>
  <c r="BV175" i="7"/>
  <c r="BW175" i="7"/>
  <c r="BX175" i="7"/>
  <c r="BS172" i="7"/>
  <c r="BT172" i="7"/>
  <c r="BU172" i="7"/>
  <c r="BV172" i="7"/>
  <c r="BW172" i="7"/>
  <c r="BX172" i="7"/>
  <c r="BU167" i="7"/>
  <c r="BU72" i="7" s="1"/>
  <c r="BT167" i="7"/>
  <c r="BT72" i="7" s="1"/>
  <c r="BX159" i="7"/>
  <c r="BW159" i="7"/>
  <c r="BV159" i="7"/>
  <c r="BU159" i="7"/>
  <c r="BS159" i="7"/>
  <c r="BX155" i="7"/>
  <c r="BU155" i="7"/>
  <c r="BT155" i="7"/>
  <c r="BU154" i="7"/>
  <c r="BT154" i="7"/>
  <c r="BU152" i="7"/>
  <c r="BT152" i="7"/>
  <c r="BU151" i="7"/>
  <c r="BT151" i="7"/>
  <c r="BU150" i="7"/>
  <c r="BT150" i="7"/>
  <c r="BU149" i="7"/>
  <c r="BT149" i="7"/>
  <c r="BU148" i="7"/>
  <c r="BT148" i="7"/>
  <c r="BU146" i="7"/>
  <c r="BT146" i="7"/>
  <c r="BU144" i="7"/>
  <c r="BT144" i="7"/>
  <c r="BS85" i="7"/>
  <c r="BS62" i="7"/>
  <c r="BS155" i="7" s="1"/>
  <c r="BS87" i="7"/>
  <c r="BS167" i="7" s="1"/>
  <c r="BS72" i="7" s="1"/>
  <c r="BT64" i="7"/>
  <c r="BT159" i="7" s="1"/>
  <c r="BS59" i="7"/>
  <c r="BS154" i="7" s="1"/>
  <c r="BS56" i="7"/>
  <c r="BS54" i="7"/>
  <c r="BS53" i="7"/>
  <c r="BS42" i="7"/>
  <c r="BU41" i="7"/>
  <c r="BU35" i="7" s="1"/>
  <c r="BT41" i="7"/>
  <c r="BT35" i="7" s="1"/>
  <c r="BS40" i="7"/>
  <c r="BS39" i="7"/>
  <c r="BS38" i="7"/>
  <c r="BS37" i="7"/>
  <c r="BS36" i="7"/>
  <c r="BS34" i="7"/>
  <c r="BU33" i="7"/>
  <c r="BU27" i="7" s="1"/>
  <c r="BT33" i="7"/>
  <c r="BT27" i="7" s="1"/>
  <c r="BS32" i="7"/>
  <c r="BS31" i="7"/>
  <c r="BS30" i="7"/>
  <c r="BS29" i="7"/>
  <c r="BS28" i="7"/>
  <c r="BS26" i="7"/>
  <c r="BT25" i="7"/>
  <c r="BT17" i="7" s="1"/>
  <c r="BS24" i="7"/>
  <c r="BS23" i="7"/>
  <c r="BS22" i="7"/>
  <c r="BS21" i="7"/>
  <c r="BS20" i="7"/>
  <c r="BS19" i="7"/>
  <c r="BS151" i="7" s="1"/>
  <c r="BS18" i="7"/>
  <c r="BS16" i="7"/>
  <c r="BU15" i="7"/>
  <c r="BT15" i="7"/>
  <c r="BT8" i="7" s="1"/>
  <c r="BS14" i="7"/>
  <c r="BS13" i="7"/>
  <c r="BS12" i="7"/>
  <c r="BS11" i="7"/>
  <c r="BS10" i="7"/>
  <c r="BS9" i="7"/>
  <c r="BU8" i="7"/>
  <c r="BL33" i="7"/>
  <c r="BL27" i="7" s="1"/>
  <c r="BK25" i="7"/>
  <c r="BK17" i="7" s="1"/>
  <c r="BL175" i="7"/>
  <c r="BK175" i="7"/>
  <c r="BJ175" i="7"/>
  <c r="BL172" i="7"/>
  <c r="BK172" i="7"/>
  <c r="BJ172" i="7"/>
  <c r="BL167" i="7"/>
  <c r="BK167" i="7"/>
  <c r="BL159" i="7"/>
  <c r="BJ159" i="7"/>
  <c r="BL155" i="7"/>
  <c r="BK155" i="7"/>
  <c r="BJ155" i="7"/>
  <c r="BL154" i="7"/>
  <c r="BK154" i="7"/>
  <c r="BL152" i="7"/>
  <c r="BK152" i="7"/>
  <c r="BL151" i="7"/>
  <c r="BK151" i="7"/>
  <c r="BL150" i="7"/>
  <c r="BK150" i="7"/>
  <c r="BL149" i="7"/>
  <c r="BK149" i="7"/>
  <c r="BL148" i="7"/>
  <c r="BK148" i="7"/>
  <c r="BL146" i="7"/>
  <c r="M22" i="64" s="1"/>
  <c r="BK146" i="7"/>
  <c r="BL144" i="7"/>
  <c r="BK144" i="7"/>
  <c r="BJ87" i="7"/>
  <c r="BJ167" i="7" s="1"/>
  <c r="BK64" i="7"/>
  <c r="BK159" i="7" s="1"/>
  <c r="BJ59" i="7"/>
  <c r="BJ154" i="7" s="1"/>
  <c r="BJ56" i="7"/>
  <c r="BJ54" i="7"/>
  <c r="BV54" i="7" s="1"/>
  <c r="BJ53" i="7"/>
  <c r="BJ42" i="7"/>
  <c r="BL41" i="7"/>
  <c r="BL35" i="7" s="1"/>
  <c r="BK41" i="7"/>
  <c r="BK35" i="7" s="1"/>
  <c r="BJ40" i="7"/>
  <c r="BJ39" i="7"/>
  <c r="BJ38" i="7"/>
  <c r="BJ37" i="7"/>
  <c r="BJ36" i="7"/>
  <c r="BJ34" i="7"/>
  <c r="BK33" i="7"/>
  <c r="BK27" i="7" s="1"/>
  <c r="BJ32" i="7"/>
  <c r="BJ31" i="7"/>
  <c r="BJ30" i="7"/>
  <c r="BJ29" i="7"/>
  <c r="BJ28" i="7"/>
  <c r="BJ26" i="7"/>
  <c r="BJ24" i="7"/>
  <c r="BJ23" i="7"/>
  <c r="BJ22" i="7"/>
  <c r="BJ21" i="7"/>
  <c r="BJ20" i="7"/>
  <c r="BJ19" i="7"/>
  <c r="BJ151" i="7" s="1"/>
  <c r="BJ18" i="7"/>
  <c r="BL17" i="7"/>
  <c r="BJ16" i="7"/>
  <c r="BL15" i="7"/>
  <c r="BL8" i="7" s="1"/>
  <c r="BK15" i="7"/>
  <c r="BK8" i="7" s="1"/>
  <c r="BJ14" i="7"/>
  <c r="BJ13" i="7"/>
  <c r="BJ12" i="7"/>
  <c r="BJ11" i="7"/>
  <c r="BJ10" i="7"/>
  <c r="BJ9" i="7"/>
  <c r="BW25" i="17"/>
  <c r="CG51" i="72"/>
  <c r="CG55" i="72"/>
  <c r="CF51" i="72"/>
  <c r="CF55" i="72"/>
  <c r="C25" i="94"/>
  <c r="C26" i="94"/>
  <c r="C41" i="94"/>
  <c r="C40" i="94"/>
  <c r="C33" i="94"/>
  <c r="C32" i="94"/>
  <c r="G13" i="94"/>
  <c r="G12" i="94"/>
  <c r="G10" i="94"/>
  <c r="F10" i="94"/>
  <c r="F11" i="94" s="1"/>
  <c r="G9" i="94"/>
  <c r="G7" i="94"/>
  <c r="F7" i="94"/>
  <c r="F8" i="94" s="1"/>
  <c r="R25" i="66"/>
  <c r="S25" i="66"/>
  <c r="T25" i="66"/>
  <c r="U25" i="66"/>
  <c r="V25" i="66"/>
  <c r="W25" i="66"/>
  <c r="X25" i="66"/>
  <c r="Z25" i="66"/>
  <c r="AA25" i="66"/>
  <c r="AB25" i="66"/>
  <c r="AC25" i="66"/>
  <c r="AD25" i="66"/>
  <c r="R18" i="66"/>
  <c r="S18" i="66"/>
  <c r="T18" i="66"/>
  <c r="U18" i="66"/>
  <c r="V18" i="66"/>
  <c r="W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Z21" i="66"/>
  <c r="AA21" i="66"/>
  <c r="AB21" i="66"/>
  <c r="AC21" i="66"/>
  <c r="AD21" i="66"/>
  <c r="R22" i="66"/>
  <c r="S22" i="66"/>
  <c r="T22" i="66"/>
  <c r="U22" i="66"/>
  <c r="V22" i="66"/>
  <c r="W22" i="66"/>
  <c r="X22" i="66"/>
  <c r="Z22" i="66"/>
  <c r="AA22" i="66"/>
  <c r="AB22" i="66"/>
  <c r="AC22" i="66"/>
  <c r="AD22" i="66"/>
  <c r="R16" i="66"/>
  <c r="S16" i="66"/>
  <c r="T16" i="66"/>
  <c r="U16" i="66"/>
  <c r="V16" i="66"/>
  <c r="W16" i="66"/>
  <c r="X16" i="66"/>
  <c r="Z16" i="66"/>
  <c r="AA16" i="66"/>
  <c r="AB16" i="66"/>
  <c r="AC16" i="66"/>
  <c r="AD16" i="66"/>
  <c r="L37" i="66"/>
  <c r="L38" i="66" s="1"/>
  <c r="L25" i="66"/>
  <c r="M25" i="66"/>
  <c r="L15" i="66"/>
  <c r="L12" i="66" s="1"/>
  <c r="T46" i="65"/>
  <c r="U46" i="65" s="1"/>
  <c r="V46" i="65" s="1"/>
  <c r="W46" i="65" s="1"/>
  <c r="X46" i="65" s="1"/>
  <c r="Y46" i="65" s="1"/>
  <c r="U33" i="65"/>
  <c r="U32" i="65" s="1"/>
  <c r="V33" i="65"/>
  <c r="V32" i="65" s="1"/>
  <c r="V13" i="65"/>
  <c r="V10" i="65" s="1"/>
  <c r="W33" i="65"/>
  <c r="W32" i="65" s="1"/>
  <c r="X33" i="65"/>
  <c r="X32" i="65" s="1"/>
  <c r="X13" i="65"/>
  <c r="X10" i="65" s="1"/>
  <c r="T32" i="65"/>
  <c r="V19" i="65"/>
  <c r="W19" i="65"/>
  <c r="V20" i="65"/>
  <c r="W20" i="65"/>
  <c r="T20" i="65"/>
  <c r="T21" i="65"/>
  <c r="T13" i="65" s="1"/>
  <c r="T10" i="65" s="1"/>
  <c r="L32" i="65"/>
  <c r="M32" i="65"/>
  <c r="L13" i="65"/>
  <c r="L10" i="65" s="1"/>
  <c r="U13" i="65"/>
  <c r="U10" i="65" s="1"/>
  <c r="W13" i="65"/>
  <c r="W10" i="65" s="1"/>
  <c r="Y13" i="65"/>
  <c r="Y10" i="65" s="1"/>
  <c r="Y9" i="65" s="1"/>
  <c r="Y44" i="65" s="1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V15" i="64"/>
  <c r="W15" i="64"/>
  <c r="X15" i="64"/>
  <c r="Z15" i="64"/>
  <c r="AA15" i="64"/>
  <c r="AB15" i="64"/>
  <c r="AC15" i="64"/>
  <c r="AD15" i="64"/>
  <c r="L24" i="64"/>
  <c r="M24" i="64"/>
  <c r="M19" i="64"/>
  <c r="M20" i="64"/>
  <c r="L14" i="64"/>
  <c r="L11" i="64" s="1"/>
  <c r="P6" i="64"/>
  <c r="R46" i="61"/>
  <c r="S46" i="61" s="1"/>
  <c r="T46" i="61" s="1"/>
  <c r="U46" i="61" s="1"/>
  <c r="V46" i="61" s="1"/>
  <c r="W46" i="61" s="1"/>
  <c r="R33" i="61"/>
  <c r="S33" i="61"/>
  <c r="T33" i="61"/>
  <c r="U33" i="61"/>
  <c r="V33" i="61"/>
  <c r="W33" i="61"/>
  <c r="X33" i="61"/>
  <c r="Z33" i="61"/>
  <c r="AA33" i="61"/>
  <c r="AB33" i="61"/>
  <c r="AC33" i="61"/>
  <c r="AD33" i="61"/>
  <c r="R15" i="61"/>
  <c r="R12" i="61" s="1"/>
  <c r="R11" i="61" s="1"/>
  <c r="R44" i="61" s="1"/>
  <c r="S15" i="61"/>
  <c r="S12" i="61" s="1"/>
  <c r="T15" i="61"/>
  <c r="T12" i="61" s="1"/>
  <c r="U15" i="61"/>
  <c r="U12" i="61" s="1"/>
  <c r="V15" i="61"/>
  <c r="V12" i="61" s="1"/>
  <c r="W15" i="61"/>
  <c r="W12" i="61" s="1"/>
  <c r="L15" i="61"/>
  <c r="L12" i="61" s="1"/>
  <c r="L11" i="61" s="1"/>
  <c r="I67" i="85"/>
  <c r="I61" i="85"/>
  <c r="I50" i="85"/>
  <c r="I51" i="85" s="1"/>
  <c r="I45" i="85"/>
  <c r="I35" i="85"/>
  <c r="I36" i="85" s="1"/>
  <c r="I29" i="85"/>
  <c r="J29" i="85" s="1"/>
  <c r="I19" i="85"/>
  <c r="I13" i="85"/>
  <c r="J66" i="85"/>
  <c r="J60" i="85"/>
  <c r="J44" i="85"/>
  <c r="H56" i="85"/>
  <c r="J34" i="85"/>
  <c r="J28" i="85"/>
  <c r="J18" i="85"/>
  <c r="J12" i="85"/>
  <c r="H24" i="85"/>
  <c r="I32" i="79"/>
  <c r="H32" i="79"/>
  <c r="BA51" i="3"/>
  <c r="BA49" i="3" s="1"/>
  <c r="AX49" i="3"/>
  <c r="R45" i="61" s="1"/>
  <c r="S45" i="61" s="1"/>
  <c r="T45" i="61" s="1"/>
  <c r="U45" i="61" s="1"/>
  <c r="V45" i="61" s="1"/>
  <c r="W45" i="61" s="1"/>
  <c r="AY49" i="3"/>
  <c r="AY46" i="3" s="1"/>
  <c r="AY44" i="3" s="1"/>
  <c r="AX63" i="3"/>
  <c r="T45" i="65" s="1"/>
  <c r="U45" i="65" s="1"/>
  <c r="V45" i="65" s="1"/>
  <c r="W45" i="65" s="1"/>
  <c r="X45" i="65" s="1"/>
  <c r="Y45" i="65" s="1"/>
  <c r="AY63" i="3"/>
  <c r="R37" i="66" s="1"/>
  <c r="AL63" i="3"/>
  <c r="AL62" i="3" s="1"/>
  <c r="AM63" i="3"/>
  <c r="AN63" i="3"/>
  <c r="AO63" i="3"/>
  <c r="AP63" i="3"/>
  <c r="CJ61" i="72" s="1"/>
  <c r="AQ63" i="3"/>
  <c r="AQ62" i="3" s="1"/>
  <c r="AP41" i="3"/>
  <c r="AP42" i="3"/>
  <c r="B64" i="32" s="1"/>
  <c r="AO57" i="3"/>
  <c r="AO49" i="3" s="1"/>
  <c r="AO46" i="3" s="1"/>
  <c r="AP57" i="3"/>
  <c r="AQ57" i="3"/>
  <c r="AQ49" i="3" s="1"/>
  <c r="AL49" i="3"/>
  <c r="AL45" i="3" s="1"/>
  <c r="AM49" i="3"/>
  <c r="AK51" i="3"/>
  <c r="AK49" i="3" s="1"/>
  <c r="K36" i="64" s="1"/>
  <c r="AN57" i="3"/>
  <c r="AN49" i="3" s="1"/>
  <c r="C41" i="90"/>
  <c r="C40" i="90"/>
  <c r="M37" i="66"/>
  <c r="M38" i="66" s="1"/>
  <c r="U36" i="95"/>
  <c r="H40" i="85"/>
  <c r="H72" i="85"/>
  <c r="E24" i="64"/>
  <c r="D24" i="64"/>
  <c r="E14" i="64"/>
  <c r="E11" i="64" s="1"/>
  <c r="D14" i="64"/>
  <c r="D11" i="64" s="1"/>
  <c r="E25" i="66"/>
  <c r="D25" i="66"/>
  <c r="E15" i="66"/>
  <c r="E12" i="66" s="1"/>
  <c r="D15" i="66"/>
  <c r="D12" i="66" s="1"/>
  <c r="E32" i="65"/>
  <c r="D32" i="65"/>
  <c r="E13" i="65"/>
  <c r="E10" i="65" s="1"/>
  <c r="D13" i="65"/>
  <c r="D10" i="65" s="1"/>
  <c r="E33" i="61"/>
  <c r="D33" i="61"/>
  <c r="E15" i="61"/>
  <c r="E12" i="61" s="1"/>
  <c r="D15" i="61"/>
  <c r="D12" i="61" s="1"/>
  <c r="BX17" i="7"/>
  <c r="E15" i="92"/>
  <c r="F13" i="92"/>
  <c r="Z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63" i="65"/>
  <c r="C15" i="92"/>
  <c r="E14" i="92"/>
  <c r="D14" i="92"/>
  <c r="C14" i="92"/>
  <c r="K5" i="65"/>
  <c r="K6" i="64"/>
  <c r="O15" i="61"/>
  <c r="O12" i="61" s="1"/>
  <c r="H16" i="87"/>
  <c r="I16" i="87" s="1"/>
  <c r="L18" i="87"/>
  <c r="K18" i="87" s="1"/>
  <c r="P21" i="66"/>
  <c r="P22" i="66"/>
  <c r="P16" i="66"/>
  <c r="O15" i="66"/>
  <c r="O12" i="66" s="1"/>
  <c r="O48" i="66"/>
  <c r="H18" i="66"/>
  <c r="H19" i="66"/>
  <c r="H20" i="66"/>
  <c r="H21" i="66"/>
  <c r="H22" i="66"/>
  <c r="H16" i="66"/>
  <c r="G15" i="66"/>
  <c r="G12" i="66" s="1"/>
  <c r="O25" i="66"/>
  <c r="P25" i="66"/>
  <c r="G25" i="66"/>
  <c r="H25" i="66"/>
  <c r="E34" i="86"/>
  <c r="G48" i="65"/>
  <c r="H48" i="65"/>
  <c r="H16" i="65"/>
  <c r="H17" i="65"/>
  <c r="H19" i="65"/>
  <c r="H20" i="65"/>
  <c r="H21" i="65"/>
  <c r="H14" i="65"/>
  <c r="E29" i="86"/>
  <c r="E25" i="86"/>
  <c r="F39" i="86"/>
  <c r="D39" i="86"/>
  <c r="D30" i="86"/>
  <c r="E27" i="87"/>
  <c r="F27" i="87" s="1"/>
  <c r="E28" i="87"/>
  <c r="E29" i="87"/>
  <c r="F29" i="87" s="1"/>
  <c r="E26" i="87"/>
  <c r="F14" i="87"/>
  <c r="E16" i="87"/>
  <c r="F15" i="87"/>
  <c r="L15" i="87"/>
  <c r="M42" i="91"/>
  <c r="J42" i="91"/>
  <c r="G42" i="91"/>
  <c r="D42" i="91"/>
  <c r="M41" i="91"/>
  <c r="J41" i="91"/>
  <c r="G41" i="91"/>
  <c r="D41" i="91"/>
  <c r="M40" i="91"/>
  <c r="J40" i="91"/>
  <c r="G40" i="91"/>
  <c r="D40" i="91"/>
  <c r="M39" i="91"/>
  <c r="J39" i="91"/>
  <c r="G39" i="91"/>
  <c r="D39" i="91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D35" i="91"/>
  <c r="M34" i="91"/>
  <c r="J34" i="91"/>
  <c r="G34" i="91"/>
  <c r="D34" i="91"/>
  <c r="M33" i="91"/>
  <c r="J33" i="91"/>
  <c r="G33" i="91"/>
  <c r="D33" i="91"/>
  <c r="M32" i="91"/>
  <c r="J32" i="91"/>
  <c r="G32" i="91"/>
  <c r="D32" i="91"/>
  <c r="M31" i="91"/>
  <c r="M30" i="91" s="1"/>
  <c r="M28" i="91" s="1"/>
  <c r="J31" i="91"/>
  <c r="G31" i="91"/>
  <c r="G30" i="91" s="1"/>
  <c r="G28" i="91" s="1"/>
  <c r="D31" i="91"/>
  <c r="O30" i="91"/>
  <c r="O28" i="91" s="1"/>
  <c r="N30" i="91"/>
  <c r="N28" i="91" s="1"/>
  <c r="L30" i="91"/>
  <c r="L28" i="91" s="1"/>
  <c r="K30" i="91"/>
  <c r="K28" i="91" s="1"/>
  <c r="I30" i="91"/>
  <c r="I28" i="91" s="1"/>
  <c r="H30" i="91"/>
  <c r="H28" i="91" s="1"/>
  <c r="F30" i="91"/>
  <c r="F28" i="91" s="1"/>
  <c r="E30" i="91"/>
  <c r="E28" i="91" s="1"/>
  <c r="B30" i="91"/>
  <c r="B28" i="91" s="1"/>
  <c r="M14" i="91"/>
  <c r="J14" i="91"/>
  <c r="G14" i="91"/>
  <c r="D14" i="91"/>
  <c r="M13" i="91"/>
  <c r="J13" i="91"/>
  <c r="G13" i="91"/>
  <c r="D13" i="91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D9" i="91"/>
  <c r="M8" i="91"/>
  <c r="J8" i="91"/>
  <c r="G8" i="91"/>
  <c r="D8" i="91"/>
  <c r="M7" i="91"/>
  <c r="J7" i="91"/>
  <c r="G7" i="91"/>
  <c r="D7" i="91"/>
  <c r="M6" i="91"/>
  <c r="J6" i="91"/>
  <c r="G6" i="91"/>
  <c r="D6" i="91"/>
  <c r="M5" i="91"/>
  <c r="J5" i="91"/>
  <c r="G5" i="91"/>
  <c r="D5" i="91"/>
  <c r="M4" i="91"/>
  <c r="J4" i="91"/>
  <c r="G4" i="91"/>
  <c r="D4" i="91"/>
  <c r="M3" i="91"/>
  <c r="M2" i="91" s="1"/>
  <c r="J3" i="91"/>
  <c r="J2" i="91" s="1"/>
  <c r="G3" i="91"/>
  <c r="G2" i="91" s="1"/>
  <c r="D3" i="91"/>
  <c r="D2" i="91" s="1"/>
  <c r="O2" i="91"/>
  <c r="N2" i="91"/>
  <c r="L2" i="91"/>
  <c r="K2" i="91"/>
  <c r="I2" i="91"/>
  <c r="H2" i="91"/>
  <c r="F2" i="91"/>
  <c r="E2" i="91"/>
  <c r="B2" i="91"/>
  <c r="P46" i="65"/>
  <c r="G46" i="65"/>
  <c r="H46" i="65"/>
  <c r="G32" i="65"/>
  <c r="H32" i="65"/>
  <c r="G13" i="65"/>
  <c r="G10" i="65" s="1"/>
  <c r="P17" i="64"/>
  <c r="P18" i="64"/>
  <c r="P19" i="64"/>
  <c r="P20" i="64"/>
  <c r="P21" i="64"/>
  <c r="P15" i="64"/>
  <c r="D21" i="86"/>
  <c r="J19" i="64"/>
  <c r="O19" i="64"/>
  <c r="J20" i="64"/>
  <c r="K20" i="64"/>
  <c r="O20" i="64"/>
  <c r="H17" i="64"/>
  <c r="H18" i="64"/>
  <c r="H19" i="64"/>
  <c r="H20" i="64"/>
  <c r="H21" i="64"/>
  <c r="H15" i="64"/>
  <c r="O24" i="64"/>
  <c r="P24" i="64"/>
  <c r="G24" i="64"/>
  <c r="H24" i="64"/>
  <c r="O14" i="64"/>
  <c r="O11" i="64" s="1"/>
  <c r="G14" i="64"/>
  <c r="G11" i="64" s="1"/>
  <c r="F4" i="64"/>
  <c r="F3" i="65" s="1"/>
  <c r="F4" i="66" s="1"/>
  <c r="P18" i="61"/>
  <c r="P20" i="61"/>
  <c r="Y20" i="61" s="1"/>
  <c r="P21" i="61"/>
  <c r="Y21" i="61" s="1"/>
  <c r="P23" i="61"/>
  <c r="F28" i="87"/>
  <c r="H15" i="87"/>
  <c r="I15" i="87" s="1"/>
  <c r="H14" i="87"/>
  <c r="I14" i="87" s="1"/>
  <c r="M25" i="87"/>
  <c r="P23" i="66" s="1"/>
  <c r="K24" i="87"/>
  <c r="R21" i="64" s="1"/>
  <c r="H24" i="87"/>
  <c r="K23" i="87"/>
  <c r="S21" i="61" s="1"/>
  <c r="H23" i="87"/>
  <c r="U20" i="65" s="1"/>
  <c r="M22" i="87"/>
  <c r="Q20" i="66" s="1"/>
  <c r="H22" i="87"/>
  <c r="N19" i="64" s="1"/>
  <c r="M21" i="87"/>
  <c r="Q19" i="66" s="1"/>
  <c r="M20" i="87"/>
  <c r="P18" i="66" s="1"/>
  <c r="H20" i="87"/>
  <c r="L16" i="87"/>
  <c r="K16" i="87" s="1"/>
  <c r="L14" i="87"/>
  <c r="K14" i="87" s="1"/>
  <c r="C33" i="90"/>
  <c r="C32" i="90"/>
  <c r="C26" i="90"/>
  <c r="C25" i="90"/>
  <c r="G13" i="90"/>
  <c r="G12" i="90"/>
  <c r="G10" i="90"/>
  <c r="F10" i="90"/>
  <c r="F11" i="90" s="1"/>
  <c r="H11" i="90" s="1"/>
  <c r="G9" i="90"/>
  <c r="G8" i="90"/>
  <c r="G7" i="90"/>
  <c r="F7" i="90"/>
  <c r="G59" i="78"/>
  <c r="G60" i="78"/>
  <c r="G58" i="78"/>
  <c r="D59" i="78"/>
  <c r="D60" i="78"/>
  <c r="D58" i="78"/>
  <c r="E72" i="78"/>
  <c r="F72" i="78"/>
  <c r="B72" i="78"/>
  <c r="C72" i="78"/>
  <c r="I36" i="78"/>
  <c r="G36" i="78" s="1"/>
  <c r="O46" i="61"/>
  <c r="P42" i="89"/>
  <c r="M42" i="89"/>
  <c r="J42" i="89"/>
  <c r="F42" i="89"/>
  <c r="B42" i="89"/>
  <c r="P41" i="89"/>
  <c r="M41" i="89"/>
  <c r="J41" i="89"/>
  <c r="F41" i="89"/>
  <c r="B41" i="89"/>
  <c r="P40" i="89"/>
  <c r="M40" i="89"/>
  <c r="J40" i="89"/>
  <c r="F40" i="89"/>
  <c r="B40" i="89"/>
  <c r="P39" i="89"/>
  <c r="M39" i="89"/>
  <c r="J39" i="89"/>
  <c r="F39" i="89"/>
  <c r="B39" i="89"/>
  <c r="P38" i="89"/>
  <c r="M38" i="89"/>
  <c r="J38" i="89"/>
  <c r="F38" i="89"/>
  <c r="B38" i="89"/>
  <c r="P37" i="89"/>
  <c r="M37" i="89"/>
  <c r="J37" i="89"/>
  <c r="F37" i="89"/>
  <c r="B37" i="89"/>
  <c r="P36" i="89"/>
  <c r="M36" i="89"/>
  <c r="J36" i="89"/>
  <c r="F36" i="89"/>
  <c r="B36" i="89"/>
  <c r="P35" i="89"/>
  <c r="M35" i="89"/>
  <c r="J35" i="89"/>
  <c r="F35" i="89"/>
  <c r="B35" i="89"/>
  <c r="P34" i="89"/>
  <c r="M34" i="89"/>
  <c r="J34" i="89"/>
  <c r="F34" i="89"/>
  <c r="B34" i="89"/>
  <c r="P33" i="89"/>
  <c r="M33" i="89"/>
  <c r="J33" i="89"/>
  <c r="F33" i="89"/>
  <c r="B33" i="89"/>
  <c r="P32" i="89"/>
  <c r="M32" i="89"/>
  <c r="J32" i="89"/>
  <c r="F32" i="89"/>
  <c r="B32" i="89"/>
  <c r="P31" i="89"/>
  <c r="M31" i="89"/>
  <c r="J31" i="89"/>
  <c r="F31" i="89"/>
  <c r="B31" i="89"/>
  <c r="V30" i="89"/>
  <c r="V28" i="89" s="1"/>
  <c r="U30" i="89"/>
  <c r="U28" i="89" s="1"/>
  <c r="T30" i="89"/>
  <c r="T28" i="89" s="1"/>
  <c r="S30" i="89"/>
  <c r="S28" i="89" s="1"/>
  <c r="R30" i="89"/>
  <c r="R28" i="89" s="1"/>
  <c r="Q30" i="89"/>
  <c r="Q28" i="89" s="1"/>
  <c r="O30" i="89"/>
  <c r="O28" i="89" s="1"/>
  <c r="N30" i="89"/>
  <c r="N28" i="89" s="1"/>
  <c r="L30" i="89"/>
  <c r="L28" i="89" s="1"/>
  <c r="K30" i="89"/>
  <c r="K28" i="89" s="1"/>
  <c r="H30" i="89"/>
  <c r="H28" i="89" s="1"/>
  <c r="G30" i="89"/>
  <c r="G28" i="89" s="1"/>
  <c r="E30" i="89"/>
  <c r="E28" i="89" s="1"/>
  <c r="D30" i="89"/>
  <c r="D28" i="89" s="1"/>
  <c r="C30" i="89"/>
  <c r="C28" i="89" s="1"/>
  <c r="P14" i="89"/>
  <c r="M14" i="89"/>
  <c r="J14" i="89"/>
  <c r="F14" i="89"/>
  <c r="B14" i="89"/>
  <c r="P13" i="89"/>
  <c r="M13" i="89"/>
  <c r="J13" i="89"/>
  <c r="F13" i="89"/>
  <c r="B13" i="89"/>
  <c r="P12" i="89"/>
  <c r="M12" i="89"/>
  <c r="J12" i="89"/>
  <c r="F12" i="89"/>
  <c r="B12" i="89"/>
  <c r="P11" i="89"/>
  <c r="M11" i="89"/>
  <c r="J11" i="89"/>
  <c r="F11" i="89"/>
  <c r="B11" i="89"/>
  <c r="P10" i="89"/>
  <c r="M10" i="89"/>
  <c r="J10" i="89"/>
  <c r="F10" i="89"/>
  <c r="B10" i="89"/>
  <c r="P9" i="89"/>
  <c r="M9" i="89"/>
  <c r="J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M6" i="89"/>
  <c r="J6" i="89"/>
  <c r="F6" i="89"/>
  <c r="B6" i="89"/>
  <c r="P5" i="89"/>
  <c r="M5" i="89"/>
  <c r="J5" i="89"/>
  <c r="F5" i="89"/>
  <c r="B5" i="89"/>
  <c r="P4" i="89"/>
  <c r="M4" i="89"/>
  <c r="J4" i="89"/>
  <c r="F4" i="89"/>
  <c r="B4" i="89"/>
  <c r="P3" i="89"/>
  <c r="M3" i="89"/>
  <c r="J3" i="89"/>
  <c r="F3" i="89"/>
  <c r="B3" i="89"/>
  <c r="V2" i="89"/>
  <c r="U2" i="89"/>
  <c r="T2" i="89"/>
  <c r="S2" i="89"/>
  <c r="R2" i="89"/>
  <c r="Q2" i="89"/>
  <c r="O2" i="89"/>
  <c r="N2" i="89"/>
  <c r="L2" i="89"/>
  <c r="K2" i="89"/>
  <c r="H2" i="89"/>
  <c r="G2" i="89"/>
  <c r="E2" i="89"/>
  <c r="D2" i="89"/>
  <c r="C2" i="89"/>
  <c r="E8" i="86"/>
  <c r="H8" i="86" s="1"/>
  <c r="E10" i="86"/>
  <c r="H10" i="86" s="1"/>
  <c r="E11" i="86"/>
  <c r="H11" i="86" s="1"/>
  <c r="E7" i="86"/>
  <c r="H7" i="86" s="1"/>
  <c r="C52" i="32"/>
  <c r="B46" i="32"/>
  <c r="D46" i="32" s="1"/>
  <c r="B44" i="32"/>
  <c r="D44" i="32" s="1"/>
  <c r="C48" i="32"/>
  <c r="H18" i="61"/>
  <c r="C7" i="102" s="1"/>
  <c r="H19" i="61"/>
  <c r="H20" i="61"/>
  <c r="H21" i="61"/>
  <c r="H23" i="61"/>
  <c r="H16" i="61"/>
  <c r="B27" i="87"/>
  <c r="B28" i="87"/>
  <c r="C28" i="87" s="1"/>
  <c r="B29" i="87"/>
  <c r="C29" i="87" s="1"/>
  <c r="B26" i="87"/>
  <c r="W18" i="10"/>
  <c r="AL43" i="61"/>
  <c r="H33" i="61"/>
  <c r="G33" i="61"/>
  <c r="G15" i="61"/>
  <c r="G12" i="61" s="1"/>
  <c r="E17" i="88"/>
  <c r="D17" i="88"/>
  <c r="C17" i="88"/>
  <c r="C9" i="88"/>
  <c r="P33" i="65"/>
  <c r="P32" i="65" s="1"/>
  <c r="P13" i="65"/>
  <c r="P10" i="65" s="1"/>
  <c r="Q33" i="65"/>
  <c r="Q32" i="65" s="1"/>
  <c r="Q46" i="65"/>
  <c r="Q19" i="65"/>
  <c r="R19" i="65" s="1"/>
  <c r="Q20" i="65"/>
  <c r="R20" i="65" s="1"/>
  <c r="Q21" i="65"/>
  <c r="R21" i="65" s="1"/>
  <c r="P46" i="61"/>
  <c r="O33" i="61"/>
  <c r="P33" i="61"/>
  <c r="E46" i="73"/>
  <c r="E36" i="63"/>
  <c r="D43" i="73"/>
  <c r="B43" i="73" s="1"/>
  <c r="D38" i="73"/>
  <c r="B38" i="73" s="1"/>
  <c r="C38" i="73" s="1"/>
  <c r="B37" i="73"/>
  <c r="G25" i="87"/>
  <c r="H23" i="66" s="1"/>
  <c r="E24" i="87"/>
  <c r="B24" i="87"/>
  <c r="E23" i="87"/>
  <c r="I20" i="64" s="1"/>
  <c r="B23" i="87"/>
  <c r="G22" i="87"/>
  <c r="T19" i="65" s="1"/>
  <c r="B22" i="87"/>
  <c r="G21" i="87"/>
  <c r="E21" i="87" s="1"/>
  <c r="G20" i="87"/>
  <c r="E20" i="87" s="1"/>
  <c r="C16" i="87"/>
  <c r="C15" i="87"/>
  <c r="C14" i="87"/>
  <c r="G7" i="86"/>
  <c r="D26" i="75"/>
  <c r="C26" i="75"/>
  <c r="U31" i="32"/>
  <c r="U32" i="32" s="1"/>
  <c r="U35" i="32" s="1"/>
  <c r="U38" i="32" s="1"/>
  <c r="T30" i="32"/>
  <c r="V30" i="32" s="1"/>
  <c r="Q34" i="32"/>
  <c r="Q35" i="32" s="1"/>
  <c r="U34" i="32"/>
  <c r="Q38" i="32"/>
  <c r="R35" i="32"/>
  <c r="R38" i="32" s="1"/>
  <c r="S31" i="32"/>
  <c r="S30" i="32"/>
  <c r="Q29" i="32"/>
  <c r="AE15" i="10"/>
  <c r="K27" i="87" s="1"/>
  <c r="L27" i="87" s="1"/>
  <c r="AE16" i="10"/>
  <c r="K28" i="87" s="1"/>
  <c r="L28" i="87" s="1"/>
  <c r="AE17" i="10"/>
  <c r="K29" i="87" s="1"/>
  <c r="L29" i="87" s="1"/>
  <c r="AE14" i="10"/>
  <c r="K26" i="87" s="1"/>
  <c r="AE8" i="10"/>
  <c r="H27" i="87" s="1"/>
  <c r="I27" i="87" s="1"/>
  <c r="AE9" i="10"/>
  <c r="H28" i="87" s="1"/>
  <c r="I28" i="87" s="1"/>
  <c r="AE10" i="10"/>
  <c r="H29" i="87" s="1"/>
  <c r="I29" i="87" s="1"/>
  <c r="AE7" i="10"/>
  <c r="AD18" i="10"/>
  <c r="AD13" i="10"/>
  <c r="X18" i="10"/>
  <c r="CO54" i="72"/>
  <c r="CP54" i="72" s="1"/>
  <c r="CO52" i="72"/>
  <c r="CP52" i="72" s="1"/>
  <c r="CO50" i="72"/>
  <c r="CP50" i="72" s="1"/>
  <c r="CO48" i="72"/>
  <c r="CP48" i="72" s="1"/>
  <c r="D12" i="86"/>
  <c r="F30" i="86"/>
  <c r="C30" i="86"/>
  <c r="F21" i="86"/>
  <c r="C21" i="86"/>
  <c r="F12" i="86"/>
  <c r="Z63" i="3"/>
  <c r="H37" i="66" s="1"/>
  <c r="H38" i="66" s="1"/>
  <c r="Y63" i="3"/>
  <c r="Y57" i="3"/>
  <c r="B45" i="32" s="1"/>
  <c r="D45" i="32" s="1"/>
  <c r="Z49" i="3"/>
  <c r="H36" i="64" s="1"/>
  <c r="Z39" i="3"/>
  <c r="BJ51" i="72"/>
  <c r="BI175" i="7"/>
  <c r="BI172" i="7"/>
  <c r="BI167" i="7"/>
  <c r="BI159" i="7"/>
  <c r="BI155" i="7"/>
  <c r="BI154" i="7"/>
  <c r="BI152" i="7"/>
  <c r="BI151" i="7"/>
  <c r="BI149" i="7"/>
  <c r="BI148" i="7"/>
  <c r="BI146" i="7"/>
  <c r="BI144" i="7"/>
  <c r="BH175" i="7"/>
  <c r="BH172" i="7"/>
  <c r="BH167" i="7"/>
  <c r="BH154" i="7"/>
  <c r="BH152" i="7"/>
  <c r="BH151" i="7"/>
  <c r="BH150" i="7"/>
  <c r="BH149" i="7"/>
  <c r="BH148" i="7"/>
  <c r="BH146" i="7"/>
  <c r="BH144" i="7"/>
  <c r="BG175" i="7"/>
  <c r="BG172" i="7"/>
  <c r="BG159" i="7"/>
  <c r="BG155" i="7"/>
  <c r="BG87" i="7"/>
  <c r="BG167" i="7" s="1"/>
  <c r="BG20" i="7"/>
  <c r="BG59" i="7"/>
  <c r="BG154" i="7" s="1"/>
  <c r="BG56" i="7"/>
  <c r="BG53" i="7"/>
  <c r="BG37" i="7"/>
  <c r="BG38" i="7"/>
  <c r="BI33" i="7"/>
  <c r="BI27" i="7" s="1"/>
  <c r="BH33" i="7"/>
  <c r="BH27" i="7" s="1"/>
  <c r="BG30" i="7"/>
  <c r="BG28" i="7"/>
  <c r="BG19" i="7"/>
  <c r="BG151" i="7" s="1"/>
  <c r="BG21" i="7"/>
  <c r="BG22" i="7"/>
  <c r="BG23" i="7"/>
  <c r="BG26" i="7"/>
  <c r="BG18" i="7"/>
  <c r="BG16" i="7"/>
  <c r="BG10" i="7"/>
  <c r="BG11" i="7"/>
  <c r="BG12" i="7"/>
  <c r="BG13" i="7"/>
  <c r="BG14" i="7"/>
  <c r="BG9" i="7"/>
  <c r="BH64" i="7"/>
  <c r="BH159" i="7" s="1"/>
  <c r="BH62" i="7"/>
  <c r="BH155" i="7" s="1"/>
  <c r="BG42" i="7"/>
  <c r="BH41" i="7"/>
  <c r="BH35" i="7" s="1"/>
  <c r="BG36" i="7"/>
  <c r="BG34" i="7"/>
  <c r="BH25" i="7"/>
  <c r="BH17" i="7" s="1"/>
  <c r="BI24" i="7"/>
  <c r="BI150" i="7" s="1"/>
  <c r="B16" i="92"/>
  <c r="S32" i="32"/>
  <c r="BJ55" i="72"/>
  <c r="BI55" i="72"/>
  <c r="BI51" i="72"/>
  <c r="BG54" i="7"/>
  <c r="BG31" i="7"/>
  <c r="BG32" i="7"/>
  <c r="BG29" i="7"/>
  <c r="BH15" i="7"/>
  <c r="BH8" i="7" s="1"/>
  <c r="BI15" i="7"/>
  <c r="BI8" i="7" s="1"/>
  <c r="BG39" i="7"/>
  <c r="AR63" i="3"/>
  <c r="F9" i="87" s="1"/>
  <c r="X63" i="3"/>
  <c r="G37" i="66" s="1"/>
  <c r="G38" i="66" s="1"/>
  <c r="W57" i="3"/>
  <c r="W49" i="3" s="1"/>
  <c r="X49" i="3"/>
  <c r="X39" i="3"/>
  <c r="AR49" i="3"/>
  <c r="P45" i="61" s="1"/>
  <c r="AR46" i="3"/>
  <c r="AL46" i="3"/>
  <c r="AL44" i="3" s="1"/>
  <c r="G6" i="77"/>
  <c r="G5" i="77" s="1"/>
  <c r="G4" i="77" s="1"/>
  <c r="K14" i="66" s="1"/>
  <c r="B3" i="85"/>
  <c r="E3" i="85" s="1"/>
  <c r="E5" i="85" s="1"/>
  <c r="F62" i="65"/>
  <c r="BI41" i="7"/>
  <c r="BI35" i="7" s="1"/>
  <c r="BG40" i="7"/>
  <c r="F8" i="84"/>
  <c r="F7" i="84"/>
  <c r="E8" i="84"/>
  <c r="E6" i="84"/>
  <c r="G6" i="84" s="1"/>
  <c r="I33" i="84"/>
  <c r="C33" i="84"/>
  <c r="B32" i="84"/>
  <c r="I31" i="84"/>
  <c r="I34" i="84" s="1"/>
  <c r="F31" i="84"/>
  <c r="F34" i="84" s="1"/>
  <c r="F37" i="84" s="1"/>
  <c r="B31" i="84"/>
  <c r="D31" i="84" s="1"/>
  <c r="F29" i="84"/>
  <c r="E29" i="84"/>
  <c r="H29" i="84" s="1"/>
  <c r="J29" i="84" s="1"/>
  <c r="H28" i="84"/>
  <c r="B28" i="84"/>
  <c r="F23" i="84"/>
  <c r="C23" i="84"/>
  <c r="E22" i="84"/>
  <c r="B22" i="84"/>
  <c r="B23" i="84" s="1"/>
  <c r="B24" i="84" s="1"/>
  <c r="D24" i="84" s="1"/>
  <c r="E21" i="84"/>
  <c r="G21" i="84" s="1"/>
  <c r="B21" i="84"/>
  <c r="D21" i="84" s="1"/>
  <c r="D20" i="84"/>
  <c r="D19" i="84"/>
  <c r="J15" i="84"/>
  <c r="G15" i="84"/>
  <c r="D8" i="84"/>
  <c r="D7" i="84"/>
  <c r="D6" i="84"/>
  <c r="F5" i="83"/>
  <c r="F7" i="83"/>
  <c r="F8" i="83"/>
  <c r="F4" i="83"/>
  <c r="B7" i="83"/>
  <c r="D7" i="83" s="1"/>
  <c r="B4" i="83"/>
  <c r="D4" i="83" s="1"/>
  <c r="L39" i="10"/>
  <c r="S39" i="10" s="1"/>
  <c r="P42" i="10"/>
  <c r="Q42" i="10"/>
  <c r="R42" i="10"/>
  <c r="G42" i="10"/>
  <c r="O42" i="10"/>
  <c r="O44" i="10" s="1"/>
  <c r="S41" i="10"/>
  <c r="S40" i="10"/>
  <c r="S38" i="10"/>
  <c r="O35" i="10"/>
  <c r="M28" i="10"/>
  <c r="N28" i="10"/>
  <c r="O28" i="10"/>
  <c r="M32" i="10"/>
  <c r="N32" i="10"/>
  <c r="O32" i="10"/>
  <c r="L32" i="10"/>
  <c r="L28" i="10"/>
  <c r="S30" i="10"/>
  <c r="S31" i="10" s="1"/>
  <c r="C7" i="67"/>
  <c r="C8" i="67" s="1"/>
  <c r="C9" i="67" s="1"/>
  <c r="D64" i="78"/>
  <c r="G64" i="78"/>
  <c r="E66" i="78"/>
  <c r="E68" i="78"/>
  <c r="G68" i="78" s="1"/>
  <c r="F67" i="78"/>
  <c r="E67" i="78"/>
  <c r="F66" i="78"/>
  <c r="G66" i="78" s="1"/>
  <c r="G63" i="78"/>
  <c r="G62" i="78"/>
  <c r="D62" i="78"/>
  <c r="D63" i="78"/>
  <c r="C67" i="78"/>
  <c r="C66" i="78"/>
  <c r="D66" i="78" s="1"/>
  <c r="B67" i="78"/>
  <c r="B68" i="78"/>
  <c r="D68" i="78" s="1"/>
  <c r="H48" i="78"/>
  <c r="C46" i="78"/>
  <c r="D46" i="78"/>
  <c r="E46" i="78"/>
  <c r="F46" i="78"/>
  <c r="I46" i="78"/>
  <c r="J46" i="78"/>
  <c r="K46" i="78"/>
  <c r="B51" i="78"/>
  <c r="G51" i="78"/>
  <c r="B52" i="78"/>
  <c r="G52" i="78"/>
  <c r="E42" i="78"/>
  <c r="G50" i="78"/>
  <c r="B50" i="78"/>
  <c r="G49" i="78"/>
  <c r="B49" i="78"/>
  <c r="B48" i="78"/>
  <c r="G47" i="78"/>
  <c r="B47" i="78"/>
  <c r="B44" i="78"/>
  <c r="B43" i="78"/>
  <c r="F42" i="78"/>
  <c r="D42" i="78"/>
  <c r="C42" i="78"/>
  <c r="B39" i="78"/>
  <c r="F40" i="78"/>
  <c r="B40" i="78" s="1"/>
  <c r="B38" i="78"/>
  <c r="H33" i="78"/>
  <c r="G33" i="78" s="1"/>
  <c r="G35" i="78"/>
  <c r="G34" i="78"/>
  <c r="K32" i="78"/>
  <c r="J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 s="1"/>
  <c r="X42" i="61" s="1"/>
  <c r="B36" i="78"/>
  <c r="E26" i="78"/>
  <c r="B25" i="78"/>
  <c r="F24" i="78"/>
  <c r="W17" i="82"/>
  <c r="P21" i="81"/>
  <c r="B68" i="81"/>
  <c r="B67" i="81"/>
  <c r="O21" i="81"/>
  <c r="N20" i="81"/>
  <c r="E79" i="81"/>
  <c r="E80" i="81"/>
  <c r="D80" i="81"/>
  <c r="D79" i="81"/>
  <c r="E59" i="81"/>
  <c r="E67" i="81" s="1"/>
  <c r="E60" i="81"/>
  <c r="E68" i="81" s="1"/>
  <c r="D60" i="81"/>
  <c r="D59" i="81"/>
  <c r="E77" i="81"/>
  <c r="D77" i="81"/>
  <c r="D73" i="81"/>
  <c r="E73" i="81"/>
  <c r="M11" i="81" s="1"/>
  <c r="B73" i="81"/>
  <c r="D65" i="81"/>
  <c r="E65" i="81"/>
  <c r="B65" i="81"/>
  <c r="E57" i="81"/>
  <c r="D57" i="81"/>
  <c r="E53" i="81"/>
  <c r="D53" i="81"/>
  <c r="E92" i="81"/>
  <c r="D92" i="81"/>
  <c r="E91" i="81"/>
  <c r="D91" i="81"/>
  <c r="B92" i="81"/>
  <c r="B91" i="81"/>
  <c r="H12" i="81"/>
  <c r="H13" i="81"/>
  <c r="O14" i="81"/>
  <c r="D45" i="81"/>
  <c r="E45" i="81"/>
  <c r="M13" i="81" s="1"/>
  <c r="B45" i="81"/>
  <c r="D41" i="81"/>
  <c r="E41" i="81"/>
  <c r="M7" i="81" s="1"/>
  <c r="B41" i="81"/>
  <c r="D37" i="81"/>
  <c r="E37" i="81"/>
  <c r="B37" i="81"/>
  <c r="D97" i="81"/>
  <c r="F96" i="81"/>
  <c r="F95" i="81"/>
  <c r="B89" i="81"/>
  <c r="E89" i="81"/>
  <c r="D89" i="81"/>
  <c r="F88" i="81"/>
  <c r="F87" i="81"/>
  <c r="E85" i="81"/>
  <c r="D85" i="81"/>
  <c r="F84" i="81"/>
  <c r="F83" i="81"/>
  <c r="F76" i="81"/>
  <c r="F75" i="81"/>
  <c r="F72" i="81"/>
  <c r="F71" i="81"/>
  <c r="F64" i="81"/>
  <c r="F63" i="81"/>
  <c r="F56" i="81"/>
  <c r="F55" i="81"/>
  <c r="F52" i="81"/>
  <c r="F51" i="81"/>
  <c r="E49" i="81"/>
  <c r="M10" i="81" s="1"/>
  <c r="D49" i="81"/>
  <c r="B49" i="81"/>
  <c r="F48" i="81"/>
  <c r="F47" i="81"/>
  <c r="F44" i="81"/>
  <c r="F43" i="81"/>
  <c r="F40" i="81"/>
  <c r="F39" i="81"/>
  <c r="F36" i="81"/>
  <c r="F35" i="81"/>
  <c r="O14" i="65"/>
  <c r="O38" i="65"/>
  <c r="Q38" i="65" s="1"/>
  <c r="R38" i="65" s="1"/>
  <c r="T14" i="82"/>
  <c r="T12" i="82"/>
  <c r="S22" i="82"/>
  <c r="T9" i="82"/>
  <c r="T7" i="82"/>
  <c r="D11" i="84"/>
  <c r="D10" i="84"/>
  <c r="R17" i="82"/>
  <c r="Q17" i="82" s="1"/>
  <c r="B9" i="82"/>
  <c r="H9" i="82" s="1"/>
  <c r="P24" i="82"/>
  <c r="J24" i="82"/>
  <c r="P23" i="82"/>
  <c r="J23" i="82"/>
  <c r="M22" i="82"/>
  <c r="P22" i="82" s="1"/>
  <c r="P21" i="82"/>
  <c r="J21" i="82"/>
  <c r="M20" i="82"/>
  <c r="P20" i="82" s="1"/>
  <c r="P19" i="82"/>
  <c r="J19" i="82"/>
  <c r="M18" i="82"/>
  <c r="C14" i="82"/>
  <c r="F14" i="82" s="1"/>
  <c r="J14" i="82" s="1"/>
  <c r="R16" i="82"/>
  <c r="C12" i="82"/>
  <c r="B12" i="82" s="1"/>
  <c r="E12" i="82" s="1"/>
  <c r="I12" i="82" s="1"/>
  <c r="F9" i="82"/>
  <c r="J9" i="82" s="1"/>
  <c r="R11" i="82"/>
  <c r="C11" i="82"/>
  <c r="F11" i="82" s="1"/>
  <c r="J11" i="82" s="1"/>
  <c r="B27" i="81"/>
  <c r="J20" i="81"/>
  <c r="J21" i="81"/>
  <c r="J19" i="81"/>
  <c r="I8" i="81"/>
  <c r="J8" i="81" s="1"/>
  <c r="I22" i="81"/>
  <c r="E14" i="81"/>
  <c r="B7" i="81"/>
  <c r="E7" i="81" s="1"/>
  <c r="B19" i="81"/>
  <c r="E22" i="81"/>
  <c r="F41" i="79"/>
  <c r="B18" i="87"/>
  <c r="B7" i="82"/>
  <c r="S12" i="82"/>
  <c r="S9" i="82"/>
  <c r="G22" i="82"/>
  <c r="G18" i="82"/>
  <c r="S14" i="82"/>
  <c r="G20" i="82"/>
  <c r="K12" i="82"/>
  <c r="N12" i="82" s="1"/>
  <c r="K14" i="82"/>
  <c r="N14" i="82" s="1"/>
  <c r="G19" i="82"/>
  <c r="G24" i="82"/>
  <c r="G21" i="82"/>
  <c r="F7" i="82"/>
  <c r="J7" i="82" s="1"/>
  <c r="S7" i="82"/>
  <c r="G9" i="82"/>
  <c r="G14" i="82"/>
  <c r="J18" i="82"/>
  <c r="J20" i="82"/>
  <c r="J22" i="82"/>
  <c r="H12" i="82"/>
  <c r="B9" i="81"/>
  <c r="E9" i="81" s="1"/>
  <c r="B10" i="81"/>
  <c r="E10" i="81" s="1"/>
  <c r="B11" i="81"/>
  <c r="E11" i="81" s="1"/>
  <c r="K4" i="80"/>
  <c r="K9" i="80" s="1"/>
  <c r="K14" i="80" s="1"/>
  <c r="K6" i="80"/>
  <c r="K11" i="80" s="1"/>
  <c r="K16" i="80" s="1"/>
  <c r="I3" i="80"/>
  <c r="K3" i="80" s="1"/>
  <c r="K8" i="80" s="1"/>
  <c r="K13" i="80" s="1"/>
  <c r="E4" i="80"/>
  <c r="E6" i="80"/>
  <c r="L4" i="80"/>
  <c r="L9" i="80" s="1"/>
  <c r="L14" i="80" s="1"/>
  <c r="L6" i="80"/>
  <c r="L11" i="80" s="1"/>
  <c r="L16" i="80" s="1"/>
  <c r="L3" i="80"/>
  <c r="L8" i="80" s="1"/>
  <c r="L13" i="80" s="1"/>
  <c r="H5" i="80"/>
  <c r="L5" i="80" s="1"/>
  <c r="L10" i="80" s="1"/>
  <c r="L15" i="80" s="1"/>
  <c r="F6" i="80"/>
  <c r="D4" i="80"/>
  <c r="F4" i="80" s="1"/>
  <c r="C3" i="80"/>
  <c r="B3" i="80"/>
  <c r="C5" i="80"/>
  <c r="B5" i="80"/>
  <c r="M4" i="80"/>
  <c r="M9" i="80" s="1"/>
  <c r="M14" i="80" s="1"/>
  <c r="M5" i="80"/>
  <c r="M10" i="80" s="1"/>
  <c r="M15" i="80" s="1"/>
  <c r="M6" i="80"/>
  <c r="M11" i="80" s="1"/>
  <c r="M16" i="80" s="1"/>
  <c r="M3" i="80"/>
  <c r="M8" i="80" s="1"/>
  <c r="M13" i="80" s="1"/>
  <c r="G6" i="80"/>
  <c r="D15" i="78"/>
  <c r="D20" i="78" s="1"/>
  <c r="E15" i="78"/>
  <c r="E20" i="78" s="1"/>
  <c r="C15" i="78"/>
  <c r="C20" i="78" s="1"/>
  <c r="C7" i="78"/>
  <c r="C12" i="78" s="1"/>
  <c r="E7" i="78"/>
  <c r="E12" i="78" s="1"/>
  <c r="F7" i="78"/>
  <c r="F12" i="78" s="1"/>
  <c r="D7" i="78"/>
  <c r="D12" i="78" s="1"/>
  <c r="F20" i="78"/>
  <c r="O33" i="65" s="1"/>
  <c r="O32" i="65" s="1"/>
  <c r="K9" i="82"/>
  <c r="N9" i="82" s="1"/>
  <c r="G23" i="82"/>
  <c r="D16" i="82"/>
  <c r="H14" i="82"/>
  <c r="G7" i="82"/>
  <c r="D11" i="82"/>
  <c r="K7" i="82"/>
  <c r="N7" i="82" s="1"/>
  <c r="S39" i="3"/>
  <c r="C26" i="81" s="1"/>
  <c r="I18" i="79"/>
  <c r="G26" i="79"/>
  <c r="D26" i="79"/>
  <c r="G25" i="79"/>
  <c r="D25" i="79"/>
  <c r="G24" i="79"/>
  <c r="D24" i="79"/>
  <c r="D23" i="79"/>
  <c r="G23" i="79"/>
  <c r="B8" i="78"/>
  <c r="B9" i="78"/>
  <c r="B10" i="78"/>
  <c r="B11" i="78"/>
  <c r="B16" i="78"/>
  <c r="B17" i="78"/>
  <c r="B18" i="78"/>
  <c r="B19" i="78"/>
  <c r="B14" i="78"/>
  <c r="B5" i="108" s="1"/>
  <c r="B6" i="78"/>
  <c r="B4" i="108" s="1"/>
  <c r="G13" i="77"/>
  <c r="E17" i="77"/>
  <c r="E18" i="77"/>
  <c r="G14" i="77"/>
  <c r="G15" i="77"/>
  <c r="G16" i="77"/>
  <c r="E16" i="77" s="1"/>
  <c r="F15" i="77"/>
  <c r="D30" i="74"/>
  <c r="E30" i="74"/>
  <c r="F13" i="77" s="1"/>
  <c r="C30" i="74"/>
  <c r="V86" i="3"/>
  <c r="AJ64" i="3"/>
  <c r="F18" i="79"/>
  <c r="G12" i="82"/>
  <c r="F63" i="61"/>
  <c r="B16" i="77"/>
  <c r="B17" i="77"/>
  <c r="B18" i="77"/>
  <c r="AA15" i="10"/>
  <c r="E21" i="77" s="1"/>
  <c r="F21" i="77" s="1"/>
  <c r="AA16" i="10"/>
  <c r="E22" i="77" s="1"/>
  <c r="F22" i="77" s="1"/>
  <c r="AA17" i="10"/>
  <c r="E23" i="77" s="1"/>
  <c r="F23" i="77" s="1"/>
  <c r="AA14" i="10"/>
  <c r="E20" i="77" s="1"/>
  <c r="Z18" i="10"/>
  <c r="AA8" i="10"/>
  <c r="B21" i="77" s="1"/>
  <c r="C21" i="77" s="1"/>
  <c r="AA9" i="10"/>
  <c r="B22" i="77" s="1"/>
  <c r="AA10" i="10"/>
  <c r="B23" i="77" s="1"/>
  <c r="C23" i="77" s="1"/>
  <c r="AA7" i="10"/>
  <c r="B20" i="77" s="1"/>
  <c r="Z13" i="10"/>
  <c r="Q13" i="10"/>
  <c r="R13" i="10"/>
  <c r="S13" i="10"/>
  <c r="T13" i="10"/>
  <c r="Y19" i="10"/>
  <c r="F71" i="3"/>
  <c r="T63" i="3"/>
  <c r="U63" i="3"/>
  <c r="V63" i="3"/>
  <c r="V39" i="3"/>
  <c r="T57" i="3"/>
  <c r="T49" i="3" s="1"/>
  <c r="T44" i="3" s="1"/>
  <c r="U57" i="3"/>
  <c r="U52" i="3"/>
  <c r="S49" i="3"/>
  <c r="V49" i="3"/>
  <c r="V44" i="3" s="1"/>
  <c r="J13" i="65"/>
  <c r="J10" i="65" s="1"/>
  <c r="J32" i="65"/>
  <c r="D23" i="73"/>
  <c r="B23" i="73" s="1"/>
  <c r="B24" i="73" s="1"/>
  <c r="B25" i="73" s="1"/>
  <c r="BZ52" i="72"/>
  <c r="CQ52" i="72" s="1"/>
  <c r="BZ54" i="72"/>
  <c r="CQ54" i="72" s="1"/>
  <c r="AK63" i="3"/>
  <c r="AK62" i="3" s="1"/>
  <c r="AX33" i="7"/>
  <c r="AX27" i="7" s="1"/>
  <c r="AY33" i="7"/>
  <c r="AY27" i="7" s="1"/>
  <c r="AX15" i="7"/>
  <c r="AX8" i="7" s="1"/>
  <c r="AY15" i="7"/>
  <c r="AY8" i="7" s="1"/>
  <c r="AW54" i="7"/>
  <c r="BD54" i="7" s="1"/>
  <c r="AW55" i="7"/>
  <c r="AW56" i="7"/>
  <c r="AW53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151" i="7" s="1"/>
  <c r="AW20" i="7"/>
  <c r="AW21" i="7"/>
  <c r="AW22" i="7"/>
  <c r="AW23" i="7"/>
  <c r="AW24" i="7"/>
  <c r="AW18" i="7"/>
  <c r="AW16" i="7"/>
  <c r="AW10" i="7"/>
  <c r="AW11" i="7"/>
  <c r="AW12" i="7"/>
  <c r="AW13" i="7"/>
  <c r="AW14" i="7"/>
  <c r="K46" i="61"/>
  <c r="J28" i="64"/>
  <c r="C5" i="76"/>
  <c r="C6" i="76"/>
  <c r="C7" i="76"/>
  <c r="C4" i="76"/>
  <c r="B8" i="76"/>
  <c r="A8" i="76"/>
  <c r="D19" i="75"/>
  <c r="C19" i="75"/>
  <c r="E8" i="75"/>
  <c r="E9" i="75" s="1"/>
  <c r="E10" i="75" s="1"/>
  <c r="D8" i="75"/>
  <c r="D9" i="75" s="1"/>
  <c r="D10" i="75" s="1"/>
  <c r="C8" i="75"/>
  <c r="C9" i="75" s="1"/>
  <c r="C10" i="75" s="1"/>
  <c r="D21" i="74"/>
  <c r="J16" i="64" s="1"/>
  <c r="J14" i="64" s="1"/>
  <c r="J11" i="64" s="1"/>
  <c r="C21" i="74"/>
  <c r="P16" i="32"/>
  <c r="AJ57" i="3"/>
  <c r="AJ49" i="3" s="1"/>
  <c r="D12" i="74"/>
  <c r="K30" i="32"/>
  <c r="N30" i="32" s="1"/>
  <c r="P30" i="32" s="1"/>
  <c r="D18" i="73"/>
  <c r="B18" i="73" s="1"/>
  <c r="N39" i="3"/>
  <c r="N49" i="3"/>
  <c r="N44" i="3" s="1"/>
  <c r="R57" i="3"/>
  <c r="R49" i="3" s="1"/>
  <c r="B8" i="73"/>
  <c r="B13" i="73"/>
  <c r="C13" i="73" s="1"/>
  <c r="B32" i="73"/>
  <c r="B27" i="73"/>
  <c r="BZ50" i="72"/>
  <c r="CQ50" i="72" s="1"/>
  <c r="BZ48" i="72"/>
  <c r="CQ48" i="72" s="1"/>
  <c r="E18" i="87"/>
  <c r="CQ152" i="7"/>
  <c r="AJ46" i="3"/>
  <c r="J15" i="61"/>
  <c r="J12" i="61" s="1"/>
  <c r="AH63" i="3"/>
  <c r="AH62" i="3" s="1"/>
  <c r="M57" i="3"/>
  <c r="AL141" i="7"/>
  <c r="AI63" i="3"/>
  <c r="AI62" i="3" s="1"/>
  <c r="AH46" i="3"/>
  <c r="AI49" i="3"/>
  <c r="AI46" i="3" s="1"/>
  <c r="AI44" i="3" s="1"/>
  <c r="AH49" i="3"/>
  <c r="AH45" i="3" s="1"/>
  <c r="CK152" i="7"/>
  <c r="CC25" i="8"/>
  <c r="CB25" i="8"/>
  <c r="J25" i="66"/>
  <c r="K25" i="66"/>
  <c r="J15" i="66"/>
  <c r="J12" i="66" s="1"/>
  <c r="K32" i="65"/>
  <c r="J24" i="64"/>
  <c r="K24" i="64"/>
  <c r="J33" i="61"/>
  <c r="K33" i="61"/>
  <c r="BY63" i="72"/>
  <c r="BY62" i="72"/>
  <c r="BY59" i="72"/>
  <c r="BY57" i="72"/>
  <c r="BS63" i="72"/>
  <c r="BS62" i="72"/>
  <c r="BS59" i="72"/>
  <c r="BS57" i="72"/>
  <c r="M79" i="72"/>
  <c r="L79" i="72"/>
  <c r="O78" i="72"/>
  <c r="O79" i="72" s="1"/>
  <c r="M78" i="72"/>
  <c r="L78" i="72"/>
  <c r="M76" i="72"/>
  <c r="L76" i="72"/>
  <c r="O75" i="72"/>
  <c r="O74" i="72"/>
  <c r="M74" i="72"/>
  <c r="M77" i="72" s="1"/>
  <c r="L74" i="72"/>
  <c r="L77" i="72" s="1"/>
  <c r="AW73" i="72"/>
  <c r="AV73" i="72"/>
  <c r="AW72" i="72"/>
  <c r="AV72" i="72"/>
  <c r="AW71" i="72"/>
  <c r="AV71" i="72"/>
  <c r="AW67" i="72"/>
  <c r="AV67" i="72"/>
  <c r="AW66" i="72"/>
  <c r="AV66" i="72"/>
  <c r="AW65" i="72"/>
  <c r="AV65" i="72"/>
  <c r="AD63" i="72"/>
  <c r="Z63" i="72"/>
  <c r="AD62" i="72"/>
  <c r="Z62" i="72"/>
  <c r="Q62" i="72"/>
  <c r="AN62" i="72" s="1"/>
  <c r="L69" i="72" s="1"/>
  <c r="AW60" i="72"/>
  <c r="AW63" i="72" s="1"/>
  <c r="AT60" i="72"/>
  <c r="AT62" i="72" s="1"/>
  <c r="AG60" i="72"/>
  <c r="AG62" i="72" s="1"/>
  <c r="Q60" i="72"/>
  <c r="P52" i="72" s="1"/>
  <c r="M60" i="72"/>
  <c r="M63" i="72" s="1"/>
  <c r="AD59" i="72"/>
  <c r="Z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T51" i="72"/>
  <c r="AS51" i="72"/>
  <c r="AI51" i="72"/>
  <c r="AG51" i="72"/>
  <c r="AF51" i="72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 s="1"/>
  <c r="AU48" i="72"/>
  <c r="AR48" i="72"/>
  <c r="AJ48" i="72"/>
  <c r="AJ51" i="72" s="1"/>
  <c r="AE48" i="72"/>
  <c r="AB48" i="72"/>
  <c r="AA48" i="72"/>
  <c r="AA51" i="72" s="1"/>
  <c r="S48" i="72"/>
  <c r="M48" i="72"/>
  <c r="N48" i="72" s="1"/>
  <c r="T37" i="72"/>
  <c r="S37" i="72"/>
  <c r="S38" i="72" s="1"/>
  <c r="T36" i="72"/>
  <c r="S36" i="72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 s="1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AL16" i="72"/>
  <c r="AL17" i="72" s="1"/>
  <c r="AK16" i="72"/>
  <c r="AI16" i="72"/>
  <c r="AI17" i="72" s="1"/>
  <c r="AH16" i="72"/>
  <c r="M16" i="72"/>
  <c r="AK15" i="72"/>
  <c r="AH15" i="72"/>
  <c r="AH26" i="72" s="1"/>
  <c r="Q63" i="72" s="1"/>
  <c r="Y15" i="72"/>
  <c r="R15" i="72"/>
  <c r="W15" i="72" s="1"/>
  <c r="M15" i="72"/>
  <c r="I15" i="72"/>
  <c r="I26" i="72" s="1"/>
  <c r="B15" i="72"/>
  <c r="AK14" i="72"/>
  <c r="AH14" i="72"/>
  <c r="AH25" i="72" s="1"/>
  <c r="Y14" i="72"/>
  <c r="R14" i="72"/>
  <c r="W14" i="72" s="1"/>
  <c r="M14" i="72"/>
  <c r="N14" i="72" s="1"/>
  <c r="I14" i="72"/>
  <c r="I25" i="72" s="1"/>
  <c r="B14" i="72"/>
  <c r="AO13" i="72"/>
  <c r="AN13" i="72"/>
  <c r="AL13" i="72"/>
  <c r="AI13" i="72"/>
  <c r="X13" i="72"/>
  <c r="P13" i="72"/>
  <c r="L13" i="72"/>
  <c r="J13" i="72"/>
  <c r="F13" i="72"/>
  <c r="D13" i="72"/>
  <c r="C13" i="72"/>
  <c r="AK12" i="72"/>
  <c r="AH12" i="72"/>
  <c r="Q12" i="72"/>
  <c r="M12" i="72"/>
  <c r="AK11" i="72"/>
  <c r="AH11" i="72"/>
  <c r="Y11" i="72"/>
  <c r="T11" i="72"/>
  <c r="S11" i="72"/>
  <c r="Q11" i="72"/>
  <c r="M11" i="72"/>
  <c r="N11" i="72" s="1"/>
  <c r="I11" i="72"/>
  <c r="B11" i="72"/>
  <c r="AK10" i="72"/>
  <c r="AH10" i="72"/>
  <c r="Q10" i="72"/>
  <c r="AK9" i="72"/>
  <c r="AH9" i="72"/>
  <c r="Y9" i="72"/>
  <c r="Y13" i="72" s="1"/>
  <c r="R9" i="72"/>
  <c r="W9" i="72" s="1"/>
  <c r="Q9" i="72"/>
  <c r="M9" i="72"/>
  <c r="N9" i="72" s="1"/>
  <c r="I9" i="72"/>
  <c r="I20" i="72" s="1"/>
  <c r="B9" i="72"/>
  <c r="AG70" i="3"/>
  <c r="AE65" i="3"/>
  <c r="AG65" i="3" s="1"/>
  <c r="AE64" i="3"/>
  <c r="AG64" i="3" s="1"/>
  <c r="AD63" i="3"/>
  <c r="AG52" i="3"/>
  <c r="I46" i="61"/>
  <c r="N46" i="61" s="1"/>
  <c r="AG59" i="3"/>
  <c r="AG58" i="3"/>
  <c r="AD57" i="3"/>
  <c r="AD49" i="3" s="1"/>
  <c r="AG51" i="3"/>
  <c r="AG50" i="3"/>
  <c r="AG47" i="3"/>
  <c r="AE46" i="3"/>
  <c r="AG46" i="3" s="1"/>
  <c r="AD46" i="3"/>
  <c r="AD45" i="3"/>
  <c r="AG42" i="3"/>
  <c r="AG41" i="3"/>
  <c r="AD39" i="3"/>
  <c r="AD43" i="3" s="1"/>
  <c r="F58" i="61"/>
  <c r="C37" i="73" s="1"/>
  <c r="F57" i="65"/>
  <c r="K56" i="65" s="1"/>
  <c r="AB90" i="3"/>
  <c r="AF70" i="3"/>
  <c r="AF51" i="3"/>
  <c r="AS51" i="3" s="1"/>
  <c r="AH40" i="6"/>
  <c r="AH15" i="6"/>
  <c r="AG15" i="5"/>
  <c r="AS15" i="5"/>
  <c r="AE10" i="5"/>
  <c r="AF10" i="6"/>
  <c r="AF11" i="6" s="1"/>
  <c r="G19" i="77"/>
  <c r="K23" i="66" s="1"/>
  <c r="B21" i="87"/>
  <c r="CB24" i="8"/>
  <c r="S18" i="10"/>
  <c r="I91" i="58"/>
  <c r="AZ28" i="8" s="1"/>
  <c r="BB28" i="8" s="1"/>
  <c r="BT33" i="71"/>
  <c r="BO33" i="71"/>
  <c r="BM33" i="71"/>
  <c r="BJ33" i="71"/>
  <c r="BF33" i="71"/>
  <c r="AZ33" i="71"/>
  <c r="AV33" i="71"/>
  <c r="BA33" i="71" s="1"/>
  <c r="AR33" i="71"/>
  <c r="AM33" i="71"/>
  <c r="Y33" i="71"/>
  <c r="N33" i="71"/>
  <c r="BT32" i="71"/>
  <c r="BO32" i="71"/>
  <c r="BM32" i="71"/>
  <c r="BJ32" i="71"/>
  <c r="BF32" i="71"/>
  <c r="AZ32" i="71"/>
  <c r="AV32" i="71"/>
  <c r="BA32" i="71" s="1"/>
  <c r="AR32" i="71"/>
  <c r="AM32" i="71"/>
  <c r="Y32" i="71"/>
  <c r="N32" i="71"/>
  <c r="BT31" i="71"/>
  <c r="BO31" i="71"/>
  <c r="BM31" i="71"/>
  <c r="BJ31" i="71"/>
  <c r="BF31" i="71"/>
  <c r="AZ31" i="71"/>
  <c r="AV31" i="71"/>
  <c r="BA31" i="71" s="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BA30" i="71" s="1"/>
  <c r="AR30" i="71"/>
  <c r="AM30" i="71"/>
  <c r="Y30" i="71"/>
  <c r="N30" i="71"/>
  <c r="K30" i="71"/>
  <c r="H30" i="71"/>
  <c r="BP29" i="71"/>
  <c r="BK29" i="71"/>
  <c r="BI29" i="71"/>
  <c r="BG29" i="71"/>
  <c r="BE29" i="71"/>
  <c r="AW29" i="71"/>
  <c r="AU29" i="71"/>
  <c r="AS29" i="71"/>
  <c r="AQ29" i="71"/>
  <c r="AN29" i="71"/>
  <c r="AL29" i="71"/>
  <c r="Z29" i="71"/>
  <c r="X29" i="71"/>
  <c r="S29" i="71"/>
  <c r="O29" i="71"/>
  <c r="M29" i="71"/>
  <c r="G29" i="71"/>
  <c r="K29" i="71" s="1"/>
  <c r="F29" i="71"/>
  <c r="BT28" i="71"/>
  <c r="BO28" i="71"/>
  <c r="BM28" i="71"/>
  <c r="BJ28" i="71"/>
  <c r="BF28" i="71"/>
  <c r="AZ28" i="71"/>
  <c r="AV28" i="71"/>
  <c r="BA28" i="71" s="1"/>
  <c r="AR28" i="71"/>
  <c r="AM28" i="71"/>
  <c r="Y28" i="71"/>
  <c r="AB28" i="71" s="1"/>
  <c r="S28" i="71"/>
  <c r="N28" i="71"/>
  <c r="BT27" i="71"/>
  <c r="BO27" i="71"/>
  <c r="BM27" i="71"/>
  <c r="BJ27" i="71"/>
  <c r="BF27" i="71"/>
  <c r="AZ27" i="71"/>
  <c r="AV27" i="71"/>
  <c r="BA27" i="71" s="1"/>
  <c r="AR27" i="71"/>
  <c r="AM27" i="71"/>
  <c r="Y27" i="71"/>
  <c r="AB27" i="71" s="1"/>
  <c r="S27" i="71"/>
  <c r="N27" i="71"/>
  <c r="BT26" i="71"/>
  <c r="BO26" i="71"/>
  <c r="BM26" i="71"/>
  <c r="BJ26" i="71"/>
  <c r="BF26" i="71"/>
  <c r="AZ26" i="71"/>
  <c r="AV26" i="71"/>
  <c r="BA26" i="71" s="1"/>
  <c r="AR26" i="71"/>
  <c r="AM26" i="71"/>
  <c r="Y26" i="71"/>
  <c r="AB26" i="71" s="1"/>
  <c r="S26" i="71"/>
  <c r="N26" i="71"/>
  <c r="K26" i="71"/>
  <c r="H26" i="71"/>
  <c r="BT25" i="71"/>
  <c r="BO25" i="71"/>
  <c r="BM25" i="71"/>
  <c r="BJ25" i="71"/>
  <c r="BF25" i="71"/>
  <c r="AZ25" i="71"/>
  <c r="AV25" i="71"/>
  <c r="BA25" i="71" s="1"/>
  <c r="AR25" i="71"/>
  <c r="AM25" i="71"/>
  <c r="Y25" i="71"/>
  <c r="S25" i="71"/>
  <c r="N25" i="71"/>
  <c r="K25" i="71"/>
  <c r="H25" i="71"/>
  <c r="BP24" i="71"/>
  <c r="BK24" i="71"/>
  <c r="BI24" i="71"/>
  <c r="BG24" i="71"/>
  <c r="BE24" i="71"/>
  <c r="AW24" i="71"/>
  <c r="AU24" i="71"/>
  <c r="AS24" i="71"/>
  <c r="AQ24" i="71"/>
  <c r="AN24" i="71"/>
  <c r="AL24" i="71"/>
  <c r="Z24" i="71"/>
  <c r="X24" i="71"/>
  <c r="O24" i="71"/>
  <c r="M24" i="71"/>
  <c r="G24" i="71"/>
  <c r="K24" i="71" s="1"/>
  <c r="F24" i="71"/>
  <c r="BD18" i="71"/>
  <c r="BB18" i="71"/>
  <c r="AY18" i="71"/>
  <c r="AV18" i="71"/>
  <c r="AM18" i="71"/>
  <c r="AF18" i="71"/>
  <c r="AD18" i="71"/>
  <c r="Z18" i="71"/>
  <c r="AE18" i="71" s="1"/>
  <c r="W18" i="71"/>
  <c r="U18" i="71"/>
  <c r="R18" i="71"/>
  <c r="O18" i="71"/>
  <c r="BD17" i="71"/>
  <c r="BB17" i="71"/>
  <c r="AA32" i="71" s="1"/>
  <c r="AY17" i="71"/>
  <c r="AV17" i="71"/>
  <c r="AM17" i="71"/>
  <c r="AF17" i="71"/>
  <c r="AD17" i="71"/>
  <c r="Z17" i="71"/>
  <c r="AE17" i="71" s="1"/>
  <c r="W17" i="71"/>
  <c r="U17" i="71"/>
  <c r="Q17" i="71"/>
  <c r="N17" i="71"/>
  <c r="BD16" i="71"/>
  <c r="BB16" i="71"/>
  <c r="AY16" i="71"/>
  <c r="AV16" i="71"/>
  <c r="AM16" i="71"/>
  <c r="AP16" i="71" s="1"/>
  <c r="AF16" i="71"/>
  <c r="AD16" i="71"/>
  <c r="Z16" i="71"/>
  <c r="AE16" i="71" s="1"/>
  <c r="W16" i="71"/>
  <c r="U16" i="71"/>
  <c r="U14" i="71" s="1"/>
  <c r="R16" i="71"/>
  <c r="R14" i="71" s="1"/>
  <c r="O16" i="71"/>
  <c r="O14" i="71" s="1"/>
  <c r="K16" i="71"/>
  <c r="H16" i="71"/>
  <c r="BD15" i="71"/>
  <c r="BB15" i="71"/>
  <c r="AY15" i="71"/>
  <c r="AV15" i="71"/>
  <c r="AF15" i="71"/>
  <c r="Z15" i="71"/>
  <c r="AE15" i="71" s="1"/>
  <c r="W15" i="71"/>
  <c r="T15" i="71"/>
  <c r="Q15" i="71"/>
  <c r="N15" i="71"/>
  <c r="K15" i="71"/>
  <c r="H15" i="71"/>
  <c r="BC14" i="71"/>
  <c r="BA14" i="71"/>
  <c r="AZ14" i="71"/>
  <c r="AX14" i="71"/>
  <c r="AW14" i="71"/>
  <c r="AU14" i="71"/>
  <c r="AL14" i="71"/>
  <c r="AB14" i="71"/>
  <c r="AA14" i="71"/>
  <c r="Y14" i="71"/>
  <c r="X14" i="71"/>
  <c r="V14" i="71"/>
  <c r="S14" i="71"/>
  <c r="P14" i="71"/>
  <c r="M14" i="71"/>
  <c r="G14" i="71"/>
  <c r="K14" i="71" s="1"/>
  <c r="F14" i="71"/>
  <c r="BD12" i="71"/>
  <c r="BB12" i="71"/>
  <c r="AY12" i="71"/>
  <c r="AV12" i="71"/>
  <c r="AM12" i="71"/>
  <c r="T28" i="71" s="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T27" i="71" s="1"/>
  <c r="AF11" i="71"/>
  <c r="AE11" i="71"/>
  <c r="AD11" i="71"/>
  <c r="X11" i="71"/>
  <c r="U11" i="71"/>
  <c r="R11" i="71"/>
  <c r="O11" i="71"/>
  <c r="O8" i="71" s="1"/>
  <c r="BD10" i="71"/>
  <c r="BB10" i="71"/>
  <c r="AY10" i="71"/>
  <c r="AV10" i="71"/>
  <c r="AG10" i="71"/>
  <c r="AF10" i="71"/>
  <c r="Z10" i="71"/>
  <c r="W10" i="71"/>
  <c r="U10" i="71"/>
  <c r="T10" i="71" s="1"/>
  <c r="Q10" i="71"/>
  <c r="N10" i="71"/>
  <c r="K10" i="71"/>
  <c r="H10" i="71"/>
  <c r="BD9" i="71"/>
  <c r="BB9" i="71"/>
  <c r="AY9" i="71"/>
  <c r="AV9" i="71"/>
  <c r="AG9" i="71"/>
  <c r="AF9" i="71"/>
  <c r="Z9" i="71"/>
  <c r="AH9" i="71" s="1"/>
  <c r="W9" i="71"/>
  <c r="U9" i="71"/>
  <c r="T9" i="71" s="1"/>
  <c r="AD9" i="71" s="1"/>
  <c r="R9" i="71"/>
  <c r="R8" i="71" s="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X8" i="71"/>
  <c r="V8" i="71"/>
  <c r="S8" i="71"/>
  <c r="P8" i="71"/>
  <c r="M8" i="71"/>
  <c r="G8" i="71"/>
  <c r="K8" i="71" s="1"/>
  <c r="F8" i="71"/>
  <c r="K64" i="11"/>
  <c r="K65" i="11"/>
  <c r="AB83" i="8"/>
  <c r="AF92" i="7"/>
  <c r="AE92" i="7" s="1"/>
  <c r="AE175" i="7" s="1"/>
  <c r="BB132" i="8"/>
  <c r="AX132" i="8" s="1"/>
  <c r="BB178" i="7"/>
  <c r="D44" i="63"/>
  <c r="D43" i="63"/>
  <c r="AO30" i="19"/>
  <c r="AO27" i="19"/>
  <c r="AO23" i="19"/>
  <c r="AO41" i="19"/>
  <c r="E28" i="67" s="1"/>
  <c r="AV10" i="6"/>
  <c r="AV11" i="6"/>
  <c r="H14" i="70"/>
  <c r="W25" i="70"/>
  <c r="U24" i="70"/>
  <c r="T24" i="70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 s="1"/>
  <c r="L10" i="70"/>
  <c r="L12" i="70" s="1"/>
  <c r="I10" i="70"/>
  <c r="I12" i="70" s="1"/>
  <c r="P9" i="70"/>
  <c r="J12" i="70"/>
  <c r="M12" i="70"/>
  <c r="S12" i="70"/>
  <c r="V12" i="70"/>
  <c r="V20" i="70" s="1"/>
  <c r="Q11" i="70"/>
  <c r="K15" i="70"/>
  <c r="K19" i="70" s="1"/>
  <c r="K10" i="70"/>
  <c r="K12" i="70" s="1"/>
  <c r="N10" i="70"/>
  <c r="H15" i="70"/>
  <c r="H10" i="70"/>
  <c r="H12" i="70" s="1"/>
  <c r="E15" i="70"/>
  <c r="E19" i="70" s="1"/>
  <c r="B15" i="70"/>
  <c r="B19" i="70" s="1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E7" i="67"/>
  <c r="E8" i="67" s="1"/>
  <c r="E9" i="67" s="1"/>
  <c r="D7" i="67"/>
  <c r="D8" i="67" s="1"/>
  <c r="D9" i="67" s="1"/>
  <c r="C15" i="77"/>
  <c r="B15" i="77" s="1"/>
  <c r="AG9" i="5"/>
  <c r="AD10" i="5"/>
  <c r="AH10" i="6"/>
  <c r="AE11" i="6"/>
  <c r="AK59" i="19"/>
  <c r="E331" i="69"/>
  <c r="E330" i="69"/>
  <c r="E328" i="69"/>
  <c r="D328" i="69"/>
  <c r="E318" i="69"/>
  <c r="E311" i="69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D248" i="69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E111" i="69"/>
  <c r="D111" i="69"/>
  <c r="E89" i="69"/>
  <c r="D89" i="69"/>
  <c r="E64" i="69"/>
  <c r="D64" i="69"/>
  <c r="E35" i="69"/>
  <c r="D35" i="69"/>
  <c r="N7" i="68"/>
  <c r="H7" i="68"/>
  <c r="F7" i="68"/>
  <c r="F5" i="68"/>
  <c r="H5" i="68" s="1"/>
  <c r="AV71" i="9"/>
  <c r="AV72" i="9"/>
  <c r="AV70" i="9"/>
  <c r="AW71" i="9"/>
  <c r="AW72" i="9"/>
  <c r="AW70" i="9"/>
  <c r="AV65" i="9"/>
  <c r="AV66" i="9"/>
  <c r="AW66" i="9"/>
  <c r="AW65" i="9"/>
  <c r="AW64" i="9"/>
  <c r="AV64" i="9"/>
  <c r="AZ44" i="8"/>
  <c r="AV14" i="7"/>
  <c r="P49" i="3"/>
  <c r="AU87" i="7" s="1"/>
  <c r="AW60" i="9"/>
  <c r="AW61" i="9" s="1"/>
  <c r="AO28" i="19"/>
  <c r="AO19" i="19"/>
  <c r="AO8" i="19"/>
  <c r="AH43" i="6"/>
  <c r="AH37" i="6"/>
  <c r="AH9" i="6"/>
  <c r="AR23" i="5"/>
  <c r="AG42" i="5"/>
  <c r="AG39" i="5"/>
  <c r="AG30" i="5"/>
  <c r="AR15" i="5"/>
  <c r="AG8" i="5"/>
  <c r="R63" i="3"/>
  <c r="AD46" i="11"/>
  <c r="BH44" i="11"/>
  <c r="AO29" i="19"/>
  <c r="AO18" i="19"/>
  <c r="AO16" i="19"/>
  <c r="AH16" i="6"/>
  <c r="N25" i="66"/>
  <c r="I25" i="66"/>
  <c r="F25" i="66"/>
  <c r="I16" i="66"/>
  <c r="N16" i="66" s="1"/>
  <c r="BC106" i="8"/>
  <c r="F14" i="65"/>
  <c r="N32" i="65"/>
  <c r="I32" i="65"/>
  <c r="F49" i="64"/>
  <c r="N47" i="64"/>
  <c r="N49" i="64" s="1"/>
  <c r="I47" i="64"/>
  <c r="I49" i="64" s="1"/>
  <c r="F24" i="64"/>
  <c r="N24" i="64"/>
  <c r="I24" i="64"/>
  <c r="I17" i="64"/>
  <c r="N17" i="64" s="1"/>
  <c r="N15" i="64"/>
  <c r="B32" i="63"/>
  <c r="B27" i="63"/>
  <c r="B18" i="63"/>
  <c r="C18" i="63" s="1"/>
  <c r="I33" i="61"/>
  <c r="N33" i="61"/>
  <c r="BF155" i="7"/>
  <c r="B13" i="63"/>
  <c r="B8" i="63"/>
  <c r="C8" i="63" s="1"/>
  <c r="C9" i="63" s="1"/>
  <c r="C10" i="63" s="1"/>
  <c r="C24" i="36"/>
  <c r="G24" i="36" s="1"/>
  <c r="G25" i="36" s="1"/>
  <c r="BB52" i="8" s="1"/>
  <c r="G7" i="36"/>
  <c r="G14" i="36" s="1"/>
  <c r="BE64" i="7" s="1"/>
  <c r="AO20" i="19"/>
  <c r="AG21" i="5"/>
  <c r="AA52" i="3"/>
  <c r="AC52" i="3" s="1"/>
  <c r="CB19" i="7"/>
  <c r="BY19" i="8" s="1"/>
  <c r="F48" i="61"/>
  <c r="D15" i="62"/>
  <c r="E15" i="62"/>
  <c r="C15" i="62"/>
  <c r="E14" i="62"/>
  <c r="D14" i="62"/>
  <c r="C14" i="62"/>
  <c r="E13" i="62"/>
  <c r="I13" i="62" s="1"/>
  <c r="I16" i="62" s="1"/>
  <c r="F15" i="62"/>
  <c r="F14" i="62"/>
  <c r="D13" i="62"/>
  <c r="C13" i="62"/>
  <c r="G13" i="62" s="1"/>
  <c r="BB9" i="136" s="1"/>
  <c r="AZ9" i="136" s="1"/>
  <c r="B15" i="62"/>
  <c r="B14" i="62"/>
  <c r="B13" i="62"/>
  <c r="F12" i="62"/>
  <c r="E12" i="62"/>
  <c r="D12" i="62"/>
  <c r="C12" i="62"/>
  <c r="B12" i="62"/>
  <c r="E9" i="62"/>
  <c r="I9" i="62" s="1"/>
  <c r="I10" i="62" s="1"/>
  <c r="D9" i="62"/>
  <c r="H9" i="62" s="1"/>
  <c r="H10" i="62" s="1"/>
  <c r="E8" i="62"/>
  <c r="D8" i="62"/>
  <c r="C9" i="62"/>
  <c r="G9" i="62" s="1"/>
  <c r="G10" i="62" s="1"/>
  <c r="C8" i="62"/>
  <c r="E7" i="62"/>
  <c r="D7" i="62"/>
  <c r="C7" i="62"/>
  <c r="F8" i="62"/>
  <c r="F7" i="62"/>
  <c r="B9" i="62"/>
  <c r="B8" i="62"/>
  <c r="B7" i="62"/>
  <c r="AO24" i="19"/>
  <c r="E11" i="67" s="1"/>
  <c r="BF35" i="11"/>
  <c r="BF34" i="11"/>
  <c r="BE35" i="11"/>
  <c r="BE34" i="11"/>
  <c r="AT35" i="11"/>
  <c r="AT34" i="11"/>
  <c r="AT60" i="9"/>
  <c r="AT62" i="9" s="1"/>
  <c r="AG60" i="9"/>
  <c r="AG61" i="9" s="1"/>
  <c r="Q60" i="9"/>
  <c r="AF18" i="5"/>
  <c r="AG18" i="5" s="1"/>
  <c r="B9" i="77" s="1"/>
  <c r="C9" i="77" s="1"/>
  <c r="D8" i="63"/>
  <c r="B20" i="87"/>
  <c r="Q63" i="3"/>
  <c r="Q49" i="3"/>
  <c r="AV87" i="7" s="1"/>
  <c r="Q39" i="3"/>
  <c r="Q46" i="3" s="1"/>
  <c r="Q44" i="3" s="1"/>
  <c r="Q48" i="3" s="1"/>
  <c r="E25" i="60"/>
  <c r="E26" i="60" s="1"/>
  <c r="E6" i="60"/>
  <c r="E14" i="60" s="1"/>
  <c r="C18" i="36"/>
  <c r="Q58" i="59"/>
  <c r="F58" i="59"/>
  <c r="AC54" i="59"/>
  <c r="AC55" i="59" s="1"/>
  <c r="AC56" i="59" s="1"/>
  <c r="T42" i="59"/>
  <c r="D43" i="59"/>
  <c r="D47" i="59" s="1"/>
  <c r="D38" i="59"/>
  <c r="D42" i="59" s="1"/>
  <c r="F48" i="59"/>
  <c r="H47" i="59"/>
  <c r="J47" i="59"/>
  <c r="L47" i="59"/>
  <c r="F43" i="59"/>
  <c r="F47" i="59" s="1"/>
  <c r="F41" i="59"/>
  <c r="F38" i="59"/>
  <c r="H42" i="59"/>
  <c r="L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 s="1"/>
  <c r="AA59" i="59"/>
  <c r="Z59" i="59"/>
  <c r="Z58" i="59" s="1"/>
  <c r="Y59" i="59"/>
  <c r="Y58" i="59" s="1"/>
  <c r="X59" i="59"/>
  <c r="X58" i="59" s="1"/>
  <c r="V59" i="59"/>
  <c r="V58" i="59" s="1"/>
  <c r="U59" i="59"/>
  <c r="S59" i="59"/>
  <c r="S58" i="59" s="1"/>
  <c r="R59" i="59"/>
  <c r="R58" i="59" s="1"/>
  <c r="O59" i="59"/>
  <c r="AE53" i="59"/>
  <c r="AE52" i="59"/>
  <c r="AC51" i="59"/>
  <c r="AA51" i="59"/>
  <c r="AA48" i="59" s="1"/>
  <c r="W51" i="59"/>
  <c r="AE50" i="59"/>
  <c r="O50" i="59"/>
  <c r="AC49" i="59"/>
  <c r="AE49" i="59" s="1"/>
  <c r="R49" i="59"/>
  <c r="R48" i="59" s="1"/>
  <c r="R43" i="59" s="1"/>
  <c r="O49" i="59"/>
  <c r="AD48" i="59"/>
  <c r="Z48" i="59"/>
  <c r="Y48" i="59"/>
  <c r="V48" i="59"/>
  <c r="V43" i="59" s="1"/>
  <c r="S48" i="59"/>
  <c r="S43" i="59" s="1"/>
  <c r="N48" i="59"/>
  <c r="O48" i="59" s="1"/>
  <c r="AE46" i="59"/>
  <c r="P46" i="59"/>
  <c r="O46" i="59"/>
  <c r="AC45" i="59"/>
  <c r="AE45" i="59" s="1"/>
  <c r="AA45" i="59"/>
  <c r="Z45" i="59"/>
  <c r="Y45" i="59"/>
  <c r="U45" i="59"/>
  <c r="AA44" i="59"/>
  <c r="AA43" i="59" s="1"/>
  <c r="AA47" i="59" s="1"/>
  <c r="Z44" i="59"/>
  <c r="Z43" i="59" s="1"/>
  <c r="Z47" i="59" s="1"/>
  <c r="Y44" i="59"/>
  <c r="U44" i="59"/>
  <c r="AD43" i="59"/>
  <c r="S42" i="59"/>
  <c r="R42" i="59"/>
  <c r="P42" i="59"/>
  <c r="AE41" i="59"/>
  <c r="R41" i="59"/>
  <c r="O41" i="59"/>
  <c r="AE40" i="59"/>
  <c r="AD38" i="59"/>
  <c r="AA38" i="59"/>
  <c r="AA42" i="59" s="1"/>
  <c r="Z38" i="59"/>
  <c r="Z42" i="59" s="1"/>
  <c r="Y38" i="59"/>
  <c r="Y42" i="59" s="1"/>
  <c r="W38" i="59"/>
  <c r="W42" i="59" s="1"/>
  <c r="V38" i="59"/>
  <c r="V42" i="59" s="1"/>
  <c r="AG26" i="59"/>
  <c r="R26" i="59"/>
  <c r="O26" i="59"/>
  <c r="M26" i="59"/>
  <c r="AH25" i="59"/>
  <c r="AG25" i="59"/>
  <c r="R25" i="59"/>
  <c r="O25" i="59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 s="1"/>
  <c r="AH14" i="59" s="1"/>
  <c r="AF15" i="59"/>
  <c r="W15" i="59"/>
  <c r="W12" i="59" s="1"/>
  <c r="V15" i="59"/>
  <c r="V12" i="59" s="1"/>
  <c r="V14" i="59" s="1"/>
  <c r="S15" i="59"/>
  <c r="S12" i="59" s="1"/>
  <c r="S9" i="59" s="1"/>
  <c r="S27" i="59" s="1"/>
  <c r="P15" i="59"/>
  <c r="P12" i="59" s="1"/>
  <c r="P9" i="59" s="1"/>
  <c r="P27" i="59" s="1"/>
  <c r="N15" i="59"/>
  <c r="J15" i="59"/>
  <c r="J12" i="59" s="1"/>
  <c r="B15" i="59"/>
  <c r="B12" i="59" s="1"/>
  <c r="B9" i="59" s="1"/>
  <c r="AG13" i="59"/>
  <c r="R13" i="59"/>
  <c r="O13" i="59"/>
  <c r="M13" i="59"/>
  <c r="AF12" i="59"/>
  <c r="AG11" i="59"/>
  <c r="R11" i="59"/>
  <c r="AH10" i="59"/>
  <c r="AH9" i="59" s="1"/>
  <c r="AH27" i="59" s="1"/>
  <c r="AG10" i="59"/>
  <c r="R10" i="59"/>
  <c r="O10" i="59"/>
  <c r="M10" i="59"/>
  <c r="I158" i="57"/>
  <c r="I55" i="57"/>
  <c r="I194" i="57"/>
  <c r="BE92" i="7"/>
  <c r="F34" i="61" s="1"/>
  <c r="F33" i="61" s="1"/>
  <c r="AO43" i="19"/>
  <c r="AO44" i="19"/>
  <c r="AO45" i="19"/>
  <c r="AO46" i="19"/>
  <c r="BQ33" i="17"/>
  <c r="CA33" i="17" s="1"/>
  <c r="BQ34" i="17"/>
  <c r="BQ35" i="17"/>
  <c r="CA35" i="17" s="1"/>
  <c r="CD35" i="17" s="1"/>
  <c r="CG35" i="17" s="1"/>
  <c r="BQ32" i="17"/>
  <c r="CA32" i="17" s="1"/>
  <c r="CD32" i="17" s="1"/>
  <c r="CG32" i="17" s="1"/>
  <c r="BQ26" i="17"/>
  <c r="CA26" i="17" s="1"/>
  <c r="CD26" i="17" s="1"/>
  <c r="CG26" i="17" s="1"/>
  <c r="BQ27" i="17"/>
  <c r="CA27" i="17" s="1"/>
  <c r="CD27" i="17" s="1"/>
  <c r="CG27" i="17" s="1"/>
  <c r="BQ28" i="17"/>
  <c r="CA28" i="17" s="1"/>
  <c r="CD28" i="17" s="1"/>
  <c r="CG28" i="17" s="1"/>
  <c r="BQ25" i="17"/>
  <c r="CA25" i="17" s="1"/>
  <c r="O34" i="32"/>
  <c r="O32" i="32"/>
  <c r="O35" i="32" s="1"/>
  <c r="L32" i="32"/>
  <c r="L35" i="32" s="1"/>
  <c r="L38" i="32" s="1"/>
  <c r="L30" i="32"/>
  <c r="L34" i="32" s="1"/>
  <c r="B33" i="32"/>
  <c r="B32" i="32"/>
  <c r="D32" i="32" s="1"/>
  <c r="N29" i="32"/>
  <c r="C34" i="32"/>
  <c r="B29" i="32"/>
  <c r="BH38" i="11"/>
  <c r="H62" i="11"/>
  <c r="H63" i="11" s="1"/>
  <c r="K63" i="11" s="1"/>
  <c r="F65" i="11"/>
  <c r="F64" i="11"/>
  <c r="L65" i="11"/>
  <c r="L64" i="11"/>
  <c r="L63" i="11"/>
  <c r="L62" i="11"/>
  <c r="K61" i="11"/>
  <c r="G61" i="11"/>
  <c r="L61" i="11" s="1"/>
  <c r="U15" i="10"/>
  <c r="U16" i="10"/>
  <c r="U17" i="10"/>
  <c r="AZ8" i="136" s="1"/>
  <c r="U14" i="10"/>
  <c r="AZ10" i="8" s="1"/>
  <c r="BB10" i="8" s="1"/>
  <c r="AA65" i="3"/>
  <c r="AA64" i="3"/>
  <c r="AB63" i="3"/>
  <c r="BC75" i="8" s="1"/>
  <c r="BC120" i="8" s="1"/>
  <c r="AA50" i="3"/>
  <c r="B28" i="73" s="1"/>
  <c r="C28" i="73" s="1"/>
  <c r="AB49" i="3"/>
  <c r="AB41" i="3" s="1"/>
  <c r="AB39" i="3" s="1"/>
  <c r="F36" i="64" s="1"/>
  <c r="I36" i="64" s="1"/>
  <c r="N36" i="64" s="1"/>
  <c r="P36" i="64" s="1"/>
  <c r="N63" i="3"/>
  <c r="N62" i="3" s="1"/>
  <c r="X82" i="6"/>
  <c r="Y82" i="6" s="1"/>
  <c r="V82" i="6" s="1"/>
  <c r="Z82" i="6" s="1"/>
  <c r="Z87" i="6"/>
  <c r="AB87" i="6" s="1"/>
  <c r="Z88" i="6"/>
  <c r="AW88" i="6" s="1"/>
  <c r="AB102" i="6"/>
  <c r="AC102" i="6"/>
  <c r="AV102" i="6"/>
  <c r="AW102" i="6"/>
  <c r="AX102" i="6"/>
  <c r="AB103" i="6"/>
  <c r="AC103" i="6"/>
  <c r="AV103" i="6"/>
  <c r="AW103" i="6"/>
  <c r="AX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91" i="56"/>
  <c r="K91" i="56" s="1"/>
  <c r="E91" i="56"/>
  <c r="E101" i="56" s="1"/>
  <c r="D91" i="56"/>
  <c r="F122" i="56"/>
  <c r="F112" i="56"/>
  <c r="F102" i="56"/>
  <c r="T82" i="56"/>
  <c r="D102" i="56"/>
  <c r="I102" i="56" s="1"/>
  <c r="S102" i="56" s="1"/>
  <c r="T72" i="56"/>
  <c r="D112" i="56"/>
  <c r="P59" i="59"/>
  <c r="P48" i="59"/>
  <c r="S72" i="56"/>
  <c r="S82" i="56"/>
  <c r="D92" i="56"/>
  <c r="D122" i="56"/>
  <c r="I122" i="56" s="1"/>
  <c r="S122" i="56" s="1"/>
  <c r="F59" i="56"/>
  <c r="F39" i="56"/>
  <c r="F49" i="56"/>
  <c r="F29" i="56"/>
  <c r="F48" i="56"/>
  <c r="F28" i="56"/>
  <c r="K28" i="56" s="1"/>
  <c r="D28" i="56"/>
  <c r="T19" i="56"/>
  <c r="T9" i="56"/>
  <c r="D8" i="56"/>
  <c r="F8" i="56"/>
  <c r="BC128" i="8"/>
  <c r="BB128" i="8"/>
  <c r="F33" i="65" s="1"/>
  <c r="F32" i="65" s="1"/>
  <c r="BC110" i="8"/>
  <c r="BC99" i="8"/>
  <c r="AY128" i="8"/>
  <c r="AX128" i="8"/>
  <c r="AY110" i="8"/>
  <c r="AX110" i="8"/>
  <c r="AY99" i="8"/>
  <c r="AU128" i="8"/>
  <c r="AT128" i="8"/>
  <c r="AS128" i="8"/>
  <c r="AR128" i="8"/>
  <c r="AQ128" i="8"/>
  <c r="AP128" i="8"/>
  <c r="AL128" i="8"/>
  <c r="AU125" i="8"/>
  <c r="AR125" i="8"/>
  <c r="AN125" i="8"/>
  <c r="AM125" i="8"/>
  <c r="AL125" i="8"/>
  <c r="AU110" i="8"/>
  <c r="AT110" i="8"/>
  <c r="AR110" i="8"/>
  <c r="AQ110" i="8"/>
  <c r="AO110" i="8"/>
  <c r="AN110" i="8"/>
  <c r="AM110" i="8"/>
  <c r="AL110" i="8"/>
  <c r="AP105" i="8"/>
  <c r="AS101" i="8"/>
  <c r="AP101" i="8"/>
  <c r="AU99" i="8"/>
  <c r="AT99" i="8"/>
  <c r="AR99" i="8"/>
  <c r="AQ99" i="8"/>
  <c r="AK128" i="8"/>
  <c r="AK110" i="8"/>
  <c r="AH128" i="8"/>
  <c r="AH125" i="8"/>
  <c r="AG125" i="8"/>
  <c r="AH120" i="8"/>
  <c r="AG120" i="8"/>
  <c r="AH110" i="8"/>
  <c r="AG110" i="8"/>
  <c r="AH105" i="8"/>
  <c r="AG105" i="8"/>
  <c r="AH104" i="8"/>
  <c r="AG104" i="8"/>
  <c r="AH103" i="8"/>
  <c r="AG103" i="8"/>
  <c r="AH102" i="8"/>
  <c r="AG102" i="8"/>
  <c r="AH101" i="8"/>
  <c r="AG101" i="8"/>
  <c r="AH100" i="8"/>
  <c r="AG100" i="8"/>
  <c r="AH99" i="8"/>
  <c r="AG99" i="8"/>
  <c r="AH97" i="8"/>
  <c r="AG97" i="8"/>
  <c r="AH96" i="8"/>
  <c r="AG96" i="8"/>
  <c r="AE128" i="8"/>
  <c r="AD128" i="8"/>
  <c r="AA128" i="8"/>
  <c r="AE125" i="8"/>
  <c r="AD125" i="8"/>
  <c r="AA125" i="8"/>
  <c r="AE120" i="8"/>
  <c r="AE110" i="8"/>
  <c r="AD110" i="8"/>
  <c r="AC110" i="8"/>
  <c r="AB110" i="8"/>
  <c r="AA110" i="8"/>
  <c r="Z110" i="8"/>
  <c r="Y110" i="8"/>
  <c r="AE105" i="8"/>
  <c r="AA105" i="8"/>
  <c r="Y105" i="8"/>
  <c r="AE104" i="8"/>
  <c r="AE103" i="8"/>
  <c r="AE102" i="8"/>
  <c r="AE101" i="8"/>
  <c r="AB101" i="8"/>
  <c r="AE100" i="8"/>
  <c r="AB100" i="8"/>
  <c r="AE99" i="8"/>
  <c r="AD99" i="8"/>
  <c r="AC99" i="8"/>
  <c r="AA99" i="8"/>
  <c r="AE97" i="8"/>
  <c r="AE96" i="8"/>
  <c r="W128" i="8"/>
  <c r="W125" i="8"/>
  <c r="W97" i="8"/>
  <c r="W110" i="8"/>
  <c r="W105" i="8"/>
  <c r="W103" i="8"/>
  <c r="W102" i="8"/>
  <c r="W101" i="8"/>
  <c r="W100" i="8"/>
  <c r="W99" i="8"/>
  <c r="W96" i="8"/>
  <c r="BF175" i="7"/>
  <c r="BF172" i="7"/>
  <c r="BF159" i="7"/>
  <c r="BF151" i="7"/>
  <c r="BF148" i="7"/>
  <c r="BC175" i="7"/>
  <c r="BB175" i="7"/>
  <c r="BC159" i="7"/>
  <c r="BC151" i="7"/>
  <c r="BC148" i="7"/>
  <c r="AY175" i="7"/>
  <c r="AY172" i="7"/>
  <c r="AY159" i="7"/>
  <c r="AX159" i="7"/>
  <c r="AW159" i="7"/>
  <c r="AY151" i="7"/>
  <c r="AY148" i="7"/>
  <c r="AX148" i="7"/>
  <c r="AV175" i="7"/>
  <c r="AV172" i="7"/>
  <c r="AV159" i="7"/>
  <c r="AU159" i="7"/>
  <c r="AT159" i="7"/>
  <c r="AT154" i="7"/>
  <c r="AV151" i="7"/>
  <c r="AT150" i="7"/>
  <c r="AV148" i="7"/>
  <c r="AU148" i="7"/>
  <c r="AO175" i="7"/>
  <c r="AN175" i="7"/>
  <c r="AO159" i="7"/>
  <c r="AN159" i="7"/>
  <c r="AO151" i="7"/>
  <c r="AO148" i="7"/>
  <c r="AK175" i="7"/>
  <c r="AJ175" i="7"/>
  <c r="AK172" i="7"/>
  <c r="AJ172" i="7"/>
  <c r="AK167" i="7"/>
  <c r="AJ167" i="7"/>
  <c r="AK159" i="7"/>
  <c r="AJ159" i="7"/>
  <c r="AK154" i="7"/>
  <c r="AJ154" i="7"/>
  <c r="AK152" i="7"/>
  <c r="AJ152" i="7"/>
  <c r="AK151" i="7"/>
  <c r="AJ151" i="7"/>
  <c r="AK150" i="7"/>
  <c r="AK149" i="7"/>
  <c r="AJ149" i="7"/>
  <c r="AK148" i="7"/>
  <c r="AJ148" i="7"/>
  <c r="AK146" i="7"/>
  <c r="AJ146" i="7"/>
  <c r="AK144" i="7"/>
  <c r="AJ144" i="7"/>
  <c r="AG175" i="7"/>
  <c r="AG172" i="7"/>
  <c r="AF172" i="7"/>
  <c r="AG159" i="7"/>
  <c r="AF159" i="7"/>
  <c r="AG151" i="7"/>
  <c r="AG148" i="7"/>
  <c r="AE172" i="7"/>
  <c r="AE159" i="7"/>
  <c r="AE152" i="7"/>
  <c r="AE150" i="7"/>
  <c r="AD175" i="7"/>
  <c r="AB175" i="7"/>
  <c r="AD172" i="7"/>
  <c r="AD159" i="7"/>
  <c r="AC159" i="7"/>
  <c r="AB159" i="7"/>
  <c r="AA159" i="7"/>
  <c r="AD154" i="7"/>
  <c r="AA154" i="7"/>
  <c r="AD151" i="7"/>
  <c r="Y175" i="7"/>
  <c r="Y159" i="7"/>
  <c r="Y154" i="7"/>
  <c r="Y152" i="7"/>
  <c r="Y151" i="7"/>
  <c r="Y150" i="7"/>
  <c r="Y149" i="7"/>
  <c r="Y148" i="7"/>
  <c r="Y146" i="7"/>
  <c r="Y144" i="7"/>
  <c r="X143" i="7"/>
  <c r="W143" i="7"/>
  <c r="AH141" i="7"/>
  <c r="AZ83" i="8"/>
  <c r="AZ128" i="8" s="1"/>
  <c r="BA82" i="8"/>
  <c r="BA76" i="8"/>
  <c r="AV83" i="8"/>
  <c r="AV128" i="8" s="1"/>
  <c r="AT79" i="8"/>
  <c r="AT125" i="8" s="1"/>
  <c r="AQ79" i="8"/>
  <c r="AS52" i="8"/>
  <c r="AS110" i="8" s="1"/>
  <c r="AP52" i="8"/>
  <c r="AP110" i="8" s="1"/>
  <c r="AP42" i="8"/>
  <c r="AP104" i="8" s="1"/>
  <c r="AU34" i="8"/>
  <c r="AR34" i="8"/>
  <c r="AU8" i="8"/>
  <c r="AR8" i="8"/>
  <c r="AV110" i="8"/>
  <c r="AD46" i="8"/>
  <c r="AT52" i="7"/>
  <c r="AT153" i="7" s="1"/>
  <c r="AV17" i="7"/>
  <c r="AY17" i="7"/>
  <c r="AE52" i="7"/>
  <c r="AE153" i="7" s="1"/>
  <c r="AG17" i="7"/>
  <c r="AF38" i="7"/>
  <c r="AF148" i="7" s="1"/>
  <c r="BB43" i="8"/>
  <c r="AX43" i="8"/>
  <c r="AT43" i="8"/>
  <c r="AQ43" i="8"/>
  <c r="AZ54" i="7"/>
  <c r="H65" i="11"/>
  <c r="I9" i="56"/>
  <c r="S9" i="56" s="1"/>
  <c r="AS42" i="8"/>
  <c r="AS104" i="8" s="1"/>
  <c r="AZ56" i="7"/>
  <c r="M16" i="32"/>
  <c r="AS47" i="8"/>
  <c r="AS105" i="8" s="1"/>
  <c r="AB47" i="8"/>
  <c r="AB105" i="8" s="1"/>
  <c r="AE59" i="7"/>
  <c r="AE154" i="7" s="1"/>
  <c r="AS41" i="8"/>
  <c r="AT41" i="8" s="1"/>
  <c r="AP41" i="8"/>
  <c r="AQ41" i="8" s="1"/>
  <c r="AS33" i="8"/>
  <c r="AP33" i="8"/>
  <c r="AS26" i="8"/>
  <c r="AP26" i="8"/>
  <c r="AS16" i="8"/>
  <c r="AT16" i="8" s="1"/>
  <c r="AP16" i="8"/>
  <c r="AQ16" i="8" s="1"/>
  <c r="AU26" i="7"/>
  <c r="AF26" i="7"/>
  <c r="AY39" i="8"/>
  <c r="AY34" i="8" s="1"/>
  <c r="AT39" i="8"/>
  <c r="AQ39" i="8"/>
  <c r="AW82" i="8"/>
  <c r="AW76" i="8"/>
  <c r="AT30" i="8"/>
  <c r="AQ30" i="8"/>
  <c r="AY14" i="8"/>
  <c r="AY8" i="8" s="1"/>
  <c r="AT14" i="8"/>
  <c r="AQ14" i="8"/>
  <c r="AS38" i="8"/>
  <c r="AS40" i="8" s="1"/>
  <c r="AP38" i="8"/>
  <c r="AQ38" i="8" s="1"/>
  <c r="AS29" i="8"/>
  <c r="AP29" i="8"/>
  <c r="AQ29" i="8" s="1"/>
  <c r="AS23" i="8"/>
  <c r="AS25" i="8" s="1"/>
  <c r="AP23" i="8"/>
  <c r="AS13" i="8"/>
  <c r="AP13" i="8"/>
  <c r="AQ13" i="8" s="1"/>
  <c r="AQ15" i="8" s="1"/>
  <c r="AB40" i="8"/>
  <c r="AC39" i="8"/>
  <c r="AB31" i="8"/>
  <c r="AZ31" i="8" s="1"/>
  <c r="BB31" i="8" s="1"/>
  <c r="AC30" i="8"/>
  <c r="AC14" i="8"/>
  <c r="AC38" i="8"/>
  <c r="AC29" i="8"/>
  <c r="AC13" i="8"/>
  <c r="AU24" i="7"/>
  <c r="BC24" i="7"/>
  <c r="AF24" i="7"/>
  <c r="AT39" i="7"/>
  <c r="AE39" i="7"/>
  <c r="AE41" i="7" s="1"/>
  <c r="AT31" i="7"/>
  <c r="AE31" i="7"/>
  <c r="AT152" i="7"/>
  <c r="AT23" i="7"/>
  <c r="AT25" i="7" s="1"/>
  <c r="AE23" i="7"/>
  <c r="AF23" i="7" s="1"/>
  <c r="AT13" i="7"/>
  <c r="AT15" i="7" s="1"/>
  <c r="AE13" i="7"/>
  <c r="AE15" i="7" s="1"/>
  <c r="AS37" i="8"/>
  <c r="AP37" i="8"/>
  <c r="AB37" i="8"/>
  <c r="AX28" i="8"/>
  <c r="AV28" i="8" s="1"/>
  <c r="AS28" i="8"/>
  <c r="AP28" i="8"/>
  <c r="AB28" i="8"/>
  <c r="AZ22" i="8"/>
  <c r="AX22" i="8"/>
  <c r="AV22" i="8" s="1"/>
  <c r="AS22" i="8"/>
  <c r="AP22" i="8"/>
  <c r="AB22" i="8"/>
  <c r="AX12" i="8"/>
  <c r="AV12" i="8" s="1"/>
  <c r="AZ12" i="8"/>
  <c r="AS12" i="8"/>
  <c r="AP12" i="8"/>
  <c r="AB12" i="8"/>
  <c r="AE28" i="7"/>
  <c r="BB22" i="7"/>
  <c r="AZ22" i="7" s="1"/>
  <c r="BB12" i="7"/>
  <c r="AZ12" i="7" s="1"/>
  <c r="AE22" i="7"/>
  <c r="BD12" i="7"/>
  <c r="AT12" i="7"/>
  <c r="AT148" i="7" s="1"/>
  <c r="AE11" i="7"/>
  <c r="AE12" i="7"/>
  <c r="AV35" i="8"/>
  <c r="AX35" i="8" s="1"/>
  <c r="AS35" i="8"/>
  <c r="AT35" i="8" s="1"/>
  <c r="AP35" i="8"/>
  <c r="AQ35" i="8" s="1"/>
  <c r="AB35" i="8"/>
  <c r="AC35" i="8" s="1"/>
  <c r="AV32" i="8"/>
  <c r="AX32" i="8" s="1"/>
  <c r="AZ36" i="7"/>
  <c r="AS32" i="8"/>
  <c r="AT32" i="8" s="1"/>
  <c r="AP32" i="8"/>
  <c r="AQ32" i="8" s="1"/>
  <c r="AB32" i="8"/>
  <c r="AC32" i="8" s="1"/>
  <c r="AV20" i="8"/>
  <c r="AS20" i="8"/>
  <c r="AP20" i="8"/>
  <c r="AB20" i="8"/>
  <c r="AV10" i="8"/>
  <c r="AX10" i="8" s="1"/>
  <c r="AS10" i="8"/>
  <c r="AT10" i="8" s="1"/>
  <c r="AP10" i="8"/>
  <c r="AQ10" i="8" s="1"/>
  <c r="AB10" i="8"/>
  <c r="AC10" i="8" s="1"/>
  <c r="BD36" i="7"/>
  <c r="BD29" i="7"/>
  <c r="AZ29" i="7"/>
  <c r="BD20" i="7"/>
  <c r="AZ20" i="7"/>
  <c r="BB20" i="7" s="1"/>
  <c r="BC20" i="7" s="1"/>
  <c r="BD10" i="7"/>
  <c r="AZ10" i="7"/>
  <c r="AT36" i="7"/>
  <c r="AT29" i="7"/>
  <c r="AT20" i="7"/>
  <c r="AU20" i="7" s="1"/>
  <c r="AT10" i="7"/>
  <c r="AE36" i="7"/>
  <c r="AE29" i="7"/>
  <c r="AE20" i="7"/>
  <c r="AF20" i="7" s="1"/>
  <c r="AE10" i="7"/>
  <c r="AS18" i="8"/>
  <c r="AP18" i="8"/>
  <c r="AB18" i="8"/>
  <c r="AS9" i="8"/>
  <c r="AT9" i="8" s="1"/>
  <c r="AP9" i="8"/>
  <c r="AQ9" i="8" s="1"/>
  <c r="AB9" i="8"/>
  <c r="AC9" i="8" s="1"/>
  <c r="AY75" i="8"/>
  <c r="AY120" i="8" s="1"/>
  <c r="AU75" i="8"/>
  <c r="AU120" i="8" s="1"/>
  <c r="AR75" i="8"/>
  <c r="AR120" i="8" s="1"/>
  <c r="AD75" i="8"/>
  <c r="AD120" i="8" s="1"/>
  <c r="AC79" i="8"/>
  <c r="AC43" i="8"/>
  <c r="AB41" i="8"/>
  <c r="AC41" i="8" s="1"/>
  <c r="AD34" i="8"/>
  <c r="AB33" i="8"/>
  <c r="AB26" i="8"/>
  <c r="AB25" i="8"/>
  <c r="AB16" i="8"/>
  <c r="AC16" i="8" s="1"/>
  <c r="AD8" i="8"/>
  <c r="AU18" i="7"/>
  <c r="AT9" i="7"/>
  <c r="AT144" i="7" s="1"/>
  <c r="AE18" i="7"/>
  <c r="AF18" i="7" s="1"/>
  <c r="AE9" i="7"/>
  <c r="BC87" i="7"/>
  <c r="BC167" i="7" s="1"/>
  <c r="AG87" i="7"/>
  <c r="AG167" i="7" s="1"/>
  <c r="BD37" i="7"/>
  <c r="BD30" i="7"/>
  <c r="BD22" i="7"/>
  <c r="BD21" i="7"/>
  <c r="AZ92" i="7"/>
  <c r="AZ175" i="7" s="1"/>
  <c r="AZ38" i="7"/>
  <c r="AZ37" i="7"/>
  <c r="AZ30" i="7"/>
  <c r="AZ21" i="7"/>
  <c r="AX175" i="7"/>
  <c r="AW92" i="7"/>
  <c r="AW175" i="7" s="1"/>
  <c r="AX89" i="7"/>
  <c r="AX172" i="7" s="1"/>
  <c r="AW89" i="7"/>
  <c r="AW172" i="7" s="1"/>
  <c r="AU175" i="7"/>
  <c r="AT175" i="7"/>
  <c r="AU89" i="7"/>
  <c r="AU172" i="7" s="1"/>
  <c r="AT172" i="7"/>
  <c r="AF21" i="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AG39" i="6"/>
  <c r="AH39" i="6" s="1"/>
  <c r="AG37" i="6"/>
  <c r="AG36" i="6"/>
  <c r="AG35" i="6"/>
  <c r="AH35" i="6" s="1"/>
  <c r="AG32" i="6"/>
  <c r="AH32" i="6" s="1"/>
  <c r="AG30" i="6"/>
  <c r="AH30" i="6" s="1"/>
  <c r="AG27" i="6"/>
  <c r="AH27" i="6" s="1"/>
  <c r="AG26" i="6"/>
  <c r="AH26" i="6" s="1"/>
  <c r="AN26" i="6" s="1"/>
  <c r="BH26" i="6" s="1"/>
  <c r="AG21" i="6"/>
  <c r="AG19" i="6"/>
  <c r="AH19" i="6" s="1"/>
  <c r="AF25" i="6"/>
  <c r="AE25" i="6"/>
  <c r="AF18" i="6"/>
  <c r="AE18" i="6"/>
  <c r="AF13" i="6"/>
  <c r="AE13" i="6"/>
  <c r="AA25" i="6"/>
  <c r="AA18" i="6"/>
  <c r="AA13" i="6"/>
  <c r="AH13" i="6" s="1"/>
  <c r="AF45" i="5"/>
  <c r="AG45" i="5" s="1"/>
  <c r="AF44" i="5"/>
  <c r="AG44" i="5" s="1"/>
  <c r="AF40" i="5"/>
  <c r="AG40" i="5" s="1"/>
  <c r="AF39" i="5"/>
  <c r="AF38" i="5"/>
  <c r="AF37" i="5"/>
  <c r="AF36" i="5"/>
  <c r="AG36" i="5" s="1"/>
  <c r="AF35" i="5"/>
  <c r="AG35" i="5" s="1"/>
  <c r="AF34" i="5"/>
  <c r="AG34" i="5" s="1"/>
  <c r="AF31" i="5"/>
  <c r="AG31" i="5" s="1"/>
  <c r="AF29" i="5"/>
  <c r="AG29" i="5" s="1"/>
  <c r="AF28" i="5"/>
  <c r="AG28" i="5" s="1"/>
  <c r="AF27" i="5"/>
  <c r="AG27" i="5" s="1"/>
  <c r="AF25" i="5"/>
  <c r="AG25" i="5" s="1"/>
  <c r="AF24" i="5"/>
  <c r="AF23" i="5"/>
  <c r="AF21" i="5"/>
  <c r="AF20" i="5"/>
  <c r="AF16" i="5"/>
  <c r="AG16" i="5" s="1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C12" i="5" s="1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9" i="3"/>
  <c r="AC58" i="3"/>
  <c r="AA57" i="3"/>
  <c r="AJ48" i="9"/>
  <c r="AJ51" i="9" s="1"/>
  <c r="AY55" i="9"/>
  <c r="AY51" i="9"/>
  <c r="AE54" i="9"/>
  <c r="AE52" i="9"/>
  <c r="AE50" i="9"/>
  <c r="AE48" i="9"/>
  <c r="BC31" i="11"/>
  <c r="BC38" i="11"/>
  <c r="AV40" i="11"/>
  <c r="AV31" i="11" s="1"/>
  <c r="AR40" i="1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0" i="11"/>
  <c r="AD31" i="11" s="1"/>
  <c r="BE31" i="11" s="1"/>
  <c r="AF43" i="11"/>
  <c r="AF42" i="11"/>
  <c r="AF41" i="11"/>
  <c r="AF33" i="11"/>
  <c r="AF32" i="11"/>
  <c r="AF31" i="11"/>
  <c r="AF30" i="11"/>
  <c r="AF29" i="11"/>
  <c r="T18" i="10"/>
  <c r="R18" i="10"/>
  <c r="Q18" i="10"/>
  <c r="N19" i="10"/>
  <c r="K19" i="10"/>
  <c r="L18" i="10"/>
  <c r="L13" i="10"/>
  <c r="K191" i="52"/>
  <c r="BB28" i="7" s="1"/>
  <c r="K22" i="32"/>
  <c r="M22" i="32" s="1"/>
  <c r="K23" i="32"/>
  <c r="K10" i="32"/>
  <c r="K9" i="32"/>
  <c r="M9" i="32" s="1"/>
  <c r="K7" i="32"/>
  <c r="M7" i="32" s="1"/>
  <c r="L24" i="32"/>
  <c r="S63" i="3"/>
  <c r="P63" i="3"/>
  <c r="K63" i="3"/>
  <c r="F32" i="79" s="1"/>
  <c r="AC51" i="3"/>
  <c r="AC47" i="3"/>
  <c r="AC42" i="3"/>
  <c r="AC41" i="3"/>
  <c r="AA46" i="3"/>
  <c r="AC46" i="3" s="1"/>
  <c r="T46" i="3"/>
  <c r="P46" i="3"/>
  <c r="P45" i="3"/>
  <c r="P39" i="3"/>
  <c r="AT56" i="72" s="1"/>
  <c r="AT57" i="72" s="1"/>
  <c r="K49" i="3"/>
  <c r="D3" i="80" s="1"/>
  <c r="K46" i="3"/>
  <c r="K45" i="3"/>
  <c r="K39" i="3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AY167" i="7"/>
  <c r="I19" i="56"/>
  <c r="AX25" i="7"/>
  <c r="AX17" i="7" s="1"/>
  <c r="AB15" i="8"/>
  <c r="AB42" i="8"/>
  <c r="AB104" i="8" s="1"/>
  <c r="F14" i="36"/>
  <c r="AF51" i="9"/>
  <c r="AG51" i="9"/>
  <c r="AA14" i="19"/>
  <c r="AJ21" i="19"/>
  <c r="AL21" i="19" s="1"/>
  <c r="AJ17" i="19"/>
  <c r="AL17" i="19" s="1"/>
  <c r="AJ47" i="19"/>
  <c r="AJ42" i="19"/>
  <c r="AL42" i="19" s="1"/>
  <c r="AJ41" i="19"/>
  <c r="AJ40" i="19"/>
  <c r="AK40" i="19" s="1"/>
  <c r="AJ39" i="19"/>
  <c r="AK39" i="19" s="1"/>
  <c r="AJ38" i="19"/>
  <c r="AJ37" i="19"/>
  <c r="AL37" i="19" s="1"/>
  <c r="AJ36" i="19"/>
  <c r="AL36" i="19" s="1"/>
  <c r="AJ35" i="19"/>
  <c r="AL35" i="19" s="1"/>
  <c r="AJ34" i="19"/>
  <c r="AJ33" i="19"/>
  <c r="AL33" i="19" s="1"/>
  <c r="AJ32" i="19"/>
  <c r="AJ31" i="19"/>
  <c r="AO31" i="19" s="1"/>
  <c r="E19" i="75" s="1"/>
  <c r="AJ30" i="19"/>
  <c r="AL30" i="19" s="1"/>
  <c r="AJ29" i="19"/>
  <c r="AJ28" i="19"/>
  <c r="AJ27" i="19"/>
  <c r="AJ26" i="19"/>
  <c r="AJ25" i="19"/>
  <c r="AJ23" i="19"/>
  <c r="AK23" i="19" s="1"/>
  <c r="AJ22" i="19"/>
  <c r="AJ20" i="19"/>
  <c r="AK20" i="19" s="1"/>
  <c r="AJ19" i="19"/>
  <c r="AK19" i="19" s="1"/>
  <c r="AJ18" i="19"/>
  <c r="AJ16" i="19"/>
  <c r="AK16" i="19" s="1"/>
  <c r="AJ13" i="19"/>
  <c r="AJ8" i="19" s="1"/>
  <c r="AL8" i="19" s="1"/>
  <c r="AG58" i="19"/>
  <c r="AL58" i="19" s="1"/>
  <c r="AF60" i="19"/>
  <c r="AE57" i="19" s="1"/>
  <c r="AG57" i="19" s="1"/>
  <c r="AI14" i="19"/>
  <c r="AH14" i="19"/>
  <c r="AI12" i="19"/>
  <c r="AH12" i="19"/>
  <c r="AG57" i="3"/>
  <c r="AE49" i="3"/>
  <c r="I45" i="61" s="1"/>
  <c r="N45" i="61" s="1"/>
  <c r="AX151" i="7"/>
  <c r="AZ159" i="7"/>
  <c r="BB64" i="7"/>
  <c r="BB159" i="7" s="1"/>
  <c r="AX52" i="7"/>
  <c r="AX153" i="7" s="1"/>
  <c r="AY52" i="7"/>
  <c r="AY153" i="7" s="1"/>
  <c r="AF55" i="9"/>
  <c r="AG55" i="9"/>
  <c r="AI60" i="19"/>
  <c r="AB60" i="19"/>
  <c r="AA12" i="19"/>
  <c r="M8" i="19"/>
  <c r="K9" i="19"/>
  <c r="M9" i="19" s="1"/>
  <c r="M10" i="19"/>
  <c r="I11" i="19"/>
  <c r="I12" i="19" s="1"/>
  <c r="M11" i="19"/>
  <c r="J12" i="19"/>
  <c r="K12" i="19"/>
  <c r="L12" i="19"/>
  <c r="N12" i="19"/>
  <c r="O12" i="19"/>
  <c r="P12" i="19"/>
  <c r="S12" i="19" s="1"/>
  <c r="Q12" i="19"/>
  <c r="N14" i="19"/>
  <c r="O14" i="19"/>
  <c r="P14" i="19"/>
  <c r="Q14" i="19"/>
  <c r="J16" i="19"/>
  <c r="K16" i="19" s="1"/>
  <c r="O16" i="19"/>
  <c r="P16" i="19"/>
  <c r="K17" i="19"/>
  <c r="M17" i="19" s="1"/>
  <c r="K18" i="19"/>
  <c r="M18" i="19" s="1"/>
  <c r="M19" i="19"/>
  <c r="I20" i="19"/>
  <c r="M20" i="19"/>
  <c r="K21" i="19"/>
  <c r="M21" i="19" s="1"/>
  <c r="M22" i="19"/>
  <c r="K23" i="19"/>
  <c r="M23" i="19" s="1"/>
  <c r="K24" i="19"/>
  <c r="M24" i="19" s="1"/>
  <c r="M26" i="19"/>
  <c r="J27" i="19"/>
  <c r="O27" i="19"/>
  <c r="P27" i="19"/>
  <c r="K28" i="19"/>
  <c r="M29" i="19"/>
  <c r="M31" i="19"/>
  <c r="M32" i="19"/>
  <c r="M33" i="19"/>
  <c r="M34" i="19"/>
  <c r="K35" i="19"/>
  <c r="M35" i="19" s="1"/>
  <c r="M36" i="19"/>
  <c r="M37" i="19"/>
  <c r="M38" i="19"/>
  <c r="M39" i="19"/>
  <c r="O39" i="19"/>
  <c r="P39" i="19"/>
  <c r="S39" i="19" s="1"/>
  <c r="T39" i="19" s="1"/>
  <c r="M40" i="19"/>
  <c r="K41" i="19"/>
  <c r="M41" i="19" s="1"/>
  <c r="K42" i="19"/>
  <c r="M42" i="19" s="1"/>
  <c r="M45" i="19"/>
  <c r="M47" i="19"/>
  <c r="L49" i="19"/>
  <c r="N49" i="19"/>
  <c r="P60" i="19" s="1"/>
  <c r="P57" i="19" s="1"/>
  <c r="Q49" i="19"/>
  <c r="O52" i="19"/>
  <c r="I60" i="19"/>
  <c r="J60" i="19"/>
  <c r="K60" i="19"/>
  <c r="M60" i="19"/>
  <c r="N60" i="19"/>
  <c r="L58" i="19" s="1"/>
  <c r="AX150" i="7"/>
  <c r="E122" i="56"/>
  <c r="E102" i="56"/>
  <c r="BC105" i="8"/>
  <c r="AY149" i="7"/>
  <c r="AX146" i="7"/>
  <c r="AX149" i="7"/>
  <c r="AY146" i="7"/>
  <c r="AY41" i="7"/>
  <c r="AY35" i="7" s="1"/>
  <c r="AX41" i="7"/>
  <c r="AX35" i="7" s="1"/>
  <c r="BC102" i="8"/>
  <c r="N31" i="61"/>
  <c r="I16" i="64"/>
  <c r="N16" i="64" s="1"/>
  <c r="F14" i="64"/>
  <c r="P25" i="35"/>
  <c r="AS76" i="5"/>
  <c r="AS77" i="5" s="1"/>
  <c r="AR76" i="5"/>
  <c r="AR77" i="5" s="1"/>
  <c r="AQ76" i="5"/>
  <c r="AP77" i="5"/>
  <c r="AO77" i="5"/>
  <c r="P56" i="34"/>
  <c r="O77" i="9"/>
  <c r="O78" i="9" s="1"/>
  <c r="O74" i="9"/>
  <c r="L75" i="9"/>
  <c r="M75" i="9"/>
  <c r="O73" i="9"/>
  <c r="M78" i="9"/>
  <c r="M77" i="9"/>
  <c r="L78" i="9"/>
  <c r="L77" i="9"/>
  <c r="M73" i="9"/>
  <c r="L73" i="9"/>
  <c r="L76" i="9" s="1"/>
  <c r="AE84" i="8"/>
  <c r="AE85" i="8" s="1"/>
  <c r="AE80" i="8"/>
  <c r="AG80" i="8"/>
  <c r="AH80" i="8"/>
  <c r="AJ82" i="8"/>
  <c r="AJ76" i="8"/>
  <c r="AI52" i="8"/>
  <c r="AE31" i="8"/>
  <c r="AY30" i="8" s="1"/>
  <c r="AE25" i="8"/>
  <c r="AF82" i="8"/>
  <c r="AF76" i="8"/>
  <c r="AF47" i="8"/>
  <c r="AF46" i="8"/>
  <c r="AL92" i="7"/>
  <c r="AL175" i="7" s="1"/>
  <c r="AL64" i="7"/>
  <c r="AL159" i="7" s="1"/>
  <c r="AL55" i="7"/>
  <c r="AL38" i="7"/>
  <c r="AL37" i="7"/>
  <c r="AL30" i="7"/>
  <c r="AL22" i="7"/>
  <c r="AL21" i="7"/>
  <c r="AL12" i="7"/>
  <c r="AK33" i="7"/>
  <c r="AK27" i="7" s="1"/>
  <c r="AJ33" i="7"/>
  <c r="AJ27" i="7" s="1"/>
  <c r="AK15" i="7"/>
  <c r="AK8" i="7" s="1"/>
  <c r="AJ15" i="7"/>
  <c r="AJ8" i="7" s="1"/>
  <c r="AH92" i="7"/>
  <c r="AH175" i="7" s="1"/>
  <c r="AH89" i="7"/>
  <c r="AH172" i="7" s="1"/>
  <c r="AH87" i="7"/>
  <c r="AH167" i="7" s="1"/>
  <c r="AH64" i="7"/>
  <c r="AH159" i="7" s="1"/>
  <c r="AH59" i="7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51" i="7" s="1"/>
  <c r="AH18" i="7"/>
  <c r="AH16" i="7"/>
  <c r="AH14" i="7"/>
  <c r="AH13" i="7"/>
  <c r="AH12" i="7"/>
  <c r="AH148" i="7" s="1"/>
  <c r="AH10" i="7"/>
  <c r="AH9" i="7"/>
  <c r="AH40" i="11"/>
  <c r="AH31" i="11" s="1"/>
  <c r="AO87" i="7"/>
  <c r="AO167" i="7" s="1"/>
  <c r="O46" i="3"/>
  <c r="O42" i="3"/>
  <c r="O41" i="3"/>
  <c r="O97" i="7"/>
  <c r="O99" i="7" s="1"/>
  <c r="R97" i="7"/>
  <c r="R98" i="7"/>
  <c r="R99" i="7"/>
  <c r="Z99" i="7"/>
  <c r="O103" i="7"/>
  <c r="O105" i="7" s="1"/>
  <c r="R103" i="7"/>
  <c r="L104" i="7"/>
  <c r="R104" i="7"/>
  <c r="R105" i="7"/>
  <c r="Z106" i="7"/>
  <c r="AB112" i="7"/>
  <c r="AD112" i="7" s="1"/>
  <c r="U113" i="7"/>
  <c r="U114" i="7"/>
  <c r="Q115" i="7"/>
  <c r="R115" i="7"/>
  <c r="S115" i="7"/>
  <c r="T115" i="7"/>
  <c r="R120" i="7"/>
  <c r="S120" i="7"/>
  <c r="Q122" i="7"/>
  <c r="Q123" i="7"/>
  <c r="R124" i="7"/>
  <c r="S124" i="7"/>
  <c r="E127" i="7"/>
  <c r="Y89" i="7" s="1"/>
  <c r="L39" i="3"/>
  <c r="L43" i="3" s="1"/>
  <c r="V75" i="8"/>
  <c r="V87" i="7"/>
  <c r="U75" i="8"/>
  <c r="D11" i="3"/>
  <c r="F11" i="3"/>
  <c r="H11" i="3"/>
  <c r="H12" i="3"/>
  <c r="D14" i="3"/>
  <c r="F14" i="3"/>
  <c r="H14" i="3"/>
  <c r="B16" i="3"/>
  <c r="B13" i="3" s="1"/>
  <c r="B10" i="3" s="1"/>
  <c r="C16" i="3"/>
  <c r="C13" i="3" s="1"/>
  <c r="E16" i="3"/>
  <c r="G16" i="3"/>
  <c r="I16" i="3"/>
  <c r="J16" i="3"/>
  <c r="J13" i="3" s="1"/>
  <c r="J10" i="3" s="1"/>
  <c r="J28" i="3" s="1"/>
  <c r="L16" i="3"/>
  <c r="M16" i="3"/>
  <c r="D18" i="3"/>
  <c r="F18" i="3"/>
  <c r="H18" i="3"/>
  <c r="D19" i="3"/>
  <c r="F19" i="3"/>
  <c r="H19" i="3"/>
  <c r="D20" i="3"/>
  <c r="F20" i="3"/>
  <c r="H20" i="3"/>
  <c r="B22" i="3"/>
  <c r="B75" i="8" s="1"/>
  <c r="C22" i="3"/>
  <c r="E22" i="3"/>
  <c r="E75" i="8" s="1"/>
  <c r="G22" i="3"/>
  <c r="P24" i="72" s="1"/>
  <c r="P26" i="72" s="1"/>
  <c r="I22" i="3"/>
  <c r="J22" i="3"/>
  <c r="J75" i="8" s="1"/>
  <c r="L22" i="3"/>
  <c r="K75" i="8" s="1"/>
  <c r="M22" i="3"/>
  <c r="N75" i="8" s="1"/>
  <c r="O75" i="8" s="1"/>
  <c r="D24" i="3"/>
  <c r="F24" i="3"/>
  <c r="H24" i="3"/>
  <c r="D25" i="3"/>
  <c r="F25" i="3"/>
  <c r="H25" i="3"/>
  <c r="D26" i="3"/>
  <c r="F26" i="3"/>
  <c r="H26" i="3"/>
  <c r="D27" i="3"/>
  <c r="F27" i="3"/>
  <c r="H27" i="3"/>
  <c r="C14" i="36"/>
  <c r="B25" i="36"/>
  <c r="B14" i="36"/>
  <c r="A52" i="8"/>
  <c r="G19" i="35"/>
  <c r="P24" i="35" s="1"/>
  <c r="M24" i="35" s="1"/>
  <c r="G31" i="34"/>
  <c r="G48" i="34"/>
  <c r="AI83" i="8"/>
  <c r="AG83" i="8"/>
  <c r="AG84" i="8" s="1"/>
  <c r="AG85" i="8" s="1"/>
  <c r="U9" i="17"/>
  <c r="T9" i="17" s="1"/>
  <c r="N48" i="5"/>
  <c r="U10" i="17"/>
  <c r="T10" i="17" s="1"/>
  <c r="AM10" i="17" s="1"/>
  <c r="N49" i="5"/>
  <c r="N50" i="5"/>
  <c r="B22" i="32"/>
  <c r="D22" i="32" s="1"/>
  <c r="B23" i="32"/>
  <c r="B24" i="32" s="1"/>
  <c r="B25" i="32" s="1"/>
  <c r="D25" i="32" s="1"/>
  <c r="AA75" i="8"/>
  <c r="AA120" i="8" s="1"/>
  <c r="AH84" i="8"/>
  <c r="AH85" i="8" s="1"/>
  <c r="AH81" i="8"/>
  <c r="AH78" i="8"/>
  <c r="AG81" i="8"/>
  <c r="AG78" i="8"/>
  <c r="AE81" i="8"/>
  <c r="Z11" i="8"/>
  <c r="AK11" i="8" s="1"/>
  <c r="AM11" i="8"/>
  <c r="AO11" i="8" s="1"/>
  <c r="AM76" i="8"/>
  <c r="AN76" i="8" s="1"/>
  <c r="AC32" i="6"/>
  <c r="AC28" i="6"/>
  <c r="AH28" i="6" s="1"/>
  <c r="AC21" i="6"/>
  <c r="AH21" i="6" s="1"/>
  <c r="AC9" i="6"/>
  <c r="AG9" i="6" s="1"/>
  <c r="AG12" i="6" s="1"/>
  <c r="AB36" i="5"/>
  <c r="AB33" i="5"/>
  <c r="AF33" i="5" s="1"/>
  <c r="AB23" i="5"/>
  <c r="AG23" i="5" s="1"/>
  <c r="AB16" i="5"/>
  <c r="AO54" i="7"/>
  <c r="AB42" i="5"/>
  <c r="AF42" i="5" s="1"/>
  <c r="AB18" i="5"/>
  <c r="AK12" i="8"/>
  <c r="AK22" i="8"/>
  <c r="AK37" i="8"/>
  <c r="AM37" i="8"/>
  <c r="AO37" i="8" s="1"/>
  <c r="AC28" i="19"/>
  <c r="D25" i="21"/>
  <c r="D26" i="21"/>
  <c r="D27" i="21"/>
  <c r="D28" i="21"/>
  <c r="D30" i="21"/>
  <c r="D31" i="21"/>
  <c r="G27" i="21"/>
  <c r="G30" i="21"/>
  <c r="G31" i="21"/>
  <c r="C27" i="21"/>
  <c r="C30" i="21"/>
  <c r="C31" i="21"/>
  <c r="C25" i="21"/>
  <c r="E25" i="21" s="1"/>
  <c r="L26" i="21"/>
  <c r="Y14" i="19"/>
  <c r="Z14" i="19"/>
  <c r="Z12" i="19"/>
  <c r="AC12" i="19" s="1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AB28" i="17" s="1"/>
  <c r="Y27" i="17"/>
  <c r="AB27" i="17" s="1"/>
  <c r="Y26" i="17"/>
  <c r="AB26" i="17" s="1"/>
  <c r="Y25" i="17"/>
  <c r="AB25" i="17" s="1"/>
  <c r="AN31" i="17"/>
  <c r="AL31" i="17"/>
  <c r="Z31" i="17"/>
  <c r="X31" i="17"/>
  <c r="AN24" i="17"/>
  <c r="AL24" i="17"/>
  <c r="Z24" i="17"/>
  <c r="X24" i="17"/>
  <c r="K53" i="11"/>
  <c r="L53" i="11"/>
  <c r="K54" i="11"/>
  <c r="L54" i="11"/>
  <c r="K55" i="11"/>
  <c r="L55" i="11"/>
  <c r="L56" i="11"/>
  <c r="K52" i="11"/>
  <c r="F56" i="11"/>
  <c r="K56" i="11" s="1"/>
  <c r="G52" i="11"/>
  <c r="L52" i="11" s="1"/>
  <c r="U33" i="11"/>
  <c r="W43" i="11"/>
  <c r="U43" i="11"/>
  <c r="W42" i="11"/>
  <c r="X42" i="11" s="1"/>
  <c r="U42" i="11"/>
  <c r="W41" i="11"/>
  <c r="U41" i="11"/>
  <c r="W33" i="11"/>
  <c r="X33" i="11" s="1"/>
  <c r="W32" i="11"/>
  <c r="X32" i="11" s="1"/>
  <c r="U32" i="11"/>
  <c r="W31" i="11"/>
  <c r="U31" i="11"/>
  <c r="W30" i="11"/>
  <c r="U30" i="11"/>
  <c r="W29" i="11"/>
  <c r="X29" i="11" s="1"/>
  <c r="U29" i="11"/>
  <c r="I18" i="10"/>
  <c r="I13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 s="1"/>
  <c r="I9" i="21"/>
  <c r="L9" i="21"/>
  <c r="G25" i="21" s="1"/>
  <c r="L25" i="21" s="1"/>
  <c r="C10" i="21"/>
  <c r="E10" i="21" s="1"/>
  <c r="G10" i="21"/>
  <c r="C26" i="21" s="1"/>
  <c r="L10" i="21"/>
  <c r="E11" i="21"/>
  <c r="I11" i="21"/>
  <c r="M11" i="21"/>
  <c r="H27" i="21" s="1"/>
  <c r="M27" i="21" s="1"/>
  <c r="N27" i="21" s="1"/>
  <c r="E12" i="21"/>
  <c r="G12" i="21"/>
  <c r="L12" i="21" s="1"/>
  <c r="M12" i="21"/>
  <c r="H28" i="21" s="1"/>
  <c r="M28" i="21" s="1"/>
  <c r="C13" i="21"/>
  <c r="D13" i="21"/>
  <c r="G13" i="21"/>
  <c r="H13" i="21"/>
  <c r="D29" i="21" s="1"/>
  <c r="E14" i="21"/>
  <c r="I14" i="21"/>
  <c r="M14" i="21"/>
  <c r="H30" i="21" s="1"/>
  <c r="E15" i="21"/>
  <c r="I15" i="21"/>
  <c r="M15" i="21"/>
  <c r="H31" i="21" s="1"/>
  <c r="D8" i="19"/>
  <c r="F8" i="19"/>
  <c r="H8" i="19"/>
  <c r="S8" i="19"/>
  <c r="U8" i="19"/>
  <c r="V8" i="19"/>
  <c r="D9" i="19"/>
  <c r="F9" i="19"/>
  <c r="H9" i="19"/>
  <c r="S9" i="19"/>
  <c r="T9" i="19" s="1"/>
  <c r="U9" i="19"/>
  <c r="V9" i="19"/>
  <c r="AC9" i="19"/>
  <c r="D10" i="19"/>
  <c r="F10" i="19"/>
  <c r="H10" i="19"/>
  <c r="S10" i="19"/>
  <c r="S14" i="19" s="1"/>
  <c r="U10" i="19"/>
  <c r="V10" i="19"/>
  <c r="D11" i="19"/>
  <c r="F11" i="19"/>
  <c r="H11" i="19"/>
  <c r="U11" i="19"/>
  <c r="V11" i="19"/>
  <c r="R12" i="19"/>
  <c r="Y12" i="19"/>
  <c r="AB12" i="19"/>
  <c r="U13" i="19"/>
  <c r="V13" i="19"/>
  <c r="R14" i="19"/>
  <c r="AB14" i="19"/>
  <c r="D16" i="19"/>
  <c r="F16" i="19"/>
  <c r="G16" i="19"/>
  <c r="H16" i="19" s="1"/>
  <c r="S16" i="19"/>
  <c r="T16" i="19" s="1"/>
  <c r="U16" i="19"/>
  <c r="V16" i="19"/>
  <c r="AC16" i="19"/>
  <c r="D17" i="19"/>
  <c r="F17" i="19"/>
  <c r="H17" i="19"/>
  <c r="S17" i="19"/>
  <c r="T17" i="19" s="1"/>
  <c r="U17" i="19"/>
  <c r="V17" i="19"/>
  <c r="AC17" i="19"/>
  <c r="D18" i="19"/>
  <c r="F18" i="19"/>
  <c r="H18" i="19"/>
  <c r="S18" i="19"/>
  <c r="T18" i="19" s="1"/>
  <c r="U18" i="19"/>
  <c r="V18" i="19"/>
  <c r="AC18" i="19"/>
  <c r="D19" i="19"/>
  <c r="F19" i="19"/>
  <c r="H19" i="19"/>
  <c r="S19" i="19"/>
  <c r="T19" i="19" s="1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 s="1"/>
  <c r="U21" i="19"/>
  <c r="V21" i="19"/>
  <c r="D22" i="19"/>
  <c r="F22" i="19"/>
  <c r="H22" i="19"/>
  <c r="S22" i="19"/>
  <c r="T22" i="19" s="1"/>
  <c r="U22" i="19"/>
  <c r="V22" i="19"/>
  <c r="D23" i="19"/>
  <c r="F23" i="19"/>
  <c r="H23" i="19"/>
  <c r="S23" i="19"/>
  <c r="U23" i="19"/>
  <c r="V23" i="19"/>
  <c r="AC23" i="19"/>
  <c r="D24" i="19"/>
  <c r="F24" i="19"/>
  <c r="H24" i="19"/>
  <c r="S24" i="19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S27" i="19"/>
  <c r="T27" i="19" s="1"/>
  <c r="U27" i="19"/>
  <c r="V27" i="19"/>
  <c r="AC27" i="19"/>
  <c r="D28" i="19"/>
  <c r="F28" i="19"/>
  <c r="H28" i="19"/>
  <c r="S28" i="19"/>
  <c r="T28" i="19" s="1"/>
  <c r="U28" i="19"/>
  <c r="V28" i="19"/>
  <c r="D29" i="19"/>
  <c r="F29" i="19"/>
  <c r="H29" i="19"/>
  <c r="S29" i="19"/>
  <c r="T29" i="19" s="1"/>
  <c r="U29" i="19"/>
  <c r="V29" i="19"/>
  <c r="AC29" i="19"/>
  <c r="D30" i="19"/>
  <c r="F30" i="19"/>
  <c r="G30" i="19"/>
  <c r="H30" i="19" s="1"/>
  <c r="S30" i="19"/>
  <c r="T30" i="19" s="1"/>
  <c r="U30" i="19"/>
  <c r="V30" i="19"/>
  <c r="AC30" i="19"/>
  <c r="D31" i="19"/>
  <c r="F31" i="19"/>
  <c r="H31" i="19"/>
  <c r="S31" i="19"/>
  <c r="T31" i="19" s="1"/>
  <c r="U31" i="19"/>
  <c r="V31" i="19"/>
  <c r="AC31" i="19"/>
  <c r="D32" i="19"/>
  <c r="F32" i="19"/>
  <c r="H32" i="19"/>
  <c r="S32" i="19"/>
  <c r="T32" i="19" s="1"/>
  <c r="U32" i="19"/>
  <c r="V32" i="19"/>
  <c r="D33" i="19"/>
  <c r="F33" i="19"/>
  <c r="H33" i="19"/>
  <c r="S33" i="19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 s="1"/>
  <c r="U35" i="19"/>
  <c r="V35" i="19"/>
  <c r="AC35" i="19"/>
  <c r="D36" i="19"/>
  <c r="F36" i="19"/>
  <c r="H36" i="19"/>
  <c r="S36" i="19"/>
  <c r="T36" i="19" s="1"/>
  <c r="U36" i="19"/>
  <c r="V36" i="19"/>
  <c r="AC36" i="19"/>
  <c r="B37" i="19"/>
  <c r="B49" i="19" s="1"/>
  <c r="F37" i="19"/>
  <c r="H37" i="19"/>
  <c r="S37" i="19"/>
  <c r="U37" i="19"/>
  <c r="V37" i="19"/>
  <c r="AC37" i="19"/>
  <c r="D38" i="19"/>
  <c r="F38" i="19"/>
  <c r="H38" i="19"/>
  <c r="S38" i="19"/>
  <c r="U38" i="19"/>
  <c r="V38" i="19"/>
  <c r="D39" i="19"/>
  <c r="F39" i="19"/>
  <c r="H39" i="19"/>
  <c r="U39" i="19"/>
  <c r="V39" i="19"/>
  <c r="AC39" i="19"/>
  <c r="D40" i="19"/>
  <c r="U40" i="19"/>
  <c r="V40" i="19"/>
  <c r="S41" i="19"/>
  <c r="U41" i="19"/>
  <c r="V41" i="19"/>
  <c r="D42" i="19"/>
  <c r="S42" i="19"/>
  <c r="AC42" i="19" s="1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 s="1"/>
  <c r="C60" i="19"/>
  <c r="B59" i="19" s="1"/>
  <c r="D60" i="19"/>
  <c r="E60" i="19"/>
  <c r="F60" i="19"/>
  <c r="G60" i="19"/>
  <c r="R60" i="19"/>
  <c r="Q58" i="19" s="1"/>
  <c r="V60" i="19"/>
  <c r="U56" i="19" s="1"/>
  <c r="X60" i="19"/>
  <c r="W58" i="19" s="1"/>
  <c r="B7" i="32"/>
  <c r="B8" i="32"/>
  <c r="D8" i="32" s="1"/>
  <c r="B9" i="32"/>
  <c r="D9" i="32" s="1"/>
  <c r="B10" i="32"/>
  <c r="C11" i="32"/>
  <c r="C24" i="32"/>
  <c r="F8" i="17"/>
  <c r="G8" i="17"/>
  <c r="K8" i="17" s="1"/>
  <c r="M8" i="17"/>
  <c r="P8" i="17"/>
  <c r="S8" i="17"/>
  <c r="V8" i="17"/>
  <c r="X8" i="17"/>
  <c r="Y8" i="17"/>
  <c r="AA8" i="17"/>
  <c r="AB8" i="17"/>
  <c r="AL8" i="17"/>
  <c r="AU8" i="17"/>
  <c r="AW8" i="17"/>
  <c r="AX8" i="17"/>
  <c r="AZ8" i="17"/>
  <c r="BA8" i="17"/>
  <c r="BC8" i="17"/>
  <c r="H9" i="17"/>
  <c r="K9" i="17"/>
  <c r="N9" i="17"/>
  <c r="R9" i="17"/>
  <c r="W9" i="17"/>
  <c r="Z9" i="17"/>
  <c r="AH9" i="17" s="1"/>
  <c r="AI9" i="17" s="1"/>
  <c r="AF9" i="17"/>
  <c r="AG9" i="17"/>
  <c r="AV9" i="17"/>
  <c r="AY9" i="17"/>
  <c r="BB9" i="17"/>
  <c r="BD9" i="17"/>
  <c r="H10" i="17"/>
  <c r="H8" i="17" s="1"/>
  <c r="K10" i="17"/>
  <c r="N10" i="17"/>
  <c r="Q10" i="17"/>
  <c r="W10" i="17"/>
  <c r="Z10" i="17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O11" i="17" s="1"/>
  <c r="AV11" i="17"/>
  <c r="AY11" i="17"/>
  <c r="BB11" i="17"/>
  <c r="BD11" i="17"/>
  <c r="O12" i="17"/>
  <c r="R12" i="17"/>
  <c r="U12" i="17"/>
  <c r="X12" i="17"/>
  <c r="AD12" i="17"/>
  <c r="AE12" i="17"/>
  <c r="AF12" i="17"/>
  <c r="AM12" i="17"/>
  <c r="AV12" i="17"/>
  <c r="AY12" i="17"/>
  <c r="BB12" i="17"/>
  <c r="BD12" i="17"/>
  <c r="F14" i="17"/>
  <c r="G14" i="17"/>
  <c r="K14" i="17" s="1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BA14" i="17"/>
  <c r="BC14" i="17"/>
  <c r="H15" i="17"/>
  <c r="K15" i="17"/>
  <c r="N15" i="17"/>
  <c r="Q15" i="17"/>
  <c r="T15" i="17"/>
  <c r="AM15" i="17" s="1"/>
  <c r="W15" i="17"/>
  <c r="Z15" i="17"/>
  <c r="AE15" i="17" s="1"/>
  <c r="AF15" i="17"/>
  <c r="AV15" i="17"/>
  <c r="AY15" i="17"/>
  <c r="BB15" i="17"/>
  <c r="BD15" i="17"/>
  <c r="H16" i="17"/>
  <c r="K16" i="17"/>
  <c r="O16" i="17"/>
  <c r="R16" i="17"/>
  <c r="U16" i="17"/>
  <c r="W16" i="17"/>
  <c r="Z16" i="17"/>
  <c r="AE16" i="17" s="1"/>
  <c r="AD16" i="17"/>
  <c r="AF16" i="17"/>
  <c r="AM16" i="17"/>
  <c r="AV16" i="17"/>
  <c r="AY16" i="17"/>
  <c r="BB16" i="17"/>
  <c r="BD16" i="17"/>
  <c r="N17" i="17"/>
  <c r="Q17" i="17"/>
  <c r="U17" i="17"/>
  <c r="W17" i="17"/>
  <c r="Z17" i="17"/>
  <c r="AE17" i="17" s="1"/>
  <c r="AD17" i="17"/>
  <c r="AF17" i="17"/>
  <c r="AM17" i="17"/>
  <c r="AP17" i="17" s="1"/>
  <c r="P29" i="8" s="1"/>
  <c r="AV17" i="17"/>
  <c r="AY17" i="17"/>
  <c r="BB17" i="17"/>
  <c r="BD17" i="17"/>
  <c r="O18" i="17"/>
  <c r="R18" i="17"/>
  <c r="R14" i="17" s="1"/>
  <c r="U18" i="17"/>
  <c r="W18" i="17"/>
  <c r="Z18" i="17"/>
  <c r="AD18" i="17"/>
  <c r="AF18" i="17"/>
  <c r="AM18" i="17"/>
  <c r="AP18" i="17" s="1"/>
  <c r="AV18" i="17"/>
  <c r="AY18" i="17"/>
  <c r="BB18" i="17"/>
  <c r="BD18" i="17"/>
  <c r="F24" i="17"/>
  <c r="G24" i="17"/>
  <c r="K24" i="17" s="1"/>
  <c r="M24" i="17"/>
  <c r="O24" i="17"/>
  <c r="AU24" i="17"/>
  <c r="AW24" i="17"/>
  <c r="H25" i="17"/>
  <c r="K25" i="17"/>
  <c r="N25" i="17"/>
  <c r="S25" i="17"/>
  <c r="AV25" i="17"/>
  <c r="AZ25" i="17"/>
  <c r="H26" i="17"/>
  <c r="K26" i="17"/>
  <c r="N26" i="17"/>
  <c r="P26" i="17" s="1"/>
  <c r="S26" i="17"/>
  <c r="AV26" i="17"/>
  <c r="AZ26" i="17"/>
  <c r="N27" i="17"/>
  <c r="S27" i="17"/>
  <c r="AV27" i="17"/>
  <c r="AZ27" i="17"/>
  <c r="N28" i="17"/>
  <c r="S28" i="17"/>
  <c r="AV28" i="17"/>
  <c r="AZ28" i="17"/>
  <c r="F31" i="17"/>
  <c r="G31" i="17"/>
  <c r="K31" i="17" s="1"/>
  <c r="M31" i="17"/>
  <c r="O31" i="17"/>
  <c r="S31" i="17"/>
  <c r="AU31" i="17"/>
  <c r="AW31" i="17"/>
  <c r="H32" i="17"/>
  <c r="K32" i="17"/>
  <c r="N32" i="17"/>
  <c r="AV32" i="17"/>
  <c r="AZ32" i="17"/>
  <c r="H33" i="17"/>
  <c r="K33" i="17"/>
  <c r="N33" i="17"/>
  <c r="AV33" i="17"/>
  <c r="BA33" i="17" s="1"/>
  <c r="BN33" i="17" s="1"/>
  <c r="AZ33" i="17"/>
  <c r="N34" i="17"/>
  <c r="AV34" i="17"/>
  <c r="AZ34" i="17"/>
  <c r="N35" i="17"/>
  <c r="AV35" i="17"/>
  <c r="AZ35" i="17"/>
  <c r="F9" i="33"/>
  <c r="H9" i="33"/>
  <c r="G10" i="33"/>
  <c r="I10" i="33" s="1"/>
  <c r="G11" i="33"/>
  <c r="I11" i="33" s="1"/>
  <c r="G12" i="33"/>
  <c r="I12" i="33" s="1"/>
  <c r="G13" i="33"/>
  <c r="I13" i="33" s="1"/>
  <c r="F15" i="33"/>
  <c r="H15" i="33"/>
  <c r="G16" i="33"/>
  <c r="I16" i="33" s="1"/>
  <c r="G17" i="33"/>
  <c r="I17" i="33" s="1"/>
  <c r="G18" i="33"/>
  <c r="I18" i="33" s="1"/>
  <c r="G19" i="33"/>
  <c r="I19" i="33" s="1"/>
  <c r="D7" i="11"/>
  <c r="H7" i="11"/>
  <c r="O7" i="11"/>
  <c r="S7" i="11"/>
  <c r="U7" i="11"/>
  <c r="W7" i="11"/>
  <c r="AA7" i="11"/>
  <c r="AB7" i="11"/>
  <c r="AI7" i="11"/>
  <c r="AJ7" i="11" s="1"/>
  <c r="AM7" i="11"/>
  <c r="AN7" i="11"/>
  <c r="M29" i="11" s="1"/>
  <c r="N29" i="11" s="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 s="1"/>
  <c r="D9" i="11"/>
  <c r="H9" i="11"/>
  <c r="M9" i="11"/>
  <c r="S9" i="11"/>
  <c r="U9" i="11"/>
  <c r="W9" i="11"/>
  <c r="AA9" i="11"/>
  <c r="AB9" i="11"/>
  <c r="AI9" i="11"/>
  <c r="AJ9" i="11" s="1"/>
  <c r="AM9" i="11"/>
  <c r="AN9" i="11"/>
  <c r="M31" i="11" s="1"/>
  <c r="N31" i="11" s="1"/>
  <c r="BJ9" i="11"/>
  <c r="BK9" i="11"/>
  <c r="D10" i="11"/>
  <c r="H10" i="11"/>
  <c r="N10" i="11" s="1"/>
  <c r="O10" i="11"/>
  <c r="S10" i="11"/>
  <c r="U10" i="11"/>
  <c r="W10" i="11"/>
  <c r="AA10" i="11"/>
  <c r="AB10" i="11"/>
  <c r="AI10" i="11"/>
  <c r="AJ10" i="11" s="1"/>
  <c r="AM10" i="11"/>
  <c r="AN10" i="11"/>
  <c r="M32" i="11" s="1"/>
  <c r="N32" i="11" s="1"/>
  <c r="BJ10" i="11"/>
  <c r="BK10" i="11"/>
  <c r="D11" i="11"/>
  <c r="H11" i="11"/>
  <c r="N11" i="11" s="1"/>
  <c r="O11" i="11"/>
  <c r="S11" i="11"/>
  <c r="U11" i="11"/>
  <c r="W11" i="11"/>
  <c r="AA11" i="11"/>
  <c r="AB11" i="11"/>
  <c r="AI11" i="11"/>
  <c r="AJ11" i="11" s="1"/>
  <c r="AM11" i="11"/>
  <c r="AN11" i="11"/>
  <c r="M33" i="11" s="1"/>
  <c r="N33" i="11" s="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 s="1"/>
  <c r="S19" i="11"/>
  <c r="AB19" i="11"/>
  <c r="AB22" i="11" s="1"/>
  <c r="AI19" i="11"/>
  <c r="AJ19" i="11" s="1"/>
  <c r="AM19" i="11"/>
  <c r="AN19" i="11"/>
  <c r="M42" i="11" s="1"/>
  <c r="N42" i="11" s="1"/>
  <c r="E22" i="11"/>
  <c r="J22" i="11"/>
  <c r="W22" i="11"/>
  <c r="AO22" i="11"/>
  <c r="BL22" i="11"/>
  <c r="BJ23" i="11"/>
  <c r="BJ19" i="11" s="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AI32" i="11"/>
  <c r="I33" i="11"/>
  <c r="J33" i="11"/>
  <c r="S33" i="11"/>
  <c r="AI33" i="11"/>
  <c r="AP38" i="11"/>
  <c r="AK39" i="11"/>
  <c r="Q40" i="11"/>
  <c r="Q29" i="11" s="1"/>
  <c r="S41" i="11"/>
  <c r="J42" i="11"/>
  <c r="J45" i="11" s="1"/>
  <c r="K42" i="11"/>
  <c r="S42" i="11"/>
  <c r="AJ42" i="11"/>
  <c r="AK42" i="11"/>
  <c r="AK45" i="11" s="1"/>
  <c r="AN42" i="11"/>
  <c r="BA42" i="11" s="1"/>
  <c r="BB42" i="11" s="1"/>
  <c r="S43" i="11"/>
  <c r="AP44" i="11"/>
  <c r="BC44" i="11" s="1"/>
  <c r="G46" i="11"/>
  <c r="Q46" i="11"/>
  <c r="F7" i="10"/>
  <c r="G7" i="10"/>
  <c r="O7" i="10"/>
  <c r="V7" i="10" s="1"/>
  <c r="F8" i="10"/>
  <c r="G8" i="10"/>
  <c r="AA20" i="7" s="1"/>
  <c r="AB20" i="7" s="1"/>
  <c r="O8" i="10"/>
  <c r="AN20" i="7" s="1"/>
  <c r="F9" i="10"/>
  <c r="G9" i="10"/>
  <c r="O9" i="10"/>
  <c r="V9" i="10" s="1"/>
  <c r="F10" i="10"/>
  <c r="G10" i="10"/>
  <c r="O10" i="10"/>
  <c r="AN8" i="135" s="1"/>
  <c r="E13" i="10"/>
  <c r="H13" i="10"/>
  <c r="J13" i="10"/>
  <c r="M13" i="10"/>
  <c r="F14" i="10"/>
  <c r="G14" i="10"/>
  <c r="Y10" i="8" s="1"/>
  <c r="O14" i="10"/>
  <c r="F15" i="10"/>
  <c r="G15" i="10"/>
  <c r="Y20" i="8" s="1"/>
  <c r="AF20" i="8" s="1"/>
  <c r="O15" i="10"/>
  <c r="F16" i="10"/>
  <c r="G16" i="10"/>
  <c r="O16" i="10"/>
  <c r="AI32" i="8" s="1"/>
  <c r="F17" i="10"/>
  <c r="G17" i="10"/>
  <c r="Y8" i="136" s="1"/>
  <c r="O17" i="10"/>
  <c r="E18" i="10"/>
  <c r="F18" i="10" s="1"/>
  <c r="H18" i="10"/>
  <c r="H19" i="10" s="1"/>
  <c r="J18" i="10"/>
  <c r="J19" i="10" s="1"/>
  <c r="M18" i="10"/>
  <c r="M19" i="10" s="1"/>
  <c r="B9" i="9"/>
  <c r="I9" i="9"/>
  <c r="M9" i="9"/>
  <c r="N9" i="9" s="1"/>
  <c r="Q9" i="9"/>
  <c r="R9" i="9"/>
  <c r="W9" i="9" s="1"/>
  <c r="Y9" i="9"/>
  <c r="AH9" i="9"/>
  <c r="AK9" i="9"/>
  <c r="Q10" i="9"/>
  <c r="AH10" i="9"/>
  <c r="AK10" i="9"/>
  <c r="B11" i="9"/>
  <c r="I11" i="9"/>
  <c r="M11" i="9"/>
  <c r="N11" i="9" s="1"/>
  <c r="Q11" i="9"/>
  <c r="S11" i="9"/>
  <c r="T11" i="9"/>
  <c r="Y11" i="9"/>
  <c r="AH11" i="9"/>
  <c r="AK11" i="9"/>
  <c r="M12" i="9"/>
  <c r="Q12" i="9"/>
  <c r="AH12" i="9"/>
  <c r="AK12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I25" i="9" s="1"/>
  <c r="M14" i="9"/>
  <c r="N14" i="9" s="1"/>
  <c r="R14" i="9"/>
  <c r="W14" i="9" s="1"/>
  <c r="Y14" i="9"/>
  <c r="AH14" i="9"/>
  <c r="AH25" i="9" s="1"/>
  <c r="AK14" i="9"/>
  <c r="B15" i="9"/>
  <c r="I15" i="9"/>
  <c r="M15" i="9"/>
  <c r="N15" i="9" s="1"/>
  <c r="R15" i="9"/>
  <c r="Y15" i="9"/>
  <c r="AH15" i="9"/>
  <c r="AH26" i="9" s="1"/>
  <c r="Q62" i="9" s="1"/>
  <c r="AK15" i="9"/>
  <c r="M16" i="9"/>
  <c r="AH16" i="9"/>
  <c r="AI16" i="9"/>
  <c r="AI17" i="9" s="1"/>
  <c r="AK16" i="9"/>
  <c r="AL16" i="9"/>
  <c r="AL17" i="9" s="1"/>
  <c r="C17" i="9"/>
  <c r="D17" i="9"/>
  <c r="J17" i="9"/>
  <c r="L17" i="9"/>
  <c r="P17" i="9"/>
  <c r="Q17" i="9"/>
  <c r="X17" i="9"/>
  <c r="AN17" i="9"/>
  <c r="AO17" i="9"/>
  <c r="AH19" i="9"/>
  <c r="AK19" i="9"/>
  <c r="L20" i="9"/>
  <c r="S20" i="9"/>
  <c r="AN20" i="9"/>
  <c r="I21" i="9"/>
  <c r="L21" i="9"/>
  <c r="L22" i="9" s="1"/>
  <c r="S21" i="9"/>
  <c r="AH21" i="9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 s="1"/>
  <c r="T37" i="9"/>
  <c r="T38" i="9" s="1"/>
  <c r="M48" i="9"/>
  <c r="S48" i="9"/>
  <c r="AA48" i="9"/>
  <c r="M50" i="9"/>
  <c r="N50" i="9" s="1"/>
  <c r="S50" i="9"/>
  <c r="AA50" i="9"/>
  <c r="L51" i="9"/>
  <c r="Y51" i="9"/>
  <c r="Z51" i="9"/>
  <c r="AI51" i="9"/>
  <c r="N52" i="9"/>
  <c r="S52" i="9"/>
  <c r="AA52" i="9"/>
  <c r="N54" i="9"/>
  <c r="S54" i="9"/>
  <c r="AA54" i="9"/>
  <c r="L55" i="9"/>
  <c r="M55" i="9"/>
  <c r="Y55" i="9"/>
  <c r="Z55" i="9"/>
  <c r="AI55" i="9"/>
  <c r="AJ55" i="9"/>
  <c r="Z57" i="9"/>
  <c r="Z59" i="9"/>
  <c r="M60" i="9"/>
  <c r="M61" i="9" s="1"/>
  <c r="Q61" i="9"/>
  <c r="Z61" i="9"/>
  <c r="Z62" i="9"/>
  <c r="D9" i="6"/>
  <c r="F9" i="6"/>
  <c r="H9" i="6"/>
  <c r="M9" i="6"/>
  <c r="O9" i="6"/>
  <c r="Q9" i="6"/>
  <c r="R9" i="6"/>
  <c r="W9" i="6"/>
  <c r="X9" i="6"/>
  <c r="AV9" i="6"/>
  <c r="D12" i="6"/>
  <c r="F12" i="6"/>
  <c r="H12" i="6"/>
  <c r="I12" i="6"/>
  <c r="I13" i="6" s="1"/>
  <c r="M12" i="6"/>
  <c r="P12" i="6"/>
  <c r="E13" i="6"/>
  <c r="G13" i="6"/>
  <c r="J13" i="6"/>
  <c r="K13" i="6"/>
  <c r="L13" i="6"/>
  <c r="N13" i="6"/>
  <c r="S13" i="6"/>
  <c r="T13" i="6"/>
  <c r="U13" i="6"/>
  <c r="AC13" i="6" s="1"/>
  <c r="V13" i="6"/>
  <c r="AB13" i="6"/>
  <c r="D14" i="6"/>
  <c r="F14" i="6"/>
  <c r="H14" i="6"/>
  <c r="M14" i="6"/>
  <c r="O14" i="6"/>
  <c r="Q14" i="6"/>
  <c r="R14" i="6"/>
  <c r="W14" i="6"/>
  <c r="X14" i="6"/>
  <c r="AC14" i="6" s="1"/>
  <c r="AG14" i="6" s="1"/>
  <c r="AH14" i="6" s="1"/>
  <c r="D15" i="6"/>
  <c r="F15" i="6"/>
  <c r="H15" i="6"/>
  <c r="M15" i="6"/>
  <c r="O15" i="6"/>
  <c r="Q15" i="6"/>
  <c r="R15" i="6"/>
  <c r="W15" i="6"/>
  <c r="X15" i="6"/>
  <c r="AC15" i="6"/>
  <c r="AG15" i="6" s="1"/>
  <c r="D16" i="6"/>
  <c r="F16" i="6"/>
  <c r="H16" i="6"/>
  <c r="M16" i="6"/>
  <c r="O16" i="6"/>
  <c r="Q16" i="6"/>
  <c r="R16" i="6"/>
  <c r="U16" i="6"/>
  <c r="W16" i="6"/>
  <c r="X16" i="6"/>
  <c r="AB16" i="6"/>
  <c r="B18" i="6"/>
  <c r="C18" i="6"/>
  <c r="E18" i="6"/>
  <c r="G18" i="6"/>
  <c r="I18" i="6"/>
  <c r="J18" i="6"/>
  <c r="K18" i="6"/>
  <c r="L18" i="6"/>
  <c r="M18" i="6" s="1"/>
  <c r="N18" i="6"/>
  <c r="O18" i="6" s="1"/>
  <c r="P18" i="6"/>
  <c r="S18" i="6"/>
  <c r="T18" i="6"/>
  <c r="U18" i="6"/>
  <c r="V18" i="6"/>
  <c r="AB18" i="6"/>
  <c r="D19" i="6"/>
  <c r="F19" i="6"/>
  <c r="H19" i="6"/>
  <c r="M19" i="6"/>
  <c r="O19" i="6"/>
  <c r="Q19" i="6"/>
  <c r="R19" i="6"/>
  <c r="W19" i="6"/>
  <c r="X19" i="6"/>
  <c r="AC19" i="6" s="1"/>
  <c r="D20" i="6"/>
  <c r="F20" i="6"/>
  <c r="H20" i="6"/>
  <c r="M20" i="6"/>
  <c r="O20" i="6"/>
  <c r="Q20" i="6"/>
  <c r="R20" i="6"/>
  <c r="W20" i="6"/>
  <c r="X20" i="6"/>
  <c r="AC20" i="6" s="1"/>
  <c r="D21" i="6"/>
  <c r="F21" i="6"/>
  <c r="H21" i="6"/>
  <c r="M21" i="6"/>
  <c r="O21" i="6"/>
  <c r="Q21" i="6"/>
  <c r="R21" i="6"/>
  <c r="W21" i="6"/>
  <c r="X21" i="6"/>
  <c r="D22" i="6"/>
  <c r="F22" i="6"/>
  <c r="H22" i="6"/>
  <c r="M22" i="6"/>
  <c r="O22" i="6"/>
  <c r="Q22" i="6"/>
  <c r="R22" i="6"/>
  <c r="W22" i="6"/>
  <c r="X22" i="6"/>
  <c r="AC22" i="6"/>
  <c r="AG22" i="6" s="1"/>
  <c r="AH22" i="6" s="1"/>
  <c r="P23" i="6"/>
  <c r="Q23" i="6" s="1"/>
  <c r="AD23" i="6"/>
  <c r="D24" i="6"/>
  <c r="F24" i="6"/>
  <c r="H24" i="6"/>
  <c r="M24" i="6"/>
  <c r="O24" i="6"/>
  <c r="Q24" i="6"/>
  <c r="R24" i="6"/>
  <c r="W24" i="6"/>
  <c r="X24" i="6"/>
  <c r="AC24" i="6"/>
  <c r="AG24" i="6" s="1"/>
  <c r="AH24" i="6" s="1"/>
  <c r="B25" i="6"/>
  <c r="C25" i="6"/>
  <c r="G25" i="6"/>
  <c r="J25" i="6"/>
  <c r="K25" i="6"/>
  <c r="L25" i="6"/>
  <c r="N25" i="6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 s="1"/>
  <c r="M29" i="6"/>
  <c r="R29" i="6"/>
  <c r="W29" i="6"/>
  <c r="X29" i="6"/>
  <c r="AC29" i="6"/>
  <c r="AG29" i="6" s="1"/>
  <c r="AH29" i="6" s="1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 s="1"/>
  <c r="D32" i="6"/>
  <c r="F32" i="6"/>
  <c r="H32" i="6"/>
  <c r="M32" i="6"/>
  <c r="O32" i="6"/>
  <c r="Q32" i="6"/>
  <c r="R32" i="6"/>
  <c r="W32" i="6"/>
  <c r="X32" i="6"/>
  <c r="AD32" i="6" s="1"/>
  <c r="D33" i="6"/>
  <c r="F33" i="6"/>
  <c r="H33" i="6"/>
  <c r="M33" i="6"/>
  <c r="O33" i="6"/>
  <c r="Q33" i="6"/>
  <c r="R33" i="6"/>
  <c r="W33" i="6"/>
  <c r="X33" i="6"/>
  <c r="AC33" i="6"/>
  <c r="AG33" i="6" s="1"/>
  <c r="AH33" i="6" s="1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 s="1"/>
  <c r="M39" i="6"/>
  <c r="O39" i="6"/>
  <c r="Q39" i="6"/>
  <c r="R39" i="6"/>
  <c r="W39" i="6"/>
  <c r="X39" i="6"/>
  <c r="AD39" i="6" s="1"/>
  <c r="D40" i="6"/>
  <c r="F40" i="6"/>
  <c r="H40" i="6"/>
  <c r="I40" i="6"/>
  <c r="M40" i="6"/>
  <c r="R40" i="6"/>
  <c r="W40" i="6"/>
  <c r="X40" i="6"/>
  <c r="AC40" i="6"/>
  <c r="AG40" i="6" s="1"/>
  <c r="E41" i="6"/>
  <c r="E25" i="6" s="1"/>
  <c r="M41" i="6"/>
  <c r="O41" i="6"/>
  <c r="Q41" i="6"/>
  <c r="X41" i="6"/>
  <c r="M42" i="6"/>
  <c r="W42" i="6"/>
  <c r="X42" i="6"/>
  <c r="AC42" i="6" s="1"/>
  <c r="M43" i="6"/>
  <c r="X43" i="6"/>
  <c r="AC43" i="6"/>
  <c r="AG43" i="6" s="1"/>
  <c r="M44" i="6"/>
  <c r="P44" i="6"/>
  <c r="P25" i="6" s="1"/>
  <c r="N47" i="6"/>
  <c r="N48" i="6"/>
  <c r="N49" i="6"/>
  <c r="D8" i="5"/>
  <c r="F8" i="5"/>
  <c r="H8" i="5"/>
  <c r="M8" i="5"/>
  <c r="O8" i="5"/>
  <c r="Q8" i="5"/>
  <c r="R8" i="5"/>
  <c r="V8" i="5"/>
  <c r="W8" i="5"/>
  <c r="AB8" i="5"/>
  <c r="AF8" i="5" s="1"/>
  <c r="AF11" i="5" s="1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T12" i="5"/>
  <c r="U12" i="5"/>
  <c r="X12" i="5"/>
  <c r="AA12" i="5" s="1"/>
  <c r="Y12" i="5"/>
  <c r="AB12" i="5" s="1"/>
  <c r="AB11" i="5" s="1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AF14" i="5" s="1"/>
  <c r="AG14" i="5" s="1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AF19" i="5" s="1"/>
  <c r="D20" i="5"/>
  <c r="F20" i="5"/>
  <c r="H20" i="5"/>
  <c r="M20" i="5"/>
  <c r="O20" i="5"/>
  <c r="Q20" i="5"/>
  <c r="R20" i="5"/>
  <c r="V20" i="5"/>
  <c r="W20" i="5"/>
  <c r="AB20" i="5" s="1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AF22" i="5" s="1"/>
  <c r="D23" i="5"/>
  <c r="F23" i="5"/>
  <c r="H23" i="5"/>
  <c r="M23" i="5"/>
  <c r="O23" i="5"/>
  <c r="Q23" i="5"/>
  <c r="R23" i="5"/>
  <c r="V23" i="5"/>
  <c r="W23" i="5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G26" i="5"/>
  <c r="J26" i="5"/>
  <c r="L26" i="5"/>
  <c r="N26" i="5"/>
  <c r="P26" i="5"/>
  <c r="S26" i="5"/>
  <c r="T26" i="5"/>
  <c r="D27" i="5"/>
  <c r="F27" i="5"/>
  <c r="H27" i="5"/>
  <c r="M27" i="5"/>
  <c r="O27" i="5"/>
  <c r="Q27" i="5"/>
  <c r="R27" i="5"/>
  <c r="V27" i="5"/>
  <c r="W27" i="5"/>
  <c r="AC27" i="5" s="1"/>
  <c r="D28" i="5"/>
  <c r="F28" i="5"/>
  <c r="H28" i="5"/>
  <c r="M28" i="5"/>
  <c r="O28" i="5"/>
  <c r="Q28" i="5"/>
  <c r="R28" i="5"/>
  <c r="V28" i="5"/>
  <c r="W28" i="5"/>
  <c r="AC28" i="5" s="1"/>
  <c r="D29" i="5"/>
  <c r="F29" i="5"/>
  <c r="H29" i="5"/>
  <c r="M29" i="5"/>
  <c r="Q29" i="5"/>
  <c r="V29" i="5"/>
  <c r="W29" i="5"/>
  <c r="AC29" i="5" s="1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 s="1"/>
  <c r="D36" i="5"/>
  <c r="F36" i="5"/>
  <c r="H36" i="5"/>
  <c r="M36" i="5"/>
  <c r="O36" i="5"/>
  <c r="Q36" i="5"/>
  <c r="R36" i="5"/>
  <c r="V36" i="5"/>
  <c r="W36" i="5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 s="1"/>
  <c r="AC39" i="5" s="1"/>
  <c r="D40" i="5"/>
  <c r="F40" i="5"/>
  <c r="H40" i="5"/>
  <c r="M40" i="5"/>
  <c r="O40" i="5"/>
  <c r="Q40" i="5"/>
  <c r="R40" i="5"/>
  <c r="V40" i="5"/>
  <c r="W40" i="5"/>
  <c r="AB40" i="5" s="1"/>
  <c r="AC40" i="5" s="1"/>
  <c r="D41" i="5"/>
  <c r="F41" i="5"/>
  <c r="M41" i="5"/>
  <c r="Q41" i="5"/>
  <c r="R41" i="5"/>
  <c r="W41" i="5"/>
  <c r="I42" i="5"/>
  <c r="I26" i="5" s="1"/>
  <c r="R42" i="5"/>
  <c r="W42" i="5"/>
  <c r="K43" i="5"/>
  <c r="K26" i="5" s="1"/>
  <c r="R43" i="5"/>
  <c r="W43" i="5"/>
  <c r="U48" i="5"/>
  <c r="U49" i="5"/>
  <c r="U50" i="5"/>
  <c r="U51" i="5"/>
  <c r="B8" i="8"/>
  <c r="C8" i="8"/>
  <c r="L16" i="8"/>
  <c r="M16" i="8" s="1"/>
  <c r="T8" i="8"/>
  <c r="V8" i="8"/>
  <c r="AA8" i="8"/>
  <c r="D9" i="8"/>
  <c r="F9" i="8"/>
  <c r="H9" i="8"/>
  <c r="I9" i="8"/>
  <c r="M9" i="8"/>
  <c r="AL9" i="8"/>
  <c r="D10" i="8"/>
  <c r="F10" i="8"/>
  <c r="H10" i="8"/>
  <c r="M10" i="8"/>
  <c r="O10" i="8"/>
  <c r="Q10" i="8"/>
  <c r="R10" i="8"/>
  <c r="BY10" i="8"/>
  <c r="BY20" i="8" s="1"/>
  <c r="BY32" i="8" s="1"/>
  <c r="BY35" i="8" s="1"/>
  <c r="AI11" i="8"/>
  <c r="AL11" i="8"/>
  <c r="AL97" i="8" s="1"/>
  <c r="D12" i="8"/>
  <c r="F12" i="8"/>
  <c r="H12" i="8"/>
  <c r="M12" i="8"/>
  <c r="O12" i="8"/>
  <c r="Q12" i="8"/>
  <c r="R12" i="8"/>
  <c r="Y12" i="8"/>
  <c r="Z12" i="8" s="1"/>
  <c r="AL12" i="8"/>
  <c r="BY12" i="8"/>
  <c r="D13" i="8"/>
  <c r="F13" i="8"/>
  <c r="H13" i="8"/>
  <c r="M13" i="8"/>
  <c r="O13" i="8"/>
  <c r="AL13" i="8"/>
  <c r="BY13" i="8"/>
  <c r="BY23" i="8" s="1"/>
  <c r="BY29" i="8" s="1"/>
  <c r="BY38" i="8" s="1"/>
  <c r="D14" i="8"/>
  <c r="F14" i="8"/>
  <c r="H14" i="8"/>
  <c r="I14" i="8"/>
  <c r="O14" i="8" s="1"/>
  <c r="M14" i="8"/>
  <c r="S14" i="8"/>
  <c r="S15" i="8" s="1"/>
  <c r="AL14" i="8"/>
  <c r="BY14" i="8"/>
  <c r="BY30" i="8"/>
  <c r="E15" i="8"/>
  <c r="E8" i="8" s="1"/>
  <c r="G15" i="8"/>
  <c r="G8" i="8" s="1"/>
  <c r="J15" i="8"/>
  <c r="J8" i="8" s="1"/>
  <c r="K15" i="8"/>
  <c r="L15" i="8"/>
  <c r="N15" i="8"/>
  <c r="N8" i="8" s="1"/>
  <c r="U15" i="8"/>
  <c r="U8" i="8" s="1"/>
  <c r="W15" i="8"/>
  <c r="W8" i="8" s="1"/>
  <c r="D16" i="8"/>
  <c r="F16" i="8"/>
  <c r="H16" i="8"/>
  <c r="O16" i="8"/>
  <c r="P16" i="8"/>
  <c r="Q16" i="8" s="1"/>
  <c r="B17" i="8"/>
  <c r="C17" i="8"/>
  <c r="U17" i="8"/>
  <c r="V17" i="8"/>
  <c r="W17" i="8"/>
  <c r="D18" i="8"/>
  <c r="F18" i="8"/>
  <c r="H18" i="8"/>
  <c r="M18" i="8"/>
  <c r="O18" i="8"/>
  <c r="P18" i="8"/>
  <c r="BY18" i="8"/>
  <c r="D19" i="8"/>
  <c r="F19" i="8"/>
  <c r="H19" i="8"/>
  <c r="M19" i="8"/>
  <c r="O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 s="1"/>
  <c r="D23" i="8"/>
  <c r="F23" i="8"/>
  <c r="H23" i="8"/>
  <c r="M23" i="8"/>
  <c r="O23" i="8"/>
  <c r="D24" i="8"/>
  <c r="F24" i="8"/>
  <c r="H24" i="8"/>
  <c r="I24" i="8"/>
  <c r="O24" i="8" s="1"/>
  <c r="M24" i="8"/>
  <c r="A25" i="8"/>
  <c r="A31" i="8" s="1"/>
  <c r="A40" i="8" s="1"/>
  <c r="E25" i="8"/>
  <c r="E17" i="8" s="1"/>
  <c r="G25" i="8"/>
  <c r="G17" i="8" s="1"/>
  <c r="J25" i="8"/>
  <c r="J17" i="8" s="1"/>
  <c r="K25" i="8"/>
  <c r="L25" i="8"/>
  <c r="L17" i="8" s="1"/>
  <c r="N25" i="8"/>
  <c r="N17" i="8" s="1"/>
  <c r="U25" i="8"/>
  <c r="W25" i="8"/>
  <c r="D26" i="8"/>
  <c r="F26" i="8"/>
  <c r="H26" i="8"/>
  <c r="M26" i="8"/>
  <c r="O26" i="8"/>
  <c r="P26" i="8"/>
  <c r="Q26" i="8" s="1"/>
  <c r="B27" i="8"/>
  <c r="C27" i="8"/>
  <c r="L33" i="8"/>
  <c r="T27" i="8"/>
  <c r="V27" i="8"/>
  <c r="AA27" i="8"/>
  <c r="D28" i="8"/>
  <c r="F28" i="8"/>
  <c r="H28" i="8"/>
  <c r="M28" i="8"/>
  <c r="O28" i="8"/>
  <c r="Q28" i="8"/>
  <c r="R28" i="8"/>
  <c r="Y28" i="8"/>
  <c r="Z28" i="8" s="1"/>
  <c r="AL28" i="8"/>
  <c r="AN28" i="8" s="1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 s="1"/>
  <c r="G31" i="8"/>
  <c r="G27" i="8" s="1"/>
  <c r="I31" i="8"/>
  <c r="I27" i="8" s="1"/>
  <c r="J31" i="8"/>
  <c r="J27" i="8" s="1"/>
  <c r="K31" i="8"/>
  <c r="L31" i="8"/>
  <c r="N31" i="8"/>
  <c r="N27" i="8" s="1"/>
  <c r="S31" i="8"/>
  <c r="S27" i="8" s="1"/>
  <c r="U31" i="8"/>
  <c r="U27" i="8" s="1"/>
  <c r="W31" i="8"/>
  <c r="W27" i="8" s="1"/>
  <c r="D32" i="8"/>
  <c r="H32" i="8"/>
  <c r="M32" i="8"/>
  <c r="O32" i="8"/>
  <c r="Q32" i="8"/>
  <c r="R32" i="8"/>
  <c r="D33" i="8"/>
  <c r="F33" i="8"/>
  <c r="H33" i="8"/>
  <c r="O33" i="8"/>
  <c r="P33" i="8"/>
  <c r="Q33" i="8" s="1"/>
  <c r="B34" i="8"/>
  <c r="C34" i="8"/>
  <c r="S34" i="8"/>
  <c r="T34" i="8"/>
  <c r="U34" i="8"/>
  <c r="V34" i="8"/>
  <c r="W34" i="8"/>
  <c r="AA34" i="8"/>
  <c r="D35" i="8"/>
  <c r="F35" i="8"/>
  <c r="G35" i="8"/>
  <c r="N35" i="8"/>
  <c r="O35" i="8" s="1"/>
  <c r="Q35" i="8"/>
  <c r="R35" i="8"/>
  <c r="D36" i="8"/>
  <c r="F36" i="8"/>
  <c r="H36" i="8"/>
  <c r="R36" i="8"/>
  <c r="Z36" i="8"/>
  <c r="AI36" i="8"/>
  <c r="AM36" i="8"/>
  <c r="AO36" i="8" s="1"/>
  <c r="D37" i="8"/>
  <c r="F37" i="8"/>
  <c r="P37" i="8"/>
  <c r="D38" i="8"/>
  <c r="F38" i="8"/>
  <c r="H38" i="8"/>
  <c r="M38" i="8"/>
  <c r="AL38" i="8"/>
  <c r="D39" i="8"/>
  <c r="F39" i="8"/>
  <c r="G39" i="8"/>
  <c r="I39" i="8"/>
  <c r="I40" i="8" s="1"/>
  <c r="AL39" i="8"/>
  <c r="E40" i="8"/>
  <c r="E34" i="8" s="1"/>
  <c r="J40" i="8"/>
  <c r="J34" i="8" s="1"/>
  <c r="K40" i="8"/>
  <c r="L40" i="8"/>
  <c r="S40" i="8"/>
  <c r="U40" i="8"/>
  <c r="W40" i="8"/>
  <c r="D41" i="8"/>
  <c r="F41" i="8"/>
  <c r="L41" i="8"/>
  <c r="R41" i="8" s="1"/>
  <c r="Q41" i="8"/>
  <c r="D42" i="8"/>
  <c r="F42" i="8"/>
  <c r="H42" i="8"/>
  <c r="L42" i="8"/>
  <c r="M42" i="8" s="1"/>
  <c r="O42" i="8"/>
  <c r="P42" i="8"/>
  <c r="Q42" i="8" s="1"/>
  <c r="S42" i="8"/>
  <c r="U42" i="8"/>
  <c r="W42" i="8"/>
  <c r="W104" i="8" s="1"/>
  <c r="AA42" i="8"/>
  <c r="AA104" i="8" s="1"/>
  <c r="Y43" i="8"/>
  <c r="AI43" i="8" s="1"/>
  <c r="AW43" i="8" s="1"/>
  <c r="AL43" i="8"/>
  <c r="AI44" i="8"/>
  <c r="Z46" i="8"/>
  <c r="AM46" i="8" s="1"/>
  <c r="AI46" i="8"/>
  <c r="AL46" i="8"/>
  <c r="D47" i="8"/>
  <c r="F47" i="8"/>
  <c r="H47" i="8"/>
  <c r="M47" i="8"/>
  <c r="O47" i="8"/>
  <c r="Q47" i="8"/>
  <c r="R47" i="8"/>
  <c r="S47" i="8"/>
  <c r="Z47" i="8"/>
  <c r="AL47" i="8"/>
  <c r="AL105" i="8" s="1"/>
  <c r="BY47" i="8"/>
  <c r="W75" i="8"/>
  <c r="W120" i="8" s="1"/>
  <c r="M76" i="8"/>
  <c r="P76" i="8"/>
  <c r="Q76" i="8" s="1"/>
  <c r="P79" i="8"/>
  <c r="Z79" i="8"/>
  <c r="Y79" i="8" s="1"/>
  <c r="Y125" i="8" s="1"/>
  <c r="AO79" i="8"/>
  <c r="AO125" i="8" s="1"/>
  <c r="Z83" i="8"/>
  <c r="Z128" i="8" s="1"/>
  <c r="AH5" i="7"/>
  <c r="W7" i="7"/>
  <c r="X7" i="7"/>
  <c r="O8" i="7"/>
  <c r="D9" i="7"/>
  <c r="F9" i="7"/>
  <c r="H9" i="7"/>
  <c r="M9" i="7"/>
  <c r="N9" i="7"/>
  <c r="P9" i="7"/>
  <c r="Q9" i="7"/>
  <c r="D10" i="7"/>
  <c r="F10" i="7"/>
  <c r="H10" i="7"/>
  <c r="M10" i="7"/>
  <c r="N10" i="7"/>
  <c r="P10" i="7"/>
  <c r="R10" i="7"/>
  <c r="S10" i="7"/>
  <c r="Z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D13" i="7"/>
  <c r="F13" i="7"/>
  <c r="H13" i="7"/>
  <c r="M13" i="7"/>
  <c r="N13" i="7"/>
  <c r="P13" i="7"/>
  <c r="D14" i="7"/>
  <c r="F14" i="7"/>
  <c r="H14" i="7"/>
  <c r="I14" i="7"/>
  <c r="M14" i="7" s="1"/>
  <c r="N14" i="7"/>
  <c r="E15" i="7"/>
  <c r="E8" i="7" s="1"/>
  <c r="G15" i="7"/>
  <c r="G8" i="7" s="1"/>
  <c r="J15" i="7"/>
  <c r="J8" i="7" s="1"/>
  <c r="K15" i="7"/>
  <c r="L15" i="7"/>
  <c r="L8" i="7" s="1"/>
  <c r="V15" i="7"/>
  <c r="V8" i="7" s="1"/>
  <c r="Y15" i="7"/>
  <c r="Y8" i="7" s="1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 s="1"/>
  <c r="N19" i="7"/>
  <c r="D20" i="7"/>
  <c r="F20" i="7"/>
  <c r="H20" i="7"/>
  <c r="M20" i="7"/>
  <c r="N20" i="7"/>
  <c r="P20" i="7"/>
  <c r="R20" i="7"/>
  <c r="S20" i="7"/>
  <c r="T20" i="7"/>
  <c r="Z20" i="7"/>
  <c r="CB29" i="7"/>
  <c r="CB36" i="7" s="1"/>
  <c r="D21" i="7"/>
  <c r="F21" i="7"/>
  <c r="H21" i="7"/>
  <c r="S21" i="7"/>
  <c r="T21" i="7"/>
  <c r="AC21" i="7"/>
  <c r="AP21" i="7"/>
  <c r="AS21" i="7"/>
  <c r="AU21" i="7" s="1"/>
  <c r="D22" i="7"/>
  <c r="F22" i="7"/>
  <c r="H22" i="7"/>
  <c r="M22" i="7"/>
  <c r="N22" i="7"/>
  <c r="P22" i="7"/>
  <c r="R22" i="7"/>
  <c r="S22" i="7"/>
  <c r="T22" i="7"/>
  <c r="V22" i="7"/>
  <c r="AC22" i="7"/>
  <c r="AP22" i="7"/>
  <c r="AQ22" i="7" s="1"/>
  <c r="D23" i="7"/>
  <c r="F23" i="7"/>
  <c r="H23" i="7"/>
  <c r="M23" i="7"/>
  <c r="N23" i="7"/>
  <c r="P23" i="7"/>
  <c r="W23" i="7"/>
  <c r="X23" i="7" s="1"/>
  <c r="X17" i="7" s="1"/>
  <c r="CB23" i="7"/>
  <c r="CB31" i="7" s="1"/>
  <c r="CB39" i="7" s="1"/>
  <c r="D24" i="7"/>
  <c r="F24" i="7"/>
  <c r="F25" i="7" s="1"/>
  <c r="H24" i="7"/>
  <c r="I24" i="7"/>
  <c r="P24" i="7" s="1"/>
  <c r="N24" i="7"/>
  <c r="N25" i="7" s="1"/>
  <c r="A25" i="7"/>
  <c r="E25" i="7"/>
  <c r="E17" i="7" s="1"/>
  <c r="G25" i="7"/>
  <c r="G17" i="7" s="1"/>
  <c r="J25" i="7"/>
  <c r="J17" i="7" s="1"/>
  <c r="K25" i="7"/>
  <c r="L25" i="7"/>
  <c r="L17" i="7" s="1"/>
  <c r="O25" i="7"/>
  <c r="V25" i="7"/>
  <c r="Y25" i="7"/>
  <c r="Y17" i="7" s="1"/>
  <c r="D26" i="7"/>
  <c r="F26" i="7"/>
  <c r="H26" i="7"/>
  <c r="M26" i="7"/>
  <c r="N26" i="7"/>
  <c r="P26" i="7"/>
  <c r="CB26" i="7"/>
  <c r="CB34" i="7" s="1"/>
  <c r="B27" i="7"/>
  <c r="C27" i="7"/>
  <c r="D28" i="7"/>
  <c r="F28" i="7"/>
  <c r="H28" i="7"/>
  <c r="M28" i="7"/>
  <c r="N28" i="7"/>
  <c r="P28" i="7"/>
  <c r="R28" i="7"/>
  <c r="S28" i="7"/>
  <c r="AA28" i="7"/>
  <c r="AP28" i="7" s="1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M32" i="7" s="1"/>
  <c r="N32" i="7"/>
  <c r="E33" i="7"/>
  <c r="E27" i="7" s="1"/>
  <c r="G33" i="7"/>
  <c r="G27" i="7" s="1"/>
  <c r="J33" i="7"/>
  <c r="J27" i="7" s="1"/>
  <c r="K33" i="7"/>
  <c r="L33" i="7"/>
  <c r="L27" i="7" s="1"/>
  <c r="O33" i="7"/>
  <c r="O27" i="7" s="1"/>
  <c r="V33" i="7"/>
  <c r="V27" i="7" s="1"/>
  <c r="Y33" i="7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B148" i="7" s="1"/>
  <c r="AP38" i="7"/>
  <c r="AQ38" i="7" s="1"/>
  <c r="AR38" i="7" s="1"/>
  <c r="AS38" i="7" s="1"/>
  <c r="D39" i="7"/>
  <c r="F39" i="7"/>
  <c r="H39" i="7"/>
  <c r="M39" i="7"/>
  <c r="N39" i="7"/>
  <c r="N41" i="7" s="1"/>
  <c r="D40" i="7"/>
  <c r="F40" i="7"/>
  <c r="G40" i="7"/>
  <c r="H40" i="7" s="1"/>
  <c r="I40" i="7"/>
  <c r="I41" i="7" s="1"/>
  <c r="I35" i="7" s="1"/>
  <c r="P35" i="7" s="1"/>
  <c r="AJ40" i="7"/>
  <c r="AJ35" i="7" s="1"/>
  <c r="E41" i="7"/>
  <c r="E35" i="7" s="1"/>
  <c r="H35" i="7" s="1"/>
  <c r="J41" i="7"/>
  <c r="J35" i="7" s="1"/>
  <c r="K41" i="7"/>
  <c r="L41" i="7"/>
  <c r="V41" i="7"/>
  <c r="V35" i="7" s="1"/>
  <c r="Y41" i="7"/>
  <c r="D42" i="7"/>
  <c r="F42" i="7"/>
  <c r="M42" i="7"/>
  <c r="D52" i="7"/>
  <c r="F52" i="7"/>
  <c r="H52" i="7"/>
  <c r="I52" i="7"/>
  <c r="P52" i="7" s="1"/>
  <c r="N52" i="7"/>
  <c r="Q52" i="7"/>
  <c r="S52" i="7"/>
  <c r="W52" i="7"/>
  <c r="X52" i="7"/>
  <c r="Y52" i="7"/>
  <c r="Y153" i="7" s="1"/>
  <c r="AJ52" i="7"/>
  <c r="AJ153" i="7" s="1"/>
  <c r="AK52" i="7"/>
  <c r="AK153" i="7" s="1"/>
  <c r="M53" i="7"/>
  <c r="P53" i="7"/>
  <c r="R53" i="7"/>
  <c r="Z53" i="7"/>
  <c r="M54" i="7"/>
  <c r="P54" i="7"/>
  <c r="R54" i="7"/>
  <c r="Z54" i="7"/>
  <c r="AA54" i="7"/>
  <c r="M55" i="7"/>
  <c r="U55" i="7"/>
  <c r="AP55" i="7"/>
  <c r="AS55" i="7"/>
  <c r="V56" i="7"/>
  <c r="V52" i="7" s="1"/>
  <c r="Z56" i="7"/>
  <c r="AA56" i="7"/>
  <c r="AB56" i="7" s="1"/>
  <c r="AN56" i="7"/>
  <c r="AO56" i="7"/>
  <c r="D59" i="7"/>
  <c r="F59" i="7"/>
  <c r="H59" i="7"/>
  <c r="M59" i="7"/>
  <c r="N59" i="7"/>
  <c r="P59" i="7"/>
  <c r="AC59" i="7"/>
  <c r="AP59" i="7"/>
  <c r="T87" i="7"/>
  <c r="U87" i="7"/>
  <c r="X87" i="7"/>
  <c r="W87" i="7" s="1"/>
  <c r="M89" i="7"/>
  <c r="Q89" i="7"/>
  <c r="AC89" i="7"/>
  <c r="AA89" i="7" s="1"/>
  <c r="AC92" i="7"/>
  <c r="G65" i="3"/>
  <c r="O65" i="3" s="1"/>
  <c r="J39" i="3"/>
  <c r="F42" i="3"/>
  <c r="H42" i="3"/>
  <c r="G43" i="3"/>
  <c r="H43" i="3"/>
  <c r="I43" i="3"/>
  <c r="F47" i="3"/>
  <c r="G47" i="3"/>
  <c r="O47" i="3" s="1"/>
  <c r="E49" i="3"/>
  <c r="I49" i="3"/>
  <c r="I44" i="3" s="1"/>
  <c r="L49" i="3"/>
  <c r="L44" i="3" s="1"/>
  <c r="L45" i="3" s="1"/>
  <c r="F50" i="3"/>
  <c r="G50" i="3"/>
  <c r="H50" i="3"/>
  <c r="H49" i="3" s="1"/>
  <c r="H44" i="3" s="1"/>
  <c r="H45" i="3" s="1"/>
  <c r="F51" i="3"/>
  <c r="G51" i="3"/>
  <c r="AD87" i="7" s="1"/>
  <c r="AD167" i="7" s="1"/>
  <c r="F52" i="3"/>
  <c r="G52" i="3"/>
  <c r="O52" i="3" s="1"/>
  <c r="F63" i="3"/>
  <c r="H63" i="3"/>
  <c r="I63" i="3"/>
  <c r="L63" i="3"/>
  <c r="F64" i="3"/>
  <c r="G64" i="3"/>
  <c r="F65" i="3"/>
  <c r="E71" i="56"/>
  <c r="E73" i="56" s="1"/>
  <c r="F70" i="3"/>
  <c r="F71" i="56"/>
  <c r="F81" i="56" s="1"/>
  <c r="F83" i="56" s="1"/>
  <c r="L76" i="3"/>
  <c r="L77" i="3"/>
  <c r="L78" i="3"/>
  <c r="AM21" i="8"/>
  <c r="AN21" i="8" s="1"/>
  <c r="AM44" i="8"/>
  <c r="AN44" i="8" s="1"/>
  <c r="AO44" i="8" s="1"/>
  <c r="AJ17" i="7"/>
  <c r="Q23" i="11"/>
  <c r="Q19" i="11" s="1"/>
  <c r="Q59" i="7"/>
  <c r="AM35" i="8"/>
  <c r="AO35" i="8" s="1"/>
  <c r="AM12" i="8"/>
  <c r="AO12" i="8" s="1"/>
  <c r="AM13" i="8"/>
  <c r="AO13" i="8" s="1"/>
  <c r="Q16" i="11"/>
  <c r="Q13" i="11" s="1"/>
  <c r="AM75" i="8"/>
  <c r="AN75" i="8" s="1"/>
  <c r="AN120" i="8" s="1"/>
  <c r="AM38" i="8"/>
  <c r="AO38" i="8" s="1"/>
  <c r="AM32" i="8"/>
  <c r="AO32" i="8" s="1"/>
  <c r="AO28" i="8"/>
  <c r="AM29" i="8"/>
  <c r="AO29" i="8" s="1"/>
  <c r="AM9" i="8"/>
  <c r="AO9" i="8" s="1"/>
  <c r="AM43" i="8"/>
  <c r="AN43" i="8" s="1"/>
  <c r="AO43" i="8" s="1"/>
  <c r="AM31" i="8"/>
  <c r="AO31" i="8" s="1"/>
  <c r="AM30" i="8"/>
  <c r="AO30" i="8" s="1"/>
  <c r="AM39" i="8"/>
  <c r="AO39" i="8" s="1"/>
  <c r="AM40" i="8"/>
  <c r="AO40" i="8" s="1"/>
  <c r="AO16" i="8"/>
  <c r="AM10" i="8"/>
  <c r="AO10" i="8" s="1"/>
  <c r="AM41" i="8"/>
  <c r="AO41" i="8" s="1"/>
  <c r="AM34" i="8"/>
  <c r="AO34" i="8" s="1"/>
  <c r="AM27" i="8"/>
  <c r="AO27" i="8" s="1"/>
  <c r="AM33" i="8"/>
  <c r="AO33" i="8" s="1"/>
  <c r="AM15" i="8"/>
  <c r="AO15" i="8" s="1"/>
  <c r="AM14" i="8"/>
  <c r="AO14" i="8" s="1"/>
  <c r="AN25" i="8"/>
  <c r="AO25" i="8" s="1"/>
  <c r="AM8" i="8"/>
  <c r="AO8" i="8" s="1"/>
  <c r="AM78" i="8"/>
  <c r="AN97" i="7"/>
  <c r="AM81" i="8"/>
  <c r="AN81" i="8" s="1"/>
  <c r="AO81" i="8" s="1"/>
  <c r="AE78" i="8"/>
  <c r="AB24" i="9"/>
  <c r="AB15" i="9" s="1"/>
  <c r="Z15" i="9" s="1"/>
  <c r="AB24" i="72"/>
  <c r="AB14" i="72" s="1"/>
  <c r="AB17" i="72" s="1"/>
  <c r="F16" i="61"/>
  <c r="D71" i="56"/>
  <c r="D81" i="56" s="1"/>
  <c r="D84" i="56" s="1"/>
  <c r="B84" i="56" s="1"/>
  <c r="B23" i="63"/>
  <c r="B24" i="63" s="1"/>
  <c r="B25" i="63" s="1"/>
  <c r="AY105" i="8"/>
  <c r="M25" i="21"/>
  <c r="AC70" i="3"/>
  <c r="P75" i="8"/>
  <c r="R75" i="8" s="1"/>
  <c r="D20" i="32"/>
  <c r="AH23" i="11"/>
  <c r="AG19" i="11" s="1"/>
  <c r="AL75" i="8"/>
  <c r="AL120" i="8" s="1"/>
  <c r="M63" i="3"/>
  <c r="Q87" i="7"/>
  <c r="M26" i="21"/>
  <c r="AB19" i="72"/>
  <c r="AB9" i="72" s="1"/>
  <c r="O70" i="3"/>
  <c r="BB23" i="7"/>
  <c r="BB24" i="7" s="1"/>
  <c r="AV42" i="8"/>
  <c r="AV104" i="8" s="1"/>
  <c r="I78" i="8"/>
  <c r="I81" i="8"/>
  <c r="W36" i="7"/>
  <c r="W39" i="7"/>
  <c r="X39" i="7" s="1"/>
  <c r="W13" i="7"/>
  <c r="X13" i="7" s="1"/>
  <c r="W31" i="7"/>
  <c r="X31" i="7" s="1"/>
  <c r="W10" i="7"/>
  <c r="X10" i="7" s="1"/>
  <c r="W59" i="7"/>
  <c r="X59" i="7" s="1"/>
  <c r="W29" i="7"/>
  <c r="W9" i="7"/>
  <c r="W8" i="7" s="1"/>
  <c r="D21" i="32"/>
  <c r="AH16" i="11"/>
  <c r="AB19" i="9"/>
  <c r="AB9" i="9" s="1"/>
  <c r="Z9" i="9" s="1"/>
  <c r="I88" i="7"/>
  <c r="I91" i="7"/>
  <c r="M91" i="7" s="1"/>
  <c r="AX29" i="8"/>
  <c r="BB19" i="7"/>
  <c r="BB151" i="7" s="1"/>
  <c r="BB18" i="7"/>
  <c r="AX9" i="8"/>
  <c r="AX41" i="8"/>
  <c r="AX16" i="8"/>
  <c r="AV103" i="8"/>
  <c r="BB26" i="7"/>
  <c r="E98" i="7"/>
  <c r="AZ151" i="7"/>
  <c r="AZ152" i="7"/>
  <c r="AX13" i="8"/>
  <c r="AX14" i="8" s="1"/>
  <c r="AZ144" i="7"/>
  <c r="AV102" i="8"/>
  <c r="AV96" i="8"/>
  <c r="AY150" i="7"/>
  <c r="BC125" i="8"/>
  <c r="AV105" i="8"/>
  <c r="AZ154" i="7"/>
  <c r="AX105" i="8"/>
  <c r="AY144" i="7"/>
  <c r="AW9" i="7"/>
  <c r="AX144" i="7"/>
  <c r="AY152" i="7"/>
  <c r="AX152" i="7"/>
  <c r="AW42" i="7"/>
  <c r="AX154" i="7"/>
  <c r="AY154" i="7"/>
  <c r="AW59" i="7"/>
  <c r="AW154" i="7" s="1"/>
  <c r="W63" i="3"/>
  <c r="BM20" i="7"/>
  <c r="CJ150" i="7"/>
  <c r="CK150" i="7"/>
  <c r="CP150" i="7"/>
  <c r="CQ150" i="7"/>
  <c r="CO37" i="7"/>
  <c r="CP102" i="8"/>
  <c r="CO9" i="8"/>
  <c r="CR9" i="8"/>
  <c r="AG19" i="98"/>
  <c r="CO43" i="8"/>
  <c r="CM103" i="8"/>
  <c r="AJ8" i="123"/>
  <c r="AJ10" i="123"/>
  <c r="AK11" i="123"/>
  <c r="AK64" i="123"/>
  <c r="AK9" i="123"/>
  <c r="AJ12" i="123"/>
  <c r="AJ30" i="123" s="1"/>
  <c r="H64" i="123"/>
  <c r="AJ9" i="123"/>
  <c r="AK55" i="123"/>
  <c r="AJ55" i="123"/>
  <c r="AK51" i="123"/>
  <c r="AJ51" i="123"/>
  <c r="AK54" i="123"/>
  <c r="AJ54" i="123"/>
  <c r="AK57" i="123"/>
  <c r="AJ57" i="123"/>
  <c r="AK53" i="123"/>
  <c r="AK36" i="123"/>
  <c r="AJ36" i="123"/>
  <c r="AJ38" i="123"/>
  <c r="AK38" i="123"/>
  <c r="AK56" i="123"/>
  <c r="AJ56" i="123"/>
  <c r="AK41" i="123"/>
  <c r="AK59" i="123"/>
  <c r="AJ59" i="123"/>
  <c r="AJ39" i="123"/>
  <c r="AK39" i="123"/>
  <c r="AK60" i="123"/>
  <c r="AJ60" i="123"/>
  <c r="AK50" i="123"/>
  <c r="AK37" i="123"/>
  <c r="AJ37" i="123"/>
  <c r="AK35" i="123"/>
  <c r="AJ58" i="123"/>
  <c r="AK58" i="123"/>
  <c r="AK40" i="123"/>
  <c r="AJ40" i="123"/>
  <c r="AJ53" i="123"/>
  <c r="AJ50" i="123"/>
  <c r="AJ41" i="123"/>
  <c r="AJ35" i="123"/>
  <c r="AJ46" i="123"/>
  <c r="AJ45" i="123"/>
  <c r="AJ44" i="123"/>
  <c r="AJ47" i="123"/>
  <c r="AK44" i="123"/>
  <c r="AK47" i="123"/>
  <c r="AK45" i="123"/>
  <c r="AK63" i="123"/>
  <c r="DB12" i="19"/>
  <c r="V8" i="104"/>
  <c r="CM56" i="7"/>
  <c r="CL56" i="7" s="1"/>
  <c r="R31" i="105"/>
  <c r="V26" i="104"/>
  <c r="S36" i="105"/>
  <c r="S33" i="105"/>
  <c r="CP56" i="7" s="1"/>
  <c r="CO56" i="7" s="1"/>
  <c r="Z13" i="102"/>
  <c r="B66" i="123"/>
  <c r="DB25" i="7"/>
  <c r="DK27" i="8"/>
  <c r="W26" i="104"/>
  <c r="CU46" i="8" s="1"/>
  <c r="DF17" i="7"/>
  <c r="DF27" i="7"/>
  <c r="DC17" i="7"/>
  <c r="FV25" i="123"/>
  <c r="BW25" i="123"/>
  <c r="D70" i="118"/>
  <c r="D85" i="118"/>
  <c r="H42" i="128"/>
  <c r="C19" i="128"/>
  <c r="G18" i="128"/>
  <c r="Q18" i="128"/>
  <c r="F18" i="128"/>
  <c r="R18" i="128"/>
  <c r="K18" i="128"/>
  <c r="H18" i="128"/>
  <c r="D18" i="128"/>
  <c r="L38" i="128"/>
  <c r="AZ54" i="123"/>
  <c r="BI54" i="123" s="1"/>
  <c r="BR54" i="123" s="1"/>
  <c r="M35" i="104"/>
  <c r="N35" i="104" s="1"/>
  <c r="O35" i="104" s="1"/>
  <c r="H17" i="92"/>
  <c r="S35" i="104" s="1"/>
  <c r="T35" i="104" s="1"/>
  <c r="N27" i="104"/>
  <c r="BT43" i="8"/>
  <c r="X10" i="100"/>
  <c r="DH47" i="7" s="1"/>
  <c r="DG47" i="7" s="1"/>
  <c r="O25" i="8" l="1"/>
  <c r="BD45" i="6"/>
  <c r="L64" i="96"/>
  <c r="AC64" i="96"/>
  <c r="AX23" i="5"/>
  <c r="BM23" i="5"/>
  <c r="AX34" i="5"/>
  <c r="BM34" i="5"/>
  <c r="AO16" i="6"/>
  <c r="BH16" i="6"/>
  <c r="AP39" i="6"/>
  <c r="AT39" i="6" s="1"/>
  <c r="BH39" i="6"/>
  <c r="J63" i="96"/>
  <c r="AC63" i="96"/>
  <c r="AC62" i="96" s="1"/>
  <c r="AC65" i="96" s="1"/>
  <c r="AX41" i="5"/>
  <c r="BM41" i="5"/>
  <c r="AP29" i="6"/>
  <c r="AT29" i="6" s="1"/>
  <c r="BH29" i="6"/>
  <c r="T29" i="111"/>
  <c r="DH46" i="7" s="1"/>
  <c r="DG46" i="7" s="1"/>
  <c r="T47" i="97"/>
  <c r="DQ185" i="7"/>
  <c r="DQ75" i="7"/>
  <c r="DT47" i="7"/>
  <c r="DS47" i="7" s="1"/>
  <c r="L66" i="96"/>
  <c r="AC66" i="96"/>
  <c r="AP35" i="6"/>
  <c r="BH35" i="6"/>
  <c r="J53" i="96"/>
  <c r="AC53" i="96"/>
  <c r="AC52" i="96" s="1"/>
  <c r="CP24" i="17"/>
  <c r="EQ29" i="17"/>
  <c r="J11" i="96"/>
  <c r="J12" i="96" s="1"/>
  <c r="AC11" i="96"/>
  <c r="L26" i="96"/>
  <c r="AC26" i="96"/>
  <c r="AQ11" i="98"/>
  <c r="BA45" i="65"/>
  <c r="DY120" i="8"/>
  <c r="DY62" i="8" s="1"/>
  <c r="DR75" i="7"/>
  <c r="DR185" i="7"/>
  <c r="EN31" i="17"/>
  <c r="AN29" i="5"/>
  <c r="BM29" i="5"/>
  <c r="BH39" i="5"/>
  <c r="BM39" i="5"/>
  <c r="AP42" i="6"/>
  <c r="AT42" i="6" s="1"/>
  <c r="BH42" i="6"/>
  <c r="L43" i="96"/>
  <c r="AC43" i="96"/>
  <c r="L21" i="96"/>
  <c r="AC21" i="96"/>
  <c r="AN15" i="5"/>
  <c r="BM15" i="5"/>
  <c r="B26" i="111"/>
  <c r="Z30" i="111"/>
  <c r="CD46" i="3"/>
  <c r="CD44" i="3" s="1"/>
  <c r="DR167" i="7"/>
  <c r="DR72" i="7" s="1"/>
  <c r="BS65" i="32"/>
  <c r="BU65" i="32" s="1"/>
  <c r="BU72" i="32" s="1"/>
  <c r="AZ45" i="65"/>
  <c r="DV120" i="8"/>
  <c r="AQ12" i="98"/>
  <c r="AQ27" i="98" s="1"/>
  <c r="BD45" i="65"/>
  <c r="AY37" i="66"/>
  <c r="DZ120" i="8"/>
  <c r="DZ62" i="8" s="1"/>
  <c r="DT185" i="7"/>
  <c r="DT75" i="7"/>
  <c r="H44" i="143"/>
  <c r="AX14" i="5"/>
  <c r="BM14" i="5"/>
  <c r="AX40" i="5"/>
  <c r="BM40" i="5"/>
  <c r="BC37" i="6"/>
  <c r="BG37" i="6" s="1"/>
  <c r="BH37" i="6"/>
  <c r="J31" i="96"/>
  <c r="AC31" i="96"/>
  <c r="AP28" i="6"/>
  <c r="AT28" i="6" s="1"/>
  <c r="BH28" i="6"/>
  <c r="BH25" i="6" s="1"/>
  <c r="E53" i="97"/>
  <c r="Z35" i="111"/>
  <c r="EC45" i="7"/>
  <c r="DW45" i="7"/>
  <c r="DV45" i="7" s="1"/>
  <c r="T34" i="111"/>
  <c r="DM22" i="8" s="1"/>
  <c r="DL22" i="8" s="1"/>
  <c r="T52" i="97"/>
  <c r="AP12" i="98"/>
  <c r="AP27" i="98" s="1"/>
  <c r="AX37" i="66"/>
  <c r="DW120" i="8"/>
  <c r="DW62" i="8" s="1"/>
  <c r="BL11" i="5"/>
  <c r="BL46" i="5" s="1"/>
  <c r="BL47" i="5" s="1"/>
  <c r="DU185" i="7"/>
  <c r="AY13" i="64" s="1"/>
  <c r="DU75" i="7"/>
  <c r="K44" i="143"/>
  <c r="DQ157" i="7"/>
  <c r="BS18" i="61"/>
  <c r="AC36" i="105"/>
  <c r="DY46" i="8" s="1"/>
  <c r="DY42" i="8" s="1"/>
  <c r="DT56" i="7"/>
  <c r="DS56" i="7" s="1"/>
  <c r="AB36" i="105"/>
  <c r="DV46" i="8" s="1"/>
  <c r="DQ56" i="7"/>
  <c r="DP56" i="7" s="1"/>
  <c r="EH32" i="8"/>
  <c r="EG32" i="8" s="1"/>
  <c r="EB32" i="8"/>
  <c r="EA32" i="8" s="1"/>
  <c r="EH35" i="8"/>
  <c r="EG35" i="8" s="1"/>
  <c r="EB35" i="8"/>
  <c r="EA35" i="8" s="1"/>
  <c r="AR14" i="65"/>
  <c r="DX13" i="8"/>
  <c r="BV46" i="61"/>
  <c r="BX46" i="61"/>
  <c r="CD41" i="3"/>
  <c r="AX36" i="64"/>
  <c r="BG46" i="65"/>
  <c r="BI46" i="65"/>
  <c r="DW63" i="123"/>
  <c r="FV63" i="123"/>
  <c r="N69" i="123"/>
  <c r="P70" i="123"/>
  <c r="N70" i="123" s="1"/>
  <c r="DV63" i="123"/>
  <c r="BX43" i="123"/>
  <c r="BX63" i="123"/>
  <c r="CJ63" i="123" s="1"/>
  <c r="EI63" i="123" s="1"/>
  <c r="AJ63" i="123"/>
  <c r="BW63" i="123"/>
  <c r="AI45" i="123"/>
  <c r="E43" i="143"/>
  <c r="G43" i="143" s="1"/>
  <c r="J45" i="143"/>
  <c r="I45" i="143"/>
  <c r="H45" i="143" s="1"/>
  <c r="CT51" i="8"/>
  <c r="CT109" i="8" s="1"/>
  <c r="DW140" i="8"/>
  <c r="BD14" i="65"/>
  <c r="DV143" i="8"/>
  <c r="AZ17" i="65"/>
  <c r="EF47" i="8"/>
  <c r="DH144" i="8"/>
  <c r="CU40" i="8"/>
  <c r="DW143" i="8"/>
  <c r="BD17" i="65"/>
  <c r="CU140" i="8"/>
  <c r="CT99" i="8"/>
  <c r="DD96" i="8"/>
  <c r="DE33" i="7"/>
  <c r="DE27" i="7" s="1"/>
  <c r="CV190" i="7"/>
  <c r="AB60" i="96"/>
  <c r="AA60" i="96"/>
  <c r="AA44" i="96"/>
  <c r="P54" i="96"/>
  <c r="CT43" i="8"/>
  <c r="AV33" i="66"/>
  <c r="DR188" i="7"/>
  <c r="BS17" i="61"/>
  <c r="BS15" i="61" s="1"/>
  <c r="BR46" i="61"/>
  <c r="BT46" i="61"/>
  <c r="BC46" i="65"/>
  <c r="BE46" i="65"/>
  <c r="DS48" i="7"/>
  <c r="DT43" i="7"/>
  <c r="DC20" i="8"/>
  <c r="DI40" i="8"/>
  <c r="DR10" i="8"/>
  <c r="DS97" i="8"/>
  <c r="BV61" i="7"/>
  <c r="BV158" i="7" s="1"/>
  <c r="F45" i="117"/>
  <c r="F54" i="117" s="1"/>
  <c r="AG7" i="102"/>
  <c r="BO18" i="61"/>
  <c r="AH13" i="102"/>
  <c r="DY142" i="8"/>
  <c r="BA16" i="65" s="1"/>
  <c r="AH7" i="102"/>
  <c r="BP18" i="61"/>
  <c r="AG13" i="102"/>
  <c r="DV142" i="8"/>
  <c r="AZ16" i="65" s="1"/>
  <c r="DF46" i="8"/>
  <c r="AG31" i="104"/>
  <c r="DQ44" i="8"/>
  <c r="AH36" i="104"/>
  <c r="DQ43" i="8"/>
  <c r="AH35" i="104"/>
  <c r="R110" i="68"/>
  <c r="R109" i="68"/>
  <c r="R111" i="68"/>
  <c r="R108" i="68"/>
  <c r="J109" i="68"/>
  <c r="J110" i="68"/>
  <c r="J108" i="68"/>
  <c r="J111" i="68"/>
  <c r="T109" i="68"/>
  <c r="T111" i="68"/>
  <c r="T108" i="68"/>
  <c r="T110" i="68"/>
  <c r="N108" i="68"/>
  <c r="N111" i="68"/>
  <c r="N109" i="68"/>
  <c r="N110" i="68"/>
  <c r="H108" i="68"/>
  <c r="H109" i="68"/>
  <c r="H111" i="68"/>
  <c r="H110" i="68"/>
  <c r="L108" i="68"/>
  <c r="L111" i="68"/>
  <c r="L110" i="68"/>
  <c r="L109" i="68"/>
  <c r="P109" i="68"/>
  <c r="P110" i="68"/>
  <c r="P108" i="68"/>
  <c r="P111" i="68"/>
  <c r="DS155" i="7"/>
  <c r="DP155" i="7"/>
  <c r="DX106" i="8"/>
  <c r="DY143" i="8"/>
  <c r="BA17" i="65"/>
  <c r="DY140" i="8"/>
  <c r="BA14" i="65"/>
  <c r="DD33" i="7"/>
  <c r="DD27" i="7" s="1"/>
  <c r="DR157" i="7"/>
  <c r="AX17" i="64"/>
  <c r="DF157" i="7"/>
  <c r="DQ187" i="7"/>
  <c r="BO16" i="61"/>
  <c r="DP54" i="7"/>
  <c r="BE19" i="61"/>
  <c r="BF19" i="61" s="1"/>
  <c r="CR20" i="7"/>
  <c r="CV155" i="7"/>
  <c r="DT187" i="7"/>
  <c r="BP16" i="61"/>
  <c r="CQ16" i="8"/>
  <c r="CQ103" i="8" s="1"/>
  <c r="AM16" i="65"/>
  <c r="DF43" i="8"/>
  <c r="H29" i="123"/>
  <c r="FB29" i="123"/>
  <c r="DI103" i="8"/>
  <c r="CW35" i="8"/>
  <c r="AQ17" i="64"/>
  <c r="AQ14" i="64" s="1"/>
  <c r="DJ143" i="8"/>
  <c r="AM21" i="66"/>
  <c r="M38" i="128"/>
  <c r="AL17" i="64"/>
  <c r="K38" i="128"/>
  <c r="DC15" i="7"/>
  <c r="DC8" i="7" s="1"/>
  <c r="AG18" i="98"/>
  <c r="AI18" i="98" s="1"/>
  <c r="AM18" i="98" s="1"/>
  <c r="BW33" i="19"/>
  <c r="CO54" i="7"/>
  <c r="DC19" i="8"/>
  <c r="DC102" i="8" s="1"/>
  <c r="F38" i="128"/>
  <c r="CT17" i="7"/>
  <c r="DB33" i="7"/>
  <c r="AJ52" i="123"/>
  <c r="AI47" i="123"/>
  <c r="BX48" i="123"/>
  <c r="CU96" i="8"/>
  <c r="DA25" i="7"/>
  <c r="AI11" i="123"/>
  <c r="AI29" i="123" s="1"/>
  <c r="BJ46" i="123"/>
  <c r="BO46" i="3"/>
  <c r="BO44" i="3" s="1"/>
  <c r="P38" i="128"/>
  <c r="G42" i="128"/>
  <c r="CT189" i="7"/>
  <c r="AK43" i="123"/>
  <c r="AK48" i="123"/>
  <c r="AM18" i="64"/>
  <c r="CG169" i="7"/>
  <c r="CF169" i="7" s="1"/>
  <c r="J5" i="129"/>
  <c r="J9" i="129" s="1"/>
  <c r="J13" i="129" s="1"/>
  <c r="J15" i="129" s="1"/>
  <c r="J19" i="129" s="1"/>
  <c r="R38" i="128"/>
  <c r="Q38" i="128"/>
  <c r="H38" i="128"/>
  <c r="DD65" i="8"/>
  <c r="DD143" i="8"/>
  <c r="I10" i="103"/>
  <c r="AM17" i="65"/>
  <c r="DW43" i="123"/>
  <c r="FV43" i="123"/>
  <c r="J30" i="91"/>
  <c r="J28" i="91" s="1"/>
  <c r="BP43" i="7"/>
  <c r="CU53" i="7"/>
  <c r="DI15" i="8"/>
  <c r="DD54" i="7"/>
  <c r="CZ46" i="8"/>
  <c r="AJ64" i="123"/>
  <c r="FT55" i="123"/>
  <c r="CZ43" i="8"/>
  <c r="BU62" i="3"/>
  <c r="T45" i="96" s="1"/>
  <c r="T58" i="96" s="1"/>
  <c r="CX50" i="7"/>
  <c r="DC32" i="8"/>
  <c r="DE97" i="8"/>
  <c r="DE144" i="8" s="1"/>
  <c r="DC43" i="8"/>
  <c r="BK65" i="32"/>
  <c r="CS26" i="123"/>
  <c r="CW10" i="123"/>
  <c r="FU13" i="123"/>
  <c r="DJ46" i="7"/>
  <c r="V50" i="96"/>
  <c r="DO37" i="8"/>
  <c r="R41" i="128"/>
  <c r="BW39" i="19"/>
  <c r="CF53" i="7"/>
  <c r="K19" i="128"/>
  <c r="AN14" i="5"/>
  <c r="DV26" i="123"/>
  <c r="DH96" i="8"/>
  <c r="DH138" i="8" s="1"/>
  <c r="AQ14" i="66" s="1"/>
  <c r="CV97" i="8"/>
  <c r="CV144" i="8" s="1"/>
  <c r="CU138" i="8"/>
  <c r="AM12" i="65" s="1"/>
  <c r="CH75" i="123"/>
  <c r="EG75" i="123" s="1"/>
  <c r="GF75" i="123" s="1"/>
  <c r="DA54" i="7"/>
  <c r="M30" i="128"/>
  <c r="Q41" i="128"/>
  <c r="B17" i="128"/>
  <c r="R19" i="128"/>
  <c r="Q19" i="128"/>
  <c r="CX9" i="7"/>
  <c r="DA106" i="8"/>
  <c r="AP17" i="65" s="1"/>
  <c r="DH8" i="8"/>
  <c r="BW23" i="19"/>
  <c r="AM20" i="66"/>
  <c r="K30" i="128"/>
  <c r="L41" i="128"/>
  <c r="N41" i="128" s="1"/>
  <c r="F19" i="128"/>
  <c r="P19" i="128"/>
  <c r="CH73" i="123"/>
  <c r="EG73" i="123" s="1"/>
  <c r="CS56" i="7"/>
  <c r="CR56" i="7" s="1"/>
  <c r="DD64" i="8"/>
  <c r="DE100" i="8"/>
  <c r="CJ43" i="123"/>
  <c r="EI43" i="123" s="1"/>
  <c r="BW18" i="19"/>
  <c r="CZ44" i="8"/>
  <c r="P41" i="128"/>
  <c r="G19" i="128"/>
  <c r="M19" i="128"/>
  <c r="DE43" i="7"/>
  <c r="X8" i="104"/>
  <c r="DA60" i="7"/>
  <c r="DA157" i="7" s="1"/>
  <c r="DA13" i="7"/>
  <c r="DA15" i="7" s="1"/>
  <c r="AF18" i="98"/>
  <c r="AH20" i="64"/>
  <c r="AU28" i="123"/>
  <c r="DC28" i="123"/>
  <c r="DD41" i="7"/>
  <c r="DD35" i="7" s="1"/>
  <c r="CU54" i="7"/>
  <c r="C11" i="67"/>
  <c r="C39" i="118"/>
  <c r="AH19" i="64"/>
  <c r="AT10" i="10"/>
  <c r="CF8" i="135" s="1"/>
  <c r="B71" i="116"/>
  <c r="B72" i="116" s="1"/>
  <c r="CL23" i="7"/>
  <c r="CL25" i="7" s="1"/>
  <c r="DZ25" i="7" s="1"/>
  <c r="X42" i="123"/>
  <c r="AI45" i="65"/>
  <c r="FU9" i="123"/>
  <c r="AR44" i="123"/>
  <c r="CW10" i="8"/>
  <c r="CT32" i="8"/>
  <c r="DT12" i="19"/>
  <c r="CO103" i="8"/>
  <c r="CP60" i="7"/>
  <c r="CP189" i="7" s="1"/>
  <c r="BA48" i="123"/>
  <c r="DI46" i="123"/>
  <c r="FU25" i="123"/>
  <c r="FU26" i="123" s="1"/>
  <c r="CI10" i="123"/>
  <c r="EH10" i="123" s="1"/>
  <c r="GG10" i="123" s="1"/>
  <c r="CS42" i="8"/>
  <c r="CS104" i="8" s="1"/>
  <c r="CS141" i="8" s="1"/>
  <c r="FR53" i="123"/>
  <c r="DS25" i="123"/>
  <c r="CG67" i="123"/>
  <c r="EF67" i="123" s="1"/>
  <c r="GE67" i="123" s="1"/>
  <c r="CM14" i="19"/>
  <c r="CM13" i="19" s="1"/>
  <c r="CO14" i="19"/>
  <c r="CO13" i="19" s="1"/>
  <c r="AG59" i="123"/>
  <c r="P40" i="128"/>
  <c r="CQ59" i="123"/>
  <c r="L40" i="128"/>
  <c r="N40" i="128" s="1"/>
  <c r="CI60" i="7"/>
  <c r="CI157" i="7" s="1"/>
  <c r="BD25" i="8"/>
  <c r="CF14" i="19"/>
  <c r="CF13" i="19" s="1"/>
  <c r="CJ13" i="19"/>
  <c r="BJ14" i="19"/>
  <c r="BJ13" i="19" s="1"/>
  <c r="CQ10" i="8"/>
  <c r="B39" i="118"/>
  <c r="B40" i="118" s="1"/>
  <c r="FU28" i="123"/>
  <c r="CM49" i="19"/>
  <c r="CS47" i="8" s="1"/>
  <c r="CS105" i="8" s="1"/>
  <c r="W18" i="6"/>
  <c r="CK14" i="19"/>
  <c r="CK13" i="19" s="1"/>
  <c r="CH14" i="19"/>
  <c r="CH13" i="19" s="1"/>
  <c r="CI37" i="123"/>
  <c r="EH37" i="123" s="1"/>
  <c r="GG37" i="123" s="1"/>
  <c r="CI59" i="123"/>
  <c r="EH59" i="123" s="1"/>
  <c r="GG59" i="123" s="1"/>
  <c r="CI51" i="123"/>
  <c r="EH51" i="123" s="1"/>
  <c r="GG51" i="123" s="1"/>
  <c r="BG14" i="19"/>
  <c r="V31" i="104"/>
  <c r="AK64" i="32"/>
  <c r="O27" i="8"/>
  <c r="AM9" i="71"/>
  <c r="P25" i="71" s="1"/>
  <c r="G31" i="65"/>
  <c r="AE66" i="123"/>
  <c r="O57" i="126" s="1"/>
  <c r="CC14" i="19"/>
  <c r="CC13" i="19" s="1"/>
  <c r="CS65" i="8"/>
  <c r="CS64" i="8" s="1"/>
  <c r="CJ8" i="123"/>
  <c r="EI8" i="123" s="1"/>
  <c r="GH8" i="123" s="1"/>
  <c r="FV29" i="123"/>
  <c r="AX12" i="123"/>
  <c r="AK42" i="19"/>
  <c r="AO42" i="19"/>
  <c r="CK15" i="7"/>
  <c r="CI53" i="123"/>
  <c r="EH53" i="123" s="1"/>
  <c r="GG53" i="123" s="1"/>
  <c r="B56" i="19"/>
  <c r="N20" i="125"/>
  <c r="AC22" i="125"/>
  <c r="CL48" i="7"/>
  <c r="CL50" i="7" s="1"/>
  <c r="CI41" i="123"/>
  <c r="EH41" i="123" s="1"/>
  <c r="BO61" i="8"/>
  <c r="BO63" i="8" s="1"/>
  <c r="CN46" i="8"/>
  <c r="BM34" i="8"/>
  <c r="CI36" i="7"/>
  <c r="BM25" i="123"/>
  <c r="CN49" i="122"/>
  <c r="Z52" i="123"/>
  <c r="AU52" i="123"/>
  <c r="DV43" i="123"/>
  <c r="FT40" i="123"/>
  <c r="ES52" i="123"/>
  <c r="FK43" i="123"/>
  <c r="CT101" i="8"/>
  <c r="DD150" i="7"/>
  <c r="CX150" i="7"/>
  <c r="DA150" i="7"/>
  <c r="AM47" i="95"/>
  <c r="DW24" i="17"/>
  <c r="DW39" i="17" s="1"/>
  <c r="DW31" i="17"/>
  <c r="DW40" i="17" s="1"/>
  <c r="W25" i="105"/>
  <c r="CY148" i="7"/>
  <c r="DG17" i="8"/>
  <c r="CP26" i="19"/>
  <c r="CW26" i="19" s="1"/>
  <c r="AI10" i="123"/>
  <c r="C39" i="116"/>
  <c r="B34" i="114"/>
  <c r="O9" i="100"/>
  <c r="CI50" i="123"/>
  <c r="B51" i="114"/>
  <c r="CR15" i="8"/>
  <c r="CR8" i="8" s="1"/>
  <c r="CP100" i="8"/>
  <c r="CI35" i="123"/>
  <c r="EH35" i="123" s="1"/>
  <c r="GG35" i="123" s="1"/>
  <c r="B17" i="114"/>
  <c r="CS96" i="8"/>
  <c r="CS138" i="8" s="1"/>
  <c r="AJ14" i="66" s="1"/>
  <c r="CI25" i="7"/>
  <c r="DW29" i="123"/>
  <c r="G67" i="114"/>
  <c r="CQ20" i="8"/>
  <c r="CQ35" i="8"/>
  <c r="Q52" i="123"/>
  <c r="BX52" i="123"/>
  <c r="BV56" i="123"/>
  <c r="DV48" i="123"/>
  <c r="FT38" i="123"/>
  <c r="FT44" i="123"/>
  <c r="FT53" i="123"/>
  <c r="FT57" i="123"/>
  <c r="CU100" i="8"/>
  <c r="CT20" i="8"/>
  <c r="T66" i="123"/>
  <c r="AI8" i="123"/>
  <c r="AI12" i="123"/>
  <c r="DI31" i="8"/>
  <c r="DI27" i="8" s="1"/>
  <c r="BK46" i="61"/>
  <c r="DW26" i="123"/>
  <c r="CN23" i="8"/>
  <c r="CN25" i="8" s="1"/>
  <c r="CN103" i="8"/>
  <c r="CN32" i="8"/>
  <c r="FT22" i="123"/>
  <c r="DW38" i="17"/>
  <c r="DH14" i="19"/>
  <c r="DH13" i="19" s="1"/>
  <c r="DK8" i="8"/>
  <c r="AJ17" i="64"/>
  <c r="AJ14" i="64" s="1"/>
  <c r="CO15" i="8"/>
  <c r="CJ45" i="123"/>
  <c r="EI45" i="123" s="1"/>
  <c r="GH45" i="123" s="1"/>
  <c r="CJ44" i="123"/>
  <c r="EI44" i="123" s="1"/>
  <c r="GH44" i="123" s="1"/>
  <c r="AJ48" i="123"/>
  <c r="CI56" i="123"/>
  <c r="EH56" i="123" s="1"/>
  <c r="GG56" i="123" s="1"/>
  <c r="N66" i="125"/>
  <c r="CI49" i="123"/>
  <c r="EH49" i="123" s="1"/>
  <c r="GG49" i="123" s="1"/>
  <c r="DI34" i="8"/>
  <c r="B44" i="118"/>
  <c r="B45" i="118" s="1"/>
  <c r="CO25" i="8"/>
  <c r="C34" i="118"/>
  <c r="C35" i="118" s="1"/>
  <c r="CV52" i="7"/>
  <c r="CV153" i="7" s="1"/>
  <c r="CV188" i="7" s="1"/>
  <c r="CU42" i="8"/>
  <c r="CU104" i="8" s="1"/>
  <c r="CI44" i="123"/>
  <c r="EH44" i="123" s="1"/>
  <c r="GG44" i="123" s="1"/>
  <c r="G48" i="61"/>
  <c r="H48" i="61"/>
  <c r="O27" i="123"/>
  <c r="O28" i="123"/>
  <c r="CY146" i="7"/>
  <c r="CY191" i="7" s="1"/>
  <c r="CX20" i="7"/>
  <c r="CX146" i="7" s="1"/>
  <c r="DC16" i="8"/>
  <c r="DC103" i="8" s="1"/>
  <c r="DD103" i="8"/>
  <c r="DA16" i="7"/>
  <c r="DA152" i="7" s="1"/>
  <c r="DB152" i="7"/>
  <c r="DB50" i="7"/>
  <c r="DA48" i="7"/>
  <c r="DA50" i="7" s="1"/>
  <c r="BK14" i="19"/>
  <c r="AV14" i="19"/>
  <c r="AW14" i="19" s="1"/>
  <c r="AW13" i="19" s="1"/>
  <c r="R14" i="92"/>
  <c r="R16" i="92" s="1"/>
  <c r="AC27" i="104" s="1"/>
  <c r="AC31" i="104" s="1"/>
  <c r="U8" i="92"/>
  <c r="X8" i="92" s="1"/>
  <c r="DJ9" i="123"/>
  <c r="DJ26" i="123" s="1"/>
  <c r="EZ9" i="123"/>
  <c r="BK28" i="123"/>
  <c r="BK27" i="123"/>
  <c r="AI22" i="123"/>
  <c r="H28" i="123"/>
  <c r="AH38" i="123"/>
  <c r="AH51" i="95"/>
  <c r="AH42" i="95"/>
  <c r="AJ42" i="95" s="1"/>
  <c r="AN42" i="95" s="1"/>
  <c r="CU102" i="8"/>
  <c r="CT19" i="8"/>
  <c r="CT102" i="8" s="1"/>
  <c r="T11" i="104"/>
  <c r="BZ54" i="7"/>
  <c r="T36" i="104"/>
  <c r="BX44" i="8"/>
  <c r="BV44" i="8" s="1"/>
  <c r="AS14" i="65"/>
  <c r="DG140" i="8"/>
  <c r="CX45" i="7"/>
  <c r="CX43" i="7" s="1"/>
  <c r="CY144" i="7"/>
  <c r="BG14" i="61" s="1"/>
  <c r="CX39" i="7"/>
  <c r="CX41" i="7" s="1"/>
  <c r="CX35" i="7" s="1"/>
  <c r="CY149" i="7"/>
  <c r="DD40" i="8"/>
  <c r="DD34" i="8"/>
  <c r="DD42" i="8"/>
  <c r="DD104" i="8" s="1"/>
  <c r="AR15" i="65" s="1"/>
  <c r="AR13" i="65" s="1"/>
  <c r="DC44" i="8"/>
  <c r="DB41" i="7"/>
  <c r="DF16" i="8"/>
  <c r="DF103" i="8" s="1"/>
  <c r="DG103" i="8"/>
  <c r="DA109" i="8"/>
  <c r="AP14" i="65" s="1"/>
  <c r="AQ14" i="65" s="1"/>
  <c r="CZ51" i="8"/>
  <c r="CZ109" i="8" s="1"/>
  <c r="F40" i="128"/>
  <c r="G40" i="128"/>
  <c r="B39" i="128"/>
  <c r="DT14" i="19"/>
  <c r="DV14" i="19" s="1"/>
  <c r="DV13" i="19" s="1"/>
  <c r="EC13" i="19" s="1"/>
  <c r="DI14" i="19"/>
  <c r="DI13" i="19" s="1"/>
  <c r="CY43" i="7"/>
  <c r="DI10" i="8"/>
  <c r="DI97" i="8" s="1"/>
  <c r="CV157" i="7"/>
  <c r="CX19" i="7"/>
  <c r="CX151" i="7" s="1"/>
  <c r="DD60" i="7"/>
  <c r="DD157" i="7" s="1"/>
  <c r="BC16" i="61"/>
  <c r="AO46" i="65"/>
  <c r="AS31" i="8"/>
  <c r="AS27" i="8" s="1"/>
  <c r="AT29" i="8"/>
  <c r="AT31" i="8" s="1"/>
  <c r="M55" i="123"/>
  <c r="V55" i="123" s="1"/>
  <c r="AE55" i="123" s="1"/>
  <c r="O46" i="126" s="1"/>
  <c r="BS75" i="123"/>
  <c r="O9" i="123"/>
  <c r="CV100" i="8"/>
  <c r="CV17" i="8"/>
  <c r="CT23" i="8"/>
  <c r="CT25" i="8" s="1"/>
  <c r="CV96" i="8"/>
  <c r="CV138" i="8" s="1"/>
  <c r="AK14" i="66" s="1"/>
  <c r="CV65" i="8"/>
  <c r="CV64" i="8" s="1"/>
  <c r="CT9" i="8"/>
  <c r="CR36" i="7"/>
  <c r="CT35" i="7"/>
  <c r="CZ52" i="7"/>
  <c r="CZ153" i="7" s="1"/>
  <c r="CZ188" i="7" s="1"/>
  <c r="AP16" i="64" s="1"/>
  <c r="AP14" i="64" s="1"/>
  <c r="CX54" i="7"/>
  <c r="DE65" i="8"/>
  <c r="DE64" i="8" s="1"/>
  <c r="DE96" i="8"/>
  <c r="DE138" i="8" s="1"/>
  <c r="AP14" i="66" s="1"/>
  <c r="DC22" i="8"/>
  <c r="DC99" i="8" s="1"/>
  <c r="DD17" i="8"/>
  <c r="DC146" i="7"/>
  <c r="DC191" i="7" s="1"/>
  <c r="AQ22" i="64" s="1"/>
  <c r="DA10" i="7"/>
  <c r="K39" i="128"/>
  <c r="ES25" i="123"/>
  <c r="ES26" i="123" s="1"/>
  <c r="FT56" i="123"/>
  <c r="DL14" i="19"/>
  <c r="DL13" i="19" s="1"/>
  <c r="DJ14" i="19"/>
  <c r="DJ13" i="19" s="1"/>
  <c r="CY41" i="7"/>
  <c r="CY35" i="7" s="1"/>
  <c r="DB149" i="7"/>
  <c r="CV25" i="8"/>
  <c r="DD99" i="8"/>
  <c r="H27" i="123"/>
  <c r="AS15" i="8"/>
  <c r="AT13" i="8"/>
  <c r="AT15" i="8" s="1"/>
  <c r="AT8" i="8" s="1"/>
  <c r="W22" i="125"/>
  <c r="C68" i="114"/>
  <c r="CX12" i="7"/>
  <c r="DB8" i="7"/>
  <c r="BW36" i="19"/>
  <c r="CI45" i="123"/>
  <c r="EH45" i="123" s="1"/>
  <c r="AU12" i="19"/>
  <c r="BS44" i="8"/>
  <c r="BP25" i="8"/>
  <c r="CQ46" i="123"/>
  <c r="E25" i="123"/>
  <c r="AM22" i="66"/>
  <c r="BX26" i="123"/>
  <c r="EY46" i="123"/>
  <c r="W46" i="123"/>
  <c r="BA40" i="123"/>
  <c r="BW43" i="123"/>
  <c r="FU48" i="123"/>
  <c r="DB17" i="7"/>
  <c r="Y16" i="61"/>
  <c r="DA33" i="7"/>
  <c r="CI40" i="123"/>
  <c r="AI64" i="123"/>
  <c r="AM19" i="64"/>
  <c r="CM101" i="122"/>
  <c r="AO10" i="123"/>
  <c r="E11" i="66"/>
  <c r="E39" i="66" s="1"/>
  <c r="FH52" i="123"/>
  <c r="AR37" i="123"/>
  <c r="EY38" i="123"/>
  <c r="BJ45" i="123"/>
  <c r="K12" i="123"/>
  <c r="CO13" i="7"/>
  <c r="CO15" i="7" s="1"/>
  <c r="CF49" i="19"/>
  <c r="CP47" i="8" s="1"/>
  <c r="CP105" i="8" s="1"/>
  <c r="CD49" i="19"/>
  <c r="CK59" i="7" s="1"/>
  <c r="CK154" i="7" s="1"/>
  <c r="CK184" i="7" s="1"/>
  <c r="AI12" i="64" s="1"/>
  <c r="CQ18" i="8"/>
  <c r="CZ52" i="123"/>
  <c r="M56" i="123"/>
  <c r="AZ56" i="123"/>
  <c r="BI56" i="123" s="1"/>
  <c r="BR56" i="123" s="1"/>
  <c r="AT42" i="123"/>
  <c r="CO97" i="8"/>
  <c r="CO144" i="8" s="1"/>
  <c r="AK30" i="65" s="1"/>
  <c r="CO34" i="8"/>
  <c r="CQ44" i="8"/>
  <c r="E59" i="123"/>
  <c r="DI59" i="123"/>
  <c r="AR60" i="123"/>
  <c r="CZ60" i="123"/>
  <c r="EP60" i="123"/>
  <c r="CF21" i="123"/>
  <c r="CJ49" i="123"/>
  <c r="EI49" i="123" s="1"/>
  <c r="GH49" i="123" s="1"/>
  <c r="CH74" i="123"/>
  <c r="EG74" i="123" s="1"/>
  <c r="E12" i="123"/>
  <c r="E30" i="123" s="1"/>
  <c r="DF44" i="8"/>
  <c r="DG42" i="8"/>
  <c r="DG104" i="8" s="1"/>
  <c r="DG67" i="8"/>
  <c r="AV46" i="65"/>
  <c r="AI9" i="123"/>
  <c r="CZ46" i="123"/>
  <c r="BD27" i="123"/>
  <c r="DL27" i="123"/>
  <c r="FK27" i="123"/>
  <c r="AX10" i="123"/>
  <c r="T12" i="123"/>
  <c r="EV12" i="123"/>
  <c r="AR39" i="123"/>
  <c r="CI46" i="123"/>
  <c r="EH46" i="123" s="1"/>
  <c r="GG46" i="123" s="1"/>
  <c r="CJ41" i="123"/>
  <c r="EI41" i="123" s="1"/>
  <c r="GH41" i="123" s="1"/>
  <c r="DR75" i="123"/>
  <c r="BR12" i="123"/>
  <c r="AN22" i="123"/>
  <c r="BT25" i="123"/>
  <c r="CG66" i="123"/>
  <c r="EF66" i="123" s="1"/>
  <c r="GE66" i="123" s="1"/>
  <c r="FT67" i="123"/>
  <c r="FV52" i="123"/>
  <c r="CY77" i="7"/>
  <c r="DB42" i="8"/>
  <c r="DB104" i="8" s="1"/>
  <c r="DB141" i="8" s="1"/>
  <c r="CJ38" i="123"/>
  <c r="EI38" i="123" s="1"/>
  <c r="GH38" i="123" s="1"/>
  <c r="CM43" i="7"/>
  <c r="BC17" i="7"/>
  <c r="CQ29" i="8"/>
  <c r="CQ31" i="8" s="1"/>
  <c r="AQ46" i="65"/>
  <c r="CJ54" i="123"/>
  <c r="O11" i="66"/>
  <c r="T41" i="95"/>
  <c r="BW190" i="7"/>
  <c r="CK146" i="7"/>
  <c r="CK191" i="7" s="1"/>
  <c r="AI22" i="64" s="1"/>
  <c r="CN15" i="8"/>
  <c r="CR67" i="8"/>
  <c r="AO12" i="123"/>
  <c r="CI25" i="123"/>
  <c r="EH25" i="123" s="1"/>
  <c r="CJ58" i="123"/>
  <c r="EI58" i="123" s="1"/>
  <c r="CJ59" i="123"/>
  <c r="EI59" i="123" s="1"/>
  <c r="GH59" i="123" s="1"/>
  <c r="CJ56" i="123"/>
  <c r="EI56" i="123" s="1"/>
  <c r="GH56" i="123" s="1"/>
  <c r="CK48" i="8"/>
  <c r="CK106" i="8" s="1"/>
  <c r="X46" i="61"/>
  <c r="Z46" i="61" s="1"/>
  <c r="AA46" i="61" s="1"/>
  <c r="AB46" i="61" s="1"/>
  <c r="AC46" i="61" s="1"/>
  <c r="AD46" i="61" s="1"/>
  <c r="BG15" i="7"/>
  <c r="BG8" i="7" s="1"/>
  <c r="BD97" i="8"/>
  <c r="J31" i="65"/>
  <c r="BX29" i="123"/>
  <c r="E24" i="66"/>
  <c r="BB49" i="19"/>
  <c r="G40" i="114"/>
  <c r="G42" i="114"/>
  <c r="G44" i="114"/>
  <c r="G61" i="114"/>
  <c r="G65" i="114"/>
  <c r="R25" i="105"/>
  <c r="BW42" i="123"/>
  <c r="Q30" i="11"/>
  <c r="B34" i="118"/>
  <c r="B35" i="118" s="1"/>
  <c r="C75" i="116"/>
  <c r="C76" i="116" s="1"/>
  <c r="C77" i="116" s="1"/>
  <c r="D77" i="116" s="1"/>
  <c r="BE14" i="19"/>
  <c r="CJ37" i="123"/>
  <c r="EI37" i="123" s="1"/>
  <c r="GH37" i="123" s="1"/>
  <c r="CJ9" i="123"/>
  <c r="EI9" i="123" s="1"/>
  <c r="GH9" i="123" s="1"/>
  <c r="AK29" i="123"/>
  <c r="S24" i="72"/>
  <c r="S26" i="72" s="1"/>
  <c r="AP26" i="72" s="1"/>
  <c r="CR42" i="123"/>
  <c r="DJ42" i="123"/>
  <c r="EZ42" i="123"/>
  <c r="T10" i="123"/>
  <c r="AD12" i="123"/>
  <c r="DI101" i="8"/>
  <c r="DC101" i="8"/>
  <c r="DF101" i="8"/>
  <c r="FS38" i="123"/>
  <c r="BT59" i="123"/>
  <c r="FR59" i="123"/>
  <c r="CJ10" i="123"/>
  <c r="FQ67" i="123"/>
  <c r="AD22" i="125"/>
  <c r="FV26" i="123"/>
  <c r="BD14" i="19"/>
  <c r="BB14" i="19"/>
  <c r="CL9" i="7"/>
  <c r="CL144" i="7" s="1"/>
  <c r="CI13" i="7"/>
  <c r="CI15" i="7" s="1"/>
  <c r="EH50" i="123"/>
  <c r="GG50" i="123" s="1"/>
  <c r="CJ35" i="123"/>
  <c r="EI35" i="123" s="1"/>
  <c r="GH35" i="123" s="1"/>
  <c r="BG101" i="8"/>
  <c r="BP101" i="8"/>
  <c r="BP34" i="8"/>
  <c r="BJ15" i="8"/>
  <c r="BJ8" i="8" s="1"/>
  <c r="BP149" i="7"/>
  <c r="BP41" i="7"/>
  <c r="BP35" i="7" s="1"/>
  <c r="BM99" i="8"/>
  <c r="BM31" i="8"/>
  <c r="BM27" i="8" s="1"/>
  <c r="CO150" i="7"/>
  <c r="U22" i="125"/>
  <c r="D60" i="116"/>
  <c r="BC14" i="19"/>
  <c r="CJ33" i="7"/>
  <c r="CJ27" i="7" s="1"/>
  <c r="BY61" i="7"/>
  <c r="BY158" i="7" s="1"/>
  <c r="CQ23" i="8"/>
  <c r="CJ40" i="123"/>
  <c r="L11" i="66"/>
  <c r="L39" i="66" s="1"/>
  <c r="CX109" i="8"/>
  <c r="AN14" i="65" s="1"/>
  <c r="AO14" i="65" s="1"/>
  <c r="CW51" i="8"/>
  <c r="CW109" i="8" s="1"/>
  <c r="T40" i="3"/>
  <c r="T45" i="3" s="1"/>
  <c r="T48" i="3"/>
  <c r="BQ12" i="123"/>
  <c r="Q19" i="126" s="1"/>
  <c r="AI59" i="7"/>
  <c r="AH154" i="7"/>
  <c r="AI154" i="7" s="1"/>
  <c r="CI18" i="7"/>
  <c r="CJ144" i="7"/>
  <c r="AZ14" i="61" s="1"/>
  <c r="CN19" i="8"/>
  <c r="CN102" i="8" s="1"/>
  <c r="CO102" i="8"/>
  <c r="CG190" i="7"/>
  <c r="CF62" i="7"/>
  <c r="CF155" i="7" s="1"/>
  <c r="CG155" i="7"/>
  <c r="AX18" i="61"/>
  <c r="CG189" i="7"/>
  <c r="F52" i="95"/>
  <c r="O52" i="95"/>
  <c r="CX21" i="123"/>
  <c r="CW21" i="123" s="1"/>
  <c r="L21" i="123"/>
  <c r="K21" i="123" s="1"/>
  <c r="BW64" i="123"/>
  <c r="B12" i="123"/>
  <c r="AF21" i="123"/>
  <c r="CG21" i="123"/>
  <c r="BS21" i="123"/>
  <c r="AF22" i="123"/>
  <c r="FQ22" i="123"/>
  <c r="BZ23" i="123"/>
  <c r="CJ24" i="123"/>
  <c r="EI24" i="123" s="1"/>
  <c r="GH24" i="123" s="1"/>
  <c r="DR24" i="123"/>
  <c r="EP25" i="123"/>
  <c r="CJ47" i="123"/>
  <c r="EI47" i="123" s="1"/>
  <c r="GH47" i="123" s="1"/>
  <c r="CJ55" i="123"/>
  <c r="EI55" i="123" s="1"/>
  <c r="GH55" i="123" s="1"/>
  <c r="AG48" i="123"/>
  <c r="FE12" i="123"/>
  <c r="DF12" i="123"/>
  <c r="AG25" i="123"/>
  <c r="CI60" i="123"/>
  <c r="EH60" i="123" s="1"/>
  <c r="GG60" i="123" s="1"/>
  <c r="CI57" i="123"/>
  <c r="EH57" i="123" s="1"/>
  <c r="GG57" i="123" s="1"/>
  <c r="BV146" i="7"/>
  <c r="E46" i="123"/>
  <c r="CO20" i="7"/>
  <c r="CO25" i="7"/>
  <c r="AI46" i="123"/>
  <c r="BW48" i="123"/>
  <c r="CT35" i="8"/>
  <c r="CT34" i="8" s="1"/>
  <c r="CV8" i="8"/>
  <c r="CX97" i="8"/>
  <c r="CX144" i="8" s="1"/>
  <c r="AN30" i="65" s="1"/>
  <c r="DD67" i="8"/>
  <c r="BG17" i="8"/>
  <c r="BP97" i="8"/>
  <c r="BP31" i="8"/>
  <c r="BP27" i="8" s="1"/>
  <c r="CO67" i="8"/>
  <c r="BA52" i="123"/>
  <c r="EY52" i="123"/>
  <c r="FS37" i="123"/>
  <c r="BU40" i="123"/>
  <c r="CQ40" i="123"/>
  <c r="BU46" i="123"/>
  <c r="FH51" i="123"/>
  <c r="BA56" i="123"/>
  <c r="BT60" i="123"/>
  <c r="DS60" i="123"/>
  <c r="BJ150" i="7"/>
  <c r="E111" i="56"/>
  <c r="J111" i="56" s="1"/>
  <c r="AC65" i="3"/>
  <c r="D12" i="68"/>
  <c r="D9" i="68"/>
  <c r="D10" i="68"/>
  <c r="D11" i="68"/>
  <c r="X9" i="123"/>
  <c r="X26" i="123" s="1"/>
  <c r="AS9" i="123"/>
  <c r="AS26" i="123" s="1"/>
  <c r="BK9" i="123"/>
  <c r="BK26" i="123" s="1"/>
  <c r="FI9" i="123"/>
  <c r="FI26" i="123" s="1"/>
  <c r="AS28" i="123"/>
  <c r="AS27" i="123"/>
  <c r="DA27" i="123"/>
  <c r="DA28" i="123"/>
  <c r="AI24" i="123"/>
  <c r="H30" i="123"/>
  <c r="H43" i="123"/>
  <c r="AI44" i="123"/>
  <c r="CV120" i="8"/>
  <c r="AG12" i="98"/>
  <c r="AG9" i="98" s="1"/>
  <c r="AG13" i="98" s="1"/>
  <c r="BJ62" i="3"/>
  <c r="O45" i="96" s="1"/>
  <c r="O58" i="96" s="1"/>
  <c r="O28" i="111"/>
  <c r="CS22" i="7" s="1"/>
  <c r="CR22" i="7" s="1"/>
  <c r="L50" i="97"/>
  <c r="O33" i="111"/>
  <c r="L56" i="97"/>
  <c r="CT29" i="8"/>
  <c r="CT31" i="8" s="1"/>
  <c r="CU31" i="8"/>
  <c r="CU27" i="8" s="1"/>
  <c r="CU65" i="8"/>
  <c r="CU64" i="8" s="1"/>
  <c r="CT18" i="8"/>
  <c r="CT26" i="8"/>
  <c r="CT103" i="8" s="1"/>
  <c r="CU103" i="8"/>
  <c r="CV108" i="8"/>
  <c r="CV142" i="8" s="1"/>
  <c r="AK18" i="66" s="1"/>
  <c r="CT50" i="8"/>
  <c r="CT108" i="8" s="1"/>
  <c r="CY97" i="8"/>
  <c r="AL23" i="66" s="1"/>
  <c r="CY27" i="8"/>
  <c r="CW32" i="8"/>
  <c r="CX22" i="7"/>
  <c r="CY17" i="7"/>
  <c r="DD97" i="8"/>
  <c r="DD144" i="8" s="1"/>
  <c r="AR30" i="65" s="1"/>
  <c r="DC10" i="8"/>
  <c r="DC18" i="8"/>
  <c r="DD138" i="8"/>
  <c r="AR12" i="65" s="1"/>
  <c r="DD100" i="8"/>
  <c r="DC23" i="8"/>
  <c r="DC25" i="8" s="1"/>
  <c r="DC29" i="8"/>
  <c r="DC31" i="8" s="1"/>
  <c r="DD31" i="8"/>
  <c r="DD27" i="8" s="1"/>
  <c r="DB144" i="7"/>
  <c r="BH14" i="61" s="1"/>
  <c r="DA9" i="7"/>
  <c r="DA144" i="7" s="1"/>
  <c r="DA12" i="7"/>
  <c r="DA148" i="7" s="1"/>
  <c r="DB148" i="7"/>
  <c r="DA20" i="7"/>
  <c r="DB146" i="7"/>
  <c r="BH31" i="61" s="1"/>
  <c r="DF9" i="8"/>
  <c r="DG65" i="8"/>
  <c r="DG64" i="8" s="1"/>
  <c r="DH17" i="8"/>
  <c r="DH65" i="8"/>
  <c r="DH64" i="8" s="1"/>
  <c r="DF32" i="8"/>
  <c r="DG97" i="8"/>
  <c r="DG144" i="8" s="1"/>
  <c r="AS30" i="65" s="1"/>
  <c r="DG27" i="8"/>
  <c r="DF38" i="8"/>
  <c r="DG40" i="8"/>
  <c r="DG100" i="8"/>
  <c r="DG34" i="8"/>
  <c r="BK24" i="19"/>
  <c r="K606" i="109"/>
  <c r="BO71" i="7"/>
  <c r="BO73" i="7" s="1"/>
  <c r="B91" i="56"/>
  <c r="B101" i="56" s="1"/>
  <c r="AZ46" i="11"/>
  <c r="AZ41" i="11" s="1"/>
  <c r="CN12" i="8"/>
  <c r="CN99" i="8" s="1"/>
  <c r="CO99" i="8"/>
  <c r="CO31" i="8"/>
  <c r="CO100" i="8"/>
  <c r="CR97" i="8"/>
  <c r="CR144" i="8" s="1"/>
  <c r="AL30" i="65" s="1"/>
  <c r="CQ32" i="8"/>
  <c r="BQ159" i="7"/>
  <c r="BQ166" i="7" s="1"/>
  <c r="BP64" i="7"/>
  <c r="BP159" i="7" s="1"/>
  <c r="BR189" i="7"/>
  <c r="BP60" i="7"/>
  <c r="CO9" i="7"/>
  <c r="CO144" i="7" s="1"/>
  <c r="CP144" i="7"/>
  <c r="BB14" i="61" s="1"/>
  <c r="CM15" i="7"/>
  <c r="CL13" i="7"/>
  <c r="CL15" i="7" s="1"/>
  <c r="DZ15" i="7" s="1"/>
  <c r="CM149" i="7"/>
  <c r="CI16" i="7"/>
  <c r="CI152" i="7" s="1"/>
  <c r="CJ152" i="7"/>
  <c r="CJ25" i="7"/>
  <c r="CJ17" i="7" s="1"/>
  <c r="CJ149" i="7"/>
  <c r="CM41" i="7"/>
  <c r="CM35" i="7" s="1"/>
  <c r="CL39" i="7"/>
  <c r="CL41" i="7" s="1"/>
  <c r="CP50" i="7"/>
  <c r="CP149" i="7"/>
  <c r="CJ151" i="7"/>
  <c r="CI19" i="7"/>
  <c r="CI151" i="7" s="1"/>
  <c r="CP65" i="8"/>
  <c r="CP64" i="8" s="1"/>
  <c r="CP96" i="8"/>
  <c r="CP138" i="8" s="1"/>
  <c r="AI14" i="66" s="1"/>
  <c r="CL22" i="7"/>
  <c r="CL148" i="7" s="1"/>
  <c r="CM148" i="7"/>
  <c r="AI17" i="65"/>
  <c r="AJ17" i="65" s="1"/>
  <c r="CL143" i="8"/>
  <c r="BD46" i="61"/>
  <c r="BF46" i="61"/>
  <c r="CI47" i="123"/>
  <c r="EH47" i="123" s="1"/>
  <c r="GG47" i="123" s="1"/>
  <c r="CJ60" i="123"/>
  <c r="EI60" i="123" s="1"/>
  <c r="GH60" i="123" s="1"/>
  <c r="CJ36" i="123"/>
  <c r="EI36" i="123" s="1"/>
  <c r="GH36" i="123" s="1"/>
  <c r="CJ57" i="123"/>
  <c r="EI57" i="123" s="1"/>
  <c r="GH57" i="123" s="1"/>
  <c r="CJ51" i="123"/>
  <c r="EI51" i="123" s="1"/>
  <c r="GH51" i="123" s="1"/>
  <c r="BH25" i="17"/>
  <c r="AW83" i="8"/>
  <c r="C52" i="95"/>
  <c r="G52" i="95"/>
  <c r="P52" i="95"/>
  <c r="AH18" i="64"/>
  <c r="AM21" i="64"/>
  <c r="EY48" i="123"/>
  <c r="AF74" i="123"/>
  <c r="FQ24" i="123"/>
  <c r="N25" i="123"/>
  <c r="AH25" i="123"/>
  <c r="CT40" i="8"/>
  <c r="CI58" i="123"/>
  <c r="EH58" i="123" s="1"/>
  <c r="GG58" i="123" s="1"/>
  <c r="CJ50" i="123"/>
  <c r="EI50" i="123" s="1"/>
  <c r="GH50" i="123" s="1"/>
  <c r="CI55" i="123"/>
  <c r="EH55" i="123" s="1"/>
  <c r="GG55" i="123" s="1"/>
  <c r="AZ24" i="7"/>
  <c r="AZ25" i="7" s="1"/>
  <c r="BF24" i="7" s="1"/>
  <c r="AH22" i="66"/>
  <c r="L52" i="95"/>
  <c r="K63" i="32"/>
  <c r="M63" i="32" s="1"/>
  <c r="GG45" i="123"/>
  <c r="CI39" i="123"/>
  <c r="EH39" i="123" s="1"/>
  <c r="GG39" i="123" s="1"/>
  <c r="CR138" i="8"/>
  <c r="AL12" i="65" s="1"/>
  <c r="CA54" i="7"/>
  <c r="AH39" i="123"/>
  <c r="BU10" i="123"/>
  <c r="DS12" i="123"/>
  <c r="DS30" i="123" s="1"/>
  <c r="Q27" i="123"/>
  <c r="BM27" i="123"/>
  <c r="AG62" i="9"/>
  <c r="CQ37" i="123"/>
  <c r="DT37" i="123"/>
  <c r="U67" i="123"/>
  <c r="AD67" i="123" s="1"/>
  <c r="N58" i="126" s="1"/>
  <c r="K67" i="123"/>
  <c r="D13" i="117"/>
  <c r="CO36" i="7"/>
  <c r="CP8" i="8"/>
  <c r="P26" i="125"/>
  <c r="EZ27" i="123"/>
  <c r="EZ28" i="123"/>
  <c r="BJ39" i="123"/>
  <c r="DV30" i="123"/>
  <c r="BM28" i="123"/>
  <c r="BG10" i="123"/>
  <c r="BG12" i="123"/>
  <c r="BD29" i="123"/>
  <c r="FU30" i="123"/>
  <c r="AU30" i="123"/>
  <c r="DC30" i="123"/>
  <c r="M49" i="3"/>
  <c r="M45" i="3" s="1"/>
  <c r="E8" i="56"/>
  <c r="J8" i="56" s="1"/>
  <c r="J18" i="56" s="1"/>
  <c r="K15" i="65"/>
  <c r="O15" i="65" s="1"/>
  <c r="E13" i="77"/>
  <c r="B33" i="63"/>
  <c r="C33" i="63" s="1"/>
  <c r="AC64" i="3"/>
  <c r="BJ25" i="7"/>
  <c r="BJ17" i="7" s="1"/>
  <c r="AF21" i="64"/>
  <c r="AE46" i="123"/>
  <c r="CY33" i="7"/>
  <c r="CY27" i="7" s="1"/>
  <c r="AG57" i="123"/>
  <c r="DJ40" i="8"/>
  <c r="DJ22" i="7"/>
  <c r="DJ44" i="7"/>
  <c r="GG41" i="123"/>
  <c r="CJ39" i="123"/>
  <c r="EI39" i="123" s="1"/>
  <c r="GH39" i="123" s="1"/>
  <c r="CJ53" i="123"/>
  <c r="EI53" i="123" s="1"/>
  <c r="GH53" i="123" s="1"/>
  <c r="AJ26" i="123"/>
  <c r="S52" i="95"/>
  <c r="AF19" i="64"/>
  <c r="DZ22" i="123"/>
  <c r="AN24" i="123"/>
  <c r="AU27" i="123"/>
  <c r="DC27" i="123"/>
  <c r="DT56" i="123"/>
  <c r="BA57" i="123"/>
  <c r="CJ46" i="123"/>
  <c r="EI46" i="123" s="1"/>
  <c r="GH46" i="123" s="1"/>
  <c r="EP36" i="123"/>
  <c r="BJ37" i="123"/>
  <c r="W38" i="123"/>
  <c r="BA38" i="123"/>
  <c r="CQ38" i="123"/>
  <c r="FH39" i="123"/>
  <c r="AR40" i="123"/>
  <c r="EP55" i="123"/>
  <c r="CQ57" i="123"/>
  <c r="FV30" i="123"/>
  <c r="CF23" i="123"/>
  <c r="AF24" i="123"/>
  <c r="DI39" i="123"/>
  <c r="DS41" i="123"/>
  <c r="AR58" i="123"/>
  <c r="FH58" i="123"/>
  <c r="EP59" i="123"/>
  <c r="DI60" i="123"/>
  <c r="BS74" i="123"/>
  <c r="BR10" i="123"/>
  <c r="R17" i="126" s="1"/>
  <c r="DO22" i="8"/>
  <c r="CI66" i="123"/>
  <c r="EH66" i="123" s="1"/>
  <c r="GG66" i="123" s="1"/>
  <c r="CF66" i="123"/>
  <c r="EE66" i="123" s="1"/>
  <c r="GD66" i="123" s="1"/>
  <c r="DR66" i="123"/>
  <c r="AF67" i="123"/>
  <c r="CF67" i="123"/>
  <c r="EE67" i="123" s="1"/>
  <c r="GD67" i="123" s="1"/>
  <c r="BS67" i="123"/>
  <c r="CI67" i="123"/>
  <c r="EH67" i="123" s="1"/>
  <c r="GG67" i="123" s="1"/>
  <c r="DO15" i="7"/>
  <c r="DO8" i="7" s="1"/>
  <c r="FP12" i="123"/>
  <c r="AD19" i="126" s="1"/>
  <c r="CF22" i="123"/>
  <c r="EE22" i="123" s="1"/>
  <c r="GD22" i="123" s="1"/>
  <c r="AF23" i="123"/>
  <c r="BS23" i="123"/>
  <c r="CG23" i="123"/>
  <c r="EF23" i="123" s="1"/>
  <c r="GE23" i="123" s="1"/>
  <c r="W25" i="123"/>
  <c r="E8" i="123"/>
  <c r="AG12" i="123"/>
  <c r="AG30" i="123" s="1"/>
  <c r="BT11" i="123"/>
  <c r="DT10" i="123"/>
  <c r="DT12" i="123"/>
  <c r="DS11" i="123"/>
  <c r="FS10" i="123"/>
  <c r="FS12" i="123"/>
  <c r="BV10" i="123"/>
  <c r="BV27" i="123" s="1"/>
  <c r="DU11" i="123"/>
  <c r="FK28" i="123"/>
  <c r="P24" i="125"/>
  <c r="Y9" i="123"/>
  <c r="C58" i="124" s="1"/>
  <c r="AT9" i="123"/>
  <c r="AT26" i="123" s="1"/>
  <c r="DB9" i="123"/>
  <c r="ER9" i="123"/>
  <c r="FJ9" i="123"/>
  <c r="FJ26" i="123" s="1"/>
  <c r="X28" i="123"/>
  <c r="AG10" i="123"/>
  <c r="BJ148" i="7"/>
  <c r="AD29" i="125"/>
  <c r="BT48" i="123"/>
  <c r="FH48" i="123"/>
  <c r="AS42" i="123"/>
  <c r="BT41" i="123"/>
  <c r="CP8" i="7"/>
  <c r="DS10" i="123"/>
  <c r="DS28" i="123" s="1"/>
  <c r="FR12" i="123"/>
  <c r="AH11" i="123"/>
  <c r="AH29" i="123" s="1"/>
  <c r="BB87" i="7"/>
  <c r="BB167" i="7" s="1"/>
  <c r="AV75" i="8"/>
  <c r="AV120" i="8" s="1"/>
  <c r="AF15" i="10"/>
  <c r="S19" i="10"/>
  <c r="J32" i="61"/>
  <c r="K52" i="95"/>
  <c r="AV49" i="3"/>
  <c r="AV45" i="3" s="1"/>
  <c r="AV44" i="3" s="1"/>
  <c r="AV48" i="3" s="1"/>
  <c r="C25" i="124"/>
  <c r="FR10" i="123"/>
  <c r="FQ21" i="123"/>
  <c r="EI10" i="123"/>
  <c r="GH10" i="123" s="1"/>
  <c r="CJ66" i="123"/>
  <c r="EI66" i="123" s="1"/>
  <c r="GH66" i="123" s="1"/>
  <c r="BW30" i="123"/>
  <c r="W39" i="123"/>
  <c r="AG37" i="123"/>
  <c r="B10" i="123"/>
  <c r="AD11" i="123"/>
  <c r="N18" i="126" s="1"/>
  <c r="AU29" i="123"/>
  <c r="DC29" i="123"/>
  <c r="EM12" i="123"/>
  <c r="AH37" i="123"/>
  <c r="CQ56" i="123"/>
  <c r="BJ58" i="123"/>
  <c r="EP58" i="123"/>
  <c r="AR59" i="123"/>
  <c r="BJ59" i="123"/>
  <c r="FH59" i="123"/>
  <c r="E60" i="123"/>
  <c r="CQ60" i="123"/>
  <c r="AO22" i="6"/>
  <c r="CI10" i="7"/>
  <c r="CN146" i="7"/>
  <c r="CN191" i="7" s="1"/>
  <c r="AJ22" i="64" s="1"/>
  <c r="CI150" i="7"/>
  <c r="CP17" i="8"/>
  <c r="AE18" i="98"/>
  <c r="AN30" i="5"/>
  <c r="BD17" i="8"/>
  <c r="BG97" i="8"/>
  <c r="BG34" i="8"/>
  <c r="BP15" i="8"/>
  <c r="BP8" i="8" s="1"/>
  <c r="E23" i="102"/>
  <c r="K23" i="102"/>
  <c r="BJ99" i="8"/>
  <c r="BM15" i="8"/>
  <c r="BV15" i="8" s="1"/>
  <c r="BM17" i="8"/>
  <c r="BA16" i="19"/>
  <c r="BP16" i="19" s="1"/>
  <c r="BA48" i="19"/>
  <c r="BP48" i="19" s="1"/>
  <c r="T20" i="125"/>
  <c r="FY21" i="123"/>
  <c r="DR22" i="123"/>
  <c r="W56" i="19"/>
  <c r="T19" i="10"/>
  <c r="Y19" i="64"/>
  <c r="AO37" i="6"/>
  <c r="DM13" i="7"/>
  <c r="DM15" i="7" s="1"/>
  <c r="CR27" i="8"/>
  <c r="CB26" i="19"/>
  <c r="Q25" i="105"/>
  <c r="CK49" i="19"/>
  <c r="CN59" i="7" s="1"/>
  <c r="CN154" i="7" s="1"/>
  <c r="BR61" i="8"/>
  <c r="BR78" i="8" s="1"/>
  <c r="E13" i="117"/>
  <c r="CN12" i="123"/>
  <c r="BS24" i="123"/>
  <c r="CA24" i="123"/>
  <c r="CQ25" i="123"/>
  <c r="DA13" i="123"/>
  <c r="O24" i="66"/>
  <c r="CI148" i="7"/>
  <c r="CQ99" i="8"/>
  <c r="CP42" i="8"/>
  <c r="CP104" i="8" s="1"/>
  <c r="CP141" i="8" s="1"/>
  <c r="CB16" i="19"/>
  <c r="CO17" i="8"/>
  <c r="CI26" i="19"/>
  <c r="BD100" i="8"/>
  <c r="BP40" i="8"/>
  <c r="BF119" i="8"/>
  <c r="BF121" i="8" s="1"/>
  <c r="BQ119" i="8"/>
  <c r="BQ121" i="8" s="1"/>
  <c r="E29" i="67"/>
  <c r="E30" i="67" s="1"/>
  <c r="E32" i="67" s="1"/>
  <c r="BP33" i="7"/>
  <c r="BY33" i="7" s="1"/>
  <c r="BZ33" i="7" s="1"/>
  <c r="BP146" i="7"/>
  <c r="BM101" i="8"/>
  <c r="BM40" i="8"/>
  <c r="BV40" i="8" s="1"/>
  <c r="BW40" i="8" s="1"/>
  <c r="G60" i="114"/>
  <c r="DI56" i="123"/>
  <c r="H10" i="100"/>
  <c r="BW47" i="7" s="1"/>
  <c r="I8" i="100"/>
  <c r="N8" i="100" s="1"/>
  <c r="S8" i="100" s="1"/>
  <c r="S10" i="100" s="1"/>
  <c r="C34" i="114"/>
  <c r="B86" i="116"/>
  <c r="B87" i="116" s="1"/>
  <c r="CP43" i="7"/>
  <c r="CQ146" i="7"/>
  <c r="CQ191" i="7" s="1"/>
  <c r="AK22" i="64" s="1"/>
  <c r="CL10" i="7"/>
  <c r="CJ148" i="7"/>
  <c r="CA157" i="7"/>
  <c r="BM100" i="8"/>
  <c r="CS97" i="8"/>
  <c r="CS144" i="8" s="1"/>
  <c r="BN119" i="8"/>
  <c r="BN121" i="8" s="1"/>
  <c r="F6" i="117"/>
  <c r="W57" i="19"/>
  <c r="M65" i="11"/>
  <c r="BF31" i="11" s="1"/>
  <c r="U17" i="95"/>
  <c r="DM9" i="7"/>
  <c r="Q31" i="11"/>
  <c r="C71" i="116"/>
  <c r="C72" i="116" s="1"/>
  <c r="CP33" i="7"/>
  <c r="CP27" i="7" s="1"/>
  <c r="CP148" i="7"/>
  <c r="CA189" i="7"/>
  <c r="CS17" i="8"/>
  <c r="CN10" i="8"/>
  <c r="BM97" i="8"/>
  <c r="CN20" i="8"/>
  <c r="CR99" i="8"/>
  <c r="BO119" i="8"/>
  <c r="BO123" i="8" s="1"/>
  <c r="BO126" i="8" s="1"/>
  <c r="BO127" i="8" s="1"/>
  <c r="CN18" i="8"/>
  <c r="CO140" i="8"/>
  <c r="EY56" i="123"/>
  <c r="K27" i="123"/>
  <c r="Q32" i="11"/>
  <c r="CO148" i="7"/>
  <c r="CN157" i="7"/>
  <c r="CP146" i="7"/>
  <c r="CP191" i="7" s="1"/>
  <c r="CI20" i="7"/>
  <c r="AY46" i="61"/>
  <c r="CQ15" i="8"/>
  <c r="CR34" i="8"/>
  <c r="AY27" i="123"/>
  <c r="AY21" i="123" s="1"/>
  <c r="AX21" i="123" s="1"/>
  <c r="AC20" i="7"/>
  <c r="V16" i="10"/>
  <c r="W59" i="19"/>
  <c r="K62" i="32"/>
  <c r="M62" i="32" s="1"/>
  <c r="I12" i="103"/>
  <c r="BW51" i="8" s="1"/>
  <c r="BV51" i="8" s="1"/>
  <c r="BV109" i="8" s="1"/>
  <c r="BV66" i="123"/>
  <c r="DT36" i="123"/>
  <c r="BU8" i="123"/>
  <c r="Y33" i="11"/>
  <c r="CI43" i="7"/>
  <c r="DF10" i="123"/>
  <c r="BQ11" i="123"/>
  <c r="Q18" i="126" s="1"/>
  <c r="BU36" i="123"/>
  <c r="EY36" i="123"/>
  <c r="DI37" i="123"/>
  <c r="AR38" i="123"/>
  <c r="DT38" i="123"/>
  <c r="AH44" i="123"/>
  <c r="FS44" i="123"/>
  <c r="FS49" i="123"/>
  <c r="BU50" i="123"/>
  <c r="FS50" i="123"/>
  <c r="AH53" i="123"/>
  <c r="DT53" i="123"/>
  <c r="DS54" i="123"/>
  <c r="AG56" i="123"/>
  <c r="BT56" i="123"/>
  <c r="DK26" i="123"/>
  <c r="AH12" i="123"/>
  <c r="AG8" i="123"/>
  <c r="BT10" i="123"/>
  <c r="BS10" i="123" s="1"/>
  <c r="BT12" i="123"/>
  <c r="DT8" i="123"/>
  <c r="FS11" i="123"/>
  <c r="FS29" i="123" s="1"/>
  <c r="DU8" i="123"/>
  <c r="DV64" i="123"/>
  <c r="DU67" i="123"/>
  <c r="AL20" i="19"/>
  <c r="AK8" i="19"/>
  <c r="F59" i="65"/>
  <c r="AT63" i="72"/>
  <c r="X19" i="10"/>
  <c r="AF20" i="64"/>
  <c r="G59" i="114"/>
  <c r="G9" i="123"/>
  <c r="AK13" i="19"/>
  <c r="O45" i="61"/>
  <c r="AZ49" i="3"/>
  <c r="BW87" i="7" s="1"/>
  <c r="AN65" i="32"/>
  <c r="AN72" i="32" s="1"/>
  <c r="U19" i="104" s="1"/>
  <c r="U23" i="104" s="1"/>
  <c r="N51" i="125"/>
  <c r="I56" i="65"/>
  <c r="I57" i="65" s="1"/>
  <c r="I59" i="65" s="1"/>
  <c r="BU37" i="123"/>
  <c r="BA37" i="123"/>
  <c r="BS37" i="123" s="1"/>
  <c r="G42" i="123"/>
  <c r="FS55" i="123"/>
  <c r="EY55" i="123"/>
  <c r="CZ59" i="123"/>
  <c r="DS59" i="123"/>
  <c r="EY60" i="123"/>
  <c r="FR60" i="123"/>
  <c r="BC9" i="123"/>
  <c r="F27" i="123"/>
  <c r="F28" i="123"/>
  <c r="AT29" i="123"/>
  <c r="BU11" i="123"/>
  <c r="AH36" i="123"/>
  <c r="DU9" i="123"/>
  <c r="DC64" i="123"/>
  <c r="DS39" i="123"/>
  <c r="BB28" i="123"/>
  <c r="DT11" i="123"/>
  <c r="DT29" i="123" s="1"/>
  <c r="E10" i="123"/>
  <c r="E27" i="123" s="1"/>
  <c r="FS36" i="123"/>
  <c r="BB30" i="123"/>
  <c r="BA25" i="123"/>
  <c r="BU25" i="123"/>
  <c r="FS25" i="123"/>
  <c r="FA26" i="123"/>
  <c r="EY25" i="123"/>
  <c r="EV10" i="123"/>
  <c r="AD32" i="11"/>
  <c r="BE32" i="11" s="1"/>
  <c r="G23" i="81"/>
  <c r="AG15" i="59"/>
  <c r="BC42" i="11"/>
  <c r="G18" i="10"/>
  <c r="G19" i="10" s="1"/>
  <c r="E12" i="67"/>
  <c r="E13" i="67" s="1"/>
  <c r="E15" i="67" s="1"/>
  <c r="AO48" i="19" s="1"/>
  <c r="Y20" i="64"/>
  <c r="AP37" i="6"/>
  <c r="C68" i="32"/>
  <c r="AB55" i="9"/>
  <c r="N24" i="35"/>
  <c r="DK144" i="8"/>
  <c r="H31" i="17"/>
  <c r="AL16" i="19"/>
  <c r="AZ24" i="71"/>
  <c r="J15" i="3"/>
  <c r="C87" i="7"/>
  <c r="Q57" i="19"/>
  <c r="Y57" i="19" s="1"/>
  <c r="X31" i="19" s="1"/>
  <c r="C26" i="111"/>
  <c r="CJ41" i="7"/>
  <c r="CJ35" i="7" s="1"/>
  <c r="AG12" i="5"/>
  <c r="AG11" i="5" s="1"/>
  <c r="AG119" i="8"/>
  <c r="AG126" i="8" s="1"/>
  <c r="AG127" i="8" s="1"/>
  <c r="AO12" i="71"/>
  <c r="AX13" i="5"/>
  <c r="BB13" i="5" s="1"/>
  <c r="U72" i="10"/>
  <c r="U73" i="10" s="1"/>
  <c r="BN137" i="8"/>
  <c r="BN152" i="8" s="1"/>
  <c r="P14" i="7"/>
  <c r="P8" i="7" s="1"/>
  <c r="CW27" i="123"/>
  <c r="AO28" i="6"/>
  <c r="AK45" i="65"/>
  <c r="CO120" i="8"/>
  <c r="CO62" i="8" s="1"/>
  <c r="L14" i="125"/>
  <c r="O22" i="125"/>
  <c r="AO15" i="123"/>
  <c r="AC12" i="136"/>
  <c r="DP11" i="123"/>
  <c r="W18" i="126" s="1"/>
  <c r="AA51" i="9"/>
  <c r="R11" i="9"/>
  <c r="W11" i="9" s="1"/>
  <c r="W36" i="123"/>
  <c r="AF36" i="123" s="1"/>
  <c r="CQ36" i="123"/>
  <c r="EP38" i="123"/>
  <c r="BB25" i="7"/>
  <c r="BB17" i="7" s="1"/>
  <c r="AS99" i="8"/>
  <c r="AS34" i="8"/>
  <c r="AE35" i="7"/>
  <c r="E148" i="69"/>
  <c r="E164" i="69" s="1"/>
  <c r="E173" i="69" s="1"/>
  <c r="AV29" i="71"/>
  <c r="AV37" i="71" s="1"/>
  <c r="FH38" i="123"/>
  <c r="W40" i="123"/>
  <c r="CQ44" i="123"/>
  <c r="DI44" i="123"/>
  <c r="EY44" i="123"/>
  <c r="CQ45" i="123"/>
  <c r="BJ50" i="123"/>
  <c r="CZ50" i="123"/>
  <c r="AR53" i="123"/>
  <c r="BJ53" i="123"/>
  <c r="EP53" i="123"/>
  <c r="FH53" i="123"/>
  <c r="W55" i="123"/>
  <c r="CQ55" i="123"/>
  <c r="DI55" i="123"/>
  <c r="BJ57" i="123"/>
  <c r="M29" i="125"/>
  <c r="AO36" i="19"/>
  <c r="AT38" i="8"/>
  <c r="AT40" i="8" s="1"/>
  <c r="AQ34" i="8"/>
  <c r="AQ31" i="8"/>
  <c r="N43" i="59"/>
  <c r="E12" i="75"/>
  <c r="E13" i="75" s="1"/>
  <c r="E14" i="75" s="1"/>
  <c r="E16" i="75" s="1"/>
  <c r="E17" i="75" s="1"/>
  <c r="E20" i="75" s="1"/>
  <c r="AU72" i="9"/>
  <c r="BB54" i="9" s="1"/>
  <c r="G46" i="5"/>
  <c r="G14" i="135" s="1"/>
  <c r="AB34" i="8"/>
  <c r="X46" i="5"/>
  <c r="X47" i="5" s="1"/>
  <c r="S13" i="102"/>
  <c r="N19" i="126"/>
  <c r="P20" i="125"/>
  <c r="AL42" i="8"/>
  <c r="AL104" i="8" s="1"/>
  <c r="Q26" i="5"/>
  <c r="W23" i="6"/>
  <c r="BA27" i="19"/>
  <c r="BP27" i="19" s="1"/>
  <c r="F9" i="123"/>
  <c r="AG40" i="123"/>
  <c r="AG55" i="123"/>
  <c r="BU56" i="123"/>
  <c r="CS7" i="136"/>
  <c r="T29" i="125"/>
  <c r="O29" i="6"/>
  <c r="AO42" i="11"/>
  <c r="O12" i="6"/>
  <c r="O13" i="6" s="1"/>
  <c r="D18" i="6"/>
  <c r="O8" i="17"/>
  <c r="N8" i="17" s="1"/>
  <c r="AB19" i="10"/>
  <c r="BT36" i="123"/>
  <c r="FR36" i="123"/>
  <c r="FR37" i="123"/>
  <c r="DS38" i="123"/>
  <c r="AH46" i="123"/>
  <c r="FS46" i="123"/>
  <c r="DS53" i="123"/>
  <c r="BT55" i="123"/>
  <c r="FR55" i="123"/>
  <c r="FS56" i="123"/>
  <c r="BA30" i="11"/>
  <c r="BC30" i="11" s="1"/>
  <c r="H15" i="8"/>
  <c r="I15" i="8"/>
  <c r="I8" i="8" s="1"/>
  <c r="L27" i="8"/>
  <c r="M27" i="8" s="1"/>
  <c r="L8" i="8"/>
  <c r="O15" i="8"/>
  <c r="T46" i="5"/>
  <c r="T47" i="5" s="1"/>
  <c r="F13" i="6"/>
  <c r="Y13" i="9"/>
  <c r="U14" i="17"/>
  <c r="T14" i="17" s="1"/>
  <c r="M76" i="9"/>
  <c r="F64" i="61"/>
  <c r="I63" i="61" s="1"/>
  <c r="I64" i="61" s="1"/>
  <c r="Q14" i="61"/>
  <c r="CQ38" i="8"/>
  <c r="BU39" i="123"/>
  <c r="BB42" i="123"/>
  <c r="DT46" i="123"/>
  <c r="W54" i="123"/>
  <c r="BA54" i="123"/>
  <c r="CQ54" i="123"/>
  <c r="DI54" i="123"/>
  <c r="EY54" i="123"/>
  <c r="BJ56" i="123"/>
  <c r="AJ14" i="19"/>
  <c r="AK14" i="19" s="1"/>
  <c r="AL14" i="19" s="1"/>
  <c r="AA9" i="9"/>
  <c r="H14" i="9"/>
  <c r="B15" i="3"/>
  <c r="I17" i="9"/>
  <c r="H17" i="9" s="1"/>
  <c r="AP20" i="7"/>
  <c r="AI128" i="8"/>
  <c r="BA128" i="8" s="1"/>
  <c r="AE9" i="17"/>
  <c r="AK30" i="19"/>
  <c r="B28" i="56"/>
  <c r="AZ58" i="72"/>
  <c r="AZ59" i="72" s="1"/>
  <c r="BG59" i="72" s="1"/>
  <c r="K8" i="32"/>
  <c r="M8" i="32" s="1"/>
  <c r="AV29" i="11"/>
  <c r="AZ60" i="72"/>
  <c r="AP96" i="8"/>
  <c r="B30" i="32"/>
  <c r="D30" i="32" s="1"/>
  <c r="AN11" i="71"/>
  <c r="AR51" i="72"/>
  <c r="N55" i="72"/>
  <c r="E7" i="84"/>
  <c r="G7" i="84" s="1"/>
  <c r="K7" i="84" s="1"/>
  <c r="I32" i="78"/>
  <c r="R14" i="64"/>
  <c r="R11" i="64" s="1"/>
  <c r="R23" i="64" s="1"/>
  <c r="Y18" i="64"/>
  <c r="BD15" i="8"/>
  <c r="BD8" i="8" s="1"/>
  <c r="BD101" i="8"/>
  <c r="BP17" i="8"/>
  <c r="BP42" i="8"/>
  <c r="BP104" i="8" s="1"/>
  <c r="BJ103" i="8"/>
  <c r="AT63" i="32"/>
  <c r="BV12" i="123"/>
  <c r="CH12" i="123" s="1"/>
  <c r="DU12" i="123"/>
  <c r="CT10" i="136"/>
  <c r="CT12" i="136" s="1"/>
  <c r="AT10" i="136"/>
  <c r="AT12" i="136" s="1"/>
  <c r="L7" i="135"/>
  <c r="AK26" i="123"/>
  <c r="Q33" i="11"/>
  <c r="AK10" i="11"/>
  <c r="AD15" i="17"/>
  <c r="I12" i="21"/>
  <c r="K12" i="21" s="1"/>
  <c r="P24" i="9"/>
  <c r="P25" i="9" s="1"/>
  <c r="AK9" i="11"/>
  <c r="R52" i="7"/>
  <c r="D17" i="8"/>
  <c r="W25" i="6"/>
  <c r="H13" i="6"/>
  <c r="AH55" i="9"/>
  <c r="AZ58" i="9"/>
  <c r="AZ59" i="9" s="1"/>
  <c r="BG59" i="9" s="1"/>
  <c r="E28" i="56"/>
  <c r="AZ60" i="9"/>
  <c r="AZ62" i="9" s="1"/>
  <c r="BG62" i="9" s="1"/>
  <c r="AB75" i="8"/>
  <c r="K44" i="3"/>
  <c r="AG58" i="9" s="1"/>
  <c r="AG59" i="9" s="1"/>
  <c r="AC87" i="6"/>
  <c r="AD87" i="6" s="1"/>
  <c r="AP11" i="71"/>
  <c r="B11" i="82"/>
  <c r="E11" i="82" s="1"/>
  <c r="I11" i="82" s="1"/>
  <c r="CN35" i="8"/>
  <c r="CL19" i="7"/>
  <c r="CL151" i="7" s="1"/>
  <c r="CG157" i="7"/>
  <c r="FU27" i="123"/>
  <c r="BQ71" i="7"/>
  <c r="BQ73" i="7" s="1"/>
  <c r="CY13" i="135"/>
  <c r="CY7" i="135" s="1"/>
  <c r="CY15" i="135" s="1"/>
  <c r="CY17" i="135" s="1"/>
  <c r="CL8" i="135"/>
  <c r="CY7" i="136"/>
  <c r="AW13" i="135"/>
  <c r="AW7" i="135" s="1"/>
  <c r="AW15" i="135" s="1"/>
  <c r="CQ19" i="8"/>
  <c r="CQ102" i="8" s="1"/>
  <c r="CR17" i="8"/>
  <c r="CR102" i="8"/>
  <c r="V28" i="125"/>
  <c r="AP103" i="8"/>
  <c r="AP15" i="8"/>
  <c r="AP8" i="8" s="1"/>
  <c r="AP31" i="8"/>
  <c r="AP27" i="8" s="1"/>
  <c r="AV99" i="8"/>
  <c r="I15" i="7"/>
  <c r="I8" i="7" s="1"/>
  <c r="M62" i="9"/>
  <c r="V62" i="9" s="1"/>
  <c r="D35" i="7"/>
  <c r="D17" i="7"/>
  <c r="F15" i="8"/>
  <c r="F8" i="8" s="1"/>
  <c r="O12" i="5"/>
  <c r="B13" i="9"/>
  <c r="S45" i="11"/>
  <c r="G9" i="33"/>
  <c r="I9" i="33" s="1"/>
  <c r="AY8" i="17"/>
  <c r="BA159" i="7"/>
  <c r="P75" i="9"/>
  <c r="K20" i="32"/>
  <c r="M20" i="32" s="1"/>
  <c r="AC31" i="8"/>
  <c r="B28" i="63"/>
  <c r="AV87" i="6"/>
  <c r="Z19" i="10"/>
  <c r="AP16" i="6"/>
  <c r="AT16" i="6" s="1"/>
  <c r="AO15" i="10"/>
  <c r="AP15" i="10" s="1"/>
  <c r="AQ15" i="10" s="1"/>
  <c r="AR15" i="10" s="1"/>
  <c r="J21" i="96"/>
  <c r="BM148" i="7"/>
  <c r="CR50" i="8"/>
  <c r="CR108" i="8" s="1"/>
  <c r="AL16" i="65" s="1"/>
  <c r="AY19" i="10"/>
  <c r="FU42" i="123"/>
  <c r="AX99" i="8"/>
  <c r="AX30" i="8"/>
  <c r="AX31" i="8" s="1"/>
  <c r="H24" i="35"/>
  <c r="AC50" i="3"/>
  <c r="I25" i="8"/>
  <c r="AV46" i="11"/>
  <c r="AV43" i="11" s="1"/>
  <c r="AX39" i="11"/>
  <c r="AZ146" i="7"/>
  <c r="AW87" i="6"/>
  <c r="AX87" i="6"/>
  <c r="BG87" i="6"/>
  <c r="J64" i="96"/>
  <c r="C32" i="111"/>
  <c r="Q27" i="125"/>
  <c r="AC14" i="125"/>
  <c r="AK36" i="19"/>
  <c r="AB8" i="8"/>
  <c r="R26" i="8"/>
  <c r="O24" i="35"/>
  <c r="Y42" i="8"/>
  <c r="Y104" i="8" s="1"/>
  <c r="AF104" i="8" s="1"/>
  <c r="I17" i="8"/>
  <c r="O17" i="8" s="1"/>
  <c r="AD30" i="11"/>
  <c r="BE30" i="11" s="1"/>
  <c r="BF87" i="6"/>
  <c r="B29" i="84"/>
  <c r="D29" i="84" s="1"/>
  <c r="AF7" i="10"/>
  <c r="C20" i="111"/>
  <c r="W52" i="123"/>
  <c r="DI52" i="123"/>
  <c r="AZ57" i="123"/>
  <c r="BI57" i="123" s="1"/>
  <c r="BR57" i="123" s="1"/>
  <c r="R48" i="126" s="1"/>
  <c r="B72" i="123"/>
  <c r="CG22" i="123"/>
  <c r="EF22" i="123" s="1"/>
  <c r="GE22" i="123" s="1"/>
  <c r="Z27" i="123"/>
  <c r="FB27" i="123"/>
  <c r="BA36" i="123"/>
  <c r="BA55" i="123"/>
  <c r="DS55" i="123"/>
  <c r="BT53" i="123"/>
  <c r="N24" i="125"/>
  <c r="CY8" i="7"/>
  <c r="DO77" i="7"/>
  <c r="DO189" i="7" s="1"/>
  <c r="BG99" i="8"/>
  <c r="BP99" i="8"/>
  <c r="CY50" i="7"/>
  <c r="T45" i="6"/>
  <c r="AD15" i="6"/>
  <c r="K55" i="9"/>
  <c r="Z14" i="71"/>
  <c r="Y24" i="71"/>
  <c r="BN33" i="71"/>
  <c r="BU33" i="71" s="1"/>
  <c r="E61" i="8"/>
  <c r="E78" i="8" s="1"/>
  <c r="AZ52" i="7"/>
  <c r="AZ153" i="7" s="1"/>
  <c r="Q63" i="32"/>
  <c r="AF63" i="32" s="1"/>
  <c r="AH63" i="32" s="1"/>
  <c r="L34" i="8"/>
  <c r="M34" i="8" s="1"/>
  <c r="BH33" i="17"/>
  <c r="AP34" i="8"/>
  <c r="K74" i="72"/>
  <c r="AL48" i="72" s="1"/>
  <c r="AX48" i="72" s="1"/>
  <c r="AZ48" i="72" s="1"/>
  <c r="B42" i="78"/>
  <c r="BJ144" i="7"/>
  <c r="AX12" i="19"/>
  <c r="DU53" i="123"/>
  <c r="BE159" i="7"/>
  <c r="F23" i="61" s="1"/>
  <c r="BD64" i="7"/>
  <c r="BD159" i="7" s="1"/>
  <c r="AO10" i="17"/>
  <c r="AN10" i="17"/>
  <c r="T26" i="17"/>
  <c r="AP10" i="17"/>
  <c r="Q23" i="7" s="1"/>
  <c r="S23" i="7" s="1"/>
  <c r="G5" i="79"/>
  <c r="R44" i="3"/>
  <c r="R48" i="3" s="1"/>
  <c r="AO33" i="19"/>
  <c r="AK33" i="19"/>
  <c r="AD10" i="17"/>
  <c r="AM159" i="7"/>
  <c r="AD14" i="6"/>
  <c r="B87" i="7"/>
  <c r="AC33" i="5"/>
  <c r="BA64" i="7"/>
  <c r="G75" i="8"/>
  <c r="B57" i="19"/>
  <c r="AP12" i="71"/>
  <c r="AO11" i="71"/>
  <c r="H29" i="71"/>
  <c r="I9" i="87"/>
  <c r="AX45" i="3"/>
  <c r="AX44" i="3" s="1"/>
  <c r="AX48" i="3" s="1"/>
  <c r="T31" i="65"/>
  <c r="L24" i="66"/>
  <c r="BS150" i="7"/>
  <c r="BS41" i="7"/>
  <c r="BS35" i="7" s="1"/>
  <c r="BD99" i="8"/>
  <c r="BP100" i="8"/>
  <c r="BP103" i="8"/>
  <c r="BS97" i="8"/>
  <c r="AS100" i="8"/>
  <c r="L23" i="11"/>
  <c r="L19" i="11" s="1"/>
  <c r="AG28" i="6"/>
  <c r="B58" i="19"/>
  <c r="F40" i="8"/>
  <c r="F34" i="8" s="1"/>
  <c r="AD27" i="6"/>
  <c r="AY35" i="17"/>
  <c r="W14" i="17"/>
  <c r="AO28" i="17"/>
  <c r="K15" i="21"/>
  <c r="M53" i="11"/>
  <c r="AN29" i="11" s="1"/>
  <c r="AA34" i="17"/>
  <c r="AO34" i="17"/>
  <c r="I27" i="21"/>
  <c r="D13" i="3"/>
  <c r="M79" i="9"/>
  <c r="K75" i="9"/>
  <c r="AL50" i="9" s="1"/>
  <c r="AO50" i="9" s="1"/>
  <c r="AW15" i="7"/>
  <c r="AW8" i="7" s="1"/>
  <c r="BG149" i="7"/>
  <c r="AW152" i="7"/>
  <c r="Y23" i="11"/>
  <c r="Y19" i="11" s="1"/>
  <c r="AD28" i="6"/>
  <c r="T42" i="19"/>
  <c r="BA25" i="17"/>
  <c r="BN25" i="17" s="1"/>
  <c r="BP25" i="17" s="1"/>
  <c r="AN12" i="71"/>
  <c r="BH25" i="71"/>
  <c r="S24" i="71"/>
  <c r="M51" i="72"/>
  <c r="K51" i="72" s="1"/>
  <c r="AW41" i="7"/>
  <c r="AW35" i="7" s="1"/>
  <c r="V15" i="66"/>
  <c r="V12" i="66" s="1"/>
  <c r="R15" i="66"/>
  <c r="R12" i="66" s="1"/>
  <c r="R11" i="66" s="1"/>
  <c r="CT10" i="8"/>
  <c r="B4" i="85"/>
  <c r="N46" i="65"/>
  <c r="AL22" i="19"/>
  <c r="AK22" i="19"/>
  <c r="AX71" i="7"/>
  <c r="AE25" i="7"/>
  <c r="X44" i="6"/>
  <c r="AK28" i="8"/>
  <c r="J24" i="35"/>
  <c r="D24" i="35"/>
  <c r="E24" i="35"/>
  <c r="C15" i="3"/>
  <c r="D16" i="3"/>
  <c r="AK46" i="8"/>
  <c r="Z22" i="8"/>
  <c r="W119" i="8"/>
  <c r="W121" i="8" s="1"/>
  <c r="AC23" i="5"/>
  <c r="AC19" i="5"/>
  <c r="AD33" i="6"/>
  <c r="AD24" i="6"/>
  <c r="H18" i="6"/>
  <c r="D38" i="56"/>
  <c r="I28" i="56"/>
  <c r="K46" i="65"/>
  <c r="D45" i="79"/>
  <c r="D46" i="79" s="1"/>
  <c r="H42" i="79"/>
  <c r="J14" i="81"/>
  <c r="P14" i="81"/>
  <c r="D9" i="87"/>
  <c r="B52" i="32"/>
  <c r="D52" i="32" s="1"/>
  <c r="E18" i="86" s="1"/>
  <c r="E21" i="86" s="1"/>
  <c r="D19" i="87" s="1"/>
  <c r="AM62" i="3"/>
  <c r="O37" i="66"/>
  <c r="O38" i="66" s="1"/>
  <c r="BD34" i="8"/>
  <c r="AS8" i="8"/>
  <c r="K77" i="9"/>
  <c r="AL52" i="9" s="1"/>
  <c r="AD22" i="6"/>
  <c r="H41" i="6"/>
  <c r="AJ56" i="9"/>
  <c r="AJ57" i="9" s="1"/>
  <c r="F24" i="35"/>
  <c r="G24" i="35"/>
  <c r="I24" i="35"/>
  <c r="C10" i="3"/>
  <c r="C16" i="11" s="1"/>
  <c r="C9" i="11" s="1"/>
  <c r="B6" i="32"/>
  <c r="AG128" i="8"/>
  <c r="AJ56" i="72"/>
  <c r="AJ57" i="72" s="1"/>
  <c r="M40" i="7"/>
  <c r="M41" i="7" s="1"/>
  <c r="AF12" i="8"/>
  <c r="I10" i="21"/>
  <c r="K10" i="21" s="1"/>
  <c r="L45" i="6"/>
  <c r="L46" i="6" s="1"/>
  <c r="AS96" i="8"/>
  <c r="S16" i="82"/>
  <c r="Q16" i="82" s="1"/>
  <c r="M19" i="81"/>
  <c r="M8" i="81"/>
  <c r="N8" i="81" s="1"/>
  <c r="O8" i="81" s="1"/>
  <c r="AP36" i="6"/>
  <c r="AO36" i="6"/>
  <c r="BB42" i="3"/>
  <c r="K64" i="32"/>
  <c r="BC70" i="3"/>
  <c r="BA63" i="3"/>
  <c r="N38" i="105" s="1"/>
  <c r="BU43" i="8"/>
  <c r="BS43" i="8" s="1"/>
  <c r="BZ187" i="7"/>
  <c r="AV97" i="8"/>
  <c r="AP97" i="8"/>
  <c r="V60" i="9"/>
  <c r="C23" i="63"/>
  <c r="K73" i="9"/>
  <c r="AL48" i="9" s="1"/>
  <c r="AX48" i="9" s="1"/>
  <c r="L24" i="35"/>
  <c r="K24" i="35"/>
  <c r="J87" i="7"/>
  <c r="I10" i="11"/>
  <c r="Y83" i="8"/>
  <c r="Y128" i="8" s="1"/>
  <c r="AH17" i="7"/>
  <c r="N11" i="21"/>
  <c r="P11" i="21" s="1"/>
  <c r="T34" i="17"/>
  <c r="AK35" i="19"/>
  <c r="AO26" i="19"/>
  <c r="AL26" i="19"/>
  <c r="AL34" i="19"/>
  <c r="AK34" i="19"/>
  <c r="AO38" i="19"/>
  <c r="E26" i="75" s="1"/>
  <c r="AK38" i="19"/>
  <c r="AV32" i="11"/>
  <c r="AV33" i="11"/>
  <c r="AV30" i="11"/>
  <c r="AU65" i="72"/>
  <c r="BB48" i="72" s="1"/>
  <c r="BN48" i="72" s="1"/>
  <c r="AW68" i="72"/>
  <c r="BG24" i="7"/>
  <c r="V36" i="95"/>
  <c r="V41" i="95" s="1"/>
  <c r="U41" i="95"/>
  <c r="X12" i="6"/>
  <c r="AE46" i="5"/>
  <c r="AE148" i="7"/>
  <c r="AF175" i="7"/>
  <c r="B9" i="63"/>
  <c r="B10" i="63" s="1"/>
  <c r="Y17" i="72"/>
  <c r="X51" i="72"/>
  <c r="AE51" i="72"/>
  <c r="X55" i="72"/>
  <c r="AE55" i="72"/>
  <c r="AR55" i="72"/>
  <c r="G70" i="78"/>
  <c r="L9" i="87"/>
  <c r="U14" i="64"/>
  <c r="U11" i="64" s="1"/>
  <c r="AV49" i="19"/>
  <c r="BF61" i="8"/>
  <c r="AM17" i="5"/>
  <c r="AW19" i="10"/>
  <c r="DV28" i="123"/>
  <c r="K78" i="9"/>
  <c r="AL54" i="9" s="1"/>
  <c r="AO54" i="9" s="1"/>
  <c r="L19" i="10"/>
  <c r="Q19" i="10"/>
  <c r="AX87" i="7"/>
  <c r="C39" i="73"/>
  <c r="C40" i="73" s="1"/>
  <c r="AG63" i="72"/>
  <c r="BS144" i="7"/>
  <c r="BS15" i="7"/>
  <c r="BS8" i="7" s="1"/>
  <c r="BS152" i="7"/>
  <c r="AJ45" i="6"/>
  <c r="U74" i="10"/>
  <c r="BM33" i="7"/>
  <c r="BM27" i="7" s="1"/>
  <c r="M26" i="111"/>
  <c r="AK25" i="72"/>
  <c r="AU67" i="72"/>
  <c r="BB50" i="72" s="1"/>
  <c r="BN50" i="72" s="1"/>
  <c r="BT50" i="72" s="1"/>
  <c r="G67" i="78"/>
  <c r="C23" i="102"/>
  <c r="H52" i="95"/>
  <c r="D52" i="95"/>
  <c r="Q52" i="95"/>
  <c r="C29" i="118"/>
  <c r="C30" i="118" s="1"/>
  <c r="D28" i="118"/>
  <c r="AE33" i="98"/>
  <c r="D289" i="69"/>
  <c r="F63" i="65"/>
  <c r="X20" i="65"/>
  <c r="AN62" i="3"/>
  <c r="CH60" i="72" s="1"/>
  <c r="CH63" i="72" s="1"/>
  <c r="AY102" i="6"/>
  <c r="AN15" i="66"/>
  <c r="D81" i="81"/>
  <c r="R20" i="64"/>
  <c r="H10" i="94"/>
  <c r="AH46" i="5"/>
  <c r="AH47" i="5" s="1"/>
  <c r="B90" i="102"/>
  <c r="L35" i="7"/>
  <c r="M26" i="5"/>
  <c r="AC23" i="102"/>
  <c r="DM16" i="19"/>
  <c r="DJ96" i="8"/>
  <c r="AY34" i="17"/>
  <c r="D9" i="111"/>
  <c r="D28" i="73"/>
  <c r="C29" i="73"/>
  <c r="C30" i="73" s="1"/>
  <c r="AH44" i="3"/>
  <c r="AH48" i="3" s="1"/>
  <c r="B29" i="81"/>
  <c r="B28" i="81" s="1"/>
  <c r="R45" i="3"/>
  <c r="S34" i="32"/>
  <c r="B17" i="92"/>
  <c r="B15" i="92" s="1"/>
  <c r="C16" i="92" s="1"/>
  <c r="CE51" i="72"/>
  <c r="H6" i="106"/>
  <c r="AB21" i="9"/>
  <c r="AB11" i="9" s="1"/>
  <c r="AC11" i="9" s="1"/>
  <c r="Q18" i="7" s="1"/>
  <c r="Q8" i="11"/>
  <c r="F41" i="7"/>
  <c r="M25" i="8"/>
  <c r="U45" i="6"/>
  <c r="AK20" i="9"/>
  <c r="Y49" i="19"/>
  <c r="M55" i="11"/>
  <c r="AN32" i="11" s="1"/>
  <c r="AO32" i="11" s="1"/>
  <c r="Q124" i="7"/>
  <c r="AL38" i="19"/>
  <c r="AA45" i="6"/>
  <c r="AA46" i="6" s="1"/>
  <c r="AA52" i="6" s="1"/>
  <c r="AG52" i="6" s="1"/>
  <c r="AH52" i="6" s="1"/>
  <c r="BJ24" i="17"/>
  <c r="BJ39" i="17" s="1"/>
  <c r="D48" i="56"/>
  <c r="F101" i="56"/>
  <c r="F103" i="56" s="1"/>
  <c r="BH87" i="6"/>
  <c r="E19" i="84"/>
  <c r="G19" i="84" s="1"/>
  <c r="BA87" i="6"/>
  <c r="AY32" i="71"/>
  <c r="AA26" i="71"/>
  <c r="AH17" i="72"/>
  <c r="R11" i="72"/>
  <c r="AB55" i="72"/>
  <c r="P76" i="72"/>
  <c r="D5" i="88"/>
  <c r="F97" i="81"/>
  <c r="T18" i="64"/>
  <c r="T14" i="64" s="1"/>
  <c r="T11" i="64" s="1"/>
  <c r="AX39" i="5"/>
  <c r="U80" i="10"/>
  <c r="C7" i="111"/>
  <c r="CK31" i="17"/>
  <c r="CS100" i="8"/>
  <c r="D24" i="32"/>
  <c r="D26" i="32" s="1"/>
  <c r="AB15" i="72"/>
  <c r="Z15" i="72" s="1"/>
  <c r="AA15" i="72" s="1"/>
  <c r="E30" i="21"/>
  <c r="AT39" i="11"/>
  <c r="AT19" i="7" s="1"/>
  <c r="AU19" i="7" s="1"/>
  <c r="AH51" i="9"/>
  <c r="AR24" i="17"/>
  <c r="AR39" i="17" s="1"/>
  <c r="AH17" i="9"/>
  <c r="Y17" i="9"/>
  <c r="P10" i="10"/>
  <c r="AJ29" i="11"/>
  <c r="AY26" i="17"/>
  <c r="AV24" i="17"/>
  <c r="AV39" i="17" s="1"/>
  <c r="BB14" i="17"/>
  <c r="Z14" i="17"/>
  <c r="R8" i="17"/>
  <c r="AV8" i="17"/>
  <c r="D49" i="19"/>
  <c r="AB51" i="9"/>
  <c r="W39" i="11"/>
  <c r="Y42" i="11"/>
  <c r="Y45" i="11" s="1"/>
  <c r="AA33" i="17"/>
  <c r="AO33" i="17"/>
  <c r="Z49" i="19"/>
  <c r="E31" i="21"/>
  <c r="AC16" i="5"/>
  <c r="AH15" i="7"/>
  <c r="BB87" i="6"/>
  <c r="F46" i="61"/>
  <c r="BC87" i="6"/>
  <c r="R21" i="59"/>
  <c r="AU71" i="9"/>
  <c r="K77" i="72"/>
  <c r="H15" i="72"/>
  <c r="AW148" i="7"/>
  <c r="F37" i="81"/>
  <c r="F45" i="68"/>
  <c r="F49" i="68" s="1"/>
  <c r="BJ15" i="7"/>
  <c r="BJ8" i="7" s="1"/>
  <c r="BJ152" i="7"/>
  <c r="U76" i="10"/>
  <c r="C11" i="111"/>
  <c r="DF29" i="8"/>
  <c r="DK96" i="8"/>
  <c r="DK138" i="8" s="1"/>
  <c r="AR14" i="66" s="1"/>
  <c r="DT50" i="7"/>
  <c r="DT25" i="8"/>
  <c r="CA21" i="123"/>
  <c r="DR21" i="123"/>
  <c r="V24" i="125"/>
  <c r="DU35" i="123"/>
  <c r="CR150" i="7"/>
  <c r="DO12" i="8"/>
  <c r="DQ34" i="8"/>
  <c r="V60" i="96"/>
  <c r="BA34" i="17"/>
  <c r="BN34" i="17" s="1"/>
  <c r="J71" i="56"/>
  <c r="O71" i="56" s="1"/>
  <c r="O81" i="56" s="1"/>
  <c r="E81" i="56"/>
  <c r="E83" i="56" s="1"/>
  <c r="P46" i="5"/>
  <c r="R17" i="5"/>
  <c r="K48" i="56"/>
  <c r="F58" i="56"/>
  <c r="F60" i="56" s="1"/>
  <c r="AC83" i="8"/>
  <c r="AC128" i="8" s="1"/>
  <c r="AB128" i="8"/>
  <c r="T32" i="71"/>
  <c r="AT32" i="71" s="1"/>
  <c r="AN17" i="71"/>
  <c r="AP17" i="71"/>
  <c r="P33" i="71"/>
  <c r="T33" i="71"/>
  <c r="AP18" i="71"/>
  <c r="AV74" i="72"/>
  <c r="AU55" i="72"/>
  <c r="AP34" i="6"/>
  <c r="AO34" i="6"/>
  <c r="S45" i="65"/>
  <c r="G45" i="96"/>
  <c r="CO16" i="7"/>
  <c r="CO152" i="7" s="1"/>
  <c r="CP152" i="7"/>
  <c r="AL25" i="19"/>
  <c r="AK25" i="19"/>
  <c r="AL29" i="19"/>
  <c r="AK29" i="19"/>
  <c r="AK41" i="19"/>
  <c r="AL41" i="19"/>
  <c r="X19" i="61"/>
  <c r="Z19" i="61" s="1"/>
  <c r="AA19" i="61" s="1"/>
  <c r="AB19" i="61" s="1"/>
  <c r="AC19" i="61" s="1"/>
  <c r="AD19" i="61" s="1"/>
  <c r="BZ62" i="7"/>
  <c r="BZ155" i="7" s="1"/>
  <c r="BW155" i="7"/>
  <c r="CO143" i="8"/>
  <c r="AY19" i="61"/>
  <c r="I18" i="128"/>
  <c r="L48" i="3"/>
  <c r="AD9" i="6"/>
  <c r="N15" i="21"/>
  <c r="P15" i="21" s="1"/>
  <c r="F121" i="56"/>
  <c r="F123" i="56" s="1"/>
  <c r="K111" i="56"/>
  <c r="I57" i="61"/>
  <c r="I58" i="61" s="1"/>
  <c r="I60" i="61" s="1"/>
  <c r="H9" i="72"/>
  <c r="E7" i="82"/>
  <c r="I7" i="82" s="1"/>
  <c r="H7" i="82"/>
  <c r="L7" i="82"/>
  <c r="M7" i="82" s="1"/>
  <c r="P18" i="82"/>
  <c r="X44" i="3"/>
  <c r="E9" i="88"/>
  <c r="B11" i="88" s="1"/>
  <c r="Z62" i="65"/>
  <c r="Z57" i="65"/>
  <c r="Z63" i="65" s="1"/>
  <c r="AO29" i="6"/>
  <c r="BS28" i="8"/>
  <c r="BT28" i="8" s="1"/>
  <c r="B32" i="111"/>
  <c r="J39" i="11"/>
  <c r="S15" i="11"/>
  <c r="BH27" i="17"/>
  <c r="BA27" i="17"/>
  <c r="AH33" i="11"/>
  <c r="AH29" i="11"/>
  <c r="AH32" i="11"/>
  <c r="AW73" i="9"/>
  <c r="H11" i="82"/>
  <c r="G11" i="82"/>
  <c r="F59" i="81"/>
  <c r="D67" i="81"/>
  <c r="F67" i="81" s="1"/>
  <c r="O20" i="81"/>
  <c r="P20" i="81"/>
  <c r="H46" i="78"/>
  <c r="G48" i="78"/>
  <c r="J36" i="96"/>
  <c r="J37" i="96" s="1"/>
  <c r="L36" i="96"/>
  <c r="J16" i="96"/>
  <c r="J17" i="96" s="1"/>
  <c r="L16" i="96"/>
  <c r="I54" i="96"/>
  <c r="AC54" i="96" s="1"/>
  <c r="Y13" i="98"/>
  <c r="T13" i="98"/>
  <c r="C10" i="111"/>
  <c r="D10" i="111"/>
  <c r="D15" i="111"/>
  <c r="C15" i="111"/>
  <c r="C19" i="111"/>
  <c r="D19" i="111"/>
  <c r="B71" i="7"/>
  <c r="D34" i="8"/>
  <c r="U46" i="5"/>
  <c r="U52" i="5" s="1"/>
  <c r="AA52" i="5" s="1"/>
  <c r="Q17" i="5"/>
  <c r="B46" i="5"/>
  <c r="F25" i="6"/>
  <c r="J45" i="6"/>
  <c r="N55" i="9"/>
  <c r="P15" i="10"/>
  <c r="S39" i="11"/>
  <c r="S24" i="17"/>
  <c r="N24" i="17"/>
  <c r="N39" i="17" s="1"/>
  <c r="AO16" i="17"/>
  <c r="U8" i="17"/>
  <c r="T8" i="17" s="1"/>
  <c r="AY27" i="17"/>
  <c r="AA26" i="17"/>
  <c r="AY25" i="17"/>
  <c r="AF8" i="17"/>
  <c r="AC8" i="17" s="1"/>
  <c r="BB8" i="17"/>
  <c r="AH12" i="6"/>
  <c r="BF31" i="17"/>
  <c r="BF40" i="17" s="1"/>
  <c r="P43" i="59"/>
  <c r="W59" i="59"/>
  <c r="W58" i="59" s="1"/>
  <c r="AD44" i="3"/>
  <c r="AD48" i="3" s="1"/>
  <c r="AH13" i="72"/>
  <c r="R31" i="72"/>
  <c r="Z14" i="72" s="1"/>
  <c r="R37" i="72"/>
  <c r="M49" i="78"/>
  <c r="V14" i="64"/>
  <c r="V11" i="64" s="1"/>
  <c r="V23" i="64" s="1"/>
  <c r="W9" i="65"/>
  <c r="W44" i="65" s="1"/>
  <c r="W47" i="65" s="1"/>
  <c r="B56" i="102"/>
  <c r="H68" i="106"/>
  <c r="H80" i="106"/>
  <c r="B13" i="107"/>
  <c r="C15" i="107" s="1"/>
  <c r="BP15" i="7"/>
  <c r="BP8" i="7" s="1"/>
  <c r="BH62" i="3"/>
  <c r="N45" i="96" s="1"/>
  <c r="N48" i="96" s="1"/>
  <c r="V48" i="96" s="1"/>
  <c r="CH49" i="19"/>
  <c r="R19" i="126"/>
  <c r="M12" i="19"/>
  <c r="C13" i="75"/>
  <c r="C14" i="75" s="1"/>
  <c r="C16" i="75" s="1"/>
  <c r="C17" i="75" s="1"/>
  <c r="AD46" i="5"/>
  <c r="F50" i="56"/>
  <c r="AG10" i="5"/>
  <c r="AM10" i="5" s="1"/>
  <c r="U62" i="3"/>
  <c r="E93" i="81"/>
  <c r="M9" i="81" s="1"/>
  <c r="G8" i="84"/>
  <c r="K8" i="84" s="1"/>
  <c r="BJ41" i="7"/>
  <c r="BJ35" i="7" s="1"/>
  <c r="U78" i="10"/>
  <c r="K13" i="98"/>
  <c r="L13" i="98" s="1"/>
  <c r="R68" i="32"/>
  <c r="AG68" i="32" s="1"/>
  <c r="AF18" i="64"/>
  <c r="Q14" i="64"/>
  <c r="M22" i="125"/>
  <c r="AQ67" i="123"/>
  <c r="AE67" i="123"/>
  <c r="W20" i="125"/>
  <c r="AK19" i="11"/>
  <c r="AK22" i="11" s="1"/>
  <c r="P19" i="8" s="1"/>
  <c r="AC12" i="6"/>
  <c r="I13" i="21"/>
  <c r="I19" i="10"/>
  <c r="Y32" i="11"/>
  <c r="Y31" i="17"/>
  <c r="Y40" i="17" s="1"/>
  <c r="AA25" i="17"/>
  <c r="AO25" i="17"/>
  <c r="G49" i="34"/>
  <c r="F22" i="3"/>
  <c r="AI159" i="7"/>
  <c r="L79" i="9"/>
  <c r="P73" i="9"/>
  <c r="AR55" i="9"/>
  <c r="AU51" i="9"/>
  <c r="Q8" i="71"/>
  <c r="BN26" i="71"/>
  <c r="BU26" i="71" s="1"/>
  <c r="BN27" i="71"/>
  <c r="BU27" i="71" s="1"/>
  <c r="BH33" i="71"/>
  <c r="M13" i="72"/>
  <c r="N13" i="72" s="1"/>
  <c r="R33" i="72"/>
  <c r="AH51" i="72"/>
  <c r="AU51" i="72"/>
  <c r="D93" i="81"/>
  <c r="P19" i="66"/>
  <c r="Y19" i="66" s="1"/>
  <c r="E11" i="61"/>
  <c r="J12" i="98"/>
  <c r="BD103" i="8"/>
  <c r="S14" i="64"/>
  <c r="S11" i="64" s="1"/>
  <c r="BX64" i="123"/>
  <c r="DQ38" i="17"/>
  <c r="AA172" i="7"/>
  <c r="AI172" i="7" s="1"/>
  <c r="AP89" i="7"/>
  <c r="P28" i="56"/>
  <c r="P38" i="56" s="1"/>
  <c r="K38" i="56"/>
  <c r="I17" i="92"/>
  <c r="CR46" i="8"/>
  <c r="CR42" i="8" s="1"/>
  <c r="CR104" i="8" s="1"/>
  <c r="AL15" i="65" s="1"/>
  <c r="AT8" i="7"/>
  <c r="P77" i="9"/>
  <c r="M17" i="9"/>
  <c r="AD29" i="6"/>
  <c r="H22" i="3"/>
  <c r="S24" i="9"/>
  <c r="S26" i="9" s="1"/>
  <c r="AH52" i="7"/>
  <c r="AH153" i="7" s="1"/>
  <c r="T35" i="17"/>
  <c r="V35" i="17" s="1"/>
  <c r="M13" i="9"/>
  <c r="I46" i="5"/>
  <c r="AO27" i="17"/>
  <c r="P25" i="7"/>
  <c r="Z125" i="8"/>
  <c r="I34" i="8"/>
  <c r="O34" i="8" s="1"/>
  <c r="N14" i="21"/>
  <c r="P14" i="21" s="1"/>
  <c r="AA28" i="17"/>
  <c r="M33" i="7"/>
  <c r="U57" i="19"/>
  <c r="V17" i="7"/>
  <c r="AC36" i="5"/>
  <c r="AE45" i="3"/>
  <c r="M15" i="59"/>
  <c r="AY28" i="71"/>
  <c r="BT29" i="71"/>
  <c r="BN31" i="71"/>
  <c r="BU31" i="71" s="1"/>
  <c r="H14" i="72"/>
  <c r="D3" i="77"/>
  <c r="AW146" i="7"/>
  <c r="AF9" i="10"/>
  <c r="F26" i="78"/>
  <c r="B26" i="78" s="1"/>
  <c r="B24" i="78"/>
  <c r="M47" i="78"/>
  <c r="B46" i="78"/>
  <c r="CH87" i="72"/>
  <c r="CH62" i="72" s="1"/>
  <c r="L45" i="65"/>
  <c r="AK42" i="123"/>
  <c r="P25" i="72"/>
  <c r="V45" i="6"/>
  <c r="V46" i="6" s="1"/>
  <c r="F35" i="7"/>
  <c r="P14" i="10"/>
  <c r="R42" i="8"/>
  <c r="R37" i="9"/>
  <c r="M30" i="19"/>
  <c r="D37" i="19"/>
  <c r="V17" i="5"/>
  <c r="BA92" i="7"/>
  <c r="AI56" i="7"/>
  <c r="AC172" i="7"/>
  <c r="P35" i="17"/>
  <c r="C28" i="21"/>
  <c r="E28" i="21" s="1"/>
  <c r="V15" i="10"/>
  <c r="T10" i="19"/>
  <c r="AN18" i="17"/>
  <c r="G23" i="11"/>
  <c r="AH144" i="7"/>
  <c r="AG49" i="3"/>
  <c r="AZ20" i="8"/>
  <c r="F38" i="56"/>
  <c r="J91" i="56"/>
  <c r="J101" i="56" s="1"/>
  <c r="B14" i="59"/>
  <c r="AB46" i="3"/>
  <c r="AB44" i="3" s="1"/>
  <c r="E65" i="69"/>
  <c r="E90" i="69" s="1"/>
  <c r="E112" i="69" s="1"/>
  <c r="J20" i="70"/>
  <c r="AY26" i="71"/>
  <c r="BH31" i="71"/>
  <c r="BH26" i="71"/>
  <c r="BH27" i="71"/>
  <c r="AK13" i="72"/>
  <c r="AH22" i="72"/>
  <c r="Q59" i="72" s="1"/>
  <c r="B17" i="72"/>
  <c r="O17" i="72"/>
  <c r="B20" i="78"/>
  <c r="G22" i="79"/>
  <c r="G20" i="79" s="1"/>
  <c r="B69" i="81"/>
  <c r="B32" i="78"/>
  <c r="I52" i="85"/>
  <c r="J52" i="85" s="1"/>
  <c r="J51" i="85"/>
  <c r="AZ45" i="61"/>
  <c r="CJ167" i="7"/>
  <c r="CJ72" i="7" s="1"/>
  <c r="CH21" i="123"/>
  <c r="EG21" i="123" s="1"/>
  <c r="GF21" i="123" s="1"/>
  <c r="H103" i="7"/>
  <c r="E103" i="7" s="1"/>
  <c r="E105" i="7" s="1"/>
  <c r="AO26" i="17"/>
  <c r="C29" i="21"/>
  <c r="E29" i="21" s="1"/>
  <c r="AI20" i="8"/>
  <c r="AJ20" i="8" s="1"/>
  <c r="L13" i="21"/>
  <c r="G29" i="21" s="1"/>
  <c r="L29" i="21" s="1"/>
  <c r="U58" i="19"/>
  <c r="M52" i="7"/>
  <c r="AN17" i="17"/>
  <c r="AI54" i="7"/>
  <c r="AC21" i="5"/>
  <c r="M13" i="6"/>
  <c r="G15" i="33"/>
  <c r="I15" i="33" s="1"/>
  <c r="AA32" i="17"/>
  <c r="K11" i="21"/>
  <c r="AT61" i="9"/>
  <c r="AU23" i="7"/>
  <c r="AU25" i="7" s="1"/>
  <c r="BD92" i="7"/>
  <c r="T11" i="70" s="1"/>
  <c r="AB96" i="8"/>
  <c r="AS97" i="8"/>
  <c r="M30" i="32"/>
  <c r="BE175" i="7"/>
  <c r="BF87" i="7"/>
  <c r="BF53" i="7" s="1"/>
  <c r="BH88" i="6"/>
  <c r="C91" i="56"/>
  <c r="H91" i="56" s="1"/>
  <c r="H101" i="56" s="1"/>
  <c r="AG12" i="59"/>
  <c r="D209" i="69"/>
  <c r="D224" i="69" s="1"/>
  <c r="D236" i="69" s="1"/>
  <c r="BN30" i="71"/>
  <c r="BU30" i="71" s="1"/>
  <c r="BV30" i="71" s="1"/>
  <c r="I17" i="72"/>
  <c r="H17" i="72" s="1"/>
  <c r="N63" i="32"/>
  <c r="P63" i="32" s="1"/>
  <c r="H16" i="82"/>
  <c r="G16" i="82"/>
  <c r="D46" i="68"/>
  <c r="D48" i="68"/>
  <c r="D23" i="84"/>
  <c r="M36" i="78"/>
  <c r="J50" i="85"/>
  <c r="AI18" i="10"/>
  <c r="EW21" i="123"/>
  <c r="EV21" i="123" s="1"/>
  <c r="AU20" i="19"/>
  <c r="J26" i="96"/>
  <c r="L23" i="102"/>
  <c r="BW35" i="8"/>
  <c r="BV35" i="8" s="1"/>
  <c r="BV97" i="8" s="1"/>
  <c r="BJ96" i="8"/>
  <c r="BJ100" i="8"/>
  <c r="BJ17" i="8"/>
  <c r="BJ101" i="8"/>
  <c r="BJ40" i="8"/>
  <c r="BJ42" i="8"/>
  <c r="BJ104" i="8" s="1"/>
  <c r="F63" i="68"/>
  <c r="AK46" i="5"/>
  <c r="AL45" i="6"/>
  <c r="AL46" i="6" s="1"/>
  <c r="B29" i="116"/>
  <c r="B30" i="116" s="1"/>
  <c r="B39" i="116"/>
  <c r="B40" i="116" s="1"/>
  <c r="F10" i="117"/>
  <c r="CI41" i="7"/>
  <c r="AL63" i="32"/>
  <c r="AL69" i="32" s="1"/>
  <c r="AN69" i="32" s="1"/>
  <c r="C14" i="91"/>
  <c r="A14" i="91" s="1"/>
  <c r="B55" i="85" s="1"/>
  <c r="D55" i="85" s="1"/>
  <c r="C31" i="91"/>
  <c r="C32" i="91"/>
  <c r="A32" i="91" s="1"/>
  <c r="B61" i="85" s="1"/>
  <c r="D61" i="85" s="1"/>
  <c r="C33" i="91"/>
  <c r="A33" i="91" s="1"/>
  <c r="B62" i="85" s="1"/>
  <c r="D62" i="85" s="1"/>
  <c r="C34" i="91"/>
  <c r="A34" i="91" s="1"/>
  <c r="B63" i="85" s="1"/>
  <c r="D63" i="85" s="1"/>
  <c r="C35" i="91"/>
  <c r="A35" i="91" s="1"/>
  <c r="B64" i="85" s="1"/>
  <c r="D64" i="85" s="1"/>
  <c r="C36" i="91"/>
  <c r="A36" i="91" s="1"/>
  <c r="B65" i="85" s="1"/>
  <c r="D65" i="85" s="1"/>
  <c r="C40" i="91"/>
  <c r="A40" i="91" s="1"/>
  <c r="B69" i="85" s="1"/>
  <c r="D69" i="85" s="1"/>
  <c r="W14" i="64"/>
  <c r="W11" i="64" s="1"/>
  <c r="W10" i="64" s="1"/>
  <c r="W35" i="64" s="1"/>
  <c r="AW49" i="19"/>
  <c r="BP144" i="7"/>
  <c r="BN61" i="8"/>
  <c r="BN63" i="8" s="1"/>
  <c r="CL54" i="7"/>
  <c r="I30" i="85"/>
  <c r="T9" i="65"/>
  <c r="T44" i="65" s="1"/>
  <c r="T47" i="65" s="1"/>
  <c r="V31" i="65"/>
  <c r="T15" i="66"/>
  <c r="T12" i="66" s="1"/>
  <c r="T24" i="66" s="1"/>
  <c r="BW24" i="17"/>
  <c r="BV24" i="17" s="1"/>
  <c r="BV39" i="17" s="1"/>
  <c r="BS106" i="8"/>
  <c r="AT17" i="10"/>
  <c r="AZ46" i="5"/>
  <c r="B14" i="118"/>
  <c r="B15" i="118" s="1"/>
  <c r="DV42" i="123"/>
  <c r="DI41" i="123"/>
  <c r="W44" i="123"/>
  <c r="CT27" i="123"/>
  <c r="EZ26" i="123"/>
  <c r="CS146" i="7"/>
  <c r="CS191" i="7" s="1"/>
  <c r="CW101" i="8"/>
  <c r="BV8" i="123"/>
  <c r="BV11" i="123"/>
  <c r="CH11" i="123" s="1"/>
  <c r="DU10" i="123"/>
  <c r="DU27" i="123" s="1"/>
  <c r="FT11" i="123"/>
  <c r="C112" i="118"/>
  <c r="L25" i="125"/>
  <c r="AK18" i="98"/>
  <c r="DM42" i="8"/>
  <c r="DM104" i="8" s="1"/>
  <c r="DM141" i="8" s="1"/>
  <c r="CO11" i="135"/>
  <c r="CO13" i="135" s="1"/>
  <c r="G11" i="66"/>
  <c r="G39" i="66" s="1"/>
  <c r="G41" i="66" s="1"/>
  <c r="G45" i="66" s="1"/>
  <c r="G24" i="66"/>
  <c r="N10" i="100"/>
  <c r="T53" i="96"/>
  <c r="S41" i="128"/>
  <c r="C46" i="5"/>
  <c r="AB15" i="11"/>
  <c r="O19" i="7" s="1"/>
  <c r="O17" i="7" s="1"/>
  <c r="O71" i="7" s="1"/>
  <c r="D65" i="69"/>
  <c r="D90" i="69" s="1"/>
  <c r="D112" i="69" s="1"/>
  <c r="M64" i="11"/>
  <c r="BF32" i="11" s="1"/>
  <c r="AV68" i="72"/>
  <c r="BG33" i="7"/>
  <c r="BG27" i="7" s="1"/>
  <c r="BS149" i="7"/>
  <c r="AM19" i="10"/>
  <c r="F30" i="117"/>
  <c r="F41" i="117" s="1"/>
  <c r="EM10" i="123"/>
  <c r="EE21" i="123"/>
  <c r="GD21" i="123" s="1"/>
  <c r="AM19" i="66"/>
  <c r="Q29" i="123"/>
  <c r="AX46" i="65"/>
  <c r="BB8" i="71"/>
  <c r="AF8" i="71"/>
  <c r="AC8" i="71" s="1"/>
  <c r="BG96" i="8"/>
  <c r="BG100" i="8"/>
  <c r="BM96" i="8"/>
  <c r="BM103" i="8"/>
  <c r="CC49" i="19"/>
  <c r="CJ59" i="7" s="1"/>
  <c r="CJ154" i="7" s="1"/>
  <c r="DI38" i="123"/>
  <c r="DI44" i="8"/>
  <c r="DQ50" i="7"/>
  <c r="AR14" i="64"/>
  <c r="J6" i="129"/>
  <c r="J10" i="129" s="1"/>
  <c r="J14" i="129" s="1"/>
  <c r="J18" i="129" s="1"/>
  <c r="J20" i="129" s="1"/>
  <c r="J21" i="129" s="1"/>
  <c r="T36" i="7"/>
  <c r="U36" i="7" s="1"/>
  <c r="Y35" i="71"/>
  <c r="AR35" i="71"/>
  <c r="BF35" i="71"/>
  <c r="AZ29" i="71"/>
  <c r="BG152" i="7"/>
  <c r="I36" i="89"/>
  <c r="A36" i="89" s="1"/>
  <c r="B33" i="85" s="1"/>
  <c r="D33" i="85" s="1"/>
  <c r="I37" i="89"/>
  <c r="A37" i="89" s="1"/>
  <c r="B34" i="85" s="1"/>
  <c r="D34" i="85" s="1"/>
  <c r="H10" i="90"/>
  <c r="BZ31" i="17"/>
  <c r="BY31" i="17" s="1"/>
  <c r="BY40" i="17" s="1"/>
  <c r="CO24" i="17"/>
  <c r="CN24" i="17" s="1"/>
  <c r="CN39" i="17" s="1"/>
  <c r="CO31" i="17"/>
  <c r="CN31" i="17" s="1"/>
  <c r="CN40" i="17" s="1"/>
  <c r="AY45" i="6"/>
  <c r="AL42" i="98"/>
  <c r="DN152" i="7"/>
  <c r="P44" i="3"/>
  <c r="F30" i="56"/>
  <c r="O21" i="59"/>
  <c r="R38" i="59"/>
  <c r="R39" i="59" s="1"/>
  <c r="H8" i="71"/>
  <c r="AO26" i="71"/>
  <c r="BT24" i="71"/>
  <c r="BH28" i="71"/>
  <c r="M52" i="78"/>
  <c r="D69" i="78"/>
  <c r="J23" i="102"/>
  <c r="DJ67" i="8"/>
  <c r="BM12" i="136"/>
  <c r="BV12" i="136" s="1"/>
  <c r="BW12" i="136" s="1"/>
  <c r="DR46" i="8"/>
  <c r="DL191" i="7"/>
  <c r="AU22" i="64" s="1"/>
  <c r="BA22" i="64" s="1"/>
  <c r="AE33" i="19"/>
  <c r="AN33" i="19" s="1"/>
  <c r="AE28" i="19"/>
  <c r="AE21" i="19"/>
  <c r="AE16" i="19"/>
  <c r="AE34" i="19"/>
  <c r="AE13" i="19"/>
  <c r="AE24" i="19"/>
  <c r="AN24" i="19" s="1"/>
  <c r="AE39" i="19"/>
  <c r="AE40" i="19"/>
  <c r="AE27" i="19"/>
  <c r="AE31" i="19"/>
  <c r="AE30" i="19"/>
  <c r="AN30" i="19" s="1"/>
  <c r="AE9" i="19"/>
  <c r="AE20" i="19"/>
  <c r="AE37" i="19"/>
  <c r="AN37" i="19" s="1"/>
  <c r="AE22" i="19"/>
  <c r="AE26" i="19"/>
  <c r="AE17" i="19"/>
  <c r="AN17" i="19" s="1"/>
  <c r="AE32" i="19"/>
  <c r="AE25" i="19"/>
  <c r="AE35" i="19"/>
  <c r="AN35" i="19" s="1"/>
  <c r="AE18" i="19"/>
  <c r="AA49" i="19"/>
  <c r="AD60" i="19" s="1"/>
  <c r="AO12" i="19"/>
  <c r="AP12" i="19" s="1"/>
  <c r="AQ12" i="19" s="1"/>
  <c r="BP24" i="7"/>
  <c r="BR150" i="7"/>
  <c r="BR184" i="7" s="1"/>
  <c r="Q12" i="64" s="1"/>
  <c r="AB103" i="8"/>
  <c r="CU99" i="8"/>
  <c r="AB89" i="7"/>
  <c r="AB172" i="7" s="1"/>
  <c r="AD40" i="6"/>
  <c r="BH34" i="17"/>
  <c r="AF28" i="8"/>
  <c r="R26" i="5"/>
  <c r="AO17" i="17"/>
  <c r="AJ12" i="19"/>
  <c r="AL23" i="19"/>
  <c r="U11" i="70"/>
  <c r="K8" i="56"/>
  <c r="K18" i="56" s="1"/>
  <c r="F18" i="56"/>
  <c r="F20" i="56" s="1"/>
  <c r="F10" i="56"/>
  <c r="D13" i="88"/>
  <c r="G32" i="79"/>
  <c r="AS75" i="8"/>
  <c r="R71" i="3"/>
  <c r="V22" i="82"/>
  <c r="U14" i="82" s="1"/>
  <c r="V14" i="82" s="1"/>
  <c r="AB25" i="71"/>
  <c r="AA25" i="71"/>
  <c r="AF63" i="3"/>
  <c r="AF62" i="3" s="1"/>
  <c r="AS70" i="3"/>
  <c r="AS63" i="3" s="1"/>
  <c r="G9" i="87" s="1"/>
  <c r="E9" i="87" s="1"/>
  <c r="F26" i="87" s="1"/>
  <c r="F25" i="87" s="1"/>
  <c r="H30" i="65" s="1"/>
  <c r="N15" i="72"/>
  <c r="M17" i="72"/>
  <c r="K17" i="72" s="1"/>
  <c r="P78" i="72"/>
  <c r="L80" i="72"/>
  <c r="CQ52" i="7"/>
  <c r="CQ153" i="7" s="1"/>
  <c r="CQ188" i="7" s="1"/>
  <c r="AK16" i="64" s="1"/>
  <c r="Q62" i="32"/>
  <c r="AM46" i="3"/>
  <c r="AM44" i="3" s="1"/>
  <c r="AL48" i="3" s="1"/>
  <c r="O36" i="64"/>
  <c r="BX169" i="7"/>
  <c r="BV169" i="7" s="1"/>
  <c r="AH19" i="10"/>
  <c r="I23" i="102"/>
  <c r="CQ15" i="7"/>
  <c r="CQ149" i="7"/>
  <c r="B81" i="116"/>
  <c r="B82" i="116" s="1"/>
  <c r="BX43" i="8"/>
  <c r="BV43" i="8" s="1"/>
  <c r="BW187" i="7"/>
  <c r="D66" i="116"/>
  <c r="CI12" i="123"/>
  <c r="CM144" i="7"/>
  <c r="BA14" i="61" s="1"/>
  <c r="AT146" i="7"/>
  <c r="CU97" i="8"/>
  <c r="CU144" i="8" s="1"/>
  <c r="AM30" i="65" s="1"/>
  <c r="BJ34" i="8"/>
  <c r="CU17" i="8"/>
  <c r="BJ97" i="8"/>
  <c r="AB97" i="8"/>
  <c r="AB27" i="8"/>
  <c r="F18" i="117"/>
  <c r="F22" i="117" s="1"/>
  <c r="BM146" i="7"/>
  <c r="P26" i="9"/>
  <c r="Z105" i="8"/>
  <c r="AM47" i="8"/>
  <c r="AE18" i="17"/>
  <c r="AO18" i="17"/>
  <c r="AN11" i="17"/>
  <c r="AP11" i="17"/>
  <c r="Q31" i="7" s="1"/>
  <c r="T31" i="7" s="1"/>
  <c r="U31" i="7" s="1"/>
  <c r="AG8" i="17"/>
  <c r="AE29" i="19"/>
  <c r="I13" i="3"/>
  <c r="I87" i="7"/>
  <c r="K43" i="3"/>
  <c r="AG56" i="9"/>
  <c r="AG57" i="9" s="1"/>
  <c r="AG56" i="72"/>
  <c r="AG57" i="72" s="1"/>
  <c r="P43" i="3"/>
  <c r="AT56" i="9"/>
  <c r="AT57" i="9" s="1"/>
  <c r="C13" i="88"/>
  <c r="D5" i="80"/>
  <c r="K71" i="3"/>
  <c r="CA34" i="17"/>
  <c r="BQ31" i="17"/>
  <c r="AY25" i="71"/>
  <c r="AE10" i="71"/>
  <c r="AH10" i="71"/>
  <c r="AM15" i="71"/>
  <c r="AO15" i="71" s="1"/>
  <c r="AD15" i="71"/>
  <c r="H14" i="71"/>
  <c r="AO31" i="71"/>
  <c r="AY31" i="71"/>
  <c r="AO33" i="71"/>
  <c r="AY33" i="71"/>
  <c r="BM24" i="71"/>
  <c r="BJ35" i="71"/>
  <c r="K57" i="65"/>
  <c r="K63" i="65" s="1"/>
  <c r="C4" i="85"/>
  <c r="L12" i="82"/>
  <c r="L14" i="82"/>
  <c r="F91" i="81"/>
  <c r="B25" i="87"/>
  <c r="C27" i="87"/>
  <c r="F8" i="90"/>
  <c r="H7" i="90"/>
  <c r="AO35" i="6"/>
  <c r="AO19" i="6"/>
  <c r="AP19" i="6"/>
  <c r="AP32" i="6"/>
  <c r="AT32" i="6" s="1"/>
  <c r="AO32" i="6"/>
  <c r="D8" i="111"/>
  <c r="CP151" i="7"/>
  <c r="AO63" i="32"/>
  <c r="AO61" i="32" s="1"/>
  <c r="AO70" i="32" s="1"/>
  <c r="BH49" i="3"/>
  <c r="CS120" i="8"/>
  <c r="CS62" i="8" s="1"/>
  <c r="AJ37" i="66"/>
  <c r="AJ38" i="66" s="1"/>
  <c r="BS11" i="123"/>
  <c r="BS29" i="123" s="1"/>
  <c r="CW12" i="123"/>
  <c r="DP12" i="123"/>
  <c r="W19" i="126" s="1"/>
  <c r="BQ25" i="71"/>
  <c r="BB25" i="71"/>
  <c r="BL25" i="71"/>
  <c r="S44" i="3"/>
  <c r="BP45" i="3" s="1"/>
  <c r="D9" i="88"/>
  <c r="G41" i="79"/>
  <c r="F45" i="79" s="1"/>
  <c r="F46" i="79" s="1"/>
  <c r="I42" i="79" s="1"/>
  <c r="F12" i="94"/>
  <c r="H11" i="94"/>
  <c r="I14" i="85"/>
  <c r="J13" i="85"/>
  <c r="AF20" i="66"/>
  <c r="AH20" i="66"/>
  <c r="D54" i="102"/>
  <c r="D53" i="102"/>
  <c r="M7" i="102" s="1"/>
  <c r="BV60" i="7" s="1"/>
  <c r="N23" i="125"/>
  <c r="D67" i="116"/>
  <c r="D65" i="116"/>
  <c r="K49" i="19"/>
  <c r="CM17" i="7"/>
  <c r="CU34" i="8"/>
  <c r="X9" i="7"/>
  <c r="X8" i="7" s="1"/>
  <c r="AB14" i="9"/>
  <c r="AB17" i="9" s="1"/>
  <c r="E45" i="6"/>
  <c r="T56" i="7"/>
  <c r="U56" i="7" s="1"/>
  <c r="G49" i="3"/>
  <c r="O49" i="3" s="1"/>
  <c r="Y99" i="8"/>
  <c r="AF99" i="8" s="1"/>
  <c r="G41" i="7"/>
  <c r="AE59" i="19"/>
  <c r="AG59" i="19" s="1"/>
  <c r="AE56" i="19"/>
  <c r="AL18" i="19"/>
  <c r="AK18" i="19"/>
  <c r="AK28" i="19"/>
  <c r="AL28" i="19"/>
  <c r="AL32" i="19"/>
  <c r="AK32" i="19"/>
  <c r="AO40" i="19"/>
  <c r="AL40" i="19"/>
  <c r="S19" i="56"/>
  <c r="D39" i="56"/>
  <c r="B33" i="73"/>
  <c r="AA63" i="3"/>
  <c r="F46" i="65"/>
  <c r="I46" i="65" s="1"/>
  <c r="D111" i="56"/>
  <c r="D121" i="56" s="1"/>
  <c r="AF16" i="10"/>
  <c r="AZ32" i="8"/>
  <c r="C8" i="73"/>
  <c r="B9" i="73"/>
  <c r="B10" i="73" s="1"/>
  <c r="AW25" i="7"/>
  <c r="AW17" i="7" s="1"/>
  <c r="AW149" i="7"/>
  <c r="AW33" i="7"/>
  <c r="AW27" i="7" s="1"/>
  <c r="F33" i="84"/>
  <c r="G29" i="84"/>
  <c r="AP20" i="6"/>
  <c r="AT20" i="6" s="1"/>
  <c r="AT18" i="6" s="1"/>
  <c r="AO20" i="6"/>
  <c r="BC27" i="6"/>
  <c r="BG27" i="6" s="1"/>
  <c r="AP27" i="6"/>
  <c r="Q9" i="98"/>
  <c r="P24" i="98"/>
  <c r="V24" i="95"/>
  <c r="U25" i="95"/>
  <c r="AT7" i="10"/>
  <c r="CF10" i="7" s="1"/>
  <c r="AO7" i="10"/>
  <c r="AP7" i="10" s="1"/>
  <c r="AQ7" i="10" s="1"/>
  <c r="AR7" i="10" s="1"/>
  <c r="AO14" i="10"/>
  <c r="AP14" i="10" s="1"/>
  <c r="AQ14" i="10" s="1"/>
  <c r="AT14" i="10"/>
  <c r="CL10" i="8" s="1"/>
  <c r="CK10" i="8" s="1"/>
  <c r="CQ157" i="7"/>
  <c r="AK17" i="64"/>
  <c r="AL68" i="32"/>
  <c r="AN68" i="32" s="1"/>
  <c r="CK157" i="7"/>
  <c r="AI17" i="64"/>
  <c r="AI14" i="64" s="1"/>
  <c r="AB20" i="125"/>
  <c r="P14" i="125"/>
  <c r="O14" i="125"/>
  <c r="G63" i="3"/>
  <c r="AK166" i="7"/>
  <c r="AL13" i="19"/>
  <c r="R19" i="10"/>
  <c r="AH119" i="8"/>
  <c r="AH126" i="8" s="1"/>
  <c r="AY103" i="6"/>
  <c r="AU70" i="9"/>
  <c r="BB52" i="9" s="1"/>
  <c r="AO27" i="71"/>
  <c r="AO28" i="71"/>
  <c r="I8" i="89"/>
  <c r="A8" i="89" s="1"/>
  <c r="B17" i="85" s="1"/>
  <c r="D17" i="85" s="1"/>
  <c r="E52" i="95"/>
  <c r="R52" i="95"/>
  <c r="N52" i="95"/>
  <c r="BG103" i="8"/>
  <c r="N63" i="109"/>
  <c r="BM149" i="7"/>
  <c r="BM41" i="7"/>
  <c r="BM35" i="7" s="1"/>
  <c r="BP152" i="7"/>
  <c r="BA46" i="5"/>
  <c r="AR45" i="6"/>
  <c r="AR51" i="6" s="1"/>
  <c r="AA46" i="5"/>
  <c r="AE19" i="19"/>
  <c r="AF14" i="10"/>
  <c r="AO30" i="71"/>
  <c r="I22" i="72"/>
  <c r="D67" i="78"/>
  <c r="G69" i="78"/>
  <c r="H8" i="94"/>
  <c r="AO42" i="6"/>
  <c r="AX29" i="5"/>
  <c r="BB29" i="5" s="1"/>
  <c r="AP21" i="123"/>
  <c r="AO21" i="123" s="1"/>
  <c r="BH119" i="8"/>
  <c r="BH121" i="8" s="1"/>
  <c r="L31" i="96"/>
  <c r="B19" i="105"/>
  <c r="CM152" i="7"/>
  <c r="AD10" i="123"/>
  <c r="N17" i="126" s="1"/>
  <c r="K10" i="123"/>
  <c r="CN10" i="123"/>
  <c r="DP10" i="123"/>
  <c r="W17" i="126" s="1"/>
  <c r="Y166" i="7"/>
  <c r="AE42" i="19"/>
  <c r="AN42" i="19" s="1"/>
  <c r="AK26" i="19"/>
  <c r="AB99" i="8"/>
  <c r="D93" i="56"/>
  <c r="AH11" i="6"/>
  <c r="AN11" i="6" s="1"/>
  <c r="BH11" i="6" s="1"/>
  <c r="BH9" i="6" s="1"/>
  <c r="AV67" i="9"/>
  <c r="AF14" i="71"/>
  <c r="AC14" i="71" s="1"/>
  <c r="AI41" i="3"/>
  <c r="AI39" i="3" s="1"/>
  <c r="B93" i="81"/>
  <c r="BG41" i="7"/>
  <c r="BG35" i="7" s="1"/>
  <c r="I6" i="89"/>
  <c r="A6" i="89" s="1"/>
  <c r="B15" i="85" s="1"/>
  <c r="D15" i="85" s="1"/>
  <c r="I35" i="89"/>
  <c r="A35" i="89" s="1"/>
  <c r="B32" i="85" s="1"/>
  <c r="D32" i="85" s="1"/>
  <c r="I39" i="89"/>
  <c r="A39" i="89" s="1"/>
  <c r="B36" i="85" s="1"/>
  <c r="D36" i="85" s="1"/>
  <c r="I52" i="95"/>
  <c r="J16" i="98"/>
  <c r="O73" i="32"/>
  <c r="BR119" i="8"/>
  <c r="AH21" i="64"/>
  <c r="AN18" i="5"/>
  <c r="AN17" i="5" s="1"/>
  <c r="BM15" i="7"/>
  <c r="BM8" i="7" s="1"/>
  <c r="AK62" i="32"/>
  <c r="AM20" i="64"/>
  <c r="CO62" i="7"/>
  <c r="CO155" i="7" s="1"/>
  <c r="CR143" i="8"/>
  <c r="CN29" i="8"/>
  <c r="CN38" i="8"/>
  <c r="CS108" i="8"/>
  <c r="CS142" i="8" s="1"/>
  <c r="AJ18" i="66" s="1"/>
  <c r="AE11" i="98"/>
  <c r="AE26" i="98" s="1"/>
  <c r="AU18" i="10"/>
  <c r="AX13" i="10"/>
  <c r="AX18" i="10"/>
  <c r="DX75" i="123"/>
  <c r="W28" i="125"/>
  <c r="CI22" i="123"/>
  <c r="EH22" i="123" s="1"/>
  <c r="GG22" i="123" s="1"/>
  <c r="BT30" i="123"/>
  <c r="DC13" i="8"/>
  <c r="DD15" i="8"/>
  <c r="DD8" i="8" s="1"/>
  <c r="C29" i="124"/>
  <c r="DM31" i="7"/>
  <c r="DN33" i="7"/>
  <c r="DN27" i="7" s="1"/>
  <c r="DQ46" i="8"/>
  <c r="DE46" i="8"/>
  <c r="DF15" i="7"/>
  <c r="DF8" i="7" s="1"/>
  <c r="DF149" i="7"/>
  <c r="CQ7" i="135"/>
  <c r="CQ15" i="135"/>
  <c r="CQ17" i="135" s="1"/>
  <c r="DD11" i="135"/>
  <c r="DE13" i="135"/>
  <c r="I13" i="135"/>
  <c r="I7" i="135" s="1"/>
  <c r="M12" i="135"/>
  <c r="M13" i="135" s="1"/>
  <c r="M8" i="136"/>
  <c r="H8" i="136"/>
  <c r="CN10" i="136"/>
  <c r="CN12" i="136" s="1"/>
  <c r="CO12" i="136"/>
  <c r="M11" i="136"/>
  <c r="M12" i="136" s="1"/>
  <c r="G12" i="136"/>
  <c r="AH8" i="123"/>
  <c r="CJ16" i="123"/>
  <c r="EI16" i="123" s="1"/>
  <c r="GH16" i="123" s="1"/>
  <c r="Q28" i="123"/>
  <c r="Z28" i="123"/>
  <c r="CT28" i="123"/>
  <c r="FB28" i="123"/>
  <c r="DU47" i="123"/>
  <c r="DU59" i="123"/>
  <c r="FT47" i="123"/>
  <c r="DD13" i="7"/>
  <c r="DD15" i="7" s="1"/>
  <c r="DI18" i="8"/>
  <c r="DI23" i="8"/>
  <c r="BM13" i="135"/>
  <c r="BM7" i="135" s="1"/>
  <c r="BM15" i="135" s="1"/>
  <c r="AD14" i="123"/>
  <c r="CV46" i="8"/>
  <c r="CT46" i="8" s="1"/>
  <c r="AT18" i="64"/>
  <c r="CX13" i="135"/>
  <c r="AE13" i="123"/>
  <c r="BD30" i="123"/>
  <c r="DL30" i="123"/>
  <c r="BJ13" i="135"/>
  <c r="BJ7" i="135" s="1"/>
  <c r="BJ15" i="135" s="1"/>
  <c r="CJ8" i="7"/>
  <c r="CJ50" i="7"/>
  <c r="CL36" i="7"/>
  <c r="AI63" i="32"/>
  <c r="AI67" i="32" s="1"/>
  <c r="FS9" i="123"/>
  <c r="FS26" i="123" s="1"/>
  <c r="FJ64" i="123"/>
  <c r="U115" i="7"/>
  <c r="AH27" i="7"/>
  <c r="AT45" i="11"/>
  <c r="AP19" i="8" s="1"/>
  <c r="AG8" i="71"/>
  <c r="N51" i="72"/>
  <c r="C37" i="91"/>
  <c r="A37" i="91" s="1"/>
  <c r="B66" i="85" s="1"/>
  <c r="D66" i="85" s="1"/>
  <c r="L63" i="96"/>
  <c r="Q15" i="66"/>
  <c r="H68" i="32"/>
  <c r="J68" i="32" s="1"/>
  <c r="J73" i="32" s="1"/>
  <c r="B9" i="116"/>
  <c r="B10" i="116" s="1"/>
  <c r="AQ8" i="8"/>
  <c r="BG148" i="7"/>
  <c r="H114" i="106"/>
  <c r="Z30" i="123"/>
  <c r="CT30" i="123"/>
  <c r="FB30" i="123"/>
  <c r="CR14" i="19"/>
  <c r="DE149" i="7"/>
  <c r="AJ18" i="98"/>
  <c r="AZ64" i="32"/>
  <c r="DX49" i="19"/>
  <c r="DK47" i="8" s="1"/>
  <c r="DK105" i="8" s="1"/>
  <c r="H12" i="135"/>
  <c r="DP9" i="7"/>
  <c r="DP144" i="7" s="1"/>
  <c r="DS33" i="7"/>
  <c r="DS27" i="7" s="1"/>
  <c r="DS15" i="8"/>
  <c r="DS8" i="8" s="1"/>
  <c r="DU46" i="123"/>
  <c r="DU44" i="123"/>
  <c r="CQ8" i="136"/>
  <c r="BD28" i="123"/>
  <c r="DV49" i="19"/>
  <c r="DF59" i="7" s="1"/>
  <c r="DF154" i="7" s="1"/>
  <c r="DE146" i="7"/>
  <c r="DQ41" i="7"/>
  <c r="DQ35" i="7" s="1"/>
  <c r="F12" i="5"/>
  <c r="BS33" i="7"/>
  <c r="BS27" i="7" s="1"/>
  <c r="AX28" i="5"/>
  <c r="Q29" i="125"/>
  <c r="BD8" i="71"/>
  <c r="AV14" i="71"/>
  <c r="BG146" i="7"/>
  <c r="BG144" i="7"/>
  <c r="BJ149" i="7"/>
  <c r="BG31" i="8"/>
  <c r="BG27" i="8" s="1"/>
  <c r="BY20" i="7"/>
  <c r="BJ31" i="8"/>
  <c r="BJ27" i="8" s="1"/>
  <c r="CN149" i="7"/>
  <c r="BC19" i="10"/>
  <c r="DC38" i="17"/>
  <c r="CL140" i="8"/>
  <c r="Q45" i="65"/>
  <c r="Y49" i="3"/>
  <c r="H5" i="79" s="1"/>
  <c r="H9" i="79" s="1"/>
  <c r="I40" i="89"/>
  <c r="A40" i="89" s="1"/>
  <c r="B37" i="85" s="1"/>
  <c r="D37" i="85" s="1"/>
  <c r="I42" i="89"/>
  <c r="A42" i="89" s="1"/>
  <c r="B39" i="85" s="1"/>
  <c r="D39" i="85" s="1"/>
  <c r="BZ20" i="7"/>
  <c r="BA13" i="10"/>
  <c r="BA18" i="10"/>
  <c r="BB19" i="10"/>
  <c r="AB13" i="9"/>
  <c r="AB21" i="72"/>
  <c r="AB11" i="72" s="1"/>
  <c r="AC11" i="72" s="1"/>
  <c r="AC13" i="72" s="1"/>
  <c r="J46" i="5"/>
  <c r="W8" i="71"/>
  <c r="AY8" i="71"/>
  <c r="N24" i="71"/>
  <c r="N36" i="71" s="1"/>
  <c r="BD49" i="19"/>
  <c r="CM27" i="7"/>
  <c r="CJ77" i="7"/>
  <c r="BV22" i="123"/>
  <c r="CD24" i="123"/>
  <c r="EC24" i="123" s="1"/>
  <c r="DZ24" i="123"/>
  <c r="DI25" i="123"/>
  <c r="EM14" i="123"/>
  <c r="DF14" i="123"/>
  <c r="CW14" i="123"/>
  <c r="CT29" i="123"/>
  <c r="AK38" i="98"/>
  <c r="AL38" i="98"/>
  <c r="BM19" i="10"/>
  <c r="CR49" i="19"/>
  <c r="CQ59" i="7" s="1"/>
  <c r="CQ154" i="7" s="1"/>
  <c r="DD10" i="7"/>
  <c r="DD146" i="7" s="1"/>
  <c r="DJ99" i="8"/>
  <c r="DI43" i="8"/>
  <c r="DG7" i="136"/>
  <c r="BP12" i="136"/>
  <c r="L7" i="136"/>
  <c r="M7" i="136" s="1"/>
  <c r="DR15" i="8"/>
  <c r="DL46" i="8"/>
  <c r="FS53" i="123"/>
  <c r="ES28" i="123"/>
  <c r="Q30" i="123"/>
  <c r="BM30" i="123"/>
  <c r="ES30" i="123"/>
  <c r="AK42" i="98"/>
  <c r="CV49" i="19"/>
  <c r="DR25" i="8"/>
  <c r="FH56" i="123"/>
  <c r="CI23" i="123"/>
  <c r="EH23" i="123" s="1"/>
  <c r="GG23" i="123" s="1"/>
  <c r="CG24" i="123"/>
  <c r="AR25" i="123"/>
  <c r="BJ25" i="123"/>
  <c r="FR25" i="123"/>
  <c r="FB25" i="123"/>
  <c r="FB26" i="123" s="1"/>
  <c r="AR15" i="123"/>
  <c r="BA8" i="123"/>
  <c r="BJ14" i="123"/>
  <c r="BJ16" i="123"/>
  <c r="CQ10" i="123"/>
  <c r="CQ12" i="123"/>
  <c r="CQ30" i="123" s="1"/>
  <c r="CZ15" i="123"/>
  <c r="DI8" i="123"/>
  <c r="D19" i="128"/>
  <c r="E19" i="128" s="1"/>
  <c r="CX44" i="8"/>
  <c r="AZ45" i="6"/>
  <c r="AZ51" i="6" s="1"/>
  <c r="AJ42" i="98"/>
  <c r="BO13" i="10"/>
  <c r="BJ19" i="10"/>
  <c r="BL18" i="10"/>
  <c r="BN19" i="10"/>
  <c r="DT38" i="17"/>
  <c r="Q60" i="96"/>
  <c r="BV15" i="123"/>
  <c r="DU13" i="123"/>
  <c r="BG13" i="135"/>
  <c r="BG7" i="135" s="1"/>
  <c r="BG15" i="135" s="1"/>
  <c r="BS13" i="135"/>
  <c r="BS7" i="135" s="1"/>
  <c r="DG54" i="7"/>
  <c r="D8" i="116"/>
  <c r="C9" i="116"/>
  <c r="AN36" i="64"/>
  <c r="BO41" i="3"/>
  <c r="BO39" i="3" s="1"/>
  <c r="CI33" i="7"/>
  <c r="W14" i="71"/>
  <c r="AR24" i="71"/>
  <c r="AR36" i="71" s="1"/>
  <c r="BF24" i="71"/>
  <c r="AA55" i="72"/>
  <c r="AU66" i="72"/>
  <c r="AU71" i="72"/>
  <c r="BB52" i="72" s="1"/>
  <c r="BN52" i="72" s="1"/>
  <c r="BT52" i="72" s="1"/>
  <c r="AU73" i="72"/>
  <c r="BB54" i="72" s="1"/>
  <c r="BN54" i="72" s="1"/>
  <c r="BT54" i="72" s="1"/>
  <c r="K79" i="72"/>
  <c r="AL54" i="72" s="1"/>
  <c r="AO54" i="72" s="1"/>
  <c r="F12" i="82"/>
  <c r="J12" i="82" s="1"/>
  <c r="H32" i="78"/>
  <c r="M42" i="95"/>
  <c r="CL152" i="7"/>
  <c r="F31" i="8"/>
  <c r="F27" i="8" s="1"/>
  <c r="V12" i="5"/>
  <c r="Q14" i="17"/>
  <c r="D253" i="69"/>
  <c r="D266" i="69" s="1"/>
  <c r="D279" i="69" s="1"/>
  <c r="P2" i="89"/>
  <c r="M2" i="89"/>
  <c r="I5" i="89"/>
  <c r="A5" i="89" s="1"/>
  <c r="B14" i="85" s="1"/>
  <c r="D14" i="85" s="1"/>
  <c r="I9" i="89"/>
  <c r="A9" i="89" s="1"/>
  <c r="B18" i="85" s="1"/>
  <c r="D18" i="85" s="1"/>
  <c r="CN8" i="7"/>
  <c r="CL20" i="7"/>
  <c r="CL31" i="7"/>
  <c r="CO29" i="7"/>
  <c r="CO27" i="7" s="1"/>
  <c r="CR100" i="8"/>
  <c r="H41" i="7"/>
  <c r="AF105" i="8"/>
  <c r="M21" i="59"/>
  <c r="AV8" i="71"/>
  <c r="BD14" i="71"/>
  <c r="AM35" i="71"/>
  <c r="AV24" i="71"/>
  <c r="BJ24" i="71"/>
  <c r="BJ36" i="71" s="1"/>
  <c r="AB51" i="72"/>
  <c r="K55" i="72"/>
  <c r="AH55" i="72"/>
  <c r="P79" i="72"/>
  <c r="F60" i="81"/>
  <c r="F80" i="81"/>
  <c r="AD19" i="10"/>
  <c r="S35" i="32"/>
  <c r="AC13" i="10"/>
  <c r="M31" i="61" s="1"/>
  <c r="D17" i="5"/>
  <c r="M12" i="5"/>
  <c r="BF49" i="19"/>
  <c r="G23" i="102"/>
  <c r="CI9" i="7"/>
  <c r="CJ146" i="7"/>
  <c r="AS45" i="6"/>
  <c r="AG38" i="98"/>
  <c r="AD22" i="98"/>
  <c r="CM9" i="8" s="1"/>
  <c r="CM8" i="8" s="1"/>
  <c r="CE21" i="123"/>
  <c r="CQ43" i="8"/>
  <c r="AQ45" i="6"/>
  <c r="AQ52" i="6" s="1"/>
  <c r="AF47" i="95"/>
  <c r="AH52" i="95"/>
  <c r="AF42" i="95"/>
  <c r="AF42" i="98"/>
  <c r="AG33" i="98"/>
  <c r="AE38" i="98"/>
  <c r="AF38" i="98"/>
  <c r="DC24" i="17"/>
  <c r="DC39" i="17" s="1"/>
  <c r="Q19" i="105"/>
  <c r="CM77" i="7"/>
  <c r="BX42" i="123"/>
  <c r="DR46" i="123"/>
  <c r="AL47" i="95"/>
  <c r="FY22" i="123"/>
  <c r="BV24" i="123"/>
  <c r="DU24" i="123"/>
  <c r="DU30" i="123" s="1"/>
  <c r="Q25" i="123"/>
  <c r="Q26" i="123" s="1"/>
  <c r="AT22" i="66"/>
  <c r="DD23" i="7"/>
  <c r="DD25" i="7" s="1"/>
  <c r="CZ157" i="7"/>
  <c r="DI22" i="8"/>
  <c r="DI99" i="8" s="1"/>
  <c r="AK33" i="98"/>
  <c r="Q50" i="96"/>
  <c r="DT16" i="19"/>
  <c r="EA16" i="19" s="1"/>
  <c r="DW49" i="19"/>
  <c r="DJ47" i="8" s="1"/>
  <c r="DJ105" i="8" s="1"/>
  <c r="DJ42" i="8"/>
  <c r="DJ104" i="8" s="1"/>
  <c r="DF10" i="136"/>
  <c r="AF11" i="135"/>
  <c r="AG11" i="135" s="1"/>
  <c r="CP7" i="135"/>
  <c r="BP13" i="135"/>
  <c r="BP7" i="135" s="1"/>
  <c r="BP15" i="135" s="1"/>
  <c r="D7" i="136"/>
  <c r="CW8" i="136"/>
  <c r="BJ12" i="136"/>
  <c r="BS66" i="123"/>
  <c r="B16" i="123"/>
  <c r="AI51" i="123"/>
  <c r="AI56" i="123"/>
  <c r="AI38" i="123"/>
  <c r="AU48" i="123"/>
  <c r="BV60" i="123"/>
  <c r="DG15" i="8"/>
  <c r="DG8" i="8" s="1"/>
  <c r="DA39" i="7"/>
  <c r="AL49" i="95"/>
  <c r="DB185" i="7" s="1"/>
  <c r="Q9" i="136"/>
  <c r="DG14" i="136"/>
  <c r="DG16" i="136" s="1"/>
  <c r="DW8" i="8"/>
  <c r="AR36" i="123"/>
  <c r="FH36" i="123"/>
  <c r="FH37" i="123"/>
  <c r="EP40" i="123"/>
  <c r="AA25" i="125"/>
  <c r="O26" i="125"/>
  <c r="FO16" i="123"/>
  <c r="BG15" i="123"/>
  <c r="FO14" i="123"/>
  <c r="AC21" i="126" s="1"/>
  <c r="AE15" i="123"/>
  <c r="AE14" i="123"/>
  <c r="O21" i="126" s="1"/>
  <c r="Z25" i="123"/>
  <c r="Z26" i="123" s="1"/>
  <c r="BD25" i="123"/>
  <c r="BM29" i="123"/>
  <c r="DL25" i="123"/>
  <c r="DL26" i="123" s="1"/>
  <c r="DJ17" i="8"/>
  <c r="AB7" i="102"/>
  <c r="AB23" i="102" s="1"/>
  <c r="Z39" i="104"/>
  <c r="BC68" i="32"/>
  <c r="DE8" i="8"/>
  <c r="DJ49" i="19"/>
  <c r="DE47" i="8" s="1"/>
  <c r="DE105" i="8" s="1"/>
  <c r="AL51" i="95"/>
  <c r="AY65" i="32"/>
  <c r="AV18" i="64"/>
  <c r="DJ97" i="8"/>
  <c r="DJ144" i="8" s="1"/>
  <c r="AT30" i="65" s="1"/>
  <c r="H11" i="136"/>
  <c r="CV7" i="136"/>
  <c r="F13" i="135"/>
  <c r="AE18" i="61"/>
  <c r="BZ157" i="7"/>
  <c r="BY60" i="7"/>
  <c r="BY157" i="7" s="1"/>
  <c r="BZ189" i="7"/>
  <c r="C94" i="116"/>
  <c r="B96" i="116"/>
  <c r="B97" i="116" s="1"/>
  <c r="BW50" i="8"/>
  <c r="BW108" i="8" s="1"/>
  <c r="BV108" i="8"/>
  <c r="AG20" i="6"/>
  <c r="AG18" i="6" s="1"/>
  <c r="AD20" i="6"/>
  <c r="AM9" i="17"/>
  <c r="AD9" i="17"/>
  <c r="T32" i="61"/>
  <c r="T11" i="61"/>
  <c r="T44" i="61" s="1"/>
  <c r="T47" i="61" s="1"/>
  <c r="AU13" i="7"/>
  <c r="AV167" i="7"/>
  <c r="AU56" i="7"/>
  <c r="AV56" i="7" s="1"/>
  <c r="AU16" i="7"/>
  <c r="AV16" i="7" s="1"/>
  <c r="W31" i="104"/>
  <c r="H24" i="17"/>
  <c r="M52" i="11"/>
  <c r="AH152" i="7"/>
  <c r="AF45" i="6"/>
  <c r="AF46" i="6" s="1"/>
  <c r="N8" i="71"/>
  <c r="BN25" i="71"/>
  <c r="BU25" i="71" s="1"/>
  <c r="Y62" i="3"/>
  <c r="BM60" i="72" s="1"/>
  <c r="BL52" i="72" s="1"/>
  <c r="BJ33" i="7"/>
  <c r="BJ27" i="7" s="1"/>
  <c r="AK45" i="6"/>
  <c r="AK53" i="6" s="1"/>
  <c r="S7" i="102"/>
  <c r="T28" i="104"/>
  <c r="CL44" i="8" s="1"/>
  <c r="G66" i="114"/>
  <c r="CN17" i="7"/>
  <c r="CM146" i="7"/>
  <c r="CM191" i="7" s="1"/>
  <c r="CP25" i="7"/>
  <c r="CP17" i="7" s="1"/>
  <c r="BF45" i="3"/>
  <c r="BF44" i="3" s="1"/>
  <c r="CN167" i="7"/>
  <c r="AG47" i="95"/>
  <c r="AG42" i="95"/>
  <c r="AE42" i="98"/>
  <c r="CB12" i="19"/>
  <c r="CG158" i="7"/>
  <c r="V10" i="10"/>
  <c r="I11" i="11"/>
  <c r="N9" i="11"/>
  <c r="M50" i="78"/>
  <c r="C38" i="91"/>
  <c r="A38" i="91" s="1"/>
  <c r="B67" i="85" s="1"/>
  <c r="D67" i="85" s="1"/>
  <c r="BW31" i="17"/>
  <c r="BV31" i="17" s="1"/>
  <c r="BV40" i="17" s="1"/>
  <c r="BZ24" i="17"/>
  <c r="AV62" i="3"/>
  <c r="AF16" i="61"/>
  <c r="K20" i="70"/>
  <c r="BN28" i="71"/>
  <c r="BU28" i="71" s="1"/>
  <c r="BV28" i="71" s="1"/>
  <c r="AK26" i="72"/>
  <c r="P74" i="72"/>
  <c r="I12" i="89"/>
  <c r="A12" i="89" s="1"/>
  <c r="B21" i="85" s="1"/>
  <c r="D21" i="85" s="1"/>
  <c r="I13" i="89"/>
  <c r="A13" i="89" s="1"/>
  <c r="B22" i="85" s="1"/>
  <c r="D22" i="85" s="1"/>
  <c r="C3" i="91"/>
  <c r="A3" i="91" s="1"/>
  <c r="B44" i="85" s="1"/>
  <c r="D44" i="85" s="1"/>
  <c r="C12" i="91"/>
  <c r="A12" i="91" s="1"/>
  <c r="B53" i="85" s="1"/>
  <c r="D53" i="85" s="1"/>
  <c r="H108" i="106"/>
  <c r="Q13" i="61"/>
  <c r="AJ46" i="5"/>
  <c r="BA12" i="19"/>
  <c r="CO10" i="7"/>
  <c r="CL29" i="7"/>
  <c r="AV19" i="10"/>
  <c r="DF24" i="17"/>
  <c r="DF39" i="17" s="1"/>
  <c r="CZ31" i="17"/>
  <c r="CZ40" i="17" s="1"/>
  <c r="DF31" i="17"/>
  <c r="DF40" i="17" s="1"/>
  <c r="G17" i="128"/>
  <c r="AL56" i="7"/>
  <c r="BA56" i="7" s="1"/>
  <c r="J71" i="7"/>
  <c r="H17" i="5"/>
  <c r="AC14" i="5"/>
  <c r="W11" i="5"/>
  <c r="W12" i="5" s="1"/>
  <c r="R38" i="9"/>
  <c r="AY33" i="17"/>
  <c r="BH30" i="71"/>
  <c r="F79" i="81"/>
  <c r="CJ25" i="123"/>
  <c r="CJ26" i="123" s="1"/>
  <c r="DW42" i="123"/>
  <c r="F42" i="123"/>
  <c r="DS50" i="7"/>
  <c r="H25" i="123"/>
  <c r="DT25" i="123"/>
  <c r="DC25" i="123"/>
  <c r="DC26" i="123" s="1"/>
  <c r="Z29" i="123"/>
  <c r="W25" i="125"/>
  <c r="K14" i="123"/>
  <c r="H42" i="123"/>
  <c r="CT42" i="123"/>
  <c r="F77" i="68"/>
  <c r="BQ49" i="3"/>
  <c r="DJ109" i="8"/>
  <c r="AA7" i="102"/>
  <c r="AA13" i="102"/>
  <c r="DE152" i="7"/>
  <c r="AS23" i="66"/>
  <c r="DP41" i="7"/>
  <c r="DR15" i="7"/>
  <c r="DR8" i="7" s="1"/>
  <c r="DU23" i="8"/>
  <c r="DU25" i="8" s="1"/>
  <c r="AR47" i="95"/>
  <c r="AP42" i="98"/>
  <c r="BY19" i="10"/>
  <c r="BD53" i="6"/>
  <c r="DT44" i="123"/>
  <c r="FA64" i="123"/>
  <c r="BV23" i="123"/>
  <c r="CH23" i="123" s="1"/>
  <c r="DU23" i="123"/>
  <c r="AU25" i="123"/>
  <c r="CT25" i="123"/>
  <c r="CT26" i="123" s="1"/>
  <c r="CJ67" i="123"/>
  <c r="EI67" i="123" s="1"/>
  <c r="GH67" i="123" s="1"/>
  <c r="AI49" i="123"/>
  <c r="AI58" i="123"/>
  <c r="AI36" i="123"/>
  <c r="AI40" i="123"/>
  <c r="AI60" i="123"/>
  <c r="BV36" i="123"/>
  <c r="BV40" i="123"/>
  <c r="BV38" i="123"/>
  <c r="BV51" i="123"/>
  <c r="DU51" i="123"/>
  <c r="DU54" i="123"/>
  <c r="DU60" i="123"/>
  <c r="DU36" i="123"/>
  <c r="FT58" i="123"/>
  <c r="AT21" i="66"/>
  <c r="DD48" i="7"/>
  <c r="AK42" i="95"/>
  <c r="DM27" i="19"/>
  <c r="AV21" i="64"/>
  <c r="DQ27" i="8"/>
  <c r="DN151" i="7"/>
  <c r="DU31" i="8"/>
  <c r="DU27" i="8" s="1"/>
  <c r="AP33" i="98"/>
  <c r="AE12" i="123"/>
  <c r="CZ25" i="123"/>
  <c r="DL29" i="123"/>
  <c r="T14" i="123"/>
  <c r="F42" i="128"/>
  <c r="I42" i="128" s="1"/>
  <c r="CV44" i="8"/>
  <c r="DE41" i="7"/>
  <c r="DE35" i="7" s="1"/>
  <c r="CX23" i="7"/>
  <c r="CX25" i="7" s="1"/>
  <c r="BE46" i="5"/>
  <c r="CU61" i="7"/>
  <c r="CU158" i="7" s="1"/>
  <c r="AI13" i="123"/>
  <c r="AI16" i="123"/>
  <c r="BV14" i="123"/>
  <c r="DU15" i="123"/>
  <c r="DU14" i="123"/>
  <c r="DJ54" i="7"/>
  <c r="DI191" i="7"/>
  <c r="AS22" i="64" s="1"/>
  <c r="AT22" i="64" s="1"/>
  <c r="DW25" i="8"/>
  <c r="DV31" i="8"/>
  <c r="DV27" i="8" s="1"/>
  <c r="DY67" i="8"/>
  <c r="DU46" i="8"/>
  <c r="AP51" i="95"/>
  <c r="AQ33" i="98"/>
  <c r="F33" i="7"/>
  <c r="F27" i="7" s="1"/>
  <c r="B19" i="73"/>
  <c r="B20" i="73" s="1"/>
  <c r="C18" i="73"/>
  <c r="C19" i="73" s="1"/>
  <c r="V11" i="61"/>
  <c r="V44" i="61" s="1"/>
  <c r="V47" i="61" s="1"/>
  <c r="V32" i="61"/>
  <c r="AK71" i="7"/>
  <c r="AK88" i="7" s="1"/>
  <c r="D27" i="7"/>
  <c r="H17" i="7"/>
  <c r="W17" i="7"/>
  <c r="N8" i="7"/>
  <c r="F38" i="97"/>
  <c r="E54" i="97"/>
  <c r="U54" i="97" s="1"/>
  <c r="E40" i="97"/>
  <c r="BS9" i="136" s="1"/>
  <c r="BT9" i="136" s="1"/>
  <c r="D9" i="65"/>
  <c r="D47" i="65" s="1"/>
  <c r="D48" i="65" s="1"/>
  <c r="D49" i="65" s="1"/>
  <c r="D31" i="65"/>
  <c r="W23" i="95"/>
  <c r="X23" i="95" s="1"/>
  <c r="F15" i="7"/>
  <c r="F8" i="7" s="1"/>
  <c r="W15" i="11"/>
  <c r="AF14" i="17"/>
  <c r="AC14" i="17" s="1"/>
  <c r="AE14" i="17" s="1"/>
  <c r="W45" i="11"/>
  <c r="AH149" i="7"/>
  <c r="B16" i="62"/>
  <c r="Q12" i="70"/>
  <c r="Q20" i="70" s="1"/>
  <c r="Q14" i="71"/>
  <c r="H24" i="71"/>
  <c r="AR29" i="71"/>
  <c r="AR37" i="71" s="1"/>
  <c r="BF29" i="71"/>
  <c r="AA30" i="71"/>
  <c r="S22" i="72"/>
  <c r="G11" i="77"/>
  <c r="K17" i="66" s="1"/>
  <c r="K15" i="66" s="1"/>
  <c r="B12" i="78"/>
  <c r="E3" i="80"/>
  <c r="J22" i="81"/>
  <c r="F85" i="81"/>
  <c r="B28" i="78"/>
  <c r="M51" i="78"/>
  <c r="S42" i="10"/>
  <c r="U42" i="10" s="1"/>
  <c r="AE13" i="10"/>
  <c r="I7" i="89"/>
  <c r="A7" i="89" s="1"/>
  <c r="B16" i="85" s="1"/>
  <c r="D16" i="85" s="1"/>
  <c r="I34" i="89"/>
  <c r="A34" i="89" s="1"/>
  <c r="B31" i="85" s="1"/>
  <c r="D31" i="85" s="1"/>
  <c r="K22" i="87"/>
  <c r="U20" i="61"/>
  <c r="W32" i="61"/>
  <c r="W15" i="66"/>
  <c r="W12" i="66" s="1"/>
  <c r="S15" i="66"/>
  <c r="S12" i="66" s="1"/>
  <c r="S24" i="66" s="1"/>
  <c r="J31" i="98"/>
  <c r="C6" i="105"/>
  <c r="C19" i="105" s="1"/>
  <c r="C25" i="105" s="1"/>
  <c r="BJ25" i="8"/>
  <c r="BP8" i="19"/>
  <c r="CN44" i="8"/>
  <c r="BG46" i="3"/>
  <c r="BG44" i="3" s="1"/>
  <c r="CK167" i="7" s="1"/>
  <c r="CE49" i="19"/>
  <c r="CO47" i="8" s="1"/>
  <c r="AD26" i="6"/>
  <c r="C45" i="6"/>
  <c r="R18" i="6"/>
  <c r="S45" i="6"/>
  <c r="S46" i="6" s="1"/>
  <c r="X55" i="9"/>
  <c r="X51" i="9"/>
  <c r="R36" i="9"/>
  <c r="B17" i="9"/>
  <c r="Q13" i="9"/>
  <c r="O13" i="9" s="1"/>
  <c r="K14" i="21"/>
  <c r="E13" i="21"/>
  <c r="E16" i="21" s="1"/>
  <c r="M54" i="11"/>
  <c r="AN33" i="11" s="1"/>
  <c r="BA33" i="11" s="1"/>
  <c r="Y24" i="17"/>
  <c r="AF17" i="5"/>
  <c r="AE8" i="7"/>
  <c r="AE60" i="59"/>
  <c r="AE61" i="59"/>
  <c r="F18" i="61"/>
  <c r="M20" i="70"/>
  <c r="AE9" i="71"/>
  <c r="AA31" i="71"/>
  <c r="AO32" i="71"/>
  <c r="BH32" i="71"/>
  <c r="I13" i="72"/>
  <c r="H13" i="72" s="1"/>
  <c r="B29" i="73"/>
  <c r="I4" i="89"/>
  <c r="A4" i="89" s="1"/>
  <c r="B13" i="85" s="1"/>
  <c r="D13" i="85" s="1"/>
  <c r="F30" i="89"/>
  <c r="F28" i="89" s="1"/>
  <c r="E10" i="64"/>
  <c r="E37" i="64" s="1"/>
  <c r="AM45" i="6"/>
  <c r="AM52" i="6" s="1"/>
  <c r="AI45" i="6"/>
  <c r="AI54" i="6" s="1"/>
  <c r="BH12" i="19"/>
  <c r="J51" i="95"/>
  <c r="BT43" i="7"/>
  <c r="AN13" i="10"/>
  <c r="G39" i="105" s="1"/>
  <c r="BH61" i="8"/>
  <c r="BG40" i="8"/>
  <c r="H54" i="106"/>
  <c r="M37" i="95"/>
  <c r="BP148" i="7"/>
  <c r="BI46" i="3"/>
  <c r="BI44" i="3" s="1"/>
  <c r="BI41" i="3" s="1"/>
  <c r="BI39" i="3" s="1"/>
  <c r="AS103" i="8"/>
  <c r="N14" i="71"/>
  <c r="AO25" i="71"/>
  <c r="P27" i="71"/>
  <c r="P28" i="71"/>
  <c r="N29" i="71"/>
  <c r="N37" i="71" s="1"/>
  <c r="BJ29" i="71"/>
  <c r="BJ37" i="71" s="1"/>
  <c r="AK20" i="72"/>
  <c r="AW74" i="72"/>
  <c r="AU74" i="72" s="1"/>
  <c r="E15" i="77"/>
  <c r="B15" i="78"/>
  <c r="B73" i="78"/>
  <c r="F73" i="78"/>
  <c r="O32" i="61"/>
  <c r="E25" i="87"/>
  <c r="AR12" i="19"/>
  <c r="BI61" i="8"/>
  <c r="X38" i="92"/>
  <c r="N162" i="109"/>
  <c r="BN166" i="7"/>
  <c r="AX49" i="19"/>
  <c r="AU13" i="10"/>
  <c r="CL49" i="19"/>
  <c r="CR47" i="8" s="1"/>
  <c r="F25" i="8"/>
  <c r="F17" i="8" s="1"/>
  <c r="M15" i="8"/>
  <c r="M8" i="8" s="1"/>
  <c r="O26" i="5"/>
  <c r="R12" i="5"/>
  <c r="H12" i="5"/>
  <c r="AI49" i="19"/>
  <c r="AR31" i="17"/>
  <c r="AR40" i="17" s="1"/>
  <c r="AC40" i="8"/>
  <c r="AC48" i="59"/>
  <c r="AC44" i="59" s="1"/>
  <c r="AC43" i="59" s="1"/>
  <c r="F42" i="59"/>
  <c r="Z8" i="71"/>
  <c r="Q13" i="72"/>
  <c r="O13" i="72" s="1"/>
  <c r="C8" i="76"/>
  <c r="D18" i="67" s="1"/>
  <c r="AW150" i="7"/>
  <c r="AW52" i="7"/>
  <c r="AW153" i="7" s="1"/>
  <c r="U49" i="3"/>
  <c r="U44" i="3" s="1"/>
  <c r="U40" i="3" s="1"/>
  <c r="U39" i="3" s="1"/>
  <c r="I31" i="89"/>
  <c r="A31" i="89" s="1"/>
  <c r="B28" i="85" s="1"/>
  <c r="I32" i="89"/>
  <c r="A32" i="89" s="1"/>
  <c r="B29" i="85" s="1"/>
  <c r="D29" i="85" s="1"/>
  <c r="J30" i="89"/>
  <c r="J28" i="89" s="1"/>
  <c r="L19" i="64"/>
  <c r="C4" i="91"/>
  <c r="C7" i="91"/>
  <c r="A7" i="91" s="1"/>
  <c r="B48" i="85" s="1"/>
  <c r="D48" i="85" s="1"/>
  <c r="C8" i="91"/>
  <c r="A8" i="91" s="1"/>
  <c r="B49" i="85" s="1"/>
  <c r="D49" i="85" s="1"/>
  <c r="C10" i="91"/>
  <c r="A10" i="91" s="1"/>
  <c r="B51" i="85" s="1"/>
  <c r="D51" i="85" s="1"/>
  <c r="C11" i="91"/>
  <c r="A11" i="91" s="1"/>
  <c r="B52" i="85" s="1"/>
  <c r="D52" i="85" s="1"/>
  <c r="U15" i="66"/>
  <c r="U12" i="66" s="1"/>
  <c r="H7" i="94"/>
  <c r="AC18" i="10"/>
  <c r="BD40" i="8"/>
  <c r="BG15" i="8"/>
  <c r="BG8" i="8" s="1"/>
  <c r="Y38" i="92"/>
  <c r="H23" i="102"/>
  <c r="BM25" i="8"/>
  <c r="BV25" i="8" s="1"/>
  <c r="AF12" i="95"/>
  <c r="DC31" i="17"/>
  <c r="DC40" i="17" s="1"/>
  <c r="CI16" i="19"/>
  <c r="AG58" i="123"/>
  <c r="BT58" i="123"/>
  <c r="DS58" i="123"/>
  <c r="FR58" i="123"/>
  <c r="FT23" i="123"/>
  <c r="ES29" i="123"/>
  <c r="DI36" i="123"/>
  <c r="W37" i="123"/>
  <c r="CZ38" i="123"/>
  <c r="FH45" i="123"/>
  <c r="E49" i="123"/>
  <c r="W49" i="123"/>
  <c r="CQ49" i="123"/>
  <c r="DI49" i="123"/>
  <c r="W50" i="123"/>
  <c r="DI50" i="123"/>
  <c r="EY50" i="123"/>
  <c r="E51" i="123"/>
  <c r="W51" i="123"/>
  <c r="DI51" i="123"/>
  <c r="FS60" i="123"/>
  <c r="EM15" i="123"/>
  <c r="Q40" i="128"/>
  <c r="R40" i="128"/>
  <c r="BH16" i="61"/>
  <c r="DB187" i="7"/>
  <c r="EZ13" i="123"/>
  <c r="EY13" i="123" s="1"/>
  <c r="F56" i="134"/>
  <c r="C68" i="134"/>
  <c r="AF75" i="123"/>
  <c r="AB24" i="125"/>
  <c r="AP7" i="136"/>
  <c r="BG7" i="136"/>
  <c r="AX16" i="123"/>
  <c r="K16" i="123"/>
  <c r="DF15" i="123"/>
  <c r="EV16" i="123"/>
  <c r="CT146" i="7"/>
  <c r="CT191" i="7" s="1"/>
  <c r="AL22" i="64" s="1"/>
  <c r="CR61" i="7"/>
  <c r="CR158" i="7" s="1"/>
  <c r="DJ34" i="8"/>
  <c r="DJ100" i="8"/>
  <c r="W19" i="105"/>
  <c r="DD26" i="7"/>
  <c r="DD152" i="7" s="1"/>
  <c r="DO49" i="19"/>
  <c r="DC59" i="7" s="1"/>
  <c r="DC154" i="7" s="1"/>
  <c r="DC184" i="7" s="1"/>
  <c r="AQ12" i="64" s="1"/>
  <c r="U25" i="105"/>
  <c r="U31" i="105" s="1"/>
  <c r="AV20" i="64"/>
  <c r="AE13" i="102"/>
  <c r="DJ38" i="7"/>
  <c r="DI46" i="8"/>
  <c r="DN77" i="7"/>
  <c r="DN189" i="7" s="1"/>
  <c r="DS39" i="7"/>
  <c r="DZ96" i="8"/>
  <c r="DZ138" i="8" s="1"/>
  <c r="AY14" i="66" s="1"/>
  <c r="DR29" i="8"/>
  <c r="DQ100" i="8"/>
  <c r="DL44" i="8"/>
  <c r="ES49" i="19"/>
  <c r="DQ59" i="7" s="1"/>
  <c r="EY12" i="19"/>
  <c r="FB49" i="19"/>
  <c r="DY47" i="8" s="1"/>
  <c r="EK16" i="19"/>
  <c r="DN148" i="7"/>
  <c r="EB31" i="17"/>
  <c r="AO16" i="123"/>
  <c r="CN15" i="123"/>
  <c r="AT20" i="66"/>
  <c r="DJ31" i="8"/>
  <c r="DJ27" i="8" s="1"/>
  <c r="DJ25" i="8"/>
  <c r="AM51" i="95"/>
  <c r="AM52" i="95" s="1"/>
  <c r="DH158" i="7"/>
  <c r="BS15" i="135"/>
  <c r="CW52" i="7"/>
  <c r="CW153" i="7" s="1"/>
  <c r="CW188" i="7" s="1"/>
  <c r="AN16" i="64" s="1"/>
  <c r="AN14" i="64" s="1"/>
  <c r="CA62" i="3"/>
  <c r="W45" i="96" s="1"/>
  <c r="BF45" i="6"/>
  <c r="BF54" i="6" s="1"/>
  <c r="BG54" i="6" s="1"/>
  <c r="ER48" i="19"/>
  <c r="EU49" i="19"/>
  <c r="DV47" i="8" s="1"/>
  <c r="FH25" i="123"/>
  <c r="FQ25" i="123" s="1"/>
  <c r="DL28" i="123"/>
  <c r="AI35" i="123"/>
  <c r="AI39" i="123"/>
  <c r="BV50" i="123"/>
  <c r="BV53" i="123"/>
  <c r="CT48" i="123"/>
  <c r="DC42" i="123"/>
  <c r="DC43" i="123"/>
  <c r="DL43" i="123"/>
  <c r="DU55" i="123"/>
  <c r="FT35" i="123"/>
  <c r="FT45" i="123"/>
  <c r="FT59" i="123"/>
  <c r="DI189" i="7"/>
  <c r="AG12" i="135"/>
  <c r="BL66" i="61"/>
  <c r="AP12" i="136"/>
  <c r="DS60" i="7"/>
  <c r="DT77" i="7"/>
  <c r="DT189" i="7" s="1"/>
  <c r="DM54" i="7"/>
  <c r="DU103" i="8"/>
  <c r="DY96" i="8"/>
  <c r="DR40" i="8"/>
  <c r="CX46" i="123"/>
  <c r="AP66" i="123"/>
  <c r="AD66" i="123"/>
  <c r="CQ25" i="8"/>
  <c r="X47" i="19"/>
  <c r="AE47" i="19" s="1"/>
  <c r="AG47" i="19" s="1"/>
  <c r="D73" i="56"/>
  <c r="D74" i="56"/>
  <c r="C71" i="56"/>
  <c r="I71" i="56"/>
  <c r="Q9" i="11"/>
  <c r="Q10" i="11"/>
  <c r="Q7" i="11"/>
  <c r="Q11" i="11"/>
  <c r="AT34" i="17"/>
  <c r="AX34" i="17"/>
  <c r="V34" i="17"/>
  <c r="U34" i="17"/>
  <c r="Y29" i="8" s="1"/>
  <c r="F73" i="56"/>
  <c r="K71" i="56"/>
  <c r="P71" i="56" s="1"/>
  <c r="P81" i="56" s="1"/>
  <c r="AC87" i="7"/>
  <c r="O50" i="3"/>
  <c r="AA98" i="7"/>
  <c r="I25" i="6"/>
  <c r="Q40" i="6"/>
  <c r="Q25" i="6" s="1"/>
  <c r="O40" i="6"/>
  <c r="R25" i="6"/>
  <c r="AD21" i="6"/>
  <c r="X18" i="6"/>
  <c r="P45" i="6"/>
  <c r="P13" i="6"/>
  <c r="W13" i="6" s="1"/>
  <c r="Q12" i="6"/>
  <c r="Q13" i="6" s="1"/>
  <c r="N48" i="9"/>
  <c r="N51" i="9" s="1"/>
  <c r="M51" i="9"/>
  <c r="K51" i="9" s="1"/>
  <c r="AH20" i="9"/>
  <c r="Q57" i="9" s="1"/>
  <c r="AH13" i="9"/>
  <c r="P9" i="10"/>
  <c r="AA29" i="7"/>
  <c r="AB29" i="7" s="1"/>
  <c r="AE33" i="7"/>
  <c r="AE27" i="7" s="1"/>
  <c r="AT41" i="7"/>
  <c r="AT35" i="7" s="1"/>
  <c r="AP25" i="8"/>
  <c r="AP100" i="8"/>
  <c r="Z52" i="7"/>
  <c r="AN78" i="8"/>
  <c r="AO78" i="8" s="1"/>
  <c r="L46" i="5"/>
  <c r="L51" i="5" s="1"/>
  <c r="O17" i="5"/>
  <c r="M17" i="5"/>
  <c r="Q11" i="5"/>
  <c r="Q12" i="5" s="1"/>
  <c r="I12" i="5"/>
  <c r="AA8" i="135"/>
  <c r="AP8" i="135" s="1"/>
  <c r="AA36" i="7"/>
  <c r="D33" i="63"/>
  <c r="C34" i="63"/>
  <c r="C35" i="63" s="1"/>
  <c r="V47" i="59"/>
  <c r="V44" i="59"/>
  <c r="BQ30" i="71"/>
  <c r="BB30" i="71"/>
  <c r="BL30" i="71"/>
  <c r="K37" i="66"/>
  <c r="K38" i="66" s="1"/>
  <c r="G3" i="77"/>
  <c r="AG7" i="11"/>
  <c r="AK7" i="11" s="1"/>
  <c r="AK15" i="11" s="1"/>
  <c r="Q19" i="7" s="1"/>
  <c r="R19" i="7" s="1"/>
  <c r="AG11" i="11"/>
  <c r="AK11" i="11" s="1"/>
  <c r="AL20" i="7"/>
  <c r="R59" i="7"/>
  <c r="AB59" i="7"/>
  <c r="AB154" i="7" s="1"/>
  <c r="S59" i="7"/>
  <c r="Z59" i="7"/>
  <c r="I33" i="7"/>
  <c r="I27" i="7" s="1"/>
  <c r="P32" i="7"/>
  <c r="P33" i="7" s="1"/>
  <c r="AI28" i="7"/>
  <c r="AA148" i="7"/>
  <c r="AI148" i="7" s="1"/>
  <c r="Q18" i="8"/>
  <c r="R18" i="8"/>
  <c r="O9" i="8"/>
  <c r="F13" i="10"/>
  <c r="E19" i="10"/>
  <c r="F19" i="10" s="1"/>
  <c r="D36" i="79"/>
  <c r="D37" i="79" s="1"/>
  <c r="AR30" i="11"/>
  <c r="AR32" i="11"/>
  <c r="AR29" i="11"/>
  <c r="AR33" i="11"/>
  <c r="AR31" i="11"/>
  <c r="AV73" i="9"/>
  <c r="J8" i="100"/>
  <c r="I10" i="100"/>
  <c r="AO9" i="71"/>
  <c r="W27" i="7"/>
  <c r="X29" i="7"/>
  <c r="X27" i="7" s="1"/>
  <c r="AK32" i="8"/>
  <c r="AW32" i="8"/>
  <c r="I48" i="3"/>
  <c r="I45" i="3"/>
  <c r="I39" i="3"/>
  <c r="I40" i="3" s="1"/>
  <c r="AC175" i="7"/>
  <c r="AA92" i="7"/>
  <c r="AC154" i="7"/>
  <c r="AQ59" i="7"/>
  <c r="AR59" i="7" s="1"/>
  <c r="AS59" i="7" s="1"/>
  <c r="AB54" i="7"/>
  <c r="AP54" i="7"/>
  <c r="AQ12" i="7"/>
  <c r="AR12" i="7" s="1"/>
  <c r="Z9" i="7"/>
  <c r="S9" i="7"/>
  <c r="R9" i="7"/>
  <c r="AJ46" i="8"/>
  <c r="AW46" i="8"/>
  <c r="AF43" i="8"/>
  <c r="Z43" i="8"/>
  <c r="Z42" i="8" s="1"/>
  <c r="H39" i="8"/>
  <c r="M39" i="8"/>
  <c r="M40" i="8" s="1"/>
  <c r="G40" i="8"/>
  <c r="Y32" i="8"/>
  <c r="AF32" i="8" s="1"/>
  <c r="P16" i="10"/>
  <c r="P7" i="10"/>
  <c r="P13" i="10" s="1"/>
  <c r="G13" i="10"/>
  <c r="AA10" i="7"/>
  <c r="D7" i="32"/>
  <c r="B11" i="32"/>
  <c r="Q59" i="19"/>
  <c r="Y59" i="19" s="1"/>
  <c r="Q56" i="19"/>
  <c r="Y56" i="19" s="1"/>
  <c r="W38" i="19" s="1"/>
  <c r="AE36" i="19"/>
  <c r="AN36" i="19" s="1"/>
  <c r="T24" i="19"/>
  <c r="AE23" i="19"/>
  <c r="C23" i="11"/>
  <c r="C75" i="8"/>
  <c r="F75" i="8" s="1"/>
  <c r="D22" i="3"/>
  <c r="E13" i="3"/>
  <c r="F16" i="3"/>
  <c r="E87" i="7"/>
  <c r="H16" i="3"/>
  <c r="Z108" i="7"/>
  <c r="M10" i="21"/>
  <c r="H26" i="21" s="1"/>
  <c r="C28" i="56"/>
  <c r="J28" i="56"/>
  <c r="J38" i="56" s="1"/>
  <c r="E38" i="56"/>
  <c r="AP56" i="7"/>
  <c r="W61" i="8"/>
  <c r="M31" i="8"/>
  <c r="AA55" i="9"/>
  <c r="AH22" i="9"/>
  <c r="Q59" i="9" s="1"/>
  <c r="S22" i="9"/>
  <c r="O42" i="11"/>
  <c r="O45" i="11" s="1"/>
  <c r="Y19" i="8" s="1"/>
  <c r="P27" i="17"/>
  <c r="M56" i="11"/>
  <c r="AN31" i="11" s="1"/>
  <c r="BB31" i="11" s="1"/>
  <c r="AQ77" i="5"/>
  <c r="AT77" i="5" s="1"/>
  <c r="AU76" i="5"/>
  <c r="F3" i="80"/>
  <c r="G3" i="80"/>
  <c r="G8" i="80" s="1"/>
  <c r="G13" i="80" s="1"/>
  <c r="AU54" i="7"/>
  <c r="AV54" i="7" s="1"/>
  <c r="AU53" i="7"/>
  <c r="AU10" i="7"/>
  <c r="AU42" i="7"/>
  <c r="AV42" i="7" s="1"/>
  <c r="AU34" i="7"/>
  <c r="AV34" i="7" s="1"/>
  <c r="AU55" i="7"/>
  <c r="AV55" i="7" s="1"/>
  <c r="AU32" i="7"/>
  <c r="AV32" i="7" s="1"/>
  <c r="AT87" i="7"/>
  <c r="AU31" i="7" s="1"/>
  <c r="AU9" i="7"/>
  <c r="AX45" i="11"/>
  <c r="AS19" i="8" s="1"/>
  <c r="AQ125" i="8"/>
  <c r="AP79" i="8"/>
  <c r="AP125" i="8" s="1"/>
  <c r="M9" i="87"/>
  <c r="K9" i="87" s="1"/>
  <c r="L26" i="87" s="1"/>
  <c r="L25" i="87" s="1"/>
  <c r="Q30" i="65" s="1"/>
  <c r="R30" i="65" s="1"/>
  <c r="P8" i="81"/>
  <c r="E71" i="7"/>
  <c r="F17" i="7"/>
  <c r="AC25" i="6"/>
  <c r="K45" i="6"/>
  <c r="K46" i="6" s="1"/>
  <c r="R31" i="9"/>
  <c r="Z14" i="9" s="1"/>
  <c r="I7" i="11"/>
  <c r="N7" i="11"/>
  <c r="U12" i="82"/>
  <c r="E121" i="56"/>
  <c r="E123" i="56" s="1"/>
  <c r="J9" i="59"/>
  <c r="M9" i="59" s="1"/>
  <c r="J14" i="59"/>
  <c r="M12" i="59"/>
  <c r="AA11" i="72"/>
  <c r="W11" i="72"/>
  <c r="AX166" i="7"/>
  <c r="AY71" i="7"/>
  <c r="AJ9" i="17"/>
  <c r="AK9" i="17" s="1"/>
  <c r="O31" i="8"/>
  <c r="AL27" i="19"/>
  <c r="AK27" i="19"/>
  <c r="AO39" i="19"/>
  <c r="AL39" i="19"/>
  <c r="AK47" i="19"/>
  <c r="AL47" i="19"/>
  <c r="BJ31" i="17"/>
  <c r="BJ40" i="17" s="1"/>
  <c r="BJ38" i="17"/>
  <c r="K101" i="56"/>
  <c r="P91" i="56"/>
  <c r="P101" i="56" s="1"/>
  <c r="CP51" i="72"/>
  <c r="AH49" i="19"/>
  <c r="AC34" i="8"/>
  <c r="AZ35" i="8"/>
  <c r="O43" i="59"/>
  <c r="AF110" i="8"/>
  <c r="I91" i="56"/>
  <c r="F113" i="56"/>
  <c r="C25" i="36"/>
  <c r="AU64" i="9"/>
  <c r="BB48" i="9" s="1"/>
  <c r="BE48" i="9" s="1"/>
  <c r="E209" i="69"/>
  <c r="E253" i="69"/>
  <c r="E266" i="69" s="1"/>
  <c r="E279" i="69" s="1"/>
  <c r="T31" i="71"/>
  <c r="AT31" i="71" s="1"/>
  <c r="P32" i="71"/>
  <c r="BB14" i="71"/>
  <c r="AY29" i="71" s="1"/>
  <c r="AO18" i="71"/>
  <c r="T38" i="72"/>
  <c r="R38" i="72" s="1"/>
  <c r="V60" i="72"/>
  <c r="AF8" i="10"/>
  <c r="AA18" i="10"/>
  <c r="AA13" i="10"/>
  <c r="B7" i="78"/>
  <c r="G4" i="80"/>
  <c r="L9" i="82"/>
  <c r="C16" i="82"/>
  <c r="F16" i="82" s="1"/>
  <c r="J16" i="82" s="1"/>
  <c r="F92" i="81"/>
  <c r="C73" i="78"/>
  <c r="AM41" i="3"/>
  <c r="AM39" i="3" s="1"/>
  <c r="CO51" i="72"/>
  <c r="O11" i="61"/>
  <c r="K19" i="64"/>
  <c r="G36" i="64"/>
  <c r="Z44" i="3"/>
  <c r="G11" i="61"/>
  <c r="G47" i="61" s="1"/>
  <c r="N20" i="64"/>
  <c r="P45" i="65"/>
  <c r="C42" i="91"/>
  <c r="A42" i="91" s="1"/>
  <c r="B71" i="85" s="1"/>
  <c r="D71" i="85" s="1"/>
  <c r="E23" i="64"/>
  <c r="AF22" i="66"/>
  <c r="I20" i="85"/>
  <c r="J20" i="85" s="1"/>
  <c r="J19" i="85"/>
  <c r="T33" i="98"/>
  <c r="U68" i="32"/>
  <c r="U65" i="32"/>
  <c r="BW143" i="8"/>
  <c r="AG17" i="65"/>
  <c r="AH17" i="65" s="1"/>
  <c r="I8" i="11"/>
  <c r="P34" i="17"/>
  <c r="O14" i="17"/>
  <c r="N14" i="17" s="1"/>
  <c r="P78" i="9"/>
  <c r="N14" i="64"/>
  <c r="I49" i="19"/>
  <c r="AD29" i="11"/>
  <c r="BE29" i="11" s="1"/>
  <c r="AD33" i="11"/>
  <c r="BE33" i="11" s="1"/>
  <c r="D59" i="56"/>
  <c r="AK37" i="19"/>
  <c r="AL19" i="19"/>
  <c r="AW62" i="9"/>
  <c r="E18" i="56"/>
  <c r="E20" i="56" s="1"/>
  <c r="AR51" i="9"/>
  <c r="Z46" i="5"/>
  <c r="Z47" i="5" s="1"/>
  <c r="AR38" i="17"/>
  <c r="BQ24" i="17"/>
  <c r="AE144" i="7"/>
  <c r="AE146" i="7"/>
  <c r="O15" i="70"/>
  <c r="N47" i="59"/>
  <c r="D101" i="56"/>
  <c r="D103" i="56" s="1"/>
  <c r="Y164" i="6"/>
  <c r="Z154" i="6" s="1"/>
  <c r="P14" i="59"/>
  <c r="M61" i="11"/>
  <c r="BF30" i="11" s="1"/>
  <c r="BG30" i="11" s="1"/>
  <c r="M63" i="11"/>
  <c r="BF33" i="11" s="1"/>
  <c r="V9" i="59"/>
  <c r="V27" i="59" s="1"/>
  <c r="AG21" i="59"/>
  <c r="B10" i="62"/>
  <c r="C10" i="62"/>
  <c r="E289" i="69"/>
  <c r="E329" i="69"/>
  <c r="E332" i="69" s="1"/>
  <c r="E334" i="69" s="1"/>
  <c r="E38" i="63"/>
  <c r="BO24" i="71"/>
  <c r="AO16" i="71"/>
  <c r="P31" i="71"/>
  <c r="AN18" i="71"/>
  <c r="AA27" i="71"/>
  <c r="N35" i="71"/>
  <c r="AN16" i="71"/>
  <c r="T14" i="71"/>
  <c r="AM24" i="71"/>
  <c r="AV35" i="71"/>
  <c r="AO17" i="71"/>
  <c r="AA33" i="71"/>
  <c r="BN32" i="71"/>
  <c r="BU32" i="71" s="1"/>
  <c r="K57" i="61"/>
  <c r="K78" i="72"/>
  <c r="AL52" i="72" s="1"/>
  <c r="M62" i="72"/>
  <c r="V62" i="72" s="1"/>
  <c r="AW62" i="72"/>
  <c r="AK17" i="72"/>
  <c r="AH20" i="72"/>
  <c r="Q57" i="72" s="1"/>
  <c r="M80" i="72"/>
  <c r="B13" i="72"/>
  <c r="AU72" i="72"/>
  <c r="AK46" i="3"/>
  <c r="AK44" i="3" s="1"/>
  <c r="C23" i="73"/>
  <c r="C24" i="73" s="1"/>
  <c r="J9" i="65"/>
  <c r="J47" i="65" s="1"/>
  <c r="AF10" i="10"/>
  <c r="E5" i="80"/>
  <c r="L17" i="80"/>
  <c r="S11" i="82"/>
  <c r="Q11" i="82" s="1"/>
  <c r="E9" i="82"/>
  <c r="I9" i="82" s="1"/>
  <c r="D68" i="81"/>
  <c r="F68" i="81" s="1"/>
  <c r="E73" i="78"/>
  <c r="E74" i="78" s="1"/>
  <c r="F74" i="78" s="1"/>
  <c r="E61" i="81"/>
  <c r="B74" i="78"/>
  <c r="C74" i="78" s="1"/>
  <c r="F41" i="81"/>
  <c r="F49" i="81"/>
  <c r="D61" i="81"/>
  <c r="CO55" i="72"/>
  <c r="E22" i="87"/>
  <c r="I19" i="64" s="1"/>
  <c r="H26" i="87"/>
  <c r="H25" i="87" s="1"/>
  <c r="H45" i="65"/>
  <c r="W19" i="10"/>
  <c r="M30" i="89"/>
  <c r="M28" i="89" s="1"/>
  <c r="I41" i="89"/>
  <c r="A41" i="89" s="1"/>
  <c r="B38" i="85" s="1"/>
  <c r="D38" i="85" s="1"/>
  <c r="U19" i="65"/>
  <c r="F9" i="94"/>
  <c r="H9" i="94" s="1"/>
  <c r="R36" i="64"/>
  <c r="S36" i="64" s="1"/>
  <c r="T36" i="64" s="1"/>
  <c r="U36" i="64" s="1"/>
  <c r="V36" i="64" s="1"/>
  <c r="B63" i="32"/>
  <c r="D63" i="32" s="1"/>
  <c r="AP49" i="3"/>
  <c r="J35" i="85"/>
  <c r="BS148" i="7"/>
  <c r="BS25" i="7"/>
  <c r="BS17" i="7" s="1"/>
  <c r="AK14" i="10"/>
  <c r="AL14" i="10" s="1"/>
  <c r="AJ18" i="10"/>
  <c r="D47" i="68"/>
  <c r="D49" i="68"/>
  <c r="BC40" i="6"/>
  <c r="BG40" i="6" s="1"/>
  <c r="AP40" i="6"/>
  <c r="Z17" i="95"/>
  <c r="Z26" i="95" s="1"/>
  <c r="V17" i="95"/>
  <c r="AA17" i="95" s="1"/>
  <c r="AA26" i="95" s="1"/>
  <c r="BT50" i="7"/>
  <c r="F5" i="101"/>
  <c r="F9" i="101" s="1"/>
  <c r="E9" i="101"/>
  <c r="D9" i="101" s="1"/>
  <c r="AP62" i="3"/>
  <c r="CJ60" i="72" s="1"/>
  <c r="M45" i="65"/>
  <c r="I37" i="85"/>
  <c r="J36" i="85"/>
  <c r="J61" i="85"/>
  <c r="I62" i="85"/>
  <c r="AF21" i="66"/>
  <c r="AH21" i="66"/>
  <c r="AH19" i="66"/>
  <c r="AF19" i="66"/>
  <c r="AO30" i="6"/>
  <c r="AP30" i="6"/>
  <c r="AT30" i="6" s="1"/>
  <c r="S22" i="98"/>
  <c r="T18" i="98"/>
  <c r="AO9" i="10"/>
  <c r="AP9" i="10" s="1"/>
  <c r="AQ9" i="10" s="1"/>
  <c r="AT9" i="10"/>
  <c r="AO16" i="10"/>
  <c r="AP16" i="10" s="1"/>
  <c r="AQ16" i="10" s="1"/>
  <c r="AR16" i="10" s="1"/>
  <c r="AN18" i="10"/>
  <c r="C27" i="105"/>
  <c r="C21" i="105" s="1"/>
  <c r="C16" i="105" s="1"/>
  <c r="D31" i="104"/>
  <c r="M15" i="65" s="1"/>
  <c r="M13" i="65" s="1"/>
  <c r="BQ188" i="7"/>
  <c r="Q17" i="61"/>
  <c r="Q15" i="61" s="1"/>
  <c r="AK47" i="5"/>
  <c r="AK54" i="5"/>
  <c r="AK53" i="5"/>
  <c r="B91" i="116"/>
  <c r="B92" i="116" s="1"/>
  <c r="C89" i="116"/>
  <c r="AA27" i="17"/>
  <c r="Y29" i="11"/>
  <c r="AH33" i="7"/>
  <c r="AE55" i="9"/>
  <c r="AK21" i="19"/>
  <c r="U18" i="10"/>
  <c r="D11" i="67" s="1"/>
  <c r="D12" i="67" s="1"/>
  <c r="D13" i="67" s="1"/>
  <c r="D15" i="67" s="1"/>
  <c r="AZ46" i="8" s="1"/>
  <c r="AE149" i="7"/>
  <c r="AC15" i="8"/>
  <c r="AC8" i="8" s="1"/>
  <c r="I92" i="56"/>
  <c r="AS79" i="8"/>
  <c r="AS125" i="8" s="1"/>
  <c r="E103" i="56"/>
  <c r="I197" i="57"/>
  <c r="BD28" i="7" s="1"/>
  <c r="BE28" i="7" s="1"/>
  <c r="AC59" i="59"/>
  <c r="D10" i="63"/>
  <c r="F60" i="61"/>
  <c r="E10" i="62"/>
  <c r="E16" i="62"/>
  <c r="D329" i="69"/>
  <c r="W24" i="70"/>
  <c r="AY30" i="71"/>
  <c r="AY27" i="71"/>
  <c r="AA28" i="71"/>
  <c r="U8" i="71"/>
  <c r="T8" i="71" s="1"/>
  <c r="AM29" i="71"/>
  <c r="BO29" i="71"/>
  <c r="AF49" i="3"/>
  <c r="AE63" i="3"/>
  <c r="H11" i="72"/>
  <c r="AK22" i="72"/>
  <c r="R40" i="3"/>
  <c r="R39" i="3" s="1"/>
  <c r="B14" i="73"/>
  <c r="B15" i="73" s="1"/>
  <c r="K5" i="80"/>
  <c r="K10" i="80" s="1"/>
  <c r="K15" i="80" s="1"/>
  <c r="K18" i="80" s="1"/>
  <c r="B14" i="82"/>
  <c r="E14" i="82" s="1"/>
  <c r="I14" i="82" s="1"/>
  <c r="D12" i="84"/>
  <c r="M34" i="78"/>
  <c r="E81" i="81"/>
  <c r="AE18" i="10"/>
  <c r="S38" i="32"/>
  <c r="F2" i="89"/>
  <c r="I33" i="89"/>
  <c r="A33" i="89" s="1"/>
  <c r="B30" i="85" s="1"/>
  <c r="D30" i="85" s="1"/>
  <c r="E32" i="61"/>
  <c r="D23" i="64"/>
  <c r="AX62" i="3"/>
  <c r="I46" i="85"/>
  <c r="I47" i="85" s="1"/>
  <c r="J45" i="85"/>
  <c r="I68" i="85"/>
  <c r="J68" i="85" s="1"/>
  <c r="J67" i="85"/>
  <c r="R32" i="61"/>
  <c r="AJ9" i="10"/>
  <c r="AK9" i="10" s="1"/>
  <c r="AL9" i="10" s="1"/>
  <c r="AI13" i="10"/>
  <c r="AI47" i="5"/>
  <c r="AI55" i="5"/>
  <c r="AI53" i="5"/>
  <c r="AI52" i="5"/>
  <c r="AR49" i="19"/>
  <c r="L68" i="32"/>
  <c r="T42" i="95"/>
  <c r="U42" i="95" s="1"/>
  <c r="V42" i="95" s="1"/>
  <c r="T27" i="95"/>
  <c r="BW45" i="7" s="1"/>
  <c r="BV45" i="7" s="1"/>
  <c r="AN18" i="6"/>
  <c r="AP65" i="65"/>
  <c r="J43" i="95"/>
  <c r="J45" i="95" s="1"/>
  <c r="AE19" i="61"/>
  <c r="BV28" i="7"/>
  <c r="E48" i="97"/>
  <c r="AG19" i="10"/>
  <c r="AT16" i="10"/>
  <c r="CL32" i="8" s="1"/>
  <c r="CK32" i="8" s="1"/>
  <c r="BM64" i="7"/>
  <c r="BM159" i="7" s="1"/>
  <c r="BM144" i="7"/>
  <c r="BR71" i="7"/>
  <c r="BR73" i="7" s="1"/>
  <c r="G67" i="32"/>
  <c r="F33" i="105"/>
  <c r="CJ43" i="7"/>
  <c r="CJ187" i="7"/>
  <c r="BF62" i="3"/>
  <c r="M45" i="96" s="1"/>
  <c r="CP120" i="8"/>
  <c r="AZ18" i="61"/>
  <c r="CJ189" i="7"/>
  <c r="U7" i="102"/>
  <c r="U23" i="102" s="1"/>
  <c r="CI27" i="19"/>
  <c r="CP41" i="7"/>
  <c r="CP35" i="7" s="1"/>
  <c r="CO39" i="7"/>
  <c r="AG51" i="95"/>
  <c r="AG12" i="95"/>
  <c r="AG17" i="95"/>
  <c r="CM187" i="7"/>
  <c r="BA16" i="61"/>
  <c r="C8" i="118"/>
  <c r="D8" i="118" s="1"/>
  <c r="B9" i="118"/>
  <c r="B10" i="118" s="1"/>
  <c r="CE55" i="72"/>
  <c r="AN39" i="5"/>
  <c r="BP79" i="8"/>
  <c r="BE119" i="8"/>
  <c r="BG25" i="8"/>
  <c r="AX15" i="5"/>
  <c r="BB15" i="5" s="1"/>
  <c r="L11" i="96"/>
  <c r="D51" i="102"/>
  <c r="C16" i="111"/>
  <c r="D12" i="111"/>
  <c r="C17" i="111"/>
  <c r="G7" i="96"/>
  <c r="AS13" i="10"/>
  <c r="M18" i="98"/>
  <c r="BK61" i="8"/>
  <c r="BW15" i="8"/>
  <c r="BQ184" i="7"/>
  <c r="BQ191" i="7"/>
  <c r="BO137" i="8"/>
  <c r="CK24" i="17"/>
  <c r="AN11" i="5"/>
  <c r="AN12" i="5" s="1"/>
  <c r="F19" i="105"/>
  <c r="C17" i="114"/>
  <c r="CR140" i="8"/>
  <c r="CP158" i="7"/>
  <c r="CO48" i="7"/>
  <c r="AZ19" i="10"/>
  <c r="W11" i="61"/>
  <c r="W44" i="61" s="1"/>
  <c r="W47" i="61" s="1"/>
  <c r="BJ146" i="7"/>
  <c r="BS146" i="7"/>
  <c r="AO27" i="6"/>
  <c r="BK25" i="19"/>
  <c r="D39" i="104"/>
  <c r="M17" i="66" s="1"/>
  <c r="M15" i="66" s="1"/>
  <c r="BD42" i="8"/>
  <c r="BD104" i="8" s="1"/>
  <c r="B21" i="110"/>
  <c r="B22" i="110" s="1"/>
  <c r="B23" i="110" s="1"/>
  <c r="B27" i="110" s="1"/>
  <c r="N61" i="109" s="1"/>
  <c r="AS18" i="10"/>
  <c r="BM152" i="7"/>
  <c r="BL61" i="8"/>
  <c r="F25" i="105"/>
  <c r="AE12" i="98"/>
  <c r="AI37" i="66"/>
  <c r="AI38" i="66" s="1"/>
  <c r="AY46" i="5"/>
  <c r="CR120" i="8"/>
  <c r="AF11" i="98"/>
  <c r="AL45" i="65"/>
  <c r="V7" i="102"/>
  <c r="V23" i="102" s="1"/>
  <c r="CM60" i="7"/>
  <c r="CL150" i="7"/>
  <c r="CN101" i="8"/>
  <c r="AF17" i="95"/>
  <c r="CO142" i="8"/>
  <c r="AK16" i="65" s="1"/>
  <c r="R19" i="105"/>
  <c r="CG167" i="7"/>
  <c r="CG72" i="7" s="1"/>
  <c r="AD11" i="98"/>
  <c r="B29" i="118"/>
  <c r="B30" i="118" s="1"/>
  <c r="E49" i="118"/>
  <c r="H6" i="119"/>
  <c r="P29" i="125"/>
  <c r="AD14" i="125"/>
  <c r="AC28" i="125"/>
  <c r="CI29" i="7"/>
  <c r="CI54" i="7"/>
  <c r="CP97" i="8"/>
  <c r="U31" i="104"/>
  <c r="CO49" i="19"/>
  <c r="AX45" i="61"/>
  <c r="BA63" i="8"/>
  <c r="V29" i="125"/>
  <c r="V27" i="125"/>
  <c r="M66" i="125"/>
  <c r="AF51" i="95"/>
  <c r="CJ49" i="19"/>
  <c r="CM59" i="7" s="1"/>
  <c r="EA59" i="7" s="1"/>
  <c r="BT46" i="123"/>
  <c r="B16" i="124"/>
  <c r="Q24" i="125"/>
  <c r="O24" i="125"/>
  <c r="M44" i="123"/>
  <c r="P9" i="123"/>
  <c r="O13" i="123"/>
  <c r="N13" i="123" s="1"/>
  <c r="BB9" i="123"/>
  <c r="C43" i="124" s="1"/>
  <c r="BL9" i="123"/>
  <c r="BJ9" i="123" s="1"/>
  <c r="BB13" i="123"/>
  <c r="DA9" i="123"/>
  <c r="DA64" i="123" s="1"/>
  <c r="EQ9" i="123"/>
  <c r="M18" i="128"/>
  <c r="M17" i="128" s="1"/>
  <c r="C18" i="128"/>
  <c r="E18" i="128" s="1"/>
  <c r="P18" i="128"/>
  <c r="L18" i="128"/>
  <c r="D41" i="128"/>
  <c r="G41" i="128"/>
  <c r="G39" i="128" s="1"/>
  <c r="H41" i="128"/>
  <c r="F41" i="128"/>
  <c r="C41" i="128"/>
  <c r="E41" i="128" s="1"/>
  <c r="R42" i="128"/>
  <c r="L42" i="128"/>
  <c r="L39" i="128" s="1"/>
  <c r="M42" i="128"/>
  <c r="M39" i="128" s="1"/>
  <c r="AK17" i="95"/>
  <c r="AK51" i="95"/>
  <c r="W48" i="123"/>
  <c r="DI35" i="123"/>
  <c r="FS35" i="123"/>
  <c r="BT37" i="123"/>
  <c r="CF37" i="123" s="1"/>
  <c r="FR38" i="123"/>
  <c r="BT44" i="123"/>
  <c r="BT57" i="123"/>
  <c r="CF57" i="123" s="1"/>
  <c r="DT60" i="123"/>
  <c r="F13" i="123"/>
  <c r="E13" i="123" s="1"/>
  <c r="P42" i="128"/>
  <c r="P39" i="128" s="1"/>
  <c r="E22" i="134"/>
  <c r="G22" i="134" s="1"/>
  <c r="B34" i="134"/>
  <c r="F50" i="134"/>
  <c r="G50" i="134" s="1"/>
  <c r="C51" i="134"/>
  <c r="DU41" i="123"/>
  <c r="AF66" i="123"/>
  <c r="DU66" i="123"/>
  <c r="BV67" i="123"/>
  <c r="Q26" i="125"/>
  <c r="EM16" i="123"/>
  <c r="FP16" i="123"/>
  <c r="W57" i="123"/>
  <c r="DI57" i="123"/>
  <c r="DU50" i="123"/>
  <c r="FQ66" i="123"/>
  <c r="BR14" i="123"/>
  <c r="AO14" i="123"/>
  <c r="BE9" i="10"/>
  <c r="CV29" i="7" s="1"/>
  <c r="CU29" i="7" s="1"/>
  <c r="BD19" i="10"/>
  <c r="B15" i="123"/>
  <c r="B14" i="123"/>
  <c r="DQ13" i="123"/>
  <c r="X20" i="126" s="1"/>
  <c r="E14" i="123"/>
  <c r="AH16" i="123"/>
  <c r="CJ13" i="123"/>
  <c r="EI13" i="123" s="1"/>
  <c r="GH13" i="123" s="1"/>
  <c r="CJ15" i="123"/>
  <c r="EI15" i="123" s="1"/>
  <c r="GH15" i="123" s="1"/>
  <c r="BU14" i="123"/>
  <c r="AR16" i="123"/>
  <c r="BJ11" i="123"/>
  <c r="BJ29" i="123" s="1"/>
  <c r="CQ14" i="123"/>
  <c r="CQ16" i="123"/>
  <c r="CZ14" i="123"/>
  <c r="EY14" i="123"/>
  <c r="EY16" i="123"/>
  <c r="FH10" i="123"/>
  <c r="C42" i="128"/>
  <c r="E42" i="128" s="1"/>
  <c r="M8" i="92"/>
  <c r="M14" i="92" s="1"/>
  <c r="M16" i="92" s="1"/>
  <c r="X27" i="104" s="1"/>
  <c r="X31" i="104" s="1"/>
  <c r="CY8" i="8"/>
  <c r="CP77" i="7"/>
  <c r="DE151" i="7"/>
  <c r="AL18" i="98"/>
  <c r="AN18" i="98" s="1"/>
  <c r="AR18" i="98" s="1"/>
  <c r="DQ24" i="17"/>
  <c r="DQ39" i="17" s="1"/>
  <c r="DQ31" i="17"/>
  <c r="DQ40" i="17" s="1"/>
  <c r="DM48" i="19"/>
  <c r="DP44" i="8"/>
  <c r="DP42" i="8" s="1"/>
  <c r="AD31" i="104"/>
  <c r="CX8" i="135"/>
  <c r="DJ7" i="136"/>
  <c r="DJ14" i="136"/>
  <c r="DJ16" i="136" s="1"/>
  <c r="CQ9" i="136"/>
  <c r="CR7" i="136"/>
  <c r="CQ10" i="136"/>
  <c r="CQ12" i="136" s="1"/>
  <c r="CR12" i="136"/>
  <c r="I12" i="136"/>
  <c r="I7" i="136"/>
  <c r="O7" i="136" s="1"/>
  <c r="DU9" i="8"/>
  <c r="DZ100" i="8"/>
  <c r="DZ17" i="8"/>
  <c r="DO59" i="7"/>
  <c r="DS142" i="8"/>
  <c r="AY16" i="65" s="1"/>
  <c r="AF13" i="102"/>
  <c r="AF23" i="102" s="1"/>
  <c r="D7" i="135"/>
  <c r="C15" i="135"/>
  <c r="D15" i="135" s="1"/>
  <c r="AS7" i="136"/>
  <c r="AT8" i="136"/>
  <c r="AT7" i="136" s="1"/>
  <c r="BJ7" i="136"/>
  <c r="CO14" i="136"/>
  <c r="CO16" i="136" s="1"/>
  <c r="CN8" i="136"/>
  <c r="AU57" i="65"/>
  <c r="AU62" i="65"/>
  <c r="DM61" i="7"/>
  <c r="DM158" i="7" s="1"/>
  <c r="DJ12" i="7"/>
  <c r="DK78" i="7"/>
  <c r="DK77" i="7" s="1"/>
  <c r="AE7" i="102"/>
  <c r="DJ56" i="7"/>
  <c r="DU56" i="123"/>
  <c r="FB42" i="123"/>
  <c r="FT46" i="123"/>
  <c r="FB48" i="123"/>
  <c r="AK49" i="95"/>
  <c r="AJ38" i="98"/>
  <c r="BK19" i="10"/>
  <c r="BQ19" i="10"/>
  <c r="AL17" i="95"/>
  <c r="DN49" i="19"/>
  <c r="DB59" i="7" s="1"/>
  <c r="DP49" i="19"/>
  <c r="DG47" i="8" s="1"/>
  <c r="DG105" i="8" s="1"/>
  <c r="BN49" i="3"/>
  <c r="BN45" i="3" s="1"/>
  <c r="BN44" i="3" s="1"/>
  <c r="AJ33" i="95" s="1"/>
  <c r="AJ35" i="95" s="1"/>
  <c r="Y14" i="104"/>
  <c r="BK34" i="19"/>
  <c r="BW34" i="19" s="1"/>
  <c r="BG12" i="136"/>
  <c r="DQ43" i="7"/>
  <c r="DP44" i="7"/>
  <c r="DP43" i="7" s="1"/>
  <c r="DP23" i="7"/>
  <c r="DP25" i="7" s="1"/>
  <c r="DQ25" i="7"/>
  <c r="DQ17" i="7" s="1"/>
  <c r="DS40" i="8"/>
  <c r="DS27" i="8"/>
  <c r="DR33" i="8"/>
  <c r="FE16" i="123"/>
  <c r="BT16" i="123"/>
  <c r="DT15" i="123"/>
  <c r="DZ15" i="123" s="1"/>
  <c r="G15" i="126"/>
  <c r="AL33" i="98"/>
  <c r="AN33" i="98" s="1"/>
  <c r="AR33" i="98" s="1"/>
  <c r="BO18" i="10"/>
  <c r="DF12" i="19"/>
  <c r="CP12" i="19"/>
  <c r="CT49" i="19"/>
  <c r="CV47" i="8" s="1"/>
  <c r="T33" i="111"/>
  <c r="DM12" i="8" s="1"/>
  <c r="O56" i="97"/>
  <c r="BX7" i="135"/>
  <c r="CW13" i="135"/>
  <c r="CW7" i="135" s="1"/>
  <c r="DI8" i="136"/>
  <c r="AJ7" i="135"/>
  <c r="AJ15" i="135" s="1"/>
  <c r="AH15" i="135" s="1"/>
  <c r="AH12" i="135"/>
  <c r="CR14" i="136"/>
  <c r="CR16" i="136" s="1"/>
  <c r="DU120" i="8"/>
  <c r="DU62" i="8" s="1"/>
  <c r="DV62" i="8"/>
  <c r="EK11" i="19"/>
  <c r="EK12" i="19" s="1"/>
  <c r="EL12" i="19"/>
  <c r="AI15" i="123"/>
  <c r="BV16" i="123"/>
  <c r="FT12" i="123"/>
  <c r="FT16" i="123"/>
  <c r="O12" i="103"/>
  <c r="DM51" i="8" s="1"/>
  <c r="DD9" i="7"/>
  <c r="DE77" i="7"/>
  <c r="DE189" i="7" s="1"/>
  <c r="DK65" i="8"/>
  <c r="DK64" i="8" s="1"/>
  <c r="DI157" i="7"/>
  <c r="DM60" i="7"/>
  <c r="DP19" i="7"/>
  <c r="DP151" i="7" s="1"/>
  <c r="DS54" i="7"/>
  <c r="DV67" i="8"/>
  <c r="DX101" i="8"/>
  <c r="AR12" i="95"/>
  <c r="FA49" i="19"/>
  <c r="DU59" i="7" s="1"/>
  <c r="EZ49" i="19"/>
  <c r="DT59" i="7" s="1"/>
  <c r="DT154" i="7" s="1"/>
  <c r="DS42" i="8"/>
  <c r="DS104" i="8" s="1"/>
  <c r="AY15" i="65" s="1"/>
  <c r="DS67" i="8"/>
  <c r="U44" i="96"/>
  <c r="DH19" i="7" s="1"/>
  <c r="DH151" i="7" s="1"/>
  <c r="BI68" i="32"/>
  <c r="BI73" i="32" s="1"/>
  <c r="BD7" i="136"/>
  <c r="BP7" i="136"/>
  <c r="BD12" i="136"/>
  <c r="F12" i="136"/>
  <c r="F7" i="136" s="1"/>
  <c r="DP150" i="7"/>
  <c r="DN42" i="8"/>
  <c r="DN104" i="8" s="1"/>
  <c r="BT13" i="10"/>
  <c r="BT18" i="10"/>
  <c r="EL31" i="17"/>
  <c r="EL40" i="17" s="1"/>
  <c r="DN146" i="7"/>
  <c r="BN31" i="61" s="1"/>
  <c r="DT17" i="8"/>
  <c r="DZ49" i="19"/>
  <c r="DU49" i="19"/>
  <c r="DE59" i="7" s="1"/>
  <c r="DE154" i="7" s="1"/>
  <c r="DT48" i="19"/>
  <c r="DG150" i="7"/>
  <c r="DJ138" i="8"/>
  <c r="AT12" i="65" s="1"/>
  <c r="AW65" i="65"/>
  <c r="AC7" i="136"/>
  <c r="BM7" i="136"/>
  <c r="DN8" i="7"/>
  <c r="DU43" i="8"/>
  <c r="AP47" i="95"/>
  <c r="AO18" i="98"/>
  <c r="ER12" i="19"/>
  <c r="EX49" i="19"/>
  <c r="EE47" i="8" s="1"/>
  <c r="BV61" i="32"/>
  <c r="BV70" i="32" s="1"/>
  <c r="B101" i="118"/>
  <c r="B102" i="118" s="1"/>
  <c r="AN62" i="9"/>
  <c r="L69" i="9" s="1"/>
  <c r="P54" i="9"/>
  <c r="T54" i="9" s="1"/>
  <c r="K9" i="21"/>
  <c r="BA175" i="7"/>
  <c r="BL27" i="71"/>
  <c r="BQ27" i="71"/>
  <c r="BB27" i="71"/>
  <c r="E5" i="88"/>
  <c r="B7" i="88" s="1"/>
  <c r="W44" i="3"/>
  <c r="P31" i="65"/>
  <c r="P9" i="65"/>
  <c r="H27" i="7"/>
  <c r="N27" i="7"/>
  <c r="AN15" i="17"/>
  <c r="T32" i="17"/>
  <c r="AP15" i="17"/>
  <c r="P13" i="8" s="1"/>
  <c r="P14" i="8" s="1"/>
  <c r="AO15" i="17"/>
  <c r="P32" i="17"/>
  <c r="CD33" i="17"/>
  <c r="CG33" i="17" s="1"/>
  <c r="AO11" i="6"/>
  <c r="AO9" i="6" s="1"/>
  <c r="AO12" i="6" s="1"/>
  <c r="J5" i="68"/>
  <c r="L5" i="68" s="1"/>
  <c r="H8" i="68"/>
  <c r="H12" i="68" s="1"/>
  <c r="BB32" i="71"/>
  <c r="BQ32" i="71"/>
  <c r="BL32" i="71"/>
  <c r="D24" i="66"/>
  <c r="D11" i="66"/>
  <c r="D39" i="66" s="1"/>
  <c r="R24" i="66"/>
  <c r="AN46" i="8"/>
  <c r="AO46" i="8" s="1"/>
  <c r="M17" i="8"/>
  <c r="G61" i="8"/>
  <c r="X14" i="19"/>
  <c r="W14" i="19"/>
  <c r="AD14" i="19" s="1"/>
  <c r="AC14" i="19"/>
  <c r="M30" i="21"/>
  <c r="N30" i="21" s="1"/>
  <c r="I30" i="21"/>
  <c r="BL31" i="71"/>
  <c r="BQ31" i="71"/>
  <c r="BB31" i="71"/>
  <c r="AN63" i="72"/>
  <c r="L70" i="72" s="1"/>
  <c r="P54" i="72"/>
  <c r="P55" i="72" s="1"/>
  <c r="E9" i="65"/>
  <c r="E47" i="65" s="1"/>
  <c r="E31" i="65"/>
  <c r="F17" i="128"/>
  <c r="Z10" i="8"/>
  <c r="AF10" i="8"/>
  <c r="R29" i="8"/>
  <c r="P30" i="8"/>
  <c r="Q30" i="8" s="1"/>
  <c r="Q29" i="8"/>
  <c r="M31" i="21"/>
  <c r="N31" i="21" s="1"/>
  <c r="I31" i="21"/>
  <c r="AD12" i="19"/>
  <c r="AE12" i="19"/>
  <c r="AW82" i="6"/>
  <c r="AX82" i="6"/>
  <c r="AB82" i="6"/>
  <c r="AC82" i="6"/>
  <c r="BH82" i="6"/>
  <c r="BG82" i="6"/>
  <c r="AV82" i="6"/>
  <c r="BC82" i="6"/>
  <c r="BF82" i="6"/>
  <c r="BA82" i="6"/>
  <c r="BB82" i="6"/>
  <c r="AJ9" i="71"/>
  <c r="AI9" i="71"/>
  <c r="D11" i="61"/>
  <c r="D32" i="61"/>
  <c r="S11" i="66"/>
  <c r="S36" i="66" s="1"/>
  <c r="K65" i="32"/>
  <c r="BA46" i="3"/>
  <c r="BA44" i="3" s="1"/>
  <c r="W36" i="64"/>
  <c r="X36" i="64" s="1"/>
  <c r="Z36" i="64" s="1"/>
  <c r="AA36" i="64" s="1"/>
  <c r="AB36" i="64" s="1"/>
  <c r="AC36" i="64" s="1"/>
  <c r="AD36" i="64" s="1"/>
  <c r="S11" i="61"/>
  <c r="S44" i="61" s="1"/>
  <c r="S47" i="61" s="1"/>
  <c r="S32" i="61"/>
  <c r="K76" i="9"/>
  <c r="O17" i="9"/>
  <c r="AK26" i="9"/>
  <c r="AK13" i="9"/>
  <c r="AK22" i="9"/>
  <c r="AJ33" i="11"/>
  <c r="AJ32" i="11"/>
  <c r="AJ31" i="11"/>
  <c r="H14" i="17"/>
  <c r="AH8" i="7"/>
  <c r="R15" i="70"/>
  <c r="R19" i="70" s="1"/>
  <c r="AP99" i="8"/>
  <c r="AF25" i="7"/>
  <c r="BD25" i="7" s="1"/>
  <c r="BE25" i="7" s="1"/>
  <c r="F93" i="56"/>
  <c r="AU66" i="9"/>
  <c r="BB50" i="9" s="1"/>
  <c r="K17" i="80"/>
  <c r="CP55" i="72"/>
  <c r="B18" i="88"/>
  <c r="G32" i="61"/>
  <c r="T19" i="64"/>
  <c r="AP17" i="10"/>
  <c r="AQ17" i="10" s="1"/>
  <c r="AR17" i="10" s="1"/>
  <c r="CG20" i="7"/>
  <c r="CF20" i="7" s="1"/>
  <c r="CM185" i="7"/>
  <c r="CM75" i="7"/>
  <c r="CM74" i="7" s="1"/>
  <c r="D83" i="56"/>
  <c r="H8" i="7"/>
  <c r="U61" i="8"/>
  <c r="J61" i="8"/>
  <c r="J78" i="8" s="1"/>
  <c r="O10" i="70"/>
  <c r="AC34" i="5"/>
  <c r="H26" i="5"/>
  <c r="AD30" i="6"/>
  <c r="R33" i="9"/>
  <c r="Y35" i="8"/>
  <c r="T27" i="17"/>
  <c r="AT27" i="17" s="1"/>
  <c r="AY14" i="17"/>
  <c r="BD14" i="17"/>
  <c r="W8" i="17"/>
  <c r="I14" i="64"/>
  <c r="O49" i="19"/>
  <c r="AF39" i="11"/>
  <c r="AE19" i="7" s="1"/>
  <c r="AE151" i="7" s="1"/>
  <c r="AF45" i="11"/>
  <c r="AB19" i="8" s="1"/>
  <c r="AB102" i="8" s="1"/>
  <c r="Y46" i="5"/>
  <c r="AF17" i="10"/>
  <c r="D9" i="63"/>
  <c r="F8" i="68"/>
  <c r="C12" i="67"/>
  <c r="C13" i="67" s="1"/>
  <c r="C15" i="67" s="1"/>
  <c r="BD56" i="7" s="1"/>
  <c r="L20" i="70"/>
  <c r="Y29" i="71"/>
  <c r="Y37" i="71" s="1"/>
  <c r="V63" i="72"/>
  <c r="R36" i="72"/>
  <c r="K76" i="72"/>
  <c r="AL50" i="72" s="1"/>
  <c r="F73" i="81"/>
  <c r="B2" i="89"/>
  <c r="I3" i="89"/>
  <c r="A3" i="89" s="1"/>
  <c r="B12" i="85" s="1"/>
  <c r="I10" i="89"/>
  <c r="A10" i="89" s="1"/>
  <c r="B19" i="85" s="1"/>
  <c r="D19" i="85" s="1"/>
  <c r="I14" i="89"/>
  <c r="A14" i="89" s="1"/>
  <c r="B23" i="85" s="1"/>
  <c r="D23" i="85" s="1"/>
  <c r="P30" i="89"/>
  <c r="P28" i="89" s="1"/>
  <c r="I38" i="89"/>
  <c r="A38" i="89" s="1"/>
  <c r="B35" i="85" s="1"/>
  <c r="D35" i="85" s="1"/>
  <c r="Z19" i="65"/>
  <c r="L20" i="64"/>
  <c r="X31" i="65"/>
  <c r="X68" i="32"/>
  <c r="X65" i="32"/>
  <c r="AY166" i="7"/>
  <c r="AY171" i="7" s="1"/>
  <c r="AO21" i="8"/>
  <c r="G71" i="7"/>
  <c r="AB17" i="5"/>
  <c r="F17" i="5"/>
  <c r="M16" i="19"/>
  <c r="J49" i="19"/>
  <c r="AE51" i="9"/>
  <c r="Q43" i="3"/>
  <c r="C16" i="62"/>
  <c r="B34" i="63"/>
  <c r="B35" i="63" s="1"/>
  <c r="S20" i="70"/>
  <c r="BM29" i="71"/>
  <c r="J11" i="61"/>
  <c r="J47" i="61" s="1"/>
  <c r="I11" i="89"/>
  <c r="A11" i="89" s="1"/>
  <c r="B20" i="85" s="1"/>
  <c r="D20" i="85" s="1"/>
  <c r="B30" i="89"/>
  <c r="B28" i="89" s="1"/>
  <c r="P20" i="66"/>
  <c r="G9" i="65"/>
  <c r="D30" i="91"/>
  <c r="D28" i="91" s="1"/>
  <c r="C39" i="91"/>
  <c r="A39" i="91" s="1"/>
  <c r="B68" i="85" s="1"/>
  <c r="D68" i="85" s="1"/>
  <c r="F78" i="68"/>
  <c r="F92" i="68" s="1"/>
  <c r="F106" i="68" s="1"/>
  <c r="F107" i="68" s="1"/>
  <c r="CK185" i="7"/>
  <c r="CK75" i="7"/>
  <c r="CK74" i="7" s="1"/>
  <c r="CH10" i="123"/>
  <c r="CH27" i="123" s="1"/>
  <c r="C71" i="7"/>
  <c r="V61" i="8"/>
  <c r="R16" i="8"/>
  <c r="H8" i="8"/>
  <c r="S8" i="8"/>
  <c r="AC31" i="5"/>
  <c r="D26" i="5"/>
  <c r="O15" i="11"/>
  <c r="AV31" i="17"/>
  <c r="AV14" i="17"/>
  <c r="Z8" i="17"/>
  <c r="AM31" i="17"/>
  <c r="E27" i="21"/>
  <c r="E26" i="21"/>
  <c r="AU167" i="7"/>
  <c r="AU55" i="9"/>
  <c r="AD103" i="6"/>
  <c r="Y43" i="59"/>
  <c r="Y47" i="59" s="1"/>
  <c r="AY14" i="71"/>
  <c r="E19" i="77"/>
  <c r="L18" i="80"/>
  <c r="D70" i="78"/>
  <c r="B39" i="73"/>
  <c r="B40" i="73" s="1"/>
  <c r="F12" i="90"/>
  <c r="C5" i="91"/>
  <c r="A5" i="91" s="1"/>
  <c r="B46" i="85" s="1"/>
  <c r="D46" i="85" s="1"/>
  <c r="C6" i="91"/>
  <c r="A6" i="91" s="1"/>
  <c r="B47" i="85" s="1"/>
  <c r="D47" i="85" s="1"/>
  <c r="C9" i="91"/>
  <c r="A9" i="91" s="1"/>
  <c r="B50" i="85" s="1"/>
  <c r="D50" i="85" s="1"/>
  <c r="C13" i="91"/>
  <c r="A13" i="91" s="1"/>
  <c r="B54" i="85" s="1"/>
  <c r="D54" i="85" s="1"/>
  <c r="C41" i="91"/>
  <c r="A41" i="91" s="1"/>
  <c r="B70" i="85" s="1"/>
  <c r="D70" i="85" s="1"/>
  <c r="U31" i="65"/>
  <c r="D65" i="32"/>
  <c r="D72" i="32" s="1"/>
  <c r="D19" i="104" s="1"/>
  <c r="D23" i="104" s="1"/>
  <c r="M16" i="64" s="1"/>
  <c r="M14" i="64" s="1"/>
  <c r="BE61" i="8"/>
  <c r="BG42" i="8"/>
  <c r="Z46" i="65"/>
  <c r="AH46" i="65" s="1"/>
  <c r="BP52" i="7"/>
  <c r="BP50" i="7"/>
  <c r="BY50" i="7" s="1"/>
  <c r="BZ50" i="7" s="1"/>
  <c r="BM42" i="8"/>
  <c r="BM104" i="8" s="1"/>
  <c r="AF33" i="98"/>
  <c r="CZ38" i="17"/>
  <c r="BY36" i="7"/>
  <c r="M47" i="95"/>
  <c r="M52" i="95" s="1"/>
  <c r="AK52" i="5"/>
  <c r="CI12" i="19"/>
  <c r="AX38" i="5"/>
  <c r="U26" i="95"/>
  <c r="L53" i="96"/>
  <c r="BD96" i="8"/>
  <c r="BD31" i="8"/>
  <c r="BD27" i="8" s="1"/>
  <c r="BP96" i="8"/>
  <c r="BI119" i="8"/>
  <c r="M43" i="98"/>
  <c r="BN71" i="7"/>
  <c r="BN73" i="7" s="1"/>
  <c r="BM52" i="7"/>
  <c r="BM153" i="7" s="1"/>
  <c r="E110" i="116"/>
  <c r="E111" i="116" s="1"/>
  <c r="DF38" i="17"/>
  <c r="CO50" i="8"/>
  <c r="H9" i="119"/>
  <c r="BQ61" i="8"/>
  <c r="BC46" i="3"/>
  <c r="BC44" i="3" s="1"/>
  <c r="AE36" i="64" s="1"/>
  <c r="M24" i="98"/>
  <c r="M28" i="98" s="1"/>
  <c r="AK55" i="5"/>
  <c r="CI50" i="7"/>
  <c r="CE14" i="19"/>
  <c r="CE13" i="19" s="1"/>
  <c r="AM67" i="123"/>
  <c r="AC29" i="125"/>
  <c r="E35" i="123"/>
  <c r="AG35" i="123"/>
  <c r="CZ36" i="123"/>
  <c r="DS36" i="123"/>
  <c r="DS37" i="123"/>
  <c r="CZ37" i="123"/>
  <c r="DR37" i="123" s="1"/>
  <c r="FS48" i="123"/>
  <c r="FR46" i="123"/>
  <c r="DV27" i="123"/>
  <c r="AG41" i="123"/>
  <c r="AH41" i="123"/>
  <c r="BA41" i="123"/>
  <c r="BA42" i="123" s="1"/>
  <c r="BC42" i="123"/>
  <c r="FA42" i="123"/>
  <c r="BA44" i="123"/>
  <c r="BU44" i="123"/>
  <c r="CG44" i="123" s="1"/>
  <c r="BW27" i="123"/>
  <c r="B10" i="124"/>
  <c r="BW28" i="123"/>
  <c r="DW64" i="123"/>
  <c r="BJ52" i="123"/>
  <c r="BK13" i="123"/>
  <c r="BJ13" i="123" s="1"/>
  <c r="EQ13" i="123"/>
  <c r="BJ44" i="123"/>
  <c r="FH44" i="123"/>
  <c r="DT45" i="123"/>
  <c r="DT50" i="123"/>
  <c r="DY23" i="123"/>
  <c r="FX23" i="123"/>
  <c r="AI67" i="123"/>
  <c r="FY24" i="123"/>
  <c r="FT66" i="123"/>
  <c r="DR67" i="123"/>
  <c r="CW15" i="123"/>
  <c r="DP15" i="123"/>
  <c r="DJ13" i="123"/>
  <c r="DS13" i="123" s="1"/>
  <c r="FI13" i="123"/>
  <c r="FH13" i="123" s="1"/>
  <c r="N15" i="123"/>
  <c r="E44" i="123"/>
  <c r="AF44" i="123" s="1"/>
  <c r="FR54" i="123"/>
  <c r="FH54" i="123"/>
  <c r="DQ12" i="123"/>
  <c r="BS22" i="123"/>
  <c r="AI66" i="123"/>
  <c r="AD16" i="123"/>
  <c r="EV14" i="123"/>
  <c r="N8" i="123"/>
  <c r="AR10" i="123"/>
  <c r="AR12" i="123"/>
  <c r="AR30" i="123" s="1"/>
  <c r="DI15" i="123"/>
  <c r="CT43" i="123"/>
  <c r="DC48" i="123"/>
  <c r="P44" i="96"/>
  <c r="CS19" i="7" s="1"/>
  <c r="T25" i="105"/>
  <c r="DC38" i="8"/>
  <c r="DC40" i="8" s="1"/>
  <c r="DF16" i="19"/>
  <c r="AY52" i="6"/>
  <c r="CZ15" i="7"/>
  <c r="CZ8" i="7" s="1"/>
  <c r="DF48" i="19"/>
  <c r="CX33" i="7"/>
  <c r="AU48" i="19"/>
  <c r="DD12" i="7"/>
  <c r="DE8" i="7"/>
  <c r="DE148" i="7"/>
  <c r="S25" i="125"/>
  <c r="T16" i="123"/>
  <c r="FE14" i="123"/>
  <c r="AE16" i="123"/>
  <c r="CD16" i="123" s="1"/>
  <c r="FP14" i="123"/>
  <c r="E11" i="123"/>
  <c r="E29" i="123" s="1"/>
  <c r="BL49" i="3"/>
  <c r="CS167" i="7" s="1"/>
  <c r="X23" i="104"/>
  <c r="G59" i="134"/>
  <c r="G61" i="134"/>
  <c r="G63" i="134"/>
  <c r="G65" i="134"/>
  <c r="V19" i="105"/>
  <c r="DG143" i="8"/>
  <c r="DI19" i="8"/>
  <c r="DJ102" i="8"/>
  <c r="DT24" i="17"/>
  <c r="DT39" i="17" s="1"/>
  <c r="DT31" i="17"/>
  <c r="DT40" i="17" s="1"/>
  <c r="DM14" i="19"/>
  <c r="DM12" i="19"/>
  <c r="X28" i="105"/>
  <c r="X25" i="105" s="1"/>
  <c r="X19" i="105"/>
  <c r="DM26" i="19"/>
  <c r="DQ49" i="19"/>
  <c r="DH47" i="8" s="1"/>
  <c r="CS49" i="19"/>
  <c r="DA108" i="8"/>
  <c r="CZ50" i="8"/>
  <c r="CZ108" i="8" s="1"/>
  <c r="AC35" i="104"/>
  <c r="AC39" i="104" s="1"/>
  <c r="Y39" i="104"/>
  <c r="DK25" i="8"/>
  <c r="DK100" i="8"/>
  <c r="H15" i="135"/>
  <c r="CL13" i="135"/>
  <c r="FE15" i="123"/>
  <c r="AR14" i="123"/>
  <c r="EY8" i="123"/>
  <c r="H6" i="129"/>
  <c r="H10" i="129" s="1"/>
  <c r="H14" i="129" s="1"/>
  <c r="H9" i="129"/>
  <c r="D83" i="68"/>
  <c r="D80" i="68"/>
  <c r="AW64" i="32"/>
  <c r="AV68" i="32"/>
  <c r="AW68" i="32" s="1"/>
  <c r="E40" i="134"/>
  <c r="G40" i="134" s="1"/>
  <c r="B51" i="134"/>
  <c r="CU15" i="8"/>
  <c r="CU8" i="8" s="1"/>
  <c r="CT13" i="8"/>
  <c r="AR45" i="65"/>
  <c r="BQ62" i="3"/>
  <c r="R45" i="96" s="1"/>
  <c r="R53" i="96" s="1"/>
  <c r="DC9" i="8"/>
  <c r="BI13" i="10"/>
  <c r="BL13" i="10"/>
  <c r="DC167" i="7"/>
  <c r="BD65" i="32"/>
  <c r="BF65" i="32" s="1"/>
  <c r="BF72" i="32" s="1"/>
  <c r="CY152" i="7"/>
  <c r="CX34" i="7"/>
  <c r="CX152" i="7" s="1"/>
  <c r="DS49" i="19"/>
  <c r="DG138" i="8"/>
  <c r="AS12" i="65" s="1"/>
  <c r="DG96" i="8"/>
  <c r="AM12" i="98"/>
  <c r="AM27" i="98" s="1"/>
  <c r="AM32" i="98" s="1"/>
  <c r="BW62" i="3"/>
  <c r="U45" i="96" s="1"/>
  <c r="Y27" i="105"/>
  <c r="Y25" i="105" s="1"/>
  <c r="Y19" i="105"/>
  <c r="D40" i="128"/>
  <c r="H40" i="128"/>
  <c r="I40" i="128" s="1"/>
  <c r="CT14" i="19"/>
  <c r="CT13" i="19" s="1"/>
  <c r="DA13" i="19" s="1"/>
  <c r="CQ13" i="19"/>
  <c r="S27" i="105"/>
  <c r="S25" i="105" s="1"/>
  <c r="S19" i="105"/>
  <c r="DE18" i="7"/>
  <c r="AM42" i="95"/>
  <c r="AO42" i="95" s="1"/>
  <c r="CZ59" i="7"/>
  <c r="DG99" i="8"/>
  <c r="DF12" i="8"/>
  <c r="DF99" i="8" s="1"/>
  <c r="DF23" i="8"/>
  <c r="DH25" i="8"/>
  <c r="DF18" i="8"/>
  <c r="BE8" i="135"/>
  <c r="BF8" i="135" s="1"/>
  <c r="CU14" i="136"/>
  <c r="CU16" i="136" s="1"/>
  <c r="CU7" i="136"/>
  <c r="CT8" i="136"/>
  <c r="DC8" i="136"/>
  <c r="DD7" i="136"/>
  <c r="DD14" i="136"/>
  <c r="DD16" i="136" s="1"/>
  <c r="BP63" i="32"/>
  <c r="BP67" i="32" s="1"/>
  <c r="CA49" i="3"/>
  <c r="DY102" i="8"/>
  <c r="DX19" i="8"/>
  <c r="DX102" i="8" s="1"/>
  <c r="BU62" i="32"/>
  <c r="BS61" i="32"/>
  <c r="BS70" i="32" s="1"/>
  <c r="CP27" i="19"/>
  <c r="CW27" i="19" s="1"/>
  <c r="BJ63" i="32"/>
  <c r="BL63" i="32" s="1"/>
  <c r="BW49" i="3"/>
  <c r="BJ45" i="61" s="1"/>
  <c r="H7" i="135"/>
  <c r="F7" i="135"/>
  <c r="F15" i="135" s="1"/>
  <c r="DD14" i="135"/>
  <c r="DE15" i="135"/>
  <c r="DE17" i="135" s="1"/>
  <c r="AA26" i="105"/>
  <c r="AA25" i="105" s="1"/>
  <c r="AA19" i="105"/>
  <c r="AB27" i="105"/>
  <c r="AB25" i="105" s="1"/>
  <c r="AB19" i="105"/>
  <c r="DT65" i="8"/>
  <c r="DT64" i="8" s="1"/>
  <c r="DT8" i="8"/>
  <c r="DT96" i="8"/>
  <c r="DT138" i="8" s="1"/>
  <c r="AW14" i="66" s="1"/>
  <c r="DR9" i="8"/>
  <c r="DR18" i="8"/>
  <c r="DS17" i="8"/>
  <c r="DS96" i="8"/>
  <c r="DS103" i="8"/>
  <c r="DR26" i="8"/>
  <c r="DS34" i="8"/>
  <c r="DR35" i="8"/>
  <c r="DR34" i="8" s="1"/>
  <c r="AH10" i="123"/>
  <c r="CG10" i="123" s="1"/>
  <c r="EF10" i="123" s="1"/>
  <c r="N10" i="123"/>
  <c r="EY15" i="123"/>
  <c r="AI59" i="123"/>
  <c r="Q48" i="123"/>
  <c r="AU42" i="123"/>
  <c r="DU45" i="123"/>
  <c r="DU37" i="123"/>
  <c r="Q42" i="128"/>
  <c r="L19" i="128"/>
  <c r="N19" i="128" s="1"/>
  <c r="W13" i="102"/>
  <c r="W23" i="102" s="1"/>
  <c r="DA42" i="8"/>
  <c r="DA104" i="8" s="1"/>
  <c r="B68" i="134"/>
  <c r="CW20" i="8"/>
  <c r="CU67" i="8"/>
  <c r="BC65" i="32"/>
  <c r="BC72" i="32" s="1"/>
  <c r="AK47" i="95"/>
  <c r="DE158" i="7"/>
  <c r="DF15" i="8"/>
  <c r="DH42" i="8"/>
  <c r="DH104" i="8" s="1"/>
  <c r="BD46" i="5"/>
  <c r="BD55" i="5" s="1"/>
  <c r="AJ33" i="98"/>
  <c r="BF68" i="32"/>
  <c r="DB47" i="7"/>
  <c r="DB189" i="7"/>
  <c r="DB77" i="7"/>
  <c r="BN62" i="3"/>
  <c r="Q45" i="96" s="1"/>
  <c r="BK27" i="19"/>
  <c r="BW27" i="19" s="1"/>
  <c r="Z19" i="105"/>
  <c r="BR18" i="10"/>
  <c r="BS17" i="10" s="1"/>
  <c r="DP35" i="8" s="1"/>
  <c r="BC8" i="135"/>
  <c r="CO8" i="135"/>
  <c r="AS10" i="135"/>
  <c r="CP15" i="135"/>
  <c r="CP17" i="135" s="1"/>
  <c r="DD12" i="136"/>
  <c r="CT15" i="135"/>
  <c r="CT17" i="135" s="1"/>
  <c r="CR8" i="135"/>
  <c r="AT13" i="135"/>
  <c r="AT7" i="135" s="1"/>
  <c r="AT15" i="135" s="1"/>
  <c r="CJ13" i="135"/>
  <c r="CJ7" i="135" s="1"/>
  <c r="CJ15" i="135" s="1"/>
  <c r="CJ17" i="135" s="1"/>
  <c r="CI11" i="135"/>
  <c r="CI13" i="135" s="1"/>
  <c r="DA11" i="135"/>
  <c r="DA13" i="135" s="1"/>
  <c r="DB13" i="135"/>
  <c r="DB7" i="135" s="1"/>
  <c r="DB15" i="135" s="1"/>
  <c r="DB17" i="135" s="1"/>
  <c r="DC12" i="136"/>
  <c r="DX43" i="8"/>
  <c r="DZ42" i="8"/>
  <c r="FT36" i="123"/>
  <c r="CQ49" i="19"/>
  <c r="DI9" i="8"/>
  <c r="DJ103" i="8"/>
  <c r="DJ15" i="8"/>
  <c r="DJ8" i="8" s="1"/>
  <c r="BF46" i="5"/>
  <c r="BP19" i="10"/>
  <c r="BI18" i="10"/>
  <c r="BD63" i="32"/>
  <c r="BF63" i="32" s="1"/>
  <c r="BS49" i="3"/>
  <c r="CX13" i="7"/>
  <c r="DF10" i="8"/>
  <c r="DK31" i="17"/>
  <c r="BE66" i="61"/>
  <c r="DJ65" i="8"/>
  <c r="DJ64" i="8" s="1"/>
  <c r="DP108" i="8"/>
  <c r="AW16" i="65" s="1"/>
  <c r="AB7" i="136"/>
  <c r="CI8" i="135"/>
  <c r="DA10" i="135"/>
  <c r="AV11" i="135"/>
  <c r="AV13" i="135" s="1"/>
  <c r="AV7" i="135" s="1"/>
  <c r="AV15" i="135" s="1"/>
  <c r="AU13" i="135"/>
  <c r="AU7" i="135" s="1"/>
  <c r="AU15" i="135" s="1"/>
  <c r="CM13" i="135"/>
  <c r="CM7" i="135" s="1"/>
  <c r="CM15" i="135" s="1"/>
  <c r="CM17" i="135" s="1"/>
  <c r="DN43" i="7"/>
  <c r="DV15" i="8"/>
  <c r="DV8" i="8" s="1"/>
  <c r="DU13" i="8"/>
  <c r="DU15" i="8" s="1"/>
  <c r="DX38" i="8"/>
  <c r="DX40" i="8" s="1"/>
  <c r="DY40" i="8"/>
  <c r="DJ12" i="136"/>
  <c r="DI10" i="136"/>
  <c r="DI12" i="136" s="1"/>
  <c r="AQ12" i="136"/>
  <c r="DT151" i="7"/>
  <c r="DS19" i="7"/>
  <c r="DS151" i="7" s="1"/>
  <c r="DU144" i="7"/>
  <c r="DS9" i="7"/>
  <c r="DN41" i="7"/>
  <c r="DN35" i="7" s="1"/>
  <c r="DM39" i="7"/>
  <c r="DM41" i="7" s="1"/>
  <c r="DS167" i="7"/>
  <c r="DS72" i="7" s="1"/>
  <c r="DT72" i="7"/>
  <c r="AY17" i="65"/>
  <c r="DS143" i="8"/>
  <c r="DW42" i="8"/>
  <c r="DU44" i="8"/>
  <c r="DV34" i="8"/>
  <c r="DY104" i="8"/>
  <c r="DX46" i="8"/>
  <c r="DX29" i="8"/>
  <c r="DX31" i="8" s="1"/>
  <c r="DX27" i="8" s="1"/>
  <c r="DY31" i="8"/>
  <c r="DY27" i="8" s="1"/>
  <c r="BM63" i="32"/>
  <c r="BY49" i="3"/>
  <c r="AN12" i="98"/>
  <c r="AN27" i="98" s="1"/>
  <c r="DR28" i="8"/>
  <c r="DR99" i="8" s="1"/>
  <c r="DS99" i="8"/>
  <c r="Y23" i="104"/>
  <c r="CP16" i="19"/>
  <c r="BK19" i="19"/>
  <c r="BW19" i="19" s="1"/>
  <c r="AV19" i="64"/>
  <c r="FT14" i="123"/>
  <c r="BL64" i="32"/>
  <c r="DL101" i="8"/>
  <c r="DE7" i="135"/>
  <c r="W7" i="135"/>
  <c r="W15" i="135" s="1"/>
  <c r="CO7" i="136"/>
  <c r="AQ7" i="136"/>
  <c r="DP61" i="7"/>
  <c r="DP158" i="7" s="1"/>
  <c r="DU18" i="8"/>
  <c r="DW17" i="8"/>
  <c r="DR51" i="8"/>
  <c r="DR109" i="8" s="1"/>
  <c r="DU38" i="8"/>
  <c r="DU40" i="8" s="1"/>
  <c r="DP148" i="7"/>
  <c r="BP14" i="61"/>
  <c r="DS45" i="7"/>
  <c r="DT74" i="7"/>
  <c r="DS108" i="8"/>
  <c r="DR50" i="8"/>
  <c r="DR108" i="8" s="1"/>
  <c r="DW96" i="8"/>
  <c r="DW138" i="8" s="1"/>
  <c r="DW65" i="8"/>
  <c r="DW64" i="8" s="1"/>
  <c r="DS100" i="8"/>
  <c r="DS25" i="8"/>
  <c r="AP18" i="98"/>
  <c r="AO38" i="98"/>
  <c r="EF38" i="17"/>
  <c r="EQ49" i="19"/>
  <c r="DM23" i="7"/>
  <c r="DM25" i="7" s="1"/>
  <c r="DN25" i="7"/>
  <c r="AE7" i="135"/>
  <c r="AE15" i="135" s="1"/>
  <c r="H13" i="135"/>
  <c r="DQ77" i="7"/>
  <c r="DQ189" i="7" s="1"/>
  <c r="DT33" i="7"/>
  <c r="DT27" i="7" s="1"/>
  <c r="DN149" i="7"/>
  <c r="DQ146" i="7"/>
  <c r="DU101" i="8"/>
  <c r="DV99" i="8"/>
  <c r="DU12" i="8"/>
  <c r="DU99" i="8" s="1"/>
  <c r="DX103" i="8"/>
  <c r="DY144" i="8"/>
  <c r="BA30" i="65" s="1"/>
  <c r="DX10" i="8"/>
  <c r="DX97" i="8" s="1"/>
  <c r="DR43" i="8"/>
  <c r="DT42" i="8"/>
  <c r="BI46" i="5"/>
  <c r="BI53" i="5" s="1"/>
  <c r="BY62" i="3"/>
  <c r="EV49" i="19"/>
  <c r="DW47" i="8" s="1"/>
  <c r="BU68" i="32"/>
  <c r="C26" i="105"/>
  <c r="DU15" i="7"/>
  <c r="DU8" i="7" s="1"/>
  <c r="DU74" i="7"/>
  <c r="DM148" i="7"/>
  <c r="DV17" i="8"/>
  <c r="DY17" i="8"/>
  <c r="DR101" i="8"/>
  <c r="DV144" i="8"/>
  <c r="AZ30" i="65" s="1"/>
  <c r="DV42" i="8"/>
  <c r="DK42" i="8"/>
  <c r="DK104" i="8" s="1"/>
  <c r="DR44" i="8"/>
  <c r="CB19" i="10"/>
  <c r="BX68" i="32"/>
  <c r="BX70" i="32" s="1"/>
  <c r="DO75" i="7"/>
  <c r="DO74" i="7" s="1"/>
  <c r="DV103" i="8"/>
  <c r="DY103" i="8"/>
  <c r="DY34" i="8"/>
  <c r="DX99" i="8"/>
  <c r="DX120" i="8"/>
  <c r="DX62" i="8" s="1"/>
  <c r="DV100" i="8"/>
  <c r="BJ46" i="5"/>
  <c r="BJ55" i="5" s="1"/>
  <c r="BK46" i="5"/>
  <c r="BK54" i="5" s="1"/>
  <c r="BL54" i="5" s="1"/>
  <c r="BL50" i="5" s="1"/>
  <c r="AQ47" i="95"/>
  <c r="AR37" i="95"/>
  <c r="BV19" i="10"/>
  <c r="ER27" i="19"/>
  <c r="ER16" i="19"/>
  <c r="FE49" i="19"/>
  <c r="DS65" i="8"/>
  <c r="DS64" i="8" s="1"/>
  <c r="DS138" i="8"/>
  <c r="AY12" i="65" s="1"/>
  <c r="T54" i="7"/>
  <c r="U54" i="7" s="1"/>
  <c r="BL33" i="17"/>
  <c r="BB33" i="17"/>
  <c r="AI23" i="8" s="1"/>
  <c r="AF54" i="6"/>
  <c r="AF51" i="6"/>
  <c r="AT58" i="9"/>
  <c r="AT59" i="9" s="1"/>
  <c r="AC57" i="3"/>
  <c r="E20" i="84"/>
  <c r="K21" i="32"/>
  <c r="M21" i="32" s="1"/>
  <c r="B30" i="84"/>
  <c r="B31" i="32"/>
  <c r="D31" i="32" s="1"/>
  <c r="E48" i="56"/>
  <c r="AA49" i="3"/>
  <c r="Z53" i="5"/>
  <c r="AF53" i="5" s="1"/>
  <c r="AG53" i="5" s="1"/>
  <c r="AD54" i="5"/>
  <c r="AD55" i="5"/>
  <c r="AD52" i="5"/>
  <c r="AD47" i="5"/>
  <c r="AD53" i="5"/>
  <c r="AG26" i="5"/>
  <c r="AM27" i="5"/>
  <c r="AR22" i="7"/>
  <c r="AS22" i="7" s="1"/>
  <c r="S15" i="65"/>
  <c r="S13" i="65" s="1"/>
  <c r="CO138" i="8"/>
  <c r="CO65" i="8"/>
  <c r="CO64" i="8" s="1"/>
  <c r="CN9" i="8"/>
  <c r="CO96" i="8"/>
  <c r="AZ48" i="9"/>
  <c r="AO48" i="9"/>
  <c r="BO33" i="17"/>
  <c r="BP33" i="17"/>
  <c r="AQ89" i="7"/>
  <c r="AR89" i="7" s="1"/>
  <c r="D25" i="6"/>
  <c r="B45" i="6"/>
  <c r="AD19" i="6"/>
  <c r="AC18" i="6"/>
  <c r="Q18" i="6"/>
  <c r="F18" i="6"/>
  <c r="X13" i="6"/>
  <c r="AD13" i="6" s="1"/>
  <c r="AD12" i="6"/>
  <c r="W15" i="9"/>
  <c r="AA15" i="9"/>
  <c r="AK17" i="9"/>
  <c r="AK25" i="9"/>
  <c r="H11" i="9"/>
  <c r="I22" i="9"/>
  <c r="I20" i="9"/>
  <c r="I13" i="9"/>
  <c r="H13" i="9" s="1"/>
  <c r="H9" i="9"/>
  <c r="AI8" i="136"/>
  <c r="BA8" i="136" s="1"/>
  <c r="V17" i="10"/>
  <c r="AI35" i="8"/>
  <c r="P17" i="10"/>
  <c r="O18" i="10"/>
  <c r="AN12" i="17"/>
  <c r="T28" i="17"/>
  <c r="AX28" i="17" s="1"/>
  <c r="AP12" i="17"/>
  <c r="AO12" i="17"/>
  <c r="AE10" i="17"/>
  <c r="AH10" i="17"/>
  <c r="T37" i="19"/>
  <c r="X37" i="19"/>
  <c r="T33" i="19"/>
  <c r="X26" i="19"/>
  <c r="X25" i="19"/>
  <c r="F49" i="19"/>
  <c r="X12" i="19"/>
  <c r="S11" i="19"/>
  <c r="S49" i="19" s="1"/>
  <c r="T12" i="19"/>
  <c r="W12" i="19"/>
  <c r="T8" i="19"/>
  <c r="AC8" i="19"/>
  <c r="X8" i="19"/>
  <c r="N12" i="21"/>
  <c r="G28" i="21"/>
  <c r="X31" i="11"/>
  <c r="Y31" i="11"/>
  <c r="G45" i="65"/>
  <c r="W62" i="3"/>
  <c r="E13" i="88"/>
  <c r="AC13" i="9"/>
  <c r="Z9" i="72"/>
  <c r="AA9" i="72" s="1"/>
  <c r="AB13" i="72"/>
  <c r="AB26" i="5"/>
  <c r="AC30" i="5"/>
  <c r="AF30" i="5"/>
  <c r="AF26" i="5" s="1"/>
  <c r="F26" i="5"/>
  <c r="V26" i="5"/>
  <c r="W26" i="5"/>
  <c r="AU41" i="5"/>
  <c r="AC24" i="5"/>
  <c r="T63" i="96"/>
  <c r="T48" i="96"/>
  <c r="CO42" i="8"/>
  <c r="CO104" i="8" s="1"/>
  <c r="CN43" i="8"/>
  <c r="T53" i="7"/>
  <c r="S87" i="7"/>
  <c r="T59" i="7"/>
  <c r="U59" i="7" s="1"/>
  <c r="T9" i="7"/>
  <c r="T10" i="7"/>
  <c r="U10" i="7" s="1"/>
  <c r="T12" i="7"/>
  <c r="U12" i="7" s="1"/>
  <c r="T28" i="7"/>
  <c r="U28" i="7" s="1"/>
  <c r="U27" i="7" s="1"/>
  <c r="T29" i="7"/>
  <c r="U29" i="7" s="1"/>
  <c r="AH35" i="7"/>
  <c r="AJ71" i="7"/>
  <c r="F49" i="3"/>
  <c r="E44" i="3"/>
  <c r="Y87" i="7"/>
  <c r="AH40" i="7"/>
  <c r="AH150" i="7" s="1"/>
  <c r="AJ150" i="7"/>
  <c r="AJ166" i="7" s="1"/>
  <c r="Y27" i="7"/>
  <c r="BY16" i="8"/>
  <c r="BY26" i="8" s="1"/>
  <c r="BY33" i="8" s="1"/>
  <c r="BY41" i="8" s="1"/>
  <c r="CB42" i="7"/>
  <c r="DF191" i="7"/>
  <c r="AR22" i="64" s="1"/>
  <c r="AD13" i="102"/>
  <c r="Z23" i="102"/>
  <c r="CQ9" i="8"/>
  <c r="CR65" i="8"/>
  <c r="CR64" i="8" s="1"/>
  <c r="AW144" i="7"/>
  <c r="C11" i="11"/>
  <c r="C10" i="11"/>
  <c r="W35" i="7"/>
  <c r="X36" i="7"/>
  <c r="X35" i="7" s="1"/>
  <c r="AA11" i="9"/>
  <c r="S75" i="8"/>
  <c r="Q75" i="8"/>
  <c r="P27" i="21"/>
  <c r="X16" i="19"/>
  <c r="X32" i="19"/>
  <c r="X45" i="19"/>
  <c r="X41" i="19"/>
  <c r="X10" i="19"/>
  <c r="X46" i="19"/>
  <c r="G42" i="7"/>
  <c r="AH46" i="11"/>
  <c r="AJ60" i="9"/>
  <c r="AJ60" i="72"/>
  <c r="M24" i="7"/>
  <c r="M25" i="7" s="1"/>
  <c r="M17" i="7" s="1"/>
  <c r="I25" i="7"/>
  <c r="I17" i="7" s="1"/>
  <c r="D27" i="8"/>
  <c r="B61" i="8"/>
  <c r="B78" i="8" s="1"/>
  <c r="C61" i="8"/>
  <c r="D8" i="8"/>
  <c r="S46" i="5"/>
  <c r="S47" i="5" s="1"/>
  <c r="K46" i="5"/>
  <c r="K47" i="5" s="1"/>
  <c r="K48" i="5" s="1"/>
  <c r="K16" i="7" s="1"/>
  <c r="K8" i="7" s="1"/>
  <c r="E46" i="5"/>
  <c r="AF15" i="5"/>
  <c r="AC15" i="5"/>
  <c r="AC8" i="5"/>
  <c r="X25" i="6"/>
  <c r="BB34" i="17"/>
  <c r="AI29" i="8" s="1"/>
  <c r="AZ31" i="17"/>
  <c r="P28" i="17"/>
  <c r="AZ24" i="17"/>
  <c r="P10" i="136"/>
  <c r="P38" i="8"/>
  <c r="AW52" i="8"/>
  <c r="AI110" i="8"/>
  <c r="AK31" i="19"/>
  <c r="AL31" i="19"/>
  <c r="AK17" i="19"/>
  <c r="AO17" i="19"/>
  <c r="R17" i="128"/>
  <c r="BA54" i="6"/>
  <c r="BB54" i="6" s="1"/>
  <c r="BC54" i="6" s="1"/>
  <c r="BA53" i="6"/>
  <c r="BB53" i="6" s="1"/>
  <c r="BC53" i="6" s="1"/>
  <c r="BA52" i="6"/>
  <c r="BB52" i="6" s="1"/>
  <c r="BC52" i="6" s="1"/>
  <c r="BA51" i="6"/>
  <c r="BB51" i="6" s="1"/>
  <c r="BC51" i="6" s="1"/>
  <c r="AJ27" i="123"/>
  <c r="AJ28" i="123"/>
  <c r="CR96" i="8"/>
  <c r="AX15" i="8"/>
  <c r="AX8" i="8" s="1"/>
  <c r="AV14" i="8"/>
  <c r="M62" i="3"/>
  <c r="B71" i="56"/>
  <c r="AI75" i="8"/>
  <c r="AM46" i="11"/>
  <c r="AK75" i="8"/>
  <c r="Q46" i="5"/>
  <c r="Q47" i="5" s="1"/>
  <c r="M29" i="21"/>
  <c r="N25" i="21"/>
  <c r="F16" i="65"/>
  <c r="H48" i="3"/>
  <c r="H39" i="3"/>
  <c r="H40" i="3" s="1"/>
  <c r="G19" i="11"/>
  <c r="AP19" i="11" s="1"/>
  <c r="G18" i="11"/>
  <c r="Y35" i="7"/>
  <c r="A41" i="7"/>
  <c r="A33" i="7"/>
  <c r="A50" i="7" s="1"/>
  <c r="Q37" i="8"/>
  <c r="R37" i="8"/>
  <c r="N61" i="8"/>
  <c r="N45" i="6"/>
  <c r="M25" i="6"/>
  <c r="H25" i="6"/>
  <c r="G45" i="6"/>
  <c r="AC16" i="6"/>
  <c r="AB45" i="6"/>
  <c r="AB46" i="6" s="1"/>
  <c r="AN61" i="9"/>
  <c r="P52" i="9"/>
  <c r="V61" i="9"/>
  <c r="H15" i="9"/>
  <c r="I26" i="9"/>
  <c r="T33" i="17"/>
  <c r="AN16" i="17"/>
  <c r="AP16" i="17"/>
  <c r="H58" i="19"/>
  <c r="H59" i="19"/>
  <c r="H56" i="19"/>
  <c r="H57" i="19"/>
  <c r="M27" i="19"/>
  <c r="H27" i="19"/>
  <c r="G49" i="19"/>
  <c r="H49" i="19" s="1"/>
  <c r="T23" i="19"/>
  <c r="Z89" i="7"/>
  <c r="Y172" i="7"/>
  <c r="P56" i="19"/>
  <c r="P58" i="19"/>
  <c r="K17" i="128"/>
  <c r="AW128" i="8"/>
  <c r="BA43" i="8"/>
  <c r="AI42" i="8"/>
  <c r="AJ43" i="8"/>
  <c r="AK43" i="8"/>
  <c r="AK42" i="8" s="1"/>
  <c r="AK104" i="8" s="1"/>
  <c r="AA105" i="7"/>
  <c r="O64" i="3"/>
  <c r="V71" i="7"/>
  <c r="M8" i="7"/>
  <c r="M33" i="8"/>
  <c r="R33" i="8"/>
  <c r="H17" i="8"/>
  <c r="AG20" i="5"/>
  <c r="AG17" i="5" s="1"/>
  <c r="AC20" i="5"/>
  <c r="W17" i="5"/>
  <c r="AC18" i="5"/>
  <c r="N46" i="5"/>
  <c r="AG42" i="6"/>
  <c r="AH42" i="6" s="1"/>
  <c r="AH25" i="6" s="1"/>
  <c r="AD42" i="6"/>
  <c r="AD38" i="6"/>
  <c r="AG38" i="6"/>
  <c r="AG31" i="6"/>
  <c r="AD31" i="6"/>
  <c r="V14" i="10"/>
  <c r="AI10" i="8"/>
  <c r="BH35" i="17"/>
  <c r="BA35" i="17"/>
  <c r="P33" i="17"/>
  <c r="AY32" i="17"/>
  <c r="BA32" i="17"/>
  <c r="AX32" i="17"/>
  <c r="BH32" i="17"/>
  <c r="N31" i="17"/>
  <c r="N38" i="17"/>
  <c r="BA28" i="17"/>
  <c r="BH28" i="17"/>
  <c r="AY28" i="17"/>
  <c r="N10" i="136"/>
  <c r="N38" i="8"/>
  <c r="AO32" i="17"/>
  <c r="N26" i="21"/>
  <c r="M13" i="3"/>
  <c r="O87" i="7"/>
  <c r="G13" i="3"/>
  <c r="G87" i="7"/>
  <c r="BE20" i="7"/>
  <c r="BF20" i="7" s="1"/>
  <c r="P44" i="59"/>
  <c r="AF125" i="8"/>
  <c r="AC88" i="6"/>
  <c r="BB88" i="6"/>
  <c r="BA88" i="6"/>
  <c r="AX88" i="6"/>
  <c r="BC88" i="6"/>
  <c r="AB88" i="6"/>
  <c r="BG88" i="6"/>
  <c r="AV88" i="6"/>
  <c r="AY88" i="6" s="1"/>
  <c r="BF88" i="6"/>
  <c r="N12" i="59"/>
  <c r="O15" i="59"/>
  <c r="R15" i="59"/>
  <c r="N57" i="61"/>
  <c r="N58" i="61" s="1"/>
  <c r="N60" i="61" s="1"/>
  <c r="AD43" i="11"/>
  <c r="BE43" i="11" s="1"/>
  <c r="AD41" i="11"/>
  <c r="BE41" i="11" s="1"/>
  <c r="AD42" i="11"/>
  <c r="BE42" i="11" s="1"/>
  <c r="BQ26" i="71"/>
  <c r="BL26" i="71"/>
  <c r="BB26" i="71"/>
  <c r="BL33" i="71"/>
  <c r="BB33" i="71"/>
  <c r="BQ33" i="71"/>
  <c r="D13" i="73"/>
  <c r="C14" i="73"/>
  <c r="J10" i="64"/>
  <c r="J37" i="64" s="1"/>
  <c r="J23" i="64"/>
  <c r="B19" i="77"/>
  <c r="C22" i="77"/>
  <c r="B44" i="73"/>
  <c r="B45" i="73" s="1"/>
  <c r="C43" i="73"/>
  <c r="C44" i="73" s="1"/>
  <c r="O10" i="64"/>
  <c r="O23" i="64"/>
  <c r="F119" i="106"/>
  <c r="AN45" i="3"/>
  <c r="AN44" i="3" s="1"/>
  <c r="AO44" i="3"/>
  <c r="AO41" i="3"/>
  <c r="AO39" i="3" s="1"/>
  <c r="AO43" i="3" s="1"/>
  <c r="U32" i="61"/>
  <c r="U11" i="61"/>
  <c r="U44" i="61" s="1"/>
  <c r="U47" i="61" s="1"/>
  <c r="L31" i="65"/>
  <c r="L9" i="65"/>
  <c r="AK18" i="10"/>
  <c r="AL15" i="10"/>
  <c r="AL52" i="5"/>
  <c r="AL54" i="5"/>
  <c r="AL53" i="5"/>
  <c r="AL55" i="5"/>
  <c r="AL47" i="5"/>
  <c r="AT14" i="19"/>
  <c r="AT13" i="19" s="1"/>
  <c r="AS13" i="19"/>
  <c r="AI27" i="123"/>
  <c r="AM120" i="8"/>
  <c r="AO75" i="8"/>
  <c r="AO120" i="8" s="1"/>
  <c r="O51" i="3"/>
  <c r="AR87" i="7"/>
  <c r="N33" i="7"/>
  <c r="N17" i="7"/>
  <c r="AL99" i="8"/>
  <c r="W12" i="6"/>
  <c r="R12" i="6"/>
  <c r="BA26" i="17"/>
  <c r="BH26" i="17"/>
  <c r="AV38" i="17"/>
  <c r="AO35" i="17"/>
  <c r="AA35" i="17"/>
  <c r="O11" i="135"/>
  <c r="O39" i="7"/>
  <c r="T41" i="19"/>
  <c r="AC41" i="19"/>
  <c r="T38" i="19"/>
  <c r="AC38" i="19"/>
  <c r="U12" i="19"/>
  <c r="V12" i="19"/>
  <c r="Y38" i="17"/>
  <c r="K87" i="7"/>
  <c r="L13" i="3"/>
  <c r="Z101" i="7"/>
  <c r="M9" i="21"/>
  <c r="L57" i="19"/>
  <c r="L56" i="19"/>
  <c r="BB53" i="7"/>
  <c r="AG58" i="72"/>
  <c r="AG59" i="72" s="1"/>
  <c r="K48" i="3"/>
  <c r="AP75" i="8"/>
  <c r="AR46" i="11"/>
  <c r="BC26" i="6"/>
  <c r="BG26" i="6" s="1"/>
  <c r="AU26" i="6"/>
  <c r="AO26" i="6"/>
  <c r="AN25" i="6"/>
  <c r="AT33" i="7"/>
  <c r="AT27" i="7" s="1"/>
  <c r="AE119" i="8"/>
  <c r="F40" i="56"/>
  <c r="I112" i="56"/>
  <c r="AF14" i="59"/>
  <c r="AF9" i="59"/>
  <c r="S38" i="59"/>
  <c r="S39" i="59" s="1"/>
  <c r="S47" i="59"/>
  <c r="S44" i="59"/>
  <c r="R44" i="59"/>
  <c r="R47" i="59"/>
  <c r="W48" i="59"/>
  <c r="AE51" i="59"/>
  <c r="BE10" i="135"/>
  <c r="BD10" i="135" s="1"/>
  <c r="BE38" i="7"/>
  <c r="BD38" i="7" s="1"/>
  <c r="AZ52" i="8"/>
  <c r="BB110" i="8"/>
  <c r="F21" i="65" s="1"/>
  <c r="D148" i="69"/>
  <c r="D164" i="69" s="1"/>
  <c r="D173" i="69" s="1"/>
  <c r="I20" i="70"/>
  <c r="V14" i="19"/>
  <c r="U14" i="19"/>
  <c r="G26" i="21"/>
  <c r="BA32" i="11"/>
  <c r="R11" i="70"/>
  <c r="BA83" i="8"/>
  <c r="BB148" i="7"/>
  <c r="F5" i="79"/>
  <c r="C5" i="88"/>
  <c r="AF87" i="7"/>
  <c r="AE45" i="6"/>
  <c r="AE46" i="6" s="1"/>
  <c r="F9" i="77"/>
  <c r="E9" i="77" s="1"/>
  <c r="AH18" i="6"/>
  <c r="BF24" i="17"/>
  <c r="BF38" i="17"/>
  <c r="AC125" i="8"/>
  <c r="AB79" i="8"/>
  <c r="AB125" i="8" s="1"/>
  <c r="BD146" i="7"/>
  <c r="D49" i="56"/>
  <c r="D29" i="56"/>
  <c r="I8" i="56"/>
  <c r="I18" i="56" s="1"/>
  <c r="I20" i="56" s="1"/>
  <c r="C8" i="56"/>
  <c r="D18" i="56"/>
  <c r="D11" i="56"/>
  <c r="D10" i="56"/>
  <c r="Z151" i="6"/>
  <c r="CD25" i="17"/>
  <c r="CA24" i="17"/>
  <c r="F9" i="62"/>
  <c r="F10" i="62" s="1"/>
  <c r="H13" i="62"/>
  <c r="D16" i="62"/>
  <c r="AT149" i="7"/>
  <c r="AJ58" i="72"/>
  <c r="AJ59" i="72" s="1"/>
  <c r="AJ58" i="9"/>
  <c r="AJ59" i="9" s="1"/>
  <c r="M35" i="8"/>
  <c r="H35" i="8"/>
  <c r="P8" i="10"/>
  <c r="O13" i="10"/>
  <c r="Y25" i="10" s="1"/>
  <c r="V8" i="10"/>
  <c r="I9" i="11"/>
  <c r="BD8" i="17"/>
  <c r="Q8" i="17"/>
  <c r="AM38" i="17"/>
  <c r="AM24" i="17"/>
  <c r="AO76" i="8"/>
  <c r="AI20" i="7"/>
  <c r="AH146" i="7"/>
  <c r="P49" i="19"/>
  <c r="T60" i="19" s="1"/>
  <c r="AZ148" i="7"/>
  <c r="F19" i="81"/>
  <c r="L23" i="81"/>
  <c r="K19" i="81" s="1"/>
  <c r="N19" i="81" s="1"/>
  <c r="AP26" i="6"/>
  <c r="AQ40" i="8"/>
  <c r="C111" i="56"/>
  <c r="Y184" i="6"/>
  <c r="Z183" i="6" s="1"/>
  <c r="Y175" i="6"/>
  <c r="Z172" i="6" s="1"/>
  <c r="Z147" i="6"/>
  <c r="Y140" i="6"/>
  <c r="Z135" i="6" s="1"/>
  <c r="AD102" i="6"/>
  <c r="F37" i="66"/>
  <c r="BD60" i="72"/>
  <c r="AB62" i="3"/>
  <c r="S14" i="59"/>
  <c r="W14" i="59"/>
  <c r="W9" i="59"/>
  <c r="W27" i="59" s="1"/>
  <c r="D10" i="62"/>
  <c r="C13" i="63"/>
  <c r="B14" i="63"/>
  <c r="B15" i="63" s="1"/>
  <c r="C19" i="63"/>
  <c r="D18" i="63"/>
  <c r="N56" i="65"/>
  <c r="N57" i="65" s="1"/>
  <c r="N59" i="65" s="1"/>
  <c r="AW67" i="9"/>
  <c r="AU65" i="9"/>
  <c r="E224" i="69"/>
  <c r="E236" i="69" s="1"/>
  <c r="H19" i="70"/>
  <c r="W14" i="70"/>
  <c r="AO8" i="135"/>
  <c r="AL8" i="135" s="1"/>
  <c r="AV41" i="11"/>
  <c r="AO32" i="19"/>
  <c r="AO37" i="19"/>
  <c r="AO47" i="19"/>
  <c r="AO21" i="19"/>
  <c r="AZ61" i="9"/>
  <c r="AP40" i="8"/>
  <c r="K62" i="11"/>
  <c r="M62" i="11" s="1"/>
  <c r="BF29" i="11" s="1"/>
  <c r="G16" i="62"/>
  <c r="B19" i="63"/>
  <c r="B20" i="63" s="1"/>
  <c r="AP15" i="71"/>
  <c r="BQ50" i="72"/>
  <c r="Q52" i="72"/>
  <c r="T52" i="72"/>
  <c r="J11" i="66"/>
  <c r="J39" i="66" s="1"/>
  <c r="J24" i="66"/>
  <c r="E9" i="84"/>
  <c r="B26" i="81"/>
  <c r="C3" i="77"/>
  <c r="AJ47" i="3"/>
  <c r="AJ45" i="3" s="1"/>
  <c r="AJ44" i="3" s="1"/>
  <c r="K45" i="61"/>
  <c r="M17" i="80"/>
  <c r="M18" i="80"/>
  <c r="E15" i="81"/>
  <c r="D25" i="84"/>
  <c r="K25" i="87"/>
  <c r="E47" i="61"/>
  <c r="AQ46" i="3"/>
  <c r="M36" i="64"/>
  <c r="L36" i="64" s="1"/>
  <c r="D64" i="32"/>
  <c r="AY48" i="3"/>
  <c r="AY41" i="3"/>
  <c r="AY39" i="3" s="1"/>
  <c r="R47" i="61"/>
  <c r="L10" i="64"/>
  <c r="L23" i="64"/>
  <c r="Y47" i="65"/>
  <c r="W31" i="65"/>
  <c r="AK8" i="10"/>
  <c r="J43" i="68"/>
  <c r="H45" i="68"/>
  <c r="BI49" i="19"/>
  <c r="BH39" i="19"/>
  <c r="BH49" i="19" s="1"/>
  <c r="BJ50" i="19" s="1"/>
  <c r="J18" i="95"/>
  <c r="BR27" i="17"/>
  <c r="BV27" i="71"/>
  <c r="BX27" i="71"/>
  <c r="BW27" i="71"/>
  <c r="AD10" i="71"/>
  <c r="AM10" i="71"/>
  <c r="V27" i="71"/>
  <c r="BC27" i="71"/>
  <c r="U27" i="71"/>
  <c r="AT27" i="71"/>
  <c r="W27" i="71"/>
  <c r="AX27" i="71"/>
  <c r="W28" i="71"/>
  <c r="U28" i="71"/>
  <c r="AT28" i="71"/>
  <c r="V28" i="71"/>
  <c r="AX28" i="71"/>
  <c r="BB28" i="71"/>
  <c r="BQ28" i="71"/>
  <c r="BL28" i="71"/>
  <c r="BC28" i="71"/>
  <c r="BV32" i="71"/>
  <c r="BR34" i="17"/>
  <c r="AS49" i="3"/>
  <c r="T38" i="32"/>
  <c r="V38" i="32" s="1"/>
  <c r="G18" i="86" s="1"/>
  <c r="G21" i="86" s="1"/>
  <c r="J19" i="87" s="1"/>
  <c r="T31" i="32"/>
  <c r="G32" i="78"/>
  <c r="C4" i="108" s="1"/>
  <c r="H4" i="108" s="1"/>
  <c r="M33" i="78"/>
  <c r="K6" i="84"/>
  <c r="AL40" i="3"/>
  <c r="AL39" i="3" s="1"/>
  <c r="AL43" i="3" s="1"/>
  <c r="H16" i="64"/>
  <c r="H14" i="64" s="1"/>
  <c r="D17" i="87"/>
  <c r="V9" i="65"/>
  <c r="V44" i="65" s="1"/>
  <c r="V47" i="65" s="1"/>
  <c r="X37" i="95"/>
  <c r="J14" i="98"/>
  <c r="J19" i="98" s="1"/>
  <c r="J21" i="98"/>
  <c r="AF8" i="136"/>
  <c r="Z8" i="136"/>
  <c r="BB8" i="136"/>
  <c r="BB37" i="8"/>
  <c r="BR35" i="17"/>
  <c r="BX33" i="71"/>
  <c r="BX30" i="71"/>
  <c r="AV36" i="71"/>
  <c r="BV25" i="71"/>
  <c r="AO48" i="72"/>
  <c r="CK54" i="72"/>
  <c r="E69" i="81"/>
  <c r="M12" i="81" s="1"/>
  <c r="G10" i="64"/>
  <c r="G23" i="64"/>
  <c r="A31" i="91"/>
  <c r="B60" i="85" s="1"/>
  <c r="S37" i="66"/>
  <c r="R38" i="66"/>
  <c r="U9" i="65"/>
  <c r="U44" i="65" s="1"/>
  <c r="U47" i="65" s="1"/>
  <c r="X9" i="65"/>
  <c r="X44" i="65" s="1"/>
  <c r="X47" i="65" s="1"/>
  <c r="AI12" i="95"/>
  <c r="AJ12" i="95"/>
  <c r="B19" i="88"/>
  <c r="J2" i="89"/>
  <c r="BH29" i="5"/>
  <c r="BC29" i="5"/>
  <c r="BG29" i="5" s="1"/>
  <c r="BC42" i="6"/>
  <c r="BG42" i="6" s="1"/>
  <c r="AU42" i="6"/>
  <c r="BB42" i="6" s="1"/>
  <c r="AJ68" i="32"/>
  <c r="AG69" i="32"/>
  <c r="AA65" i="32"/>
  <c r="AA68" i="32"/>
  <c r="B25" i="105"/>
  <c r="AT40" i="3"/>
  <c r="AT39" i="3" s="1"/>
  <c r="AT43" i="3" s="1"/>
  <c r="AT48" i="3"/>
  <c r="BK119" i="8"/>
  <c r="BA55" i="5"/>
  <c r="BB55" i="5" s="1"/>
  <c r="BC55" i="5" s="1"/>
  <c r="D13" i="118"/>
  <c r="C14" i="118"/>
  <c r="V64" i="96"/>
  <c r="Z64" i="96" s="1"/>
  <c r="AB64" i="96" s="1"/>
  <c r="Q64" i="96"/>
  <c r="BH30" i="5"/>
  <c r="BC30" i="5"/>
  <c r="BG30" i="5" s="1"/>
  <c r="BC16" i="6"/>
  <c r="BG16" i="6" s="1"/>
  <c r="AU16" i="6"/>
  <c r="BB16" i="6" s="1"/>
  <c r="BC30" i="6"/>
  <c r="BG30" i="6" s="1"/>
  <c r="AU30" i="6"/>
  <c r="BB30" i="6" s="1"/>
  <c r="BC35" i="6"/>
  <c r="BG35" i="6" s="1"/>
  <c r="AU35" i="6"/>
  <c r="BB35" i="6" s="1"/>
  <c r="BC39" i="6"/>
  <c r="BG39" i="6" s="1"/>
  <c r="AU39" i="6"/>
  <c r="BB39" i="6" s="1"/>
  <c r="V43" i="96"/>
  <c r="Q43" i="96"/>
  <c r="EB29" i="17"/>
  <c r="DK29" i="17"/>
  <c r="BB18" i="5"/>
  <c r="BB17" i="5" s="1"/>
  <c r="AX17" i="5"/>
  <c r="AE46" i="61"/>
  <c r="AF46" i="61" s="1"/>
  <c r="BB49" i="3"/>
  <c r="BL119" i="8"/>
  <c r="D67" i="68"/>
  <c r="D68" i="68"/>
  <c r="D69" i="68"/>
  <c r="D66" i="68"/>
  <c r="CN185" i="7"/>
  <c r="CN75" i="7"/>
  <c r="CN74" i="7" s="1"/>
  <c r="AG36" i="64"/>
  <c r="BE41" i="3"/>
  <c r="BE39" i="3" s="1"/>
  <c r="F11" i="119"/>
  <c r="H11" i="119" s="1"/>
  <c r="H10" i="119"/>
  <c r="BC20" i="6"/>
  <c r="BG20" i="6" s="1"/>
  <c r="AU20" i="6"/>
  <c r="BB20" i="6" s="1"/>
  <c r="BB18" i="6" s="1"/>
  <c r="BC36" i="6"/>
  <c r="BG36" i="6" s="1"/>
  <c r="AU36" i="6"/>
  <c r="BB36" i="6" s="1"/>
  <c r="V63" i="96"/>
  <c r="Q63" i="96"/>
  <c r="C29" i="67"/>
  <c r="C30" i="67" s="1"/>
  <c r="C32" i="67" s="1"/>
  <c r="C14" i="116"/>
  <c r="D13" i="116"/>
  <c r="AS68" i="32"/>
  <c r="AT68" i="32" s="1"/>
  <c r="AS65" i="32"/>
  <c r="AT65" i="32" s="1"/>
  <c r="AT72" i="32" s="1"/>
  <c r="AT64" i="32"/>
  <c r="CP185" i="7"/>
  <c r="CP75" i="7"/>
  <c r="CP74" i="7" s="1"/>
  <c r="AE33" i="95"/>
  <c r="BD48" i="3"/>
  <c r="BD40" i="3"/>
  <c r="CK12" i="8"/>
  <c r="V66" i="96"/>
  <c r="Z66" i="96" s="1"/>
  <c r="AB66" i="96" s="1"/>
  <c r="Q66" i="96"/>
  <c r="U66" i="96" s="1"/>
  <c r="U67" i="96" s="1"/>
  <c r="DM19" i="8" s="1"/>
  <c r="BH14" i="5"/>
  <c r="BC14" i="5"/>
  <c r="BH34" i="5"/>
  <c r="BC34" i="5"/>
  <c r="V53" i="96"/>
  <c r="Q53" i="96"/>
  <c r="D29" i="67"/>
  <c r="D30" i="67" s="1"/>
  <c r="D32" i="67" s="1"/>
  <c r="BK47" i="19"/>
  <c r="O4" i="109"/>
  <c r="BV10" i="135"/>
  <c r="E34" i="97"/>
  <c r="BV38" i="7"/>
  <c r="E49" i="97"/>
  <c r="U49" i="97" s="1"/>
  <c r="F33" i="97"/>
  <c r="AQ64" i="32"/>
  <c r="AP68" i="32"/>
  <c r="AQ68" i="32" s="1"/>
  <c r="AP65" i="32"/>
  <c r="AQ65" i="32" s="1"/>
  <c r="AQ72" i="32" s="1"/>
  <c r="V19" i="104" s="1"/>
  <c r="V23" i="104" s="1"/>
  <c r="AH35" i="95"/>
  <c r="AH33" i="95" s="1"/>
  <c r="AH37" i="95" s="1"/>
  <c r="BJ40" i="3"/>
  <c r="BJ48" i="3"/>
  <c r="CJ185" i="7"/>
  <c r="CJ75" i="7"/>
  <c r="CJ74" i="7" s="1"/>
  <c r="V36" i="96"/>
  <c r="Z36" i="96" s="1"/>
  <c r="Q36" i="96"/>
  <c r="U36" i="96" s="1"/>
  <c r="V16" i="96"/>
  <c r="Z16" i="96" s="1"/>
  <c r="Q16" i="96"/>
  <c r="BC29" i="6"/>
  <c r="BG29" i="6" s="1"/>
  <c r="AU29" i="6"/>
  <c r="BB29" i="6" s="1"/>
  <c r="CG8" i="135"/>
  <c r="M13" i="98"/>
  <c r="BK46" i="3"/>
  <c r="BK44" i="3" s="1"/>
  <c r="CZ24" i="17"/>
  <c r="CZ39" i="17" s="1"/>
  <c r="F7" i="119"/>
  <c r="V11" i="96"/>
  <c r="Q11" i="96"/>
  <c r="U11" i="96" s="1"/>
  <c r="V26" i="96"/>
  <c r="Q26" i="96"/>
  <c r="U30" i="111"/>
  <c r="P30" i="111"/>
  <c r="BV8" i="136"/>
  <c r="CK38" i="17"/>
  <c r="CQ185" i="7"/>
  <c r="CQ75" i="7"/>
  <c r="CQ74" i="7" s="1"/>
  <c r="CH167" i="7"/>
  <c r="CX50" i="8"/>
  <c r="CX68" i="8"/>
  <c r="CX67" i="8" s="1"/>
  <c r="AT43" i="6"/>
  <c r="AF46" i="123"/>
  <c r="AG46" i="123"/>
  <c r="AF39" i="123"/>
  <c r="AG39" i="123"/>
  <c r="AZ67" i="123"/>
  <c r="V21" i="96"/>
  <c r="Z21" i="96" s="1"/>
  <c r="Q21" i="96"/>
  <c r="U21" i="96" s="1"/>
  <c r="BC19" i="6"/>
  <c r="BG19" i="6" s="1"/>
  <c r="BG18" i="6" s="1"/>
  <c r="AU19" i="6"/>
  <c r="P53" i="97"/>
  <c r="M53" i="97"/>
  <c r="U35" i="111"/>
  <c r="P35" i="111"/>
  <c r="BZ8" i="135"/>
  <c r="B14" i="116"/>
  <c r="B15" i="116" s="1"/>
  <c r="E49" i="116"/>
  <c r="BB45" i="61"/>
  <c r="CP167" i="7"/>
  <c r="CM122" i="8"/>
  <c r="C22" i="124"/>
  <c r="V31" i="96"/>
  <c r="Z31" i="96" s="1"/>
  <c r="Q31" i="96"/>
  <c r="U31" i="96" s="1"/>
  <c r="BC28" i="6"/>
  <c r="BG28" i="6" s="1"/>
  <c r="AU28" i="6"/>
  <c r="BB28" i="6" s="1"/>
  <c r="BC32" i="6"/>
  <c r="BG32" i="6" s="1"/>
  <c r="AU32" i="6"/>
  <c r="BB32" i="6" s="1"/>
  <c r="C14" i="107"/>
  <c r="G119" i="106" s="1"/>
  <c r="CF36" i="7"/>
  <c r="CG36" i="7" s="1"/>
  <c r="CP190" i="7"/>
  <c r="BB19" i="61"/>
  <c r="CL50" i="8"/>
  <c r="Y7" i="102"/>
  <c r="T23" i="102"/>
  <c r="EP46" i="123"/>
  <c r="AR46" i="123"/>
  <c r="E48" i="123"/>
  <c r="EP48" i="123"/>
  <c r="FQ48" i="123" s="1"/>
  <c r="AR56" i="123"/>
  <c r="C62" i="124"/>
  <c r="CS64" i="123"/>
  <c r="BT39" i="123"/>
  <c r="C40" i="124"/>
  <c r="C60" i="124"/>
  <c r="C50" i="124"/>
  <c r="FI64" i="123"/>
  <c r="CI9" i="123"/>
  <c r="AR48" i="123"/>
  <c r="DS46" i="123"/>
  <c r="C64" i="124"/>
  <c r="DK64" i="123"/>
  <c r="R20" i="126"/>
  <c r="CJ11" i="123"/>
  <c r="EI11" i="123" s="1"/>
  <c r="FO10" i="123"/>
  <c r="CF56" i="123"/>
  <c r="W56" i="123"/>
  <c r="C59" i="124"/>
  <c r="AT64" i="123"/>
  <c r="ER42" i="123"/>
  <c r="DT59" i="123"/>
  <c r="CZ72" i="123"/>
  <c r="DI11" i="123"/>
  <c r="DI29" i="123" s="1"/>
  <c r="CS12" i="7"/>
  <c r="CZ185" i="7"/>
  <c r="CZ75" i="7"/>
  <c r="CZ74" i="7" s="1"/>
  <c r="DC185" i="7"/>
  <c r="DC75" i="7"/>
  <c r="DC74" i="7" s="1"/>
  <c r="DB151" i="7"/>
  <c r="DA19" i="7"/>
  <c r="DA151" i="7" s="1"/>
  <c r="V25" i="105"/>
  <c r="BA72" i="123"/>
  <c r="AE10" i="123"/>
  <c r="N12" i="123"/>
  <c r="N30" i="123" s="1"/>
  <c r="AR11" i="123"/>
  <c r="AR29" i="123" s="1"/>
  <c r="BA14" i="123"/>
  <c r="EY10" i="123"/>
  <c r="EY12" i="123"/>
  <c r="EY30" i="123" s="1"/>
  <c r="FK25" i="123"/>
  <c r="AW63" i="32"/>
  <c r="AG42" i="98"/>
  <c r="CX9" i="136"/>
  <c r="CX37" i="8"/>
  <c r="BA69" i="32"/>
  <c r="BC69" i="32" s="1"/>
  <c r="DD47" i="8"/>
  <c r="BJ72" i="123"/>
  <c r="FO11" i="123"/>
  <c r="AC18" i="126" s="1"/>
  <c r="CJ12" i="123"/>
  <c r="EI12" i="123" s="1"/>
  <c r="GH12" i="123" s="1"/>
  <c r="BQ14" i="123"/>
  <c r="Q21" i="126" s="1"/>
  <c r="W8" i="123"/>
  <c r="FR8" i="123"/>
  <c r="FR11" i="123"/>
  <c r="FQ11" i="123" s="1"/>
  <c r="CS10" i="135"/>
  <c r="CS38" i="7"/>
  <c r="CR38" i="7" s="1"/>
  <c r="AR36" i="64"/>
  <c r="BV41" i="3"/>
  <c r="AX67" i="32"/>
  <c r="DQ10" i="123"/>
  <c r="X17" i="126" s="1"/>
  <c r="FP10" i="123"/>
  <c r="DZ21" i="123"/>
  <c r="CJ22" i="123"/>
  <c r="EI22" i="123" s="1"/>
  <c r="GH22" i="123" s="1"/>
  <c r="CF24" i="123"/>
  <c r="EE24" i="123" s="1"/>
  <c r="GD24" i="123" s="1"/>
  <c r="CJ14" i="123"/>
  <c r="EI14" i="123" s="1"/>
  <c r="GH14" i="123" s="1"/>
  <c r="BJ8" i="123"/>
  <c r="EY11" i="123"/>
  <c r="EY29" i="123" s="1"/>
  <c r="AI37" i="123"/>
  <c r="O32" i="111"/>
  <c r="BA61" i="32"/>
  <c r="BA70" i="32" s="1"/>
  <c r="BC63" i="32"/>
  <c r="DF19" i="8"/>
  <c r="DG102" i="8"/>
  <c r="FT51" i="123"/>
  <c r="T19" i="105"/>
  <c r="C34" i="134"/>
  <c r="G58" i="134"/>
  <c r="G60" i="134"/>
  <c r="G62" i="134"/>
  <c r="G64" i="134"/>
  <c r="G66" i="134"/>
  <c r="CX12" i="8"/>
  <c r="BR46" i="3"/>
  <c r="BR44" i="3" s="1"/>
  <c r="CX60" i="7"/>
  <c r="CX157" i="7" s="1"/>
  <c r="AL42" i="95"/>
  <c r="DJ50" i="8"/>
  <c r="DJ142" i="8"/>
  <c r="BT46" i="3"/>
  <c r="BT44" i="3" s="1"/>
  <c r="AK12" i="98"/>
  <c r="AK27" i="98" s="1"/>
  <c r="BG16" i="61"/>
  <c r="DE120" i="8"/>
  <c r="DH120" i="8"/>
  <c r="AJ10" i="95"/>
  <c r="BE10" i="10"/>
  <c r="Y31" i="104"/>
  <c r="U19" i="105"/>
  <c r="D94" i="68"/>
  <c r="D95" i="68"/>
  <c r="D97" i="68"/>
  <c r="D96" i="68"/>
  <c r="BV39" i="123"/>
  <c r="BV59" i="123"/>
  <c r="FT60" i="123"/>
  <c r="BM46" i="3"/>
  <c r="BM44" i="3" s="1"/>
  <c r="D82" i="68"/>
  <c r="CS14" i="19"/>
  <c r="CS13" i="19" s="1"/>
  <c r="CZ13" i="19" s="1"/>
  <c r="CV14" i="19"/>
  <c r="CV13" i="19" s="1"/>
  <c r="DC13" i="19" s="1"/>
  <c r="C17" i="134"/>
  <c r="AN45" i="65"/>
  <c r="AO45" i="65" s="1"/>
  <c r="BU49" i="3"/>
  <c r="BS62" i="3"/>
  <c r="CY189" i="7"/>
  <c r="BE7" i="10"/>
  <c r="CV10" i="7" s="1"/>
  <c r="BE18" i="61"/>
  <c r="CU60" i="7"/>
  <c r="CU157" i="7" s="1"/>
  <c r="AN27" i="95"/>
  <c r="DM9" i="136"/>
  <c r="DL9" i="136" s="1"/>
  <c r="DM37" i="8"/>
  <c r="DL37" i="8" s="1"/>
  <c r="Z25" i="105"/>
  <c r="FT54" i="123"/>
  <c r="AH11" i="98"/>
  <c r="BE16" i="10"/>
  <c r="DA32" i="8" s="1"/>
  <c r="CZ32" i="8" s="1"/>
  <c r="BE17" i="10"/>
  <c r="BE15" i="10"/>
  <c r="DA20" i="8" s="1"/>
  <c r="CZ20" i="8" s="1"/>
  <c r="BE14" i="10"/>
  <c r="DA10" i="8" s="1"/>
  <c r="O29" i="111"/>
  <c r="CS46" i="7" s="1"/>
  <c r="CR46" i="7" s="1"/>
  <c r="DF167" i="7"/>
  <c r="BG65" i="32"/>
  <c r="BI65" i="32" s="1"/>
  <c r="DJ120" i="8"/>
  <c r="AT45" i="65"/>
  <c r="AL11" i="98"/>
  <c r="BI18" i="61"/>
  <c r="AD9" i="102"/>
  <c r="AD7" i="102" s="1"/>
  <c r="AJ11" i="98"/>
  <c r="AP37" i="66"/>
  <c r="AP38" i="66" s="1"/>
  <c r="DG142" i="8"/>
  <c r="AS16" i="65" s="1"/>
  <c r="AS45" i="65"/>
  <c r="DA120" i="8"/>
  <c r="AP45" i="65"/>
  <c r="AQ45" i="65" s="1"/>
  <c r="AI11" i="98"/>
  <c r="BE8" i="10"/>
  <c r="CV20" i="7" s="1"/>
  <c r="CU20" i="7" s="1"/>
  <c r="AU36" i="64"/>
  <c r="BZ41" i="3"/>
  <c r="BZ39" i="3" s="1"/>
  <c r="AN46" i="95"/>
  <c r="AR37" i="66"/>
  <c r="AR38" i="66" s="1"/>
  <c r="DK120" i="8"/>
  <c r="AL12" i="98"/>
  <c r="AL27" i="98" s="1"/>
  <c r="DE75" i="7"/>
  <c r="DE74" i="7" s="1"/>
  <c r="DE185" i="7"/>
  <c r="DF185" i="7"/>
  <c r="DF75" i="7"/>
  <c r="DF74" i="7" s="1"/>
  <c r="DD120" i="8"/>
  <c r="AK11" i="98"/>
  <c r="AN37" i="66"/>
  <c r="DB120" i="8"/>
  <c r="DB62" i="8" s="1"/>
  <c r="AI12" i="98"/>
  <c r="BC17" i="5"/>
  <c r="BG19" i="5"/>
  <c r="BG17" i="5" s="1"/>
  <c r="U35" i="96"/>
  <c r="U20" i="96"/>
  <c r="U10" i="96"/>
  <c r="U15" i="96"/>
  <c r="U30" i="96"/>
  <c r="U25" i="96"/>
  <c r="DH12" i="7"/>
  <c r="T26" i="111"/>
  <c r="DH10" i="135"/>
  <c r="DG10" i="135" s="1"/>
  <c r="DH38" i="7"/>
  <c r="DG38" i="7" s="1"/>
  <c r="AO19" i="64"/>
  <c r="AN23" i="66"/>
  <c r="FT13" i="123"/>
  <c r="BX46" i="3"/>
  <c r="BX44" i="3" s="1"/>
  <c r="DM120" i="8"/>
  <c r="AU45" i="65"/>
  <c r="AN10" i="95"/>
  <c r="AM11" i="98"/>
  <c r="F91" i="68"/>
  <c r="O50" i="97"/>
  <c r="AO20" i="64"/>
  <c r="C30" i="119"/>
  <c r="AI42" i="65" s="1"/>
  <c r="BV13" i="123"/>
  <c r="DL167" i="7"/>
  <c r="DL72" i="7" s="1"/>
  <c r="AT20" i="64"/>
  <c r="AO21" i="64"/>
  <c r="DA37" i="8"/>
  <c r="CZ37" i="8" s="1"/>
  <c r="AS37" i="66"/>
  <c r="DN120" i="8"/>
  <c r="DN62" i="8" s="1"/>
  <c r="DH10" i="7"/>
  <c r="DK145" i="7"/>
  <c r="DJ47" i="7"/>
  <c r="DJ145" i="7" s="1"/>
  <c r="DH56" i="7"/>
  <c r="DG56" i="7" s="1"/>
  <c r="DE56" i="7"/>
  <c r="DD56" i="7" s="1"/>
  <c r="AT19" i="66"/>
  <c r="CV38" i="7"/>
  <c r="CU38" i="7" s="1"/>
  <c r="AO18" i="64"/>
  <c r="DU16" i="123"/>
  <c r="FK9" i="123"/>
  <c r="BR13" i="10"/>
  <c r="BS10" i="10" s="1"/>
  <c r="DK36" i="7" s="1"/>
  <c r="CM30" i="122"/>
  <c r="DP109" i="8"/>
  <c r="DO51" i="8"/>
  <c r="DO109" i="8" s="1"/>
  <c r="AD39" i="104"/>
  <c r="AC8" i="104"/>
  <c r="AT19" i="64"/>
  <c r="AT21" i="64"/>
  <c r="DJ61" i="7"/>
  <c r="DJ158" i="7" s="1"/>
  <c r="DH8" i="135"/>
  <c r="DM8" i="136"/>
  <c r="DQ142" i="8"/>
  <c r="AU18" i="66" s="1"/>
  <c r="DH36" i="7"/>
  <c r="DG36" i="7" s="1"/>
  <c r="DB14" i="136"/>
  <c r="DB16" i="136" s="1"/>
  <c r="DB7" i="136"/>
  <c r="AW36" i="64"/>
  <c r="CB41" i="3"/>
  <c r="BN16" i="61"/>
  <c r="DN187" i="7"/>
  <c r="AU23" i="66"/>
  <c r="BA23" i="66" s="1"/>
  <c r="DQ144" i="8"/>
  <c r="AS18" i="66"/>
  <c r="DN140" i="8"/>
  <c r="DM10" i="8"/>
  <c r="DM20" i="8"/>
  <c r="DL20" i="8" s="1"/>
  <c r="DI187" i="7"/>
  <c r="DQ140" i="8"/>
  <c r="DM35" i="8"/>
  <c r="BJ63" i="61"/>
  <c r="BJ66" i="61" s="1"/>
  <c r="DO167" i="7"/>
  <c r="DO72" i="7" s="1"/>
  <c r="BP65" i="32"/>
  <c r="AO11" i="98"/>
  <c r="AX38" i="66"/>
  <c r="AY45" i="65"/>
  <c r="DS120" i="8"/>
  <c r="DQ152" i="7"/>
  <c r="DT35" i="7"/>
  <c r="DT148" i="7"/>
  <c r="DM150" i="7"/>
  <c r="DP13" i="7"/>
  <c r="DU157" i="7"/>
  <c r="CC48" i="3"/>
  <c r="AQ35" i="95"/>
  <c r="AQ33" i="95" s="1"/>
  <c r="AQ37" i="95" s="1"/>
  <c r="DT120" i="8"/>
  <c r="DT62" i="8" s="1"/>
  <c r="AO12" i="98"/>
  <c r="AO27" i="98" s="1"/>
  <c r="AW37" i="66"/>
  <c r="AW38" i="66" s="1"/>
  <c r="AW17" i="64"/>
  <c r="AW14" i="64" s="1"/>
  <c r="DO157" i="7"/>
  <c r="DQ8" i="7"/>
  <c r="DS61" i="7"/>
  <c r="DS158" i="7" s="1"/>
  <c r="DS10" i="7"/>
  <c r="DS146" i="7" s="1"/>
  <c r="DP29" i="7"/>
  <c r="DT146" i="7"/>
  <c r="DR19" i="8"/>
  <c r="DS102" i="8"/>
  <c r="W35" i="96"/>
  <c r="W25" i="96"/>
  <c r="W15" i="96"/>
  <c r="W30" i="96"/>
  <c r="W20" i="96"/>
  <c r="W10" i="96"/>
  <c r="CD39" i="3"/>
  <c r="AQ11" i="95"/>
  <c r="AQ8" i="95" s="1"/>
  <c r="AQ12" i="95" s="1"/>
  <c r="CE62" i="3"/>
  <c r="Y45" i="96" s="1"/>
  <c r="DP60" i="7"/>
  <c r="DP157" i="7" s="1"/>
  <c r="DP42" i="7"/>
  <c r="DQ148" i="7"/>
  <c r="DR146" i="7"/>
  <c r="DP10" i="7"/>
  <c r="DS150" i="7"/>
  <c r="DM146" i="7"/>
  <c r="DP167" i="7"/>
  <c r="DP72" i="7" s="1"/>
  <c r="X30" i="96"/>
  <c r="X20" i="96"/>
  <c r="X10" i="96"/>
  <c r="X25" i="96"/>
  <c r="X15" i="96"/>
  <c r="X35" i="96"/>
  <c r="AY38" i="66"/>
  <c r="AP11" i="98"/>
  <c r="AQ9" i="98"/>
  <c r="AQ13" i="98" s="1"/>
  <c r="AQ26" i="98"/>
  <c r="AQ24" i="98" s="1"/>
  <c r="AQ28" i="98" s="1"/>
  <c r="DQ144" i="7"/>
  <c r="BO14" i="61" s="1"/>
  <c r="DS148" i="7"/>
  <c r="DT152" i="7"/>
  <c r="DS16" i="7"/>
  <c r="DS152" i="7" s="1"/>
  <c r="DY8" i="8"/>
  <c r="DV96" i="8"/>
  <c r="DY108" i="8"/>
  <c r="EQ14" i="19"/>
  <c r="EQ13" i="19" s="1"/>
  <c r="EM14" i="19"/>
  <c r="EM13" i="19" s="1"/>
  <c r="EL14" i="19"/>
  <c r="EL13" i="19" s="1"/>
  <c r="EO14" i="19"/>
  <c r="EO13" i="19" s="1"/>
  <c r="EY14" i="19"/>
  <c r="FF14" i="19" s="1"/>
  <c r="DS25" i="7"/>
  <c r="DU10" i="8"/>
  <c r="DU97" i="8" s="1"/>
  <c r="DV109" i="8"/>
  <c r="DV102" i="8"/>
  <c r="DX15" i="8"/>
  <c r="DY99" i="8"/>
  <c r="DN75" i="7"/>
  <c r="DN74" i="7" s="1"/>
  <c r="DN185" i="7"/>
  <c r="AC19" i="105"/>
  <c r="EK27" i="19"/>
  <c r="EL49" i="19"/>
  <c r="EK30" i="19"/>
  <c r="EN49" i="19"/>
  <c r="DN56" i="7"/>
  <c r="DM56" i="7" s="1"/>
  <c r="DP54" i="8"/>
  <c r="DP16" i="136"/>
  <c r="DU19" i="8"/>
  <c r="DU102" i="8" s="1"/>
  <c r="DX51" i="8"/>
  <c r="DX109" i="8" s="1"/>
  <c r="DX9" i="8"/>
  <c r="DZ65" i="8"/>
  <c r="DZ64" i="8" s="1"/>
  <c r="DV108" i="8"/>
  <c r="DS140" i="8"/>
  <c r="DY100" i="8"/>
  <c r="DL43" i="8"/>
  <c r="AO33" i="98"/>
  <c r="AO42" i="98"/>
  <c r="EN14" i="19"/>
  <c r="EN13" i="19" s="1"/>
  <c r="EV14" i="19"/>
  <c r="EV13" i="19" s="1"/>
  <c r="EU14" i="19"/>
  <c r="EU13" i="19" s="1"/>
  <c r="EX14" i="19"/>
  <c r="EX13" i="19" s="1"/>
  <c r="EF31" i="17"/>
  <c r="EF40" i="17" s="1"/>
  <c r="AC26" i="105"/>
  <c r="AC25" i="105" s="1"/>
  <c r="DM152" i="7"/>
  <c r="DX18" i="8"/>
  <c r="DZ8" i="8"/>
  <c r="DY64" i="8"/>
  <c r="DT144" i="8"/>
  <c r="DN18" i="7"/>
  <c r="AP42" i="95"/>
  <c r="ET49" i="19"/>
  <c r="DR59" i="7" s="1"/>
  <c r="ER26" i="19"/>
  <c r="FC49" i="19"/>
  <c r="AR42" i="95"/>
  <c r="AP38" i="98"/>
  <c r="AQ38" i="98"/>
  <c r="BU19" i="10"/>
  <c r="CA19" i="10"/>
  <c r="ET14" i="19"/>
  <c r="ET13" i="19" s="1"/>
  <c r="BE45" i="6"/>
  <c r="BE52" i="6" s="1"/>
  <c r="DT47" i="8"/>
  <c r="DT105" i="8" s="1"/>
  <c r="AO10" i="95"/>
  <c r="Z61" i="125"/>
  <c r="EN8" i="123"/>
  <c r="AW45" i="65"/>
  <c r="DP120" i="8"/>
  <c r="EF24" i="17"/>
  <c r="EF39" i="17" s="1"/>
  <c r="DQ120" i="8"/>
  <c r="DQ62" i="8" s="1"/>
  <c r="AU37" i="66"/>
  <c r="AN11" i="98"/>
  <c r="DL149" i="7"/>
  <c r="BH17" i="5"/>
  <c r="B86" i="118"/>
  <c r="B87" i="118" s="1"/>
  <c r="EI31" i="17"/>
  <c r="EI40" i="17" s="1"/>
  <c r="DX23" i="8"/>
  <c r="DM48" i="7"/>
  <c r="DP50" i="7"/>
  <c r="DT149" i="7"/>
  <c r="DP33" i="7"/>
  <c r="DQ149" i="7"/>
  <c r="DQ33" i="7"/>
  <c r="DQ27" i="7" s="1"/>
  <c r="DT25" i="7"/>
  <c r="DT17" i="7" s="1"/>
  <c r="DS13" i="7"/>
  <c r="EL38" i="17"/>
  <c r="DT15" i="7"/>
  <c r="DT8" i="7" s="1"/>
  <c r="EI38" i="17"/>
  <c r="EI24" i="17"/>
  <c r="EI39" i="17" s="1"/>
  <c r="EL24" i="17"/>
  <c r="EL39" i="17" s="1"/>
  <c r="BZ18" i="10"/>
  <c r="BW18" i="10"/>
  <c r="BX19" i="10"/>
  <c r="BW13" i="10"/>
  <c r="BZ13" i="10"/>
  <c r="AQ42" i="98"/>
  <c r="AQ18" i="98"/>
  <c r="AQ42" i="95"/>
  <c r="AR51" i="95"/>
  <c r="AQ51" i="95"/>
  <c r="CC62" i="3"/>
  <c r="X45" i="96" s="1"/>
  <c r="FV42" i="123"/>
  <c r="FK52" i="123"/>
  <c r="BV35" i="123"/>
  <c r="CI36" i="123"/>
  <c r="EH36" i="123" s="1"/>
  <c r="GG36" i="123" s="1"/>
  <c r="BV54" i="123"/>
  <c r="BM52" i="123"/>
  <c r="BM43" i="123"/>
  <c r="BV44" i="123"/>
  <c r="CH44" i="123" s="1"/>
  <c r="EG44" i="123" s="1"/>
  <c r="FK30" i="123"/>
  <c r="FK29" i="123"/>
  <c r="FT8" i="123"/>
  <c r="FU43" i="123"/>
  <c r="FB43" i="123"/>
  <c r="FT39" i="123"/>
  <c r="FU52" i="123"/>
  <c r="GH58" i="123"/>
  <c r="ES43" i="123"/>
  <c r="ES42" i="123"/>
  <c r="FT37" i="123"/>
  <c r="G7" i="114"/>
  <c r="G48" i="114"/>
  <c r="DU57" i="123"/>
  <c r="DC52" i="123"/>
  <c r="EI54" i="123"/>
  <c r="GH54" i="123" s="1"/>
  <c r="DW52" i="123"/>
  <c r="CT52" i="123"/>
  <c r="CI54" i="123"/>
  <c r="EH54" i="123" s="1"/>
  <c r="GG54" i="123" s="1"/>
  <c r="BV58" i="123"/>
  <c r="BM48" i="123"/>
  <c r="BM42" i="123"/>
  <c r="BV37" i="123"/>
  <c r="BW52" i="123"/>
  <c r="CI52" i="123" s="1"/>
  <c r="EH52" i="123" s="1"/>
  <c r="CH72" i="123"/>
  <c r="BV55" i="123"/>
  <c r="BD52" i="123"/>
  <c r="BV57" i="123"/>
  <c r="BV47" i="123"/>
  <c r="CH47" i="123" s="1"/>
  <c r="AI54" i="123"/>
  <c r="Z48" i="123"/>
  <c r="Z43" i="123"/>
  <c r="Z42" i="123"/>
  <c r="Q43" i="123"/>
  <c r="Q63" i="123" s="1"/>
  <c r="AJ42" i="123"/>
  <c r="GF73" i="123"/>
  <c r="EI40" i="123"/>
  <c r="CJ42" i="123"/>
  <c r="AI57" i="123"/>
  <c r="AK52" i="123"/>
  <c r="CJ52" i="123" s="1"/>
  <c r="AI53" i="123"/>
  <c r="AJ43" i="123"/>
  <c r="CI43" i="123" s="1"/>
  <c r="EH43" i="123" s="1"/>
  <c r="CI42" i="123"/>
  <c r="FT24" i="123"/>
  <c r="GG25" i="123"/>
  <c r="ES27" i="123"/>
  <c r="BM26" i="123"/>
  <c r="CJ23" i="123"/>
  <c r="EI23" i="123" s="1"/>
  <c r="GH23" i="123" s="1"/>
  <c r="CJ21" i="123"/>
  <c r="EI21" i="123" s="1"/>
  <c r="GH21" i="123" s="1"/>
  <c r="CI24" i="123"/>
  <c r="EH24" i="123" s="1"/>
  <c r="GG24" i="123" s="1"/>
  <c r="FV64" i="123"/>
  <c r="FT10" i="123"/>
  <c r="GG11" i="123"/>
  <c r="FT15" i="123"/>
  <c r="FU64" i="123"/>
  <c r="DU64" i="123"/>
  <c r="BV64" i="123"/>
  <c r="CH64" i="123" s="1"/>
  <c r="BD26" i="123"/>
  <c r="BV9" i="123"/>
  <c r="CI14" i="123"/>
  <c r="EH14" i="123" s="1"/>
  <c r="GG14" i="123" s="1"/>
  <c r="BW26" i="123"/>
  <c r="CI8" i="123"/>
  <c r="EH8" i="123" s="1"/>
  <c r="GG8" i="123" s="1"/>
  <c r="CI64" i="123"/>
  <c r="EH12" i="123"/>
  <c r="CJ64" i="123"/>
  <c r="CI16" i="123"/>
  <c r="EH16" i="123" s="1"/>
  <c r="GG16" i="123" s="1"/>
  <c r="CI13" i="123"/>
  <c r="EH13" i="123" s="1"/>
  <c r="GG13" i="123" s="1"/>
  <c r="CI15" i="123"/>
  <c r="EH15" i="123" s="1"/>
  <c r="GG15" i="123" s="1"/>
  <c r="AI14" i="123"/>
  <c r="G49" i="134"/>
  <c r="G50" i="114"/>
  <c r="G67" i="134"/>
  <c r="B68" i="114"/>
  <c r="F68" i="114"/>
  <c r="G46" i="114"/>
  <c r="G47" i="134"/>
  <c r="B17" i="134"/>
  <c r="Z14" i="65"/>
  <c r="AJ14" i="65" s="1"/>
  <c r="BT51" i="8"/>
  <c r="G28" i="134"/>
  <c r="G30" i="134"/>
  <c r="G46" i="134"/>
  <c r="G45" i="134"/>
  <c r="G29" i="134"/>
  <c r="G31" i="134"/>
  <c r="G48" i="134"/>
  <c r="D38" i="128"/>
  <c r="E38" i="128" s="1"/>
  <c r="N38" i="128"/>
  <c r="G38" i="128"/>
  <c r="I38" i="128" s="1"/>
  <c r="S38" i="128"/>
  <c r="S19" i="128"/>
  <c r="D31" i="128"/>
  <c r="M31" i="128"/>
  <c r="M29" i="128" s="1"/>
  <c r="L31" i="128"/>
  <c r="G31" i="128"/>
  <c r="C31" i="128"/>
  <c r="H31" i="128"/>
  <c r="H29" i="128" s="1"/>
  <c r="P31" i="128"/>
  <c r="F31" i="128"/>
  <c r="K31" i="128"/>
  <c r="K29" i="128" s="1"/>
  <c r="R31" i="128"/>
  <c r="Q31" i="128"/>
  <c r="Q17" i="128"/>
  <c r="B29" i="128"/>
  <c r="B37" i="128" s="1"/>
  <c r="H17" i="128"/>
  <c r="I19" i="128"/>
  <c r="L30" i="128"/>
  <c r="G30" i="128"/>
  <c r="F30" i="128"/>
  <c r="C30" i="128"/>
  <c r="Q30" i="128"/>
  <c r="P30" i="128"/>
  <c r="R30" i="128"/>
  <c r="D30" i="128"/>
  <c r="K5" i="129"/>
  <c r="DG21" i="123"/>
  <c r="DF21" i="123" s="1"/>
  <c r="DO21" i="123" s="1"/>
  <c r="BH21" i="123"/>
  <c r="BG21" i="123" s="1"/>
  <c r="DF16" i="123"/>
  <c r="K15" i="123"/>
  <c r="AX14" i="123"/>
  <c r="BG14" i="123"/>
  <c r="FO12" i="123"/>
  <c r="FX12" i="123" s="1"/>
  <c r="FE10" i="123"/>
  <c r="FF21" i="123"/>
  <c r="FE21" i="123" s="1"/>
  <c r="DY10" i="123"/>
  <c r="BQ10" i="123"/>
  <c r="Q17" i="126" s="1"/>
  <c r="L44" i="123"/>
  <c r="U44" i="123" s="1"/>
  <c r="AD44" i="123" s="1"/>
  <c r="CP66" i="123"/>
  <c r="M57" i="123"/>
  <c r="M53" i="123"/>
  <c r="V53" i="123" s="1"/>
  <c r="AE53" i="123" s="1"/>
  <c r="G33" i="134"/>
  <c r="G47" i="114"/>
  <c r="G49" i="114"/>
  <c r="C113" i="118"/>
  <c r="E56" i="114"/>
  <c r="E68" i="114" s="1"/>
  <c r="G6" i="114"/>
  <c r="G8" i="114"/>
  <c r="G10" i="114"/>
  <c r="G12" i="114"/>
  <c r="G14" i="114"/>
  <c r="G16" i="114"/>
  <c r="G23" i="114"/>
  <c r="G25" i="114"/>
  <c r="G27" i="114"/>
  <c r="E17" i="114"/>
  <c r="E34" i="114"/>
  <c r="E51" i="114"/>
  <c r="B34" i="116"/>
  <c r="B35" i="116" s="1"/>
  <c r="G44" i="134"/>
  <c r="B61" i="118"/>
  <c r="B62" i="118" s="1"/>
  <c r="AZ37" i="123"/>
  <c r="T73" i="123"/>
  <c r="AO73" i="123" s="1"/>
  <c r="AX73" i="123" s="1"/>
  <c r="BG73" i="123" s="1"/>
  <c r="K72" i="123"/>
  <c r="AZ60" i="123"/>
  <c r="AY46" i="123"/>
  <c r="BH46" i="123" s="1"/>
  <c r="AO46" i="123"/>
  <c r="CN75" i="122"/>
  <c r="M36" i="123"/>
  <c r="V36" i="123" s="1"/>
  <c r="AE36" i="123" s="1"/>
  <c r="CF59" i="123"/>
  <c r="EE59" i="123" s="1"/>
  <c r="GD59" i="123" s="1"/>
  <c r="L45" i="123"/>
  <c r="U45" i="123" s="1"/>
  <c r="AD45" i="123" s="1"/>
  <c r="N36" i="126" s="1"/>
  <c r="DR11" i="123"/>
  <c r="DR59" i="123"/>
  <c r="CG46" i="123"/>
  <c r="EF46" i="123" s="1"/>
  <c r="CQ39" i="123"/>
  <c r="C56" i="124"/>
  <c r="W45" i="123"/>
  <c r="DI45" i="123"/>
  <c r="BJ49" i="123"/>
  <c r="EP49" i="123"/>
  <c r="FH49" i="123"/>
  <c r="AR50" i="123"/>
  <c r="EP50" i="123"/>
  <c r="FH50" i="123"/>
  <c r="BJ51" i="123"/>
  <c r="W53" i="123"/>
  <c r="CQ53" i="123"/>
  <c r="DI53" i="123"/>
  <c r="BJ55" i="123"/>
  <c r="FH55" i="123"/>
  <c r="FH57" i="123"/>
  <c r="W58" i="123"/>
  <c r="DI58" i="123"/>
  <c r="FH60" i="123"/>
  <c r="EP15" i="123"/>
  <c r="FR15" i="123"/>
  <c r="CZ48" i="123"/>
  <c r="DI48" i="123"/>
  <c r="C41" i="124"/>
  <c r="X64" i="123"/>
  <c r="C67" i="124"/>
  <c r="FH9" i="123"/>
  <c r="W10" i="123"/>
  <c r="X27" i="123"/>
  <c r="BU15" i="123"/>
  <c r="CA15" i="123" s="1"/>
  <c r="FS15" i="123"/>
  <c r="FY15" i="123" s="1"/>
  <c r="AH14" i="123"/>
  <c r="AG15" i="123"/>
  <c r="FH11" i="123"/>
  <c r="FH29" i="123" s="1"/>
  <c r="FR45" i="123"/>
  <c r="BU54" i="123"/>
  <c r="CA54" i="123" s="1"/>
  <c r="DT54" i="123"/>
  <c r="FS54" i="123"/>
  <c r="DS57" i="123"/>
  <c r="ER64" i="123"/>
  <c r="FJ29" i="123"/>
  <c r="AG14" i="123"/>
  <c r="E16" i="123"/>
  <c r="BT14" i="123"/>
  <c r="AH13" i="123"/>
  <c r="CR28" i="123"/>
  <c r="CR30" i="123"/>
  <c r="N11" i="123"/>
  <c r="N29" i="123" s="1"/>
  <c r="W14" i="123"/>
  <c r="W16" i="123"/>
  <c r="CZ11" i="123"/>
  <c r="CZ29" i="123" s="1"/>
  <c r="DS16" i="123"/>
  <c r="DI10" i="123"/>
  <c r="DI27" i="123" s="1"/>
  <c r="DI12" i="123"/>
  <c r="DI30" i="123" s="1"/>
  <c r="DI14" i="123"/>
  <c r="DI16" i="123"/>
  <c r="EP12" i="123"/>
  <c r="EP30" i="123" s="1"/>
  <c r="FH15" i="123"/>
  <c r="BU38" i="123"/>
  <c r="CG38" i="123" s="1"/>
  <c r="EF38" i="123" s="1"/>
  <c r="GE38" i="123" s="1"/>
  <c r="BU48" i="123"/>
  <c r="BA46" i="123"/>
  <c r="BJ36" i="123"/>
  <c r="BS36" i="123" s="1"/>
  <c r="BJ48" i="123"/>
  <c r="EP37" i="123"/>
  <c r="EY37" i="123"/>
  <c r="FH46" i="123"/>
  <c r="CA66" i="123"/>
  <c r="R57" i="126"/>
  <c r="R45" i="126"/>
  <c r="EH40" i="123"/>
  <c r="AI30" i="123"/>
  <c r="CI38" i="123"/>
  <c r="EH38" i="123" s="1"/>
  <c r="GG38" i="123" s="1"/>
  <c r="AO75" i="123"/>
  <c r="AX75" i="123" s="1"/>
  <c r="BG75" i="123" s="1"/>
  <c r="BP75" i="123" s="1"/>
  <c r="AC75" i="123"/>
  <c r="CF25" i="123"/>
  <c r="EF21" i="123"/>
  <c r="BT27" i="123"/>
  <c r="EM27" i="123"/>
  <c r="EN21" i="123"/>
  <c r="GB24" i="123"/>
  <c r="GH43" i="123"/>
  <c r="T27" i="123"/>
  <c r="U21" i="123"/>
  <c r="DY12" i="123"/>
  <c r="DR12" i="123"/>
  <c r="DR30" i="123" s="1"/>
  <c r="AG28" i="123"/>
  <c r="AG27" i="123"/>
  <c r="F64" i="123"/>
  <c r="C39" i="124"/>
  <c r="AG9" i="123"/>
  <c r="AG26" i="123" s="1"/>
  <c r="AG36" i="123"/>
  <c r="AF38" i="123"/>
  <c r="AG38" i="123"/>
  <c r="CZ39" i="123"/>
  <c r="DT39" i="123"/>
  <c r="FS39" i="123"/>
  <c r="EP39" i="123"/>
  <c r="BK42" i="123"/>
  <c r="BJ40" i="123"/>
  <c r="BS40" i="123" s="1"/>
  <c r="BT40" i="123"/>
  <c r="CZ40" i="123"/>
  <c r="DA42" i="123"/>
  <c r="DS40" i="123"/>
  <c r="DS42" i="123" s="1"/>
  <c r="DT40" i="123"/>
  <c r="DI40" i="123"/>
  <c r="DK42" i="123"/>
  <c r="EY40" i="123"/>
  <c r="FS40" i="123"/>
  <c r="AR41" i="123"/>
  <c r="AR42" i="123" s="1"/>
  <c r="BU41" i="123"/>
  <c r="BU42" i="123" s="1"/>
  <c r="BJ41" i="123"/>
  <c r="BL42" i="123"/>
  <c r="CZ41" i="123"/>
  <c r="DB42" i="123"/>
  <c r="FH41" i="123"/>
  <c r="FJ42" i="123"/>
  <c r="CZ44" i="123"/>
  <c r="DS44" i="123"/>
  <c r="FR44" i="123"/>
  <c r="EP44" i="123"/>
  <c r="AH45" i="123"/>
  <c r="E45" i="123"/>
  <c r="BA45" i="123"/>
  <c r="BU45" i="123"/>
  <c r="EY45" i="123"/>
  <c r="FS45" i="123"/>
  <c r="AH49" i="123"/>
  <c r="BU49" i="123"/>
  <c r="AR49" i="123"/>
  <c r="DT49" i="123"/>
  <c r="CZ49" i="123"/>
  <c r="AH50" i="123"/>
  <c r="AH51" i="123"/>
  <c r="BU51" i="123"/>
  <c r="AR51" i="123"/>
  <c r="CZ51" i="123"/>
  <c r="DT51" i="123"/>
  <c r="EP51" i="123"/>
  <c r="FS51" i="123"/>
  <c r="BA53" i="123"/>
  <c r="BU53" i="123"/>
  <c r="AG54" i="123"/>
  <c r="E54" i="123"/>
  <c r="AR54" i="123"/>
  <c r="BT54" i="123"/>
  <c r="AH55" i="123"/>
  <c r="E55" i="123"/>
  <c r="AF55" i="123" s="1"/>
  <c r="AR55" i="123"/>
  <c r="BU55" i="123"/>
  <c r="CZ55" i="123"/>
  <c r="DR55" i="123" s="1"/>
  <c r="DX55" i="123" s="1"/>
  <c r="DT55" i="123"/>
  <c r="E56" i="123"/>
  <c r="AH56" i="123"/>
  <c r="CG56" i="123" s="1"/>
  <c r="EF56" i="123" s="1"/>
  <c r="CZ56" i="123"/>
  <c r="DR56" i="123" s="1"/>
  <c r="DS56" i="123"/>
  <c r="FR56" i="123"/>
  <c r="EP56" i="123"/>
  <c r="FQ56" i="123" s="1"/>
  <c r="BU57" i="123"/>
  <c r="AR57" i="123"/>
  <c r="BS57" i="123" s="1"/>
  <c r="CZ57" i="123"/>
  <c r="DT57" i="123"/>
  <c r="FS57" i="123"/>
  <c r="EP57" i="123"/>
  <c r="AH58" i="123"/>
  <c r="E58" i="123"/>
  <c r="BU58" i="123"/>
  <c r="BA58" i="123"/>
  <c r="BS58" i="123" s="1"/>
  <c r="DT58" i="123"/>
  <c r="CQ58" i="123"/>
  <c r="EY58" i="123"/>
  <c r="FS58" i="123"/>
  <c r="W59" i="123"/>
  <c r="AH59" i="123"/>
  <c r="BA59" i="123"/>
  <c r="BS59" i="123" s="1"/>
  <c r="BU59" i="123"/>
  <c r="FS59" i="123"/>
  <c r="EY59" i="123"/>
  <c r="FQ59" i="123" s="1"/>
  <c r="AH60" i="123"/>
  <c r="BJ60" i="123"/>
  <c r="BU60" i="123"/>
  <c r="E72" i="123"/>
  <c r="CD22" i="123"/>
  <c r="CA22" i="123"/>
  <c r="CC23" i="123"/>
  <c r="AM23" i="123"/>
  <c r="DR23" i="123"/>
  <c r="FQ23" i="123"/>
  <c r="CC12" i="123"/>
  <c r="E52" i="123"/>
  <c r="AH52" i="123"/>
  <c r="CI21" i="123"/>
  <c r="GM12" i="123"/>
  <c r="FY12" i="123"/>
  <c r="BT52" i="123"/>
  <c r="DS48" i="123"/>
  <c r="EE23" i="123"/>
  <c r="CD21" i="123"/>
  <c r="EC21" i="123" s="1"/>
  <c r="GB21" i="123" s="1"/>
  <c r="AN21" i="123"/>
  <c r="W11" i="123"/>
  <c r="W29" i="123" s="1"/>
  <c r="AG11" i="123"/>
  <c r="EP8" i="123"/>
  <c r="FS8" i="123"/>
  <c r="EP14" i="123"/>
  <c r="FR14" i="123"/>
  <c r="FX14" i="123" s="1"/>
  <c r="AD22" i="126"/>
  <c r="BG16" i="123"/>
  <c r="BQ16" i="123"/>
  <c r="CW16" i="123"/>
  <c r="DP16" i="123"/>
  <c r="DQ16" i="123"/>
  <c r="CN16" i="123"/>
  <c r="BJ38" i="123"/>
  <c r="BS38" i="123" s="1"/>
  <c r="BT38" i="123"/>
  <c r="AI50" i="123"/>
  <c r="H48" i="123"/>
  <c r="AI55" i="123"/>
  <c r="H52" i="123"/>
  <c r="AI52" i="123" s="1"/>
  <c r="AI41" i="123"/>
  <c r="Q42" i="123"/>
  <c r="AU43" i="123"/>
  <c r="AU63" i="123" s="1"/>
  <c r="BV45" i="123"/>
  <c r="CH45" i="123" s="1"/>
  <c r="BD42" i="123"/>
  <c r="BV41" i="123"/>
  <c r="FT41" i="123"/>
  <c r="FT42" i="123" s="1"/>
  <c r="FK42" i="123"/>
  <c r="FK48" i="123"/>
  <c r="FT49" i="123"/>
  <c r="BJ54" i="123"/>
  <c r="N21" i="126"/>
  <c r="T15" i="123"/>
  <c r="AD15" i="123"/>
  <c r="EV15" i="123"/>
  <c r="FO15" i="123"/>
  <c r="FP13" i="123"/>
  <c r="AD20" i="126" s="1"/>
  <c r="BA10" i="123"/>
  <c r="K66" i="123"/>
  <c r="C63" i="124"/>
  <c r="CN14" i="123"/>
  <c r="DP14" i="123"/>
  <c r="AX15" i="123"/>
  <c r="BQ15" i="123"/>
  <c r="AG16" i="123"/>
  <c r="N16" i="123"/>
  <c r="DU39" i="123"/>
  <c r="DU38" i="123"/>
  <c r="DU58" i="123"/>
  <c r="DL42" i="123"/>
  <c r="DU40" i="123"/>
  <c r="DU49" i="123"/>
  <c r="DL48" i="123"/>
  <c r="ES48" i="123"/>
  <c r="FT50" i="123"/>
  <c r="FB52" i="123"/>
  <c r="EY53" i="123"/>
  <c r="W13" i="123"/>
  <c r="BD43" i="123"/>
  <c r="BD63" i="123" s="1"/>
  <c r="BV46" i="123"/>
  <c r="CH46" i="123" s="1"/>
  <c r="EG46" i="123" s="1"/>
  <c r="BV49" i="123"/>
  <c r="CH49" i="123" s="1"/>
  <c r="BD48" i="123"/>
  <c r="DL52" i="123"/>
  <c r="W15" i="123"/>
  <c r="DS14" i="123"/>
  <c r="CZ16" i="123"/>
  <c r="FS14" i="123"/>
  <c r="FH14" i="123"/>
  <c r="BA11" i="123"/>
  <c r="BA29" i="123" s="1"/>
  <c r="DT14" i="123"/>
  <c r="DZ14" i="123" s="1"/>
  <c r="CZ10" i="123"/>
  <c r="CZ12" i="123"/>
  <c r="CZ30" i="123" s="1"/>
  <c r="FS13" i="123"/>
  <c r="CQ9" i="123"/>
  <c r="N14" i="123"/>
  <c r="BA12" i="123"/>
  <c r="BA30" i="123" s="1"/>
  <c r="BU16" i="123"/>
  <c r="BJ10" i="123"/>
  <c r="BJ15" i="123"/>
  <c r="CZ8" i="123"/>
  <c r="CZ13" i="123"/>
  <c r="EP11" i="123"/>
  <c r="EP29" i="123" s="1"/>
  <c r="FH8" i="123"/>
  <c r="EW46" i="123"/>
  <c r="M54" i="123"/>
  <c r="V54" i="123" s="1"/>
  <c r="R47" i="126"/>
  <c r="BR53" i="123"/>
  <c r="V56" i="123"/>
  <c r="AE56" i="123" s="1"/>
  <c r="AZ59" i="123"/>
  <c r="BI59" i="123" s="1"/>
  <c r="BR59" i="123" s="1"/>
  <c r="FN74" i="123"/>
  <c r="FR27" i="123"/>
  <c r="FQ10" i="123"/>
  <c r="FR28" i="123"/>
  <c r="B59" i="123"/>
  <c r="L59" i="123"/>
  <c r="AZ46" i="123"/>
  <c r="BI46" i="123" s="1"/>
  <c r="AO74" i="123"/>
  <c r="AC74" i="123"/>
  <c r="O37" i="126"/>
  <c r="AN46" i="123"/>
  <c r="EP52" i="123"/>
  <c r="FQ52" i="123" s="1"/>
  <c r="FR52" i="123"/>
  <c r="DS52" i="123"/>
  <c r="EY39" i="123"/>
  <c r="FR39" i="123"/>
  <c r="DT52" i="123"/>
  <c r="M59" i="123"/>
  <c r="V59" i="123" s="1"/>
  <c r="AG51" i="123"/>
  <c r="FR50" i="123"/>
  <c r="EP54" i="123"/>
  <c r="EP45" i="123"/>
  <c r="AG44" i="123"/>
  <c r="DS49" i="123"/>
  <c r="AG45" i="123"/>
  <c r="BT45" i="123"/>
  <c r="AR45" i="123"/>
  <c r="CZ45" i="123"/>
  <c r="DS45" i="123"/>
  <c r="BA49" i="123"/>
  <c r="BT49" i="123"/>
  <c r="EY49" i="123"/>
  <c r="FR49" i="123"/>
  <c r="E50" i="123"/>
  <c r="AG50" i="123"/>
  <c r="BA50" i="123"/>
  <c r="BT50" i="123"/>
  <c r="DS50" i="123"/>
  <c r="CQ50" i="123"/>
  <c r="BT51" i="123"/>
  <c r="BA51" i="123"/>
  <c r="DS51" i="123"/>
  <c r="CQ51" i="123"/>
  <c r="FR51" i="123"/>
  <c r="EY51" i="123"/>
  <c r="AG53" i="123"/>
  <c r="E53" i="123"/>
  <c r="AH54" i="123"/>
  <c r="E57" i="123"/>
  <c r="AH57" i="123"/>
  <c r="EY57" i="123"/>
  <c r="FR57" i="123"/>
  <c r="AG60" i="123"/>
  <c r="W60" i="123"/>
  <c r="AY59" i="123"/>
  <c r="AO59" i="123"/>
  <c r="DT48" i="123"/>
  <c r="AG49" i="123"/>
  <c r="CQ48" i="123"/>
  <c r="BA39" i="123"/>
  <c r="M60" i="123"/>
  <c r="V60" i="123" s="1"/>
  <c r="C44" i="124"/>
  <c r="BK64" i="123"/>
  <c r="C42" i="124"/>
  <c r="AR9" i="123"/>
  <c r="AS64" i="123"/>
  <c r="AR8" i="123"/>
  <c r="BT8" i="123"/>
  <c r="BU13" i="123"/>
  <c r="AR13" i="123"/>
  <c r="BA15" i="123"/>
  <c r="BT15" i="123"/>
  <c r="CQ13" i="123"/>
  <c r="DT13" i="123"/>
  <c r="FR16" i="123"/>
  <c r="FH16" i="123"/>
  <c r="C49" i="124"/>
  <c r="EY9" i="123"/>
  <c r="EZ64" i="123"/>
  <c r="AH15" i="123"/>
  <c r="E15" i="123"/>
  <c r="CQ11" i="123"/>
  <c r="CQ29" i="123" s="1"/>
  <c r="CS29" i="123"/>
  <c r="EP10" i="123"/>
  <c r="EQ28" i="123"/>
  <c r="EP16" i="123"/>
  <c r="FS16" i="123"/>
  <c r="FH12" i="123"/>
  <c r="FH30" i="123" s="1"/>
  <c r="FI30" i="123"/>
  <c r="CZ53" i="123"/>
  <c r="CZ58" i="123"/>
  <c r="BA60" i="123"/>
  <c r="C47" i="124"/>
  <c r="DI9" i="123"/>
  <c r="DJ64" i="123"/>
  <c r="W12" i="123"/>
  <c r="W30" i="123" s="1"/>
  <c r="X30" i="123"/>
  <c r="BA16" i="123"/>
  <c r="DT16" i="123"/>
  <c r="CZ54" i="123"/>
  <c r="DR54" i="123" s="1"/>
  <c r="FI28" i="123"/>
  <c r="BJ12" i="123"/>
  <c r="BJ30" i="123" s="1"/>
  <c r="BU12" i="123"/>
  <c r="DS8" i="123"/>
  <c r="CQ8" i="123"/>
  <c r="CQ15" i="123"/>
  <c r="DS15" i="123"/>
  <c r="Y64" i="123"/>
  <c r="W9" i="123"/>
  <c r="C15" i="124"/>
  <c r="N37" i="125"/>
  <c r="C33" i="124"/>
  <c r="AE63" i="125"/>
  <c r="B9" i="124"/>
  <c r="AC24" i="125"/>
  <c r="AA24" i="125"/>
  <c r="Q25" i="125"/>
  <c r="AC23" i="125"/>
  <c r="M26" i="125"/>
  <c r="N49" i="125"/>
  <c r="N28" i="125"/>
  <c r="L28" i="125"/>
  <c r="O20" i="125"/>
  <c r="W14" i="125"/>
  <c r="O29" i="125"/>
  <c r="N26" i="125"/>
  <c r="T23" i="125"/>
  <c r="S24" i="125"/>
  <c r="AB25" i="125"/>
  <c r="Z22" i="125"/>
  <c r="C16" i="124"/>
  <c r="S22" i="125"/>
  <c r="Q14" i="125"/>
  <c r="C18" i="116"/>
  <c r="C19" i="116" s="1"/>
  <c r="C20" i="116" s="1"/>
  <c r="B19" i="116"/>
  <c r="B20" i="116" s="1"/>
  <c r="C23" i="116"/>
  <c r="C24" i="116" s="1"/>
  <c r="B24" i="116"/>
  <c r="B25" i="116" s="1"/>
  <c r="G43" i="134"/>
  <c r="G57" i="114"/>
  <c r="G63" i="114"/>
  <c r="G32" i="134"/>
  <c r="G41" i="134"/>
  <c r="B96" i="118"/>
  <c r="B97" i="118" s="1"/>
  <c r="G9" i="114"/>
  <c r="G11" i="114"/>
  <c r="G16" i="134"/>
  <c r="G23" i="134"/>
  <c r="C23" i="118"/>
  <c r="C24" i="118" s="1"/>
  <c r="C25" i="118" s="1"/>
  <c r="B24" i="118"/>
  <c r="B25" i="118" s="1"/>
  <c r="C29" i="116"/>
  <c r="C30" i="116" s="1"/>
  <c r="D28" i="116"/>
  <c r="B19" i="118"/>
  <c r="B20" i="118" s="1"/>
  <c r="C18" i="118"/>
  <c r="C19" i="118" s="1"/>
  <c r="G42" i="134"/>
  <c r="D35" i="118"/>
  <c r="G13" i="114"/>
  <c r="G15" i="114"/>
  <c r="B91" i="118"/>
  <c r="B92" i="118" s="1"/>
  <c r="G62" i="114"/>
  <c r="C106" i="118"/>
  <c r="C107" i="118" s="1"/>
  <c r="B66" i="118"/>
  <c r="B67" i="118" s="1"/>
  <c r="D100" i="116"/>
  <c r="G24" i="114"/>
  <c r="G26" i="114"/>
  <c r="G28" i="114"/>
  <c r="G30" i="114"/>
  <c r="G32" i="114"/>
  <c r="D85" i="116"/>
  <c r="C86" i="116"/>
  <c r="C76" i="118"/>
  <c r="C77" i="118" s="1"/>
  <c r="D75" i="118"/>
  <c r="C40" i="118"/>
  <c r="D80" i="116"/>
  <c r="C81" i="116"/>
  <c r="C82" i="116" s="1"/>
  <c r="D82" i="116" s="1"/>
  <c r="G39" i="134"/>
  <c r="G29" i="114"/>
  <c r="G31" i="114"/>
  <c r="G33" i="114"/>
  <c r="G25" i="134"/>
  <c r="E68" i="134"/>
  <c r="B71" i="118"/>
  <c r="C66" i="118"/>
  <c r="G7" i="134"/>
  <c r="G24" i="134"/>
  <c r="B81" i="118"/>
  <c r="B82" i="118" s="1"/>
  <c r="C96" i="118"/>
  <c r="F34" i="134"/>
  <c r="G27" i="134"/>
  <c r="B106" i="118"/>
  <c r="C86" i="118"/>
  <c r="G39" i="114"/>
  <c r="G41" i="114"/>
  <c r="G43" i="114"/>
  <c r="G45" i="114"/>
  <c r="G6" i="134"/>
  <c r="G8" i="134"/>
  <c r="G10" i="134"/>
  <c r="G12" i="134"/>
  <c r="G14" i="134"/>
  <c r="G26" i="134"/>
  <c r="G5" i="114"/>
  <c r="F17" i="114"/>
  <c r="C45" i="118"/>
  <c r="D44" i="118"/>
  <c r="F51" i="114"/>
  <c r="C51" i="114"/>
  <c r="G22" i="114"/>
  <c r="F34" i="114"/>
  <c r="D34" i="114" s="1"/>
  <c r="D33" i="116"/>
  <c r="C34" i="116"/>
  <c r="C43" i="116"/>
  <c r="C44" i="116" s="1"/>
  <c r="B44" i="116"/>
  <c r="B45" i="116" s="1"/>
  <c r="C62" i="116"/>
  <c r="D62" i="116" s="1"/>
  <c r="D61" i="116"/>
  <c r="C40" i="116"/>
  <c r="G18" i="79"/>
  <c r="H18" i="79" s="1"/>
  <c r="D22" i="79"/>
  <c r="C61" i="118"/>
  <c r="D76" i="116"/>
  <c r="G58" i="114"/>
  <c r="G64" i="114"/>
  <c r="F17" i="134"/>
  <c r="G5" i="134"/>
  <c r="G9" i="134"/>
  <c r="G11" i="134"/>
  <c r="G13" i="134"/>
  <c r="G15" i="134"/>
  <c r="G57" i="134"/>
  <c r="E17" i="134"/>
  <c r="D100" i="118"/>
  <c r="C101" i="118"/>
  <c r="C91" i="118"/>
  <c r="C81" i="118"/>
  <c r="B76" i="118"/>
  <c r="N65" i="125"/>
  <c r="AF27" i="125"/>
  <c r="W29" i="125"/>
  <c r="AC26" i="125"/>
  <c r="T22" i="125"/>
  <c r="Q22" i="125"/>
  <c r="U20" i="125"/>
  <c r="AE19" i="125"/>
  <c r="I14" i="127" s="1"/>
  <c r="AE27" i="125"/>
  <c r="M28" i="125"/>
  <c r="AB28" i="125"/>
  <c r="V25" i="125"/>
  <c r="V22" i="125"/>
  <c r="CM43" i="8"/>
  <c r="X35" i="104"/>
  <c r="P35" i="104"/>
  <c r="S27" i="104"/>
  <c r="O27" i="104"/>
  <c r="L112" i="68" l="1"/>
  <c r="AH39" i="104"/>
  <c r="CE23" i="123"/>
  <c r="ED23" i="123" s="1"/>
  <c r="GC23" i="123" s="1"/>
  <c r="CF48" i="123"/>
  <c r="EE48" i="123" s="1"/>
  <c r="D72" i="116"/>
  <c r="D45" i="118"/>
  <c r="AG42" i="123"/>
  <c r="CE22" i="123"/>
  <c r="ED22" i="123" s="1"/>
  <c r="GC22" i="123" s="1"/>
  <c r="EH52" i="8"/>
  <c r="EB52" i="8"/>
  <c r="BG25" i="6"/>
  <c r="DS43" i="7"/>
  <c r="T56" i="97"/>
  <c r="Y34" i="111"/>
  <c r="EB45" i="7"/>
  <c r="BC10" i="5"/>
  <c r="BC8" i="5" s="1"/>
  <c r="BM10" i="5"/>
  <c r="BM8" i="5" s="1"/>
  <c r="BM11" i="5" s="1"/>
  <c r="O10" i="100"/>
  <c r="CG47" i="7" s="1"/>
  <c r="CG145" i="7" s="1"/>
  <c r="AD9" i="100"/>
  <c r="AD10" i="100" s="1"/>
  <c r="N113" i="68"/>
  <c r="J113" i="68"/>
  <c r="EK28" i="8"/>
  <c r="Z32" i="111"/>
  <c r="EQ24" i="17"/>
  <c r="J48" i="97"/>
  <c r="K30" i="111" s="1"/>
  <c r="CF28" i="7" s="1"/>
  <c r="U48" i="97"/>
  <c r="U50" i="97" s="1"/>
  <c r="J53" i="97"/>
  <c r="K35" i="111" s="1"/>
  <c r="CK28" i="8" s="1"/>
  <c r="CL28" i="8" s="1"/>
  <c r="U53" i="97"/>
  <c r="U56" i="97" s="1"/>
  <c r="Y29" i="111"/>
  <c r="Y26" i="111" s="1"/>
  <c r="T50" i="97"/>
  <c r="EC64" i="7"/>
  <c r="DW64" i="7"/>
  <c r="EF28" i="7"/>
  <c r="Z26" i="111"/>
  <c r="BM26" i="5"/>
  <c r="BS14" i="61"/>
  <c r="AX13" i="64"/>
  <c r="AC55" i="96"/>
  <c r="AC67" i="96" s="1"/>
  <c r="EK19" i="8" s="1"/>
  <c r="AX16" i="64"/>
  <c r="BE14" i="64"/>
  <c r="DU71" i="7"/>
  <c r="AQ54" i="6"/>
  <c r="BH54" i="6"/>
  <c r="DW34" i="7"/>
  <c r="EC34" i="7"/>
  <c r="CD66" i="123"/>
  <c r="U57" i="126" s="1"/>
  <c r="AF42" i="8"/>
  <c r="DC27" i="8"/>
  <c r="AU15" i="65"/>
  <c r="S11" i="65"/>
  <c r="S10" i="65" s="1"/>
  <c r="S9" i="65" s="1"/>
  <c r="S44" i="65" s="1"/>
  <c r="S47" i="65" s="1"/>
  <c r="BG16" i="65"/>
  <c r="BI16" i="65"/>
  <c r="CR146" i="7"/>
  <c r="S63" i="32"/>
  <c r="BM61" i="32"/>
  <c r="BM70" i="32" s="1"/>
  <c r="AA7" i="96"/>
  <c r="BG45" i="65"/>
  <c r="BI45" i="65"/>
  <c r="GF44" i="123"/>
  <c r="GH63" i="123"/>
  <c r="CH24" i="123"/>
  <c r="EH64" i="123"/>
  <c r="D68" i="114"/>
  <c r="D40" i="118"/>
  <c r="D39" i="118"/>
  <c r="E51" i="134"/>
  <c r="FQ53" i="123"/>
  <c r="FQ58" i="123"/>
  <c r="FQ55" i="123"/>
  <c r="BM63" i="123"/>
  <c r="BV63" i="123" s="1"/>
  <c r="FK63" i="123"/>
  <c r="ES63" i="123"/>
  <c r="FB63" i="123"/>
  <c r="CT63" i="123"/>
  <c r="CT65" i="123" s="1"/>
  <c r="DL63" i="123"/>
  <c r="Z63" i="123"/>
  <c r="DC63" i="123"/>
  <c r="H63" i="123"/>
  <c r="N9" i="123"/>
  <c r="N64" i="123" s="1"/>
  <c r="N65" i="123" s="1"/>
  <c r="P64" i="123"/>
  <c r="P65" i="123" s="1"/>
  <c r="FH35" i="123"/>
  <c r="CI63" i="123"/>
  <c r="EH63" i="123" s="1"/>
  <c r="GG63" i="123" s="1"/>
  <c r="EY35" i="123"/>
  <c r="EP35" i="123"/>
  <c r="O26" i="123"/>
  <c r="O64" i="123"/>
  <c r="CI48" i="123"/>
  <c r="EH48" i="123" s="1"/>
  <c r="AI28" i="123"/>
  <c r="BC37" i="66"/>
  <c r="BA37" i="66"/>
  <c r="AV36" i="64"/>
  <c r="BC36" i="64"/>
  <c r="BA36" i="64"/>
  <c r="F44" i="143"/>
  <c r="D44" i="143"/>
  <c r="K45" i="143"/>
  <c r="AN28" i="19"/>
  <c r="AN27" i="19"/>
  <c r="AG16" i="19"/>
  <c r="AN39" i="19"/>
  <c r="CR13" i="19"/>
  <c r="FG14" i="19"/>
  <c r="FH14" i="19"/>
  <c r="DW105" i="8"/>
  <c r="DW137" i="8" s="1"/>
  <c r="AX13" i="66" s="1"/>
  <c r="DR71" i="7"/>
  <c r="DZ47" i="8"/>
  <c r="DZ105" i="8" s="1"/>
  <c r="DZ137" i="8" s="1"/>
  <c r="AY13" i="66" s="1"/>
  <c r="CX13" i="19"/>
  <c r="EE105" i="8"/>
  <c r="EF105" i="8"/>
  <c r="ED47" i="8"/>
  <c r="EF61" i="8"/>
  <c r="EF63" i="8" s="1"/>
  <c r="AC66" i="123"/>
  <c r="M57" i="126" s="1"/>
  <c r="AB12" i="96"/>
  <c r="Z11" i="96"/>
  <c r="Z12" i="96" s="1"/>
  <c r="P55" i="96"/>
  <c r="P67" i="96" s="1"/>
  <c r="CX19" i="8" s="1"/>
  <c r="CX102" i="8" s="1"/>
  <c r="O53" i="96"/>
  <c r="O48" i="96"/>
  <c r="AG121" i="8"/>
  <c r="N36" i="125"/>
  <c r="CO8" i="8"/>
  <c r="CO27" i="8"/>
  <c r="AX14" i="66"/>
  <c r="BD12" i="65"/>
  <c r="DR191" i="7"/>
  <c r="BS31" i="61"/>
  <c r="DB35" i="7"/>
  <c r="DS157" i="7"/>
  <c r="BB17" i="64"/>
  <c r="BB14" i="64" s="1"/>
  <c r="DA27" i="7"/>
  <c r="CQ8" i="7"/>
  <c r="CQ71" i="7" s="1"/>
  <c r="CQ73" i="7" s="1"/>
  <c r="DB27" i="7"/>
  <c r="BC45" i="65"/>
  <c r="BE45" i="65"/>
  <c r="BE16" i="65"/>
  <c r="BC16" i="65"/>
  <c r="P19" i="7"/>
  <c r="P17" i="7" s="1"/>
  <c r="AZ17" i="7"/>
  <c r="Q11" i="64"/>
  <c r="Q10" i="64" s="1"/>
  <c r="Q35" i="64" s="1"/>
  <c r="Q37" i="64" s="1"/>
  <c r="CK8" i="7"/>
  <c r="DY15" i="7"/>
  <c r="P87" i="7"/>
  <c r="S31" i="7"/>
  <c r="EA154" i="7"/>
  <c r="DY59" i="7"/>
  <c r="DY154" i="7" s="1"/>
  <c r="BB31" i="61"/>
  <c r="BR166" i="7"/>
  <c r="BR170" i="7" s="1"/>
  <c r="BR171" i="7" s="1"/>
  <c r="CM8" i="7"/>
  <c r="EA15" i="7"/>
  <c r="EA14" i="7" s="1"/>
  <c r="Y173" i="7"/>
  <c r="CQ27" i="8"/>
  <c r="DY61" i="8"/>
  <c r="DY89" i="8" s="1"/>
  <c r="CT96" i="8"/>
  <c r="DR97" i="8"/>
  <c r="AI17" i="66"/>
  <c r="AI15" i="66" s="1"/>
  <c r="D40" i="116"/>
  <c r="D39" i="116"/>
  <c r="AD16" i="102"/>
  <c r="AH23" i="102"/>
  <c r="AG23" i="102"/>
  <c r="DT53" i="7"/>
  <c r="DT52" i="7" s="1"/>
  <c r="DT153" i="7" s="1"/>
  <c r="DT166" i="7" s="1"/>
  <c r="AG10" i="104"/>
  <c r="AG14" i="104" s="1"/>
  <c r="D71" i="116"/>
  <c r="E110" i="118"/>
  <c r="E111" i="118" s="1"/>
  <c r="D29" i="118"/>
  <c r="DO43" i="8"/>
  <c r="DQ42" i="8"/>
  <c r="V10" i="64"/>
  <c r="V35" i="64" s="1"/>
  <c r="V37" i="64" s="1"/>
  <c r="DF42" i="8"/>
  <c r="DF104" i="8" s="1"/>
  <c r="R10" i="64"/>
  <c r="R35" i="64" s="1"/>
  <c r="R37" i="64" s="1"/>
  <c r="DT104" i="8"/>
  <c r="DT119" i="8" s="1"/>
  <c r="DT123" i="8" s="1"/>
  <c r="DT61" i="8"/>
  <c r="DT63" i="8" s="1"/>
  <c r="DW104" i="8"/>
  <c r="DW61" i="8"/>
  <c r="DW63" i="8" s="1"/>
  <c r="DV104" i="8"/>
  <c r="DV61" i="8"/>
  <c r="DV71" i="8" s="1"/>
  <c r="R113" i="68"/>
  <c r="L113" i="68"/>
  <c r="L114" i="68" s="1"/>
  <c r="H113" i="68"/>
  <c r="H114" i="68" s="1"/>
  <c r="P112" i="68"/>
  <c r="N112" i="68"/>
  <c r="N114" i="68" s="1"/>
  <c r="H112" i="68"/>
  <c r="T112" i="68"/>
  <c r="R112" i="68"/>
  <c r="P113" i="68"/>
  <c r="T113" i="68"/>
  <c r="J112" i="68"/>
  <c r="J114" i="68" s="1"/>
  <c r="F110" i="68"/>
  <c r="F109" i="68"/>
  <c r="F108" i="68"/>
  <c r="F111" i="68"/>
  <c r="B88" i="7"/>
  <c r="R23" i="7"/>
  <c r="DO71" i="7"/>
  <c r="DO73" i="7" s="1"/>
  <c r="DS144" i="8"/>
  <c r="AY30" i="65" s="1"/>
  <c r="DA143" i="8"/>
  <c r="BW109" i="8"/>
  <c r="BW140" i="8" s="1"/>
  <c r="DD141" i="8"/>
  <c r="DZ104" i="8"/>
  <c r="DZ141" i="8" s="1"/>
  <c r="AX75" i="8"/>
  <c r="AX120" i="8" s="1"/>
  <c r="AD8" i="17"/>
  <c r="G49" i="61"/>
  <c r="G53" i="61" s="1"/>
  <c r="BF167" i="7"/>
  <c r="CU52" i="7"/>
  <c r="CU153" i="7" s="1"/>
  <c r="N48" i="125"/>
  <c r="CK166" i="7"/>
  <c r="CK170" i="7" s="1"/>
  <c r="CI35" i="7"/>
  <c r="CQ97" i="8"/>
  <c r="AQ17" i="65"/>
  <c r="DX42" i="8"/>
  <c r="AJ23" i="66"/>
  <c r="CT97" i="8"/>
  <c r="CS61" i="8"/>
  <c r="CS63" i="8" s="1"/>
  <c r="CS137" i="8"/>
  <c r="AJ13" i="66" s="1"/>
  <c r="CW97" i="8"/>
  <c r="DF96" i="8"/>
  <c r="CT27" i="8"/>
  <c r="DV140" i="8"/>
  <c r="AZ14" i="65"/>
  <c r="CN17" i="8"/>
  <c r="CZ42" i="8"/>
  <c r="CZ104" i="8" s="1"/>
  <c r="T25" i="71"/>
  <c r="AT25" i="71" s="1"/>
  <c r="DA8" i="7"/>
  <c r="AN9" i="71"/>
  <c r="BE17" i="61"/>
  <c r="BE15" i="61" s="1"/>
  <c r="CL43" i="7"/>
  <c r="AP9" i="71"/>
  <c r="BP13" i="61"/>
  <c r="DT184" i="7"/>
  <c r="AZ87" i="7"/>
  <c r="BB59" i="7" s="1"/>
  <c r="C88" i="7"/>
  <c r="BB34" i="7"/>
  <c r="BC34" i="7" s="1"/>
  <c r="DT191" i="7"/>
  <c r="BP31" i="61"/>
  <c r="R31" i="7"/>
  <c r="F87" i="7"/>
  <c r="CI149" i="7"/>
  <c r="BB10" i="7"/>
  <c r="BC10" i="7" s="1"/>
  <c r="DQ191" i="7"/>
  <c r="BO31" i="61"/>
  <c r="BB55" i="7"/>
  <c r="BC55" i="7" s="1"/>
  <c r="D87" i="7"/>
  <c r="CO17" i="7"/>
  <c r="DY141" i="8"/>
  <c r="BA15" i="65"/>
  <c r="AP23" i="66"/>
  <c r="CT17" i="8"/>
  <c r="AK23" i="66"/>
  <c r="CP157" i="7"/>
  <c r="CR142" i="8"/>
  <c r="BB18" i="61"/>
  <c r="CO60" i="7"/>
  <c r="CO157" i="7" s="1"/>
  <c r="CF55" i="123"/>
  <c r="EE55" i="123" s="1"/>
  <c r="GD55" i="123" s="1"/>
  <c r="AA20" i="125"/>
  <c r="GE56" i="123"/>
  <c r="CG53" i="123"/>
  <c r="EF53" i="123" s="1"/>
  <c r="GE53" i="123" s="1"/>
  <c r="FQ44" i="123"/>
  <c r="DI42" i="123"/>
  <c r="BT28" i="123"/>
  <c r="CI28" i="123"/>
  <c r="AQ51" i="6"/>
  <c r="X45" i="61"/>
  <c r="AY45" i="61" s="1"/>
  <c r="BR32" i="17"/>
  <c r="BS32" i="17" s="1"/>
  <c r="U47" i="5"/>
  <c r="X23" i="19"/>
  <c r="X36" i="19"/>
  <c r="AG36" i="19" s="1"/>
  <c r="X29" i="19"/>
  <c r="AG29" i="19" s="1"/>
  <c r="X38" i="19"/>
  <c r="X19" i="19"/>
  <c r="AG19" i="19" s="1"/>
  <c r="Q24" i="7"/>
  <c r="R24" i="7" s="1"/>
  <c r="Z23" i="7"/>
  <c r="AL52" i="6"/>
  <c r="BP119" i="8"/>
  <c r="BP121" i="8" s="1"/>
  <c r="BY15" i="7"/>
  <c r="CA15" i="7" s="1"/>
  <c r="X34" i="19"/>
  <c r="AG34" i="19" s="1"/>
  <c r="CK71" i="7"/>
  <c r="C57" i="124"/>
  <c r="AQ53" i="6"/>
  <c r="BW30" i="71"/>
  <c r="T23" i="7"/>
  <c r="CL7" i="135"/>
  <c r="CL15" i="135" s="1"/>
  <c r="CL17" i="135" s="1"/>
  <c r="AL54" i="6"/>
  <c r="AY24" i="17"/>
  <c r="W126" i="8"/>
  <c r="W129" i="8" s="1"/>
  <c r="W130" i="8" s="1"/>
  <c r="AL51" i="6"/>
  <c r="CQ50" i="8"/>
  <c r="CQ108" i="8" s="1"/>
  <c r="L61" i="8"/>
  <c r="L78" i="8" s="1"/>
  <c r="BO25" i="17"/>
  <c r="E34" i="134"/>
  <c r="DR44" i="123"/>
  <c r="CF10" i="123"/>
  <c r="CF28" i="123" s="1"/>
  <c r="AN53" i="123"/>
  <c r="X39" i="19"/>
  <c r="AG39" i="19" s="1"/>
  <c r="X43" i="19"/>
  <c r="X18" i="19"/>
  <c r="AG18" i="19" s="1"/>
  <c r="X27" i="19"/>
  <c r="AG27" i="19" s="1"/>
  <c r="X33" i="19"/>
  <c r="AG33" i="19" s="1"/>
  <c r="C83" i="56"/>
  <c r="AE59" i="59"/>
  <c r="X22" i="19"/>
  <c r="AG22" i="19" s="1"/>
  <c r="I61" i="8"/>
  <c r="O61" i="8" s="1"/>
  <c r="BP12" i="123"/>
  <c r="P19" i="126" s="1"/>
  <c r="C28" i="124"/>
  <c r="GF46" i="123"/>
  <c r="DP35" i="7"/>
  <c r="AJ13" i="10"/>
  <c r="AX54" i="72"/>
  <c r="AZ54" i="72" s="1"/>
  <c r="CO15" i="135"/>
  <c r="CO17" i="135" s="1"/>
  <c r="K27" i="21"/>
  <c r="O47" i="61"/>
  <c r="FQ36" i="123"/>
  <c r="CL35" i="7"/>
  <c r="BF126" i="8"/>
  <c r="BF129" i="8" s="1"/>
  <c r="BF130" i="8" s="1"/>
  <c r="BR63" i="8"/>
  <c r="G91" i="56"/>
  <c r="CH35" i="123"/>
  <c r="EG35" i="123" s="1"/>
  <c r="GF35" i="123" s="1"/>
  <c r="BR199" i="7"/>
  <c r="P30" i="71"/>
  <c r="K13" i="21"/>
  <c r="K81" i="56"/>
  <c r="BL25" i="17"/>
  <c r="AF8" i="123"/>
  <c r="DS27" i="123"/>
  <c r="B8" i="56"/>
  <c r="AN87" i="7"/>
  <c r="T97" i="7" s="1"/>
  <c r="BG31" i="61"/>
  <c r="CA56" i="123"/>
  <c r="BY54" i="7"/>
  <c r="DC97" i="8"/>
  <c r="S25" i="72"/>
  <c r="BR80" i="8"/>
  <c r="BR81" i="8" s="1"/>
  <c r="M44" i="3"/>
  <c r="AN58" i="72" s="1"/>
  <c r="AQ58" i="72" s="1"/>
  <c r="CX148" i="7"/>
  <c r="C23" i="124"/>
  <c r="GF74" i="123"/>
  <c r="EG72" i="123"/>
  <c r="P48" i="97"/>
  <c r="CE75" i="123"/>
  <c r="ED75" i="123" s="1"/>
  <c r="AG129" i="8"/>
  <c r="AG130" i="8" s="1"/>
  <c r="AH48" i="123"/>
  <c r="CG48" i="123" s="1"/>
  <c r="EF48" i="123" s="1"/>
  <c r="CJ48" i="123"/>
  <c r="EI48" i="123" s="1"/>
  <c r="GH48" i="123" s="1"/>
  <c r="G37" i="64"/>
  <c r="AL18" i="10"/>
  <c r="CG36" i="123"/>
  <c r="EF36" i="123" s="1"/>
  <c r="GE36" i="123" s="1"/>
  <c r="DR10" i="123"/>
  <c r="AP26" i="9"/>
  <c r="GH30" i="123"/>
  <c r="M48" i="97"/>
  <c r="K80" i="72"/>
  <c r="P37" i="66"/>
  <c r="P38" i="66" s="1"/>
  <c r="X40" i="19"/>
  <c r="E28" i="123"/>
  <c r="AQ20" i="7"/>
  <c r="AR20" i="7" s="1"/>
  <c r="AS20" i="7" s="1"/>
  <c r="CG39" i="123"/>
  <c r="AR62" i="3"/>
  <c r="CS60" i="72" s="1"/>
  <c r="CR54" i="72" s="1"/>
  <c r="CS54" i="72" s="1"/>
  <c r="K12" i="87" s="1"/>
  <c r="BH35" i="71"/>
  <c r="AU68" i="72"/>
  <c r="BQ123" i="8"/>
  <c r="BQ126" i="8" s="1"/>
  <c r="BQ127" i="8" s="1"/>
  <c r="D46" i="5"/>
  <c r="AF12" i="123"/>
  <c r="AF30" i="123" s="1"/>
  <c r="CI17" i="7"/>
  <c r="D17" i="114"/>
  <c r="CZ9" i="123"/>
  <c r="CZ64" i="123" s="1"/>
  <c r="BF53" i="6"/>
  <c r="BG53" i="6" s="1"/>
  <c r="Z149" i="6"/>
  <c r="DC71" i="7"/>
  <c r="CF12" i="123"/>
  <c r="EE12" i="123" s="1"/>
  <c r="EE30" i="123" s="1"/>
  <c r="CX144" i="7"/>
  <c r="DM8" i="7"/>
  <c r="BC41" i="3"/>
  <c r="BC39" i="3" s="1"/>
  <c r="Z11" i="95" s="1"/>
  <c r="CN97" i="8"/>
  <c r="W60" i="19"/>
  <c r="CG37" i="123"/>
  <c r="EF37" i="123" s="1"/>
  <c r="GE37" i="123" s="1"/>
  <c r="BD87" i="6"/>
  <c r="AX88" i="7"/>
  <c r="AX91" i="7" s="1"/>
  <c r="AP102" i="8"/>
  <c r="AP119" i="8" s="1"/>
  <c r="AP126" i="8" s="1"/>
  <c r="AP129" i="8" s="1"/>
  <c r="AP17" i="8"/>
  <c r="AP61" i="8" s="1"/>
  <c r="AP84" i="8" s="1"/>
  <c r="AP85" i="8" s="1"/>
  <c r="O20" i="126"/>
  <c r="CD13" i="123"/>
  <c r="EC13" i="123" s="1"/>
  <c r="AA20" i="126" s="1"/>
  <c r="V54" i="96"/>
  <c r="Z54" i="96" s="1"/>
  <c r="Q54" i="96"/>
  <c r="AX33" i="71"/>
  <c r="BC33" i="71"/>
  <c r="AN13" i="123"/>
  <c r="W37" i="19"/>
  <c r="W26" i="19"/>
  <c r="W42" i="19"/>
  <c r="Z104" i="8"/>
  <c r="AM42" i="8"/>
  <c r="AN42" i="8" s="1"/>
  <c r="AN104" i="8" s="1"/>
  <c r="W48" i="96"/>
  <c r="W63" i="96"/>
  <c r="BC33" i="11"/>
  <c r="BB33" i="11"/>
  <c r="BW26" i="71"/>
  <c r="BV26" i="71"/>
  <c r="BV24" i="71" s="1"/>
  <c r="Q19" i="8"/>
  <c r="R19" i="8"/>
  <c r="FH28" i="123"/>
  <c r="FH27" i="123"/>
  <c r="J81" i="56"/>
  <c r="J83" i="56" s="1"/>
  <c r="O83" i="56" s="1"/>
  <c r="O82" i="56" s="1"/>
  <c r="Q56" i="65"/>
  <c r="K59" i="65"/>
  <c r="BW31" i="71"/>
  <c r="BR33" i="17"/>
  <c r="BT33" i="17" s="1"/>
  <c r="K58" i="56"/>
  <c r="P48" i="56"/>
  <c r="P58" i="56" s="1"/>
  <c r="FY16" i="123"/>
  <c r="BC11" i="6"/>
  <c r="AU11" i="6"/>
  <c r="C33" i="73"/>
  <c r="B34" i="73"/>
  <c r="B35" i="73" s="1"/>
  <c r="G44" i="3"/>
  <c r="G45" i="3" s="1"/>
  <c r="O45" i="3" s="1"/>
  <c r="AA87" i="7"/>
  <c r="S97" i="7" s="1"/>
  <c r="P97" i="7" s="1"/>
  <c r="AP87" i="7"/>
  <c r="AQ87" i="7" s="1"/>
  <c r="AS87" i="7" s="1"/>
  <c r="U23" i="64"/>
  <c r="U10" i="64"/>
  <c r="U35" i="64" s="1"/>
  <c r="U37" i="64" s="1"/>
  <c r="AF128" i="8"/>
  <c r="AJ128" i="8"/>
  <c r="AX93" i="7"/>
  <c r="AX90" i="7"/>
  <c r="B5" i="85"/>
  <c r="E4" i="85"/>
  <c r="BA29" i="11"/>
  <c r="BA41" i="11" s="1"/>
  <c r="AO29" i="11"/>
  <c r="W26" i="17"/>
  <c r="AT26" i="17"/>
  <c r="L15" i="135"/>
  <c r="N15" i="135" s="1"/>
  <c r="N7" i="135"/>
  <c r="AZ62" i="72"/>
  <c r="BA62" i="72" s="1"/>
  <c r="AZ63" i="72"/>
  <c r="BG63" i="72" s="1"/>
  <c r="AN58" i="9"/>
  <c r="AQ58" i="9" s="1"/>
  <c r="F66" i="61"/>
  <c r="K63" i="61"/>
  <c r="F26" i="123"/>
  <c r="E9" i="123"/>
  <c r="U85" i="10"/>
  <c r="U87" i="10" s="1"/>
  <c r="G30" i="105" s="1"/>
  <c r="BW58" i="7" s="1"/>
  <c r="U75" i="10"/>
  <c r="U77" i="10" s="1"/>
  <c r="U79" i="10" s="1"/>
  <c r="AA85" i="10" s="1"/>
  <c r="AA87" i="10" s="1"/>
  <c r="J30" i="105" s="1"/>
  <c r="BC26" i="123"/>
  <c r="BC64" i="123"/>
  <c r="FR30" i="123"/>
  <c r="FQ12" i="123"/>
  <c r="FQ30" i="123" s="1"/>
  <c r="AF59" i="123"/>
  <c r="CE59" i="123" s="1"/>
  <c r="BS53" i="123"/>
  <c r="BS14" i="123"/>
  <c r="CG14" i="123"/>
  <c r="EF14" i="123" s="1"/>
  <c r="EG47" i="123"/>
  <c r="GF47" i="123" s="1"/>
  <c r="AZ102" i="6"/>
  <c r="F61" i="8"/>
  <c r="F78" i="8" s="1"/>
  <c r="DK137" i="8"/>
  <c r="AR13" i="66" s="1"/>
  <c r="AF57" i="123"/>
  <c r="CE57" i="123" s="1"/>
  <c r="CL84" i="122"/>
  <c r="FQ60" i="123"/>
  <c r="GE46" i="123"/>
  <c r="BS56" i="123"/>
  <c r="CH66" i="123"/>
  <c r="U27" i="95"/>
  <c r="N29" i="21"/>
  <c r="H46" i="5"/>
  <c r="S23" i="102"/>
  <c r="ED21" i="123"/>
  <c r="GC21" i="123" s="1"/>
  <c r="G56" i="114"/>
  <c r="C8" i="11"/>
  <c r="DF184" i="7"/>
  <c r="AR12" i="64" s="1"/>
  <c r="Z65" i="65"/>
  <c r="D13" i="68"/>
  <c r="Y46" i="61"/>
  <c r="AM20" i="7"/>
  <c r="BA20" i="7"/>
  <c r="J14" i="85"/>
  <c r="I15" i="85"/>
  <c r="T24" i="125"/>
  <c r="AC8" i="135"/>
  <c r="AD8" i="135" s="1"/>
  <c r="U29" i="125"/>
  <c r="Z52" i="5"/>
  <c r="AF52" i="5" s="1"/>
  <c r="AG52" i="5" s="1"/>
  <c r="Z55" i="5"/>
  <c r="AF55" i="5" s="1"/>
  <c r="AG55" i="5" s="1"/>
  <c r="Z54" i="5"/>
  <c r="AF54" i="5" s="1"/>
  <c r="AG54" i="5" s="1"/>
  <c r="AH40" i="123"/>
  <c r="AH42" i="123" s="1"/>
  <c r="CD34" i="17"/>
  <c r="CA31" i="17"/>
  <c r="AP13" i="10"/>
  <c r="Z31" i="61" s="1"/>
  <c r="U48" i="96"/>
  <c r="U63" i="96"/>
  <c r="AJ53" i="6"/>
  <c r="AJ52" i="6"/>
  <c r="Q64" i="32"/>
  <c r="M64" i="32"/>
  <c r="BV33" i="71"/>
  <c r="BW33" i="71"/>
  <c r="AY93" i="7"/>
  <c r="AY94" i="7" s="1"/>
  <c r="AY91" i="7"/>
  <c r="W9" i="19"/>
  <c r="W40" i="19"/>
  <c r="G56" i="134"/>
  <c r="F68" i="134"/>
  <c r="D68" i="134" s="1"/>
  <c r="BG45" i="61"/>
  <c r="BQ45" i="3"/>
  <c r="BQ44" i="3" s="1"/>
  <c r="AK35" i="95" s="1"/>
  <c r="AK33" i="95" s="1"/>
  <c r="AK37" i="95" s="1"/>
  <c r="CY167" i="7"/>
  <c r="CY72" i="7" s="1"/>
  <c r="AF35" i="95"/>
  <c r="AF33" i="95" s="1"/>
  <c r="AF37" i="95" s="1"/>
  <c r="BF40" i="3"/>
  <c r="AK54" i="6"/>
  <c r="AK46" i="6"/>
  <c r="N53" i="96"/>
  <c r="AA53" i="96" s="1"/>
  <c r="N58" i="96"/>
  <c r="AA58" i="96" s="1"/>
  <c r="T14" i="125"/>
  <c r="S36" i="32"/>
  <c r="S39" i="32" s="1"/>
  <c r="AN26" i="19"/>
  <c r="DR57" i="123"/>
  <c r="AF51" i="123"/>
  <c r="CH58" i="123"/>
  <c r="EG58" i="123" s="1"/>
  <c r="GF58" i="123" s="1"/>
  <c r="BL54" i="72"/>
  <c r="BM54" i="72" s="1"/>
  <c r="E12" i="87" s="1"/>
  <c r="AP14" i="71"/>
  <c r="AM14" i="71" s="1"/>
  <c r="P29" i="71" s="1"/>
  <c r="AY31" i="17"/>
  <c r="Y47" i="3"/>
  <c r="B47" i="32" s="1"/>
  <c r="D34" i="134"/>
  <c r="D30" i="118"/>
  <c r="FQ54" i="123"/>
  <c r="BS16" i="123"/>
  <c r="CA57" i="123"/>
  <c r="AP43" i="98"/>
  <c r="S19" i="8"/>
  <c r="T19" i="8" s="1"/>
  <c r="D45" i="6"/>
  <c r="DR28" i="123"/>
  <c r="CC11" i="123"/>
  <c r="T18" i="126" s="1"/>
  <c r="AN29" i="19"/>
  <c r="AF25" i="123"/>
  <c r="DP142" i="8"/>
  <c r="K79" i="9"/>
  <c r="AZ13" i="61"/>
  <c r="CB49" i="19"/>
  <c r="CG50" i="19" s="1"/>
  <c r="DR60" i="123"/>
  <c r="CA10" i="123"/>
  <c r="CQ17" i="8"/>
  <c r="CP137" i="8"/>
  <c r="AI13" i="66" s="1"/>
  <c r="H12" i="94"/>
  <c r="F19" i="94"/>
  <c r="N28" i="56"/>
  <c r="N38" i="56" s="1"/>
  <c r="I38" i="56"/>
  <c r="AM22" i="8"/>
  <c r="AN22" i="8" s="1"/>
  <c r="AN99" i="8" s="1"/>
  <c r="Z99" i="8"/>
  <c r="N35" i="7"/>
  <c r="L71" i="7"/>
  <c r="L88" i="7" s="1"/>
  <c r="M88" i="7" s="1"/>
  <c r="M35" i="7"/>
  <c r="M75" i="8"/>
  <c r="H75" i="8"/>
  <c r="U19" i="10"/>
  <c r="D12" i="75"/>
  <c r="D13" i="75" s="1"/>
  <c r="D14" i="75" s="1"/>
  <c r="D16" i="75" s="1"/>
  <c r="D17" i="75" s="1"/>
  <c r="AK173" i="7"/>
  <c r="AK171" i="7"/>
  <c r="M12" i="82"/>
  <c r="M16" i="82" s="1"/>
  <c r="L16" i="82"/>
  <c r="O16" i="82" s="1"/>
  <c r="AI10" i="71"/>
  <c r="AJ10" i="71"/>
  <c r="AK10" i="71" s="1"/>
  <c r="AE47" i="5"/>
  <c r="AE54" i="5"/>
  <c r="M87" i="7"/>
  <c r="R87" i="7"/>
  <c r="AT58" i="72"/>
  <c r="AT59" i="72" s="1"/>
  <c r="P48" i="3"/>
  <c r="U24" i="125"/>
  <c r="AG27" i="98"/>
  <c r="AG24" i="98" s="1"/>
  <c r="AG28" i="98" s="1"/>
  <c r="CA33" i="7"/>
  <c r="X20" i="19"/>
  <c r="AG20" i="19" s="1"/>
  <c r="X17" i="19"/>
  <c r="X30" i="19"/>
  <c r="AG30" i="19" s="1"/>
  <c r="D14" i="68"/>
  <c r="D15" i="68" s="1"/>
  <c r="CL17" i="7"/>
  <c r="AL43" i="98"/>
  <c r="D4" i="85"/>
  <c r="AZ43" i="11"/>
  <c r="D34" i="118"/>
  <c r="BB30" i="11"/>
  <c r="CL8" i="7"/>
  <c r="CJ184" i="7"/>
  <c r="EG11" i="123"/>
  <c r="GF11" i="123" s="1"/>
  <c r="I16" i="21"/>
  <c r="T67" i="123"/>
  <c r="AN66" i="123"/>
  <c r="E10" i="56"/>
  <c r="BB9" i="7"/>
  <c r="BM8" i="8"/>
  <c r="BM61" i="8" s="1"/>
  <c r="BM63" i="8" s="1"/>
  <c r="BB16" i="7"/>
  <c r="BC16" i="7" s="1"/>
  <c r="DB191" i="7"/>
  <c r="BN123" i="8"/>
  <c r="DU14" i="19"/>
  <c r="DA146" i="7"/>
  <c r="E21" i="75"/>
  <c r="E23" i="75" s="1"/>
  <c r="E24" i="75" s="1"/>
  <c r="E27" i="75" s="1"/>
  <c r="E28" i="75" s="1"/>
  <c r="E30" i="75" s="1"/>
  <c r="X42" i="19"/>
  <c r="AG42" i="19" s="1"/>
  <c r="X35" i="19"/>
  <c r="AG35" i="19" s="1"/>
  <c r="X28" i="19"/>
  <c r="AG28" i="19" s="1"/>
  <c r="DU29" i="123"/>
  <c r="BZ12" i="123"/>
  <c r="AP67" i="123"/>
  <c r="AY67" i="123" s="1"/>
  <c r="BH67" i="123" s="1"/>
  <c r="CO67" i="123" s="1"/>
  <c r="AZ42" i="11"/>
  <c r="DA140" i="8"/>
  <c r="CH8" i="123"/>
  <c r="EG8" i="123" s="1"/>
  <c r="BO124" i="8"/>
  <c r="X44" i="19"/>
  <c r="BB13" i="7"/>
  <c r="BB42" i="7"/>
  <c r="BC42" i="7" s="1"/>
  <c r="X9" i="19"/>
  <c r="AG9" i="19" s="1"/>
  <c r="Y39" i="11"/>
  <c r="DR8" i="8"/>
  <c r="O8" i="56"/>
  <c r="O18" i="56" s="1"/>
  <c r="X24" i="19"/>
  <c r="AG24" i="19" s="1"/>
  <c r="X13" i="19"/>
  <c r="AG13" i="19" s="1"/>
  <c r="X21" i="19"/>
  <c r="AG21" i="19" s="1"/>
  <c r="CX17" i="7"/>
  <c r="BP27" i="7"/>
  <c r="CH56" i="123"/>
  <c r="EG56" i="123" s="1"/>
  <c r="GF56" i="123" s="1"/>
  <c r="AN16" i="19"/>
  <c r="DC17" i="8"/>
  <c r="BO121" i="8"/>
  <c r="BB54" i="7"/>
  <c r="BC54" i="7" s="1"/>
  <c r="AV13" i="19"/>
  <c r="CX140" i="8"/>
  <c r="B11" i="124"/>
  <c r="GG48" i="123"/>
  <c r="CE67" i="123"/>
  <c r="ED67" i="123" s="1"/>
  <c r="GC67" i="123" s="1"/>
  <c r="GF72" i="123"/>
  <c r="X36" i="104"/>
  <c r="CY44" i="8" s="1"/>
  <c r="CW44" i="8" s="1"/>
  <c r="CM44" i="8"/>
  <c r="CK44" i="8" s="1"/>
  <c r="BP14" i="19"/>
  <c r="BK10" i="19"/>
  <c r="BK11" i="19" s="1"/>
  <c r="BK12" i="19" s="1"/>
  <c r="BW12" i="19" s="1"/>
  <c r="BW14" i="19"/>
  <c r="CW14" i="19" s="1"/>
  <c r="X11" i="104"/>
  <c r="CS54" i="7" s="1"/>
  <c r="CR54" i="7" s="1"/>
  <c r="CG54" i="7"/>
  <c r="CF54" i="7" s="1"/>
  <c r="C26" i="124"/>
  <c r="CE74" i="123"/>
  <c r="BZ11" i="123"/>
  <c r="CE24" i="123"/>
  <c r="ED24" i="123" s="1"/>
  <c r="GC24" i="123" s="1"/>
  <c r="L47" i="5"/>
  <c r="L49" i="5" s="1"/>
  <c r="U48" i="3"/>
  <c r="D10" i="3"/>
  <c r="J7" i="129"/>
  <c r="DF71" i="7"/>
  <c r="AL53" i="6"/>
  <c r="C7" i="11"/>
  <c r="AV30" i="8"/>
  <c r="N62" i="32"/>
  <c r="P62" i="32" s="1"/>
  <c r="F13" i="117"/>
  <c r="A49" i="98"/>
  <c r="A50" i="98" s="1"/>
  <c r="S28" i="98" s="1"/>
  <c r="T28" i="98" s="1"/>
  <c r="U28" i="98" s="1"/>
  <c r="T63" i="32"/>
  <c r="V63" i="32" s="1"/>
  <c r="CP61" i="8"/>
  <c r="BB25" i="17"/>
  <c r="D75" i="116"/>
  <c r="CV167" i="7"/>
  <c r="CV72" i="7" s="1"/>
  <c r="Q39" i="128"/>
  <c r="BZ190" i="7"/>
  <c r="AX40" i="3"/>
  <c r="AX39" i="3" s="1"/>
  <c r="H7" i="96" s="1"/>
  <c r="E45" i="96"/>
  <c r="AH40" i="3"/>
  <c r="AH39" i="3" s="1"/>
  <c r="AH43" i="3" s="1"/>
  <c r="AX27" i="123"/>
  <c r="AV42" i="11"/>
  <c r="K13" i="72"/>
  <c r="AC67" i="123"/>
  <c r="M58" i="126" s="1"/>
  <c r="DR27" i="123"/>
  <c r="BJ87" i="6"/>
  <c r="CY144" i="8"/>
  <c r="CG25" i="123"/>
  <c r="EF25" i="123" s="1"/>
  <c r="GE25" i="123" s="1"/>
  <c r="Y26" i="123"/>
  <c r="B6" i="88"/>
  <c r="N64" i="32"/>
  <c r="P64" i="32" s="1"/>
  <c r="BY62" i="7"/>
  <c r="BY155" i="7" s="1"/>
  <c r="BA49" i="19"/>
  <c r="BE50" i="19" s="1"/>
  <c r="AP52" i="95"/>
  <c r="T39" i="3"/>
  <c r="AZ40" i="11"/>
  <c r="Y25" i="125"/>
  <c r="BD52" i="6"/>
  <c r="E39" i="65"/>
  <c r="D40" i="65" s="1"/>
  <c r="AP29" i="7"/>
  <c r="AO33" i="11"/>
  <c r="EI25" i="123"/>
  <c r="GH25" i="123" s="1"/>
  <c r="GH26" i="123" s="1"/>
  <c r="CL16" i="122"/>
  <c r="V13" i="10"/>
  <c r="BA43" i="11"/>
  <c r="F51" i="134"/>
  <c r="D51" i="134" s="1"/>
  <c r="AM56" i="7"/>
  <c r="BP24" i="19"/>
  <c r="BW24" i="19"/>
  <c r="DF34" i="8"/>
  <c r="DF40" i="8"/>
  <c r="CV62" i="8"/>
  <c r="CT120" i="8"/>
  <c r="CT62" i="8" s="1"/>
  <c r="AF58" i="123"/>
  <c r="CE58" i="123" s="1"/>
  <c r="BA62" i="9"/>
  <c r="AX54" i="9"/>
  <c r="BE54" i="9" s="1"/>
  <c r="AF10" i="123"/>
  <c r="BR63" i="32"/>
  <c r="T23" i="64"/>
  <c r="T10" i="64"/>
  <c r="T35" i="64" s="1"/>
  <c r="T37" i="64" s="1"/>
  <c r="O12" i="82"/>
  <c r="W36" i="95"/>
  <c r="AI29" i="7"/>
  <c r="DR36" i="123"/>
  <c r="DS141" i="8"/>
  <c r="T32" i="111"/>
  <c r="N10" i="21"/>
  <c r="P10" i="21" s="1"/>
  <c r="Q54" i="9"/>
  <c r="V54" i="9" s="1"/>
  <c r="R30" i="8"/>
  <c r="R31" i="8" s="1"/>
  <c r="R27" i="8" s="1"/>
  <c r="I69" i="85"/>
  <c r="J69" i="85" s="1"/>
  <c r="I26" i="21"/>
  <c r="P26" i="21" s="1"/>
  <c r="EG45" i="123"/>
  <c r="GF45" i="123" s="1"/>
  <c r="AQ52" i="95"/>
  <c r="AP18" i="10"/>
  <c r="AJ19" i="10"/>
  <c r="BF43" i="11"/>
  <c r="BG43" i="11" s="1"/>
  <c r="DU42" i="8"/>
  <c r="AJ17" i="66"/>
  <c r="AJ15" i="66" s="1"/>
  <c r="AY24" i="71"/>
  <c r="AM12" i="123"/>
  <c r="AA146" i="7"/>
  <c r="AI146" i="7" s="1"/>
  <c r="EQ42" i="123"/>
  <c r="EP41" i="123"/>
  <c r="EP42" i="123" s="1"/>
  <c r="FR41" i="123"/>
  <c r="DB64" i="123"/>
  <c r="DT9" i="123"/>
  <c r="DT26" i="123" s="1"/>
  <c r="DB26" i="123"/>
  <c r="C32" i="124"/>
  <c r="BD61" i="32"/>
  <c r="C65" i="124"/>
  <c r="ER26" i="123"/>
  <c r="FR48" i="123"/>
  <c r="E43" i="97"/>
  <c r="D71" i="7"/>
  <c r="AN13" i="19"/>
  <c r="AN18" i="19"/>
  <c r="ES50" i="19"/>
  <c r="B34" i="32"/>
  <c r="B35" i="32" s="1"/>
  <c r="BG32" i="11"/>
  <c r="D35" i="63"/>
  <c r="CH16" i="123"/>
  <c r="EG16" i="123" s="1"/>
  <c r="GF16" i="123" s="1"/>
  <c r="F79" i="68"/>
  <c r="F80" i="68" s="1"/>
  <c r="CH50" i="123"/>
  <c r="EG50" i="123" s="1"/>
  <c r="GF50" i="123" s="1"/>
  <c r="DR49" i="123"/>
  <c r="DB75" i="7"/>
  <c r="DB74" i="7" s="1"/>
  <c r="AM10" i="123"/>
  <c r="AJ36" i="64"/>
  <c r="N7" i="102"/>
  <c r="BF48" i="3"/>
  <c r="J47" i="95"/>
  <c r="J52" i="95" s="1"/>
  <c r="AO31" i="11"/>
  <c r="AK52" i="6"/>
  <c r="T11" i="66"/>
  <c r="T36" i="66" s="1"/>
  <c r="AN9" i="6"/>
  <c r="AN12" i="6" s="1"/>
  <c r="AN13" i="6" s="1"/>
  <c r="BH13" i="6" s="1"/>
  <c r="BH12" i="6" s="1"/>
  <c r="BH45" i="6" s="1"/>
  <c r="BH46" i="6" s="1"/>
  <c r="AI19" i="10"/>
  <c r="CR141" i="8"/>
  <c r="I53" i="85"/>
  <c r="I54" i="85" s="1"/>
  <c r="CC14" i="123"/>
  <c r="K12" i="128"/>
  <c r="AR52" i="95"/>
  <c r="BF51" i="6"/>
  <c r="BG51" i="6" s="1"/>
  <c r="DG19" i="7"/>
  <c r="DG151" i="7" s="1"/>
  <c r="H77" i="68"/>
  <c r="J77" i="68" s="1"/>
  <c r="D34" i="63"/>
  <c r="AH121" i="8"/>
  <c r="AA48" i="5"/>
  <c r="M46" i="5"/>
  <c r="M47" i="5" s="1"/>
  <c r="AD18" i="6"/>
  <c r="J16" i="129"/>
  <c r="AF19" i="7"/>
  <c r="AF151" i="7" s="1"/>
  <c r="BH126" i="8"/>
  <c r="BH127" i="8" s="1"/>
  <c r="AP11" i="6"/>
  <c r="AN23" i="19"/>
  <c r="C101" i="56"/>
  <c r="DI13" i="123"/>
  <c r="AG13" i="123"/>
  <c r="AF13" i="123" s="1"/>
  <c r="AC16" i="123"/>
  <c r="BZ16" i="123"/>
  <c r="J11" i="129"/>
  <c r="J12" i="129" s="1"/>
  <c r="BF52" i="6"/>
  <c r="BG52" i="6" s="1"/>
  <c r="AT23" i="66"/>
  <c r="R58" i="96"/>
  <c r="BS37" i="8"/>
  <c r="BT37" i="8" s="1"/>
  <c r="I21" i="85"/>
  <c r="O37" i="64"/>
  <c r="BG31" i="11"/>
  <c r="AK51" i="6"/>
  <c r="BW145" i="7"/>
  <c r="BV47" i="7"/>
  <c r="BV145" i="7" s="1"/>
  <c r="FQ38" i="123"/>
  <c r="J37" i="79"/>
  <c r="J36" i="79" s="1"/>
  <c r="J33" i="79" s="1"/>
  <c r="AZ63" i="3" s="1"/>
  <c r="F36" i="79"/>
  <c r="F37" i="79" s="1"/>
  <c r="H63" i="68"/>
  <c r="F65" i="68"/>
  <c r="F69" i="68" s="1"/>
  <c r="AX10" i="5"/>
  <c r="AM8" i="5"/>
  <c r="BH10" i="5"/>
  <c r="BH8" i="5" s="1"/>
  <c r="AT17" i="7"/>
  <c r="AT71" i="7" s="1"/>
  <c r="AT90" i="7" s="1"/>
  <c r="AT151" i="7"/>
  <c r="AT166" i="7" s="1"/>
  <c r="AT173" i="7" s="1"/>
  <c r="AA54" i="6"/>
  <c r="AG54" i="6" s="1"/>
  <c r="AH54" i="6" s="1"/>
  <c r="AA53" i="6"/>
  <c r="AG53" i="6" s="1"/>
  <c r="AH53" i="6" s="1"/>
  <c r="AA51" i="6"/>
  <c r="AG51" i="6" s="1"/>
  <c r="AH51" i="6" s="1"/>
  <c r="D23" i="63"/>
  <c r="C24" i="63"/>
  <c r="D24" i="63" s="1"/>
  <c r="Q24" i="35"/>
  <c r="C28" i="63"/>
  <c r="B29" i="63"/>
  <c r="B30" i="63" s="1"/>
  <c r="AW56" i="9"/>
  <c r="AW57" i="9" s="1"/>
  <c r="R43" i="3"/>
  <c r="AZ54" i="6"/>
  <c r="AZ52" i="6"/>
  <c r="AZ53" i="6"/>
  <c r="W24" i="95"/>
  <c r="X24" i="95" s="1"/>
  <c r="Y24" i="95" s="1"/>
  <c r="Z24" i="95" s="1"/>
  <c r="AA24" i="95" s="1"/>
  <c r="AB24" i="95" s="1"/>
  <c r="AC24" i="95" s="1"/>
  <c r="AD24" i="95" s="1"/>
  <c r="AE24" i="95" s="1"/>
  <c r="V25" i="95"/>
  <c r="D113" i="56"/>
  <c r="I111" i="56"/>
  <c r="I121" i="56" s="1"/>
  <c r="I123" i="56" s="1"/>
  <c r="AY53" i="6"/>
  <c r="AY51" i="6"/>
  <c r="AY54" i="6"/>
  <c r="P47" i="5"/>
  <c r="R46" i="5"/>
  <c r="R47" i="5" s="1"/>
  <c r="DF31" i="8"/>
  <c r="DF27" i="8" s="1"/>
  <c r="AS51" i="6"/>
  <c r="AT51" i="6" s="1"/>
  <c r="AU51" i="6" s="1"/>
  <c r="AS54" i="6"/>
  <c r="AT54" i="6" s="1"/>
  <c r="AU54" i="6" s="1"/>
  <c r="AZ55" i="5"/>
  <c r="AZ54" i="5"/>
  <c r="AZ52" i="5"/>
  <c r="AZ53" i="5"/>
  <c r="S23" i="64"/>
  <c r="S10" i="64"/>
  <c r="S35" i="64" s="1"/>
  <c r="S37" i="64" s="1"/>
  <c r="BX26" i="71"/>
  <c r="BR26" i="17"/>
  <c r="P55" i="34"/>
  <c r="G55" i="34" s="1"/>
  <c r="AN28" i="7"/>
  <c r="AN148" i="7" s="1"/>
  <c r="AH53" i="5"/>
  <c r="AH54" i="5"/>
  <c r="AH52" i="5"/>
  <c r="AH55" i="5"/>
  <c r="K62" i="65"/>
  <c r="K65" i="65" s="1"/>
  <c r="I62" i="65"/>
  <c r="I63" i="65" s="1"/>
  <c r="I65" i="65" s="1"/>
  <c r="F65" i="65"/>
  <c r="AJ46" i="6"/>
  <c r="AJ51" i="6"/>
  <c r="AJ54" i="6"/>
  <c r="AE53" i="5"/>
  <c r="AE55" i="5"/>
  <c r="AE52" i="5"/>
  <c r="AN47" i="19"/>
  <c r="BX31" i="71"/>
  <c r="BV31" i="71"/>
  <c r="K13" i="9"/>
  <c r="N13" i="9"/>
  <c r="AA14" i="72"/>
  <c r="AC14" i="72"/>
  <c r="AC17" i="72" s="1"/>
  <c r="P47" i="59"/>
  <c r="P38" i="59"/>
  <c r="P39" i="59" s="1"/>
  <c r="U54" i="5"/>
  <c r="AA54" i="5" s="1"/>
  <c r="AA50" i="5" s="1"/>
  <c r="U53" i="5"/>
  <c r="AA53" i="5" s="1"/>
  <c r="AA49" i="5" s="1"/>
  <c r="V46" i="5"/>
  <c r="V47" i="5" s="1"/>
  <c r="M48" i="78"/>
  <c r="P47" i="78" s="1"/>
  <c r="G46" i="78"/>
  <c r="C5" i="108" s="1"/>
  <c r="H5" i="108" s="1"/>
  <c r="AI56" i="65"/>
  <c r="AB56" i="65"/>
  <c r="AB57" i="65" s="1"/>
  <c r="AG56" i="65"/>
  <c r="AG62" i="65" s="1"/>
  <c r="Z59" i="65"/>
  <c r="E26" i="86"/>
  <c r="E30" i="86" s="1"/>
  <c r="F19" i="87" s="1"/>
  <c r="F17" i="87" s="1"/>
  <c r="C17" i="92"/>
  <c r="E35" i="86" s="1"/>
  <c r="E39" i="86" s="1"/>
  <c r="G19" i="87" s="1"/>
  <c r="G17" i="87" s="1"/>
  <c r="BC63" i="3"/>
  <c r="AE37" i="66" s="1"/>
  <c r="AE38" i="66" s="1"/>
  <c r="BE70" i="3"/>
  <c r="BM70" i="3" s="1"/>
  <c r="BM63" i="3" s="1"/>
  <c r="AO52" i="9"/>
  <c r="AX52" i="9"/>
  <c r="AX26" i="17"/>
  <c r="V26" i="17"/>
  <c r="U26" i="17"/>
  <c r="AA23" i="7" s="1"/>
  <c r="AI23" i="7" s="1"/>
  <c r="X45" i="6"/>
  <c r="X46" i="6" s="1"/>
  <c r="Q45" i="6"/>
  <c r="Q46" i="6" s="1"/>
  <c r="DM49" i="19"/>
  <c r="DR50" i="19" s="1"/>
  <c r="AF18" i="10"/>
  <c r="U46" i="95"/>
  <c r="F75" i="78"/>
  <c r="F77" i="78" s="1"/>
  <c r="AE8" i="17"/>
  <c r="CH15" i="123"/>
  <c r="EG15" i="123" s="1"/>
  <c r="GF15" i="123" s="1"/>
  <c r="J18" i="128"/>
  <c r="D69" i="81"/>
  <c r="J88" i="7"/>
  <c r="K11" i="32"/>
  <c r="D15" i="3"/>
  <c r="BL19" i="10"/>
  <c r="DU43" i="123"/>
  <c r="H71" i="7"/>
  <c r="AF19" i="61"/>
  <c r="AD8" i="71"/>
  <c r="BN124" i="8"/>
  <c r="AE8" i="71"/>
  <c r="F29" i="21"/>
  <c r="AK10" i="19"/>
  <c r="BP61" i="8"/>
  <c r="BP78" i="8" s="1"/>
  <c r="DY11" i="123"/>
  <c r="AT34" i="8"/>
  <c r="CG11" i="123"/>
  <c r="BU29" i="123"/>
  <c r="G64" i="123"/>
  <c r="G26" i="123"/>
  <c r="AA22" i="125"/>
  <c r="K37" i="128"/>
  <c r="H7" i="129"/>
  <c r="R63" i="96"/>
  <c r="AG52" i="123"/>
  <c r="CF52" i="123" s="1"/>
  <c r="EE52" i="123" s="1"/>
  <c r="GD52" i="123" s="1"/>
  <c r="R48" i="96"/>
  <c r="AM15" i="123"/>
  <c r="DP17" i="7"/>
  <c r="AG13" i="135"/>
  <c r="AG7" i="135" s="1"/>
  <c r="AG15" i="135" s="1"/>
  <c r="AA26" i="125"/>
  <c r="BD52" i="5"/>
  <c r="S20" i="82"/>
  <c r="S21" i="82" s="1"/>
  <c r="BG33" i="11"/>
  <c r="AL52" i="95"/>
  <c r="AE43" i="98"/>
  <c r="S25" i="9"/>
  <c r="AP25" i="9" s="1"/>
  <c r="AD27" i="125"/>
  <c r="Q49" i="125"/>
  <c r="AC17" i="5"/>
  <c r="J70" i="32"/>
  <c r="W36" i="19"/>
  <c r="W13" i="19"/>
  <c r="W25" i="19"/>
  <c r="W45" i="19"/>
  <c r="W20" i="19"/>
  <c r="P27" i="7"/>
  <c r="M27" i="7"/>
  <c r="D39" i="128"/>
  <c r="BF42" i="11"/>
  <c r="BG42" i="11" s="1"/>
  <c r="C61" i="124"/>
  <c r="BL64" i="123"/>
  <c r="BU64" i="123" s="1"/>
  <c r="S92" i="56"/>
  <c r="I93" i="56"/>
  <c r="N93" i="56" s="1"/>
  <c r="AK41" i="3"/>
  <c r="AK39" i="3" s="1"/>
  <c r="K31" i="32" s="1"/>
  <c r="AK48" i="3"/>
  <c r="I101" i="56"/>
  <c r="I103" i="56" s="1"/>
  <c r="N103" i="56" s="1"/>
  <c r="N102" i="56" s="1"/>
  <c r="N91" i="56"/>
  <c r="N101" i="56" s="1"/>
  <c r="AA14" i="9"/>
  <c r="AC14" i="9"/>
  <c r="AC17" i="9" s="1"/>
  <c r="DR100" i="8"/>
  <c r="DR31" i="8"/>
  <c r="DR27" i="8" s="1"/>
  <c r="I18" i="61"/>
  <c r="N18" i="61" s="1"/>
  <c r="B7" i="102"/>
  <c r="AF53" i="6"/>
  <c r="AF52" i="6"/>
  <c r="AU15" i="7"/>
  <c r="AU8" i="7" s="1"/>
  <c r="AV13" i="7"/>
  <c r="AV15" i="7" s="1"/>
  <c r="DF12" i="136"/>
  <c r="DF7" i="136"/>
  <c r="DF14" i="136"/>
  <c r="DF16" i="136" s="1"/>
  <c r="P7" i="135"/>
  <c r="I15" i="135"/>
  <c r="P15" i="135" s="1"/>
  <c r="M7" i="135"/>
  <c r="M15" i="135" s="1"/>
  <c r="DO46" i="8"/>
  <c r="BE46" i="11"/>
  <c r="BD42" i="11" s="1"/>
  <c r="BD60" i="9"/>
  <c r="BC52" i="9" s="1"/>
  <c r="BD52" i="9" s="1"/>
  <c r="AZ75" i="8"/>
  <c r="BB75" i="8" s="1"/>
  <c r="H8" i="90"/>
  <c r="F9" i="90"/>
  <c r="H9" i="90" s="1"/>
  <c r="T30" i="71"/>
  <c r="AX30" i="71" s="1"/>
  <c r="AN15" i="71"/>
  <c r="CQ166" i="7"/>
  <c r="CQ170" i="7" s="1"/>
  <c r="AC57" i="19"/>
  <c r="AC56" i="19"/>
  <c r="AC58" i="59"/>
  <c r="AE58" i="59" s="1"/>
  <c r="AV40" i="17"/>
  <c r="BH40" i="17" s="1"/>
  <c r="BH31" i="17"/>
  <c r="AM37" i="71"/>
  <c r="AO29" i="71"/>
  <c r="AP36" i="7"/>
  <c r="AB36" i="7"/>
  <c r="AI36" i="7"/>
  <c r="I45" i="6"/>
  <c r="O25" i="6"/>
  <c r="B74" i="56"/>
  <c r="C73" i="56"/>
  <c r="C72" i="56" s="1"/>
  <c r="W53" i="96"/>
  <c r="W58" i="96"/>
  <c r="K28" i="128"/>
  <c r="M28" i="128" s="1"/>
  <c r="J19" i="128"/>
  <c r="CH13" i="123"/>
  <c r="EG13" i="123" s="1"/>
  <c r="GF13" i="123" s="1"/>
  <c r="CH59" i="123"/>
  <c r="EG59" i="123" s="1"/>
  <c r="GF59" i="123" s="1"/>
  <c r="CF46" i="123"/>
  <c r="EE46" i="123" s="1"/>
  <c r="GD46" i="123" s="1"/>
  <c r="I71" i="7"/>
  <c r="X71" i="7"/>
  <c r="X88" i="7" s="1"/>
  <c r="AG37" i="19"/>
  <c r="DR103" i="8"/>
  <c r="AG52" i="95"/>
  <c r="I17" i="128"/>
  <c r="BV29" i="123"/>
  <c r="CH39" i="123"/>
  <c r="EG39" i="123" s="1"/>
  <c r="GF39" i="123" s="1"/>
  <c r="AL13" i="65"/>
  <c r="AG32" i="19"/>
  <c r="AB17" i="8"/>
  <c r="AB61" i="8" s="1"/>
  <c r="AB84" i="8" s="1"/>
  <c r="AB85" i="8" s="1"/>
  <c r="CN7" i="136"/>
  <c r="AN19" i="19"/>
  <c r="AX50" i="9"/>
  <c r="AZ50" i="9" s="1"/>
  <c r="AZ51" i="9" s="1"/>
  <c r="F81" i="81"/>
  <c r="BA19" i="10"/>
  <c r="AG31" i="19"/>
  <c r="AY87" i="6"/>
  <c r="AZ87" i="6" s="1"/>
  <c r="BE87" i="6" s="1"/>
  <c r="BV30" i="123"/>
  <c r="AI68" i="32"/>
  <c r="AK68" i="32" s="1"/>
  <c r="AK67" i="32"/>
  <c r="AA47" i="5"/>
  <c r="BG150" i="7"/>
  <c r="AJ83" i="8"/>
  <c r="AF83" i="8"/>
  <c r="O11" i="70"/>
  <c r="O12" i="70" s="1"/>
  <c r="BQ124" i="8"/>
  <c r="AM28" i="8"/>
  <c r="AK99" i="8"/>
  <c r="AB120" i="8"/>
  <c r="AC75" i="8"/>
  <c r="AC26" i="8" s="1"/>
  <c r="AD26" i="8" s="1"/>
  <c r="B38" i="56"/>
  <c r="G28" i="56"/>
  <c r="G38" i="56" s="1"/>
  <c r="N17" i="72"/>
  <c r="AM83" i="8"/>
  <c r="AN83" i="8" s="1"/>
  <c r="AN128" i="8" s="1"/>
  <c r="AX65" i="32"/>
  <c r="AZ65" i="32" s="1"/>
  <c r="AX61" i="32"/>
  <c r="AX70" i="32" s="1"/>
  <c r="BG25" i="7"/>
  <c r="BI25" i="7" s="1"/>
  <c r="BO24" i="7" s="1"/>
  <c r="AR54" i="6"/>
  <c r="AR52" i="6"/>
  <c r="AR53" i="6"/>
  <c r="CL8" i="136"/>
  <c r="CK8" i="136" s="1"/>
  <c r="CL35" i="8"/>
  <c r="CK35" i="8" s="1"/>
  <c r="CK97" i="8" s="1"/>
  <c r="BJ119" i="8"/>
  <c r="BJ121" i="8" s="1"/>
  <c r="U13" i="98"/>
  <c r="Z13" i="98"/>
  <c r="M11" i="82"/>
  <c r="P11" i="82" s="1"/>
  <c r="P7" i="82"/>
  <c r="L29" i="125"/>
  <c r="N38" i="59"/>
  <c r="N44" i="59"/>
  <c r="N17" i="9"/>
  <c r="K17" i="9"/>
  <c r="CQ40" i="8"/>
  <c r="CQ34" i="8"/>
  <c r="CQ100" i="8"/>
  <c r="AI28" i="8"/>
  <c r="AW28" i="8" s="1"/>
  <c r="AC63" i="3"/>
  <c r="F45" i="65"/>
  <c r="I45" i="65" s="1"/>
  <c r="B111" i="56"/>
  <c r="AG56" i="19"/>
  <c r="AD20" i="19" s="1"/>
  <c r="AE60" i="19"/>
  <c r="AO69" i="32"/>
  <c r="AQ69" i="32" s="1"/>
  <c r="AQ63" i="32"/>
  <c r="M14" i="82"/>
  <c r="P14" i="82" s="1"/>
  <c r="O14" i="82"/>
  <c r="C25" i="63"/>
  <c r="D25" i="63" s="1"/>
  <c r="O58" i="126"/>
  <c r="AN67" i="123"/>
  <c r="BL34" i="17"/>
  <c r="BC34" i="17"/>
  <c r="Y36" i="71"/>
  <c r="AA24" i="71"/>
  <c r="EF44" i="123"/>
  <c r="GE44" i="123" s="1"/>
  <c r="BM119" i="8"/>
  <c r="BM121" i="8" s="1"/>
  <c r="AZ103" i="6"/>
  <c r="BA103" i="6" s="1"/>
  <c r="BG103" i="6" s="1"/>
  <c r="DR38" i="123"/>
  <c r="AD14" i="17"/>
  <c r="BS25" i="123"/>
  <c r="B60" i="19"/>
  <c r="AB119" i="8"/>
  <c r="AB126" i="8" s="1"/>
  <c r="CE66" i="123"/>
  <c r="ED66" i="123" s="1"/>
  <c r="GC66" i="123" s="1"/>
  <c r="AS53" i="6"/>
  <c r="AT53" i="6" s="1"/>
  <c r="AU53" i="6" s="1"/>
  <c r="M14" i="59"/>
  <c r="O8" i="8"/>
  <c r="DI42" i="8"/>
  <c r="DI104" i="8" s="1"/>
  <c r="D17" i="134"/>
  <c r="DS17" i="7"/>
  <c r="BJ67" i="32"/>
  <c r="BJ68" i="32" s="1"/>
  <c r="BL68" i="32" s="1"/>
  <c r="J8" i="68"/>
  <c r="J12" i="68" s="1"/>
  <c r="FQ46" i="123"/>
  <c r="AK52" i="95"/>
  <c r="J46" i="85"/>
  <c r="G68" i="134"/>
  <c r="AF54" i="123"/>
  <c r="E40" i="128"/>
  <c r="J40" i="128" s="1"/>
  <c r="O40" i="128" s="1"/>
  <c r="AQ43" i="98"/>
  <c r="DP27" i="7"/>
  <c r="B16" i="82"/>
  <c r="E16" i="82" s="1"/>
  <c r="I16" i="82" s="1"/>
  <c r="AK93" i="7"/>
  <c r="AK94" i="7" s="1"/>
  <c r="U55" i="5"/>
  <c r="AA55" i="5" s="1"/>
  <c r="AA51" i="5" s="1"/>
  <c r="BS46" i="123"/>
  <c r="CE46" i="123" s="1"/>
  <c r="ED46" i="123" s="1"/>
  <c r="DS144" i="7"/>
  <c r="DI47" i="8"/>
  <c r="DI105" i="8" s="1"/>
  <c r="O28" i="125"/>
  <c r="BP73" i="123"/>
  <c r="AO43" i="98"/>
  <c r="AF36" i="64"/>
  <c r="Y36" i="64"/>
  <c r="BC31" i="61"/>
  <c r="C9" i="118"/>
  <c r="C10" i="118" s="1"/>
  <c r="D10" i="118" s="1"/>
  <c r="Z42" i="95"/>
  <c r="CH51" i="123"/>
  <c r="EG51" i="123" s="1"/>
  <c r="GF51" i="123" s="1"/>
  <c r="CH60" i="123"/>
  <c r="EG60" i="123" s="1"/>
  <c r="GF60" i="123" s="1"/>
  <c r="BA31" i="61"/>
  <c r="AX19" i="10"/>
  <c r="FX11" i="123"/>
  <c r="K24" i="32"/>
  <c r="M24" i="32" s="1"/>
  <c r="BD61" i="8"/>
  <c r="BD78" i="8" s="1"/>
  <c r="GG28" i="123"/>
  <c r="CH37" i="123"/>
  <c r="EG37" i="123" s="1"/>
  <c r="GF37" i="123" s="1"/>
  <c r="BD119" i="8"/>
  <c r="BD121" i="8" s="1"/>
  <c r="AK63" i="32"/>
  <c r="V11" i="66"/>
  <c r="V36" i="66" s="1"/>
  <c r="V24" i="66"/>
  <c r="T72" i="123"/>
  <c r="CI59" i="7"/>
  <c r="CI154" i="7" s="1"/>
  <c r="AX167" i="7"/>
  <c r="AX171" i="7" s="1"/>
  <c r="AW87" i="7"/>
  <c r="AW167" i="7" s="1"/>
  <c r="BU75" i="8"/>
  <c r="X37" i="66"/>
  <c r="S12" i="98"/>
  <c r="O39" i="66"/>
  <c r="BF80" i="8"/>
  <c r="BF81" i="8"/>
  <c r="BF78" i="8"/>
  <c r="BK87" i="6"/>
  <c r="AU19" i="10"/>
  <c r="BJ61" i="8"/>
  <c r="BA20" i="8"/>
  <c r="X19" i="65"/>
  <c r="R19" i="64"/>
  <c r="AN63" i="32"/>
  <c r="AN70" i="32" s="1"/>
  <c r="AL61" i="32"/>
  <c r="AL70" i="32" s="1"/>
  <c r="CH55" i="123"/>
  <c r="EG55" i="123" s="1"/>
  <c r="GF55" i="123" s="1"/>
  <c r="AM46" i="6"/>
  <c r="BG41" i="3"/>
  <c r="BG39" i="3" s="1"/>
  <c r="K51" i="5"/>
  <c r="K14" i="135" s="1"/>
  <c r="K7" i="135" s="1"/>
  <c r="K15" i="135" s="1"/>
  <c r="CN14" i="136"/>
  <c r="CN16" i="136" s="1"/>
  <c r="AI36" i="64"/>
  <c r="AU36" i="7"/>
  <c r="AV36" i="7" s="1"/>
  <c r="AU39" i="7"/>
  <c r="AV39" i="7" s="1"/>
  <c r="BH29" i="71"/>
  <c r="BF37" i="71"/>
  <c r="BH37" i="71" s="1"/>
  <c r="G38" i="97"/>
  <c r="G40" i="97" s="1"/>
  <c r="G43" i="97" s="1"/>
  <c r="F40" i="97"/>
  <c r="F43" i="97" s="1"/>
  <c r="BD175" i="7"/>
  <c r="J27" i="98"/>
  <c r="J9" i="98"/>
  <c r="K121" i="56"/>
  <c r="P111" i="56"/>
  <c r="P121" i="56" s="1"/>
  <c r="V33" i="71"/>
  <c r="U33" i="71"/>
  <c r="AT33" i="71"/>
  <c r="U32" i="71"/>
  <c r="BC32" i="71"/>
  <c r="V32" i="71"/>
  <c r="AX32" i="71"/>
  <c r="EI30" i="123"/>
  <c r="AK91" i="7"/>
  <c r="AK90" i="7"/>
  <c r="C10" i="116"/>
  <c r="D10" i="116" s="1"/>
  <c r="D9" i="116"/>
  <c r="D8" i="73"/>
  <c r="C9" i="73"/>
  <c r="D9" i="73" s="1"/>
  <c r="D58" i="56"/>
  <c r="D60" i="56" s="1"/>
  <c r="I48" i="56"/>
  <c r="N48" i="56" s="1"/>
  <c r="N58" i="56" s="1"/>
  <c r="AA57" i="19"/>
  <c r="AA59" i="19"/>
  <c r="AA56" i="19"/>
  <c r="BO19" i="10"/>
  <c r="CR61" i="8"/>
  <c r="CQ184" i="7"/>
  <c r="AK12" i="64" s="1"/>
  <c r="AX35" i="17"/>
  <c r="F47" i="68"/>
  <c r="F48" i="68"/>
  <c r="F46" i="68"/>
  <c r="FN16" i="123"/>
  <c r="Q12" i="61"/>
  <c r="Q32" i="61" s="1"/>
  <c r="AU73" i="9"/>
  <c r="AG17" i="19"/>
  <c r="CS119" i="8"/>
  <c r="CS121" i="8" s="1"/>
  <c r="CN71" i="7"/>
  <c r="DF166" i="7"/>
  <c r="DF170" i="7" s="1"/>
  <c r="DF173" i="7" s="1"/>
  <c r="DF176" i="7" s="1"/>
  <c r="DF177" i="7" s="1"/>
  <c r="B10" i="88"/>
  <c r="CN38" i="17"/>
  <c r="AA31" i="17"/>
  <c r="AP25" i="72"/>
  <c r="CQ46" i="8"/>
  <c r="CQ42" i="8" s="1"/>
  <c r="CQ104" i="8" s="1"/>
  <c r="C20" i="75"/>
  <c r="C21" i="75" s="1"/>
  <c r="C23" i="75" s="1"/>
  <c r="C24" i="75" s="1"/>
  <c r="C27" i="75" s="1"/>
  <c r="C28" i="75" s="1"/>
  <c r="C30" i="75" s="1"/>
  <c r="J11" i="21"/>
  <c r="J27" i="21"/>
  <c r="J9" i="21"/>
  <c r="J13" i="21"/>
  <c r="J12" i="21"/>
  <c r="J10" i="21"/>
  <c r="J15" i="21"/>
  <c r="J14" i="21"/>
  <c r="BJ88" i="6"/>
  <c r="FQ14" i="123"/>
  <c r="AL67" i="123"/>
  <c r="C6" i="124"/>
  <c r="BN27" i="17"/>
  <c r="BB27" i="17"/>
  <c r="BL27" i="17"/>
  <c r="O7" i="82"/>
  <c r="J54" i="96"/>
  <c r="L54" i="96"/>
  <c r="AD19" i="125"/>
  <c r="AF19" i="125"/>
  <c r="I15" i="127" s="1"/>
  <c r="B29" i="124"/>
  <c r="GF8" i="123"/>
  <c r="H18" i="119"/>
  <c r="AA29" i="71"/>
  <c r="AK20" i="8"/>
  <c r="AW20" i="8"/>
  <c r="AE44" i="3"/>
  <c r="AG45" i="3"/>
  <c r="FQ49" i="123"/>
  <c r="EG64" i="123"/>
  <c r="AE166" i="7"/>
  <c r="AE173" i="7" s="1"/>
  <c r="AJ32" i="8"/>
  <c r="J36" i="98"/>
  <c r="J40" i="98" s="1"/>
  <c r="M12" i="65" s="1"/>
  <c r="AU40" i="7"/>
  <c r="AV40" i="7" s="1"/>
  <c r="AV150" i="7" s="1"/>
  <c r="DU28" i="123"/>
  <c r="AT35" i="17"/>
  <c r="U35" i="17"/>
  <c r="BS8" i="10"/>
  <c r="DK20" i="7" s="1"/>
  <c r="DJ20" i="7" s="1"/>
  <c r="H19" i="94"/>
  <c r="J30" i="85"/>
  <c r="I31" i="85"/>
  <c r="O91" i="56"/>
  <c r="O101" i="56" s="1"/>
  <c r="AF52" i="123"/>
  <c r="DO10" i="123"/>
  <c r="V17" i="126" s="1"/>
  <c r="V18" i="10"/>
  <c r="AF46" i="5"/>
  <c r="AF48" i="5" s="1"/>
  <c r="CO7" i="135"/>
  <c r="BS44" i="123"/>
  <c r="CE44" i="123" s="1"/>
  <c r="ED44" i="123" s="1"/>
  <c r="GC44" i="123" s="1"/>
  <c r="AN14" i="123"/>
  <c r="BP10" i="123"/>
  <c r="V27" i="17"/>
  <c r="DF49" i="19"/>
  <c r="DH50" i="19" s="1"/>
  <c r="CH40" i="123"/>
  <c r="EG40" i="123" s="1"/>
  <c r="GF40" i="123" s="1"/>
  <c r="DU100" i="8"/>
  <c r="CM24" i="123"/>
  <c r="CG8" i="123"/>
  <c r="EF8" i="123" s="1"/>
  <c r="AP18" i="6"/>
  <c r="U8" i="123"/>
  <c r="AI43" i="123"/>
  <c r="EE56" i="123"/>
  <c r="GD56" i="123" s="1"/>
  <c r="F46" i="5"/>
  <c r="AN16" i="123"/>
  <c r="W37" i="64"/>
  <c r="S40" i="128"/>
  <c r="AO18" i="6"/>
  <c r="C45" i="124"/>
  <c r="CR64" i="123"/>
  <c r="DS64" i="123" s="1"/>
  <c r="CR26" i="123"/>
  <c r="L17" i="128"/>
  <c r="AF52" i="95"/>
  <c r="P8" i="56"/>
  <c r="P18" i="56" s="1"/>
  <c r="DK167" i="7"/>
  <c r="DK72" i="7" s="1"/>
  <c r="BY45" i="3"/>
  <c r="BY44" i="3" s="1"/>
  <c r="AO33" i="95" s="1"/>
  <c r="BL45" i="61"/>
  <c r="BE52" i="5"/>
  <c r="BE55" i="5"/>
  <c r="CO8" i="7"/>
  <c r="CO146" i="7"/>
  <c r="BW28" i="71"/>
  <c r="BR28" i="17"/>
  <c r="BS28" i="17" s="1"/>
  <c r="BX28" i="71"/>
  <c r="BY24" i="17"/>
  <c r="BY39" i="17" s="1"/>
  <c r="BY38" i="17"/>
  <c r="Y75" i="8"/>
  <c r="AJ75" i="8" s="1"/>
  <c r="O63" i="3"/>
  <c r="S14" i="125"/>
  <c r="M13" i="102"/>
  <c r="D56" i="102"/>
  <c r="BR25" i="71"/>
  <c r="BS25" i="71"/>
  <c r="BH45" i="3"/>
  <c r="BH44" i="3" s="1"/>
  <c r="BH48" i="3" s="1"/>
  <c r="CM167" i="7"/>
  <c r="CL167" i="7" s="1"/>
  <c r="CL72" i="7" s="1"/>
  <c r="BA45" i="61"/>
  <c r="I10" i="3"/>
  <c r="I28" i="3" s="1"/>
  <c r="I15" i="3"/>
  <c r="R22" i="125"/>
  <c r="M49" i="125"/>
  <c r="FQ45" i="123"/>
  <c r="DP21" i="123"/>
  <c r="DP27" i="123" s="1"/>
  <c r="DP15" i="7"/>
  <c r="DP8" i="7" s="1"/>
  <c r="DP149" i="7"/>
  <c r="BR65" i="32"/>
  <c r="BR72" i="32" s="1"/>
  <c r="BP61" i="32"/>
  <c r="BP70" i="32" s="1"/>
  <c r="I30" i="89"/>
  <c r="I28" i="89" s="1"/>
  <c r="AW71" i="7"/>
  <c r="AW90" i="7" s="1"/>
  <c r="BK55" i="5"/>
  <c r="BL55" i="5" s="1"/>
  <c r="BL51" i="5" s="1"/>
  <c r="BK52" i="5"/>
  <c r="BL52" i="5" s="1"/>
  <c r="BL48" i="5" s="1"/>
  <c r="BK53" i="5"/>
  <c r="BL53" i="5" s="1"/>
  <c r="BL49" i="5" s="1"/>
  <c r="BI52" i="5"/>
  <c r="BI55" i="5"/>
  <c r="BI54" i="5"/>
  <c r="AD21" i="126"/>
  <c r="FN14" i="123"/>
  <c r="AB21" i="126" s="1"/>
  <c r="DL51" i="8"/>
  <c r="DL109" i="8" s="1"/>
  <c r="DM109" i="8"/>
  <c r="DM140" i="8" s="1"/>
  <c r="BE53" i="5"/>
  <c r="BT13" i="123"/>
  <c r="BA13" i="123"/>
  <c r="G70" i="32"/>
  <c r="G73" i="32"/>
  <c r="CF29" i="7"/>
  <c r="CF146" i="7" s="1"/>
  <c r="AT13" i="10"/>
  <c r="E48" i="73"/>
  <c r="E39" i="63"/>
  <c r="Z144" i="6"/>
  <c r="Z153" i="6"/>
  <c r="Z160" i="6"/>
  <c r="Z155" i="6"/>
  <c r="Z143" i="6"/>
  <c r="Z148" i="6"/>
  <c r="Z142" i="6"/>
  <c r="Z159" i="6"/>
  <c r="Z161" i="6"/>
  <c r="Z158" i="6"/>
  <c r="Z150" i="6"/>
  <c r="Z146" i="6"/>
  <c r="Z157" i="6"/>
  <c r="O19" i="70"/>
  <c r="W19" i="70" s="1"/>
  <c r="W15" i="70"/>
  <c r="I59" i="56"/>
  <c r="S59" i="56" s="1"/>
  <c r="Y102" i="8"/>
  <c r="AF102" i="8" s="1"/>
  <c r="AF19" i="8"/>
  <c r="DS41" i="7"/>
  <c r="DS35" i="7" s="1"/>
  <c r="A4" i="91"/>
  <c r="B45" i="85" s="1"/>
  <c r="D45" i="85" s="1"/>
  <c r="C2" i="91"/>
  <c r="A2" i="91" s="1"/>
  <c r="Y39" i="17"/>
  <c r="AA24" i="17"/>
  <c r="F54" i="97"/>
  <c r="E56" i="97"/>
  <c r="P54" i="97"/>
  <c r="P56" i="97" s="1"/>
  <c r="J54" i="97"/>
  <c r="K36" i="111" s="1"/>
  <c r="M54" i="97"/>
  <c r="M56" i="97" s="1"/>
  <c r="D19" i="73"/>
  <c r="C20" i="73"/>
  <c r="D20" i="73" s="1"/>
  <c r="O22" i="126"/>
  <c r="CD15" i="123"/>
  <c r="U22" i="126" s="1"/>
  <c r="DA149" i="7"/>
  <c r="DA41" i="7"/>
  <c r="BF36" i="71"/>
  <c r="BH36" i="71" s="1"/>
  <c r="BH24" i="71"/>
  <c r="DC15" i="8"/>
  <c r="DC8" i="8" s="1"/>
  <c r="DC100" i="8"/>
  <c r="AF62" i="32"/>
  <c r="AH62" i="32" s="1"/>
  <c r="T62" i="32"/>
  <c r="S62" i="32"/>
  <c r="AJ11" i="19"/>
  <c r="AJ49" i="19" s="1"/>
  <c r="AK12" i="19"/>
  <c r="AL12" i="19"/>
  <c r="AN12" i="19" s="1"/>
  <c r="BP25" i="7"/>
  <c r="BY25" i="7" s="1"/>
  <c r="BZ25" i="7" s="1"/>
  <c r="BP150" i="7"/>
  <c r="AN9" i="19"/>
  <c r="AZ67" i="32"/>
  <c r="AX68" i="32"/>
  <c r="AZ68" i="32" s="1"/>
  <c r="DW65" i="123"/>
  <c r="F31" i="21"/>
  <c r="EP13" i="123"/>
  <c r="FR13" i="123"/>
  <c r="FQ13" i="123" s="1"/>
  <c r="F26" i="21"/>
  <c r="V78" i="8"/>
  <c r="V81" i="8"/>
  <c r="AT11" i="6"/>
  <c r="AT9" i="6" s="1"/>
  <c r="AT12" i="6" s="1"/>
  <c r="AP9" i="6"/>
  <c r="R21" i="126"/>
  <c r="CA14" i="123"/>
  <c r="AI52" i="6"/>
  <c r="AI53" i="6"/>
  <c r="AI46" i="6"/>
  <c r="AI51" i="6"/>
  <c r="H115" i="106"/>
  <c r="G121" i="106" s="1"/>
  <c r="C27" i="124"/>
  <c r="BA52" i="5"/>
  <c r="BB52" i="5" s="1"/>
  <c r="BC52" i="5" s="1"/>
  <c r="BA53" i="5"/>
  <c r="BB53" i="5" s="1"/>
  <c r="BC53" i="5" s="1"/>
  <c r="BA54" i="5"/>
  <c r="BB54" i="5" s="1"/>
  <c r="BC54" i="5" s="1"/>
  <c r="CY184" i="7"/>
  <c r="BG13" i="61"/>
  <c r="V19" i="125"/>
  <c r="F14" i="127" s="1"/>
  <c r="U28" i="125"/>
  <c r="S29" i="125"/>
  <c r="BE54" i="5"/>
  <c r="AX50" i="72"/>
  <c r="BE50" i="72" s="1"/>
  <c r="AO50" i="72"/>
  <c r="AE14" i="71"/>
  <c r="AD14" i="71"/>
  <c r="F12" i="68"/>
  <c r="F10" i="68"/>
  <c r="F9" i="68"/>
  <c r="DO154" i="7"/>
  <c r="DO44" i="8"/>
  <c r="I66" i="61"/>
  <c r="N63" i="61"/>
  <c r="N64" i="61" s="1"/>
  <c r="N66" i="61" s="1"/>
  <c r="AI92" i="7"/>
  <c r="AM92" i="7"/>
  <c r="BD50" i="19"/>
  <c r="BS48" i="19" s="1"/>
  <c r="L46" i="11"/>
  <c r="AN12" i="123"/>
  <c r="AC12" i="123"/>
  <c r="M19" i="126" s="1"/>
  <c r="BD51" i="6"/>
  <c r="BD54" i="6"/>
  <c r="EF24" i="123"/>
  <c r="BR25" i="17"/>
  <c r="BT25" i="17" s="1"/>
  <c r="BW25" i="71"/>
  <c r="BX25" i="71"/>
  <c r="AH33" i="98"/>
  <c r="AI33" i="98"/>
  <c r="AM33" i="98" s="1"/>
  <c r="AM37" i="98" s="1"/>
  <c r="DN18" i="8" s="1"/>
  <c r="DN65" i="8" s="1"/>
  <c r="CL149" i="7"/>
  <c r="CL33" i="7"/>
  <c r="CL27" i="7" s="1"/>
  <c r="DD13" i="135"/>
  <c r="DD7" i="135" s="1"/>
  <c r="DD15" i="135"/>
  <c r="DD17" i="135" s="1"/>
  <c r="DM33" i="7"/>
  <c r="DM27" i="7" s="1"/>
  <c r="CN31" i="8"/>
  <c r="CN100" i="8"/>
  <c r="DR50" i="123"/>
  <c r="N39" i="128"/>
  <c r="CH53" i="123"/>
  <c r="EG53" i="123" s="1"/>
  <c r="GF53" i="123" s="1"/>
  <c r="DL42" i="8"/>
  <c r="DL104" i="8" s="1"/>
  <c r="FT25" i="123"/>
  <c r="W71" i="7"/>
  <c r="W88" i="7" s="1"/>
  <c r="AW166" i="7"/>
  <c r="AW173" i="7" s="1"/>
  <c r="AG26" i="19"/>
  <c r="CI27" i="7"/>
  <c r="DC46" i="8"/>
  <c r="DC42" i="8" s="1"/>
  <c r="DC104" i="8" s="1"/>
  <c r="DE42" i="8"/>
  <c r="DE104" i="8" s="1"/>
  <c r="DE119" i="8" s="1"/>
  <c r="BR123" i="8"/>
  <c r="BR121" i="8"/>
  <c r="BB32" i="8"/>
  <c r="BA32" i="8"/>
  <c r="G5" i="80"/>
  <c r="G10" i="80" s="1"/>
  <c r="G15" i="80" s="1"/>
  <c r="F5" i="80"/>
  <c r="AS120" i="8"/>
  <c r="AT75" i="8"/>
  <c r="AT19" i="8" s="1"/>
  <c r="AU19" i="8" s="1"/>
  <c r="FY14" i="123"/>
  <c r="FW14" i="123" s="1"/>
  <c r="AF16" i="123"/>
  <c r="BV42" i="123"/>
  <c r="BS55" i="123"/>
  <c r="CE55" i="123" s="1"/>
  <c r="ED55" i="123" s="1"/>
  <c r="AF49" i="123"/>
  <c r="AL75" i="123"/>
  <c r="FS64" i="123"/>
  <c r="GM10" i="123"/>
  <c r="G29" i="128"/>
  <c r="G37" i="128" s="1"/>
  <c r="CH14" i="123"/>
  <c r="EG14" i="123" s="1"/>
  <c r="GF14" i="123" s="1"/>
  <c r="GG64" i="123"/>
  <c r="EK49" i="19"/>
  <c r="EO50" i="19" s="1"/>
  <c r="DP152" i="7"/>
  <c r="AV45" i="65"/>
  <c r="D85" i="68"/>
  <c r="AG43" i="98"/>
  <c r="G47" i="65"/>
  <c r="G49" i="65" s="1"/>
  <c r="AE17" i="7"/>
  <c r="AE71" i="7" s="1"/>
  <c r="AE90" i="7" s="1"/>
  <c r="AX173" i="7"/>
  <c r="DD59" i="7"/>
  <c r="DD154" i="7" s="1"/>
  <c r="CX7" i="135"/>
  <c r="CX15" i="135" s="1"/>
  <c r="CX17" i="135" s="1"/>
  <c r="R39" i="128"/>
  <c r="BV38" i="17"/>
  <c r="AS52" i="6"/>
  <c r="AT52" i="6" s="1"/>
  <c r="AU52" i="6" s="1"/>
  <c r="AJ11" i="95"/>
  <c r="AC11" i="5"/>
  <c r="DI25" i="8"/>
  <c r="DI100" i="8"/>
  <c r="R9" i="98"/>
  <c r="R24" i="98" s="1"/>
  <c r="Q24" i="98"/>
  <c r="AL10" i="19"/>
  <c r="AK14" i="64"/>
  <c r="DR58" i="123"/>
  <c r="BS51" i="123"/>
  <c r="AF45" i="123"/>
  <c r="DR29" i="123"/>
  <c r="BP21" i="123"/>
  <c r="BY21" i="123" s="1"/>
  <c r="AX45" i="65"/>
  <c r="AU18" i="6"/>
  <c r="AU67" i="9"/>
  <c r="Y71" i="7"/>
  <c r="Y88" i="7" s="1"/>
  <c r="CN42" i="8"/>
  <c r="CN104" i="8" s="1"/>
  <c r="CF41" i="123"/>
  <c r="EE41" i="123" s="1"/>
  <c r="GD41" i="123" s="1"/>
  <c r="AO13" i="10"/>
  <c r="BC31" i="71"/>
  <c r="AJ43" i="98"/>
  <c r="CI49" i="19"/>
  <c r="CN50" i="19" s="1"/>
  <c r="AM51" i="6"/>
  <c r="AE19" i="10"/>
  <c r="F45" i="6"/>
  <c r="DR25" i="123"/>
  <c r="CH38" i="123"/>
  <c r="EG38" i="123" s="1"/>
  <c r="GF38" i="123" s="1"/>
  <c r="CL146" i="7"/>
  <c r="AC14" i="123"/>
  <c r="M21" i="126" s="1"/>
  <c r="CN40" i="8"/>
  <c r="CN34" i="8"/>
  <c r="D40" i="56"/>
  <c r="I39" i="56"/>
  <c r="M37" i="123"/>
  <c r="V37" i="123" s="1"/>
  <c r="Z31" i="7"/>
  <c r="Q32" i="7"/>
  <c r="AM105" i="8"/>
  <c r="AN47" i="8"/>
  <c r="AN105" i="8" s="1"/>
  <c r="EG24" i="123"/>
  <c r="GF24" i="123" s="1"/>
  <c r="AL28" i="7"/>
  <c r="DE191" i="7"/>
  <c r="BI31" i="61"/>
  <c r="AF43" i="98"/>
  <c r="AC47" i="59"/>
  <c r="AC39" i="59"/>
  <c r="AC38" i="59" s="1"/>
  <c r="DX34" i="8"/>
  <c r="G16" i="81"/>
  <c r="F11" i="81" s="1"/>
  <c r="I11" i="81" s="1"/>
  <c r="J11" i="81" s="1"/>
  <c r="AM53" i="6"/>
  <c r="D104" i="56"/>
  <c r="S20" i="61"/>
  <c r="AE44" i="59"/>
  <c r="CH36" i="123"/>
  <c r="EG36" i="123" s="1"/>
  <c r="GF36" i="123" s="1"/>
  <c r="DU25" i="123"/>
  <c r="DU26" i="123" s="1"/>
  <c r="AK43" i="98"/>
  <c r="BV28" i="123"/>
  <c r="CH22" i="123"/>
  <c r="EG22" i="123" s="1"/>
  <c r="GF22" i="123" s="1"/>
  <c r="D17" i="128"/>
  <c r="EI29" i="123"/>
  <c r="B14" i="124"/>
  <c r="BE51" i="6"/>
  <c r="BS9" i="10"/>
  <c r="DK29" i="7" s="1"/>
  <c r="DJ29" i="7" s="1"/>
  <c r="BI19" i="10"/>
  <c r="BA63" i="72"/>
  <c r="AW58" i="9"/>
  <c r="AW59" i="9" s="1"/>
  <c r="AM54" i="6"/>
  <c r="D50" i="68"/>
  <c r="H18" i="94"/>
  <c r="C75" i="78"/>
  <c r="E88" i="7"/>
  <c r="CN166" i="7"/>
  <c r="CN170" i="7" s="1"/>
  <c r="CN184" i="7"/>
  <c r="AJ12" i="64" s="1"/>
  <c r="B32" i="124"/>
  <c r="CQ28" i="123"/>
  <c r="CQ27" i="123"/>
  <c r="CX42" i="8"/>
  <c r="CX104" i="8" s="1"/>
  <c r="AF37" i="123"/>
  <c r="CE37" i="123" s="1"/>
  <c r="ED37" i="123" s="1"/>
  <c r="AD88" i="6"/>
  <c r="AZ88" i="6" s="1"/>
  <c r="CI144" i="7"/>
  <c r="CI8" i="7"/>
  <c r="AA23" i="102"/>
  <c r="AF14" i="123"/>
  <c r="Z179" i="6"/>
  <c r="M49" i="19"/>
  <c r="N42" i="128"/>
  <c r="DE137" i="8"/>
  <c r="AP13" i="66" s="1"/>
  <c r="AF13" i="135"/>
  <c r="AF7" i="135" s="1"/>
  <c r="AF15" i="135" s="1"/>
  <c r="D20" i="116"/>
  <c r="DJ141" i="8"/>
  <c r="AT15" i="65"/>
  <c r="CJ191" i="7"/>
  <c r="AZ31" i="61"/>
  <c r="J42" i="128"/>
  <c r="AA19" i="10"/>
  <c r="CW19" i="8"/>
  <c r="CW102" i="8" s="1"/>
  <c r="AU26" i="123"/>
  <c r="BV25" i="123"/>
  <c r="AT14" i="65"/>
  <c r="DJ140" i="8"/>
  <c r="B30" i="124"/>
  <c r="AN9" i="17"/>
  <c r="AO9" i="17"/>
  <c r="P25" i="17"/>
  <c r="AP9" i="17"/>
  <c r="Q13" i="7" s="1"/>
  <c r="T25" i="17"/>
  <c r="CG59" i="123"/>
  <c r="EF59" i="123" s="1"/>
  <c r="GE59" i="123" s="1"/>
  <c r="N18" i="128"/>
  <c r="CT44" i="8"/>
  <c r="CT42" i="8" s="1"/>
  <c r="CT104" i="8" s="1"/>
  <c r="CV42" i="8"/>
  <c r="CV104" i="8" s="1"/>
  <c r="AJ54" i="5"/>
  <c r="AJ53" i="5"/>
  <c r="AJ55" i="5"/>
  <c r="AJ47" i="5"/>
  <c r="AJ52" i="5"/>
  <c r="CG187" i="7"/>
  <c r="AX16" i="61"/>
  <c r="BH38" i="17"/>
  <c r="O19" i="126"/>
  <c r="CD12" i="123"/>
  <c r="CB12" i="123" s="1"/>
  <c r="S19" i="126" s="1"/>
  <c r="DD50" i="7"/>
  <c r="DD43" i="7"/>
  <c r="DD149" i="7"/>
  <c r="EG23" i="123"/>
  <c r="EG29" i="123" s="1"/>
  <c r="CH29" i="123"/>
  <c r="AI25" i="123"/>
  <c r="H26" i="123"/>
  <c r="CN72" i="7"/>
  <c r="BW142" i="8"/>
  <c r="AG16" i="65"/>
  <c r="B104" i="116"/>
  <c r="C96" i="116"/>
  <c r="B40" i="85"/>
  <c r="D28" i="85"/>
  <c r="D40" i="85" s="1"/>
  <c r="D30" i="116"/>
  <c r="AM14" i="123"/>
  <c r="DR51" i="123"/>
  <c r="BS45" i="123"/>
  <c r="O44" i="126"/>
  <c r="GM14" i="123"/>
  <c r="CF15" i="123"/>
  <c r="EE15" i="123" s="1"/>
  <c r="D29" i="128"/>
  <c r="C29" i="128"/>
  <c r="P37" i="71"/>
  <c r="DJ61" i="8"/>
  <c r="D51" i="68"/>
  <c r="CN51" i="72"/>
  <c r="O28" i="56"/>
  <c r="O38" i="56" s="1"/>
  <c r="CM49" i="122"/>
  <c r="FT29" i="123"/>
  <c r="BI78" i="8"/>
  <c r="BI80" i="8"/>
  <c r="BI81" i="8"/>
  <c r="D29" i="116"/>
  <c r="CF14" i="123"/>
  <c r="EE14" i="123" s="1"/>
  <c r="BS60" i="123"/>
  <c r="BS49" i="123"/>
  <c r="AI48" i="123"/>
  <c r="FQ37" i="123"/>
  <c r="BE54" i="6"/>
  <c r="CF39" i="123"/>
  <c r="EE39" i="123" s="1"/>
  <c r="CX27" i="7"/>
  <c r="BT19" i="10"/>
  <c r="BW25" i="8"/>
  <c r="BX25" i="8"/>
  <c r="U11" i="66"/>
  <c r="U36" i="66" s="1"/>
  <c r="U24" i="66"/>
  <c r="BN168" i="7"/>
  <c r="BN170" i="7"/>
  <c r="CN47" i="8"/>
  <c r="CN105" i="8" s="1"/>
  <c r="CO105" i="8"/>
  <c r="CO137" i="8" s="1"/>
  <c r="AK11" i="65" s="1"/>
  <c r="BE53" i="6"/>
  <c r="DU8" i="8"/>
  <c r="EC16" i="123"/>
  <c r="AY82" i="6"/>
  <c r="BB29" i="71"/>
  <c r="BA29" i="71" s="1"/>
  <c r="BA37" i="71" s="1"/>
  <c r="EE57" i="123"/>
  <c r="GD57" i="123" s="1"/>
  <c r="M91" i="56"/>
  <c r="M101" i="56" s="1"/>
  <c r="AV152" i="7"/>
  <c r="CR105" i="8"/>
  <c r="CR137" i="8" s="1"/>
  <c r="AL11" i="65" s="1"/>
  <c r="CQ47" i="8"/>
  <c r="CQ105" i="8" s="1"/>
  <c r="BH80" i="8"/>
  <c r="BH81" i="8"/>
  <c r="BH78" i="8"/>
  <c r="DC166" i="7"/>
  <c r="DC170" i="7" s="1"/>
  <c r="DC173" i="7" s="1"/>
  <c r="DC176" i="7" s="1"/>
  <c r="DC177" i="7" s="1"/>
  <c r="DR53" i="123"/>
  <c r="Q29" i="128"/>
  <c r="Q37" i="128" s="1"/>
  <c r="L29" i="128"/>
  <c r="N29" i="128" s="1"/>
  <c r="AD25" i="6"/>
  <c r="AS19" i="10"/>
  <c r="BN29" i="71"/>
  <c r="BN37" i="71" s="1"/>
  <c r="CI146" i="7"/>
  <c r="DH187" i="7"/>
  <c r="BJ16" i="61"/>
  <c r="CF58" i="123"/>
  <c r="EE58" i="123" s="1"/>
  <c r="GD58" i="123" s="1"/>
  <c r="M30" i="65"/>
  <c r="AC19" i="10"/>
  <c r="K605" i="109" s="1"/>
  <c r="K607" i="109" s="1"/>
  <c r="AY50" i="19"/>
  <c r="AZ50" i="19"/>
  <c r="X40" i="92"/>
  <c r="X41" i="92" s="1"/>
  <c r="F10" i="92"/>
  <c r="F8" i="92" s="1"/>
  <c r="B30" i="73"/>
  <c r="D30" i="73" s="1"/>
  <c r="D29" i="73"/>
  <c r="W11" i="66"/>
  <c r="W24" i="66"/>
  <c r="B5" i="124"/>
  <c r="AF15" i="126"/>
  <c r="FF8" i="123"/>
  <c r="FZ8" i="123"/>
  <c r="AE15" i="126" s="1"/>
  <c r="CO8" i="123"/>
  <c r="L8" i="123"/>
  <c r="FT9" i="123"/>
  <c r="FK64" i="123"/>
  <c r="FT64" i="123" s="1"/>
  <c r="DH167" i="7"/>
  <c r="DG167" i="7" s="1"/>
  <c r="DG72" i="7" s="1"/>
  <c r="BW45" i="3"/>
  <c r="BW44" i="3" s="1"/>
  <c r="AN33" i="95" s="1"/>
  <c r="BC45" i="61"/>
  <c r="BD45" i="61" s="1"/>
  <c r="BL45" i="3"/>
  <c r="BL44" i="3" s="1"/>
  <c r="AI33" i="95" s="1"/>
  <c r="CS151" i="7"/>
  <c r="CR19" i="7"/>
  <c r="CR151" i="7" s="1"/>
  <c r="D47" i="61"/>
  <c r="E40" i="61" s="1"/>
  <c r="E41" i="61" s="1"/>
  <c r="BK82" i="6"/>
  <c r="R13" i="8"/>
  <c r="Q13" i="8"/>
  <c r="F12" i="21"/>
  <c r="F11" i="21"/>
  <c r="F13" i="21"/>
  <c r="F28" i="21"/>
  <c r="F15" i="21"/>
  <c r="F30" i="21"/>
  <c r="K16" i="21"/>
  <c r="L66" i="125"/>
  <c r="AY52" i="5"/>
  <c r="AY53" i="5"/>
  <c r="AY55" i="5"/>
  <c r="AY54" i="5"/>
  <c r="CP187" i="7"/>
  <c r="BB16" i="61"/>
  <c r="AG57" i="65"/>
  <c r="BQ170" i="7"/>
  <c r="BQ174" i="7"/>
  <c r="BQ168" i="7"/>
  <c r="G40" i="105"/>
  <c r="AN19" i="10"/>
  <c r="L11" i="82"/>
  <c r="M9" i="82"/>
  <c r="P9" i="82" s="1"/>
  <c r="Q59" i="65"/>
  <c r="Q62" i="65"/>
  <c r="Q65" i="65" s="1"/>
  <c r="AY90" i="7"/>
  <c r="AY88" i="7"/>
  <c r="AA175" i="7"/>
  <c r="N11" i="70"/>
  <c r="N12" i="70" s="1"/>
  <c r="N20" i="70" s="1"/>
  <c r="AP92" i="7"/>
  <c r="AQ92" i="7" s="1"/>
  <c r="Z98" i="7"/>
  <c r="Z100" i="7" s="1"/>
  <c r="Y98" i="7"/>
  <c r="H71" i="56"/>
  <c r="C81" i="56"/>
  <c r="C82" i="56" s="1"/>
  <c r="R82" i="56" s="1"/>
  <c r="U25" i="125"/>
  <c r="G51" i="134"/>
  <c r="BZ14" i="123"/>
  <c r="AM16" i="123"/>
  <c r="CX8" i="123"/>
  <c r="EH28" i="123"/>
  <c r="W72" i="123"/>
  <c r="AF73" i="123"/>
  <c r="AF72" i="123" s="1"/>
  <c r="AT70" i="32"/>
  <c r="W10" i="104" s="1"/>
  <c r="W14" i="104" s="1"/>
  <c r="BI50" i="19"/>
  <c r="BH50" i="19" s="1"/>
  <c r="AY173" i="7"/>
  <c r="AY176" i="7" s="1"/>
  <c r="AY177" i="7" s="1"/>
  <c r="F14" i="21"/>
  <c r="CN55" i="72"/>
  <c r="CY75" i="7"/>
  <c r="CY74" i="7" s="1"/>
  <c r="CY185" i="7"/>
  <c r="DK60" i="7"/>
  <c r="AE23" i="102"/>
  <c r="CD14" i="123"/>
  <c r="CB14" i="123" s="1"/>
  <c r="S21" i="126" s="1"/>
  <c r="BP14" i="123"/>
  <c r="P21" i="126" s="1"/>
  <c r="M48" i="96"/>
  <c r="M53" i="96"/>
  <c r="F18" i="94"/>
  <c r="AF13" i="10"/>
  <c r="J121" i="56"/>
  <c r="O111" i="56"/>
  <c r="O121" i="56" s="1"/>
  <c r="F71" i="7"/>
  <c r="O9" i="82"/>
  <c r="AB8" i="135"/>
  <c r="AI8" i="135"/>
  <c r="Y26" i="125"/>
  <c r="D81" i="116"/>
  <c r="T26" i="125"/>
  <c r="CF16" i="123"/>
  <c r="EE16" i="123" s="1"/>
  <c r="AY8" i="123"/>
  <c r="M37" i="128"/>
  <c r="CH54" i="123"/>
  <c r="EG54" i="123" s="1"/>
  <c r="GF54" i="123" s="1"/>
  <c r="AC17" i="126"/>
  <c r="FX10" i="123"/>
  <c r="FN10" i="123"/>
  <c r="AB17" i="126" s="1"/>
  <c r="BF17" i="7"/>
  <c r="F9" i="21"/>
  <c r="BU73" i="32"/>
  <c r="U58" i="96"/>
  <c r="U53" i="96"/>
  <c r="H13" i="129"/>
  <c r="H15" i="129" s="1"/>
  <c r="H19" i="129" s="1"/>
  <c r="H11" i="129"/>
  <c r="CH67" i="123"/>
  <c r="EG67" i="123" s="1"/>
  <c r="GF67" i="123" s="1"/>
  <c r="BE78" i="8"/>
  <c r="BE81" i="8"/>
  <c r="BE80" i="8"/>
  <c r="S18" i="128"/>
  <c r="P17" i="128"/>
  <c r="S17" i="128" s="1"/>
  <c r="EQ64" i="123"/>
  <c r="FR64" i="123" s="1"/>
  <c r="EQ26" i="123"/>
  <c r="FR9" i="123"/>
  <c r="C48" i="124"/>
  <c r="EP9" i="123"/>
  <c r="EP64" i="123" s="1"/>
  <c r="BT9" i="123"/>
  <c r="BB26" i="123"/>
  <c r="BA9" i="123"/>
  <c r="BA64" i="123" s="1"/>
  <c r="BB64" i="123"/>
  <c r="BT64" i="123" s="1"/>
  <c r="CP144" i="8"/>
  <c r="AI23" i="66"/>
  <c r="CP119" i="8"/>
  <c r="P27" i="125"/>
  <c r="W17" i="95"/>
  <c r="V26" i="95"/>
  <c r="AY66" i="123"/>
  <c r="AO66" i="123"/>
  <c r="FK26" i="123"/>
  <c r="EH9" i="123"/>
  <c r="EH26" i="123" s="1"/>
  <c r="CI26" i="123"/>
  <c r="E40" i="65"/>
  <c r="BS14" i="10"/>
  <c r="BS15" i="10"/>
  <c r="BS16" i="10"/>
  <c r="DP32" i="8" s="1"/>
  <c r="DO32" i="8" s="1"/>
  <c r="BD53" i="5"/>
  <c r="BD54" i="5"/>
  <c r="CA45" i="3"/>
  <c r="CA44" i="3" s="1"/>
  <c r="DN167" i="7"/>
  <c r="DM167" i="7" s="1"/>
  <c r="DM72" i="7" s="1"/>
  <c r="BN45" i="61"/>
  <c r="AY14" i="64"/>
  <c r="DM157" i="7"/>
  <c r="AY13" i="65"/>
  <c r="CQ14" i="136"/>
  <c r="CQ16" i="136" s="1"/>
  <c r="CQ7" i="136"/>
  <c r="CO149" i="7"/>
  <c r="CO41" i="7"/>
  <c r="CO35" i="7" s="1"/>
  <c r="BW32" i="71"/>
  <c r="BX32" i="71"/>
  <c r="AO24" i="71"/>
  <c r="AM36" i="71"/>
  <c r="BN24" i="71"/>
  <c r="BN36" i="71" s="1"/>
  <c r="BN35" i="71"/>
  <c r="BR173" i="7"/>
  <c r="AV9" i="7"/>
  <c r="AV144" i="7" s="1"/>
  <c r="AU144" i="7"/>
  <c r="AV10" i="7"/>
  <c r="Q58" i="9"/>
  <c r="P50" i="9" s="1"/>
  <c r="T50" i="9" s="1"/>
  <c r="T19" i="7"/>
  <c r="Z19" i="7"/>
  <c r="S19" i="7"/>
  <c r="DN141" i="8"/>
  <c r="AS17" i="66"/>
  <c r="AT17" i="66" s="1"/>
  <c r="CV105" i="8"/>
  <c r="AC27" i="125"/>
  <c r="BQ199" i="7"/>
  <c r="BJ79" i="8"/>
  <c r="BP125" i="8"/>
  <c r="AJ63" i="3"/>
  <c r="BP60" i="72"/>
  <c r="B99" i="116"/>
  <c r="C91" i="116"/>
  <c r="Y23" i="95"/>
  <c r="I38" i="85"/>
  <c r="J37" i="85"/>
  <c r="C25" i="73"/>
  <c r="D25" i="73" s="1"/>
  <c r="D24" i="73"/>
  <c r="AX52" i="72"/>
  <c r="AO52" i="72"/>
  <c r="Z145" i="6"/>
  <c r="Z152" i="6"/>
  <c r="Z156" i="6"/>
  <c r="Z162" i="6"/>
  <c r="Z163" i="6"/>
  <c r="U33" i="98"/>
  <c r="Y33" i="98"/>
  <c r="C17" i="128"/>
  <c r="U16" i="82"/>
  <c r="V12" i="82"/>
  <c r="V16" i="82" s="1"/>
  <c r="AV53" i="7"/>
  <c r="AV52" i="7" s="1"/>
  <c r="AV153" i="7" s="1"/>
  <c r="AU52" i="7"/>
  <c r="AU153" i="7" s="1"/>
  <c r="C39" i="128"/>
  <c r="E39" i="128" s="1"/>
  <c r="H28" i="56"/>
  <c r="C38" i="56"/>
  <c r="W19" i="19"/>
  <c r="W27" i="19"/>
  <c r="W44" i="19"/>
  <c r="W31" i="19"/>
  <c r="W47" i="19"/>
  <c r="AD47" i="19" s="1"/>
  <c r="AF47" i="19" s="1"/>
  <c r="W28" i="19"/>
  <c r="W23" i="19"/>
  <c r="W35" i="19"/>
  <c r="W29" i="19"/>
  <c r="W34" i="19"/>
  <c r="W39" i="19"/>
  <c r="W17" i="19"/>
  <c r="W33" i="19"/>
  <c r="W10" i="19"/>
  <c r="W46" i="19"/>
  <c r="W21" i="19"/>
  <c r="W43" i="19"/>
  <c r="W8" i="19"/>
  <c r="W18" i="19"/>
  <c r="W41" i="19"/>
  <c r="W16" i="19"/>
  <c r="W30" i="19"/>
  <c r="W32" i="19"/>
  <c r="W22" i="19"/>
  <c r="W24" i="19"/>
  <c r="AI10" i="7"/>
  <c r="AP10" i="7"/>
  <c r="AB10" i="7"/>
  <c r="AS12" i="7"/>
  <c r="J10" i="100"/>
  <c r="K8" i="100"/>
  <c r="P46" i="6"/>
  <c r="W45" i="6"/>
  <c r="W46" i="6" s="1"/>
  <c r="BO34" i="17"/>
  <c r="BP34" i="17"/>
  <c r="DR48" i="123"/>
  <c r="FQ57" i="123"/>
  <c r="GM16" i="123"/>
  <c r="AF56" i="123"/>
  <c r="DN191" i="7"/>
  <c r="BR19" i="10"/>
  <c r="BN48" i="3"/>
  <c r="BE45" i="61"/>
  <c r="BF45" i="61" s="1"/>
  <c r="EE37" i="123"/>
  <c r="GD37" i="123" s="1"/>
  <c r="BC18" i="6"/>
  <c r="C30" i="91"/>
  <c r="A30" i="91" s="1"/>
  <c r="A28" i="91" s="1"/>
  <c r="AO25" i="6"/>
  <c r="F11" i="68"/>
  <c r="AH7" i="135"/>
  <c r="DR96" i="8"/>
  <c r="DK119" i="8"/>
  <c r="DK123" i="8" s="1"/>
  <c r="DK126" i="8" s="1"/>
  <c r="DK129" i="8" s="1"/>
  <c r="DK130" i="8" s="1"/>
  <c r="EG66" i="123"/>
  <c r="GF66" i="123" s="1"/>
  <c r="F27" i="21"/>
  <c r="AO18" i="10"/>
  <c r="P30" i="21"/>
  <c r="Z32" i="8"/>
  <c r="AW56" i="72"/>
  <c r="AW57" i="72" s="1"/>
  <c r="AW58" i="72"/>
  <c r="AW59" i="72" s="1"/>
  <c r="AU59" i="65"/>
  <c r="AU63" i="65"/>
  <c r="AU65" i="65" s="1"/>
  <c r="B12" i="128"/>
  <c r="C46" i="124"/>
  <c r="DA26" i="123"/>
  <c r="DS9" i="123"/>
  <c r="BU9" i="123"/>
  <c r="BU26" i="123" s="1"/>
  <c r="BL26" i="123"/>
  <c r="AF9" i="98"/>
  <c r="AF13" i="98" s="1"/>
  <c r="AF26" i="98"/>
  <c r="AF24" i="98" s="1"/>
  <c r="AF28" i="98" s="1"/>
  <c r="AE27" i="98"/>
  <c r="AE24" i="98" s="1"/>
  <c r="AE28" i="98" s="1"/>
  <c r="AE9" i="98"/>
  <c r="AE13" i="98" s="1"/>
  <c r="G25" i="96"/>
  <c r="J25" i="96" s="1"/>
  <c r="G35" i="96"/>
  <c r="G15" i="96"/>
  <c r="G20" i="96"/>
  <c r="J20" i="96" s="1"/>
  <c r="G10" i="96"/>
  <c r="G30" i="96"/>
  <c r="AF41" i="3"/>
  <c r="AF39" i="3" s="1"/>
  <c r="AF46" i="3"/>
  <c r="AF44" i="3" s="1"/>
  <c r="D75" i="8"/>
  <c r="CK72" i="7"/>
  <c r="CI167" i="7"/>
  <c r="CI72" i="7" s="1"/>
  <c r="G8" i="105"/>
  <c r="D8" i="105"/>
  <c r="D21" i="105" s="1"/>
  <c r="D27" i="105" s="1"/>
  <c r="U18" i="98"/>
  <c r="Y18" i="98"/>
  <c r="Y22" i="98" s="1"/>
  <c r="BX9" i="8" s="1"/>
  <c r="BX8" i="8" s="1"/>
  <c r="T22" i="98"/>
  <c r="I63" i="85"/>
  <c r="J62" i="85"/>
  <c r="AT18" i="10"/>
  <c r="M45" i="61"/>
  <c r="L45" i="61" s="1"/>
  <c r="AP47" i="3"/>
  <c r="B66" i="32" s="1"/>
  <c r="I5" i="79"/>
  <c r="J10" i="79" s="1"/>
  <c r="J9" i="79" s="1"/>
  <c r="J6" i="79" s="1"/>
  <c r="C3" i="85"/>
  <c r="D3" i="85" s="1"/>
  <c r="K58" i="61"/>
  <c r="T46" i="95"/>
  <c r="AT167" i="7"/>
  <c r="AU59" i="7"/>
  <c r="AU29" i="7"/>
  <c r="AV29" i="7" s="1"/>
  <c r="W81" i="8"/>
  <c r="W84" i="8"/>
  <c r="W85" i="8" s="1"/>
  <c r="W78" i="8"/>
  <c r="W80" i="8"/>
  <c r="DG61" i="8"/>
  <c r="DG63" i="8" s="1"/>
  <c r="AC167" i="7"/>
  <c r="AF60" i="123"/>
  <c r="AF53" i="123"/>
  <c r="BV48" i="123"/>
  <c r="GM15" i="123"/>
  <c r="FQ29" i="123"/>
  <c r="AG64" i="123"/>
  <c r="BS48" i="123"/>
  <c r="DP146" i="7"/>
  <c r="Z168" i="6"/>
  <c r="T10" i="70"/>
  <c r="T12" i="70" s="1"/>
  <c r="T20" i="70" s="1"/>
  <c r="I2" i="89"/>
  <c r="A2" i="89" s="1"/>
  <c r="AG46" i="5"/>
  <c r="AG48" i="5" s="1"/>
  <c r="BD16" i="7" s="1"/>
  <c r="AG23" i="19"/>
  <c r="DU96" i="8"/>
  <c r="S42" i="128"/>
  <c r="H39" i="128"/>
  <c r="P47" i="65"/>
  <c r="S18" i="82"/>
  <c r="S19" i="82" s="1"/>
  <c r="EA48" i="19"/>
  <c r="DT49" i="19"/>
  <c r="DZ50" i="19" s="1"/>
  <c r="EG50" i="19" s="1"/>
  <c r="DA59" i="7"/>
  <c r="DA154" i="7" s="1"/>
  <c r="DB154" i="7"/>
  <c r="BH13" i="61" s="1"/>
  <c r="F39" i="128"/>
  <c r="I41" i="128"/>
  <c r="J41" i="128" s="1"/>
  <c r="O41" i="128" s="1"/>
  <c r="T41" i="128" s="1"/>
  <c r="P26" i="123"/>
  <c r="AH9" i="123"/>
  <c r="AF9" i="123" s="1"/>
  <c r="CM189" i="7"/>
  <c r="CM157" i="7"/>
  <c r="BA18" i="61"/>
  <c r="CL60" i="7"/>
  <c r="CL157" i="7" s="1"/>
  <c r="CQ120" i="8"/>
  <c r="CQ62" i="8" s="1"/>
  <c r="CR62" i="8"/>
  <c r="BL81" i="8"/>
  <c r="BL63" i="8"/>
  <c r="BL80" i="8"/>
  <c r="BL78" i="8"/>
  <c r="BP25" i="19"/>
  <c r="BW25" i="19"/>
  <c r="CO50" i="7"/>
  <c r="CO43" i="7"/>
  <c r="Q13" i="66"/>
  <c r="Q12" i="66" s="1"/>
  <c r="Q11" i="66" s="1"/>
  <c r="Q36" i="66" s="1"/>
  <c r="Q39" i="66" s="1"/>
  <c r="BO152" i="8"/>
  <c r="BK78" i="8"/>
  <c r="BK81" i="8"/>
  <c r="BK63" i="8"/>
  <c r="BK80" i="8"/>
  <c r="BE121" i="8"/>
  <c r="BE126" i="8"/>
  <c r="CP62" i="8"/>
  <c r="CN120" i="8"/>
  <c r="CN62" i="8" s="1"/>
  <c r="AS50" i="19"/>
  <c r="AT50" i="19"/>
  <c r="CI52" i="72"/>
  <c r="CI54" i="72"/>
  <c r="CJ54" i="72" s="1"/>
  <c r="AG63" i="3"/>
  <c r="U31" i="71"/>
  <c r="AX31" i="71"/>
  <c r="V31" i="71"/>
  <c r="BB35" i="8"/>
  <c r="AZ97" i="8"/>
  <c r="AS102" i="8"/>
  <c r="AS119" i="8" s="1"/>
  <c r="AS17" i="8"/>
  <c r="AS61" i="8" s="1"/>
  <c r="AS81" i="8" s="1"/>
  <c r="G111" i="56"/>
  <c r="G121" i="56" s="1"/>
  <c r="B121" i="56"/>
  <c r="AQ56" i="7"/>
  <c r="AR56" i="7" s="1"/>
  <c r="AS56" i="7" s="1"/>
  <c r="E10" i="3"/>
  <c r="E15" i="3"/>
  <c r="F15" i="3" s="1"/>
  <c r="F13" i="3"/>
  <c r="D11" i="32"/>
  <c r="B12" i="32"/>
  <c r="D12" i="32" s="1"/>
  <c r="BG62" i="72"/>
  <c r="BS30" i="71"/>
  <c r="BR30" i="71"/>
  <c r="DG141" i="8"/>
  <c r="AS15" i="65"/>
  <c r="AS13" i="65" s="1"/>
  <c r="AU152" i="7"/>
  <c r="Z29" i="8"/>
  <c r="Y30" i="8"/>
  <c r="AF29" i="8"/>
  <c r="I81" i="56"/>
  <c r="I73" i="56"/>
  <c r="N73" i="56" s="1"/>
  <c r="N71" i="56"/>
  <c r="N81" i="56" s="1"/>
  <c r="N57" i="126"/>
  <c r="AM66" i="123"/>
  <c r="O19" i="128"/>
  <c r="T19" i="128" s="1"/>
  <c r="Z76" i="123"/>
  <c r="DX8" i="8"/>
  <c r="AG25" i="6"/>
  <c r="CW16" i="19"/>
  <c r="CP49" i="19"/>
  <c r="CS50" i="19" s="1"/>
  <c r="CZ50" i="19" s="1"/>
  <c r="CZ27" i="19" s="1"/>
  <c r="DF97" i="8"/>
  <c r="DF8" i="8"/>
  <c r="CI7" i="135"/>
  <c r="CI15" i="135" s="1"/>
  <c r="CI17" i="135" s="1"/>
  <c r="AP15" i="65"/>
  <c r="AV15" i="65" s="1"/>
  <c r="DA141" i="8"/>
  <c r="DE144" i="7"/>
  <c r="BI14" i="61" s="1"/>
  <c r="DD18" i="7"/>
  <c r="DE17" i="7"/>
  <c r="DJ50" i="19"/>
  <c r="AP16" i="65"/>
  <c r="AX16" i="65" s="1"/>
  <c r="DA142" i="8"/>
  <c r="EY41" i="123"/>
  <c r="EY42" i="123" s="1"/>
  <c r="FS41" i="123"/>
  <c r="FS42" i="123" s="1"/>
  <c r="BQ80" i="8"/>
  <c r="BQ81" i="8" s="1"/>
  <c r="BQ63" i="8"/>
  <c r="BQ78" i="8"/>
  <c r="CO108" i="8"/>
  <c r="CN50" i="8"/>
  <c r="CN108" i="8" s="1"/>
  <c r="CM154" i="7"/>
  <c r="CL59" i="7"/>
  <c r="CL154" i="7" s="1"/>
  <c r="H12" i="90"/>
  <c r="H19" i="90" s="1"/>
  <c r="F19" i="90"/>
  <c r="DC34" i="8"/>
  <c r="AA42" i="95"/>
  <c r="W42" i="95"/>
  <c r="B83" i="56"/>
  <c r="BX75" i="8"/>
  <c r="BX120" i="8" s="1"/>
  <c r="BX62" i="8" s="1"/>
  <c r="Y12" i="98"/>
  <c r="AJ8" i="71"/>
  <c r="AK9" i="71"/>
  <c r="V46" i="95"/>
  <c r="BR31" i="71"/>
  <c r="BS31" i="71"/>
  <c r="AE14" i="19"/>
  <c r="AM14" i="19"/>
  <c r="AF14" i="19"/>
  <c r="BR32" i="71"/>
  <c r="BS32" i="71"/>
  <c r="AT32" i="17"/>
  <c r="U32" i="17"/>
  <c r="Y13" i="8" s="1"/>
  <c r="V32" i="17"/>
  <c r="B8" i="124"/>
  <c r="I31" i="128"/>
  <c r="EY49" i="19"/>
  <c r="FD50" i="19" s="1"/>
  <c r="FK50" i="19" s="1"/>
  <c r="D71" i="68"/>
  <c r="N111" i="56"/>
  <c r="N121" i="56" s="1"/>
  <c r="AR17" i="66"/>
  <c r="AR15" i="66" s="1"/>
  <c r="DK141" i="8"/>
  <c r="DR42" i="8"/>
  <c r="DR104" i="8" s="1"/>
  <c r="BX73" i="32"/>
  <c r="CX149" i="7"/>
  <c r="CX15" i="7"/>
  <c r="CX8" i="7" s="1"/>
  <c r="DI14" i="136"/>
  <c r="DI16" i="136" s="1"/>
  <c r="DA47" i="7"/>
  <c r="DA43" i="7" s="1"/>
  <c r="DB43" i="7"/>
  <c r="AQ17" i="66"/>
  <c r="AQ15" i="66" s="1"/>
  <c r="DH141" i="8"/>
  <c r="DM35" i="7"/>
  <c r="CU47" i="8"/>
  <c r="BP153" i="7"/>
  <c r="AM40" i="17"/>
  <c r="AO31" i="17"/>
  <c r="AI13" i="64"/>
  <c r="AI11" i="64" s="1"/>
  <c r="CK199" i="7"/>
  <c r="DH61" i="8"/>
  <c r="BX87" i="7"/>
  <c r="BX167" i="7" s="1"/>
  <c r="BX72" i="7" s="1"/>
  <c r="BA41" i="3"/>
  <c r="BA39" i="3" s="1"/>
  <c r="D39" i="73"/>
  <c r="AD82" i="6"/>
  <c r="P31" i="8"/>
  <c r="P27" i="8" s="1"/>
  <c r="Q54" i="72"/>
  <c r="V54" i="72" s="1"/>
  <c r="T54" i="72"/>
  <c r="J30" i="21"/>
  <c r="K30" i="21"/>
  <c r="J47" i="85"/>
  <c r="I48" i="85"/>
  <c r="I10" i="56"/>
  <c r="N10" i="56" s="1"/>
  <c r="BO63" i="32"/>
  <c r="BM67" i="32"/>
  <c r="BH45" i="61"/>
  <c r="DB167" i="7"/>
  <c r="BS45" i="3"/>
  <c r="BS44" i="3" s="1"/>
  <c r="BF52" i="5"/>
  <c r="BG52" i="5" s="1"/>
  <c r="BH52" i="5" s="1"/>
  <c r="BF54" i="5"/>
  <c r="BG54" i="5" s="1"/>
  <c r="BH54" i="5" s="1"/>
  <c r="BF55" i="5"/>
  <c r="BG55" i="5" s="1"/>
  <c r="BH55" i="5" s="1"/>
  <c r="BF53" i="5"/>
  <c r="BG53" i="5" s="1"/>
  <c r="BH53" i="5" s="1"/>
  <c r="CP59" i="7"/>
  <c r="N28" i="123"/>
  <c r="N27" i="123"/>
  <c r="BU70" i="32"/>
  <c r="DC14" i="136"/>
  <c r="DC16" i="136" s="1"/>
  <c r="DC7" i="136"/>
  <c r="DF25" i="8"/>
  <c r="DF100" i="8"/>
  <c r="CZ154" i="7"/>
  <c r="CX59" i="7"/>
  <c r="CX154" i="7" s="1"/>
  <c r="DH105" i="8"/>
  <c r="DH137" i="8" s="1"/>
  <c r="DF47" i="8"/>
  <c r="DF105" i="8" s="1"/>
  <c r="DJ137" i="8"/>
  <c r="AT11" i="65" s="1"/>
  <c r="DD8" i="7"/>
  <c r="DD148" i="7"/>
  <c r="CZ71" i="7"/>
  <c r="AR27" i="123"/>
  <c r="AR28" i="123"/>
  <c r="X19" i="126"/>
  <c r="DZ12" i="123"/>
  <c r="DX12" i="123" s="1"/>
  <c r="DO12" i="123"/>
  <c r="V19" i="126" s="1"/>
  <c r="DT41" i="123"/>
  <c r="DT42" i="123" s="1"/>
  <c r="CQ41" i="123"/>
  <c r="CQ42" i="123" s="1"/>
  <c r="CS42" i="123"/>
  <c r="W41" i="123"/>
  <c r="W42" i="123" s="1"/>
  <c r="Y42" i="123"/>
  <c r="FH40" i="123"/>
  <c r="FH42" i="123" s="1"/>
  <c r="FI42" i="123"/>
  <c r="FR40" i="123"/>
  <c r="BI126" i="8"/>
  <c r="BI121" i="8"/>
  <c r="AB46" i="65"/>
  <c r="AC46" i="65" s="1"/>
  <c r="AD46" i="65" s="1"/>
  <c r="AE46" i="65" s="1"/>
  <c r="AF46" i="65" s="1"/>
  <c r="AJ46" i="65"/>
  <c r="AA46" i="65"/>
  <c r="DK61" i="8"/>
  <c r="U27" i="17"/>
  <c r="AA31" i="7" s="1"/>
  <c r="BC27" i="17"/>
  <c r="AX27" i="17"/>
  <c r="W27" i="17"/>
  <c r="U81" i="8"/>
  <c r="U78" i="8"/>
  <c r="Q65" i="32"/>
  <c r="M65" i="32"/>
  <c r="M72" i="32" s="1"/>
  <c r="D40" i="73"/>
  <c r="BD82" i="6"/>
  <c r="K31" i="21"/>
  <c r="J31" i="21"/>
  <c r="G78" i="8"/>
  <c r="H61" i="8"/>
  <c r="R39" i="66"/>
  <c r="R36" i="66"/>
  <c r="H10" i="68"/>
  <c r="H11" i="68"/>
  <c r="H9" i="68"/>
  <c r="W48" i="3"/>
  <c r="W40" i="3"/>
  <c r="W39" i="3" s="1"/>
  <c r="BJ58" i="72"/>
  <c r="F25" i="21"/>
  <c r="F10" i="21"/>
  <c r="D98" i="68"/>
  <c r="C20" i="105"/>
  <c r="C15" i="105" s="1"/>
  <c r="G7" i="105" s="1"/>
  <c r="C28" i="105"/>
  <c r="C22" i="105" s="1"/>
  <c r="C17" i="105" s="1"/>
  <c r="DI96" i="8"/>
  <c r="DI8" i="8"/>
  <c r="DU34" i="8"/>
  <c r="DA7" i="135"/>
  <c r="DA15" i="135" s="1"/>
  <c r="DA17" i="135" s="1"/>
  <c r="BI16" i="61"/>
  <c r="DE187" i="7"/>
  <c r="CT7" i="136"/>
  <c r="CT14" i="136"/>
  <c r="CT16" i="136" s="1"/>
  <c r="DC72" i="7"/>
  <c r="CT15" i="8"/>
  <c r="CT8" i="8" s="1"/>
  <c r="CT100" i="8"/>
  <c r="DN14" i="19"/>
  <c r="DO14" i="19"/>
  <c r="DO13" i="19" s="1"/>
  <c r="DI102" i="8"/>
  <c r="DI17" i="8"/>
  <c r="DI7" i="136"/>
  <c r="BK48" i="19"/>
  <c r="BW48" i="19" s="1"/>
  <c r="AU49" i="19"/>
  <c r="DO15" i="123"/>
  <c r="V22" i="126" s="1"/>
  <c r="W22" i="126"/>
  <c r="BZ36" i="7"/>
  <c r="BY146" i="7"/>
  <c r="BG104" i="8"/>
  <c r="BG119" i="8" s="1"/>
  <c r="BG61" i="8"/>
  <c r="E32" i="21"/>
  <c r="EG10" i="123"/>
  <c r="GF10" i="123" s="1"/>
  <c r="F67" i="68"/>
  <c r="Z35" i="8"/>
  <c r="AF35" i="8"/>
  <c r="BE63" i="3"/>
  <c r="DC96" i="8"/>
  <c r="BJ82" i="6"/>
  <c r="P31" i="21"/>
  <c r="Y97" i="8"/>
  <c r="AF97" i="8" s="1"/>
  <c r="AO14" i="19"/>
  <c r="AC10" i="19"/>
  <c r="AC11" i="19" s="1"/>
  <c r="BR27" i="71"/>
  <c r="BS27" i="71"/>
  <c r="BA46" i="8"/>
  <c r="AZ42" i="8"/>
  <c r="AH45" i="6"/>
  <c r="AM42" i="11"/>
  <c r="AL42" i="11" s="1"/>
  <c r="AP42" i="11" s="1"/>
  <c r="AP45" i="11" s="1"/>
  <c r="AI19" i="8" s="1"/>
  <c r="L42" i="11"/>
  <c r="CB58" i="72"/>
  <c r="CA50" i="72" s="1"/>
  <c r="CB50" i="72" s="1"/>
  <c r="B7" i="77" s="1"/>
  <c r="C7" i="77" s="1"/>
  <c r="AJ42" i="3"/>
  <c r="Y176" i="7"/>
  <c r="K16" i="128"/>
  <c r="CJ29" i="123"/>
  <c r="AV37" i="66"/>
  <c r="AU38" i="66"/>
  <c r="AG18" i="126"/>
  <c r="D11" i="123"/>
  <c r="DH11" i="123"/>
  <c r="DF11" i="123" s="1"/>
  <c r="EO11" i="123"/>
  <c r="M11" i="123"/>
  <c r="K11" i="123" s="1"/>
  <c r="CY11" i="123"/>
  <c r="CW11" i="123" s="1"/>
  <c r="AQ11" i="123"/>
  <c r="AZ11" i="123"/>
  <c r="AX11" i="123" s="1"/>
  <c r="CP11" i="123"/>
  <c r="FZ11" i="123"/>
  <c r="AE18" i="126" s="1"/>
  <c r="V11" i="123"/>
  <c r="T11" i="123" s="1"/>
  <c r="FG11" i="123"/>
  <c r="FE11" i="123" s="1"/>
  <c r="BI11" i="123"/>
  <c r="BG11" i="123" s="1"/>
  <c r="EX11" i="123"/>
  <c r="EV11" i="123" s="1"/>
  <c r="DO120" i="8"/>
  <c r="DO62" i="8" s="1"/>
  <c r="DP62" i="8"/>
  <c r="AE13" i="125"/>
  <c r="DX96" i="8"/>
  <c r="DN59" i="7"/>
  <c r="DR102" i="8"/>
  <c r="DR17" i="8"/>
  <c r="DR120" i="8"/>
  <c r="DR62" i="8" s="1"/>
  <c r="DS62" i="8"/>
  <c r="DL35" i="8"/>
  <c r="DJ36" i="7"/>
  <c r="BS7" i="10"/>
  <c r="DK10" i="7" s="1"/>
  <c r="AT37" i="66"/>
  <c r="AS38" i="66"/>
  <c r="AN15" i="95"/>
  <c r="AN20" i="95" s="1"/>
  <c r="AN30" i="95" s="1"/>
  <c r="DL120" i="8"/>
  <c r="DL62" i="8" s="1"/>
  <c r="DM62" i="8"/>
  <c r="AI27" i="98"/>
  <c r="DC120" i="8"/>
  <c r="DC62" i="8" s="1"/>
  <c r="DD62" i="8"/>
  <c r="DK62" i="8"/>
  <c r="DL12" i="8"/>
  <c r="DL99" i="8" s="1"/>
  <c r="DM99" i="8"/>
  <c r="AJ9" i="98"/>
  <c r="AJ13" i="98" s="1"/>
  <c r="AJ26" i="98"/>
  <c r="AJ24" i="98" s="1"/>
  <c r="AJ28" i="98" s="1"/>
  <c r="BF18" i="61"/>
  <c r="DL19" i="8"/>
  <c r="DL102" i="8" s="1"/>
  <c r="DM102" i="8"/>
  <c r="D99" i="68"/>
  <c r="AJ15" i="95"/>
  <c r="AJ20" i="95" s="1"/>
  <c r="AJ8" i="95"/>
  <c r="AJ13" i="95" s="1"/>
  <c r="CW12" i="8"/>
  <c r="CX99" i="8"/>
  <c r="H79" i="68"/>
  <c r="FV65" i="123"/>
  <c r="BD70" i="32"/>
  <c r="BD69" i="32"/>
  <c r="BF69" i="32" s="1"/>
  <c r="DF102" i="8"/>
  <c r="DF17" i="8"/>
  <c r="BA35" i="123"/>
  <c r="AM11" i="95"/>
  <c r="BV39" i="3"/>
  <c r="EP72" i="123"/>
  <c r="FQ73" i="123"/>
  <c r="EY27" i="123"/>
  <c r="EY28" i="123"/>
  <c r="AP13" i="64"/>
  <c r="AR35" i="123"/>
  <c r="BT35" i="123"/>
  <c r="CF35" i="123" s="1"/>
  <c r="DA28" i="8"/>
  <c r="P32" i="111"/>
  <c r="CF167" i="7"/>
  <c r="CH72" i="7"/>
  <c r="AT73" i="32"/>
  <c r="F8" i="119"/>
  <c r="H8" i="119" s="1"/>
  <c r="H7" i="119"/>
  <c r="G33" i="97"/>
  <c r="F34" i="97"/>
  <c r="BW10" i="135"/>
  <c r="AJ13" i="64"/>
  <c r="D70" i="68"/>
  <c r="BZ87" i="7"/>
  <c r="AE45" i="61"/>
  <c r="DK24" i="17"/>
  <c r="AR9" i="10"/>
  <c r="AR13" i="10" s="1"/>
  <c r="AB31" i="61" s="1"/>
  <c r="AC31" i="61" s="1"/>
  <c r="AD31" i="61" s="1"/>
  <c r="AQ13" i="10"/>
  <c r="AA31" i="61" s="1"/>
  <c r="BW167" i="7"/>
  <c r="BW72" i="7" s="1"/>
  <c r="BE48" i="72"/>
  <c r="BT26" i="17"/>
  <c r="BS26" i="17"/>
  <c r="BS35" i="17"/>
  <c r="BT35" i="17"/>
  <c r="N37" i="78"/>
  <c r="C76" i="78"/>
  <c r="V31" i="32"/>
  <c r="AN10" i="71"/>
  <c r="P26" i="71"/>
  <c r="AO10" i="71"/>
  <c r="AP10" i="71"/>
  <c r="T26" i="71"/>
  <c r="BS33" i="17"/>
  <c r="AL8" i="10"/>
  <c r="AL13" i="10" s="1"/>
  <c r="AL19" i="10" s="1"/>
  <c r="AK13" i="10"/>
  <c r="AK19" i="10" s="1"/>
  <c r="B56" i="85"/>
  <c r="BM52" i="72"/>
  <c r="E10" i="84"/>
  <c r="G10" i="84" s="1"/>
  <c r="CK50" i="72"/>
  <c r="V30" i="71"/>
  <c r="U30" i="71"/>
  <c r="AT30" i="71"/>
  <c r="C20" i="63"/>
  <c r="D20" i="63" s="1"/>
  <c r="D19" i="63"/>
  <c r="BC54" i="72"/>
  <c r="BC52" i="72"/>
  <c r="BG60" i="72"/>
  <c r="AT26" i="6"/>
  <c r="AT25" i="6" s="1"/>
  <c r="AP25" i="6"/>
  <c r="N5" i="68"/>
  <c r="L8" i="68"/>
  <c r="H16" i="62"/>
  <c r="F13" i="62"/>
  <c r="F16" i="62" s="1"/>
  <c r="CG25" i="17"/>
  <c r="CG24" i="17" s="1"/>
  <c r="CD24" i="17"/>
  <c r="N8" i="56"/>
  <c r="N18" i="56" s="1"/>
  <c r="I49" i="56"/>
  <c r="D50" i="56"/>
  <c r="F9" i="79"/>
  <c r="F10" i="79" s="1"/>
  <c r="D9" i="79"/>
  <c r="I22" i="79" s="1"/>
  <c r="AU33" i="7"/>
  <c r="BB32" i="11"/>
  <c r="BC32" i="11"/>
  <c r="D7" i="102"/>
  <c r="W43" i="59"/>
  <c r="AE56" i="59"/>
  <c r="AE48" i="59"/>
  <c r="BB26" i="6"/>
  <c r="BB25" i="6" s="1"/>
  <c r="AU25" i="6"/>
  <c r="AQ75" i="8"/>
  <c r="AP120" i="8"/>
  <c r="V49" i="19"/>
  <c r="AE41" i="19"/>
  <c r="AD41" i="19"/>
  <c r="BL26" i="17"/>
  <c r="BN26" i="17"/>
  <c r="BC26" i="17"/>
  <c r="BD148" i="7"/>
  <c r="D12" i="85"/>
  <c r="D24" i="85" s="1"/>
  <c r="B24" i="85"/>
  <c r="BS26" i="71"/>
  <c r="BR26" i="71"/>
  <c r="AV31" i="7"/>
  <c r="AV33" i="7" s="1"/>
  <c r="H87" i="7"/>
  <c r="N87" i="7"/>
  <c r="N11" i="136"/>
  <c r="O10" i="136"/>
  <c r="BN28" i="17"/>
  <c r="BL28" i="17"/>
  <c r="BC28" i="17"/>
  <c r="BB28" i="17"/>
  <c r="BB32" i="17"/>
  <c r="BN32" i="17"/>
  <c r="BC32" i="17"/>
  <c r="BL32" i="17"/>
  <c r="Y105" i="7"/>
  <c r="Z105" i="7"/>
  <c r="Z107" i="7" s="1"/>
  <c r="P71" i="7"/>
  <c r="O88" i="7"/>
  <c r="P88" i="7" s="1"/>
  <c r="O91" i="7"/>
  <c r="P91" i="7" s="1"/>
  <c r="AT33" i="17"/>
  <c r="V33" i="17"/>
  <c r="AX33" i="17"/>
  <c r="U33" i="17"/>
  <c r="L68" i="9"/>
  <c r="N78" i="8"/>
  <c r="N81" i="8"/>
  <c r="N82" i="8" s="1"/>
  <c r="P9" i="8"/>
  <c r="I16" i="65"/>
  <c r="B13" i="102"/>
  <c r="D13" i="102" s="1"/>
  <c r="K42" i="7"/>
  <c r="K35" i="7" s="1"/>
  <c r="X88" i="6"/>
  <c r="Y88" i="6" s="1"/>
  <c r="X87" i="6"/>
  <c r="Y87" i="6" s="1"/>
  <c r="AK120" i="8"/>
  <c r="AN60" i="9"/>
  <c r="AN60" i="72"/>
  <c r="AV15" i="8"/>
  <c r="BB26" i="17"/>
  <c r="AJ61" i="9"/>
  <c r="AQ61" i="9" s="1"/>
  <c r="AJ62" i="9"/>
  <c r="AQ62" i="9" s="1"/>
  <c r="G38" i="7"/>
  <c r="H38" i="7" s="1"/>
  <c r="H42" i="7"/>
  <c r="G103" i="7"/>
  <c r="CQ96" i="8"/>
  <c r="CQ8" i="8"/>
  <c r="T8" i="7"/>
  <c r="U9" i="7"/>
  <c r="U8" i="7" s="1"/>
  <c r="S18" i="7"/>
  <c r="R18" i="7"/>
  <c r="Z18" i="7"/>
  <c r="T18" i="7"/>
  <c r="C45" i="96"/>
  <c r="D45" i="96"/>
  <c r="AE8" i="19"/>
  <c r="AD8" i="19"/>
  <c r="X11" i="19"/>
  <c r="W11" i="19"/>
  <c r="T11" i="19"/>
  <c r="AJ10" i="17"/>
  <c r="AI10" i="17"/>
  <c r="V28" i="17"/>
  <c r="U28" i="17"/>
  <c r="AT28" i="17"/>
  <c r="W28" i="17"/>
  <c r="CN96" i="8"/>
  <c r="CN8" i="8"/>
  <c r="E58" i="56"/>
  <c r="C48" i="56"/>
  <c r="J48" i="56"/>
  <c r="O48" i="56" s="1"/>
  <c r="O58" i="56" s="1"/>
  <c r="E23" i="84"/>
  <c r="G20" i="84"/>
  <c r="BD65" i="123"/>
  <c r="DR39" i="123"/>
  <c r="CW73" i="123"/>
  <c r="DF73" i="123" s="1"/>
  <c r="DU17" i="8"/>
  <c r="DL8" i="136"/>
  <c r="AE23" i="125"/>
  <c r="DG12" i="7"/>
  <c r="DG148" i="7" s="1"/>
  <c r="DH148" i="7"/>
  <c r="AI26" i="98"/>
  <c r="AI9" i="98"/>
  <c r="DH60" i="7"/>
  <c r="DH78" i="7"/>
  <c r="DH77" i="7" s="1"/>
  <c r="AD23" i="102"/>
  <c r="DJ62" i="8"/>
  <c r="DI120" i="8"/>
  <c r="DI62" i="8" s="1"/>
  <c r="CZ10" i="8"/>
  <c r="BI45" i="61"/>
  <c r="DE167" i="7"/>
  <c r="BU45" i="3"/>
  <c r="BU44" i="3" s="1"/>
  <c r="BM41" i="3"/>
  <c r="BM39" i="3" s="1"/>
  <c r="AL36" i="64"/>
  <c r="AM36" i="64" s="1"/>
  <c r="DE62" i="8"/>
  <c r="BT41" i="3"/>
  <c r="AQ36" i="64"/>
  <c r="BI13" i="61"/>
  <c r="DE184" i="7"/>
  <c r="D84" i="68"/>
  <c r="BC73" i="32"/>
  <c r="CY53" i="7" s="1"/>
  <c r="BC70" i="32"/>
  <c r="FR35" i="123"/>
  <c r="W35" i="123"/>
  <c r="AH35" i="123"/>
  <c r="FY10" i="123"/>
  <c r="AD17" i="126"/>
  <c r="H18" i="129"/>
  <c r="DD61" i="8"/>
  <c r="DC47" i="8"/>
  <c r="DC105" i="8" s="1"/>
  <c r="DD105" i="8"/>
  <c r="CW37" i="8"/>
  <c r="BK68" i="123"/>
  <c r="BJ35" i="123"/>
  <c r="U20" i="126"/>
  <c r="DZ10" i="123"/>
  <c r="DX10" i="123" s="1"/>
  <c r="DT64" i="123"/>
  <c r="Y9" i="102"/>
  <c r="CS78" i="7"/>
  <c r="CS77" i="7" s="1"/>
  <c r="Y23" i="102"/>
  <c r="CS60" i="7"/>
  <c r="DP28" i="8"/>
  <c r="U32" i="111"/>
  <c r="BI67" i="123"/>
  <c r="BR67" i="123" s="1"/>
  <c r="P49" i="97"/>
  <c r="P50" i="97" s="1"/>
  <c r="M49" i="97"/>
  <c r="F49" i="97"/>
  <c r="J49" i="97"/>
  <c r="E50" i="97"/>
  <c r="BD43" i="3"/>
  <c r="BD39" i="3"/>
  <c r="C15" i="116"/>
  <c r="D15" i="116" s="1"/>
  <c r="D14" i="116"/>
  <c r="BV157" i="7"/>
  <c r="AE11" i="95"/>
  <c r="AE16" i="95" s="1"/>
  <c r="AE21" i="95" s="1"/>
  <c r="AI65" i="32"/>
  <c r="AK65" i="32" s="1"/>
  <c r="BF43" i="3"/>
  <c r="BF39" i="3"/>
  <c r="M7" i="96" s="1"/>
  <c r="EB24" i="17"/>
  <c r="N8" i="109"/>
  <c r="N2" i="109" s="1"/>
  <c r="O61" i="109"/>
  <c r="O2" i="109" s="1"/>
  <c r="B30" i="110"/>
  <c r="B33" i="110" s="1"/>
  <c r="AO12" i="95"/>
  <c r="AJ16" i="95"/>
  <c r="AJ21" i="95" s="1"/>
  <c r="Z45" i="61"/>
  <c r="AA45" i="61" s="1"/>
  <c r="AB45" i="61" s="1"/>
  <c r="AC45" i="61" s="1"/>
  <c r="AD45" i="61" s="1"/>
  <c r="BQ48" i="72"/>
  <c r="BT48" i="72"/>
  <c r="H17" i="66"/>
  <c r="H15" i="66" s="1"/>
  <c r="J17" i="87"/>
  <c r="P16" i="64"/>
  <c r="P14" i="64" s="1"/>
  <c r="BS27" i="17"/>
  <c r="BT27" i="17"/>
  <c r="I16" i="85"/>
  <c r="J15" i="85"/>
  <c r="D56" i="85"/>
  <c r="G12" i="87"/>
  <c r="G11" i="87" s="1"/>
  <c r="G10" i="87" s="1"/>
  <c r="K33" i="32"/>
  <c r="N33" i="32" s="1"/>
  <c r="AJ48" i="3"/>
  <c r="E32" i="84"/>
  <c r="H32" i="84" s="1"/>
  <c r="U55" i="72"/>
  <c r="T55" i="72"/>
  <c r="BT28" i="17"/>
  <c r="Z138" i="6"/>
  <c r="Z134" i="6"/>
  <c r="Z136" i="6"/>
  <c r="Z133" i="6"/>
  <c r="Z137" i="6"/>
  <c r="Z139" i="6"/>
  <c r="Z178" i="6"/>
  <c r="Z182" i="6"/>
  <c r="Z180" i="6"/>
  <c r="Z177" i="6"/>
  <c r="Z181" i="6"/>
  <c r="D123" i="56"/>
  <c r="D124" i="56"/>
  <c r="P19" i="81"/>
  <c r="P22" i="81" s="1"/>
  <c r="N22" i="81"/>
  <c r="O19" i="81"/>
  <c r="O22" i="81" s="1"/>
  <c r="AO24" i="17"/>
  <c r="AM39" i="17"/>
  <c r="K35" i="32"/>
  <c r="D35" i="32"/>
  <c r="B11" i="56"/>
  <c r="C10" i="56"/>
  <c r="S112" i="56"/>
  <c r="BC25" i="6"/>
  <c r="L10" i="3"/>
  <c r="L28" i="3" s="1"/>
  <c r="L15" i="3"/>
  <c r="U49" i="19"/>
  <c r="AN40" i="3"/>
  <c r="AN39" i="3" s="1"/>
  <c r="CG58" i="72"/>
  <c r="CG59" i="72" s="1"/>
  <c r="AN48" i="3"/>
  <c r="AM48" i="3"/>
  <c r="AZ50" i="72"/>
  <c r="AZ51" i="72" s="1"/>
  <c r="BS33" i="71"/>
  <c r="BR33" i="71"/>
  <c r="O12" i="59"/>
  <c r="N14" i="59"/>
  <c r="O14" i="59" s="1"/>
  <c r="R12" i="59"/>
  <c r="N9" i="59"/>
  <c r="C34" i="73"/>
  <c r="D33" i="73"/>
  <c r="BD88" i="6"/>
  <c r="G10" i="3"/>
  <c r="G15" i="3"/>
  <c r="H13" i="3"/>
  <c r="AJ10" i="8"/>
  <c r="BA10" i="8"/>
  <c r="AW10" i="8"/>
  <c r="AI97" i="8"/>
  <c r="AK10" i="8"/>
  <c r="BC103" i="6"/>
  <c r="BH103" i="6"/>
  <c r="AB47" i="6"/>
  <c r="AB49" i="6"/>
  <c r="AB48" i="6"/>
  <c r="AB50" i="6"/>
  <c r="N32" i="21"/>
  <c r="W46" i="5"/>
  <c r="W47" i="5" s="1"/>
  <c r="K49" i="5"/>
  <c r="K26" i="7" s="1"/>
  <c r="K17" i="7" s="1"/>
  <c r="K50" i="5"/>
  <c r="K34" i="7" s="1"/>
  <c r="K27" i="7" s="1"/>
  <c r="C78" i="8"/>
  <c r="D78" i="8" s="1"/>
  <c r="D61" i="8"/>
  <c r="G10" i="135"/>
  <c r="H10" i="135" s="1"/>
  <c r="H14" i="135"/>
  <c r="S22" i="8"/>
  <c r="T22" i="8" s="1"/>
  <c r="S20" i="8"/>
  <c r="T20" i="8" s="1"/>
  <c r="G88" i="7"/>
  <c r="AK15" i="65"/>
  <c r="AK13" i="65" s="1"/>
  <c r="CO141" i="8"/>
  <c r="AG12" i="19"/>
  <c r="AJ35" i="8"/>
  <c r="AK35" i="8"/>
  <c r="AW35" i="8"/>
  <c r="BA35" i="8"/>
  <c r="AM15" i="65"/>
  <c r="AM13" i="65" s="1"/>
  <c r="CU141" i="8"/>
  <c r="AW23" i="8"/>
  <c r="AI24" i="8"/>
  <c r="BC13" i="6"/>
  <c r="AU13" i="6"/>
  <c r="AP13" i="6"/>
  <c r="G51" i="114"/>
  <c r="GH11" i="123"/>
  <c r="GH29" i="123" s="1"/>
  <c r="FT43" i="123"/>
  <c r="X58" i="96"/>
  <c r="X48" i="96"/>
  <c r="X63" i="96"/>
  <c r="X53" i="96"/>
  <c r="BZ19" i="10"/>
  <c r="CP8" i="123"/>
  <c r="AQ8" i="123"/>
  <c r="CY8" i="123"/>
  <c r="D8" i="123"/>
  <c r="EO8" i="123"/>
  <c r="EM8" i="123" s="1"/>
  <c r="FG8" i="123"/>
  <c r="BI8" i="123"/>
  <c r="DH8" i="123"/>
  <c r="M8" i="123"/>
  <c r="EX8" i="123"/>
  <c r="AG15" i="126"/>
  <c r="AZ8" i="123"/>
  <c r="V8" i="123"/>
  <c r="DG8" i="123"/>
  <c r="AP8" i="123"/>
  <c r="EW8" i="123"/>
  <c r="C8" i="123"/>
  <c r="BH8" i="123"/>
  <c r="AF61" i="125"/>
  <c r="DM18" i="7"/>
  <c r="DN144" i="7"/>
  <c r="DN17" i="7"/>
  <c r="DS47" i="8"/>
  <c r="DS61" i="8" s="1"/>
  <c r="DS71" i="8" s="1"/>
  <c r="AP26" i="98"/>
  <c r="AP24" i="98" s="1"/>
  <c r="AP28" i="98" s="1"/>
  <c r="AP9" i="98"/>
  <c r="AP13" i="98" s="1"/>
  <c r="BR67" i="32"/>
  <c r="BP68" i="32"/>
  <c r="BR68" i="32" s="1"/>
  <c r="AP11" i="95"/>
  <c r="AP8" i="95" s="1"/>
  <c r="AP12" i="95" s="1"/>
  <c r="CB39" i="3"/>
  <c r="DO35" i="8"/>
  <c r="F93" i="68"/>
  <c r="H91" i="68"/>
  <c r="AF20" i="126"/>
  <c r="FZ13" i="123"/>
  <c r="AE20" i="126" s="1"/>
  <c r="U13" i="123"/>
  <c r="T13" i="123" s="1"/>
  <c r="CO13" i="123"/>
  <c r="EN13" i="123"/>
  <c r="DG13" i="123"/>
  <c r="DF13" i="123" s="1"/>
  <c r="AY13" i="123"/>
  <c r="AX13" i="123" s="1"/>
  <c r="BH13" i="123"/>
  <c r="BG13" i="123" s="1"/>
  <c r="AP13" i="123"/>
  <c r="EW13" i="123"/>
  <c r="EV13" i="123" s="1"/>
  <c r="L13" i="123"/>
  <c r="K13" i="123" s="1"/>
  <c r="C13" i="123"/>
  <c r="CX13" i="123"/>
  <c r="CW13" i="123" s="1"/>
  <c r="FF13" i="123"/>
  <c r="FE13" i="123" s="1"/>
  <c r="AN38" i="66"/>
  <c r="BI72" i="32"/>
  <c r="BI70" i="32"/>
  <c r="DE53" i="7" s="1"/>
  <c r="DH45" i="7"/>
  <c r="V45" i="96"/>
  <c r="S45" i="96"/>
  <c r="CZ167" i="7"/>
  <c r="BR41" i="3"/>
  <c r="AP36" i="64"/>
  <c r="BL40" i="3"/>
  <c r="DT35" i="123"/>
  <c r="DR73" i="123"/>
  <c r="CQ72" i="123"/>
  <c r="CR10" i="135"/>
  <c r="CZ35" i="123"/>
  <c r="CW9" i="136"/>
  <c r="BU35" i="123"/>
  <c r="AQ13" i="64"/>
  <c r="AQ11" i="64" s="1"/>
  <c r="DC199" i="7"/>
  <c r="O26" i="111"/>
  <c r="AF48" i="123"/>
  <c r="CK50" i="8"/>
  <c r="CK108" i="8" s="1"/>
  <c r="CL108" i="8"/>
  <c r="CP72" i="7"/>
  <c r="CO167" i="7"/>
  <c r="CO72" i="7" s="1"/>
  <c r="AK13" i="64"/>
  <c r="CV28" i="7"/>
  <c r="P26" i="111"/>
  <c r="AB11" i="95"/>
  <c r="AB16" i="95" s="1"/>
  <c r="AA11" i="95"/>
  <c r="AA16" i="95" s="1"/>
  <c r="AA21" i="95" s="1"/>
  <c r="AA31" i="95" s="1"/>
  <c r="AD11" i="95"/>
  <c r="AD16" i="95" s="1"/>
  <c r="AC11" i="95"/>
  <c r="AC16" i="95" s="1"/>
  <c r="Z16" i="95"/>
  <c r="Z21" i="95" s="1"/>
  <c r="BW38" i="7"/>
  <c r="BV148" i="7"/>
  <c r="F18" i="119"/>
  <c r="AH36" i="64"/>
  <c r="AO36" i="64"/>
  <c r="D14" i="118"/>
  <c r="C15" i="118"/>
  <c r="D15" i="118" s="1"/>
  <c r="BK123" i="8"/>
  <c r="BK121" i="8"/>
  <c r="T37" i="66"/>
  <c r="S39" i="66"/>
  <c r="S38" i="66"/>
  <c r="D60" i="85"/>
  <c r="D72" i="85" s="1"/>
  <c r="B72" i="85"/>
  <c r="AZ37" i="8"/>
  <c r="BB99" i="8"/>
  <c r="Y37" i="95"/>
  <c r="I22" i="85"/>
  <c r="J21" i="85"/>
  <c r="AS46" i="3"/>
  <c r="AS44" i="3" s="1"/>
  <c r="AS41" i="3" s="1"/>
  <c r="AS39" i="3" s="1"/>
  <c r="AR47" i="3"/>
  <c r="J9" i="87"/>
  <c r="H48" i="68"/>
  <c r="H46" i="68"/>
  <c r="H49" i="68"/>
  <c r="H47" i="68"/>
  <c r="I70" i="85"/>
  <c r="B3" i="77"/>
  <c r="C20" i="77" s="1"/>
  <c r="C19" i="77" s="1"/>
  <c r="K31" i="61" s="1"/>
  <c r="AN14" i="71"/>
  <c r="AO14" i="71"/>
  <c r="BG61" i="9"/>
  <c r="BA61" i="9"/>
  <c r="H20" i="70"/>
  <c r="C14" i="63"/>
  <c r="D13" i="63"/>
  <c r="F38" i="66"/>
  <c r="I37" i="66"/>
  <c r="N37" i="66" s="1"/>
  <c r="Z169" i="6"/>
  <c r="Z171" i="6"/>
  <c r="Z173" i="6"/>
  <c r="Z170" i="6"/>
  <c r="Z167" i="6"/>
  <c r="Z166" i="6"/>
  <c r="Z174" i="6"/>
  <c r="C121" i="56"/>
  <c r="H111" i="56"/>
  <c r="H121" i="56" s="1"/>
  <c r="AH166" i="7"/>
  <c r="AK65" i="123"/>
  <c r="E333" i="69"/>
  <c r="K34" i="32"/>
  <c r="D34" i="32"/>
  <c r="D20" i="56"/>
  <c r="N20" i="56" s="1"/>
  <c r="D21" i="56"/>
  <c r="D30" i="56"/>
  <c r="I29" i="56"/>
  <c r="AE52" i="6"/>
  <c r="AE53" i="6"/>
  <c r="AE54" i="6"/>
  <c r="AE51" i="6"/>
  <c r="AE87" i="7"/>
  <c r="AE167" i="7" s="1"/>
  <c r="AF14" i="7"/>
  <c r="AF55" i="7"/>
  <c r="AG55" i="7" s="1"/>
  <c r="AF10" i="7"/>
  <c r="AF16" i="7"/>
  <c r="AF34" i="7"/>
  <c r="AG34" i="7" s="1"/>
  <c r="AF9" i="7"/>
  <c r="AF167" i="7"/>
  <c r="AF40" i="7"/>
  <c r="AF13" i="7"/>
  <c r="AF42" i="7"/>
  <c r="AG42" i="7" s="1"/>
  <c r="AM11" i="5"/>
  <c r="AM12" i="5" s="1"/>
  <c r="AZ110" i="8"/>
  <c r="BA110" i="8" s="1"/>
  <c r="BA52" i="8"/>
  <c r="AG9" i="59"/>
  <c r="AF27" i="59"/>
  <c r="BF52" i="9"/>
  <c r="AE38" i="19"/>
  <c r="AD38" i="19"/>
  <c r="P39" i="7"/>
  <c r="O40" i="7"/>
  <c r="R13" i="6"/>
  <c r="R45" i="6"/>
  <c r="R46" i="6" s="1"/>
  <c r="H119" i="106"/>
  <c r="C15" i="73"/>
  <c r="D15" i="73" s="1"/>
  <c r="D14" i="73"/>
  <c r="BB24" i="71"/>
  <c r="BK88" i="6"/>
  <c r="N40" i="17"/>
  <c r="N51" i="5"/>
  <c r="O46" i="5"/>
  <c r="O47" i="5" s="1"/>
  <c r="P50" i="5"/>
  <c r="Q34" i="7" s="1"/>
  <c r="P49" i="5"/>
  <c r="Q26" i="7" s="1"/>
  <c r="N47" i="5"/>
  <c r="P48" i="5"/>
  <c r="Q16" i="7" s="1"/>
  <c r="V88" i="7"/>
  <c r="V91" i="7"/>
  <c r="P23" i="8"/>
  <c r="AP14" i="17"/>
  <c r="AM14" i="17" s="1"/>
  <c r="P31" i="17" s="1"/>
  <c r="AD16" i="6"/>
  <c r="AG16" i="6"/>
  <c r="AC45" i="6"/>
  <c r="AW75" i="8"/>
  <c r="AI120" i="8"/>
  <c r="P39" i="8"/>
  <c r="P34" i="8" s="1"/>
  <c r="Q38" i="8"/>
  <c r="R38" i="8"/>
  <c r="AI30" i="8"/>
  <c r="AK29" i="8"/>
  <c r="AK30" i="8" s="1"/>
  <c r="AK31" i="8" s="1"/>
  <c r="AW29" i="8"/>
  <c r="AJ29" i="8"/>
  <c r="DM68" i="8"/>
  <c r="DM67" i="8" s="1"/>
  <c r="DM50" i="8"/>
  <c r="Q31" i="8"/>
  <c r="Q27" i="8" s="1"/>
  <c r="Y167" i="7"/>
  <c r="Y171" i="7" s="1"/>
  <c r="Z87" i="7"/>
  <c r="AJ88" i="7"/>
  <c r="AH71" i="7"/>
  <c r="AJ90" i="7"/>
  <c r="AJ93" i="7"/>
  <c r="AJ94" i="7" s="1"/>
  <c r="AJ91" i="7"/>
  <c r="AC26" i="5"/>
  <c r="AB46" i="5"/>
  <c r="BB43" i="11"/>
  <c r="BC43" i="11"/>
  <c r="I28" i="21"/>
  <c r="L28" i="21"/>
  <c r="N28" i="21" s="1"/>
  <c r="AF12" i="19"/>
  <c r="AK12" i="65"/>
  <c r="BE148" i="7"/>
  <c r="BH27" i="5"/>
  <c r="BH26" i="5" s="1"/>
  <c r="BC27" i="5"/>
  <c r="AX27" i="5"/>
  <c r="AM26" i="5"/>
  <c r="AN27" i="5"/>
  <c r="AN26" i="5" s="1"/>
  <c r="AN46" i="5" s="1"/>
  <c r="AN47" i="5" s="1"/>
  <c r="D30" i="84"/>
  <c r="B33" i="84"/>
  <c r="DA17" i="7"/>
  <c r="AC73" i="123"/>
  <c r="AC72" i="123" s="1"/>
  <c r="AN26" i="98"/>
  <c r="AN9" i="98"/>
  <c r="EX9" i="123"/>
  <c r="V9" i="123"/>
  <c r="CP9" i="123"/>
  <c r="AG16" i="126"/>
  <c r="D9" i="123"/>
  <c r="AZ9" i="123"/>
  <c r="AQ9" i="123"/>
  <c r="FG9" i="123"/>
  <c r="DH9" i="123"/>
  <c r="BI9" i="123"/>
  <c r="CY9" i="123"/>
  <c r="M9" i="123"/>
  <c r="EO9" i="123"/>
  <c r="DG9" i="123"/>
  <c r="CX9" i="123"/>
  <c r="L9" i="123"/>
  <c r="BH9" i="123"/>
  <c r="AY9" i="123"/>
  <c r="FF9" i="123"/>
  <c r="EW9" i="123"/>
  <c r="AF16" i="126"/>
  <c r="C9" i="123"/>
  <c r="EN9" i="123"/>
  <c r="CO9" i="123"/>
  <c r="U9" i="123"/>
  <c r="FZ9" i="123"/>
  <c r="AE16" i="126" s="1"/>
  <c r="AP9" i="123"/>
  <c r="DP112" i="8"/>
  <c r="DP145" i="8" s="1"/>
  <c r="AW20" i="65" s="1"/>
  <c r="BI20" i="65" s="1"/>
  <c r="DO54" i="8"/>
  <c r="DO112" i="8" s="1"/>
  <c r="DT137" i="8"/>
  <c r="EZ14" i="19"/>
  <c r="FA14" i="19"/>
  <c r="FA13" i="19" s="1"/>
  <c r="FH13" i="19" s="1"/>
  <c r="Y58" i="96"/>
  <c r="Y48" i="96"/>
  <c r="Y53" i="96"/>
  <c r="Y63" i="96"/>
  <c r="AO9" i="98"/>
  <c r="AO13" i="98" s="1"/>
  <c r="AO26" i="98"/>
  <c r="AO24" i="98" s="1"/>
  <c r="AO28" i="98" s="1"/>
  <c r="DL10" i="8"/>
  <c r="DM97" i="8"/>
  <c r="DM144" i="8" s="1"/>
  <c r="AU30" i="65" s="1"/>
  <c r="DG8" i="135"/>
  <c r="DP140" i="8"/>
  <c r="AW14" i="65"/>
  <c r="DH146" i="7"/>
  <c r="DG10" i="7"/>
  <c r="DG146" i="7" s="1"/>
  <c r="DP104" i="8"/>
  <c r="AM26" i="98"/>
  <c r="AM9" i="98"/>
  <c r="AS36" i="64"/>
  <c r="AT36" i="64" s="1"/>
  <c r="BX41" i="3"/>
  <c r="BX39" i="3" s="1"/>
  <c r="AK9" i="98"/>
  <c r="AK13" i="98" s="1"/>
  <c r="AK26" i="98"/>
  <c r="AK24" i="98" s="1"/>
  <c r="AK28" i="98" s="1"/>
  <c r="AR13" i="64"/>
  <c r="AO11" i="95"/>
  <c r="BM65" i="32"/>
  <c r="BO65" i="32" s="1"/>
  <c r="CZ120" i="8"/>
  <c r="CZ62" i="8" s="1"/>
  <c r="DA62" i="8"/>
  <c r="AL26" i="98"/>
  <c r="AL24" i="98" s="1"/>
  <c r="AL28" i="98" s="1"/>
  <c r="AL9" i="98"/>
  <c r="AL13" i="98" s="1"/>
  <c r="DF72" i="7"/>
  <c r="DA8" i="136"/>
  <c r="DA35" i="8"/>
  <c r="CU10" i="7"/>
  <c r="BG61" i="32"/>
  <c r="BG70" i="32" s="1"/>
  <c r="CS72" i="7"/>
  <c r="CR167" i="7"/>
  <c r="CR72" i="7" s="1"/>
  <c r="CV8" i="135"/>
  <c r="CV36" i="7"/>
  <c r="CU36" i="7" s="1"/>
  <c r="DH62" i="8"/>
  <c r="DJ108" i="8"/>
  <c r="DI50" i="8"/>
  <c r="DI108" i="8" s="1"/>
  <c r="DG137" i="8"/>
  <c r="DG119" i="8"/>
  <c r="CQ35" i="123"/>
  <c r="DS35" i="123"/>
  <c r="F81" i="68"/>
  <c r="O17" i="126"/>
  <c r="CD10" i="123"/>
  <c r="AC10" i="123"/>
  <c r="M17" i="126" s="1"/>
  <c r="AN10" i="123"/>
  <c r="DF120" i="8"/>
  <c r="DF62" i="8" s="1"/>
  <c r="CS148" i="7"/>
  <c r="CR12" i="7"/>
  <c r="CR148" i="7" s="1"/>
  <c r="AR72" i="123"/>
  <c r="BS73" i="123"/>
  <c r="BS72" i="123" s="1"/>
  <c r="EZ63" i="123"/>
  <c r="CW50" i="8"/>
  <c r="CW108" i="8" s="1"/>
  <c r="CX108" i="8"/>
  <c r="DK28" i="7"/>
  <c r="U26" i="111"/>
  <c r="BK41" i="3"/>
  <c r="BK39" i="3" s="1"/>
  <c r="AK36" i="64"/>
  <c r="BJ43" i="3"/>
  <c r="BJ39" i="3"/>
  <c r="O7" i="96" s="1"/>
  <c r="AQ70" i="32"/>
  <c r="BW47" i="19"/>
  <c r="AE35" i="95"/>
  <c r="O7" i="102"/>
  <c r="BL121" i="8"/>
  <c r="BL123" i="8"/>
  <c r="BV29" i="71"/>
  <c r="BU29" i="71" s="1"/>
  <c r="AQ18" i="10"/>
  <c r="AR14" i="10"/>
  <c r="AR18" i="10" s="1"/>
  <c r="CK52" i="72"/>
  <c r="BS34" i="17"/>
  <c r="BT34" i="17"/>
  <c r="BS28" i="71"/>
  <c r="BR28" i="71"/>
  <c r="BB11" i="6"/>
  <c r="BB9" i="6" s="1"/>
  <c r="AU9" i="6"/>
  <c r="J45" i="68"/>
  <c r="L43" i="68"/>
  <c r="AQ41" i="3"/>
  <c r="AQ44" i="3"/>
  <c r="L16" i="81"/>
  <c r="V18" i="82"/>
  <c r="BE54" i="72"/>
  <c r="V52" i="72"/>
  <c r="BF41" i="11"/>
  <c r="BG41" i="11" s="1"/>
  <c r="BG29" i="11"/>
  <c r="BA8" i="135"/>
  <c r="AM8" i="135"/>
  <c r="E49" i="73"/>
  <c r="C18" i="56"/>
  <c r="H8" i="56"/>
  <c r="H18" i="56" s="1"/>
  <c r="BF39" i="17"/>
  <c r="BH39" i="17" s="1"/>
  <c r="BH24" i="17"/>
  <c r="AU151" i="7"/>
  <c r="AU17" i="7"/>
  <c r="BG10" i="5"/>
  <c r="BG8" i="5" s="1"/>
  <c r="AG14" i="59"/>
  <c r="AE121" i="8"/>
  <c r="AE126" i="8"/>
  <c r="AR42" i="11"/>
  <c r="AR43" i="11"/>
  <c r="AR41" i="11"/>
  <c r="BC53" i="7"/>
  <c r="H25" i="21"/>
  <c r="I25" i="21" s="1"/>
  <c r="N9" i="21"/>
  <c r="M13" i="21"/>
  <c r="O12" i="135"/>
  <c r="P11" i="135"/>
  <c r="C45" i="73"/>
  <c r="D45" i="73" s="1"/>
  <c r="D44" i="73"/>
  <c r="AH129" i="8"/>
  <c r="AH130" i="8" s="1"/>
  <c r="AH127" i="8"/>
  <c r="M10" i="3"/>
  <c r="M15" i="3"/>
  <c r="N39" i="8"/>
  <c r="O38" i="8"/>
  <c r="BN35" i="17"/>
  <c r="BB35" i="17"/>
  <c r="BL35" i="17"/>
  <c r="BC35" i="17"/>
  <c r="AJ42" i="8"/>
  <c r="AW42" i="8"/>
  <c r="AI104" i="8"/>
  <c r="BC29" i="11"/>
  <c r="P55" i="9"/>
  <c r="Q52" i="9"/>
  <c r="T52" i="9"/>
  <c r="G13" i="136"/>
  <c r="M45" i="6"/>
  <c r="M46" i="6" s="1"/>
  <c r="H45" i="6"/>
  <c r="G41" i="8"/>
  <c r="N46" i="6"/>
  <c r="O45" i="6"/>
  <c r="O46" i="6" s="1"/>
  <c r="N50" i="6"/>
  <c r="B81" i="56"/>
  <c r="G71" i="56"/>
  <c r="G81" i="56" s="1"/>
  <c r="AN31" i="19"/>
  <c r="AJ110" i="8"/>
  <c r="AW110" i="8"/>
  <c r="P11" i="136"/>
  <c r="P7" i="136" s="1"/>
  <c r="Q10" i="136"/>
  <c r="R10" i="136"/>
  <c r="X47" i="6"/>
  <c r="Y16" i="8" s="1"/>
  <c r="AF47" i="5"/>
  <c r="AJ63" i="72"/>
  <c r="AQ63" i="72" s="1"/>
  <c r="AJ62" i="72"/>
  <c r="AQ62" i="72" s="1"/>
  <c r="S18" i="8"/>
  <c r="AJ173" i="7"/>
  <c r="AJ171" i="7"/>
  <c r="M58" i="72"/>
  <c r="E39" i="3"/>
  <c r="M58" i="9"/>
  <c r="F44" i="3"/>
  <c r="E45" i="3"/>
  <c r="E48" i="3"/>
  <c r="G40" i="11"/>
  <c r="U53" i="7"/>
  <c r="U52" i="7" s="1"/>
  <c r="T52" i="7"/>
  <c r="P15" i="8"/>
  <c r="R14" i="8"/>
  <c r="Q14" i="8"/>
  <c r="B15" i="88"/>
  <c r="B14" i="88"/>
  <c r="P12" i="21"/>
  <c r="T49" i="19"/>
  <c r="Z60" i="19"/>
  <c r="Q11" i="135"/>
  <c r="Q39" i="7"/>
  <c r="Y26" i="10"/>
  <c r="O19" i="10"/>
  <c r="P19" i="10" s="1"/>
  <c r="P18" i="10"/>
  <c r="AJ8" i="136"/>
  <c r="AK8" i="136"/>
  <c r="AW8" i="136"/>
  <c r="AS89" i="7"/>
  <c r="F45" i="61"/>
  <c r="B48" i="56"/>
  <c r="BE87" i="7"/>
  <c r="AA45" i="3"/>
  <c r="AC49" i="3"/>
  <c r="D20" i="75"/>
  <c r="D21" i="75" s="1"/>
  <c r="D23" i="75" s="1"/>
  <c r="D24" i="75" s="1"/>
  <c r="BC33" i="17"/>
  <c r="BJ53" i="5"/>
  <c r="BJ54" i="5"/>
  <c r="BJ52" i="5"/>
  <c r="DX100" i="8"/>
  <c r="DX25" i="8"/>
  <c r="DX17" i="8"/>
  <c r="DM149" i="7"/>
  <c r="DM43" i="7"/>
  <c r="DM50" i="7"/>
  <c r="DS15" i="7"/>
  <c r="DS8" i="7" s="1"/>
  <c r="DS149" i="7"/>
  <c r="BW19" i="10"/>
  <c r="DU48" i="123"/>
  <c r="GG43" i="123"/>
  <c r="GG52" i="123"/>
  <c r="FU65" i="123"/>
  <c r="DU52" i="123"/>
  <c r="EG49" i="123"/>
  <c r="GF49" i="123" s="1"/>
  <c r="EI52" i="123"/>
  <c r="GH52" i="123" s="1"/>
  <c r="DV65" i="123"/>
  <c r="CH57" i="123"/>
  <c r="EG57" i="123" s="1"/>
  <c r="GF57" i="123" s="1"/>
  <c r="BM68" i="123"/>
  <c r="BV52" i="123"/>
  <c r="CH52" i="123" s="1"/>
  <c r="BW65" i="123"/>
  <c r="Q76" i="123"/>
  <c r="Q65" i="123"/>
  <c r="GH40" i="123"/>
  <c r="GH42" i="123" s="1"/>
  <c r="EI42" i="123"/>
  <c r="FT30" i="123"/>
  <c r="CI30" i="123"/>
  <c r="FT27" i="123"/>
  <c r="FT28" i="123"/>
  <c r="CH9" i="123"/>
  <c r="BV26" i="123"/>
  <c r="GG12" i="123"/>
  <c r="GG30" i="123" s="1"/>
  <c r="EH30" i="123"/>
  <c r="EI64" i="123"/>
  <c r="D25" i="118"/>
  <c r="BS51" i="8"/>
  <c r="BT109" i="8"/>
  <c r="BT140" i="8" s="1"/>
  <c r="J38" i="128"/>
  <c r="O38" i="128" s="1"/>
  <c r="T38" i="128" s="1"/>
  <c r="N31" i="128"/>
  <c r="R29" i="128"/>
  <c r="R37" i="128" s="1"/>
  <c r="H37" i="128"/>
  <c r="S31" i="128"/>
  <c r="E31" i="128"/>
  <c r="E30" i="128"/>
  <c r="F29" i="128"/>
  <c r="I30" i="128"/>
  <c r="S30" i="128"/>
  <c r="P29" i="128"/>
  <c r="N30" i="128"/>
  <c r="B16" i="128"/>
  <c r="K9" i="129"/>
  <c r="K6" i="129"/>
  <c r="K10" i="129" s="1"/>
  <c r="K14" i="129" s="1"/>
  <c r="K18" i="129" s="1"/>
  <c r="BQ21" i="123"/>
  <c r="BZ21" i="123" s="1"/>
  <c r="AC19" i="126"/>
  <c r="FN12" i="123"/>
  <c r="AB19" i="126" s="1"/>
  <c r="CC10" i="123"/>
  <c r="BZ10" i="123"/>
  <c r="BY10" i="123" s="1"/>
  <c r="B44" i="123"/>
  <c r="CY66" i="123"/>
  <c r="DH66" i="123" s="1"/>
  <c r="EO66" i="123" s="1"/>
  <c r="EX66" i="123" s="1"/>
  <c r="FG66" i="123" s="1"/>
  <c r="FP66" i="123" s="1"/>
  <c r="V57" i="123"/>
  <c r="G34" i="114"/>
  <c r="D24" i="118"/>
  <c r="G68" i="114"/>
  <c r="G17" i="114"/>
  <c r="D19" i="116"/>
  <c r="DI72" i="123"/>
  <c r="DR74" i="123"/>
  <c r="AY44" i="123"/>
  <c r="BH44" i="123" s="1"/>
  <c r="BQ44" i="123" s="1"/>
  <c r="CC44" i="123" s="1"/>
  <c r="T35" i="126" s="1"/>
  <c r="B46" i="123"/>
  <c r="L46" i="123"/>
  <c r="M50" i="123"/>
  <c r="V50" i="123" s="1"/>
  <c r="AE50" i="123" s="1"/>
  <c r="O41" i="126" s="1"/>
  <c r="AF50" i="123"/>
  <c r="DI28" i="123"/>
  <c r="FQ51" i="123"/>
  <c r="CL11" i="122"/>
  <c r="CG58" i="123"/>
  <c r="EF58" i="123" s="1"/>
  <c r="GE58" i="123" s="1"/>
  <c r="CW74" i="123"/>
  <c r="EV75" i="123"/>
  <c r="EW59" i="123"/>
  <c r="FF59" i="123" s="1"/>
  <c r="CL15" i="122"/>
  <c r="FH64" i="123"/>
  <c r="FH26" i="123"/>
  <c r="BS50" i="123"/>
  <c r="DR45" i="123"/>
  <c r="CE36" i="123"/>
  <c r="W27" i="123"/>
  <c r="W28" i="123"/>
  <c r="FQ15" i="123"/>
  <c r="FH72" i="123"/>
  <c r="FQ75" i="123"/>
  <c r="FQ50" i="123"/>
  <c r="FQ74" i="123"/>
  <c r="EY72" i="123"/>
  <c r="CL14" i="122"/>
  <c r="CL55" i="122"/>
  <c r="CN115" i="122"/>
  <c r="CA16" i="123"/>
  <c r="BY16" i="123" s="1"/>
  <c r="CG16" i="123"/>
  <c r="CM16" i="123" s="1"/>
  <c r="FY13" i="123"/>
  <c r="DU42" i="123"/>
  <c r="DC65" i="123"/>
  <c r="DC76" i="123"/>
  <c r="DO14" i="123"/>
  <c r="V21" i="126" s="1"/>
  <c r="W21" i="126"/>
  <c r="DO16" i="123"/>
  <c r="DY16" i="123"/>
  <c r="CF11" i="123"/>
  <c r="AF11" i="123"/>
  <c r="AF29" i="123" s="1"/>
  <c r="AM11" i="123"/>
  <c r="CG51" i="123"/>
  <c r="EF51" i="123" s="1"/>
  <c r="GE51" i="123" s="1"/>
  <c r="CG49" i="123"/>
  <c r="EF49" i="123" s="1"/>
  <c r="GE49" i="123" s="1"/>
  <c r="CE38" i="123"/>
  <c r="ED38" i="123" s="1"/>
  <c r="E64" i="123"/>
  <c r="E26" i="123"/>
  <c r="EL21" i="123"/>
  <c r="GE21" i="123"/>
  <c r="GK21" i="123" s="1"/>
  <c r="EE25" i="123"/>
  <c r="AE60" i="123"/>
  <c r="AN60" i="123" s="1"/>
  <c r="FT48" i="123"/>
  <c r="AC22" i="126"/>
  <c r="FX15" i="123"/>
  <c r="FW15" i="123" s="1"/>
  <c r="FN15" i="123"/>
  <c r="AB22" i="126" s="1"/>
  <c r="CH41" i="123"/>
  <c r="AI42" i="123"/>
  <c r="GD23" i="123"/>
  <c r="EH21" i="123"/>
  <c r="CI27" i="123"/>
  <c r="EC22" i="123"/>
  <c r="CM22" i="123"/>
  <c r="BS54" i="123"/>
  <c r="BS41" i="123"/>
  <c r="BS42" i="123" s="1"/>
  <c r="BJ42" i="123"/>
  <c r="CF36" i="123"/>
  <c r="EE36" i="123" s="1"/>
  <c r="GD36" i="123" s="1"/>
  <c r="EE10" i="123"/>
  <c r="AD21" i="123"/>
  <c r="T21" i="123"/>
  <c r="BS27" i="123"/>
  <c r="BS28" i="123"/>
  <c r="CM21" i="123"/>
  <c r="N35" i="126"/>
  <c r="Q22" i="126"/>
  <c r="BP15" i="123"/>
  <c r="P22" i="126" s="1"/>
  <c r="BA28" i="123"/>
  <c r="BA27" i="123"/>
  <c r="T21" i="126"/>
  <c r="EB14" i="123"/>
  <c r="BV43" i="123"/>
  <c r="CH43" i="123" s="1"/>
  <c r="BP16" i="123"/>
  <c r="CC16" i="123"/>
  <c r="FQ8" i="123"/>
  <c r="GE8" i="123"/>
  <c r="GK8" i="123" s="1"/>
  <c r="EB12" i="123"/>
  <c r="T19" i="126"/>
  <c r="CG60" i="123"/>
  <c r="EF60" i="123" s="1"/>
  <c r="GE60" i="123" s="1"/>
  <c r="CG50" i="123"/>
  <c r="DR40" i="123"/>
  <c r="AF27" i="123"/>
  <c r="AF28" i="123"/>
  <c r="FW12" i="123"/>
  <c r="CH30" i="123"/>
  <c r="EG12" i="123"/>
  <c r="BJ27" i="123"/>
  <c r="BJ28" i="123"/>
  <c r="CQ64" i="123"/>
  <c r="CQ26" i="123"/>
  <c r="CZ27" i="123"/>
  <c r="CZ28" i="123"/>
  <c r="DR14" i="123"/>
  <c r="DY14" i="123"/>
  <c r="DX14" i="123" s="1"/>
  <c r="FT52" i="123"/>
  <c r="CC15" i="123"/>
  <c r="N22" i="126"/>
  <c r="AC15" i="123"/>
  <c r="M22" i="126" s="1"/>
  <c r="EB23" i="123"/>
  <c r="GA23" i="123" s="1"/>
  <c r="CL23" i="123"/>
  <c r="CG55" i="123"/>
  <c r="EF55" i="123" s="1"/>
  <c r="GE55" i="123" s="1"/>
  <c r="AN55" i="123"/>
  <c r="CF54" i="123"/>
  <c r="EE54" i="123" s="1"/>
  <c r="GD54" i="123" s="1"/>
  <c r="CG45" i="123"/>
  <c r="EF45" i="123" s="1"/>
  <c r="GE45" i="123" s="1"/>
  <c r="CZ42" i="123"/>
  <c r="BT42" i="123"/>
  <c r="CF40" i="123"/>
  <c r="CF38" i="123"/>
  <c r="CF9" i="123"/>
  <c r="CF26" i="123" s="1"/>
  <c r="DX21" i="123"/>
  <c r="GB30" i="123"/>
  <c r="EM21" i="123"/>
  <c r="FN21" i="123" s="1"/>
  <c r="FO21" i="123"/>
  <c r="GE10" i="123"/>
  <c r="GK10" i="123" s="1"/>
  <c r="EH42" i="123"/>
  <c r="GG40" i="123"/>
  <c r="GG42" i="123" s="1"/>
  <c r="BY75" i="123"/>
  <c r="CB75" i="123"/>
  <c r="AN56" i="123"/>
  <c r="O47" i="126"/>
  <c r="CD56" i="123"/>
  <c r="O27" i="126"/>
  <c r="AN36" i="123"/>
  <c r="DR15" i="123"/>
  <c r="DY15" i="123"/>
  <c r="DX15" i="123" s="1"/>
  <c r="CG12" i="123"/>
  <c r="BS12" i="123"/>
  <c r="BS30" i="123" s="1"/>
  <c r="CA12" i="123"/>
  <c r="DR16" i="123"/>
  <c r="DZ16" i="123"/>
  <c r="DZ13" i="123"/>
  <c r="DR13" i="123"/>
  <c r="BJ64" i="123"/>
  <c r="BJ26" i="123"/>
  <c r="CG40" i="123"/>
  <c r="CF51" i="123"/>
  <c r="EF39" i="123"/>
  <c r="AZ55" i="123"/>
  <c r="BI55" i="123" s="1"/>
  <c r="BR55" i="123" s="1"/>
  <c r="K59" i="123"/>
  <c r="U59" i="123"/>
  <c r="T59" i="123" s="1"/>
  <c r="BG46" i="123"/>
  <c r="BQ46" i="123"/>
  <c r="DG46" i="123"/>
  <c r="DP46" i="123" s="1"/>
  <c r="N26" i="123"/>
  <c r="DI26" i="123"/>
  <c r="DI64" i="123"/>
  <c r="EP28" i="123"/>
  <c r="EP27" i="123"/>
  <c r="CG15" i="123"/>
  <c r="AN15" i="123"/>
  <c r="AL15" i="123" s="1"/>
  <c r="AF15" i="123"/>
  <c r="CA13" i="123"/>
  <c r="CG13" i="123"/>
  <c r="CF49" i="123"/>
  <c r="AF40" i="123"/>
  <c r="CG54" i="123"/>
  <c r="CF45" i="123"/>
  <c r="AM45" i="123"/>
  <c r="CL12" i="122"/>
  <c r="R44" i="126"/>
  <c r="CA53" i="123"/>
  <c r="CD53" i="123"/>
  <c r="AE54" i="123"/>
  <c r="W26" i="123"/>
  <c r="W64" i="123"/>
  <c r="EY64" i="123"/>
  <c r="EY26" i="123"/>
  <c r="BS15" i="123"/>
  <c r="BZ15" i="123"/>
  <c r="BY15" i="123" s="1"/>
  <c r="BS8" i="123"/>
  <c r="CF8" i="123"/>
  <c r="AR64" i="123"/>
  <c r="AR26" i="123"/>
  <c r="BI60" i="123"/>
  <c r="CG57" i="123"/>
  <c r="CE53" i="123"/>
  <c r="CF50" i="123"/>
  <c r="E42" i="123"/>
  <c r="M45" i="123"/>
  <c r="B45" i="123"/>
  <c r="CQ52" i="123"/>
  <c r="DR52" i="123" s="1"/>
  <c r="AL74" i="123"/>
  <c r="R50" i="126"/>
  <c r="CA59" i="123"/>
  <c r="BI37" i="123"/>
  <c r="DR8" i="123"/>
  <c r="FQ16" i="123"/>
  <c r="FX16" i="123"/>
  <c r="V44" i="123"/>
  <c r="K44" i="123"/>
  <c r="BS39" i="123"/>
  <c r="AX59" i="123"/>
  <c r="BH59" i="123"/>
  <c r="CF60" i="123"/>
  <c r="CF53" i="123"/>
  <c r="CG41" i="123"/>
  <c r="CF44" i="123"/>
  <c r="AM44" i="123"/>
  <c r="AE59" i="123"/>
  <c r="FQ39" i="123"/>
  <c r="AR52" i="123"/>
  <c r="BS52" i="123" s="1"/>
  <c r="BU52" i="123"/>
  <c r="FS52" i="123"/>
  <c r="AX74" i="123"/>
  <c r="AO72" i="123"/>
  <c r="BR46" i="123"/>
  <c r="FQ27" i="123"/>
  <c r="FQ28" i="123"/>
  <c r="GD12" i="123"/>
  <c r="AX46" i="123"/>
  <c r="FF46" i="123"/>
  <c r="FO46" i="123" s="1"/>
  <c r="C11" i="124"/>
  <c r="B22" i="124"/>
  <c r="B13" i="124"/>
  <c r="B7" i="124"/>
  <c r="B6" i="124"/>
  <c r="Q42" i="125"/>
  <c r="R24" i="125"/>
  <c r="Z23" i="125"/>
  <c r="T25" i="125"/>
  <c r="S26" i="125"/>
  <c r="O25" i="125"/>
  <c r="Z14" i="125"/>
  <c r="N27" i="125"/>
  <c r="L24" i="125"/>
  <c r="Z24" i="125"/>
  <c r="C31" i="124"/>
  <c r="Y24" i="125"/>
  <c r="T28" i="125"/>
  <c r="L26" i="125"/>
  <c r="Q44" i="125"/>
  <c r="R26" i="125"/>
  <c r="C8" i="124"/>
  <c r="C5" i="124"/>
  <c r="Y22" i="125"/>
  <c r="N44" i="125"/>
  <c r="C25" i="116"/>
  <c r="D25" i="116" s="1"/>
  <c r="D24" i="116"/>
  <c r="G34" i="134"/>
  <c r="D19" i="118"/>
  <c r="C20" i="118"/>
  <c r="D20" i="118" s="1"/>
  <c r="C87" i="118"/>
  <c r="D87" i="118" s="1"/>
  <c r="D86" i="118"/>
  <c r="B72" i="118"/>
  <c r="D72" i="118" s="1"/>
  <c r="D71" i="118"/>
  <c r="B107" i="118"/>
  <c r="D107" i="118" s="1"/>
  <c r="D106" i="118"/>
  <c r="C97" i="118"/>
  <c r="D97" i="118" s="1"/>
  <c r="D96" i="118"/>
  <c r="C67" i="118"/>
  <c r="D67" i="118" s="1"/>
  <c r="D66" i="118"/>
  <c r="C87" i="116"/>
  <c r="D87" i="116" s="1"/>
  <c r="D86" i="116"/>
  <c r="C82" i="118"/>
  <c r="D82" i="118" s="1"/>
  <c r="D81" i="118"/>
  <c r="G17" i="134"/>
  <c r="C62" i="118"/>
  <c r="D62" i="118" s="1"/>
  <c r="D61" i="118"/>
  <c r="B77" i="118"/>
  <c r="D77" i="118" s="1"/>
  <c r="D76" i="118"/>
  <c r="C92" i="118"/>
  <c r="D92" i="118" s="1"/>
  <c r="D91" i="118"/>
  <c r="D20" i="79"/>
  <c r="E22" i="79" s="1"/>
  <c r="C102" i="118"/>
  <c r="D102" i="118" s="1"/>
  <c r="D101" i="118"/>
  <c r="D44" i="116"/>
  <c r="C45" i="116"/>
  <c r="D45" i="116" s="1"/>
  <c r="D51" i="114"/>
  <c r="D34" i="116"/>
  <c r="C35" i="116"/>
  <c r="D35" i="116" s="1"/>
  <c r="U27" i="125"/>
  <c r="Q19" i="125"/>
  <c r="D15" i="127" s="1"/>
  <c r="Z29" i="125"/>
  <c r="W27" i="125"/>
  <c r="AC19" i="125"/>
  <c r="H15" i="127" s="1"/>
  <c r="Z25" i="125"/>
  <c r="L22" i="125"/>
  <c r="N19" i="125"/>
  <c r="C15" i="127" s="1"/>
  <c r="W19" i="125"/>
  <c r="F15" i="127" s="1"/>
  <c r="Z20" i="125"/>
  <c r="AA29" i="125"/>
  <c r="O27" i="125"/>
  <c r="Y29" i="125"/>
  <c r="AB27" i="125"/>
  <c r="AA28" i="125"/>
  <c r="M27" i="125"/>
  <c r="S28" i="125"/>
  <c r="U26" i="125"/>
  <c r="X25" i="125"/>
  <c r="L20" i="125"/>
  <c r="M19" i="125"/>
  <c r="C14" i="127" s="1"/>
  <c r="S20" i="125"/>
  <c r="Y14" i="125"/>
  <c r="AA14" i="125"/>
  <c r="U14" i="125"/>
  <c r="Q35" i="104"/>
  <c r="CY43" i="8"/>
  <c r="CK43" i="8"/>
  <c r="P27" i="104"/>
  <c r="AH64" i="123" l="1"/>
  <c r="BA58" i="72"/>
  <c r="M50" i="97"/>
  <c r="Y44" i="3"/>
  <c r="Y48" i="3" s="1"/>
  <c r="X25" i="95"/>
  <c r="Q58" i="72"/>
  <c r="P50" i="72" s="1"/>
  <c r="CF50" i="19"/>
  <c r="F4" i="85"/>
  <c r="M48" i="3"/>
  <c r="O48" i="3" s="1"/>
  <c r="EI26" i="123"/>
  <c r="BA58" i="9"/>
  <c r="J9" i="68"/>
  <c r="J13" i="68" s="1"/>
  <c r="DP50" i="19"/>
  <c r="BS30" i="19"/>
  <c r="CE56" i="123"/>
  <c r="ED56" i="123" s="1"/>
  <c r="GC56" i="123" s="1"/>
  <c r="AX43" i="3"/>
  <c r="G48" i="3"/>
  <c r="M46" i="78"/>
  <c r="V19" i="10"/>
  <c r="W127" i="8"/>
  <c r="DS50" i="19"/>
  <c r="DN50" i="19"/>
  <c r="G39" i="3"/>
  <c r="F88" i="7"/>
  <c r="P12" i="82"/>
  <c r="M40" i="3"/>
  <c r="GC75" i="123"/>
  <c r="FQ35" i="123"/>
  <c r="CE45" i="123"/>
  <c r="DR41" i="123"/>
  <c r="CM66" i="123"/>
  <c r="ED36" i="123"/>
  <c r="GC36" i="123" s="1"/>
  <c r="X49" i="6"/>
  <c r="X53" i="6" s="1"/>
  <c r="BB29" i="11"/>
  <c r="K18" i="61"/>
  <c r="C14" i="77" s="1"/>
  <c r="B14" i="77" s="1"/>
  <c r="J10" i="68"/>
  <c r="BI17" i="7"/>
  <c r="CE51" i="123"/>
  <c r="S39" i="128"/>
  <c r="L50" i="5"/>
  <c r="R114" i="68"/>
  <c r="FW16" i="123"/>
  <c r="CF27" i="123"/>
  <c r="CZ26" i="123"/>
  <c r="Y18" i="8"/>
  <c r="J11" i="68"/>
  <c r="L48" i="5"/>
  <c r="BT32" i="17"/>
  <c r="FR42" i="123"/>
  <c r="CR52" i="72"/>
  <c r="CS52" i="72" s="1"/>
  <c r="K13" i="87" s="1"/>
  <c r="L13" i="87" s="1"/>
  <c r="DY27" i="123"/>
  <c r="AO67" i="123"/>
  <c r="BQ48" i="3"/>
  <c r="CF47" i="7"/>
  <c r="CF145" i="7" s="1"/>
  <c r="P71" i="123"/>
  <c r="CT76" i="123"/>
  <c r="CE10" i="123"/>
  <c r="CL10" i="123"/>
  <c r="AF50" i="5"/>
  <c r="AQ8" i="135"/>
  <c r="AR8" i="135" s="1"/>
  <c r="AP19" i="10"/>
  <c r="BM65" i="123"/>
  <c r="X85" i="10"/>
  <c r="X87" i="10" s="1"/>
  <c r="I30" i="105" s="1"/>
  <c r="O18" i="128"/>
  <c r="T18" i="128" s="1"/>
  <c r="W85" i="10"/>
  <c r="W87" i="10" s="1"/>
  <c r="H30" i="105" s="1"/>
  <c r="M30" i="105" s="1"/>
  <c r="BZ58" i="7" s="1"/>
  <c r="BY58" i="7" s="1"/>
  <c r="BQ40" i="3"/>
  <c r="F112" i="68"/>
  <c r="T114" i="68"/>
  <c r="CL14" i="123"/>
  <c r="EK12" i="123"/>
  <c r="CF30" i="123"/>
  <c r="CE52" i="123"/>
  <c r="ED52" i="123" s="1"/>
  <c r="AF26" i="123"/>
  <c r="P114" i="68"/>
  <c r="EB64" i="7"/>
  <c r="EB159" i="7" s="1"/>
  <c r="EC159" i="7"/>
  <c r="CC76" i="122"/>
  <c r="EK99" i="8"/>
  <c r="EJ28" i="8"/>
  <c r="EJ99" i="8" s="1"/>
  <c r="E44" i="143"/>
  <c r="G44" i="143" s="1"/>
  <c r="D45" i="143" s="1"/>
  <c r="CC42" i="122"/>
  <c r="EK102" i="8"/>
  <c r="EJ19" i="8"/>
  <c r="EJ102" i="8" s="1"/>
  <c r="BM46" i="5"/>
  <c r="BM47" i="5" s="1"/>
  <c r="EH22" i="8"/>
  <c r="EB22" i="8"/>
  <c r="Y32" i="111"/>
  <c r="EO33" i="17"/>
  <c r="EP33" i="17" s="1"/>
  <c r="EO36" i="17"/>
  <c r="EP36" i="17" s="1"/>
  <c r="EO27" i="17"/>
  <c r="EP27" i="17" s="1"/>
  <c r="EO34" i="17"/>
  <c r="EP34" i="17" s="1"/>
  <c r="CC99" i="120"/>
  <c r="EE28" i="7"/>
  <c r="EE148" i="7" s="1"/>
  <c r="EF148" i="7"/>
  <c r="EB110" i="8"/>
  <c r="EB147" i="8" s="1"/>
  <c r="BB21" i="65" s="1"/>
  <c r="EA52" i="8"/>
  <c r="EA110" i="8" s="1"/>
  <c r="AO15" i="95"/>
  <c r="AO20" i="95" s="1"/>
  <c r="AS12" i="95"/>
  <c r="AT12" i="95"/>
  <c r="BC9" i="6"/>
  <c r="BC12" i="6" s="1"/>
  <c r="BC45" i="6" s="1"/>
  <c r="BC46" i="6" s="1"/>
  <c r="BG11" i="6"/>
  <c r="BG9" i="6" s="1"/>
  <c r="BG12" i="6" s="1"/>
  <c r="EO28" i="17"/>
  <c r="EP28" i="17" s="1"/>
  <c r="EO32" i="17"/>
  <c r="EP32" i="17" s="1"/>
  <c r="EO35" i="17"/>
  <c r="EP35" i="17" s="1"/>
  <c r="EO26" i="17"/>
  <c r="EP26" i="17" s="1"/>
  <c r="EO29" i="17"/>
  <c r="EP29" i="17" s="1"/>
  <c r="DW159" i="7"/>
  <c r="DV64" i="7"/>
  <c r="DV159" i="7" s="1"/>
  <c r="DW47" i="7"/>
  <c r="EC47" i="7"/>
  <c r="EH110" i="8"/>
  <c r="EH147" i="8" s="1"/>
  <c r="BF21" i="65" s="1"/>
  <c r="EG52" i="8"/>
  <c r="EG110" i="8" s="1"/>
  <c r="BS37" i="19"/>
  <c r="BS28" i="19"/>
  <c r="DO50" i="19"/>
  <c r="BS19" i="19"/>
  <c r="DQ50" i="19"/>
  <c r="BS31" i="19"/>
  <c r="BS34" i="19"/>
  <c r="AD37" i="19"/>
  <c r="AF37" i="19" s="1"/>
  <c r="BB50" i="19"/>
  <c r="BQ31" i="19" s="1"/>
  <c r="DP10" i="8"/>
  <c r="DO10" i="8" s="1"/>
  <c r="CC14" i="10"/>
  <c r="BV58" i="7"/>
  <c r="DP20" i="8"/>
  <c r="CC15" i="10"/>
  <c r="AF19" i="10"/>
  <c r="AX22" i="64"/>
  <c r="BH51" i="6"/>
  <c r="BH52" i="6"/>
  <c r="BH53" i="6"/>
  <c r="BH49" i="6" s="1"/>
  <c r="EK33" i="8" s="1"/>
  <c r="BH47" i="6"/>
  <c r="EK16" i="8" s="1"/>
  <c r="BH50" i="6"/>
  <c r="EK41" i="8" s="1"/>
  <c r="BH48" i="6"/>
  <c r="EK26" i="8" s="1"/>
  <c r="DW26" i="7"/>
  <c r="DV26" i="7" s="1"/>
  <c r="EC26" i="7"/>
  <c r="EB26" i="7" s="1"/>
  <c r="EC16" i="7"/>
  <c r="DW16" i="7"/>
  <c r="EC42" i="7"/>
  <c r="DW42" i="7"/>
  <c r="EB34" i="7"/>
  <c r="DV34" i="7"/>
  <c r="Y37" i="66"/>
  <c r="AM104" i="8"/>
  <c r="DZ61" i="8"/>
  <c r="DZ63" i="8" s="1"/>
  <c r="BF127" i="8"/>
  <c r="BG14" i="65"/>
  <c r="BI14" i="65"/>
  <c r="BR174" i="7"/>
  <c r="AZ167" i="7"/>
  <c r="N71" i="7"/>
  <c r="BR168" i="7"/>
  <c r="I113" i="56"/>
  <c r="N113" i="56" s="1"/>
  <c r="N112" i="56" s="1"/>
  <c r="AF37" i="66"/>
  <c r="N123" i="56"/>
  <c r="N122" i="56" s="1"/>
  <c r="F13" i="127"/>
  <c r="BL55" i="72"/>
  <c r="BV45" i="61"/>
  <c r="BX45" i="61"/>
  <c r="N92" i="56"/>
  <c r="FT63" i="123"/>
  <c r="EG43" i="123"/>
  <c r="AI63" i="123"/>
  <c r="CH63" i="123" s="1"/>
  <c r="GG9" i="123"/>
  <c r="GG26" i="123" s="1"/>
  <c r="C13" i="127"/>
  <c r="K15" i="127"/>
  <c r="GC38" i="123"/>
  <c r="DU63" i="123"/>
  <c r="O65" i="123"/>
  <c r="O71" i="123"/>
  <c r="N71" i="123"/>
  <c r="C7" i="124"/>
  <c r="BA38" i="66"/>
  <c r="BC38" i="66"/>
  <c r="F45" i="143"/>
  <c r="J46" i="143"/>
  <c r="I46" i="143"/>
  <c r="K46" i="143" s="1"/>
  <c r="BS33" i="19"/>
  <c r="BS16" i="19"/>
  <c r="BS43" i="19"/>
  <c r="BS29" i="19"/>
  <c r="BS41" i="19"/>
  <c r="BS18" i="19"/>
  <c r="BQ48" i="19"/>
  <c r="BF50" i="19"/>
  <c r="BG50" i="19"/>
  <c r="BS42" i="19"/>
  <c r="BS23" i="19"/>
  <c r="BS21" i="19"/>
  <c r="BS47" i="19"/>
  <c r="BS40" i="19"/>
  <c r="BS26" i="19"/>
  <c r="BQ39" i="19"/>
  <c r="BC50" i="19"/>
  <c r="BR17" i="19" s="1"/>
  <c r="BS27" i="19"/>
  <c r="BS39" i="19"/>
  <c r="BS36" i="19"/>
  <c r="BS38" i="19"/>
  <c r="BS20" i="19"/>
  <c r="BS17" i="19"/>
  <c r="BQ29" i="19"/>
  <c r="FK17" i="19"/>
  <c r="FK31" i="19"/>
  <c r="FK23" i="19"/>
  <c r="FK37" i="19"/>
  <c r="FK18" i="19"/>
  <c r="FK20" i="19"/>
  <c r="FK48" i="19"/>
  <c r="FK24" i="19"/>
  <c r="FK28" i="19"/>
  <c r="FK30" i="19"/>
  <c r="FK16" i="19"/>
  <c r="FK39" i="19"/>
  <c r="FK19" i="19"/>
  <c r="FK41" i="19"/>
  <c r="FK8" i="19"/>
  <c r="FK26" i="19"/>
  <c r="FK42" i="19"/>
  <c r="FK27" i="19"/>
  <c r="FK29" i="19"/>
  <c r="FK47" i="19"/>
  <c r="FK21" i="19"/>
  <c r="FK45" i="19"/>
  <c r="FK36" i="19"/>
  <c r="FK32" i="19"/>
  <c r="FK34" i="19"/>
  <c r="FK25" i="19"/>
  <c r="FK38" i="19"/>
  <c r="FK44" i="19"/>
  <c r="FK15" i="19"/>
  <c r="FK43" i="19"/>
  <c r="FK35" i="19"/>
  <c r="FK33" i="19"/>
  <c r="FK9" i="19"/>
  <c r="FK40" i="19"/>
  <c r="FK46" i="19"/>
  <c r="FK22" i="19"/>
  <c r="CY13" i="19"/>
  <c r="CW13" i="19" s="1"/>
  <c r="CW10" i="19" s="1"/>
  <c r="FJ14" i="19"/>
  <c r="FI14" i="19"/>
  <c r="FL14" i="19"/>
  <c r="N50" i="125"/>
  <c r="AP8" i="71"/>
  <c r="AM8" i="71" s="1"/>
  <c r="P24" i="71" s="1"/>
  <c r="AI12" i="66"/>
  <c r="AI11" i="66" s="1"/>
  <c r="AI36" i="66" s="1"/>
  <c r="AI39" i="66" s="1"/>
  <c r="AL66" i="123"/>
  <c r="BH129" i="8"/>
  <c r="BH130" i="8" s="1"/>
  <c r="ED105" i="8"/>
  <c r="EF137" i="8"/>
  <c r="EF152" i="8" s="1"/>
  <c r="EF119" i="8"/>
  <c r="CO61" i="8"/>
  <c r="CO63" i="8" s="1"/>
  <c r="L49" i="125"/>
  <c r="AG14" i="65"/>
  <c r="BC20" i="65"/>
  <c r="BG20" i="65"/>
  <c r="K26" i="21"/>
  <c r="DW119" i="8"/>
  <c r="DW121" i="8" s="1"/>
  <c r="BD15" i="65"/>
  <c r="BD13" i="65" s="1"/>
  <c r="CN27" i="8"/>
  <c r="CN61" i="8" s="1"/>
  <c r="CN63" i="8" s="1"/>
  <c r="J26" i="21"/>
  <c r="CU167" i="7"/>
  <c r="CU72" i="7" s="1"/>
  <c r="D88" i="7"/>
  <c r="Q23" i="64"/>
  <c r="DA35" i="7"/>
  <c r="S24" i="7"/>
  <c r="S25" i="7" s="1"/>
  <c r="S17" i="7" s="1"/>
  <c r="Y45" i="61"/>
  <c r="AF45" i="61"/>
  <c r="BR45" i="61"/>
  <c r="BT45" i="61"/>
  <c r="AX14" i="65"/>
  <c r="BE14" i="65"/>
  <c r="BC14" i="65"/>
  <c r="AF17" i="7"/>
  <c r="X91" i="7"/>
  <c r="AE171" i="7"/>
  <c r="DS53" i="7"/>
  <c r="DS52" i="7" s="1"/>
  <c r="DS153" i="7" s="1"/>
  <c r="BZ15" i="7"/>
  <c r="U25" i="71"/>
  <c r="CK168" i="7"/>
  <c r="EA8" i="7"/>
  <c r="BC52" i="7"/>
  <c r="BC153" i="7" s="1"/>
  <c r="AA167" i="7"/>
  <c r="AI167" i="7" s="1"/>
  <c r="BB52" i="7"/>
  <c r="BB153" i="7" s="1"/>
  <c r="BB29" i="7"/>
  <c r="BC29" i="7" s="1"/>
  <c r="BB36" i="7"/>
  <c r="BC36" i="7" s="1"/>
  <c r="AW93" i="7"/>
  <c r="AW94" i="7" s="1"/>
  <c r="DK152" i="8"/>
  <c r="CP152" i="8"/>
  <c r="AB78" i="8"/>
  <c r="DQ104" i="8"/>
  <c r="DQ141" i="8" s="1"/>
  <c r="BP80" i="8"/>
  <c r="BP81" i="8" s="1"/>
  <c r="AI23" i="102"/>
  <c r="DZ152" i="8"/>
  <c r="AZ15" i="65"/>
  <c r="AZ13" i="65" s="1"/>
  <c r="CK73" i="7"/>
  <c r="DT141" i="8"/>
  <c r="DT152" i="8" s="1"/>
  <c r="DV141" i="8"/>
  <c r="AW17" i="66"/>
  <c r="AW15" i="66" s="1"/>
  <c r="DQ53" i="7"/>
  <c r="DP53" i="7" s="1"/>
  <c r="DP52" i="7" s="1"/>
  <c r="DP153" i="7" s="1"/>
  <c r="AF10" i="104"/>
  <c r="AF14" i="104" s="1"/>
  <c r="BL67" i="32"/>
  <c r="DO42" i="8"/>
  <c r="DO104" i="8" s="1"/>
  <c r="DC73" i="7"/>
  <c r="CP63" i="8"/>
  <c r="AX17" i="66"/>
  <c r="AX15" i="66" s="1"/>
  <c r="AX12" i="66" s="1"/>
  <c r="DU104" i="8"/>
  <c r="DW141" i="8"/>
  <c r="DW152" i="8" s="1"/>
  <c r="DX104" i="8"/>
  <c r="AY17" i="66"/>
  <c r="AY15" i="66" s="1"/>
  <c r="AY12" i="66" s="1"/>
  <c r="AY11" i="66" s="1"/>
  <c r="AY36" i="66" s="1"/>
  <c r="AY39" i="66" s="1"/>
  <c r="DZ119" i="8"/>
  <c r="DZ121" i="8" s="1"/>
  <c r="CS123" i="8"/>
  <c r="CS124" i="8" s="1"/>
  <c r="F113" i="68"/>
  <c r="F114" i="68" s="1"/>
  <c r="AX94" i="7"/>
  <c r="AW88" i="7"/>
  <c r="Y90" i="7"/>
  <c r="AC38" i="7"/>
  <c r="AD38" i="7" s="1"/>
  <c r="AI87" i="7"/>
  <c r="R25" i="7"/>
  <c r="R17" i="7" s="1"/>
  <c r="DT71" i="7"/>
  <c r="DT84" i="7" s="1"/>
  <c r="DO184" i="7"/>
  <c r="DO199" i="7" s="1"/>
  <c r="DO166" i="7"/>
  <c r="AC30" i="7"/>
  <c r="AD30" i="7" s="1"/>
  <c r="AX23" i="8"/>
  <c r="AX20" i="8"/>
  <c r="AX19" i="8"/>
  <c r="AX26" i="8"/>
  <c r="AX44" i="8"/>
  <c r="AX33" i="8"/>
  <c r="AB80" i="8"/>
  <c r="M61" i="8"/>
  <c r="AC19" i="8"/>
  <c r="AC102" i="8" s="1"/>
  <c r="AI99" i="8"/>
  <c r="AW99" i="8" s="1"/>
  <c r="AB81" i="8"/>
  <c r="CR63" i="8"/>
  <c r="R10" i="70"/>
  <c r="R12" i="70" s="1"/>
  <c r="R20" i="70" s="1"/>
  <c r="AX18" i="8"/>
  <c r="AY18" i="8" s="1"/>
  <c r="AY96" i="8" s="1"/>
  <c r="Q50" i="125"/>
  <c r="AC12" i="7"/>
  <c r="AD12" i="7" s="1"/>
  <c r="AC54" i="7"/>
  <c r="AN54" i="7" s="1"/>
  <c r="AL54" i="7" s="1"/>
  <c r="BA54" i="7" s="1"/>
  <c r="AW171" i="7"/>
  <c r="BC152" i="7"/>
  <c r="DJ167" i="7"/>
  <c r="DJ72" i="7" s="1"/>
  <c r="AB87" i="7"/>
  <c r="AB167" i="7" s="1"/>
  <c r="AC55" i="7"/>
  <c r="AD55" i="7" s="1"/>
  <c r="AC10" i="7"/>
  <c r="AD10" i="7" s="1"/>
  <c r="AC29" i="7"/>
  <c r="AD29" i="7" s="1"/>
  <c r="T48" i="125"/>
  <c r="AC11" i="7"/>
  <c r="AD11" i="7" s="1"/>
  <c r="AC36" i="7"/>
  <c r="AD36" i="7" s="1"/>
  <c r="AC28" i="7"/>
  <c r="AD28" i="7" s="1"/>
  <c r="AC37" i="7"/>
  <c r="AD37" i="7" s="1"/>
  <c r="V25" i="71"/>
  <c r="AN53" i="7"/>
  <c r="AO53" i="7" s="1"/>
  <c r="AO52" i="7" s="1"/>
  <c r="AO153" i="7" s="1"/>
  <c r="AN36" i="7"/>
  <c r="AO36" i="7" s="1"/>
  <c r="AL36" i="7" s="1"/>
  <c r="BC25" i="71"/>
  <c r="W25" i="71"/>
  <c r="AN31" i="7"/>
  <c r="AO31" i="7" s="1"/>
  <c r="AN13" i="7"/>
  <c r="AO13" i="7" s="1"/>
  <c r="AL13" i="7" s="1"/>
  <c r="BA13" i="7" s="1"/>
  <c r="AX25" i="71"/>
  <c r="AZ120" i="8"/>
  <c r="BA120" i="8" s="1"/>
  <c r="AB121" i="8"/>
  <c r="BS99" i="8"/>
  <c r="AJ12" i="66"/>
  <c r="AJ11" i="66" s="1"/>
  <c r="AJ36" i="66" s="1"/>
  <c r="AJ39" i="66" s="1"/>
  <c r="CS152" i="8"/>
  <c r="AP81" i="8"/>
  <c r="AU149" i="7"/>
  <c r="CQ168" i="7"/>
  <c r="AU150" i="7"/>
  <c r="AW91" i="7"/>
  <c r="AB146" i="7"/>
  <c r="Q25" i="7"/>
  <c r="Z25" i="7" s="1"/>
  <c r="T24" i="7"/>
  <c r="T25" i="7" s="1"/>
  <c r="T17" i="7" s="1"/>
  <c r="Z24" i="7"/>
  <c r="DF73" i="7"/>
  <c r="CX167" i="7"/>
  <c r="CX72" i="7" s="1"/>
  <c r="DT188" i="7"/>
  <c r="DT199" i="7" s="1"/>
  <c r="BP17" i="61"/>
  <c r="BA75" i="8"/>
  <c r="M48" i="123"/>
  <c r="V48" i="123" s="1"/>
  <c r="AE48" i="123" s="1"/>
  <c r="EX50" i="19"/>
  <c r="ET50" i="19"/>
  <c r="EU50" i="19"/>
  <c r="DF199" i="7"/>
  <c r="AR11" i="64"/>
  <c r="AR10" i="64" s="1"/>
  <c r="AR35" i="64" s="1"/>
  <c r="AR37" i="64" s="1"/>
  <c r="C13" i="124"/>
  <c r="G8" i="56"/>
  <c r="B18" i="56"/>
  <c r="G101" i="56"/>
  <c r="L91" i="56"/>
  <c r="L101" i="56" s="1"/>
  <c r="AN167" i="7"/>
  <c r="AN29" i="7"/>
  <c r="AL87" i="7"/>
  <c r="AN10" i="7"/>
  <c r="H97" i="7"/>
  <c r="AZ54" i="9"/>
  <c r="EB11" i="123"/>
  <c r="Z18" i="126" s="1"/>
  <c r="BB152" i="7"/>
  <c r="H38" i="97"/>
  <c r="H40" i="97" s="1"/>
  <c r="H43" i="97" s="1"/>
  <c r="J17" i="129"/>
  <c r="J22" i="129" s="1"/>
  <c r="CN73" i="7"/>
  <c r="D55" i="34"/>
  <c r="CE25" i="123"/>
  <c r="ED25" i="123" s="1"/>
  <c r="GC25" i="123" s="1"/>
  <c r="CF13" i="123"/>
  <c r="EE13" i="123" s="1"/>
  <c r="BP63" i="8"/>
  <c r="P16" i="82"/>
  <c r="CL12" i="123"/>
  <c r="CL104" i="122"/>
  <c r="O44" i="3"/>
  <c r="X26" i="125"/>
  <c r="AC60" i="19"/>
  <c r="DL97" i="8"/>
  <c r="DO27" i="123"/>
  <c r="DX27" i="123" s="1"/>
  <c r="BW48" i="3"/>
  <c r="CH28" i="123"/>
  <c r="Z26" i="125"/>
  <c r="T8" i="123"/>
  <c r="K25" i="32"/>
  <c r="M25" i="32" s="1"/>
  <c r="I38" i="97"/>
  <c r="I40" i="97" s="1"/>
  <c r="I43" i="97" s="1"/>
  <c r="BS24" i="19"/>
  <c r="CG34" i="17"/>
  <c r="CG31" i="17" s="1"/>
  <c r="CD31" i="17"/>
  <c r="S64" i="32"/>
  <c r="T64" i="32"/>
  <c r="AF64" i="32"/>
  <c r="AH64" i="32" s="1"/>
  <c r="P19" i="125"/>
  <c r="D14" i="127" s="1"/>
  <c r="D13" i="127" s="1"/>
  <c r="CE14" i="123"/>
  <c r="BY12" i="123"/>
  <c r="X50" i="6"/>
  <c r="Y13" i="136" s="1"/>
  <c r="F82" i="68"/>
  <c r="AP80" i="8"/>
  <c r="AK70" i="32"/>
  <c r="F66" i="68"/>
  <c r="BU26" i="19"/>
  <c r="Q11" i="61"/>
  <c r="Q44" i="61" s="1"/>
  <c r="Q47" i="61" s="1"/>
  <c r="CC50" i="19"/>
  <c r="CE50" i="19"/>
  <c r="J53" i="85"/>
  <c r="AM128" i="8"/>
  <c r="AK11" i="19"/>
  <c r="AK49" i="19" s="1"/>
  <c r="AJ56" i="19" s="1"/>
  <c r="AC120" i="8"/>
  <c r="R29" i="125"/>
  <c r="L65" i="125"/>
  <c r="BA26" i="123"/>
  <c r="AO83" i="8"/>
  <c r="AO128" i="8" s="1"/>
  <c r="X48" i="6"/>
  <c r="AO22" i="8"/>
  <c r="AO99" i="8" s="1"/>
  <c r="AL10" i="123"/>
  <c r="F83" i="68"/>
  <c r="DF168" i="7"/>
  <c r="B73" i="56"/>
  <c r="B72" i="56" s="1"/>
  <c r="AP78" i="8"/>
  <c r="AU14" i="65"/>
  <c r="AV14" i="65" s="1"/>
  <c r="EL50" i="19"/>
  <c r="F68" i="68"/>
  <c r="BU29" i="19"/>
  <c r="BU47" i="19"/>
  <c r="CD50" i="19"/>
  <c r="CH50" i="19"/>
  <c r="K16" i="82"/>
  <c r="N16" i="82" s="1"/>
  <c r="BQ129" i="8"/>
  <c r="BQ130" i="8" s="1"/>
  <c r="AC23" i="8"/>
  <c r="AD23" i="8" s="1"/>
  <c r="AD100" i="8" s="1"/>
  <c r="AF20" i="19"/>
  <c r="M71" i="7"/>
  <c r="AP8" i="17"/>
  <c r="AM8" i="17" s="1"/>
  <c r="P39" i="17" s="1"/>
  <c r="DF171" i="7"/>
  <c r="CQ199" i="7"/>
  <c r="EN50" i="19"/>
  <c r="X49" i="19"/>
  <c r="U29" i="71"/>
  <c r="T29" i="71" s="1"/>
  <c r="BC29" i="71" s="1"/>
  <c r="F18" i="90"/>
  <c r="BU34" i="19"/>
  <c r="BU38" i="19"/>
  <c r="V27" i="95"/>
  <c r="E19" i="87"/>
  <c r="E17" i="87" s="1"/>
  <c r="W63" i="32"/>
  <c r="AM99" i="8"/>
  <c r="BD41" i="11"/>
  <c r="C68" i="124"/>
  <c r="AB62" i="65"/>
  <c r="BC13" i="7"/>
  <c r="BC14" i="7" s="1"/>
  <c r="BC15" i="7" s="1"/>
  <c r="BB14" i="7"/>
  <c r="BM123" i="8"/>
  <c r="BM124" i="8" s="1"/>
  <c r="BN126" i="8"/>
  <c r="DX14" i="19"/>
  <c r="DX13" i="19" s="1"/>
  <c r="EE13" i="19" s="1"/>
  <c r="DZ14" i="19"/>
  <c r="DZ13" i="19" s="1"/>
  <c r="EG13" i="19" s="1"/>
  <c r="DU13" i="19"/>
  <c r="EB13" i="19" s="1"/>
  <c r="DW14" i="19"/>
  <c r="DW13" i="19" s="1"/>
  <c r="ED13" i="19" s="1"/>
  <c r="BC9" i="7"/>
  <c r="BC144" i="7" s="1"/>
  <c r="BB144" i="7"/>
  <c r="AK176" i="7"/>
  <c r="AK177" i="7" s="1"/>
  <c r="AK174" i="7"/>
  <c r="N62" i="65"/>
  <c r="N63" i="65" s="1"/>
  <c r="N65" i="65" s="1"/>
  <c r="BT14" i="19"/>
  <c r="BT10" i="19" s="1"/>
  <c r="BT11" i="19" s="1"/>
  <c r="BV14" i="19"/>
  <c r="BV10" i="19" s="1"/>
  <c r="BV11" i="19" s="1"/>
  <c r="BS14" i="19"/>
  <c r="BS10" i="19" s="1"/>
  <c r="BS11" i="19" s="1"/>
  <c r="BU14" i="19"/>
  <c r="BU10" i="19" s="1"/>
  <c r="BU11" i="19" s="1"/>
  <c r="BQ14" i="19"/>
  <c r="BQ10" i="19" s="1"/>
  <c r="BQ11" i="19" s="1"/>
  <c r="BR14" i="19"/>
  <c r="BR10" i="19" s="1"/>
  <c r="BR11" i="19" s="1"/>
  <c r="BP10" i="19"/>
  <c r="BP11" i="19" s="1"/>
  <c r="CX14" i="19"/>
  <c r="CY14" i="19"/>
  <c r="CY10" i="19" s="1"/>
  <c r="CY11" i="19" s="1"/>
  <c r="AV31" i="8"/>
  <c r="BC30" i="8" s="1"/>
  <c r="C12" i="124"/>
  <c r="AZ30" i="11"/>
  <c r="AZ33" i="11"/>
  <c r="AZ32" i="11"/>
  <c r="AZ29" i="11"/>
  <c r="AZ31" i="11"/>
  <c r="T43" i="3"/>
  <c r="E5" i="84"/>
  <c r="AZ56" i="9"/>
  <c r="AZ57" i="9" s="1"/>
  <c r="BG57" i="9" s="1"/>
  <c r="K6" i="32"/>
  <c r="AZ56" i="72"/>
  <c r="AZ57" i="72" s="1"/>
  <c r="BG57" i="72" s="1"/>
  <c r="EC15" i="123"/>
  <c r="AA22" i="126" s="1"/>
  <c r="AY174" i="7"/>
  <c r="Q50" i="9"/>
  <c r="V50" i="9" s="1"/>
  <c r="DN96" i="8"/>
  <c r="AU41" i="7"/>
  <c r="AU35" i="7" s="1"/>
  <c r="AQ73" i="32"/>
  <c r="V10" i="104" s="1"/>
  <c r="V14" i="104" s="1"/>
  <c r="BL48" i="3"/>
  <c r="BC30" i="71"/>
  <c r="EV50" i="19"/>
  <c r="EW50" i="19"/>
  <c r="BG60" i="9"/>
  <c r="O42" i="128"/>
  <c r="T42" i="128" s="1"/>
  <c r="AL12" i="123"/>
  <c r="H55" i="34"/>
  <c r="H18" i="90"/>
  <c r="R15" i="8"/>
  <c r="D86" i="68"/>
  <c r="BP166" i="7"/>
  <c r="BP168" i="7" s="1"/>
  <c r="D48" i="116"/>
  <c r="F7" i="116" s="1"/>
  <c r="K55" i="34"/>
  <c r="AC23" i="7"/>
  <c r="AF41" i="123"/>
  <c r="CE41" i="123" s="1"/>
  <c r="AD8" i="123"/>
  <c r="AM8" i="123" s="1"/>
  <c r="K8" i="123"/>
  <c r="AN45" i="6"/>
  <c r="AN46" i="6" s="1"/>
  <c r="AN50" i="6" s="1"/>
  <c r="L28" i="128"/>
  <c r="N28" i="128" s="1"/>
  <c r="BH40" i="3"/>
  <c r="BH43" i="3" s="1"/>
  <c r="H12" i="129"/>
  <c r="H15" i="65"/>
  <c r="H13" i="65" s="1"/>
  <c r="FT26" i="123"/>
  <c r="W25" i="95"/>
  <c r="AT91" i="7"/>
  <c r="BS13" i="123"/>
  <c r="X36" i="95"/>
  <c r="W41" i="95"/>
  <c r="W46" i="95" s="1"/>
  <c r="B82" i="56"/>
  <c r="T40" i="128"/>
  <c r="AN73" i="32"/>
  <c r="U10" i="104" s="1"/>
  <c r="U14" i="104" s="1"/>
  <c r="AD31" i="19"/>
  <c r="AM31" i="19" s="1"/>
  <c r="AD9" i="19"/>
  <c r="AM9" i="19" s="1"/>
  <c r="AD29" i="19"/>
  <c r="AM29" i="19" s="1"/>
  <c r="DH63" i="8"/>
  <c r="J56" i="97"/>
  <c r="GF64" i="123"/>
  <c r="AD34" i="19"/>
  <c r="AF34" i="19" s="1"/>
  <c r="AD21" i="19"/>
  <c r="AF21" i="19" s="1"/>
  <c r="AJ28" i="8"/>
  <c r="C10" i="73"/>
  <c r="D10" i="73" s="1"/>
  <c r="D46" i="73" s="1"/>
  <c r="BY14" i="123"/>
  <c r="AD27" i="19"/>
  <c r="AM27" i="19" s="1"/>
  <c r="AD25" i="19"/>
  <c r="AD28" i="19"/>
  <c r="AM28" i="19" s="1"/>
  <c r="AD13" i="19"/>
  <c r="AF13" i="19" s="1"/>
  <c r="AD39" i="19"/>
  <c r="AM39" i="19" s="1"/>
  <c r="AD33" i="19"/>
  <c r="AM33" i="19" s="1"/>
  <c r="GC46" i="123"/>
  <c r="FK65" i="123"/>
  <c r="CM72" i="7"/>
  <c r="D9" i="118"/>
  <c r="AL14" i="123"/>
  <c r="AD17" i="19"/>
  <c r="AM17" i="19" s="1"/>
  <c r="AD19" i="19"/>
  <c r="AM19" i="19" s="1"/>
  <c r="AD18" i="19"/>
  <c r="AM18" i="19" s="1"/>
  <c r="AD32" i="19"/>
  <c r="AF32" i="19" s="1"/>
  <c r="AD26" i="19"/>
  <c r="AM26" i="19" s="1"/>
  <c r="AD42" i="19"/>
  <c r="AM42" i="19" s="1"/>
  <c r="D48" i="118"/>
  <c r="F37" i="118" s="1"/>
  <c r="G38" i="118" s="1"/>
  <c r="AO45" i="6"/>
  <c r="AO46" i="6" s="1"/>
  <c r="AO47" i="6" s="1"/>
  <c r="BA28" i="8"/>
  <c r="BC54" i="9"/>
  <c r="BD54" i="9" s="1"/>
  <c r="BD55" i="9" s="1"/>
  <c r="AD35" i="19"/>
  <c r="AM35" i="19" s="1"/>
  <c r="AD30" i="19"/>
  <c r="AM30" i="19" s="1"/>
  <c r="AD40" i="19"/>
  <c r="AD22" i="19"/>
  <c r="AF22" i="19" s="1"/>
  <c r="AD16" i="19"/>
  <c r="AM16" i="19" s="1"/>
  <c r="AD24" i="19"/>
  <c r="AM24" i="19" s="1"/>
  <c r="J16" i="21"/>
  <c r="BK49" i="19"/>
  <c r="DT121" i="8"/>
  <c r="AF30" i="19"/>
  <c r="F13" i="81"/>
  <c r="I13" i="81" s="1"/>
  <c r="J13" i="81" s="1"/>
  <c r="BU19" i="19"/>
  <c r="BU24" i="19"/>
  <c r="BU20" i="19"/>
  <c r="E17" i="128"/>
  <c r="J17" i="128" s="1"/>
  <c r="I58" i="56"/>
  <c r="I60" i="56" s="1"/>
  <c r="N60" i="56" s="1"/>
  <c r="N59" i="56" s="1"/>
  <c r="AL10" i="65"/>
  <c r="AL9" i="65" s="1"/>
  <c r="AL44" i="65" s="1"/>
  <c r="AL47" i="65" s="1"/>
  <c r="BU16" i="19"/>
  <c r="BH42" i="11"/>
  <c r="R28" i="128"/>
  <c r="CQ50" i="19"/>
  <c r="CX50" i="19" s="1"/>
  <c r="CX16" i="19" s="1"/>
  <c r="BU30" i="19"/>
  <c r="BU33" i="19"/>
  <c r="BU43" i="19"/>
  <c r="L28" i="56"/>
  <c r="L38" i="56" s="1"/>
  <c r="FQ40" i="123"/>
  <c r="FK76" i="123"/>
  <c r="AF49" i="5"/>
  <c r="DK124" i="8"/>
  <c r="N19" i="56"/>
  <c r="W19" i="56" s="1"/>
  <c r="BB103" i="6"/>
  <c r="BD103" i="6" s="1"/>
  <c r="BE103" i="6" s="1"/>
  <c r="BF103" i="6"/>
  <c r="BS25" i="17"/>
  <c r="CC25" i="17" s="1"/>
  <c r="DK127" i="8"/>
  <c r="P30" i="105"/>
  <c r="BU37" i="19"/>
  <c r="BU36" i="19"/>
  <c r="BU27" i="19"/>
  <c r="BU41" i="19"/>
  <c r="BU40" i="19"/>
  <c r="BU18" i="19"/>
  <c r="AV146" i="7"/>
  <c r="GD48" i="123"/>
  <c r="N34" i="125"/>
  <c r="CE54" i="123"/>
  <c r="ED54" i="123" s="1"/>
  <c r="Z65" i="123"/>
  <c r="AF51" i="5"/>
  <c r="DF174" i="7"/>
  <c r="AL73" i="123"/>
  <c r="AP12" i="6"/>
  <c r="AP45" i="6" s="1"/>
  <c r="AP46" i="6" s="1"/>
  <c r="CO152" i="8"/>
  <c r="BU31" i="19"/>
  <c r="BU17" i="19"/>
  <c r="BU23" i="19"/>
  <c r="BU42" i="19"/>
  <c r="BU21" i="19"/>
  <c r="BU39" i="19"/>
  <c r="AL16" i="123"/>
  <c r="N31" i="32"/>
  <c r="P31" i="32" s="1"/>
  <c r="M31" i="32"/>
  <c r="DC174" i="7"/>
  <c r="CD56" i="72"/>
  <c r="BV87" i="7"/>
  <c r="BW60" i="7" s="1"/>
  <c r="X18" i="61" s="1"/>
  <c r="DK121" i="8"/>
  <c r="E37" i="84"/>
  <c r="G37" i="84" s="1"/>
  <c r="AQ19" i="10"/>
  <c r="BE50" i="9"/>
  <c r="BD43" i="11"/>
  <c r="BH43" i="11" s="1"/>
  <c r="L37" i="128"/>
  <c r="N37" i="128" s="1"/>
  <c r="BP27" i="123"/>
  <c r="BY27" i="123" s="1"/>
  <c r="CG29" i="123"/>
  <c r="EF11" i="123"/>
  <c r="BE52" i="9"/>
  <c r="AZ52" i="9"/>
  <c r="AZ55" i="9" s="1"/>
  <c r="AX55" i="9" s="1"/>
  <c r="AJ24" i="95"/>
  <c r="AI24" i="95"/>
  <c r="AI25" i="95" s="1"/>
  <c r="AI27" i="95" s="1"/>
  <c r="CS45" i="7" s="1"/>
  <c r="CR45" i="7" s="1"/>
  <c r="J63" i="68"/>
  <c r="H65" i="68"/>
  <c r="AA24" i="7"/>
  <c r="AP23" i="7"/>
  <c r="AB23" i="7"/>
  <c r="AI57" i="65"/>
  <c r="AI62" i="65"/>
  <c r="C29" i="63"/>
  <c r="D28" i="63"/>
  <c r="FO8" i="123"/>
  <c r="FX8" i="123" s="1"/>
  <c r="O55" i="34"/>
  <c r="N55" i="34"/>
  <c r="M55" i="34"/>
  <c r="I55" i="34"/>
  <c r="L55" i="34"/>
  <c r="F55" i="34"/>
  <c r="J55" i="34"/>
  <c r="E55" i="34"/>
  <c r="BB10" i="5"/>
  <c r="BB8" i="5" s="1"/>
  <c r="BB11" i="5" s="1"/>
  <c r="AX8" i="5"/>
  <c r="BT75" i="8"/>
  <c r="BT120" i="8" s="1"/>
  <c r="BT62" i="8" s="1"/>
  <c r="S11" i="98"/>
  <c r="AZ62" i="3"/>
  <c r="I45" i="96" s="1"/>
  <c r="Z45" i="65"/>
  <c r="N37" i="105"/>
  <c r="N39" i="105" s="1"/>
  <c r="O38" i="105" s="1"/>
  <c r="AZ65" i="3"/>
  <c r="BB65" i="3" s="1"/>
  <c r="BB63" i="3" s="1"/>
  <c r="K12" i="32"/>
  <c r="M12" i="32" s="1"/>
  <c r="M11" i="32"/>
  <c r="P17" i="126"/>
  <c r="DW68" i="123"/>
  <c r="AX67" i="123"/>
  <c r="EQ50" i="19"/>
  <c r="DU154" i="7"/>
  <c r="AT88" i="7"/>
  <c r="P28" i="128"/>
  <c r="CO119" i="8"/>
  <c r="CO121" i="8" s="1"/>
  <c r="DL50" i="19"/>
  <c r="BQ19" i="19"/>
  <c r="BQ38" i="19"/>
  <c r="BQ37" i="19"/>
  <c r="BQ17" i="19"/>
  <c r="BQ21" i="19"/>
  <c r="BQ20" i="19"/>
  <c r="A30" i="89"/>
  <c r="A28" i="89" s="1"/>
  <c r="D37" i="128"/>
  <c r="N17" i="128"/>
  <c r="DG50" i="19"/>
  <c r="CL15" i="123"/>
  <c r="CL16" i="123"/>
  <c r="BL29" i="71"/>
  <c r="EP50" i="19"/>
  <c r="DK50" i="19"/>
  <c r="BQ16" i="19"/>
  <c r="O20" i="70"/>
  <c r="BQ30" i="19"/>
  <c r="BQ34" i="19"/>
  <c r="BQ36" i="19"/>
  <c r="BQ24" i="19"/>
  <c r="BQ40" i="19"/>
  <c r="BQ43" i="19"/>
  <c r="F12" i="81"/>
  <c r="I12" i="81" s="1"/>
  <c r="J12" i="81" s="1"/>
  <c r="D52" i="68"/>
  <c r="DI50" i="19"/>
  <c r="AZ70" i="32"/>
  <c r="EM50" i="19"/>
  <c r="H121" i="106"/>
  <c r="H122" i="106" s="1"/>
  <c r="AZ47" i="3" s="1"/>
  <c r="CE48" i="123"/>
  <c r="ED48" i="123" s="1"/>
  <c r="GC48" i="123" s="1"/>
  <c r="FE8" i="123"/>
  <c r="Q28" i="128"/>
  <c r="BQ28" i="19"/>
  <c r="BQ18" i="19"/>
  <c r="BQ33" i="19"/>
  <c r="BQ42" i="19"/>
  <c r="BQ27" i="19"/>
  <c r="BQ41" i="19"/>
  <c r="AT19" i="10"/>
  <c r="DC119" i="8"/>
  <c r="DC121" i="8" s="1"/>
  <c r="C51" i="124"/>
  <c r="AX8" i="123"/>
  <c r="CN199" i="7"/>
  <c r="AG47" i="5"/>
  <c r="CK50" i="19"/>
  <c r="K38" i="32"/>
  <c r="M38" i="32" s="1"/>
  <c r="E18" i="74" s="1"/>
  <c r="E21" i="74" s="1"/>
  <c r="D13" i="77" s="1"/>
  <c r="E30" i="84"/>
  <c r="J31" i="128"/>
  <c r="O31" i="128" s="1"/>
  <c r="T31" i="128" s="1"/>
  <c r="DO20" i="8"/>
  <c r="DO97" i="8" s="1"/>
  <c r="AJ11" i="64"/>
  <c r="AJ23" i="64" s="1"/>
  <c r="CP53" i="7"/>
  <c r="CO53" i="7" s="1"/>
  <c r="CO52" i="7" s="1"/>
  <c r="K49" i="6"/>
  <c r="K33" i="8" s="1"/>
  <c r="K27" i="8" s="1"/>
  <c r="K48" i="6"/>
  <c r="K26" i="8" s="1"/>
  <c r="K17" i="8" s="1"/>
  <c r="K47" i="6"/>
  <c r="K16" i="8" s="1"/>
  <c r="K8" i="8" s="1"/>
  <c r="K50" i="6"/>
  <c r="C9" i="124"/>
  <c r="AG45" i="6"/>
  <c r="AG48" i="6" s="1"/>
  <c r="C77" i="78"/>
  <c r="V13" i="98"/>
  <c r="AA13" i="98"/>
  <c r="AC20" i="8"/>
  <c r="AC33" i="8"/>
  <c r="AC103" i="8" s="1"/>
  <c r="AC44" i="8"/>
  <c r="AC47" i="8"/>
  <c r="AC18" i="8"/>
  <c r="AC24" i="8"/>
  <c r="BG17" i="7"/>
  <c r="AD36" i="19"/>
  <c r="AD23" i="19"/>
  <c r="AM23" i="19" s="1"/>
  <c r="AB59" i="65"/>
  <c r="AC56" i="65"/>
  <c r="AB63" i="65"/>
  <c r="N39" i="59"/>
  <c r="O38" i="59"/>
  <c r="N42" i="59"/>
  <c r="DE123" i="8"/>
  <c r="DE121" i="8"/>
  <c r="Z164" i="6"/>
  <c r="AS80" i="8"/>
  <c r="DE61" i="8"/>
  <c r="DE63" i="8" s="1"/>
  <c r="CM14" i="123"/>
  <c r="GF43" i="123"/>
  <c r="CW8" i="123"/>
  <c r="AT171" i="7"/>
  <c r="DB184" i="7"/>
  <c r="AG51" i="5"/>
  <c r="BD42" i="7" s="1"/>
  <c r="AO16" i="95"/>
  <c r="AO21" i="95" s="1"/>
  <c r="DL9" i="7" s="1"/>
  <c r="AG49" i="5"/>
  <c r="BD26" i="7" s="1"/>
  <c r="BE26" i="7" s="1"/>
  <c r="AO50" i="6"/>
  <c r="BW13" i="136" s="1"/>
  <c r="BV13" i="136" s="1"/>
  <c r="CB73" i="123"/>
  <c r="DO73" i="123"/>
  <c r="DX73" i="123" s="1"/>
  <c r="E29" i="128"/>
  <c r="DJ63" i="8"/>
  <c r="AU27" i="7"/>
  <c r="AG50" i="5"/>
  <c r="BD34" i="7" s="1"/>
  <c r="C40" i="85"/>
  <c r="H31" i="64"/>
  <c r="DD63" i="8"/>
  <c r="AM47" i="19"/>
  <c r="CE16" i="123"/>
  <c r="AO48" i="6"/>
  <c r="AO52" i="6" s="1"/>
  <c r="CL86" i="122"/>
  <c r="BC39" i="11"/>
  <c r="AE39" i="59"/>
  <c r="AK11" i="64"/>
  <c r="AK23" i="64" s="1"/>
  <c r="CN119" i="8"/>
  <c r="CN121" i="8" s="1"/>
  <c r="FB50" i="19"/>
  <c r="FI50" i="19" s="1"/>
  <c r="AO19" i="10"/>
  <c r="CV61" i="8"/>
  <c r="CV63" i="8" s="1"/>
  <c r="CM50" i="19"/>
  <c r="C28" i="91"/>
  <c r="FC50" i="19"/>
  <c r="FJ50" i="19" s="1"/>
  <c r="AV27" i="7"/>
  <c r="FE50" i="19"/>
  <c r="FL50" i="19" s="1"/>
  <c r="DC171" i="7"/>
  <c r="F16" i="21"/>
  <c r="ED58" i="123"/>
  <c r="GC58" i="123" s="1"/>
  <c r="CJ50" i="19"/>
  <c r="CL50" i="19"/>
  <c r="CO50" i="19"/>
  <c r="AL72" i="123"/>
  <c r="DC168" i="7"/>
  <c r="CY56" i="123"/>
  <c r="DH56" i="123" s="1"/>
  <c r="DQ56" i="123" s="1"/>
  <c r="EC56" i="123" s="1"/>
  <c r="EX56" i="123"/>
  <c r="FG56" i="123" s="1"/>
  <c r="FP56" i="123" s="1"/>
  <c r="X38" i="66"/>
  <c r="X56" i="66" s="1"/>
  <c r="Z37" i="66"/>
  <c r="P8" i="8"/>
  <c r="BU120" i="8"/>
  <c r="BU62" i="8" s="1"/>
  <c r="AR19" i="10"/>
  <c r="FQ41" i="123"/>
  <c r="T12" i="98"/>
  <c r="U12" i="98" s="1"/>
  <c r="V12" i="98" s="1"/>
  <c r="W12" i="98" s="1"/>
  <c r="X12" i="98" s="1"/>
  <c r="S27" i="98"/>
  <c r="F50" i="68"/>
  <c r="BJ63" i="8"/>
  <c r="BJ78" i="8"/>
  <c r="CQ61" i="8"/>
  <c r="CQ63" i="8" s="1"/>
  <c r="H13" i="68"/>
  <c r="D72" i="68"/>
  <c r="CQ119" i="8"/>
  <c r="CQ121" i="8" s="1"/>
  <c r="F51" i="68"/>
  <c r="J32" i="98"/>
  <c r="J24" i="98"/>
  <c r="BD76" i="123"/>
  <c r="CN72" i="123"/>
  <c r="BM76" i="123"/>
  <c r="BR29" i="71"/>
  <c r="BQ29" i="71" s="1"/>
  <c r="BQ37" i="71" s="1"/>
  <c r="BS37" i="71" s="1"/>
  <c r="BQ67" i="123"/>
  <c r="BZ67" i="123" s="1"/>
  <c r="AF32" i="7"/>
  <c r="AF150" i="7" s="1"/>
  <c r="BP27" i="17"/>
  <c r="BO27" i="17"/>
  <c r="AZ31" i="7" s="1"/>
  <c r="BB31" i="7" s="1"/>
  <c r="BB32" i="7" s="1"/>
  <c r="Q55" i="72"/>
  <c r="V55" i="72" s="1"/>
  <c r="D100" i="68"/>
  <c r="CN168" i="7"/>
  <c r="Q48" i="125"/>
  <c r="BK65" i="123"/>
  <c r="AD59" i="123"/>
  <c r="N50" i="126" s="1"/>
  <c r="Y10" i="136"/>
  <c r="Y38" i="8"/>
  <c r="AE40" i="3"/>
  <c r="AE48" i="3"/>
  <c r="AG48" i="3" s="1"/>
  <c r="BP58" i="72"/>
  <c r="AG44" i="3"/>
  <c r="I32" i="85"/>
  <c r="J31" i="85"/>
  <c r="M26" i="32"/>
  <c r="DF119" i="8"/>
  <c r="DF121" i="8" s="1"/>
  <c r="DP97" i="8"/>
  <c r="DP144" i="8" s="1"/>
  <c r="AW30" i="65" s="1"/>
  <c r="AO47" i="8"/>
  <c r="AO105" i="8" s="1"/>
  <c r="DP8" i="123"/>
  <c r="DY8" i="123" s="1"/>
  <c r="CS55" i="72"/>
  <c r="H14" i="68"/>
  <c r="C37" i="128"/>
  <c r="CH48" i="123"/>
  <c r="EG48" i="123" s="1"/>
  <c r="GF48" i="123" s="1"/>
  <c r="CE60" i="123"/>
  <c r="ED60" i="123" s="1"/>
  <c r="GC37" i="123"/>
  <c r="CE49" i="123"/>
  <c r="ED49" i="123" s="1"/>
  <c r="CE50" i="123"/>
  <c r="ED50" i="123" s="1"/>
  <c r="D49" i="118"/>
  <c r="F22" i="118" s="1"/>
  <c r="F13" i="68"/>
  <c r="BP17" i="7"/>
  <c r="BP71" i="7" s="1"/>
  <c r="BP73" i="7" s="1"/>
  <c r="C14" i="124"/>
  <c r="BY73" i="123"/>
  <c r="CE73" i="123"/>
  <c r="CE72" i="123" s="1"/>
  <c r="DI119" i="8"/>
  <c r="DI121" i="8" s="1"/>
  <c r="DN72" i="7"/>
  <c r="BE88" i="6"/>
  <c r="FW10" i="123"/>
  <c r="AC49" i="19"/>
  <c r="AH59" i="19" s="1"/>
  <c r="W11" i="70"/>
  <c r="BY48" i="3"/>
  <c r="W91" i="7"/>
  <c r="Y91" i="7"/>
  <c r="FA50" i="19"/>
  <c r="FH50" i="19" s="1"/>
  <c r="FH9" i="19" s="1"/>
  <c r="F14" i="68"/>
  <c r="AZ82" i="6"/>
  <c r="BE82" i="6" s="1"/>
  <c r="AG35" i="95"/>
  <c r="AG33" i="95" s="1"/>
  <c r="AG37" i="95" s="1"/>
  <c r="GF23" i="123"/>
  <c r="GF29" i="123" s="1"/>
  <c r="Z32" i="7"/>
  <c r="S32" i="7"/>
  <c r="S33" i="7" s="1"/>
  <c r="T32" i="7"/>
  <c r="Q33" i="7"/>
  <c r="R32" i="7"/>
  <c r="R33" i="7" s="1"/>
  <c r="I40" i="56"/>
  <c r="N40" i="56" s="1"/>
  <c r="N39" i="56" s="1"/>
  <c r="S39" i="56"/>
  <c r="GE24" i="123"/>
  <c r="GK24" i="123" s="1"/>
  <c r="EL24" i="123"/>
  <c r="BV42" i="19"/>
  <c r="BV28" i="19"/>
  <c r="BV38" i="19"/>
  <c r="BV39" i="19"/>
  <c r="BV18" i="19"/>
  <c r="BV17" i="19"/>
  <c r="BV26" i="19"/>
  <c r="BV29" i="19"/>
  <c r="BV24" i="19"/>
  <c r="BV23" i="19"/>
  <c r="BV34" i="19"/>
  <c r="BV36" i="19"/>
  <c r="BV41" i="19"/>
  <c r="BV21" i="19"/>
  <c r="BV48" i="19"/>
  <c r="BV43" i="19"/>
  <c r="BV40" i="19"/>
  <c r="BV19" i="19"/>
  <c r="BV16" i="19"/>
  <c r="BV30" i="19"/>
  <c r="BV20" i="19"/>
  <c r="BV37" i="19"/>
  <c r="BV33" i="19"/>
  <c r="BV27" i="19"/>
  <c r="BV31" i="19"/>
  <c r="BV47" i="19"/>
  <c r="CX67" i="123"/>
  <c r="DG67" i="123" s="1"/>
  <c r="EN67" i="123" s="1"/>
  <c r="EW67" i="123" s="1"/>
  <c r="FF67" i="123" s="1"/>
  <c r="BT40" i="19"/>
  <c r="BT18" i="19"/>
  <c r="BT30" i="19"/>
  <c r="BT28" i="19"/>
  <c r="BT37" i="19"/>
  <c r="BT21" i="19"/>
  <c r="BT47" i="19"/>
  <c r="BT19" i="19"/>
  <c r="BT43" i="19"/>
  <c r="BT36" i="19"/>
  <c r="BT23" i="19"/>
  <c r="BT41" i="19"/>
  <c r="BT31" i="19"/>
  <c r="BT42" i="19"/>
  <c r="BT38" i="19"/>
  <c r="BT16" i="19"/>
  <c r="BT48" i="19"/>
  <c r="BT27" i="19"/>
  <c r="BT39" i="19"/>
  <c r="BT24" i="19"/>
  <c r="BT17" i="19"/>
  <c r="BT33" i="19"/>
  <c r="BT34" i="19"/>
  <c r="BT29" i="19"/>
  <c r="BT26" i="19"/>
  <c r="BT20" i="19"/>
  <c r="BS50" i="8"/>
  <c r="M23" i="102"/>
  <c r="N13" i="102"/>
  <c r="M15" i="102"/>
  <c r="U19" i="125"/>
  <c r="CL10" i="122"/>
  <c r="FQ72" i="123"/>
  <c r="DY21" i="123"/>
  <c r="BX65" i="123"/>
  <c r="Q15" i="8"/>
  <c r="D7" i="105"/>
  <c r="D20" i="105" s="1"/>
  <c r="CN8" i="123"/>
  <c r="H88" i="7"/>
  <c r="DH72" i="7"/>
  <c r="AT45" i="6"/>
  <c r="AT46" i="6" s="1"/>
  <c r="AT49" i="6" s="1"/>
  <c r="CX33" i="8" s="1"/>
  <c r="CW33" i="8" s="1"/>
  <c r="DF61" i="8"/>
  <c r="DF63" i="8" s="1"/>
  <c r="Y93" i="7"/>
  <c r="Y94" i="7" s="1"/>
  <c r="EZ50" i="19"/>
  <c r="FG50" i="19" s="1"/>
  <c r="CR55" i="72"/>
  <c r="AM12" i="19"/>
  <c r="AE37" i="123"/>
  <c r="DE141" i="8"/>
  <c r="DE152" i="8" s="1"/>
  <c r="AP17" i="66"/>
  <c r="AP15" i="66" s="1"/>
  <c r="AP12" i="66" s="1"/>
  <c r="AP11" i="66" s="1"/>
  <c r="AP36" i="66" s="1"/>
  <c r="AP39" i="66" s="1"/>
  <c r="I36" i="111"/>
  <c r="F56" i="97"/>
  <c r="R14" i="125"/>
  <c r="Z75" i="8"/>
  <c r="Z18" i="8" s="1"/>
  <c r="AA18" i="8" s="1"/>
  <c r="AF75" i="8"/>
  <c r="Y120" i="8"/>
  <c r="AF120" i="8" s="1"/>
  <c r="I55" i="85"/>
  <c r="J55" i="85" s="1"/>
  <c r="J54" i="85"/>
  <c r="AX176" i="7"/>
  <c r="AX177" i="7" s="1"/>
  <c r="AX174" i="7"/>
  <c r="FQ64" i="123"/>
  <c r="EP26" i="123"/>
  <c r="B28" i="128"/>
  <c r="B36" i="128" s="1"/>
  <c r="W49" i="19"/>
  <c r="AV8" i="7"/>
  <c r="H16" i="129"/>
  <c r="AT26" i="8"/>
  <c r="AT20" i="8"/>
  <c r="AT33" i="8"/>
  <c r="AT23" i="8"/>
  <c r="AT120" i="8"/>
  <c r="AT46" i="8"/>
  <c r="AU46" i="8" s="1"/>
  <c r="AT47" i="8"/>
  <c r="AT44" i="8"/>
  <c r="AT18" i="8"/>
  <c r="AT24" i="8"/>
  <c r="BP123" i="8"/>
  <c r="BP124" i="8" s="1"/>
  <c r="BR124" i="8"/>
  <c r="BR126" i="8"/>
  <c r="AL11" i="19"/>
  <c r="AL49" i="19" s="1"/>
  <c r="AJ57" i="19" s="1"/>
  <c r="V62" i="32"/>
  <c r="W62" i="32"/>
  <c r="CK9" i="136"/>
  <c r="CL9" i="136" s="1"/>
  <c r="K32" i="111"/>
  <c r="CK37" i="8"/>
  <c r="BR29" i="19"/>
  <c r="BR19" i="19"/>
  <c r="BR31" i="19"/>
  <c r="BR30" i="19"/>
  <c r="BR18" i="19"/>
  <c r="BR41" i="19"/>
  <c r="BR42" i="19"/>
  <c r="AR12" i="66"/>
  <c r="AR11" i="66" s="1"/>
  <c r="AR36" i="66" s="1"/>
  <c r="AR39" i="66" s="1"/>
  <c r="BA28" i="7"/>
  <c r="AL148" i="7"/>
  <c r="AM28" i="7"/>
  <c r="BR70" i="32"/>
  <c r="DN53" i="7" s="1"/>
  <c r="DM53" i="7" s="1"/>
  <c r="DM52" i="7" s="1"/>
  <c r="DM153" i="7" s="1"/>
  <c r="FW74" i="123"/>
  <c r="DX16" i="123"/>
  <c r="BR73" i="32"/>
  <c r="AF36" i="7"/>
  <c r="AG36" i="7" s="1"/>
  <c r="AF29" i="7"/>
  <c r="AG29" i="7" s="1"/>
  <c r="AF53" i="7"/>
  <c r="AG53" i="7" s="1"/>
  <c r="AV149" i="7"/>
  <c r="DK63" i="8"/>
  <c r="AS78" i="8"/>
  <c r="B104" i="56"/>
  <c r="C103" i="56"/>
  <c r="CY37" i="123"/>
  <c r="AN50" i="123"/>
  <c r="DC61" i="8"/>
  <c r="DC63" i="8" s="1"/>
  <c r="AF31" i="7"/>
  <c r="AG31" i="7" s="1"/>
  <c r="AF59" i="7"/>
  <c r="AF154" i="7" s="1"/>
  <c r="D36" i="32"/>
  <c r="BE53" i="7" s="1"/>
  <c r="C9" i="86" s="1"/>
  <c r="AS84" i="8"/>
  <c r="AS85" i="8" s="1"/>
  <c r="AN15" i="65"/>
  <c r="CX141" i="8"/>
  <c r="F10" i="81"/>
  <c r="I10" i="81" s="1"/>
  <c r="J10" i="81" s="1"/>
  <c r="F9" i="81"/>
  <c r="I9" i="81" s="1"/>
  <c r="J9" i="81" s="1"/>
  <c r="F7" i="81"/>
  <c r="I7" i="81" s="1"/>
  <c r="Z19" i="125"/>
  <c r="G15" i="127" s="1"/>
  <c r="D46" i="118"/>
  <c r="BQ27" i="123"/>
  <c r="BZ27" i="123" s="1"/>
  <c r="AM46" i="5"/>
  <c r="AM47" i="5" s="1"/>
  <c r="AM50" i="5" s="1"/>
  <c r="AF39" i="7"/>
  <c r="AG39" i="7" s="1"/>
  <c r="AF54" i="7"/>
  <c r="AG54" i="7" s="1"/>
  <c r="CG35" i="123"/>
  <c r="EF35" i="123" s="1"/>
  <c r="GE35" i="123" s="1"/>
  <c r="EV8" i="123"/>
  <c r="CN173" i="7"/>
  <c r="CN171" i="7"/>
  <c r="BL73" i="32"/>
  <c r="DH53" i="7" s="1"/>
  <c r="N72" i="56"/>
  <c r="W72" i="56" s="1"/>
  <c r="D96" i="116"/>
  <c r="C97" i="116"/>
  <c r="D97" i="116" s="1"/>
  <c r="C104" i="116"/>
  <c r="C106" i="116" s="1"/>
  <c r="B106" i="116"/>
  <c r="B107" i="116" s="1"/>
  <c r="CH25" i="123"/>
  <c r="EG25" i="123" s="1"/>
  <c r="GF25" i="123" s="1"/>
  <c r="AI26" i="123"/>
  <c r="EC12" i="123"/>
  <c r="EA12" i="123" s="1"/>
  <c r="Y19" i="126" s="1"/>
  <c r="U19" i="126"/>
  <c r="BF16" i="61"/>
  <c r="AY16" i="61"/>
  <c r="CV141" i="8"/>
  <c r="AK17" i="66"/>
  <c r="AK15" i="66" s="1"/>
  <c r="AX25" i="17"/>
  <c r="W25" i="17"/>
  <c r="V25" i="17"/>
  <c r="BC25" i="17"/>
  <c r="U25" i="17"/>
  <c r="AA13" i="7" s="1"/>
  <c r="AT25" i="17"/>
  <c r="D111" i="118"/>
  <c r="F94" i="118" s="1"/>
  <c r="T13" i="7"/>
  <c r="U13" i="7" s="1"/>
  <c r="Q14" i="7"/>
  <c r="S13" i="7"/>
  <c r="Z13" i="7"/>
  <c r="R13" i="7"/>
  <c r="AX50" i="19"/>
  <c r="CR152" i="8"/>
  <c r="N88" i="7"/>
  <c r="AK10" i="65"/>
  <c r="AK9" i="65" s="1"/>
  <c r="AK44" i="65" s="1"/>
  <c r="AK47" i="65" s="1"/>
  <c r="F32" i="21"/>
  <c r="AR50" i="19"/>
  <c r="BM45" i="61"/>
  <c r="F14" i="92"/>
  <c r="F16" i="92" s="1"/>
  <c r="F17" i="92" s="1"/>
  <c r="G8" i="92"/>
  <c r="X42" i="92"/>
  <c r="G35" i="86" s="1"/>
  <c r="G39" i="86" s="1"/>
  <c r="M19" i="87" s="1"/>
  <c r="G26" i="86"/>
  <c r="G30" i="86" s="1"/>
  <c r="L19" i="87" s="1"/>
  <c r="BN173" i="7"/>
  <c r="BN174" i="7" s="1"/>
  <c r="BN171" i="7"/>
  <c r="D46" i="116"/>
  <c r="O51" i="126"/>
  <c r="BH41" i="11"/>
  <c r="H17" i="119"/>
  <c r="AS15" i="66"/>
  <c r="AT15" i="66" s="1"/>
  <c r="CR119" i="8"/>
  <c r="EG20" i="19"/>
  <c r="EG24" i="19"/>
  <c r="EG17" i="19"/>
  <c r="EG9" i="19"/>
  <c r="EG15" i="19"/>
  <c r="EG30" i="19"/>
  <c r="EG34" i="19"/>
  <c r="EG38" i="19"/>
  <c r="EG39" i="19"/>
  <c r="EG42" i="19"/>
  <c r="EG46" i="19"/>
  <c r="EG26" i="19"/>
  <c r="EG23" i="19"/>
  <c r="EG21" i="19"/>
  <c r="EG25" i="19"/>
  <c r="EG32" i="19"/>
  <c r="EG36" i="19"/>
  <c r="EG40" i="19"/>
  <c r="EG44" i="19"/>
  <c r="EG19" i="19"/>
  <c r="EG28" i="19"/>
  <c r="EG22" i="19"/>
  <c r="EG8" i="19"/>
  <c r="EG33" i="19"/>
  <c r="EG35" i="19"/>
  <c r="EG41" i="19"/>
  <c r="EG43" i="19"/>
  <c r="EG16" i="19"/>
  <c r="EG18" i="19"/>
  <c r="EG27" i="19"/>
  <c r="EG29" i="19"/>
  <c r="EG31" i="19"/>
  <c r="EG37" i="19"/>
  <c r="EG45" i="19"/>
  <c r="EG47" i="19"/>
  <c r="Q59" i="125"/>
  <c r="AU102" i="8"/>
  <c r="AS126" i="8"/>
  <c r="AS121" i="8"/>
  <c r="CJ52" i="72"/>
  <c r="CJ55" i="72" s="1"/>
  <c r="CI55" i="72"/>
  <c r="BQ25" i="19"/>
  <c r="BU25" i="19"/>
  <c r="BS25" i="19"/>
  <c r="BT25" i="19"/>
  <c r="BV25" i="19"/>
  <c r="EG48" i="19"/>
  <c r="AU154" i="7"/>
  <c r="AV59" i="7"/>
  <c r="AV154" i="7" s="1"/>
  <c r="AP45" i="3"/>
  <c r="AP44" i="3" s="1"/>
  <c r="AP48" i="3" s="1"/>
  <c r="U22" i="98"/>
  <c r="Z18" i="98"/>
  <c r="Z22" i="98" s="1"/>
  <c r="V18" i="98"/>
  <c r="P8" i="70"/>
  <c r="AZ52" i="72"/>
  <c r="AZ55" i="72" s="1"/>
  <c r="BE52" i="72"/>
  <c r="I39" i="85"/>
  <c r="J39" i="85" s="1"/>
  <c r="J38" i="85"/>
  <c r="AJ65" i="3"/>
  <c r="AJ62" i="3"/>
  <c r="BG79" i="8"/>
  <c r="BG80" i="8" s="1"/>
  <c r="BJ125" i="8"/>
  <c r="BJ81" i="8"/>
  <c r="BJ80" i="8"/>
  <c r="AP35" i="95"/>
  <c r="AP33" i="95" s="1"/>
  <c r="AP37" i="95" s="1"/>
  <c r="CA48" i="3"/>
  <c r="BT26" i="123"/>
  <c r="BS9" i="123"/>
  <c r="BS26" i="123" s="1"/>
  <c r="Q118" i="7"/>
  <c r="Y100" i="7"/>
  <c r="AP13" i="65"/>
  <c r="AF30" i="8"/>
  <c r="Z30" i="8"/>
  <c r="Z31" i="8" s="1"/>
  <c r="Y31" i="8"/>
  <c r="Y27" i="8" s="1"/>
  <c r="AF27" i="8" s="1"/>
  <c r="D13" i="32"/>
  <c r="BE127" i="8"/>
  <c r="BE129" i="8"/>
  <c r="BE130" i="8" s="1"/>
  <c r="BH39" i="3"/>
  <c r="N7" i="96" s="1"/>
  <c r="CK171" i="7"/>
  <c r="CK173" i="7"/>
  <c r="P57" i="61"/>
  <c r="K64" i="61"/>
  <c r="K66" i="61" s="1"/>
  <c r="K60" i="61"/>
  <c r="B67" i="32"/>
  <c r="B61" i="32"/>
  <c r="I64" i="85"/>
  <c r="J63" i="85"/>
  <c r="W43" i="123"/>
  <c r="DS26" i="123"/>
  <c r="DR9" i="123"/>
  <c r="DR26" i="123" s="1"/>
  <c r="Z33" i="98"/>
  <c r="V33" i="98"/>
  <c r="Y25" i="95"/>
  <c r="Z23" i="95"/>
  <c r="C92" i="116"/>
  <c r="D92" i="116" s="1"/>
  <c r="D91" i="116"/>
  <c r="CV119" i="8"/>
  <c r="CV137" i="8"/>
  <c r="Q50" i="72"/>
  <c r="V50" i="72" s="1"/>
  <c r="T50" i="72"/>
  <c r="CP123" i="8"/>
  <c r="CP121" i="8"/>
  <c r="EC14" i="123"/>
  <c r="AA21" i="126" s="1"/>
  <c r="U21" i="126"/>
  <c r="AG59" i="65"/>
  <c r="AG63" i="65"/>
  <c r="AG65" i="65" s="1"/>
  <c r="F10" i="3"/>
  <c r="F28" i="3" s="1"/>
  <c r="G16" i="11"/>
  <c r="E28" i="3"/>
  <c r="L111" i="56"/>
  <c r="L121" i="56" s="1"/>
  <c r="D5" i="85"/>
  <c r="C5" i="85" s="1"/>
  <c r="F5" i="85" s="1"/>
  <c r="F3" i="85"/>
  <c r="G16" i="105"/>
  <c r="H8" i="105" s="1"/>
  <c r="C12" i="128"/>
  <c r="F12" i="128"/>
  <c r="H12" i="128"/>
  <c r="D12" i="128"/>
  <c r="G12" i="128"/>
  <c r="L8" i="100"/>
  <c r="K10" i="100"/>
  <c r="BZ47" i="7" s="1"/>
  <c r="M28" i="56"/>
  <c r="M38" i="56" s="1"/>
  <c r="H38" i="56"/>
  <c r="T16" i="82"/>
  <c r="W16" i="82"/>
  <c r="C99" i="116"/>
  <c r="C101" i="116" s="1"/>
  <c r="B101" i="116"/>
  <c r="B102" i="116" s="1"/>
  <c r="H30" i="96"/>
  <c r="H10" i="96"/>
  <c r="I10" i="96" s="1"/>
  <c r="AC10" i="96" s="1"/>
  <c r="AC9" i="96" s="1"/>
  <c r="H20" i="96"/>
  <c r="H35" i="96"/>
  <c r="I35" i="96" s="1"/>
  <c r="AC35" i="96" s="1"/>
  <c r="AC34" i="96" s="1"/>
  <c r="AC37" i="96" s="1"/>
  <c r="H25" i="96"/>
  <c r="H15" i="96"/>
  <c r="AU146" i="7"/>
  <c r="AM175" i="7"/>
  <c r="AI175" i="7"/>
  <c r="K11" i="82"/>
  <c r="N11" i="82" s="1"/>
  <c r="O11" i="82"/>
  <c r="D41" i="61"/>
  <c r="H50" i="68"/>
  <c r="B8" i="123"/>
  <c r="I83" i="56"/>
  <c r="N83" i="56" s="1"/>
  <c r="N82" i="56" s="1"/>
  <c r="W82" i="56" s="1"/>
  <c r="I84" i="56"/>
  <c r="G84" i="56" s="1"/>
  <c r="N84" i="56" s="1"/>
  <c r="L84" i="56" s="1"/>
  <c r="AT102" i="8"/>
  <c r="CG9" i="123"/>
  <c r="CE9" i="123" s="1"/>
  <c r="AH26" i="123"/>
  <c r="DU50" i="19"/>
  <c r="DW50" i="19"/>
  <c r="ED50" i="19" s="1"/>
  <c r="DV50" i="19"/>
  <c r="EC50" i="19" s="1"/>
  <c r="DX50" i="19"/>
  <c r="EE50" i="19" s="1"/>
  <c r="EE48" i="19" s="1"/>
  <c r="DY50" i="19"/>
  <c r="EF50" i="19" s="1"/>
  <c r="I39" i="128"/>
  <c r="J39" i="128" s="1"/>
  <c r="O39" i="128" s="1"/>
  <c r="B48" i="32"/>
  <c r="D48" i="32" s="1"/>
  <c r="BS60" i="72"/>
  <c r="BV60" i="72"/>
  <c r="BO54" i="72"/>
  <c r="BP54" i="72" s="1"/>
  <c r="BW54" i="72" s="1"/>
  <c r="BO52" i="72"/>
  <c r="L40" i="11"/>
  <c r="Q56" i="72"/>
  <c r="P48" i="72" s="1"/>
  <c r="AA53" i="7"/>
  <c r="Q56" i="9"/>
  <c r="P48" i="9" s="1"/>
  <c r="G40" i="3"/>
  <c r="O40" i="3" s="1"/>
  <c r="BK45" i="61"/>
  <c r="BH66" i="123"/>
  <c r="BQ66" i="123" s="1"/>
  <c r="AX66" i="123"/>
  <c r="X17" i="95"/>
  <c r="AB17" i="95"/>
  <c r="AB26" i="95" s="1"/>
  <c r="W26" i="95"/>
  <c r="FR26" i="123"/>
  <c r="FQ9" i="123"/>
  <c r="FQ26" i="123" s="1"/>
  <c r="DK157" i="7"/>
  <c r="DJ60" i="7"/>
  <c r="BL18" i="61"/>
  <c r="DK189" i="7"/>
  <c r="M71" i="56"/>
  <c r="M81" i="56" s="1"/>
  <c r="H81" i="56"/>
  <c r="BQ173" i="7"/>
  <c r="BQ171" i="7"/>
  <c r="BP170" i="7"/>
  <c r="M111" i="56"/>
  <c r="M121" i="56" s="1"/>
  <c r="N9" i="56"/>
  <c r="W9" i="56" s="1"/>
  <c r="BJ56" i="72"/>
  <c r="W43" i="3"/>
  <c r="D7" i="96"/>
  <c r="BI127" i="8"/>
  <c r="BI129" i="8"/>
  <c r="BI130" i="8" s="1"/>
  <c r="CZ184" i="7"/>
  <c r="CZ166" i="7"/>
  <c r="CZ170" i="7" s="1"/>
  <c r="CZ173" i="7" s="1"/>
  <c r="CZ176" i="7" s="1"/>
  <c r="CZ177" i="7" s="1"/>
  <c r="DA167" i="7"/>
  <c r="DA72" i="7" s="1"/>
  <c r="DB72" i="7"/>
  <c r="T11" i="95"/>
  <c r="N35" i="105"/>
  <c r="CT47" i="8"/>
  <c r="CT105" i="8" s="1"/>
  <c r="CT119" i="8" s="1"/>
  <c r="CT121" i="8" s="1"/>
  <c r="CU105" i="8"/>
  <c r="CU61" i="8"/>
  <c r="CU63" i="8" s="1"/>
  <c r="DH119" i="8"/>
  <c r="DJ152" i="8"/>
  <c r="Y14" i="8"/>
  <c r="Z13" i="8"/>
  <c r="AF13" i="8"/>
  <c r="AK8" i="71"/>
  <c r="AH8" i="71"/>
  <c r="AI8" i="71" s="1"/>
  <c r="AB12" i="98"/>
  <c r="AB27" i="98" s="1"/>
  <c r="AC12" i="98"/>
  <c r="AC27" i="98" s="1"/>
  <c r="AH27" i="98" s="1"/>
  <c r="AH32" i="98" s="1"/>
  <c r="AH37" i="98" s="1"/>
  <c r="Z12" i="98"/>
  <c r="Z27" i="98" s="1"/>
  <c r="Y27" i="98"/>
  <c r="AD27" i="98" s="1"/>
  <c r="AA12" i="98"/>
  <c r="AA27" i="98" s="1"/>
  <c r="AB42" i="95"/>
  <c r="X42" i="95"/>
  <c r="EG27" i="123"/>
  <c r="EG28" i="123"/>
  <c r="H78" i="8"/>
  <c r="M78" i="8"/>
  <c r="AV41" i="7"/>
  <c r="AV35" i="7" s="1"/>
  <c r="DF8" i="123"/>
  <c r="F12" i="87"/>
  <c r="AD12" i="98"/>
  <c r="AD9" i="98" s="1"/>
  <c r="CM120" i="8"/>
  <c r="AG37" i="66"/>
  <c r="BD62" i="3"/>
  <c r="BG78" i="8"/>
  <c r="AV50" i="19"/>
  <c r="AW50" i="19"/>
  <c r="DS14" i="19"/>
  <c r="DS13" i="19" s="1"/>
  <c r="DQ14" i="19"/>
  <c r="DQ13" i="19" s="1"/>
  <c r="DP14" i="19"/>
  <c r="DP13" i="19" s="1"/>
  <c r="DN13" i="19"/>
  <c r="D9" i="105"/>
  <c r="D22" i="105" s="1"/>
  <c r="D28" i="105" s="1"/>
  <c r="G9" i="105"/>
  <c r="G6" i="105" s="1"/>
  <c r="M19" i="104"/>
  <c r="BX53" i="7"/>
  <c r="AP31" i="7"/>
  <c r="AI31" i="7"/>
  <c r="AA32" i="7"/>
  <c r="AC31" i="7"/>
  <c r="AD31" i="7" s="1"/>
  <c r="AB31" i="7"/>
  <c r="U81" i="10"/>
  <c r="U83" i="10" s="1"/>
  <c r="AC85" i="10" s="1"/>
  <c r="AC87" i="10" s="1"/>
  <c r="L30" i="105" s="1"/>
  <c r="AQ13" i="66"/>
  <c r="AQ12" i="66" s="1"/>
  <c r="AQ11" i="66" s="1"/>
  <c r="AQ36" i="66" s="1"/>
  <c r="AQ39" i="66" s="1"/>
  <c r="DH152" i="8"/>
  <c r="CP154" i="7"/>
  <c r="CO59" i="7"/>
  <c r="CO154" i="7" s="1"/>
  <c r="BO67" i="32"/>
  <c r="BM68" i="32"/>
  <c r="BO68" i="32" s="1"/>
  <c r="BM24" i="7"/>
  <c r="BO150" i="7"/>
  <c r="BO166" i="7" s="1"/>
  <c r="BA13" i="61"/>
  <c r="CM184" i="7"/>
  <c r="CU50" i="19"/>
  <c r="DB50" i="19" s="1"/>
  <c r="DB16" i="19" s="1"/>
  <c r="CR50" i="19"/>
  <c r="CY50" i="19" s="1"/>
  <c r="CY16" i="19" s="1"/>
  <c r="CT50" i="19"/>
  <c r="DA50" i="19" s="1"/>
  <c r="DA16" i="19" s="1"/>
  <c r="CV50" i="19"/>
  <c r="DC50" i="19" s="1"/>
  <c r="DC16" i="19" s="1"/>
  <c r="DM50" i="19"/>
  <c r="K71" i="7"/>
  <c r="K88" i="7" s="1"/>
  <c r="AO10" i="19"/>
  <c r="AP14" i="19"/>
  <c r="AQ14" i="19" s="1"/>
  <c r="AL37" i="66"/>
  <c r="CY120" i="8"/>
  <c r="AH12" i="98"/>
  <c r="AH9" i="98" s="1"/>
  <c r="BL62" i="3"/>
  <c r="P45" i="96" s="1"/>
  <c r="BG121" i="8"/>
  <c r="DI61" i="8"/>
  <c r="DI63" i="8" s="1"/>
  <c r="AF65" i="32"/>
  <c r="AH65" i="32" s="1"/>
  <c r="AH72" i="32" s="1"/>
  <c r="T65" i="32"/>
  <c r="S65" i="32"/>
  <c r="S72" i="32" s="1"/>
  <c r="N19" i="104" s="1"/>
  <c r="AR43" i="123"/>
  <c r="BS40" i="3"/>
  <c r="BS48" i="3"/>
  <c r="AL35" i="95"/>
  <c r="AL33" i="95" s="1"/>
  <c r="AL37" i="95" s="1"/>
  <c r="I49" i="85"/>
  <c r="J49" i="85" s="1"/>
  <c r="J48" i="85"/>
  <c r="AI10" i="64"/>
  <c r="AI35" i="64" s="1"/>
  <c r="AI37" i="64" s="1"/>
  <c r="AI23" i="64"/>
  <c r="EY47" i="123"/>
  <c r="CZ26" i="19"/>
  <c r="CZ43" i="19"/>
  <c r="CZ9" i="19"/>
  <c r="CZ46" i="19"/>
  <c r="CZ48" i="19"/>
  <c r="CZ18" i="19"/>
  <c r="CZ35" i="19"/>
  <c r="CZ39" i="19"/>
  <c r="CZ34" i="19"/>
  <c r="CZ36" i="19"/>
  <c r="CZ32" i="19"/>
  <c r="CZ47" i="19"/>
  <c r="CZ20" i="19"/>
  <c r="CZ21" i="19"/>
  <c r="CZ29" i="19"/>
  <c r="CZ28" i="19"/>
  <c r="CZ22" i="19"/>
  <c r="CZ45" i="19"/>
  <c r="CZ41" i="19"/>
  <c r="CZ8" i="19"/>
  <c r="CZ24" i="19"/>
  <c r="CZ19" i="19"/>
  <c r="CZ15" i="19"/>
  <c r="CZ44" i="19"/>
  <c r="CZ37" i="19"/>
  <c r="CZ38" i="19"/>
  <c r="CZ40" i="19"/>
  <c r="CZ33" i="19"/>
  <c r="CZ25" i="19"/>
  <c r="CZ31" i="19"/>
  <c r="CZ23" i="19"/>
  <c r="CZ30" i="19"/>
  <c r="CZ42" i="19"/>
  <c r="CZ17" i="19"/>
  <c r="AG14" i="19"/>
  <c r="AE10" i="19"/>
  <c r="AN14" i="19"/>
  <c r="BJ47" i="123"/>
  <c r="C10" i="124"/>
  <c r="DD144" i="7"/>
  <c r="DD17" i="7"/>
  <c r="CZ16" i="19"/>
  <c r="D27" i="75"/>
  <c r="D28" i="75" s="1"/>
  <c r="D30" i="75" s="1"/>
  <c r="N63" i="125"/>
  <c r="DK9" i="7"/>
  <c r="AA44" i="3"/>
  <c r="AC45" i="3"/>
  <c r="R11" i="135"/>
  <c r="S11" i="135"/>
  <c r="T11" i="135"/>
  <c r="U11" i="135" s="1"/>
  <c r="Z11" i="135"/>
  <c r="Q12" i="135"/>
  <c r="Z16" i="8"/>
  <c r="AF16" i="8"/>
  <c r="Y33" i="8"/>
  <c r="Q11" i="136"/>
  <c r="Q12" i="136" s="1"/>
  <c r="R11" i="136"/>
  <c r="R12" i="136" s="1"/>
  <c r="P12" i="136"/>
  <c r="AF18" i="8"/>
  <c r="N13" i="136"/>
  <c r="N41" i="8"/>
  <c r="Y9" i="8"/>
  <c r="V52" i="9"/>
  <c r="Q55" i="9"/>
  <c r="BP35" i="17"/>
  <c r="BO35" i="17"/>
  <c r="P9" i="21"/>
  <c r="AU12" i="6"/>
  <c r="AU45" i="6" s="1"/>
  <c r="AU46" i="6" s="1"/>
  <c r="BU37" i="71"/>
  <c r="BW29" i="71"/>
  <c r="P7" i="102"/>
  <c r="DJ28" i="7"/>
  <c r="DJ148" i="7" s="1"/>
  <c r="DK148" i="7"/>
  <c r="CZ35" i="8"/>
  <c r="CZ97" i="8" s="1"/>
  <c r="BO72" i="32"/>
  <c r="AW15" i="65"/>
  <c r="DP141" i="8"/>
  <c r="B41" i="124"/>
  <c r="T9" i="123"/>
  <c r="T64" i="123" s="1"/>
  <c r="U64" i="123"/>
  <c r="B44" i="124"/>
  <c r="BH64" i="123"/>
  <c r="BG9" i="123"/>
  <c r="BG64" i="123" s="1"/>
  <c r="EO64" i="123"/>
  <c r="B65" i="124"/>
  <c r="FP9" i="123"/>
  <c r="DH64" i="123"/>
  <c r="B64" i="124"/>
  <c r="B56" i="124"/>
  <c r="AE9" i="123"/>
  <c r="D64" i="123"/>
  <c r="B66" i="124"/>
  <c r="EX64" i="123"/>
  <c r="D33" i="84"/>
  <c r="B34" i="84"/>
  <c r="E33" i="84"/>
  <c r="BB27" i="5"/>
  <c r="BB26" i="5" s="1"/>
  <c r="AX26" i="5"/>
  <c r="AH88" i="7"/>
  <c r="AH90" i="7"/>
  <c r="AH93" i="7"/>
  <c r="AH91" i="7"/>
  <c r="DL50" i="8"/>
  <c r="DL108" i="8" s="1"/>
  <c r="DM108" i="8"/>
  <c r="AW120" i="8"/>
  <c r="P24" i="8"/>
  <c r="P17" i="8" s="1"/>
  <c r="Q23" i="8"/>
  <c r="R23" i="8"/>
  <c r="S23" i="8"/>
  <c r="T23" i="8" s="1"/>
  <c r="T16" i="7"/>
  <c r="U16" i="7" s="1"/>
  <c r="S16" i="7"/>
  <c r="Z16" i="7"/>
  <c r="R16" i="7"/>
  <c r="P40" i="7"/>
  <c r="P41" i="7" s="1"/>
  <c r="O41" i="7"/>
  <c r="BH12" i="5"/>
  <c r="BH11" i="5" s="1"/>
  <c r="BH46" i="5" s="1"/>
  <c r="BH47" i="5" s="1"/>
  <c r="BC12" i="5"/>
  <c r="BC11" i="5" s="1"/>
  <c r="AX12" i="5"/>
  <c r="AG14" i="7"/>
  <c r="AF15" i="7"/>
  <c r="AF8" i="7" s="1"/>
  <c r="S29" i="56"/>
  <c r="I30" i="56"/>
  <c r="N30" i="56" s="1"/>
  <c r="N29" i="56" s="1"/>
  <c r="I38" i="66"/>
  <c r="N38" i="66" s="1"/>
  <c r="K11" i="87"/>
  <c r="K10" i="87" s="1"/>
  <c r="M12" i="87"/>
  <c r="M11" i="87" s="1"/>
  <c r="M10" i="87" s="1"/>
  <c r="P14" i="66" s="1"/>
  <c r="T33" i="32"/>
  <c r="AR45" i="3"/>
  <c r="AR44" i="3" s="1"/>
  <c r="AQ48" i="3" s="1"/>
  <c r="U10" i="70"/>
  <c r="AZ99" i="8"/>
  <c r="H32" i="66"/>
  <c r="C72" i="85"/>
  <c r="Z31" i="95"/>
  <c r="CA9" i="7"/>
  <c r="R58" i="126"/>
  <c r="CD67" i="123"/>
  <c r="CA67" i="123"/>
  <c r="AI35" i="95"/>
  <c r="AK11" i="95"/>
  <c r="BR39" i="3"/>
  <c r="M49" i="123"/>
  <c r="V49" i="123" s="1"/>
  <c r="AZ49" i="123"/>
  <c r="BI49" i="123" s="1"/>
  <c r="B13" i="123"/>
  <c r="AD13" i="123"/>
  <c r="DP13" i="123"/>
  <c r="CN13" i="123"/>
  <c r="H93" i="68"/>
  <c r="J91" i="68"/>
  <c r="AO8" i="123"/>
  <c r="BQ8" i="123"/>
  <c r="AE176" i="7"/>
  <c r="AE177" i="7" s="1"/>
  <c r="AE174" i="7"/>
  <c r="AB54" i="6"/>
  <c r="AJ97" i="8"/>
  <c r="BA97" i="8"/>
  <c r="AW97" i="8"/>
  <c r="L16" i="11"/>
  <c r="H10" i="3"/>
  <c r="P19" i="9"/>
  <c r="P19" i="72"/>
  <c r="G28" i="3"/>
  <c r="D34" i="73"/>
  <c r="C35" i="73"/>
  <c r="D35" i="73" s="1"/>
  <c r="CC27" i="17"/>
  <c r="CB27" i="17" s="1"/>
  <c r="BD31" i="7"/>
  <c r="CI27" i="17"/>
  <c r="CH27" i="17" s="1"/>
  <c r="CF27" i="17"/>
  <c r="CE27" i="17" s="1"/>
  <c r="CK48" i="72"/>
  <c r="M35" i="96"/>
  <c r="M30" i="96"/>
  <c r="M10" i="96"/>
  <c r="M15" i="96"/>
  <c r="M20" i="96"/>
  <c r="M25" i="96"/>
  <c r="BT99" i="8"/>
  <c r="AE10" i="95"/>
  <c r="AI61" i="32"/>
  <c r="BT39" i="3"/>
  <c r="AL11" i="95"/>
  <c r="AM35" i="95"/>
  <c r="AM33" i="95" s="1"/>
  <c r="AM37" i="95" s="1"/>
  <c r="BU40" i="3"/>
  <c r="BU48" i="3"/>
  <c r="BA13" i="65"/>
  <c r="DA97" i="8"/>
  <c r="DA144" i="8" s="1"/>
  <c r="AP30" i="65" s="1"/>
  <c r="AJ8" i="17"/>
  <c r="AK10" i="17"/>
  <c r="BB24" i="17"/>
  <c r="AN23" i="7"/>
  <c r="AM52" i="9"/>
  <c r="AM54" i="9"/>
  <c r="AQ60" i="9"/>
  <c r="BA60" i="9"/>
  <c r="N16" i="65"/>
  <c r="K16" i="65"/>
  <c r="AD27" i="7"/>
  <c r="AN11" i="135"/>
  <c r="AN39" i="7"/>
  <c r="BO26" i="17"/>
  <c r="BP26" i="17"/>
  <c r="AP130" i="8"/>
  <c r="AP127" i="8"/>
  <c r="AP121" i="8"/>
  <c r="I26" i="79"/>
  <c r="I24" i="79"/>
  <c r="I21" i="79"/>
  <c r="I19" i="79"/>
  <c r="I23" i="79"/>
  <c r="I25" i="79"/>
  <c r="BF52" i="72"/>
  <c r="BC55" i="72"/>
  <c r="BF55" i="72" s="1"/>
  <c r="BD52" i="72"/>
  <c r="AO8" i="71"/>
  <c r="CF26" i="17"/>
  <c r="CE26" i="17" s="1"/>
  <c r="CI26" i="17"/>
  <c r="CH26" i="17" s="1"/>
  <c r="BD23" i="7"/>
  <c r="BE23" i="7" s="1"/>
  <c r="BE24" i="7" s="1"/>
  <c r="BD24" i="7" s="1"/>
  <c r="CC26" i="17"/>
  <c r="CB26" i="17" s="1"/>
  <c r="CZ28" i="8"/>
  <c r="CZ99" i="8" s="1"/>
  <c r="DA99" i="8"/>
  <c r="BS35" i="123"/>
  <c r="J79" i="68"/>
  <c r="L77" i="68"/>
  <c r="DK146" i="7"/>
  <c r="DJ10" i="7"/>
  <c r="DJ146" i="7" s="1"/>
  <c r="DY105" i="8"/>
  <c r="DX47" i="8"/>
  <c r="DX105" i="8" s="1"/>
  <c r="M13" i="125"/>
  <c r="M15" i="125"/>
  <c r="P13" i="125"/>
  <c r="P15" i="125"/>
  <c r="AO11" i="123"/>
  <c r="BR11" i="123"/>
  <c r="Y174" i="7"/>
  <c r="AE91" i="7"/>
  <c r="DT126" i="8"/>
  <c r="DT127" i="8" s="1"/>
  <c r="DT124" i="8"/>
  <c r="AJ19" i="8"/>
  <c r="AI102" i="8"/>
  <c r="AW19" i="8"/>
  <c r="AC59" i="123"/>
  <c r="M50" i="126" s="1"/>
  <c r="BE10" i="7"/>
  <c r="BE55" i="7"/>
  <c r="BF55" i="7" s="1"/>
  <c r="BD87" i="7"/>
  <c r="BD167" i="7" s="1"/>
  <c r="BD95" i="7"/>
  <c r="BE95" i="7" s="1"/>
  <c r="BE167" i="7"/>
  <c r="BE54" i="7"/>
  <c r="Z58" i="19"/>
  <c r="Z56" i="19"/>
  <c r="Z57" i="19"/>
  <c r="F23" i="36" s="1"/>
  <c r="F25" i="36" s="1"/>
  <c r="Z59" i="19"/>
  <c r="G31" i="11"/>
  <c r="G29" i="11"/>
  <c r="G32" i="11"/>
  <c r="G33" i="11"/>
  <c r="M59" i="9"/>
  <c r="V59" i="9" s="1"/>
  <c r="V58" i="9"/>
  <c r="AJ174" i="7"/>
  <c r="AJ176" i="7"/>
  <c r="AJ177" i="7" s="1"/>
  <c r="T55" i="9"/>
  <c r="U55" i="9"/>
  <c r="BB41" i="11"/>
  <c r="BC41" i="11"/>
  <c r="BC45" i="11" s="1"/>
  <c r="Y16" i="11"/>
  <c r="M28" i="3"/>
  <c r="K25" i="21"/>
  <c r="J25" i="21"/>
  <c r="AE129" i="8"/>
  <c r="AE127" i="8"/>
  <c r="AE38" i="59"/>
  <c r="AC42" i="59"/>
  <c r="AE42" i="59" s="1"/>
  <c r="U7" i="82"/>
  <c r="V20" i="82"/>
  <c r="U9" i="82" s="1"/>
  <c r="V9" i="82" s="1"/>
  <c r="J11" i="95"/>
  <c r="J16" i="95" s="1"/>
  <c r="J21" i="95" s="1"/>
  <c r="J50" i="95" s="1"/>
  <c r="M13" i="64" s="1"/>
  <c r="AQ39" i="3"/>
  <c r="BB12" i="6"/>
  <c r="BB45" i="6" s="1"/>
  <c r="BB46" i="6" s="1"/>
  <c r="CF34" i="17"/>
  <c r="CE34" i="17" s="1"/>
  <c r="CI34" i="17"/>
  <c r="AZ29" i="8"/>
  <c r="CC34" i="17"/>
  <c r="CB34" i="17" s="1"/>
  <c r="BL124" i="8"/>
  <c r="BL126" i="8"/>
  <c r="BL127" i="8" s="1"/>
  <c r="O10" i="96"/>
  <c r="O30" i="96"/>
  <c r="O25" i="96"/>
  <c r="O35" i="96"/>
  <c r="O15" i="96"/>
  <c r="O20" i="96"/>
  <c r="AN16" i="65"/>
  <c r="CX142" i="8"/>
  <c r="U17" i="126"/>
  <c r="EC10" i="123"/>
  <c r="CM10" i="123"/>
  <c r="CK10" i="123" s="1"/>
  <c r="CV146" i="7"/>
  <c r="CZ8" i="136"/>
  <c r="CN9" i="123"/>
  <c r="CN64" i="123" s="1"/>
  <c r="DP9" i="123"/>
  <c r="CO64" i="123"/>
  <c r="B45" i="124"/>
  <c r="EV9" i="123"/>
  <c r="EV64" i="123" s="1"/>
  <c r="B49" i="124"/>
  <c r="EW64" i="123"/>
  <c r="B40" i="124"/>
  <c r="K9" i="123"/>
  <c r="K64" i="123" s="1"/>
  <c r="L64" i="123"/>
  <c r="B57" i="124"/>
  <c r="M64" i="123"/>
  <c r="FG64" i="123"/>
  <c r="B67" i="124"/>
  <c r="BC26" i="5"/>
  <c r="BG27" i="5"/>
  <c r="BG26" i="5" s="1"/>
  <c r="AW174" i="7"/>
  <c r="AW176" i="7"/>
  <c r="AW177" i="7" s="1"/>
  <c r="AO42" i="8"/>
  <c r="AO104" i="8" s="1"/>
  <c r="P51" i="5"/>
  <c r="W51" i="5" s="1"/>
  <c r="O42" i="7"/>
  <c r="O14" i="135"/>
  <c r="P14" i="135" s="1"/>
  <c r="AG13" i="7"/>
  <c r="AG40" i="7"/>
  <c r="AF152" i="7"/>
  <c r="AG16" i="7"/>
  <c r="AG152" i="7" s="1"/>
  <c r="M34" i="32"/>
  <c r="N34" i="32"/>
  <c r="P34" i="32" s="1"/>
  <c r="Z175" i="6"/>
  <c r="AS8" i="135"/>
  <c r="D20" i="77"/>
  <c r="D19" i="77" s="1"/>
  <c r="K22" i="64" s="1"/>
  <c r="J70" i="85"/>
  <c r="I71" i="85"/>
  <c r="J71" i="85" s="1"/>
  <c r="H51" i="68"/>
  <c r="Z37" i="95"/>
  <c r="AX51" i="72"/>
  <c r="BK124" i="8"/>
  <c r="BK126" i="8"/>
  <c r="BJ123" i="8"/>
  <c r="BJ124" i="8" s="1"/>
  <c r="CU28" i="7"/>
  <c r="CU148" i="7" s="1"/>
  <c r="CV148" i="7"/>
  <c r="AQ10" i="64"/>
  <c r="AQ35" i="64" s="1"/>
  <c r="AQ37" i="64" s="1"/>
  <c r="AQ23" i="64"/>
  <c r="BL43" i="3"/>
  <c r="BL39" i="3"/>
  <c r="CZ72" i="7"/>
  <c r="CZ73" i="7" s="1"/>
  <c r="F96" i="68"/>
  <c r="F95" i="68"/>
  <c r="F97" i="68"/>
  <c r="F94" i="68"/>
  <c r="BN14" i="61"/>
  <c r="BG8" i="123"/>
  <c r="FP8" i="123"/>
  <c r="BR8" i="123"/>
  <c r="AB52" i="6"/>
  <c r="N27" i="59"/>
  <c r="O9" i="59"/>
  <c r="O27" i="59" s="1"/>
  <c r="R9" i="59"/>
  <c r="CG56" i="72"/>
  <c r="CG57" i="72" s="1"/>
  <c r="AN43" i="3"/>
  <c r="E7" i="96"/>
  <c r="M35" i="32"/>
  <c r="N35" i="32"/>
  <c r="P35" i="32" s="1"/>
  <c r="B124" i="56"/>
  <c r="C123" i="56"/>
  <c r="Z184" i="6"/>
  <c r="BB20" i="8"/>
  <c r="BB120" i="8"/>
  <c r="AZ86" i="8"/>
  <c r="BB86" i="8" s="1"/>
  <c r="BB46" i="8"/>
  <c r="BC46" i="8" s="1"/>
  <c r="BB44" i="8"/>
  <c r="BD11" i="135"/>
  <c r="CI28" i="17"/>
  <c r="CH28" i="17" s="1"/>
  <c r="BD39" i="7"/>
  <c r="CF28" i="17"/>
  <c r="CE28" i="17" s="1"/>
  <c r="CC28" i="17"/>
  <c r="CB28" i="17" s="1"/>
  <c r="CW9" i="7"/>
  <c r="AJ31" i="95"/>
  <c r="DO28" i="8"/>
  <c r="DO99" i="8" s="1"/>
  <c r="DP99" i="8"/>
  <c r="AI11" i="95"/>
  <c r="AI16" i="95" s="1"/>
  <c r="AI21" i="95" s="1"/>
  <c r="AU65" i="32"/>
  <c r="DE72" i="7"/>
  <c r="DD167" i="7"/>
  <c r="DD72" i="7" s="1"/>
  <c r="AI24" i="98"/>
  <c r="AB23" i="125"/>
  <c r="P23" i="125"/>
  <c r="J58" i="56"/>
  <c r="AA11" i="135"/>
  <c r="AA39" i="7"/>
  <c r="AM8" i="19"/>
  <c r="AF8" i="19"/>
  <c r="AR92" i="7"/>
  <c r="AS92" i="7" s="1"/>
  <c r="R9" i="8"/>
  <c r="Q9" i="8"/>
  <c r="BR24" i="71"/>
  <c r="BC59" i="7"/>
  <c r="BC154" i="7" s="1"/>
  <c r="BB154" i="7"/>
  <c r="AQ120" i="8"/>
  <c r="AQ19" i="8"/>
  <c r="AQ46" i="8"/>
  <c r="AR46" i="8" s="1"/>
  <c r="AQ44" i="8"/>
  <c r="AQ18" i="8"/>
  <c r="AQ47" i="8"/>
  <c r="AQ24" i="8"/>
  <c r="AQ20" i="8"/>
  <c r="AQ23" i="8"/>
  <c r="AQ26" i="8"/>
  <c r="AQ33" i="8"/>
  <c r="I50" i="56"/>
  <c r="N50" i="56" s="1"/>
  <c r="N49" i="56" s="1"/>
  <c r="S49" i="56"/>
  <c r="L12" i="68"/>
  <c r="L11" i="68"/>
  <c r="L10" i="68"/>
  <c r="L9" i="68"/>
  <c r="BF54" i="72"/>
  <c r="BD54" i="72"/>
  <c r="V29" i="71"/>
  <c r="BM55" i="72"/>
  <c r="E13" i="87"/>
  <c r="AZ10" i="136"/>
  <c r="AZ38" i="8"/>
  <c r="CC35" i="17"/>
  <c r="CB35" i="17" s="1"/>
  <c r="CI35" i="17"/>
  <c r="CH35" i="17" s="1"/>
  <c r="CF35" i="17"/>
  <c r="CE35" i="17" s="1"/>
  <c r="H33" i="97"/>
  <c r="G34" i="97"/>
  <c r="CH28" i="7"/>
  <c r="CF72" i="7"/>
  <c r="CG28" i="7"/>
  <c r="CH10" i="7"/>
  <c r="CG10" i="7"/>
  <c r="CG29" i="7"/>
  <c r="CH29" i="7"/>
  <c r="CV9" i="7"/>
  <c r="AJ18" i="95"/>
  <c r="DH9" i="7"/>
  <c r="DM59" i="7"/>
  <c r="DM154" i="7" s="1"/>
  <c r="DN154" i="7"/>
  <c r="AB13" i="125"/>
  <c r="AB15" i="125"/>
  <c r="AE15" i="125"/>
  <c r="AE11" i="123"/>
  <c r="B11" i="123"/>
  <c r="AO51" i="6"/>
  <c r="BW16" i="8"/>
  <c r="AE88" i="7"/>
  <c r="AH46" i="6"/>
  <c r="AH49" i="6"/>
  <c r="AZ33" i="8" s="1"/>
  <c r="BB33" i="8" s="1"/>
  <c r="AH50" i="6"/>
  <c r="AH48" i="6"/>
  <c r="AZ26" i="8" s="1"/>
  <c r="AH47" i="6"/>
  <c r="AZ16" i="8" s="1"/>
  <c r="B58" i="56"/>
  <c r="G48" i="56"/>
  <c r="G58" i="56" s="1"/>
  <c r="M56" i="9"/>
  <c r="E43" i="3"/>
  <c r="F39" i="3"/>
  <c r="E40" i="3"/>
  <c r="M56" i="72"/>
  <c r="Y26" i="8"/>
  <c r="X52" i="6"/>
  <c r="H13" i="136"/>
  <c r="G9" i="136"/>
  <c r="M13" i="136"/>
  <c r="AJ104" i="8"/>
  <c r="AW104" i="8"/>
  <c r="O13" i="135"/>
  <c r="P12" i="135"/>
  <c r="P13" i="135" s="1"/>
  <c r="M8" i="56"/>
  <c r="M18" i="56" s="1"/>
  <c r="K12" i="81"/>
  <c r="N12" i="81" s="1"/>
  <c r="K13" i="81"/>
  <c r="N13" i="81" s="1"/>
  <c r="K7" i="81"/>
  <c r="N7" i="81" s="1"/>
  <c r="K10" i="81"/>
  <c r="N10" i="81" s="1"/>
  <c r="K11" i="81"/>
  <c r="N11" i="81" s="1"/>
  <c r="K9" i="81"/>
  <c r="N9" i="81" s="1"/>
  <c r="L45" i="68"/>
  <c r="N43" i="68"/>
  <c r="DG121" i="8"/>
  <c r="DG123" i="8"/>
  <c r="AT16" i="65"/>
  <c r="AT13" i="65" s="1"/>
  <c r="AT10" i="65" s="1"/>
  <c r="AT9" i="65" s="1"/>
  <c r="AT44" i="65" s="1"/>
  <c r="AT47" i="65" s="1"/>
  <c r="DJ119" i="8"/>
  <c r="DW69" i="123"/>
  <c r="CU146" i="7"/>
  <c r="AF13" i="125"/>
  <c r="FC14" i="19"/>
  <c r="FC13" i="19" s="1"/>
  <c r="FJ13" i="19" s="1"/>
  <c r="FB14" i="19"/>
  <c r="FB13" i="19" s="1"/>
  <c r="FI13" i="19" s="1"/>
  <c r="EZ13" i="19"/>
  <c r="FG13" i="19" s="1"/>
  <c r="FE14" i="19"/>
  <c r="FE13" i="19" s="1"/>
  <c r="FL13" i="19" s="1"/>
  <c r="AP64" i="123"/>
  <c r="AO9" i="123"/>
  <c r="AO64" i="123" s="1"/>
  <c r="B42" i="124"/>
  <c r="BQ9" i="123"/>
  <c r="B48" i="124"/>
  <c r="EN64" i="123"/>
  <c r="EM9" i="123"/>
  <c r="EM64" i="123" s="1"/>
  <c r="FO9" i="123"/>
  <c r="B50" i="124"/>
  <c r="FE9" i="123"/>
  <c r="FE64" i="123" s="1"/>
  <c r="FF64" i="123"/>
  <c r="CW9" i="123"/>
  <c r="CW64" i="123" s="1"/>
  <c r="B46" i="124"/>
  <c r="CX64" i="123"/>
  <c r="B63" i="124"/>
  <c r="CY64" i="123"/>
  <c r="B59" i="124"/>
  <c r="BR9" i="123"/>
  <c r="AQ64" i="123"/>
  <c r="DQ9" i="123"/>
  <c r="B62" i="124"/>
  <c r="CP64" i="123"/>
  <c r="AN24" i="98"/>
  <c r="AN51" i="5"/>
  <c r="AN48" i="5"/>
  <c r="AN50" i="5"/>
  <c r="AN49" i="5"/>
  <c r="P28" i="21"/>
  <c r="AD45" i="6"/>
  <c r="AC46" i="6"/>
  <c r="T26" i="7"/>
  <c r="S26" i="7"/>
  <c r="R26" i="7"/>
  <c r="Z26" i="7"/>
  <c r="D49" i="73"/>
  <c r="F42" i="73" s="1"/>
  <c r="G43" i="73" s="1"/>
  <c r="Q17" i="65" s="1"/>
  <c r="AM38" i="19"/>
  <c r="AF38" i="19"/>
  <c r="AG10" i="7"/>
  <c r="C20" i="56"/>
  <c r="B21" i="56"/>
  <c r="AH171" i="7"/>
  <c r="AH173" i="7"/>
  <c r="C15" i="63"/>
  <c r="D15" i="63" s="1"/>
  <c r="D14" i="63"/>
  <c r="BL37" i="71"/>
  <c r="CL142" i="8"/>
  <c r="AI16" i="65"/>
  <c r="S48" i="96"/>
  <c r="AA48" i="96" s="1"/>
  <c r="S63" i="96"/>
  <c r="S58" i="96"/>
  <c r="S53" i="96"/>
  <c r="DE52" i="7"/>
  <c r="DD53" i="7"/>
  <c r="DD52" i="7" s="1"/>
  <c r="DM17" i="7"/>
  <c r="DM144" i="7"/>
  <c r="DQ8" i="123"/>
  <c r="Q17" i="7"/>
  <c r="Z17" i="7" s="1"/>
  <c r="AB129" i="8"/>
  <c r="AB130" i="8" s="1"/>
  <c r="AB127" i="8"/>
  <c r="P25" i="21"/>
  <c r="AB53" i="6"/>
  <c r="C9" i="56"/>
  <c r="B10" i="56"/>
  <c r="B9" i="56" s="1"/>
  <c r="C56" i="85"/>
  <c r="H39" i="65"/>
  <c r="J16" i="85"/>
  <c r="I17" i="85"/>
  <c r="J17" i="85" s="1"/>
  <c r="K31" i="111"/>
  <c r="J50" i="97"/>
  <c r="CP67" i="123"/>
  <c r="BG67" i="123"/>
  <c r="H20" i="129"/>
  <c r="H21" i="129" s="1"/>
  <c r="BX69" i="123"/>
  <c r="BX68" i="123"/>
  <c r="DG60" i="7"/>
  <c r="DG157" i="7" s="1"/>
  <c r="BJ18" i="61"/>
  <c r="BK18" i="61" s="1"/>
  <c r="DH189" i="7"/>
  <c r="DH157" i="7"/>
  <c r="CL13" i="122"/>
  <c r="L48" i="123"/>
  <c r="M23" i="125"/>
  <c r="H48" i="56"/>
  <c r="H58" i="56" s="1"/>
  <c r="C58" i="56"/>
  <c r="AG8" i="19"/>
  <c r="AN8" i="19"/>
  <c r="CQ173" i="7"/>
  <c r="CQ171" i="7"/>
  <c r="Y23" i="8"/>
  <c r="U31" i="17"/>
  <c r="T31" i="17" s="1"/>
  <c r="BP32" i="17"/>
  <c r="BO32" i="17"/>
  <c r="O11" i="136"/>
  <c r="O12" i="136" s="1"/>
  <c r="N12" i="136"/>
  <c r="C24" i="85"/>
  <c r="H40" i="61"/>
  <c r="AM41" i="19"/>
  <c r="AF41" i="19"/>
  <c r="B23" i="102"/>
  <c r="P5" i="68"/>
  <c r="N8" i="68"/>
  <c r="E11" i="84"/>
  <c r="G11" i="84" s="1"/>
  <c r="K11" i="84" s="1"/>
  <c r="CF33" i="17"/>
  <c r="CE33" i="17" s="1"/>
  <c r="AZ23" i="8"/>
  <c r="BB23" i="8" s="1"/>
  <c r="CC33" i="17"/>
  <c r="CB33" i="17" s="1"/>
  <c r="CI33" i="17"/>
  <c r="CH33" i="17" s="1"/>
  <c r="BY87" i="7"/>
  <c r="BZ167" i="7"/>
  <c r="BZ72" i="7" s="1"/>
  <c r="F17" i="119"/>
  <c r="BF70" i="32"/>
  <c r="BF73" i="32"/>
  <c r="DB53" i="7" s="1"/>
  <c r="FV68" i="123"/>
  <c r="CW99" i="8"/>
  <c r="AT38" i="66"/>
  <c r="AO35" i="95"/>
  <c r="AE16" i="125"/>
  <c r="AO8" i="95"/>
  <c r="AO13" i="95" s="1"/>
  <c r="CN11" i="123"/>
  <c r="DQ11" i="123"/>
  <c r="AJ40" i="3"/>
  <c r="AJ39" i="3" s="1"/>
  <c r="AJ43" i="3" s="1"/>
  <c r="E31" i="84"/>
  <c r="K32" i="32"/>
  <c r="BE34" i="7"/>
  <c r="BF34" i="7" s="1"/>
  <c r="BE16" i="7"/>
  <c r="BF16" i="7" s="1"/>
  <c r="AZ104" i="8"/>
  <c r="BA104" i="8" s="1"/>
  <c r="BA42" i="8"/>
  <c r="N60" i="125"/>
  <c r="R39" i="7"/>
  <c r="S39" i="7"/>
  <c r="T39" i="7"/>
  <c r="U39" i="7" s="1"/>
  <c r="Z39" i="7"/>
  <c r="Q40" i="7"/>
  <c r="M59" i="72"/>
  <c r="V59" i="72" s="1"/>
  <c r="V58" i="72"/>
  <c r="T18" i="8"/>
  <c r="L71" i="56"/>
  <c r="L81" i="56" s="1"/>
  <c r="G37" i="8"/>
  <c r="M41" i="8"/>
  <c r="H41" i="8"/>
  <c r="AI10" i="136"/>
  <c r="AI38" i="8"/>
  <c r="O39" i="8"/>
  <c r="O40" i="8" s="1"/>
  <c r="N40" i="8"/>
  <c r="H29" i="21"/>
  <c r="I29" i="21" s="1"/>
  <c r="N13" i="21"/>
  <c r="N16" i="21" s="1"/>
  <c r="BG11" i="5"/>
  <c r="J49" i="68"/>
  <c r="J47" i="68"/>
  <c r="J48" i="68"/>
  <c r="J46" i="68"/>
  <c r="DR35" i="123"/>
  <c r="AS11" i="65"/>
  <c r="AS10" i="65" s="1"/>
  <c r="AS9" i="65" s="1"/>
  <c r="AS44" i="65" s="1"/>
  <c r="AS47" i="65" s="1"/>
  <c r="DG152" i="8"/>
  <c r="CU8" i="135"/>
  <c r="BJ65" i="32"/>
  <c r="AN11" i="95"/>
  <c r="AM24" i="98"/>
  <c r="AM29" i="98" s="1"/>
  <c r="AM34" i="98" s="1"/>
  <c r="AM31" i="98"/>
  <c r="AM36" i="98" s="1"/>
  <c r="DM18" i="8" s="1"/>
  <c r="DH191" i="7"/>
  <c r="BJ31" i="61"/>
  <c r="AW13" i="66"/>
  <c r="B9" i="123"/>
  <c r="B39" i="124"/>
  <c r="C64" i="123"/>
  <c r="AD9" i="123"/>
  <c r="B43" i="124"/>
  <c r="AY64" i="123"/>
  <c r="AX9" i="123"/>
  <c r="AX64" i="123" s="1"/>
  <c r="B47" i="124"/>
  <c r="DG64" i="123"/>
  <c r="DF9" i="123"/>
  <c r="DF64" i="123" s="1"/>
  <c r="BI64" i="123"/>
  <c r="B61" i="124"/>
  <c r="B60" i="124"/>
  <c r="AZ64" i="123"/>
  <c r="V64" i="123"/>
  <c r="B58" i="124"/>
  <c r="K28" i="21"/>
  <c r="J28" i="21"/>
  <c r="AB47" i="5"/>
  <c r="AC46" i="5"/>
  <c r="AI31" i="8"/>
  <c r="AW30" i="8"/>
  <c r="AJ30" i="8"/>
  <c r="Q39" i="8"/>
  <c r="P40" i="8"/>
  <c r="R39" i="8"/>
  <c r="R40" i="8" s="1"/>
  <c r="AN14" i="17"/>
  <c r="AO14" i="17"/>
  <c r="R34" i="7"/>
  <c r="S34" i="7"/>
  <c r="T34" i="7"/>
  <c r="U34" i="7" s="1"/>
  <c r="Z34" i="7"/>
  <c r="P40" i="17"/>
  <c r="BA35" i="71"/>
  <c r="BA24" i="71"/>
  <c r="AN38" i="19"/>
  <c r="AG38" i="19"/>
  <c r="AZ9" i="8"/>
  <c r="AF144" i="7"/>
  <c r="AG9" i="7"/>
  <c r="AG144" i="7" s="1"/>
  <c r="H68" i="123"/>
  <c r="AK68" i="123"/>
  <c r="H9" i="87"/>
  <c r="I26" i="87" s="1"/>
  <c r="I25" i="87" s="1"/>
  <c r="P31" i="61" s="1"/>
  <c r="I23" i="85"/>
  <c r="J23" i="85" s="1"/>
  <c r="J22" i="85"/>
  <c r="BU35" i="71"/>
  <c r="BU24" i="71"/>
  <c r="U37" i="66"/>
  <c r="T38" i="66"/>
  <c r="T39" i="66"/>
  <c r="DG45" i="7"/>
  <c r="AO13" i="123"/>
  <c r="BQ13" i="123"/>
  <c r="FO13" i="123"/>
  <c r="EM13" i="123"/>
  <c r="AN35" i="95"/>
  <c r="AN40" i="95" s="1"/>
  <c r="AN45" i="95" s="1"/>
  <c r="AN43" i="95" s="1"/>
  <c r="DH18" i="7" s="1"/>
  <c r="DG18" i="7" s="1"/>
  <c r="AN38" i="95"/>
  <c r="G15" i="105"/>
  <c r="G20" i="105" s="1"/>
  <c r="DR47" i="8"/>
  <c r="DR105" i="8" s="1"/>
  <c r="DR119" i="8" s="1"/>
  <c r="DS105" i="8"/>
  <c r="AE8" i="123"/>
  <c r="AC8" i="123" s="1"/>
  <c r="M15" i="126" s="1"/>
  <c r="AI25" i="8"/>
  <c r="W48" i="5"/>
  <c r="AA16" i="7" s="1"/>
  <c r="W50" i="5"/>
  <c r="AA34" i="7" s="1"/>
  <c r="W49" i="5"/>
  <c r="AA26" i="7" s="1"/>
  <c r="AK97" i="8"/>
  <c r="Z140" i="6"/>
  <c r="CH9" i="7"/>
  <c r="CH144" i="7" s="1"/>
  <c r="AE31" i="95"/>
  <c r="I31" i="111"/>
  <c r="F50" i="97"/>
  <c r="CS189" i="7"/>
  <c r="CR60" i="7"/>
  <c r="CR157" i="7" s="1"/>
  <c r="BC18" i="61"/>
  <c r="BD18" i="61" s="1"/>
  <c r="CS157" i="7"/>
  <c r="DD137" i="8"/>
  <c r="DD119" i="8"/>
  <c r="AF35" i="123"/>
  <c r="CX53" i="7"/>
  <c r="CX52" i="7" s="1"/>
  <c r="CY52" i="7"/>
  <c r="V23" i="125"/>
  <c r="AD23" i="125"/>
  <c r="G23" i="84"/>
  <c r="E24" i="84"/>
  <c r="G24" i="84" s="1"/>
  <c r="AX51" i="9"/>
  <c r="BC14" i="8"/>
  <c r="AV8" i="8"/>
  <c r="AM54" i="72"/>
  <c r="BA60" i="72"/>
  <c r="AQ60" i="72"/>
  <c r="AM52" i="72"/>
  <c r="Q119" i="7"/>
  <c r="Y107" i="7"/>
  <c r="AA107" i="7" s="1"/>
  <c r="AA106" i="7" s="1"/>
  <c r="BB31" i="17"/>
  <c r="BA31" i="17" s="1"/>
  <c r="AI13" i="8"/>
  <c r="BP28" i="17"/>
  <c r="BO28" i="17"/>
  <c r="V28" i="98"/>
  <c r="AN41" i="19"/>
  <c r="AG41" i="19"/>
  <c r="W47" i="59"/>
  <c r="AE47" i="59" s="1"/>
  <c r="W44" i="59"/>
  <c r="AE43" i="59"/>
  <c r="D23" i="102"/>
  <c r="D10" i="79"/>
  <c r="AT174" i="7"/>
  <c r="AT176" i="7"/>
  <c r="AT177" i="7" s="1"/>
  <c r="K10" i="84"/>
  <c r="BC26" i="71"/>
  <c r="W26" i="71"/>
  <c r="AX26" i="71"/>
  <c r="U26" i="71"/>
  <c r="AT26" i="71"/>
  <c r="V26" i="71"/>
  <c r="CF32" i="17"/>
  <c r="AZ13" i="8"/>
  <c r="CI32" i="17"/>
  <c r="CC32" i="17"/>
  <c r="BS31" i="17"/>
  <c r="BR31" i="17" s="1"/>
  <c r="BW7" i="135"/>
  <c r="BW15" i="135"/>
  <c r="EE35" i="123"/>
  <c r="GD35" i="123" s="1"/>
  <c r="AG61" i="123"/>
  <c r="H80" i="68"/>
  <c r="H81" i="68"/>
  <c r="H83" i="68"/>
  <c r="H82" i="68"/>
  <c r="DU73" i="7"/>
  <c r="V15" i="125"/>
  <c r="V13" i="125"/>
  <c r="EM11" i="123"/>
  <c r="FP11" i="123"/>
  <c r="AV38" i="66"/>
  <c r="Y177" i="7"/>
  <c r="FK68" i="123"/>
  <c r="AJ68" i="123"/>
  <c r="FB68" i="123"/>
  <c r="FU68" i="123"/>
  <c r="ES68" i="123"/>
  <c r="EG52" i="123"/>
  <c r="GF52" i="123" s="1"/>
  <c r="DL68" i="123"/>
  <c r="DC69" i="123"/>
  <c r="DC68" i="123"/>
  <c r="CT68" i="123"/>
  <c r="DV68" i="123"/>
  <c r="BM69" i="123"/>
  <c r="BD68" i="123"/>
  <c r="BW68" i="123"/>
  <c r="AU68" i="123"/>
  <c r="Z68" i="123"/>
  <c r="AJ65" i="123"/>
  <c r="Q68" i="123"/>
  <c r="GF28" i="123"/>
  <c r="GF27" i="123"/>
  <c r="EG9" i="123"/>
  <c r="GH64" i="123"/>
  <c r="BS109" i="8"/>
  <c r="J30" i="128"/>
  <c r="O30" i="128" s="1"/>
  <c r="T30" i="128" s="1"/>
  <c r="S29" i="128"/>
  <c r="P37" i="128"/>
  <c r="S37" i="128" s="1"/>
  <c r="F37" i="128"/>
  <c r="I37" i="128" s="1"/>
  <c r="I29" i="128"/>
  <c r="R12" i="128"/>
  <c r="P12" i="128"/>
  <c r="Q12" i="128"/>
  <c r="L12" i="128"/>
  <c r="M12" i="128"/>
  <c r="M16" i="128"/>
  <c r="M36" i="128" s="1"/>
  <c r="Q16" i="128"/>
  <c r="K36" i="128"/>
  <c r="P16" i="128"/>
  <c r="L16" i="128"/>
  <c r="R16" i="128"/>
  <c r="G16" i="128"/>
  <c r="H16" i="128"/>
  <c r="F16" i="128"/>
  <c r="C16" i="128"/>
  <c r="D16" i="128"/>
  <c r="K7" i="129"/>
  <c r="K20" i="129"/>
  <c r="K13" i="129"/>
  <c r="K11" i="129"/>
  <c r="T17" i="126"/>
  <c r="CB10" i="123"/>
  <c r="S17" i="126" s="1"/>
  <c r="EB10" i="123"/>
  <c r="EK10" i="123" s="1"/>
  <c r="CL102" i="122"/>
  <c r="AD57" i="126"/>
  <c r="FY66" i="123"/>
  <c r="DQ66" i="123"/>
  <c r="AE57" i="123"/>
  <c r="CY60" i="123"/>
  <c r="DH60" i="123" s="1"/>
  <c r="DR42" i="123"/>
  <c r="M58" i="123"/>
  <c r="V58" i="123" s="1"/>
  <c r="AE58" i="123" s="1"/>
  <c r="DR72" i="123"/>
  <c r="ED74" i="123"/>
  <c r="GC74" i="123" s="1"/>
  <c r="L37" i="123"/>
  <c r="EF16" i="123"/>
  <c r="EL16" i="123" s="1"/>
  <c r="CX59" i="123"/>
  <c r="DG59" i="123" s="1"/>
  <c r="DF74" i="123"/>
  <c r="DF72" i="123" s="1"/>
  <c r="CW72" i="123"/>
  <c r="M38" i="123"/>
  <c r="U46" i="123"/>
  <c r="T46" i="123" s="1"/>
  <c r="K46" i="123"/>
  <c r="Q35" i="126"/>
  <c r="BZ44" i="123"/>
  <c r="CK16" i="123"/>
  <c r="FE75" i="123"/>
  <c r="CY54" i="123"/>
  <c r="DH54" i="123" s="1"/>
  <c r="FO27" i="123"/>
  <c r="FX27" i="123" s="1"/>
  <c r="FX21" i="123"/>
  <c r="CB15" i="123"/>
  <c r="S22" i="126" s="1"/>
  <c r="T22" i="126"/>
  <c r="EB15" i="123"/>
  <c r="EK15" i="123" s="1"/>
  <c r="EF50" i="123"/>
  <c r="AU65" i="123"/>
  <c r="AU76" i="123"/>
  <c r="AM21" i="123"/>
  <c r="CC21" i="123"/>
  <c r="AD27" i="123"/>
  <c r="AM27" i="123" s="1"/>
  <c r="CE27" i="123"/>
  <c r="CE28" i="123"/>
  <c r="CE11" i="123"/>
  <c r="CE29" i="123" s="1"/>
  <c r="CL11" i="123"/>
  <c r="EE11" i="123"/>
  <c r="DL76" i="123"/>
  <c r="DL65" i="123"/>
  <c r="FW21" i="123"/>
  <c r="FN27" i="123"/>
  <c r="FW27" i="123" s="1"/>
  <c r="EE38" i="123"/>
  <c r="FB76" i="123"/>
  <c r="FB65" i="123"/>
  <c r="EG30" i="123"/>
  <c r="GF12" i="123"/>
  <c r="GF30" i="123" s="1"/>
  <c r="EB16" i="123"/>
  <c r="EA16" i="123" s="1"/>
  <c r="CB16" i="123"/>
  <c r="N15" i="126"/>
  <c r="C18" i="127" s="1"/>
  <c r="EH27" i="123"/>
  <c r="GG21" i="123"/>
  <c r="GG27" i="123" s="1"/>
  <c r="ES76" i="123"/>
  <c r="ES65" i="123"/>
  <c r="H76" i="123"/>
  <c r="H65" i="123"/>
  <c r="Z21" i="126"/>
  <c r="EE28" i="123"/>
  <c r="EE27" i="123"/>
  <c r="ED10" i="123"/>
  <c r="GD10" i="123"/>
  <c r="EK23" i="123"/>
  <c r="CH42" i="123"/>
  <c r="EG41" i="123"/>
  <c r="GD25" i="123"/>
  <c r="EE9" i="123"/>
  <c r="EE26" i="123" s="1"/>
  <c r="EE40" i="123"/>
  <c r="CF42" i="123"/>
  <c r="Z19" i="126"/>
  <c r="AC21" i="123"/>
  <c r="GM21" i="123"/>
  <c r="GB22" i="123"/>
  <c r="GK22" i="123" s="1"/>
  <c r="EL22" i="123"/>
  <c r="GJ23" i="123"/>
  <c r="CA55" i="123"/>
  <c r="R46" i="126"/>
  <c r="CD55" i="123"/>
  <c r="BP46" i="123"/>
  <c r="R37" i="126"/>
  <c r="CA46" i="123"/>
  <c r="CD46" i="123"/>
  <c r="GC55" i="123"/>
  <c r="CG52" i="123"/>
  <c r="BG59" i="123"/>
  <c r="BP59" i="123" s="1"/>
  <c r="BQ59" i="123"/>
  <c r="T44" i="123"/>
  <c r="AC44" i="123" s="1"/>
  <c r="AE44" i="123"/>
  <c r="BS64" i="123"/>
  <c r="GD16" i="123"/>
  <c r="DR64" i="123"/>
  <c r="AZ45" i="123"/>
  <c r="BI45" i="123" s="1"/>
  <c r="ED51" i="123"/>
  <c r="GE48" i="123"/>
  <c r="GE14" i="123"/>
  <c r="GK14" i="123" s="1"/>
  <c r="BR37" i="123"/>
  <c r="EA75" i="123"/>
  <c r="CK75" i="123"/>
  <c r="AC37" i="126"/>
  <c r="FX46" i="123"/>
  <c r="BG74" i="123"/>
  <c r="AX72" i="123"/>
  <c r="O50" i="126"/>
  <c r="AN59" i="123"/>
  <c r="CD59" i="123"/>
  <c r="ED57" i="123"/>
  <c r="ED14" i="123"/>
  <c r="GD14" i="123"/>
  <c r="EK14" i="123"/>
  <c r="CL83" i="122"/>
  <c r="EF57" i="123"/>
  <c r="CD54" i="123"/>
  <c r="CM54" i="123" s="1"/>
  <c r="O45" i="126"/>
  <c r="ED59" i="123"/>
  <c r="EE49" i="123"/>
  <c r="CM15" i="123"/>
  <c r="EF15" i="123"/>
  <c r="ED15" i="123" s="1"/>
  <c r="Q37" i="126"/>
  <c r="BZ46" i="123"/>
  <c r="GE39" i="123"/>
  <c r="EF40" i="123"/>
  <c r="GD13" i="123"/>
  <c r="CE15" i="123"/>
  <c r="GJ12" i="123"/>
  <c r="GD30" i="123"/>
  <c r="CE39" i="123"/>
  <c r="CE8" i="123"/>
  <c r="EE8" i="123"/>
  <c r="EE45" i="123"/>
  <c r="AN54" i="123"/>
  <c r="BK69" i="123"/>
  <c r="AF64" i="123"/>
  <c r="M39" i="123"/>
  <c r="GD15" i="123"/>
  <c r="EF12" i="123"/>
  <c r="CM12" i="123"/>
  <c r="CK12" i="123" s="1"/>
  <c r="CE12" i="123"/>
  <c r="CE30" i="123" s="1"/>
  <c r="DY46" i="123"/>
  <c r="W37" i="126"/>
  <c r="CL9" i="122"/>
  <c r="EE44" i="123"/>
  <c r="CL44" i="123"/>
  <c r="CG42" i="123"/>
  <c r="EF41" i="123"/>
  <c r="EE53" i="123"/>
  <c r="EE60" i="123"/>
  <c r="FO59" i="123"/>
  <c r="V45" i="123"/>
  <c r="K45" i="123"/>
  <c r="EE50" i="123"/>
  <c r="ED53" i="123"/>
  <c r="AZ44" i="123"/>
  <c r="AO44" i="123"/>
  <c r="CM53" i="123"/>
  <c r="U44" i="126"/>
  <c r="EF54" i="123"/>
  <c r="CE40" i="123"/>
  <c r="CF64" i="123"/>
  <c r="EF13" i="123"/>
  <c r="CM13" i="123"/>
  <c r="AY45" i="123"/>
  <c r="AO45" i="123"/>
  <c r="GD39" i="123"/>
  <c r="EE51" i="123"/>
  <c r="ED45" i="123"/>
  <c r="CG64" i="123"/>
  <c r="CM56" i="123"/>
  <c r="U47" i="126"/>
  <c r="BR60" i="123"/>
  <c r="B26" i="124"/>
  <c r="B23" i="124"/>
  <c r="M65" i="125"/>
  <c r="C24" i="124"/>
  <c r="B12" i="124"/>
  <c r="B15" i="124"/>
  <c r="AB63" i="125"/>
  <c r="M63" i="125"/>
  <c r="T27" i="125"/>
  <c r="R25" i="125"/>
  <c r="X24" i="125"/>
  <c r="C30" i="124"/>
  <c r="Z28" i="125"/>
  <c r="P51" i="125"/>
  <c r="N42" i="125"/>
  <c r="T44" i="125"/>
  <c r="X22" i="125"/>
  <c r="M35" i="125"/>
  <c r="D49" i="116"/>
  <c r="F42" i="116" s="1"/>
  <c r="G43" i="116" s="1"/>
  <c r="E21" i="79"/>
  <c r="I20" i="79"/>
  <c r="E24" i="79"/>
  <c r="D18" i="79"/>
  <c r="E19" i="79" s="1"/>
  <c r="F19" i="79" s="1"/>
  <c r="H19" i="79" s="1"/>
  <c r="E26" i="79"/>
  <c r="E23" i="79"/>
  <c r="E25" i="79"/>
  <c r="D110" i="118"/>
  <c r="D108" i="118"/>
  <c r="AH14" i="65"/>
  <c r="N53" i="125"/>
  <c r="T50" i="125"/>
  <c r="Z27" i="125"/>
  <c r="O19" i="125"/>
  <c r="X29" i="125"/>
  <c r="AA27" i="125"/>
  <c r="Y28" i="125"/>
  <c r="L27" i="125"/>
  <c r="AB19" i="125"/>
  <c r="H14" i="127" s="1"/>
  <c r="H13" i="127" s="1"/>
  <c r="R28" i="125"/>
  <c r="S27" i="125"/>
  <c r="Y20" i="125"/>
  <c r="S19" i="125"/>
  <c r="E14" i="127" s="1"/>
  <c r="R20" i="125"/>
  <c r="L19" i="125"/>
  <c r="X14" i="125"/>
  <c r="CW43" i="8"/>
  <c r="R35" i="104"/>
  <c r="Q27" i="104"/>
  <c r="AN8" i="71" l="1"/>
  <c r="CC8" i="123"/>
  <c r="CL8" i="123" s="1"/>
  <c r="J14" i="68"/>
  <c r="T39" i="128"/>
  <c r="AF16" i="19"/>
  <c r="P36" i="71"/>
  <c r="BM58" i="72"/>
  <c r="BL50" i="72" s="1"/>
  <c r="BM50" i="72" s="1"/>
  <c r="B13" i="87" s="1"/>
  <c r="C13" i="87" s="1"/>
  <c r="M39" i="3"/>
  <c r="AM40" i="11"/>
  <c r="BG54" i="9"/>
  <c r="Y40" i="3"/>
  <c r="Y39" i="3" s="1"/>
  <c r="AF42" i="123"/>
  <c r="BR25" i="19"/>
  <c r="BR39" i="19"/>
  <c r="BR20" i="19"/>
  <c r="BR34" i="19"/>
  <c r="BR47" i="19"/>
  <c r="BR26" i="19"/>
  <c r="BR40" i="19"/>
  <c r="BR16" i="19"/>
  <c r="BA50" i="19"/>
  <c r="AB65" i="65"/>
  <c r="BQ23" i="19"/>
  <c r="BR37" i="19"/>
  <c r="BR43" i="19"/>
  <c r="BR38" i="19"/>
  <c r="BR21" i="19"/>
  <c r="BR28" i="19"/>
  <c r="BR27" i="19"/>
  <c r="AM37" i="19"/>
  <c r="BQ39" i="3"/>
  <c r="R7" i="96" s="1"/>
  <c r="AK10" i="95"/>
  <c r="BQ43" i="3"/>
  <c r="AG46" i="6"/>
  <c r="CH34" i="17"/>
  <c r="AK8" i="95"/>
  <c r="AK12" i="95" s="1"/>
  <c r="BR33" i="19"/>
  <c r="BR23" i="19"/>
  <c r="BR24" i="19"/>
  <c r="BR48" i="19"/>
  <c r="BR36" i="19"/>
  <c r="AQ10" i="7"/>
  <c r="AR10" i="7" s="1"/>
  <c r="AS10" i="7" s="1"/>
  <c r="CK14" i="123"/>
  <c r="CE26" i="123"/>
  <c r="CE13" i="123"/>
  <c r="BC47" i="6"/>
  <c r="DP16" i="8" s="1"/>
  <c r="BC50" i="6"/>
  <c r="DP41" i="8" s="1"/>
  <c r="DO41" i="8" s="1"/>
  <c r="DV47" i="7"/>
  <c r="EC48" i="7"/>
  <c r="EC43" i="7" s="1"/>
  <c r="DW48" i="7"/>
  <c r="DW43" i="7" s="1"/>
  <c r="EC39" i="7"/>
  <c r="DW39" i="7"/>
  <c r="AS15" i="95"/>
  <c r="AS20" i="95" s="1"/>
  <c r="AS16" i="95"/>
  <c r="AS21" i="95" s="1"/>
  <c r="AS13" i="95"/>
  <c r="AS51" i="95" s="1"/>
  <c r="EH29" i="8"/>
  <c r="EB29" i="8"/>
  <c r="BG45" i="6"/>
  <c r="BG46" i="6" s="1"/>
  <c r="BM50" i="5"/>
  <c r="EF34" i="7" s="1"/>
  <c r="BM48" i="5"/>
  <c r="EF16" i="7" s="1"/>
  <c r="BM51" i="5"/>
  <c r="EF42" i="7" s="1"/>
  <c r="BM49" i="5"/>
  <c r="EF26" i="7" s="1"/>
  <c r="C76" i="122"/>
  <c r="CI76" i="122"/>
  <c r="CB76" i="122"/>
  <c r="CC157" i="122"/>
  <c r="CI157" i="122" s="1"/>
  <c r="EO30" i="17"/>
  <c r="EP30" i="17" s="1"/>
  <c r="EO25" i="17"/>
  <c r="EP25" i="17" s="1"/>
  <c r="EC23" i="7"/>
  <c r="DW23" i="7"/>
  <c r="EC31" i="7"/>
  <c r="DW31" i="7"/>
  <c r="EC194" i="7"/>
  <c r="BU23" i="61"/>
  <c r="DW194" i="7"/>
  <c r="BQ23" i="61"/>
  <c r="EH38" i="8"/>
  <c r="EB38" i="8"/>
  <c r="EC23" i="8"/>
  <c r="EI23" i="8"/>
  <c r="EA22" i="8"/>
  <c r="EA99" i="8" s="1"/>
  <c r="EB99" i="8"/>
  <c r="EB47" i="7"/>
  <c r="EH13" i="8"/>
  <c r="EB13" i="8"/>
  <c r="EP31" i="17"/>
  <c r="EO31" i="17" s="1"/>
  <c r="EO40" i="17" s="1"/>
  <c r="AT16" i="95"/>
  <c r="AT21" i="95" s="1"/>
  <c r="AT15" i="95"/>
  <c r="AT20" i="95" s="1"/>
  <c r="AT13" i="95"/>
  <c r="CB99" i="120"/>
  <c r="CI99" i="120"/>
  <c r="C99" i="120"/>
  <c r="CC198" i="120"/>
  <c r="CI198" i="120" s="1"/>
  <c r="EH23" i="8"/>
  <c r="EB23" i="8"/>
  <c r="EG22" i="8"/>
  <c r="EG99" i="8" s="1"/>
  <c r="EH99" i="8"/>
  <c r="CB42" i="122"/>
  <c r="C42" i="122"/>
  <c r="CI42" i="122"/>
  <c r="CC156" i="122"/>
  <c r="CI156" i="122" s="1"/>
  <c r="U24" i="71"/>
  <c r="T35" i="71" s="1"/>
  <c r="AT35" i="71" s="1"/>
  <c r="BP49" i="19"/>
  <c r="BS49" i="19"/>
  <c r="BS50" i="19" s="1"/>
  <c r="BQ26" i="19"/>
  <c r="BQ47" i="19"/>
  <c r="EH10" i="8"/>
  <c r="EB10" i="8"/>
  <c r="CC18" i="10"/>
  <c r="EH20" i="8"/>
  <c r="EG20" i="8" s="1"/>
  <c r="EB20" i="8"/>
  <c r="EA20" i="8" s="1"/>
  <c r="CC81" i="122"/>
  <c r="EJ33" i="8"/>
  <c r="BE12" i="66"/>
  <c r="BE11" i="66" s="1"/>
  <c r="BE36" i="66" s="1"/>
  <c r="BE39" i="66" s="1"/>
  <c r="CC49" i="122"/>
  <c r="EJ26" i="8"/>
  <c r="CC101" i="122"/>
  <c r="EJ41" i="8"/>
  <c r="CC29" i="122"/>
  <c r="EK103" i="8"/>
  <c r="EJ16" i="8"/>
  <c r="DW152" i="7"/>
  <c r="DV16" i="7"/>
  <c r="EC152" i="7"/>
  <c r="EB16" i="7"/>
  <c r="DV42" i="7"/>
  <c r="EB42" i="7"/>
  <c r="AX96" i="8"/>
  <c r="BG15" i="65"/>
  <c r="BI15" i="65"/>
  <c r="AQ36" i="7"/>
  <c r="AR36" i="7" s="1"/>
  <c r="AS36" i="7" s="1"/>
  <c r="BV18" i="61"/>
  <c r="BX18" i="61"/>
  <c r="AC12" i="96"/>
  <c r="K14" i="127"/>
  <c r="K13" i="127"/>
  <c r="FR47" i="123"/>
  <c r="EG63" i="123"/>
  <c r="GF63" i="123" s="1"/>
  <c r="FH47" i="123"/>
  <c r="FH43" i="123"/>
  <c r="ER63" i="123"/>
  <c r="CQ43" i="123"/>
  <c r="FR43" i="123"/>
  <c r="E45" i="143"/>
  <c r="G45" i="143" s="1"/>
  <c r="J47" i="143"/>
  <c r="I47" i="143"/>
  <c r="H47" i="143" s="1"/>
  <c r="H46" i="143"/>
  <c r="BU48" i="19"/>
  <c r="BU28" i="19"/>
  <c r="AF19" i="19"/>
  <c r="AF42" i="19"/>
  <c r="FL10" i="19"/>
  <c r="FL11" i="19" s="1"/>
  <c r="FK49" i="19"/>
  <c r="FF13" i="19"/>
  <c r="FF10" i="19" s="1"/>
  <c r="FF50" i="19"/>
  <c r="FG9" i="19"/>
  <c r="FL34" i="19"/>
  <c r="FL16" i="19"/>
  <c r="FL8" i="19"/>
  <c r="FL27" i="19"/>
  <c r="FL19" i="19"/>
  <c r="FL42" i="19"/>
  <c r="FL26" i="19"/>
  <c r="FL18" i="19"/>
  <c r="FL30" i="19"/>
  <c r="FL23" i="19"/>
  <c r="FL31" i="19"/>
  <c r="FL47" i="19"/>
  <c r="FL21" i="19"/>
  <c r="FL20" i="19"/>
  <c r="FL48" i="19"/>
  <c r="FL24" i="19"/>
  <c r="FL28" i="19"/>
  <c r="FL41" i="19"/>
  <c r="FL36" i="19"/>
  <c r="FL37" i="19"/>
  <c r="FL39" i="19"/>
  <c r="FL17" i="19"/>
  <c r="FL45" i="19"/>
  <c r="FL32" i="19"/>
  <c r="FL29" i="19"/>
  <c r="FL9" i="19"/>
  <c r="FL38" i="19"/>
  <c r="FL44" i="19"/>
  <c r="FL15" i="19"/>
  <c r="FL43" i="19"/>
  <c r="FL25" i="19"/>
  <c r="FL40" i="19"/>
  <c r="FL46" i="19"/>
  <c r="FL22" i="19"/>
  <c r="FL35" i="19"/>
  <c r="FL33" i="19"/>
  <c r="CX66" i="8"/>
  <c r="FJ9" i="19"/>
  <c r="FI9" i="19"/>
  <c r="EF123" i="8"/>
  <c r="EF121" i="8"/>
  <c r="DW123" i="8"/>
  <c r="DW126" i="8" s="1"/>
  <c r="DW127" i="8" s="1"/>
  <c r="AU71" i="7"/>
  <c r="AU93" i="7" s="1"/>
  <c r="CA12" i="7"/>
  <c r="AN32" i="7"/>
  <c r="AN33" i="7" s="1"/>
  <c r="CG30" i="7"/>
  <c r="BC146" i="7"/>
  <c r="BB15" i="66"/>
  <c r="AU17" i="66"/>
  <c r="BA17" i="66" s="1"/>
  <c r="BM18" i="61"/>
  <c r="BR18" i="61"/>
  <c r="BT18" i="61"/>
  <c r="AX15" i="65"/>
  <c r="BC15" i="65"/>
  <c r="BE15" i="65"/>
  <c r="BE30" i="65"/>
  <c r="T49" i="125"/>
  <c r="BB146" i="7"/>
  <c r="BW30" i="7"/>
  <c r="CH55" i="7"/>
  <c r="DQ52" i="7"/>
  <c r="DQ153" i="7" s="1"/>
  <c r="DQ188" i="7" s="1"/>
  <c r="BD14" i="64" s="1"/>
  <c r="AQ54" i="7"/>
  <c r="AR54" i="7" s="1"/>
  <c r="AS54" i="7" s="1"/>
  <c r="BW54" i="7"/>
  <c r="BX28" i="7"/>
  <c r="AM54" i="7"/>
  <c r="CA10" i="7"/>
  <c r="BX54" i="7"/>
  <c r="AD146" i="7"/>
  <c r="AD148" i="7"/>
  <c r="AD19" i="8"/>
  <c r="AD102" i="8" s="1"/>
  <c r="CS126" i="8"/>
  <c r="CS127" i="8" s="1"/>
  <c r="DZ123" i="8"/>
  <c r="DZ124" i="8" s="1"/>
  <c r="DY137" i="8"/>
  <c r="DY152" i="8" s="1"/>
  <c r="DY119" i="8"/>
  <c r="DX61" i="8"/>
  <c r="DX63" i="8" s="1"/>
  <c r="DS137" i="8"/>
  <c r="DS152" i="8" s="1"/>
  <c r="DS119" i="8"/>
  <c r="DX119" i="8"/>
  <c r="DX121" i="8" s="1"/>
  <c r="DR61" i="8"/>
  <c r="DR63" i="8" s="1"/>
  <c r="AW12" i="66"/>
  <c r="AW11" i="66" s="1"/>
  <c r="AW36" i="66" s="1"/>
  <c r="AW39" i="66" s="1"/>
  <c r="DR121" i="8"/>
  <c r="F27" i="118"/>
  <c r="AR23" i="64"/>
  <c r="AX11" i="66"/>
  <c r="AX36" i="66" s="1"/>
  <c r="AX39" i="66" s="1"/>
  <c r="DM71" i="7"/>
  <c r="DM73" i="7" s="1"/>
  <c r="DN52" i="7"/>
  <c r="DN153" i="7" s="1"/>
  <c r="DN166" i="7" s="1"/>
  <c r="AZ51" i="123"/>
  <c r="BI51" i="123" s="1"/>
  <c r="B51" i="123"/>
  <c r="DU184" i="7"/>
  <c r="DU199" i="7" s="1"/>
  <c r="DU166" i="7"/>
  <c r="AW12" i="64"/>
  <c r="AW11" i="64" s="1"/>
  <c r="AW23" i="64" s="1"/>
  <c r="DM166" i="7"/>
  <c r="DM168" i="7" s="1"/>
  <c r="AN52" i="7"/>
  <c r="AL52" i="7" s="1"/>
  <c r="AQ29" i="7"/>
  <c r="AR29" i="7" s="1"/>
  <c r="AL53" i="7"/>
  <c r="BA53" i="7" s="1"/>
  <c r="AJ99" i="8"/>
  <c r="AY26" i="8"/>
  <c r="AX103" i="8"/>
  <c r="AY19" i="8"/>
  <c r="AY102" i="8" s="1"/>
  <c r="AX102" i="8"/>
  <c r="BA99" i="8"/>
  <c r="AX27" i="8"/>
  <c r="AY33" i="8"/>
  <c r="AY27" i="8" s="1"/>
  <c r="AX97" i="8"/>
  <c r="AY20" i="8"/>
  <c r="AY97" i="8" s="1"/>
  <c r="AX42" i="8"/>
  <c r="AX104" i="8" s="1"/>
  <c r="AY44" i="8"/>
  <c r="AY42" i="8" s="1"/>
  <c r="AY104" i="8" s="1"/>
  <c r="AY23" i="8"/>
  <c r="AX24" i="8"/>
  <c r="AQ28" i="7"/>
  <c r="AR28" i="7" s="1"/>
  <c r="AS28" i="7" s="1"/>
  <c r="AC148" i="7"/>
  <c r="AC146" i="7"/>
  <c r="BA36" i="7"/>
  <c r="AM36" i="7"/>
  <c r="AC50" i="125"/>
  <c r="Q8" i="8"/>
  <c r="BC31" i="7"/>
  <c r="DT73" i="7"/>
  <c r="DY63" i="8"/>
  <c r="DS63" i="8"/>
  <c r="CO123" i="8"/>
  <c r="CO124" i="8" s="1"/>
  <c r="BW189" i="7"/>
  <c r="AL167" i="7"/>
  <c r="BA87" i="7"/>
  <c r="AM87" i="7"/>
  <c r="AO29" i="7"/>
  <c r="AL29" i="7" s="1"/>
  <c r="E97" i="7"/>
  <c r="G97" i="7" s="1"/>
  <c r="Q97" i="7" s="1"/>
  <c r="L8" i="56"/>
  <c r="L18" i="56" s="1"/>
  <c r="G18" i="56"/>
  <c r="AO10" i="7"/>
  <c r="AN146" i="7"/>
  <c r="AF27" i="19"/>
  <c r="AG59" i="7"/>
  <c r="AG154" i="7" s="1"/>
  <c r="AO49" i="6"/>
  <c r="AO53" i="6" s="1"/>
  <c r="BC8" i="7"/>
  <c r="F42" i="118"/>
  <c r="G43" i="118" s="1"/>
  <c r="F32" i="118"/>
  <c r="Q36" i="128"/>
  <c r="AF39" i="19"/>
  <c r="L36" i="128"/>
  <c r="N36" i="128" s="1"/>
  <c r="BX60" i="7"/>
  <c r="BX189" i="7" s="1"/>
  <c r="R8" i="8"/>
  <c r="Y41" i="8"/>
  <c r="AF41" i="8" s="1"/>
  <c r="BX12" i="7"/>
  <c r="BX10" i="7"/>
  <c r="BX29" i="7"/>
  <c r="BV167" i="7"/>
  <c r="BV72" i="7" s="1"/>
  <c r="BX55" i="7"/>
  <c r="CA29" i="7"/>
  <c r="CG55" i="7"/>
  <c r="M9" i="102"/>
  <c r="N9" i="102" s="1"/>
  <c r="O9" i="102" s="1"/>
  <c r="BB46" i="5"/>
  <c r="BB47" i="5" s="1"/>
  <c r="BB50" i="5" s="1"/>
  <c r="CS34" i="7" s="1"/>
  <c r="CR34" i="7" s="1"/>
  <c r="AZ18" i="8"/>
  <c r="BB18" i="8" s="1"/>
  <c r="BC55" i="9"/>
  <c r="BF55" i="9" s="1"/>
  <c r="CM53" i="7"/>
  <c r="CL53" i="7" s="1"/>
  <c r="CL52" i="7" s="1"/>
  <c r="AA18" i="7"/>
  <c r="AI18" i="7" s="1"/>
  <c r="P24" i="17"/>
  <c r="BW10" i="7"/>
  <c r="BZ28" i="7"/>
  <c r="BW28" i="7"/>
  <c r="BW148" i="7" s="1"/>
  <c r="CA30" i="7"/>
  <c r="BW29" i="7"/>
  <c r="BZ30" i="7"/>
  <c r="BZ10" i="7"/>
  <c r="BW157" i="7"/>
  <c r="BP174" i="7"/>
  <c r="EK50" i="19"/>
  <c r="CH30" i="7"/>
  <c r="CA55" i="7"/>
  <c r="BX30" i="7"/>
  <c r="BZ55" i="7"/>
  <c r="BW55" i="7"/>
  <c r="CA28" i="7"/>
  <c r="BZ29" i="7"/>
  <c r="BF54" i="9"/>
  <c r="CB50" i="19"/>
  <c r="CL97" i="122"/>
  <c r="AN8" i="17"/>
  <c r="X54" i="6"/>
  <c r="D48" i="73"/>
  <c r="F17" i="73" s="1"/>
  <c r="E37" i="128"/>
  <c r="J37" i="128" s="1"/>
  <c r="O37" i="128" s="1"/>
  <c r="T37" i="128" s="1"/>
  <c r="AC100" i="8"/>
  <c r="AQ23" i="7"/>
  <c r="AR23" i="7" s="1"/>
  <c r="AS23" i="7" s="1"/>
  <c r="AO8" i="17"/>
  <c r="AF31" i="19"/>
  <c r="L59" i="125"/>
  <c r="W47" i="123"/>
  <c r="ER50" i="19"/>
  <c r="AF29" i="19"/>
  <c r="AF18" i="19"/>
  <c r="FI63" i="123"/>
  <c r="F70" i="68"/>
  <c r="F72" i="68" s="1"/>
  <c r="CT25" i="17" s="1"/>
  <c r="CU25" i="17" s="1"/>
  <c r="BY13" i="7" s="1"/>
  <c r="BY14" i="7" s="1"/>
  <c r="F85" i="68"/>
  <c r="BV33" i="8"/>
  <c r="BW33" i="8" s="1"/>
  <c r="B18" i="99"/>
  <c r="AT29" i="71"/>
  <c r="BS54" i="72"/>
  <c r="AN48" i="6"/>
  <c r="AN52" i="6" s="1"/>
  <c r="AP52" i="6" s="1"/>
  <c r="AP48" i="6" s="1"/>
  <c r="CK26" i="8" s="1"/>
  <c r="F17" i="116"/>
  <c r="BS24" i="17"/>
  <c r="BR38" i="17" s="1"/>
  <c r="AX29" i="71"/>
  <c r="F84" i="68"/>
  <c r="R36" i="128"/>
  <c r="F27" i="116"/>
  <c r="J29" i="128"/>
  <c r="O29" i="128" s="1"/>
  <c r="T29" i="128" s="1"/>
  <c r="T37" i="71"/>
  <c r="BC37" i="71" s="1"/>
  <c r="F71" i="68"/>
  <c r="AF24" i="19"/>
  <c r="AF26" i="19"/>
  <c r="W39" i="56"/>
  <c r="O17" i="128"/>
  <c r="T17" i="128" s="1"/>
  <c r="W64" i="32"/>
  <c r="V64" i="32"/>
  <c r="Z63" i="32"/>
  <c r="Y63" i="32"/>
  <c r="BN127" i="8"/>
  <c r="BM126" i="8"/>
  <c r="BM127" i="8" s="1"/>
  <c r="BB15" i="7"/>
  <c r="BB8" i="7" s="1"/>
  <c r="AZ14" i="7"/>
  <c r="AZ15" i="7" s="1"/>
  <c r="EA13" i="19"/>
  <c r="BH45" i="11"/>
  <c r="BH51" i="11" s="1"/>
  <c r="AO31" i="95"/>
  <c r="DS59" i="7"/>
  <c r="AX11" i="5"/>
  <c r="AX46" i="5" s="1"/>
  <c r="AX47" i="5" s="1"/>
  <c r="AO18" i="95"/>
  <c r="W27" i="95"/>
  <c r="BG52" i="9"/>
  <c r="BV26" i="8"/>
  <c r="CK15" i="123"/>
  <c r="AG41" i="7"/>
  <c r="AG35" i="7" s="1"/>
  <c r="FQ42" i="123"/>
  <c r="BK103" i="6"/>
  <c r="EP43" i="123"/>
  <c r="AM59" i="123"/>
  <c r="AN47" i="6"/>
  <c r="BJ103" i="6"/>
  <c r="CJ53" i="7"/>
  <c r="CI53" i="7" s="1"/>
  <c r="CI52" i="7" s="1"/>
  <c r="H17" i="129"/>
  <c r="H22" i="129" s="1"/>
  <c r="F12" i="118"/>
  <c r="EA73" i="123"/>
  <c r="AN49" i="6"/>
  <c r="AN53" i="6" s="1"/>
  <c r="AP53" i="6" s="1"/>
  <c r="AP49" i="6" s="1"/>
  <c r="CK33" i="8" s="1"/>
  <c r="CL33" i="8" s="1"/>
  <c r="F37" i="116"/>
  <c r="G38" i="116" s="1"/>
  <c r="CC59" i="123"/>
  <c r="AF17" i="19"/>
  <c r="DA14" i="19"/>
  <c r="CZ14" i="19"/>
  <c r="DC14" i="19"/>
  <c r="DC10" i="19" s="1"/>
  <c r="DC11" i="19" s="1"/>
  <c r="CX10" i="19"/>
  <c r="CX11" i="19" s="1"/>
  <c r="AV27" i="8"/>
  <c r="S28" i="128"/>
  <c r="AE49" i="123"/>
  <c r="AN49" i="123" s="1"/>
  <c r="FN8" i="123"/>
  <c r="AB15" i="126" s="1"/>
  <c r="AF28" i="19"/>
  <c r="F64" i="118"/>
  <c r="AC15" i="126"/>
  <c r="H18" i="127" s="1"/>
  <c r="BP67" i="123"/>
  <c r="BY67" i="123" s="1"/>
  <c r="ED73" i="123"/>
  <c r="Y36" i="95"/>
  <c r="Y41" i="95" s="1"/>
  <c r="X41" i="95"/>
  <c r="F32" i="116"/>
  <c r="F52" i="68"/>
  <c r="CQ25" i="17" s="1"/>
  <c r="AF35" i="19"/>
  <c r="F17" i="118"/>
  <c r="F7" i="118"/>
  <c r="BW41" i="8"/>
  <c r="BV41" i="8" s="1"/>
  <c r="CI25" i="17"/>
  <c r="CI24" i="17" s="1"/>
  <c r="CF25" i="17"/>
  <c r="CE25" i="17" s="1"/>
  <c r="AF146" i="7"/>
  <c r="BC48" i="6"/>
  <c r="DP26" i="8" s="1"/>
  <c r="DO26" i="8" s="1"/>
  <c r="W59" i="56"/>
  <c r="AF9" i="19"/>
  <c r="AO54" i="6"/>
  <c r="BD13" i="7"/>
  <c r="BE13" i="7" s="1"/>
  <c r="BF13" i="7" s="1"/>
  <c r="AX30" i="65"/>
  <c r="BC49" i="6"/>
  <c r="DP33" i="8" s="1"/>
  <c r="AT48" i="6"/>
  <c r="CX26" i="8" s="1"/>
  <c r="CW26" i="8" s="1"/>
  <c r="BD14" i="135"/>
  <c r="BE14" i="135" s="1"/>
  <c r="BF14" i="135" s="1"/>
  <c r="AJ50" i="19"/>
  <c r="AF33" i="19"/>
  <c r="AM13" i="19"/>
  <c r="AD10" i="19"/>
  <c r="CZ171" i="7"/>
  <c r="F15" i="68"/>
  <c r="DO170" i="7"/>
  <c r="DO168" i="7"/>
  <c r="AL59" i="123"/>
  <c r="CZ174" i="7"/>
  <c r="AF41" i="7"/>
  <c r="AF35" i="7" s="1"/>
  <c r="CQ47" i="123"/>
  <c r="AK10" i="64"/>
  <c r="AK35" i="64" s="1"/>
  <c r="AK37" i="64" s="1"/>
  <c r="CP52" i="7"/>
  <c r="CP71" i="7" s="1"/>
  <c r="CP73" i="7" s="1"/>
  <c r="CB59" i="123"/>
  <c r="CK59" i="123" s="1"/>
  <c r="DO8" i="123"/>
  <c r="V15" i="126" s="1"/>
  <c r="CZ168" i="7"/>
  <c r="BT47" i="123"/>
  <c r="H15" i="68"/>
  <c r="J15" i="68"/>
  <c r="FV69" i="123"/>
  <c r="AC17" i="8"/>
  <c r="DF50" i="19"/>
  <c r="AO24" i="95"/>
  <c r="AJ25" i="95"/>
  <c r="AJ27" i="95" s="1"/>
  <c r="AJ28" i="95" s="1"/>
  <c r="AG50" i="6"/>
  <c r="AF33" i="7"/>
  <c r="BD33" i="7" s="1"/>
  <c r="W29" i="56"/>
  <c r="O37" i="105"/>
  <c r="M13" i="32"/>
  <c r="AJ45" i="65"/>
  <c r="AA45" i="65"/>
  <c r="AB45" i="65"/>
  <c r="AC45" i="65" s="1"/>
  <c r="AD45" i="65" s="1"/>
  <c r="AE45" i="65" s="1"/>
  <c r="AF45" i="65" s="1"/>
  <c r="Q55" i="34"/>
  <c r="C30" i="63"/>
  <c r="D30" i="63" s="1"/>
  <c r="D38" i="63" s="1"/>
  <c r="F17" i="63" s="1"/>
  <c r="I19" i="61" s="1"/>
  <c r="I15" i="61" s="1"/>
  <c r="D29" i="63"/>
  <c r="H66" i="68"/>
  <c r="H69" i="68"/>
  <c r="H68" i="68"/>
  <c r="H67" i="68"/>
  <c r="EL14" i="123"/>
  <c r="EJ14" i="123" s="1"/>
  <c r="EI65" i="123"/>
  <c r="AG32" i="7"/>
  <c r="AG27" i="7" s="1"/>
  <c r="H5" i="106"/>
  <c r="EP47" i="123"/>
  <c r="FQ47" i="123" s="1"/>
  <c r="I52" i="96"/>
  <c r="I62" i="96"/>
  <c r="L45" i="96"/>
  <c r="AP24" i="7"/>
  <c r="AA25" i="7"/>
  <c r="AI24" i="7"/>
  <c r="AB24" i="7"/>
  <c r="AC24" i="7"/>
  <c r="AC25" i="7" s="1"/>
  <c r="J65" i="68"/>
  <c r="L63" i="68"/>
  <c r="EF29" i="123"/>
  <c r="GE11" i="123"/>
  <c r="AM48" i="5"/>
  <c r="BV16" i="7" s="1"/>
  <c r="BS75" i="8"/>
  <c r="BT20" i="8" s="1"/>
  <c r="BT97" i="8" s="1"/>
  <c r="BT144" i="8" s="1"/>
  <c r="Z30" i="65" s="1"/>
  <c r="BB62" i="3"/>
  <c r="J45" i="96" s="1"/>
  <c r="AG45" i="65"/>
  <c r="AH45" i="65" s="1"/>
  <c r="BW75" i="8"/>
  <c r="Y11" i="98"/>
  <c r="S16" i="98"/>
  <c r="S9" i="98"/>
  <c r="S26" i="98"/>
  <c r="T11" i="98"/>
  <c r="AI63" i="65"/>
  <c r="AI65" i="65" s="1"/>
  <c r="AN56" i="65"/>
  <c r="AI59" i="65"/>
  <c r="AG49" i="6"/>
  <c r="AJ10" i="64"/>
  <c r="AJ35" i="64" s="1"/>
  <c r="AJ37" i="64" s="1"/>
  <c r="O55" i="72"/>
  <c r="S55" i="72" s="1"/>
  <c r="BA47" i="123"/>
  <c r="EA14" i="123"/>
  <c r="Y21" i="126" s="1"/>
  <c r="L63" i="125"/>
  <c r="W15" i="126"/>
  <c r="F18" i="127" s="1"/>
  <c r="AG47" i="6"/>
  <c r="DI47" i="123"/>
  <c r="U24" i="17"/>
  <c r="T38" i="17" s="1"/>
  <c r="AT38" i="17" s="1"/>
  <c r="Y38" i="66"/>
  <c r="D11" i="77"/>
  <c r="K16" i="64"/>
  <c r="K14" i="64" s="1"/>
  <c r="K41" i="8"/>
  <c r="K34" i="8" s="1"/>
  <c r="K61" i="8" s="1"/>
  <c r="K78" i="8" s="1"/>
  <c r="K13" i="136"/>
  <c r="K7" i="136" s="1"/>
  <c r="G30" i="84"/>
  <c r="H30" i="84"/>
  <c r="J30" i="84" s="1"/>
  <c r="CL89" i="122"/>
  <c r="CI50" i="19"/>
  <c r="AM36" i="19"/>
  <c r="AF36" i="19"/>
  <c r="N59" i="125"/>
  <c r="AD47" i="8"/>
  <c r="AD105" i="8" s="1"/>
  <c r="AC105" i="8"/>
  <c r="CY57" i="123"/>
  <c r="DH57" i="123" s="1"/>
  <c r="DQ57" i="123" s="1"/>
  <c r="EX57" i="123"/>
  <c r="FG57" i="123" s="1"/>
  <c r="FP57" i="123" s="1"/>
  <c r="AC62" i="65"/>
  <c r="AC57" i="65"/>
  <c r="AD44" i="8"/>
  <c r="AD42" i="8" s="1"/>
  <c r="AD104" i="8" s="1"/>
  <c r="AC42" i="8"/>
  <c r="AC104" i="8" s="1"/>
  <c r="AC101" i="8"/>
  <c r="AC25" i="8"/>
  <c r="AD24" i="8"/>
  <c r="AD101" i="8" s="1"/>
  <c r="AD33" i="8"/>
  <c r="AC27" i="8"/>
  <c r="AF23" i="19"/>
  <c r="AD18" i="8"/>
  <c r="AD96" i="8" s="1"/>
  <c r="AC96" i="8"/>
  <c r="AD20" i="8"/>
  <c r="AD97" i="8" s="1"/>
  <c r="AC97" i="8"/>
  <c r="AB13" i="98"/>
  <c r="AH13" i="98" s="1"/>
  <c r="AH16" i="98" s="1"/>
  <c r="W13" i="98"/>
  <c r="DQ60" i="123"/>
  <c r="X51" i="126" s="1"/>
  <c r="W92" i="56"/>
  <c r="DE126" i="8"/>
  <c r="DE124" i="8"/>
  <c r="EP61" i="123"/>
  <c r="EY50" i="19"/>
  <c r="F74" i="118"/>
  <c r="CX48" i="8" s="1"/>
  <c r="CW48" i="8" s="1"/>
  <c r="CW106" i="8" s="1"/>
  <c r="D6" i="105"/>
  <c r="AC50" i="19"/>
  <c r="DT47" i="123"/>
  <c r="Q58" i="126"/>
  <c r="Q43" i="125"/>
  <c r="CK73" i="123"/>
  <c r="FO67" i="123"/>
  <c r="AC58" i="126" s="1"/>
  <c r="CC67" i="123"/>
  <c r="T58" i="126" s="1"/>
  <c r="DT168" i="7"/>
  <c r="DT170" i="7"/>
  <c r="BG81" i="8"/>
  <c r="AD64" i="123"/>
  <c r="AM64" i="123" s="1"/>
  <c r="C9" i="74"/>
  <c r="C17" i="124"/>
  <c r="BU43" i="123"/>
  <c r="FY56" i="123"/>
  <c r="AD47" i="126"/>
  <c r="BR49" i="123"/>
  <c r="R40" i="126" s="1"/>
  <c r="CE35" i="123"/>
  <c r="ED35" i="123" s="1"/>
  <c r="GC35" i="123" s="1"/>
  <c r="BS29" i="71"/>
  <c r="BD53" i="7"/>
  <c r="BD52" i="7" s="1"/>
  <c r="BD153" i="7" s="1"/>
  <c r="ER65" i="123"/>
  <c r="T27" i="98"/>
  <c r="S32" i="98"/>
  <c r="S37" i="98" s="1"/>
  <c r="X47" i="126"/>
  <c r="DZ56" i="123"/>
  <c r="GH65" i="123"/>
  <c r="Z69" i="123"/>
  <c r="H52" i="68"/>
  <c r="CQ28" i="17" s="1"/>
  <c r="ER28" i="17" s="1"/>
  <c r="ES28" i="17" s="1"/>
  <c r="P61" i="8"/>
  <c r="P81" i="8" s="1"/>
  <c r="AF38" i="66"/>
  <c r="AA37" i="66"/>
  <c r="Z38" i="66"/>
  <c r="BC46" i="5"/>
  <c r="BC47" i="5" s="1"/>
  <c r="BC50" i="5" s="1"/>
  <c r="CV34" i="7" s="1"/>
  <c r="CU34" i="7" s="1"/>
  <c r="W112" i="56"/>
  <c r="J37" i="98"/>
  <c r="J29" i="98"/>
  <c r="Q37" i="125"/>
  <c r="B19" i="99"/>
  <c r="AU166" i="7"/>
  <c r="AU171" i="7" s="1"/>
  <c r="AV166" i="7"/>
  <c r="AV173" i="7" s="1"/>
  <c r="CQ55" i="72"/>
  <c r="CL44" i="122"/>
  <c r="AO32" i="7"/>
  <c r="AL31" i="7"/>
  <c r="AE39" i="3"/>
  <c r="AG40" i="3"/>
  <c r="F104" i="118"/>
  <c r="F84" i="118"/>
  <c r="G84" i="118" s="1"/>
  <c r="DP48" i="8" s="1"/>
  <c r="M59" i="125"/>
  <c r="CL103" i="122"/>
  <c r="Q7" i="136"/>
  <c r="AG146" i="7"/>
  <c r="AT47" i="6"/>
  <c r="CX16" i="8" s="1"/>
  <c r="CW16" i="8" s="1"/>
  <c r="AM49" i="5"/>
  <c r="CG26" i="7" s="1"/>
  <c r="CF26" i="7" s="1"/>
  <c r="BT43" i="123"/>
  <c r="J32" i="85"/>
  <c r="I33" i="85"/>
  <c r="J33" i="85" s="1"/>
  <c r="AF38" i="8"/>
  <c r="Y39" i="8"/>
  <c r="Z38" i="8"/>
  <c r="T43" i="125"/>
  <c r="BG46" i="5"/>
  <c r="BG47" i="5" s="1"/>
  <c r="BG51" i="5" s="1"/>
  <c r="AR47" i="123"/>
  <c r="AF149" i="7"/>
  <c r="AG186" i="7" s="1"/>
  <c r="R7" i="136"/>
  <c r="AT50" i="6"/>
  <c r="CX41" i="8" s="1"/>
  <c r="CW41" i="8" s="1"/>
  <c r="AM51" i="5"/>
  <c r="BV14" i="135" s="1"/>
  <c r="FS43" i="123"/>
  <c r="BA43" i="123"/>
  <c r="CJ65" i="123"/>
  <c r="DP67" i="123"/>
  <c r="W58" i="126" s="1"/>
  <c r="BS58" i="72"/>
  <c r="BV58" i="72"/>
  <c r="BO50" i="72"/>
  <c r="Y11" i="136"/>
  <c r="AF10" i="136"/>
  <c r="Z10" i="136"/>
  <c r="BO31" i="17"/>
  <c r="AK57" i="19" s="1"/>
  <c r="W49" i="56"/>
  <c r="AG149" i="7"/>
  <c r="N43" i="125"/>
  <c r="BO70" i="32"/>
  <c r="BO73" i="32" s="1"/>
  <c r="GE16" i="123"/>
  <c r="GK16" i="123" s="1"/>
  <c r="GM8" i="123"/>
  <c r="Z27" i="8"/>
  <c r="AH47" i="123"/>
  <c r="CS63" i="123"/>
  <c r="AB17" i="125"/>
  <c r="AB18" i="125"/>
  <c r="B27" i="124"/>
  <c r="CH26" i="123"/>
  <c r="Q120" i="7"/>
  <c r="CJ68" i="123"/>
  <c r="EI68" i="123" s="1"/>
  <c r="GH68" i="123" s="1"/>
  <c r="AG52" i="7"/>
  <c r="AG153" i="7" s="1"/>
  <c r="AU44" i="8"/>
  <c r="AU42" i="8" s="1"/>
  <c r="AU104" i="8" s="1"/>
  <c r="AT42" i="8"/>
  <c r="AT104" i="8" s="1"/>
  <c r="AU23" i="8"/>
  <c r="AU100" i="8" s="1"/>
  <c r="AT100" i="8"/>
  <c r="BP126" i="8"/>
  <c r="BR127" i="8"/>
  <c r="BR129" i="8"/>
  <c r="BR130" i="8" s="1"/>
  <c r="AT96" i="8"/>
  <c r="AU18" i="8"/>
  <c r="AT103" i="8"/>
  <c r="AU26" i="8"/>
  <c r="BT50" i="8"/>
  <c r="BS108" i="8"/>
  <c r="AF52" i="7"/>
  <c r="AF153" i="7" s="1"/>
  <c r="BU47" i="123"/>
  <c r="AC10" i="104"/>
  <c r="AC14" i="104" s="1"/>
  <c r="DI43" i="123"/>
  <c r="AT17" i="8"/>
  <c r="BV49" i="19"/>
  <c r="BV50" i="19" s="1"/>
  <c r="Z62" i="32"/>
  <c r="Y62" i="32"/>
  <c r="AU47" i="8"/>
  <c r="AU105" i="8" s="1"/>
  <c r="AT105" i="8"/>
  <c r="AU33" i="8"/>
  <c r="AT27" i="8"/>
  <c r="Z120" i="8"/>
  <c r="Z21" i="8"/>
  <c r="AA21" i="8" s="1"/>
  <c r="Z20" i="8"/>
  <c r="Z19" i="8"/>
  <c r="T103" i="7"/>
  <c r="BV37" i="8"/>
  <c r="I32" i="111"/>
  <c r="BV9" i="136"/>
  <c r="BW9" i="136" s="1"/>
  <c r="N15" i="102"/>
  <c r="N23" i="102"/>
  <c r="O13" i="102"/>
  <c r="Z33" i="7"/>
  <c r="Q27" i="7"/>
  <c r="O28" i="126"/>
  <c r="AN37" i="123"/>
  <c r="AJ120" i="8"/>
  <c r="BT49" i="19"/>
  <c r="BT50" i="19" s="1"/>
  <c r="CK99" i="8"/>
  <c r="CL37" i="8"/>
  <c r="CL99" i="8" s="1"/>
  <c r="AT25" i="8"/>
  <c r="AT101" i="8"/>
  <c r="AU24" i="8"/>
  <c r="AU20" i="8"/>
  <c r="AU97" i="8" s="1"/>
  <c r="AT97" i="8"/>
  <c r="U32" i="7"/>
  <c r="T33" i="7"/>
  <c r="T27" i="7" s="1"/>
  <c r="AM148" i="7"/>
  <c r="BA148" i="7"/>
  <c r="J56" i="85"/>
  <c r="M39" i="65" s="1"/>
  <c r="CX44" i="123"/>
  <c r="G12" i="84"/>
  <c r="K12" i="84" s="1"/>
  <c r="J7" i="81"/>
  <c r="J15" i="81" s="1"/>
  <c r="I15" i="81"/>
  <c r="B103" i="56"/>
  <c r="B102" i="56" s="1"/>
  <c r="C102" i="56"/>
  <c r="CN176" i="7"/>
  <c r="CN177" i="7" s="1"/>
  <c r="CN174" i="7"/>
  <c r="AA19" i="126"/>
  <c r="EC30" i="123"/>
  <c r="C107" i="116"/>
  <c r="D107" i="116" s="1"/>
  <c r="D106" i="116"/>
  <c r="H84" i="68"/>
  <c r="CH55" i="72"/>
  <c r="L12" i="87"/>
  <c r="L11" i="87" s="1"/>
  <c r="L10" i="87" s="1"/>
  <c r="Q12" i="65" s="1"/>
  <c r="R12" i="65" s="1"/>
  <c r="E12" i="128"/>
  <c r="Z14" i="7"/>
  <c r="Q15" i="7"/>
  <c r="R14" i="7"/>
  <c r="R8" i="7" s="1"/>
  <c r="T14" i="7"/>
  <c r="U14" i="7" s="1"/>
  <c r="S14" i="7"/>
  <c r="S8" i="7" s="1"/>
  <c r="AM13" i="7"/>
  <c r="AP13" i="7"/>
  <c r="AB13" i="7"/>
  <c r="AI13" i="7"/>
  <c r="AC13" i="7"/>
  <c r="AD13" i="7" s="1"/>
  <c r="AA14" i="7"/>
  <c r="ED16" i="123"/>
  <c r="H85" i="68"/>
  <c r="FS47" i="123"/>
  <c r="CR123" i="8"/>
  <c r="CR121" i="8"/>
  <c r="EK16" i="123"/>
  <c r="EJ16" i="123" s="1"/>
  <c r="AV71" i="7"/>
  <c r="AV90" i="7" s="1"/>
  <c r="CL52" i="122"/>
  <c r="V66" i="125"/>
  <c r="Q15" i="65"/>
  <c r="R15" i="65" s="1"/>
  <c r="K19" i="87"/>
  <c r="T8" i="92"/>
  <c r="W8" i="92" s="1"/>
  <c r="G14" i="92"/>
  <c r="G10" i="92"/>
  <c r="I12" i="128"/>
  <c r="P17" i="66"/>
  <c r="P15" i="66" s="1"/>
  <c r="M17" i="87"/>
  <c r="Q57" i="126"/>
  <c r="BZ66" i="123"/>
  <c r="CC66" i="123"/>
  <c r="GM13" i="123"/>
  <c r="J50" i="68"/>
  <c r="DJ157" i="7"/>
  <c r="AX14" i="64"/>
  <c r="Q48" i="9"/>
  <c r="P51" i="9"/>
  <c r="T51" i="9" s="1"/>
  <c r="T48" i="9"/>
  <c r="EC19" i="19"/>
  <c r="EC25" i="19"/>
  <c r="EC35" i="19"/>
  <c r="EC24" i="19"/>
  <c r="EC18" i="19"/>
  <c r="EC17" i="19"/>
  <c r="EC27" i="19"/>
  <c r="EC28" i="19"/>
  <c r="EC31" i="19"/>
  <c r="EC39" i="19"/>
  <c r="EC43" i="19"/>
  <c r="EC47" i="19"/>
  <c r="EC22" i="19"/>
  <c r="EC8" i="19"/>
  <c r="EC33" i="19"/>
  <c r="EC36" i="19"/>
  <c r="EC41" i="19"/>
  <c r="EC44" i="19"/>
  <c r="EC16" i="19"/>
  <c r="EC20" i="19"/>
  <c r="EC21" i="19"/>
  <c r="EC15" i="19"/>
  <c r="EC30" i="19"/>
  <c r="EC38" i="19"/>
  <c r="EC46" i="19"/>
  <c r="EC29" i="19"/>
  <c r="EC32" i="19"/>
  <c r="EC37" i="19"/>
  <c r="EC40" i="19"/>
  <c r="EC45" i="19"/>
  <c r="EC23" i="19"/>
  <c r="EC9" i="19"/>
  <c r="EC34" i="19"/>
  <c r="EC42" i="19"/>
  <c r="EC26" i="19"/>
  <c r="CG26" i="123"/>
  <c r="EF9" i="123"/>
  <c r="ED9" i="123" s="1"/>
  <c r="ED26" i="123" s="1"/>
  <c r="L10" i="96"/>
  <c r="V10" i="96"/>
  <c r="Q10" i="96"/>
  <c r="BY47" i="7"/>
  <c r="BY145" i="7" s="1"/>
  <c r="BZ145" i="7"/>
  <c r="H16" i="105"/>
  <c r="M8" i="105"/>
  <c r="G9" i="11"/>
  <c r="G11" i="11"/>
  <c r="G10" i="11"/>
  <c r="G7" i="11"/>
  <c r="G8" i="11"/>
  <c r="CP124" i="8"/>
  <c r="CP126" i="8"/>
  <c r="CV152" i="8"/>
  <c r="AK13" i="66"/>
  <c r="AK12" i="66" s="1"/>
  <c r="AK11" i="66" s="1"/>
  <c r="AK36" i="66" s="1"/>
  <c r="AK39" i="66" s="1"/>
  <c r="B68" i="32"/>
  <c r="K67" i="32"/>
  <c r="D67" i="32"/>
  <c r="CK174" i="7"/>
  <c r="CK176" i="7"/>
  <c r="CK177" i="7" s="1"/>
  <c r="N20" i="96"/>
  <c r="AA20" i="96" s="1"/>
  <c r="N25" i="96"/>
  <c r="AA25" i="96" s="1"/>
  <c r="N15" i="96"/>
  <c r="AA15" i="96" s="1"/>
  <c r="N30" i="96"/>
  <c r="AA30" i="96" s="1"/>
  <c r="N10" i="96"/>
  <c r="AA10" i="96" s="1"/>
  <c r="N35" i="96"/>
  <c r="AA35" i="96" s="1"/>
  <c r="N45" i="65"/>
  <c r="CB60" i="72"/>
  <c r="K45" i="65"/>
  <c r="O45" i="65" s="1"/>
  <c r="BZ18" i="8"/>
  <c r="BZ19" i="8" s="1"/>
  <c r="F3" i="77"/>
  <c r="BR52" i="72"/>
  <c r="J51" i="68"/>
  <c r="AU50" i="19"/>
  <c r="BP173" i="7"/>
  <c r="BP171" i="7"/>
  <c r="BG66" i="123"/>
  <c r="BP66" i="123" s="1"/>
  <c r="CO66" i="123"/>
  <c r="AC53" i="7"/>
  <c r="AC52" i="7" s="1"/>
  <c r="AC153" i="7" s="1"/>
  <c r="AB53" i="7"/>
  <c r="AA52" i="7"/>
  <c r="AP53" i="7"/>
  <c r="AI53" i="7"/>
  <c r="BO55" i="72"/>
  <c r="BP52" i="72"/>
  <c r="BS52" i="72" s="1"/>
  <c r="ED18" i="19"/>
  <c r="ED22" i="19"/>
  <c r="ED27" i="19"/>
  <c r="ED8" i="19"/>
  <c r="ED29" i="19"/>
  <c r="ED33" i="19"/>
  <c r="ED37" i="19"/>
  <c r="ED41" i="19"/>
  <c r="ED45" i="19"/>
  <c r="ED16" i="19"/>
  <c r="ED20" i="19"/>
  <c r="ED17" i="19"/>
  <c r="ED9" i="19"/>
  <c r="ED30" i="19"/>
  <c r="ED34" i="19"/>
  <c r="ED38" i="19"/>
  <c r="ED42" i="19"/>
  <c r="ED46" i="19"/>
  <c r="ED26" i="19"/>
  <c r="ED24" i="19"/>
  <c r="ED23" i="19"/>
  <c r="ED31" i="19"/>
  <c r="ED39" i="19"/>
  <c r="ED47" i="19"/>
  <c r="ED19" i="19"/>
  <c r="ED25" i="19"/>
  <c r="ED28" i="19"/>
  <c r="ED36" i="19"/>
  <c r="ED44" i="19"/>
  <c r="ED15" i="19"/>
  <c r="ED35" i="19"/>
  <c r="ED43" i="19"/>
  <c r="ED21" i="19"/>
  <c r="ED32" i="19"/>
  <c r="ED40" i="19"/>
  <c r="P66" i="125"/>
  <c r="BR54" i="72"/>
  <c r="M8" i="100"/>
  <c r="M10" i="100" s="1"/>
  <c r="L10" i="100"/>
  <c r="CV123" i="8"/>
  <c r="CV121" i="8"/>
  <c r="Z25" i="95"/>
  <c r="Z27" i="95" s="1"/>
  <c r="BZ45" i="7" s="1"/>
  <c r="BY45" i="7" s="1"/>
  <c r="AA23" i="95"/>
  <c r="AB21" i="95"/>
  <c r="AB31" i="95" s="1"/>
  <c r="AA100" i="7"/>
  <c r="Z102" i="7"/>
  <c r="T122" i="7" s="1"/>
  <c r="U122" i="7" s="1"/>
  <c r="CJ58" i="72"/>
  <c r="CI50" i="72" s="1"/>
  <c r="CJ50" i="72" s="1"/>
  <c r="AP40" i="3"/>
  <c r="AP39" i="3" s="1"/>
  <c r="CJ56" i="72" s="1"/>
  <c r="CI48" i="72" s="1"/>
  <c r="AO48" i="3"/>
  <c r="ED48" i="19"/>
  <c r="DQ74" i="7"/>
  <c r="L14" i="68"/>
  <c r="AC17" i="95"/>
  <c r="X26" i="95"/>
  <c r="X27" i="95" s="1"/>
  <c r="Y17" i="95"/>
  <c r="T48" i="72"/>
  <c r="Q48" i="72"/>
  <c r="P51" i="72"/>
  <c r="T51" i="72" s="1"/>
  <c r="B49" i="32"/>
  <c r="D49" i="32" s="1"/>
  <c r="D50" i="32" s="1"/>
  <c r="D53" i="32" s="1"/>
  <c r="E9" i="86" s="1"/>
  <c r="EF46" i="19"/>
  <c r="EF30" i="19"/>
  <c r="EF22" i="19"/>
  <c r="EF45" i="19"/>
  <c r="EF20" i="19"/>
  <c r="EF19" i="19"/>
  <c r="EF37" i="19"/>
  <c r="EF23" i="19"/>
  <c r="EF43" i="19"/>
  <c r="EF26" i="19"/>
  <c r="EF18" i="19"/>
  <c r="EF35" i="19"/>
  <c r="EF33" i="19"/>
  <c r="EF9" i="19"/>
  <c r="EF8" i="19"/>
  <c r="EF25" i="19"/>
  <c r="EF36" i="19"/>
  <c r="EF39" i="19"/>
  <c r="EF29" i="19"/>
  <c r="EF15" i="19"/>
  <c r="EF44" i="19"/>
  <c r="EF28" i="19"/>
  <c r="EF32" i="19"/>
  <c r="EF17" i="19"/>
  <c r="EF16" i="19"/>
  <c r="EF38" i="19"/>
  <c r="EF31" i="19"/>
  <c r="EF27" i="19"/>
  <c r="EF42" i="19"/>
  <c r="EF40" i="19"/>
  <c r="EF21" i="19"/>
  <c r="EF34" i="19"/>
  <c r="EF24" i="19"/>
  <c r="EF41" i="19"/>
  <c r="EF47" i="19"/>
  <c r="EB50" i="19"/>
  <c r="DT50" i="19"/>
  <c r="L35" i="96"/>
  <c r="V35" i="96"/>
  <c r="Q35" i="96"/>
  <c r="Y43" i="3"/>
  <c r="C9" i="87"/>
  <c r="BM56" i="72"/>
  <c r="BL48" i="72" s="1"/>
  <c r="B43" i="32"/>
  <c r="I65" i="85"/>
  <c r="J65" i="85" s="1"/>
  <c r="J64" i="85"/>
  <c r="AA18" i="98"/>
  <c r="AA22" i="98" s="1"/>
  <c r="W18" i="98"/>
  <c r="V22" i="98"/>
  <c r="EC48" i="19"/>
  <c r="EF48" i="19"/>
  <c r="AB66" i="125"/>
  <c r="T59" i="125"/>
  <c r="K32" i="11"/>
  <c r="O32" i="11" s="1"/>
  <c r="K31" i="11"/>
  <c r="O31" i="11" s="1"/>
  <c r="K33" i="11"/>
  <c r="O33" i="11" s="1"/>
  <c r="CM60" i="72"/>
  <c r="BU52" i="72"/>
  <c r="BU54" i="72"/>
  <c r="BY60" i="72"/>
  <c r="EE23" i="19"/>
  <c r="EE18" i="19"/>
  <c r="EE21" i="19"/>
  <c r="EE28" i="19"/>
  <c r="EE31" i="19"/>
  <c r="EE32" i="19"/>
  <c r="EE36" i="19"/>
  <c r="EE40" i="19"/>
  <c r="EE43" i="19"/>
  <c r="EE44" i="19"/>
  <c r="EE47" i="19"/>
  <c r="EE19" i="19"/>
  <c r="EE22" i="19"/>
  <c r="EE8" i="19"/>
  <c r="EE15" i="19"/>
  <c r="EE29" i="19"/>
  <c r="EE33" i="19"/>
  <c r="EE35" i="19"/>
  <c r="EE37" i="19"/>
  <c r="EE41" i="19"/>
  <c r="EE45" i="19"/>
  <c r="EE16" i="19"/>
  <c r="EE20" i="19"/>
  <c r="EE17" i="19"/>
  <c r="EE25" i="19"/>
  <c r="EE27" i="19"/>
  <c r="EE30" i="19"/>
  <c r="EE38" i="19"/>
  <c r="EE46" i="19"/>
  <c r="EE9" i="19"/>
  <c r="EE34" i="19"/>
  <c r="EE42" i="19"/>
  <c r="EE26" i="19"/>
  <c r="EE24" i="19"/>
  <c r="EE39" i="19"/>
  <c r="W122" i="56"/>
  <c r="CR63" i="123"/>
  <c r="C102" i="116"/>
  <c r="D102" i="116" s="1"/>
  <c r="D101" i="116"/>
  <c r="G21" i="105"/>
  <c r="G27" i="105" s="1"/>
  <c r="G36" i="105" s="1"/>
  <c r="W33" i="98"/>
  <c r="AA33" i="98"/>
  <c r="P58" i="61"/>
  <c r="P63" i="61"/>
  <c r="W102" i="56"/>
  <c r="BG125" i="8"/>
  <c r="BG126" i="8" s="1"/>
  <c r="BG129" i="8" s="1"/>
  <c r="BG130" i="8" s="1"/>
  <c r="BD79" i="8"/>
  <c r="W8" i="70"/>
  <c r="P12" i="70"/>
  <c r="P20" i="70" s="1"/>
  <c r="AS129" i="8"/>
  <c r="AS130" i="8" s="1"/>
  <c r="AS127" i="8"/>
  <c r="G25" i="84"/>
  <c r="J24" i="85"/>
  <c r="I24" i="85" s="1"/>
  <c r="DT43" i="123"/>
  <c r="FJ63" i="123"/>
  <c r="CY62" i="8"/>
  <c r="CW120" i="8"/>
  <c r="CW62" i="8" s="1"/>
  <c r="CY43" i="19"/>
  <c r="CY32" i="19"/>
  <c r="CY24" i="19"/>
  <c r="CY15" i="19"/>
  <c r="CY28" i="19"/>
  <c r="CY47" i="19"/>
  <c r="CY34" i="19"/>
  <c r="CY39" i="19"/>
  <c r="CY30" i="19"/>
  <c r="CY35" i="19"/>
  <c r="CY46" i="19"/>
  <c r="CY22" i="19"/>
  <c r="CY38" i="19"/>
  <c r="CY29" i="19"/>
  <c r="CY37" i="19"/>
  <c r="CY9" i="19"/>
  <c r="CY17" i="19"/>
  <c r="CY26" i="19"/>
  <c r="CY33" i="19"/>
  <c r="CY19" i="19"/>
  <c r="CY23" i="19"/>
  <c r="CY31" i="19"/>
  <c r="CY41" i="19"/>
  <c r="CY8" i="19"/>
  <c r="CY44" i="19"/>
  <c r="CY21" i="19"/>
  <c r="CY45" i="19"/>
  <c r="CY20" i="19"/>
  <c r="CY40" i="19"/>
  <c r="CY25" i="19"/>
  <c r="CY42" i="19"/>
  <c r="CY48" i="19"/>
  <c r="CY18" i="19"/>
  <c r="CY36" i="19"/>
  <c r="CY27" i="19"/>
  <c r="AG43" i="123"/>
  <c r="AB85" i="10"/>
  <c r="AB87" i="10" s="1"/>
  <c r="K30" i="105" s="1"/>
  <c r="AP32" i="7"/>
  <c r="AC32" i="7"/>
  <c r="AB32" i="7"/>
  <c r="AI32" i="7"/>
  <c r="AA33" i="7"/>
  <c r="CX29" i="19"/>
  <c r="CX37" i="19"/>
  <c r="CX24" i="19"/>
  <c r="CX46" i="19"/>
  <c r="CX47" i="19"/>
  <c r="CX21" i="19"/>
  <c r="CX22" i="19"/>
  <c r="CX45" i="19"/>
  <c r="CX44" i="19"/>
  <c r="CX9" i="19"/>
  <c r="CX23" i="19"/>
  <c r="CX40" i="19"/>
  <c r="CX8" i="19"/>
  <c r="CX48" i="19"/>
  <c r="CX42" i="19"/>
  <c r="CX36" i="19"/>
  <c r="CX34" i="19"/>
  <c r="CX39" i="19"/>
  <c r="CX38" i="19"/>
  <c r="CX15" i="19"/>
  <c r="CX19" i="19"/>
  <c r="CX20" i="19"/>
  <c r="CX43" i="19"/>
  <c r="CX41" i="19"/>
  <c r="CW50" i="19"/>
  <c r="CX26" i="19"/>
  <c r="CX18" i="19"/>
  <c r="CX32" i="19"/>
  <c r="CX28" i="19"/>
  <c r="CX33" i="19"/>
  <c r="CX31" i="19"/>
  <c r="CX30" i="19"/>
  <c r="CX25" i="19"/>
  <c r="CX35" i="19"/>
  <c r="CX17" i="19"/>
  <c r="CX27" i="19"/>
  <c r="Y42" i="95"/>
  <c r="AD42" i="95" s="1"/>
  <c r="AC42" i="95"/>
  <c r="U11" i="95"/>
  <c r="T16" i="95"/>
  <c r="T21" i="95" s="1"/>
  <c r="D25" i="96"/>
  <c r="D10" i="96"/>
  <c r="D35" i="96"/>
  <c r="D15" i="96"/>
  <c r="I15" i="96" s="1"/>
  <c r="AC15" i="96" s="1"/>
  <c r="AC14" i="96" s="1"/>
  <c r="AC17" i="96" s="1"/>
  <c r="D20" i="96"/>
  <c r="I20" i="96" s="1"/>
  <c r="AC20" i="96" s="1"/>
  <c r="AC19" i="96" s="1"/>
  <c r="AC22" i="96" s="1"/>
  <c r="D30" i="96"/>
  <c r="X46" i="95"/>
  <c r="GM11" i="123"/>
  <c r="CG146" i="7"/>
  <c r="CG191" i="7" s="1"/>
  <c r="F32" i="73"/>
  <c r="BJ61" i="123"/>
  <c r="DA63" i="123"/>
  <c r="V65" i="32"/>
  <c r="V72" i="32" s="1"/>
  <c r="O19" i="104" s="1"/>
  <c r="W65" i="32"/>
  <c r="AL38" i="66"/>
  <c r="AM37" i="66"/>
  <c r="DB20" i="19"/>
  <c r="DB31" i="19"/>
  <c r="DB39" i="19"/>
  <c r="DB24" i="19"/>
  <c r="DB22" i="19"/>
  <c r="DB47" i="19"/>
  <c r="DB32" i="19"/>
  <c r="DB44" i="19"/>
  <c r="DB26" i="19"/>
  <c r="DB23" i="19"/>
  <c r="DB33" i="19"/>
  <c r="DB41" i="19"/>
  <c r="DB45" i="19"/>
  <c r="DB38" i="19"/>
  <c r="DB9" i="19"/>
  <c r="DB46" i="19"/>
  <c r="DB28" i="19"/>
  <c r="DB15" i="19"/>
  <c r="DB25" i="19"/>
  <c r="DB35" i="19"/>
  <c r="DB43" i="19"/>
  <c r="DB19" i="19"/>
  <c r="DB34" i="19"/>
  <c r="DB30" i="19"/>
  <c r="DB18" i="19"/>
  <c r="DB29" i="19"/>
  <c r="DB37" i="19"/>
  <c r="DB42" i="19"/>
  <c r="DB40" i="19"/>
  <c r="DB36" i="19"/>
  <c r="DB48" i="19"/>
  <c r="DB8" i="19"/>
  <c r="DB17" i="19"/>
  <c r="DB21" i="19"/>
  <c r="DB27" i="19"/>
  <c r="BO168" i="7"/>
  <c r="BO170" i="7"/>
  <c r="EY43" i="123"/>
  <c r="AH41" i="98"/>
  <c r="CY18" i="8"/>
  <c r="DH123" i="8"/>
  <c r="DF123" i="8" s="1"/>
  <c r="DF124" i="8" s="1"/>
  <c r="DH121" i="8"/>
  <c r="CT61" i="8"/>
  <c r="CT63" i="8" s="1"/>
  <c r="DP59" i="123"/>
  <c r="W50" i="126" s="1"/>
  <c r="L13" i="68"/>
  <c r="DB63" i="123"/>
  <c r="AE11" i="19"/>
  <c r="AN10" i="19"/>
  <c r="AG10" i="19"/>
  <c r="AL10" i="95"/>
  <c r="AL8" i="95" s="1"/>
  <c r="AL12" i="95" s="1"/>
  <c r="BS43" i="3"/>
  <c r="BS39" i="3"/>
  <c r="S7" i="96" s="1"/>
  <c r="DS47" i="123"/>
  <c r="CZ47" i="123"/>
  <c r="CA53" i="7"/>
  <c r="S19" i="104"/>
  <c r="P58" i="96"/>
  <c r="P48" i="96"/>
  <c r="P53" i="96"/>
  <c r="DC39" i="19"/>
  <c r="DC35" i="19"/>
  <c r="DC18" i="19"/>
  <c r="DC47" i="19"/>
  <c r="DC28" i="19"/>
  <c r="DC15" i="19"/>
  <c r="DC37" i="19"/>
  <c r="DC30" i="19"/>
  <c r="DC26" i="19"/>
  <c r="DC36" i="19"/>
  <c r="DC48" i="19"/>
  <c r="DC24" i="19"/>
  <c r="DC41" i="19"/>
  <c r="DC8" i="19"/>
  <c r="DC23" i="19"/>
  <c r="DC31" i="19"/>
  <c r="DC43" i="19"/>
  <c r="DC17" i="19"/>
  <c r="DC20" i="19"/>
  <c r="DC44" i="19"/>
  <c r="DC25" i="19"/>
  <c r="DC21" i="19"/>
  <c r="DC33" i="19"/>
  <c r="DC46" i="19"/>
  <c r="DC32" i="19"/>
  <c r="DC45" i="19"/>
  <c r="DC9" i="19"/>
  <c r="DC29" i="19"/>
  <c r="DC34" i="19"/>
  <c r="DC19" i="19"/>
  <c r="DC38" i="19"/>
  <c r="DC22" i="19"/>
  <c r="DC42" i="19"/>
  <c r="DC40" i="19"/>
  <c r="DC27" i="19"/>
  <c r="BM25" i="7"/>
  <c r="BM17" i="7" s="1"/>
  <c r="BM71" i="7" s="1"/>
  <c r="BM73" i="7" s="1"/>
  <c r="BM150" i="7"/>
  <c r="BM166" i="7" s="1"/>
  <c r="BM168" i="7" s="1"/>
  <c r="AG38" i="66"/>
  <c r="AH37" i="66"/>
  <c r="AO37" i="66"/>
  <c r="E43" i="123"/>
  <c r="E63" i="123" s="1"/>
  <c r="AH43" i="123"/>
  <c r="DO74" i="123"/>
  <c r="DX74" i="123" s="1"/>
  <c r="AR48" i="3"/>
  <c r="BJ43" i="123"/>
  <c r="FA63" i="123"/>
  <c r="DS43" i="123"/>
  <c r="CZ43" i="123"/>
  <c r="AO11" i="19"/>
  <c r="AO49" i="19" s="1"/>
  <c r="DA26" i="19"/>
  <c r="DA31" i="19"/>
  <c r="DA34" i="19"/>
  <c r="DA39" i="19"/>
  <c r="DA9" i="19"/>
  <c r="DA38" i="19"/>
  <c r="DA23" i="19"/>
  <c r="DA46" i="19"/>
  <c r="DA35" i="19"/>
  <c r="DA17" i="19"/>
  <c r="DA18" i="19"/>
  <c r="DA22" i="19"/>
  <c r="DA28" i="19"/>
  <c r="DA32" i="19"/>
  <c r="DA43" i="19"/>
  <c r="DA48" i="19"/>
  <c r="DA47" i="19"/>
  <c r="DA33" i="19"/>
  <c r="DA41" i="19"/>
  <c r="DA8" i="19"/>
  <c r="DA24" i="19"/>
  <c r="DA20" i="19"/>
  <c r="DA36" i="19"/>
  <c r="DA42" i="19"/>
  <c r="DA25" i="19"/>
  <c r="DA40" i="19"/>
  <c r="DA29" i="19"/>
  <c r="DA44" i="19"/>
  <c r="DA30" i="19"/>
  <c r="DA45" i="19"/>
  <c r="DA21" i="19"/>
  <c r="DA15" i="19"/>
  <c r="DA19" i="19"/>
  <c r="DA37" i="19"/>
  <c r="DA27" i="19"/>
  <c r="DK63" i="123"/>
  <c r="CP184" i="7"/>
  <c r="BB13" i="61"/>
  <c r="AQ31" i="7"/>
  <c r="AR31" i="7" s="1"/>
  <c r="AS31" i="7" s="1"/>
  <c r="CM62" i="8"/>
  <c r="CK120" i="8"/>
  <c r="CP50" i="19"/>
  <c r="E47" i="123"/>
  <c r="AG47" i="123"/>
  <c r="Y15" i="8"/>
  <c r="Y8" i="8" s="1"/>
  <c r="AF14" i="8"/>
  <c r="Z14" i="8"/>
  <c r="Z15" i="8" s="1"/>
  <c r="BB15" i="8" s="1"/>
  <c r="CU137" i="8"/>
  <c r="CU119" i="8"/>
  <c r="AP12" i="64"/>
  <c r="AP11" i="64" s="1"/>
  <c r="CZ199" i="7"/>
  <c r="CQ29" i="17"/>
  <c r="ER29" i="17" s="1"/>
  <c r="ES29" i="17" s="1"/>
  <c r="CQ26" i="17"/>
  <c r="ER26" i="17" s="1"/>
  <c r="ES26" i="17" s="1"/>
  <c r="AU50" i="6"/>
  <c r="AU47" i="6"/>
  <c r="DA16" i="8" s="1"/>
  <c r="AU48" i="6"/>
  <c r="DA26" i="8" s="1"/>
  <c r="CZ26" i="8" s="1"/>
  <c r="AU49" i="6"/>
  <c r="DA33" i="8" s="1"/>
  <c r="CZ33" i="8" s="1"/>
  <c r="O31" i="21"/>
  <c r="P16" i="21"/>
  <c r="O11" i="21"/>
  <c r="O14" i="21"/>
  <c r="O30" i="21"/>
  <c r="O15" i="21"/>
  <c r="O27" i="21"/>
  <c r="O12" i="21"/>
  <c r="O29" i="21"/>
  <c r="O25" i="21"/>
  <c r="O32" i="21" s="1"/>
  <c r="O10" i="21"/>
  <c r="O26" i="21"/>
  <c r="O9" i="21"/>
  <c r="O28" i="21"/>
  <c r="AA17" i="65"/>
  <c r="R17" i="65"/>
  <c r="BB49" i="5"/>
  <c r="CS26" i="7" s="1"/>
  <c r="CR26" i="7" s="1"/>
  <c r="G26" i="105"/>
  <c r="AL18" i="8"/>
  <c r="AA96" i="8"/>
  <c r="AA119" i="8" s="1"/>
  <c r="U13" i="125"/>
  <c r="U15" i="125"/>
  <c r="CB32" i="17"/>
  <c r="CC31" i="17"/>
  <c r="CB31" i="17" s="1"/>
  <c r="BB33" i="7"/>
  <c r="BB27" i="7" s="1"/>
  <c r="W28" i="98"/>
  <c r="AJ13" i="8"/>
  <c r="AI100" i="8"/>
  <c r="AK13" i="8"/>
  <c r="AW13" i="8"/>
  <c r="CH185" i="7"/>
  <c r="AG13" i="64" s="1"/>
  <c r="AB34" i="7"/>
  <c r="AI34" i="7"/>
  <c r="AP34" i="7"/>
  <c r="AC34" i="7"/>
  <c r="AD34" i="7" s="1"/>
  <c r="U38" i="66"/>
  <c r="V37" i="66"/>
  <c r="U39" i="66"/>
  <c r="BA36" i="71"/>
  <c r="BL24" i="71"/>
  <c r="BA31" i="8"/>
  <c r="AW31" i="8"/>
  <c r="AB48" i="5"/>
  <c r="AB49" i="5"/>
  <c r="AB51" i="5"/>
  <c r="AC47" i="5"/>
  <c r="AB50" i="5"/>
  <c r="B51" i="124"/>
  <c r="BL65" i="32"/>
  <c r="BJ61" i="32"/>
  <c r="BJ70" i="32" s="1"/>
  <c r="K29" i="21"/>
  <c r="J29" i="21"/>
  <c r="J32" i="21" s="1"/>
  <c r="P29" i="21"/>
  <c r="AK10" i="136"/>
  <c r="AJ10" i="136"/>
  <c r="K29" i="32"/>
  <c r="N32" i="32"/>
  <c r="P32" i="32" s="1"/>
  <c r="P36" i="32" s="1"/>
  <c r="M32" i="32"/>
  <c r="M36" i="32" s="1"/>
  <c r="M39" i="32" s="1"/>
  <c r="E9" i="74" s="1"/>
  <c r="E12" i="74" s="1"/>
  <c r="C13" i="77" s="1"/>
  <c r="EZ68" i="123"/>
  <c r="EZ65" i="123"/>
  <c r="T40" i="17"/>
  <c r="AT31" i="17"/>
  <c r="V31" i="17"/>
  <c r="AX31" i="17"/>
  <c r="L23" i="125"/>
  <c r="D19" i="105"/>
  <c r="D26" i="105"/>
  <c r="D25" i="105" s="1"/>
  <c r="DE71" i="7"/>
  <c r="DE73" i="7" s="1"/>
  <c r="DE153" i="7"/>
  <c r="AC48" i="6"/>
  <c r="AC49" i="6"/>
  <c r="AD46" i="6"/>
  <c r="AC50" i="6"/>
  <c r="AC47" i="6"/>
  <c r="AN54" i="5"/>
  <c r="BY34" i="7"/>
  <c r="BQ64" i="123"/>
  <c r="Q13" i="125"/>
  <c r="Q15" i="125"/>
  <c r="N13" i="125"/>
  <c r="N15" i="125"/>
  <c r="AF15" i="125"/>
  <c r="DJ121" i="8"/>
  <c r="DJ123" i="8"/>
  <c r="L46" i="68"/>
  <c r="L49" i="68"/>
  <c r="L47" i="68"/>
  <c r="L48" i="68"/>
  <c r="P7" i="81"/>
  <c r="N15" i="81"/>
  <c r="O7" i="81"/>
  <c r="Z26" i="8"/>
  <c r="AM26" i="8" s="1"/>
  <c r="AF26" i="8"/>
  <c r="BV16" i="8"/>
  <c r="Q66" i="125"/>
  <c r="CH146" i="7"/>
  <c r="CH191" i="7" s="1"/>
  <c r="AG22" i="64" s="1"/>
  <c r="BQ54" i="72"/>
  <c r="BG54" i="72"/>
  <c r="AR26" i="8"/>
  <c r="AQ103" i="8"/>
  <c r="AQ105" i="8"/>
  <c r="AR47" i="8"/>
  <c r="AR105" i="8" s="1"/>
  <c r="AR19" i="8"/>
  <c r="AR102" i="8" s="1"/>
  <c r="AQ102" i="8"/>
  <c r="BT16" i="8"/>
  <c r="AN51" i="6"/>
  <c r="AP51" i="6" s="1"/>
  <c r="AP47" i="6" s="1"/>
  <c r="CL16" i="8" s="1"/>
  <c r="O23" i="125"/>
  <c r="CT9" i="7"/>
  <c r="CT144" i="7" s="1"/>
  <c r="AI31" i="95"/>
  <c r="BB42" i="8"/>
  <c r="BB104" i="8" s="1"/>
  <c r="F15" i="65" s="1"/>
  <c r="BC44" i="8"/>
  <c r="BC42" i="8" s="1"/>
  <c r="BC86" i="8"/>
  <c r="BB88" i="8"/>
  <c r="BB97" i="8"/>
  <c r="BC20" i="8"/>
  <c r="BC97" i="8" s="1"/>
  <c r="F23" i="66" s="1"/>
  <c r="I23" i="66" s="1"/>
  <c r="N23" i="66" s="1"/>
  <c r="E35" i="96"/>
  <c r="E15" i="96"/>
  <c r="E10" i="96"/>
  <c r="E30" i="96"/>
  <c r="I30" i="96" s="1"/>
  <c r="AC30" i="96" s="1"/>
  <c r="AC29" i="96" s="1"/>
  <c r="AC32" i="96" s="1"/>
  <c r="E25" i="96"/>
  <c r="I25" i="96" s="1"/>
  <c r="AC25" i="96" s="1"/>
  <c r="AC24" i="96" s="1"/>
  <c r="AC27" i="96" s="1"/>
  <c r="E20" i="96"/>
  <c r="CD8" i="123"/>
  <c r="CB8" i="123" s="1"/>
  <c r="S15" i="126" s="1"/>
  <c r="R15" i="126"/>
  <c r="D19" i="127" s="1"/>
  <c r="CA8" i="123"/>
  <c r="P7" i="96"/>
  <c r="AI10" i="95"/>
  <c r="P42" i="7"/>
  <c r="O38" i="7"/>
  <c r="P38" i="7" s="1"/>
  <c r="FO64" i="123"/>
  <c r="DP64" i="123"/>
  <c r="DL185" i="7"/>
  <c r="AU13" i="64" s="1"/>
  <c r="DL144" i="7"/>
  <c r="CV191" i="7"/>
  <c r="BE31" i="61"/>
  <c r="BK31" i="61" s="1"/>
  <c r="AO16" i="65"/>
  <c r="BE36" i="7"/>
  <c r="BF36" i="7" s="1"/>
  <c r="BE31" i="7"/>
  <c r="BF31" i="7" s="1"/>
  <c r="BH55" i="7"/>
  <c r="BI55" i="7" s="1"/>
  <c r="BQ52" i="72"/>
  <c r="BG52" i="72"/>
  <c r="BD55" i="72"/>
  <c r="BU39" i="3"/>
  <c r="T7" i="96" s="1"/>
  <c r="BU43" i="3"/>
  <c r="AM10" i="95"/>
  <c r="AM8" i="95" s="1"/>
  <c r="AM12" i="95" s="1"/>
  <c r="AE8" i="95"/>
  <c r="AE13" i="95" s="1"/>
  <c r="AE15" i="95"/>
  <c r="AE20" i="95" s="1"/>
  <c r="H33" i="84"/>
  <c r="J33" i="84" s="1"/>
  <c r="G33" i="84"/>
  <c r="O16" i="126"/>
  <c r="CD9" i="123"/>
  <c r="AN9" i="123"/>
  <c r="FY9" i="123"/>
  <c r="AD16" i="126"/>
  <c r="Y96" i="8"/>
  <c r="AF9" i="8"/>
  <c r="Z9" i="8"/>
  <c r="R12" i="135"/>
  <c r="R13" i="135" s="1"/>
  <c r="S12" i="135"/>
  <c r="S13" i="135" s="1"/>
  <c r="Q13" i="135"/>
  <c r="Z12" i="135"/>
  <c r="T12" i="135"/>
  <c r="T13" i="135" s="1"/>
  <c r="T7" i="135" s="1"/>
  <c r="T15" i="135" s="1"/>
  <c r="R34" i="8"/>
  <c r="V16" i="125"/>
  <c r="AD13" i="125"/>
  <c r="X65" i="123"/>
  <c r="X68" i="123"/>
  <c r="CI31" i="17"/>
  <c r="CH31" i="17" s="1"/>
  <c r="CH32" i="17"/>
  <c r="BC31" i="17"/>
  <c r="BA40" i="17"/>
  <c r="BL31" i="17"/>
  <c r="AP54" i="72"/>
  <c r="AN54" i="72"/>
  <c r="CY153" i="7"/>
  <c r="CY71" i="7"/>
  <c r="CY73" i="7" s="1"/>
  <c r="BY10" i="135"/>
  <c r="BY38" i="7"/>
  <c r="I26" i="111"/>
  <c r="AA14" i="135"/>
  <c r="AA42" i="7"/>
  <c r="AA152" i="7" s="1"/>
  <c r="AI152" i="7" s="1"/>
  <c r="O15" i="126"/>
  <c r="C19" i="127" s="1"/>
  <c r="AN8" i="123"/>
  <c r="AL8" i="123" s="1"/>
  <c r="BW24" i="71"/>
  <c r="BU36" i="71"/>
  <c r="J26" i="87"/>
  <c r="J25" i="87" s="1"/>
  <c r="P22" i="64" s="1"/>
  <c r="BL35" i="71"/>
  <c r="Q40" i="8"/>
  <c r="Q34" i="8"/>
  <c r="B64" i="123"/>
  <c r="AC64" i="123" s="1"/>
  <c r="AL64" i="123" s="1"/>
  <c r="GM9" i="123"/>
  <c r="DL18" i="8"/>
  <c r="BG50" i="5"/>
  <c r="DH34" i="7" s="1"/>
  <c r="DG34" i="7" s="1"/>
  <c r="C28" i="128"/>
  <c r="C36" i="128" s="1"/>
  <c r="G28" i="128"/>
  <c r="G36" i="128" s="1"/>
  <c r="F28" i="128"/>
  <c r="D28" i="128"/>
  <c r="D36" i="128" s="1"/>
  <c r="H28" i="128"/>
  <c r="H36" i="128" s="1"/>
  <c r="E28" i="84"/>
  <c r="G31" i="84"/>
  <c r="H31" i="84"/>
  <c r="J31" i="84" s="1"/>
  <c r="Z109" i="7"/>
  <c r="T123" i="7" s="1"/>
  <c r="Y24" i="8"/>
  <c r="Y17" i="8" s="1"/>
  <c r="AF17" i="8" s="1"/>
  <c r="Z23" i="8"/>
  <c r="AA23" i="8" s="1"/>
  <c r="AF23" i="8"/>
  <c r="Y100" i="8"/>
  <c r="AF100" i="8" s="1"/>
  <c r="AJ23" i="8"/>
  <c r="CC24" i="17"/>
  <c r="CB25" i="17"/>
  <c r="DZ8" i="123"/>
  <c r="DX8" i="123" s="1"/>
  <c r="X15" i="126"/>
  <c r="F19" i="127" s="1"/>
  <c r="AN49" i="95"/>
  <c r="AQ16" i="65"/>
  <c r="D39" i="63"/>
  <c r="AN52" i="5"/>
  <c r="BY16" i="7"/>
  <c r="DZ9" i="123"/>
  <c r="X16" i="126"/>
  <c r="DO64" i="123"/>
  <c r="V55" i="126" s="1"/>
  <c r="FX9" i="123"/>
  <c r="FN9" i="123"/>
  <c r="AB16" i="126" s="1"/>
  <c r="AC16" i="126"/>
  <c r="BZ9" i="123"/>
  <c r="Q16" i="126"/>
  <c r="BP9" i="123"/>
  <c r="P16" i="126" s="1"/>
  <c r="W15" i="125"/>
  <c r="W13" i="125"/>
  <c r="O9" i="81"/>
  <c r="P9" i="81"/>
  <c r="P13" i="81"/>
  <c r="O13" i="81"/>
  <c r="H9" i="136"/>
  <c r="M9" i="136"/>
  <c r="L48" i="56"/>
  <c r="L58" i="56" s="1"/>
  <c r="AZ13" i="136"/>
  <c r="AZ41" i="8"/>
  <c r="AZ103" i="8" s="1"/>
  <c r="AC11" i="123"/>
  <c r="M18" i="126" s="1"/>
  <c r="O18" i="126"/>
  <c r="CD11" i="123"/>
  <c r="AN11" i="123"/>
  <c r="AL11" i="123" s="1"/>
  <c r="CU9" i="7"/>
  <c r="O66" i="125"/>
  <c r="I33" i="97"/>
  <c r="I34" i="97" s="1"/>
  <c r="H34" i="97"/>
  <c r="AR23" i="8"/>
  <c r="AR100" i="8" s="1"/>
  <c r="AQ100" i="8"/>
  <c r="AR18" i="8"/>
  <c r="AQ17" i="8"/>
  <c r="AQ96" i="8"/>
  <c r="L51" i="123"/>
  <c r="AA23" i="125"/>
  <c r="AD15" i="126"/>
  <c r="H19" i="127" s="1"/>
  <c r="FY8" i="123"/>
  <c r="FW8" i="123" s="1"/>
  <c r="F99" i="68"/>
  <c r="BJ126" i="8"/>
  <c r="BJ127" i="8" s="1"/>
  <c r="BK127" i="8"/>
  <c r="Q14" i="135"/>
  <c r="Q42" i="7"/>
  <c r="W16" i="126"/>
  <c r="DO9" i="123"/>
  <c r="V16" i="126" s="1"/>
  <c r="DY9" i="123"/>
  <c r="BB48" i="6"/>
  <c r="DM26" i="8" s="1"/>
  <c r="DL26" i="8" s="1"/>
  <c r="BB50" i="6"/>
  <c r="BB49" i="6"/>
  <c r="DM33" i="8" s="1"/>
  <c r="DL33" i="8" s="1"/>
  <c r="BB47" i="6"/>
  <c r="DM16" i="8" s="1"/>
  <c r="AU94" i="7"/>
  <c r="AE130" i="8"/>
  <c r="Z13" i="136"/>
  <c r="AF13" i="136"/>
  <c r="BE29" i="7"/>
  <c r="BF29" i="7" s="1"/>
  <c r="BE56" i="7"/>
  <c r="BF56" i="7" s="1"/>
  <c r="BF10" i="7"/>
  <c r="K24" i="128"/>
  <c r="S13" i="125"/>
  <c r="M16" i="125"/>
  <c r="AO39" i="7"/>
  <c r="AL39" i="7" s="1"/>
  <c r="AM39" i="7" s="1"/>
  <c r="AH8" i="17"/>
  <c r="AI8" i="17" s="1"/>
  <c r="AK8" i="17"/>
  <c r="L7" i="11"/>
  <c r="L10" i="11"/>
  <c r="L11" i="11"/>
  <c r="L8" i="11"/>
  <c r="L9" i="11"/>
  <c r="BP8" i="123"/>
  <c r="P15" i="126" s="1"/>
  <c r="Q15" i="126"/>
  <c r="D18" i="127" s="1"/>
  <c r="BZ8" i="123"/>
  <c r="W20" i="126"/>
  <c r="DO13" i="123"/>
  <c r="V20" i="126" s="1"/>
  <c r="DY13" i="123"/>
  <c r="DX13" i="123" s="1"/>
  <c r="CA144" i="7"/>
  <c r="CS58" i="72"/>
  <c r="CR50" i="72" s="1"/>
  <c r="CS50" i="72" s="1"/>
  <c r="H13" i="87" s="1"/>
  <c r="I13" i="87" s="1"/>
  <c r="AR42" i="3"/>
  <c r="AU16" i="65"/>
  <c r="AV16" i="65" s="1"/>
  <c r="DM142" i="8"/>
  <c r="E34" i="84"/>
  <c r="D34" i="84"/>
  <c r="D35" i="84" s="1"/>
  <c r="B68" i="124"/>
  <c r="AD19" i="104"/>
  <c r="AD23" i="104" s="1"/>
  <c r="DL53" i="7"/>
  <c r="F22" i="73"/>
  <c r="O41" i="8"/>
  <c r="N37" i="8"/>
  <c r="O37" i="8" s="1"/>
  <c r="DO16" i="8"/>
  <c r="O10" i="135"/>
  <c r="P10" i="135" s="1"/>
  <c r="AM54" i="5"/>
  <c r="AX54" i="5" s="1"/>
  <c r="BV34" i="7"/>
  <c r="B24" i="128"/>
  <c r="BE42" i="7"/>
  <c r="BF42" i="7" s="1"/>
  <c r="BF152" i="7" s="1"/>
  <c r="BA13" i="8"/>
  <c r="BB13" i="8"/>
  <c r="AZ100" i="8"/>
  <c r="AZ11" i="135"/>
  <c r="AZ39" i="7"/>
  <c r="AP52" i="72"/>
  <c r="AM55" i="72"/>
  <c r="AP55" i="72" s="1"/>
  <c r="AN52" i="72"/>
  <c r="CX153" i="7"/>
  <c r="CX166" i="7" s="1"/>
  <c r="CX168" i="7" s="1"/>
  <c r="CX71" i="7"/>
  <c r="CX73" i="7" s="1"/>
  <c r="DD123" i="8"/>
  <c r="DD121" i="8"/>
  <c r="AI16" i="7"/>
  <c r="AC16" i="7"/>
  <c r="AP16" i="7"/>
  <c r="AB16" i="7"/>
  <c r="AC20" i="126"/>
  <c r="FX13" i="123"/>
  <c r="FW13" i="123" s="1"/>
  <c r="FN13" i="123"/>
  <c r="AB20" i="126" s="1"/>
  <c r="BX35" i="71"/>
  <c r="BW35" i="71"/>
  <c r="BB9" i="8"/>
  <c r="N16" i="126"/>
  <c r="AM9" i="123"/>
  <c r="AC9" i="123"/>
  <c r="M16" i="126" s="1"/>
  <c r="CC9" i="123"/>
  <c r="BD152" i="7"/>
  <c r="CC56" i="72"/>
  <c r="CB56" i="72"/>
  <c r="CA48" i="72" s="1"/>
  <c r="AD16" i="125"/>
  <c r="DA53" i="7"/>
  <c r="DA52" i="7" s="1"/>
  <c r="DB52" i="7"/>
  <c r="N12" i="68"/>
  <c r="N11" i="68"/>
  <c r="N10" i="68"/>
  <c r="N9" i="68"/>
  <c r="M48" i="56"/>
  <c r="M58" i="56" s="1"/>
  <c r="B50" i="123"/>
  <c r="L50" i="123"/>
  <c r="AH176" i="7"/>
  <c r="AH174" i="7"/>
  <c r="B20" i="56"/>
  <c r="B19" i="56" s="1"/>
  <c r="C19" i="56"/>
  <c r="BY14" i="135"/>
  <c r="AN55" i="5"/>
  <c r="BY42" i="7"/>
  <c r="BR64" i="123"/>
  <c r="FN64" i="123"/>
  <c r="AC13" i="125"/>
  <c r="AC15" i="125"/>
  <c r="AF16" i="125"/>
  <c r="DG126" i="8"/>
  <c r="DG124" i="8"/>
  <c r="O11" i="81"/>
  <c r="P11" i="81"/>
  <c r="O12" i="81"/>
  <c r="P12" i="81"/>
  <c r="EV73" i="123"/>
  <c r="EM72" i="123"/>
  <c r="BC33" i="8"/>
  <c r="BC27" i="8" s="1"/>
  <c r="DN184" i="7"/>
  <c r="BN13" i="61"/>
  <c r="DH144" i="7"/>
  <c r="BB38" i="8"/>
  <c r="BA38" i="8"/>
  <c r="F13" i="87"/>
  <c r="F11" i="87" s="1"/>
  <c r="F10" i="87" s="1"/>
  <c r="H12" i="65" s="1"/>
  <c r="E11" i="87"/>
  <c r="E10" i="87" s="1"/>
  <c r="AQ97" i="8"/>
  <c r="AR20" i="8"/>
  <c r="AR97" i="8" s="1"/>
  <c r="AR44" i="8"/>
  <c r="AR42" i="8" s="1"/>
  <c r="AR104" i="8" s="1"/>
  <c r="AQ42" i="8"/>
  <c r="AQ104" i="8" s="1"/>
  <c r="AP39" i="7"/>
  <c r="AB39" i="7"/>
  <c r="AA40" i="7"/>
  <c r="AI39" i="7"/>
  <c r="AA149" i="7"/>
  <c r="AI149" i="7" s="1"/>
  <c r="AC39" i="7"/>
  <c r="BT13" i="136"/>
  <c r="BS13" i="136" s="1"/>
  <c r="AN54" i="6"/>
  <c r="AP54" i="6" s="1"/>
  <c r="AP50" i="6" s="1"/>
  <c r="BT41" i="8"/>
  <c r="BS41" i="8" s="1"/>
  <c r="CW185" i="7"/>
  <c r="AN13" i="64" s="1"/>
  <c r="CW144" i="7"/>
  <c r="BB26" i="8"/>
  <c r="BC26" i="8" s="1"/>
  <c r="B123" i="56"/>
  <c r="B122" i="56" s="1"/>
  <c r="C122" i="56"/>
  <c r="F98" i="68"/>
  <c r="FX67" i="123"/>
  <c r="AA37" i="95"/>
  <c r="Z41" i="95"/>
  <c r="Z46" i="95" s="1"/>
  <c r="Z50" i="95" s="1"/>
  <c r="BB29" i="8"/>
  <c r="BA29" i="8"/>
  <c r="U11" i="82"/>
  <c r="V7" i="82"/>
  <c r="V11" i="82" s="1"/>
  <c r="I32" i="21"/>
  <c r="Y11" i="11"/>
  <c r="Y9" i="11"/>
  <c r="Y10" i="11"/>
  <c r="Y7" i="11"/>
  <c r="C11" i="86"/>
  <c r="C12" i="86" s="1"/>
  <c r="BF54" i="7"/>
  <c r="C11" i="74"/>
  <c r="BE39" i="7"/>
  <c r="AJ102" i="8"/>
  <c r="AW102" i="8"/>
  <c r="R18" i="126"/>
  <c r="BP11" i="123"/>
  <c r="P18" i="126" s="1"/>
  <c r="CA11" i="123"/>
  <c r="BY11" i="123" s="1"/>
  <c r="P16" i="125"/>
  <c r="L79" i="68"/>
  <c r="N77" i="68"/>
  <c r="BO24" i="17"/>
  <c r="AO11" i="135"/>
  <c r="K13" i="65"/>
  <c r="O16" i="65"/>
  <c r="O13" i="65" s="1"/>
  <c r="F14" i="77"/>
  <c r="Q16" i="65"/>
  <c r="AP54" i="9"/>
  <c r="AN54" i="9"/>
  <c r="AL23" i="7"/>
  <c r="AN149" i="7"/>
  <c r="AU15" i="66"/>
  <c r="AV17" i="66"/>
  <c r="AF18" i="61"/>
  <c r="AY18" i="61"/>
  <c r="Y18" i="61"/>
  <c r="P20" i="72"/>
  <c r="AP20" i="72" s="1"/>
  <c r="AN57" i="72" s="1"/>
  <c r="P21" i="72"/>
  <c r="P22" i="72" s="1"/>
  <c r="AP22" i="72" s="1"/>
  <c r="AN59" i="72" s="1"/>
  <c r="J93" i="68"/>
  <c r="L91" i="68"/>
  <c r="N20" i="126"/>
  <c r="AM13" i="123"/>
  <c r="AL13" i="123" s="1"/>
  <c r="CC13" i="123"/>
  <c r="AC13" i="123"/>
  <c r="M20" i="126" s="1"/>
  <c r="U58" i="126"/>
  <c r="CM67" i="123"/>
  <c r="T34" i="32"/>
  <c r="V34" i="32" s="1"/>
  <c r="AG15" i="7"/>
  <c r="AG8" i="7" s="1"/>
  <c r="AJ60" i="19"/>
  <c r="AH94" i="7"/>
  <c r="FP64" i="123"/>
  <c r="F12" i="73"/>
  <c r="AV10" i="136"/>
  <c r="AV38" i="8"/>
  <c r="O55" i="9"/>
  <c r="S55" i="9" s="1"/>
  <c r="V55" i="9"/>
  <c r="O13" i="136"/>
  <c r="N9" i="136"/>
  <c r="O9" i="136" s="1"/>
  <c r="BB47" i="3"/>
  <c r="BB45" i="3" s="1"/>
  <c r="BB44" i="3" s="1"/>
  <c r="K66" i="32"/>
  <c r="AZ45" i="3"/>
  <c r="AZ44" i="3" s="1"/>
  <c r="AD18" i="126"/>
  <c r="FY11" i="123"/>
  <c r="FW11" i="123" s="1"/>
  <c r="FN11" i="123"/>
  <c r="AB18" i="126" s="1"/>
  <c r="BR40" i="17"/>
  <c r="BT31" i="17"/>
  <c r="CF31" i="17"/>
  <c r="CE31" i="17" s="1"/>
  <c r="CE32" i="17"/>
  <c r="BC32" i="7"/>
  <c r="BC8" i="8"/>
  <c r="U23" i="125"/>
  <c r="AR11" i="65"/>
  <c r="AR10" i="65" s="1"/>
  <c r="AR9" i="65" s="1"/>
  <c r="AR44" i="65" s="1"/>
  <c r="AR47" i="65" s="1"/>
  <c r="DD152" i="8"/>
  <c r="AI26" i="7"/>
  <c r="AB26" i="7"/>
  <c r="AP26" i="7"/>
  <c r="AC26" i="7"/>
  <c r="H7" i="105"/>
  <c r="G14" i="105"/>
  <c r="BZ13" i="123"/>
  <c r="BY13" i="123" s="1"/>
  <c r="Q20" i="126"/>
  <c r="BP13" i="123"/>
  <c r="P20" i="126" s="1"/>
  <c r="AK69" i="123"/>
  <c r="CJ69" i="123" s="1"/>
  <c r="EI69" i="123" s="1"/>
  <c r="H69" i="123"/>
  <c r="BI61" i="9"/>
  <c r="BG55" i="9"/>
  <c r="AN16" i="95"/>
  <c r="AN21" i="95" s="1"/>
  <c r="AN8" i="95"/>
  <c r="AN13" i="95" s="1"/>
  <c r="AN51" i="95" s="1"/>
  <c r="P13" i="21"/>
  <c r="O13" i="21"/>
  <c r="AJ38" i="8"/>
  <c r="AK38" i="8"/>
  <c r="H37" i="8"/>
  <c r="M37" i="8"/>
  <c r="R40" i="7"/>
  <c r="R41" i="7" s="1"/>
  <c r="Z40" i="7"/>
  <c r="S40" i="7"/>
  <c r="S41" i="7" s="1"/>
  <c r="T40" i="7"/>
  <c r="T41" i="7" s="1"/>
  <c r="T35" i="7" s="1"/>
  <c r="Q41" i="7"/>
  <c r="CO71" i="7"/>
  <c r="CO73" i="7" s="1"/>
  <c r="CO153" i="7"/>
  <c r="CO166" i="7" s="1"/>
  <c r="CO168" i="7" s="1"/>
  <c r="X18" i="126"/>
  <c r="DZ11" i="123"/>
  <c r="DX11" i="123" s="1"/>
  <c r="DO11" i="123"/>
  <c r="V18" i="126" s="1"/>
  <c r="AE17" i="125"/>
  <c r="AE18" i="125"/>
  <c r="BY167" i="7"/>
  <c r="BY72" i="7" s="1"/>
  <c r="BA23" i="8"/>
  <c r="BC23" i="8"/>
  <c r="R5" i="68"/>
  <c r="P8" i="68"/>
  <c r="CQ176" i="7"/>
  <c r="CQ177" i="7" s="1"/>
  <c r="CQ174" i="7"/>
  <c r="S23" i="125"/>
  <c r="L49" i="123"/>
  <c r="B49" i="123"/>
  <c r="DH52" i="7"/>
  <c r="DH153" i="7" s="1"/>
  <c r="CY67" i="123"/>
  <c r="CN67" i="123"/>
  <c r="CF10" i="135"/>
  <c r="K26" i="111"/>
  <c r="CF38" i="7"/>
  <c r="CF24" i="17"/>
  <c r="DD153" i="7"/>
  <c r="DD166" i="7" s="1"/>
  <c r="DD168" i="7" s="1"/>
  <c r="DD71" i="7"/>
  <c r="DD73" i="7" s="1"/>
  <c r="BZ26" i="7"/>
  <c r="BY26" i="7" s="1"/>
  <c r="AN53" i="5"/>
  <c r="DQ64" i="123"/>
  <c r="CA9" i="123"/>
  <c r="R16" i="126"/>
  <c r="BP64" i="123"/>
  <c r="P55" i="126" s="1"/>
  <c r="N45" i="68"/>
  <c r="P43" i="68"/>
  <c r="P10" i="81"/>
  <c r="O10" i="81"/>
  <c r="M57" i="72"/>
  <c r="V57" i="72" s="1"/>
  <c r="V56" i="72"/>
  <c r="M57" i="9"/>
  <c r="V57" i="9" s="1"/>
  <c r="V56" i="9"/>
  <c r="BB16" i="8"/>
  <c r="AB16" i="125"/>
  <c r="BA10" i="136"/>
  <c r="BB10" i="136"/>
  <c r="AR33" i="8"/>
  <c r="AQ27" i="8"/>
  <c r="AR24" i="8"/>
  <c r="AQ25" i="8"/>
  <c r="AQ101" i="8"/>
  <c r="BQ35" i="71"/>
  <c r="BS35" i="71" s="1"/>
  <c r="BQ24" i="71"/>
  <c r="AC11" i="135"/>
  <c r="AD11" i="135" s="1"/>
  <c r="AA12" i="135"/>
  <c r="AI11" i="135"/>
  <c r="AB11" i="135"/>
  <c r="AP11" i="135"/>
  <c r="AW65" i="32"/>
  <c r="AU61" i="32"/>
  <c r="AU70" i="32" s="1"/>
  <c r="AU69" i="32"/>
  <c r="AW69" i="32" s="1"/>
  <c r="AW73" i="32" s="1"/>
  <c r="CS53" i="7" s="1"/>
  <c r="BE11" i="135"/>
  <c r="BF11" i="135" s="1"/>
  <c r="AA17" i="126"/>
  <c r="EL10" i="123"/>
  <c r="EJ10" i="123" s="1"/>
  <c r="AQ43" i="3"/>
  <c r="BE137" i="7"/>
  <c r="BF95" i="7"/>
  <c r="BL31" i="61"/>
  <c r="DK191" i="7"/>
  <c r="J82" i="68"/>
  <c r="J81" i="68"/>
  <c r="J83" i="68"/>
  <c r="J80" i="68"/>
  <c r="AP52" i="9"/>
  <c r="AM55" i="9"/>
  <c r="AP55" i="9" s="1"/>
  <c r="AN52" i="9"/>
  <c r="BA24" i="17"/>
  <c r="BA38" i="17"/>
  <c r="P20" i="9"/>
  <c r="AP20" i="9" s="1"/>
  <c r="AN57" i="9" s="1"/>
  <c r="P21" i="9"/>
  <c r="P22" i="9" s="1"/>
  <c r="AP22" i="9" s="1"/>
  <c r="AN59" i="9" s="1"/>
  <c r="H97" i="68"/>
  <c r="H95" i="68"/>
  <c r="H96" i="68"/>
  <c r="H94" i="68"/>
  <c r="U12" i="70"/>
  <c r="W10" i="70"/>
  <c r="BH49" i="5"/>
  <c r="DK26" i="7" s="1"/>
  <c r="BH51" i="5"/>
  <c r="DK42" i="7" s="1"/>
  <c r="BH48" i="5"/>
  <c r="DK16" i="7" s="1"/>
  <c r="BH50" i="5"/>
  <c r="DK34" i="7" s="1"/>
  <c r="S24" i="8"/>
  <c r="T24" i="8" s="1"/>
  <c r="T25" i="8" s="1"/>
  <c r="R24" i="8"/>
  <c r="R25" i="8" s="1"/>
  <c r="Q24" i="8"/>
  <c r="Q25" i="8" s="1"/>
  <c r="P25" i="8"/>
  <c r="AE64" i="123"/>
  <c r="AV30" i="65"/>
  <c r="Q7" i="102"/>
  <c r="BX37" i="71"/>
  <c r="BW37" i="71"/>
  <c r="AX55" i="72"/>
  <c r="AM18" i="8"/>
  <c r="Z33" i="8"/>
  <c r="AF33" i="8"/>
  <c r="BD58" i="72"/>
  <c r="AA48" i="3"/>
  <c r="AC48" i="3" s="1"/>
  <c r="BD58" i="9"/>
  <c r="AC44" i="3"/>
  <c r="AA40" i="3"/>
  <c r="DJ9" i="7"/>
  <c r="AM53" i="5"/>
  <c r="AX53" i="5" s="1"/>
  <c r="FK69" i="123"/>
  <c r="BV68" i="123"/>
  <c r="CI68" i="123"/>
  <c r="EH68" i="123" s="1"/>
  <c r="GG68" i="123" s="1"/>
  <c r="Z70" i="123"/>
  <c r="Z71" i="123" s="1"/>
  <c r="FT68" i="123"/>
  <c r="FB69" i="123"/>
  <c r="ES69" i="123"/>
  <c r="FU69" i="123"/>
  <c r="DU68" i="123"/>
  <c r="DL69" i="123"/>
  <c r="CT69" i="123"/>
  <c r="DV69" i="123"/>
  <c r="BM70" i="123"/>
  <c r="BM71" i="123" s="1"/>
  <c r="BW70" i="123"/>
  <c r="BW71" i="123" s="1"/>
  <c r="BD69" i="123"/>
  <c r="AU70" i="123"/>
  <c r="AU69" i="123"/>
  <c r="BW69" i="123"/>
  <c r="AI68" i="123"/>
  <c r="Q70" i="123"/>
  <c r="Q71" i="123" s="1"/>
  <c r="CI65" i="123"/>
  <c r="Q69" i="123"/>
  <c r="AJ69" i="123"/>
  <c r="GF9" i="123"/>
  <c r="GF26" i="123" s="1"/>
  <c r="EG26" i="123"/>
  <c r="S12" i="128"/>
  <c r="N12" i="128"/>
  <c r="I16" i="128"/>
  <c r="E16" i="128"/>
  <c r="P36" i="128"/>
  <c r="S16" i="128"/>
  <c r="N16" i="128"/>
  <c r="K12" i="129"/>
  <c r="K15" i="129"/>
  <c r="K19" i="129" s="1"/>
  <c r="K21" i="129" s="1"/>
  <c r="Z17" i="126"/>
  <c r="EA10" i="123"/>
  <c r="Y17" i="126" s="1"/>
  <c r="AC46" i="123"/>
  <c r="M37" i="126" s="1"/>
  <c r="X57" i="126"/>
  <c r="DZ66" i="123"/>
  <c r="EC66" i="123"/>
  <c r="CD57" i="123"/>
  <c r="O48" i="126"/>
  <c r="AN57" i="123"/>
  <c r="B48" i="123"/>
  <c r="AZ40" i="123"/>
  <c r="BI40" i="123" s="1"/>
  <c r="CL8" i="122"/>
  <c r="DQ54" i="123"/>
  <c r="AZ38" i="123"/>
  <c r="AN48" i="123"/>
  <c r="O39" i="126"/>
  <c r="AZ39" i="123"/>
  <c r="AZ50" i="123"/>
  <c r="BI50" i="123" s="1"/>
  <c r="AD46" i="123"/>
  <c r="V38" i="123"/>
  <c r="AY37" i="123"/>
  <c r="AO37" i="123"/>
  <c r="M40" i="123"/>
  <c r="EX60" i="123"/>
  <c r="FG60" i="123" s="1"/>
  <c r="AN58" i="123"/>
  <c r="O49" i="126"/>
  <c r="CL67" i="122"/>
  <c r="FN75" i="123"/>
  <c r="FZ75" i="123" s="1"/>
  <c r="GI75" i="123" s="1"/>
  <c r="EX54" i="123"/>
  <c r="U48" i="123"/>
  <c r="T48" i="123" s="1"/>
  <c r="K48" i="123"/>
  <c r="U37" i="123"/>
  <c r="K37" i="123"/>
  <c r="GD27" i="123"/>
  <c r="GC10" i="123"/>
  <c r="GJ10" i="123"/>
  <c r="GI10" i="123" s="1"/>
  <c r="GD28" i="123"/>
  <c r="GE50" i="123"/>
  <c r="Z22" i="126"/>
  <c r="EA15" i="123"/>
  <c r="Y22" i="126" s="1"/>
  <c r="AL21" i="123"/>
  <c r="AC27" i="123"/>
  <c r="AL27" i="123" s="1"/>
  <c r="CB21" i="123"/>
  <c r="GD40" i="123"/>
  <c r="GD42" i="123" s="1"/>
  <c r="EE42" i="123"/>
  <c r="GF41" i="123"/>
  <c r="GF42" i="123" s="1"/>
  <c r="EG42" i="123"/>
  <c r="ED28" i="123"/>
  <c r="ED27" i="123"/>
  <c r="BK70" i="123"/>
  <c r="BK71" i="123" s="1"/>
  <c r="AI76" i="123"/>
  <c r="AI65" i="123"/>
  <c r="DU76" i="123"/>
  <c r="DU65" i="123"/>
  <c r="EK11" i="123"/>
  <c r="GD11" i="123"/>
  <c r="ED11" i="123"/>
  <c r="ED29" i="123" s="1"/>
  <c r="BV76" i="123"/>
  <c r="BV65" i="123"/>
  <c r="GC73" i="123"/>
  <c r="GC72" i="123" s="1"/>
  <c r="ED72" i="123"/>
  <c r="GD9" i="123"/>
  <c r="FT65" i="123"/>
  <c r="FT76" i="123"/>
  <c r="T15" i="126"/>
  <c r="E18" i="127" s="1"/>
  <c r="EB8" i="123"/>
  <c r="EK8" i="123" s="1"/>
  <c r="GD38" i="123"/>
  <c r="EB21" i="123"/>
  <c r="CL21" i="123"/>
  <c r="CC27" i="123"/>
  <c r="CL27" i="123" s="1"/>
  <c r="EL56" i="123"/>
  <c r="GB56" i="123"/>
  <c r="AA47" i="126"/>
  <c r="CL51" i="122"/>
  <c r="AX45" i="123"/>
  <c r="BH45" i="123"/>
  <c r="CY59" i="123"/>
  <c r="CN59" i="123"/>
  <c r="DH37" i="123"/>
  <c r="GD60" i="123"/>
  <c r="GC50" i="123"/>
  <c r="GD44" i="123"/>
  <c r="CY55" i="123"/>
  <c r="GC59" i="123"/>
  <c r="U45" i="126"/>
  <c r="GJ14" i="123"/>
  <c r="GI14" i="123" s="1"/>
  <c r="GC14" i="123"/>
  <c r="GC57" i="123"/>
  <c r="GC51" i="123"/>
  <c r="EF52" i="123"/>
  <c r="P37" i="126"/>
  <c r="BY46" i="123"/>
  <c r="GC54" i="123"/>
  <c r="EL13" i="123"/>
  <c r="GE13" i="123"/>
  <c r="GK13" i="123" s="1"/>
  <c r="GE54" i="123"/>
  <c r="GC53" i="123"/>
  <c r="T45" i="123"/>
  <c r="AC45" i="123" s="1"/>
  <c r="AE45" i="123"/>
  <c r="AC50" i="126"/>
  <c r="FX59" i="123"/>
  <c r="M35" i="126"/>
  <c r="AL44" i="123"/>
  <c r="EL12" i="123"/>
  <c r="EJ12" i="123" s="1"/>
  <c r="GE12" i="123"/>
  <c r="EF30" i="123"/>
  <c r="ED12" i="123"/>
  <c r="ED30" i="123" s="1"/>
  <c r="GD45" i="123"/>
  <c r="EL15" i="123"/>
  <c r="EJ15" i="123" s="1"/>
  <c r="GE15" i="123"/>
  <c r="GK15" i="123" s="1"/>
  <c r="GE57" i="123"/>
  <c r="BG72" i="123"/>
  <c r="BP74" i="123"/>
  <c r="T50" i="126"/>
  <c r="CL59" i="123"/>
  <c r="CA37" i="123"/>
  <c r="R28" i="126"/>
  <c r="CD37" i="123"/>
  <c r="BR45" i="123"/>
  <c r="GJ16" i="123"/>
  <c r="CE42" i="123"/>
  <c r="ED41" i="123"/>
  <c r="EX37" i="123"/>
  <c r="R51" i="126"/>
  <c r="CA60" i="123"/>
  <c r="CD60" i="123"/>
  <c r="CX45" i="123"/>
  <c r="EE64" i="123"/>
  <c r="BI44" i="123"/>
  <c r="BG44" i="123" s="1"/>
  <c r="AX44" i="123"/>
  <c r="GD53" i="123"/>
  <c r="GE41" i="123"/>
  <c r="EF42" i="123"/>
  <c r="V39" i="123"/>
  <c r="AE39" i="123" s="1"/>
  <c r="CE64" i="123"/>
  <c r="GD8" i="123"/>
  <c r="ED8" i="123"/>
  <c r="GC49" i="123"/>
  <c r="ED13" i="123"/>
  <c r="GE40" i="123"/>
  <c r="CY53" i="123"/>
  <c r="CY36" i="123"/>
  <c r="U50" i="126"/>
  <c r="CM59" i="123"/>
  <c r="CN45" i="123"/>
  <c r="O35" i="126"/>
  <c r="AN44" i="123"/>
  <c r="Q50" i="126"/>
  <c r="BZ59" i="123"/>
  <c r="M43" i="123"/>
  <c r="V43" i="123" s="1"/>
  <c r="U37" i="126"/>
  <c r="CM46" i="123"/>
  <c r="GC52" i="123"/>
  <c r="EF64" i="123"/>
  <c r="GC45" i="123"/>
  <c r="GD51" i="123"/>
  <c r="ED40" i="123"/>
  <c r="GC60" i="123"/>
  <c r="GD50" i="123"/>
  <c r="GJ15" i="123"/>
  <c r="AZ36" i="123"/>
  <c r="ED39" i="123"/>
  <c r="CL109" i="122"/>
  <c r="GJ13" i="123"/>
  <c r="GD49" i="123"/>
  <c r="EJ75" i="123"/>
  <c r="P50" i="126"/>
  <c r="BY59" i="123"/>
  <c r="M47" i="123"/>
  <c r="V47" i="123" s="1"/>
  <c r="CM55" i="123"/>
  <c r="U46" i="126"/>
  <c r="B17" i="124"/>
  <c r="AF63" i="125"/>
  <c r="AD63" i="125"/>
  <c r="B28" i="124"/>
  <c r="B31" i="124"/>
  <c r="B33" i="124"/>
  <c r="B24" i="124"/>
  <c r="B25" i="124"/>
  <c r="Y63" i="125"/>
  <c r="S63" i="125"/>
  <c r="P63" i="125"/>
  <c r="V63" i="125"/>
  <c r="L44" i="125"/>
  <c r="N56" i="125"/>
  <c r="C34" i="124"/>
  <c r="T19" i="125"/>
  <c r="E15" i="127" s="1"/>
  <c r="E13" i="127" s="1"/>
  <c r="L51" i="125"/>
  <c r="W36" i="125"/>
  <c r="M51" i="125"/>
  <c r="O51" i="125"/>
  <c r="T37" i="125"/>
  <c r="T42" i="125"/>
  <c r="L48" i="125"/>
  <c r="M48" i="125"/>
  <c r="P48" i="125"/>
  <c r="O48" i="125"/>
  <c r="E20" i="79"/>
  <c r="F59" i="118"/>
  <c r="F89" i="118"/>
  <c r="F69" i="118"/>
  <c r="F79" i="118"/>
  <c r="F99" i="118"/>
  <c r="F12" i="116"/>
  <c r="F22" i="116"/>
  <c r="Q65" i="125"/>
  <c r="Q58" i="125"/>
  <c r="N58" i="125"/>
  <c r="N57" i="125"/>
  <c r="Q55" i="125"/>
  <c r="N55" i="125"/>
  <c r="N54" i="125"/>
  <c r="Q36" i="125"/>
  <c r="W35" i="125"/>
  <c r="P35" i="125"/>
  <c r="AA19" i="125"/>
  <c r="X28" i="125"/>
  <c r="R27" i="125"/>
  <c r="Y27" i="125"/>
  <c r="Y19" i="125"/>
  <c r="G14" i="127" s="1"/>
  <c r="G13" i="127" s="1"/>
  <c r="I13" i="127" s="1"/>
  <c r="X20" i="125"/>
  <c r="R19" i="125"/>
  <c r="R27" i="104"/>
  <c r="F27" i="63" l="1"/>
  <c r="N19" i="61" s="1"/>
  <c r="BV47" i="8"/>
  <c r="BV105" i="8" s="1"/>
  <c r="BR49" i="19"/>
  <c r="BR50" i="19" s="1"/>
  <c r="BR24" i="17"/>
  <c r="F7" i="63"/>
  <c r="BB48" i="5"/>
  <c r="CS16" i="7" s="1"/>
  <c r="AN56" i="72"/>
  <c r="AN56" i="9"/>
  <c r="AM48" i="9" s="1"/>
  <c r="B18" i="84"/>
  <c r="O39" i="3"/>
  <c r="B19" i="32"/>
  <c r="M43" i="3"/>
  <c r="O43" i="3" s="1"/>
  <c r="S50" i="126"/>
  <c r="D36" i="63"/>
  <c r="BB51" i="5"/>
  <c r="R15" i="96"/>
  <c r="R20" i="96"/>
  <c r="R30" i="96"/>
  <c r="R25" i="96"/>
  <c r="R35" i="96"/>
  <c r="R10" i="96"/>
  <c r="BS26" i="8"/>
  <c r="T24" i="71"/>
  <c r="BC24" i="71" s="1"/>
  <c r="BC48" i="5"/>
  <c r="CV16" i="7" s="1"/>
  <c r="BJ63" i="123"/>
  <c r="EF23" i="7"/>
  <c r="DZ23" i="7"/>
  <c r="EF39" i="7"/>
  <c r="DZ39" i="7"/>
  <c r="DY39" i="7" s="1"/>
  <c r="F86" i="68"/>
  <c r="EB15" i="8"/>
  <c r="EB100" i="8"/>
  <c r="EA13" i="8"/>
  <c r="EI25" i="8"/>
  <c r="EI100" i="8"/>
  <c r="DW33" i="7"/>
  <c r="DW27" i="7" s="1"/>
  <c r="DV31" i="7"/>
  <c r="DV33" i="7" s="1"/>
  <c r="DV27" i="7" s="1"/>
  <c r="R76" i="122"/>
  <c r="AG76" i="122" s="1"/>
  <c r="B76" i="122"/>
  <c r="B157" i="122" s="1"/>
  <c r="C157" i="122"/>
  <c r="C39" i="123" s="1"/>
  <c r="B39" i="123" s="1"/>
  <c r="CC105" i="120"/>
  <c r="EE34" i="7"/>
  <c r="EC41" i="7"/>
  <c r="EC35" i="7" s="1"/>
  <c r="EB39" i="7"/>
  <c r="EB41" i="7" s="1"/>
  <c r="EB35" i="7" s="1"/>
  <c r="EF48" i="7"/>
  <c r="DZ48" i="7"/>
  <c r="DY48" i="7" s="1"/>
  <c r="AO25" i="95"/>
  <c r="AO27" i="95" s="1"/>
  <c r="AT24" i="95"/>
  <c r="AT25" i="95" s="1"/>
  <c r="AT27" i="95" s="1"/>
  <c r="CW25" i="17"/>
  <c r="CX25" i="17" s="1"/>
  <c r="CF13" i="7" s="1"/>
  <c r="ER25" i="17"/>
  <c r="ES25" i="17" s="1"/>
  <c r="C156" i="122"/>
  <c r="C38" i="123" s="1"/>
  <c r="B38" i="123" s="1"/>
  <c r="R42" i="122"/>
  <c r="B42" i="122"/>
  <c r="B156" i="122" s="1"/>
  <c r="EB25" i="8"/>
  <c r="EA23" i="8"/>
  <c r="EA25" i="8" s="1"/>
  <c r="R99" i="120"/>
  <c r="AG99" i="120" s="1"/>
  <c r="B99" i="120"/>
  <c r="B198" i="120" s="1"/>
  <c r="C198" i="120"/>
  <c r="C50" i="121" s="1"/>
  <c r="EF9" i="7"/>
  <c r="AT18" i="95"/>
  <c r="AT28" i="95" s="1"/>
  <c r="EG13" i="8"/>
  <c r="EH15" i="8"/>
  <c r="EH100" i="8"/>
  <c r="EC25" i="8"/>
  <c r="EC100" i="8"/>
  <c r="EB31" i="7"/>
  <c r="EB33" i="7" s="1"/>
  <c r="EB27" i="7" s="1"/>
  <c r="EC33" i="7"/>
  <c r="EC27" i="7" s="1"/>
  <c r="EE26" i="7"/>
  <c r="CC70" i="120"/>
  <c r="BG50" i="6"/>
  <c r="BG47" i="6"/>
  <c r="BG49" i="6"/>
  <c r="BG48" i="6"/>
  <c r="AS31" i="95"/>
  <c r="AS50" i="95" s="1"/>
  <c r="ED9" i="7"/>
  <c r="ED144" i="7" s="1"/>
  <c r="DX9" i="7"/>
  <c r="DX144" i="7" s="1"/>
  <c r="DW50" i="7"/>
  <c r="DV48" i="7"/>
  <c r="DV50" i="7" s="1"/>
  <c r="CB156" i="122"/>
  <c r="CH156" i="122" s="1"/>
  <c r="CH42" i="122"/>
  <c r="EH25" i="8"/>
  <c r="EG23" i="8"/>
  <c r="EG25" i="8" s="1"/>
  <c r="EG9" i="7"/>
  <c r="AT31" i="95"/>
  <c r="EB40" i="8"/>
  <c r="EA38" i="8"/>
  <c r="EA40" i="8" s="1"/>
  <c r="DV23" i="7"/>
  <c r="DV25" i="7" s="1"/>
  <c r="DW25" i="7"/>
  <c r="EC13" i="7"/>
  <c r="DW13" i="7"/>
  <c r="EP24" i="17"/>
  <c r="CH76" i="122"/>
  <c r="CB157" i="122"/>
  <c r="CH157" i="122" s="1"/>
  <c r="CC129" i="120"/>
  <c r="EE42" i="7"/>
  <c r="EB31" i="8"/>
  <c r="EA29" i="8"/>
  <c r="EA31" i="8" s="1"/>
  <c r="EC9" i="7"/>
  <c r="DW9" i="7"/>
  <c r="AS18" i="95"/>
  <c r="AS28" i="95" s="1"/>
  <c r="AS47" i="95" s="1"/>
  <c r="AS52" i="95" s="1"/>
  <c r="AS30" i="95"/>
  <c r="AS49" i="95" s="1"/>
  <c r="EC50" i="7"/>
  <c r="EB48" i="7"/>
  <c r="EB50" i="7" s="1"/>
  <c r="K19" i="127"/>
  <c r="CH99" i="120"/>
  <c r="CB198" i="120"/>
  <c r="CH198" i="120" s="1"/>
  <c r="EG38" i="8"/>
  <c r="EG40" i="8" s="1"/>
  <c r="EH40" i="8"/>
  <c r="EB23" i="7"/>
  <c r="EB25" i="7" s="1"/>
  <c r="EC25" i="7"/>
  <c r="ED13" i="7"/>
  <c r="DX13" i="7"/>
  <c r="CC36" i="120"/>
  <c r="EE16" i="7"/>
  <c r="EF152" i="7"/>
  <c r="EH31" i="8"/>
  <c r="EG29" i="8"/>
  <c r="EG31" i="8" s="1"/>
  <c r="DW41" i="7"/>
  <c r="DW35" i="7" s="1"/>
  <c r="DV39" i="7"/>
  <c r="DV41" i="7" s="1"/>
  <c r="DV35" i="7" s="1"/>
  <c r="AG150" i="7"/>
  <c r="AU88" i="7"/>
  <c r="AU91" i="7" s="1"/>
  <c r="BQ49" i="19"/>
  <c r="BY59" i="7" s="1"/>
  <c r="BY154" i="7" s="1"/>
  <c r="BU49" i="19"/>
  <c r="BU50" i="19" s="1"/>
  <c r="BA11" i="65"/>
  <c r="EI74" i="7"/>
  <c r="DZ126" i="8"/>
  <c r="DZ127" i="8" s="1"/>
  <c r="CD14" i="10"/>
  <c r="EK10" i="8" s="1"/>
  <c r="CC19" i="10"/>
  <c r="CD17" i="10"/>
  <c r="EK35" i="8" s="1"/>
  <c r="CD16" i="10"/>
  <c r="EK32" i="8" s="1"/>
  <c r="CD15" i="10"/>
  <c r="EK20" i="8" s="1"/>
  <c r="EA10" i="8"/>
  <c r="EA97" i="8" s="1"/>
  <c r="EB97" i="8"/>
  <c r="EB144" i="8" s="1"/>
  <c r="BB30" i="65" s="1"/>
  <c r="BC30" i="65" s="1"/>
  <c r="EG10" i="8"/>
  <c r="EG97" i="8" s="1"/>
  <c r="EH97" i="8"/>
  <c r="EH144" i="8" s="1"/>
  <c r="EJ103" i="8"/>
  <c r="CB101" i="122"/>
  <c r="CH101" i="122" s="1"/>
  <c r="CI101" i="122"/>
  <c r="CB49" i="122"/>
  <c r="CH49" i="122" s="1"/>
  <c r="CI49" i="122"/>
  <c r="CI29" i="122"/>
  <c r="CB29" i="122"/>
  <c r="CC161" i="122"/>
  <c r="CB81" i="122"/>
  <c r="CH81" i="122" s="1"/>
  <c r="CI81" i="122"/>
  <c r="DV152" i="7"/>
  <c r="EB152" i="7"/>
  <c r="BV31" i="61"/>
  <c r="BX31" i="61"/>
  <c r="AC44" i="96"/>
  <c r="EF19" i="7" s="1"/>
  <c r="EE19" i="7" s="1"/>
  <c r="EE151" i="7" s="1"/>
  <c r="CM52" i="7"/>
  <c r="CM153" i="7" s="1"/>
  <c r="F17" i="127"/>
  <c r="H17" i="127"/>
  <c r="C17" i="127"/>
  <c r="D17" i="127"/>
  <c r="K18" i="127"/>
  <c r="FS63" i="123"/>
  <c r="DT63" i="123"/>
  <c r="DJ63" i="123"/>
  <c r="DJ68" i="123" s="1"/>
  <c r="DJ69" i="123" s="1"/>
  <c r="EP63" i="123"/>
  <c r="EP65" i="123" s="1"/>
  <c r="EQ63" i="123"/>
  <c r="FR63" i="123" s="1"/>
  <c r="F46" i="143"/>
  <c r="D46" i="143"/>
  <c r="E46" i="143" s="1"/>
  <c r="G46" i="143" s="1"/>
  <c r="K47" i="143"/>
  <c r="DW124" i="8"/>
  <c r="FL49" i="19"/>
  <c r="CZ10" i="19"/>
  <c r="CZ11" i="19" s="1"/>
  <c r="DA10" i="19"/>
  <c r="DA11" i="19" s="1"/>
  <c r="AU90" i="7"/>
  <c r="AS29" i="7"/>
  <c r="EF124" i="8"/>
  <c r="EF126" i="8"/>
  <c r="EH48" i="8"/>
  <c r="EC62" i="7"/>
  <c r="BZ15" i="61" s="1"/>
  <c r="O40" i="126"/>
  <c r="CA148" i="7"/>
  <c r="AP18" i="7"/>
  <c r="AV15" i="66"/>
  <c r="BA15" i="66"/>
  <c r="Y103" i="8"/>
  <c r="AF103" i="8" s="1"/>
  <c r="CS129" i="8"/>
  <c r="CS130" i="8" s="1"/>
  <c r="Y34" i="8"/>
  <c r="AF34" i="8" s="1"/>
  <c r="CX106" i="8"/>
  <c r="AN17" i="65" s="1"/>
  <c r="Z41" i="8"/>
  <c r="DQ71" i="7"/>
  <c r="DQ84" i="7" s="1"/>
  <c r="DW62" i="7"/>
  <c r="EB48" i="8"/>
  <c r="F7" i="73"/>
  <c r="F27" i="73"/>
  <c r="F37" i="73"/>
  <c r="G38" i="73" s="1"/>
  <c r="P19" i="61" s="1"/>
  <c r="Y19" i="61" s="1"/>
  <c r="BT31" i="61"/>
  <c r="BR31" i="61"/>
  <c r="CA146" i="7"/>
  <c r="CA191" i="7" s="1"/>
  <c r="AE22" i="64" s="1"/>
  <c r="BX148" i="7"/>
  <c r="BO17" i="61"/>
  <c r="AZ96" i="8"/>
  <c r="BC18" i="8"/>
  <c r="BC96" i="8" s="1"/>
  <c r="AY103" i="8"/>
  <c r="AY12" i="64"/>
  <c r="AY11" i="64" s="1"/>
  <c r="AY23" i="64" s="1"/>
  <c r="AM53" i="7"/>
  <c r="CS62" i="7"/>
  <c r="CR62" i="7" s="1"/>
  <c r="DM48" i="8"/>
  <c r="DL48" i="8" s="1"/>
  <c r="W48" i="125"/>
  <c r="BN17" i="61"/>
  <c r="BN15" i="61" s="1"/>
  <c r="BN12" i="61" s="1"/>
  <c r="DN188" i="7"/>
  <c r="DN71" i="7"/>
  <c r="DN84" i="7" s="1"/>
  <c r="AZ48" i="123"/>
  <c r="BI48" i="123" s="1"/>
  <c r="M51" i="123"/>
  <c r="V51" i="123" s="1"/>
  <c r="AE51" i="123" s="1"/>
  <c r="O42" i="126" s="1"/>
  <c r="CN123" i="8"/>
  <c r="CN124" i="8" s="1"/>
  <c r="X17" i="64"/>
  <c r="AF17" i="64" s="1"/>
  <c r="AN153" i="7"/>
  <c r="AW10" i="64"/>
  <c r="AW35" i="64" s="1"/>
  <c r="AW37" i="64" s="1"/>
  <c r="DS154" i="7"/>
  <c r="DS71" i="7"/>
  <c r="DS73" i="7" s="1"/>
  <c r="AY24" i="8"/>
  <c r="AY17" i="8" s="1"/>
  <c r="AY61" i="8" s="1"/>
  <c r="AY100" i="8"/>
  <c r="AX17" i="8"/>
  <c r="AX25" i="8"/>
  <c r="AZ8" i="7"/>
  <c r="Z18" i="61"/>
  <c r="DN199" i="7"/>
  <c r="BZ146" i="7"/>
  <c r="AE31" i="61" s="1"/>
  <c r="AC18" i="7"/>
  <c r="AC17" i="7" s="1"/>
  <c r="AB18" i="7"/>
  <c r="DP103" i="8"/>
  <c r="DO33" i="8"/>
  <c r="DO103" i="8" s="1"/>
  <c r="M12" i="102"/>
  <c r="N12" i="102" s="1"/>
  <c r="O12" i="102" s="1"/>
  <c r="AU173" i="7"/>
  <c r="AU174" i="7" s="1"/>
  <c r="CO126" i="8"/>
  <c r="CO127" i="8" s="1"/>
  <c r="BA29" i="7"/>
  <c r="AM29" i="7"/>
  <c r="AO146" i="7"/>
  <c r="AL10" i="7"/>
  <c r="E99" i="7"/>
  <c r="E109" i="7" s="1"/>
  <c r="L97" i="7"/>
  <c r="L99" i="7" s="1"/>
  <c r="AM167" i="7"/>
  <c r="BA167" i="7"/>
  <c r="BS47" i="123"/>
  <c r="CY46" i="123"/>
  <c r="CN46" i="123"/>
  <c r="CD49" i="123"/>
  <c r="U40" i="126" s="1"/>
  <c r="CP153" i="7"/>
  <c r="CP188" i="7" s="1"/>
  <c r="CP199" i="7" s="1"/>
  <c r="BQ50" i="19"/>
  <c r="BP50" i="19" s="1"/>
  <c r="AA17" i="7"/>
  <c r="AP17" i="7" s="1"/>
  <c r="F46" i="118"/>
  <c r="BV69" i="123"/>
  <c r="EJ73" i="123"/>
  <c r="CA49" i="123"/>
  <c r="BC51" i="5"/>
  <c r="BB55" i="9"/>
  <c r="BE55" i="9" s="1"/>
  <c r="AM55" i="5"/>
  <c r="AX55" i="5" s="1"/>
  <c r="GI16" i="123"/>
  <c r="CT70" i="123"/>
  <c r="CT71" i="123" s="1"/>
  <c r="BW26" i="7"/>
  <c r="BV26" i="7" s="1"/>
  <c r="BC49" i="5"/>
  <c r="CV26" i="7" s="1"/>
  <c r="CU26" i="7" s="1"/>
  <c r="BX157" i="7"/>
  <c r="BG49" i="5"/>
  <c r="DH26" i="7" s="1"/>
  <c r="DG26" i="7" s="1"/>
  <c r="BV42" i="7"/>
  <c r="BX42" i="7" s="1"/>
  <c r="CQ32" i="17"/>
  <c r="ER32" i="17" s="1"/>
  <c r="ES32" i="17" s="1"/>
  <c r="CF47" i="123"/>
  <c r="EE47" i="123" s="1"/>
  <c r="GD47" i="123" s="1"/>
  <c r="AO28" i="95"/>
  <c r="BG48" i="5"/>
  <c r="DH16" i="7" s="1"/>
  <c r="DG16" i="7" s="1"/>
  <c r="GC16" i="123"/>
  <c r="AA37" i="71"/>
  <c r="BB96" i="8"/>
  <c r="CQ35" i="17"/>
  <c r="ER35" i="17" s="1"/>
  <c r="ES35" i="17" s="1"/>
  <c r="BX146" i="7"/>
  <c r="BX191" i="7" s="1"/>
  <c r="X22" i="64" s="1"/>
  <c r="Z22" i="64" s="1"/>
  <c r="AA22" i="64" s="1"/>
  <c r="AB22" i="64" s="1"/>
  <c r="AC22" i="64" s="1"/>
  <c r="AD22" i="64" s="1"/>
  <c r="BW146" i="7"/>
  <c r="DI30" i="17"/>
  <c r="DJ30" i="17" s="1"/>
  <c r="DI25" i="17"/>
  <c r="DJ25" i="17" s="1"/>
  <c r="N55" i="126"/>
  <c r="BX52" i="72"/>
  <c r="B17" i="99"/>
  <c r="B20" i="99" s="1"/>
  <c r="C17" i="99" s="1"/>
  <c r="I56" i="85"/>
  <c r="FI68" i="123"/>
  <c r="FI69" i="123" s="1"/>
  <c r="FI65" i="123"/>
  <c r="AT37" i="71"/>
  <c r="AP8" i="11"/>
  <c r="BD149" i="7"/>
  <c r="CR25" i="17"/>
  <c r="BV13" i="7" s="1"/>
  <c r="BW13" i="7" s="1"/>
  <c r="S36" i="128"/>
  <c r="AX37" i="71"/>
  <c r="GH69" i="123"/>
  <c r="AO37" i="71"/>
  <c r="V37" i="71"/>
  <c r="AN24" i="7"/>
  <c r="AL24" i="7" s="1"/>
  <c r="Z64" i="32"/>
  <c r="Y64" i="32"/>
  <c r="AC63" i="32"/>
  <c r="AE63" i="32" s="1"/>
  <c r="AB63" i="32"/>
  <c r="P78" i="8"/>
  <c r="Q78" i="8" s="1"/>
  <c r="CA13" i="7"/>
  <c r="CA14" i="7" s="1"/>
  <c r="BZ13" i="7"/>
  <c r="BZ14" i="7" s="1"/>
  <c r="BN31" i="17"/>
  <c r="BV103" i="8"/>
  <c r="AZ19" i="8"/>
  <c r="BA19" i="8" s="1"/>
  <c r="P58" i="126"/>
  <c r="CX13" i="136"/>
  <c r="CW13" i="136" s="1"/>
  <c r="AF27" i="7"/>
  <c r="AF71" i="7" s="1"/>
  <c r="AF93" i="7" s="1"/>
  <c r="CL67" i="123"/>
  <c r="DY59" i="123"/>
  <c r="BS33" i="8"/>
  <c r="BT33" i="8" s="1"/>
  <c r="CJ52" i="7"/>
  <c r="CJ153" i="7" s="1"/>
  <c r="CH25" i="17"/>
  <c r="CB67" i="123"/>
  <c r="S58" i="126" s="1"/>
  <c r="DZ60" i="123"/>
  <c r="AP10" i="11"/>
  <c r="AM32" i="11" s="1"/>
  <c r="AL32" i="11" s="1"/>
  <c r="AP32" i="11" s="1"/>
  <c r="CG43" i="123"/>
  <c r="EF43" i="123" s="1"/>
  <c r="GE43" i="123" s="1"/>
  <c r="BR51" i="123"/>
  <c r="CL90" i="122"/>
  <c r="CL91" i="122"/>
  <c r="CL93" i="122"/>
  <c r="DL25" i="17"/>
  <c r="DM25" i="17" s="1"/>
  <c r="CV13" i="7" s="1"/>
  <c r="CU13" i="7" s="1"/>
  <c r="EC25" i="17"/>
  <c r="ED25" i="17" s="1"/>
  <c r="DK13" i="7" s="1"/>
  <c r="DJ13" i="7" s="1"/>
  <c r="CF43" i="123"/>
  <c r="EE43" i="123" s="1"/>
  <c r="GD43" i="123" s="1"/>
  <c r="J40" i="85"/>
  <c r="I40" i="85" s="1"/>
  <c r="CL105" i="122"/>
  <c r="EB67" i="123"/>
  <c r="GA67" i="123" s="1"/>
  <c r="BS120" i="8"/>
  <c r="BS62" i="8" s="1"/>
  <c r="AD25" i="8"/>
  <c r="AM52" i="5"/>
  <c r="AX52" i="5" s="1"/>
  <c r="AX48" i="5" s="1"/>
  <c r="CF16" i="7" s="1"/>
  <c r="AP7" i="11"/>
  <c r="T24" i="17"/>
  <c r="T39" i="17" s="1"/>
  <c r="BU20" i="8"/>
  <c r="BU97" i="8" s="1"/>
  <c r="BU144" i="8" s="1"/>
  <c r="X23" i="66" s="1"/>
  <c r="Z23" i="66" s="1"/>
  <c r="AA23" i="66" s="1"/>
  <c r="AB23" i="66" s="1"/>
  <c r="AC23" i="66" s="1"/>
  <c r="AD23" i="66" s="1"/>
  <c r="AX31" i="61"/>
  <c r="BD31" i="61" s="1"/>
  <c r="D108" i="116"/>
  <c r="AD11" i="19"/>
  <c r="AM10" i="19"/>
  <c r="AF10" i="19"/>
  <c r="BM31" i="61"/>
  <c r="DO72" i="123"/>
  <c r="DX72" i="123" s="1"/>
  <c r="DO171" i="7"/>
  <c r="DO173" i="7"/>
  <c r="CL110" i="122"/>
  <c r="EB59" i="123"/>
  <c r="Z50" i="126" s="1"/>
  <c r="AV93" i="7"/>
  <c r="AV94" i="7" s="1"/>
  <c r="L15" i="68"/>
  <c r="BU61" i="123"/>
  <c r="J52" i="68"/>
  <c r="CQ34" i="17" s="1"/>
  <c r="DW70" i="123"/>
  <c r="DW71" i="123" s="1"/>
  <c r="AD17" i="8"/>
  <c r="DR47" i="123"/>
  <c r="CG47" i="123"/>
  <c r="EF47" i="123" s="1"/>
  <c r="GE47" i="123" s="1"/>
  <c r="C12" i="74"/>
  <c r="CC64" i="123"/>
  <c r="CL64" i="123" s="1"/>
  <c r="M40" i="61"/>
  <c r="AV171" i="7"/>
  <c r="AC149" i="7"/>
  <c r="BZ191" i="7"/>
  <c r="G19" i="105"/>
  <c r="Q34" i="125"/>
  <c r="S14" i="98"/>
  <c r="S21" i="98"/>
  <c r="J52" i="96"/>
  <c r="J55" i="96" s="1"/>
  <c r="J62" i="96"/>
  <c r="J65" i="96" s="1"/>
  <c r="GK11" i="123"/>
  <c r="GE29" i="123"/>
  <c r="AQ24" i="7"/>
  <c r="L52" i="96"/>
  <c r="L55" i="96" s="1"/>
  <c r="I55" i="96"/>
  <c r="V52" i="96"/>
  <c r="Q52" i="96"/>
  <c r="Q55" i="96" s="1"/>
  <c r="DK45" i="7"/>
  <c r="AO30" i="95"/>
  <c r="AN62" i="65"/>
  <c r="AN57" i="65"/>
  <c r="T9" i="98"/>
  <c r="T16" i="98"/>
  <c r="U11" i="98"/>
  <c r="AC11" i="98"/>
  <c r="Z11" i="98"/>
  <c r="Y9" i="98"/>
  <c r="Y16" i="98"/>
  <c r="AB11" i="98"/>
  <c r="AA11" i="98"/>
  <c r="Y26" i="98"/>
  <c r="S31" i="98"/>
  <c r="S36" i="98" s="1"/>
  <c r="BT18" i="8" s="1"/>
  <c r="T26" i="98"/>
  <c r="S24" i="98"/>
  <c r="S29" i="98" s="1"/>
  <c r="S34" i="98" s="1"/>
  <c r="BV75" i="8"/>
  <c r="BX47" i="8" s="1"/>
  <c r="BX105" i="8" s="1"/>
  <c r="BW120" i="8"/>
  <c r="BW62" i="8" s="1"/>
  <c r="L65" i="68"/>
  <c r="N63" i="68"/>
  <c r="H71" i="68"/>
  <c r="H70" i="68"/>
  <c r="AC61" i="8"/>
  <c r="AC80" i="8" s="1"/>
  <c r="J69" i="68"/>
  <c r="J66" i="68"/>
  <c r="J68" i="68"/>
  <c r="J67" i="68"/>
  <c r="AN25" i="7"/>
  <c r="AI25" i="7"/>
  <c r="AP25" i="7"/>
  <c r="AQ25" i="7" s="1"/>
  <c r="AR25" i="7" s="1"/>
  <c r="V62" i="96"/>
  <c r="Q62" i="96"/>
  <c r="Q65" i="96" s="1"/>
  <c r="L62" i="96"/>
  <c r="L65" i="96" s="1"/>
  <c r="I65" i="96"/>
  <c r="CV45" i="7"/>
  <c r="CU45" i="7" s="1"/>
  <c r="AJ30" i="95"/>
  <c r="ER68" i="123"/>
  <c r="ER69" i="123" s="1"/>
  <c r="AC119" i="8"/>
  <c r="AC121" i="8" s="1"/>
  <c r="DY67" i="123"/>
  <c r="BX54" i="72"/>
  <c r="BE52" i="7"/>
  <c r="BE153" i="7" s="1"/>
  <c r="BY8" i="123"/>
  <c r="GI13" i="123"/>
  <c r="AD103" i="8"/>
  <c r="AD119" i="8" s="1"/>
  <c r="AD121" i="8" s="1"/>
  <c r="AD27" i="8"/>
  <c r="X48" i="126"/>
  <c r="DZ57" i="123"/>
  <c r="X13" i="98"/>
  <c r="AD13" i="98" s="1"/>
  <c r="AC13" i="98"/>
  <c r="AD56" i="65"/>
  <c r="AC59" i="65"/>
  <c r="AC63" i="65"/>
  <c r="AC65" i="65" s="1"/>
  <c r="AH14" i="98"/>
  <c r="AH19" i="98" s="1"/>
  <c r="AH21" i="98"/>
  <c r="CX9" i="8" s="1"/>
  <c r="CW9" i="8" s="1"/>
  <c r="AD48" i="126"/>
  <c r="FY57" i="123"/>
  <c r="DE129" i="8"/>
  <c r="DE130" i="8" s="1"/>
  <c r="DE127" i="8"/>
  <c r="GC13" i="123"/>
  <c r="FR61" i="123"/>
  <c r="DT171" i="7"/>
  <c r="DT173" i="7"/>
  <c r="AB37" i="66"/>
  <c r="AA38" i="66"/>
  <c r="S41" i="98"/>
  <c r="BU18" i="8"/>
  <c r="AB30" i="65"/>
  <c r="AC30" i="65" s="1"/>
  <c r="AD30" i="65" s="1"/>
  <c r="AE30" i="65" s="1"/>
  <c r="AF30" i="65" s="1"/>
  <c r="AA30" i="65"/>
  <c r="U27" i="98"/>
  <c r="T32" i="98"/>
  <c r="T37" i="98" s="1"/>
  <c r="T41" i="98" s="1"/>
  <c r="Z14" i="66" s="1"/>
  <c r="AV174" i="7"/>
  <c r="AV176" i="7"/>
  <c r="AV177" i="7" s="1"/>
  <c r="CH13" i="7"/>
  <c r="CG13" i="7"/>
  <c r="AX49" i="5"/>
  <c r="CA59" i="7"/>
  <c r="CA154" i="7" s="1"/>
  <c r="AG166" i="7"/>
  <c r="AG173" i="7" s="1"/>
  <c r="AF166" i="7"/>
  <c r="AF171" i="7" s="1"/>
  <c r="AV91" i="7"/>
  <c r="CL88" i="122"/>
  <c r="J41" i="98"/>
  <c r="M14" i="66" s="1"/>
  <c r="J34" i="98"/>
  <c r="J38" i="98" s="1"/>
  <c r="BZ59" i="7"/>
  <c r="BZ154" i="7" s="1"/>
  <c r="AG71" i="7"/>
  <c r="AG90" i="7" s="1"/>
  <c r="AB149" i="7"/>
  <c r="AX50" i="5"/>
  <c r="CF34" i="7" s="1"/>
  <c r="CG34" i="7" s="1"/>
  <c r="AV88" i="7"/>
  <c r="BA100" i="8"/>
  <c r="AP9" i="11"/>
  <c r="AM31" i="11" s="1"/>
  <c r="AL31" i="11" s="1"/>
  <c r="AP31" i="11" s="1"/>
  <c r="AX51" i="5"/>
  <c r="CF42" i="7" s="1"/>
  <c r="AT119" i="8"/>
  <c r="AT126" i="8" s="1"/>
  <c r="BR44" i="123"/>
  <c r="R35" i="126" s="1"/>
  <c r="AM31" i="7"/>
  <c r="BA31" i="7"/>
  <c r="AL32" i="7"/>
  <c r="AO33" i="7"/>
  <c r="F100" i="68"/>
  <c r="DZ30" i="17" s="1"/>
  <c r="EA30" i="17" s="1"/>
  <c r="DI13" i="7" s="1"/>
  <c r="BY58" i="72"/>
  <c r="CM58" i="72"/>
  <c r="BU50" i="72"/>
  <c r="Z39" i="8"/>
  <c r="Z40" i="8" s="1"/>
  <c r="BB40" i="8" s="1"/>
  <c r="BB39" i="8" s="1"/>
  <c r="AF39" i="8"/>
  <c r="Y40" i="8"/>
  <c r="Y12" i="136"/>
  <c r="Y7" i="136"/>
  <c r="AF7" i="136" s="1"/>
  <c r="Z11" i="136"/>
  <c r="Z12" i="136" s="1"/>
  <c r="BB12" i="136" s="1"/>
  <c r="BB11" i="136" s="1"/>
  <c r="AF11" i="136"/>
  <c r="BP50" i="72"/>
  <c r="BW50" i="72" s="1"/>
  <c r="BR50" i="72"/>
  <c r="AG39" i="3"/>
  <c r="AE43" i="3"/>
  <c r="AG43" i="3" s="1"/>
  <c r="BP56" i="72"/>
  <c r="V49" i="125"/>
  <c r="H86" i="68"/>
  <c r="DI28" i="17" s="1"/>
  <c r="DJ28" i="17" s="1"/>
  <c r="GC15" i="123"/>
  <c r="BE152" i="7"/>
  <c r="AL9" i="123"/>
  <c r="DX9" i="123"/>
  <c r="CS65" i="123"/>
  <c r="CS68" i="123"/>
  <c r="CS69" i="123" s="1"/>
  <c r="AU96" i="8"/>
  <c r="AU17" i="8"/>
  <c r="AU61" i="8" s="1"/>
  <c r="BP127" i="8"/>
  <c r="BP129" i="8"/>
  <c r="BP130" i="8" s="1"/>
  <c r="T71" i="7"/>
  <c r="T88" i="7" s="1"/>
  <c r="T91" i="7" s="1"/>
  <c r="AU101" i="8"/>
  <c r="AU25" i="8"/>
  <c r="Z102" i="8"/>
  <c r="AA19" i="8"/>
  <c r="AM19" i="8"/>
  <c r="Z27" i="7"/>
  <c r="R27" i="7"/>
  <c r="S27" i="7"/>
  <c r="Q103" i="7"/>
  <c r="L103" i="7"/>
  <c r="L105" i="7" s="1"/>
  <c r="E112" i="7" s="1"/>
  <c r="AT61" i="8"/>
  <c r="EW44" i="123"/>
  <c r="AP11" i="11"/>
  <c r="AM33" i="11" s="1"/>
  <c r="AL33" i="11" s="1"/>
  <c r="AP33" i="11" s="1"/>
  <c r="DJ65" i="123"/>
  <c r="AF47" i="123"/>
  <c r="O23" i="102"/>
  <c r="P13" i="102"/>
  <c r="O15" i="102"/>
  <c r="AA20" i="8"/>
  <c r="AA97" i="8" s="1"/>
  <c r="AM20" i="8"/>
  <c r="Z97" i="8"/>
  <c r="AC62" i="32"/>
  <c r="AE62" i="32" s="1"/>
  <c r="AB62" i="32"/>
  <c r="AU103" i="8"/>
  <c r="EL30" i="123"/>
  <c r="CL26" i="8"/>
  <c r="Y46" i="95"/>
  <c r="J12" i="128"/>
  <c r="O12" i="128" s="1"/>
  <c r="T12" i="128" s="1"/>
  <c r="BV99" i="8"/>
  <c r="BW37" i="8"/>
  <c r="BW99" i="8" s="1"/>
  <c r="BT108" i="8"/>
  <c r="BT142" i="8" s="1"/>
  <c r="Z16" i="65"/>
  <c r="BG127" i="8"/>
  <c r="CX37" i="123"/>
  <c r="T34" i="125"/>
  <c r="AD53" i="7"/>
  <c r="AD52" i="7" s="1"/>
  <c r="AD153" i="7" s="1"/>
  <c r="J72" i="85"/>
  <c r="M32" i="66" s="1"/>
  <c r="DM66" i="8"/>
  <c r="BE146" i="7"/>
  <c r="Z15" i="7"/>
  <c r="Q8" i="7"/>
  <c r="Z8" i="7" s="1"/>
  <c r="BB65" i="123"/>
  <c r="BB68" i="123"/>
  <c r="D111" i="116"/>
  <c r="AI14" i="7"/>
  <c r="AP14" i="7"/>
  <c r="AC14" i="7"/>
  <c r="AD14" i="7" s="1"/>
  <c r="AB14" i="7"/>
  <c r="AA15" i="7"/>
  <c r="AQ13" i="7"/>
  <c r="AR13" i="7" s="1"/>
  <c r="Z50" i="125"/>
  <c r="CL33" i="122"/>
  <c r="AI69" i="123"/>
  <c r="BF52" i="7"/>
  <c r="BF153" i="7" s="1"/>
  <c r="I28" i="128"/>
  <c r="AC48" i="125"/>
  <c r="BC103" i="8"/>
  <c r="BF146" i="7"/>
  <c r="F22" i="64" s="1"/>
  <c r="I22" i="64" s="1"/>
  <c r="N22" i="64" s="1"/>
  <c r="CR126" i="8"/>
  <c r="CQ123" i="8"/>
  <c r="CQ124" i="8" s="1"/>
  <c r="CR124" i="8"/>
  <c r="CL73" i="122"/>
  <c r="CI153" i="7"/>
  <c r="CI166" i="7" s="1"/>
  <c r="CI168" i="7" s="1"/>
  <c r="CI71" i="7"/>
  <c r="CI73" i="7" s="1"/>
  <c r="E12" i="86"/>
  <c r="H9" i="86"/>
  <c r="BD125" i="8"/>
  <c r="BD126" i="8" s="1"/>
  <c r="BD81" i="8"/>
  <c r="BD84" i="8"/>
  <c r="BD85" i="8" s="1"/>
  <c r="BD80" i="8"/>
  <c r="P60" i="61"/>
  <c r="P64" i="61"/>
  <c r="P66" i="61" s="1"/>
  <c r="X57" i="61"/>
  <c r="G37" i="105"/>
  <c r="M26" i="104" s="1"/>
  <c r="G38" i="105"/>
  <c r="M34" i="104" s="1"/>
  <c r="CQ61" i="123"/>
  <c r="CQ63" i="123" s="1"/>
  <c r="CL54" i="72"/>
  <c r="BV54" i="72"/>
  <c r="CM54" i="72" s="1"/>
  <c r="CV126" i="8"/>
  <c r="CV124" i="8"/>
  <c r="W61" i="123"/>
  <c r="P8" i="105"/>
  <c r="W50" i="125"/>
  <c r="CL61" i="122"/>
  <c r="CB46" i="123"/>
  <c r="S37" i="126" s="1"/>
  <c r="K16" i="129"/>
  <c r="K17" i="129" s="1"/>
  <c r="K22" i="129" s="1"/>
  <c r="CS76" i="7"/>
  <c r="CL52" i="72"/>
  <c r="BU55" i="72"/>
  <c r="BV52" i="72"/>
  <c r="W22" i="98"/>
  <c r="X18" i="98"/>
  <c r="AB18" i="98"/>
  <c r="AB22" i="98" s="1"/>
  <c r="EA50" i="19"/>
  <c r="EB23" i="19"/>
  <c r="EB28" i="19"/>
  <c r="EB32" i="19"/>
  <c r="EB36" i="19"/>
  <c r="EB40" i="19"/>
  <c r="EB44" i="19"/>
  <c r="EB22" i="19"/>
  <c r="EB27" i="19"/>
  <c r="EB8" i="19"/>
  <c r="EB29" i="19"/>
  <c r="EB33" i="19"/>
  <c r="EB37" i="19"/>
  <c r="EB41" i="19"/>
  <c r="EB45" i="19"/>
  <c r="EB16" i="19"/>
  <c r="EB9" i="19"/>
  <c r="EB34" i="19"/>
  <c r="EB42" i="19"/>
  <c r="EB26" i="19"/>
  <c r="EB24" i="19"/>
  <c r="EB31" i="19"/>
  <c r="EB39" i="19"/>
  <c r="EB47" i="19"/>
  <c r="EB20" i="19"/>
  <c r="EB19" i="19"/>
  <c r="EB18" i="19"/>
  <c r="EB21" i="19"/>
  <c r="EB25" i="19"/>
  <c r="EB30" i="19"/>
  <c r="EB38" i="19"/>
  <c r="EB46" i="19"/>
  <c r="EB17" i="19"/>
  <c r="EB15" i="19"/>
  <c r="EB35" i="19"/>
  <c r="EB43" i="19"/>
  <c r="EB48" i="19"/>
  <c r="EF49" i="19"/>
  <c r="AD17" i="95"/>
  <c r="Y26" i="95"/>
  <c r="Y27" i="95" s="1"/>
  <c r="AA25" i="95"/>
  <c r="AA27" i="95" s="1"/>
  <c r="AB23" i="95"/>
  <c r="BP55" i="72"/>
  <c r="BW52" i="72"/>
  <c r="AQ53" i="7"/>
  <c r="AR53" i="7" s="1"/>
  <c r="AS53" i="7" s="1"/>
  <c r="M67" i="32"/>
  <c r="N67" i="32"/>
  <c r="CP127" i="8"/>
  <c r="CP129" i="8"/>
  <c r="CP130" i="8" s="1"/>
  <c r="M16" i="105"/>
  <c r="P16" i="105" s="1"/>
  <c r="I8" i="105"/>
  <c r="DI76" i="7"/>
  <c r="AC51" i="125"/>
  <c r="CL57" i="122"/>
  <c r="F36" i="128"/>
  <c r="I36" i="128" s="1"/>
  <c r="H98" i="68"/>
  <c r="AO13" i="64"/>
  <c r="BL65" i="123"/>
  <c r="X33" i="98"/>
  <c r="AC33" i="98" s="1"/>
  <c r="AB33" i="98"/>
  <c r="CB66" i="123"/>
  <c r="P57" i="126"/>
  <c r="BY66" i="123"/>
  <c r="BM48" i="72"/>
  <c r="BL51" i="72"/>
  <c r="AP43" i="3"/>
  <c r="J10" i="95"/>
  <c r="J15" i="95" s="1"/>
  <c r="J20" i="95" s="1"/>
  <c r="J49" i="95" s="1"/>
  <c r="M14" i="61" s="1"/>
  <c r="S66" i="125"/>
  <c r="AP52" i="7"/>
  <c r="AI52" i="7"/>
  <c r="AA153" i="7"/>
  <c r="AI153" i="7" s="1"/>
  <c r="AB52" i="7"/>
  <c r="AB153" i="7" s="1"/>
  <c r="CN66" i="123"/>
  <c r="CX66" i="123"/>
  <c r="CA52" i="72"/>
  <c r="CA54" i="72"/>
  <c r="CB54" i="72" s="1"/>
  <c r="E6" i="77" s="1"/>
  <c r="F6" i="77" s="1"/>
  <c r="D68" i="32"/>
  <c r="D73" i="32" s="1"/>
  <c r="D10" i="104" s="1"/>
  <c r="D14" i="104" s="1"/>
  <c r="M17" i="61" s="1"/>
  <c r="M15" i="61" s="1"/>
  <c r="K68" i="32"/>
  <c r="D110" i="116"/>
  <c r="F99" i="116" s="1"/>
  <c r="H21" i="105"/>
  <c r="H27" i="105" s="1"/>
  <c r="H36" i="105" s="1"/>
  <c r="EF26" i="123"/>
  <c r="GE9" i="123"/>
  <c r="T57" i="126"/>
  <c r="CL66" i="123"/>
  <c r="GI15" i="123"/>
  <c r="AL46" i="123"/>
  <c r="Z103" i="8"/>
  <c r="E36" i="128"/>
  <c r="DN66" i="8"/>
  <c r="DN64" i="8" s="1"/>
  <c r="DN138" i="8"/>
  <c r="B9" i="87"/>
  <c r="D26" i="87" s="1"/>
  <c r="D25" i="87" s="1"/>
  <c r="H22" i="64" s="1"/>
  <c r="V48" i="72"/>
  <c r="Q51" i="72"/>
  <c r="AC26" i="95"/>
  <c r="AC21" i="95"/>
  <c r="AC31" i="95" s="1"/>
  <c r="S104" i="7"/>
  <c r="AA99" i="7"/>
  <c r="E3" i="77"/>
  <c r="F20" i="77" s="1"/>
  <c r="F19" i="77" s="1"/>
  <c r="K30" i="65" s="1"/>
  <c r="O30" i="65" s="1"/>
  <c r="V48" i="9"/>
  <c r="AA9" i="7"/>
  <c r="Q51" i="9"/>
  <c r="DB65" i="123"/>
  <c r="DB68" i="123"/>
  <c r="AO50" i="19"/>
  <c r="AO51" i="19"/>
  <c r="AP23" i="64"/>
  <c r="AP10" i="64"/>
  <c r="AP35" i="64" s="1"/>
  <c r="AP37" i="64" s="1"/>
  <c r="CU121" i="8"/>
  <c r="CU123" i="8"/>
  <c r="AI15" i="8"/>
  <c r="AZ15" i="8"/>
  <c r="DI61" i="123"/>
  <c r="DI63" i="123" s="1"/>
  <c r="S25" i="96"/>
  <c r="S20" i="96"/>
  <c r="S15" i="96"/>
  <c r="S30" i="96"/>
  <c r="S35" i="96"/>
  <c r="S10" i="96"/>
  <c r="DH126" i="8"/>
  <c r="DF126" i="8" s="1"/>
  <c r="DH124" i="8"/>
  <c r="AM38" i="66"/>
  <c r="V15" i="96"/>
  <c r="Q15" i="96"/>
  <c r="L15" i="96"/>
  <c r="AC33" i="7"/>
  <c r="AC27" i="7" s="1"/>
  <c r="AD32" i="7"/>
  <c r="CT76" i="7"/>
  <c r="J85" i="68"/>
  <c r="AM11" i="65"/>
  <c r="AM10" i="65" s="1"/>
  <c r="AM9" i="65" s="1"/>
  <c r="AM44" i="65" s="1"/>
  <c r="AM47" i="65" s="1"/>
  <c r="CU152" i="8"/>
  <c r="BA61" i="123"/>
  <c r="BA63" i="123" s="1"/>
  <c r="G68" i="123"/>
  <c r="G65" i="123"/>
  <c r="AN11" i="19"/>
  <c r="AG11" i="19"/>
  <c r="AE49" i="19"/>
  <c r="CY96" i="8"/>
  <c r="CY138" i="8" s="1"/>
  <c r="AL14" i="66" s="1"/>
  <c r="CY65" i="8"/>
  <c r="DB49" i="19"/>
  <c r="AI33" i="7"/>
  <c r="AP33" i="7"/>
  <c r="AA27" i="7"/>
  <c r="AQ32" i="7"/>
  <c r="AR32" i="7" s="1"/>
  <c r="CY49" i="19"/>
  <c r="CT59" i="7" s="1"/>
  <c r="CT154" i="7" s="1"/>
  <c r="J16" i="128"/>
  <c r="O16" i="128" s="1"/>
  <c r="T16" i="128" s="1"/>
  <c r="H99" i="68"/>
  <c r="U40" i="7"/>
  <c r="U41" i="7" s="1"/>
  <c r="U35" i="7" s="1"/>
  <c r="U71" i="7" s="1"/>
  <c r="U88" i="7" s="1"/>
  <c r="AD39" i="7"/>
  <c r="AD149" i="7" s="1"/>
  <c r="N14" i="68"/>
  <c r="E28" i="128"/>
  <c r="L51" i="68"/>
  <c r="CL20" i="8"/>
  <c r="CL97" i="8" s="1"/>
  <c r="CL144" i="8" s="1"/>
  <c r="AI30" i="65" s="1"/>
  <c r="CK62" i="8"/>
  <c r="CM20" i="8"/>
  <c r="CM97" i="8" s="1"/>
  <c r="CM144" i="8" s="1"/>
  <c r="AG23" i="66" s="1"/>
  <c r="DA68" i="123"/>
  <c r="DA65" i="123"/>
  <c r="BS43" i="123"/>
  <c r="AF43" i="123"/>
  <c r="AH38" i="66"/>
  <c r="AO38" i="66"/>
  <c r="AH61" i="123"/>
  <c r="DC49" i="19"/>
  <c r="BO171" i="7"/>
  <c r="BM170" i="7"/>
  <c r="BO173" i="7"/>
  <c r="BO174" i="7" s="1"/>
  <c r="T31" i="95"/>
  <c r="T50" i="95" s="1"/>
  <c r="BX9" i="7"/>
  <c r="BX144" i="7" s="1"/>
  <c r="BX185" i="7" s="1"/>
  <c r="X13" i="64" s="1"/>
  <c r="CL106" i="122"/>
  <c r="CL107" i="122"/>
  <c r="FH61" i="123"/>
  <c r="FH63" i="123" s="1"/>
  <c r="CL60" i="122"/>
  <c r="T35" i="32"/>
  <c r="V35" i="32" s="1"/>
  <c r="BA52" i="7"/>
  <c r="AM52" i="7"/>
  <c r="AL153" i="7"/>
  <c r="CY66" i="8"/>
  <c r="DR43" i="123"/>
  <c r="FS61" i="123"/>
  <c r="EY61" i="123"/>
  <c r="EY63" i="123" s="1"/>
  <c r="F68" i="123"/>
  <c r="F65" i="123"/>
  <c r="DT61" i="123"/>
  <c r="FQ43" i="123"/>
  <c r="Z65" i="32"/>
  <c r="Y65" i="32"/>
  <c r="Y72" i="32" s="1"/>
  <c r="P19" i="104" s="1"/>
  <c r="CZ61" i="123"/>
  <c r="CZ63" i="123" s="1"/>
  <c r="DS61" i="123"/>
  <c r="L20" i="96"/>
  <c r="V20" i="96"/>
  <c r="Q20" i="96"/>
  <c r="V11" i="95"/>
  <c r="U16" i="95"/>
  <c r="U21" i="95" s="1"/>
  <c r="U31" i="95" s="1"/>
  <c r="U50" i="95" s="1"/>
  <c r="Z13" i="64" s="1"/>
  <c r="AH13" i="64" s="1"/>
  <c r="CX49" i="19"/>
  <c r="CS59" i="7" s="1"/>
  <c r="BT61" i="123"/>
  <c r="CF61" i="123" s="1"/>
  <c r="AR61" i="123"/>
  <c r="AR63" i="123" s="1"/>
  <c r="BF14" i="7"/>
  <c r="U16" i="125"/>
  <c r="BC50" i="9"/>
  <c r="BG58" i="9"/>
  <c r="R7" i="102"/>
  <c r="DK152" i="7"/>
  <c r="DJ16" i="7"/>
  <c r="U20" i="70"/>
  <c r="W12" i="70"/>
  <c r="BL38" i="17"/>
  <c r="BC38" i="17"/>
  <c r="J84" i="68"/>
  <c r="AQ11" i="135"/>
  <c r="AC12" i="135"/>
  <c r="AC13" i="135" s="1"/>
  <c r="AC7" i="135" s="1"/>
  <c r="AC15" i="135" s="1"/>
  <c r="AI12" i="135"/>
  <c r="AA13" i="135"/>
  <c r="AO12" i="135" s="1"/>
  <c r="AO13" i="135" s="1"/>
  <c r="AO7" i="135" s="1"/>
  <c r="AO15" i="135" s="1"/>
  <c r="AP12" i="135"/>
  <c r="AB12" i="135"/>
  <c r="AB13" i="135" s="1"/>
  <c r="AR101" i="8"/>
  <c r="AR25" i="8"/>
  <c r="X55" i="126"/>
  <c r="DZ64" i="123"/>
  <c r="CH24" i="17"/>
  <c r="CH38" i="17"/>
  <c r="BN40" i="17"/>
  <c r="BP40" i="17" s="1"/>
  <c r="BP31" i="17"/>
  <c r="Q35" i="7"/>
  <c r="Z41" i="7"/>
  <c r="DS123" i="8"/>
  <c r="DS121" i="8"/>
  <c r="BC33" i="7"/>
  <c r="BC27" i="7" s="1"/>
  <c r="CX103" i="8"/>
  <c r="BB40" i="3"/>
  <c r="Z33" i="95"/>
  <c r="AW10" i="136"/>
  <c r="AX10" i="136"/>
  <c r="AQ57" i="72"/>
  <c r="BA57" i="72"/>
  <c r="BN24" i="17"/>
  <c r="AK56" i="19"/>
  <c r="BN38" i="17"/>
  <c r="BP38" i="17" s="1"/>
  <c r="P18" i="125"/>
  <c r="P17" i="125"/>
  <c r="K32" i="21"/>
  <c r="P32" i="21"/>
  <c r="CL13" i="136"/>
  <c r="CK13" i="136" s="1"/>
  <c r="CL41" i="8"/>
  <c r="CK41" i="8" s="1"/>
  <c r="AT65" i="123"/>
  <c r="AT68" i="123"/>
  <c r="DG129" i="8"/>
  <c r="DG130" i="8" s="1"/>
  <c r="DG127" i="8"/>
  <c r="AB55" i="126"/>
  <c r="FW64" i="123"/>
  <c r="BR39" i="17"/>
  <c r="BT24" i="17"/>
  <c r="D24" i="128"/>
  <c r="H24" i="128"/>
  <c r="H34" i="128" s="1"/>
  <c r="G24" i="128"/>
  <c r="G34" i="128" s="1"/>
  <c r="C24" i="128"/>
  <c r="C34" i="128" s="1"/>
  <c r="B34" i="128"/>
  <c r="F24" i="128"/>
  <c r="BW34" i="7"/>
  <c r="BX34" i="7"/>
  <c r="S15" i="125"/>
  <c r="T42" i="7"/>
  <c r="U42" i="7" s="1"/>
  <c r="Z42" i="7"/>
  <c r="R42" i="7"/>
  <c r="S42" i="7"/>
  <c r="AQ61" i="8"/>
  <c r="BB41" i="8"/>
  <c r="BB103" i="8" s="1"/>
  <c r="F32" i="63"/>
  <c r="F22" i="63"/>
  <c r="I17" i="65" s="1"/>
  <c r="AM23" i="8"/>
  <c r="Z100" i="8"/>
  <c r="BC35" i="71"/>
  <c r="AB14" i="135"/>
  <c r="AI14" i="135"/>
  <c r="AC14" i="135"/>
  <c r="AD14" i="135" s="1"/>
  <c r="AP14" i="135"/>
  <c r="BZ38" i="7"/>
  <c r="BZ148" i="7" s="1"/>
  <c r="BY148" i="7"/>
  <c r="AQ54" i="72"/>
  <c r="BA54" i="72"/>
  <c r="V18" i="125"/>
  <c r="V17" i="125"/>
  <c r="BW42" i="7"/>
  <c r="U12" i="135"/>
  <c r="U13" i="135" s="1"/>
  <c r="U7" i="135" s="1"/>
  <c r="U15" i="135" s="1"/>
  <c r="R17" i="8"/>
  <c r="R61" i="8" s="1"/>
  <c r="AE18" i="95"/>
  <c r="DU168" i="7"/>
  <c r="DU170" i="7"/>
  <c r="BH52" i="7"/>
  <c r="BG55" i="7"/>
  <c r="BG52" i="7" s="1"/>
  <c r="I15" i="65"/>
  <c r="BS16" i="8"/>
  <c r="AR103" i="8"/>
  <c r="T66" i="125"/>
  <c r="AA26" i="8"/>
  <c r="AA103" i="8" s="1"/>
  <c r="P15" i="81"/>
  <c r="K23" i="61" s="1"/>
  <c r="Q55" i="126"/>
  <c r="BZ64" i="123"/>
  <c r="AI13" i="136"/>
  <c r="BA13" i="136" s="1"/>
  <c r="V113" i="6"/>
  <c r="AI41" i="8"/>
  <c r="BA41" i="8" s="1"/>
  <c r="AC54" i="6"/>
  <c r="EZ69" i="123"/>
  <c r="BL72" i="32"/>
  <c r="BL70" i="32"/>
  <c r="AB55" i="5"/>
  <c r="AN14" i="135"/>
  <c r="AO14" i="135" s="1"/>
  <c r="AN42" i="7"/>
  <c r="AO42" i="7" s="1"/>
  <c r="AQ34" i="7"/>
  <c r="AR34" i="7" s="1"/>
  <c r="AJ100" i="8"/>
  <c r="AL96" i="8"/>
  <c r="AL119" i="8" s="1"/>
  <c r="CS14" i="135"/>
  <c r="CR14" i="135" s="1"/>
  <c r="CS42" i="7"/>
  <c r="CR42" i="7" s="1"/>
  <c r="O16" i="21"/>
  <c r="EC29" i="17"/>
  <c r="ED29" i="17" s="1"/>
  <c r="DK48" i="7" s="1"/>
  <c r="DL29" i="17"/>
  <c r="DM29" i="17" s="1"/>
  <c r="CV48" i="7" s="1"/>
  <c r="CR29" i="17"/>
  <c r="BW48" i="7" s="1"/>
  <c r="CW29" i="17"/>
  <c r="CX29" i="17" s="1"/>
  <c r="CF48" i="7" s="1"/>
  <c r="AN18" i="8"/>
  <c r="AO18" i="8" s="1"/>
  <c r="AO96" i="8" s="1"/>
  <c r="AO119" i="8" s="1"/>
  <c r="AM96" i="8"/>
  <c r="AM119" i="8" s="1"/>
  <c r="S25" i="8"/>
  <c r="S17" i="8"/>
  <c r="S61" i="8" s="1"/>
  <c r="DJ42" i="7"/>
  <c r="L67" i="9"/>
  <c r="BA59" i="9"/>
  <c r="AQ59" i="9"/>
  <c r="AM50" i="9"/>
  <c r="BA39" i="17"/>
  <c r="BL24" i="17"/>
  <c r="AW72" i="32"/>
  <c r="CT53" i="7" s="1"/>
  <c r="CT52" i="7" s="1"/>
  <c r="CT153" i="7" s="1"/>
  <c r="CT188" i="7" s="1"/>
  <c r="AL16" i="64" s="1"/>
  <c r="AW70" i="32"/>
  <c r="X10" i="104" s="1"/>
  <c r="X14" i="104" s="1"/>
  <c r="R43" i="68"/>
  <c r="P45" i="68"/>
  <c r="CE24" i="17"/>
  <c r="CE38" i="17"/>
  <c r="CG38" i="7"/>
  <c r="CG148" i="7" s="1"/>
  <c r="CF148" i="7"/>
  <c r="CH38" i="7"/>
  <c r="CH148" i="7" s="1"/>
  <c r="U49" i="123"/>
  <c r="T49" i="123" s="1"/>
  <c r="K49" i="123"/>
  <c r="Y23" i="125"/>
  <c r="P10" i="68"/>
  <c r="P9" i="68"/>
  <c r="P12" i="68"/>
  <c r="P11" i="68"/>
  <c r="AQ26" i="7"/>
  <c r="AR26" i="7" s="1"/>
  <c r="T35" i="95"/>
  <c r="T33" i="95"/>
  <c r="AZ40" i="3"/>
  <c r="N91" i="68"/>
  <c r="L93" i="68"/>
  <c r="Q13" i="65"/>
  <c r="R16" i="65"/>
  <c r="R13" i="65" s="1"/>
  <c r="L20" i="87"/>
  <c r="N79" i="68"/>
  <c r="P77" i="68"/>
  <c r="W11" i="82"/>
  <c r="T11" i="82"/>
  <c r="BB30" i="8"/>
  <c r="AZ30" i="8" s="1"/>
  <c r="AB37" i="95"/>
  <c r="AA41" i="95"/>
  <c r="AA46" i="95" s="1"/>
  <c r="AA50" i="95" s="1"/>
  <c r="AY51" i="123"/>
  <c r="AO51" i="123"/>
  <c r="AP40" i="7"/>
  <c r="AA41" i="7"/>
  <c r="AO40" i="7" s="1"/>
  <c r="AB40" i="7"/>
  <c r="AC40" i="7"/>
  <c r="AD40" i="7" s="1"/>
  <c r="AA150" i="7"/>
  <c r="AI150" i="7" s="1"/>
  <c r="AI40" i="7"/>
  <c r="FE73" i="123"/>
  <c r="EV72" i="123"/>
  <c r="AF18" i="125"/>
  <c r="AF17" i="125"/>
  <c r="AC16" i="125"/>
  <c r="R55" i="126"/>
  <c r="CA64" i="123"/>
  <c r="AY49" i="123"/>
  <c r="AO49" i="123"/>
  <c r="DB153" i="7"/>
  <c r="DB71" i="7"/>
  <c r="DB73" i="7" s="1"/>
  <c r="BA39" i="7"/>
  <c r="AZ149" i="7"/>
  <c r="BB39" i="7"/>
  <c r="BC39" i="7" s="1"/>
  <c r="AR40" i="3"/>
  <c r="AR39" i="3" s="1"/>
  <c r="CS56" i="72" s="1"/>
  <c r="CR48" i="72" s="1"/>
  <c r="T32" i="32"/>
  <c r="AO149" i="7"/>
  <c r="DY121" i="8"/>
  <c r="DY123" i="8"/>
  <c r="L16" i="125"/>
  <c r="R13" i="125"/>
  <c r="DL16" i="8"/>
  <c r="S14" i="135"/>
  <c r="T14" i="135"/>
  <c r="U14" i="135" s="1"/>
  <c r="Z14" i="135"/>
  <c r="R14" i="135"/>
  <c r="U51" i="123"/>
  <c r="AM48" i="72"/>
  <c r="AR17" i="8"/>
  <c r="AR61" i="8" s="1"/>
  <c r="AR96" i="8"/>
  <c r="EC11" i="123"/>
  <c r="CB11" i="123"/>
  <c r="S18" i="126" s="1"/>
  <c r="CM11" i="123"/>
  <c r="CK11" i="123" s="1"/>
  <c r="U18" i="126"/>
  <c r="BB13" i="136"/>
  <c r="DH75" i="7"/>
  <c r="Y25" i="8"/>
  <c r="AZ25" i="8" s="1"/>
  <c r="AF24" i="8"/>
  <c r="Y101" i="8"/>
  <c r="AF101" i="8" s="1"/>
  <c r="Z24" i="8"/>
  <c r="AA24" i="8" s="1"/>
  <c r="AJ24" i="8"/>
  <c r="BW36" i="71"/>
  <c r="BX36" i="71"/>
  <c r="BZ10" i="135"/>
  <c r="CY188" i="7"/>
  <c r="CY199" i="7" s="1"/>
  <c r="BG17" i="61"/>
  <c r="BG15" i="61" s="1"/>
  <c r="BG12" i="61" s="1"/>
  <c r="CY166" i="7"/>
  <c r="X69" i="123"/>
  <c r="DX64" i="123"/>
  <c r="AF96" i="8"/>
  <c r="Y119" i="8"/>
  <c r="W55" i="126"/>
  <c r="DY64" i="123"/>
  <c r="V25" i="96"/>
  <c r="Q25" i="96"/>
  <c r="L25" i="96"/>
  <c r="AN26" i="8"/>
  <c r="AO26" i="8" s="1"/>
  <c r="AO103" i="8" s="1"/>
  <c r="L50" i="68"/>
  <c r="Q16" i="125"/>
  <c r="BZ34" i="7"/>
  <c r="CA34" i="7"/>
  <c r="DE166" i="7"/>
  <c r="BI17" i="61"/>
  <c r="BI15" i="61" s="1"/>
  <c r="BI12" i="61" s="1"/>
  <c r="DE188" i="7"/>
  <c r="DE199" i="7" s="1"/>
  <c r="BE149" i="7"/>
  <c r="BE14" i="7"/>
  <c r="AU176" i="7"/>
  <c r="AU177" i="7" s="1"/>
  <c r="FV70" i="123"/>
  <c r="FV71" i="123" s="1"/>
  <c r="CM71" i="7"/>
  <c r="CM73" i="7" s="1"/>
  <c r="AB53" i="5"/>
  <c r="AN26" i="7"/>
  <c r="AL26" i="7" s="1"/>
  <c r="CZ16" i="8"/>
  <c r="EC32" i="17"/>
  <c r="ED32" i="17" s="1"/>
  <c r="DL32" i="17"/>
  <c r="DM32" i="17" s="1"/>
  <c r="CW32" i="17"/>
  <c r="CX32" i="17" s="1"/>
  <c r="CR32" i="17"/>
  <c r="V65" i="125"/>
  <c r="AA39" i="3"/>
  <c r="BE40" i="11"/>
  <c r="AC40" i="3"/>
  <c r="BG58" i="72"/>
  <c r="BC50" i="72"/>
  <c r="CD64" i="123"/>
  <c r="O55" i="126"/>
  <c r="AN64" i="123"/>
  <c r="DJ26" i="7"/>
  <c r="AQ57" i="9"/>
  <c r="BA57" i="9"/>
  <c r="AN55" i="9"/>
  <c r="AQ52" i="9"/>
  <c r="AI9" i="8"/>
  <c r="BA52" i="9"/>
  <c r="BE33" i="7"/>
  <c r="BE32" i="7" s="1"/>
  <c r="BF33" i="7"/>
  <c r="BF32" i="7" s="1"/>
  <c r="BU26" i="8"/>
  <c r="BU103" i="8" s="1"/>
  <c r="BT26" i="8"/>
  <c r="BS24" i="71"/>
  <c r="BQ36" i="71"/>
  <c r="BS36" i="71" s="1"/>
  <c r="AA16" i="125"/>
  <c r="CU16" i="7"/>
  <c r="N49" i="68"/>
  <c r="N47" i="68"/>
  <c r="N48" i="68"/>
  <c r="N46" i="68"/>
  <c r="DH67" i="123"/>
  <c r="CW67" i="123"/>
  <c r="DH188" i="7"/>
  <c r="BJ17" i="61"/>
  <c r="BK17" i="61" s="1"/>
  <c r="R8" i="68"/>
  <c r="T5" i="68"/>
  <c r="T8" i="68" s="1"/>
  <c r="AD18" i="125"/>
  <c r="AD17" i="125"/>
  <c r="DI9" i="7"/>
  <c r="AN31" i="95"/>
  <c r="AN50" i="95" s="1"/>
  <c r="AN18" i="95"/>
  <c r="AN28" i="95" s="1"/>
  <c r="AN47" i="95" s="1"/>
  <c r="AN52" i="95" s="1"/>
  <c r="AK70" i="123"/>
  <c r="H70" i="123"/>
  <c r="H71" i="123" s="1"/>
  <c r="M7" i="105"/>
  <c r="H15" i="105"/>
  <c r="H20" i="105" s="1"/>
  <c r="H6" i="105"/>
  <c r="BX16" i="7"/>
  <c r="BW16" i="7"/>
  <c r="AZ48" i="3"/>
  <c r="BB48" i="3" s="1"/>
  <c r="CL13" i="123"/>
  <c r="CK13" i="123" s="1"/>
  <c r="EB13" i="123"/>
  <c r="T20" i="126"/>
  <c r="CB13" i="123"/>
  <c r="S20" i="126" s="1"/>
  <c r="J95" i="68"/>
  <c r="J97" i="68"/>
  <c r="J96" i="68"/>
  <c r="J94" i="68"/>
  <c r="BA23" i="7"/>
  <c r="AM23" i="7"/>
  <c r="AL149" i="7"/>
  <c r="AM149" i="7" s="1"/>
  <c r="E14" i="77"/>
  <c r="E11" i="77" s="1"/>
  <c r="F11" i="77"/>
  <c r="AL11" i="135"/>
  <c r="AM11" i="135" s="1"/>
  <c r="L81" i="68"/>
  <c r="L80" i="68"/>
  <c r="L82" i="68"/>
  <c r="L83" i="68"/>
  <c r="O16" i="125"/>
  <c r="CA42" i="7"/>
  <c r="BZ42" i="7"/>
  <c r="AH177" i="7"/>
  <c r="K50" i="123"/>
  <c r="U50" i="123"/>
  <c r="N13" i="68"/>
  <c r="DA153" i="7"/>
  <c r="DA166" i="7" s="1"/>
  <c r="DA168" i="7" s="1"/>
  <c r="DA71" i="7"/>
  <c r="DA73" i="7" s="1"/>
  <c r="CA51" i="72"/>
  <c r="CB48" i="72"/>
  <c r="T16" i="126"/>
  <c r="EB9" i="123"/>
  <c r="CL9" i="123"/>
  <c r="CB9" i="123"/>
  <c r="S16" i="126" s="1"/>
  <c r="AQ16" i="7"/>
  <c r="AR16" i="7" s="1"/>
  <c r="Z17" i="64"/>
  <c r="AH17" i="64" s="1"/>
  <c r="DD124" i="8"/>
  <c r="DC123" i="8"/>
  <c r="DC124" i="8" s="1"/>
  <c r="DD126" i="8"/>
  <c r="AN55" i="72"/>
  <c r="BA52" i="72"/>
  <c r="AQ52" i="72"/>
  <c r="BB11" i="135"/>
  <c r="BB12" i="135" s="1"/>
  <c r="BB100" i="8"/>
  <c r="BB14" i="8"/>
  <c r="DL52" i="7"/>
  <c r="H34" i="84"/>
  <c r="J34" i="84" s="1"/>
  <c r="J35" i="84" s="1"/>
  <c r="G34" i="84"/>
  <c r="G35" i="84" s="1"/>
  <c r="G38" i="84" s="1"/>
  <c r="Q17" i="8"/>
  <c r="Q61" i="8" s="1"/>
  <c r="CA185" i="7"/>
  <c r="AE13" i="64" s="1"/>
  <c r="S16" i="125"/>
  <c r="O15" i="125"/>
  <c r="O13" i="125"/>
  <c r="R24" i="128"/>
  <c r="M24" i="128"/>
  <c r="M34" i="128" s="1"/>
  <c r="Q24" i="128"/>
  <c r="Q34" i="128" s="1"/>
  <c r="P24" i="128"/>
  <c r="P34" i="128" s="1"/>
  <c r="L24" i="128"/>
  <c r="L34" i="128" s="1"/>
  <c r="K34" i="128"/>
  <c r="BF39" i="7"/>
  <c r="FW9" i="123"/>
  <c r="F12" i="63"/>
  <c r="BB48" i="8" s="1"/>
  <c r="U123" i="7"/>
  <c r="U124" i="7" s="1"/>
  <c r="T124" i="7"/>
  <c r="DH14" i="135"/>
  <c r="DG14" i="135" s="1"/>
  <c r="DH42" i="7"/>
  <c r="DG42" i="7" s="1"/>
  <c r="Z13" i="135"/>
  <c r="Q7" i="135"/>
  <c r="AF8" i="8"/>
  <c r="AA18" i="61"/>
  <c r="P9" i="102"/>
  <c r="BB55" i="72"/>
  <c r="BE55" i="72" s="1"/>
  <c r="BR55" i="72" s="1"/>
  <c r="BG55" i="72"/>
  <c r="AC55" i="126"/>
  <c r="FX64" i="123"/>
  <c r="AI15" i="95"/>
  <c r="AI20" i="95" s="1"/>
  <c r="AI8" i="95"/>
  <c r="AI13" i="95" s="1"/>
  <c r="U15" i="126"/>
  <c r="E19" i="127" s="1"/>
  <c r="E17" i="127" s="1"/>
  <c r="CM8" i="123"/>
  <c r="CK8" i="123" s="1"/>
  <c r="EC8" i="123"/>
  <c r="EA8" i="123" s="1"/>
  <c r="Y15" i="126" s="1"/>
  <c r="V30" i="96"/>
  <c r="Q30" i="96"/>
  <c r="L30" i="96"/>
  <c r="J30" i="96"/>
  <c r="O15" i="81"/>
  <c r="T13" i="125"/>
  <c r="AI33" i="8"/>
  <c r="AC53" i="6"/>
  <c r="V100" i="6"/>
  <c r="BX70" i="123"/>
  <c r="BX71" i="123" s="1"/>
  <c r="V40" i="17"/>
  <c r="AT40" i="17"/>
  <c r="AO40" i="17"/>
  <c r="AA40" i="17"/>
  <c r="AX40" i="17"/>
  <c r="K17" i="61"/>
  <c r="B13" i="77"/>
  <c r="B11" i="77" s="1"/>
  <c r="C11" i="77"/>
  <c r="CL153" i="7"/>
  <c r="CL166" i="7" s="1"/>
  <c r="CL168" i="7" s="1"/>
  <c r="CL71" i="7"/>
  <c r="CL73" i="7" s="1"/>
  <c r="AB54" i="5"/>
  <c r="AN34" i="7"/>
  <c r="AO34" i="7" s="1"/>
  <c r="AN16" i="7"/>
  <c r="AB52" i="5"/>
  <c r="W37" i="66"/>
  <c r="V38" i="66"/>
  <c r="V39" i="66"/>
  <c r="AZ32" i="7"/>
  <c r="BY64" i="123"/>
  <c r="CS13" i="7"/>
  <c r="DA13" i="136"/>
  <c r="CZ13" i="136" s="1"/>
  <c r="DA41" i="8"/>
  <c r="CZ41" i="8" s="1"/>
  <c r="EC28" i="17"/>
  <c r="ED28" i="17" s="1"/>
  <c r="DK39" i="7" s="1"/>
  <c r="DL28" i="17"/>
  <c r="DM28" i="17" s="1"/>
  <c r="CR28" i="17"/>
  <c r="CW28" i="17"/>
  <c r="CX28" i="17" s="1"/>
  <c r="DJ34" i="7"/>
  <c r="CJ48" i="72"/>
  <c r="CJ51" i="72" s="1"/>
  <c r="CI51" i="72"/>
  <c r="DN170" i="7"/>
  <c r="DN168" i="7"/>
  <c r="CS52" i="7"/>
  <c r="CS153" i="7" s="1"/>
  <c r="CV14" i="135"/>
  <c r="CU14" i="135" s="1"/>
  <c r="CV42" i="7"/>
  <c r="CU42" i="7" s="1"/>
  <c r="R23" i="125"/>
  <c r="BC100" i="8"/>
  <c r="AY11" i="65"/>
  <c r="AY10" i="65" s="1"/>
  <c r="AY9" i="65" s="1"/>
  <c r="CW103" i="8"/>
  <c r="K61" i="32"/>
  <c r="N66" i="32"/>
  <c r="Q66" i="32"/>
  <c r="AV100" i="8"/>
  <c r="AW38" i="8"/>
  <c r="AX38" i="8"/>
  <c r="AD55" i="126"/>
  <c r="FY64" i="123"/>
  <c r="BA59" i="72"/>
  <c r="AQ59" i="72"/>
  <c r="L68" i="72"/>
  <c r="AM50" i="72"/>
  <c r="AI18" i="8"/>
  <c r="AQ54" i="9"/>
  <c r="BA54" i="9"/>
  <c r="L13" i="125"/>
  <c r="AQ39" i="7"/>
  <c r="AR39" i="7" s="1"/>
  <c r="AA13" i="125"/>
  <c r="AA15" i="125"/>
  <c r="CC57" i="72"/>
  <c r="CD57" i="72"/>
  <c r="V24" i="71"/>
  <c r="AX24" i="71"/>
  <c r="T36" i="71"/>
  <c r="BC36" i="71" s="1"/>
  <c r="AT24" i="71"/>
  <c r="M18" i="125"/>
  <c r="M17" i="125"/>
  <c r="Y13" i="125"/>
  <c r="DM13" i="136"/>
  <c r="DL13" i="136" s="1"/>
  <c r="DM41" i="8"/>
  <c r="DL41" i="8" s="1"/>
  <c r="AQ119" i="8"/>
  <c r="R66" i="125"/>
  <c r="W16" i="125"/>
  <c r="BY9" i="123"/>
  <c r="BY152" i="7"/>
  <c r="BZ16" i="7"/>
  <c r="CA16" i="7"/>
  <c r="CB24" i="17"/>
  <c r="CB38" i="17"/>
  <c r="AY50" i="123"/>
  <c r="AO50" i="123"/>
  <c r="AA100" i="8"/>
  <c r="AL23" i="8"/>
  <c r="CB64" i="123"/>
  <c r="CK64" i="123" s="1"/>
  <c r="M55" i="126"/>
  <c r="AC42" i="7"/>
  <c r="AC152" i="7" s="1"/>
  <c r="AB42" i="7"/>
  <c r="AB152" i="7" s="1"/>
  <c r="AP42" i="7"/>
  <c r="AI42" i="7"/>
  <c r="BC40" i="17"/>
  <c r="BL40" i="17"/>
  <c r="BE62" i="7"/>
  <c r="AD15" i="125"/>
  <c r="Z96" i="8"/>
  <c r="Z119" i="8" s="1"/>
  <c r="Z8" i="8"/>
  <c r="DK53" i="7"/>
  <c r="AD10" i="104"/>
  <c r="AD14" i="104" s="1"/>
  <c r="U16" i="126"/>
  <c r="CM9" i="123"/>
  <c r="EC9" i="123"/>
  <c r="CG9" i="7"/>
  <c r="T25" i="96"/>
  <c r="T30" i="96"/>
  <c r="T20" i="96"/>
  <c r="T35" i="96"/>
  <c r="T10" i="96"/>
  <c r="T15" i="96"/>
  <c r="BI52" i="7"/>
  <c r="BK55" i="7"/>
  <c r="AV13" i="64"/>
  <c r="P20" i="96"/>
  <c r="P30" i="96"/>
  <c r="P10" i="96"/>
  <c r="P15" i="96"/>
  <c r="P35" i="96"/>
  <c r="P25" i="96"/>
  <c r="F17" i="66"/>
  <c r="BC104" i="8"/>
  <c r="CK16" i="8"/>
  <c r="AM22" i="64"/>
  <c r="DJ126" i="8"/>
  <c r="DI123" i="8"/>
  <c r="DI124" i="8" s="1"/>
  <c r="DJ124" i="8"/>
  <c r="N16" i="125"/>
  <c r="AC51" i="6"/>
  <c r="V64" i="6"/>
  <c r="AK16" i="8"/>
  <c r="AI16" i="8"/>
  <c r="AC52" i="6"/>
  <c r="AI26" i="8"/>
  <c r="V74" i="6"/>
  <c r="P37" i="32"/>
  <c r="N17" i="61"/>
  <c r="N15" i="61" s="1"/>
  <c r="T17" i="8"/>
  <c r="T61" i="8" s="1"/>
  <c r="BL36" i="71"/>
  <c r="X28" i="98"/>
  <c r="AA121" i="8"/>
  <c r="AA126" i="8"/>
  <c r="G33" i="105"/>
  <c r="G25" i="105"/>
  <c r="CR16" i="7"/>
  <c r="P82" i="8"/>
  <c r="Q81" i="8"/>
  <c r="CT13" i="7"/>
  <c r="CT31" i="7"/>
  <c r="CT33" i="7" s="1"/>
  <c r="CT27" i="7" s="1"/>
  <c r="EC26" i="17"/>
  <c r="ED26" i="17" s="1"/>
  <c r="DL26" i="17"/>
  <c r="DM26" i="17" s="1"/>
  <c r="CW26" i="17"/>
  <c r="CX26" i="17" s="1"/>
  <c r="CR26" i="17"/>
  <c r="EC35" i="17"/>
  <c r="ED35" i="17" s="1"/>
  <c r="DP38" i="8" s="1"/>
  <c r="DL35" i="17"/>
  <c r="DM35" i="17" s="1"/>
  <c r="CW35" i="17"/>
  <c r="CX35" i="17" s="1"/>
  <c r="CR35" i="17"/>
  <c r="FK70" i="123"/>
  <c r="FK71" i="123" s="1"/>
  <c r="CH68" i="123"/>
  <c r="EG68" i="123" s="1"/>
  <c r="GF68" i="123" s="1"/>
  <c r="DU69" i="123"/>
  <c r="AJ70" i="123"/>
  <c r="CI70" i="123" s="1"/>
  <c r="FB70" i="123"/>
  <c r="FB71" i="123" s="1"/>
  <c r="FT69" i="123"/>
  <c r="ES70" i="123"/>
  <c r="FU70" i="123"/>
  <c r="FU71" i="123" s="1"/>
  <c r="DV70" i="123"/>
  <c r="DV71" i="123" s="1"/>
  <c r="DL70" i="123"/>
  <c r="DL71" i="123" s="1"/>
  <c r="DC70" i="123"/>
  <c r="DC71" i="123" s="1"/>
  <c r="BD70" i="123"/>
  <c r="BD71" i="123" s="1"/>
  <c r="CI69" i="123"/>
  <c r="EH69" i="123" s="1"/>
  <c r="GG69" i="123" s="1"/>
  <c r="AU71" i="123"/>
  <c r="GG65" i="123"/>
  <c r="EH65" i="123"/>
  <c r="AC48" i="123"/>
  <c r="M39" i="126" s="1"/>
  <c r="BP44" i="123"/>
  <c r="P35" i="126" s="1"/>
  <c r="CL50" i="122"/>
  <c r="CL38" i="122"/>
  <c r="CL39" i="122"/>
  <c r="AA57" i="126"/>
  <c r="EL66" i="123"/>
  <c r="GB66" i="123"/>
  <c r="EC57" i="123"/>
  <c r="U48" i="126"/>
  <c r="CM57" i="123"/>
  <c r="BR50" i="123"/>
  <c r="CA50" i="123" s="1"/>
  <c r="AM46" i="123"/>
  <c r="N37" i="126"/>
  <c r="CC46" i="123"/>
  <c r="X45" i="126"/>
  <c r="DZ54" i="123"/>
  <c r="AZ52" i="123"/>
  <c r="BI52" i="123" s="1"/>
  <c r="AD48" i="123"/>
  <c r="FG54" i="123"/>
  <c r="FP60" i="123"/>
  <c r="AZ58" i="123"/>
  <c r="BI58" i="123" s="1"/>
  <c r="BR40" i="123"/>
  <c r="EC54" i="123"/>
  <c r="EL54" i="123" s="1"/>
  <c r="CY58" i="123"/>
  <c r="DH58" i="123" s="1"/>
  <c r="DQ58" i="123" s="1"/>
  <c r="CY52" i="123"/>
  <c r="DH52" i="123" s="1"/>
  <c r="T37" i="123"/>
  <c r="AC37" i="123" s="1"/>
  <c r="M28" i="126" s="1"/>
  <c r="AD37" i="123"/>
  <c r="CL74" i="122"/>
  <c r="FW75" i="123"/>
  <c r="CL87" i="122"/>
  <c r="AE38" i="123"/>
  <c r="CL64" i="122"/>
  <c r="CL45" i="122"/>
  <c r="BI38" i="123"/>
  <c r="CL53" i="122"/>
  <c r="CL24" i="122"/>
  <c r="CY50" i="123"/>
  <c r="DH50" i="123" s="1"/>
  <c r="DQ50" i="123" s="1"/>
  <c r="V40" i="123"/>
  <c r="BH37" i="123"/>
  <c r="AX37" i="123"/>
  <c r="CL69" i="122"/>
  <c r="BI39" i="123"/>
  <c r="GJ9" i="123"/>
  <c r="GD26" i="123"/>
  <c r="GC28" i="123"/>
  <c r="GC27" i="123"/>
  <c r="EK21" i="123"/>
  <c r="EB27" i="123"/>
  <c r="EK27" i="123" s="1"/>
  <c r="GA21" i="123"/>
  <c r="GJ11" i="123"/>
  <c r="GC11" i="123"/>
  <c r="GC29" i="123" s="1"/>
  <c r="AE47" i="123"/>
  <c r="AN47" i="123" s="1"/>
  <c r="AE43" i="123"/>
  <c r="AN43" i="123" s="1"/>
  <c r="Z15" i="126"/>
  <c r="G18" i="127" s="1"/>
  <c r="CH76" i="123"/>
  <c r="CH65" i="123"/>
  <c r="CK21" i="123"/>
  <c r="EA21" i="123"/>
  <c r="CB27" i="123"/>
  <c r="CK27" i="123" s="1"/>
  <c r="CL66" i="122"/>
  <c r="M36" i="126"/>
  <c r="AL45" i="123"/>
  <c r="AN39" i="123"/>
  <c r="O30" i="126"/>
  <c r="DG44" i="123"/>
  <c r="EM45" i="123"/>
  <c r="CL31" i="122"/>
  <c r="DH36" i="123"/>
  <c r="DH53" i="123"/>
  <c r="CL37" i="122"/>
  <c r="CL32" i="122"/>
  <c r="L43" i="123"/>
  <c r="B43" i="123"/>
  <c r="CY44" i="123"/>
  <c r="DH44" i="123" s="1"/>
  <c r="GE64" i="123"/>
  <c r="CY45" i="123"/>
  <c r="DH45" i="123" s="1"/>
  <c r="GC8" i="123"/>
  <c r="GJ8" i="123"/>
  <c r="GI8" i="123" s="1"/>
  <c r="ED64" i="123"/>
  <c r="GD64" i="123"/>
  <c r="U51" i="126"/>
  <c r="EC60" i="123"/>
  <c r="CM60" i="123"/>
  <c r="BY74" i="123"/>
  <c r="BP72" i="123"/>
  <c r="BY72" i="123" s="1"/>
  <c r="CB74" i="123"/>
  <c r="FI70" i="123"/>
  <c r="GK12" i="123"/>
  <c r="GI12" i="123" s="1"/>
  <c r="GE30" i="123"/>
  <c r="GK30" i="123" s="1"/>
  <c r="GC12" i="123"/>
  <c r="GC30" i="123" s="1"/>
  <c r="EX55" i="123"/>
  <c r="CL122" i="122"/>
  <c r="GE52" i="123"/>
  <c r="EW45" i="123"/>
  <c r="AG47" i="126"/>
  <c r="GK56" i="123"/>
  <c r="CL108" i="122"/>
  <c r="BI36" i="123"/>
  <c r="BR36" i="123" s="1"/>
  <c r="EX59" i="123"/>
  <c r="EM59" i="123"/>
  <c r="GC40" i="123"/>
  <c r="DG45" i="123"/>
  <c r="ED42" i="123"/>
  <c r="GC41" i="123"/>
  <c r="CM37" i="123"/>
  <c r="U28" i="126"/>
  <c r="O36" i="126"/>
  <c r="CD45" i="123"/>
  <c r="AN45" i="123"/>
  <c r="DH59" i="123"/>
  <c r="CW59" i="123"/>
  <c r="BG45" i="123"/>
  <c r="BQ45" i="123"/>
  <c r="GC39" i="123"/>
  <c r="CN44" i="123"/>
  <c r="GE42" i="123"/>
  <c r="CL82" i="122"/>
  <c r="FG37" i="123"/>
  <c r="R36" i="126"/>
  <c r="CA45" i="123"/>
  <c r="EX53" i="123"/>
  <c r="L47" i="123"/>
  <c r="B47" i="123"/>
  <c r="DH55" i="123"/>
  <c r="DQ37" i="123"/>
  <c r="EC37" i="123" s="1"/>
  <c r="B34" i="124"/>
  <c r="P65" i="125"/>
  <c r="AC63" i="125"/>
  <c r="AA63" i="125"/>
  <c r="Z37" i="125"/>
  <c r="Q51" i="125"/>
  <c r="O49" i="125"/>
  <c r="P49" i="125"/>
  <c r="S51" i="125"/>
  <c r="R51" i="125"/>
  <c r="U49" i="125"/>
  <c r="AB49" i="125"/>
  <c r="R48" i="125"/>
  <c r="S48" i="125"/>
  <c r="M44" i="125"/>
  <c r="F46" i="116"/>
  <c r="F108" i="118"/>
  <c r="E18" i="79"/>
  <c r="F20" i="79"/>
  <c r="DH62" i="7"/>
  <c r="G79" i="118"/>
  <c r="DK62" i="7" s="1"/>
  <c r="DO48" i="8"/>
  <c r="DP106" i="8"/>
  <c r="T65" i="125"/>
  <c r="O65" i="125"/>
  <c r="T58" i="125"/>
  <c r="Q54" i="125"/>
  <c r="Z48" i="125"/>
  <c r="T36" i="125"/>
  <c r="S35" i="125"/>
  <c r="X27" i="125"/>
  <c r="X19" i="125"/>
  <c r="AP48" i="9" l="1"/>
  <c r="AN48" i="9"/>
  <c r="AQ56" i="72"/>
  <c r="BA56" i="72"/>
  <c r="DV43" i="7"/>
  <c r="BA56" i="9"/>
  <c r="AQ56" i="9"/>
  <c r="CE47" i="123"/>
  <c r="ED47" i="123" s="1"/>
  <c r="GC47" i="123" s="1"/>
  <c r="CZ49" i="19"/>
  <c r="CX47" i="8" s="1"/>
  <c r="CX105" i="8" s="1"/>
  <c r="Z34" i="8"/>
  <c r="CW11" i="19"/>
  <c r="CW49" i="19" s="1"/>
  <c r="ED149" i="7"/>
  <c r="ED15" i="7"/>
  <c r="ED8" i="7" s="1"/>
  <c r="DW75" i="7"/>
  <c r="DW74" i="7" s="1"/>
  <c r="EC185" i="7"/>
  <c r="DW185" i="7"/>
  <c r="EC75" i="7"/>
  <c r="EC74" i="7" s="1"/>
  <c r="EC15" i="7"/>
  <c r="EC8" i="7" s="1"/>
  <c r="EB13" i="7"/>
  <c r="EC149" i="7"/>
  <c r="EB26" i="8"/>
  <c r="EA26" i="8" s="1"/>
  <c r="EH26" i="8"/>
  <c r="EG26" i="8" s="1"/>
  <c r="CC203" i="120"/>
  <c r="CB70" i="120"/>
  <c r="CH70" i="120" s="1"/>
  <c r="CI70" i="120"/>
  <c r="EF13" i="7"/>
  <c r="DZ13" i="7"/>
  <c r="DY23" i="7"/>
  <c r="DZ24" i="7"/>
  <c r="DY24" i="7" s="1"/>
  <c r="DY17" i="7" s="1"/>
  <c r="Z58" i="126"/>
  <c r="DL34" i="17"/>
  <c r="DM34" i="17" s="1"/>
  <c r="DA29" i="8" s="1"/>
  <c r="ER34" i="17"/>
  <c r="ES34" i="17" s="1"/>
  <c r="EK13" i="8"/>
  <c r="EE13" i="8"/>
  <c r="EE152" i="7"/>
  <c r="EB43" i="7"/>
  <c r="EH33" i="8"/>
  <c r="EB33" i="8"/>
  <c r="EG100" i="8"/>
  <c r="EG15" i="8"/>
  <c r="Q99" i="120"/>
  <c r="Q198" i="120" s="1"/>
  <c r="R198" i="120"/>
  <c r="AP50" i="121" s="1"/>
  <c r="AG42" i="122"/>
  <c r="Q42" i="122"/>
  <c r="Q156" i="122" s="1"/>
  <c r="R156" i="122"/>
  <c r="AP38" i="123" s="1"/>
  <c r="CC62" i="120"/>
  <c r="EF50" i="7"/>
  <c r="EE48" i="7"/>
  <c r="EE50" i="7" s="1"/>
  <c r="CB105" i="120"/>
  <c r="CH105" i="120" s="1"/>
  <c r="CI105" i="120"/>
  <c r="Q76" i="122"/>
  <c r="Q157" i="122" s="1"/>
  <c r="R157" i="122"/>
  <c r="AP39" i="123" s="1"/>
  <c r="CC58" i="120"/>
  <c r="EF25" i="7"/>
  <c r="EE23" i="7"/>
  <c r="EE25" i="7" s="1"/>
  <c r="EK38" i="8"/>
  <c r="EE38" i="8"/>
  <c r="CC38" i="120"/>
  <c r="CB36" i="120"/>
  <c r="CC37" i="120"/>
  <c r="CI36" i="120"/>
  <c r="DW144" i="7"/>
  <c r="BQ14" i="61" s="1"/>
  <c r="DV9" i="7"/>
  <c r="DV144" i="7" s="1"/>
  <c r="EO24" i="17"/>
  <c r="EO39" i="17" s="1"/>
  <c r="EO38" i="17"/>
  <c r="CD29" i="120"/>
  <c r="EG8" i="7"/>
  <c r="EG71" i="7" s="1"/>
  <c r="EG73" i="7" s="1"/>
  <c r="EG144" i="7"/>
  <c r="BB13" i="64" s="1"/>
  <c r="BC13" i="64" s="1"/>
  <c r="EH16" i="8"/>
  <c r="EB16" i="8"/>
  <c r="B50" i="121"/>
  <c r="L50" i="121"/>
  <c r="EF45" i="7"/>
  <c r="AT30" i="95"/>
  <c r="EA15" i="8"/>
  <c r="EA100" i="8"/>
  <c r="DX149" i="7"/>
  <c r="DX15" i="7"/>
  <c r="DX8" i="7" s="1"/>
  <c r="EB9" i="7"/>
  <c r="EB144" i="7" s="1"/>
  <c r="EC144" i="7"/>
  <c r="BU14" i="61" s="1"/>
  <c r="CI129" i="120"/>
  <c r="CB129" i="120"/>
  <c r="CH129" i="120" s="1"/>
  <c r="DW15" i="7"/>
  <c r="DW8" i="7" s="1"/>
  <c r="DW149" i="7"/>
  <c r="DV13" i="7"/>
  <c r="ED185" i="7"/>
  <c r="DX75" i="7"/>
  <c r="DX74" i="7" s="1"/>
  <c r="DX185" i="7"/>
  <c r="AZ13" i="64" s="1"/>
  <c r="BA13" i="64" s="1"/>
  <c r="ED75" i="7"/>
  <c r="ED74" i="7" s="1"/>
  <c r="EH41" i="8"/>
  <c r="EB41" i="8"/>
  <c r="CC29" i="120"/>
  <c r="EE9" i="7"/>
  <c r="AM99" i="120"/>
  <c r="AF99" i="120"/>
  <c r="AG198" i="120"/>
  <c r="AM198" i="120" s="1"/>
  <c r="AP99" i="120"/>
  <c r="BE99" i="120" s="1"/>
  <c r="AF76" i="122"/>
  <c r="AM76" i="122"/>
  <c r="AG157" i="122"/>
  <c r="AM157" i="122" s="1"/>
  <c r="AP76" i="122"/>
  <c r="BE76" i="122" s="1"/>
  <c r="CC126" i="120"/>
  <c r="EF41" i="7"/>
  <c r="EF35" i="7" s="1"/>
  <c r="CC122" i="120" s="1"/>
  <c r="EE39" i="7"/>
  <c r="EE41" i="7" s="1"/>
  <c r="EE35" i="7" s="1"/>
  <c r="DM106" i="8"/>
  <c r="DM143" i="8" s="1"/>
  <c r="EI154" i="7"/>
  <c r="BF30" i="65"/>
  <c r="BG30" i="65" s="1"/>
  <c r="CC43" i="122"/>
  <c r="EJ20" i="8"/>
  <c r="CC23" i="122"/>
  <c r="EJ10" i="8"/>
  <c r="EK97" i="8"/>
  <c r="BH30" i="65" s="1"/>
  <c r="BI30" i="65" s="1"/>
  <c r="CC80" i="122"/>
  <c r="EJ32" i="8"/>
  <c r="EJ35" i="8"/>
  <c r="CC95" i="122"/>
  <c r="EK34" i="8"/>
  <c r="CC94" i="122" s="1"/>
  <c r="CC165" i="122"/>
  <c r="CI165" i="122" s="1"/>
  <c r="CI161" i="122"/>
  <c r="CH29" i="122"/>
  <c r="CB161" i="122"/>
  <c r="EF151" i="7"/>
  <c r="CC54" i="120"/>
  <c r="C54" i="120" s="1"/>
  <c r="BX13" i="7"/>
  <c r="I18" i="127"/>
  <c r="K17" i="127"/>
  <c r="CC199" i="120"/>
  <c r="CI199" i="120" s="1"/>
  <c r="BC19" i="61"/>
  <c r="BD19" i="61" s="1"/>
  <c r="DR63" i="123"/>
  <c r="FQ63" i="123"/>
  <c r="DS63" i="123"/>
  <c r="DS65" i="123" s="1"/>
  <c r="FH76" i="123"/>
  <c r="EF63" i="123"/>
  <c r="GE63" i="123" s="1"/>
  <c r="BS63" i="123"/>
  <c r="W63" i="123"/>
  <c r="AF63" i="123" s="1"/>
  <c r="CH69" i="123"/>
  <c r="F46" i="73"/>
  <c r="I21" i="87"/>
  <c r="H21" i="87" s="1"/>
  <c r="F47" i="143"/>
  <c r="D47" i="143"/>
  <c r="J48" i="143"/>
  <c r="I48" i="143"/>
  <c r="DA49" i="19"/>
  <c r="CY47" i="8" s="1"/>
  <c r="CY105" i="8" s="1"/>
  <c r="AF90" i="7"/>
  <c r="EF129" i="8"/>
  <c r="EF130" i="8" s="1"/>
  <c r="EF127" i="8"/>
  <c r="V65" i="96"/>
  <c r="AA62" i="96"/>
  <c r="AA65" i="96" s="1"/>
  <c r="AA67" i="96" s="1"/>
  <c r="Z62" i="96"/>
  <c r="V55" i="96"/>
  <c r="Z52" i="96"/>
  <c r="BU19" i="61"/>
  <c r="EC190" i="7"/>
  <c r="EC155" i="7"/>
  <c r="EB62" i="7"/>
  <c r="BY15" i="61" s="1"/>
  <c r="EG48" i="8"/>
  <c r="EH106" i="8"/>
  <c r="BK13" i="65" s="1"/>
  <c r="CX143" i="8"/>
  <c r="Y61" i="8"/>
  <c r="AN51" i="123"/>
  <c r="AI17" i="7"/>
  <c r="CS190" i="7"/>
  <c r="EG154" i="7"/>
  <c r="CS155" i="7"/>
  <c r="BB17" i="61"/>
  <c r="BB15" i="61" s="1"/>
  <c r="BB12" i="61" s="1"/>
  <c r="BB11" i="61" s="1"/>
  <c r="BB44" i="61" s="1"/>
  <c r="BB47" i="61" s="1"/>
  <c r="EB106" i="8"/>
  <c r="EA48" i="8"/>
  <c r="DW190" i="7"/>
  <c r="BQ19" i="61"/>
  <c r="DV62" i="7"/>
  <c r="DW155" i="7"/>
  <c r="AY10" i="64"/>
  <c r="AY35" i="64" s="1"/>
  <c r="AY37" i="64" s="1"/>
  <c r="AY79" i="8"/>
  <c r="AY125" i="8" s="1"/>
  <c r="AY78" i="8"/>
  <c r="CD51" i="123"/>
  <c r="CM51" i="123" s="1"/>
  <c r="AL48" i="123"/>
  <c r="BR48" i="123"/>
  <c r="CD48" i="123" s="1"/>
  <c r="U39" i="126" s="1"/>
  <c r="DN73" i="7"/>
  <c r="K51" i="123"/>
  <c r="CO129" i="8"/>
  <c r="CO130" i="8" s="1"/>
  <c r="CN126" i="8"/>
  <c r="CN129" i="8" s="1"/>
  <c r="CN130" i="8" s="1"/>
  <c r="AY44" i="65"/>
  <c r="AY47" i="65" s="1"/>
  <c r="DS166" i="7"/>
  <c r="DS168" i="7" s="1"/>
  <c r="CM49" i="123"/>
  <c r="AV24" i="8"/>
  <c r="AY101" i="8"/>
  <c r="AY119" i="8" s="1"/>
  <c r="AY121" i="8" s="1"/>
  <c r="AY25" i="8"/>
  <c r="AB17" i="7"/>
  <c r="BV152" i="7"/>
  <c r="CP166" i="7"/>
  <c r="CP170" i="7" s="1"/>
  <c r="AQ18" i="7"/>
  <c r="AR18" i="7" s="1"/>
  <c r="AT24" i="17"/>
  <c r="BS103" i="8"/>
  <c r="BT103" i="8"/>
  <c r="AH22" i="64"/>
  <c r="AL146" i="7"/>
  <c r="BA10" i="7"/>
  <c r="AM10" i="7"/>
  <c r="CL85" i="122"/>
  <c r="EX46" i="123"/>
  <c r="EM46" i="123"/>
  <c r="DH46" i="123"/>
  <c r="CW46" i="123"/>
  <c r="BV14" i="7"/>
  <c r="BW14" i="7" s="1"/>
  <c r="BW15" i="7" s="1"/>
  <c r="DK15" i="7" s="1"/>
  <c r="AF88" i="7"/>
  <c r="AF91" i="7" s="1"/>
  <c r="L29" i="11"/>
  <c r="K29" i="11" s="1"/>
  <c r="O29" i="11" s="1"/>
  <c r="O39" i="11" s="1"/>
  <c r="AA19" i="7" s="1"/>
  <c r="AA151" i="7" s="1"/>
  <c r="AI151" i="7" s="1"/>
  <c r="AZ102" i="8"/>
  <c r="BA102" i="8" s="1"/>
  <c r="EP76" i="123"/>
  <c r="J36" i="128"/>
  <c r="O36" i="128" s="1"/>
  <c r="T36" i="128" s="1"/>
  <c r="Y22" i="64"/>
  <c r="AF22" i="64"/>
  <c r="X31" i="61"/>
  <c r="AY31" i="61" s="1"/>
  <c r="BW191" i="7"/>
  <c r="AC64" i="32"/>
  <c r="AE64" i="32" s="1"/>
  <c r="AB64" i="32"/>
  <c r="CJ71" i="7"/>
  <c r="CJ73" i="7" s="1"/>
  <c r="L35" i="125"/>
  <c r="N35" i="125"/>
  <c r="BF31" i="61"/>
  <c r="AM29" i="11"/>
  <c r="AL29" i="11" s="1"/>
  <c r="AP29" i="11" s="1"/>
  <c r="AG93" i="7"/>
  <c r="AG94" i="7" s="1"/>
  <c r="EK59" i="123"/>
  <c r="ER70" i="123"/>
  <c r="EB64" i="123"/>
  <c r="EK64" i="123" s="1"/>
  <c r="W59" i="125"/>
  <c r="GA59" i="123"/>
  <c r="BB19" i="8"/>
  <c r="BB102" i="8" s="1"/>
  <c r="EK67" i="123"/>
  <c r="CK67" i="123"/>
  <c r="AF173" i="7"/>
  <c r="AF176" i="7" s="1"/>
  <c r="AF177" i="7" s="1"/>
  <c r="BC24" i="17"/>
  <c r="V24" i="17"/>
  <c r="AX24" i="17"/>
  <c r="EC34" i="17"/>
  <c r="ED34" i="17" s="1"/>
  <c r="DP29" i="8" s="1"/>
  <c r="DO29" i="8" s="1"/>
  <c r="GI11" i="123"/>
  <c r="AT93" i="7"/>
  <c r="AT94" i="7" s="1"/>
  <c r="CQ33" i="17"/>
  <c r="D18" i="99"/>
  <c r="M31" i="64"/>
  <c r="CA51" i="123"/>
  <c r="R42" i="126"/>
  <c r="CL92" i="122"/>
  <c r="AC126" i="8"/>
  <c r="AC127" i="8" s="1"/>
  <c r="CH16" i="7"/>
  <c r="CG16" i="7"/>
  <c r="Y23" i="66"/>
  <c r="AD61" i="8"/>
  <c r="AD78" i="8" s="1"/>
  <c r="U91" i="7"/>
  <c r="CF14" i="135"/>
  <c r="AC81" i="8"/>
  <c r="T55" i="126"/>
  <c r="CG61" i="123"/>
  <c r="EF61" i="123" s="1"/>
  <c r="GE61" i="123" s="1"/>
  <c r="AC78" i="8"/>
  <c r="AM11" i="19"/>
  <c r="AF11" i="19"/>
  <c r="AD49" i="19"/>
  <c r="CW34" i="17"/>
  <c r="CX34" i="17" s="1"/>
  <c r="CK29" i="8" s="1"/>
  <c r="CL29" i="8" s="1"/>
  <c r="CQ27" i="17"/>
  <c r="CR152" i="7"/>
  <c r="CR34" i="17"/>
  <c r="BT29" i="8" s="1"/>
  <c r="BS29" i="8" s="1"/>
  <c r="AC84" i="8"/>
  <c r="AC85" i="8" s="1"/>
  <c r="AG171" i="7"/>
  <c r="AC16" i="98"/>
  <c r="AC14" i="98" s="1"/>
  <c r="DO176" i="7"/>
  <c r="DO177" i="7" s="1"/>
  <c r="DO174" i="7"/>
  <c r="H72" i="68"/>
  <c r="CT32" i="17" s="1"/>
  <c r="CU32" i="17" s="1"/>
  <c r="CD44" i="123"/>
  <c r="U35" i="126" s="1"/>
  <c r="AS25" i="7"/>
  <c r="CS70" i="123"/>
  <c r="CS71" i="123" s="1"/>
  <c r="AK39" i="8"/>
  <c r="AK40" i="8" s="1"/>
  <c r="CH34" i="7"/>
  <c r="CA44" i="123"/>
  <c r="AK11" i="136"/>
  <c r="AK12" i="136" s="1"/>
  <c r="EM44" i="123"/>
  <c r="AO27" i="7"/>
  <c r="J70" i="68"/>
  <c r="J67" i="96"/>
  <c r="CL19" i="8" s="1"/>
  <c r="J71" i="68"/>
  <c r="N65" i="68"/>
  <c r="P63" i="68"/>
  <c r="AA26" i="98"/>
  <c r="AA24" i="98" s="1"/>
  <c r="AA16" i="98"/>
  <c r="AA9" i="98"/>
  <c r="Z26" i="98"/>
  <c r="Z24" i="98" s="1"/>
  <c r="Z9" i="98"/>
  <c r="Z16" i="98"/>
  <c r="DJ45" i="7"/>
  <c r="L67" i="96"/>
  <c r="L66" i="68"/>
  <c r="L68" i="68"/>
  <c r="L69" i="68"/>
  <c r="L67" i="68"/>
  <c r="T24" i="98"/>
  <c r="T29" i="98" s="1"/>
  <c r="T34" i="98" s="1"/>
  <c r="T31" i="98"/>
  <c r="T36" i="98" s="1"/>
  <c r="U26" i="98"/>
  <c r="U24" i="98" s="1"/>
  <c r="U29" i="98" s="1"/>
  <c r="U34" i="98" s="1"/>
  <c r="AB26" i="98"/>
  <c r="AB24" i="98" s="1"/>
  <c r="AB16" i="98"/>
  <c r="AB14" i="98" s="1"/>
  <c r="AB19" i="98" s="1"/>
  <c r="AB9" i="98"/>
  <c r="AC9" i="98"/>
  <c r="AC26" i="98"/>
  <c r="AN59" i="65"/>
  <c r="AN63" i="65"/>
  <c r="AN65" i="65" s="1"/>
  <c r="Q67" i="96"/>
  <c r="DA19" i="8" s="1"/>
  <c r="AR24" i="7"/>
  <c r="AS24" i="7" s="1"/>
  <c r="Y14" i="98"/>
  <c r="Y19" i="98" s="1"/>
  <c r="Y21" i="98"/>
  <c r="BW9" i="8" s="1"/>
  <c r="BV9" i="8" s="1"/>
  <c r="U9" i="98"/>
  <c r="U16" i="98"/>
  <c r="V11" i="98"/>
  <c r="S40" i="98"/>
  <c r="BX20" i="8"/>
  <c r="BX97" i="8" s="1"/>
  <c r="BW26" i="8"/>
  <c r="BW103" i="8" s="1"/>
  <c r="BW20" i="8"/>
  <c r="BW97" i="8" s="1"/>
  <c r="BW144" i="8" s="1"/>
  <c r="AG30" i="65" s="1"/>
  <c r="AH30" i="65" s="1"/>
  <c r="BX26" i="8"/>
  <c r="BX103" i="8" s="1"/>
  <c r="BV120" i="8"/>
  <c r="BV62" i="8" s="1"/>
  <c r="BW47" i="8"/>
  <c r="BW105" i="8" s="1"/>
  <c r="Y24" i="98"/>
  <c r="AD26" i="98"/>
  <c r="AD24" i="98" s="1"/>
  <c r="T21" i="98"/>
  <c r="T14" i="98"/>
  <c r="I67" i="96"/>
  <c r="BT19" i="8" s="1"/>
  <c r="S42" i="98"/>
  <c r="S19" i="98"/>
  <c r="AG91" i="7"/>
  <c r="AG88" i="7"/>
  <c r="AD126" i="8"/>
  <c r="AD129" i="8" s="1"/>
  <c r="AD130" i="8" s="1"/>
  <c r="AT121" i="8"/>
  <c r="K15" i="61"/>
  <c r="CS152" i="7"/>
  <c r="AT129" i="8"/>
  <c r="AT130" i="8" s="1"/>
  <c r="AT127" i="8"/>
  <c r="CL59" i="122"/>
  <c r="DI35" i="17"/>
  <c r="DJ35" i="17" s="1"/>
  <c r="CX38" i="8" s="1"/>
  <c r="AD57" i="65"/>
  <c r="AD62" i="65"/>
  <c r="AI13" i="98"/>
  <c r="AD16" i="98"/>
  <c r="DZ25" i="17"/>
  <c r="EA25" i="17" s="1"/>
  <c r="BV70" i="123"/>
  <c r="BV71" i="123" s="1"/>
  <c r="CR53" i="7"/>
  <c r="CR52" i="7" s="1"/>
  <c r="CR153" i="7" s="1"/>
  <c r="BB34" i="8"/>
  <c r="J28" i="128"/>
  <c r="O28" i="128" s="1"/>
  <c r="T28" i="128" s="1"/>
  <c r="H100" i="68"/>
  <c r="DZ26" i="17" s="1"/>
  <c r="EA26" i="17" s="1"/>
  <c r="DH23" i="7" s="1"/>
  <c r="O59" i="125"/>
  <c r="P59" i="125"/>
  <c r="DH76" i="7"/>
  <c r="DH74" i="7" s="1"/>
  <c r="EQ68" i="123"/>
  <c r="EQ65" i="123"/>
  <c r="FR65" i="123"/>
  <c r="DT174" i="7"/>
  <c r="DT176" i="7"/>
  <c r="DT177" i="7" s="1"/>
  <c r="BU96" i="8"/>
  <c r="BU138" i="8" s="1"/>
  <c r="X14" i="66" s="1"/>
  <c r="Y14" i="66" s="1"/>
  <c r="BS18" i="8"/>
  <c r="V27" i="98"/>
  <c r="U32" i="98"/>
  <c r="U37" i="98" s="1"/>
  <c r="U41" i="98" s="1"/>
  <c r="AA14" i="66" s="1"/>
  <c r="AC37" i="66"/>
  <c r="AB38" i="66"/>
  <c r="DI32" i="17"/>
  <c r="DJ32" i="17" s="1"/>
  <c r="CX13" i="8" s="1"/>
  <c r="AP39" i="11"/>
  <c r="BM39" i="11" s="1"/>
  <c r="CK46" i="123"/>
  <c r="DI26" i="17"/>
  <c r="DJ26" i="17" s="1"/>
  <c r="CS23" i="7" s="1"/>
  <c r="CR23" i="7" s="1"/>
  <c r="CR25" i="7" s="1"/>
  <c r="O34" i="126"/>
  <c r="DI29" i="17"/>
  <c r="DJ29" i="17" s="1"/>
  <c r="CS48" i="7" s="1"/>
  <c r="CS43" i="7" s="1"/>
  <c r="AR119" i="8"/>
  <c r="AR126" i="8" s="1"/>
  <c r="CM48" i="123"/>
  <c r="AL33" i="7"/>
  <c r="AM33" i="7" s="1"/>
  <c r="AM32" i="7"/>
  <c r="AZ12" i="136"/>
  <c r="AI11" i="136"/>
  <c r="AI7" i="136" s="1"/>
  <c r="AJ7" i="136" s="1"/>
  <c r="AZ40" i="8"/>
  <c r="AI39" i="8"/>
  <c r="AI34" i="8" s="1"/>
  <c r="AJ34" i="8" s="1"/>
  <c r="BV50" i="72"/>
  <c r="BX50" i="72"/>
  <c r="CL50" i="72"/>
  <c r="AJ71" i="123"/>
  <c r="BS56" i="72"/>
  <c r="BV56" i="72"/>
  <c r="BO48" i="72"/>
  <c r="Z7" i="136"/>
  <c r="AA17" i="8"/>
  <c r="AA61" i="8" s="1"/>
  <c r="AA80" i="8" s="1"/>
  <c r="CL103" i="8"/>
  <c r="AI70" i="123"/>
  <c r="AI71" i="123" s="1"/>
  <c r="CK103" i="8"/>
  <c r="N15" i="68"/>
  <c r="DH185" i="7"/>
  <c r="DR61" i="123"/>
  <c r="BL68" i="123"/>
  <c r="BL69" i="123" s="1"/>
  <c r="BU65" i="123"/>
  <c r="Q38" i="125"/>
  <c r="FH65" i="123"/>
  <c r="BA11" i="135"/>
  <c r="J86" i="68"/>
  <c r="DI36" i="17" s="1"/>
  <c r="DJ36" i="17" s="1"/>
  <c r="CY23" i="8" s="1"/>
  <c r="I72" i="85"/>
  <c r="AT80" i="8"/>
  <c r="AT81" i="8"/>
  <c r="AT78" i="8"/>
  <c r="AT84" i="8"/>
  <c r="AT85" i="8" s="1"/>
  <c r="AA102" i="8"/>
  <c r="AL19" i="8"/>
  <c r="AU78" i="8"/>
  <c r="AU81" i="8"/>
  <c r="AU84" i="8"/>
  <c r="AU85" i="8" s="1"/>
  <c r="AU80" i="8"/>
  <c r="W44" i="125"/>
  <c r="AU119" i="8"/>
  <c r="Z49" i="125"/>
  <c r="AF50" i="125"/>
  <c r="FQ61" i="123"/>
  <c r="AF58" i="126"/>
  <c r="GJ67" i="123"/>
  <c r="P15" i="102"/>
  <c r="P23" i="102"/>
  <c r="Q13" i="102"/>
  <c r="AB16" i="65"/>
  <c r="AC16" i="65" s="1"/>
  <c r="AD16" i="65" s="1"/>
  <c r="AE16" i="65" s="1"/>
  <c r="AF16" i="65" s="1"/>
  <c r="AH16" i="65"/>
  <c r="AJ16" i="65"/>
  <c r="F36" i="63"/>
  <c r="BY54" i="72"/>
  <c r="EX51" i="123"/>
  <c r="FG51" i="123" s="1"/>
  <c r="CY51" i="123"/>
  <c r="DH51" i="123" s="1"/>
  <c r="AM97" i="8"/>
  <c r="AN20" i="8"/>
  <c r="AN97" i="8" s="1"/>
  <c r="AM102" i="8"/>
  <c r="AN19" i="8"/>
  <c r="AC49" i="123"/>
  <c r="AL49" i="123" s="1"/>
  <c r="CA48" i="123"/>
  <c r="D19" i="99"/>
  <c r="CN37" i="123"/>
  <c r="BZ152" i="7"/>
  <c r="BW152" i="7"/>
  <c r="CL55" i="72"/>
  <c r="W43" i="125"/>
  <c r="BX152" i="7"/>
  <c r="EE61" i="123"/>
  <c r="GD61" i="123" s="1"/>
  <c r="AF61" i="123"/>
  <c r="CL72" i="122"/>
  <c r="EG69" i="123"/>
  <c r="GF69" i="123" s="1"/>
  <c r="L50" i="125"/>
  <c r="F64" i="116"/>
  <c r="F84" i="116"/>
  <c r="F74" i="116"/>
  <c r="F94" i="116"/>
  <c r="J98" i="68"/>
  <c r="N51" i="68"/>
  <c r="AS13" i="7"/>
  <c r="AQ14" i="7"/>
  <c r="AR14" i="7" s="1"/>
  <c r="AS14" i="7" s="1"/>
  <c r="F104" i="116"/>
  <c r="X49" i="125"/>
  <c r="AO14" i="7"/>
  <c r="AO15" i="7" s="1"/>
  <c r="AP15" i="7"/>
  <c r="AQ15" i="7" s="1"/>
  <c r="AR15" i="7" s="1"/>
  <c r="AN14" i="7"/>
  <c r="BB69" i="123"/>
  <c r="BB70" i="123" s="1"/>
  <c r="BB71" i="123" s="1"/>
  <c r="C26" i="87"/>
  <c r="C25" i="87" s="1"/>
  <c r="H31" i="61" s="1"/>
  <c r="W49" i="125"/>
  <c r="R41" i="126"/>
  <c r="R39" i="126"/>
  <c r="N24" i="128"/>
  <c r="AY81" i="8"/>
  <c r="P13" i="68"/>
  <c r="BJ14" i="61"/>
  <c r="W37" i="125"/>
  <c r="CL36" i="122"/>
  <c r="O38" i="126"/>
  <c r="CR127" i="8"/>
  <c r="CQ126" i="8"/>
  <c r="CR129" i="8"/>
  <c r="CR130" i="8" s="1"/>
  <c r="CJ166" i="7"/>
  <c r="AZ17" i="61"/>
  <c r="AZ15" i="61" s="1"/>
  <c r="AZ12" i="61" s="1"/>
  <c r="CJ188" i="7"/>
  <c r="CJ199" i="7" s="1"/>
  <c r="GK9" i="123"/>
  <c r="GI9" i="123" s="1"/>
  <c r="GE26" i="123"/>
  <c r="N68" i="32"/>
  <c r="P68" i="32" s="1"/>
  <c r="M68" i="32"/>
  <c r="M70" i="32" s="1"/>
  <c r="BV53" i="7" s="1"/>
  <c r="DG66" i="123"/>
  <c r="CW66" i="123"/>
  <c r="BM51" i="72"/>
  <c r="B12" i="87"/>
  <c r="AC23" i="95"/>
  <c r="AB25" i="95"/>
  <c r="AB27" i="95" s="1"/>
  <c r="CV129" i="8"/>
  <c r="CV130" i="8" s="1"/>
  <c r="CV127" i="8"/>
  <c r="CQ65" i="123"/>
  <c r="CQ76" i="123"/>
  <c r="X58" i="61"/>
  <c r="X63" i="61"/>
  <c r="Z43" i="125"/>
  <c r="GC9" i="123"/>
  <c r="GC26" i="123" s="1"/>
  <c r="CD50" i="123"/>
  <c r="EC50" i="123" s="1"/>
  <c r="L52" i="68"/>
  <c r="O51" i="9"/>
  <c r="S51" i="9" s="1"/>
  <c r="V51" i="9"/>
  <c r="AQ52" i="7"/>
  <c r="AR52" i="7" s="1"/>
  <c r="AS52" i="7" s="1"/>
  <c r="I16" i="105"/>
  <c r="J8" i="105" s="1"/>
  <c r="P67" i="32"/>
  <c r="BJ76" i="123"/>
  <c r="BJ65" i="123"/>
  <c r="Y68" i="123"/>
  <c r="AH68" i="123" s="1"/>
  <c r="Y65" i="123"/>
  <c r="CR68" i="123"/>
  <c r="CR65" i="123"/>
  <c r="AL37" i="123"/>
  <c r="DQ44" i="123"/>
  <c r="EW37" i="123"/>
  <c r="CA152" i="7"/>
  <c r="CD48" i="72"/>
  <c r="N50" i="68"/>
  <c r="AY84" i="8"/>
  <c r="AY85" i="8" s="1"/>
  <c r="BB27" i="8"/>
  <c r="FQ76" i="123"/>
  <c r="AH65" i="123"/>
  <c r="AB9" i="7"/>
  <c r="AB144" i="7" s="1"/>
  <c r="AB166" i="7" s="1"/>
  <c r="AC9" i="7"/>
  <c r="AP9" i="7"/>
  <c r="AI9" i="7"/>
  <c r="AA144" i="7"/>
  <c r="AA8" i="7"/>
  <c r="H37" i="105"/>
  <c r="H38" i="105"/>
  <c r="N34" i="104" s="1"/>
  <c r="N39" i="104" s="1"/>
  <c r="AA17" i="66" s="1"/>
  <c r="AA15" i="66" s="1"/>
  <c r="Y66" i="125"/>
  <c r="BN55" i="72"/>
  <c r="BQ55" i="72" s="1"/>
  <c r="BX55" i="72" s="1"/>
  <c r="BS55" i="72"/>
  <c r="D70" i="32"/>
  <c r="BU46" i="8"/>
  <c r="BU42" i="8" s="1"/>
  <c r="BU104" i="8" s="1"/>
  <c r="BU141" i="8" s="1"/>
  <c r="X17" i="66" s="1"/>
  <c r="M39" i="104"/>
  <c r="Z17" i="66" s="1"/>
  <c r="Z15" i="66" s="1"/>
  <c r="BD127" i="8"/>
  <c r="BD129" i="8"/>
  <c r="BD130" i="8" s="1"/>
  <c r="AA45" i="126"/>
  <c r="AF13" i="64"/>
  <c r="O51" i="72"/>
  <c r="S51" i="72" s="1"/>
  <c r="V51" i="72"/>
  <c r="AS14" i="66"/>
  <c r="F59" i="116"/>
  <c r="F79" i="116"/>
  <c r="F89" i="116"/>
  <c r="F69" i="116"/>
  <c r="CA55" i="72"/>
  <c r="CB52" i="72"/>
  <c r="CK66" i="123"/>
  <c r="S57" i="126"/>
  <c r="AD26" i="95"/>
  <c r="AD21" i="95"/>
  <c r="AD31" i="95" s="1"/>
  <c r="AC18" i="98"/>
  <c r="X22" i="98"/>
  <c r="CM52" i="72"/>
  <c r="CM55" i="72" s="1"/>
  <c r="BY52" i="72"/>
  <c r="BV55" i="72"/>
  <c r="BT55" i="72" s="1"/>
  <c r="BW55" i="72" s="1"/>
  <c r="M21" i="105"/>
  <c r="BT46" i="8"/>
  <c r="N26" i="104"/>
  <c r="M31" i="104"/>
  <c r="H12" i="86"/>
  <c r="C19" i="87"/>
  <c r="J36" i="84"/>
  <c r="BC11" i="135"/>
  <c r="BC12" i="135" s="1"/>
  <c r="BC13" i="135" s="1"/>
  <c r="BC7" i="135" s="1"/>
  <c r="BC15" i="135" s="1"/>
  <c r="L84" i="68"/>
  <c r="AC65" i="32"/>
  <c r="AE65" i="32" s="1"/>
  <c r="AE72" i="32" s="1"/>
  <c r="R19" i="104" s="1"/>
  <c r="AB65" i="32"/>
  <c r="AB72" i="32" s="1"/>
  <c r="Q19" i="104" s="1"/>
  <c r="AG65" i="123"/>
  <c r="AM23" i="66"/>
  <c r="AH23" i="66"/>
  <c r="AB27" i="7"/>
  <c r="AP27" i="7"/>
  <c r="AQ27" i="7" s="1"/>
  <c r="AR27" i="7" s="1"/>
  <c r="AI27" i="7"/>
  <c r="BA65" i="123"/>
  <c r="BA76" i="123"/>
  <c r="DK68" i="123"/>
  <c r="DT68" i="123" s="1"/>
  <c r="DK65" i="123"/>
  <c r="AK15" i="8"/>
  <c r="AK14" i="8" s="1"/>
  <c r="AW15" i="8"/>
  <c r="AI14" i="8"/>
  <c r="AI8" i="8" s="1"/>
  <c r="DU70" i="123"/>
  <c r="DU71" i="123" s="1"/>
  <c r="BD32" i="7"/>
  <c r="BD27" i="7" s="1"/>
  <c r="AD12" i="135"/>
  <c r="AD13" i="135" s="1"/>
  <c r="AD7" i="135" s="1"/>
  <c r="AD15" i="135" s="1"/>
  <c r="AS68" i="123"/>
  <c r="AR68" i="123" s="1"/>
  <c r="AS65" i="123"/>
  <c r="BT65" i="123"/>
  <c r="W11" i="95"/>
  <c r="V16" i="95"/>
  <c r="V21" i="95" s="1"/>
  <c r="V31" i="95" s="1"/>
  <c r="V50" i="95" s="1"/>
  <c r="AA13" i="64" s="1"/>
  <c r="FA68" i="123"/>
  <c r="FA65" i="123"/>
  <c r="FS65" i="123"/>
  <c r="BA153" i="7"/>
  <c r="AM153" i="7"/>
  <c r="BM173" i="7"/>
  <c r="BM174" i="7" s="1"/>
  <c r="BM171" i="7"/>
  <c r="CE43" i="123"/>
  <c r="ED43" i="123" s="1"/>
  <c r="GC43" i="123" s="1"/>
  <c r="AQ33" i="7"/>
  <c r="BC68" i="123"/>
  <c r="BC65" i="123"/>
  <c r="CU124" i="8"/>
  <c r="CT123" i="8"/>
  <c r="CT124" i="8" s="1"/>
  <c r="CU126" i="8"/>
  <c r="DB69" i="123"/>
  <c r="P14" i="68"/>
  <c r="F69" i="123"/>
  <c r="E68" i="123"/>
  <c r="AG68" i="123"/>
  <c r="FJ68" i="123"/>
  <c r="FJ65" i="123"/>
  <c r="E76" i="123"/>
  <c r="E65" i="123"/>
  <c r="DA69" i="123"/>
  <c r="CZ68" i="123"/>
  <c r="AJ30" i="65"/>
  <c r="AO30" i="65"/>
  <c r="AQ30" i="65"/>
  <c r="AN49" i="19"/>
  <c r="AL50" i="19"/>
  <c r="AG49" i="19"/>
  <c r="AH57" i="19"/>
  <c r="AE50" i="19"/>
  <c r="G69" i="123"/>
  <c r="L85" i="68"/>
  <c r="J99" i="68"/>
  <c r="BB7" i="136"/>
  <c r="BS61" i="123"/>
  <c r="CR59" i="7"/>
  <c r="CR154" i="7" s="1"/>
  <c r="CS154" i="7"/>
  <c r="AS32" i="7"/>
  <c r="CY64" i="8"/>
  <c r="DH129" i="8"/>
  <c r="DH130" i="8" s="1"/>
  <c r="DH127" i="8"/>
  <c r="DI76" i="123"/>
  <c r="DI65" i="123"/>
  <c r="BA15" i="8"/>
  <c r="DT65" i="123"/>
  <c r="O18" i="125"/>
  <c r="O17" i="125"/>
  <c r="AD41" i="7"/>
  <c r="AD35" i="7" s="1"/>
  <c r="AD150" i="7"/>
  <c r="BC40" i="7"/>
  <c r="BC149" i="7"/>
  <c r="Z66" i="125"/>
  <c r="AO41" i="7"/>
  <c r="AO35" i="7" s="1"/>
  <c r="H19" i="105"/>
  <c r="H26" i="105"/>
  <c r="N41" i="125"/>
  <c r="BT10" i="136"/>
  <c r="BT38" i="8"/>
  <c r="BV23" i="7"/>
  <c r="AJ26" i="8"/>
  <c r="AW26" i="8"/>
  <c r="BA26" i="8"/>
  <c r="V65" i="6"/>
  <c r="V70" i="6"/>
  <c r="V67" i="6"/>
  <c r="V73" i="6"/>
  <c r="X64" i="6"/>
  <c r="Y64" i="6" s="1"/>
  <c r="V123" i="6"/>
  <c r="V124" i="6" s="1"/>
  <c r="V66" i="6"/>
  <c r="V68" i="6"/>
  <c r="V71" i="6"/>
  <c r="L39" i="123"/>
  <c r="AA16" i="126"/>
  <c r="EL9" i="123"/>
  <c r="DJ53" i="7"/>
  <c r="DJ52" i="7" s="1"/>
  <c r="DJ153" i="7" s="1"/>
  <c r="DK52" i="7"/>
  <c r="BE155" i="7"/>
  <c r="F19" i="61" s="1"/>
  <c r="F15" i="61" s="1"/>
  <c r="BD62" i="7"/>
  <c r="BD155" i="7" s="1"/>
  <c r="AQ42" i="7"/>
  <c r="AR42" i="7" s="1"/>
  <c r="AL24" i="8"/>
  <c r="AL100" i="8"/>
  <c r="AK23" i="8"/>
  <c r="AK100" i="8" s="1"/>
  <c r="Y15" i="125"/>
  <c r="AQ17" i="7"/>
  <c r="AR17" i="7" s="1"/>
  <c r="AO36" i="71"/>
  <c r="AT36" i="71"/>
  <c r="AA36" i="71"/>
  <c r="V36" i="71"/>
  <c r="AX36" i="71"/>
  <c r="AP50" i="72"/>
  <c r="AN50" i="72"/>
  <c r="DN171" i="7"/>
  <c r="DN173" i="7"/>
  <c r="DM170" i="7"/>
  <c r="BV11" i="135"/>
  <c r="BV39" i="7"/>
  <c r="V101" i="6"/>
  <c r="V108" i="6"/>
  <c r="X100" i="6"/>
  <c r="AK33" i="8" s="1"/>
  <c r="AK27" i="8" s="1"/>
  <c r="V104" i="6"/>
  <c r="V107" i="6"/>
  <c r="V112" i="6"/>
  <c r="V105" i="6"/>
  <c r="V102" i="6"/>
  <c r="V106" i="6"/>
  <c r="V110" i="6"/>
  <c r="Z13" i="125"/>
  <c r="N34" i="128"/>
  <c r="S24" i="128"/>
  <c r="R34" i="128"/>
  <c r="S34" i="128" s="1"/>
  <c r="DL153" i="7"/>
  <c r="AZ14" i="8"/>
  <c r="BB13" i="135"/>
  <c r="BB7" i="135" s="1"/>
  <c r="BB15" i="135" s="1"/>
  <c r="CC48" i="72"/>
  <c r="B6" i="77"/>
  <c r="CB51" i="72"/>
  <c r="BZ51" i="72" s="1"/>
  <c r="DI185" i="7"/>
  <c r="AS13" i="64" s="1"/>
  <c r="AT13" i="64" s="1"/>
  <c r="DI75" i="7"/>
  <c r="DI74" i="7" s="1"/>
  <c r="T9" i="68"/>
  <c r="T12" i="68"/>
  <c r="T11" i="68"/>
  <c r="T10" i="68"/>
  <c r="AY80" i="8"/>
  <c r="V51" i="125"/>
  <c r="CK13" i="8"/>
  <c r="CZ103" i="8"/>
  <c r="BE15" i="7"/>
  <c r="BD14" i="7"/>
  <c r="DE168" i="7"/>
  <c r="DE170" i="7"/>
  <c r="BB8" i="8"/>
  <c r="AM24" i="8"/>
  <c r="AM17" i="8" s="1"/>
  <c r="Z25" i="8"/>
  <c r="Z101" i="8"/>
  <c r="Z17" i="8"/>
  <c r="Z61" i="8" s="1"/>
  <c r="BB25" i="8"/>
  <c r="BB24" i="8" s="1"/>
  <c r="BB101" i="8" s="1"/>
  <c r="BC25" i="8"/>
  <c r="BC24" i="8" s="1"/>
  <c r="BA25" i="8"/>
  <c r="R15" i="125"/>
  <c r="BA149" i="7"/>
  <c r="BN32" i="61"/>
  <c r="BN11" i="61"/>
  <c r="BN44" i="61" s="1"/>
  <c r="BN47" i="61" s="1"/>
  <c r="AB41" i="7"/>
  <c r="AB150" i="7"/>
  <c r="BA30" i="8"/>
  <c r="AZ27" i="8"/>
  <c r="P79" i="68"/>
  <c r="R77" i="68"/>
  <c r="P91" i="68"/>
  <c r="N93" i="68"/>
  <c r="AZ43" i="3"/>
  <c r="AZ39" i="3"/>
  <c r="AL14" i="64"/>
  <c r="AP50" i="9"/>
  <c r="AN50" i="9"/>
  <c r="AN51" i="9" s="1"/>
  <c r="BW49" i="7"/>
  <c r="BW43" i="7" s="1"/>
  <c r="BV48" i="7"/>
  <c r="EZ70" i="123"/>
  <c r="AJ13" i="136"/>
  <c r="AW13" i="136"/>
  <c r="N15" i="65"/>
  <c r="I13" i="65"/>
  <c r="DU173" i="7"/>
  <c r="DU171" i="7"/>
  <c r="DS170" i="7"/>
  <c r="N38" i="125"/>
  <c r="CX49" i="123"/>
  <c r="AT39" i="17"/>
  <c r="V39" i="17"/>
  <c r="AA39" i="17"/>
  <c r="AX39" i="17"/>
  <c r="AO39" i="17"/>
  <c r="E24" i="128"/>
  <c r="D34" i="128"/>
  <c r="E34" i="128" s="1"/>
  <c r="AA33" i="95"/>
  <c r="Z38" i="95"/>
  <c r="Z43" i="95" s="1"/>
  <c r="BZ18" i="7" s="1"/>
  <c r="Z35" i="95"/>
  <c r="Z40" i="95" s="1"/>
  <c r="Z45" i="95" s="1"/>
  <c r="AQ12" i="135"/>
  <c r="AR12" i="135" s="1"/>
  <c r="W20" i="70"/>
  <c r="V21" i="70"/>
  <c r="AD49" i="123"/>
  <c r="AF94" i="7"/>
  <c r="AG176" i="7"/>
  <c r="AG177" i="7" s="1"/>
  <c r="AG174" i="7"/>
  <c r="CK10" i="136"/>
  <c r="CK38" i="8"/>
  <c r="CF23" i="7"/>
  <c r="CT149" i="7"/>
  <c r="CT15" i="7"/>
  <c r="CT8" i="7" s="1"/>
  <c r="CT71" i="7" s="1"/>
  <c r="CT73" i="7" s="1"/>
  <c r="I17" i="66"/>
  <c r="F15" i="66"/>
  <c r="BK52" i="7"/>
  <c r="CF9" i="7"/>
  <c r="Z121" i="8"/>
  <c r="Z126" i="8"/>
  <c r="W17" i="125"/>
  <c r="W18" i="125"/>
  <c r="AS39" i="7"/>
  <c r="AW100" i="8"/>
  <c r="AF66" i="32"/>
  <c r="AF61" i="32" s="1"/>
  <c r="T66" i="32"/>
  <c r="Q67" i="32"/>
  <c r="Q68" i="32" s="1"/>
  <c r="Q61" i="32"/>
  <c r="CS11" i="135"/>
  <c r="CS39" i="7"/>
  <c r="CV11" i="135"/>
  <c r="CV39" i="7"/>
  <c r="AO16" i="7"/>
  <c r="AO152" i="7" s="1"/>
  <c r="AN152" i="7"/>
  <c r="T15" i="125"/>
  <c r="Y81" i="8"/>
  <c r="AF81" i="8" s="1"/>
  <c r="AF61" i="8"/>
  <c r="Y78" i="8"/>
  <c r="AF78" i="8" s="1"/>
  <c r="Y80" i="8"/>
  <c r="Y84" i="8"/>
  <c r="DC126" i="8"/>
  <c r="DD127" i="8"/>
  <c r="DD129" i="8"/>
  <c r="DD130" i="8" s="1"/>
  <c r="AA17" i="64"/>
  <c r="P12" i="102"/>
  <c r="CK9" i="123"/>
  <c r="EK13" i="123"/>
  <c r="EJ13" i="123" s="1"/>
  <c r="EA13" i="123"/>
  <c r="Y20" i="126" s="1"/>
  <c r="Z20" i="126"/>
  <c r="DI144" i="7"/>
  <c r="DG9" i="7"/>
  <c r="DG144" i="7" s="1"/>
  <c r="R10" i="68"/>
  <c r="R9" i="68"/>
  <c r="R12" i="68"/>
  <c r="R11" i="68"/>
  <c r="CV152" i="7"/>
  <c r="AQ55" i="9"/>
  <c r="AL55" i="9"/>
  <c r="AO55" i="9" s="1"/>
  <c r="BA55" i="9"/>
  <c r="U55" i="126"/>
  <c r="EC64" i="123"/>
  <c r="CM64" i="123"/>
  <c r="BD34" i="11"/>
  <c r="BH34" i="11" s="1"/>
  <c r="BD35" i="11"/>
  <c r="BH35" i="11" s="1"/>
  <c r="BD31" i="11"/>
  <c r="BH31" i="11" s="1"/>
  <c r="BD33" i="11"/>
  <c r="BH33" i="11" s="1"/>
  <c r="BD32" i="11"/>
  <c r="BH32" i="11" s="1"/>
  <c r="BD30" i="11"/>
  <c r="BH30" i="11" s="1"/>
  <c r="BD29" i="11"/>
  <c r="BH29" i="11" s="1"/>
  <c r="DA13" i="8"/>
  <c r="CZ29" i="8"/>
  <c r="AR81" i="8"/>
  <c r="AR78" i="8"/>
  <c r="AR80" i="8"/>
  <c r="AR84" i="8"/>
  <c r="AR85" i="8" s="1"/>
  <c r="DM103" i="8"/>
  <c r="DX123" i="8"/>
  <c r="DX124" i="8" s="1"/>
  <c r="DY126" i="8"/>
  <c r="DY124" i="8"/>
  <c r="V32" i="32"/>
  <c r="V36" i="32" s="1"/>
  <c r="V39" i="32" s="1"/>
  <c r="G9" i="86" s="1"/>
  <c r="G12" i="86" s="1"/>
  <c r="I19" i="87" s="1"/>
  <c r="T29" i="32"/>
  <c r="BH49" i="123"/>
  <c r="AX49" i="123"/>
  <c r="AA35" i="7"/>
  <c r="AP41" i="7"/>
  <c r="AI41" i="7"/>
  <c r="AN40" i="7"/>
  <c r="BH51" i="123"/>
  <c r="AX51" i="123"/>
  <c r="N81" i="68"/>
  <c r="N82" i="68"/>
  <c r="N80" i="68"/>
  <c r="N83" i="68"/>
  <c r="T38" i="95"/>
  <c r="T43" i="95" s="1"/>
  <c r="U33" i="95"/>
  <c r="P48" i="68"/>
  <c r="P46" i="68"/>
  <c r="P49" i="68"/>
  <c r="P47" i="68"/>
  <c r="AO121" i="8"/>
  <c r="AO126" i="8"/>
  <c r="CU48" i="7"/>
  <c r="AL42" i="7"/>
  <c r="BG153" i="7"/>
  <c r="BG166" i="7" s="1"/>
  <c r="BG71" i="7"/>
  <c r="BA24" i="7"/>
  <c r="AM24" i="7"/>
  <c r="AL25" i="7"/>
  <c r="AX11" i="136"/>
  <c r="AX7" i="136" s="1"/>
  <c r="BB39" i="3"/>
  <c r="BB43" i="3"/>
  <c r="DS124" i="8"/>
  <c r="DS126" i="8"/>
  <c r="DR123" i="8"/>
  <c r="DR124" i="8" s="1"/>
  <c r="S35" i="7"/>
  <c r="S71" i="7" s="1"/>
  <c r="R35" i="7"/>
  <c r="R71" i="7" s="1"/>
  <c r="Z35" i="7"/>
  <c r="Q71" i="7"/>
  <c r="DJ152" i="7"/>
  <c r="AQ48" i="9"/>
  <c r="AN9" i="7"/>
  <c r="BA48" i="9"/>
  <c r="DH13" i="7"/>
  <c r="CW45" i="123"/>
  <c r="ER71" i="123"/>
  <c r="BY44" i="123"/>
  <c r="DA10" i="136"/>
  <c r="DA38" i="8"/>
  <c r="CV23" i="7"/>
  <c r="Y28" i="98"/>
  <c r="T78" i="8"/>
  <c r="T81" i="8"/>
  <c r="AI103" i="8"/>
  <c r="AW16" i="8"/>
  <c r="AJ16" i="8"/>
  <c r="BA16" i="8"/>
  <c r="N17" i="125"/>
  <c r="N18" i="125"/>
  <c r="BL55" i="7"/>
  <c r="F14" i="66"/>
  <c r="I14" i="66" s="1"/>
  <c r="N14" i="66" s="1"/>
  <c r="AD42" i="7"/>
  <c r="AD152" i="7" s="1"/>
  <c r="DJ70" i="123"/>
  <c r="X13" i="125"/>
  <c r="C16" i="99"/>
  <c r="C15" i="99"/>
  <c r="C19" i="99"/>
  <c r="C18" i="99"/>
  <c r="AX39" i="8"/>
  <c r="AX34" i="8" s="1"/>
  <c r="AX61" i="8" s="1"/>
  <c r="AX100" i="8"/>
  <c r="CH51" i="72"/>
  <c r="DJ39" i="7"/>
  <c r="CS15" i="7"/>
  <c r="CR13" i="7"/>
  <c r="AZ33" i="7"/>
  <c r="BA32" i="7"/>
  <c r="AJ33" i="8"/>
  <c r="AW33" i="8"/>
  <c r="BA33" i="8"/>
  <c r="AI27" i="8"/>
  <c r="T16" i="125"/>
  <c r="Q9" i="102"/>
  <c r="AB18" i="61"/>
  <c r="BB106" i="8"/>
  <c r="F17" i="65" s="1"/>
  <c r="F13" i="65" s="1"/>
  <c r="AZ48" i="8"/>
  <c r="AZ106" i="8" s="1"/>
  <c r="AS16" i="7"/>
  <c r="EA9" i="123"/>
  <c r="Y16" i="126" s="1"/>
  <c r="EK9" i="123"/>
  <c r="Z16" i="126"/>
  <c r="AD50" i="123"/>
  <c r="T50" i="123"/>
  <c r="AC50" i="123" s="1"/>
  <c r="M41" i="126" s="1"/>
  <c r="M15" i="105"/>
  <c r="M20" i="105" s="1"/>
  <c r="I7" i="105"/>
  <c r="H14" i="105"/>
  <c r="CJ70" i="123"/>
  <c r="AK71" i="123"/>
  <c r="CU152" i="7"/>
  <c r="BF27" i="7"/>
  <c r="BD50" i="72"/>
  <c r="BG50" i="72" s="1"/>
  <c r="BF50" i="72"/>
  <c r="BS50" i="72" s="1"/>
  <c r="K19" i="32"/>
  <c r="BD56" i="72"/>
  <c r="AA43" i="3"/>
  <c r="AC43" i="3" s="1"/>
  <c r="AC39" i="3"/>
  <c r="BD56" i="9"/>
  <c r="E18" i="84"/>
  <c r="DP13" i="8"/>
  <c r="Y121" i="8"/>
  <c r="AF121" i="8" s="1"/>
  <c r="Y126" i="8"/>
  <c r="AF119" i="8"/>
  <c r="CY168" i="7"/>
  <c r="CY170" i="7"/>
  <c r="BZ7" i="135"/>
  <c r="BZ15" i="135"/>
  <c r="AA101" i="8"/>
  <c r="AA25" i="8"/>
  <c r="AP48" i="72"/>
  <c r="AM51" i="72"/>
  <c r="AP51" i="72" s="1"/>
  <c r="AN48" i="72"/>
  <c r="DL103" i="8"/>
  <c r="AR43" i="3"/>
  <c r="DB188" i="7"/>
  <c r="DB199" i="7" s="1"/>
  <c r="BH17" i="61"/>
  <c r="BH15" i="61" s="1"/>
  <c r="BH12" i="61" s="1"/>
  <c r="DB166" i="7"/>
  <c r="AC18" i="125"/>
  <c r="AC17" i="125"/>
  <c r="T40" i="95"/>
  <c r="T45" i="95" s="1"/>
  <c r="BW18" i="7" s="1"/>
  <c r="BV18" i="7" s="1"/>
  <c r="U35" i="95"/>
  <c r="R45" i="68"/>
  <c r="T43" i="68"/>
  <c r="T45" i="68" s="1"/>
  <c r="S81" i="8"/>
  <c r="S78" i="8"/>
  <c r="AM121" i="8"/>
  <c r="AM126" i="8"/>
  <c r="DJ48" i="7"/>
  <c r="AJ41" i="8"/>
  <c r="AW41" i="8"/>
  <c r="BH71" i="7"/>
  <c r="BH153" i="7"/>
  <c r="BH166" i="7" s="1"/>
  <c r="DH152" i="7"/>
  <c r="N17" i="65"/>
  <c r="G34" i="63"/>
  <c r="L21" i="87" s="1"/>
  <c r="K21" i="87" s="1"/>
  <c r="DF129" i="8"/>
  <c r="DF130" i="8" s="1"/>
  <c r="DF127" i="8"/>
  <c r="AT69" i="123"/>
  <c r="AK60" i="19"/>
  <c r="AL56" i="19" s="1"/>
  <c r="AA7" i="135"/>
  <c r="AP13" i="135"/>
  <c r="AI13" i="135"/>
  <c r="AN12" i="135"/>
  <c r="AR11" i="135"/>
  <c r="AS11" i="135" s="1"/>
  <c r="AM51" i="9"/>
  <c r="AP51" i="9" s="1"/>
  <c r="CA8" i="7"/>
  <c r="DI15" i="7"/>
  <c r="DI8" i="7" s="1"/>
  <c r="DI149" i="7"/>
  <c r="BF15" i="7"/>
  <c r="DO38" i="8"/>
  <c r="DK23" i="7"/>
  <c r="AA129" i="8"/>
  <c r="AA130" i="8" s="1"/>
  <c r="AA127" i="8"/>
  <c r="V78" i="6"/>
  <c r="V83" i="6"/>
  <c r="V89" i="6"/>
  <c r="V94" i="6"/>
  <c r="V99" i="6"/>
  <c r="V76" i="6"/>
  <c r="V80" i="6"/>
  <c r="V85" i="6"/>
  <c r="V92" i="6"/>
  <c r="V97" i="6"/>
  <c r="V81" i="6"/>
  <c r="V93" i="6"/>
  <c r="V75" i="6"/>
  <c r="V84" i="6"/>
  <c r="V96" i="6"/>
  <c r="X74" i="6"/>
  <c r="AK26" i="8" s="1"/>
  <c r="V77" i="6"/>
  <c r="V86" i="6"/>
  <c r="V98" i="6"/>
  <c r="V79" i="6"/>
  <c r="V91" i="6"/>
  <c r="AM16" i="8"/>
  <c r="AM103" i="8" s="1"/>
  <c r="DJ129" i="8"/>
  <c r="DJ130" i="8" s="1"/>
  <c r="DI126" i="8"/>
  <c r="DJ127" i="8"/>
  <c r="BI71" i="7"/>
  <c r="BI153" i="7"/>
  <c r="BI166" i="7" s="1"/>
  <c r="EX49" i="123"/>
  <c r="FG49" i="123" s="1"/>
  <c r="EA64" i="123"/>
  <c r="EJ64" i="123" s="1"/>
  <c r="S55" i="126"/>
  <c r="BH50" i="123"/>
  <c r="AX50" i="123"/>
  <c r="AQ126" i="8"/>
  <c r="AQ121" i="8"/>
  <c r="Y16" i="125"/>
  <c r="L17" i="125"/>
  <c r="AY48" i="123"/>
  <c r="AO48" i="123"/>
  <c r="L15" i="125"/>
  <c r="AJ18" i="8"/>
  <c r="AI17" i="8"/>
  <c r="AJ17" i="8" s="1"/>
  <c r="AW18" i="8"/>
  <c r="AK18" i="8"/>
  <c r="BA18" i="8"/>
  <c r="CS188" i="7"/>
  <c r="BC17" i="61"/>
  <c r="CF11" i="135"/>
  <c r="CF39" i="7"/>
  <c r="W38" i="66"/>
  <c r="W39" i="66"/>
  <c r="AL34" i="7"/>
  <c r="AN27" i="7"/>
  <c r="EL8" i="123"/>
  <c r="EJ8" i="123" s="1"/>
  <c r="AA15" i="126"/>
  <c r="G19" i="127" s="1"/>
  <c r="I19" i="127" s="1"/>
  <c r="CS9" i="7"/>
  <c r="AI18" i="95"/>
  <c r="AI28" i="95" s="1"/>
  <c r="AI30" i="95"/>
  <c r="Z7" i="135"/>
  <c r="S7" i="135"/>
  <c r="S15" i="135" s="1"/>
  <c r="R7" i="135"/>
  <c r="R15" i="135" s="1"/>
  <c r="Q15" i="135"/>
  <c r="Z15" i="135" s="1"/>
  <c r="S17" i="125"/>
  <c r="AQ55" i="72"/>
  <c r="AL55" i="72"/>
  <c r="AO55" i="72" s="1"/>
  <c r="BA55" i="72"/>
  <c r="W66" i="125"/>
  <c r="P7" i="105"/>
  <c r="P6" i="105" s="1"/>
  <c r="M6" i="105"/>
  <c r="EO67" i="123"/>
  <c r="DF67" i="123"/>
  <c r="DO67" i="123" s="1"/>
  <c r="DQ67" i="123"/>
  <c r="BE27" i="7"/>
  <c r="AK9" i="8"/>
  <c r="AJ9" i="8"/>
  <c r="AI96" i="8"/>
  <c r="AW9" i="8"/>
  <c r="BA9" i="8"/>
  <c r="BS13" i="8"/>
  <c r="DA103" i="8"/>
  <c r="AM26" i="7"/>
  <c r="BA26" i="7"/>
  <c r="CM188" i="7"/>
  <c r="CM199" i="7" s="1"/>
  <c r="BA17" i="61"/>
  <c r="BA15" i="61" s="1"/>
  <c r="BA12" i="61" s="1"/>
  <c r="CM166" i="7"/>
  <c r="BI32" i="61"/>
  <c r="BI11" i="61"/>
  <c r="BI44" i="61" s="1"/>
  <c r="BI47" i="61" s="1"/>
  <c r="Q17" i="125"/>
  <c r="Q18" i="125"/>
  <c r="X70" i="123"/>
  <c r="BG32" i="61"/>
  <c r="BG11" i="61"/>
  <c r="BG44" i="61" s="1"/>
  <c r="BG47" i="61" s="1"/>
  <c r="EL11" i="123"/>
  <c r="EJ11" i="123" s="1"/>
  <c r="EA11" i="123"/>
  <c r="Y18" i="126" s="1"/>
  <c r="AA18" i="126"/>
  <c r="T51" i="123"/>
  <c r="AD51" i="123"/>
  <c r="CS48" i="72"/>
  <c r="CR51" i="72"/>
  <c r="BB40" i="7"/>
  <c r="BB149" i="7"/>
  <c r="FN73" i="123"/>
  <c r="FE72" i="123"/>
  <c r="AC41" i="7"/>
  <c r="AC35" i="7" s="1"/>
  <c r="AC150" i="7"/>
  <c r="AQ40" i="7"/>
  <c r="AR40" i="7" s="1"/>
  <c r="AC37" i="95"/>
  <c r="AB41" i="95"/>
  <c r="AB46" i="95" s="1"/>
  <c r="AB50" i="95" s="1"/>
  <c r="K20" i="87"/>
  <c r="L97" i="68"/>
  <c r="L96" i="68"/>
  <c r="L95" i="68"/>
  <c r="L94" i="68"/>
  <c r="AS26" i="7"/>
  <c r="X23" i="125"/>
  <c r="BL39" i="17"/>
  <c r="BC39" i="17"/>
  <c r="AN96" i="8"/>
  <c r="AN119" i="8" s="1"/>
  <c r="CG48" i="7"/>
  <c r="AL121" i="8"/>
  <c r="AL126" i="8"/>
  <c r="AS34" i="7"/>
  <c r="AL14" i="135"/>
  <c r="DI53" i="7"/>
  <c r="AC19" i="104"/>
  <c r="AC23" i="104" s="1"/>
  <c r="V117" i="6"/>
  <c r="V116" i="6"/>
  <c r="V121" i="6"/>
  <c r="V115" i="6"/>
  <c r="V119" i="6"/>
  <c r="V114" i="6"/>
  <c r="V122" i="6"/>
  <c r="X113" i="6"/>
  <c r="AQ14" i="135"/>
  <c r="AR14" i="135" s="1"/>
  <c r="DG152" i="7"/>
  <c r="AN23" i="8"/>
  <c r="AN100" i="8" s="1"/>
  <c r="AM100" i="8"/>
  <c r="AQ84" i="8"/>
  <c r="AQ85" i="8" s="1"/>
  <c r="AQ78" i="8"/>
  <c r="AQ81" i="8"/>
  <c r="AQ80" i="8"/>
  <c r="CH42" i="7"/>
  <c r="CG42" i="7"/>
  <c r="I24" i="128"/>
  <c r="F34" i="128"/>
  <c r="I34" i="128" s="1"/>
  <c r="BP24" i="17"/>
  <c r="BN39" i="17"/>
  <c r="BP39" i="17" s="1"/>
  <c r="BF50" i="9"/>
  <c r="BD50" i="9"/>
  <c r="CF152" i="7"/>
  <c r="BF149" i="7"/>
  <c r="ES71" i="123"/>
  <c r="FT70" i="123"/>
  <c r="FT71" i="123" s="1"/>
  <c r="EH70" i="123"/>
  <c r="CI71" i="123"/>
  <c r="CB44" i="123"/>
  <c r="CK44" i="123" s="1"/>
  <c r="AG57" i="126"/>
  <c r="GK66" i="123"/>
  <c r="GB57" i="123"/>
  <c r="AA48" i="126"/>
  <c r="EL57" i="123"/>
  <c r="BR52" i="123"/>
  <c r="R43" i="126" s="1"/>
  <c r="DQ52" i="123"/>
  <c r="X43" i="126" s="1"/>
  <c r="CL96" i="122"/>
  <c r="CY39" i="123"/>
  <c r="AM37" i="123"/>
  <c r="N28" i="126"/>
  <c r="DG37" i="123"/>
  <c r="DF37" i="123" s="1"/>
  <c r="CW37" i="123"/>
  <c r="CL25" i="122"/>
  <c r="AE40" i="123"/>
  <c r="CL34" i="122"/>
  <c r="CL56" i="122"/>
  <c r="FP54" i="123"/>
  <c r="T37" i="126"/>
  <c r="CL46" i="123"/>
  <c r="EB46" i="123"/>
  <c r="DQ45" i="123"/>
  <c r="X36" i="126" s="1"/>
  <c r="BG37" i="123"/>
  <c r="BP37" i="123" s="1"/>
  <c r="BQ37" i="123"/>
  <c r="CC37" i="123" s="1"/>
  <c r="B61" i="123"/>
  <c r="X41" i="126"/>
  <c r="DZ50" i="123"/>
  <c r="CL54" i="122"/>
  <c r="BR38" i="123"/>
  <c r="CD38" i="123" s="1"/>
  <c r="X49" i="126"/>
  <c r="DZ58" i="123"/>
  <c r="CA40" i="123"/>
  <c r="R31" i="126"/>
  <c r="N39" i="126"/>
  <c r="AM48" i="123"/>
  <c r="L61" i="123"/>
  <c r="BR39" i="123"/>
  <c r="M52" i="123"/>
  <c r="O29" i="126"/>
  <c r="AN38" i="123"/>
  <c r="EX58" i="123"/>
  <c r="FG58" i="123" s="1"/>
  <c r="FP58" i="123" s="1"/>
  <c r="EX52" i="123"/>
  <c r="FG52" i="123" s="1"/>
  <c r="BR58" i="123"/>
  <c r="CY38" i="123"/>
  <c r="AD51" i="126"/>
  <c r="FY60" i="123"/>
  <c r="EA27" i="123"/>
  <c r="EJ27" i="123" s="1"/>
  <c r="FZ21" i="123"/>
  <c r="EJ21" i="123"/>
  <c r="GJ21" i="123"/>
  <c r="GA27" i="123"/>
  <c r="GJ27" i="123" s="1"/>
  <c r="EG65" i="123"/>
  <c r="EG76" i="123"/>
  <c r="DQ55" i="123"/>
  <c r="FG53" i="123"/>
  <c r="FP53" i="123" s="1"/>
  <c r="FF44" i="123"/>
  <c r="FO44" i="123" s="1"/>
  <c r="EL37" i="123"/>
  <c r="AA28" i="126"/>
  <c r="DF45" i="123"/>
  <c r="DP45" i="123"/>
  <c r="CL81" i="122"/>
  <c r="BP45" i="123"/>
  <c r="FF45" i="123"/>
  <c r="DQ36" i="123"/>
  <c r="EX44" i="123"/>
  <c r="FG44" i="123" s="1"/>
  <c r="FP37" i="123"/>
  <c r="CA36" i="123"/>
  <c r="R27" i="126"/>
  <c r="CD36" i="123"/>
  <c r="Q36" i="126"/>
  <c r="CC45" i="123"/>
  <c r="BZ45" i="123"/>
  <c r="GC42" i="123"/>
  <c r="EA74" i="123"/>
  <c r="CK74" i="123"/>
  <c r="CB72" i="123"/>
  <c r="CK72" i="123" s="1"/>
  <c r="GC64" i="123"/>
  <c r="EX36" i="123"/>
  <c r="K43" i="123"/>
  <c r="U43" i="123"/>
  <c r="CL30" i="122"/>
  <c r="DQ53" i="123"/>
  <c r="EX45" i="123"/>
  <c r="FG45" i="123" s="1"/>
  <c r="DZ37" i="123"/>
  <c r="X28" i="126"/>
  <c r="K47" i="123"/>
  <c r="U47" i="123"/>
  <c r="T47" i="123" s="1"/>
  <c r="U36" i="126"/>
  <c r="CM45" i="123"/>
  <c r="FG59" i="123"/>
  <c r="FE59" i="123" s="1"/>
  <c r="EV59" i="123"/>
  <c r="FI71" i="123"/>
  <c r="AZ47" i="123"/>
  <c r="BI47" i="123" s="1"/>
  <c r="AY47" i="123"/>
  <c r="AO47" i="123"/>
  <c r="CL71" i="122"/>
  <c r="DF44" i="123"/>
  <c r="DP44" i="123"/>
  <c r="AF50" i="126"/>
  <c r="GJ59" i="123"/>
  <c r="DF59" i="123"/>
  <c r="DO59" i="123" s="1"/>
  <c r="DQ59" i="123"/>
  <c r="FG55" i="123"/>
  <c r="AA51" i="126"/>
  <c r="GB60" i="123"/>
  <c r="EL60" i="123"/>
  <c r="AZ43" i="123"/>
  <c r="AO43" i="123"/>
  <c r="AY43" i="123"/>
  <c r="CW44" i="123"/>
  <c r="AB65" i="125"/>
  <c r="Q63" i="125"/>
  <c r="S65" i="125"/>
  <c r="Z63" i="125"/>
  <c r="X63" i="125"/>
  <c r="W63" i="125"/>
  <c r="Q60" i="125"/>
  <c r="O35" i="125"/>
  <c r="AC37" i="125"/>
  <c r="T51" i="125"/>
  <c r="S49" i="125"/>
  <c r="Y51" i="125"/>
  <c r="Q35" i="125"/>
  <c r="V48" i="125"/>
  <c r="R49" i="125"/>
  <c r="W51" i="125"/>
  <c r="Y48" i="125"/>
  <c r="P44" i="125"/>
  <c r="DP143" i="8"/>
  <c r="AW17" i="65"/>
  <c r="BI17" i="65" s="1"/>
  <c r="AN13" i="65"/>
  <c r="AO17" i="65"/>
  <c r="BL19" i="61"/>
  <c r="DJ62" i="7"/>
  <c r="DK190" i="7"/>
  <c r="DK155" i="7"/>
  <c r="DO106" i="8"/>
  <c r="DH190" i="7"/>
  <c r="DH155" i="7"/>
  <c r="DG62" i="7"/>
  <c r="BJ19" i="61"/>
  <c r="CR155" i="7"/>
  <c r="AU17" i="65"/>
  <c r="H20" i="79"/>
  <c r="F22" i="79"/>
  <c r="H22" i="79" s="1"/>
  <c r="F24" i="79"/>
  <c r="H24" i="79" s="1"/>
  <c r="F25" i="79"/>
  <c r="H25" i="79" s="1"/>
  <c r="F26" i="79"/>
  <c r="H26" i="79" s="1"/>
  <c r="F23" i="79"/>
  <c r="H23" i="79" s="1"/>
  <c r="F21" i="79"/>
  <c r="H21" i="79" s="1"/>
  <c r="DL106" i="8"/>
  <c r="R65" i="125"/>
  <c r="Q57" i="125"/>
  <c r="Q56" i="125"/>
  <c r="T55" i="125"/>
  <c r="W55" i="125"/>
  <c r="W54" i="125"/>
  <c r="T54" i="125"/>
  <c r="Q53" i="125"/>
  <c r="AF48" i="125"/>
  <c r="Z36" i="125"/>
  <c r="AC35" i="125"/>
  <c r="CE63" i="123" l="1"/>
  <c r="ED63" i="123" s="1"/>
  <c r="GC63" i="123" s="1"/>
  <c r="W76" i="123"/>
  <c r="CB54" i="120"/>
  <c r="CH54" i="120" s="1"/>
  <c r="BD99" i="120"/>
  <c r="BE198" i="120"/>
  <c r="BK198" i="120" s="1"/>
  <c r="BK99" i="120"/>
  <c r="CW27" i="17"/>
  <c r="CX27" i="17" s="1"/>
  <c r="CF31" i="7" s="1"/>
  <c r="CG31" i="7" s="1"/>
  <c r="ER27" i="17"/>
  <c r="ES27" i="17" s="1"/>
  <c r="H48" i="143"/>
  <c r="CI54" i="120"/>
  <c r="CI122" i="120"/>
  <c r="CB122" i="120"/>
  <c r="CH122" i="120" s="1"/>
  <c r="DV149" i="7"/>
  <c r="DV15" i="7"/>
  <c r="DV8" i="7" s="1"/>
  <c r="EE45" i="7"/>
  <c r="EE43" i="7" s="1"/>
  <c r="EF43" i="7"/>
  <c r="EA16" i="8"/>
  <c r="EB103" i="8"/>
  <c r="CB29" i="120"/>
  <c r="CH29" i="120" s="1"/>
  <c r="CD28" i="120"/>
  <c r="D29" i="120"/>
  <c r="CJ29" i="120"/>
  <c r="CD195" i="120"/>
  <c r="CH36" i="120"/>
  <c r="CB203" i="120"/>
  <c r="CC98" i="122"/>
  <c r="EK40" i="8"/>
  <c r="EJ38" i="8"/>
  <c r="EJ40" i="8" s="1"/>
  <c r="EG33" i="8"/>
  <c r="EG27" i="8" s="1"/>
  <c r="EH27" i="8"/>
  <c r="EE14" i="8"/>
  <c r="EE8" i="8" s="1"/>
  <c r="ED13" i="8"/>
  <c r="CC33" i="120"/>
  <c r="CC28" i="120" s="1"/>
  <c r="EF15" i="7"/>
  <c r="EF8" i="7" s="1"/>
  <c r="EE13" i="7"/>
  <c r="CB126" i="120"/>
  <c r="CC128" i="120"/>
  <c r="CI128" i="120" s="1"/>
  <c r="C126" i="120"/>
  <c r="CI126" i="120"/>
  <c r="C29" i="120"/>
  <c r="CI29" i="120"/>
  <c r="EH103" i="8"/>
  <c r="EG16" i="8"/>
  <c r="AF42" i="122"/>
  <c r="AG156" i="122"/>
  <c r="AM156" i="122" s="1"/>
  <c r="AM42" i="122"/>
  <c r="AP42" i="122"/>
  <c r="BE42" i="122" s="1"/>
  <c r="EC33" i="17"/>
  <c r="ED33" i="17" s="1"/>
  <c r="DP23" i="8" s="1"/>
  <c r="DO23" i="8" s="1"/>
  <c r="ER33" i="17"/>
  <c r="ES33" i="17" s="1"/>
  <c r="E47" i="143"/>
  <c r="G47" i="143" s="1"/>
  <c r="D48" i="143" s="1"/>
  <c r="AO76" i="122"/>
  <c r="AO157" i="122" s="1"/>
  <c r="BN76" i="122"/>
  <c r="AP157" i="122"/>
  <c r="CO39" i="123" s="1"/>
  <c r="AL76" i="122"/>
  <c r="AF157" i="122"/>
  <c r="AL157" i="122" s="1"/>
  <c r="AL99" i="120"/>
  <c r="AF198" i="120"/>
  <c r="AL198" i="120" s="1"/>
  <c r="EA41" i="8"/>
  <c r="EA34" i="8" s="1"/>
  <c r="EB34" i="8"/>
  <c r="U50" i="121"/>
  <c r="T50" i="121" s="1"/>
  <c r="K50" i="121"/>
  <c r="CB38" i="120"/>
  <c r="CC239" i="120"/>
  <c r="CI239" i="120" s="1"/>
  <c r="C38" i="120"/>
  <c r="CC205" i="120"/>
  <c r="CI205" i="120" s="1"/>
  <c r="CI38" i="120"/>
  <c r="CB62" i="120"/>
  <c r="CC61" i="120"/>
  <c r="CC64" i="120"/>
  <c r="CI64" i="120" s="1"/>
  <c r="CI62" i="120"/>
  <c r="C62" i="120"/>
  <c r="EJ13" i="8"/>
  <c r="EK15" i="8"/>
  <c r="CC26" i="122"/>
  <c r="DZ17" i="7"/>
  <c r="DY13" i="7"/>
  <c r="DZ14" i="7"/>
  <c r="DZ8" i="7" s="1"/>
  <c r="BK76" i="122"/>
  <c r="BD76" i="122"/>
  <c r="BE157" i="122"/>
  <c r="BK157" i="122" s="1"/>
  <c r="BN99" i="120"/>
  <c r="CM99" i="120" s="1"/>
  <c r="AO99" i="120"/>
  <c r="AO198" i="120" s="1"/>
  <c r="AP198" i="120"/>
  <c r="CO50" i="121" s="1"/>
  <c r="EG41" i="8"/>
  <c r="EG34" i="8" s="1"/>
  <c r="EH34" i="8"/>
  <c r="CC204" i="120"/>
  <c r="CI204" i="120" s="1"/>
  <c r="CB37" i="120"/>
  <c r="CI37" i="120"/>
  <c r="C37" i="120"/>
  <c r="CC238" i="120"/>
  <c r="EE39" i="8"/>
  <c r="ED39" i="8" s="1"/>
  <c r="ED38" i="8"/>
  <c r="ED34" i="8" s="1"/>
  <c r="C58" i="120"/>
  <c r="CB58" i="120"/>
  <c r="CC60" i="120"/>
  <c r="CI60" i="120" s="1"/>
  <c r="CI58" i="120"/>
  <c r="AO50" i="121"/>
  <c r="AY50" i="121"/>
  <c r="EA33" i="8"/>
  <c r="EA27" i="8" s="1"/>
  <c r="EB27" i="8"/>
  <c r="EK29" i="8"/>
  <c r="EE29" i="8"/>
  <c r="CI203" i="120"/>
  <c r="EB15" i="7"/>
  <c r="EB8" i="7" s="1"/>
  <c r="EB149" i="7"/>
  <c r="EJ97" i="8"/>
  <c r="C43" i="122"/>
  <c r="CB43" i="122"/>
  <c r="CH43" i="122" s="1"/>
  <c r="CI43" i="122"/>
  <c r="CB94" i="122"/>
  <c r="CH94" i="122" s="1"/>
  <c r="CI94" i="122"/>
  <c r="CI95" i="122"/>
  <c r="CB95" i="122"/>
  <c r="CH95" i="122" s="1"/>
  <c r="C95" i="122"/>
  <c r="C80" i="122"/>
  <c r="CB80" i="122"/>
  <c r="CH80" i="122" s="1"/>
  <c r="CI80" i="122"/>
  <c r="C23" i="122"/>
  <c r="CB23" i="122"/>
  <c r="CI23" i="122"/>
  <c r="CC154" i="122"/>
  <c r="CI154" i="122" s="1"/>
  <c r="CB165" i="122"/>
  <c r="CH165" i="122" s="1"/>
  <c r="CH161" i="122"/>
  <c r="CW47" i="8"/>
  <c r="CW105" i="8" s="1"/>
  <c r="BX14" i="7"/>
  <c r="BX15" i="7" s="1"/>
  <c r="DL15" i="7" s="1"/>
  <c r="BC15" i="61"/>
  <c r="B54" i="120"/>
  <c r="R54" i="120"/>
  <c r="AG54" i="120" s="1"/>
  <c r="C199" i="120"/>
  <c r="C51" i="121" s="1"/>
  <c r="CB199" i="120"/>
  <c r="CH199" i="120" s="1"/>
  <c r="G17" i="127"/>
  <c r="I17" i="127"/>
  <c r="BV19" i="61"/>
  <c r="BX19" i="61"/>
  <c r="EE63" i="123"/>
  <c r="GD63" i="123" s="1"/>
  <c r="W65" i="123"/>
  <c r="F48" i="143"/>
  <c r="I3" i="143" s="1"/>
  <c r="K48" i="143"/>
  <c r="CP168" i="7"/>
  <c r="V67" i="96"/>
  <c r="DP19" i="8" s="1"/>
  <c r="DP102" i="8" s="1"/>
  <c r="AB62" i="96"/>
  <c r="Z65" i="96"/>
  <c r="Z63" i="96"/>
  <c r="AB52" i="96"/>
  <c r="Z55" i="96"/>
  <c r="Z53" i="96"/>
  <c r="EB155" i="7"/>
  <c r="EH143" i="8"/>
  <c r="BF17" i="65"/>
  <c r="EG106" i="8"/>
  <c r="BJ13" i="65" s="1"/>
  <c r="BB32" i="61"/>
  <c r="AS18" i="7"/>
  <c r="AP19" i="7"/>
  <c r="U42" i="126"/>
  <c r="EG150" i="7"/>
  <c r="DV155" i="7"/>
  <c r="EA106" i="8"/>
  <c r="EB143" i="8"/>
  <c r="BB17" i="65"/>
  <c r="BC17" i="65" s="1"/>
  <c r="BR19" i="61"/>
  <c r="BT19" i="61"/>
  <c r="BE17" i="65"/>
  <c r="CN127" i="8"/>
  <c r="AC51" i="123"/>
  <c r="AL51" i="123" s="1"/>
  <c r="BV15" i="7"/>
  <c r="AW24" i="8"/>
  <c r="AV17" i="8"/>
  <c r="AW17" i="8" s="1"/>
  <c r="AV25" i="8"/>
  <c r="AW25" i="8" s="1"/>
  <c r="AY126" i="8"/>
  <c r="AF174" i="7"/>
  <c r="AI19" i="7"/>
  <c r="AB19" i="7"/>
  <c r="AB151" i="7" s="1"/>
  <c r="AC19" i="7"/>
  <c r="AC151" i="7" s="1"/>
  <c r="AM146" i="7"/>
  <c r="BA146" i="7"/>
  <c r="DQ46" i="123"/>
  <c r="DF46" i="123"/>
  <c r="DO46" i="123" s="1"/>
  <c r="FG46" i="123"/>
  <c r="EV46" i="123"/>
  <c r="AD127" i="8"/>
  <c r="AE93" i="7"/>
  <c r="AE94" i="7" s="1"/>
  <c r="Y31" i="61"/>
  <c r="AF31" i="61"/>
  <c r="X51" i="125"/>
  <c r="DL33" i="17"/>
  <c r="DM33" i="17" s="1"/>
  <c r="DA23" i="8" s="1"/>
  <c r="CZ23" i="8" s="1"/>
  <c r="CS25" i="7"/>
  <c r="AN19" i="7"/>
  <c r="AL19" i="7" s="1"/>
  <c r="BA19" i="7" s="1"/>
  <c r="CW33" i="17"/>
  <c r="CX33" i="17" s="1"/>
  <c r="CK23" i="8" s="1"/>
  <c r="CL23" i="8" s="1"/>
  <c r="Z55" i="126"/>
  <c r="CR33" i="17"/>
  <c r="BS23" i="8" s="1"/>
  <c r="BT23" i="8" s="1"/>
  <c r="BT24" i="8" s="1"/>
  <c r="BT17" i="8" s="1"/>
  <c r="CH152" i="7"/>
  <c r="Z59" i="125"/>
  <c r="GA64" i="123"/>
  <c r="AF55" i="126" s="1"/>
  <c r="AC19" i="98"/>
  <c r="AD84" i="8"/>
  <c r="AD85" i="8" s="1"/>
  <c r="AC129" i="8"/>
  <c r="AC130" i="8" s="1"/>
  <c r="AC59" i="125"/>
  <c r="CM44" i="123"/>
  <c r="AL27" i="7"/>
  <c r="AM27" i="7" s="1"/>
  <c r="DZ35" i="17"/>
  <c r="EA35" i="17" s="1"/>
  <c r="DM10" i="136" s="1"/>
  <c r="BT30" i="8"/>
  <c r="BS30" i="8" s="1"/>
  <c r="BS31" i="8" s="1"/>
  <c r="CG152" i="7"/>
  <c r="CR48" i="7"/>
  <c r="CR50" i="7" s="1"/>
  <c r="EC44" i="123"/>
  <c r="AA35" i="126" s="1"/>
  <c r="D17" i="99"/>
  <c r="D20" i="99" s="1"/>
  <c r="E17" i="99" s="1"/>
  <c r="BN50" i="19" s="1"/>
  <c r="BN20" i="19" s="1"/>
  <c r="S35" i="126"/>
  <c r="AD80" i="8"/>
  <c r="CT28" i="17"/>
  <c r="CU28" i="17" s="1"/>
  <c r="BY39" i="7" s="1"/>
  <c r="U41" i="126"/>
  <c r="CH70" i="123"/>
  <c r="CH71" i="123" s="1"/>
  <c r="AD81" i="8"/>
  <c r="DZ44" i="123"/>
  <c r="M73" i="32"/>
  <c r="BW53" i="7" s="1"/>
  <c r="DL27" i="17"/>
  <c r="DM27" i="17" s="1"/>
  <c r="J72" i="68"/>
  <c r="CT33" i="17" s="1"/>
  <c r="CU33" i="17" s="1"/>
  <c r="BV23" i="8" s="1"/>
  <c r="CX24" i="17"/>
  <c r="CW24" i="17" s="1"/>
  <c r="CW39" i="17" s="1"/>
  <c r="CL63" i="122"/>
  <c r="CT35" i="17"/>
  <c r="CU35" i="17" s="1"/>
  <c r="BW10" i="136" s="1"/>
  <c r="U51" i="125"/>
  <c r="DZ28" i="17"/>
  <c r="EA28" i="17" s="1"/>
  <c r="DH39" i="7" s="1"/>
  <c r="DZ29" i="17"/>
  <c r="EA29" i="17" s="1"/>
  <c r="DH48" i="7" s="1"/>
  <c r="DG48" i="7" s="1"/>
  <c r="M40" i="126"/>
  <c r="CR27" i="17"/>
  <c r="BV31" i="7" s="1"/>
  <c r="T40" i="98"/>
  <c r="AB12" i="65" s="1"/>
  <c r="AF37" i="125"/>
  <c r="EM37" i="123"/>
  <c r="DI27" i="17"/>
  <c r="DJ27" i="17" s="1"/>
  <c r="CS31" i="7" s="1"/>
  <c r="DZ32" i="17"/>
  <c r="EA32" i="17" s="1"/>
  <c r="DM13" i="8" s="1"/>
  <c r="EC27" i="17"/>
  <c r="ED27" i="17" s="1"/>
  <c r="CF15" i="7"/>
  <c r="CH15" i="7" s="1"/>
  <c r="AB21" i="98"/>
  <c r="CT26" i="17"/>
  <c r="CU26" i="17" s="1"/>
  <c r="BY23" i="7" s="1"/>
  <c r="CT29" i="17"/>
  <c r="CU29" i="17" s="1"/>
  <c r="BZ48" i="7" s="1"/>
  <c r="BY48" i="7" s="1"/>
  <c r="AK50" i="19"/>
  <c r="AF49" i="19"/>
  <c r="AD50" i="19"/>
  <c r="AH56" i="19"/>
  <c r="AN59" i="7" s="1"/>
  <c r="AM49" i="19"/>
  <c r="CX10" i="136"/>
  <c r="CW10" i="136" s="1"/>
  <c r="DM31" i="17"/>
  <c r="DL31" i="17" s="1"/>
  <c r="DL40" i="17" s="1"/>
  <c r="L71" i="68"/>
  <c r="BV19" i="8"/>
  <c r="BX19" i="8" s="1"/>
  <c r="BX102" i="8" s="1"/>
  <c r="L70" i="68"/>
  <c r="S38" i="98"/>
  <c r="S43" i="98" s="1"/>
  <c r="BT9" i="8"/>
  <c r="AE23" i="66"/>
  <c r="AF23" i="66" s="1"/>
  <c r="BX144" i="8"/>
  <c r="V16" i="98"/>
  <c r="W11" i="98"/>
  <c r="V9" i="98"/>
  <c r="BY11" i="135"/>
  <c r="CL102" i="8"/>
  <c r="CK19" i="8"/>
  <c r="CK102" i="8" s="1"/>
  <c r="CT34" i="17"/>
  <c r="CU34" i="17" s="1"/>
  <c r="BW29" i="8" s="1"/>
  <c r="U21" i="98"/>
  <c r="U14" i="98"/>
  <c r="R63" i="68"/>
  <c r="P65" i="68"/>
  <c r="BT102" i="8"/>
  <c r="BS19" i="8"/>
  <c r="BS102" i="8" s="1"/>
  <c r="AH26" i="98"/>
  <c r="AC24" i="98"/>
  <c r="N69" i="68"/>
  <c r="N66" i="68"/>
  <c r="N68" i="68"/>
  <c r="N67" i="68"/>
  <c r="T42" i="98"/>
  <c r="T19" i="98"/>
  <c r="T38" i="98" s="1"/>
  <c r="BV13" i="8"/>
  <c r="CZ19" i="8"/>
  <c r="CZ102" i="8" s="1"/>
  <c r="DA102" i="8"/>
  <c r="U31" i="98"/>
  <c r="U36" i="98" s="1"/>
  <c r="V26" i="98"/>
  <c r="Z21" i="98"/>
  <c r="Z14" i="98"/>
  <c r="Z19" i="98" s="1"/>
  <c r="AA14" i="98"/>
  <c r="AA19" i="98" s="1"/>
  <c r="AA21" i="98"/>
  <c r="AL50" i="123"/>
  <c r="CE61" i="123"/>
  <c r="ED61" i="123" s="1"/>
  <c r="GC61" i="123" s="1"/>
  <c r="BU68" i="123"/>
  <c r="CG68" i="123" s="1"/>
  <c r="EF68" i="123" s="1"/>
  <c r="AR121" i="8"/>
  <c r="Y74" i="6"/>
  <c r="AL26" i="8" s="1"/>
  <c r="AL17" i="8" s="1"/>
  <c r="AA84" i="8"/>
  <c r="AA85" i="8" s="1"/>
  <c r="L86" i="68"/>
  <c r="FP49" i="123"/>
  <c r="AD40" i="126" s="1"/>
  <c r="AC36" i="125"/>
  <c r="CS50" i="7"/>
  <c r="AZ15" i="135"/>
  <c r="N52" i="68"/>
  <c r="CM50" i="123"/>
  <c r="AZ12" i="135"/>
  <c r="AZ13" i="135" s="1"/>
  <c r="CL65" i="122"/>
  <c r="AS27" i="7"/>
  <c r="P15" i="68"/>
  <c r="AD63" i="65"/>
  <c r="AD65" i="65" s="1"/>
  <c r="AD59" i="65"/>
  <c r="AE56" i="65"/>
  <c r="AD14" i="98"/>
  <c r="AD19" i="98" s="1"/>
  <c r="AD21" i="98"/>
  <c r="CL9" i="8" s="1"/>
  <c r="CK9" i="8" s="1"/>
  <c r="AI16" i="98"/>
  <c r="AM13" i="98"/>
  <c r="AN13" i="98"/>
  <c r="AI17" i="98"/>
  <c r="AI22" i="98" s="1"/>
  <c r="EQ69" i="123"/>
  <c r="EP68" i="123"/>
  <c r="FR68" i="123"/>
  <c r="S59" i="125"/>
  <c r="R59" i="125"/>
  <c r="AC43" i="125"/>
  <c r="AF43" i="125"/>
  <c r="X35" i="126"/>
  <c r="DI33" i="17"/>
  <c r="DJ33" i="17" s="1"/>
  <c r="CX23" i="8" s="1"/>
  <c r="CX25" i="8" s="1"/>
  <c r="CV15" i="7"/>
  <c r="CV14" i="7" s="1"/>
  <c r="DI34" i="17"/>
  <c r="DJ34" i="17" s="1"/>
  <c r="CX29" i="8" s="1"/>
  <c r="CX31" i="8" s="1"/>
  <c r="CX27" i="8" s="1"/>
  <c r="W27" i="98"/>
  <c r="V32" i="98"/>
  <c r="V37" i="98" s="1"/>
  <c r="V41" i="98" s="1"/>
  <c r="AB14" i="66" s="1"/>
  <c r="CL101" i="122"/>
  <c r="DQ51" i="123"/>
  <c r="EC51" i="123" s="1"/>
  <c r="AC38" i="66"/>
  <c r="AD37" i="66"/>
  <c r="AD38" i="66" s="1"/>
  <c r="DJ15" i="7"/>
  <c r="DJ14" i="7" s="1"/>
  <c r="DJ8" i="7" s="1"/>
  <c r="CU15" i="7"/>
  <c r="CU14" i="7" s="1"/>
  <c r="CU8" i="7" s="1"/>
  <c r="BO51" i="72"/>
  <c r="BP48" i="72"/>
  <c r="BR48" i="72"/>
  <c r="AJ39" i="8"/>
  <c r="AI40" i="8"/>
  <c r="BA40" i="8" s="1"/>
  <c r="BY56" i="72"/>
  <c r="CM56" i="72"/>
  <c r="BU48" i="72"/>
  <c r="AJ11" i="136"/>
  <c r="AI12" i="136"/>
  <c r="BA12" i="136" s="1"/>
  <c r="BY50" i="72"/>
  <c r="CM50" i="72"/>
  <c r="AA81" i="8"/>
  <c r="EY76" i="123"/>
  <c r="FQ65" i="123"/>
  <c r="AO150" i="7"/>
  <c r="AA78" i="8"/>
  <c r="BJ68" i="123"/>
  <c r="EY65" i="123"/>
  <c r="H24" i="61"/>
  <c r="EC45" i="123"/>
  <c r="AA36" i="126" s="1"/>
  <c r="DO45" i="123"/>
  <c r="V36" i="126" s="1"/>
  <c r="AA49" i="125"/>
  <c r="DZ45" i="123"/>
  <c r="AN102" i="8"/>
  <c r="AO19" i="8"/>
  <c r="AO102" i="8" s="1"/>
  <c r="AU121" i="8"/>
  <c r="AU126" i="8"/>
  <c r="DZ52" i="123"/>
  <c r="AS15" i="7"/>
  <c r="AO20" i="8"/>
  <c r="AO97" i="8" s="1"/>
  <c r="CL58" i="122"/>
  <c r="Q15" i="102"/>
  <c r="Q23" i="102"/>
  <c r="R13" i="102"/>
  <c r="AK19" i="8"/>
  <c r="AK102" i="8" s="1"/>
  <c r="AL102" i="8"/>
  <c r="CA52" i="123"/>
  <c r="FP51" i="123"/>
  <c r="J100" i="68"/>
  <c r="DZ34" i="17" s="1"/>
  <c r="EA34" i="17" s="1"/>
  <c r="DM29" i="8" s="1"/>
  <c r="CK55" i="72"/>
  <c r="N73" i="32"/>
  <c r="Z44" i="125"/>
  <c r="CL62" i="122"/>
  <c r="AD49" i="125"/>
  <c r="EJ9" i="123"/>
  <c r="L17" i="87"/>
  <c r="AC49" i="125"/>
  <c r="DO44" i="123"/>
  <c r="DX44" i="123" s="1"/>
  <c r="EX48" i="123"/>
  <c r="FG48" i="123" s="1"/>
  <c r="Q45" i="125"/>
  <c r="AL14" i="7"/>
  <c r="AN15" i="7"/>
  <c r="AN8" i="7" s="1"/>
  <c r="AZ32" i="61"/>
  <c r="AZ11" i="61"/>
  <c r="AZ44" i="61" s="1"/>
  <c r="AZ47" i="61" s="1"/>
  <c r="K17" i="87"/>
  <c r="R14" i="68"/>
  <c r="CZ69" i="123"/>
  <c r="CJ170" i="7"/>
  <c r="CJ168" i="7"/>
  <c r="CY47" i="123"/>
  <c r="DH47" i="123" s="1"/>
  <c r="CG65" i="123"/>
  <c r="P50" i="68"/>
  <c r="CQ127" i="8"/>
  <c r="CQ129" i="8"/>
  <c r="CQ130" i="8" s="1"/>
  <c r="CL68" i="122"/>
  <c r="P51" i="68"/>
  <c r="Y69" i="123"/>
  <c r="AH69" i="123" s="1"/>
  <c r="W68" i="123"/>
  <c r="AF68" i="123" s="1"/>
  <c r="J16" i="105"/>
  <c r="K8" i="105" s="1"/>
  <c r="D12" i="87"/>
  <c r="D11" i="87" s="1"/>
  <c r="B11" i="87"/>
  <c r="B10" i="87" s="1"/>
  <c r="E7" i="77"/>
  <c r="CB55" i="72"/>
  <c r="BZ55" i="72" s="1"/>
  <c r="AE66" i="125"/>
  <c r="M50" i="125"/>
  <c r="AQ9" i="7"/>
  <c r="BY55" i="72"/>
  <c r="P73" i="32"/>
  <c r="P70" i="32"/>
  <c r="P71" i="32" s="1"/>
  <c r="X64" i="61"/>
  <c r="X66" i="61" s="1"/>
  <c r="AX57" i="61"/>
  <c r="Z57" i="61"/>
  <c r="X60" i="61"/>
  <c r="AE57" i="61"/>
  <c r="N31" i="104"/>
  <c r="AB15" i="65" s="1"/>
  <c r="AB13" i="65" s="1"/>
  <c r="O26" i="104"/>
  <c r="S26" i="104"/>
  <c r="M27" i="105"/>
  <c r="P21" i="105"/>
  <c r="F108" i="116"/>
  <c r="AB8" i="7"/>
  <c r="AP8" i="7"/>
  <c r="AI8" i="7"/>
  <c r="AC8" i="7"/>
  <c r="AC71" i="7" s="1"/>
  <c r="AD9" i="7"/>
  <c r="AC144" i="7"/>
  <c r="AC166" i="7" s="1"/>
  <c r="CQ68" i="123"/>
  <c r="CR69" i="123"/>
  <c r="DS68" i="123"/>
  <c r="B19" i="87"/>
  <c r="B17" i="87" s="1"/>
  <c r="H17" i="61"/>
  <c r="H15" i="61" s="1"/>
  <c r="C17" i="87"/>
  <c r="BS46" i="8"/>
  <c r="BS42" i="8" s="1"/>
  <c r="BS104" i="8" s="1"/>
  <c r="BT42" i="8"/>
  <c r="BT104" i="8" s="1"/>
  <c r="BT141" i="8" s="1"/>
  <c r="Z15" i="65" s="1"/>
  <c r="AC22" i="98"/>
  <c r="AC21" i="98"/>
  <c r="X15" i="66"/>
  <c r="Y15" i="66" s="1"/>
  <c r="Y17" i="66"/>
  <c r="AA166" i="7"/>
  <c r="AI144" i="7"/>
  <c r="AB173" i="7"/>
  <c r="AB171" i="7"/>
  <c r="I21" i="105"/>
  <c r="I27" i="105" s="1"/>
  <c r="I36" i="105" s="1"/>
  <c r="AD23" i="95"/>
  <c r="AC25" i="95"/>
  <c r="AC27" i="95" s="1"/>
  <c r="DP66" i="123"/>
  <c r="EN66" i="123"/>
  <c r="DF66" i="123"/>
  <c r="DO66" i="123" s="1"/>
  <c r="N85" i="68"/>
  <c r="G70" i="123"/>
  <c r="F70" i="123"/>
  <c r="E69" i="123"/>
  <c r="AG69" i="123"/>
  <c r="BL70" i="123"/>
  <c r="BJ69" i="123"/>
  <c r="BR47" i="123"/>
  <c r="R38" i="126" s="1"/>
  <c r="R13" i="68"/>
  <c r="AL16" i="7"/>
  <c r="AL152" i="7" s="1"/>
  <c r="AE51" i="125"/>
  <c r="Y100" i="6"/>
  <c r="AL33" i="8" s="1"/>
  <c r="AL27" i="8" s="1"/>
  <c r="DB70" i="123"/>
  <c r="BC69" i="123"/>
  <c r="BU69" i="123" s="1"/>
  <c r="BA68" i="123"/>
  <c r="FA69" i="123"/>
  <c r="FS68" i="123"/>
  <c r="EY68" i="123"/>
  <c r="X11" i="95"/>
  <c r="W16" i="95"/>
  <c r="W21" i="95" s="1"/>
  <c r="W31" i="95" s="1"/>
  <c r="W50" i="95" s="1"/>
  <c r="AB13" i="64" s="1"/>
  <c r="AI101" i="8"/>
  <c r="AJ101" i="8" s="1"/>
  <c r="AJ14" i="8"/>
  <c r="AW14" i="8"/>
  <c r="DK69" i="123"/>
  <c r="DI69" i="123" s="1"/>
  <c r="DI68" i="123"/>
  <c r="DO37" i="123"/>
  <c r="V28" i="126" s="1"/>
  <c r="T14" i="68"/>
  <c r="AR76" i="123"/>
  <c r="AR65" i="123"/>
  <c r="AI47" i="8"/>
  <c r="AI61" i="8" s="1"/>
  <c r="DA70" i="123"/>
  <c r="FJ69" i="123"/>
  <c r="FH68" i="123"/>
  <c r="CT126" i="8"/>
  <c r="CU127" i="8"/>
  <c r="CU129" i="8"/>
  <c r="CU130" i="8" s="1"/>
  <c r="AR33" i="7"/>
  <c r="AS33" i="7" s="1"/>
  <c r="CZ76" i="123"/>
  <c r="CZ65" i="123"/>
  <c r="BT68" i="123"/>
  <c r="CF68" i="123" s="1"/>
  <c r="AS69" i="123"/>
  <c r="AR69" i="123" s="1"/>
  <c r="V58" i="126"/>
  <c r="DX67" i="123"/>
  <c r="EA67" i="123"/>
  <c r="U66" i="125"/>
  <c r="AX78" i="8"/>
  <c r="AX79" i="8"/>
  <c r="AX81" i="8" s="1"/>
  <c r="AM61" i="8"/>
  <c r="AL16" i="8"/>
  <c r="FP52" i="123"/>
  <c r="DP37" i="123"/>
  <c r="EB37" i="123" s="1"/>
  <c r="BD18" i="7"/>
  <c r="BG50" i="9"/>
  <c r="CX50" i="123"/>
  <c r="CN50" i="123"/>
  <c r="AS14" i="135"/>
  <c r="AK13" i="136"/>
  <c r="AK7" i="136" s="1"/>
  <c r="AK41" i="8"/>
  <c r="X115" i="6"/>
  <c r="Y115" i="6" s="1"/>
  <c r="Z117" i="6"/>
  <c r="X117" i="6"/>
  <c r="Y117" i="6" s="1"/>
  <c r="L99" i="68"/>
  <c r="FW73" i="123"/>
  <c r="FZ73" i="123"/>
  <c r="GI73" i="123" s="1"/>
  <c r="FN72" i="123"/>
  <c r="FW72" i="123" s="1"/>
  <c r="X71" i="123"/>
  <c r="AK8" i="8"/>
  <c r="AK96" i="8"/>
  <c r="AK119" i="8" s="1"/>
  <c r="X58" i="126"/>
  <c r="DZ67" i="123"/>
  <c r="EC67" i="123"/>
  <c r="CR9" i="7"/>
  <c r="CY49" i="123"/>
  <c r="DH49" i="123" s="1"/>
  <c r="BI88" i="7"/>
  <c r="BI93" i="7"/>
  <c r="BI94" i="7" s="1"/>
  <c r="BI91" i="7"/>
  <c r="BI90" i="7"/>
  <c r="Z93" i="6"/>
  <c r="X93" i="6"/>
  <c r="Y93" i="6" s="1"/>
  <c r="X85" i="6"/>
  <c r="Y85" i="6" s="1"/>
  <c r="Z85" i="6"/>
  <c r="X94" i="6"/>
  <c r="Y94" i="6" s="1"/>
  <c r="Z94" i="6"/>
  <c r="DJ23" i="7"/>
  <c r="V35" i="95"/>
  <c r="U40" i="95"/>
  <c r="U45" i="95" s="1"/>
  <c r="AQ48" i="72"/>
  <c r="AN51" i="72"/>
  <c r="BA48" i="72"/>
  <c r="Y127" i="8"/>
  <c r="AF127" i="8" s="1"/>
  <c r="Y129" i="8"/>
  <c r="AF126" i="8"/>
  <c r="DO13" i="8"/>
  <c r="DO100" i="8" s="1"/>
  <c r="DP100" i="8"/>
  <c r="AC18" i="61"/>
  <c r="R9" i="102"/>
  <c r="AD18" i="61" s="1"/>
  <c r="BA33" i="7"/>
  <c r="AZ27" i="7"/>
  <c r="DL14" i="7"/>
  <c r="DL8" i="7" s="1"/>
  <c r="C20" i="99"/>
  <c r="BT55" i="7"/>
  <c r="BU55" i="7" s="1"/>
  <c r="BU52" i="7" s="1"/>
  <c r="BL52" i="7"/>
  <c r="Z28" i="98"/>
  <c r="Y32" i="98"/>
  <c r="Y37" i="98" s="1"/>
  <c r="Y31" i="98"/>
  <c r="Y36" i="98" s="1"/>
  <c r="Y29" i="98"/>
  <c r="CZ10" i="136"/>
  <c r="DR126" i="8"/>
  <c r="DR127" i="8" s="1"/>
  <c r="DS127" i="8"/>
  <c r="N84" i="68"/>
  <c r="AQ41" i="7"/>
  <c r="AR41" i="7" s="1"/>
  <c r="CU11" i="135"/>
  <c r="CV12" i="135"/>
  <c r="CU12" i="135" s="1"/>
  <c r="CR11" i="135"/>
  <c r="CS13" i="135"/>
  <c r="CS7" i="135" s="1"/>
  <c r="CS15" i="135"/>
  <c r="CS17" i="135" s="1"/>
  <c r="W66" i="32"/>
  <c r="T67" i="32"/>
  <c r="V67" i="32" s="1"/>
  <c r="T61" i="32"/>
  <c r="Z127" i="8"/>
  <c r="Z129" i="8"/>
  <c r="Z130" i="8" s="1"/>
  <c r="BJ55" i="7"/>
  <c r="BJ52" i="7" s="1"/>
  <c r="AM49" i="123"/>
  <c r="N40" i="126"/>
  <c r="AB33" i="95"/>
  <c r="AA35" i="95"/>
  <c r="AA40" i="95" s="1"/>
  <c r="AA45" i="95" s="1"/>
  <c r="AA38" i="95"/>
  <c r="AA43" i="95" s="1"/>
  <c r="J24" i="128"/>
  <c r="O24" i="128" s="1"/>
  <c r="T24" i="128" s="1"/>
  <c r="CN49" i="123"/>
  <c r="E16" i="99"/>
  <c r="DK14" i="7"/>
  <c r="DK8" i="7" s="1"/>
  <c r="P82" i="68"/>
  <c r="P81" i="68"/>
  <c r="P80" i="68"/>
  <c r="P83" i="68"/>
  <c r="AR127" i="8"/>
  <c r="AR129" i="8"/>
  <c r="AR130" i="8" s="1"/>
  <c r="BD15" i="7"/>
  <c r="B5" i="77"/>
  <c r="C6" i="77"/>
  <c r="C5" i="77" s="1"/>
  <c r="D6" i="77"/>
  <c r="D5" i="77" s="1"/>
  <c r="D4" i="77" s="1"/>
  <c r="K13" i="64" s="1"/>
  <c r="Z15" i="125"/>
  <c r="BA102" i="6"/>
  <c r="X102" i="6"/>
  <c r="Y102" i="6" s="1"/>
  <c r="X104" i="6"/>
  <c r="Y104" i="6" s="1"/>
  <c r="Z104" i="6"/>
  <c r="AL25" i="8"/>
  <c r="AL101" i="8"/>
  <c r="AK24" i="8"/>
  <c r="DK153" i="7"/>
  <c r="X68" i="6"/>
  <c r="Y68" i="6" s="1"/>
  <c r="Z68" i="6"/>
  <c r="BC73" i="6"/>
  <c r="BC72" i="6" s="1"/>
  <c r="Z73" i="6"/>
  <c r="V72" i="6"/>
  <c r="BG73" i="6"/>
  <c r="BG72" i="6" s="1"/>
  <c r="BH73" i="6"/>
  <c r="AW73" i="6"/>
  <c r="AW72" i="6" s="1"/>
  <c r="AV73" i="6"/>
  <c r="BB73" i="6"/>
  <c r="BB72" i="6" s="1"/>
  <c r="BA73" i="6"/>
  <c r="X73" i="6"/>
  <c r="Y73" i="6" s="1"/>
  <c r="BF73" i="6"/>
  <c r="AC73" i="6"/>
  <c r="AC72" i="6" s="1"/>
  <c r="AX73" i="6"/>
  <c r="AX72" i="6" s="1"/>
  <c r="AB73" i="6"/>
  <c r="AB72" i="6" s="1"/>
  <c r="X65" i="6"/>
  <c r="Y65" i="6" s="1"/>
  <c r="Z65" i="6"/>
  <c r="BW23" i="7"/>
  <c r="BV24" i="7"/>
  <c r="BV149" i="7"/>
  <c r="BC41" i="7"/>
  <c r="BC35" i="7" s="1"/>
  <c r="BC71" i="7" s="1"/>
  <c r="BC150" i="7"/>
  <c r="BC166" i="7" s="1"/>
  <c r="CY25" i="8"/>
  <c r="CY100" i="8"/>
  <c r="CY17" i="8"/>
  <c r="X122" i="6"/>
  <c r="Y122" i="6" s="1"/>
  <c r="Z122" i="6"/>
  <c r="AX121" i="6"/>
  <c r="BC121" i="6"/>
  <c r="V120" i="6"/>
  <c r="X120" i="6" s="1"/>
  <c r="AC121" i="6"/>
  <c r="BF121" i="6"/>
  <c r="AW121" i="6"/>
  <c r="BG121" i="6"/>
  <c r="Z121" i="6"/>
  <c r="AB121" i="6"/>
  <c r="AV121" i="6"/>
  <c r="BA121" i="6"/>
  <c r="BB121" i="6"/>
  <c r="X121" i="6"/>
  <c r="Y121" i="6" s="1"/>
  <c r="BH121" i="6"/>
  <c r="AL129" i="8"/>
  <c r="AL127" i="8"/>
  <c r="P83" i="56"/>
  <c r="CS51" i="72"/>
  <c r="CQ51" i="72" s="1"/>
  <c r="H12" i="87"/>
  <c r="AJ8" i="8"/>
  <c r="AW8" i="8"/>
  <c r="M26" i="105"/>
  <c r="P20" i="105"/>
  <c r="M19" i="105"/>
  <c r="AM34" i="7"/>
  <c r="BA34" i="7"/>
  <c r="CH39" i="7"/>
  <c r="CG39" i="7"/>
  <c r="Y17" i="125"/>
  <c r="BG50" i="123"/>
  <c r="BP50" i="123" s="1"/>
  <c r="BQ50" i="123"/>
  <c r="CC50" i="123" s="1"/>
  <c r="Z98" i="6"/>
  <c r="X98" i="6"/>
  <c r="Y98" i="6" s="1"/>
  <c r="AC96" i="6"/>
  <c r="BF96" i="6"/>
  <c r="AW96" i="6"/>
  <c r="X96" i="6"/>
  <c r="Y96" i="6" s="1"/>
  <c r="AX96" i="6"/>
  <c r="V95" i="6"/>
  <c r="BC96" i="6"/>
  <c r="BH96" i="6"/>
  <c r="Z96" i="6"/>
  <c r="AB96" i="6"/>
  <c r="AV96" i="6"/>
  <c r="BA96" i="6"/>
  <c r="BB96" i="6"/>
  <c r="BG96" i="6"/>
  <c r="Z81" i="6"/>
  <c r="X81" i="6"/>
  <c r="Y81" i="6" s="1"/>
  <c r="Z80" i="6"/>
  <c r="X80" i="6"/>
  <c r="Y80" i="6" s="1"/>
  <c r="X89" i="6"/>
  <c r="Y89" i="6" s="1"/>
  <c r="Z89" i="6"/>
  <c r="AQ13" i="135"/>
  <c r="AR13" i="135" s="1"/>
  <c r="AP9" i="19"/>
  <c r="AP23" i="19"/>
  <c r="AP13" i="19"/>
  <c r="AP46" i="19"/>
  <c r="AP26" i="19"/>
  <c r="AP8" i="19"/>
  <c r="AP41" i="19"/>
  <c r="AP10" i="19"/>
  <c r="AP25" i="19"/>
  <c r="AP28" i="19"/>
  <c r="AP31" i="19"/>
  <c r="AP45" i="19"/>
  <c r="AP38" i="19"/>
  <c r="AP19" i="19"/>
  <c r="AP18" i="19"/>
  <c r="AP48" i="19"/>
  <c r="AP24" i="19"/>
  <c r="F31" i="61" s="1"/>
  <c r="AP44" i="19"/>
  <c r="AP16" i="19"/>
  <c r="AP20" i="19"/>
  <c r="AP34" i="19"/>
  <c r="AP36" i="19"/>
  <c r="AP43" i="19"/>
  <c r="AP27" i="19"/>
  <c r="AP42" i="19"/>
  <c r="AP29" i="19"/>
  <c r="AP33" i="19"/>
  <c r="AP22" i="19"/>
  <c r="AP40" i="19"/>
  <c r="AP39" i="19"/>
  <c r="AP35" i="19"/>
  <c r="AP30" i="19"/>
  <c r="AM56" i="19"/>
  <c r="AP11" i="19"/>
  <c r="AP37" i="19"/>
  <c r="AP17" i="19"/>
  <c r="AP32" i="19"/>
  <c r="AP21" i="19"/>
  <c r="B8" i="77" s="1"/>
  <c r="C8" i="77" s="1"/>
  <c r="AP47" i="19"/>
  <c r="AT70" i="123"/>
  <c r="AM129" i="8"/>
  <c r="AM130" i="8" s="1"/>
  <c r="AM127" i="8"/>
  <c r="AA18" i="125"/>
  <c r="AA17" i="125"/>
  <c r="DB170" i="7"/>
  <c r="DB168" i="7"/>
  <c r="CY171" i="7"/>
  <c r="CY173" i="7"/>
  <c r="CX170" i="7"/>
  <c r="BC48" i="72"/>
  <c r="BG56" i="72"/>
  <c r="I6" i="105"/>
  <c r="I15" i="105"/>
  <c r="I20" i="105" s="1"/>
  <c r="N41" i="126"/>
  <c r="AM50" i="123"/>
  <c r="AW27" i="8"/>
  <c r="AJ27" i="8"/>
  <c r="CR15" i="7"/>
  <c r="AV39" i="8"/>
  <c r="AX40" i="8"/>
  <c r="AX101" i="8"/>
  <c r="AX119" i="8" s="1"/>
  <c r="AY39" i="123"/>
  <c r="AO39" i="123"/>
  <c r="J7" i="96"/>
  <c r="Z10" i="95"/>
  <c r="AM25" i="7"/>
  <c r="BA25" i="7"/>
  <c r="J34" i="128"/>
  <c r="O34" i="128" s="1"/>
  <c r="T34" i="128" s="1"/>
  <c r="BA42" i="7"/>
  <c r="AM42" i="7"/>
  <c r="BQ51" i="123"/>
  <c r="BG51" i="123"/>
  <c r="BP51" i="123" s="1"/>
  <c r="AP35" i="7"/>
  <c r="AB35" i="7"/>
  <c r="AI35" i="7"/>
  <c r="AA71" i="7"/>
  <c r="BG49" i="123"/>
  <c r="BQ49" i="123"/>
  <c r="CC49" i="123" s="1"/>
  <c r="DY127" i="8"/>
  <c r="DX126" i="8"/>
  <c r="DX127" i="8" s="1"/>
  <c r="CZ13" i="8"/>
  <c r="CX51" i="123"/>
  <c r="CN51" i="123"/>
  <c r="CP171" i="7"/>
  <c r="CO170" i="7"/>
  <c r="CP173" i="7"/>
  <c r="AF69" i="32"/>
  <c r="AH69" i="32" s="1"/>
  <c r="BK153" i="7"/>
  <c r="BK166" i="7" s="1"/>
  <c r="BK71" i="7"/>
  <c r="CG23" i="7"/>
  <c r="CF149" i="7"/>
  <c r="DG49" i="123"/>
  <c r="DS173" i="7"/>
  <c r="DS171" i="7"/>
  <c r="N13" i="65"/>
  <c r="N95" i="68"/>
  <c r="N94" i="68"/>
  <c r="N96" i="68"/>
  <c r="N97" i="68"/>
  <c r="BA27" i="8"/>
  <c r="DE171" i="7"/>
  <c r="DD170" i="7"/>
  <c r="DE173" i="7"/>
  <c r="BA14" i="8"/>
  <c r="AZ8" i="8"/>
  <c r="Z16" i="125"/>
  <c r="V109" i="6"/>
  <c r="X110" i="6"/>
  <c r="Y110" i="6" s="1"/>
  <c r="Z110" i="6"/>
  <c r="X105" i="6"/>
  <c r="Y105" i="6" s="1"/>
  <c r="Z105" i="6"/>
  <c r="DM173" i="7"/>
  <c r="DM171" i="7"/>
  <c r="AQ50" i="72"/>
  <c r="BA50" i="72"/>
  <c r="AS17" i="7"/>
  <c r="U39" i="123"/>
  <c r="T39" i="123" s="1"/>
  <c r="K39" i="123"/>
  <c r="X66" i="6"/>
  <c r="Y66" i="6" s="1"/>
  <c r="X67" i="6"/>
  <c r="Y67" i="6" s="1"/>
  <c r="Z67" i="6"/>
  <c r="BS38" i="8"/>
  <c r="BT39" i="8"/>
  <c r="BT34" i="8" s="1"/>
  <c r="DJ24" i="17"/>
  <c r="X114" i="6"/>
  <c r="Y114" i="6" s="1"/>
  <c r="Z114" i="6"/>
  <c r="Y113" i="6"/>
  <c r="DI52" i="7"/>
  <c r="DI153" i="7" s="1"/>
  <c r="DG53" i="7"/>
  <c r="DG52" i="7" s="1"/>
  <c r="DG153" i="7" s="1"/>
  <c r="L98" i="68"/>
  <c r="AC41" i="95"/>
  <c r="AC46" i="95" s="1"/>
  <c r="AC50" i="95" s="1"/>
  <c r="AD37" i="95"/>
  <c r="CM170" i="7"/>
  <c r="CM168" i="7"/>
  <c r="BT13" i="8"/>
  <c r="AW96" i="8"/>
  <c r="AJ96" i="8"/>
  <c r="BA96" i="8"/>
  <c r="EX67" i="123"/>
  <c r="EM67" i="123"/>
  <c r="R17" i="125"/>
  <c r="X16" i="125"/>
  <c r="DI129" i="8"/>
  <c r="DI130" i="8" s="1"/>
  <c r="DI127" i="8"/>
  <c r="BF91" i="6"/>
  <c r="BC91" i="6"/>
  <c r="AB91" i="6"/>
  <c r="AC91" i="6"/>
  <c r="X91" i="6"/>
  <c r="V90" i="6"/>
  <c r="BG91" i="6"/>
  <c r="AW91" i="6"/>
  <c r="Z91" i="6"/>
  <c r="AV91" i="6"/>
  <c r="Z86" i="6"/>
  <c r="X86" i="6"/>
  <c r="Y86" i="6" s="1"/>
  <c r="X84" i="6"/>
  <c r="Y84" i="6" s="1"/>
  <c r="Z84" i="6"/>
  <c r="Z97" i="6"/>
  <c r="X97" i="6"/>
  <c r="Y97" i="6" s="1"/>
  <c r="X76" i="6"/>
  <c r="Y76" i="6" s="1"/>
  <c r="X83" i="6"/>
  <c r="Y83" i="6" s="1"/>
  <c r="Z83" i="6"/>
  <c r="DH25" i="7"/>
  <c r="DH17" i="7" s="1"/>
  <c r="DG23" i="7"/>
  <c r="DG25" i="7" s="1"/>
  <c r="DG17" i="7" s="1"/>
  <c r="AP7" i="135"/>
  <c r="AI7" i="135"/>
  <c r="AA15" i="135"/>
  <c r="AB7" i="135"/>
  <c r="AL59" i="19"/>
  <c r="AM59" i="19" s="1"/>
  <c r="AL57" i="19"/>
  <c r="BH171" i="7"/>
  <c r="BH173" i="7"/>
  <c r="T46" i="68"/>
  <c r="T49" i="68"/>
  <c r="T47" i="68"/>
  <c r="T48" i="68"/>
  <c r="BH32" i="61"/>
  <c r="BH11" i="61"/>
  <c r="BH44" i="61" s="1"/>
  <c r="BH47" i="61" s="1"/>
  <c r="BG56" i="9"/>
  <c r="BC48" i="9"/>
  <c r="M14" i="105"/>
  <c r="P15" i="105"/>
  <c r="P14" i="105" s="1"/>
  <c r="AQ19" i="7"/>
  <c r="AR19" i="7" s="1"/>
  <c r="R16" i="125"/>
  <c r="T17" i="125"/>
  <c r="CS8" i="7"/>
  <c r="CX40" i="8"/>
  <c r="CW38" i="8"/>
  <c r="CX34" i="8"/>
  <c r="DJ71" i="123"/>
  <c r="AJ103" i="8"/>
  <c r="AW103" i="8"/>
  <c r="BA103" i="8"/>
  <c r="CU23" i="7"/>
  <c r="AL51" i="9"/>
  <c r="AO51" i="9" s="1"/>
  <c r="AQ51" i="9"/>
  <c r="BA51" i="9"/>
  <c r="BG88" i="7"/>
  <c r="BG91" i="7"/>
  <c r="BG90" i="7"/>
  <c r="BG93" i="7"/>
  <c r="BG94" i="7" s="1"/>
  <c r="AL40" i="7"/>
  <c r="AN41" i="7"/>
  <c r="AN35" i="7" s="1"/>
  <c r="AL35" i="7" s="1"/>
  <c r="AM35" i="7" s="1"/>
  <c r="AN150" i="7"/>
  <c r="BH39" i="11"/>
  <c r="AA55" i="126"/>
  <c r="GB64" i="123"/>
  <c r="EL64" i="123"/>
  <c r="S67" i="32"/>
  <c r="AF67" i="32"/>
  <c r="AH67" i="32" s="1"/>
  <c r="AL151" i="7"/>
  <c r="CL38" i="8"/>
  <c r="T38" i="125"/>
  <c r="P93" i="68"/>
  <c r="R91" i="68"/>
  <c r="BC17" i="8"/>
  <c r="T13" i="68"/>
  <c r="DL188" i="7"/>
  <c r="AU16" i="64" s="1"/>
  <c r="BP15" i="61"/>
  <c r="X106" i="6"/>
  <c r="Y106" i="6" s="1"/>
  <c r="Z106" i="6"/>
  <c r="X112" i="6"/>
  <c r="Y112" i="6" s="1"/>
  <c r="Z112" i="6"/>
  <c r="V111" i="6"/>
  <c r="Z108" i="6"/>
  <c r="X108" i="6"/>
  <c r="Y108" i="6" s="1"/>
  <c r="BX39" i="7"/>
  <c r="BW39" i="7"/>
  <c r="BV40" i="7"/>
  <c r="L60" i="123"/>
  <c r="B60" i="123"/>
  <c r="DN176" i="7"/>
  <c r="DN177" i="7" s="1"/>
  <c r="DN174" i="7"/>
  <c r="BT11" i="136"/>
  <c r="BT7" i="136" s="1"/>
  <c r="BS10" i="136"/>
  <c r="GJ64" i="123"/>
  <c r="AO23" i="8"/>
  <c r="AO100" i="8" s="1"/>
  <c r="Z119" i="6"/>
  <c r="V118" i="6"/>
  <c r="X118" i="6" s="1"/>
  <c r="X119" i="6"/>
  <c r="Y119" i="6" s="1"/>
  <c r="Y118" i="6" s="1"/>
  <c r="X116" i="6"/>
  <c r="Y116" i="6" s="1"/>
  <c r="Z116" i="6"/>
  <c r="BA14" i="135"/>
  <c r="AM14" i="135"/>
  <c r="AN126" i="8"/>
  <c r="AN121" i="8"/>
  <c r="AS40" i="7"/>
  <c r="BB41" i="7"/>
  <c r="BB35" i="7" s="1"/>
  <c r="BB71" i="7" s="1"/>
  <c r="AZ40" i="7"/>
  <c r="BB150" i="7"/>
  <c r="BB166" i="7" s="1"/>
  <c r="N42" i="126"/>
  <c r="AM51" i="123"/>
  <c r="BA32" i="61"/>
  <c r="BA11" i="61"/>
  <c r="BA44" i="61" s="1"/>
  <c r="BA47" i="61" s="1"/>
  <c r="S18" i="125"/>
  <c r="CW13" i="8"/>
  <c r="CX15" i="8"/>
  <c r="CX8" i="8" s="1"/>
  <c r="AX48" i="123"/>
  <c r="BH48" i="123"/>
  <c r="L18" i="125"/>
  <c r="AQ129" i="8"/>
  <c r="AQ130" i="8" s="1"/>
  <c r="AQ127" i="8"/>
  <c r="Y55" i="126"/>
  <c r="FZ64" i="123"/>
  <c r="AE55" i="126" s="1"/>
  <c r="BI173" i="7"/>
  <c r="BI171" i="7"/>
  <c r="X79" i="6"/>
  <c r="Y79" i="6" s="1"/>
  <c r="Z79" i="6"/>
  <c r="Z77" i="6"/>
  <c r="X77" i="6"/>
  <c r="Y77" i="6" s="1"/>
  <c r="X75" i="6"/>
  <c r="Y75" i="6" s="1"/>
  <c r="Z75" i="6"/>
  <c r="X92" i="6"/>
  <c r="Y92" i="6" s="1"/>
  <c r="Z92" i="6"/>
  <c r="X99" i="6"/>
  <c r="Y99" i="6" s="1"/>
  <c r="Z99" i="6"/>
  <c r="X78" i="6"/>
  <c r="Y78" i="6" s="1"/>
  <c r="Z78" i="6"/>
  <c r="DM38" i="8"/>
  <c r="AN13" i="135"/>
  <c r="AN7" i="135" s="1"/>
  <c r="AL12" i="135"/>
  <c r="BH91" i="7"/>
  <c r="BH88" i="7"/>
  <c r="BH93" i="7"/>
  <c r="BH94" i="7" s="1"/>
  <c r="BH90" i="7"/>
  <c r="R47" i="68"/>
  <c r="R48" i="68"/>
  <c r="R46" i="68"/>
  <c r="R49" i="68"/>
  <c r="CJ71" i="123"/>
  <c r="EI70" i="123"/>
  <c r="X15" i="125"/>
  <c r="CZ38" i="8"/>
  <c r="DH15" i="7"/>
  <c r="DH8" i="7" s="1"/>
  <c r="DG13" i="7"/>
  <c r="AO9" i="7"/>
  <c r="AL9" i="7" s="1"/>
  <c r="Q88" i="7"/>
  <c r="Q91" i="7"/>
  <c r="Z71" i="7"/>
  <c r="AX12" i="136"/>
  <c r="AV11" i="136"/>
  <c r="EW49" i="123"/>
  <c r="EM49" i="123"/>
  <c r="BG171" i="7"/>
  <c r="BG173" i="7"/>
  <c r="AO129" i="8"/>
  <c r="AO130" i="8" s="1"/>
  <c r="AO127" i="8"/>
  <c r="V33" i="95"/>
  <c r="U38" i="95"/>
  <c r="U43" i="95" s="1"/>
  <c r="H19" i="87"/>
  <c r="H17" i="87" s="1"/>
  <c r="P17" i="61"/>
  <c r="P15" i="61" s="1"/>
  <c r="I17" i="87"/>
  <c r="Q12" i="102"/>
  <c r="AB17" i="64"/>
  <c r="DC127" i="8"/>
  <c r="DC129" i="8"/>
  <c r="DC130" i="8" s="1"/>
  <c r="Y85" i="8"/>
  <c r="AF85" i="8" s="1"/>
  <c r="AF84" i="8"/>
  <c r="CU39" i="7"/>
  <c r="CR39" i="7"/>
  <c r="CR41" i="7" s="1"/>
  <c r="CR35" i="7" s="1"/>
  <c r="CS41" i="7"/>
  <c r="CS35" i="7" s="1"/>
  <c r="AF68" i="32"/>
  <c r="AH68" i="32" s="1"/>
  <c r="S68" i="32"/>
  <c r="U17" i="125"/>
  <c r="U18" i="125"/>
  <c r="I15" i="66"/>
  <c r="N17" i="66"/>
  <c r="N15" i="66" s="1"/>
  <c r="CT184" i="7"/>
  <c r="CT166" i="7"/>
  <c r="CL10" i="136"/>
  <c r="AS12" i="135"/>
  <c r="BY18" i="7"/>
  <c r="DU176" i="7"/>
  <c r="DU177" i="7" s="1"/>
  <c r="DU174" i="7"/>
  <c r="EZ71" i="123"/>
  <c r="BN23" i="19"/>
  <c r="BN47" i="19"/>
  <c r="BW50" i="7"/>
  <c r="BV49" i="7"/>
  <c r="BV50" i="7" s="1"/>
  <c r="AQ50" i="9"/>
  <c r="AN18" i="7"/>
  <c r="AN144" i="7" s="1"/>
  <c r="BA50" i="9"/>
  <c r="N34" i="105"/>
  <c r="I7" i="96"/>
  <c r="T10" i="95"/>
  <c r="T77" i="68"/>
  <c r="T79" i="68" s="1"/>
  <c r="R79" i="68"/>
  <c r="AZ24" i="8"/>
  <c r="BB17" i="8"/>
  <c r="AM101" i="8"/>
  <c r="AN24" i="8"/>
  <c r="AN101" i="8" s="1"/>
  <c r="CL13" i="8"/>
  <c r="X107" i="6"/>
  <c r="Y107" i="6" s="1"/>
  <c r="Z107" i="6"/>
  <c r="Z101" i="6"/>
  <c r="X101" i="6"/>
  <c r="Y101" i="6" s="1"/>
  <c r="BV12" i="135"/>
  <c r="BV13" i="135" s="1"/>
  <c r="AS42" i="7"/>
  <c r="Z80" i="8"/>
  <c r="Z81" i="8"/>
  <c r="Z78" i="8"/>
  <c r="Z84" i="8"/>
  <c r="Z85" i="8" s="1"/>
  <c r="Z71" i="6"/>
  <c r="X71" i="6"/>
  <c r="Y71" i="6" s="1"/>
  <c r="X123" i="6"/>
  <c r="X124" i="6" s="1"/>
  <c r="X70" i="6"/>
  <c r="Y70" i="6" s="1"/>
  <c r="Z70" i="6"/>
  <c r="V69" i="6"/>
  <c r="H25" i="105"/>
  <c r="H33" i="105"/>
  <c r="EH71" i="123"/>
  <c r="GG70" i="123"/>
  <c r="GG71" i="123" s="1"/>
  <c r="AG48" i="126"/>
  <c r="GK57" i="123"/>
  <c r="BY37" i="123"/>
  <c r="P28" i="126"/>
  <c r="CB37" i="123"/>
  <c r="CL37" i="123"/>
  <c r="T28" i="126"/>
  <c r="CD58" i="123"/>
  <c r="R49" i="126"/>
  <c r="CA58" i="123"/>
  <c r="U29" i="126"/>
  <c r="CM38" i="123"/>
  <c r="R30" i="126"/>
  <c r="CA39" i="123"/>
  <c r="CD39" i="123"/>
  <c r="O31" i="126"/>
  <c r="CD40" i="123"/>
  <c r="AN40" i="123"/>
  <c r="EX38" i="123"/>
  <c r="FF37" i="123"/>
  <c r="EV37" i="123"/>
  <c r="M61" i="123"/>
  <c r="V61" i="123" s="1"/>
  <c r="GA46" i="123"/>
  <c r="Z37" i="126"/>
  <c r="EK46" i="123"/>
  <c r="AY61" i="123"/>
  <c r="AO61" i="123"/>
  <c r="DH38" i="123"/>
  <c r="FY58" i="123"/>
  <c r="AD49" i="126"/>
  <c r="V52" i="123"/>
  <c r="DH39" i="123"/>
  <c r="DQ39" i="123" s="1"/>
  <c r="CA38" i="123"/>
  <c r="R29" i="126"/>
  <c r="AZ61" i="123"/>
  <c r="AD45" i="126"/>
  <c r="FY54" i="123"/>
  <c r="GB54" i="123"/>
  <c r="CY40" i="123"/>
  <c r="CY48" i="123"/>
  <c r="DH48" i="123" s="1"/>
  <c r="AC47" i="123"/>
  <c r="M38" i="126" s="1"/>
  <c r="U61" i="123"/>
  <c r="AA41" i="126"/>
  <c r="EL50" i="123"/>
  <c r="BZ37" i="123"/>
  <c r="Q28" i="126"/>
  <c r="EX50" i="123"/>
  <c r="FG50" i="123" s="1"/>
  <c r="FN59" i="123"/>
  <c r="AB50" i="126" s="1"/>
  <c r="FZ27" i="123"/>
  <c r="GI27" i="123" s="1"/>
  <c r="GI21" i="123"/>
  <c r="GF65" i="123"/>
  <c r="GF76" i="123"/>
  <c r="FP44" i="123"/>
  <c r="AD35" i="126" s="1"/>
  <c r="V50" i="126"/>
  <c r="DX59" i="123"/>
  <c r="EA59" i="123"/>
  <c r="AG51" i="126"/>
  <c r="GK60" i="123"/>
  <c r="DZ53" i="123"/>
  <c r="X44" i="126"/>
  <c r="EC53" i="123"/>
  <c r="FG36" i="123"/>
  <c r="CL35" i="122"/>
  <c r="EB45" i="123"/>
  <c r="T36" i="126"/>
  <c r="CL45" i="123"/>
  <c r="AD28" i="126"/>
  <c r="FY37" i="123"/>
  <c r="EV45" i="123"/>
  <c r="P36" i="126"/>
  <c r="BY45" i="123"/>
  <c r="CB45" i="123"/>
  <c r="AD44" i="126"/>
  <c r="FY53" i="123"/>
  <c r="FE44" i="123"/>
  <c r="AD47" i="123"/>
  <c r="X50" i="126"/>
  <c r="DZ59" i="123"/>
  <c r="EC59" i="123"/>
  <c r="AX47" i="123"/>
  <c r="BH47" i="123"/>
  <c r="CY43" i="123"/>
  <c r="FZ74" i="123"/>
  <c r="EJ74" i="123"/>
  <c r="EA72" i="123"/>
  <c r="EJ72" i="123" s="1"/>
  <c r="CL70" i="122"/>
  <c r="DZ36" i="123"/>
  <c r="X27" i="126"/>
  <c r="GB37" i="123"/>
  <c r="EV44" i="123"/>
  <c r="DZ55" i="123"/>
  <c r="X46" i="126"/>
  <c r="EC55" i="123"/>
  <c r="GM59" i="123"/>
  <c r="BH43" i="123"/>
  <c r="AX43" i="123"/>
  <c r="BI43" i="123"/>
  <c r="FX44" i="123"/>
  <c r="AC35" i="126"/>
  <c r="U27" i="126"/>
  <c r="CM36" i="123"/>
  <c r="EC36" i="123"/>
  <c r="FP59" i="123"/>
  <c r="FP55" i="123"/>
  <c r="W35" i="126"/>
  <c r="EB44" i="123"/>
  <c r="DY44" i="123"/>
  <c r="FP45" i="123"/>
  <c r="T43" i="123"/>
  <c r="AD43" i="123"/>
  <c r="FE45" i="123"/>
  <c r="FO45" i="123"/>
  <c r="W36" i="126"/>
  <c r="DY45" i="123"/>
  <c r="Y65" i="125"/>
  <c r="T63" i="125"/>
  <c r="O63" i="125"/>
  <c r="U63" i="125"/>
  <c r="AC42" i="125"/>
  <c r="AA48" i="125"/>
  <c r="T60" i="125"/>
  <c r="AB48" i="125"/>
  <c r="U48" i="125"/>
  <c r="N45" i="125"/>
  <c r="Z51" i="125"/>
  <c r="R35" i="125"/>
  <c r="T41" i="125"/>
  <c r="T35" i="125"/>
  <c r="Y49" i="125"/>
  <c r="Q41" i="125"/>
  <c r="AE48" i="125"/>
  <c r="O44" i="125"/>
  <c r="S44" i="125"/>
  <c r="U35" i="125"/>
  <c r="V35" i="125"/>
  <c r="DJ155" i="7"/>
  <c r="BM19" i="61"/>
  <c r="AV17" i="65"/>
  <c r="BK19" i="61"/>
  <c r="AW13" i="65"/>
  <c r="BI13" i="65" s="1"/>
  <c r="AX17" i="65"/>
  <c r="DG155" i="7"/>
  <c r="W58" i="125"/>
  <c r="W57" i="125"/>
  <c r="T57" i="125"/>
  <c r="W56" i="125"/>
  <c r="T56" i="125"/>
  <c r="Z55" i="125"/>
  <c r="AC54" i="125"/>
  <c r="Z54" i="125"/>
  <c r="W53" i="125"/>
  <c r="T53" i="125"/>
  <c r="N52" i="125"/>
  <c r="AF36" i="125"/>
  <c r="D4" i="129" s="1"/>
  <c r="W34" i="125"/>
  <c r="CW15" i="7" l="1"/>
  <c r="CW14" i="7" s="1"/>
  <c r="CW8" i="7" s="1"/>
  <c r="CR31" i="17"/>
  <c r="CQ31" i="17" s="1"/>
  <c r="CQ40" i="17" s="1"/>
  <c r="BX8" i="7"/>
  <c r="EJ34" i="8"/>
  <c r="AC50" i="121"/>
  <c r="AL50" i="121" s="1"/>
  <c r="EK31" i="8"/>
  <c r="EK27" i="8" s="1"/>
  <c r="CC75" i="122" s="1"/>
  <c r="EJ29" i="8"/>
  <c r="EJ31" i="8" s="1"/>
  <c r="EJ27" i="8" s="1"/>
  <c r="CC77" i="122"/>
  <c r="AX50" i="121"/>
  <c r="BH50" i="121"/>
  <c r="EE34" i="8"/>
  <c r="B37" i="120"/>
  <c r="C238" i="120"/>
  <c r="R37" i="120"/>
  <c r="C204" i="120"/>
  <c r="C56" i="121" s="1"/>
  <c r="C36" i="120"/>
  <c r="DY14" i="7"/>
  <c r="DY8" i="7" s="1"/>
  <c r="AP156" i="122"/>
  <c r="CO38" i="123" s="1"/>
  <c r="AO42" i="122"/>
  <c r="AO156" i="122" s="1"/>
  <c r="BN42" i="122"/>
  <c r="AF156" i="122"/>
  <c r="AL156" i="122" s="1"/>
  <c r="AL42" i="122"/>
  <c r="D195" i="120"/>
  <c r="S29" i="120"/>
  <c r="AH29" i="120" s="1"/>
  <c r="D28" i="120"/>
  <c r="EA103" i="8"/>
  <c r="AD50" i="121"/>
  <c r="ED31" i="17"/>
  <c r="EC31" i="17" s="1"/>
  <c r="EC40" i="17" s="1"/>
  <c r="CC207" i="120"/>
  <c r="CI207" i="120" s="1"/>
  <c r="CB60" i="120"/>
  <c r="CH60" i="120" s="1"/>
  <c r="CH58" i="120"/>
  <c r="CN50" i="121"/>
  <c r="CX50" i="121"/>
  <c r="BJ76" i="122"/>
  <c r="BD157" i="122"/>
  <c r="BJ157" i="122" s="1"/>
  <c r="EJ15" i="8"/>
  <c r="CB239" i="120"/>
  <c r="CH239" i="120" s="1"/>
  <c r="CH38" i="120"/>
  <c r="CB205" i="120"/>
  <c r="CH205" i="120" s="1"/>
  <c r="BK42" i="122"/>
  <c r="BE156" i="122"/>
  <c r="BK156" i="122" s="1"/>
  <c r="BD42" i="122"/>
  <c r="CI28" i="120"/>
  <c r="CB28" i="120"/>
  <c r="CH28" i="120" s="1"/>
  <c r="C128" i="120"/>
  <c r="R126" i="120"/>
  <c r="AG126" i="120" s="1"/>
  <c r="B126" i="120"/>
  <c r="C122" i="120"/>
  <c r="CC35" i="120"/>
  <c r="CI35" i="120" s="1"/>
  <c r="CI33" i="120"/>
  <c r="C33" i="120"/>
  <c r="CB33" i="120"/>
  <c r="ED14" i="8"/>
  <c r="CJ28" i="120"/>
  <c r="CD158" i="120"/>
  <c r="CH31" i="7"/>
  <c r="C60" i="120"/>
  <c r="B58" i="120"/>
  <c r="R58" i="120"/>
  <c r="AG58" i="120" s="1"/>
  <c r="CB238" i="120"/>
  <c r="CB204" i="120"/>
  <c r="CH204" i="120" s="1"/>
  <c r="CH37" i="120"/>
  <c r="CB26" i="122"/>
  <c r="C26" i="122"/>
  <c r="CI26" i="122"/>
  <c r="CC28" i="122"/>
  <c r="CI28" i="122" s="1"/>
  <c r="CB61" i="120"/>
  <c r="CH61" i="120" s="1"/>
  <c r="CI61" i="120"/>
  <c r="EK23" i="8"/>
  <c r="EE23" i="8"/>
  <c r="ES31" i="17"/>
  <c r="ER31" i="17" s="1"/>
  <c r="ER40" i="17" s="1"/>
  <c r="EG103" i="8"/>
  <c r="R29" i="120"/>
  <c r="B29" i="120"/>
  <c r="C98" i="122"/>
  <c r="CB98" i="122"/>
  <c r="CI98" i="122"/>
  <c r="CC100" i="122"/>
  <c r="CI100" i="122" s="1"/>
  <c r="CD224" i="120"/>
  <c r="CJ195" i="120"/>
  <c r="EF31" i="7"/>
  <c r="DZ31" i="7"/>
  <c r="ES24" i="17"/>
  <c r="AR13" i="98"/>
  <c r="AS13" i="98"/>
  <c r="EE30" i="8"/>
  <c r="ED30" i="8" s="1"/>
  <c r="EE27" i="8"/>
  <c r="ED29" i="8"/>
  <c r="CC270" i="120"/>
  <c r="CI270" i="120" s="1"/>
  <c r="CI238" i="120"/>
  <c r="BM99" i="120"/>
  <c r="BN198" i="120"/>
  <c r="EN50" i="121" s="1"/>
  <c r="C61" i="120"/>
  <c r="B62" i="120"/>
  <c r="R62" i="120"/>
  <c r="C64" i="120"/>
  <c r="CH62" i="120"/>
  <c r="CB64" i="120"/>
  <c r="CH64" i="120" s="1"/>
  <c r="C239" i="120"/>
  <c r="R38" i="120"/>
  <c r="B38" i="120"/>
  <c r="C205" i="120"/>
  <c r="C57" i="121" s="1"/>
  <c r="AG38" i="120"/>
  <c r="BM76" i="122"/>
  <c r="BM157" i="122" s="1"/>
  <c r="BN157" i="122"/>
  <c r="EN39" i="123" s="1"/>
  <c r="CB128" i="120"/>
  <c r="CH128" i="120" s="1"/>
  <c r="CH126" i="120"/>
  <c r="EE15" i="7"/>
  <c r="EE8" i="7" s="1"/>
  <c r="CH203" i="120"/>
  <c r="BJ99" i="120"/>
  <c r="BD198" i="120"/>
  <c r="BJ198" i="120" s="1"/>
  <c r="BZ8" i="19"/>
  <c r="BZ28" i="19"/>
  <c r="BN33" i="19"/>
  <c r="R23" i="122"/>
  <c r="AG23" i="122" s="1"/>
  <c r="B23" i="122"/>
  <c r="C154" i="122"/>
  <c r="C36" i="123" s="1"/>
  <c r="B80" i="122"/>
  <c r="R80" i="122"/>
  <c r="R95" i="122"/>
  <c r="AG95" i="122" s="1"/>
  <c r="C94" i="122"/>
  <c r="B95" i="122"/>
  <c r="B43" i="122"/>
  <c r="R43" i="122"/>
  <c r="Q43" i="122" s="1"/>
  <c r="CH23" i="122"/>
  <c r="CB154" i="122"/>
  <c r="CH154" i="122" s="1"/>
  <c r="AG199" i="120"/>
  <c r="AM199" i="120" s="1"/>
  <c r="AM54" i="120"/>
  <c r="AF54" i="120"/>
  <c r="AP54" i="120"/>
  <c r="BE54" i="120" s="1"/>
  <c r="L51" i="121"/>
  <c r="B51" i="121"/>
  <c r="R199" i="120"/>
  <c r="AP51" i="121" s="1"/>
  <c r="Q54" i="120"/>
  <c r="Q199" i="120" s="1"/>
  <c r="B199" i="120"/>
  <c r="E48" i="143"/>
  <c r="J49" i="143"/>
  <c r="I49" i="143"/>
  <c r="BN35" i="19"/>
  <c r="BZ31" i="19"/>
  <c r="BZ25" i="19"/>
  <c r="BZ45" i="19"/>
  <c r="BN16" i="19"/>
  <c r="BN25" i="19"/>
  <c r="BZ50" i="19"/>
  <c r="BN11" i="19"/>
  <c r="BZ41" i="19"/>
  <c r="BN9" i="19"/>
  <c r="BZ29" i="19"/>
  <c r="BZ44" i="19"/>
  <c r="BN13" i="19"/>
  <c r="BZ13" i="19" s="1"/>
  <c r="BN39" i="19"/>
  <c r="DO19" i="8"/>
  <c r="DO102" i="8" s="1"/>
  <c r="AB63" i="96"/>
  <c r="AB65" i="96"/>
  <c r="Z67" i="96"/>
  <c r="EB19" i="8" s="1"/>
  <c r="AB55" i="96"/>
  <c r="AB53" i="96"/>
  <c r="BG17" i="65"/>
  <c r="BT31" i="8"/>
  <c r="M42" i="126"/>
  <c r="CB51" i="123"/>
  <c r="CK51" i="123" s="1"/>
  <c r="EF150" i="7"/>
  <c r="BA16" i="7"/>
  <c r="EG166" i="7"/>
  <c r="EG199" i="7"/>
  <c r="BC16" i="64"/>
  <c r="BA16" i="64"/>
  <c r="EE150" i="7"/>
  <c r="BW15" i="61"/>
  <c r="BE13" i="65"/>
  <c r="CK100" i="8"/>
  <c r="BV102" i="8"/>
  <c r="DZ51" i="123"/>
  <c r="X42" i="126"/>
  <c r="FY49" i="123"/>
  <c r="AY129" i="8"/>
  <c r="P103" i="56"/>
  <c r="AY127" i="8"/>
  <c r="DA100" i="8"/>
  <c r="BS100" i="8"/>
  <c r="CX31" i="17"/>
  <c r="CW31" i="17" s="1"/>
  <c r="CW40" i="17" s="1"/>
  <c r="CM23" i="8"/>
  <c r="CM100" i="8" s="1"/>
  <c r="FP46" i="123"/>
  <c r="FE46" i="123"/>
  <c r="V37" i="126"/>
  <c r="DX46" i="123"/>
  <c r="EA46" i="123"/>
  <c r="EC46" i="123"/>
  <c r="X37" i="126"/>
  <c r="DZ46" i="123"/>
  <c r="V35" i="126"/>
  <c r="CR43" i="7"/>
  <c r="CD47" i="123"/>
  <c r="U38" i="126" s="1"/>
  <c r="CA47" i="123"/>
  <c r="R15" i="68"/>
  <c r="DZ27" i="17"/>
  <c r="EA27" i="17" s="1"/>
  <c r="DH31" i="7" s="1"/>
  <c r="DH33" i="7" s="1"/>
  <c r="DH27" i="7" s="1"/>
  <c r="DH11" i="135"/>
  <c r="DH13" i="135" s="1"/>
  <c r="DH7" i="135" s="1"/>
  <c r="BA27" i="7"/>
  <c r="AN151" i="7"/>
  <c r="AN166" i="7" s="1"/>
  <c r="AN171" i="7" s="1"/>
  <c r="BN10" i="19"/>
  <c r="BZ43" i="19"/>
  <c r="BZ9" i="19"/>
  <c r="BZ24" i="19"/>
  <c r="BZ35" i="19"/>
  <c r="BZ37" i="19"/>
  <c r="BZ16" i="19"/>
  <c r="BZ27" i="19"/>
  <c r="BZ46" i="19"/>
  <c r="BN34" i="19"/>
  <c r="BN37" i="19"/>
  <c r="BN40" i="19"/>
  <c r="BN42" i="19"/>
  <c r="BN29" i="19"/>
  <c r="BN27" i="19"/>
  <c r="BN38" i="19"/>
  <c r="BN36" i="19"/>
  <c r="BN22" i="19"/>
  <c r="CX14" i="136"/>
  <c r="CX16" i="136" s="1"/>
  <c r="E15" i="99"/>
  <c r="BO50" i="19" s="1"/>
  <c r="BZ19" i="19"/>
  <c r="BZ36" i="19"/>
  <c r="BZ22" i="19"/>
  <c r="BZ17" i="19"/>
  <c r="BZ30" i="19"/>
  <c r="BZ33" i="19"/>
  <c r="BZ42" i="19"/>
  <c r="BZ40" i="19"/>
  <c r="BZ32" i="19"/>
  <c r="BN24" i="19"/>
  <c r="BN43" i="19"/>
  <c r="BN8" i="19"/>
  <c r="BN41" i="19"/>
  <c r="BN46" i="19"/>
  <c r="BN18" i="19"/>
  <c r="BN21" i="19"/>
  <c r="BN48" i="19"/>
  <c r="BN44" i="19"/>
  <c r="AM19" i="7"/>
  <c r="E18" i="99"/>
  <c r="BL50" i="19" s="1"/>
  <c r="BL45" i="19" s="1"/>
  <c r="FM45" i="19" s="1"/>
  <c r="BS68" i="123"/>
  <c r="CE68" i="123" s="1"/>
  <c r="CT27" i="17"/>
  <c r="CU27" i="17" s="1"/>
  <c r="BY31" i="7" s="1"/>
  <c r="BY149" i="7" s="1"/>
  <c r="BZ47" i="19"/>
  <c r="BZ18" i="19"/>
  <c r="BZ20" i="19"/>
  <c r="BZ26" i="19"/>
  <c r="BZ39" i="19"/>
  <c r="BZ38" i="19"/>
  <c r="BZ34" i="19"/>
  <c r="BZ23" i="19"/>
  <c r="BZ48" i="19"/>
  <c r="BZ21" i="19"/>
  <c r="BN31" i="19"/>
  <c r="BN45" i="19"/>
  <c r="BN19" i="19"/>
  <c r="BN17" i="19"/>
  <c r="BN32" i="19"/>
  <c r="BN30" i="19"/>
  <c r="BN28" i="19"/>
  <c r="BN26" i="19"/>
  <c r="CF14" i="7"/>
  <c r="CF8" i="7" s="1"/>
  <c r="E19" i="99"/>
  <c r="BM50" i="19" s="1"/>
  <c r="BM45" i="19" s="1"/>
  <c r="FN45" i="19" s="1"/>
  <c r="BW38" i="8"/>
  <c r="BV38" i="8" s="1"/>
  <c r="DX37" i="123"/>
  <c r="AM16" i="7"/>
  <c r="CH149" i="7"/>
  <c r="BA12" i="135"/>
  <c r="EA37" i="123"/>
  <c r="Y28" i="126" s="1"/>
  <c r="EG70" i="123"/>
  <c r="GF70" i="123" s="1"/>
  <c r="GF71" i="123" s="1"/>
  <c r="BU23" i="8"/>
  <c r="CX43" i="123"/>
  <c r="EL44" i="123"/>
  <c r="DH43" i="7"/>
  <c r="EA44" i="123"/>
  <c r="Y35" i="126" s="1"/>
  <c r="DH50" i="7"/>
  <c r="AK17" i="8"/>
  <c r="M10" i="104"/>
  <c r="CX7" i="136"/>
  <c r="CG15" i="7"/>
  <c r="CG14" i="7" s="1"/>
  <c r="AH60" i="19"/>
  <c r="GB45" i="123"/>
  <c r="AG36" i="126" s="1"/>
  <c r="EL45" i="123"/>
  <c r="CX12" i="136"/>
  <c r="P19" i="105"/>
  <c r="CV31" i="7"/>
  <c r="DM24" i="17"/>
  <c r="CW29" i="8"/>
  <c r="CW31" i="8" s="1"/>
  <c r="CW27" i="8" s="1"/>
  <c r="L72" i="68"/>
  <c r="BW31" i="7"/>
  <c r="BW149" i="7" s="1"/>
  <c r="BX31" i="7"/>
  <c r="BX149" i="7" s="1"/>
  <c r="CW23" i="8"/>
  <c r="CW25" i="8" s="1"/>
  <c r="CR24" i="17"/>
  <c r="BW19" i="8"/>
  <c r="BW102" i="8" s="1"/>
  <c r="DK31" i="7"/>
  <c r="ED24" i="17"/>
  <c r="T15" i="68"/>
  <c r="DJ31" i="17"/>
  <c r="DI31" i="17" s="1"/>
  <c r="DI40" i="17" s="1"/>
  <c r="BV32" i="7"/>
  <c r="BV150" i="7" s="1"/>
  <c r="AN154" i="7"/>
  <c r="AO59" i="7"/>
  <c r="CU31" i="17"/>
  <c r="CT31" i="17" s="1"/>
  <c r="CT40" i="17" s="1"/>
  <c r="T43" i="98"/>
  <c r="N70" i="68"/>
  <c r="N71" i="68"/>
  <c r="BV10" i="136"/>
  <c r="BV11" i="136" s="1"/>
  <c r="BV7" i="136" s="1"/>
  <c r="BW11" i="136"/>
  <c r="BW7" i="136" s="1"/>
  <c r="U40" i="98"/>
  <c r="AC12" i="65" s="1"/>
  <c r="BW13" i="8"/>
  <c r="BV14" i="8"/>
  <c r="BV8" i="8" s="1"/>
  <c r="P66" i="68"/>
  <c r="P69" i="68"/>
  <c r="P67" i="68"/>
  <c r="P68" i="68"/>
  <c r="BZ23" i="7"/>
  <c r="BY24" i="7"/>
  <c r="W16" i="98"/>
  <c r="X11" i="98"/>
  <c r="W9" i="98"/>
  <c r="BT96" i="8"/>
  <c r="BT138" i="8" s="1"/>
  <c r="Z12" i="65" s="1"/>
  <c r="AA12" i="65" s="1"/>
  <c r="BS9" i="8"/>
  <c r="BS96" i="8" s="1"/>
  <c r="V31" i="98"/>
  <c r="V36" i="98" s="1"/>
  <c r="W26" i="98"/>
  <c r="AH31" i="98"/>
  <c r="AH36" i="98" s="1"/>
  <c r="AH24" i="98"/>
  <c r="AH29" i="98" s="1"/>
  <c r="R65" i="68"/>
  <c r="T63" i="68"/>
  <c r="T65" i="68" s="1"/>
  <c r="BW23" i="8"/>
  <c r="BW24" i="8" s="1"/>
  <c r="BX23" i="8"/>
  <c r="BV24" i="8"/>
  <c r="CA39" i="7"/>
  <c r="BZ39" i="7"/>
  <c r="V14" i="98"/>
  <c r="V21" i="98"/>
  <c r="U19" i="98"/>
  <c r="U38" i="98" s="1"/>
  <c r="U42" i="98"/>
  <c r="BV29" i="8"/>
  <c r="BW30" i="8"/>
  <c r="V24" i="98"/>
  <c r="V29" i="98" s="1"/>
  <c r="V34" i="98" s="1"/>
  <c r="CL49" i="122"/>
  <c r="DX45" i="123"/>
  <c r="DY37" i="123"/>
  <c r="W28" i="126"/>
  <c r="AF49" i="125"/>
  <c r="CW49" i="123"/>
  <c r="CX100" i="8"/>
  <c r="CX137" i="8" s="1"/>
  <c r="AN11" i="65" s="1"/>
  <c r="N86" i="68"/>
  <c r="AC44" i="125"/>
  <c r="AN17" i="98"/>
  <c r="AN22" i="98" s="1"/>
  <c r="AN16" i="98"/>
  <c r="AM17" i="98"/>
  <c r="AM22" i="98" s="1"/>
  <c r="AM41" i="98" s="1"/>
  <c r="AM16" i="98"/>
  <c r="AE57" i="65"/>
  <c r="AE62" i="65"/>
  <c r="GE68" i="123"/>
  <c r="AI14" i="98"/>
  <c r="AI19" i="98" s="1"/>
  <c r="AI21" i="98"/>
  <c r="DA9" i="8" s="1"/>
  <c r="CZ9" i="8" s="1"/>
  <c r="DF49" i="123"/>
  <c r="U59" i="125"/>
  <c r="EQ70" i="123"/>
  <c r="FR69" i="123"/>
  <c r="EP69" i="123"/>
  <c r="V59" i="125"/>
  <c r="L100" i="68"/>
  <c r="CR8" i="7"/>
  <c r="X27" i="98"/>
  <c r="X32" i="98" s="1"/>
  <c r="X37" i="98" s="1"/>
  <c r="X41" i="98" s="1"/>
  <c r="AD14" i="66" s="1"/>
  <c r="W32" i="98"/>
  <c r="W37" i="98" s="1"/>
  <c r="W41" i="98" s="1"/>
  <c r="AC14" i="66" s="1"/>
  <c r="CL48" i="72"/>
  <c r="CL51" i="72" s="1"/>
  <c r="BV48" i="72"/>
  <c r="BX48" i="72"/>
  <c r="BU51" i="72"/>
  <c r="BP51" i="72"/>
  <c r="BN51" i="72" s="1"/>
  <c r="BW48" i="72"/>
  <c r="FW59" i="123"/>
  <c r="DM31" i="8"/>
  <c r="DM27" i="8" s="1"/>
  <c r="DL29" i="8"/>
  <c r="DL31" i="8" s="1"/>
  <c r="DL27" i="8" s="1"/>
  <c r="DZ36" i="17"/>
  <c r="EA36" i="17" s="1"/>
  <c r="DN23" i="8" s="1"/>
  <c r="AD42" i="126"/>
  <c r="FY51" i="123"/>
  <c r="DZ33" i="17"/>
  <c r="EA33" i="17" s="1"/>
  <c r="DM23" i="8" s="1"/>
  <c r="DM100" i="8" s="1"/>
  <c r="AF44" i="125"/>
  <c r="AU129" i="8"/>
  <c r="AU130" i="8" s="1"/>
  <c r="AU127" i="8"/>
  <c r="R15" i="102"/>
  <c r="R23" i="102"/>
  <c r="AB51" i="125"/>
  <c r="J21" i="105"/>
  <c r="J27" i="105" s="1"/>
  <c r="J36" i="105" s="1"/>
  <c r="J38" i="105" s="1"/>
  <c r="P34" i="104" s="1"/>
  <c r="P39" i="104" s="1"/>
  <c r="AC17" i="66" s="1"/>
  <c r="AC15" i="66" s="1"/>
  <c r="P52" i="68"/>
  <c r="CG69" i="123"/>
  <c r="DR68" i="123"/>
  <c r="AG70" i="123"/>
  <c r="AG71" i="123" s="1"/>
  <c r="BA14" i="7"/>
  <c r="AL15" i="7"/>
  <c r="AM14" i="7"/>
  <c r="GB44" i="123"/>
  <c r="AG35" i="126" s="1"/>
  <c r="K61" i="123"/>
  <c r="P85" i="68"/>
  <c r="EE68" i="123"/>
  <c r="GD68" i="123" s="1"/>
  <c r="CJ171" i="7"/>
  <c r="CJ173" i="7"/>
  <c r="CI170" i="7"/>
  <c r="FY44" i="123"/>
  <c r="O50" i="125"/>
  <c r="AC90" i="7"/>
  <c r="AC88" i="7"/>
  <c r="AC91" i="7" s="1"/>
  <c r="AC93" i="7"/>
  <c r="AC94" i="7" s="1"/>
  <c r="DY66" i="123"/>
  <c r="W57" i="126"/>
  <c r="EB66" i="123"/>
  <c r="P50" i="125"/>
  <c r="AC173" i="7"/>
  <c r="AC171" i="7"/>
  <c r="AQ8" i="7"/>
  <c r="M36" i="105"/>
  <c r="P27" i="105"/>
  <c r="P36" i="105" s="1"/>
  <c r="AX63" i="61"/>
  <c r="AX58" i="61"/>
  <c r="H13" i="64"/>
  <c r="D10" i="87"/>
  <c r="AI166" i="7"/>
  <c r="AA173" i="7"/>
  <c r="AA171" i="7"/>
  <c r="AI171" i="7" s="1"/>
  <c r="AD8" i="7"/>
  <c r="AD71" i="7" s="1"/>
  <c r="AD144" i="7"/>
  <c r="AD166" i="7" s="1"/>
  <c r="S31" i="104"/>
  <c r="BW46" i="8"/>
  <c r="T26" i="104"/>
  <c r="AE63" i="61"/>
  <c r="AE58" i="61"/>
  <c r="Y70" i="123"/>
  <c r="AH70" i="123" s="1"/>
  <c r="AH71" i="123" s="1"/>
  <c r="W69" i="123"/>
  <c r="AF69" i="123" s="1"/>
  <c r="EA66" i="123"/>
  <c r="DX66" i="123"/>
  <c r="V57" i="126"/>
  <c r="AD25" i="95"/>
  <c r="AD27" i="95" s="1"/>
  <c r="AE23" i="95"/>
  <c r="AE25" i="95" s="1"/>
  <c r="AE27" i="95" s="1"/>
  <c r="Z13" i="65"/>
  <c r="AA13" i="65" s="1"/>
  <c r="AA15" i="65"/>
  <c r="CQ69" i="123"/>
  <c r="DR69" i="123" s="1"/>
  <c r="CR70" i="123"/>
  <c r="DS69" i="123"/>
  <c r="O31" i="104"/>
  <c r="AC15" i="65" s="1"/>
  <c r="AC13" i="65" s="1"/>
  <c r="P26" i="104"/>
  <c r="AR9" i="7"/>
  <c r="AS9" i="7" s="1"/>
  <c r="K16" i="105"/>
  <c r="L8" i="105" s="1"/>
  <c r="AA51" i="125"/>
  <c r="EW66" i="123"/>
  <c r="EM66" i="123"/>
  <c r="I38" i="105"/>
  <c r="O34" i="104" s="1"/>
  <c r="O39" i="104" s="1"/>
  <c r="AB17" i="66" s="1"/>
  <c r="AB15" i="66" s="1"/>
  <c r="I37" i="105"/>
  <c r="AB174" i="7"/>
  <c r="AB176" i="7"/>
  <c r="AB177" i="7" s="1"/>
  <c r="Z58" i="61"/>
  <c r="Z63" i="61"/>
  <c r="F7" i="77"/>
  <c r="F5" i="77" s="1"/>
  <c r="E5" i="77"/>
  <c r="C12" i="87"/>
  <c r="C11" i="87" s="1"/>
  <c r="C10" i="87" s="1"/>
  <c r="H14" i="61" s="1"/>
  <c r="AS70" i="123"/>
  <c r="AR70" i="123" s="1"/>
  <c r="BT69" i="123"/>
  <c r="CF69" i="123" s="1"/>
  <c r="AF76" i="123"/>
  <c r="AF65" i="123"/>
  <c r="DK70" i="123"/>
  <c r="DT70" i="123" s="1"/>
  <c r="DT71" i="123" s="1"/>
  <c r="E70" i="123"/>
  <c r="E71" i="123" s="1"/>
  <c r="F71" i="123"/>
  <c r="R50" i="68"/>
  <c r="T50" i="68"/>
  <c r="T68" i="32"/>
  <c r="V68" i="32" s="1"/>
  <c r="V73" i="32" s="1"/>
  <c r="O10" i="104" s="1"/>
  <c r="FA70" i="123"/>
  <c r="FS69" i="123"/>
  <c r="EY69" i="123"/>
  <c r="G71" i="123"/>
  <c r="N99" i="68"/>
  <c r="DR65" i="123"/>
  <c r="DR76" i="123"/>
  <c r="CZ70" i="123"/>
  <c r="CZ71" i="123" s="1"/>
  <c r="DA71" i="123"/>
  <c r="AK47" i="8"/>
  <c r="AK105" i="8" s="1"/>
  <c r="AI105" i="8"/>
  <c r="AJ47" i="8"/>
  <c r="AW47" i="8"/>
  <c r="X16" i="95"/>
  <c r="X21" i="95" s="1"/>
  <c r="X31" i="95" s="1"/>
  <c r="X50" i="95" s="1"/>
  <c r="AC13" i="64" s="1"/>
  <c r="Y11" i="95"/>
  <c r="Y16" i="95" s="1"/>
  <c r="Y21" i="95" s="1"/>
  <c r="Y31" i="95" s="1"/>
  <c r="Y50" i="95" s="1"/>
  <c r="AD13" i="64" s="1"/>
  <c r="DT69" i="123"/>
  <c r="BL71" i="123"/>
  <c r="BJ70" i="123"/>
  <c r="BJ71" i="123" s="1"/>
  <c r="BV15" i="135"/>
  <c r="T51" i="68"/>
  <c r="DP49" i="123"/>
  <c r="W40" i="126" s="1"/>
  <c r="AX80" i="8"/>
  <c r="CT129" i="8"/>
  <c r="CT130" i="8" s="1"/>
  <c r="CT127" i="8"/>
  <c r="FJ70" i="123"/>
  <c r="FH69" i="123"/>
  <c r="BS76" i="123"/>
  <c r="BS65" i="123"/>
  <c r="CF65" i="123"/>
  <c r="FQ68" i="123"/>
  <c r="BC70" i="123"/>
  <c r="BU70" i="123" s="1"/>
  <c r="BA69" i="123"/>
  <c r="BS69" i="123" s="1"/>
  <c r="DB71" i="123"/>
  <c r="BY50" i="123"/>
  <c r="P41" i="126"/>
  <c r="CB50" i="123"/>
  <c r="BB171" i="7"/>
  <c r="CL49" i="123"/>
  <c r="T40" i="126"/>
  <c r="BU153" i="7"/>
  <c r="BU166" i="7" s="1"/>
  <c r="BU71" i="7"/>
  <c r="FN44" i="123"/>
  <c r="AC70" i="6"/>
  <c r="BF70" i="6"/>
  <c r="BA70" i="6"/>
  <c r="AX70" i="6"/>
  <c r="AB70" i="6"/>
  <c r="BG70" i="6"/>
  <c r="BB70" i="6"/>
  <c r="BH70" i="6"/>
  <c r="Z69" i="6"/>
  <c r="AW70" i="6"/>
  <c r="AV70" i="6"/>
  <c r="BC70" i="6"/>
  <c r="CF13" i="135"/>
  <c r="CU13" i="135"/>
  <c r="CU7" i="135" s="1"/>
  <c r="BV7" i="135"/>
  <c r="BY12" i="135"/>
  <c r="AV101" i="6"/>
  <c r="AB101" i="6"/>
  <c r="AW101" i="6"/>
  <c r="AC101" i="6"/>
  <c r="AX101" i="6"/>
  <c r="AO24" i="8"/>
  <c r="AO101" i="8" s="1"/>
  <c r="R82" i="68"/>
  <c r="R81" i="68"/>
  <c r="R80" i="68"/>
  <c r="R83" i="68"/>
  <c r="N36" i="105"/>
  <c r="O35" i="105" s="1"/>
  <c r="G35" i="105" s="1"/>
  <c r="AL18" i="7"/>
  <c r="AN17" i="7"/>
  <c r="AL17" i="7" s="1"/>
  <c r="AL12" i="64"/>
  <c r="BA9" i="7"/>
  <c r="AM9" i="7"/>
  <c r="AX121" i="8"/>
  <c r="R51" i="68"/>
  <c r="AB77" i="6"/>
  <c r="BG77" i="6"/>
  <c r="AX77" i="6"/>
  <c r="BA77" i="6"/>
  <c r="BH77" i="6"/>
  <c r="BF77" i="6"/>
  <c r="AC77" i="6"/>
  <c r="AW77" i="6"/>
  <c r="BB77" i="6"/>
  <c r="BC77" i="6"/>
  <c r="AV77" i="6"/>
  <c r="BG48" i="123"/>
  <c r="BP48" i="123" s="1"/>
  <c r="BQ48" i="123"/>
  <c r="AZ41" i="7"/>
  <c r="BA40" i="7"/>
  <c r="AZ150" i="7"/>
  <c r="AN127" i="8"/>
  <c r="AN129" i="8"/>
  <c r="AN130" i="8" s="1"/>
  <c r="AC108" i="6"/>
  <c r="BF108" i="6"/>
  <c r="AB108" i="6"/>
  <c r="AX108" i="6"/>
  <c r="BC108" i="6"/>
  <c r="AW108" i="6"/>
  <c r="BG108" i="6"/>
  <c r="AV108" i="6"/>
  <c r="BB108" i="6"/>
  <c r="BA108" i="6"/>
  <c r="BH108" i="6"/>
  <c r="CH14" i="7"/>
  <c r="CH8" i="7" s="1"/>
  <c r="AH70" i="32"/>
  <c r="BY53" i="7" s="1"/>
  <c r="AH73" i="32"/>
  <c r="AM40" i="7"/>
  <c r="AL41" i="7"/>
  <c r="AM41" i="7" s="1"/>
  <c r="AL150" i="7"/>
  <c r="AM150" i="7" s="1"/>
  <c r="CL112" i="122"/>
  <c r="AP15" i="135"/>
  <c r="AI15" i="135"/>
  <c r="AB15" i="135"/>
  <c r="AW83" i="6"/>
  <c r="AV83" i="6"/>
  <c r="BB83" i="6"/>
  <c r="BC83" i="6"/>
  <c r="AC83" i="6"/>
  <c r="BG83" i="6"/>
  <c r="BH83" i="6"/>
  <c r="AB83" i="6"/>
  <c r="AX83" i="6"/>
  <c r="BA83" i="6"/>
  <c r="BF83" i="6"/>
  <c r="AD91" i="6"/>
  <c r="Z90" i="6"/>
  <c r="X90" i="6"/>
  <c r="BD91" i="6"/>
  <c r="R18" i="125"/>
  <c r="BO15" i="61"/>
  <c r="DI188" i="7"/>
  <c r="AS16" i="64" s="1"/>
  <c r="AC114" i="6"/>
  <c r="AB114" i="6"/>
  <c r="AX114" i="6"/>
  <c r="AW114" i="6"/>
  <c r="Z115" i="6"/>
  <c r="AV114" i="6"/>
  <c r="CL113" i="122"/>
  <c r="BT40" i="8"/>
  <c r="BS39" i="8"/>
  <c r="BS40" i="8" s="1"/>
  <c r="AC39" i="123"/>
  <c r="X109" i="6"/>
  <c r="Y109" i="6" s="1"/>
  <c r="DD173" i="7"/>
  <c r="DD171" i="7"/>
  <c r="N98" i="68"/>
  <c r="CO171" i="7"/>
  <c r="CO173" i="7"/>
  <c r="DG51" i="123"/>
  <c r="CW51" i="123"/>
  <c r="Q42" i="126"/>
  <c r="BZ51" i="123"/>
  <c r="CC51" i="123"/>
  <c r="GE65" i="123"/>
  <c r="EF65" i="123"/>
  <c r="Z8" i="95"/>
  <c r="Z13" i="95" s="1"/>
  <c r="AD10" i="95"/>
  <c r="AA10" i="95"/>
  <c r="AC10" i="95"/>
  <c r="AB10" i="95"/>
  <c r="Z15" i="95"/>
  <c r="Z20" i="95" s="1"/>
  <c r="J7" i="105"/>
  <c r="I14" i="105"/>
  <c r="AT71" i="123"/>
  <c r="DG50" i="7"/>
  <c r="DG43" i="7"/>
  <c r="AW81" i="6"/>
  <c r="AV81" i="6"/>
  <c r="BB81" i="6"/>
  <c r="BC81" i="6"/>
  <c r="AC81" i="6"/>
  <c r="BG81" i="6"/>
  <c r="BH81" i="6"/>
  <c r="AB81" i="6"/>
  <c r="AX81" i="6"/>
  <c r="BA81" i="6"/>
  <c r="BF81" i="6"/>
  <c r="BD96" i="6"/>
  <c r="Q41" i="126"/>
  <c r="BZ50" i="123"/>
  <c r="AJ61" i="8"/>
  <c r="AI78" i="8"/>
  <c r="AJ78" i="8" s="1"/>
  <c r="K83" i="56"/>
  <c r="P82" i="56"/>
  <c r="X82" i="56" s="1"/>
  <c r="BJ121" i="6"/>
  <c r="BF72" i="6"/>
  <c r="BJ73" i="6"/>
  <c r="AV72" i="6"/>
  <c r="AY72" i="6" s="1"/>
  <c r="AY73" i="6"/>
  <c r="X72" i="6"/>
  <c r="Y72" i="6" s="1"/>
  <c r="AV68" i="6"/>
  <c r="BH68" i="6"/>
  <c r="BC68" i="6"/>
  <c r="BB68" i="6"/>
  <c r="AW68" i="6"/>
  <c r="AC68" i="6"/>
  <c r="BA68" i="6"/>
  <c r="AX68" i="6"/>
  <c r="BG68" i="6"/>
  <c r="BF68" i="6"/>
  <c r="AB68" i="6"/>
  <c r="AW104" i="6"/>
  <c r="AC104" i="6"/>
  <c r="BF104" i="6"/>
  <c r="BC104" i="6"/>
  <c r="AX104" i="6"/>
  <c r="AB104" i="6"/>
  <c r="AD104" i="6" s="1"/>
  <c r="BB104" i="6"/>
  <c r="BA104" i="6"/>
  <c r="BH104" i="6"/>
  <c r="BG104" i="6"/>
  <c r="AV104" i="6"/>
  <c r="DO31" i="8"/>
  <c r="CZ31" i="8"/>
  <c r="BS27" i="8"/>
  <c r="CK31" i="8"/>
  <c r="P84" i="68"/>
  <c r="BL35" i="19"/>
  <c r="FM35" i="19" s="1"/>
  <c r="BL8" i="19"/>
  <c r="FM8" i="19" s="1"/>
  <c r="BL9" i="19"/>
  <c r="FM9" i="19" s="1"/>
  <c r="BX50" i="19"/>
  <c r="BX21" i="19"/>
  <c r="BX38" i="19"/>
  <c r="BX26" i="19"/>
  <c r="BX37" i="19"/>
  <c r="BX41" i="19"/>
  <c r="BX39" i="19"/>
  <c r="BX16" i="19"/>
  <c r="BX22" i="19"/>
  <c r="BL30" i="19"/>
  <c r="BL48" i="19"/>
  <c r="EH48" i="19" s="1"/>
  <c r="BL17" i="19"/>
  <c r="FM17" i="19" s="1"/>
  <c r="BL39" i="19"/>
  <c r="FM39" i="19" s="1"/>
  <c r="BL19" i="19"/>
  <c r="FM19" i="19" s="1"/>
  <c r="BL23" i="19"/>
  <c r="FM23" i="19" s="1"/>
  <c r="EW39" i="123"/>
  <c r="FF39" i="123" s="1"/>
  <c r="CV7" i="135"/>
  <c r="CL114" i="122"/>
  <c r="Y34" i="98"/>
  <c r="Y38" i="98" s="1"/>
  <c r="Y42" i="98"/>
  <c r="Y130" i="8"/>
  <c r="AF130" i="8" s="1"/>
  <c r="AF129" i="8"/>
  <c r="CW50" i="123"/>
  <c r="DG50" i="123"/>
  <c r="AD39" i="123"/>
  <c r="Y58" i="126"/>
  <c r="EJ67" i="123"/>
  <c r="BC171" i="7"/>
  <c r="AC71" i="6"/>
  <c r="BF71" i="6"/>
  <c r="BA71" i="6"/>
  <c r="AX71" i="6"/>
  <c r="AB71" i="6"/>
  <c r="BG71" i="6"/>
  <c r="BB71" i="6"/>
  <c r="BH71" i="6"/>
  <c r="AW71" i="6"/>
  <c r="AV71" i="6"/>
  <c r="BC71" i="6"/>
  <c r="AO60" i="123"/>
  <c r="AY60" i="123"/>
  <c r="AV107" i="6"/>
  <c r="BH107" i="6"/>
  <c r="BC107" i="6"/>
  <c r="BB107" i="6"/>
  <c r="AW107" i="6"/>
  <c r="AC107" i="6"/>
  <c r="BA107" i="6"/>
  <c r="AX107" i="6"/>
  <c r="BG107" i="6"/>
  <c r="BF107" i="6"/>
  <c r="AB107" i="6"/>
  <c r="T81" i="68"/>
  <c r="T80" i="68"/>
  <c r="T83" i="68"/>
  <c r="T82" i="68"/>
  <c r="AV12" i="136"/>
  <c r="AW11" i="136"/>
  <c r="AV7" i="136"/>
  <c r="AW7" i="136" s="1"/>
  <c r="R91" i="7"/>
  <c r="Z91" i="7"/>
  <c r="AC99" i="6"/>
  <c r="BF99" i="6"/>
  <c r="BA99" i="6"/>
  <c r="AX99" i="6"/>
  <c r="AB99" i="6"/>
  <c r="AD99" i="6" s="1"/>
  <c r="BG99" i="6"/>
  <c r="AW99" i="6"/>
  <c r="AV99" i="6"/>
  <c r="BC99" i="6"/>
  <c r="BB99" i="6"/>
  <c r="BH99" i="6"/>
  <c r="AC92" i="6"/>
  <c r="BF92" i="6"/>
  <c r="BA92" i="6"/>
  <c r="AX92" i="6"/>
  <c r="AB92" i="6"/>
  <c r="BG92" i="6"/>
  <c r="BB92" i="6"/>
  <c r="BH92" i="6"/>
  <c r="AW92" i="6"/>
  <c r="AV92" i="6"/>
  <c r="BC92" i="6"/>
  <c r="CW15" i="8"/>
  <c r="CW8" i="8" s="1"/>
  <c r="AZ71" i="7"/>
  <c r="BB89" i="7"/>
  <c r="BB90" i="7" s="1"/>
  <c r="M40" i="56" s="1"/>
  <c r="BB88" i="7"/>
  <c r="EM50" i="123"/>
  <c r="EW50" i="123"/>
  <c r="X111" i="6"/>
  <c r="Y111" i="6" s="1"/>
  <c r="BB106" i="6"/>
  <c r="BG106" i="6"/>
  <c r="BA106" i="6"/>
  <c r="AV106" i="6"/>
  <c r="BH106" i="6"/>
  <c r="AX106" i="6"/>
  <c r="AW106" i="6"/>
  <c r="BF106" i="6"/>
  <c r="BC106" i="6"/>
  <c r="AC106" i="6"/>
  <c r="AB106" i="6"/>
  <c r="T91" i="68"/>
  <c r="T93" i="68" s="1"/>
  <c r="R93" i="68"/>
  <c r="S70" i="32"/>
  <c r="S73" i="32"/>
  <c r="N10" i="104" s="1"/>
  <c r="BT25" i="8"/>
  <c r="BD19" i="7"/>
  <c r="BD17" i="7" s="1"/>
  <c r="BN39" i="11"/>
  <c r="T18" i="125"/>
  <c r="BC51" i="9"/>
  <c r="BF51" i="9" s="1"/>
  <c r="BD48" i="9"/>
  <c r="BF48" i="9"/>
  <c r="AQ34" i="19"/>
  <c r="AQ27" i="19"/>
  <c r="AQ42" i="19"/>
  <c r="AQ46" i="19"/>
  <c r="AQ26" i="19"/>
  <c r="AQ24" i="19"/>
  <c r="F30" i="65" s="1"/>
  <c r="I30" i="65" s="1"/>
  <c r="N30" i="65" s="1"/>
  <c r="AQ41" i="19"/>
  <c r="AQ22" i="19"/>
  <c r="AQ39" i="19"/>
  <c r="AQ19" i="19"/>
  <c r="AQ23" i="19"/>
  <c r="AQ18" i="19"/>
  <c r="AQ31" i="19"/>
  <c r="AQ28" i="19"/>
  <c r="AQ45" i="19"/>
  <c r="AQ38" i="19"/>
  <c r="AQ43" i="19"/>
  <c r="AQ29" i="19"/>
  <c r="AQ48" i="19"/>
  <c r="AQ16" i="19"/>
  <c r="AQ25" i="19"/>
  <c r="AQ8" i="19"/>
  <c r="AQ20" i="19"/>
  <c r="AQ30" i="19"/>
  <c r="AQ36" i="19"/>
  <c r="AQ44" i="19"/>
  <c r="AQ9" i="19"/>
  <c r="AQ33" i="19"/>
  <c r="AQ35" i="19"/>
  <c r="AQ40" i="19"/>
  <c r="AQ13" i="19"/>
  <c r="AQ10" i="19"/>
  <c r="AQ11" i="19"/>
  <c r="AM57" i="19"/>
  <c r="AZ47" i="8" s="1"/>
  <c r="AQ32" i="19"/>
  <c r="AQ37" i="19"/>
  <c r="AQ47" i="19"/>
  <c r="AQ17" i="19"/>
  <c r="AQ21" i="19"/>
  <c r="BA84" i="6"/>
  <c r="AX84" i="6"/>
  <c r="BH84" i="6"/>
  <c r="AB84" i="6"/>
  <c r="BG84" i="6"/>
  <c r="BF84" i="6"/>
  <c r="AW84" i="6"/>
  <c r="AV84" i="6"/>
  <c r="BC84" i="6"/>
  <c r="AC84" i="6"/>
  <c r="BB84" i="6"/>
  <c r="BA86" i="6"/>
  <c r="AX86" i="6"/>
  <c r="BH86" i="6"/>
  <c r="AB86" i="6"/>
  <c r="BG86" i="6"/>
  <c r="BF86" i="6"/>
  <c r="AC86" i="6"/>
  <c r="BB86" i="6"/>
  <c r="AW86" i="6"/>
  <c r="AV86" i="6"/>
  <c r="BC86" i="6"/>
  <c r="BT14" i="8"/>
  <c r="BT100" i="8"/>
  <c r="AE37" i="95"/>
  <c r="AD41" i="95"/>
  <c r="AD46" i="95" s="1"/>
  <c r="AD50" i="95" s="1"/>
  <c r="AL13" i="136"/>
  <c r="AL7" i="136" s="1"/>
  <c r="AL41" i="8"/>
  <c r="AL34" i="8" s="1"/>
  <c r="DI24" i="17"/>
  <c r="DI39" i="17" s="1"/>
  <c r="DI38" i="17"/>
  <c r="DM174" i="7"/>
  <c r="DM176" i="7"/>
  <c r="DM177" i="7" s="1"/>
  <c r="Z17" i="125"/>
  <c r="CG149" i="7"/>
  <c r="Q40" i="126"/>
  <c r="BZ49" i="123"/>
  <c r="J10" i="96"/>
  <c r="J15" i="96"/>
  <c r="J35" i="96"/>
  <c r="AV40" i="8"/>
  <c r="AW39" i="8"/>
  <c r="AV101" i="8"/>
  <c r="AV34" i="8"/>
  <c r="BD59" i="7"/>
  <c r="AP49" i="19"/>
  <c r="AP50" i="19" s="1"/>
  <c r="DG39" i="7"/>
  <c r="DG41" i="7" s="1"/>
  <c r="DG35" i="7" s="1"/>
  <c r="DH41" i="7"/>
  <c r="DH35" i="7" s="1"/>
  <c r="BC89" i="6"/>
  <c r="AX89" i="6"/>
  <c r="AW89" i="6"/>
  <c r="AC89" i="6"/>
  <c r="BF89" i="6"/>
  <c r="AV89" i="6"/>
  <c r="AB89" i="6"/>
  <c r="BB89" i="6"/>
  <c r="BA89" i="6"/>
  <c r="BH89" i="6"/>
  <c r="BG89" i="6"/>
  <c r="AY96" i="6"/>
  <c r="BK96" i="6"/>
  <c r="Y18" i="125"/>
  <c r="M33" i="105"/>
  <c r="P26" i="105"/>
  <c r="M25" i="105"/>
  <c r="Z120" i="6"/>
  <c r="AD121" i="6"/>
  <c r="Y120" i="6"/>
  <c r="CX48" i="123"/>
  <c r="CN48" i="123"/>
  <c r="CY137" i="8"/>
  <c r="AL13" i="66" s="1"/>
  <c r="GI64" i="123"/>
  <c r="AK25" i="8"/>
  <c r="AK101" i="8"/>
  <c r="BB102" i="6"/>
  <c r="BC102" i="6"/>
  <c r="BH102" i="6"/>
  <c r="BG102" i="6"/>
  <c r="BF102" i="6"/>
  <c r="BM35" i="19"/>
  <c r="FN35" i="19" s="1"/>
  <c r="BY24" i="19"/>
  <c r="BY48" i="19"/>
  <c r="BY18" i="19"/>
  <c r="BY46" i="19"/>
  <c r="BY23" i="19"/>
  <c r="BM31" i="19"/>
  <c r="FN31" i="19" s="1"/>
  <c r="BM48" i="19"/>
  <c r="BM39" i="19"/>
  <c r="FN39" i="19" s="1"/>
  <c r="AB35" i="95"/>
  <c r="AB40" i="95" s="1"/>
  <c r="AB45" i="95" s="1"/>
  <c r="AC33" i="95"/>
  <c r="AB38" i="95"/>
  <c r="AB43" i="95" s="1"/>
  <c r="BJ153" i="7"/>
  <c r="BJ166" i="7" s="1"/>
  <c r="BJ71" i="7"/>
  <c r="EM51" i="123"/>
  <c r="EW51" i="123"/>
  <c r="BW18" i="8"/>
  <c r="Y40" i="98"/>
  <c r="BL153" i="7"/>
  <c r="BL166" i="7" s="1"/>
  <c r="BL71" i="7"/>
  <c r="V40" i="95"/>
  <c r="V45" i="95" s="1"/>
  <c r="W35" i="95"/>
  <c r="AB85" i="6"/>
  <c r="BG85" i="6"/>
  <c r="AX85" i="6"/>
  <c r="BA85" i="6"/>
  <c r="BH85" i="6"/>
  <c r="BF85" i="6"/>
  <c r="BC85" i="6"/>
  <c r="AV85" i="6"/>
  <c r="AC85" i="6"/>
  <c r="AW85" i="6"/>
  <c r="BB85" i="6"/>
  <c r="AV93" i="6"/>
  <c r="BH93" i="6"/>
  <c r="BC93" i="6"/>
  <c r="BB93" i="6"/>
  <c r="AW93" i="6"/>
  <c r="AC93" i="6"/>
  <c r="BA93" i="6"/>
  <c r="AX93" i="6"/>
  <c r="BG93" i="6"/>
  <c r="BF93" i="6"/>
  <c r="AB93" i="6"/>
  <c r="AX117" i="6"/>
  <c r="AB117" i="6"/>
  <c r="BG117" i="6"/>
  <c r="AC117" i="6"/>
  <c r="BF117" i="6"/>
  <c r="BA117" i="6"/>
  <c r="AV117" i="6"/>
  <c r="BC117" i="6"/>
  <c r="BB117" i="6"/>
  <c r="BH117" i="6"/>
  <c r="AW117" i="6"/>
  <c r="AD43" i="126"/>
  <c r="FY52" i="123"/>
  <c r="AN61" i="8"/>
  <c r="AO61" i="8" s="1"/>
  <c r="AM84" i="8"/>
  <c r="AX125" i="8"/>
  <c r="AX126" i="8" s="1"/>
  <c r="AV79" i="8"/>
  <c r="X66" i="125"/>
  <c r="X69" i="6"/>
  <c r="Y69" i="6" s="1"/>
  <c r="AM85" i="8"/>
  <c r="CL100" i="8"/>
  <c r="U10" i="95"/>
  <c r="T8" i="95"/>
  <c r="T13" i="95" s="1"/>
  <c r="T15" i="95"/>
  <c r="T20" i="95" s="1"/>
  <c r="CV8" i="7"/>
  <c r="CU50" i="7"/>
  <c r="DY50" i="7" s="1"/>
  <c r="BY49" i="7"/>
  <c r="BY43" i="7" s="1"/>
  <c r="V38" i="95"/>
  <c r="V43" i="95" s="1"/>
  <c r="W33" i="95"/>
  <c r="S88" i="7"/>
  <c r="R88" i="7"/>
  <c r="Z88" i="7"/>
  <c r="AO144" i="7"/>
  <c r="AO8" i="7"/>
  <c r="CW12" i="136"/>
  <c r="CW7" i="136"/>
  <c r="CW14" i="136"/>
  <c r="CW16" i="136" s="1"/>
  <c r="AL13" i="135"/>
  <c r="AM13" i="135" s="1"/>
  <c r="AM12" i="135"/>
  <c r="DL38" i="8"/>
  <c r="DM40" i="8"/>
  <c r="DM34" i="8"/>
  <c r="BC78" i="6"/>
  <c r="BB78" i="6"/>
  <c r="AW78" i="6"/>
  <c r="AC78" i="6"/>
  <c r="AV78" i="6"/>
  <c r="AX78" i="6"/>
  <c r="AB78" i="6"/>
  <c r="BF78" i="6"/>
  <c r="BA78" i="6"/>
  <c r="BH78" i="6"/>
  <c r="BG78" i="6"/>
  <c r="BI176" i="7"/>
  <c r="BI177" i="7" s="1"/>
  <c r="BI174" i="7"/>
  <c r="AV116" i="6"/>
  <c r="BH116" i="6"/>
  <c r="BB116" i="6"/>
  <c r="BG116" i="6"/>
  <c r="BA116" i="6"/>
  <c r="BF116" i="6"/>
  <c r="BC116" i="6"/>
  <c r="AC116" i="6"/>
  <c r="AB116" i="6"/>
  <c r="AX116" i="6"/>
  <c r="AW116" i="6"/>
  <c r="BB119" i="6"/>
  <c r="BB118" i="6" s="1"/>
  <c r="AB119" i="6"/>
  <c r="AB118" i="6" s="1"/>
  <c r="BA119" i="6"/>
  <c r="Z118" i="6"/>
  <c r="AX119" i="6"/>
  <c r="AX118" i="6" s="1"/>
  <c r="BF119" i="6"/>
  <c r="AW119" i="6"/>
  <c r="AW118" i="6" s="1"/>
  <c r="BC119" i="6"/>
  <c r="BC118" i="6" s="1"/>
  <c r="AC119" i="6"/>
  <c r="AC118" i="6" s="1"/>
  <c r="BH119" i="6"/>
  <c r="BG119" i="6"/>
  <c r="BG118" i="6" s="1"/>
  <c r="AV119" i="6"/>
  <c r="U60" i="123"/>
  <c r="K60" i="123"/>
  <c r="P96" i="68"/>
  <c r="P95" i="68"/>
  <c r="P94" i="68"/>
  <c r="P97" i="68"/>
  <c r="BV43" i="7"/>
  <c r="AS19" i="7"/>
  <c r="BH176" i="7"/>
  <c r="BH177" i="7" s="1"/>
  <c r="BH174" i="7"/>
  <c r="AQ7" i="135"/>
  <c r="AR7" i="135" s="1"/>
  <c r="Y91" i="6"/>
  <c r="Y90" i="6" s="1"/>
  <c r="FG67" i="123"/>
  <c r="EV67" i="123"/>
  <c r="AN17" i="8"/>
  <c r="AO17" i="8" s="1"/>
  <c r="CS33" i="7"/>
  <c r="CS27" i="7" s="1"/>
  <c r="CR31" i="7"/>
  <c r="CS149" i="7"/>
  <c r="BB67" i="6"/>
  <c r="AW67" i="6"/>
  <c r="AV67" i="6"/>
  <c r="BH67" i="6"/>
  <c r="BC67" i="6"/>
  <c r="AB67" i="6"/>
  <c r="AC67" i="6"/>
  <c r="BA67" i="6"/>
  <c r="AX67" i="6"/>
  <c r="BG67" i="6"/>
  <c r="BF67" i="6"/>
  <c r="AB105" i="6"/>
  <c r="AV105" i="6"/>
  <c r="BH105" i="6"/>
  <c r="BA105" i="6"/>
  <c r="BB105" i="6"/>
  <c r="BG105" i="6"/>
  <c r="AC105" i="6"/>
  <c r="AX105" i="6"/>
  <c r="BF105" i="6"/>
  <c r="AW105" i="6"/>
  <c r="BC105" i="6"/>
  <c r="AV110" i="6"/>
  <c r="AC110" i="6"/>
  <c r="AC109" i="6" s="1"/>
  <c r="BH110" i="6"/>
  <c r="BB110" i="6"/>
  <c r="BB109" i="6" s="1"/>
  <c r="AB110" i="6"/>
  <c r="AB109" i="6" s="1"/>
  <c r="Z109" i="6"/>
  <c r="BF110" i="6"/>
  <c r="AW110" i="6"/>
  <c r="AW109" i="6" s="1"/>
  <c r="BC110" i="6"/>
  <c r="BC109" i="6" s="1"/>
  <c r="BA110" i="6"/>
  <c r="BG110" i="6"/>
  <c r="BG109" i="6" s="1"/>
  <c r="AX110" i="6"/>
  <c r="AX109" i="6" s="1"/>
  <c r="N100" i="68"/>
  <c r="DS174" i="7"/>
  <c r="DS176" i="7"/>
  <c r="DS177" i="7" s="1"/>
  <c r="BK93" i="7"/>
  <c r="BK94" i="7" s="1"/>
  <c r="BK88" i="7"/>
  <c r="BK91" i="7"/>
  <c r="BK90" i="7"/>
  <c r="AF70" i="32"/>
  <c r="AQ35" i="7"/>
  <c r="AR35" i="7" s="1"/>
  <c r="BH39" i="123"/>
  <c r="AX39" i="123"/>
  <c r="CX173" i="7"/>
  <c r="CX171" i="7"/>
  <c r="DA170" i="7"/>
  <c r="DB173" i="7"/>
  <c r="DB171" i="7"/>
  <c r="B10" i="77"/>
  <c r="C10" i="77" s="1"/>
  <c r="C4" i="77" s="1"/>
  <c r="K14" i="61" s="1"/>
  <c r="DG11" i="135"/>
  <c r="AB80" i="6"/>
  <c r="BG80" i="6"/>
  <c r="BF80" i="6"/>
  <c r="BA80" i="6"/>
  <c r="AX80" i="6"/>
  <c r="BH80" i="6"/>
  <c r="BB80" i="6"/>
  <c r="AW80" i="6"/>
  <c r="AV80" i="6"/>
  <c r="BC80" i="6"/>
  <c r="AC80" i="6"/>
  <c r="AL130" i="8"/>
  <c r="P73" i="56"/>
  <c r="BD121" i="6"/>
  <c r="AV122" i="6"/>
  <c r="AV120" i="6" s="1"/>
  <c r="AB122" i="6"/>
  <c r="AB120" i="6" s="1"/>
  <c r="BG122" i="6"/>
  <c r="BG120" i="6" s="1"/>
  <c r="BA122" i="6"/>
  <c r="AC122" i="6"/>
  <c r="AC120" i="6" s="1"/>
  <c r="BH122" i="6"/>
  <c r="BH120" i="6" s="1"/>
  <c r="BC122" i="6"/>
  <c r="BC120" i="6" s="1"/>
  <c r="AW122" i="6"/>
  <c r="AW120" i="6" s="1"/>
  <c r="BB122" i="6"/>
  <c r="BB120" i="6" s="1"/>
  <c r="BF122" i="6"/>
  <c r="AX122" i="6"/>
  <c r="AX120" i="6" s="1"/>
  <c r="BC89" i="7"/>
  <c r="BC172" i="7" s="1"/>
  <c r="BC173" i="7" s="1"/>
  <c r="BC88" i="7"/>
  <c r="BW24" i="7"/>
  <c r="BV25" i="7"/>
  <c r="BA72" i="6"/>
  <c r="BD72" i="6" s="1"/>
  <c r="BD73" i="6"/>
  <c r="BK73" i="6"/>
  <c r="BH72" i="6"/>
  <c r="Z72" i="6"/>
  <c r="AD72" i="6" s="1"/>
  <c r="AD73" i="6"/>
  <c r="CX39" i="123"/>
  <c r="CN39" i="123"/>
  <c r="V70" i="32"/>
  <c r="CR13" i="135"/>
  <c r="CR7" i="135" s="1"/>
  <c r="CR15" i="135"/>
  <c r="CR17" i="135" s="1"/>
  <c r="CU15" i="135"/>
  <c r="CU17" i="135" s="1"/>
  <c r="AS41" i="7"/>
  <c r="Y41" i="98"/>
  <c r="BX18" i="8"/>
  <c r="BT52" i="7"/>
  <c r="BS55" i="7"/>
  <c r="BS52" i="7" s="1"/>
  <c r="BB94" i="6"/>
  <c r="AW94" i="6"/>
  <c r="AV94" i="6"/>
  <c r="BH94" i="6"/>
  <c r="BC94" i="6"/>
  <c r="AX94" i="6"/>
  <c r="BG94" i="6"/>
  <c r="BF94" i="6"/>
  <c r="AB94" i="6"/>
  <c r="AC94" i="6"/>
  <c r="BA94" i="6"/>
  <c r="DQ49" i="123"/>
  <c r="AK121" i="8"/>
  <c r="AK34" i="8"/>
  <c r="AK103" i="8"/>
  <c r="BE18" i="7"/>
  <c r="Y123" i="6"/>
  <c r="Y124" i="6" s="1"/>
  <c r="AX84" i="8"/>
  <c r="AX85" i="8" s="1"/>
  <c r="AZ7" i="135"/>
  <c r="BF12" i="135"/>
  <c r="BF13" i="135" s="1"/>
  <c r="BF7" i="135" s="1"/>
  <c r="BF15" i="135" s="1"/>
  <c r="BE12" i="135"/>
  <c r="BA24" i="8"/>
  <c r="AZ17" i="8"/>
  <c r="BA17" i="8" s="1"/>
  <c r="I39" i="96"/>
  <c r="I42" i="96" s="1"/>
  <c r="I29" i="96"/>
  <c r="L7" i="96"/>
  <c r="J24" i="96"/>
  <c r="J27" i="96" s="1"/>
  <c r="J29" i="96"/>
  <c r="J32" i="96" s="1"/>
  <c r="I34" i="96"/>
  <c r="I19" i="96"/>
  <c r="I24" i="96"/>
  <c r="J19" i="96"/>
  <c r="J22" i="96" s="1"/>
  <c r="I9" i="96"/>
  <c r="I14" i="96"/>
  <c r="CF50" i="7"/>
  <c r="CV50" i="7"/>
  <c r="BZ49" i="7"/>
  <c r="BZ43" i="7" s="1"/>
  <c r="CT168" i="7"/>
  <c r="CT170" i="7"/>
  <c r="AM152" i="7"/>
  <c r="BA152" i="7"/>
  <c r="AC17" i="64"/>
  <c r="R12" i="102"/>
  <c r="AD17" i="64" s="1"/>
  <c r="BG174" i="7"/>
  <c r="BG176" i="7"/>
  <c r="BG177" i="7" s="1"/>
  <c r="EV49" i="123"/>
  <c r="FF49" i="123"/>
  <c r="FE49" i="123" s="1"/>
  <c r="DG15" i="7"/>
  <c r="DG8" i="7" s="1"/>
  <c r="EI71" i="123"/>
  <c r="GH70" i="123"/>
  <c r="GH71" i="123" s="1"/>
  <c r="AL7" i="135"/>
  <c r="AM7" i="135" s="1"/>
  <c r="AN15" i="135"/>
  <c r="AL15" i="135" s="1"/>
  <c r="DL10" i="136"/>
  <c r="DM12" i="136"/>
  <c r="DM7" i="136"/>
  <c r="AV75" i="6"/>
  <c r="AB75" i="6"/>
  <c r="AX75" i="6"/>
  <c r="Z76" i="6"/>
  <c r="AW75" i="6"/>
  <c r="AC75" i="6"/>
  <c r="AW79" i="6"/>
  <c r="AV79" i="6"/>
  <c r="BB79" i="6"/>
  <c r="BC79" i="6"/>
  <c r="AC79" i="6"/>
  <c r="AB79" i="6"/>
  <c r="AX79" i="6"/>
  <c r="BA79" i="6"/>
  <c r="BF79" i="6"/>
  <c r="BG79" i="6"/>
  <c r="BH79" i="6"/>
  <c r="BT12" i="136"/>
  <c r="DA12" i="136" s="1"/>
  <c r="DA11" i="136" s="1"/>
  <c r="BS11" i="136"/>
  <c r="BS12" i="136" s="1"/>
  <c r="BX40" i="7"/>
  <c r="BX41" i="7" s="1"/>
  <c r="BW40" i="7"/>
  <c r="BW41" i="7" s="1"/>
  <c r="BV41" i="7"/>
  <c r="Z111" i="6"/>
  <c r="AX112" i="6"/>
  <c r="AX111" i="6" s="1"/>
  <c r="BF112" i="6"/>
  <c r="BG112" i="6"/>
  <c r="BG111" i="6" s="1"/>
  <c r="AW112" i="6"/>
  <c r="AW111" i="6" s="1"/>
  <c r="BB112" i="6"/>
  <c r="BB111" i="6" s="1"/>
  <c r="BC112" i="6"/>
  <c r="BC111" i="6" s="1"/>
  <c r="AB112" i="6"/>
  <c r="AB111" i="6" s="1"/>
  <c r="BA112" i="6"/>
  <c r="AV112" i="6"/>
  <c r="AC112" i="6"/>
  <c r="AC111" i="6" s="1"/>
  <c r="BH112" i="6"/>
  <c r="AV16" i="64"/>
  <c r="AU14" i="64"/>
  <c r="AM151" i="7"/>
  <c r="BA151" i="7"/>
  <c r="AG55" i="126"/>
  <c r="GK64" i="123"/>
  <c r="CW40" i="8"/>
  <c r="CW34" i="8"/>
  <c r="AV97" i="6"/>
  <c r="BH97" i="6"/>
  <c r="BC97" i="6"/>
  <c r="BB97" i="6"/>
  <c r="AW97" i="6"/>
  <c r="AC97" i="6"/>
  <c r="BA97" i="6"/>
  <c r="AX97" i="6"/>
  <c r="BG97" i="6"/>
  <c r="BF97" i="6"/>
  <c r="AB97" i="6"/>
  <c r="AY91" i="6"/>
  <c r="CM171" i="7"/>
  <c r="CL170" i="7"/>
  <c r="CM173" i="7"/>
  <c r="BA8" i="8"/>
  <c r="DE174" i="7"/>
  <c r="DE176" i="7"/>
  <c r="DE177" i="7" s="1"/>
  <c r="BK173" i="7"/>
  <c r="BK171" i="7"/>
  <c r="CP176" i="7"/>
  <c r="CP177" i="7" s="1"/>
  <c r="CP174" i="7"/>
  <c r="CZ100" i="8"/>
  <c r="AP71" i="7"/>
  <c r="AA88" i="7"/>
  <c r="AA90" i="7"/>
  <c r="AI90" i="7" s="1"/>
  <c r="AB71" i="7"/>
  <c r="AA91" i="7"/>
  <c r="AI71" i="7"/>
  <c r="P42" i="126"/>
  <c r="BY51" i="123"/>
  <c r="CL50" i="123"/>
  <c r="T41" i="126"/>
  <c r="I26" i="105"/>
  <c r="I19" i="105"/>
  <c r="BF48" i="72"/>
  <c r="BS48" i="72" s="1"/>
  <c r="BD48" i="72"/>
  <c r="BC51" i="72"/>
  <c r="BF51" i="72" s="1"/>
  <c r="CY174" i="7"/>
  <c r="CY176" i="7"/>
  <c r="CY177" i="7" s="1"/>
  <c r="AL60" i="19"/>
  <c r="AS13" i="135"/>
  <c r="Z95" i="6"/>
  <c r="AD96" i="6"/>
  <c r="X95" i="6"/>
  <c r="Y95" i="6" s="1"/>
  <c r="BJ96" i="6"/>
  <c r="AC98" i="6"/>
  <c r="BF98" i="6"/>
  <c r="BA98" i="6"/>
  <c r="AX98" i="6"/>
  <c r="AB98" i="6"/>
  <c r="AD98" i="6" s="1"/>
  <c r="BG98" i="6"/>
  <c r="BB98" i="6"/>
  <c r="BH98" i="6"/>
  <c r="AW98" i="6"/>
  <c r="AV98" i="6"/>
  <c r="BC98" i="6"/>
  <c r="H11" i="87"/>
  <c r="H10" i="87" s="1"/>
  <c r="J12" i="87"/>
  <c r="J11" i="87" s="1"/>
  <c r="J10" i="87" s="1"/>
  <c r="BK121" i="6"/>
  <c r="AY121" i="6"/>
  <c r="AC65" i="6"/>
  <c r="AB65" i="6"/>
  <c r="AX65" i="6"/>
  <c r="AW65" i="6"/>
  <c r="Z66" i="6"/>
  <c r="AV65" i="6"/>
  <c r="DK188" i="7"/>
  <c r="BL17" i="61"/>
  <c r="DP31" i="8"/>
  <c r="DA31" i="8"/>
  <c r="BT27" i="8"/>
  <c r="CL31" i="8"/>
  <c r="Z66" i="32"/>
  <c r="W67" i="32"/>
  <c r="Y67" i="32" s="1"/>
  <c r="W61" i="32"/>
  <c r="CV15" i="135"/>
  <c r="CV17" i="135" s="1"/>
  <c r="AA28" i="98"/>
  <c r="Z32" i="98"/>
  <c r="Z37" i="98" s="1"/>
  <c r="Z41" i="98" s="1"/>
  <c r="Z31" i="98"/>
  <c r="Z36" i="98" s="1"/>
  <c r="Z40" i="98" s="1"/>
  <c r="Z29" i="98"/>
  <c r="AL51" i="72"/>
  <c r="AO51" i="72" s="1"/>
  <c r="AQ51" i="72"/>
  <c r="BA51" i="72"/>
  <c r="DL13" i="8"/>
  <c r="DM15" i="8"/>
  <c r="AA58" i="126"/>
  <c r="EL67" i="123"/>
  <c r="AN16" i="8"/>
  <c r="AN103" i="8" s="1"/>
  <c r="AL8" i="8"/>
  <c r="BP49" i="123"/>
  <c r="EG71" i="123"/>
  <c r="AL47" i="123"/>
  <c r="EX39" i="123"/>
  <c r="BI61" i="123"/>
  <c r="T61" i="123"/>
  <c r="AE61" i="123"/>
  <c r="BH61" i="123"/>
  <c r="AX61" i="123"/>
  <c r="EC58" i="123"/>
  <c r="U49" i="126"/>
  <c r="CM58" i="123"/>
  <c r="FP50" i="123"/>
  <c r="EX40" i="123"/>
  <c r="EL51" i="123"/>
  <c r="AA42" i="126"/>
  <c r="GB51" i="123"/>
  <c r="AG45" i="126"/>
  <c r="GK54" i="123"/>
  <c r="DQ38" i="123"/>
  <c r="AF37" i="126"/>
  <c r="GJ46" i="123"/>
  <c r="FE37" i="123"/>
  <c r="FN37" i="123" s="1"/>
  <c r="FO37" i="123"/>
  <c r="GA37" i="123" s="1"/>
  <c r="FG38" i="123"/>
  <c r="U31" i="126"/>
  <c r="CM40" i="123"/>
  <c r="CY61" i="123"/>
  <c r="DH61" i="123" s="1"/>
  <c r="DQ48" i="123"/>
  <c r="FP48" i="123"/>
  <c r="DH40" i="123"/>
  <c r="CK37" i="123"/>
  <c r="S28" i="126"/>
  <c r="AD61" i="123"/>
  <c r="N52" i="126" s="1"/>
  <c r="DZ39" i="123"/>
  <c r="X30" i="126"/>
  <c r="EC39" i="123"/>
  <c r="CM39" i="123"/>
  <c r="U30" i="126"/>
  <c r="Z28" i="126"/>
  <c r="EK37" i="123"/>
  <c r="AE52" i="123"/>
  <c r="N34" i="126"/>
  <c r="AM43" i="123"/>
  <c r="GA44" i="123"/>
  <c r="Z35" i="126"/>
  <c r="EK44" i="123"/>
  <c r="FY55" i="123"/>
  <c r="AD46" i="126"/>
  <c r="EL36" i="123"/>
  <c r="AA27" i="126"/>
  <c r="BG43" i="123"/>
  <c r="GB55" i="123"/>
  <c r="AA46" i="126"/>
  <c r="EL55" i="123"/>
  <c r="AG28" i="126"/>
  <c r="GK37" i="123"/>
  <c r="GA45" i="123"/>
  <c r="Z36" i="126"/>
  <c r="EK45" i="123"/>
  <c r="FP36" i="123"/>
  <c r="DQ47" i="123"/>
  <c r="EX43" i="123"/>
  <c r="BR43" i="123"/>
  <c r="BG47" i="123"/>
  <c r="BQ47" i="123"/>
  <c r="CC47" i="123" s="1"/>
  <c r="S36" i="126"/>
  <c r="EA45" i="123"/>
  <c r="CK45" i="123"/>
  <c r="GM45" i="123"/>
  <c r="FN45" i="123"/>
  <c r="EJ37" i="123"/>
  <c r="FX45" i="123"/>
  <c r="AC36" i="126"/>
  <c r="AC43" i="123"/>
  <c r="AD36" i="126"/>
  <c r="FY45" i="123"/>
  <c r="EX47" i="123"/>
  <c r="FG47" i="123" s="1"/>
  <c r="AA50" i="126"/>
  <c r="GB59" i="123"/>
  <c r="EL59" i="123"/>
  <c r="CN47" i="123"/>
  <c r="CX47" i="123"/>
  <c r="AD50" i="126"/>
  <c r="FY59" i="123"/>
  <c r="GI74" i="123"/>
  <c r="FZ72" i="123"/>
  <c r="GI72" i="123" s="1"/>
  <c r="DH43" i="123"/>
  <c r="N38" i="126"/>
  <c r="AM47" i="123"/>
  <c r="EL53" i="123"/>
  <c r="AA44" i="126"/>
  <c r="GB53" i="123"/>
  <c r="CL29" i="122"/>
  <c r="GM44" i="123"/>
  <c r="Y50" i="126"/>
  <c r="FZ59" i="123"/>
  <c r="EJ59" i="123"/>
  <c r="BQ43" i="123"/>
  <c r="AE65" i="125"/>
  <c r="R63" i="125"/>
  <c r="Z60" i="125"/>
  <c r="AC60" i="125"/>
  <c r="Z41" i="125"/>
  <c r="W42" i="125"/>
  <c r="W60" i="125"/>
  <c r="AE49" i="125"/>
  <c r="AF51" i="125"/>
  <c r="X48" i="125"/>
  <c r="T45" i="125"/>
  <c r="Z35" i="125"/>
  <c r="AA44" i="125"/>
  <c r="Y44" i="125"/>
  <c r="R44" i="125"/>
  <c r="V44" i="125"/>
  <c r="X35" i="125"/>
  <c r="AA35" i="125"/>
  <c r="AB35" i="125"/>
  <c r="Y35" i="125"/>
  <c r="AX13" i="65"/>
  <c r="W65" i="125"/>
  <c r="U65" i="125"/>
  <c r="AC58" i="125"/>
  <c r="Z58" i="125"/>
  <c r="AC57" i="125"/>
  <c r="Z57" i="125"/>
  <c r="AC56" i="125"/>
  <c r="Z56" i="125"/>
  <c r="AF55" i="125"/>
  <c r="AC55" i="125"/>
  <c r="AF54" i="125"/>
  <c r="Z53" i="125"/>
  <c r="Q52" i="125"/>
  <c r="AC53" i="125"/>
  <c r="W52" i="125"/>
  <c r="T52" i="125"/>
  <c r="W38" i="125"/>
  <c r="D8" i="129"/>
  <c r="D5" i="129"/>
  <c r="Z34" i="125"/>
  <c r="AC34" i="125"/>
  <c r="ED27" i="8" l="1"/>
  <c r="Q29" i="120"/>
  <c r="AF58" i="120"/>
  <c r="AM58" i="120"/>
  <c r="AG60" i="120"/>
  <c r="AM60" i="120" s="1"/>
  <c r="AP58" i="120"/>
  <c r="AD71" i="6"/>
  <c r="H49" i="143"/>
  <c r="AG239" i="120"/>
  <c r="AM239" i="120" s="1"/>
  <c r="AG205" i="120"/>
  <c r="AM205" i="120" s="1"/>
  <c r="AF38" i="120"/>
  <c r="AM38" i="120"/>
  <c r="AP38" i="120"/>
  <c r="AS17" i="98"/>
  <c r="AS22" i="98" s="1"/>
  <c r="AS16" i="98"/>
  <c r="EE31" i="7"/>
  <c r="EF33" i="7"/>
  <c r="EF27" i="7" s="1"/>
  <c r="CC98" i="120" s="1"/>
  <c r="CC102" i="120"/>
  <c r="EF149" i="7"/>
  <c r="CC46" i="122"/>
  <c r="EK25" i="8"/>
  <c r="EJ23" i="8"/>
  <c r="EK100" i="8"/>
  <c r="CB28" i="122"/>
  <c r="CH28" i="122" s="1"/>
  <c r="CH26" i="122"/>
  <c r="C35" i="120"/>
  <c r="R33" i="120"/>
  <c r="B33" i="120"/>
  <c r="AF126" i="120"/>
  <c r="AM126" i="120"/>
  <c r="AG128" i="120"/>
  <c r="AM128" i="120" s="1"/>
  <c r="AP126" i="120"/>
  <c r="BE126" i="120" s="1"/>
  <c r="D47" i="121"/>
  <c r="D224" i="120"/>
  <c r="D226" i="120" s="1"/>
  <c r="R36" i="120"/>
  <c r="R204" i="120"/>
  <c r="AP56" i="121" s="1"/>
  <c r="Q37" i="120"/>
  <c r="R238" i="120"/>
  <c r="BG50" i="121"/>
  <c r="BP50" i="121" s="1"/>
  <c r="BQ50" i="121"/>
  <c r="BZ50" i="121" s="1"/>
  <c r="CI75" i="122"/>
  <c r="CB75" i="122"/>
  <c r="CH75" i="122" s="1"/>
  <c r="BM10" i="19"/>
  <c r="FN10" i="19" s="1"/>
  <c r="CC116" i="122" s="1"/>
  <c r="CI116" i="122" s="1"/>
  <c r="BM18" i="19"/>
  <c r="BM19" i="19"/>
  <c r="FN19" i="19" s="1"/>
  <c r="BY38" i="19"/>
  <c r="BY44" i="19"/>
  <c r="BY45" i="19"/>
  <c r="BY9" i="19"/>
  <c r="BM40" i="19"/>
  <c r="FN40" i="19" s="1"/>
  <c r="BM38" i="19"/>
  <c r="FN38" i="19" s="1"/>
  <c r="BN12" i="19"/>
  <c r="L57" i="121"/>
  <c r="B57" i="121"/>
  <c r="AG62" i="120"/>
  <c r="R64" i="120"/>
  <c r="R61" i="120"/>
  <c r="Q61" i="120" s="1"/>
  <c r="Q62" i="120"/>
  <c r="Q64" i="120" s="1"/>
  <c r="EM50" i="121"/>
  <c r="EW50" i="121"/>
  <c r="AR16" i="98"/>
  <c r="AR17" i="98"/>
  <c r="AR22" i="98" s="1"/>
  <c r="B128" i="120"/>
  <c r="DG50" i="121"/>
  <c r="CW50" i="121"/>
  <c r="AH195" i="120"/>
  <c r="AN29" i="120"/>
  <c r="AH28" i="120"/>
  <c r="AN28" i="120" s="1"/>
  <c r="AQ29" i="120"/>
  <c r="ED8" i="8"/>
  <c r="BM42" i="122"/>
  <c r="BM156" i="122" s="1"/>
  <c r="BN156" i="122"/>
  <c r="EN38" i="123" s="1"/>
  <c r="C28" i="120"/>
  <c r="C203" i="120"/>
  <c r="B36" i="120"/>
  <c r="C270" i="120"/>
  <c r="BM17" i="19"/>
  <c r="FN17" i="19" s="1"/>
  <c r="CC119" i="122" s="1"/>
  <c r="BM33" i="19"/>
  <c r="FN33" i="19" s="1"/>
  <c r="BY19" i="19"/>
  <c r="BY32" i="19"/>
  <c r="BY31" i="19"/>
  <c r="BY35" i="19"/>
  <c r="BM32" i="19"/>
  <c r="FN32" i="19" s="1"/>
  <c r="BM22" i="19"/>
  <c r="FN22" i="19" s="1"/>
  <c r="CW38" i="17"/>
  <c r="B205" i="120"/>
  <c r="B239" i="120"/>
  <c r="B64" i="120"/>
  <c r="CL99" i="120"/>
  <c r="BM198" i="120"/>
  <c r="ER38" i="17"/>
  <c r="ER24" i="17"/>
  <c r="ER39" i="17" s="1"/>
  <c r="CD226" i="120"/>
  <c r="CJ226" i="120" s="1"/>
  <c r="CJ224" i="120"/>
  <c r="CH98" i="122"/>
  <c r="CB100" i="122"/>
  <c r="CH100" i="122" s="1"/>
  <c r="R60" i="120"/>
  <c r="Q58" i="120"/>
  <c r="Q60" i="120" s="1"/>
  <c r="CD160" i="120"/>
  <c r="CJ160" i="120" s="1"/>
  <c r="CJ158" i="120"/>
  <c r="Q126" i="120"/>
  <c r="Q128" i="120" s="1"/>
  <c r="R128" i="120"/>
  <c r="R122" i="120"/>
  <c r="Q122" i="120" s="1"/>
  <c r="BD156" i="122"/>
  <c r="BJ156" i="122" s="1"/>
  <c r="BJ42" i="122"/>
  <c r="D158" i="120"/>
  <c r="L56" i="121"/>
  <c r="B56" i="121"/>
  <c r="B238" i="120"/>
  <c r="B204" i="120"/>
  <c r="CI77" i="122"/>
  <c r="CB77" i="122"/>
  <c r="C77" i="122"/>
  <c r="CC79" i="122"/>
  <c r="CI79" i="122" s="1"/>
  <c r="CM47" i="123"/>
  <c r="DH15" i="135"/>
  <c r="BM30" i="19"/>
  <c r="FN30" i="19" s="1"/>
  <c r="BM47" i="19"/>
  <c r="FN47" i="19" s="1"/>
  <c r="BM16" i="19"/>
  <c r="EI16" i="19" s="1"/>
  <c r="BM23" i="19"/>
  <c r="BY25" i="19"/>
  <c r="BY29" i="19"/>
  <c r="BY16" i="19"/>
  <c r="BY22" i="19"/>
  <c r="BY43" i="19"/>
  <c r="BM43" i="19"/>
  <c r="FN43" i="19" s="1"/>
  <c r="BM29" i="19"/>
  <c r="FN29" i="19" s="1"/>
  <c r="CB207" i="120"/>
  <c r="CH207" i="120" s="1"/>
  <c r="R205" i="120"/>
  <c r="AP57" i="121" s="1"/>
  <c r="Q38" i="120"/>
  <c r="R239" i="120"/>
  <c r="B61" i="120"/>
  <c r="AG61" i="120"/>
  <c r="DY31" i="7"/>
  <c r="DY149" i="7" s="1"/>
  <c r="DZ149" i="7"/>
  <c r="R98" i="122"/>
  <c r="B98" i="122"/>
  <c r="B100" i="122" s="1"/>
  <c r="C100" i="122"/>
  <c r="AG29" i="120"/>
  <c r="EE24" i="8"/>
  <c r="ED23" i="8"/>
  <c r="EE100" i="8"/>
  <c r="C28" i="122"/>
  <c r="B26" i="122"/>
  <c r="R26" i="122"/>
  <c r="AG26" i="122" s="1"/>
  <c r="CB270" i="120"/>
  <c r="CH270" i="120" s="1"/>
  <c r="CH238" i="120"/>
  <c r="B60" i="120"/>
  <c r="CB35" i="120"/>
  <c r="CH35" i="120" s="1"/>
  <c r="CH33" i="120"/>
  <c r="B122" i="120"/>
  <c r="CC50" i="121"/>
  <c r="AM50" i="121"/>
  <c r="S195" i="120"/>
  <c r="S28" i="120"/>
  <c r="S158" i="120" s="1"/>
  <c r="S160" i="120" s="1"/>
  <c r="AG37" i="120"/>
  <c r="AG36" i="120" s="1"/>
  <c r="BN14" i="19"/>
  <c r="DE23" i="19"/>
  <c r="EI23" i="19" s="1"/>
  <c r="FN23" i="19"/>
  <c r="C116" i="122"/>
  <c r="EI18" i="19"/>
  <c r="FN18" i="19"/>
  <c r="EI19" i="19"/>
  <c r="AG43" i="122"/>
  <c r="Q80" i="122"/>
  <c r="AF23" i="122"/>
  <c r="AM23" i="122"/>
  <c r="AP23" i="122"/>
  <c r="B94" i="122"/>
  <c r="B36" i="123"/>
  <c r="L36" i="123"/>
  <c r="B154" i="122"/>
  <c r="Q95" i="122"/>
  <c r="AM95" i="122"/>
  <c r="AF95" i="122"/>
  <c r="AL95" i="122" s="1"/>
  <c r="AP95" i="122"/>
  <c r="AG80" i="122"/>
  <c r="Q23" i="122"/>
  <c r="R154" i="122"/>
  <c r="AP36" i="123" s="1"/>
  <c r="S42" i="126"/>
  <c r="BK54" i="120"/>
  <c r="BE199" i="120"/>
  <c r="BK199" i="120" s="1"/>
  <c r="BD54" i="120"/>
  <c r="AF199" i="120"/>
  <c r="AL199" i="120" s="1"/>
  <c r="AL54" i="120"/>
  <c r="U51" i="121"/>
  <c r="K51" i="121"/>
  <c r="BV17" i="61"/>
  <c r="BX17" i="61"/>
  <c r="AO51" i="121"/>
  <c r="AY51" i="121"/>
  <c r="AO54" i="120"/>
  <c r="AO199" i="120" s="1"/>
  <c r="AP199" i="120"/>
  <c r="CO51" i="121" s="1"/>
  <c r="BN54" i="120"/>
  <c r="CM54" i="120" s="1"/>
  <c r="G48" i="143"/>
  <c r="I2" i="143"/>
  <c r="K49" i="143"/>
  <c r="EH30" i="19"/>
  <c r="FM30" i="19"/>
  <c r="BM26" i="19"/>
  <c r="FN26" i="19" s="1"/>
  <c r="BM27" i="19"/>
  <c r="FN27" i="19" s="1"/>
  <c r="BM24" i="19"/>
  <c r="FN24" i="19" s="1"/>
  <c r="CC120" i="122" s="1"/>
  <c r="BM37" i="19"/>
  <c r="BM36" i="19"/>
  <c r="FN36" i="19" s="1"/>
  <c r="BM11" i="19"/>
  <c r="BY21" i="19"/>
  <c r="BY40" i="19"/>
  <c r="BY36" i="19"/>
  <c r="BY8" i="19"/>
  <c r="BY33" i="19"/>
  <c r="BY20" i="19"/>
  <c r="BY28" i="19"/>
  <c r="BY41" i="19"/>
  <c r="BY50" i="19"/>
  <c r="BM28" i="19"/>
  <c r="BM9" i="19"/>
  <c r="FN9" i="19" s="1"/>
  <c r="BM8" i="19"/>
  <c r="FN8" i="19" s="1"/>
  <c r="BY47" i="19"/>
  <c r="BM34" i="19"/>
  <c r="BM21" i="19"/>
  <c r="FN21" i="19" s="1"/>
  <c r="CC118" i="122" s="1"/>
  <c r="BM42" i="19"/>
  <c r="BM25" i="19"/>
  <c r="DE25" i="19" s="1"/>
  <c r="EI25" i="19" s="1"/>
  <c r="BM41" i="19"/>
  <c r="BY39" i="19"/>
  <c r="BM13" i="19"/>
  <c r="FN13" i="19" s="1"/>
  <c r="BY34" i="19"/>
  <c r="BY42" i="19"/>
  <c r="BY30" i="19"/>
  <c r="BY26" i="19"/>
  <c r="BY27" i="19"/>
  <c r="BY17" i="19"/>
  <c r="BY37" i="19"/>
  <c r="BM44" i="19"/>
  <c r="FN44" i="19" s="1"/>
  <c r="BM20" i="19"/>
  <c r="BM46" i="19"/>
  <c r="AB67" i="96"/>
  <c r="EH19" i="8" s="1"/>
  <c r="EH102" i="8" s="1"/>
  <c r="EB102" i="8"/>
  <c r="EA19" i="8"/>
  <c r="AV14" i="64"/>
  <c r="BA14" i="64"/>
  <c r="BC14" i="64"/>
  <c r="EG170" i="7"/>
  <c r="EG168" i="7"/>
  <c r="EF199" i="7"/>
  <c r="BR17" i="61"/>
  <c r="BT17" i="61"/>
  <c r="CV49" i="7"/>
  <c r="CV43" i="7" s="1"/>
  <c r="DZ50" i="7"/>
  <c r="DZ49" i="7" s="1"/>
  <c r="P102" i="56"/>
  <c r="X102" i="56" s="1"/>
  <c r="K103" i="56"/>
  <c r="K102" i="56" s="1"/>
  <c r="T102" i="56" s="1"/>
  <c r="P93" i="56"/>
  <c r="AY130" i="8"/>
  <c r="BY32" i="7"/>
  <c r="BY27" i="7" s="1"/>
  <c r="BW39" i="8"/>
  <c r="BW34" i="8" s="1"/>
  <c r="DO49" i="123"/>
  <c r="DX49" i="123" s="1"/>
  <c r="BN49" i="19"/>
  <c r="BK50" i="19"/>
  <c r="AA37" i="126"/>
  <c r="GB46" i="123"/>
  <c r="EL46" i="123"/>
  <c r="FN46" i="123"/>
  <c r="GM46" i="123"/>
  <c r="Y37" i="126"/>
  <c r="EJ46" i="123"/>
  <c r="FZ46" i="123"/>
  <c r="AD37" i="126"/>
  <c r="FY46" i="123"/>
  <c r="BL31" i="19"/>
  <c r="BL33" i="19"/>
  <c r="FM33" i="19" s="1"/>
  <c r="BL26" i="19"/>
  <c r="FM26" i="19" s="1"/>
  <c r="BL27" i="19"/>
  <c r="BL24" i="19"/>
  <c r="BL37" i="19"/>
  <c r="FM37" i="19" s="1"/>
  <c r="BX24" i="19"/>
  <c r="BX34" i="19"/>
  <c r="BX32" i="19"/>
  <c r="BX25" i="19"/>
  <c r="BX33" i="19"/>
  <c r="BX20" i="19"/>
  <c r="BX23" i="19"/>
  <c r="BX28" i="19"/>
  <c r="BL20" i="19"/>
  <c r="FM20" i="19" s="1"/>
  <c r="BL28" i="19"/>
  <c r="BL29" i="19"/>
  <c r="BL44" i="19"/>
  <c r="FM44" i="19" s="1"/>
  <c r="DG31" i="7"/>
  <c r="DG33" i="7" s="1"/>
  <c r="DG27" i="7" s="1"/>
  <c r="CN43" i="123"/>
  <c r="EC47" i="123"/>
  <c r="EL47" i="123" s="1"/>
  <c r="E20" i="99"/>
  <c r="BX47" i="19"/>
  <c r="BL36" i="19"/>
  <c r="BL11" i="19"/>
  <c r="BL34" i="19"/>
  <c r="BL21" i="19"/>
  <c r="FM21" i="19" s="1"/>
  <c r="CC151" i="120" s="1"/>
  <c r="BL42" i="19"/>
  <c r="FM42" i="19" s="1"/>
  <c r="BL25" i="19"/>
  <c r="BX36" i="19"/>
  <c r="BX18" i="19"/>
  <c r="BX35" i="19"/>
  <c r="BX31" i="19"/>
  <c r="BX19" i="19"/>
  <c r="BX29" i="19"/>
  <c r="BX17" i="19"/>
  <c r="BX9" i="19"/>
  <c r="BL22" i="19"/>
  <c r="FM22" i="19" s="1"/>
  <c r="BL32" i="19"/>
  <c r="FM32" i="19" s="1"/>
  <c r="BL43" i="19"/>
  <c r="BL46" i="19"/>
  <c r="BL47" i="19"/>
  <c r="FM47" i="19" s="1"/>
  <c r="BL41" i="19"/>
  <c r="FM41" i="19" s="1"/>
  <c r="BL13" i="19"/>
  <c r="BL10" i="19"/>
  <c r="FM10" i="19" s="1"/>
  <c r="BL16" i="19"/>
  <c r="FM16" i="19" s="1"/>
  <c r="BL18" i="19"/>
  <c r="FM18" i="19" s="1"/>
  <c r="BX30" i="19"/>
  <c r="BX27" i="19"/>
  <c r="BX45" i="19"/>
  <c r="BX46" i="19"/>
  <c r="BX40" i="19"/>
  <c r="BX44" i="19"/>
  <c r="BX42" i="19"/>
  <c r="BX43" i="19"/>
  <c r="BX48" i="19"/>
  <c r="BL38" i="19"/>
  <c r="DD38" i="19" s="1"/>
  <c r="BL40" i="19"/>
  <c r="FM40" i="19" s="1"/>
  <c r="DH149" i="7"/>
  <c r="EA24" i="17"/>
  <c r="DZ24" i="17" s="1"/>
  <c r="DZ39" i="17" s="1"/>
  <c r="BZ31" i="7"/>
  <c r="BZ32" i="7" s="1"/>
  <c r="BZ27" i="7" s="1"/>
  <c r="CA31" i="7"/>
  <c r="CA32" i="7" s="1"/>
  <c r="CA27" i="7" s="1"/>
  <c r="CU24" i="17"/>
  <c r="CT24" i="17" s="1"/>
  <c r="CT39" i="17" s="1"/>
  <c r="AN71" i="7"/>
  <c r="AN88" i="7" s="1"/>
  <c r="BU24" i="8"/>
  <c r="BU100" i="8"/>
  <c r="L34" i="125"/>
  <c r="FZ44" i="123"/>
  <c r="AE35" i="126" s="1"/>
  <c r="AD35" i="125"/>
  <c r="GK44" i="123"/>
  <c r="EJ44" i="123"/>
  <c r="AD75" i="6"/>
  <c r="EM39" i="123"/>
  <c r="BV14" i="136"/>
  <c r="BV16" i="136" s="1"/>
  <c r="AF59" i="125"/>
  <c r="GK45" i="123"/>
  <c r="R52" i="68"/>
  <c r="FO39" i="123"/>
  <c r="AC30" i="126" s="1"/>
  <c r="AZ73" i="6"/>
  <c r="BE73" i="6" s="1"/>
  <c r="BS51" i="72"/>
  <c r="DY49" i="123"/>
  <c r="DL24" i="17"/>
  <c r="DL39" i="17" s="1"/>
  <c r="DL38" i="17"/>
  <c r="CU31" i="7"/>
  <c r="CU149" i="7" s="1"/>
  <c r="CV149" i="7"/>
  <c r="CW100" i="8"/>
  <c r="V40" i="98"/>
  <c r="AD12" i="65" s="1"/>
  <c r="AZ72" i="6"/>
  <c r="BE72" i="6" s="1"/>
  <c r="I14" i="61"/>
  <c r="P86" i="68"/>
  <c r="BW32" i="7"/>
  <c r="BW150" i="7" s="1"/>
  <c r="BX32" i="7"/>
  <c r="BX33" i="7" s="1"/>
  <c r="CW33" i="7" s="1"/>
  <c r="EA33" i="7" s="1"/>
  <c r="BV33" i="7"/>
  <c r="EC24" i="17"/>
  <c r="EC39" i="17" s="1"/>
  <c r="EC38" i="17"/>
  <c r="AO71" i="7"/>
  <c r="AO89" i="7" s="1"/>
  <c r="AO172" i="7" s="1"/>
  <c r="DJ31" i="7"/>
  <c r="DJ149" i="7" s="1"/>
  <c r="DK149" i="7"/>
  <c r="CQ38" i="17"/>
  <c r="CQ24" i="17"/>
  <c r="CQ39" i="17" s="1"/>
  <c r="CA149" i="7"/>
  <c r="AO154" i="7"/>
  <c r="AO166" i="7" s="1"/>
  <c r="AO171" i="7" s="1"/>
  <c r="AL59" i="7"/>
  <c r="EF69" i="123"/>
  <c r="GE69" i="123" s="1"/>
  <c r="N72" i="68"/>
  <c r="U43" i="98"/>
  <c r="P70" i="68"/>
  <c r="V19" i="98"/>
  <c r="V38" i="98" s="1"/>
  <c r="V42" i="98"/>
  <c r="BX100" i="8"/>
  <c r="BX24" i="8"/>
  <c r="BX101" i="8" s="1"/>
  <c r="T69" i="68"/>
  <c r="T66" i="68"/>
  <c r="T68" i="68"/>
  <c r="T67" i="68"/>
  <c r="W21" i="98"/>
  <c r="W14" i="98"/>
  <c r="BV30" i="8"/>
  <c r="BV31" i="8" s="1"/>
  <c r="BV27" i="8" s="1"/>
  <c r="BW31" i="8"/>
  <c r="BW27" i="8" s="1"/>
  <c r="R68" i="68"/>
  <c r="R66" i="68"/>
  <c r="R67" i="68"/>
  <c r="R69" i="68"/>
  <c r="BV100" i="8"/>
  <c r="BV39" i="8"/>
  <c r="AH42" i="98"/>
  <c r="AH34" i="98"/>
  <c r="AH38" i="98" s="1"/>
  <c r="W31" i="98"/>
  <c r="W36" i="98" s="1"/>
  <c r="X26" i="98"/>
  <c r="X31" i="98" s="1"/>
  <c r="X36" i="98" s="1"/>
  <c r="W24" i="98"/>
  <c r="W29" i="98" s="1"/>
  <c r="W34" i="98" s="1"/>
  <c r="BZ24" i="7"/>
  <c r="BW14" i="8"/>
  <c r="BW100" i="8"/>
  <c r="CX18" i="8"/>
  <c r="AH40" i="98"/>
  <c r="X9" i="98"/>
  <c r="X16" i="98"/>
  <c r="P71" i="68"/>
  <c r="EE69" i="123"/>
  <c r="GD69" i="123" s="1"/>
  <c r="ED68" i="123"/>
  <c r="GC68" i="123" s="1"/>
  <c r="W45" i="125"/>
  <c r="FW44" i="123"/>
  <c r="AC61" i="123"/>
  <c r="AL61" i="123" s="1"/>
  <c r="AL103" i="8"/>
  <c r="AB35" i="126"/>
  <c r="AN14" i="98"/>
  <c r="AN19" i="98" s="1"/>
  <c r="AN21" i="98"/>
  <c r="DP9" i="8" s="1"/>
  <c r="AE59" i="65"/>
  <c r="AE63" i="65"/>
  <c r="AE65" i="65" s="1"/>
  <c r="AF56" i="65"/>
  <c r="AM21" i="98"/>
  <c r="AM14" i="98"/>
  <c r="AM60" i="19"/>
  <c r="Y59" i="125"/>
  <c r="AB59" i="125"/>
  <c r="X59" i="125"/>
  <c r="AL61" i="8"/>
  <c r="AL78" i="8" s="1"/>
  <c r="B4" i="77"/>
  <c r="EQ71" i="123"/>
  <c r="EP70" i="123"/>
  <c r="EP71" i="123" s="1"/>
  <c r="FR70" i="123"/>
  <c r="FR71" i="123" s="1"/>
  <c r="J37" i="105"/>
  <c r="O34" i="125"/>
  <c r="K21" i="105"/>
  <c r="K27" i="105" s="1"/>
  <c r="K36" i="105" s="1"/>
  <c r="K37" i="105" s="1"/>
  <c r="AD77" i="6"/>
  <c r="BV51" i="72"/>
  <c r="BY48" i="72"/>
  <c r="CM48" i="72"/>
  <c r="CM51" i="72" s="1"/>
  <c r="CK51" i="72" s="1"/>
  <c r="EA31" i="17"/>
  <c r="DZ31" i="17" s="1"/>
  <c r="DZ40" i="17" s="1"/>
  <c r="EB49" i="123"/>
  <c r="Z40" i="126" s="1"/>
  <c r="BB93" i="7"/>
  <c r="BB94" i="7" s="1"/>
  <c r="DM17" i="8"/>
  <c r="DM25" i="8"/>
  <c r="DL23" i="8"/>
  <c r="DL100" i="8" s="1"/>
  <c r="DN100" i="8"/>
  <c r="DN17" i="8"/>
  <c r="DN25" i="8"/>
  <c r="Z64" i="6"/>
  <c r="AL8" i="7"/>
  <c r="AM8" i="7" s="1"/>
  <c r="BA13" i="135"/>
  <c r="H35" i="105"/>
  <c r="N17" i="104" s="1"/>
  <c r="N23" i="104" s="1"/>
  <c r="Z16" i="64" s="1"/>
  <c r="Z14" i="64" s="1"/>
  <c r="CL124" i="122"/>
  <c r="BD102" i="6"/>
  <c r="BE102" i="6" s="1"/>
  <c r="T52" i="68"/>
  <c r="AD83" i="6"/>
  <c r="AZ96" i="6"/>
  <c r="BE96" i="6" s="1"/>
  <c r="BS34" i="8"/>
  <c r="AD101" i="6"/>
  <c r="AD81" i="6"/>
  <c r="AD108" i="6"/>
  <c r="AK61" i="8"/>
  <c r="AK78" i="8" s="1"/>
  <c r="BD83" i="6"/>
  <c r="AY78" i="6"/>
  <c r="AM15" i="7"/>
  <c r="BA15" i="7"/>
  <c r="BD94" i="6"/>
  <c r="AD80" i="6"/>
  <c r="AV90" i="6"/>
  <c r="BB95" i="6"/>
  <c r="AD94" i="6"/>
  <c r="AD119" i="6"/>
  <c r="AD107" i="6"/>
  <c r="BG90" i="6"/>
  <c r="AD67" i="6"/>
  <c r="CI173" i="7"/>
  <c r="CI171" i="7"/>
  <c r="R84" i="68"/>
  <c r="CJ176" i="7"/>
  <c r="CJ177" i="7" s="1"/>
  <c r="CJ174" i="7"/>
  <c r="CQ70" i="123"/>
  <c r="CQ71" i="123" s="1"/>
  <c r="DS70" i="123"/>
  <c r="DS71" i="123" s="1"/>
  <c r="CR71" i="123"/>
  <c r="CG45" i="7"/>
  <c r="CF45" i="7" s="1"/>
  <c r="AE30" i="95"/>
  <c r="AE28" i="95"/>
  <c r="Y57" i="126"/>
  <c r="EJ66" i="123"/>
  <c r="CL46" i="8"/>
  <c r="T31" i="104"/>
  <c r="AD93" i="7"/>
  <c r="AD91" i="7"/>
  <c r="AD88" i="7"/>
  <c r="AD90" i="7"/>
  <c r="BC57" i="61"/>
  <c r="AX60" i="61"/>
  <c r="AX64" i="61"/>
  <c r="AX66" i="61" s="1"/>
  <c r="AR8" i="7"/>
  <c r="AS8" i="7" s="1"/>
  <c r="AD112" i="6"/>
  <c r="AD79" i="6"/>
  <c r="FN49" i="123"/>
  <c r="FW49" i="123" s="1"/>
  <c r="AD105" i="6"/>
  <c r="BD67" i="6"/>
  <c r="AD89" i="6"/>
  <c r="AD84" i="6"/>
  <c r="BD107" i="6"/>
  <c r="AD51" i="125"/>
  <c r="L16" i="105"/>
  <c r="L21" i="105" s="1"/>
  <c r="L27" i="105" s="1"/>
  <c r="L36" i="105" s="1"/>
  <c r="Q26" i="104"/>
  <c r="P31" i="104"/>
  <c r="AD15" i="65" s="1"/>
  <c r="AD13" i="65" s="1"/>
  <c r="BW42" i="8"/>
  <c r="BW104" i="8" s="1"/>
  <c r="S50" i="125"/>
  <c r="FP47" i="123"/>
  <c r="FY47" i="123" s="1"/>
  <c r="AD111" i="6"/>
  <c r="BD80" i="6"/>
  <c r="AY116" i="6"/>
  <c r="AD78" i="6"/>
  <c r="CE69" i="123"/>
  <c r="ED69" i="123" s="1"/>
  <c r="Y71" i="123"/>
  <c r="W70" i="123"/>
  <c r="AE60" i="61"/>
  <c r="AE64" i="61"/>
  <c r="AE66" i="61" s="1"/>
  <c r="AA176" i="7"/>
  <c r="AA174" i="7"/>
  <c r="AI174" i="7" s="1"/>
  <c r="AI173" i="7"/>
  <c r="P37" i="105"/>
  <c r="P38" i="105"/>
  <c r="AC176" i="7"/>
  <c r="AC177" i="7" s="1"/>
  <c r="AC174" i="7"/>
  <c r="Z57" i="126"/>
  <c r="EK66" i="123"/>
  <c r="BJ94" i="6"/>
  <c r="AD122" i="6"/>
  <c r="BK122" i="6"/>
  <c r="BD89" i="6"/>
  <c r="AD106" i="6"/>
  <c r="AY104" i="6"/>
  <c r="AZ104" i="6" s="1"/>
  <c r="AY81" i="6"/>
  <c r="Z60" i="61"/>
  <c r="AA57" i="61"/>
  <c r="Z64" i="61"/>
  <c r="Z66" i="61" s="1"/>
  <c r="EV66" i="123"/>
  <c r="FF66" i="123"/>
  <c r="FE66" i="123" s="1"/>
  <c r="AD171" i="7"/>
  <c r="AD173" i="7"/>
  <c r="M37" i="105"/>
  <c r="M38" i="105"/>
  <c r="S34" i="104" s="1"/>
  <c r="R50" i="125"/>
  <c r="AC95" i="6"/>
  <c r="BH95" i="6"/>
  <c r="AB90" i="6"/>
  <c r="BJ117" i="6"/>
  <c r="AD93" i="6"/>
  <c r="BJ86" i="6"/>
  <c r="BJ84" i="6"/>
  <c r="BD106" i="6"/>
  <c r="BB91" i="7"/>
  <c r="BC90" i="6"/>
  <c r="Z113" i="6"/>
  <c r="AJ105" i="8"/>
  <c r="AW105" i="8"/>
  <c r="AI119" i="8"/>
  <c r="CE76" i="123"/>
  <c r="CE65" i="123"/>
  <c r="BG61" i="123"/>
  <c r="BP61" i="123" s="1"/>
  <c r="AD65" i="6"/>
  <c r="I12" i="87"/>
  <c r="I11" i="87" s="1"/>
  <c r="I10" i="87" s="1"/>
  <c r="P14" i="61" s="1"/>
  <c r="BG95" i="6"/>
  <c r="AW95" i="6"/>
  <c r="AV95" i="6"/>
  <c r="Z74" i="6"/>
  <c r="AD109" i="6"/>
  <c r="BJ67" i="6"/>
  <c r="BD78" i="6"/>
  <c r="BJ93" i="6"/>
  <c r="AC90" i="6"/>
  <c r="AD85" i="6"/>
  <c r="BK102" i="6"/>
  <c r="AY92" i="6"/>
  <c r="AD68" i="6"/>
  <c r="BD68" i="6"/>
  <c r="BJ83" i="6"/>
  <c r="BC71" i="123"/>
  <c r="BA70" i="123"/>
  <c r="BA71" i="123" s="1"/>
  <c r="FA71" i="123"/>
  <c r="FS70" i="123"/>
  <c r="FS71" i="123" s="1"/>
  <c r="EY70" i="123"/>
  <c r="DK71" i="123"/>
  <c r="DI70" i="123"/>
  <c r="AX95" i="6"/>
  <c r="BD122" i="6"/>
  <c r="P99" i="68"/>
  <c r="AW90" i="6"/>
  <c r="AD86" i="6"/>
  <c r="AY84" i="6"/>
  <c r="AD92" i="6"/>
  <c r="T85" i="68"/>
  <c r="BJ71" i="6"/>
  <c r="EE65" i="123"/>
  <c r="GD65" i="123"/>
  <c r="FJ71" i="123"/>
  <c r="FH70" i="123"/>
  <c r="FH71" i="123" s="1"/>
  <c r="AY98" i="6"/>
  <c r="AZ98" i="6" s="1"/>
  <c r="AB95" i="6"/>
  <c r="BC95" i="6"/>
  <c r="J44" i="96"/>
  <c r="BZ19" i="7" s="1"/>
  <c r="BY19" i="7" s="1"/>
  <c r="AD116" i="6"/>
  <c r="AD117" i="6"/>
  <c r="BJ106" i="6"/>
  <c r="BK92" i="6"/>
  <c r="AD114" i="6"/>
  <c r="R85" i="68"/>
  <c r="FQ69" i="123"/>
  <c r="AS71" i="123"/>
  <c r="BT70" i="123"/>
  <c r="BC176" i="7"/>
  <c r="BC177" i="7" s="1"/>
  <c r="BC174" i="7"/>
  <c r="AX129" i="8"/>
  <c r="M103" i="56"/>
  <c r="AX127" i="8"/>
  <c r="DL15" i="8"/>
  <c r="Z34" i="98"/>
  <c r="Z38" i="98" s="1"/>
  <c r="Z42" i="98"/>
  <c r="AY120" i="6"/>
  <c r="BJ98" i="6"/>
  <c r="BD51" i="72"/>
  <c r="BG48" i="72"/>
  <c r="AP91" i="7"/>
  <c r="AB91" i="7"/>
  <c r="AI91" i="7"/>
  <c r="AQ71" i="7"/>
  <c r="AR71" i="7" s="1"/>
  <c r="AR93" i="7" s="1"/>
  <c r="BK174" i="7"/>
  <c r="BK176" i="7"/>
  <c r="BK177" i="7" s="1"/>
  <c r="BX35" i="7"/>
  <c r="CW41" i="7"/>
  <c r="CZ11" i="136"/>
  <c r="DA7" i="136"/>
  <c r="DA14" i="136"/>
  <c r="DA16" i="136" s="1"/>
  <c r="BK79" i="6"/>
  <c r="DJ50" i="7"/>
  <c r="CG50" i="7"/>
  <c r="CF49" i="7"/>
  <c r="V24" i="96"/>
  <c r="Q24" i="96"/>
  <c r="Q27" i="96" s="1"/>
  <c r="I27" i="96"/>
  <c r="L24" i="96"/>
  <c r="L27" i="96" s="1"/>
  <c r="BD12" i="135"/>
  <c r="BD13" i="135" s="1"/>
  <c r="BD7" i="135" s="1"/>
  <c r="BD15" i="135" s="1"/>
  <c r="BE13" i="135"/>
  <c r="BE7" i="135" s="1"/>
  <c r="BE15" i="135" s="1"/>
  <c r="AY94" i="6"/>
  <c r="BK72" i="6"/>
  <c r="BJ122" i="6"/>
  <c r="BA120" i="6"/>
  <c r="BD120" i="6" s="1"/>
  <c r="X17" i="125"/>
  <c r="AY80" i="6"/>
  <c r="DB176" i="7"/>
  <c r="DB177" i="7" s="1"/>
  <c r="DB174" i="7"/>
  <c r="AD110" i="6"/>
  <c r="BJ105" i="6"/>
  <c r="AY105" i="6"/>
  <c r="CR33" i="7"/>
  <c r="CR27" i="7" s="1"/>
  <c r="CR149" i="7"/>
  <c r="BS7" i="136"/>
  <c r="BK119" i="6"/>
  <c r="BH118" i="6"/>
  <c r="BF118" i="6"/>
  <c r="BJ119" i="6"/>
  <c r="BD116" i="6"/>
  <c r="BK116" i="6"/>
  <c r="BK78" i="6"/>
  <c r="BW9" i="7"/>
  <c r="T30" i="95"/>
  <c r="T49" i="95" s="1"/>
  <c r="AN84" i="8"/>
  <c r="AO84" i="8" s="1"/>
  <c r="BK117" i="6"/>
  <c r="AY117" i="6"/>
  <c r="BK93" i="6"/>
  <c r="BJ85" i="6"/>
  <c r="BV18" i="8"/>
  <c r="BW17" i="8"/>
  <c r="BW96" i="8"/>
  <c r="AC35" i="95"/>
  <c r="AC40" i="95" s="1"/>
  <c r="AC45" i="95" s="1"/>
  <c r="AD33" i="95"/>
  <c r="AC38" i="95"/>
  <c r="AC43" i="95" s="1"/>
  <c r="EI39" i="19"/>
  <c r="DE39" i="19"/>
  <c r="DE17" i="19"/>
  <c r="EI48" i="19"/>
  <c r="DE48" i="19"/>
  <c r="EI30" i="19"/>
  <c r="DE30" i="19"/>
  <c r="EI31" i="19"/>
  <c r="DE31" i="19"/>
  <c r="EI33" i="19"/>
  <c r="DE33" i="19"/>
  <c r="EI32" i="19"/>
  <c r="DE32" i="19"/>
  <c r="EI35" i="19"/>
  <c r="DE35" i="19"/>
  <c r="EI22" i="19"/>
  <c r="DE22" i="19"/>
  <c r="DG48" i="123"/>
  <c r="CW48" i="123"/>
  <c r="AD120" i="6"/>
  <c r="BJ89" i="6"/>
  <c r="BD154" i="7"/>
  <c r="BE59" i="7"/>
  <c r="BE154" i="7" s="1"/>
  <c r="AW34" i="8"/>
  <c r="AV61" i="8"/>
  <c r="BD86" i="6"/>
  <c r="BD84" i="6"/>
  <c r="T95" i="68"/>
  <c r="T97" i="68"/>
  <c r="T94" i="68"/>
  <c r="T96" i="68"/>
  <c r="AY106" i="6"/>
  <c r="BB90" i="6"/>
  <c r="BK99" i="6"/>
  <c r="AY99" i="6"/>
  <c r="AZ99" i="6" s="1"/>
  <c r="T84" i="68"/>
  <c r="BJ107" i="6"/>
  <c r="BK71" i="6"/>
  <c r="Y43" i="98"/>
  <c r="CL76" i="122"/>
  <c r="EH33" i="19"/>
  <c r="DD33" i="19"/>
  <c r="EH26" i="19"/>
  <c r="DD26" i="19"/>
  <c r="EH37" i="19"/>
  <c r="DD37" i="19"/>
  <c r="EH9" i="19"/>
  <c r="DD9" i="19"/>
  <c r="EH8" i="19"/>
  <c r="DD8" i="19"/>
  <c r="EH35" i="19"/>
  <c r="DD35" i="19"/>
  <c r="BJ104" i="6"/>
  <c r="BJ68" i="6"/>
  <c r="BJ72" i="6"/>
  <c r="BJ81" i="6"/>
  <c r="BK81" i="6"/>
  <c r="BU71" i="123"/>
  <c r="CG70" i="123"/>
  <c r="BZ9" i="7"/>
  <c r="Z30" i="95"/>
  <c r="Z49" i="95" s="1"/>
  <c r="AD8" i="95"/>
  <c r="AD13" i="95" s="1"/>
  <c r="AD15" i="95"/>
  <c r="AD20" i="95" s="1"/>
  <c r="AD30" i="95" s="1"/>
  <c r="CL51" i="123"/>
  <c r="T42" i="126"/>
  <c r="BK83" i="6"/>
  <c r="BD108" i="6"/>
  <c r="BZ48" i="123"/>
  <c r="Q39" i="126"/>
  <c r="CC48" i="123"/>
  <c r="BJ77" i="6"/>
  <c r="AM17" i="7"/>
  <c r="BA17" i="7"/>
  <c r="Z100" i="6"/>
  <c r="AW69" i="6"/>
  <c r="BG69" i="6"/>
  <c r="BA69" i="6"/>
  <c r="BD70" i="6"/>
  <c r="BU86" i="7"/>
  <c r="BU73" i="7"/>
  <c r="P40" i="126"/>
  <c r="BY49" i="123"/>
  <c r="CB49" i="123"/>
  <c r="AC66" i="32"/>
  <c r="Z67" i="32"/>
  <c r="AB67" i="32" s="1"/>
  <c r="Z61" i="32"/>
  <c r="DP30" i="8"/>
  <c r="AY65" i="6"/>
  <c r="W68" i="32"/>
  <c r="Y68" i="32" s="1"/>
  <c r="Y73" i="32" s="1"/>
  <c r="P10" i="104" s="1"/>
  <c r="CL30" i="8"/>
  <c r="CL27" i="8" s="1"/>
  <c r="CM174" i="7"/>
  <c r="CM176" i="7"/>
  <c r="CM177" i="7" s="1"/>
  <c r="AD97" i="6"/>
  <c r="BD97" i="6"/>
  <c r="BK112" i="6"/>
  <c r="BH111" i="6"/>
  <c r="BD112" i="6"/>
  <c r="BA111" i="6"/>
  <c r="BD111" i="6" s="1"/>
  <c r="EM48" i="123"/>
  <c r="EW48" i="123"/>
  <c r="V14" i="96"/>
  <c r="Q14" i="96"/>
  <c r="Q17" i="96" s="1"/>
  <c r="L14" i="96"/>
  <c r="L17" i="96" s="1"/>
  <c r="I17" i="96"/>
  <c r="V19" i="96"/>
  <c r="Q19" i="96"/>
  <c r="Q22" i="96" s="1"/>
  <c r="I22" i="96"/>
  <c r="L19" i="96"/>
  <c r="L22" i="96" s="1"/>
  <c r="BS71" i="7"/>
  <c r="BS73" i="7" s="1"/>
  <c r="BS153" i="7"/>
  <c r="BS166" i="7" s="1"/>
  <c r="BS168" i="7" s="1"/>
  <c r="DJ25" i="7"/>
  <c r="CU25" i="7"/>
  <c r="DA173" i="7"/>
  <c r="DA171" i="7"/>
  <c r="GM49" i="123"/>
  <c r="AV109" i="6"/>
  <c r="AY109" i="6" s="1"/>
  <c r="AY110" i="6"/>
  <c r="BK67" i="6"/>
  <c r="AS7" i="135"/>
  <c r="P98" i="68"/>
  <c r="DL40" i="8"/>
  <c r="DL34" i="8"/>
  <c r="X33" i="95"/>
  <c r="W38" i="95"/>
  <c r="W43" i="95" s="1"/>
  <c r="T51" i="95"/>
  <c r="T18" i="95"/>
  <c r="T28" i="95" s="1"/>
  <c r="T47" i="95" s="1"/>
  <c r="AV125" i="8"/>
  <c r="BD117" i="6"/>
  <c r="AY93" i="6"/>
  <c r="BK85" i="6"/>
  <c r="BL90" i="7"/>
  <c r="BL93" i="7"/>
  <c r="BL94" i="7" s="1"/>
  <c r="BL88" i="7"/>
  <c r="BL91" i="7"/>
  <c r="FF51" i="123"/>
  <c r="FE51" i="123" s="1"/>
  <c r="EV51" i="123"/>
  <c r="BJ93" i="7"/>
  <c r="BJ94" i="7" s="1"/>
  <c r="BJ88" i="7"/>
  <c r="BJ90" i="7"/>
  <c r="BJ91" i="7"/>
  <c r="EI27" i="19"/>
  <c r="DE27" i="19"/>
  <c r="EI24" i="19"/>
  <c r="DE24" i="19"/>
  <c r="EI36" i="19"/>
  <c r="DE9" i="19"/>
  <c r="EI8" i="19"/>
  <c r="BJ102" i="6"/>
  <c r="P25" i="105"/>
  <c r="P33" i="105"/>
  <c r="AW101" i="8"/>
  <c r="AV119" i="8"/>
  <c r="BT101" i="8"/>
  <c r="BT15" i="8"/>
  <c r="BS14" i="8"/>
  <c r="BF90" i="6"/>
  <c r="F8" i="77"/>
  <c r="F12" i="65"/>
  <c r="BD51" i="9"/>
  <c r="BD9" i="7"/>
  <c r="BG48" i="9"/>
  <c r="BD151" i="7"/>
  <c r="BE19" i="7"/>
  <c r="BE151" i="7" s="1"/>
  <c r="DP25" i="8"/>
  <c r="DP24" i="8" s="1"/>
  <c r="DA25" i="8"/>
  <c r="DA24" i="8" s="1"/>
  <c r="M39" i="56"/>
  <c r="BA90" i="6"/>
  <c r="BD92" i="6"/>
  <c r="BD99" i="6"/>
  <c r="BK107" i="6"/>
  <c r="EH21" i="19"/>
  <c r="DD21" i="19"/>
  <c r="EH20" i="19"/>
  <c r="DD20" i="19"/>
  <c r="EH44" i="19"/>
  <c r="DD44" i="19"/>
  <c r="CK30" i="8"/>
  <c r="CK27" i="8" s="1"/>
  <c r="BK104" i="6"/>
  <c r="BK68" i="6"/>
  <c r="BD81" i="6"/>
  <c r="AB15" i="95"/>
  <c r="AB20" i="95" s="1"/>
  <c r="AB30" i="95" s="1"/>
  <c r="AB49" i="95" s="1"/>
  <c r="AB8" i="95"/>
  <c r="AB13" i="95" s="1"/>
  <c r="Z18" i="95"/>
  <c r="Z28" i="95" s="1"/>
  <c r="Z47" i="95" s="1"/>
  <c r="Z51" i="95"/>
  <c r="M30" i="126"/>
  <c r="AL39" i="123"/>
  <c r="AY114" i="6"/>
  <c r="AS14" i="64"/>
  <c r="AT14" i="64" s="1"/>
  <c r="AT16" i="64"/>
  <c r="BJ108" i="6"/>
  <c r="BA41" i="7"/>
  <c r="AZ35" i="7"/>
  <c r="BA35" i="7" s="1"/>
  <c r="BE40" i="7"/>
  <c r="BF40" i="7"/>
  <c r="BY48" i="123"/>
  <c r="P39" i="126"/>
  <c r="CB48" i="123"/>
  <c r="BK77" i="6"/>
  <c r="BA18" i="7"/>
  <c r="AM18" i="7"/>
  <c r="AC100" i="6"/>
  <c r="AY101" i="6"/>
  <c r="CG13" i="135"/>
  <c r="CH13" i="135"/>
  <c r="CF12" i="135"/>
  <c r="CF15" i="135" s="1"/>
  <c r="CF17" i="135" s="1"/>
  <c r="AB69" i="6"/>
  <c r="BJ70" i="6"/>
  <c r="BF69" i="6"/>
  <c r="BU168" i="7"/>
  <c r="BU170" i="7"/>
  <c r="AN61" i="123"/>
  <c r="O52" i="126"/>
  <c r="BO29" i="19"/>
  <c r="BO40" i="19"/>
  <c r="BO9" i="19"/>
  <c r="BO35" i="19"/>
  <c r="BO16" i="19"/>
  <c r="BO31" i="19"/>
  <c r="BO25" i="19"/>
  <c r="BO23" i="19"/>
  <c r="BO45" i="19"/>
  <c r="BO22" i="19"/>
  <c r="BO13" i="19"/>
  <c r="BO43" i="19"/>
  <c r="BO36" i="19"/>
  <c r="BO48" i="19"/>
  <c r="BO26" i="19"/>
  <c r="BO27" i="19"/>
  <c r="BO19" i="19"/>
  <c r="BO17" i="19"/>
  <c r="BO20" i="19"/>
  <c r="BO38" i="19"/>
  <c r="BO8" i="19"/>
  <c r="BO30" i="19"/>
  <c r="BO18" i="19"/>
  <c r="BO37" i="19"/>
  <c r="BO34" i="19"/>
  <c r="BO33" i="19"/>
  <c r="CA50" i="19"/>
  <c r="BW50" i="19" s="1"/>
  <c r="BO21" i="19"/>
  <c r="BO32" i="19"/>
  <c r="BO46" i="19"/>
  <c r="BO44" i="19"/>
  <c r="BO28" i="19"/>
  <c r="BO41" i="19"/>
  <c r="BO42" i="19"/>
  <c r="BO39" i="19"/>
  <c r="BO24" i="19"/>
  <c r="CA25" i="19"/>
  <c r="CA26" i="19"/>
  <c r="CA34" i="19"/>
  <c r="CA20" i="19"/>
  <c r="CA19" i="19"/>
  <c r="CA38" i="19"/>
  <c r="CA16" i="19"/>
  <c r="CA8" i="19"/>
  <c r="CA31" i="19"/>
  <c r="CA21" i="19"/>
  <c r="CA46" i="19"/>
  <c r="CA24" i="19"/>
  <c r="CA29" i="19"/>
  <c r="CA43" i="19"/>
  <c r="CA39" i="19"/>
  <c r="CA18" i="19"/>
  <c r="CA44" i="19"/>
  <c r="CA42" i="19"/>
  <c r="CA36" i="19"/>
  <c r="CA32" i="19"/>
  <c r="CA28" i="19"/>
  <c r="CA37" i="19"/>
  <c r="CA48" i="19"/>
  <c r="CA35" i="19"/>
  <c r="CA17" i="19"/>
  <c r="CA41" i="19"/>
  <c r="CA22" i="19"/>
  <c r="CA23" i="19"/>
  <c r="CA9" i="19"/>
  <c r="CA27" i="19"/>
  <c r="CA33" i="19"/>
  <c r="CA30" i="19"/>
  <c r="CA45" i="19"/>
  <c r="CA40" i="19"/>
  <c r="BO10" i="19"/>
  <c r="BO11" i="19"/>
  <c r="BO47" i="19"/>
  <c r="CA47" i="19"/>
  <c r="BM17" i="61"/>
  <c r="H14" i="66"/>
  <c r="P13" i="64"/>
  <c r="Y13" i="64" s="1"/>
  <c r="BK98" i="6"/>
  <c r="CL173" i="7"/>
  <c r="CL171" i="7"/>
  <c r="BJ97" i="6"/>
  <c r="BK97" i="6"/>
  <c r="CG8" i="7"/>
  <c r="CU41" i="7"/>
  <c r="DY41" i="7" s="1"/>
  <c r="CF41" i="7"/>
  <c r="BV35" i="7"/>
  <c r="BY40" i="7"/>
  <c r="CL111" i="122"/>
  <c r="BJ79" i="6"/>
  <c r="AY79" i="6"/>
  <c r="DL12" i="136"/>
  <c r="DL14" i="136"/>
  <c r="DL16" i="136" s="1"/>
  <c r="DO16" i="136" s="1"/>
  <c r="DO14" i="136" s="1"/>
  <c r="DL7" i="136"/>
  <c r="V9" i="96"/>
  <c r="V12" i="96" s="1"/>
  <c r="Q9" i="96"/>
  <c r="Q12" i="96" s="1"/>
  <c r="L9" i="96"/>
  <c r="L12" i="96" s="1"/>
  <c r="I12" i="96"/>
  <c r="V34" i="96"/>
  <c r="Q34" i="96"/>
  <c r="Q37" i="96" s="1"/>
  <c r="I37" i="96"/>
  <c r="L34" i="96"/>
  <c r="L37" i="96" s="1"/>
  <c r="V29" i="96"/>
  <c r="Q29" i="96"/>
  <c r="Q32" i="96" s="1"/>
  <c r="L29" i="96"/>
  <c r="L32" i="96" s="1"/>
  <c r="I32" i="96"/>
  <c r="BA7" i="135"/>
  <c r="X40" i="126"/>
  <c r="EC49" i="123"/>
  <c r="DZ49" i="123"/>
  <c r="BT71" i="7"/>
  <c r="BT153" i="7"/>
  <c r="BT166" i="7" s="1"/>
  <c r="BW25" i="7"/>
  <c r="BC90" i="7"/>
  <c r="P40" i="56" s="1"/>
  <c r="BC93" i="7"/>
  <c r="AY122" i="6"/>
  <c r="K73" i="56"/>
  <c r="P72" i="56"/>
  <c r="X72" i="56" s="1"/>
  <c r="BJ80" i="6"/>
  <c r="BJ110" i="6"/>
  <c r="BF109" i="6"/>
  <c r="BH109" i="6"/>
  <c r="BK110" i="6"/>
  <c r="BD105" i="6"/>
  <c r="AY67" i="6"/>
  <c r="FE67" i="123"/>
  <c r="FN67" i="123" s="1"/>
  <c r="FP67" i="123"/>
  <c r="T60" i="123"/>
  <c r="AC60" i="123" s="1"/>
  <c r="AD60" i="123"/>
  <c r="AV118" i="6"/>
  <c r="AY118" i="6" s="1"/>
  <c r="AY119" i="6"/>
  <c r="AZ119" i="6" s="1"/>
  <c r="AD118" i="6"/>
  <c r="BJ78" i="6"/>
  <c r="V10" i="95"/>
  <c r="U15" i="95"/>
  <c r="U20" i="95" s="1"/>
  <c r="U30" i="95" s="1"/>
  <c r="U49" i="95" s="1"/>
  <c r="Z14" i="61" s="1"/>
  <c r="U8" i="95"/>
  <c r="U13" i="95" s="1"/>
  <c r="AN85" i="8"/>
  <c r="AO85" i="8" s="1"/>
  <c r="BD93" i="6"/>
  <c r="AY85" i="6"/>
  <c r="BD85" i="6"/>
  <c r="BL173" i="7"/>
  <c r="BL171" i="7"/>
  <c r="BJ171" i="7"/>
  <c r="BJ173" i="7"/>
  <c r="EI13" i="19"/>
  <c r="DE13" i="19"/>
  <c r="BY13" i="19"/>
  <c r="EI44" i="19"/>
  <c r="DE44" i="19"/>
  <c r="EI46" i="19"/>
  <c r="EI45" i="19"/>
  <c r="DE45" i="19"/>
  <c r="M35" i="105"/>
  <c r="BK89" i="6"/>
  <c r="AY89" i="6"/>
  <c r="Z18" i="125"/>
  <c r="AY86" i="6"/>
  <c r="BK86" i="6"/>
  <c r="BK84" i="6"/>
  <c r="F10" i="77"/>
  <c r="E10" i="77" s="1"/>
  <c r="I12" i="65"/>
  <c r="N12" i="65"/>
  <c r="BA47" i="8"/>
  <c r="AZ105" i="8"/>
  <c r="BA105" i="8" s="1"/>
  <c r="BB47" i="8"/>
  <c r="AQ49" i="19"/>
  <c r="AQ50" i="19" s="1"/>
  <c r="FF50" i="123"/>
  <c r="EV50" i="123"/>
  <c r="BB172" i="7"/>
  <c r="BB173" i="7" s="1"/>
  <c r="AZ89" i="7"/>
  <c r="AZ90" i="7" s="1"/>
  <c r="BJ92" i="6"/>
  <c r="BJ99" i="6"/>
  <c r="BC11" i="136"/>
  <c r="AW12" i="136"/>
  <c r="AY107" i="6"/>
  <c r="AY71" i="6"/>
  <c r="AZ71" i="6" s="1"/>
  <c r="BD71" i="6"/>
  <c r="M36" i="125"/>
  <c r="EH47" i="19"/>
  <c r="DD47" i="19"/>
  <c r="EH41" i="19"/>
  <c r="DD41" i="19"/>
  <c r="EH13" i="19"/>
  <c r="EH16" i="19"/>
  <c r="DD16" i="19"/>
  <c r="EH18" i="19"/>
  <c r="DD18" i="19"/>
  <c r="EH22" i="19"/>
  <c r="DD22" i="19"/>
  <c r="EH32" i="19"/>
  <c r="DD32" i="19"/>
  <c r="BD104" i="6"/>
  <c r="AY68" i="6"/>
  <c r="BA95" i="6"/>
  <c r="AR71" i="123"/>
  <c r="J15" i="105"/>
  <c r="J20" i="105" s="1"/>
  <c r="J6" i="105"/>
  <c r="AC8" i="95"/>
  <c r="AC13" i="95" s="1"/>
  <c r="AC15" i="95"/>
  <c r="AC20" i="95" s="1"/>
  <c r="AC30" i="95" s="1"/>
  <c r="DF51" i="123"/>
  <c r="DO51" i="123" s="1"/>
  <c r="DP51" i="123"/>
  <c r="EB51" i="123" s="1"/>
  <c r="DD176" i="7"/>
  <c r="DD177" i="7" s="1"/>
  <c r="DD174" i="7"/>
  <c r="DO40" i="8"/>
  <c r="CZ40" i="8"/>
  <c r="CK40" i="8"/>
  <c r="AY83" i="6"/>
  <c r="AQ15" i="135"/>
  <c r="AR15" i="135" s="1"/>
  <c r="S10" i="104"/>
  <c r="BZ53" i="7"/>
  <c r="AY77" i="6"/>
  <c r="BD77" i="6"/>
  <c r="L36" i="125"/>
  <c r="AL144" i="7"/>
  <c r="O34" i="105"/>
  <c r="AW100" i="6"/>
  <c r="BY13" i="135"/>
  <c r="BY7" i="135" s="1"/>
  <c r="BY15" i="135"/>
  <c r="BY17" i="135" s="1"/>
  <c r="BC69" i="6"/>
  <c r="BH69" i="6"/>
  <c r="BK70" i="6"/>
  <c r="AX69" i="6"/>
  <c r="AC69" i="6"/>
  <c r="S41" i="126"/>
  <c r="CK50" i="123"/>
  <c r="FO49" i="123"/>
  <c r="W41" i="125"/>
  <c r="AA32" i="98"/>
  <c r="AA37" i="98" s="1"/>
  <c r="AA41" i="98" s="1"/>
  <c r="AB28" i="98"/>
  <c r="AA31" i="98"/>
  <c r="AA36" i="98" s="1"/>
  <c r="AA40" i="98" s="1"/>
  <c r="AA29" i="98"/>
  <c r="DA30" i="8"/>
  <c r="CZ30" i="8" s="1"/>
  <c r="CZ27" i="8" s="1"/>
  <c r="AC66" i="6"/>
  <c r="AW66" i="6"/>
  <c r="AX66" i="6"/>
  <c r="AV66" i="6"/>
  <c r="AB66" i="6"/>
  <c r="AD66" i="6" s="1"/>
  <c r="BD98" i="6"/>
  <c r="BF95" i="6"/>
  <c r="I25" i="105"/>
  <c r="I33" i="105"/>
  <c r="S103" i="7"/>
  <c r="AB88" i="7"/>
  <c r="AP88" i="7"/>
  <c r="AI88" i="7"/>
  <c r="CN60" i="123"/>
  <c r="CX60" i="123"/>
  <c r="AY97" i="6"/>
  <c r="AV111" i="6"/>
  <c r="AY111" i="6" s="1"/>
  <c r="AY112" i="6"/>
  <c r="BF111" i="6"/>
  <c r="BJ112" i="6"/>
  <c r="BW35" i="7"/>
  <c r="CV41" i="7"/>
  <c r="DZ41" i="7" s="1"/>
  <c r="CZ12" i="136"/>
  <c r="CK12" i="136"/>
  <c r="BD79" i="6"/>
  <c r="AC76" i="6"/>
  <c r="AB76" i="6"/>
  <c r="AV76" i="6"/>
  <c r="AX76" i="6"/>
  <c r="AW76" i="6"/>
  <c r="AY75" i="6"/>
  <c r="AM15" i="135"/>
  <c r="BA15" i="135"/>
  <c r="CT173" i="7"/>
  <c r="CT171" i="7"/>
  <c r="CU49" i="7"/>
  <c r="CU43" i="7" s="1"/>
  <c r="BK94" i="6"/>
  <c r="BX96" i="8"/>
  <c r="DG39" i="123"/>
  <c r="DF39" i="123" s="1"/>
  <c r="CW39" i="123"/>
  <c r="BC91" i="7"/>
  <c r="BK80" i="6"/>
  <c r="DG13" i="135"/>
  <c r="DG7" i="135" s="1"/>
  <c r="DG15" i="135"/>
  <c r="CX174" i="7"/>
  <c r="CX176" i="7"/>
  <c r="CX177" i="7" s="1"/>
  <c r="BG39" i="123"/>
  <c r="BP39" i="123" s="1"/>
  <c r="BQ39" i="123"/>
  <c r="AS35" i="7"/>
  <c r="BA109" i="6"/>
  <c r="BD109" i="6" s="1"/>
  <c r="BD110" i="6"/>
  <c r="BK105" i="6"/>
  <c r="BC13" i="61"/>
  <c r="CS184" i="7"/>
  <c r="BA118" i="6"/>
  <c r="BD118" i="6" s="1"/>
  <c r="BD119" i="6"/>
  <c r="BJ116" i="6"/>
  <c r="M34" i="125"/>
  <c r="W40" i="95"/>
  <c r="W45" i="95" s="1"/>
  <c r="X35" i="95"/>
  <c r="EI47" i="19"/>
  <c r="EI40" i="19"/>
  <c r="DE40" i="19"/>
  <c r="EI43" i="19"/>
  <c r="EI29" i="19"/>
  <c r="DE29" i="19"/>
  <c r="AZ121" i="6"/>
  <c r="BE121" i="6" s="1"/>
  <c r="BC39" i="8"/>
  <c r="AW40" i="8"/>
  <c r="AJ37" i="95"/>
  <c r="AI37" i="95"/>
  <c r="AE41" i="95"/>
  <c r="AE46" i="95" s="1"/>
  <c r="AE50" i="95" s="1"/>
  <c r="AE38" i="95"/>
  <c r="AE40" i="95"/>
  <c r="AE45" i="95" s="1"/>
  <c r="R96" i="68"/>
  <c r="R95" i="68"/>
  <c r="R94" i="68"/>
  <c r="R97" i="68"/>
  <c r="BK106" i="6"/>
  <c r="AZ88" i="7"/>
  <c r="AX90" i="6"/>
  <c r="BH60" i="123"/>
  <c r="AX60" i="123"/>
  <c r="AM39" i="123"/>
  <c r="N30" i="126"/>
  <c r="DF50" i="123"/>
  <c r="DO50" i="123" s="1"/>
  <c r="DP50" i="123"/>
  <c r="EH19" i="19"/>
  <c r="DD19" i="19"/>
  <c r="EH39" i="19"/>
  <c r="DD39" i="19"/>
  <c r="EH17" i="19"/>
  <c r="DD17" i="19"/>
  <c r="BX8" i="19"/>
  <c r="EH40" i="19"/>
  <c r="DD40" i="19"/>
  <c r="EH45" i="19"/>
  <c r="DD45" i="19"/>
  <c r="BF120" i="6"/>
  <c r="BJ120" i="6" s="1"/>
  <c r="AA8" i="95"/>
  <c r="AA13" i="95" s="1"/>
  <c r="AA15" i="95"/>
  <c r="AA20" i="95" s="1"/>
  <c r="AA30" i="95" s="1"/>
  <c r="AA49" i="95" s="1"/>
  <c r="CO174" i="7"/>
  <c r="CO176" i="7"/>
  <c r="CO177" i="7" s="1"/>
  <c r="DP40" i="8"/>
  <c r="DP39" i="8" s="1"/>
  <c r="DA40" i="8"/>
  <c r="DA39" i="8" s="1"/>
  <c r="AX115" i="6"/>
  <c r="AX113" i="6" s="1"/>
  <c r="AW115" i="6"/>
  <c r="AW113" i="6" s="1"/>
  <c r="AB115" i="6"/>
  <c r="AB113" i="6" s="1"/>
  <c r="AC115" i="6"/>
  <c r="AC113" i="6" s="1"/>
  <c r="AV115" i="6"/>
  <c r="AZ91" i="6"/>
  <c r="BE91" i="6" s="1"/>
  <c r="BH91" i="6" s="1"/>
  <c r="BK108" i="6"/>
  <c r="AY108" i="6"/>
  <c r="BA150" i="7"/>
  <c r="AZ166" i="7"/>
  <c r="M17" i="104"/>
  <c r="BW56" i="7"/>
  <c r="AX100" i="6"/>
  <c r="AB100" i="6"/>
  <c r="AV69" i="6"/>
  <c r="AY70" i="6"/>
  <c r="BB69" i="6"/>
  <c r="AD70" i="6"/>
  <c r="FG39" i="123"/>
  <c r="EV39" i="123"/>
  <c r="BR61" i="123"/>
  <c r="R52" i="126" s="1"/>
  <c r="BQ61" i="123"/>
  <c r="FW37" i="123"/>
  <c r="AB28" i="126"/>
  <c r="FZ37" i="123"/>
  <c r="AE28" i="126" s="1"/>
  <c r="GJ37" i="123"/>
  <c r="AF28" i="126"/>
  <c r="FY48" i="123"/>
  <c r="AD39" i="126"/>
  <c r="AG42" i="126"/>
  <c r="GK51" i="123"/>
  <c r="AA30" i="126"/>
  <c r="EL39" i="123"/>
  <c r="X39" i="126"/>
  <c r="DZ48" i="123"/>
  <c r="EC48" i="123"/>
  <c r="FG40" i="123"/>
  <c r="CX61" i="123"/>
  <c r="CN61" i="123"/>
  <c r="EL58" i="123"/>
  <c r="GB58" i="123"/>
  <c r="AA49" i="126"/>
  <c r="GM37" i="123"/>
  <c r="EX61" i="123"/>
  <c r="FG61" i="123" s="1"/>
  <c r="AM61" i="123"/>
  <c r="DQ61" i="123"/>
  <c r="FX37" i="123"/>
  <c r="AC28" i="126"/>
  <c r="X29" i="126"/>
  <c r="EC38" i="123"/>
  <c r="DZ38" i="123"/>
  <c r="O43" i="126"/>
  <c r="AN52" i="123"/>
  <c r="CD52" i="123"/>
  <c r="FP38" i="123"/>
  <c r="AD41" i="126"/>
  <c r="FY50" i="123"/>
  <c r="GB50" i="123"/>
  <c r="DQ40" i="123"/>
  <c r="AA38" i="126"/>
  <c r="GK53" i="123"/>
  <c r="AG44" i="126"/>
  <c r="M34" i="126"/>
  <c r="AL43" i="123"/>
  <c r="AB36" i="126"/>
  <c r="FW45" i="123"/>
  <c r="Q38" i="126"/>
  <c r="BZ47" i="123"/>
  <c r="R34" i="126"/>
  <c r="CA43" i="123"/>
  <c r="CD43" i="123"/>
  <c r="EM47" i="123"/>
  <c r="EW47" i="123"/>
  <c r="AF35" i="126"/>
  <c r="GJ44" i="123"/>
  <c r="BP47" i="123"/>
  <c r="Q34" i="126"/>
  <c r="BZ43" i="123"/>
  <c r="AG50" i="126"/>
  <c r="GK59" i="123"/>
  <c r="CW43" i="123"/>
  <c r="DG43" i="123"/>
  <c r="FZ45" i="123"/>
  <c r="Y36" i="126"/>
  <c r="EJ45" i="123"/>
  <c r="FG43" i="123"/>
  <c r="GI44" i="123"/>
  <c r="X38" i="126"/>
  <c r="DZ47" i="123"/>
  <c r="BP43" i="123"/>
  <c r="CC43" i="123"/>
  <c r="AD27" i="126"/>
  <c r="FY36" i="123"/>
  <c r="AF36" i="126"/>
  <c r="GJ45" i="123"/>
  <c r="AE50" i="126"/>
  <c r="GI59" i="123"/>
  <c r="T38" i="126"/>
  <c r="CL47" i="123"/>
  <c r="DQ43" i="123"/>
  <c r="CW47" i="123"/>
  <c r="DG47" i="123"/>
  <c r="EW43" i="123"/>
  <c r="EM43" i="123"/>
  <c r="AG46" i="126"/>
  <c r="GK55" i="123"/>
  <c r="GB36" i="123"/>
  <c r="Z42" i="125"/>
  <c r="AF60" i="125"/>
  <c r="AF35" i="125"/>
  <c r="Z45" i="125"/>
  <c r="AD48" i="125"/>
  <c r="AB44" i="125"/>
  <c r="U44" i="125"/>
  <c r="AE35" i="125"/>
  <c r="Z65" i="125"/>
  <c r="X65" i="125"/>
  <c r="AF58" i="125"/>
  <c r="AF57" i="125"/>
  <c r="AF56" i="125"/>
  <c r="Z52" i="125"/>
  <c r="AF53" i="125"/>
  <c r="Z38" i="125"/>
  <c r="AC38" i="125"/>
  <c r="D6" i="129"/>
  <c r="D10" i="129" s="1"/>
  <c r="D14" i="129" s="1"/>
  <c r="D18" i="129" s="1"/>
  <c r="D9" i="129"/>
  <c r="D13" i="129" s="1"/>
  <c r="AF34" i="125"/>
  <c r="DG149" i="7" l="1"/>
  <c r="R270" i="120"/>
  <c r="BY50" i="121"/>
  <c r="CB50" i="121"/>
  <c r="R36" i="125" s="1"/>
  <c r="AG98" i="122"/>
  <c r="Q98" i="122"/>
  <c r="Q100" i="122" s="1"/>
  <c r="R100" i="122"/>
  <c r="AM61" i="120"/>
  <c r="AF61" i="120"/>
  <c r="AL61" i="120" s="1"/>
  <c r="Q239" i="120"/>
  <c r="Q205" i="120"/>
  <c r="BK126" i="120"/>
  <c r="BD126" i="120"/>
  <c r="BE128" i="120"/>
  <c r="BK128" i="120" s="1"/>
  <c r="AS21" i="98"/>
  <c r="EK9" i="8" s="1"/>
  <c r="AS14" i="98"/>
  <c r="AS19" i="98" s="1"/>
  <c r="BE58" i="120"/>
  <c r="AO58" i="120"/>
  <c r="BN58" i="120"/>
  <c r="AP60" i="120"/>
  <c r="DE38" i="19"/>
  <c r="DE21" i="19"/>
  <c r="EI9" i="19"/>
  <c r="DE26" i="19"/>
  <c r="EI17" i="19"/>
  <c r="R94" i="122"/>
  <c r="Q94" i="122" s="1"/>
  <c r="CB116" i="122"/>
  <c r="CH116" i="122" s="1"/>
  <c r="AM37" i="120"/>
  <c r="AG204" i="120"/>
  <c r="AM204" i="120" s="1"/>
  <c r="AF37" i="120"/>
  <c r="AG238" i="120"/>
  <c r="AP37" i="120"/>
  <c r="AP36" i="120" s="1"/>
  <c r="CL50" i="121"/>
  <c r="Q26" i="122"/>
  <c r="R28" i="122"/>
  <c r="AM29" i="120"/>
  <c r="AP29" i="120"/>
  <c r="BE29" i="120" s="1"/>
  <c r="BK29" i="120" s="1"/>
  <c r="AO57" i="121"/>
  <c r="AY57" i="121"/>
  <c r="C207" i="120"/>
  <c r="C59" i="121" s="1"/>
  <c r="C55" i="121"/>
  <c r="DF50" i="121"/>
  <c r="DO50" i="121" s="1"/>
  <c r="DX50" i="121" s="1"/>
  <c r="DP50" i="121"/>
  <c r="DY50" i="121" s="1"/>
  <c r="EV50" i="121"/>
  <c r="FF50" i="121"/>
  <c r="K57" i="121"/>
  <c r="U57" i="121"/>
  <c r="T57" i="121" s="1"/>
  <c r="B35" i="120"/>
  <c r="EJ25" i="8"/>
  <c r="EJ100" i="8"/>
  <c r="CC200" i="120"/>
  <c r="C102" i="120"/>
  <c r="CB102" i="120"/>
  <c r="CC104" i="120"/>
  <c r="CI104" i="120" s="1"/>
  <c r="CI102" i="120"/>
  <c r="AL38" i="120"/>
  <c r="AF239" i="120"/>
  <c r="AL239" i="120" s="1"/>
  <c r="AF205" i="120"/>
  <c r="AL205" i="120" s="1"/>
  <c r="AG28" i="122"/>
  <c r="AM28" i="122" s="1"/>
  <c r="AF26" i="122"/>
  <c r="AM26" i="122"/>
  <c r="AP26" i="122"/>
  <c r="ED24" i="8"/>
  <c r="ED101" i="8" s="1"/>
  <c r="EE101" i="8"/>
  <c r="EE137" i="8" s="1"/>
  <c r="EE152" i="8" s="1"/>
  <c r="EE154" i="8" s="1"/>
  <c r="AH158" i="120"/>
  <c r="D160" i="120"/>
  <c r="B203" i="120"/>
  <c r="B207" i="120" s="1"/>
  <c r="Q36" i="120"/>
  <c r="Q203" i="120" s="1"/>
  <c r="R203" i="120"/>
  <c r="R28" i="120"/>
  <c r="Q28" i="120" s="1"/>
  <c r="AF36" i="120"/>
  <c r="AM36" i="120"/>
  <c r="AG203" i="120"/>
  <c r="EI38" i="19"/>
  <c r="EI21" i="19"/>
  <c r="BM12" i="19"/>
  <c r="EI26" i="19"/>
  <c r="AG154" i="122"/>
  <c r="AM154" i="122" s="1"/>
  <c r="CC171" i="122"/>
  <c r="CI171" i="122" s="1"/>
  <c r="EE17" i="8"/>
  <c r="EE61" i="8" s="1"/>
  <c r="EE63" i="8" s="1"/>
  <c r="B77" i="122"/>
  <c r="B79" i="122" s="1"/>
  <c r="C79" i="122"/>
  <c r="R77" i="122"/>
  <c r="AG77" i="122" s="1"/>
  <c r="C75" i="122"/>
  <c r="U56" i="121"/>
  <c r="K56" i="121"/>
  <c r="B28" i="120"/>
  <c r="AQ28" i="120"/>
  <c r="AQ158" i="120" s="1"/>
  <c r="AQ160" i="120" s="1"/>
  <c r="AQ195" i="120"/>
  <c r="BO29" i="120"/>
  <c r="AH224" i="120"/>
  <c r="AN195" i="120"/>
  <c r="AF62" i="120"/>
  <c r="AM62" i="120"/>
  <c r="AG64" i="120"/>
  <c r="AM64" i="120" s="1"/>
  <c r="AP62" i="120"/>
  <c r="BE62" i="120" s="1"/>
  <c r="Q238" i="120"/>
  <c r="Q270" i="120" s="1"/>
  <c r="Q204" i="120"/>
  <c r="M47" i="121"/>
  <c r="D76" i="121"/>
  <c r="AG33" i="120"/>
  <c r="Q33" i="120"/>
  <c r="R35" i="120"/>
  <c r="CB98" i="120"/>
  <c r="CH98" i="120" s="1"/>
  <c r="CI98" i="120"/>
  <c r="AO38" i="120"/>
  <c r="AP239" i="120"/>
  <c r="AP205" i="120"/>
  <c r="CO57" i="121" s="1"/>
  <c r="BN38" i="120"/>
  <c r="DE43" i="19"/>
  <c r="DE47" i="19"/>
  <c r="DE36" i="19"/>
  <c r="BM14" i="19"/>
  <c r="AQ47" i="121"/>
  <c r="S224" i="120"/>
  <c r="S226" i="120" s="1"/>
  <c r="AG122" i="120"/>
  <c r="B28" i="122"/>
  <c r="ED100" i="8"/>
  <c r="CH77" i="122"/>
  <c r="CB79" i="122"/>
  <c r="CH79" i="122" s="1"/>
  <c r="B270" i="120"/>
  <c r="BF29" i="120"/>
  <c r="AF29" i="120"/>
  <c r="AL29" i="120" s="1"/>
  <c r="AR14" i="98"/>
  <c r="AR19" i="98" s="1"/>
  <c r="AR21" i="98"/>
  <c r="AY56" i="121"/>
  <c r="AO56" i="121"/>
  <c r="AO126" i="120"/>
  <c r="AO128" i="120" s="1"/>
  <c r="BN126" i="120"/>
  <c r="AP128" i="120"/>
  <c r="AP122" i="120"/>
  <c r="AO122" i="120" s="1"/>
  <c r="AL126" i="120"/>
  <c r="AF128" i="120"/>
  <c r="AL128" i="120" s="1"/>
  <c r="C46" i="122"/>
  <c r="CI46" i="122"/>
  <c r="CC48" i="122"/>
  <c r="CI48" i="122" s="1"/>
  <c r="CB46" i="122"/>
  <c r="CC158" i="122"/>
  <c r="EE33" i="7"/>
  <c r="EE27" i="7" s="1"/>
  <c r="EE149" i="7"/>
  <c r="BE38" i="120"/>
  <c r="AF60" i="120"/>
  <c r="AL60" i="120" s="1"/>
  <c r="AL58" i="120"/>
  <c r="DE46" i="19"/>
  <c r="FN46" i="19"/>
  <c r="EI41" i="19"/>
  <c r="FN41" i="19"/>
  <c r="EI34" i="19"/>
  <c r="FN34" i="19"/>
  <c r="EI28" i="19"/>
  <c r="FN28" i="19"/>
  <c r="EI37" i="19"/>
  <c r="FN37" i="19"/>
  <c r="FM11" i="19"/>
  <c r="CC150" i="120" s="1"/>
  <c r="CC149" i="120"/>
  <c r="CC217" i="120"/>
  <c r="CI217" i="120" s="1"/>
  <c r="CB151" i="120"/>
  <c r="C151" i="120"/>
  <c r="CI151" i="120"/>
  <c r="EI20" i="19"/>
  <c r="FN20" i="19"/>
  <c r="CC175" i="122"/>
  <c r="CI175" i="122" s="1"/>
  <c r="C120" i="122"/>
  <c r="CB120" i="122"/>
  <c r="CI120" i="122"/>
  <c r="CC174" i="122"/>
  <c r="CI174" i="122" s="1"/>
  <c r="CB119" i="122"/>
  <c r="C119" i="122"/>
  <c r="CI119" i="122"/>
  <c r="EI14" i="19"/>
  <c r="EI10" i="19" s="1"/>
  <c r="FN14" i="19"/>
  <c r="DE42" i="19"/>
  <c r="EI42" i="19" s="1"/>
  <c r="FN42" i="19"/>
  <c r="EJ74" i="7"/>
  <c r="B116" i="122"/>
  <c r="B171" i="122" s="1"/>
  <c r="R116" i="122"/>
  <c r="C171" i="122"/>
  <c r="C53" i="123" s="1"/>
  <c r="EN66" i="8"/>
  <c r="EN64" i="8" s="1"/>
  <c r="CC173" i="122"/>
  <c r="CI173" i="122" s="1"/>
  <c r="C118" i="122"/>
  <c r="CB118" i="122"/>
  <c r="CI118" i="122"/>
  <c r="AL23" i="122"/>
  <c r="AY36" i="123"/>
  <c r="AO36" i="123"/>
  <c r="AF80" i="122"/>
  <c r="AL80" i="122" s="1"/>
  <c r="AM80" i="122"/>
  <c r="AP80" i="122"/>
  <c r="BE23" i="122"/>
  <c r="AO23" i="122"/>
  <c r="BN23" i="122"/>
  <c r="BN95" i="122"/>
  <c r="AO95" i="122"/>
  <c r="BE95" i="122"/>
  <c r="Q154" i="122"/>
  <c r="U36" i="123"/>
  <c r="T36" i="123" s="1"/>
  <c r="K36" i="123"/>
  <c r="AG94" i="122"/>
  <c r="AM43" i="122"/>
  <c r="AF43" i="122"/>
  <c r="AL43" i="122" s="1"/>
  <c r="AP43" i="122"/>
  <c r="AB40" i="126"/>
  <c r="BN199" i="120"/>
  <c r="EN51" i="121" s="1"/>
  <c r="BM54" i="120"/>
  <c r="BM199" i="120" s="1"/>
  <c r="BH51" i="121"/>
  <c r="AX51" i="121"/>
  <c r="CX51" i="121"/>
  <c r="CN51" i="121"/>
  <c r="T51" i="121"/>
  <c r="AC51" i="121" s="1"/>
  <c r="AD51" i="121"/>
  <c r="BJ54" i="120"/>
  <c r="BD199" i="120"/>
  <c r="BJ199" i="120" s="1"/>
  <c r="F49" i="143"/>
  <c r="D49" i="143" s="1"/>
  <c r="E49" i="143" s="1"/>
  <c r="J50" i="143"/>
  <c r="I50" i="143"/>
  <c r="EH34" i="19"/>
  <c r="FM34" i="19"/>
  <c r="BO14" i="19"/>
  <c r="FN11" i="19"/>
  <c r="CC117" i="122" s="1"/>
  <c r="CA13" i="19"/>
  <c r="EH38" i="19"/>
  <c r="FM38" i="19"/>
  <c r="EH46" i="19"/>
  <c r="FM46" i="19"/>
  <c r="EH29" i="19"/>
  <c r="FM29" i="19"/>
  <c r="EH24" i="19"/>
  <c r="FM24" i="19"/>
  <c r="DD31" i="19"/>
  <c r="FM31" i="19"/>
  <c r="DD13" i="19"/>
  <c r="FM13" i="19"/>
  <c r="DD43" i="19"/>
  <c r="FM43" i="19"/>
  <c r="EH36" i="19"/>
  <c r="FM36" i="19"/>
  <c r="EH28" i="19"/>
  <c r="FM28" i="19"/>
  <c r="EH27" i="19"/>
  <c r="FM27" i="19"/>
  <c r="EH31" i="19"/>
  <c r="BL12" i="19"/>
  <c r="DD24" i="19"/>
  <c r="DD46" i="19"/>
  <c r="DE41" i="19"/>
  <c r="DE34" i="19"/>
  <c r="DD29" i="19"/>
  <c r="DE20" i="19"/>
  <c r="BM49" i="19"/>
  <c r="BS47" i="8" s="1"/>
  <c r="BT47" i="8" s="1"/>
  <c r="DE28" i="19"/>
  <c r="DE37" i="19"/>
  <c r="EH43" i="19"/>
  <c r="EG19" i="8"/>
  <c r="EG102" i="8" s="1"/>
  <c r="V37" i="96"/>
  <c r="Z34" i="96"/>
  <c r="EB148" i="8"/>
  <c r="BB25" i="65"/>
  <c r="BB13" i="65" s="1"/>
  <c r="V32" i="96"/>
  <c r="Z29" i="96"/>
  <c r="V27" i="96"/>
  <c r="Z24" i="96"/>
  <c r="V22" i="96"/>
  <c r="Z19" i="96"/>
  <c r="V17" i="96"/>
  <c r="Z14" i="96"/>
  <c r="EA102" i="8"/>
  <c r="BF25" i="65"/>
  <c r="BF13" i="65" s="1"/>
  <c r="EH148" i="8"/>
  <c r="EG171" i="7"/>
  <c r="EG173" i="7"/>
  <c r="CW35" i="7"/>
  <c r="EA41" i="7"/>
  <c r="EA35" i="7" s="1"/>
  <c r="DZ40" i="7"/>
  <c r="DY40" i="7" s="1"/>
  <c r="EA32" i="7"/>
  <c r="EA150" i="7" s="1"/>
  <c r="DY49" i="7"/>
  <c r="DY43" i="7" s="1"/>
  <c r="DZ43" i="7"/>
  <c r="DY35" i="7"/>
  <c r="AN89" i="7"/>
  <c r="H99" i="7" s="1"/>
  <c r="G99" i="7" s="1"/>
  <c r="V40" i="126"/>
  <c r="P92" i="56"/>
  <c r="X92" i="56" s="1"/>
  <c r="K93" i="56"/>
  <c r="K92" i="56" s="1"/>
  <c r="T92" i="56" s="1"/>
  <c r="M30" i="56"/>
  <c r="M29" i="56" s="1"/>
  <c r="BZ149" i="7"/>
  <c r="AE37" i="126"/>
  <c r="GI46" i="123"/>
  <c r="AB37" i="126"/>
  <c r="FW46" i="123"/>
  <c r="AG37" i="126"/>
  <c r="GK46" i="123"/>
  <c r="EK49" i="123"/>
  <c r="BL49" i="19"/>
  <c r="BV59" i="7" s="1"/>
  <c r="BV154" i="7" s="1"/>
  <c r="BX13" i="19"/>
  <c r="BW13" i="19" s="1"/>
  <c r="BW10" i="19" s="1"/>
  <c r="DD36" i="19"/>
  <c r="BL14" i="19"/>
  <c r="FM14" i="19" s="1"/>
  <c r="AZ114" i="6"/>
  <c r="BA114" i="6" s="1"/>
  <c r="AD38" i="126"/>
  <c r="CT38" i="17"/>
  <c r="BX17" i="8"/>
  <c r="M52" i="126"/>
  <c r="BA8" i="7"/>
  <c r="AZ75" i="6"/>
  <c r="BA75" i="6" s="1"/>
  <c r="BU17" i="8"/>
  <c r="BU25" i="8"/>
  <c r="BS24" i="8"/>
  <c r="BS101" i="8" s="1"/>
  <c r="BU101" i="8"/>
  <c r="P100" i="68"/>
  <c r="BX27" i="7"/>
  <c r="AL80" i="8"/>
  <c r="AK79" i="8"/>
  <c r="AK80" i="8" s="1"/>
  <c r="AZ106" i="6"/>
  <c r="BE106" i="6" s="1"/>
  <c r="FX39" i="123"/>
  <c r="AZ105" i="6"/>
  <c r="BE105" i="6" s="1"/>
  <c r="AZ80" i="6"/>
  <c r="BE80" i="6" s="1"/>
  <c r="AZ116" i="6"/>
  <c r="BE116" i="6" s="1"/>
  <c r="AZ78" i="6"/>
  <c r="BE78" i="6" s="1"/>
  <c r="DE14" i="19"/>
  <c r="DE10" i="19" s="1"/>
  <c r="DE11" i="19" s="1"/>
  <c r="AZ91" i="7"/>
  <c r="AC49" i="95"/>
  <c r="AZ107" i="6"/>
  <c r="BE107" i="6" s="1"/>
  <c r="AZ120" i="6"/>
  <c r="BE120" i="6" s="1"/>
  <c r="AL84" i="8"/>
  <c r="AL85" i="8" s="1"/>
  <c r="AZ101" i="6"/>
  <c r="AL71" i="7"/>
  <c r="BA71" i="7" s="1"/>
  <c r="BX150" i="7"/>
  <c r="AL81" i="8"/>
  <c r="AO88" i="7"/>
  <c r="R34" i="125"/>
  <c r="AZ108" i="6"/>
  <c r="BE108" i="6" s="1"/>
  <c r="CU33" i="7"/>
  <c r="DY33" i="7" s="1"/>
  <c r="BV27" i="7"/>
  <c r="BW33" i="7"/>
  <c r="AV74" i="6"/>
  <c r="AZ85" i="6"/>
  <c r="BE85" i="6" s="1"/>
  <c r="DZ38" i="17"/>
  <c r="AY90" i="6"/>
  <c r="AE49" i="95"/>
  <c r="AZ77" i="6"/>
  <c r="BE77" i="6" s="1"/>
  <c r="AZ68" i="6"/>
  <c r="BE68" i="6" s="1"/>
  <c r="T86" i="68"/>
  <c r="AZ94" i="6"/>
  <c r="BE94" i="6" s="1"/>
  <c r="AZ84" i="6"/>
  <c r="BE84" i="6" s="1"/>
  <c r="BS70" i="123"/>
  <c r="BS71" i="123" s="1"/>
  <c r="AZ67" i="6"/>
  <c r="BE67" i="6" s="1"/>
  <c r="AZ65" i="6"/>
  <c r="BA65" i="6" s="1"/>
  <c r="AL154" i="7"/>
  <c r="BA59" i="7"/>
  <c r="AM59" i="7"/>
  <c r="AO173" i="7"/>
  <c r="AO174" i="7" s="1"/>
  <c r="AA66" i="125"/>
  <c r="X24" i="98"/>
  <c r="X29" i="98" s="1"/>
  <c r="X34" i="98" s="1"/>
  <c r="P72" i="68"/>
  <c r="AY95" i="6"/>
  <c r="Y70" i="32"/>
  <c r="AZ117" i="6"/>
  <c r="BE117" i="6" s="1"/>
  <c r="AD90" i="6"/>
  <c r="AV113" i="6"/>
  <c r="AY113" i="6" s="1"/>
  <c r="AD66" i="125"/>
  <c r="AX64" i="6"/>
  <c r="AH43" i="98"/>
  <c r="W40" i="98"/>
  <c r="AE12" i="65" s="1"/>
  <c r="R71" i="68"/>
  <c r="T70" i="68"/>
  <c r="BX137" i="8"/>
  <c r="AE13" i="66" s="1"/>
  <c r="AD95" i="6"/>
  <c r="L38" i="123"/>
  <c r="R70" i="68"/>
  <c r="W19" i="98"/>
  <c r="W38" i="98" s="1"/>
  <c r="W42" i="98"/>
  <c r="CW18" i="8"/>
  <c r="CX96" i="8"/>
  <c r="CX119" i="8" s="1"/>
  <c r="CX123" i="8" s="1"/>
  <c r="CX124" i="8" s="1"/>
  <c r="CX17" i="8"/>
  <c r="CX61" i="8" s="1"/>
  <c r="CX63" i="8" s="1"/>
  <c r="CX65" i="8"/>
  <c r="CX64" i="8" s="1"/>
  <c r="CX138" i="8"/>
  <c r="X14" i="98"/>
  <c r="X21" i="98"/>
  <c r="X40" i="98" s="1"/>
  <c r="AF12" i="65" s="1"/>
  <c r="BW101" i="8"/>
  <c r="BW137" i="8" s="1"/>
  <c r="AG11" i="65" s="1"/>
  <c r="BD11" i="65" s="1"/>
  <c r="BW8" i="8"/>
  <c r="BW61" i="8" s="1"/>
  <c r="BW63" i="8" s="1"/>
  <c r="BV101" i="8"/>
  <c r="BV34" i="8"/>
  <c r="T71" i="68"/>
  <c r="V43" i="98"/>
  <c r="BZ17" i="7"/>
  <c r="AZ93" i="6"/>
  <c r="BE93" i="6" s="1"/>
  <c r="GB47" i="123"/>
  <c r="AG38" i="126" s="1"/>
  <c r="BZ151" i="7"/>
  <c r="BJ111" i="6"/>
  <c r="AZ112" i="6"/>
  <c r="BE112" i="6" s="1"/>
  <c r="AZ122" i="6"/>
  <c r="BE122" i="6" s="1"/>
  <c r="AZ109" i="6"/>
  <c r="BE109" i="6" s="1"/>
  <c r="K38" i="105"/>
  <c r="Q34" i="104" s="1"/>
  <c r="Q39" i="104" s="1"/>
  <c r="AD17" i="66" s="1"/>
  <c r="AD15" i="66" s="1"/>
  <c r="AZ81" i="6"/>
  <c r="BE81" i="6" s="1"/>
  <c r="AM42" i="98"/>
  <c r="AM19" i="98"/>
  <c r="AM38" i="98" s="1"/>
  <c r="AM40" i="98"/>
  <c r="DM9" i="8"/>
  <c r="DO9" i="8"/>
  <c r="AF57" i="65"/>
  <c r="AF62" i="65"/>
  <c r="AZ93" i="7"/>
  <c r="AZ94" i="7" s="1"/>
  <c r="AA59" i="125"/>
  <c r="AE59" i="125"/>
  <c r="FN66" i="123"/>
  <c r="FZ66" i="123" s="1"/>
  <c r="BT51" i="72"/>
  <c r="BW51" i="72" s="1"/>
  <c r="N14" i="61"/>
  <c r="AZ83" i="6"/>
  <c r="BE83" i="6" s="1"/>
  <c r="AZ92" i="6"/>
  <c r="BE92" i="6" s="1"/>
  <c r="DL17" i="8"/>
  <c r="DL25" i="8"/>
  <c r="GI37" i="123"/>
  <c r="BJ95" i="6"/>
  <c r="CF43" i="7"/>
  <c r="CL123" i="122"/>
  <c r="AW64" i="6"/>
  <c r="BE17" i="7"/>
  <c r="BD90" i="6"/>
  <c r="AZ89" i="6"/>
  <c r="BE89" i="6" s="1"/>
  <c r="R86" i="68"/>
  <c r="BE104" i="6"/>
  <c r="AW74" i="6"/>
  <c r="AC74" i="6"/>
  <c r="BJ109" i="6"/>
  <c r="AZ79" i="6"/>
  <c r="BE79" i="6" s="1"/>
  <c r="AZ111" i="6"/>
  <c r="BE111" i="6" s="1"/>
  <c r="BD95" i="6"/>
  <c r="GC69" i="123"/>
  <c r="AZ86" i="6"/>
  <c r="BE86" i="6" s="1"/>
  <c r="CI174" i="7"/>
  <c r="CI176" i="7"/>
  <c r="CI177" i="7" s="1"/>
  <c r="D7" i="129"/>
  <c r="CF7" i="135"/>
  <c r="Z43" i="98"/>
  <c r="L37" i="105"/>
  <c r="L38" i="105"/>
  <c r="R34" i="104" s="1"/>
  <c r="R39" i="104" s="1"/>
  <c r="AD69" i="6"/>
  <c r="AF70" i="123"/>
  <c r="AF71" i="123" s="1"/>
  <c r="W71" i="123"/>
  <c r="CL42" i="8"/>
  <c r="CL104" i="8" s="1"/>
  <c r="R98" i="68"/>
  <c r="AC64" i="6"/>
  <c r="FN51" i="123"/>
  <c r="AB42" i="126" s="1"/>
  <c r="T34" i="104"/>
  <c r="S39" i="104"/>
  <c r="BX46" i="8"/>
  <c r="AD176" i="7"/>
  <c r="AD177" i="7" s="1"/>
  <c r="AD174" i="7"/>
  <c r="GM66" i="123"/>
  <c r="AA177" i="7"/>
  <c r="AI177" i="7" s="1"/>
  <c r="AI176" i="7"/>
  <c r="Q31" i="104"/>
  <c r="AE15" i="65" s="1"/>
  <c r="AE13" i="65" s="1"/>
  <c r="R26" i="104"/>
  <c r="R31" i="104" s="1"/>
  <c r="AF15" i="65" s="1"/>
  <c r="AF13" i="65" s="1"/>
  <c r="AV64" i="6"/>
  <c r="BC63" i="61"/>
  <c r="BC58" i="61"/>
  <c r="AD94" i="7"/>
  <c r="AA93" i="7"/>
  <c r="V50" i="125"/>
  <c r="AD76" i="6"/>
  <c r="DA27" i="8"/>
  <c r="FO66" i="123"/>
  <c r="AA58" i="61"/>
  <c r="AA63" i="61"/>
  <c r="AG15" i="65"/>
  <c r="BW141" i="8"/>
  <c r="BY61" i="123"/>
  <c r="CB61" i="123"/>
  <c r="S52" i="126" s="1"/>
  <c r="P52" i="126"/>
  <c r="AD115" i="6"/>
  <c r="BE98" i="6"/>
  <c r="AB74" i="6"/>
  <c r="BE99" i="6"/>
  <c r="DI71" i="123"/>
  <c r="DR70" i="123"/>
  <c r="DR71" i="123" s="1"/>
  <c r="AJ119" i="8"/>
  <c r="AI121" i="8"/>
  <c r="AJ121" i="8" s="1"/>
  <c r="AX74" i="6"/>
  <c r="BE119" i="6"/>
  <c r="AV100" i="6"/>
  <c r="BF59" i="7"/>
  <c r="BF154" i="7" s="1"/>
  <c r="ED76" i="123"/>
  <c r="ED65" i="123"/>
  <c r="U34" i="125"/>
  <c r="BE71" i="6"/>
  <c r="BD69" i="6"/>
  <c r="EY71" i="123"/>
  <c r="FQ70" i="123"/>
  <c r="FQ71" i="123" s="1"/>
  <c r="BK69" i="6"/>
  <c r="T52" i="95"/>
  <c r="T99" i="68"/>
  <c r="BJ118" i="6"/>
  <c r="BT71" i="123"/>
  <c r="CF70" i="123"/>
  <c r="BA101" i="6"/>
  <c r="S34" i="125"/>
  <c r="AD113" i="6"/>
  <c r="AB58" i="126"/>
  <c r="FW67" i="123"/>
  <c r="FZ67" i="123"/>
  <c r="DX50" i="123"/>
  <c r="V41" i="126"/>
  <c r="EA50" i="123"/>
  <c r="BY39" i="123"/>
  <c r="P30" i="126"/>
  <c r="CB39" i="123"/>
  <c r="EK51" i="123"/>
  <c r="Z42" i="126"/>
  <c r="M51" i="126"/>
  <c r="AL60" i="123"/>
  <c r="DZ61" i="123"/>
  <c r="X52" i="126"/>
  <c r="BW52" i="7"/>
  <c r="BW153" i="7" s="1"/>
  <c r="DY50" i="123"/>
  <c r="EB50" i="123"/>
  <c r="W41" i="126"/>
  <c r="DG17" i="135"/>
  <c r="DJ17" i="135" s="1"/>
  <c r="DJ15" i="135" s="1"/>
  <c r="DO12" i="135"/>
  <c r="DO10" i="135"/>
  <c r="DO8" i="135"/>
  <c r="DO14" i="135"/>
  <c r="W10" i="95"/>
  <c r="V15" i="95"/>
  <c r="V20" i="95" s="1"/>
  <c r="V30" i="95" s="1"/>
  <c r="V49" i="95" s="1"/>
  <c r="AA14" i="61" s="1"/>
  <c r="V8" i="95"/>
  <c r="V13" i="95" s="1"/>
  <c r="P30" i="56"/>
  <c r="BC94" i="7"/>
  <c r="BT168" i="7"/>
  <c r="BT170" i="7"/>
  <c r="EL49" i="123"/>
  <c r="GB49" i="123"/>
  <c r="AA40" i="126"/>
  <c r="I44" i="96"/>
  <c r="BW19" i="7" s="1"/>
  <c r="BW17" i="7" s="1"/>
  <c r="DU11" i="136"/>
  <c r="DO11" i="136" s="1"/>
  <c r="DU9" i="136"/>
  <c r="DO9" i="136" s="1"/>
  <c r="DU8" i="136"/>
  <c r="DO8" i="136" s="1"/>
  <c r="DU13" i="136"/>
  <c r="DO13" i="136" s="1"/>
  <c r="DJ41" i="7"/>
  <c r="CG41" i="7"/>
  <c r="CH41" i="7"/>
  <c r="CF40" i="7"/>
  <c r="CF35" i="7" s="1"/>
  <c r="AB64" i="6"/>
  <c r="BO49" i="19"/>
  <c r="CH12" i="135"/>
  <c r="CH15" i="135" s="1"/>
  <c r="CH17" i="135" s="1"/>
  <c r="AV121" i="8"/>
  <c r="AV126" i="8"/>
  <c r="AW119" i="8"/>
  <c r="DA176" i="7"/>
  <c r="DA177" i="7" s="1"/>
  <c r="DA174" i="7"/>
  <c r="FF48" i="123"/>
  <c r="FE48" i="123" s="1"/>
  <c r="EV48" i="123"/>
  <c r="EW60" i="123"/>
  <c r="EM60" i="123"/>
  <c r="BK120" i="6"/>
  <c r="BU88" i="7"/>
  <c r="BU90" i="7"/>
  <c r="AD18" i="95"/>
  <c r="AD28" i="95" s="1"/>
  <c r="BW138" i="8"/>
  <c r="X18" i="125"/>
  <c r="AL89" i="7"/>
  <c r="AL172" i="7" s="1"/>
  <c r="AM172" i="7" s="1"/>
  <c r="AC41" i="125"/>
  <c r="AC66" i="125"/>
  <c r="AY69" i="6"/>
  <c r="M23" i="104"/>
  <c r="BX56" i="7"/>
  <c r="BX52" i="7" s="1"/>
  <c r="BX153" i="7" s="1"/>
  <c r="BX188" i="7" s="1"/>
  <c r="X16" i="64" s="1"/>
  <c r="BH90" i="6"/>
  <c r="BK90" i="6" s="1"/>
  <c r="BK91" i="6"/>
  <c r="BJ91" i="6"/>
  <c r="CZ39" i="8"/>
  <c r="CZ34" i="8" s="1"/>
  <c r="DA34" i="8"/>
  <c r="AI41" i="95"/>
  <c r="AI46" i="95" s="1"/>
  <c r="AI50" i="95" s="1"/>
  <c r="AI38" i="95"/>
  <c r="AI51" i="95" s="1"/>
  <c r="AI40" i="95"/>
  <c r="AI45" i="95" s="1"/>
  <c r="CW32" i="7"/>
  <c r="DO11" i="135"/>
  <c r="DO39" i="123"/>
  <c r="BY151" i="7"/>
  <c r="BY17" i="7"/>
  <c r="CT174" i="7"/>
  <c r="CT176" i="7"/>
  <c r="CT177" i="7" s="1"/>
  <c r="I35" i="105"/>
  <c r="O17" i="104" s="1"/>
  <c r="O23" i="104" s="1"/>
  <c r="AA16" i="64" s="1"/>
  <c r="AA14" i="64" s="1"/>
  <c r="I34" i="105"/>
  <c r="O8" i="104" s="1"/>
  <c r="O14" i="104" s="1"/>
  <c r="AA17" i="61" s="1"/>
  <c r="AA15" i="61" s="1"/>
  <c r="AY66" i="6"/>
  <c r="AZ66" i="6" s="1"/>
  <c r="AC28" i="98"/>
  <c r="AB32" i="98"/>
  <c r="AB37" i="98" s="1"/>
  <c r="AB41" i="98" s="1"/>
  <c r="AB31" i="98"/>
  <c r="AB36" i="98" s="1"/>
  <c r="AB40" i="98" s="1"/>
  <c r="AB29" i="98"/>
  <c r="G34" i="105"/>
  <c r="M8" i="104" s="1"/>
  <c r="M14" i="104" s="1"/>
  <c r="H34" i="105"/>
  <c r="N8" i="104" s="1"/>
  <c r="N14" i="104" s="1"/>
  <c r="Z17" i="61" s="1"/>
  <c r="Z15" i="61" s="1"/>
  <c r="AC51" i="95"/>
  <c r="AC18" i="95"/>
  <c r="AC28" i="95" s="1"/>
  <c r="AC47" i="95" s="1"/>
  <c r="EH14" i="19"/>
  <c r="EH10" i="19" s="1"/>
  <c r="M34" i="105"/>
  <c r="BL174" i="7"/>
  <c r="BL176" i="7"/>
  <c r="BL177" i="7" s="1"/>
  <c r="N51" i="126"/>
  <c r="AM60" i="123"/>
  <c r="AD58" i="126"/>
  <c r="FY67" i="123"/>
  <c r="GB67" i="123"/>
  <c r="BK109" i="6"/>
  <c r="K40" i="56"/>
  <c r="K39" i="56" s="1"/>
  <c r="T39" i="56" s="1"/>
  <c r="P39" i="56"/>
  <c r="BT86" i="7"/>
  <c r="BT73" i="7"/>
  <c r="L44" i="96"/>
  <c r="CG19" i="7" s="1"/>
  <c r="DM54" i="8"/>
  <c r="BO12" i="19"/>
  <c r="BU173" i="7"/>
  <c r="BU171" i="7"/>
  <c r="Z52" i="95"/>
  <c r="BS15" i="8"/>
  <c r="AO91" i="7"/>
  <c r="BK111" i="6"/>
  <c r="AZ97" i="6"/>
  <c r="BE97" i="6" s="1"/>
  <c r="AD100" i="6"/>
  <c r="T98" i="68"/>
  <c r="AV78" i="8"/>
  <c r="AW78" i="8" s="1"/>
  <c r="AV84" i="8"/>
  <c r="AV80" i="8"/>
  <c r="AV81" i="8"/>
  <c r="AW61" i="8"/>
  <c r="DF48" i="123"/>
  <c r="DO48" i="123" s="1"/>
  <c r="V39" i="126" s="1"/>
  <c r="DP48" i="123"/>
  <c r="DV64" i="8"/>
  <c r="AD35" i="95"/>
  <c r="AD40" i="95" s="1"/>
  <c r="AD45" i="95" s="1"/>
  <c r="AD49" i="95" s="1"/>
  <c r="AD38" i="95"/>
  <c r="AD43" i="95" s="1"/>
  <c r="BV9" i="7"/>
  <c r="BW144" i="7"/>
  <c r="BW8" i="7"/>
  <c r="BK118" i="6"/>
  <c r="AQ91" i="7"/>
  <c r="AR91" i="7" s="1"/>
  <c r="BK95" i="6"/>
  <c r="Z123" i="6"/>
  <c r="AA51" i="95"/>
  <c r="AA18" i="95"/>
  <c r="AA28" i="95" s="1"/>
  <c r="AA47" i="95" s="1"/>
  <c r="X40" i="95"/>
  <c r="X45" i="95" s="1"/>
  <c r="Y35" i="95"/>
  <c r="Y40" i="95" s="1"/>
  <c r="Y45" i="95" s="1"/>
  <c r="CV40" i="7"/>
  <c r="CU40" i="7" s="1"/>
  <c r="CU35" i="7" s="1"/>
  <c r="BZ61" i="123"/>
  <c r="Q52" i="126"/>
  <c r="BQ60" i="123"/>
  <c r="BG60" i="123"/>
  <c r="BP60" i="123" s="1"/>
  <c r="BC34" i="8"/>
  <c r="BC61" i="8" s="1"/>
  <c r="AZ39" i="8"/>
  <c r="BC101" i="8"/>
  <c r="CL12" i="136"/>
  <c r="CL11" i="136" s="1"/>
  <c r="CK11" i="136"/>
  <c r="AQ88" i="7"/>
  <c r="AR88" i="7" s="1"/>
  <c r="BA144" i="7"/>
  <c r="AM144" i="7"/>
  <c r="AL166" i="7"/>
  <c r="BA166" i="7" s="1"/>
  <c r="DY51" i="123"/>
  <c r="W42" i="126"/>
  <c r="J26" i="105"/>
  <c r="J19" i="105"/>
  <c r="S17" i="104"/>
  <c r="CA56" i="7"/>
  <c r="CA52" i="7" s="1"/>
  <c r="CA153" i="7" s="1"/>
  <c r="CA188" i="7" s="1"/>
  <c r="AE16" i="64" s="1"/>
  <c r="BZ40" i="7"/>
  <c r="BY41" i="7"/>
  <c r="BY35" i="7" s="1"/>
  <c r="CA40" i="7"/>
  <c r="BY150" i="7"/>
  <c r="AO90" i="7"/>
  <c r="P20" i="56" s="1"/>
  <c r="DO30" i="8"/>
  <c r="DO27" i="8" s="1"/>
  <c r="AC67" i="32"/>
  <c r="AE67" i="32" s="1"/>
  <c r="AC61" i="32"/>
  <c r="P36" i="125"/>
  <c r="BZ144" i="7"/>
  <c r="BY9" i="7"/>
  <c r="BZ8" i="7"/>
  <c r="O36" i="125"/>
  <c r="BV17" i="8"/>
  <c r="BV96" i="8"/>
  <c r="AZ110" i="6"/>
  <c r="BE110" i="6" s="1"/>
  <c r="AS71" i="7"/>
  <c r="M102" i="56"/>
  <c r="H103" i="56"/>
  <c r="H102" i="56" s="1"/>
  <c r="BZ39" i="123"/>
  <c r="Q30" i="126"/>
  <c r="P103" i="7"/>
  <c r="S105" i="7"/>
  <c r="P105" i="7" s="1"/>
  <c r="AS15" i="135"/>
  <c r="BB176" i="7"/>
  <c r="BB177" i="7" s="1"/>
  <c r="BB184" i="7" s="1"/>
  <c r="BB186" i="7" s="1"/>
  <c r="BB174" i="7"/>
  <c r="AZ70" i="6"/>
  <c r="BE70" i="6" s="1"/>
  <c r="DO39" i="8"/>
  <c r="DO34" i="8" s="1"/>
  <c r="DP34" i="8"/>
  <c r="CC39" i="123"/>
  <c r="R99" i="68"/>
  <c r="AO37" i="95"/>
  <c r="AT37" i="95" s="1"/>
  <c r="AT41" i="95" s="1"/>
  <c r="AT46" i="95" s="1"/>
  <c r="AT50" i="95" s="1"/>
  <c r="AJ41" i="95"/>
  <c r="AJ46" i="95" s="1"/>
  <c r="AJ50" i="95" s="1"/>
  <c r="CW75" i="7" s="1"/>
  <c r="CW74" i="7" s="1"/>
  <c r="AJ38" i="95"/>
  <c r="AJ51" i="95" s="1"/>
  <c r="AJ40" i="95"/>
  <c r="AJ45" i="95" s="1"/>
  <c r="AY76" i="6"/>
  <c r="AC40" i="126"/>
  <c r="FX49" i="123"/>
  <c r="GA49" i="123"/>
  <c r="BC7" i="136"/>
  <c r="AZ11" i="136"/>
  <c r="FE50" i="123"/>
  <c r="FO50" i="123"/>
  <c r="N47" i="125"/>
  <c r="U51" i="95"/>
  <c r="U18" i="95"/>
  <c r="U28" i="95" s="1"/>
  <c r="U47" i="95" s="1"/>
  <c r="Q44" i="96"/>
  <c r="CV19" i="7" s="1"/>
  <c r="P34" i="125"/>
  <c r="CG12" i="135"/>
  <c r="CG15" i="135" s="1"/>
  <c r="CG17" i="135" s="1"/>
  <c r="BF41" i="7"/>
  <c r="BF35" i="7" s="1"/>
  <c r="BF150" i="7"/>
  <c r="AB51" i="95"/>
  <c r="AB18" i="95"/>
  <c r="AB28" i="95" s="1"/>
  <c r="AB47" i="95" s="1"/>
  <c r="BE9" i="7"/>
  <c r="BD144" i="7"/>
  <c r="BD8" i="7"/>
  <c r="DP15" i="8"/>
  <c r="DA15" i="8"/>
  <c r="BT8" i="8"/>
  <c r="CL15" i="8"/>
  <c r="P34" i="105"/>
  <c r="T8" i="104" s="1"/>
  <c r="P35" i="105"/>
  <c r="CC61" i="123"/>
  <c r="T52" i="126" s="1"/>
  <c r="AZ171" i="7"/>
  <c r="AY115" i="6"/>
  <c r="DR74" i="7"/>
  <c r="L40" i="56"/>
  <c r="AE43" i="95"/>
  <c r="AE51" i="95"/>
  <c r="BX138" i="8"/>
  <c r="DG60" i="123"/>
  <c r="CW60" i="123"/>
  <c r="AA34" i="98"/>
  <c r="AA38" i="98" s="1"/>
  <c r="AA42" i="98"/>
  <c r="CL40" i="8"/>
  <c r="CL39" i="8" s="1"/>
  <c r="CL34" i="8" s="1"/>
  <c r="CK39" i="8"/>
  <c r="CK34" i="8" s="1"/>
  <c r="V42" i="126"/>
  <c r="DX51" i="123"/>
  <c r="EA51" i="123"/>
  <c r="K7" i="105"/>
  <c r="J14" i="105"/>
  <c r="AZ172" i="7"/>
  <c r="BB105" i="8"/>
  <c r="BB61" i="8"/>
  <c r="BJ174" i="7"/>
  <c r="BJ176" i="7"/>
  <c r="BJ177" i="7" s="1"/>
  <c r="AZ118" i="6"/>
  <c r="BE118" i="6" s="1"/>
  <c r="DK25" i="7"/>
  <c r="CF25" i="7"/>
  <c r="CV25" i="7"/>
  <c r="DU10" i="136"/>
  <c r="DO10" i="136" s="1"/>
  <c r="CL174" i="7"/>
  <c r="CL176" i="7"/>
  <c r="CL177" i="7" s="1"/>
  <c r="BJ69" i="6"/>
  <c r="S39" i="126"/>
  <c r="CK48" i="123"/>
  <c r="BE41" i="7"/>
  <c r="BE35" i="7" s="1"/>
  <c r="BD40" i="7"/>
  <c r="BE150" i="7"/>
  <c r="F13" i="61" s="1"/>
  <c r="BB51" i="9"/>
  <c r="BE51" i="9" s="1"/>
  <c r="BG51" i="9"/>
  <c r="E8" i="77"/>
  <c r="E4" i="77" s="1"/>
  <c r="F4" i="77"/>
  <c r="K12" i="65" s="1"/>
  <c r="O12" i="65" s="1"/>
  <c r="GM51" i="123"/>
  <c r="Y33" i="95"/>
  <c r="Y38" i="95" s="1"/>
  <c r="Y43" i="95" s="1"/>
  <c r="X38" i="95"/>
  <c r="X43" i="95" s="1"/>
  <c r="AO93" i="7"/>
  <c r="DP27" i="8"/>
  <c r="Z68" i="32"/>
  <c r="AB68" i="32" s="1"/>
  <c r="AB73" i="32" s="1"/>
  <c r="Q10" i="104" s="1"/>
  <c r="CK49" i="123"/>
  <c r="S40" i="126"/>
  <c r="EA49" i="123"/>
  <c r="CL48" i="123"/>
  <c r="T39" i="126"/>
  <c r="CG71" i="123"/>
  <c r="EF70" i="123"/>
  <c r="DK50" i="7"/>
  <c r="DK49" i="7" s="1"/>
  <c r="CG49" i="7"/>
  <c r="CG43" i="7" s="1"/>
  <c r="CZ14" i="136"/>
  <c r="CZ16" i="136" s="1"/>
  <c r="CZ7" i="136"/>
  <c r="BG51" i="72"/>
  <c r="BB51" i="72"/>
  <c r="BE51" i="72" s="1"/>
  <c r="BR51" i="72" s="1"/>
  <c r="BY51" i="72" s="1"/>
  <c r="BQ51" i="72"/>
  <c r="BX51" i="72" s="1"/>
  <c r="M93" i="56"/>
  <c r="AX130" i="8"/>
  <c r="AX137" i="8" s="1"/>
  <c r="AX138" i="8" s="1"/>
  <c r="DP39" i="123"/>
  <c r="FO51" i="123"/>
  <c r="GA51" i="123" s="1"/>
  <c r="DP43" i="123"/>
  <c r="EB43" i="123" s="1"/>
  <c r="FP39" i="123"/>
  <c r="FE39" i="123"/>
  <c r="CD61" i="123"/>
  <c r="EC61" i="123" s="1"/>
  <c r="AA52" i="126" s="1"/>
  <c r="CA61" i="123"/>
  <c r="AG41" i="126"/>
  <c r="GK50" i="123"/>
  <c r="FP61" i="123"/>
  <c r="GK58" i="123"/>
  <c r="AG49" i="126"/>
  <c r="CW61" i="123"/>
  <c r="DG61" i="123"/>
  <c r="DF61" i="123" s="1"/>
  <c r="EL48" i="123"/>
  <c r="GB48" i="123"/>
  <c r="AA39" i="126"/>
  <c r="AA29" i="126"/>
  <c r="EL38" i="123"/>
  <c r="GB38" i="123"/>
  <c r="DZ40" i="123"/>
  <c r="X31" i="126"/>
  <c r="EC40" i="123"/>
  <c r="EW61" i="123"/>
  <c r="EM61" i="123"/>
  <c r="FY38" i="123"/>
  <c r="AD29" i="126"/>
  <c r="U43" i="126"/>
  <c r="CM52" i="123"/>
  <c r="EC52" i="123"/>
  <c r="FP40" i="123"/>
  <c r="EV43" i="123"/>
  <c r="FF43" i="123"/>
  <c r="FO43" i="123" s="1"/>
  <c r="P34" i="126"/>
  <c r="BY43" i="123"/>
  <c r="AE36" i="126"/>
  <c r="GI45" i="123"/>
  <c r="P38" i="126"/>
  <c r="BY47" i="123"/>
  <c r="CB47" i="123"/>
  <c r="U34" i="126"/>
  <c r="EC43" i="123"/>
  <c r="CM43" i="123"/>
  <c r="FP43" i="123"/>
  <c r="T34" i="126"/>
  <c r="CL43" i="123"/>
  <c r="EV47" i="123"/>
  <c r="FF47" i="123"/>
  <c r="CB43" i="123"/>
  <c r="X34" i="126"/>
  <c r="DZ43" i="123"/>
  <c r="AG27" i="126"/>
  <c r="GK36" i="123"/>
  <c r="DF47" i="123"/>
  <c r="DO47" i="123" s="1"/>
  <c r="DP47" i="123"/>
  <c r="DF43" i="123"/>
  <c r="AF42" i="125"/>
  <c r="AF45" i="125"/>
  <c r="AF41" i="125"/>
  <c r="AC45" i="125"/>
  <c r="AE44" i="125"/>
  <c r="X44" i="125"/>
  <c r="AC52" i="125"/>
  <c r="D15" i="129"/>
  <c r="D19" i="129" s="1"/>
  <c r="D11" i="129"/>
  <c r="D20" i="129"/>
  <c r="AF38" i="125"/>
  <c r="CB171" i="122" l="1"/>
  <c r="CH171" i="122" s="1"/>
  <c r="AD57" i="121"/>
  <c r="AM57" i="121" s="1"/>
  <c r="ED119" i="8"/>
  <c r="ED121" i="8" s="1"/>
  <c r="AC57" i="121"/>
  <c r="EB50" i="121"/>
  <c r="BK62" i="120"/>
  <c r="BE64" i="120"/>
  <c r="BK64" i="120" s="1"/>
  <c r="BD62" i="120"/>
  <c r="AM122" i="120"/>
  <c r="AF122" i="120"/>
  <c r="AL122" i="120" s="1"/>
  <c r="BE122" i="120"/>
  <c r="D81" i="121"/>
  <c r="D78" i="121"/>
  <c r="CN29" i="120"/>
  <c r="BO195" i="120"/>
  <c r="BO28" i="120"/>
  <c r="AG79" i="122"/>
  <c r="AM79" i="122" s="1"/>
  <c r="AM77" i="122"/>
  <c r="AF77" i="122"/>
  <c r="AP77" i="122"/>
  <c r="AM203" i="120"/>
  <c r="AG207" i="120"/>
  <c r="AM207" i="120" s="1"/>
  <c r="AL57" i="121"/>
  <c r="EK50" i="121"/>
  <c r="AM238" i="120"/>
  <c r="AG270" i="120"/>
  <c r="AM270" i="120" s="1"/>
  <c r="H50" i="143"/>
  <c r="CC160" i="122"/>
  <c r="CI160" i="122" s="1"/>
  <c r="CI158" i="122"/>
  <c r="EH9" i="8"/>
  <c r="EB9" i="8"/>
  <c r="BD29" i="120"/>
  <c r="BJ29" i="120" s="1"/>
  <c r="BF28" i="120"/>
  <c r="BL28" i="120" s="1"/>
  <c r="BL29" i="120"/>
  <c r="BF195" i="120"/>
  <c r="ED17" i="8"/>
  <c r="ED61" i="8" s="1"/>
  <c r="ED63" i="8" s="1"/>
  <c r="CN57" i="121"/>
  <c r="CX57" i="121"/>
  <c r="Q35" i="120"/>
  <c r="V47" i="121"/>
  <c r="V76" i="121" s="1"/>
  <c r="M76" i="121"/>
  <c r="CP47" i="121"/>
  <c r="AQ224" i="120"/>
  <c r="AQ226" i="120" s="1"/>
  <c r="R79" i="122"/>
  <c r="Q77" i="122"/>
  <c r="Q79" i="122" s="1"/>
  <c r="R75" i="122"/>
  <c r="Q75" i="122" s="1"/>
  <c r="R207" i="120"/>
  <c r="AP59" i="121" s="1"/>
  <c r="AP55" i="121"/>
  <c r="AP28" i="122"/>
  <c r="BN26" i="122"/>
  <c r="AO26" i="122"/>
  <c r="L59" i="121"/>
  <c r="B59" i="121"/>
  <c r="BH57" i="121"/>
  <c r="AX57" i="121"/>
  <c r="Q28" i="122"/>
  <c r="AL37" i="120"/>
  <c r="AF238" i="120"/>
  <c r="AF204" i="120"/>
  <c r="AL204" i="120" s="1"/>
  <c r="BM58" i="120"/>
  <c r="BM60" i="120" s="1"/>
  <c r="BN60" i="120"/>
  <c r="CM60" i="120" s="1"/>
  <c r="CC22" i="122"/>
  <c r="EJ9" i="8"/>
  <c r="EJ8" i="8" s="1"/>
  <c r="EK8" i="8"/>
  <c r="CC21" i="122" s="1"/>
  <c r="BE36" i="120"/>
  <c r="AP203" i="120"/>
  <c r="AO36" i="120"/>
  <c r="AO203" i="120" s="1"/>
  <c r="AP64" i="120"/>
  <c r="AO62" i="120"/>
  <c r="AP61" i="120"/>
  <c r="BN62" i="120"/>
  <c r="CM62" i="120" s="1"/>
  <c r="AF28" i="122"/>
  <c r="AL28" i="122" s="1"/>
  <c r="AL26" i="122"/>
  <c r="L55" i="121"/>
  <c r="B55" i="121"/>
  <c r="AM98" i="122"/>
  <c r="AF98" i="122"/>
  <c r="AG100" i="122"/>
  <c r="AM100" i="122" s="1"/>
  <c r="AP98" i="122"/>
  <c r="BE239" i="120"/>
  <c r="BK239" i="120" s="1"/>
  <c r="BD38" i="120"/>
  <c r="BK38" i="120"/>
  <c r="BE205" i="120"/>
  <c r="BK205" i="120" s="1"/>
  <c r="R46" i="122"/>
  <c r="AG46" i="122" s="1"/>
  <c r="B46" i="122"/>
  <c r="C48" i="122"/>
  <c r="C158" i="122"/>
  <c r="AZ47" i="121"/>
  <c r="AQ76" i="121"/>
  <c r="AM33" i="120"/>
  <c r="AG35" i="120"/>
  <c r="AM35" i="120" s="1"/>
  <c r="AF33" i="120"/>
  <c r="AP33" i="120"/>
  <c r="T56" i="121"/>
  <c r="AC56" i="121" s="1"/>
  <c r="AD56" i="121"/>
  <c r="AL36" i="120"/>
  <c r="AF203" i="120"/>
  <c r="Q207" i="120"/>
  <c r="AN158" i="120"/>
  <c r="AH160" i="120"/>
  <c r="AN160" i="120" s="1"/>
  <c r="BF158" i="120"/>
  <c r="BE26" i="122"/>
  <c r="CH102" i="120"/>
  <c r="CB104" i="120"/>
  <c r="CH104" i="120" s="1"/>
  <c r="CB200" i="120"/>
  <c r="EE119" i="8"/>
  <c r="AP204" i="120"/>
  <c r="CO56" i="121" s="1"/>
  <c r="AO37" i="120"/>
  <c r="BN37" i="120"/>
  <c r="BN36" i="120" s="1"/>
  <c r="AP238" i="120"/>
  <c r="AP270" i="120" s="1"/>
  <c r="AO60" i="120"/>
  <c r="CK50" i="121"/>
  <c r="EA50" i="121"/>
  <c r="BN239" i="120"/>
  <c r="BN205" i="120"/>
  <c r="EN57" i="121" s="1"/>
  <c r="BM38" i="120"/>
  <c r="CC202" i="120"/>
  <c r="CI202" i="120" s="1"/>
  <c r="CI200" i="120"/>
  <c r="CH46" i="122"/>
  <c r="CB48" i="122"/>
  <c r="CH48" i="122" s="1"/>
  <c r="CB158" i="122"/>
  <c r="CM126" i="120"/>
  <c r="BM126" i="120"/>
  <c r="BM128" i="120" s="1"/>
  <c r="CL128" i="120" s="1"/>
  <c r="BN128" i="120"/>
  <c r="CM128" i="120" s="1"/>
  <c r="BN122" i="120"/>
  <c r="BM122" i="120" s="1"/>
  <c r="CL122" i="120" s="1"/>
  <c r="AX56" i="121"/>
  <c r="BH56" i="121"/>
  <c r="CM38" i="120"/>
  <c r="AO205" i="120"/>
  <c r="AO239" i="120"/>
  <c r="AL62" i="120"/>
  <c r="AF64" i="120"/>
  <c r="AL64" i="120" s="1"/>
  <c r="AH226" i="120"/>
  <c r="AN226" i="120" s="1"/>
  <c r="AN224" i="120"/>
  <c r="B75" i="122"/>
  <c r="AG28" i="120"/>
  <c r="R102" i="120"/>
  <c r="B102" i="120"/>
  <c r="C104" i="120"/>
  <c r="C98" i="120"/>
  <c r="C200" i="120"/>
  <c r="FE50" i="121"/>
  <c r="GM50" i="121" s="1"/>
  <c r="FO50" i="121"/>
  <c r="FX50" i="121" s="1"/>
  <c r="BN29" i="120"/>
  <c r="BM29" i="120" s="1"/>
  <c r="AO29" i="120"/>
  <c r="BE37" i="120"/>
  <c r="CM58" i="120"/>
  <c r="BD58" i="120"/>
  <c r="BE60" i="120"/>
  <c r="BK60" i="120" s="1"/>
  <c r="BK58" i="120"/>
  <c r="BJ126" i="120"/>
  <c r="BD128" i="120"/>
  <c r="BJ128" i="120" s="1"/>
  <c r="AN93" i="7"/>
  <c r="AN91" i="7"/>
  <c r="H98" i="7" s="1"/>
  <c r="DD14" i="19"/>
  <c r="EA14" i="19" s="1"/>
  <c r="FM49" i="19"/>
  <c r="EF59" i="7" s="1"/>
  <c r="AG116" i="122"/>
  <c r="R171" i="122"/>
  <c r="AP53" i="123" s="1"/>
  <c r="Q116" i="122"/>
  <c r="Q171" i="122" s="1"/>
  <c r="CC215" i="120"/>
  <c r="CI215" i="120" s="1"/>
  <c r="CB149" i="120"/>
  <c r="C149" i="120"/>
  <c r="CI149" i="120"/>
  <c r="C174" i="122"/>
  <c r="C56" i="123" s="1"/>
  <c r="R119" i="122"/>
  <c r="AG119" i="122" s="1"/>
  <c r="B119" i="122"/>
  <c r="B174" i="122" s="1"/>
  <c r="R151" i="120"/>
  <c r="C217" i="120"/>
  <c r="C69" i="121" s="1"/>
  <c r="B151" i="120"/>
  <c r="CC216" i="120"/>
  <c r="CI216" i="120" s="1"/>
  <c r="CB150" i="120"/>
  <c r="C150" i="120"/>
  <c r="CI150" i="120"/>
  <c r="C117" i="122"/>
  <c r="CC172" i="122"/>
  <c r="CI172" i="122" s="1"/>
  <c r="CB117" i="122"/>
  <c r="CI117" i="122"/>
  <c r="CB173" i="122"/>
  <c r="CH173" i="122" s="1"/>
  <c r="CH118" i="122"/>
  <c r="CB174" i="122"/>
  <c r="CH174" i="122" s="1"/>
  <c r="CH119" i="122"/>
  <c r="CB175" i="122"/>
  <c r="CH175" i="122" s="1"/>
  <c r="CH120" i="122"/>
  <c r="CB217" i="120"/>
  <c r="CH217" i="120" s="1"/>
  <c r="CH151" i="120"/>
  <c r="B118" i="122"/>
  <c r="B173" i="122" s="1"/>
  <c r="R118" i="122"/>
  <c r="AG118" i="122" s="1"/>
  <c r="C173" i="122"/>
  <c r="C55" i="123" s="1"/>
  <c r="B120" i="122"/>
  <c r="B175" i="122" s="1"/>
  <c r="C175" i="122"/>
  <c r="C57" i="123" s="1"/>
  <c r="R120" i="122"/>
  <c r="AG120" i="122" s="1"/>
  <c r="BH36" i="123"/>
  <c r="AX36" i="123"/>
  <c r="AP154" i="122"/>
  <c r="CO36" i="123" s="1"/>
  <c r="AO43" i="122"/>
  <c r="BN43" i="122"/>
  <c r="BM43" i="122" s="1"/>
  <c r="AF94" i="122"/>
  <c r="AL94" i="122" s="1"/>
  <c r="AM94" i="122"/>
  <c r="BD95" i="122"/>
  <c r="BJ95" i="122" s="1"/>
  <c r="BK95" i="122"/>
  <c r="BM23" i="122"/>
  <c r="CL23" i="122" s="1"/>
  <c r="AF154" i="122"/>
  <c r="AL154" i="122" s="1"/>
  <c r="BE43" i="122"/>
  <c r="BM95" i="122"/>
  <c r="CL95" i="122" s="1"/>
  <c r="AC36" i="123"/>
  <c r="BD23" i="122"/>
  <c r="BK23" i="122"/>
  <c r="BE80" i="122"/>
  <c r="BN80" i="122"/>
  <c r="AO80" i="122"/>
  <c r="AP75" i="122"/>
  <c r="AD36" i="123"/>
  <c r="AN90" i="7"/>
  <c r="M20" i="56" s="1"/>
  <c r="H20" i="56" s="1"/>
  <c r="H19" i="56" s="1"/>
  <c r="AN172" i="7"/>
  <c r="AN173" i="7" s="1"/>
  <c r="AO176" i="7"/>
  <c r="AO177" i="7" s="1"/>
  <c r="AL51" i="121"/>
  <c r="BG51" i="121"/>
  <c r="BP51" i="121" s="1"/>
  <c r="BY51" i="121" s="1"/>
  <c r="BQ51" i="121"/>
  <c r="BZ51" i="121" s="1"/>
  <c r="AM51" i="121"/>
  <c r="CW51" i="121"/>
  <c r="DG51" i="121"/>
  <c r="DF51" i="121" s="1"/>
  <c r="CL54" i="120"/>
  <c r="EM51" i="121"/>
  <c r="EW51" i="121"/>
  <c r="G49" i="143"/>
  <c r="K50" i="143"/>
  <c r="FN49" i="19"/>
  <c r="BS105" i="8"/>
  <c r="BS119" i="8" s="1"/>
  <c r="BS121" i="8" s="1"/>
  <c r="BU47" i="8"/>
  <c r="BW11" i="19"/>
  <c r="BX11" i="19" s="1"/>
  <c r="CA10" i="19"/>
  <c r="CA14" i="19" s="1"/>
  <c r="BX10" i="19"/>
  <c r="BX14" i="19" s="1"/>
  <c r="V44" i="96"/>
  <c r="DK19" i="7" s="1"/>
  <c r="DJ19" i="7" s="1"/>
  <c r="DJ151" i="7" s="1"/>
  <c r="BG13" i="65"/>
  <c r="AB34" i="96"/>
  <c r="Z37" i="96"/>
  <c r="Z35" i="96"/>
  <c r="BC13" i="65"/>
  <c r="AB19" i="96"/>
  <c r="Z22" i="96"/>
  <c r="Z20" i="96"/>
  <c r="AB29" i="96"/>
  <c r="Z32" i="96"/>
  <c r="Z30" i="96"/>
  <c r="Z17" i="96"/>
  <c r="AB14" i="96"/>
  <c r="Z15" i="96"/>
  <c r="AB24" i="96"/>
  <c r="Z27" i="96"/>
  <c r="Z25" i="96"/>
  <c r="EG176" i="7"/>
  <c r="EG177" i="7" s="1"/>
  <c r="EG174" i="7"/>
  <c r="BD10" i="65"/>
  <c r="DZ35" i="7"/>
  <c r="EA27" i="7"/>
  <c r="EA71" i="7" s="1"/>
  <c r="EA73" i="7" s="1"/>
  <c r="EA166" i="7"/>
  <c r="EA184" i="7"/>
  <c r="EA199" i="7" s="1"/>
  <c r="BX59" i="7"/>
  <c r="CW59" i="7" s="1"/>
  <c r="CW154" i="7" s="1"/>
  <c r="BW59" i="7"/>
  <c r="CG59" i="7" s="1"/>
  <c r="AM71" i="7"/>
  <c r="BS25" i="8"/>
  <c r="BS17" i="8"/>
  <c r="DQ25" i="8"/>
  <c r="DQ24" i="8" s="1"/>
  <c r="DB25" i="8"/>
  <c r="DB24" i="8" s="1"/>
  <c r="L30" i="56"/>
  <c r="L29" i="56" s="1"/>
  <c r="CE70" i="123"/>
  <c r="CE71" i="123" s="1"/>
  <c r="AI79" i="8"/>
  <c r="AI80" i="8" s="1"/>
  <c r="AW80" i="8" s="1"/>
  <c r="AY64" i="6"/>
  <c r="EI11" i="19"/>
  <c r="AK84" i="8"/>
  <c r="AK85" i="8" s="1"/>
  <c r="T104" i="7" s="1"/>
  <c r="GK47" i="123"/>
  <c r="AK81" i="8"/>
  <c r="AK125" i="8"/>
  <c r="AK126" i="8" s="1"/>
  <c r="M83" i="56" s="1"/>
  <c r="BW119" i="8"/>
  <c r="BW123" i="8" s="1"/>
  <c r="BZ10" i="19"/>
  <c r="BZ14" i="19" s="1"/>
  <c r="BY10" i="19"/>
  <c r="BY14" i="19" s="1"/>
  <c r="M43" i="125"/>
  <c r="AZ69" i="6"/>
  <c r="BE69" i="6" s="1"/>
  <c r="BW49" i="19"/>
  <c r="AZ95" i="6"/>
  <c r="BE95" i="6" s="1"/>
  <c r="AL93" i="7"/>
  <c r="BA93" i="7" s="1"/>
  <c r="AL88" i="7"/>
  <c r="AM88" i="7" s="1"/>
  <c r="BA89" i="7"/>
  <c r="AZ76" i="6"/>
  <c r="BA76" i="6" s="1"/>
  <c r="BA74" i="6" s="1"/>
  <c r="R72" i="68"/>
  <c r="AZ90" i="6"/>
  <c r="BE90" i="6" s="1"/>
  <c r="CX126" i="8"/>
  <c r="CX127" i="8" s="1"/>
  <c r="AX123" i="6"/>
  <c r="AX124" i="6" s="1"/>
  <c r="AW123" i="6"/>
  <c r="AW124" i="6" s="1"/>
  <c r="T72" i="68"/>
  <c r="AV123" i="6"/>
  <c r="AV124" i="6" s="1"/>
  <c r="CX121" i="8"/>
  <c r="AB57" i="126"/>
  <c r="CV33" i="7"/>
  <c r="CF33" i="7"/>
  <c r="BW27" i="7"/>
  <c r="AM154" i="7"/>
  <c r="BA154" i="7"/>
  <c r="W43" i="98"/>
  <c r="X36" i="125"/>
  <c r="AN12" i="65"/>
  <c r="AN10" i="65" s="1"/>
  <c r="AN9" i="65" s="1"/>
  <c r="AN44" i="65" s="1"/>
  <c r="CX152" i="8"/>
  <c r="CW96" i="8"/>
  <c r="CW17" i="8"/>
  <c r="U38" i="123"/>
  <c r="T38" i="123" s="1"/>
  <c r="K38" i="123"/>
  <c r="X19" i="98"/>
  <c r="X38" i="98" s="1"/>
  <c r="X42" i="98"/>
  <c r="AY38" i="123"/>
  <c r="AO38" i="123"/>
  <c r="FW66" i="123"/>
  <c r="T100" i="68"/>
  <c r="R100" i="68"/>
  <c r="AM43" i="98"/>
  <c r="AF59" i="65"/>
  <c r="AF63" i="65"/>
  <c r="AF65" i="65" s="1"/>
  <c r="DL9" i="8"/>
  <c r="DM138" i="8"/>
  <c r="AU12" i="65" s="1"/>
  <c r="DM65" i="8"/>
  <c r="DM64" i="8" s="1"/>
  <c r="DM96" i="8"/>
  <c r="DM8" i="8"/>
  <c r="AD59" i="125"/>
  <c r="AY100" i="6"/>
  <c r="AZ100" i="6" s="1"/>
  <c r="AA50" i="125"/>
  <c r="CV35" i="7"/>
  <c r="AC123" i="6"/>
  <c r="AC124" i="6" s="1"/>
  <c r="BA172" i="7"/>
  <c r="N46" i="125"/>
  <c r="AL90" i="7"/>
  <c r="BA90" i="7" s="1"/>
  <c r="AL91" i="7"/>
  <c r="AM91" i="7" s="1"/>
  <c r="F12" i="64"/>
  <c r="I12" i="64" s="1"/>
  <c r="CL61" i="123"/>
  <c r="AD74" i="6"/>
  <c r="AW121" i="8"/>
  <c r="D12" i="129"/>
  <c r="FW51" i="123"/>
  <c r="CK61" i="123"/>
  <c r="AA43" i="98"/>
  <c r="AA64" i="61"/>
  <c r="AA66" i="61" s="1"/>
  <c r="AA60" i="61"/>
  <c r="AB57" i="61"/>
  <c r="AA94" i="7"/>
  <c r="AP93" i="7"/>
  <c r="AQ93" i="7" s="1"/>
  <c r="AS93" i="7" s="1"/>
  <c r="AI93" i="7"/>
  <c r="CL141" i="8"/>
  <c r="AI15" i="65"/>
  <c r="DE49" i="19"/>
  <c r="DE66" i="19" s="1"/>
  <c r="AZ115" i="6"/>
  <c r="BA115" i="6" s="1"/>
  <c r="GA66" i="123"/>
  <c r="FX66" i="123"/>
  <c r="AC57" i="126"/>
  <c r="U50" i="125"/>
  <c r="BX42" i="8"/>
  <c r="BV46" i="8"/>
  <c r="BV42" i="8" s="1"/>
  <c r="BV104" i="8" s="1"/>
  <c r="BV119" i="8" s="1"/>
  <c r="BV121" i="8" s="1"/>
  <c r="GI66" i="123"/>
  <c r="AE57" i="126"/>
  <c r="AH15" i="65"/>
  <c r="AG13" i="65"/>
  <c r="AH13" i="65" s="1"/>
  <c r="BC60" i="61"/>
  <c r="BC64" i="61"/>
  <c r="BC66" i="61" s="1"/>
  <c r="AB50" i="125"/>
  <c r="DO61" i="123"/>
  <c r="DX61" i="123" s="1"/>
  <c r="CG7" i="135"/>
  <c r="Y50" i="125"/>
  <c r="X34" i="104"/>
  <c r="CM46" i="8"/>
  <c r="T39" i="104"/>
  <c r="DO12" i="136"/>
  <c r="AY74" i="6"/>
  <c r="GC76" i="123"/>
  <c r="GC65" i="123"/>
  <c r="AA52" i="95"/>
  <c r="AC52" i="95"/>
  <c r="P104" i="7"/>
  <c r="P106" i="7" s="1"/>
  <c r="L43" i="125"/>
  <c r="EE70" i="123"/>
  <c r="CF71" i="123"/>
  <c r="P51" i="126"/>
  <c r="BY60" i="123"/>
  <c r="CB60" i="123"/>
  <c r="EH11" i="19"/>
  <c r="Y34" i="125"/>
  <c r="BA66" i="6"/>
  <c r="BA64" i="6" s="1"/>
  <c r="T14" i="104"/>
  <c r="CG56" i="7"/>
  <c r="BE144" i="7"/>
  <c r="BE8" i="7"/>
  <c r="BE71" i="7" s="1"/>
  <c r="AV85" i="8"/>
  <c r="BT105" i="8"/>
  <c r="CL47" i="8"/>
  <c r="EA39" i="123"/>
  <c r="V30" i="126"/>
  <c r="DX39" i="123"/>
  <c r="X14" i="64"/>
  <c r="Y14" i="64" s="1"/>
  <c r="Y16" i="64"/>
  <c r="P29" i="56"/>
  <c r="K30" i="56"/>
  <c r="K29" i="56" s="1"/>
  <c r="T29" i="56" s="1"/>
  <c r="GJ51" i="123"/>
  <c r="AF42" i="126"/>
  <c r="EA48" i="123"/>
  <c r="Y39" i="126" s="1"/>
  <c r="FX51" i="123"/>
  <c r="AC42" i="126"/>
  <c r="EJ49" i="123"/>
  <c r="Y40" i="126"/>
  <c r="FZ49" i="123"/>
  <c r="I13" i="61"/>
  <c r="I12" i="61" s="1"/>
  <c r="M13" i="61"/>
  <c r="M12" i="61" s="1"/>
  <c r="K13" i="61"/>
  <c r="H13" i="61"/>
  <c r="H12" i="61" s="1"/>
  <c r="DK24" i="7"/>
  <c r="S36" i="125"/>
  <c r="Y42" i="126"/>
  <c r="EJ51" i="123"/>
  <c r="FZ51" i="123"/>
  <c r="AE14" i="66"/>
  <c r="CG18" i="7"/>
  <c r="AE47" i="95"/>
  <c r="AE52" i="95" s="1"/>
  <c r="CL14" i="8"/>
  <c r="BA11" i="136"/>
  <c r="AZ7" i="136"/>
  <c r="BA7" i="136" s="1"/>
  <c r="AJ43" i="95"/>
  <c r="AJ49" i="95"/>
  <c r="CV75" i="7" s="1"/>
  <c r="CM94" i="122"/>
  <c r="J102" i="56"/>
  <c r="J103" i="56" s="1"/>
  <c r="O103" i="56" s="1"/>
  <c r="O102" i="56" s="1"/>
  <c r="I104" i="56"/>
  <c r="G104" i="56" s="1"/>
  <c r="N104" i="56" s="1"/>
  <c r="L104" i="56" s="1"/>
  <c r="R102" i="56"/>
  <c r="BY8" i="7"/>
  <c r="BY144" i="7"/>
  <c r="CM75" i="122"/>
  <c r="P19" i="56"/>
  <c r="X19" i="56" s="1"/>
  <c r="K20" i="56"/>
  <c r="CA41" i="7"/>
  <c r="CA35" i="7" s="1"/>
  <c r="CA71" i="7" s="1"/>
  <c r="CA73" i="7" s="1"/>
  <c r="CA150" i="7"/>
  <c r="AM166" i="7"/>
  <c r="AL171" i="7"/>
  <c r="AM171" i="7" s="1"/>
  <c r="AL173" i="7"/>
  <c r="AS88" i="7"/>
  <c r="BC119" i="8"/>
  <c r="F13" i="66"/>
  <c r="BZ60" i="123"/>
  <c r="Q51" i="126"/>
  <c r="Z124" i="6"/>
  <c r="BW185" i="7"/>
  <c r="X14" i="61"/>
  <c r="Y14" i="61" s="1"/>
  <c r="BU174" i="7"/>
  <c r="BU176" i="7"/>
  <c r="BU177" i="7" s="1"/>
  <c r="DO7" i="136"/>
  <c r="BT88" i="7"/>
  <c r="BT90" i="7"/>
  <c r="BS86" i="7"/>
  <c r="BC65" i="6"/>
  <c r="BF65" i="6"/>
  <c r="BB65" i="6"/>
  <c r="BH65" i="6"/>
  <c r="BG65" i="6"/>
  <c r="AG12" i="65"/>
  <c r="BW152" i="8"/>
  <c r="BU93" i="7"/>
  <c r="BU94" i="7" s="1"/>
  <c r="BU91" i="7"/>
  <c r="FN48" i="123"/>
  <c r="BJ90" i="6"/>
  <c r="CH7" i="135"/>
  <c r="DL41" i="7"/>
  <c r="DL35" i="7" s="1"/>
  <c r="CH40" i="7"/>
  <c r="CH35" i="7" s="1"/>
  <c r="BW151" i="7"/>
  <c r="BV19" i="7"/>
  <c r="BT171" i="7"/>
  <c r="BS170" i="7"/>
  <c r="BT173" i="7"/>
  <c r="DH66" i="7"/>
  <c r="DJ11" i="135"/>
  <c r="DJ10" i="135"/>
  <c r="DK10" i="135" s="1"/>
  <c r="DJ12" i="135"/>
  <c r="DJ8" i="135"/>
  <c r="DJ14" i="135"/>
  <c r="X17" i="61"/>
  <c r="BW188" i="7"/>
  <c r="Y41" i="126"/>
  <c r="EJ50" i="123"/>
  <c r="DJ49" i="7"/>
  <c r="DJ43" i="7" s="1"/>
  <c r="DK43" i="7"/>
  <c r="H105" i="7"/>
  <c r="G105" i="7" s="1"/>
  <c r="G104" i="7" s="1"/>
  <c r="G106" i="7" s="1"/>
  <c r="AO94" i="7"/>
  <c r="H104" i="7" s="1"/>
  <c r="P10" i="56"/>
  <c r="CG25" i="7"/>
  <c r="CF24" i="7"/>
  <c r="K6" i="105"/>
  <c r="K15" i="105"/>
  <c r="K20" i="105" s="1"/>
  <c r="AO41" i="95"/>
  <c r="AO46" i="95" s="1"/>
  <c r="AO50" i="95" s="1"/>
  <c r="DL75" i="7" s="1"/>
  <c r="DL74" i="7" s="1"/>
  <c r="AO38" i="95"/>
  <c r="AO51" i="95" s="1"/>
  <c r="AO40" i="95"/>
  <c r="AO45" i="95" s="1"/>
  <c r="V34" i="125"/>
  <c r="T17" i="104"/>
  <c r="S23" i="104"/>
  <c r="V51" i="95"/>
  <c r="V18" i="95"/>
  <c r="V28" i="95" s="1"/>
  <c r="V47" i="95" s="1"/>
  <c r="AZ113" i="6"/>
  <c r="BB101" i="6"/>
  <c r="BB100" i="6" s="1"/>
  <c r="BA100" i="6"/>
  <c r="BF101" i="6"/>
  <c r="BC101" i="6"/>
  <c r="BC100" i="6" s="1"/>
  <c r="BG101" i="6"/>
  <c r="BG100" i="6" s="1"/>
  <c r="BH101" i="6"/>
  <c r="DY43" i="123"/>
  <c r="DX48" i="123"/>
  <c r="FY61" i="123"/>
  <c r="AD52" i="126"/>
  <c r="CM61" i="123"/>
  <c r="U52" i="126"/>
  <c r="BD41" i="7"/>
  <c r="BD35" i="7" s="1"/>
  <c r="BD71" i="7" s="1"/>
  <c r="BD150" i="7"/>
  <c r="BD166" i="7" s="1"/>
  <c r="CV24" i="7"/>
  <c r="BB79" i="8"/>
  <c r="BB81" i="8" s="1"/>
  <c r="BB78" i="8"/>
  <c r="Q47" i="125"/>
  <c r="BT61" i="8"/>
  <c r="BF9" i="7"/>
  <c r="AB52" i="95"/>
  <c r="CU19" i="7"/>
  <c r="CU151" i="7" s="1"/>
  <c r="CV151" i="7"/>
  <c r="U52" i="95"/>
  <c r="AF40" i="126"/>
  <c r="GJ49" i="123"/>
  <c r="EB39" i="123"/>
  <c r="T30" i="126"/>
  <c r="CL39" i="123"/>
  <c r="BZ185" i="7"/>
  <c r="AE14" i="61"/>
  <c r="AC68" i="32"/>
  <c r="AE68" i="32" s="1"/>
  <c r="AE70" i="32" s="1"/>
  <c r="J33" i="105"/>
  <c r="J25" i="105"/>
  <c r="CK7" i="136"/>
  <c r="CK14" i="136"/>
  <c r="CK16" i="136" s="1"/>
  <c r="BA39" i="8"/>
  <c r="AZ34" i="8"/>
  <c r="AZ101" i="8"/>
  <c r="G109" i="7"/>
  <c r="G98" i="7"/>
  <c r="BV144" i="7"/>
  <c r="BV8" i="7"/>
  <c r="AB70" i="32"/>
  <c r="DO15" i="8"/>
  <c r="BS8" i="8"/>
  <c r="CK15" i="8"/>
  <c r="CZ15" i="8"/>
  <c r="DM112" i="8"/>
  <c r="DL54" i="8"/>
  <c r="DL112" i="8" s="1"/>
  <c r="AD28" i="98"/>
  <c r="AC32" i="98"/>
  <c r="AC37" i="98" s="1"/>
  <c r="AC41" i="98" s="1"/>
  <c r="AC31" i="98"/>
  <c r="AC36" i="98" s="1"/>
  <c r="AC40" i="98" s="1"/>
  <c r="AC29" i="98"/>
  <c r="CW150" i="7"/>
  <c r="CT75" i="7"/>
  <c r="CT74" i="7" s="1"/>
  <c r="CT185" i="7"/>
  <c r="FO48" i="123"/>
  <c r="AN176" i="7"/>
  <c r="AN177" i="7" s="1"/>
  <c r="AN174" i="7"/>
  <c r="AD51" i="95"/>
  <c r="DU14" i="136"/>
  <c r="W15" i="95"/>
  <c r="W20" i="95" s="1"/>
  <c r="W30" i="95" s="1"/>
  <c r="W49" i="95" s="1"/>
  <c r="AB14" i="61" s="1"/>
  <c r="X10" i="95"/>
  <c r="W8" i="95"/>
  <c r="W13" i="95" s="1"/>
  <c r="DO15" i="135"/>
  <c r="BV56" i="7"/>
  <c r="BV52" i="7" s="1"/>
  <c r="BV153" i="7" s="1"/>
  <c r="BH114" i="6"/>
  <c r="BB114" i="6"/>
  <c r="BG114" i="6"/>
  <c r="BF114" i="6"/>
  <c r="BC114" i="6"/>
  <c r="S30" i="126"/>
  <c r="CK39" i="123"/>
  <c r="GM48" i="123"/>
  <c r="BG75" i="6"/>
  <c r="BB75" i="6"/>
  <c r="BH75" i="6"/>
  <c r="BF75" i="6"/>
  <c r="BC75" i="6"/>
  <c r="AZ173" i="7"/>
  <c r="DP14" i="8"/>
  <c r="GM50" i="123"/>
  <c r="FN50" i="123"/>
  <c r="AI43" i="95"/>
  <c r="AI49" i="95"/>
  <c r="W34" i="126"/>
  <c r="W30" i="126"/>
  <c r="DY39" i="123"/>
  <c r="M92" i="56"/>
  <c r="EF71" i="123"/>
  <c r="GE70" i="123"/>
  <c r="GE71" i="123" s="1"/>
  <c r="F11" i="65"/>
  <c r="BB119" i="8"/>
  <c r="DF60" i="123"/>
  <c r="DO60" i="123" s="1"/>
  <c r="DP60" i="123"/>
  <c r="L39" i="56"/>
  <c r="DA14" i="8"/>
  <c r="AC41" i="126"/>
  <c r="FX50" i="123"/>
  <c r="CA11" i="19"/>
  <c r="CA12" i="19" s="1"/>
  <c r="BY11" i="19"/>
  <c r="BZ11" i="19"/>
  <c r="T99" i="7"/>
  <c r="Q99" i="7" s="1"/>
  <c r="AN94" i="7"/>
  <c r="T98" i="7" s="1"/>
  <c r="M10" i="56"/>
  <c r="BZ41" i="7"/>
  <c r="BZ35" i="7" s="1"/>
  <c r="BZ150" i="7"/>
  <c r="AE14" i="64"/>
  <c r="AF16" i="64"/>
  <c r="CL7" i="136"/>
  <c r="CL14" i="136"/>
  <c r="CL16" i="136" s="1"/>
  <c r="BC84" i="8"/>
  <c r="BC85" i="8" s="1"/>
  <c r="BC81" i="8"/>
  <c r="BC78" i="8"/>
  <c r="BC80" i="8"/>
  <c r="AS91" i="7"/>
  <c r="EB48" i="123"/>
  <c r="W39" i="126"/>
  <c r="DY48" i="123"/>
  <c r="BU105" i="8"/>
  <c r="CM47" i="8"/>
  <c r="CM105" i="8" s="1"/>
  <c r="BU61" i="8"/>
  <c r="CF19" i="7"/>
  <c r="CF151" i="7" s="1"/>
  <c r="CG151" i="7"/>
  <c r="AG58" i="126"/>
  <c r="GK67" i="123"/>
  <c r="CC60" i="123"/>
  <c r="S8" i="104"/>
  <c r="S14" i="104" s="1"/>
  <c r="BZ56" i="7"/>
  <c r="EB14" i="19"/>
  <c r="EC14" i="19"/>
  <c r="EC10" i="19" s="1"/>
  <c r="EA10" i="19"/>
  <c r="AB34" i="98"/>
  <c r="AB38" i="98" s="1"/>
  <c r="AB42" i="98"/>
  <c r="CW27" i="7"/>
  <c r="AF66" i="125"/>
  <c r="AD47" i="95"/>
  <c r="FF60" i="123"/>
  <c r="EV60" i="123"/>
  <c r="AV127" i="8"/>
  <c r="L103" i="56"/>
  <c r="AV129" i="8"/>
  <c r="AB123" i="6"/>
  <c r="AB124" i="6" s="1"/>
  <c r="AD64" i="6"/>
  <c r="DK41" i="7"/>
  <c r="CG40" i="7"/>
  <c r="CG35" i="7" s="1"/>
  <c r="AG40" i="126"/>
  <c r="GK49" i="123"/>
  <c r="Z41" i="126"/>
  <c r="GA50" i="123"/>
  <c r="EK50" i="123"/>
  <c r="AE58" i="126"/>
  <c r="GI67" i="123"/>
  <c r="M60" i="125"/>
  <c r="FN39" i="123"/>
  <c r="GM39" i="123"/>
  <c r="FY39" i="123"/>
  <c r="AD30" i="126"/>
  <c r="GB39" i="123"/>
  <c r="DP61" i="123"/>
  <c r="GB61" i="123"/>
  <c r="EL61" i="123"/>
  <c r="AA31" i="126"/>
  <c r="GB40" i="123"/>
  <c r="EL40" i="123"/>
  <c r="AG29" i="126"/>
  <c r="GK38" i="123"/>
  <c r="FY40" i="123"/>
  <c r="AD31" i="126"/>
  <c r="AA43" i="126"/>
  <c r="GB52" i="123"/>
  <c r="EL52" i="123"/>
  <c r="FF61" i="123"/>
  <c r="EV61" i="123"/>
  <c r="AG39" i="126"/>
  <c r="GK48" i="123"/>
  <c r="V38" i="126"/>
  <c r="DX47" i="123"/>
  <c r="AC34" i="126"/>
  <c r="FX43" i="123"/>
  <c r="GA43" i="123"/>
  <c r="Z34" i="126"/>
  <c r="EK43" i="123"/>
  <c r="AD34" i="126"/>
  <c r="FY43" i="123"/>
  <c r="AA34" i="126"/>
  <c r="GB43" i="123"/>
  <c r="EL43" i="123"/>
  <c r="EA47" i="123"/>
  <c r="S38" i="126"/>
  <c r="CK47" i="123"/>
  <c r="W38" i="126"/>
  <c r="DY47" i="123"/>
  <c r="EB47" i="123"/>
  <c r="S34" i="126"/>
  <c r="CK43" i="123"/>
  <c r="FE47" i="123"/>
  <c r="FN47" i="123" s="1"/>
  <c r="FO47" i="123"/>
  <c r="DO43" i="123"/>
  <c r="FE43" i="123"/>
  <c r="D21" i="129"/>
  <c r="AD44" i="125"/>
  <c r="AC65" i="125"/>
  <c r="AF52" i="125"/>
  <c r="D16" i="129"/>
  <c r="BX12" i="19" l="1"/>
  <c r="CL60" i="120"/>
  <c r="AG75" i="122"/>
  <c r="DD10" i="19"/>
  <c r="DD11" i="19" s="1"/>
  <c r="CL58" i="120"/>
  <c r="CM29" i="120"/>
  <c r="ED70" i="123"/>
  <c r="GC70" i="123" s="1"/>
  <c r="GC71" i="123" s="1"/>
  <c r="BN203" i="120"/>
  <c r="BM36" i="120"/>
  <c r="CM36" i="120"/>
  <c r="AL56" i="121"/>
  <c r="BD37" i="120"/>
  <c r="BK37" i="120"/>
  <c r="BE238" i="120"/>
  <c r="BE204" i="120"/>
  <c r="BK204" i="120" s="1"/>
  <c r="B200" i="120"/>
  <c r="B202" i="120" s="1"/>
  <c r="B104" i="120"/>
  <c r="BI47" i="121"/>
  <c r="BI76" i="121" s="1"/>
  <c r="AZ76" i="121"/>
  <c r="U55" i="121"/>
  <c r="T55" i="121" s="1"/>
  <c r="K55" i="121"/>
  <c r="BG57" i="121"/>
  <c r="BP57" i="121" s="1"/>
  <c r="BQ57" i="121"/>
  <c r="AO55" i="121"/>
  <c r="AY55" i="121"/>
  <c r="BL195" i="120"/>
  <c r="BF224" i="120"/>
  <c r="AF79" i="122"/>
  <c r="AL79" i="122" s="1"/>
  <c r="AL77" i="122"/>
  <c r="EO47" i="121"/>
  <c r="BO224" i="120"/>
  <c r="BO226" i="120" s="1"/>
  <c r="BK122" i="120"/>
  <c r="BD122" i="120"/>
  <c r="BJ122" i="120" s="1"/>
  <c r="Q102" i="120"/>
  <c r="R104" i="120"/>
  <c r="R98" i="120"/>
  <c r="Q98" i="120" s="1"/>
  <c r="R200" i="120"/>
  <c r="CB160" i="122"/>
  <c r="CH160" i="122" s="1"/>
  <c r="CH158" i="122"/>
  <c r="AO204" i="120"/>
  <c r="AO207" i="120" s="1"/>
  <c r="AO238" i="120"/>
  <c r="AO270" i="120" s="1"/>
  <c r="BK26" i="122"/>
  <c r="BE28" i="122"/>
  <c r="BK28" i="122" s="1"/>
  <c r="BD26" i="122"/>
  <c r="AM56" i="121"/>
  <c r="AF46" i="122"/>
  <c r="AM46" i="122"/>
  <c r="AG48" i="122"/>
  <c r="AM48" i="122" s="1"/>
  <c r="AP46" i="122"/>
  <c r="BE46" i="122" s="1"/>
  <c r="AG158" i="122"/>
  <c r="BN98" i="122"/>
  <c r="AO98" i="122"/>
  <c r="AP100" i="122"/>
  <c r="AP94" i="122"/>
  <c r="BN64" i="120"/>
  <c r="CM64" i="120" s="1"/>
  <c r="BM62" i="120"/>
  <c r="BM64" i="120" s="1"/>
  <c r="BN61" i="120"/>
  <c r="BM61" i="120" s="1"/>
  <c r="CB21" i="122"/>
  <c r="CH21" i="122" s="1"/>
  <c r="CI21" i="122"/>
  <c r="AO28" i="122"/>
  <c r="AY59" i="121"/>
  <c r="AO59" i="121"/>
  <c r="V81" i="121"/>
  <c r="V78" i="121"/>
  <c r="DG57" i="121"/>
  <c r="CW57" i="121"/>
  <c r="EG9" i="8"/>
  <c r="EG8" i="8" s="1"/>
  <c r="EH8" i="8"/>
  <c r="GA50" i="121"/>
  <c r="GJ50" i="121" s="1"/>
  <c r="FN50" i="121"/>
  <c r="FW50" i="121" s="1"/>
  <c r="B98" i="120"/>
  <c r="BN204" i="120"/>
  <c r="EN56" i="121" s="1"/>
  <c r="BM37" i="120"/>
  <c r="CL37" i="120" s="1"/>
  <c r="BN238" i="120"/>
  <c r="BN270" i="120" s="1"/>
  <c r="BN33" i="120"/>
  <c r="BN28" i="120" s="1"/>
  <c r="BM28" i="120" s="1"/>
  <c r="AP35" i="120"/>
  <c r="AO33" i="120"/>
  <c r="AL98" i="122"/>
  <c r="AF100" i="122"/>
  <c r="AL100" i="122" s="1"/>
  <c r="BE203" i="120"/>
  <c r="BD36" i="120"/>
  <c r="BK36" i="120"/>
  <c r="M78" i="121"/>
  <c r="M81" i="121"/>
  <c r="EA9" i="8"/>
  <c r="EA8" i="8" s="1"/>
  <c r="EB8" i="8"/>
  <c r="BD64" i="120"/>
  <c r="BJ64" i="120" s="1"/>
  <c r="BJ62" i="120"/>
  <c r="BJ58" i="120"/>
  <c r="BD60" i="120"/>
  <c r="BJ60" i="120" s="1"/>
  <c r="CL29" i="120"/>
  <c r="AG102" i="120"/>
  <c r="AF28" i="120"/>
  <c r="AL28" i="120" s="1"/>
  <c r="AM28" i="120"/>
  <c r="AE47" i="121"/>
  <c r="CL126" i="120"/>
  <c r="CL38" i="120"/>
  <c r="BM239" i="120"/>
  <c r="BM205" i="120"/>
  <c r="EJ50" i="121"/>
  <c r="CM37" i="120"/>
  <c r="CN56" i="121"/>
  <c r="CX56" i="121"/>
  <c r="CB202" i="120"/>
  <c r="CH202" i="120" s="1"/>
  <c r="CH200" i="120"/>
  <c r="BL158" i="120"/>
  <c r="BF160" i="120"/>
  <c r="BL160" i="120" s="1"/>
  <c r="BE33" i="120"/>
  <c r="BE28" i="120" s="1"/>
  <c r="B48" i="122"/>
  <c r="B158" i="122"/>
  <c r="B160" i="122" s="1"/>
  <c r="BD239" i="120"/>
  <c r="BJ239" i="120" s="1"/>
  <c r="BD205" i="120"/>
  <c r="BJ205" i="120" s="1"/>
  <c r="BJ38" i="120"/>
  <c r="AO61" i="120"/>
  <c r="BE61" i="120"/>
  <c r="CO55" i="121"/>
  <c r="AP207" i="120"/>
  <c r="CO59" i="121" s="1"/>
  <c r="BM26" i="122"/>
  <c r="BN28" i="122"/>
  <c r="CM122" i="120"/>
  <c r="C52" i="121"/>
  <c r="C202" i="120"/>
  <c r="AF75" i="122"/>
  <c r="AL75" i="122" s="1"/>
  <c r="AM75" i="122"/>
  <c r="BG56" i="121"/>
  <c r="BP56" i="121" s="1"/>
  <c r="BY56" i="121" s="1"/>
  <c r="BQ56" i="121"/>
  <c r="BZ56" i="121" s="1"/>
  <c r="EW57" i="121"/>
  <c r="EM57" i="121"/>
  <c r="EE123" i="8"/>
  <c r="EE121" i="8"/>
  <c r="AF207" i="120"/>
  <c r="AL207" i="120" s="1"/>
  <c r="AL203" i="120"/>
  <c r="AF35" i="120"/>
  <c r="AL35" i="120" s="1"/>
  <c r="AL33" i="120"/>
  <c r="AQ81" i="121"/>
  <c r="AQ78" i="121"/>
  <c r="C160" i="122"/>
  <c r="C40" i="123"/>
  <c r="Q46" i="122"/>
  <c r="R48" i="122"/>
  <c r="R158" i="122"/>
  <c r="BE98" i="122"/>
  <c r="AO64" i="120"/>
  <c r="AP28" i="120"/>
  <c r="C22" i="122"/>
  <c r="CB22" i="122"/>
  <c r="CH22" i="122" s="1"/>
  <c r="CI22" i="122"/>
  <c r="AL238" i="120"/>
  <c r="AF270" i="120"/>
  <c r="AL270" i="120" s="1"/>
  <c r="K59" i="121"/>
  <c r="U59" i="121"/>
  <c r="CY47" i="121"/>
  <c r="CP76" i="121"/>
  <c r="BE77" i="122"/>
  <c r="AO77" i="122"/>
  <c r="BN77" i="122"/>
  <c r="AP79" i="122"/>
  <c r="BO158" i="120"/>
  <c r="CN28" i="120"/>
  <c r="M19" i="56"/>
  <c r="BY12" i="19"/>
  <c r="AM120" i="122"/>
  <c r="AG175" i="122"/>
  <c r="AM175" i="122" s="1"/>
  <c r="AF120" i="122"/>
  <c r="AP120" i="122"/>
  <c r="AG151" i="120"/>
  <c r="R217" i="120"/>
  <c r="AP69" i="121" s="1"/>
  <c r="Q151" i="120"/>
  <c r="Q217" i="120" s="1"/>
  <c r="FN50" i="19"/>
  <c r="EK47" i="8"/>
  <c r="R173" i="122"/>
  <c r="AP55" i="123" s="1"/>
  <c r="Q118" i="122"/>
  <c r="Q173" i="122" s="1"/>
  <c r="CB172" i="122"/>
  <c r="CH172" i="122" s="1"/>
  <c r="CH117" i="122"/>
  <c r="AM119" i="122"/>
  <c r="AF119" i="122"/>
  <c r="AG174" i="122"/>
  <c r="AM174" i="122" s="1"/>
  <c r="AP119" i="122"/>
  <c r="CC148" i="120"/>
  <c r="EE59" i="7"/>
  <c r="EE154" i="7" s="1"/>
  <c r="EF154" i="7"/>
  <c r="C215" i="120"/>
  <c r="C67" i="121" s="1"/>
  <c r="B149" i="120"/>
  <c r="R149" i="120"/>
  <c r="C216" i="120"/>
  <c r="C68" i="121" s="1"/>
  <c r="R150" i="120"/>
  <c r="B150" i="120"/>
  <c r="B217" i="120"/>
  <c r="EH59" i="7"/>
  <c r="EJ154" i="7"/>
  <c r="EJ184" i="7" s="1"/>
  <c r="BD12" i="64" s="1"/>
  <c r="EJ71" i="7"/>
  <c r="EJ73" i="7" s="1"/>
  <c r="CB215" i="120"/>
  <c r="CH215" i="120" s="1"/>
  <c r="CH149" i="120"/>
  <c r="R175" i="122"/>
  <c r="AP57" i="123" s="1"/>
  <c r="Q120" i="122"/>
  <c r="Q175" i="122" s="1"/>
  <c r="AM118" i="122"/>
  <c r="AG173" i="122"/>
  <c r="AM173" i="122" s="1"/>
  <c r="AF118" i="122"/>
  <c r="AP118" i="122"/>
  <c r="BE118" i="122" s="1"/>
  <c r="C172" i="122"/>
  <c r="C54" i="123" s="1"/>
  <c r="R117" i="122"/>
  <c r="B117" i="122"/>
  <c r="B172" i="122" s="1"/>
  <c r="CB216" i="120"/>
  <c r="CH216" i="120" s="1"/>
  <c r="CH150" i="120"/>
  <c r="L69" i="121"/>
  <c r="B69" i="121"/>
  <c r="R174" i="122"/>
  <c r="AP56" i="123" s="1"/>
  <c r="Q119" i="122"/>
  <c r="Q174" i="122" s="1"/>
  <c r="AM116" i="122"/>
  <c r="AG171" i="122"/>
  <c r="AM171" i="122" s="1"/>
  <c r="AF116" i="122"/>
  <c r="AP116" i="122"/>
  <c r="BM80" i="122"/>
  <c r="CL80" i="122" s="1"/>
  <c r="BN75" i="122"/>
  <c r="BM75" i="122" s="1"/>
  <c r="BJ23" i="122"/>
  <c r="AM36" i="123"/>
  <c r="N27" i="126"/>
  <c r="BK80" i="122"/>
  <c r="BD80" i="122"/>
  <c r="BJ80" i="122" s="1"/>
  <c r="M27" i="126"/>
  <c r="AL36" i="123"/>
  <c r="BG36" i="123"/>
  <c r="BP36" i="123" s="1"/>
  <c r="BQ36" i="123"/>
  <c r="AO75" i="122"/>
  <c r="BE75" i="122"/>
  <c r="BE154" i="122"/>
  <c r="BK154" i="122" s="1"/>
  <c r="BN154" i="122"/>
  <c r="EN36" i="123" s="1"/>
  <c r="AO154" i="122"/>
  <c r="CL43" i="122"/>
  <c r="BD43" i="122"/>
  <c r="BJ43" i="122" s="1"/>
  <c r="BK43" i="122"/>
  <c r="CX36" i="123"/>
  <c r="CN36" i="123"/>
  <c r="DK7" i="135"/>
  <c r="DK15" i="135" s="1"/>
  <c r="DK66" i="7" s="1"/>
  <c r="DL10" i="135"/>
  <c r="DO51" i="121"/>
  <c r="DX51" i="121" s="1"/>
  <c r="CB51" i="121"/>
  <c r="CC51" i="121"/>
  <c r="EV51" i="121"/>
  <c r="FF51" i="121"/>
  <c r="FE51" i="121" s="1"/>
  <c r="DP51" i="121"/>
  <c r="DY51" i="121" s="1"/>
  <c r="F50" i="143"/>
  <c r="D50" i="143" s="1"/>
  <c r="E50" i="143" s="1"/>
  <c r="J51" i="143"/>
  <c r="I51" i="143"/>
  <c r="FM50" i="19"/>
  <c r="DK151" i="7"/>
  <c r="AB22" i="96"/>
  <c r="AB20" i="96"/>
  <c r="AB17" i="96"/>
  <c r="AB15" i="96"/>
  <c r="AB32" i="96"/>
  <c r="AB30" i="96"/>
  <c r="Z44" i="96"/>
  <c r="DW19" i="7" s="1"/>
  <c r="AB27" i="96"/>
  <c r="AB25" i="96"/>
  <c r="AB37" i="96"/>
  <c r="AB35" i="96"/>
  <c r="CH59" i="7"/>
  <c r="CH154" i="7" s="1"/>
  <c r="DL59" i="7"/>
  <c r="DL154" i="7" s="1"/>
  <c r="BX71" i="7"/>
  <c r="BX86" i="7" s="1"/>
  <c r="BX90" i="7" s="1"/>
  <c r="BD9" i="65"/>
  <c r="EA170" i="7"/>
  <c r="EA168" i="7"/>
  <c r="CV32" i="7"/>
  <c r="CV27" i="7" s="1"/>
  <c r="DZ33" i="7"/>
  <c r="BX154" i="7"/>
  <c r="BX184" i="7" s="1"/>
  <c r="X12" i="64" s="1"/>
  <c r="BB12" i="64" s="1"/>
  <c r="BB11" i="64" s="1"/>
  <c r="BW154" i="7"/>
  <c r="X13" i="61" s="1"/>
  <c r="BW13" i="61" s="1"/>
  <c r="BW71" i="7"/>
  <c r="BW73" i="7" s="1"/>
  <c r="BS61" i="8"/>
  <c r="BS80" i="8" s="1"/>
  <c r="BS81" i="8" s="1"/>
  <c r="AK129" i="8"/>
  <c r="AK130" i="8" s="1"/>
  <c r="AK127" i="8"/>
  <c r="M47" i="125"/>
  <c r="EI49" i="19"/>
  <c r="DP47" i="8" s="1"/>
  <c r="M12" i="64"/>
  <c r="M11" i="64" s="1"/>
  <c r="M10" i="64" s="1"/>
  <c r="M32" i="64" s="1"/>
  <c r="V36" i="125"/>
  <c r="AW79" i="8"/>
  <c r="AI84" i="8"/>
  <c r="AW84" i="8" s="1"/>
  <c r="T105" i="7"/>
  <c r="Q105" i="7" s="1"/>
  <c r="Q104" i="7" s="1"/>
  <c r="T119" i="7" s="1"/>
  <c r="AI125" i="8"/>
  <c r="AJ125" i="8" s="1"/>
  <c r="DB101" i="8"/>
  <c r="DB137" i="8" s="1"/>
  <c r="CZ24" i="8"/>
  <c r="DQ101" i="8"/>
  <c r="DQ137" i="8" s="1"/>
  <c r="DO24" i="8"/>
  <c r="AI81" i="8"/>
  <c r="AJ81" i="8" s="1"/>
  <c r="L10" i="56"/>
  <c r="L9" i="56" s="1"/>
  <c r="U9" i="56" s="1"/>
  <c r="L47" i="125"/>
  <c r="DO25" i="8"/>
  <c r="CK25" i="8"/>
  <c r="CZ25" i="8"/>
  <c r="BW121" i="8"/>
  <c r="AZ64" i="6"/>
  <c r="BZ12" i="19"/>
  <c r="BA88" i="7"/>
  <c r="K12" i="64"/>
  <c r="K11" i="64" s="1"/>
  <c r="K23" i="64" s="1"/>
  <c r="U36" i="125"/>
  <c r="AM93" i="7"/>
  <c r="H12" i="64"/>
  <c r="H11" i="64" s="1"/>
  <c r="H10" i="64" s="1"/>
  <c r="AL94" i="7"/>
  <c r="AM94" i="7" s="1"/>
  <c r="X34" i="125"/>
  <c r="CX129" i="8"/>
  <c r="CX130" i="8" s="1"/>
  <c r="AY123" i="6"/>
  <c r="AY124" i="6"/>
  <c r="CG33" i="7"/>
  <c r="CF32" i="7"/>
  <c r="CF27" i="7" s="1"/>
  <c r="DJ33" i="7"/>
  <c r="CH33" i="7"/>
  <c r="AD38" i="123"/>
  <c r="AM38" i="123" s="1"/>
  <c r="X43" i="98"/>
  <c r="BH38" i="123"/>
  <c r="BG38" i="123" s="1"/>
  <c r="AX38" i="123"/>
  <c r="AC38" i="123"/>
  <c r="EJ48" i="123"/>
  <c r="AZ74" i="6"/>
  <c r="DA47" i="8"/>
  <c r="DA105" i="8" s="1"/>
  <c r="DD49" i="19"/>
  <c r="CV59" i="7" s="1"/>
  <c r="DL96" i="8"/>
  <c r="DL8" i="8"/>
  <c r="EH49" i="19"/>
  <c r="BD65" i="6"/>
  <c r="BE65" i="6" s="1"/>
  <c r="BA91" i="7"/>
  <c r="M46" i="125"/>
  <c r="D17" i="129"/>
  <c r="D22" i="129" s="1"/>
  <c r="EA61" i="123"/>
  <c r="Y52" i="126" s="1"/>
  <c r="L20" i="56"/>
  <c r="G20" i="56" s="1"/>
  <c r="G19" i="56" s="1"/>
  <c r="Q19" i="56" s="1"/>
  <c r="V52" i="126"/>
  <c r="AM90" i="7"/>
  <c r="AF14" i="61"/>
  <c r="L46" i="125"/>
  <c r="BB84" i="8"/>
  <c r="AZ88" i="8" s="1"/>
  <c r="BC88" i="8" s="1"/>
  <c r="BC87" i="8" s="1"/>
  <c r="BY87" i="8" s="1"/>
  <c r="BB80" i="8"/>
  <c r="BD100" i="6"/>
  <c r="BE100" i="6" s="1"/>
  <c r="BD114" i="6"/>
  <c r="BE114" i="6" s="1"/>
  <c r="CY46" i="8"/>
  <c r="X39" i="104"/>
  <c r="AF57" i="126"/>
  <c r="GJ66" i="123"/>
  <c r="AB58" i="61"/>
  <c r="AB63" i="61"/>
  <c r="AA65" i="125"/>
  <c r="AE50" i="125"/>
  <c r="DJ13" i="135"/>
  <c r="DJ7" i="135" s="1"/>
  <c r="BX104" i="8"/>
  <c r="BX61" i="8"/>
  <c r="BX63" i="8" s="1"/>
  <c r="CM42" i="8"/>
  <c r="CM104" i="8" s="1"/>
  <c r="CM141" i="8" s="1"/>
  <c r="AG17" i="66" s="1"/>
  <c r="CK46" i="8"/>
  <c r="CK42" i="8" s="1"/>
  <c r="CK104" i="8" s="1"/>
  <c r="X50" i="125"/>
  <c r="AJ15" i="65"/>
  <c r="AQ15" i="65"/>
  <c r="AI13" i="65"/>
  <c r="AO15" i="65"/>
  <c r="AP94" i="7"/>
  <c r="AQ94" i="7" s="1"/>
  <c r="AR94" i="7" s="1"/>
  <c r="S98" i="7"/>
  <c r="S99" i="7" s="1"/>
  <c r="P99" i="7" s="1"/>
  <c r="P98" i="7" s="1"/>
  <c r="P100" i="7" s="1"/>
  <c r="AI94" i="7"/>
  <c r="BV61" i="8"/>
  <c r="BV63" i="8" s="1"/>
  <c r="AF14" i="64"/>
  <c r="Q46" i="125"/>
  <c r="BZ49" i="19"/>
  <c r="GD70" i="123"/>
  <c r="GD71" i="123" s="1"/>
  <c r="EE71" i="123"/>
  <c r="BD101" i="6"/>
  <c r="BE101" i="6" s="1"/>
  <c r="V52" i="95"/>
  <c r="L42" i="125"/>
  <c r="BD171" i="7"/>
  <c r="EC11" i="19"/>
  <c r="EC49" i="19" s="1"/>
  <c r="DI59" i="7" s="1"/>
  <c r="DY60" i="123"/>
  <c r="W51" i="126"/>
  <c r="CS75" i="7"/>
  <c r="CS74" i="7" s="1"/>
  <c r="CS185" i="7"/>
  <c r="CS199" i="7" s="1"/>
  <c r="AU22" i="65"/>
  <c r="AU13" i="65" s="1"/>
  <c r="AV13" i="65" s="1"/>
  <c r="DM145" i="8"/>
  <c r="AH12" i="65"/>
  <c r="AG10" i="65"/>
  <c r="I37" i="61"/>
  <c r="I11" i="61" s="1"/>
  <c r="I47" i="61" s="1"/>
  <c r="I32" i="61"/>
  <c r="L93" i="56"/>
  <c r="AV130" i="8"/>
  <c r="H10" i="56"/>
  <c r="H9" i="56" s="1"/>
  <c r="M9" i="56"/>
  <c r="T47" i="125"/>
  <c r="N12" i="64"/>
  <c r="T46" i="125"/>
  <c r="BV151" i="7"/>
  <c r="BV166" i="7" s="1"/>
  <c r="BV168" i="7" s="1"/>
  <c r="BV17" i="7"/>
  <c r="BV71" i="7" s="1"/>
  <c r="BV73" i="7" s="1"/>
  <c r="BC126" i="8"/>
  <c r="BC121" i="8"/>
  <c r="BD88" i="7"/>
  <c r="CF18" i="7"/>
  <c r="CG144" i="7"/>
  <c r="H32" i="61"/>
  <c r="AC46" i="125"/>
  <c r="CG52" i="7"/>
  <c r="CG153" i="7" s="1"/>
  <c r="CK60" i="123"/>
  <c r="S51" i="126"/>
  <c r="EA60" i="123"/>
  <c r="CZ14" i="8"/>
  <c r="DA101" i="8"/>
  <c r="X15" i="95"/>
  <c r="X20" i="95" s="1"/>
  <c r="X30" i="95" s="1"/>
  <c r="X49" i="95" s="1"/>
  <c r="AC14" i="61" s="1"/>
  <c r="Y10" i="95"/>
  <c r="X8" i="95"/>
  <c r="X13" i="95" s="1"/>
  <c r="BA101" i="8"/>
  <c r="AZ119" i="8"/>
  <c r="Z30" i="126"/>
  <c r="EK39" i="123"/>
  <c r="GA39" i="123"/>
  <c r="Y17" i="61"/>
  <c r="X15" i="61"/>
  <c r="Y15" i="61" s="1"/>
  <c r="FW48" i="123"/>
  <c r="AB39" i="126"/>
  <c r="BT91" i="7"/>
  <c r="BT93" i="7"/>
  <c r="BT94" i="7" s="1"/>
  <c r="F12" i="66"/>
  <c r="K13" i="66"/>
  <c r="K12" i="66" s="1"/>
  <c r="I13" i="66"/>
  <c r="H13" i="66"/>
  <c r="H12" i="66" s="1"/>
  <c r="M13" i="66"/>
  <c r="M12" i="66" s="1"/>
  <c r="DJ24" i="7"/>
  <c r="F14" i="61"/>
  <c r="F12" i="61" s="1"/>
  <c r="BE166" i="7"/>
  <c r="GK61" i="123"/>
  <c r="AG52" i="126"/>
  <c r="BY56" i="7"/>
  <c r="BY52" i="7" s="1"/>
  <c r="BY153" i="7" s="1"/>
  <c r="BY166" i="7" s="1"/>
  <c r="BY168" i="7" s="1"/>
  <c r="BZ52" i="7"/>
  <c r="BZ153" i="7" s="1"/>
  <c r="BU137" i="8"/>
  <c r="BU119" i="8"/>
  <c r="DA8" i="8"/>
  <c r="DO14" i="8"/>
  <c r="DP101" i="8"/>
  <c r="BD75" i="6"/>
  <c r="BE75" i="6" s="1"/>
  <c r="CA49" i="19"/>
  <c r="G100" i="7"/>
  <c r="T100" i="7"/>
  <c r="BA34" i="8"/>
  <c r="AZ61" i="8"/>
  <c r="AF41" i="126"/>
  <c r="GJ50" i="123"/>
  <c r="DK40" i="7"/>
  <c r="AD52" i="95"/>
  <c r="AB43" i="98"/>
  <c r="AE73" i="32"/>
  <c r="R10" i="104" s="1"/>
  <c r="K11" i="65"/>
  <c r="F10" i="65"/>
  <c r="M11" i="65"/>
  <c r="M10" i="65" s="1"/>
  <c r="M31" i="65" s="1"/>
  <c r="R11" i="65"/>
  <c r="R10" i="65" s="1"/>
  <c r="I11" i="65"/>
  <c r="H11" i="65"/>
  <c r="H10" i="65" s="1"/>
  <c r="DP8" i="8"/>
  <c r="BJ75" i="6"/>
  <c r="BJ114" i="6"/>
  <c r="BK114" i="6"/>
  <c r="AN47" i="65"/>
  <c r="X39" i="56"/>
  <c r="CK14" i="8"/>
  <c r="AB34" i="125"/>
  <c r="G110" i="7"/>
  <c r="H109" i="7"/>
  <c r="J35" i="105"/>
  <c r="P17" i="104" s="1"/>
  <c r="P23" i="104" s="1"/>
  <c r="AB16" i="64" s="1"/>
  <c r="AB14" i="64" s="1"/>
  <c r="J34" i="105"/>
  <c r="P8" i="104" s="1"/>
  <c r="P14" i="104" s="1"/>
  <c r="AB17" i="61" s="1"/>
  <c r="AB15" i="61" s="1"/>
  <c r="V19" i="56"/>
  <c r="V39" i="56"/>
  <c r="BA171" i="7"/>
  <c r="CH56" i="7"/>
  <c r="CH52" i="7" s="1"/>
  <c r="CH153" i="7" s="1"/>
  <c r="CH188" i="7" s="1"/>
  <c r="AG16" i="64" s="1"/>
  <c r="T23" i="104"/>
  <c r="AO43" i="95"/>
  <c r="AO49" i="95"/>
  <c r="DK75" i="7" s="1"/>
  <c r="DK74" i="7" s="1"/>
  <c r="M23" i="64"/>
  <c r="CG24" i="7"/>
  <c r="P9" i="56"/>
  <c r="X9" i="56" s="1"/>
  <c r="K10" i="56"/>
  <c r="DK17" i="135"/>
  <c r="BT176" i="7"/>
  <c r="BT177" i="7" s="1"/>
  <c r="BT174" i="7"/>
  <c r="BJ65" i="6"/>
  <c r="AD124" i="6"/>
  <c r="CA166" i="7"/>
  <c r="CA184" i="7"/>
  <c r="CV74" i="7"/>
  <c r="CV185" i="7"/>
  <c r="BE14" i="61" s="1"/>
  <c r="AF14" i="66"/>
  <c r="Y36" i="125"/>
  <c r="K12" i="61"/>
  <c r="N13" i="61"/>
  <c r="GI49" i="123"/>
  <c r="AE40" i="126"/>
  <c r="BC76" i="6"/>
  <c r="BB76" i="6"/>
  <c r="BB74" i="6" s="1"/>
  <c r="BH76" i="6"/>
  <c r="BH74" i="6" s="1"/>
  <c r="BF76" i="6"/>
  <c r="BG76" i="6"/>
  <c r="BG74" i="6" s="1"/>
  <c r="AC39" i="126"/>
  <c r="FX48" i="123"/>
  <c r="AI28" i="98"/>
  <c r="AD32" i="98"/>
  <c r="AD37" i="98" s="1"/>
  <c r="AD31" i="98"/>
  <c r="AD36" i="98" s="1"/>
  <c r="AD29" i="98"/>
  <c r="BT63" i="8"/>
  <c r="BT80" i="8"/>
  <c r="BT81" i="8" s="1"/>
  <c r="BT78" i="8"/>
  <c r="BK101" i="6"/>
  <c r="BH100" i="6"/>
  <c r="K19" i="105"/>
  <c r="K26" i="105"/>
  <c r="DG66" i="7"/>
  <c r="DG161" i="7" s="1"/>
  <c r="DH161" i="7"/>
  <c r="BF115" i="6"/>
  <c r="BC115" i="6"/>
  <c r="BC113" i="6" s="1"/>
  <c r="BG115" i="6"/>
  <c r="BG113" i="6" s="1"/>
  <c r="BB115" i="6"/>
  <c r="BH115" i="6"/>
  <c r="Y30" i="126"/>
  <c r="EJ39" i="123"/>
  <c r="BT119" i="8"/>
  <c r="BT137" i="8"/>
  <c r="DX60" i="123"/>
  <c r="V51" i="126"/>
  <c r="EE14" i="19"/>
  <c r="EE10" i="19" s="1"/>
  <c r="EG14" i="19"/>
  <c r="EG10" i="19" s="1"/>
  <c r="ED14" i="19"/>
  <c r="ED10" i="19" s="1"/>
  <c r="EB10" i="19"/>
  <c r="Z39" i="126"/>
  <c r="EK48" i="123"/>
  <c r="GA48" i="123"/>
  <c r="B57" i="123"/>
  <c r="L57" i="123"/>
  <c r="BB121" i="8"/>
  <c r="CS18" i="7"/>
  <c r="AI47" i="95"/>
  <c r="AI52" i="95" s="1"/>
  <c r="CW184" i="7"/>
  <c r="CW166" i="7"/>
  <c r="AC34" i="98"/>
  <c r="AC38" i="98" s="1"/>
  <c r="AC42" i="98"/>
  <c r="FZ48" i="123"/>
  <c r="AE39" i="126" s="1"/>
  <c r="DY61" i="123"/>
  <c r="W52" i="126"/>
  <c r="B55" i="123"/>
  <c r="L55" i="123"/>
  <c r="L102" i="56"/>
  <c r="G103" i="56"/>
  <c r="G102" i="56" s="1"/>
  <c r="Q102" i="56" s="1"/>
  <c r="FE60" i="123"/>
  <c r="FN60" i="123" s="1"/>
  <c r="FO60" i="123"/>
  <c r="CW71" i="7"/>
  <c r="CW73" i="7" s="1"/>
  <c r="CL60" i="123"/>
  <c r="T51" i="126"/>
  <c r="EB60" i="123"/>
  <c r="BU78" i="8"/>
  <c r="BU80" i="8"/>
  <c r="BU81" i="8" s="1"/>
  <c r="BU63" i="8"/>
  <c r="BZ184" i="7"/>
  <c r="AE13" i="61"/>
  <c r="BS13" i="61" s="1"/>
  <c r="Q98" i="7"/>
  <c r="BX49" i="19"/>
  <c r="AB41" i="126"/>
  <c r="FZ50" i="123"/>
  <c r="FW50" i="123"/>
  <c r="AZ176" i="7"/>
  <c r="AZ174" i="7"/>
  <c r="BA173" i="7"/>
  <c r="BK75" i="6"/>
  <c r="BA113" i="6"/>
  <c r="W51" i="95"/>
  <c r="W18" i="95"/>
  <c r="W28" i="95" s="1"/>
  <c r="W47" i="95" s="1"/>
  <c r="AL13" i="64"/>
  <c r="CT199" i="7"/>
  <c r="I21" i="56"/>
  <c r="G21" i="56" s="1"/>
  <c r="N21" i="56" s="1"/>
  <c r="L21" i="56" s="1"/>
  <c r="J19" i="56"/>
  <c r="R19" i="56"/>
  <c r="BY49" i="19"/>
  <c r="BF144" i="7"/>
  <c r="BF8" i="7"/>
  <c r="BF71" i="7" s="1"/>
  <c r="AZ79" i="8"/>
  <c r="BB125" i="8"/>
  <c r="F36" i="65" s="1"/>
  <c r="H36" i="65" s="1"/>
  <c r="CU24" i="7"/>
  <c r="BF100" i="6"/>
  <c r="BJ101" i="6"/>
  <c r="K14" i="105"/>
  <c r="L7" i="105"/>
  <c r="BS171" i="7"/>
  <c r="BS173" i="7"/>
  <c r="BK65" i="6"/>
  <c r="BS90" i="7"/>
  <c r="BS88" i="7"/>
  <c r="H83" i="56"/>
  <c r="M82" i="56"/>
  <c r="AD123" i="6"/>
  <c r="AL176" i="7"/>
  <c r="AM173" i="7"/>
  <c r="AL174" i="7"/>
  <c r="AM174" i="7" s="1"/>
  <c r="CG154" i="7"/>
  <c r="CF59" i="7"/>
  <c r="CV18" i="7"/>
  <c r="AJ47" i="95"/>
  <c r="AJ52" i="95" s="1"/>
  <c r="CL8" i="8"/>
  <c r="AE42" i="126"/>
  <c r="GI51" i="123"/>
  <c r="BW124" i="8"/>
  <c r="BW126" i="8"/>
  <c r="CL105" i="8"/>
  <c r="CK47" i="8"/>
  <c r="BE88" i="7"/>
  <c r="BE89" i="7"/>
  <c r="BE90" i="7" s="1"/>
  <c r="M60" i="56" s="1"/>
  <c r="M42" i="125"/>
  <c r="BB66" i="6"/>
  <c r="BB64" i="6" s="1"/>
  <c r="BH66" i="6"/>
  <c r="BH64" i="6" s="1"/>
  <c r="BC66" i="6"/>
  <c r="BC64" i="6" s="1"/>
  <c r="BG66" i="6"/>
  <c r="BG64" i="6" s="1"/>
  <c r="BF66" i="6"/>
  <c r="S60" i="125"/>
  <c r="P60" i="125"/>
  <c r="AG30" i="126"/>
  <c r="G4" i="129" s="1"/>
  <c r="GK39" i="123"/>
  <c r="FW39" i="123"/>
  <c r="AB30" i="126"/>
  <c r="FZ39" i="123"/>
  <c r="EB61" i="123"/>
  <c r="Z52" i="126" s="1"/>
  <c r="AG43" i="126"/>
  <c r="GK52" i="123"/>
  <c r="FE61" i="123"/>
  <c r="FN61" i="123" s="1"/>
  <c r="AB52" i="126" s="1"/>
  <c r="FO61" i="123"/>
  <c r="AG31" i="126"/>
  <c r="GK40" i="123"/>
  <c r="GM47" i="123"/>
  <c r="FN43" i="123"/>
  <c r="AC38" i="126"/>
  <c r="FX47" i="123"/>
  <c r="V34" i="126"/>
  <c r="DX43" i="123"/>
  <c r="AB38" i="126"/>
  <c r="FW47" i="123"/>
  <c r="AG34" i="126"/>
  <c r="GK43" i="123"/>
  <c r="Z38" i="126"/>
  <c r="GA47" i="123"/>
  <c r="EK47" i="123"/>
  <c r="GM43" i="123"/>
  <c r="EA43" i="123"/>
  <c r="Y38" i="126"/>
  <c r="FZ47" i="123"/>
  <c r="EJ47" i="123"/>
  <c r="AF34" i="126"/>
  <c r="GJ43" i="123"/>
  <c r="AF65" i="125"/>
  <c r="AD65" i="125"/>
  <c r="BR47" i="121" l="1"/>
  <c r="Q33" i="125" s="1"/>
  <c r="CL62" i="120"/>
  <c r="AD55" i="121"/>
  <c r="AM55" i="121" s="1"/>
  <c r="AG98" i="120"/>
  <c r="AC55" i="121"/>
  <c r="AL55" i="121" s="1"/>
  <c r="FZ50" i="121"/>
  <c r="GI50" i="121" s="1"/>
  <c r="CL61" i="120"/>
  <c r="AE81" i="121"/>
  <c r="C38" i="127" s="1"/>
  <c r="EA51" i="121"/>
  <c r="CK51" i="121"/>
  <c r="ED71" i="123"/>
  <c r="BK46" i="122"/>
  <c r="BE48" i="122"/>
  <c r="BK48" i="122" s="1"/>
  <c r="BD46" i="122"/>
  <c r="BE158" i="122"/>
  <c r="BK28" i="120"/>
  <c r="BD28" i="120"/>
  <c r="BJ28" i="120" s="1"/>
  <c r="AO79" i="122"/>
  <c r="DH47" i="121"/>
  <c r="DH76" i="121" s="1"/>
  <c r="CY76" i="121"/>
  <c r="AP40" i="123"/>
  <c r="R160" i="122"/>
  <c r="FF57" i="121"/>
  <c r="FE57" i="121" s="1"/>
  <c r="EV57" i="121"/>
  <c r="CM61" i="120"/>
  <c r="CW56" i="121"/>
  <c r="DG56" i="121"/>
  <c r="AG104" i="120"/>
  <c r="AM104" i="120" s="1"/>
  <c r="AM102" i="120"/>
  <c r="AF102" i="120"/>
  <c r="AP102" i="120"/>
  <c r="AG200" i="120"/>
  <c r="BE207" i="120"/>
  <c r="BK207" i="120" s="1"/>
  <c r="BK203" i="120"/>
  <c r="DF57" i="121"/>
  <c r="DP57" i="121"/>
  <c r="DY57" i="121" s="1"/>
  <c r="CL64" i="120"/>
  <c r="AO100" i="122"/>
  <c r="CC56" i="121"/>
  <c r="S42" i="125" s="1"/>
  <c r="R202" i="120"/>
  <c r="AP52" i="121"/>
  <c r="BY57" i="121"/>
  <c r="CB57" i="121"/>
  <c r="BI81" i="121"/>
  <c r="BI78" i="121"/>
  <c r="BK238" i="120"/>
  <c r="BE270" i="120"/>
  <c r="BK270" i="120" s="1"/>
  <c r="CB56" i="121"/>
  <c r="R42" i="125" s="1"/>
  <c r="CP81" i="121"/>
  <c r="CP78" i="121"/>
  <c r="BE100" i="122"/>
  <c r="BK100" i="122" s="1"/>
  <c r="BD98" i="122"/>
  <c r="BK98" i="122"/>
  <c r="B40" i="123"/>
  <c r="L40" i="123"/>
  <c r="BM28" i="122"/>
  <c r="AO46" i="122"/>
  <c r="AP48" i="122"/>
  <c r="BN46" i="122"/>
  <c r="AP158" i="122"/>
  <c r="AL46" i="122"/>
  <c r="AF48" i="122"/>
  <c r="AL48" i="122" s="1"/>
  <c r="AF158" i="122"/>
  <c r="AZ81" i="121"/>
  <c r="AZ78" i="121"/>
  <c r="BM154" i="122"/>
  <c r="BD154" i="122"/>
  <c r="BJ154" i="122" s="1"/>
  <c r="BO160" i="120"/>
  <c r="CN160" i="120" s="1"/>
  <c r="CN158" i="120"/>
  <c r="BK77" i="122"/>
  <c r="BD77" i="122"/>
  <c r="BE79" i="122"/>
  <c r="BK79" i="122" s="1"/>
  <c r="T59" i="121"/>
  <c r="AD59" i="121"/>
  <c r="R22" i="122"/>
  <c r="AG22" i="122" s="1"/>
  <c r="B22" i="122"/>
  <c r="C21" i="122"/>
  <c r="ED123" i="8"/>
  <c r="ED124" i="8" s="1"/>
  <c r="EE124" i="8"/>
  <c r="EE126" i="8"/>
  <c r="BK61" i="120"/>
  <c r="BD61" i="120"/>
  <c r="BJ61" i="120" s="1"/>
  <c r="CD47" i="121"/>
  <c r="T33" i="125" s="1"/>
  <c r="BR76" i="121"/>
  <c r="CA47" i="121"/>
  <c r="AE76" i="121"/>
  <c r="AN47" i="121"/>
  <c r="N33" i="125"/>
  <c r="AO35" i="120"/>
  <c r="BM204" i="120"/>
  <c r="BM238" i="120"/>
  <c r="BM270" i="120" s="1"/>
  <c r="AM98" i="120"/>
  <c r="AF98" i="120"/>
  <c r="AL98" i="120" s="1"/>
  <c r="BH59" i="121"/>
  <c r="AX59" i="121"/>
  <c r="BN100" i="122"/>
  <c r="BM98" i="122"/>
  <c r="BM100" i="122" s="1"/>
  <c r="BN94" i="122"/>
  <c r="BM94" i="122" s="1"/>
  <c r="BH55" i="121"/>
  <c r="AX55" i="121"/>
  <c r="BM203" i="120"/>
  <c r="CL36" i="120"/>
  <c r="BN79" i="122"/>
  <c r="BM77" i="122"/>
  <c r="BM79" i="122" s="1"/>
  <c r="C54" i="121"/>
  <c r="B52" i="121"/>
  <c r="L52" i="121"/>
  <c r="CX55" i="121"/>
  <c r="CN55" i="121"/>
  <c r="BJ36" i="120"/>
  <c r="BD203" i="120"/>
  <c r="CM33" i="120"/>
  <c r="BM33" i="120"/>
  <c r="CL33" i="120" s="1"/>
  <c r="BN35" i="120"/>
  <c r="CM35" i="120" s="1"/>
  <c r="Q104" i="120"/>
  <c r="Q200" i="120"/>
  <c r="Q202" i="120" s="1"/>
  <c r="EX47" i="121"/>
  <c r="EO76" i="121"/>
  <c r="BZ57" i="121"/>
  <c r="CC57" i="121"/>
  <c r="H51" i="143"/>
  <c r="AO28" i="120"/>
  <c r="CL28" i="120" s="1"/>
  <c r="CM28" i="120"/>
  <c r="Q48" i="122"/>
  <c r="Q158" i="122"/>
  <c r="Q160" i="122" s="1"/>
  <c r="CX59" i="121"/>
  <c r="CN59" i="121"/>
  <c r="BK33" i="120"/>
  <c r="BE35" i="120"/>
  <c r="BK35" i="120" s="1"/>
  <c r="BD33" i="120"/>
  <c r="EM56" i="121"/>
  <c r="EW56" i="121"/>
  <c r="AO94" i="122"/>
  <c r="BE94" i="122"/>
  <c r="AG160" i="122"/>
  <c r="AM160" i="122" s="1"/>
  <c r="AM158" i="122"/>
  <c r="BD28" i="122"/>
  <c r="BJ28" i="122" s="1"/>
  <c r="BJ26" i="122"/>
  <c r="BF226" i="120"/>
  <c r="BL226" i="120" s="1"/>
  <c r="BL224" i="120"/>
  <c r="BD204" i="120"/>
  <c r="BJ204" i="120" s="1"/>
  <c r="BD238" i="120"/>
  <c r="BJ37" i="120"/>
  <c r="BN207" i="120"/>
  <c r="EN59" i="121" s="1"/>
  <c r="EN55" i="121"/>
  <c r="CV150" i="7"/>
  <c r="AF171" i="122"/>
  <c r="AL171" i="122" s="1"/>
  <c r="AL116" i="122"/>
  <c r="R172" i="122"/>
  <c r="AP54" i="123" s="1"/>
  <c r="Q117" i="122"/>
  <c r="Q172" i="122" s="1"/>
  <c r="BD118" i="122"/>
  <c r="BE173" i="122"/>
  <c r="BK173" i="122" s="1"/>
  <c r="BK118" i="122"/>
  <c r="B68" i="121"/>
  <c r="L68" i="121"/>
  <c r="B215" i="120"/>
  <c r="CC154" i="120"/>
  <c r="CI148" i="120"/>
  <c r="CB148" i="120"/>
  <c r="CC214" i="120"/>
  <c r="CI214" i="120" s="1"/>
  <c r="AF174" i="122"/>
  <c r="AL174" i="122" s="1"/>
  <c r="AL119" i="122"/>
  <c r="BE120" i="122"/>
  <c r="BN120" i="122"/>
  <c r="AP175" i="122"/>
  <c r="CO57" i="123" s="1"/>
  <c r="AO120" i="122"/>
  <c r="AO175" i="122" s="1"/>
  <c r="AG117" i="122"/>
  <c r="AF173" i="122"/>
  <c r="AL173" i="122" s="1"/>
  <c r="AL118" i="122"/>
  <c r="EJ199" i="7"/>
  <c r="EJ166" i="7"/>
  <c r="L67" i="121"/>
  <c r="B67" i="121"/>
  <c r="AP174" i="122"/>
  <c r="CO56" i="123" s="1"/>
  <c r="AO119" i="122"/>
  <c r="AO174" i="122" s="1"/>
  <c r="BN119" i="122"/>
  <c r="AF175" i="122"/>
  <c r="AL175" i="122" s="1"/>
  <c r="AL120" i="122"/>
  <c r="EH154" i="7"/>
  <c r="B216" i="120"/>
  <c r="BE119" i="122"/>
  <c r="CC115" i="122"/>
  <c r="EJ47" i="8"/>
  <c r="EJ105" i="8" s="1"/>
  <c r="EK105" i="8"/>
  <c r="AY69" i="121"/>
  <c r="AO69" i="121"/>
  <c r="BE116" i="122"/>
  <c r="BN116" i="122"/>
  <c r="AO116" i="122"/>
  <c r="AO171" i="122" s="1"/>
  <c r="AP171" i="122"/>
  <c r="CO53" i="123" s="1"/>
  <c r="K69" i="121"/>
  <c r="U69" i="121"/>
  <c r="AP173" i="122"/>
  <c r="CO55" i="123" s="1"/>
  <c r="AO118" i="122"/>
  <c r="AO173" i="122" s="1"/>
  <c r="BN118" i="122"/>
  <c r="AG150" i="120"/>
  <c r="R216" i="120"/>
  <c r="AP68" i="121" s="1"/>
  <c r="Q150" i="120"/>
  <c r="Q216" i="120" s="1"/>
  <c r="AG149" i="120"/>
  <c r="R215" i="120"/>
  <c r="AP67" i="121" s="1"/>
  <c r="Q149" i="120"/>
  <c r="Q215" i="120" s="1"/>
  <c r="EM47" i="8"/>
  <c r="EN105" i="8"/>
  <c r="EN137" i="8" s="1"/>
  <c r="BJ11" i="65" s="1"/>
  <c r="BJ10" i="65" s="1"/>
  <c r="BJ9" i="65" s="1"/>
  <c r="BJ44" i="65" s="1"/>
  <c r="BJ47" i="65" s="1"/>
  <c r="EN63" i="8"/>
  <c r="AM151" i="120"/>
  <c r="AG217" i="120"/>
  <c r="AM217" i="120" s="1"/>
  <c r="AF151" i="120"/>
  <c r="AP151" i="120"/>
  <c r="CW36" i="123"/>
  <c r="DG36" i="123"/>
  <c r="DF36" i="123" s="1"/>
  <c r="EM36" i="123"/>
  <c r="EW36" i="123"/>
  <c r="BZ36" i="123"/>
  <c r="Q27" i="126"/>
  <c r="CB36" i="123"/>
  <c r="P27" i="126"/>
  <c r="BY36" i="123"/>
  <c r="BD75" i="122"/>
  <c r="BJ75" i="122" s="1"/>
  <c r="BK75" i="122"/>
  <c r="CC36" i="123"/>
  <c r="GM51" i="121"/>
  <c r="CU32" i="7"/>
  <c r="CU27" i="7" s="1"/>
  <c r="FN51" i="121"/>
  <c r="FW51" i="121" s="1"/>
  <c r="EJ51" i="121"/>
  <c r="CL51" i="121"/>
  <c r="EB51" i="121"/>
  <c r="FO51" i="121"/>
  <c r="FX51" i="121" s="1"/>
  <c r="BB23" i="64"/>
  <c r="BB10" i="64"/>
  <c r="BB35" i="64" s="1"/>
  <c r="BB37" i="64" s="1"/>
  <c r="BB40" i="64" s="1"/>
  <c r="G50" i="143"/>
  <c r="K51" i="143"/>
  <c r="DW151" i="7"/>
  <c r="DV19" i="7"/>
  <c r="DW17" i="7"/>
  <c r="AB44" i="96"/>
  <c r="EC19" i="7" s="1"/>
  <c r="AI85" i="8"/>
  <c r="AJ85" i="8" s="1"/>
  <c r="BX88" i="7"/>
  <c r="BX73" i="7"/>
  <c r="BW166" i="7"/>
  <c r="BW170" i="7" s="1"/>
  <c r="BW171" i="7" s="1"/>
  <c r="BW184" i="7"/>
  <c r="BW199" i="7" s="1"/>
  <c r="BX166" i="7"/>
  <c r="BX170" i="7" s="1"/>
  <c r="BX199" i="7"/>
  <c r="BS12" i="61"/>
  <c r="BD44" i="65"/>
  <c r="DZ32" i="7"/>
  <c r="DZ27" i="7" s="1"/>
  <c r="DZ71" i="7" s="1"/>
  <c r="DZ73" i="7" s="1"/>
  <c r="EA171" i="7"/>
  <c r="EA173" i="7"/>
  <c r="G10" i="56"/>
  <c r="G9" i="56" s="1"/>
  <c r="Q9" i="56" s="1"/>
  <c r="EJ61" i="123"/>
  <c r="BW86" i="7"/>
  <c r="BW90" i="7" s="1"/>
  <c r="BW91" i="7" s="1"/>
  <c r="BS63" i="8"/>
  <c r="BS78" i="8"/>
  <c r="AJ84" i="8"/>
  <c r="M73" i="56"/>
  <c r="M72" i="56" s="1"/>
  <c r="DO101" i="8"/>
  <c r="K10" i="64"/>
  <c r="K37" i="64" s="1"/>
  <c r="AW125" i="8"/>
  <c r="AI126" i="8"/>
  <c r="AI129" i="8" s="1"/>
  <c r="AS94" i="7"/>
  <c r="AW81" i="8"/>
  <c r="CZ101" i="8"/>
  <c r="Q106" i="7"/>
  <c r="G112" i="7"/>
  <c r="H112" i="7" s="1"/>
  <c r="AU13" i="66"/>
  <c r="CL25" i="8"/>
  <c r="CL24" i="8" s="1"/>
  <c r="CL101" i="8" s="1"/>
  <c r="CL137" i="8" s="1"/>
  <c r="CM25" i="8"/>
  <c r="CM24" i="8" s="1"/>
  <c r="CM101" i="8" s="1"/>
  <c r="CM137" i="8" s="1"/>
  <c r="AG13" i="66" s="1"/>
  <c r="CK24" i="8"/>
  <c r="CK101" i="8" s="1"/>
  <c r="BA94" i="7"/>
  <c r="H23" i="64"/>
  <c r="AZ123" i="6"/>
  <c r="EH62" i="19"/>
  <c r="EI50" i="19" s="1"/>
  <c r="DK59" i="7"/>
  <c r="DJ59" i="7" s="1"/>
  <c r="DJ154" i="7" s="1"/>
  <c r="AZ124" i="6"/>
  <c r="N29" i="126"/>
  <c r="CG32" i="7"/>
  <c r="CG27" i="7" s="1"/>
  <c r="DK33" i="7"/>
  <c r="DK32" i="7" s="1"/>
  <c r="DK150" i="7" s="1"/>
  <c r="CH32" i="7"/>
  <c r="DL33" i="7"/>
  <c r="DL32" i="7" s="1"/>
  <c r="CF150" i="7"/>
  <c r="DD62" i="19"/>
  <c r="DE50" i="19" s="1"/>
  <c r="DD66" i="19"/>
  <c r="BQ38" i="123"/>
  <c r="CC38" i="123" s="1"/>
  <c r="M29" i="126"/>
  <c r="AL38" i="123"/>
  <c r="CX38" i="123"/>
  <c r="CN38" i="123"/>
  <c r="BP38" i="123"/>
  <c r="CZ47" i="8"/>
  <c r="CZ105" i="8" s="1"/>
  <c r="BB85" i="8"/>
  <c r="AZ87" i="8" s="1"/>
  <c r="L19" i="56"/>
  <c r="U19" i="56" s="1"/>
  <c r="CZ8" i="8"/>
  <c r="DO8" i="8"/>
  <c r="DK35" i="7"/>
  <c r="BD115" i="6"/>
  <c r="BE115" i="6" s="1"/>
  <c r="AD50" i="125"/>
  <c r="AE17" i="66"/>
  <c r="BX141" i="8"/>
  <c r="BX152" i="8" s="1"/>
  <c r="BX119" i="8"/>
  <c r="BD66" i="6"/>
  <c r="BE66" i="6" s="1"/>
  <c r="AH17" i="66"/>
  <c r="AG15" i="66"/>
  <c r="AO17" i="66"/>
  <c r="AO13" i="65"/>
  <c r="AQ13" i="65"/>
  <c r="AJ13" i="65"/>
  <c r="AB60" i="61"/>
  <c r="AC57" i="61"/>
  <c r="AB64" i="61"/>
  <c r="AB66" i="61" s="1"/>
  <c r="CW46" i="8"/>
  <c r="CW42" i="8" s="1"/>
  <c r="CY42" i="8"/>
  <c r="BJ66" i="6"/>
  <c r="GI48" i="123"/>
  <c r="BG123" i="6"/>
  <c r="BG124" i="6" s="1"/>
  <c r="BB126" i="8"/>
  <c r="BB127" i="8" s="1"/>
  <c r="BB113" i="6"/>
  <c r="BB123" i="6" s="1"/>
  <c r="BB124" i="6" s="1"/>
  <c r="BD76" i="6"/>
  <c r="BE76" i="6" s="1"/>
  <c r="U29" i="56"/>
  <c r="GM60" i="123"/>
  <c r="EK61" i="123"/>
  <c r="BJ100" i="6"/>
  <c r="BK115" i="6"/>
  <c r="BJ115" i="6"/>
  <c r="DI154" i="7"/>
  <c r="DI71" i="7"/>
  <c r="DI73" i="7" s="1"/>
  <c r="M59" i="56"/>
  <c r="V59" i="56" s="1"/>
  <c r="BD64" i="6"/>
  <c r="BE64" i="6" s="1"/>
  <c r="FW60" i="123"/>
  <c r="AB51" i="126"/>
  <c r="Z11" i="65"/>
  <c r="BH11" i="65" s="1"/>
  <c r="BT152" i="8"/>
  <c r="K24" i="66"/>
  <c r="K29" i="66"/>
  <c r="K11" i="66" s="1"/>
  <c r="K39" i="66" s="1"/>
  <c r="CF56" i="7"/>
  <c r="CF52" i="7" s="1"/>
  <c r="CF153" i="7" s="1"/>
  <c r="Z47" i="125"/>
  <c r="L92" i="56"/>
  <c r="X11" i="64"/>
  <c r="Z12" i="64"/>
  <c r="BY65" i="19"/>
  <c r="CK105" i="8"/>
  <c r="AL177" i="7"/>
  <c r="AM177" i="7" s="1"/>
  <c r="AM176" i="7"/>
  <c r="V82" i="56"/>
  <c r="V102" i="56"/>
  <c r="BS91" i="7"/>
  <c r="BS93" i="7"/>
  <c r="BS94" i="7" s="1"/>
  <c r="F13" i="64"/>
  <c r="BF166" i="7"/>
  <c r="BC74" i="6"/>
  <c r="BD74" i="6" s="1"/>
  <c r="BE74" i="6" s="1"/>
  <c r="T118" i="7"/>
  <c r="U118" i="7" s="1"/>
  <c r="Q100" i="7"/>
  <c r="U55" i="123"/>
  <c r="K55" i="123"/>
  <c r="AC43" i="98"/>
  <c r="CR18" i="7"/>
  <c r="CS144" i="7"/>
  <c r="CS17" i="7"/>
  <c r="CS71" i="7" s="1"/>
  <c r="CS73" i="7" s="1"/>
  <c r="U57" i="123"/>
  <c r="K57" i="123"/>
  <c r="EG11" i="19"/>
  <c r="EG49" i="19" s="1"/>
  <c r="BT123" i="8"/>
  <c r="BT121" i="8"/>
  <c r="BK100" i="6"/>
  <c r="AN28" i="98"/>
  <c r="AI32" i="98"/>
  <c r="AI37" i="98" s="1"/>
  <c r="AI31" i="98"/>
  <c r="AI36" i="98" s="1"/>
  <c r="AI29" i="98"/>
  <c r="BJ76" i="6"/>
  <c r="AE34" i="125"/>
  <c r="P42" i="125"/>
  <c r="BK14" i="61"/>
  <c r="AE12" i="64"/>
  <c r="CA199" i="7"/>
  <c r="CG17" i="7"/>
  <c r="H37" i="64"/>
  <c r="H32" i="64"/>
  <c r="P32" i="64" s="1"/>
  <c r="DK18" i="7"/>
  <c r="AO47" i="95"/>
  <c r="AO52" i="95" s="1"/>
  <c r="L56" i="123"/>
  <c r="B56" i="123"/>
  <c r="CV154" i="7"/>
  <c r="CU59" i="7"/>
  <c r="CU154" i="7" s="1"/>
  <c r="CK8" i="8"/>
  <c r="BF113" i="6"/>
  <c r="I10" i="65"/>
  <c r="N11" i="65"/>
  <c r="O11" i="65"/>
  <c r="O10" i="65" s="1"/>
  <c r="K10" i="65"/>
  <c r="DJ40" i="7"/>
  <c r="DJ35" i="7" s="1"/>
  <c r="F32" i="61"/>
  <c r="M33" i="66"/>
  <c r="M11" i="66"/>
  <c r="M39" i="66" s="1"/>
  <c r="M24" i="66"/>
  <c r="F11" i="66"/>
  <c r="F39" i="66" s="1"/>
  <c r="F41" i="66" s="1"/>
  <c r="F24" i="66"/>
  <c r="BA119" i="8"/>
  <c r="AZ121" i="8"/>
  <c r="BA121" i="8" s="1"/>
  <c r="DA137" i="8"/>
  <c r="BC127" i="8"/>
  <c r="P123" i="56"/>
  <c r="BC129" i="8"/>
  <c r="AB36" i="125"/>
  <c r="P12" i="64"/>
  <c r="P11" i="64" s="1"/>
  <c r="BX93" i="7"/>
  <c r="BX91" i="7"/>
  <c r="V9" i="56"/>
  <c r="V29" i="56"/>
  <c r="BZ71" i="7"/>
  <c r="BZ73" i="7" s="1"/>
  <c r="GM61" i="123"/>
  <c r="BW129" i="8"/>
  <c r="BW130" i="8" s="1"/>
  <c r="BW127" i="8"/>
  <c r="AF13" i="61"/>
  <c r="ED11" i="19"/>
  <c r="ED49" i="19" s="1"/>
  <c r="DM47" i="8" s="1"/>
  <c r="CM18" i="8"/>
  <c r="AD41" i="98"/>
  <c r="K32" i="61"/>
  <c r="K37" i="61"/>
  <c r="M37" i="61" s="1"/>
  <c r="M11" i="61" s="1"/>
  <c r="M41" i="61" s="1"/>
  <c r="X41" i="61" s="1"/>
  <c r="B54" i="123"/>
  <c r="L54" i="123"/>
  <c r="F9" i="65"/>
  <c r="F31" i="65"/>
  <c r="BE171" i="7"/>
  <c r="CF144" i="7"/>
  <c r="CF17" i="7"/>
  <c r="CU18" i="7"/>
  <c r="CV144" i="7"/>
  <c r="CV17" i="7"/>
  <c r="CV71" i="7" s="1"/>
  <c r="CV73" i="7" s="1"/>
  <c r="O47" i="125"/>
  <c r="AA34" i="125"/>
  <c r="AE41" i="126"/>
  <c r="GI50" i="123"/>
  <c r="GA60" i="123"/>
  <c r="EK60" i="123"/>
  <c r="Z51" i="126"/>
  <c r="AC51" i="126"/>
  <c r="FX60" i="123"/>
  <c r="CW170" i="7"/>
  <c r="CW168" i="7"/>
  <c r="EE11" i="19"/>
  <c r="EE49" i="19" s="1"/>
  <c r="DN47" i="8" s="1"/>
  <c r="AD34" i="98"/>
  <c r="AD38" i="98" s="1"/>
  <c r="AD42" i="98"/>
  <c r="BK76" i="6"/>
  <c r="DR154" i="7"/>
  <c r="DR73" i="7"/>
  <c r="O42" i="125"/>
  <c r="CA170" i="7"/>
  <c r="CA168" i="7"/>
  <c r="L53" i="123"/>
  <c r="B53" i="123"/>
  <c r="BF64" i="6"/>
  <c r="BK64" i="6" s="1"/>
  <c r="BL13" i="61"/>
  <c r="BX13" i="61" s="1"/>
  <c r="Z13" i="61"/>
  <c r="BE13" i="61"/>
  <c r="X12" i="61"/>
  <c r="DJ66" i="7"/>
  <c r="DJ161" i="7" s="1"/>
  <c r="DK161" i="7"/>
  <c r="DK192" i="7" s="1"/>
  <c r="BL24" i="61" s="1"/>
  <c r="BH113" i="6"/>
  <c r="R9" i="65"/>
  <c r="R31" i="65"/>
  <c r="AZ81" i="8"/>
  <c r="BA81" i="8" s="1"/>
  <c r="BA61" i="8"/>
  <c r="AZ80" i="8"/>
  <c r="BA80" i="8" s="1"/>
  <c r="AZ78" i="8"/>
  <c r="BA78" i="8" s="1"/>
  <c r="AZ84" i="8"/>
  <c r="CM21" i="122"/>
  <c r="BU121" i="8"/>
  <c r="BU123" i="8"/>
  <c r="H33" i="66"/>
  <c r="P33" i="66" s="1"/>
  <c r="H11" i="66"/>
  <c r="H39" i="66" s="1"/>
  <c r="H41" i="66" s="1"/>
  <c r="H45" i="66" s="1"/>
  <c r="H24" i="66"/>
  <c r="AF30" i="126"/>
  <c r="F4" i="129" s="1"/>
  <c r="E4" i="129" s="1"/>
  <c r="GJ39" i="123"/>
  <c r="X51" i="95"/>
  <c r="X18" i="95"/>
  <c r="X28" i="95" s="1"/>
  <c r="X47" i="95" s="1"/>
  <c r="U119" i="7"/>
  <c r="AA36" i="125"/>
  <c r="DU47" i="8"/>
  <c r="DU61" i="8" s="1"/>
  <c r="DV105" i="8"/>
  <c r="J9" i="56"/>
  <c r="R9" i="56"/>
  <c r="I11" i="56"/>
  <c r="G11" i="56" s="1"/>
  <c r="N11" i="56" s="1"/>
  <c r="L11" i="56" s="1"/>
  <c r="BD89" i="7"/>
  <c r="BE172" i="7"/>
  <c r="BE173" i="7" s="1"/>
  <c r="F37" i="61"/>
  <c r="H37" i="61" s="1"/>
  <c r="H11" i="61" s="1"/>
  <c r="BF91" i="7"/>
  <c r="BF93" i="7"/>
  <c r="BF88" i="7"/>
  <c r="BF90" i="7"/>
  <c r="P60" i="56" s="1"/>
  <c r="E59" i="56"/>
  <c r="E39" i="56"/>
  <c r="J20" i="56"/>
  <c r="O20" i="56" s="1"/>
  <c r="O19" i="56" s="1"/>
  <c r="AM13" i="64"/>
  <c r="AL11" i="64"/>
  <c r="AZ177" i="7"/>
  <c r="BA176" i="7"/>
  <c r="AF39" i="126"/>
  <c r="GJ48" i="123"/>
  <c r="AG14" i="64"/>
  <c r="AH16" i="64"/>
  <c r="AO16" i="64"/>
  <c r="AM16" i="64"/>
  <c r="H9" i="65"/>
  <c r="H31" i="65"/>
  <c r="BZ188" i="7"/>
  <c r="BZ199" i="7" s="1"/>
  <c r="AE17" i="61"/>
  <c r="BZ166" i="7"/>
  <c r="Y51" i="126"/>
  <c r="FZ60" i="123"/>
  <c r="EJ60" i="123"/>
  <c r="FX61" i="123"/>
  <c r="AC52" i="126"/>
  <c r="BK66" i="6"/>
  <c r="BE91" i="7"/>
  <c r="BE93" i="7"/>
  <c r="BX65" i="19"/>
  <c r="CF154" i="7"/>
  <c r="P47" i="125"/>
  <c r="BS176" i="7"/>
  <c r="BS177" i="7" s="1"/>
  <c r="BS174" i="7"/>
  <c r="L6" i="105"/>
  <c r="L15" i="105"/>
  <c r="L14" i="105" s="1"/>
  <c r="AZ125" i="8"/>
  <c r="BA125" i="8" s="1"/>
  <c r="BA79" i="8"/>
  <c r="P43" i="125"/>
  <c r="W52" i="95"/>
  <c r="BA174" i="7"/>
  <c r="W47" i="125"/>
  <c r="AN12" i="64"/>
  <c r="CW199" i="7"/>
  <c r="EB11" i="19"/>
  <c r="BJ24" i="61"/>
  <c r="BJ15" i="61" s="1"/>
  <c r="BK15" i="61" s="1"/>
  <c r="DH192" i="7"/>
  <c r="K33" i="105"/>
  <c r="K25" i="105"/>
  <c r="CL18" i="8"/>
  <c r="AD40" i="98"/>
  <c r="N12" i="61"/>
  <c r="P13" i="61"/>
  <c r="P12" i="61" s="1"/>
  <c r="AE36" i="125"/>
  <c r="C4" i="129" s="1"/>
  <c r="BF74" i="6"/>
  <c r="BJ74" i="6" s="1"/>
  <c r="AY57" i="123"/>
  <c r="AO57" i="123"/>
  <c r="AY55" i="123"/>
  <c r="AO55" i="123"/>
  <c r="X13" i="66"/>
  <c r="BB13" i="66" s="1"/>
  <c r="BU152" i="8"/>
  <c r="N13" i="66"/>
  <c r="I12" i="66"/>
  <c r="Y8" i="95"/>
  <c r="Y13" i="95" s="1"/>
  <c r="Y15" i="95"/>
  <c r="Y20" i="95" s="1"/>
  <c r="Y30" i="95" s="1"/>
  <c r="Y49" i="95" s="1"/>
  <c r="AD14" i="61" s="1"/>
  <c r="AX17" i="61"/>
  <c r="CG188" i="7"/>
  <c r="X29" i="56"/>
  <c r="CG185" i="7"/>
  <c r="AX14" i="61"/>
  <c r="AY14" i="61" s="1"/>
  <c r="BY71" i="7"/>
  <c r="BY73" i="7" s="1"/>
  <c r="BA123" i="6"/>
  <c r="DP105" i="8"/>
  <c r="DP137" i="8" s="1"/>
  <c r="DO47" i="8"/>
  <c r="DO105" i="8" s="1"/>
  <c r="AG9" i="65"/>
  <c r="O60" i="125"/>
  <c r="L60" i="125"/>
  <c r="AE30" i="126"/>
  <c r="GI39" i="123"/>
  <c r="G5" i="129"/>
  <c r="G8" i="129"/>
  <c r="FW61" i="123"/>
  <c r="FZ61" i="123"/>
  <c r="GA61" i="123"/>
  <c r="AE38" i="126"/>
  <c r="GI47" i="123"/>
  <c r="FZ43" i="123"/>
  <c r="Y34" i="126"/>
  <c r="EJ43" i="123"/>
  <c r="AF38" i="126"/>
  <c r="GJ47" i="123"/>
  <c r="AB34" i="126"/>
  <c r="FW43" i="123"/>
  <c r="DP36" i="123" l="1"/>
  <c r="EB36" i="123" s="1"/>
  <c r="CL77" i="122"/>
  <c r="DQ47" i="121"/>
  <c r="DZ47" i="121" s="1"/>
  <c r="AN81" i="121"/>
  <c r="BM207" i="120"/>
  <c r="FO57" i="121"/>
  <c r="FX57" i="121" s="1"/>
  <c r="FN57" i="121"/>
  <c r="FW57" i="121" s="1"/>
  <c r="BD207" i="120"/>
  <c r="BJ207" i="120" s="1"/>
  <c r="BJ203" i="120"/>
  <c r="CA76" i="121"/>
  <c r="BR78" i="121"/>
  <c r="CA78" i="121" s="1"/>
  <c r="AP54" i="121"/>
  <c r="AO52" i="121"/>
  <c r="AY52" i="121"/>
  <c r="AL102" i="120"/>
  <c r="AF104" i="120"/>
  <c r="AL104" i="120" s="1"/>
  <c r="AF200" i="120"/>
  <c r="BJ46" i="122"/>
  <c r="BD48" i="122"/>
  <c r="BJ48" i="122" s="1"/>
  <c r="DO36" i="123"/>
  <c r="BD158" i="122"/>
  <c r="CL57" i="121"/>
  <c r="EB57" i="121"/>
  <c r="FG47" i="121"/>
  <c r="EX76" i="121"/>
  <c r="CD76" i="121"/>
  <c r="CM47" i="121"/>
  <c r="AO48" i="122"/>
  <c r="AO158" i="122"/>
  <c r="AO160" i="122" s="1"/>
  <c r="BJ98" i="122"/>
  <c r="BD100" i="122"/>
  <c r="BJ100" i="122" s="1"/>
  <c r="CK56" i="121"/>
  <c r="BR81" i="121"/>
  <c r="AY40" i="123"/>
  <c r="AO40" i="123"/>
  <c r="EM59" i="121"/>
  <c r="EW59" i="121"/>
  <c r="BD94" i="122"/>
  <c r="BJ94" i="122" s="1"/>
  <c r="BK94" i="122"/>
  <c r="DG59" i="121"/>
  <c r="DF59" i="121" s="1"/>
  <c r="CW59" i="121"/>
  <c r="DO59" i="121" s="1"/>
  <c r="DX59" i="121" s="1"/>
  <c r="AE78" i="121"/>
  <c r="AN78" i="121" s="1"/>
  <c r="AN76" i="121"/>
  <c r="AF22" i="122"/>
  <c r="AL22" i="122" s="1"/>
  <c r="AM22" i="122"/>
  <c r="AP22" i="122"/>
  <c r="BJ238" i="120"/>
  <c r="BD270" i="120"/>
  <c r="BJ270" i="120" s="1"/>
  <c r="BM35" i="120"/>
  <c r="CL35" i="120" s="1"/>
  <c r="U52" i="121"/>
  <c r="K52" i="121"/>
  <c r="K54" i="121" s="1"/>
  <c r="L54" i="121"/>
  <c r="BG55" i="121"/>
  <c r="BP55" i="121" s="1"/>
  <c r="BQ55" i="121"/>
  <c r="Q22" i="122"/>
  <c r="R21" i="122"/>
  <c r="Q21" i="122" s="1"/>
  <c r="BD79" i="122"/>
  <c r="BJ79" i="122" s="1"/>
  <c r="BJ77" i="122"/>
  <c r="CO40" i="123"/>
  <c r="AP160" i="122"/>
  <c r="U40" i="123"/>
  <c r="T40" i="123" s="1"/>
  <c r="K40" i="123"/>
  <c r="CK57" i="121"/>
  <c r="CL56" i="121"/>
  <c r="AM200" i="120"/>
  <c r="AG202" i="120"/>
  <c r="AM202" i="120" s="1"/>
  <c r="CY81" i="121"/>
  <c r="CY78" i="121"/>
  <c r="EO81" i="121"/>
  <c r="EO78" i="121"/>
  <c r="DG55" i="121"/>
  <c r="DF55" i="121" s="1"/>
  <c r="CW55" i="121"/>
  <c r="ED126" i="8"/>
  <c r="EE129" i="8"/>
  <c r="EE130" i="8" s="1"/>
  <c r="EE127" i="8"/>
  <c r="CU150" i="7"/>
  <c r="EM55" i="121"/>
  <c r="EW55" i="121"/>
  <c r="EV56" i="121"/>
  <c r="FF56" i="121"/>
  <c r="BJ33" i="120"/>
  <c r="BD35" i="120"/>
  <c r="BJ35" i="120" s="1"/>
  <c r="B54" i="121"/>
  <c r="BG59" i="121"/>
  <c r="BP59" i="121" s="1"/>
  <c r="BY59" i="121" s="1"/>
  <c r="BQ59" i="121"/>
  <c r="BZ59" i="121" s="1"/>
  <c r="B21" i="122"/>
  <c r="AG21" i="122"/>
  <c r="AM59" i="121"/>
  <c r="CC59" i="121"/>
  <c r="AL158" i="122"/>
  <c r="AF160" i="122"/>
  <c r="AL160" i="122" s="1"/>
  <c r="BM46" i="122"/>
  <c r="CL46" i="122" s="1"/>
  <c r="BN48" i="122"/>
  <c r="BN158" i="122"/>
  <c r="CL98" i="122"/>
  <c r="DO57" i="121"/>
  <c r="DX57" i="121" s="1"/>
  <c r="GM57" i="121"/>
  <c r="BE102" i="120"/>
  <c r="AP104" i="120"/>
  <c r="AO102" i="120"/>
  <c r="BN102" i="120"/>
  <c r="CM102" i="120" s="1"/>
  <c r="AP98" i="120"/>
  <c r="AP200" i="120"/>
  <c r="DF56" i="121"/>
  <c r="DP56" i="121"/>
  <c r="DY56" i="121" s="1"/>
  <c r="DH78" i="121"/>
  <c r="DH81" i="121"/>
  <c r="AC59" i="121"/>
  <c r="BK158" i="122"/>
  <c r="BE160" i="122"/>
  <c r="BK160" i="122" s="1"/>
  <c r="AD40" i="123"/>
  <c r="AW85" i="8"/>
  <c r="AL151" i="120"/>
  <c r="AF217" i="120"/>
  <c r="AL217" i="120" s="1"/>
  <c r="EN119" i="8"/>
  <c r="EN152" i="8"/>
  <c r="AO67" i="121"/>
  <c r="AY67" i="121"/>
  <c r="AG216" i="120"/>
  <c r="AM216" i="120" s="1"/>
  <c r="AM150" i="120"/>
  <c r="AF150" i="120"/>
  <c r="AP150" i="120"/>
  <c r="BE150" i="120" s="1"/>
  <c r="T69" i="121"/>
  <c r="AD69" i="121"/>
  <c r="AM69" i="121" s="1"/>
  <c r="CI115" i="122"/>
  <c r="CC170" i="122"/>
  <c r="CI170" i="122" s="1"/>
  <c r="CB115" i="122"/>
  <c r="CC121" i="122"/>
  <c r="BN174" i="122"/>
  <c r="EN56" i="123" s="1"/>
  <c r="BM119" i="122"/>
  <c r="BM174" i="122" s="1"/>
  <c r="AC69" i="121"/>
  <c r="BE175" i="122"/>
  <c r="BK175" i="122" s="1"/>
  <c r="BK120" i="122"/>
  <c r="BD120" i="122"/>
  <c r="CB214" i="120"/>
  <c r="CH214" i="120" s="1"/>
  <c r="CH148" i="120"/>
  <c r="EM105" i="8"/>
  <c r="EM119" i="8" s="1"/>
  <c r="EM121" i="8" s="1"/>
  <c r="EM61" i="8"/>
  <c r="EM63" i="8" s="1"/>
  <c r="AF149" i="120"/>
  <c r="AM149" i="120"/>
  <c r="AG215" i="120"/>
  <c r="AM215" i="120" s="1"/>
  <c r="AP149" i="120"/>
  <c r="BN173" i="122"/>
  <c r="EN55" i="123" s="1"/>
  <c r="BM118" i="122"/>
  <c r="BM173" i="122" s="1"/>
  <c r="BM116" i="122"/>
  <c r="BM171" i="122" s="1"/>
  <c r="BN171" i="122"/>
  <c r="EN53" i="123" s="1"/>
  <c r="BH69" i="121"/>
  <c r="BG69" i="121" s="1"/>
  <c r="AX69" i="121"/>
  <c r="BD119" i="122"/>
  <c r="BE174" i="122"/>
  <c r="BK174" i="122" s="1"/>
  <c r="BK119" i="122"/>
  <c r="K67" i="121"/>
  <c r="U67" i="121"/>
  <c r="T67" i="121" s="1"/>
  <c r="BE171" i="122"/>
  <c r="BK171" i="122" s="1"/>
  <c r="BD116" i="122"/>
  <c r="BK116" i="122"/>
  <c r="EJ168" i="7"/>
  <c r="EJ170" i="7"/>
  <c r="AG172" i="122"/>
  <c r="AM172" i="122" s="1"/>
  <c r="AM117" i="122"/>
  <c r="AF117" i="122"/>
  <c r="AP117" i="122"/>
  <c r="CC220" i="120"/>
  <c r="CI220" i="120" s="1"/>
  <c r="CI154" i="120"/>
  <c r="CB154" i="120"/>
  <c r="C154" i="120"/>
  <c r="U68" i="121"/>
  <c r="K68" i="121"/>
  <c r="BJ118" i="122"/>
  <c r="BD173" i="122"/>
  <c r="BJ173" i="122" s="1"/>
  <c r="BE151" i="120"/>
  <c r="BN151" i="120"/>
  <c r="CM151" i="120" s="1"/>
  <c r="AP217" i="120"/>
  <c r="CO69" i="121" s="1"/>
  <c r="AO151" i="120"/>
  <c r="AY68" i="121"/>
  <c r="AO68" i="121"/>
  <c r="AD67" i="121"/>
  <c r="BN175" i="122"/>
  <c r="EN57" i="123" s="1"/>
  <c r="BM120" i="122"/>
  <c r="BM175" i="122" s="1"/>
  <c r="DY36" i="123"/>
  <c r="EV36" i="123"/>
  <c r="FF36" i="123"/>
  <c r="FE36" i="123" s="1"/>
  <c r="CL36" i="123"/>
  <c r="T27" i="126"/>
  <c r="EA36" i="123"/>
  <c r="DX36" i="123"/>
  <c r="V27" i="126"/>
  <c r="S27" i="126"/>
  <c r="CK36" i="123"/>
  <c r="FO36" i="123"/>
  <c r="FZ51" i="121"/>
  <c r="GI51" i="121" s="1"/>
  <c r="BX24" i="61"/>
  <c r="CP40" i="121"/>
  <c r="D40" i="121"/>
  <c r="AR28" i="98"/>
  <c r="AS28" i="98"/>
  <c r="GA51" i="121"/>
  <c r="GJ51" i="121" s="1"/>
  <c r="EK51" i="121"/>
  <c r="BW168" i="7"/>
  <c r="F51" i="143"/>
  <c r="J52" i="143"/>
  <c r="I52" i="143"/>
  <c r="DV151" i="7"/>
  <c r="DV17" i="7"/>
  <c r="BQ27" i="61"/>
  <c r="DW195" i="7"/>
  <c r="EC151" i="7"/>
  <c r="EB19" i="7"/>
  <c r="EC17" i="7"/>
  <c r="BW173" i="7"/>
  <c r="BW174" i="7" s="1"/>
  <c r="BX168" i="7"/>
  <c r="K35" i="64"/>
  <c r="BV170" i="7"/>
  <c r="BV173" i="7" s="1"/>
  <c r="BC13" i="66"/>
  <c r="BT24" i="61"/>
  <c r="BT13" i="61"/>
  <c r="BS32" i="61"/>
  <c r="BS11" i="61"/>
  <c r="BD47" i="65"/>
  <c r="EA174" i="7"/>
  <c r="EA176" i="7"/>
  <c r="EA177" i="7" s="1"/>
  <c r="DY32" i="7"/>
  <c r="DZ150" i="7"/>
  <c r="BW88" i="7"/>
  <c r="BV86" i="7"/>
  <c r="DV137" i="8"/>
  <c r="AZ11" i="65" s="1"/>
  <c r="DV119" i="8"/>
  <c r="DR184" i="7"/>
  <c r="DR166" i="7"/>
  <c r="H73" i="56"/>
  <c r="H72" i="56" s="1"/>
  <c r="R72" i="56" s="1"/>
  <c r="AI127" i="8"/>
  <c r="AJ127" i="8" s="1"/>
  <c r="G113" i="7"/>
  <c r="BW93" i="7"/>
  <c r="DV63" i="8"/>
  <c r="AW126" i="8"/>
  <c r="AJ126" i="8"/>
  <c r="L83" i="56"/>
  <c r="L82" i="56" s="1"/>
  <c r="DK154" i="7"/>
  <c r="DK184" i="7" s="1"/>
  <c r="EH50" i="19"/>
  <c r="BD113" i="6"/>
  <c r="BE113" i="6" s="1"/>
  <c r="U39" i="56"/>
  <c r="DD50" i="19"/>
  <c r="CG71" i="7"/>
  <c r="CG73" i="7" s="1"/>
  <c r="CG150" i="7"/>
  <c r="CH27" i="7"/>
  <c r="CH71" i="7" s="1"/>
  <c r="CH73" i="7" s="1"/>
  <c r="CH150" i="7"/>
  <c r="DJ32" i="7"/>
  <c r="DJ27" i="7" s="1"/>
  <c r="DK27" i="7"/>
  <c r="CL42" i="122"/>
  <c r="DL150" i="7"/>
  <c r="DL27" i="7"/>
  <c r="DL71" i="7" s="1"/>
  <c r="DL73" i="7" s="1"/>
  <c r="BB129" i="8"/>
  <c r="BB130" i="8" s="1"/>
  <c r="BB137" i="8" s="1"/>
  <c r="BB138" i="8" s="1"/>
  <c r="Q29" i="126"/>
  <c r="M45" i="125"/>
  <c r="M123" i="56"/>
  <c r="M122" i="56" s="1"/>
  <c r="V122" i="56" s="1"/>
  <c r="BK113" i="6"/>
  <c r="BZ38" i="123"/>
  <c r="CB38" i="123"/>
  <c r="P29" i="126"/>
  <c r="BY38" i="123"/>
  <c r="T29" i="126"/>
  <c r="CL38" i="123"/>
  <c r="DG38" i="123"/>
  <c r="CW38" i="123"/>
  <c r="EW38" i="123"/>
  <c r="EM38" i="123"/>
  <c r="CF71" i="7"/>
  <c r="CF73" i="7" s="1"/>
  <c r="CV166" i="7"/>
  <c r="CV170" i="7" s="1"/>
  <c r="EA11" i="19"/>
  <c r="EA49" i="19" s="1"/>
  <c r="T120" i="7"/>
  <c r="U120" i="7"/>
  <c r="BC123" i="6"/>
  <c r="BC124" i="6" s="1"/>
  <c r="K11" i="61"/>
  <c r="K44" i="61" s="1"/>
  <c r="K47" i="61" s="1"/>
  <c r="U47" i="125"/>
  <c r="AH15" i="66"/>
  <c r="AO15" i="66"/>
  <c r="AC63" i="61"/>
  <c r="AC58" i="61"/>
  <c r="AE15" i="66"/>
  <c r="AF17" i="66"/>
  <c r="CY104" i="8"/>
  <c r="CY61" i="8"/>
  <c r="CY63" i="8" s="1"/>
  <c r="Y13" i="61"/>
  <c r="CW104" i="8"/>
  <c r="CW119" i="8" s="1"/>
  <c r="CW121" i="8" s="1"/>
  <c r="CW61" i="8"/>
  <c r="CW63" i="8" s="1"/>
  <c r="BX123" i="8"/>
  <c r="BX121" i="8"/>
  <c r="BK74" i="6"/>
  <c r="BW65" i="19"/>
  <c r="Y12" i="64"/>
  <c r="AF47" i="125"/>
  <c r="BE174" i="7"/>
  <c r="BE176" i="7"/>
  <c r="BE177" i="7" s="1"/>
  <c r="BE184" i="7" s="1"/>
  <c r="BE186" i="7" s="1"/>
  <c r="DM105" i="8"/>
  <c r="DL47" i="8"/>
  <c r="DM61" i="8"/>
  <c r="DM63" i="8" s="1"/>
  <c r="AO9" i="65"/>
  <c r="Y51" i="95"/>
  <c r="Y18" i="95"/>
  <c r="Y28" i="95" s="1"/>
  <c r="Y47" i="95" s="1"/>
  <c r="P59" i="56"/>
  <c r="X59" i="56" s="1"/>
  <c r="K60" i="56"/>
  <c r="K59" i="56" s="1"/>
  <c r="T59" i="56" s="1"/>
  <c r="BU126" i="8"/>
  <c r="BU124" i="8"/>
  <c r="DN105" i="8"/>
  <c r="DN61" i="8"/>
  <c r="DN63" i="8" s="1"/>
  <c r="L41" i="125"/>
  <c r="AO56" i="123"/>
  <c r="AY56" i="123"/>
  <c r="AW11" i="65"/>
  <c r="BI11" i="65" s="1"/>
  <c r="AP11" i="65"/>
  <c r="AB11" i="65"/>
  <c r="Z10" i="65"/>
  <c r="AH11" i="65"/>
  <c r="DI184" i="7"/>
  <c r="DI166" i="7"/>
  <c r="GJ61" i="123"/>
  <c r="AF52" i="126"/>
  <c r="BA124" i="6"/>
  <c r="I24" i="66"/>
  <c r="I11" i="66"/>
  <c r="I39" i="66" s="1"/>
  <c r="P11" i="61"/>
  <c r="P32" i="61"/>
  <c r="K34" i="105"/>
  <c r="Q8" i="104" s="1"/>
  <c r="Q14" i="104" s="1"/>
  <c r="AC17" i="61" s="1"/>
  <c r="AC15" i="61" s="1"/>
  <c r="K35" i="105"/>
  <c r="Q17" i="104" s="1"/>
  <c r="Q23" i="104" s="1"/>
  <c r="AC16" i="64" s="1"/>
  <c r="AC14" i="64" s="1"/>
  <c r="U43" i="125"/>
  <c r="H40" i="65"/>
  <c r="Q40" i="65" s="1"/>
  <c r="H47" i="65"/>
  <c r="H49" i="65" s="1"/>
  <c r="AH14" i="64"/>
  <c r="AO14" i="64"/>
  <c r="AM14" i="64"/>
  <c r="M113" i="56"/>
  <c r="BD172" i="7"/>
  <c r="BD173" i="7" s="1"/>
  <c r="BD91" i="7"/>
  <c r="BD93" i="7"/>
  <c r="BD94" i="7" s="1"/>
  <c r="BD90" i="7"/>
  <c r="L60" i="56" s="1"/>
  <c r="CX55" i="123"/>
  <c r="CN55" i="123"/>
  <c r="DU105" i="8"/>
  <c r="DU63" i="8"/>
  <c r="Z12" i="61"/>
  <c r="AA13" i="61"/>
  <c r="AD43" i="98"/>
  <c r="BH123" i="6"/>
  <c r="CU144" i="7"/>
  <c r="CU166" i="7" s="1"/>
  <c r="CU168" i="7" s="1"/>
  <c r="CU17" i="7"/>
  <c r="CU71" i="7" s="1"/>
  <c r="CU73" i="7" s="1"/>
  <c r="CF166" i="7"/>
  <c r="CF168" i="7" s="1"/>
  <c r="U54" i="123"/>
  <c r="K54" i="123"/>
  <c r="M41" i="125"/>
  <c r="P113" i="56"/>
  <c r="BC130" i="8"/>
  <c r="CL26" i="122"/>
  <c r="M54" i="66"/>
  <c r="X33" i="66"/>
  <c r="I31" i="65"/>
  <c r="I36" i="65"/>
  <c r="I9" i="65" s="1"/>
  <c r="I47" i="65" s="1"/>
  <c r="BJ113" i="6"/>
  <c r="O46" i="125"/>
  <c r="AO53" i="123"/>
  <c r="AY53" i="123"/>
  <c r="BF14" i="61"/>
  <c r="DA18" i="8"/>
  <c r="AI40" i="98"/>
  <c r="BC14" i="61"/>
  <c r="CS166" i="7"/>
  <c r="T55" i="123"/>
  <c r="AC55" i="123" s="1"/>
  <c r="AD55" i="123"/>
  <c r="I13" i="64"/>
  <c r="F11" i="64"/>
  <c r="X23" i="64"/>
  <c r="X10" i="64"/>
  <c r="Y11" i="64"/>
  <c r="L50" i="56"/>
  <c r="M50" i="56"/>
  <c r="BE94" i="7"/>
  <c r="BD136" i="7" s="1"/>
  <c r="BD137" i="7"/>
  <c r="BF137" i="7" s="1"/>
  <c r="BF136" i="7" s="1"/>
  <c r="CB136" i="7" s="1"/>
  <c r="CC19" i="7"/>
  <c r="V43" i="125"/>
  <c r="O43" i="125"/>
  <c r="Q11" i="65"/>
  <c r="Q10" i="65" s="1"/>
  <c r="N10" i="65"/>
  <c r="U56" i="123"/>
  <c r="T56" i="123" s="1"/>
  <c r="K56" i="123"/>
  <c r="AI34" i="98"/>
  <c r="AI38" i="98" s="1"/>
  <c r="AI42" i="98"/>
  <c r="GI61" i="123"/>
  <c r="AE52" i="126"/>
  <c r="L45" i="125"/>
  <c r="N12" i="66"/>
  <c r="P13" i="66"/>
  <c r="P12" i="66" s="1"/>
  <c r="N32" i="61"/>
  <c r="N37" i="61"/>
  <c r="N11" i="61" s="1"/>
  <c r="N47" i="61" s="1"/>
  <c r="S43" i="125"/>
  <c r="AJ129" i="8"/>
  <c r="AI130" i="8"/>
  <c r="L73" i="56"/>
  <c r="AW129" i="8"/>
  <c r="BA177" i="7"/>
  <c r="E40" i="56"/>
  <c r="D41" i="56"/>
  <c r="BF94" i="7"/>
  <c r="P50" i="56"/>
  <c r="E29" i="56"/>
  <c r="E49" i="56"/>
  <c r="J10" i="56"/>
  <c r="O10" i="56" s="1"/>
  <c r="O9" i="56" s="1"/>
  <c r="AD36" i="125"/>
  <c r="F8" i="129"/>
  <c r="E8" i="129" s="1"/>
  <c r="F5" i="129"/>
  <c r="E5" i="129" s="1"/>
  <c r="AZ85" i="8"/>
  <c r="BA85" i="8" s="1"/>
  <c r="BA84" i="8"/>
  <c r="AY54" i="123"/>
  <c r="AO54" i="123"/>
  <c r="X11" i="61"/>
  <c r="Y12" i="61"/>
  <c r="X32" i="61"/>
  <c r="BM13" i="61"/>
  <c r="CA171" i="7"/>
  <c r="CA173" i="7"/>
  <c r="AD34" i="125"/>
  <c r="P23" i="64"/>
  <c r="P10" i="64"/>
  <c r="P122" i="56"/>
  <c r="X122" i="56" s="1"/>
  <c r="K123" i="56"/>
  <c r="K122" i="56" s="1"/>
  <c r="T122" i="56" s="1"/>
  <c r="AZ126" i="8"/>
  <c r="I40" i="66"/>
  <c r="K40" i="66"/>
  <c r="F49" i="66"/>
  <c r="F52" i="66" s="1"/>
  <c r="J40" i="66"/>
  <c r="F45" i="66"/>
  <c r="K31" i="65"/>
  <c r="K36" i="65"/>
  <c r="M36" i="65" s="1"/>
  <c r="M9" i="65" s="1"/>
  <c r="M40" i="65" s="1"/>
  <c r="Z40" i="65" s="1"/>
  <c r="DB18" i="8"/>
  <c r="AI41" i="98"/>
  <c r="CR17" i="7"/>
  <c r="CR71" i="7" s="1"/>
  <c r="CR73" i="7" s="1"/>
  <c r="CR144" i="7"/>
  <c r="CR166" i="7" s="1"/>
  <c r="CR168" i="7" s="1"/>
  <c r="BH55" i="123"/>
  <c r="BG55" i="123" s="1"/>
  <c r="AX55" i="123"/>
  <c r="AN11" i="64"/>
  <c r="S47" i="125"/>
  <c r="AE15" i="61"/>
  <c r="AF17" i="61"/>
  <c r="BX173" i="7"/>
  <c r="BX171" i="7"/>
  <c r="U53" i="123"/>
  <c r="T53" i="123" s="1"/>
  <c r="K53" i="123"/>
  <c r="GJ60" i="123"/>
  <c r="AF51" i="126"/>
  <c r="P46" i="125"/>
  <c r="DQ154" i="7"/>
  <c r="DQ166" i="7" s="1"/>
  <c r="DP59" i="7"/>
  <c r="DP71" i="7" s="1"/>
  <c r="BF171" i="7"/>
  <c r="BF173" i="7"/>
  <c r="V72" i="56"/>
  <c r="V92" i="56"/>
  <c r="BF17" i="61"/>
  <c r="AX15" i="61"/>
  <c r="AY17" i="61"/>
  <c r="BD17" i="61"/>
  <c r="AN13" i="66"/>
  <c r="Z13" i="66"/>
  <c r="X12" i="66"/>
  <c r="AF13" i="66"/>
  <c r="AX57" i="123"/>
  <c r="BH57" i="123"/>
  <c r="BG57" i="123" s="1"/>
  <c r="C8" i="129"/>
  <c r="B8" i="129" s="1"/>
  <c r="C5" i="129"/>
  <c r="B4" i="129"/>
  <c r="I4" i="129" s="1"/>
  <c r="L4" i="129" s="1"/>
  <c r="AC47" i="125"/>
  <c r="CK18" i="8"/>
  <c r="CL17" i="8"/>
  <c r="CL61" i="8" s="1"/>
  <c r="CL63" i="8" s="1"/>
  <c r="CL96" i="8"/>
  <c r="EB49" i="19"/>
  <c r="DH59" i="7" s="1"/>
  <c r="L20" i="105"/>
  <c r="AH13" i="66"/>
  <c r="AM13" i="66"/>
  <c r="GI60" i="123"/>
  <c r="AE51" i="126"/>
  <c r="BZ170" i="7"/>
  <c r="BZ168" i="7"/>
  <c r="AL10" i="64"/>
  <c r="AL23" i="64"/>
  <c r="D61" i="56"/>
  <c r="E60" i="56"/>
  <c r="H41" i="61"/>
  <c r="H47" i="61"/>
  <c r="H49" i="61" s="1"/>
  <c r="H53" i="61" s="1"/>
  <c r="X52" i="95"/>
  <c r="BM24" i="61"/>
  <c r="BL15" i="61"/>
  <c r="BX15" i="61" s="1"/>
  <c r="BE12" i="61"/>
  <c r="BJ64" i="6"/>
  <c r="BF123" i="6"/>
  <c r="AI11" i="65"/>
  <c r="CW171" i="7"/>
  <c r="CW173" i="7"/>
  <c r="R47" i="125"/>
  <c r="F47" i="65"/>
  <c r="F49" i="65" s="1"/>
  <c r="C34" i="90"/>
  <c r="C31" i="90" s="1"/>
  <c r="Q42" i="65" s="1"/>
  <c r="CM96" i="8"/>
  <c r="CM17" i="8"/>
  <c r="CM61" i="8" s="1"/>
  <c r="CM63" i="8" s="1"/>
  <c r="F11" i="61"/>
  <c r="O36" i="65"/>
  <c r="O9" i="65" s="1"/>
  <c r="O47" i="65" s="1"/>
  <c r="O31" i="65"/>
  <c r="W46" i="125"/>
  <c r="DJ18" i="7"/>
  <c r="DK144" i="7"/>
  <c r="DK17" i="7"/>
  <c r="AE11" i="64"/>
  <c r="AF12" i="64"/>
  <c r="AN32" i="98"/>
  <c r="AN37" i="98" s="1"/>
  <c r="AN31" i="98"/>
  <c r="AN36" i="98" s="1"/>
  <c r="AN29" i="98"/>
  <c r="BT126" i="8"/>
  <c r="BT124" i="8"/>
  <c r="BS123" i="8"/>
  <c r="BS124" i="8" s="1"/>
  <c r="T57" i="123"/>
  <c r="AD57" i="123"/>
  <c r="Z11" i="64"/>
  <c r="AA12" i="64"/>
  <c r="U60" i="125"/>
  <c r="R60" i="125"/>
  <c r="V60" i="125"/>
  <c r="G6" i="129"/>
  <c r="G7" i="129" s="1"/>
  <c r="G9" i="129"/>
  <c r="AE34" i="126"/>
  <c r="GI43" i="123"/>
  <c r="GM36" i="123" l="1"/>
  <c r="G83" i="56"/>
  <c r="G82" i="56" s="1"/>
  <c r="Q82" i="56" s="1"/>
  <c r="DQ76" i="121"/>
  <c r="DZ76" i="121" s="1"/>
  <c r="AC40" i="123"/>
  <c r="W27" i="126"/>
  <c r="W33" i="125"/>
  <c r="EC47" i="121"/>
  <c r="EL47" i="121" s="1"/>
  <c r="FN36" i="123"/>
  <c r="DO55" i="121"/>
  <c r="DX55" i="121" s="1"/>
  <c r="DP59" i="121"/>
  <c r="DY59" i="121" s="1"/>
  <c r="DQ81" i="121"/>
  <c r="DZ81" i="121" s="1"/>
  <c r="V42" i="125"/>
  <c r="BQ69" i="121"/>
  <c r="CC69" i="121" s="1"/>
  <c r="CL69" i="121" s="1"/>
  <c r="BE98" i="120"/>
  <c r="AO98" i="120"/>
  <c r="BD102" i="120"/>
  <c r="BK102" i="120"/>
  <c r="BE104" i="120"/>
  <c r="BK104" i="120" s="1"/>
  <c r="BE200" i="120"/>
  <c r="M31" i="126"/>
  <c r="AL40" i="123"/>
  <c r="AF21" i="122"/>
  <c r="AL21" i="122" s="1"/>
  <c r="AM21" i="122"/>
  <c r="EB56" i="121"/>
  <c r="DO56" i="121"/>
  <c r="CM76" i="121"/>
  <c r="CD78" i="121"/>
  <c r="CM78" i="121" s="1"/>
  <c r="FG76" i="121"/>
  <c r="FP47" i="121"/>
  <c r="AL200" i="120"/>
  <c r="AF202" i="120"/>
  <c r="AL202" i="120" s="1"/>
  <c r="AY54" i="121"/>
  <c r="BH52" i="121"/>
  <c r="AX52" i="121"/>
  <c r="AX54" i="121" s="1"/>
  <c r="FE56" i="121"/>
  <c r="GM56" i="121" s="1"/>
  <c r="FO56" i="121"/>
  <c r="FX56" i="121" s="1"/>
  <c r="ED129" i="8"/>
  <c r="ED130" i="8" s="1"/>
  <c r="ED127" i="8"/>
  <c r="BE22" i="122"/>
  <c r="BN22" i="122"/>
  <c r="AO22" i="122"/>
  <c r="AP21" i="122"/>
  <c r="AO21" i="122" s="1"/>
  <c r="AL59" i="121"/>
  <c r="CB59" i="121"/>
  <c r="BN104" i="120"/>
  <c r="CM104" i="120" s="1"/>
  <c r="BM102" i="120"/>
  <c r="BN98" i="120"/>
  <c r="BM98" i="120" s="1"/>
  <c r="BN200" i="120"/>
  <c r="BN160" i="122"/>
  <c r="EN40" i="123"/>
  <c r="BZ55" i="121"/>
  <c r="CC55" i="121"/>
  <c r="S41" i="125" s="1"/>
  <c r="AX40" i="123"/>
  <c r="BH40" i="123"/>
  <c r="BG40" i="123" s="1"/>
  <c r="BP40" i="123" s="1"/>
  <c r="EK57" i="121"/>
  <c r="GA57" i="121"/>
  <c r="GJ57" i="121" s="1"/>
  <c r="AO54" i="121"/>
  <c r="DP55" i="121"/>
  <c r="DY55" i="121" s="1"/>
  <c r="H52" i="143"/>
  <c r="BM48" i="122"/>
  <c r="BM158" i="122"/>
  <c r="BM160" i="122" s="1"/>
  <c r="CN40" i="123"/>
  <c r="CX40" i="123"/>
  <c r="EX81" i="121"/>
  <c r="EX78" i="121"/>
  <c r="BJ158" i="122"/>
  <c r="BD160" i="122"/>
  <c r="BJ160" i="122" s="1"/>
  <c r="N31" i="126"/>
  <c r="AM40" i="123"/>
  <c r="AP202" i="120"/>
  <c r="CO52" i="121"/>
  <c r="AO200" i="120"/>
  <c r="AO202" i="120" s="1"/>
  <c r="AO104" i="120"/>
  <c r="CL59" i="121"/>
  <c r="FF55" i="121"/>
  <c r="FE55" i="121" s="1"/>
  <c r="EV55" i="121"/>
  <c r="EA57" i="121"/>
  <c r="CB55" i="121"/>
  <c r="BY55" i="121"/>
  <c r="U54" i="121"/>
  <c r="T52" i="121"/>
  <c r="DQ78" i="121"/>
  <c r="DZ78" i="121" s="1"/>
  <c r="FF59" i="121"/>
  <c r="FE59" i="121" s="1"/>
  <c r="EV59" i="121"/>
  <c r="D38" i="127"/>
  <c r="CA81" i="121"/>
  <c r="CD81" i="121"/>
  <c r="EC76" i="121"/>
  <c r="AD52" i="121"/>
  <c r="BP69" i="121"/>
  <c r="CB69" i="121" s="1"/>
  <c r="BK150" i="120"/>
  <c r="BE216" i="120"/>
  <c r="BK216" i="120" s="1"/>
  <c r="BD150" i="120"/>
  <c r="AM67" i="121"/>
  <c r="BM151" i="120"/>
  <c r="BM217" i="120" s="1"/>
  <c r="BN217" i="120"/>
  <c r="EN69" i="121" s="1"/>
  <c r="CH154" i="120"/>
  <c r="CB220" i="120"/>
  <c r="CH220" i="120" s="1"/>
  <c r="AF172" i="122"/>
  <c r="AL172" i="122" s="1"/>
  <c r="AL117" i="122"/>
  <c r="AF216" i="120"/>
  <c r="AL216" i="120" s="1"/>
  <c r="AL150" i="120"/>
  <c r="EN121" i="8"/>
  <c r="EN123" i="8"/>
  <c r="BE217" i="120"/>
  <c r="BK217" i="120" s="1"/>
  <c r="BD151" i="120"/>
  <c r="BK151" i="120"/>
  <c r="T68" i="121"/>
  <c r="AC68" i="121" s="1"/>
  <c r="AD68" i="121"/>
  <c r="BD174" i="122"/>
  <c r="BJ174" i="122" s="1"/>
  <c r="BJ119" i="122"/>
  <c r="BN149" i="120"/>
  <c r="CM149" i="120" s="1"/>
  <c r="AP215" i="120"/>
  <c r="CO67" i="121" s="1"/>
  <c r="AO149" i="120"/>
  <c r="AF215" i="120"/>
  <c r="AL215" i="120" s="1"/>
  <c r="AL149" i="120"/>
  <c r="AL69" i="121"/>
  <c r="CC176" i="122"/>
  <c r="CI176" i="122" s="1"/>
  <c r="C121" i="122"/>
  <c r="CI121" i="122"/>
  <c r="CB121" i="122"/>
  <c r="AX67" i="121"/>
  <c r="BH67" i="121"/>
  <c r="BG67" i="121" s="1"/>
  <c r="AO217" i="120"/>
  <c r="BE149" i="120"/>
  <c r="BD175" i="122"/>
  <c r="BJ175" i="122" s="1"/>
  <c r="BJ120" i="122"/>
  <c r="AC67" i="121"/>
  <c r="CB170" i="122"/>
  <c r="CH170" i="122" s="1"/>
  <c r="CH115" i="122"/>
  <c r="AX68" i="121"/>
  <c r="BH68" i="121"/>
  <c r="BG68" i="121" s="1"/>
  <c r="CX69" i="121"/>
  <c r="CN69" i="121"/>
  <c r="R154" i="120"/>
  <c r="B154" i="120"/>
  <c r="C220" i="120"/>
  <c r="C72" i="121" s="1"/>
  <c r="C148" i="120"/>
  <c r="BE117" i="122"/>
  <c r="AP172" i="122"/>
  <c r="CO54" i="123" s="1"/>
  <c r="CX54" i="123" s="1"/>
  <c r="AO117" i="122"/>
  <c r="AO172" i="122" s="1"/>
  <c r="BN117" i="122"/>
  <c r="EJ171" i="7"/>
  <c r="EJ173" i="7"/>
  <c r="EJ174" i="7" s="1"/>
  <c r="BD171" i="122"/>
  <c r="BJ171" i="122" s="1"/>
  <c r="BJ116" i="122"/>
  <c r="AP216" i="120"/>
  <c r="CO68" i="121" s="1"/>
  <c r="BN150" i="120"/>
  <c r="CM150" i="120" s="1"/>
  <c r="AO150" i="120"/>
  <c r="FW36" i="123"/>
  <c r="AB27" i="126"/>
  <c r="FX36" i="123"/>
  <c r="AC27" i="126"/>
  <c r="EJ36" i="123"/>
  <c r="Y27" i="126"/>
  <c r="FZ36" i="123"/>
  <c r="Z27" i="126"/>
  <c r="EK36" i="123"/>
  <c r="GA36" i="123"/>
  <c r="AX12" i="64"/>
  <c r="AX11" i="64" s="1"/>
  <c r="AX10" i="64" s="1"/>
  <c r="AX35" i="64" s="1"/>
  <c r="AX37" i="64" s="1"/>
  <c r="BE11" i="64"/>
  <c r="AS31" i="98"/>
  <c r="AS36" i="98" s="1"/>
  <c r="AS32" i="98"/>
  <c r="AS37" i="98" s="1"/>
  <c r="AS41" i="98" s="1"/>
  <c r="EL18" i="8" s="1"/>
  <c r="AS29" i="98"/>
  <c r="AR31" i="98"/>
  <c r="AR36" i="98" s="1"/>
  <c r="AR32" i="98"/>
  <c r="AR37" i="98" s="1"/>
  <c r="AR29" i="98"/>
  <c r="B40" i="121"/>
  <c r="AQ40" i="121"/>
  <c r="AZ40" i="121"/>
  <c r="M40" i="121"/>
  <c r="V40" i="121"/>
  <c r="BI40" i="121"/>
  <c r="D31" i="121"/>
  <c r="FG40" i="121"/>
  <c r="CN40" i="121"/>
  <c r="CY40" i="121"/>
  <c r="DH40" i="121"/>
  <c r="EO40" i="121"/>
  <c r="EX40" i="121"/>
  <c r="CP31" i="121"/>
  <c r="D51" i="143"/>
  <c r="E51" i="143" s="1"/>
  <c r="K52" i="143"/>
  <c r="BV171" i="7"/>
  <c r="BW176" i="7"/>
  <c r="BW177" i="7" s="1"/>
  <c r="EB151" i="7"/>
  <c r="EB17" i="7"/>
  <c r="EC195" i="7"/>
  <c r="BU27" i="61"/>
  <c r="J72" i="56"/>
  <c r="J73" i="56" s="1"/>
  <c r="O73" i="56" s="1"/>
  <c r="O72" i="56" s="1"/>
  <c r="I74" i="56"/>
  <c r="G74" i="56" s="1"/>
  <c r="N74" i="56" s="1"/>
  <c r="L74" i="56" s="1"/>
  <c r="BM15" i="61"/>
  <c r="BT15" i="61"/>
  <c r="BS44" i="61"/>
  <c r="BE11" i="65"/>
  <c r="DZ166" i="7"/>
  <c r="DZ184" i="7"/>
  <c r="DZ199" i="7" s="1"/>
  <c r="DY150" i="7"/>
  <c r="DY166" i="7" s="1"/>
  <c r="DY168" i="7" s="1"/>
  <c r="DY27" i="7"/>
  <c r="DY71" i="7" s="1"/>
  <c r="DY73" i="7" s="1"/>
  <c r="BV88" i="7"/>
  <c r="BV90" i="7"/>
  <c r="DV152" i="8"/>
  <c r="DU119" i="8"/>
  <c r="DU121" i="8" s="1"/>
  <c r="AX23" i="64"/>
  <c r="DR199" i="7"/>
  <c r="AW127" i="8"/>
  <c r="BO13" i="61"/>
  <c r="BO12" i="61" s="1"/>
  <c r="BO11" i="61" s="1"/>
  <c r="BO44" i="61" s="1"/>
  <c r="BO47" i="61" s="1"/>
  <c r="DQ184" i="7"/>
  <c r="DQ73" i="7"/>
  <c r="BD124" i="6"/>
  <c r="BE124" i="6" s="1"/>
  <c r="DK71" i="7"/>
  <c r="DK73" i="7" s="1"/>
  <c r="BD123" i="6"/>
  <c r="BE123" i="6" s="1"/>
  <c r="V47" i="125"/>
  <c r="H123" i="56"/>
  <c r="H122" i="56" s="1"/>
  <c r="J122" i="56" s="1"/>
  <c r="J123" i="56" s="1"/>
  <c r="O123" i="56" s="1"/>
  <c r="O122" i="56" s="1"/>
  <c r="CV168" i="7"/>
  <c r="X47" i="125"/>
  <c r="AB43" i="125"/>
  <c r="AX13" i="61"/>
  <c r="CG184" i="7"/>
  <c r="CG199" i="7" s="1"/>
  <c r="CG166" i="7"/>
  <c r="M38" i="125"/>
  <c r="BP12" i="61"/>
  <c r="DL166" i="7"/>
  <c r="DL184" i="7"/>
  <c r="CH184" i="7"/>
  <c r="CH166" i="7"/>
  <c r="DJ150" i="7"/>
  <c r="C27" i="94"/>
  <c r="C24" i="94" s="1"/>
  <c r="X43" i="61" s="1"/>
  <c r="X44" i="61" s="1"/>
  <c r="X47" i="61" s="1"/>
  <c r="FF38" i="123"/>
  <c r="FE38" i="123" s="1"/>
  <c r="EV38" i="123"/>
  <c r="DF38" i="123"/>
  <c r="DP38" i="123"/>
  <c r="S29" i="126"/>
  <c r="CK38" i="123"/>
  <c r="P57" i="125"/>
  <c r="AD56" i="123"/>
  <c r="N47" i="126" s="1"/>
  <c r="AC56" i="123"/>
  <c r="AL56" i="123" s="1"/>
  <c r="BP55" i="123"/>
  <c r="P46" i="126" s="1"/>
  <c r="AA43" i="125"/>
  <c r="Y13" i="66"/>
  <c r="Y52" i="95"/>
  <c r="AL17" i="66"/>
  <c r="CY119" i="8"/>
  <c r="CY141" i="8"/>
  <c r="CY152" i="8" s="1"/>
  <c r="BP57" i="123"/>
  <c r="BY57" i="123" s="1"/>
  <c r="AF15" i="66"/>
  <c r="AE12" i="66"/>
  <c r="AE11" i="66" s="1"/>
  <c r="AE36" i="66" s="1"/>
  <c r="AE39" i="66" s="1"/>
  <c r="BX124" i="8"/>
  <c r="BV123" i="8"/>
  <c r="BV124" i="8" s="1"/>
  <c r="BX126" i="8"/>
  <c r="AC60" i="61"/>
  <c r="AC64" i="61"/>
  <c r="AC66" i="61" s="1"/>
  <c r="AD57" i="61"/>
  <c r="I8" i="129"/>
  <c r="L8" i="129" s="1"/>
  <c r="K9" i="65"/>
  <c r="C34" i="94" s="1"/>
  <c r="C31" i="94" s="1"/>
  <c r="Z42" i="65" s="1"/>
  <c r="Z43" i="65" s="1"/>
  <c r="AB43" i="65" s="1"/>
  <c r="AI43" i="98"/>
  <c r="AC53" i="123"/>
  <c r="AL53" i="123" s="1"/>
  <c r="Y11" i="61"/>
  <c r="AB42" i="125"/>
  <c r="AC57" i="123"/>
  <c r="DQ18" i="8"/>
  <c r="AN41" i="98"/>
  <c r="DK185" i="7"/>
  <c r="DK166" i="7"/>
  <c r="AJ11" i="65"/>
  <c r="AO11" i="65"/>
  <c r="B61" i="56"/>
  <c r="C60" i="56"/>
  <c r="L19" i="105"/>
  <c r="L26" i="105"/>
  <c r="X11" i="66"/>
  <c r="Y12" i="66"/>
  <c r="BF174" i="7"/>
  <c r="BF176" i="7"/>
  <c r="BF177" i="7" s="1"/>
  <c r="BX174" i="7"/>
  <c r="BX176" i="7"/>
  <c r="BX177" i="7" s="1"/>
  <c r="Y47" i="125"/>
  <c r="K44" i="66"/>
  <c r="DR170" i="7"/>
  <c r="DR168" i="7"/>
  <c r="F6" i="129"/>
  <c r="F10" i="129" s="1"/>
  <c r="F14" i="129" s="1"/>
  <c r="F18" i="129" s="1"/>
  <c r="F9" i="129"/>
  <c r="E9" i="129" s="1"/>
  <c r="B41" i="56"/>
  <c r="C40" i="56"/>
  <c r="I124" i="56"/>
  <c r="G124" i="56" s="1"/>
  <c r="N124" i="56" s="1"/>
  <c r="L124" i="56" s="1"/>
  <c r="E112" i="56"/>
  <c r="N31" i="65"/>
  <c r="N36" i="65"/>
  <c r="N9" i="65" s="1"/>
  <c r="N47" i="65" s="1"/>
  <c r="R43" i="125"/>
  <c r="N13" i="64"/>
  <c r="N11" i="64" s="1"/>
  <c r="I11" i="64"/>
  <c r="BD14" i="61"/>
  <c r="BC12" i="61"/>
  <c r="BH53" i="123"/>
  <c r="AX53" i="123"/>
  <c r="P112" i="56"/>
  <c r="X112" i="56" s="1"/>
  <c r="K113" i="56"/>
  <c r="K112" i="56" s="1"/>
  <c r="T112" i="56" s="1"/>
  <c r="AB13" i="61"/>
  <c r="AA12" i="61"/>
  <c r="DG55" i="123"/>
  <c r="CW55" i="123"/>
  <c r="BD174" i="7"/>
  <c r="BD176" i="7"/>
  <c r="BD177" i="7" s="1"/>
  <c r="O41" i="125"/>
  <c r="CM115" i="122"/>
  <c r="AS12" i="64"/>
  <c r="DI199" i="7"/>
  <c r="AC11" i="65"/>
  <c r="AB10" i="65"/>
  <c r="AB9" i="65" s="1"/>
  <c r="CN57" i="123"/>
  <c r="CX57" i="123"/>
  <c r="BU129" i="8"/>
  <c r="BU130" i="8" s="1"/>
  <c r="BU127" i="8"/>
  <c r="U82" i="56"/>
  <c r="U102" i="56"/>
  <c r="BQ55" i="123"/>
  <c r="CC55" i="123" s="1"/>
  <c r="DJ144" i="7"/>
  <c r="DJ17" i="7"/>
  <c r="DJ71" i="7" s="1"/>
  <c r="DJ73" i="7" s="1"/>
  <c r="CW176" i="7"/>
  <c r="CW177" i="7" s="1"/>
  <c r="CW174" i="7"/>
  <c r="BE11" i="61"/>
  <c r="BE32" i="61"/>
  <c r="CK17" i="8"/>
  <c r="CK61" i="8" s="1"/>
  <c r="CK63" i="8" s="1"/>
  <c r="CK96" i="8"/>
  <c r="CK119" i="8" s="1"/>
  <c r="CK121" i="8" s="1"/>
  <c r="B5" i="129"/>
  <c r="I5" i="129" s="1"/>
  <c r="L5" i="129" s="1"/>
  <c r="C6" i="129"/>
  <c r="C9" i="129"/>
  <c r="AA13" i="66"/>
  <c r="Z12" i="66"/>
  <c r="AY15" i="61"/>
  <c r="BF15" i="61"/>
  <c r="BD15" i="61"/>
  <c r="S46" i="125"/>
  <c r="AF15" i="61"/>
  <c r="AE12" i="61"/>
  <c r="I44" i="66"/>
  <c r="CA174" i="7"/>
  <c r="CA176" i="7"/>
  <c r="CA177" i="7" s="1"/>
  <c r="AX54" i="123"/>
  <c r="BH54" i="123"/>
  <c r="BG54" i="123" s="1"/>
  <c r="E50" i="56"/>
  <c r="D51" i="56"/>
  <c r="Q9" i="65"/>
  <c r="Q44" i="65" s="1"/>
  <c r="Q47" i="65" s="1"/>
  <c r="Q31" i="65"/>
  <c r="M49" i="56"/>
  <c r="V49" i="56" s="1"/>
  <c r="M57" i="125"/>
  <c r="K41" i="66"/>
  <c r="Y10" i="64"/>
  <c r="X35" i="64"/>
  <c r="N46" i="126"/>
  <c r="AM55" i="123"/>
  <c r="T54" i="123"/>
  <c r="AD54" i="123"/>
  <c r="BK123" i="6"/>
  <c r="BH124" i="6"/>
  <c r="Z11" i="61"/>
  <c r="Z44" i="61" s="1"/>
  <c r="Z47" i="61" s="1"/>
  <c r="Z32" i="61"/>
  <c r="L59" i="56"/>
  <c r="U59" i="56" s="1"/>
  <c r="M112" i="56"/>
  <c r="V112" i="56" s="1"/>
  <c r="P41" i="125"/>
  <c r="P45" i="125"/>
  <c r="AA11" i="65"/>
  <c r="BH56" i="123"/>
  <c r="BG56" i="123" s="1"/>
  <c r="AX56" i="123"/>
  <c r="CV171" i="7"/>
  <c r="CU170" i="7"/>
  <c r="CV173" i="7"/>
  <c r="CL118" i="122"/>
  <c r="DL105" i="8"/>
  <c r="DL119" i="8" s="1"/>
  <c r="DL121" i="8" s="1"/>
  <c r="DL61" i="8"/>
  <c r="DL63" i="8" s="1"/>
  <c r="BV176" i="7"/>
  <c r="BV177" i="7" s="1"/>
  <c r="BV174" i="7"/>
  <c r="BQ57" i="123"/>
  <c r="CC57" i="123" s="1"/>
  <c r="AB12" i="64"/>
  <c r="AA11" i="64"/>
  <c r="AN34" i="98"/>
  <c r="AN38" i="98" s="1"/>
  <c r="AN42" i="98"/>
  <c r="AE10" i="64"/>
  <c r="AF11" i="64"/>
  <c r="AE23" i="64"/>
  <c r="BJ123" i="6"/>
  <c r="BF124" i="6"/>
  <c r="P41" i="61"/>
  <c r="AL41" i="61"/>
  <c r="DH154" i="7"/>
  <c r="DG59" i="7"/>
  <c r="DH71" i="7"/>
  <c r="DH73" i="7" s="1"/>
  <c r="AO13" i="66"/>
  <c r="AV13" i="66"/>
  <c r="DV121" i="8"/>
  <c r="DV123" i="8"/>
  <c r="AN10" i="64"/>
  <c r="AN23" i="64"/>
  <c r="J44" i="66"/>
  <c r="J41" i="66"/>
  <c r="J45" i="66" s="1"/>
  <c r="L123" i="56"/>
  <c r="BA126" i="8"/>
  <c r="AZ127" i="8"/>
  <c r="BA127" i="8" s="1"/>
  <c r="AZ129" i="8"/>
  <c r="E30" i="56"/>
  <c r="D31" i="56"/>
  <c r="P49" i="56"/>
  <c r="X49" i="56" s="1"/>
  <c r="K50" i="56"/>
  <c r="K49" i="56" s="1"/>
  <c r="T49" i="56" s="1"/>
  <c r="CX53" i="123"/>
  <c r="CN53" i="123"/>
  <c r="L72" i="56"/>
  <c r="G73" i="56"/>
  <c r="G72" i="56" s="1"/>
  <c r="Q72" i="56" s="1"/>
  <c r="Y43" i="125"/>
  <c r="P24" i="66"/>
  <c r="P11" i="66"/>
  <c r="L49" i="56"/>
  <c r="U49" i="56" s="1"/>
  <c r="M46" i="126"/>
  <c r="AL55" i="123"/>
  <c r="CZ18" i="8"/>
  <c r="DA17" i="8"/>
  <c r="DA61" i="8" s="1"/>
  <c r="DA63" i="8" s="1"/>
  <c r="DA138" i="8"/>
  <c r="DA96" i="8"/>
  <c r="DA119" i="8" s="1"/>
  <c r="DA65" i="8"/>
  <c r="DA64" i="8" s="1"/>
  <c r="I41" i="66"/>
  <c r="AQ11" i="65"/>
  <c r="EW55" i="123"/>
  <c r="EM55" i="123"/>
  <c r="DM137" i="8"/>
  <c r="DM119" i="8"/>
  <c r="Z23" i="64"/>
  <c r="Z10" i="64"/>
  <c r="Z35" i="64" s="1"/>
  <c r="Z37" i="64" s="1"/>
  <c r="N48" i="126"/>
  <c r="AM57" i="123"/>
  <c r="BT127" i="8"/>
  <c r="BS126" i="8"/>
  <c r="BT129" i="8"/>
  <c r="BT130" i="8" s="1"/>
  <c r="DP18" i="8"/>
  <c r="AN40" i="98"/>
  <c r="Z46" i="125"/>
  <c r="C27" i="90"/>
  <c r="C24" i="90" s="1"/>
  <c r="P43" i="61" s="1"/>
  <c r="F47" i="61"/>
  <c r="F49" i="61" s="1"/>
  <c r="CM138" i="8"/>
  <c r="CM119" i="8"/>
  <c r="K48" i="65"/>
  <c r="F53" i="65"/>
  <c r="I48" i="65"/>
  <c r="F60" i="65"/>
  <c r="AL35" i="64"/>
  <c r="BY170" i="7"/>
  <c r="BZ173" i="7"/>
  <c r="BZ171" i="7"/>
  <c r="CL138" i="8"/>
  <c r="CL119" i="8"/>
  <c r="DP154" i="7"/>
  <c r="DP166" i="7" s="1"/>
  <c r="DP73" i="7"/>
  <c r="M55" i="125"/>
  <c r="DB96" i="8"/>
  <c r="DB65" i="8"/>
  <c r="DB64" i="8" s="1"/>
  <c r="DB17" i="8"/>
  <c r="DB61" i="8" s="1"/>
  <c r="DB63" i="8" s="1"/>
  <c r="F51" i="66"/>
  <c r="K48" i="66"/>
  <c r="I48" i="66"/>
  <c r="M68" i="61"/>
  <c r="AJ130" i="8"/>
  <c r="AW130" i="8"/>
  <c r="N11" i="66"/>
  <c r="N39" i="66" s="1"/>
  <c r="N24" i="66"/>
  <c r="O57" i="125"/>
  <c r="F10" i="64"/>
  <c r="F23" i="64"/>
  <c r="CS170" i="7"/>
  <c r="CS168" i="7"/>
  <c r="R46" i="125"/>
  <c r="L57" i="125"/>
  <c r="L55" i="125"/>
  <c r="DI168" i="7"/>
  <c r="DI170" i="7"/>
  <c r="Z9" i="65"/>
  <c r="AA10" i="65"/>
  <c r="AH10" i="65"/>
  <c r="AX11" i="65"/>
  <c r="DN137" i="8"/>
  <c r="DN119" i="8"/>
  <c r="AD53" i="123"/>
  <c r="X60" i="125"/>
  <c r="AB60" i="125"/>
  <c r="Y60" i="125"/>
  <c r="G13" i="129"/>
  <c r="G10" i="129"/>
  <c r="G11" i="129" s="1"/>
  <c r="G12" i="129" s="1"/>
  <c r="Z33" i="125" l="1"/>
  <c r="F38" i="127"/>
  <c r="GB47" i="121"/>
  <c r="GB76" i="121" s="1"/>
  <c r="EB59" i="121"/>
  <c r="EK59" i="121" s="1"/>
  <c r="FN59" i="121"/>
  <c r="FW59" i="121" s="1"/>
  <c r="GM59" i="121"/>
  <c r="FN55" i="121"/>
  <c r="FW55" i="121" s="1"/>
  <c r="DG40" i="123"/>
  <c r="DF40" i="123" s="1"/>
  <c r="CW40" i="123"/>
  <c r="FN56" i="121"/>
  <c r="P55" i="125"/>
  <c r="BE21" i="122"/>
  <c r="BK200" i="120"/>
  <c r="BE202" i="120"/>
  <c r="BK202" i="120" s="1"/>
  <c r="CM98" i="120"/>
  <c r="E38" i="127"/>
  <c r="CM81" i="121"/>
  <c r="EC81" i="121"/>
  <c r="EM40" i="123"/>
  <c r="EW40" i="123"/>
  <c r="BK22" i="122"/>
  <c r="BD22" i="122"/>
  <c r="BJ22" i="122" s="1"/>
  <c r="BD104" i="120"/>
  <c r="BJ104" i="120" s="1"/>
  <c r="BJ102" i="120"/>
  <c r="BD200" i="120"/>
  <c r="O55" i="125"/>
  <c r="CN54" i="123"/>
  <c r="AM52" i="121"/>
  <c r="AD54" i="121"/>
  <c r="AM54" i="121" s="1"/>
  <c r="EL76" i="121"/>
  <c r="EC78" i="121"/>
  <c r="EL78" i="121" s="1"/>
  <c r="EA55" i="121"/>
  <c r="CK55" i="121"/>
  <c r="CN52" i="121"/>
  <c r="CX52" i="121"/>
  <c r="CO54" i="121"/>
  <c r="CL55" i="121"/>
  <c r="EB55" i="121"/>
  <c r="BN202" i="120"/>
  <c r="EN52" i="121"/>
  <c r="EA59" i="121"/>
  <c r="CK59" i="121"/>
  <c r="BH54" i="121"/>
  <c r="BG52" i="121"/>
  <c r="BQ52" i="121"/>
  <c r="P38" i="125" s="1"/>
  <c r="FP76" i="121"/>
  <c r="FY47" i="121"/>
  <c r="AC33" i="125"/>
  <c r="DX56" i="121"/>
  <c r="U42" i="125"/>
  <c r="EA56" i="121"/>
  <c r="CL98" i="120"/>
  <c r="FO59" i="121"/>
  <c r="FX59" i="121" s="1"/>
  <c r="CB40" i="123"/>
  <c r="BY40" i="123"/>
  <c r="P31" i="126"/>
  <c r="CL102" i="120"/>
  <c r="BM104" i="120"/>
  <c r="CL104" i="120" s="1"/>
  <c r="BM200" i="120"/>
  <c r="BM202" i="120" s="1"/>
  <c r="GM55" i="121"/>
  <c r="T54" i="121"/>
  <c r="AC52" i="121"/>
  <c r="FZ57" i="121"/>
  <c r="GI57" i="121" s="1"/>
  <c r="EJ57" i="121"/>
  <c r="BQ40" i="123"/>
  <c r="BM22" i="122"/>
  <c r="CL22" i="122" s="1"/>
  <c r="BN21" i="122"/>
  <c r="BM21" i="122" s="1"/>
  <c r="FG81" i="121"/>
  <c r="FP81" i="121" s="1"/>
  <c r="FG78" i="121"/>
  <c r="GA56" i="121"/>
  <c r="GJ56" i="121" s="1"/>
  <c r="EK56" i="121"/>
  <c r="Y42" i="125"/>
  <c r="BD98" i="120"/>
  <c r="BJ98" i="120" s="1"/>
  <c r="BK98" i="120"/>
  <c r="FO55" i="121"/>
  <c r="FX55" i="121" s="1"/>
  <c r="E92" i="56"/>
  <c r="CL151" i="120"/>
  <c r="BQ67" i="121"/>
  <c r="BZ67" i="121" s="1"/>
  <c r="BP68" i="121"/>
  <c r="BY68" i="121" s="1"/>
  <c r="AL68" i="121"/>
  <c r="CX68" i="121"/>
  <c r="CN68" i="121"/>
  <c r="Q154" i="120"/>
  <c r="Q220" i="120" s="1"/>
  <c r="R220" i="120"/>
  <c r="AP72" i="121" s="1"/>
  <c r="R148" i="120"/>
  <c r="AG148" i="120" s="1"/>
  <c r="AL67" i="121"/>
  <c r="AG154" i="120"/>
  <c r="BP67" i="121"/>
  <c r="BY67" i="121" s="1"/>
  <c r="R121" i="122"/>
  <c r="C176" i="122"/>
  <c r="C58" i="123" s="1"/>
  <c r="B121" i="122"/>
  <c r="B176" i="122" s="1"/>
  <c r="C115" i="122"/>
  <c r="AO215" i="120"/>
  <c r="BJ151" i="120"/>
  <c r="BD217" i="120"/>
  <c r="BJ217" i="120" s="1"/>
  <c r="EN124" i="8"/>
  <c r="EM123" i="8"/>
  <c r="EM124" i="8" s="1"/>
  <c r="EN126" i="8"/>
  <c r="AO216" i="120"/>
  <c r="BK117" i="122"/>
  <c r="BE172" i="122"/>
  <c r="BK172" i="122" s="1"/>
  <c r="BD117" i="122"/>
  <c r="B72" i="121"/>
  <c r="L72" i="121"/>
  <c r="CN67" i="121"/>
  <c r="CX67" i="121"/>
  <c r="AM68" i="121"/>
  <c r="EW69" i="121"/>
  <c r="EM69" i="121"/>
  <c r="BN216" i="120"/>
  <c r="EN68" i="121" s="1"/>
  <c r="BM150" i="120"/>
  <c r="BM216" i="120" s="1"/>
  <c r="BN172" i="122"/>
  <c r="EN54" i="123" s="1"/>
  <c r="EM54" i="123" s="1"/>
  <c r="BM117" i="122"/>
  <c r="BM172" i="122" s="1"/>
  <c r="B148" i="120"/>
  <c r="C214" i="120"/>
  <c r="C66" i="121" s="1"/>
  <c r="B220" i="120"/>
  <c r="CW69" i="121"/>
  <c r="DG69" i="121"/>
  <c r="BK149" i="120"/>
  <c r="BD149" i="120"/>
  <c r="BE215" i="120"/>
  <c r="BK215" i="120" s="1"/>
  <c r="CH121" i="122"/>
  <c r="CB176" i="122"/>
  <c r="CH176" i="122" s="1"/>
  <c r="CK69" i="121"/>
  <c r="BN215" i="120"/>
  <c r="EN67" i="121" s="1"/>
  <c r="BM149" i="120"/>
  <c r="BM215" i="120" s="1"/>
  <c r="BD216" i="120"/>
  <c r="BJ216" i="120" s="1"/>
  <c r="BJ150" i="120"/>
  <c r="BQ68" i="121"/>
  <c r="BZ68" i="121" s="1"/>
  <c r="AE27" i="126"/>
  <c r="GI36" i="123"/>
  <c r="GJ36" i="123"/>
  <c r="AF27" i="126"/>
  <c r="DQ199" i="7"/>
  <c r="BD11" i="64"/>
  <c r="BE10" i="64"/>
  <c r="BE35" i="64" s="1"/>
  <c r="BE37" i="64" s="1"/>
  <c r="BE23" i="64"/>
  <c r="EM40" i="121"/>
  <c r="EO31" i="121"/>
  <c r="FE40" i="121"/>
  <c r="FG31" i="121"/>
  <c r="BI31" i="121"/>
  <c r="BG40" i="121"/>
  <c r="AO40" i="121"/>
  <c r="AQ31" i="121"/>
  <c r="EH18" i="8"/>
  <c r="EB18" i="8"/>
  <c r="AR40" i="98"/>
  <c r="DH31" i="121"/>
  <c r="DF40" i="121"/>
  <c r="T40" i="121"/>
  <c r="V31" i="121"/>
  <c r="AS34" i="98"/>
  <c r="AS38" i="98" s="1"/>
  <c r="AS42" i="98"/>
  <c r="CP35" i="121"/>
  <c r="CN31" i="121"/>
  <c r="CW40" i="121"/>
  <c r="CY31" i="121"/>
  <c r="K40" i="121"/>
  <c r="M31" i="121"/>
  <c r="AR34" i="98"/>
  <c r="AR38" i="98" s="1"/>
  <c r="AR42" i="98"/>
  <c r="CD41" i="122"/>
  <c r="EL96" i="8"/>
  <c r="EL17" i="8"/>
  <c r="EL65" i="8"/>
  <c r="EL64" i="8" s="1"/>
  <c r="EV40" i="121"/>
  <c r="EX31" i="121"/>
  <c r="D35" i="121"/>
  <c r="B31" i="121"/>
  <c r="AZ31" i="121"/>
  <c r="AX40" i="121"/>
  <c r="EI18" i="8"/>
  <c r="EC18" i="8"/>
  <c r="AR41" i="98"/>
  <c r="EK18" i="8"/>
  <c r="AS40" i="98"/>
  <c r="AM56" i="123"/>
  <c r="G51" i="143"/>
  <c r="J53" i="143"/>
  <c r="I53" i="143"/>
  <c r="CL117" i="122"/>
  <c r="BS47" i="61"/>
  <c r="AE47" i="125"/>
  <c r="DZ168" i="7"/>
  <c r="DZ170" i="7"/>
  <c r="BV93" i="7"/>
  <c r="BV94" i="7" s="1"/>
  <c r="BV91" i="7"/>
  <c r="BO32" i="61"/>
  <c r="R122" i="56"/>
  <c r="M44" i="126"/>
  <c r="E6" i="129"/>
  <c r="AA60" i="125"/>
  <c r="S57" i="125"/>
  <c r="M41" i="123"/>
  <c r="D42" i="123"/>
  <c r="V46" i="125"/>
  <c r="X46" i="125"/>
  <c r="DJ166" i="7"/>
  <c r="DJ168" i="7" s="1"/>
  <c r="CG168" i="7"/>
  <c r="CG170" i="7"/>
  <c r="BD13" i="61"/>
  <c r="BF13" i="61"/>
  <c r="AY13" i="61"/>
  <c r="AX12" i="61"/>
  <c r="BD12" i="61" s="1"/>
  <c r="CH199" i="7"/>
  <c r="AG12" i="64"/>
  <c r="DL170" i="7"/>
  <c r="DL168" i="7"/>
  <c r="BP32" i="61"/>
  <c r="BP11" i="61"/>
  <c r="CH170" i="7"/>
  <c r="CH168" i="7"/>
  <c r="AU12" i="64"/>
  <c r="DL199" i="7"/>
  <c r="M47" i="126"/>
  <c r="CB55" i="123"/>
  <c r="S46" i="126" s="1"/>
  <c r="FO38" i="123"/>
  <c r="AC29" i="126" s="1"/>
  <c r="FN38" i="123"/>
  <c r="AB29" i="126" s="1"/>
  <c r="EB38" i="123"/>
  <c r="W29" i="126"/>
  <c r="DY38" i="123"/>
  <c r="GM38" i="123"/>
  <c r="DO38" i="123"/>
  <c r="BQ54" i="123"/>
  <c r="BZ54" i="123" s="1"/>
  <c r="BY55" i="123"/>
  <c r="P48" i="126"/>
  <c r="P44" i="61"/>
  <c r="P47" i="61" s="1"/>
  <c r="Y47" i="61" s="1"/>
  <c r="R55" i="125"/>
  <c r="CL120" i="122"/>
  <c r="BP54" i="123"/>
  <c r="P45" i="126" s="1"/>
  <c r="AF12" i="66"/>
  <c r="BP56" i="123"/>
  <c r="CB56" i="123" s="1"/>
  <c r="CK56" i="123" s="1"/>
  <c r="AA45" i="125"/>
  <c r="U46" i="125"/>
  <c r="BJ124" i="6"/>
  <c r="CY121" i="8"/>
  <c r="CY123" i="8"/>
  <c r="BV126" i="8"/>
  <c r="BX127" i="8"/>
  <c r="BX129" i="8"/>
  <c r="BX130" i="8" s="1"/>
  <c r="AL15" i="66"/>
  <c r="AM17" i="66"/>
  <c r="AD63" i="61"/>
  <c r="AD58" i="61"/>
  <c r="K44" i="65"/>
  <c r="K47" i="65" s="1"/>
  <c r="K49" i="65" s="1"/>
  <c r="K60" i="65" s="1"/>
  <c r="Z44" i="65"/>
  <c r="AA9" i="65"/>
  <c r="AH9" i="65"/>
  <c r="F37" i="64"/>
  <c r="C42" i="90"/>
  <c r="C39" i="90" s="1"/>
  <c r="P34" i="64" s="1"/>
  <c r="P35" i="64" s="1"/>
  <c r="P37" i="64" s="1"/>
  <c r="EW53" i="123"/>
  <c r="EM53" i="123"/>
  <c r="AL37" i="64"/>
  <c r="K52" i="65"/>
  <c r="F53" i="61"/>
  <c r="K48" i="61"/>
  <c r="I48" i="61"/>
  <c r="F61" i="61"/>
  <c r="J48" i="61"/>
  <c r="J49" i="61" s="1"/>
  <c r="J53" i="61" s="1"/>
  <c r="AU11" i="65"/>
  <c r="DM152" i="8"/>
  <c r="DM154" i="8" s="1"/>
  <c r="AP12" i="65"/>
  <c r="DA152" i="8"/>
  <c r="CW54" i="123"/>
  <c r="DG54" i="123"/>
  <c r="DF54" i="123" s="1"/>
  <c r="AE43" i="125"/>
  <c r="B31" i="56"/>
  <c r="C30" i="56"/>
  <c r="BA129" i="8"/>
  <c r="L113" i="56"/>
  <c r="AZ130" i="8"/>
  <c r="BA130" i="8" s="1"/>
  <c r="DV126" i="8"/>
  <c r="DV124" i="8"/>
  <c r="DU123" i="8"/>
  <c r="DU124" i="8" s="1"/>
  <c r="AC54" i="123"/>
  <c r="X37" i="64"/>
  <c r="AA47" i="125"/>
  <c r="C7" i="129"/>
  <c r="C10" i="129"/>
  <c r="B6" i="129"/>
  <c r="R41" i="125"/>
  <c r="DP55" i="123"/>
  <c r="DF55" i="123"/>
  <c r="DQ65" i="8"/>
  <c r="DQ64" i="8" s="1"/>
  <c r="DQ17" i="8"/>
  <c r="DQ96" i="8"/>
  <c r="BZ176" i="7"/>
  <c r="BZ177" i="7" s="1"/>
  <c r="BZ174" i="7"/>
  <c r="DO18" i="8"/>
  <c r="DP17" i="8"/>
  <c r="DP65" i="8"/>
  <c r="DP64" i="8" s="1"/>
  <c r="DP96" i="8"/>
  <c r="DP119" i="8" s="1"/>
  <c r="DP138" i="8"/>
  <c r="CL57" i="123"/>
  <c r="T48" i="126"/>
  <c r="N40" i="66"/>
  <c r="N41" i="66" s="1"/>
  <c r="I45" i="66"/>
  <c r="I49" i="66"/>
  <c r="I52" i="66" s="1"/>
  <c r="M56" i="125"/>
  <c r="AN35" i="64"/>
  <c r="AD47" i="125"/>
  <c r="AN43" i="98"/>
  <c r="BZ57" i="123"/>
  <c r="Q48" i="126"/>
  <c r="EW57" i="123"/>
  <c r="EM57" i="123"/>
  <c r="BK124" i="6"/>
  <c r="CL55" i="123"/>
  <c r="T46" i="126"/>
  <c r="CL94" i="122"/>
  <c r="Z11" i="66"/>
  <c r="Z36" i="66" s="1"/>
  <c r="Z39" i="66" s="1"/>
  <c r="Z24" i="66"/>
  <c r="AD11" i="65"/>
  <c r="AC10" i="65"/>
  <c r="AC9" i="65" s="1"/>
  <c r="AC44" i="65" s="1"/>
  <c r="AC47" i="65" s="1"/>
  <c r="CL116" i="122"/>
  <c r="X43" i="125"/>
  <c r="AA32" i="61"/>
  <c r="AA11" i="61"/>
  <c r="AA44" i="61" s="1"/>
  <c r="AA47" i="61" s="1"/>
  <c r="I23" i="64"/>
  <c r="I10" i="64"/>
  <c r="I37" i="64" s="1"/>
  <c r="DQ168" i="7"/>
  <c r="DQ170" i="7"/>
  <c r="DK168" i="7"/>
  <c r="DK170" i="7"/>
  <c r="O45" i="125"/>
  <c r="DN123" i="8"/>
  <c r="DN121" i="8"/>
  <c r="DI173" i="7"/>
  <c r="DI171" i="7"/>
  <c r="CS173" i="7"/>
  <c r="CR170" i="7"/>
  <c r="CS171" i="7"/>
  <c r="DB138" i="8"/>
  <c r="DB119" i="8"/>
  <c r="CL121" i="8"/>
  <c r="BY173" i="7"/>
  <c r="BY171" i="7"/>
  <c r="I52" i="65"/>
  <c r="CM123" i="8"/>
  <c r="CM121" i="8"/>
  <c r="AF46" i="125"/>
  <c r="AB47" i="125"/>
  <c r="V41" i="125"/>
  <c r="CZ17" i="8"/>
  <c r="CZ61" i="8" s="1"/>
  <c r="CZ63" i="8" s="1"/>
  <c r="CZ96" i="8"/>
  <c r="CZ119" i="8" s="1"/>
  <c r="CZ121" i="8" s="1"/>
  <c r="V45" i="125"/>
  <c r="P36" i="66"/>
  <c r="P39" i="66"/>
  <c r="U72" i="56"/>
  <c r="U92" i="56"/>
  <c r="J52" i="66"/>
  <c r="DO40" i="123"/>
  <c r="DG154" i="7"/>
  <c r="DG166" i="7" s="1"/>
  <c r="DG168" i="7" s="1"/>
  <c r="DG71" i="7"/>
  <c r="DG73" i="7" s="1"/>
  <c r="C42" i="123"/>
  <c r="L41" i="123"/>
  <c r="AA10" i="64"/>
  <c r="AA35" i="64" s="1"/>
  <c r="AA37" i="64" s="1"/>
  <c r="AA23" i="64"/>
  <c r="CV174" i="7"/>
  <c r="CV184" i="7"/>
  <c r="CV199" i="7" s="1"/>
  <c r="CV176" i="7"/>
  <c r="CV177" i="7" s="1"/>
  <c r="S45" i="125"/>
  <c r="K49" i="66"/>
  <c r="K51" i="66" s="1"/>
  <c r="K45" i="66"/>
  <c r="O40" i="66"/>
  <c r="O41" i="66" s="1"/>
  <c r="R39" i="65"/>
  <c r="R40" i="65" s="1"/>
  <c r="AE11" i="61"/>
  <c r="AE32" i="61"/>
  <c r="AF12" i="61"/>
  <c r="AB13" i="66"/>
  <c r="AA12" i="66"/>
  <c r="BE44" i="61"/>
  <c r="BE47" i="61" s="1"/>
  <c r="Q46" i="126"/>
  <c r="BZ55" i="123"/>
  <c r="CW57" i="123"/>
  <c r="DG57" i="123"/>
  <c r="AC13" i="61"/>
  <c r="AB12" i="61"/>
  <c r="BG53" i="123"/>
  <c r="BP53" i="123" s="1"/>
  <c r="BQ53" i="123"/>
  <c r="N23" i="64"/>
  <c r="N10" i="64"/>
  <c r="N37" i="64" s="1"/>
  <c r="E113" i="56"/>
  <c r="D114" i="56"/>
  <c r="F7" i="129"/>
  <c r="X36" i="66"/>
  <c r="Y11" i="66"/>
  <c r="AF11" i="66"/>
  <c r="BL14" i="61"/>
  <c r="BV14" i="61" s="1"/>
  <c r="DK199" i="7"/>
  <c r="M48" i="126"/>
  <c r="CB57" i="123"/>
  <c r="AL57" i="123"/>
  <c r="I49" i="65"/>
  <c r="I60" i="65" s="1"/>
  <c r="AM53" i="123"/>
  <c r="N44" i="126"/>
  <c r="AZ10" i="65"/>
  <c r="AZ9" i="65" s="1"/>
  <c r="DN152" i="8"/>
  <c r="AS13" i="66"/>
  <c r="P56" i="125"/>
  <c r="O56" i="125"/>
  <c r="AB44" i="65"/>
  <c r="AB47" i="65" s="1"/>
  <c r="AG43" i="65"/>
  <c r="AI43" i="65"/>
  <c r="AI12" i="65"/>
  <c r="CL152" i="8"/>
  <c r="AG14" i="66"/>
  <c r="CM152" i="8"/>
  <c r="BS127" i="8"/>
  <c r="BS129" i="8"/>
  <c r="BS130" i="8" s="1"/>
  <c r="DM121" i="8"/>
  <c r="DM123" i="8"/>
  <c r="FF55" i="123"/>
  <c r="FE55" i="123" s="1"/>
  <c r="EV55" i="123"/>
  <c r="DA123" i="8"/>
  <c r="DA121" i="8"/>
  <c r="U45" i="125"/>
  <c r="DG53" i="123"/>
  <c r="DF53" i="123" s="1"/>
  <c r="CW53" i="123"/>
  <c r="L122" i="56"/>
  <c r="U122" i="56" s="1"/>
  <c r="G123" i="56"/>
  <c r="G122" i="56" s="1"/>
  <c r="Q122" i="56" s="1"/>
  <c r="DH184" i="7"/>
  <c r="DH199" i="7" s="1"/>
  <c r="BJ13" i="61"/>
  <c r="DH166" i="7"/>
  <c r="AE35" i="64"/>
  <c r="AF10" i="64"/>
  <c r="AC12" i="64"/>
  <c r="AB11" i="64"/>
  <c r="CU173" i="7"/>
  <c r="CU171" i="7"/>
  <c r="N45" i="126"/>
  <c r="AM54" i="123"/>
  <c r="B51" i="56"/>
  <c r="C50" i="56"/>
  <c r="CL99" i="122"/>
  <c r="CL100" i="122"/>
  <c r="Y46" i="125"/>
  <c r="C13" i="129"/>
  <c r="B9" i="129"/>
  <c r="I9" i="129" s="1"/>
  <c r="L9" i="129" s="1"/>
  <c r="AS11" i="64"/>
  <c r="AT12" i="64"/>
  <c r="BC11" i="61"/>
  <c r="BC32" i="61"/>
  <c r="CN56" i="123"/>
  <c r="CX56" i="123"/>
  <c r="EW54" i="123"/>
  <c r="D94" i="56"/>
  <c r="E93" i="56"/>
  <c r="B40" i="56"/>
  <c r="C39" i="56"/>
  <c r="H40" i="56"/>
  <c r="H39" i="56" s="1"/>
  <c r="F13" i="129"/>
  <c r="E13" i="129" s="1"/>
  <c r="F11" i="129"/>
  <c r="E11" i="129" s="1"/>
  <c r="DR173" i="7"/>
  <c r="DR171" i="7"/>
  <c r="L33" i="105"/>
  <c r="L25" i="105"/>
  <c r="C59" i="56"/>
  <c r="B60" i="56"/>
  <c r="H60" i="56"/>
  <c r="H59" i="56" s="1"/>
  <c r="BQ56" i="123"/>
  <c r="AE60" i="125"/>
  <c r="AD60" i="125"/>
  <c r="G14" i="129"/>
  <c r="E10" i="129"/>
  <c r="G15" i="129"/>
  <c r="F20" i="129"/>
  <c r="AS43" i="98" l="1"/>
  <c r="GK47" i="121"/>
  <c r="AF33" i="125"/>
  <c r="DP40" i="123"/>
  <c r="GA59" i="121"/>
  <c r="GJ59" i="121" s="1"/>
  <c r="AC54" i="121"/>
  <c r="AL54" i="121" s="1"/>
  <c r="AL52" i="121"/>
  <c r="L38" i="125"/>
  <c r="EJ56" i="121"/>
  <c r="FZ56" i="121"/>
  <c r="X42" i="125"/>
  <c r="BK21" i="122"/>
  <c r="BD21" i="122"/>
  <c r="BJ21" i="122" s="1"/>
  <c r="AE42" i="125"/>
  <c r="BZ40" i="123"/>
  <c r="Q31" i="126"/>
  <c r="CC40" i="123"/>
  <c r="EB40" i="123" s="1"/>
  <c r="S31" i="126"/>
  <c r="CK40" i="123"/>
  <c r="FP78" i="121"/>
  <c r="FY78" i="121" s="1"/>
  <c r="FY76" i="121"/>
  <c r="EK55" i="121"/>
  <c r="GA55" i="121"/>
  <c r="GJ55" i="121" s="1"/>
  <c r="DG52" i="121"/>
  <c r="CX54" i="121"/>
  <c r="CW52" i="121"/>
  <c r="CW54" i="121" s="1"/>
  <c r="FW56" i="121"/>
  <c r="AA42" i="125"/>
  <c r="FF40" i="123"/>
  <c r="FE40" i="123" s="1"/>
  <c r="EV40" i="123"/>
  <c r="H53" i="143"/>
  <c r="FY81" i="121"/>
  <c r="H38" i="127"/>
  <c r="K38" i="127" s="1"/>
  <c r="BZ52" i="121"/>
  <c r="BQ54" i="121"/>
  <c r="BZ54" i="121" s="1"/>
  <c r="EJ59" i="121"/>
  <c r="FZ59" i="121"/>
  <c r="GI59" i="121" s="1"/>
  <c r="CN54" i="121"/>
  <c r="EJ55" i="121"/>
  <c r="FZ55" i="121"/>
  <c r="GI55" i="121" s="1"/>
  <c r="CC52" i="121"/>
  <c r="S38" i="125" s="1"/>
  <c r="GB81" i="121"/>
  <c r="G38" i="127"/>
  <c r="EL81" i="121"/>
  <c r="GB78" i="121"/>
  <c r="GK78" i="121" s="1"/>
  <c r="GK76" i="121"/>
  <c r="BG54" i="121"/>
  <c r="BP52" i="121"/>
  <c r="EM52" i="121"/>
  <c r="EN54" i="121"/>
  <c r="EW52" i="121"/>
  <c r="BD202" i="120"/>
  <c r="BJ202" i="120" s="1"/>
  <c r="BJ200" i="120"/>
  <c r="CC67" i="121"/>
  <c r="CL67" i="121" s="1"/>
  <c r="CB68" i="121"/>
  <c r="CK68" i="121" s="1"/>
  <c r="AG214" i="120"/>
  <c r="AM214" i="120" s="1"/>
  <c r="AF148" i="120"/>
  <c r="AM148" i="120"/>
  <c r="CC68" i="121"/>
  <c r="C170" i="122"/>
  <c r="C52" i="123" s="1"/>
  <c r="B115" i="122"/>
  <c r="B170" i="122" s="1"/>
  <c r="BD215" i="120"/>
  <c r="BJ215" i="120" s="1"/>
  <c r="BJ149" i="120"/>
  <c r="L66" i="121"/>
  <c r="B66" i="121"/>
  <c r="EV69" i="121"/>
  <c r="FF69" i="121"/>
  <c r="CW67" i="121"/>
  <c r="DG67" i="121"/>
  <c r="K72" i="121"/>
  <c r="U72" i="121"/>
  <c r="EN127" i="8"/>
  <c r="EM126" i="8"/>
  <c r="EM127" i="8" s="1"/>
  <c r="AG220" i="120"/>
  <c r="AM220" i="120" s="1"/>
  <c r="AM154" i="120"/>
  <c r="AF154" i="120"/>
  <c r="AP154" i="120"/>
  <c r="CB67" i="121"/>
  <c r="B214" i="120"/>
  <c r="CL150" i="120"/>
  <c r="CL149" i="120"/>
  <c r="R214" i="120"/>
  <c r="AP66" i="121" s="1"/>
  <c r="Q148" i="120"/>
  <c r="Q214" i="120" s="1"/>
  <c r="EM67" i="121"/>
  <c r="EW67" i="121"/>
  <c r="DF69" i="121"/>
  <c r="DO69" i="121" s="1"/>
  <c r="U55" i="125" s="1"/>
  <c r="DP69" i="121"/>
  <c r="V55" i="125" s="1"/>
  <c r="EW68" i="121"/>
  <c r="EM68" i="121"/>
  <c r="BD172" i="122"/>
  <c r="BJ172" i="122" s="1"/>
  <c r="BJ117" i="122"/>
  <c r="AG121" i="122"/>
  <c r="R176" i="122"/>
  <c r="AP58" i="123" s="1"/>
  <c r="Q121" i="122"/>
  <c r="Q176" i="122" s="1"/>
  <c r="R115" i="122"/>
  <c r="AG115" i="122" s="1"/>
  <c r="AY72" i="121"/>
  <c r="AO72" i="121"/>
  <c r="CW68" i="121"/>
  <c r="DG68" i="121"/>
  <c r="BD10" i="64"/>
  <c r="BD35" i="64" s="1"/>
  <c r="BD37" i="64" s="1"/>
  <c r="BD23" i="64"/>
  <c r="DQ31" i="121"/>
  <c r="DZ31" i="121" s="1"/>
  <c r="AX31" i="121"/>
  <c r="AZ35" i="121"/>
  <c r="EV31" i="121"/>
  <c r="EX35" i="121"/>
  <c r="BB14" i="66"/>
  <c r="BB12" i="66" s="1"/>
  <c r="BB11" i="66" s="1"/>
  <c r="BB36" i="66" s="1"/>
  <c r="EL119" i="8"/>
  <c r="M35" i="121"/>
  <c r="K31" i="121"/>
  <c r="DH35" i="121"/>
  <c r="DF31" i="121"/>
  <c r="AO31" i="121"/>
  <c r="AQ35" i="121"/>
  <c r="BR31" i="121"/>
  <c r="FG35" i="121"/>
  <c r="FE31" i="121"/>
  <c r="EC96" i="8"/>
  <c r="EC65" i="8"/>
  <c r="EC64" i="8" s="1"/>
  <c r="EC17" i="8"/>
  <c r="AE31" i="121"/>
  <c r="D41" i="122"/>
  <c r="CD153" i="122"/>
  <c r="CJ41" i="122"/>
  <c r="T31" i="121"/>
  <c r="V35" i="121"/>
  <c r="EI96" i="8"/>
  <c r="EI65" i="8"/>
  <c r="EI64" i="8" s="1"/>
  <c r="EI17" i="8"/>
  <c r="CY35" i="121"/>
  <c r="CW31" i="121"/>
  <c r="CP82" i="121"/>
  <c r="CP36" i="121"/>
  <c r="EA18" i="8"/>
  <c r="EB138" i="8"/>
  <c r="BB12" i="65" s="1"/>
  <c r="EH138" i="8"/>
  <c r="EB65" i="8"/>
  <c r="EB64" i="8" s="1"/>
  <c r="EB96" i="8"/>
  <c r="EH65" i="8"/>
  <c r="EH64" i="8" s="1"/>
  <c r="EB17" i="8"/>
  <c r="FP31" i="121"/>
  <c r="EO35" i="121"/>
  <c r="EM31" i="121"/>
  <c r="CC41" i="122"/>
  <c r="CM40" i="122" s="1"/>
  <c r="EJ18" i="8"/>
  <c r="EK17" i="8"/>
  <c r="EK96" i="8"/>
  <c r="EK65" i="8"/>
  <c r="EK64" i="8" s="1"/>
  <c r="D82" i="121"/>
  <c r="D36" i="121"/>
  <c r="CD40" i="122"/>
  <c r="EL61" i="8"/>
  <c r="EL63" i="8" s="1"/>
  <c r="AR43" i="98"/>
  <c r="EG18" i="8"/>
  <c r="EH96" i="8"/>
  <c r="EH17" i="8"/>
  <c r="BG31" i="121"/>
  <c r="BI35" i="121"/>
  <c r="S55" i="125"/>
  <c r="F52" i="143"/>
  <c r="D52" i="143" s="1"/>
  <c r="E52" i="143" s="1"/>
  <c r="K53" i="143"/>
  <c r="BY54" i="123"/>
  <c r="BP44" i="61"/>
  <c r="BR14" i="61"/>
  <c r="BT14" i="61"/>
  <c r="BC12" i="64"/>
  <c r="DZ173" i="7"/>
  <c r="DZ171" i="7"/>
  <c r="DY170" i="7"/>
  <c r="AZ44" i="65"/>
  <c r="AZ47" i="65" s="1"/>
  <c r="Q45" i="126"/>
  <c r="L53" i="125"/>
  <c r="BY56" i="123"/>
  <c r="I6" i="129"/>
  <c r="L6" i="129" s="1"/>
  <c r="V41" i="123"/>
  <c r="M42" i="123"/>
  <c r="AZ41" i="123"/>
  <c r="AQ42" i="123"/>
  <c r="EA55" i="123"/>
  <c r="Y46" i="126" s="1"/>
  <c r="CK55" i="123"/>
  <c r="CC54" i="123"/>
  <c r="CL54" i="123" s="1"/>
  <c r="DP54" i="123"/>
  <c r="DY54" i="123" s="1"/>
  <c r="AY12" i="61"/>
  <c r="AX11" i="61"/>
  <c r="BD11" i="61" s="1"/>
  <c r="AX32" i="61"/>
  <c r="BF12" i="61"/>
  <c r="CG173" i="7"/>
  <c r="CG171" i="7"/>
  <c r="AU11" i="64"/>
  <c r="AV12" i="64"/>
  <c r="CF170" i="7"/>
  <c r="CH171" i="7"/>
  <c r="CH173" i="7"/>
  <c r="DL173" i="7"/>
  <c r="DL171" i="7"/>
  <c r="AG11" i="64"/>
  <c r="AH12" i="64"/>
  <c r="AM12" i="64"/>
  <c r="AO12" i="64"/>
  <c r="FX38" i="123"/>
  <c r="FW38" i="123"/>
  <c r="DX38" i="123"/>
  <c r="V29" i="126"/>
  <c r="EA38" i="123"/>
  <c r="Z29" i="126"/>
  <c r="EK38" i="123"/>
  <c r="GA38" i="123"/>
  <c r="Y44" i="61"/>
  <c r="R57" i="125"/>
  <c r="Y35" i="64"/>
  <c r="P47" i="126"/>
  <c r="S47" i="126"/>
  <c r="CL75" i="122"/>
  <c r="BV127" i="8"/>
  <c r="BV129" i="8"/>
  <c r="BV130" i="8" s="1"/>
  <c r="AM15" i="66"/>
  <c r="AL12" i="66"/>
  <c r="AL11" i="66" s="1"/>
  <c r="AL36" i="66" s="1"/>
  <c r="AL39" i="66" s="1"/>
  <c r="AD60" i="61"/>
  <c r="AD64" i="61"/>
  <c r="AD66" i="61" s="1"/>
  <c r="CY124" i="8"/>
  <c r="CY126" i="8"/>
  <c r="CW123" i="8"/>
  <c r="CW124" i="8" s="1"/>
  <c r="FN55" i="123"/>
  <c r="FW55" i="123" s="1"/>
  <c r="DO53" i="123"/>
  <c r="DX53" i="123" s="1"/>
  <c r="L37" i="125"/>
  <c r="X41" i="125"/>
  <c r="B59" i="56"/>
  <c r="G60" i="56"/>
  <c r="G59" i="56" s="1"/>
  <c r="DG56" i="123"/>
  <c r="DF56" i="123" s="1"/>
  <c r="CW56" i="123"/>
  <c r="AS10" i="64"/>
  <c r="AS23" i="64"/>
  <c r="AT11" i="64"/>
  <c r="B13" i="129"/>
  <c r="I13" i="129" s="1"/>
  <c r="L13" i="129" s="1"/>
  <c r="C15" i="129"/>
  <c r="CU174" i="7"/>
  <c r="CU176" i="7"/>
  <c r="CU177" i="7" s="1"/>
  <c r="AF35" i="64"/>
  <c r="AE37" i="64"/>
  <c r="DM124" i="8"/>
  <c r="DL123" i="8"/>
  <c r="DL124" i="8" s="1"/>
  <c r="DM126" i="8"/>
  <c r="AH43" i="65"/>
  <c r="AG44" i="65"/>
  <c r="S48" i="126"/>
  <c r="CK57" i="123"/>
  <c r="B114" i="56"/>
  <c r="C113" i="56"/>
  <c r="AB32" i="61"/>
  <c r="AB11" i="61"/>
  <c r="AB44" i="61" s="1"/>
  <c r="AB47" i="61" s="1"/>
  <c r="AO41" i="123"/>
  <c r="AP42" i="123"/>
  <c r="AY41" i="123"/>
  <c r="Y45" i="125"/>
  <c r="B42" i="123"/>
  <c r="V31" i="126"/>
  <c r="DX40" i="123"/>
  <c r="EA40" i="123"/>
  <c r="BY174" i="7"/>
  <c r="BY176" i="7"/>
  <c r="BY177" i="7" s="1"/>
  <c r="M54" i="125"/>
  <c r="CR173" i="7"/>
  <c r="CR171" i="7"/>
  <c r="DI174" i="7"/>
  <c r="DI176" i="7"/>
  <c r="DI177" i="7" s="1"/>
  <c r="DK173" i="7"/>
  <c r="DJ170" i="7"/>
  <c r="DK171" i="7"/>
  <c r="EV57" i="123"/>
  <c r="FF57" i="123"/>
  <c r="FE57" i="123" s="1"/>
  <c r="AN37" i="64"/>
  <c r="DP123" i="8"/>
  <c r="DP121" i="8"/>
  <c r="CL79" i="122"/>
  <c r="DQ61" i="8"/>
  <c r="DQ63" i="8" s="1"/>
  <c r="W46" i="126"/>
  <c r="DY55" i="123"/>
  <c r="AQ12" i="65"/>
  <c r="AV12" i="65"/>
  <c r="AP10" i="65"/>
  <c r="Z47" i="65"/>
  <c r="AA44" i="65"/>
  <c r="FO55" i="123"/>
  <c r="DP53" i="123"/>
  <c r="DR176" i="7"/>
  <c r="DR177" i="7" s="1"/>
  <c r="DR174" i="7"/>
  <c r="G16" i="129"/>
  <c r="G17" i="129" s="1"/>
  <c r="Q47" i="126"/>
  <c r="BZ56" i="123"/>
  <c r="CC56" i="123"/>
  <c r="B39" i="56"/>
  <c r="G40" i="56"/>
  <c r="G39" i="56" s="1"/>
  <c r="AE46" i="125"/>
  <c r="AB10" i="64"/>
  <c r="AB35" i="64" s="1"/>
  <c r="AB37" i="64" s="1"/>
  <c r="AB23" i="64"/>
  <c r="AH14" i="66"/>
  <c r="AM14" i="66"/>
  <c r="AG12" i="66"/>
  <c r="M53" i="125"/>
  <c r="F12" i="129"/>
  <c r="E7" i="129"/>
  <c r="AD13" i="61"/>
  <c r="AC12" i="61"/>
  <c r="DF57" i="123"/>
  <c r="DO57" i="123" s="1"/>
  <c r="DP57" i="123"/>
  <c r="AA24" i="66"/>
  <c r="AA11" i="66"/>
  <c r="AA36" i="66" s="1"/>
  <c r="AA39" i="66" s="1"/>
  <c r="AE44" i="61"/>
  <c r="AF11" i="61"/>
  <c r="O45" i="66"/>
  <c r="O49" i="66"/>
  <c r="AA38" i="64"/>
  <c r="AA39" i="64" s="1"/>
  <c r="P40" i="66"/>
  <c r="P41" i="66" s="1"/>
  <c r="L54" i="125"/>
  <c r="DB121" i="8"/>
  <c r="DB123" i="8"/>
  <c r="CZ123" i="8" s="1"/>
  <c r="CZ124" i="8" s="1"/>
  <c r="CS174" i="7"/>
  <c r="CS176" i="7"/>
  <c r="CS177" i="7" s="1"/>
  <c r="N44" i="66"/>
  <c r="CL119" i="122"/>
  <c r="C11" i="129"/>
  <c r="B11" i="129" s="1"/>
  <c r="I11" i="129" s="1"/>
  <c r="L11" i="129" s="1"/>
  <c r="B10" i="129"/>
  <c r="I10" i="129" s="1"/>
  <c r="L10" i="129" s="1"/>
  <c r="C14" i="129"/>
  <c r="L112" i="56"/>
  <c r="U112" i="56" s="1"/>
  <c r="DO54" i="123"/>
  <c r="I52" i="61"/>
  <c r="I49" i="61"/>
  <c r="FF53" i="123"/>
  <c r="EV53" i="123"/>
  <c r="F15" i="129"/>
  <c r="F19" i="129" s="1"/>
  <c r="F21" i="129" s="1"/>
  <c r="FF54" i="123"/>
  <c r="EV54" i="123"/>
  <c r="C49" i="56"/>
  <c r="B50" i="56"/>
  <c r="H50" i="56"/>
  <c r="H49" i="56" s="1"/>
  <c r="AD12" i="64"/>
  <c r="AC11" i="64"/>
  <c r="DH168" i="7"/>
  <c r="DH170" i="7"/>
  <c r="AJ12" i="65"/>
  <c r="AO12" i="65"/>
  <c r="AI10" i="65"/>
  <c r="N48" i="65"/>
  <c r="I53" i="65"/>
  <c r="Y36" i="66"/>
  <c r="X39" i="66"/>
  <c r="X57" i="66"/>
  <c r="AF36" i="66"/>
  <c r="CC53" i="123"/>
  <c r="Q44" i="126"/>
  <c r="BZ53" i="123"/>
  <c r="L56" i="125"/>
  <c r="AC13" i="66"/>
  <c r="AB12" i="66"/>
  <c r="AB46" i="125"/>
  <c r="Y41" i="125"/>
  <c r="CM124" i="8"/>
  <c r="CM126" i="8"/>
  <c r="AN14" i="66"/>
  <c r="DB152" i="8"/>
  <c r="DN126" i="8"/>
  <c r="DN124" i="8"/>
  <c r="DP170" i="7"/>
  <c r="DQ173" i="7"/>
  <c r="DQ171" i="7"/>
  <c r="AA48" i="61"/>
  <c r="AA49" i="61" s="1"/>
  <c r="AD43" i="125"/>
  <c r="AA41" i="125"/>
  <c r="DP61" i="8"/>
  <c r="DP63" i="8" s="1"/>
  <c r="CN40" i="122"/>
  <c r="B7" i="129"/>
  <c r="X38" i="64"/>
  <c r="X39" i="64" s="1"/>
  <c r="Y37" i="64"/>
  <c r="AL54" i="123"/>
  <c r="M45" i="126"/>
  <c r="CB54" i="123"/>
  <c r="AV11" i="65"/>
  <c r="AU10" i="65"/>
  <c r="K52" i="61"/>
  <c r="K49" i="61"/>
  <c r="F38" i="64"/>
  <c r="F39" i="64" s="1"/>
  <c r="J59" i="56"/>
  <c r="J60" i="56" s="1"/>
  <c r="O60" i="56" s="1"/>
  <c r="O59" i="56" s="1"/>
  <c r="R59" i="56"/>
  <c r="I61" i="56"/>
  <c r="G61" i="56" s="1"/>
  <c r="N61" i="56" s="1"/>
  <c r="L61" i="56" s="1"/>
  <c r="L35" i="105"/>
  <c r="R17" i="104" s="1"/>
  <c r="R23" i="104" s="1"/>
  <c r="AD16" i="64" s="1"/>
  <c r="AD14" i="64" s="1"/>
  <c r="L34" i="105"/>
  <c r="R8" i="104" s="1"/>
  <c r="R14" i="104" s="1"/>
  <c r="AD17" i="61" s="1"/>
  <c r="AD15" i="61" s="1"/>
  <c r="I41" i="56"/>
  <c r="G41" i="56" s="1"/>
  <c r="N41" i="56" s="1"/>
  <c r="L41" i="56" s="1"/>
  <c r="R39" i="56"/>
  <c r="J39" i="56"/>
  <c r="J40" i="56" s="1"/>
  <c r="O40" i="56" s="1"/>
  <c r="O39" i="56" s="1"/>
  <c r="C93" i="56"/>
  <c r="B94" i="56"/>
  <c r="BC44" i="61"/>
  <c r="T45" i="126"/>
  <c r="BK13" i="61"/>
  <c r="BJ12" i="61"/>
  <c r="DA126" i="8"/>
  <c r="DA124" i="8"/>
  <c r="U41" i="125"/>
  <c r="GM55" i="123"/>
  <c r="CL122" i="8"/>
  <c r="AJ43" i="65"/>
  <c r="AO43" i="65"/>
  <c r="AS12" i="66"/>
  <c r="AT13" i="66"/>
  <c r="BM14" i="61"/>
  <c r="BL12" i="61"/>
  <c r="EM56" i="123"/>
  <c r="EW56" i="123"/>
  <c r="P44" i="126"/>
  <c r="BY53" i="123"/>
  <c r="CB53" i="123"/>
  <c r="K41" i="123"/>
  <c r="K42" i="123" s="1"/>
  <c r="L42" i="123"/>
  <c r="U41" i="123"/>
  <c r="K53" i="65"/>
  <c r="P48" i="65"/>
  <c r="P49" i="65" s="1"/>
  <c r="P53" i="65" s="1"/>
  <c r="Q48" i="65"/>
  <c r="O48" i="65"/>
  <c r="N49" i="66"/>
  <c r="N45" i="66"/>
  <c r="R45" i="125"/>
  <c r="AB45" i="125"/>
  <c r="AE11" i="65"/>
  <c r="AD10" i="65"/>
  <c r="AD9" i="65" s="1"/>
  <c r="AD44" i="65" s="1"/>
  <c r="AD47" i="65" s="1"/>
  <c r="AB41" i="125"/>
  <c r="EB55" i="123"/>
  <c r="N48" i="66"/>
  <c r="I51" i="66"/>
  <c r="AW12" i="65"/>
  <c r="DP152" i="8"/>
  <c r="DP154" i="8" s="1"/>
  <c r="DO17" i="8"/>
  <c r="DO61" i="8" s="1"/>
  <c r="DO63" i="8" s="1"/>
  <c r="DO96" i="8"/>
  <c r="DO119" i="8" s="1"/>
  <c r="DO121" i="8" s="1"/>
  <c r="M37" i="125"/>
  <c r="CL78" i="122"/>
  <c r="DQ138" i="8"/>
  <c r="DQ119" i="8"/>
  <c r="L58" i="123"/>
  <c r="B58" i="123"/>
  <c r="DV127" i="8"/>
  <c r="DU126" i="8"/>
  <c r="DU127" i="8" s="1"/>
  <c r="C29" i="56"/>
  <c r="B30" i="56"/>
  <c r="H30" i="56"/>
  <c r="H29" i="56" s="1"/>
  <c r="K52" i="66"/>
  <c r="G19" i="129"/>
  <c r="G18" i="129"/>
  <c r="E14" i="129"/>
  <c r="FN40" i="123" l="1"/>
  <c r="AB31" i="126" s="1"/>
  <c r="W31" i="126"/>
  <c r="DY40" i="123"/>
  <c r="FO40" i="123"/>
  <c r="AC31" i="126" s="1"/>
  <c r="EK40" i="123"/>
  <c r="Z31" i="126"/>
  <c r="CB52" i="121"/>
  <c r="BY52" i="121"/>
  <c r="BP54" i="121"/>
  <c r="BY54" i="121" s="1"/>
  <c r="O38" i="125"/>
  <c r="FF52" i="121"/>
  <c r="EV52" i="121"/>
  <c r="EV54" i="121" s="1"/>
  <c r="EW54" i="121"/>
  <c r="I38" i="127"/>
  <c r="GK81" i="121"/>
  <c r="DF52" i="121"/>
  <c r="DG54" i="121"/>
  <c r="DP52" i="121"/>
  <c r="FN31" i="121"/>
  <c r="FN40" i="121" s="1"/>
  <c r="FW40" i="121" s="1"/>
  <c r="CL52" i="121"/>
  <c r="T31" i="126"/>
  <c r="CL40" i="123"/>
  <c r="GM40" i="123"/>
  <c r="AE35" i="121"/>
  <c r="C25" i="127" s="1"/>
  <c r="EM54" i="121"/>
  <c r="GI56" i="121"/>
  <c r="AD42" i="125"/>
  <c r="AG170" i="122"/>
  <c r="AM170" i="122" s="1"/>
  <c r="AM115" i="122"/>
  <c r="AF115" i="122"/>
  <c r="DX69" i="121"/>
  <c r="EA69" i="121"/>
  <c r="X55" i="125" s="1"/>
  <c r="AL154" i="120"/>
  <c r="AF220" i="120"/>
  <c r="AL220" i="120" s="1"/>
  <c r="DF68" i="121"/>
  <c r="DO68" i="121" s="1"/>
  <c r="U54" i="125" s="1"/>
  <c r="DP68" i="121"/>
  <c r="DY68" i="121" s="1"/>
  <c r="AX72" i="121"/>
  <c r="BH72" i="121"/>
  <c r="AM121" i="122"/>
  <c r="AG176" i="122"/>
  <c r="AM176" i="122" s="1"/>
  <c r="AF121" i="122"/>
  <c r="AP121" i="122"/>
  <c r="T72" i="121"/>
  <c r="AC72" i="121" s="1"/>
  <c r="AD72" i="121"/>
  <c r="FE69" i="121"/>
  <c r="FN69" i="121" s="1"/>
  <c r="FO69" i="121"/>
  <c r="FX69" i="121" s="1"/>
  <c r="U66" i="121"/>
  <c r="T66" i="121" s="1"/>
  <c r="K66" i="121"/>
  <c r="CL68" i="121"/>
  <c r="AL148" i="120"/>
  <c r="AF214" i="120"/>
  <c r="AL214" i="120" s="1"/>
  <c r="Q115" i="122"/>
  <c r="Q170" i="122" s="1"/>
  <c r="R170" i="122"/>
  <c r="AP52" i="123" s="1"/>
  <c r="FF68" i="121"/>
  <c r="FE68" i="121" s="1"/>
  <c r="EV68" i="121"/>
  <c r="EV67" i="121"/>
  <c r="FF67" i="121"/>
  <c r="FE67" i="121" s="1"/>
  <c r="CK67" i="121"/>
  <c r="DY69" i="121"/>
  <c r="EB69" i="121"/>
  <c r="AY66" i="121"/>
  <c r="AO66" i="121"/>
  <c r="BE154" i="120"/>
  <c r="AO154" i="120"/>
  <c r="AP220" i="120"/>
  <c r="CO72" i="121" s="1"/>
  <c r="BN154" i="120"/>
  <c r="AP148" i="120"/>
  <c r="DF67" i="121"/>
  <c r="DP67" i="121"/>
  <c r="V53" i="125" s="1"/>
  <c r="DQ35" i="121"/>
  <c r="DQ36" i="121" s="1"/>
  <c r="DZ36" i="121" s="1"/>
  <c r="BF12" i="65"/>
  <c r="BG12" i="65" s="1"/>
  <c r="DO31" i="121"/>
  <c r="DX31" i="121" s="1"/>
  <c r="DQ40" i="121"/>
  <c r="DZ40" i="121" s="1"/>
  <c r="AC31" i="121"/>
  <c r="AL31" i="121" s="1"/>
  <c r="GM31" i="121"/>
  <c r="CD126" i="122"/>
  <c r="CJ40" i="122"/>
  <c r="C41" i="122"/>
  <c r="CB41" i="122"/>
  <c r="CI41" i="122"/>
  <c r="CC153" i="122"/>
  <c r="CP83" i="121"/>
  <c r="CD181" i="122"/>
  <c r="CJ153" i="122"/>
  <c r="BR40" i="121"/>
  <c r="CA40" i="121" s="1"/>
  <c r="CA31" i="121"/>
  <c r="DH36" i="121"/>
  <c r="DH82" i="121"/>
  <c r="DH83" i="121" s="1"/>
  <c r="DH84" i="121" s="1"/>
  <c r="EL123" i="8"/>
  <c r="EL121" i="8"/>
  <c r="AZ36" i="121"/>
  <c r="AZ82" i="121"/>
  <c r="AZ83" i="121" s="1"/>
  <c r="AZ84" i="121" s="1"/>
  <c r="BI82" i="121"/>
  <c r="BI83" i="121" s="1"/>
  <c r="BI84" i="121" s="1"/>
  <c r="BI36" i="121"/>
  <c r="EG96" i="8"/>
  <c r="EG17" i="8"/>
  <c r="BH12" i="65"/>
  <c r="EK119" i="8"/>
  <c r="V82" i="121"/>
  <c r="V83" i="121" s="1"/>
  <c r="V84" i="121" s="1"/>
  <c r="V36" i="121"/>
  <c r="S41" i="122"/>
  <c r="AH41" i="122" s="1"/>
  <c r="D153" i="122"/>
  <c r="D40" i="122"/>
  <c r="EI138" i="8"/>
  <c r="EC138" i="8"/>
  <c r="AZ14" i="66" s="1"/>
  <c r="BR35" i="121"/>
  <c r="AQ82" i="121"/>
  <c r="AQ36" i="121"/>
  <c r="BB39" i="66"/>
  <c r="BB42" i="66" s="1"/>
  <c r="D83" i="121"/>
  <c r="CC40" i="122"/>
  <c r="EK61" i="8"/>
  <c r="EK63" i="8" s="1"/>
  <c r="FP35" i="121"/>
  <c r="EO82" i="121"/>
  <c r="EO36" i="121"/>
  <c r="EA96" i="8"/>
  <c r="EA17" i="8"/>
  <c r="AN31" i="121"/>
  <c r="CD31" i="121"/>
  <c r="AE40" i="121"/>
  <c r="AN40" i="121" s="1"/>
  <c r="BP31" i="121"/>
  <c r="EX36" i="121"/>
  <c r="EX82" i="121"/>
  <c r="EX83" i="121" s="1"/>
  <c r="EX84" i="121" s="1"/>
  <c r="EJ17" i="8"/>
  <c r="EJ61" i="8" s="1"/>
  <c r="EJ63" i="8" s="1"/>
  <c r="EJ96" i="8"/>
  <c r="EJ119" i="8" s="1"/>
  <c r="EJ121" i="8" s="1"/>
  <c r="FP40" i="121"/>
  <c r="FY40" i="121" s="1"/>
  <c r="FY31" i="121"/>
  <c r="CY36" i="121"/>
  <c r="CY82" i="121"/>
  <c r="CY83" i="121" s="1"/>
  <c r="CY84" i="121" s="1"/>
  <c r="FG82" i="121"/>
  <c r="FG83" i="121" s="1"/>
  <c r="FG84" i="121" s="1"/>
  <c r="FG36" i="121"/>
  <c r="M36" i="121"/>
  <c r="M82" i="121"/>
  <c r="M83" i="121" s="1"/>
  <c r="M84" i="121" s="1"/>
  <c r="G52" i="143"/>
  <c r="J54" i="143"/>
  <c r="T43" i="143" s="1"/>
  <c r="I54" i="143"/>
  <c r="BP47" i="61"/>
  <c r="BC11" i="64"/>
  <c r="BT12" i="61"/>
  <c r="BC12" i="65"/>
  <c r="BE12" i="65"/>
  <c r="DY173" i="7"/>
  <c r="DY171" i="7"/>
  <c r="DZ174" i="7"/>
  <c r="DZ176" i="7"/>
  <c r="DZ177" i="7" s="1"/>
  <c r="EJ55" i="123"/>
  <c r="W45" i="126"/>
  <c r="BI41" i="123"/>
  <c r="AZ42" i="123"/>
  <c r="AE41" i="123"/>
  <c r="V42" i="123"/>
  <c r="EB54" i="123"/>
  <c r="Z45" i="126" s="1"/>
  <c r="BF11" i="61"/>
  <c r="AY11" i="61"/>
  <c r="AX44" i="61"/>
  <c r="BD44" i="61" s="1"/>
  <c r="CG176" i="7"/>
  <c r="CG177" i="7" s="1"/>
  <c r="CG174" i="7"/>
  <c r="DL176" i="7"/>
  <c r="DL177" i="7" s="1"/>
  <c r="DL174" i="7"/>
  <c r="CH174" i="7"/>
  <c r="CH176" i="7"/>
  <c r="CH177" i="7" s="1"/>
  <c r="AU10" i="64"/>
  <c r="AU23" i="64"/>
  <c r="AV11" i="64"/>
  <c r="AM11" i="64"/>
  <c r="AG23" i="64"/>
  <c r="AH11" i="64"/>
  <c r="AO11" i="64"/>
  <c r="AG10" i="64"/>
  <c r="CF173" i="7"/>
  <c r="CF171" i="7"/>
  <c r="E15" i="129"/>
  <c r="V56" i="125"/>
  <c r="FZ38" i="123"/>
  <c r="EJ38" i="123"/>
  <c r="Y29" i="126"/>
  <c r="AF29" i="126"/>
  <c r="GJ38" i="123"/>
  <c r="DP56" i="123"/>
  <c r="DY56" i="123" s="1"/>
  <c r="FZ55" i="123"/>
  <c r="AE46" i="126" s="1"/>
  <c r="AB46" i="126"/>
  <c r="AD12" i="61"/>
  <c r="AD32" i="61" s="1"/>
  <c r="C12" i="129"/>
  <c r="V44" i="126"/>
  <c r="B12" i="129"/>
  <c r="DO56" i="123"/>
  <c r="V47" i="126" s="1"/>
  <c r="N52" i="66"/>
  <c r="O37" i="125"/>
  <c r="FN57" i="123"/>
  <c r="AB48" i="126" s="1"/>
  <c r="CY127" i="8"/>
  <c r="CY129" i="8"/>
  <c r="CY130" i="8" s="1"/>
  <c r="CW126" i="8"/>
  <c r="V37" i="125"/>
  <c r="FO57" i="123"/>
  <c r="FX57" i="123" s="1"/>
  <c r="S54" i="125"/>
  <c r="AA53" i="61"/>
  <c r="AB48" i="61"/>
  <c r="AB52" i="61" s="1"/>
  <c r="U58" i="123"/>
  <c r="K58" i="123"/>
  <c r="Q39" i="125"/>
  <c r="O54" i="125"/>
  <c r="X45" i="125"/>
  <c r="O52" i="65"/>
  <c r="O49" i="65"/>
  <c r="O53" i="65" s="1"/>
  <c r="T41" i="123"/>
  <c r="T42" i="123" s="1"/>
  <c r="U42" i="123"/>
  <c r="AD41" i="123"/>
  <c r="CK122" i="8"/>
  <c r="CL123" i="8"/>
  <c r="G38" i="64"/>
  <c r="F50" i="64"/>
  <c r="AV10" i="65"/>
  <c r="AU9" i="65"/>
  <c r="X43" i="64"/>
  <c r="Z38" i="64"/>
  <c r="AE38" i="64"/>
  <c r="AE42" i="64" s="1"/>
  <c r="AD41" i="125"/>
  <c r="DP173" i="7"/>
  <c r="DP171" i="7"/>
  <c r="AD13" i="66"/>
  <c r="AD12" i="66" s="1"/>
  <c r="AC12" i="66"/>
  <c r="AC10" i="64"/>
  <c r="AC35" i="64" s="1"/>
  <c r="AC37" i="64" s="1"/>
  <c r="AC23" i="64"/>
  <c r="FE54" i="123"/>
  <c r="FN54" i="123" s="1"/>
  <c r="FO54" i="123"/>
  <c r="V45" i="126"/>
  <c r="DX54" i="123"/>
  <c r="C18" i="129"/>
  <c r="B14" i="129"/>
  <c r="I14" i="129" s="1"/>
  <c r="L14" i="129" s="1"/>
  <c r="P44" i="66"/>
  <c r="P48" i="66"/>
  <c r="DY57" i="123"/>
  <c r="W48" i="126"/>
  <c r="EB57" i="123"/>
  <c r="P53" i="125"/>
  <c r="Q39" i="56"/>
  <c r="P37" i="125"/>
  <c r="AP9" i="65"/>
  <c r="AQ10" i="65"/>
  <c r="DJ171" i="7"/>
  <c r="DJ173" i="7"/>
  <c r="Y31" i="126"/>
  <c r="EJ40" i="123"/>
  <c r="FZ40" i="123"/>
  <c r="AE45" i="125"/>
  <c r="AO42" i="123"/>
  <c r="AG47" i="65"/>
  <c r="AH44" i="65"/>
  <c r="C16" i="129"/>
  <c r="B16" i="129" s="1"/>
  <c r="J29" i="56"/>
  <c r="J30" i="56" s="1"/>
  <c r="O30" i="56" s="1"/>
  <c r="O29" i="56" s="1"/>
  <c r="I31" i="56"/>
  <c r="G31" i="56" s="1"/>
  <c r="N31" i="56" s="1"/>
  <c r="L31" i="56" s="1"/>
  <c r="R29" i="56"/>
  <c r="U56" i="125"/>
  <c r="S37" i="125"/>
  <c r="EK55" i="123"/>
  <c r="GA55" i="123"/>
  <c r="Z46" i="126"/>
  <c r="Q49" i="65"/>
  <c r="Q53" i="65" s="1"/>
  <c r="P54" i="66" s="1"/>
  <c r="CK53" i="123"/>
  <c r="S44" i="126"/>
  <c r="EA53" i="123"/>
  <c r="FF56" i="123"/>
  <c r="FE56" i="123" s="1"/>
  <c r="EV56" i="123"/>
  <c r="AS11" i="66"/>
  <c r="O48" i="61"/>
  <c r="O49" i="61" s="1"/>
  <c r="O53" i="61" s="1"/>
  <c r="K53" i="61"/>
  <c r="P48" i="61"/>
  <c r="EA54" i="123"/>
  <c r="S45" i="126"/>
  <c r="CK54" i="123"/>
  <c r="AA61" i="61"/>
  <c r="CM127" i="8"/>
  <c r="CM129" i="8"/>
  <c r="CM130" i="8" s="1"/>
  <c r="AE41" i="125"/>
  <c r="R56" i="125"/>
  <c r="Y39" i="66"/>
  <c r="AF39" i="66"/>
  <c r="AD11" i="64"/>
  <c r="I53" i="61"/>
  <c r="N48" i="61"/>
  <c r="AY58" i="123"/>
  <c r="AO58" i="123"/>
  <c r="P49" i="66"/>
  <c r="P45" i="66"/>
  <c r="X40" i="66"/>
  <c r="X41" i="66" s="1"/>
  <c r="AE47" i="61"/>
  <c r="AF44" i="61"/>
  <c r="V48" i="126"/>
  <c r="DX57" i="123"/>
  <c r="I7" i="129"/>
  <c r="L7" i="129" s="1"/>
  <c r="S53" i="125"/>
  <c r="AH12" i="66"/>
  <c r="AG11" i="66"/>
  <c r="AM12" i="66"/>
  <c r="DP126" i="8"/>
  <c r="DP124" i="8"/>
  <c r="DK176" i="7"/>
  <c r="DK177" i="7" s="1"/>
  <c r="DK174" i="7"/>
  <c r="CR176" i="7"/>
  <c r="CR177" i="7" s="1"/>
  <c r="CR174" i="7"/>
  <c r="EA57" i="123"/>
  <c r="AF37" i="64"/>
  <c r="B15" i="129"/>
  <c r="C19" i="129"/>
  <c r="B19" i="129" s="1"/>
  <c r="AS35" i="64"/>
  <c r="AT10" i="64"/>
  <c r="R37" i="125"/>
  <c r="B29" i="56"/>
  <c r="G30" i="56"/>
  <c r="G29" i="56" s="1"/>
  <c r="L52" i="123"/>
  <c r="B52" i="123"/>
  <c r="DQ123" i="8"/>
  <c r="DO123" i="8" s="1"/>
  <c r="DO124" i="8" s="1"/>
  <c r="DQ121" i="8"/>
  <c r="S56" i="125"/>
  <c r="AF11" i="65"/>
  <c r="AF10" i="65" s="1"/>
  <c r="AF9" i="65" s="1"/>
  <c r="AF44" i="65" s="1"/>
  <c r="AF47" i="65" s="1"/>
  <c r="AE10" i="65"/>
  <c r="AE9" i="65" s="1"/>
  <c r="AE44" i="65" s="1"/>
  <c r="AE47" i="65" s="1"/>
  <c r="AA46" i="125"/>
  <c r="BM12" i="61"/>
  <c r="BL11" i="61"/>
  <c r="BL32" i="61"/>
  <c r="DA127" i="8"/>
  <c r="DA129" i="8"/>
  <c r="DA130" i="8" s="1"/>
  <c r="BJ32" i="61"/>
  <c r="BK12" i="61"/>
  <c r="BJ11" i="61"/>
  <c r="BC47" i="61"/>
  <c r="C92" i="56"/>
  <c r="B93" i="56"/>
  <c r="H93" i="56"/>
  <c r="H92" i="56" s="1"/>
  <c r="K61" i="61"/>
  <c r="AO14" i="66"/>
  <c r="AT14" i="66"/>
  <c r="AN12" i="66"/>
  <c r="CL53" i="123"/>
  <c r="EB53" i="123"/>
  <c r="T44" i="126"/>
  <c r="N52" i="65"/>
  <c r="N49" i="65"/>
  <c r="N53" i="65" s="1"/>
  <c r="DH171" i="7"/>
  <c r="DG170" i="7"/>
  <c r="DH173" i="7"/>
  <c r="R49" i="56"/>
  <c r="I51" i="56"/>
  <c r="G51" i="56" s="1"/>
  <c r="N51" i="56" s="1"/>
  <c r="L51" i="56" s="1"/>
  <c r="J49" i="56"/>
  <c r="J50" i="56" s="1"/>
  <c r="O50" i="56" s="1"/>
  <c r="O49" i="56" s="1"/>
  <c r="F16" i="129"/>
  <c r="E16" i="129" s="1"/>
  <c r="I61" i="61"/>
  <c r="AA40" i="66"/>
  <c r="AA41" i="66" s="1"/>
  <c r="AC11" i="61"/>
  <c r="AC44" i="61" s="1"/>
  <c r="AC47" i="61" s="1"/>
  <c r="AC32" i="61"/>
  <c r="E12" i="129"/>
  <c r="W44" i="126"/>
  <c r="DY53" i="123"/>
  <c r="Z48" i="65"/>
  <c r="AA47" i="65"/>
  <c r="BH41" i="123"/>
  <c r="AY42" i="123"/>
  <c r="AX41" i="123"/>
  <c r="AX42" i="123" s="1"/>
  <c r="C112" i="56"/>
  <c r="B113" i="56"/>
  <c r="H113" i="56"/>
  <c r="H112" i="56" s="1"/>
  <c r="DM129" i="8"/>
  <c r="DM130" i="8" s="1"/>
  <c r="DM127" i="8"/>
  <c r="DL126" i="8"/>
  <c r="Q59" i="56"/>
  <c r="GM57" i="123"/>
  <c r="AU14" i="66"/>
  <c r="BA10" i="65"/>
  <c r="DQ152" i="8"/>
  <c r="AX12" i="65"/>
  <c r="AW10" i="65"/>
  <c r="P54" i="125"/>
  <c r="V57" i="125"/>
  <c r="N51" i="66"/>
  <c r="O53" i="125"/>
  <c r="N39" i="125"/>
  <c r="I38" i="64"/>
  <c r="K38" i="64"/>
  <c r="J38" i="64"/>
  <c r="J39" i="64" s="1"/>
  <c r="J43" i="64" s="1"/>
  <c r="F43" i="64"/>
  <c r="DQ174" i="7"/>
  <c r="DQ176" i="7"/>
  <c r="DQ177" i="7" s="1"/>
  <c r="DN127" i="8"/>
  <c r="DN129" i="8"/>
  <c r="DN130" i="8" s="1"/>
  <c r="AB11" i="66"/>
  <c r="AB36" i="66" s="1"/>
  <c r="AB39" i="66" s="1"/>
  <c r="AB24" i="66"/>
  <c r="AI9" i="65"/>
  <c r="AJ10" i="65"/>
  <c r="AO10" i="65"/>
  <c r="B49" i="56"/>
  <c r="G50" i="56"/>
  <c r="G49" i="56" s="1"/>
  <c r="FO53" i="123"/>
  <c r="FE53" i="123"/>
  <c r="GM53" i="123" s="1"/>
  <c r="DB124" i="8"/>
  <c r="DB126" i="8"/>
  <c r="AA43" i="64"/>
  <c r="AB38" i="64"/>
  <c r="AB42" i="64" s="1"/>
  <c r="CL56" i="123"/>
  <c r="T47" i="126"/>
  <c r="AC46" i="126"/>
  <c r="FX55" i="123"/>
  <c r="G20" i="129"/>
  <c r="E20" i="129" s="1"/>
  <c r="E18" i="129"/>
  <c r="E19" i="129"/>
  <c r="GA54" i="123" l="1"/>
  <c r="FX40" i="123"/>
  <c r="FW40" i="123"/>
  <c r="GA40" i="123"/>
  <c r="AN35" i="121"/>
  <c r="FW31" i="121"/>
  <c r="AE36" i="121"/>
  <c r="AN36" i="121" s="1"/>
  <c r="DZ35" i="121"/>
  <c r="AB55" i="125"/>
  <c r="V54" i="125"/>
  <c r="DF54" i="121"/>
  <c r="DO52" i="121"/>
  <c r="H54" i="143"/>
  <c r="S43" i="143"/>
  <c r="F25" i="127"/>
  <c r="GM69" i="121"/>
  <c r="GJ40" i="123"/>
  <c r="AF31" i="126"/>
  <c r="FE52" i="121"/>
  <c r="FN52" i="121" s="1"/>
  <c r="FF54" i="121"/>
  <c r="FO52" i="121"/>
  <c r="CK52" i="121"/>
  <c r="EA52" i="121"/>
  <c r="R38" i="125"/>
  <c r="AC40" i="121"/>
  <c r="AL40" i="121" s="1"/>
  <c r="EB68" i="121"/>
  <c r="EK68" i="121" s="1"/>
  <c r="EB52" i="121"/>
  <c r="DY52" i="121"/>
  <c r="DP54" i="121"/>
  <c r="DY54" i="121" s="1"/>
  <c r="V38" i="125"/>
  <c r="DO40" i="121"/>
  <c r="DX40" i="121" s="1"/>
  <c r="AD66" i="121"/>
  <c r="AM66" i="121" s="1"/>
  <c r="FN67" i="121"/>
  <c r="FW67" i="121" s="1"/>
  <c r="AC66" i="121"/>
  <c r="AL66" i="121" s="1"/>
  <c r="FW69" i="121"/>
  <c r="AA55" i="125"/>
  <c r="AP214" i="120"/>
  <c r="CO66" i="121" s="1"/>
  <c r="AO148" i="120"/>
  <c r="BE148" i="120"/>
  <c r="BK154" i="120"/>
  <c r="BE220" i="120"/>
  <c r="BK220" i="120" s="1"/>
  <c r="BD154" i="120"/>
  <c r="AM72" i="121"/>
  <c r="AL121" i="122"/>
  <c r="AF176" i="122"/>
  <c r="AL176" i="122" s="1"/>
  <c r="DY67" i="121"/>
  <c r="EB67" i="121"/>
  <c r="BN220" i="120"/>
  <c r="EN72" i="121" s="1"/>
  <c r="BM154" i="120"/>
  <c r="BM220" i="120" s="1"/>
  <c r="BN148" i="120"/>
  <c r="GA69" i="121"/>
  <c r="GJ69" i="121" s="1"/>
  <c r="EK69" i="121"/>
  <c r="Y55" i="125"/>
  <c r="AL72" i="121"/>
  <c r="FO68" i="121"/>
  <c r="FX68" i="121" s="1"/>
  <c r="DO67" i="121"/>
  <c r="GM67" i="121"/>
  <c r="CN72" i="121"/>
  <c r="CX72" i="121"/>
  <c r="AP176" i="122"/>
  <c r="CO58" i="123" s="1"/>
  <c r="AO121" i="122"/>
  <c r="AO176" i="122" s="1"/>
  <c r="BN121" i="122"/>
  <c r="AP115" i="122"/>
  <c r="DX68" i="121"/>
  <c r="EA68" i="121"/>
  <c r="AL115" i="122"/>
  <c r="AF170" i="122"/>
  <c r="AL170" i="122" s="1"/>
  <c r="CM154" i="120"/>
  <c r="AO220" i="120"/>
  <c r="AX66" i="121"/>
  <c r="BH66" i="121"/>
  <c r="FN68" i="121"/>
  <c r="FW68" i="121" s="1"/>
  <c r="GM68" i="121"/>
  <c r="BE121" i="122"/>
  <c r="BG72" i="121"/>
  <c r="BP72" i="121" s="1"/>
  <c r="BY72" i="121" s="1"/>
  <c r="BQ72" i="121"/>
  <c r="BZ72" i="121" s="1"/>
  <c r="FZ69" i="121"/>
  <c r="GI69" i="121" s="1"/>
  <c r="EJ69" i="121"/>
  <c r="FO67" i="121"/>
  <c r="FX67" i="121" s="1"/>
  <c r="EC31" i="121"/>
  <c r="CD40" i="121"/>
  <c r="CM40" i="121" s="1"/>
  <c r="CM31" i="121"/>
  <c r="CI40" i="122"/>
  <c r="CB40" i="122"/>
  <c r="CC126" i="122"/>
  <c r="D25" i="127"/>
  <c r="CA35" i="121"/>
  <c r="BR36" i="121"/>
  <c r="CA36" i="121" s="1"/>
  <c r="D35" i="123"/>
  <c r="D63" i="123" s="1"/>
  <c r="D181" i="122"/>
  <c r="D183" i="122" s="1"/>
  <c r="CD183" i="122"/>
  <c r="CJ183" i="122" s="1"/>
  <c r="CJ181" i="122"/>
  <c r="EO83" i="121"/>
  <c r="FP82" i="121"/>
  <c r="FY82" i="121" s="1"/>
  <c r="AE83" i="121"/>
  <c r="D84" i="121"/>
  <c r="BB50" i="66"/>
  <c r="AQ41" i="122"/>
  <c r="BF41" i="122" s="1"/>
  <c r="AN41" i="122"/>
  <c r="AH153" i="122"/>
  <c r="EK123" i="8"/>
  <c r="EK121" i="8"/>
  <c r="DQ83" i="121"/>
  <c r="CP84" i="121"/>
  <c r="CD128" i="122"/>
  <c r="CJ128" i="122" s="1"/>
  <c r="CJ126" i="122"/>
  <c r="CD35" i="121"/>
  <c r="BP40" i="121"/>
  <c r="BY40" i="121" s="1"/>
  <c r="BY31" i="121"/>
  <c r="H25" i="127"/>
  <c r="FY35" i="121"/>
  <c r="FP36" i="121"/>
  <c r="FY36" i="121" s="1"/>
  <c r="AE82" i="121"/>
  <c r="S153" i="122"/>
  <c r="S40" i="122"/>
  <c r="S126" i="122" s="1"/>
  <c r="S128" i="122" s="1"/>
  <c r="CB31" i="121"/>
  <c r="BI12" i="65"/>
  <c r="BH10" i="65"/>
  <c r="BH9" i="65" s="1"/>
  <c r="BH44" i="65" s="1"/>
  <c r="BH47" i="65" s="1"/>
  <c r="BH50" i="65" s="1"/>
  <c r="EL124" i="8"/>
  <c r="EL126" i="8"/>
  <c r="DQ82" i="121"/>
  <c r="DZ82" i="121" s="1"/>
  <c r="CH41" i="122"/>
  <c r="CB153" i="122"/>
  <c r="BR82" i="121"/>
  <c r="CA82" i="121" s="1"/>
  <c r="AQ83" i="121"/>
  <c r="D126" i="122"/>
  <c r="CI153" i="122"/>
  <c r="CC181" i="122"/>
  <c r="R41" i="122"/>
  <c r="B41" i="122"/>
  <c r="B153" i="122" s="1"/>
  <c r="B181" i="122" s="1"/>
  <c r="C40" i="122"/>
  <c r="C153" i="122"/>
  <c r="F53" i="143"/>
  <c r="D53" i="143" s="1"/>
  <c r="E53" i="143" s="1"/>
  <c r="K54" i="143"/>
  <c r="BC14" i="66"/>
  <c r="BA14" i="66"/>
  <c r="BA9" i="65"/>
  <c r="BA44" i="65" s="1"/>
  <c r="BT11" i="61"/>
  <c r="BC10" i="64"/>
  <c r="BE10" i="65"/>
  <c r="DY174" i="7"/>
  <c r="DY176" i="7"/>
  <c r="DY177" i="7" s="1"/>
  <c r="EK54" i="123"/>
  <c r="AB56" i="125"/>
  <c r="AC48" i="126"/>
  <c r="I15" i="129"/>
  <c r="L15" i="129" s="1"/>
  <c r="CY41" i="123"/>
  <c r="CP42" i="123"/>
  <c r="CL47" i="122"/>
  <c r="AE42" i="123"/>
  <c r="O32" i="126"/>
  <c r="AN41" i="123"/>
  <c r="BI42" i="123"/>
  <c r="BR41" i="123"/>
  <c r="Y54" i="125"/>
  <c r="Y37" i="125"/>
  <c r="FW57" i="123"/>
  <c r="FZ57" i="123"/>
  <c r="AE48" i="126" s="1"/>
  <c r="C17" i="129"/>
  <c r="B17" i="129" s="1"/>
  <c r="BF44" i="61"/>
  <c r="AX47" i="61"/>
  <c r="BD47" i="61" s="1"/>
  <c r="AY44" i="61"/>
  <c r="CF174" i="7"/>
  <c r="CF176" i="7"/>
  <c r="CF177" i="7" s="1"/>
  <c r="AV10" i="64"/>
  <c r="AU35" i="64"/>
  <c r="AM10" i="64"/>
  <c r="AO10" i="64"/>
  <c r="AG35" i="64"/>
  <c r="AH10" i="64"/>
  <c r="X37" i="125"/>
  <c r="U37" i="125"/>
  <c r="W47" i="126"/>
  <c r="EB56" i="123"/>
  <c r="Z47" i="126" s="1"/>
  <c r="AC41" i="123"/>
  <c r="AL41" i="123" s="1"/>
  <c r="GI38" i="123"/>
  <c r="AE29" i="126"/>
  <c r="I16" i="129"/>
  <c r="L16" i="129" s="1"/>
  <c r="GM56" i="123"/>
  <c r="GI55" i="123"/>
  <c r="P51" i="66"/>
  <c r="E17" i="129"/>
  <c r="EA56" i="123"/>
  <c r="EJ56" i="123" s="1"/>
  <c r="DX56" i="123"/>
  <c r="AD11" i="61"/>
  <c r="AD44" i="61" s="1"/>
  <c r="AD47" i="61" s="1"/>
  <c r="L39" i="125"/>
  <c r="I12" i="129"/>
  <c r="L12" i="129" s="1"/>
  <c r="AB49" i="61"/>
  <c r="AC48" i="61" s="1"/>
  <c r="AC52" i="61" s="1"/>
  <c r="I19" i="129"/>
  <c r="L19" i="129" s="1"/>
  <c r="F17" i="129"/>
  <c r="F22" i="129" s="1"/>
  <c r="AA57" i="125"/>
  <c r="CW127" i="8"/>
  <c r="CW129" i="8"/>
  <c r="CW130" i="8" s="1"/>
  <c r="AE39" i="64"/>
  <c r="AE43" i="64" s="1"/>
  <c r="N60" i="65"/>
  <c r="Q60" i="65"/>
  <c r="Q49" i="56"/>
  <c r="L61" i="125"/>
  <c r="X45" i="66"/>
  <c r="AG40" i="66"/>
  <c r="X49" i="66"/>
  <c r="AE40" i="66"/>
  <c r="Z40" i="66"/>
  <c r="CL21" i="122"/>
  <c r="AC44" i="126"/>
  <c r="FX53" i="123"/>
  <c r="K42" i="64"/>
  <c r="K39" i="64"/>
  <c r="T39" i="125"/>
  <c r="DL127" i="8"/>
  <c r="DL129" i="8"/>
  <c r="DL130" i="8" s="1"/>
  <c r="B112" i="56"/>
  <c r="G113" i="56"/>
  <c r="G112" i="56" s="1"/>
  <c r="BH42" i="123"/>
  <c r="BG41" i="123"/>
  <c r="BP41" i="123" s="1"/>
  <c r="BQ41" i="123"/>
  <c r="CC41" i="123" s="1"/>
  <c r="AA56" i="125"/>
  <c r="DH176" i="7"/>
  <c r="DH177" i="7" s="1"/>
  <c r="DH174" i="7"/>
  <c r="GA53" i="123"/>
  <c r="Z44" i="126"/>
  <c r="EK53" i="123"/>
  <c r="B92" i="56"/>
  <c r="G93" i="56"/>
  <c r="G92" i="56" s="1"/>
  <c r="AF45" i="126"/>
  <c r="GJ54" i="123"/>
  <c r="AD46" i="125"/>
  <c r="R54" i="125"/>
  <c r="EK57" i="123"/>
  <c r="GA57" i="123"/>
  <c r="Z48" i="126"/>
  <c r="FX54" i="123"/>
  <c r="AC45" i="126"/>
  <c r="AC24" i="66"/>
  <c r="AC11" i="66"/>
  <c r="AC36" i="66" s="1"/>
  <c r="AC39" i="66" s="1"/>
  <c r="AM41" i="123"/>
  <c r="AD42" i="123"/>
  <c r="N32" i="126"/>
  <c r="AD45" i="125"/>
  <c r="CL27" i="122"/>
  <c r="CL28" i="122"/>
  <c r="AO52" i="123"/>
  <c r="AY52" i="123"/>
  <c r="AI44" i="65"/>
  <c r="AJ9" i="65"/>
  <c r="I42" i="64"/>
  <c r="I39" i="64"/>
  <c r="I50" i="64" s="1"/>
  <c r="R53" i="125"/>
  <c r="Y57" i="125"/>
  <c r="AX10" i="65"/>
  <c r="AW9" i="65"/>
  <c r="BI9" i="65" s="1"/>
  <c r="AV14" i="66"/>
  <c r="AU12" i="66"/>
  <c r="AB57" i="125"/>
  <c r="AA49" i="66"/>
  <c r="AA45" i="66"/>
  <c r="AB40" i="66"/>
  <c r="AB41" i="66" s="1"/>
  <c r="DG171" i="7"/>
  <c r="DG173" i="7"/>
  <c r="W39" i="125"/>
  <c r="U52" i="123"/>
  <c r="K52" i="123"/>
  <c r="AG36" i="66"/>
  <c r="AH11" i="66"/>
  <c r="AM11" i="66"/>
  <c r="AF47" i="61"/>
  <c r="N52" i="61"/>
  <c r="N49" i="61"/>
  <c r="N53" i="61" s="1"/>
  <c r="X56" i="125"/>
  <c r="GI40" i="123"/>
  <c r="AE31" i="126"/>
  <c r="AQ9" i="65"/>
  <c r="AP44" i="65"/>
  <c r="B18" i="129"/>
  <c r="I18" i="129" s="1"/>
  <c r="L18" i="129" s="1"/>
  <c r="C20" i="129"/>
  <c r="B20" i="129" s="1"/>
  <c r="I20" i="129" s="1"/>
  <c r="L20" i="129" s="1"/>
  <c r="AB45" i="126"/>
  <c r="FW54" i="123"/>
  <c r="AD24" i="66"/>
  <c r="AD11" i="66"/>
  <c r="AD36" i="66" s="1"/>
  <c r="AD39" i="66" s="1"/>
  <c r="CL126" i="8"/>
  <c r="CL124" i="8"/>
  <c r="CK123" i="8"/>
  <c r="CK124" i="8" s="1"/>
  <c r="Q62" i="125"/>
  <c r="T58" i="123"/>
  <c r="AC58" i="123" s="1"/>
  <c r="AD58" i="123"/>
  <c r="FN53" i="123"/>
  <c r="FZ53" i="123" s="1"/>
  <c r="FO56" i="123"/>
  <c r="DB129" i="8"/>
  <c r="DB130" i="8" s="1"/>
  <c r="DB127" i="8"/>
  <c r="N62" i="125"/>
  <c r="AA48" i="66"/>
  <c r="AN11" i="66"/>
  <c r="AT11" i="66" s="1"/>
  <c r="AO12" i="66"/>
  <c r="BM11" i="61"/>
  <c r="BL44" i="61"/>
  <c r="Y56" i="125"/>
  <c r="DQ126" i="8"/>
  <c r="DQ124" i="8"/>
  <c r="Q29" i="56"/>
  <c r="AS37" i="64"/>
  <c r="AT35" i="64"/>
  <c r="AX58" i="123"/>
  <c r="BH58" i="123"/>
  <c r="AD10" i="64"/>
  <c r="AD35" i="64" s="1"/>
  <c r="AD37" i="64" s="1"/>
  <c r="AD23" i="64"/>
  <c r="P52" i="61"/>
  <c r="P49" i="61"/>
  <c r="AT12" i="66"/>
  <c r="FN56" i="123"/>
  <c r="M61" i="125"/>
  <c r="AF46" i="126"/>
  <c r="GJ55" i="123"/>
  <c r="DJ176" i="7"/>
  <c r="DJ177" i="7" s="1"/>
  <c r="DJ174" i="7"/>
  <c r="H38" i="64"/>
  <c r="H39" i="64" s="1"/>
  <c r="H43" i="64" s="1"/>
  <c r="G39" i="64"/>
  <c r="G43" i="64" s="1"/>
  <c r="Q40" i="125"/>
  <c r="N40" i="125"/>
  <c r="R112" i="56"/>
  <c r="J112" i="56"/>
  <c r="J113" i="56" s="1"/>
  <c r="O113" i="56" s="1"/>
  <c r="O112" i="56" s="1"/>
  <c r="I114" i="56"/>
  <c r="G114" i="56" s="1"/>
  <c r="N114" i="56" s="1"/>
  <c r="L114" i="56" s="1"/>
  <c r="Z49" i="65"/>
  <c r="Z60" i="65" s="1"/>
  <c r="Z52" i="65"/>
  <c r="AB39" i="64"/>
  <c r="J92" i="56"/>
  <c r="J93" i="56" s="1"/>
  <c r="O93" i="56" s="1"/>
  <c r="O92" i="56" s="1"/>
  <c r="I94" i="56"/>
  <c r="G94" i="56" s="1"/>
  <c r="N94" i="56" s="1"/>
  <c r="L94" i="56" s="1"/>
  <c r="R92" i="56"/>
  <c r="BJ44" i="61"/>
  <c r="BK11" i="61"/>
  <c r="CZ126" i="8"/>
  <c r="U57" i="125"/>
  <c r="Y48" i="126"/>
  <c r="EJ57" i="123"/>
  <c r="DP127" i="8"/>
  <c r="DP129" i="8"/>
  <c r="DP130" i="8" s="1"/>
  <c r="X44" i="66"/>
  <c r="X48" i="66"/>
  <c r="CX41" i="123"/>
  <c r="CN41" i="123"/>
  <c r="CN42" i="123" s="1"/>
  <c r="CO42" i="123"/>
  <c r="EJ54" i="123"/>
  <c r="FZ54" i="123"/>
  <c r="Y45" i="126"/>
  <c r="AS36" i="66"/>
  <c r="Y44" i="126"/>
  <c r="EJ53" i="123"/>
  <c r="AH47" i="65"/>
  <c r="U53" i="125"/>
  <c r="CN58" i="123"/>
  <c r="CX58" i="123"/>
  <c r="DP174" i="7"/>
  <c r="DP176" i="7"/>
  <c r="DP177" i="7" s="1"/>
  <c r="Z42" i="64"/>
  <c r="Z39" i="64"/>
  <c r="AV9" i="65"/>
  <c r="AU44" i="65"/>
  <c r="M39" i="125"/>
  <c r="GM54" i="123"/>
  <c r="G21" i="129"/>
  <c r="G22" i="129" s="1"/>
  <c r="E21" i="129"/>
  <c r="AE55" i="125" l="1"/>
  <c r="K25" i="127"/>
  <c r="FN54" i="121"/>
  <c r="FW54" i="121" s="1"/>
  <c r="FW52" i="121"/>
  <c r="AA38" i="125"/>
  <c r="FO54" i="121"/>
  <c r="FX54" i="121" s="1"/>
  <c r="FX52" i="121"/>
  <c r="AB38" i="125"/>
  <c r="EK52" i="121"/>
  <c r="EB54" i="121"/>
  <c r="EK54" i="121" s="1"/>
  <c r="GA52" i="121"/>
  <c r="Y38" i="125"/>
  <c r="EA54" i="121"/>
  <c r="EJ54" i="121" s="1"/>
  <c r="FZ52" i="121"/>
  <c r="EJ52" i="121"/>
  <c r="X38" i="125"/>
  <c r="DX52" i="121"/>
  <c r="DO54" i="121"/>
  <c r="DX54" i="121" s="1"/>
  <c r="U38" i="125"/>
  <c r="GM52" i="121"/>
  <c r="FE54" i="121"/>
  <c r="GM54" i="121" s="1"/>
  <c r="AD55" i="125"/>
  <c r="CL154" i="120"/>
  <c r="BG66" i="121"/>
  <c r="BP66" i="121" s="1"/>
  <c r="BQ66" i="121"/>
  <c r="DG72" i="121"/>
  <c r="CW72" i="121"/>
  <c r="EM72" i="121"/>
  <c r="EW72" i="121"/>
  <c r="AO214" i="120"/>
  <c r="BE176" i="122"/>
  <c r="BK176" i="122" s="1"/>
  <c r="BK121" i="122"/>
  <c r="BD121" i="122"/>
  <c r="AO115" i="122"/>
  <c r="AO170" i="122" s="1"/>
  <c r="AP170" i="122"/>
  <c r="CO52" i="123" s="1"/>
  <c r="CX52" i="123" s="1"/>
  <c r="BE115" i="122"/>
  <c r="CB72" i="121"/>
  <c r="EK67" i="121"/>
  <c r="GA67" i="121"/>
  <c r="GJ67" i="121" s="1"/>
  <c r="CC72" i="121"/>
  <c r="CN66" i="121"/>
  <c r="CX66" i="121"/>
  <c r="BM121" i="122"/>
  <c r="BM176" i="122" s="1"/>
  <c r="BN176" i="122"/>
  <c r="EN58" i="123" s="1"/>
  <c r="EW58" i="123" s="1"/>
  <c r="BN115" i="122"/>
  <c r="GA68" i="121"/>
  <c r="GJ68" i="121" s="1"/>
  <c r="BN214" i="120"/>
  <c r="EN66" i="121" s="1"/>
  <c r="BM148" i="120"/>
  <c r="BM214" i="120" s="1"/>
  <c r="BD148" i="120"/>
  <c r="BK148" i="120"/>
  <c r="BE214" i="120"/>
  <c r="BK214" i="120" s="1"/>
  <c r="FZ68" i="121"/>
  <c r="GI68" i="121" s="1"/>
  <c r="EJ68" i="121"/>
  <c r="DX67" i="121"/>
  <c r="EA67" i="121"/>
  <c r="X53" i="125" s="1"/>
  <c r="BD220" i="120"/>
  <c r="BJ220" i="120" s="1"/>
  <c r="BJ154" i="120"/>
  <c r="CM148" i="120"/>
  <c r="BL41" i="122"/>
  <c r="BF153" i="122"/>
  <c r="C35" i="123"/>
  <c r="C63" i="123" s="1"/>
  <c r="C181" i="122"/>
  <c r="C183" i="122" s="1"/>
  <c r="Q41" i="122"/>
  <c r="Q153" i="122" s="1"/>
  <c r="Q181" i="122" s="1"/>
  <c r="R40" i="122"/>
  <c r="R153" i="122"/>
  <c r="AH40" i="122"/>
  <c r="EL129" i="8"/>
  <c r="EL130" i="8" s="1"/>
  <c r="EL127" i="8"/>
  <c r="EA31" i="121"/>
  <c r="CB40" i="121"/>
  <c r="CK40" i="121" s="1"/>
  <c r="CK31" i="121"/>
  <c r="AN153" i="122"/>
  <c r="AH181" i="122"/>
  <c r="CP29" i="123"/>
  <c r="D29" i="123"/>
  <c r="B40" i="122"/>
  <c r="C126" i="122"/>
  <c r="CC183" i="122"/>
  <c r="CI183" i="122" s="1"/>
  <c r="CI181" i="122"/>
  <c r="BR83" i="121"/>
  <c r="CD83" i="121" s="1"/>
  <c r="AQ84" i="121"/>
  <c r="CH153" i="122"/>
  <c r="CB181" i="122"/>
  <c r="E25" i="127"/>
  <c r="CM35" i="121"/>
  <c r="EC35" i="121"/>
  <c r="CD36" i="121"/>
  <c r="CM36" i="121" s="1"/>
  <c r="DZ83" i="121"/>
  <c r="DQ84" i="121"/>
  <c r="DZ84" i="121" s="1"/>
  <c r="FP83" i="121"/>
  <c r="EO84" i="121"/>
  <c r="CC128" i="122"/>
  <c r="CI128" i="122" s="1"/>
  <c r="CI126" i="122"/>
  <c r="AG41" i="122"/>
  <c r="CO30" i="123"/>
  <c r="C30" i="123"/>
  <c r="BH60" i="65"/>
  <c r="AQ35" i="123"/>
  <c r="AQ63" i="123" s="1"/>
  <c r="S181" i="122"/>
  <c r="S183" i="122" s="1"/>
  <c r="CH40" i="122"/>
  <c r="CB126" i="122"/>
  <c r="EL31" i="121"/>
  <c r="EC40" i="121"/>
  <c r="EL40" i="121" s="1"/>
  <c r="GB31" i="121"/>
  <c r="B183" i="122"/>
  <c r="B188" i="122"/>
  <c r="AH126" i="122"/>
  <c r="D128" i="122"/>
  <c r="AN82" i="121"/>
  <c r="CD82" i="121"/>
  <c r="EK124" i="8"/>
  <c r="EJ123" i="8"/>
  <c r="EJ124" i="8" s="1"/>
  <c r="EK126" i="8"/>
  <c r="BO41" i="122"/>
  <c r="AQ153" i="122"/>
  <c r="AQ40" i="122"/>
  <c r="AQ126" i="122" s="1"/>
  <c r="AQ128" i="122" s="1"/>
  <c r="AN83" i="121"/>
  <c r="AE84" i="121"/>
  <c r="AN84" i="121" s="1"/>
  <c r="BI10" i="65"/>
  <c r="G53" i="143"/>
  <c r="J55" i="143"/>
  <c r="I55" i="143"/>
  <c r="BC12" i="66"/>
  <c r="BA47" i="65"/>
  <c r="BT44" i="61"/>
  <c r="BC35" i="64"/>
  <c r="BE9" i="65"/>
  <c r="M32" i="126"/>
  <c r="Y53" i="125"/>
  <c r="CD41" i="123"/>
  <c r="CA41" i="123"/>
  <c r="BR42" i="123"/>
  <c r="R32" i="126"/>
  <c r="O33" i="126"/>
  <c r="AN42" i="123"/>
  <c r="EX41" i="123"/>
  <c r="EO42" i="123"/>
  <c r="DH41" i="123"/>
  <c r="DH42" i="123" s="1"/>
  <c r="CY42" i="123"/>
  <c r="AC42" i="123"/>
  <c r="AL42" i="123" s="1"/>
  <c r="AB53" i="61"/>
  <c r="GI57" i="123"/>
  <c r="Y47" i="126"/>
  <c r="EK56" i="123"/>
  <c r="BF47" i="61"/>
  <c r="AY47" i="61"/>
  <c r="AV35" i="64"/>
  <c r="AU37" i="64"/>
  <c r="AM35" i="64"/>
  <c r="AH35" i="64"/>
  <c r="AO35" i="64"/>
  <c r="AG37" i="64"/>
  <c r="AB61" i="61"/>
  <c r="I17" i="129"/>
  <c r="L17" i="129" s="1"/>
  <c r="GA56" i="123"/>
  <c r="GJ56" i="123" s="1"/>
  <c r="L40" i="125"/>
  <c r="X52" i="66"/>
  <c r="Q92" i="56"/>
  <c r="C21" i="129"/>
  <c r="B21" i="129" s="1"/>
  <c r="I21" i="129" s="1"/>
  <c r="L21" i="129" s="1"/>
  <c r="N61" i="61"/>
  <c r="AA52" i="66"/>
  <c r="CC42" i="123"/>
  <c r="CL41" i="123"/>
  <c r="T32" i="126"/>
  <c r="GI53" i="123"/>
  <c r="AE44" i="126"/>
  <c r="P39" i="125"/>
  <c r="AU47" i="65"/>
  <c r="AV44" i="65"/>
  <c r="AS39" i="66"/>
  <c r="X57" i="125"/>
  <c r="CZ127" i="8"/>
  <c r="CZ129" i="8"/>
  <c r="CZ130" i="8" s="1"/>
  <c r="AB43" i="64"/>
  <c r="AC38" i="64"/>
  <c r="FZ56" i="123"/>
  <c r="FW56" i="123"/>
  <c r="AB47" i="126"/>
  <c r="AE56" i="125"/>
  <c r="AM58" i="123"/>
  <c r="N49" i="126"/>
  <c r="CL121" i="122"/>
  <c r="T52" i="123"/>
  <c r="AC52" i="123" s="1"/>
  <c r="AD52" i="123"/>
  <c r="W62" i="125"/>
  <c r="DG176" i="7"/>
  <c r="DG177" i="7" s="1"/>
  <c r="DG174" i="7"/>
  <c r="AA51" i="66"/>
  <c r="AW44" i="65"/>
  <c r="BI44" i="65" s="1"/>
  <c r="AX9" i="65"/>
  <c r="AE57" i="125"/>
  <c r="N38" i="64"/>
  <c r="I43" i="64"/>
  <c r="AI47" i="65"/>
  <c r="AJ44" i="65"/>
  <c r="AO44" i="65"/>
  <c r="Q112" i="56"/>
  <c r="T62" i="125"/>
  <c r="Z48" i="66"/>
  <c r="Z44" i="66"/>
  <c r="Z41" i="66"/>
  <c r="AB37" i="125"/>
  <c r="AE45" i="126"/>
  <c r="GI54" i="123"/>
  <c r="L35" i="123"/>
  <c r="L63" i="123" s="1"/>
  <c r="B35" i="123"/>
  <c r="B63" i="123" s="1"/>
  <c r="M58" i="125"/>
  <c r="DQ129" i="8"/>
  <c r="DQ130" i="8" s="1"/>
  <c r="DQ127" i="8"/>
  <c r="BM44" i="61"/>
  <c r="BL47" i="61"/>
  <c r="M49" i="126"/>
  <c r="AL58" i="123"/>
  <c r="CL129" i="8"/>
  <c r="CL130" i="8" s="1"/>
  <c r="CL127" i="8"/>
  <c r="CK126" i="8"/>
  <c r="CB41" i="123"/>
  <c r="P32" i="126"/>
  <c r="BP42" i="123"/>
  <c r="BY41" i="123"/>
  <c r="W40" i="125"/>
  <c r="AA54" i="125"/>
  <c r="AC49" i="61"/>
  <c r="BQ42" i="123"/>
  <c r="BZ41" i="123"/>
  <c r="Q32" i="126"/>
  <c r="T40" i="125"/>
  <c r="P38" i="64"/>
  <c r="K43" i="64"/>
  <c r="O38" i="64"/>
  <c r="O39" i="64" s="1"/>
  <c r="O43" i="64" s="1"/>
  <c r="AE44" i="66"/>
  <c r="AF40" i="66"/>
  <c r="AE48" i="66"/>
  <c r="AE41" i="66"/>
  <c r="N67" i="125"/>
  <c r="CW58" i="123"/>
  <c r="DG58" i="123"/>
  <c r="DF58" i="123" s="1"/>
  <c r="M40" i="125"/>
  <c r="DO126" i="8"/>
  <c r="BJ47" i="61"/>
  <c r="BK47" i="61" s="1"/>
  <c r="BK44" i="61"/>
  <c r="EW41" i="123"/>
  <c r="EN42" i="123"/>
  <c r="EM41" i="123"/>
  <c r="CN52" i="123"/>
  <c r="P61" i="61"/>
  <c r="P68" i="61" s="1"/>
  <c r="P53" i="61"/>
  <c r="X48" i="61"/>
  <c r="AT37" i="64"/>
  <c r="AN36" i="66"/>
  <c r="AT36" i="66" s="1"/>
  <c r="AO11" i="66"/>
  <c r="FX56" i="123"/>
  <c r="AC47" i="126"/>
  <c r="AP47" i="65"/>
  <c r="AQ44" i="65"/>
  <c r="AG39" i="66"/>
  <c r="AH36" i="66"/>
  <c r="AM36" i="66"/>
  <c r="AB48" i="66"/>
  <c r="AB44" i="66"/>
  <c r="AB54" i="125"/>
  <c r="AV12" i="66"/>
  <c r="AU11" i="66"/>
  <c r="BH52" i="123"/>
  <c r="AX52" i="123"/>
  <c r="AB53" i="125"/>
  <c r="AM42" i="123"/>
  <c r="N33" i="126"/>
  <c r="GJ57" i="123"/>
  <c r="AF48" i="126"/>
  <c r="EM58" i="123"/>
  <c r="O61" i="125"/>
  <c r="AD56" i="125"/>
  <c r="BG42" i="123"/>
  <c r="Z39" i="125"/>
  <c r="X51" i="66"/>
  <c r="Z43" i="64"/>
  <c r="AA42" i="64"/>
  <c r="DG41" i="123"/>
  <c r="CW41" i="123"/>
  <c r="CW42" i="123" s="1"/>
  <c r="CX42" i="123"/>
  <c r="M35" i="123"/>
  <c r="M63" i="123" s="1"/>
  <c r="Z53" i="65"/>
  <c r="AG48" i="65"/>
  <c r="AB48" i="65"/>
  <c r="BG58" i="123"/>
  <c r="BP58" i="123" s="1"/>
  <c r="CB58" i="123" s="1"/>
  <c r="BQ58" i="123"/>
  <c r="N64" i="125"/>
  <c r="AB49" i="66"/>
  <c r="AC40" i="66"/>
  <c r="AB45" i="66"/>
  <c r="FW53" i="123"/>
  <c r="AB44" i="126"/>
  <c r="Q64" i="125"/>
  <c r="Q67" i="125"/>
  <c r="P61" i="125"/>
  <c r="AA53" i="125"/>
  <c r="X54" i="125"/>
  <c r="AF44" i="126"/>
  <c r="GJ53" i="123"/>
  <c r="AG44" i="66"/>
  <c r="AG48" i="66"/>
  <c r="R61" i="125"/>
  <c r="E22" i="129"/>
  <c r="AE54" i="125" l="1"/>
  <c r="GI52" i="121"/>
  <c r="FZ54" i="121"/>
  <c r="GI54" i="121" s="1"/>
  <c r="AD38" i="125"/>
  <c r="H55" i="143"/>
  <c r="GA54" i="121"/>
  <c r="GJ54" i="121" s="1"/>
  <c r="GJ52" i="121"/>
  <c r="AE38" i="125"/>
  <c r="CK72" i="121"/>
  <c r="BD176" i="122"/>
  <c r="BJ176" i="122" s="1"/>
  <c r="BJ121" i="122"/>
  <c r="FZ67" i="121"/>
  <c r="GI67" i="121" s="1"/>
  <c r="EJ67" i="121"/>
  <c r="EW66" i="121"/>
  <c r="EM66" i="121"/>
  <c r="CL72" i="121"/>
  <c r="BK115" i="122"/>
  <c r="BD115" i="122"/>
  <c r="BE170" i="122"/>
  <c r="BK170" i="122" s="1"/>
  <c r="DF72" i="121"/>
  <c r="DO72" i="121" s="1"/>
  <c r="DX72" i="121" s="1"/>
  <c r="DP72" i="121"/>
  <c r="DY72" i="121" s="1"/>
  <c r="EV72" i="121"/>
  <c r="FF72" i="121"/>
  <c r="BZ66" i="121"/>
  <c r="CC66" i="121"/>
  <c r="BD214" i="120"/>
  <c r="BJ214" i="120" s="1"/>
  <c r="BJ148" i="120"/>
  <c r="BN170" i="122"/>
  <c r="EN52" i="123" s="1"/>
  <c r="EM52" i="123" s="1"/>
  <c r="BM115" i="122"/>
  <c r="BM170" i="122" s="1"/>
  <c r="DG66" i="121"/>
  <c r="CW66" i="121"/>
  <c r="CL148" i="120"/>
  <c r="BY66" i="121"/>
  <c r="CB66" i="121"/>
  <c r="GK31" i="121"/>
  <c r="GB40" i="121"/>
  <c r="GK40" i="121" s="1"/>
  <c r="CA83" i="121"/>
  <c r="BR84" i="121"/>
  <c r="CA84" i="121" s="1"/>
  <c r="AN40" i="122"/>
  <c r="BF40" i="122"/>
  <c r="BL40" i="122" s="1"/>
  <c r="CP35" i="123"/>
  <c r="AQ181" i="122"/>
  <c r="AQ183" i="122" s="1"/>
  <c r="AN126" i="122"/>
  <c r="AH128" i="122"/>
  <c r="AN128" i="122" s="1"/>
  <c r="BF126" i="122"/>
  <c r="CB183" i="122"/>
  <c r="CH183" i="122" s="1"/>
  <c r="CH181" i="122"/>
  <c r="AH183" i="122"/>
  <c r="AN183" i="122" s="1"/>
  <c r="AN181" i="122"/>
  <c r="EJ31" i="121"/>
  <c r="FZ31" i="121"/>
  <c r="EA40" i="121"/>
  <c r="EJ40" i="121" s="1"/>
  <c r="AP35" i="123"/>
  <c r="AP63" i="123" s="1"/>
  <c r="R181" i="122"/>
  <c r="R183" i="122" s="1"/>
  <c r="BO153" i="122"/>
  <c r="BO40" i="122"/>
  <c r="BO126" i="122" s="1"/>
  <c r="BO128" i="122" s="1"/>
  <c r="EC82" i="121"/>
  <c r="CM82" i="121"/>
  <c r="AF41" i="122"/>
  <c r="AM41" i="122"/>
  <c r="AG153" i="122"/>
  <c r="AP41" i="122"/>
  <c r="BE41" i="122" s="1"/>
  <c r="FY83" i="121"/>
  <c r="FP84" i="121"/>
  <c r="FY84" i="121" s="1"/>
  <c r="G25" i="127"/>
  <c r="GB35" i="121"/>
  <c r="EL35" i="121"/>
  <c r="EC36" i="121"/>
  <c r="EL36" i="121" s="1"/>
  <c r="AG40" i="122"/>
  <c r="Q40" i="122"/>
  <c r="R126" i="122"/>
  <c r="AG126" i="122" s="1"/>
  <c r="BL153" i="122"/>
  <c r="BF181" i="122"/>
  <c r="CM83" i="121"/>
  <c r="EC83" i="121"/>
  <c r="CD84" i="121"/>
  <c r="CM84" i="121" s="1"/>
  <c r="EJ126" i="8"/>
  <c r="EK129" i="8"/>
  <c r="EK130" i="8" s="1"/>
  <c r="EK127" i="8"/>
  <c r="CB128" i="122"/>
  <c r="CH128" i="122" s="1"/>
  <c r="CH126" i="122"/>
  <c r="C128" i="122"/>
  <c r="B126" i="122"/>
  <c r="Q183" i="122"/>
  <c r="Q188" i="122"/>
  <c r="AF188" i="122" s="1"/>
  <c r="AL188" i="122" s="1"/>
  <c r="F54" i="143"/>
  <c r="D54" i="143" s="1"/>
  <c r="E54" i="143" s="1"/>
  <c r="G54" i="143" s="1"/>
  <c r="K55" i="143"/>
  <c r="BC11" i="66"/>
  <c r="AV37" i="64"/>
  <c r="BC37" i="64"/>
  <c r="BT47" i="61"/>
  <c r="BE44" i="65"/>
  <c r="M33" i="126"/>
  <c r="DQ41" i="123"/>
  <c r="X32" i="126" s="1"/>
  <c r="EX42" i="123"/>
  <c r="FG41" i="123"/>
  <c r="FG42" i="123" s="1"/>
  <c r="R33" i="126"/>
  <c r="CA42" i="123"/>
  <c r="CD42" i="123"/>
  <c r="CM41" i="123"/>
  <c r="U32" i="126"/>
  <c r="AF47" i="126"/>
  <c r="AM37" i="64"/>
  <c r="AG38" i="64"/>
  <c r="AG42" i="64" s="1"/>
  <c r="AH37" i="64"/>
  <c r="AO37" i="64"/>
  <c r="DO58" i="123"/>
  <c r="EA58" i="123" s="1"/>
  <c r="C22" i="129"/>
  <c r="B22" i="129" s="1"/>
  <c r="I22" i="129" s="1"/>
  <c r="L22" i="129" s="1"/>
  <c r="V61" i="125"/>
  <c r="AB51" i="66"/>
  <c r="L52" i="125"/>
  <c r="P58" i="125"/>
  <c r="AZ35" i="123"/>
  <c r="AZ63" i="123" s="1"/>
  <c r="Q49" i="126"/>
  <c r="BZ58" i="123"/>
  <c r="CW52" i="123"/>
  <c r="DG52" i="123"/>
  <c r="DF52" i="123" s="1"/>
  <c r="O58" i="125"/>
  <c r="BY58" i="123"/>
  <c r="P49" i="126"/>
  <c r="AF39" i="125"/>
  <c r="EV58" i="123"/>
  <c r="FF58" i="123"/>
  <c r="BG52" i="123"/>
  <c r="BP52" i="123" s="1"/>
  <c r="CB52" i="123" s="1"/>
  <c r="BQ52" i="123"/>
  <c r="AB52" i="66"/>
  <c r="L58" i="125"/>
  <c r="FF41" i="123"/>
  <c r="EW42" i="123"/>
  <c r="EV41" i="123"/>
  <c r="EV42" i="123" s="1"/>
  <c r="DO127" i="8"/>
  <c r="DO129" i="8"/>
  <c r="DO130" i="8" s="1"/>
  <c r="CK41" i="123"/>
  <c r="S32" i="126"/>
  <c r="CK127" i="8"/>
  <c r="CK129" i="8"/>
  <c r="CK130" i="8" s="1"/>
  <c r="C68" i="123"/>
  <c r="C65" i="123"/>
  <c r="T64" i="125"/>
  <c r="AQ47" i="65"/>
  <c r="AJ47" i="65"/>
  <c r="AO47" i="65"/>
  <c r="AM52" i="123"/>
  <c r="N43" i="126"/>
  <c r="AV47" i="65"/>
  <c r="AB52" i="65"/>
  <c r="AB49" i="65"/>
  <c r="AB60" i="65" s="1"/>
  <c r="V35" i="123"/>
  <c r="V63" i="123" s="1"/>
  <c r="AE63" i="123" s="1"/>
  <c r="DF41" i="123"/>
  <c r="DG42" i="123"/>
  <c r="T67" i="125"/>
  <c r="CP63" i="123"/>
  <c r="AO35" i="123"/>
  <c r="AO63" i="123" s="1"/>
  <c r="AY35" i="123"/>
  <c r="AY63" i="123" s="1"/>
  <c r="GI56" i="123"/>
  <c r="AE47" i="126"/>
  <c r="AC39" i="125"/>
  <c r="DP41" i="123"/>
  <c r="S39" i="125"/>
  <c r="T33" i="126"/>
  <c r="CL42" i="123"/>
  <c r="AD54" i="125"/>
  <c r="AC44" i="66"/>
  <c r="AC48" i="66"/>
  <c r="Z62" i="125"/>
  <c r="AU36" i="66"/>
  <c r="BC36" i="66" s="1"/>
  <c r="AV11" i="66"/>
  <c r="AG41" i="66"/>
  <c r="AH39" i="66"/>
  <c r="AM39" i="66"/>
  <c r="S61" i="125"/>
  <c r="CL115" i="122"/>
  <c r="M52" i="125"/>
  <c r="AG52" i="65"/>
  <c r="AG49" i="65"/>
  <c r="AG53" i="65" s="1"/>
  <c r="D65" i="123"/>
  <c r="D68" i="123"/>
  <c r="Z40" i="125"/>
  <c r="AE53" i="125"/>
  <c r="AN39" i="66"/>
  <c r="AT39" i="66" s="1"/>
  <c r="AO36" i="66"/>
  <c r="X52" i="61"/>
  <c r="X71" i="61"/>
  <c r="X72" i="61" s="1"/>
  <c r="X73" i="61" s="1"/>
  <c r="X74" i="61" s="1"/>
  <c r="X49" i="61"/>
  <c r="EM42" i="123"/>
  <c r="P42" i="64"/>
  <c r="P39" i="64"/>
  <c r="AC61" i="61"/>
  <c r="AC53" i="61"/>
  <c r="AD48" i="61"/>
  <c r="P33" i="126"/>
  <c r="BY42" i="123"/>
  <c r="BM47" i="61"/>
  <c r="Z45" i="66"/>
  <c r="Z49" i="66"/>
  <c r="Z51" i="66" s="1"/>
  <c r="AA44" i="66"/>
  <c r="N42" i="64"/>
  <c r="N39" i="64"/>
  <c r="N43" i="64" s="1"/>
  <c r="AW47" i="65"/>
  <c r="BI47" i="65" s="1"/>
  <c r="AX44" i="65"/>
  <c r="W64" i="125"/>
  <c r="AC42" i="64"/>
  <c r="AC39" i="64"/>
  <c r="P40" i="125"/>
  <c r="DP58" i="123"/>
  <c r="AA37" i="125"/>
  <c r="B23" i="128"/>
  <c r="AF41" i="66"/>
  <c r="AE45" i="66"/>
  <c r="AE49" i="66"/>
  <c r="AE51" i="66" s="1"/>
  <c r="Q33" i="126"/>
  <c r="BZ42" i="123"/>
  <c r="AC41" i="66"/>
  <c r="CK58" i="123"/>
  <c r="S49" i="126"/>
  <c r="AE37" i="125"/>
  <c r="U35" i="123"/>
  <c r="U63" i="123" s="1"/>
  <c r="AD63" i="123" s="1"/>
  <c r="K35" i="123"/>
  <c r="K63" i="123" s="1"/>
  <c r="AL52" i="123"/>
  <c r="M43" i="126"/>
  <c r="CC58" i="123"/>
  <c r="AD57" i="125"/>
  <c r="EW52" i="123" l="1"/>
  <c r="EV52" i="123" s="1"/>
  <c r="AD53" i="125"/>
  <c r="CL66" i="121"/>
  <c r="EB72" i="121"/>
  <c r="FF66" i="121"/>
  <c r="FE66" i="121" s="1"/>
  <c r="EV66" i="121"/>
  <c r="CK66" i="121"/>
  <c r="FE72" i="121"/>
  <c r="FO72" i="121"/>
  <c r="FX72" i="121" s="1"/>
  <c r="EA72" i="121"/>
  <c r="DF66" i="121"/>
  <c r="DO66" i="121" s="1"/>
  <c r="DX66" i="121" s="1"/>
  <c r="DP66" i="121"/>
  <c r="DY66" i="121" s="1"/>
  <c r="BJ115" i="122"/>
  <c r="BD170" i="122"/>
  <c r="BJ170" i="122" s="1"/>
  <c r="AF126" i="122"/>
  <c r="AG128" i="122"/>
  <c r="AM128" i="122" s="1"/>
  <c r="AM126" i="122"/>
  <c r="BF183" i="122"/>
  <c r="BL183" i="122" s="1"/>
  <c r="BL181" i="122"/>
  <c r="AM40" i="122"/>
  <c r="AF40" i="122"/>
  <c r="AL40" i="122" s="1"/>
  <c r="AM153" i="122"/>
  <c r="AG181" i="122"/>
  <c r="B128" i="122"/>
  <c r="B133" i="122"/>
  <c r="EL83" i="121"/>
  <c r="GB83" i="121"/>
  <c r="EC84" i="121"/>
  <c r="EL84" i="121" s="1"/>
  <c r="BD41" i="122"/>
  <c r="BK41" i="122"/>
  <c r="BE153" i="122"/>
  <c r="GB82" i="121"/>
  <c r="GK82" i="121" s="1"/>
  <c r="EL82" i="121"/>
  <c r="BF128" i="122"/>
  <c r="BL128" i="122" s="1"/>
  <c r="BL126" i="122"/>
  <c r="R128" i="122"/>
  <c r="Q126" i="122"/>
  <c r="EJ127" i="8"/>
  <c r="EJ129" i="8"/>
  <c r="EJ130" i="8" s="1"/>
  <c r="I25" i="127"/>
  <c r="GK35" i="121"/>
  <c r="GB36" i="121"/>
  <c r="GK36" i="121" s="1"/>
  <c r="BN41" i="122"/>
  <c r="AO41" i="122"/>
  <c r="AO153" i="122" s="1"/>
  <c r="AO181" i="122" s="1"/>
  <c r="AP40" i="122"/>
  <c r="BE40" i="122" s="1"/>
  <c r="AP153" i="122"/>
  <c r="AL41" i="122"/>
  <c r="AF153" i="122"/>
  <c r="EO35" i="123"/>
  <c r="EO63" i="123" s="1"/>
  <c r="BO181" i="122"/>
  <c r="BO183" i="122" s="1"/>
  <c r="FZ40" i="121"/>
  <c r="GI40" i="121" s="1"/>
  <c r="GI31" i="121"/>
  <c r="AN63" i="123"/>
  <c r="AM63" i="123"/>
  <c r="F55" i="143"/>
  <c r="D55" i="143" s="1"/>
  <c r="E55" i="143" s="1"/>
  <c r="G55" i="143" s="1"/>
  <c r="J56" i="143"/>
  <c r="I56" i="143"/>
  <c r="DP52" i="123"/>
  <c r="DY52" i="123" s="1"/>
  <c r="BE47" i="65"/>
  <c r="EC41" i="123"/>
  <c r="EC42" i="123" s="1"/>
  <c r="DQ42" i="123"/>
  <c r="X33" i="126" s="1"/>
  <c r="DZ41" i="123"/>
  <c r="FP41" i="123"/>
  <c r="FY41" i="123" s="1"/>
  <c r="AA32" i="126"/>
  <c r="U33" i="126"/>
  <c r="CM42" i="123"/>
  <c r="AG39" i="64"/>
  <c r="AL38" i="64" s="1"/>
  <c r="V49" i="126"/>
  <c r="DX58" i="123"/>
  <c r="U61" i="125"/>
  <c r="DO52" i="123"/>
  <c r="EA52" i="123" s="1"/>
  <c r="O54" i="126"/>
  <c r="X61" i="125"/>
  <c r="Y61" i="125"/>
  <c r="Z52" i="66"/>
  <c r="AG60" i="65"/>
  <c r="R52" i="125"/>
  <c r="V39" i="125"/>
  <c r="S43" i="126"/>
  <c r="CK52" i="123"/>
  <c r="EJ58" i="123"/>
  <c r="Y49" i="126"/>
  <c r="AX47" i="65"/>
  <c r="AC62" i="125"/>
  <c r="L65" i="123"/>
  <c r="L68" i="123"/>
  <c r="AC45" i="66"/>
  <c r="AD40" i="66"/>
  <c r="AC49" i="66"/>
  <c r="DY58" i="123"/>
  <c r="W49" i="126"/>
  <c r="B76" i="123"/>
  <c r="B65" i="123"/>
  <c r="X61" i="61"/>
  <c r="X68" i="61" s="1"/>
  <c r="X53" i="61"/>
  <c r="AE48" i="61"/>
  <c r="AX48" i="61"/>
  <c r="Z48" i="61"/>
  <c r="AO39" i="66"/>
  <c r="AC40" i="125"/>
  <c r="BH35" i="123"/>
  <c r="BH63" i="123" s="1"/>
  <c r="BQ63" i="123" s="1"/>
  <c r="AX35" i="123"/>
  <c r="AX63" i="123" s="1"/>
  <c r="CY35" i="123"/>
  <c r="CY63" i="123" s="1"/>
  <c r="P52" i="125"/>
  <c r="W43" i="126"/>
  <c r="AB53" i="65"/>
  <c r="AC48" i="65"/>
  <c r="AI48" i="65"/>
  <c r="FE58" i="123"/>
  <c r="FO58" i="123"/>
  <c r="AF40" i="125"/>
  <c r="W67" i="125"/>
  <c r="AE35" i="123"/>
  <c r="C23" i="128"/>
  <c r="H23" i="128"/>
  <c r="G23" i="128"/>
  <c r="D23" i="128"/>
  <c r="F23" i="128"/>
  <c r="S52" i="125"/>
  <c r="DO41" i="123"/>
  <c r="DF42" i="123"/>
  <c r="FF52" i="123"/>
  <c r="FE52" i="123" s="1"/>
  <c r="AD38" i="64"/>
  <c r="AC43" i="64"/>
  <c r="AN40" i="66"/>
  <c r="AN41" i="66" s="1"/>
  <c r="AG45" i="66"/>
  <c r="AG49" i="66"/>
  <c r="AG51" i="66" s="1"/>
  <c r="AL40" i="66"/>
  <c r="Z64" i="125"/>
  <c r="O39" i="125"/>
  <c r="O52" i="125"/>
  <c r="CL58" i="123"/>
  <c r="T49" i="126"/>
  <c r="EB58" i="123"/>
  <c r="K76" i="123"/>
  <c r="K65" i="123"/>
  <c r="AD37" i="125"/>
  <c r="N50" i="64"/>
  <c r="P43" i="64"/>
  <c r="X42" i="64"/>
  <c r="B68" i="123"/>
  <c r="DY41" i="123"/>
  <c r="W32" i="126"/>
  <c r="DP42" i="123"/>
  <c r="EB41" i="123"/>
  <c r="AP68" i="123"/>
  <c r="AP65" i="123"/>
  <c r="V65" i="123"/>
  <c r="V68" i="123"/>
  <c r="CK42" i="123"/>
  <c r="S33" i="126"/>
  <c r="CC52" i="123"/>
  <c r="Q43" i="126"/>
  <c r="BZ52" i="123"/>
  <c r="BI35" i="123"/>
  <c r="BI63" i="123" s="1"/>
  <c r="BR63" i="123" s="1"/>
  <c r="CA63" i="123" s="1"/>
  <c r="AE52" i="66"/>
  <c r="AD35" i="123"/>
  <c r="T35" i="123"/>
  <c r="T63" i="123" s="1"/>
  <c r="AC63" i="123" s="1"/>
  <c r="AD52" i="61"/>
  <c r="AD49" i="61"/>
  <c r="AD53" i="61" s="1"/>
  <c r="AV36" i="66"/>
  <c r="AU39" i="66"/>
  <c r="S40" i="125"/>
  <c r="M65" i="123"/>
  <c r="M68" i="123"/>
  <c r="S58" i="125"/>
  <c r="FF42" i="123"/>
  <c r="FE41" i="123"/>
  <c r="GM41" i="123" s="1"/>
  <c r="FO41" i="123"/>
  <c r="BY52" i="123"/>
  <c r="P43" i="126"/>
  <c r="AF62" i="125"/>
  <c r="R58" i="125"/>
  <c r="AQ68" i="123"/>
  <c r="AQ65" i="123"/>
  <c r="H56" i="143" l="1"/>
  <c r="FN66" i="121"/>
  <c r="FW66" i="121" s="1"/>
  <c r="FO66" i="121"/>
  <c r="FX66" i="121" s="1"/>
  <c r="EA66" i="121"/>
  <c r="EK72" i="121"/>
  <c r="GA72" i="121"/>
  <c r="GJ72" i="121" s="1"/>
  <c r="EJ72" i="121"/>
  <c r="EB66" i="121"/>
  <c r="GM72" i="121"/>
  <c r="FN72" i="121"/>
  <c r="FW72" i="121" s="1"/>
  <c r="GM66" i="121"/>
  <c r="BM41" i="122"/>
  <c r="BM153" i="122" s="1"/>
  <c r="BM181" i="122" s="1"/>
  <c r="BN40" i="122"/>
  <c r="BN153" i="122"/>
  <c r="BK153" i="122"/>
  <c r="BE181" i="122"/>
  <c r="GK83" i="121"/>
  <c r="GB84" i="121"/>
  <c r="GK84" i="121" s="1"/>
  <c r="CO35" i="123"/>
  <c r="CO63" i="123" s="1"/>
  <c r="AP181" i="122"/>
  <c r="AP183" i="122" s="1"/>
  <c r="AG183" i="122"/>
  <c r="AM183" i="122" s="1"/>
  <c r="AM181" i="122"/>
  <c r="AO40" i="122"/>
  <c r="AP126" i="122"/>
  <c r="Q133" i="122"/>
  <c r="AF133" i="122" s="1"/>
  <c r="AL133" i="122" s="1"/>
  <c r="Q128" i="122"/>
  <c r="BJ41" i="122"/>
  <c r="BD153" i="122"/>
  <c r="AL153" i="122"/>
  <c r="AF181" i="122"/>
  <c r="AO188" i="122"/>
  <c r="BD188" i="122" s="1"/>
  <c r="BJ188" i="122" s="1"/>
  <c r="AO183" i="122"/>
  <c r="BD40" i="122"/>
  <c r="BJ40" i="122" s="1"/>
  <c r="BK40" i="122"/>
  <c r="AF128" i="122"/>
  <c r="AL128" i="122" s="1"/>
  <c r="AL126" i="122"/>
  <c r="BZ63" i="123"/>
  <c r="CC63" i="123"/>
  <c r="CD63" i="123"/>
  <c r="EL41" i="123"/>
  <c r="AL63" i="123"/>
  <c r="CL63" i="123"/>
  <c r="F56" i="143"/>
  <c r="D56" i="143" s="1"/>
  <c r="E56" i="143" s="1"/>
  <c r="G56" i="143" s="1"/>
  <c r="K56" i="143"/>
  <c r="BC39" i="66"/>
  <c r="DZ42" i="123"/>
  <c r="AD32" i="126"/>
  <c r="FP42" i="123"/>
  <c r="AD33" i="126" s="1"/>
  <c r="GB41" i="123"/>
  <c r="AG32" i="126" s="1"/>
  <c r="AA33" i="126"/>
  <c r="EL42" i="123"/>
  <c r="AE65" i="123"/>
  <c r="AN65" i="123" s="1"/>
  <c r="AN38" i="64"/>
  <c r="AO38" i="64" s="1"/>
  <c r="AG43" i="64"/>
  <c r="AL42" i="64"/>
  <c r="AL39" i="64"/>
  <c r="AL43" i="64" s="1"/>
  <c r="DX52" i="123"/>
  <c r="V43" i="126"/>
  <c r="K68" i="123"/>
  <c r="AG52" i="66"/>
  <c r="FN52" i="123"/>
  <c r="FW52" i="123" s="1"/>
  <c r="CL41" i="122"/>
  <c r="E23" i="128"/>
  <c r="AE68" i="123"/>
  <c r="AN45" i="66"/>
  <c r="AS40" i="66"/>
  <c r="AN49" i="66"/>
  <c r="AU40" i="66"/>
  <c r="AA39" i="125"/>
  <c r="AC35" i="123"/>
  <c r="AO76" i="123"/>
  <c r="AO65" i="123"/>
  <c r="AD61" i="61"/>
  <c r="U68" i="123"/>
  <c r="U65" i="123"/>
  <c r="EX35" i="123"/>
  <c r="EX63" i="123" s="1"/>
  <c r="EK41" i="123"/>
  <c r="Z32" i="126"/>
  <c r="EB42" i="123"/>
  <c r="GA41" i="123"/>
  <c r="V58" i="125"/>
  <c r="EK58" i="123"/>
  <c r="Z49" i="126"/>
  <c r="GA58" i="123"/>
  <c r="AL44" i="66"/>
  <c r="AM40" i="66"/>
  <c r="AL48" i="66"/>
  <c r="AL41" i="66"/>
  <c r="I23" i="128"/>
  <c r="AN35" i="123"/>
  <c r="O26" i="126"/>
  <c r="Z67" i="125"/>
  <c r="FX58" i="123"/>
  <c r="AC49" i="126"/>
  <c r="BG35" i="123"/>
  <c r="BG63" i="123" s="1"/>
  <c r="BP63" i="123" s="1"/>
  <c r="BQ35" i="123"/>
  <c r="CC35" i="123" s="1"/>
  <c r="AX52" i="61"/>
  <c r="AX49" i="61"/>
  <c r="AC64" i="125"/>
  <c r="Y39" i="125"/>
  <c r="FO52" i="123"/>
  <c r="FX41" i="123"/>
  <c r="AC32" i="126"/>
  <c r="FO42" i="123"/>
  <c r="AC33" i="126" s="1"/>
  <c r="AC67" i="125"/>
  <c r="N26" i="126"/>
  <c r="AM35" i="123"/>
  <c r="AO68" i="123"/>
  <c r="GM58" i="123"/>
  <c r="FN58" i="123"/>
  <c r="AI52" i="65"/>
  <c r="AI49" i="65"/>
  <c r="DH35" i="123"/>
  <c r="DH63" i="123" s="1"/>
  <c r="DQ63" i="123" s="1"/>
  <c r="DZ63" i="123" s="1"/>
  <c r="AY65" i="123"/>
  <c r="AY68" i="123"/>
  <c r="AE52" i="61"/>
  <c r="AE49" i="61"/>
  <c r="AE53" i="61" s="1"/>
  <c r="AC51" i="66"/>
  <c r="AC52" i="66"/>
  <c r="V40" i="125"/>
  <c r="AF64" i="125"/>
  <c r="Y58" i="125"/>
  <c r="AV39" i="66"/>
  <c r="AD61" i="125"/>
  <c r="W33" i="126"/>
  <c r="DY42" i="123"/>
  <c r="U58" i="125"/>
  <c r="R39" i="125"/>
  <c r="FE42" i="123"/>
  <c r="GM42" i="123" s="1"/>
  <c r="FN41" i="123"/>
  <c r="AZ65" i="123"/>
  <c r="AZ68" i="123"/>
  <c r="CL52" i="123"/>
  <c r="T43" i="126"/>
  <c r="O40" i="125"/>
  <c r="AD42" i="64"/>
  <c r="AD39" i="64"/>
  <c r="AD43" i="64" s="1"/>
  <c r="GM52" i="123"/>
  <c r="V32" i="126"/>
  <c r="DX41" i="123"/>
  <c r="DO42" i="123"/>
  <c r="EA41" i="123"/>
  <c r="K23" i="128"/>
  <c r="AC52" i="65"/>
  <c r="AC49" i="65"/>
  <c r="AC60" i="65" s="1"/>
  <c r="EB52" i="123"/>
  <c r="CP68" i="123"/>
  <c r="CP65" i="123"/>
  <c r="AD44" i="66"/>
  <c r="AD48" i="66"/>
  <c r="AD41" i="66"/>
  <c r="AB61" i="125"/>
  <c r="BR35" i="123"/>
  <c r="CD35" i="123" s="1"/>
  <c r="AB39" i="125"/>
  <c r="AN48" i="66"/>
  <c r="AN44" i="66"/>
  <c r="AX76" i="123"/>
  <c r="AX65" i="123"/>
  <c r="Z52" i="61"/>
  <c r="Z49" i="61"/>
  <c r="AA61" i="125"/>
  <c r="Y43" i="126"/>
  <c r="EJ52" i="123"/>
  <c r="EK66" i="121" l="1"/>
  <c r="GA66" i="121"/>
  <c r="GJ66" i="121" s="1"/>
  <c r="FZ72" i="121"/>
  <c r="GI72" i="121" s="1"/>
  <c r="FZ66" i="121"/>
  <c r="GI66" i="121" s="1"/>
  <c r="EJ66" i="121"/>
  <c r="CN35" i="123"/>
  <c r="CN63" i="123" s="1"/>
  <c r="CX35" i="123"/>
  <c r="CX63" i="123" s="1"/>
  <c r="AL181" i="122"/>
  <c r="AF183" i="122"/>
  <c r="AL183" i="122" s="1"/>
  <c r="EN35" i="123"/>
  <c r="EN63" i="123" s="1"/>
  <c r="BN181" i="122"/>
  <c r="BN183" i="122" s="1"/>
  <c r="AU41" i="66"/>
  <c r="BB46" i="66" s="1"/>
  <c r="AU48" i="66"/>
  <c r="AN68" i="123"/>
  <c r="C42" i="127"/>
  <c r="BM40" i="122"/>
  <c r="CL40" i="122" s="1"/>
  <c r="BN126" i="122"/>
  <c r="BJ153" i="122"/>
  <c r="BD181" i="122"/>
  <c r="AO126" i="122"/>
  <c r="AP128" i="122"/>
  <c r="BE126" i="122"/>
  <c r="BE183" i="122"/>
  <c r="BK183" i="122" s="1"/>
  <c r="BK181" i="122"/>
  <c r="BM188" i="122"/>
  <c r="CB188" i="122" s="1"/>
  <c r="CH188" i="122" s="1"/>
  <c r="BM183" i="122"/>
  <c r="EC63" i="123"/>
  <c r="CM63" i="123"/>
  <c r="BY63" i="123"/>
  <c r="CB63" i="123"/>
  <c r="EL63" i="123"/>
  <c r="F57" i="143"/>
  <c r="D57" i="143" s="1"/>
  <c r="E57" i="143" s="1"/>
  <c r="G57" i="143" s="1"/>
  <c r="J57" i="143"/>
  <c r="I57" i="143"/>
  <c r="FZ52" i="123"/>
  <c r="AE43" i="126" s="1"/>
  <c r="GB42" i="123"/>
  <c r="GK42" i="123" s="1"/>
  <c r="GK41" i="123"/>
  <c r="O56" i="126"/>
  <c r="AB43" i="126"/>
  <c r="O59" i="126"/>
  <c r="AA58" i="125"/>
  <c r="AE61" i="125"/>
  <c r="AN39" i="64"/>
  <c r="AS38" i="64" s="1"/>
  <c r="AN42" i="64"/>
  <c r="AX68" i="123"/>
  <c r="AN52" i="66"/>
  <c r="B27" i="128"/>
  <c r="J23" i="128"/>
  <c r="BP35" i="123"/>
  <c r="BY35" i="123" s="1"/>
  <c r="X54" i="126"/>
  <c r="AN51" i="66"/>
  <c r="U26" i="126"/>
  <c r="CM35" i="123"/>
  <c r="X39" i="125"/>
  <c r="P54" i="126"/>
  <c r="BP76" i="123"/>
  <c r="BY76" i="123" s="1"/>
  <c r="BP65" i="123"/>
  <c r="CO68" i="123"/>
  <c r="CO65" i="123"/>
  <c r="BH68" i="123"/>
  <c r="BH65" i="123"/>
  <c r="AF67" i="125"/>
  <c r="FG35" i="123"/>
  <c r="FG63" i="123" s="1"/>
  <c r="FP63" i="123" s="1"/>
  <c r="FW41" i="123"/>
  <c r="AB32" i="126"/>
  <c r="FN42" i="123"/>
  <c r="X58" i="125"/>
  <c r="AI60" i="65"/>
  <c r="AP48" i="65"/>
  <c r="AN48" i="65"/>
  <c r="AI53" i="65"/>
  <c r="AE39" i="125"/>
  <c r="N54" i="126"/>
  <c r="AD65" i="123"/>
  <c r="AL45" i="66"/>
  <c r="AM41" i="66"/>
  <c r="AL49" i="66"/>
  <c r="EO65" i="123"/>
  <c r="EO68" i="123"/>
  <c r="AA40" i="125"/>
  <c r="AU44" i="66"/>
  <c r="AB40" i="125"/>
  <c r="Z43" i="126"/>
  <c r="EK52" i="123"/>
  <c r="GA52" i="123"/>
  <c r="Y32" i="126"/>
  <c r="EJ41" i="123"/>
  <c r="FZ41" i="123"/>
  <c r="EA42" i="123"/>
  <c r="AB58" i="125"/>
  <c r="AC43" i="126"/>
  <c r="FX52" i="123"/>
  <c r="AX61" i="61"/>
  <c r="AX53" i="61"/>
  <c r="BC48" i="61"/>
  <c r="BE48" i="61"/>
  <c r="GJ58" i="123"/>
  <c r="AF49" i="126"/>
  <c r="M26" i="126"/>
  <c r="AL35" i="123"/>
  <c r="CL125" i="122"/>
  <c r="BZ35" i="123"/>
  <c r="Q26" i="126"/>
  <c r="Z61" i="61"/>
  <c r="Z53" i="61"/>
  <c r="AA52" i="61"/>
  <c r="BI68" i="123"/>
  <c r="BR68" i="123" s="1"/>
  <c r="D42" i="127" s="1"/>
  <c r="BI65" i="123"/>
  <c r="DG35" i="123"/>
  <c r="DG63" i="123" s="1"/>
  <c r="DP63" i="123" s="1"/>
  <c r="AD48" i="65"/>
  <c r="AC53" i="65"/>
  <c r="P23" i="128"/>
  <c r="Q23" i="128"/>
  <c r="L23" i="128"/>
  <c r="R23" i="128"/>
  <c r="M23" i="128"/>
  <c r="V33" i="126"/>
  <c r="DX42" i="123"/>
  <c r="R40" i="125"/>
  <c r="AU49" i="66"/>
  <c r="BB51" i="66" s="1"/>
  <c r="AE61" i="61"/>
  <c r="DH65" i="123"/>
  <c r="DH68" i="123"/>
  <c r="AB49" i="126"/>
  <c r="FW58" i="123"/>
  <c r="FZ58" i="123"/>
  <c r="Y40" i="125"/>
  <c r="BG65" i="123"/>
  <c r="BG76" i="123"/>
  <c r="GJ41" i="123"/>
  <c r="GA42" i="123"/>
  <c r="AF32" i="126"/>
  <c r="FP35" i="123"/>
  <c r="T68" i="123"/>
  <c r="AC68" i="123" s="1"/>
  <c r="AD68" i="123"/>
  <c r="C41" i="127" s="1"/>
  <c r="T76" i="123"/>
  <c r="T65" i="123"/>
  <c r="DQ35" i="123"/>
  <c r="AT40" i="66"/>
  <c r="AS48" i="66"/>
  <c r="AS44" i="66"/>
  <c r="AS41" i="66"/>
  <c r="R26" i="126"/>
  <c r="CA35" i="123"/>
  <c r="AD45" i="66"/>
  <c r="AD49" i="66"/>
  <c r="AD51" i="66" s="1"/>
  <c r="U39" i="125"/>
  <c r="CY68" i="123"/>
  <c r="CY65" i="123"/>
  <c r="CL35" i="123"/>
  <c r="T26" i="126"/>
  <c r="EK42" i="123"/>
  <c r="Z33" i="126"/>
  <c r="EM35" i="123" l="1"/>
  <c r="EM63" i="123" s="1"/>
  <c r="EW35" i="123"/>
  <c r="EW63" i="123" s="1"/>
  <c r="CW35" i="123"/>
  <c r="CW63" i="123" s="1"/>
  <c r="CW76" i="123" s="1"/>
  <c r="GI52" i="123"/>
  <c r="H57" i="143"/>
  <c r="AU45" i="66"/>
  <c r="AZ40" i="66"/>
  <c r="AZ44" i="66" s="1"/>
  <c r="BD183" i="122"/>
  <c r="BJ183" i="122" s="1"/>
  <c r="BJ181" i="122"/>
  <c r="BE128" i="122"/>
  <c r="BK128" i="122" s="1"/>
  <c r="BK126" i="122"/>
  <c r="BD126" i="122"/>
  <c r="BN128" i="122"/>
  <c r="BM126" i="122"/>
  <c r="AO133" i="122"/>
  <c r="BD133" i="122" s="1"/>
  <c r="BJ133" i="122" s="1"/>
  <c r="AO128" i="122"/>
  <c r="C40" i="127"/>
  <c r="DY63" i="123"/>
  <c r="EB63" i="123"/>
  <c r="FY63" i="123"/>
  <c r="GB63" i="123"/>
  <c r="GK63" i="123" s="1"/>
  <c r="CK63" i="123"/>
  <c r="F58" i="143"/>
  <c r="D58" i="143" s="1"/>
  <c r="E58" i="143" s="1"/>
  <c r="G58" i="143" s="1"/>
  <c r="K57" i="143"/>
  <c r="AG33" i="126"/>
  <c r="AU38" i="64"/>
  <c r="AV38" i="64" s="1"/>
  <c r="AN43" i="64"/>
  <c r="AO39" i="64"/>
  <c r="AS42" i="64"/>
  <c r="AS39" i="64"/>
  <c r="AS43" i="64" s="1"/>
  <c r="AU51" i="66"/>
  <c r="CB35" i="123"/>
  <c r="CK35" i="123" s="1"/>
  <c r="P26" i="126"/>
  <c r="DQ65" i="123"/>
  <c r="DZ65" i="123" s="1"/>
  <c r="S23" i="128"/>
  <c r="AD52" i="66"/>
  <c r="AC65" i="123"/>
  <c r="AC76" i="123"/>
  <c r="AL76" i="123" s="1"/>
  <c r="M54" i="126"/>
  <c r="AD26" i="126"/>
  <c r="FY35" i="123"/>
  <c r="DQ68" i="123"/>
  <c r="F42" i="127" s="1"/>
  <c r="N23" i="128"/>
  <c r="O23" i="128" s="1"/>
  <c r="AD52" i="65"/>
  <c r="AD49" i="65"/>
  <c r="BE52" i="61"/>
  <c r="BE49" i="61"/>
  <c r="BE61" i="61" s="1"/>
  <c r="V29" i="123"/>
  <c r="M29" i="123"/>
  <c r="B29" i="123"/>
  <c r="BI29" i="123"/>
  <c r="D23" i="123"/>
  <c r="AQ29" i="123"/>
  <c r="AM65" i="123"/>
  <c r="N56" i="126"/>
  <c r="EX68" i="123"/>
  <c r="EX65" i="123"/>
  <c r="Q54" i="126"/>
  <c r="BQ65" i="123"/>
  <c r="AS45" i="66"/>
  <c r="AT41" i="66"/>
  <c r="AS49" i="66"/>
  <c r="AM68" i="123"/>
  <c r="N59" i="126"/>
  <c r="GI58" i="123"/>
  <c r="AE49" i="126"/>
  <c r="FG29" i="123"/>
  <c r="CN29" i="123"/>
  <c r="EX29" i="123"/>
  <c r="D62" i="124"/>
  <c r="DH29" i="123"/>
  <c r="CP23" i="123"/>
  <c r="CY29" i="123"/>
  <c r="EO29" i="123"/>
  <c r="DF35" i="123"/>
  <c r="DP35" i="123"/>
  <c r="V52" i="125"/>
  <c r="BC52" i="61"/>
  <c r="BC49" i="61"/>
  <c r="BC53" i="61" s="1"/>
  <c r="AU52" i="66"/>
  <c r="AL51" i="66"/>
  <c r="AL52" i="66"/>
  <c r="AP52" i="65"/>
  <c r="AP49" i="65"/>
  <c r="CN68" i="123"/>
  <c r="G27" i="128"/>
  <c r="C27" i="128"/>
  <c r="F27" i="128"/>
  <c r="H27" i="128"/>
  <c r="D27" i="128"/>
  <c r="GJ42" i="123"/>
  <c r="AF33" i="126"/>
  <c r="AB52" i="125"/>
  <c r="R59" i="126"/>
  <c r="CA68" i="123"/>
  <c r="CD68" i="123"/>
  <c r="E42" i="127" s="1"/>
  <c r="CL127" i="122"/>
  <c r="GJ52" i="123"/>
  <c r="AF43" i="126"/>
  <c r="AD39" i="125"/>
  <c r="X26" i="126"/>
  <c r="DZ35" i="123"/>
  <c r="CW65" i="123"/>
  <c r="Y33" i="126"/>
  <c r="EJ42" i="123"/>
  <c r="AB33" i="126"/>
  <c r="FW42" i="123"/>
  <c r="BQ68" i="123"/>
  <c r="D41" i="127" s="1"/>
  <c r="D40" i="127" s="1"/>
  <c r="BG68" i="123"/>
  <c r="BP68" i="123" s="1"/>
  <c r="CB68" i="123" s="1"/>
  <c r="U40" i="125"/>
  <c r="M59" i="126"/>
  <c r="AL68" i="123"/>
  <c r="CX68" i="123"/>
  <c r="CX65" i="123"/>
  <c r="CN65" i="123"/>
  <c r="CN76" i="123"/>
  <c r="U52" i="125"/>
  <c r="AE32" i="126"/>
  <c r="GI41" i="123"/>
  <c r="FZ42" i="123"/>
  <c r="AD58" i="125"/>
  <c r="FG68" i="123"/>
  <c r="FG65" i="123"/>
  <c r="EV35" i="123"/>
  <c r="EV63" i="123" s="1"/>
  <c r="FF35" i="123"/>
  <c r="FF63" i="123" s="1"/>
  <c r="FO63" i="123" s="1"/>
  <c r="FX63" i="123" s="1"/>
  <c r="P56" i="126"/>
  <c r="BY65" i="123"/>
  <c r="X40" i="125"/>
  <c r="EC35" i="123"/>
  <c r="BR65" i="123"/>
  <c r="R54" i="126"/>
  <c r="AE58" i="125"/>
  <c r="AE40" i="125"/>
  <c r="AN52" i="65"/>
  <c r="AN49" i="65"/>
  <c r="AN53" i="65" s="1"/>
  <c r="EN65" i="123"/>
  <c r="EN68" i="123"/>
  <c r="AZ48" i="66" l="1"/>
  <c r="BA40" i="66"/>
  <c r="BM133" i="122"/>
  <c r="CB133" i="122" s="1"/>
  <c r="CH133" i="122" s="1"/>
  <c r="BM128" i="122"/>
  <c r="CL126" i="122"/>
  <c r="BD128" i="122"/>
  <c r="BJ128" i="122" s="1"/>
  <c r="BJ126" i="122"/>
  <c r="DO35" i="123"/>
  <c r="DX35" i="123" s="1"/>
  <c r="DF63" i="123"/>
  <c r="DO63" i="123" s="1"/>
  <c r="EK63" i="123"/>
  <c r="GA63" i="123"/>
  <c r="GJ63" i="123" s="1"/>
  <c r="F59" i="143"/>
  <c r="D59" i="143" s="1"/>
  <c r="E59" i="143" s="1"/>
  <c r="G59" i="143" s="1"/>
  <c r="J58" i="143"/>
  <c r="I58" i="143"/>
  <c r="AU42" i="64"/>
  <c r="AU39" i="64"/>
  <c r="BB44" i="64" s="1"/>
  <c r="X56" i="126"/>
  <c r="S26" i="126"/>
  <c r="T23" i="128"/>
  <c r="FP68" i="123"/>
  <c r="AN60" i="65"/>
  <c r="W54" i="126"/>
  <c r="DP65" i="123"/>
  <c r="EM68" i="123"/>
  <c r="AA26" i="126"/>
  <c r="GB35" i="123"/>
  <c r="EL35" i="123"/>
  <c r="FE35" i="123"/>
  <c r="FE63" i="123" s="1"/>
  <c r="FN63" i="123" s="1"/>
  <c r="FW63" i="123" s="1"/>
  <c r="FO35" i="123"/>
  <c r="BZ68" i="123"/>
  <c r="Q59" i="126"/>
  <c r="V26" i="126"/>
  <c r="CA65" i="123"/>
  <c r="R56" i="126"/>
  <c r="EV76" i="123"/>
  <c r="EV65" i="123"/>
  <c r="BC61" i="61"/>
  <c r="CN23" i="123"/>
  <c r="CP25" i="123"/>
  <c r="AS51" i="66"/>
  <c r="AS52" i="66"/>
  <c r="CC65" i="123"/>
  <c r="T54" i="126"/>
  <c r="EW68" i="123"/>
  <c r="EW65" i="123"/>
  <c r="X52" i="125"/>
  <c r="AD40" i="125"/>
  <c r="I27" i="128"/>
  <c r="Y52" i="125"/>
  <c r="DF29" i="123"/>
  <c r="DH23" i="123"/>
  <c r="FE29" i="123"/>
  <c r="FG23" i="123"/>
  <c r="CC68" i="123"/>
  <c r="E41" i="127" s="1"/>
  <c r="E40" i="127" s="1"/>
  <c r="AQ23" i="123"/>
  <c r="AO29" i="123"/>
  <c r="AZ29" i="123"/>
  <c r="K29" i="123"/>
  <c r="M23" i="123"/>
  <c r="AE48" i="65"/>
  <c r="AD53" i="65"/>
  <c r="X59" i="126"/>
  <c r="DZ68" i="123"/>
  <c r="K27" i="128"/>
  <c r="CD65" i="123"/>
  <c r="U54" i="126"/>
  <c r="FP65" i="123"/>
  <c r="AD54" i="126"/>
  <c r="DG68" i="123"/>
  <c r="DG65" i="123"/>
  <c r="GI42" i="123"/>
  <c r="AE33" i="126"/>
  <c r="S59" i="126"/>
  <c r="CK68" i="123"/>
  <c r="BY68" i="123"/>
  <c r="P59" i="126"/>
  <c r="E27" i="128"/>
  <c r="AP60" i="65"/>
  <c r="AW48" i="65"/>
  <c r="AP53" i="65"/>
  <c r="AU48" i="65"/>
  <c r="EO23" i="123"/>
  <c r="EM29" i="123"/>
  <c r="D64" i="124"/>
  <c r="D63" i="124"/>
  <c r="F62" i="124"/>
  <c r="D67" i="124"/>
  <c r="D66" i="124"/>
  <c r="E62" i="124"/>
  <c r="D65" i="124"/>
  <c r="Q56" i="126"/>
  <c r="BZ65" i="123"/>
  <c r="B23" i="123"/>
  <c r="D25" i="123"/>
  <c r="T29" i="123"/>
  <c r="V23" i="123"/>
  <c r="BE53" i="61"/>
  <c r="BL48" i="61"/>
  <c r="BJ48" i="61"/>
  <c r="AD60" i="65"/>
  <c r="CB76" i="123"/>
  <c r="CK76" i="123" s="1"/>
  <c r="CB65" i="123"/>
  <c r="S54" i="126"/>
  <c r="CW68" i="123"/>
  <c r="EM76" i="123"/>
  <c r="EM65" i="123"/>
  <c r="EC68" i="123"/>
  <c r="G42" i="127" s="1"/>
  <c r="CM68" i="123"/>
  <c r="U59" i="126"/>
  <c r="W26" i="126"/>
  <c r="DY35" i="123"/>
  <c r="EB35" i="123"/>
  <c r="CY23" i="123"/>
  <c r="CW29" i="123"/>
  <c r="EX23" i="123"/>
  <c r="EV29" i="123"/>
  <c r="B26" i="128"/>
  <c r="BG29" i="123"/>
  <c r="BI23" i="123"/>
  <c r="AL65" i="123"/>
  <c r="M56" i="126"/>
  <c r="H58" i="143" l="1"/>
  <c r="EA35" i="123"/>
  <c r="Y26" i="126" s="1"/>
  <c r="GM35" i="123"/>
  <c r="AD59" i="126"/>
  <c r="H42" i="127"/>
  <c r="K42" i="127" s="1"/>
  <c r="DX63" i="123"/>
  <c r="EA63" i="123"/>
  <c r="F60" i="143"/>
  <c r="K58" i="143"/>
  <c r="AZ38" i="64"/>
  <c r="AV39" i="64"/>
  <c r="AU43" i="64"/>
  <c r="FY68" i="123"/>
  <c r="G62" i="124"/>
  <c r="D69" i="123"/>
  <c r="D26" i="123"/>
  <c r="AA52" i="125"/>
  <c r="AE52" i="65"/>
  <c r="AE49" i="65"/>
  <c r="FE76" i="123"/>
  <c r="FE65" i="123"/>
  <c r="EL68" i="123"/>
  <c r="GB68" i="123"/>
  <c r="I42" i="127" s="1"/>
  <c r="AA59" i="126"/>
  <c r="F63" i="124"/>
  <c r="E63" i="124"/>
  <c r="DF68" i="123"/>
  <c r="DO68" i="123" s="1"/>
  <c r="FY65" i="123"/>
  <c r="AD56" i="126"/>
  <c r="AE52" i="125"/>
  <c r="CL65" i="123"/>
  <c r="T56" i="126"/>
  <c r="FF68" i="123"/>
  <c r="FO68" i="123" s="1"/>
  <c r="H41" i="127" s="1"/>
  <c r="H40" i="127" s="1"/>
  <c r="FF65" i="123"/>
  <c r="DP68" i="123"/>
  <c r="DQ23" i="123"/>
  <c r="CY25" i="123"/>
  <c r="CW23" i="123"/>
  <c r="S56" i="126"/>
  <c r="CK65" i="123"/>
  <c r="BG23" i="123"/>
  <c r="BI25" i="123"/>
  <c r="C26" i="128"/>
  <c r="C25" i="128" s="1"/>
  <c r="H26" i="128"/>
  <c r="H25" i="128" s="1"/>
  <c r="G26" i="128"/>
  <c r="G25" i="128" s="1"/>
  <c r="B25" i="128"/>
  <c r="D26" i="128"/>
  <c r="D25" i="128" s="1"/>
  <c r="F26" i="128"/>
  <c r="FN76" i="123"/>
  <c r="FW76" i="123" s="1"/>
  <c r="FN65" i="123"/>
  <c r="AB54" i="126"/>
  <c r="V25" i="123"/>
  <c r="T23" i="123"/>
  <c r="E66" i="124"/>
  <c r="F66" i="124"/>
  <c r="F64" i="124"/>
  <c r="E64" i="124"/>
  <c r="AW52" i="65"/>
  <c r="AW49" i="65"/>
  <c r="L27" i="128"/>
  <c r="Q27" i="128"/>
  <c r="R27" i="128"/>
  <c r="P27" i="128"/>
  <c r="M27" i="128"/>
  <c r="AX29" i="123"/>
  <c r="AZ23" i="123"/>
  <c r="BR23" i="123" s="1"/>
  <c r="DF23" i="123"/>
  <c r="DH25" i="123"/>
  <c r="EB65" i="123"/>
  <c r="Z54" i="126"/>
  <c r="CP69" i="123"/>
  <c r="CP26" i="123"/>
  <c r="EJ35" i="123"/>
  <c r="W56" i="126"/>
  <c r="DY65" i="123"/>
  <c r="EK35" i="123"/>
  <c r="Z26" i="126"/>
  <c r="GA35" i="123"/>
  <c r="BJ49" i="61"/>
  <c r="BJ53" i="61" s="1"/>
  <c r="BJ52" i="61"/>
  <c r="F67" i="124"/>
  <c r="E67" i="124"/>
  <c r="FN35" i="123"/>
  <c r="AC54" i="126"/>
  <c r="FO65" i="123"/>
  <c r="CM65" i="123"/>
  <c r="U56" i="126"/>
  <c r="T59" i="126"/>
  <c r="CL68" i="123"/>
  <c r="EV68" i="123"/>
  <c r="DF65" i="123"/>
  <c r="DF76" i="123"/>
  <c r="GM63" i="123"/>
  <c r="FX35" i="123"/>
  <c r="AC26" i="126"/>
  <c r="GK35" i="123"/>
  <c r="AG26" i="126"/>
  <c r="EX25" i="123"/>
  <c r="EV23" i="123"/>
  <c r="BL52" i="61"/>
  <c r="BL49" i="61"/>
  <c r="E65" i="124"/>
  <c r="F65" i="124"/>
  <c r="EM23" i="123"/>
  <c r="EO25" i="123"/>
  <c r="FP23" i="123"/>
  <c r="AU52" i="65"/>
  <c r="AU49" i="65"/>
  <c r="AU53" i="65" s="1"/>
  <c r="AA54" i="126"/>
  <c r="EC65" i="123"/>
  <c r="AE23" i="123"/>
  <c r="M25" i="123"/>
  <c r="K23" i="123"/>
  <c r="AO23" i="123"/>
  <c r="AQ25" i="123"/>
  <c r="FE23" i="123"/>
  <c r="FG25" i="123"/>
  <c r="J27" i="128"/>
  <c r="EB68" i="123" l="1"/>
  <c r="G41" i="127" s="1"/>
  <c r="G40" i="127" s="1"/>
  <c r="F41" i="127"/>
  <c r="FZ63" i="123"/>
  <c r="GI63" i="123" s="1"/>
  <c r="EJ63" i="123"/>
  <c r="BF48" i="65"/>
  <c r="BH54" i="65"/>
  <c r="BU48" i="61"/>
  <c r="BU52" i="61" s="1"/>
  <c r="F7" i="143"/>
  <c r="J3" i="143"/>
  <c r="O3" i="143" s="1"/>
  <c r="D60" i="143"/>
  <c r="E60" i="143" s="1"/>
  <c r="J59" i="143"/>
  <c r="I59" i="143"/>
  <c r="BF52" i="65"/>
  <c r="D28" i="124"/>
  <c r="D32" i="124" s="1"/>
  <c r="AZ42" i="64"/>
  <c r="BC38" i="64"/>
  <c r="BL61" i="61"/>
  <c r="BS48" i="61"/>
  <c r="BQ48" i="61"/>
  <c r="AW60" i="65"/>
  <c r="BD48" i="65"/>
  <c r="BB48" i="65"/>
  <c r="DO23" i="123"/>
  <c r="DX23" i="123" s="1"/>
  <c r="AE25" i="123"/>
  <c r="BJ61" i="61"/>
  <c r="N27" i="128"/>
  <c r="O27" i="128" s="1"/>
  <c r="AU60" i="65"/>
  <c r="E26" i="128"/>
  <c r="G64" i="124"/>
  <c r="G67" i="124"/>
  <c r="AE29" i="123"/>
  <c r="AN29" i="123" s="1"/>
  <c r="AN23" i="123"/>
  <c r="EX69" i="123"/>
  <c r="EX70" i="123" s="1"/>
  <c r="EX71" i="123" s="1"/>
  <c r="EX26" i="123"/>
  <c r="AB26" i="126"/>
  <c r="FW35" i="123"/>
  <c r="CP70" i="123"/>
  <c r="AF54" i="126"/>
  <c r="GA65" i="123"/>
  <c r="S27" i="128"/>
  <c r="C24" i="123"/>
  <c r="L30" i="123"/>
  <c r="BH30" i="123"/>
  <c r="AP30" i="123"/>
  <c r="U30" i="123"/>
  <c r="C28" i="123"/>
  <c r="B30" i="123"/>
  <c r="E25" i="128"/>
  <c r="AD52" i="125"/>
  <c r="FG69" i="123"/>
  <c r="FG70" i="123" s="1"/>
  <c r="FG71" i="123" s="1"/>
  <c r="FG26" i="123"/>
  <c r="CD23" i="123"/>
  <c r="CA23" i="123"/>
  <c r="BR29" i="123"/>
  <c r="CA29" i="123" s="1"/>
  <c r="GB65" i="123"/>
  <c r="AG54" i="126"/>
  <c r="G65" i="124"/>
  <c r="AC59" i="126"/>
  <c r="FX68" i="123"/>
  <c r="V54" i="126"/>
  <c r="DO65" i="123"/>
  <c r="DO76" i="123"/>
  <c r="DX76" i="123" s="1"/>
  <c r="Z59" i="126"/>
  <c r="EK68" i="123"/>
  <c r="GA68" i="123"/>
  <c r="I41" i="127" s="1"/>
  <c r="I40" i="127" s="1"/>
  <c r="AZ25" i="123"/>
  <c r="BR25" i="123" s="1"/>
  <c r="D30" i="127" s="1"/>
  <c r="AX23" i="123"/>
  <c r="BP23" i="123" s="1"/>
  <c r="AW53" i="65"/>
  <c r="AC23" i="123"/>
  <c r="CY26" i="123"/>
  <c r="CY69" i="123"/>
  <c r="CY70" i="123" s="1"/>
  <c r="CY71" i="123" s="1"/>
  <c r="FE68" i="123"/>
  <c r="FN68" i="123" s="1"/>
  <c r="V59" i="126"/>
  <c r="DX68" i="123"/>
  <c r="EA68" i="123"/>
  <c r="AE60" i="65"/>
  <c r="AE53" i="65"/>
  <c r="AF48" i="65"/>
  <c r="AA56" i="126"/>
  <c r="EL65" i="123"/>
  <c r="Z56" i="126"/>
  <c r="EK65" i="123"/>
  <c r="FY23" i="123"/>
  <c r="FP29" i="123"/>
  <c r="FY29" i="123" s="1"/>
  <c r="AF26" i="126"/>
  <c r="GJ35" i="123"/>
  <c r="V69" i="123"/>
  <c r="V70" i="123" s="1"/>
  <c r="V71" i="123" s="1"/>
  <c r="V26" i="123"/>
  <c r="FW65" i="123"/>
  <c r="AB56" i="126"/>
  <c r="F25" i="128"/>
  <c r="I26" i="128"/>
  <c r="DZ23" i="123"/>
  <c r="DQ29" i="123"/>
  <c r="DZ29" i="123" s="1"/>
  <c r="AG59" i="126"/>
  <c r="GK68" i="123"/>
  <c r="AQ69" i="123"/>
  <c r="AQ26" i="123"/>
  <c r="M69" i="123"/>
  <c r="M70" i="123" s="1"/>
  <c r="M71" i="123" s="1"/>
  <c r="M26" i="123"/>
  <c r="FP25" i="123"/>
  <c r="H30" i="127" s="1"/>
  <c r="EO26" i="123"/>
  <c r="EO69" i="123"/>
  <c r="BL53" i="61"/>
  <c r="AC56" i="126"/>
  <c r="FX65" i="123"/>
  <c r="FZ35" i="123"/>
  <c r="DQ25" i="123"/>
  <c r="F30" i="127" s="1"/>
  <c r="DH26" i="123"/>
  <c r="DH69" i="123"/>
  <c r="DH70" i="123" s="1"/>
  <c r="DH71" i="123" s="1"/>
  <c r="G66" i="124"/>
  <c r="W59" i="126"/>
  <c r="DY68" i="123"/>
  <c r="G63" i="124"/>
  <c r="D70" i="123"/>
  <c r="FN23" i="123"/>
  <c r="BI26" i="123"/>
  <c r="BI69" i="123"/>
  <c r="BI70" i="123" s="1"/>
  <c r="BI71" i="123" s="1"/>
  <c r="H59" i="143" l="1"/>
  <c r="AN25" i="123"/>
  <c r="C30" i="127"/>
  <c r="K30" i="127" s="1"/>
  <c r="F40" i="127"/>
  <c r="K41" i="127"/>
  <c r="D29" i="124"/>
  <c r="E29" i="124" s="1"/>
  <c r="G60" i="143"/>
  <c r="E7" i="143"/>
  <c r="D7" i="143" s="1"/>
  <c r="J2" i="143"/>
  <c r="O2" i="143" s="1"/>
  <c r="O5" i="143" s="1"/>
  <c r="O6" i="143" s="1"/>
  <c r="K59" i="143"/>
  <c r="E28" i="124"/>
  <c r="D30" i="124"/>
  <c r="F30" i="124" s="1"/>
  <c r="D33" i="124"/>
  <c r="F33" i="124" s="1"/>
  <c r="D31" i="124"/>
  <c r="F31" i="124" s="1"/>
  <c r="F28" i="124"/>
  <c r="DO29" i="123"/>
  <c r="DX29" i="123" s="1"/>
  <c r="BQ52" i="61"/>
  <c r="BS52" i="61"/>
  <c r="BS49" i="61"/>
  <c r="BS53" i="61" s="1"/>
  <c r="BC39" i="64"/>
  <c r="BB52" i="65"/>
  <c r="BD52" i="65"/>
  <c r="BD49" i="65"/>
  <c r="BD53" i="65" s="1"/>
  <c r="J26" i="128"/>
  <c r="F32" i="124"/>
  <c r="E32" i="124"/>
  <c r="AE26" i="123"/>
  <c r="AN26" i="123" s="1"/>
  <c r="AE69" i="123"/>
  <c r="AN69" i="123" s="1"/>
  <c r="T27" i="128"/>
  <c r="AE70" i="123"/>
  <c r="D71" i="123"/>
  <c r="CD25" i="123"/>
  <c r="E30" i="127" s="1"/>
  <c r="BR26" i="123"/>
  <c r="CA26" i="123" s="1"/>
  <c r="CA25" i="123"/>
  <c r="I25" i="128"/>
  <c r="J25" i="128" s="1"/>
  <c r="AL23" i="123"/>
  <c r="AC29" i="123"/>
  <c r="AL29" i="123" s="1"/>
  <c r="CB23" i="123"/>
  <c r="AZ26" i="123"/>
  <c r="AZ69" i="123"/>
  <c r="AZ70" i="123" s="1"/>
  <c r="AZ71" i="123" s="1"/>
  <c r="V56" i="126"/>
  <c r="DX65" i="123"/>
  <c r="AG56" i="126"/>
  <c r="GK65" i="123"/>
  <c r="BH28" i="123"/>
  <c r="L28" i="123"/>
  <c r="C22" i="123"/>
  <c r="U28" i="123"/>
  <c r="AP28" i="123"/>
  <c r="B28" i="123"/>
  <c r="K30" i="123"/>
  <c r="L24" i="123"/>
  <c r="K24" i="123" s="1"/>
  <c r="AY30" i="123"/>
  <c r="GJ65" i="123"/>
  <c r="AF56" i="126"/>
  <c r="K15" i="128"/>
  <c r="DQ26" i="123"/>
  <c r="DZ26" i="123" s="1"/>
  <c r="DZ25" i="123"/>
  <c r="FY25" i="123"/>
  <c r="FP26" i="123"/>
  <c r="FY26" i="123" s="1"/>
  <c r="EJ68" i="123"/>
  <c r="Y59" i="126"/>
  <c r="FZ68" i="123"/>
  <c r="FF30" i="123"/>
  <c r="CO24" i="123"/>
  <c r="EN30" i="123"/>
  <c r="CN30" i="123"/>
  <c r="CO28" i="123"/>
  <c r="CX30" i="123"/>
  <c r="DG30" i="123"/>
  <c r="D45" i="124"/>
  <c r="EW30" i="123"/>
  <c r="AF59" i="126"/>
  <c r="GJ68" i="123"/>
  <c r="Y54" i="126"/>
  <c r="EA76" i="123"/>
  <c r="EJ76" i="123" s="1"/>
  <c r="EA65" i="123"/>
  <c r="U24" i="123"/>
  <c r="T24" i="123" s="1"/>
  <c r="T30" i="123"/>
  <c r="B24" i="123"/>
  <c r="GI35" i="123"/>
  <c r="AE26" i="126"/>
  <c r="AQ70" i="123"/>
  <c r="AF52" i="65"/>
  <c r="AF49" i="65"/>
  <c r="AF53" i="65" s="1"/>
  <c r="AO30" i="123"/>
  <c r="AP24" i="123"/>
  <c r="DQ70" i="123"/>
  <c r="CP71" i="123"/>
  <c r="FW23" i="123"/>
  <c r="FN29" i="123"/>
  <c r="FW29" i="123" s="1"/>
  <c r="K26" i="128"/>
  <c r="FP69" i="123"/>
  <c r="EO70" i="123"/>
  <c r="AB59" i="126"/>
  <c r="FW68" i="123"/>
  <c r="BP29" i="123"/>
  <c r="BY29" i="123" s="1"/>
  <c r="BY23" i="123"/>
  <c r="CM23" i="123"/>
  <c r="CD29" i="123"/>
  <c r="EC23" i="123"/>
  <c r="BH24" i="123"/>
  <c r="BG24" i="123" s="1"/>
  <c r="BG30" i="123"/>
  <c r="DQ69" i="123"/>
  <c r="GM23" i="123"/>
  <c r="F29" i="124" l="1"/>
  <c r="G29" i="124" s="1"/>
  <c r="B15" i="128"/>
  <c r="E30" i="124"/>
  <c r="G30" i="124" s="1"/>
  <c r="K40" i="127"/>
  <c r="G28" i="124"/>
  <c r="O4" i="143"/>
  <c r="J60" i="143"/>
  <c r="I60" i="143"/>
  <c r="S55" i="143" s="1"/>
  <c r="E33" i="124"/>
  <c r="G33" i="124" s="1"/>
  <c r="E31" i="124"/>
  <c r="G31" i="124" s="1"/>
  <c r="BS61" i="61"/>
  <c r="BD60" i="65"/>
  <c r="O60" i="126"/>
  <c r="G32" i="124"/>
  <c r="BR69" i="123"/>
  <c r="CA69" i="123" s="1"/>
  <c r="AF60" i="65"/>
  <c r="AD24" i="123"/>
  <c r="AD30" i="123" s="1"/>
  <c r="AM30" i="123" s="1"/>
  <c r="EL23" i="123"/>
  <c r="EC29" i="123"/>
  <c r="EL29" i="123" s="1"/>
  <c r="GB23" i="123"/>
  <c r="X61" i="126"/>
  <c r="DZ70" i="123"/>
  <c r="DQ71" i="123"/>
  <c r="BR70" i="123"/>
  <c r="AQ71" i="123"/>
  <c r="EV30" i="123"/>
  <c r="EW24" i="123"/>
  <c r="EV24" i="123" s="1"/>
  <c r="CX28" i="123"/>
  <c r="CN28" i="123"/>
  <c r="FF28" i="123"/>
  <c r="EN28" i="123"/>
  <c r="CO22" i="123"/>
  <c r="EW28" i="123"/>
  <c r="DG28" i="123"/>
  <c r="FE30" i="123"/>
  <c r="FF24" i="123"/>
  <c r="FE24" i="123" s="1"/>
  <c r="AX30" i="123"/>
  <c r="AY24" i="123"/>
  <c r="AX24" i="123" s="1"/>
  <c r="AP22" i="123"/>
  <c r="AO28" i="123"/>
  <c r="BG28" i="123"/>
  <c r="BH22" i="123"/>
  <c r="CM29" i="123"/>
  <c r="D56" i="124"/>
  <c r="AO24" i="123"/>
  <c r="AE54" i="126"/>
  <c r="FZ76" i="123"/>
  <c r="GI76" i="123" s="1"/>
  <c r="FZ65" i="123"/>
  <c r="F45" i="124"/>
  <c r="D48" i="124"/>
  <c r="E45" i="124"/>
  <c r="D46" i="124"/>
  <c r="D49" i="124"/>
  <c r="D50" i="124"/>
  <c r="D47" i="124"/>
  <c r="T28" i="123"/>
  <c r="U22" i="123"/>
  <c r="CB29" i="123"/>
  <c r="CK29" i="123" s="1"/>
  <c r="CK23" i="123"/>
  <c r="EA23" i="123"/>
  <c r="FP70" i="123"/>
  <c r="EO71" i="123"/>
  <c r="Q26" i="128"/>
  <c r="Q25" i="128" s="1"/>
  <c r="R26" i="128"/>
  <c r="R25" i="128" s="1"/>
  <c r="L26" i="128"/>
  <c r="L25" i="128" s="1"/>
  <c r="K25" i="128"/>
  <c r="M26" i="128"/>
  <c r="M25" i="128" s="1"/>
  <c r="P26" i="128"/>
  <c r="AC24" i="123"/>
  <c r="Y56" i="126"/>
  <c r="EJ65" i="123"/>
  <c r="DF30" i="123"/>
  <c r="DG24" i="123"/>
  <c r="DF24" i="123" s="1"/>
  <c r="EM30" i="123"/>
  <c r="EN24" i="123"/>
  <c r="B22" i="123"/>
  <c r="C25" i="123"/>
  <c r="CD26" i="123"/>
  <c r="CM26" i="123" s="1"/>
  <c r="EC25" i="123"/>
  <c r="G30" i="127" s="1"/>
  <c r="CM25" i="123"/>
  <c r="O61" i="126"/>
  <c r="AN70" i="123"/>
  <c r="AE71" i="123"/>
  <c r="DZ69" i="123"/>
  <c r="X60" i="126"/>
  <c r="FY69" i="123"/>
  <c r="AD60" i="126"/>
  <c r="CX24" i="123"/>
  <c r="CW24" i="123" s="1"/>
  <c r="CW30" i="123"/>
  <c r="CN24" i="123"/>
  <c r="AE59" i="126"/>
  <c r="GI68" i="123"/>
  <c r="P15" i="128"/>
  <c r="R15" i="128"/>
  <c r="Q15" i="128"/>
  <c r="M15" i="128"/>
  <c r="L15" i="128"/>
  <c r="H15" i="128"/>
  <c r="G15" i="128"/>
  <c r="F15" i="128"/>
  <c r="D15" i="128"/>
  <c r="C15" i="128"/>
  <c r="K28" i="123"/>
  <c r="AY28" i="123"/>
  <c r="L22" i="123"/>
  <c r="J7" i="143" l="1"/>
  <c r="T55" i="143"/>
  <c r="R60" i="126"/>
  <c r="H60" i="143"/>
  <c r="I7" i="143"/>
  <c r="H7" i="143" s="1"/>
  <c r="K60" i="143"/>
  <c r="K11" i="128"/>
  <c r="L11" i="128" s="1"/>
  <c r="AD22" i="123"/>
  <c r="BQ24" i="123"/>
  <c r="BZ24" i="123" s="1"/>
  <c r="Q68" i="125"/>
  <c r="B11" i="128"/>
  <c r="N69" i="125"/>
  <c r="N68" i="125"/>
  <c r="CD69" i="123"/>
  <c r="U60" i="126" s="1"/>
  <c r="BP24" i="123"/>
  <c r="BY24" i="123" s="1"/>
  <c r="AM24" i="123"/>
  <c r="I15" i="128"/>
  <c r="N15" i="128"/>
  <c r="N26" i="128"/>
  <c r="O26" i="128" s="1"/>
  <c r="AC30" i="123"/>
  <c r="AL30" i="123" s="1"/>
  <c r="AL24" i="123"/>
  <c r="P25" i="128"/>
  <c r="S26" i="128"/>
  <c r="F50" i="124"/>
  <c r="E50" i="124"/>
  <c r="F48" i="124"/>
  <c r="E48" i="124"/>
  <c r="BH25" i="123"/>
  <c r="BG22" i="123"/>
  <c r="CO25" i="123"/>
  <c r="CN22" i="123"/>
  <c r="CX22" i="123"/>
  <c r="CW28" i="123"/>
  <c r="CD70" i="123"/>
  <c r="BR71" i="123"/>
  <c r="CA70" i="123"/>
  <c r="R61" i="126"/>
  <c r="AX28" i="123"/>
  <c r="AY22" i="123"/>
  <c r="BQ22" i="123" s="1"/>
  <c r="D29" i="127" s="1"/>
  <c r="E15" i="128"/>
  <c r="DP24" i="123"/>
  <c r="O62" i="126"/>
  <c r="AN71" i="123"/>
  <c r="EL25" i="123"/>
  <c r="EC26" i="123"/>
  <c r="EL26" i="123" s="1"/>
  <c r="GB25" i="123"/>
  <c r="I30" i="127" s="1"/>
  <c r="C69" i="123"/>
  <c r="C26" i="123"/>
  <c r="B25" i="123"/>
  <c r="EM24" i="123"/>
  <c r="FN24" i="123" s="1"/>
  <c r="FO24" i="123"/>
  <c r="E49" i="124"/>
  <c r="F49" i="124"/>
  <c r="G45" i="124"/>
  <c r="EM28" i="123"/>
  <c r="EN22" i="123"/>
  <c r="X62" i="126"/>
  <c r="DZ71" i="123"/>
  <c r="K22" i="123"/>
  <c r="L25" i="123"/>
  <c r="S15" i="128"/>
  <c r="DO24" i="123"/>
  <c r="N25" i="128"/>
  <c r="O25" i="128" s="1"/>
  <c r="T22" i="123"/>
  <c r="U25" i="123"/>
  <c r="F46" i="124"/>
  <c r="E46" i="124"/>
  <c r="AE56" i="126"/>
  <c r="GI65" i="123"/>
  <c r="D59" i="124"/>
  <c r="D58" i="124"/>
  <c r="D57" i="124"/>
  <c r="D60" i="124"/>
  <c r="E56" i="124"/>
  <c r="F56" i="124"/>
  <c r="D61" i="124"/>
  <c r="DF28" i="123"/>
  <c r="DG22" i="123"/>
  <c r="FE28" i="123"/>
  <c r="FF22" i="123"/>
  <c r="FP71" i="123"/>
  <c r="AD61" i="126"/>
  <c r="FY70" i="123"/>
  <c r="EA29" i="123"/>
  <c r="EJ29" i="123" s="1"/>
  <c r="FZ23" i="123"/>
  <c r="EJ23" i="123"/>
  <c r="E47" i="124"/>
  <c r="F47" i="124"/>
  <c r="AP25" i="123"/>
  <c r="AO22" i="123"/>
  <c r="EV28" i="123"/>
  <c r="EW22" i="123"/>
  <c r="GK23" i="123"/>
  <c r="GB29" i="123"/>
  <c r="GK29" i="123" s="1"/>
  <c r="AD28" i="123" l="1"/>
  <c r="AM28" i="123" s="1"/>
  <c r="C29" i="127"/>
  <c r="BQ30" i="123"/>
  <c r="BZ30" i="123" s="1"/>
  <c r="D22" i="124"/>
  <c r="AM22" i="123"/>
  <c r="M11" i="128"/>
  <c r="N11" i="128" s="1"/>
  <c r="CB24" i="123"/>
  <c r="CB30" i="123" s="1"/>
  <c r="CK30" i="123" s="1"/>
  <c r="P11" i="128"/>
  <c r="Q11" i="128"/>
  <c r="R11" i="128"/>
  <c r="CC24" i="123"/>
  <c r="EB24" i="123" s="1"/>
  <c r="CM69" i="123"/>
  <c r="Q69" i="125"/>
  <c r="T68" i="125"/>
  <c r="G11" i="128"/>
  <c r="F11" i="128"/>
  <c r="D11" i="128"/>
  <c r="H11" i="128"/>
  <c r="C11" i="128"/>
  <c r="EC69" i="123"/>
  <c r="GB69" i="123" s="1"/>
  <c r="N70" i="125"/>
  <c r="W68" i="125"/>
  <c r="W69" i="125"/>
  <c r="AC68" i="125"/>
  <c r="T26" i="128"/>
  <c r="BP30" i="123"/>
  <c r="BY30" i="123" s="1"/>
  <c r="G48" i="124"/>
  <c r="GM24" i="123"/>
  <c r="J15" i="128"/>
  <c r="O15" i="128" s="1"/>
  <c r="T15" i="128" s="1"/>
  <c r="AC22" i="123"/>
  <c r="AL22" i="123" s="1"/>
  <c r="G47" i="124"/>
  <c r="AD25" i="123"/>
  <c r="AO25" i="123"/>
  <c r="AP26" i="123"/>
  <c r="AP69" i="123"/>
  <c r="F60" i="124"/>
  <c r="E60" i="124"/>
  <c r="U69" i="123"/>
  <c r="U26" i="123"/>
  <c r="T25" i="123"/>
  <c r="T26" i="123" s="1"/>
  <c r="FO30" i="123"/>
  <c r="FX30" i="123" s="1"/>
  <c r="FX24" i="123"/>
  <c r="B69" i="123"/>
  <c r="C70" i="123"/>
  <c r="DP30" i="123"/>
  <c r="DY30" i="123" s="1"/>
  <c r="DY24" i="123"/>
  <c r="R62" i="126"/>
  <c r="CA71" i="123"/>
  <c r="CX25" i="123"/>
  <c r="CW22" i="123"/>
  <c r="DF22" i="123"/>
  <c r="DG25" i="123"/>
  <c r="E61" i="124"/>
  <c r="F61" i="124"/>
  <c r="E57" i="124"/>
  <c r="F57" i="124"/>
  <c r="DO30" i="123"/>
  <c r="DX30" i="123" s="1"/>
  <c r="DX24" i="123"/>
  <c r="FW24" i="123"/>
  <c r="FN30" i="123"/>
  <c r="FW30" i="123" s="1"/>
  <c r="GK25" i="123"/>
  <c r="GB26" i="123"/>
  <c r="GK26" i="123" s="1"/>
  <c r="U61" i="126"/>
  <c r="CM70" i="123"/>
  <c r="EC70" i="123"/>
  <c r="CD71" i="123"/>
  <c r="DP22" i="123"/>
  <c r="F29" i="127" s="1"/>
  <c r="BH26" i="123"/>
  <c r="BH69" i="123"/>
  <c r="BG25" i="123"/>
  <c r="BG26" i="123" s="1"/>
  <c r="S25" i="128"/>
  <c r="T25" i="128" s="1"/>
  <c r="EA24" i="123"/>
  <c r="EV22" i="123"/>
  <c r="EW25" i="123"/>
  <c r="GI23" i="123"/>
  <c r="FZ29" i="123"/>
  <c r="GI29" i="123" s="1"/>
  <c r="FY71" i="123"/>
  <c r="AD62" i="126"/>
  <c r="G56" i="124"/>
  <c r="E58" i="124"/>
  <c r="F58" i="124"/>
  <c r="L26" i="123"/>
  <c r="L69" i="123"/>
  <c r="K25" i="123"/>
  <c r="K26" i="123" s="1"/>
  <c r="FO22" i="123"/>
  <c r="H29" i="127" s="1"/>
  <c r="EN25" i="123"/>
  <c r="EM22" i="123"/>
  <c r="B26" i="123"/>
  <c r="AX22" i="123"/>
  <c r="BP22" i="123" s="1"/>
  <c r="AY25" i="123"/>
  <c r="CC22" i="123"/>
  <c r="E29" i="127" s="1"/>
  <c r="BQ28" i="123"/>
  <c r="BZ28" i="123" s="1"/>
  <c r="BZ22" i="123"/>
  <c r="FE22" i="123"/>
  <c r="FF25" i="123"/>
  <c r="E59" i="124"/>
  <c r="F59" i="124"/>
  <c r="G46" i="124"/>
  <c r="G49" i="124"/>
  <c r="CO69" i="123"/>
  <c r="CO26" i="123"/>
  <c r="CN25" i="123"/>
  <c r="G50" i="124"/>
  <c r="K29" i="127" l="1"/>
  <c r="AM25" i="123"/>
  <c r="C28" i="127"/>
  <c r="EL69" i="123"/>
  <c r="AA60" i="126"/>
  <c r="CC30" i="123"/>
  <c r="D39" i="124" s="1"/>
  <c r="D26" i="124"/>
  <c r="F22" i="124"/>
  <c r="E22" i="124"/>
  <c r="D25" i="124"/>
  <c r="D24" i="124"/>
  <c r="D27" i="124"/>
  <c r="D23" i="124"/>
  <c r="CK24" i="123"/>
  <c r="CL24" i="123"/>
  <c r="S11" i="128"/>
  <c r="E11" i="128"/>
  <c r="I11" i="128"/>
  <c r="W70" i="125"/>
  <c r="T69" i="125"/>
  <c r="Z68" i="125"/>
  <c r="Q70" i="125"/>
  <c r="AC69" i="125"/>
  <c r="DO22" i="123"/>
  <c r="DX22" i="123" s="1"/>
  <c r="G57" i="124"/>
  <c r="AD26" i="123"/>
  <c r="AM26" i="123" s="1"/>
  <c r="DP25" i="123"/>
  <c r="F68" i="124"/>
  <c r="D68" i="124" s="1"/>
  <c r="AC28" i="123"/>
  <c r="AL28" i="123" s="1"/>
  <c r="E68" i="124"/>
  <c r="G58" i="124"/>
  <c r="G61" i="124"/>
  <c r="AC25" i="123"/>
  <c r="AC26" i="123" s="1"/>
  <c r="AL26" i="123" s="1"/>
  <c r="AG60" i="126"/>
  <c r="GK69" i="123"/>
  <c r="FF26" i="123"/>
  <c r="FE25" i="123"/>
  <c r="FE26" i="123" s="1"/>
  <c r="FF69" i="123"/>
  <c r="EN69" i="123"/>
  <c r="EN26" i="123"/>
  <c r="EM25" i="123"/>
  <c r="FO25" i="123"/>
  <c r="H28" i="127" s="1"/>
  <c r="H27" i="127" s="1"/>
  <c r="H50" i="127" s="1"/>
  <c r="EV25" i="123"/>
  <c r="EV26" i="123" s="1"/>
  <c r="EW26" i="123"/>
  <c r="EW69" i="123"/>
  <c r="DF25" i="123"/>
  <c r="DF26" i="123" s="1"/>
  <c r="DG26" i="123"/>
  <c r="DG69" i="123"/>
  <c r="CX26" i="123"/>
  <c r="CW25" i="123"/>
  <c r="CW26" i="123" s="1"/>
  <c r="CX69" i="123"/>
  <c r="AO69" i="123"/>
  <c r="AP70" i="123"/>
  <c r="CN26" i="123"/>
  <c r="CC28" i="123"/>
  <c r="CL28" i="123" s="1"/>
  <c r="CL22" i="123"/>
  <c r="EB22" i="123"/>
  <c r="G29" i="127" s="1"/>
  <c r="BQ25" i="123"/>
  <c r="D28" i="127" s="1"/>
  <c r="D27" i="127" s="1"/>
  <c r="D50" i="127" s="1"/>
  <c r="AY69" i="123"/>
  <c r="AX25" i="123"/>
  <c r="AX26" i="123" s="1"/>
  <c r="AY26" i="123"/>
  <c r="FO28" i="123"/>
  <c r="FX28" i="123" s="1"/>
  <c r="FX22" i="123"/>
  <c r="GM22" i="123"/>
  <c r="DY22" i="123"/>
  <c r="DP28" i="123"/>
  <c r="DY28" i="123" s="1"/>
  <c r="EK24" i="123"/>
  <c r="GA24" i="123"/>
  <c r="EB30" i="123"/>
  <c r="EK30" i="123" s="1"/>
  <c r="BY22" i="123"/>
  <c r="BP28" i="123"/>
  <c r="BY28" i="123" s="1"/>
  <c r="U62" i="126"/>
  <c r="CM71" i="123"/>
  <c r="C71" i="123"/>
  <c r="B70" i="123"/>
  <c r="AO26" i="123"/>
  <c r="CN69" i="123"/>
  <c r="CO70" i="123"/>
  <c r="G59" i="124"/>
  <c r="FN22" i="123"/>
  <c r="K69" i="123"/>
  <c r="L70" i="123"/>
  <c r="FZ24" i="123"/>
  <c r="EJ24" i="123"/>
  <c r="EA30" i="123"/>
  <c r="EJ30" i="123" s="1"/>
  <c r="BG69" i="123"/>
  <c r="BH70" i="123"/>
  <c r="EC71" i="123"/>
  <c r="GB70" i="123"/>
  <c r="AA61" i="126"/>
  <c r="EL70" i="123"/>
  <c r="AD69" i="123"/>
  <c r="T69" i="123"/>
  <c r="U70" i="123"/>
  <c r="G60" i="124"/>
  <c r="CB22" i="123"/>
  <c r="C27" i="127" l="1"/>
  <c r="DP26" i="123"/>
  <c r="DY26" i="123" s="1"/>
  <c r="F28" i="127"/>
  <c r="F27" i="127" s="1"/>
  <c r="F50" i="127" s="1"/>
  <c r="CL30" i="123"/>
  <c r="G22" i="124"/>
  <c r="E27" i="124"/>
  <c r="F27" i="124"/>
  <c r="F24" i="124"/>
  <c r="E24" i="124"/>
  <c r="E26" i="124"/>
  <c r="F26" i="124"/>
  <c r="F25" i="124"/>
  <c r="E25" i="124"/>
  <c r="F23" i="124"/>
  <c r="E23" i="124"/>
  <c r="B14" i="128"/>
  <c r="B13" i="128" s="1"/>
  <c r="DY25" i="123"/>
  <c r="J11" i="128"/>
  <c r="O11" i="128" s="1"/>
  <c r="T11" i="128" s="1"/>
  <c r="Z69" i="125"/>
  <c r="T70" i="125"/>
  <c r="AC70" i="125"/>
  <c r="AF68" i="125"/>
  <c r="DO28" i="123"/>
  <c r="DX28" i="123" s="1"/>
  <c r="GM25" i="123"/>
  <c r="GM26" i="123" s="1"/>
  <c r="AL25" i="123"/>
  <c r="AD70" i="123"/>
  <c r="AD71" i="123" s="1"/>
  <c r="DP69" i="123"/>
  <c r="W60" i="126" s="1"/>
  <c r="DO25" i="123"/>
  <c r="DX25" i="123" s="1"/>
  <c r="BP25" i="123"/>
  <c r="BY25" i="123" s="1"/>
  <c r="AC69" i="123"/>
  <c r="AL69" i="123" s="1"/>
  <c r="G68" i="124"/>
  <c r="D44" i="124"/>
  <c r="D40" i="124"/>
  <c r="D43" i="124"/>
  <c r="E39" i="124"/>
  <c r="F39" i="124"/>
  <c r="D41" i="124"/>
  <c r="D42" i="124"/>
  <c r="GJ24" i="123"/>
  <c r="GA30" i="123"/>
  <c r="GJ30" i="123" s="1"/>
  <c r="BQ69" i="123"/>
  <c r="CC69" i="123" s="1"/>
  <c r="AX69" i="123"/>
  <c r="BP69" i="123" s="1"/>
  <c r="AY70" i="123"/>
  <c r="CW69" i="123"/>
  <c r="CX70" i="123"/>
  <c r="EV69" i="123"/>
  <c r="EW70" i="123"/>
  <c r="EM26" i="123"/>
  <c r="FN25" i="123"/>
  <c r="FE69" i="123"/>
  <c r="FF70" i="123"/>
  <c r="GK70" i="123"/>
  <c r="GB71" i="123"/>
  <c r="AG61" i="126"/>
  <c r="FN28" i="123"/>
  <c r="FW28" i="123" s="1"/>
  <c r="FW22" i="123"/>
  <c r="B71" i="123"/>
  <c r="BZ25" i="123"/>
  <c r="BQ26" i="123"/>
  <c r="BZ26" i="123" s="1"/>
  <c r="CC25" i="123"/>
  <c r="E28" i="127" s="1"/>
  <c r="E27" i="127" s="1"/>
  <c r="E50" i="127" s="1"/>
  <c r="DF69" i="123"/>
  <c r="DG70" i="123"/>
  <c r="EL71" i="123"/>
  <c r="AA62" i="126"/>
  <c r="EB28" i="123"/>
  <c r="EK28" i="123" s="1"/>
  <c r="GA22" i="123"/>
  <c r="I29" i="127" s="1"/>
  <c r="EK22" i="123"/>
  <c r="AO70" i="123"/>
  <c r="AP71" i="123"/>
  <c r="FO69" i="123"/>
  <c r="EM69" i="123"/>
  <c r="EN70" i="123"/>
  <c r="CK22" i="123"/>
  <c r="CB28" i="123"/>
  <c r="CK28" i="123" s="1"/>
  <c r="EA22" i="123"/>
  <c r="AM69" i="123"/>
  <c r="N60" i="126"/>
  <c r="U71" i="123"/>
  <c r="T70" i="123"/>
  <c r="T71" i="123" s="1"/>
  <c r="BG70" i="123"/>
  <c r="BG71" i="123" s="1"/>
  <c r="BH71" i="123"/>
  <c r="FZ30" i="123"/>
  <c r="GI30" i="123" s="1"/>
  <c r="GI24" i="123"/>
  <c r="K70" i="123"/>
  <c r="K71" i="123" s="1"/>
  <c r="L71" i="123"/>
  <c r="CN70" i="123"/>
  <c r="CO71" i="123"/>
  <c r="FO26" i="123"/>
  <c r="FX26" i="123" s="1"/>
  <c r="FX25" i="123"/>
  <c r="DO26" i="123" l="1"/>
  <c r="DX26" i="123" s="1"/>
  <c r="K28" i="127"/>
  <c r="K27" i="127"/>
  <c r="C50" i="127"/>
  <c r="K50" i="127" s="1"/>
  <c r="C14" i="128"/>
  <c r="C13" i="128" s="1"/>
  <c r="C35" i="128" s="1"/>
  <c r="G14" i="128"/>
  <c r="G13" i="128" s="1"/>
  <c r="G35" i="128" s="1"/>
  <c r="H14" i="128"/>
  <c r="H13" i="128" s="1"/>
  <c r="H35" i="128" s="1"/>
  <c r="G25" i="124"/>
  <c r="G24" i="124"/>
  <c r="E34" i="124"/>
  <c r="G26" i="124"/>
  <c r="G27" i="124"/>
  <c r="G23" i="124"/>
  <c r="F34" i="124"/>
  <c r="D34" i="124" s="1"/>
  <c r="F14" i="128"/>
  <c r="F13" i="128" s="1"/>
  <c r="D14" i="128"/>
  <c r="D13" i="128" s="1"/>
  <c r="D35" i="128" s="1"/>
  <c r="K14" i="128"/>
  <c r="R14" i="128" s="1"/>
  <c r="R13" i="128" s="1"/>
  <c r="R35" i="128" s="1"/>
  <c r="AF69" i="125"/>
  <c r="Z70" i="125"/>
  <c r="DP70" i="123"/>
  <c r="DY70" i="123" s="1"/>
  <c r="DO69" i="123"/>
  <c r="DX69" i="123" s="1"/>
  <c r="DY69" i="123"/>
  <c r="BP26" i="123"/>
  <c r="BY26" i="123" s="1"/>
  <c r="CB25" i="123"/>
  <c r="CB26" i="123" s="1"/>
  <c r="CK26" i="123" s="1"/>
  <c r="M60" i="126"/>
  <c r="AM70" i="123"/>
  <c r="N61" i="126"/>
  <c r="FN69" i="123"/>
  <c r="AB60" i="126" s="1"/>
  <c r="BY69" i="123"/>
  <c r="P60" i="126"/>
  <c r="E42" i="124"/>
  <c r="F42" i="124"/>
  <c r="E43" i="124"/>
  <c r="F43" i="124"/>
  <c r="CN71" i="123"/>
  <c r="FZ22" i="123"/>
  <c r="EA28" i="123"/>
  <c r="EJ28" i="123" s="1"/>
  <c r="EJ22" i="123"/>
  <c r="EN71" i="123"/>
  <c r="FO70" i="123"/>
  <c r="EM70" i="123"/>
  <c r="AO71" i="123"/>
  <c r="GA28" i="123"/>
  <c r="GJ28" i="123" s="1"/>
  <c r="GJ22" i="123"/>
  <c r="DG71" i="123"/>
  <c r="DF70" i="123"/>
  <c r="DF71" i="123" s="1"/>
  <c r="B35" i="128"/>
  <c r="EV70" i="123"/>
  <c r="EV71" i="123" s="1"/>
  <c r="EW71" i="123"/>
  <c r="Q60" i="126"/>
  <c r="BZ69" i="123"/>
  <c r="F41" i="124"/>
  <c r="E41" i="124"/>
  <c r="F40" i="124"/>
  <c r="E40" i="124"/>
  <c r="CB69" i="123"/>
  <c r="CL69" i="123"/>
  <c r="T60" i="126"/>
  <c r="EB69" i="123"/>
  <c r="GK71" i="123"/>
  <c r="AG62" i="126"/>
  <c r="FE70" i="123"/>
  <c r="FE71" i="123" s="1"/>
  <c r="FF71" i="123"/>
  <c r="G39" i="124"/>
  <c r="F44" i="124"/>
  <c r="E44" i="124"/>
  <c r="FX69" i="123"/>
  <c r="AC60" i="126"/>
  <c r="CC26" i="123"/>
  <c r="CL26" i="123" s="1"/>
  <c r="CL25" i="123"/>
  <c r="EB25" i="123"/>
  <c r="G28" i="127" s="1"/>
  <c r="G27" i="127" s="1"/>
  <c r="G50" i="127" s="1"/>
  <c r="AC70" i="123"/>
  <c r="FW25" i="123"/>
  <c r="FN26" i="123"/>
  <c r="FW26" i="123" s="1"/>
  <c r="CX71" i="123"/>
  <c r="CW70" i="123"/>
  <c r="CW71" i="123" s="1"/>
  <c r="BQ70" i="123"/>
  <c r="AY71" i="123"/>
  <c r="AX70" i="123"/>
  <c r="AX71" i="123" s="1"/>
  <c r="N62" i="126"/>
  <c r="AM71" i="123"/>
  <c r="E13" i="128" l="1"/>
  <c r="E14" i="128"/>
  <c r="E35" i="128"/>
  <c r="K13" i="128"/>
  <c r="K35" i="128" s="1"/>
  <c r="FW69" i="123"/>
  <c r="I14" i="128"/>
  <c r="M14" i="128"/>
  <c r="M13" i="128" s="1"/>
  <c r="M35" i="128" s="1"/>
  <c r="P14" i="128"/>
  <c r="P13" i="128" s="1"/>
  <c r="G34" i="124"/>
  <c r="Q14" i="128"/>
  <c r="Q13" i="128" s="1"/>
  <c r="Q35" i="128" s="1"/>
  <c r="L14" i="128"/>
  <c r="L13" i="128" s="1"/>
  <c r="L35" i="128" s="1"/>
  <c r="DP71" i="123"/>
  <c r="DY71" i="123" s="1"/>
  <c r="W61" i="126"/>
  <c r="AF70" i="125"/>
  <c r="V60" i="126"/>
  <c r="CK25" i="123"/>
  <c r="EA25" i="123"/>
  <c r="EJ25" i="123" s="1"/>
  <c r="E51" i="124"/>
  <c r="G41" i="124"/>
  <c r="G43" i="124"/>
  <c r="F51" i="124"/>
  <c r="D51" i="124" s="1"/>
  <c r="G40" i="124"/>
  <c r="G42" i="124"/>
  <c r="GA25" i="123"/>
  <c r="I28" i="127" s="1"/>
  <c r="I27" i="127" s="1"/>
  <c r="I50" i="127" s="1"/>
  <c r="EK25" i="123"/>
  <c r="EB26" i="123"/>
  <c r="EK26" i="123" s="1"/>
  <c r="G44" i="124"/>
  <c r="BP70" i="123"/>
  <c r="CB70" i="123" s="1"/>
  <c r="BZ70" i="123"/>
  <c r="Q61" i="126"/>
  <c r="BQ71" i="123"/>
  <c r="CC70" i="123"/>
  <c r="AC71" i="123"/>
  <c r="AL70" i="123"/>
  <c r="M61" i="126"/>
  <c r="Z60" i="126"/>
  <c r="GA69" i="123"/>
  <c r="EK69" i="123"/>
  <c r="DO70" i="123"/>
  <c r="FN70" i="123"/>
  <c r="EM71" i="123"/>
  <c r="I13" i="128"/>
  <c r="F35" i="128"/>
  <c r="I35" i="128" s="1"/>
  <c r="CK69" i="123"/>
  <c r="S60" i="126"/>
  <c r="EA69" i="123"/>
  <c r="FO71" i="123"/>
  <c r="AC61" i="126"/>
  <c r="FX70" i="123"/>
  <c r="GI22" i="123"/>
  <c r="FZ28" i="123"/>
  <c r="GI28" i="123" s="1"/>
  <c r="J13" i="128" l="1"/>
  <c r="J14" i="128"/>
  <c r="J35" i="128"/>
  <c r="N35" i="128"/>
  <c r="N14" i="128"/>
  <c r="N13" i="128"/>
  <c r="W62" i="126"/>
  <c r="S14" i="128"/>
  <c r="FZ25" i="123"/>
  <c r="FZ26" i="123" s="1"/>
  <c r="GI26" i="123" s="1"/>
  <c r="EA26" i="123"/>
  <c r="EJ26" i="123" s="1"/>
  <c r="G51" i="124"/>
  <c r="AC62" i="126"/>
  <c r="FX71" i="123"/>
  <c r="Y60" i="126"/>
  <c r="EJ69" i="123"/>
  <c r="FZ69" i="123"/>
  <c r="Q62" i="126"/>
  <c r="BZ71" i="123"/>
  <c r="FN71" i="123"/>
  <c r="FW70" i="123"/>
  <c r="AB61" i="126"/>
  <c r="AL71" i="123"/>
  <c r="M62" i="126"/>
  <c r="DX70" i="123"/>
  <c r="V61" i="126"/>
  <c r="DO71" i="123"/>
  <c r="AF60" i="126"/>
  <c r="GJ69" i="123"/>
  <c r="EA70" i="123"/>
  <c r="CK70" i="123"/>
  <c r="CB71" i="123"/>
  <c r="S61" i="126"/>
  <c r="CL70" i="123"/>
  <c r="T61" i="126"/>
  <c r="CC71" i="123"/>
  <c r="EB70" i="123"/>
  <c r="P61" i="126"/>
  <c r="BP71" i="123"/>
  <c r="BY70" i="123"/>
  <c r="P35" i="128"/>
  <c r="S35" i="128" s="1"/>
  <c r="S13" i="128"/>
  <c r="GA26" i="123"/>
  <c r="GJ26" i="123" s="1"/>
  <c r="GJ25" i="123"/>
  <c r="O13" i="128" l="1"/>
  <c r="O14" i="128"/>
  <c r="T14" i="128" s="1"/>
  <c r="O35" i="128"/>
  <c r="T35" i="128" s="1"/>
  <c r="GI25" i="123"/>
  <c r="GA70" i="123"/>
  <c r="Z61" i="126"/>
  <c r="EB71" i="123"/>
  <c r="EK70" i="123"/>
  <c r="T13" i="128"/>
  <c r="CL71" i="123"/>
  <c r="T62" i="126"/>
  <c r="S62" i="126"/>
  <c r="CK71" i="123"/>
  <c r="DX71" i="123"/>
  <c r="V62" i="126"/>
  <c r="AB62" i="126"/>
  <c r="FW71" i="123"/>
  <c r="P62" i="126"/>
  <c r="BY71" i="123"/>
  <c r="Y61" i="126"/>
  <c r="EJ70" i="123"/>
  <c r="FZ70" i="123"/>
  <c r="EA71" i="123"/>
  <c r="GI69" i="123"/>
  <c r="AE60" i="126"/>
  <c r="EJ71" i="123" l="1"/>
  <c r="Y62" i="126"/>
  <c r="Z62" i="126"/>
  <c r="EK71" i="123"/>
  <c r="GI70" i="123"/>
  <c r="AE61" i="126"/>
  <c r="FZ71" i="123"/>
  <c r="AF61" i="126"/>
  <c r="GJ70" i="123"/>
  <c r="GA71" i="123"/>
  <c r="GJ71" i="123" l="1"/>
  <c r="AF62" i="126"/>
  <c r="GI71" i="123"/>
  <c r="AE62" i="126"/>
  <c r="DP168" i="7" l="1"/>
  <c r="FI10" i="19"/>
  <c r="FI11" i="19" s="1"/>
  <c r="FI49" i="19" s="1"/>
  <c r="FH10" i="19"/>
  <c r="FG10" i="19"/>
  <c r="FG11" i="19" s="1"/>
  <c r="FJ10" i="19"/>
  <c r="FJ11" i="19" s="1"/>
  <c r="FJ49" i="19" s="1"/>
  <c r="EH47" i="8" l="1"/>
  <c r="EB47" i="8"/>
  <c r="EI47" i="8"/>
  <c r="EC47" i="8"/>
  <c r="FG49" i="19"/>
  <c r="FH11" i="19"/>
  <c r="FF11" i="19" s="1"/>
  <c r="FF49" i="19" s="1"/>
  <c r="EC105" i="8" l="1"/>
  <c r="EC61" i="8"/>
  <c r="EC63" i="8" s="1"/>
  <c r="EI105" i="8"/>
  <c r="EI119" i="8" s="1"/>
  <c r="EI61" i="8"/>
  <c r="EI63" i="8" s="1"/>
  <c r="EB105" i="8"/>
  <c r="EA47" i="8"/>
  <c r="EB61" i="8"/>
  <c r="EC59" i="7"/>
  <c r="DW59" i="7"/>
  <c r="EH105" i="8"/>
  <c r="EH119" i="8" s="1"/>
  <c r="EG47" i="8"/>
  <c r="EH61" i="8"/>
  <c r="EH63" i="8" s="1"/>
  <c r="FH49" i="19"/>
  <c r="DL7" i="135"/>
  <c r="DL15" i="135" s="1"/>
  <c r="CI75" i="117"/>
  <c r="CI81" i="117"/>
  <c r="EC66" i="7" l="1"/>
  <c r="DW66" i="7"/>
  <c r="DL17" i="135"/>
  <c r="EB89" i="8"/>
  <c r="EB63" i="8"/>
  <c r="EI123" i="8"/>
  <c r="EI121" i="8"/>
  <c r="EC154" i="7"/>
  <c r="EC71" i="7"/>
  <c r="EC73" i="7" s="1"/>
  <c r="EH121" i="8"/>
  <c r="EH123" i="8"/>
  <c r="EA105" i="8"/>
  <c r="EA119" i="8" s="1"/>
  <c r="EA121" i="8" s="1"/>
  <c r="EA61" i="8"/>
  <c r="EG105" i="8"/>
  <c r="EG119" i="8" s="1"/>
  <c r="EG121" i="8" s="1"/>
  <c r="EG61" i="8"/>
  <c r="ED59" i="7"/>
  <c r="DX59" i="7"/>
  <c r="DW154" i="7"/>
  <c r="DW71" i="7"/>
  <c r="DW73" i="7" s="1"/>
  <c r="EB137" i="8"/>
  <c r="EH137" i="8"/>
  <c r="BK10" i="65" s="1"/>
  <c r="BK9" i="65" s="1"/>
  <c r="BK44" i="65" s="1"/>
  <c r="BK47" i="65" s="1"/>
  <c r="EB119" i="8"/>
  <c r="EI137" i="8"/>
  <c r="EI152" i="8" s="1"/>
  <c r="EC137" i="8"/>
  <c r="EC119" i="8"/>
  <c r="DW161" i="7" l="1"/>
  <c r="DW166" i="7" s="1"/>
  <c r="DV66" i="7"/>
  <c r="DV161" i="7" s="1"/>
  <c r="EB66" i="7"/>
  <c r="EB161" i="7" s="1"/>
  <c r="EC161" i="7"/>
  <c r="EC166" i="7" s="1"/>
  <c r="BF11" i="65"/>
  <c r="EH152" i="8"/>
  <c r="EH154" i="8" s="1"/>
  <c r="AZ13" i="66"/>
  <c r="EC152" i="8"/>
  <c r="EG63" i="8"/>
  <c r="EA63" i="8"/>
  <c r="EI124" i="8"/>
  <c r="EI126" i="8"/>
  <c r="EC123" i="8"/>
  <c r="EC121" i="8"/>
  <c r="BQ13" i="61"/>
  <c r="EC184" i="7"/>
  <c r="DW184" i="7"/>
  <c r="BB11" i="65"/>
  <c r="EB152" i="8"/>
  <c r="EB154" i="8" s="1"/>
  <c r="DX154" i="7"/>
  <c r="DX71" i="7"/>
  <c r="DX73" i="7" s="1"/>
  <c r="ED154" i="7"/>
  <c r="ED166" i="7" s="1"/>
  <c r="ED71" i="7"/>
  <c r="ED73" i="7" s="1"/>
  <c r="EB59" i="7"/>
  <c r="EB123" i="8"/>
  <c r="EB121" i="8"/>
  <c r="DV59" i="7"/>
  <c r="EH126" i="8"/>
  <c r="EH124" i="8"/>
  <c r="EG123" i="8"/>
  <c r="EG124" i="8" s="1"/>
  <c r="BU13" i="61"/>
  <c r="EC192" i="7" l="1"/>
  <c r="EC199" i="7" s="1"/>
  <c r="BU24" i="61"/>
  <c r="DW192" i="7"/>
  <c r="DW199" i="7" s="1"/>
  <c r="BQ24" i="61"/>
  <c r="BR13" i="61"/>
  <c r="AZ12" i="66"/>
  <c r="BA13" i="66"/>
  <c r="BB10" i="65"/>
  <c r="BC11" i="65"/>
  <c r="EB124" i="8"/>
  <c r="EA123" i="8"/>
  <c r="EA124" i="8" s="1"/>
  <c r="EB126" i="8"/>
  <c r="DW170" i="7"/>
  <c r="DW168" i="7"/>
  <c r="BV13" i="61"/>
  <c r="DV154" i="7"/>
  <c r="DV166" i="7" s="1"/>
  <c r="DV168" i="7" s="1"/>
  <c r="DV71" i="7"/>
  <c r="DV73" i="7" s="1"/>
  <c r="EI127" i="8"/>
  <c r="EI129" i="8"/>
  <c r="EI130" i="8" s="1"/>
  <c r="ED168" i="7"/>
  <c r="ED170" i="7"/>
  <c r="EC168" i="7"/>
  <c r="EC170" i="7"/>
  <c r="EH127" i="8"/>
  <c r="EG126" i="8"/>
  <c r="EH129" i="8"/>
  <c r="EH130" i="8" s="1"/>
  <c r="EB154" i="7"/>
  <c r="EB71" i="7"/>
  <c r="EB73" i="7" s="1"/>
  <c r="ED184" i="7"/>
  <c r="ED199" i="7" s="1"/>
  <c r="DX166" i="7"/>
  <c r="DX184" i="7"/>
  <c r="EC126" i="8"/>
  <c r="EC124" i="8"/>
  <c r="BF10" i="65"/>
  <c r="BG11" i="65"/>
  <c r="EB166" i="7" l="1"/>
  <c r="EB168" i="7" s="1"/>
  <c r="BR24" i="61"/>
  <c r="BQ15" i="61"/>
  <c r="BV24" i="61"/>
  <c r="BU15" i="61"/>
  <c r="EG129" i="8"/>
  <c r="EG130" i="8" s="1"/>
  <c r="EG127" i="8"/>
  <c r="ED173" i="7"/>
  <c r="ED171" i="7"/>
  <c r="AZ11" i="66"/>
  <c r="BA12" i="66"/>
  <c r="EC127" i="8"/>
  <c r="EC129" i="8"/>
  <c r="EC130" i="8" s="1"/>
  <c r="DW171" i="7"/>
  <c r="DW173" i="7"/>
  <c r="BF9" i="65"/>
  <c r="BG10" i="65"/>
  <c r="DX168" i="7"/>
  <c r="DX170" i="7"/>
  <c r="DX199" i="7"/>
  <c r="AZ12" i="64"/>
  <c r="EB170" i="7"/>
  <c r="EC171" i="7"/>
  <c r="EC173" i="7"/>
  <c r="EB127" i="8"/>
  <c r="EA126" i="8"/>
  <c r="EB129" i="8"/>
  <c r="EB130" i="8" s="1"/>
  <c r="BB9" i="65"/>
  <c r="BC10" i="65"/>
  <c r="BV15" i="61" l="1"/>
  <c r="BU12" i="61"/>
  <c r="BR15" i="61"/>
  <c r="BQ12" i="61"/>
  <c r="EA127" i="8"/>
  <c r="EA129" i="8"/>
  <c r="EA130" i="8" s="1"/>
  <c r="EC174" i="7"/>
  <c r="EC176" i="7"/>
  <c r="EC177" i="7" s="1"/>
  <c r="BF44" i="65"/>
  <c r="BG9" i="65"/>
  <c r="BB44" i="65"/>
  <c r="BC9" i="65"/>
  <c r="DX171" i="7"/>
  <c r="DX173" i="7"/>
  <c r="DV170" i="7"/>
  <c r="AZ11" i="64"/>
  <c r="BA12" i="64"/>
  <c r="DW176" i="7"/>
  <c r="DW177" i="7" s="1"/>
  <c r="DW174" i="7"/>
  <c r="ED174" i="7"/>
  <c r="ED176" i="7"/>
  <c r="ED177" i="7" s="1"/>
  <c r="EB173" i="7"/>
  <c r="EB171" i="7"/>
  <c r="AZ36" i="66"/>
  <c r="BA11" i="66"/>
  <c r="BR12" i="61" l="1"/>
  <c r="BQ32" i="61"/>
  <c r="BQ11" i="61"/>
  <c r="BV12" i="61"/>
  <c r="BU32" i="61"/>
  <c r="BU11" i="61"/>
  <c r="AZ39" i="66"/>
  <c r="BA36" i="66"/>
  <c r="EB174" i="7"/>
  <c r="EB176" i="7"/>
  <c r="EB177" i="7" s="1"/>
  <c r="BB47" i="65"/>
  <c r="BC44" i="65"/>
  <c r="DX174" i="7"/>
  <c r="DX176" i="7"/>
  <c r="DX177" i="7" s="1"/>
  <c r="AZ10" i="64"/>
  <c r="AZ23" i="64"/>
  <c r="BA11" i="64"/>
  <c r="DV171" i="7"/>
  <c r="DV173" i="7"/>
  <c r="BF47" i="65"/>
  <c r="BG44" i="65"/>
  <c r="BQ44" i="61" l="1"/>
  <c r="BR11" i="61"/>
  <c r="BU44" i="61"/>
  <c r="BV11" i="61"/>
  <c r="DV176" i="7"/>
  <c r="DV177" i="7" s="1"/>
  <c r="DV174" i="7"/>
  <c r="BG47" i="65"/>
  <c r="BF49" i="65"/>
  <c r="AZ35" i="64"/>
  <c r="BA10" i="64"/>
  <c r="BC47" i="65"/>
  <c r="BB49" i="65"/>
  <c r="BA39" i="66"/>
  <c r="AZ41" i="66"/>
  <c r="BU47" i="61" l="1"/>
  <c r="BV44" i="61"/>
  <c r="BQ47" i="61"/>
  <c r="BR44" i="61"/>
  <c r="BF53" i="65"/>
  <c r="BF60" i="65"/>
  <c r="BB53" i="65"/>
  <c r="BB60" i="65"/>
  <c r="BA41" i="66"/>
  <c r="AZ49" i="66"/>
  <c r="AZ51" i="66" s="1"/>
  <c r="AZ45" i="66"/>
  <c r="AZ37" i="64"/>
  <c r="BA35" i="64"/>
  <c r="AZ52" i="66" l="1"/>
  <c r="BR47" i="61"/>
  <c r="BQ49" i="61"/>
  <c r="BV47" i="61"/>
  <c r="BU49" i="61"/>
  <c r="BA37" i="64"/>
  <c r="AZ39" i="64"/>
  <c r="AZ43" i="64" s="1"/>
  <c r="BQ53" i="61" l="1"/>
  <c r="BQ61" i="61"/>
  <c r="BU61" i="61"/>
  <c r="BU53" i="61"/>
  <c r="AT35" i="95"/>
  <c r="AT40" i="95" s="1"/>
  <c r="AT45" i="95" s="1"/>
  <c r="AT38" i="95"/>
  <c r="AT51" i="95" s="1"/>
  <c r="AT43" i="95" l="1"/>
  <c r="AT49" i="95"/>
  <c r="AT47" i="95" l="1"/>
  <c r="AT52" i="95" s="1"/>
  <c r="EF18" i="7"/>
  <c r="CC53" i="120" s="1"/>
  <c r="CB53" i="120" l="1"/>
  <c r="C53" i="120"/>
  <c r="CI53" i="120"/>
  <c r="CC52" i="120"/>
  <c r="CC195" i="120"/>
  <c r="EE18" i="7"/>
  <c r="EF17" i="7"/>
  <c r="EF71" i="7" s="1"/>
  <c r="EF73" i="7" s="1"/>
  <c r="EF144" i="7"/>
  <c r="EF166" i="7" s="1"/>
  <c r="CI195" i="120" l="1"/>
  <c r="CC224" i="120"/>
  <c r="R53" i="120"/>
  <c r="AG53" i="120" s="1"/>
  <c r="B53" i="120"/>
  <c r="B195" i="120" s="1"/>
  <c r="B224" i="120" s="1"/>
  <c r="C52" i="120"/>
  <c r="C195" i="120"/>
  <c r="CB52" i="120"/>
  <c r="CI52" i="120"/>
  <c r="CC158" i="120"/>
  <c r="CH53" i="120"/>
  <c r="CB195" i="120"/>
  <c r="EF170" i="7"/>
  <c r="EF168" i="7"/>
  <c r="EE17" i="7"/>
  <c r="EE71" i="7" s="1"/>
  <c r="EE73" i="7" s="1"/>
  <c r="EE144" i="7"/>
  <c r="AF53" i="120" l="1"/>
  <c r="AM53" i="120"/>
  <c r="AG195" i="120"/>
  <c r="AP53" i="120"/>
  <c r="BE53" i="120" s="1"/>
  <c r="C47" i="121"/>
  <c r="C224" i="120"/>
  <c r="C226" i="120" s="1"/>
  <c r="CC160" i="120"/>
  <c r="CI160" i="120" s="1"/>
  <c r="CI158" i="120"/>
  <c r="B52" i="120"/>
  <c r="C158" i="120"/>
  <c r="Q53" i="120"/>
  <c r="Q195" i="120" s="1"/>
  <c r="Q224" i="120" s="1"/>
  <c r="R52" i="120"/>
  <c r="R195" i="120"/>
  <c r="CC226" i="120"/>
  <c r="CI226" i="120" s="1"/>
  <c r="CI224" i="120"/>
  <c r="EE166" i="7"/>
  <c r="EE168" i="7" s="1"/>
  <c r="BW14" i="61"/>
  <c r="CH195" i="120"/>
  <c r="CB224" i="120"/>
  <c r="CH52" i="120"/>
  <c r="CB158" i="120"/>
  <c r="B231" i="120"/>
  <c r="B226" i="120"/>
  <c r="EF173" i="7"/>
  <c r="EF171" i="7"/>
  <c r="EE170" i="7"/>
  <c r="C160" i="120" l="1"/>
  <c r="B158" i="120"/>
  <c r="AM195" i="120"/>
  <c r="AG224" i="120"/>
  <c r="CB160" i="120"/>
  <c r="CH160" i="120" s="1"/>
  <c r="CH158" i="120"/>
  <c r="BX14" i="61"/>
  <c r="BW12" i="61"/>
  <c r="AP47" i="121"/>
  <c r="R224" i="120"/>
  <c r="R226" i="120" s="1"/>
  <c r="BD53" i="120"/>
  <c r="BK53" i="120"/>
  <c r="BE195" i="120"/>
  <c r="AG52" i="120"/>
  <c r="Q52" i="120"/>
  <c r="R158" i="120"/>
  <c r="L47" i="121"/>
  <c r="B47" i="121"/>
  <c r="C76" i="121"/>
  <c r="CB226" i="120"/>
  <c r="CH226" i="120" s="1"/>
  <c r="CH224" i="120"/>
  <c r="Q231" i="120"/>
  <c r="AF231" i="120" s="1"/>
  <c r="AL231" i="120" s="1"/>
  <c r="Q226" i="120"/>
  <c r="AO53" i="120"/>
  <c r="AO195" i="120" s="1"/>
  <c r="AO224" i="120" s="1"/>
  <c r="BN53" i="120"/>
  <c r="CM53" i="120" s="1"/>
  <c r="AP52" i="120"/>
  <c r="AP195" i="120"/>
  <c r="AL53" i="120"/>
  <c r="AF195" i="120"/>
  <c r="EE173" i="7"/>
  <c r="EE171" i="7"/>
  <c r="EF176" i="7"/>
  <c r="EF177" i="7" s="1"/>
  <c r="EF174" i="7"/>
  <c r="AO226" i="120" l="1"/>
  <c r="AO231" i="120"/>
  <c r="BD231" i="120" s="1"/>
  <c r="BJ231" i="120" s="1"/>
  <c r="R160" i="120"/>
  <c r="Q158" i="120"/>
  <c r="BW32" i="61"/>
  <c r="BW11" i="61"/>
  <c r="BX12" i="61"/>
  <c r="AG158" i="120"/>
  <c r="B76" i="121"/>
  <c r="C81" i="121"/>
  <c r="C78" i="121"/>
  <c r="BJ53" i="120"/>
  <c r="BD195" i="120"/>
  <c r="AG226" i="120"/>
  <c r="AM226" i="120" s="1"/>
  <c r="AM224" i="120"/>
  <c r="B165" i="120"/>
  <c r="B160" i="120"/>
  <c r="CO47" i="121"/>
  <c r="AP224" i="120"/>
  <c r="AP226" i="120" s="1"/>
  <c r="AL195" i="120"/>
  <c r="AF224" i="120"/>
  <c r="AO52" i="120"/>
  <c r="AP158" i="120"/>
  <c r="AM52" i="120"/>
  <c r="AF52" i="120"/>
  <c r="AL52" i="120" s="1"/>
  <c r="BE52" i="120"/>
  <c r="BM53" i="120"/>
  <c r="BN52" i="120"/>
  <c r="CM52" i="120" s="1"/>
  <c r="BN195" i="120"/>
  <c r="K47" i="121"/>
  <c r="U47" i="121"/>
  <c r="L76" i="121"/>
  <c r="BK195" i="120"/>
  <c r="BE224" i="120"/>
  <c r="AO47" i="121"/>
  <c r="AY47" i="121"/>
  <c r="AP76" i="121"/>
  <c r="EE176" i="7"/>
  <c r="EE177" i="7" s="1"/>
  <c r="EE174" i="7"/>
  <c r="EN47" i="121" l="1"/>
  <c r="BN224" i="120"/>
  <c r="BN226" i="120" s="1"/>
  <c r="AP160" i="120"/>
  <c r="AO158" i="120"/>
  <c r="AG160" i="120"/>
  <c r="AM160" i="120" s="1"/>
  <c r="AF158" i="120"/>
  <c r="BE158" i="120"/>
  <c r="AM158" i="120"/>
  <c r="Q160" i="120"/>
  <c r="Q165" i="120"/>
  <c r="AF165" i="120" s="1"/>
  <c r="AL165" i="120" s="1"/>
  <c r="AX47" i="121"/>
  <c r="BH47" i="121"/>
  <c r="AY76" i="121"/>
  <c r="K76" i="121"/>
  <c r="L81" i="121"/>
  <c r="L78" i="121"/>
  <c r="BM52" i="120"/>
  <c r="CL52" i="120" s="1"/>
  <c r="BN158" i="120"/>
  <c r="CN47" i="121"/>
  <c r="CX47" i="121"/>
  <c r="CO76" i="121"/>
  <c r="AD47" i="121"/>
  <c r="T47" i="121"/>
  <c r="AC47" i="121" s="1"/>
  <c r="U76" i="121"/>
  <c r="CL53" i="120"/>
  <c r="BM195" i="120"/>
  <c r="BM224" i="120" s="1"/>
  <c r="AF226" i="120"/>
  <c r="AL226" i="120" s="1"/>
  <c r="AL224" i="120"/>
  <c r="B81" i="121"/>
  <c r="BW44" i="61"/>
  <c r="BX11" i="61"/>
  <c r="AP81" i="121"/>
  <c r="AO76" i="121"/>
  <c r="AP78" i="121"/>
  <c r="BE226" i="120"/>
  <c r="BK226" i="120" s="1"/>
  <c r="BK224" i="120"/>
  <c r="BD52" i="120"/>
  <c r="BJ52" i="120" s="1"/>
  <c r="BK52" i="120"/>
  <c r="BJ195" i="120"/>
  <c r="BD224" i="120"/>
  <c r="B78" i="121"/>
  <c r="B89" i="121"/>
  <c r="AO81" i="121" l="1"/>
  <c r="AO78" i="121"/>
  <c r="AO89" i="121"/>
  <c r="AL47" i="121"/>
  <c r="L33" i="125"/>
  <c r="K81" i="121"/>
  <c r="BE160" i="120"/>
  <c r="BK160" i="120" s="1"/>
  <c r="BD158" i="120"/>
  <c r="BK158" i="120"/>
  <c r="BM231" i="120"/>
  <c r="CB231" i="120" s="1"/>
  <c r="CH231" i="120" s="1"/>
  <c r="BM226" i="120"/>
  <c r="AM47" i="121"/>
  <c r="AD76" i="121"/>
  <c r="M33" i="125"/>
  <c r="BN160" i="120"/>
  <c r="CM160" i="120" s="1"/>
  <c r="BM158" i="120"/>
  <c r="CL158" i="120" s="1"/>
  <c r="CM158" i="120"/>
  <c r="K89" i="121"/>
  <c r="K78" i="121"/>
  <c r="AF160" i="120"/>
  <c r="AL160" i="120" s="1"/>
  <c r="AL158" i="120"/>
  <c r="CO81" i="121"/>
  <c r="CO78" i="121"/>
  <c r="CN76" i="121"/>
  <c r="AY78" i="121"/>
  <c r="AY81" i="121"/>
  <c r="AX76" i="121"/>
  <c r="EW47" i="121"/>
  <c r="EM47" i="121"/>
  <c r="EN76" i="121"/>
  <c r="BD226" i="120"/>
  <c r="BJ226" i="120" s="1"/>
  <c r="BJ224" i="120"/>
  <c r="BW47" i="61"/>
  <c r="BX44" i="61"/>
  <c r="T76" i="121"/>
  <c r="U78" i="121"/>
  <c r="U81" i="121"/>
  <c r="DG47" i="121"/>
  <c r="CW47" i="121"/>
  <c r="CX76" i="121"/>
  <c r="BG47" i="121"/>
  <c r="BP47" i="121" s="1"/>
  <c r="CB47" i="121" s="1"/>
  <c r="BH76" i="121"/>
  <c r="BQ47" i="121"/>
  <c r="AO160" i="120"/>
  <c r="AO165" i="120"/>
  <c r="BD165" i="120" s="1"/>
  <c r="BJ165" i="120" s="1"/>
  <c r="CK47" i="121" l="1"/>
  <c r="R33" i="125"/>
  <c r="BZ47" i="121"/>
  <c r="BQ76" i="121"/>
  <c r="P33" i="125"/>
  <c r="T78" i="121"/>
  <c r="T89" i="121"/>
  <c r="AX89" i="121"/>
  <c r="AX78" i="121"/>
  <c r="CC47" i="121"/>
  <c r="BJ158" i="120"/>
  <c r="BD160" i="120"/>
  <c r="BJ160" i="120" s="1"/>
  <c r="EN81" i="121"/>
  <c r="EM76" i="121"/>
  <c r="EN78" i="121"/>
  <c r="AX81" i="121"/>
  <c r="CN81" i="121"/>
  <c r="T81" i="121"/>
  <c r="AC81" i="121" s="1"/>
  <c r="AD81" i="121"/>
  <c r="AD78" i="121"/>
  <c r="AC76" i="121"/>
  <c r="AM76" i="121"/>
  <c r="M62" i="125"/>
  <c r="BH81" i="121"/>
  <c r="BH78" i="121"/>
  <c r="BG76" i="121"/>
  <c r="DP47" i="121"/>
  <c r="DF47" i="121"/>
  <c r="DG76" i="121"/>
  <c r="BY47" i="121"/>
  <c r="O33" i="125"/>
  <c r="BW61" i="61"/>
  <c r="BW50" i="61"/>
  <c r="BX47" i="61"/>
  <c r="CW76" i="121"/>
  <c r="CX78" i="121"/>
  <c r="CX81" i="121"/>
  <c r="EV47" i="121"/>
  <c r="FF47" i="121"/>
  <c r="EW76" i="121"/>
  <c r="CN89" i="121"/>
  <c r="CN78" i="121"/>
  <c r="BM160" i="120"/>
  <c r="CL160" i="120" s="1"/>
  <c r="BM165" i="120"/>
  <c r="CB165" i="120" s="1"/>
  <c r="CH165" i="120" s="1"/>
  <c r="FO47" i="121" l="1"/>
  <c r="FE47" i="121"/>
  <c r="FN47" i="121" s="1"/>
  <c r="FF76" i="121"/>
  <c r="BG78" i="121"/>
  <c r="BG89" i="121"/>
  <c r="CW81" i="121"/>
  <c r="CO39" i="121"/>
  <c r="C39" i="121"/>
  <c r="BW55" i="61"/>
  <c r="DG78" i="121"/>
  <c r="DG81" i="121"/>
  <c r="DF81" i="121" s="1"/>
  <c r="DO81" i="121" s="1"/>
  <c r="DF76" i="121"/>
  <c r="AL76" i="121"/>
  <c r="AC78" i="121"/>
  <c r="AC89" i="121"/>
  <c r="AL89" i="121" s="1"/>
  <c r="L62" i="125"/>
  <c r="AL81" i="121"/>
  <c r="L67" i="125"/>
  <c r="EM89" i="121"/>
  <c r="EM78" i="121"/>
  <c r="CL47" i="121"/>
  <c r="EB47" i="121"/>
  <c r="CC76" i="121"/>
  <c r="S33" i="125"/>
  <c r="EW81" i="121"/>
  <c r="EV76" i="121"/>
  <c r="EW78" i="121"/>
  <c r="DO47" i="121"/>
  <c r="GM47" i="121"/>
  <c r="BG81" i="121"/>
  <c r="BP81" i="121" s="1"/>
  <c r="CB81" i="121" s="1"/>
  <c r="AM78" i="121"/>
  <c r="M64" i="125"/>
  <c r="BQ81" i="121"/>
  <c r="CC81" i="121" s="1"/>
  <c r="EM81" i="121"/>
  <c r="CW89" i="121"/>
  <c r="CW78" i="121"/>
  <c r="DY47" i="121"/>
  <c r="DP76" i="121"/>
  <c r="V33" i="125"/>
  <c r="AM81" i="121"/>
  <c r="C37" i="127"/>
  <c r="M67" i="125"/>
  <c r="BZ76" i="121"/>
  <c r="BQ78" i="121"/>
  <c r="BP76" i="121"/>
  <c r="P62" i="125"/>
  <c r="DP81" i="121" l="1"/>
  <c r="V67" i="125" s="1"/>
  <c r="CK81" i="121"/>
  <c r="EA81" i="121"/>
  <c r="R67" i="125"/>
  <c r="BZ78" i="121"/>
  <c r="P64" i="125"/>
  <c r="F37" i="127"/>
  <c r="BP78" i="121"/>
  <c r="BP89" i="121"/>
  <c r="BY89" i="121" s="1"/>
  <c r="BY76" i="121"/>
  <c r="O62" i="125"/>
  <c r="BZ81" i="121"/>
  <c r="D37" i="127"/>
  <c r="D36" i="127" s="1"/>
  <c r="D35" i="127" s="1"/>
  <c r="P67" i="125"/>
  <c r="EV89" i="121"/>
  <c r="EV78" i="121"/>
  <c r="EK47" i="121"/>
  <c r="GA47" i="121"/>
  <c r="EB76" i="121"/>
  <c r="Y33" i="125"/>
  <c r="DX81" i="121"/>
  <c r="U67" i="125"/>
  <c r="FF39" i="121"/>
  <c r="CO38" i="121"/>
  <c r="CN39" i="121"/>
  <c r="EN39" i="121"/>
  <c r="DG39" i="121"/>
  <c r="CX39" i="121"/>
  <c r="EW39" i="121"/>
  <c r="CO30" i="121"/>
  <c r="CO33" i="121"/>
  <c r="CO34" i="121"/>
  <c r="D11" i="124"/>
  <c r="DY76" i="121"/>
  <c r="DP78" i="121"/>
  <c r="DO76" i="121"/>
  <c r="V62" i="125"/>
  <c r="EV81" i="121"/>
  <c r="AL78" i="121"/>
  <c r="L64" i="125"/>
  <c r="FF81" i="121"/>
  <c r="FE76" i="121"/>
  <c r="FF78" i="121"/>
  <c r="E37" i="127"/>
  <c r="E36" i="127" s="1"/>
  <c r="E35" i="127" s="1"/>
  <c r="CL81" i="121"/>
  <c r="S67" i="125"/>
  <c r="C36" i="127"/>
  <c r="B22" i="128"/>
  <c r="DX47" i="121"/>
  <c r="U33" i="125"/>
  <c r="EA47" i="121"/>
  <c r="FW47" i="121"/>
  <c r="AA33" i="125"/>
  <c r="BY81" i="121"/>
  <c r="O67" i="125"/>
  <c r="CC78" i="121"/>
  <c r="CL76" i="121"/>
  <c r="CB76" i="121"/>
  <c r="S62" i="125"/>
  <c r="DF78" i="121"/>
  <c r="DF89" i="121"/>
  <c r="C38" i="121"/>
  <c r="BH39" i="121"/>
  <c r="B39" i="121"/>
  <c r="AP39" i="121"/>
  <c r="L39" i="121"/>
  <c r="U39" i="121"/>
  <c r="AY39" i="121"/>
  <c r="C33" i="121"/>
  <c r="C30" i="121"/>
  <c r="C34" i="121"/>
  <c r="FX47" i="121"/>
  <c r="FO76" i="121"/>
  <c r="AB33" i="125"/>
  <c r="DY81" i="121" l="1"/>
  <c r="EB81" i="121"/>
  <c r="B34" i="121"/>
  <c r="BG39" i="121"/>
  <c r="BH30" i="121"/>
  <c r="BG30" i="121" s="1"/>
  <c r="BH33" i="121"/>
  <c r="BH34" i="121"/>
  <c r="BG34" i="121" s="1"/>
  <c r="AX39" i="121"/>
  <c r="AY33" i="121"/>
  <c r="AY30" i="121"/>
  <c r="AX30" i="121" s="1"/>
  <c r="AY34" i="121"/>
  <c r="AX34" i="121" s="1"/>
  <c r="CL78" i="121"/>
  <c r="S64" i="125"/>
  <c r="D22" i="128"/>
  <c r="D21" i="128" s="1"/>
  <c r="D20" i="128" s="1"/>
  <c r="F22" i="128"/>
  <c r="C22" i="128"/>
  <c r="C21" i="128" s="1"/>
  <c r="C20" i="128" s="1"/>
  <c r="H22" i="128"/>
  <c r="H21" i="128" s="1"/>
  <c r="H20" i="128" s="1"/>
  <c r="G22" i="128"/>
  <c r="G21" i="128" s="1"/>
  <c r="G20" i="128" s="1"/>
  <c r="B21" i="128"/>
  <c r="FE81" i="121"/>
  <c r="FN81" i="121" s="1"/>
  <c r="FZ81" i="121" s="1"/>
  <c r="FO81" i="121"/>
  <c r="GA81" i="121" s="1"/>
  <c r="CN30" i="121"/>
  <c r="EN33" i="121"/>
  <c r="EM39" i="121"/>
  <c r="EN30" i="121"/>
  <c r="EN34" i="121"/>
  <c r="GJ47" i="121"/>
  <c r="GA76" i="121"/>
  <c r="AE33" i="125"/>
  <c r="F36" i="127"/>
  <c r="F35" i="127" s="1"/>
  <c r="K22" i="128"/>
  <c r="T39" i="121"/>
  <c r="U30" i="121"/>
  <c r="T30" i="121" s="1"/>
  <c r="U33" i="121"/>
  <c r="U34" i="121"/>
  <c r="T34" i="121" s="1"/>
  <c r="FZ47" i="121"/>
  <c r="EJ47" i="121"/>
  <c r="X33" i="125"/>
  <c r="D16" i="124"/>
  <c r="D13" i="124"/>
  <c r="D14" i="124"/>
  <c r="D15" i="124"/>
  <c r="E11" i="124"/>
  <c r="F11" i="124"/>
  <c r="D12" i="124"/>
  <c r="EV39" i="121"/>
  <c r="EW33" i="121"/>
  <c r="EW30" i="121"/>
  <c r="EV30" i="121" s="1"/>
  <c r="EW34" i="121"/>
  <c r="EV34" i="121" s="1"/>
  <c r="B30" i="121"/>
  <c r="K39" i="121"/>
  <c r="L33" i="121"/>
  <c r="L30" i="121"/>
  <c r="K30" i="121" s="1"/>
  <c r="L34" i="121"/>
  <c r="K34" i="121" s="1"/>
  <c r="B38" i="121"/>
  <c r="L38" i="121"/>
  <c r="BH38" i="121"/>
  <c r="AP38" i="121"/>
  <c r="U38" i="121"/>
  <c r="AY38" i="121"/>
  <c r="C29" i="121"/>
  <c r="CK76" i="121"/>
  <c r="CB78" i="121"/>
  <c r="CB89" i="121"/>
  <c r="CK89" i="121" s="1"/>
  <c r="R62" i="125"/>
  <c r="C35" i="127"/>
  <c r="DX76" i="121"/>
  <c r="DO89" i="121"/>
  <c r="DX89" i="121" s="1"/>
  <c r="DO78" i="121"/>
  <c r="U62" i="125"/>
  <c r="CN34" i="121"/>
  <c r="CW39" i="121"/>
  <c r="CX30" i="121"/>
  <c r="CW30" i="121" s="1"/>
  <c r="CX33" i="121"/>
  <c r="CX34" i="121"/>
  <c r="CW34" i="121" s="1"/>
  <c r="EN38" i="121"/>
  <c r="CX38" i="121"/>
  <c r="DG38" i="121"/>
  <c r="CN38" i="121"/>
  <c r="FF38" i="121"/>
  <c r="EW38" i="121"/>
  <c r="CO29" i="121"/>
  <c r="BY78" i="121"/>
  <c r="O64" i="125"/>
  <c r="EK81" i="121"/>
  <c r="G37" i="127"/>
  <c r="G36" i="127" s="1"/>
  <c r="G35" i="127" s="1"/>
  <c r="Y67" i="125"/>
  <c r="EJ81" i="121"/>
  <c r="X67" i="125"/>
  <c r="FN76" i="121"/>
  <c r="FO78" i="121"/>
  <c r="FX76" i="121"/>
  <c r="AB62" i="125"/>
  <c r="B33" i="121"/>
  <c r="C32" i="121"/>
  <c r="AO39" i="121"/>
  <c r="AP30" i="121"/>
  <c r="AP33" i="121"/>
  <c r="AP34" i="121"/>
  <c r="GM76" i="121"/>
  <c r="FE78" i="121"/>
  <c r="FE89" i="121"/>
  <c r="DY78" i="121"/>
  <c r="V64" i="125"/>
  <c r="CN33" i="121"/>
  <c r="CO32" i="121"/>
  <c r="DF39" i="121"/>
  <c r="DG33" i="121"/>
  <c r="DG30" i="121"/>
  <c r="DF30" i="121" s="1"/>
  <c r="DG34" i="121"/>
  <c r="DF34" i="121" s="1"/>
  <c r="FE39" i="121"/>
  <c r="FF33" i="121"/>
  <c r="FF30" i="121"/>
  <c r="FE30" i="121" s="1"/>
  <c r="FF34" i="121"/>
  <c r="FE34" i="121" s="1"/>
  <c r="EB78" i="121"/>
  <c r="EA76" i="121"/>
  <c r="EK76" i="121"/>
  <c r="Y62" i="125"/>
  <c r="G11" i="124" l="1"/>
  <c r="E22" i="128"/>
  <c r="BQ30" i="121"/>
  <c r="AO30" i="121"/>
  <c r="BP30" i="121" s="1"/>
  <c r="GJ81" i="121"/>
  <c r="I37" i="127"/>
  <c r="I36" i="127" s="1"/>
  <c r="I35" i="127" s="1"/>
  <c r="AE67" i="125"/>
  <c r="DO34" i="121"/>
  <c r="DX34" i="121" s="1"/>
  <c r="B29" i="121"/>
  <c r="C35" i="121"/>
  <c r="BG38" i="121"/>
  <c r="BH29" i="121"/>
  <c r="AC30" i="121"/>
  <c r="E15" i="124"/>
  <c r="F15" i="124"/>
  <c r="AD33" i="121"/>
  <c r="T33" i="121"/>
  <c r="U32" i="121"/>
  <c r="T32" i="121" s="1"/>
  <c r="FO34" i="121"/>
  <c r="FX34" i="121" s="1"/>
  <c r="EM34" i="121"/>
  <c r="FN34" i="121" s="1"/>
  <c r="FW34" i="121" s="1"/>
  <c r="DO30" i="121"/>
  <c r="FW81" i="121"/>
  <c r="AA67" i="125"/>
  <c r="AX33" i="121"/>
  <c r="AY32" i="121"/>
  <c r="AX32" i="121" s="1"/>
  <c r="FE33" i="121"/>
  <c r="FF32" i="121"/>
  <c r="FE32" i="121" s="1"/>
  <c r="EK78" i="121"/>
  <c r="Y64" i="125"/>
  <c r="GI81" i="121"/>
  <c r="AD67" i="125"/>
  <c r="CN29" i="121"/>
  <c r="CO35" i="121"/>
  <c r="DF38" i="121"/>
  <c r="DG29" i="121"/>
  <c r="CW33" i="121"/>
  <c r="CX32" i="121"/>
  <c r="CW32" i="121" s="1"/>
  <c r="DP34" i="121"/>
  <c r="DY34" i="121" s="1"/>
  <c r="AX38" i="121"/>
  <c r="AY29" i="121"/>
  <c r="K38" i="121"/>
  <c r="L29" i="121"/>
  <c r="K33" i="121"/>
  <c r="L32" i="121"/>
  <c r="K32" i="121" s="1"/>
  <c r="E12" i="124"/>
  <c r="F12" i="124"/>
  <c r="E14" i="124"/>
  <c r="F14" i="124"/>
  <c r="EM30" i="121"/>
  <c r="FN30" i="121" s="1"/>
  <c r="FO30" i="121"/>
  <c r="DP30" i="121"/>
  <c r="EA89" i="121"/>
  <c r="EJ89" i="121" s="1"/>
  <c r="EA78" i="121"/>
  <c r="EJ76" i="121"/>
  <c r="X62" i="125"/>
  <c r="B32" i="121"/>
  <c r="FX78" i="121"/>
  <c r="AB64" i="125"/>
  <c r="EV38" i="121"/>
  <c r="EW29" i="121"/>
  <c r="CW38" i="121"/>
  <c r="CX29" i="121"/>
  <c r="CK78" i="121"/>
  <c r="R64" i="125"/>
  <c r="T38" i="121"/>
  <c r="U29" i="121"/>
  <c r="F13" i="124"/>
  <c r="E13" i="124"/>
  <c r="GI47" i="121"/>
  <c r="AD33" i="125"/>
  <c r="FZ76" i="121"/>
  <c r="GA78" i="121"/>
  <c r="GJ76" i="121"/>
  <c r="AE62" i="125"/>
  <c r="FX81" i="121"/>
  <c r="H37" i="127"/>
  <c r="AB67" i="125"/>
  <c r="E21" i="128"/>
  <c r="B20" i="128"/>
  <c r="E20" i="128" s="1"/>
  <c r="F21" i="128"/>
  <c r="I22" i="128"/>
  <c r="J22" i="128" s="1"/>
  <c r="AD34" i="121"/>
  <c r="DF33" i="121"/>
  <c r="DG32" i="121"/>
  <c r="DF32" i="121" s="1"/>
  <c r="CN32" i="121"/>
  <c r="BQ34" i="121"/>
  <c r="BZ34" i="121" s="1"/>
  <c r="AO34" i="121"/>
  <c r="BP34" i="121" s="1"/>
  <c r="BY34" i="121" s="1"/>
  <c r="DP33" i="121"/>
  <c r="DY33" i="121" s="1"/>
  <c r="AO33" i="121"/>
  <c r="BQ33" i="121"/>
  <c r="BZ33" i="121" s="1"/>
  <c r="AP32" i="121"/>
  <c r="FN89" i="121"/>
  <c r="FW89" i="121" s="1"/>
  <c r="FN78" i="121"/>
  <c r="FW76" i="121"/>
  <c r="AA62" i="125"/>
  <c r="FE38" i="121"/>
  <c r="FF29" i="121"/>
  <c r="EM38" i="121"/>
  <c r="EN29" i="121"/>
  <c r="DX78" i="121"/>
  <c r="U64" i="125"/>
  <c r="AO38" i="121"/>
  <c r="AP29" i="121"/>
  <c r="AD30" i="121"/>
  <c r="EV33" i="121"/>
  <c r="EW32" i="121"/>
  <c r="EV32" i="121" s="1"/>
  <c r="F16" i="124"/>
  <c r="E16" i="124"/>
  <c r="M22" i="128"/>
  <c r="M21" i="128" s="1"/>
  <c r="M20" i="128" s="1"/>
  <c r="R22" i="128"/>
  <c r="R21" i="128" s="1"/>
  <c r="R20" i="128" s="1"/>
  <c r="L22" i="128"/>
  <c r="L21" i="128" s="1"/>
  <c r="L20" i="128" s="1"/>
  <c r="K21" i="128"/>
  <c r="P22" i="128"/>
  <c r="Q22" i="128"/>
  <c r="Q21" i="128" s="1"/>
  <c r="Q20" i="128" s="1"/>
  <c r="EM33" i="121"/>
  <c r="FO33" i="121"/>
  <c r="FX33" i="121" s="1"/>
  <c r="EN32" i="121"/>
  <c r="BG33" i="121"/>
  <c r="BH32" i="121"/>
  <c r="BG32" i="121" s="1"/>
  <c r="AC34" i="121"/>
  <c r="GM34" i="121" l="1"/>
  <c r="N22" i="128"/>
  <c r="FN33" i="121"/>
  <c r="FW33" i="121" s="1"/>
  <c r="G14" i="124"/>
  <c r="DP32" i="121"/>
  <c r="DY32" i="121" s="1"/>
  <c r="G13" i="124"/>
  <c r="GM33" i="121"/>
  <c r="AD32" i="121"/>
  <c r="AM32" i="121" s="1"/>
  <c r="DO33" i="121"/>
  <c r="DX33" i="121" s="1"/>
  <c r="DO32" i="121"/>
  <c r="DX32" i="121" s="1"/>
  <c r="P21" i="128"/>
  <c r="S22" i="128"/>
  <c r="FE29" i="121"/>
  <c r="FF35" i="121"/>
  <c r="FW78" i="121"/>
  <c r="AA64" i="125"/>
  <c r="FZ89" i="121"/>
  <c r="GI89" i="121" s="1"/>
  <c r="FZ78" i="121"/>
  <c r="GI76" i="121"/>
  <c r="AD62" i="125"/>
  <c r="AC32" i="121"/>
  <c r="AC39" i="121" s="1"/>
  <c r="AL39" i="121" s="1"/>
  <c r="FW30" i="121"/>
  <c r="CO36" i="121"/>
  <c r="CN35" i="121"/>
  <c r="CO82" i="121"/>
  <c r="G15" i="124"/>
  <c r="BG29" i="121"/>
  <c r="BH35" i="121"/>
  <c r="N21" i="128"/>
  <c r="K20" i="128"/>
  <c r="N20" i="128" s="1"/>
  <c r="CC30" i="121"/>
  <c r="AM30" i="121"/>
  <c r="BP33" i="121"/>
  <c r="BY33" i="121" s="1"/>
  <c r="CC34" i="121"/>
  <c r="AM34" i="121"/>
  <c r="T29" i="121"/>
  <c r="U35" i="121"/>
  <c r="CW29" i="121"/>
  <c r="CX35" i="121"/>
  <c r="AX29" i="121"/>
  <c r="AY35" i="121"/>
  <c r="DP29" i="121"/>
  <c r="DX30" i="121"/>
  <c r="BY30" i="121"/>
  <c r="G16" i="124"/>
  <c r="BQ29" i="121"/>
  <c r="AO29" i="121"/>
  <c r="AP35" i="121"/>
  <c r="EM29" i="121"/>
  <c r="FO29" i="121"/>
  <c r="EN35" i="121"/>
  <c r="DY30" i="121"/>
  <c r="DF29" i="121"/>
  <c r="DG35" i="121"/>
  <c r="AC33" i="121"/>
  <c r="GM30" i="121"/>
  <c r="C36" i="121"/>
  <c r="B35" i="121"/>
  <c r="C82" i="121"/>
  <c r="BZ30" i="121"/>
  <c r="CB34" i="121"/>
  <c r="AL34" i="121"/>
  <c r="O22" i="128"/>
  <c r="FO32" i="121"/>
  <c r="FX32" i="121" s="1"/>
  <c r="EM32" i="121"/>
  <c r="FN32" i="121" s="1"/>
  <c r="FW32" i="121" s="1"/>
  <c r="BQ32" i="121"/>
  <c r="BZ32" i="121" s="1"/>
  <c r="AO32" i="121"/>
  <c r="BP32" i="121" s="1"/>
  <c r="BY32" i="121" s="1"/>
  <c r="I21" i="128"/>
  <c r="J21" i="128" s="1"/>
  <c r="F20" i="128"/>
  <c r="I20" i="128" s="1"/>
  <c r="J20" i="128" s="1"/>
  <c r="H36" i="127"/>
  <c r="K37" i="127"/>
  <c r="GJ78" i="121"/>
  <c r="AE64" i="125"/>
  <c r="EV29" i="121"/>
  <c r="EW35" i="121"/>
  <c r="EJ78" i="121"/>
  <c r="X64" i="125"/>
  <c r="FX30" i="121"/>
  <c r="G12" i="124"/>
  <c r="K29" i="121"/>
  <c r="L35" i="121"/>
  <c r="AM33" i="121"/>
  <c r="CC33" i="121"/>
  <c r="CB30" i="121"/>
  <c r="AL30" i="121"/>
  <c r="AD29" i="121"/>
  <c r="FO39" i="121" l="1"/>
  <c r="FX39" i="121" s="1"/>
  <c r="T22" i="128"/>
  <c r="AD39" i="121"/>
  <c r="AM39" i="121" s="1"/>
  <c r="AC29" i="121"/>
  <c r="AL29" i="121" s="1"/>
  <c r="DP39" i="121"/>
  <c r="DY39" i="121" s="1"/>
  <c r="DO39" i="121"/>
  <c r="DX39" i="121" s="1"/>
  <c r="DO29" i="121"/>
  <c r="DO38" i="121" s="1"/>
  <c r="DX38" i="121" s="1"/>
  <c r="AM29" i="121"/>
  <c r="C24" i="127"/>
  <c r="AD38" i="121"/>
  <c r="AM38" i="121" s="1"/>
  <c r="CC29" i="121"/>
  <c r="B82" i="121"/>
  <c r="C83" i="121"/>
  <c r="H24" i="127"/>
  <c r="FX29" i="121"/>
  <c r="FO38" i="121"/>
  <c r="FX38" i="121" s="1"/>
  <c r="D24" i="127"/>
  <c r="BZ29" i="121"/>
  <c r="BQ38" i="121"/>
  <c r="BZ38" i="121" s="1"/>
  <c r="O21" i="128"/>
  <c r="GM32" i="121"/>
  <c r="GI78" i="121"/>
  <c r="AD64" i="125"/>
  <c r="FF36" i="121"/>
  <c r="FE35" i="121"/>
  <c r="FE36" i="121" s="1"/>
  <c r="FF82" i="121"/>
  <c r="H35" i="127"/>
  <c r="K35" i="127" s="1"/>
  <c r="K36" i="127"/>
  <c r="EA34" i="121"/>
  <c r="CK34" i="121"/>
  <c r="B36" i="121"/>
  <c r="AL33" i="121"/>
  <c r="CB33" i="121"/>
  <c r="FN29" i="121"/>
  <c r="CW35" i="121"/>
  <c r="CW36" i="121" s="1"/>
  <c r="CX36" i="121"/>
  <c r="CX82" i="121"/>
  <c r="GM29" i="121"/>
  <c r="DP35" i="121"/>
  <c r="CB32" i="121"/>
  <c r="CB39" i="121" s="1"/>
  <c r="CK39" i="121" s="1"/>
  <c r="AL32" i="121"/>
  <c r="CL33" i="121"/>
  <c r="EB33" i="121"/>
  <c r="L36" i="121"/>
  <c r="K35" i="121"/>
  <c r="K36" i="121" s="1"/>
  <c r="L82" i="121"/>
  <c r="CC32" i="121"/>
  <c r="CC39" i="121" s="1"/>
  <c r="BQ39" i="121"/>
  <c r="BZ39" i="121" s="1"/>
  <c r="AO35" i="121"/>
  <c r="AP36" i="121"/>
  <c r="BQ35" i="121"/>
  <c r="AP82" i="121"/>
  <c r="BP39" i="121"/>
  <c r="BY39" i="121" s="1"/>
  <c r="F24" i="127"/>
  <c r="DY29" i="121"/>
  <c r="DP38" i="121"/>
  <c r="DY38" i="121" s="1"/>
  <c r="EB34" i="121"/>
  <c r="CL34" i="121"/>
  <c r="CL30" i="121"/>
  <c r="EB30" i="121"/>
  <c r="CN82" i="121"/>
  <c r="CO83" i="121"/>
  <c r="FN39" i="121"/>
  <c r="FW39" i="121" s="1"/>
  <c r="EA30" i="121"/>
  <c r="CK30" i="121"/>
  <c r="EW36" i="121"/>
  <c r="EV35" i="121"/>
  <c r="EV36" i="121" s="1"/>
  <c r="EW82" i="121"/>
  <c r="AD35" i="121"/>
  <c r="DF35" i="121"/>
  <c r="DF36" i="121" s="1"/>
  <c r="DG36" i="121"/>
  <c r="DG82" i="121"/>
  <c r="FO35" i="121"/>
  <c r="EN36" i="121"/>
  <c r="EM35" i="121"/>
  <c r="EN82" i="121"/>
  <c r="BP29" i="121"/>
  <c r="AY36" i="121"/>
  <c r="AX35" i="121"/>
  <c r="AX36" i="121" s="1"/>
  <c r="AY82" i="121"/>
  <c r="U36" i="121"/>
  <c r="T35" i="121"/>
  <c r="T36" i="121" s="1"/>
  <c r="U82" i="121"/>
  <c r="O20" i="128"/>
  <c r="BH36" i="121"/>
  <c r="BG35" i="121"/>
  <c r="BG36" i="121" s="1"/>
  <c r="BH82" i="121"/>
  <c r="CN36" i="121"/>
  <c r="S21" i="128"/>
  <c r="P20" i="128"/>
  <c r="S20" i="128" s="1"/>
  <c r="AC38" i="121" l="1"/>
  <c r="AL38" i="121" s="1"/>
  <c r="CB29" i="121"/>
  <c r="EA29" i="121" s="1"/>
  <c r="T21" i="128"/>
  <c r="DX29" i="121"/>
  <c r="DO35" i="121"/>
  <c r="DO36" i="121" s="1"/>
  <c r="DX36" i="121" s="1"/>
  <c r="CB38" i="121"/>
  <c r="CK38" i="121" s="1"/>
  <c r="AX82" i="121"/>
  <c r="AY83" i="121"/>
  <c r="EM82" i="121"/>
  <c r="FO82" i="121"/>
  <c r="EN83" i="121"/>
  <c r="DG83" i="121"/>
  <c r="DF82" i="121"/>
  <c r="EV82" i="121"/>
  <c r="EW83" i="121"/>
  <c r="DP82" i="121"/>
  <c r="BQ36" i="121"/>
  <c r="BZ36" i="121" s="1"/>
  <c r="BZ35" i="121"/>
  <c r="D23" i="127"/>
  <c r="D22" i="127" s="1"/>
  <c r="EB32" i="121"/>
  <c r="EB39" i="121" s="1"/>
  <c r="EK39" i="121" s="1"/>
  <c r="CL32" i="121"/>
  <c r="GA33" i="121"/>
  <c r="GJ33" i="121" s="1"/>
  <c r="EK33" i="121"/>
  <c r="F23" i="127"/>
  <c r="DP36" i="121"/>
  <c r="DY36" i="121" s="1"/>
  <c r="DY35" i="121"/>
  <c r="EJ34" i="121"/>
  <c r="FZ34" i="121"/>
  <c r="GI34" i="121" s="1"/>
  <c r="C84" i="121"/>
  <c r="B83" i="121"/>
  <c r="T20" i="128"/>
  <c r="BG82" i="121"/>
  <c r="BH83" i="121"/>
  <c r="T82" i="121"/>
  <c r="U83" i="121"/>
  <c r="EM36" i="121"/>
  <c r="FN35" i="121"/>
  <c r="FZ30" i="121"/>
  <c r="EJ30" i="121"/>
  <c r="K82" i="121"/>
  <c r="L83" i="121"/>
  <c r="FN38" i="121"/>
  <c r="FW38" i="121" s="1"/>
  <c r="FW29" i="121"/>
  <c r="GM35" i="121"/>
  <c r="GM36" i="121" s="1"/>
  <c r="AD82" i="121"/>
  <c r="K24" i="127"/>
  <c r="CL39" i="121"/>
  <c r="D5" i="124"/>
  <c r="EK34" i="121"/>
  <c r="GA34" i="121"/>
  <c r="GJ34" i="121" s="1"/>
  <c r="BP35" i="121"/>
  <c r="AO36" i="121"/>
  <c r="CW82" i="121"/>
  <c r="CX83" i="121"/>
  <c r="CK33" i="121"/>
  <c r="EA33" i="121"/>
  <c r="AC35" i="121"/>
  <c r="BY29" i="121"/>
  <c r="BP38" i="121"/>
  <c r="BY38" i="121" s="1"/>
  <c r="FO36" i="121"/>
  <c r="FX36" i="121" s="1"/>
  <c r="FX35" i="121"/>
  <c r="H23" i="127"/>
  <c r="H22" i="127" s="1"/>
  <c r="C23" i="127"/>
  <c r="CC35" i="121"/>
  <c r="AM35" i="121"/>
  <c r="AD36" i="121"/>
  <c r="AM36" i="121" s="1"/>
  <c r="CN83" i="121"/>
  <c r="CO84" i="121"/>
  <c r="EK30" i="121"/>
  <c r="GA30" i="121"/>
  <c r="AO82" i="121"/>
  <c r="BQ82" i="121"/>
  <c r="AP83" i="121"/>
  <c r="EA32" i="121"/>
  <c r="CK32" i="121"/>
  <c r="FE82" i="121"/>
  <c r="FF83" i="121"/>
  <c r="E24" i="127"/>
  <c r="EB29" i="121"/>
  <c r="CL29" i="121"/>
  <c r="CC38" i="121"/>
  <c r="CL38" i="121" s="1"/>
  <c r="CK29" i="121" l="1"/>
  <c r="DX35" i="121"/>
  <c r="BP82" i="121"/>
  <c r="O68" i="125" s="1"/>
  <c r="FN82" i="121"/>
  <c r="AA68" i="125" s="1"/>
  <c r="AD83" i="121"/>
  <c r="M69" i="125" s="1"/>
  <c r="FZ32" i="121"/>
  <c r="GI32" i="121" s="1"/>
  <c r="EJ32" i="121"/>
  <c r="E23" i="127"/>
  <c r="E22" i="127" s="1"/>
  <c r="CL35" i="121"/>
  <c r="CC36" i="121"/>
  <c r="CL36" i="121" s="1"/>
  <c r="EB35" i="121"/>
  <c r="FE83" i="121"/>
  <c r="FE84" i="121" s="1"/>
  <c r="FF84" i="121"/>
  <c r="AO83" i="121"/>
  <c r="AP84" i="121"/>
  <c r="BQ83" i="121"/>
  <c r="GJ30" i="121"/>
  <c r="CN84" i="121"/>
  <c r="K23" i="127"/>
  <c r="C22" i="127"/>
  <c r="B10" i="128"/>
  <c r="BP36" i="121"/>
  <c r="BY36" i="121" s="1"/>
  <c r="BY35" i="121"/>
  <c r="EA39" i="121"/>
  <c r="EJ39" i="121" s="1"/>
  <c r="D21" i="127"/>
  <c r="D48" i="127"/>
  <c r="D47" i="127" s="1"/>
  <c r="D58" i="127" s="1"/>
  <c r="D59" i="127" s="1"/>
  <c r="EW84" i="121"/>
  <c r="EV83" i="121"/>
  <c r="EV84" i="121" s="1"/>
  <c r="EN84" i="121"/>
  <c r="EM83" i="121"/>
  <c r="FO83" i="121"/>
  <c r="BZ82" i="121"/>
  <c r="P68" i="125"/>
  <c r="CW83" i="121"/>
  <c r="CW84" i="121" s="1"/>
  <c r="CX84" i="121"/>
  <c r="U84" i="121"/>
  <c r="T83" i="121"/>
  <c r="T84" i="121" s="1"/>
  <c r="B84" i="121"/>
  <c r="FX82" i="121"/>
  <c r="AB68" i="125"/>
  <c r="H21" i="127"/>
  <c r="H48" i="127"/>
  <c r="H47" i="127" s="1"/>
  <c r="H58" i="127" s="1"/>
  <c r="H59" i="127" s="1"/>
  <c r="G24" i="127"/>
  <c r="EB38" i="121"/>
  <c r="EK38" i="121" s="1"/>
  <c r="GA29" i="121"/>
  <c r="EK29" i="121"/>
  <c r="BY82" i="121"/>
  <c r="DP83" i="121"/>
  <c r="AL35" i="121"/>
  <c r="AC36" i="121"/>
  <c r="AL36" i="121" s="1"/>
  <c r="CB35" i="121"/>
  <c r="AM82" i="121"/>
  <c r="CC82" i="121"/>
  <c r="M68" i="125"/>
  <c r="L84" i="121"/>
  <c r="K83" i="121"/>
  <c r="K84" i="121" s="1"/>
  <c r="GI30" i="121"/>
  <c r="AC82" i="121"/>
  <c r="DO82" i="121"/>
  <c r="FZ29" i="121"/>
  <c r="EA38" i="121"/>
  <c r="EJ38" i="121" s="1"/>
  <c r="EJ29" i="121"/>
  <c r="FZ33" i="121"/>
  <c r="GI33" i="121" s="1"/>
  <c r="EJ33" i="121"/>
  <c r="D6" i="124"/>
  <c r="E5" i="124"/>
  <c r="D7" i="124"/>
  <c r="F5" i="124"/>
  <c r="D8" i="124"/>
  <c r="D9" i="124"/>
  <c r="D10" i="124"/>
  <c r="FN36" i="121"/>
  <c r="FW36" i="121" s="1"/>
  <c r="FW35" i="121"/>
  <c r="BG83" i="121"/>
  <c r="BG84" i="121" s="1"/>
  <c r="BH84" i="121"/>
  <c r="F22" i="127"/>
  <c r="K10" i="128"/>
  <c r="GA32" i="121"/>
  <c r="GJ32" i="121" s="1"/>
  <c r="EK32" i="121"/>
  <c r="DY82" i="121"/>
  <c r="V68" i="125"/>
  <c r="DF83" i="121"/>
  <c r="DF84" i="121" s="1"/>
  <c r="DG84" i="121"/>
  <c r="AY84" i="121"/>
  <c r="AX83" i="121"/>
  <c r="AX84" i="121" s="1"/>
  <c r="FW82" i="121" l="1"/>
  <c r="AM83" i="121"/>
  <c r="AD84" i="121"/>
  <c r="M70" i="125" s="1"/>
  <c r="FZ39" i="121"/>
  <c r="GI39" i="121" s="1"/>
  <c r="F10" i="124"/>
  <c r="E10" i="124"/>
  <c r="DX82" i="121"/>
  <c r="U68" i="125"/>
  <c r="DY83" i="121"/>
  <c r="DP84" i="121"/>
  <c r="V69" i="125"/>
  <c r="I24" i="127"/>
  <c r="GJ29" i="121"/>
  <c r="GA38" i="121"/>
  <c r="GJ38" i="121" s="1"/>
  <c r="K22" i="127"/>
  <c r="C21" i="127"/>
  <c r="C48" i="127"/>
  <c r="GA39" i="121"/>
  <c r="GJ39" i="121" s="1"/>
  <c r="BP83" i="121"/>
  <c r="AO84" i="121"/>
  <c r="E7" i="124"/>
  <c r="F7" i="124"/>
  <c r="F9" i="124"/>
  <c r="E9" i="124"/>
  <c r="AL82" i="121"/>
  <c r="CB82" i="121"/>
  <c r="L68" i="125"/>
  <c r="EA35" i="121"/>
  <c r="CB36" i="121"/>
  <c r="CK36" i="121" s="1"/>
  <c r="CK35" i="121"/>
  <c r="AC83" i="121"/>
  <c r="FO84" i="121"/>
  <c r="FX83" i="121"/>
  <c r="AB69" i="125"/>
  <c r="F6" i="124"/>
  <c r="E6" i="124"/>
  <c r="EM84" i="121"/>
  <c r="FN83" i="121"/>
  <c r="D61" i="127"/>
  <c r="D64" i="127" s="1"/>
  <c r="D60" i="127"/>
  <c r="CC83" i="121"/>
  <c r="BZ83" i="121"/>
  <c r="BQ84" i="121"/>
  <c r="P69" i="125"/>
  <c r="E21" i="127"/>
  <c r="E48" i="127"/>
  <c r="E47" i="127" s="1"/>
  <c r="E58" i="127" s="1"/>
  <c r="E59" i="127" s="1"/>
  <c r="L10" i="128"/>
  <c r="L9" i="128" s="1"/>
  <c r="R10" i="128"/>
  <c r="R9" i="128" s="1"/>
  <c r="P10" i="128"/>
  <c r="K9" i="128"/>
  <c r="M10" i="128"/>
  <c r="M9" i="128" s="1"/>
  <c r="Q10" i="128"/>
  <c r="Q9" i="128" s="1"/>
  <c r="E8" i="124"/>
  <c r="F8" i="124"/>
  <c r="F21" i="127"/>
  <c r="F48" i="127"/>
  <c r="F47" i="127" s="1"/>
  <c r="F58" i="127" s="1"/>
  <c r="F59" i="127" s="1"/>
  <c r="G5" i="124"/>
  <c r="FZ38" i="121"/>
  <c r="GI38" i="121" s="1"/>
  <c r="GI29" i="121"/>
  <c r="CL82" i="121"/>
  <c r="EB82" i="121"/>
  <c r="S68" i="125"/>
  <c r="H61" i="127"/>
  <c r="H64" i="127" s="1"/>
  <c r="H60" i="127"/>
  <c r="G10" i="128"/>
  <c r="G9" i="128" s="1"/>
  <c r="F10" i="128"/>
  <c r="B9" i="128"/>
  <c r="D10" i="128"/>
  <c r="D9" i="128" s="1"/>
  <c r="H10" i="128"/>
  <c r="H9" i="128" s="1"/>
  <c r="C10" i="128"/>
  <c r="C9" i="128" s="1"/>
  <c r="DO83" i="121"/>
  <c r="G23" i="127"/>
  <c r="G22" i="127" s="1"/>
  <c r="GA35" i="121"/>
  <c r="EB36" i="121"/>
  <c r="EK36" i="121" s="1"/>
  <c r="EK35" i="121"/>
  <c r="AM84" i="121"/>
  <c r="F17" i="124" l="1"/>
  <c r="D17" i="124" s="1"/>
  <c r="G9" i="124"/>
  <c r="E17" i="124"/>
  <c r="N10" i="128"/>
  <c r="G10" i="124"/>
  <c r="C33" i="128"/>
  <c r="C32" i="128" s="1"/>
  <c r="C43" i="128" s="1"/>
  <c r="C44" i="128" s="1"/>
  <c r="C8" i="128"/>
  <c r="G21" i="127"/>
  <c r="G48" i="127"/>
  <c r="G47" i="127" s="1"/>
  <c r="G58" i="127" s="1"/>
  <c r="G59" i="127" s="1"/>
  <c r="H33" i="128"/>
  <c r="H32" i="128" s="1"/>
  <c r="H43" i="128" s="1"/>
  <c r="H44" i="128" s="1"/>
  <c r="H8" i="128"/>
  <c r="G33" i="128"/>
  <c r="G32" i="128" s="1"/>
  <c r="G43" i="128" s="1"/>
  <c r="G44" i="128" s="1"/>
  <c r="G8" i="128"/>
  <c r="EK82" i="121"/>
  <c r="GA82" i="121"/>
  <c r="Y68" i="125"/>
  <c r="G8" i="124"/>
  <c r="M33" i="128"/>
  <c r="M32" i="128" s="1"/>
  <c r="M43" i="128" s="1"/>
  <c r="M44" i="128" s="1"/>
  <c r="M8" i="128"/>
  <c r="L33" i="128"/>
  <c r="L32" i="128" s="1"/>
  <c r="L43" i="128" s="1"/>
  <c r="L44" i="128" s="1"/>
  <c r="L8" i="128"/>
  <c r="BZ84" i="121"/>
  <c r="P70" i="125"/>
  <c r="G6" i="124"/>
  <c r="AC84" i="121"/>
  <c r="CB83" i="121"/>
  <c r="AL83" i="121"/>
  <c r="L69" i="125"/>
  <c r="K21" i="127"/>
  <c r="DO84" i="121"/>
  <c r="DX83" i="121"/>
  <c r="U69" i="125"/>
  <c r="K33" i="128"/>
  <c r="N9" i="128"/>
  <c r="K8" i="128"/>
  <c r="E60" i="127"/>
  <c r="E61" i="127"/>
  <c r="E64" i="127" s="1"/>
  <c r="FN84" i="121"/>
  <c r="FW83" i="121"/>
  <c r="AA69" i="125"/>
  <c r="CK82" i="121"/>
  <c r="EA82" i="121"/>
  <c r="R68" i="125"/>
  <c r="BP84" i="121"/>
  <c r="BY83" i="121"/>
  <c r="O69" i="125"/>
  <c r="D33" i="128"/>
  <c r="D32" i="128" s="1"/>
  <c r="D43" i="128" s="1"/>
  <c r="D44" i="128" s="1"/>
  <c r="D8" i="128"/>
  <c r="E10" i="128"/>
  <c r="B33" i="128"/>
  <c r="B8" i="128"/>
  <c r="E9" i="128"/>
  <c r="F60" i="127"/>
  <c r="F61" i="127"/>
  <c r="F64" i="127" s="1"/>
  <c r="P9" i="128"/>
  <c r="S10" i="128"/>
  <c r="CC84" i="121"/>
  <c r="CL83" i="121"/>
  <c r="EB83" i="121"/>
  <c r="S69" i="125"/>
  <c r="G7" i="124"/>
  <c r="DY84" i="121"/>
  <c r="V70" i="125"/>
  <c r="GA36" i="121"/>
  <c r="GJ36" i="121" s="1"/>
  <c r="GJ35" i="121"/>
  <c r="I23" i="127"/>
  <c r="I22" i="127" s="1"/>
  <c r="I10" i="128"/>
  <c r="F9" i="128"/>
  <c r="Q33" i="128"/>
  <c r="Q32" i="128" s="1"/>
  <c r="Q43" i="128" s="1"/>
  <c r="Q44" i="128" s="1"/>
  <c r="Q8" i="128"/>
  <c r="R8" i="128"/>
  <c r="R33" i="128"/>
  <c r="R32" i="128" s="1"/>
  <c r="R43" i="128" s="1"/>
  <c r="R44" i="128" s="1"/>
  <c r="FX84" i="121"/>
  <c r="AB70" i="125"/>
  <c r="EJ35" i="121"/>
  <c r="EA36" i="121"/>
  <c r="EJ36" i="121" s="1"/>
  <c r="FZ35" i="121"/>
  <c r="K48" i="127"/>
  <c r="C47" i="127"/>
  <c r="G17" i="124" l="1"/>
  <c r="N8" i="128"/>
  <c r="R46" i="128"/>
  <c r="R45" i="128"/>
  <c r="F8" i="128"/>
  <c r="I8" i="128" s="1"/>
  <c r="F33" i="128"/>
  <c r="I9" i="128"/>
  <c r="J9" i="128" s="1"/>
  <c r="O9" i="128" s="1"/>
  <c r="E8" i="128"/>
  <c r="BY84" i="121"/>
  <c r="O70" i="125"/>
  <c r="AL84" i="121"/>
  <c r="L70" i="125"/>
  <c r="G61" i="127"/>
  <c r="G64" i="127" s="1"/>
  <c r="G60" i="127"/>
  <c r="C58" i="127"/>
  <c r="K47" i="127"/>
  <c r="GA83" i="121"/>
  <c r="EK83" i="121"/>
  <c r="EB84" i="121"/>
  <c r="Y69" i="125"/>
  <c r="S9" i="128"/>
  <c r="P33" i="128"/>
  <c r="P8" i="128"/>
  <c r="S8" i="128" s="1"/>
  <c r="D45" i="128"/>
  <c r="D46" i="128"/>
  <c r="L46" i="128"/>
  <c r="L45" i="128"/>
  <c r="G45" i="128"/>
  <c r="G46" i="128"/>
  <c r="I21" i="127"/>
  <c r="I48" i="127"/>
  <c r="I47" i="127" s="1"/>
  <c r="I58" i="127" s="1"/>
  <c r="I59" i="127" s="1"/>
  <c r="E33" i="128"/>
  <c r="B32" i="128"/>
  <c r="EJ82" i="121"/>
  <c r="FZ82" i="121"/>
  <c r="X68" i="125"/>
  <c r="FW84" i="121"/>
  <c r="AA70" i="125"/>
  <c r="GJ82" i="121"/>
  <c r="AE68" i="125"/>
  <c r="FZ36" i="121"/>
  <c r="GI36" i="121" s="1"/>
  <c r="GI35" i="121"/>
  <c r="Q46" i="128"/>
  <c r="Q45" i="128"/>
  <c r="CL84" i="121"/>
  <c r="S70" i="125"/>
  <c r="J10" i="128"/>
  <c r="O10" i="128" s="1"/>
  <c r="T10" i="128" s="1"/>
  <c r="K32" i="128"/>
  <c r="N33" i="128"/>
  <c r="DX84" i="121"/>
  <c r="U70" i="125"/>
  <c r="CK83" i="121"/>
  <c r="CB84" i="121"/>
  <c r="EA83" i="121"/>
  <c r="R69" i="125"/>
  <c r="M46" i="128"/>
  <c r="M45" i="128"/>
  <c r="H46" i="128"/>
  <c r="H45" i="128"/>
  <c r="C45" i="128"/>
  <c r="C46" i="128"/>
  <c r="K43" i="128" l="1"/>
  <c r="N32" i="128"/>
  <c r="B43" i="128"/>
  <c r="E32" i="128"/>
  <c r="S33" i="128"/>
  <c r="P32" i="128"/>
  <c r="I33" i="128"/>
  <c r="J33" i="128" s="1"/>
  <c r="O33" i="128" s="1"/>
  <c r="F32" i="128"/>
  <c r="GA84" i="121"/>
  <c r="GJ83" i="121"/>
  <c r="AE69" i="125"/>
  <c r="EA84" i="121"/>
  <c r="EJ83" i="121"/>
  <c r="FZ83" i="121"/>
  <c r="X69" i="125"/>
  <c r="GI82" i="121"/>
  <c r="AD68" i="125"/>
  <c r="I61" i="127"/>
  <c r="I64" i="127" s="1"/>
  <c r="I60" i="127"/>
  <c r="J8" i="128"/>
  <c r="O8" i="128" s="1"/>
  <c r="T8" i="128" s="1"/>
  <c r="CK84" i="121"/>
  <c r="R70" i="125"/>
  <c r="EK84" i="121"/>
  <c r="Y70" i="125"/>
  <c r="C59" i="127"/>
  <c r="K58" i="127"/>
  <c r="T9" i="128"/>
  <c r="T33" i="128" l="1"/>
  <c r="EJ84" i="121"/>
  <c r="X70" i="125"/>
  <c r="F43" i="128"/>
  <c r="I32" i="128"/>
  <c r="J32" i="128" s="1"/>
  <c r="O32" i="128" s="1"/>
  <c r="E43" i="128"/>
  <c r="B44" i="128"/>
  <c r="FZ84" i="121"/>
  <c r="GI83" i="121"/>
  <c r="AD69" i="125"/>
  <c r="P43" i="128"/>
  <c r="S32" i="128"/>
  <c r="C61" i="127"/>
  <c r="C60" i="127"/>
  <c r="K60" i="127" s="1"/>
  <c r="K59" i="127"/>
  <c r="GJ84" i="121"/>
  <c r="AE70" i="125"/>
  <c r="K44" i="128"/>
  <c r="N43" i="128"/>
  <c r="C64" i="127" l="1"/>
  <c r="K61" i="127"/>
  <c r="T32" i="128"/>
  <c r="GI84" i="121"/>
  <c r="AD70" i="125"/>
  <c r="F44" i="128"/>
  <c r="I43" i="128"/>
  <c r="J43" i="128" s="1"/>
  <c r="O43" i="128" s="1"/>
  <c r="P44" i="128"/>
  <c r="S43" i="128"/>
  <c r="E44" i="128"/>
  <c r="B46" i="128"/>
  <c r="E46" i="128" s="1"/>
  <c r="B45" i="128"/>
  <c r="K45" i="128"/>
  <c r="K46" i="128"/>
  <c r="N46" i="128" s="1"/>
  <c r="N44" i="128"/>
  <c r="N45" i="128" s="1"/>
  <c r="T43" i="128" l="1"/>
  <c r="P45" i="128"/>
  <c r="P46" i="128"/>
  <c r="S46" i="128" s="1"/>
  <c r="S44" i="128"/>
  <c r="S45" i="128" s="1"/>
  <c r="F45" i="128"/>
  <c r="F46" i="128"/>
  <c r="I46" i="128" s="1"/>
  <c r="J46" i="128" s="1"/>
  <c r="O46" i="128" s="1"/>
  <c r="I44" i="128"/>
  <c r="I45" i="128" s="1"/>
  <c r="E45" i="128"/>
  <c r="J44" i="128" l="1"/>
  <c r="J45" i="128" s="1"/>
  <c r="T46" i="128"/>
  <c r="O44" i="128" l="1"/>
  <c r="O45" i="128" s="1"/>
  <c r="T44" i="128" l="1"/>
  <c r="T45" i="128" s="1"/>
  <c r="AD44" i="96"/>
  <c r="EI19" i="7" s="1"/>
  <c r="AE44" i="96"/>
  <c r="EL19" i="7" s="1"/>
  <c r="EL151" i="7" l="1"/>
  <c r="EK19" i="7"/>
  <c r="EL17" i="7"/>
  <c r="EL71" i="7" s="1"/>
  <c r="EL73" i="7" s="1"/>
  <c r="EI151" i="7"/>
  <c r="EH19" i="7"/>
  <c r="EI17" i="7"/>
  <c r="EI71" i="7" s="1"/>
  <c r="EI73" i="7" s="1"/>
  <c r="BY13" i="61" l="1"/>
  <c r="BY12" i="61" s="1"/>
  <c r="EI184" i="7"/>
  <c r="EI199" i="7" s="1"/>
  <c r="EI166" i="7"/>
  <c r="EK151" i="7"/>
  <c r="EK166" i="7" s="1"/>
  <c r="EK168" i="7" s="1"/>
  <c r="EK17" i="7"/>
  <c r="EK71" i="7" s="1"/>
  <c r="EK73" i="7" s="1"/>
  <c r="EH151" i="7"/>
  <c r="EH166" i="7" s="1"/>
  <c r="EH168" i="7" s="1"/>
  <c r="EH17" i="7"/>
  <c r="EH71" i="7" s="1"/>
  <c r="EH73" i="7" s="1"/>
  <c r="EL184" i="7"/>
  <c r="EL199" i="7" s="1"/>
  <c r="BZ13" i="61"/>
  <c r="BZ12" i="61" s="1"/>
  <c r="EL166" i="7"/>
  <c r="BZ11" i="61" l="1"/>
  <c r="BZ44" i="61" s="1"/>
  <c r="BZ47" i="61" s="1"/>
  <c r="BZ32" i="61"/>
  <c r="EI168" i="7"/>
  <c r="EI170" i="7"/>
  <c r="EL168" i="7"/>
  <c r="EL170" i="7"/>
  <c r="BY32" i="61"/>
  <c r="BY11" i="61"/>
  <c r="BY44" i="61" s="1"/>
  <c r="BY47" i="61" s="1"/>
  <c r="EI171" i="7" l="1"/>
  <c r="EI173" i="7"/>
  <c r="EI174" i="7" s="1"/>
  <c r="EH170" i="7"/>
  <c r="EL171" i="7"/>
  <c r="EK170" i="7"/>
  <c r="EL173" i="7"/>
  <c r="EH171" i="7" l="1"/>
  <c r="EH173" i="7"/>
  <c r="EH174" i="7" s="1"/>
  <c r="EL174" i="7"/>
  <c r="EL176" i="7"/>
  <c r="EL177" i="7" s="1"/>
  <c r="EK173" i="7"/>
  <c r="EK171" i="7"/>
  <c r="EK174" i="7" l="1"/>
  <c r="EK176" i="7"/>
  <c r="EK177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84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berdennikovasn</author>
  </authors>
  <commentList>
    <comment ref="Y89" authorId="0" shapeId="0" xr:uid="{00000000-0006-0000-1B00-000001000000}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</author>
  </authors>
  <commentList>
    <comment ref="T49" authorId="0" shapeId="0" xr:uid="{00000000-0006-0000-4300-000001000000}">
      <text>
        <r>
          <rPr>
            <b/>
            <sz val="9"/>
            <color indexed="81"/>
            <rFont val="Tahoma"/>
            <family val="2"/>
            <charset val="204"/>
          </rPr>
          <t>Пользователь: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<sst xmlns="http://schemas.openxmlformats.org/spreadsheetml/2006/main" count="17811" uniqueCount="4284">
  <si>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</si>
  <si>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</si>
  <si>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</si>
  <si>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</si>
  <si>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</si>
  <si>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</si>
  <si>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</si>
  <si>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</si>
  <si>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</si>
  <si>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</si>
  <si>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</si>
  <si>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</si>
  <si>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</si>
  <si>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</si>
  <si>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</si>
  <si>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</si>
  <si>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</si>
  <si>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</si>
  <si>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</si>
  <si>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</si>
  <si>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</si>
  <si>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</si>
  <si>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</si>
  <si>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</si>
  <si>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</si>
  <si>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</si>
  <si>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</si>
  <si>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</si>
  <si>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</si>
  <si>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</si>
  <si>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</si>
  <si>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</si>
  <si>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</si>
  <si>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</si>
  <si>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</si>
  <si>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</si>
  <si>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</si>
  <si>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</si>
  <si>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</si>
  <si>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</si>
  <si>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</si>
  <si>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</si>
  <si>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</si>
  <si>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</si>
  <si>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</si>
  <si>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</si>
  <si>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</si>
  <si>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</si>
  <si>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</si>
  <si>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</si>
  <si>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</si>
  <si>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</si>
  <si>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</si>
  <si>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</si>
  <si>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</si>
  <si>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</si>
  <si>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</si>
  <si>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</si>
  <si>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</si>
  <si>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</si>
  <si>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</si>
  <si>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</si>
  <si>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</si>
  <si>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</si>
  <si>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</si>
  <si>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</si>
  <si>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</si>
  <si>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</si>
  <si>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</si>
  <si>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</si>
  <si>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</si>
  <si>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</si>
  <si>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</si>
  <si>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</si>
  <si>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</si>
  <si>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</si>
  <si>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</si>
  <si>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</si>
  <si>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</si>
  <si>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</si>
  <si>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Охрана правого берега р. Лименда</t>
  </si>
  <si>
    <t>Котельная ФОС</t>
  </si>
  <si>
    <t>подъем воды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</si>
  <si>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</si>
  <si>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</si>
  <si>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</si>
  <si>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</si>
  <si>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</si>
  <si>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</si>
  <si>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</si>
  <si>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</si>
  <si>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</si>
  <si>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</si>
  <si>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</si>
  <si>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</si>
  <si>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</si>
  <si>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</si>
  <si>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</si>
  <si>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</si>
  <si>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</si>
  <si>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</si>
  <si>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</si>
  <si>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</si>
  <si>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</si>
  <si>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</si>
  <si>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</si>
  <si>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</si>
  <si>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</si>
  <si>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</si>
  <si>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</si>
  <si>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</si>
  <si>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</si>
  <si>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</si>
  <si>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</si>
  <si>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</si>
  <si>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</si>
  <si>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</si>
  <si>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</si>
  <si>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</si>
  <si>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</si>
  <si>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</si>
  <si>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</si>
  <si>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</si>
  <si>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</si>
  <si>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</si>
  <si>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</si>
  <si>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</si>
  <si>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</si>
  <si>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</si>
  <si>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</si>
  <si>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</si>
  <si>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</si>
  <si>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</si>
  <si>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</si>
  <si>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</si>
  <si>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</si>
  <si>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</si>
  <si>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</si>
  <si>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</si>
  <si>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</si>
  <si>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</si>
  <si>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</si>
  <si>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</si>
  <si>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</si>
  <si>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</si>
  <si>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</si>
  <si>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</si>
  <si>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</si>
  <si>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</si>
  <si>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</si>
  <si>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</si>
  <si>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</si>
  <si>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</si>
  <si>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</si>
  <si>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</si>
  <si>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</si>
  <si>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</si>
  <si>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</si>
  <si>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</si>
  <si>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</si>
  <si>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</si>
  <si>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</si>
  <si>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</si>
  <si>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</si>
  <si>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</si>
  <si>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</si>
  <si>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</si>
  <si>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</si>
  <si>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</si>
  <si>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</si>
  <si>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</si>
  <si>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</si>
  <si>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</si>
  <si>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</si>
  <si>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</si>
  <si>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</si>
  <si>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</si>
  <si>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</si>
  <si>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</si>
  <si>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</si>
  <si>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</si>
  <si>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</si>
  <si>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</si>
  <si>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</si>
  <si>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</si>
  <si>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</si>
  <si>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</si>
  <si>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</si>
  <si>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</si>
  <si>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</si>
  <si>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</si>
  <si>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</si>
  <si>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</si>
  <si>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</si>
  <si>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</si>
  <si>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</si>
  <si>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</si>
  <si>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</si>
  <si>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</si>
  <si>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</si>
  <si>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</si>
  <si>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</si>
  <si>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</si>
  <si>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</si>
  <si>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</si>
  <si>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</si>
  <si>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</si>
  <si>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</si>
  <si>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</si>
  <si>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</si>
  <si>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</si>
  <si>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</si>
  <si>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</si>
  <si>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</si>
  <si>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</si>
  <si>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</si>
  <si>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</si>
  <si>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</si>
  <si>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</si>
  <si>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</si>
  <si>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</si>
  <si>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</si>
  <si>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</si>
  <si>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</si>
  <si>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</si>
  <si>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</si>
  <si>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</si>
  <si>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</si>
  <si>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</si>
  <si>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</si>
  <si>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</si>
  <si>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</si>
  <si>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</si>
  <si>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</si>
  <si>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</si>
  <si>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</si>
  <si>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</si>
  <si>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</si>
  <si>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</si>
  <si>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</si>
  <si>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</si>
  <si>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</si>
  <si>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</si>
  <si>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</si>
  <si>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</si>
  <si>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</si>
  <si>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</si>
  <si>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</si>
  <si>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</si>
  <si>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</si>
  <si>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</si>
  <si>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</si>
  <si>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</si>
  <si>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</si>
  <si>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</si>
  <si>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</si>
  <si>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</si>
  <si>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</si>
  <si>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</si>
  <si>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</si>
  <si>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</si>
  <si>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</si>
  <si>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</si>
  <si>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</si>
  <si>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</si>
  <si>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</si>
  <si>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</si>
  <si>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</si>
  <si>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</si>
  <si>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</si>
  <si>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</si>
  <si>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</si>
  <si>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</si>
  <si>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</si>
  <si>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</si>
  <si>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</si>
  <si>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</si>
  <si>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</si>
  <si>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</si>
  <si>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</si>
  <si>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</si>
  <si>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</si>
  <si>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</si>
  <si>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</si>
  <si>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</si>
  <si>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</si>
  <si>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</si>
  <si>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</si>
  <si>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</si>
  <si>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</si>
  <si>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</si>
  <si>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</si>
  <si>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</si>
  <si>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</si>
  <si>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</si>
  <si>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</si>
  <si>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</si>
  <si>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</si>
  <si>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</si>
  <si>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</si>
  <si>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</si>
  <si>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</si>
  <si>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</si>
  <si>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</si>
  <si>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</si>
  <si>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</si>
  <si>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</si>
  <si>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</si>
  <si>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</si>
  <si>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</si>
  <si>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</si>
  <si>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</si>
  <si>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</si>
  <si>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</si>
  <si>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</si>
  <si>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</si>
  <si>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</si>
  <si>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</si>
  <si>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</si>
  <si>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</si>
  <si>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</si>
  <si>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</si>
  <si>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</si>
  <si>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</si>
  <si>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</si>
  <si>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</si>
  <si>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</si>
  <si>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</si>
  <si>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</si>
  <si>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</si>
  <si>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</si>
  <si>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</si>
  <si>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</si>
  <si>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</si>
  <si>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</si>
  <si>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</si>
  <si>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</si>
  <si>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</si>
  <si>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</si>
  <si>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</si>
  <si>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</si>
  <si>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</si>
  <si>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</si>
  <si>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</si>
  <si>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</si>
  <si>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</si>
  <si>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</si>
  <si>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</si>
  <si>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</si>
  <si>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</si>
  <si>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</si>
  <si>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</si>
  <si>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</si>
  <si>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</si>
  <si>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</si>
  <si>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</si>
  <si>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</si>
  <si>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</si>
  <si>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</si>
  <si>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</si>
  <si>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</si>
  <si>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</si>
  <si>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</si>
  <si>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</si>
  <si>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</si>
  <si>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</si>
  <si>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</si>
  <si>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</si>
  <si>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</si>
  <si>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</si>
  <si>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</si>
  <si>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</si>
  <si>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</si>
  <si>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</si>
  <si>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</si>
  <si>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</si>
  <si>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</si>
  <si>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</si>
  <si>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</si>
  <si>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</si>
  <si>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</si>
  <si>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</si>
  <si>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</si>
  <si>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</si>
  <si>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</si>
  <si>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</si>
  <si>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</si>
  <si>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</si>
  <si>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</si>
  <si>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</si>
  <si>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</si>
  <si>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</si>
  <si>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</si>
  <si>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</si>
  <si>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</si>
  <si>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</si>
  <si>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</si>
  <si>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</si>
  <si>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</si>
  <si>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</si>
  <si>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</si>
  <si>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</si>
  <si>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</si>
  <si>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</si>
  <si>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</si>
  <si>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</si>
  <si>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</si>
  <si>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</si>
  <si>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</si>
  <si>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</si>
  <si>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</si>
  <si>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</si>
  <si>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</si>
  <si>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</si>
  <si>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</si>
  <si>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</si>
  <si>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</si>
  <si>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</si>
  <si>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</si>
  <si>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</si>
  <si>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</si>
  <si>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</si>
  <si>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</si>
  <si>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</si>
  <si>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</si>
  <si>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</si>
  <si>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</si>
  <si>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</si>
  <si>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</si>
  <si>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</si>
  <si>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</si>
  <si>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</si>
  <si>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</si>
  <si>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</si>
  <si>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</si>
  <si>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</si>
  <si>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</si>
  <si>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</si>
  <si>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</si>
  <si>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</si>
  <si>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</si>
  <si>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</si>
  <si>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</si>
  <si>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</si>
  <si>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</si>
  <si>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</si>
  <si>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</si>
  <si>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</si>
  <si>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</si>
  <si>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</si>
  <si>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</si>
  <si>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</si>
  <si>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</si>
  <si>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</si>
  <si>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</si>
  <si>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</si>
  <si>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</si>
  <si>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</si>
  <si>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</si>
  <si>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</si>
  <si>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</si>
  <si>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</si>
  <si>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</si>
  <si>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</si>
  <si>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</si>
  <si>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</si>
  <si>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</si>
  <si>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</si>
  <si>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</si>
  <si>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</si>
  <si>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</si>
  <si>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</si>
  <si>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</si>
  <si>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</si>
  <si>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</si>
  <si>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</si>
  <si>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</si>
  <si>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</si>
  <si>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</si>
  <si>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</si>
  <si>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</si>
  <si>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</si>
  <si>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</si>
  <si>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</si>
  <si>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</si>
  <si>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</si>
  <si>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</si>
  <si>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</si>
  <si>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</si>
  <si>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</si>
  <si>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</si>
  <si>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</si>
  <si>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</si>
  <si>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</si>
  <si>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</si>
  <si>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</si>
  <si>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</si>
  <si>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</si>
  <si>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</si>
  <si>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</si>
  <si>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</si>
  <si>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</si>
  <si>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</si>
  <si>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</si>
  <si>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</si>
  <si>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</si>
  <si>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</si>
  <si>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</si>
  <si>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</si>
  <si>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</si>
  <si>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</si>
  <si>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</si>
  <si>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</si>
  <si>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</si>
  <si>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</si>
  <si>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</si>
  <si>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</si>
  <si>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</si>
  <si>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</si>
  <si>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</si>
  <si>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</si>
  <si>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</si>
  <si>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</si>
  <si>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</si>
  <si>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</si>
  <si>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</si>
  <si>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</si>
  <si>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</si>
  <si>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</si>
  <si>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</si>
  <si>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</si>
  <si>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</si>
  <si>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</si>
  <si>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</si>
  <si>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</si>
  <si>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</si>
  <si>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</si>
  <si>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</si>
  <si>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</si>
  <si>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</si>
  <si>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</si>
  <si>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</si>
  <si>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</si>
  <si>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</si>
  <si>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</si>
  <si>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</si>
  <si>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</si>
  <si>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</si>
  <si>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</si>
  <si>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</si>
  <si>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</si>
  <si>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</si>
  <si>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</si>
  <si>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</si>
  <si>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</si>
  <si>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</si>
  <si>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</si>
  <si>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</si>
  <si>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</si>
  <si>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</si>
  <si>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</si>
  <si>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</si>
  <si>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</si>
  <si>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</si>
  <si>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</si>
  <si>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</si>
  <si>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</si>
  <si>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</si>
  <si>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</si>
  <si>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</si>
  <si>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</si>
  <si>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</si>
  <si>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</si>
  <si>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</si>
  <si>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</si>
  <si>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</si>
  <si>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</si>
  <si>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</si>
  <si>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</si>
  <si>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</si>
  <si>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</si>
  <si>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</si>
  <si>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</si>
  <si>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</si>
  <si>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</si>
  <si>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</si>
  <si>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</si>
  <si>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</si>
  <si>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</si>
  <si>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</si>
  <si>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</si>
  <si>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</si>
  <si>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</si>
  <si>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</si>
  <si>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</si>
  <si>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</si>
  <si>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</si>
  <si>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</si>
  <si>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</si>
  <si>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</si>
  <si>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</si>
  <si>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</si>
  <si>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</si>
  <si>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</si>
  <si>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</si>
  <si>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</si>
  <si>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</si>
  <si>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</si>
  <si>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</si>
  <si>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</si>
  <si>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</si>
  <si>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</si>
  <si>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</si>
  <si>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</si>
  <si>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</si>
  <si>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</si>
  <si>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</si>
  <si>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</si>
  <si>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</si>
  <si>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</si>
  <si>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</si>
  <si>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</si>
  <si>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</si>
  <si>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</si>
  <si>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</si>
  <si>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</si>
  <si>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</si>
  <si>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</si>
  <si>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</si>
  <si>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</si>
  <si>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</si>
  <si>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</si>
  <si>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</si>
  <si>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</si>
  <si>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</si>
  <si>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</si>
  <si>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</si>
  <si>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</si>
  <si>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</si>
  <si>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</si>
  <si>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</si>
  <si>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</si>
  <si>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</si>
  <si>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</si>
  <si>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</si>
  <si>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</si>
  <si>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</si>
  <si>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</si>
  <si>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</si>
  <si>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</si>
  <si>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</si>
  <si>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</si>
  <si>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</si>
  <si>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</si>
  <si>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</si>
  <si>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</si>
  <si>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</si>
  <si>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</si>
  <si>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</si>
  <si>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</si>
  <si>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</si>
  <si>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</si>
  <si>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</si>
  <si>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</si>
  <si>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</si>
  <si>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</si>
  <si>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</si>
  <si>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</si>
  <si>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</si>
  <si>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</si>
  <si>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</si>
  <si>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</si>
  <si>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</si>
  <si>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</si>
  <si>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</si>
  <si>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</si>
  <si>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</si>
  <si>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</si>
  <si>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</si>
  <si>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</si>
  <si>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</si>
  <si>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</si>
  <si>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</si>
  <si>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</si>
  <si>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</si>
  <si>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</si>
  <si>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</si>
  <si>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</si>
  <si>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</si>
  <si>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</si>
  <si>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</si>
  <si>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</si>
  <si>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</si>
  <si>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</si>
  <si>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</si>
  <si>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</si>
  <si>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</si>
  <si>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</si>
  <si>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</si>
  <si>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</si>
  <si>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</si>
  <si>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</si>
  <si>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</si>
  <si>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</si>
  <si>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</si>
  <si>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</si>
  <si>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</si>
  <si>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</si>
  <si>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</si>
  <si>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</si>
  <si>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</si>
  <si>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</si>
  <si>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</si>
  <si>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</si>
  <si>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</si>
  <si>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</si>
  <si>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</si>
  <si>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</si>
  <si>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</si>
  <si>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</si>
  <si>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</si>
  <si>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</si>
  <si>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</si>
  <si>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</si>
  <si>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</si>
  <si>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</si>
  <si>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</si>
  <si>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</si>
  <si>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</si>
  <si>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</si>
  <si>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</si>
  <si>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</si>
  <si>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</si>
  <si>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</si>
  <si>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</si>
  <si>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</si>
  <si>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</si>
  <si>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</si>
  <si>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</si>
  <si>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</si>
  <si>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</si>
  <si>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</si>
  <si>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</si>
  <si>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</si>
  <si>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</si>
  <si>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</si>
  <si>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</si>
  <si>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</si>
  <si>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</si>
  <si>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</si>
  <si>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</si>
  <si>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</si>
  <si>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</si>
  <si>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</si>
  <si>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</si>
  <si>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</si>
  <si>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</si>
  <si>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</si>
  <si>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</si>
  <si>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</si>
  <si>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</si>
  <si>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</si>
  <si>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</si>
  <si>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</si>
  <si>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</si>
  <si>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</si>
  <si>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</si>
  <si>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</si>
  <si>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</si>
  <si>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</si>
  <si>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</si>
  <si>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</si>
  <si>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</si>
  <si>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</si>
  <si>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</si>
  <si>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</si>
  <si>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</si>
  <si>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</si>
  <si>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</si>
  <si>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</si>
  <si>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</si>
  <si>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</si>
  <si>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</si>
  <si>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</si>
  <si>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</si>
  <si>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</si>
  <si>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</si>
  <si>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</si>
  <si>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</si>
  <si>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</si>
  <si>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</si>
  <si>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</si>
  <si>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</si>
  <si>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</si>
  <si>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</si>
  <si>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</si>
  <si>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</si>
  <si>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</si>
  <si>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</si>
  <si>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</si>
  <si>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</si>
  <si>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</si>
  <si>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</si>
  <si>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</si>
  <si>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</si>
  <si>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</si>
  <si>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</si>
  <si>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</si>
  <si>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</si>
  <si>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</si>
  <si>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</si>
  <si>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</si>
  <si>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</si>
  <si>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</si>
  <si>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</si>
  <si>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</si>
  <si>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</si>
  <si>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</si>
  <si>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</si>
  <si>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</si>
  <si>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</si>
  <si>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</si>
  <si>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</si>
  <si>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</si>
  <si>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</si>
  <si>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</si>
  <si>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</si>
  <si>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</si>
  <si>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</si>
  <si>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</si>
  <si>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</si>
  <si>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</si>
  <si>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</si>
  <si>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</si>
  <si>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</si>
  <si>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</si>
  <si>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</si>
  <si>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</si>
  <si>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</si>
  <si>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</si>
  <si>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</si>
  <si>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</si>
  <si>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</si>
  <si>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</si>
  <si>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</si>
  <si>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</si>
  <si>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</si>
  <si>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</si>
  <si>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</si>
  <si>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</si>
  <si>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</si>
  <si>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</si>
  <si>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</si>
  <si>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</si>
  <si>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</si>
  <si>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</si>
  <si>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</si>
  <si>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</si>
  <si>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</si>
  <si>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</si>
  <si>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</si>
  <si>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</si>
  <si>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</si>
  <si>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</si>
  <si>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</si>
  <si>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</si>
  <si>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</si>
  <si>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</si>
  <si>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</si>
  <si>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</si>
  <si>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</si>
  <si>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</si>
  <si>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</si>
  <si>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</si>
  <si>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</si>
  <si>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</si>
  <si>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</si>
  <si>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</si>
  <si>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</si>
  <si>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</si>
  <si>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</si>
  <si>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</si>
  <si>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</si>
  <si>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</si>
  <si>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</si>
  <si>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</si>
  <si>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</si>
  <si>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</si>
  <si>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</si>
  <si>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</si>
  <si>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</si>
  <si>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</si>
  <si>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</si>
  <si>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</si>
  <si>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</si>
  <si>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</si>
  <si>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</si>
  <si>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</si>
  <si>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</si>
  <si>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</si>
  <si>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</si>
  <si>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</si>
  <si>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</si>
  <si>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</si>
  <si>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</si>
  <si>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</si>
  <si>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</si>
  <si>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</si>
  <si>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</si>
  <si>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</si>
  <si>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</si>
  <si>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</si>
  <si>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</si>
  <si>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</si>
  <si>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</si>
  <si>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</si>
  <si>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</si>
  <si>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</si>
  <si>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</si>
  <si>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</si>
  <si>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</si>
  <si>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</si>
  <si>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</si>
  <si>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</si>
  <si>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</si>
  <si>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</si>
  <si>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</si>
  <si>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</si>
  <si>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</si>
  <si>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</si>
  <si>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</si>
  <si>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</si>
  <si>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</si>
  <si>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</si>
  <si>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</si>
  <si>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</si>
  <si>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</si>
  <si>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</si>
  <si>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</si>
  <si>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</si>
  <si>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</si>
  <si>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</si>
  <si>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</si>
  <si>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</si>
  <si>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</si>
  <si>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</si>
  <si>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</si>
  <si>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</si>
  <si>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</si>
  <si>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</si>
  <si>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</si>
  <si>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</si>
  <si>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</si>
  <si>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</si>
  <si>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</si>
  <si>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</si>
  <si>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</si>
  <si>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</si>
  <si>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</si>
  <si>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</si>
  <si>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</si>
  <si>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</si>
  <si>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</si>
  <si>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</si>
  <si>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</si>
  <si>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</si>
  <si>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</si>
  <si>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</si>
  <si>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</si>
  <si>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</si>
  <si>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</si>
  <si>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</si>
  <si>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</si>
  <si>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</si>
  <si>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</si>
  <si>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</si>
  <si>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</si>
  <si>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</si>
  <si>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</si>
  <si>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</si>
  <si>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</si>
  <si>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</si>
  <si>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</si>
  <si>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</si>
  <si>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</si>
  <si>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</si>
  <si>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</si>
  <si>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</si>
  <si>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</si>
  <si>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</si>
  <si>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</si>
  <si>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</si>
  <si>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</si>
  <si>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</si>
  <si>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</si>
  <si>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</si>
  <si>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</si>
  <si>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</si>
  <si>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</si>
  <si>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</si>
  <si>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</si>
  <si>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</si>
  <si>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</si>
  <si>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</si>
  <si>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</si>
  <si>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</si>
  <si>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</si>
  <si>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</si>
  <si>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</si>
  <si>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</si>
  <si>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</si>
  <si>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</si>
  <si>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</si>
  <si>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</si>
  <si>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</si>
  <si>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</si>
  <si>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</si>
  <si>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</si>
  <si>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</si>
  <si>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</si>
  <si>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</si>
  <si>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</si>
  <si>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</si>
  <si>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</si>
  <si>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</si>
  <si>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</si>
  <si>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</si>
  <si>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</si>
  <si>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</si>
  <si>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</si>
  <si>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</si>
  <si>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</si>
  <si>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</si>
  <si>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</si>
  <si>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</si>
  <si>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</si>
  <si>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</si>
  <si>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</si>
  <si>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</si>
  <si>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</si>
  <si>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</si>
  <si>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</si>
  <si>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</si>
  <si>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</si>
  <si>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</si>
  <si>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</si>
  <si>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</si>
  <si>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</si>
  <si>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</si>
  <si>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</si>
  <si>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</si>
  <si>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</si>
  <si>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</si>
  <si>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</si>
  <si>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</si>
  <si>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</si>
  <si>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</si>
  <si>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</si>
  <si>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</si>
  <si>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</si>
  <si>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</si>
  <si>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</si>
  <si>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</si>
  <si>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</si>
  <si>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</si>
  <si>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</si>
  <si>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</si>
  <si>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</si>
  <si>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</si>
  <si>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</si>
  <si>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</si>
  <si>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</si>
  <si>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</si>
  <si>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</si>
  <si>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</si>
  <si>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</si>
  <si>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</si>
  <si>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</si>
  <si>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</si>
  <si>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</si>
  <si>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</si>
  <si>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</si>
  <si>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</si>
  <si>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</si>
  <si>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</si>
  <si>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</si>
  <si>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</si>
  <si>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</si>
  <si>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</si>
  <si>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</si>
  <si>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</si>
  <si>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</si>
  <si>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</si>
  <si>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</si>
  <si>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</si>
  <si>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</si>
  <si>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</si>
  <si>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</si>
  <si>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</si>
  <si>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</si>
  <si>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</si>
  <si>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</si>
  <si>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</si>
  <si>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</si>
  <si>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</si>
  <si>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</si>
  <si>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</si>
  <si>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</si>
  <si>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</si>
  <si>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</si>
  <si>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</si>
  <si>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</si>
  <si>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</si>
  <si>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</si>
  <si>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</si>
  <si>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</si>
  <si>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</si>
  <si>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</si>
  <si>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</si>
  <si>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</si>
  <si>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</si>
  <si>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</si>
  <si>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</si>
  <si>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</si>
  <si>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</si>
  <si>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</si>
  <si>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</si>
  <si>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</si>
  <si>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</si>
  <si>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</si>
  <si>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</si>
  <si>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</si>
  <si>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</si>
  <si>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</si>
  <si>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</si>
  <si>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</si>
  <si>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</si>
  <si>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</si>
  <si>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</si>
  <si>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</si>
  <si>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</si>
  <si>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</si>
  <si>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</si>
  <si>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</si>
  <si>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</si>
  <si>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</si>
  <si>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</si>
  <si>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</si>
  <si>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</si>
  <si>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</si>
  <si>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</si>
  <si>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</si>
  <si>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</si>
  <si>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</si>
  <si>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</si>
  <si>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</si>
  <si>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</si>
  <si>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</si>
  <si>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</si>
  <si>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</si>
  <si>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</si>
  <si>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</si>
  <si>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</si>
  <si>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</si>
  <si>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</si>
  <si>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</si>
  <si>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</si>
  <si>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</si>
  <si>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</si>
  <si>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</si>
  <si>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</si>
  <si>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</si>
  <si>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</si>
  <si>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</si>
  <si>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</si>
  <si>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</si>
  <si>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</si>
  <si>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</si>
  <si>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</si>
  <si>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</si>
  <si>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</si>
  <si>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</si>
  <si>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</si>
  <si>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</si>
  <si>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</si>
  <si>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</si>
  <si>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</si>
  <si>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</si>
  <si>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</si>
  <si>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</si>
  <si>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</si>
  <si>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</si>
  <si>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</si>
  <si>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</si>
  <si>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</si>
  <si>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</si>
  <si>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</si>
  <si>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</si>
  <si>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</si>
  <si>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</si>
  <si>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</si>
  <si>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</si>
  <si>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</si>
  <si>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</si>
  <si>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</si>
  <si>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</si>
  <si>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</si>
  <si>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</si>
  <si>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</si>
  <si>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</si>
  <si>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</si>
  <si>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</si>
  <si>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</si>
  <si>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</si>
  <si>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</si>
  <si>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</si>
  <si>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</si>
  <si>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</si>
  <si>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</si>
  <si>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</si>
  <si>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</si>
  <si>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</si>
  <si>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</si>
  <si>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</si>
  <si>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</si>
  <si>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</si>
  <si>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</si>
  <si>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</si>
  <si>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</si>
  <si>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</si>
  <si>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</si>
  <si>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</si>
  <si>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</si>
  <si>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</si>
  <si>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</si>
  <si>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</si>
  <si>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</si>
  <si>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</si>
  <si>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</si>
  <si>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</si>
  <si>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</si>
  <si>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</si>
  <si>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</si>
  <si>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</si>
  <si>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</si>
  <si>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</si>
  <si>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</si>
  <si>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</si>
  <si>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</si>
  <si>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</si>
  <si>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</si>
  <si>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</si>
  <si>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</si>
  <si>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</si>
  <si>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</si>
  <si>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</si>
  <si>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</si>
  <si>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</si>
  <si>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</si>
  <si>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</si>
  <si>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</si>
  <si>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</si>
  <si>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</si>
  <si>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</si>
  <si>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</si>
  <si>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</si>
  <si>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</si>
  <si>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</si>
  <si>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</si>
  <si>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</si>
  <si>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</si>
  <si>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</si>
  <si>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</si>
  <si>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</si>
  <si>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</si>
  <si>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</si>
  <si>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</si>
  <si>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</si>
  <si>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</si>
  <si>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</si>
  <si>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</si>
  <si>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</si>
  <si>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</si>
  <si>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</si>
  <si>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</si>
  <si>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</si>
  <si>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</si>
  <si>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</si>
  <si>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</si>
  <si>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</si>
  <si>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</si>
  <si>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</si>
  <si>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</si>
  <si>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</si>
  <si>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</si>
  <si>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</si>
  <si>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</si>
  <si>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</si>
  <si>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</si>
  <si>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</si>
  <si>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</si>
  <si>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</si>
  <si>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</si>
  <si>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</si>
  <si>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</si>
  <si>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</si>
  <si>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</si>
  <si>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</si>
  <si>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</si>
  <si>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</si>
  <si>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</si>
  <si>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</si>
  <si>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</si>
  <si>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</si>
  <si>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</si>
  <si>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</si>
  <si>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</si>
  <si>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</si>
  <si>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</si>
  <si>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</si>
  <si>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</si>
  <si>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</si>
  <si>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</si>
  <si>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</si>
  <si>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</si>
  <si>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</si>
  <si>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</si>
  <si>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</si>
  <si>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</si>
  <si>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</si>
  <si>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</si>
  <si>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</si>
  <si>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</si>
  <si>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</si>
  <si>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</si>
  <si>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</si>
  <si>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</si>
  <si>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</si>
  <si>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</si>
  <si>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</si>
  <si>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</si>
  <si>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</si>
  <si>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</si>
  <si>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</si>
  <si>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</si>
  <si>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</si>
  <si>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</si>
  <si>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</si>
  <si>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</si>
  <si>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</si>
  <si>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</si>
  <si>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</si>
  <si>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</si>
  <si>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</si>
  <si>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</si>
  <si>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</si>
  <si>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</si>
  <si>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</si>
  <si>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</si>
  <si>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</si>
  <si>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</si>
  <si>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</si>
  <si>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</si>
  <si>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</si>
  <si>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</si>
  <si>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</si>
  <si>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</si>
  <si>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</si>
  <si>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</si>
  <si>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</si>
  <si>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</si>
  <si>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</si>
  <si>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</si>
  <si>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</si>
  <si>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</si>
  <si>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</si>
  <si>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</si>
  <si>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</si>
  <si>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</si>
  <si>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</si>
  <si>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</si>
  <si>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</si>
  <si>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</si>
  <si>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</si>
  <si>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</si>
  <si>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</si>
  <si>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</si>
  <si>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</si>
  <si>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</si>
  <si>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</si>
  <si>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</si>
  <si>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</si>
  <si>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</si>
  <si>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</si>
  <si>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</si>
  <si>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</si>
  <si>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</si>
  <si>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</si>
  <si>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</si>
  <si>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</si>
  <si>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</si>
  <si>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</si>
  <si>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</si>
  <si>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</si>
  <si>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</si>
  <si>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</si>
  <si>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</si>
  <si>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</si>
  <si>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</si>
  <si>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</si>
  <si>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</si>
  <si>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</si>
  <si>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</si>
  <si>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</si>
  <si>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</si>
  <si>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</si>
  <si>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</si>
  <si>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</si>
  <si>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</si>
  <si>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</si>
  <si>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</si>
  <si>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</si>
  <si>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</si>
  <si>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</si>
  <si>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</si>
  <si>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</si>
  <si>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</si>
  <si>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</si>
  <si>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</si>
  <si>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</si>
  <si>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</si>
  <si>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</si>
  <si>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</si>
  <si>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</si>
  <si>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</si>
  <si>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</si>
  <si>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</si>
  <si>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</si>
  <si>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</si>
  <si>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</si>
  <si>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</si>
  <si>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</si>
  <si>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</si>
  <si>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</si>
  <si>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</si>
  <si>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</si>
  <si>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</si>
  <si>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</si>
  <si>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</si>
  <si>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</si>
  <si>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</si>
  <si>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</si>
  <si>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</si>
  <si>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</si>
  <si>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</si>
  <si>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</si>
  <si>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</si>
  <si>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</si>
  <si>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</si>
  <si>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</si>
  <si>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</si>
  <si>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</si>
  <si>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</si>
  <si>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</si>
  <si>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</si>
  <si>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</si>
  <si>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</si>
  <si>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</si>
  <si>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</si>
  <si>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</si>
  <si>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</si>
  <si>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</si>
  <si>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</si>
  <si>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</si>
  <si>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</si>
  <si>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</si>
  <si>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</si>
  <si>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</si>
  <si>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</si>
  <si>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</si>
  <si>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</si>
  <si>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</si>
  <si>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</si>
  <si>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</si>
  <si>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</si>
  <si>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</si>
  <si>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</si>
  <si>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</si>
  <si>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</si>
  <si>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</si>
  <si>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</si>
  <si>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</si>
  <si>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</si>
  <si>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</si>
  <si>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</si>
  <si>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</si>
  <si>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</si>
  <si>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</si>
  <si>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</si>
  <si>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</si>
  <si>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</si>
  <si>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</si>
  <si>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</si>
  <si>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</si>
  <si>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</si>
  <si>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</si>
  <si>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</si>
  <si>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</si>
  <si>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</si>
  <si>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</si>
  <si>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</si>
  <si>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</si>
  <si>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</si>
  <si>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</si>
  <si>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</si>
  <si>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</si>
  <si>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</si>
  <si>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</si>
  <si>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</si>
  <si>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</si>
  <si>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</si>
  <si>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</si>
  <si>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</si>
  <si>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</si>
  <si>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</si>
  <si>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</si>
  <si>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</si>
  <si>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</si>
  <si>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</si>
  <si>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</si>
  <si>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</si>
  <si>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</si>
  <si>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</si>
  <si>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</si>
  <si>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</si>
  <si>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</si>
  <si>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</si>
  <si>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</si>
  <si>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</si>
  <si>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</si>
  <si>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</si>
  <si>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</si>
  <si>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</si>
  <si>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</si>
  <si>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</si>
  <si>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</si>
  <si>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</si>
  <si>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</si>
  <si>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</si>
  <si>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</si>
  <si>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</si>
  <si>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</si>
  <si>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</si>
  <si>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</si>
  <si>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</si>
  <si>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</si>
  <si>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</si>
  <si>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</si>
  <si>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</si>
  <si>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</si>
  <si>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</si>
  <si>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</si>
  <si>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</si>
  <si>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</si>
  <si>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</si>
  <si>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</si>
  <si>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</si>
  <si>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</si>
  <si>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</si>
  <si>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</si>
  <si>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</si>
  <si>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</si>
  <si>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</si>
  <si>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</si>
  <si>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</si>
  <si>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</si>
  <si>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</si>
  <si>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</si>
  <si>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</si>
  <si>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</si>
  <si>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</si>
  <si>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</si>
  <si>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</si>
  <si>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</si>
  <si>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</si>
  <si>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</si>
  <si>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</si>
  <si>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</si>
  <si>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</si>
  <si>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</si>
  <si>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</si>
  <si>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</si>
  <si>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</si>
  <si>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</si>
  <si>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</si>
  <si>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</si>
  <si>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</si>
  <si>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</si>
  <si>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</si>
  <si>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</si>
  <si>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</si>
  <si>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</si>
  <si>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</si>
  <si>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</si>
  <si>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</si>
  <si>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</si>
  <si>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</si>
  <si>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</si>
  <si>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</si>
  <si>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</si>
  <si>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</si>
  <si>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</si>
  <si>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</si>
  <si>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</si>
  <si>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</si>
  <si>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</si>
  <si>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</si>
  <si>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</si>
  <si>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</si>
  <si>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</si>
  <si>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</si>
  <si>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</si>
  <si>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</si>
  <si>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</si>
  <si>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</si>
  <si>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</si>
  <si>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</si>
  <si>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</si>
  <si>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</si>
  <si>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</si>
  <si>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</si>
  <si>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</si>
  <si>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</si>
  <si>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</si>
  <si>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</si>
  <si>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</si>
  <si>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</si>
  <si>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</si>
  <si>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</si>
  <si>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</si>
  <si>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</si>
  <si>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</si>
  <si>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</si>
  <si>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</si>
  <si>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</si>
  <si>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</si>
  <si>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</si>
  <si>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</si>
  <si>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</si>
  <si>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</si>
  <si>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</si>
  <si>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</si>
  <si>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</si>
  <si>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</si>
  <si>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</si>
  <si>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</si>
  <si>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</si>
  <si>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</si>
  <si>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</si>
  <si>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</si>
  <si>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</si>
  <si>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</si>
  <si>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</si>
  <si>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</si>
  <si>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</si>
  <si>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</si>
  <si>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</si>
  <si>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</si>
  <si>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</si>
  <si>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</si>
  <si>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</si>
  <si>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</si>
  <si>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</si>
  <si>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</si>
  <si>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</si>
  <si>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</si>
  <si>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</si>
  <si>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</si>
  <si>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</si>
  <si>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</si>
  <si>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</si>
  <si>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</si>
  <si>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</si>
  <si>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</si>
  <si>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</si>
  <si>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</si>
  <si>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</si>
  <si>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</si>
  <si>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</si>
  <si>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</si>
  <si>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</si>
  <si>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</si>
  <si>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</si>
  <si>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</si>
  <si>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</si>
  <si>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</si>
  <si>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</si>
  <si>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</si>
  <si>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</si>
  <si>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</si>
  <si>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</si>
  <si>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</si>
  <si>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</si>
  <si>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</si>
  <si>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</si>
  <si>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</si>
  <si>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</si>
  <si>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</si>
  <si>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</si>
  <si>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</si>
  <si>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</si>
  <si>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</si>
  <si>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</si>
  <si>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</si>
  <si>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</si>
  <si>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</si>
  <si>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</si>
  <si>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</si>
  <si>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</si>
  <si>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</si>
  <si>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</si>
  <si>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</si>
  <si>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</si>
  <si>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</si>
  <si>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</si>
  <si>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</si>
  <si>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</si>
  <si>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</si>
  <si>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</si>
  <si>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</si>
  <si>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</si>
  <si>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</si>
  <si>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</si>
  <si>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</si>
  <si>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</si>
  <si>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</si>
  <si>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</si>
  <si>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</si>
  <si>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</si>
  <si>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</si>
  <si>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</si>
  <si>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</si>
  <si>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</si>
  <si>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</si>
  <si>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</si>
  <si>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</si>
  <si>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</si>
  <si>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</si>
  <si>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</si>
  <si>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</si>
  <si>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</si>
  <si>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</si>
  <si>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</si>
  <si>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</si>
  <si>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</si>
  <si>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</si>
  <si>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</si>
  <si>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</si>
  <si>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</si>
  <si>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</si>
  <si>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</si>
  <si>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</si>
  <si>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</si>
  <si>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</si>
  <si>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</si>
  <si>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</si>
  <si>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</si>
  <si>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</si>
  <si>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</si>
  <si>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</si>
  <si>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</si>
  <si>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</si>
  <si>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</si>
  <si>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</si>
  <si>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</si>
  <si>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</si>
  <si>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</si>
  <si>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</si>
  <si>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</si>
  <si>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</si>
  <si>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</si>
  <si>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</si>
  <si>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</si>
  <si>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</si>
  <si>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</si>
  <si>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</si>
  <si>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</si>
  <si>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</si>
  <si>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</si>
  <si>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</si>
  <si>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</si>
  <si>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</si>
  <si>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</si>
  <si>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</si>
  <si>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</si>
  <si>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</si>
  <si>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</si>
  <si>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</si>
  <si>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</si>
  <si>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</si>
  <si>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</si>
  <si>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</si>
  <si>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</si>
  <si>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</si>
  <si>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</si>
  <si>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</si>
  <si>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</si>
  <si>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</si>
  <si>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</si>
  <si>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</si>
  <si>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</si>
  <si>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</si>
  <si>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</si>
  <si>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</si>
  <si>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</si>
  <si>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</si>
  <si>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</si>
  <si>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</si>
  <si>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</si>
  <si>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</si>
  <si>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</si>
  <si>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</si>
  <si>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</si>
  <si>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</si>
  <si>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</si>
  <si>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</si>
  <si>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</si>
  <si>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</si>
  <si>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</si>
  <si>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</si>
  <si>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</si>
  <si>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</si>
  <si>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</si>
  <si>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</si>
  <si>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</si>
  <si>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</si>
  <si>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</si>
  <si>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</si>
  <si>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</si>
  <si>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</si>
  <si>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</si>
  <si>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</si>
  <si>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</si>
  <si>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</si>
  <si>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</si>
  <si>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</si>
  <si>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</si>
  <si>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</si>
  <si>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</si>
  <si>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</si>
  <si>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</si>
  <si>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</si>
  <si>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</si>
  <si>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</si>
  <si>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</si>
  <si>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</si>
  <si>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</si>
  <si>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</si>
  <si>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</si>
  <si>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</si>
  <si>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</si>
  <si>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</si>
  <si>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</si>
  <si>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</si>
  <si>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</si>
  <si>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</si>
  <si>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</si>
  <si>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</si>
  <si>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</si>
  <si>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</si>
  <si>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</si>
  <si>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</si>
  <si>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</si>
  <si>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</si>
  <si>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</si>
  <si>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</si>
  <si>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</si>
  <si>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</si>
  <si>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</si>
  <si>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</si>
  <si>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</si>
  <si>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</si>
  <si>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</si>
  <si>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</si>
  <si>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</si>
  <si>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</si>
  <si>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</si>
  <si>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</si>
  <si>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</si>
  <si>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</si>
  <si>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</si>
  <si>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</si>
  <si>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</si>
  <si>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</si>
  <si>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</si>
  <si>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</si>
  <si>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</si>
  <si>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</si>
  <si>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</si>
  <si>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</si>
  <si>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</si>
  <si>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</si>
  <si>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факт 2016 год</t>
  </si>
  <si>
    <t>Материалы (хим. реагенты)</t>
  </si>
  <si>
    <t>факт проверка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</si>
  <si>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</si>
  <si>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</si>
  <si>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</si>
  <si>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</si>
  <si>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</si>
  <si>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</si>
  <si>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</si>
  <si>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</si>
  <si>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</si>
  <si>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</si>
  <si>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</si>
  <si>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</si>
  <si>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</si>
  <si>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</si>
  <si>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</si>
  <si>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</si>
  <si>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</si>
  <si>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</si>
  <si>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</si>
  <si>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</si>
  <si>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</si>
  <si>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</si>
  <si>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</si>
  <si>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</si>
  <si>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</si>
  <si>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</si>
  <si>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</si>
  <si>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</si>
  <si>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</si>
  <si>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</si>
  <si>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</si>
  <si>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</si>
  <si>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</si>
  <si>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</si>
  <si>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</si>
  <si>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</si>
  <si>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</si>
  <si>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</si>
  <si>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</si>
  <si>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</si>
  <si>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</si>
  <si>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</si>
  <si>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</si>
  <si>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</si>
  <si>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</si>
  <si>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</si>
  <si>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</si>
  <si>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</si>
  <si>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</si>
  <si>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</si>
  <si>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</si>
  <si>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</si>
  <si>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</si>
  <si>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</si>
  <si>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</si>
  <si>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</si>
  <si>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</si>
  <si>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</si>
  <si>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</si>
  <si>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</si>
  <si>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</si>
  <si>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</si>
  <si>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</si>
  <si>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</si>
  <si>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</si>
  <si>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</si>
  <si>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</si>
  <si>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</si>
  <si>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</si>
  <si>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</si>
  <si>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</si>
  <si>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</si>
  <si>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</si>
  <si>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</si>
  <si>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</si>
  <si>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</si>
  <si>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</si>
  <si>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</si>
  <si>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</si>
  <si>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</si>
  <si>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</si>
  <si>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</si>
  <si>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</si>
  <si>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</si>
  <si>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</si>
  <si>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</si>
  <si>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</si>
  <si>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</si>
  <si>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</si>
  <si>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</si>
  <si>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</si>
  <si>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</si>
  <si>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</si>
  <si>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</si>
  <si>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</si>
  <si>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</si>
  <si>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</si>
  <si>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</si>
  <si>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</si>
  <si>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</si>
  <si>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</si>
  <si>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</si>
  <si>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</si>
  <si>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</si>
  <si>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</si>
  <si>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</si>
  <si>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</si>
  <si>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</si>
  <si>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</si>
  <si>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</si>
  <si>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</si>
  <si>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</si>
  <si>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</si>
  <si>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</si>
  <si>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</si>
  <si>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</si>
  <si>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</si>
  <si>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</si>
  <si>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</si>
  <si>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</si>
  <si>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</si>
  <si>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</si>
  <si>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</si>
  <si>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</si>
  <si>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</si>
  <si>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</si>
  <si>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</si>
  <si>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</si>
  <si>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</si>
  <si>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</si>
  <si>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</si>
  <si>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</si>
  <si>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</si>
  <si>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</si>
  <si>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</si>
  <si>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</si>
  <si>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</si>
  <si>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</si>
  <si>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</si>
  <si>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</si>
  <si>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</si>
  <si>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</si>
  <si>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</si>
  <si>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</si>
  <si>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</si>
  <si>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</si>
  <si>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</si>
  <si>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</si>
  <si>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</si>
  <si>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</si>
  <si>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</si>
  <si>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</si>
  <si>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</si>
  <si>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</si>
  <si>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</si>
  <si>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</si>
  <si>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</si>
  <si>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</si>
  <si>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</si>
  <si>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</si>
  <si>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</si>
  <si>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</si>
  <si>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</si>
  <si>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</si>
  <si>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</si>
  <si>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</si>
  <si>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</si>
  <si>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</si>
  <si>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</si>
  <si>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</si>
  <si>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</si>
  <si>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</si>
  <si>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</si>
  <si>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</si>
  <si>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</si>
  <si>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</si>
  <si>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</si>
  <si>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</si>
  <si>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</si>
  <si>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</si>
  <si>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</si>
  <si>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</si>
  <si>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</si>
  <si>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</si>
  <si>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</si>
  <si>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</si>
  <si>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</si>
  <si>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</si>
  <si>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</si>
  <si>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</si>
  <si>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</si>
  <si>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</si>
  <si>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</si>
  <si>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</si>
  <si>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</si>
  <si>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</si>
  <si>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</si>
  <si>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</si>
  <si>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</si>
  <si>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</si>
  <si>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</si>
  <si>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</si>
  <si>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</si>
  <si>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</si>
  <si>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</si>
  <si>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</si>
  <si>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</si>
  <si>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</si>
  <si>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</si>
  <si>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</si>
  <si>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</si>
  <si>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</si>
  <si>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</si>
  <si>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</si>
  <si>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</si>
  <si>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</si>
  <si>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</si>
  <si>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</si>
  <si>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</si>
  <si>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</si>
  <si>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</si>
  <si>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</si>
  <si>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</si>
  <si>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</si>
  <si>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</si>
  <si>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</si>
  <si>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</si>
  <si>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</si>
  <si>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</si>
  <si>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</si>
  <si>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</si>
  <si>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</si>
  <si>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</si>
  <si>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</si>
  <si>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</si>
  <si>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</si>
  <si>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</si>
  <si>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</si>
  <si>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</si>
  <si>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</si>
  <si>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</si>
  <si>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</si>
  <si>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</si>
  <si>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</si>
  <si>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</si>
  <si>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</si>
  <si>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</si>
  <si>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</si>
  <si>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</si>
  <si>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</si>
  <si>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</si>
  <si>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</si>
  <si>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</si>
  <si>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</si>
  <si>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</si>
  <si>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</si>
  <si>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</si>
  <si>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</si>
  <si>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</si>
  <si>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</si>
  <si>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</si>
  <si>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</si>
  <si>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</si>
  <si>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</si>
  <si>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</si>
  <si>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</si>
  <si>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</si>
  <si>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</si>
  <si>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</si>
  <si>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</si>
  <si>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</si>
  <si>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</si>
  <si>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</si>
  <si>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</si>
  <si>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</si>
  <si>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</si>
  <si>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</si>
  <si>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</si>
  <si>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</si>
  <si>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</si>
  <si>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</si>
  <si>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</si>
  <si>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</si>
  <si>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</si>
  <si>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</si>
  <si>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</si>
  <si>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</si>
  <si>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</si>
  <si>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</si>
  <si>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</si>
  <si>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</si>
  <si>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</si>
  <si>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</si>
  <si>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</si>
  <si>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</si>
  <si>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</si>
  <si>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</si>
  <si>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</si>
  <si>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</si>
  <si>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</si>
  <si>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</si>
  <si>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</si>
  <si>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</si>
  <si>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</si>
  <si>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</si>
  <si>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</si>
  <si>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</si>
  <si>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</si>
  <si>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</si>
  <si>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</si>
  <si>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</si>
  <si>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</si>
  <si>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</si>
  <si>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</si>
  <si>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</si>
  <si>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</si>
  <si>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</si>
  <si>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</si>
  <si>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</si>
  <si>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</si>
  <si>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</si>
  <si>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</si>
  <si>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</si>
  <si>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</si>
  <si>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</si>
  <si>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</si>
  <si>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</si>
  <si>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</si>
  <si>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</si>
  <si>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</si>
  <si>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</si>
  <si>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</si>
  <si>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</si>
  <si>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</si>
  <si>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</si>
  <si>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</si>
  <si>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</si>
  <si>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</si>
  <si>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</si>
  <si>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</si>
  <si>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</si>
  <si>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</si>
  <si>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</si>
  <si>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</si>
  <si>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</si>
  <si>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</si>
  <si>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</si>
  <si>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</si>
  <si>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</si>
  <si>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</si>
  <si>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</si>
  <si>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</si>
  <si>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</si>
  <si>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</si>
  <si>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</si>
  <si>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</si>
  <si>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</si>
  <si>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</si>
  <si>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</si>
  <si>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</si>
  <si>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</si>
  <si>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</si>
  <si>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</si>
  <si>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</si>
  <si>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</si>
  <si>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</si>
  <si>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</si>
  <si>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</si>
  <si>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</si>
  <si>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</si>
  <si>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</si>
  <si>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</si>
  <si>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</si>
  <si>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</si>
  <si>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</si>
  <si>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</si>
  <si>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</si>
  <si>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</si>
  <si>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</si>
  <si>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</si>
  <si>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</si>
  <si>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</si>
  <si>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</si>
  <si>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</si>
  <si>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</si>
  <si>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</si>
  <si>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</si>
  <si>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</si>
  <si>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</si>
  <si>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</si>
  <si>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</si>
  <si>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</si>
  <si>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</si>
  <si>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</si>
  <si>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</si>
  <si>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</si>
  <si>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</si>
  <si>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</si>
  <si>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</si>
  <si>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</si>
  <si>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</si>
  <si>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</si>
  <si>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</si>
  <si>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</si>
  <si>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</si>
  <si>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</si>
  <si>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</si>
  <si>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</si>
  <si>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</si>
  <si>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</si>
  <si>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</si>
  <si>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</si>
  <si>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</si>
  <si>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</si>
  <si>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</si>
  <si>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</si>
  <si>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</si>
  <si>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</si>
  <si>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</si>
  <si>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</si>
  <si>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</si>
  <si>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</si>
  <si>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</si>
  <si>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</si>
  <si>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</si>
  <si>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</si>
  <si>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</si>
  <si>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</si>
  <si>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</si>
  <si>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</si>
  <si>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</si>
  <si>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</si>
  <si>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</si>
  <si>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</si>
  <si>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</si>
  <si>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</si>
  <si>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</si>
  <si>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</si>
  <si>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</si>
  <si>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</si>
  <si>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</si>
  <si>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</si>
  <si>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</si>
  <si>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</si>
  <si>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</si>
  <si>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</si>
  <si>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</si>
  <si>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</si>
  <si>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</si>
  <si>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</si>
  <si>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</si>
  <si>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</si>
  <si>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</si>
  <si>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</si>
  <si>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</si>
  <si>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</si>
  <si>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</si>
  <si>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</si>
  <si>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</si>
  <si>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</si>
  <si>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</si>
  <si>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</si>
  <si>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</si>
  <si>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</si>
  <si>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</si>
  <si>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</si>
  <si>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</si>
  <si>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</si>
  <si>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</si>
  <si>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</si>
  <si>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</si>
  <si>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</si>
  <si>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</si>
  <si>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</si>
  <si>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</si>
  <si>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</si>
  <si>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</si>
  <si>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</si>
  <si>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</si>
  <si>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</si>
  <si>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</si>
  <si>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</si>
  <si>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</si>
  <si>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</si>
  <si>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</si>
  <si>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</si>
  <si>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</si>
  <si>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</si>
  <si>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</si>
  <si>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</si>
  <si>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</si>
  <si>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</si>
  <si>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</si>
  <si>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</si>
  <si>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</si>
  <si>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</si>
  <si>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</si>
  <si>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</si>
  <si>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</si>
  <si>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</si>
  <si>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</si>
  <si>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</si>
  <si>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</si>
  <si>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</si>
  <si>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</si>
  <si>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</si>
  <si>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</si>
  <si>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</si>
  <si>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</si>
  <si>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</si>
  <si>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</si>
  <si>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</si>
  <si>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</si>
  <si>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</si>
  <si>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</si>
  <si>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</si>
  <si>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</si>
  <si>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</si>
  <si>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</si>
  <si>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</si>
  <si>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</si>
  <si>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</si>
  <si>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</si>
  <si>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</si>
  <si>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</si>
  <si>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</si>
  <si>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</si>
  <si>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</si>
  <si>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</si>
  <si>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</si>
  <si>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</si>
  <si>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</si>
  <si>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</si>
  <si>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</si>
  <si>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</si>
  <si>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</si>
  <si>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</si>
  <si>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</si>
  <si>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</si>
  <si>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</si>
  <si>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</si>
  <si>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</si>
  <si>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</si>
  <si>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</si>
  <si>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</si>
  <si>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</si>
  <si>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</si>
  <si>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</si>
  <si>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</si>
  <si>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</si>
  <si>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</si>
  <si>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</si>
  <si>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</si>
  <si>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</si>
  <si>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</si>
  <si>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</si>
  <si>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</si>
  <si>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</si>
  <si>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</si>
  <si>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</si>
  <si>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</si>
  <si>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</si>
  <si>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</si>
  <si>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</si>
  <si>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</si>
  <si>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</si>
  <si>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</si>
  <si>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</si>
  <si>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</si>
  <si>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</si>
  <si>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</si>
  <si>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</si>
  <si>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</si>
  <si>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</si>
  <si>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</si>
  <si>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</si>
  <si>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</si>
  <si>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</si>
  <si>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</si>
  <si>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</si>
  <si>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</si>
  <si>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</si>
  <si>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</si>
  <si>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</si>
  <si>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</si>
  <si>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</si>
  <si>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</si>
  <si>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</si>
  <si>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</si>
  <si>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</si>
  <si>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</si>
  <si>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</si>
  <si>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</si>
  <si>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</si>
  <si>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</si>
  <si>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</si>
  <si>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</si>
  <si>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</si>
  <si>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</si>
  <si>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</si>
  <si>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</si>
  <si>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</si>
  <si>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</si>
  <si>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</si>
  <si>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</si>
  <si>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</si>
  <si>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</si>
  <si>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</si>
  <si>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</si>
  <si>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</si>
  <si>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</si>
  <si>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</si>
  <si>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</si>
  <si>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</si>
  <si>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</si>
  <si>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</si>
  <si>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</si>
  <si>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</si>
  <si>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</si>
  <si>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</si>
  <si>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</si>
  <si>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</si>
  <si>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</si>
  <si>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</si>
  <si>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</si>
  <si>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</si>
  <si>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</si>
  <si>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</si>
  <si>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</si>
  <si>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</si>
  <si>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</si>
  <si>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</si>
  <si>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</si>
  <si>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</si>
  <si>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</si>
  <si>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</si>
  <si>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</si>
  <si>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</si>
  <si>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</si>
  <si>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</si>
  <si>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</si>
  <si>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</si>
  <si>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</si>
  <si>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</si>
  <si>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</si>
  <si>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</si>
  <si>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</si>
  <si>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</si>
  <si>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</si>
  <si>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</si>
  <si>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</si>
  <si>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</si>
  <si>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</si>
  <si>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</si>
  <si>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</si>
  <si>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</si>
  <si>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</si>
  <si>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</si>
  <si>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</si>
  <si>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</si>
  <si>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</si>
  <si>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</si>
  <si>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</si>
  <si>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</si>
  <si>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</si>
  <si>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</si>
  <si>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</si>
  <si>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</si>
  <si>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</si>
  <si>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</si>
  <si>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</si>
  <si>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</si>
  <si>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</si>
  <si>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</si>
  <si>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</si>
  <si>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</si>
  <si>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</si>
  <si>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</si>
  <si>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</si>
  <si>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</si>
  <si>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</si>
  <si>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</si>
  <si>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</si>
  <si>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</si>
  <si>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</si>
  <si>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</si>
  <si>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</si>
  <si>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</si>
  <si>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</si>
  <si>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</si>
  <si>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</si>
  <si>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</si>
  <si>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</si>
  <si>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</si>
  <si>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</si>
  <si>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</si>
  <si>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</si>
  <si>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</si>
  <si>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</si>
  <si>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</si>
  <si>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</si>
  <si>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</si>
  <si>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</si>
  <si>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</si>
  <si>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</si>
  <si>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</si>
  <si>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</si>
  <si>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</si>
  <si>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</si>
  <si>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</si>
  <si>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</si>
  <si>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</si>
  <si>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</si>
  <si>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</si>
  <si>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</si>
  <si>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</si>
  <si>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</si>
  <si>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</si>
  <si>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</si>
  <si>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</si>
  <si>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</si>
  <si>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</si>
  <si>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</si>
  <si>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</si>
  <si>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</si>
  <si>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</si>
  <si>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</si>
  <si>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</si>
  <si>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</si>
  <si>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</si>
  <si>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</si>
  <si>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</si>
  <si>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</si>
  <si>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</si>
  <si>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</si>
  <si>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</si>
  <si>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</si>
  <si>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</si>
  <si>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</si>
  <si>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</si>
  <si>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</si>
  <si>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</si>
  <si>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</si>
  <si>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</si>
  <si>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</si>
  <si>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</si>
  <si>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</si>
  <si>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</si>
  <si>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</si>
  <si>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</si>
  <si>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</si>
  <si>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</si>
  <si>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</si>
  <si>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</si>
  <si>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</si>
  <si>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</si>
  <si>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</si>
  <si>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</si>
  <si>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</si>
  <si>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</si>
  <si>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</si>
  <si>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</si>
  <si>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</si>
  <si>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</si>
  <si>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</si>
  <si>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</si>
  <si>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</si>
  <si>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</si>
  <si>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</si>
  <si>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</si>
  <si>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</si>
  <si>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</si>
  <si>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</si>
  <si>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</si>
  <si>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</si>
  <si>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</si>
  <si>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</si>
  <si>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</si>
  <si>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</si>
  <si>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</si>
  <si>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</si>
  <si>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</si>
  <si>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</si>
  <si>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</si>
  <si>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</si>
  <si>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</si>
  <si>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</si>
  <si>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</si>
  <si>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</si>
  <si>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</si>
  <si>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</si>
  <si>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</si>
  <si>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</si>
  <si>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</si>
  <si>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</si>
  <si>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</si>
  <si>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</si>
  <si>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</si>
  <si>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</si>
  <si>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</si>
  <si>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</si>
  <si>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</si>
  <si>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</si>
  <si>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</si>
  <si>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</si>
  <si>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</si>
  <si>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</si>
  <si>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</si>
  <si>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</si>
  <si>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</si>
  <si>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</si>
  <si>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</si>
  <si>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</si>
  <si>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</si>
  <si>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</si>
  <si>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</si>
  <si>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</si>
  <si>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</si>
  <si>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</si>
  <si>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</si>
  <si>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</si>
  <si>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</si>
  <si>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</si>
  <si>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</si>
  <si>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</si>
  <si>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</si>
  <si>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</si>
  <si>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</si>
  <si>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</si>
  <si>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</si>
  <si>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</si>
  <si>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</si>
  <si>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</si>
  <si>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</si>
  <si>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</si>
  <si>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</si>
  <si>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</si>
  <si>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</si>
  <si>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</si>
  <si>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</si>
  <si>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</si>
  <si>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</si>
  <si>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</si>
  <si>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</si>
  <si>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</si>
  <si>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</si>
  <si>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</si>
  <si>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</si>
  <si>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</si>
  <si>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</si>
  <si>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</si>
  <si>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</si>
  <si>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</si>
  <si>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</si>
  <si>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</si>
  <si>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</si>
  <si>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</si>
  <si>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</si>
  <si>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</si>
  <si>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</si>
  <si>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</si>
  <si>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</si>
  <si>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</si>
  <si>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</si>
  <si>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</si>
  <si>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</si>
  <si>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</si>
  <si>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</si>
  <si>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</si>
  <si>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</si>
  <si>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</si>
  <si>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</si>
  <si>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</si>
  <si>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</si>
  <si>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</si>
  <si>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</si>
  <si>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</si>
  <si>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</si>
  <si>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</si>
  <si>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</si>
  <si>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</si>
  <si>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</si>
  <si>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</si>
  <si>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</si>
  <si>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</si>
  <si>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</si>
  <si>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</si>
  <si>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</si>
  <si>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</si>
  <si>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</si>
  <si>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</si>
  <si>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</si>
  <si>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</si>
  <si>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</si>
  <si>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</si>
  <si>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</si>
  <si>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</si>
  <si>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</si>
  <si>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</si>
  <si>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</si>
  <si>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</si>
  <si>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</si>
  <si>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</si>
  <si>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</si>
  <si>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</si>
  <si>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</si>
  <si>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</si>
  <si>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</si>
  <si>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</si>
  <si>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</si>
  <si>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</si>
  <si>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</si>
  <si>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</si>
  <si>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</si>
  <si>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</si>
  <si>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</si>
  <si>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</si>
  <si>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</si>
  <si>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</si>
  <si>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</si>
  <si>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</si>
  <si>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</si>
  <si>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</si>
  <si>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</si>
  <si>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</si>
  <si>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</si>
  <si>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</si>
  <si>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</si>
  <si>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</si>
  <si>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</si>
  <si>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</si>
  <si>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</si>
  <si>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</si>
  <si>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</si>
  <si>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</si>
  <si>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</si>
  <si>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</si>
  <si>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</si>
  <si>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</si>
  <si>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</si>
  <si>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</si>
  <si>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</si>
  <si>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</si>
  <si>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</si>
  <si>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</si>
  <si>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</si>
  <si>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</si>
  <si>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</si>
  <si>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</si>
  <si>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</si>
  <si>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</si>
  <si>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</si>
  <si>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</si>
  <si>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</si>
  <si>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</si>
  <si>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</si>
  <si>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</si>
  <si>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</si>
  <si>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</si>
  <si>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</si>
  <si>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</si>
  <si>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</si>
  <si>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</si>
  <si>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</si>
  <si>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</si>
  <si>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</si>
  <si>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</si>
  <si>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</si>
  <si>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</si>
  <si>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</si>
  <si>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</si>
  <si>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</si>
  <si>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</si>
  <si>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</si>
  <si>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</si>
  <si>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</si>
  <si>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</si>
  <si>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</si>
  <si>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</si>
  <si>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</si>
  <si>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</si>
  <si>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</si>
  <si>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</si>
  <si>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</si>
  <si>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</si>
  <si>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</si>
  <si>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</si>
  <si>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</si>
  <si>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</si>
  <si>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</si>
  <si>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</si>
  <si>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</si>
  <si>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</si>
  <si>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</si>
  <si>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</si>
  <si>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</si>
  <si>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</si>
  <si>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</si>
  <si>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</si>
  <si>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</si>
  <si>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</si>
  <si>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</si>
  <si>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</si>
  <si>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</si>
  <si>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</si>
  <si>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</si>
  <si>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</si>
  <si>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</si>
  <si>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</si>
  <si>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</si>
  <si>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</si>
  <si>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</si>
  <si>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</si>
  <si>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</si>
  <si>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</si>
  <si>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</si>
  <si>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</si>
  <si>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</si>
  <si>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</si>
  <si>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</si>
  <si>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</si>
  <si>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</si>
  <si>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</si>
  <si>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</si>
  <si>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</si>
  <si>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</si>
  <si>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</si>
  <si>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</si>
  <si>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</si>
  <si>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</si>
  <si>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</si>
  <si>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</si>
  <si>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</si>
  <si>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</si>
  <si>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</si>
  <si>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</si>
  <si>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</si>
  <si>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</si>
  <si>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</si>
  <si>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</si>
  <si>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</si>
  <si>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</si>
  <si>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</si>
  <si>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</si>
  <si>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</si>
  <si>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</si>
  <si>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</si>
  <si>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</si>
  <si>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</si>
  <si>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</si>
  <si>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</si>
  <si>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</si>
  <si>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</si>
  <si>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</si>
  <si>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</si>
  <si>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</si>
  <si>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</si>
  <si>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</si>
  <si>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</si>
  <si>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</si>
  <si>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</si>
  <si>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</si>
  <si>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</si>
  <si>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</si>
  <si>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</si>
  <si>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</si>
  <si>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</si>
  <si>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</si>
  <si>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</si>
  <si>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</si>
  <si>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</si>
  <si>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</si>
  <si>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</si>
  <si>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</si>
  <si>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</si>
  <si>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</si>
  <si>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</si>
  <si>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</si>
  <si>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</si>
  <si>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</si>
  <si>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</si>
  <si>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</si>
  <si>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</si>
  <si>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</si>
  <si>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</si>
  <si>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</si>
  <si>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</si>
  <si>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</si>
  <si>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</si>
  <si>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</si>
  <si>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</si>
  <si>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</si>
  <si>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</si>
  <si>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</si>
  <si>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</si>
  <si>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</si>
  <si>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</si>
  <si>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</si>
  <si>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</si>
  <si>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</si>
  <si>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</si>
  <si>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</si>
  <si>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</si>
  <si>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</si>
  <si>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</si>
  <si>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</si>
  <si>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</si>
  <si>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</si>
  <si>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</si>
  <si>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</si>
  <si>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</si>
  <si>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</si>
  <si>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</si>
  <si>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</si>
  <si>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</si>
  <si>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</si>
  <si>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</si>
  <si>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</si>
  <si>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</si>
  <si>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</si>
  <si>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</si>
  <si>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</si>
  <si>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</si>
  <si>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</si>
  <si>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</si>
  <si>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</si>
  <si>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</si>
  <si>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</si>
  <si>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</si>
  <si>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</si>
  <si>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</si>
  <si>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</si>
  <si>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</si>
  <si>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</si>
  <si>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</si>
  <si>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</si>
  <si>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</si>
  <si>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</si>
  <si>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</si>
  <si>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</si>
  <si>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</si>
  <si>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</si>
  <si>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</si>
  <si>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</si>
  <si>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</si>
  <si>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</si>
  <si>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</si>
  <si>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</si>
  <si>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</si>
  <si>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</si>
  <si>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</si>
  <si>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</si>
  <si>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</si>
  <si>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</si>
  <si>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</si>
  <si>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</si>
  <si>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</si>
  <si>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</si>
  <si>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</si>
  <si>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</si>
  <si>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</si>
  <si>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</si>
  <si>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</si>
  <si>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</si>
  <si>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</si>
  <si>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</si>
  <si>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</si>
  <si>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</si>
  <si>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</si>
  <si>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</si>
  <si>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</si>
  <si>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</si>
  <si>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</si>
  <si>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</si>
  <si>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</si>
  <si>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</si>
  <si>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</si>
  <si>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</si>
  <si>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</si>
  <si>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</si>
  <si>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</si>
  <si>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</si>
  <si>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</si>
  <si>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</si>
  <si>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</si>
  <si>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</si>
  <si>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</si>
  <si>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</si>
  <si>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</si>
  <si>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</si>
  <si>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</si>
  <si>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</si>
  <si>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</si>
  <si>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</si>
  <si>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</si>
  <si>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</si>
  <si>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</si>
  <si>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</si>
  <si>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</si>
  <si>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</si>
  <si>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</si>
  <si>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</si>
  <si>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</si>
  <si>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</si>
  <si>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</si>
  <si>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</si>
  <si>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</si>
  <si>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</si>
  <si>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</si>
  <si>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</si>
  <si>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</si>
  <si>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</si>
  <si>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</si>
  <si>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</si>
  <si>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</si>
  <si>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</si>
  <si>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</si>
  <si>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</si>
  <si>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</si>
  <si>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</si>
  <si>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</si>
  <si>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</si>
  <si>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</si>
  <si>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</si>
  <si>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</si>
  <si>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</si>
  <si>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</si>
  <si>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</si>
  <si>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</si>
  <si>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</si>
  <si>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</si>
  <si>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</si>
  <si>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</si>
  <si>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</si>
  <si>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</si>
  <si>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</si>
  <si>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</si>
  <si>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</si>
  <si>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</si>
  <si>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</si>
  <si>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</si>
  <si>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</si>
  <si>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</si>
  <si>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</si>
  <si>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</si>
  <si>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</si>
  <si>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</si>
  <si>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</si>
  <si>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</si>
  <si>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</si>
  <si>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</si>
  <si>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</si>
  <si>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</si>
  <si>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</si>
  <si>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</si>
  <si>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</si>
  <si>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</si>
  <si>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</si>
  <si>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</si>
  <si>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</si>
  <si>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</si>
  <si>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</si>
  <si>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</si>
  <si>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</si>
  <si>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</si>
  <si>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</si>
  <si>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</si>
  <si>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</si>
  <si>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</si>
  <si>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</si>
  <si>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</si>
  <si>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</si>
  <si>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</si>
  <si>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</si>
  <si>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</si>
  <si>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</si>
  <si>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</si>
  <si>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</si>
  <si>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</si>
  <si>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</si>
  <si>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</si>
  <si>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</si>
  <si>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</si>
  <si>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</si>
  <si>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</si>
  <si>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</si>
  <si>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</si>
  <si>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</si>
  <si>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</si>
  <si>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</si>
  <si>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</si>
  <si>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</si>
  <si>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</si>
  <si>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</si>
  <si>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</si>
  <si>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</si>
  <si>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</si>
  <si>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</si>
  <si>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</si>
  <si>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</si>
  <si>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</si>
  <si>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</si>
  <si>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</si>
  <si>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</si>
  <si>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</si>
  <si>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</si>
  <si>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</si>
  <si>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</si>
  <si>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</si>
  <si>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</si>
  <si>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</si>
  <si>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</si>
  <si>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</si>
  <si>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</si>
  <si>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</si>
  <si>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</si>
  <si>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</si>
  <si>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</si>
  <si>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</si>
  <si>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</si>
  <si>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</si>
  <si>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</si>
  <si>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</si>
  <si>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</si>
  <si>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</si>
  <si>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</si>
  <si>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</si>
  <si>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</si>
  <si>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</si>
  <si>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</si>
  <si>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</si>
  <si>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</si>
  <si>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</si>
  <si>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</si>
  <si>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</si>
  <si>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</si>
  <si>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</si>
  <si>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</si>
  <si>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</si>
  <si>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</si>
  <si>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</si>
  <si>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</si>
  <si>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</si>
  <si>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</si>
  <si>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</si>
  <si>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</si>
  <si>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</si>
  <si>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</si>
  <si>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</si>
  <si>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</si>
  <si>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</si>
  <si>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</si>
  <si>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</si>
  <si>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</si>
  <si>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</si>
  <si>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</si>
  <si>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</si>
  <si>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</si>
  <si>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</si>
  <si>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</si>
  <si>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</si>
  <si>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</si>
  <si>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</si>
  <si>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</si>
  <si>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</si>
  <si>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</si>
  <si>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</si>
  <si>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</si>
  <si>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</si>
  <si>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</si>
  <si>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</si>
  <si>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</si>
  <si>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</si>
  <si>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</si>
  <si>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</si>
  <si>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</si>
  <si>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</si>
  <si>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</si>
  <si>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</si>
  <si>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</si>
  <si>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</si>
  <si>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</si>
  <si>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</si>
  <si>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</si>
  <si>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</si>
  <si>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</si>
  <si>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</si>
  <si>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</si>
  <si>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</si>
  <si>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</si>
  <si>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</si>
  <si>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</si>
  <si>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</si>
  <si>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</si>
  <si>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</si>
  <si>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</si>
  <si>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</si>
  <si>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</si>
  <si>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</si>
  <si>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</si>
  <si>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</si>
  <si>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</si>
  <si>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</si>
  <si>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</si>
  <si>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</si>
  <si>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</si>
  <si>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</si>
  <si>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</si>
  <si>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</si>
  <si>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</si>
  <si>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</si>
  <si>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</si>
  <si>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</si>
  <si>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</si>
  <si>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</si>
  <si>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</si>
  <si>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</si>
  <si>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</si>
  <si>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</si>
  <si>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</si>
  <si>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</si>
  <si>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</si>
  <si>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</si>
  <si>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</si>
  <si>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</si>
  <si>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</si>
  <si>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</si>
  <si>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</si>
  <si>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</si>
  <si>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</si>
  <si>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</si>
  <si>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</si>
  <si>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</si>
  <si>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</si>
  <si>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</si>
  <si>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</si>
  <si>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</si>
  <si>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</si>
  <si>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</si>
  <si>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</si>
  <si>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</si>
  <si>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</si>
  <si>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</si>
  <si>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</si>
  <si>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</si>
  <si>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</si>
  <si>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</si>
  <si>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</si>
  <si>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</si>
  <si>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</si>
  <si>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</si>
  <si>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</si>
  <si>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</si>
  <si>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</si>
  <si>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</si>
  <si>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</si>
  <si>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</si>
  <si>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</si>
  <si>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</si>
  <si>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</si>
  <si>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</si>
  <si>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</si>
  <si>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</si>
  <si>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</si>
  <si>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</si>
  <si>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</si>
  <si>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</si>
  <si>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</si>
  <si>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</si>
  <si>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</si>
  <si>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</si>
  <si>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</si>
  <si>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</si>
  <si>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</si>
  <si>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</si>
  <si>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</si>
  <si>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</si>
  <si>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</si>
  <si>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</si>
  <si>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</si>
  <si>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</si>
  <si>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</si>
  <si>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</si>
  <si>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</si>
  <si>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</si>
  <si>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</si>
  <si>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</si>
  <si>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</si>
  <si>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</si>
  <si>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</si>
  <si>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</si>
  <si>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</si>
  <si>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</si>
  <si>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</si>
  <si>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</si>
  <si>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</si>
  <si>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</si>
  <si>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</si>
  <si>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</si>
  <si>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</si>
  <si>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</si>
  <si>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</si>
  <si>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</si>
  <si>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</si>
  <si>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</si>
  <si>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</si>
  <si>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</si>
  <si>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</si>
  <si>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</si>
  <si>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</si>
  <si>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</si>
  <si>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</si>
  <si>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</si>
  <si>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</si>
  <si>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</si>
  <si>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</si>
  <si>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</si>
  <si>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</si>
  <si>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</si>
  <si>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</si>
  <si>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</si>
  <si>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</si>
  <si>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</si>
  <si>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</si>
  <si>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</si>
  <si>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</si>
  <si>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</si>
  <si>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</si>
  <si>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</si>
  <si>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</si>
  <si>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</si>
  <si>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</si>
  <si>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</si>
  <si>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</si>
  <si>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</si>
  <si>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</si>
  <si>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</si>
  <si>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</si>
  <si>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</si>
  <si>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</si>
  <si>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</si>
  <si>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</si>
  <si>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</si>
  <si>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</si>
  <si>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</si>
  <si>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</si>
  <si>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</si>
  <si>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</si>
  <si>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</si>
  <si>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</si>
  <si>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</si>
  <si>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</si>
  <si>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</si>
  <si>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</si>
  <si>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</si>
  <si>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</si>
  <si>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</si>
  <si>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</si>
  <si>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</si>
  <si>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</si>
  <si>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</si>
  <si>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</si>
  <si>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</si>
  <si>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</si>
  <si>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</si>
  <si>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</si>
  <si>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</si>
  <si>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</si>
  <si>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</si>
  <si>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</si>
  <si>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</si>
  <si>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</si>
  <si>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</si>
  <si>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</si>
  <si>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</si>
  <si>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</si>
  <si>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</si>
  <si>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</si>
  <si>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</si>
  <si>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</si>
  <si>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</si>
  <si>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</si>
  <si>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</si>
  <si>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</si>
  <si>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</si>
  <si>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</si>
  <si>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</si>
  <si>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</si>
  <si>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</si>
  <si>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</si>
  <si>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</si>
  <si>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</si>
  <si>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</si>
  <si>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</si>
  <si>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</si>
  <si>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</si>
  <si>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</si>
  <si>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</si>
  <si>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</si>
  <si>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</si>
  <si>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</si>
  <si>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</si>
  <si>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</si>
  <si>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</si>
  <si>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</si>
  <si>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2019 - 2024 год</t>
  </si>
  <si>
    <t>предложение предприятия по корректировке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</si>
  <si>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</si>
  <si>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</si>
  <si>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</si>
  <si>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Объем электроэнергии на очистку стоков</t>
  </si>
  <si>
    <t>Объем электроэнергии на перекачку сточных вод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</si>
  <si>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</si>
  <si>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</si>
  <si>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</si>
  <si>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</si>
  <si>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</si>
  <si>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</si>
  <si>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</si>
  <si>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Факт 2018 год</t>
  </si>
  <si>
    <t>Локальный сметный расчет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</si>
  <si>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</si>
  <si>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</si>
  <si>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</si>
  <si>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</si>
  <si>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</si>
  <si>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</si>
  <si>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</si>
  <si>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акредитация лаборатории</t>
  </si>
  <si>
    <t>экспертиза, пробы, лицензии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</si>
  <si>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</si>
  <si>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</si>
  <si>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</si>
  <si>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корректировка по предложению предприятия</t>
  </si>
  <si>
    <t xml:space="preserve">2018 год </t>
  </si>
  <si>
    <t>Технологическое подключение к сетям водоснабжения и водоотведения</t>
  </si>
  <si>
    <t>2020 год корректировка</t>
  </si>
  <si>
    <t>2020 год корректировка предл. предприятия</t>
  </si>
  <si>
    <t>план 2018 ГОД</t>
  </si>
  <si>
    <t>факт 2018 ГОД</t>
  </si>
  <si>
    <t>2018 год план</t>
  </si>
  <si>
    <t>Транспортировка питьевой воды (КЭМЗ)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</si>
  <si>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</si>
  <si>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</si>
  <si>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</si>
  <si>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</si>
  <si>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</si>
  <si>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</si>
  <si>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</si>
  <si>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</si>
  <si>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</si>
  <si>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</si>
  <si>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</si>
  <si>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</si>
  <si>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</si>
  <si>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</si>
  <si>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</si>
  <si>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</si>
  <si>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</si>
  <si>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</si>
  <si>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</si>
  <si>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</si>
  <si>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</si>
  <si>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</si>
  <si>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</si>
  <si>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</si>
  <si>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</si>
  <si>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</si>
  <si>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</si>
  <si>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</si>
  <si>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</si>
  <si>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</si>
  <si>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</si>
  <si>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</si>
  <si>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</si>
  <si>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</si>
  <si>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</si>
  <si>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</si>
  <si>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</si>
  <si>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</si>
  <si>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</si>
  <si>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</si>
  <si>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</si>
  <si>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</si>
  <si>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</si>
  <si>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</si>
  <si>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</si>
  <si>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</si>
  <si>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</si>
  <si>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</si>
  <si>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</si>
  <si>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</si>
  <si>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</si>
  <si>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</si>
  <si>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</si>
  <si>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</si>
  <si>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>Цеховые расходы, в т.ч.</t>
  </si>
  <si>
    <t xml:space="preserve">2. </t>
  </si>
  <si>
    <t>Акредитация лаборатории</t>
  </si>
  <si>
    <t>Экспертизы, пробы, проекты, лицензии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</si>
  <si>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</si>
  <si>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</si>
  <si>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</si>
  <si>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</si>
  <si>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</si>
  <si>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</si>
  <si>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</si>
  <si>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</si>
  <si>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</si>
  <si>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</si>
  <si>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</si>
  <si>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</si>
  <si>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</si>
  <si>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</si>
  <si>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</si>
  <si>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</si>
  <si>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</si>
  <si>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</si>
  <si>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</si>
  <si>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</si>
  <si>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</si>
  <si>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</si>
  <si>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</si>
  <si>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</si>
  <si>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</si>
  <si>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</si>
  <si>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</si>
  <si>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</si>
  <si>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</si>
  <si>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</si>
  <si>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</si>
  <si>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</si>
  <si>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</si>
  <si>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</si>
  <si>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</si>
  <si>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</si>
  <si>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</si>
  <si>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</si>
  <si>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</si>
  <si>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</si>
  <si>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</si>
  <si>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</si>
  <si>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</si>
  <si>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</si>
  <si>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</si>
  <si>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</si>
  <si>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</si>
  <si>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</si>
  <si>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</si>
  <si>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</si>
  <si>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</si>
  <si>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</si>
  <si>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</si>
  <si>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</si>
  <si>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</si>
  <si>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</si>
  <si>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</si>
  <si>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2020 ГОД кор-ка. (эксп)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</si>
  <si>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</si>
  <si>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</si>
  <si>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</si>
  <si>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</si>
  <si>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</si>
  <si>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</si>
  <si>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</si>
  <si>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</si>
  <si>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</si>
  <si>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</si>
  <si>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</si>
  <si>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</si>
  <si>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</si>
  <si>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</si>
  <si>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</si>
  <si>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</si>
  <si>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</si>
  <si>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</si>
  <si>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</si>
  <si>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</si>
  <si>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</si>
  <si>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</si>
  <si>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</si>
  <si>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</si>
  <si>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</si>
  <si>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</si>
  <si>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</si>
  <si>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</si>
  <si>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</si>
  <si>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</si>
  <si>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</si>
  <si>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</si>
  <si>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</si>
  <si>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</si>
  <si>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</si>
  <si>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</si>
  <si>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</si>
  <si>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</si>
  <si>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</si>
  <si>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</si>
  <si>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</si>
  <si>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</si>
  <si>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</si>
  <si>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</si>
  <si>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</si>
  <si>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</si>
  <si>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</si>
  <si>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</si>
  <si>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</si>
  <si>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</si>
  <si>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</si>
  <si>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</si>
  <si>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</si>
  <si>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</si>
  <si>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</si>
  <si>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</si>
  <si>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</si>
  <si>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</si>
  <si>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</si>
  <si>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</si>
  <si>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</si>
  <si>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</si>
  <si>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</si>
  <si>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</si>
  <si>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</si>
  <si>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</si>
  <si>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</si>
  <si>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</si>
  <si>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</si>
  <si>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</si>
  <si>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</si>
  <si>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</si>
  <si>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</si>
  <si>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</si>
  <si>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</si>
  <si>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</si>
  <si>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</si>
  <si>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</si>
  <si>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</si>
  <si>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</si>
  <si>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</si>
  <si>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</si>
  <si>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</si>
  <si>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</si>
  <si>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</si>
  <si>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</si>
  <si>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</si>
  <si>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</si>
  <si>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Ерофеевский А.В.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</si>
  <si>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</si>
  <si>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</si>
  <si>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</si>
  <si>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</si>
  <si>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</si>
  <si>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</si>
  <si>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</si>
  <si>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</si>
  <si>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</si>
  <si>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</si>
  <si>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</si>
  <si>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</si>
  <si>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</si>
  <si>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</si>
  <si>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</si>
  <si>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</si>
  <si>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</si>
  <si>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</si>
  <si>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</si>
  <si>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</si>
  <si>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населению (повышающий коэффициент)</t>
  </si>
  <si>
    <t>от прочих потребителей, в том числе:</t>
  </si>
  <si>
    <t>УТВЕРЖДАЮ:</t>
  </si>
  <si>
    <t>Директор МП "Горводоканал"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</si>
  <si>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</si>
  <si>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</si>
  <si>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</si>
  <si>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</si>
  <si>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</si>
  <si>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</si>
  <si>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</si>
  <si>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</si>
  <si>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</si>
  <si>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</si>
  <si>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</si>
  <si>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</si>
  <si>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</si>
  <si>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</si>
  <si>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</si>
  <si>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</si>
  <si>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</si>
  <si>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</si>
  <si>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</si>
  <si>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</si>
  <si>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</si>
  <si>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</si>
  <si>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</si>
  <si>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</si>
  <si>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</si>
  <si>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</si>
  <si>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</si>
  <si>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</si>
  <si>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</si>
  <si>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</si>
  <si>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</si>
  <si>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</si>
  <si>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</si>
  <si>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</si>
  <si>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</si>
  <si>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</si>
  <si>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</si>
  <si>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</si>
  <si>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</si>
  <si>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</si>
  <si>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</si>
  <si>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</si>
  <si>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</si>
  <si>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</si>
  <si>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</si>
  <si>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</si>
  <si>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</si>
  <si>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</si>
  <si>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</si>
  <si>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</si>
  <si>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</si>
  <si>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</si>
  <si>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</si>
  <si>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</si>
  <si>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</si>
  <si>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</si>
  <si>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</si>
  <si>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</si>
  <si>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</si>
  <si>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</si>
  <si>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</si>
  <si>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</si>
  <si>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</si>
  <si>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</si>
  <si>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</si>
  <si>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</si>
  <si>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вывоз мусора, обез.опасных отходов</t>
  </si>
  <si>
    <t>предложение по корректировке 2021 год</t>
  </si>
  <si>
    <t xml:space="preserve">предложение предприятия по корректировке 2021 </t>
  </si>
  <si>
    <t xml:space="preserve">предложение эксперта по корректировке 2021 </t>
  </si>
  <si>
    <t>Корректировка 2021 год</t>
  </si>
  <si>
    <t>Объем электроэнергии на водоотведение всего</t>
  </si>
  <si>
    <t>Расчет среднемесячной заработной платы на 2021 год</t>
  </si>
  <si>
    <t>Базовая месячная тарифная ставка рабочего 1 разряда на 2021 год</t>
  </si>
  <si>
    <t>корректир. 2020 год предлож. Эксперта</t>
  </si>
  <si>
    <t>корректир. 2021 год предлож. Эксперта</t>
  </si>
  <si>
    <t>корректир. 2021 год предлож. Предприятия</t>
  </si>
  <si>
    <t>Предложение предприятия по корректировке 2021 год</t>
  </si>
  <si>
    <t>КОРРЕКТИРОВКА 2021 ГОД</t>
  </si>
  <si>
    <t>2021 год корректировка предл. предприятия</t>
  </si>
  <si>
    <t>2021 год предложение эксперта по корректировке</t>
  </si>
  <si>
    <t>2021 год корректировка</t>
  </si>
  <si>
    <t>2020 ГОД кор. пред</t>
  </si>
  <si>
    <t>Средний тариф 2019 ВОДА</t>
  </si>
  <si>
    <t>Средний тариф 2019 СТОКИ</t>
  </si>
  <si>
    <t>РАСЧЕТ ТОВАРНОЙ ВЫРУЧКИ ЗА 2019 ГОД</t>
  </si>
  <si>
    <t xml:space="preserve">Корректировка 2021 год </t>
  </si>
  <si>
    <t>рост 2021 к 2020, %</t>
  </si>
  <si>
    <t>Факт 6 мес. 2020 год</t>
  </si>
  <si>
    <t>Факт 9 мес. 2020 год</t>
  </si>
  <si>
    <t>Факт 2020 год</t>
  </si>
  <si>
    <t>Факт 6 мес. 2020 г.</t>
  </si>
  <si>
    <t>Факт 9 мес. 2020 г.</t>
  </si>
  <si>
    <t>Факт         2020 г.</t>
  </si>
  <si>
    <t>Факт 2020 г.</t>
  </si>
  <si>
    <t>Факт               2020 г.</t>
  </si>
  <si>
    <t>Факт                 2020 год</t>
  </si>
  <si>
    <t>Факт                2020 г.</t>
  </si>
  <si>
    <t>ФАКТ 2020 ГОД</t>
  </si>
  <si>
    <t xml:space="preserve">Факт 12 мес. 2020 год </t>
  </si>
  <si>
    <t>Факт                       2020 г.</t>
  </si>
  <si>
    <t>Факт       2020 г.</t>
  </si>
  <si>
    <t>Факт      2020 год</t>
  </si>
  <si>
    <t>Факт                      2020 год</t>
  </si>
  <si>
    <t>Факт              2020 год</t>
  </si>
  <si>
    <t xml:space="preserve"> УЧЕТ ОТДЕЛЬНО</t>
  </si>
  <si>
    <t>Биорегулятор Bioxymin</t>
  </si>
  <si>
    <t>Проверка приборов, пробы воды, экспертиза</t>
  </si>
  <si>
    <t xml:space="preserve"> Природный газ не учтен</t>
  </si>
  <si>
    <t>теплоэнергия (природный газ)</t>
  </si>
  <si>
    <t>отопление, (природный газ)</t>
  </si>
  <si>
    <t xml:space="preserve">Тепловая энергия </t>
  </si>
  <si>
    <t>услуги банка, почты, прием платежей</t>
  </si>
  <si>
    <t>Приложение № 1 к Порядку составления, утверждения и установления показателей планов финансово-хозяйственной деятельности МП "Горводоканал"</t>
  </si>
  <si>
    <t>СОГЛАСОВАНО:</t>
  </si>
  <si>
    <t>Начальник Управления городского хозяйства городского округа "Котлас"</t>
  </si>
  <si>
    <t>предложение по корректировке 2022 год</t>
  </si>
  <si>
    <t xml:space="preserve">предложение эксперта по корректировке 2022 </t>
  </si>
  <si>
    <t xml:space="preserve">предложение предприятия по корректировке 2022 </t>
  </si>
  <si>
    <t>Корректировка 2022 год</t>
  </si>
  <si>
    <t>Расчет среднемесячной заработной платы на 2022 год</t>
  </si>
  <si>
    <t>Базовая месячная тарифная ставка рабочего 1 разряда на 2022 год</t>
  </si>
  <si>
    <t>корректир. 2022 год предлож. Предприятия</t>
  </si>
  <si>
    <t>корректир. 2022 год предлож. Эксперта</t>
  </si>
  <si>
    <t>КОРРЕКТИРОВКА 2022 ГОД</t>
  </si>
  <si>
    <t>Предложение предприятия по корректировке 2022 год</t>
  </si>
  <si>
    <t>2022 год корректировка предл. предприятия</t>
  </si>
  <si>
    <t>2022 год предложение эксперта по корректировке</t>
  </si>
  <si>
    <t>2022 год корректировка</t>
  </si>
  <si>
    <t xml:space="preserve">Корректировка 2022 год </t>
  </si>
  <si>
    <t xml:space="preserve">Факт списания  дебиторской задолженности </t>
  </si>
  <si>
    <t>Расчет резерва по сомнительным долгам (КОРРЕКТИРОВКА), тыс. руб.</t>
  </si>
  <si>
    <t>рост 2022 к 2021, %</t>
  </si>
  <si>
    <t>Всего расходов, тыс. руб.</t>
  </si>
  <si>
    <t>СУММА ЗАТРАТ, РУБЛЕЙ НА 1 КИЛОМЕТР</t>
  </si>
  <si>
    <t>ПРОТЯЖЕННОСТЬ СЕТЕЙ ВОДООТВЕДЕНИЯ, км</t>
  </si>
  <si>
    <t>ПРОТЯЖЕННОСТЬ СЕТЕЙ ВОДОСНАБЖЕНИЯ, КМ</t>
  </si>
  <si>
    <t>Проведение АВР (ТРАНСПОРТИРОВКА ВОДЫ В/СЕТИ)</t>
  </si>
  <si>
    <t>ЗАТРАТЫ НА СОДЕРЖАНИЕ И ОБСЛУЖИВАНИЕ СЕТЕЙ ВОДОСНАБЖЕНИЯ (Проведение АВР В/СЕТИ)</t>
  </si>
  <si>
    <t xml:space="preserve">Корректировка                            2021 год </t>
  </si>
  <si>
    <t xml:space="preserve">Корректировка                             2020 год </t>
  </si>
  <si>
    <t>ЗАТРАТЫ НА СОДЕРЖАНИЕ И ОБСЛУЖИВАНИЕ СЕТЕЙ ВОДООТВЕДЕНИЯ (Проведение АВР К/СЕТИ)</t>
  </si>
  <si>
    <t>Проведение АВР (ТРАНСПОРТИРОВКА СТОКОВ К/СЕТИ)</t>
  </si>
  <si>
    <t>Расходы на обслуживание бесхозяных сетей</t>
  </si>
  <si>
    <t>Расходы на обслуживание бесхозяйных сетей</t>
  </si>
  <si>
    <t>Бесхоз. Сети</t>
  </si>
  <si>
    <t>1.1.3.8.</t>
  </si>
  <si>
    <t>расходы на обслуживание бесхозяйных сетей, эксплуатируемых регулируемой организацией</t>
  </si>
  <si>
    <t>Отчисления</t>
  </si>
  <si>
    <t>Дельта сглаживания НВВ</t>
  </si>
  <si>
    <t>Факт 6 мес. 2021 год</t>
  </si>
  <si>
    <t>Факт 2021 год</t>
  </si>
  <si>
    <t>Факт 9 мес 2021 год</t>
  </si>
  <si>
    <t>Факт 6 мес. 2021 г.</t>
  </si>
  <si>
    <t>Факт 9 мес. 2021 г.</t>
  </si>
  <si>
    <t>Факт         2021 г.</t>
  </si>
  <si>
    <t>Факт 2021 г.</t>
  </si>
  <si>
    <t>Факт 6 мес.              2021 г.</t>
  </si>
  <si>
    <t>Факт 9 мес.               2021 г.</t>
  </si>
  <si>
    <t>Факт               2021 г.</t>
  </si>
  <si>
    <t>Факт 6 мес.                2021 год</t>
  </si>
  <si>
    <t>Факт  9 мес               2021 год</t>
  </si>
  <si>
    <t>Факт                 2021 год</t>
  </si>
  <si>
    <t>Факт 6 мес.                2021 г.</t>
  </si>
  <si>
    <t>Факт                2021 г.</t>
  </si>
  <si>
    <t>Факт 9 мес. 2021 год</t>
  </si>
  <si>
    <t xml:space="preserve">Факт 12 мес. 2021 год </t>
  </si>
  <si>
    <t>Факт 6 мес.                      2021 г.</t>
  </si>
  <si>
    <t>Факт 9 мес.                      2021 г.</t>
  </si>
  <si>
    <t>Факт                       2021 г.</t>
  </si>
  <si>
    <t>Факт 6 мес.       2021 г.</t>
  </si>
  <si>
    <t>Факт 9 мес.        2021 г.</t>
  </si>
  <si>
    <t>Факт       2021 г.</t>
  </si>
  <si>
    <t>Факт 6 мес.      2021 год</t>
  </si>
  <si>
    <t>Факт 9 мес.      2021 год</t>
  </si>
  <si>
    <t>Факт      2021 год</t>
  </si>
  <si>
    <t>Факт 6 мес.                      2021 год</t>
  </si>
  <si>
    <t>Факт 9 мес.                     2021 год</t>
  </si>
  <si>
    <t>Факт                      2021 год</t>
  </si>
  <si>
    <t>Факт              2021 год</t>
  </si>
  <si>
    <t>Флокулянт Сибфлок-718</t>
  </si>
  <si>
    <t>Передача бесхозных сетей предлолжение предприятия</t>
  </si>
  <si>
    <t>Передача бесхозных сетей предлолжение АТЦ</t>
  </si>
  <si>
    <t xml:space="preserve">Тариф на водоотведение </t>
  </si>
  <si>
    <t>Расходы на обслуживание бесхоз. сетей</t>
  </si>
  <si>
    <t>налог на прибыль</t>
  </si>
  <si>
    <t>Материальная помощь согласно договору</t>
  </si>
  <si>
    <t>Мат. Помощь</t>
  </si>
  <si>
    <t>Мат. помощь</t>
  </si>
  <si>
    <t>Расчет среднемесячной заработной платы на 2023 год</t>
  </si>
  <si>
    <t>Базовая месячная тарифная ставка рабочего 1 разряда на 2023 год</t>
  </si>
  <si>
    <t>Директор МП "Горводоканал"                                                                               Е.В. Чечерин</t>
  </si>
  <si>
    <t>услуги водоснабжения</t>
  </si>
  <si>
    <t>услуги водоотведения</t>
  </si>
  <si>
    <t>ДОПОЛНИТЕЛЬНО                                 налог на прибыль, в т.ч.:</t>
  </si>
  <si>
    <t xml:space="preserve">Налог на прибыль </t>
  </si>
  <si>
    <t>Основание</t>
  </si>
  <si>
    <t xml:space="preserve">Затраты на выполнение перечня мероприятий по охране труда, промышленной безопасности и гражданской обороне </t>
  </si>
  <si>
    <t>Затраты по проведению инвентаризации сбросов загрязняющих веществ в окружающую среду</t>
  </si>
  <si>
    <t xml:space="preserve">Подпункт «з» пункта 65 постановления Правительства РФ от 13.05.2013 N 406 «О государственном регулировании тарифов в сфере водоснабжения и водоотведения» </t>
  </si>
  <si>
    <t xml:space="preserve">Расходы на социальные нужды, предусмотренные коллективным договором </t>
  </si>
  <si>
    <t xml:space="preserve">Подпункт «в)» пункта 46 постановления Правительства РФ от 13.05.2013 N 406 «О государственном регулировании тарифов в сфере водоснабжения и водоотведения» </t>
  </si>
  <si>
    <t>Выполнение предписания об устранении нарушений обязательных требований в области гражданской обороны</t>
  </si>
  <si>
    <t>Сумма затрат</t>
  </si>
  <si>
    <t>УЧЕТ ДОПОЛНИТЕЛЬНЫХ ЭКОНОМИЧЕСКИ ОБОСНОВАННЫХ ЗАТРАТ МП "ГОРВОДОКАНАЛ" (КОРРЕКТИРОВКА 2023 ГОД)</t>
  </si>
  <si>
    <t>Директор МП "Горводоканал"                                                                                   Е.В. Чечерин</t>
  </si>
  <si>
    <t>предложение по корректировке 2023 год</t>
  </si>
  <si>
    <t>БАЛАНС ВОДОСНАБЖЕНИЯ И ВОДООТВЕДЕНИЯ (КОРРЕКТИРОВКА 2023 ГОД)</t>
  </si>
  <si>
    <t xml:space="preserve">предложение предприятия по корректировке 2023 </t>
  </si>
  <si>
    <t xml:space="preserve">предложение эксперта по корректировке 2023 </t>
  </si>
  <si>
    <t>Директор МП "Горводоканал"                                                                   Е.В. Чечерин</t>
  </si>
  <si>
    <t xml:space="preserve">Пункт 46 постановления Правительства РФ от 13.05.2013 N 406 «О государственном регулировании тарифов в сфере водоснабжения и водоотведения»;                                                                                                         Правила проведения инвентаризации сбросов загрязняющих веществ в окружающую среду, утвержденные Постановлением Правительства Российской Федерации от 13.07.2019 № 891;                    Приказ Минприроды России от 19.11.2021 № 871 </t>
  </si>
  <si>
    <t>Директор МП "Горводоканал"                                                                                                                                       Е.В. Чечерин</t>
  </si>
  <si>
    <t>Директор МП "Горводоканал"                                                                                 Е.В. Чечерин</t>
  </si>
  <si>
    <t>Декларация о плате за негативное воздействие на окружающую среду (КОРРЕКТИРОВКА 2023 ГОД)</t>
  </si>
  <si>
    <t>2023 год корректировка</t>
  </si>
  <si>
    <t xml:space="preserve">Определение налоговой базы по налогу на прибыль </t>
  </si>
  <si>
    <t xml:space="preserve">с учетом особенностей ведения налогового и бухгалтерского учета                                           </t>
  </si>
  <si>
    <t xml:space="preserve"> (в сопоставимых условиях 2021 г.)</t>
  </si>
  <si>
    <t xml:space="preserve">                               </t>
  </si>
  <si>
    <t>(Основные расходы, не учитываемые в целях налогообложения)</t>
  </si>
  <si>
    <t xml:space="preserve">                                                                                                                           (руб.)</t>
  </si>
  <si>
    <t>Налогооблагаемая база налога на прибыль</t>
  </si>
  <si>
    <t>1).</t>
  </si>
  <si>
    <t>Амортизация основных средств, приобретенных за счет бюджетных средств</t>
  </si>
  <si>
    <t>Бухгалтерский учет</t>
  </si>
  <si>
    <t>Налоговый учет</t>
  </si>
  <si>
    <t>2).</t>
  </si>
  <si>
    <t>3).</t>
  </si>
  <si>
    <t>Выплаты по коллективному договору</t>
  </si>
  <si>
    <t>4).</t>
  </si>
  <si>
    <t>Плата за негативное воздействие на окружающую среду с превышением нормативов (сверхлимит)</t>
  </si>
  <si>
    <t>Расчет налога на прибыль (КОРРЕКТИРОВКА 2023)</t>
  </si>
  <si>
    <t>Справочно: Сумма налога на прибыль исчисленная и уплаченная МП «Горводоканал» за 2021 год (в соответствии с прилагаемой налоговой декларацией) составляет 5232,42 тыс. руб.</t>
  </si>
  <si>
    <t>Налог на прибыль                             ВСЕГО</t>
  </si>
  <si>
    <t>Директор МП "Горводоканал"                                                                                                Е.В. Чечерин</t>
  </si>
  <si>
    <t>Расчет налога на имущество (корректировка 2023 год)</t>
  </si>
  <si>
    <t>Директор МП "Горводоканал"                                                                             Е.В. Чечерин</t>
  </si>
  <si>
    <t>Корректировка 2023 год</t>
  </si>
  <si>
    <t>Расчет платы за водопользование на 2019 - 2024 годы МП "Горводоканал" (корректировка 2023 год)</t>
  </si>
  <si>
    <t>Директор МП "Горводоканал"                                                                           Е.В. Чечерин</t>
  </si>
  <si>
    <t>Расчет налоговых обязательств на 2019 - 2024 годы (МП "Горводоканал") КОРРЕКТИРОВКА 2023 год</t>
  </si>
  <si>
    <t>Пункт 45 постановления Правительства РФ от 13.05.2013 N 406 «О государственном регулировании тарифов в сфере водоснабжения и водоотведения»                                                                                             Пункт 30 Приказа ФСТ России от 27.12.2013 N 1746-э</t>
  </si>
  <si>
    <t xml:space="preserve">В соответствии с пунктом 30 Приказа ФСТ России от 27.12.2013 N 1746-э (ред. от 08.10.2020) «Об утверждении Методических указаний по расчету регулируемых тарифов в сфере водоснабжения и водоотведения» при определении размера расходов, связанных с уплатой налогов и сборов, учитываются в том числе и налог на прибыль. </t>
  </si>
  <si>
    <t>В соответствии с пунктом 30 Приказа ФСТ России от 27.12.2013 N 1746-э (ред. от 08.10.2020) «Об утверждении Методических указаний по расчету регулируемых тарифов в сфере водоснабжения и водоотведения» при определении размера расходов, связанных с уплатой налогов и сборов, учитываются в том числе и налог на прибыль.  (сч. 99.02)</t>
  </si>
  <si>
    <t>Директор МП "Горводоканал"                                                    Е.В. Чечерин</t>
  </si>
  <si>
    <t>КОРРЕКТИРОВКА 2023 ГОД</t>
  </si>
  <si>
    <t>Предложение предприятия по корректировке 2023 год</t>
  </si>
  <si>
    <t>ФАКТ 2021 ГОД</t>
  </si>
  <si>
    <t>Расшифровка общехозяйственных расходов МП "Горводоканал" (тыс. руб.) (КОРРЕКТИРОВКА 2023 ГОД)</t>
  </si>
  <si>
    <t>Цеховые расходы по водоснабжению МП "Горводоканал" г. Котлас (КОРРЕКТИРОВКА 2023 ГОД)</t>
  </si>
  <si>
    <t>Директор МП "Горводоканал"                                                                                       Е.В. Чечерин</t>
  </si>
  <si>
    <t>Цеховые расходы по водоотведению МП "Горводоканал" г. Котлас (КОРРЕКТИРОВКА 2023 ГОД)</t>
  </si>
  <si>
    <t>Директор МП "Горводоканал"                                                                                           Е.В. Чечерин</t>
  </si>
  <si>
    <t>Расчет суммы затрат на обслуживание бесхозяйных сетей водоснабжения, эксплуатируемых МП "Горводоканал"                                                                                                                                               на территориии городского округа Архангельской области "Котлас" (КОРРЕКТИРОВКА 2023 ГОД)</t>
  </si>
  <si>
    <t>Расчет затрат на обслуживание бесхозяйных сетей водоотведения, эксплуатируемых МП "Горводоканал"                                                                                                                                                       на территориии городского округа Архангельской области "Котлас" (КОРРЕКТИРОВКА 2023 ГОД)</t>
  </si>
  <si>
    <t>Расчет расходов на траспортирвку пиьевой воды и сточных вод МП "Горводоканал" на 2019 -2024 годы (корректировка 2023 год)</t>
  </si>
  <si>
    <t>Директор МП "Горводоканал"                                                              Е.В. Чечерин</t>
  </si>
  <si>
    <t>2023 год корректировка предл. предприятия</t>
  </si>
  <si>
    <t>2023 год предложение эксперта по корректировке</t>
  </si>
  <si>
    <t>Расчет арендной платы на землю (КОРРЕКТИРОВКА 2023 ГОД)</t>
  </si>
  <si>
    <t>от 17.10.2018 № 4426</t>
  </si>
  <si>
    <t>от 01.01.2020 № 4441</t>
  </si>
  <si>
    <t>стоимость арендной платы в  2022 году, руб.</t>
  </si>
  <si>
    <t>Прогноз                       2023 год</t>
  </si>
  <si>
    <t>Расчет тепловой энергии на станцию 3 подъема  (МП "Горводоканал") (КОРРЕКТИРОВКА 2023 год)</t>
  </si>
  <si>
    <t>Директор МП "Горводоканал"                                                                    Е.В. Чечерин</t>
  </si>
  <si>
    <t>Директор МП "Горводоканал"                                                                                    Е.В. Чечерин</t>
  </si>
  <si>
    <t>Расчет расходов на оплату труда МП "Горводоканал" на 2020 год (КОРРЕКТИРОВКА 2023 ГОД)</t>
  </si>
  <si>
    <t>Директор МП "Горводоканал"                                                                                               Е.В. Чечерин</t>
  </si>
  <si>
    <t>По предложению предприятия базовая ставка рабочего 1 разряда рассчитана исходя из МРОТ с 01.01.2022 в размере 13890 руб. и ИПЦ (планируемым увеличением МРОТ) на 2023 год - 1,1.  Средний разряд основных производственных рабочих рабочих равен 4.</t>
  </si>
  <si>
    <t>Отнесение затрат на ремонт и техническое обслуживание (КОРРЕКТИРОВКА 2023 ГОД)</t>
  </si>
  <si>
    <t>Директор МП "Горводоканал"                                                                                      Е.В. Чечерин</t>
  </si>
  <si>
    <t>корректир. 2023 год предлож. Предприятия</t>
  </si>
  <si>
    <t>корректир. 2023 год предлож. Эксперта</t>
  </si>
  <si>
    <t>Предложение предприятия по корректировке затрат на техническое обслуживание и ремонт на 2023 год</t>
  </si>
  <si>
    <t>Директор МП "Горводоканал"                                                                                  Е.В. Чечерин</t>
  </si>
  <si>
    <t>Амортизационные отчисления по МП "Горводоканал" г. Котласа (КОРРЕКТИРОВКА 2023 ГОД)</t>
  </si>
  <si>
    <t>Факт                 2019 г.</t>
  </si>
  <si>
    <t>Факт                          2020 г.</t>
  </si>
  <si>
    <t>Директор МП "Горводоканал"                                                                                                 Е.В. Чечерин</t>
  </si>
  <si>
    <t>Расчет расходов на электроэнергию, приобретаемую для осуществления деятельности в сфере водоснабжения МП "Горводоканал" на 2019 - 2024 годы (КОРРЕКТИРОВКА 2023 ГОД)</t>
  </si>
  <si>
    <t>Дирктор МП "Горводоканал"                                                                                     Е.В. Чечерин</t>
  </si>
  <si>
    <t>Расчет расходов на электроэнергию, приобретаемую для осуществления деятельности в сфере водоотведения МП "Горводоканал" на 2019 - 2024 годы (КОРРЕКТИРОВКА 2023 ГОД)</t>
  </si>
  <si>
    <t>Директор МП "Горводоканал"                                                                                            Е.В. Чечерин</t>
  </si>
  <si>
    <t>Расчет суммы расходов прошлых периодов, неучтенных при установлении тарифов на 2021 год</t>
  </si>
  <si>
    <t>Факт                                 2021 г.</t>
  </si>
  <si>
    <t>2021 год отклонение</t>
  </si>
  <si>
    <t>Расчет выпадающих расходов Амортизационные отчисления по МП "Горводоканал" г. Котласа за 2021 год</t>
  </si>
  <si>
    <t>Насосная станция 3 подъема (объект построен за счет бюджета муниципального образования и передан в хоз.ведение)</t>
  </si>
  <si>
    <t>Учтено в тарифе на 2021 г.</t>
  </si>
  <si>
    <t>Фактические расходы 2021 г.</t>
  </si>
  <si>
    <t>15 473 904,31</t>
  </si>
  <si>
    <t>7 694 179,60</t>
  </si>
  <si>
    <t>Плата за негативное воздействие на окружающую среду с превышением нормативов</t>
  </si>
  <si>
    <t xml:space="preserve">с учетом особенностей ведения налогового и бухгалтерского учета за 2021 год                                        </t>
  </si>
  <si>
    <t>Расчет выпадающих расходов по налогу на прибыль</t>
  </si>
  <si>
    <t>2.8.</t>
  </si>
  <si>
    <t>Транспортировка стоков КЭМЗ</t>
  </si>
  <si>
    <t>Затраты на выполнение перечня мероприятий по охране труда, промышленной безопасности и гражданской обороне</t>
  </si>
  <si>
    <t>Директор МП "Горводоканал"                                                                                                  Е.В. Чечерин</t>
  </si>
  <si>
    <t>Директор МП "Горводоканал"                                                                                                                                 Е.В. Чечерин</t>
  </si>
  <si>
    <t>Вып. Расх.</t>
  </si>
  <si>
    <t>1. Расчет тарифов на питьевую воду, отпускаемую МП "Горводоканал" потребителям на территории г.Котласа на 2022 год (КОРРЕКТИРОВКА 2023 ГОД)</t>
  </si>
  <si>
    <t>Директор МП "Горводоканал"                                                                                                                     Е.В. Чечерин</t>
  </si>
  <si>
    <t>1.1. Расчет тарифов на питьевую воду, отпускаемую МП "Горводоканал" потребителям на территории г.Котласа на 2022 год (СВОД) (КОРРЕКТИРОВКА 2023 ГОД)</t>
  </si>
  <si>
    <t>Тепловая энергия, природный газ (в цеховых)</t>
  </si>
  <si>
    <t>Вып. Расходы</t>
  </si>
  <si>
    <t>рост 2023 к 2022, %</t>
  </si>
  <si>
    <t>Расчет на 2019 - 2024 годы тарифа на услуги водоотведения (в стадии очистки) для МП "Горводоканал" МО "Котлас" (КОРРЕКТИРОВКА 2023 ГОД)</t>
  </si>
  <si>
    <t>Директор МП "Горводоканал"                                                                                                                          Е.В. Чечерин</t>
  </si>
  <si>
    <t xml:space="preserve">Второй долгосрочный период регулирования 2019 - 2024 годы </t>
  </si>
  <si>
    <t>Директор МП "Горводоканал"                                                                                                                                             Е.В. Чечерин</t>
  </si>
  <si>
    <t>1.1.3.8</t>
  </si>
  <si>
    <t>материальная помощь согласно договору</t>
  </si>
  <si>
    <t>затраты по проведению инвентаризации сбросов загрязняющих веществ в окружающую среду</t>
  </si>
  <si>
    <t>выполнение предписания об устранении нарушений обязательных требований в области гражданской обороны</t>
  </si>
  <si>
    <t>затраты на выполнение перечня мероприятий по охране труда, промышленной безопасности и гражданской обороне</t>
  </si>
  <si>
    <t>1.1.3.9</t>
  </si>
  <si>
    <t>1.1.3.10</t>
  </si>
  <si>
    <t>1.1.3.11</t>
  </si>
  <si>
    <t>рост 2023 к 2021, %</t>
  </si>
  <si>
    <t>рост 2020 к 2019 , %</t>
  </si>
  <si>
    <t>Расчет на 2019 - 2024 годы тарифа на техническую воду воду для МП "Горводоканал" МО "Котлас" (КОРРЕКТИРОВКА 2023 ГОД)</t>
  </si>
  <si>
    <t>Директор МП "Горводоканал"                                                                                                           Е.В. Чечерин</t>
  </si>
  <si>
    <t>Расчет на 2019 - 2024 годы тарифа на питьевую воду для МП "Горводоканал" МО "Котлас" (КОРРЕКТИРОВКА 2023 ГОД)</t>
  </si>
  <si>
    <t>1.1.3.9.</t>
  </si>
  <si>
    <t>Корректировка 2023 год                           1 ВАРИАНТ</t>
  </si>
  <si>
    <t>Корректировка 2023 год          1 ВАРИАНТ</t>
  </si>
  <si>
    <t>Корректировка 2023 год                 1 ВАРИАНТ</t>
  </si>
  <si>
    <t xml:space="preserve">Расчет расходов на хим. реагенты и хим. реактивы  МП "Горводоканал" НЕПОДКОНТРОЛЬНЫЕ РАСХОДЫ (КОРРЕКТИРОВКА 2023 ГОД) </t>
  </si>
  <si>
    <t>2023 год                                                  1 ВАРИАНТ</t>
  </si>
  <si>
    <t>Прочие неподконтрольные расходы (КОРРЕКТИРОВКА 2023 ГОД)</t>
  </si>
  <si>
    <t>Расходы на аренду судна для дноочистительных работ</t>
  </si>
  <si>
    <t>Лизинговая сделка на поставку оборудования с учетом шеф-монтажных работ по реконструкции и модернизации аэротенка и воздуходувной станции на очистных сооружениях г. Котлас (выполнение 1 этапа на 3,5 года)</t>
  </si>
  <si>
    <t>Лизинговая сделка на поставку оборудования с учетом шеф-монтажных работ по реконструкции и модернизации аэротенка и воздуходувной станции на очистных сооружениях г. Котлас (выполнение последующих 3 этапов на 5 лет)</t>
  </si>
  <si>
    <t>Аренда офисного помещения</t>
  </si>
  <si>
    <t>1.1.3.12</t>
  </si>
  <si>
    <t>1.1.3.13</t>
  </si>
  <si>
    <t>1.1.3.14</t>
  </si>
  <si>
    <t>Химреагенты</t>
  </si>
  <si>
    <t>химреагенты</t>
  </si>
  <si>
    <t>расходы на аренду судна для дноочистительных работ</t>
  </si>
  <si>
    <t>аренда офисного помещения</t>
  </si>
  <si>
    <t>2023 год                                                         1 ВАРИАНТ</t>
  </si>
  <si>
    <t>Аренда судна</t>
  </si>
  <si>
    <t>Аренда офиса</t>
  </si>
  <si>
    <t>Лизинг 1 этап</t>
  </si>
  <si>
    <t xml:space="preserve">Лизинг 2,3,4 этап </t>
  </si>
  <si>
    <t>1.1.3.15</t>
  </si>
  <si>
    <t>1. Расчет тарифа на услуги водоотведения, оказываемые МП "Горводоканал" потребителям на территории г. Котласа на 2022 год                                                                                                                                                                     (КОРРЕКТИРОВКА 2023 ГОД)</t>
  </si>
  <si>
    <t>Расчет  на 2019 - 2024 годы тарифа на услуги водоотведения для МП "Горводоканал" МО "Котлас"                               (КОРРЕКТИРОВКА 2023 ГОД)</t>
  </si>
  <si>
    <t xml:space="preserve">2023 год                                                      </t>
  </si>
  <si>
    <t xml:space="preserve">2023 год                                            </t>
  </si>
  <si>
    <t xml:space="preserve">Корректировка 2023 год               </t>
  </si>
  <si>
    <t xml:space="preserve">постановление 406 пункт 65 л РАСХОДЫ НА ХИМРЕАГЕНТЫ являются неподконтрольными расходами </t>
  </si>
  <si>
    <t>Наименование поставщика</t>
  </si>
  <si>
    <t>Наименование химреагента</t>
  </si>
  <si>
    <t>Индекс-дефлятор на 2023 г.</t>
  </si>
  <si>
    <t>Рассчет стоимости  химических реагентов на 2023 год</t>
  </si>
  <si>
    <t>ООО "Группа Компаний "ХимАльянс"</t>
  </si>
  <si>
    <t>цена за 1 т. в ценах 2022 г.</t>
  </si>
  <si>
    <t>цена за 1 т. в ценах 2023 г.</t>
  </si>
  <si>
    <t>СЧ.Ф. 6751              от 03.08.2022</t>
  </si>
  <si>
    <t>СЧ.Ф. 6130029             от 13.07.2022</t>
  </si>
  <si>
    <t>СЧ.Ф. 6125              от 01.03.2022</t>
  </si>
  <si>
    <t>СЧ.Ф. 16113              от 03.07.2022</t>
  </si>
  <si>
    <t>СЧ.Ф. 1605              от 04.07.2022</t>
  </si>
  <si>
    <t>Заключен договор на 2023 год                   № 44/22-ЭА</t>
  </si>
  <si>
    <t>ООО "ПЗХР"</t>
  </si>
  <si>
    <t>Полиоксидхлорид алюминия</t>
  </si>
  <si>
    <t>СЧ.Ф. 97              от 06.05.2022</t>
  </si>
  <si>
    <t>ООО НПФ "Экохим"</t>
  </si>
  <si>
    <t>Флокулянт Сибфлок 718</t>
  </si>
  <si>
    <t>СЧ.Ф. 13              от 15.03.2022</t>
  </si>
  <si>
    <t>1.1. Расчет тарифа на услуги водоотведения, оказываемые МП "Горводоканал" потребителям на территории г. Котласа на 2022 год (СВОД) (КОРРЕКТИРОВКА 2023 год)</t>
  </si>
  <si>
    <t>Е.В. Чечерин</t>
  </si>
  <si>
    <t>Фактические затраты за период 2022 г.</t>
  </si>
  <si>
    <t>Оплата услуг Агента в размере 3 % от сумм, фактически перечисленных денежных средств за услуги водоснабжения и водоотведения</t>
  </si>
  <si>
    <t>Среднее годовое значение</t>
  </si>
  <si>
    <t>Компенсация расходов за расчетно-кассовое обслуживание</t>
  </si>
  <si>
    <t>Компенсация расходов за начисление, сбор и перечисление пени за ЖКУ</t>
  </si>
  <si>
    <t>Оплата услуг Агента за зачисление на лицевые счета потребителей сумм за ЖКУ в размере 1,7 % от сумм, оплаченных в кассу предприятия.</t>
  </si>
  <si>
    <t>Услуги водоснабжения</t>
  </si>
  <si>
    <t>Услуги водоотведения</t>
  </si>
  <si>
    <t>Прогноз суммы затрат на 2023 год с учетом индекса изменения платы граждан за коммунальные услуги - 4 %</t>
  </si>
  <si>
    <t>РАСЧЕТ РАСХОДОВ НА ОПЛАТУ РАБОТ И (ИЛИ) УСЛУГ, ВЫПОЛНЯЕМЫХ СТОРОННИМИ ОРГАНИЗАЦИЯМИ,                                                                         СВЯЗАННЫХ СО СБЫТОВОЙ ДЕЯТЕЛЬНОСТЬЮ МП "ГОРВОДОКАНАЛ" НА 2023 ГОД</t>
  </si>
  <si>
    <t>Сбытовые расходы на оплату услуг расчетного центра</t>
  </si>
  <si>
    <t>Оплата услуг расчетного центра</t>
  </si>
  <si>
    <t>расходы на оплату услуг расчетного центра по начислению и сбору платежей</t>
  </si>
  <si>
    <t xml:space="preserve">Основание: </t>
  </si>
  <si>
    <t>1. Приказ ФАС России от 05.07.2022 № 498/22 "О внесении изменений в приказы ФСТ России от 27.12.2013 № 1746-э и от 16.07.2014 № 1154-э".</t>
  </si>
  <si>
    <t>2. Подпункт 7 пункта 26 приказа ФСТ России от 27.12.2013 N 1746-э (ред. от 05.07.2022) "Об утверждении Методических указаний по расчету регулируемых тарифов в сфере водоснабжения и водоотведения" к сбытовым расходам гарантирующей организации относятся: в том числе и расходы на оплату работ и (или) услуг, выполняемых сторонними организациями или индивидуальными предпринимателями, связанных со сбытовой деятельностью, в экономически обоснованном размере и прочие расходы, связанные со сбытовой деятельностью..."</t>
  </si>
  <si>
    <t>3. Пункт 42 постановления Правительства РФ от 13.05.2013 N 406 (ред. от 30.05.2022) "О государственном регулировании тарифов в сфере водоснабжения и водоотведения".</t>
  </si>
  <si>
    <t>4. Агентский договор от 30.03.2022 о начислении и сборе платежей.</t>
  </si>
  <si>
    <t>Директор МП "Горводоканал"                                                                                                                      Е.В. Чечерин</t>
  </si>
  <si>
    <t>Оплата услуг по Агентскому договору, заключенному                                 МП "Горводоканал" с АО "Центр расчетов" о начислении и сборе платежей</t>
  </si>
  <si>
    <t>Факт 6 мес.                      2022 год</t>
  </si>
  <si>
    <t>Факт                      2022 год</t>
  </si>
  <si>
    <t>Расход природного газа по ООО "Газпром межрегионгаз Ухта" за 2022 год</t>
  </si>
  <si>
    <t xml:space="preserve"> КОС</t>
  </si>
  <si>
    <t xml:space="preserve"> КНС</t>
  </si>
  <si>
    <t>Очистные сооружения водопровода</t>
  </si>
  <si>
    <t>Адм. здание</t>
  </si>
  <si>
    <t xml:space="preserve">Всего </t>
  </si>
  <si>
    <t xml:space="preserve"> ОСВ Конституции, 25</t>
  </si>
  <si>
    <t xml:space="preserve"> ОСВ ДОК </t>
  </si>
  <si>
    <t>кол-во                     тыс. м3</t>
  </si>
  <si>
    <t>сумма, руб.</t>
  </si>
  <si>
    <t>I квартал</t>
  </si>
  <si>
    <t>II квартал</t>
  </si>
  <si>
    <t>6 месяцев</t>
  </si>
  <si>
    <t>III квартал</t>
  </si>
  <si>
    <t>IV квартал</t>
  </si>
  <si>
    <t>ВСЕГО ЗА ГОД</t>
  </si>
  <si>
    <t>Экономист                                              О.В. Гавриленко                                         А.Л. Горынцев</t>
  </si>
  <si>
    <t>Теплоэнергия на водоснабжение за 2022 года</t>
  </si>
  <si>
    <t>(без НДС)</t>
  </si>
  <si>
    <t>ООО "ОК и ТС"</t>
  </si>
  <si>
    <t>Итого отопление</t>
  </si>
  <si>
    <t>ОСВ ул. Чернышевского,12</t>
  </si>
  <si>
    <t>ОСВ ул. Таежная,16 (ст. 3 подъема)</t>
  </si>
  <si>
    <t>КНС п. Вычегодский,                                                       ул. Ульянова, 37А, ул. Энгельса</t>
  </si>
  <si>
    <t>кол-во,           Гкал</t>
  </si>
  <si>
    <t>сумма,               руб.</t>
  </si>
  <si>
    <t>Горынцев А.Л.</t>
  </si>
  <si>
    <t>Сумма кредита</t>
  </si>
  <si>
    <t xml:space="preserve">2024 год </t>
  </si>
  <si>
    <t>2025 год</t>
  </si>
  <si>
    <t>2026 год</t>
  </si>
  <si>
    <t>6 год</t>
  </si>
  <si>
    <t>7 год</t>
  </si>
  <si>
    <t>8 год</t>
  </si>
  <si>
    <t>9 год</t>
  </si>
  <si>
    <t>Ставка, % годовых</t>
  </si>
  <si>
    <t>долг</t>
  </si>
  <si>
    <t>Срок кредита, месяцы</t>
  </si>
  <si>
    <t>проценты</t>
  </si>
  <si>
    <t>Дата выдачи кредита</t>
  </si>
  <si>
    <t>Номер платежа</t>
  </si>
  <si>
    <t>Месяц, год</t>
  </si>
  <si>
    <t>Дата платежа</t>
  </si>
  <si>
    <t>Аннуитетный платеж</t>
  </si>
  <si>
    <t>Дифференцированный платеж</t>
  </si>
  <si>
    <t>Досрочный возврат</t>
  </si>
  <si>
    <t>В погашение долга</t>
  </si>
  <si>
    <t>В погашение процентов</t>
  </si>
  <si>
    <t>Остаток долга после платежа</t>
  </si>
  <si>
    <t>Уменьшение платежа</t>
  </si>
  <si>
    <t>Уменьшение срока</t>
  </si>
  <si>
    <t>Всего:</t>
  </si>
  <si>
    <t>аморт</t>
  </si>
  <si>
    <t xml:space="preserve">Корректировка 2023 год       </t>
  </si>
  <si>
    <t>индексы от 28.09.2022</t>
  </si>
  <si>
    <t>с 01 декабря 2022</t>
  </si>
  <si>
    <t>с 01 декабря</t>
  </si>
  <si>
    <t>ПОЛНАЯ СЕБЕСТОИМОСТЬ УСЛУГ ВОДОСНАБЖЕНИЯ НА 2023 ГОД</t>
  </si>
  <si>
    <t>ЦЕХОВЫЕ РАСХОДЫ ПО ВОДОСНАБЖЕНИЮ НА 2023 год</t>
  </si>
  <si>
    <t>УСЛУГ ВОДОСНАБЖЕНИЯ ЗА 2023 ГОД</t>
  </si>
  <si>
    <t>ПОЛНАЯ СЕБЕСТОИМОСТЬ УСЛУГ ВОДООТВЕДЕНИЯ НА 2023 ГОД</t>
  </si>
  <si>
    <t>Лизинговая сделка на поставку оборудования</t>
  </si>
  <si>
    <t>ЦЕХОВЫЕ РАСХОДЫ ПО ВОДООТВЕДЕНИЮ НА 2023 ГОД</t>
  </si>
  <si>
    <t>УСЛУГ ВОДООТВЕДЕНИЯ ЗА 2023 ГОД</t>
  </si>
  <si>
    <t>РАСЧЕТ ТОВАРНОЙ ВЫРУЧКИ ЗА 2023 ГОД</t>
  </si>
  <si>
    <t xml:space="preserve">План по формированию расходной части МП "Горводоканал" по статьям затрат на услуги водоснабжения на 2023 год </t>
  </si>
  <si>
    <t>_________________________Е.Е. Лукин</t>
  </si>
  <si>
    <t>"___" ___________________ 2023 г.</t>
  </si>
  <si>
    <t xml:space="preserve">План по формированию расходной части МП "Горводоканал" по статьям затрат на услуги водоотведения на 2023 год 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</si>
  <si>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2023 год</t>
  </si>
  <si>
    <t>_________________________ Е.Е. Лукин</t>
  </si>
  <si>
    <t>План по формированию расходной части МП "Горводоканал" по статьям затрат на услуги по транспортировке сточных вод в пос. Вычегодский на 2023 год</t>
  </si>
  <si>
    <t>План финансово-хозяйственной деятельности                                                                                                                               МП "Горводоканал" на 2023 год</t>
  </si>
  <si>
    <t>Е.Е. Чечерин</t>
  </si>
  <si>
    <t>План финансово-хозяйственной деятельности МП "Горводоканал" на 2023 год (в разрезе по месяцам)</t>
  </si>
  <si>
    <t>____________________ Е.В. Чечерин</t>
  </si>
  <si>
    <t>Текущий ремонт и техническое обслуживание (план) на 2023 год</t>
  </si>
  <si>
    <t>Факт 2022 год</t>
  </si>
  <si>
    <t>Факт         2022 г.</t>
  </si>
  <si>
    <t>Факт 6 мес. 2022 год</t>
  </si>
  <si>
    <t>Факт 6 мес.         2022 г.</t>
  </si>
  <si>
    <t>Факт 6 мес.        2022 г.</t>
  </si>
  <si>
    <t>Факт 6 мес. 2022 г.</t>
  </si>
  <si>
    <t>Факт 2022 г.</t>
  </si>
  <si>
    <t>услуги банка и почты, агентский дог.</t>
  </si>
  <si>
    <t>Факт 6 мес.              2022 г.</t>
  </si>
  <si>
    <t>Факт               2022 г.</t>
  </si>
  <si>
    <t>Факт 6 мес.                2022 год</t>
  </si>
  <si>
    <t>Факт                 2022 год</t>
  </si>
  <si>
    <t>Факт 6 мес.                2022 г.</t>
  </si>
  <si>
    <t>Факт                2022 г.</t>
  </si>
  <si>
    <t>ФАКТ 6 МЕС. 2022 г.</t>
  </si>
  <si>
    <t>ФАКТ 2022 год</t>
  </si>
  <si>
    <t>Прочие расходы (договор аренды)</t>
  </si>
  <si>
    <t>Договор на оказание информационно-консультационных услуг</t>
  </si>
  <si>
    <t>Малоценное имущество и запасы</t>
  </si>
  <si>
    <t>Факт 6 мес.                      2022 г.</t>
  </si>
  <si>
    <t>Факт                       2022 г.</t>
  </si>
  <si>
    <t>Факт 6 мес.       2022 г.</t>
  </si>
  <si>
    <t>Факт       2022 г.</t>
  </si>
  <si>
    <t>Факт 6 мес.      2022 год</t>
  </si>
  <si>
    <t>Факт      2022 год</t>
  </si>
  <si>
    <t>Факт 6 мес 2022 год</t>
  </si>
  <si>
    <t>Факт 6 мес.             2022 год</t>
  </si>
  <si>
    <t>Факт              2022 год</t>
  </si>
  <si>
    <t>Малоценное имущество</t>
  </si>
  <si>
    <t xml:space="preserve">Малоценное имущество </t>
  </si>
  <si>
    <t>Всего доходов, с учетом пов. коэффициента:</t>
  </si>
  <si>
    <t>СПРАВОЧНО: повышающий коэффициент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</si>
</sst>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</numFmts>
  <fonts count="20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i/>
      <sz val="14"/>
      <color theme="0"/>
      <name val="Times New Roman"/>
      <family val="1"/>
      <charset val="204"/>
    </font>
    <font>
      <i/>
      <sz val="10"/>
      <color theme="0"/>
      <name val="Times New Roman"/>
      <family val="1"/>
      <charset val="204"/>
    </font>
    <font>
      <i/>
      <sz val="14"/>
      <name val="Arial Cyr"/>
      <charset val="204"/>
    </font>
    <font>
      <i/>
      <sz val="18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0"/>
      <color theme="0"/>
      <name val="Arial Cyr"/>
      <charset val="204"/>
    </font>
    <font>
      <sz val="4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4"/>
      <color theme="0"/>
      <name val="Times New Roman"/>
      <family val="1"/>
      <charset val="204"/>
    </font>
    <font>
      <sz val="12"/>
      <color theme="0"/>
      <name val="Times New Roman"/>
      <family val="1"/>
      <charset val="204"/>
    </font>
    <font>
      <b/>
      <i/>
      <sz val="12"/>
      <color theme="0"/>
      <name val="Times New Roman"/>
      <family val="1"/>
      <charset val="204"/>
    </font>
    <font>
      <b/>
      <i/>
      <sz val="11"/>
      <color theme="0"/>
      <name val="Times New Roman"/>
      <family val="1"/>
      <charset val="204"/>
    </font>
    <font>
      <sz val="9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0"/>
      <name val="Arial"/>
      <family val="2"/>
      <charset val="1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0"/>
      <color theme="0"/>
      <name val="Arial Cyr"/>
      <family val="2"/>
      <charset val="204"/>
    </font>
    <font>
      <sz val="10"/>
      <color theme="0"/>
      <name val="Arial Cyr"/>
      <family val="2"/>
      <charset val="204"/>
    </font>
    <font>
      <b/>
      <sz val="10"/>
      <color indexed="22"/>
      <name val="Arial Cyr"/>
      <family val="2"/>
      <charset val="204"/>
    </font>
    <font>
      <sz val="10"/>
      <color theme="0"/>
      <name val="Arial"/>
      <family val="2"/>
      <charset val="204"/>
    </font>
    <font>
      <sz val="10"/>
      <color indexed="22"/>
      <name val="Arial Cyr"/>
      <family val="2"/>
      <charset val="204"/>
    </font>
    <font>
      <sz val="10"/>
      <color indexed="9"/>
      <name val="Arial Cyr"/>
      <family val="2"/>
      <charset val="204"/>
    </font>
    <font>
      <b/>
      <sz val="11"/>
      <color rgb="FFFF0000"/>
      <name val="Times New Roman"/>
      <family val="1"/>
      <charset val="204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BFBC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47"/>
      </patternFill>
    </fill>
    <fill>
      <patternFill patternType="solid">
        <fgColor indexed="27"/>
        <bgColor indexed="41"/>
      </patternFill>
    </fill>
    <fill>
      <patternFill patternType="solid">
        <fgColor rgb="FFFFFF00"/>
        <bgColor indexed="41"/>
      </patternFill>
    </fill>
    <fill>
      <patternFill patternType="solid">
        <fgColor theme="8" tint="0.79998168889431442"/>
        <bgColor indexed="41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8" tint="0.79998168889431442"/>
        <bgColor indexed="47"/>
      </patternFill>
    </fill>
    <fill>
      <patternFill patternType="solid">
        <fgColor theme="9" tint="0.79998168889431442"/>
        <bgColor indexed="47"/>
      </patternFill>
    </fill>
  </fills>
  <borders count="3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192">
    <xf numFmtId="0" fontId="0" fillId="0" borderId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2" borderId="0" applyNumberFormat="0" applyBorder="0" applyAlignment="0" applyProtection="0"/>
    <xf numFmtId="0" fontId="27" fillId="3" borderId="0" applyNumberFormat="0" applyBorder="0" applyAlignment="0" applyProtection="0"/>
    <xf numFmtId="0" fontId="27" fillId="4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7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7" fillId="8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8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39" fillId="3" borderId="0" applyNumberFormat="0" applyBorder="0" applyAlignment="0" applyProtection="0"/>
    <xf numFmtId="0" fontId="31" fillId="20" borderId="1" applyNumberFormat="0" applyAlignment="0" applyProtection="0"/>
    <xf numFmtId="0" fontId="36" fillId="21" borderId="2" applyNumberFormat="0" applyAlignment="0" applyProtection="0"/>
    <xf numFmtId="0" fontId="40" fillId="0" borderId="0" applyNumberFormat="0" applyFill="0" applyBorder="0" applyAlignment="0" applyProtection="0"/>
    <xf numFmtId="0" fontId="43" fillId="4" borderId="0" applyNumberFormat="0" applyBorder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29" fillId="7" borderId="1" applyNumberFormat="0" applyAlignment="0" applyProtection="0"/>
    <xf numFmtId="0" fontId="41" fillId="0" borderId="6" applyNumberFormat="0" applyFill="0" applyAlignment="0" applyProtection="0"/>
    <xf numFmtId="0" fontId="38" fillId="22" borderId="0" applyNumberFormat="0" applyBorder="0" applyAlignment="0" applyProtection="0"/>
    <xf numFmtId="0" fontId="27" fillId="23" borderId="7" applyNumberFormat="0" applyFont="0" applyAlignment="0" applyProtection="0"/>
    <xf numFmtId="0" fontId="30" fillId="20" borderId="8" applyNumberFormat="0" applyAlignment="0" applyProtection="0"/>
    <xf numFmtId="0" fontId="37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42" fillId="0" borderId="0" applyNumberFormat="0" applyFill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28" fillId="19" borderId="0" applyNumberFormat="0" applyBorder="0" applyAlignment="0" applyProtection="0"/>
    <xf numFmtId="0" fontId="29" fillId="7" borderId="1" applyNumberFormat="0" applyAlignment="0" applyProtection="0"/>
    <xf numFmtId="0" fontId="30" fillId="20" borderId="8" applyNumberFormat="0" applyAlignment="0" applyProtection="0"/>
    <xf numFmtId="0" fontId="31" fillId="20" borderId="1" applyNumberFormat="0" applyAlignment="0" applyProtection="0"/>
    <xf numFmtId="0" fontId="32" fillId="0" borderId="3" applyNumberFormat="0" applyFill="0" applyAlignment="0" applyProtection="0"/>
    <xf numFmtId="0" fontId="33" fillId="0" borderId="4" applyNumberFormat="0" applyFill="0" applyAlignment="0" applyProtection="0"/>
    <xf numFmtId="0" fontId="34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21" borderId="2" applyNumberFormat="0" applyAlignment="0" applyProtection="0"/>
    <xf numFmtId="0" fontId="37" fillId="0" borderId="0" applyNumberFormat="0" applyFill="0" applyBorder="0" applyAlignment="0" applyProtection="0"/>
    <xf numFmtId="0" fontId="38" fillId="22" borderId="0" applyNumberFormat="0" applyBorder="0" applyAlignment="0" applyProtection="0"/>
    <xf numFmtId="0" fontId="20" fillId="0" borderId="0"/>
    <xf numFmtId="0" fontId="20" fillId="0" borderId="0"/>
    <xf numFmtId="0" fontId="8" fillId="0" borderId="0"/>
    <xf numFmtId="0" fontId="20" fillId="0" borderId="0"/>
    <xf numFmtId="0" fontId="27" fillId="0" borderId="0"/>
    <xf numFmtId="0" fontId="39" fillId="3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23" borderId="7" applyNumberFormat="0" applyFont="0" applyAlignment="0" applyProtection="0"/>
    <xf numFmtId="9" fontId="8" fillId="0" borderId="0" applyFont="0" applyFill="0" applyBorder="0" applyAlignment="0" applyProtection="0"/>
    <xf numFmtId="9" fontId="26" fillId="0" borderId="0" applyFill="0" applyBorder="0" applyAlignment="0" applyProtection="0"/>
    <xf numFmtId="0" fontId="41" fillId="0" borderId="6" applyNumberFormat="0" applyFill="0" applyAlignment="0" applyProtection="0"/>
    <xf numFmtId="0" fontId="42" fillId="0" borderId="0" applyNumberFormat="0" applyFill="0" applyBorder="0" applyAlignment="0" applyProtection="0"/>
    <xf numFmtId="165" fontId="8" fillId="0" borderId="0" applyFont="0" applyFill="0" applyBorder="0" applyAlignment="0" applyProtection="0"/>
    <xf numFmtId="172" fontId="26" fillId="0" borderId="0" applyFill="0" applyBorder="0" applyAlignment="0" applyProtection="0"/>
    <xf numFmtId="172" fontId="26" fillId="0" borderId="0" applyFill="0" applyBorder="0" applyAlignment="0" applyProtection="0"/>
    <xf numFmtId="175" fontId="20" fillId="0" borderId="0" applyFont="0" applyFill="0" applyBorder="0" applyAlignment="0" applyProtection="0"/>
    <xf numFmtId="172" fontId="26" fillId="0" borderId="0" applyFill="0" applyBorder="0" applyAlignment="0" applyProtection="0"/>
    <xf numFmtId="173" fontId="26" fillId="0" borderId="0" applyFill="0" applyBorder="0" applyAlignment="0" applyProtection="0"/>
    <xf numFmtId="0" fontId="43" fillId="4" borderId="0" applyNumberFormat="0" applyBorder="0" applyAlignment="0" applyProtection="0"/>
    <xf numFmtId="0" fontId="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9" fillId="39" borderId="0"/>
    <xf numFmtId="0" fontId="100" fillId="0" borderId="0">
      <alignment horizontal="left" vertical="center" wrapText="1"/>
    </xf>
    <xf numFmtId="0" fontId="101" fillId="0" borderId="0">
      <alignment horizontal="left" vertical="center" wrapText="1" indent="1"/>
    </xf>
    <xf numFmtId="0" fontId="101" fillId="0" borderId="0">
      <alignment horizontal="left" vertical="center" wrapText="1" indent="3"/>
    </xf>
    <xf numFmtId="179" fontId="26" fillId="0" borderId="0" applyFill="0" applyBorder="0" applyAlignment="0" applyProtection="0"/>
    <xf numFmtId="180" fontId="26" fillId="0" borderId="0" applyFill="0" applyBorder="0" applyAlignment="0" applyProtection="0"/>
    <xf numFmtId="181" fontId="26" fillId="0" borderId="0" applyFill="0" applyBorder="0" applyAlignment="0" applyProtection="0"/>
    <xf numFmtId="182" fontId="26" fillId="0" borderId="0" applyFill="0" applyBorder="0" applyAlignment="0" applyProtection="0"/>
    <xf numFmtId="0" fontId="99" fillId="0" borderId="159"/>
    <xf numFmtId="0" fontId="27" fillId="0" borderId="0"/>
    <xf numFmtId="0" fontId="27" fillId="0" borderId="0"/>
    <xf numFmtId="0" fontId="27" fillId="0" borderId="0"/>
    <xf numFmtId="0" fontId="20" fillId="0" borderId="0"/>
    <xf numFmtId="0" fontId="99" fillId="0" borderId="0"/>
    <xf numFmtId="0" fontId="20" fillId="0" borderId="0" applyNumberFormat="0" applyFill="0" applyBorder="0" applyAlignment="0" applyProtection="0"/>
    <xf numFmtId="0" fontId="20" fillId="0" borderId="0"/>
    <xf numFmtId="0" fontId="102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183" fontId="26" fillId="0" borderId="0" applyFill="0" applyBorder="0" applyAlignment="0" applyProtection="0"/>
    <xf numFmtId="183" fontId="26" fillId="0" borderId="0" applyFill="0" applyBorder="0" applyAlignment="0" applyProtection="0"/>
    <xf numFmtId="0" fontId="27" fillId="0" borderId="0"/>
    <xf numFmtId="0" fontId="26" fillId="0" borderId="0"/>
    <xf numFmtId="0" fontId="27" fillId="0" borderId="0"/>
    <xf numFmtId="0" fontId="20" fillId="0" borderId="0"/>
    <xf numFmtId="0" fontId="26" fillId="0" borderId="0"/>
    <xf numFmtId="0" fontId="27" fillId="0" borderId="0"/>
    <xf numFmtId="0" fontId="27" fillId="0" borderId="0"/>
    <xf numFmtId="0" fontId="8" fillId="0" borderId="0"/>
    <xf numFmtId="0" fontId="103" fillId="0" borderId="0"/>
    <xf numFmtId="0" fontId="8" fillId="0" borderId="0"/>
    <xf numFmtId="0" fontId="8" fillId="0" borderId="0"/>
    <xf numFmtId="9" fontId="26" fillId="0" borderId="0" applyFill="0" applyBorder="0" applyAlignment="0" applyProtection="0"/>
    <xf numFmtId="9" fontId="8" fillId="0" borderId="0" applyFont="0" applyFill="0" applyBorder="0" applyAlignment="0" applyProtection="0"/>
    <xf numFmtId="9" fontId="27" fillId="0" borderId="0"/>
    <xf numFmtId="9" fontId="27" fillId="0" borderId="0"/>
    <xf numFmtId="9" fontId="26" fillId="0" borderId="0" applyFill="0" applyBorder="0" applyAlignment="0" applyProtection="0"/>
    <xf numFmtId="9" fontId="26" fillId="0" borderId="0" applyFill="0" applyBorder="0" applyAlignment="0" applyProtection="0"/>
    <xf numFmtId="184" fontId="26" fillId="0" borderId="0" applyFill="0" applyBorder="0" applyAlignment="0" applyProtection="0"/>
    <xf numFmtId="185" fontId="26" fillId="0" borderId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4" fillId="0" borderId="0"/>
    <xf numFmtId="0" fontId="3" fillId="0" borderId="0"/>
    <xf numFmtId="0" fontId="31" fillId="20" borderId="280" applyNumberFormat="0" applyAlignment="0" applyProtection="0"/>
    <xf numFmtId="0" fontId="29" fillId="7" borderId="280" applyNumberFormat="0" applyAlignment="0" applyProtection="0"/>
    <xf numFmtId="0" fontId="27" fillId="23" borderId="228" applyNumberFormat="0" applyFont="0" applyAlignment="0" applyProtection="0"/>
    <xf numFmtId="0" fontId="30" fillId="20" borderId="281" applyNumberFormat="0" applyAlignment="0" applyProtection="0"/>
    <xf numFmtId="0" fontId="35" fillId="0" borderId="282" applyNumberFormat="0" applyFill="0" applyAlignment="0" applyProtection="0"/>
    <xf numFmtId="0" fontId="29" fillId="7" borderId="280" applyNumberFormat="0" applyAlignment="0" applyProtection="0"/>
    <xf numFmtId="0" fontId="30" fillId="20" borderId="281" applyNumberFormat="0" applyAlignment="0" applyProtection="0"/>
    <xf numFmtId="0" fontId="31" fillId="20" borderId="280" applyNumberFormat="0" applyAlignment="0" applyProtection="0"/>
    <xf numFmtId="0" fontId="35" fillId="0" borderId="282" applyNumberFormat="0" applyFill="0" applyAlignment="0" applyProtection="0"/>
    <xf numFmtId="0" fontId="8" fillId="23" borderId="22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1" fillId="20" borderId="283" applyNumberFormat="0" applyAlignment="0" applyProtection="0"/>
    <xf numFmtId="0" fontId="29" fillId="7" borderId="283" applyNumberFormat="0" applyAlignment="0" applyProtection="0"/>
    <xf numFmtId="0" fontId="27" fillId="23" borderId="284" applyNumberFormat="0" applyFont="0" applyAlignment="0" applyProtection="0"/>
    <xf numFmtId="0" fontId="30" fillId="20" borderId="281" applyNumberFormat="0" applyAlignment="0" applyProtection="0"/>
    <xf numFmtId="0" fontId="35" fillId="0" borderId="282" applyNumberFormat="0" applyFill="0" applyAlignment="0" applyProtection="0"/>
    <xf numFmtId="0" fontId="29" fillId="7" borderId="283" applyNumberFormat="0" applyAlignment="0" applyProtection="0"/>
    <xf numFmtId="0" fontId="30" fillId="20" borderId="281" applyNumberFormat="0" applyAlignment="0" applyProtection="0"/>
    <xf numFmtId="0" fontId="31" fillId="20" borderId="283" applyNumberFormat="0" applyAlignment="0" applyProtection="0"/>
    <xf numFmtId="0" fontId="35" fillId="0" borderId="282" applyNumberFormat="0" applyFill="0" applyAlignment="0" applyProtection="0"/>
    <xf numFmtId="0" fontId="8" fillId="23" borderId="284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31" fillId="20" borderId="285" applyNumberFormat="0" applyAlignment="0" applyProtection="0"/>
    <xf numFmtId="0" fontId="29" fillId="7" borderId="285" applyNumberFormat="0" applyAlignment="0" applyProtection="0"/>
    <xf numFmtId="0" fontId="27" fillId="23" borderId="286" applyNumberFormat="0" applyFont="0" applyAlignment="0" applyProtection="0"/>
    <xf numFmtId="0" fontId="30" fillId="20" borderId="287" applyNumberFormat="0" applyAlignment="0" applyProtection="0"/>
    <xf numFmtId="0" fontId="35" fillId="0" borderId="288" applyNumberFormat="0" applyFill="0" applyAlignment="0" applyProtection="0"/>
    <xf numFmtId="0" fontId="29" fillId="7" borderId="285" applyNumberFormat="0" applyAlignment="0" applyProtection="0"/>
    <xf numFmtId="0" fontId="30" fillId="20" borderId="287" applyNumberFormat="0" applyAlignment="0" applyProtection="0"/>
    <xf numFmtId="0" fontId="31" fillId="20" borderId="285" applyNumberFormat="0" applyAlignment="0" applyProtection="0"/>
    <xf numFmtId="0" fontId="35" fillId="0" borderId="288" applyNumberFormat="0" applyFill="0" applyAlignment="0" applyProtection="0"/>
    <xf numFmtId="0" fontId="8" fillId="23" borderId="286" applyNumberFormat="0" applyFont="0" applyAlignment="0" applyProtection="0"/>
    <xf numFmtId="175" fontId="20" fillId="0" borderId="0" applyFont="0" applyFill="0" applyBorder="0" applyAlignment="0" applyProtection="0"/>
    <xf numFmtId="0" fontId="199" fillId="0" borderId="0"/>
    <xf numFmtId="9" fontId="20" fillId="0" borderId="0" applyFont="0" applyFill="0" applyBorder="0" applyAlignment="0" applyProtection="0"/>
    <xf numFmtId="0" fontId="1" fillId="0" borderId="0"/>
  </cellStyleXfs>
  <cellXfs count="6593">
    <xf numFmtId="0" fontId="0" fillId="0" borderId="0" xfId="0"/>
    <xf numFmtId="0" fontId="9" fillId="0" borderId="0" xfId="0" applyFont="1" applyAlignment="1">
      <alignment horizontal="center"/>
    </xf>
    <xf numFmtId="0" fontId="14" fillId="0" borderId="10" xfId="0" applyFont="1" applyBorder="1" applyAlignment="1">
      <alignment horizontal="center" vertical="center"/>
    </xf>
    <xf numFmtId="0" fontId="14" fillId="0" borderId="10" xfId="0" applyFont="1" applyBorder="1"/>
    <xf numFmtId="0" fontId="14" fillId="0" borderId="10" xfId="0" applyFont="1" applyBorder="1" applyAlignment="1">
      <alignment horizontal="center"/>
    </xf>
    <xf numFmtId="0" fontId="14" fillId="0" borderId="0" xfId="0" applyFont="1"/>
    <xf numFmtId="169" fontId="15" fillId="0" borderId="10" xfId="0" applyNumberFormat="1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3" fillId="0" borderId="10" xfId="0" applyFont="1" applyBorder="1"/>
    <xf numFmtId="0" fontId="13" fillId="0" borderId="10" xfId="0" applyFont="1" applyBorder="1" applyAlignment="1">
      <alignment horizontal="center"/>
    </xf>
    <xf numFmtId="169" fontId="13" fillId="0" borderId="10" xfId="0" applyNumberFormat="1" applyFont="1" applyBorder="1" applyAlignment="1">
      <alignment horizontal="center"/>
    </xf>
    <xf numFmtId="169" fontId="14" fillId="0" borderId="10" xfId="0" applyNumberFormat="1" applyFont="1" applyBorder="1" applyAlignment="1">
      <alignment horizontal="center"/>
    </xf>
    <xf numFmtId="169" fontId="14" fillId="0" borderId="10" xfId="0" applyNumberFormat="1" applyFont="1" applyFill="1" applyBorder="1" applyAlignment="1">
      <alignment horizontal="center"/>
    </xf>
    <xf numFmtId="2" fontId="13" fillId="0" borderId="10" xfId="0" applyNumberFormat="1" applyFont="1" applyBorder="1" applyAlignment="1">
      <alignment horizontal="center"/>
    </xf>
    <xf numFmtId="0" fontId="13" fillId="0" borderId="10" xfId="0" applyFont="1" applyFill="1" applyBorder="1"/>
    <xf numFmtId="2" fontId="14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4" fillId="0" borderId="10" xfId="0" applyNumberFormat="1" applyFont="1" applyBorder="1" applyAlignment="1">
      <alignment horizontal="center" vertical="center"/>
    </xf>
    <xf numFmtId="169" fontId="13" fillId="0" borderId="10" xfId="0" applyNumberFormat="1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/>
    </xf>
    <xf numFmtId="169" fontId="14" fillId="0" borderId="11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 wrapText="1"/>
    </xf>
    <xf numFmtId="2" fontId="14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3" fillId="0" borderId="0" xfId="0" applyFont="1" applyFill="1" applyBorder="1"/>
    <xf numFmtId="0" fontId="13" fillId="0" borderId="0" xfId="0" applyFont="1" applyBorder="1" applyAlignment="1">
      <alignment horizontal="center"/>
    </xf>
    <xf numFmtId="0" fontId="14" fillId="0" borderId="0" xfId="0" applyFont="1" applyBorder="1"/>
    <xf numFmtId="169" fontId="14" fillId="0" borderId="10" xfId="0" applyNumberFormat="1" applyFont="1" applyBorder="1" applyAlignment="1">
      <alignment horizontal="center" vertical="center" wrapText="1"/>
    </xf>
    <xf numFmtId="169" fontId="15" fillId="0" borderId="10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/>
    <xf numFmtId="0" fontId="14" fillId="0" borderId="12" xfId="0" applyFont="1" applyBorder="1"/>
    <xf numFmtId="0" fontId="14" fillId="0" borderId="14" xfId="0" applyFont="1" applyBorder="1" applyAlignment="1">
      <alignment wrapText="1"/>
    </xf>
    <xf numFmtId="0" fontId="14" fillId="0" borderId="15" xfId="0" applyFont="1" applyBorder="1"/>
    <xf numFmtId="0" fontId="14" fillId="0" borderId="13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169" fontId="14" fillId="0" borderId="12" xfId="0" applyNumberFormat="1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169" fontId="15" fillId="0" borderId="18" xfId="0" applyNumberFormat="1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169" fontId="15" fillId="0" borderId="20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 vertical="center" wrapText="1"/>
    </xf>
    <xf numFmtId="169" fontId="15" fillId="0" borderId="20" xfId="0" applyNumberFormat="1" applyFont="1" applyBorder="1" applyAlignment="1">
      <alignment horizontal="center" vertical="center"/>
    </xf>
    <xf numFmtId="0" fontId="14" fillId="0" borderId="21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169" fontId="15" fillId="0" borderId="23" xfId="0" applyNumberFormat="1" applyFont="1" applyBorder="1" applyAlignment="1">
      <alignment horizontal="center"/>
    </xf>
    <xf numFmtId="169" fontId="14" fillId="0" borderId="22" xfId="0" applyNumberFormat="1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169" fontId="15" fillId="0" borderId="22" xfId="0" applyNumberFormat="1" applyFont="1" applyBorder="1" applyAlignment="1">
      <alignment horizontal="center"/>
    </xf>
    <xf numFmtId="169" fontId="15" fillId="0" borderId="17" xfId="0" applyNumberFormat="1" applyFont="1" applyBorder="1" applyAlignment="1">
      <alignment horizontal="center"/>
    </xf>
    <xf numFmtId="0" fontId="14" fillId="0" borderId="12" xfId="0" applyFont="1" applyBorder="1" applyAlignment="1">
      <alignment vertical="center" wrapText="1"/>
    </xf>
    <xf numFmtId="0" fontId="14" fillId="0" borderId="19" xfId="0" applyFont="1" applyBorder="1" applyAlignment="1">
      <alignment horizontal="center" vertical="center"/>
    </xf>
    <xf numFmtId="168" fontId="14" fillId="0" borderId="10" xfId="0" applyNumberFormat="1" applyFont="1" applyBorder="1" applyAlignment="1">
      <alignment horizontal="center"/>
    </xf>
    <xf numFmtId="2" fontId="13" fillId="0" borderId="10" xfId="0" applyNumberFormat="1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2" fontId="17" fillId="0" borderId="0" xfId="0" applyNumberFormat="1" applyFont="1" applyAlignment="1">
      <alignment horizontal="center"/>
    </xf>
    <xf numFmtId="2" fontId="14" fillId="0" borderId="10" xfId="0" applyNumberFormat="1" applyFont="1" applyBorder="1"/>
    <xf numFmtId="168" fontId="13" fillId="0" borderId="10" xfId="0" applyNumberFormat="1" applyFont="1" applyBorder="1" applyAlignment="1">
      <alignment horizontal="center" vertical="top" wrapText="1"/>
    </xf>
    <xf numFmtId="1" fontId="13" fillId="0" borderId="10" xfId="0" applyNumberFormat="1" applyFont="1" applyBorder="1" applyAlignment="1">
      <alignment horizontal="center" vertical="top" wrapText="1"/>
    </xf>
    <xf numFmtId="2" fontId="13" fillId="0" borderId="10" xfId="0" applyNumberFormat="1" applyFont="1" applyBorder="1" applyAlignment="1">
      <alignment horizontal="center" vertical="top" wrapText="1"/>
    </xf>
    <xf numFmtId="2" fontId="13" fillId="0" borderId="25" xfId="0" applyNumberFormat="1" applyFont="1" applyBorder="1" applyAlignment="1">
      <alignment horizontal="center" vertical="top" wrapText="1"/>
    </xf>
    <xf numFmtId="168" fontId="14" fillId="0" borderId="19" xfId="0" applyNumberFormat="1" applyFont="1" applyBorder="1" applyAlignment="1">
      <alignment horizontal="center" vertical="top" wrapText="1"/>
    </xf>
    <xf numFmtId="1" fontId="14" fillId="0" borderId="10" xfId="0" applyNumberFormat="1" applyFont="1" applyBorder="1" applyAlignment="1">
      <alignment horizontal="center" vertical="top" wrapText="1"/>
    </xf>
    <xf numFmtId="2" fontId="14" fillId="0" borderId="25" xfId="0" applyNumberFormat="1" applyFont="1" applyBorder="1" applyAlignment="1">
      <alignment horizontal="center" vertical="top" wrapText="1"/>
    </xf>
    <xf numFmtId="168" fontId="14" fillId="0" borderId="10" xfId="0" applyNumberFormat="1" applyFont="1" applyBorder="1" applyAlignment="1">
      <alignment horizontal="center" vertical="top" wrapText="1"/>
    </xf>
    <xf numFmtId="2" fontId="14" fillId="0" borderId="10" xfId="0" applyNumberFormat="1" applyFont="1" applyBorder="1" applyAlignment="1">
      <alignment horizontal="center" vertical="top" wrapText="1"/>
    </xf>
    <xf numFmtId="169" fontId="14" fillId="0" borderId="25" xfId="0" applyNumberFormat="1" applyFont="1" applyBorder="1"/>
    <xf numFmtId="168" fontId="16" fillId="0" borderId="10" xfId="0" applyNumberFormat="1" applyFont="1" applyBorder="1" applyAlignment="1">
      <alignment horizontal="center" vertical="top" wrapText="1"/>
    </xf>
    <xf numFmtId="1" fontId="16" fillId="0" borderId="10" xfId="0" applyNumberFormat="1" applyFont="1" applyBorder="1" applyAlignment="1">
      <alignment horizontal="center" vertical="top" wrapText="1"/>
    </xf>
    <xf numFmtId="2" fontId="16" fillId="0" borderId="25" xfId="0" applyNumberFormat="1" applyFont="1" applyBorder="1" applyAlignment="1">
      <alignment horizontal="center" vertical="top" wrapText="1"/>
    </xf>
    <xf numFmtId="168" fontId="23" fillId="0" borderId="10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0" fontId="14" fillId="0" borderId="25" xfId="0" applyFont="1" applyBorder="1"/>
    <xf numFmtId="168" fontId="24" fillId="0" borderId="10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wrapText="1"/>
    </xf>
    <xf numFmtId="1" fontId="24" fillId="0" borderId="10" xfId="0" applyNumberFormat="1" applyFont="1" applyBorder="1" applyAlignment="1">
      <alignment horizontal="center"/>
    </xf>
    <xf numFmtId="2" fontId="24" fillId="0" borderId="10" xfId="0" applyNumberFormat="1" applyFont="1" applyBorder="1" applyAlignment="1">
      <alignment horizontal="center"/>
    </xf>
    <xf numFmtId="168" fontId="22" fillId="0" borderId="10" xfId="0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1" fontId="25" fillId="0" borderId="10" xfId="0" applyNumberFormat="1" applyFont="1" applyBorder="1" applyAlignment="1">
      <alignment horizontal="center"/>
    </xf>
    <xf numFmtId="2" fontId="25" fillId="0" borderId="10" xfId="0" applyNumberFormat="1" applyFont="1" applyBorder="1" applyAlignment="1">
      <alignment horizontal="center"/>
    </xf>
    <xf numFmtId="168" fontId="25" fillId="0" borderId="10" xfId="0" applyNumberFormat="1" applyFont="1" applyBorder="1" applyAlignment="1">
      <alignment horizontal="center"/>
    </xf>
    <xf numFmtId="2" fontId="21" fillId="0" borderId="10" xfId="0" applyNumberFormat="1" applyFont="1" applyBorder="1"/>
    <xf numFmtId="2" fontId="14" fillId="0" borderId="10" xfId="0" applyNumberFormat="1" applyFont="1" applyBorder="1" applyAlignment="1">
      <alignment horizontal="right"/>
    </xf>
    <xf numFmtId="2" fontId="14" fillId="0" borderId="10" xfId="0" applyNumberFormat="1" applyFont="1" applyBorder="1" applyAlignment="1">
      <alignment horizontal="center" vertical="center" wrapText="1"/>
    </xf>
    <xf numFmtId="168" fontId="14" fillId="0" borderId="10" xfId="0" applyNumberFormat="1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168" fontId="13" fillId="0" borderId="10" xfId="0" applyNumberFormat="1" applyFont="1" applyBorder="1" applyAlignment="1">
      <alignment horizontal="center" vertical="center"/>
    </xf>
    <xf numFmtId="168" fontId="24" fillId="0" borderId="10" xfId="0" applyNumberFormat="1" applyFont="1" applyBorder="1" applyAlignment="1">
      <alignment horizontal="center" vertical="center"/>
    </xf>
    <xf numFmtId="2" fontId="24" fillId="0" borderId="10" xfId="0" applyNumberFormat="1" applyFont="1" applyBorder="1" applyAlignment="1">
      <alignment horizontal="center" vertical="center"/>
    </xf>
    <xf numFmtId="0" fontId="14" fillId="0" borderId="25" xfId="0" applyFont="1" applyBorder="1" applyAlignment="1">
      <alignment vertical="center"/>
    </xf>
    <xf numFmtId="1" fontId="22" fillId="0" borderId="10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168" fontId="22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3" fillId="0" borderId="10" xfId="0" applyNumberFormat="1" applyFont="1" applyBorder="1" applyAlignment="1">
      <alignment horizontal="center" vertical="center"/>
    </xf>
    <xf numFmtId="168" fontId="25" fillId="0" borderId="10" xfId="0" applyNumberFormat="1" applyFont="1" applyBorder="1" applyAlignment="1">
      <alignment horizontal="center" vertical="center"/>
    </xf>
    <xf numFmtId="0" fontId="14" fillId="0" borderId="0" xfId="0" applyFont="1" applyFill="1" applyBorder="1"/>
    <xf numFmtId="169" fontId="15" fillId="0" borderId="26" xfId="0" applyNumberFormat="1" applyFont="1" applyBorder="1" applyAlignment="1">
      <alignment horizontal="center"/>
    </xf>
    <xf numFmtId="169" fontId="15" fillId="0" borderId="27" xfId="0" applyNumberFormat="1" applyFont="1" applyBorder="1" applyAlignment="1">
      <alignment horizontal="center"/>
    </xf>
    <xf numFmtId="169" fontId="15" fillId="0" borderId="25" xfId="0" applyNumberFormat="1" applyFont="1" applyBorder="1" applyAlignment="1">
      <alignment horizontal="center"/>
    </xf>
    <xf numFmtId="169" fontId="15" fillId="0" borderId="25" xfId="0" applyNumberFormat="1" applyFont="1" applyBorder="1" applyAlignment="1">
      <alignment horizontal="center" vertical="center"/>
    </xf>
    <xf numFmtId="169" fontId="14" fillId="0" borderId="10" xfId="0" applyNumberFormat="1" applyFont="1" applyBorder="1" applyAlignment="1">
      <alignment horizontal="center" vertical="top" wrapText="1"/>
    </xf>
    <xf numFmtId="169" fontId="13" fillId="0" borderId="10" xfId="0" applyNumberFormat="1" applyFont="1" applyBorder="1" applyAlignment="1">
      <alignment horizontal="center" vertical="top" wrapText="1"/>
    </xf>
    <xf numFmtId="0" fontId="14" fillId="0" borderId="28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/>
    </xf>
    <xf numFmtId="169" fontId="15" fillId="0" borderId="29" xfId="0" applyNumberFormat="1" applyFont="1" applyBorder="1" applyAlignment="1">
      <alignment horizontal="center"/>
    </xf>
    <xf numFmtId="0" fontId="14" fillId="0" borderId="30" xfId="0" applyFont="1" applyBorder="1" applyAlignment="1">
      <alignment horizontal="center"/>
    </xf>
    <xf numFmtId="0" fontId="14" fillId="0" borderId="31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1" fontId="14" fillId="0" borderId="28" xfId="0" applyNumberFormat="1" applyFont="1" applyBorder="1" applyAlignment="1">
      <alignment horizontal="center" vertical="center"/>
    </xf>
    <xf numFmtId="169" fontId="15" fillId="0" borderId="33" xfId="0" applyNumberFormat="1" applyFont="1" applyBorder="1" applyAlignment="1">
      <alignment horizontal="center"/>
    </xf>
    <xf numFmtId="169" fontId="15" fillId="0" borderId="19" xfId="0" applyNumberFormat="1" applyFont="1" applyBorder="1" applyAlignment="1">
      <alignment horizontal="center"/>
    </xf>
    <xf numFmtId="169" fontId="14" fillId="0" borderId="19" xfId="0" applyNumberFormat="1" applyFont="1" applyBorder="1" applyAlignment="1">
      <alignment horizontal="center"/>
    </xf>
    <xf numFmtId="169" fontId="14" fillId="0" borderId="21" xfId="0" applyNumberFormat="1" applyFont="1" applyBorder="1" applyAlignment="1">
      <alignment horizontal="center"/>
    </xf>
    <xf numFmtId="168" fontId="14" fillId="24" borderId="10" xfId="0" applyNumberFormat="1" applyFont="1" applyFill="1" applyBorder="1" applyAlignment="1">
      <alignment horizontal="center" vertical="top" wrapText="1"/>
    </xf>
    <xf numFmtId="1" fontId="14" fillId="24" borderId="10" xfId="0" applyNumberFormat="1" applyFont="1" applyFill="1" applyBorder="1" applyAlignment="1">
      <alignment horizontal="center" vertical="top" wrapText="1"/>
    </xf>
    <xf numFmtId="2" fontId="14" fillId="24" borderId="10" xfId="0" applyNumberFormat="1" applyFont="1" applyFill="1" applyBorder="1" applyAlignment="1">
      <alignment horizontal="center" vertical="top" wrapText="1"/>
    </xf>
    <xf numFmtId="1" fontId="13" fillId="24" borderId="10" xfId="0" applyNumberFormat="1" applyFont="1" applyFill="1" applyBorder="1" applyAlignment="1">
      <alignment horizontal="center" vertical="top" wrapText="1"/>
    </xf>
    <xf numFmtId="2" fontId="13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4" fillId="0" borderId="0" xfId="0" applyNumberFormat="1" applyFont="1" applyAlignment="1">
      <alignment horizontal="center"/>
    </xf>
    <xf numFmtId="1" fontId="14" fillId="0" borderId="10" xfId="0" applyNumberFormat="1" applyFont="1" applyFill="1" applyBorder="1" applyAlignment="1">
      <alignment horizontal="center"/>
    </xf>
    <xf numFmtId="1" fontId="14" fillId="0" borderId="10" xfId="0" applyNumberFormat="1" applyFont="1" applyBorder="1" applyAlignment="1">
      <alignment horizontal="center" wrapText="1"/>
    </xf>
    <xf numFmtId="4" fontId="13" fillId="0" borderId="10" xfId="0" applyNumberFormat="1" applyFont="1" applyBorder="1" applyAlignment="1">
      <alignment horizontal="center" vertical="center"/>
    </xf>
    <xf numFmtId="4" fontId="13" fillId="0" borderId="10" xfId="0" applyNumberFormat="1" applyFont="1" applyBorder="1" applyAlignment="1">
      <alignment horizontal="center"/>
    </xf>
    <xf numFmtId="4" fontId="14" fillId="0" borderId="10" xfId="0" applyNumberFormat="1" applyFont="1" applyBorder="1" applyAlignment="1">
      <alignment horizontal="center"/>
    </xf>
    <xf numFmtId="0" fontId="14" fillId="0" borderId="0" xfId="0" applyFont="1" applyFill="1" applyBorder="1" applyAlignment="1">
      <alignment horizontal="center" wrapText="1"/>
    </xf>
    <xf numFmtId="4" fontId="14" fillId="0" borderId="10" xfId="0" applyNumberFormat="1" applyFont="1" applyBorder="1" applyAlignment="1">
      <alignment horizontal="center" vertical="top" wrapText="1"/>
    </xf>
    <xf numFmtId="4" fontId="14" fillId="0" borderId="0" xfId="0" applyNumberFormat="1" applyFont="1" applyAlignment="1">
      <alignment horizontal="center"/>
    </xf>
    <xf numFmtId="4" fontId="13" fillId="0" borderId="10" xfId="0" applyNumberFormat="1" applyFont="1" applyBorder="1" applyAlignment="1">
      <alignment horizontal="center" vertical="top" wrapText="1"/>
    </xf>
    <xf numFmtId="4" fontId="14" fillId="0" borderId="10" xfId="0" applyNumberFormat="1" applyFont="1" applyBorder="1" applyAlignment="1">
      <alignment horizontal="center" vertical="center"/>
    </xf>
    <xf numFmtId="168" fontId="14" fillId="0" borderId="10" xfId="0" applyNumberFormat="1" applyFont="1" applyBorder="1"/>
    <xf numFmtId="2" fontId="16" fillId="0" borderId="10" xfId="0" applyNumberFormat="1" applyFont="1" applyBorder="1" applyAlignment="1">
      <alignment wrapText="1"/>
    </xf>
    <xf numFmtId="2" fontId="22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4" fillId="0" borderId="11" xfId="0" applyFont="1" applyBorder="1" applyAlignment="1">
      <alignment horizontal="center"/>
    </xf>
    <xf numFmtId="167" fontId="14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4" fillId="0" borderId="34" xfId="0" applyFont="1" applyBorder="1" applyAlignment="1">
      <alignment wrapText="1"/>
    </xf>
    <xf numFmtId="0" fontId="14" fillId="0" borderId="34" xfId="0" applyFont="1" applyBorder="1" applyAlignment="1">
      <alignment horizontal="center"/>
    </xf>
    <xf numFmtId="169" fontId="15" fillId="0" borderId="35" xfId="0" applyNumberFormat="1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37" xfId="0" applyFont="1" applyBorder="1" applyAlignment="1">
      <alignment horizontal="center"/>
    </xf>
    <xf numFmtId="169" fontId="15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4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4" fillId="0" borderId="10" xfId="0" applyNumberFormat="1" applyFont="1" applyBorder="1" applyAlignment="1">
      <alignment horizontal="center"/>
    </xf>
    <xf numFmtId="2" fontId="45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4" fillId="0" borderId="10" xfId="0" applyNumberFormat="1" applyFont="1" applyBorder="1" applyAlignment="1">
      <alignment horizontal="center"/>
    </xf>
    <xf numFmtId="4" fontId="45" fillId="0" borderId="10" xfId="0" applyNumberFormat="1" applyFont="1" applyFill="1" applyBorder="1" applyAlignment="1">
      <alignment horizontal="center"/>
    </xf>
    <xf numFmtId="2" fontId="24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8" fillId="0" borderId="0" xfId="79"/>
    <xf numFmtId="0" fontId="51" fillId="0" borderId="0" xfId="79" applyFont="1"/>
    <xf numFmtId="0" fontId="8" fillId="0" borderId="0" xfId="79" applyFont="1" applyFill="1"/>
    <xf numFmtId="0" fontId="8" fillId="0" borderId="0" xfId="79" applyFont="1"/>
    <xf numFmtId="0" fontId="9" fillId="0" borderId="0" xfId="79" applyFont="1"/>
    <xf numFmtId="0" fontId="51" fillId="0" borderId="0" xfId="0" applyFont="1"/>
    <xf numFmtId="2" fontId="13" fillId="0" borderId="10" xfId="0" applyNumberFormat="1" applyFont="1" applyFill="1" applyBorder="1" applyAlignment="1">
      <alignment wrapText="1"/>
    </xf>
    <xf numFmtId="10" fontId="48" fillId="0" borderId="10" xfId="85" applyNumberFormat="1" applyFont="1" applyBorder="1"/>
    <xf numFmtId="0" fontId="55" fillId="0" borderId="0" xfId="81" applyFont="1" applyAlignment="1">
      <alignment horizontal="center"/>
    </xf>
    <xf numFmtId="0" fontId="27" fillId="0" borderId="0" xfId="81"/>
    <xf numFmtId="0" fontId="56" fillId="0" borderId="0" xfId="81" applyFont="1" applyAlignment="1">
      <alignment horizontal="left"/>
    </xf>
    <xf numFmtId="0" fontId="56" fillId="0" borderId="0" xfId="81" applyFont="1" applyAlignment="1">
      <alignment horizontal="center"/>
    </xf>
    <xf numFmtId="0" fontId="56" fillId="0" borderId="39" xfId="81" applyFont="1" applyBorder="1" applyAlignment="1">
      <alignment horizontal="center" vertical="center" wrapText="1"/>
    </xf>
    <xf numFmtId="0" fontId="56" fillId="0" borderId="22" xfId="81" applyFont="1" applyBorder="1" applyAlignment="1">
      <alignment horizontal="center" vertical="center"/>
    </xf>
    <xf numFmtId="0" fontId="56" fillId="0" borderId="22" xfId="81" applyFont="1" applyBorder="1" applyAlignment="1">
      <alignment horizontal="center" vertical="center" wrapText="1"/>
    </xf>
    <xf numFmtId="0" fontId="56" fillId="0" borderId="29" xfId="81" applyFont="1" applyBorder="1" applyAlignment="1">
      <alignment horizontal="center" vertical="center" wrapText="1"/>
    </xf>
    <xf numFmtId="0" fontId="56" fillId="0" borderId="21" xfId="81" applyFont="1" applyBorder="1" applyAlignment="1">
      <alignment horizontal="center" vertical="center" wrapText="1"/>
    </xf>
    <xf numFmtId="0" fontId="56" fillId="0" borderId="23" xfId="81" applyFont="1" applyBorder="1" applyAlignment="1">
      <alignment horizontal="center" vertical="center" wrapText="1"/>
    </xf>
    <xf numFmtId="0" fontId="56" fillId="0" borderId="40" xfId="81" applyFont="1" applyBorder="1"/>
    <xf numFmtId="0" fontId="56" fillId="0" borderId="34" xfId="81" applyFont="1" applyBorder="1" applyAlignment="1">
      <alignment horizontal="center"/>
    </xf>
    <xf numFmtId="0" fontId="56" fillId="0" borderId="31" xfId="81" applyFont="1" applyBorder="1" applyAlignment="1">
      <alignment horizontal="center"/>
    </xf>
    <xf numFmtId="4" fontId="56" fillId="0" borderId="11" xfId="81" applyNumberFormat="1" applyFont="1" applyBorder="1" applyAlignment="1">
      <alignment horizontal="center"/>
    </xf>
    <xf numFmtId="2" fontId="56" fillId="0" borderId="11" xfId="81" applyNumberFormat="1" applyFont="1" applyBorder="1" applyAlignment="1">
      <alignment horizontal="center"/>
    </xf>
    <xf numFmtId="165" fontId="56" fillId="0" borderId="35" xfId="89" applyFont="1" applyBorder="1" applyAlignment="1">
      <alignment horizontal="center"/>
    </xf>
    <xf numFmtId="0" fontId="56" fillId="0" borderId="37" xfId="81" applyFont="1" applyBorder="1" applyAlignment="1">
      <alignment horizontal="center"/>
    </xf>
    <xf numFmtId="165" fontId="56" fillId="0" borderId="11" xfId="89" applyFont="1" applyBorder="1" applyAlignment="1">
      <alignment horizontal="center"/>
    </xf>
    <xf numFmtId="169" fontId="56" fillId="0" borderId="38" xfId="81" applyNumberFormat="1" applyFont="1" applyBorder="1" applyAlignment="1">
      <alignment horizontal="center"/>
    </xf>
    <xf numFmtId="171" fontId="56" fillId="0" borderId="38" xfId="85" applyNumberFormat="1" applyFont="1" applyBorder="1" applyAlignment="1">
      <alignment horizontal="center"/>
    </xf>
    <xf numFmtId="0" fontId="56" fillId="0" borderId="41" xfId="81" applyFont="1" applyBorder="1"/>
    <xf numFmtId="0" fontId="56" fillId="0" borderId="12" xfId="81" applyFont="1" applyBorder="1" applyAlignment="1">
      <alignment horizontal="center"/>
    </xf>
    <xf numFmtId="0" fontId="56" fillId="0" borderId="28" xfId="81" applyFont="1" applyBorder="1" applyAlignment="1">
      <alignment horizontal="center"/>
    </xf>
    <xf numFmtId="2" fontId="56" fillId="0" borderId="10" xfId="81" applyNumberFormat="1" applyFont="1" applyBorder="1" applyAlignment="1">
      <alignment horizontal="center"/>
    </xf>
    <xf numFmtId="0" fontId="56" fillId="0" borderId="19" xfId="81" applyFont="1" applyBorder="1" applyAlignment="1">
      <alignment horizontal="center"/>
    </xf>
    <xf numFmtId="4" fontId="56" fillId="0" borderId="10" xfId="81" applyNumberFormat="1" applyFont="1" applyBorder="1" applyAlignment="1">
      <alignment horizontal="center"/>
    </xf>
    <xf numFmtId="2" fontId="56" fillId="0" borderId="28" xfId="81" applyNumberFormat="1" applyFont="1" applyBorder="1" applyAlignment="1">
      <alignment horizontal="center"/>
    </xf>
    <xf numFmtId="0" fontId="56" fillId="0" borderId="10" xfId="81" applyFont="1" applyBorder="1" applyAlignment="1">
      <alignment horizontal="center"/>
    </xf>
    <xf numFmtId="2" fontId="56" fillId="0" borderId="19" xfId="81" applyNumberFormat="1" applyFont="1" applyBorder="1" applyAlignment="1">
      <alignment horizontal="center"/>
    </xf>
    <xf numFmtId="0" fontId="56" fillId="0" borderId="42" xfId="81" applyFont="1" applyBorder="1"/>
    <xf numFmtId="0" fontId="56" fillId="0" borderId="15" xfId="81" applyFont="1" applyBorder="1" applyAlignment="1">
      <alignment horizontal="center"/>
    </xf>
    <xf numFmtId="0" fontId="56" fillId="0" borderId="39" xfId="81" applyFont="1" applyBorder="1" applyAlignment="1">
      <alignment horizontal="center"/>
    </xf>
    <xf numFmtId="4" fontId="56" fillId="0" borderId="43" xfId="81" applyNumberFormat="1" applyFont="1" applyBorder="1" applyAlignment="1">
      <alignment horizontal="center"/>
    </xf>
    <xf numFmtId="2" fontId="56" fillId="0" borderId="22" xfId="81" applyNumberFormat="1" applyFont="1" applyBorder="1" applyAlignment="1">
      <alignment horizontal="center"/>
    </xf>
    <xf numFmtId="165" fontId="56" fillId="0" borderId="29" xfId="89" applyFont="1" applyBorder="1" applyAlignment="1">
      <alignment horizontal="center"/>
    </xf>
    <xf numFmtId="2" fontId="56" fillId="0" borderId="21" xfId="81" applyNumberFormat="1" applyFont="1" applyBorder="1" applyAlignment="1">
      <alignment horizontal="center"/>
    </xf>
    <xf numFmtId="165" fontId="56" fillId="0" borderId="22" xfId="89" applyFont="1" applyBorder="1" applyAlignment="1">
      <alignment horizontal="center"/>
    </xf>
    <xf numFmtId="169" fontId="56" fillId="0" borderId="23" xfId="81" applyNumberFormat="1" applyFont="1" applyBorder="1" applyAlignment="1">
      <alignment horizontal="center"/>
    </xf>
    <xf numFmtId="0" fontId="56" fillId="0" borderId="22" xfId="81" applyFont="1" applyBorder="1" applyAlignment="1">
      <alignment horizontal="center"/>
    </xf>
    <xf numFmtId="171" fontId="56" fillId="0" borderId="44" xfId="85" applyNumberFormat="1" applyFont="1" applyBorder="1" applyAlignment="1">
      <alignment horizontal="center"/>
    </xf>
    <xf numFmtId="0" fontId="9" fillId="0" borderId="10" xfId="0" applyFont="1" applyBorder="1" applyAlignment="1">
      <alignment wrapText="1"/>
    </xf>
    <xf numFmtId="0" fontId="9" fillId="0" borderId="10" xfId="0" applyFont="1" applyBorder="1"/>
    <xf numFmtId="4" fontId="0" fillId="0" borderId="10" xfId="85" applyNumberFormat="1" applyFont="1" applyBorder="1"/>
    <xf numFmtId="4" fontId="64" fillId="0" borderId="10" xfId="0" applyNumberFormat="1" applyFont="1" applyBorder="1"/>
    <xf numFmtId="0" fontId="64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4" fillId="0" borderId="46" xfId="0" applyFont="1" applyFill="1" applyBorder="1"/>
    <xf numFmtId="3" fontId="19" fillId="0" borderId="10" xfId="0" applyNumberFormat="1" applyFont="1" applyBorder="1" applyAlignment="1">
      <alignment horizontal="right" vertical="center" indent="1"/>
    </xf>
    <xf numFmtId="1" fontId="19" fillId="0" borderId="19" xfId="0" applyNumberFormat="1" applyFont="1" applyBorder="1" applyAlignment="1">
      <alignment horizontal="right" vertical="center" indent="1"/>
    </xf>
    <xf numFmtId="170" fontId="19" fillId="0" borderId="10" xfId="0" applyNumberFormat="1" applyFont="1" applyBorder="1" applyAlignment="1">
      <alignment horizontal="right" vertical="center"/>
    </xf>
    <xf numFmtId="10" fontId="65" fillId="0" borderId="10" xfId="85" applyNumberFormat="1" applyFont="1" applyBorder="1"/>
    <xf numFmtId="3" fontId="59" fillId="0" borderId="10" xfId="0" applyNumberFormat="1" applyFont="1" applyBorder="1" applyAlignment="1">
      <alignment horizontal="right" vertical="center" indent="1"/>
    </xf>
    <xf numFmtId="1" fontId="59" fillId="0" borderId="19" xfId="0" applyNumberFormat="1" applyFont="1" applyBorder="1" applyAlignment="1">
      <alignment horizontal="right" vertical="center" indent="1"/>
    </xf>
    <xf numFmtId="170" fontId="59" fillId="0" borderId="10" xfId="0" applyNumberFormat="1" applyFont="1" applyBorder="1" applyAlignment="1">
      <alignment horizontal="right" vertical="center"/>
    </xf>
    <xf numFmtId="169" fontId="59" fillId="0" borderId="19" xfId="0" applyNumberFormat="1" applyFont="1" applyBorder="1" applyAlignment="1">
      <alignment horizontal="right" vertical="center" indent="1"/>
    </xf>
    <xf numFmtId="3" fontId="66" fillId="0" borderId="10" xfId="0" applyNumberFormat="1" applyFont="1" applyBorder="1" applyAlignment="1">
      <alignment horizontal="right" vertical="center" indent="1"/>
    </xf>
    <xf numFmtId="1" fontId="66" fillId="0" borderId="19" xfId="0" applyNumberFormat="1" applyFont="1" applyBorder="1" applyAlignment="1">
      <alignment horizontal="right" vertical="center" indent="1"/>
    </xf>
    <xf numFmtId="170" fontId="66" fillId="0" borderId="10" xfId="0" applyNumberFormat="1" applyFont="1" applyBorder="1" applyAlignment="1">
      <alignment horizontal="right" vertical="center"/>
    </xf>
    <xf numFmtId="2" fontId="13" fillId="0" borderId="25" xfId="0" applyNumberFormat="1" applyFont="1" applyBorder="1" applyAlignment="1">
      <alignment horizontal="center" vertical="center"/>
    </xf>
    <xf numFmtId="2" fontId="14" fillId="0" borderId="19" xfId="0" applyNumberFormat="1" applyFont="1" applyBorder="1" applyAlignment="1">
      <alignment horizontal="center" wrapText="1"/>
    </xf>
    <xf numFmtId="2" fontId="13" fillId="0" borderId="20" xfId="0" applyNumberFormat="1" applyFont="1" applyBorder="1" applyAlignment="1">
      <alignment horizontal="center" vertical="center"/>
    </xf>
    <xf numFmtId="4" fontId="14" fillId="0" borderId="20" xfId="0" applyNumberFormat="1" applyFont="1" applyBorder="1" applyAlignment="1">
      <alignment horizontal="center" wrapText="1"/>
    </xf>
    <xf numFmtId="4" fontId="14" fillId="0" borderId="20" xfId="0" applyNumberFormat="1" applyFont="1" applyBorder="1" applyAlignment="1">
      <alignment horizontal="center" vertical="center" wrapText="1"/>
    </xf>
    <xf numFmtId="4" fontId="14" fillId="0" borderId="18" xfId="0" applyNumberFormat="1" applyFont="1" applyBorder="1" applyAlignment="1">
      <alignment horizontal="center"/>
    </xf>
    <xf numFmtId="4" fontId="14" fillId="0" borderId="20" xfId="0" applyNumberFormat="1" applyFont="1" applyBorder="1" applyAlignment="1">
      <alignment horizontal="center"/>
    </xf>
    <xf numFmtId="4" fontId="14" fillId="0" borderId="23" xfId="0" applyNumberFormat="1" applyFont="1" applyBorder="1" applyAlignment="1">
      <alignment horizontal="center"/>
    </xf>
    <xf numFmtId="0" fontId="14" fillId="0" borderId="19" xfId="0" applyFont="1" applyBorder="1"/>
    <xf numFmtId="0" fontId="13" fillId="0" borderId="19" xfId="0" applyFont="1" applyBorder="1"/>
    <xf numFmtId="0" fontId="13" fillId="0" borderId="19" xfId="0" applyFont="1" applyBorder="1" applyAlignment="1">
      <alignment vertical="center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3" fontId="59" fillId="0" borderId="22" xfId="0" applyNumberFormat="1" applyFont="1" applyBorder="1" applyAlignment="1">
      <alignment horizontal="right" vertical="center" indent="1"/>
    </xf>
    <xf numFmtId="170" fontId="59" fillId="0" borderId="22" xfId="0" applyNumberFormat="1" applyFont="1" applyBorder="1" applyAlignment="1">
      <alignment horizontal="right" vertical="center"/>
    </xf>
    <xf numFmtId="10" fontId="65" fillId="0" borderId="22" xfId="85" applyNumberFormat="1" applyFont="1" applyBorder="1"/>
    <xf numFmtId="1" fontId="59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4" fillId="0" borderId="23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4" fillId="0" borderId="29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2" fontId="14" fillId="0" borderId="19" xfId="0" applyNumberFormat="1" applyFont="1" applyBorder="1" applyAlignment="1">
      <alignment horizontal="center"/>
    </xf>
    <xf numFmtId="2" fontId="14" fillId="0" borderId="35" xfId="0" applyNumberFormat="1" applyFont="1" applyBorder="1" applyAlignment="1">
      <alignment horizontal="center"/>
    </xf>
    <xf numFmtId="4" fontId="8" fillId="0" borderId="20" xfId="0" applyNumberFormat="1" applyFont="1" applyBorder="1" applyAlignment="1">
      <alignment horizontal="center" wrapText="1"/>
    </xf>
    <xf numFmtId="0" fontId="8" fillId="0" borderId="0" xfId="79" applyFill="1"/>
    <xf numFmtId="0" fontId="8" fillId="0" borderId="0" xfId="79" applyFill="1" applyAlignment="1">
      <alignment horizontal="center"/>
    </xf>
    <xf numFmtId="170" fontId="8" fillId="0" borderId="0" xfId="79" applyNumberFormat="1" applyFill="1"/>
    <xf numFmtId="167" fontId="14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4" fillId="0" borderId="11" xfId="0" applyNumberFormat="1" applyFont="1" applyBorder="1" applyAlignment="1">
      <alignment horizontal="center"/>
    </xf>
    <xf numFmtId="169" fontId="15" fillId="0" borderId="11" xfId="0" applyNumberFormat="1" applyFon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0" fontId="0" fillId="0" borderId="0" xfId="0" applyBorder="1"/>
    <xf numFmtId="0" fontId="14" fillId="0" borderId="17" xfId="0" applyFont="1" applyBorder="1"/>
    <xf numFmtId="2" fontId="14" fillId="0" borderId="20" xfId="0" applyNumberFormat="1" applyFont="1" applyBorder="1" applyAlignment="1">
      <alignment horizontal="center"/>
    </xf>
    <xf numFmtId="2" fontId="13" fillId="0" borderId="20" xfId="0" applyNumberFormat="1" applyFont="1" applyBorder="1" applyAlignment="1">
      <alignment horizontal="center"/>
    </xf>
    <xf numFmtId="0" fontId="13" fillId="0" borderId="19" xfId="0" applyFont="1" applyBorder="1" applyAlignment="1">
      <alignment wrapText="1"/>
    </xf>
    <xf numFmtId="2" fontId="44" fillId="0" borderId="20" xfId="0" applyNumberFormat="1" applyFont="1" applyBorder="1" applyAlignment="1">
      <alignment horizontal="center"/>
    </xf>
    <xf numFmtId="2" fontId="45" fillId="0" borderId="20" xfId="0" applyNumberFormat="1" applyFont="1" applyFill="1" applyBorder="1" applyAlignment="1">
      <alignment horizontal="center"/>
    </xf>
    <xf numFmtId="0" fontId="14" fillId="0" borderId="19" xfId="0" applyFont="1" applyFill="1" applyBorder="1"/>
    <xf numFmtId="0" fontId="14" fillId="0" borderId="49" xfId="0" applyFont="1" applyFill="1" applyBorder="1"/>
    <xf numFmtId="169" fontId="13" fillId="0" borderId="20" xfId="0" applyNumberFormat="1" applyFont="1" applyBorder="1" applyAlignment="1">
      <alignment horizontal="center"/>
    </xf>
    <xf numFmtId="0" fontId="13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4" fillId="0" borderId="37" xfId="0" applyFont="1" applyBorder="1"/>
    <xf numFmtId="1" fontId="14" fillId="0" borderId="11" xfId="0" applyNumberFormat="1" applyFont="1" applyBorder="1" applyAlignment="1">
      <alignment horizontal="center"/>
    </xf>
    <xf numFmtId="167" fontId="14" fillId="0" borderId="11" xfId="0" applyNumberFormat="1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168" fontId="0" fillId="0" borderId="11" xfId="0" applyNumberFormat="1" applyBorder="1"/>
    <xf numFmtId="2" fontId="14" fillId="0" borderId="38" xfId="0" applyNumberFormat="1" applyFont="1" applyBorder="1" applyAlignment="1">
      <alignment horizontal="center"/>
    </xf>
    <xf numFmtId="0" fontId="14" fillId="0" borderId="27" xfId="0" applyFont="1" applyBorder="1"/>
    <xf numFmtId="2" fontId="14" fillId="0" borderId="25" xfId="0" applyNumberFormat="1" applyFont="1" applyBorder="1" applyAlignment="1">
      <alignment horizontal="center"/>
    </xf>
    <xf numFmtId="2" fontId="13" fillId="0" borderId="25" xfId="0" applyNumberFormat="1" applyFont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3" fillId="0" borderId="29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 wrapText="1"/>
    </xf>
    <xf numFmtId="2" fontId="14" fillId="0" borderId="31" xfId="0" applyNumberFormat="1" applyFont="1" applyBorder="1" applyAlignment="1">
      <alignment horizontal="center"/>
    </xf>
    <xf numFmtId="2" fontId="14" fillId="0" borderId="28" xfId="0" applyNumberFormat="1" applyFont="1" applyBorder="1" applyAlignment="1">
      <alignment horizontal="center" wrapText="1"/>
    </xf>
    <xf numFmtId="2" fontId="14" fillId="0" borderId="28" xfId="0" applyNumberFormat="1" applyFont="1" applyBorder="1" applyAlignment="1">
      <alignment horizontal="center"/>
    </xf>
    <xf numFmtId="2" fontId="13" fillId="0" borderId="28" xfId="0" applyNumberFormat="1" applyFont="1" applyBorder="1" applyAlignment="1">
      <alignment horizontal="center"/>
    </xf>
    <xf numFmtId="169" fontId="13" fillId="0" borderId="28" xfId="0" applyNumberFormat="1" applyFont="1" applyBorder="1" applyAlignment="1">
      <alignment horizontal="center" vertical="center"/>
    </xf>
    <xf numFmtId="2" fontId="14" fillId="0" borderId="28" xfId="0" applyNumberFormat="1" applyFont="1" applyFill="1" applyBorder="1" applyAlignment="1">
      <alignment horizontal="center"/>
    </xf>
    <xf numFmtId="0" fontId="13" fillId="0" borderId="39" xfId="0" applyFont="1" applyBorder="1" applyAlignment="1">
      <alignment horizontal="center" vertical="center"/>
    </xf>
    <xf numFmtId="2" fontId="14" fillId="0" borderId="37" xfId="0" applyNumberFormat="1" applyFont="1" applyBorder="1" applyAlignment="1">
      <alignment horizontal="center"/>
    </xf>
    <xf numFmtId="2" fontId="14" fillId="0" borderId="20" xfId="0" applyNumberFormat="1" applyFont="1" applyBorder="1" applyAlignment="1">
      <alignment horizontal="center" wrapText="1"/>
    </xf>
    <xf numFmtId="2" fontId="13" fillId="0" borderId="19" xfId="0" applyNumberFormat="1" applyFont="1" applyBorder="1" applyAlignment="1">
      <alignment horizontal="center"/>
    </xf>
    <xf numFmtId="2" fontId="13" fillId="0" borderId="19" xfId="0" applyNumberFormat="1" applyFont="1" applyBorder="1" applyAlignment="1">
      <alignment horizontal="center" vertical="center"/>
    </xf>
    <xf numFmtId="2" fontId="14" fillId="0" borderId="20" xfId="0" applyNumberFormat="1" applyFont="1" applyFill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2" fontId="14" fillId="0" borderId="25" xfId="0" applyNumberFormat="1" applyFont="1" applyFill="1" applyBorder="1" applyAlignment="1">
      <alignment horizontal="center"/>
    </xf>
    <xf numFmtId="2" fontId="14" fillId="0" borderId="19" xfId="0" applyNumberFormat="1" applyFont="1" applyFill="1" applyBorder="1" applyAlignment="1">
      <alignment horizontal="center"/>
    </xf>
    <xf numFmtId="0" fontId="14" fillId="0" borderId="0" xfId="0" applyFont="1" applyBorder="1" applyAlignment="1">
      <alignment horizontal="center" vertical="center" wrapText="1"/>
    </xf>
    <xf numFmtId="4" fontId="14" fillId="0" borderId="0" xfId="0" applyNumberFormat="1" applyFont="1" applyBorder="1" applyAlignment="1">
      <alignment horizontal="center"/>
    </xf>
    <xf numFmtId="4" fontId="13" fillId="0" borderId="0" xfId="0" applyNumberFormat="1" applyFont="1" applyBorder="1" applyAlignment="1">
      <alignment horizontal="center"/>
    </xf>
    <xf numFmtId="4" fontId="13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7" fillId="0" borderId="0" xfId="0" applyFont="1"/>
    <xf numFmtId="4" fontId="57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6" fillId="0" borderId="31" xfId="81" applyNumberFormat="1" applyFont="1" applyBorder="1" applyAlignment="1">
      <alignment horizontal="center"/>
    </xf>
    <xf numFmtId="10" fontId="71" fillId="0" borderId="10" xfId="85" applyNumberFormat="1" applyFont="1" applyBorder="1"/>
    <xf numFmtId="10" fontId="72" fillId="0" borderId="10" xfId="85" applyNumberFormat="1" applyFont="1" applyBorder="1"/>
    <xf numFmtId="10" fontId="73" fillId="0" borderId="10" xfId="85" applyNumberFormat="1" applyFont="1" applyBorder="1"/>
    <xf numFmtId="176" fontId="71" fillId="0" borderId="10" xfId="85" applyNumberFormat="1" applyFont="1" applyBorder="1"/>
    <xf numFmtId="0" fontId="8" fillId="0" borderId="0" xfId="0" applyFont="1"/>
    <xf numFmtId="0" fontId="20" fillId="0" borderId="0" xfId="0" applyFont="1" applyAlignment="1">
      <alignment horizontal="center"/>
    </xf>
    <xf numFmtId="0" fontId="76" fillId="0" borderId="0" xfId="0" applyFont="1"/>
    <xf numFmtId="0" fontId="22" fillId="0" borderId="50" xfId="0" applyFont="1" applyBorder="1" applyAlignment="1">
      <alignment horizontal="center" wrapText="1"/>
    </xf>
    <xf numFmtId="0" fontId="22" fillId="0" borderId="51" xfId="0" applyFont="1" applyBorder="1" applyAlignment="1">
      <alignment horizontal="center" wrapText="1"/>
    </xf>
    <xf numFmtId="0" fontId="22" fillId="0" borderId="52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4" xfId="0" applyFont="1" applyBorder="1" applyAlignment="1">
      <alignment horizontal="center" wrapText="1"/>
    </xf>
    <xf numFmtId="0" fontId="22" fillId="0" borderId="4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22" fillId="0" borderId="55" xfId="0" applyFont="1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57" xfId="0" applyFont="1" applyBorder="1" applyAlignment="1">
      <alignment horizontal="center" wrapText="1"/>
    </xf>
    <xf numFmtId="0" fontId="22" fillId="0" borderId="58" xfId="0" applyFont="1" applyBorder="1" applyAlignment="1">
      <alignment horizontal="center" wrapText="1"/>
    </xf>
    <xf numFmtId="0" fontId="77" fillId="0" borderId="0" xfId="0" applyFont="1"/>
    <xf numFmtId="0" fontId="22" fillId="0" borderId="58" xfId="0" applyFont="1" applyBorder="1" applyAlignment="1">
      <alignment horizontal="center" vertical="top" wrapText="1"/>
    </xf>
    <xf numFmtId="0" fontId="22" fillId="0" borderId="59" xfId="0" applyFont="1" applyBorder="1" applyAlignment="1">
      <alignment horizontal="center" vertical="top" wrapText="1"/>
    </xf>
    <xf numFmtId="0" fontId="22" fillId="0" borderId="48" xfId="0" applyFont="1" applyBorder="1" applyAlignment="1">
      <alignment vertical="top" wrapText="1"/>
    </xf>
    <xf numFmtId="0" fontId="22" fillId="0" borderId="48" xfId="0" applyFont="1" applyBorder="1" applyAlignment="1">
      <alignment horizontal="center" vertical="top" wrapText="1"/>
    </xf>
    <xf numFmtId="0" fontId="22" fillId="0" borderId="48" xfId="0" applyFont="1" applyBorder="1" applyAlignment="1">
      <alignment horizontal="right" vertical="top" wrapText="1"/>
    </xf>
    <xf numFmtId="0" fontId="22" fillId="0" borderId="33" xfId="0" applyFont="1" applyBorder="1" applyAlignment="1">
      <alignment vertical="top" wrapText="1"/>
    </xf>
    <xf numFmtId="0" fontId="22" fillId="0" borderId="33" xfId="0" applyFont="1" applyBorder="1" applyAlignment="1">
      <alignment horizontal="right" vertical="top" wrapText="1"/>
    </xf>
    <xf numFmtId="0" fontId="22" fillId="0" borderId="60" xfId="0" applyFont="1" applyBorder="1" applyAlignment="1">
      <alignment vertical="top" wrapText="1"/>
    </xf>
    <xf numFmtId="0" fontId="22" fillId="0" borderId="60" xfId="0" applyFont="1" applyBorder="1" applyAlignment="1">
      <alignment horizontal="center" vertical="top" wrapText="1"/>
    </xf>
    <xf numFmtId="0" fontId="22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4" fillId="0" borderId="45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80" fillId="0" borderId="0" xfId="0" applyFont="1"/>
    <xf numFmtId="0" fontId="80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3" fillId="0" borderId="11" xfId="0" applyFont="1" applyFill="1" applyBorder="1"/>
    <xf numFmtId="0" fontId="0" fillId="0" borderId="0" xfId="0" applyAlignment="1">
      <alignment vertical="center"/>
    </xf>
    <xf numFmtId="0" fontId="57" fillId="0" borderId="0" xfId="0" applyFont="1" applyAlignment="1">
      <alignment vertical="center"/>
    </xf>
    <xf numFmtId="0" fontId="13" fillId="0" borderId="0" xfId="0" applyFont="1" applyFill="1" applyBorder="1" applyAlignment="1">
      <alignment wrapText="1"/>
    </xf>
    <xf numFmtId="0" fontId="61" fillId="0" borderId="22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2" fontId="18" fillId="0" borderId="20" xfId="0" applyNumberFormat="1" applyFont="1" applyBorder="1" applyAlignment="1">
      <alignment horizontal="center" vertical="center"/>
    </xf>
    <xf numFmtId="4" fontId="18" fillId="0" borderId="10" xfId="0" applyNumberFormat="1" applyFont="1" applyFill="1" applyBorder="1"/>
    <xf numFmtId="0" fontId="61" fillId="0" borderId="10" xfId="0" applyFont="1" applyFill="1" applyBorder="1"/>
    <xf numFmtId="4" fontId="61" fillId="0" borderId="10" xfId="0" applyNumberFormat="1" applyFont="1" applyFill="1" applyBorder="1"/>
    <xf numFmtId="2" fontId="61" fillId="0" borderId="10" xfId="0" applyNumberFormat="1" applyFont="1" applyFill="1" applyBorder="1"/>
    <xf numFmtId="2" fontId="62" fillId="0" borderId="10" xfId="0" applyNumberFormat="1" applyFont="1" applyFill="1" applyBorder="1"/>
    <xf numFmtId="0" fontId="61" fillId="0" borderId="23" xfId="0" applyFont="1" applyBorder="1"/>
    <xf numFmtId="0" fontId="61" fillId="0" borderId="45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61" fillId="0" borderId="38" xfId="0" applyFont="1" applyBorder="1"/>
    <xf numFmtId="2" fontId="61" fillId="0" borderId="45" xfId="0" applyNumberFormat="1" applyFont="1" applyFill="1" applyBorder="1"/>
    <xf numFmtId="4" fontId="61" fillId="0" borderId="20" xfId="0" applyNumberFormat="1" applyFont="1" applyFill="1" applyBorder="1" applyAlignment="1">
      <alignment horizontal="center" vertical="center"/>
    </xf>
    <xf numFmtId="4" fontId="18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61" fillId="0" borderId="64" xfId="0" applyFont="1" applyFill="1" applyBorder="1" applyAlignment="1">
      <alignment horizontal="center" vertical="center" wrapText="1"/>
    </xf>
    <xf numFmtId="0" fontId="61" fillId="0" borderId="63" xfId="0" applyFont="1" applyFill="1" applyBorder="1" applyAlignment="1">
      <alignment horizontal="center" vertical="center" wrapText="1"/>
    </xf>
    <xf numFmtId="0" fontId="62" fillId="0" borderId="10" xfId="0" applyFont="1" applyFill="1" applyBorder="1" applyAlignment="1">
      <alignment vertical="center"/>
    </xf>
    <xf numFmtId="0" fontId="61" fillId="0" borderId="0" xfId="0" applyFont="1"/>
    <xf numFmtId="0" fontId="17" fillId="0" borderId="0" xfId="0" applyFont="1" applyAlignment="1">
      <alignment horizontal="center"/>
    </xf>
    <xf numFmtId="0" fontId="14" fillId="25" borderId="0" xfId="0" applyFont="1" applyFill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Fill="1"/>
    <xf numFmtId="10" fontId="14" fillId="0" borderId="0" xfId="85" applyNumberFormat="1" applyFont="1" applyFill="1"/>
    <xf numFmtId="0" fontId="61" fillId="0" borderId="10" xfId="0" applyFont="1" applyFill="1" applyBorder="1" applyAlignment="1">
      <alignment vertical="center"/>
    </xf>
    <xf numFmtId="0" fontId="81" fillId="0" borderId="10" xfId="0" applyFont="1" applyFill="1" applyBorder="1" applyAlignment="1">
      <alignment vertical="center"/>
    </xf>
    <xf numFmtId="168" fontId="49" fillId="0" borderId="0" xfId="0" applyNumberFormat="1" applyFont="1" applyBorder="1" applyAlignment="1">
      <alignment horizontal="center" vertical="center"/>
    </xf>
    <xf numFmtId="0" fontId="82" fillId="27" borderId="10" xfId="0" applyFont="1" applyFill="1" applyBorder="1" applyAlignment="1">
      <alignment horizontal="center" vertical="center"/>
    </xf>
    <xf numFmtId="4" fontId="82" fillId="27" borderId="10" xfId="0" applyNumberFormat="1" applyFont="1" applyFill="1" applyBorder="1" applyAlignment="1">
      <alignment horizontal="center" vertical="center"/>
    </xf>
    <xf numFmtId="0" fontId="82" fillId="28" borderId="10" xfId="0" applyFont="1" applyFill="1" applyBorder="1" applyAlignment="1">
      <alignment horizontal="center" vertical="center"/>
    </xf>
    <xf numFmtId="4" fontId="82" fillId="28" borderId="10" xfId="0" applyNumberFormat="1" applyFont="1" applyFill="1" applyBorder="1" applyAlignment="1">
      <alignment horizontal="center" vertical="center"/>
    </xf>
    <xf numFmtId="0" fontId="82" fillId="27" borderId="19" xfId="0" applyFont="1" applyFill="1" applyBorder="1" applyAlignment="1">
      <alignment horizontal="center" vertical="center"/>
    </xf>
    <xf numFmtId="0" fontId="64" fillId="0" borderId="47" xfId="0" applyFont="1" applyBorder="1" applyAlignment="1">
      <alignment vertical="center"/>
    </xf>
    <xf numFmtId="0" fontId="64" fillId="0" borderId="0" xfId="0" applyFont="1" applyBorder="1" applyAlignment="1">
      <alignment vertical="center"/>
    </xf>
    <xf numFmtId="0" fontId="64" fillId="0" borderId="55" xfId="0" applyFont="1" applyBorder="1" applyAlignment="1">
      <alignment vertical="center"/>
    </xf>
    <xf numFmtId="0" fontId="64" fillId="0" borderId="0" xfId="0" applyFont="1" applyAlignment="1">
      <alignment vertical="center"/>
    </xf>
    <xf numFmtId="2" fontId="82" fillId="27" borderId="11" xfId="0" applyNumberFormat="1" applyFont="1" applyFill="1" applyBorder="1" applyAlignment="1">
      <alignment horizontal="center" vertical="center"/>
    </xf>
    <xf numFmtId="174" fontId="82" fillId="27" borderId="11" xfId="0" applyNumberFormat="1" applyFont="1" applyFill="1" applyBorder="1" applyAlignment="1">
      <alignment horizontal="center" vertical="center"/>
    </xf>
    <xf numFmtId="4" fontId="82" fillId="27" borderId="11" xfId="0" applyNumberFormat="1" applyFont="1" applyFill="1" applyBorder="1" applyAlignment="1">
      <alignment horizontal="center" vertical="center"/>
    </xf>
    <xf numFmtId="4" fontId="83" fillId="27" borderId="11" xfId="0" applyNumberFormat="1" applyFont="1" applyFill="1" applyBorder="1" applyAlignment="1">
      <alignment horizontal="center" vertical="center"/>
    </xf>
    <xf numFmtId="4" fontId="82" fillId="27" borderId="38" xfId="0" applyNumberFormat="1" applyFont="1" applyFill="1" applyBorder="1" applyAlignment="1">
      <alignment horizontal="center" vertical="center"/>
    </xf>
    <xf numFmtId="2" fontId="82" fillId="28" borderId="11" xfId="0" applyNumberFormat="1" applyFont="1" applyFill="1" applyBorder="1" applyAlignment="1">
      <alignment horizontal="center" vertical="center"/>
    </xf>
    <xf numFmtId="168" fontId="82" fillId="28" borderId="11" xfId="0" applyNumberFormat="1" applyFont="1" applyFill="1" applyBorder="1" applyAlignment="1">
      <alignment horizontal="center" vertical="center"/>
    </xf>
    <xf numFmtId="4" fontId="82" fillId="28" borderId="11" xfId="0" applyNumberFormat="1" applyFont="1" applyFill="1" applyBorder="1" applyAlignment="1">
      <alignment horizontal="center" vertical="center"/>
    </xf>
    <xf numFmtId="4" fontId="82" fillId="28" borderId="38" xfId="0" applyNumberFormat="1" applyFont="1" applyFill="1" applyBorder="1" applyAlignment="1">
      <alignment horizontal="center" vertical="center"/>
    </xf>
    <xf numFmtId="4" fontId="83" fillId="28" borderId="11" xfId="0" applyNumberFormat="1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horizontal="center" vertical="center"/>
    </xf>
    <xf numFmtId="168" fontId="82" fillId="26" borderId="11" xfId="0" applyNumberFormat="1" applyFont="1" applyFill="1" applyBorder="1" applyAlignment="1">
      <alignment horizontal="center" vertical="center"/>
    </xf>
    <xf numFmtId="3" fontId="82" fillId="26" borderId="11" xfId="0" applyNumberFormat="1" applyFont="1" applyFill="1" applyBorder="1" applyAlignment="1">
      <alignment horizontal="center" vertical="center"/>
    </xf>
    <xf numFmtId="171" fontId="83" fillId="26" borderId="11" xfId="85" applyNumberFormat="1" applyFont="1" applyFill="1" applyBorder="1" applyAlignment="1">
      <alignment horizontal="center" vertical="center"/>
    </xf>
    <xf numFmtId="4" fontId="82" fillId="26" borderId="35" xfId="0" applyNumberFormat="1" applyFont="1" applyFill="1" applyBorder="1" applyAlignment="1">
      <alignment horizontal="center" vertical="center"/>
    </xf>
    <xf numFmtId="2" fontId="82" fillId="27" borderId="37" xfId="0" applyNumberFormat="1" applyFont="1" applyFill="1" applyBorder="1" applyAlignment="1">
      <alignment horizontal="center" vertical="center"/>
    </xf>
    <xf numFmtId="10" fontId="83" fillId="27" borderId="11" xfId="85" applyNumberFormat="1" applyFont="1" applyFill="1" applyBorder="1" applyAlignment="1">
      <alignment horizontal="center" vertical="center"/>
    </xf>
    <xf numFmtId="174" fontId="83" fillId="27" borderId="10" xfId="0" applyNumberFormat="1" applyFont="1" applyFill="1" applyBorder="1" applyAlignment="1">
      <alignment horizontal="center" vertical="center"/>
    </xf>
    <xf numFmtId="4" fontId="83" fillId="27" borderId="10" xfId="0" applyNumberFormat="1" applyFont="1" applyFill="1" applyBorder="1" applyAlignment="1">
      <alignment horizontal="center" vertical="center"/>
    </xf>
    <xf numFmtId="4" fontId="82" fillId="27" borderId="20" xfId="0" applyNumberFormat="1" applyFont="1" applyFill="1" applyBorder="1" applyAlignment="1">
      <alignment horizontal="center" vertical="center"/>
    </xf>
    <xf numFmtId="2" fontId="82" fillId="28" borderId="10" xfId="0" applyNumberFormat="1" applyFont="1" applyFill="1" applyBorder="1" applyAlignment="1">
      <alignment horizontal="center" vertical="center"/>
    </xf>
    <xf numFmtId="174" fontId="83" fillId="28" borderId="10" xfId="0" applyNumberFormat="1" applyFont="1" applyFill="1" applyBorder="1" applyAlignment="1">
      <alignment horizontal="center" vertical="center"/>
    </xf>
    <xf numFmtId="4" fontId="82" fillId="28" borderId="20" xfId="0" applyNumberFormat="1" applyFont="1" applyFill="1" applyBorder="1" applyAlignment="1">
      <alignment horizontal="center" vertical="center"/>
    </xf>
    <xf numFmtId="4" fontId="83" fillId="28" borderId="10" xfId="0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horizontal="center" vertical="center"/>
    </xf>
    <xf numFmtId="168" fontId="82" fillId="26" borderId="10" xfId="0" applyNumberFormat="1" applyFont="1" applyFill="1" applyBorder="1" applyAlignment="1">
      <alignment horizontal="center" vertical="center"/>
    </xf>
    <xf numFmtId="3" fontId="82" fillId="26" borderId="10" xfId="0" applyNumberFormat="1" applyFont="1" applyFill="1" applyBorder="1" applyAlignment="1">
      <alignment horizontal="center" vertical="center"/>
    </xf>
    <xf numFmtId="169" fontId="83" fillId="26" borderId="10" xfId="0" applyNumberFormat="1" applyFont="1" applyFill="1" applyBorder="1" applyAlignment="1">
      <alignment horizontal="center" vertical="center"/>
    </xf>
    <xf numFmtId="4" fontId="82" fillId="26" borderId="25" xfId="0" applyNumberFormat="1" applyFont="1" applyFill="1" applyBorder="1" applyAlignment="1">
      <alignment horizontal="center" vertical="center"/>
    </xf>
    <xf numFmtId="10" fontId="83" fillId="27" borderId="10" xfId="85" applyNumberFormat="1" applyFont="1" applyFill="1" applyBorder="1" applyAlignment="1">
      <alignment horizontal="center" vertical="center"/>
    </xf>
    <xf numFmtId="2" fontId="82" fillId="27" borderId="10" xfId="0" applyNumberFormat="1" applyFont="1" applyFill="1" applyBorder="1" applyAlignment="1">
      <alignment horizontal="center" vertical="center"/>
    </xf>
    <xf numFmtId="174" fontId="82" fillId="27" borderId="10" xfId="0" applyNumberFormat="1" applyFont="1" applyFill="1" applyBorder="1" applyAlignment="1">
      <alignment horizontal="center" vertical="center"/>
    </xf>
    <xf numFmtId="10" fontId="83" fillId="26" borderId="10" xfId="85" applyNumberFormat="1" applyFont="1" applyFill="1" applyBorder="1" applyAlignment="1">
      <alignment horizontal="center" vertical="center"/>
    </xf>
    <xf numFmtId="2" fontId="82" fillId="27" borderId="19" xfId="0" applyNumberFormat="1" applyFont="1" applyFill="1" applyBorder="1" applyAlignment="1">
      <alignment horizontal="center" vertical="center"/>
    </xf>
    <xf numFmtId="171" fontId="83" fillId="26" borderId="10" xfId="85" applyNumberFormat="1" applyFont="1" applyFill="1" applyBorder="1" applyAlignment="1">
      <alignment horizontal="center" vertical="center"/>
    </xf>
    <xf numFmtId="0" fontId="82" fillId="26" borderId="19" xfId="0" applyFont="1" applyFill="1" applyBorder="1" applyAlignment="1">
      <alignment vertical="center"/>
    </xf>
    <xf numFmtId="0" fontId="82" fillId="26" borderId="10" xfId="0" applyFont="1" applyFill="1" applyBorder="1" applyAlignment="1">
      <alignment vertical="center"/>
    </xf>
    <xf numFmtId="0" fontId="82" fillId="26" borderId="25" xfId="0" applyFont="1" applyFill="1" applyBorder="1" applyAlignment="1">
      <alignment horizontal="center" vertical="center"/>
    </xf>
    <xf numFmtId="168" fontId="82" fillId="28" borderId="10" xfId="0" applyNumberFormat="1" applyFont="1" applyFill="1" applyBorder="1" applyAlignment="1">
      <alignment horizontal="center" vertical="center"/>
    </xf>
    <xf numFmtId="169" fontId="82" fillId="27" borderId="10" xfId="0" applyNumberFormat="1" applyFont="1" applyFill="1" applyBorder="1" applyAlignment="1">
      <alignment horizontal="center" vertical="center"/>
    </xf>
    <xf numFmtId="168" fontId="82" fillId="27" borderId="10" xfId="0" applyNumberFormat="1" applyFont="1" applyFill="1" applyBorder="1" applyAlignment="1">
      <alignment horizontal="center" vertical="center"/>
    </xf>
    <xf numFmtId="169" fontId="82" fillId="28" borderId="10" xfId="0" applyNumberFormat="1" applyFont="1" applyFill="1" applyBorder="1" applyAlignment="1">
      <alignment horizontal="center" vertical="center"/>
    </xf>
    <xf numFmtId="2" fontId="82" fillId="26" borderId="10" xfId="0" applyNumberFormat="1" applyFont="1" applyFill="1" applyBorder="1" applyAlignment="1">
      <alignment horizontal="center" vertical="center"/>
    </xf>
    <xf numFmtId="169" fontId="82" fillId="26" borderId="25" xfId="0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61" fillId="0" borderId="23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0" fontId="61" fillId="0" borderId="37" xfId="0" applyFont="1" applyBorder="1" applyAlignment="1">
      <alignment horizontal="left" vertical="center"/>
    </xf>
    <xf numFmtId="0" fontId="61" fillId="0" borderId="31" xfId="0" applyFont="1" applyBorder="1"/>
    <xf numFmtId="0" fontId="61" fillId="27" borderId="37" xfId="0" applyFont="1" applyFill="1" applyBorder="1"/>
    <xf numFmtId="0" fontId="61" fillId="27" borderId="11" xfId="0" applyFont="1" applyFill="1" applyBorder="1"/>
    <xf numFmtId="0" fontId="61" fillId="27" borderId="35" xfId="0" applyFont="1" applyFill="1" applyBorder="1"/>
    <xf numFmtId="0" fontId="61" fillId="0" borderId="37" xfId="0" applyFont="1" applyBorder="1"/>
    <xf numFmtId="0" fontId="61" fillId="0" borderId="35" xfId="0" applyFont="1" applyFill="1" applyBorder="1"/>
    <xf numFmtId="0" fontId="61" fillId="0" borderId="16" xfId="0" applyFont="1" applyBorder="1"/>
    <xf numFmtId="0" fontId="61" fillId="0" borderId="17" xfId="0" applyFont="1" applyBorder="1"/>
    <xf numFmtId="0" fontId="61" fillId="0" borderId="18" xfId="0" applyFont="1" applyFill="1" applyBorder="1"/>
    <xf numFmtId="0" fontId="61" fillId="0" borderId="36" xfId="0" applyFont="1" applyFill="1" applyBorder="1"/>
    <xf numFmtId="0" fontId="61" fillId="24" borderId="16" xfId="0" applyFont="1" applyFill="1" applyBorder="1" applyAlignment="1">
      <alignment horizontal="center" vertical="center"/>
    </xf>
    <xf numFmtId="0" fontId="61" fillId="24" borderId="17" xfId="0" applyFont="1" applyFill="1" applyBorder="1" applyAlignment="1">
      <alignment horizontal="center" vertical="center"/>
    </xf>
    <xf numFmtId="0" fontId="61" fillId="24" borderId="18" xfId="0" applyFont="1" applyFill="1" applyBorder="1" applyAlignment="1">
      <alignment horizontal="center" vertical="center"/>
    </xf>
    <xf numFmtId="0" fontId="61" fillId="24" borderId="30" xfId="0" applyFont="1" applyFill="1" applyBorder="1" applyAlignment="1">
      <alignment horizontal="center" vertical="center"/>
    </xf>
    <xf numFmtId="0" fontId="61" fillId="0" borderId="18" xfId="0" applyFont="1" applyBorder="1"/>
    <xf numFmtId="0" fontId="80" fillId="0" borderId="34" xfId="0" applyFont="1" applyBorder="1"/>
    <xf numFmtId="1" fontId="18" fillId="0" borderId="19" xfId="0" applyNumberFormat="1" applyFont="1" applyFill="1" applyBorder="1" applyAlignment="1">
      <alignment horizontal="center" vertical="center"/>
    </xf>
    <xf numFmtId="3" fontId="18" fillId="0" borderId="10" xfId="0" applyNumberFormat="1" applyFont="1" applyFill="1" applyBorder="1" applyAlignment="1">
      <alignment horizontal="right" vertical="center" indent="1"/>
    </xf>
    <xf numFmtId="170" fontId="18" fillId="0" borderId="20" xfId="0" applyNumberFormat="1" applyFont="1" applyFill="1" applyBorder="1" applyAlignment="1">
      <alignment horizontal="right" vertical="center"/>
    </xf>
    <xf numFmtId="3" fontId="18" fillId="0" borderId="25" xfId="0" applyNumberFormat="1" applyFont="1" applyFill="1" applyBorder="1" applyAlignment="1">
      <alignment horizontal="right" vertical="center" indent="1"/>
    </xf>
    <xf numFmtId="1" fontId="18" fillId="0" borderId="19" xfId="0" applyNumberFormat="1" applyFont="1" applyFill="1" applyBorder="1" applyAlignment="1">
      <alignment horizontal="right" vertical="center" indent="1"/>
    </xf>
    <xf numFmtId="170" fontId="18" fillId="0" borderId="10" xfId="0" applyNumberFormat="1" applyFont="1" applyFill="1" applyBorder="1" applyAlignment="1">
      <alignment horizontal="right" vertical="center" indent="1"/>
    </xf>
    <xf numFmtId="170" fontId="18" fillId="0" borderId="10" xfId="0" applyNumberFormat="1" applyFont="1" applyFill="1" applyBorder="1" applyAlignment="1">
      <alignment horizontal="right" vertical="center"/>
    </xf>
    <xf numFmtId="170" fontId="18" fillId="0" borderId="20" xfId="0" applyNumberFormat="1" applyFont="1" applyFill="1" applyBorder="1" applyAlignment="1">
      <alignment horizontal="right" vertical="center" indent="1"/>
    </xf>
    <xf numFmtId="170" fontId="18" fillId="0" borderId="25" xfId="0" applyNumberFormat="1" applyFont="1" applyFill="1" applyBorder="1" applyAlignment="1">
      <alignment horizontal="right" vertical="center" indent="1"/>
    </xf>
    <xf numFmtId="170" fontId="18" fillId="0" borderId="25" xfId="0" applyNumberFormat="1" applyFont="1" applyFill="1" applyBorder="1" applyAlignment="1">
      <alignment horizontal="right" vertical="center"/>
    </xf>
    <xf numFmtId="1" fontId="61" fillId="0" borderId="10" xfId="0" applyNumberFormat="1" applyFont="1" applyFill="1" applyBorder="1" applyAlignment="1">
      <alignment horizontal="center" vertical="center"/>
    </xf>
    <xf numFmtId="0" fontId="61" fillId="0" borderId="19" xfId="0" applyFont="1" applyFill="1" applyBorder="1" applyAlignment="1">
      <alignment horizontal="center" vertical="center"/>
    </xf>
    <xf numFmtId="170" fontId="61" fillId="0" borderId="20" xfId="0" applyNumberFormat="1" applyFont="1" applyFill="1" applyBorder="1" applyAlignment="1">
      <alignment horizontal="right" vertical="center"/>
    </xf>
    <xf numFmtId="3" fontId="61" fillId="0" borderId="25" xfId="0" applyNumberFormat="1" applyFont="1" applyFill="1" applyBorder="1" applyAlignment="1">
      <alignment horizontal="right" vertical="center" indent="1"/>
    </xf>
    <xf numFmtId="170" fontId="61" fillId="0" borderId="10" xfId="0" applyNumberFormat="1" applyFont="1" applyFill="1" applyBorder="1" applyAlignment="1">
      <alignment horizontal="right" vertical="center" indent="1"/>
    </xf>
    <xf numFmtId="170" fontId="61" fillId="0" borderId="10" xfId="0" applyNumberFormat="1" applyFont="1" applyFill="1" applyBorder="1" applyAlignment="1">
      <alignment horizontal="right" vertical="center"/>
    </xf>
    <xf numFmtId="170" fontId="61" fillId="0" borderId="20" xfId="0" applyNumberFormat="1" applyFont="1" applyFill="1" applyBorder="1" applyAlignment="1">
      <alignment horizontal="right" vertical="center" indent="1"/>
    </xf>
    <xf numFmtId="3" fontId="61" fillId="0" borderId="10" xfId="0" applyNumberFormat="1" applyFont="1" applyFill="1" applyBorder="1" applyAlignment="1">
      <alignment horizontal="center" vertical="center"/>
    </xf>
    <xf numFmtId="170" fontId="61" fillId="0" borderId="25" xfId="0" applyNumberFormat="1" applyFont="1" applyFill="1" applyBorder="1" applyAlignment="1">
      <alignment horizontal="right" vertical="center" indent="1"/>
    </xf>
    <xf numFmtId="170" fontId="61" fillId="0" borderId="25" xfId="0" applyNumberFormat="1" applyFont="1" applyFill="1" applyBorder="1" applyAlignment="1">
      <alignment horizontal="right" vertical="center"/>
    </xf>
    <xf numFmtId="1" fontId="61" fillId="0" borderId="11" xfId="0" applyNumberFormat="1" applyFont="1" applyFill="1" applyBorder="1" applyAlignment="1">
      <alignment horizontal="center" vertical="center"/>
    </xf>
    <xf numFmtId="1" fontId="84" fillId="0" borderId="19" xfId="0" applyNumberFormat="1" applyFont="1" applyFill="1" applyBorder="1" applyAlignment="1">
      <alignment horizontal="center" vertical="center"/>
    </xf>
    <xf numFmtId="3" fontId="84" fillId="0" borderId="10" xfId="0" applyNumberFormat="1" applyFont="1" applyFill="1" applyBorder="1" applyAlignment="1">
      <alignment horizontal="right" vertical="center" indent="1"/>
    </xf>
    <xf numFmtId="170" fontId="84" fillId="0" borderId="20" xfId="0" applyNumberFormat="1" applyFont="1" applyFill="1" applyBorder="1" applyAlignment="1">
      <alignment horizontal="right" vertical="center"/>
    </xf>
    <xf numFmtId="0" fontId="61" fillId="0" borderId="21" xfId="0" applyFont="1" applyBorder="1" applyAlignment="1">
      <alignment horizontal="left" vertical="center"/>
    </xf>
    <xf numFmtId="170" fontId="61" fillId="0" borderId="23" xfId="0" applyNumberFormat="1" applyFont="1" applyBorder="1" applyAlignment="1">
      <alignment horizontal="right" vertical="center"/>
    </xf>
    <xf numFmtId="3" fontId="61" fillId="27" borderId="21" xfId="0" applyNumberFormat="1" applyFont="1" applyFill="1" applyBorder="1" applyAlignment="1">
      <alignment horizontal="right" vertical="center" indent="1"/>
    </xf>
    <xf numFmtId="1" fontId="61" fillId="0" borderId="21" xfId="0" applyNumberFormat="1" applyFont="1" applyBorder="1" applyAlignment="1">
      <alignment horizontal="right" vertical="center" indent="1"/>
    </xf>
    <xf numFmtId="0" fontId="61" fillId="0" borderId="21" xfId="0" applyFont="1" applyBorder="1" applyAlignment="1">
      <alignment horizontal="center" vertical="center"/>
    </xf>
    <xf numFmtId="169" fontId="61" fillId="0" borderId="23" xfId="0" applyNumberFormat="1" applyFont="1" applyBorder="1" applyAlignment="1">
      <alignment horizontal="center" vertical="center"/>
    </xf>
    <xf numFmtId="1" fontId="61" fillId="0" borderId="22" xfId="0" applyNumberFormat="1" applyFont="1" applyFill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170" fontId="61" fillId="0" borderId="23" xfId="0" applyNumberFormat="1" applyFont="1" applyFill="1" applyBorder="1" applyAlignment="1">
      <alignment horizontal="right" vertical="center"/>
    </xf>
    <xf numFmtId="3" fontId="61" fillId="0" borderId="29" xfId="0" applyNumberFormat="1" applyFont="1" applyFill="1" applyBorder="1" applyAlignment="1">
      <alignment horizontal="right" vertical="center" indent="1"/>
    </xf>
    <xf numFmtId="3" fontId="61" fillId="0" borderId="22" xfId="0" applyNumberFormat="1" applyFont="1" applyFill="1" applyBorder="1" applyAlignment="1">
      <alignment horizontal="center" vertical="center"/>
    </xf>
    <xf numFmtId="170" fontId="18" fillId="0" borderId="29" xfId="0" applyNumberFormat="1" applyFont="1" applyFill="1" applyBorder="1" applyAlignment="1">
      <alignment horizontal="right" vertical="center" indent="1"/>
    </xf>
    <xf numFmtId="170" fontId="61" fillId="0" borderId="29" xfId="0" applyNumberFormat="1" applyFont="1" applyFill="1" applyBorder="1" applyAlignment="1">
      <alignment horizontal="right" vertical="center" indent="1"/>
    </xf>
    <xf numFmtId="170" fontId="61" fillId="0" borderId="29" xfId="0" applyNumberFormat="1" applyFont="1" applyFill="1" applyBorder="1" applyAlignment="1">
      <alignment horizontal="right" vertical="center"/>
    </xf>
    <xf numFmtId="0" fontId="61" fillId="0" borderId="23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vertical="center"/>
    </xf>
    <xf numFmtId="0" fontId="61" fillId="0" borderId="38" xfId="0" applyFont="1" applyFill="1" applyBorder="1" applyAlignment="1">
      <alignment vertical="center"/>
    </xf>
    <xf numFmtId="0" fontId="61" fillId="0" borderId="11" xfId="0" applyFont="1" applyFill="1" applyBorder="1" applyAlignment="1">
      <alignment vertical="center"/>
    </xf>
    <xf numFmtId="165" fontId="62" fillId="0" borderId="11" xfId="89" applyFont="1" applyFill="1" applyBorder="1" applyAlignment="1">
      <alignment vertical="center"/>
    </xf>
    <xf numFmtId="165" fontId="61" fillId="0" borderId="11" xfId="89" applyFont="1" applyFill="1" applyBorder="1" applyAlignment="1">
      <alignment vertical="center"/>
    </xf>
    <xf numFmtId="0" fontId="61" fillId="0" borderId="21" xfId="0" applyFont="1" applyFill="1" applyBorder="1" applyAlignment="1">
      <alignment vertical="center"/>
    </xf>
    <xf numFmtId="0" fontId="61" fillId="0" borderId="23" xfId="0" applyFont="1" applyFill="1" applyBorder="1" applyAlignment="1">
      <alignment vertical="center"/>
    </xf>
    <xf numFmtId="0" fontId="61" fillId="0" borderId="47" xfId="0" applyFont="1" applyFill="1" applyBorder="1" applyAlignment="1">
      <alignment vertical="center"/>
    </xf>
    <xf numFmtId="0" fontId="17" fillId="0" borderId="0" xfId="79" applyFont="1" applyFill="1" applyAlignment="1">
      <alignment horizontal="center"/>
    </xf>
    <xf numFmtId="0" fontId="11" fillId="0" borderId="0" xfId="79" applyFont="1" applyFill="1"/>
    <xf numFmtId="0" fontId="0" fillId="0" borderId="0" xfId="0" applyFill="1"/>
    <xf numFmtId="0" fontId="86" fillId="0" borderId="0" xfId="0" applyFont="1"/>
    <xf numFmtId="0" fontId="86" fillId="0" borderId="0" xfId="0" applyFont="1" applyFill="1" applyBorder="1"/>
    <xf numFmtId="168" fontId="86" fillId="0" borderId="0" xfId="0" applyNumberFormat="1" applyFont="1"/>
    <xf numFmtId="169" fontId="14" fillId="0" borderId="0" xfId="0" applyNumberFormat="1" applyFont="1" applyBorder="1"/>
    <xf numFmtId="0" fontId="86" fillId="0" borderId="0" xfId="0" applyFont="1" applyFill="1" applyBorder="1" applyAlignment="1">
      <alignment horizontal="center"/>
    </xf>
    <xf numFmtId="0" fontId="13" fillId="0" borderId="0" xfId="0" applyFont="1" applyBorder="1"/>
    <xf numFmtId="169" fontId="13" fillId="0" borderId="0" xfId="0" applyNumberFormat="1" applyFont="1" applyBorder="1"/>
    <xf numFmtId="168" fontId="14" fillId="0" borderId="0" xfId="0" applyNumberFormat="1" applyFont="1" applyBorder="1"/>
    <xf numFmtId="0" fontId="86" fillId="0" borderId="0" xfId="0" applyFont="1" applyAlignment="1">
      <alignment horizontal="center"/>
    </xf>
    <xf numFmtId="169" fontId="86" fillId="0" borderId="0" xfId="0" applyNumberFormat="1" applyFont="1"/>
    <xf numFmtId="177" fontId="86" fillId="0" borderId="0" xfId="0" applyNumberFormat="1" applyFont="1"/>
    <xf numFmtId="0" fontId="86" fillId="0" borderId="0" xfId="0" applyFont="1" applyAlignment="1">
      <alignment horizontal="left"/>
    </xf>
    <xf numFmtId="4" fontId="86" fillId="0" borderId="0" xfId="0" applyNumberFormat="1" applyFont="1"/>
    <xf numFmtId="170" fontId="86" fillId="0" borderId="0" xfId="0" applyNumberFormat="1" applyFont="1"/>
    <xf numFmtId="0" fontId="18" fillId="0" borderId="10" xfId="0" applyFont="1" applyFill="1" applyBorder="1" applyAlignment="1">
      <alignment vertical="center" wrapText="1"/>
    </xf>
    <xf numFmtId="0" fontId="18" fillId="0" borderId="10" xfId="0" applyFont="1" applyFill="1" applyBorder="1" applyAlignment="1">
      <alignment vertical="center"/>
    </xf>
    <xf numFmtId="0" fontId="61" fillId="30" borderId="10" xfId="0" applyFont="1" applyFill="1" applyBorder="1" applyAlignment="1">
      <alignment horizontal="center" wrapText="1"/>
    </xf>
    <xf numFmtId="4" fontId="61" fillId="30" borderId="10" xfId="0" applyNumberFormat="1" applyFont="1" applyFill="1" applyBorder="1"/>
    <xf numFmtId="2" fontId="61" fillId="0" borderId="10" xfId="0" applyNumberFormat="1" applyFont="1" applyBorder="1"/>
    <xf numFmtId="2" fontId="61" fillId="30" borderId="10" xfId="0" applyNumberFormat="1" applyFont="1" applyFill="1" applyBorder="1"/>
    <xf numFmtId="4" fontId="18" fillId="30" borderId="10" xfId="0" applyNumberFormat="1" applyFont="1" applyFill="1" applyBorder="1"/>
    <xf numFmtId="2" fontId="61" fillId="0" borderId="22" xfId="0" applyNumberFormat="1" applyFont="1" applyBorder="1" applyAlignment="1">
      <alignment horizontal="center" vertical="center"/>
    </xf>
    <xf numFmtId="0" fontId="18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2" fillId="30" borderId="10" xfId="0" applyNumberFormat="1" applyFont="1" applyFill="1" applyBorder="1"/>
    <xf numFmtId="2" fontId="61" fillId="31" borderId="0" xfId="0" applyNumberFormat="1" applyFont="1" applyFill="1"/>
    <xf numFmtId="4" fontId="18" fillId="30" borderId="25" xfId="0" applyNumberFormat="1" applyFont="1" applyFill="1" applyBorder="1"/>
    <xf numFmtId="4" fontId="61" fillId="30" borderId="25" xfId="0" applyNumberFormat="1" applyFont="1" applyFill="1" applyBorder="1"/>
    <xf numFmtId="2" fontId="18" fillId="30" borderId="10" xfId="0" applyNumberFormat="1" applyFont="1" applyFill="1" applyBorder="1"/>
    <xf numFmtId="0" fontId="51" fillId="30" borderId="0" xfId="0" applyFont="1" applyFill="1"/>
    <xf numFmtId="2" fontId="62" fillId="30" borderId="10" xfId="0" applyNumberFormat="1" applyFont="1" applyFill="1" applyBorder="1"/>
    <xf numFmtId="2" fontId="62" fillId="0" borderId="10" xfId="0" applyNumberFormat="1" applyFont="1" applyBorder="1"/>
    <xf numFmtId="2" fontId="62" fillId="31" borderId="0" xfId="0" applyNumberFormat="1" applyFont="1" applyFill="1"/>
    <xf numFmtId="2" fontId="0" fillId="0" borderId="0" xfId="0" applyNumberFormat="1" applyFont="1" applyFill="1"/>
    <xf numFmtId="0" fontId="62" fillId="0" borderId="45" xfId="0" applyFont="1" applyFill="1" applyBorder="1" applyAlignment="1">
      <alignment vertical="center"/>
    </xf>
    <xf numFmtId="4" fontId="61" fillId="30" borderId="62" xfId="0" applyNumberFormat="1" applyFont="1" applyFill="1" applyBorder="1"/>
    <xf numFmtId="2" fontId="61" fillId="30" borderId="45" xfId="0" applyNumberFormat="1" applyFont="1" applyFill="1" applyBorder="1"/>
    <xf numFmtId="2" fontId="61" fillId="0" borderId="45" xfId="0" applyNumberFormat="1" applyFont="1" applyBorder="1"/>
    <xf numFmtId="0" fontId="0" fillId="30" borderId="10" xfId="0" applyFont="1" applyFill="1" applyBorder="1"/>
    <xf numFmtId="4" fontId="18" fillId="30" borderId="10" xfId="0" applyNumberFormat="1" applyFont="1" applyFill="1" applyBorder="1" applyAlignment="1">
      <alignment vertical="center"/>
    </xf>
    <xf numFmtId="4" fontId="18" fillId="0" borderId="10" xfId="0" applyNumberFormat="1" applyFont="1" applyFill="1" applyBorder="1" applyAlignment="1">
      <alignment vertical="center"/>
    </xf>
    <xf numFmtId="0" fontId="0" fillId="0" borderId="0" xfId="0" applyFont="1"/>
    <xf numFmtId="2" fontId="8" fillId="0" borderId="0" xfId="0" applyNumberFormat="1" applyFont="1"/>
    <xf numFmtId="10" fontId="8" fillId="0" borderId="0" xfId="0" applyNumberFormat="1" applyFont="1"/>
    <xf numFmtId="9" fontId="8" fillId="0" borderId="0" xfId="0" applyNumberFormat="1" applyFont="1"/>
    <xf numFmtId="0" fontId="61" fillId="0" borderId="85" xfId="0" applyFont="1" applyFill="1" applyBorder="1"/>
    <xf numFmtId="0" fontId="18" fillId="0" borderId="85" xfId="0" applyFont="1" applyFill="1" applyBorder="1"/>
    <xf numFmtId="0" fontId="18" fillId="0" borderId="85" xfId="0" applyFont="1" applyFill="1" applyBorder="1" applyAlignment="1">
      <alignment horizontal="center"/>
    </xf>
    <xf numFmtId="10" fontId="61" fillId="0" borderId="85" xfId="0" applyNumberFormat="1" applyFont="1" applyFill="1" applyBorder="1"/>
    <xf numFmtId="10" fontId="18" fillId="0" borderId="85" xfId="0" applyNumberFormat="1" applyFont="1" applyFill="1" applyBorder="1"/>
    <xf numFmtId="0" fontId="18" fillId="0" borderId="85" xfId="0" applyFont="1" applyFill="1" applyBorder="1" applyAlignment="1">
      <alignment horizontal="center"/>
    </xf>
    <xf numFmtId="176" fontId="61" fillId="0" borderId="85" xfId="0" applyNumberFormat="1" applyFont="1" applyFill="1" applyBorder="1"/>
    <xf numFmtId="0" fontId="61" fillId="0" borderId="85" xfId="0" applyFont="1" applyFill="1" applyBorder="1" applyAlignment="1">
      <alignment vertical="center"/>
    </xf>
    <xf numFmtId="4" fontId="14" fillId="0" borderId="0" xfId="0" applyNumberFormat="1" applyFont="1" applyFill="1"/>
    <xf numFmtId="0" fontId="61" fillId="0" borderId="92" xfId="0" applyFont="1" applyFill="1" applyBorder="1" applyAlignment="1">
      <alignment vertical="center"/>
    </xf>
    <xf numFmtId="0" fontId="0" fillId="0" borderId="92" xfId="0" applyBorder="1"/>
    <xf numFmtId="4" fontId="61" fillId="30" borderId="92" xfId="0" applyNumberFormat="1" applyFont="1" applyFill="1" applyBorder="1"/>
    <xf numFmtId="4" fontId="61" fillId="30" borderId="93" xfId="0" applyNumberFormat="1" applyFont="1" applyFill="1" applyBorder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2" fillId="0" borderId="52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0" xfId="0" applyFont="1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14" fillId="0" borderId="87" xfId="0" applyFont="1" applyBorder="1" applyAlignment="1">
      <alignment horizontal="center" vertical="center" wrapText="1"/>
    </xf>
    <xf numFmtId="169" fontId="14" fillId="0" borderId="92" xfId="0" applyNumberFormat="1" applyFont="1" applyBorder="1" applyAlignment="1">
      <alignment horizontal="center"/>
    </xf>
    <xf numFmtId="169" fontId="14" fillId="0" borderId="92" xfId="0" applyNumberFormat="1" applyFont="1" applyBorder="1" applyAlignment="1">
      <alignment horizontal="center" vertical="center"/>
    </xf>
    <xf numFmtId="0" fontId="14" fillId="0" borderId="92" xfId="0" applyFont="1" applyBorder="1" applyAlignment="1">
      <alignment horizontal="center"/>
    </xf>
    <xf numFmtId="0" fontId="0" fillId="0" borderId="90" xfId="0" applyBorder="1" applyAlignment="1"/>
    <xf numFmtId="169" fontId="15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80" fillId="0" borderId="91" xfId="0" applyFont="1" applyBorder="1" applyAlignment="1">
      <alignment vertical="center"/>
    </xf>
    <xf numFmtId="0" fontId="62" fillId="0" borderId="91" xfId="0" applyFont="1" applyBorder="1" applyAlignment="1">
      <alignment vertical="center"/>
    </xf>
    <xf numFmtId="0" fontId="18" fillId="0" borderId="13" xfId="0" applyFont="1" applyBorder="1" applyAlignment="1">
      <alignment vertical="center" wrapText="1"/>
    </xf>
    <xf numFmtId="0" fontId="61" fillId="0" borderId="12" xfId="0" applyFont="1" applyBorder="1" applyAlignment="1">
      <alignment vertical="center" wrapText="1"/>
    </xf>
    <xf numFmtId="0" fontId="62" fillId="0" borderId="12" xfId="0" applyFont="1" applyBorder="1" applyAlignment="1">
      <alignment vertical="center" wrapText="1"/>
    </xf>
    <xf numFmtId="0" fontId="18" fillId="0" borderId="12" xfId="0" applyFont="1" applyBorder="1" applyAlignment="1">
      <alignment vertical="center" wrapText="1"/>
    </xf>
    <xf numFmtId="0" fontId="61" fillId="0" borderId="15" xfId="0" applyFont="1" applyBorder="1" applyAlignment="1">
      <alignment vertical="center" wrapText="1"/>
    </xf>
    <xf numFmtId="0" fontId="18" fillId="0" borderId="34" xfId="0" applyFont="1" applyBorder="1" applyAlignment="1">
      <alignment vertical="center" wrapText="1"/>
    </xf>
    <xf numFmtId="0" fontId="80" fillId="0" borderId="93" xfId="0" applyFont="1" applyBorder="1" applyAlignment="1">
      <alignment vertical="center"/>
    </xf>
    <xf numFmtId="10" fontId="62" fillId="0" borderId="92" xfId="85" applyNumberFormat="1" applyFont="1" applyBorder="1" applyAlignment="1">
      <alignment horizontal="right" vertical="center"/>
    </xf>
    <xf numFmtId="0" fontId="61" fillId="0" borderId="19" xfId="0" applyFont="1" applyBorder="1" applyAlignment="1">
      <alignment horizontal="center" vertical="center"/>
    </xf>
    <xf numFmtId="0" fontId="0" fillId="0" borderId="33" xfId="0" applyBorder="1"/>
    <xf numFmtId="0" fontId="22" fillId="0" borderId="57" xfId="0" applyFont="1" applyBorder="1" applyAlignment="1">
      <alignment horizontal="center" vertical="top" wrapText="1"/>
    </xf>
    <xf numFmtId="0" fontId="22" fillId="0" borderId="33" xfId="0" applyFont="1" applyBorder="1" applyAlignment="1">
      <alignment horizontal="center" vertical="top" wrapText="1"/>
    </xf>
    <xf numFmtId="0" fontId="22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2" fillId="0" borderId="55" xfId="0" applyFont="1" applyBorder="1" applyAlignment="1">
      <alignment horizontal="right" vertical="top" wrapText="1"/>
    </xf>
    <xf numFmtId="0" fontId="22" fillId="0" borderId="55" xfId="0" applyFont="1" applyBorder="1" applyAlignment="1">
      <alignment vertical="top" wrapText="1"/>
    </xf>
    <xf numFmtId="0" fontId="61" fillId="0" borderId="54" xfId="0" applyFont="1" applyBorder="1"/>
    <xf numFmtId="0" fontId="0" fillId="0" borderId="60" xfId="0" applyBorder="1"/>
    <xf numFmtId="0" fontId="20" fillId="0" borderId="54" xfId="0" applyFont="1" applyBorder="1" applyAlignment="1">
      <alignment horizontal="center"/>
    </xf>
    <xf numFmtId="0" fontId="18" fillId="0" borderId="54" xfId="0" applyFont="1" applyBorder="1" applyAlignment="1">
      <alignment horizontal="center"/>
    </xf>
    <xf numFmtId="0" fontId="15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7" fillId="0" borderId="54" xfId="0" applyFont="1" applyBorder="1"/>
    <xf numFmtId="0" fontId="22" fillId="0" borderId="0" xfId="0" applyFont="1" applyBorder="1" applyAlignment="1">
      <alignment horizontal="right" vertical="top" wrapText="1"/>
    </xf>
    <xf numFmtId="0" fontId="14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61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6" fillId="0" borderId="5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4" fillId="0" borderId="60" xfId="0" applyFont="1" applyBorder="1" applyAlignment="1">
      <alignment wrapText="1"/>
    </xf>
    <xf numFmtId="0" fontId="14" fillId="0" borderId="33" xfId="0" applyFont="1" applyBorder="1" applyAlignment="1">
      <alignment wrapText="1"/>
    </xf>
    <xf numFmtId="0" fontId="22" fillId="0" borderId="0" xfId="0" applyFont="1" applyBorder="1" applyAlignment="1">
      <alignment vertical="top" wrapText="1"/>
    </xf>
    <xf numFmtId="0" fontId="12" fillId="0" borderId="0" xfId="0" applyFont="1"/>
    <xf numFmtId="0" fontId="12" fillId="29" borderId="0" xfId="0" applyFont="1" applyFill="1"/>
    <xf numFmtId="0" fontId="16" fillId="0" borderId="54" xfId="0" applyFont="1" applyBorder="1" applyAlignment="1">
      <alignment vertical="top" wrapText="1"/>
    </xf>
    <xf numFmtId="0" fontId="18" fillId="0" borderId="54" xfId="0" applyFont="1" applyBorder="1"/>
    <xf numFmtId="0" fontId="24" fillId="0" borderId="54" xfId="0" applyFont="1" applyBorder="1"/>
    <xf numFmtId="0" fontId="9" fillId="29" borderId="0" xfId="0" applyFont="1" applyFill="1"/>
    <xf numFmtId="0" fontId="13" fillId="0" borderId="92" xfId="0" applyFont="1" applyBorder="1" applyAlignment="1">
      <alignment horizontal="center"/>
    </xf>
    <xf numFmtId="169" fontId="13" fillId="0" borderId="92" xfId="0" applyNumberFormat="1" applyFont="1" applyBorder="1" applyAlignment="1">
      <alignment horizontal="center"/>
    </xf>
    <xf numFmtId="4" fontId="61" fillId="0" borderId="92" xfId="0" applyNumberFormat="1" applyFont="1" applyBorder="1" applyAlignment="1">
      <alignment horizontal="center" vertical="center"/>
    </xf>
    <xf numFmtId="4" fontId="18" fillId="0" borderId="92" xfId="0" applyNumberFormat="1" applyFont="1" applyBorder="1" applyAlignment="1">
      <alignment horizontal="center" vertical="center"/>
    </xf>
    <xf numFmtId="0" fontId="13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2" fillId="0" borderId="34" xfId="0" applyFont="1" applyBorder="1" applyAlignment="1">
      <alignment vertical="center" wrapText="1"/>
    </xf>
    <xf numFmtId="0" fontId="82" fillId="0" borderId="12" xfId="0" applyFont="1" applyBorder="1" applyAlignment="1">
      <alignment vertical="center" wrapText="1"/>
    </xf>
    <xf numFmtId="0" fontId="82" fillId="0" borderId="12" xfId="0" applyFont="1" applyFill="1" applyBorder="1" applyAlignment="1">
      <alignment vertical="center" wrapText="1"/>
    </xf>
    <xf numFmtId="0" fontId="82" fillId="0" borderId="46" xfId="0" applyFont="1" applyFill="1" applyBorder="1" applyAlignment="1">
      <alignment vertical="center" wrapText="1"/>
    </xf>
    <xf numFmtId="10" fontId="62" fillId="0" borderId="20" xfId="85" applyNumberFormat="1" applyFont="1" applyFill="1" applyBorder="1" applyAlignment="1">
      <alignment horizontal="right" vertical="center"/>
    </xf>
    <xf numFmtId="4" fontId="62" fillId="0" borderId="20" xfId="0" applyNumberFormat="1" applyFont="1" applyFill="1" applyBorder="1" applyAlignment="1">
      <alignment horizontal="right" vertical="center" wrapText="1"/>
    </xf>
    <xf numFmtId="0" fontId="82" fillId="32" borderId="37" xfId="0" applyFont="1" applyFill="1" applyBorder="1" applyAlignment="1">
      <alignment horizontal="center" vertical="center"/>
    </xf>
    <xf numFmtId="168" fontId="82" fillId="32" borderId="11" xfId="0" applyNumberFormat="1" applyFont="1" applyFill="1" applyBorder="1" applyAlignment="1">
      <alignment horizontal="center" vertical="center"/>
    </xf>
    <xf numFmtId="3" fontId="82" fillId="32" borderId="11" xfId="0" applyNumberFormat="1" applyFont="1" applyFill="1" applyBorder="1" applyAlignment="1">
      <alignment horizontal="center" vertical="center"/>
    </xf>
    <xf numFmtId="169" fontId="83" fillId="32" borderId="11" xfId="0" applyNumberFormat="1" applyFont="1" applyFill="1" applyBorder="1" applyAlignment="1">
      <alignment horizontal="center" vertical="center"/>
    </xf>
    <xf numFmtId="4" fontId="82" fillId="32" borderId="11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horizontal="center" vertical="center"/>
    </xf>
    <xf numFmtId="168" fontId="82" fillId="32" borderId="10" xfId="0" applyNumberFormat="1" applyFont="1" applyFill="1" applyBorder="1" applyAlignment="1">
      <alignment horizontal="center" vertical="center"/>
    </xf>
    <xf numFmtId="3" fontId="82" fillId="32" borderId="10" xfId="0" applyNumberFormat="1" applyFont="1" applyFill="1" applyBorder="1" applyAlignment="1">
      <alignment horizontal="center" vertical="center"/>
    </xf>
    <xf numFmtId="169" fontId="83" fillId="32" borderId="10" xfId="0" applyNumberFormat="1" applyFont="1" applyFill="1" applyBorder="1" applyAlignment="1">
      <alignment horizontal="center" vertical="center"/>
    </xf>
    <xf numFmtId="4" fontId="82" fillId="32" borderId="10" xfId="0" applyNumberFormat="1" applyFont="1" applyFill="1" applyBorder="1" applyAlignment="1">
      <alignment horizontal="center" vertical="center"/>
    </xf>
    <xf numFmtId="0" fontId="82" fillId="32" borderId="19" xfId="0" applyFont="1" applyFill="1" applyBorder="1" applyAlignment="1">
      <alignment vertical="center"/>
    </xf>
    <xf numFmtId="0" fontId="82" fillId="32" borderId="10" xfId="0" applyFont="1" applyFill="1" applyBorder="1" applyAlignment="1">
      <alignment vertical="center"/>
    </xf>
    <xf numFmtId="0" fontId="82" fillId="32" borderId="10" xfId="0" applyFont="1" applyFill="1" applyBorder="1" applyAlignment="1">
      <alignment horizontal="center" vertical="center"/>
    </xf>
    <xf numFmtId="2" fontId="82" fillId="32" borderId="10" xfId="0" applyNumberFormat="1" applyFont="1" applyFill="1" applyBorder="1" applyAlignment="1">
      <alignment horizontal="center" vertical="center"/>
    </xf>
    <xf numFmtId="169" fontId="82" fillId="32" borderId="10" xfId="0" applyNumberFormat="1" applyFont="1" applyFill="1" applyBorder="1" applyAlignment="1">
      <alignment horizontal="center" vertical="center"/>
    </xf>
    <xf numFmtId="0" fontId="64" fillId="0" borderId="46" xfId="0" applyFont="1" applyBorder="1" applyAlignment="1">
      <alignment vertical="center"/>
    </xf>
    <xf numFmtId="0" fontId="82" fillId="32" borderId="57" xfId="0" applyFont="1" applyFill="1" applyBorder="1" applyAlignment="1">
      <alignment horizontal="center" vertical="center" wrapText="1"/>
    </xf>
    <xf numFmtId="0" fontId="82" fillId="27" borderId="57" xfId="0" applyFont="1" applyFill="1" applyBorder="1" applyAlignment="1">
      <alignment horizontal="center" vertical="center" wrapText="1"/>
    </xf>
    <xf numFmtId="0" fontId="82" fillId="28" borderId="57" xfId="0" applyFont="1" applyFill="1" applyBorder="1" applyAlignment="1">
      <alignment horizontal="center" vertical="center" wrapText="1"/>
    </xf>
    <xf numFmtId="0" fontId="64" fillId="0" borderId="57" xfId="0" applyFont="1" applyBorder="1" applyAlignment="1">
      <alignment vertical="center"/>
    </xf>
    <xf numFmtId="0" fontId="82" fillId="26" borderId="57" xfId="0" applyFont="1" applyFill="1" applyBorder="1" applyAlignment="1">
      <alignment horizontal="center" vertical="center" wrapText="1"/>
    </xf>
    <xf numFmtId="0" fontId="82" fillId="0" borderId="14" xfId="0" applyFont="1" applyBorder="1" applyAlignment="1">
      <alignment vertical="center" wrapText="1"/>
    </xf>
    <xf numFmtId="0" fontId="82" fillId="32" borderId="86" xfId="0" applyFont="1" applyFill="1" applyBorder="1" applyAlignment="1">
      <alignment vertical="center"/>
    </xf>
    <xf numFmtId="0" fontId="82" fillId="32" borderId="87" xfId="0" applyFont="1" applyFill="1" applyBorder="1" applyAlignment="1">
      <alignment vertical="center"/>
    </xf>
    <xf numFmtId="0" fontId="82" fillId="32" borderId="87" xfId="0" applyFont="1" applyFill="1" applyBorder="1" applyAlignment="1">
      <alignment horizontal="center" vertical="center"/>
    </xf>
    <xf numFmtId="0" fontId="82" fillId="27" borderId="87" xfId="0" applyFont="1" applyFill="1" applyBorder="1" applyAlignment="1">
      <alignment horizontal="center" vertical="center"/>
    </xf>
    <xf numFmtId="4" fontId="82" fillId="27" borderId="87" xfId="0" applyNumberFormat="1" applyFont="1" applyFill="1" applyBorder="1" applyAlignment="1">
      <alignment horizontal="center" vertical="center"/>
    </xf>
    <xf numFmtId="4" fontId="83" fillId="27" borderId="87" xfId="0" applyNumberFormat="1" applyFont="1" applyFill="1" applyBorder="1" applyAlignment="1">
      <alignment horizontal="center" vertical="center"/>
    </xf>
    <xf numFmtId="4" fontId="82" fillId="27" borderId="88" xfId="0" applyNumberFormat="1" applyFont="1" applyFill="1" applyBorder="1" applyAlignment="1">
      <alignment horizontal="center" vertical="center"/>
    </xf>
    <xf numFmtId="0" fontId="82" fillId="28" borderId="87" xfId="0" applyFont="1" applyFill="1" applyBorder="1" applyAlignment="1">
      <alignment horizontal="center" vertical="center"/>
    </xf>
    <xf numFmtId="4" fontId="82" fillId="28" borderId="87" xfId="0" applyNumberFormat="1" applyFont="1" applyFill="1" applyBorder="1" applyAlignment="1">
      <alignment horizontal="center" vertical="center"/>
    </xf>
    <xf numFmtId="4" fontId="82" fillId="28" borderId="88" xfId="0" applyNumberFormat="1" applyFont="1" applyFill="1" applyBorder="1" applyAlignment="1">
      <alignment horizontal="center" vertical="center"/>
    </xf>
    <xf numFmtId="4" fontId="83" fillId="28" borderId="87" xfId="0" applyNumberFormat="1" applyFont="1" applyFill="1" applyBorder="1" applyAlignment="1">
      <alignment horizontal="center" vertical="center"/>
    </xf>
    <xf numFmtId="0" fontId="82" fillId="26" borderId="86" xfId="0" applyFont="1" applyFill="1" applyBorder="1" applyAlignment="1">
      <alignment vertical="center"/>
    </xf>
    <xf numFmtId="0" fontId="82" fillId="26" borderId="87" xfId="0" applyFont="1" applyFill="1" applyBorder="1" applyAlignment="1">
      <alignment vertical="center"/>
    </xf>
    <xf numFmtId="0" fontId="82" fillId="26" borderId="62" xfId="0" applyFont="1" applyFill="1" applyBorder="1" applyAlignment="1">
      <alignment horizontal="center" vertical="center"/>
    </xf>
    <xf numFmtId="0" fontId="82" fillId="27" borderId="86" xfId="0" applyFont="1" applyFill="1" applyBorder="1" applyAlignment="1">
      <alignment horizontal="center" vertical="center"/>
    </xf>
    <xf numFmtId="0" fontId="82" fillId="27" borderId="11" xfId="0" applyFont="1" applyFill="1" applyBorder="1" applyAlignment="1">
      <alignment horizontal="center" vertical="center"/>
    </xf>
    <xf numFmtId="0" fontId="82" fillId="28" borderId="11" xfId="0" applyFont="1" applyFill="1" applyBorder="1" applyAlignment="1">
      <alignment horizontal="center" vertical="center"/>
    </xf>
    <xf numFmtId="0" fontId="82" fillId="27" borderId="37" xfId="0" applyFont="1" applyFill="1" applyBorder="1" applyAlignment="1">
      <alignment horizontal="center" vertical="center"/>
    </xf>
    <xf numFmtId="0" fontId="17" fillId="0" borderId="58" xfId="0" applyFont="1" applyBorder="1" applyAlignment="1">
      <alignment vertical="center" wrapText="1"/>
    </xf>
    <xf numFmtId="0" fontId="64" fillId="0" borderId="53" xfId="0" applyFont="1" applyBorder="1" applyAlignment="1">
      <alignment vertical="center"/>
    </xf>
    <xf numFmtId="0" fontId="17" fillId="32" borderId="75" xfId="0" applyFont="1" applyFill="1" applyBorder="1" applyAlignment="1">
      <alignment vertical="center"/>
    </xf>
    <xf numFmtId="0" fontId="17" fillId="32" borderId="76" xfId="0" applyFont="1" applyFill="1" applyBorder="1" applyAlignment="1">
      <alignment vertical="center"/>
    </xf>
    <xf numFmtId="0" fontId="17" fillId="32" borderId="76" xfId="0" applyFont="1" applyFill="1" applyBorder="1" applyAlignment="1">
      <alignment horizontal="center" vertical="center"/>
    </xf>
    <xf numFmtId="0" fontId="82" fillId="27" borderId="76" xfId="0" applyFont="1" applyFill="1" applyBorder="1" applyAlignment="1">
      <alignment horizontal="center" vertical="center"/>
    </xf>
    <xf numFmtId="4" fontId="82" fillId="27" borderId="76" xfId="0" applyNumberFormat="1" applyFont="1" applyFill="1" applyBorder="1" applyAlignment="1">
      <alignment horizontal="center" vertical="center"/>
    </xf>
    <xf numFmtId="4" fontId="83" fillId="27" borderId="76" xfId="0" applyNumberFormat="1" applyFont="1" applyFill="1" applyBorder="1" applyAlignment="1">
      <alignment horizontal="center" vertical="center"/>
    </xf>
    <xf numFmtId="4" fontId="17" fillId="27" borderId="77" xfId="0" applyNumberFormat="1" applyFont="1" applyFill="1" applyBorder="1" applyAlignment="1">
      <alignment horizontal="center" vertical="center"/>
    </xf>
    <xf numFmtId="0" fontId="82" fillId="28" borderId="76" xfId="0" applyFont="1" applyFill="1" applyBorder="1" applyAlignment="1">
      <alignment horizontal="center" vertical="center"/>
    </xf>
    <xf numFmtId="4" fontId="82" fillId="28" borderId="76" xfId="0" applyNumberFormat="1" applyFont="1" applyFill="1" applyBorder="1" applyAlignment="1">
      <alignment horizontal="center" vertical="center"/>
    </xf>
    <xf numFmtId="4" fontId="17" fillId="28" borderId="77" xfId="0" applyNumberFormat="1" applyFont="1" applyFill="1" applyBorder="1" applyAlignment="1">
      <alignment horizontal="center" vertical="center"/>
    </xf>
    <xf numFmtId="4" fontId="83" fillId="28" borderId="76" xfId="0" applyNumberFormat="1" applyFont="1" applyFill="1" applyBorder="1" applyAlignment="1">
      <alignment horizontal="center" vertical="center"/>
    </xf>
    <xf numFmtId="0" fontId="17" fillId="26" borderId="75" xfId="0" applyFont="1" applyFill="1" applyBorder="1" applyAlignment="1">
      <alignment vertical="center"/>
    </xf>
    <xf numFmtId="0" fontId="17" fillId="26" borderId="76" xfId="0" applyFont="1" applyFill="1" applyBorder="1" applyAlignment="1">
      <alignment vertical="center"/>
    </xf>
    <xf numFmtId="0" fontId="17" fillId="26" borderId="81" xfId="0" applyFont="1" applyFill="1" applyBorder="1" applyAlignment="1">
      <alignment horizontal="center" vertical="center"/>
    </xf>
    <xf numFmtId="0" fontId="82" fillId="27" borderId="75" xfId="0" applyFont="1" applyFill="1" applyBorder="1" applyAlignment="1">
      <alignment horizontal="center" vertical="center"/>
    </xf>
    <xf numFmtId="0" fontId="17" fillId="0" borderId="57" xfId="0" applyFont="1" applyFill="1" applyBorder="1" applyAlignment="1">
      <alignment vertical="center" wrapText="1"/>
    </xf>
    <xf numFmtId="0" fontId="17" fillId="32" borderId="24" xfId="0" applyFont="1" applyFill="1" applyBorder="1" applyAlignment="1">
      <alignment horizontal="center" vertical="center"/>
    </xf>
    <xf numFmtId="4" fontId="17" fillId="32" borderId="43" xfId="0" applyNumberFormat="1" applyFont="1" applyFill="1" applyBorder="1" applyAlignment="1">
      <alignment horizontal="center" vertical="center"/>
    </xf>
    <xf numFmtId="0" fontId="17" fillId="32" borderId="43" xfId="0" applyFont="1" applyFill="1" applyBorder="1" applyAlignment="1">
      <alignment horizontal="center" vertical="center"/>
    </xf>
    <xf numFmtId="0" fontId="17" fillId="27" borderId="43" xfId="0" applyFont="1" applyFill="1" applyBorder="1" applyAlignment="1">
      <alignment horizontal="center" vertical="center"/>
    </xf>
    <xf numFmtId="4" fontId="17" fillId="27" borderId="43" xfId="0" applyNumberFormat="1" applyFont="1" applyFill="1" applyBorder="1" applyAlignment="1">
      <alignment horizontal="center" vertical="center"/>
    </xf>
    <xf numFmtId="4" fontId="17" fillId="27" borderId="44" xfId="0" applyNumberFormat="1" applyFont="1" applyFill="1" applyBorder="1" applyAlignment="1">
      <alignment horizontal="center" vertical="center"/>
    </xf>
    <xf numFmtId="0" fontId="17" fillId="28" borderId="43" xfId="0" applyFont="1" applyFill="1" applyBorder="1" applyAlignment="1">
      <alignment horizontal="center" vertical="center"/>
    </xf>
    <xf numFmtId="4" fontId="17" fillId="28" borderId="43" xfId="0" applyNumberFormat="1" applyFont="1" applyFill="1" applyBorder="1" applyAlignment="1">
      <alignment horizontal="center" vertical="center"/>
    </xf>
    <xf numFmtId="4" fontId="17" fillId="28" borderId="44" xfId="0" applyNumberFormat="1" applyFont="1" applyFill="1" applyBorder="1" applyAlignment="1">
      <alignment horizontal="center" vertical="center"/>
    </xf>
    <xf numFmtId="0" fontId="17" fillId="26" borderId="24" xfId="0" applyFont="1" applyFill="1" applyBorder="1" applyAlignment="1">
      <alignment horizontal="center" vertical="center"/>
    </xf>
    <xf numFmtId="4" fontId="17" fillId="26" borderId="43" xfId="0" applyNumberFormat="1" applyFont="1" applyFill="1" applyBorder="1" applyAlignment="1">
      <alignment horizontal="center" vertical="center"/>
    </xf>
    <xf numFmtId="0" fontId="17" fillId="26" borderId="43" xfId="0" applyFont="1" applyFill="1" applyBorder="1" applyAlignment="1">
      <alignment horizontal="center" vertical="center"/>
    </xf>
    <xf numFmtId="0" fontId="17" fillId="26" borderId="79" xfId="0" applyFont="1" applyFill="1" applyBorder="1" applyAlignment="1">
      <alignment horizontal="center" vertical="center"/>
    </xf>
    <xf numFmtId="0" fontId="17" fillId="27" borderId="24" xfId="0" applyFont="1" applyFill="1" applyBorder="1" applyAlignment="1">
      <alignment horizontal="center" vertical="center"/>
    </xf>
    <xf numFmtId="169" fontId="17" fillId="32" borderId="76" xfId="0" applyNumberFormat="1" applyFont="1" applyFill="1" applyBorder="1" applyAlignment="1">
      <alignment horizontal="center" vertical="center"/>
    </xf>
    <xf numFmtId="169" fontId="17" fillId="26" borderId="81" xfId="0" applyNumberFormat="1" applyFont="1" applyFill="1" applyBorder="1" applyAlignment="1">
      <alignment horizontal="center" vertical="center"/>
    </xf>
    <xf numFmtId="0" fontId="82" fillId="32" borderId="37" xfId="0" applyFont="1" applyFill="1" applyBorder="1" applyAlignment="1">
      <alignment vertical="center"/>
    </xf>
    <xf numFmtId="0" fontId="82" fillId="32" borderId="11" xfId="0" applyFont="1" applyFill="1" applyBorder="1" applyAlignment="1">
      <alignment vertical="center"/>
    </xf>
    <xf numFmtId="0" fontId="82" fillId="32" borderId="11" xfId="0" applyFont="1" applyFill="1" applyBorder="1" applyAlignment="1">
      <alignment horizontal="center" vertical="center"/>
    </xf>
    <xf numFmtId="0" fontId="82" fillId="26" borderId="37" xfId="0" applyFont="1" applyFill="1" applyBorder="1" applyAlignment="1">
      <alignment vertical="center"/>
    </xf>
    <xf numFmtId="0" fontId="82" fillId="26" borderId="11" xfId="0" applyFont="1" applyFill="1" applyBorder="1" applyAlignment="1">
      <alignment vertical="center"/>
    </xf>
    <xf numFmtId="0" fontId="82" fillId="26" borderId="35" xfId="0" applyFont="1" applyFill="1" applyBorder="1" applyAlignment="1">
      <alignment horizontal="center" vertical="center"/>
    </xf>
    <xf numFmtId="2" fontId="82" fillId="26" borderId="11" xfId="0" applyNumberFormat="1" applyFont="1" applyFill="1" applyBorder="1" applyAlignment="1">
      <alignment horizontal="center" vertical="center"/>
    </xf>
    <xf numFmtId="169" fontId="82" fillId="26" borderId="35" xfId="0" applyNumberFormat="1" applyFont="1" applyFill="1" applyBorder="1" applyAlignment="1">
      <alignment horizontal="center" vertical="center"/>
    </xf>
    <xf numFmtId="4" fontId="17" fillId="32" borderId="76" xfId="0" applyNumberFormat="1" applyFont="1" applyFill="1" applyBorder="1" applyAlignment="1">
      <alignment horizontal="center" vertical="center"/>
    </xf>
    <xf numFmtId="4" fontId="17" fillId="27" borderId="76" xfId="0" applyNumberFormat="1" applyFont="1" applyFill="1" applyBorder="1" applyAlignment="1">
      <alignment horizontal="center" vertical="center"/>
    </xf>
    <xf numFmtId="4" fontId="17" fillId="28" borderId="76" xfId="0" applyNumberFormat="1" applyFont="1" applyFill="1" applyBorder="1" applyAlignment="1">
      <alignment horizontal="center" vertical="center"/>
    </xf>
    <xf numFmtId="4" fontId="17" fillId="26" borderId="76" xfId="0" applyNumberFormat="1" applyFont="1" applyFill="1" applyBorder="1" applyAlignment="1">
      <alignment horizontal="center" vertical="center"/>
    </xf>
    <xf numFmtId="0" fontId="17" fillId="26" borderId="76" xfId="0" applyFont="1" applyFill="1" applyBorder="1" applyAlignment="1">
      <alignment horizontal="center" vertical="center"/>
    </xf>
    <xf numFmtId="2" fontId="14" fillId="0" borderId="92" xfId="0" applyNumberFormat="1" applyFont="1" applyBorder="1" applyAlignment="1">
      <alignment horizontal="center" vertical="center" wrapText="1"/>
    </xf>
    <xf numFmtId="168" fontId="14" fillId="0" borderId="92" xfId="0" applyNumberFormat="1" applyFont="1" applyBorder="1" applyAlignment="1">
      <alignment horizontal="center" vertical="top" wrapText="1"/>
    </xf>
    <xf numFmtId="168" fontId="14" fillId="0" borderId="92" xfId="0" applyNumberFormat="1" applyFont="1" applyBorder="1" applyAlignment="1">
      <alignment horizontal="center"/>
    </xf>
    <xf numFmtId="4" fontId="13" fillId="0" borderId="92" xfId="0" applyNumberFormat="1" applyFont="1" applyBorder="1" applyAlignment="1">
      <alignment horizontal="center" vertical="center"/>
    </xf>
    <xf numFmtId="168" fontId="14" fillId="0" borderId="92" xfId="0" applyNumberFormat="1" applyFont="1" applyBorder="1"/>
    <xf numFmtId="168" fontId="24" fillId="0" borderId="92" xfId="0" applyNumberFormat="1" applyFont="1" applyBorder="1" applyAlignment="1">
      <alignment horizontal="center"/>
    </xf>
    <xf numFmtId="168" fontId="22" fillId="0" borderId="92" xfId="0" applyNumberFormat="1" applyFont="1" applyBorder="1" applyAlignment="1">
      <alignment horizontal="center"/>
    </xf>
    <xf numFmtId="2" fontId="18" fillId="0" borderId="92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 wrapText="1"/>
    </xf>
    <xf numFmtId="0" fontId="61" fillId="0" borderId="92" xfId="0" applyFont="1" applyBorder="1" applyAlignment="1">
      <alignment horizontal="center" vertical="center"/>
    </xf>
    <xf numFmtId="168" fontId="61" fillId="0" borderId="92" xfId="0" applyNumberFormat="1" applyFont="1" applyBorder="1" applyAlignment="1">
      <alignment horizontal="center" vertical="center"/>
    </xf>
    <xf numFmtId="168" fontId="61" fillId="0" borderId="92" xfId="0" applyNumberFormat="1" applyFont="1" applyFill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/>
    </xf>
    <xf numFmtId="2" fontId="61" fillId="0" borderId="19" xfId="0" applyNumberFormat="1" applyFont="1" applyBorder="1" applyAlignment="1">
      <alignment horizontal="center" vertical="center" wrapText="1"/>
    </xf>
    <xf numFmtId="2" fontId="61" fillId="0" borderId="92" xfId="0" applyNumberFormat="1" applyFont="1" applyBorder="1" applyAlignment="1">
      <alignment horizontal="center" vertical="center" wrapText="1"/>
    </xf>
    <xf numFmtId="168" fontId="61" fillId="0" borderId="19" xfId="0" applyNumberFormat="1" applyFont="1" applyBorder="1" applyAlignment="1">
      <alignment horizontal="center" vertical="center"/>
    </xf>
    <xf numFmtId="169" fontId="61" fillId="0" borderId="92" xfId="0" applyNumberFormat="1" applyFont="1" applyBorder="1" applyAlignment="1">
      <alignment horizontal="center" vertical="center"/>
    </xf>
    <xf numFmtId="1" fontId="61" fillId="0" borderId="92" xfId="0" applyNumberFormat="1" applyFont="1" applyBorder="1" applyAlignment="1">
      <alignment horizontal="center" vertical="center"/>
    </xf>
    <xf numFmtId="168" fontId="18" fillId="0" borderId="19" xfId="0" applyNumberFormat="1" applyFont="1" applyBorder="1" applyAlignment="1">
      <alignment horizontal="center" vertical="center"/>
    </xf>
    <xf numFmtId="169" fontId="18" fillId="0" borderId="92" xfId="0" applyNumberFormat="1" applyFont="1" applyBorder="1" applyAlignment="1">
      <alignment horizontal="center" vertical="center"/>
    </xf>
    <xf numFmtId="168" fontId="18" fillId="0" borderId="92" xfId="0" applyNumberFormat="1" applyFont="1" applyBorder="1" applyAlignment="1">
      <alignment horizontal="center" vertical="center"/>
    </xf>
    <xf numFmtId="1" fontId="18" fillId="0" borderId="92" xfId="0" applyNumberFormat="1" applyFont="1" applyBorder="1" applyAlignment="1">
      <alignment horizontal="center" vertical="center"/>
    </xf>
    <xf numFmtId="0" fontId="79" fillId="0" borderId="92" xfId="0" applyFont="1" applyBorder="1" applyAlignment="1">
      <alignment horizontal="center" vertical="center"/>
    </xf>
    <xf numFmtId="168" fontId="61" fillId="0" borderId="20" xfId="0" applyNumberFormat="1" applyFont="1" applyBorder="1" applyAlignment="1">
      <alignment horizontal="center" vertical="center"/>
    </xf>
    <xf numFmtId="168" fontId="61" fillId="0" borderId="22" xfId="0" applyNumberFormat="1" applyFont="1" applyBorder="1" applyAlignment="1">
      <alignment horizontal="center" vertical="center"/>
    </xf>
    <xf numFmtId="0" fontId="79" fillId="0" borderId="22" xfId="0" applyFont="1" applyBorder="1" applyAlignment="1">
      <alignment horizontal="center" vertical="center"/>
    </xf>
    <xf numFmtId="168" fontId="61" fillId="0" borderId="23" xfId="0" applyNumberFormat="1" applyFont="1" applyBorder="1" applyAlignment="1">
      <alignment horizontal="center" vertical="center"/>
    </xf>
    <xf numFmtId="2" fontId="61" fillId="0" borderId="12" xfId="0" applyNumberFormat="1" applyFont="1" applyBorder="1" applyAlignment="1">
      <alignment vertical="center"/>
    </xf>
    <xf numFmtId="2" fontId="81" fillId="0" borderId="12" xfId="0" applyNumberFormat="1" applyFont="1" applyBorder="1" applyAlignment="1">
      <alignment vertical="center"/>
    </xf>
    <xf numFmtId="2" fontId="18" fillId="0" borderId="12" xfId="0" applyNumberFormat="1" applyFont="1" applyBorder="1" applyAlignment="1">
      <alignment vertical="center"/>
    </xf>
    <xf numFmtId="2" fontId="61" fillId="0" borderId="12" xfId="0" applyNumberFormat="1" applyFont="1" applyBorder="1" applyAlignment="1">
      <alignment vertical="center" wrapText="1"/>
    </xf>
    <xf numFmtId="2" fontId="18" fillId="0" borderId="12" xfId="0" applyNumberFormat="1" applyFont="1" applyBorder="1" applyAlignment="1">
      <alignment vertical="center" wrapText="1"/>
    </xf>
    <xf numFmtId="2" fontId="61" fillId="0" borderId="15" xfId="0" applyNumberFormat="1" applyFont="1" applyBorder="1" applyAlignment="1">
      <alignment vertical="center" wrapText="1"/>
    </xf>
    <xf numFmtId="2" fontId="61" fillId="0" borderId="20" xfId="0" applyNumberFormat="1" applyFont="1" applyBorder="1" applyAlignment="1">
      <alignment horizontal="center" vertical="center" wrapText="1"/>
    </xf>
    <xf numFmtId="2" fontId="61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61" fillId="0" borderId="14" xfId="0" applyFont="1" applyBorder="1" applyAlignment="1">
      <alignment vertical="center" wrapText="1"/>
    </xf>
    <xf numFmtId="2" fontId="61" fillId="0" borderId="99" xfId="0" applyNumberFormat="1" applyFont="1" applyBorder="1" applyAlignment="1">
      <alignment horizontal="center" vertical="center" wrapText="1"/>
    </xf>
    <xf numFmtId="2" fontId="61" fillId="0" borderId="101" xfId="0" applyNumberFormat="1" applyFont="1" applyBorder="1" applyAlignment="1">
      <alignment horizontal="center" vertical="center" wrapText="1"/>
    </xf>
    <xf numFmtId="168" fontId="61" fillId="0" borderId="101" xfId="0" applyNumberFormat="1" applyFont="1" applyBorder="1" applyAlignment="1">
      <alignment horizontal="center" vertical="center"/>
    </xf>
    <xf numFmtId="2" fontId="61" fillId="0" borderId="101" xfId="0" applyNumberFormat="1" applyFont="1" applyBorder="1" applyAlignment="1">
      <alignment horizontal="center" vertical="center"/>
    </xf>
    <xf numFmtId="169" fontId="61" fillId="0" borderId="101" xfId="0" applyNumberFormat="1" applyFont="1" applyBorder="1" applyAlignment="1">
      <alignment horizontal="center" vertical="center"/>
    </xf>
    <xf numFmtId="4" fontId="61" fillId="0" borderId="101" xfId="0" applyNumberFormat="1" applyFont="1" applyBorder="1" applyAlignment="1">
      <alignment horizontal="center" vertical="center"/>
    </xf>
    <xf numFmtId="168" fontId="18" fillId="0" borderId="101" xfId="0" applyNumberFormat="1" applyFont="1" applyBorder="1" applyAlignment="1">
      <alignment horizontal="center" vertical="center"/>
    </xf>
    <xf numFmtId="4" fontId="18" fillId="0" borderId="101" xfId="0" applyNumberFormat="1" applyFont="1" applyBorder="1" applyAlignment="1">
      <alignment horizontal="center" vertical="center"/>
    </xf>
    <xf numFmtId="0" fontId="61" fillId="0" borderId="101" xfId="0" applyFont="1" applyBorder="1" applyAlignment="1">
      <alignment horizontal="center" vertical="center"/>
    </xf>
    <xf numFmtId="2" fontId="18" fillId="0" borderId="101" xfId="0" applyNumberFormat="1" applyFont="1" applyBorder="1" applyAlignment="1">
      <alignment horizontal="center" vertical="center"/>
    </xf>
    <xf numFmtId="0" fontId="61" fillId="0" borderId="95" xfId="0" applyFont="1" applyBorder="1" applyAlignment="1">
      <alignment horizontal="center" vertical="center"/>
    </xf>
    <xf numFmtId="168" fontId="61" fillId="0" borderId="95" xfId="0" applyNumberFormat="1" applyFont="1" applyBorder="1" applyAlignment="1">
      <alignment horizontal="center" vertical="center"/>
    </xf>
    <xf numFmtId="2" fontId="61" fillId="0" borderId="92" xfId="0" applyNumberFormat="1" applyFont="1" applyFill="1" applyBorder="1" applyAlignment="1">
      <alignment horizontal="center" vertical="center" wrapText="1"/>
    </xf>
    <xf numFmtId="2" fontId="61" fillId="0" borderId="92" xfId="0" applyNumberFormat="1" applyFont="1" applyFill="1" applyBorder="1" applyAlignment="1">
      <alignment horizontal="center" vertical="center"/>
    </xf>
    <xf numFmtId="4" fontId="61" fillId="0" borderId="92" xfId="0" applyNumberFormat="1" applyFont="1" applyFill="1" applyBorder="1" applyAlignment="1">
      <alignment horizontal="center" vertical="center"/>
    </xf>
    <xf numFmtId="168" fontId="18" fillId="0" borderId="92" xfId="0" applyNumberFormat="1" applyFont="1" applyFill="1" applyBorder="1" applyAlignment="1">
      <alignment horizontal="center" vertical="center"/>
    </xf>
    <xf numFmtId="4" fontId="18" fillId="0" borderId="92" xfId="0" applyNumberFormat="1" applyFont="1" applyFill="1" applyBorder="1" applyAlignment="1">
      <alignment horizontal="center" vertical="center"/>
    </xf>
    <xf numFmtId="0" fontId="61" fillId="0" borderId="92" xfId="0" applyFont="1" applyFill="1" applyBorder="1" applyAlignment="1">
      <alignment horizontal="center" vertical="center"/>
    </xf>
    <xf numFmtId="0" fontId="61" fillId="0" borderId="22" xfId="0" applyFont="1" applyFill="1" applyBorder="1" applyAlignment="1">
      <alignment horizontal="center" vertical="center"/>
    </xf>
    <xf numFmtId="168" fontId="61" fillId="0" borderId="22" xfId="0" applyNumberFormat="1" applyFont="1" applyFill="1" applyBorder="1" applyAlignment="1">
      <alignment horizontal="center" vertical="center"/>
    </xf>
    <xf numFmtId="168" fontId="61" fillId="0" borderId="19" xfId="0" applyNumberFormat="1" applyFont="1" applyFill="1" applyBorder="1" applyAlignment="1">
      <alignment horizontal="center" vertical="center"/>
    </xf>
    <xf numFmtId="10" fontId="61" fillId="0" borderId="92" xfId="0" applyNumberFormat="1" applyFont="1" applyFill="1" applyBorder="1" applyAlignment="1">
      <alignment horizontal="center" vertical="center"/>
    </xf>
    <xf numFmtId="168" fontId="18" fillId="0" borderId="19" xfId="0" applyNumberFormat="1" applyFont="1" applyFill="1" applyBorder="1" applyAlignment="1">
      <alignment horizontal="center" vertical="center"/>
    </xf>
    <xf numFmtId="10" fontId="61" fillId="0" borderId="95" xfId="0" applyNumberFormat="1" applyFont="1" applyFill="1" applyBorder="1" applyAlignment="1">
      <alignment horizontal="center" vertical="center"/>
    </xf>
    <xf numFmtId="4" fontId="18" fillId="0" borderId="101" xfId="0" applyNumberFormat="1" applyFont="1" applyFill="1" applyBorder="1"/>
    <xf numFmtId="2" fontId="61" fillId="0" borderId="101" xfId="0" applyNumberFormat="1" applyFont="1" applyFill="1" applyBorder="1"/>
    <xf numFmtId="2" fontId="62" fillId="0" borderId="101" xfId="0" applyNumberFormat="1" applyFont="1" applyFill="1" applyBorder="1"/>
    <xf numFmtId="4" fontId="61" fillId="0" borderId="101" xfId="0" applyNumberFormat="1" applyFont="1" applyFill="1" applyBorder="1"/>
    <xf numFmtId="2" fontId="61" fillId="0" borderId="96" xfId="0" applyNumberFormat="1" applyFont="1" applyFill="1" applyBorder="1"/>
    <xf numFmtId="4" fontId="18" fillId="0" borderId="101" xfId="0" applyNumberFormat="1" applyFont="1" applyFill="1" applyBorder="1" applyAlignment="1">
      <alignment vertical="center"/>
    </xf>
    <xf numFmtId="0" fontId="61" fillId="30" borderId="101" xfId="0" applyFont="1" applyFill="1" applyBorder="1" applyAlignment="1">
      <alignment horizontal="center" vertical="center"/>
    </xf>
    <xf numFmtId="2" fontId="18" fillId="30" borderId="101" xfId="0" applyNumberFormat="1" applyFont="1" applyFill="1" applyBorder="1"/>
    <xf numFmtId="2" fontId="61" fillId="30" borderId="101" xfId="0" applyNumberFormat="1" applyFont="1" applyFill="1" applyBorder="1"/>
    <xf numFmtId="2" fontId="62" fillId="30" borderId="101" xfId="0" applyNumberFormat="1" applyFont="1" applyFill="1" applyBorder="1"/>
    <xf numFmtId="2" fontId="61" fillId="30" borderId="96" xfId="0" applyNumberFormat="1" applyFont="1" applyFill="1" applyBorder="1"/>
    <xf numFmtId="0" fontId="0" fillId="0" borderId="101" xfId="0" applyBorder="1"/>
    <xf numFmtId="0" fontId="63" fillId="0" borderId="0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10" fontId="61" fillId="0" borderId="0" xfId="0" applyNumberFormat="1" applyFont="1" applyFill="1" applyBorder="1"/>
    <xf numFmtId="10" fontId="18" fillId="0" borderId="0" xfId="0" applyNumberFormat="1" applyFont="1" applyFill="1" applyBorder="1"/>
    <xf numFmtId="176" fontId="61" fillId="0" borderId="0" xfId="0" applyNumberFormat="1" applyFont="1" applyFill="1" applyBorder="1"/>
    <xf numFmtId="0" fontId="61" fillId="0" borderId="98" xfId="0" applyFont="1" applyFill="1" applyBorder="1" applyAlignment="1">
      <alignment vertical="center"/>
    </xf>
    <xf numFmtId="0" fontId="61" fillId="0" borderId="108" xfId="0" applyFont="1" applyFill="1" applyBorder="1" applyAlignment="1">
      <alignment vertical="center"/>
    </xf>
    <xf numFmtId="0" fontId="61" fillId="0" borderId="36" xfId="0" applyFont="1" applyFill="1" applyBorder="1" applyAlignment="1">
      <alignment vertical="center"/>
    </xf>
    <xf numFmtId="0" fontId="61" fillId="0" borderId="68" xfId="0" applyFont="1" applyFill="1" applyBorder="1" applyAlignment="1">
      <alignment vertical="center"/>
    </xf>
    <xf numFmtId="10" fontId="61" fillId="0" borderId="11" xfId="85" applyNumberFormat="1" applyFont="1" applyFill="1" applyBorder="1" applyAlignment="1">
      <alignment vertical="center"/>
    </xf>
    <xf numFmtId="0" fontId="61" fillId="0" borderId="37" xfId="0" applyFont="1" applyFill="1" applyBorder="1" applyAlignment="1">
      <alignment vertical="center"/>
    </xf>
    <xf numFmtId="0" fontId="61" fillId="0" borderId="100" xfId="0" applyFont="1" applyFill="1" applyBorder="1" applyAlignment="1">
      <alignment vertical="center"/>
    </xf>
    <xf numFmtId="0" fontId="61" fillId="0" borderId="31" xfId="0" applyFont="1" applyFill="1" applyBorder="1" applyAlignment="1">
      <alignment vertical="center"/>
    </xf>
    <xf numFmtId="0" fontId="61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9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61" fillId="0" borderId="111" xfId="0" applyFont="1" applyFill="1" applyBorder="1" applyAlignment="1">
      <alignment horizontal="center" vertical="center" wrapText="1"/>
    </xf>
    <xf numFmtId="0" fontId="61" fillId="0" borderId="71" xfId="0" applyFont="1" applyFill="1" applyBorder="1" applyAlignment="1">
      <alignment horizontal="center" vertical="center"/>
    </xf>
    <xf numFmtId="170" fontId="18" fillId="0" borderId="97" xfId="0" applyNumberFormat="1" applyFont="1" applyFill="1" applyBorder="1" applyAlignment="1">
      <alignment horizontal="right" vertical="center"/>
    </xf>
    <xf numFmtId="170" fontId="61" fillId="0" borderId="97" xfId="0" applyNumberFormat="1" applyFont="1" applyFill="1" applyBorder="1" applyAlignment="1">
      <alignment horizontal="right" vertical="center"/>
    </xf>
    <xf numFmtId="170" fontId="61" fillId="0" borderId="98" xfId="0" applyNumberFormat="1" applyFont="1" applyFill="1" applyBorder="1" applyAlignment="1">
      <alignment horizontal="right" vertical="center"/>
    </xf>
    <xf numFmtId="0" fontId="80" fillId="0" borderId="47" xfId="0" applyFont="1" applyBorder="1"/>
    <xf numFmtId="171" fontId="61" fillId="0" borderId="23" xfId="85" applyNumberFormat="1" applyFont="1" applyFill="1" applyBorder="1" applyAlignment="1">
      <alignment vertical="center"/>
    </xf>
    <xf numFmtId="1" fontId="61" fillId="0" borderId="21" xfId="0" applyNumberFormat="1" applyFont="1" applyFill="1" applyBorder="1" applyAlignment="1">
      <alignment vertical="center"/>
    </xf>
    <xf numFmtId="10" fontId="61" fillId="0" borderId="23" xfId="85" applyNumberFormat="1" applyFont="1" applyFill="1" applyBorder="1" applyAlignment="1">
      <alignment vertical="center"/>
    </xf>
    <xf numFmtId="0" fontId="63" fillId="0" borderId="0" xfId="0" applyFont="1" applyBorder="1" applyAlignment="1">
      <alignment horizontal="center" vertical="center" wrapText="1"/>
    </xf>
    <xf numFmtId="0" fontId="80" fillId="0" borderId="0" xfId="0" applyFont="1" applyBorder="1"/>
    <xf numFmtId="166" fontId="80" fillId="0" borderId="0" xfId="0" applyNumberFormat="1" applyFont="1" applyBorder="1"/>
    <xf numFmtId="1" fontId="61" fillId="0" borderId="37" xfId="0" applyNumberFormat="1" applyFont="1" applyFill="1" applyBorder="1" applyAlignment="1">
      <alignment vertical="center"/>
    </xf>
    <xf numFmtId="171" fontId="61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4" fillId="0" borderId="36" xfId="0" applyFont="1" applyFill="1" applyBorder="1"/>
    <xf numFmtId="0" fontId="14" fillId="0" borderId="0" xfId="0" applyFont="1" applyFill="1" applyBorder="1" applyAlignment="1">
      <alignment horizontal="center"/>
    </xf>
    <xf numFmtId="169" fontId="14" fillId="0" borderId="0" xfId="0" applyNumberFormat="1" applyFont="1" applyFill="1" applyBorder="1" applyAlignment="1">
      <alignment horizontal="center"/>
    </xf>
    <xf numFmtId="169" fontId="16" fillId="0" borderId="0" xfId="0" applyNumberFormat="1" applyFont="1" applyFill="1" applyBorder="1" applyAlignment="1">
      <alignment horizontal="center"/>
    </xf>
    <xf numFmtId="169" fontId="59" fillId="0" borderId="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/>
    </xf>
    <xf numFmtId="10" fontId="13" fillId="0" borderId="0" xfId="0" applyNumberFormat="1" applyFont="1" applyFill="1" applyBorder="1" applyAlignment="1">
      <alignment horizontal="center"/>
    </xf>
    <xf numFmtId="4" fontId="18" fillId="0" borderId="0" xfId="0" applyNumberFormat="1" applyFont="1" applyFill="1" applyBorder="1" applyAlignment="1">
      <alignment horizontal="center"/>
    </xf>
    <xf numFmtId="4" fontId="61" fillId="0" borderId="0" xfId="0" applyNumberFormat="1" applyFont="1" applyFill="1" applyBorder="1" applyAlignment="1">
      <alignment horizontal="center"/>
    </xf>
    <xf numFmtId="0" fontId="0" fillId="0" borderId="0" xfId="0" applyAlignment="1">
      <alignment wrapText="1"/>
    </xf>
    <xf numFmtId="0" fontId="14" fillId="0" borderId="112" xfId="0" applyFont="1" applyBorder="1" applyAlignment="1">
      <alignment vertical="center"/>
    </xf>
    <xf numFmtId="0" fontId="14" fillId="0" borderId="113" xfId="0" applyFont="1" applyBorder="1" applyAlignment="1">
      <alignment vertical="center"/>
    </xf>
    <xf numFmtId="171" fontId="14" fillId="0" borderId="112" xfId="85" applyNumberFormat="1" applyFont="1" applyBorder="1" applyAlignment="1">
      <alignment vertical="center"/>
    </xf>
    <xf numFmtId="10" fontId="14" fillId="0" borderId="112" xfId="85" applyNumberFormat="1" applyFont="1" applyBorder="1" applyAlignment="1">
      <alignment vertical="center"/>
    </xf>
    <xf numFmtId="10" fontId="14" fillId="0" borderId="113" xfId="85" applyNumberFormat="1" applyFont="1" applyBorder="1" applyAlignment="1">
      <alignment vertical="center"/>
    </xf>
    <xf numFmtId="0" fontId="14" fillId="0" borderId="114" xfId="0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0" fontId="14" fillId="0" borderId="117" xfId="0" applyFont="1" applyBorder="1" applyAlignment="1">
      <alignment vertical="center" wrapText="1"/>
    </xf>
    <xf numFmtId="0" fontId="14" fillId="0" borderId="15" xfId="0" applyFont="1" applyBorder="1" applyAlignment="1">
      <alignment vertical="center" wrapText="1"/>
    </xf>
    <xf numFmtId="171" fontId="14" fillId="0" borderId="113" xfId="85" applyNumberFormat="1" applyFont="1" applyBorder="1" applyAlignment="1">
      <alignment vertical="center"/>
    </xf>
    <xf numFmtId="0" fontId="14" fillId="0" borderId="116" xfId="0" applyFont="1" applyBorder="1" applyAlignment="1">
      <alignment vertical="center"/>
    </xf>
    <xf numFmtId="10" fontId="14" fillId="0" borderId="116" xfId="85" applyNumberFormat="1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4" fontId="14" fillId="0" borderId="116" xfId="0" applyNumberFormat="1" applyFont="1" applyFill="1" applyBorder="1" applyAlignment="1">
      <alignment vertical="center"/>
    </xf>
    <xf numFmtId="4" fontId="14" fillId="0" borderId="112" xfId="0" applyNumberFormat="1" applyFont="1" applyFill="1" applyBorder="1" applyAlignment="1">
      <alignment vertical="center"/>
    </xf>
    <xf numFmtId="4" fontId="14" fillId="0" borderId="113" xfId="0" applyNumberFormat="1" applyFont="1" applyFill="1" applyBorder="1" applyAlignment="1">
      <alignment vertical="center"/>
    </xf>
    <xf numFmtId="10" fontId="14" fillId="0" borderId="116" xfId="0" applyNumberFormat="1" applyFont="1" applyFill="1" applyBorder="1" applyAlignment="1">
      <alignment vertical="center"/>
    </xf>
    <xf numFmtId="4" fontId="14" fillId="0" borderId="21" xfId="0" applyNumberFormat="1" applyFont="1" applyFill="1" applyBorder="1" applyAlignment="1">
      <alignment vertical="center"/>
    </xf>
    <xf numFmtId="4" fontId="14" fillId="0" borderId="114" xfId="0" applyNumberFormat="1" applyFont="1" applyFill="1" applyBorder="1" applyAlignment="1">
      <alignment vertical="center"/>
    </xf>
    <xf numFmtId="4" fontId="14" fillId="0" borderId="23" xfId="0" applyNumberFormat="1" applyFont="1" applyFill="1" applyBorder="1" applyAlignment="1">
      <alignment vertical="center"/>
    </xf>
    <xf numFmtId="0" fontId="14" fillId="0" borderId="121" xfId="0" applyFont="1" applyBorder="1" applyAlignment="1">
      <alignment horizontal="center" vertical="center"/>
    </xf>
    <xf numFmtId="4" fontId="14" fillId="0" borderId="16" xfId="0" applyNumberFormat="1" applyFont="1" applyFill="1" applyBorder="1" applyAlignment="1">
      <alignment vertical="center"/>
    </xf>
    <xf numFmtId="4" fontId="14" fillId="0" borderId="17" xfId="0" applyNumberFormat="1" applyFont="1" applyFill="1" applyBorder="1" applyAlignment="1">
      <alignment vertical="center"/>
    </xf>
    <xf numFmtId="4" fontId="14" fillId="0" borderId="18" xfId="0" applyNumberFormat="1" applyFont="1" applyFill="1" applyBorder="1" applyAlignment="1">
      <alignment vertical="center"/>
    </xf>
    <xf numFmtId="0" fontId="14" fillId="0" borderId="13" xfId="0" applyFont="1" applyBorder="1" applyAlignment="1">
      <alignment vertical="center" wrapText="1"/>
    </xf>
    <xf numFmtId="0" fontId="14" fillId="0" borderId="121" xfId="0" applyFont="1" applyFill="1" applyBorder="1" applyAlignment="1">
      <alignment horizontal="center" vertical="center"/>
    </xf>
    <xf numFmtId="0" fontId="14" fillId="0" borderId="17" xfId="0" applyFont="1" applyBorder="1" applyAlignment="1">
      <alignment vertical="center"/>
    </xf>
    <xf numFmtId="0" fontId="14" fillId="0" borderId="18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14" fillId="34" borderId="121" xfId="0" applyFont="1" applyFill="1" applyBorder="1" applyAlignment="1">
      <alignment horizontal="center" vertical="center"/>
    </xf>
    <xf numFmtId="0" fontId="14" fillId="34" borderId="13" xfId="0" applyFont="1" applyFill="1" applyBorder="1" applyAlignment="1">
      <alignment vertical="center" wrapText="1"/>
    </xf>
    <xf numFmtId="4" fontId="14" fillId="34" borderId="16" xfId="0" applyNumberFormat="1" applyFont="1" applyFill="1" applyBorder="1" applyAlignment="1">
      <alignment vertical="center"/>
    </xf>
    <xf numFmtId="4" fontId="14" fillId="34" borderId="17" xfId="0" applyNumberFormat="1" applyFont="1" applyFill="1" applyBorder="1" applyAlignment="1">
      <alignment vertical="center"/>
    </xf>
    <xf numFmtId="4" fontId="14" fillId="34" borderId="18" xfId="0" applyNumberFormat="1" applyFont="1" applyFill="1" applyBorder="1" applyAlignment="1">
      <alignment vertical="center"/>
    </xf>
    <xf numFmtId="0" fontId="14" fillId="34" borderId="17" xfId="0" applyFont="1" applyFill="1" applyBorder="1" applyAlignment="1">
      <alignment vertical="center"/>
    </xf>
    <xf numFmtId="0" fontId="14" fillId="34" borderId="18" xfId="0" applyFont="1" applyFill="1" applyBorder="1" applyAlignment="1">
      <alignment vertical="center"/>
    </xf>
    <xf numFmtId="0" fontId="14" fillId="34" borderId="16" xfId="0" applyFont="1" applyFill="1" applyBorder="1" applyAlignment="1">
      <alignment vertical="center"/>
    </xf>
    <xf numFmtId="0" fontId="14" fillId="34" borderId="117" xfId="0" applyFont="1" applyFill="1" applyBorder="1" applyAlignment="1">
      <alignment vertical="center" wrapText="1"/>
    </xf>
    <xf numFmtId="4" fontId="14" fillId="34" borderId="116" xfId="0" applyNumberFormat="1" applyFont="1" applyFill="1" applyBorder="1" applyAlignment="1">
      <alignment vertical="center"/>
    </xf>
    <xf numFmtId="4" fontId="14" fillId="34" borderId="112" xfId="0" applyNumberFormat="1" applyFont="1" applyFill="1" applyBorder="1" applyAlignment="1">
      <alignment vertical="center"/>
    </xf>
    <xf numFmtId="4" fontId="14" fillId="34" borderId="113" xfId="0" applyNumberFormat="1" applyFont="1" applyFill="1" applyBorder="1" applyAlignment="1">
      <alignment vertical="center"/>
    </xf>
    <xf numFmtId="10" fontId="14" fillId="34" borderId="116" xfId="0" applyNumberFormat="1" applyFont="1" applyFill="1" applyBorder="1" applyAlignment="1">
      <alignment vertical="center"/>
    </xf>
    <xf numFmtId="171" fontId="14" fillId="34" borderId="112" xfId="85" applyNumberFormat="1" applyFont="1" applyFill="1" applyBorder="1" applyAlignment="1">
      <alignment vertical="center"/>
    </xf>
    <xf numFmtId="171" fontId="14" fillId="34" borderId="113" xfId="85" applyNumberFormat="1" applyFont="1" applyFill="1" applyBorder="1" applyAlignment="1">
      <alignment vertical="center"/>
    </xf>
    <xf numFmtId="10" fontId="14" fillId="34" borderId="116" xfId="85" applyNumberFormat="1" applyFont="1" applyFill="1" applyBorder="1" applyAlignment="1">
      <alignment vertical="center"/>
    </xf>
    <xf numFmtId="10" fontId="14" fillId="34" borderId="112" xfId="85" applyNumberFormat="1" applyFont="1" applyFill="1" applyBorder="1" applyAlignment="1">
      <alignment vertical="center"/>
    </xf>
    <xf numFmtId="10" fontId="14" fillId="34" borderId="113" xfId="85" applyNumberFormat="1" applyFont="1" applyFill="1" applyBorder="1" applyAlignment="1">
      <alignment vertical="center"/>
    </xf>
    <xf numFmtId="0" fontId="14" fillId="34" borderId="112" xfId="0" applyFont="1" applyFill="1" applyBorder="1" applyAlignment="1">
      <alignment vertical="center"/>
    </xf>
    <xf numFmtId="0" fontId="14" fillId="34" borderId="113" xfId="0" applyFont="1" applyFill="1" applyBorder="1" applyAlignment="1">
      <alignment vertical="center"/>
    </xf>
    <xf numFmtId="0" fontId="14" fillId="34" borderId="116" xfId="0" applyFont="1" applyFill="1" applyBorder="1" applyAlignment="1">
      <alignment vertical="center"/>
    </xf>
    <xf numFmtId="0" fontId="14" fillId="34" borderId="15" xfId="0" applyFont="1" applyFill="1" applyBorder="1" applyAlignment="1">
      <alignment vertical="center" wrapText="1"/>
    </xf>
    <xf numFmtId="4" fontId="14" fillId="34" borderId="21" xfId="0" applyNumberFormat="1" applyFont="1" applyFill="1" applyBorder="1" applyAlignment="1">
      <alignment vertical="center"/>
    </xf>
    <xf numFmtId="4" fontId="14" fillId="34" borderId="114" xfId="0" applyNumberFormat="1" applyFont="1" applyFill="1" applyBorder="1" applyAlignment="1">
      <alignment vertical="center"/>
    </xf>
    <xf numFmtId="4" fontId="14" fillId="34" borderId="23" xfId="0" applyNumberFormat="1" applyFont="1" applyFill="1" applyBorder="1" applyAlignment="1">
      <alignment vertical="center"/>
    </xf>
    <xf numFmtId="0" fontId="14" fillId="34" borderId="114" xfId="0" applyFont="1" applyFill="1" applyBorder="1" applyAlignment="1">
      <alignment vertical="center"/>
    </xf>
    <xf numFmtId="0" fontId="14" fillId="34" borderId="23" xfId="0" applyFont="1" applyFill="1" applyBorder="1" applyAlignment="1">
      <alignment vertical="center"/>
    </xf>
    <xf numFmtId="0" fontId="14" fillId="34" borderId="21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14" fillId="0" borderId="18" xfId="0" applyFont="1" applyFill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171" fontId="14" fillId="0" borderId="112" xfId="85" applyNumberFormat="1" applyFont="1" applyFill="1" applyBorder="1" applyAlignment="1">
      <alignment vertical="center"/>
    </xf>
    <xf numFmtId="171" fontId="14" fillId="0" borderId="113" xfId="85" applyNumberFormat="1" applyFont="1" applyFill="1" applyBorder="1" applyAlignment="1">
      <alignment vertical="center"/>
    </xf>
    <xf numFmtId="10" fontId="14" fillId="0" borderId="116" xfId="85" applyNumberFormat="1" applyFont="1" applyFill="1" applyBorder="1" applyAlignment="1">
      <alignment vertical="center"/>
    </xf>
    <xf numFmtId="10" fontId="14" fillId="0" borderId="112" xfId="85" applyNumberFormat="1" applyFont="1" applyFill="1" applyBorder="1" applyAlignment="1">
      <alignment vertical="center"/>
    </xf>
    <xf numFmtId="10" fontId="14" fillId="0" borderId="113" xfId="85" applyNumberFormat="1" applyFont="1" applyFill="1" applyBorder="1" applyAlignment="1">
      <alignment vertical="center"/>
    </xf>
    <xf numFmtId="0" fontId="14" fillId="0" borderId="112" xfId="0" applyFont="1" applyFill="1" applyBorder="1" applyAlignment="1">
      <alignment vertical="center"/>
    </xf>
    <xf numFmtId="0" fontId="14" fillId="0" borderId="113" xfId="0" applyFont="1" applyFill="1" applyBorder="1" applyAlignment="1">
      <alignment vertical="center"/>
    </xf>
    <xf numFmtId="0" fontId="14" fillId="0" borderId="116" xfId="0" applyFont="1" applyFill="1" applyBorder="1" applyAlignment="1">
      <alignment vertical="center"/>
    </xf>
    <xf numFmtId="0" fontId="14" fillId="0" borderId="114" xfId="0" applyFont="1" applyFill="1" applyBorder="1" applyAlignment="1">
      <alignment vertical="center"/>
    </xf>
    <xf numFmtId="0" fontId="14" fillId="0" borderId="23" xfId="0" applyFont="1" applyFill="1" applyBorder="1" applyAlignment="1">
      <alignment vertical="center"/>
    </xf>
    <xf numFmtId="0" fontId="14" fillId="0" borderId="21" xfId="0" applyFont="1" applyFill="1" applyBorder="1" applyAlignment="1">
      <alignment vertical="center"/>
    </xf>
    <xf numFmtId="0" fontId="61" fillId="0" borderId="21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/>
    </xf>
    <xf numFmtId="0" fontId="14" fillId="0" borderId="92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22" fillId="0" borderId="50" xfId="0" applyFont="1" applyBorder="1" applyAlignment="1">
      <alignment horizontal="center" wrapText="1"/>
    </xf>
    <xf numFmtId="0" fontId="22" fillId="0" borderId="52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8" fillId="0" borderId="54" xfId="0" applyFont="1" applyBorder="1" applyAlignment="1">
      <alignment horizontal="center"/>
    </xf>
    <xf numFmtId="0" fontId="22" fillId="0" borderId="0" xfId="0" applyFont="1" applyBorder="1" applyAlignment="1">
      <alignment vertical="top" wrapText="1"/>
    </xf>
    <xf numFmtId="0" fontId="16" fillId="0" borderId="54" xfId="0" applyFont="1" applyBorder="1" applyAlignment="1">
      <alignment vertical="top" wrapText="1"/>
    </xf>
    <xf numFmtId="0" fontId="22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4" fillId="0" borderId="21" xfId="0" applyFont="1" applyBorder="1" applyAlignment="1">
      <alignment horizontal="left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14" fillId="0" borderId="127" xfId="0" applyFont="1" applyBorder="1" applyAlignment="1">
      <alignment horizontal="center" vertical="center" wrapText="1"/>
    </xf>
    <xf numFmtId="169" fontId="15" fillId="0" borderId="128" xfId="0" applyNumberFormat="1" applyFont="1" applyBorder="1" applyAlignment="1">
      <alignment horizontal="center"/>
    </xf>
    <xf numFmtId="169" fontId="15" fillId="0" borderId="114" xfId="0" applyNumberFormat="1" applyFont="1" applyBorder="1" applyAlignment="1">
      <alignment horizontal="center"/>
    </xf>
    <xf numFmtId="0" fontId="61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61" fillId="0" borderId="128" xfId="0" applyFont="1" applyBorder="1" applyAlignment="1">
      <alignment horizontal="center" vertical="center" wrapText="1"/>
    </xf>
    <xf numFmtId="0" fontId="14" fillId="0" borderId="132" xfId="0" applyFont="1" applyBorder="1" applyAlignment="1">
      <alignment horizontal="center" vertical="center" wrapText="1"/>
    </xf>
    <xf numFmtId="0" fontId="14" fillId="0" borderId="74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131" xfId="0" applyFont="1" applyBorder="1" applyAlignment="1">
      <alignment horizontal="center"/>
    </xf>
    <xf numFmtId="0" fontId="14" fillId="0" borderId="131" xfId="0" applyFont="1" applyBorder="1" applyAlignment="1">
      <alignment horizontal="center" vertical="center"/>
    </xf>
    <xf numFmtId="169" fontId="14" fillId="0" borderId="131" xfId="0" applyNumberFormat="1" applyFont="1" applyBorder="1" applyAlignment="1">
      <alignment horizontal="center" vertical="center" wrapText="1"/>
    </xf>
    <xf numFmtId="0" fontId="14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8" fillId="0" borderId="16" xfId="0" applyNumberFormat="1" applyFont="1" applyFill="1" applyBorder="1" applyAlignment="1">
      <alignment horizontal="right" vertical="center"/>
    </xf>
    <xf numFmtId="178" fontId="18" fillId="0" borderId="17" xfId="0" applyNumberFormat="1" applyFont="1" applyFill="1" applyBorder="1" applyAlignment="1">
      <alignment horizontal="right" vertical="center"/>
    </xf>
    <xf numFmtId="178" fontId="61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4" fillId="0" borderId="134" xfId="0" applyFont="1" applyBorder="1" applyAlignment="1">
      <alignment vertical="center" wrapText="1"/>
    </xf>
    <xf numFmtId="0" fontId="14" fillId="0" borderId="135" xfId="0" applyFont="1" applyBorder="1" applyAlignment="1">
      <alignment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/>
    </xf>
    <xf numFmtId="0" fontId="14" fillId="0" borderId="133" xfId="0" applyFont="1" applyBorder="1" applyAlignment="1">
      <alignment horizontal="center"/>
    </xf>
    <xf numFmtId="0" fontId="14" fillId="0" borderId="133" xfId="0" applyFont="1" applyBorder="1" applyAlignment="1">
      <alignment horizontal="center" vertical="center"/>
    </xf>
    <xf numFmtId="169" fontId="14" fillId="0" borderId="133" xfId="0" applyNumberFormat="1" applyFont="1" applyBorder="1" applyAlignment="1">
      <alignment horizontal="center" vertical="center" wrapText="1"/>
    </xf>
    <xf numFmtId="0" fontId="14" fillId="0" borderId="98" xfId="0" applyFont="1" applyBorder="1" applyAlignment="1">
      <alignment horizontal="center"/>
    </xf>
    <xf numFmtId="0" fontId="62" fillId="0" borderId="133" xfId="0" applyFont="1" applyBorder="1" applyAlignment="1">
      <alignment vertical="center"/>
    </xf>
    <xf numFmtId="0" fontId="62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4" fillId="0" borderId="128" xfId="0" applyNumberFormat="1" applyFont="1" applyBorder="1" applyAlignment="1">
      <alignment horizontal="center"/>
    </xf>
    <xf numFmtId="169" fontId="14" fillId="0" borderId="128" xfId="0" applyNumberFormat="1" applyFont="1" applyBorder="1" applyAlignment="1">
      <alignment horizontal="center" vertical="center"/>
    </xf>
    <xf numFmtId="0" fontId="14" fillId="0" borderId="128" xfId="0" applyFont="1" applyBorder="1" applyAlignment="1">
      <alignment horizontal="center"/>
    </xf>
    <xf numFmtId="169" fontId="14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4" fillId="0" borderId="136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 vertical="center" wrapText="1"/>
    </xf>
    <xf numFmtId="0" fontId="14" fillId="0" borderId="55" xfId="0" applyFont="1" applyBorder="1" applyAlignment="1">
      <alignment horizontal="center"/>
    </xf>
    <xf numFmtId="169" fontId="15" fillId="0" borderId="133" xfId="0" applyNumberFormat="1" applyFont="1" applyBorder="1" applyAlignment="1">
      <alignment horizontal="center"/>
    </xf>
    <xf numFmtId="169" fontId="14" fillId="0" borderId="133" xfId="0" applyNumberFormat="1" applyFont="1" applyBorder="1" applyAlignment="1">
      <alignment horizontal="center"/>
    </xf>
    <xf numFmtId="169" fontId="14" fillId="0" borderId="98" xfId="0" applyNumberFormat="1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0" fontId="14" fillId="0" borderId="129" xfId="0" applyFont="1" applyBorder="1" applyAlignment="1">
      <alignment horizontal="center"/>
    </xf>
    <xf numFmtId="0" fontId="14" fillId="0" borderId="129" xfId="0" applyFont="1" applyBorder="1" applyAlignment="1">
      <alignment horizontal="center" vertical="center"/>
    </xf>
    <xf numFmtId="169" fontId="14" fillId="0" borderId="129" xfId="0" applyNumberFormat="1" applyFont="1" applyBorder="1" applyAlignment="1">
      <alignment horizontal="center" vertical="center" wrapText="1"/>
    </xf>
    <xf numFmtId="0" fontId="14" fillId="0" borderId="105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61" fillId="0" borderId="114" xfId="0" applyFont="1" applyBorder="1" applyAlignment="1">
      <alignment horizontal="center" vertical="center" wrapText="1"/>
    </xf>
    <xf numFmtId="0" fontId="61" fillId="0" borderId="114" xfId="0" applyFont="1" applyBorder="1" applyAlignment="1">
      <alignment horizontal="center" vertical="center" wrapText="1"/>
    </xf>
    <xf numFmtId="178" fontId="80" fillId="0" borderId="31" xfId="0" applyNumberFormat="1" applyFont="1" applyBorder="1" applyAlignment="1">
      <alignment vertical="center"/>
    </xf>
    <xf numFmtId="178" fontId="80" fillId="0" borderId="36" xfId="0" applyNumberFormat="1" applyFont="1" applyBorder="1" applyAlignment="1">
      <alignment vertical="center"/>
    </xf>
    <xf numFmtId="178" fontId="80" fillId="0" borderId="17" xfId="0" applyNumberFormat="1" applyFont="1" applyBorder="1" applyAlignment="1">
      <alignment vertical="center"/>
    </xf>
    <xf numFmtId="178" fontId="80" fillId="0" borderId="18" xfId="0" applyNumberFormat="1" applyFont="1" applyBorder="1" applyAlignment="1">
      <alignment vertical="center"/>
    </xf>
    <xf numFmtId="178" fontId="80" fillId="0" borderId="16" xfId="0" applyNumberFormat="1" applyFont="1" applyBorder="1" applyAlignment="1">
      <alignment vertical="center"/>
    </xf>
    <xf numFmtId="178" fontId="80" fillId="0" borderId="71" xfId="0" applyNumberFormat="1" applyFont="1" applyBorder="1" applyAlignment="1">
      <alignment vertical="center"/>
    </xf>
    <xf numFmtId="178" fontId="18" fillId="0" borderId="16" xfId="0" applyNumberFormat="1" applyFont="1" applyBorder="1" applyAlignment="1">
      <alignment horizontal="right" vertical="center"/>
    </xf>
    <xf numFmtId="178" fontId="81" fillId="0" borderId="17" xfId="0" applyNumberFormat="1" applyFont="1" applyBorder="1" applyAlignment="1">
      <alignment horizontal="right" vertical="center"/>
    </xf>
    <xf numFmtId="178" fontId="18" fillId="0" borderId="17" xfId="0" applyNumberFormat="1" applyFont="1" applyBorder="1" applyAlignment="1">
      <alignment horizontal="right" vertical="center"/>
    </xf>
    <xf numFmtId="178" fontId="18" fillId="0" borderId="27" xfId="0" applyNumberFormat="1" applyFont="1" applyBorder="1" applyAlignment="1">
      <alignment horizontal="right" vertical="center"/>
    </xf>
    <xf numFmtId="178" fontId="18" fillId="0" borderId="18" xfId="0" applyNumberFormat="1" applyFont="1" applyFill="1" applyBorder="1" applyAlignment="1">
      <alignment horizontal="right" vertical="center"/>
    </xf>
    <xf numFmtId="178" fontId="18" fillId="0" borderId="18" xfId="0" applyNumberFormat="1" applyFont="1" applyBorder="1" applyAlignment="1">
      <alignment horizontal="right" vertical="center"/>
    </xf>
    <xf numFmtId="178" fontId="80" fillId="0" borderId="91" xfId="0" applyNumberFormat="1" applyFont="1" applyBorder="1" applyAlignment="1">
      <alignment vertical="center"/>
    </xf>
    <xf numFmtId="178" fontId="80" fillId="0" borderId="133" xfId="0" applyNumberFormat="1" applyFont="1" applyBorder="1" applyAlignment="1">
      <alignment vertical="center"/>
    </xf>
    <xf numFmtId="178" fontId="80" fillId="0" borderId="128" xfId="0" applyNumberFormat="1" applyFont="1" applyBorder="1" applyAlignment="1">
      <alignment vertical="center"/>
    </xf>
    <xf numFmtId="178" fontId="80" fillId="0" borderId="113" xfId="0" applyNumberFormat="1" applyFont="1" applyBorder="1" applyAlignment="1">
      <alignment vertical="center"/>
    </xf>
    <xf numFmtId="178" fontId="80" fillId="0" borderId="116" xfId="0" applyNumberFormat="1" applyFont="1" applyBorder="1" applyAlignment="1">
      <alignment vertical="center"/>
    </xf>
    <xf numFmtId="178" fontId="61" fillId="0" borderId="20" xfId="0" applyNumberFormat="1" applyFont="1" applyFill="1" applyBorder="1" applyAlignment="1">
      <alignment horizontal="right" vertical="center"/>
    </xf>
    <xf numFmtId="178" fontId="18" fillId="0" borderId="20" xfId="0" applyNumberFormat="1" applyFont="1" applyFill="1" applyBorder="1" applyAlignment="1">
      <alignment horizontal="right" vertical="center"/>
    </xf>
    <xf numFmtId="178" fontId="61" fillId="0" borderId="91" xfId="0" applyNumberFormat="1" applyFont="1" applyBorder="1" applyAlignment="1">
      <alignment vertical="center"/>
    </xf>
    <xf numFmtId="178" fontId="61" fillId="0" borderId="133" xfId="0" applyNumberFormat="1" applyFont="1" applyBorder="1" applyAlignment="1">
      <alignment vertical="center"/>
    </xf>
    <xf numFmtId="178" fontId="61" fillId="0" borderId="128" xfId="0" applyNumberFormat="1" applyFont="1" applyBorder="1" applyAlignment="1">
      <alignment vertical="center"/>
    </xf>
    <xf numFmtId="178" fontId="61" fillId="0" borderId="113" xfId="0" applyNumberFormat="1" applyFont="1" applyBorder="1" applyAlignment="1">
      <alignment vertical="center"/>
    </xf>
    <xf numFmtId="178" fontId="61" fillId="0" borderId="116" xfId="0" applyNumberFormat="1" applyFont="1" applyBorder="1" applyAlignment="1">
      <alignment vertical="center"/>
    </xf>
    <xf numFmtId="178" fontId="18" fillId="0" borderId="91" xfId="0" applyNumberFormat="1" applyFont="1" applyBorder="1" applyAlignment="1">
      <alignment vertical="center"/>
    </xf>
    <xf numFmtId="178" fontId="18" fillId="0" borderId="133" xfId="0" applyNumberFormat="1" applyFont="1" applyBorder="1" applyAlignment="1">
      <alignment vertical="center"/>
    </xf>
    <xf numFmtId="178" fontId="18" fillId="0" borderId="128" xfId="0" applyNumberFormat="1" applyFont="1" applyBorder="1" applyAlignment="1">
      <alignment vertical="center"/>
    </xf>
    <xf numFmtId="178" fontId="18" fillId="0" borderId="113" xfId="0" applyNumberFormat="1" applyFont="1" applyBorder="1" applyAlignment="1">
      <alignment vertical="center"/>
    </xf>
    <xf numFmtId="178" fontId="18" fillId="0" borderId="116" xfId="0" applyNumberFormat="1" applyFont="1" applyBorder="1" applyAlignment="1">
      <alignment vertical="center"/>
    </xf>
    <xf numFmtId="178" fontId="61" fillId="0" borderId="94" xfId="0" applyNumberFormat="1" applyFont="1" applyBorder="1" applyAlignment="1">
      <alignment vertical="center"/>
    </xf>
    <xf numFmtId="178" fontId="61" fillId="0" borderId="136" xfId="0" applyNumberFormat="1" applyFont="1" applyBorder="1" applyAlignment="1">
      <alignment vertical="center"/>
    </xf>
    <xf numFmtId="178" fontId="61" fillId="0" borderId="127" xfId="0" applyNumberFormat="1" applyFont="1" applyBorder="1" applyAlignment="1">
      <alignment vertical="center"/>
    </xf>
    <xf numFmtId="178" fontId="61" fillId="0" borderId="88" xfId="0" applyNumberFormat="1" applyFont="1" applyFill="1" applyBorder="1" applyAlignment="1">
      <alignment horizontal="right" vertical="center"/>
    </xf>
    <xf numFmtId="178" fontId="61" fillId="0" borderId="98" xfId="0" applyNumberFormat="1" applyFont="1" applyBorder="1" applyAlignment="1">
      <alignment vertical="center"/>
    </xf>
    <xf numFmtId="178" fontId="61" fillId="0" borderId="114" xfId="0" applyNumberFormat="1" applyFont="1" applyBorder="1" applyAlignment="1">
      <alignment vertical="center"/>
    </xf>
    <xf numFmtId="178" fontId="61" fillId="0" borderId="23" xfId="0" applyNumberFormat="1" applyFont="1" applyBorder="1" applyAlignment="1">
      <alignment vertical="center"/>
    </xf>
    <xf numFmtId="178" fontId="61" fillId="0" borderId="21" xfId="0" applyNumberFormat="1" applyFont="1" applyBorder="1" applyAlignment="1">
      <alignment vertical="center"/>
    </xf>
    <xf numFmtId="178" fontId="61" fillId="0" borderId="21" xfId="0" applyNumberFormat="1" applyFont="1" applyBorder="1" applyAlignment="1">
      <alignment horizontal="right" vertical="center"/>
    </xf>
    <xf numFmtId="178" fontId="61" fillId="0" borderId="114" xfId="0" applyNumberFormat="1" applyFont="1" applyBorder="1" applyAlignment="1">
      <alignment horizontal="right" vertical="center"/>
    </xf>
    <xf numFmtId="178" fontId="61" fillId="0" borderId="23" xfId="0" applyNumberFormat="1" applyFont="1" applyFill="1" applyBorder="1" applyAlignment="1">
      <alignment horizontal="right" vertical="center"/>
    </xf>
    <xf numFmtId="178" fontId="61" fillId="0" borderId="23" xfId="0" applyNumberFormat="1" applyFont="1" applyBorder="1" applyAlignment="1">
      <alignment horizontal="right" vertical="center"/>
    </xf>
    <xf numFmtId="178" fontId="61" fillId="0" borderId="116" xfId="0" applyNumberFormat="1" applyFont="1" applyFill="1" applyBorder="1" applyAlignment="1">
      <alignment horizontal="right" vertical="center"/>
    </xf>
    <xf numFmtId="178" fontId="18" fillId="0" borderId="137" xfId="0" applyNumberFormat="1" applyFont="1" applyFill="1" applyBorder="1" applyAlignment="1">
      <alignment horizontal="right" vertical="center"/>
    </xf>
    <xf numFmtId="178" fontId="18" fillId="0" borderId="138" xfId="0" applyNumberFormat="1" applyFont="1" applyFill="1" applyBorder="1" applyAlignment="1">
      <alignment horizontal="right" vertical="center"/>
    </xf>
    <xf numFmtId="178" fontId="61" fillId="0" borderId="113" xfId="0" applyNumberFormat="1" applyFont="1" applyBorder="1" applyAlignment="1">
      <alignment horizontal="right" vertical="center"/>
    </xf>
    <xf numFmtId="178" fontId="61" fillId="0" borderId="137" xfId="0" applyNumberFormat="1" applyFont="1" applyFill="1" applyBorder="1" applyAlignment="1">
      <alignment horizontal="right" vertical="center"/>
    </xf>
    <xf numFmtId="178" fontId="61" fillId="0" borderId="138" xfId="0" applyNumberFormat="1" applyFont="1" applyFill="1" applyBorder="1" applyAlignment="1">
      <alignment horizontal="right" vertical="center"/>
    </xf>
    <xf numFmtId="10" fontId="62" fillId="0" borderId="113" xfId="85" applyNumberFormat="1" applyFont="1" applyFill="1" applyBorder="1" applyAlignment="1">
      <alignment horizontal="right" vertical="center"/>
    </xf>
    <xf numFmtId="4" fontId="61" fillId="0" borderId="113" xfId="0" applyNumberFormat="1" applyFont="1" applyBorder="1" applyAlignment="1">
      <alignment horizontal="right" vertical="center"/>
    </xf>
    <xf numFmtId="178" fontId="18" fillId="0" borderId="116" xfId="0" applyNumberFormat="1" applyFont="1" applyFill="1" applyBorder="1" applyAlignment="1">
      <alignment horizontal="right" vertical="center"/>
    </xf>
    <xf numFmtId="178" fontId="18" fillId="0" borderId="113" xfId="0" applyNumberFormat="1" applyFont="1" applyBorder="1" applyAlignment="1">
      <alignment horizontal="right" vertical="center"/>
    </xf>
    <xf numFmtId="178" fontId="61" fillId="0" borderId="139" xfId="0" applyNumberFormat="1" applyFont="1" applyFill="1" applyBorder="1" applyAlignment="1">
      <alignment horizontal="right" vertical="center"/>
    </xf>
    <xf numFmtId="178" fontId="97" fillId="0" borderId="140" xfId="0" applyNumberFormat="1" applyFont="1" applyFill="1" applyBorder="1" applyAlignment="1">
      <alignment horizontal="right" vertical="center"/>
    </xf>
    <xf numFmtId="178" fontId="61" fillId="0" borderId="141" xfId="0" applyNumberFormat="1" applyFont="1" applyFill="1" applyBorder="1" applyAlignment="1">
      <alignment horizontal="right" vertical="center"/>
    </xf>
    <xf numFmtId="178" fontId="61" fillId="0" borderId="142" xfId="0" applyNumberFormat="1" applyFont="1" applyBorder="1" applyAlignment="1">
      <alignment horizontal="right" vertical="center"/>
    </xf>
    <xf numFmtId="178" fontId="61" fillId="0" borderId="116" xfId="0" applyNumberFormat="1" applyFont="1" applyBorder="1" applyAlignment="1">
      <alignment horizontal="right" vertical="center"/>
    </xf>
    <xf numFmtId="178" fontId="61" fillId="0" borderId="137" xfId="0" applyNumberFormat="1" applyFont="1" applyBorder="1" applyAlignment="1">
      <alignment horizontal="right" vertical="center"/>
    </xf>
    <xf numFmtId="178" fontId="61" fillId="0" borderId="141" xfId="0" applyNumberFormat="1" applyFont="1" applyBorder="1" applyAlignment="1">
      <alignment horizontal="right" vertical="center"/>
    </xf>
    <xf numFmtId="10" fontId="62" fillId="0" borderId="106" xfId="85" applyNumberFormat="1" applyFont="1" applyFill="1" applyBorder="1" applyAlignment="1">
      <alignment horizontal="right" vertical="center"/>
    </xf>
    <xf numFmtId="10" fontId="62" fillId="0" borderId="138" xfId="85" applyNumberFormat="1" applyFont="1" applyFill="1" applyBorder="1" applyAlignment="1">
      <alignment horizontal="right" vertical="center"/>
    </xf>
    <xf numFmtId="178" fontId="62" fillId="0" borderId="137" xfId="85" applyNumberFormat="1" applyFont="1" applyFill="1" applyBorder="1" applyAlignment="1">
      <alignment horizontal="right" vertical="center"/>
    </xf>
    <xf numFmtId="0" fontId="62" fillId="0" borderId="143" xfId="0" applyFont="1" applyBorder="1" applyAlignment="1">
      <alignment vertical="center" wrapText="1"/>
    </xf>
    <xf numFmtId="178" fontId="61" fillId="0" borderId="144" xfId="0" applyNumberFormat="1" applyFont="1" applyBorder="1" applyAlignment="1">
      <alignment vertical="center"/>
    </xf>
    <xf numFmtId="178" fontId="61" fillId="0" borderId="145" xfId="0" applyNumberFormat="1" applyFont="1" applyBorder="1" applyAlignment="1">
      <alignment vertical="center"/>
    </xf>
    <xf numFmtId="178" fontId="61" fillId="0" borderId="140" xfId="0" applyNumberFormat="1" applyFont="1" applyBorder="1" applyAlignment="1">
      <alignment vertical="center"/>
    </xf>
    <xf numFmtId="178" fontId="61" fillId="0" borderId="142" xfId="0" applyNumberFormat="1" applyFont="1" applyBorder="1" applyAlignment="1">
      <alignment vertical="center"/>
    </xf>
    <xf numFmtId="178" fontId="61" fillId="0" borderId="139" xfId="0" applyNumberFormat="1" applyFont="1" applyBorder="1" applyAlignment="1">
      <alignment vertical="center"/>
    </xf>
    <xf numFmtId="178" fontId="61" fillId="0" borderId="139" xfId="0" applyNumberFormat="1" applyFont="1" applyBorder="1" applyAlignment="1">
      <alignment horizontal="right" vertical="center"/>
    </xf>
    <xf numFmtId="178" fontId="61" fillId="0" borderId="140" xfId="0" applyNumberFormat="1" applyFont="1" applyBorder="1" applyAlignment="1">
      <alignment horizontal="right" vertical="center"/>
    </xf>
    <xf numFmtId="178" fontId="61" fillId="0" borderId="142" xfId="0" applyNumberFormat="1" applyFont="1" applyFill="1" applyBorder="1" applyAlignment="1">
      <alignment horizontal="right" vertical="center"/>
    </xf>
    <xf numFmtId="178" fontId="61" fillId="0" borderId="137" xfId="0" applyNumberFormat="1" applyFont="1" applyBorder="1" applyAlignment="1">
      <alignment vertical="center"/>
    </xf>
    <xf numFmtId="178" fontId="61" fillId="0" borderId="17" xfId="0" applyNumberFormat="1" applyFont="1" applyBorder="1" applyAlignment="1">
      <alignment vertical="center"/>
    </xf>
    <xf numFmtId="178" fontId="61" fillId="0" borderId="17" xfId="0" applyNumberFormat="1" applyFont="1" applyBorder="1" applyAlignment="1">
      <alignment horizontal="right" vertical="center"/>
    </xf>
    <xf numFmtId="178" fontId="61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61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2" fillId="0" borderId="73" xfId="0" applyFont="1" applyBorder="1" applyAlignment="1">
      <alignment vertical="center" wrapText="1"/>
    </xf>
    <xf numFmtId="0" fontId="62" fillId="0" borderId="106" xfId="0" applyFont="1" applyBorder="1" applyAlignment="1">
      <alignment vertical="center" wrapText="1"/>
    </xf>
    <xf numFmtId="0" fontId="62" fillId="0" borderId="42" xfId="0" applyFont="1" applyBorder="1" applyAlignment="1">
      <alignment vertical="center" wrapText="1"/>
    </xf>
    <xf numFmtId="178" fontId="61" fillId="0" borderId="30" xfId="0" applyNumberFormat="1" applyFont="1" applyBorder="1" applyAlignment="1">
      <alignment vertical="center"/>
    </xf>
    <xf numFmtId="178" fontId="61" fillId="0" borderId="148" xfId="0" applyNumberFormat="1" applyFont="1" applyBorder="1" applyAlignment="1">
      <alignment vertical="center"/>
    </xf>
    <xf numFmtId="178" fontId="61" fillId="0" borderId="100" xfId="0" applyNumberFormat="1" applyFont="1" applyBorder="1" applyAlignment="1">
      <alignment vertical="center"/>
    </xf>
    <xf numFmtId="178" fontId="61" fillId="0" borderId="16" xfId="0" applyNumberFormat="1" applyFont="1" applyBorder="1" applyAlignment="1">
      <alignment vertical="center"/>
    </xf>
    <xf numFmtId="178" fontId="61" fillId="0" borderId="18" xfId="0" applyNumberFormat="1" applyFont="1" applyBorder="1" applyAlignment="1">
      <alignment vertical="center"/>
    </xf>
    <xf numFmtId="178" fontId="61" fillId="0" borderId="27" xfId="0" applyNumberFormat="1" applyFont="1" applyBorder="1" applyAlignment="1">
      <alignment vertical="center"/>
    </xf>
    <xf numFmtId="178" fontId="61" fillId="0" borderId="138" xfId="0" applyNumberFormat="1" applyFont="1" applyBorder="1" applyAlignment="1">
      <alignment vertical="center"/>
    </xf>
    <xf numFmtId="178" fontId="61" fillId="0" borderId="105" xfId="0" applyNumberFormat="1" applyFont="1" applyBorder="1" applyAlignment="1">
      <alignment vertical="center"/>
    </xf>
    <xf numFmtId="178" fontId="61" fillId="0" borderId="30" xfId="0" applyNumberFormat="1" applyFont="1" applyBorder="1" applyAlignment="1">
      <alignment horizontal="right" vertical="center"/>
    </xf>
    <xf numFmtId="178" fontId="61" fillId="0" borderId="148" xfId="0" applyNumberFormat="1" applyFont="1" applyBorder="1" applyAlignment="1">
      <alignment horizontal="right" vertical="center"/>
    </xf>
    <xf numFmtId="178" fontId="61" fillId="0" borderId="100" xfId="0" applyNumberFormat="1" applyFont="1" applyBorder="1" applyAlignment="1">
      <alignment horizontal="right" vertical="center"/>
    </xf>
    <xf numFmtId="178" fontId="61" fillId="0" borderId="27" xfId="0" applyNumberFormat="1" applyFont="1" applyFill="1" applyBorder="1" applyAlignment="1">
      <alignment horizontal="right" vertical="center"/>
    </xf>
    <xf numFmtId="178" fontId="61" fillId="0" borderId="105" xfId="0" applyNumberFormat="1" applyFont="1" applyFill="1" applyBorder="1" applyAlignment="1">
      <alignment horizontal="right" vertical="center"/>
    </xf>
    <xf numFmtId="178" fontId="61" fillId="0" borderId="16" xfId="0" applyNumberFormat="1" applyFont="1" applyBorder="1" applyAlignment="1">
      <alignment horizontal="right" vertical="center"/>
    </xf>
    <xf numFmtId="178" fontId="61" fillId="0" borderId="18" xfId="0" applyNumberFormat="1" applyFont="1" applyBorder="1" applyAlignment="1">
      <alignment horizontal="right" vertical="center"/>
    </xf>
    <xf numFmtId="178" fontId="61" fillId="0" borderId="27" xfId="0" applyNumberFormat="1" applyFont="1" applyBorder="1" applyAlignment="1">
      <alignment horizontal="right" vertical="center"/>
    </xf>
    <xf numFmtId="178" fontId="61" fillId="0" borderId="138" xfId="0" applyNumberFormat="1" applyFont="1" applyBorder="1" applyAlignment="1">
      <alignment horizontal="right" vertical="center"/>
    </xf>
    <xf numFmtId="0" fontId="14" fillId="0" borderId="16" xfId="0" applyFont="1" applyBorder="1" applyAlignment="1">
      <alignment horizontal="left" vertical="center" wrapText="1"/>
    </xf>
    <xf numFmtId="0" fontId="14" fillId="0" borderId="116" xfId="0" applyFont="1" applyBorder="1" applyAlignment="1">
      <alignment horizontal="left" vertical="center" wrapText="1"/>
    </xf>
    <xf numFmtId="0" fontId="14" fillId="0" borderId="140" xfId="0" applyFont="1" applyBorder="1" applyAlignment="1">
      <alignment horizontal="center" vertical="center" wrapText="1"/>
    </xf>
    <xf numFmtId="169" fontId="15" fillId="0" borderId="137" xfId="0" applyNumberFormat="1" applyFont="1" applyBorder="1" applyAlignment="1">
      <alignment horizontal="center"/>
    </xf>
    <xf numFmtId="178" fontId="18" fillId="0" borderId="30" xfId="0" applyNumberFormat="1" applyFont="1" applyFill="1" applyBorder="1" applyAlignment="1">
      <alignment horizontal="right" vertical="center"/>
    </xf>
    <xf numFmtId="178" fontId="61" fillId="0" borderId="148" xfId="0" applyNumberFormat="1" applyFont="1" applyFill="1" applyBorder="1" applyAlignment="1">
      <alignment horizontal="right" vertical="center"/>
    </xf>
    <xf numFmtId="10" fontId="62" fillId="0" borderId="149" xfId="85" applyNumberFormat="1" applyFont="1" applyFill="1" applyBorder="1" applyAlignment="1">
      <alignment horizontal="right" vertical="center"/>
    </xf>
    <xf numFmtId="178" fontId="18" fillId="0" borderId="148" xfId="0" applyNumberFormat="1" applyFont="1" applyFill="1" applyBorder="1" applyAlignment="1">
      <alignment horizontal="right" vertical="center"/>
    </xf>
    <xf numFmtId="10" fontId="62" fillId="0" borderId="137" xfId="85" applyNumberFormat="1" applyFont="1" applyBorder="1" applyAlignment="1">
      <alignment horizontal="right" vertical="center"/>
    </xf>
    <xf numFmtId="178" fontId="61" fillId="0" borderId="144" xfId="0" applyNumberFormat="1" applyFont="1" applyFill="1" applyBorder="1" applyAlignment="1">
      <alignment horizontal="right" vertical="center"/>
    </xf>
    <xf numFmtId="178" fontId="61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2" fillId="0" borderId="116" xfId="85" applyNumberFormat="1" applyFont="1" applyBorder="1" applyAlignment="1">
      <alignment horizontal="right" vertical="center"/>
    </xf>
    <xf numFmtId="178" fontId="61" fillId="0" borderId="98" xfId="0" applyNumberFormat="1" applyFont="1" applyBorder="1" applyAlignment="1">
      <alignment horizontal="right" vertical="center"/>
    </xf>
    <xf numFmtId="178" fontId="61" fillId="0" borderId="106" xfId="0" applyNumberFormat="1" applyFont="1" applyBorder="1" applyAlignment="1">
      <alignment horizontal="right" vertical="center"/>
    </xf>
    <xf numFmtId="10" fontId="62" fillId="0" borderId="138" xfId="85" applyNumberFormat="1" applyFont="1" applyBorder="1" applyAlignment="1">
      <alignment horizontal="right" vertical="center"/>
    </xf>
    <xf numFmtId="10" fontId="62" fillId="0" borderId="148" xfId="85" applyNumberFormat="1" applyFont="1" applyFill="1" applyBorder="1" applyAlignment="1">
      <alignment horizontal="right" vertical="center"/>
    </xf>
    <xf numFmtId="4" fontId="62" fillId="0" borderId="148" xfId="0" applyNumberFormat="1" applyFont="1" applyFill="1" applyBorder="1" applyAlignment="1">
      <alignment horizontal="right" vertical="center" wrapText="1"/>
    </xf>
    <xf numFmtId="10" fontId="62" fillId="0" borderId="113" xfId="85" applyNumberFormat="1" applyFont="1" applyBorder="1" applyAlignment="1">
      <alignment horizontal="right" vertical="center"/>
    </xf>
    <xf numFmtId="178" fontId="18" fillId="0" borderId="116" xfId="0" applyNumberFormat="1" applyFont="1" applyBorder="1" applyAlignment="1">
      <alignment horizontal="right" vertical="center"/>
    </xf>
    <xf numFmtId="178" fontId="81" fillId="0" borderId="27" xfId="0" applyNumberFormat="1" applyFont="1" applyBorder="1" applyAlignment="1">
      <alignment horizontal="right" vertical="center"/>
    </xf>
    <xf numFmtId="178" fontId="62" fillId="0" borderId="138" xfId="0" applyNumberFormat="1" applyFont="1" applyBorder="1" applyAlignment="1">
      <alignment horizontal="right" vertical="center"/>
    </xf>
    <xf numFmtId="4" fontId="62" fillId="0" borderId="138" xfId="0" applyNumberFormat="1" applyFont="1" applyBorder="1" applyAlignment="1">
      <alignment horizontal="right" vertical="center"/>
    </xf>
    <xf numFmtId="178" fontId="81" fillId="0" borderId="138" xfId="0" applyNumberFormat="1" applyFont="1" applyBorder="1" applyAlignment="1">
      <alignment horizontal="right" vertical="center"/>
    </xf>
    <xf numFmtId="178" fontId="18" fillId="0" borderId="71" xfId="0" applyNumberFormat="1" applyFont="1" applyBorder="1" applyAlignment="1">
      <alignment horizontal="right" vertical="center"/>
    </xf>
    <xf numFmtId="178" fontId="61" fillId="0" borderId="149" xfId="0" applyNumberFormat="1" applyFont="1" applyBorder="1" applyAlignment="1">
      <alignment horizontal="right" vertical="center"/>
    </xf>
    <xf numFmtId="10" fontId="62" fillId="0" borderId="149" xfId="85" applyNumberFormat="1" applyFont="1" applyBorder="1" applyAlignment="1">
      <alignment horizontal="right" vertical="center"/>
    </xf>
    <xf numFmtId="178" fontId="18" fillId="0" borderId="149" xfId="0" applyNumberFormat="1" applyFont="1" applyBorder="1" applyAlignment="1">
      <alignment horizontal="right" vertical="center"/>
    </xf>
    <xf numFmtId="178" fontId="18" fillId="0" borderId="138" xfId="0" applyNumberFormat="1" applyFont="1" applyBorder="1" applyAlignment="1">
      <alignment horizontal="right" vertical="center"/>
    </xf>
    <xf numFmtId="178" fontId="61" fillId="0" borderId="113" xfId="0" applyNumberFormat="1" applyFont="1" applyFill="1" applyBorder="1" applyAlignment="1">
      <alignment horizontal="right" vertical="center"/>
    </xf>
    <xf numFmtId="178" fontId="18" fillId="0" borderId="137" xfId="0" applyNumberFormat="1" applyFont="1" applyBorder="1" applyAlignment="1">
      <alignment horizontal="right" vertical="center"/>
    </xf>
    <xf numFmtId="178" fontId="18" fillId="0" borderId="113" xfId="0" applyNumberFormat="1" applyFont="1" applyFill="1" applyBorder="1" applyAlignment="1">
      <alignment horizontal="right" vertical="center"/>
    </xf>
    <xf numFmtId="178" fontId="80" fillId="0" borderId="27" xfId="0" applyNumberFormat="1" applyFont="1" applyBorder="1" applyAlignment="1">
      <alignment vertical="center"/>
    </xf>
    <xf numFmtId="178" fontId="80" fillId="0" borderId="138" xfId="0" applyNumberFormat="1" applyFont="1" applyBorder="1" applyAlignment="1">
      <alignment vertical="center"/>
    </xf>
    <xf numFmtId="0" fontId="62" fillId="0" borderId="138" xfId="0" applyFont="1" applyBorder="1" applyAlignment="1">
      <alignment vertical="center"/>
    </xf>
    <xf numFmtId="178" fontId="18" fillId="0" borderId="138" xfId="0" applyNumberFormat="1" applyFont="1" applyBorder="1" applyAlignment="1">
      <alignment vertical="center"/>
    </xf>
    <xf numFmtId="178" fontId="61" fillId="0" borderId="141" xfId="0" applyNumberFormat="1" applyFont="1" applyBorder="1" applyAlignment="1">
      <alignment vertical="center"/>
    </xf>
    <xf numFmtId="178" fontId="18" fillId="0" borderId="30" xfId="0" applyNumberFormat="1" applyFont="1" applyBorder="1" applyAlignment="1">
      <alignment horizontal="right" vertical="center"/>
    </xf>
    <xf numFmtId="10" fontId="62" fillId="0" borderId="148" xfId="85" applyNumberFormat="1" applyFont="1" applyBorder="1" applyAlignment="1">
      <alignment horizontal="right" vertical="center"/>
    </xf>
    <xf numFmtId="178" fontId="18" fillId="0" borderId="148" xfId="0" applyNumberFormat="1" applyFont="1" applyBorder="1" applyAlignment="1">
      <alignment horizontal="right" vertical="center"/>
    </xf>
    <xf numFmtId="178" fontId="61" fillId="0" borderId="144" xfId="0" applyNumberFormat="1" applyFont="1" applyBorder="1" applyAlignment="1">
      <alignment horizontal="right" vertical="center"/>
    </xf>
    <xf numFmtId="178" fontId="80" fillId="0" borderId="149" xfId="0" applyNumberFormat="1" applyFont="1" applyBorder="1" applyAlignment="1">
      <alignment vertical="center"/>
    </xf>
    <xf numFmtId="178" fontId="80" fillId="0" borderId="137" xfId="0" applyNumberFormat="1" applyFont="1" applyBorder="1" applyAlignment="1">
      <alignment vertical="center"/>
    </xf>
    <xf numFmtId="178" fontId="61" fillId="0" borderId="149" xfId="0" applyNumberFormat="1" applyFont="1" applyBorder="1" applyAlignment="1">
      <alignment vertical="center"/>
    </xf>
    <xf numFmtId="178" fontId="18" fillId="0" borderId="149" xfId="0" applyNumberFormat="1" applyFont="1" applyBorder="1" applyAlignment="1">
      <alignment vertical="center"/>
    </xf>
    <xf numFmtId="178" fontId="18" fillId="0" borderId="137" xfId="0" applyNumberFormat="1" applyFont="1" applyBorder="1" applyAlignment="1">
      <alignment vertical="center"/>
    </xf>
    <xf numFmtId="0" fontId="62" fillId="0" borderId="149" xfId="0" applyFont="1" applyBorder="1" applyAlignment="1">
      <alignment vertical="center"/>
    </xf>
    <xf numFmtId="10" fontId="18" fillId="0" borderId="113" xfId="85" applyNumberFormat="1" applyFont="1" applyBorder="1" applyAlignment="1">
      <alignment horizontal="right" vertical="center"/>
    </xf>
    <xf numFmtId="178" fontId="61" fillId="0" borderId="73" xfId="0" applyNumberFormat="1" applyFont="1" applyBorder="1" applyAlignment="1">
      <alignment horizontal="right" vertical="center"/>
    </xf>
    <xf numFmtId="178" fontId="61" fillId="0" borderId="42" xfId="0" applyNumberFormat="1" applyFont="1" applyBorder="1" applyAlignment="1">
      <alignment horizontal="right" vertical="center"/>
    </xf>
    <xf numFmtId="178" fontId="81" fillId="0" borderId="137" xfId="0" applyNumberFormat="1" applyFont="1" applyBorder="1" applyAlignment="1">
      <alignment horizontal="right" vertical="center"/>
    </xf>
    <xf numFmtId="178" fontId="62" fillId="0" borderId="137" xfId="0" applyNumberFormat="1" applyFont="1" applyBorder="1" applyAlignment="1">
      <alignment horizontal="right" vertical="center"/>
    </xf>
    <xf numFmtId="178" fontId="62" fillId="0" borderId="114" xfId="0" applyNumberFormat="1" applyFont="1" applyBorder="1" applyAlignment="1">
      <alignment horizontal="right" vertical="center"/>
    </xf>
    <xf numFmtId="0" fontId="18" fillId="0" borderId="117" xfId="0" applyFont="1" applyBorder="1" applyAlignment="1">
      <alignment vertical="center" wrapText="1"/>
    </xf>
    <xf numFmtId="0" fontId="61" fillId="0" borderId="117" xfId="0" applyFont="1" applyBorder="1" applyAlignment="1">
      <alignment vertical="center" wrapText="1"/>
    </xf>
    <xf numFmtId="178" fontId="61" fillId="0" borderId="100" xfId="0" applyNumberFormat="1" applyFont="1" applyFill="1" applyBorder="1" applyAlignment="1">
      <alignment horizontal="right" vertical="center"/>
    </xf>
    <xf numFmtId="178" fontId="18" fillId="0" borderId="27" xfId="0" applyNumberFormat="1" applyFont="1" applyFill="1" applyBorder="1" applyAlignment="1">
      <alignment horizontal="right" vertic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4" fillId="0" borderId="152" xfId="0" applyFont="1" applyBorder="1" applyAlignment="1">
      <alignment horizontal="center" vertical="center" wrapText="1"/>
    </xf>
    <xf numFmtId="169" fontId="15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61" fillId="0" borderId="117" xfId="0" applyNumberFormat="1" applyFont="1" applyBorder="1" applyAlignment="1">
      <alignment vertical="center"/>
    </xf>
    <xf numFmtId="0" fontId="80" fillId="0" borderId="157" xfId="0" applyFont="1" applyBorder="1" applyAlignment="1">
      <alignment vertical="center"/>
    </xf>
    <xf numFmtId="0" fontId="80" fillId="0" borderId="155" xfId="0" applyFont="1" applyBorder="1" applyAlignment="1">
      <alignment vertical="center"/>
    </xf>
    <xf numFmtId="0" fontId="80" fillId="0" borderId="156" xfId="0" applyFont="1" applyBorder="1" applyAlignment="1">
      <alignment vertical="center"/>
    </xf>
    <xf numFmtId="168" fontId="61" fillId="0" borderId="116" xfId="0" applyNumberFormat="1" applyFont="1" applyBorder="1" applyAlignment="1">
      <alignment horizontal="center" vertical="center"/>
    </xf>
    <xf numFmtId="169" fontId="61" fillId="0" borderId="155" xfId="0" applyNumberFormat="1" applyFont="1" applyBorder="1" applyAlignment="1">
      <alignment horizontal="center" vertical="center"/>
    </xf>
    <xf numFmtId="0" fontId="61" fillId="0" borderId="155" xfId="0" applyFont="1" applyBorder="1" applyAlignment="1">
      <alignment horizontal="center" vertical="center"/>
    </xf>
    <xf numFmtId="168" fontId="61" fillId="0" borderId="155" xfId="0" applyNumberFormat="1" applyFont="1" applyBorder="1" applyAlignment="1">
      <alignment horizontal="center" vertical="center"/>
    </xf>
    <xf numFmtId="4" fontId="61" fillId="0" borderId="155" xfId="0" applyNumberFormat="1" applyFont="1" applyBorder="1" applyAlignment="1">
      <alignment horizontal="center" vertical="center"/>
    </xf>
    <xf numFmtId="1" fontId="61" fillId="0" borderId="155" xfId="0" applyNumberFormat="1" applyFont="1" applyBorder="1" applyAlignment="1">
      <alignment horizontal="center" vertical="center"/>
    </xf>
    <xf numFmtId="2" fontId="61" fillId="0" borderId="155" xfId="0" applyNumberFormat="1" applyFont="1" applyBorder="1" applyAlignment="1">
      <alignment horizontal="center" vertical="center"/>
    </xf>
    <xf numFmtId="2" fontId="61" fillId="0" borderId="155" xfId="0" applyNumberFormat="1" applyFont="1" applyFill="1" applyBorder="1" applyAlignment="1">
      <alignment horizontal="center" vertical="center"/>
    </xf>
    <xf numFmtId="4" fontId="61" fillId="0" borderId="155" xfId="0" applyNumberFormat="1" applyFont="1" applyFill="1" applyBorder="1" applyAlignment="1">
      <alignment horizontal="center" vertical="center"/>
    </xf>
    <xf numFmtId="4" fontId="61" fillId="0" borderId="113" xfId="0" applyNumberFormat="1" applyFont="1" applyFill="1" applyBorder="1" applyAlignment="1">
      <alignment horizontal="center" vertical="center"/>
    </xf>
    <xf numFmtId="168" fontId="61" fillId="0" borderId="116" xfId="0" applyNumberFormat="1" applyFont="1" applyFill="1" applyBorder="1" applyAlignment="1">
      <alignment horizontal="center" vertical="center"/>
    </xf>
    <xf numFmtId="10" fontId="61" fillId="0" borderId="155" xfId="0" applyNumberFormat="1" applyFont="1" applyFill="1" applyBorder="1" applyAlignment="1">
      <alignment horizontal="center" vertical="center"/>
    </xf>
    <xf numFmtId="2" fontId="61" fillId="0" borderId="113" xfId="0" applyNumberFormat="1" applyFont="1" applyBorder="1" applyAlignment="1">
      <alignment horizontal="center" vertical="center"/>
    </xf>
    <xf numFmtId="168" fontId="97" fillId="0" borderId="101" xfId="0" applyNumberFormat="1" applyFont="1" applyBorder="1" applyAlignment="1">
      <alignment horizontal="center" vertical="center"/>
    </xf>
    <xf numFmtId="168" fontId="97" fillId="0" borderId="95" xfId="0" applyNumberFormat="1" applyFont="1" applyBorder="1" applyAlignment="1">
      <alignment horizontal="center" vertical="center"/>
    </xf>
    <xf numFmtId="0" fontId="82" fillId="0" borderId="117" xfId="0" applyFont="1" applyBorder="1" applyAlignment="1">
      <alignment vertical="center" wrapText="1"/>
    </xf>
    <xf numFmtId="0" fontId="82" fillId="32" borderId="116" xfId="0" applyFont="1" applyFill="1" applyBorder="1" applyAlignment="1">
      <alignment horizontal="center" vertical="center"/>
    </xf>
    <xf numFmtId="168" fontId="82" fillId="32" borderId="155" xfId="0" applyNumberFormat="1" applyFont="1" applyFill="1" applyBorder="1" applyAlignment="1">
      <alignment horizontal="center" vertical="center"/>
    </xf>
    <xf numFmtId="3" fontId="82" fillId="32" borderId="155" xfId="0" applyNumberFormat="1" applyFont="1" applyFill="1" applyBorder="1" applyAlignment="1">
      <alignment horizontal="center" vertical="center"/>
    </xf>
    <xf numFmtId="169" fontId="83" fillId="32" borderId="155" xfId="0" applyNumberFormat="1" applyFont="1" applyFill="1" applyBorder="1" applyAlignment="1">
      <alignment horizontal="center" vertical="center"/>
    </xf>
    <xf numFmtId="4" fontId="82" fillId="32" borderId="155" xfId="0" applyNumberFormat="1" applyFont="1" applyFill="1" applyBorder="1" applyAlignment="1">
      <alignment horizontal="center" vertical="center"/>
    </xf>
    <xf numFmtId="2" fontId="82" fillId="27" borderId="155" xfId="0" applyNumberFormat="1" applyFont="1" applyFill="1" applyBorder="1" applyAlignment="1">
      <alignment horizontal="center" vertical="center"/>
    </xf>
    <xf numFmtId="174" fontId="82" fillId="27" borderId="155" xfId="0" applyNumberFormat="1" applyFont="1" applyFill="1" applyBorder="1" applyAlignment="1">
      <alignment horizontal="center" vertical="center"/>
    </xf>
    <xf numFmtId="4" fontId="82" fillId="27" borderId="155" xfId="0" applyNumberFormat="1" applyFont="1" applyFill="1" applyBorder="1" applyAlignment="1">
      <alignment horizontal="center" vertical="center"/>
    </xf>
    <xf numFmtId="4" fontId="83" fillId="27" borderId="155" xfId="0" applyNumberFormat="1" applyFont="1" applyFill="1" applyBorder="1" applyAlignment="1">
      <alignment horizontal="center" vertical="center"/>
    </xf>
    <xf numFmtId="4" fontId="82" fillId="27" borderId="113" xfId="0" applyNumberFormat="1" applyFont="1" applyFill="1" applyBorder="1" applyAlignment="1">
      <alignment horizontal="center" vertical="center"/>
    </xf>
    <xf numFmtId="2" fontId="82" fillId="28" borderId="155" xfId="0" applyNumberFormat="1" applyFont="1" applyFill="1" applyBorder="1" applyAlignment="1">
      <alignment horizontal="center" vertical="center"/>
    </xf>
    <xf numFmtId="174" fontId="83" fillId="28" borderId="155" xfId="0" applyNumberFormat="1" applyFont="1" applyFill="1" applyBorder="1" applyAlignment="1">
      <alignment horizontal="center" vertical="center"/>
    </xf>
    <xf numFmtId="4" fontId="82" fillId="28" borderId="155" xfId="0" applyNumberFormat="1" applyFont="1" applyFill="1" applyBorder="1" applyAlignment="1">
      <alignment horizontal="center" vertical="center"/>
    </xf>
    <xf numFmtId="4" fontId="82" fillId="28" borderId="113" xfId="0" applyNumberFormat="1" applyFont="1" applyFill="1" applyBorder="1" applyAlignment="1">
      <alignment horizontal="center" vertical="center"/>
    </xf>
    <xf numFmtId="4" fontId="83" fillId="28" borderId="155" xfId="0" applyNumberFormat="1" applyFont="1" applyFill="1" applyBorder="1" applyAlignment="1">
      <alignment horizontal="center" vertical="center"/>
    </xf>
    <xf numFmtId="0" fontId="82" fillId="26" borderId="116" xfId="0" applyFont="1" applyFill="1" applyBorder="1" applyAlignment="1">
      <alignment horizontal="center" vertical="center"/>
    </xf>
    <xf numFmtId="168" fontId="82" fillId="26" borderId="155" xfId="0" applyNumberFormat="1" applyFont="1" applyFill="1" applyBorder="1" applyAlignment="1">
      <alignment horizontal="center" vertical="center"/>
    </xf>
    <xf numFmtId="3" fontId="82" fillId="26" borderId="155" xfId="0" applyNumberFormat="1" applyFont="1" applyFill="1" applyBorder="1" applyAlignment="1">
      <alignment horizontal="center" vertical="center"/>
    </xf>
    <xf numFmtId="171" fontId="83" fillId="26" borderId="155" xfId="85" applyNumberFormat="1" applyFont="1" applyFill="1" applyBorder="1" applyAlignment="1">
      <alignment horizontal="center" vertical="center"/>
    </xf>
    <xf numFmtId="4" fontId="82" fillId="26" borderId="156" xfId="0" applyNumberFormat="1" applyFont="1" applyFill="1" applyBorder="1" applyAlignment="1">
      <alignment horizontal="center" vertical="center"/>
    </xf>
    <xf numFmtId="2" fontId="82" fillId="27" borderId="116" xfId="0" applyNumberFormat="1" applyFont="1" applyFill="1" applyBorder="1" applyAlignment="1">
      <alignment horizontal="center" vertical="center"/>
    </xf>
    <xf numFmtId="10" fontId="83" fillId="27" borderId="155" xfId="85" applyNumberFormat="1" applyFont="1" applyFill="1" applyBorder="1" applyAlignment="1">
      <alignment horizontal="center" vertical="center"/>
    </xf>
    <xf numFmtId="0" fontId="49" fillId="0" borderId="0" xfId="96" applyFont="1"/>
    <xf numFmtId="0" fontId="49" fillId="35" borderId="0" xfId="96" applyFont="1" applyFill="1"/>
    <xf numFmtId="0" fontId="49" fillId="29" borderId="0" xfId="96" applyFont="1" applyFill="1"/>
    <xf numFmtId="0" fontId="49" fillId="36" borderId="0" xfId="96" applyFont="1" applyFill="1"/>
    <xf numFmtId="0" fontId="15" fillId="37" borderId="0" xfId="96" applyFont="1" applyFill="1"/>
    <xf numFmtId="0" fontId="98" fillId="35" borderId="0" xfId="96" applyFont="1" applyFill="1"/>
    <xf numFmtId="0" fontId="49" fillId="0" borderId="0" xfId="96" applyFont="1" applyAlignment="1">
      <alignment wrapText="1"/>
    </xf>
    <xf numFmtId="0" fontId="52" fillId="38" borderId="155" xfId="96" applyFont="1" applyFill="1" applyBorder="1" applyAlignment="1">
      <alignment horizontal="center"/>
    </xf>
    <xf numFmtId="0" fontId="17" fillId="38" borderId="155" xfId="96" applyFont="1" applyFill="1" applyBorder="1" applyAlignment="1">
      <alignment horizontal="left" vertical="center" wrapText="1"/>
    </xf>
    <xf numFmtId="0" fontId="49" fillId="38" borderId="155" xfId="96" applyFont="1" applyFill="1" applyBorder="1"/>
    <xf numFmtId="0" fontId="17" fillId="38" borderId="155" xfId="96" applyFont="1" applyFill="1" applyBorder="1" applyAlignment="1">
      <alignment horizontal="left" vertical="center" wrapText="1" indent="3"/>
    </xf>
    <xf numFmtId="0" fontId="17" fillId="38" borderId="155" xfId="96" applyFont="1" applyFill="1" applyBorder="1" applyAlignment="1">
      <alignment horizontal="center" vertical="center" wrapText="1"/>
    </xf>
    <xf numFmtId="0" fontId="49" fillId="38" borderId="155" xfId="96" applyFont="1" applyFill="1" applyBorder="1" applyAlignment="1">
      <alignment horizontal="center"/>
    </xf>
    <xf numFmtId="0" fontId="49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160" xfId="0" applyFont="1" applyBorder="1" applyAlignment="1">
      <alignment horizontal="center" vertical="center" wrapText="1"/>
    </xf>
    <xf numFmtId="169" fontId="15" fillId="0" borderId="161" xfId="0" applyNumberFormat="1" applyFont="1" applyBorder="1" applyAlignment="1">
      <alignment horizontal="center"/>
    </xf>
    <xf numFmtId="169" fontId="15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61" fillId="0" borderId="167" xfId="0" applyNumberFormat="1" applyFont="1" applyBorder="1" applyAlignment="1">
      <alignment horizontal="center" vertical="center"/>
    </xf>
    <xf numFmtId="4" fontId="61" fillId="0" borderId="167" xfId="0" applyNumberFormat="1" applyFont="1" applyBorder="1" applyAlignment="1">
      <alignment horizontal="center" vertical="center"/>
    </xf>
    <xf numFmtId="0" fontId="61" fillId="0" borderId="167" xfId="0" applyFont="1" applyBorder="1" applyAlignment="1">
      <alignment horizontal="center" vertical="center"/>
    </xf>
    <xf numFmtId="0" fontId="7" fillId="0" borderId="0" xfId="147"/>
    <xf numFmtId="0" fontId="107" fillId="0" borderId="167" xfId="147" applyFont="1" applyBorder="1" applyAlignment="1">
      <alignment horizontal="center" wrapText="1"/>
    </xf>
    <xf numFmtId="0" fontId="107" fillId="0" borderId="167" xfId="147" applyFont="1" applyBorder="1" applyAlignment="1">
      <alignment horizontal="center"/>
    </xf>
    <xf numFmtId="0" fontId="107" fillId="0" borderId="167" xfId="147" applyFont="1" applyBorder="1" applyAlignment="1">
      <alignment wrapText="1"/>
    </xf>
    <xf numFmtId="0" fontId="56" fillId="0" borderId="80" xfId="147" applyFont="1" applyBorder="1" applyAlignment="1">
      <alignment horizontal="center" vertical="center" wrapText="1"/>
    </xf>
    <xf numFmtId="0" fontId="56" fillId="0" borderId="77" xfId="147" applyFont="1" applyBorder="1" applyAlignment="1">
      <alignment horizontal="center" vertical="center" wrapText="1"/>
    </xf>
    <xf numFmtId="0" fontId="56" fillId="0" borderId="75" xfId="147" applyFont="1" applyBorder="1" applyAlignment="1">
      <alignment horizontal="center" vertical="center" wrapText="1"/>
    </xf>
    <xf numFmtId="1" fontId="56" fillId="0" borderId="40" xfId="147" applyNumberFormat="1" applyFont="1" applyBorder="1" applyAlignment="1">
      <alignment horizontal="center" vertical="center" wrapText="1"/>
    </xf>
    <xf numFmtId="4" fontId="56" fillId="0" borderId="35" xfId="147" applyNumberFormat="1" applyFont="1" applyFill="1" applyBorder="1" applyAlignment="1">
      <alignment horizontal="center" vertical="center" wrapText="1"/>
    </xf>
    <xf numFmtId="1" fontId="56" fillId="0" borderId="40" xfId="147" applyNumberFormat="1" applyFont="1" applyFill="1" applyBorder="1" applyAlignment="1">
      <alignment horizontal="center" vertical="center" wrapText="1"/>
    </xf>
    <xf numFmtId="4" fontId="56" fillId="0" borderId="38" xfId="147" applyNumberFormat="1" applyFont="1" applyFill="1" applyBorder="1" applyAlignment="1">
      <alignment horizontal="center" vertical="center" wrapText="1"/>
    </xf>
    <xf numFmtId="4" fontId="56" fillId="0" borderId="40" xfId="147" applyNumberFormat="1" applyFont="1" applyFill="1" applyBorder="1" applyAlignment="1">
      <alignment horizontal="center" vertical="center" wrapText="1"/>
    </xf>
    <xf numFmtId="4" fontId="56" fillId="0" borderId="171" xfId="147" applyNumberFormat="1" applyFont="1" applyBorder="1" applyAlignment="1">
      <alignment horizontal="center" vertical="center" wrapText="1"/>
    </xf>
    <xf numFmtId="4" fontId="56" fillId="0" borderId="168" xfId="147" applyNumberFormat="1" applyFont="1" applyFill="1" applyBorder="1" applyAlignment="1">
      <alignment horizontal="center" vertical="center" wrapText="1"/>
    </xf>
    <xf numFmtId="178" fontId="56" fillId="0" borderId="171" xfId="147" applyNumberFormat="1" applyFont="1" applyFill="1" applyBorder="1" applyAlignment="1">
      <alignment horizontal="center" vertical="center" wrapText="1"/>
    </xf>
    <xf numFmtId="4" fontId="56" fillId="0" borderId="170" xfId="147" applyNumberFormat="1" applyFont="1" applyFill="1" applyBorder="1" applyAlignment="1">
      <alignment horizontal="center" vertical="center" wrapText="1"/>
    </xf>
    <xf numFmtId="4" fontId="56" fillId="0" borderId="171" xfId="147" applyNumberFormat="1" applyFont="1" applyFill="1" applyBorder="1" applyAlignment="1">
      <alignment horizontal="center" vertical="center" wrapText="1"/>
    </xf>
    <xf numFmtId="1" fontId="56" fillId="0" borderId="171" xfId="147" applyNumberFormat="1" applyFont="1" applyBorder="1" applyAlignment="1">
      <alignment horizontal="center" vertical="center" wrapText="1"/>
    </xf>
    <xf numFmtId="4" fontId="56" fillId="0" borderId="168" xfId="147" applyNumberFormat="1" applyFont="1" applyBorder="1" applyAlignment="1">
      <alignment horizontal="center" vertical="center" wrapText="1"/>
    </xf>
    <xf numFmtId="4" fontId="56" fillId="0" borderId="170" xfId="147" applyNumberFormat="1" applyFont="1" applyBorder="1" applyAlignment="1">
      <alignment horizontal="center" vertical="center" wrapText="1"/>
    </xf>
    <xf numFmtId="171" fontId="56" fillId="0" borderId="139" xfId="147" applyNumberFormat="1" applyFont="1" applyFill="1" applyBorder="1" applyAlignment="1">
      <alignment horizontal="center" vertical="center" wrapText="1"/>
    </xf>
    <xf numFmtId="4" fontId="56" fillId="0" borderId="142" xfId="147" applyNumberFormat="1" applyFont="1" applyBorder="1" applyAlignment="1">
      <alignment horizontal="center" vertical="center" wrapText="1"/>
    </xf>
    <xf numFmtId="9" fontId="56" fillId="0" borderId="171" xfId="147" applyNumberFormat="1" applyFont="1" applyBorder="1" applyAlignment="1">
      <alignment horizontal="center" vertical="center" wrapText="1"/>
    </xf>
    <xf numFmtId="9" fontId="56" fillId="0" borderId="146" xfId="147" applyNumberFormat="1" applyFont="1" applyBorder="1" applyAlignment="1">
      <alignment horizontal="center" vertical="center" wrapText="1"/>
    </xf>
    <xf numFmtId="3" fontId="55" fillId="41" borderId="52" xfId="147" applyNumberFormat="1" applyFont="1" applyFill="1" applyBorder="1" applyAlignment="1">
      <alignment horizontal="center" vertical="center" wrapText="1"/>
    </xf>
    <xf numFmtId="4" fontId="55" fillId="41" borderId="77" xfId="147" applyNumberFormat="1" applyFont="1" applyFill="1" applyBorder="1" applyAlignment="1">
      <alignment horizontal="center" vertical="center" wrapText="1"/>
    </xf>
    <xf numFmtId="0" fontId="14" fillId="0" borderId="0" xfId="147" applyFont="1"/>
    <xf numFmtId="0" fontId="14" fillId="0" borderId="167" xfId="147" applyFont="1" applyBorder="1" applyAlignment="1">
      <alignment horizontal="center"/>
    </xf>
    <xf numFmtId="168" fontId="14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8" fillId="0" borderId="173" xfId="85" applyNumberFormat="1" applyFont="1" applyFill="1" applyBorder="1" applyAlignment="1">
      <alignment vertical="center"/>
    </xf>
    <xf numFmtId="10" fontId="18" fillId="0" borderId="0" xfId="85" applyNumberFormat="1" applyFont="1" applyFill="1" applyBorder="1" applyAlignment="1">
      <alignment vertical="center"/>
    </xf>
    <xf numFmtId="0" fontId="108" fillId="0" borderId="0" xfId="147" applyFont="1"/>
    <xf numFmtId="0" fontId="109" fillId="0" borderId="0" xfId="147" applyFont="1"/>
    <xf numFmtId="0" fontId="110" fillId="0" borderId="0" xfId="147" applyFont="1"/>
    <xf numFmtId="0" fontId="110" fillId="0" borderId="174" xfId="147" applyFont="1" applyBorder="1"/>
    <xf numFmtId="0" fontId="110" fillId="0" borderId="11" xfId="147" applyFont="1" applyBorder="1"/>
    <xf numFmtId="0" fontId="110" fillId="0" borderId="167" xfId="147" applyFont="1" applyBorder="1"/>
    <xf numFmtId="0" fontId="110" fillId="0" borderId="167" xfId="147" applyFont="1" applyBorder="1" applyAlignment="1">
      <alignment horizontal="center"/>
    </xf>
    <xf numFmtId="0" fontId="109" fillId="0" borderId="167" xfId="147" applyFont="1" applyBorder="1"/>
    <xf numFmtId="0" fontId="109" fillId="0" borderId="167" xfId="147" applyFont="1" applyBorder="1" applyAlignment="1">
      <alignment horizontal="center"/>
    </xf>
    <xf numFmtId="0" fontId="109" fillId="0" borderId="61" xfId="147" applyFont="1" applyFill="1" applyBorder="1"/>
    <xf numFmtId="0" fontId="110" fillId="0" borderId="0" xfId="147" applyFont="1" applyAlignment="1">
      <alignment horizontal="center"/>
    </xf>
    <xf numFmtId="0" fontId="110" fillId="0" borderId="167" xfId="147" applyFont="1" applyBorder="1" applyAlignment="1">
      <alignment horizontal="right"/>
    </xf>
    <xf numFmtId="0" fontId="109" fillId="0" borderId="167" xfId="147" applyFont="1" applyFill="1" applyBorder="1"/>
    <xf numFmtId="0" fontId="7" fillId="0" borderId="167" xfId="147" applyBorder="1"/>
    <xf numFmtId="0" fontId="109" fillId="0" borderId="167" xfId="147" applyFont="1" applyFill="1" applyBorder="1" applyAlignment="1">
      <alignment horizontal="center"/>
    </xf>
    <xf numFmtId="0" fontId="108" fillId="0" borderId="167" xfId="147" applyFont="1" applyBorder="1"/>
    <xf numFmtId="0" fontId="108" fillId="0" borderId="167" xfId="147" applyFont="1" applyFill="1" applyBorder="1"/>
    <xf numFmtId="0" fontId="111" fillId="0" borderId="167" xfId="147" applyFont="1" applyBorder="1"/>
    <xf numFmtId="0" fontId="110" fillId="0" borderId="167" xfId="147" applyFont="1" applyFill="1" applyBorder="1"/>
    <xf numFmtId="0" fontId="110" fillId="0" borderId="167" xfId="147" applyFont="1" applyFill="1" applyBorder="1" applyAlignment="1">
      <alignment horizontal="center"/>
    </xf>
    <xf numFmtId="0" fontId="112" fillId="0" borderId="167" xfId="147" applyFont="1" applyFill="1" applyBorder="1"/>
    <xf numFmtId="0" fontId="112" fillId="0" borderId="167" xfId="147" applyFont="1" applyBorder="1"/>
    <xf numFmtId="169" fontId="112" fillId="0" borderId="167" xfId="147" applyNumberFormat="1" applyFont="1" applyBorder="1"/>
    <xf numFmtId="0" fontId="111" fillId="0" borderId="167" xfId="147" applyFont="1" applyFill="1" applyBorder="1"/>
    <xf numFmtId="0" fontId="105" fillId="0" borderId="167" xfId="147" applyFont="1" applyBorder="1"/>
    <xf numFmtId="0" fontId="110" fillId="0" borderId="167" xfId="147" applyFont="1" applyBorder="1" applyAlignment="1">
      <alignment horizontal="left"/>
    </xf>
    <xf numFmtId="0" fontId="109" fillId="0" borderId="167" xfId="147" applyFont="1" applyBorder="1" applyAlignment="1">
      <alignment horizontal="left"/>
    </xf>
    <xf numFmtId="0" fontId="7" fillId="0" borderId="167" xfId="147" applyBorder="1" applyAlignment="1">
      <alignment horizontal="left"/>
    </xf>
    <xf numFmtId="0" fontId="111" fillId="0" borderId="167" xfId="147" applyFont="1" applyBorder="1" applyAlignment="1">
      <alignment horizontal="left"/>
    </xf>
    <xf numFmtId="0" fontId="112" fillId="0" borderId="167" xfId="147" applyFont="1" applyBorder="1" applyAlignment="1">
      <alignment horizontal="left"/>
    </xf>
    <xf numFmtId="0" fontId="113" fillId="0" borderId="167" xfId="147" applyFont="1" applyFill="1" applyBorder="1"/>
    <xf numFmtId="0" fontId="113" fillId="0" borderId="167" xfId="147" applyFont="1" applyBorder="1"/>
    <xf numFmtId="0" fontId="111" fillId="0" borderId="167" xfId="147" applyFont="1" applyFill="1" applyBorder="1" applyAlignment="1">
      <alignment horizontal="left"/>
    </xf>
    <xf numFmtId="0" fontId="110" fillId="0" borderId="174" xfId="147" applyFont="1" applyBorder="1" applyAlignment="1">
      <alignment horizontal="center"/>
    </xf>
    <xf numFmtId="0" fontId="110" fillId="0" borderId="11" xfId="147" applyFont="1" applyBorder="1" applyAlignment="1">
      <alignment horizontal="center"/>
    </xf>
    <xf numFmtId="0" fontId="7" fillId="0" borderId="167" xfId="147" applyBorder="1" applyAlignment="1">
      <alignment horizontal="center"/>
    </xf>
    <xf numFmtId="0" fontId="111" fillId="0" borderId="167" xfId="147" applyFont="1" applyBorder="1" applyAlignment="1">
      <alignment horizontal="center"/>
    </xf>
    <xf numFmtId="0" fontId="105" fillId="0" borderId="167" xfId="147" applyFont="1" applyBorder="1" applyAlignment="1">
      <alignment horizontal="center"/>
    </xf>
    <xf numFmtId="0" fontId="112" fillId="0" borderId="167" xfId="147" applyFont="1" applyBorder="1" applyAlignment="1">
      <alignment horizontal="center"/>
    </xf>
    <xf numFmtId="0" fontId="111" fillId="0" borderId="167" xfId="147" applyFont="1" applyBorder="1" applyAlignment="1">
      <alignment horizontal="center" wrapText="1"/>
    </xf>
    <xf numFmtId="0" fontId="114" fillId="0" borderId="167" xfId="147" applyFont="1" applyFill="1" applyBorder="1"/>
    <xf numFmtId="0" fontId="111" fillId="0" borderId="167" xfId="147" applyFont="1" applyBorder="1" applyAlignment="1">
      <alignment horizontal="left" wrapText="1"/>
    </xf>
    <xf numFmtId="0" fontId="111" fillId="0" borderId="167" xfId="147" applyFont="1" applyBorder="1" applyAlignment="1">
      <alignment wrapText="1"/>
    </xf>
    <xf numFmtId="2" fontId="111" fillId="0" borderId="167" xfId="147" applyNumberFormat="1" applyFont="1" applyBorder="1"/>
    <xf numFmtId="2" fontId="112" fillId="0" borderId="167" xfId="147" applyNumberFormat="1" applyFont="1" applyBorder="1"/>
    <xf numFmtId="2" fontId="105" fillId="0" borderId="167" xfId="147" applyNumberFormat="1" applyFont="1" applyBorder="1"/>
    <xf numFmtId="167" fontId="61" fillId="0" borderId="92" xfId="0" applyNumberFormat="1" applyFont="1" applyFill="1" applyBorder="1" applyAlignment="1">
      <alignment horizontal="center" vertical="center"/>
    </xf>
    <xf numFmtId="167" fontId="61" fillId="0" borderId="22" xfId="0" applyNumberFormat="1" applyFont="1" applyFill="1" applyBorder="1" applyAlignment="1">
      <alignment horizontal="center" vertical="center"/>
    </xf>
    <xf numFmtId="0" fontId="107" fillId="0" borderId="175" xfId="147" applyFont="1" applyBorder="1" applyAlignment="1">
      <alignment wrapText="1"/>
    </xf>
    <xf numFmtId="0" fontId="107" fillId="0" borderId="175" xfId="147" applyFont="1" applyBorder="1" applyAlignment="1">
      <alignment horizontal="center" wrapText="1"/>
    </xf>
    <xf numFmtId="0" fontId="107" fillId="0" borderId="175" xfId="147" applyFont="1" applyBorder="1" applyAlignment="1">
      <alignment horizontal="center"/>
    </xf>
    <xf numFmtId="0" fontId="61" fillId="0" borderId="175" xfId="0" applyFont="1" applyBorder="1" applyAlignment="1">
      <alignment horizontal="center" vertical="center"/>
    </xf>
    <xf numFmtId="171" fontId="61" fillId="0" borderId="175" xfId="85" applyNumberFormat="1" applyFont="1" applyFill="1" applyBorder="1" applyAlignment="1">
      <alignment vertical="center"/>
    </xf>
    <xf numFmtId="0" fontId="6" fillId="0" borderId="175" xfId="149" applyBorder="1" applyAlignment="1">
      <alignment wrapText="1"/>
    </xf>
    <xf numFmtId="0" fontId="6" fillId="0" borderId="0" xfId="149"/>
    <xf numFmtId="0" fontId="105" fillId="0" borderId="175" xfId="149" applyFont="1" applyBorder="1" applyAlignment="1">
      <alignment horizontal="center"/>
    </xf>
    <xf numFmtId="4" fontId="6" fillId="0" borderId="175" xfId="149" applyNumberFormat="1" applyBorder="1"/>
    <xf numFmtId="0" fontId="6" fillId="0" borderId="175" xfId="149" applyBorder="1"/>
    <xf numFmtId="4" fontId="105" fillId="0" borderId="175" xfId="149" applyNumberFormat="1" applyFont="1" applyBorder="1"/>
    <xf numFmtId="0" fontId="105" fillId="0" borderId="180" xfId="149" applyFont="1" applyBorder="1" applyAlignment="1">
      <alignment horizontal="center"/>
    </xf>
    <xf numFmtId="4" fontId="6" fillId="0" borderId="180" xfId="149" applyNumberFormat="1" applyBorder="1"/>
    <xf numFmtId="4" fontId="105" fillId="0" borderId="180" xfId="149" applyNumberFormat="1" applyFont="1" applyBorder="1"/>
    <xf numFmtId="0" fontId="6" fillId="0" borderId="180" xfId="149" applyBorder="1"/>
    <xf numFmtId="0" fontId="117" fillId="0" borderId="175" xfId="149" applyFont="1" applyBorder="1" applyAlignment="1">
      <alignment wrapText="1"/>
    </xf>
    <xf numFmtId="4" fontId="117" fillId="0" borderId="175" xfId="149" applyNumberFormat="1" applyFont="1" applyBorder="1"/>
    <xf numFmtId="4" fontId="117" fillId="0" borderId="180" xfId="149" applyNumberFormat="1" applyFont="1" applyBorder="1"/>
    <xf numFmtId="0" fontId="117" fillId="0" borderId="175" xfId="149" applyFont="1" applyBorder="1"/>
    <xf numFmtId="0" fontId="117" fillId="0" borderId="0" xfId="149" applyFont="1"/>
    <xf numFmtId="3" fontId="0" fillId="0" borderId="0" xfId="0" applyNumberFormat="1"/>
    <xf numFmtId="0" fontId="0" fillId="0" borderId="175" xfId="0" applyBorder="1"/>
    <xf numFmtId="0" fontId="51" fillId="0" borderId="0" xfId="0" applyFont="1" applyAlignment="1">
      <alignment vertical="center"/>
    </xf>
    <xf numFmtId="4" fontId="51" fillId="0" borderId="0" xfId="0" applyNumberFormat="1" applyFont="1"/>
    <xf numFmtId="0" fontId="61" fillId="0" borderId="184" xfId="0" applyFont="1" applyFill="1" applyBorder="1" applyAlignment="1">
      <alignment horizontal="center" vertical="center" wrapText="1"/>
    </xf>
    <xf numFmtId="0" fontId="61" fillId="0" borderId="189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4" fontId="81" fillId="0" borderId="0" xfId="0" applyNumberFormat="1" applyFont="1" applyFill="1" applyBorder="1" applyAlignment="1">
      <alignment horizont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1" fillId="0" borderId="100" xfId="0" applyFont="1" applyBorder="1" applyAlignment="1">
      <alignment horizontal="center" vertical="center" wrapText="1"/>
    </xf>
    <xf numFmtId="0" fontId="61" fillId="0" borderId="17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0" fontId="61" fillId="0" borderId="18" xfId="0" applyFont="1" applyFill="1" applyBorder="1" applyAlignment="1">
      <alignment horizontal="center" vertical="center"/>
    </xf>
    <xf numFmtId="0" fontId="61" fillId="0" borderId="10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61" fillId="0" borderId="27" xfId="0" applyFont="1" applyFill="1" applyBorder="1" applyAlignment="1">
      <alignment horizontal="center" vertical="center"/>
    </xf>
    <xf numFmtId="0" fontId="61" fillId="0" borderId="21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 vertical="center" wrapText="1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2" fontId="14" fillId="0" borderId="10" xfId="0" applyNumberFormat="1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/>
    </xf>
    <xf numFmtId="0" fontId="61" fillId="0" borderId="162" xfId="0" applyFont="1" applyBorder="1" applyAlignment="1">
      <alignment horizontal="center" vertical="center" wrapText="1"/>
    </xf>
    <xf numFmtId="0" fontId="61" fillId="0" borderId="23" xfId="0" applyFont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5" fillId="0" borderId="0" xfId="149" applyFont="1"/>
    <xf numFmtId="0" fontId="87" fillId="0" borderId="0" xfId="0" applyFont="1"/>
    <xf numFmtId="0" fontId="65" fillId="0" borderId="0" xfId="0" applyFont="1"/>
    <xf numFmtId="0" fontId="122" fillId="0" borderId="55" xfId="0" applyFont="1" applyBorder="1" applyAlignment="1">
      <alignment horizontal="right" vertical="top" wrapText="1"/>
    </xf>
    <xf numFmtId="0" fontId="121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61" fillId="27" borderId="100" xfId="0" applyFont="1" applyFill="1" applyBorder="1" applyAlignment="1">
      <alignment horizontal="center" vertical="center" wrapText="1"/>
    </xf>
    <xf numFmtId="0" fontId="61" fillId="27" borderId="162" xfId="0" applyFont="1" applyFill="1" applyBorder="1" applyAlignment="1">
      <alignment horizontal="center" vertical="center" wrapText="1"/>
    </xf>
    <xf numFmtId="0" fontId="61" fillId="27" borderId="163" xfId="0" applyFont="1" applyFill="1" applyBorder="1" applyAlignment="1">
      <alignment horizontal="center" vertical="center" wrapText="1"/>
    </xf>
    <xf numFmtId="0" fontId="61" fillId="0" borderId="163" xfId="0" applyFont="1" applyBorder="1" applyAlignment="1">
      <alignment horizontal="center" vertical="center" wrapText="1"/>
    </xf>
    <xf numFmtId="0" fontId="61" fillId="0" borderId="184" xfId="0" applyFont="1" applyBorder="1" applyAlignment="1">
      <alignment horizontal="center" vertical="center" wrapText="1"/>
    </xf>
    <xf numFmtId="0" fontId="61" fillId="24" borderId="188" xfId="0" applyFont="1" applyFill="1" applyBorder="1" applyAlignment="1">
      <alignment horizontal="center" vertical="center" wrapText="1"/>
    </xf>
    <xf numFmtId="0" fontId="61" fillId="24" borderId="184" xfId="0" applyFont="1" applyFill="1" applyBorder="1" applyAlignment="1">
      <alignment horizontal="center" vertical="center" wrapText="1"/>
    </xf>
    <xf numFmtId="0" fontId="61" fillId="24" borderId="189" xfId="0" applyFont="1" applyFill="1" applyBorder="1" applyAlignment="1">
      <alignment horizontal="center" vertical="center" wrapText="1"/>
    </xf>
    <xf numFmtId="0" fontId="61" fillId="24" borderId="178" xfId="0" applyFont="1" applyFill="1" applyBorder="1" applyAlignment="1">
      <alignment horizontal="center" vertical="center" wrapText="1"/>
    </xf>
    <xf numFmtId="0" fontId="61" fillId="0" borderId="188" xfId="0" applyFont="1" applyFill="1" applyBorder="1" applyAlignment="1">
      <alignment horizontal="center" vertical="center" wrapText="1"/>
    </xf>
    <xf numFmtId="0" fontId="61" fillId="0" borderId="176" xfId="0" applyFont="1" applyFill="1" applyBorder="1" applyAlignment="1">
      <alignment horizontal="center" vertical="center" wrapText="1"/>
    </xf>
    <xf numFmtId="0" fontId="61" fillId="0" borderId="173" xfId="0" applyFont="1" applyFill="1" applyBorder="1" applyAlignment="1">
      <alignment horizontal="center" vertical="center" wrapText="1"/>
    </xf>
    <xf numFmtId="0" fontId="61" fillId="0" borderId="175" xfId="0" applyFont="1" applyFill="1" applyBorder="1"/>
    <xf numFmtId="0" fontId="18" fillId="0" borderId="169" xfId="0" applyFont="1" applyBorder="1" applyAlignment="1">
      <alignment horizontal="left" vertical="center"/>
    </xf>
    <xf numFmtId="0" fontId="18" fillId="0" borderId="170" xfId="0" applyFont="1" applyBorder="1" applyAlignment="1">
      <alignment wrapText="1"/>
    </xf>
    <xf numFmtId="1" fontId="18" fillId="0" borderId="187" xfId="0" applyNumberFormat="1" applyFont="1" applyBorder="1" applyAlignment="1">
      <alignment horizontal="right" vertical="center" indent="1"/>
    </xf>
    <xf numFmtId="3" fontId="18" fillId="0" borderId="175" xfId="0" applyNumberFormat="1" applyFont="1" applyBorder="1" applyAlignment="1">
      <alignment horizontal="right" vertical="center" indent="1"/>
    </xf>
    <xf numFmtId="170" fontId="18" fillId="0" borderId="170" xfId="0" applyNumberFormat="1" applyFont="1" applyBorder="1" applyAlignment="1">
      <alignment horizontal="right" vertical="center"/>
    </xf>
    <xf numFmtId="3" fontId="18" fillId="27" borderId="169" xfId="0" applyNumberFormat="1" applyFont="1" applyFill="1" applyBorder="1" applyAlignment="1">
      <alignment horizontal="right" vertical="center" indent="1"/>
    </xf>
    <xf numFmtId="3" fontId="18" fillId="27" borderId="175" xfId="0" applyNumberFormat="1" applyFont="1" applyFill="1" applyBorder="1" applyAlignment="1">
      <alignment horizontal="right" vertical="center" indent="1"/>
    </xf>
    <xf numFmtId="170" fontId="18" fillId="27" borderId="185" xfId="0" applyNumberFormat="1" applyFont="1" applyFill="1" applyBorder="1" applyAlignment="1">
      <alignment horizontal="right" vertical="center"/>
    </xf>
    <xf numFmtId="1" fontId="18" fillId="0" borderId="169" xfId="0" applyNumberFormat="1" applyFont="1" applyBorder="1" applyAlignment="1">
      <alignment horizontal="right" vertical="center" indent="1"/>
    </xf>
    <xf numFmtId="171" fontId="18" fillId="0" borderId="175" xfId="0" applyNumberFormat="1" applyFont="1" applyBorder="1" applyAlignment="1">
      <alignment horizontal="center" vertical="center" wrapText="1"/>
    </xf>
    <xf numFmtId="170" fontId="18" fillId="0" borderId="185" xfId="0" applyNumberFormat="1" applyFont="1" applyBorder="1" applyAlignment="1">
      <alignment horizontal="right" vertical="center"/>
    </xf>
    <xf numFmtId="170" fontId="18" fillId="0" borderId="186" xfId="0" applyNumberFormat="1" applyFont="1" applyBorder="1" applyAlignment="1">
      <alignment horizontal="center" vertical="center"/>
    </xf>
    <xf numFmtId="3" fontId="18" fillId="0" borderId="175" xfId="0" applyNumberFormat="1" applyFont="1" applyBorder="1" applyAlignment="1">
      <alignment horizontal="center" vertical="center"/>
    </xf>
    <xf numFmtId="0" fontId="18" fillId="0" borderId="169" xfId="0" applyFont="1" applyBorder="1" applyAlignment="1">
      <alignment horizontal="center" vertical="center"/>
    </xf>
    <xf numFmtId="1" fontId="18" fillId="0" borderId="175" xfId="0" applyNumberFormat="1" applyFont="1" applyBorder="1" applyAlignment="1">
      <alignment horizontal="center" vertical="center"/>
    </xf>
    <xf numFmtId="169" fontId="18" fillId="0" borderId="170" xfId="0" applyNumberFormat="1" applyFont="1" applyBorder="1" applyAlignment="1">
      <alignment horizontal="center" vertical="center"/>
    </xf>
    <xf numFmtId="0" fontId="18" fillId="0" borderId="187" xfId="0" applyFont="1" applyBorder="1" applyAlignment="1">
      <alignment horizontal="center" vertical="center"/>
    </xf>
    <xf numFmtId="169" fontId="18" fillId="0" borderId="185" xfId="0" applyNumberFormat="1" applyFont="1" applyBorder="1" applyAlignment="1">
      <alignment horizontal="center" vertical="center"/>
    </xf>
    <xf numFmtId="1" fontId="18" fillId="0" borderId="169" xfId="0" applyNumberFormat="1" applyFont="1" applyFill="1" applyBorder="1" applyAlignment="1">
      <alignment horizontal="center" vertical="center"/>
    </xf>
    <xf numFmtId="3" fontId="18" fillId="0" borderId="175" xfId="0" applyNumberFormat="1" applyFont="1" applyFill="1" applyBorder="1" applyAlignment="1">
      <alignment horizontal="right" vertical="center" indent="1"/>
    </xf>
    <xf numFmtId="170" fontId="18" fillId="0" borderId="170" xfId="0" applyNumberFormat="1" applyFont="1" applyFill="1" applyBorder="1" applyAlignment="1">
      <alignment horizontal="right" vertical="center"/>
    </xf>
    <xf numFmtId="3" fontId="18" fillId="0" borderId="185" xfId="0" applyNumberFormat="1" applyFont="1" applyFill="1" applyBorder="1" applyAlignment="1">
      <alignment horizontal="right" vertical="center" indent="1"/>
    </xf>
    <xf numFmtId="1" fontId="18" fillId="0" borderId="169" xfId="0" applyNumberFormat="1" applyFont="1" applyFill="1" applyBorder="1" applyAlignment="1">
      <alignment horizontal="right" vertical="center" indent="1"/>
    </xf>
    <xf numFmtId="170" fontId="18" fillId="0" borderId="175" xfId="0" applyNumberFormat="1" applyFont="1" applyFill="1" applyBorder="1" applyAlignment="1">
      <alignment horizontal="right" vertical="center" indent="1"/>
    </xf>
    <xf numFmtId="170" fontId="18" fillId="0" borderId="175" xfId="0" applyNumberFormat="1" applyFont="1" applyFill="1" applyBorder="1" applyAlignment="1">
      <alignment horizontal="right" vertical="center"/>
    </xf>
    <xf numFmtId="170" fontId="18" fillId="0" borderId="170" xfId="0" applyNumberFormat="1" applyFont="1" applyFill="1" applyBorder="1" applyAlignment="1">
      <alignment horizontal="right" vertical="center" indent="1"/>
    </xf>
    <xf numFmtId="170" fontId="18" fillId="0" borderId="185" xfId="0" applyNumberFormat="1" applyFont="1" applyFill="1" applyBorder="1" applyAlignment="1">
      <alignment horizontal="right" vertical="center" indent="1"/>
    </xf>
    <xf numFmtId="170" fontId="18" fillId="0" borderId="186" xfId="0" applyNumberFormat="1" applyFont="1" applyFill="1" applyBorder="1" applyAlignment="1">
      <alignment horizontal="right" vertical="center"/>
    </xf>
    <xf numFmtId="170" fontId="18" fillId="0" borderId="185" xfId="0" applyNumberFormat="1" applyFont="1" applyFill="1" applyBorder="1" applyAlignment="1">
      <alignment horizontal="right" vertical="center"/>
    </xf>
    <xf numFmtId="166" fontId="80" fillId="0" borderId="166" xfId="0" applyNumberFormat="1" applyFont="1" applyBorder="1"/>
    <xf numFmtId="0" fontId="61" fillId="0" borderId="169" xfId="0" applyFont="1" applyBorder="1" applyAlignment="1">
      <alignment horizontal="left" vertical="center"/>
    </xf>
    <xf numFmtId="0" fontId="61" fillId="0" borderId="170" xfId="0" applyFont="1" applyBorder="1"/>
    <xf numFmtId="1" fontId="61" fillId="0" borderId="187" xfId="0" applyNumberFormat="1" applyFont="1" applyBorder="1" applyAlignment="1">
      <alignment horizontal="right" vertical="center" indent="1"/>
    </xf>
    <xf numFmtId="3" fontId="61" fillId="0" borderId="175" xfId="0" applyNumberFormat="1" applyFont="1" applyBorder="1" applyAlignment="1">
      <alignment horizontal="right" vertical="center" indent="1"/>
    </xf>
    <xf numFmtId="170" fontId="61" fillId="0" borderId="170" xfId="0" applyNumberFormat="1" applyFont="1" applyBorder="1" applyAlignment="1">
      <alignment horizontal="right" vertical="center"/>
    </xf>
    <xf numFmtId="3" fontId="61" fillId="27" borderId="169" xfId="0" applyNumberFormat="1" applyFont="1" applyFill="1" applyBorder="1" applyAlignment="1">
      <alignment horizontal="right" vertical="center" indent="1"/>
    </xf>
    <xf numFmtId="3" fontId="61" fillId="27" borderId="175" xfId="0" applyNumberFormat="1" applyFont="1" applyFill="1" applyBorder="1" applyAlignment="1">
      <alignment horizontal="right" vertical="center" indent="1"/>
    </xf>
    <xf numFmtId="170" fontId="61" fillId="27" borderId="185" xfId="0" applyNumberFormat="1" applyFont="1" applyFill="1" applyBorder="1" applyAlignment="1">
      <alignment horizontal="right" vertical="center"/>
    </xf>
    <xf numFmtId="1" fontId="61" fillId="0" borderId="169" xfId="0" applyNumberFormat="1" applyFont="1" applyBorder="1" applyAlignment="1">
      <alignment horizontal="right" vertical="center" indent="1"/>
    </xf>
    <xf numFmtId="170" fontId="61" fillId="0" borderId="185" xfId="0" applyNumberFormat="1" applyFont="1" applyBorder="1" applyAlignment="1">
      <alignment horizontal="right" vertical="center"/>
    </xf>
    <xf numFmtId="1" fontId="61" fillId="0" borderId="186" xfId="0" applyNumberFormat="1" applyFont="1" applyBorder="1" applyAlignment="1">
      <alignment horizontal="center" vertical="center"/>
    </xf>
    <xf numFmtId="170" fontId="61" fillId="0" borderId="186" xfId="0" applyNumberFormat="1" applyFont="1" applyBorder="1" applyAlignment="1">
      <alignment horizontal="right" vertical="center"/>
    </xf>
    <xf numFmtId="0" fontId="61" fillId="0" borderId="169" xfId="0" applyFont="1" applyBorder="1" applyAlignment="1">
      <alignment horizontal="center" vertical="center"/>
    </xf>
    <xf numFmtId="1" fontId="61" fillId="0" borderId="175" xfId="0" applyNumberFormat="1" applyFont="1" applyBorder="1" applyAlignment="1">
      <alignment horizontal="center" vertical="center"/>
    </xf>
    <xf numFmtId="169" fontId="61" fillId="0" borderId="170" xfId="0" applyNumberFormat="1" applyFont="1" applyBorder="1" applyAlignment="1">
      <alignment horizontal="center" vertical="center"/>
    </xf>
    <xf numFmtId="0" fontId="61" fillId="0" borderId="187" xfId="0" applyFont="1" applyBorder="1" applyAlignment="1">
      <alignment horizontal="center" vertical="center"/>
    </xf>
    <xf numFmtId="1" fontId="61" fillId="0" borderId="175" xfId="0" applyNumberFormat="1" applyFont="1" applyFill="1" applyBorder="1" applyAlignment="1">
      <alignment horizontal="center" vertical="center"/>
    </xf>
    <xf numFmtId="169" fontId="61" fillId="0" borderId="185" xfId="0" applyNumberFormat="1" applyFont="1" applyBorder="1" applyAlignment="1">
      <alignment horizontal="center" vertical="center"/>
    </xf>
    <xf numFmtId="0" fontId="61" fillId="0" borderId="169" xfId="0" applyFont="1" applyFill="1" applyBorder="1" applyAlignment="1">
      <alignment horizontal="center" vertical="center"/>
    </xf>
    <xf numFmtId="170" fontId="61" fillId="0" borderId="170" xfId="0" applyNumberFormat="1" applyFont="1" applyFill="1" applyBorder="1" applyAlignment="1">
      <alignment horizontal="right" vertical="center"/>
    </xf>
    <xf numFmtId="3" fontId="61" fillId="0" borderId="185" xfId="0" applyNumberFormat="1" applyFont="1" applyFill="1" applyBorder="1" applyAlignment="1">
      <alignment horizontal="right" vertical="center" indent="1"/>
    </xf>
    <xf numFmtId="170" fontId="61" fillId="0" borderId="175" xfId="0" applyNumberFormat="1" applyFont="1" applyFill="1" applyBorder="1" applyAlignment="1">
      <alignment horizontal="right" vertical="center" indent="1"/>
    </xf>
    <xf numFmtId="170" fontId="61" fillId="0" borderId="175" xfId="0" applyNumberFormat="1" applyFont="1" applyFill="1" applyBorder="1" applyAlignment="1">
      <alignment horizontal="right" vertical="center"/>
    </xf>
    <xf numFmtId="170" fontId="61" fillId="0" borderId="170" xfId="0" applyNumberFormat="1" applyFont="1" applyFill="1" applyBorder="1" applyAlignment="1">
      <alignment horizontal="right" vertical="center" indent="1"/>
    </xf>
    <xf numFmtId="3" fontId="61" fillId="0" borderId="175" xfId="0" applyNumberFormat="1" applyFont="1" applyFill="1" applyBorder="1" applyAlignment="1">
      <alignment horizontal="center" vertical="center"/>
    </xf>
    <xf numFmtId="170" fontId="61" fillId="0" borderId="185" xfId="0" applyNumberFormat="1" applyFont="1" applyFill="1" applyBorder="1" applyAlignment="1">
      <alignment horizontal="right" vertical="center" indent="1"/>
    </xf>
    <xf numFmtId="170" fontId="61" fillId="0" borderId="186" xfId="0" applyNumberFormat="1" applyFont="1" applyFill="1" applyBorder="1" applyAlignment="1">
      <alignment horizontal="right" vertical="center"/>
    </xf>
    <xf numFmtId="170" fontId="61" fillId="0" borderId="185" xfId="0" applyNumberFormat="1" applyFont="1" applyFill="1" applyBorder="1" applyAlignment="1">
      <alignment horizontal="right" vertical="center"/>
    </xf>
    <xf numFmtId="169" fontId="61" fillId="0" borderId="169" xfId="0" applyNumberFormat="1" applyFont="1" applyBorder="1" applyAlignment="1">
      <alignment horizontal="right" vertical="center" indent="1"/>
    </xf>
    <xf numFmtId="3" fontId="61" fillId="0" borderId="186" xfId="0" applyNumberFormat="1" applyFont="1" applyBorder="1" applyAlignment="1">
      <alignment horizontal="center" vertical="center"/>
    </xf>
    <xf numFmtId="3" fontId="61" fillId="0" borderId="175" xfId="0" applyNumberFormat="1" applyFont="1" applyBorder="1" applyAlignment="1">
      <alignment horizontal="center" vertical="center"/>
    </xf>
    <xf numFmtId="170" fontId="61" fillId="0" borderId="175" xfId="0" applyNumberFormat="1" applyFont="1" applyBorder="1" applyAlignment="1">
      <alignment horizontal="right" vertical="center"/>
    </xf>
    <xf numFmtId="1" fontId="84" fillId="0" borderId="169" xfId="0" applyNumberFormat="1" applyFont="1" applyFill="1" applyBorder="1" applyAlignment="1">
      <alignment horizontal="center" vertical="center"/>
    </xf>
    <xf numFmtId="3" fontId="84" fillId="0" borderId="175" xfId="0" applyNumberFormat="1" applyFont="1" applyFill="1" applyBorder="1" applyAlignment="1">
      <alignment horizontal="right" vertical="center" indent="1"/>
    </xf>
    <xf numFmtId="170" fontId="84" fillId="0" borderId="170" xfId="0" applyNumberFormat="1" applyFont="1" applyFill="1" applyBorder="1" applyAlignment="1">
      <alignment horizontal="right" vertical="center"/>
    </xf>
    <xf numFmtId="0" fontId="61" fillId="0" borderId="170" xfId="0" applyFont="1" applyBorder="1" applyAlignment="1">
      <alignment wrapText="1"/>
    </xf>
    <xf numFmtId="1" fontId="61" fillId="0" borderId="100" xfId="0" applyNumberFormat="1" applyFont="1" applyBorder="1" applyAlignment="1">
      <alignment horizontal="right" vertical="center" indent="1"/>
    </xf>
    <xf numFmtId="3" fontId="61" fillId="0" borderId="162" xfId="0" applyNumberFormat="1" applyFont="1" applyBorder="1" applyAlignment="1">
      <alignment horizontal="right" vertical="center" indent="1"/>
    </xf>
    <xf numFmtId="3" fontId="61" fillId="27" borderId="162" xfId="0" applyNumberFormat="1" applyFont="1" applyFill="1" applyBorder="1" applyAlignment="1">
      <alignment horizontal="right" vertical="center" indent="1"/>
    </xf>
    <xf numFmtId="170" fontId="61" fillId="27" borderId="163" xfId="0" applyNumberFormat="1" applyFont="1" applyFill="1" applyBorder="1" applyAlignment="1">
      <alignment horizontal="right" vertical="center"/>
    </xf>
    <xf numFmtId="171" fontId="18" fillId="0" borderId="162" xfId="0" applyNumberFormat="1" applyFont="1" applyBorder="1" applyAlignment="1">
      <alignment horizontal="center" vertical="center" wrapText="1"/>
    </xf>
    <xf numFmtId="170" fontId="61" fillId="0" borderId="163" xfId="0" applyNumberFormat="1" applyFont="1" applyBorder="1" applyAlignment="1">
      <alignment horizontal="right" vertical="center"/>
    </xf>
    <xf numFmtId="3" fontId="61" fillId="0" borderId="98" xfId="0" applyNumberFormat="1" applyFont="1" applyBorder="1" applyAlignment="1">
      <alignment horizontal="center" vertical="center"/>
    </xf>
    <xf numFmtId="3" fontId="61" fillId="0" borderId="162" xfId="0" applyNumberFormat="1" applyFont="1" applyBorder="1" applyAlignment="1">
      <alignment horizontal="center" vertical="center"/>
    </xf>
    <xf numFmtId="170" fontId="61" fillId="0" borderId="98" xfId="0" applyNumberFormat="1" applyFont="1" applyBorder="1" applyAlignment="1">
      <alignment horizontal="right" vertical="center"/>
    </xf>
    <xf numFmtId="0" fontId="61" fillId="0" borderId="162" xfId="0" applyFont="1" applyBorder="1" applyAlignment="1">
      <alignment horizontal="center" vertical="center"/>
    </xf>
    <xf numFmtId="0" fontId="61" fillId="0" borderId="100" xfId="0" applyFont="1" applyBorder="1" applyAlignment="1">
      <alignment horizontal="center" vertical="center"/>
    </xf>
    <xf numFmtId="1" fontId="61" fillId="0" borderId="162" xfId="0" applyNumberFormat="1" applyFont="1" applyFill="1" applyBorder="1" applyAlignment="1">
      <alignment horizontal="center" vertical="center"/>
    </xf>
    <xf numFmtId="169" fontId="61" fillId="0" borderId="163" xfId="0" applyNumberFormat="1" applyFont="1" applyBorder="1" applyAlignment="1">
      <alignment horizontal="center" vertical="center"/>
    </xf>
    <xf numFmtId="3" fontId="61" fillId="0" borderId="163" xfId="0" applyNumberFormat="1" applyFont="1" applyFill="1" applyBorder="1" applyAlignment="1">
      <alignment horizontal="right" vertical="center" indent="1"/>
    </xf>
    <xf numFmtId="3" fontId="61" fillId="0" borderId="162" xfId="0" applyNumberFormat="1" applyFont="1" applyFill="1" applyBorder="1" applyAlignment="1">
      <alignment horizontal="center" vertical="center"/>
    </xf>
    <xf numFmtId="170" fontId="18" fillId="0" borderId="163" xfId="0" applyNumberFormat="1" applyFont="1" applyFill="1" applyBorder="1" applyAlignment="1">
      <alignment horizontal="right" vertical="center" indent="1"/>
    </xf>
    <xf numFmtId="170" fontId="61" fillId="0" borderId="163" xfId="0" applyNumberFormat="1" applyFont="1" applyFill="1" applyBorder="1" applyAlignment="1">
      <alignment horizontal="right" vertical="center" indent="1"/>
    </xf>
    <xf numFmtId="170" fontId="61" fillId="0" borderId="163" xfId="0" applyNumberFormat="1" applyFont="1" applyFill="1" applyBorder="1" applyAlignment="1">
      <alignment horizontal="right" vertical="center"/>
    </xf>
    <xf numFmtId="0" fontId="61" fillId="0" borderId="162" xfId="0" applyFont="1" applyFill="1" applyBorder="1" applyAlignment="1">
      <alignment horizontal="center" vertical="center" wrapText="1"/>
    </xf>
    <xf numFmtId="0" fontId="61" fillId="0" borderId="163" xfId="0" applyFont="1" applyFill="1" applyBorder="1" applyAlignment="1">
      <alignment horizontal="center" vertical="center" wrapText="1"/>
    </xf>
    <xf numFmtId="0" fontId="61" fillId="0" borderId="169" xfId="0" applyFont="1" applyFill="1" applyBorder="1" applyAlignment="1">
      <alignment horizontal="center" vertical="center" wrapText="1"/>
    </xf>
    <xf numFmtId="0" fontId="61" fillId="0" borderId="175" xfId="0" applyFont="1" applyFill="1" applyBorder="1" applyAlignment="1">
      <alignment horizontal="center" vertical="center" wrapText="1"/>
    </xf>
    <xf numFmtId="0" fontId="61" fillId="0" borderId="170" xfId="0" applyFont="1" applyFill="1" applyBorder="1" applyAlignment="1">
      <alignment horizontal="center" vertical="center" wrapText="1"/>
    </xf>
    <xf numFmtId="0" fontId="61" fillId="0" borderId="185" xfId="0" applyFont="1" applyFill="1" applyBorder="1" applyAlignment="1">
      <alignment horizontal="center" vertical="center" wrapText="1"/>
    </xf>
    <xf numFmtId="0" fontId="61" fillId="0" borderId="170" xfId="0" applyFont="1" applyFill="1" applyBorder="1" applyAlignment="1">
      <alignment vertical="center"/>
    </xf>
    <xf numFmtId="0" fontId="18" fillId="0" borderId="175" xfId="0" applyFont="1" applyFill="1" applyBorder="1" applyAlignment="1">
      <alignment horizontal="center" vertical="center" wrapText="1"/>
    </xf>
    <xf numFmtId="0" fontId="18" fillId="0" borderId="169" xfId="0" applyFont="1" applyFill="1" applyBorder="1" applyAlignment="1">
      <alignment horizontal="left" vertical="center"/>
    </xf>
    <xf numFmtId="0" fontId="18" fillId="0" borderId="170" xfId="0" applyFont="1" applyFill="1" applyBorder="1" applyAlignment="1">
      <alignment vertical="center" wrapText="1"/>
    </xf>
    <xf numFmtId="1" fontId="18" fillId="0" borderId="187" xfId="0" applyNumberFormat="1" applyFont="1" applyFill="1" applyBorder="1" applyAlignment="1">
      <alignment horizontal="right" vertical="center"/>
    </xf>
    <xf numFmtId="3" fontId="18" fillId="0" borderId="175" xfId="0" applyNumberFormat="1" applyFont="1" applyFill="1" applyBorder="1" applyAlignment="1">
      <alignment horizontal="right" vertical="center"/>
    </xf>
    <xf numFmtId="3" fontId="18" fillId="0" borderId="169" xfId="0" applyNumberFormat="1" applyFont="1" applyFill="1" applyBorder="1" applyAlignment="1">
      <alignment horizontal="right" vertical="center"/>
    </xf>
    <xf numFmtId="1" fontId="18" fillId="0" borderId="169" xfId="0" applyNumberFormat="1" applyFont="1" applyFill="1" applyBorder="1" applyAlignment="1">
      <alignment horizontal="right" vertical="center"/>
    </xf>
    <xf numFmtId="171" fontId="18" fillId="0" borderId="175" xfId="0" applyNumberFormat="1" applyFont="1" applyFill="1" applyBorder="1" applyAlignment="1">
      <alignment horizontal="center" vertical="center" wrapText="1"/>
    </xf>
    <xf numFmtId="10" fontId="61" fillId="0" borderId="175" xfId="85" applyNumberFormat="1" applyFont="1" applyFill="1" applyBorder="1" applyAlignment="1">
      <alignment vertical="center"/>
    </xf>
    <xf numFmtId="170" fontId="18" fillId="0" borderId="169" xfId="0" applyNumberFormat="1" applyFont="1" applyFill="1" applyBorder="1" applyAlignment="1">
      <alignment horizontal="center" vertical="center"/>
    </xf>
    <xf numFmtId="3" fontId="18" fillId="0" borderId="175" xfId="0" applyNumberFormat="1" applyFont="1" applyFill="1" applyBorder="1" applyAlignment="1">
      <alignment horizontal="center" vertical="center"/>
    </xf>
    <xf numFmtId="170" fontId="18" fillId="0" borderId="175" xfId="0" applyNumberFormat="1" applyFont="1" applyFill="1" applyBorder="1" applyAlignment="1">
      <alignment horizontal="center" vertical="center"/>
    </xf>
    <xf numFmtId="0" fontId="61" fillId="0" borderId="185" xfId="0" applyFont="1" applyFill="1" applyBorder="1" applyAlignment="1">
      <alignment vertical="center"/>
    </xf>
    <xf numFmtId="10" fontId="61" fillId="0" borderId="170" xfId="85" applyNumberFormat="1" applyFont="1" applyFill="1" applyBorder="1" applyAlignment="1">
      <alignment vertical="center"/>
    </xf>
    <xf numFmtId="0" fontId="61" fillId="0" borderId="169" xfId="0" applyFont="1" applyFill="1" applyBorder="1" applyAlignment="1">
      <alignment horizontal="left" vertical="center"/>
    </xf>
    <xf numFmtId="0" fontId="61" fillId="0" borderId="170" xfId="0" applyFont="1" applyFill="1" applyBorder="1" applyAlignment="1">
      <alignment vertical="center" wrapText="1"/>
    </xf>
    <xf numFmtId="1" fontId="61" fillId="0" borderId="187" xfId="0" applyNumberFormat="1" applyFont="1" applyFill="1" applyBorder="1" applyAlignment="1">
      <alignment horizontal="right" vertical="center"/>
    </xf>
    <xf numFmtId="3" fontId="61" fillId="0" borderId="175" xfId="0" applyNumberFormat="1" applyFont="1" applyFill="1" applyBorder="1" applyAlignment="1">
      <alignment horizontal="right" vertical="center"/>
    </xf>
    <xf numFmtId="3" fontId="61" fillId="0" borderId="169" xfId="0" applyNumberFormat="1" applyFont="1" applyFill="1" applyBorder="1" applyAlignment="1">
      <alignment horizontal="right" vertical="center"/>
    </xf>
    <xf numFmtId="1" fontId="61" fillId="0" borderId="169" xfId="0" applyNumberFormat="1" applyFont="1" applyFill="1" applyBorder="1" applyAlignment="1">
      <alignment horizontal="right" vertical="center"/>
    </xf>
    <xf numFmtId="169" fontId="61" fillId="0" borderId="169" xfId="0" applyNumberFormat="1" applyFont="1" applyFill="1" applyBorder="1" applyAlignment="1">
      <alignment horizontal="center" vertical="center"/>
    </xf>
    <xf numFmtId="169" fontId="61" fillId="0" borderId="169" xfId="0" applyNumberFormat="1" applyFont="1" applyFill="1" applyBorder="1" applyAlignment="1">
      <alignment horizontal="right" vertical="center"/>
    </xf>
    <xf numFmtId="2" fontId="61" fillId="0" borderId="169" xfId="0" applyNumberFormat="1" applyFont="1" applyFill="1" applyBorder="1" applyAlignment="1">
      <alignment horizontal="center" vertical="center"/>
    </xf>
    <xf numFmtId="171" fontId="61" fillId="0" borderId="170" xfId="85" applyNumberFormat="1" applyFont="1" applyFill="1" applyBorder="1" applyAlignment="1">
      <alignment vertical="center"/>
    </xf>
    <xf numFmtId="1" fontId="61" fillId="0" borderId="169" xfId="0" applyNumberFormat="1" applyFont="1" applyFill="1" applyBorder="1" applyAlignment="1">
      <alignment horizontal="center" vertical="center"/>
    </xf>
    <xf numFmtId="3" fontId="61" fillId="0" borderId="169" xfId="0" applyNumberFormat="1" applyFont="1" applyFill="1" applyBorder="1" applyAlignment="1">
      <alignment horizontal="center" vertical="center"/>
    </xf>
    <xf numFmtId="0" fontId="61" fillId="0" borderId="188" xfId="0" applyFont="1" applyFill="1" applyBorder="1" applyAlignment="1">
      <alignment horizontal="left" vertical="center"/>
    </xf>
    <xf numFmtId="0" fontId="61" fillId="0" borderId="189" xfId="0" applyFont="1" applyFill="1" applyBorder="1" applyAlignment="1">
      <alignment vertical="center" wrapText="1"/>
    </xf>
    <xf numFmtId="1" fontId="61" fillId="0" borderId="178" xfId="0" applyNumberFormat="1" applyFont="1" applyFill="1" applyBorder="1" applyAlignment="1">
      <alignment horizontal="right" vertical="center"/>
    </xf>
    <xf numFmtId="3" fontId="61" fillId="0" borderId="184" xfId="0" applyNumberFormat="1" applyFont="1" applyFill="1" applyBorder="1" applyAlignment="1">
      <alignment horizontal="right" vertical="center"/>
    </xf>
    <xf numFmtId="170" fontId="61" fillId="0" borderId="189" xfId="0" applyNumberFormat="1" applyFont="1" applyFill="1" applyBorder="1" applyAlignment="1">
      <alignment horizontal="right" vertical="center"/>
    </xf>
    <xf numFmtId="3" fontId="61" fillId="0" borderId="188" xfId="0" applyNumberFormat="1" applyFont="1" applyFill="1" applyBorder="1" applyAlignment="1">
      <alignment horizontal="right" vertical="center"/>
    </xf>
    <xf numFmtId="170" fontId="61" fillId="0" borderId="176" xfId="0" applyNumberFormat="1" applyFont="1" applyFill="1" applyBorder="1" applyAlignment="1">
      <alignment horizontal="right" vertical="center"/>
    </xf>
    <xf numFmtId="1" fontId="61" fillId="0" borderId="188" xfId="0" applyNumberFormat="1" applyFont="1" applyFill="1" applyBorder="1" applyAlignment="1">
      <alignment horizontal="right" vertical="center"/>
    </xf>
    <xf numFmtId="171" fontId="18" fillId="0" borderId="184" xfId="0" applyNumberFormat="1" applyFont="1" applyFill="1" applyBorder="1" applyAlignment="1">
      <alignment horizontal="center" vertical="center" wrapText="1"/>
    </xf>
    <xf numFmtId="170" fontId="61" fillId="0" borderId="184" xfId="0" applyNumberFormat="1" applyFont="1" applyFill="1" applyBorder="1" applyAlignment="1">
      <alignment horizontal="right" vertical="center"/>
    </xf>
    <xf numFmtId="10" fontId="61" fillId="0" borderId="184" xfId="85" applyNumberFormat="1" applyFont="1" applyFill="1" applyBorder="1" applyAlignment="1">
      <alignment vertical="center"/>
    </xf>
    <xf numFmtId="0" fontId="61" fillId="0" borderId="189" xfId="0" applyFont="1" applyFill="1" applyBorder="1" applyAlignment="1">
      <alignment vertical="center"/>
    </xf>
    <xf numFmtId="3" fontId="61" fillId="0" borderId="188" xfId="0" applyNumberFormat="1" applyFont="1" applyFill="1" applyBorder="1" applyAlignment="1">
      <alignment horizontal="center" vertical="center"/>
    </xf>
    <xf numFmtId="0" fontId="61" fillId="0" borderId="176" xfId="0" applyFont="1" applyFill="1" applyBorder="1" applyAlignment="1">
      <alignment vertical="center"/>
    </xf>
    <xf numFmtId="171" fontId="61" fillId="0" borderId="189" xfId="85" applyNumberFormat="1" applyFont="1" applyFill="1" applyBorder="1" applyAlignment="1">
      <alignment vertical="center"/>
    </xf>
    <xf numFmtId="2" fontId="61" fillId="0" borderId="188" xfId="0" applyNumberFormat="1" applyFont="1" applyFill="1" applyBorder="1" applyAlignment="1">
      <alignment horizontal="center" vertical="center"/>
    </xf>
    <xf numFmtId="10" fontId="61" fillId="0" borderId="31" xfId="85" applyNumberFormat="1" applyFont="1" applyFill="1" applyBorder="1" applyAlignment="1">
      <alignment vertical="center"/>
    </xf>
    <xf numFmtId="0" fontId="61" fillId="0" borderId="187" xfId="0" applyFont="1" applyFill="1" applyBorder="1" applyAlignment="1">
      <alignment vertical="center"/>
    </xf>
    <xf numFmtId="0" fontId="61" fillId="0" borderId="175" xfId="0" applyFont="1" applyFill="1" applyBorder="1" applyAlignment="1">
      <alignment vertical="center"/>
    </xf>
    <xf numFmtId="0" fontId="61" fillId="0" borderId="169" xfId="0" applyFont="1" applyFill="1" applyBorder="1" applyAlignment="1">
      <alignment vertical="center"/>
    </xf>
    <xf numFmtId="3" fontId="61" fillId="0" borderId="175" xfId="0" applyNumberFormat="1" applyFont="1" applyFill="1" applyBorder="1" applyAlignment="1">
      <alignment vertical="center"/>
    </xf>
    <xf numFmtId="1" fontId="61" fillId="0" borderId="169" xfId="0" applyNumberFormat="1" applyFont="1" applyFill="1" applyBorder="1" applyAlignment="1">
      <alignment vertical="center"/>
    </xf>
    <xf numFmtId="0" fontId="61" fillId="0" borderId="186" xfId="0" applyFont="1" applyFill="1" applyBorder="1" applyAlignment="1">
      <alignment vertical="center"/>
    </xf>
    <xf numFmtId="0" fontId="61" fillId="0" borderId="183" xfId="0" applyFont="1" applyFill="1" applyBorder="1" applyAlignment="1">
      <alignment vertical="center"/>
    </xf>
    <xf numFmtId="10" fontId="61" fillId="0" borderId="187" xfId="85" applyNumberFormat="1" applyFont="1" applyFill="1" applyBorder="1" applyAlignment="1">
      <alignment vertical="center"/>
    </xf>
    <xf numFmtId="0" fontId="61" fillId="0" borderId="162" xfId="0" applyFont="1" applyFill="1" applyBorder="1" applyAlignment="1">
      <alignment vertical="center"/>
    </xf>
    <xf numFmtId="0" fontId="61" fillId="0" borderId="163" xfId="0" applyFont="1" applyFill="1" applyBorder="1" applyAlignment="1">
      <alignment vertical="center"/>
    </xf>
    <xf numFmtId="3" fontId="61" fillId="0" borderId="162" xfId="0" applyNumberFormat="1" applyFont="1" applyFill="1" applyBorder="1" applyAlignment="1">
      <alignment vertical="center"/>
    </xf>
    <xf numFmtId="171" fontId="61" fillId="0" borderId="162" xfId="85" applyNumberFormat="1" applyFont="1" applyFill="1" applyBorder="1" applyAlignment="1">
      <alignment vertical="center"/>
    </xf>
    <xf numFmtId="3" fontId="61" fillId="0" borderId="162" xfId="0" applyNumberFormat="1" applyFont="1" applyFill="1" applyBorder="1" applyAlignment="1">
      <alignment horizontal="right" vertical="center"/>
    </xf>
    <xf numFmtId="10" fontId="61" fillId="0" borderId="162" xfId="85" applyNumberFormat="1" applyFont="1" applyFill="1" applyBorder="1" applyAlignment="1">
      <alignment vertical="center"/>
    </xf>
    <xf numFmtId="10" fontId="61" fillId="0" borderId="100" xfId="85" applyNumberFormat="1" applyFont="1" applyFill="1" applyBorder="1" applyAlignment="1">
      <alignment vertical="center"/>
    </xf>
    <xf numFmtId="169" fontId="15" fillId="0" borderId="175" xfId="0" applyNumberFormat="1" applyFont="1" applyBorder="1" applyAlignment="1">
      <alignment horizontal="center"/>
    </xf>
    <xf numFmtId="10" fontId="104" fillId="0" borderId="0" xfId="85" applyNumberFormat="1" applyFont="1"/>
    <xf numFmtId="0" fontId="14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20" fillId="0" borderId="55" xfId="89" applyFont="1" applyBorder="1" applyAlignment="1">
      <alignment horizontal="right" vertical="top" wrapText="1"/>
    </xf>
    <xf numFmtId="165" fontId="123" fillId="0" borderId="55" xfId="89" applyFont="1" applyBorder="1" applyAlignment="1">
      <alignment horizontal="right" vertical="top" wrapText="1"/>
    </xf>
    <xf numFmtId="0" fontId="58" fillId="0" borderId="0" xfId="0" applyFont="1"/>
    <xf numFmtId="165" fontId="68" fillId="0" borderId="0" xfId="89" applyFont="1"/>
    <xf numFmtId="0" fontId="18" fillId="0" borderId="0" xfId="0" applyFont="1" applyAlignment="1">
      <alignment horizont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49" fillId="38" borderId="191" xfId="96" applyFont="1" applyFill="1" applyBorder="1"/>
    <xf numFmtId="0" fontId="49" fillId="38" borderId="191" xfId="96" applyFont="1" applyFill="1" applyBorder="1" applyAlignment="1">
      <alignment horizont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192" xfId="0" applyFont="1" applyBorder="1" applyAlignment="1">
      <alignment vertical="center" wrapText="1"/>
    </xf>
    <xf numFmtId="0" fontId="14" fillId="0" borderId="192" xfId="0" applyFont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4" fontId="61" fillId="36" borderId="192" xfId="0" applyNumberFormat="1" applyFont="1" applyFill="1" applyBorder="1" applyAlignment="1">
      <alignment horizontal="center" vertical="center"/>
    </xf>
    <xf numFmtId="0" fontId="61" fillId="37" borderId="192" xfId="0" applyFont="1" applyFill="1" applyBorder="1" applyAlignment="1">
      <alignment horizontal="center" vertical="center"/>
    </xf>
    <xf numFmtId="4" fontId="61" fillId="37" borderId="192" xfId="0" applyNumberFormat="1" applyFont="1" applyFill="1" applyBorder="1" applyAlignment="1">
      <alignment horizontal="center" vertical="center"/>
    </xf>
    <xf numFmtId="0" fontId="61" fillId="36" borderId="192" xfId="0" applyFont="1" applyFill="1" applyBorder="1" applyAlignment="1">
      <alignment horizontal="center" vertical="center"/>
    </xf>
    <xf numFmtId="168" fontId="18" fillId="38" borderId="192" xfId="0" applyNumberFormat="1" applyFont="1" applyFill="1" applyBorder="1" applyAlignment="1">
      <alignment horizontal="center" vertical="center"/>
    </xf>
    <xf numFmtId="0" fontId="14" fillId="0" borderId="195" xfId="0" applyFont="1" applyBorder="1" applyAlignment="1">
      <alignment horizontal="center" vertical="center" wrapText="1"/>
    </xf>
    <xf numFmtId="169" fontId="15" fillId="0" borderId="196" xfId="0" applyNumberFormat="1" applyFont="1" applyBorder="1" applyAlignment="1">
      <alignment horizontal="center"/>
    </xf>
    <xf numFmtId="169" fontId="15" fillId="0" borderId="197" xfId="0" applyNumberFormat="1" applyFont="1" applyBorder="1" applyAlignment="1">
      <alignment horizontal="center"/>
    </xf>
    <xf numFmtId="0" fontId="18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7" fillId="0" borderId="0" xfId="0" applyFont="1"/>
    <xf numFmtId="0" fontId="82" fillId="38" borderId="192" xfId="0" applyFont="1" applyFill="1" applyBorder="1" applyAlignment="1">
      <alignment horizontal="center" vertical="center" wrapText="1"/>
    </xf>
    <xf numFmtId="4" fontId="18" fillId="0" borderId="192" xfId="0" applyNumberFormat="1" applyFont="1" applyFill="1" applyBorder="1" applyAlignment="1">
      <alignment horizontal="center" vertical="center" wrapText="1"/>
    </xf>
    <xf numFmtId="171" fontId="62" fillId="0" borderId="192" xfId="85" applyNumberFormat="1" applyFont="1" applyFill="1" applyBorder="1" applyAlignment="1">
      <alignment horizontal="center" vertical="center"/>
    </xf>
    <xf numFmtId="171" fontId="61" fillId="0" borderId="192" xfId="0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 wrapText="1"/>
    </xf>
    <xf numFmtId="171" fontId="62" fillId="0" borderId="192" xfId="0" applyNumberFormat="1" applyFont="1" applyFill="1" applyBorder="1" applyAlignment="1">
      <alignment horizontal="center" vertical="center" wrapText="1"/>
    </xf>
    <xf numFmtId="0" fontId="14" fillId="0" borderId="192" xfId="0" applyFont="1" applyBorder="1" applyAlignment="1">
      <alignment horizontal="center" vertical="center"/>
    </xf>
    <xf numFmtId="4" fontId="14" fillId="0" borderId="192" xfId="0" applyNumberFormat="1" applyFont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/>
    </xf>
    <xf numFmtId="4" fontId="61" fillId="0" borderId="192" xfId="0" applyNumberFormat="1" applyFont="1" applyFill="1" applyBorder="1" applyAlignment="1">
      <alignment horizontal="center" vertical="center" wrapText="1"/>
    </xf>
    <xf numFmtId="10" fontId="62" fillId="0" borderId="192" xfId="85" applyNumberFormat="1" applyFont="1" applyFill="1" applyBorder="1" applyAlignment="1">
      <alignment horizontal="center" vertical="center"/>
    </xf>
    <xf numFmtId="4" fontId="62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3" fillId="0" borderId="192" xfId="0" applyFont="1" applyBorder="1" applyAlignment="1">
      <alignment vertical="center" wrapText="1"/>
    </xf>
    <xf numFmtId="0" fontId="14" fillId="0" borderId="192" xfId="0" applyFont="1" applyBorder="1" applyAlignment="1">
      <alignment vertical="center"/>
    </xf>
    <xf numFmtId="171" fontId="81" fillId="0" borderId="192" xfId="85" applyNumberFormat="1" applyFont="1" applyFill="1" applyBorder="1" applyAlignment="1">
      <alignment horizontal="center" vertical="center"/>
    </xf>
    <xf numFmtId="171" fontId="18" fillId="0" borderId="192" xfId="0" applyNumberFormat="1" applyFont="1" applyFill="1" applyBorder="1" applyAlignment="1">
      <alignment horizontal="center" vertical="center" wrapText="1"/>
    </xf>
    <xf numFmtId="171" fontId="81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vertical="center"/>
    </xf>
    <xf numFmtId="4" fontId="13" fillId="0" borderId="192" xfId="0" applyNumberFormat="1" applyFont="1" applyBorder="1" applyAlignment="1">
      <alignment vertical="center"/>
    </xf>
    <xf numFmtId="0" fontId="79" fillId="38" borderId="192" xfId="0" applyFont="1" applyFill="1" applyBorder="1" applyAlignment="1">
      <alignment vertical="center" wrapText="1"/>
    </xf>
    <xf numFmtId="4" fontId="18" fillId="37" borderId="192" xfId="0" applyNumberFormat="1" applyFont="1" applyFill="1" applyBorder="1" applyAlignment="1">
      <alignment horizontal="center" vertical="center"/>
    </xf>
    <xf numFmtId="4" fontId="61" fillId="42" borderId="192" xfId="0" applyNumberFormat="1" applyFont="1" applyFill="1" applyBorder="1" applyAlignment="1">
      <alignment horizontal="center" vertical="center"/>
    </xf>
    <xf numFmtId="0" fontId="13" fillId="36" borderId="192" xfId="0" applyFont="1" applyFill="1" applyBorder="1" applyAlignment="1">
      <alignment vertical="center" wrapText="1"/>
    </xf>
    <xf numFmtId="2" fontId="14" fillId="36" borderId="192" xfId="0" applyNumberFormat="1" applyFont="1" applyFill="1" applyBorder="1" applyAlignment="1">
      <alignment vertical="center" wrapText="1"/>
    </xf>
    <xf numFmtId="0" fontId="14" fillId="36" borderId="192" xfId="0" applyFont="1" applyFill="1" applyBorder="1" applyAlignment="1">
      <alignment vertical="center"/>
    </xf>
    <xf numFmtId="0" fontId="15" fillId="37" borderId="192" xfId="96" applyFont="1" applyFill="1" applyBorder="1" applyAlignment="1">
      <alignment horizontal="left" vertical="center" wrapText="1" indent="3"/>
    </xf>
    <xf numFmtId="0" fontId="15" fillId="37" borderId="192" xfId="96" applyFont="1" applyFill="1" applyBorder="1" applyAlignment="1">
      <alignment horizontal="center" vertical="center" wrapText="1"/>
    </xf>
    <xf numFmtId="0" fontId="80" fillId="37" borderId="192" xfId="0" applyFont="1" applyFill="1" applyBorder="1" applyAlignment="1">
      <alignment vertical="center"/>
    </xf>
    <xf numFmtId="2" fontId="61" fillId="37" borderId="192" xfId="0" applyNumberFormat="1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vertical="center"/>
    </xf>
    <xf numFmtId="168" fontId="61" fillId="37" borderId="192" xfId="0" applyNumberFormat="1" applyFont="1" applyFill="1" applyBorder="1" applyAlignment="1">
      <alignment horizontal="center" vertical="center"/>
    </xf>
    <xf numFmtId="169" fontId="61" fillId="37" borderId="192" xfId="0" applyNumberFormat="1" applyFont="1" applyFill="1" applyBorder="1" applyAlignment="1">
      <alignment horizontal="center" vertical="center"/>
    </xf>
    <xf numFmtId="1" fontId="61" fillId="37" borderId="192" xfId="0" applyNumberFormat="1" applyFont="1" applyFill="1" applyBorder="1" applyAlignment="1">
      <alignment horizontal="center" vertical="center"/>
    </xf>
    <xf numFmtId="10" fontId="61" fillId="37" borderId="192" xfId="0" applyNumberFormat="1" applyFont="1" applyFill="1" applyBorder="1" applyAlignment="1">
      <alignment horizontal="center" vertical="center"/>
    </xf>
    <xf numFmtId="2" fontId="81" fillId="37" borderId="192" xfId="0" applyNumberFormat="1" applyFont="1" applyFill="1" applyBorder="1" applyAlignment="1">
      <alignment vertical="center"/>
    </xf>
    <xf numFmtId="168" fontId="18" fillId="37" borderId="192" xfId="0" applyNumberFormat="1" applyFont="1" applyFill="1" applyBorder="1" applyAlignment="1">
      <alignment horizontal="center" vertical="center"/>
    </xf>
    <xf numFmtId="169" fontId="18" fillId="37" borderId="192" xfId="0" applyNumberFormat="1" applyFont="1" applyFill="1" applyBorder="1" applyAlignment="1">
      <alignment horizontal="center" vertical="center"/>
    </xf>
    <xf numFmtId="1" fontId="18" fillId="37" borderId="192" xfId="0" applyNumberFormat="1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horizontal="center" vertical="center"/>
    </xf>
    <xf numFmtId="2" fontId="18" fillId="37" borderId="192" xfId="0" applyNumberFormat="1" applyFont="1" applyFill="1" applyBorder="1" applyAlignment="1">
      <alignment vertical="center"/>
    </xf>
    <xf numFmtId="0" fontId="79" fillId="37" borderId="192" xfId="0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vertical="center" wrapText="1"/>
    </xf>
    <xf numFmtId="2" fontId="18" fillId="37" borderId="192" xfId="0" applyNumberFormat="1" applyFont="1" applyFill="1" applyBorder="1" applyAlignment="1">
      <alignment vertical="center" wrapText="1"/>
    </xf>
    <xf numFmtId="167" fontId="61" fillId="37" borderId="192" xfId="0" applyNumberFormat="1" applyFont="1" applyFill="1" applyBorder="1" applyAlignment="1">
      <alignment horizontal="center" vertical="center"/>
    </xf>
    <xf numFmtId="168" fontId="61" fillId="36" borderId="192" xfId="0" applyNumberFormat="1" applyFont="1" applyFill="1" applyBorder="1" applyAlignment="1">
      <alignment horizontal="center" vertical="center"/>
    </xf>
    <xf numFmtId="169" fontId="61" fillId="36" borderId="192" xfId="0" applyNumberFormat="1" applyFont="1" applyFill="1" applyBorder="1" applyAlignment="1">
      <alignment horizontal="center" vertical="center"/>
    </xf>
    <xf numFmtId="2" fontId="61" fillId="36" borderId="192" xfId="0" applyNumberFormat="1" applyFont="1" applyFill="1" applyBorder="1" applyAlignment="1">
      <alignment horizontal="center" vertical="center"/>
    </xf>
    <xf numFmtId="4" fontId="18" fillId="38" borderId="192" xfId="0" applyNumberFormat="1" applyFont="1" applyFill="1" applyBorder="1" applyAlignment="1">
      <alignment horizontal="center" vertical="center"/>
    </xf>
    <xf numFmtId="2" fontId="61" fillId="38" borderId="192" xfId="0" applyNumberFormat="1" applyFont="1" applyFill="1" applyBorder="1" applyAlignment="1">
      <alignment horizontal="center" vertical="center"/>
    </xf>
    <xf numFmtId="2" fontId="18" fillId="38" borderId="192" xfId="0" applyNumberFormat="1" applyFont="1" applyFill="1" applyBorder="1" applyAlignment="1">
      <alignment horizontal="center" vertical="center"/>
    </xf>
    <xf numFmtId="0" fontId="13" fillId="0" borderId="175" xfId="0" applyFont="1" applyBorder="1" applyAlignment="1">
      <alignment horizontal="center" vertical="center" wrapText="1"/>
    </xf>
    <xf numFmtId="0" fontId="14" fillId="0" borderId="175" xfId="0" applyFont="1" applyBorder="1"/>
    <xf numFmtId="4" fontId="14" fillId="0" borderId="175" xfId="0" applyNumberFormat="1" applyFont="1" applyBorder="1"/>
    <xf numFmtId="0" fontId="13" fillId="0" borderId="175" xfId="0" applyFont="1" applyFill="1" applyBorder="1"/>
    <xf numFmtId="0" fontId="13" fillId="0" borderId="175" xfId="0" applyFont="1" applyBorder="1"/>
    <xf numFmtId="4" fontId="13" fillId="0" borderId="175" xfId="0" applyNumberFormat="1" applyFont="1" applyBorder="1" applyAlignment="1">
      <alignment horizontal="center" vertical="center"/>
    </xf>
    <xf numFmtId="0" fontId="14" fillId="0" borderId="175" xfId="0" applyFont="1" applyFill="1" applyBorder="1"/>
    <xf numFmtId="0" fontId="14" fillId="0" borderId="175" xfId="0" applyFont="1" applyBorder="1" applyAlignment="1">
      <alignment horizontal="center" vertical="center"/>
    </xf>
    <xf numFmtId="4" fontId="14" fillId="0" borderId="175" xfId="0" applyNumberFormat="1" applyFont="1" applyBorder="1" applyAlignment="1">
      <alignment horizontal="center" vertical="center"/>
    </xf>
    <xf numFmtId="2" fontId="14" fillId="0" borderId="0" xfId="0" applyNumberFormat="1" applyFont="1"/>
    <xf numFmtId="0" fontId="14" fillId="43" borderId="175" xfId="0" applyFont="1" applyFill="1" applyBorder="1"/>
    <xf numFmtId="4" fontId="14" fillId="43" borderId="175" xfId="0" applyNumberFormat="1" applyFont="1" applyFill="1" applyBorder="1"/>
    <xf numFmtId="0" fontId="17" fillId="0" borderId="0" xfId="0" applyFont="1"/>
    <xf numFmtId="4" fontId="82" fillId="0" borderId="0" xfId="0" applyNumberFormat="1" applyFont="1"/>
    <xf numFmtId="0" fontId="82" fillId="0" borderId="0" xfId="0" applyFont="1"/>
    <xf numFmtId="0" fontId="130" fillId="0" borderId="0" xfId="0" applyFont="1"/>
    <xf numFmtId="0" fontId="82" fillId="0" borderId="0" xfId="0" applyFont="1" applyAlignment="1">
      <alignment horizontal="right"/>
    </xf>
    <xf numFmtId="4" fontId="82" fillId="38" borderId="192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vertical="center"/>
    </xf>
    <xf numFmtId="0" fontId="130" fillId="0" borderId="0" xfId="0" applyFont="1" applyAlignment="1">
      <alignment vertical="center"/>
    </xf>
    <xf numFmtId="0" fontId="82" fillId="38" borderId="192" xfId="0" applyFont="1" applyFill="1" applyBorder="1"/>
    <xf numFmtId="4" fontId="82" fillId="38" borderId="192" xfId="0" applyNumberFormat="1" applyFont="1" applyFill="1" applyBorder="1"/>
    <xf numFmtId="4" fontId="82" fillId="36" borderId="192" xfId="0" applyNumberFormat="1" applyFont="1" applyFill="1" applyBorder="1" applyAlignment="1">
      <alignment horizontal="center" vertical="center"/>
    </xf>
    <xf numFmtId="2" fontId="82" fillId="36" borderId="192" xfId="0" applyNumberFormat="1" applyFont="1" applyFill="1" applyBorder="1" applyAlignment="1">
      <alignment horizontal="center"/>
    </xf>
    <xf numFmtId="4" fontId="82" fillId="38" borderId="192" xfId="0" applyNumberFormat="1" applyFont="1" applyFill="1" applyBorder="1" applyAlignment="1">
      <alignment horizontal="center" vertical="center"/>
    </xf>
    <xf numFmtId="4" fontId="82" fillId="38" borderId="192" xfId="0" applyNumberFormat="1" applyFont="1" applyFill="1" applyBorder="1" applyAlignment="1">
      <alignment horizontal="center" vertical="center" wrapText="1"/>
    </xf>
    <xf numFmtId="171" fontId="14" fillId="0" borderId="0" xfId="85" applyNumberFormat="1" applyFont="1"/>
    <xf numFmtId="4" fontId="14" fillId="0" borderId="0" xfId="0" applyNumberFormat="1" applyFont="1"/>
    <xf numFmtId="0" fontId="14" fillId="0" borderId="192" xfId="0" applyFont="1" applyBorder="1"/>
    <xf numFmtId="4" fontId="14" fillId="0" borderId="192" xfId="0" applyNumberFormat="1" applyFont="1" applyBorder="1" applyAlignment="1">
      <alignment vertical="center" wrapText="1"/>
    </xf>
    <xf numFmtId="4" fontId="13" fillId="0" borderId="192" xfId="0" applyNumberFormat="1" applyFont="1" applyBorder="1" applyAlignment="1">
      <alignment vertical="center" wrapText="1"/>
    </xf>
    <xf numFmtId="4" fontId="14" fillId="0" borderId="192" xfId="0" applyNumberFormat="1" applyFont="1" applyBorder="1" applyAlignment="1">
      <alignment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/>
    </xf>
    <xf numFmtId="0" fontId="13" fillId="38" borderId="192" xfId="0" applyFont="1" applyFill="1" applyBorder="1" applyAlignment="1">
      <alignment vertical="center"/>
    </xf>
    <xf numFmtId="0" fontId="14" fillId="38" borderId="192" xfId="0" applyFont="1" applyFill="1" applyBorder="1" applyAlignment="1">
      <alignment vertical="center" wrapText="1"/>
    </xf>
    <xf numFmtId="0" fontId="13" fillId="38" borderId="192" xfId="0" applyFont="1" applyFill="1" applyBorder="1" applyAlignment="1">
      <alignment vertical="center" wrapText="1"/>
    </xf>
    <xf numFmtId="4" fontId="13" fillId="38" borderId="192" xfId="0" applyNumberFormat="1" applyFont="1" applyFill="1" applyBorder="1" applyAlignment="1">
      <alignment vertical="center"/>
    </xf>
    <xf numFmtId="0" fontId="107" fillId="0" borderId="0" xfId="147" applyFont="1"/>
    <xf numFmtId="0" fontId="107" fillId="0" borderId="0" xfId="147" applyFont="1" applyAlignment="1">
      <alignment vertical="center"/>
    </xf>
    <xf numFmtId="0" fontId="107" fillId="38" borderId="167" xfId="147" applyFont="1" applyFill="1" applyBorder="1" applyAlignment="1">
      <alignment wrapText="1"/>
    </xf>
    <xf numFmtId="0" fontId="107" fillId="38" borderId="167" xfId="147" applyFont="1" applyFill="1" applyBorder="1" applyAlignment="1">
      <alignment horizontal="center" wrapText="1"/>
    </xf>
    <xf numFmtId="4" fontId="107" fillId="38" borderId="167" xfId="147" applyNumberFormat="1" applyFont="1" applyFill="1" applyBorder="1"/>
    <xf numFmtId="4" fontId="107" fillId="38" borderId="175" xfId="147" applyNumberFormat="1" applyFont="1" applyFill="1" applyBorder="1"/>
    <xf numFmtId="0" fontId="107" fillId="38" borderId="175" xfId="147" applyFont="1" applyFill="1" applyBorder="1" applyAlignment="1">
      <alignment wrapText="1"/>
    </xf>
    <xf numFmtId="0" fontId="107" fillId="38" borderId="175" xfId="147" applyFont="1" applyFill="1" applyBorder="1" applyAlignment="1">
      <alignment horizontal="center" wrapText="1"/>
    </xf>
    <xf numFmtId="0" fontId="107" fillId="38" borderId="167" xfId="147" applyFont="1" applyFill="1" applyBorder="1" applyAlignment="1">
      <alignment horizontal="center"/>
    </xf>
    <xf numFmtId="0" fontId="107" fillId="42" borderId="167" xfId="147" applyFont="1" applyFill="1" applyBorder="1" applyAlignment="1">
      <alignment wrapText="1"/>
    </xf>
    <xf numFmtId="0" fontId="107" fillId="42" borderId="167" xfId="147" applyFont="1" applyFill="1" applyBorder="1" applyAlignment="1">
      <alignment horizontal="center" wrapText="1"/>
    </xf>
    <xf numFmtId="4" fontId="107" fillId="42" borderId="167" xfId="147" applyNumberFormat="1" applyFont="1" applyFill="1" applyBorder="1"/>
    <xf numFmtId="0" fontId="107" fillId="42" borderId="167" xfId="147" applyFont="1" applyFill="1" applyBorder="1" applyAlignment="1">
      <alignment horizontal="center"/>
    </xf>
    <xf numFmtId="0" fontId="107" fillId="42" borderId="175" xfId="147" applyFont="1" applyFill="1" applyBorder="1" applyAlignment="1">
      <alignment wrapText="1"/>
    </xf>
    <xf numFmtId="0" fontId="107" fillId="42" borderId="175" xfId="147" applyFont="1" applyFill="1" applyBorder="1" applyAlignment="1">
      <alignment horizontal="center" wrapText="1"/>
    </xf>
    <xf numFmtId="4" fontId="107" fillId="42" borderId="175" xfId="147" applyNumberFormat="1" applyFont="1" applyFill="1" applyBorder="1"/>
    <xf numFmtId="0" fontId="107" fillId="42" borderId="175" xfId="147" applyFont="1" applyFill="1" applyBorder="1" applyAlignment="1">
      <alignment horizontal="center"/>
    </xf>
    <xf numFmtId="4" fontId="107" fillId="42" borderId="167" xfId="148" applyNumberFormat="1" applyFont="1" applyFill="1" applyBorder="1"/>
    <xf numFmtId="0" fontId="107" fillId="42" borderId="167" xfId="147" applyFont="1" applyFill="1" applyBorder="1" applyAlignment="1">
      <alignment vertical="center" wrapText="1"/>
    </xf>
    <xf numFmtId="0" fontId="107" fillId="42" borderId="167" xfId="147" applyFont="1" applyFill="1" applyBorder="1" applyAlignment="1">
      <alignment horizontal="center" vertical="center" wrapText="1"/>
    </xf>
    <xf numFmtId="4" fontId="107" fillId="42" borderId="167" xfId="147" applyNumberFormat="1" applyFont="1" applyFill="1" applyBorder="1" applyAlignment="1">
      <alignment vertical="center"/>
    </xf>
    <xf numFmtId="0" fontId="107" fillId="42" borderId="167" xfId="147" applyFont="1" applyFill="1" applyBorder="1" applyAlignment="1">
      <alignment horizontal="center" vertical="center"/>
    </xf>
    <xf numFmtId="0" fontId="107" fillId="36" borderId="167" xfId="147" applyFont="1" applyFill="1" applyBorder="1" applyAlignment="1">
      <alignment wrapText="1"/>
    </xf>
    <xf numFmtId="0" fontId="107" fillId="36" borderId="167" xfId="147" applyFont="1" applyFill="1" applyBorder="1" applyAlignment="1">
      <alignment horizontal="center" wrapText="1"/>
    </xf>
    <xf numFmtId="4" fontId="107" fillId="36" borderId="167" xfId="147" applyNumberFormat="1" applyFont="1" applyFill="1" applyBorder="1"/>
    <xf numFmtId="0" fontId="107" fillId="36" borderId="167" xfId="147" applyFont="1" applyFill="1" applyBorder="1" applyAlignment="1">
      <alignment horizontal="center"/>
    </xf>
    <xf numFmtId="0" fontId="107" fillId="36" borderId="175" xfId="147" applyFont="1" applyFill="1" applyBorder="1" applyAlignment="1">
      <alignment wrapText="1"/>
    </xf>
    <xf numFmtId="0" fontId="107" fillId="36" borderId="175" xfId="147" applyFont="1" applyFill="1" applyBorder="1" applyAlignment="1">
      <alignment horizontal="center" wrapText="1"/>
    </xf>
    <xf numFmtId="4" fontId="107" fillId="36" borderId="175" xfId="147" applyNumberFormat="1" applyFont="1" applyFill="1" applyBorder="1"/>
    <xf numFmtId="0" fontId="107" fillId="36" borderId="175" xfId="147" applyFont="1" applyFill="1" applyBorder="1" applyAlignment="1">
      <alignment horizontal="center"/>
    </xf>
    <xf numFmtId="4" fontId="107" fillId="36" borderId="167" xfId="148" applyNumberFormat="1" applyFont="1" applyFill="1" applyBorder="1"/>
    <xf numFmtId="0" fontId="107" fillId="36" borderId="167" xfId="147" applyFont="1" applyFill="1" applyBorder="1" applyAlignment="1">
      <alignment vertical="center" wrapText="1"/>
    </xf>
    <xf numFmtId="0" fontId="107" fillId="36" borderId="167" xfId="147" applyFont="1" applyFill="1" applyBorder="1" applyAlignment="1">
      <alignment horizontal="center" vertical="center" wrapText="1"/>
    </xf>
    <xf numFmtId="4" fontId="107" fillId="36" borderId="167" xfId="147" applyNumberFormat="1" applyFont="1" applyFill="1" applyBorder="1" applyAlignment="1">
      <alignment vertical="center"/>
    </xf>
    <xf numFmtId="0" fontId="107" fillId="36" borderId="167" xfId="147" applyFont="1" applyFill="1" applyBorder="1" applyAlignment="1">
      <alignment horizontal="center" vertical="center"/>
    </xf>
    <xf numFmtId="0" fontId="107" fillId="0" borderId="175" xfId="147" applyFont="1" applyBorder="1" applyAlignment="1">
      <alignment horizontal="center" vertical="center"/>
    </xf>
    <xf numFmtId="0" fontId="107" fillId="0" borderId="0" xfId="147" applyFont="1" applyAlignment="1">
      <alignment horizontal="center" vertical="center"/>
    </xf>
    <xf numFmtId="4" fontId="107" fillId="0" borderId="167" xfId="147" applyNumberFormat="1" applyFont="1" applyBorder="1" applyAlignment="1">
      <alignment horizontal="center" vertical="center"/>
    </xf>
    <xf numFmtId="4" fontId="107" fillId="0" borderId="175" xfId="147" applyNumberFormat="1" applyFont="1" applyBorder="1" applyAlignment="1">
      <alignment horizontal="center" vertical="center"/>
    </xf>
    <xf numFmtId="4" fontId="107" fillId="36" borderId="167" xfId="147" applyNumberFormat="1" applyFont="1" applyFill="1" applyBorder="1" applyAlignment="1">
      <alignment horizontal="center" vertical="center"/>
    </xf>
    <xf numFmtId="4" fontId="107" fillId="36" borderId="175" xfId="147" applyNumberFormat="1" applyFont="1" applyFill="1" applyBorder="1" applyAlignment="1">
      <alignment horizontal="center" vertical="center"/>
    </xf>
    <xf numFmtId="4" fontId="107" fillId="36" borderId="167" xfId="148" applyNumberFormat="1" applyFont="1" applyFill="1" applyBorder="1" applyAlignment="1">
      <alignment horizontal="center" vertical="center"/>
    </xf>
    <xf numFmtId="2" fontId="107" fillId="0" borderId="0" xfId="147" applyNumberFormat="1" applyFont="1" applyAlignment="1">
      <alignment horizontal="center" vertical="center"/>
    </xf>
    <xf numFmtId="0" fontId="18" fillId="0" borderId="192" xfId="0" applyFont="1" applyFill="1" applyBorder="1" applyAlignment="1">
      <alignment horizontal="center" vertical="center"/>
    </xf>
    <xf numFmtId="169" fontId="18" fillId="0" borderId="192" xfId="0" applyNumberFormat="1" applyFont="1" applyFill="1" applyBorder="1" applyAlignment="1">
      <alignment horizontal="center" vertical="center"/>
    </xf>
    <xf numFmtId="169" fontId="81" fillId="0" borderId="192" xfId="0" applyNumberFormat="1" applyFont="1" applyFill="1" applyBorder="1" applyAlignment="1">
      <alignment horizontal="center" vertical="center"/>
    </xf>
    <xf numFmtId="169" fontId="62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10" fontId="61" fillId="0" borderId="192" xfId="85" applyNumberFormat="1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/>
    </xf>
    <xf numFmtId="171" fontId="61" fillId="0" borderId="192" xfId="85" applyNumberFormat="1" applyFont="1" applyFill="1" applyBorder="1" applyAlignment="1">
      <alignment horizontal="center" vertical="center"/>
    </xf>
    <xf numFmtId="171" fontId="18" fillId="0" borderId="192" xfId="85" applyNumberFormat="1" applyFont="1" applyFill="1" applyBorder="1" applyAlignment="1">
      <alignment horizontal="center" vertical="center"/>
    </xf>
    <xf numFmtId="0" fontId="15" fillId="0" borderId="0" xfId="0" applyFont="1"/>
    <xf numFmtId="0" fontId="14" fillId="0" borderId="202" xfId="0" applyFont="1" applyBorder="1" applyAlignment="1">
      <alignment horizontal="center" vertical="center" wrapText="1"/>
    </xf>
    <xf numFmtId="169" fontId="15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4" fillId="38" borderId="192" xfId="0" applyFont="1" applyFill="1" applyBorder="1" applyAlignment="1">
      <alignment horizontal="center" vertical="center" wrapText="1"/>
    </xf>
    <xf numFmtId="169" fontId="16" fillId="0" borderId="192" xfId="0" applyNumberFormat="1" applyFont="1" applyFill="1" applyBorder="1" applyAlignment="1">
      <alignment horizontal="center" vertical="center"/>
    </xf>
    <xf numFmtId="0" fontId="14" fillId="38" borderId="206" xfId="0" applyFont="1" applyFill="1" applyBorder="1" applyAlignment="1">
      <alignment horizontal="center" vertical="center" wrapText="1"/>
    </xf>
    <xf numFmtId="4" fontId="13" fillId="38" borderId="192" xfId="0" applyNumberFormat="1" applyFont="1" applyFill="1" applyBorder="1" applyAlignment="1">
      <alignment horizontal="center" vertical="center"/>
    </xf>
    <xf numFmtId="4" fontId="14" fillId="38" borderId="192" xfId="0" applyNumberFormat="1" applyFont="1" applyFill="1" applyBorder="1" applyAlignment="1">
      <alignment horizontal="center" vertical="center"/>
    </xf>
    <xf numFmtId="4" fontId="14" fillId="36" borderId="192" xfId="0" applyNumberFormat="1" applyFont="1" applyFill="1" applyBorder="1" applyAlignment="1">
      <alignment horizontal="center" vertical="center"/>
    </xf>
    <xf numFmtId="0" fontId="13" fillId="36" borderId="192" xfId="0" applyFont="1" applyFill="1" applyBorder="1" applyAlignment="1">
      <alignment vertical="center"/>
    </xf>
    <xf numFmtId="4" fontId="13" fillId="36" borderId="192" xfId="0" applyNumberFormat="1" applyFont="1" applyFill="1" applyBorder="1" applyAlignment="1">
      <alignment vertical="center"/>
    </xf>
    <xf numFmtId="4" fontId="14" fillId="36" borderId="192" xfId="0" applyNumberFormat="1" applyFont="1" applyFill="1" applyBorder="1" applyAlignment="1">
      <alignment vertical="center" wrapText="1"/>
    </xf>
    <xf numFmtId="4" fontId="14" fillId="36" borderId="192" xfId="0" applyNumberFormat="1" applyFont="1" applyFill="1" applyBorder="1" applyAlignment="1">
      <alignment vertical="center"/>
    </xf>
    <xf numFmtId="178" fontId="14" fillId="36" borderId="192" xfId="0" applyNumberFormat="1" applyFont="1" applyFill="1" applyBorder="1" applyAlignment="1">
      <alignment vertical="center" wrapText="1"/>
    </xf>
    <xf numFmtId="178" fontId="13" fillId="38" borderId="192" xfId="0" applyNumberFormat="1" applyFont="1" applyFill="1" applyBorder="1" applyAlignment="1">
      <alignment vertical="center" wrapText="1"/>
    </xf>
    <xf numFmtId="0" fontId="14" fillId="38" borderId="192" xfId="0" applyFont="1" applyFill="1" applyBorder="1"/>
    <xf numFmtId="4" fontId="14" fillId="38" borderId="192" xfId="0" applyNumberFormat="1" applyFont="1" applyFill="1" applyBorder="1"/>
    <xf numFmtId="2" fontId="14" fillId="38" borderId="192" xfId="0" applyNumberFormat="1" applyFont="1" applyFill="1" applyBorder="1"/>
    <xf numFmtId="0" fontId="14" fillId="36" borderId="192" xfId="0" applyFont="1" applyFill="1" applyBorder="1"/>
    <xf numFmtId="171" fontId="14" fillId="36" borderId="192" xfId="85" applyNumberFormat="1" applyFont="1" applyFill="1" applyBorder="1"/>
    <xf numFmtId="4" fontId="14" fillId="36" borderId="192" xfId="0" applyNumberFormat="1" applyFont="1" applyFill="1" applyBorder="1"/>
    <xf numFmtId="2" fontId="14" fillId="36" borderId="192" xfId="0" applyNumberFormat="1" applyFont="1" applyFill="1" applyBorder="1"/>
    <xf numFmtId="168" fontId="14" fillId="36" borderId="192" xfId="0" applyNumberFormat="1" applyFont="1" applyFill="1" applyBorder="1"/>
    <xf numFmtId="4" fontId="13" fillId="36" borderId="192" xfId="0" applyNumberFormat="1" applyFont="1" applyFill="1" applyBorder="1"/>
    <xf numFmtId="0" fontId="14" fillId="38" borderId="192" xfId="0" applyFont="1" applyFill="1" applyBorder="1" applyAlignment="1">
      <alignment horizontal="center"/>
    </xf>
    <xf numFmtId="4" fontId="15" fillId="36" borderId="192" xfId="0" applyNumberFormat="1" applyFont="1" applyFill="1" applyBorder="1"/>
    <xf numFmtId="0" fontId="15" fillId="36" borderId="192" xfId="0" applyFont="1" applyFill="1" applyBorder="1"/>
    <xf numFmtId="0" fontId="15" fillId="38" borderId="192" xfId="0" applyFont="1" applyFill="1" applyBorder="1" applyAlignment="1">
      <alignment horizontal="right"/>
    </xf>
    <xf numFmtId="4" fontId="15" fillId="36" borderId="192" xfId="0" applyNumberFormat="1" applyFont="1" applyFill="1" applyBorder="1" applyAlignment="1">
      <alignment horizontal="right"/>
    </xf>
    <xf numFmtId="0" fontId="15" fillId="36" borderId="192" xfId="0" applyFont="1" applyFill="1" applyBorder="1" applyAlignment="1">
      <alignment horizontal="right"/>
    </xf>
    <xf numFmtId="0" fontId="15" fillId="0" borderId="0" xfId="0" applyFont="1" applyAlignment="1">
      <alignment horizontal="right"/>
    </xf>
    <xf numFmtId="2" fontId="15" fillId="36" borderId="192" xfId="0" applyNumberFormat="1" applyFont="1" applyFill="1" applyBorder="1" applyAlignment="1">
      <alignment horizontal="right"/>
    </xf>
    <xf numFmtId="0" fontId="15" fillId="38" borderId="192" xfId="0" applyFont="1" applyFill="1" applyBorder="1" applyAlignment="1">
      <alignment horizontal="right" vertical="center"/>
    </xf>
    <xf numFmtId="4" fontId="15" fillId="36" borderId="192" xfId="0" applyNumberFormat="1" applyFont="1" applyFill="1" applyBorder="1" applyAlignment="1">
      <alignment vertical="center"/>
    </xf>
    <xf numFmtId="2" fontId="15" fillId="36" borderId="192" xfId="0" applyNumberFormat="1" applyFont="1" applyFill="1" applyBorder="1"/>
    <xf numFmtId="2" fontId="14" fillId="36" borderId="192" xfId="0" applyNumberFormat="1" applyFont="1" applyFill="1" applyBorder="1" applyAlignment="1">
      <alignment vertical="center"/>
    </xf>
    <xf numFmtId="0" fontId="14" fillId="38" borderId="192" xfId="0" applyFont="1" applyFill="1" applyBorder="1" applyAlignment="1">
      <alignment horizontal="center" vertical="center"/>
    </xf>
    <xf numFmtId="4" fontId="14" fillId="42" borderId="192" xfId="0" applyNumberFormat="1" applyFont="1" applyFill="1" applyBorder="1"/>
    <xf numFmtId="0" fontId="56" fillId="0" borderId="0" xfId="0" applyFont="1"/>
    <xf numFmtId="171" fontId="56" fillId="0" borderId="0" xfId="85" applyNumberFormat="1" applyFont="1"/>
    <xf numFmtId="9" fontId="56" fillId="0" borderId="0" xfId="85" applyFont="1"/>
    <xf numFmtId="0" fontId="49" fillId="27" borderId="192" xfId="0" applyFont="1" applyFill="1" applyBorder="1"/>
    <xf numFmtId="0" fontId="49" fillId="27" borderId="192" xfId="0" applyFont="1" applyFill="1" applyBorder="1" applyAlignment="1">
      <alignment horizontal="center" vertical="center"/>
    </xf>
    <xf numFmtId="0" fontId="49" fillId="27" borderId="192" xfId="0" applyFont="1" applyFill="1" applyBorder="1" applyAlignment="1">
      <alignment horizontal="center"/>
    </xf>
    <xf numFmtId="0" fontId="49" fillId="44" borderId="192" xfId="0" applyFont="1" applyFill="1" applyBorder="1" applyAlignment="1">
      <alignment horizontal="center" vertical="center"/>
    </xf>
    <xf numFmtId="168" fontId="49" fillId="44" borderId="192" xfId="0" applyNumberFormat="1" applyFont="1" applyFill="1" applyBorder="1" applyAlignment="1">
      <alignment horizontal="center" vertical="center"/>
    </xf>
    <xf numFmtId="168" fontId="49" fillId="44" borderId="0" xfId="0" applyNumberFormat="1" applyFont="1" applyFill="1" applyAlignment="1">
      <alignment horizontal="center"/>
    </xf>
    <xf numFmtId="2" fontId="49" fillId="44" borderId="192" xfId="0" applyNumberFormat="1" applyFont="1" applyFill="1" applyBorder="1" applyAlignment="1">
      <alignment horizontal="center" vertical="center"/>
    </xf>
    <xf numFmtId="0" fontId="24" fillId="27" borderId="192" xfId="0" applyFont="1" applyFill="1" applyBorder="1" applyAlignment="1">
      <alignment horizontal="left" vertical="center" wrapText="1"/>
    </xf>
    <xf numFmtId="168" fontId="49" fillId="44" borderId="205" xfId="0" applyNumberFormat="1" applyFont="1" applyFill="1" applyBorder="1" applyAlignment="1">
      <alignment horizontal="center" vertical="center"/>
    </xf>
    <xf numFmtId="2" fontId="49" fillId="44" borderId="205" xfId="0" applyNumberFormat="1" applyFont="1" applyFill="1" applyBorder="1" applyAlignment="1">
      <alignment horizontal="center" vertical="center"/>
    </xf>
    <xf numFmtId="0" fontId="14" fillId="27" borderId="192" xfId="0" applyFont="1" applyFill="1" applyBorder="1" applyAlignment="1">
      <alignment horizontal="center" vertical="center" wrapText="1"/>
    </xf>
    <xf numFmtId="0" fontId="49" fillId="27" borderId="192" xfId="0" applyFont="1" applyFill="1" applyBorder="1" applyAlignment="1">
      <alignment horizontal="center" vertical="center"/>
    </xf>
    <xf numFmtId="168" fontId="49" fillId="44" borderId="205" xfId="85" applyNumberFormat="1" applyFont="1" applyFill="1" applyBorder="1" applyAlignment="1">
      <alignment horizontal="center" vertical="center"/>
    </xf>
    <xf numFmtId="168" fontId="49" fillId="27" borderId="192" xfId="0" applyNumberFormat="1" applyFont="1" applyFill="1" applyBorder="1" applyAlignment="1">
      <alignment horizontal="center" vertical="center"/>
    </xf>
    <xf numFmtId="2" fontId="49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4" fillId="27" borderId="203" xfId="0" applyFont="1" applyFill="1" applyBorder="1" applyAlignment="1">
      <alignment horizontal="center" vertical="center" wrapText="1"/>
    </xf>
    <xf numFmtId="0" fontId="14" fillId="27" borderId="203" xfId="0" applyFont="1" applyFill="1" applyBorder="1" applyAlignment="1">
      <alignment horizontal="center" vertical="center"/>
    </xf>
    <xf numFmtId="0" fontId="14" fillId="27" borderId="11" xfId="0" applyFont="1" applyFill="1" applyBorder="1" applyAlignment="1">
      <alignment horizontal="left" vertical="center" wrapText="1"/>
    </xf>
    <xf numFmtId="0" fontId="14" fillId="27" borderId="11" xfId="0" applyFont="1" applyFill="1" applyBorder="1" applyAlignment="1">
      <alignment horizontal="center" vertical="center" wrapText="1"/>
    </xf>
    <xf numFmtId="4" fontId="14" fillId="27" borderId="203" xfId="0" applyNumberFormat="1" applyFont="1" applyFill="1" applyBorder="1" applyAlignment="1">
      <alignment horizontal="center" vertical="center" wrapText="1"/>
    </xf>
    <xf numFmtId="9" fontId="14" fillId="27" borderId="203" xfId="0" applyNumberFormat="1" applyFont="1" applyFill="1" applyBorder="1" applyAlignment="1">
      <alignment horizontal="center" vertical="center"/>
    </xf>
    <xf numFmtId="168" fontId="14" fillId="27" borderId="203" xfId="0" applyNumberFormat="1" applyFont="1" applyFill="1" applyBorder="1" applyAlignment="1">
      <alignment horizontal="center" vertical="center"/>
    </xf>
    <xf numFmtId="178" fontId="14" fillId="27" borderId="203" xfId="0" applyNumberFormat="1" applyFont="1" applyFill="1" applyBorder="1" applyAlignment="1">
      <alignment horizontal="center" vertical="center"/>
    </xf>
    <xf numFmtId="0" fontId="14" fillId="27" borderId="203" xfId="0" applyFont="1" applyFill="1" applyBorder="1" applyAlignment="1">
      <alignment horizontal="left" vertical="center" wrapText="1"/>
    </xf>
    <xf numFmtId="9" fontId="14" fillId="27" borderId="203" xfId="85" applyFont="1" applyFill="1" applyBorder="1" applyAlignment="1">
      <alignment horizontal="center" vertical="center"/>
    </xf>
    <xf numFmtId="2" fontId="14" fillId="27" borderId="203" xfId="0" applyNumberFormat="1" applyFont="1" applyFill="1" applyBorder="1" applyAlignment="1">
      <alignment horizontal="center" vertical="center"/>
    </xf>
    <xf numFmtId="0" fontId="14" fillId="27" borderId="203" xfId="0" applyFont="1" applyFill="1" applyBorder="1" applyAlignment="1">
      <alignment horizontal="left" vertical="center" wrapText="1" indent="1"/>
    </xf>
    <xf numFmtId="4" fontId="14" fillId="45" borderId="203" xfId="0" applyNumberFormat="1" applyFont="1" applyFill="1" applyBorder="1" applyAlignment="1">
      <alignment horizontal="center" vertical="center" wrapText="1"/>
    </xf>
    <xf numFmtId="9" fontId="14" fillId="45" borderId="203" xfId="85" applyFont="1" applyFill="1" applyBorder="1" applyAlignment="1">
      <alignment horizontal="center" vertical="center"/>
    </xf>
    <xf numFmtId="168" fontId="14" fillId="45" borderId="203" xfId="0" applyNumberFormat="1" applyFont="1" applyFill="1" applyBorder="1" applyAlignment="1">
      <alignment horizontal="center" vertical="center"/>
    </xf>
    <xf numFmtId="178" fontId="14" fillId="45" borderId="203" xfId="0" applyNumberFormat="1" applyFont="1" applyFill="1" applyBorder="1" applyAlignment="1">
      <alignment horizontal="center" vertical="center"/>
    </xf>
    <xf numFmtId="2" fontId="14" fillId="45" borderId="203" xfId="0" applyNumberFormat="1" applyFont="1" applyFill="1" applyBorder="1" applyAlignment="1">
      <alignment horizontal="center" vertical="center"/>
    </xf>
    <xf numFmtId="0" fontId="14" fillId="27" borderId="203" xfId="0" applyFont="1" applyFill="1" applyBorder="1" applyAlignment="1">
      <alignment horizontal="left" vertical="center" wrapText="1" indent="2"/>
    </xf>
    <xf numFmtId="4" fontId="14" fillId="44" borderId="203" xfId="0" applyNumberFormat="1" applyFont="1" applyFill="1" applyBorder="1" applyAlignment="1">
      <alignment horizontal="center" vertical="center" wrapText="1"/>
    </xf>
    <xf numFmtId="9" fontId="14" fillId="44" borderId="203" xfId="85" applyFont="1" applyFill="1" applyBorder="1" applyAlignment="1">
      <alignment horizontal="center" vertical="center"/>
    </xf>
    <xf numFmtId="168" fontId="14" fillId="44" borderId="203" xfId="0" applyNumberFormat="1" applyFont="1" applyFill="1" applyBorder="1" applyAlignment="1">
      <alignment horizontal="center" vertical="center"/>
    </xf>
    <xf numFmtId="178" fontId="14" fillId="44" borderId="203" xfId="0" applyNumberFormat="1" applyFont="1" applyFill="1" applyBorder="1" applyAlignment="1">
      <alignment horizontal="center" vertical="center"/>
    </xf>
    <xf numFmtId="2" fontId="14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4" fillId="0" borderId="0" xfId="0" applyFont="1" applyAlignment="1">
      <alignment horizontal="center" vertical="center" wrapText="1"/>
    </xf>
    <xf numFmtId="169" fontId="14" fillId="36" borderId="192" xfId="0" applyNumberFormat="1" applyFont="1" applyFill="1" applyBorder="1"/>
    <xf numFmtId="4" fontId="14" fillId="42" borderId="192" xfId="0" applyNumberFormat="1" applyFont="1" applyFill="1" applyBorder="1" applyAlignment="1">
      <alignment vertical="center"/>
    </xf>
    <xf numFmtId="4" fontId="14" fillId="38" borderId="192" xfId="0" applyNumberFormat="1" applyFont="1" applyFill="1" applyBorder="1" applyAlignment="1">
      <alignment vertical="center"/>
    </xf>
    <xf numFmtId="4" fontId="14" fillId="27" borderId="192" xfId="0" applyNumberFormat="1" applyFont="1" applyFill="1" applyBorder="1" applyAlignment="1">
      <alignment horizontal="center"/>
    </xf>
    <xf numFmtId="0" fontId="14" fillId="27" borderId="192" xfId="0" applyFont="1" applyFill="1" applyBorder="1" applyAlignment="1">
      <alignment horizontal="center"/>
    </xf>
    <xf numFmtId="4" fontId="13" fillId="27" borderId="192" xfId="0" applyNumberFormat="1" applyFont="1" applyFill="1" applyBorder="1" applyAlignment="1">
      <alignment horizontal="center"/>
    </xf>
    <xf numFmtId="0" fontId="14" fillId="27" borderId="192" xfId="0" applyFont="1" applyFill="1" applyBorder="1" applyAlignment="1">
      <alignment horizontal="center" vertical="center"/>
    </xf>
    <xf numFmtId="4" fontId="13" fillId="27" borderId="192" xfId="0" applyNumberFormat="1" applyFont="1" applyFill="1" applyBorder="1" applyAlignment="1">
      <alignment horizontal="center" vertical="center"/>
    </xf>
    <xf numFmtId="4" fontId="14" fillId="27" borderId="192" xfId="0" applyNumberFormat="1" applyFont="1" applyFill="1" applyBorder="1" applyAlignment="1">
      <alignment horizontal="center" vertical="center"/>
    </xf>
    <xf numFmtId="0" fontId="13" fillId="27" borderId="192" xfId="0" applyFont="1" applyFill="1" applyBorder="1" applyAlignment="1">
      <alignment horizontal="center" vertical="center"/>
    </xf>
    <xf numFmtId="0" fontId="13" fillId="38" borderId="192" xfId="0" applyFont="1" applyFill="1" applyBorder="1"/>
    <xf numFmtId="0" fontId="13" fillId="38" borderId="192" xfId="0" applyFont="1" applyFill="1" applyBorder="1" applyAlignment="1">
      <alignment wrapText="1"/>
    </xf>
    <xf numFmtId="2" fontId="14" fillId="36" borderId="192" xfId="0" applyNumberFormat="1" applyFont="1" applyFill="1" applyBorder="1" applyAlignment="1">
      <alignment horizontal="center"/>
    </xf>
    <xf numFmtId="174" fontId="14" fillId="36" borderId="192" xfId="0" applyNumberFormat="1" applyFont="1" applyFill="1" applyBorder="1" applyAlignment="1">
      <alignment horizontal="center"/>
    </xf>
    <xf numFmtId="4" fontId="14" fillId="36" borderId="192" xfId="0" applyNumberFormat="1" applyFont="1" applyFill="1" applyBorder="1" applyAlignment="1">
      <alignment horizontal="center"/>
    </xf>
    <xf numFmtId="0" fontId="14" fillId="36" borderId="192" xfId="0" applyFont="1" applyFill="1" applyBorder="1" applyAlignment="1">
      <alignment horizontal="center"/>
    </xf>
    <xf numFmtId="174" fontId="15" fillId="36" borderId="192" xfId="0" applyNumberFormat="1" applyFont="1" applyFill="1" applyBorder="1" applyAlignment="1">
      <alignment horizontal="center"/>
    </xf>
    <xf numFmtId="168" fontId="14" fillId="36" borderId="192" xfId="0" applyNumberFormat="1" applyFont="1" applyFill="1" applyBorder="1" applyAlignment="1">
      <alignment horizontal="center"/>
    </xf>
    <xf numFmtId="0" fontId="13" fillId="38" borderId="213" xfId="0" applyFont="1" applyFill="1" applyBorder="1" applyAlignment="1">
      <alignment horizontal="center" vertical="center" wrapText="1"/>
    </xf>
    <xf numFmtId="2" fontId="14" fillId="37" borderId="192" xfId="0" applyNumberFormat="1" applyFont="1" applyFill="1" applyBorder="1" applyAlignment="1">
      <alignment horizontal="center" vertical="center"/>
    </xf>
    <xf numFmtId="2" fontId="14" fillId="37" borderId="192" xfId="0" applyNumberFormat="1" applyFont="1" applyFill="1" applyBorder="1" applyAlignment="1">
      <alignment horizontal="center" vertical="center" wrapText="1"/>
    </xf>
    <xf numFmtId="2" fontId="14" fillId="37" borderId="192" xfId="0" applyNumberFormat="1" applyFont="1" applyFill="1" applyBorder="1" applyAlignment="1">
      <alignment vertical="center"/>
    </xf>
    <xf numFmtId="168" fontId="14" fillId="37" borderId="192" xfId="0" applyNumberFormat="1" applyFont="1" applyFill="1" applyBorder="1" applyAlignment="1">
      <alignment horizontal="center" vertical="center"/>
    </xf>
    <xf numFmtId="0" fontId="14" fillId="37" borderId="192" xfId="0" applyFont="1" applyFill="1" applyBorder="1" applyAlignment="1">
      <alignment horizontal="center" vertical="center"/>
    </xf>
    <xf numFmtId="4" fontId="14" fillId="37" borderId="192" xfId="0" applyNumberFormat="1" applyFont="1" applyFill="1" applyBorder="1" applyAlignment="1">
      <alignment horizontal="center" vertical="center"/>
    </xf>
    <xf numFmtId="168" fontId="14" fillId="36" borderId="192" xfId="0" applyNumberFormat="1" applyFont="1" applyFill="1" applyBorder="1" applyAlignment="1">
      <alignment horizontal="center" vertical="center"/>
    </xf>
    <xf numFmtId="169" fontId="14" fillId="36" borderId="192" xfId="0" applyNumberFormat="1" applyFont="1" applyFill="1" applyBorder="1" applyAlignment="1">
      <alignment horizontal="center" vertical="center"/>
    </xf>
    <xf numFmtId="2" fontId="14" fillId="36" borderId="192" xfId="0" applyNumberFormat="1" applyFont="1" applyFill="1" applyBorder="1" applyAlignment="1">
      <alignment horizontal="center" vertical="center"/>
    </xf>
    <xf numFmtId="4" fontId="14" fillId="42" borderId="192" xfId="0" applyNumberFormat="1" applyFont="1" applyFill="1" applyBorder="1" applyAlignment="1">
      <alignment horizontal="center" vertical="center"/>
    </xf>
    <xf numFmtId="2" fontId="16" fillId="37" borderId="192" xfId="0" applyNumberFormat="1" applyFont="1" applyFill="1" applyBorder="1" applyAlignment="1">
      <alignment vertical="center"/>
    </xf>
    <xf numFmtId="168" fontId="13" fillId="38" borderId="192" xfId="0" applyNumberFormat="1" applyFont="1" applyFill="1" applyBorder="1" applyAlignment="1">
      <alignment horizontal="center" vertical="center"/>
    </xf>
    <xf numFmtId="2" fontId="14" fillId="38" borderId="192" xfId="0" applyNumberFormat="1" applyFont="1" applyFill="1" applyBorder="1" applyAlignment="1">
      <alignment horizontal="center" vertical="center"/>
    </xf>
    <xf numFmtId="2" fontId="13" fillId="38" borderId="192" xfId="0" applyNumberFormat="1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vertical="center"/>
    </xf>
    <xf numFmtId="2" fontId="14" fillId="37" borderId="192" xfId="0" applyNumberFormat="1" applyFont="1" applyFill="1" applyBorder="1" applyAlignment="1">
      <alignment vertical="center" wrapText="1"/>
    </xf>
    <xf numFmtId="0" fontId="14" fillId="36" borderId="192" xfId="0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vertical="center" wrapText="1"/>
    </xf>
    <xf numFmtId="0" fontId="14" fillId="0" borderId="0" xfId="0" applyFont="1" applyAlignment="1">
      <alignment horizontal="left"/>
    </xf>
    <xf numFmtId="168" fontId="14" fillId="38" borderId="192" xfId="0" applyNumberFormat="1" applyFont="1" applyFill="1" applyBorder="1" applyAlignment="1">
      <alignment horizontal="center" vertical="center"/>
    </xf>
    <xf numFmtId="0" fontId="49" fillId="37" borderId="0" xfId="96" applyFont="1" applyFill="1"/>
    <xf numFmtId="4" fontId="118" fillId="36" borderId="192" xfId="0" applyNumberFormat="1" applyFont="1" applyFill="1" applyBorder="1"/>
    <xf numFmtId="0" fontId="14" fillId="38" borderId="205" xfId="0" applyFont="1" applyFill="1" applyBorder="1"/>
    <xf numFmtId="4" fontId="14" fillId="36" borderId="205" xfId="0" applyNumberFormat="1" applyFont="1" applyFill="1" applyBorder="1"/>
    <xf numFmtId="0" fontId="14" fillId="38" borderId="220" xfId="0" applyFont="1" applyFill="1" applyBorder="1"/>
    <xf numFmtId="4" fontId="14" fillId="36" borderId="221" xfId="0" applyNumberFormat="1" applyFont="1" applyFill="1" applyBorder="1"/>
    <xf numFmtId="0" fontId="14" fillId="38" borderId="222" xfId="0" applyFont="1" applyFill="1" applyBorder="1"/>
    <xf numFmtId="4" fontId="14" fillId="36" borderId="223" xfId="0" applyNumberFormat="1" applyFont="1" applyFill="1" applyBorder="1"/>
    <xf numFmtId="4" fontId="14" fillId="36" borderId="224" xfId="0" applyNumberFormat="1" applyFont="1" applyFill="1" applyBorder="1"/>
    <xf numFmtId="4" fontId="14" fillId="37" borderId="192" xfId="0" applyNumberFormat="1" applyFont="1" applyFill="1" applyBorder="1" applyAlignment="1">
      <alignment vertical="center"/>
    </xf>
    <xf numFmtId="0" fontId="14" fillId="37" borderId="205" xfId="0" applyFont="1" applyFill="1" applyBorder="1" applyAlignment="1">
      <alignment horizontal="center"/>
    </xf>
    <xf numFmtId="0" fontId="14" fillId="38" borderId="206" xfId="0" applyFont="1" applyFill="1" applyBorder="1" applyAlignment="1">
      <alignment horizontal="center" vertical="center"/>
    </xf>
    <xf numFmtId="0" fontId="14" fillId="0" borderId="0" xfId="0" applyFont="1" applyAlignment="1">
      <alignment horizontal="right"/>
    </xf>
    <xf numFmtId="0" fontId="14" fillId="38" borderId="192" xfId="0" applyFont="1" applyFill="1" applyBorder="1" applyAlignment="1">
      <alignment horizontal="right"/>
    </xf>
    <xf numFmtId="0" fontId="14" fillId="0" borderId="0" xfId="0" applyFont="1" applyAlignment="1">
      <alignment horizontal="center" vertical="center"/>
    </xf>
    <xf numFmtId="4" fontId="14" fillId="0" borderId="192" xfId="0" applyNumberFormat="1" applyFont="1" applyBorder="1"/>
    <xf numFmtId="0" fontId="134" fillId="0" borderId="192" xfId="147" applyFont="1" applyBorder="1" applyAlignment="1">
      <alignment horizontal="center" vertical="center"/>
    </xf>
    <xf numFmtId="0" fontId="134" fillId="0" borderId="192" xfId="147" applyFont="1" applyBorder="1" applyAlignment="1">
      <alignment wrapText="1"/>
    </xf>
    <xf numFmtId="0" fontId="134" fillId="0" borderId="192" xfId="147" applyFont="1" applyBorder="1" applyAlignment="1">
      <alignment horizontal="center" wrapText="1"/>
    </xf>
    <xf numFmtId="4" fontId="134" fillId="0" borderId="192" xfId="147" applyNumberFormat="1" applyFont="1" applyBorder="1" applyAlignment="1">
      <alignment horizontal="center" vertical="center"/>
    </xf>
    <xf numFmtId="0" fontId="134" fillId="0" borderId="192" xfId="147" applyFont="1" applyBorder="1" applyAlignment="1">
      <alignment vertical="center" wrapText="1"/>
    </xf>
    <xf numFmtId="0" fontId="107" fillId="0" borderId="0" xfId="147" applyFont="1" applyBorder="1" applyAlignment="1">
      <alignment horizontal="center" vertical="center"/>
    </xf>
    <xf numFmtId="0" fontId="107" fillId="0" borderId="0" xfId="147" applyFont="1" applyBorder="1" applyAlignment="1">
      <alignment wrapText="1"/>
    </xf>
    <xf numFmtId="0" fontId="107" fillId="0" borderId="0" xfId="147" applyFont="1" applyBorder="1" applyAlignment="1">
      <alignment horizontal="center" wrapText="1"/>
    </xf>
    <xf numFmtId="4" fontId="107" fillId="0" borderId="0" xfId="147" applyNumberFormat="1" applyFont="1" applyBorder="1" applyAlignment="1">
      <alignment horizontal="center" vertical="center"/>
    </xf>
    <xf numFmtId="0" fontId="107" fillId="0" borderId="167" xfId="147" applyFont="1" applyBorder="1" applyAlignment="1">
      <alignment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/>
    </xf>
    <xf numFmtId="4" fontId="14" fillId="0" borderId="0" xfId="0" applyNumberFormat="1" applyFont="1" applyAlignment="1">
      <alignment vertical="center"/>
    </xf>
    <xf numFmtId="4" fontId="14" fillId="0" borderId="0" xfId="0" applyNumberFormat="1" applyFont="1" applyAlignmen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4" fontId="82" fillId="38" borderId="192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right"/>
    </xf>
    <xf numFmtId="4" fontId="118" fillId="36" borderId="205" xfId="0" applyNumberFormat="1" applyFont="1" applyFill="1" applyBorder="1"/>
    <xf numFmtId="165" fontId="82" fillId="0" borderId="0" xfId="89" applyFont="1"/>
    <xf numFmtId="0" fontId="107" fillId="37" borderId="167" xfId="147" applyFont="1" applyFill="1" applyBorder="1" applyAlignment="1">
      <alignment wrapText="1"/>
    </xf>
    <xf numFmtId="0" fontId="107" fillId="37" borderId="167" xfId="147" applyFont="1" applyFill="1" applyBorder="1" applyAlignment="1">
      <alignment horizontal="center" wrapText="1"/>
    </xf>
    <xf numFmtId="4" fontId="107" fillId="37" borderId="167" xfId="147" applyNumberFormat="1" applyFont="1" applyFill="1" applyBorder="1"/>
    <xf numFmtId="0" fontId="107" fillId="37" borderId="167" xfId="147" applyFont="1" applyFill="1" applyBorder="1" applyAlignment="1">
      <alignment horizontal="center"/>
    </xf>
    <xf numFmtId="0" fontId="107" fillId="37" borderId="175" xfId="147" applyFont="1" applyFill="1" applyBorder="1" applyAlignment="1">
      <alignment wrapText="1"/>
    </xf>
    <xf numFmtId="0" fontId="107" fillId="37" borderId="175" xfId="147" applyFont="1" applyFill="1" applyBorder="1" applyAlignment="1">
      <alignment horizontal="center" wrapText="1"/>
    </xf>
    <xf numFmtId="4" fontId="107" fillId="37" borderId="175" xfId="147" applyNumberFormat="1" applyFont="1" applyFill="1" applyBorder="1"/>
    <xf numFmtId="0" fontId="107" fillId="37" borderId="175" xfId="147" applyFont="1" applyFill="1" applyBorder="1" applyAlignment="1">
      <alignment horizontal="center"/>
    </xf>
    <xf numFmtId="4" fontId="107" fillId="37" borderId="167" xfId="148" applyNumberFormat="1" applyFont="1" applyFill="1" applyBorder="1"/>
    <xf numFmtId="0" fontId="107" fillId="37" borderId="167" xfId="147" applyFont="1" applyFill="1" applyBorder="1" applyAlignment="1">
      <alignment vertical="center" wrapText="1"/>
    </xf>
    <xf numFmtId="0" fontId="107" fillId="37" borderId="167" xfId="147" applyFont="1" applyFill="1" applyBorder="1" applyAlignment="1">
      <alignment horizontal="center" vertical="center" wrapText="1"/>
    </xf>
    <xf numFmtId="4" fontId="107" fillId="37" borderId="167" xfId="147" applyNumberFormat="1" applyFont="1" applyFill="1" applyBorder="1" applyAlignment="1">
      <alignment vertical="center"/>
    </xf>
    <xf numFmtId="0" fontId="107" fillId="37" borderId="167" xfId="147" applyFont="1" applyFill="1" applyBorder="1" applyAlignment="1">
      <alignment horizontal="center" vertical="center"/>
    </xf>
    <xf numFmtId="0" fontId="14" fillId="0" borderId="203" xfId="0" applyFont="1" applyBorder="1"/>
    <xf numFmtId="4" fontId="14" fillId="0" borderId="203" xfId="0" applyNumberFormat="1" applyFont="1" applyBorder="1"/>
    <xf numFmtId="0" fontId="14" fillId="36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205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4" fontId="82" fillId="38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/>
    </xf>
    <xf numFmtId="0" fontId="49" fillId="38" borderId="192" xfId="0" applyFont="1" applyFill="1" applyBorder="1" applyAlignment="1">
      <alignment horizontal="center" vertical="center" wrapText="1"/>
    </xf>
    <xf numFmtId="0" fontId="49" fillId="38" borderId="192" xfId="0" applyFont="1" applyFill="1" applyBorder="1" applyAlignment="1">
      <alignment vertical="center" wrapText="1"/>
    </xf>
    <xf numFmtId="178" fontId="49" fillId="36" borderId="192" xfId="0" applyNumberFormat="1" applyFont="1" applyFill="1" applyBorder="1" applyAlignment="1">
      <alignment vertical="center" wrapText="1"/>
    </xf>
    <xf numFmtId="0" fontId="13" fillId="0" borderId="0" xfId="0" applyFont="1"/>
    <xf numFmtId="0" fontId="13" fillId="38" borderId="0" xfId="0" applyFont="1" applyFill="1" applyBorder="1" applyAlignment="1">
      <alignment vertical="center" wrapText="1"/>
    </xf>
    <xf numFmtId="0" fontId="13" fillId="38" borderId="0" xfId="0" applyFont="1" applyFill="1"/>
    <xf numFmtId="0" fontId="49" fillId="47" borderId="0" xfId="0" applyFont="1" applyFill="1" applyAlignment="1">
      <alignment vertical="center" wrapText="1"/>
    </xf>
    <xf numFmtId="0" fontId="82" fillId="48" borderId="0" xfId="0" applyFont="1" applyFill="1" applyAlignment="1">
      <alignment vertical="center" wrapText="1"/>
    </xf>
    <xf numFmtId="0" fontId="82" fillId="29" borderId="0" xfId="0" applyFont="1" applyFill="1" applyAlignment="1">
      <alignment vertical="center" wrapText="1"/>
    </xf>
    <xf numFmtId="0" fontId="82" fillId="29" borderId="0" xfId="0" applyFont="1" applyFill="1" applyAlignment="1">
      <alignment wrapText="1"/>
    </xf>
    <xf numFmtId="0" fontId="49" fillId="42" borderId="0" xfId="96" applyFont="1" applyFill="1"/>
    <xf numFmtId="4" fontId="14" fillId="38" borderId="192" xfId="0" applyNumberFormat="1" applyFont="1" applyFill="1" applyBorder="1" applyAlignment="1">
      <alignment horizontal="center"/>
    </xf>
    <xf numFmtId="4" fontId="13" fillId="38" borderId="192" xfId="0" applyNumberFormat="1" applyFont="1" applyFill="1" applyBorder="1" applyAlignment="1">
      <alignment horizontal="center"/>
    </xf>
    <xf numFmtId="4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0" xfId="0" applyNumberFormat="1" applyFont="1" applyFill="1" applyBorder="1" applyAlignment="1" applyProtection="1">
      <alignment horizontal="right" vertical="center"/>
    </xf>
    <xf numFmtId="4" fontId="140" fillId="27" borderId="229" xfId="0" applyNumberFormat="1" applyFont="1" applyFill="1" applyBorder="1" applyAlignment="1" applyProtection="1">
      <alignment horizontal="right" vertical="center"/>
    </xf>
    <xf numFmtId="4" fontId="140" fillId="27" borderId="228" xfId="0" applyNumberFormat="1" applyFont="1" applyFill="1" applyBorder="1" applyAlignment="1" applyProtection="1">
      <alignment horizontal="right" vertical="center"/>
    </xf>
    <xf numFmtId="0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1" xfId="0" applyNumberFormat="1" applyFont="1" applyFill="1" applyBorder="1" applyAlignment="1" applyProtection="1">
      <alignment horizontal="right" vertical="center"/>
    </xf>
    <xf numFmtId="4" fontId="139" fillId="28" borderId="229" xfId="0" applyNumberFormat="1" applyFont="1" applyFill="1" applyBorder="1" applyAlignment="1" applyProtection="1">
      <alignment horizontal="right" vertical="center"/>
      <protection locked="0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30" xfId="0" applyNumberFormat="1" applyFont="1" applyFill="1" applyBorder="1" applyAlignment="1" applyProtection="1">
      <alignment horizontal="right" vertical="center"/>
    </xf>
    <xf numFmtId="4" fontId="139" fillId="28" borderId="230" xfId="0" applyNumberFormat="1" applyFont="1" applyFill="1" applyBorder="1" applyAlignment="1" applyProtection="1">
      <alignment horizontal="right" vertical="center"/>
      <protection locked="0"/>
    </xf>
    <xf numFmtId="4" fontId="14" fillId="34" borderId="0" xfId="0" applyNumberFormat="1" applyFont="1" applyFill="1"/>
    <xf numFmtId="4" fontId="14" fillId="34" borderId="0" xfId="0" applyNumberFormat="1" applyFont="1" applyFill="1" applyAlignment="1">
      <alignment vertical="center"/>
    </xf>
    <xf numFmtId="0" fontId="14" fillId="38" borderId="223" xfId="0" applyFont="1" applyFill="1" applyBorder="1" applyAlignment="1">
      <alignment horizontal="center" vertical="center"/>
    </xf>
    <xf numFmtId="0" fontId="14" fillId="38" borderId="237" xfId="0" applyFont="1" applyFill="1" applyBorder="1" applyAlignment="1">
      <alignment horizontal="center" vertical="center"/>
    </xf>
    <xf numFmtId="0" fontId="14" fillId="38" borderId="234" xfId="0" applyFont="1" applyFill="1" applyBorder="1" applyAlignment="1">
      <alignment wrapText="1"/>
    </xf>
    <xf numFmtId="0" fontId="14" fillId="38" borderId="234" xfId="0" applyFont="1" applyFill="1" applyBorder="1" applyAlignment="1">
      <alignment horizontal="center" vertical="center"/>
    </xf>
    <xf numFmtId="0" fontId="14" fillId="36" borderId="234" xfId="0" applyFont="1" applyFill="1" applyBorder="1" applyAlignment="1">
      <alignment horizontal="center" vertical="center"/>
    </xf>
    <xf numFmtId="0" fontId="14" fillId="36" borderId="235" xfId="0" applyFont="1" applyFill="1" applyBorder="1" applyAlignment="1">
      <alignment horizontal="center" vertical="center"/>
    </xf>
    <xf numFmtId="169" fontId="14" fillId="37" borderId="227" xfId="0" applyNumberFormat="1" applyFont="1" applyFill="1" applyBorder="1" applyAlignment="1">
      <alignment horizontal="center" vertical="center"/>
    </xf>
    <xf numFmtId="2" fontId="14" fillId="43" borderId="206" xfId="0" applyNumberFormat="1" applyFont="1" applyFill="1" applyBorder="1" applyAlignment="1">
      <alignment horizontal="center" vertical="center"/>
    </xf>
    <xf numFmtId="2" fontId="14" fillId="43" borderId="238" xfId="0" applyNumberFormat="1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wrapText="1"/>
    </xf>
    <xf numFmtId="0" fontId="14" fillId="36" borderId="223" xfId="0" applyFont="1" applyFill="1" applyBorder="1" applyAlignment="1">
      <alignment horizontal="center" vertical="center"/>
    </xf>
    <xf numFmtId="0" fontId="14" fillId="36" borderId="237" xfId="0" applyFont="1" applyFill="1" applyBorder="1" applyAlignment="1">
      <alignment horizontal="center" vertical="center"/>
    </xf>
    <xf numFmtId="169" fontId="14" fillId="37" borderId="239" xfId="0" applyNumberFormat="1" applyFont="1" applyFill="1" applyBorder="1" applyAlignment="1">
      <alignment horizontal="center" vertical="center"/>
    </xf>
    <xf numFmtId="0" fontId="14" fillId="43" borderId="223" xfId="0" applyFont="1" applyFill="1" applyBorder="1" applyAlignment="1">
      <alignment horizontal="center" vertical="center"/>
    </xf>
    <xf numFmtId="2" fontId="14" fillId="43" borderId="240" xfId="0" applyNumberFormat="1" applyFont="1" applyFill="1" applyBorder="1" applyAlignment="1">
      <alignment horizontal="center" vertical="center"/>
    </xf>
    <xf numFmtId="0" fontId="14" fillId="38" borderId="234" xfId="0" applyFont="1" applyFill="1" applyBorder="1" applyAlignment="1">
      <alignment vertical="center" wrapText="1"/>
    </xf>
    <xf numFmtId="169" fontId="14" fillId="37" borderId="217" xfId="0" applyNumberFormat="1" applyFont="1" applyFill="1" applyBorder="1" applyAlignment="1">
      <alignment horizontal="center" vertical="center"/>
    </xf>
    <xf numFmtId="0" fontId="14" fillId="43" borderId="234" xfId="0" applyFont="1" applyFill="1" applyBorder="1" applyAlignment="1">
      <alignment horizontal="center" vertical="center"/>
    </xf>
    <xf numFmtId="2" fontId="14" fillId="43" borderId="219" xfId="0" applyNumberFormat="1" applyFont="1" applyFill="1" applyBorder="1" applyAlignment="1">
      <alignment horizontal="center" vertical="center"/>
    </xf>
    <xf numFmtId="0" fontId="14" fillId="43" borderId="206" xfId="0" applyFont="1" applyFill="1" applyBorder="1"/>
    <xf numFmtId="0" fontId="14" fillId="36" borderId="193" xfId="0" applyFont="1" applyFill="1" applyBorder="1" applyAlignment="1">
      <alignment horizontal="center" vertical="center"/>
    </xf>
    <xf numFmtId="169" fontId="14" fillId="37" borderId="241" xfId="0" applyNumberFormat="1" applyFont="1" applyFill="1" applyBorder="1" applyAlignment="1">
      <alignment horizontal="center" vertical="center"/>
    </xf>
    <xf numFmtId="0" fontId="14" fillId="43" borderId="192" xfId="0" applyFont="1" applyFill="1" applyBorder="1"/>
    <xf numFmtId="2" fontId="14" fillId="43" borderId="242" xfId="0" applyNumberFormat="1" applyFont="1" applyFill="1" applyBorder="1" applyAlignment="1">
      <alignment horizontal="center" vertical="center"/>
    </xf>
    <xf numFmtId="0" fontId="14" fillId="38" borderId="205" xfId="0" applyFont="1" applyFill="1" applyBorder="1" applyAlignment="1">
      <alignment vertical="center" wrapText="1"/>
    </xf>
    <xf numFmtId="0" fontId="14" fillId="36" borderId="205" xfId="0" applyFont="1" applyFill="1" applyBorder="1" applyAlignment="1">
      <alignment horizontal="center" vertical="center"/>
    </xf>
    <xf numFmtId="0" fontId="14" fillId="36" borderId="213" xfId="0" applyFont="1" applyFill="1" applyBorder="1" applyAlignment="1">
      <alignment horizontal="center" vertical="center"/>
    </xf>
    <xf numFmtId="169" fontId="14" fillId="37" borderId="244" xfId="0" applyNumberFormat="1" applyFont="1" applyFill="1" applyBorder="1" applyAlignment="1">
      <alignment horizontal="center" vertical="center"/>
    </xf>
    <xf numFmtId="0" fontId="14" fillId="43" borderId="205" xfId="0" applyFont="1" applyFill="1" applyBorder="1"/>
    <xf numFmtId="2" fontId="14" fillId="43" borderId="245" xfId="0" applyNumberFormat="1" applyFont="1" applyFill="1" applyBorder="1" applyAlignment="1">
      <alignment horizontal="center" vertical="center"/>
    </xf>
    <xf numFmtId="0" fontId="14" fillId="50" borderId="233" xfId="0" applyFont="1" applyFill="1" applyBorder="1"/>
    <xf numFmtId="0" fontId="14" fillId="50" borderId="234" xfId="0" applyFont="1" applyFill="1" applyBorder="1"/>
    <xf numFmtId="169" fontId="14" fillId="50" borderId="234" xfId="0" applyNumberFormat="1" applyFont="1" applyFill="1" applyBorder="1"/>
    <xf numFmtId="0" fontId="14" fillId="50" borderId="236" xfId="0" applyFont="1" applyFill="1" applyBorder="1"/>
    <xf numFmtId="2" fontId="13" fillId="50" borderId="246" xfId="0" applyNumberFormat="1" applyFont="1" applyFill="1" applyBorder="1"/>
    <xf numFmtId="0" fontId="14" fillId="50" borderId="222" xfId="0" applyFont="1" applyFill="1" applyBorder="1"/>
    <xf numFmtId="0" fontId="14" fillId="50" borderId="223" xfId="0" applyFont="1" applyFill="1" applyBorder="1"/>
    <xf numFmtId="169" fontId="14" fillId="50" borderId="223" xfId="0" applyNumberFormat="1" applyFont="1" applyFill="1" applyBorder="1"/>
    <xf numFmtId="0" fontId="14" fillId="50" borderId="224" xfId="0" applyFont="1" applyFill="1" applyBorder="1"/>
    <xf numFmtId="2" fontId="13" fillId="50" borderId="247" xfId="0" applyNumberFormat="1" applyFont="1" applyFill="1" applyBorder="1"/>
    <xf numFmtId="0" fontId="14" fillId="36" borderId="206" xfId="0" applyFont="1" applyFill="1" applyBorder="1" applyAlignment="1">
      <alignment horizontal="center" vertical="center"/>
    </xf>
    <xf numFmtId="0" fontId="14" fillId="36" borderId="215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vertical="center" wrapText="1"/>
    </xf>
    <xf numFmtId="2" fontId="14" fillId="43" borderId="234" xfId="0" applyNumberFormat="1" applyFont="1" applyFill="1" applyBorder="1" applyAlignment="1">
      <alignment horizontal="center" vertical="center"/>
    </xf>
    <xf numFmtId="2" fontId="14" fillId="43" borderId="223" xfId="0" applyNumberFormat="1" applyFont="1" applyFill="1" applyBorder="1" applyAlignment="1">
      <alignment horizontal="center" vertical="center"/>
    </xf>
    <xf numFmtId="2" fontId="14" fillId="43" borderId="206" xfId="0" applyNumberFormat="1" applyFont="1" applyFill="1" applyBorder="1" applyAlignment="1">
      <alignment vertical="center"/>
    </xf>
    <xf numFmtId="4" fontId="14" fillId="38" borderId="192" xfId="0" applyNumberFormat="1" applyFont="1" applyFill="1" applyBorder="1" applyAlignment="1">
      <alignment horizontal="center" vertical="center" wrapText="1"/>
    </xf>
    <xf numFmtId="0" fontId="13" fillId="36" borderId="192" xfId="0" applyFont="1" applyFill="1" applyBorder="1" applyAlignment="1">
      <alignment horizontal="center" vertical="center" wrapText="1"/>
    </xf>
    <xf numFmtId="4" fontId="14" fillId="36" borderId="192" xfId="0" applyNumberFormat="1" applyFont="1" applyFill="1" applyBorder="1" applyAlignment="1">
      <alignment horizontal="center" vertical="center" wrapText="1"/>
    </xf>
    <xf numFmtId="178" fontId="14" fillId="36" borderId="192" xfId="0" applyNumberFormat="1" applyFont="1" applyFill="1" applyBorder="1" applyAlignment="1">
      <alignment horizontal="center" vertical="center" wrapText="1"/>
    </xf>
    <xf numFmtId="0" fontId="134" fillId="36" borderId="192" xfId="0" applyFont="1" applyFill="1" applyBorder="1" applyAlignment="1">
      <alignment horizontal="center"/>
    </xf>
    <xf numFmtId="0" fontId="134" fillId="36" borderId="192" xfId="0" applyFont="1" applyFill="1" applyBorder="1"/>
    <xf numFmtId="0" fontId="49" fillId="38" borderId="203" xfId="96" applyFont="1" applyFill="1" applyBorder="1"/>
    <xf numFmtId="0" fontId="49" fillId="38" borderId="0" xfId="96" applyFont="1" applyFill="1" applyBorder="1"/>
    <xf numFmtId="0" fontId="49" fillId="38" borderId="0" xfId="96" applyFont="1" applyFill="1" applyBorder="1" applyAlignment="1">
      <alignment horizontal="center"/>
    </xf>
    <xf numFmtId="0" fontId="139" fillId="49" borderId="232" xfId="0" applyNumberFormat="1" applyFont="1" applyFill="1" applyBorder="1" applyAlignment="1" applyProtection="1">
      <alignment horizontal="right" vertical="center"/>
    </xf>
    <xf numFmtId="4" fontId="139" fillId="49" borderId="232" xfId="0" applyNumberFormat="1" applyFont="1" applyFill="1" applyBorder="1" applyAlignment="1" applyProtection="1">
      <alignment horizontal="right" vertical="center"/>
    </xf>
    <xf numFmtId="0" fontId="98" fillId="35" borderId="0" xfId="96" applyFont="1" applyFill="1" applyAlignment="1">
      <alignment horizontal="center" vertical="center"/>
    </xf>
    <xf numFmtId="0" fontId="14" fillId="38" borderId="193" xfId="0" applyFont="1" applyFill="1" applyBorder="1"/>
    <xf numFmtId="0" fontId="15" fillId="38" borderId="193" xfId="0" applyFont="1" applyFill="1" applyBorder="1" applyAlignment="1">
      <alignment horizontal="right"/>
    </xf>
    <xf numFmtId="0" fontId="15" fillId="37" borderId="193" xfId="96" applyFont="1" applyFill="1" applyBorder="1" applyAlignment="1">
      <alignment horizontal="left" vertical="center" wrapText="1" indent="3"/>
    </xf>
    <xf numFmtId="0" fontId="15" fillId="38" borderId="193" xfId="0" applyFont="1" applyFill="1" applyBorder="1" applyAlignment="1">
      <alignment horizontal="right" vertical="center"/>
    </xf>
    <xf numFmtId="4" fontId="14" fillId="36" borderId="194" xfId="0" applyNumberFormat="1" applyFont="1" applyFill="1" applyBorder="1"/>
    <xf numFmtId="4" fontId="14" fillId="38" borderId="194" xfId="0" applyNumberFormat="1" applyFont="1" applyFill="1" applyBorder="1"/>
    <xf numFmtId="4" fontId="15" fillId="36" borderId="194" xfId="0" applyNumberFormat="1" applyFont="1" applyFill="1" applyBorder="1" applyAlignment="1">
      <alignment horizontal="right"/>
    </xf>
    <xf numFmtId="2" fontId="14" fillId="36" borderId="194" xfId="0" applyNumberFormat="1" applyFont="1" applyFill="1" applyBorder="1"/>
    <xf numFmtId="4" fontId="14" fillId="36" borderId="194" xfId="0" applyNumberFormat="1" applyFont="1" applyFill="1" applyBorder="1" applyAlignment="1">
      <alignment vertical="center"/>
    </xf>
    <xf numFmtId="0" fontId="14" fillId="38" borderId="221" xfId="0" applyFont="1" applyFill="1" applyBorder="1" applyAlignment="1">
      <alignment horizontal="center"/>
    </xf>
    <xf numFmtId="4" fontId="14" fillId="36" borderId="220" xfId="0" applyNumberFormat="1" applyFont="1" applyFill="1" applyBorder="1"/>
    <xf numFmtId="4" fontId="14" fillId="38" borderId="220" xfId="0" applyNumberFormat="1" applyFont="1" applyFill="1" applyBorder="1"/>
    <xf numFmtId="2" fontId="14" fillId="38" borderId="221" xfId="0" applyNumberFormat="1" applyFont="1" applyFill="1" applyBorder="1"/>
    <xf numFmtId="4" fontId="15" fillId="36" borderId="220" xfId="0" applyNumberFormat="1" applyFont="1" applyFill="1" applyBorder="1" applyAlignment="1">
      <alignment horizontal="right"/>
    </xf>
    <xf numFmtId="2" fontId="15" fillId="36" borderId="221" xfId="0" applyNumberFormat="1" applyFont="1" applyFill="1" applyBorder="1" applyAlignment="1">
      <alignment horizontal="right"/>
    </xf>
    <xf numFmtId="0" fontId="15" fillId="36" borderId="221" xfId="0" applyFont="1" applyFill="1" applyBorder="1" applyAlignment="1">
      <alignment horizontal="right"/>
    </xf>
    <xf numFmtId="2" fontId="14" fillId="36" borderId="220" xfId="0" applyNumberFormat="1" applyFont="1" applyFill="1" applyBorder="1"/>
    <xf numFmtId="2" fontId="14" fillId="36" borderId="221" xfId="0" applyNumberFormat="1" applyFont="1" applyFill="1" applyBorder="1"/>
    <xf numFmtId="4" fontId="14" fillId="38" borderId="221" xfId="0" applyNumberFormat="1" applyFont="1" applyFill="1" applyBorder="1"/>
    <xf numFmtId="4" fontId="14" fillId="36" borderId="220" xfId="0" applyNumberFormat="1" applyFont="1" applyFill="1" applyBorder="1" applyAlignment="1">
      <alignment vertical="center"/>
    </xf>
    <xf numFmtId="2" fontId="14" fillId="36" borderId="221" xfId="0" applyNumberFormat="1" applyFont="1" applyFill="1" applyBorder="1" applyAlignment="1">
      <alignment vertical="center"/>
    </xf>
    <xf numFmtId="4" fontId="14" fillId="36" borderId="221" xfId="0" applyNumberFormat="1" applyFont="1" applyFill="1" applyBorder="1" applyAlignment="1">
      <alignment vertical="center"/>
    </xf>
    <xf numFmtId="4" fontId="15" fillId="36" borderId="220" xfId="0" applyNumberFormat="1" applyFont="1" applyFill="1" applyBorder="1" applyAlignment="1">
      <alignment vertical="center"/>
    </xf>
    <xf numFmtId="2" fontId="15" fillId="36" borderId="221" xfId="0" applyNumberFormat="1" applyFont="1" applyFill="1" applyBorder="1"/>
    <xf numFmtId="0" fontId="15" fillId="36" borderId="221" xfId="0" applyFont="1" applyFill="1" applyBorder="1"/>
    <xf numFmtId="0" fontId="14" fillId="36" borderId="222" xfId="0" applyFont="1" applyFill="1" applyBorder="1" applyAlignment="1">
      <alignment vertical="center"/>
    </xf>
    <xf numFmtId="0" fontId="14" fillId="36" borderId="223" xfId="0" applyFont="1" applyFill="1" applyBorder="1"/>
    <xf numFmtId="0" fontId="14" fillId="36" borderId="224" xfId="0" applyFont="1" applyFill="1" applyBorder="1"/>
    <xf numFmtId="4" fontId="15" fillId="36" borderId="194" xfId="0" applyNumberFormat="1" applyFont="1" applyFill="1" applyBorder="1" applyAlignment="1">
      <alignment vertical="center"/>
    </xf>
    <xf numFmtId="0" fontId="14" fillId="36" borderId="251" xfId="0" applyFont="1" applyFill="1" applyBorder="1" applyAlignment="1">
      <alignment vertical="center"/>
    </xf>
    <xf numFmtId="0" fontId="53" fillId="33" borderId="0" xfId="0" applyFont="1" applyFill="1" applyAlignment="1">
      <alignment vertical="center" wrapText="1"/>
    </xf>
    <xf numFmtId="4" fontId="144" fillId="0" borderId="0" xfId="0" applyNumberFormat="1" applyFont="1"/>
    <xf numFmtId="0" fontId="145" fillId="33" borderId="0" xfId="0" applyFont="1" applyFill="1" applyAlignment="1">
      <alignment vertical="center" wrapText="1"/>
    </xf>
    <xf numFmtId="4" fontId="17" fillId="0" borderId="0" xfId="0" applyNumberFormat="1" applyFont="1"/>
    <xf numFmtId="4" fontId="49" fillId="0" borderId="0" xfId="96" applyNumberFormat="1" applyFont="1"/>
    <xf numFmtId="171" fontId="49" fillId="0" borderId="0" xfId="85" applyNumberFormat="1" applyFont="1"/>
    <xf numFmtId="0" fontId="14" fillId="0" borderId="0" xfId="0" applyFont="1" applyAlignment="1"/>
    <xf numFmtId="0" fontId="14" fillId="0" borderId="254" xfId="0" applyFont="1" applyBorder="1"/>
    <xf numFmtId="4" fontId="14" fillId="0" borderId="254" xfId="0" applyNumberFormat="1" applyFont="1" applyBorder="1"/>
    <xf numFmtId="0" fontId="14" fillId="38" borderId="254" xfId="0" applyFont="1" applyFill="1" applyBorder="1"/>
    <xf numFmtId="4" fontId="14" fillId="38" borderId="254" xfId="0" applyNumberFormat="1" applyFont="1" applyFill="1" applyBorder="1"/>
    <xf numFmtId="0" fontId="14" fillId="38" borderId="0" xfId="0" applyFont="1" applyFill="1"/>
    <xf numFmtId="0" fontId="14" fillId="38" borderId="254" xfId="0" applyFont="1" applyFill="1" applyBorder="1" applyAlignment="1">
      <alignment wrapText="1"/>
    </xf>
    <xf numFmtId="0" fontId="14" fillId="38" borderId="254" xfId="0" applyFont="1" applyFill="1" applyBorder="1" applyAlignment="1">
      <alignment horizontal="center"/>
    </xf>
    <xf numFmtId="0" fontId="52" fillId="35" borderId="0" xfId="96" applyFont="1" applyFill="1"/>
    <xf numFmtId="0" fontId="49" fillId="38" borderId="257" xfId="96" applyFont="1" applyFill="1" applyBorder="1"/>
    <xf numFmtId="0" fontId="17" fillId="38" borderId="257" xfId="96" applyFont="1" applyFill="1" applyBorder="1" applyAlignment="1">
      <alignment horizontal="center" vertical="center" wrapText="1"/>
    </xf>
    <xf numFmtId="0" fontId="14" fillId="36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27" borderId="192" xfId="96" applyFont="1" applyFill="1" applyBorder="1" applyAlignment="1">
      <alignment horizontal="center" vertical="center" wrapText="1"/>
    </xf>
    <xf numFmtId="0" fontId="15" fillId="37" borderId="193" xfId="96" applyFont="1" applyFill="1" applyBorder="1" applyAlignment="1">
      <alignment horizontal="left" vertical="center" wrapText="1"/>
    </xf>
    <xf numFmtId="0" fontId="14" fillId="36" borderId="192" xfId="0" applyFont="1" applyFill="1" applyBorder="1" applyAlignment="1">
      <alignment horizontal="center" vertical="center" wrapText="1"/>
    </xf>
    <xf numFmtId="0" fontId="14" fillId="38" borderId="234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205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61" fillId="0" borderId="17" xfId="0" applyFont="1" applyFill="1" applyBorder="1" applyAlignment="1">
      <alignment horizontal="center" vertical="center"/>
    </xf>
    <xf numFmtId="0" fontId="61" fillId="0" borderId="18" xfId="0" applyFont="1" applyFill="1" applyBorder="1" applyAlignment="1">
      <alignment horizontal="center" vertical="center"/>
    </xf>
    <xf numFmtId="0" fontId="61" fillId="0" borderId="16" xfId="0" applyFont="1" applyFill="1" applyBorder="1" applyAlignment="1">
      <alignment horizontal="center" vertical="center"/>
    </xf>
    <xf numFmtId="0" fontId="61" fillId="0" borderId="21" xfId="0" applyFont="1" applyFill="1" applyBorder="1" applyAlignment="1">
      <alignment horizontal="center" vertical="center"/>
    </xf>
    <xf numFmtId="0" fontId="61" fillId="0" borderId="27" xfId="0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horizontal="center" vertical="center" wrapText="1"/>
    </xf>
    <xf numFmtId="2" fontId="61" fillId="37" borderId="192" xfId="0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0" borderId="258" xfId="0" applyFont="1" applyBorder="1" applyAlignment="1">
      <alignment horizontal="center" vertical="center" wrapText="1"/>
    </xf>
    <xf numFmtId="169" fontId="15" fillId="0" borderId="257" xfId="0" applyNumberFormat="1" applyFont="1" applyBorder="1" applyAlignment="1">
      <alignment horizontal="center"/>
    </xf>
    <xf numFmtId="169" fontId="15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0" fontId="49" fillId="38" borderId="257" xfId="96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 wrapText="1"/>
    </xf>
    <xf numFmtId="0" fontId="61" fillId="30" borderId="11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/>
    </xf>
    <xf numFmtId="169" fontId="14" fillId="36" borderId="235" xfId="0" applyNumberFormat="1" applyFont="1" applyFill="1" applyBorder="1" applyAlignment="1">
      <alignment horizontal="center" vertical="center"/>
    </xf>
    <xf numFmtId="2" fontId="14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61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4" fillId="0" borderId="0" xfId="0" applyFont="1" applyAlignment="1">
      <alignment wrapText="1"/>
    </xf>
    <xf numFmtId="0" fontId="14" fillId="0" borderId="0" xfId="0" applyFont="1" applyAlignment="1">
      <alignment vertical="center" wrapText="1"/>
    </xf>
    <xf numFmtId="0" fontId="14" fillId="38" borderId="192" xfId="0" applyFont="1" applyFill="1" applyBorder="1" applyAlignment="1">
      <alignment wrapText="1"/>
    </xf>
    <xf numFmtId="4" fontId="14" fillId="0" borderId="0" xfId="0" applyNumberFormat="1" applyFont="1" applyAlignment="1">
      <alignment horizontal="center" vertical="center"/>
    </xf>
    <xf numFmtId="0" fontId="13" fillId="38" borderId="193" xfId="0" applyFont="1" applyFill="1" applyBorder="1" applyAlignment="1">
      <alignment vertical="center" wrapText="1"/>
    </xf>
    <xf numFmtId="0" fontId="61" fillId="0" borderId="0" xfId="0" applyFont="1" applyBorder="1"/>
    <xf numFmtId="166" fontId="61" fillId="0" borderId="0" xfId="0" applyNumberFormat="1" applyFont="1" applyBorder="1"/>
    <xf numFmtId="165" fontId="14" fillId="0" borderId="0" xfId="0" applyNumberFormat="1" applyFont="1"/>
    <xf numFmtId="0" fontId="13" fillId="0" borderId="0" xfId="0" applyFont="1" applyFill="1" applyBorder="1" applyAlignment="1">
      <alignment horizontal="center" vertical="center" wrapText="1"/>
    </xf>
    <xf numFmtId="1" fontId="13" fillId="0" borderId="192" xfId="0" applyNumberFormat="1" applyFont="1" applyFill="1" applyBorder="1" applyAlignment="1">
      <alignment horizontal="right" vertical="center"/>
    </xf>
    <xf numFmtId="3" fontId="13" fillId="0" borderId="192" xfId="0" applyNumberFormat="1" applyFont="1" applyFill="1" applyBorder="1" applyAlignment="1">
      <alignment horizontal="right" vertical="center"/>
    </xf>
    <xf numFmtId="170" fontId="13" fillId="0" borderId="192" xfId="0" applyNumberFormat="1" applyFont="1" applyFill="1" applyBorder="1" applyAlignment="1">
      <alignment horizontal="right" vertical="center"/>
    </xf>
    <xf numFmtId="171" fontId="13" fillId="0" borderId="192" xfId="0" applyNumberFormat="1" applyFont="1" applyFill="1" applyBorder="1" applyAlignment="1">
      <alignment horizontal="center" vertical="center" wrapText="1"/>
    </xf>
    <xf numFmtId="10" fontId="14" fillId="0" borderId="192" xfId="85" applyNumberFormat="1" applyFont="1" applyFill="1" applyBorder="1" applyAlignment="1">
      <alignment vertical="center"/>
    </xf>
    <xf numFmtId="170" fontId="13" fillId="0" borderId="192" xfId="0" applyNumberFormat="1" applyFont="1" applyFill="1" applyBorder="1" applyAlignment="1">
      <alignment horizontal="center" vertical="center"/>
    </xf>
    <xf numFmtId="3" fontId="13" fillId="0" borderId="192" xfId="0" applyNumberFormat="1" applyFont="1" applyFill="1" applyBorder="1" applyAlignment="1">
      <alignment horizontal="center" vertical="center"/>
    </xf>
    <xf numFmtId="1" fontId="14" fillId="0" borderId="192" xfId="0" applyNumberFormat="1" applyFont="1" applyFill="1" applyBorder="1" applyAlignment="1">
      <alignment horizontal="right" vertical="center"/>
    </xf>
    <xf numFmtId="3" fontId="14" fillId="0" borderId="192" xfId="0" applyNumberFormat="1" applyFont="1" applyFill="1" applyBorder="1" applyAlignment="1">
      <alignment horizontal="right" vertical="center"/>
    </xf>
    <xf numFmtId="170" fontId="14" fillId="0" borderId="192" xfId="0" applyNumberFormat="1" applyFont="1" applyFill="1" applyBorder="1" applyAlignment="1">
      <alignment horizontal="right" vertical="center"/>
    </xf>
    <xf numFmtId="169" fontId="14" fillId="0" borderId="192" xfId="0" applyNumberFormat="1" applyFont="1" applyFill="1" applyBorder="1" applyAlignment="1">
      <alignment horizontal="center" vertical="center"/>
    </xf>
    <xf numFmtId="169" fontId="14" fillId="0" borderId="192" xfId="0" applyNumberFormat="1" applyFont="1" applyFill="1" applyBorder="1" applyAlignment="1">
      <alignment horizontal="right" vertical="center"/>
    </xf>
    <xf numFmtId="2" fontId="14" fillId="0" borderId="192" xfId="0" applyNumberFormat="1" applyFont="1" applyFill="1" applyBorder="1" applyAlignment="1">
      <alignment horizontal="center" vertical="center"/>
    </xf>
    <xf numFmtId="171" fontId="14" fillId="0" borderId="192" xfId="85" applyNumberFormat="1" applyFont="1" applyFill="1" applyBorder="1" applyAlignment="1">
      <alignment vertical="center"/>
    </xf>
    <xf numFmtId="1" fontId="14" fillId="0" borderId="192" xfId="0" applyNumberFormat="1" applyFont="1" applyFill="1" applyBorder="1" applyAlignment="1">
      <alignment horizontal="center" vertical="center"/>
    </xf>
    <xf numFmtId="3" fontId="14" fillId="0" borderId="192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0" fontId="14" fillId="0" borderId="0" xfId="85" applyNumberFormat="1" applyFont="1" applyFill="1" applyBorder="1" applyAlignment="1">
      <alignment vertical="center"/>
    </xf>
    <xf numFmtId="0" fontId="14" fillId="38" borderId="192" xfId="0" applyFont="1" applyFill="1" applyBorder="1" applyAlignment="1">
      <alignment horizontal="left" vertical="center"/>
    </xf>
    <xf numFmtId="14" fontId="14" fillId="0" borderId="0" xfId="0" applyNumberFormat="1" applyFont="1"/>
    <xf numFmtId="14" fontId="14" fillId="0" borderId="0" xfId="0" applyNumberFormat="1" applyFont="1" applyAlignment="1">
      <alignment vertical="center"/>
    </xf>
    <xf numFmtId="1" fontId="14" fillId="0" borderId="0" xfId="0" applyNumberFormat="1" applyFont="1"/>
    <xf numFmtId="4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0" fontId="14" fillId="38" borderId="205" xfId="0" applyFont="1" applyFill="1" applyBorder="1" applyAlignment="1">
      <alignment horizontal="center" vertical="center"/>
    </xf>
    <xf numFmtId="4" fontId="13" fillId="38" borderId="192" xfId="0" applyNumberFormat="1" applyFont="1" applyFill="1" applyBorder="1"/>
    <xf numFmtId="4" fontId="13" fillId="0" borderId="0" xfId="0" applyNumberFormat="1" applyFont="1"/>
    <xf numFmtId="0" fontId="14" fillId="38" borderId="205" xfId="0" applyFont="1" applyFill="1" applyBorder="1" applyAlignment="1">
      <alignment vertical="center"/>
    </xf>
    <xf numFmtId="4" fontId="14" fillId="38" borderId="205" xfId="0" applyNumberFormat="1" applyFont="1" applyFill="1" applyBorder="1" applyAlignment="1">
      <alignment vertical="center"/>
    </xf>
    <xf numFmtId="4" fontId="14" fillId="36" borderId="205" xfId="0" applyNumberFormat="1" applyFont="1" applyFill="1" applyBorder="1" applyAlignment="1">
      <alignment vertical="center"/>
    </xf>
    <xf numFmtId="0" fontId="13" fillId="0" borderId="0" xfId="0" applyFont="1" applyAlignment="1">
      <alignment wrapText="1"/>
    </xf>
    <xf numFmtId="4" fontId="14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38" borderId="192" xfId="0" applyFont="1" applyFill="1" applyBorder="1" applyAlignment="1">
      <alignment horizontal="center" wrapText="1"/>
    </xf>
    <xf numFmtId="0" fontId="61" fillId="30" borderId="258" xfId="0" applyFont="1" applyFill="1" applyBorder="1" applyAlignment="1">
      <alignment horizontal="center" vertical="center"/>
    </xf>
    <xf numFmtId="2" fontId="18" fillId="30" borderId="257" xfId="0" applyNumberFormat="1" applyFont="1" applyFill="1" applyBorder="1"/>
    <xf numFmtId="2" fontId="61" fillId="30" borderId="257" xfId="0" applyNumberFormat="1" applyFont="1" applyFill="1" applyBorder="1"/>
    <xf numFmtId="2" fontId="62" fillId="30" borderId="257" xfId="0" applyNumberFormat="1" applyFont="1" applyFill="1" applyBorder="1"/>
    <xf numFmtId="2" fontId="61" fillId="30" borderId="258" xfId="0" applyNumberFormat="1" applyFont="1" applyFill="1" applyBorder="1"/>
    <xf numFmtId="169" fontId="50" fillId="0" borderId="192" xfId="79" applyNumberFormat="1" applyFont="1" applyFill="1" applyBorder="1" applyAlignment="1">
      <alignment horizontal="center" vertical="center"/>
    </xf>
    <xf numFmtId="169" fontId="49" fillId="0" borderId="192" xfId="79" applyNumberFormat="1" applyFont="1" applyFill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horizontal="center" vertical="center"/>
    </xf>
    <xf numFmtId="2" fontId="49" fillId="0" borderId="192" xfId="79" applyNumberFormat="1" applyFont="1" applyFill="1" applyBorder="1" applyAlignment="1">
      <alignment horizontal="center" vertical="center"/>
    </xf>
    <xf numFmtId="171" fontId="50" fillId="0" borderId="192" xfId="85" applyNumberFormat="1" applyFont="1" applyFill="1" applyBorder="1" applyAlignment="1">
      <alignment horizontal="center" vertical="center"/>
    </xf>
    <xf numFmtId="4" fontId="14" fillId="0" borderId="192" xfId="79" applyNumberFormat="1" applyFont="1" applyFill="1" applyBorder="1" applyAlignment="1">
      <alignment horizontal="center" vertical="center"/>
    </xf>
    <xf numFmtId="170" fontId="50" fillId="0" borderId="192" xfId="79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horizontal="center" vertical="center"/>
    </xf>
    <xf numFmtId="171" fontId="49" fillId="0" borderId="192" xfId="85" applyNumberFormat="1" applyFont="1" applyFill="1" applyBorder="1" applyAlignment="1">
      <alignment horizontal="center" vertical="center"/>
    </xf>
    <xf numFmtId="10" fontId="14" fillId="0" borderId="192" xfId="85" applyNumberFormat="1" applyFont="1" applyFill="1" applyBorder="1" applyAlignment="1">
      <alignment horizontal="center" vertical="center"/>
    </xf>
    <xf numFmtId="171" fontId="14" fillId="0" borderId="192" xfId="85" applyNumberFormat="1" applyFont="1" applyFill="1" applyBorder="1" applyAlignment="1">
      <alignment horizontal="center" vertical="center"/>
    </xf>
    <xf numFmtId="0" fontId="52" fillId="0" borderId="192" xfId="79" applyFont="1" applyFill="1" applyBorder="1" applyAlignment="1">
      <alignment horizontal="center" vertical="center"/>
    </xf>
    <xf numFmtId="170" fontId="52" fillId="0" borderId="192" xfId="79" applyNumberFormat="1" applyFont="1" applyFill="1" applyBorder="1" applyAlignment="1">
      <alignment horizontal="center" vertical="center"/>
    </xf>
    <xf numFmtId="171" fontId="53" fillId="0" borderId="192" xfId="85" applyNumberFormat="1" applyFont="1" applyFill="1" applyBorder="1" applyAlignment="1">
      <alignment horizontal="center" vertical="center"/>
    </xf>
    <xf numFmtId="4" fontId="13" fillId="0" borderId="192" xfId="79" applyNumberFormat="1" applyFont="1" applyFill="1" applyBorder="1" applyAlignment="1">
      <alignment horizontal="center" vertical="center"/>
    </xf>
    <xf numFmtId="0" fontId="13" fillId="0" borderId="192" xfId="79" applyNumberFormat="1" applyFont="1" applyFill="1" applyBorder="1" applyAlignment="1">
      <alignment horizontal="center" vertical="center"/>
    </xf>
    <xf numFmtId="0" fontId="14" fillId="0" borderId="0" xfId="79" applyFont="1"/>
    <xf numFmtId="0" fontId="14" fillId="0" borderId="0" xfId="79" applyFont="1" applyAlignment="1">
      <alignment vertical="center"/>
    </xf>
    <xf numFmtId="0" fontId="14" fillId="0" borderId="0" xfId="79" applyFont="1" applyFill="1" applyAlignment="1">
      <alignment vertical="center"/>
    </xf>
    <xf numFmtId="0" fontId="14" fillId="0" borderId="0" xfId="79" applyFont="1" applyFill="1"/>
    <xf numFmtId="0" fontId="8" fillId="38" borderId="0" xfId="79" applyFill="1"/>
    <xf numFmtId="0" fontId="49" fillId="38" borderId="192" xfId="79" applyFont="1" applyFill="1" applyBorder="1" applyAlignment="1">
      <alignment vertical="center" wrapText="1"/>
    </xf>
    <xf numFmtId="0" fontId="13" fillId="37" borderId="0" xfId="79" applyFont="1" applyFill="1"/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4" fillId="36" borderId="192" xfId="0" applyFont="1" applyFill="1" applyBorder="1" applyAlignment="1">
      <alignment wrapText="1"/>
    </xf>
    <xf numFmtId="0" fontId="14" fillId="37" borderId="192" xfId="0" applyFont="1" applyFill="1" applyBorder="1" applyAlignment="1">
      <alignment vertical="center"/>
    </xf>
    <xf numFmtId="0" fontId="14" fillId="37" borderId="0" xfId="0" applyFont="1" applyFill="1"/>
    <xf numFmtId="0" fontId="49" fillId="0" borderId="192" xfId="79" applyFont="1" applyFill="1" applyBorder="1" applyAlignment="1">
      <alignment vertical="center"/>
    </xf>
    <xf numFmtId="0" fontId="14" fillId="0" borderId="192" xfId="79" applyFont="1" applyFill="1" applyBorder="1" applyAlignment="1">
      <alignment horizontal="center" vertical="center" wrapText="1"/>
    </xf>
    <xf numFmtId="0" fontId="14" fillId="0" borderId="192" xfId="79" applyFont="1" applyBorder="1" applyAlignment="1">
      <alignment vertical="center"/>
    </xf>
    <xf numFmtId="170" fontId="14" fillId="0" borderId="192" xfId="79" applyNumberFormat="1" applyFont="1" applyBorder="1" applyAlignment="1">
      <alignment vertical="center"/>
    </xf>
    <xf numFmtId="0" fontId="14" fillId="0" borderId="192" xfId="79" applyFont="1" applyBorder="1" applyAlignment="1">
      <alignment horizontal="center" vertical="center"/>
    </xf>
    <xf numFmtId="0" fontId="14" fillId="0" borderId="192" xfId="79" applyFont="1" applyFill="1" applyBorder="1" applyAlignment="1">
      <alignment horizontal="center" vertical="center"/>
    </xf>
    <xf numFmtId="9" fontId="49" fillId="0" borderId="192" xfId="85" applyFont="1" applyFill="1" applyBorder="1" applyAlignment="1">
      <alignment horizontal="center" vertical="center"/>
    </xf>
    <xf numFmtId="1" fontId="49" fillId="0" borderId="192" xfId="79" applyNumberFormat="1" applyFont="1" applyFill="1" applyBorder="1" applyAlignment="1">
      <alignment horizontal="center" vertical="center"/>
    </xf>
    <xf numFmtId="9" fontId="49" fillId="0" borderId="192" xfId="85" applyNumberFormat="1" applyFont="1" applyFill="1" applyBorder="1" applyAlignment="1">
      <alignment horizontal="center" vertical="center"/>
    </xf>
    <xf numFmtId="10" fontId="49" fillId="0" borderId="192" xfId="85" applyNumberFormat="1" applyFont="1" applyFill="1" applyBorder="1" applyAlignment="1">
      <alignment horizontal="center" vertical="center"/>
    </xf>
    <xf numFmtId="171" fontId="49" fillId="0" borderId="192" xfId="79" applyNumberFormat="1" applyFont="1" applyFill="1" applyBorder="1" applyAlignment="1">
      <alignment horizontal="center" vertical="center"/>
    </xf>
    <xf numFmtId="10" fontId="49" fillId="0" borderId="192" xfId="79" applyNumberFormat="1" applyFont="1" applyFill="1" applyBorder="1" applyAlignment="1">
      <alignment horizontal="center" vertical="center"/>
    </xf>
    <xf numFmtId="4" fontId="49" fillId="0" borderId="192" xfId="79" applyNumberFormat="1" applyFont="1" applyFill="1" applyBorder="1" applyAlignment="1">
      <alignment horizontal="center" vertical="center"/>
    </xf>
    <xf numFmtId="170" fontId="14" fillId="0" borderId="192" xfId="79" applyNumberFormat="1" applyFont="1" applyFill="1" applyBorder="1" applyAlignment="1">
      <alignment horizontal="center" vertical="center"/>
    </xf>
    <xf numFmtId="169" fontId="14" fillId="0" borderId="192" xfId="79" applyNumberFormat="1" applyFont="1" applyBorder="1" applyAlignment="1">
      <alignment horizontal="center" vertical="center"/>
    </xf>
    <xf numFmtId="0" fontId="52" fillId="0" borderId="192" xfId="79" applyFont="1" applyFill="1" applyBorder="1" applyAlignment="1">
      <alignment vertical="center"/>
    </xf>
    <xf numFmtId="2" fontId="52" fillId="0" borderId="192" xfId="79" applyNumberFormat="1" applyFont="1" applyFill="1" applyBorder="1" applyAlignment="1">
      <alignment horizontal="center" vertical="center"/>
    </xf>
    <xf numFmtId="169" fontId="52" fillId="0" borderId="192" xfId="79" applyNumberFormat="1" applyFont="1" applyFill="1" applyBorder="1" applyAlignment="1">
      <alignment horizontal="center" vertical="center"/>
    </xf>
    <xf numFmtId="9" fontId="52" fillId="0" borderId="192" xfId="85" applyFont="1" applyFill="1" applyBorder="1" applyAlignment="1">
      <alignment horizontal="center" vertical="center"/>
    </xf>
    <xf numFmtId="169" fontId="13" fillId="0" borderId="192" xfId="79" applyNumberFormat="1" applyFont="1" applyBorder="1" applyAlignment="1">
      <alignment horizontal="center" vertical="center"/>
    </xf>
    <xf numFmtId="170" fontId="49" fillId="0" borderId="192" xfId="79" applyNumberFormat="1" applyFont="1" applyFill="1" applyBorder="1" applyAlignment="1">
      <alignment vertical="center"/>
    </xf>
    <xf numFmtId="10" fontId="11" fillId="0" borderId="192" xfId="79" applyNumberFormat="1" applyFont="1" applyFill="1" applyBorder="1" applyAlignment="1">
      <alignment vertical="center"/>
    </xf>
    <xf numFmtId="10" fontId="52" fillId="0" borderId="192" xfId="79" applyNumberFormat="1" applyFont="1" applyFill="1" applyBorder="1" applyAlignment="1">
      <alignment horizontal="center" vertical="center"/>
    </xf>
    <xf numFmtId="4" fontId="52" fillId="0" borderId="192" xfId="79" applyNumberFormat="1" applyFont="1" applyFill="1" applyBorder="1" applyAlignment="1">
      <alignment horizontal="center" vertical="center"/>
    </xf>
    <xf numFmtId="170" fontId="13" fillId="0" borderId="192" xfId="79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0" fontId="61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/>
    <xf numFmtId="0" fontId="13" fillId="38" borderId="192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0" fontId="9" fillId="38" borderId="0" xfId="0" applyFont="1" applyFill="1"/>
    <xf numFmtId="0" fontId="14" fillId="37" borderId="192" xfId="0" applyFont="1" applyFill="1" applyBorder="1" applyAlignment="1">
      <alignment wrapText="1"/>
    </xf>
    <xf numFmtId="0" fontId="1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37" borderId="192" xfId="0" applyFont="1" applyFill="1" applyBorder="1"/>
    <xf numFmtId="0" fontId="14" fillId="0" borderId="0" xfId="0" applyFont="1" applyAlignment="1">
      <alignment horizontal="center" vertical="center"/>
    </xf>
    <xf numFmtId="2" fontId="14" fillId="38" borderId="192" xfId="0" applyNumberFormat="1" applyFont="1" applyFill="1" applyBorder="1" applyAlignment="1">
      <alignment horizontal="center"/>
    </xf>
    <xf numFmtId="169" fontId="14" fillId="38" borderId="192" xfId="0" applyNumberFormat="1" applyFont="1" applyFill="1" applyBorder="1" applyAlignment="1">
      <alignment horizontal="center" vertical="center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168" fontId="13" fillId="50" borderId="247" xfId="0" applyNumberFormat="1" applyFont="1" applyFill="1" applyBorder="1"/>
    <xf numFmtId="168" fontId="13" fillId="50" borderId="246" xfId="0" applyNumberFormat="1" applyFont="1" applyFill="1" applyBorder="1"/>
    <xf numFmtId="0" fontId="118" fillId="36" borderId="235" xfId="0" applyFont="1" applyFill="1" applyBorder="1" applyAlignment="1">
      <alignment horizontal="center" vertical="center"/>
    </xf>
    <xf numFmtId="0" fontId="118" fillId="36" borderId="237" xfId="0" applyFont="1" applyFill="1" applyBorder="1" applyAlignment="1">
      <alignment horizontal="center" vertical="center"/>
    </xf>
    <xf numFmtId="2" fontId="49" fillId="0" borderId="0" xfId="96" applyNumberFormat="1" applyFont="1"/>
    <xf numFmtId="0" fontId="23" fillId="38" borderId="192" xfId="0" applyFont="1" applyFill="1" applyBorder="1" applyAlignment="1">
      <alignment horizontal="center" vertical="center" wrapText="1"/>
    </xf>
    <xf numFmtId="0" fontId="14" fillId="0" borderId="0" xfId="96" applyFont="1"/>
    <xf numFmtId="0" fontId="14" fillId="0" borderId="211" xfId="0" applyFont="1" applyFill="1" applyBorder="1"/>
    <xf numFmtId="0" fontId="15" fillId="0" borderId="0" xfId="0" applyFont="1" applyFill="1" applyBorder="1"/>
    <xf numFmtId="4" fontId="14" fillId="0" borderId="0" xfId="0" applyNumberFormat="1" applyFont="1" applyFill="1" applyBorder="1"/>
    <xf numFmtId="2" fontId="14" fillId="0" borderId="0" xfId="0" applyNumberFormat="1" applyFont="1" applyFill="1" applyBorder="1"/>
    <xf numFmtId="176" fontId="132" fillId="0" borderId="0" xfId="85" applyNumberFormat="1" applyFont="1" applyFill="1" applyBorder="1"/>
    <xf numFmtId="10" fontId="132" fillId="0" borderId="0" xfId="85" applyNumberFormat="1" applyFont="1" applyFill="1" applyBorder="1"/>
    <xf numFmtId="10" fontId="14" fillId="0" borderId="0" xfId="85" applyNumberFormat="1" applyFont="1" applyFill="1" applyBorder="1"/>
    <xf numFmtId="10" fontId="45" fillId="0" borderId="0" xfId="85" applyNumberFormat="1" applyFont="1" applyFill="1" applyBorder="1"/>
    <xf numFmtId="0" fontId="15" fillId="0" borderId="0" xfId="0" applyFont="1" applyBorder="1"/>
    <xf numFmtId="10" fontId="14" fillId="38" borderId="192" xfId="85" applyNumberFormat="1" applyFont="1" applyFill="1" applyBorder="1" applyAlignment="1">
      <alignment horizontal="center" vertical="center"/>
    </xf>
    <xf numFmtId="10" fontId="14" fillId="36" borderId="192" xfId="85" applyNumberFormat="1" applyFont="1" applyFill="1" applyBorder="1" applyAlignment="1">
      <alignment horizontal="center" vertical="center"/>
    </xf>
    <xf numFmtId="3" fontId="14" fillId="36" borderId="192" xfId="0" applyNumberFormat="1" applyFont="1" applyFill="1" applyBorder="1" applyAlignment="1">
      <alignment horizontal="center" vertical="center"/>
    </xf>
    <xf numFmtId="10" fontId="14" fillId="38" borderId="192" xfId="0" applyNumberFormat="1" applyFont="1" applyFill="1" applyBorder="1" applyAlignment="1">
      <alignment horizontal="center" vertical="center"/>
    </xf>
    <xf numFmtId="0" fontId="107" fillId="36" borderId="192" xfId="147" applyFont="1" applyFill="1" applyBorder="1" applyAlignment="1">
      <alignment horizontal="center" wrapText="1"/>
    </xf>
    <xf numFmtId="4" fontId="107" fillId="36" borderId="192" xfId="147" applyNumberFormat="1" applyFont="1" applyFill="1" applyBorder="1" applyAlignment="1">
      <alignment horizontal="center" vertical="center"/>
    </xf>
    <xf numFmtId="0" fontId="107" fillId="38" borderId="192" xfId="147" applyFont="1" applyFill="1" applyBorder="1" applyAlignment="1">
      <alignment horizontal="center" vertical="center"/>
    </xf>
    <xf numFmtId="0" fontId="107" fillId="38" borderId="192" xfId="147" applyFont="1" applyFill="1" applyBorder="1" applyAlignment="1">
      <alignment wrapText="1"/>
    </xf>
    <xf numFmtId="0" fontId="107" fillId="38" borderId="192" xfId="147" applyFont="1" applyFill="1" applyBorder="1" applyAlignment="1">
      <alignment horizontal="center" wrapText="1"/>
    </xf>
    <xf numFmtId="4" fontId="107" fillId="38" borderId="192" xfId="147" applyNumberFormat="1" applyFont="1" applyFill="1" applyBorder="1" applyAlignment="1">
      <alignment horizontal="center" vertical="center"/>
    </xf>
    <xf numFmtId="0" fontId="107" fillId="38" borderId="192" xfId="147" applyFont="1" applyFill="1" applyBorder="1" applyAlignment="1">
      <alignment vertical="center" wrapText="1"/>
    </xf>
    <xf numFmtId="0" fontId="107" fillId="38" borderId="192" xfId="147" applyFont="1" applyFill="1" applyBorder="1" applyAlignment="1">
      <alignment horizontal="center"/>
    </xf>
    <xf numFmtId="4" fontId="107" fillId="38" borderId="192" xfId="148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 wrapText="1"/>
    </xf>
    <xf numFmtId="0" fontId="14" fillId="38" borderId="192" xfId="0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wrapText="1"/>
    </xf>
    <xf numFmtId="0" fontId="14" fillId="0" borderId="192" xfId="0" applyFont="1" applyBorder="1" applyAlignment="1">
      <alignment horizontal="center"/>
    </xf>
    <xf numFmtId="3" fontId="14" fillId="0" borderId="0" xfId="0" applyNumberFormat="1" applyFont="1" applyAlignment="1">
      <alignment wrapText="1"/>
    </xf>
    <xf numFmtId="3" fontId="14" fillId="36" borderId="192" xfId="0" applyNumberFormat="1" applyFont="1" applyFill="1" applyBorder="1" applyAlignment="1">
      <alignment wrapText="1"/>
    </xf>
    <xf numFmtId="3" fontId="13" fillId="38" borderId="192" xfId="0" applyNumberFormat="1" applyFont="1" applyFill="1" applyBorder="1" applyAlignment="1">
      <alignment wrapText="1"/>
    </xf>
    <xf numFmtId="3" fontId="14" fillId="38" borderId="192" xfId="0" applyNumberFormat="1" applyFont="1" applyFill="1" applyBorder="1" applyAlignment="1">
      <alignment vertical="center" wrapText="1"/>
    </xf>
    <xf numFmtId="0" fontId="151" fillId="0" borderId="0" xfId="0" applyFont="1" applyAlignment="1" applyProtection="1">
      <alignment horizontal="center" vertical="center"/>
      <protection locked="0"/>
    </xf>
    <xf numFmtId="0" fontId="151" fillId="0" borderId="0" xfId="0" applyFont="1" applyAlignment="1" applyProtection="1">
      <alignment horizontal="center" vertical="center" wrapText="1"/>
      <protection locked="0"/>
    </xf>
    <xf numFmtId="4" fontId="13" fillId="34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horizontal="center" vertical="center" wrapText="1"/>
    </xf>
    <xf numFmtId="170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 wrapText="1"/>
    </xf>
    <xf numFmtId="2" fontId="14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6" fillId="53" borderId="264" xfId="0" applyNumberFormat="1" applyFont="1" applyFill="1" applyBorder="1" applyAlignment="1">
      <alignment vertical="top" wrapText="1"/>
    </xf>
    <xf numFmtId="0" fontId="156" fillId="53" borderId="265" xfId="0" applyNumberFormat="1" applyFont="1" applyFill="1" applyBorder="1" applyAlignment="1">
      <alignment vertical="top" wrapText="1"/>
    </xf>
    <xf numFmtId="0" fontId="156" fillId="53" borderId="266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horizontal="center" vertical="center" wrapText="1"/>
    </xf>
    <xf numFmtId="186" fontId="158" fillId="37" borderId="267" xfId="0" applyNumberFormat="1" applyFont="1" applyFill="1" applyBorder="1" applyAlignment="1">
      <alignment horizontal="left" vertical="top" wrapText="1"/>
    </xf>
    <xf numFmtId="0" fontId="158" fillId="37" borderId="267" xfId="0" applyNumberFormat="1" applyFont="1" applyFill="1" applyBorder="1" applyAlignment="1">
      <alignment vertical="top" wrapText="1"/>
    </xf>
    <xf numFmtId="4" fontId="158" fillId="37" borderId="267" xfId="0" applyNumberFormat="1" applyFont="1" applyFill="1" applyBorder="1" applyAlignment="1">
      <alignment horizontal="right" vertical="top" wrapText="1"/>
    </xf>
    <xf numFmtId="1" fontId="158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8" fillId="0" borderId="267" xfId="0" applyNumberFormat="1" applyFont="1" applyBorder="1" applyAlignment="1">
      <alignment horizontal="left" vertical="top" wrapText="1"/>
    </xf>
    <xf numFmtId="0" fontId="158" fillId="0" borderId="267" xfId="0" applyNumberFormat="1" applyFont="1" applyBorder="1" applyAlignment="1">
      <alignment vertical="top" wrapText="1"/>
    </xf>
    <xf numFmtId="0" fontId="158" fillId="0" borderId="267" xfId="0" applyNumberFormat="1" applyFont="1" applyBorder="1" applyAlignment="1">
      <alignment horizontal="right" vertical="top" wrapText="1"/>
    </xf>
    <xf numFmtId="1" fontId="158" fillId="0" borderId="267" xfId="0" applyNumberFormat="1" applyFont="1" applyBorder="1" applyAlignment="1">
      <alignment horizontal="right" vertical="top" wrapText="1"/>
    </xf>
    <xf numFmtId="185" fontId="158" fillId="0" borderId="267" xfId="0" applyNumberFormat="1" applyFont="1" applyBorder="1" applyAlignment="1">
      <alignment horizontal="right" vertical="top" wrapText="1"/>
    </xf>
    <xf numFmtId="0" fontId="158" fillId="29" borderId="267" xfId="0" applyNumberFormat="1" applyFont="1" applyFill="1" applyBorder="1" applyAlignment="1">
      <alignment horizontal="right" vertical="top" wrapText="1"/>
    </xf>
    <xf numFmtId="185" fontId="158" fillId="29" borderId="267" xfId="0" applyNumberFormat="1" applyFont="1" applyFill="1" applyBorder="1" applyAlignment="1">
      <alignment horizontal="right" vertical="top" wrapText="1"/>
    </xf>
    <xf numFmtId="187" fontId="158" fillId="0" borderId="267" xfId="0" applyNumberFormat="1" applyFont="1" applyBorder="1" applyAlignment="1">
      <alignment horizontal="left" vertical="top" wrapText="1"/>
    </xf>
    <xf numFmtId="3" fontId="158" fillId="0" borderId="267" xfId="0" applyNumberFormat="1" applyFont="1" applyBorder="1" applyAlignment="1">
      <alignment horizontal="right" vertical="top" wrapText="1"/>
    </xf>
    <xf numFmtId="186" fontId="158" fillId="34" borderId="267" xfId="0" applyNumberFormat="1" applyFont="1" applyFill="1" applyBorder="1" applyAlignment="1">
      <alignment horizontal="left" vertical="top" wrapText="1"/>
    </xf>
    <xf numFmtId="0" fontId="158" fillId="34" borderId="267" xfId="0" applyNumberFormat="1" applyFont="1" applyFill="1" applyBorder="1" applyAlignment="1">
      <alignment vertical="top" wrapText="1"/>
    </xf>
    <xf numFmtId="0" fontId="158" fillId="34" borderId="267" xfId="0" applyNumberFormat="1" applyFont="1" applyFill="1" applyBorder="1" applyAlignment="1">
      <alignment horizontal="right" vertical="top" wrapText="1"/>
    </xf>
    <xf numFmtId="1" fontId="158" fillId="34" borderId="267" xfId="0" applyNumberFormat="1" applyFont="1" applyFill="1" applyBorder="1" applyAlignment="1">
      <alignment horizontal="right" vertical="top" wrapText="1"/>
    </xf>
    <xf numFmtId="0" fontId="158" fillId="34" borderId="268" xfId="0" applyNumberFormat="1" applyFont="1" applyFill="1" applyBorder="1" applyAlignment="1">
      <alignment horizontal="right" vertical="top" wrapText="1"/>
    </xf>
    <xf numFmtId="0" fontId="158" fillId="34" borderId="269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8" fillId="46" borderId="267" xfId="0" applyNumberFormat="1" applyFont="1" applyFill="1" applyBorder="1" applyAlignment="1">
      <alignment horizontal="left" vertical="top" wrapText="1"/>
    </xf>
    <xf numFmtId="0" fontId="158" fillId="46" borderId="267" xfId="0" applyNumberFormat="1" applyFont="1" applyFill="1" applyBorder="1" applyAlignment="1">
      <alignment vertical="top" wrapText="1"/>
    </xf>
    <xf numFmtId="0" fontId="158" fillId="46" borderId="267" xfId="0" applyNumberFormat="1" applyFont="1" applyFill="1" applyBorder="1" applyAlignment="1">
      <alignment horizontal="right" vertical="top" wrapText="1"/>
    </xf>
    <xf numFmtId="1" fontId="158" fillId="46" borderId="267" xfId="0" applyNumberFormat="1" applyFont="1" applyFill="1" applyBorder="1" applyAlignment="1">
      <alignment horizontal="right" vertical="top" wrapText="1"/>
    </xf>
    <xf numFmtId="185" fontId="158" fillId="46" borderId="267" xfId="0" applyNumberFormat="1" applyFont="1" applyFill="1" applyBorder="1" applyAlignment="1">
      <alignment horizontal="right" vertical="top" wrapText="1"/>
    </xf>
    <xf numFmtId="188" fontId="158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6" fillId="54" borderId="267" xfId="0" applyNumberFormat="1" applyFont="1" applyFill="1" applyBorder="1" applyAlignment="1">
      <alignment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185" fontId="157" fillId="54" borderId="267" xfId="0" applyNumberFormat="1" applyFont="1" applyFill="1" applyBorder="1" applyAlignment="1">
      <alignment horizontal="right" vertical="top" wrapText="1"/>
    </xf>
    <xf numFmtId="0" fontId="0" fillId="54" borderId="0" xfId="0" applyFill="1"/>
    <xf numFmtId="189" fontId="158" fillId="55" borderId="267" xfId="0" applyNumberFormat="1" applyFont="1" applyFill="1" applyBorder="1" applyAlignment="1">
      <alignment horizontal="left" vertical="top" wrapText="1"/>
    </xf>
    <xf numFmtId="0" fontId="158" fillId="55" borderId="267" xfId="0" applyNumberFormat="1" applyFont="1" applyFill="1" applyBorder="1" applyAlignment="1">
      <alignment vertical="top" wrapText="1"/>
    </xf>
    <xf numFmtId="0" fontId="158" fillId="55" borderId="267" xfId="0" applyNumberFormat="1" applyFont="1" applyFill="1" applyBorder="1" applyAlignment="1">
      <alignment horizontal="right" vertical="top" wrapText="1"/>
    </xf>
    <xf numFmtId="1" fontId="158" fillId="55" borderId="267" xfId="0" applyNumberFormat="1" applyFont="1" applyFill="1" applyBorder="1" applyAlignment="1">
      <alignment horizontal="right" vertical="top" wrapText="1"/>
    </xf>
    <xf numFmtId="185" fontId="158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0" fontId="158" fillId="55" borderId="268" xfId="0" applyNumberFormat="1" applyFont="1" applyFill="1" applyBorder="1" applyAlignment="1">
      <alignment horizontal="right" vertical="top" wrapText="1"/>
    </xf>
    <xf numFmtId="0" fontId="158" fillId="55" borderId="269" xfId="0" applyNumberFormat="1" applyFont="1" applyFill="1" applyBorder="1" applyAlignment="1">
      <alignment horizontal="right" vertical="top" wrapText="1"/>
    </xf>
    <xf numFmtId="185" fontId="160" fillId="55" borderId="267" xfId="0" applyNumberFormat="1" applyFont="1" applyFill="1" applyBorder="1" applyAlignment="1">
      <alignment horizontal="right" vertical="top" wrapText="1"/>
    </xf>
    <xf numFmtId="189" fontId="158" fillId="37" borderId="267" xfId="0" applyNumberFormat="1" applyFont="1" applyFill="1" applyBorder="1" applyAlignment="1">
      <alignment horizontal="left" vertical="top" wrapText="1"/>
    </xf>
    <xf numFmtId="185" fontId="160" fillId="37" borderId="267" xfId="0" applyNumberFormat="1" applyFont="1" applyFill="1" applyBorder="1" applyAlignment="1">
      <alignment horizontal="right" vertical="top" wrapText="1"/>
    </xf>
    <xf numFmtId="0" fontId="158" fillId="37" borderId="268" xfId="0" applyNumberFormat="1" applyFont="1" applyFill="1" applyBorder="1" applyAlignment="1">
      <alignment horizontal="right" vertical="top" wrapText="1"/>
    </xf>
    <xf numFmtId="0" fontId="158" fillId="37" borderId="269" xfId="0" applyNumberFormat="1" applyFont="1" applyFill="1" applyBorder="1" applyAlignment="1">
      <alignment horizontal="right" vertical="top" wrapText="1"/>
    </xf>
    <xf numFmtId="189" fontId="158" fillId="0" borderId="267" xfId="0" applyNumberFormat="1" applyFont="1" applyBorder="1" applyAlignment="1">
      <alignment horizontal="left" vertical="top" wrapText="1"/>
    </xf>
    <xf numFmtId="0" fontId="158" fillId="0" borderId="268" xfId="0" applyNumberFormat="1" applyFont="1" applyBorder="1" applyAlignment="1">
      <alignment horizontal="right" vertical="top" wrapText="1"/>
    </xf>
    <xf numFmtId="0" fontId="158" fillId="0" borderId="269" xfId="0" applyNumberFormat="1" applyFont="1" applyBorder="1" applyAlignment="1">
      <alignment horizontal="right" vertical="top" wrapText="1"/>
    </xf>
    <xf numFmtId="185" fontId="160" fillId="0" borderId="267" xfId="0" applyNumberFormat="1" applyFont="1" applyBorder="1" applyAlignment="1">
      <alignment horizontal="right" vertical="top" wrapText="1"/>
    </xf>
    <xf numFmtId="188" fontId="158" fillId="29" borderId="267" xfId="0" applyNumberFormat="1" applyFont="1" applyFill="1" applyBorder="1" applyAlignment="1">
      <alignment horizontal="right" vertical="top" wrapText="1"/>
    </xf>
    <xf numFmtId="187" fontId="158" fillId="46" borderId="267" xfId="0" applyNumberFormat="1" applyFont="1" applyFill="1" applyBorder="1" applyAlignment="1">
      <alignment horizontal="lef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188" fontId="158" fillId="37" borderId="267" xfId="0" applyNumberFormat="1" applyFont="1" applyFill="1" applyBorder="1" applyAlignment="1">
      <alignment horizontal="right" vertical="top" wrapText="1"/>
    </xf>
    <xf numFmtId="190" fontId="158" fillId="0" borderId="267" xfId="0" applyNumberFormat="1" applyFont="1" applyBorder="1" applyAlignment="1">
      <alignment horizontal="left" vertical="top" wrapText="1"/>
    </xf>
    <xf numFmtId="189" fontId="158" fillId="34" borderId="267" xfId="0" applyNumberFormat="1" applyFont="1" applyFill="1" applyBorder="1" applyAlignment="1">
      <alignment horizontal="left" vertical="top" wrapText="1"/>
    </xf>
    <xf numFmtId="0" fontId="156" fillId="54" borderId="267" xfId="0" applyNumberFormat="1" applyFont="1" applyFill="1" applyBorder="1" applyAlignment="1">
      <alignment horizontal="right" vertical="top" wrapText="1"/>
    </xf>
    <xf numFmtId="187" fontId="158" fillId="37" borderId="267" xfId="0" applyNumberFormat="1" applyFont="1" applyFill="1" applyBorder="1" applyAlignment="1">
      <alignment horizontal="left" vertical="top" wrapText="1"/>
    </xf>
    <xf numFmtId="0" fontId="161" fillId="54" borderId="264" xfId="0" applyNumberFormat="1" applyFont="1" applyFill="1" applyBorder="1" applyAlignment="1">
      <alignment vertical="top"/>
    </xf>
    <xf numFmtId="185" fontId="161" fillId="54" borderId="264" xfId="0" applyNumberFormat="1" applyFont="1" applyFill="1" applyBorder="1" applyAlignment="1">
      <alignment horizontal="right" vertical="top" wrapText="1"/>
    </xf>
    <xf numFmtId="185" fontId="155" fillId="38" borderId="267" xfId="0" applyNumberFormat="1" applyFont="1" applyFill="1" applyBorder="1" applyAlignment="1">
      <alignment horizontal="right"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4" fontId="14" fillId="0" borderId="0" xfId="0" applyNumberFormat="1" applyFont="1" applyAlignment="1">
      <alignment vertical="center" wrapText="1"/>
    </xf>
    <xf numFmtId="4" fontId="14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8" fillId="52" borderId="267" xfId="0" applyNumberFormat="1" applyFont="1" applyFill="1" applyBorder="1" applyAlignment="1">
      <alignment horizontal="right" vertical="top" wrapText="1"/>
    </xf>
    <xf numFmtId="185" fontId="158" fillId="41" borderId="267" xfId="0" applyNumberFormat="1" applyFont="1" applyFill="1" applyBorder="1" applyAlignment="1">
      <alignment horizontal="right" vertical="top" wrapText="1"/>
    </xf>
    <xf numFmtId="185" fontId="158" fillId="51" borderId="267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 wrapText="1"/>
    </xf>
    <xf numFmtId="4" fontId="61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 wrapText="1"/>
    </xf>
    <xf numFmtId="4" fontId="62" fillId="29" borderId="192" xfId="0" applyNumberFormat="1" applyFont="1" applyFill="1" applyBorder="1" applyAlignment="1">
      <alignment horizontal="center" vertical="center"/>
    </xf>
    <xf numFmtId="4" fontId="18" fillId="29" borderId="192" xfId="0" applyNumberFormat="1" applyFont="1" applyFill="1" applyBorder="1" applyAlignment="1">
      <alignment horizontal="center" vertical="center"/>
    </xf>
    <xf numFmtId="0" fontId="118" fillId="0" borderId="0" xfId="0" applyFont="1"/>
    <xf numFmtId="0" fontId="14" fillId="38" borderId="192" xfId="0" applyFont="1" applyFill="1" applyBorder="1" applyAlignment="1">
      <alignment horizont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/>
    </xf>
    <xf numFmtId="0" fontId="56" fillId="38" borderId="192" xfId="147" applyFont="1" applyFill="1" applyBorder="1" applyAlignment="1">
      <alignment horizontal="center" vertical="center" wrapText="1"/>
    </xf>
    <xf numFmtId="3" fontId="55" fillId="38" borderId="192" xfId="147" applyNumberFormat="1" applyFont="1" applyFill="1" applyBorder="1" applyAlignment="1">
      <alignment horizontal="center" vertical="center" wrapText="1"/>
    </xf>
    <xf numFmtId="4" fontId="55" fillId="38" borderId="192" xfId="147" applyNumberFormat="1" applyFont="1" applyFill="1" applyBorder="1" applyAlignment="1">
      <alignment horizontal="center" vertical="center" wrapText="1"/>
    </xf>
    <xf numFmtId="1" fontId="56" fillId="37" borderId="192" xfId="147" applyNumberFormat="1" applyFont="1" applyFill="1" applyBorder="1" applyAlignment="1">
      <alignment horizontal="center" vertical="center" wrapText="1"/>
    </xf>
    <xf numFmtId="4" fontId="56" fillId="37" borderId="192" xfId="147" applyNumberFormat="1" applyFont="1" applyFill="1" applyBorder="1" applyAlignment="1">
      <alignment horizontal="center" vertical="center" wrapText="1"/>
    </xf>
    <xf numFmtId="171" fontId="56" fillId="37" borderId="192" xfId="147" applyNumberFormat="1" applyFont="1" applyFill="1" applyBorder="1" applyAlignment="1">
      <alignment horizontal="center" vertical="center" wrapText="1"/>
    </xf>
    <xf numFmtId="9" fontId="56" fillId="37" borderId="192" xfId="147" applyNumberFormat="1" applyFont="1" applyFill="1" applyBorder="1" applyAlignment="1">
      <alignment horizontal="center" vertical="center" wrapText="1"/>
    </xf>
    <xf numFmtId="178" fontId="56" fillId="37" borderId="192" xfId="147" applyNumberFormat="1" applyFont="1" applyFill="1" applyBorder="1" applyAlignment="1">
      <alignment horizontal="center" vertical="center" wrapText="1"/>
    </xf>
    <xf numFmtId="4" fontId="56" fillId="36" borderId="192" xfId="147" applyNumberFormat="1" applyFont="1" applyFill="1" applyBorder="1" applyAlignment="1">
      <alignment horizontal="center" vertical="center" wrapText="1"/>
    </xf>
    <xf numFmtId="169" fontId="14" fillId="0" borderId="0" xfId="0" applyNumberFormat="1" applyFont="1"/>
    <xf numFmtId="1" fontId="14" fillId="38" borderId="192" xfId="0" applyNumberFormat="1" applyFont="1" applyFill="1" applyBorder="1" applyAlignment="1">
      <alignment horizontal="center" vertical="center"/>
    </xf>
    <xf numFmtId="2" fontId="49" fillId="0" borderId="0" xfId="85" applyNumberFormat="1" applyFont="1"/>
    <xf numFmtId="0" fontId="82" fillId="38" borderId="0" xfId="0" applyFont="1" applyFill="1" applyAlignment="1">
      <alignment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1" fillId="38" borderId="17" xfId="0" applyFont="1" applyFill="1" applyBorder="1" applyAlignment="1">
      <alignment horizontal="center" wrapText="1"/>
    </xf>
    <xf numFmtId="0" fontId="18" fillId="38" borderId="17" xfId="0" applyFont="1" applyFill="1" applyBorder="1" applyAlignment="1">
      <alignment vertical="center" wrapText="1"/>
    </xf>
    <xf numFmtId="0" fontId="80" fillId="0" borderId="257" xfId="0" applyFont="1" applyBorder="1" applyAlignment="1">
      <alignment vertical="center"/>
    </xf>
    <xf numFmtId="4" fontId="18" fillId="0" borderId="257" xfId="0" applyNumberFormat="1" applyFont="1" applyBorder="1" applyAlignment="1">
      <alignment horizontal="right" vertical="center"/>
    </xf>
    <xf numFmtId="4" fontId="81" fillId="0" borderId="257" xfId="0" applyNumberFormat="1" applyFont="1" applyBorder="1" applyAlignment="1">
      <alignment horizontal="right" vertical="center"/>
    </xf>
    <xf numFmtId="178" fontId="18" fillId="29" borderId="257" xfId="0" applyNumberFormat="1" applyFont="1" applyFill="1" applyBorder="1" applyAlignment="1">
      <alignment horizontal="center" vertical="center"/>
    </xf>
    <xf numFmtId="4" fontId="61" fillId="0" borderId="257" xfId="0" applyNumberFormat="1" applyFont="1" applyBorder="1" applyAlignment="1">
      <alignment horizontal="right" vertical="center"/>
    </xf>
    <xf numFmtId="4" fontId="62" fillId="0" borderId="257" xfId="0" applyNumberFormat="1" applyFont="1" applyBorder="1" applyAlignment="1">
      <alignment horizontal="right" vertical="center"/>
    </xf>
    <xf numFmtId="0" fontId="61" fillId="0" borderId="257" xfId="0" applyFont="1" applyBorder="1" applyAlignment="1">
      <alignment vertical="center"/>
    </xf>
    <xf numFmtId="0" fontId="61" fillId="0" borderId="257" xfId="0" applyFont="1" applyBorder="1" applyAlignment="1">
      <alignment horizontal="right" vertical="center"/>
    </xf>
    <xf numFmtId="0" fontId="18" fillId="0" borderId="257" xfId="0" applyFont="1" applyBorder="1" applyAlignment="1">
      <alignment horizontal="right" vertical="center"/>
    </xf>
    <xf numFmtId="178" fontId="62" fillId="29" borderId="257" xfId="0" applyNumberFormat="1" applyFont="1" applyFill="1" applyBorder="1" applyAlignment="1">
      <alignment horizontal="center" vertical="center"/>
    </xf>
    <xf numFmtId="178" fontId="18" fillId="29" borderId="11" xfId="0" applyNumberFormat="1" applyFont="1" applyFill="1" applyBorder="1" applyAlignment="1">
      <alignment horizontal="center" vertical="center"/>
    </xf>
    <xf numFmtId="169" fontId="15" fillId="0" borderId="270" xfId="0" applyNumberFormat="1" applyFont="1" applyBorder="1" applyAlignment="1">
      <alignment horizontal="center"/>
    </xf>
    <xf numFmtId="4" fontId="13" fillId="29" borderId="192" xfId="0" applyNumberFormat="1" applyFont="1" applyFill="1" applyBorder="1" applyAlignment="1">
      <alignment vertical="center"/>
    </xf>
    <xf numFmtId="178" fontId="14" fillId="29" borderId="192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82" fillId="0" borderId="0" xfId="0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38" borderId="206" xfId="0" applyFont="1" applyFill="1" applyBorder="1" applyAlignment="1">
      <alignment horizontal="center" vertical="center" wrapText="1"/>
    </xf>
    <xf numFmtId="4" fontId="18" fillId="34" borderId="192" xfId="0" applyNumberFormat="1" applyFont="1" applyFill="1" applyBorder="1" applyAlignment="1">
      <alignment horizontal="center" vertical="center" wrapText="1"/>
    </xf>
    <xf numFmtId="4" fontId="61" fillId="34" borderId="192" xfId="0" applyNumberFormat="1" applyFont="1" applyFill="1" applyBorder="1" applyAlignment="1">
      <alignment horizontal="center" vertical="center"/>
    </xf>
    <xf numFmtId="4" fontId="18" fillId="34" borderId="192" xfId="0" applyNumberFormat="1" applyFont="1" applyFill="1" applyBorder="1" applyAlignment="1">
      <alignment horizontal="center" vertical="center"/>
    </xf>
    <xf numFmtId="0" fontId="18" fillId="34" borderId="192" xfId="0" applyFont="1" applyFill="1" applyBorder="1" applyAlignment="1">
      <alignment vertical="center"/>
    </xf>
    <xf numFmtId="0" fontId="13" fillId="34" borderId="192" xfId="0" applyFont="1" applyFill="1" applyBorder="1" applyAlignment="1">
      <alignment horizontal="center" vertical="center"/>
    </xf>
    <xf numFmtId="169" fontId="13" fillId="34" borderId="192" xfId="0" applyNumberFormat="1" applyFont="1" applyFill="1" applyBorder="1" applyAlignment="1">
      <alignment horizontal="center" vertical="center"/>
    </xf>
    <xf numFmtId="169" fontId="16" fillId="34" borderId="192" xfId="0" applyNumberFormat="1" applyFont="1" applyFill="1" applyBorder="1" applyAlignment="1">
      <alignment horizontal="center" vertical="center"/>
    </xf>
    <xf numFmtId="4" fontId="13" fillId="34" borderId="192" xfId="0" applyNumberFormat="1" applyFont="1" applyFill="1" applyBorder="1" applyAlignment="1">
      <alignment horizontal="center" vertical="center"/>
    </xf>
    <xf numFmtId="4" fontId="16" fillId="34" borderId="192" xfId="0" applyNumberFormat="1" applyFont="1" applyFill="1" applyBorder="1" applyAlignment="1">
      <alignment horizontal="center" vertical="center"/>
    </xf>
    <xf numFmtId="4" fontId="19" fillId="34" borderId="192" xfId="0" applyNumberFormat="1" applyFont="1" applyFill="1" applyBorder="1" applyAlignment="1">
      <alignment horizontal="center" vertical="center"/>
    </xf>
    <xf numFmtId="171" fontId="81" fillId="34" borderId="192" xfId="85" applyNumberFormat="1" applyFont="1" applyFill="1" applyBorder="1" applyAlignment="1">
      <alignment horizontal="center" vertical="center"/>
    </xf>
    <xf numFmtId="171" fontId="18" fillId="34" borderId="192" xfId="0" applyNumberFormat="1" applyFont="1" applyFill="1" applyBorder="1" applyAlignment="1">
      <alignment horizontal="center" vertical="center" wrapText="1"/>
    </xf>
    <xf numFmtId="4" fontId="13" fillId="34" borderId="192" xfId="0" applyNumberFormat="1" applyFont="1" applyFill="1" applyBorder="1" applyAlignment="1">
      <alignment horizontal="center" vertical="center" wrapText="1"/>
    </xf>
    <xf numFmtId="171" fontId="81" fillId="34" borderId="192" xfId="0" applyNumberFormat="1" applyFont="1" applyFill="1" applyBorder="1" applyAlignment="1">
      <alignment horizontal="center" vertical="center" wrapText="1"/>
    </xf>
    <xf numFmtId="0" fontId="14" fillId="34" borderId="192" xfId="0" applyFont="1" applyFill="1" applyBorder="1" applyAlignment="1">
      <alignment vertical="center" wrapText="1"/>
    </xf>
    <xf numFmtId="2" fontId="13" fillId="34" borderId="192" xfId="0" applyNumberFormat="1" applyFont="1" applyFill="1" applyBorder="1" applyAlignment="1">
      <alignment horizontal="center" vertical="center"/>
    </xf>
    <xf numFmtId="2" fontId="13" fillId="34" borderId="192" xfId="0" applyNumberFormat="1" applyFont="1" applyFill="1" applyBorder="1" applyAlignment="1">
      <alignment vertical="center" wrapText="1"/>
    </xf>
    <xf numFmtId="0" fontId="18" fillId="34" borderId="192" xfId="0" applyFont="1" applyFill="1" applyBorder="1" applyAlignment="1">
      <alignment vertical="center" wrapText="1"/>
    </xf>
    <xf numFmtId="0" fontId="13" fillId="34" borderId="192" xfId="0" applyFont="1" applyFill="1" applyBorder="1" applyAlignment="1">
      <alignment vertical="center"/>
    </xf>
    <xf numFmtId="4" fontId="13" fillId="34" borderId="192" xfId="0" applyNumberFormat="1" applyFont="1" applyFill="1" applyBorder="1" applyAlignment="1">
      <alignment vertical="center"/>
    </xf>
    <xf numFmtId="9" fontId="14" fillId="34" borderId="192" xfId="0" applyNumberFormat="1" applyFont="1" applyFill="1" applyBorder="1" applyAlignment="1">
      <alignment horizontal="center" vertical="center" wrapText="1"/>
    </xf>
    <xf numFmtId="0" fontId="14" fillId="34" borderId="192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center" vertical="center"/>
    </xf>
    <xf numFmtId="4" fontId="118" fillId="0" borderId="0" xfId="0" applyNumberFormat="1" applyFont="1" applyFill="1" applyBorder="1" applyAlignment="1">
      <alignment horizontal="center" vertical="center"/>
    </xf>
    <xf numFmtId="4" fontId="14" fillId="29" borderId="192" xfId="0" applyNumberFormat="1" applyFont="1" applyFill="1" applyBorder="1"/>
    <xf numFmtId="4" fontId="13" fillId="29" borderId="192" xfId="0" applyNumberFormat="1" applyFont="1" applyFill="1" applyBorder="1"/>
    <xf numFmtId="0" fontId="166" fillId="0" borderId="0" xfId="0" applyFont="1" applyAlignment="1">
      <alignment horizontal="center" vertical="center" wrapText="1"/>
    </xf>
    <xf numFmtId="4" fontId="93" fillId="0" borderId="0" xfId="0" applyNumberFormat="1" applyFont="1"/>
    <xf numFmtId="4" fontId="93" fillId="0" borderId="0" xfId="0" applyNumberFormat="1" applyFont="1" applyAlignment="1">
      <alignment vertical="center"/>
    </xf>
    <xf numFmtId="4" fontId="13" fillId="0" borderId="0" xfId="0" applyNumberFormat="1" applyFont="1" applyFill="1" applyBorder="1"/>
    <xf numFmtId="0" fontId="14" fillId="0" borderId="0" xfId="0" applyFont="1" applyFill="1" applyAlignment="1">
      <alignment wrapText="1"/>
    </xf>
    <xf numFmtId="4" fontId="93" fillId="0" borderId="0" xfId="0" applyNumberFormat="1" applyFont="1" applyFill="1"/>
    <xf numFmtId="4" fontId="14" fillId="29" borderId="192" xfId="0" applyNumberFormat="1" applyFont="1" applyFill="1" applyBorder="1" applyAlignment="1">
      <alignment horizontal="right" vertical="center" wrapText="1"/>
    </xf>
    <xf numFmtId="4" fontId="13" fillId="29" borderId="192" xfId="0" applyNumberFormat="1" applyFont="1" applyFill="1" applyBorder="1" applyAlignment="1">
      <alignment horizontal="right"/>
    </xf>
    <xf numFmtId="0" fontId="14" fillId="38" borderId="192" xfId="0" applyFont="1" applyFill="1" applyBorder="1" applyAlignment="1">
      <alignment vertical="center" wrapText="1"/>
    </xf>
    <xf numFmtId="0" fontId="61" fillId="30" borderId="11" xfId="0" applyFont="1" applyFill="1" applyBorder="1" applyAlignment="1">
      <alignment horizontal="center" vertical="center"/>
    </xf>
    <xf numFmtId="0" fontId="56" fillId="38" borderId="192" xfId="147" applyFont="1" applyFill="1" applyBorder="1" applyAlignment="1">
      <alignment horizontal="center" vertical="center" wrapText="1"/>
    </xf>
    <xf numFmtId="0" fontId="167" fillId="0" borderId="0" xfId="147" applyFont="1"/>
    <xf numFmtId="0" fontId="129" fillId="0" borderId="0" xfId="147" applyFont="1"/>
    <xf numFmtId="0" fontId="59" fillId="0" borderId="0" xfId="0" applyFont="1"/>
    <xf numFmtId="0" fontId="14" fillId="29" borderId="192" xfId="0" applyFont="1" applyFill="1" applyBorder="1"/>
    <xf numFmtId="2" fontId="14" fillId="29" borderId="192" xfId="0" applyNumberFormat="1" applyFont="1" applyFill="1" applyBorder="1"/>
    <xf numFmtId="168" fontId="14" fillId="29" borderId="192" xfId="0" applyNumberFormat="1" applyFont="1" applyFill="1" applyBorder="1"/>
    <xf numFmtId="0" fontId="14" fillId="29" borderId="192" xfId="0" applyFont="1" applyFill="1" applyBorder="1" applyAlignment="1">
      <alignment vertical="center"/>
    </xf>
    <xf numFmtId="178" fontId="13" fillId="29" borderId="192" xfId="0" applyNumberFormat="1" applyFont="1" applyFill="1" applyBorder="1" applyAlignment="1">
      <alignment horizontal="center" vertical="center"/>
    </xf>
    <xf numFmtId="4" fontId="62" fillId="29" borderId="192" xfId="0" applyNumberFormat="1" applyFont="1" applyFill="1" applyBorder="1" applyAlignment="1">
      <alignment vertical="center"/>
    </xf>
    <xf numFmtId="4" fontId="61" fillId="29" borderId="192" xfId="0" applyNumberFormat="1" applyFont="1" applyFill="1" applyBorder="1" applyAlignment="1">
      <alignment vertical="center"/>
    </xf>
    <xf numFmtId="10" fontId="61" fillId="29" borderId="192" xfId="85" applyNumberFormat="1" applyFont="1" applyFill="1" applyBorder="1" applyAlignment="1">
      <alignment horizontal="center" vertical="center"/>
    </xf>
    <xf numFmtId="10" fontId="61" fillId="29" borderId="192" xfId="0" applyNumberFormat="1" applyFont="1" applyFill="1" applyBorder="1" applyAlignment="1">
      <alignment vertical="center"/>
    </xf>
    <xf numFmtId="0" fontId="61" fillId="30" borderId="11" xfId="0" applyFont="1" applyFill="1" applyBorder="1" applyAlignment="1">
      <alignment horizontal="center" vertical="center"/>
    </xf>
    <xf numFmtId="0" fontId="13" fillId="0" borderId="0" xfId="79" applyFont="1" applyFill="1"/>
    <xf numFmtId="4" fontId="14" fillId="29" borderId="192" xfId="79" applyNumberFormat="1" applyFont="1" applyFill="1" applyBorder="1" applyAlignment="1">
      <alignment horizontal="center" vertical="center"/>
    </xf>
    <xf numFmtId="10" fontId="14" fillId="29" borderId="192" xfId="85" applyNumberFormat="1" applyFont="1" applyFill="1" applyBorder="1" applyAlignment="1">
      <alignment horizontal="center" vertical="center"/>
    </xf>
    <xf numFmtId="171" fontId="13" fillId="29" borderId="192" xfId="85" applyNumberFormat="1" applyFont="1" applyFill="1" applyBorder="1" applyAlignment="1">
      <alignment vertical="center"/>
    </xf>
    <xf numFmtId="10" fontId="13" fillId="29" borderId="192" xfId="85" applyNumberFormat="1" applyFont="1" applyFill="1" applyBorder="1" applyAlignment="1">
      <alignment vertical="center"/>
    </xf>
    <xf numFmtId="178" fontId="14" fillId="29" borderId="192" xfId="79" applyNumberFormat="1" applyFont="1" applyFill="1" applyBorder="1" applyAlignment="1">
      <alignment horizontal="center" vertical="center"/>
    </xf>
    <xf numFmtId="4" fontId="52" fillId="29" borderId="192" xfId="79" applyNumberFormat="1" applyFont="1" applyFill="1" applyBorder="1" applyAlignment="1">
      <alignment horizontal="center" vertical="center"/>
    </xf>
    <xf numFmtId="193" fontId="13" fillId="29" borderId="192" xfId="85" applyNumberFormat="1" applyFont="1" applyFill="1" applyBorder="1" applyAlignment="1">
      <alignment vertical="center"/>
    </xf>
    <xf numFmtId="0" fontId="14" fillId="27" borderId="193" xfId="96" applyFont="1" applyFill="1" applyBorder="1" applyAlignment="1">
      <alignment horizontal="center" vertical="center" wrapText="1"/>
    </xf>
    <xf numFmtId="0" fontId="8" fillId="0" borderId="192" xfId="79" applyFont="1" applyBorder="1" applyAlignment="1">
      <alignment vertical="center"/>
    </xf>
    <xf numFmtId="4" fontId="14" fillId="29" borderId="192" xfId="0" applyNumberFormat="1" applyFont="1" applyFill="1" applyBorder="1" applyAlignment="1">
      <alignment horizontal="center" vertical="center" wrapText="1"/>
    </xf>
    <xf numFmtId="0" fontId="14" fillId="29" borderId="192" xfId="96" applyFont="1" applyFill="1" applyBorder="1"/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38" borderId="254" xfId="0" applyFont="1" applyFill="1" applyBorder="1" applyAlignment="1">
      <alignment horizontal="center"/>
    </xf>
    <xf numFmtId="4" fontId="14" fillId="29" borderId="192" xfId="0" applyNumberFormat="1" applyFont="1" applyFill="1" applyBorder="1" applyAlignment="1">
      <alignment vertical="center"/>
    </xf>
    <xf numFmtId="174" fontId="14" fillId="29" borderId="192" xfId="0" applyNumberFormat="1" applyFont="1" applyFill="1" applyBorder="1" applyAlignment="1">
      <alignment horizontal="center" vertical="center"/>
    </xf>
    <xf numFmtId="2" fontId="14" fillId="29" borderId="192" xfId="0" applyNumberFormat="1" applyFont="1" applyFill="1" applyBorder="1" applyAlignment="1">
      <alignment horizontal="center" vertical="center"/>
    </xf>
    <xf numFmtId="168" fontId="14" fillId="29" borderId="192" xfId="0" applyNumberFormat="1" applyFont="1" applyFill="1" applyBorder="1" applyAlignment="1">
      <alignment horizontal="center" vertical="center"/>
    </xf>
    <xf numFmtId="167" fontId="14" fillId="29" borderId="192" xfId="0" applyNumberFormat="1" applyFont="1" applyFill="1" applyBorder="1" applyAlignment="1">
      <alignment horizontal="center" vertical="center"/>
    </xf>
    <xf numFmtId="0" fontId="17" fillId="38" borderId="0" xfId="0" applyFont="1" applyFill="1" applyBorder="1" applyAlignment="1">
      <alignment horizontal="center"/>
    </xf>
    <xf numFmtId="0" fontId="14" fillId="38" borderId="0" xfId="0" applyFont="1" applyFill="1" applyBorder="1" applyAlignment="1">
      <alignment horizontal="center" vertical="center" wrapText="1"/>
    </xf>
    <xf numFmtId="0" fontId="14" fillId="36" borderId="0" xfId="0" applyFont="1" applyFill="1" applyBorder="1" applyAlignment="1">
      <alignment vertical="center"/>
    </xf>
    <xf numFmtId="4" fontId="14" fillId="36" borderId="0" xfId="0" applyNumberFormat="1" applyFont="1" applyFill="1" applyBorder="1" applyAlignment="1">
      <alignment vertical="center"/>
    </xf>
    <xf numFmtId="4" fontId="13" fillId="38" borderId="0" xfId="0" applyNumberFormat="1" applyFont="1" applyFill="1" applyBorder="1" applyAlignment="1">
      <alignment vertical="center"/>
    </xf>
    <xf numFmtId="0" fontId="14" fillId="36" borderId="0" xfId="0" applyFont="1" applyFill="1" applyBorder="1"/>
    <xf numFmtId="4" fontId="13" fillId="36" borderId="0" xfId="0" applyNumberFormat="1" applyFont="1" applyFill="1" applyBorder="1"/>
    <xf numFmtId="4" fontId="14" fillId="29" borderId="192" xfId="0" applyNumberFormat="1" applyFont="1" applyFill="1" applyBorder="1" applyAlignment="1">
      <alignment vertical="center" wrapText="1"/>
    </xf>
    <xf numFmtId="0" fontId="13" fillId="29" borderId="192" xfId="0" applyFont="1" applyFill="1" applyBorder="1" applyAlignment="1">
      <alignment vertical="center"/>
    </xf>
    <xf numFmtId="171" fontId="14" fillId="29" borderId="192" xfId="85" applyNumberFormat="1" applyFont="1" applyFill="1" applyBorder="1"/>
    <xf numFmtId="4" fontId="15" fillId="29" borderId="192" xfId="0" applyNumberFormat="1" applyFont="1" applyFill="1" applyBorder="1" applyAlignment="1">
      <alignment horizontal="right" vertical="center"/>
    </xf>
    <xf numFmtId="4" fontId="93" fillId="0" borderId="0" xfId="0" applyNumberFormat="1" applyFont="1" applyAlignment="1">
      <alignment horizontal="center" vertical="center"/>
    </xf>
    <xf numFmtId="4" fontId="14" fillId="29" borderId="192" xfId="0" applyNumberFormat="1" applyFont="1" applyFill="1" applyBorder="1" applyAlignment="1">
      <alignment horizontal="center" wrapText="1"/>
    </xf>
    <xf numFmtId="2" fontId="14" fillId="29" borderId="192" xfId="0" applyNumberFormat="1" applyFont="1" applyFill="1" applyBorder="1" applyAlignment="1">
      <alignment horizontal="center" vertical="center" wrapText="1"/>
    </xf>
    <xf numFmtId="2" fontId="13" fillId="29" borderId="192" xfId="0" applyNumberFormat="1" applyFont="1" applyFill="1" applyBorder="1" applyAlignment="1">
      <alignment horizontal="center" vertical="center" wrapText="1"/>
    </xf>
    <xf numFmtId="0" fontId="20" fillId="0" borderId="0" xfId="77"/>
    <xf numFmtId="0" fontId="82" fillId="38" borderId="257" xfId="77" applyFont="1" applyFill="1" applyBorder="1" applyAlignment="1">
      <alignment horizontal="center" wrapText="1"/>
    </xf>
    <xf numFmtId="0" fontId="82" fillId="0" borderId="257" xfId="77" applyFont="1" applyFill="1" applyBorder="1"/>
    <xf numFmtId="2" fontId="82" fillId="0" borderId="257" xfId="77" applyNumberFormat="1" applyFont="1" applyFill="1" applyBorder="1" applyAlignment="1">
      <alignment horizontal="center"/>
    </xf>
    <xf numFmtId="4" fontId="82" fillId="0" borderId="257" xfId="77" applyNumberFormat="1" applyFont="1" applyFill="1" applyBorder="1" applyAlignment="1">
      <alignment horizontal="center" vertical="center"/>
    </xf>
    <xf numFmtId="0" fontId="82" fillId="0" borderId="257" xfId="77" applyFont="1" applyFill="1" applyBorder="1" applyAlignment="1">
      <alignment horizontal="center"/>
    </xf>
    <xf numFmtId="4" fontId="82" fillId="0" borderId="257" xfId="77" applyNumberFormat="1" applyFont="1" applyFill="1" applyBorder="1" applyAlignment="1">
      <alignment horizontal="center"/>
    </xf>
    <xf numFmtId="2" fontId="20" fillId="0" borderId="0" xfId="77" applyNumberFormat="1"/>
    <xf numFmtId="0" fontId="17" fillId="0" borderId="257" xfId="77" applyFont="1" applyFill="1" applyBorder="1"/>
    <xf numFmtId="2" fontId="17" fillId="0" borderId="257" xfId="77" applyNumberFormat="1" applyFont="1" applyFill="1" applyBorder="1" applyAlignment="1">
      <alignment horizontal="center"/>
    </xf>
    <xf numFmtId="4" fontId="17" fillId="0" borderId="257" xfId="77" applyNumberFormat="1" applyFont="1" applyFill="1" applyBorder="1" applyAlignment="1">
      <alignment horizontal="center"/>
    </xf>
    <xf numFmtId="0" fontId="122" fillId="0" borderId="0" xfId="77" applyFont="1"/>
    <xf numFmtId="0" fontId="135" fillId="0" borderId="0" xfId="96" applyFont="1"/>
    <xf numFmtId="4" fontId="135" fillId="0" borderId="0" xfId="96" applyNumberFormat="1" applyFont="1"/>
    <xf numFmtId="0" fontId="18" fillId="0" borderId="0" xfId="0" applyFont="1" applyAlignment="1">
      <alignment horizontal="center"/>
    </xf>
    <xf numFmtId="0" fontId="14" fillId="0" borderId="36" xfId="0" applyFont="1" applyBorder="1" applyAlignment="1">
      <alignment horizontal="center" vertical="center" wrapText="1"/>
    </xf>
    <xf numFmtId="0" fontId="13" fillId="0" borderId="257" xfId="0" applyFont="1" applyBorder="1" applyAlignment="1">
      <alignment horizontal="center" vertical="center" wrapText="1"/>
    </xf>
    <xf numFmtId="0" fontId="14" fillId="0" borderId="257" xfId="0" applyFont="1" applyBorder="1"/>
    <xf numFmtId="4" fontId="14" fillId="0" borderId="257" xfId="0" applyNumberFormat="1" applyFont="1" applyBorder="1"/>
    <xf numFmtId="0" fontId="14" fillId="43" borderId="257" xfId="0" applyFont="1" applyFill="1" applyBorder="1"/>
    <xf numFmtId="4" fontId="14" fillId="43" borderId="257" xfId="0" applyNumberFormat="1" applyFont="1" applyFill="1" applyBorder="1"/>
    <xf numFmtId="0" fontId="13" fillId="0" borderId="257" xfId="0" applyFont="1" applyFill="1" applyBorder="1"/>
    <xf numFmtId="0" fontId="13" fillId="0" borderId="257" xfId="0" applyFont="1" applyBorder="1"/>
    <xf numFmtId="4" fontId="13" fillId="0" borderId="257" xfId="0" applyNumberFormat="1" applyFont="1" applyBorder="1" applyAlignment="1">
      <alignment horizontal="center" vertical="center"/>
    </xf>
    <xf numFmtId="0" fontId="14" fillId="0" borderId="257" xfId="0" applyFont="1" applyFill="1" applyBorder="1"/>
    <xf numFmtId="0" fontId="14" fillId="0" borderId="257" xfId="0" applyFont="1" applyBorder="1" applyAlignment="1">
      <alignment horizontal="center" vertical="center"/>
    </xf>
    <xf numFmtId="4" fontId="14" fillId="0" borderId="257" xfId="0" applyNumberFormat="1" applyFont="1" applyBorder="1" applyAlignment="1">
      <alignment horizontal="center" vertical="center"/>
    </xf>
    <xf numFmtId="0" fontId="14" fillId="0" borderId="211" xfId="0" applyFont="1" applyBorder="1"/>
    <xf numFmtId="4" fontId="14" fillId="0" borderId="211" xfId="0" applyNumberFormat="1" applyFont="1" applyBorder="1" applyAlignment="1">
      <alignment horizontal="center" vertical="center"/>
    </xf>
    <xf numFmtId="0" fontId="14" fillId="0" borderId="211" xfId="0" applyFont="1" applyBorder="1" applyAlignment="1">
      <alignment horizontal="center" vertical="center" wrapText="1"/>
    </xf>
    <xf numFmtId="4" fontId="14" fillId="0" borderId="0" xfId="0" applyNumberFormat="1" applyFont="1" applyBorder="1" applyAlignment="1">
      <alignment horizontal="center" vertical="center"/>
    </xf>
    <xf numFmtId="0" fontId="14" fillId="0" borderId="36" xfId="0" applyFont="1" applyBorder="1"/>
    <xf numFmtId="4" fontId="14" fillId="0" borderId="36" xfId="0" applyNumberFormat="1" applyFont="1" applyBorder="1" applyAlignment="1">
      <alignment horizontal="center" vertical="center"/>
    </xf>
    <xf numFmtId="4" fontId="118" fillId="0" borderId="257" xfId="0" applyNumberFormat="1" applyFont="1" applyBorder="1"/>
    <xf numFmtId="2" fontId="14" fillId="0" borderId="257" xfId="0" applyNumberFormat="1" applyFont="1" applyBorder="1" applyAlignment="1">
      <alignment horizontal="center"/>
    </xf>
    <xf numFmtId="4" fontId="144" fillId="0" borderId="257" xfId="0" applyNumberFormat="1" applyFont="1" applyBorder="1" applyAlignment="1">
      <alignment horizontal="center" vertical="center"/>
    </xf>
    <xf numFmtId="4" fontId="118" fillId="0" borderId="257" xfId="0" applyNumberFormat="1" applyFont="1" applyBorder="1" applyAlignment="1">
      <alignment horizontal="center" vertical="center"/>
    </xf>
    <xf numFmtId="0" fontId="107" fillId="0" borderId="0" xfId="150" applyFont="1"/>
    <xf numFmtId="0" fontId="107" fillId="0" borderId="257" xfId="150" applyFont="1" applyFill="1" applyBorder="1" applyAlignment="1">
      <alignment horizontal="center" vertical="center" wrapText="1"/>
    </xf>
    <xf numFmtId="0" fontId="49" fillId="0" borderId="257" xfId="150" applyFont="1" applyFill="1" applyBorder="1" applyAlignment="1">
      <alignment horizontal="center" vertical="center"/>
    </xf>
    <xf numFmtId="0" fontId="49" fillId="0" borderId="257" xfId="150" applyFont="1" applyFill="1" applyBorder="1" applyAlignment="1">
      <alignment vertical="center"/>
    </xf>
    <xf numFmtId="0" fontId="50" fillId="0" borderId="257" xfId="150" applyFont="1" applyFill="1" applyBorder="1" applyAlignment="1">
      <alignment vertical="center"/>
    </xf>
    <xf numFmtId="0" fontId="50" fillId="0" borderId="257" xfId="150" applyFont="1" applyFill="1" applyBorder="1" applyAlignment="1">
      <alignment vertical="center" wrapText="1"/>
    </xf>
    <xf numFmtId="0" fontId="50" fillId="0" borderId="257" xfId="150" applyFont="1" applyFill="1" applyBorder="1" applyAlignment="1">
      <alignment horizontal="center" vertical="center"/>
    </xf>
    <xf numFmtId="0" fontId="52" fillId="0" borderId="257" xfId="150" applyFont="1" applyFill="1" applyBorder="1" applyAlignment="1">
      <alignment vertical="center"/>
    </xf>
    <xf numFmtId="0" fontId="49" fillId="0" borderId="257" xfId="150" applyFont="1" applyFill="1" applyBorder="1" applyAlignment="1">
      <alignment horizontal="center" vertical="center" wrapText="1"/>
    </xf>
    <xf numFmtId="2" fontId="49" fillId="0" borderId="257" xfId="150" applyNumberFormat="1" applyFont="1" applyFill="1" applyBorder="1" applyAlignment="1">
      <alignment vertical="center"/>
    </xf>
    <xf numFmtId="2" fontId="52" fillId="0" borderId="257" xfId="150" applyNumberFormat="1" applyFont="1" applyFill="1" applyBorder="1" applyAlignment="1">
      <alignment vertical="center"/>
    </xf>
    <xf numFmtId="4" fontId="50" fillId="0" borderId="257" xfId="150" applyNumberFormat="1" applyFont="1" applyFill="1" applyBorder="1" applyAlignment="1">
      <alignment vertical="center"/>
    </xf>
    <xf numFmtId="2" fontId="50" fillId="0" borderId="257" xfId="150" applyNumberFormat="1" applyFont="1" applyFill="1" applyBorder="1" applyAlignment="1">
      <alignment vertical="center"/>
    </xf>
    <xf numFmtId="0" fontId="129" fillId="0" borderId="0" xfId="150" applyFon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/>
    </xf>
    <xf numFmtId="0" fontId="61" fillId="30" borderId="1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258" xfId="0" applyFont="1" applyBorder="1" applyAlignment="1">
      <alignment horizontal="center" vertical="center" wrapText="1"/>
    </xf>
    <xf numFmtId="0" fontId="14" fillId="38" borderId="254" xfId="0" applyFont="1" applyFill="1" applyBorder="1" applyAlignment="1">
      <alignment horizontal="center"/>
    </xf>
    <xf numFmtId="0" fontId="52" fillId="0" borderId="257" xfId="150" applyFont="1" applyFill="1" applyBorder="1" applyAlignment="1">
      <alignment horizontal="center" vertical="center"/>
    </xf>
    <xf numFmtId="4" fontId="52" fillId="0" borderId="257" xfId="150" applyNumberFormat="1" applyFont="1" applyFill="1" applyBorder="1" applyAlignment="1">
      <alignment vertical="center"/>
    </xf>
    <xf numFmtId="0" fontId="50" fillId="0" borderId="270" xfId="15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4" fontId="14" fillId="0" borderId="192" xfId="0" applyNumberFormat="1" applyFont="1" applyFill="1" applyBorder="1" applyAlignment="1">
      <alignment vertical="center"/>
    </xf>
    <xf numFmtId="178" fontId="14" fillId="0" borderId="192" xfId="0" applyNumberFormat="1" applyFont="1" applyFill="1" applyBorder="1" applyAlignment="1">
      <alignment vertical="center" wrapText="1"/>
    </xf>
    <xf numFmtId="4" fontId="14" fillId="0" borderId="192" xfId="0" applyNumberFormat="1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vertical="center"/>
    </xf>
    <xf numFmtId="0" fontId="14" fillId="0" borderId="192" xfId="0" applyFont="1" applyFill="1" applyBorder="1"/>
    <xf numFmtId="4" fontId="14" fillId="0" borderId="192" xfId="0" applyNumberFormat="1" applyFont="1" applyFill="1" applyBorder="1"/>
    <xf numFmtId="1" fontId="14" fillId="0" borderId="192" xfId="0" applyNumberFormat="1" applyFont="1" applyFill="1" applyBorder="1" applyAlignment="1">
      <alignment vertical="center"/>
    </xf>
    <xf numFmtId="0" fontId="13" fillId="0" borderId="192" xfId="0" applyFont="1" applyFill="1" applyBorder="1" applyAlignment="1">
      <alignment vertical="center"/>
    </xf>
    <xf numFmtId="171" fontId="14" fillId="0" borderId="192" xfId="85" applyNumberFormat="1" applyFont="1" applyFill="1" applyBorder="1"/>
    <xf numFmtId="174" fontId="14" fillId="0" borderId="192" xfId="0" applyNumberFormat="1" applyFont="1" applyFill="1" applyBorder="1" applyAlignment="1">
      <alignment horizontal="center" vertical="center"/>
    </xf>
    <xf numFmtId="192" fontId="14" fillId="0" borderId="192" xfId="0" applyNumberFormat="1" applyFont="1" applyFill="1" applyBorder="1" applyAlignment="1">
      <alignment horizontal="center" vertical="center"/>
    </xf>
    <xf numFmtId="168" fontId="14" fillId="0" borderId="192" xfId="0" applyNumberFormat="1" applyFont="1" applyFill="1" applyBorder="1" applyAlignment="1">
      <alignment horizontal="center" vertical="center"/>
    </xf>
    <xf numFmtId="167" fontId="14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4" fontId="14" fillId="0" borderId="192" xfId="79" applyNumberFormat="1" applyFont="1" applyFill="1" applyBorder="1" applyAlignment="1">
      <alignment horizontal="center" vertical="center"/>
    </xf>
    <xf numFmtId="10" fontId="13" fillId="0" borderId="192" xfId="85" applyNumberFormat="1" applyFont="1" applyFill="1" applyBorder="1" applyAlignment="1">
      <alignment vertical="center"/>
    </xf>
    <xf numFmtId="0" fontId="14" fillId="0" borderId="192" xfId="79" applyFont="1" applyFill="1" applyBorder="1" applyAlignment="1">
      <alignment vertical="center"/>
    </xf>
    <xf numFmtId="169" fontId="14" fillId="0" borderId="192" xfId="79" applyNumberFormat="1" applyFont="1" applyFill="1" applyBorder="1" applyAlignment="1">
      <alignment horizontal="center" vertical="center"/>
    </xf>
    <xf numFmtId="169" fontId="13" fillId="0" borderId="192" xfId="79" applyNumberFormat="1" applyFont="1" applyFill="1" applyBorder="1" applyAlignment="1">
      <alignment horizontal="center" vertical="center"/>
    </xf>
    <xf numFmtId="170" fontId="14" fillId="0" borderId="205" xfId="0" applyNumberFormat="1" applyFont="1" applyFill="1" applyBorder="1" applyAlignment="1">
      <alignment horizontal="right" vertical="center"/>
    </xf>
    <xf numFmtId="170" fontId="14" fillId="0" borderId="207" xfId="0" applyNumberFormat="1" applyFont="1" applyFill="1" applyBorder="1" applyAlignment="1">
      <alignment horizontal="right" vertical="center"/>
    </xf>
    <xf numFmtId="170" fontId="14" fillId="0" borderId="206" xfId="0" applyNumberFormat="1" applyFont="1" applyFill="1" applyBorder="1" applyAlignment="1">
      <alignment horizontal="right" vertical="center"/>
    </xf>
    <xf numFmtId="2" fontId="15" fillId="0" borderId="192" xfId="89" applyNumberFormat="1" applyFont="1" applyFill="1" applyBorder="1" applyAlignment="1">
      <alignment horizontal="center" vertical="center"/>
    </xf>
    <xf numFmtId="9" fontId="14" fillId="0" borderId="192" xfId="85" applyFont="1" applyFill="1" applyBorder="1" applyAlignment="1">
      <alignment vertical="center"/>
    </xf>
    <xf numFmtId="178" fontId="14" fillId="0" borderId="192" xfId="0" applyNumberFormat="1" applyFont="1" applyFill="1" applyBorder="1" applyAlignment="1">
      <alignment horizontal="center" vertical="center"/>
    </xf>
    <xf numFmtId="2" fontId="18" fillId="30" borderId="270" xfId="0" applyNumberFormat="1" applyFont="1" applyFill="1" applyBorder="1"/>
    <xf numFmtId="2" fontId="61" fillId="30" borderId="270" xfId="0" applyNumberFormat="1" applyFont="1" applyFill="1" applyBorder="1"/>
    <xf numFmtId="2" fontId="62" fillId="30" borderId="270" xfId="0" applyNumberFormat="1" applyFont="1" applyFill="1" applyBorder="1"/>
    <xf numFmtId="4" fontId="61" fillId="0" borderId="192" xfId="0" applyNumberFormat="1" applyFont="1" applyFill="1" applyBorder="1" applyAlignment="1">
      <alignment vertical="center"/>
    </xf>
    <xf numFmtId="4" fontId="62" fillId="0" borderId="192" xfId="0" applyNumberFormat="1" applyFont="1" applyFill="1" applyBorder="1" applyAlignment="1">
      <alignment vertical="center"/>
    </xf>
    <xf numFmtId="170" fontId="61" fillId="0" borderId="192" xfId="0" applyNumberFormat="1" applyFont="1" applyFill="1" applyBorder="1" applyAlignment="1">
      <alignment vertical="center"/>
    </xf>
    <xf numFmtId="10" fontId="61" fillId="0" borderId="192" xfId="0" applyNumberFormat="1" applyFont="1" applyFill="1" applyBorder="1" applyAlignment="1">
      <alignment vertical="center"/>
    </xf>
    <xf numFmtId="4" fontId="61" fillId="0" borderId="193" xfId="0" applyNumberFormat="1" applyFont="1" applyFill="1" applyBorder="1" applyAlignment="1">
      <alignment vertical="center"/>
    </xf>
    <xf numFmtId="10" fontId="61" fillId="0" borderId="192" xfId="0" applyNumberFormat="1" applyFont="1" applyFill="1" applyBorder="1"/>
    <xf numFmtId="0" fontId="14" fillId="0" borderId="192" xfId="96" applyFont="1" applyFill="1" applyBorder="1"/>
    <xf numFmtId="169" fontId="15" fillId="0" borderId="272" xfId="0" applyNumberFormat="1" applyFont="1" applyBorder="1" applyAlignment="1">
      <alignment horizontal="center"/>
    </xf>
    <xf numFmtId="0" fontId="0" fillId="0" borderId="270" xfId="0" applyBorder="1"/>
    <xf numFmtId="178" fontId="18" fillId="0" borderId="11" xfId="0" applyNumberFormat="1" applyFont="1" applyFill="1" applyBorder="1" applyAlignment="1">
      <alignment horizontal="center" vertical="center"/>
    </xf>
    <xf numFmtId="1" fontId="14" fillId="0" borderId="205" xfId="0" applyNumberFormat="1" applyFont="1" applyFill="1" applyBorder="1" applyAlignment="1">
      <alignment horizontal="right" vertical="center"/>
    </xf>
    <xf numFmtId="3" fontId="14" fillId="0" borderId="205" xfId="0" applyNumberFormat="1" applyFont="1" applyFill="1" applyBorder="1" applyAlignment="1">
      <alignment horizontal="right" vertical="center"/>
    </xf>
    <xf numFmtId="171" fontId="13" fillId="0" borderId="205" xfId="0" applyNumberFormat="1" applyFont="1" applyFill="1" applyBorder="1" applyAlignment="1">
      <alignment horizontal="center" vertical="center" wrapText="1"/>
    </xf>
    <xf numFmtId="10" fontId="14" fillId="0" borderId="205" xfId="85" applyNumberFormat="1" applyFont="1" applyFill="1" applyBorder="1" applyAlignment="1">
      <alignment vertical="center"/>
    </xf>
    <xf numFmtId="0" fontId="14" fillId="0" borderId="205" xfId="0" applyFont="1" applyFill="1" applyBorder="1" applyAlignment="1">
      <alignment vertical="center"/>
    </xf>
    <xf numFmtId="0" fontId="14" fillId="0" borderId="205" xfId="0" applyFont="1" applyFill="1" applyBorder="1" applyAlignment="1">
      <alignment horizontal="center" vertical="center"/>
    </xf>
    <xf numFmtId="3" fontId="14" fillId="0" borderId="205" xfId="0" applyNumberFormat="1" applyFont="1" applyFill="1" applyBorder="1" applyAlignment="1">
      <alignment horizontal="center" vertical="center"/>
    </xf>
    <xf numFmtId="171" fontId="14" fillId="0" borderId="205" xfId="85" applyNumberFormat="1" applyFont="1" applyFill="1" applyBorder="1" applyAlignment="1">
      <alignment vertical="center"/>
    </xf>
    <xf numFmtId="2" fontId="14" fillId="0" borderId="205" xfId="0" applyNumberFormat="1" applyFont="1" applyFill="1" applyBorder="1" applyAlignment="1">
      <alignment horizontal="center" vertical="center"/>
    </xf>
    <xf numFmtId="1" fontId="14" fillId="0" borderId="207" xfId="0" applyNumberFormat="1" applyFont="1" applyFill="1" applyBorder="1" applyAlignment="1">
      <alignment horizontal="right" vertical="center"/>
    </xf>
    <xf numFmtId="3" fontId="14" fillId="0" borderId="207" xfId="0" applyNumberFormat="1" applyFont="1" applyFill="1" applyBorder="1" applyAlignment="1">
      <alignment horizontal="right" vertical="center"/>
    </xf>
    <xf numFmtId="10" fontId="14" fillId="0" borderId="207" xfId="85" applyNumberFormat="1" applyFont="1" applyFill="1" applyBorder="1" applyAlignment="1">
      <alignment vertical="center"/>
    </xf>
    <xf numFmtId="0" fontId="13" fillId="0" borderId="192" xfId="0" applyFont="1" applyFill="1" applyBorder="1" applyAlignment="1">
      <alignment horizontal="center" vertical="center"/>
    </xf>
    <xf numFmtId="178" fontId="18" fillId="0" borderId="257" xfId="0" applyNumberFormat="1" applyFont="1" applyFill="1" applyBorder="1" applyAlignment="1">
      <alignment horizontal="center" vertical="center"/>
    </xf>
    <xf numFmtId="178" fontId="62" fillId="0" borderId="257" xfId="0" applyNumberFormat="1" applyFont="1" applyFill="1" applyBorder="1" applyAlignment="1">
      <alignment horizontal="center" vertical="center"/>
    </xf>
    <xf numFmtId="4" fontId="14" fillId="0" borderId="206" xfId="0" applyNumberFormat="1" applyFont="1" applyFill="1" applyBorder="1" applyAlignment="1">
      <alignment horizontal="right" vertical="center"/>
    </xf>
    <xf numFmtId="4" fontId="14" fillId="0" borderId="205" xfId="0" applyNumberFormat="1" applyFont="1" applyFill="1" applyBorder="1" applyAlignment="1">
      <alignment horizontal="right" vertical="center"/>
    </xf>
    <xf numFmtId="170" fontId="14" fillId="0" borderId="193" xfId="0" applyNumberFormat="1" applyFont="1" applyFill="1" applyBorder="1" applyAlignment="1">
      <alignment horizontal="right" vertical="center"/>
    </xf>
    <xf numFmtId="170" fontId="14" fillId="0" borderId="0" xfId="0" applyNumberFormat="1" applyFont="1" applyFill="1" applyBorder="1" applyAlignment="1">
      <alignment horizontal="right" vertical="center"/>
    </xf>
    <xf numFmtId="169" fontId="14" fillId="0" borderId="0" xfId="0" applyNumberFormat="1" applyFont="1" applyFill="1" applyBorder="1" applyAlignment="1">
      <alignment horizontal="right" vertical="center"/>
    </xf>
    <xf numFmtId="169" fontId="13" fillId="0" borderId="192" xfId="0" applyNumberFormat="1" applyFont="1" applyFill="1" applyBorder="1" applyAlignment="1">
      <alignment horizontal="right" vertical="center"/>
    </xf>
    <xf numFmtId="3" fontId="14" fillId="0" borderId="192" xfId="0" applyNumberFormat="1" applyFont="1" applyFill="1" applyBorder="1" applyAlignment="1">
      <alignment vertical="center"/>
    </xf>
    <xf numFmtId="178" fontId="14" fillId="0" borderId="192" xfId="79" applyNumberFormat="1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vertical="center"/>
    </xf>
    <xf numFmtId="193" fontId="13" fillId="0" borderId="192" xfId="85" applyNumberFormat="1" applyFont="1" applyFill="1" applyBorder="1" applyAlignment="1">
      <alignment vertical="center"/>
    </xf>
    <xf numFmtId="178" fontId="14" fillId="0" borderId="0" xfId="0" applyNumberFormat="1" applyFont="1"/>
    <xf numFmtId="2" fontId="14" fillId="0" borderId="192" xfId="0" applyNumberFormat="1" applyFont="1" applyFill="1" applyBorder="1"/>
    <xf numFmtId="168" fontId="15" fillId="0" borderId="192" xfId="0" applyNumberFormat="1" applyFont="1" applyFill="1" applyBorder="1" applyAlignment="1">
      <alignment horizontal="center" vertical="center"/>
    </xf>
    <xf numFmtId="4" fontId="61" fillId="0" borderId="0" xfId="0" applyNumberFormat="1" applyFont="1" applyFill="1"/>
    <xf numFmtId="0" fontId="61" fillId="0" borderId="0" xfId="0" applyFont="1" applyFill="1"/>
    <xf numFmtId="2" fontId="13" fillId="0" borderId="192" xfId="0" applyNumberFormat="1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8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/>
    </xf>
    <xf numFmtId="0" fontId="13" fillId="38" borderId="193" xfId="0" applyFont="1" applyFill="1" applyBorder="1" applyAlignment="1">
      <alignment horizontal="center" vertical="center"/>
    </xf>
    <xf numFmtId="0" fontId="13" fillId="38" borderId="207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3" fillId="38" borderId="199" xfId="0" applyFont="1" applyFill="1" applyBorder="1" applyAlignment="1">
      <alignment horizontal="center" vertical="center" wrapText="1"/>
    </xf>
    <xf numFmtId="0" fontId="13" fillId="38" borderId="194" xfId="0" applyFont="1" applyFill="1" applyBorder="1" applyAlignment="1">
      <alignment horizontal="center" vertical="center" wrapText="1"/>
    </xf>
    <xf numFmtId="0" fontId="49" fillId="0" borderId="192" xfId="79" applyFont="1" applyFill="1" applyBorder="1" applyAlignment="1">
      <alignment horizontal="center" vertical="center"/>
    </xf>
    <xf numFmtId="0" fontId="19" fillId="0" borderId="0" xfId="79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4" fontId="14" fillId="29" borderId="192" xfId="85" applyNumberFormat="1" applyFont="1" applyFill="1" applyBorder="1" applyAlignment="1">
      <alignment horizontal="center" vertical="center"/>
    </xf>
    <xf numFmtId="4" fontId="14" fillId="29" borderId="205" xfId="85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right" vertical="center"/>
    </xf>
    <xf numFmtId="0" fontId="14" fillId="0" borderId="194" xfId="79" applyFont="1" applyBorder="1" applyAlignment="1">
      <alignment vertical="center"/>
    </xf>
    <xf numFmtId="0" fontId="14" fillId="0" borderId="194" xfId="79" applyFont="1" applyBorder="1" applyAlignment="1">
      <alignment horizontal="center" vertical="center"/>
    </xf>
    <xf numFmtId="169" fontId="14" fillId="0" borderId="194" xfId="79" applyNumberFormat="1" applyFont="1" applyBorder="1" applyAlignment="1">
      <alignment horizontal="center" vertical="center"/>
    </xf>
    <xf numFmtId="169" fontId="13" fillId="0" borderId="194" xfId="79" applyNumberFormat="1" applyFont="1" applyBorder="1" applyAlignment="1">
      <alignment horizontal="center" vertical="center"/>
    </xf>
    <xf numFmtId="0" fontId="8" fillId="0" borderId="0" xfId="79" applyFont="1" applyFill="1" applyBorder="1" applyAlignment="1">
      <alignment vertical="center"/>
    </xf>
    <xf numFmtId="0" fontId="8" fillId="0" borderId="0" xfId="79" applyFont="1" applyBorder="1" applyAlignment="1">
      <alignment vertical="center"/>
    </xf>
    <xf numFmtId="0" fontId="14" fillId="0" borderId="0" xfId="79" applyFont="1" applyBorder="1" applyAlignment="1">
      <alignment vertical="center"/>
    </xf>
    <xf numFmtId="0" fontId="14" fillId="0" borderId="0" xfId="79" applyFont="1" applyFill="1" applyBorder="1" applyAlignment="1">
      <alignment vertical="center"/>
    </xf>
    <xf numFmtId="0" fontId="14" fillId="0" borderId="226" xfId="79" applyFont="1" applyBorder="1" applyAlignment="1">
      <alignment vertical="center"/>
    </xf>
    <xf numFmtId="0" fontId="11" fillId="0" borderId="215" xfId="79" applyFont="1" applyFill="1" applyBorder="1" applyAlignment="1">
      <alignment vertical="center"/>
    </xf>
    <xf numFmtId="0" fontId="11" fillId="0" borderId="208" xfId="79" applyFont="1" applyFill="1" applyBorder="1" applyAlignment="1">
      <alignment vertical="center"/>
    </xf>
    <xf numFmtId="0" fontId="11" fillId="0" borderId="208" xfId="79" applyFont="1" applyFill="1" applyBorder="1" applyAlignment="1">
      <alignment horizontal="center" vertical="center"/>
    </xf>
    <xf numFmtId="0" fontId="8" fillId="0" borderId="208" xfId="79" applyFont="1" applyFill="1" applyBorder="1" applyAlignment="1">
      <alignment vertical="center"/>
    </xf>
    <xf numFmtId="0" fontId="8" fillId="0" borderId="208" xfId="79" applyFill="1" applyBorder="1" applyAlignment="1">
      <alignment vertical="center"/>
    </xf>
    <xf numFmtId="0" fontId="14" fillId="0" borderId="208" xfId="79" applyFont="1" applyFill="1" applyBorder="1" applyAlignment="1">
      <alignment vertical="center"/>
    </xf>
    <xf numFmtId="0" fontId="14" fillId="0" borderId="216" xfId="79" applyFont="1" applyFill="1" applyBorder="1" applyAlignment="1">
      <alignment vertical="center"/>
    </xf>
    <xf numFmtId="0" fontId="0" fillId="0" borderId="0" xfId="0" applyAlignment="1"/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61" fillId="30" borderId="1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0" fillId="0" borderId="0" xfId="0" applyFont="1" applyAlignment="1">
      <alignment horizontal="center"/>
    </xf>
    <xf numFmtId="0" fontId="165" fillId="0" borderId="0" xfId="0" applyFont="1" applyAlignment="1">
      <alignment horizontal="center"/>
    </xf>
    <xf numFmtId="0" fontId="14" fillId="0" borderId="258" xfId="0" applyFont="1" applyBorder="1" applyAlignment="1">
      <alignment horizontal="center" vertical="center" wrapText="1"/>
    </xf>
    <xf numFmtId="0" fontId="14" fillId="38" borderId="254" xfId="0" applyFont="1" applyFill="1" applyBorder="1" applyAlignment="1">
      <alignment horizontal="center"/>
    </xf>
    <xf numFmtId="4" fontId="18" fillId="0" borderId="205" xfId="0" applyNumberFormat="1" applyFont="1" applyFill="1" applyBorder="1" applyAlignment="1">
      <alignment horizontal="center" vertical="center"/>
    </xf>
    <xf numFmtId="0" fontId="61" fillId="0" borderId="257" xfId="0" applyFont="1" applyFill="1" applyBorder="1" applyAlignment="1">
      <alignment vertical="center" wrapText="1"/>
    </xf>
    <xf numFmtId="0" fontId="13" fillId="0" borderId="257" xfId="0" applyFont="1" applyFill="1" applyBorder="1" applyAlignment="1">
      <alignment horizontal="center" vertical="center"/>
    </xf>
    <xf numFmtId="169" fontId="13" fillId="0" borderId="257" xfId="0" applyNumberFormat="1" applyFont="1" applyFill="1" applyBorder="1" applyAlignment="1">
      <alignment horizontal="center" vertical="center"/>
    </xf>
    <xf numFmtId="169" fontId="16" fillId="0" borderId="257" xfId="0" applyNumberFormat="1" applyFont="1" applyFill="1" applyBorder="1" applyAlignment="1">
      <alignment horizontal="center" vertical="center"/>
    </xf>
    <xf numFmtId="4" fontId="13" fillId="0" borderId="257" xfId="0" applyNumberFormat="1" applyFont="1" applyFill="1" applyBorder="1" applyAlignment="1">
      <alignment horizontal="center" vertical="center"/>
    </xf>
    <xf numFmtId="4" fontId="16" fillId="0" borderId="257" xfId="0" applyNumberFormat="1" applyFont="1" applyFill="1" applyBorder="1" applyAlignment="1">
      <alignment horizontal="center" vertical="center"/>
    </xf>
    <xf numFmtId="4" fontId="19" fillId="0" borderId="257" xfId="0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/>
    </xf>
    <xf numFmtId="171" fontId="81" fillId="0" borderId="257" xfId="85" applyNumberFormat="1" applyFont="1" applyFill="1" applyBorder="1" applyAlignment="1">
      <alignment horizontal="center" vertical="center"/>
    </xf>
    <xf numFmtId="4" fontId="18" fillId="0" borderId="257" xfId="0" applyNumberFormat="1" applyFont="1" applyFill="1" applyBorder="1" applyAlignment="1">
      <alignment horizontal="center" vertical="center" wrapText="1"/>
    </xf>
    <xf numFmtId="171" fontId="18" fillId="0" borderId="257" xfId="0" applyNumberFormat="1" applyFont="1" applyFill="1" applyBorder="1" applyAlignment="1">
      <alignment horizontal="center" vertical="center" wrapText="1"/>
    </xf>
    <xf numFmtId="4" fontId="13" fillId="0" borderId="257" xfId="0" applyNumberFormat="1" applyFont="1" applyFill="1" applyBorder="1" applyAlignment="1">
      <alignment horizontal="center" vertical="center" wrapText="1"/>
    </xf>
    <xf numFmtId="171" fontId="81" fillId="0" borderId="257" xfId="0" applyNumberFormat="1" applyFont="1" applyFill="1" applyBorder="1" applyAlignment="1">
      <alignment horizontal="center" vertical="center" wrapText="1"/>
    </xf>
    <xf numFmtId="0" fontId="14" fillId="0" borderId="257" xfId="0" applyFont="1" applyFill="1" applyBorder="1" applyAlignment="1">
      <alignment vertical="center" wrapText="1"/>
    </xf>
    <xf numFmtId="0" fontId="62" fillId="0" borderId="257" xfId="0" applyFont="1" applyFill="1" applyBorder="1" applyAlignment="1">
      <alignment vertical="center" wrapText="1"/>
    </xf>
    <xf numFmtId="4" fontId="62" fillId="0" borderId="257" xfId="0" applyNumberFormat="1" applyFont="1" applyFill="1" applyBorder="1" applyAlignment="1">
      <alignment horizontal="center" vertical="center"/>
    </xf>
    <xf numFmtId="0" fontId="61" fillId="0" borderId="257" xfId="0" applyFont="1" applyFill="1" applyBorder="1" applyAlignment="1">
      <alignment vertical="center"/>
    </xf>
    <xf numFmtId="178" fontId="81" fillId="0" borderId="192" xfId="0" applyNumberFormat="1" applyFont="1" applyFill="1" applyBorder="1" applyAlignment="1">
      <alignment horizontal="center" vertical="center"/>
    </xf>
    <xf numFmtId="0" fontId="18" fillId="0" borderId="257" xfId="0" applyFont="1" applyFill="1" applyBorder="1" applyAlignment="1">
      <alignment horizontal="center" vertical="center"/>
    </xf>
    <xf numFmtId="169" fontId="18" fillId="0" borderId="257" xfId="0" applyNumberFormat="1" applyFont="1" applyFill="1" applyBorder="1" applyAlignment="1">
      <alignment horizontal="center" vertical="center"/>
    </xf>
    <xf numFmtId="169" fontId="62" fillId="0" borderId="257" xfId="0" applyNumberFormat="1" applyFont="1" applyFill="1" applyBorder="1" applyAlignment="1">
      <alignment horizontal="center" vertical="center"/>
    </xf>
    <xf numFmtId="4" fontId="81" fillId="0" borderId="257" xfId="0" applyNumberFormat="1" applyFont="1" applyFill="1" applyBorder="1" applyAlignment="1">
      <alignment horizontal="center" vertical="center"/>
    </xf>
    <xf numFmtId="0" fontId="14" fillId="0" borderId="257" xfId="0" applyFont="1" applyFill="1" applyBorder="1" applyAlignment="1">
      <alignment vertical="center"/>
    </xf>
    <xf numFmtId="0" fontId="18" fillId="0" borderId="0" xfId="0" applyFont="1" applyAlignment="1">
      <alignment horizontal="center"/>
    </xf>
    <xf numFmtId="0" fontId="14" fillId="0" borderId="3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4" fontId="61" fillId="29" borderId="193" xfId="0" applyNumberFormat="1" applyFont="1" applyFill="1" applyBorder="1" applyAlignment="1">
      <alignment horizontal="center" vertical="center"/>
    </xf>
    <xf numFmtId="0" fontId="144" fillId="0" borderId="0" xfId="0" applyFont="1"/>
    <xf numFmtId="178" fontId="14" fillId="29" borderId="192" xfId="0" applyNumberFormat="1" applyFont="1" applyFill="1" applyBorder="1" applyAlignment="1">
      <alignment vertical="center" wrapText="1"/>
    </xf>
    <xf numFmtId="0" fontId="14" fillId="38" borderId="234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205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vertical="center" wrapText="1"/>
    </xf>
    <xf numFmtId="4" fontId="14" fillId="36" borderId="192" xfId="0" applyNumberFormat="1" applyFont="1" applyFill="1" applyBorder="1" applyAlignment="1">
      <alignment horizontal="center" vertical="center" wrapText="1"/>
    </xf>
    <xf numFmtId="0" fontId="13" fillId="0" borderId="270" xfId="0" applyFont="1" applyBorder="1" applyAlignment="1">
      <alignment horizontal="center" vertical="center" wrapText="1"/>
    </xf>
    <xf numFmtId="0" fontId="14" fillId="0" borderId="270" xfId="0" applyFont="1" applyBorder="1"/>
    <xf numFmtId="4" fontId="14" fillId="0" borderId="270" xfId="0" applyNumberFormat="1" applyFont="1" applyBorder="1"/>
    <xf numFmtId="0" fontId="14" fillId="43" borderId="270" xfId="0" applyFont="1" applyFill="1" applyBorder="1"/>
    <xf numFmtId="4" fontId="14" fillId="43" borderId="270" xfId="0" applyNumberFormat="1" applyFont="1" applyFill="1" applyBorder="1"/>
    <xf numFmtId="0" fontId="13" fillId="0" borderId="270" xfId="0" applyFont="1" applyFill="1" applyBorder="1"/>
    <xf numFmtId="0" fontId="13" fillId="0" borderId="270" xfId="0" applyFont="1" applyBorder="1"/>
    <xf numFmtId="4" fontId="13" fillId="0" borderId="270" xfId="0" applyNumberFormat="1" applyFont="1" applyBorder="1" applyAlignment="1">
      <alignment horizontal="center" vertical="center"/>
    </xf>
    <xf numFmtId="0" fontId="14" fillId="0" borderId="270" xfId="0" applyFont="1" applyFill="1" applyBorder="1"/>
    <xf numFmtId="0" fontId="14" fillId="0" borderId="270" xfId="0" applyFont="1" applyBorder="1" applyAlignment="1">
      <alignment horizontal="center" vertical="center"/>
    </xf>
    <xf numFmtId="4" fontId="14" fillId="0" borderId="270" xfId="0" applyNumberFormat="1" applyFont="1" applyBorder="1" applyAlignment="1">
      <alignment horizontal="center" vertical="center"/>
    </xf>
    <xf numFmtId="0" fontId="118" fillId="0" borderId="0" xfId="79" applyFont="1" applyBorder="1" applyAlignment="1">
      <alignment vertical="center"/>
    </xf>
    <xf numFmtId="0" fontId="118" fillId="0" borderId="192" xfId="79" applyFont="1" applyBorder="1" applyAlignment="1">
      <alignment vertical="center"/>
    </xf>
    <xf numFmtId="0" fontId="118" fillId="0" borderId="192" xfId="79" applyFont="1" applyBorder="1" applyAlignment="1">
      <alignment horizontal="center" vertical="center"/>
    </xf>
    <xf numFmtId="169" fontId="118" fillId="0" borderId="192" xfId="79" applyNumberFormat="1" applyFont="1" applyBorder="1" applyAlignment="1">
      <alignment horizontal="center" vertical="center"/>
    </xf>
    <xf numFmtId="169" fontId="144" fillId="0" borderId="192" xfId="79" applyNumberFormat="1" applyFont="1" applyBorder="1" applyAlignment="1">
      <alignment horizontal="center" vertical="center"/>
    </xf>
    <xf numFmtId="0" fontId="118" fillId="0" borderId="208" xfId="79" applyFont="1" applyFill="1" applyBorder="1" applyAlignment="1">
      <alignment vertical="center"/>
    </xf>
    <xf numFmtId="0" fontId="118" fillId="0" borderId="0" xfId="79" applyFont="1" applyFill="1"/>
    <xf numFmtId="4" fontId="118" fillId="0" borderId="0" xfId="79" applyNumberFormat="1" applyFont="1" applyFill="1"/>
    <xf numFmtId="0" fontId="14" fillId="46" borderId="0" xfId="0" applyFont="1" applyFill="1"/>
    <xf numFmtId="0" fontId="49" fillId="56" borderId="0" xfId="96" applyFont="1" applyFill="1"/>
    <xf numFmtId="0" fontId="49" fillId="46" borderId="0" xfId="96" applyFont="1" applyFill="1"/>
    <xf numFmtId="0" fontId="15" fillId="46" borderId="0" xfId="96" applyFont="1" applyFill="1"/>
    <xf numFmtId="0" fontId="98" fillId="46" borderId="0" xfId="96" applyFont="1" applyFill="1" applyAlignment="1">
      <alignment vertical="center"/>
    </xf>
    <xf numFmtId="0" fontId="49" fillId="46" borderId="0" xfId="0" applyFont="1" applyFill="1" applyAlignment="1">
      <alignment vertical="center" wrapText="1"/>
    </xf>
    <xf numFmtId="0" fontId="82" fillId="46" borderId="0" xfId="0" applyFont="1" applyFill="1" applyAlignment="1">
      <alignment vertical="center" wrapText="1"/>
    </xf>
    <xf numFmtId="0" fontId="82" fillId="46" borderId="0" xfId="0" applyFont="1" applyFill="1" applyAlignment="1">
      <alignment wrapText="1"/>
    </xf>
    <xf numFmtId="0" fontId="82" fillId="33" borderId="0" xfId="0" applyFont="1" applyFill="1" applyAlignment="1">
      <alignment wrapText="1"/>
    </xf>
    <xf numFmtId="0" fontId="49" fillId="51" borderId="0" xfId="96" applyFont="1" applyFill="1"/>
    <xf numFmtId="0" fontId="49" fillId="38" borderId="0" xfId="96" applyFont="1" applyFill="1"/>
    <xf numFmtId="0" fontId="19" fillId="0" borderId="0" xfId="0" applyFont="1" applyAlignment="1" applyProtection="1">
      <alignment horizontal="left"/>
    </xf>
    <xf numFmtId="0" fontId="65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Protection="1"/>
    <xf numFmtId="0" fontId="0" fillId="0" borderId="0" xfId="0" applyProtection="1"/>
    <xf numFmtId="0" fontId="19" fillId="0" borderId="0" xfId="0" applyFont="1" applyProtection="1"/>
    <xf numFmtId="176" fontId="14" fillId="0" borderId="0" xfId="0" applyNumberFormat="1" applyFont="1" applyProtection="1"/>
    <xf numFmtId="0" fontId="14" fillId="0" borderId="0" xfId="0" applyFont="1" applyProtection="1">
      <protection locked="0"/>
    </xf>
    <xf numFmtId="0" fontId="18" fillId="29" borderId="273" xfId="0" applyFont="1" applyFill="1" applyBorder="1" applyAlignment="1" applyProtection="1">
      <alignment horizontal="left"/>
    </xf>
    <xf numFmtId="0" fontId="14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61" fillId="0" borderId="270" xfId="0" applyFont="1" applyFill="1" applyBorder="1" applyAlignment="1" applyProtection="1">
      <alignment horizontal="center" vertical="center" wrapText="1"/>
    </xf>
    <xf numFmtId="0" fontId="61" fillId="57" borderId="270" xfId="0" applyFont="1" applyFill="1" applyBorder="1" applyAlignment="1" applyProtection="1">
      <alignment horizontal="center" vertical="center" wrapText="1"/>
    </xf>
    <xf numFmtId="4" fontId="89" fillId="0" borderId="270" xfId="0" applyNumberFormat="1" applyFont="1" applyFill="1" applyBorder="1" applyAlignment="1" applyProtection="1">
      <alignment vertical="center"/>
    </xf>
    <xf numFmtId="178" fontId="89" fillId="0" borderId="270" xfId="0" applyNumberFormat="1" applyFont="1" applyFill="1" applyBorder="1" applyAlignment="1" applyProtection="1">
      <alignment vertical="center"/>
    </xf>
    <xf numFmtId="178" fontId="18" fillId="0" borderId="270" xfId="0" applyNumberFormat="1" applyFont="1" applyFill="1" applyBorder="1" applyAlignment="1" applyProtection="1">
      <alignment vertical="center"/>
    </xf>
    <xf numFmtId="178" fontId="89" fillId="57" borderId="270" xfId="0" applyNumberFormat="1" applyFont="1" applyFill="1" applyBorder="1" applyAlignment="1" applyProtection="1">
      <alignment vertical="center"/>
    </xf>
    <xf numFmtId="4" fontId="14" fillId="0" borderId="0" xfId="0" applyNumberFormat="1" applyFont="1" applyAlignment="1" applyProtection="1">
      <alignment vertical="center"/>
    </xf>
    <xf numFmtId="0" fontId="61" fillId="0" borderId="270" xfId="0" applyFont="1" applyBorder="1" applyAlignment="1" applyProtection="1">
      <alignment vertical="center" wrapText="1"/>
    </xf>
    <xf numFmtId="4" fontId="97" fillId="0" borderId="270" xfId="0" applyNumberFormat="1" applyFont="1" applyFill="1" applyBorder="1" applyAlignment="1" applyProtection="1">
      <alignment vertical="center"/>
    </xf>
    <xf numFmtId="178" fontId="97" fillId="0" borderId="270" xfId="0" applyNumberFormat="1" applyFont="1" applyFill="1" applyBorder="1" applyAlignment="1" applyProtection="1">
      <alignment vertical="center"/>
    </xf>
    <xf numFmtId="178" fontId="97" fillId="57" borderId="270" xfId="0" applyNumberFormat="1" applyFont="1" applyFill="1" applyBorder="1" applyAlignment="1" applyProtection="1">
      <alignment vertical="center"/>
    </xf>
    <xf numFmtId="10" fontId="170" fillId="0" borderId="270" xfId="0" applyNumberFormat="1" applyFont="1" applyFill="1" applyBorder="1" applyAlignment="1" applyProtection="1">
      <alignment vertical="center"/>
    </xf>
    <xf numFmtId="10" fontId="170" fillId="57" borderId="270" xfId="0" applyNumberFormat="1" applyFont="1" applyFill="1" applyBorder="1" applyAlignment="1" applyProtection="1">
      <alignment vertical="center"/>
    </xf>
    <xf numFmtId="178" fontId="61" fillId="0" borderId="270" xfId="0" applyNumberFormat="1" applyFont="1" applyFill="1" applyBorder="1" applyAlignment="1" applyProtection="1">
      <alignment vertical="center"/>
    </xf>
    <xf numFmtId="178" fontId="170" fillId="0" borderId="270" xfId="0" applyNumberFormat="1" applyFont="1" applyFill="1" applyBorder="1" applyAlignment="1" applyProtection="1">
      <alignment vertical="center"/>
    </xf>
    <xf numFmtId="4" fontId="170" fillId="0" borderId="270" xfId="0" applyNumberFormat="1" applyFont="1" applyFill="1" applyBorder="1" applyAlignment="1" applyProtection="1">
      <alignment vertical="center"/>
    </xf>
    <xf numFmtId="178" fontId="170" fillId="57" borderId="270" xfId="0" applyNumberFormat="1" applyFont="1" applyFill="1" applyBorder="1" applyAlignment="1" applyProtection="1">
      <alignment vertical="center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4" fontId="89" fillId="0" borderId="270" xfId="0" applyNumberFormat="1" applyFont="1" applyFill="1" applyBorder="1"/>
    <xf numFmtId="4" fontId="89" fillId="57" borderId="270" xfId="0" applyNumberFormat="1" applyFont="1" applyFill="1" applyBorder="1" applyAlignment="1">
      <alignment horizontal="right" vertical="center"/>
    </xf>
    <xf numFmtId="192" fontId="0" fillId="0" borderId="0" xfId="0" applyNumberFormat="1" applyFill="1" applyAlignment="1" applyProtection="1">
      <alignment vertical="center"/>
    </xf>
    <xf numFmtId="4" fontId="97" fillId="0" borderId="270" xfId="0" applyNumberFormat="1" applyFont="1" applyFill="1" applyBorder="1"/>
    <xf numFmtId="4" fontId="61" fillId="0" borderId="270" xfId="0" applyNumberFormat="1" applyFont="1" applyFill="1" applyBorder="1" applyAlignment="1" applyProtection="1">
      <alignment vertical="center"/>
      <protection locked="0"/>
    </xf>
    <xf numFmtId="0" fontId="61" fillId="0" borderId="270" xfId="0" applyFont="1" applyBorder="1" applyAlignment="1">
      <alignment vertical="center" wrapText="1"/>
    </xf>
    <xf numFmtId="0" fontId="62" fillId="0" borderId="270" xfId="0" applyFont="1" applyBorder="1" applyAlignment="1" applyProtection="1">
      <alignment vertical="center"/>
    </xf>
    <xf numFmtId="4" fontId="170" fillId="57" borderId="270" xfId="0" applyNumberFormat="1" applyFont="1" applyFill="1" applyBorder="1" applyAlignment="1">
      <alignment horizontal="right" vertical="center"/>
    </xf>
    <xf numFmtId="192" fontId="119" fillId="0" borderId="0" xfId="0" applyNumberFormat="1" applyFont="1" applyFill="1" applyAlignment="1" applyProtection="1">
      <alignment vertical="center"/>
    </xf>
    <xf numFmtId="4" fontId="170" fillId="0" borderId="270" xfId="0" applyNumberFormat="1" applyFont="1" applyFill="1" applyBorder="1"/>
    <xf numFmtId="4" fontId="62" fillId="0" borderId="270" xfId="0" applyNumberFormat="1" applyFont="1" applyFill="1" applyBorder="1" applyAlignment="1" applyProtection="1">
      <alignment vertical="center"/>
      <protection locked="0"/>
    </xf>
    <xf numFmtId="10" fontId="170" fillId="0" borderId="270" xfId="0" applyNumberFormat="1" applyFont="1" applyFill="1" applyBorder="1"/>
    <xf numFmtId="0" fontId="62" fillId="0" borderId="270" xfId="0" applyFont="1" applyFill="1" applyBorder="1" applyAlignment="1">
      <alignment vertical="center"/>
    </xf>
    <xf numFmtId="0" fontId="18" fillId="0" borderId="270" xfId="0" applyFont="1" applyFill="1" applyBorder="1" applyAlignment="1" applyProtection="1">
      <alignment vertical="center"/>
    </xf>
    <xf numFmtId="0" fontId="62" fillId="0" borderId="270" xfId="0" applyFont="1" applyFill="1" applyBorder="1" applyAlignment="1">
      <alignment vertical="center" wrapText="1"/>
    </xf>
    <xf numFmtId="0" fontId="82" fillId="0" borderId="0" xfId="0" applyFont="1" applyProtection="1"/>
    <xf numFmtId="178" fontId="0" fillId="0" borderId="0" xfId="0" applyNumberFormat="1" applyProtection="1"/>
    <xf numFmtId="0" fontId="62" fillId="0" borderId="270" xfId="0" applyFont="1" applyFill="1" applyBorder="1" applyAlignment="1" applyProtection="1">
      <alignment vertical="center" wrapText="1"/>
    </xf>
    <xf numFmtId="0" fontId="61" fillId="0" borderId="0" xfId="0" applyFont="1" applyProtection="1"/>
    <xf numFmtId="0" fontId="19" fillId="0" borderId="0" xfId="0" applyFont="1" applyAlignment="1">
      <alignment horizontal="left"/>
    </xf>
    <xf numFmtId="0" fontId="19" fillId="0" borderId="0" xfId="0" applyFont="1"/>
    <xf numFmtId="0" fontId="18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8" fillId="0" borderId="270" xfId="0" applyFont="1" applyFill="1" applyBorder="1" applyAlignment="1">
      <alignment vertical="center" wrapText="1"/>
    </xf>
    <xf numFmtId="178" fontId="89" fillId="0" borderId="270" xfId="0" applyNumberFormat="1" applyFont="1" applyFill="1" applyBorder="1" applyAlignment="1">
      <alignment vertical="center"/>
    </xf>
    <xf numFmtId="178" fontId="89" fillId="57" borderId="270" xfId="0" applyNumberFormat="1" applyFont="1" applyFill="1" applyBorder="1" applyAlignment="1">
      <alignment vertical="center"/>
    </xf>
    <xf numFmtId="178" fontId="89" fillId="57" borderId="270" xfId="0" applyNumberFormat="1" applyFont="1" applyFill="1" applyBorder="1" applyAlignment="1">
      <alignment horizontal="right" wrapText="1"/>
    </xf>
    <xf numFmtId="0" fontId="61" fillId="0" borderId="270" xfId="0" applyFont="1" applyFill="1" applyBorder="1" applyAlignment="1">
      <alignment vertical="center" wrapText="1"/>
    </xf>
    <xf numFmtId="178" fontId="97" fillId="0" borderId="270" xfId="0" applyNumberFormat="1" applyFont="1" applyFill="1" applyBorder="1" applyAlignment="1">
      <alignment vertical="center"/>
    </xf>
    <xf numFmtId="178" fontId="97" fillId="57" borderId="270" xfId="0" applyNumberFormat="1" applyFont="1" applyFill="1" applyBorder="1" applyAlignment="1">
      <alignment vertical="center"/>
    </xf>
    <xf numFmtId="178" fontId="97" fillId="57" borderId="270" xfId="0" applyNumberFormat="1" applyFont="1" applyFill="1" applyBorder="1" applyAlignment="1">
      <alignment horizontal="right" wrapText="1"/>
    </xf>
    <xf numFmtId="10" fontId="170" fillId="57" borderId="270" xfId="0" applyNumberFormat="1" applyFont="1" applyFill="1" applyBorder="1" applyAlignment="1">
      <alignment vertical="center"/>
    </xf>
    <xf numFmtId="2" fontId="170" fillId="57" borderId="270" xfId="0" applyNumberFormat="1" applyFont="1" applyFill="1" applyBorder="1" applyAlignment="1">
      <alignment horizontal="right" wrapText="1"/>
    </xf>
    <xf numFmtId="178" fontId="170" fillId="0" borderId="270" xfId="0" applyNumberFormat="1" applyFont="1" applyFill="1" applyBorder="1" applyAlignment="1">
      <alignment vertical="center"/>
    </xf>
    <xf numFmtId="178" fontId="170" fillId="57" borderId="270" xfId="0" applyNumberFormat="1" applyFont="1" applyFill="1" applyBorder="1" applyAlignment="1">
      <alignment vertical="center"/>
    </xf>
    <xf numFmtId="178" fontId="170" fillId="57" borderId="270" xfId="0" applyNumberFormat="1" applyFont="1" applyFill="1" applyBorder="1" applyAlignment="1">
      <alignment horizontal="right" wrapText="1"/>
    </xf>
    <xf numFmtId="178" fontId="170" fillId="57" borderId="258" xfId="0" applyNumberFormat="1" applyFont="1" applyFill="1" applyBorder="1" applyAlignment="1">
      <alignment vertical="center"/>
    </xf>
    <xf numFmtId="4" fontId="97" fillId="0" borderId="270" xfId="0" applyNumberFormat="1" applyFont="1" applyFill="1" applyBorder="1" applyAlignment="1">
      <alignment vertical="center"/>
    </xf>
    <xf numFmtId="4" fontId="61" fillId="0" borderId="270" xfId="0" applyNumberFormat="1" applyFont="1" applyFill="1" applyBorder="1" applyAlignment="1">
      <alignment vertical="center"/>
    </xf>
    <xf numFmtId="4" fontId="97" fillId="57" borderId="270" xfId="0" applyNumberFormat="1" applyFont="1" applyFill="1" applyBorder="1" applyAlignment="1">
      <alignment vertical="center"/>
    </xf>
    <xf numFmtId="4" fontId="97" fillId="57" borderId="270" xfId="0" applyNumberFormat="1" applyFont="1" applyFill="1" applyBorder="1" applyAlignment="1">
      <alignment horizontal="right" wrapText="1"/>
    </xf>
    <xf numFmtId="178" fontId="61" fillId="0" borderId="270" xfId="0" applyNumberFormat="1" applyFont="1" applyFill="1" applyBorder="1" applyAlignment="1">
      <alignment vertical="center"/>
    </xf>
    <xf numFmtId="0" fontId="62" fillId="0" borderId="270" xfId="0" applyFont="1" applyBorder="1" applyAlignment="1">
      <alignment vertical="center" wrapText="1"/>
    </xf>
    <xf numFmtId="4" fontId="170" fillId="0" borderId="270" xfId="0" applyNumberFormat="1" applyFont="1" applyFill="1" applyBorder="1" applyAlignment="1">
      <alignment vertical="center"/>
    </xf>
    <xf numFmtId="4" fontId="62" fillId="0" borderId="270" xfId="0" applyNumberFormat="1" applyFont="1" applyFill="1" applyBorder="1" applyAlignment="1">
      <alignment vertical="center"/>
    </xf>
    <xf numFmtId="4" fontId="170" fillId="57" borderId="270" xfId="0" applyNumberFormat="1" applyFont="1" applyFill="1" applyBorder="1" applyAlignment="1">
      <alignment vertical="center"/>
    </xf>
    <xf numFmtId="4" fontId="170" fillId="57" borderId="270" xfId="0" applyNumberFormat="1" applyFont="1" applyFill="1" applyBorder="1" applyAlignment="1">
      <alignment horizontal="right" wrapText="1"/>
    </xf>
    <xf numFmtId="178" fontId="62" fillId="0" borderId="270" xfId="0" applyNumberFormat="1" applyFont="1" applyFill="1" applyBorder="1" applyAlignment="1">
      <alignment vertical="center"/>
    </xf>
    <xf numFmtId="0" fontId="18" fillId="0" borderId="270" xfId="0" applyFont="1" applyBorder="1" applyAlignment="1">
      <alignment vertical="center" wrapText="1"/>
    </xf>
    <xf numFmtId="4" fontId="89" fillId="0" borderId="270" xfId="0" applyNumberFormat="1" applyFont="1" applyFill="1" applyBorder="1" applyAlignment="1">
      <alignment vertical="center"/>
    </xf>
    <xf numFmtId="4" fontId="89" fillId="57" borderId="270" xfId="0" applyNumberFormat="1" applyFont="1" applyFill="1" applyBorder="1" applyAlignment="1">
      <alignment vertical="center"/>
    </xf>
    <xf numFmtId="4" fontId="89" fillId="57" borderId="270" xfId="0" applyNumberFormat="1" applyFont="1" applyFill="1" applyBorder="1" applyAlignment="1">
      <alignment horizontal="right" wrapText="1"/>
    </xf>
    <xf numFmtId="0" fontId="62" fillId="0" borderId="273" xfId="0" applyFont="1" applyBorder="1" applyAlignment="1">
      <alignment vertical="center" wrapText="1"/>
    </xf>
    <xf numFmtId="2" fontId="170" fillId="57" borderId="270" xfId="0" applyNumberFormat="1" applyFont="1" applyFill="1" applyBorder="1"/>
    <xf numFmtId="4" fontId="171" fillId="57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61" fillId="0" borderId="270" xfId="0" applyNumberFormat="1" applyFont="1" applyFill="1" applyBorder="1" applyAlignment="1" applyProtection="1">
      <alignment horizontal="center" vertical="center" wrapText="1"/>
    </xf>
    <xf numFmtId="0" fontId="61" fillId="0" borderId="270" xfId="0" applyFont="1" applyBorder="1" applyAlignment="1">
      <alignment vertical="center"/>
    </xf>
    <xf numFmtId="178" fontId="97" fillId="0" borderId="270" xfId="0" applyNumberFormat="1" applyFont="1" applyFill="1" applyBorder="1"/>
    <xf numFmtId="4" fontId="61" fillId="0" borderId="270" xfId="0" applyNumberFormat="1" applyFont="1" applyFill="1" applyBorder="1" applyProtection="1">
      <protection locked="0"/>
    </xf>
    <xf numFmtId="0" fontId="62" fillId="0" borderId="270" xfId="0" applyFont="1" applyBorder="1" applyAlignment="1">
      <alignment vertical="center"/>
    </xf>
    <xf numFmtId="10" fontId="170" fillId="57" borderId="270" xfId="0" applyNumberFormat="1" applyFont="1" applyFill="1" applyBorder="1"/>
    <xf numFmtId="178" fontId="170" fillId="0" borderId="270" xfId="0" applyNumberFormat="1" applyFont="1" applyFill="1" applyBorder="1"/>
    <xf numFmtId="2" fontId="97" fillId="0" borderId="270" xfId="0" applyNumberFormat="1" applyFont="1" applyFill="1" applyBorder="1" applyProtection="1">
      <protection locked="0"/>
    </xf>
    <xf numFmtId="2" fontId="97" fillId="57" borderId="270" xfId="0" applyNumberFormat="1" applyFont="1" applyFill="1" applyBorder="1" applyAlignment="1">
      <alignment vertical="center"/>
    </xf>
    <xf numFmtId="2" fontId="97" fillId="57" borderId="270" xfId="0" applyNumberFormat="1" applyFont="1" applyFill="1" applyBorder="1" applyAlignment="1">
      <alignment horizontal="right" wrapText="1"/>
    </xf>
    <xf numFmtId="4" fontId="62" fillId="0" borderId="270" xfId="0" applyNumberFormat="1" applyFont="1" applyFill="1" applyBorder="1" applyProtection="1">
      <protection locked="0"/>
    </xf>
    <xf numFmtId="178" fontId="62" fillId="0" borderId="270" xfId="0" applyNumberFormat="1" applyFont="1" applyFill="1" applyBorder="1" applyProtection="1">
      <protection locked="0"/>
    </xf>
    <xf numFmtId="2" fontId="170" fillId="57" borderId="270" xfId="0" applyNumberFormat="1" applyFont="1" applyFill="1" applyBorder="1" applyAlignment="1">
      <alignment vertical="center"/>
    </xf>
    <xf numFmtId="0" fontId="18" fillId="0" borderId="270" xfId="0" applyFont="1" applyBorder="1" applyAlignment="1">
      <alignment vertical="center"/>
    </xf>
    <xf numFmtId="178" fontId="89" fillId="0" borderId="270" xfId="0" applyNumberFormat="1" applyFont="1" applyFill="1" applyBorder="1"/>
    <xf numFmtId="2" fontId="89" fillId="0" borderId="270" xfId="0" applyNumberFormat="1" applyFont="1" applyFill="1" applyBorder="1"/>
    <xf numFmtId="178" fontId="89" fillId="57" borderId="270" xfId="0" applyNumberFormat="1" applyFont="1" applyFill="1" applyBorder="1"/>
    <xf numFmtId="4" fontId="89" fillId="57" borderId="270" xfId="0" applyNumberFormat="1" applyFont="1" applyFill="1" applyBorder="1"/>
    <xf numFmtId="2" fontId="89" fillId="57" borderId="270" xfId="0" applyNumberFormat="1" applyFont="1" applyFill="1" applyBorder="1"/>
    <xf numFmtId="2" fontId="89" fillId="57" borderId="270" xfId="0" applyNumberFormat="1" applyFont="1" applyFill="1" applyBorder="1" applyAlignment="1">
      <alignment horizontal="right" wrapText="1"/>
    </xf>
    <xf numFmtId="0" fontId="18" fillId="0" borderId="270" xfId="0" applyFont="1" applyFill="1" applyBorder="1" applyAlignment="1">
      <alignment vertical="center"/>
    </xf>
    <xf numFmtId="2" fontId="89" fillId="57" borderId="270" xfId="0" applyNumberFormat="1" applyFont="1" applyFill="1" applyBorder="1" applyAlignment="1">
      <alignment vertical="center"/>
    </xf>
    <xf numFmtId="2" fontId="170" fillId="0" borderId="270" xfId="0" applyNumberFormat="1" applyFont="1" applyFill="1" applyBorder="1"/>
    <xf numFmtId="178" fontId="171" fillId="57" borderId="270" xfId="0" applyNumberFormat="1" applyFont="1" applyFill="1" applyBorder="1" applyAlignment="1">
      <alignment vertical="center"/>
    </xf>
    <xf numFmtId="2" fontId="171" fillId="57" borderId="270" xfId="0" applyNumberFormat="1" applyFont="1" applyFill="1" applyBorder="1" applyAlignment="1">
      <alignment vertical="center"/>
    </xf>
    <xf numFmtId="168" fontId="89" fillId="0" borderId="270" xfId="0" applyNumberFormat="1" applyFont="1" applyFill="1" applyBorder="1"/>
    <xf numFmtId="0" fontId="64" fillId="0" borderId="0" xfId="0" applyFont="1"/>
    <xf numFmtId="0" fontId="88" fillId="0" borderId="0" xfId="0" applyFont="1"/>
    <xf numFmtId="0" fontId="70" fillId="0" borderId="0" xfId="0" applyFont="1" applyAlignment="1">
      <alignment horizontal="center"/>
    </xf>
    <xf numFmtId="0" fontId="87" fillId="0" borderId="0" xfId="0" applyFont="1" applyAlignment="1"/>
    <xf numFmtId="192" fontId="0" fillId="29" borderId="0" xfId="0" applyNumberFormat="1" applyFill="1" applyAlignment="1" applyProtection="1">
      <alignment vertical="center"/>
    </xf>
    <xf numFmtId="192" fontId="119" fillId="29" borderId="0" xfId="0" applyNumberFormat="1" applyFont="1" applyFill="1" applyAlignment="1" applyProtection="1">
      <alignment vertical="center"/>
    </xf>
    <xf numFmtId="0" fontId="61" fillId="0" borderId="270" xfId="0" applyFont="1" applyFill="1" applyBorder="1" applyAlignment="1">
      <alignment vertical="center"/>
    </xf>
    <xf numFmtId="178" fontId="97" fillId="57" borderId="270" xfId="0" applyNumberFormat="1" applyFont="1" applyFill="1" applyBorder="1"/>
    <xf numFmtId="0" fontId="18" fillId="0" borderId="61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4" fontId="89" fillId="0" borderId="270" xfId="0" applyNumberFormat="1" applyFont="1" applyFill="1" applyBorder="1" applyAlignment="1">
      <alignment horizontal="right" vertical="center"/>
    </xf>
    <xf numFmtId="4" fontId="97" fillId="0" borderId="270" xfId="0" applyNumberFormat="1" applyFont="1" applyFill="1" applyBorder="1" applyAlignment="1">
      <alignment horizontal="right" vertical="center"/>
    </xf>
    <xf numFmtId="4" fontId="97" fillId="57" borderId="270" xfId="0" applyNumberFormat="1" applyFont="1" applyFill="1" applyBorder="1"/>
    <xf numFmtId="4" fontId="170" fillId="57" borderId="270" xfId="0" applyNumberFormat="1" applyFont="1" applyFill="1" applyBorder="1"/>
    <xf numFmtId="0" fontId="18" fillId="0" borderId="270" xfId="0" applyFont="1" applyFill="1" applyBorder="1" applyAlignment="1">
      <alignment horizontal="left"/>
    </xf>
    <xf numFmtId="178" fontId="89" fillId="0" borderId="270" xfId="0" applyNumberFormat="1" applyFont="1" applyFill="1" applyBorder="1" applyAlignment="1">
      <alignment horizontal="right" wrapText="1"/>
    </xf>
    <xf numFmtId="178" fontId="97" fillId="0" borderId="270" xfId="0" applyNumberFormat="1" applyFont="1" applyFill="1" applyBorder="1" applyAlignment="1">
      <alignment horizontal="right" wrapText="1"/>
    </xf>
    <xf numFmtId="0" fontId="18" fillId="29" borderId="273" xfId="0" applyFont="1" applyFill="1" applyBorder="1" applyAlignment="1">
      <alignment vertical="center"/>
    </xf>
    <xf numFmtId="4" fontId="61" fillId="29" borderId="274" xfId="0" applyNumberFormat="1" applyFont="1" applyFill="1" applyBorder="1" applyAlignment="1">
      <alignment horizontal="right" vertical="center"/>
    </xf>
    <xf numFmtId="4" fontId="61" fillId="29" borderId="274" xfId="0" applyNumberFormat="1" applyFont="1" applyFill="1" applyBorder="1"/>
    <xf numFmtId="4" fontId="0" fillId="29" borderId="274" xfId="0" applyNumberFormat="1" applyFill="1" applyBorder="1"/>
    <xf numFmtId="4" fontId="0" fillId="29" borderId="275" xfId="0" applyNumberFormat="1" applyFill="1" applyBorder="1"/>
    <xf numFmtId="4" fontId="61" fillId="0" borderId="270" xfId="0" applyNumberFormat="1" applyFont="1" applyFill="1" applyBorder="1" applyAlignment="1" applyProtection="1">
      <alignment horizontal="right" vertical="center"/>
      <protection locked="0"/>
    </xf>
    <xf numFmtId="4" fontId="170" fillId="0" borderId="270" xfId="0" applyNumberFormat="1" applyFont="1" applyFill="1" applyBorder="1" applyAlignment="1">
      <alignment horizontal="right" vertical="center"/>
    </xf>
    <xf numFmtId="4" fontId="0" fillId="29" borderId="274" xfId="0" applyNumberFormat="1" applyFill="1" applyBorder="1" applyAlignment="1">
      <alignment horizontal="left"/>
    </xf>
    <xf numFmtId="4" fontId="61" fillId="29" borderId="274" xfId="0" applyNumberFormat="1" applyFont="1" applyFill="1" applyBorder="1" applyAlignment="1">
      <alignment horizontal="left"/>
    </xf>
    <xf numFmtId="4" fontId="61" fillId="29" borderId="275" xfId="0" applyNumberFormat="1" applyFont="1" applyFill="1" applyBorder="1" applyAlignment="1">
      <alignment horizontal="left"/>
    </xf>
    <xf numFmtId="4" fontId="97" fillId="57" borderId="273" xfId="0" applyNumberFormat="1" applyFont="1" applyFill="1" applyBorder="1"/>
    <xf numFmtId="10" fontId="62" fillId="0" borderId="270" xfId="0" applyNumberFormat="1" applyFont="1" applyFill="1" applyBorder="1" applyAlignment="1">
      <alignment vertical="center" wrapText="1"/>
    </xf>
    <xf numFmtId="10" fontId="170" fillId="57" borderId="270" xfId="0" applyNumberFormat="1" applyFont="1" applyFill="1" applyBorder="1" applyAlignment="1">
      <alignment horizontal="right" wrapText="1"/>
    </xf>
    <xf numFmtId="4" fontId="97" fillId="0" borderId="270" xfId="0" applyNumberFormat="1" applyFont="1" applyFill="1" applyBorder="1" applyProtection="1">
      <protection locked="0"/>
    </xf>
    <xf numFmtId="4" fontId="170" fillId="57" borderId="273" xfId="0" applyNumberFormat="1" applyFont="1" applyFill="1" applyBorder="1"/>
    <xf numFmtId="2" fontId="170" fillId="57" borderId="270" xfId="0" applyNumberFormat="1" applyFont="1" applyFill="1" applyBorder="1" applyAlignment="1">
      <alignment horizontal="right" vertical="center" wrapText="1"/>
    </xf>
    <xf numFmtId="4" fontId="170" fillId="57" borderId="273" xfId="0" applyNumberFormat="1" applyFont="1" applyFill="1" applyBorder="1" applyAlignment="1">
      <alignment vertical="center"/>
    </xf>
    <xf numFmtId="4" fontId="89" fillId="57" borderId="273" xfId="0" applyNumberFormat="1" applyFont="1" applyFill="1" applyBorder="1"/>
    <xf numFmtId="4" fontId="171" fillId="57" borderId="27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/>
    <xf numFmtId="4" fontId="61" fillId="0" borderId="0" xfId="0" applyNumberFormat="1" applyFont="1"/>
    <xf numFmtId="0" fontId="174" fillId="38" borderId="257" xfId="77" applyFont="1" applyFill="1" applyBorder="1" applyAlignment="1">
      <alignment horizontal="center" wrapText="1"/>
    </xf>
    <xf numFmtId="0" fontId="174" fillId="0" borderId="257" xfId="77" applyFont="1" applyFill="1" applyBorder="1"/>
    <xf numFmtId="2" fontId="174" fillId="0" borderId="257" xfId="77" applyNumberFormat="1" applyFont="1" applyFill="1" applyBorder="1" applyAlignment="1">
      <alignment horizontal="center"/>
    </xf>
    <xf numFmtId="4" fontId="174" fillId="0" borderId="257" xfId="77" applyNumberFormat="1" applyFont="1" applyFill="1" applyBorder="1" applyAlignment="1">
      <alignment horizontal="center" vertical="center"/>
    </xf>
    <xf numFmtId="0" fontId="174" fillId="0" borderId="257" xfId="77" applyFont="1" applyFill="1" applyBorder="1" applyAlignment="1">
      <alignment horizontal="center"/>
    </xf>
    <xf numFmtId="4" fontId="174" fillId="0" borderId="257" xfId="77" applyNumberFormat="1" applyFont="1" applyFill="1" applyBorder="1" applyAlignment="1">
      <alignment horizontal="center"/>
    </xf>
    <xf numFmtId="0" fontId="172" fillId="0" borderId="257" xfId="77" applyFont="1" applyFill="1" applyBorder="1"/>
    <xf numFmtId="2" fontId="172" fillId="0" borderId="257" xfId="77" applyNumberFormat="1" applyFont="1" applyFill="1" applyBorder="1" applyAlignment="1">
      <alignment horizontal="center"/>
    </xf>
    <xf numFmtId="4" fontId="172" fillId="0" borderId="257" xfId="77" applyNumberFormat="1" applyFont="1" applyFill="1" applyBorder="1" applyAlignment="1">
      <alignment horizontal="center"/>
    </xf>
    <xf numFmtId="0" fontId="176" fillId="0" borderId="0" xfId="77" applyFont="1"/>
    <xf numFmtId="0" fontId="175" fillId="0" borderId="0" xfId="77" applyFont="1"/>
    <xf numFmtId="178" fontId="62" fillId="0" borderId="270" xfId="0" applyNumberFormat="1" applyFont="1" applyFill="1" applyBorder="1" applyAlignment="1" applyProtection="1">
      <alignment vertical="center"/>
    </xf>
    <xf numFmtId="178" fontId="14" fillId="0" borderId="0" xfId="0" applyNumberFormat="1" applyFont="1" applyAlignment="1" applyProtection="1">
      <alignment vertical="center"/>
    </xf>
    <xf numFmtId="0" fontId="62" fillId="0" borderId="169" xfId="0" applyFont="1" applyFill="1" applyBorder="1" applyAlignment="1">
      <alignment vertical="center" wrapText="1"/>
    </xf>
    <xf numFmtId="49" fontId="62" fillId="0" borderId="169" xfId="0" applyNumberFormat="1" applyFont="1" applyFill="1" applyBorder="1" applyAlignment="1">
      <alignment vertical="center" wrapText="1"/>
    </xf>
    <xf numFmtId="2" fontId="170" fillId="0" borderId="0" xfId="0" applyNumberFormat="1" applyFont="1" applyFill="1" applyBorder="1"/>
    <xf numFmtId="4" fontId="170" fillId="0" borderId="0" xfId="0" applyNumberFormat="1" applyFont="1" applyFill="1" applyBorder="1" applyAlignment="1">
      <alignment vertical="center"/>
    </xf>
    <xf numFmtId="49" fontId="62" fillId="0" borderId="270" xfId="0" applyNumberFormat="1" applyFont="1" applyFill="1" applyBorder="1" applyAlignment="1">
      <alignment vertical="center" wrapText="1"/>
    </xf>
    <xf numFmtId="178" fontId="170" fillId="0" borderId="270" xfId="0" applyNumberFormat="1" applyFont="1" applyFill="1" applyBorder="1" applyAlignment="1">
      <alignment horizontal="right" wrapText="1"/>
    </xf>
    <xf numFmtId="4" fontId="20" fillId="0" borderId="0" xfId="0" applyNumberFormat="1" applyFont="1" applyFill="1" applyBorder="1" applyAlignment="1">
      <alignment horizontal="right" vertical="center"/>
    </xf>
    <xf numFmtId="0" fontId="0" fillId="0" borderId="0" xfId="0" applyAlignment="1"/>
    <xf numFmtId="0" fontId="18" fillId="0" borderId="0" xfId="0" applyFont="1" applyAlignment="1">
      <alignment horizontal="center"/>
    </xf>
    <xf numFmtId="0" fontId="82" fillId="0" borderId="0" xfId="0" applyFont="1" applyAlignment="1"/>
    <xf numFmtId="0" fontId="61" fillId="0" borderId="0" xfId="0" applyFont="1" applyAlignment="1">
      <alignment horizontal="left" vertical="top" wrapText="1"/>
    </xf>
    <xf numFmtId="0" fontId="80" fillId="0" borderId="0" xfId="0" applyFont="1" applyAlignment="1">
      <alignment horizontal="left" vertical="top"/>
    </xf>
    <xf numFmtId="0" fontId="14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61" fillId="0" borderId="0" xfId="0" applyFont="1" applyAlignment="1">
      <alignment horizontal="left" vertical="top"/>
    </xf>
    <xf numFmtId="0" fontId="61" fillId="0" borderId="0" xfId="0" applyFont="1" applyAlignment="1"/>
    <xf numFmtId="0" fontId="145" fillId="0" borderId="0" xfId="0" applyFont="1" applyAlignment="1">
      <alignment horizontal="center"/>
    </xf>
    <xf numFmtId="0" fontId="61" fillId="0" borderId="257" xfId="0" applyFont="1" applyBorder="1" applyAlignment="1">
      <alignment horizontal="center"/>
    </xf>
    <xf numFmtId="0" fontId="61" fillId="0" borderId="170" xfId="0" applyFont="1" applyFill="1" applyBorder="1" applyAlignment="1">
      <alignment horizontal="center" vertical="center"/>
    </xf>
    <xf numFmtId="0" fontId="18" fillId="0" borderId="169" xfId="0" applyFont="1" applyBorder="1" applyAlignment="1">
      <alignment vertical="center" wrapText="1"/>
    </xf>
    <xf numFmtId="0" fontId="61" fillId="0" borderId="257" xfId="0" applyFont="1" applyBorder="1"/>
    <xf numFmtId="2" fontId="18" fillId="0" borderId="257" xfId="0" applyNumberFormat="1" applyFont="1" applyBorder="1" applyAlignment="1">
      <alignment horizontal="center"/>
    </xf>
    <xf numFmtId="2" fontId="18" fillId="0" borderId="257" xfId="0" applyNumberFormat="1" applyFont="1" applyFill="1" applyBorder="1"/>
    <xf numFmtId="2" fontId="18" fillId="0" borderId="209" xfId="0" applyNumberFormat="1" applyFont="1" applyFill="1" applyBorder="1"/>
    <xf numFmtId="2" fontId="18" fillId="0" borderId="170" xfId="0" applyNumberFormat="1" applyFont="1" applyFill="1" applyBorder="1"/>
    <xf numFmtId="0" fontId="61" fillId="0" borderId="169" xfId="0" applyFont="1" applyBorder="1" applyAlignment="1">
      <alignment vertical="center" wrapText="1"/>
    </xf>
    <xf numFmtId="2" fontId="61" fillId="0" borderId="257" xfId="0" applyNumberFormat="1" applyFont="1" applyBorder="1" applyAlignment="1">
      <alignment horizontal="center"/>
    </xf>
    <xf numFmtId="2" fontId="61" fillId="0" borderId="257" xfId="0" applyNumberFormat="1" applyFont="1" applyFill="1" applyBorder="1"/>
    <xf numFmtId="2" fontId="61" fillId="0" borderId="209" xfId="0" applyNumberFormat="1" applyFont="1" applyFill="1" applyBorder="1"/>
    <xf numFmtId="2" fontId="61" fillId="0" borderId="170" xfId="0" applyNumberFormat="1" applyFont="1" applyFill="1" applyBorder="1"/>
    <xf numFmtId="0" fontId="62" fillId="0" borderId="169" xfId="0" applyFont="1" applyBorder="1" applyAlignment="1">
      <alignment vertical="center" wrapText="1"/>
    </xf>
    <xf numFmtId="10" fontId="62" fillId="0" borderId="257" xfId="0" applyNumberFormat="1" applyFont="1" applyFill="1" applyBorder="1"/>
    <xf numFmtId="10" fontId="62" fillId="0" borderId="209" xfId="0" applyNumberFormat="1" applyFont="1" applyFill="1" applyBorder="1"/>
    <xf numFmtId="10" fontId="62" fillId="0" borderId="170" xfId="0" applyNumberFormat="1" applyFont="1" applyFill="1" applyBorder="1"/>
    <xf numFmtId="2" fontId="62" fillId="0" borderId="257" xfId="0" applyNumberFormat="1" applyFont="1" applyFill="1" applyBorder="1"/>
    <xf numFmtId="2" fontId="62" fillId="0" borderId="209" xfId="0" applyNumberFormat="1" applyFont="1" applyFill="1" applyBorder="1"/>
    <xf numFmtId="2" fontId="62" fillId="0" borderId="170" xfId="0" applyNumberFormat="1" applyFont="1" applyFill="1" applyBorder="1"/>
    <xf numFmtId="0" fontId="61" fillId="0" borderId="169" xfId="0" applyFont="1" applyBorder="1" applyAlignment="1">
      <alignment vertical="center"/>
    </xf>
    <xf numFmtId="0" fontId="62" fillId="0" borderId="169" xfId="0" applyFont="1" applyBorder="1" applyAlignment="1">
      <alignment vertical="center"/>
    </xf>
    <xf numFmtId="10" fontId="61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2" fillId="0" borderId="169" xfId="0" applyFont="1" applyFill="1" applyBorder="1" applyAlignment="1">
      <alignment vertical="center"/>
    </xf>
    <xf numFmtId="0" fontId="18" fillId="0" borderId="169" xfId="0" applyFont="1" applyBorder="1" applyAlignment="1">
      <alignment vertical="center"/>
    </xf>
    <xf numFmtId="0" fontId="18" fillId="0" borderId="169" xfId="0" applyFont="1" applyFill="1" applyBorder="1" applyAlignment="1">
      <alignment vertical="center" wrapText="1"/>
    </xf>
    <xf numFmtId="0" fontId="18" fillId="0" borderId="277" xfId="0" applyFont="1" applyFill="1" applyBorder="1" applyAlignment="1">
      <alignment vertical="center"/>
    </xf>
    <xf numFmtId="2" fontId="18" fillId="0" borderId="278" xfId="0" applyNumberFormat="1" applyFont="1" applyFill="1" applyBorder="1"/>
    <xf numFmtId="0" fontId="61" fillId="0" borderId="257" xfId="0" applyFont="1" applyFill="1" applyBorder="1" applyAlignment="1">
      <alignment horizontal="center" vertical="center" wrapText="1"/>
    </xf>
    <xf numFmtId="0" fontId="61" fillId="0" borderId="257" xfId="0" applyFont="1" applyBorder="1" applyAlignment="1">
      <alignment horizontal="center" vertical="center" wrapText="1"/>
    </xf>
    <xf numFmtId="169" fontId="18" fillId="0" borderId="257" xfId="0" applyNumberFormat="1" applyFont="1" applyBorder="1" applyAlignment="1">
      <alignment horizontal="center"/>
    </xf>
    <xf numFmtId="169" fontId="61" fillId="0" borderId="257" xfId="0" applyNumberFormat="1" applyFont="1" applyBorder="1" applyAlignment="1">
      <alignment horizontal="center"/>
    </xf>
    <xf numFmtId="4" fontId="61" fillId="0" borderId="257" xfId="0" applyNumberFormat="1" applyFont="1" applyFill="1" applyBorder="1" applyAlignment="1">
      <alignment horizontal="center"/>
    </xf>
    <xf numFmtId="10" fontId="61" fillId="0" borderId="257" xfId="0" applyNumberFormat="1" applyFont="1" applyFill="1" applyBorder="1"/>
    <xf numFmtId="10" fontId="61" fillId="0" borderId="170" xfId="0" applyNumberFormat="1" applyFont="1" applyFill="1" applyBorder="1"/>
    <xf numFmtId="0" fontId="51" fillId="0" borderId="257" xfId="0" applyFont="1" applyBorder="1"/>
    <xf numFmtId="0" fontId="0" fillId="29" borderId="257" xfId="0" applyFont="1" applyFill="1" applyBorder="1"/>
    <xf numFmtId="4" fontId="18" fillId="0" borderId="257" xfId="0" applyNumberFormat="1" applyFont="1" applyFill="1" applyBorder="1" applyAlignment="1">
      <alignment horizontal="center"/>
    </xf>
    <xf numFmtId="169" fontId="18" fillId="0" borderId="257" xfId="0" applyNumberFormat="1" applyFont="1" applyFill="1" applyBorder="1" applyAlignment="1">
      <alignment horizontal="center"/>
    </xf>
    <xf numFmtId="2" fontId="18" fillId="0" borderId="257" xfId="0" applyNumberFormat="1" applyFont="1" applyFill="1" applyBorder="1" applyAlignment="1">
      <alignment horizontal="center"/>
    </xf>
    <xf numFmtId="0" fontId="18" fillId="0" borderId="277" xfId="0" applyFont="1" applyFill="1" applyBorder="1" applyAlignment="1">
      <alignment vertical="center" wrapText="1"/>
    </xf>
    <xf numFmtId="0" fontId="82" fillId="0" borderId="16" xfId="0" applyFont="1" applyBorder="1" applyAlignment="1">
      <alignment horizontal="center" vertical="center" wrapText="1"/>
    </xf>
    <xf numFmtId="0" fontId="82" fillId="0" borderId="17" xfId="0" applyFont="1" applyBorder="1" applyAlignment="1">
      <alignment horizontal="center" vertical="center" wrapText="1"/>
    </xf>
    <xf numFmtId="0" fontId="82" fillId="0" borderId="18" xfId="0" applyFont="1" applyBorder="1" applyAlignment="1">
      <alignment horizontal="center" vertical="center" wrapText="1"/>
    </xf>
    <xf numFmtId="0" fontId="17" fillId="0" borderId="37" xfId="0" applyFont="1" applyFill="1" applyBorder="1" applyAlignment="1">
      <alignment vertical="center"/>
    </xf>
    <xf numFmtId="0" fontId="82" fillId="0" borderId="11" xfId="0" applyFont="1" applyFill="1" applyBorder="1" applyAlignment="1">
      <alignment horizontal="center" vertical="center"/>
    </xf>
    <xf numFmtId="0" fontId="83" fillId="0" borderId="37" xfId="0" applyFont="1" applyFill="1" applyBorder="1" applyAlignment="1">
      <alignment vertical="center"/>
    </xf>
    <xf numFmtId="2" fontId="82" fillId="0" borderId="11" xfId="0" applyNumberFormat="1" applyFont="1" applyFill="1" applyBorder="1" applyAlignment="1">
      <alignment vertical="center"/>
    </xf>
    <xf numFmtId="2" fontId="82" fillId="0" borderId="38" xfId="0" applyNumberFormat="1" applyFont="1" applyFill="1" applyBorder="1" applyAlignment="1">
      <alignment vertical="center"/>
    </xf>
    <xf numFmtId="0" fontId="17" fillId="0" borderId="169" xfId="0" applyFont="1" applyFill="1" applyBorder="1" applyAlignment="1">
      <alignment vertical="center"/>
    </xf>
    <xf numFmtId="0" fontId="83" fillId="0" borderId="169" xfId="0" applyFont="1" applyFill="1" applyBorder="1" applyAlignment="1">
      <alignment vertical="center"/>
    </xf>
    <xf numFmtId="0" fontId="178" fillId="0" borderId="169" xfId="0" applyFont="1" applyFill="1" applyBorder="1" applyAlignment="1">
      <alignment vertical="center"/>
    </xf>
    <xf numFmtId="0" fontId="145" fillId="0" borderId="169" xfId="0" applyFont="1" applyFill="1" applyBorder="1" applyAlignment="1">
      <alignment vertical="center"/>
    </xf>
    <xf numFmtId="0" fontId="82" fillId="0" borderId="37" xfId="0" applyFont="1" applyFill="1" applyBorder="1" applyAlignment="1">
      <alignment vertical="center"/>
    </xf>
    <xf numFmtId="0" fontId="82" fillId="0" borderId="169" xfId="0" applyFont="1" applyFill="1" applyBorder="1" applyAlignment="1">
      <alignment vertical="center"/>
    </xf>
    <xf numFmtId="0" fontId="145" fillId="0" borderId="37" xfId="0" applyFont="1" applyFill="1" applyBorder="1" applyAlignment="1">
      <alignment vertical="center"/>
    </xf>
    <xf numFmtId="0" fontId="83" fillId="0" borderId="169" xfId="0" applyFont="1" applyFill="1" applyBorder="1" applyAlignment="1">
      <alignment vertical="center" wrapText="1"/>
    </xf>
    <xf numFmtId="0" fontId="17" fillId="0" borderId="277" xfId="0" applyFont="1" applyFill="1" applyBorder="1" applyAlignment="1">
      <alignment vertical="center"/>
    </xf>
    <xf numFmtId="0" fontId="82" fillId="0" borderId="37" xfId="0" applyFont="1" applyFill="1" applyBorder="1" applyAlignment="1">
      <alignment vertical="center" wrapText="1"/>
    </xf>
    <xf numFmtId="0" fontId="3" fillId="0" borderId="0" xfId="151"/>
    <xf numFmtId="0" fontId="107" fillId="0" borderId="0" xfId="151" applyFont="1"/>
    <xf numFmtId="0" fontId="49" fillId="0" borderId="16" xfId="151" applyFont="1" applyBorder="1" applyAlignment="1">
      <alignment horizontal="center" vertical="center"/>
    </xf>
    <xf numFmtId="0" fontId="49" fillId="0" borderId="17" xfId="151" applyFont="1" applyBorder="1" applyAlignment="1">
      <alignment horizontal="center" vertical="center"/>
    </xf>
    <xf numFmtId="0" fontId="52" fillId="57" borderId="17" xfId="151" applyFont="1" applyFill="1" applyBorder="1" applyAlignment="1">
      <alignment horizontal="center" vertical="center"/>
    </xf>
    <xf numFmtId="0" fontId="52" fillId="57" borderId="18" xfId="151" applyFont="1" applyFill="1" applyBorder="1" applyAlignment="1">
      <alignment horizontal="center" vertical="center"/>
    </xf>
    <xf numFmtId="0" fontId="52" fillId="0" borderId="169" xfId="151" applyFont="1" applyBorder="1" applyAlignment="1">
      <alignment vertical="center" wrapText="1"/>
    </xf>
    <xf numFmtId="2" fontId="52" fillId="0" borderId="257" xfId="151" applyNumberFormat="1" applyFont="1" applyBorder="1" applyAlignment="1">
      <alignment horizontal="center" vertical="center"/>
    </xf>
    <xf numFmtId="2" fontId="52" fillId="57" borderId="257" xfId="151" applyNumberFormat="1" applyFont="1" applyFill="1" applyBorder="1" applyAlignment="1">
      <alignment horizontal="center" vertical="center"/>
    </xf>
    <xf numFmtId="2" fontId="52" fillId="57" borderId="170" xfId="151" applyNumberFormat="1" applyFont="1" applyFill="1" applyBorder="1" applyAlignment="1">
      <alignment horizontal="center" vertical="center"/>
    </xf>
    <xf numFmtId="0" fontId="53" fillId="0" borderId="169" xfId="151" applyFont="1" applyBorder="1" applyAlignment="1">
      <alignment vertical="center" wrapText="1"/>
    </xf>
    <xf numFmtId="2" fontId="53" fillId="0" borderId="257" xfId="151" applyNumberFormat="1" applyFont="1" applyBorder="1" applyAlignment="1">
      <alignment horizontal="center" vertical="center"/>
    </xf>
    <xf numFmtId="2" fontId="53" fillId="57" borderId="257" xfId="151" applyNumberFormat="1" applyFont="1" applyFill="1" applyBorder="1" applyAlignment="1">
      <alignment horizontal="center" vertical="center"/>
    </xf>
    <xf numFmtId="2" fontId="53" fillId="57" borderId="170" xfId="151" applyNumberFormat="1" applyFont="1" applyFill="1" applyBorder="1" applyAlignment="1">
      <alignment horizontal="center" vertical="center"/>
    </xf>
    <xf numFmtId="2" fontId="50" fillId="0" borderId="257" xfId="151" applyNumberFormat="1" applyFont="1" applyBorder="1" applyAlignment="1">
      <alignment horizontal="center" vertical="center"/>
    </xf>
    <xf numFmtId="2" fontId="50" fillId="57" borderId="257" xfId="151" applyNumberFormat="1" applyFont="1" applyFill="1" applyBorder="1" applyAlignment="1">
      <alignment horizontal="center" vertical="center"/>
    </xf>
    <xf numFmtId="2" fontId="50" fillId="57" borderId="170" xfId="151" applyNumberFormat="1" applyFont="1" applyFill="1" applyBorder="1" applyAlignment="1">
      <alignment horizontal="center" vertical="center"/>
    </xf>
    <xf numFmtId="2" fontId="52" fillId="57" borderId="259" xfId="151" applyNumberFormat="1" applyFont="1" applyFill="1" applyBorder="1" applyAlignment="1">
      <alignment horizontal="center" vertical="center"/>
    </xf>
    <xf numFmtId="2" fontId="52" fillId="57" borderId="278" xfId="151" applyNumberFormat="1" applyFont="1" applyFill="1" applyBorder="1" applyAlignment="1">
      <alignment horizontal="center" vertical="center"/>
    </xf>
    <xf numFmtId="0" fontId="49" fillId="0" borderId="0" xfId="151" applyFont="1"/>
    <xf numFmtId="2" fontId="49" fillId="0" borderId="0" xfId="151" applyNumberFormat="1" applyFont="1" applyBorder="1" applyAlignment="1">
      <alignment horizontal="center"/>
    </xf>
    <xf numFmtId="0" fontId="107" fillId="0" borderId="0" xfId="151" applyFont="1" applyAlignment="1">
      <alignment horizontal="center"/>
    </xf>
    <xf numFmtId="0" fontId="107" fillId="0" borderId="257" xfId="151" applyFont="1" applyBorder="1" applyAlignment="1">
      <alignment horizontal="center" vertical="center"/>
    </xf>
    <xf numFmtId="0" fontId="107" fillId="0" borderId="257" xfId="151" applyFont="1" applyBorder="1" applyAlignment="1">
      <alignment horizontal="center" vertical="center" wrapText="1"/>
    </xf>
    <xf numFmtId="0" fontId="107" fillId="0" borderId="257" xfId="151" applyFont="1" applyBorder="1" applyAlignment="1">
      <alignment horizontal="center" wrapText="1"/>
    </xf>
    <xf numFmtId="0" fontId="107" fillId="0" borderId="257" xfId="151" applyFont="1" applyBorder="1" applyAlignment="1">
      <alignment vertical="center"/>
    </xf>
    <xf numFmtId="0" fontId="106" fillId="0" borderId="257" xfId="151" applyFont="1" applyBorder="1" applyAlignment="1">
      <alignment vertical="center"/>
    </xf>
    <xf numFmtId="0" fontId="61" fillId="0" borderId="257" xfId="0" applyFont="1" applyFill="1" applyBorder="1" applyAlignment="1">
      <alignment horizontal="center" vertical="center"/>
    </xf>
    <xf numFmtId="10" fontId="61" fillId="0" borderId="209" xfId="0" applyNumberFormat="1" applyFont="1" applyFill="1" applyBorder="1"/>
    <xf numFmtId="0" fontId="61" fillId="0" borderId="257" xfId="0" applyFont="1" applyFill="1" applyBorder="1" applyAlignment="1">
      <alignment horizontal="center" vertical="center"/>
    </xf>
    <xf numFmtId="0" fontId="18" fillId="0" borderId="257" xfId="0" applyFont="1" applyBorder="1" applyAlignment="1">
      <alignment horizontal="center" vertical="center" wrapText="1"/>
    </xf>
    <xf numFmtId="0" fontId="61" fillId="0" borderId="169" xfId="0" applyFont="1" applyBorder="1" applyAlignment="1" applyProtection="1">
      <alignment vertical="center" wrapText="1"/>
    </xf>
    <xf numFmtId="0" fontId="62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8" fillId="0" borderId="272" xfId="0" applyNumberFormat="1" applyFont="1" applyBorder="1" applyAlignment="1">
      <alignment horizontal="center"/>
    </xf>
    <xf numFmtId="2" fontId="18" fillId="0" borderId="272" xfId="0" applyNumberFormat="1" applyFont="1" applyFill="1" applyBorder="1"/>
    <xf numFmtId="2" fontId="18" fillId="0" borderId="279" xfId="0" applyNumberFormat="1" applyFont="1" applyFill="1" applyBorder="1"/>
    <xf numFmtId="0" fontId="61" fillId="0" borderId="169" xfId="0" applyFont="1" applyFill="1" applyBorder="1" applyAlignment="1">
      <alignment vertical="center" wrapText="1"/>
    </xf>
    <xf numFmtId="2" fontId="18" fillId="0" borderId="272" xfId="0" applyNumberFormat="1" applyFont="1" applyFill="1" applyBorder="1" applyAlignment="1">
      <alignment horizontal="center"/>
    </xf>
    <xf numFmtId="178" fontId="18" fillId="0" borderId="257" xfId="0" applyNumberFormat="1" applyFont="1" applyFill="1" applyBorder="1" applyAlignment="1" applyProtection="1">
      <alignment vertical="center"/>
    </xf>
    <xf numFmtId="4" fontId="61" fillId="0" borderId="257" xfId="0" applyNumberFormat="1" applyFont="1" applyFill="1" applyBorder="1" applyAlignment="1" applyProtection="1">
      <alignment vertical="center"/>
    </xf>
    <xf numFmtId="4" fontId="89" fillId="0" borderId="257" xfId="0" applyNumberFormat="1" applyFont="1" applyFill="1" applyBorder="1" applyAlignment="1" applyProtection="1">
      <alignment vertical="center"/>
    </xf>
    <xf numFmtId="178" fontId="61" fillId="0" borderId="257" xfId="0" applyNumberFormat="1" applyFont="1" applyFill="1" applyBorder="1" applyAlignment="1" applyProtection="1">
      <alignment vertical="center"/>
    </xf>
    <xf numFmtId="4" fontId="18" fillId="0" borderId="257" xfId="0" applyNumberFormat="1" applyFont="1" applyFill="1" applyBorder="1" applyAlignment="1" applyProtection="1">
      <alignment vertical="center"/>
    </xf>
    <xf numFmtId="4" fontId="49" fillId="0" borderId="257" xfId="151" applyNumberFormat="1" applyFont="1" applyBorder="1" applyAlignment="1">
      <alignment vertical="center"/>
    </xf>
    <xf numFmtId="4" fontId="52" fillId="0" borderId="257" xfId="151" applyNumberFormat="1" applyFont="1" applyBorder="1" applyAlignment="1">
      <alignment vertical="center"/>
    </xf>
    <xf numFmtId="2" fontId="49" fillId="0" borderId="257" xfId="151" applyNumberFormat="1" applyFont="1" applyBorder="1"/>
    <xf numFmtId="4" fontId="49" fillId="0" borderId="257" xfId="151" applyNumberFormat="1" applyFont="1" applyBorder="1"/>
    <xf numFmtId="4" fontId="52" fillId="0" borderId="257" xfId="151" applyNumberFormat="1" applyFont="1" applyBorder="1"/>
    <xf numFmtId="178" fontId="61" fillId="0" borderId="270" xfId="0" applyNumberFormat="1" applyFont="1" applyFill="1" applyBorder="1" applyAlignment="1" applyProtection="1">
      <alignment horizontal="right" vertical="center"/>
      <protection locked="0"/>
    </xf>
    <xf numFmtId="0" fontId="14" fillId="0" borderId="192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1" fillId="0" borderId="0" xfId="0" applyFont="1" applyAlignment="1"/>
    <xf numFmtId="0" fontId="64" fillId="0" borderId="0" xfId="0" applyFont="1" applyAlignment="1"/>
    <xf numFmtId="0" fontId="13" fillId="0" borderId="192" xfId="0" applyFont="1" applyFill="1" applyBorder="1" applyAlignment="1">
      <alignment horizontal="center" vertical="center" wrapText="1"/>
    </xf>
    <xf numFmtId="0" fontId="56" fillId="38" borderId="192" xfId="147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vertical="center" wrapText="1"/>
    </xf>
    <xf numFmtId="0" fontId="80" fillId="0" borderId="11" xfId="0" applyFont="1" applyFill="1" applyBorder="1" applyAlignment="1">
      <alignment vertical="center"/>
    </xf>
    <xf numFmtId="4" fontId="18" fillId="0" borderId="11" xfId="0" applyNumberFormat="1" applyFont="1" applyFill="1" applyBorder="1" applyAlignment="1">
      <alignment horizontal="right" vertical="center"/>
    </xf>
    <xf numFmtId="4" fontId="81" fillId="0" borderId="11" xfId="0" applyNumberFormat="1" applyFont="1" applyFill="1" applyBorder="1" applyAlignment="1">
      <alignment horizontal="right" vertical="center"/>
    </xf>
    <xf numFmtId="4" fontId="18" fillId="0" borderId="11" xfId="0" applyNumberFormat="1" applyFont="1" applyFill="1" applyBorder="1" applyAlignment="1">
      <alignment horizontal="center" vertical="center"/>
    </xf>
    <xf numFmtId="0" fontId="62" fillId="0" borderId="257" xfId="0" applyFont="1" applyFill="1" applyBorder="1" applyAlignment="1">
      <alignment vertical="center"/>
    </xf>
    <xf numFmtId="0" fontId="128" fillId="0" borderId="37" xfId="0" applyFont="1" applyFill="1" applyBorder="1" applyAlignment="1">
      <alignment horizontal="center" vertical="center" wrapText="1"/>
    </xf>
    <xf numFmtId="0" fontId="128" fillId="0" borderId="11" xfId="0" applyFont="1" applyFill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 wrapText="1"/>
    </xf>
    <xf numFmtId="4" fontId="166" fillId="0" borderId="192" xfId="0" applyNumberFormat="1" applyFont="1" applyFill="1" applyBorder="1" applyAlignment="1">
      <alignment horizontal="center" vertical="center"/>
    </xf>
    <xf numFmtId="166" fontId="14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wrapText="1"/>
    </xf>
    <xf numFmtId="0" fontId="14" fillId="0" borderId="192" xfId="0" applyFont="1" applyFill="1" applyBorder="1" applyAlignment="1">
      <alignment vertical="center" wrapText="1"/>
    </xf>
    <xf numFmtId="0" fontId="13" fillId="0" borderId="192" xfId="0" applyFont="1" applyFill="1" applyBorder="1" applyAlignment="1">
      <alignment wrapText="1"/>
    </xf>
    <xf numFmtId="0" fontId="13" fillId="0" borderId="192" xfId="0" applyFont="1" applyFill="1" applyBorder="1" applyAlignment="1">
      <alignment horizontal="left" wrapText="1"/>
    </xf>
    <xf numFmtId="0" fontId="14" fillId="0" borderId="192" xfId="0" applyFont="1" applyFill="1" applyBorder="1" applyAlignment="1">
      <alignment horizontal="right" wrapText="1"/>
    </xf>
    <xf numFmtId="0" fontId="13" fillId="0" borderId="0" xfId="0" applyFont="1" applyFill="1"/>
    <xf numFmtId="4" fontId="93" fillId="0" borderId="192" xfId="0" applyNumberFormat="1" applyFont="1" applyFill="1" applyBorder="1"/>
    <xf numFmtId="166" fontId="14" fillId="29" borderId="192" xfId="0" applyNumberFormat="1" applyFont="1" applyFill="1" applyBorder="1" applyAlignment="1">
      <alignment horizontal="center" vertical="center"/>
    </xf>
    <xf numFmtId="0" fontId="59" fillId="0" borderId="0" xfId="0" applyFont="1" applyAlignment="1"/>
    <xf numFmtId="0" fontId="59" fillId="0" borderId="0" xfId="0" applyFont="1" applyAlignment="1">
      <alignment horizontal="center" vertical="center"/>
    </xf>
    <xf numFmtId="166" fontId="14" fillId="0" borderId="192" xfId="0" applyNumberFormat="1" applyFont="1" applyFill="1" applyBorder="1"/>
    <xf numFmtId="4" fontId="14" fillId="0" borderId="192" xfId="0" applyNumberFormat="1" applyFont="1" applyFill="1" applyBorder="1" applyAlignment="1"/>
    <xf numFmtId="166" fontId="14" fillId="29" borderId="192" xfId="0" applyNumberFormat="1" applyFont="1" applyFill="1" applyBorder="1"/>
    <xf numFmtId="0" fontId="14" fillId="0" borderId="0" xfId="0" applyFont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3" xfId="0" applyFont="1" applyFill="1" applyBorder="1" applyAlignment="1">
      <alignment horizontal="center" vertical="center" wrapText="1"/>
    </xf>
    <xf numFmtId="0" fontId="61" fillId="30" borderId="11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61" fillId="0" borderId="37" xfId="0" applyFont="1" applyFill="1" applyBorder="1" applyAlignment="1">
      <alignment horizontal="left" vertical="center"/>
    </xf>
    <xf numFmtId="169" fontId="15" fillId="0" borderId="192" xfId="0" applyNumberFormat="1" applyFont="1" applyFill="1" applyBorder="1" applyAlignment="1">
      <alignment horizontal="center" vertical="center"/>
    </xf>
    <xf numFmtId="4" fontId="14" fillId="0" borderId="192" xfId="85" applyNumberFormat="1" applyFont="1" applyFill="1" applyBorder="1" applyAlignment="1">
      <alignment horizontal="center" vertical="center"/>
    </xf>
    <xf numFmtId="2" fontId="14" fillId="0" borderId="193" xfId="85" applyNumberFormat="1" applyFont="1" applyFill="1" applyBorder="1" applyAlignment="1">
      <alignment horizontal="center" vertical="center"/>
    </xf>
    <xf numFmtId="4" fontId="14" fillId="0" borderId="193" xfId="85" applyNumberFormat="1" applyFont="1" applyFill="1" applyBorder="1" applyAlignment="1">
      <alignment horizontal="center" vertical="center"/>
    </xf>
    <xf numFmtId="2" fontId="14" fillId="0" borderId="192" xfId="85" applyNumberFormat="1" applyFont="1" applyFill="1" applyBorder="1" applyAlignment="1">
      <alignment horizontal="center" vertical="center"/>
    </xf>
    <xf numFmtId="4" fontId="14" fillId="0" borderId="205" xfId="85" applyNumberFormat="1" applyFont="1" applyFill="1" applyBorder="1" applyAlignment="1">
      <alignment horizontal="center" vertical="center"/>
    </xf>
    <xf numFmtId="4" fontId="14" fillId="0" borderId="213" xfId="85" applyNumberFormat="1" applyFont="1" applyFill="1" applyBorder="1" applyAlignment="1">
      <alignment horizontal="center" vertical="center"/>
    </xf>
    <xf numFmtId="2" fontId="13" fillId="0" borderId="192" xfId="0" applyNumberFormat="1" applyFont="1" applyFill="1" applyBorder="1" applyAlignment="1">
      <alignment horizontal="center" vertical="center"/>
    </xf>
    <xf numFmtId="2" fontId="13" fillId="0" borderId="192" xfId="85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horizontal="center" vertical="center"/>
    </xf>
    <xf numFmtId="171" fontId="13" fillId="0" borderId="192" xfId="85" applyNumberFormat="1" applyFont="1" applyFill="1" applyBorder="1" applyAlignment="1">
      <alignment horizontal="center" vertical="center"/>
    </xf>
    <xf numFmtId="2" fontId="13" fillId="0" borderId="192" xfId="0" applyNumberFormat="1" applyFont="1" applyFill="1" applyBorder="1" applyAlignment="1">
      <alignment vertical="center"/>
    </xf>
    <xf numFmtId="4" fontId="14" fillId="0" borderId="193" xfId="0" applyNumberFormat="1" applyFont="1" applyFill="1" applyBorder="1"/>
    <xf numFmtId="4" fontId="13" fillId="0" borderId="192" xfId="0" applyNumberFormat="1" applyFont="1" applyFill="1" applyBorder="1"/>
    <xf numFmtId="178" fontId="13" fillId="0" borderId="192" xfId="0" applyNumberFormat="1" applyFont="1" applyFill="1" applyBorder="1" applyAlignment="1">
      <alignment horizontal="center" vertical="center"/>
    </xf>
    <xf numFmtId="168" fontId="14" fillId="0" borderId="192" xfId="0" applyNumberFormat="1" applyFont="1" applyFill="1" applyBorder="1"/>
    <xf numFmtId="2" fontId="14" fillId="0" borderId="193" xfId="0" applyNumberFormat="1" applyFont="1" applyFill="1" applyBorder="1"/>
    <xf numFmtId="4" fontId="13" fillId="0" borderId="193" xfId="0" applyNumberFormat="1" applyFont="1" applyFill="1" applyBorder="1"/>
    <xf numFmtId="0" fontId="93" fillId="0" borderId="192" xfId="0" applyFont="1" applyFill="1" applyBorder="1"/>
    <xf numFmtId="0" fontId="13" fillId="0" borderId="206" xfId="0" applyFont="1" applyFill="1" applyBorder="1" applyAlignment="1">
      <alignment horizontal="center" vertical="center"/>
    </xf>
    <xf numFmtId="4" fontId="13" fillId="0" borderId="193" xfId="0" applyNumberFormat="1" applyFont="1" applyFill="1" applyBorder="1" applyAlignment="1">
      <alignment horizontal="center" vertical="center"/>
    </xf>
    <xf numFmtId="0" fontId="14" fillId="0" borderId="193" xfId="0" applyFont="1" applyFill="1" applyBorder="1"/>
    <xf numFmtId="0" fontId="14" fillId="0" borderId="192" xfId="0" applyFont="1" applyFill="1" applyBorder="1" applyAlignment="1">
      <alignment horizontal="right"/>
    </xf>
    <xf numFmtId="167" fontId="14" fillId="0" borderId="192" xfId="0" applyNumberFormat="1" applyFont="1" applyFill="1" applyBorder="1"/>
    <xf numFmtId="169" fontId="14" fillId="0" borderId="192" xfId="0" applyNumberFormat="1" applyFont="1" applyFill="1" applyBorder="1"/>
    <xf numFmtId="4" fontId="14" fillId="0" borderId="193" xfId="0" applyNumberFormat="1" applyFont="1" applyFill="1" applyBorder="1" applyAlignment="1">
      <alignment vertical="center"/>
    </xf>
    <xf numFmtId="2" fontId="14" fillId="0" borderId="193" xfId="0" applyNumberFormat="1" applyFont="1" applyFill="1" applyBorder="1" applyAlignment="1">
      <alignment vertical="center"/>
    </xf>
    <xf numFmtId="2" fontId="14" fillId="0" borderId="192" xfId="0" applyNumberFormat="1" applyFont="1" applyFill="1" applyBorder="1" applyAlignment="1">
      <alignment vertical="center"/>
    </xf>
    <xf numFmtId="178" fontId="13" fillId="0" borderId="193" xfId="0" applyNumberFormat="1" applyFont="1" applyFill="1" applyBorder="1" applyAlignment="1">
      <alignment horizontal="center" vertical="center"/>
    </xf>
    <xf numFmtId="168" fontId="14" fillId="0" borderId="193" xfId="0" applyNumberFormat="1" applyFont="1" applyFill="1" applyBorder="1"/>
    <xf numFmtId="0" fontId="13" fillId="0" borderId="0" xfId="0" applyFont="1" applyFill="1" applyBorder="1" applyAlignment="1">
      <alignment horizontal="center" vertical="center"/>
    </xf>
    <xf numFmtId="0" fontId="49" fillId="0" borderId="192" xfId="79" applyFont="1" applyFill="1" applyBorder="1" applyAlignment="1">
      <alignment horizontal="center" vertical="center"/>
    </xf>
    <xf numFmtId="0" fontId="59" fillId="0" borderId="0" xfId="0" applyFont="1" applyAlignment="1">
      <alignment horizontal="left" wrapText="1"/>
    </xf>
    <xf numFmtId="0" fontId="18" fillId="0" borderId="60" xfId="0" applyFont="1" applyFill="1" applyBorder="1" applyAlignment="1">
      <alignment horizontal="center" vertical="center" wrapText="1"/>
    </xf>
    <xf numFmtId="0" fontId="61" fillId="0" borderId="39" xfId="0" applyFont="1" applyFill="1" applyBorder="1" applyAlignment="1">
      <alignment horizontal="center" vertical="center" wrapText="1"/>
    </xf>
    <xf numFmtId="0" fontId="61" fillId="0" borderId="22" xfId="0" applyFont="1" applyFill="1" applyBorder="1" applyAlignment="1">
      <alignment horizontal="center" vertical="center" wrapText="1"/>
    </xf>
    <xf numFmtId="0" fontId="61" fillId="0" borderId="29" xfId="0" applyFont="1" applyFill="1" applyBorder="1" applyAlignment="1">
      <alignment horizontal="center" vertical="center" wrapText="1"/>
    </xf>
    <xf numFmtId="0" fontId="61" fillId="0" borderId="21" xfId="0" applyFont="1" applyFill="1" applyBorder="1" applyAlignment="1">
      <alignment horizontal="center" vertical="center" wrapText="1"/>
    </xf>
    <xf numFmtId="0" fontId="61" fillId="0" borderId="65" xfId="0" applyFont="1" applyFill="1" applyBorder="1" applyAlignment="1">
      <alignment horizontal="center" vertical="center" wrapText="1"/>
    </xf>
    <xf numFmtId="0" fontId="61" fillId="0" borderId="38" xfId="0" applyFont="1" applyFill="1" applyBorder="1"/>
    <xf numFmtId="0" fontId="61" fillId="0" borderId="31" xfId="0" applyFont="1" applyFill="1" applyBorder="1"/>
    <xf numFmtId="0" fontId="61" fillId="0" borderId="11" xfId="0" applyFont="1" applyFill="1" applyBorder="1"/>
    <xf numFmtId="0" fontId="61" fillId="0" borderId="37" xfId="0" applyFont="1" applyFill="1" applyBorder="1"/>
    <xf numFmtId="0" fontId="61" fillId="0" borderId="16" xfId="0" applyFont="1" applyFill="1" applyBorder="1"/>
    <xf numFmtId="0" fontId="61" fillId="0" borderId="17" xfId="0" applyFont="1" applyFill="1" applyBorder="1"/>
    <xf numFmtId="0" fontId="61" fillId="0" borderId="30" xfId="0" applyFont="1" applyFill="1" applyBorder="1" applyAlignment="1">
      <alignment horizontal="center" vertical="center"/>
    </xf>
    <xf numFmtId="0" fontId="61" fillId="0" borderId="34" xfId="0" applyFont="1" applyFill="1" applyBorder="1"/>
    <xf numFmtId="0" fontId="61" fillId="0" borderId="0" xfId="0" applyFont="1" applyFill="1" applyBorder="1"/>
    <xf numFmtId="0" fontId="18" fillId="0" borderId="19" xfId="0" applyFont="1" applyFill="1" applyBorder="1" applyAlignment="1">
      <alignment horizontal="left" vertical="center"/>
    </xf>
    <xf numFmtId="0" fontId="18" fillId="0" borderId="20" xfId="0" applyFont="1" applyFill="1" applyBorder="1" applyAlignment="1">
      <alignment wrapText="1"/>
    </xf>
    <xf numFmtId="1" fontId="18" fillId="0" borderId="28" xfId="0" applyNumberFormat="1" applyFont="1" applyFill="1" applyBorder="1" applyAlignment="1">
      <alignment horizontal="right" vertical="center" indent="1"/>
    </xf>
    <xf numFmtId="3" fontId="18" fillId="0" borderId="19" xfId="0" applyNumberFormat="1" applyFont="1" applyFill="1" applyBorder="1" applyAlignment="1">
      <alignment horizontal="right" vertical="center" indent="1"/>
    </xf>
    <xf numFmtId="171" fontId="18" fillId="0" borderId="10" xfId="0" applyNumberFormat="1" applyFont="1" applyFill="1" applyBorder="1" applyAlignment="1">
      <alignment horizontal="center" vertical="center" wrapText="1"/>
    </xf>
    <xf numFmtId="170" fontId="18" fillId="0" borderId="26" xfId="0" applyNumberFormat="1" applyFont="1" applyFill="1" applyBorder="1" applyAlignment="1">
      <alignment horizontal="center" vertical="center"/>
    </xf>
    <xf numFmtId="3" fontId="18" fillId="0" borderId="10" xfId="0" applyNumberFormat="1" applyFont="1" applyFill="1" applyBorder="1" applyAlignment="1">
      <alignment horizontal="center" vertical="center"/>
    </xf>
    <xf numFmtId="0" fontId="18" fillId="0" borderId="19" xfId="0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center" vertical="center"/>
    </xf>
    <xf numFmtId="169" fontId="18" fillId="0" borderId="20" xfId="0" applyNumberFormat="1" applyFont="1" applyFill="1" applyBorder="1" applyAlignment="1">
      <alignment horizontal="center" vertical="center"/>
    </xf>
    <xf numFmtId="0" fontId="18" fillId="0" borderId="28" xfId="0" applyFont="1" applyFill="1" applyBorder="1" applyAlignment="1">
      <alignment horizontal="center" vertical="center"/>
    </xf>
    <xf numFmtId="169" fontId="18" fillId="0" borderId="25" xfId="0" applyNumberFormat="1" applyFont="1" applyFill="1" applyBorder="1" applyAlignment="1">
      <alignment horizontal="center" vertical="center"/>
    </xf>
    <xf numFmtId="166" fontId="61" fillId="0" borderId="12" xfId="0" applyNumberFormat="1" applyFont="1" applyFill="1" applyBorder="1"/>
    <xf numFmtId="166" fontId="61" fillId="0" borderId="0" xfId="0" applyNumberFormat="1" applyFont="1" applyFill="1" applyBorder="1"/>
    <xf numFmtId="0" fontId="61" fillId="0" borderId="19" xfId="0" applyFont="1" applyFill="1" applyBorder="1" applyAlignment="1">
      <alignment horizontal="left" vertical="center"/>
    </xf>
    <xf numFmtId="0" fontId="61" fillId="0" borderId="20" xfId="0" applyFont="1" applyFill="1" applyBorder="1"/>
    <xf numFmtId="1" fontId="61" fillId="0" borderId="28" xfId="0" applyNumberFormat="1" applyFont="1" applyFill="1" applyBorder="1" applyAlignment="1">
      <alignment horizontal="right" vertical="center" indent="1"/>
    </xf>
    <xf numFmtId="3" fontId="61" fillId="0" borderId="10" xfId="0" applyNumberFormat="1" applyFont="1" applyFill="1" applyBorder="1" applyAlignment="1">
      <alignment horizontal="right" vertical="center" indent="1"/>
    </xf>
    <xf numFmtId="3" fontId="61" fillId="0" borderId="19" xfId="0" applyNumberFormat="1" applyFont="1" applyFill="1" applyBorder="1" applyAlignment="1">
      <alignment horizontal="right" vertical="center" indent="1"/>
    </xf>
    <xf numFmtId="1" fontId="61" fillId="0" borderId="19" xfId="0" applyNumberFormat="1" applyFont="1" applyFill="1" applyBorder="1" applyAlignment="1">
      <alignment horizontal="right" vertical="center" indent="1"/>
    </xf>
    <xf numFmtId="1" fontId="61" fillId="0" borderId="26" xfId="0" applyNumberFormat="1" applyFont="1" applyFill="1" applyBorder="1" applyAlignment="1">
      <alignment horizontal="center" vertical="center"/>
    </xf>
    <xf numFmtId="170" fontId="61" fillId="0" borderId="26" xfId="0" applyNumberFormat="1" applyFont="1" applyFill="1" applyBorder="1" applyAlignment="1">
      <alignment horizontal="right" vertical="center"/>
    </xf>
    <xf numFmtId="169" fontId="61" fillId="0" borderId="20" xfId="0" applyNumberFormat="1" applyFont="1" applyFill="1" applyBorder="1" applyAlignment="1">
      <alignment horizontal="center" vertical="center"/>
    </xf>
    <xf numFmtId="0" fontId="61" fillId="0" borderId="28" xfId="0" applyFont="1" applyFill="1" applyBorder="1" applyAlignment="1">
      <alignment horizontal="center" vertical="center"/>
    </xf>
    <xf numFmtId="169" fontId="61" fillId="0" borderId="25" xfId="0" applyNumberFormat="1" applyFont="1" applyFill="1" applyBorder="1" applyAlignment="1">
      <alignment horizontal="center" vertical="center"/>
    </xf>
    <xf numFmtId="169" fontId="61" fillId="0" borderId="19" xfId="0" applyNumberFormat="1" applyFont="1" applyFill="1" applyBorder="1" applyAlignment="1">
      <alignment horizontal="right" vertical="center" indent="1"/>
    </xf>
    <xf numFmtId="3" fontId="61" fillId="0" borderId="26" xfId="0" applyNumberFormat="1" applyFont="1" applyFill="1" applyBorder="1" applyAlignment="1">
      <alignment horizontal="center" vertical="center"/>
    </xf>
    <xf numFmtId="0" fontId="61" fillId="0" borderId="10" xfId="0" applyFont="1" applyFill="1" applyBorder="1" applyAlignment="1">
      <alignment horizontal="center" vertical="center"/>
    </xf>
    <xf numFmtId="0" fontId="61" fillId="0" borderId="20" xfId="0" applyFont="1" applyFill="1" applyBorder="1" applyAlignment="1">
      <alignment wrapText="1"/>
    </xf>
    <xf numFmtId="0" fontId="61" fillId="0" borderId="21" xfId="0" applyFont="1" applyFill="1" applyBorder="1" applyAlignment="1">
      <alignment horizontal="left" vertical="center"/>
    </xf>
    <xf numFmtId="0" fontId="61" fillId="0" borderId="23" xfId="0" applyFont="1" applyFill="1" applyBorder="1"/>
    <xf numFmtId="1" fontId="61" fillId="0" borderId="39" xfId="0" applyNumberFormat="1" applyFont="1" applyFill="1" applyBorder="1" applyAlignment="1">
      <alignment horizontal="right" vertical="center" indent="1"/>
    </xf>
    <xf numFmtId="3" fontId="61" fillId="0" borderId="22" xfId="0" applyNumberFormat="1" applyFont="1" applyFill="1" applyBorder="1" applyAlignment="1">
      <alignment horizontal="right" vertical="center" indent="1"/>
    </xf>
    <xf numFmtId="3" fontId="61" fillId="0" borderId="21" xfId="0" applyNumberFormat="1" applyFont="1" applyFill="1" applyBorder="1" applyAlignment="1">
      <alignment horizontal="right" vertical="center" indent="1"/>
    </xf>
    <xf numFmtId="1" fontId="61" fillId="0" borderId="21" xfId="0" applyNumberFormat="1" applyFont="1" applyFill="1" applyBorder="1" applyAlignment="1">
      <alignment horizontal="right" vertical="center" indent="1"/>
    </xf>
    <xf numFmtId="171" fontId="18" fillId="0" borderId="22" xfId="0" applyNumberFormat="1" applyFont="1" applyFill="1" applyBorder="1" applyAlignment="1">
      <alignment horizontal="center" vertical="center" wrapText="1"/>
    </xf>
    <xf numFmtId="3" fontId="61" fillId="0" borderId="84" xfId="0" applyNumberFormat="1" applyFont="1" applyFill="1" applyBorder="1" applyAlignment="1">
      <alignment horizontal="center" vertical="center"/>
    </xf>
    <xf numFmtId="170" fontId="61" fillId="0" borderId="84" xfId="0" applyNumberFormat="1" applyFont="1" applyFill="1" applyBorder="1" applyAlignment="1">
      <alignment horizontal="right" vertical="center"/>
    </xf>
    <xf numFmtId="169" fontId="61" fillId="0" borderId="23" xfId="0" applyNumberFormat="1" applyFont="1" applyFill="1" applyBorder="1" applyAlignment="1">
      <alignment horizontal="center" vertical="center"/>
    </xf>
    <xf numFmtId="0" fontId="61" fillId="0" borderId="39" xfId="0" applyFont="1" applyFill="1" applyBorder="1" applyAlignment="1">
      <alignment horizontal="center" vertical="center"/>
    </xf>
    <xf numFmtId="169" fontId="61" fillId="0" borderId="29" xfId="0" applyNumberFormat="1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left" vertical="center"/>
    </xf>
    <xf numFmtId="0" fontId="13" fillId="0" borderId="192" xfId="0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left" vertical="center"/>
    </xf>
    <xf numFmtId="0" fontId="14" fillId="0" borderId="205" xfId="0" applyFont="1" applyFill="1" applyBorder="1" applyAlignment="1">
      <alignment horizontal="left" vertical="center"/>
    </xf>
    <xf numFmtId="0" fontId="14" fillId="0" borderId="205" xfId="0" applyFont="1" applyFill="1" applyBorder="1" applyAlignment="1">
      <alignment vertical="center" wrapText="1"/>
    </xf>
    <xf numFmtId="1" fontId="14" fillId="0" borderId="0" xfId="0" applyNumberFormat="1" applyFont="1" applyFill="1" applyBorder="1" applyAlignment="1">
      <alignment horizontal="right" vertical="center"/>
    </xf>
    <xf numFmtId="3" fontId="14" fillId="0" borderId="0" xfId="0" applyNumberFormat="1" applyFont="1" applyFill="1" applyBorder="1" applyAlignment="1">
      <alignment horizontal="right" vertical="center"/>
    </xf>
    <xf numFmtId="165" fontId="15" fillId="0" borderId="192" xfId="89" applyFont="1" applyFill="1" applyBorder="1" applyAlignment="1">
      <alignment vertical="center"/>
    </xf>
    <xf numFmtId="165" fontId="14" fillId="0" borderId="192" xfId="89" applyFont="1" applyFill="1" applyBorder="1" applyAlignment="1">
      <alignment vertical="center"/>
    </xf>
    <xf numFmtId="0" fontId="59" fillId="0" borderId="0" xfId="0" applyFont="1" applyFill="1" applyAlignment="1">
      <alignment horizontal="left" wrapText="1"/>
    </xf>
    <xf numFmtId="0" fontId="0" fillId="0" borderId="0" xfId="0" applyFill="1" applyAlignment="1">
      <alignment horizontal="left" wrapText="1"/>
    </xf>
    <xf numFmtId="0" fontId="59" fillId="0" borderId="0" xfId="0" applyFont="1" applyFill="1"/>
    <xf numFmtId="4" fontId="93" fillId="0" borderId="0" xfId="0" applyNumberFormat="1" applyFont="1" applyBorder="1" applyAlignment="1">
      <alignment vertical="center"/>
    </xf>
    <xf numFmtId="0" fontId="14" fillId="0" borderId="192" xfId="0" applyFont="1" applyFill="1" applyBorder="1" applyAlignment="1">
      <alignment horizontal="center"/>
    </xf>
    <xf numFmtId="0" fontId="13" fillId="0" borderId="192" xfId="0" applyFont="1" applyFill="1" applyBorder="1" applyAlignment="1">
      <alignment horizontal="center" wrapText="1"/>
    </xf>
    <xf numFmtId="0" fontId="14" fillId="0" borderId="192" xfId="0" applyFont="1" applyFill="1" applyBorder="1" applyAlignment="1">
      <alignment horizontal="center" wrapText="1"/>
    </xf>
    <xf numFmtId="0" fontId="93" fillId="0" borderId="192" xfId="0" applyFont="1" applyFill="1" applyBorder="1" applyAlignment="1">
      <alignment horizontal="center" vertical="center"/>
    </xf>
    <xf numFmtId="4" fontId="14" fillId="58" borderId="192" xfId="0" applyNumberFormat="1" applyFont="1" applyFill="1" applyBorder="1"/>
    <xf numFmtId="4" fontId="14" fillId="0" borderId="192" xfId="0" applyNumberFormat="1" applyFont="1" applyFill="1" applyBorder="1" applyAlignment="1">
      <alignment horizontal="right" vertical="center" wrapText="1"/>
    </xf>
    <xf numFmtId="170" fontId="13" fillId="0" borderId="192" xfId="0" applyNumberFormat="1" applyFont="1" applyFill="1" applyBorder="1"/>
    <xf numFmtId="4" fontId="13" fillId="0" borderId="192" xfId="0" applyNumberFormat="1" applyFont="1" applyFill="1" applyBorder="1" applyAlignment="1">
      <alignment horizontal="right"/>
    </xf>
    <xf numFmtId="4" fontId="166" fillId="0" borderId="0" xfId="0" applyNumberFormat="1" applyFont="1" applyFill="1"/>
    <xf numFmtId="4" fontId="93" fillId="0" borderId="225" xfId="0" applyNumberFormat="1" applyFont="1" applyBorder="1" applyAlignment="1">
      <alignment vertical="center"/>
    </xf>
    <xf numFmtId="0" fontId="61" fillId="0" borderId="192" xfId="0" applyFont="1" applyFill="1" applyBorder="1" applyAlignment="1">
      <alignment vertical="center"/>
    </xf>
    <xf numFmtId="0" fontId="61" fillId="0" borderId="192" xfId="0" applyFont="1" applyFill="1" applyBorder="1" applyAlignment="1">
      <alignment horizontal="center" vertical="center"/>
    </xf>
    <xf numFmtId="169" fontId="61" fillId="0" borderId="192" xfId="0" applyNumberFormat="1" applyFont="1" applyFill="1" applyBorder="1" applyAlignment="1">
      <alignment horizontal="center" vertical="center"/>
    </xf>
    <xf numFmtId="171" fontId="61" fillId="0" borderId="192" xfId="85" applyNumberFormat="1" applyFont="1" applyFill="1" applyBorder="1" applyAlignment="1">
      <alignment vertical="center"/>
    </xf>
    <xf numFmtId="0" fontId="62" fillId="0" borderId="192" xfId="0" applyFont="1" applyFill="1" applyBorder="1" applyAlignment="1">
      <alignment vertical="center"/>
    </xf>
    <xf numFmtId="0" fontId="62" fillId="0" borderId="192" xfId="0" applyFont="1" applyFill="1" applyBorder="1" applyAlignment="1">
      <alignment horizontal="center" vertical="center"/>
    </xf>
    <xf numFmtId="0" fontId="51" fillId="0" borderId="192" xfId="0" applyFont="1" applyFill="1" applyBorder="1"/>
    <xf numFmtId="0" fontId="0" fillId="0" borderId="192" xfId="0" applyFont="1" applyFill="1" applyBorder="1" applyAlignment="1">
      <alignment vertical="center" wrapText="1"/>
    </xf>
    <xf numFmtId="0" fontId="62" fillId="0" borderId="192" xfId="0" applyFont="1" applyFill="1" applyBorder="1" applyAlignment="1">
      <alignment vertical="center" wrapText="1"/>
    </xf>
    <xf numFmtId="0" fontId="81" fillId="0" borderId="192" xfId="0" applyFont="1" applyFill="1" applyBorder="1" applyAlignment="1">
      <alignment vertical="center"/>
    </xf>
    <xf numFmtId="0" fontId="61" fillId="0" borderId="192" xfId="0" applyFont="1" applyFill="1" applyBorder="1"/>
    <xf numFmtId="10" fontId="61" fillId="0" borderId="192" xfId="85" applyNumberFormat="1" applyFont="1" applyFill="1" applyBorder="1"/>
    <xf numFmtId="0" fontId="0" fillId="0" borderId="192" xfId="0" applyFont="1" applyFill="1" applyBorder="1"/>
    <xf numFmtId="2" fontId="61" fillId="0" borderId="192" xfId="0" applyNumberFormat="1" applyFont="1" applyFill="1" applyBorder="1" applyAlignment="1">
      <alignment horizontal="center" vertical="center"/>
    </xf>
    <xf numFmtId="10" fontId="62" fillId="0" borderId="192" xfId="0" applyNumberFormat="1" applyFont="1" applyFill="1" applyBorder="1" applyAlignment="1">
      <alignment horizontal="center" vertical="center"/>
    </xf>
    <xf numFmtId="165" fontId="0" fillId="0" borderId="192" xfId="89" applyFont="1" applyFill="1" applyBorder="1"/>
    <xf numFmtId="4" fontId="0" fillId="0" borderId="192" xfId="0" applyNumberFormat="1" applyFont="1" applyFill="1" applyBorder="1"/>
    <xf numFmtId="169" fontId="0" fillId="0" borderId="192" xfId="0" applyNumberFormat="1" applyFont="1" applyFill="1" applyBorder="1"/>
    <xf numFmtId="2" fontId="61" fillId="29" borderId="192" xfId="0" applyNumberFormat="1" applyFont="1" applyFill="1" applyBorder="1" applyAlignment="1">
      <alignment horizontal="center" vertical="center"/>
    </xf>
    <xf numFmtId="10" fontId="62" fillId="29" borderId="192" xfId="0" applyNumberFormat="1" applyFont="1" applyFill="1" applyBorder="1" applyAlignment="1">
      <alignment horizontal="center" vertical="center"/>
    </xf>
    <xf numFmtId="4" fontId="168" fillId="0" borderId="192" xfId="0" applyNumberFormat="1" applyFont="1" applyFill="1" applyBorder="1" applyAlignment="1">
      <alignment horizontal="center" vertical="center"/>
    </xf>
    <xf numFmtId="4" fontId="169" fillId="0" borderId="192" xfId="0" applyNumberFormat="1" applyFont="1" applyFill="1" applyBorder="1" applyAlignment="1">
      <alignment horizontal="center" vertical="center"/>
    </xf>
    <xf numFmtId="171" fontId="62" fillId="0" borderId="192" xfId="85" applyNumberFormat="1" applyFont="1" applyFill="1" applyBorder="1" applyAlignment="1">
      <alignment vertical="center"/>
    </xf>
    <xf numFmtId="0" fontId="61" fillId="0" borderId="192" xfId="0" applyFont="1" applyFill="1" applyBorder="1" applyAlignment="1">
      <alignment vertical="center" wrapText="1"/>
    </xf>
    <xf numFmtId="4" fontId="61" fillId="0" borderId="193" xfId="0" applyNumberFormat="1" applyFont="1" applyFill="1" applyBorder="1" applyAlignment="1">
      <alignment horizontal="center" vertical="center"/>
    </xf>
    <xf numFmtId="10" fontId="61" fillId="0" borderId="192" xfId="85" applyNumberFormat="1" applyFont="1" applyFill="1" applyBorder="1" applyAlignment="1">
      <alignment vertical="center"/>
    </xf>
    <xf numFmtId="170" fontId="61" fillId="0" borderId="192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/>
    </xf>
    <xf numFmtId="0" fontId="17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14" fillId="36" borderId="192" xfId="0" applyFont="1" applyFill="1" applyBorder="1" applyAlignment="1">
      <alignment vertical="center" wrapText="1"/>
    </xf>
    <xf numFmtId="0" fontId="14" fillId="38" borderId="192" xfId="0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14" fillId="38" borderId="254" xfId="0" applyFont="1" applyFill="1" applyBorder="1" applyAlignment="1">
      <alignment horizontal="center"/>
    </xf>
    <xf numFmtId="0" fontId="14" fillId="0" borderId="192" xfId="0" applyFont="1" applyBorder="1" applyAlignment="1">
      <alignment horizontal="center" vertical="center" wrapText="1"/>
    </xf>
    <xf numFmtId="171" fontId="8" fillId="0" borderId="192" xfId="85" applyNumberFormat="1" applyFont="1" applyFill="1" applyBorder="1" applyAlignment="1">
      <alignment vertical="center"/>
    </xf>
    <xf numFmtId="0" fontId="49" fillId="0" borderId="192" xfId="79" applyFont="1" applyFill="1" applyBorder="1" applyAlignment="1">
      <alignment vertical="center" wrapText="1"/>
    </xf>
    <xf numFmtId="2" fontId="14" fillId="0" borderId="192" xfId="79" applyNumberFormat="1" applyFont="1" applyFill="1" applyBorder="1" applyAlignment="1">
      <alignment horizontal="center" vertical="center"/>
    </xf>
    <xf numFmtId="192" fontId="14" fillId="0" borderId="192" xfId="79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vertical="center" wrapText="1"/>
    </xf>
    <xf numFmtId="171" fontId="15" fillId="0" borderId="192" xfId="85" applyNumberFormat="1" applyFont="1" applyFill="1" applyBorder="1" applyAlignment="1">
      <alignment horizontal="center" vertical="center"/>
    </xf>
    <xf numFmtId="2" fontId="14" fillId="0" borderId="0" xfId="79" applyNumberFormat="1" applyFont="1" applyFill="1" applyBorder="1" applyAlignment="1">
      <alignment horizontal="center" vertical="center"/>
    </xf>
    <xf numFmtId="0" fontId="52" fillId="0" borderId="192" xfId="79" applyFont="1" applyFill="1" applyBorder="1" applyAlignment="1">
      <alignment vertical="center" wrapText="1"/>
    </xf>
    <xf numFmtId="0" fontId="13" fillId="0" borderId="192" xfId="79" applyFont="1" applyFill="1" applyBorder="1" applyAlignment="1">
      <alignment vertical="center"/>
    </xf>
    <xf numFmtId="4" fontId="13" fillId="0" borderId="0" xfId="79" applyNumberFormat="1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14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4" fontId="14" fillId="0" borderId="192" xfId="0" applyNumberFormat="1" applyFont="1" applyFill="1" applyBorder="1" applyAlignment="1">
      <alignment wrapText="1"/>
    </xf>
    <xf numFmtId="4" fontId="14" fillId="0" borderId="192" xfId="0" applyNumberFormat="1" applyFont="1" applyFill="1" applyBorder="1" applyAlignment="1">
      <alignment horizontal="right" wrapText="1"/>
    </xf>
    <xf numFmtId="2" fontId="14" fillId="0" borderId="192" xfId="0" applyNumberFormat="1" applyFont="1" applyFill="1" applyBorder="1" applyAlignment="1">
      <alignment horizontal="right" vertical="center"/>
    </xf>
    <xf numFmtId="0" fontId="15" fillId="0" borderId="192" xfId="0" applyFont="1" applyFill="1" applyBorder="1" applyAlignment="1">
      <alignment horizontal="right"/>
    </xf>
    <xf numFmtId="0" fontId="14" fillId="0" borderId="192" xfId="0" applyFont="1" applyFill="1" applyBorder="1" applyAlignment="1">
      <alignment horizontal="right" vertical="center"/>
    </xf>
    <xf numFmtId="4" fontId="14" fillId="0" borderId="192" xfId="0" applyNumberFormat="1" applyFont="1" applyFill="1" applyBorder="1" applyAlignment="1">
      <alignment horizontal="center" wrapText="1"/>
    </xf>
    <xf numFmtId="0" fontId="15" fillId="0" borderId="192" xfId="0" applyFont="1" applyFill="1" applyBorder="1" applyAlignment="1">
      <alignment horizontal="right" wrapText="1"/>
    </xf>
    <xf numFmtId="4" fontId="15" fillId="0" borderId="192" xfId="0" applyNumberFormat="1" applyFont="1" applyFill="1" applyBorder="1" applyAlignment="1">
      <alignment horizontal="right" vertical="center"/>
    </xf>
    <xf numFmtId="0" fontId="15" fillId="0" borderId="0" xfId="0" applyFont="1" applyFill="1" applyAlignment="1">
      <alignment horizontal="right"/>
    </xf>
    <xf numFmtId="4" fontId="15" fillId="0" borderId="205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wrapText="1"/>
    </xf>
    <xf numFmtId="0" fontId="14" fillId="0" borderId="194" xfId="0" applyFont="1" applyBorder="1" applyAlignment="1">
      <alignment horizontal="center" vertical="center" wrapText="1"/>
    </xf>
    <xf numFmtId="1" fontId="14" fillId="29" borderId="192" xfId="0" applyNumberFormat="1" applyFont="1" applyFill="1" applyBorder="1" applyAlignment="1">
      <alignment vertical="center"/>
    </xf>
    <xf numFmtId="178" fontId="13" fillId="0" borderId="192" xfId="0" applyNumberFormat="1" applyFont="1" applyFill="1" applyBorder="1" applyAlignment="1">
      <alignment vertical="center" wrapText="1"/>
    </xf>
    <xf numFmtId="171" fontId="14" fillId="0" borderId="0" xfId="85" applyNumberFormat="1" applyFont="1" applyFill="1"/>
    <xf numFmtId="0" fontId="17" fillId="38" borderId="192" xfId="0" applyFont="1" applyFill="1" applyBorder="1" applyAlignment="1">
      <alignment horizontal="center" vertical="center"/>
    </xf>
    <xf numFmtId="0" fontId="14" fillId="38" borderId="194" xfId="0" applyFont="1" applyFill="1" applyBorder="1" applyAlignment="1">
      <alignment vertical="center"/>
    </xf>
    <xf numFmtId="0" fontId="13" fillId="38" borderId="194" xfId="0" applyFont="1" applyFill="1" applyBorder="1" applyAlignment="1">
      <alignment vertical="center"/>
    </xf>
    <xf numFmtId="0" fontId="14" fillId="38" borderId="194" xfId="0" applyFont="1" applyFill="1" applyBorder="1" applyAlignment="1">
      <alignment vertical="center" wrapText="1"/>
    </xf>
    <xf numFmtId="0" fontId="13" fillId="38" borderId="194" xfId="0" applyFont="1" applyFill="1" applyBorder="1" applyAlignment="1">
      <alignment vertical="center" wrapText="1"/>
    </xf>
    <xf numFmtId="0" fontId="14" fillId="0" borderId="194" xfId="0" applyFont="1" applyBorder="1" applyAlignment="1">
      <alignment vertical="center"/>
    </xf>
    <xf numFmtId="0" fontId="13" fillId="0" borderId="194" xfId="0" applyFont="1" applyBorder="1" applyAlignment="1">
      <alignment vertical="center"/>
    </xf>
    <xf numFmtId="0" fontId="14" fillId="38" borderId="194" xfId="0" applyFont="1" applyFill="1" applyBorder="1"/>
    <xf numFmtId="171" fontId="14" fillId="0" borderId="0" xfId="85" applyNumberFormat="1" applyFont="1" applyBorder="1"/>
    <xf numFmtId="4" fontId="14" fillId="0" borderId="0" xfId="0" applyNumberFormat="1" applyFont="1" applyBorder="1"/>
    <xf numFmtId="0" fontId="14" fillId="0" borderId="208" xfId="0" applyFont="1" applyBorder="1"/>
    <xf numFmtId="4" fontId="13" fillId="0" borderId="0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4" fontId="14" fillId="0" borderId="192" xfId="0" applyNumberFormat="1" applyFont="1" applyFill="1" applyBorder="1" applyAlignment="1">
      <alignment horizontal="center"/>
    </xf>
    <xf numFmtId="2" fontId="14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Fill="1" applyBorder="1"/>
    <xf numFmtId="0" fontId="14" fillId="27" borderId="192" xfId="96" applyFont="1" applyFill="1" applyBorder="1" applyAlignment="1">
      <alignment horizontal="center" vertical="center" wrapText="1"/>
    </xf>
    <xf numFmtId="168" fontId="82" fillId="0" borderId="257" xfId="77" applyNumberFormat="1" applyFont="1" applyFill="1" applyBorder="1" applyAlignment="1">
      <alignment horizontal="center"/>
    </xf>
    <xf numFmtId="168" fontId="17" fillId="0" borderId="257" xfId="77" applyNumberFormat="1" applyFont="1" applyFill="1" applyBorder="1" applyAlignment="1">
      <alignment horizontal="center"/>
    </xf>
    <xf numFmtId="0" fontId="61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18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/>
    <xf numFmtId="0" fontId="14" fillId="0" borderId="192" xfId="0" applyFont="1" applyFill="1" applyBorder="1" applyAlignment="1">
      <alignment horizontal="center" vertical="center"/>
    </xf>
    <xf numFmtId="0" fontId="13" fillId="0" borderId="205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14" fillId="38" borderId="192" xfId="96" applyFont="1" applyFill="1" applyBorder="1" applyAlignment="1">
      <alignment horizontal="center" vertical="center" wrapText="1"/>
    </xf>
    <xf numFmtId="0" fontId="49" fillId="38" borderId="192" xfId="96" applyFont="1" applyFill="1" applyBorder="1"/>
    <xf numFmtId="2" fontId="13" fillId="29" borderId="192" xfId="0" applyNumberFormat="1" applyFont="1" applyFill="1" applyBorder="1" applyAlignment="1">
      <alignment horizontal="center" vertical="center"/>
    </xf>
    <xf numFmtId="3" fontId="13" fillId="29" borderId="192" xfId="0" applyNumberFormat="1" applyFont="1" applyFill="1" applyBorder="1" applyAlignment="1">
      <alignment horizontal="center" vertical="center"/>
    </xf>
    <xf numFmtId="170" fontId="14" fillId="29" borderId="192" xfId="0" applyNumberFormat="1" applyFont="1" applyFill="1" applyBorder="1" applyAlignment="1">
      <alignment horizontal="right" vertical="center"/>
    </xf>
    <xf numFmtId="3" fontId="14" fillId="29" borderId="192" xfId="0" applyNumberFormat="1" applyFont="1" applyFill="1" applyBorder="1" applyAlignment="1">
      <alignment horizontal="right" vertical="center"/>
    </xf>
    <xf numFmtId="4" fontId="14" fillId="29" borderId="192" xfId="0" applyNumberFormat="1" applyFont="1" applyFill="1" applyBorder="1" applyAlignment="1">
      <alignment horizontal="right" vertical="center"/>
    </xf>
    <xf numFmtId="169" fontId="13" fillId="29" borderId="192" xfId="0" applyNumberFormat="1" applyFont="1" applyFill="1" applyBorder="1" applyAlignment="1">
      <alignment horizontal="right" vertical="center"/>
    </xf>
    <xf numFmtId="170" fontId="14" fillId="29" borderId="193" xfId="0" applyNumberFormat="1" applyFont="1" applyFill="1" applyBorder="1" applyAlignment="1">
      <alignment horizontal="right" vertical="center"/>
    </xf>
    <xf numFmtId="2" fontId="15" fillId="29" borderId="192" xfId="89" applyNumberFormat="1" applyFont="1" applyFill="1" applyBorder="1" applyAlignment="1">
      <alignment horizontal="center" vertical="center"/>
    </xf>
    <xf numFmtId="9" fontId="14" fillId="29" borderId="192" xfId="85" applyFont="1" applyFill="1" applyBorder="1" applyAlignment="1">
      <alignment vertical="center"/>
    </xf>
    <xf numFmtId="3" fontId="14" fillId="29" borderId="192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center"/>
    </xf>
    <xf numFmtId="0" fontId="61" fillId="0" borderId="192" xfId="0" applyFont="1" applyFill="1" applyBorder="1" applyAlignment="1">
      <alignment horizontal="center" vertical="center"/>
    </xf>
    <xf numFmtId="4" fontId="15" fillId="0" borderId="192" xfId="0" applyNumberFormat="1" applyFont="1" applyFill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/>
    </xf>
    <xf numFmtId="10" fontId="15" fillId="0" borderId="192" xfId="85" applyNumberFormat="1" applyFont="1" applyFill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vertical="center" wrapText="1"/>
    </xf>
    <xf numFmtId="0" fontId="51" fillId="0" borderId="0" xfId="0" applyFont="1" applyFill="1"/>
    <xf numFmtId="0" fontId="18" fillId="0" borderId="192" xfId="0" applyFont="1" applyFill="1" applyBorder="1" applyAlignment="1">
      <alignment vertical="center"/>
    </xf>
    <xf numFmtId="169" fontId="13" fillId="0" borderId="192" xfId="0" applyNumberFormat="1" applyFont="1" applyFill="1" applyBorder="1" applyAlignment="1">
      <alignment horizontal="center" vertical="center"/>
    </xf>
    <xf numFmtId="169" fontId="19" fillId="0" borderId="192" xfId="0" applyNumberFormat="1" applyFont="1" applyFill="1" applyBorder="1" applyAlignment="1">
      <alignment horizontal="center" vertical="center"/>
    </xf>
    <xf numFmtId="4" fontId="62" fillId="0" borderId="192" xfId="85" applyNumberFormat="1" applyFont="1" applyFill="1" applyBorder="1" applyAlignment="1">
      <alignment horizontal="center" vertical="center"/>
    </xf>
    <xf numFmtId="4" fontId="16" fillId="0" borderId="192" xfId="0" applyNumberFormat="1" applyFont="1" applyFill="1" applyBorder="1" applyAlignment="1">
      <alignment horizontal="center" vertical="center"/>
    </xf>
    <xf numFmtId="4" fontId="19" fillId="0" borderId="192" xfId="0" applyNumberFormat="1" applyFont="1" applyFill="1" applyBorder="1" applyAlignment="1">
      <alignment horizontal="center" vertical="center"/>
    </xf>
    <xf numFmtId="0" fontId="18" fillId="0" borderId="192" xfId="0" applyFont="1" applyFill="1" applyBorder="1" applyAlignment="1">
      <alignment vertical="center" wrapText="1"/>
    </xf>
    <xf numFmtId="0" fontId="9" fillId="0" borderId="0" xfId="0" applyFont="1" applyFill="1"/>
    <xf numFmtId="2" fontId="14" fillId="0" borderId="192" xfId="0" applyNumberFormat="1" applyFont="1" applyFill="1" applyBorder="1" applyAlignment="1">
      <alignment vertical="center" wrapText="1"/>
    </xf>
    <xf numFmtId="4" fontId="60" fillId="0" borderId="192" xfId="0" applyNumberFormat="1" applyFont="1" applyFill="1" applyBorder="1" applyAlignment="1">
      <alignment horizontal="center" vertical="center"/>
    </xf>
    <xf numFmtId="0" fontId="16" fillId="0" borderId="192" xfId="0" applyFont="1" applyFill="1" applyBorder="1" applyAlignment="1">
      <alignment horizontal="center" vertical="center"/>
    </xf>
    <xf numFmtId="4" fontId="96" fillId="0" borderId="192" xfId="0" applyNumberFormat="1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 wrapText="1"/>
    </xf>
    <xf numFmtId="4" fontId="16" fillId="0" borderId="192" xfId="0" applyNumberFormat="1" applyFont="1" applyFill="1" applyBorder="1" applyAlignment="1">
      <alignment horizontal="center" vertical="center" wrapText="1"/>
    </xf>
    <xf numFmtId="0" fontId="18" fillId="0" borderId="205" xfId="0" applyFont="1" applyFill="1" applyBorder="1" applyAlignment="1">
      <alignment vertical="center"/>
    </xf>
    <xf numFmtId="169" fontId="13" fillId="0" borderId="205" xfId="0" applyNumberFormat="1" applyFont="1" applyFill="1" applyBorder="1" applyAlignment="1">
      <alignment horizontal="center" vertical="center"/>
    </xf>
    <xf numFmtId="169" fontId="16" fillId="0" borderId="205" xfId="0" applyNumberFormat="1" applyFont="1" applyFill="1" applyBorder="1" applyAlignment="1">
      <alignment horizontal="center" vertical="center"/>
    </xf>
    <xf numFmtId="4" fontId="13" fillId="0" borderId="205" xfId="0" applyNumberFormat="1" applyFont="1" applyFill="1" applyBorder="1" applyAlignment="1">
      <alignment horizontal="center" vertical="center"/>
    </xf>
    <xf numFmtId="4" fontId="16" fillId="0" borderId="205" xfId="0" applyNumberFormat="1" applyFont="1" applyFill="1" applyBorder="1" applyAlignment="1">
      <alignment horizontal="center" vertical="center"/>
    </xf>
    <xf numFmtId="4" fontId="19" fillId="0" borderId="205" xfId="0" applyNumberFormat="1" applyFont="1" applyFill="1" applyBorder="1" applyAlignment="1">
      <alignment horizontal="center" vertical="center"/>
    </xf>
    <xf numFmtId="171" fontId="81" fillId="0" borderId="205" xfId="85" applyNumberFormat="1" applyFont="1" applyFill="1" applyBorder="1" applyAlignment="1">
      <alignment horizontal="center" vertical="center"/>
    </xf>
    <xf numFmtId="4" fontId="18" fillId="0" borderId="205" xfId="0" applyNumberFormat="1" applyFont="1" applyFill="1" applyBorder="1" applyAlignment="1">
      <alignment horizontal="center" vertical="center" wrapText="1"/>
    </xf>
    <xf numFmtId="171" fontId="18" fillId="0" borderId="205" xfId="0" applyNumberFormat="1" applyFont="1" applyFill="1" applyBorder="1" applyAlignment="1">
      <alignment horizontal="center" vertical="center" wrapText="1"/>
    </xf>
    <xf numFmtId="4" fontId="13" fillId="0" borderId="205" xfId="0" applyNumberFormat="1" applyFont="1" applyFill="1" applyBorder="1" applyAlignment="1">
      <alignment horizontal="center" vertical="center" wrapText="1"/>
    </xf>
    <xf numFmtId="171" fontId="81" fillId="0" borderId="205" xfId="0" applyNumberFormat="1" applyFont="1" applyFill="1" applyBorder="1" applyAlignment="1">
      <alignment horizontal="center" vertical="center" wrapText="1"/>
    </xf>
    <xf numFmtId="0" fontId="18" fillId="0" borderId="276" xfId="0" applyFont="1" applyFill="1" applyBorder="1" applyAlignment="1">
      <alignment vertical="center"/>
    </xf>
    <xf numFmtId="0" fontId="13" fillId="0" borderId="276" xfId="0" applyFont="1" applyFill="1" applyBorder="1" applyAlignment="1">
      <alignment horizontal="center" vertical="center"/>
    </xf>
    <xf numFmtId="169" fontId="13" fillId="0" borderId="276" xfId="0" applyNumberFormat="1" applyFont="1" applyFill="1" applyBorder="1" applyAlignment="1">
      <alignment horizontal="center" vertical="center"/>
    </xf>
    <xf numFmtId="169" fontId="16" fillId="0" borderId="276" xfId="0" applyNumberFormat="1" applyFont="1" applyFill="1" applyBorder="1" applyAlignment="1">
      <alignment horizontal="center" vertical="center"/>
    </xf>
    <xf numFmtId="4" fontId="13" fillId="0" borderId="276" xfId="0" applyNumberFormat="1" applyFont="1" applyFill="1" applyBorder="1" applyAlignment="1">
      <alignment horizontal="center" vertical="center"/>
    </xf>
    <xf numFmtId="4" fontId="16" fillId="0" borderId="276" xfId="0" applyNumberFormat="1" applyFont="1" applyFill="1" applyBorder="1" applyAlignment="1">
      <alignment horizontal="center" vertical="center"/>
    </xf>
    <xf numFmtId="4" fontId="19" fillId="0" borderId="276" xfId="0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/>
    </xf>
    <xf numFmtId="171" fontId="81" fillId="0" borderId="276" xfId="85" applyNumberFormat="1" applyFont="1" applyFill="1" applyBorder="1" applyAlignment="1">
      <alignment horizontal="center" vertical="center"/>
    </xf>
    <xf numFmtId="4" fontId="18" fillId="0" borderId="276" xfId="0" applyNumberFormat="1" applyFont="1" applyFill="1" applyBorder="1" applyAlignment="1">
      <alignment horizontal="center" vertical="center" wrapText="1"/>
    </xf>
    <xf numFmtId="171" fontId="18" fillId="0" borderId="276" xfId="0" applyNumberFormat="1" applyFont="1" applyFill="1" applyBorder="1" applyAlignment="1">
      <alignment horizontal="center" vertical="center" wrapText="1"/>
    </xf>
    <xf numFmtId="4" fontId="13" fillId="0" borderId="276" xfId="0" applyNumberFormat="1" applyFont="1" applyFill="1" applyBorder="1" applyAlignment="1">
      <alignment horizontal="center" vertical="center" wrapText="1"/>
    </xf>
    <xf numFmtId="171" fontId="81" fillId="0" borderId="276" xfId="0" applyNumberFormat="1" applyFont="1" applyFill="1" applyBorder="1" applyAlignment="1">
      <alignment horizontal="center" vertical="center" wrapText="1"/>
    </xf>
    <xf numFmtId="170" fontId="18" fillId="0" borderId="192" xfId="0" applyNumberFormat="1" applyFont="1" applyFill="1" applyBorder="1" applyAlignment="1">
      <alignment horizontal="center" vertical="center"/>
    </xf>
    <xf numFmtId="0" fontId="0" fillId="0" borderId="257" xfId="0" applyFont="1" applyFill="1" applyBorder="1"/>
    <xf numFmtId="171" fontId="61" fillId="29" borderId="192" xfId="85" applyNumberFormat="1" applyFont="1" applyFill="1" applyBorder="1" applyAlignment="1">
      <alignment horizontal="center" vertical="center"/>
    </xf>
    <xf numFmtId="4" fontId="18" fillId="29" borderId="205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69" fontId="13" fillId="0" borderId="0" xfId="0" applyNumberFormat="1" applyFont="1" applyFill="1" applyBorder="1" applyAlignment="1">
      <alignment horizontal="center" vertical="center"/>
    </xf>
    <xf numFmtId="169" fontId="16" fillId="0" borderId="0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 applyAlignment="1">
      <alignment horizontal="center" vertical="center"/>
    </xf>
    <xf numFmtId="4" fontId="19" fillId="0" borderId="0" xfId="0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/>
    </xf>
    <xf numFmtId="171" fontId="81" fillId="0" borderId="0" xfId="85" applyNumberFormat="1" applyFont="1" applyFill="1" applyBorder="1" applyAlignment="1">
      <alignment horizontal="center" vertical="center"/>
    </xf>
    <xf numFmtId="4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NumberFormat="1" applyFont="1" applyFill="1" applyBorder="1" applyAlignment="1">
      <alignment horizontal="center" vertical="center" wrapText="1"/>
    </xf>
    <xf numFmtId="171" fontId="81" fillId="0" borderId="0" xfId="0" applyNumberFormat="1" applyFont="1" applyFill="1" applyBorder="1" applyAlignment="1">
      <alignment horizontal="center" vertical="center" wrapText="1"/>
    </xf>
    <xf numFmtId="0" fontId="14" fillId="0" borderId="216" xfId="0" applyFont="1" applyFill="1" applyBorder="1" applyAlignment="1">
      <alignment vertical="center" wrapText="1"/>
    </xf>
    <xf numFmtId="0" fontId="14" fillId="0" borderId="194" xfId="0" applyFont="1" applyFill="1" applyBorder="1" applyAlignment="1">
      <alignment vertical="center" wrapText="1"/>
    </xf>
    <xf numFmtId="0" fontId="18" fillId="0" borderId="208" xfId="0" applyFont="1" applyFill="1" applyBorder="1" applyAlignment="1">
      <alignment vertical="center"/>
    </xf>
    <xf numFmtId="0" fontId="13" fillId="0" borderId="208" xfId="0" applyFont="1" applyFill="1" applyBorder="1" applyAlignment="1">
      <alignment horizontal="center" vertical="center"/>
    </xf>
    <xf numFmtId="169" fontId="13" fillId="0" borderId="208" xfId="0" applyNumberFormat="1" applyFont="1" applyFill="1" applyBorder="1" applyAlignment="1">
      <alignment horizontal="center" vertical="center"/>
    </xf>
    <xf numFmtId="169" fontId="16" fillId="0" borderId="208" xfId="0" applyNumberFormat="1" applyFont="1" applyFill="1" applyBorder="1" applyAlignment="1">
      <alignment horizontal="center" vertical="center"/>
    </xf>
    <xf numFmtId="4" fontId="13" fillId="0" borderId="208" xfId="0" applyNumberFormat="1" applyFont="1" applyFill="1" applyBorder="1" applyAlignment="1">
      <alignment horizontal="center" vertical="center"/>
    </xf>
    <xf numFmtId="4" fontId="16" fillId="0" borderId="208" xfId="0" applyNumberFormat="1" applyFont="1" applyFill="1" applyBorder="1" applyAlignment="1">
      <alignment horizontal="center" vertical="center"/>
    </xf>
    <xf numFmtId="4" fontId="19" fillId="0" borderId="208" xfId="0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/>
    </xf>
    <xf numFmtId="171" fontId="81" fillId="0" borderId="208" xfId="85" applyNumberFormat="1" applyFont="1" applyFill="1" applyBorder="1" applyAlignment="1">
      <alignment horizontal="center" vertical="center"/>
    </xf>
    <xf numFmtId="4" fontId="18" fillId="0" borderId="208" xfId="0" applyNumberFormat="1" applyFont="1" applyFill="1" applyBorder="1" applyAlignment="1">
      <alignment horizontal="center" vertical="center" wrapText="1"/>
    </xf>
    <xf numFmtId="171" fontId="18" fillId="0" borderId="208" xfId="0" applyNumberFormat="1" applyFont="1" applyFill="1" applyBorder="1" applyAlignment="1">
      <alignment horizontal="center" vertical="center" wrapText="1"/>
    </xf>
    <xf numFmtId="4" fontId="13" fillId="0" borderId="208" xfId="0" applyNumberFormat="1" applyFont="1" applyFill="1" applyBorder="1" applyAlignment="1">
      <alignment horizontal="center" vertical="center" wrapText="1"/>
    </xf>
    <xf numFmtId="171" fontId="81" fillId="0" borderId="208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/>
    </xf>
    <xf numFmtId="0" fontId="62" fillId="0" borderId="0" xfId="0" applyFont="1" applyFill="1"/>
    <xf numFmtId="0" fontId="18" fillId="0" borderId="0" xfId="0" applyFont="1" applyFill="1"/>
    <xf numFmtId="2" fontId="61" fillId="0" borderId="0" xfId="0" applyNumberFormat="1" applyFont="1" applyFill="1"/>
    <xf numFmtId="4" fontId="82" fillId="0" borderId="0" xfId="0" applyNumberFormat="1" applyFont="1" applyFill="1"/>
    <xf numFmtId="2" fontId="82" fillId="0" borderId="0" xfId="0" applyNumberFormat="1" applyFont="1" applyFill="1"/>
    <xf numFmtId="174" fontId="82" fillId="0" borderId="0" xfId="0" applyNumberFormat="1" applyFont="1" applyFill="1"/>
    <xf numFmtId="171" fontId="9" fillId="0" borderId="0" xfId="85" applyNumberFormat="1" applyFont="1" applyFill="1"/>
    <xf numFmtId="0" fontId="18" fillId="0" borderId="206" xfId="0" applyFont="1" applyFill="1" applyBorder="1" applyAlignment="1">
      <alignment horizontal="left" vertical="center"/>
    </xf>
    <xf numFmtId="0" fontId="14" fillId="0" borderId="206" xfId="0" applyFont="1" applyFill="1" applyBorder="1" applyAlignment="1">
      <alignment horizontal="center" vertical="center" wrapText="1"/>
    </xf>
    <xf numFmtId="4" fontId="13" fillId="0" borderId="206" xfId="0" applyNumberFormat="1" applyFont="1" applyFill="1" applyBorder="1" applyAlignment="1">
      <alignment horizontal="center" vertical="center" wrapText="1"/>
    </xf>
    <xf numFmtId="4" fontId="19" fillId="0" borderId="206" xfId="0" applyNumberFormat="1" applyFont="1" applyFill="1" applyBorder="1" applyAlignment="1">
      <alignment horizontal="center" vertical="center" wrapText="1"/>
    </xf>
    <xf numFmtId="4" fontId="18" fillId="0" borderId="206" xfId="0" applyNumberFormat="1" applyFont="1" applyFill="1" applyBorder="1" applyAlignment="1">
      <alignment horizontal="center" vertical="center" wrapText="1"/>
    </xf>
    <xf numFmtId="171" fontId="62" fillId="0" borderId="206" xfId="85" applyNumberFormat="1" applyFont="1" applyFill="1" applyBorder="1" applyAlignment="1">
      <alignment horizontal="center" vertical="center"/>
    </xf>
    <xf numFmtId="171" fontId="61" fillId="0" borderId="206" xfId="0" applyNumberFormat="1" applyFont="1" applyFill="1" applyBorder="1" applyAlignment="1">
      <alignment horizontal="center" vertical="center" wrapText="1"/>
    </xf>
    <xf numFmtId="171" fontId="62" fillId="0" borderId="206" xfId="0" applyNumberFormat="1" applyFont="1" applyFill="1" applyBorder="1" applyAlignment="1">
      <alignment horizontal="center" vertical="center" wrapText="1"/>
    </xf>
    <xf numFmtId="4" fontId="18" fillId="29" borderId="206" xfId="0" applyNumberFormat="1" applyFont="1" applyFill="1" applyBorder="1" applyAlignment="1">
      <alignment horizontal="center" vertical="center" wrapText="1"/>
    </xf>
    <xf numFmtId="0" fontId="61" fillId="0" borderId="0" xfId="0" applyFont="1" applyFill="1" applyAlignment="1"/>
    <xf numFmtId="0" fontId="0" fillId="0" borderId="0" xfId="0" applyFont="1" applyFill="1" applyAlignment="1"/>
    <xf numFmtId="0" fontId="62" fillId="0" borderId="0" xfId="0" applyFont="1" applyFill="1" applyAlignment="1"/>
    <xf numFmtId="0" fontId="18" fillId="0" borderId="192" xfId="0" applyFont="1" applyFill="1" applyBorder="1" applyAlignment="1"/>
    <xf numFmtId="4" fontId="18" fillId="0" borderId="192" xfId="0" applyNumberFormat="1" applyFont="1" applyFill="1" applyBorder="1" applyAlignment="1"/>
    <xf numFmtId="171" fontId="18" fillId="0" borderId="192" xfId="0" applyNumberFormat="1" applyFont="1" applyFill="1" applyBorder="1" applyAlignment="1">
      <alignment horizontal="center" wrapText="1"/>
    </xf>
    <xf numFmtId="171" fontId="81" fillId="0" borderId="192" xfId="0" applyNumberFormat="1" applyFont="1" applyFill="1" applyBorder="1" applyAlignment="1">
      <alignment horizontal="center" wrapText="1"/>
    </xf>
    <xf numFmtId="2" fontId="18" fillId="0" borderId="192" xfId="0" applyNumberFormat="1" applyFont="1" applyFill="1" applyBorder="1" applyAlignment="1"/>
    <xf numFmtId="0" fontId="18" fillId="0" borderId="192" xfId="0" applyFont="1" applyFill="1" applyBorder="1" applyAlignment="1">
      <alignment wrapText="1"/>
    </xf>
    <xf numFmtId="0" fontId="82" fillId="0" borderId="0" xfId="0" applyFont="1" applyFill="1" applyAlignment="1"/>
    <xf numFmtId="0" fontId="14" fillId="0" borderId="192" xfId="0" applyFont="1" applyFill="1" applyBorder="1" applyAlignment="1">
      <alignment horizontal="left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0" fontId="14" fillId="0" borderId="193" xfId="0" applyFont="1" applyFill="1" applyBorder="1" applyAlignment="1">
      <alignment horizontal="center" vertical="center" wrapText="1"/>
    </xf>
    <xf numFmtId="10" fontId="181" fillId="0" borderId="192" xfId="85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/>
    <xf numFmtId="4" fontId="18" fillId="0" borderId="206" xfId="0" applyNumberFormat="1" applyFont="1" applyFill="1" applyBorder="1" applyAlignment="1">
      <alignment horizontal="center" vertical="center"/>
    </xf>
    <xf numFmtId="0" fontId="14" fillId="0" borderId="206" xfId="0" applyFont="1" applyFill="1" applyBorder="1" applyAlignment="1">
      <alignment vertical="center"/>
    </xf>
    <xf numFmtId="10" fontId="18" fillId="0" borderId="192" xfId="85" applyNumberFormat="1" applyFont="1" applyFill="1" applyBorder="1" applyAlignment="1">
      <alignment horizontal="center" vertical="center"/>
    </xf>
    <xf numFmtId="0" fontId="15" fillId="0" borderId="192" xfId="0" applyFont="1" applyFill="1" applyBorder="1" applyAlignment="1">
      <alignment vertical="center"/>
    </xf>
    <xf numFmtId="0" fontId="81" fillId="0" borderId="192" xfId="0" applyFont="1" applyFill="1" applyBorder="1" applyAlignment="1">
      <alignment horizontal="center" vertical="center"/>
    </xf>
    <xf numFmtId="0" fontId="18" fillId="0" borderId="205" xfId="0" applyFont="1" applyFill="1" applyBorder="1" applyAlignment="1">
      <alignment vertical="center" wrapText="1"/>
    </xf>
    <xf numFmtId="0" fontId="18" fillId="0" borderId="205" xfId="0" applyFont="1" applyFill="1" applyBorder="1" applyAlignment="1">
      <alignment horizontal="center" vertical="center"/>
    </xf>
    <xf numFmtId="169" fontId="18" fillId="0" borderId="205" xfId="0" applyNumberFormat="1" applyFont="1" applyFill="1" applyBorder="1" applyAlignment="1">
      <alignment horizontal="center" vertical="center"/>
    </xf>
    <xf numFmtId="169" fontId="62" fillId="0" borderId="205" xfId="0" applyNumberFormat="1" applyFont="1" applyFill="1" applyBorder="1" applyAlignment="1">
      <alignment horizontal="center" vertical="center"/>
    </xf>
    <xf numFmtId="4" fontId="81" fillId="0" borderId="205" xfId="0" applyNumberFormat="1" applyFont="1" applyFill="1" applyBorder="1" applyAlignment="1">
      <alignment horizontal="center" vertical="center"/>
    </xf>
    <xf numFmtId="171" fontId="18" fillId="0" borderId="192" xfId="0" applyNumberFormat="1" applyFont="1" applyFill="1" applyBorder="1" applyAlignment="1">
      <alignment horizontal="center" vertical="center"/>
    </xf>
    <xf numFmtId="171" fontId="81" fillId="0" borderId="19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9" fontId="18" fillId="0" borderId="0" xfId="0" applyNumberFormat="1" applyFont="1" applyFill="1" applyBorder="1" applyAlignment="1">
      <alignment horizontal="center" vertical="center"/>
    </xf>
    <xf numFmtId="169" fontId="62" fillId="0" borderId="0" xfId="0" applyNumberFormat="1" applyFont="1" applyFill="1" applyBorder="1" applyAlignment="1">
      <alignment horizontal="center" vertical="center"/>
    </xf>
    <xf numFmtId="4" fontId="81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8" fillId="0" borderId="208" xfId="0" applyFont="1" applyFill="1" applyBorder="1" applyAlignment="1">
      <alignment vertical="center" wrapText="1"/>
    </xf>
    <xf numFmtId="0" fontId="18" fillId="0" borderId="208" xfId="0" applyFont="1" applyFill="1" applyBorder="1" applyAlignment="1">
      <alignment horizontal="center" vertical="center"/>
    </xf>
    <xf numFmtId="169" fontId="18" fillId="0" borderId="208" xfId="0" applyNumberFormat="1" applyFont="1" applyFill="1" applyBorder="1" applyAlignment="1">
      <alignment horizontal="center" vertical="center"/>
    </xf>
    <xf numFmtId="169" fontId="62" fillId="0" borderId="208" xfId="0" applyNumberFormat="1" applyFont="1" applyFill="1" applyBorder="1" applyAlignment="1">
      <alignment horizontal="center" vertical="center"/>
    </xf>
    <xf numFmtId="4" fontId="81" fillId="0" borderId="208" xfId="0" applyNumberFormat="1" applyFont="1" applyFill="1" applyBorder="1" applyAlignment="1">
      <alignment horizontal="center" vertical="center"/>
    </xf>
    <xf numFmtId="0" fontId="14" fillId="0" borderId="208" xfId="0" applyFont="1" applyFill="1" applyBorder="1" applyAlignment="1">
      <alignment vertical="center"/>
    </xf>
    <xf numFmtId="2" fontId="18" fillId="0" borderId="192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vertical="center"/>
    </xf>
    <xf numFmtId="4" fontId="18" fillId="0" borderId="192" xfId="85" applyNumberFormat="1" applyFont="1" applyFill="1" applyBorder="1" applyAlignment="1">
      <alignment horizontal="center" vertical="center"/>
    </xf>
    <xf numFmtId="10" fontId="19" fillId="0" borderId="0" xfId="85" applyNumberFormat="1" applyFont="1" applyFill="1" applyBorder="1"/>
    <xf numFmtId="0" fontId="137" fillId="0" borderId="192" xfId="96" applyFont="1" applyFill="1" applyBorder="1" applyAlignment="1">
      <alignment horizontal="center" vertical="center"/>
    </xf>
    <xf numFmtId="0" fontId="138" fillId="0" borderId="192" xfId="96" applyFont="1" applyFill="1" applyBorder="1" applyAlignment="1">
      <alignment vertical="center" wrapText="1"/>
    </xf>
    <xf numFmtId="4" fontId="138" fillId="0" borderId="192" xfId="96" applyNumberFormat="1" applyFont="1" applyFill="1" applyBorder="1" applyAlignment="1">
      <alignment horizontal="center" vertical="center" wrapText="1"/>
    </xf>
    <xf numFmtId="4" fontId="138" fillId="0" borderId="206" xfId="96" applyNumberFormat="1" applyFont="1" applyFill="1" applyBorder="1" applyAlignment="1">
      <alignment horizontal="center" vertical="center" wrapText="1"/>
    </xf>
    <xf numFmtId="0" fontId="49" fillId="0" borderId="0" xfId="96" applyFont="1" applyFill="1"/>
    <xf numFmtId="178" fontId="138" fillId="0" borderId="192" xfId="96" applyNumberFormat="1" applyFont="1" applyFill="1" applyBorder="1" applyAlignment="1">
      <alignment horizontal="center" vertical="center" wrapText="1"/>
    </xf>
    <xf numFmtId="3" fontId="138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/>
    </xf>
    <xf numFmtId="4" fontId="14" fillId="0" borderId="192" xfId="96" applyNumberFormat="1" applyFont="1" applyFill="1" applyBorder="1" applyAlignment="1">
      <alignment horizontal="center" vertical="center" wrapText="1"/>
    </xf>
    <xf numFmtId="4" fontId="14" fillId="0" borderId="193" xfId="96" applyNumberFormat="1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horizontal="center" vertical="center"/>
    </xf>
    <xf numFmtId="0" fontId="14" fillId="0" borderId="192" xfId="96" applyFont="1" applyFill="1" applyBorder="1" applyAlignment="1">
      <alignment horizontal="left" vertical="center" wrapText="1"/>
    </xf>
    <xf numFmtId="0" fontId="14" fillId="0" borderId="192" xfId="96" applyFont="1" applyFill="1" applyBorder="1" applyAlignment="1">
      <alignment horizontal="left" vertical="center" wrapText="1" indent="2"/>
    </xf>
    <xf numFmtId="0" fontId="14" fillId="0" borderId="193" xfId="96" applyFont="1" applyFill="1" applyBorder="1" applyAlignment="1">
      <alignment horizontal="center" vertical="center"/>
    </xf>
    <xf numFmtId="0" fontId="15" fillId="0" borderId="192" xfId="96" applyFont="1" applyFill="1" applyBorder="1" applyAlignment="1">
      <alignment horizontal="center" vertical="center"/>
    </xf>
    <xf numFmtId="0" fontId="15" fillId="0" borderId="192" xfId="96" applyFont="1" applyFill="1" applyBorder="1" applyAlignment="1">
      <alignment horizontal="left" vertical="center" wrapText="1" indent="3"/>
    </xf>
    <xf numFmtId="0" fontId="15" fillId="0" borderId="193" xfId="96" applyFont="1" applyFill="1" applyBorder="1" applyAlignment="1">
      <alignment horizontal="center" vertical="center"/>
    </xf>
    <xf numFmtId="4" fontId="15" fillId="0" borderId="192" xfId="96" applyNumberFormat="1" applyFont="1" applyFill="1" applyBorder="1" applyAlignment="1">
      <alignment horizontal="center" vertical="center" wrapText="1"/>
    </xf>
    <xf numFmtId="0" fontId="15" fillId="0" borderId="0" xfId="96" applyFont="1" applyFill="1"/>
    <xf numFmtId="0" fontId="126" fillId="0" borderId="0" xfId="96" applyFont="1" applyFill="1" applyAlignment="1">
      <alignment vertical="center" wrapText="1"/>
    </xf>
    <xf numFmtId="0" fontId="138" fillId="0" borderId="192" xfId="96" applyFont="1" applyFill="1" applyBorder="1" applyAlignment="1">
      <alignment horizontal="center" vertical="center"/>
    </xf>
    <xf numFmtId="0" fontId="136" fillId="0" borderId="192" xfId="96" applyFont="1" applyFill="1" applyBorder="1" applyAlignment="1">
      <alignment horizontal="left" vertical="center" wrapText="1"/>
    </xf>
    <xf numFmtId="2" fontId="138" fillId="0" borderId="192" xfId="96" applyNumberFormat="1" applyFont="1" applyFill="1" applyBorder="1" applyAlignment="1">
      <alignment vertical="center"/>
    </xf>
    <xf numFmtId="2" fontId="138" fillId="0" borderId="193" xfId="96" applyNumberFormat="1" applyFont="1" applyFill="1" applyBorder="1" applyAlignment="1">
      <alignment vertical="center"/>
    </xf>
    <xf numFmtId="0" fontId="98" fillId="0" borderId="0" xfId="96" applyFont="1" applyFill="1" applyAlignment="1">
      <alignment vertical="center"/>
    </xf>
    <xf numFmtId="2" fontId="13" fillId="0" borderId="192" xfId="96" applyNumberFormat="1" applyFont="1" applyFill="1" applyBorder="1" applyAlignment="1">
      <alignment vertical="center"/>
    </xf>
    <xf numFmtId="0" fontId="49" fillId="0" borderId="0" xfId="0" applyFont="1" applyFill="1" applyAlignment="1">
      <alignment vertical="center" wrapText="1"/>
    </xf>
    <xf numFmtId="0" fontId="82" fillId="0" borderId="0" xfId="0" applyFont="1" applyFill="1" applyAlignment="1">
      <alignment vertical="center" wrapText="1"/>
    </xf>
    <xf numFmtId="4" fontId="14" fillId="0" borderId="193" xfId="0" applyNumberFormat="1" applyFont="1" applyFill="1" applyBorder="1" applyAlignment="1">
      <alignment horizontal="center" vertical="center" wrapText="1"/>
    </xf>
    <xf numFmtId="170" fontId="14" fillId="0" borderId="192" xfId="0" applyNumberFormat="1" applyFont="1" applyFill="1" applyBorder="1" applyAlignment="1">
      <alignment horizontal="center" vertical="center" wrapText="1"/>
    </xf>
    <xf numFmtId="0" fontId="141" fillId="0" borderId="199" xfId="0" applyFont="1" applyFill="1" applyBorder="1" applyAlignment="1">
      <alignment wrapText="1"/>
    </xf>
    <xf numFmtId="0" fontId="14" fillId="0" borderId="205" xfId="0" applyFont="1" applyFill="1" applyBorder="1" applyAlignment="1">
      <alignment horizontal="center" vertical="center" wrapText="1"/>
    </xf>
    <xf numFmtId="0" fontId="14" fillId="0" borderId="213" xfId="0" applyFont="1" applyFill="1" applyBorder="1" applyAlignment="1">
      <alignment horizontal="center" vertical="center" wrapText="1"/>
    </xf>
    <xf numFmtId="4" fontId="14" fillId="0" borderId="205" xfId="0" applyNumberFormat="1" applyFont="1" applyFill="1" applyBorder="1" applyAlignment="1">
      <alignment horizontal="center" wrapText="1"/>
    </xf>
    <xf numFmtId="4" fontId="14" fillId="0" borderId="205" xfId="0" applyNumberFormat="1" applyFont="1" applyFill="1" applyBorder="1" applyAlignment="1">
      <alignment horizontal="center" vertical="center" wrapText="1"/>
    </xf>
    <xf numFmtId="0" fontId="82" fillId="0" borderId="0" xfId="0" applyFont="1" applyFill="1" applyAlignment="1">
      <alignment wrapText="1"/>
    </xf>
    <xf numFmtId="0" fontId="53" fillId="0" borderId="271" xfId="0" applyFont="1" applyFill="1" applyBorder="1" applyAlignment="1">
      <alignment horizontal="center" vertical="center" wrapText="1"/>
    </xf>
    <xf numFmtId="0" fontId="143" fillId="0" borderId="271" xfId="0" applyFont="1" applyFill="1" applyBorder="1" applyAlignment="1">
      <alignment vertical="center" wrapText="1"/>
    </xf>
    <xf numFmtId="0" fontId="53" fillId="0" borderId="254" xfId="0" applyFont="1" applyFill="1" applyBorder="1" applyAlignment="1">
      <alignment horizontal="center" vertical="center" wrapText="1"/>
    </xf>
    <xf numFmtId="0" fontId="53" fillId="0" borderId="255" xfId="0" applyFont="1" applyFill="1" applyBorder="1" applyAlignment="1">
      <alignment horizontal="center" vertical="center" wrapText="1"/>
    </xf>
    <xf numFmtId="4" fontId="53" fillId="0" borderId="192" xfId="0" applyNumberFormat="1" applyFont="1" applyFill="1" applyBorder="1" applyAlignment="1">
      <alignment horizontal="center" vertical="center" wrapText="1"/>
    </xf>
    <xf numFmtId="4" fontId="53" fillId="0" borderId="254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vertical="center" wrapText="1"/>
    </xf>
    <xf numFmtId="0" fontId="13" fillId="0" borderId="206" xfId="96" applyFont="1" applyFill="1" applyBorder="1" applyAlignment="1">
      <alignment horizontal="center" vertical="center"/>
    </xf>
    <xf numFmtId="0" fontId="13" fillId="0" borderId="206" xfId="96" applyFont="1" applyFill="1" applyBorder="1" applyAlignment="1">
      <alignment horizontal="left" vertical="center" wrapText="1"/>
    </xf>
    <xf numFmtId="0" fontId="14" fillId="0" borderId="206" xfId="96" applyFont="1" applyFill="1" applyBorder="1" applyAlignment="1">
      <alignment horizontal="center" vertical="center"/>
    </xf>
    <xf numFmtId="0" fontId="14" fillId="0" borderId="215" xfId="96" applyFont="1" applyFill="1" applyBorder="1" applyAlignment="1">
      <alignment horizontal="center" vertical="center"/>
    </xf>
    <xf numFmtId="0" fontId="13" fillId="0" borderId="192" xfId="96" applyFont="1" applyFill="1" applyBorder="1" applyAlignment="1">
      <alignment horizontal="left" vertical="center" wrapText="1" indent="2"/>
    </xf>
    <xf numFmtId="2" fontId="13" fillId="0" borderId="192" xfId="96" applyNumberFormat="1" applyFont="1" applyFill="1" applyBorder="1" applyAlignment="1">
      <alignment horizontal="center" vertical="center"/>
    </xf>
    <xf numFmtId="2" fontId="13" fillId="0" borderId="193" xfId="96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 wrapText="1"/>
    </xf>
    <xf numFmtId="0" fontId="52" fillId="0" borderId="0" xfId="96" applyFont="1" applyFill="1"/>
    <xf numFmtId="0" fontId="13" fillId="0" borderId="192" xfId="96" applyFont="1" applyFill="1" applyBorder="1" applyAlignment="1">
      <alignment horizontal="left" vertical="center" wrapText="1" indent="3"/>
    </xf>
    <xf numFmtId="2" fontId="14" fillId="0" borderId="192" xfId="96" applyNumberFormat="1" applyFont="1" applyFill="1" applyBorder="1" applyAlignment="1">
      <alignment horizontal="center" vertical="center"/>
    </xf>
    <xf numFmtId="0" fontId="13" fillId="0" borderId="193" xfId="96" applyFont="1" applyFill="1" applyBorder="1" applyAlignment="1">
      <alignment horizontal="center" vertical="center"/>
    </xf>
    <xf numFmtId="170" fontId="14" fillId="0" borderId="192" xfId="96" applyNumberFormat="1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wrapText="1"/>
    </xf>
    <xf numFmtId="0" fontId="14" fillId="0" borderId="193" xfId="96" applyFont="1" applyFill="1" applyBorder="1"/>
    <xf numFmtId="0" fontId="13" fillId="0" borderId="192" xfId="96" applyFont="1" applyFill="1" applyBorder="1" applyAlignment="1">
      <alignment horizontal="center"/>
    </xf>
    <xf numFmtId="0" fontId="13" fillId="0" borderId="192" xfId="96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horizontal="center"/>
    </xf>
    <xf numFmtId="2" fontId="14" fillId="0" borderId="192" xfId="96" applyNumberFormat="1" applyFont="1" applyFill="1" applyBorder="1" applyAlignment="1">
      <alignment horizontal="center"/>
    </xf>
    <xf numFmtId="2" fontId="14" fillId="0" borderId="193" xfId="96" applyNumberFormat="1" applyFont="1" applyFill="1" applyBorder="1" applyAlignment="1">
      <alignment horizontal="center"/>
    </xf>
    <xf numFmtId="0" fontId="14" fillId="0" borderId="193" xfId="96" applyFont="1" applyFill="1" applyBorder="1" applyAlignment="1">
      <alignment horizontal="center"/>
    </xf>
    <xf numFmtId="169" fontId="14" fillId="0" borderId="192" xfId="96" applyNumberFormat="1" applyFont="1" applyFill="1" applyBorder="1" applyAlignment="1">
      <alignment horizontal="center"/>
    </xf>
    <xf numFmtId="170" fontId="14" fillId="0" borderId="192" xfId="96" applyNumberFormat="1" applyFont="1" applyFill="1" applyBorder="1" applyAlignment="1">
      <alignment horizontal="center"/>
    </xf>
    <xf numFmtId="170" fontId="14" fillId="0" borderId="193" xfId="96" applyNumberFormat="1" applyFont="1" applyFill="1" applyBorder="1" applyAlignment="1">
      <alignment horizontal="center"/>
    </xf>
    <xf numFmtId="4" fontId="14" fillId="0" borderId="192" xfId="96" applyNumberFormat="1" applyFont="1" applyFill="1" applyBorder="1" applyAlignment="1">
      <alignment horizontal="center"/>
    </xf>
    <xf numFmtId="4" fontId="14" fillId="0" borderId="193" xfId="96" applyNumberFormat="1" applyFont="1" applyFill="1" applyBorder="1" applyAlignment="1">
      <alignment horizontal="center"/>
    </xf>
    <xf numFmtId="4" fontId="14" fillId="29" borderId="192" xfId="96" applyNumberFormat="1" applyFont="1" applyFill="1" applyBorder="1" applyAlignment="1">
      <alignment horizontal="center" vertical="center" wrapText="1"/>
    </xf>
    <xf numFmtId="4" fontId="15" fillId="29" borderId="192" xfId="96" applyNumberFormat="1" applyFont="1" applyFill="1" applyBorder="1" applyAlignment="1">
      <alignment horizontal="center" vertical="center" wrapText="1"/>
    </xf>
    <xf numFmtId="2" fontId="13" fillId="29" borderId="192" xfId="96" applyNumberFormat="1" applyFont="1" applyFill="1" applyBorder="1" applyAlignment="1">
      <alignment vertical="center"/>
    </xf>
    <xf numFmtId="170" fontId="14" fillId="29" borderId="192" xfId="0" applyNumberFormat="1" applyFont="1" applyFill="1" applyBorder="1" applyAlignment="1">
      <alignment horizontal="center" vertical="center" wrapText="1"/>
    </xf>
    <xf numFmtId="2" fontId="14" fillId="29" borderId="192" xfId="96" applyNumberFormat="1" applyFont="1" applyFill="1" applyBorder="1" applyAlignment="1">
      <alignment horizontal="center"/>
    </xf>
    <xf numFmtId="169" fontId="14" fillId="29" borderId="192" xfId="96" applyNumberFormat="1" applyFont="1" applyFill="1" applyBorder="1" applyAlignment="1">
      <alignment horizontal="center"/>
    </xf>
    <xf numFmtId="4" fontId="14" fillId="29" borderId="192" xfId="96" applyNumberFormat="1" applyFont="1" applyFill="1" applyBorder="1" applyAlignment="1">
      <alignment horizontal="center"/>
    </xf>
    <xf numFmtId="0" fontId="14" fillId="29" borderId="192" xfId="96" applyFont="1" applyFill="1" applyBorder="1" applyAlignment="1">
      <alignment horizontal="center"/>
    </xf>
    <xf numFmtId="4" fontId="53" fillId="29" borderId="192" xfId="0" applyNumberFormat="1" applyFont="1" applyFill="1" applyBorder="1" applyAlignment="1">
      <alignment horizontal="center" vertical="center" wrapText="1"/>
    </xf>
    <xf numFmtId="0" fontId="19" fillId="0" borderId="0" xfId="96" applyFont="1"/>
    <xf numFmtId="174" fontId="15" fillId="0" borderId="192" xfId="96" applyNumberFormat="1" applyFont="1" applyFill="1" applyBorder="1" applyAlignment="1">
      <alignment horizontal="center" vertical="center" wrapText="1"/>
    </xf>
    <xf numFmtId="0" fontId="138" fillId="0" borderId="192" xfId="96" applyFont="1" applyFill="1" applyBorder="1" applyAlignment="1">
      <alignment horizontal="center"/>
    </xf>
    <xf numFmtId="0" fontId="138" fillId="0" borderId="192" xfId="96" applyFont="1" applyFill="1" applyBorder="1"/>
    <xf numFmtId="0" fontId="13" fillId="0" borderId="192" xfId="96" applyFont="1" applyFill="1" applyBorder="1"/>
    <xf numFmtId="0" fontId="141" fillId="0" borderId="192" xfId="0" applyFont="1" applyFill="1" applyBorder="1" applyAlignment="1">
      <alignment vertical="center" wrapText="1"/>
    </xf>
    <xf numFmtId="0" fontId="145" fillId="0" borderId="192" xfId="0" applyFont="1" applyFill="1" applyBorder="1" applyAlignment="1">
      <alignment horizontal="center" vertical="center" wrapText="1"/>
    </xf>
    <xf numFmtId="0" fontId="146" fillId="0" borderId="192" xfId="0" applyFont="1" applyFill="1" applyBorder="1" applyAlignment="1">
      <alignment vertical="center" wrapText="1"/>
    </xf>
    <xf numFmtId="4" fontId="145" fillId="0" borderId="192" xfId="0" applyNumberFormat="1" applyFont="1" applyFill="1" applyBorder="1" applyAlignment="1">
      <alignment horizontal="center" vertical="center" wrapText="1"/>
    </xf>
    <xf numFmtId="174" fontId="15" fillId="29" borderId="192" xfId="96" applyNumberFormat="1" applyFont="1" applyFill="1" applyBorder="1" applyAlignment="1">
      <alignment horizontal="center" vertical="center" wrapText="1"/>
    </xf>
    <xf numFmtId="0" fontId="13" fillId="29" borderId="192" xfId="96" applyFont="1" applyFill="1" applyBorder="1"/>
    <xf numFmtId="170" fontId="14" fillId="29" borderId="192" xfId="96" applyNumberFormat="1" applyFont="1" applyFill="1" applyBorder="1" applyAlignment="1">
      <alignment horizontal="center" vertical="center" wrapText="1"/>
    </xf>
    <xf numFmtId="4" fontId="145" fillId="29" borderId="192" xfId="0" applyNumberFormat="1" applyFont="1" applyFill="1" applyBorder="1" applyAlignment="1">
      <alignment horizontal="center" vertical="center" wrapText="1"/>
    </xf>
    <xf numFmtId="169" fontId="14" fillId="29" borderId="192" xfId="96" applyNumberFormat="1" applyFont="1" applyFill="1" applyBorder="1" applyAlignment="1">
      <alignment horizontal="center" vertical="center"/>
    </xf>
    <xf numFmtId="2" fontId="13" fillId="29" borderId="192" xfId="96" applyNumberFormat="1" applyFont="1" applyFill="1" applyBorder="1" applyAlignment="1">
      <alignment horizontal="center" vertical="center"/>
    </xf>
    <xf numFmtId="169" fontId="14" fillId="0" borderId="192" xfId="96" applyNumberFormat="1" applyFont="1" applyFill="1" applyBorder="1" applyAlignment="1">
      <alignment horizontal="center" vertical="center"/>
    </xf>
    <xf numFmtId="178" fontId="13" fillId="0" borderId="192" xfId="96" applyNumberFormat="1" applyFont="1" applyFill="1" applyBorder="1" applyAlignment="1">
      <alignment horizontal="center" vertical="center" wrapText="1"/>
    </xf>
    <xf numFmtId="3" fontId="13" fillId="0" borderId="192" xfId="96" applyNumberFormat="1" applyFont="1" applyFill="1" applyBorder="1" applyAlignment="1">
      <alignment horizontal="center" vertical="center" wrapText="1"/>
    </xf>
    <xf numFmtId="4" fontId="14" fillId="0" borderId="192" xfId="96" applyNumberFormat="1" applyFont="1" applyFill="1" applyBorder="1" applyAlignment="1">
      <alignment horizontal="center" vertical="center"/>
    </xf>
    <xf numFmtId="4" fontId="14" fillId="0" borderId="192" xfId="96" applyNumberFormat="1" applyFont="1" applyFill="1" applyBorder="1"/>
    <xf numFmtId="2" fontId="14" fillId="0" borderId="192" xfId="96" applyNumberFormat="1" applyFont="1" applyFill="1" applyBorder="1"/>
    <xf numFmtId="0" fontId="13" fillId="0" borderId="192" xfId="96" applyFont="1" applyFill="1" applyBorder="1" applyAlignment="1">
      <alignment vertical="center" wrapText="1"/>
    </xf>
    <xf numFmtId="170" fontId="15" fillId="0" borderId="192" xfId="96" applyNumberFormat="1" applyFont="1" applyFill="1" applyBorder="1" applyAlignment="1">
      <alignment horizontal="center" vertical="center" wrapText="1"/>
    </xf>
    <xf numFmtId="0" fontId="16" fillId="0" borderId="192" xfId="96" applyFont="1" applyFill="1" applyBorder="1" applyAlignment="1">
      <alignment horizontal="left" vertical="center" wrapText="1"/>
    </xf>
    <xf numFmtId="0" fontId="24" fillId="0" borderId="192" xfId="0" applyFont="1" applyFill="1" applyBorder="1" applyAlignment="1">
      <alignment wrapText="1"/>
    </xf>
    <xf numFmtId="0" fontId="145" fillId="0" borderId="192" xfId="0" applyFont="1" applyFill="1" applyBorder="1" applyAlignment="1">
      <alignment vertical="center" wrapText="1"/>
    </xf>
    <xf numFmtId="0" fontId="59" fillId="0" borderId="0" xfId="96" applyFont="1" applyAlignment="1">
      <alignment wrapText="1"/>
    </xf>
    <xf numFmtId="170" fontId="15" fillId="29" borderId="192" xfId="96" applyNumberFormat="1" applyFont="1" applyFill="1" applyBorder="1" applyAlignment="1">
      <alignment horizontal="center" vertical="center" wrapText="1"/>
    </xf>
    <xf numFmtId="0" fontId="141" fillId="0" borderId="192" xfId="0" applyFont="1" applyFill="1" applyBorder="1" applyAlignment="1">
      <alignment vertical="top" wrapText="1"/>
    </xf>
    <xf numFmtId="0" fontId="147" fillId="0" borderId="192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65" fillId="0" borderId="0" xfId="0" applyFont="1" applyAlignment="1"/>
    <xf numFmtId="0" fontId="13" fillId="0" borderId="0" xfId="0" applyFont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50" fillId="0" borderId="270" xfId="150" applyFont="1" applyFill="1" applyBorder="1" applyAlignment="1">
      <alignment vertical="center"/>
    </xf>
    <xf numFmtId="4" fontId="50" fillId="0" borderId="270" xfId="150" applyNumberFormat="1" applyFont="1" applyFill="1" applyBorder="1" applyAlignment="1">
      <alignment vertical="center"/>
    </xf>
    <xf numFmtId="0" fontId="50" fillId="0" borderId="270" xfId="150" applyFont="1" applyFill="1" applyBorder="1" applyAlignment="1">
      <alignment vertical="center" wrapText="1"/>
    </xf>
    <xf numFmtId="4" fontId="118" fillId="0" borderId="213" xfId="85" applyNumberFormat="1" applyFont="1" applyFill="1" applyBorder="1" applyAlignment="1">
      <alignment horizontal="center" vertical="center"/>
    </xf>
    <xf numFmtId="178" fontId="18" fillId="29" borderId="17" xfId="0" applyNumberFormat="1" applyFont="1" applyFill="1" applyBorder="1" applyAlignment="1">
      <alignment horizontal="center" vertical="center"/>
    </xf>
    <xf numFmtId="4" fontId="14" fillId="29" borderId="192" xfId="0" applyNumberFormat="1" applyFont="1" applyFill="1" applyBorder="1" applyAlignment="1"/>
    <xf numFmtId="0" fontId="82" fillId="29" borderId="17" xfId="0" applyFont="1" applyFill="1" applyBorder="1" applyAlignment="1">
      <alignment horizontal="center" vertical="center" wrapText="1"/>
    </xf>
    <xf numFmtId="0" fontId="93" fillId="0" borderId="0" xfId="79" applyFont="1" applyBorder="1" applyAlignment="1">
      <alignment vertical="center"/>
    </xf>
    <xf numFmtId="0" fontId="93" fillId="0" borderId="194" xfId="79" applyFont="1" applyBorder="1" applyAlignment="1">
      <alignment vertical="center"/>
    </xf>
    <xf numFmtId="0" fontId="93" fillId="0" borderId="194" xfId="79" applyFont="1" applyBorder="1" applyAlignment="1">
      <alignment horizontal="center" vertical="center"/>
    </xf>
    <xf numFmtId="169" fontId="93" fillId="0" borderId="194" xfId="79" applyNumberFormat="1" applyFont="1" applyBorder="1" applyAlignment="1">
      <alignment horizontal="center" vertical="center"/>
    </xf>
    <xf numFmtId="169" fontId="166" fillId="0" borderId="194" xfId="79" applyNumberFormat="1" applyFont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4" fontId="14" fillId="0" borderId="0" xfId="0" applyNumberFormat="1" applyFont="1" applyFill="1" applyBorder="1" applyAlignment="1">
      <alignment horizontal="right" vertical="center"/>
    </xf>
    <xf numFmtId="4" fontId="14" fillId="0" borderId="0" xfId="79" applyNumberFormat="1" applyFont="1" applyFill="1"/>
    <xf numFmtId="178" fontId="14" fillId="29" borderId="0" xfId="0" applyNumberFormat="1" applyFont="1" applyFill="1" applyAlignment="1" applyProtection="1">
      <alignment vertical="center"/>
    </xf>
    <xf numFmtId="178" fontId="0" fillId="29" borderId="0" xfId="0" applyNumberFormat="1" applyFill="1"/>
    <xf numFmtId="178" fontId="13" fillId="29" borderId="0" xfId="0" applyNumberFormat="1" applyFont="1" applyFill="1" applyAlignment="1" applyProtection="1">
      <alignment vertical="center"/>
    </xf>
    <xf numFmtId="178" fontId="20" fillId="29" borderId="0" xfId="0" applyNumberFormat="1" applyFont="1" applyFill="1"/>
    <xf numFmtId="4" fontId="20" fillId="29" borderId="0" xfId="0" applyNumberFormat="1" applyFont="1" applyFill="1" applyBorder="1" applyAlignment="1">
      <alignment vertical="center"/>
    </xf>
    <xf numFmtId="2" fontId="20" fillId="29" borderId="0" xfId="0" applyNumberFormat="1" applyFont="1" applyFill="1" applyBorder="1"/>
    <xf numFmtId="178" fontId="0" fillId="29" borderId="0" xfId="0" applyNumberFormat="1" applyFont="1" applyFill="1"/>
    <xf numFmtId="192" fontId="0" fillId="29" borderId="0" xfId="0" applyNumberFormat="1" applyFont="1" applyFill="1" applyAlignment="1" applyProtection="1">
      <alignment vertical="center"/>
    </xf>
    <xf numFmtId="4" fontId="20" fillId="29" borderId="0" xfId="0" applyNumberFormat="1" applyFont="1" applyFill="1" applyBorder="1" applyAlignment="1">
      <alignment horizontal="right" vertical="center"/>
    </xf>
    <xf numFmtId="178" fontId="62" fillId="0" borderId="257" xfId="0" applyNumberFormat="1" applyFont="1" applyFill="1" applyBorder="1" applyAlignment="1" applyProtection="1">
      <alignment vertical="center"/>
    </xf>
    <xf numFmtId="4" fontId="18" fillId="0" borderId="11" xfId="0" applyNumberFormat="1" applyFont="1" applyFill="1" applyBorder="1" applyAlignment="1">
      <alignment horizontal="center"/>
    </xf>
    <xf numFmtId="0" fontId="0" fillId="0" borderId="0" xfId="0" applyAlignment="1">
      <alignment horizontal="left" vertical="top"/>
    </xf>
    <xf numFmtId="0" fontId="61" fillId="0" borderId="0" xfId="0" applyFont="1" applyAlignment="1">
      <alignment horizontal="left" vertical="top"/>
    </xf>
    <xf numFmtId="0" fontId="80" fillId="0" borderId="0" xfId="0" applyFont="1" applyAlignment="1">
      <alignment horizontal="left" vertical="top"/>
    </xf>
    <xf numFmtId="0" fontId="61" fillId="0" borderId="0" xfId="0" applyFont="1" applyAlignment="1"/>
    <xf numFmtId="2" fontId="17" fillId="0" borderId="11" xfId="0" applyNumberFormat="1" applyFont="1" applyFill="1" applyBorder="1" applyAlignment="1">
      <alignment vertical="center"/>
    </xf>
    <xf numFmtId="2" fontId="83" fillId="0" borderId="11" xfId="0" applyNumberFormat="1" applyFont="1" applyFill="1" applyBorder="1" applyAlignment="1">
      <alignment vertical="center"/>
    </xf>
    <xf numFmtId="2" fontId="82" fillId="0" borderId="257" xfId="0" applyNumberFormat="1" applyFont="1" applyFill="1" applyBorder="1" applyAlignment="1">
      <alignment horizontal="center" vertical="center"/>
    </xf>
    <xf numFmtId="2" fontId="17" fillId="0" borderId="257" xfId="0" applyNumberFormat="1" applyFont="1" applyFill="1" applyBorder="1" applyAlignment="1">
      <alignment horizontal="center" vertical="center"/>
    </xf>
    <xf numFmtId="2" fontId="17" fillId="0" borderId="259" xfId="0" applyNumberFormat="1" applyFont="1" applyFill="1" applyBorder="1" applyAlignment="1">
      <alignment horizontal="center" vertical="center"/>
    </xf>
    <xf numFmtId="2" fontId="82" fillId="57" borderId="257" xfId="0" applyNumberFormat="1" applyFont="1" applyFill="1" applyBorder="1" applyAlignment="1">
      <alignment horizontal="center" vertical="center"/>
    </xf>
    <xf numFmtId="2" fontId="82" fillId="57" borderId="17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2" fontId="62" fillId="0" borderId="270" xfId="0" applyNumberFormat="1" applyFont="1" applyFill="1" applyBorder="1" applyProtection="1">
      <protection locked="0"/>
    </xf>
    <xf numFmtId="2" fontId="61" fillId="0" borderId="270" xfId="0" applyNumberFormat="1" applyFont="1" applyFill="1" applyBorder="1" applyProtection="1">
      <protection locked="0"/>
    </xf>
    <xf numFmtId="0" fontId="61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8" fontId="18" fillId="29" borderId="37" xfId="0" applyNumberFormat="1" applyFont="1" applyFill="1" applyBorder="1" applyAlignment="1">
      <alignment horizontal="center" vertical="center"/>
    </xf>
    <xf numFmtId="0" fontId="82" fillId="0" borderId="37" xfId="0" applyFont="1" applyFill="1" applyBorder="1" applyAlignment="1">
      <alignment horizontal="center" vertical="center" wrapText="1"/>
    </xf>
    <xf numFmtId="178" fontId="18" fillId="0" borderId="35" xfId="0" applyNumberFormat="1" applyFont="1" applyFill="1" applyBorder="1" applyAlignment="1">
      <alignment horizontal="center" vertical="center"/>
    </xf>
    <xf numFmtId="0" fontId="82" fillId="0" borderId="35" xfId="0" applyFont="1" applyFill="1" applyBorder="1" applyAlignment="1">
      <alignment horizontal="center" vertical="center" wrapText="1"/>
    </xf>
    <xf numFmtId="2" fontId="61" fillId="0" borderId="192" xfId="0" applyNumberFormat="1" applyFont="1" applyFill="1" applyBorder="1" applyAlignment="1">
      <alignment vertical="center"/>
    </xf>
    <xf numFmtId="3" fontId="61" fillId="29" borderId="192" xfId="0" applyNumberFormat="1" applyFont="1" applyFill="1" applyBorder="1" applyAlignment="1">
      <alignment horizontal="center" vertical="center"/>
    </xf>
    <xf numFmtId="4" fontId="61" fillId="46" borderId="192" xfId="0" applyNumberFormat="1" applyFont="1" applyFill="1" applyBorder="1" applyAlignment="1">
      <alignment horizontal="center" vertical="center"/>
    </xf>
    <xf numFmtId="4" fontId="61" fillId="46" borderId="192" xfId="0" applyNumberFormat="1" applyFont="1" applyFill="1" applyBorder="1" applyAlignment="1">
      <alignment vertical="center"/>
    </xf>
    <xf numFmtId="4" fontId="62" fillId="46" borderId="192" xfId="0" applyNumberFormat="1" applyFont="1" applyFill="1" applyBorder="1" applyAlignment="1">
      <alignment horizontal="center" vertical="center"/>
    </xf>
    <xf numFmtId="4" fontId="62" fillId="46" borderId="192" xfId="0" applyNumberFormat="1" applyFont="1" applyFill="1" applyBorder="1" applyAlignment="1">
      <alignment vertical="center"/>
    </xf>
    <xf numFmtId="2" fontId="61" fillId="46" borderId="192" xfId="0" applyNumberFormat="1" applyFont="1" applyFill="1" applyBorder="1" applyAlignment="1">
      <alignment horizontal="center" vertical="center"/>
    </xf>
    <xf numFmtId="10" fontId="61" fillId="46" borderId="192" xfId="85" applyNumberFormat="1" applyFont="1" applyFill="1" applyBorder="1" applyAlignment="1">
      <alignment horizontal="center" vertical="center"/>
    </xf>
    <xf numFmtId="4" fontId="61" fillId="46" borderId="193" xfId="0" applyNumberFormat="1" applyFont="1" applyFill="1" applyBorder="1" applyAlignment="1">
      <alignment horizontal="center" vertical="center"/>
    </xf>
    <xf numFmtId="0" fontId="14" fillId="46" borderId="192" xfId="0" applyFont="1" applyFill="1" applyBorder="1" applyAlignment="1">
      <alignment vertical="center" wrapText="1"/>
    </xf>
    <xf numFmtId="0" fontId="0" fillId="46" borderId="192" xfId="0" applyFont="1" applyFill="1" applyBorder="1" applyAlignment="1">
      <alignment vertical="center" wrapText="1"/>
    </xf>
    <xf numFmtId="4" fontId="18" fillId="46" borderId="192" xfId="0" applyNumberFormat="1" applyFont="1" applyFill="1" applyBorder="1" applyAlignment="1">
      <alignment horizontal="center" vertical="center"/>
    </xf>
    <xf numFmtId="10" fontId="61" fillId="46" borderId="192" xfId="0" applyNumberFormat="1" applyFont="1" applyFill="1" applyBorder="1" applyAlignment="1">
      <alignment vertical="center"/>
    </xf>
    <xf numFmtId="4" fontId="93" fillId="46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0" fontId="56" fillId="38" borderId="192" xfId="147" applyFont="1" applyFill="1" applyBorder="1" applyAlignment="1">
      <alignment horizontal="center" vertical="center" wrapText="1"/>
    </xf>
    <xf numFmtId="0" fontId="14" fillId="38" borderId="193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4" fontId="15" fillId="29" borderId="206" xfId="0" applyNumberFormat="1" applyFont="1" applyFill="1" applyBorder="1" applyAlignment="1">
      <alignment horizontal="center" vertical="center"/>
    </xf>
    <xf numFmtId="0" fontId="118" fillId="0" borderId="192" xfId="0" applyFont="1" applyFill="1" applyBorder="1"/>
    <xf numFmtId="168" fontId="14" fillId="0" borderId="192" xfId="0" applyNumberFormat="1" applyFont="1" applyFill="1" applyBorder="1" applyAlignment="1">
      <alignment vertical="center"/>
    </xf>
    <xf numFmtId="2" fontId="14" fillId="0" borderId="192" xfId="85" applyNumberFormat="1" applyFont="1" applyFill="1" applyBorder="1" applyAlignment="1">
      <alignment vertical="center"/>
    </xf>
    <xf numFmtId="10" fontId="14" fillId="0" borderId="206" xfId="85" applyNumberFormat="1" applyFont="1" applyFill="1" applyBorder="1" applyAlignment="1">
      <alignment horizontal="left" vertical="center" wrapText="1"/>
    </xf>
    <xf numFmtId="10" fontId="14" fillId="0" borderId="0" xfId="85" applyNumberFormat="1" applyFont="1" applyFill="1" applyBorder="1" applyAlignment="1">
      <alignment horizontal="left" vertical="center" wrapText="1"/>
    </xf>
    <xf numFmtId="4" fontId="13" fillId="46" borderId="192" xfId="0" applyNumberFormat="1" applyFont="1" applyFill="1" applyBorder="1" applyAlignment="1">
      <alignment horizontal="center" vertical="center"/>
    </xf>
    <xf numFmtId="2" fontId="13" fillId="46" borderId="192" xfId="0" applyNumberFormat="1" applyFont="1" applyFill="1" applyBorder="1" applyAlignment="1">
      <alignment horizontal="center" vertical="center"/>
    </xf>
    <xf numFmtId="4" fontId="14" fillId="46" borderId="192" xfId="0" applyNumberFormat="1" applyFont="1" applyFill="1" applyBorder="1" applyAlignment="1">
      <alignment horizontal="center" vertical="center"/>
    </xf>
    <xf numFmtId="2" fontId="14" fillId="46" borderId="192" xfId="0" applyNumberFormat="1" applyFont="1" applyFill="1" applyBorder="1" applyAlignment="1">
      <alignment horizontal="center" vertical="center"/>
    </xf>
    <xf numFmtId="0" fontId="14" fillId="46" borderId="192" xfId="0" applyFont="1" applyFill="1" applyBorder="1" applyAlignment="1">
      <alignment horizontal="center" vertical="center"/>
    </xf>
    <xf numFmtId="4" fontId="13" fillId="46" borderId="192" xfId="0" applyNumberFormat="1" applyFont="1" applyFill="1" applyBorder="1" applyAlignment="1">
      <alignment horizontal="right"/>
    </xf>
    <xf numFmtId="4" fontId="14" fillId="46" borderId="192" xfId="0" applyNumberFormat="1" applyFont="1" applyFill="1" applyBorder="1" applyAlignment="1">
      <alignment horizontal="right" vertical="center" wrapText="1"/>
    </xf>
    <xf numFmtId="168" fontId="13" fillId="0" borderId="192" xfId="0" applyNumberFormat="1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178" fontId="14" fillId="0" borderId="192" xfId="0" applyNumberFormat="1" applyFont="1" applyFill="1" applyBorder="1" applyAlignment="1">
      <alignment vertical="center"/>
    </xf>
    <xf numFmtId="4" fontId="182" fillId="46" borderId="192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center" vertical="center"/>
    </xf>
    <xf numFmtId="0" fontId="93" fillId="46" borderId="192" xfId="0" applyFont="1" applyFill="1" applyBorder="1" applyAlignment="1">
      <alignment horizontal="center" vertical="center"/>
    </xf>
    <xf numFmtId="0" fontId="14" fillId="38" borderId="192" xfId="96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14" fillId="0" borderId="0" xfId="0" applyFont="1" applyFill="1" applyAlignment="1">
      <alignment horizontal="center"/>
    </xf>
    <xf numFmtId="0" fontId="93" fillId="0" borderId="0" xfId="0" applyFont="1" applyFill="1"/>
    <xf numFmtId="4" fontId="97" fillId="29" borderId="192" xfId="0" applyNumberFormat="1" applyFont="1" applyFill="1" applyBorder="1" applyAlignment="1">
      <alignment horizontal="center" vertical="center"/>
    </xf>
    <xf numFmtId="10" fontId="170" fillId="29" borderId="192" xfId="85" applyNumberFormat="1" applyFont="1" applyFill="1" applyBorder="1" applyAlignment="1">
      <alignment horizontal="center" vertical="center"/>
    </xf>
    <xf numFmtId="0" fontId="90" fillId="0" borderId="0" xfId="0" applyFont="1" applyFill="1" applyAlignment="1"/>
    <xf numFmtId="0" fontId="90" fillId="0" borderId="0" xfId="0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/>
    <xf numFmtId="0" fontId="13" fillId="38" borderId="192" xfId="0" applyFont="1" applyFill="1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8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/>
    <xf numFmtId="0" fontId="0" fillId="0" borderId="192" xfId="0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13" fillId="0" borderId="205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4" fontId="169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center" vertical="center"/>
    </xf>
    <xf numFmtId="4" fontId="18" fillId="0" borderId="192" xfId="0" applyNumberFormat="1" applyFont="1" applyFill="1" applyBorder="1" applyAlignment="1">
      <alignment horizontal="center" vertical="center"/>
    </xf>
    <xf numFmtId="0" fontId="15" fillId="0" borderId="192" xfId="0" applyFont="1" applyBorder="1" applyAlignment="1">
      <alignment vertical="center"/>
    </xf>
    <xf numFmtId="0" fontId="15" fillId="0" borderId="192" xfId="0" applyFont="1" applyBorder="1"/>
    <xf numFmtId="0" fontId="61" fillId="0" borderId="192" xfId="0" applyFont="1" applyFill="1" applyBorder="1" applyAlignment="1">
      <alignment horizontal="center" vertical="center" wrapText="1"/>
    </xf>
    <xf numFmtId="0" fontId="61" fillId="0" borderId="192" xfId="0" applyFont="1" applyBorder="1" applyAlignment="1">
      <alignment horizontal="center" vertical="center"/>
    </xf>
    <xf numFmtId="0" fontId="61" fillId="46" borderId="192" xfId="0" applyFont="1" applyFill="1" applyBorder="1" applyAlignment="1">
      <alignment horizontal="center" vertical="center"/>
    </xf>
    <xf numFmtId="0" fontId="62" fillId="0" borderId="192" xfId="0" applyFont="1" applyFill="1" applyBorder="1" applyAlignment="1">
      <alignment horizontal="center" vertical="center" wrapText="1"/>
    </xf>
    <xf numFmtId="0" fontId="62" fillId="0" borderId="192" xfId="0" applyFont="1" applyBorder="1" applyAlignment="1">
      <alignment horizontal="center" vertical="center"/>
    </xf>
    <xf numFmtId="10" fontId="62" fillId="29" borderId="192" xfId="85" applyNumberFormat="1" applyFont="1" applyFill="1" applyBorder="1" applyAlignment="1">
      <alignment horizontal="center" vertical="center"/>
    </xf>
    <xf numFmtId="0" fontId="0" fillId="0" borderId="225" xfId="0" applyBorder="1"/>
    <xf numFmtId="0" fontId="65" fillId="38" borderId="192" xfId="0" applyFont="1" applyFill="1" applyBorder="1" applyAlignment="1"/>
    <xf numFmtId="0" fontId="0" fillId="0" borderId="192" xfId="0" applyBorder="1" applyAlignment="1">
      <alignment wrapText="1"/>
    </xf>
    <xf numFmtId="0" fontId="81" fillId="29" borderId="192" xfId="0" applyFont="1" applyFill="1" applyBorder="1" applyAlignment="1">
      <alignment horizontal="center" vertical="center"/>
    </xf>
    <xf numFmtId="4" fontId="81" fillId="0" borderId="192" xfId="0" applyNumberFormat="1" applyFont="1" applyBorder="1" applyAlignment="1">
      <alignment horizontal="center" vertical="center"/>
    </xf>
    <xf numFmtId="4" fontId="81" fillId="29" borderId="192" xfId="0" applyNumberFormat="1" applyFont="1" applyFill="1" applyBorder="1" applyAlignment="1">
      <alignment horizontal="center" vertical="center"/>
    </xf>
    <xf numFmtId="0" fontId="70" fillId="0" borderId="192" xfId="0" applyFont="1" applyFill="1" applyBorder="1" applyAlignment="1">
      <alignment vertical="center"/>
    </xf>
    <xf numFmtId="0" fontId="70" fillId="0" borderId="192" xfId="0" applyFont="1" applyFill="1" applyBorder="1" applyAlignment="1">
      <alignment horizontal="center" vertical="center"/>
    </xf>
    <xf numFmtId="169" fontId="70" fillId="0" borderId="192" xfId="0" applyNumberFormat="1" applyFont="1" applyFill="1" applyBorder="1" applyAlignment="1">
      <alignment horizontal="center" vertical="center"/>
    </xf>
    <xf numFmtId="169" fontId="184" fillId="0" borderId="192" xfId="0" applyNumberFormat="1" applyFont="1" applyFill="1" applyBorder="1" applyAlignment="1">
      <alignment horizontal="center" vertical="center"/>
    </xf>
    <xf numFmtId="4" fontId="70" fillId="0" borderId="192" xfId="0" applyNumberFormat="1" applyFont="1" applyFill="1" applyBorder="1" applyAlignment="1">
      <alignment horizontal="center" vertical="center"/>
    </xf>
    <xf numFmtId="4" fontId="185" fillId="0" borderId="192" xfId="0" applyNumberFormat="1" applyFont="1" applyFill="1" applyBorder="1" applyAlignment="1">
      <alignment horizontal="center" vertical="center"/>
    </xf>
    <xf numFmtId="171" fontId="185" fillId="0" borderId="192" xfId="85" applyNumberFormat="1" applyFont="1" applyFill="1" applyBorder="1" applyAlignment="1">
      <alignment horizontal="center" vertical="center"/>
    </xf>
    <xf numFmtId="0" fontId="88" fillId="0" borderId="192" xfId="0" applyFont="1" applyFill="1" applyBorder="1" applyAlignment="1">
      <alignment horizontal="center" vertical="center"/>
    </xf>
    <xf numFmtId="0" fontId="88" fillId="0" borderId="192" xfId="0" applyFont="1" applyBorder="1" applyAlignment="1">
      <alignment horizontal="center" vertical="center"/>
    </xf>
    <xf numFmtId="4" fontId="70" fillId="29" borderId="192" xfId="0" applyNumberFormat="1" applyFont="1" applyFill="1" applyBorder="1" applyAlignment="1">
      <alignment horizontal="center" vertical="center"/>
    </xf>
    <xf numFmtId="169" fontId="185" fillId="0" borderId="192" xfId="0" applyNumberFormat="1" applyFont="1" applyFill="1" applyBorder="1" applyAlignment="1">
      <alignment horizontal="center" vertical="center"/>
    </xf>
    <xf numFmtId="4" fontId="70" fillId="0" borderId="192" xfId="0" applyNumberFormat="1" applyFont="1" applyFill="1" applyBorder="1" applyAlignment="1">
      <alignment horizontal="center" vertical="center" wrapText="1"/>
    </xf>
    <xf numFmtId="171" fontId="70" fillId="0" borderId="192" xfId="0" applyNumberFormat="1" applyFont="1" applyFill="1" applyBorder="1" applyAlignment="1">
      <alignment horizontal="center" vertical="center" wrapText="1"/>
    </xf>
    <xf numFmtId="171" fontId="185" fillId="0" borderId="192" xfId="0" applyNumberFormat="1" applyFont="1" applyFill="1" applyBorder="1" applyAlignment="1">
      <alignment horizontal="center" vertical="center" wrapText="1"/>
    </xf>
    <xf numFmtId="0" fontId="88" fillId="0" borderId="192" xfId="0" applyFont="1" applyFill="1" applyBorder="1" applyAlignment="1">
      <alignment vertical="center" wrapText="1"/>
    </xf>
    <xf numFmtId="0" fontId="87" fillId="0" borderId="192" xfId="0" applyFont="1" applyFill="1" applyBorder="1"/>
    <xf numFmtId="4" fontId="171" fillId="0" borderId="192" xfId="0" applyNumberFormat="1" applyFont="1" applyFill="1" applyBorder="1" applyAlignment="1">
      <alignment horizontal="center" vertical="center"/>
    </xf>
    <xf numFmtId="4" fontId="61" fillId="0" borderId="194" xfId="0" applyNumberFormat="1" applyFont="1" applyFill="1" applyBorder="1" applyAlignment="1">
      <alignment horizontal="center" vertical="center"/>
    </xf>
    <xf numFmtId="10" fontId="62" fillId="0" borderId="194" xfId="85" applyNumberFormat="1" applyFont="1" applyFill="1" applyBorder="1" applyAlignment="1">
      <alignment horizontal="center" vertical="center"/>
    </xf>
    <xf numFmtId="4" fontId="18" fillId="0" borderId="194" xfId="0" applyNumberFormat="1" applyFont="1" applyFill="1" applyBorder="1" applyAlignment="1">
      <alignment horizontal="center" vertical="center"/>
    </xf>
    <xf numFmtId="0" fontId="0" fillId="38" borderId="194" xfId="0" applyFont="1" applyFill="1" applyBorder="1"/>
    <xf numFmtId="0" fontId="0" fillId="0" borderId="192" xfId="0" applyBorder="1" applyAlignment="1">
      <alignment vertical="center"/>
    </xf>
    <xf numFmtId="0" fontId="57" fillId="0" borderId="192" xfId="0" applyFont="1" applyBorder="1" applyAlignment="1">
      <alignment vertical="center"/>
    </xf>
    <xf numFmtId="0" fontId="51" fillId="0" borderId="192" xfId="0" applyFont="1" applyBorder="1" applyAlignment="1">
      <alignment vertical="center"/>
    </xf>
    <xf numFmtId="0" fontId="82" fillId="0" borderId="192" xfId="0" applyFont="1" applyBorder="1" applyAlignment="1">
      <alignment vertical="center"/>
    </xf>
    <xf numFmtId="0" fontId="0" fillId="0" borderId="226" xfId="0" applyBorder="1"/>
    <xf numFmtId="170" fontId="18" fillId="0" borderId="205" xfId="0" applyNumberFormat="1" applyFont="1" applyFill="1" applyBorder="1" applyAlignment="1">
      <alignment horizontal="center" vertical="center"/>
    </xf>
    <xf numFmtId="0" fontId="61" fillId="0" borderId="205" xfId="0" applyFont="1" applyFill="1" applyBorder="1" applyAlignment="1">
      <alignment vertical="center" wrapText="1"/>
    </xf>
    <xf numFmtId="0" fontId="6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62" fillId="0" borderId="0" xfId="0" applyFont="1" applyFill="1" applyAlignment="1">
      <alignment vertical="center"/>
    </xf>
    <xf numFmtId="0" fontId="51" fillId="0" borderId="0" xfId="0" applyFont="1" applyFill="1" applyAlignment="1">
      <alignment vertical="center"/>
    </xf>
    <xf numFmtId="170" fontId="61" fillId="29" borderId="192" xfId="0" applyNumberFormat="1" applyFont="1" applyFill="1" applyBorder="1" applyAlignment="1">
      <alignment vertical="center"/>
    </xf>
    <xf numFmtId="4" fontId="18" fillId="29" borderId="192" xfId="0" applyNumberFormat="1" applyFont="1" applyFill="1" applyBorder="1" applyAlignment="1">
      <alignment vertical="center"/>
    </xf>
    <xf numFmtId="0" fontId="18" fillId="0" borderId="206" xfId="0" applyFont="1" applyFill="1" applyBorder="1" applyAlignment="1">
      <alignment vertical="center"/>
    </xf>
    <xf numFmtId="2" fontId="18" fillId="0" borderId="192" xfId="0" applyNumberFormat="1" applyFont="1" applyFill="1" applyBorder="1" applyAlignment="1">
      <alignment vertical="center"/>
    </xf>
    <xf numFmtId="2" fontId="18" fillId="29" borderId="192" xfId="0" applyNumberFormat="1" applyFont="1" applyFill="1" applyBorder="1" applyAlignment="1">
      <alignment vertical="center"/>
    </xf>
    <xf numFmtId="0" fontId="0" fillId="0" borderId="192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4" fontId="14" fillId="0" borderId="0" xfId="0" applyNumberFormat="1" applyFont="1" applyFill="1" applyAlignment="1">
      <alignment vertical="center"/>
    </xf>
    <xf numFmtId="4" fontId="15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171" fontId="61" fillId="0" borderId="192" xfId="0" applyNumberFormat="1" applyFont="1" applyFill="1" applyBorder="1" applyAlignment="1">
      <alignment horizontal="center" vertical="center"/>
    </xf>
    <xf numFmtId="171" fontId="62" fillId="0" borderId="192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4" fillId="0" borderId="36" xfId="0" applyFont="1" applyFill="1" applyBorder="1" applyAlignment="1">
      <alignment vertical="center"/>
    </xf>
    <xf numFmtId="169" fontId="14" fillId="0" borderId="0" xfId="0" applyNumberFormat="1" applyFont="1" applyFill="1" applyBorder="1" applyAlignment="1">
      <alignment horizontal="center" vertical="center"/>
    </xf>
    <xf numFmtId="169" fontId="59" fillId="0" borderId="0" xfId="0" applyNumberFormat="1" applyFont="1" applyFill="1" applyBorder="1" applyAlignment="1">
      <alignment horizontal="center" vertical="center"/>
    </xf>
    <xf numFmtId="10" fontId="1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>
      <alignment horizontal="center" vertical="center"/>
    </xf>
    <xf numFmtId="0" fontId="82" fillId="0" borderId="0" xfId="0" applyFont="1" applyFill="1" applyAlignment="1">
      <alignment vertical="center"/>
    </xf>
    <xf numFmtId="171" fontId="89" fillId="0" borderId="0" xfId="85" applyNumberFormat="1" applyFont="1" applyFill="1" applyBorder="1" applyAlignment="1">
      <alignment horizontal="center" vertical="center"/>
    </xf>
    <xf numFmtId="0" fontId="14" fillId="0" borderId="211" xfId="0" applyFont="1" applyFill="1" applyBorder="1" applyAlignment="1">
      <alignment vertical="center"/>
    </xf>
    <xf numFmtId="4" fontId="67" fillId="0" borderId="0" xfId="0" applyNumberFormat="1" applyFont="1" applyFill="1" applyBorder="1" applyAlignment="1">
      <alignment horizontal="center" vertical="center"/>
    </xf>
    <xf numFmtId="174" fontId="14" fillId="0" borderId="0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4" fontId="61" fillId="0" borderId="0" xfId="0" applyNumberFormat="1" applyFont="1" applyFill="1" applyAlignment="1">
      <alignment vertical="center"/>
    </xf>
    <xf numFmtId="0" fontId="61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vertical="center" wrapText="1"/>
    </xf>
    <xf numFmtId="2" fontId="14" fillId="0" borderId="0" xfId="0" applyNumberFormat="1" applyFont="1" applyFill="1" applyBorder="1" applyAlignment="1">
      <alignment vertical="center"/>
    </xf>
    <xf numFmtId="178" fontId="61" fillId="0" borderId="0" xfId="0" applyNumberFormat="1" applyFont="1" applyFill="1" applyAlignment="1">
      <alignment vertical="center"/>
    </xf>
    <xf numFmtId="170" fontId="61" fillId="0" borderId="0" xfId="0" applyNumberFormat="1" applyFont="1" applyFill="1" applyAlignment="1">
      <alignment vertical="center"/>
    </xf>
    <xf numFmtId="4" fontId="13" fillId="0" borderId="0" xfId="0" applyNumberFormat="1" applyFont="1" applyFill="1" applyAlignment="1">
      <alignment vertical="center"/>
    </xf>
    <xf numFmtId="4" fontId="18" fillId="0" borderId="0" xfId="0" applyNumberFormat="1" applyFont="1" applyFill="1" applyAlignment="1">
      <alignment vertical="center"/>
    </xf>
    <xf numFmtId="2" fontId="61" fillId="0" borderId="0" xfId="0" applyNumberFormat="1" applyFont="1"/>
    <xf numFmtId="4" fontId="18" fillId="0" borderId="0" xfId="0" applyNumberFormat="1" applyFont="1"/>
    <xf numFmtId="170" fontId="18" fillId="29" borderId="192" xfId="0" applyNumberFormat="1" applyFont="1" applyFill="1" applyBorder="1" applyAlignment="1">
      <alignment horizontal="center" vertical="center"/>
    </xf>
    <xf numFmtId="178" fontId="81" fillId="29" borderId="192" xfId="0" applyNumberFormat="1" applyFont="1" applyFill="1" applyBorder="1" applyAlignment="1">
      <alignment horizontal="center" vertical="center"/>
    </xf>
    <xf numFmtId="4" fontId="18" fillId="29" borderId="192" xfId="0" applyNumberFormat="1" applyFont="1" applyFill="1" applyBorder="1" applyAlignment="1">
      <alignment horizontal="center" vertical="center" wrapText="1"/>
    </xf>
    <xf numFmtId="4" fontId="18" fillId="29" borderId="257" xfId="0" applyNumberFormat="1" applyFont="1" applyFill="1" applyBorder="1" applyAlignment="1">
      <alignment horizontal="center" vertical="center"/>
    </xf>
    <xf numFmtId="4" fontId="62" fillId="29" borderId="257" xfId="0" applyNumberFormat="1" applyFont="1" applyFill="1" applyBorder="1" applyAlignment="1">
      <alignment horizontal="center" vertical="center"/>
    </xf>
    <xf numFmtId="4" fontId="13" fillId="0" borderId="192" xfId="96" applyNumberFormat="1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178" fontId="13" fillId="29" borderId="192" xfId="96" applyNumberFormat="1" applyFont="1" applyFill="1" applyBorder="1" applyAlignment="1">
      <alignment horizontal="center" vertical="center" wrapText="1"/>
    </xf>
    <xf numFmtId="3" fontId="13" fillId="29" borderId="192" xfId="96" applyNumberFormat="1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49" fillId="0" borderId="192" xfId="96" applyNumberFormat="1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51" fillId="0" borderId="0" xfId="0" applyFont="1" applyBorder="1"/>
    <xf numFmtId="4" fontId="0" fillId="0" borderId="0" xfId="0" applyNumberFormat="1" applyBorder="1"/>
    <xf numFmtId="0" fontId="127" fillId="0" borderId="0" xfId="0" applyFont="1" applyFill="1" applyBorder="1"/>
    <xf numFmtId="0" fontId="0" fillId="0" borderId="0" xfId="0" applyFont="1" applyFill="1" applyBorder="1"/>
    <xf numFmtId="0" fontId="0" fillId="0" borderId="55" xfId="0" applyFont="1" applyFill="1" applyBorder="1"/>
    <xf numFmtId="0" fontId="14" fillId="38" borderId="192" xfId="0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8" fillId="29" borderId="0" xfId="79" applyFill="1"/>
    <xf numFmtId="0" fontId="8" fillId="29" borderId="0" xfId="79" applyFill="1" applyAlignment="1">
      <alignment vertical="center"/>
    </xf>
    <xf numFmtId="0" fontId="9" fillId="29" borderId="0" xfId="79" applyFont="1" applyFill="1" applyAlignment="1">
      <alignment vertical="center"/>
    </xf>
    <xf numFmtId="0" fontId="9" fillId="29" borderId="0" xfId="79" applyFont="1" applyFill="1"/>
    <xf numFmtId="2" fontId="14" fillId="29" borderId="192" xfId="0" applyNumberFormat="1" applyFont="1" applyFill="1" applyBorder="1" applyAlignment="1">
      <alignment horizontal="right" vertical="center"/>
    </xf>
    <xf numFmtId="4" fontId="118" fillId="29" borderId="192" xfId="0" applyNumberFormat="1" applyFont="1" applyFill="1" applyBorder="1" applyAlignment="1">
      <alignment horizontal="center" vertical="center"/>
    </xf>
    <xf numFmtId="4" fontId="144" fillId="29" borderId="192" xfId="0" applyNumberFormat="1" applyFont="1" applyFill="1" applyBorder="1" applyAlignment="1">
      <alignment horizontal="center" vertical="center"/>
    </xf>
    <xf numFmtId="16" fontId="13" fillId="0" borderId="192" xfId="96" applyNumberFormat="1" applyFont="1" applyFill="1" applyBorder="1" applyAlignment="1">
      <alignment horizontal="center" vertical="center"/>
    </xf>
    <xf numFmtId="4" fontId="118" fillId="29" borderId="193" xfId="85" applyNumberFormat="1" applyFont="1" applyFill="1" applyBorder="1" applyAlignment="1">
      <alignment horizontal="center" vertical="center"/>
    </xf>
    <xf numFmtId="4" fontId="118" fillId="29" borderId="192" xfId="85" applyNumberFormat="1" applyFont="1" applyFill="1" applyBorder="1" applyAlignment="1">
      <alignment horizontal="center" vertical="center"/>
    </xf>
    <xf numFmtId="4" fontId="118" fillId="29" borderId="213" xfId="85" applyNumberFormat="1" applyFont="1" applyFill="1" applyBorder="1" applyAlignment="1">
      <alignment horizontal="center" vertical="center"/>
    </xf>
    <xf numFmtId="4" fontId="118" fillId="29" borderId="205" xfId="85" applyNumberFormat="1" applyFont="1" applyFill="1" applyBorder="1" applyAlignment="1">
      <alignment horizontal="center" vertical="center"/>
    </xf>
    <xf numFmtId="0" fontId="118" fillId="29" borderId="192" xfId="0" applyFont="1" applyFill="1" applyBorder="1" applyAlignment="1">
      <alignment horizontal="center" vertical="center"/>
    </xf>
    <xf numFmtId="2" fontId="118" fillId="29" borderId="192" xfId="0" applyNumberFormat="1" applyFont="1" applyFill="1" applyBorder="1" applyAlignment="1">
      <alignment horizontal="center" vertical="center"/>
    </xf>
    <xf numFmtId="168" fontId="126" fillId="29" borderId="192" xfId="0" applyNumberFormat="1" applyFont="1" applyFill="1" applyBorder="1" applyAlignment="1">
      <alignment horizontal="center" vertical="center"/>
    </xf>
    <xf numFmtId="167" fontId="118" fillId="29" borderId="192" xfId="0" applyNumberFormat="1" applyFont="1" applyFill="1" applyBorder="1" applyAlignment="1">
      <alignment horizontal="center" vertical="center"/>
    </xf>
    <xf numFmtId="168" fontId="118" fillId="29" borderId="192" xfId="0" applyNumberFormat="1" applyFont="1" applyFill="1" applyBorder="1" applyAlignment="1">
      <alignment horizontal="center" vertical="center"/>
    </xf>
    <xf numFmtId="174" fontId="118" fillId="29" borderId="192" xfId="0" applyNumberFormat="1" applyFont="1" applyFill="1" applyBorder="1" applyAlignment="1">
      <alignment horizontal="center" vertical="center"/>
    </xf>
    <xf numFmtId="4" fontId="126" fillId="29" borderId="192" xfId="0" applyNumberFormat="1" applyFont="1" applyFill="1" applyBorder="1" applyAlignment="1">
      <alignment horizontal="right" vertical="center"/>
    </xf>
    <xf numFmtId="4" fontId="174" fillId="0" borderId="0" xfId="0" applyNumberFormat="1" applyFont="1" applyFill="1"/>
    <xf numFmtId="4" fontId="118" fillId="29" borderId="192" xfId="96" applyNumberFormat="1" applyFont="1" applyFill="1" applyBorder="1" applyAlignment="1">
      <alignment horizontal="center" vertical="center" wrapText="1"/>
    </xf>
    <xf numFmtId="4" fontId="126" fillId="29" borderId="192" xfId="96" applyNumberFormat="1" applyFont="1" applyFill="1" applyBorder="1" applyAlignment="1">
      <alignment horizontal="center" vertical="center" wrapText="1"/>
    </xf>
    <xf numFmtId="2" fontId="144" fillId="29" borderId="192" xfId="96" applyNumberFormat="1" applyFont="1" applyFill="1" applyBorder="1" applyAlignment="1">
      <alignment vertical="center"/>
    </xf>
    <xf numFmtId="4" fontId="118" fillId="29" borderId="192" xfId="0" applyNumberFormat="1" applyFont="1" applyFill="1" applyBorder="1" applyAlignment="1">
      <alignment horizontal="center" vertical="center" wrapText="1"/>
    </xf>
    <xf numFmtId="4" fontId="186" fillId="29" borderId="192" xfId="0" applyNumberFormat="1" applyFont="1" applyFill="1" applyBorder="1" applyAlignment="1">
      <alignment horizontal="center" vertical="center" wrapText="1"/>
    </xf>
    <xf numFmtId="4" fontId="144" fillId="29" borderId="192" xfId="96" applyNumberFormat="1" applyFont="1" applyFill="1" applyBorder="1" applyAlignment="1">
      <alignment horizontal="center" vertical="center" wrapText="1"/>
    </xf>
    <xf numFmtId="0" fontId="118" fillId="29" borderId="192" xfId="96" applyFont="1" applyFill="1" applyBorder="1"/>
    <xf numFmtId="2" fontId="118" fillId="29" borderId="192" xfId="96" applyNumberFormat="1" applyFont="1" applyFill="1" applyBorder="1" applyAlignment="1">
      <alignment horizontal="center"/>
    </xf>
    <xf numFmtId="169" fontId="118" fillId="29" borderId="192" xfId="96" applyNumberFormat="1" applyFont="1" applyFill="1" applyBorder="1" applyAlignment="1">
      <alignment horizontal="center"/>
    </xf>
    <xf numFmtId="4" fontId="118" fillId="29" borderId="192" xfId="96" applyNumberFormat="1" applyFont="1" applyFill="1" applyBorder="1" applyAlignment="1">
      <alignment horizontal="center"/>
    </xf>
    <xf numFmtId="0" fontId="118" fillId="29" borderId="192" xfId="96" applyFont="1" applyFill="1" applyBorder="1" applyAlignment="1">
      <alignment horizontal="center"/>
    </xf>
    <xf numFmtId="174" fontId="126" fillId="29" borderId="192" xfId="96" applyNumberFormat="1" applyFont="1" applyFill="1" applyBorder="1" applyAlignment="1">
      <alignment horizontal="center" vertical="center" wrapText="1"/>
    </xf>
    <xf numFmtId="0" fontId="144" fillId="29" borderId="192" xfId="96" applyFont="1" applyFill="1" applyBorder="1"/>
    <xf numFmtId="4" fontId="173" fillId="29" borderId="192" xfId="0" applyNumberFormat="1" applyFont="1" applyFill="1" applyBorder="1" applyAlignment="1">
      <alignment horizontal="center" vertical="center" wrapText="1"/>
    </xf>
    <xf numFmtId="170" fontId="118" fillId="29" borderId="192" xfId="96" applyNumberFormat="1" applyFont="1" applyFill="1" applyBorder="1" applyAlignment="1">
      <alignment horizontal="center" vertical="center" wrapText="1"/>
    </xf>
    <xf numFmtId="2" fontId="144" fillId="29" borderId="192" xfId="96" applyNumberFormat="1" applyFont="1" applyFill="1" applyBorder="1" applyAlignment="1">
      <alignment horizontal="center" vertical="center"/>
    </xf>
    <xf numFmtId="170" fontId="118" fillId="29" borderId="192" xfId="0" applyNumberFormat="1" applyFont="1" applyFill="1" applyBorder="1" applyAlignment="1">
      <alignment horizontal="center" vertical="center" wrapText="1"/>
    </xf>
    <xf numFmtId="169" fontId="118" fillId="29" borderId="192" xfId="96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18" fillId="48" borderId="192" xfId="0" applyNumberFormat="1" applyFont="1" applyFill="1" applyBorder="1" applyAlignment="1">
      <alignment vertical="center"/>
    </xf>
    <xf numFmtId="4" fontId="61" fillId="48" borderId="192" xfId="0" applyNumberFormat="1" applyFont="1" applyFill="1" applyBorder="1" applyAlignment="1">
      <alignment vertical="center"/>
    </xf>
    <xf numFmtId="4" fontId="62" fillId="48" borderId="192" xfId="0" applyNumberFormat="1" applyFont="1" applyFill="1" applyBorder="1" applyAlignment="1">
      <alignment vertical="center"/>
    </xf>
    <xf numFmtId="170" fontId="61" fillId="48" borderId="192" xfId="0" applyNumberFormat="1" applyFont="1" applyFill="1" applyBorder="1" applyAlignment="1">
      <alignment vertical="center"/>
    </xf>
    <xf numFmtId="2" fontId="18" fillId="48" borderId="192" xfId="0" applyNumberFormat="1" applyFont="1" applyFill="1" applyBorder="1" applyAlignment="1">
      <alignment vertical="center"/>
    </xf>
    <xf numFmtId="4" fontId="14" fillId="0" borderId="0" xfId="79" applyNumberFormat="1" applyFont="1"/>
    <xf numFmtId="178" fontId="14" fillId="0" borderId="0" xfId="0" applyNumberFormat="1" applyFont="1" applyProtection="1"/>
    <xf numFmtId="0" fontId="61" fillId="0" borderId="290" xfId="0" applyFont="1" applyBorder="1" applyAlignment="1" applyProtection="1">
      <alignment vertical="center" wrapText="1"/>
    </xf>
    <xf numFmtId="2" fontId="17" fillId="0" borderId="38" xfId="0" applyNumberFormat="1" applyFont="1" applyFill="1" applyBorder="1" applyAlignment="1">
      <alignment vertical="center"/>
    </xf>
    <xf numFmtId="2" fontId="83" fillId="0" borderId="38" xfId="0" applyNumberFormat="1" applyFont="1" applyFill="1" applyBorder="1" applyAlignment="1">
      <alignment vertical="center"/>
    </xf>
    <xf numFmtId="4" fontId="61" fillId="0" borderId="290" xfId="0" applyNumberFormat="1" applyFont="1" applyFill="1" applyBorder="1" applyAlignment="1">
      <alignment vertical="center"/>
    </xf>
    <xf numFmtId="178" fontId="61" fillId="0" borderId="290" xfId="0" applyNumberFormat="1" applyFont="1" applyFill="1" applyBorder="1" applyAlignment="1">
      <alignment vertical="center"/>
    </xf>
    <xf numFmtId="178" fontId="97" fillId="0" borderId="290" xfId="0" applyNumberFormat="1" applyFont="1" applyFill="1" applyBorder="1" applyAlignment="1">
      <alignment vertical="center"/>
    </xf>
    <xf numFmtId="178" fontId="62" fillId="0" borderId="290" xfId="0" applyNumberFormat="1" applyFont="1" applyFill="1" applyBorder="1" applyAlignment="1">
      <alignment vertical="center"/>
    </xf>
    <xf numFmtId="4" fontId="97" fillId="0" borderId="290" xfId="0" applyNumberFormat="1" applyFont="1" applyFill="1" applyBorder="1" applyAlignment="1">
      <alignment vertical="center"/>
    </xf>
    <xf numFmtId="4" fontId="62" fillId="0" borderId="290" xfId="0" applyNumberFormat="1" applyFont="1" applyFill="1" applyBorder="1" applyAlignment="1">
      <alignment vertical="center"/>
    </xf>
    <xf numFmtId="4" fontId="97" fillId="0" borderId="290" xfId="0" applyNumberFormat="1" applyFont="1" applyFill="1" applyBorder="1" applyAlignment="1" applyProtection="1">
      <alignment vertical="center"/>
    </xf>
    <xf numFmtId="4" fontId="89" fillId="0" borderId="290" xfId="0" applyNumberFormat="1" applyFont="1" applyFill="1" applyBorder="1" applyAlignment="1">
      <alignment vertical="center"/>
    </xf>
    <xf numFmtId="4" fontId="170" fillId="0" borderId="290" xfId="0" applyNumberFormat="1" applyFont="1" applyFill="1" applyBorder="1" applyAlignment="1">
      <alignment vertical="center"/>
    </xf>
    <xf numFmtId="4" fontId="61" fillId="0" borderId="290" xfId="0" applyNumberFormat="1" applyFont="1" applyFill="1" applyBorder="1" applyAlignment="1" applyProtection="1">
      <alignment vertical="center"/>
    </xf>
    <xf numFmtId="4" fontId="62" fillId="0" borderId="290" xfId="0" applyNumberFormat="1" applyFont="1" applyFill="1" applyBorder="1" applyAlignment="1" applyProtection="1">
      <alignment vertical="center"/>
    </xf>
    <xf numFmtId="178" fontId="18" fillId="0" borderId="290" xfId="0" applyNumberFormat="1" applyFont="1" applyFill="1" applyBorder="1" applyAlignment="1" applyProtection="1">
      <alignment vertical="center"/>
    </xf>
    <xf numFmtId="178" fontId="89" fillId="0" borderId="290" xfId="0" applyNumberFormat="1" applyFont="1" applyFill="1" applyBorder="1" applyAlignment="1" applyProtection="1">
      <alignment vertical="center"/>
    </xf>
    <xf numFmtId="178" fontId="61" fillId="0" borderId="290" xfId="0" applyNumberFormat="1" applyFont="1" applyFill="1" applyBorder="1" applyAlignment="1" applyProtection="1">
      <alignment vertical="center"/>
    </xf>
    <xf numFmtId="178" fontId="97" fillId="0" borderId="290" xfId="0" applyNumberFormat="1" applyFont="1" applyFill="1" applyBorder="1" applyAlignment="1" applyProtection="1">
      <alignment vertical="center"/>
    </xf>
    <xf numFmtId="178" fontId="170" fillId="0" borderId="290" xfId="0" applyNumberFormat="1" applyFont="1" applyFill="1" applyBorder="1" applyAlignment="1" applyProtection="1">
      <alignment vertical="center"/>
    </xf>
    <xf numFmtId="178" fontId="62" fillId="0" borderId="290" xfId="0" applyNumberFormat="1" applyFont="1" applyFill="1" applyBorder="1" applyAlignment="1" applyProtection="1">
      <alignment vertical="center"/>
    </xf>
    <xf numFmtId="178" fontId="61" fillId="0" borderId="290" xfId="0" applyNumberFormat="1" applyFont="1" applyFill="1" applyBorder="1" applyAlignment="1" applyProtection="1">
      <alignment horizontal="right" vertical="center"/>
      <protection locked="0"/>
    </xf>
    <xf numFmtId="4" fontId="61" fillId="0" borderId="290" xfId="0" applyNumberFormat="1" applyFont="1" applyFill="1" applyBorder="1" applyAlignment="1" applyProtection="1">
      <alignment horizontal="right" vertical="center"/>
      <protection locked="0"/>
    </xf>
    <xf numFmtId="4" fontId="89" fillId="0" borderId="290" xfId="0" applyNumberFormat="1" applyFont="1" applyFill="1" applyBorder="1" applyAlignment="1">
      <alignment horizontal="right" vertical="center"/>
    </xf>
    <xf numFmtId="4" fontId="170" fillId="0" borderId="290" xfId="0" applyNumberFormat="1" applyFont="1" applyFill="1" applyBorder="1" applyAlignment="1">
      <alignment horizontal="right" vertical="center"/>
    </xf>
    <xf numFmtId="0" fontId="14" fillId="0" borderId="192" xfId="0" applyFont="1" applyFill="1" applyBorder="1" applyAlignment="1">
      <alignment horizontal="center" vertical="center"/>
    </xf>
    <xf numFmtId="4" fontId="93" fillId="29" borderId="192" xfId="79" applyNumberFormat="1" applyFont="1" applyFill="1" applyBorder="1" applyAlignment="1">
      <alignment horizontal="center" vertical="center"/>
    </xf>
    <xf numFmtId="10" fontId="93" fillId="29" borderId="192" xfId="85" applyNumberFormat="1" applyFont="1" applyFill="1" applyBorder="1" applyAlignment="1">
      <alignment horizontal="center" vertical="center"/>
    </xf>
    <xf numFmtId="178" fontId="93" fillId="29" borderId="192" xfId="79" applyNumberFormat="1" applyFont="1" applyFill="1" applyBorder="1" applyAlignment="1">
      <alignment horizontal="center" vertical="center"/>
    </xf>
    <xf numFmtId="4" fontId="188" fillId="29" borderId="192" xfId="79" applyNumberFormat="1" applyFont="1" applyFill="1" applyBorder="1" applyAlignment="1">
      <alignment horizontal="center" vertical="center"/>
    </xf>
    <xf numFmtId="10" fontId="166" fillId="29" borderId="192" xfId="85" applyNumberFormat="1" applyFont="1" applyFill="1" applyBorder="1" applyAlignment="1">
      <alignment vertical="center"/>
    </xf>
    <xf numFmtId="174" fontId="93" fillId="29" borderId="192" xfId="79" applyNumberFormat="1" applyFont="1" applyFill="1" applyBorder="1" applyAlignment="1">
      <alignment horizontal="center" vertical="center"/>
    </xf>
    <xf numFmtId="0" fontId="90" fillId="29" borderId="0" xfId="79" applyFont="1" applyFill="1"/>
    <xf numFmtId="0" fontId="189" fillId="29" borderId="0" xfId="79" applyFont="1" applyFill="1"/>
    <xf numFmtId="4" fontId="0" fillId="29" borderId="0" xfId="0" applyNumberFormat="1" applyFill="1"/>
    <xf numFmtId="4" fontId="14" fillId="29" borderId="0" xfId="0" applyNumberFormat="1" applyFont="1" applyFill="1"/>
    <xf numFmtId="0" fontId="13" fillId="0" borderId="205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/>
    </xf>
    <xf numFmtId="0" fontId="56" fillId="38" borderId="192" xfId="147" applyFont="1" applyFill="1" applyBorder="1" applyAlignment="1">
      <alignment horizontal="center" vertical="center" wrapText="1"/>
    </xf>
    <xf numFmtId="170" fontId="126" fillId="29" borderId="192" xfId="96" applyNumberFormat="1" applyFont="1" applyFill="1" applyBorder="1" applyAlignment="1">
      <alignment horizontal="center" vertical="center" wrapText="1"/>
    </xf>
    <xf numFmtId="4" fontId="126" fillId="29" borderId="206" xfId="0" applyNumberFormat="1" applyFont="1" applyFill="1" applyBorder="1" applyAlignment="1">
      <alignment horizontal="center" vertical="center"/>
    </xf>
    <xf numFmtId="0" fontId="62" fillId="46" borderId="192" xfId="0" applyFont="1" applyFill="1" applyBorder="1" applyAlignment="1">
      <alignment vertical="center"/>
    </xf>
    <xf numFmtId="0" fontId="18" fillId="46" borderId="192" xfId="0" applyFont="1" applyFill="1" applyBorder="1" applyAlignment="1">
      <alignment vertical="center"/>
    </xf>
    <xf numFmtId="0" fontId="81" fillId="46" borderId="192" xfId="0" applyFont="1" applyFill="1" applyBorder="1" applyAlignment="1">
      <alignment vertical="center"/>
    </xf>
    <xf numFmtId="0" fontId="18" fillId="46" borderId="192" xfId="0" applyFont="1" applyFill="1" applyBorder="1" applyAlignment="1">
      <alignment vertical="center" wrapText="1"/>
    </xf>
    <xf numFmtId="0" fontId="18" fillId="46" borderId="205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13" fillId="0" borderId="0" xfId="0" applyFont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18" fillId="0" borderId="0" xfId="0" applyFont="1" applyFill="1"/>
    <xf numFmtId="0" fontId="14" fillId="0" borderId="192" xfId="0" applyFont="1" applyFill="1" applyBorder="1" applyAlignment="1">
      <alignment vertical="center" wrapText="1"/>
    </xf>
    <xf numFmtId="0" fontId="14" fillId="0" borderId="192" xfId="0" applyFont="1" applyFill="1" applyBorder="1" applyAlignment="1">
      <alignment horizontal="center" vertical="center"/>
    </xf>
    <xf numFmtId="168" fontId="18" fillId="29" borderId="11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top" wrapText="1"/>
    </xf>
    <xf numFmtId="178" fontId="18" fillId="0" borderId="17" xfId="0" applyNumberFormat="1" applyFont="1" applyFill="1" applyBorder="1" applyAlignment="1">
      <alignment horizontal="center" vertical="center"/>
    </xf>
    <xf numFmtId="178" fontId="89" fillId="0" borderId="17" xfId="0" applyNumberFormat="1" applyFont="1" applyFill="1" applyBorder="1" applyAlignment="1">
      <alignment horizontal="center" vertical="center"/>
    </xf>
    <xf numFmtId="0" fontId="82" fillId="0" borderId="1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4" fontId="15" fillId="0" borderId="206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61" fillId="38" borderId="292" xfId="0" applyFont="1" applyFill="1" applyBorder="1" applyAlignment="1">
      <alignment horizontal="center" vertical="center" wrapText="1"/>
    </xf>
    <xf numFmtId="178" fontId="170" fillId="0" borderId="292" xfId="0" applyNumberFormat="1" applyFont="1" applyFill="1" applyBorder="1" applyAlignment="1">
      <alignment horizontal="center" vertical="center"/>
    </xf>
    <xf numFmtId="4" fontId="61" fillId="0" borderId="292" xfId="0" applyNumberFormat="1" applyFont="1" applyFill="1" applyBorder="1" applyAlignment="1">
      <alignment horizontal="right" vertical="center"/>
    </xf>
    <xf numFmtId="4" fontId="61" fillId="29" borderId="292" xfId="0" applyNumberFormat="1" applyFont="1" applyFill="1" applyBorder="1" applyAlignment="1">
      <alignment horizontal="right" vertical="center"/>
    </xf>
    <xf numFmtId="0" fontId="0" fillId="0" borderId="192" xfId="0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0" fontId="14" fillId="0" borderId="192" xfId="0" applyFont="1" applyBorder="1" applyAlignment="1">
      <alignment horizontal="center" vertical="center" wrapText="1"/>
    </xf>
    <xf numFmtId="2" fontId="118" fillId="0" borderId="192" xfId="0" applyNumberFormat="1" applyFont="1" applyFill="1" applyBorder="1"/>
    <xf numFmtId="4" fontId="118" fillId="0" borderId="192" xfId="0" applyNumberFormat="1" applyFont="1" applyFill="1" applyBorder="1"/>
    <xf numFmtId="0" fontId="190" fillId="0" borderId="0" xfId="0" applyFont="1" applyAlignment="1">
      <alignment horizontal="justify" vertical="center"/>
    </xf>
    <xf numFmtId="0" fontId="191" fillId="0" borderId="290" xfId="0" applyFont="1" applyBorder="1" applyAlignment="1">
      <alignment horizontal="center" vertical="center" wrapText="1"/>
    </xf>
    <xf numFmtId="0" fontId="191" fillId="0" borderId="290" xfId="0" applyFont="1" applyBorder="1" applyAlignment="1">
      <alignment horizontal="center" vertical="center"/>
    </xf>
    <xf numFmtId="4" fontId="191" fillId="0" borderId="290" xfId="0" applyNumberFormat="1" applyFont="1" applyBorder="1" applyAlignment="1">
      <alignment horizontal="center" vertical="center"/>
    </xf>
    <xf numFmtId="0" fontId="192" fillId="0" borderId="290" xfId="0" applyFont="1" applyBorder="1" applyAlignment="1">
      <alignment horizontal="center" vertical="center"/>
    </xf>
    <xf numFmtId="4" fontId="192" fillId="0" borderId="290" xfId="0" applyNumberFormat="1" applyFont="1" applyBorder="1" applyAlignment="1">
      <alignment horizontal="center" vertical="center"/>
    </xf>
    <xf numFmtId="0" fontId="191" fillId="0" borderId="290" xfId="0" applyFont="1" applyFill="1" applyBorder="1" applyAlignment="1">
      <alignment horizontal="center" vertical="center" wrapText="1"/>
    </xf>
    <xf numFmtId="0" fontId="192" fillId="0" borderId="0" xfId="0" applyFont="1" applyBorder="1" applyAlignment="1">
      <alignment horizontal="center" vertical="center"/>
    </xf>
    <xf numFmtId="0" fontId="192" fillId="0" borderId="0" xfId="0" applyFont="1" applyBorder="1" applyAlignment="1">
      <alignment horizontal="center" vertical="center" wrapText="1"/>
    </xf>
    <xf numFmtId="4" fontId="192" fillId="0" borderId="0" xfId="0" applyNumberFormat="1" applyFont="1" applyBorder="1" applyAlignment="1">
      <alignment horizontal="center" vertical="center"/>
    </xf>
    <xf numFmtId="4" fontId="93" fillId="0" borderId="192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29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 vertical="center"/>
    </xf>
    <xf numFmtId="0" fontId="61" fillId="0" borderId="0" xfId="0" applyFont="1" applyAlignment="1"/>
    <xf numFmtId="0" fontId="13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 wrapText="1"/>
    </xf>
    <xf numFmtId="0" fontId="13" fillId="38" borderId="193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193" xfId="0" applyFont="1" applyFill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vertical="center"/>
    </xf>
    <xf numFmtId="0" fontId="13" fillId="38" borderId="207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171" fontId="14" fillId="0" borderId="194" xfId="85" applyNumberFormat="1" applyFont="1" applyFill="1" applyBorder="1" applyAlignment="1">
      <alignment vertical="center"/>
    </xf>
    <xf numFmtId="171" fontId="14" fillId="0" borderId="194" xfId="85" applyNumberFormat="1" applyFont="1" applyFill="1" applyBorder="1" applyAlignment="1">
      <alignment vertical="center" wrapText="1"/>
    </xf>
    <xf numFmtId="0" fontId="13" fillId="0" borderId="194" xfId="79" applyFont="1" applyFill="1" applyBorder="1" applyAlignment="1">
      <alignment vertical="center" wrapText="1"/>
    </xf>
    <xf numFmtId="0" fontId="8" fillId="0" borderId="0" xfId="79" applyFont="1" applyFill="1" applyAlignment="1">
      <alignment horizontal="center" vertical="center"/>
    </xf>
    <xf numFmtId="3" fontId="61" fillId="0" borderId="192" xfId="0" applyNumberFormat="1" applyFont="1" applyFill="1" applyBorder="1" applyAlignment="1">
      <alignment horizontal="center" vertical="center"/>
    </xf>
    <xf numFmtId="2" fontId="62" fillId="29" borderId="192" xfId="0" applyNumberFormat="1" applyFont="1" applyFill="1" applyBorder="1" applyAlignment="1">
      <alignment horizontal="center" vertical="center"/>
    </xf>
    <xf numFmtId="2" fontId="62" fillId="0" borderId="192" xfId="0" applyNumberFormat="1" applyFont="1" applyFill="1" applyBorder="1" applyAlignment="1">
      <alignment horizontal="center" vertical="center"/>
    </xf>
    <xf numFmtId="4" fontId="168" fillId="46" borderId="192" xfId="0" applyNumberFormat="1" applyFont="1" applyFill="1" applyBorder="1" applyAlignment="1">
      <alignment horizontal="center" vertical="center"/>
    </xf>
    <xf numFmtId="4" fontId="169" fillId="46" borderId="192" xfId="0" applyNumberFormat="1" applyFont="1" applyFill="1" applyBorder="1" applyAlignment="1">
      <alignment horizontal="center" vertical="center"/>
    </xf>
    <xf numFmtId="4" fontId="168" fillId="46" borderId="192" xfId="0" applyNumberFormat="1" applyFont="1" applyFill="1" applyBorder="1" applyAlignment="1">
      <alignment vertical="center"/>
    </xf>
    <xf numFmtId="4" fontId="181" fillId="46" borderId="192" xfId="0" applyNumberFormat="1" applyFont="1" applyFill="1" applyBorder="1" applyAlignment="1">
      <alignment vertical="center"/>
    </xf>
    <xf numFmtId="0" fontId="19" fillId="0" borderId="199" xfId="0" applyFont="1" applyBorder="1" applyAlignment="1">
      <alignment horizontal="center" vertical="center" wrapText="1"/>
    </xf>
    <xf numFmtId="10" fontId="181" fillId="46" borderId="192" xfId="85" applyNumberFormat="1" applyFont="1" applyFill="1" applyBorder="1" applyAlignment="1">
      <alignment horizontal="center" vertical="center"/>
    </xf>
    <xf numFmtId="4" fontId="193" fillId="46" borderId="192" xfId="0" applyNumberFormat="1" applyFont="1" applyFill="1" applyBorder="1" applyAlignment="1">
      <alignment horizontal="center" vertical="center"/>
    </xf>
    <xf numFmtId="0" fontId="13" fillId="0" borderId="192" xfId="0" applyFont="1" applyBorder="1"/>
    <xf numFmtId="2" fontId="93" fillId="0" borderId="192" xfId="0" applyNumberFormat="1" applyFont="1" applyFill="1" applyBorder="1" applyAlignment="1">
      <alignment horizontal="right" vertical="center"/>
    </xf>
    <xf numFmtId="4" fontId="166" fillId="0" borderId="192" xfId="0" applyNumberFormat="1" applyFont="1" applyFill="1" applyBorder="1"/>
    <xf numFmtId="178" fontId="166" fillId="0" borderId="192" xfId="0" applyNumberFormat="1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right"/>
    </xf>
    <xf numFmtId="4" fontId="14" fillId="29" borderId="192" xfId="79" applyNumberFormat="1" applyFont="1" applyFill="1" applyBorder="1" applyAlignment="1">
      <alignment horizontal="right" vertical="center"/>
    </xf>
    <xf numFmtId="168" fontId="14" fillId="29" borderId="192" xfId="0" applyNumberFormat="1" applyFont="1" applyFill="1" applyBorder="1" applyAlignment="1">
      <alignment horizontal="right"/>
    </xf>
    <xf numFmtId="2" fontId="14" fillId="29" borderId="192" xfId="0" applyNumberFormat="1" applyFont="1" applyFill="1" applyBorder="1" applyAlignment="1">
      <alignment horizontal="right"/>
    </xf>
    <xf numFmtId="4" fontId="14" fillId="29" borderId="192" xfId="0" applyNumberFormat="1" applyFont="1" applyFill="1" applyBorder="1" applyAlignment="1">
      <alignment horizontal="right"/>
    </xf>
    <xf numFmtId="169" fontId="14" fillId="0" borderId="192" xfId="0" applyNumberFormat="1" applyFont="1" applyFill="1" applyBorder="1" applyAlignment="1">
      <alignment vertical="center"/>
    </xf>
    <xf numFmtId="4" fontId="13" fillId="29" borderId="192" xfId="85" applyNumberFormat="1" applyFont="1" applyFill="1" applyBorder="1" applyAlignment="1">
      <alignment horizontal="center" vertical="center"/>
    </xf>
    <xf numFmtId="0" fontId="191" fillId="0" borderId="257" xfId="0" applyFont="1" applyFill="1" applyBorder="1" applyAlignment="1">
      <alignment horizontal="center" vertical="center" wrapText="1"/>
    </xf>
    <xf numFmtId="0" fontId="191" fillId="0" borderId="257" xfId="0" applyFont="1" applyBorder="1" applyAlignment="1">
      <alignment horizontal="center" vertical="center" wrapText="1"/>
    </xf>
    <xf numFmtId="0" fontId="191" fillId="0" borderId="257" xfId="0" applyFont="1" applyBorder="1" applyAlignment="1">
      <alignment horizontal="center" vertical="center"/>
    </xf>
    <xf numFmtId="4" fontId="191" fillId="0" borderId="257" xfId="0" applyNumberFormat="1" applyFont="1" applyBorder="1" applyAlignment="1">
      <alignment horizontal="center" vertical="center"/>
    </xf>
    <xf numFmtId="0" fontId="192" fillId="0" borderId="257" xfId="0" applyFont="1" applyBorder="1" applyAlignment="1">
      <alignment horizontal="center" vertical="center"/>
    </xf>
    <xf numFmtId="4" fontId="192" fillId="0" borderId="257" xfId="0" applyNumberFormat="1" applyFont="1" applyBorder="1" applyAlignment="1">
      <alignment horizontal="center" vertical="center"/>
    </xf>
    <xf numFmtId="0" fontId="187" fillId="0" borderId="0" xfId="150" applyFont="1" applyFill="1"/>
    <xf numFmtId="0" fontId="61" fillId="38" borderId="192" xfId="0" applyFont="1" applyFill="1" applyBorder="1" applyAlignment="1">
      <alignment horizontal="center" vertical="center" wrapText="1"/>
    </xf>
    <xf numFmtId="4" fontId="81" fillId="0" borderId="192" xfId="0" applyNumberFormat="1" applyFont="1" applyFill="1" applyBorder="1" applyAlignment="1">
      <alignment horizontal="center" vertical="center"/>
    </xf>
    <xf numFmtId="2" fontId="169" fillId="46" borderId="192" xfId="0" applyNumberFormat="1" applyFont="1" applyFill="1" applyBorder="1" applyAlignment="1">
      <alignment horizontal="center" vertical="center"/>
    </xf>
    <xf numFmtId="170" fontId="169" fillId="46" borderId="192" xfId="0" applyNumberFormat="1" applyFont="1" applyFill="1" applyBorder="1" applyAlignment="1">
      <alignment horizontal="center" vertical="center"/>
    </xf>
    <xf numFmtId="4" fontId="169" fillId="46" borderId="205" xfId="0" applyNumberFormat="1" applyFont="1" applyFill="1" applyBorder="1" applyAlignment="1">
      <alignment horizontal="center" vertical="center"/>
    </xf>
    <xf numFmtId="4" fontId="169" fillId="46" borderId="257" xfId="0" applyNumberFormat="1" applyFont="1" applyFill="1" applyBorder="1" applyAlignment="1">
      <alignment horizontal="center" vertical="center"/>
    </xf>
    <xf numFmtId="4" fontId="181" fillId="46" borderId="257" xfId="0" applyNumberFormat="1" applyFont="1" applyFill="1" applyBorder="1" applyAlignment="1">
      <alignment horizontal="center" vertical="center"/>
    </xf>
    <xf numFmtId="178" fontId="169" fillId="46" borderId="257" xfId="0" applyNumberFormat="1" applyFont="1" applyFill="1" applyBorder="1" applyAlignment="1">
      <alignment horizontal="center" vertical="center"/>
    </xf>
    <xf numFmtId="178" fontId="181" fillId="46" borderId="257" xfId="0" applyNumberFormat="1" applyFont="1" applyFill="1" applyBorder="1" applyAlignment="1">
      <alignment horizontal="center" vertical="center"/>
    </xf>
    <xf numFmtId="4" fontId="169" fillId="46" borderId="192" xfId="0" applyNumberFormat="1" applyFont="1" applyFill="1" applyBorder="1" applyAlignment="1">
      <alignment vertical="center"/>
    </xf>
    <xf numFmtId="2" fontId="169" fillId="46" borderId="192" xfId="0" applyNumberFormat="1" applyFont="1" applyFill="1" applyBorder="1" applyAlignment="1">
      <alignment vertical="center"/>
    </xf>
    <xf numFmtId="0" fontId="93" fillId="46" borderId="0" xfId="0" applyFont="1" applyFill="1" applyAlignment="1">
      <alignment vertical="center"/>
    </xf>
    <xf numFmtId="0" fontId="194" fillId="46" borderId="0" xfId="0" applyFont="1" applyFill="1" applyAlignment="1">
      <alignment vertical="center"/>
    </xf>
    <xf numFmtId="4" fontId="168" fillId="46" borderId="0" xfId="0" applyNumberFormat="1" applyFont="1" applyFill="1" applyBorder="1" applyAlignment="1">
      <alignment horizontal="center" vertical="center"/>
    </xf>
    <xf numFmtId="4" fontId="169" fillId="46" borderId="0" xfId="0" applyNumberFormat="1" applyFont="1" applyFill="1" applyBorder="1" applyAlignment="1">
      <alignment horizontal="center" vertical="center"/>
    </xf>
    <xf numFmtId="4" fontId="168" fillId="46" borderId="0" xfId="0" applyNumberFormat="1" applyFont="1" applyFill="1" applyAlignment="1">
      <alignment vertical="center"/>
    </xf>
    <xf numFmtId="170" fontId="168" fillId="46" borderId="0" xfId="0" applyNumberFormat="1" applyFont="1" applyFill="1" applyAlignment="1">
      <alignment vertical="center"/>
    </xf>
    <xf numFmtId="0" fontId="194" fillId="46" borderId="0" xfId="0" applyFont="1" applyFill="1"/>
    <xf numFmtId="0" fontId="168" fillId="46" borderId="0" xfId="0" applyFont="1" applyFill="1" applyAlignment="1">
      <alignment vertical="center"/>
    </xf>
    <xf numFmtId="4" fontId="169" fillId="46" borderId="0" xfId="0" applyNumberFormat="1" applyFont="1" applyFill="1" applyAlignment="1">
      <alignment vertical="center"/>
    </xf>
    <xf numFmtId="0" fontId="93" fillId="46" borderId="0" xfId="0" applyFont="1" applyFill="1"/>
    <xf numFmtId="2" fontId="168" fillId="46" borderId="0" xfId="0" applyNumberFormat="1" applyFont="1" applyFill="1"/>
    <xf numFmtId="4" fontId="169" fillId="46" borderId="0" xfId="0" applyNumberFormat="1" applyFont="1" applyFill="1"/>
    <xf numFmtId="0" fontId="61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/>
    </xf>
    <xf numFmtId="0" fontId="61" fillId="38" borderId="192" xfId="0" applyFont="1" applyFill="1" applyBorder="1" applyAlignment="1">
      <alignment horizontal="center" vertical="center" wrapText="1"/>
    </xf>
    <xf numFmtId="0" fontId="13" fillId="0" borderId="205" xfId="0" applyFont="1" applyFill="1" applyBorder="1" applyAlignment="1">
      <alignment horizontal="center" vertical="center"/>
    </xf>
    <xf numFmtId="4" fontId="81" fillId="0" borderId="192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0" fontId="82" fillId="0" borderId="0" xfId="0" applyFont="1" applyAlignment="1">
      <alignment horizontal="right" vertical="center"/>
    </xf>
    <xf numFmtId="4" fontId="18" fillId="0" borderId="0" xfId="0" applyNumberFormat="1" applyFont="1" applyFill="1" applyBorder="1" applyAlignment="1">
      <alignment horizontal="right" vertical="center"/>
    </xf>
    <xf numFmtId="4" fontId="61" fillId="0" borderId="0" xfId="0" applyNumberFormat="1" applyFont="1" applyFill="1" applyAlignment="1">
      <alignment horizontal="right" vertical="center"/>
    </xf>
    <xf numFmtId="0" fontId="61" fillId="0" borderId="0" xfId="0" applyFont="1" applyFill="1" applyAlignment="1">
      <alignment horizontal="right" vertical="center"/>
    </xf>
    <xf numFmtId="170" fontId="61" fillId="0" borderId="0" xfId="0" applyNumberFormat="1" applyFont="1" applyFill="1" applyAlignment="1">
      <alignment horizontal="right" vertical="center"/>
    </xf>
    <xf numFmtId="4" fontId="169" fillId="0" borderId="206" xfId="0" applyNumberFormat="1" applyFont="1" applyFill="1" applyBorder="1" applyAlignment="1">
      <alignment horizontal="center" vertical="center" wrapText="1"/>
    </xf>
    <xf numFmtId="171" fontId="168" fillId="0" borderId="192" xfId="85" applyNumberFormat="1" applyFont="1" applyFill="1" applyBorder="1" applyAlignment="1">
      <alignment horizontal="center" vertical="center"/>
    </xf>
    <xf numFmtId="4" fontId="193" fillId="0" borderId="192" xfId="0" applyNumberFormat="1" applyFont="1" applyFill="1" applyBorder="1" applyAlignment="1">
      <alignment horizontal="center" vertical="center"/>
    </xf>
    <xf numFmtId="4" fontId="169" fillId="0" borderId="192" xfId="0" applyNumberFormat="1" applyFont="1" applyFill="1" applyBorder="1" applyAlignment="1">
      <alignment horizontal="center" vertical="center" wrapText="1"/>
    </xf>
    <xf numFmtId="170" fontId="169" fillId="0" borderId="192" xfId="0" applyNumberFormat="1" applyFont="1" applyFill="1" applyBorder="1" applyAlignment="1">
      <alignment horizontal="center" vertical="center"/>
    </xf>
    <xf numFmtId="4" fontId="169" fillId="0" borderId="205" xfId="0" applyNumberFormat="1" applyFont="1" applyFill="1" applyBorder="1" applyAlignment="1">
      <alignment horizontal="center" vertical="center"/>
    </xf>
    <xf numFmtId="4" fontId="169" fillId="0" borderId="257" xfId="0" applyNumberFormat="1" applyFont="1" applyFill="1" applyBorder="1" applyAlignment="1">
      <alignment horizontal="center" vertical="center"/>
    </xf>
    <xf numFmtId="4" fontId="181" fillId="0" borderId="257" xfId="0" applyNumberFormat="1" applyFont="1" applyFill="1" applyBorder="1" applyAlignment="1">
      <alignment horizontal="center" vertical="center"/>
    </xf>
    <xf numFmtId="0" fontId="14" fillId="38" borderId="192" xfId="96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4" fontId="166" fillId="0" borderId="192" xfId="96" applyNumberFormat="1" applyFont="1" applyFill="1" applyBorder="1" applyAlignment="1">
      <alignment horizontal="center" vertical="center" wrapText="1"/>
    </xf>
    <xf numFmtId="178" fontId="166" fillId="0" borderId="192" xfId="96" applyNumberFormat="1" applyFont="1" applyFill="1" applyBorder="1" applyAlignment="1">
      <alignment horizontal="center" vertical="center" wrapText="1"/>
    </xf>
    <xf numFmtId="3" fontId="166" fillId="0" borderId="192" xfId="96" applyNumberFormat="1" applyFont="1" applyFill="1" applyBorder="1" applyAlignment="1">
      <alignment horizontal="center" vertical="center" wrapText="1"/>
    </xf>
    <xf numFmtId="4" fontId="93" fillId="0" borderId="192" xfId="96" applyNumberFormat="1" applyFont="1" applyFill="1" applyBorder="1" applyAlignment="1">
      <alignment horizontal="center" vertical="center" wrapText="1"/>
    </xf>
    <xf numFmtId="4" fontId="182" fillId="0" borderId="192" xfId="96" applyNumberFormat="1" applyFont="1" applyFill="1" applyBorder="1" applyAlignment="1">
      <alignment horizontal="center" vertical="center" wrapText="1"/>
    </xf>
    <xf numFmtId="2" fontId="166" fillId="0" borderId="192" xfId="96" applyNumberFormat="1" applyFont="1" applyFill="1" applyBorder="1" applyAlignment="1">
      <alignment horizontal="center" vertical="center"/>
    </xf>
    <xf numFmtId="170" fontId="93" fillId="0" borderId="192" xfId="0" applyNumberFormat="1" applyFont="1" applyFill="1" applyBorder="1" applyAlignment="1">
      <alignment horizontal="center" vertical="center" wrapText="1"/>
    </xf>
    <xf numFmtId="4" fontId="195" fillId="0" borderId="192" xfId="0" applyNumberFormat="1" applyFont="1" applyFill="1" applyBorder="1" applyAlignment="1">
      <alignment horizontal="center" vertical="center" wrapText="1"/>
    </xf>
    <xf numFmtId="170" fontId="93" fillId="0" borderId="192" xfId="96" applyNumberFormat="1" applyFont="1" applyFill="1" applyBorder="1" applyAlignment="1">
      <alignment horizontal="center" vertical="center" wrapText="1"/>
    </xf>
    <xf numFmtId="0" fontId="93" fillId="0" borderId="192" xfId="96" applyFont="1" applyFill="1" applyBorder="1"/>
    <xf numFmtId="2" fontId="93" fillId="0" borderId="192" xfId="96" applyNumberFormat="1" applyFont="1" applyFill="1" applyBorder="1" applyAlignment="1">
      <alignment horizontal="center"/>
    </xf>
    <xf numFmtId="169" fontId="93" fillId="0" borderId="192" xfId="96" applyNumberFormat="1" applyFont="1" applyFill="1" applyBorder="1" applyAlignment="1">
      <alignment horizontal="center"/>
    </xf>
    <xf numFmtId="169" fontId="93" fillId="0" borderId="192" xfId="96" applyNumberFormat="1" applyFont="1" applyFill="1" applyBorder="1" applyAlignment="1">
      <alignment horizontal="center" vertical="center"/>
    </xf>
    <xf numFmtId="0" fontId="15" fillId="0" borderId="192" xfId="96" applyFont="1" applyFill="1" applyBorder="1" applyAlignment="1">
      <alignment horizontal="left" vertical="top" wrapText="1" indent="3"/>
    </xf>
    <xf numFmtId="4" fontId="166" fillId="0" borderId="206" xfId="96" applyNumberFormat="1" applyFont="1" applyFill="1" applyBorder="1" applyAlignment="1">
      <alignment horizontal="center" vertical="center" wrapText="1"/>
    </xf>
    <xf numFmtId="4" fontId="135" fillId="0" borderId="192" xfId="96" applyNumberFormat="1" applyFont="1" applyFill="1" applyBorder="1" applyAlignment="1">
      <alignment horizontal="center" vertical="center" wrapText="1"/>
    </xf>
    <xf numFmtId="2" fontId="166" fillId="0" borderId="192" xfId="96" applyNumberFormat="1" applyFont="1" applyFill="1" applyBorder="1" applyAlignment="1">
      <alignment vertical="center"/>
    </xf>
    <xf numFmtId="4" fontId="196" fillId="0" borderId="192" xfId="0" applyNumberFormat="1" applyFont="1" applyFill="1" applyBorder="1" applyAlignment="1">
      <alignment horizontal="center" vertical="center" wrapText="1"/>
    </xf>
    <xf numFmtId="4" fontId="93" fillId="0" borderId="192" xfId="96" applyNumberFormat="1" applyFont="1" applyFill="1" applyBorder="1" applyAlignment="1">
      <alignment horizontal="center"/>
    </xf>
    <xf numFmtId="0" fontId="93" fillId="0" borderId="192" xfId="96" applyFont="1" applyFill="1" applyBorder="1" applyAlignment="1">
      <alignment horizontal="center"/>
    </xf>
    <xf numFmtId="0" fontId="14" fillId="38" borderId="206" xfId="0" applyFont="1" applyFill="1" applyBorder="1" applyAlignment="1">
      <alignment horizontal="center" vertical="center"/>
    </xf>
    <xf numFmtId="0" fontId="61" fillId="0" borderId="0" xfId="0" applyFont="1" applyAlignment="1"/>
    <xf numFmtId="0" fontId="61" fillId="38" borderId="192" xfId="0" applyFont="1" applyFill="1" applyBorder="1" applyAlignment="1">
      <alignment horizontal="center" vertical="center" wrapText="1"/>
    </xf>
    <xf numFmtId="0" fontId="61" fillId="38" borderId="193" xfId="0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4" fillId="38" borderId="192" xfId="96" applyFont="1" applyFill="1" applyBorder="1" applyAlignment="1">
      <alignment horizontal="center" vertical="center" wrapText="1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vertical="center" wrapText="1"/>
    </xf>
    <xf numFmtId="0" fontId="14" fillId="38" borderId="205" xfId="0" applyFont="1" applyFill="1" applyBorder="1" applyAlignment="1">
      <alignment horizontal="center" vertical="center" wrapText="1"/>
    </xf>
    <xf numFmtId="0" fontId="14" fillId="38" borderId="207" xfId="0" applyFont="1" applyFill="1" applyBorder="1" applyAlignment="1">
      <alignment horizontal="center" vertical="center"/>
    </xf>
    <xf numFmtId="0" fontId="14" fillId="38" borderId="206" xfId="0" applyFont="1" applyFill="1" applyBorder="1" applyAlignment="1">
      <alignment horizontal="center" vertical="center" wrapText="1"/>
    </xf>
    <xf numFmtId="0" fontId="13" fillId="0" borderId="205" xfId="0" applyFont="1" applyFill="1" applyBorder="1" applyAlignment="1">
      <alignment horizontal="center" vertical="center"/>
    </xf>
    <xf numFmtId="4" fontId="13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4" fontId="15" fillId="0" borderId="205" xfId="0" applyNumberFormat="1" applyFont="1" applyFill="1" applyBorder="1" applyAlignment="1">
      <alignment horizontal="center" vertical="center"/>
    </xf>
    <xf numFmtId="4" fontId="169" fillId="0" borderId="215" xfId="0" applyNumberFormat="1" applyFont="1" applyFill="1" applyBorder="1" applyAlignment="1">
      <alignment horizontal="center" vertical="center" wrapText="1"/>
    </xf>
    <xf numFmtId="4" fontId="168" fillId="0" borderId="193" xfId="0" applyNumberFormat="1" applyFont="1" applyFill="1" applyBorder="1" applyAlignment="1">
      <alignment horizontal="center" vertical="center"/>
    </xf>
    <xf numFmtId="10" fontId="181" fillId="0" borderId="193" xfId="85" applyNumberFormat="1" applyFont="1" applyFill="1" applyBorder="1" applyAlignment="1">
      <alignment horizontal="center" vertical="center"/>
    </xf>
    <xf numFmtId="4" fontId="169" fillId="0" borderId="193" xfId="0" applyNumberFormat="1" applyFont="1" applyFill="1" applyBorder="1" applyAlignment="1">
      <alignment horizontal="center" vertical="center"/>
    </xf>
    <xf numFmtId="2" fontId="168" fillId="0" borderId="193" xfId="0" applyNumberFormat="1" applyFont="1" applyFill="1" applyBorder="1" applyAlignment="1">
      <alignment horizontal="center" vertical="center"/>
    </xf>
    <xf numFmtId="171" fontId="168" fillId="0" borderId="193" xfId="85" applyNumberFormat="1" applyFont="1" applyFill="1" applyBorder="1" applyAlignment="1">
      <alignment horizontal="center" vertical="center"/>
    </xf>
    <xf numFmtId="2" fontId="169" fillId="0" borderId="193" xfId="0" applyNumberFormat="1" applyFont="1" applyFill="1" applyBorder="1" applyAlignment="1">
      <alignment horizontal="center" vertical="center"/>
    </xf>
    <xf numFmtId="178" fontId="193" fillId="0" borderId="193" xfId="0" applyNumberFormat="1" applyFont="1" applyFill="1" applyBorder="1" applyAlignment="1">
      <alignment horizontal="center" vertical="center"/>
    </xf>
    <xf numFmtId="170" fontId="169" fillId="0" borderId="193" xfId="0" applyNumberFormat="1" applyFont="1" applyFill="1" applyBorder="1" applyAlignment="1">
      <alignment horizontal="center" vertical="center"/>
    </xf>
    <xf numFmtId="170" fontId="169" fillId="0" borderId="213" xfId="0" applyNumberFormat="1" applyFont="1" applyFill="1" applyBorder="1" applyAlignment="1">
      <alignment horizontal="center" vertical="center"/>
    </xf>
    <xf numFmtId="4" fontId="169" fillId="0" borderId="213" xfId="0" applyNumberFormat="1" applyFont="1" applyFill="1" applyBorder="1" applyAlignment="1">
      <alignment horizontal="center" vertical="center"/>
    </xf>
    <xf numFmtId="4" fontId="169" fillId="0" borderId="209" xfId="0" applyNumberFormat="1" applyFont="1" applyFill="1" applyBorder="1" applyAlignment="1">
      <alignment horizontal="center" vertical="center"/>
    </xf>
    <xf numFmtId="4" fontId="181" fillId="0" borderId="209" xfId="0" applyNumberFormat="1" applyFont="1" applyFill="1" applyBorder="1" applyAlignment="1">
      <alignment horizontal="center" vertical="center"/>
    </xf>
    <xf numFmtId="178" fontId="169" fillId="0" borderId="209" xfId="0" applyNumberFormat="1" applyFont="1" applyFill="1" applyBorder="1" applyAlignment="1">
      <alignment horizontal="center" vertical="center"/>
    </xf>
    <xf numFmtId="178" fontId="181" fillId="0" borderId="209" xfId="0" applyNumberFormat="1" applyFont="1" applyFill="1" applyBorder="1" applyAlignment="1">
      <alignment horizontal="center" vertical="center"/>
    </xf>
    <xf numFmtId="4" fontId="18" fillId="29" borderId="293" xfId="0" applyNumberFormat="1" applyFont="1" applyFill="1" applyBorder="1" applyAlignment="1">
      <alignment horizontal="center" vertical="center"/>
    </xf>
    <xf numFmtId="4" fontId="62" fillId="29" borderId="293" xfId="0" applyNumberFormat="1" applyFont="1" applyFill="1" applyBorder="1" applyAlignment="1">
      <alignment horizontal="center" vertical="center"/>
    </xf>
    <xf numFmtId="0" fontId="14" fillId="38" borderId="215" xfId="0" applyFont="1" applyFill="1" applyBorder="1" applyAlignment="1">
      <alignment horizontal="center" vertical="center"/>
    </xf>
    <xf numFmtId="0" fontId="14" fillId="38" borderId="208" xfId="0" applyFont="1" applyFill="1" applyBorder="1" applyAlignment="1">
      <alignment horizontal="center" vertical="center"/>
    </xf>
    <xf numFmtId="0" fontId="14" fillId="38" borderId="216" xfId="0" applyFont="1" applyFill="1" applyBorder="1" applyAlignment="1">
      <alignment horizontal="center" vertical="center"/>
    </xf>
    <xf numFmtId="170" fontId="18" fillId="29" borderId="205" xfId="0" applyNumberFormat="1" applyFont="1" applyFill="1" applyBorder="1" applyAlignment="1">
      <alignment horizontal="center" vertical="center"/>
    </xf>
    <xf numFmtId="169" fontId="14" fillId="0" borderId="205" xfId="0" applyNumberFormat="1" applyFont="1" applyFill="1" applyBorder="1" applyAlignment="1">
      <alignment horizontal="center" vertical="center"/>
    </xf>
    <xf numFmtId="169" fontId="15" fillId="0" borderId="205" xfId="0" applyNumberFormat="1" applyFont="1" applyFill="1" applyBorder="1" applyAlignment="1">
      <alignment horizontal="center" vertical="center"/>
    </xf>
    <xf numFmtId="4" fontId="14" fillId="0" borderId="205" xfId="0" applyNumberFormat="1" applyFont="1" applyFill="1" applyBorder="1" applyAlignment="1">
      <alignment horizontal="center" vertical="center"/>
    </xf>
    <xf numFmtId="4" fontId="59" fillId="0" borderId="205" xfId="0" applyNumberFormat="1" applyFont="1" applyFill="1" applyBorder="1" applyAlignment="1">
      <alignment horizontal="center" vertical="center"/>
    </xf>
    <xf numFmtId="4" fontId="61" fillId="0" borderId="205" xfId="0" applyNumberFormat="1" applyFont="1" applyFill="1" applyBorder="1" applyAlignment="1">
      <alignment horizontal="center" vertical="center"/>
    </xf>
    <xf numFmtId="171" fontId="62" fillId="0" borderId="205" xfId="85" applyNumberFormat="1" applyFont="1" applyFill="1" applyBorder="1" applyAlignment="1">
      <alignment horizontal="center" vertical="center"/>
    </xf>
    <xf numFmtId="4" fontId="61" fillId="0" borderId="205" xfId="0" applyNumberFormat="1" applyFont="1" applyFill="1" applyBorder="1" applyAlignment="1">
      <alignment horizontal="center" vertical="center" wrapText="1"/>
    </xf>
    <xf numFmtId="171" fontId="61" fillId="0" borderId="205" xfId="0" applyNumberFormat="1" applyFont="1" applyFill="1" applyBorder="1" applyAlignment="1">
      <alignment horizontal="center" vertical="center" wrapText="1"/>
    </xf>
    <xf numFmtId="171" fontId="62" fillId="0" borderId="205" xfId="0" applyNumberFormat="1" applyFont="1" applyFill="1" applyBorder="1" applyAlignment="1">
      <alignment horizontal="center" vertical="center" wrapText="1"/>
    </xf>
    <xf numFmtId="170" fontId="61" fillId="0" borderId="205" xfId="0" applyNumberFormat="1" applyFont="1" applyFill="1" applyBorder="1" applyAlignment="1">
      <alignment horizontal="center" vertical="center"/>
    </xf>
    <xf numFmtId="4" fontId="61" fillId="29" borderId="205" xfId="0" applyNumberFormat="1" applyFont="1" applyFill="1" applyBorder="1" applyAlignment="1">
      <alignment horizontal="center" vertical="center"/>
    </xf>
    <xf numFmtId="170" fontId="61" fillId="29" borderId="205" xfId="0" applyNumberFormat="1" applyFont="1" applyFill="1" applyBorder="1" applyAlignment="1">
      <alignment horizontal="center" vertical="center"/>
    </xf>
    <xf numFmtId="4" fontId="168" fillId="0" borderId="205" xfId="0" applyNumberFormat="1" applyFont="1" applyFill="1" applyBorder="1" applyAlignment="1">
      <alignment horizontal="center" vertical="center"/>
    </xf>
    <xf numFmtId="170" fontId="168" fillId="0" borderId="213" xfId="0" applyNumberFormat="1" applyFont="1" applyFill="1" applyBorder="1" applyAlignment="1">
      <alignment horizontal="center" vertical="center"/>
    </xf>
    <xf numFmtId="0" fontId="197" fillId="0" borderId="192" xfId="0" applyFont="1" applyFill="1" applyBorder="1" applyAlignment="1">
      <alignment vertical="center"/>
    </xf>
    <xf numFmtId="0" fontId="197" fillId="0" borderId="192" xfId="0" applyFont="1" applyFill="1" applyBorder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257" xfId="0" applyFont="1" applyBorder="1" applyAlignment="1">
      <alignment horizontal="center"/>
    </xf>
    <xf numFmtId="0" fontId="14" fillId="0" borderId="0" xfId="0" applyFont="1" applyAlignment="1">
      <alignment horizontal="center" wrapText="1"/>
    </xf>
    <xf numFmtId="0" fontId="198" fillId="0" borderId="0" xfId="150" applyFont="1"/>
    <xf numFmtId="4" fontId="14" fillId="0" borderId="0" xfId="0" applyNumberFormat="1" applyFont="1" applyAlignment="1">
      <alignment horizontal="left" vertical="center" wrapText="1"/>
    </xf>
    <xf numFmtId="4" fontId="13" fillId="0" borderId="0" xfId="0" applyNumberFormat="1" applyFont="1" applyAlignment="1">
      <alignment horizontal="left" vertical="center" wrapText="1"/>
    </xf>
    <xf numFmtId="0" fontId="118" fillId="0" borderId="0" xfId="0" applyFont="1" applyAlignment="1">
      <alignment vertical="center"/>
    </xf>
    <xf numFmtId="0" fontId="0" fillId="0" borderId="0" xfId="0" applyFont="1" applyAlignment="1"/>
    <xf numFmtId="0" fontId="14" fillId="0" borderId="257" xfId="0" applyFont="1" applyBorder="1" applyAlignment="1">
      <alignment horizontal="center" vertical="center" wrapText="1"/>
    </xf>
    <xf numFmtId="0" fontId="14" fillId="0" borderId="257" xfId="0" applyFont="1" applyBorder="1" applyAlignment="1">
      <alignment horizontal="center" wrapText="1"/>
    </xf>
    <xf numFmtId="0" fontId="14" fillId="0" borderId="257" xfId="0" applyFont="1" applyBorder="1" applyAlignment="1">
      <alignment vertical="center"/>
    </xf>
    <xf numFmtId="14" fontId="14" fillId="0" borderId="257" xfId="0" applyNumberFormat="1" applyFont="1" applyBorder="1" applyAlignment="1">
      <alignment vertical="center"/>
    </xf>
    <xf numFmtId="0" fontId="14" fillId="0" borderId="257" xfId="0" applyFont="1" applyBorder="1" applyAlignment="1">
      <alignment vertical="center" wrapText="1"/>
    </xf>
    <xf numFmtId="4" fontId="14" fillId="0" borderId="257" xfId="0" applyNumberFormat="1" applyFont="1" applyBorder="1" applyAlignment="1">
      <alignment horizontal="left" vertical="center" wrapText="1"/>
    </xf>
    <xf numFmtId="14" fontId="14" fillId="0" borderId="257" xfId="0" applyNumberFormat="1" applyFont="1" applyBorder="1"/>
    <xf numFmtId="4" fontId="14" fillId="0" borderId="257" xfId="0" applyNumberFormat="1" applyFont="1" applyBorder="1" applyAlignment="1">
      <alignment horizontal="center"/>
    </xf>
    <xf numFmtId="0" fontId="19" fillId="0" borderId="0" xfId="96" applyFont="1" applyAlignment="1">
      <alignment horizontal="right"/>
    </xf>
    <xf numFmtId="0" fontId="59" fillId="0" borderId="0" xfId="96" applyFont="1"/>
    <xf numFmtId="0" fontId="14" fillId="0" borderId="192" xfId="0" applyFont="1" applyFill="1" applyBorder="1" applyAlignment="1">
      <alignment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4" fontId="81" fillId="0" borderId="192" xfId="0" applyNumberFormat="1" applyFont="1" applyFill="1" applyBorder="1" applyAlignment="1">
      <alignment horizontal="center" vertical="center"/>
    </xf>
    <xf numFmtId="0" fontId="61" fillId="46" borderId="192" xfId="0" applyFont="1" applyFill="1" applyBorder="1" applyAlignment="1">
      <alignment vertical="center" wrapText="1"/>
    </xf>
    <xf numFmtId="2" fontId="14" fillId="0" borderId="257" xfId="0" applyNumberFormat="1" applyFont="1" applyBorder="1" applyAlignment="1">
      <alignment vertical="center"/>
    </xf>
    <xf numFmtId="0" fontId="14" fillId="0" borderId="257" xfId="0" applyFont="1" applyBorder="1" applyAlignment="1">
      <alignment horizontal="right" vertical="center"/>
    </xf>
    <xf numFmtId="0" fontId="13" fillId="0" borderId="257" xfId="0" applyFont="1" applyBorder="1" applyAlignment="1">
      <alignment vertical="center" wrapText="1"/>
    </xf>
    <xf numFmtId="0" fontId="13" fillId="0" borderId="257" xfId="0" applyFont="1" applyBorder="1" applyAlignment="1">
      <alignment vertical="center"/>
    </xf>
    <xf numFmtId="2" fontId="13" fillId="0" borderId="257" xfId="0" applyNumberFormat="1" applyFont="1" applyBorder="1" applyAlignment="1">
      <alignment vertical="center"/>
    </xf>
    <xf numFmtId="0" fontId="14" fillId="0" borderId="0" xfId="0" applyFont="1" applyAlignment="1">
      <alignment vertical="top" wrapText="1"/>
    </xf>
    <xf numFmtId="0" fontId="14" fillId="38" borderId="192" xfId="0" applyFont="1" applyFill="1" applyBorder="1" applyAlignment="1">
      <alignment horizontal="center" vertical="center"/>
    </xf>
    <xf numFmtId="0" fontId="13" fillId="29" borderId="192" xfId="0" applyFont="1" applyFill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4" fontId="15" fillId="36" borderId="192" xfId="0" applyNumberFormat="1" applyFont="1" applyFill="1" applyBorder="1" applyAlignment="1">
      <alignment horizontal="right" vertical="center"/>
    </xf>
    <xf numFmtId="4" fontId="15" fillId="38" borderId="192" xfId="0" applyNumberFormat="1" applyFont="1" applyFill="1" applyBorder="1" applyAlignment="1">
      <alignment horizontal="right" vertical="center"/>
    </xf>
    <xf numFmtId="4" fontId="14" fillId="51" borderId="192" xfId="0" applyNumberFormat="1" applyFont="1" applyFill="1" applyBorder="1" applyAlignment="1">
      <alignment horizontal="center" vertical="center"/>
    </xf>
    <xf numFmtId="0" fontId="14" fillId="59" borderId="192" xfId="0" applyFont="1" applyFill="1" applyBorder="1" applyAlignment="1">
      <alignment horizontal="center" vertical="center"/>
    </xf>
    <xf numFmtId="4" fontId="14" fillId="59" borderId="192" xfId="0" applyNumberFormat="1" applyFont="1" applyFill="1" applyBorder="1" applyAlignment="1">
      <alignment horizontal="center" vertical="center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66" fillId="0" borderId="206" xfId="96" applyNumberFormat="1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138" fillId="0" borderId="206" xfId="96" applyNumberFormat="1" applyFont="1" applyFill="1" applyBorder="1" applyAlignment="1">
      <alignment horizontal="center" vertical="center" wrapText="1"/>
    </xf>
    <xf numFmtId="178" fontId="14" fillId="0" borderId="192" xfId="96" applyNumberFormat="1" applyFont="1" applyFill="1" applyBorder="1" applyAlignment="1">
      <alignment horizontal="center" vertical="center" wrapText="1"/>
    </xf>
    <xf numFmtId="0" fontId="14" fillId="0" borderId="192" xfId="96" applyFont="1" applyFill="1" applyBorder="1" applyAlignment="1">
      <alignment horizontal="center" vertical="center" wrapText="1"/>
    </xf>
    <xf numFmtId="178" fontId="14" fillId="0" borderId="193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8" fillId="0" borderId="192" xfId="96" applyNumberFormat="1" applyFont="1" applyFill="1" applyBorder="1" applyAlignment="1">
      <alignment horizontal="center" vertical="center" wrapText="1"/>
    </xf>
    <xf numFmtId="0" fontId="13" fillId="0" borderId="192" xfId="96" applyFont="1" applyFill="1" applyBorder="1" applyAlignment="1">
      <alignment horizontal="center" vertical="center"/>
    </xf>
    <xf numFmtId="0" fontId="137" fillId="0" borderId="192" xfId="96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 wrapText="1"/>
    </xf>
    <xf numFmtId="4" fontId="62" fillId="29" borderId="192" xfId="85" applyNumberFormat="1" applyFont="1" applyFill="1" applyBorder="1" applyAlignment="1">
      <alignment horizontal="center" vertical="center"/>
    </xf>
    <xf numFmtId="0" fontId="0" fillId="0" borderId="0" xfId="79" applyFont="1"/>
    <xf numFmtId="4" fontId="8" fillId="0" borderId="0" xfId="79" applyNumberFormat="1" applyFill="1"/>
    <xf numFmtId="4" fontId="61" fillId="29" borderId="192" xfId="96" applyNumberFormat="1" applyFont="1" applyFill="1" applyBorder="1" applyAlignment="1">
      <alignment horizontal="center" vertical="center" wrapText="1"/>
    </xf>
    <xf numFmtId="170" fontId="61" fillId="29" borderId="192" xfId="0" applyNumberFormat="1" applyFont="1" applyFill="1" applyBorder="1" applyAlignment="1">
      <alignment horizontal="center" vertical="center"/>
    </xf>
    <xf numFmtId="4" fontId="62" fillId="29" borderId="192" xfId="96" applyNumberFormat="1" applyFont="1" applyFill="1" applyBorder="1" applyAlignment="1">
      <alignment horizontal="center" vertical="center" wrapText="1"/>
    </xf>
    <xf numFmtId="10" fontId="61" fillId="29" borderId="192" xfId="0" applyNumberFormat="1" applyFont="1" applyFill="1" applyBorder="1"/>
    <xf numFmtId="0" fontId="14" fillId="0" borderId="0" xfId="77" applyFont="1"/>
    <xf numFmtId="0" fontId="14" fillId="0" borderId="0" xfId="77" applyFont="1" applyAlignment="1">
      <alignment vertical="center"/>
    </xf>
    <xf numFmtId="4" fontId="14" fillId="0" borderId="11" xfId="188" applyNumberFormat="1" applyFont="1" applyBorder="1" applyAlignment="1">
      <alignment vertical="center"/>
    </xf>
    <xf numFmtId="178" fontId="14" fillId="0" borderId="11" xfId="188" applyNumberFormat="1" applyFont="1" applyBorder="1" applyAlignment="1">
      <alignment vertical="center"/>
    </xf>
    <xf numFmtId="178" fontId="15" fillId="0" borderId="11" xfId="188" applyNumberFormat="1" applyFont="1" applyBorder="1" applyAlignment="1">
      <alignment vertical="center"/>
    </xf>
    <xf numFmtId="4" fontId="15" fillId="0" borderId="11" xfId="188" applyNumberFormat="1" applyFont="1" applyBorder="1" applyAlignment="1">
      <alignment vertical="center"/>
    </xf>
    <xf numFmtId="0" fontId="122" fillId="0" borderId="0" xfId="77" applyFont="1" applyAlignment="1">
      <alignment horizontal="center" vertical="center"/>
    </xf>
    <xf numFmtId="0" fontId="13" fillId="0" borderId="0" xfId="77" applyFont="1" applyBorder="1" applyAlignment="1">
      <alignment vertical="center"/>
    </xf>
    <xf numFmtId="0" fontId="14" fillId="0" borderId="0" xfId="77" applyFont="1" applyBorder="1" applyAlignment="1">
      <alignment vertical="center"/>
    </xf>
    <xf numFmtId="0" fontId="14" fillId="0" borderId="0" xfId="77" applyFont="1" applyAlignment="1">
      <alignment horizontal="center" vertical="center"/>
    </xf>
    <xf numFmtId="0" fontId="14" fillId="0" borderId="0" xfId="77" applyFont="1" applyBorder="1" applyAlignment="1">
      <alignment horizontal="center" vertical="center"/>
    </xf>
    <xf numFmtId="0" fontId="20" fillId="0" borderId="0" xfId="77" applyBorder="1" applyAlignment="1">
      <alignment vertical="center" wrapText="1"/>
    </xf>
    <xf numFmtId="0" fontId="14" fillId="0" borderId="0" xfId="77" applyFont="1" applyAlignment="1">
      <alignment vertical="center" wrapText="1"/>
    </xf>
    <xf numFmtId="0" fontId="20" fillId="0" borderId="0" xfId="77" applyBorder="1" applyAlignment="1">
      <alignment horizontal="center" vertical="center" wrapText="1"/>
    </xf>
    <xf numFmtId="0" fontId="14" fillId="0" borderId="0" xfId="77" applyFont="1" applyBorder="1" applyAlignment="1">
      <alignment horizontal="center" vertical="center" wrapText="1"/>
    </xf>
    <xf numFmtId="2" fontId="14" fillId="0" borderId="0" xfId="77" applyNumberFormat="1" applyFont="1" applyBorder="1" applyAlignment="1">
      <alignment horizontal="center" vertical="center" wrapText="1"/>
    </xf>
    <xf numFmtId="2" fontId="13" fillId="0" borderId="0" xfId="77" applyNumberFormat="1" applyFont="1" applyFill="1" applyBorder="1" applyAlignment="1">
      <alignment horizontal="center" vertical="center" wrapText="1"/>
    </xf>
    <xf numFmtId="0" fontId="14" fillId="0" borderId="0" xfId="77" applyFont="1" applyFill="1" applyBorder="1" applyAlignment="1">
      <alignment horizontal="center" vertical="center" wrapText="1"/>
    </xf>
    <xf numFmtId="2" fontId="14" fillId="0" borderId="0" xfId="77" applyNumberFormat="1" applyFont="1" applyFill="1" applyBorder="1" applyAlignment="1">
      <alignment horizontal="center" vertical="center" wrapText="1"/>
    </xf>
    <xf numFmtId="0" fontId="13" fillId="0" borderId="0" xfId="77" applyFont="1" applyBorder="1" applyAlignment="1">
      <alignment vertical="center" wrapText="1"/>
    </xf>
    <xf numFmtId="0" fontId="13" fillId="0" borderId="0" xfId="77" applyFont="1" applyBorder="1" applyAlignment="1">
      <alignment horizontal="center" vertical="center" wrapText="1"/>
    </xf>
    <xf numFmtId="0" fontId="14" fillId="0" borderId="0" xfId="77" applyFont="1" applyFill="1" applyAlignment="1">
      <alignment vertical="center" wrapText="1"/>
    </xf>
    <xf numFmtId="0" fontId="14" fillId="0" borderId="0" xfId="77" applyNumberFormat="1" applyFont="1" applyFill="1" applyBorder="1" applyAlignment="1">
      <alignment horizontal="center"/>
    </xf>
    <xf numFmtId="0" fontId="13" fillId="0" borderId="0" xfId="77" applyFont="1" applyBorder="1" applyAlignment="1">
      <alignment horizontal="center" vertical="center"/>
    </xf>
    <xf numFmtId="2" fontId="13" fillId="0" borderId="0" xfId="77" applyNumberFormat="1" applyFont="1" applyBorder="1" applyAlignment="1">
      <alignment horizontal="center" vertical="center"/>
    </xf>
    <xf numFmtId="0" fontId="20" fillId="0" borderId="0" xfId="77" applyFont="1" applyAlignment="1">
      <alignment vertical="center"/>
    </xf>
    <xf numFmtId="0" fontId="20" fillId="0" borderId="0" xfId="77" applyFont="1"/>
    <xf numFmtId="4" fontId="200" fillId="61" borderId="299" xfId="189" applyNumberFormat="1" applyFont="1" applyFill="1" applyBorder="1" applyProtection="1">
      <protection locked="0" hidden="1"/>
    </xf>
    <xf numFmtId="2" fontId="9" fillId="0" borderId="0" xfId="189" applyNumberFormat="1" applyFont="1" applyProtection="1">
      <protection hidden="1"/>
    </xf>
    <xf numFmtId="4" fontId="9" fillId="0" borderId="0" xfId="189" applyNumberFormat="1" applyFont="1" applyProtection="1">
      <protection hidden="1"/>
    </xf>
    <xf numFmtId="4" fontId="9" fillId="0" borderId="0" xfId="189" applyNumberFormat="1" applyFont="1" applyAlignment="1" applyProtection="1">
      <alignment wrapText="1"/>
      <protection hidden="1"/>
    </xf>
    <xf numFmtId="2" fontId="200" fillId="62" borderId="301" xfId="190" applyNumberFormat="1" applyFont="1" applyFill="1" applyBorder="1" applyProtection="1">
      <protection locked="0" hidden="1"/>
    </xf>
    <xf numFmtId="4" fontId="8" fillId="0" borderId="0" xfId="189" applyNumberFormat="1" applyFont="1" applyProtection="1">
      <protection hidden="1"/>
    </xf>
    <xf numFmtId="4" fontId="8" fillId="0" borderId="0" xfId="189" applyNumberFormat="1" applyFont="1" applyAlignment="1" applyProtection="1">
      <alignment horizontal="right"/>
      <protection hidden="1"/>
    </xf>
    <xf numFmtId="1" fontId="200" fillId="61" borderId="303" xfId="189" applyNumberFormat="1" applyFont="1" applyFill="1" applyBorder="1" applyProtection="1">
      <protection locked="0" hidden="1"/>
    </xf>
    <xf numFmtId="14" fontId="200" fillId="61" borderId="303" xfId="189" applyNumberFormat="1" applyFont="1" applyFill="1" applyBorder="1" applyProtection="1">
      <protection locked="0" hidden="1"/>
    </xf>
    <xf numFmtId="2" fontId="26" fillId="0" borderId="0" xfId="189" applyNumberFormat="1" applyFont="1" applyProtection="1">
      <protection hidden="1"/>
    </xf>
    <xf numFmtId="4" fontId="201" fillId="0" borderId="0" xfId="189" applyNumberFormat="1" applyFont="1" applyProtection="1">
      <protection hidden="1"/>
    </xf>
    <xf numFmtId="4" fontId="200" fillId="0" borderId="0" xfId="189" applyNumberFormat="1" applyFont="1" applyProtection="1">
      <protection hidden="1"/>
    </xf>
    <xf numFmtId="4" fontId="203" fillId="60" borderId="0" xfId="189" applyNumberFormat="1" applyFont="1" applyFill="1" applyAlignment="1" applyProtection="1">
      <alignment horizontal="center" vertical="center" wrapText="1"/>
      <protection hidden="1"/>
    </xf>
    <xf numFmtId="4" fontId="26" fillId="60" borderId="302" xfId="189" applyNumberFormat="1" applyFont="1" applyFill="1" applyBorder="1" applyAlignment="1" applyProtection="1">
      <alignment horizontal="center" vertical="center" wrapText="1"/>
      <protection hidden="1"/>
    </xf>
    <xf numFmtId="4" fontId="26" fillId="60" borderId="309" xfId="189" applyNumberFormat="1" applyFont="1" applyFill="1" applyBorder="1" applyAlignment="1" applyProtection="1">
      <alignment horizontal="center" vertical="center" wrapText="1"/>
      <protection hidden="1"/>
    </xf>
    <xf numFmtId="4" fontId="26" fillId="60" borderId="310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02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09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11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10" xfId="189" applyNumberFormat="1" applyFont="1" applyFill="1" applyBorder="1" applyAlignment="1" applyProtection="1">
      <alignment horizontal="center" vertical="center" wrapText="1"/>
      <protection hidden="1"/>
    </xf>
    <xf numFmtId="1" fontId="200" fillId="60" borderId="304" xfId="189" applyNumberFormat="1" applyFont="1" applyFill="1" applyBorder="1" applyAlignment="1" applyProtection="1">
      <alignment horizontal="center"/>
      <protection hidden="1"/>
    </xf>
    <xf numFmtId="1" fontId="200" fillId="60" borderId="312" xfId="189" applyNumberFormat="1" applyFont="1" applyFill="1" applyBorder="1" applyAlignment="1" applyProtection="1">
      <alignment horizontal="center"/>
      <protection hidden="1"/>
    </xf>
    <xf numFmtId="14" fontId="204" fillId="60" borderId="313" xfId="189" applyNumberFormat="1" applyFont="1" applyFill="1" applyBorder="1" applyAlignment="1" applyProtection="1">
      <alignment horizontal="left"/>
      <protection hidden="1"/>
    </xf>
    <xf numFmtId="4" fontId="200" fillId="60" borderId="314" xfId="189" applyNumberFormat="1" applyFont="1" applyFill="1" applyBorder="1" applyProtection="1">
      <protection hidden="1"/>
    </xf>
    <xf numFmtId="4" fontId="200" fillId="60" borderId="312" xfId="189" applyNumberFormat="1" applyFont="1" applyFill="1" applyBorder="1" applyProtection="1">
      <protection hidden="1"/>
    </xf>
    <xf numFmtId="4" fontId="200" fillId="60" borderId="305" xfId="189" applyNumberFormat="1" applyFont="1" applyFill="1" applyBorder="1" applyProtection="1">
      <protection hidden="1"/>
    </xf>
    <xf numFmtId="4" fontId="204" fillId="60" borderId="312" xfId="189" applyNumberFormat="1" applyFont="1" applyFill="1" applyBorder="1" applyProtection="1">
      <protection hidden="1"/>
    </xf>
    <xf numFmtId="4" fontId="202" fillId="60" borderId="304" xfId="189" applyNumberFormat="1" applyFont="1" applyFill="1" applyBorder="1" applyProtection="1">
      <protection hidden="1"/>
    </xf>
    <xf numFmtId="4" fontId="202" fillId="60" borderId="312" xfId="189" applyNumberFormat="1" applyFont="1" applyFill="1" applyBorder="1" applyProtection="1">
      <protection hidden="1"/>
    </xf>
    <xf numFmtId="178" fontId="202" fillId="60" borderId="305" xfId="189" applyNumberFormat="1" applyFont="1" applyFill="1" applyBorder="1" applyProtection="1">
      <protection hidden="1"/>
    </xf>
    <xf numFmtId="4" fontId="202" fillId="60" borderId="313" xfId="189" applyNumberFormat="1" applyFont="1" applyFill="1" applyBorder="1" applyProtection="1">
      <protection hidden="1"/>
    </xf>
    <xf numFmtId="4" fontId="202" fillId="60" borderId="314" xfId="189" applyNumberFormat="1" applyFont="1" applyFill="1" applyBorder="1" applyProtection="1">
      <protection hidden="1"/>
    </xf>
    <xf numFmtId="4" fontId="202" fillId="60" borderId="0" xfId="189" applyNumberFormat="1" applyFont="1" applyFill="1" applyProtection="1">
      <protection hidden="1"/>
    </xf>
    <xf numFmtId="1" fontId="199" fillId="32" borderId="315" xfId="189" applyNumberFormat="1" applyFill="1" applyBorder="1" applyAlignment="1" applyProtection="1">
      <alignment horizontal="center"/>
      <protection hidden="1"/>
    </xf>
    <xf numFmtId="1" fontId="199" fillId="32" borderId="0" xfId="189" applyNumberFormat="1" applyFill="1" applyAlignment="1" applyProtection="1">
      <alignment horizontal="left"/>
      <protection hidden="1"/>
    </xf>
    <xf numFmtId="14" fontId="199" fillId="32" borderId="301" xfId="189" applyNumberFormat="1" applyFill="1" applyBorder="1" applyAlignment="1" applyProtection="1">
      <alignment horizontal="left"/>
      <protection hidden="1"/>
    </xf>
    <xf numFmtId="4" fontId="199" fillId="32" borderId="316" xfId="189" applyNumberFormat="1" applyFill="1" applyBorder="1" applyAlignment="1" applyProtection="1">
      <alignment horizontal="right"/>
      <protection hidden="1"/>
    </xf>
    <xf numFmtId="4" fontId="199" fillId="32" borderId="317" xfId="189" applyNumberFormat="1" applyFill="1" applyBorder="1" applyAlignment="1" applyProtection="1">
      <alignment horizontal="right"/>
      <protection hidden="1"/>
    </xf>
    <xf numFmtId="4" fontId="199" fillId="32" borderId="318" xfId="189" applyNumberFormat="1" applyFill="1" applyBorder="1" applyAlignment="1" applyProtection="1">
      <alignment horizontal="right"/>
      <protection hidden="1"/>
    </xf>
    <xf numFmtId="4" fontId="205" fillId="32" borderId="315" xfId="189" applyNumberFormat="1" applyFont="1" applyFill="1" applyBorder="1" applyAlignment="1" applyProtection="1">
      <alignment horizontal="right"/>
      <protection hidden="1"/>
    </xf>
    <xf numFmtId="4" fontId="205" fillId="32" borderId="317" xfId="189" applyNumberFormat="1" applyFont="1" applyFill="1" applyBorder="1" applyAlignment="1" applyProtection="1">
      <alignment horizontal="right"/>
      <protection hidden="1"/>
    </xf>
    <xf numFmtId="4" fontId="205" fillId="32" borderId="301" xfId="189" applyNumberFormat="1" applyFont="1" applyFill="1" applyBorder="1" applyAlignment="1" applyProtection="1">
      <alignment horizontal="right"/>
      <protection hidden="1"/>
    </xf>
    <xf numFmtId="4" fontId="205" fillId="63" borderId="316" xfId="189" applyNumberFormat="1" applyFont="1" applyFill="1" applyBorder="1" applyAlignment="1" applyProtection="1">
      <alignment horizontal="right"/>
      <protection locked="0" hidden="1"/>
    </xf>
    <xf numFmtId="4" fontId="205" fillId="63" borderId="301" xfId="189" applyNumberFormat="1" applyFont="1" applyFill="1" applyBorder="1" applyAlignment="1" applyProtection="1">
      <alignment horizontal="right"/>
      <protection locked="0" hidden="1"/>
    </xf>
    <xf numFmtId="4" fontId="205" fillId="63" borderId="0" xfId="189" applyNumberFormat="1" applyFont="1" applyFill="1" applyAlignment="1" applyProtection="1">
      <alignment horizontal="right"/>
      <protection locked="0" hidden="1"/>
    </xf>
    <xf numFmtId="1" fontId="199" fillId="59" borderId="315" xfId="189" applyNumberFormat="1" applyFill="1" applyBorder="1" applyAlignment="1" applyProtection="1">
      <alignment horizontal="center"/>
      <protection hidden="1"/>
    </xf>
    <xf numFmtId="1" fontId="199" fillId="59" borderId="0" xfId="189" applyNumberFormat="1" applyFill="1" applyAlignment="1" applyProtection="1">
      <alignment horizontal="left"/>
      <protection hidden="1"/>
    </xf>
    <xf numFmtId="14" fontId="199" fillId="59" borderId="301" xfId="189" applyNumberFormat="1" applyFill="1" applyBorder="1" applyAlignment="1" applyProtection="1">
      <alignment horizontal="left"/>
      <protection hidden="1"/>
    </xf>
    <xf numFmtId="4" fontId="199" fillId="59" borderId="316" xfId="189" applyNumberFormat="1" applyFill="1" applyBorder="1" applyAlignment="1" applyProtection="1">
      <alignment horizontal="right"/>
      <protection hidden="1"/>
    </xf>
    <xf numFmtId="4" fontId="199" fillId="59" borderId="317" xfId="189" applyNumberFormat="1" applyFill="1" applyBorder="1" applyAlignment="1" applyProtection="1">
      <alignment horizontal="right"/>
      <protection hidden="1"/>
    </xf>
    <xf numFmtId="4" fontId="199" fillId="59" borderId="318" xfId="189" applyNumberFormat="1" applyFill="1" applyBorder="1" applyAlignment="1" applyProtection="1">
      <alignment horizontal="right"/>
      <protection hidden="1"/>
    </xf>
    <xf numFmtId="4" fontId="205" fillId="59" borderId="315" xfId="189" applyNumberFormat="1" applyFont="1" applyFill="1" applyBorder="1" applyAlignment="1" applyProtection="1">
      <alignment horizontal="right"/>
      <protection hidden="1"/>
    </xf>
    <xf numFmtId="4" fontId="205" fillId="59" borderId="317" xfId="189" applyNumberFormat="1" applyFont="1" applyFill="1" applyBorder="1" applyAlignment="1" applyProtection="1">
      <alignment horizontal="right"/>
      <protection hidden="1"/>
    </xf>
    <xf numFmtId="4" fontId="205" fillId="59" borderId="301" xfId="189" applyNumberFormat="1" applyFont="1" applyFill="1" applyBorder="1" applyAlignment="1" applyProtection="1">
      <alignment horizontal="right"/>
      <protection hidden="1"/>
    </xf>
    <xf numFmtId="4" fontId="205" fillId="64" borderId="316" xfId="189" applyNumberFormat="1" applyFont="1" applyFill="1" applyBorder="1" applyAlignment="1" applyProtection="1">
      <alignment horizontal="right"/>
      <protection locked="0" hidden="1"/>
    </xf>
    <xf numFmtId="4" fontId="205" fillId="64" borderId="301" xfId="189" applyNumberFormat="1" applyFont="1" applyFill="1" applyBorder="1" applyAlignment="1" applyProtection="1">
      <alignment horizontal="right"/>
      <protection locked="0" hidden="1"/>
    </xf>
    <xf numFmtId="4" fontId="205" fillId="64" borderId="0" xfId="189" applyNumberFormat="1" applyFont="1" applyFill="1" applyAlignment="1" applyProtection="1">
      <alignment horizontal="right"/>
      <protection locked="0" hidden="1"/>
    </xf>
    <xf numFmtId="1" fontId="199" fillId="59" borderId="319" xfId="189" applyNumberFormat="1" applyFill="1" applyBorder="1" applyAlignment="1" applyProtection="1">
      <alignment horizontal="center"/>
      <protection hidden="1"/>
    </xf>
    <xf numFmtId="4" fontId="199" fillId="59" borderId="319" xfId="189" applyNumberFormat="1" applyFill="1" applyBorder="1" applyAlignment="1" applyProtection="1">
      <alignment horizontal="right"/>
      <protection hidden="1"/>
    </xf>
    <xf numFmtId="4" fontId="199" fillId="59" borderId="320" xfId="189" applyNumberFormat="1" applyFill="1" applyBorder="1" applyAlignment="1" applyProtection="1">
      <alignment horizontal="right"/>
      <protection hidden="1"/>
    </xf>
    <xf numFmtId="4" fontId="205" fillId="59" borderId="321" xfId="189" applyNumberFormat="1" applyFont="1" applyFill="1" applyBorder="1" applyAlignment="1" applyProtection="1">
      <alignment horizontal="right"/>
      <protection hidden="1"/>
    </xf>
    <xf numFmtId="4" fontId="205" fillId="59" borderId="319" xfId="189" applyNumberFormat="1" applyFont="1" applyFill="1" applyBorder="1" applyAlignment="1" applyProtection="1">
      <alignment horizontal="right"/>
      <protection hidden="1"/>
    </xf>
    <xf numFmtId="4" fontId="205" fillId="59" borderId="322" xfId="189" applyNumberFormat="1" applyFont="1" applyFill="1" applyBorder="1" applyAlignment="1" applyProtection="1">
      <alignment horizontal="right"/>
      <protection hidden="1"/>
    </xf>
    <xf numFmtId="4" fontId="205" fillId="64" borderId="323" xfId="189" applyNumberFormat="1" applyFont="1" applyFill="1" applyBorder="1" applyAlignment="1" applyProtection="1">
      <alignment horizontal="right"/>
      <protection locked="0" hidden="1"/>
    </xf>
    <xf numFmtId="4" fontId="205" fillId="64" borderId="322" xfId="189" applyNumberFormat="1" applyFont="1" applyFill="1" applyBorder="1" applyAlignment="1" applyProtection="1">
      <alignment horizontal="right"/>
      <protection locked="0" hidden="1"/>
    </xf>
    <xf numFmtId="1" fontId="199" fillId="59" borderId="317" xfId="189" applyNumberFormat="1" applyFill="1" applyBorder="1" applyAlignment="1" applyProtection="1">
      <alignment horizontal="center"/>
      <protection hidden="1"/>
    </xf>
    <xf numFmtId="1" fontId="199" fillId="32" borderId="324" xfId="189" applyNumberFormat="1" applyFill="1" applyBorder="1" applyAlignment="1" applyProtection="1">
      <alignment horizontal="center"/>
      <protection hidden="1"/>
    </xf>
    <xf numFmtId="4" fontId="199" fillId="32" borderId="324" xfId="189" applyNumberFormat="1" applyFill="1" applyBorder="1" applyAlignment="1" applyProtection="1">
      <alignment horizontal="right"/>
      <protection hidden="1"/>
    </xf>
    <xf numFmtId="4" fontId="199" fillId="32" borderId="325" xfId="189" applyNumberFormat="1" applyFill="1" applyBorder="1" applyAlignment="1" applyProtection="1">
      <alignment horizontal="right"/>
      <protection hidden="1"/>
    </xf>
    <xf numFmtId="4" fontId="205" fillId="32" borderId="326" xfId="189" applyNumberFormat="1" applyFont="1" applyFill="1" applyBorder="1" applyAlignment="1" applyProtection="1">
      <alignment horizontal="right"/>
      <protection hidden="1"/>
    </xf>
    <xf numFmtId="4" fontId="205" fillId="32" borderId="324" xfId="189" applyNumberFormat="1" applyFont="1" applyFill="1" applyBorder="1" applyAlignment="1" applyProtection="1">
      <alignment horizontal="right"/>
      <protection hidden="1"/>
    </xf>
    <xf numFmtId="4" fontId="205" fillId="32" borderId="327" xfId="189" applyNumberFormat="1" applyFont="1" applyFill="1" applyBorder="1" applyAlignment="1" applyProtection="1">
      <alignment horizontal="right"/>
      <protection hidden="1"/>
    </xf>
    <xf numFmtId="4" fontId="205" fillId="63" borderId="328" xfId="189" applyNumberFormat="1" applyFont="1" applyFill="1" applyBorder="1" applyAlignment="1" applyProtection="1">
      <alignment horizontal="right"/>
      <protection locked="0" hidden="1"/>
    </xf>
    <xf numFmtId="4" fontId="205" fillId="63" borderId="322" xfId="189" applyNumberFormat="1" applyFont="1" applyFill="1" applyBorder="1" applyAlignment="1" applyProtection="1">
      <alignment horizontal="right"/>
      <protection locked="0" hidden="1"/>
    </xf>
    <xf numFmtId="2" fontId="206" fillId="60" borderId="0" xfId="189" applyNumberFormat="1" applyFont="1" applyFill="1" applyProtection="1">
      <protection hidden="1"/>
    </xf>
    <xf numFmtId="0" fontId="199" fillId="60" borderId="0" xfId="189" applyFill="1" applyProtection="1">
      <protection hidden="1"/>
    </xf>
    <xf numFmtId="0" fontId="207" fillId="0" borderId="0" xfId="189" applyFont="1" applyProtection="1">
      <protection hidden="1"/>
    </xf>
    <xf numFmtId="1" fontId="206" fillId="60" borderId="0" xfId="189" applyNumberFormat="1" applyFont="1" applyFill="1" applyProtection="1">
      <protection hidden="1"/>
    </xf>
    <xf numFmtId="4" fontId="26" fillId="0" borderId="0" xfId="189" applyNumberFormat="1" applyFont="1" applyProtection="1">
      <protection hidden="1"/>
    </xf>
    <xf numFmtId="0" fontId="203" fillId="0" borderId="0" xfId="189" applyFont="1" applyProtection="1">
      <protection hidden="1"/>
    </xf>
    <xf numFmtId="1" fontId="203" fillId="60" borderId="0" xfId="189" applyNumberFormat="1" applyFont="1" applyFill="1" applyProtection="1">
      <protection hidden="1"/>
    </xf>
    <xf numFmtId="2" fontId="203" fillId="60" borderId="0" xfId="189" applyNumberFormat="1" applyFont="1" applyFill="1" applyProtection="1">
      <protection hidden="1"/>
    </xf>
    <xf numFmtId="0" fontId="205" fillId="60" borderId="0" xfId="189" applyFont="1" applyFill="1" applyProtection="1">
      <protection hidden="1"/>
    </xf>
    <xf numFmtId="4" fontId="203" fillId="32" borderId="0" xfId="189" applyNumberFormat="1" applyFont="1" applyFill="1" applyAlignment="1" applyProtection="1">
      <alignment horizontal="right"/>
      <protection hidden="1"/>
    </xf>
    <xf numFmtId="1" fontId="203" fillId="65" borderId="0" xfId="189" applyNumberFormat="1" applyFont="1" applyFill="1" applyProtection="1">
      <protection hidden="1"/>
    </xf>
    <xf numFmtId="2" fontId="203" fillId="65" borderId="0" xfId="189" applyNumberFormat="1" applyFont="1" applyFill="1" applyProtection="1">
      <protection hidden="1"/>
    </xf>
    <xf numFmtId="4" fontId="205" fillId="65" borderId="0" xfId="189" applyNumberFormat="1" applyFont="1" applyFill="1" applyProtection="1">
      <protection hidden="1"/>
    </xf>
    <xf numFmtId="0" fontId="205" fillId="65" borderId="0" xfId="189" applyFont="1" applyFill="1" applyProtection="1">
      <protection hidden="1"/>
    </xf>
    <xf numFmtId="0" fontId="90" fillId="0" borderId="0" xfId="0" applyFont="1"/>
    <xf numFmtId="4" fontId="203" fillId="59" borderId="0" xfId="189" applyNumberFormat="1" applyFont="1" applyFill="1" applyAlignment="1" applyProtection="1">
      <alignment horizontal="right"/>
      <protection hidden="1"/>
    </xf>
    <xf numFmtId="1" fontId="203" fillId="66" borderId="0" xfId="189" applyNumberFormat="1" applyFont="1" applyFill="1" applyProtection="1">
      <protection hidden="1"/>
    </xf>
    <xf numFmtId="2" fontId="203" fillId="66" borderId="0" xfId="189" applyNumberFormat="1" applyFont="1" applyFill="1" applyProtection="1">
      <protection hidden="1"/>
    </xf>
    <xf numFmtId="0" fontId="205" fillId="66" borderId="0" xfId="189" applyFont="1" applyFill="1" applyProtection="1">
      <protection hidden="1"/>
    </xf>
    <xf numFmtId="0" fontId="93" fillId="29" borderId="192" xfId="0" applyFont="1" applyFill="1" applyBorder="1"/>
    <xf numFmtId="4" fontId="14" fillId="29" borderId="193" xfId="0" applyNumberFormat="1" applyFont="1" applyFill="1" applyBorder="1"/>
    <xf numFmtId="2" fontId="14" fillId="29" borderId="193" xfId="0" applyNumberFormat="1" applyFont="1" applyFill="1" applyBorder="1"/>
    <xf numFmtId="4" fontId="14" fillId="29" borderId="192" xfId="96" applyNumberFormat="1" applyFont="1" applyFill="1" applyBorder="1" applyAlignment="1">
      <alignment horizontal="right" vertical="center" wrapText="1"/>
    </xf>
    <xf numFmtId="4" fontId="14" fillId="29" borderId="193" xfId="85" applyNumberFormat="1" applyFont="1" applyFill="1" applyBorder="1" applyAlignment="1">
      <alignment horizontal="center" vertical="center"/>
    </xf>
    <xf numFmtId="0" fontId="137" fillId="0" borderId="193" xfId="96" applyFont="1" applyFill="1" applyBorder="1" applyAlignment="1">
      <alignment horizontal="center" vertical="center"/>
    </xf>
    <xf numFmtId="0" fontId="14" fillId="0" borderId="194" xfId="96" applyFont="1" applyFill="1" applyBorder="1" applyAlignment="1">
      <alignment horizontal="center" vertical="center" wrapText="1"/>
    </xf>
    <xf numFmtId="0" fontId="138" fillId="0" borderId="205" xfId="96" applyFont="1" applyFill="1" applyBorder="1" applyAlignment="1">
      <alignment vertical="center" wrapText="1"/>
    </xf>
    <xf numFmtId="4" fontId="14" fillId="29" borderId="193" xfId="96" applyNumberFormat="1" applyFont="1" applyFill="1" applyBorder="1" applyAlignment="1">
      <alignment horizontal="center" vertical="center" wrapText="1"/>
    </xf>
    <xf numFmtId="4" fontId="49" fillId="29" borderId="192" xfId="96" applyNumberFormat="1" applyFont="1" applyFill="1" applyBorder="1" applyAlignment="1">
      <alignment horizontal="center" vertical="center" wrapText="1"/>
    </xf>
    <xf numFmtId="4" fontId="13" fillId="29" borderId="192" xfId="96" applyNumberFormat="1" applyFont="1" applyFill="1" applyBorder="1" applyAlignment="1">
      <alignment vertical="center"/>
    </xf>
    <xf numFmtId="4" fontId="93" fillId="29" borderId="192" xfId="96" applyNumberFormat="1" applyFont="1" applyFill="1" applyBorder="1" applyAlignment="1">
      <alignment horizontal="center" vertical="center" wrapText="1"/>
    </xf>
    <xf numFmtId="4" fontId="14" fillId="29" borderId="194" xfId="96" applyNumberFormat="1" applyFont="1" applyFill="1" applyBorder="1" applyAlignment="1">
      <alignment horizontal="center" vertical="center" wrapText="1"/>
    </xf>
    <xf numFmtId="2" fontId="14" fillId="29" borderId="192" xfId="96" applyNumberFormat="1" applyFont="1" applyFill="1" applyBorder="1" applyAlignment="1">
      <alignment horizontal="center" vertical="center"/>
    </xf>
    <xf numFmtId="0" fontId="0" fillId="0" borderId="0" xfId="0" applyAlignment="1"/>
    <xf numFmtId="0" fontId="61" fillId="0" borderId="0" xfId="0" applyFont="1" applyAlignment="1">
      <alignment horizontal="left" vertical="top"/>
    </xf>
    <xf numFmtId="0" fontId="80" fillId="0" borderId="0" xfId="0" applyFont="1" applyAlignment="1">
      <alignment horizontal="left" vertical="top"/>
    </xf>
    <xf numFmtId="0" fontId="61" fillId="0" borderId="0" xfId="0" applyFont="1" applyAlignment="1"/>
    <xf numFmtId="0" fontId="0" fillId="29" borderId="329" xfId="0" applyFill="1" applyBorder="1" applyAlignment="1" applyProtection="1"/>
    <xf numFmtId="0" fontId="14" fillId="29" borderId="329" xfId="0" applyFont="1" applyFill="1" applyBorder="1" applyProtection="1"/>
    <xf numFmtId="0" fontId="14" fillId="29" borderId="330" xfId="0" applyFont="1" applyFill="1" applyBorder="1" applyProtection="1"/>
    <xf numFmtId="0" fontId="61" fillId="0" borderId="257" xfId="0" applyFont="1" applyFill="1" applyBorder="1" applyAlignment="1" applyProtection="1">
      <alignment horizontal="center" vertical="center" wrapText="1"/>
    </xf>
    <xf numFmtId="0" fontId="61" fillId="57" borderId="257" xfId="0" applyFont="1" applyFill="1" applyBorder="1" applyAlignment="1" applyProtection="1">
      <alignment horizontal="center" vertical="center" wrapText="1"/>
    </xf>
    <xf numFmtId="0" fontId="61" fillId="0" borderId="209" xfId="0" applyFont="1" applyFill="1" applyBorder="1" applyAlignment="1" applyProtection="1">
      <alignment horizontal="center" vertical="center" wrapText="1"/>
    </xf>
    <xf numFmtId="0" fontId="18" fillId="0" borderId="257" xfId="0" applyFont="1" applyBorder="1" applyAlignment="1" applyProtection="1">
      <alignment vertical="center" wrapText="1"/>
    </xf>
    <xf numFmtId="178" fontId="89" fillId="0" borderId="257" xfId="0" applyNumberFormat="1" applyFont="1" applyFill="1" applyBorder="1" applyAlignment="1" applyProtection="1">
      <alignment vertical="center"/>
    </xf>
    <xf numFmtId="178" fontId="89" fillId="57" borderId="257" xfId="0" applyNumberFormat="1" applyFont="1" applyFill="1" applyBorder="1" applyAlignment="1" applyProtection="1">
      <alignment vertical="center"/>
    </xf>
    <xf numFmtId="4" fontId="89" fillId="57" borderId="257" xfId="0" applyNumberFormat="1" applyFont="1" applyFill="1" applyBorder="1" applyAlignment="1" applyProtection="1">
      <alignment vertical="center"/>
    </xf>
    <xf numFmtId="0" fontId="61" fillId="0" borderId="257" xfId="0" applyFont="1" applyBorder="1" applyAlignment="1" applyProtection="1">
      <alignment vertical="center" wrapText="1"/>
    </xf>
    <xf numFmtId="4" fontId="97" fillId="0" borderId="257" xfId="0" applyNumberFormat="1" applyFont="1" applyFill="1" applyBorder="1" applyAlignment="1" applyProtection="1">
      <alignment vertical="center"/>
    </xf>
    <xf numFmtId="178" fontId="97" fillId="0" borderId="257" xfId="0" applyNumberFormat="1" applyFont="1" applyFill="1" applyBorder="1" applyAlignment="1" applyProtection="1">
      <alignment vertical="center"/>
    </xf>
    <xf numFmtId="178" fontId="97" fillId="57" borderId="257" xfId="0" applyNumberFormat="1" applyFont="1" applyFill="1" applyBorder="1" applyAlignment="1" applyProtection="1">
      <alignment vertical="center"/>
    </xf>
    <xf numFmtId="4" fontId="97" fillId="57" borderId="257" xfId="0" applyNumberFormat="1" applyFont="1" applyFill="1" applyBorder="1" applyAlignment="1" applyProtection="1">
      <alignment vertical="center"/>
    </xf>
    <xf numFmtId="0" fontId="62" fillId="0" borderId="257" xfId="0" applyFont="1" applyBorder="1" applyAlignment="1" applyProtection="1">
      <alignment vertical="center" wrapText="1"/>
    </xf>
    <xf numFmtId="10" fontId="170" fillId="0" borderId="257" xfId="0" applyNumberFormat="1" applyFont="1" applyFill="1" applyBorder="1" applyAlignment="1" applyProtection="1">
      <alignment vertical="center"/>
    </xf>
    <xf numFmtId="10" fontId="170" fillId="57" borderId="257" xfId="0" applyNumberFormat="1" applyFont="1" applyFill="1" applyBorder="1" applyAlignment="1" applyProtection="1">
      <alignment vertical="center"/>
    </xf>
    <xf numFmtId="4" fontId="170" fillId="57" borderId="257" xfId="0" applyNumberFormat="1" applyFont="1" applyFill="1" applyBorder="1" applyAlignment="1" applyProtection="1">
      <alignment vertical="center"/>
    </xf>
    <xf numFmtId="178" fontId="170" fillId="0" borderId="257" xfId="0" applyNumberFormat="1" applyFont="1" applyFill="1" applyBorder="1" applyAlignment="1" applyProtection="1">
      <alignment vertical="center"/>
    </xf>
    <xf numFmtId="4" fontId="170" fillId="0" borderId="257" xfId="0" applyNumberFormat="1" applyFont="1" applyFill="1" applyBorder="1" applyAlignment="1" applyProtection="1">
      <alignment vertical="center"/>
    </xf>
    <xf numFmtId="178" fontId="170" fillId="57" borderId="257" xfId="0" applyNumberFormat="1" applyFont="1" applyFill="1" applyBorder="1" applyAlignment="1" applyProtection="1">
      <alignment vertical="center"/>
    </xf>
    <xf numFmtId="49" fontId="62" fillId="0" borderId="257" xfId="0" applyNumberFormat="1" applyFont="1" applyFill="1" applyBorder="1" applyAlignment="1">
      <alignment vertical="center" wrapText="1"/>
    </xf>
    <xf numFmtId="4" fontId="62" fillId="0" borderId="257" xfId="0" applyNumberFormat="1" applyFont="1" applyFill="1" applyBorder="1" applyAlignment="1" applyProtection="1">
      <alignment vertical="center"/>
    </xf>
    <xf numFmtId="0" fontId="18" fillId="29" borderId="209" xfId="0" applyFont="1" applyFill="1" applyBorder="1" applyAlignment="1" applyProtection="1">
      <alignment horizontal="left"/>
    </xf>
    <xf numFmtId="0" fontId="0" fillId="29" borderId="210" xfId="0" applyFill="1" applyBorder="1" applyAlignment="1" applyProtection="1">
      <alignment horizontal="left"/>
    </xf>
    <xf numFmtId="0" fontId="18" fillId="0" borderId="257" xfId="0" applyFont="1" applyBorder="1" applyAlignment="1" applyProtection="1">
      <alignment horizontal="left" vertical="center"/>
    </xf>
    <xf numFmtId="4" fontId="89" fillId="0" borderId="257" xfId="0" applyNumberFormat="1" applyFont="1" applyFill="1" applyBorder="1"/>
    <xf numFmtId="4" fontId="89" fillId="57" borderId="257" xfId="0" applyNumberFormat="1" applyFont="1" applyFill="1" applyBorder="1" applyAlignment="1">
      <alignment horizontal="right" vertical="center"/>
    </xf>
    <xf numFmtId="0" fontId="61" fillId="0" borderId="257" xfId="0" applyFont="1" applyBorder="1" applyAlignment="1" applyProtection="1">
      <alignment vertical="center"/>
    </xf>
    <xf numFmtId="4" fontId="97" fillId="0" borderId="257" xfId="0" applyNumberFormat="1" applyFont="1" applyFill="1" applyBorder="1"/>
    <xf numFmtId="4" fontId="61" fillId="0" borderId="257" xfId="0" applyNumberFormat="1" applyFont="1" applyFill="1" applyBorder="1" applyAlignment="1" applyProtection="1">
      <alignment vertical="center"/>
      <protection locked="0"/>
    </xf>
    <xf numFmtId="4" fontId="97" fillId="57" borderId="257" xfId="0" applyNumberFormat="1" applyFont="1" applyFill="1" applyBorder="1" applyAlignment="1">
      <alignment horizontal="right" vertical="center"/>
    </xf>
    <xf numFmtId="0" fontId="61" fillId="0" borderId="257" xfId="0" applyFont="1" applyBorder="1" applyAlignment="1">
      <alignment vertical="center" wrapText="1"/>
    </xf>
    <xf numFmtId="0" fontId="62" fillId="0" borderId="257" xfId="0" applyFont="1" applyBorder="1" applyAlignment="1" applyProtection="1">
      <alignment vertical="center"/>
    </xf>
    <xf numFmtId="4" fontId="170" fillId="57" borderId="257" xfId="0" applyNumberFormat="1" applyFont="1" applyFill="1" applyBorder="1" applyAlignment="1">
      <alignment horizontal="right" vertical="center"/>
    </xf>
    <xf numFmtId="0" fontId="18" fillId="0" borderId="257" xfId="0" applyFont="1" applyBorder="1" applyAlignment="1" applyProtection="1">
      <alignment vertical="center"/>
    </xf>
    <xf numFmtId="0" fontId="61" fillId="0" borderId="257" xfId="0" applyFont="1" applyFill="1" applyBorder="1" applyAlignment="1" applyProtection="1">
      <alignment vertical="center"/>
    </xf>
    <xf numFmtId="0" fontId="62" fillId="0" borderId="257" xfId="0" applyFont="1" applyFill="1" applyBorder="1" applyAlignment="1" applyProtection="1">
      <alignment vertical="center"/>
    </xf>
    <xf numFmtId="4" fontId="170" fillId="0" borderId="257" xfId="0" applyNumberFormat="1" applyFont="1" applyFill="1" applyBorder="1"/>
    <xf numFmtId="4" fontId="62" fillId="0" borderId="257" xfId="0" applyNumberFormat="1" applyFont="1" applyFill="1" applyBorder="1" applyAlignment="1" applyProtection="1">
      <alignment vertical="center"/>
      <protection locked="0"/>
    </xf>
    <xf numFmtId="10" fontId="170" fillId="0" borderId="257" xfId="0" applyNumberFormat="1" applyFont="1" applyFill="1" applyBorder="1"/>
    <xf numFmtId="192" fontId="14" fillId="29" borderId="0" xfId="0" applyNumberFormat="1" applyFont="1" applyFill="1" applyAlignment="1" applyProtection="1">
      <alignment vertical="center"/>
    </xf>
    <xf numFmtId="178" fontId="62" fillId="0" borderId="257" xfId="0" applyNumberFormat="1" applyFont="1" applyFill="1" applyBorder="1" applyAlignment="1" applyProtection="1">
      <alignment vertical="center"/>
      <protection locked="0"/>
    </xf>
    <xf numFmtId="178" fontId="89" fillId="0" borderId="257" xfId="0" applyNumberFormat="1" applyFont="1" applyFill="1" applyBorder="1"/>
    <xf numFmtId="0" fontId="18" fillId="0" borderId="257" xfId="0" applyFont="1" applyFill="1" applyBorder="1" applyAlignment="1" applyProtection="1">
      <alignment vertical="center"/>
    </xf>
    <xf numFmtId="0" fontId="62" fillId="0" borderId="257" xfId="0" applyFont="1" applyFill="1" applyBorder="1" applyAlignment="1" applyProtection="1">
      <alignment wrapText="1"/>
    </xf>
    <xf numFmtId="0" fontId="62" fillId="0" borderId="257" xfId="0" applyFont="1" applyFill="1" applyBorder="1" applyAlignment="1">
      <alignment horizontal="left" vertical="center" wrapText="1"/>
    </xf>
    <xf numFmtId="0" fontId="0" fillId="29" borderId="210" xfId="0" applyFill="1" applyBorder="1" applyProtection="1"/>
    <xf numFmtId="0" fontId="0" fillId="29" borderId="260" xfId="0" applyFill="1" applyBorder="1" applyProtection="1"/>
    <xf numFmtId="178" fontId="97" fillId="0" borderId="257" xfId="0" applyNumberFormat="1" applyFont="1" applyFill="1" applyBorder="1" applyProtection="1"/>
    <xf numFmtId="4" fontId="97" fillId="0" borderId="257" xfId="0" applyNumberFormat="1" applyFont="1" applyFill="1" applyBorder="1" applyProtection="1"/>
    <xf numFmtId="178" fontId="97" fillId="57" borderId="257" xfId="0" applyNumberFormat="1" applyFont="1" applyFill="1" applyBorder="1" applyProtection="1"/>
    <xf numFmtId="4" fontId="97" fillId="57" borderId="257" xfId="0" applyNumberFormat="1" applyFont="1" applyFill="1" applyBorder="1" applyProtection="1"/>
    <xf numFmtId="10" fontId="170" fillId="0" borderId="257" xfId="0" applyNumberFormat="1" applyFont="1" applyFill="1" applyBorder="1" applyProtection="1"/>
    <xf numFmtId="10" fontId="170" fillId="57" borderId="257" xfId="0" applyNumberFormat="1" applyFont="1" applyFill="1" applyBorder="1" applyProtection="1"/>
    <xf numFmtId="2" fontId="170" fillId="57" borderId="257" xfId="0" applyNumberFormat="1" applyFont="1" applyFill="1" applyBorder="1" applyAlignment="1" applyProtection="1">
      <alignment vertical="center"/>
    </xf>
    <xf numFmtId="178" fontId="170" fillId="0" borderId="257" xfId="0" applyNumberFormat="1" applyFont="1" applyFill="1" applyBorder="1" applyProtection="1"/>
    <xf numFmtId="4" fontId="170" fillId="0" borderId="257" xfId="0" applyNumberFormat="1" applyFont="1" applyFill="1" applyBorder="1" applyProtection="1"/>
    <xf numFmtId="178" fontId="170" fillId="57" borderId="257" xfId="0" applyNumberFormat="1" applyFont="1" applyFill="1" applyBorder="1" applyProtection="1"/>
    <xf numFmtId="4" fontId="170" fillId="57" borderId="257" xfId="0" applyNumberFormat="1" applyFont="1" applyFill="1" applyBorder="1" applyProtection="1"/>
    <xf numFmtId="178" fontId="89" fillId="0" borderId="257" xfId="0" applyNumberFormat="1" applyFont="1" applyFill="1" applyBorder="1" applyProtection="1"/>
    <xf numFmtId="178" fontId="89" fillId="57" borderId="257" xfId="0" applyNumberFormat="1" applyFont="1" applyFill="1" applyBorder="1" applyProtection="1"/>
    <xf numFmtId="4" fontId="89" fillId="57" borderId="257" xfId="0" applyNumberFormat="1" applyFont="1" applyFill="1" applyBorder="1" applyProtection="1"/>
    <xf numFmtId="4" fontId="89" fillId="0" borderId="257" xfId="0" applyNumberFormat="1" applyFont="1" applyFill="1" applyBorder="1" applyProtection="1"/>
    <xf numFmtId="0" fontId="62" fillId="0" borderId="257" xfId="0" applyFont="1" applyFill="1" applyBorder="1" applyAlignment="1" applyProtection="1">
      <alignment vertical="center" wrapText="1"/>
    </xf>
    <xf numFmtId="178" fontId="170" fillId="57" borderId="335" xfId="0" applyNumberFormat="1" applyFont="1" applyFill="1" applyBorder="1" applyAlignment="1" applyProtection="1">
      <alignment vertical="center"/>
    </xf>
    <xf numFmtId="0" fontId="18" fillId="29" borderId="336" xfId="0" applyFont="1" applyFill="1" applyBorder="1" applyAlignment="1">
      <alignment horizontal="left"/>
    </xf>
    <xf numFmtId="0" fontId="0" fillId="29" borderId="329" xfId="0" applyFont="1" applyFill="1" applyBorder="1"/>
    <xf numFmtId="0" fontId="61" fillId="0" borderId="335" xfId="0" applyFont="1" applyFill="1" applyBorder="1" applyAlignment="1" applyProtection="1">
      <alignment horizontal="center" vertical="center" wrapText="1"/>
    </xf>
    <xf numFmtId="0" fontId="61" fillId="57" borderId="335" xfId="0" applyFont="1" applyFill="1" applyBorder="1" applyAlignment="1" applyProtection="1">
      <alignment horizontal="center" vertical="center" wrapText="1"/>
    </xf>
    <xf numFmtId="0" fontId="18" fillId="0" borderId="335" xfId="0" applyFont="1" applyFill="1" applyBorder="1" applyAlignment="1">
      <alignment vertical="center" wrapText="1"/>
    </xf>
    <xf numFmtId="178" fontId="89" fillId="0" borderId="335" xfId="0" applyNumberFormat="1" applyFont="1" applyFill="1" applyBorder="1" applyAlignment="1" applyProtection="1">
      <alignment vertical="center"/>
    </xf>
    <xf numFmtId="178" fontId="18" fillId="0" borderId="335" xfId="0" applyNumberFormat="1" applyFont="1" applyFill="1" applyBorder="1" applyAlignment="1" applyProtection="1">
      <alignment vertical="center"/>
    </xf>
    <xf numFmtId="178" fontId="89" fillId="57" borderId="335" xfId="0" applyNumberFormat="1" applyFont="1" applyFill="1" applyBorder="1" applyAlignment="1" applyProtection="1">
      <alignment vertical="center"/>
    </xf>
    <xf numFmtId="178" fontId="89" fillId="57" borderId="335" xfId="0" applyNumberFormat="1" applyFont="1" applyFill="1" applyBorder="1" applyAlignment="1">
      <alignment vertical="center"/>
    </xf>
    <xf numFmtId="0" fontId="61" fillId="0" borderId="335" xfId="0" applyFont="1" applyFill="1" applyBorder="1" applyAlignment="1">
      <alignment vertical="center" wrapText="1"/>
    </xf>
    <xf numFmtId="4" fontId="97" fillId="0" borderId="335" xfId="0" applyNumberFormat="1" applyFont="1" applyFill="1" applyBorder="1" applyAlignment="1" applyProtection="1">
      <alignment vertical="center"/>
    </xf>
    <xf numFmtId="4" fontId="61" fillId="0" borderId="335" xfId="0" applyNumberFormat="1" applyFont="1" applyFill="1" applyBorder="1" applyAlignment="1" applyProtection="1">
      <alignment vertical="center"/>
    </xf>
    <xf numFmtId="178" fontId="97" fillId="57" borderId="335" xfId="0" applyNumberFormat="1" applyFont="1" applyFill="1" applyBorder="1" applyAlignment="1" applyProtection="1">
      <alignment vertical="center"/>
    </xf>
    <xf numFmtId="178" fontId="97" fillId="0" borderId="335" xfId="0" applyNumberFormat="1" applyFont="1" applyFill="1" applyBorder="1" applyAlignment="1" applyProtection="1">
      <alignment vertical="center"/>
    </xf>
    <xf numFmtId="0" fontId="62" fillId="0" borderId="335" xfId="0" applyFont="1" applyFill="1" applyBorder="1" applyAlignment="1">
      <alignment vertical="center" wrapText="1"/>
    </xf>
    <xf numFmtId="4" fontId="89" fillId="0" borderId="335" xfId="0" applyNumberFormat="1" applyFont="1" applyFill="1" applyBorder="1" applyAlignment="1" applyProtection="1">
      <alignment vertical="center"/>
    </xf>
    <xf numFmtId="178" fontId="61" fillId="0" borderId="335" xfId="0" applyNumberFormat="1" applyFont="1" applyFill="1" applyBorder="1" applyAlignment="1" applyProtection="1">
      <alignment vertical="center"/>
    </xf>
    <xf numFmtId="0" fontId="61" fillId="0" borderId="335" xfId="0" applyFont="1" applyBorder="1" applyAlignment="1" applyProtection="1">
      <alignment vertical="center" wrapText="1"/>
    </xf>
    <xf numFmtId="0" fontId="62" fillId="0" borderId="296" xfId="0" applyFont="1" applyFill="1" applyBorder="1" applyAlignment="1">
      <alignment vertical="center" wrapText="1"/>
    </xf>
    <xf numFmtId="178" fontId="170" fillId="0" borderId="335" xfId="0" applyNumberFormat="1" applyFont="1" applyFill="1" applyBorder="1" applyAlignment="1" applyProtection="1">
      <alignment vertical="center"/>
    </xf>
    <xf numFmtId="178" fontId="62" fillId="0" borderId="335" xfId="0" applyNumberFormat="1" applyFont="1" applyFill="1" applyBorder="1" applyAlignment="1" applyProtection="1">
      <alignment vertical="center"/>
    </xf>
    <xf numFmtId="178" fontId="89" fillId="0" borderId="335" xfId="0" applyNumberFormat="1" applyFont="1" applyFill="1" applyBorder="1" applyAlignment="1">
      <alignment vertical="center"/>
    </xf>
    <xf numFmtId="4" fontId="170" fillId="0" borderId="335" xfId="0" applyNumberFormat="1" applyFont="1" applyFill="1" applyBorder="1" applyAlignment="1" applyProtection="1">
      <alignment vertical="center"/>
    </xf>
    <xf numFmtId="4" fontId="62" fillId="0" borderId="335" xfId="0" applyNumberFormat="1" applyFont="1" applyFill="1" applyBorder="1" applyAlignment="1" applyProtection="1">
      <alignment vertical="center"/>
    </xf>
    <xf numFmtId="0" fontId="61" fillId="0" borderId="335" xfId="0" applyFont="1" applyBorder="1" applyAlignment="1">
      <alignment vertical="center" wrapText="1"/>
    </xf>
    <xf numFmtId="4" fontId="61" fillId="0" borderId="335" xfId="0" applyNumberFormat="1" applyFont="1" applyFill="1" applyBorder="1" applyAlignment="1">
      <alignment vertical="center"/>
    </xf>
    <xf numFmtId="178" fontId="61" fillId="0" borderId="335" xfId="0" applyNumberFormat="1" applyFont="1" applyFill="1" applyBorder="1" applyAlignment="1">
      <alignment vertical="center"/>
    </xf>
    <xf numFmtId="4" fontId="97" fillId="0" borderId="335" xfId="0" applyNumberFormat="1" applyFont="1" applyFill="1" applyBorder="1" applyAlignment="1">
      <alignment vertical="center"/>
    </xf>
    <xf numFmtId="178" fontId="97" fillId="0" borderId="335" xfId="0" applyNumberFormat="1" applyFont="1" applyFill="1" applyBorder="1" applyAlignment="1">
      <alignment vertical="center"/>
    </xf>
    <xf numFmtId="0" fontId="62" fillId="0" borderId="335" xfId="0" applyFont="1" applyBorder="1" applyAlignment="1">
      <alignment vertical="center" wrapText="1"/>
    </xf>
    <xf numFmtId="4" fontId="62" fillId="0" borderId="335" xfId="0" applyNumberFormat="1" applyFont="1" applyFill="1" applyBorder="1" applyAlignment="1" applyProtection="1">
      <alignment vertical="center"/>
      <protection locked="0"/>
    </xf>
    <xf numFmtId="0" fontId="18" fillId="0" borderId="335" xfId="0" applyFont="1" applyBorder="1" applyAlignment="1">
      <alignment vertical="center" wrapText="1"/>
    </xf>
    <xf numFmtId="4" fontId="89" fillId="0" borderId="335" xfId="0" applyNumberFormat="1" applyFont="1" applyFill="1" applyBorder="1" applyAlignment="1">
      <alignment vertical="center"/>
    </xf>
    <xf numFmtId="4" fontId="89" fillId="57" borderId="335" xfId="0" applyNumberFormat="1" applyFont="1" applyFill="1" applyBorder="1" applyAlignment="1">
      <alignment vertical="center"/>
    </xf>
    <xf numFmtId="0" fontId="61" fillId="0" borderId="335" xfId="0" applyFont="1" applyBorder="1" applyAlignment="1">
      <alignment vertical="center"/>
    </xf>
    <xf numFmtId="4" fontId="61" fillId="0" borderId="335" xfId="0" applyNumberFormat="1" applyFont="1" applyFill="1" applyBorder="1" applyProtection="1">
      <protection locked="0"/>
    </xf>
    <xf numFmtId="0" fontId="62" fillId="0" borderId="335" xfId="0" applyFont="1" applyBorder="1" applyAlignment="1">
      <alignment vertical="center"/>
    </xf>
    <xf numFmtId="10" fontId="170" fillId="0" borderId="335" xfId="0" applyNumberFormat="1" applyFont="1" applyFill="1" applyBorder="1"/>
    <xf numFmtId="10" fontId="170" fillId="57" borderId="335" xfId="0" applyNumberFormat="1" applyFont="1" applyFill="1" applyBorder="1"/>
    <xf numFmtId="4" fontId="62" fillId="0" borderId="335" xfId="0" applyNumberFormat="1" applyFont="1" applyFill="1" applyBorder="1" applyProtection="1">
      <protection locked="0"/>
    </xf>
    <xf numFmtId="0" fontId="62" fillId="0" borderId="335" xfId="0" applyFont="1" applyFill="1" applyBorder="1" applyAlignment="1">
      <alignment vertical="center"/>
    </xf>
    <xf numFmtId="178" fontId="62" fillId="0" borderId="335" xfId="0" applyNumberFormat="1" applyFont="1" applyFill="1" applyBorder="1" applyProtection="1">
      <protection locked="0"/>
    </xf>
    <xf numFmtId="178" fontId="89" fillId="0" borderId="335" xfId="0" applyNumberFormat="1" applyFont="1" applyFill="1" applyBorder="1"/>
    <xf numFmtId="4" fontId="89" fillId="0" borderId="335" xfId="0" applyNumberFormat="1" applyFont="1" applyFill="1" applyBorder="1"/>
    <xf numFmtId="178" fontId="89" fillId="57" borderId="335" xfId="0" applyNumberFormat="1" applyFont="1" applyFill="1" applyBorder="1"/>
    <xf numFmtId="4" fontId="89" fillId="57" borderId="335" xfId="0" applyNumberFormat="1" applyFont="1" applyFill="1" applyBorder="1"/>
    <xf numFmtId="0" fontId="18" fillId="0" borderId="335" xfId="0" applyFont="1" applyFill="1" applyBorder="1" applyAlignment="1">
      <alignment vertical="center"/>
    </xf>
    <xf numFmtId="178" fontId="170" fillId="0" borderId="335" xfId="0" applyNumberFormat="1" applyFont="1" applyFill="1" applyBorder="1"/>
    <xf numFmtId="4" fontId="170" fillId="0" borderId="335" xfId="0" applyNumberFormat="1" applyFont="1" applyFill="1" applyBorder="1"/>
    <xf numFmtId="0" fontId="62" fillId="0" borderId="335" xfId="0" applyFont="1" applyFill="1" applyBorder="1" applyAlignment="1" applyProtection="1">
      <alignment vertical="center" wrapText="1"/>
    </xf>
    <xf numFmtId="0" fontId="18" fillId="0" borderId="336" xfId="0" applyFont="1" applyFill="1" applyBorder="1" applyAlignment="1">
      <alignment horizontal="center" vertical="center" wrapText="1"/>
    </xf>
    <xf numFmtId="0" fontId="18" fillId="57" borderId="336" xfId="0" applyFont="1" applyFill="1" applyBorder="1" applyAlignment="1">
      <alignment horizontal="center" vertical="center" wrapText="1"/>
    </xf>
    <xf numFmtId="0" fontId="61" fillId="0" borderId="336" xfId="0" applyFont="1" applyFill="1" applyBorder="1" applyAlignment="1">
      <alignment horizontal="center" vertical="center" wrapText="1"/>
    </xf>
    <xf numFmtId="0" fontId="61" fillId="0" borderId="329" xfId="0" applyFont="1" applyFill="1" applyBorder="1" applyAlignment="1">
      <alignment horizontal="center" vertical="center" wrapText="1"/>
    </xf>
    <xf numFmtId="0" fontId="18" fillId="29" borderId="336" xfId="0" applyFont="1" applyFill="1" applyBorder="1" applyAlignment="1">
      <alignment horizontal="left" vertical="center" wrapText="1"/>
    </xf>
    <xf numFmtId="0" fontId="18" fillId="29" borderId="329" xfId="0" applyFont="1" applyFill="1" applyBorder="1" applyAlignment="1">
      <alignment horizontal="center" vertical="center" wrapText="1"/>
    </xf>
    <xf numFmtId="0" fontId="0" fillId="29" borderId="329" xfId="0" applyFill="1" applyBorder="1" applyAlignment="1"/>
    <xf numFmtId="0" fontId="0" fillId="29" borderId="329" xfId="0" applyFill="1" applyBorder="1"/>
    <xf numFmtId="0" fontId="0" fillId="29" borderId="330" xfId="0" applyFill="1" applyBorder="1"/>
    <xf numFmtId="0" fontId="18" fillId="0" borderId="335" xfId="0" applyFont="1" applyBorder="1" applyAlignment="1">
      <alignment horizontal="left" vertical="center"/>
    </xf>
    <xf numFmtId="4" fontId="18" fillId="0" borderId="335" xfId="0" applyNumberFormat="1" applyFont="1" applyFill="1" applyBorder="1" applyAlignment="1" applyProtection="1">
      <alignment vertical="center"/>
    </xf>
    <xf numFmtId="4" fontId="89" fillId="57" borderId="335" xfId="0" applyNumberFormat="1" applyFont="1" applyFill="1" applyBorder="1" applyAlignment="1" applyProtection="1">
      <alignment vertical="center"/>
    </xf>
    <xf numFmtId="4" fontId="97" fillId="57" borderId="335" xfId="0" applyNumberFormat="1" applyFont="1" applyFill="1" applyBorder="1" applyAlignment="1" applyProtection="1">
      <alignment vertical="center"/>
    </xf>
    <xf numFmtId="4" fontId="170" fillId="57" borderId="335" xfId="0" applyNumberFormat="1" applyFont="1" applyFill="1" applyBorder="1" applyAlignment="1" applyProtection="1">
      <alignment vertical="center"/>
    </xf>
    <xf numFmtId="49" fontId="62" fillId="0" borderId="335" xfId="0" applyNumberFormat="1" applyFont="1" applyFill="1" applyBorder="1" applyAlignment="1">
      <alignment vertical="center" wrapText="1"/>
    </xf>
    <xf numFmtId="168" fontId="0" fillId="29" borderId="329" xfId="0" applyNumberFormat="1" applyFill="1" applyBorder="1" applyAlignment="1">
      <alignment horizontal="center"/>
    </xf>
    <xf numFmtId="168" fontId="0" fillId="29" borderId="329" xfId="0" applyNumberFormat="1" applyFill="1" applyBorder="1" applyAlignment="1"/>
    <xf numFmtId="168" fontId="0" fillId="29" borderId="329" xfId="0" applyNumberFormat="1" applyFill="1" applyBorder="1"/>
    <xf numFmtId="168" fontId="0" fillId="29" borderId="330" xfId="0" applyNumberFormat="1" applyFill="1" applyBorder="1"/>
    <xf numFmtId="4" fontId="89" fillId="57" borderId="335" xfId="0" applyNumberFormat="1" applyFont="1" applyFill="1" applyBorder="1" applyAlignment="1">
      <alignment horizontal="right" vertical="center"/>
    </xf>
    <xf numFmtId="4" fontId="97" fillId="0" borderId="335" xfId="0" applyNumberFormat="1" applyFont="1" applyFill="1" applyBorder="1"/>
    <xf numFmtId="4" fontId="97" fillId="57" borderId="335" xfId="0" applyNumberFormat="1" applyFont="1" applyFill="1" applyBorder="1" applyAlignment="1">
      <alignment horizontal="right" vertical="center"/>
    </xf>
    <xf numFmtId="4" fontId="170" fillId="57" borderId="335" xfId="0" applyNumberFormat="1" applyFont="1" applyFill="1" applyBorder="1" applyAlignment="1">
      <alignment horizontal="right" vertical="center"/>
    </xf>
    <xf numFmtId="0" fontId="61" fillId="0" borderId="335" xfId="0" applyFont="1" applyFill="1" applyBorder="1" applyAlignment="1">
      <alignment vertical="center"/>
    </xf>
    <xf numFmtId="178" fontId="97" fillId="57" borderId="335" xfId="0" applyNumberFormat="1" applyFont="1" applyFill="1" applyBorder="1" applyAlignment="1">
      <alignment horizontal="right" vertical="center"/>
    </xf>
    <xf numFmtId="178" fontId="97" fillId="0" borderId="335" xfId="0" applyNumberFormat="1" applyFont="1" applyFill="1" applyBorder="1"/>
    <xf numFmtId="178" fontId="97" fillId="57" borderId="335" xfId="0" applyNumberFormat="1" applyFont="1" applyFill="1" applyBorder="1"/>
    <xf numFmtId="178" fontId="170" fillId="57" borderId="335" xfId="0" applyNumberFormat="1" applyFont="1" applyFill="1" applyBorder="1" applyAlignment="1">
      <alignment horizontal="right" vertical="center"/>
    </xf>
    <xf numFmtId="10" fontId="97" fillId="0" borderId="335" xfId="0" applyNumberFormat="1" applyFont="1" applyFill="1" applyBorder="1"/>
    <xf numFmtId="174" fontId="89" fillId="0" borderId="335" xfId="0" applyNumberFormat="1" applyFont="1" applyFill="1" applyBorder="1"/>
    <xf numFmtId="178" fontId="61" fillId="0" borderId="335" xfId="0" applyNumberFormat="1" applyFont="1" applyFill="1" applyBorder="1" applyProtection="1">
      <protection locked="0"/>
    </xf>
    <xf numFmtId="178" fontId="89" fillId="0" borderId="335" xfId="0" applyNumberFormat="1" applyFont="1" applyFill="1" applyBorder="1" applyAlignment="1">
      <alignment horizontal="right" vertical="center"/>
    </xf>
    <xf numFmtId="4" fontId="89" fillId="0" borderId="335" xfId="0" applyNumberFormat="1" applyFont="1" applyFill="1" applyBorder="1" applyAlignment="1">
      <alignment horizontal="right" vertical="center"/>
    </xf>
    <xf numFmtId="178" fontId="89" fillId="57" borderId="335" xfId="0" applyNumberFormat="1" applyFont="1" applyFill="1" applyBorder="1" applyAlignment="1">
      <alignment horizontal="right" vertical="center"/>
    </xf>
    <xf numFmtId="178" fontId="97" fillId="0" borderId="335" xfId="0" applyNumberFormat="1" applyFont="1" applyFill="1" applyBorder="1" applyAlignment="1">
      <alignment horizontal="right" vertical="center"/>
    </xf>
    <xf numFmtId="4" fontId="97" fillId="0" borderId="335" xfId="0" applyNumberFormat="1" applyFont="1" applyFill="1" applyBorder="1" applyAlignment="1">
      <alignment horizontal="right" vertical="center"/>
    </xf>
    <xf numFmtId="4" fontId="97" fillId="57" borderId="331" xfId="0" applyNumberFormat="1" applyFont="1" applyFill="1" applyBorder="1" applyAlignment="1">
      <alignment horizontal="right" vertical="center"/>
    </xf>
    <xf numFmtId="4" fontId="97" fillId="57" borderId="335" xfId="0" applyNumberFormat="1" applyFont="1" applyFill="1" applyBorder="1"/>
    <xf numFmtId="178" fontId="170" fillId="57" borderId="335" xfId="0" applyNumberFormat="1" applyFont="1" applyFill="1" applyBorder="1"/>
    <xf numFmtId="4" fontId="170" fillId="57" borderId="335" xfId="0" applyNumberFormat="1" applyFont="1" applyFill="1" applyBorder="1"/>
    <xf numFmtId="178" fontId="97" fillId="0" borderId="335" xfId="0" applyNumberFormat="1" applyFont="1" applyBorder="1"/>
    <xf numFmtId="4" fontId="97" fillId="0" borderId="335" xfId="0" applyNumberFormat="1" applyFont="1" applyBorder="1"/>
    <xf numFmtId="2" fontId="97" fillId="57" borderId="335" xfId="0" applyNumberFormat="1" applyFont="1" applyFill="1" applyBorder="1" applyAlignment="1">
      <alignment horizontal="right" vertical="center"/>
    </xf>
    <xf numFmtId="178" fontId="89" fillId="0" borderId="335" xfId="0" applyNumberFormat="1" applyFont="1" applyBorder="1"/>
    <xf numFmtId="2" fontId="89" fillId="0" borderId="335" xfId="0" applyNumberFormat="1" applyFont="1" applyBorder="1"/>
    <xf numFmtId="2" fontId="89" fillId="57" borderId="335" xfId="0" applyNumberFormat="1" applyFont="1" applyFill="1" applyBorder="1" applyAlignment="1">
      <alignment horizontal="right" vertical="center"/>
    </xf>
    <xf numFmtId="178" fontId="170" fillId="0" borderId="335" xfId="0" applyNumberFormat="1" applyFont="1" applyBorder="1"/>
    <xf numFmtId="4" fontId="170" fillId="0" borderId="335" xfId="0" applyNumberFormat="1" applyFont="1" applyBorder="1"/>
    <xf numFmtId="2" fontId="170" fillId="57" borderId="335" xfId="0" applyNumberFormat="1" applyFont="1" applyFill="1" applyBorder="1" applyAlignment="1">
      <alignment horizontal="right" vertical="center"/>
    </xf>
    <xf numFmtId="4" fontId="89" fillId="0" borderId="335" xfId="0" applyNumberFormat="1" applyFont="1" applyBorder="1"/>
    <xf numFmtId="0" fontId="18" fillId="0" borderId="335" xfId="0" applyFont="1" applyBorder="1"/>
    <xf numFmtId="2" fontId="89" fillId="57" borderId="335" xfId="0" applyNumberFormat="1" applyFont="1" applyFill="1" applyBorder="1" applyAlignment="1">
      <alignment horizontal="right" wrapText="1"/>
    </xf>
    <xf numFmtId="4" fontId="89" fillId="57" borderId="336" xfId="0" applyNumberFormat="1" applyFont="1" applyFill="1" applyBorder="1"/>
    <xf numFmtId="0" fontId="0" fillId="0" borderId="0" xfId="0" applyFont="1" applyAlignment="1">
      <alignment horizontal="left" vertical="top"/>
    </xf>
    <xf numFmtId="0" fontId="0" fillId="0" borderId="335" xfId="0" applyFont="1" applyBorder="1"/>
    <xf numFmtId="4" fontId="61" fillId="0" borderId="335" xfId="0" applyNumberFormat="1" applyFont="1" applyFill="1" applyBorder="1" applyAlignment="1">
      <alignment horizontal="center"/>
    </xf>
    <xf numFmtId="0" fontId="61" fillId="0" borderId="296" xfId="0" applyFont="1" applyBorder="1" applyAlignment="1" applyProtection="1">
      <alignment vertical="center" wrapText="1"/>
    </xf>
    <xf numFmtId="0" fontId="61" fillId="0" borderId="296" xfId="0" applyFont="1" applyBorder="1" applyAlignment="1">
      <alignment horizontal="center" vertical="center"/>
    </xf>
    <xf numFmtId="0" fontId="61" fillId="0" borderId="337" xfId="0" applyFont="1" applyFill="1" applyBorder="1" applyAlignment="1">
      <alignment horizontal="center" vertical="center" wrapText="1"/>
    </xf>
    <xf numFmtId="0" fontId="18" fillId="0" borderId="296" xfId="0" applyFont="1" applyFill="1" applyBorder="1" applyAlignment="1">
      <alignment vertical="center" wrapText="1"/>
    </xf>
    <xf numFmtId="169" fontId="18" fillId="0" borderId="335" xfId="0" applyNumberFormat="1" applyFont="1" applyBorder="1" applyAlignment="1">
      <alignment horizontal="center"/>
    </xf>
    <xf numFmtId="178" fontId="18" fillId="0" borderId="337" xfId="0" applyNumberFormat="1" applyFont="1" applyFill="1" applyBorder="1" applyAlignment="1" applyProtection="1">
      <alignment vertical="center"/>
    </xf>
    <xf numFmtId="0" fontId="61" fillId="0" borderId="296" xfId="0" applyFont="1" applyFill="1" applyBorder="1" applyAlignment="1">
      <alignment vertical="center" wrapText="1"/>
    </xf>
    <xf numFmtId="169" fontId="61" fillId="0" borderId="335" xfId="0" applyNumberFormat="1" applyFont="1" applyBorder="1" applyAlignment="1">
      <alignment horizontal="center"/>
    </xf>
    <xf numFmtId="178" fontId="61" fillId="0" borderId="337" xfId="0" applyNumberFormat="1" applyFont="1" applyFill="1" applyBorder="1" applyAlignment="1" applyProtection="1">
      <alignment vertical="center"/>
    </xf>
    <xf numFmtId="10" fontId="62" fillId="0" borderId="335" xfId="0" applyNumberFormat="1" applyFont="1" applyFill="1" applyBorder="1" applyAlignment="1" applyProtection="1">
      <alignment vertical="center"/>
    </xf>
    <xf numFmtId="10" fontId="62" fillId="0" borderId="337" xfId="0" applyNumberFormat="1" applyFont="1" applyFill="1" applyBorder="1" applyAlignment="1" applyProtection="1">
      <alignment vertical="center"/>
    </xf>
    <xf numFmtId="0" fontId="18" fillId="29" borderId="338" xfId="0" applyFont="1" applyFill="1" applyBorder="1" applyAlignment="1">
      <alignment horizontal="left"/>
    </xf>
    <xf numFmtId="0" fontId="14" fillId="29" borderId="329" xfId="0" applyFont="1" applyFill="1" applyBorder="1"/>
    <xf numFmtId="0" fontId="0" fillId="29" borderId="339" xfId="0" applyFont="1" applyFill="1" applyBorder="1"/>
    <xf numFmtId="0" fontId="13" fillId="0" borderId="329" xfId="0" applyFont="1" applyFill="1" applyBorder="1" applyAlignment="1">
      <alignment horizontal="center" vertical="center" wrapText="1"/>
    </xf>
    <xf numFmtId="0" fontId="18" fillId="57" borderId="337" xfId="0" applyFont="1" applyFill="1" applyBorder="1" applyAlignment="1">
      <alignment horizontal="center" vertical="center" wrapText="1"/>
    </xf>
    <xf numFmtId="0" fontId="61" fillId="0" borderId="296" xfId="0" applyFont="1" applyBorder="1" applyAlignment="1">
      <alignment vertical="center" wrapText="1"/>
    </xf>
    <xf numFmtId="4" fontId="61" fillId="57" borderId="335" xfId="0" applyNumberFormat="1" applyFont="1" applyFill="1" applyBorder="1" applyAlignment="1">
      <alignment vertical="center"/>
    </xf>
    <xf numFmtId="4" fontId="61" fillId="57" borderId="337" xfId="0" applyNumberFormat="1" applyFont="1" applyFill="1" applyBorder="1" applyAlignment="1">
      <alignment vertical="center"/>
    </xf>
    <xf numFmtId="0" fontId="18" fillId="0" borderId="296" xfId="0" applyFont="1" applyBorder="1" applyAlignment="1">
      <alignment vertical="center" wrapText="1"/>
    </xf>
    <xf numFmtId="4" fontId="18" fillId="57" borderId="335" xfId="0" applyNumberFormat="1" applyFont="1" applyFill="1" applyBorder="1" applyAlignment="1">
      <alignment vertical="center"/>
    </xf>
    <xf numFmtId="4" fontId="18" fillId="57" borderId="337" xfId="0" applyNumberFormat="1" applyFont="1" applyFill="1" applyBorder="1" applyAlignment="1">
      <alignment vertical="center"/>
    </xf>
    <xf numFmtId="4" fontId="18" fillId="0" borderId="335" xfId="0" applyNumberFormat="1" applyFont="1" applyFill="1" applyBorder="1" applyAlignment="1">
      <alignment vertical="center"/>
    </xf>
    <xf numFmtId="0" fontId="61" fillId="0" borderId="296" xfId="0" applyFont="1" applyBorder="1" applyAlignment="1">
      <alignment vertical="center"/>
    </xf>
    <xf numFmtId="178" fontId="61" fillId="0" borderId="337" xfId="0" applyNumberFormat="1" applyFont="1" applyFill="1" applyBorder="1" applyAlignment="1">
      <alignment vertical="center"/>
    </xf>
    <xf numFmtId="0" fontId="62" fillId="0" borderId="296" xfId="0" applyFont="1" applyBorder="1" applyAlignment="1">
      <alignment vertical="center"/>
    </xf>
    <xf numFmtId="178" fontId="62" fillId="0" borderId="337" xfId="0" applyNumberFormat="1" applyFont="1" applyFill="1" applyBorder="1" applyAlignment="1">
      <alignment vertical="center"/>
    </xf>
    <xf numFmtId="0" fontId="62" fillId="0" borderId="296" xfId="0" applyFont="1" applyFill="1" applyBorder="1" applyAlignment="1">
      <alignment vertical="center"/>
    </xf>
    <xf numFmtId="0" fontId="18" fillId="0" borderId="296" xfId="0" applyFont="1" applyBorder="1" applyAlignment="1">
      <alignment vertical="center"/>
    </xf>
    <xf numFmtId="4" fontId="18" fillId="0" borderId="335" xfId="0" applyNumberFormat="1" applyFont="1" applyFill="1" applyBorder="1" applyAlignment="1">
      <alignment horizontal="center"/>
    </xf>
    <xf numFmtId="178" fontId="18" fillId="0" borderId="335" xfId="0" applyNumberFormat="1" applyFont="1" applyFill="1" applyBorder="1" applyAlignment="1">
      <alignment vertical="center"/>
    </xf>
    <xf numFmtId="178" fontId="18" fillId="0" borderId="337" xfId="0" applyNumberFormat="1" applyFont="1" applyFill="1" applyBorder="1" applyAlignment="1">
      <alignment vertical="center"/>
    </xf>
    <xf numFmtId="178" fontId="18" fillId="0" borderId="335" xfId="0" applyNumberFormat="1" applyFont="1" applyFill="1" applyBorder="1"/>
    <xf numFmtId="178" fontId="18" fillId="0" borderId="337" xfId="0" applyNumberFormat="1" applyFont="1" applyFill="1" applyBorder="1"/>
    <xf numFmtId="0" fontId="18" fillId="0" borderId="296" xfId="0" applyFont="1" applyFill="1" applyBorder="1" applyAlignment="1">
      <alignment vertical="center"/>
    </xf>
    <xf numFmtId="2" fontId="18" fillId="0" borderId="335" xfId="0" applyNumberFormat="1" applyFont="1" applyFill="1" applyBorder="1" applyAlignment="1">
      <alignment horizontal="center"/>
    </xf>
    <xf numFmtId="178" fontId="81" fillId="0" borderId="335" xfId="0" applyNumberFormat="1" applyFont="1" applyFill="1" applyBorder="1" applyAlignment="1">
      <alignment vertical="center"/>
    </xf>
    <xf numFmtId="0" fontId="18" fillId="0" borderId="289" xfId="0" applyFont="1" applyFill="1" applyBorder="1" applyAlignment="1">
      <alignment vertical="center"/>
    </xf>
    <xf numFmtId="2" fontId="18" fillId="0" borderId="292" xfId="0" applyNumberFormat="1" applyFont="1" applyFill="1" applyBorder="1" applyAlignment="1">
      <alignment horizontal="center"/>
    </xf>
    <xf numFmtId="4" fontId="18" fillId="0" borderId="292" xfId="0" applyNumberFormat="1" applyFont="1" applyFill="1" applyBorder="1"/>
    <xf numFmtId="4" fontId="18" fillId="0" borderId="295" xfId="0" applyNumberFormat="1" applyFont="1" applyFill="1" applyBorder="1"/>
    <xf numFmtId="0" fontId="18" fillId="0" borderId="337" xfId="0" applyFont="1" applyFill="1" applyBorder="1" applyAlignment="1">
      <alignment horizontal="center" vertical="center" wrapText="1"/>
    </xf>
    <xf numFmtId="0" fontId="0" fillId="0" borderId="329" xfId="0" applyFont="1" applyFill="1" applyBorder="1"/>
    <xf numFmtId="0" fontId="0" fillId="0" borderId="339" xfId="0" applyFont="1" applyFill="1" applyBorder="1"/>
    <xf numFmtId="0" fontId="17" fillId="0" borderId="340" xfId="0" applyFont="1" applyFill="1" applyBorder="1" applyAlignment="1">
      <alignment vertical="center"/>
    </xf>
    <xf numFmtId="0" fontId="82" fillId="0" borderId="331" xfId="0" applyFont="1" applyFill="1" applyBorder="1" applyAlignment="1">
      <alignment horizontal="center" vertical="center"/>
    </xf>
    <xf numFmtId="0" fontId="17" fillId="0" borderId="296" xfId="0" applyFont="1" applyFill="1" applyBorder="1" applyAlignment="1">
      <alignment vertical="center"/>
    </xf>
    <xf numFmtId="0" fontId="83" fillId="0" borderId="296" xfId="0" applyFont="1" applyFill="1" applyBorder="1" applyAlignment="1">
      <alignment vertical="center"/>
    </xf>
    <xf numFmtId="0" fontId="178" fillId="0" borderId="296" xfId="0" applyFont="1" applyFill="1" applyBorder="1" applyAlignment="1">
      <alignment vertical="center"/>
    </xf>
    <xf numFmtId="0" fontId="82" fillId="0" borderId="335" xfId="0" applyFont="1" applyFill="1" applyBorder="1" applyAlignment="1">
      <alignment horizontal="center" vertical="center"/>
    </xf>
    <xf numFmtId="2" fontId="178" fillId="0" borderId="335" xfId="0" applyNumberFormat="1" applyFont="1" applyFill="1" applyBorder="1" applyAlignment="1">
      <alignment vertical="center"/>
    </xf>
    <xf numFmtId="2" fontId="178" fillId="0" borderId="337" xfId="0" applyNumberFormat="1" applyFont="1" applyFill="1" applyBorder="1" applyAlignment="1">
      <alignment vertical="center"/>
    </xf>
    <xf numFmtId="2" fontId="17" fillId="0" borderId="335" xfId="0" applyNumberFormat="1" applyFont="1" applyFill="1" applyBorder="1" applyAlignment="1">
      <alignment vertical="center"/>
    </xf>
    <xf numFmtId="2" fontId="17" fillId="0" borderId="337" xfId="0" applyNumberFormat="1" applyFont="1" applyFill="1" applyBorder="1" applyAlignment="1">
      <alignment vertical="center"/>
    </xf>
    <xf numFmtId="49" fontId="83" fillId="0" borderId="296" xfId="0" applyNumberFormat="1" applyFont="1" applyFill="1" applyBorder="1" applyAlignment="1">
      <alignment vertical="center"/>
    </xf>
    <xf numFmtId="0" fontId="82" fillId="0" borderId="296" xfId="0" applyFont="1" applyFill="1" applyBorder="1" applyAlignment="1">
      <alignment vertical="center"/>
    </xf>
    <xf numFmtId="0" fontId="83" fillId="0" borderId="296" xfId="0" applyFont="1" applyFill="1" applyBorder="1" applyAlignment="1">
      <alignment vertical="center" wrapText="1"/>
    </xf>
    <xf numFmtId="0" fontId="83" fillId="0" borderId="335" xfId="0" applyFont="1" applyFill="1" applyBorder="1" applyAlignment="1">
      <alignment horizontal="center" vertical="center"/>
    </xf>
    <xf numFmtId="2" fontId="82" fillId="0" borderId="335" xfId="0" applyNumberFormat="1" applyFont="1" applyFill="1" applyBorder="1" applyAlignment="1">
      <alignment vertical="center"/>
    </xf>
    <xf numFmtId="2" fontId="82" fillId="0" borderId="337" xfId="0" applyNumberFormat="1" applyFont="1" applyFill="1" applyBorder="1" applyAlignment="1">
      <alignment vertical="center"/>
    </xf>
    <xf numFmtId="0" fontId="17" fillId="0" borderId="289" xfId="0" applyFont="1" applyFill="1" applyBorder="1" applyAlignment="1">
      <alignment vertical="center"/>
    </xf>
    <xf numFmtId="0" fontId="82" fillId="0" borderId="292" xfId="0" applyFont="1" applyFill="1" applyBorder="1" applyAlignment="1">
      <alignment horizontal="center" vertical="center"/>
    </xf>
    <xf numFmtId="2" fontId="17" fillId="0" borderId="292" xfId="0" applyNumberFormat="1" applyFont="1" applyFill="1" applyBorder="1" applyAlignment="1">
      <alignment vertical="center"/>
    </xf>
    <xf numFmtId="2" fontId="17" fillId="0" borderId="295" xfId="0" applyNumberFormat="1" applyFont="1" applyFill="1" applyBorder="1" applyAlignment="1">
      <alignment vertical="center"/>
    </xf>
    <xf numFmtId="0" fontId="82" fillId="0" borderId="296" xfId="0" applyFont="1" applyFill="1" applyBorder="1" applyAlignment="1">
      <alignment vertical="center" wrapText="1"/>
    </xf>
    <xf numFmtId="0" fontId="82" fillId="0" borderId="289" xfId="0" applyFont="1" applyFill="1" applyBorder="1" applyAlignment="1">
      <alignment vertical="center" wrapText="1"/>
    </xf>
    <xf numFmtId="2" fontId="82" fillId="0" borderId="292" xfId="0" applyNumberFormat="1" applyFont="1" applyFill="1" applyBorder="1" applyAlignment="1">
      <alignment vertical="center"/>
    </xf>
    <xf numFmtId="2" fontId="82" fillId="0" borderId="295" xfId="0" applyNumberFormat="1" applyFont="1" applyFill="1" applyBorder="1" applyAlignment="1">
      <alignment vertical="center"/>
    </xf>
    <xf numFmtId="0" fontId="17" fillId="0" borderId="331" xfId="0" applyFont="1" applyFill="1" applyBorder="1" applyAlignment="1">
      <alignment vertical="center"/>
    </xf>
    <xf numFmtId="0" fontId="17" fillId="0" borderId="341" xfId="0" applyFont="1" applyFill="1" applyBorder="1" applyAlignment="1">
      <alignment vertical="center"/>
    </xf>
    <xf numFmtId="2" fontId="83" fillId="0" borderId="335" xfId="0" applyNumberFormat="1" applyFont="1" applyFill="1" applyBorder="1" applyAlignment="1">
      <alignment vertical="center"/>
    </xf>
    <xf numFmtId="2" fontId="83" fillId="0" borderId="337" xfId="0" applyNumberFormat="1" applyFont="1" applyFill="1" applyBorder="1" applyAlignment="1">
      <alignment vertical="center"/>
    </xf>
    <xf numFmtId="0" fontId="49" fillId="0" borderId="0" xfId="191" applyFont="1"/>
    <xf numFmtId="178" fontId="97" fillId="57" borderId="335" xfId="0" applyNumberFormat="1" applyFont="1" applyFill="1" applyBorder="1" applyAlignment="1">
      <alignment vertical="center"/>
    </xf>
    <xf numFmtId="178" fontId="170" fillId="57" borderId="335" xfId="0" applyNumberFormat="1" applyFont="1" applyFill="1" applyBorder="1" applyAlignment="1">
      <alignment vertical="center"/>
    </xf>
    <xf numFmtId="174" fontId="97" fillId="57" borderId="335" xfId="0" applyNumberFormat="1" applyFont="1" applyFill="1" applyBorder="1" applyAlignment="1" applyProtection="1">
      <alignment vertical="center"/>
    </xf>
    <xf numFmtId="4" fontId="170" fillId="0" borderId="335" xfId="0" applyNumberFormat="1" applyFont="1" applyFill="1" applyBorder="1" applyAlignment="1">
      <alignment vertical="center"/>
    </xf>
    <xf numFmtId="10" fontId="170" fillId="57" borderId="335" xfId="0" applyNumberFormat="1" applyFont="1" applyFill="1" applyBorder="1" applyAlignment="1" applyProtection="1">
      <alignment vertical="center"/>
    </xf>
    <xf numFmtId="168" fontId="170" fillId="57" borderId="257" xfId="0" applyNumberFormat="1" applyFont="1" applyFill="1" applyBorder="1" applyAlignment="1" applyProtection="1">
      <alignment vertical="center"/>
    </xf>
    <xf numFmtId="178" fontId="89" fillId="57" borderId="270" xfId="0" applyNumberFormat="1" applyFont="1" applyFill="1" applyBorder="1" applyAlignment="1">
      <alignment horizontal="right" vertical="center"/>
    </xf>
    <xf numFmtId="178" fontId="170" fillId="57" borderId="270" xfId="0" applyNumberFormat="1" applyFont="1" applyFill="1" applyBorder="1" applyAlignment="1">
      <alignment horizontal="right" vertical="center"/>
    </xf>
    <xf numFmtId="178" fontId="170" fillId="57" borderId="270" xfId="0" applyNumberFormat="1" applyFont="1" applyFill="1" applyBorder="1"/>
    <xf numFmtId="10" fontId="170" fillId="0" borderId="335" xfId="0" applyNumberFormat="1" applyFont="1" applyFill="1" applyBorder="1" applyAlignment="1" applyProtection="1">
      <alignment vertical="center"/>
    </xf>
    <xf numFmtId="10" fontId="170" fillId="57" borderId="335" xfId="0" applyNumberFormat="1" applyFont="1" applyFill="1" applyBorder="1" applyAlignment="1">
      <alignment vertical="center"/>
    </xf>
    <xf numFmtId="0" fontId="19" fillId="0" borderId="0" xfId="0" applyFont="1" applyAlignment="1">
      <alignment horizontal="center"/>
    </xf>
    <xf numFmtId="0" fontId="61" fillId="0" borderId="331" xfId="0" applyFont="1" applyBorder="1" applyAlignment="1">
      <alignment horizontal="center" vertical="center"/>
    </xf>
    <xf numFmtId="0" fontId="61" fillId="0" borderId="11" xfId="0" applyFont="1" applyBorder="1" applyAlignment="1">
      <alignment horizontal="center" vertical="center"/>
    </xf>
    <xf numFmtId="0" fontId="61" fillId="38" borderId="192" xfId="0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38" borderId="205" xfId="79" applyFont="1" applyFill="1" applyBorder="1" applyAlignment="1">
      <alignment horizontal="center" vertical="center" wrapText="1"/>
    </xf>
    <xf numFmtId="0" fontId="61" fillId="38" borderId="335" xfId="0" applyFont="1" applyFill="1" applyBorder="1" applyAlignment="1">
      <alignment horizontal="center" wrapText="1"/>
    </xf>
    <xf numFmtId="0" fontId="18" fillId="38" borderId="335" xfId="0" applyFont="1" applyFill="1" applyBorder="1" applyAlignment="1">
      <alignment vertical="center" wrapText="1"/>
    </xf>
    <xf numFmtId="0" fontId="18" fillId="38" borderId="335" xfId="0" applyFont="1" applyFill="1" applyBorder="1" applyAlignment="1">
      <alignment horizontal="center" vertical="center" wrapText="1"/>
    </xf>
    <xf numFmtId="0" fontId="80" fillId="38" borderId="335" xfId="0" applyFont="1" applyFill="1" applyBorder="1"/>
    <xf numFmtId="0" fontId="80" fillId="38" borderId="331" xfId="0" applyFont="1" applyFill="1" applyBorder="1"/>
    <xf numFmtId="0" fontId="61" fillId="38" borderId="331" xfId="0" applyFont="1" applyFill="1" applyBorder="1" applyAlignment="1">
      <alignment horizontal="center" vertical="center" wrapText="1"/>
    </xf>
    <xf numFmtId="0" fontId="61" fillId="38" borderId="272" xfId="0" applyFont="1" applyFill="1" applyBorder="1" applyAlignment="1">
      <alignment horizontal="center" vertical="center" wrapText="1"/>
    </xf>
    <xf numFmtId="0" fontId="61" fillId="38" borderId="278" xfId="0" applyFont="1" applyFill="1" applyBorder="1" applyAlignment="1">
      <alignment horizontal="center" vertical="center" wrapText="1"/>
    </xf>
    <xf numFmtId="0" fontId="80" fillId="0" borderId="335" xfId="0" applyFont="1" applyFill="1" applyBorder="1" applyAlignment="1">
      <alignment vertical="center"/>
    </xf>
    <xf numFmtId="4" fontId="61" fillId="0" borderId="335" xfId="0" applyNumberFormat="1" applyFont="1" applyFill="1" applyBorder="1" applyAlignment="1">
      <alignment horizontal="right" vertical="center"/>
    </xf>
    <xf numFmtId="4" fontId="62" fillId="0" borderId="335" xfId="0" applyNumberFormat="1" applyFont="1" applyFill="1" applyBorder="1" applyAlignment="1">
      <alignment horizontal="right" vertical="center"/>
    </xf>
    <xf numFmtId="4" fontId="18" fillId="0" borderId="335" xfId="0" applyNumberFormat="1" applyFont="1" applyFill="1" applyBorder="1" applyAlignment="1">
      <alignment horizontal="right" vertical="center"/>
    </xf>
    <xf numFmtId="4" fontId="61" fillId="0" borderId="335" xfId="0" applyNumberFormat="1" applyFont="1" applyFill="1" applyBorder="1" applyAlignment="1">
      <alignment horizontal="center" vertical="center"/>
    </xf>
    <xf numFmtId="178" fontId="18" fillId="0" borderId="335" xfId="0" applyNumberFormat="1" applyFont="1" applyFill="1" applyBorder="1" applyAlignment="1">
      <alignment horizontal="center" vertical="center"/>
    </xf>
    <xf numFmtId="4" fontId="18" fillId="0" borderId="335" xfId="0" applyNumberFormat="1" applyFont="1" applyFill="1" applyBorder="1" applyAlignment="1">
      <alignment horizontal="center" vertical="center"/>
    </xf>
    <xf numFmtId="178" fontId="61" fillId="0" borderId="335" xfId="0" applyNumberFormat="1" applyFont="1" applyFill="1" applyBorder="1" applyAlignment="1">
      <alignment horizontal="center" vertical="center"/>
    </xf>
    <xf numFmtId="178" fontId="18" fillId="29" borderId="296" xfId="0" applyNumberFormat="1" applyFont="1" applyFill="1" applyBorder="1" applyAlignment="1">
      <alignment horizontal="center" vertical="center"/>
    </xf>
    <xf numFmtId="178" fontId="18" fillId="29" borderId="335" xfId="0" applyNumberFormat="1" applyFont="1" applyFill="1" applyBorder="1" applyAlignment="1">
      <alignment horizontal="center" vertical="center"/>
    </xf>
    <xf numFmtId="178" fontId="18" fillId="0" borderId="336" xfId="0" applyNumberFormat="1" applyFont="1" applyFill="1" applyBorder="1" applyAlignment="1">
      <alignment horizontal="center" vertical="center"/>
    </xf>
    <xf numFmtId="178" fontId="89" fillId="0" borderId="335" xfId="0" applyNumberFormat="1" applyFont="1" applyFill="1" applyBorder="1" applyAlignment="1">
      <alignment horizontal="center" vertical="center"/>
    </xf>
    <xf numFmtId="0" fontId="61" fillId="0" borderId="335" xfId="0" applyFont="1" applyFill="1" applyBorder="1" applyAlignment="1">
      <alignment horizontal="right" vertical="center"/>
    </xf>
    <xf numFmtId="0" fontId="61" fillId="0" borderId="335" xfId="0" applyFont="1" applyFill="1" applyBorder="1" applyAlignment="1">
      <alignment horizontal="center" vertical="center"/>
    </xf>
    <xf numFmtId="178" fontId="61" fillId="29" borderId="296" xfId="0" applyNumberFormat="1" applyFont="1" applyFill="1" applyBorder="1" applyAlignment="1">
      <alignment horizontal="center" vertical="center"/>
    </xf>
    <xf numFmtId="178" fontId="61" fillId="29" borderId="335" xfId="0" applyNumberFormat="1" applyFont="1" applyFill="1" applyBorder="1" applyAlignment="1">
      <alignment horizontal="center" vertical="center"/>
    </xf>
    <xf numFmtId="178" fontId="61" fillId="0" borderId="336" xfId="0" applyNumberFormat="1" applyFont="1" applyFill="1" applyBorder="1" applyAlignment="1">
      <alignment horizontal="center" vertical="center"/>
    </xf>
    <xf numFmtId="178" fontId="97" fillId="0" borderId="335" xfId="0" applyNumberFormat="1" applyFont="1" applyFill="1" applyBorder="1" applyAlignment="1">
      <alignment horizontal="center" vertical="center"/>
    </xf>
    <xf numFmtId="10" fontId="62" fillId="0" borderId="335" xfId="85" applyNumberFormat="1" applyFont="1" applyFill="1" applyBorder="1" applyAlignment="1">
      <alignment horizontal="right" vertical="center"/>
    </xf>
    <xf numFmtId="0" fontId="62" fillId="0" borderId="335" xfId="0" applyFont="1" applyFill="1" applyBorder="1" applyAlignment="1">
      <alignment horizontal="right" vertical="center"/>
    </xf>
    <xf numFmtId="10" fontId="62" fillId="0" borderId="335" xfId="85" applyNumberFormat="1" applyFont="1" applyFill="1" applyBorder="1" applyAlignment="1">
      <alignment horizontal="center" vertical="center"/>
    </xf>
    <xf numFmtId="178" fontId="62" fillId="0" borderId="335" xfId="85" applyNumberFormat="1" applyFont="1" applyFill="1" applyBorder="1" applyAlignment="1">
      <alignment horizontal="center" vertical="center"/>
    </xf>
    <xf numFmtId="171" fontId="62" fillId="0" borderId="335" xfId="85" applyNumberFormat="1" applyFont="1" applyFill="1" applyBorder="1" applyAlignment="1">
      <alignment horizontal="center" vertical="center"/>
    </xf>
    <xf numFmtId="178" fontId="62" fillId="29" borderId="296" xfId="85" applyNumberFormat="1" applyFont="1" applyFill="1" applyBorder="1" applyAlignment="1">
      <alignment horizontal="center" vertical="center"/>
    </xf>
    <xf numFmtId="178" fontId="62" fillId="29" borderId="335" xfId="85" applyNumberFormat="1" applyFont="1" applyFill="1" applyBorder="1" applyAlignment="1">
      <alignment horizontal="center" vertical="center"/>
    </xf>
    <xf numFmtId="178" fontId="62" fillId="0" borderId="336" xfId="85" applyNumberFormat="1" applyFont="1" applyFill="1" applyBorder="1" applyAlignment="1">
      <alignment horizontal="center" vertical="center"/>
    </xf>
    <xf numFmtId="178" fontId="170" fillId="0" borderId="335" xfId="85" applyNumberFormat="1" applyFont="1" applyFill="1" applyBorder="1" applyAlignment="1">
      <alignment horizontal="center" vertical="center"/>
    </xf>
    <xf numFmtId="4" fontId="81" fillId="0" borderId="335" xfId="0" applyNumberFormat="1" applyFont="1" applyFill="1" applyBorder="1" applyAlignment="1">
      <alignment horizontal="right" vertical="center"/>
    </xf>
    <xf numFmtId="0" fontId="18" fillId="0" borderId="335" xfId="0" applyFont="1" applyFill="1" applyBorder="1" applyAlignment="1">
      <alignment horizontal="right" vertical="center"/>
    </xf>
    <xf numFmtId="4" fontId="62" fillId="0" borderId="335" xfId="0" applyNumberFormat="1" applyFont="1" applyFill="1" applyBorder="1" applyAlignment="1">
      <alignment horizontal="right" vertical="center" wrapText="1"/>
    </xf>
    <xf numFmtId="4" fontId="62" fillId="0" borderId="335" xfId="0" applyNumberFormat="1" applyFont="1" applyFill="1" applyBorder="1" applyAlignment="1">
      <alignment horizontal="center" vertical="center" wrapText="1"/>
    </xf>
    <xf numFmtId="4" fontId="62" fillId="0" borderId="335" xfId="0" applyNumberFormat="1" applyFont="1" applyFill="1" applyBorder="1" applyAlignment="1">
      <alignment horizontal="center" vertical="center"/>
    </xf>
    <xf numFmtId="178" fontId="62" fillId="0" borderId="335" xfId="0" applyNumberFormat="1" applyFont="1" applyFill="1" applyBorder="1" applyAlignment="1">
      <alignment horizontal="center" vertical="center" wrapText="1"/>
    </xf>
    <xf numFmtId="171" fontId="62" fillId="0" borderId="335" xfId="85" applyNumberFormat="1" applyFont="1" applyFill="1" applyBorder="1" applyAlignment="1">
      <alignment horizontal="center" vertical="center" wrapText="1"/>
    </xf>
    <xf numFmtId="178" fontId="81" fillId="0" borderId="335" xfId="0" applyNumberFormat="1" applyFont="1" applyFill="1" applyBorder="1" applyAlignment="1">
      <alignment horizontal="center" vertical="center" wrapText="1"/>
    </xf>
    <xf numFmtId="178" fontId="81" fillId="29" borderId="296" xfId="0" applyNumberFormat="1" applyFont="1" applyFill="1" applyBorder="1" applyAlignment="1">
      <alignment horizontal="center" vertical="center" wrapText="1"/>
    </xf>
    <xf numFmtId="178" fontId="81" fillId="29" borderId="335" xfId="0" applyNumberFormat="1" applyFont="1" applyFill="1" applyBorder="1" applyAlignment="1">
      <alignment horizontal="center" vertical="center" wrapText="1"/>
    </xf>
    <xf numFmtId="178" fontId="81" fillId="0" borderId="336" xfId="0" applyNumberFormat="1" applyFont="1" applyFill="1" applyBorder="1" applyAlignment="1">
      <alignment horizontal="center" vertical="center" wrapText="1"/>
    </xf>
    <xf numFmtId="178" fontId="171" fillId="0" borderId="335" xfId="0" applyNumberFormat="1" applyFont="1" applyFill="1" applyBorder="1" applyAlignment="1">
      <alignment horizontal="center" vertical="center" wrapText="1"/>
    </xf>
    <xf numFmtId="178" fontId="170" fillId="0" borderId="335" xfId="0" applyNumberFormat="1" applyFont="1" applyFill="1" applyBorder="1" applyAlignment="1">
      <alignment horizontal="center" vertical="center" wrapText="1"/>
    </xf>
    <xf numFmtId="178" fontId="62" fillId="29" borderId="335" xfId="0" applyNumberFormat="1" applyFont="1" applyFill="1" applyBorder="1" applyAlignment="1">
      <alignment horizontal="center" vertical="center" wrapText="1"/>
    </xf>
    <xf numFmtId="169" fontId="18" fillId="0" borderId="335" xfId="0" applyNumberFormat="1" applyFont="1" applyFill="1" applyBorder="1" applyAlignment="1">
      <alignment horizontal="center" vertical="center"/>
    </xf>
    <xf numFmtId="168" fontId="18" fillId="0" borderId="335" xfId="0" applyNumberFormat="1" applyFont="1" applyFill="1" applyBorder="1" applyAlignment="1">
      <alignment horizontal="center" vertical="center"/>
    </xf>
    <xf numFmtId="168" fontId="18" fillId="0" borderId="335" xfId="0" applyNumberFormat="1" applyFont="1" applyFill="1" applyBorder="1" applyAlignment="1">
      <alignment horizontal="right" vertical="center"/>
    </xf>
    <xf numFmtId="178" fontId="62" fillId="0" borderId="335" xfId="0" applyNumberFormat="1" applyFont="1" applyFill="1" applyBorder="1" applyAlignment="1">
      <alignment horizontal="center" vertical="center"/>
    </xf>
    <xf numFmtId="178" fontId="62" fillId="29" borderId="296" xfId="0" applyNumberFormat="1" applyFont="1" applyFill="1" applyBorder="1" applyAlignment="1">
      <alignment horizontal="center" vertical="center"/>
    </xf>
    <xf numFmtId="178" fontId="62" fillId="29" borderId="335" xfId="0" applyNumberFormat="1" applyFont="1" applyFill="1" applyBorder="1" applyAlignment="1">
      <alignment horizontal="center" vertical="center"/>
    </xf>
    <xf numFmtId="178" fontId="170" fillId="0" borderId="335" xfId="0" applyNumberFormat="1" applyFont="1" applyFill="1" applyBorder="1" applyAlignment="1">
      <alignment horizontal="center" vertical="center"/>
    </xf>
    <xf numFmtId="49" fontId="62" fillId="0" borderId="296" xfId="0" applyNumberFormat="1" applyFont="1" applyFill="1" applyBorder="1" applyAlignment="1">
      <alignment vertical="center" wrapText="1"/>
    </xf>
    <xf numFmtId="178" fontId="62" fillId="0" borderId="336" xfId="0" applyNumberFormat="1" applyFont="1" applyFill="1" applyBorder="1" applyAlignment="1">
      <alignment horizontal="center" vertical="center"/>
    </xf>
    <xf numFmtId="0" fontId="62" fillId="0" borderId="340" xfId="0" applyFont="1" applyFill="1" applyBorder="1" applyAlignment="1">
      <alignment vertical="center" wrapText="1"/>
    </xf>
    <xf numFmtId="0" fontId="61" fillId="0" borderId="331" xfId="0" applyFont="1" applyFill="1" applyBorder="1" applyAlignment="1">
      <alignment vertical="center"/>
    </xf>
    <xf numFmtId="4" fontId="61" fillId="0" borderId="331" xfId="0" applyNumberFormat="1" applyFont="1" applyFill="1" applyBorder="1" applyAlignment="1">
      <alignment horizontal="right" vertical="center"/>
    </xf>
    <xf numFmtId="0" fontId="61" fillId="0" borderId="331" xfId="0" applyFont="1" applyFill="1" applyBorder="1" applyAlignment="1">
      <alignment horizontal="right" vertical="center"/>
    </xf>
    <xf numFmtId="0" fontId="61" fillId="0" borderId="331" xfId="0" applyFont="1" applyFill="1" applyBorder="1" applyAlignment="1">
      <alignment horizontal="center" vertical="center"/>
    </xf>
    <xf numFmtId="4" fontId="61" fillId="0" borderId="331" xfId="0" applyNumberFormat="1" applyFont="1" applyFill="1" applyBorder="1" applyAlignment="1">
      <alignment horizontal="center" vertical="center"/>
    </xf>
    <xf numFmtId="178" fontId="61" fillId="0" borderId="331" xfId="0" applyNumberFormat="1" applyFont="1" applyFill="1" applyBorder="1" applyAlignment="1">
      <alignment horizontal="center" vertical="center"/>
    </xf>
    <xf numFmtId="178" fontId="62" fillId="0" borderId="331" xfId="0" applyNumberFormat="1" applyFont="1" applyFill="1" applyBorder="1" applyAlignment="1">
      <alignment horizontal="center" vertical="center"/>
    </xf>
    <xf numFmtId="4" fontId="62" fillId="0" borderId="331" xfId="0" applyNumberFormat="1" applyFont="1" applyFill="1" applyBorder="1" applyAlignment="1">
      <alignment horizontal="center" vertical="center"/>
    </xf>
    <xf numFmtId="4" fontId="62" fillId="0" borderId="331" xfId="0" applyNumberFormat="1" applyFont="1" applyFill="1" applyBorder="1" applyAlignment="1">
      <alignment horizontal="right" vertical="center"/>
    </xf>
    <xf numFmtId="178" fontId="62" fillId="29" borderId="340" xfId="0" applyNumberFormat="1" applyFont="1" applyFill="1" applyBorder="1" applyAlignment="1">
      <alignment horizontal="center" vertical="center"/>
    </xf>
    <xf numFmtId="178" fontId="62" fillId="29" borderId="331" xfId="0" applyNumberFormat="1" applyFont="1" applyFill="1" applyBorder="1" applyAlignment="1">
      <alignment horizontal="center" vertical="center"/>
    </xf>
    <xf numFmtId="178" fontId="62" fillId="0" borderId="332" xfId="0" applyNumberFormat="1" applyFont="1" applyFill="1" applyBorder="1" applyAlignment="1">
      <alignment horizontal="center" vertical="center"/>
    </xf>
    <xf numFmtId="178" fontId="62" fillId="0" borderId="272" xfId="0" applyNumberFormat="1" applyFont="1" applyFill="1" applyBorder="1" applyAlignment="1">
      <alignment horizontal="center" vertical="center"/>
    </xf>
    <xf numFmtId="178" fontId="170" fillId="0" borderId="272" xfId="0" applyNumberFormat="1" applyFont="1" applyFill="1" applyBorder="1" applyAlignment="1">
      <alignment horizontal="center" vertical="center"/>
    </xf>
    <xf numFmtId="178" fontId="62" fillId="29" borderId="272" xfId="0" applyNumberFormat="1" applyFont="1" applyFill="1" applyBorder="1" applyAlignment="1">
      <alignment horizontal="center" vertical="center"/>
    </xf>
    <xf numFmtId="0" fontId="82" fillId="0" borderId="18" xfId="0" applyFont="1" applyFill="1" applyBorder="1" applyAlignment="1">
      <alignment horizontal="center" vertical="center" wrapText="1"/>
    </xf>
    <xf numFmtId="168" fontId="18" fillId="0" borderId="296" xfId="0" applyNumberFormat="1" applyFont="1" applyFill="1" applyBorder="1" applyAlignment="1">
      <alignment horizontal="center" vertical="center"/>
    </xf>
    <xf numFmtId="168" fontId="18" fillId="0" borderId="336" xfId="0" applyNumberFormat="1" applyFont="1" applyFill="1" applyBorder="1" applyAlignment="1">
      <alignment horizontal="center" vertical="center"/>
    </xf>
    <xf numFmtId="168" fontId="18" fillId="29" borderId="335" xfId="0" applyNumberFormat="1" applyFont="1" applyFill="1" applyBorder="1" applyAlignment="1">
      <alignment horizontal="center" vertical="center"/>
    </xf>
    <xf numFmtId="168" fontId="61" fillId="0" borderId="335" xfId="0" applyNumberFormat="1" applyFont="1" applyFill="1" applyBorder="1" applyAlignment="1">
      <alignment horizontal="center" vertical="center"/>
    </xf>
    <xf numFmtId="178" fontId="61" fillId="0" borderId="335" xfId="0" applyNumberFormat="1" applyFont="1" applyFill="1" applyBorder="1" applyAlignment="1">
      <alignment horizontal="right" vertical="center"/>
    </xf>
    <xf numFmtId="178" fontId="61" fillId="0" borderId="296" xfId="0" applyNumberFormat="1" applyFont="1" applyFill="1" applyBorder="1" applyAlignment="1">
      <alignment horizontal="center" vertical="center"/>
    </xf>
    <xf numFmtId="178" fontId="62" fillId="0" borderId="335" xfId="0" applyNumberFormat="1" applyFont="1" applyFill="1" applyBorder="1" applyAlignment="1">
      <alignment horizontal="right" vertical="center"/>
    </xf>
    <xf numFmtId="178" fontId="62" fillId="0" borderId="296" xfId="0" applyNumberFormat="1" applyFont="1" applyFill="1" applyBorder="1" applyAlignment="1">
      <alignment horizontal="center" vertical="center"/>
    </xf>
    <xf numFmtId="0" fontId="61" fillId="0" borderId="277" xfId="0" applyFont="1" applyFill="1" applyBorder="1" applyAlignment="1">
      <alignment vertical="center" wrapText="1"/>
    </xf>
    <xf numFmtId="0" fontId="61" fillId="0" borderId="272" xfId="0" applyFont="1" applyFill="1" applyBorder="1" applyAlignment="1">
      <alignment vertical="center"/>
    </xf>
    <xf numFmtId="4" fontId="61" fillId="0" borderId="272" xfId="0" applyNumberFormat="1" applyFont="1" applyFill="1" applyBorder="1" applyAlignment="1">
      <alignment horizontal="right" vertical="center"/>
    </xf>
    <xf numFmtId="4" fontId="62" fillId="0" borderId="272" xfId="0" applyNumberFormat="1" applyFont="1" applyFill="1" applyBorder="1" applyAlignment="1">
      <alignment horizontal="right" vertical="center"/>
    </xf>
    <xf numFmtId="0" fontId="61" fillId="0" borderId="272" xfId="0" applyFont="1" applyFill="1" applyBorder="1" applyAlignment="1">
      <alignment horizontal="right" vertical="center"/>
    </xf>
    <xf numFmtId="168" fontId="61" fillId="0" borderId="272" xfId="0" applyNumberFormat="1" applyFont="1" applyFill="1" applyBorder="1" applyAlignment="1">
      <alignment horizontal="center" vertical="center"/>
    </xf>
    <xf numFmtId="4" fontId="61" fillId="0" borderId="272" xfId="0" applyNumberFormat="1" applyFont="1" applyFill="1" applyBorder="1" applyAlignment="1">
      <alignment horizontal="center" vertical="center"/>
    </xf>
    <xf numFmtId="0" fontId="61" fillId="0" borderId="272" xfId="0" applyFont="1" applyFill="1" applyBorder="1" applyAlignment="1">
      <alignment horizontal="center" vertical="center"/>
    </xf>
    <xf numFmtId="4" fontId="61" fillId="0" borderId="277" xfId="0" applyNumberFormat="1" applyFont="1" applyFill="1" applyBorder="1" applyAlignment="1">
      <alignment horizontal="right" vertical="center"/>
    </xf>
    <xf numFmtId="4" fontId="61" fillId="0" borderId="342" xfId="0" applyNumberFormat="1" applyFont="1" applyFill="1" applyBorder="1" applyAlignment="1">
      <alignment horizontal="right" vertical="center"/>
    </xf>
    <xf numFmtId="178" fontId="89" fillId="0" borderId="18" xfId="0" applyNumberFormat="1" applyFont="1" applyFill="1" applyBorder="1" applyAlignment="1">
      <alignment horizontal="center" vertical="center"/>
    </xf>
    <xf numFmtId="178" fontId="89" fillId="0" borderId="337" xfId="0" applyNumberFormat="1" applyFont="1" applyFill="1" applyBorder="1" applyAlignment="1">
      <alignment horizontal="center" vertical="center"/>
    </xf>
    <xf numFmtId="178" fontId="97" fillId="0" borderId="337" xfId="0" applyNumberFormat="1" applyFont="1" applyFill="1" applyBorder="1" applyAlignment="1">
      <alignment horizontal="center" vertical="center"/>
    </xf>
    <xf numFmtId="178" fontId="170" fillId="0" borderId="337" xfId="85" applyNumberFormat="1" applyFont="1" applyFill="1" applyBorder="1" applyAlignment="1">
      <alignment horizontal="center" vertical="center"/>
    </xf>
    <xf numFmtId="178" fontId="170" fillId="0" borderId="337" xfId="0" applyNumberFormat="1" applyFont="1" applyFill="1" applyBorder="1" applyAlignment="1">
      <alignment horizontal="center" vertical="center" wrapText="1"/>
    </xf>
    <xf numFmtId="178" fontId="170" fillId="0" borderId="337" xfId="0" applyNumberFormat="1" applyFont="1" applyFill="1" applyBorder="1" applyAlignment="1">
      <alignment horizontal="center" vertical="center"/>
    </xf>
    <xf numFmtId="178" fontId="170" fillId="0" borderId="278" xfId="0" applyNumberFormat="1" applyFont="1" applyFill="1" applyBorder="1" applyAlignment="1">
      <alignment horizontal="center" vertical="center"/>
    </xf>
    <xf numFmtId="168" fontId="89" fillId="0" borderId="335" xfId="0" applyNumberFormat="1" applyFont="1" applyFill="1" applyBorder="1" applyAlignment="1">
      <alignment horizontal="center" vertical="center"/>
    </xf>
    <xf numFmtId="168" fontId="89" fillId="0" borderId="337" xfId="0" applyNumberFormat="1" applyFont="1" applyFill="1" applyBorder="1" applyAlignment="1">
      <alignment horizontal="center" vertical="center"/>
    </xf>
    <xf numFmtId="4" fontId="97" fillId="0" borderId="292" xfId="0" applyNumberFormat="1" applyFont="1" applyFill="1" applyBorder="1" applyAlignment="1">
      <alignment horizontal="right" vertical="center"/>
    </xf>
    <xf numFmtId="4" fontId="97" fillId="0" borderId="278" xfId="0" applyNumberFormat="1" applyFont="1" applyFill="1" applyBorder="1" applyAlignment="1">
      <alignment horizontal="right" vertical="center"/>
    </xf>
    <xf numFmtId="4" fontId="97" fillId="0" borderId="192" xfId="0" applyNumberFormat="1" applyFont="1" applyFill="1" applyBorder="1" applyAlignment="1">
      <alignment horizontal="center" vertical="center"/>
    </xf>
    <xf numFmtId="10" fontId="170" fillId="0" borderId="192" xfId="85" applyNumberFormat="1" applyFont="1" applyFill="1" applyBorder="1" applyAlignment="1">
      <alignment horizontal="center" vertical="center"/>
    </xf>
    <xf numFmtId="4" fontId="89" fillId="0" borderId="192" xfId="0" applyNumberFormat="1" applyFont="1" applyFill="1" applyBorder="1" applyAlignment="1">
      <alignment horizontal="center" vertical="center"/>
    </xf>
    <xf numFmtId="171" fontId="97" fillId="0" borderId="192" xfId="85" applyNumberFormat="1" applyFont="1" applyFill="1" applyBorder="1" applyAlignment="1">
      <alignment horizontal="center" vertical="center"/>
    </xf>
    <xf numFmtId="178" fontId="171" fillId="0" borderId="192" xfId="0" applyNumberFormat="1" applyFont="1" applyFill="1" applyBorder="1" applyAlignment="1">
      <alignment horizontal="center" vertical="center"/>
    </xf>
    <xf numFmtId="4" fontId="89" fillId="0" borderId="192" xfId="0" applyNumberFormat="1" applyFont="1" applyFill="1" applyBorder="1" applyAlignment="1">
      <alignment horizontal="center" vertical="center" wrapText="1"/>
    </xf>
    <xf numFmtId="170" fontId="89" fillId="0" borderId="192" xfId="0" applyNumberFormat="1" applyFont="1" applyFill="1" applyBorder="1" applyAlignment="1">
      <alignment horizontal="center" vertical="center"/>
    </xf>
    <xf numFmtId="170" fontId="89" fillId="0" borderId="205" xfId="0" applyNumberFormat="1" applyFont="1" applyFill="1" applyBorder="1" applyAlignment="1">
      <alignment horizontal="center" vertical="center"/>
    </xf>
    <xf numFmtId="4" fontId="89" fillId="0" borderId="205" xfId="0" applyNumberFormat="1" applyFont="1" applyFill="1" applyBorder="1" applyAlignment="1">
      <alignment horizontal="center" vertical="center"/>
    </xf>
    <xf numFmtId="4" fontId="89" fillId="0" borderId="257" xfId="0" applyNumberFormat="1" applyFont="1" applyFill="1" applyBorder="1" applyAlignment="1">
      <alignment horizontal="center" vertical="center"/>
    </xf>
    <xf numFmtId="4" fontId="170" fillId="0" borderId="257" xfId="0" applyNumberFormat="1" applyFont="1" applyFill="1" applyBorder="1" applyAlignment="1">
      <alignment horizontal="center" vertical="center"/>
    </xf>
    <xf numFmtId="178" fontId="89" fillId="0" borderId="257" xfId="0" applyNumberFormat="1" applyFont="1" applyFill="1" applyBorder="1" applyAlignment="1">
      <alignment horizontal="center" vertical="center"/>
    </xf>
    <xf numFmtId="178" fontId="170" fillId="0" borderId="257" xfId="0" applyNumberFormat="1" applyFont="1" applyFill="1" applyBorder="1" applyAlignment="1">
      <alignment horizontal="center" vertical="center"/>
    </xf>
    <xf numFmtId="4" fontId="18" fillId="29" borderId="335" xfId="0" applyNumberFormat="1" applyFont="1" applyFill="1" applyBorder="1" applyAlignment="1">
      <alignment horizontal="center" vertical="center"/>
    </xf>
    <xf numFmtId="4" fontId="169" fillId="0" borderId="335" xfId="0" applyNumberFormat="1" applyFont="1" applyFill="1" applyBorder="1" applyAlignment="1">
      <alignment horizontal="center" vertical="center"/>
    </xf>
    <xf numFmtId="4" fontId="89" fillId="0" borderId="335" xfId="0" applyNumberFormat="1" applyFont="1" applyFill="1" applyBorder="1" applyAlignment="1">
      <alignment horizontal="center" vertical="center"/>
    </xf>
    <xf numFmtId="4" fontId="62" fillId="29" borderId="335" xfId="0" applyNumberFormat="1" applyFont="1" applyFill="1" applyBorder="1" applyAlignment="1">
      <alignment horizontal="center" vertical="center"/>
    </xf>
    <xf numFmtId="4" fontId="181" fillId="0" borderId="335" xfId="0" applyNumberFormat="1" applyFont="1" applyFill="1" applyBorder="1" applyAlignment="1">
      <alignment horizontal="center" vertical="center"/>
    </xf>
    <xf numFmtId="4" fontId="170" fillId="0" borderId="335" xfId="0" applyNumberFormat="1" applyFont="1" applyFill="1" applyBorder="1" applyAlignment="1">
      <alignment horizontal="center" vertical="center"/>
    </xf>
    <xf numFmtId="178" fontId="169" fillId="0" borderId="335" xfId="0" applyNumberFormat="1" applyFont="1" applyFill="1" applyBorder="1" applyAlignment="1">
      <alignment horizontal="center" vertical="center"/>
    </xf>
    <xf numFmtId="178" fontId="181" fillId="0" borderId="335" xfId="0" applyNumberFormat="1" applyFont="1" applyFill="1" applyBorder="1" applyAlignment="1">
      <alignment horizontal="center" vertical="center"/>
    </xf>
    <xf numFmtId="4" fontId="97" fillId="0" borderId="192" xfId="0" applyNumberFormat="1" applyFont="1" applyFill="1" applyBorder="1" applyAlignment="1">
      <alignment vertical="center"/>
    </xf>
    <xf numFmtId="4" fontId="170" fillId="0" borderId="192" xfId="0" applyNumberFormat="1" applyFont="1" applyFill="1" applyBorder="1" applyAlignment="1">
      <alignment vertical="center"/>
    </xf>
    <xf numFmtId="4" fontId="118" fillId="0" borderId="192" xfId="96" applyNumberFormat="1" applyFont="1" applyFill="1" applyBorder="1" applyAlignment="1">
      <alignment horizontal="center" vertical="center" wrapText="1"/>
    </xf>
    <xf numFmtId="4" fontId="166" fillId="29" borderId="206" xfId="96" applyNumberFormat="1" applyFont="1" applyFill="1" applyBorder="1" applyAlignment="1">
      <alignment horizontal="center" vertical="center" wrapText="1"/>
    </xf>
    <xf numFmtId="0" fontId="97" fillId="0" borderId="192" xfId="0" applyFont="1" applyFill="1" applyBorder="1" applyAlignment="1">
      <alignment horizontal="center" vertical="center"/>
    </xf>
    <xf numFmtId="2" fontId="97" fillId="0" borderId="192" xfId="0" applyNumberFormat="1" applyFont="1" applyFill="1" applyBorder="1" applyAlignment="1">
      <alignment horizontal="center" vertical="center"/>
    </xf>
    <xf numFmtId="0" fontId="97" fillId="0" borderId="192" xfId="0" applyFont="1" applyFill="1" applyBorder="1" applyAlignment="1">
      <alignment vertical="center"/>
    </xf>
    <xf numFmtId="2" fontId="97" fillId="0" borderId="192" xfId="0" applyNumberFormat="1" applyFont="1" applyFill="1" applyBorder="1" applyAlignment="1">
      <alignment vertical="center"/>
    </xf>
    <xf numFmtId="10" fontId="97" fillId="0" borderId="192" xfId="0" applyNumberFormat="1" applyFont="1" applyFill="1" applyBorder="1" applyAlignment="1">
      <alignment vertical="center"/>
    </xf>
    <xf numFmtId="4" fontId="18" fillId="0" borderId="335" xfId="0" applyNumberFormat="1" applyFont="1" applyFill="1" applyBorder="1"/>
    <xf numFmtId="2" fontId="61" fillId="0" borderId="335" xfId="0" applyNumberFormat="1" applyFont="1" applyBorder="1"/>
    <xf numFmtId="2" fontId="61" fillId="0" borderId="335" xfId="0" applyNumberFormat="1" applyFont="1" applyFill="1" applyBorder="1"/>
    <xf numFmtId="2" fontId="62" fillId="0" borderId="335" xfId="0" applyNumberFormat="1" applyFont="1" applyBorder="1"/>
    <xf numFmtId="4" fontId="61" fillId="0" borderId="335" xfId="0" applyNumberFormat="1" applyFont="1" applyFill="1" applyBorder="1"/>
    <xf numFmtId="2" fontId="61" fillId="0" borderId="331" xfId="0" applyNumberFormat="1" applyFont="1" applyBorder="1"/>
    <xf numFmtId="10" fontId="97" fillId="0" borderId="192" xfId="85" applyNumberFormat="1" applyFont="1" applyFill="1" applyBorder="1" applyAlignment="1">
      <alignment horizontal="center" vertical="center"/>
    </xf>
    <xf numFmtId="4" fontId="118" fillId="0" borderId="192" xfId="0" applyNumberFormat="1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14" fillId="29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vertical="center" wrapText="1"/>
    </xf>
    <xf numFmtId="0" fontId="14" fillId="0" borderId="192" xfId="0" applyFont="1" applyFill="1" applyBorder="1" applyAlignment="1">
      <alignment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2" fontId="14" fillId="0" borderId="31" xfId="0" applyNumberFormat="1" applyFont="1" applyBorder="1" applyAlignment="1">
      <alignment horizontal="center" vertical="center" wrapText="1"/>
    </xf>
    <xf numFmtId="0" fontId="13" fillId="0" borderId="192" xfId="0" applyFont="1" applyFill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vertical="center"/>
    </xf>
    <xf numFmtId="0" fontId="14" fillId="0" borderId="192" xfId="0" applyFont="1" applyFill="1" applyBorder="1" applyAlignment="1">
      <alignment horizontal="center" vertical="center" wrapText="1"/>
    </xf>
    <xf numFmtId="4" fontId="13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/>
    </xf>
    <xf numFmtId="0" fontId="14" fillId="0" borderId="11" xfId="0" applyFont="1" applyBorder="1" applyAlignment="1">
      <alignment horizontal="center" vertical="center" wrapText="1"/>
    </xf>
    <xf numFmtId="4" fontId="144" fillId="0" borderId="192" xfId="0" applyNumberFormat="1" applyFont="1" applyFill="1" applyBorder="1" applyAlignment="1">
      <alignment horizontal="center" vertical="center"/>
    </xf>
    <xf numFmtId="178" fontId="118" fillId="0" borderId="192" xfId="0" applyNumberFormat="1" applyFont="1" applyFill="1" applyBorder="1" applyAlignment="1">
      <alignment horizontal="center" vertical="center"/>
    </xf>
    <xf numFmtId="166" fontId="118" fillId="0" borderId="192" xfId="0" applyNumberFormat="1" applyFont="1" applyFill="1" applyBorder="1" applyAlignment="1">
      <alignment horizontal="center" vertical="center"/>
    </xf>
    <xf numFmtId="166" fontId="118" fillId="0" borderId="192" xfId="0" applyNumberFormat="1" applyFont="1" applyFill="1" applyBorder="1"/>
    <xf numFmtId="4" fontId="118" fillId="0" borderId="193" xfId="85" applyNumberFormat="1" applyFont="1" applyFill="1" applyBorder="1" applyAlignment="1">
      <alignment horizontal="center" vertical="center"/>
    </xf>
    <xf numFmtId="4" fontId="118" fillId="0" borderId="192" xfId="85" applyNumberFormat="1" applyFont="1" applyFill="1" applyBorder="1" applyAlignment="1">
      <alignment horizontal="center" vertical="center"/>
    </xf>
    <xf numFmtId="4" fontId="118" fillId="0" borderId="205" xfId="85" applyNumberFormat="1" applyFont="1" applyFill="1" applyBorder="1" applyAlignment="1">
      <alignment horizontal="center" vertical="center"/>
    </xf>
    <xf numFmtId="168" fontId="118" fillId="0" borderId="192" xfId="0" applyNumberFormat="1" applyFont="1" applyFill="1" applyBorder="1"/>
    <xf numFmtId="4" fontId="118" fillId="0" borderId="192" xfId="0" applyNumberFormat="1" applyFont="1" applyFill="1" applyBorder="1" applyAlignment="1">
      <alignment horizontal="right"/>
    </xf>
    <xf numFmtId="168" fontId="118" fillId="0" borderId="192" xfId="0" applyNumberFormat="1" applyFont="1" applyFill="1" applyBorder="1" applyAlignment="1">
      <alignment horizontal="right"/>
    </xf>
    <xf numFmtId="2" fontId="118" fillId="0" borderId="192" xfId="0" applyNumberFormat="1" applyFont="1" applyFill="1" applyBorder="1" applyAlignment="1">
      <alignment horizontal="right" vertical="center"/>
    </xf>
    <xf numFmtId="0" fontId="118" fillId="0" borderId="192" xfId="0" applyFont="1" applyFill="1" applyBorder="1" applyAlignment="1">
      <alignment vertical="center"/>
    </xf>
    <xf numFmtId="4" fontId="144" fillId="0" borderId="192" xfId="0" applyNumberFormat="1" applyFont="1" applyFill="1" applyBorder="1"/>
    <xf numFmtId="178" fontId="144" fillId="0" borderId="192" xfId="0" applyNumberFormat="1" applyFont="1" applyFill="1" applyBorder="1" applyAlignment="1">
      <alignment horizontal="center" vertical="center"/>
    </xf>
    <xf numFmtId="170" fontId="118" fillId="0" borderId="192" xfId="0" applyNumberFormat="1" applyFont="1" applyFill="1" applyBorder="1" applyAlignment="1">
      <alignment horizontal="right" vertical="center"/>
    </xf>
    <xf numFmtId="4" fontId="118" fillId="0" borderId="192" xfId="0" applyNumberFormat="1" applyFont="1" applyFill="1" applyBorder="1" applyAlignment="1">
      <alignment horizontal="right" vertical="center"/>
    </xf>
    <xf numFmtId="169" fontId="144" fillId="0" borderId="192" xfId="0" applyNumberFormat="1" applyFont="1" applyFill="1" applyBorder="1" applyAlignment="1">
      <alignment horizontal="right" vertical="center"/>
    </xf>
    <xf numFmtId="0" fontId="144" fillId="0" borderId="192" xfId="0" applyFont="1" applyFill="1" applyBorder="1" applyAlignment="1">
      <alignment horizontal="center" vertical="center"/>
    </xf>
    <xf numFmtId="2" fontId="126" fillId="0" borderId="192" xfId="89" applyNumberFormat="1" applyFont="1" applyFill="1" applyBorder="1" applyAlignment="1">
      <alignment horizontal="center" vertical="center"/>
    </xf>
    <xf numFmtId="9" fontId="118" fillId="0" borderId="192" xfId="85" applyFont="1" applyFill="1" applyBorder="1" applyAlignment="1">
      <alignment vertical="center"/>
    </xf>
    <xf numFmtId="3" fontId="118" fillId="0" borderId="192" xfId="0" applyNumberFormat="1" applyFont="1" applyFill="1" applyBorder="1" applyAlignment="1">
      <alignment vertical="center"/>
    </xf>
    <xf numFmtId="0" fontId="118" fillId="0" borderId="192" xfId="0" applyFont="1" applyFill="1" applyBorder="1" applyAlignment="1">
      <alignment horizontal="center" vertical="center"/>
    </xf>
    <xf numFmtId="2" fontId="144" fillId="0" borderId="192" xfId="0" applyNumberFormat="1" applyFont="1" applyFill="1" applyBorder="1" applyAlignment="1">
      <alignment horizontal="center" vertical="center"/>
    </xf>
    <xf numFmtId="4" fontId="144" fillId="0" borderId="192" xfId="0" applyNumberFormat="1" applyFont="1" applyFill="1" applyBorder="1" applyAlignment="1">
      <alignment horizontal="right"/>
    </xf>
    <xf numFmtId="4" fontId="118" fillId="0" borderId="192" xfId="0" applyNumberFormat="1" applyFont="1" applyFill="1" applyBorder="1" applyAlignment="1">
      <alignment horizontal="right" vertical="center" wrapText="1"/>
    </xf>
    <xf numFmtId="4" fontId="118" fillId="0" borderId="192" xfId="79" applyNumberFormat="1" applyFont="1" applyFill="1" applyBorder="1" applyAlignment="1">
      <alignment horizontal="center" vertical="center"/>
    </xf>
    <xf numFmtId="178" fontId="118" fillId="0" borderId="192" xfId="79" applyNumberFormat="1" applyFont="1" applyFill="1" applyBorder="1" applyAlignment="1">
      <alignment horizontal="center" vertical="center"/>
    </xf>
    <xf numFmtId="170" fontId="118" fillId="0" borderId="192" xfId="79" applyNumberFormat="1" applyFont="1" applyFill="1" applyBorder="1" applyAlignment="1">
      <alignment horizontal="center" vertical="center"/>
    </xf>
    <xf numFmtId="174" fontId="118" fillId="0" borderId="192" xfId="79" applyNumberFormat="1" applyFont="1" applyFill="1" applyBorder="1" applyAlignment="1">
      <alignment horizontal="center" vertical="center"/>
    </xf>
    <xf numFmtId="10" fontId="118" fillId="0" borderId="192" xfId="85" applyNumberFormat="1" applyFont="1" applyFill="1" applyBorder="1" applyAlignment="1">
      <alignment horizontal="center" vertical="center"/>
    </xf>
    <xf numFmtId="10" fontId="144" fillId="0" borderId="192" xfId="85" applyNumberFormat="1" applyFont="1" applyFill="1" applyBorder="1" applyAlignment="1">
      <alignment vertical="center"/>
    </xf>
    <xf numFmtId="4" fontId="208" fillId="0" borderId="192" xfId="79" applyNumberFormat="1" applyFont="1" applyFill="1" applyBorder="1" applyAlignment="1">
      <alignment horizontal="center" vertical="center"/>
    </xf>
    <xf numFmtId="0" fontId="14" fillId="0" borderId="277" xfId="0" applyFont="1" applyBorder="1" applyAlignment="1">
      <alignment horizontal="center" vertical="center" wrapText="1"/>
    </xf>
    <xf numFmtId="0" fontId="14" fillId="0" borderId="292" xfId="0" applyFont="1" applyBorder="1" applyAlignment="1">
      <alignment horizontal="center" vertical="center" wrapText="1"/>
    </xf>
    <xf numFmtId="0" fontId="14" fillId="0" borderId="295" xfId="0" applyFont="1" applyBorder="1" applyAlignment="1">
      <alignment horizontal="center" vertical="center" wrapText="1"/>
    </xf>
    <xf numFmtId="0" fontId="14" fillId="0" borderId="343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left" vertical="center" wrapText="1"/>
    </xf>
    <xf numFmtId="2" fontId="14" fillId="0" borderId="37" xfId="0" applyNumberFormat="1" applyFont="1" applyBorder="1" applyAlignment="1">
      <alignment horizontal="center" vertical="center" wrapText="1"/>
    </xf>
    <xf numFmtId="2" fontId="14" fillId="0" borderId="335" xfId="0" applyNumberFormat="1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2" fontId="14" fillId="0" borderId="38" xfId="0" applyNumberFormat="1" applyFont="1" applyBorder="1" applyAlignment="1">
      <alignment horizontal="center" vertical="center" wrapText="1"/>
    </xf>
    <xf numFmtId="0" fontId="14" fillId="0" borderId="338" xfId="0" applyFont="1" applyBorder="1" applyAlignment="1">
      <alignment horizontal="left" vertical="center" wrapText="1"/>
    </xf>
    <xf numFmtId="0" fontId="14" fillId="0" borderId="335" xfId="0" applyFont="1" applyBorder="1" applyAlignment="1">
      <alignment horizontal="center" vertical="center" wrapText="1"/>
    </xf>
    <xf numFmtId="2" fontId="14" fillId="0" borderId="330" xfId="0" applyNumberFormat="1" applyFont="1" applyBorder="1" applyAlignment="1">
      <alignment horizontal="center" vertical="center" wrapText="1"/>
    </xf>
    <xf numFmtId="0" fontId="14" fillId="0" borderId="344" xfId="0" applyFont="1" applyBorder="1" applyAlignment="1">
      <alignment horizontal="left" vertical="center" wrapText="1"/>
    </xf>
    <xf numFmtId="2" fontId="14" fillId="0" borderId="49" xfId="0" applyNumberFormat="1" applyFont="1" applyBorder="1" applyAlignment="1">
      <alignment horizontal="center" vertical="center" wrapText="1"/>
    </xf>
    <xf numFmtId="0" fontId="14" fillId="0" borderId="331" xfId="0" applyFont="1" applyBorder="1" applyAlignment="1">
      <alignment horizontal="center" vertical="center" wrapText="1"/>
    </xf>
    <xf numFmtId="2" fontId="14" fillId="0" borderId="331" xfId="0" applyNumberFormat="1" applyFont="1" applyBorder="1" applyAlignment="1">
      <alignment horizontal="center" vertical="center" wrapText="1"/>
    </xf>
    <xf numFmtId="0" fontId="13" fillId="29" borderId="52" xfId="0" applyFont="1" applyFill="1" applyBorder="1" applyAlignment="1">
      <alignment horizontal="left" vertical="center" wrapText="1"/>
    </xf>
    <xf numFmtId="2" fontId="13" fillId="29" borderId="75" xfId="0" applyNumberFormat="1" applyFont="1" applyFill="1" applyBorder="1" applyAlignment="1">
      <alignment horizontal="center" vertical="center" wrapText="1"/>
    </xf>
    <xf numFmtId="2" fontId="13" fillId="29" borderId="76" xfId="0" applyNumberFormat="1" applyFont="1" applyFill="1" applyBorder="1" applyAlignment="1">
      <alignment horizontal="center" vertical="center" wrapText="1"/>
    </xf>
    <xf numFmtId="2" fontId="13" fillId="29" borderId="80" xfId="0" applyNumberFormat="1" applyFont="1" applyFill="1" applyBorder="1" applyAlignment="1">
      <alignment horizontal="center" vertical="center" wrapText="1"/>
    </xf>
    <xf numFmtId="2" fontId="13" fillId="29" borderId="77" xfId="0" applyNumberFormat="1" applyFont="1" applyFill="1" applyBorder="1" applyAlignment="1">
      <alignment horizontal="center" vertical="center" wrapText="1"/>
    </xf>
    <xf numFmtId="1" fontId="14" fillId="0" borderId="331" xfId="0" applyNumberFormat="1" applyFont="1" applyBorder="1" applyAlignment="1">
      <alignment horizontal="center" vertical="center" wrapText="1"/>
    </xf>
    <xf numFmtId="1" fontId="14" fillId="0" borderId="11" xfId="0" applyNumberFormat="1" applyFont="1" applyBorder="1" applyAlignment="1">
      <alignment horizontal="center" vertical="center" wrapText="1"/>
    </xf>
    <xf numFmtId="168" fontId="13" fillId="29" borderId="76" xfId="0" applyNumberFormat="1" applyFont="1" applyFill="1" applyBorder="1" applyAlignment="1">
      <alignment horizontal="center" vertical="center" wrapText="1"/>
    </xf>
    <xf numFmtId="167" fontId="13" fillId="29" borderId="76" xfId="0" applyNumberFormat="1" applyFont="1" applyFill="1" applyBorder="1" applyAlignment="1">
      <alignment horizontal="center" vertical="center" wrapText="1"/>
    </xf>
    <xf numFmtId="1" fontId="14" fillId="0" borderId="292" xfId="0" applyNumberFormat="1" applyFont="1" applyBorder="1" applyAlignment="1">
      <alignment horizontal="center" vertical="center" wrapText="1"/>
    </xf>
    <xf numFmtId="1" fontId="15" fillId="0" borderId="292" xfId="0" applyNumberFormat="1" applyFont="1" applyBorder="1" applyAlignment="1">
      <alignment horizontal="center" vertical="center" wrapText="1"/>
    </xf>
    <xf numFmtId="0" fontId="15" fillId="0" borderId="292" xfId="0" applyFont="1" applyBorder="1" applyAlignment="1">
      <alignment horizontal="center" vertical="center" wrapText="1"/>
    </xf>
    <xf numFmtId="0" fontId="14" fillId="0" borderId="37" xfId="0" applyFont="1" applyBorder="1" applyAlignment="1">
      <alignment vertical="center"/>
    </xf>
    <xf numFmtId="178" fontId="14" fillId="0" borderId="11" xfId="0" applyNumberFormat="1" applyFont="1" applyBorder="1" applyAlignment="1">
      <alignment vertical="center"/>
    </xf>
    <xf numFmtId="178" fontId="15" fillId="0" borderId="11" xfId="0" applyNumberFormat="1" applyFont="1" applyBorder="1" applyAlignment="1">
      <alignment vertical="center"/>
    </xf>
    <xf numFmtId="4" fontId="14" fillId="0" borderId="11" xfId="0" applyNumberFormat="1" applyFont="1" applyBorder="1" applyAlignment="1">
      <alignment vertical="center"/>
    </xf>
    <xf numFmtId="4" fontId="14" fillId="0" borderId="38" xfId="0" applyNumberFormat="1" applyFont="1" applyBorder="1" applyAlignment="1">
      <alignment vertical="center"/>
    </xf>
    <xf numFmtId="0" fontId="14" fillId="0" borderId="296" xfId="0" applyFont="1" applyBorder="1" applyAlignment="1">
      <alignment vertical="center"/>
    </xf>
    <xf numFmtId="178" fontId="14" fillId="0" borderId="335" xfId="0" applyNumberFormat="1" applyFont="1" applyBorder="1" applyAlignment="1">
      <alignment vertical="center"/>
    </xf>
    <xf numFmtId="4" fontId="14" fillId="0" borderId="335" xfId="0" applyNumberFormat="1" applyFont="1" applyBorder="1" applyAlignment="1">
      <alignment vertical="center"/>
    </xf>
    <xf numFmtId="178" fontId="15" fillId="0" borderId="335" xfId="0" applyNumberFormat="1" applyFont="1" applyBorder="1" applyAlignment="1">
      <alignment vertical="center"/>
    </xf>
    <xf numFmtId="4" fontId="15" fillId="0" borderId="335" xfId="0" applyNumberFormat="1" applyFont="1" applyBorder="1" applyAlignment="1">
      <alignment vertical="center"/>
    </xf>
    <xf numFmtId="0" fontId="14" fillId="0" borderId="340" xfId="0" applyFont="1" applyBorder="1" applyAlignment="1">
      <alignment vertical="center"/>
    </xf>
    <xf numFmtId="178" fontId="14" fillId="0" borderId="331" xfId="0" applyNumberFormat="1" applyFont="1" applyBorder="1" applyAlignment="1">
      <alignment vertical="center"/>
    </xf>
    <xf numFmtId="4" fontId="14" fillId="0" borderId="331" xfId="0" applyNumberFormat="1" applyFont="1" applyBorder="1" applyAlignment="1">
      <alignment vertical="center"/>
    </xf>
    <xf numFmtId="178" fontId="15" fillId="0" borderId="331" xfId="0" applyNumberFormat="1" applyFont="1" applyBorder="1" applyAlignment="1">
      <alignment vertical="center"/>
    </xf>
    <xf numFmtId="4" fontId="15" fillId="0" borderId="331" xfId="0" applyNumberFormat="1" applyFont="1" applyBorder="1" applyAlignment="1">
      <alignment vertical="center"/>
    </xf>
    <xf numFmtId="178" fontId="14" fillId="0" borderId="61" xfId="0" applyNumberFormat="1" applyFont="1" applyBorder="1" applyAlignment="1">
      <alignment vertical="center"/>
    </xf>
    <xf numFmtId="4" fontId="14" fillId="0" borderId="61" xfId="0" applyNumberFormat="1" applyFont="1" applyBorder="1" applyAlignment="1">
      <alignment vertical="center"/>
    </xf>
    <xf numFmtId="4" fontId="14" fillId="0" borderId="67" xfId="0" applyNumberFormat="1" applyFont="1" applyBorder="1" applyAlignment="1">
      <alignment vertical="center"/>
    </xf>
    <xf numFmtId="0" fontId="13" fillId="29" borderId="75" xfId="0" applyFont="1" applyFill="1" applyBorder="1" applyAlignment="1">
      <alignment vertical="center"/>
    </xf>
    <xf numFmtId="178" fontId="13" fillId="29" borderId="76" xfId="0" applyNumberFormat="1" applyFont="1" applyFill="1" applyBorder="1" applyAlignment="1">
      <alignment vertical="center"/>
    </xf>
    <xf numFmtId="4" fontId="13" fillId="29" borderId="76" xfId="0" applyNumberFormat="1" applyFont="1" applyFill="1" applyBorder="1" applyAlignment="1">
      <alignment vertical="center"/>
    </xf>
    <xf numFmtId="178" fontId="16" fillId="29" borderId="76" xfId="0" applyNumberFormat="1" applyFont="1" applyFill="1" applyBorder="1" applyAlignment="1">
      <alignment vertical="center"/>
    </xf>
    <xf numFmtId="4" fontId="16" fillId="29" borderId="76" xfId="0" applyNumberFormat="1" applyFont="1" applyFill="1" applyBorder="1" applyAlignment="1">
      <alignment vertical="center"/>
    </xf>
    <xf numFmtId="178" fontId="14" fillId="29" borderId="76" xfId="0" applyNumberFormat="1" applyFont="1" applyFill="1" applyBorder="1" applyAlignment="1">
      <alignment vertical="center"/>
    </xf>
    <xf numFmtId="4" fontId="14" fillId="29" borderId="77" xfId="0" applyNumberFormat="1" applyFont="1" applyFill="1" applyBorder="1" applyAlignment="1">
      <alignment vertical="center"/>
    </xf>
    <xf numFmtId="4" fontId="15" fillId="0" borderId="11" xfId="0" applyNumberFormat="1" applyFont="1" applyBorder="1" applyAlignment="1">
      <alignment vertical="center"/>
    </xf>
    <xf numFmtId="4" fontId="14" fillId="0" borderId="337" xfId="0" applyNumberFormat="1" applyFont="1" applyBorder="1" applyAlignment="1">
      <alignment vertical="center"/>
    </xf>
    <xf numFmtId="0" fontId="14" fillId="0" borderId="35" xfId="0" applyFont="1" applyBorder="1" applyAlignment="1">
      <alignment horizontal="center" vertical="center" wrapText="1"/>
    </xf>
    <xf numFmtId="2" fontId="13" fillId="29" borderId="81" xfId="0" applyNumberFormat="1" applyFont="1" applyFill="1" applyBorder="1" applyAlignment="1">
      <alignment horizontal="center" vertical="center" wrapText="1"/>
    </xf>
    <xf numFmtId="2" fontId="14" fillId="0" borderId="340" xfId="0" applyNumberFormat="1" applyFont="1" applyBorder="1" applyAlignment="1">
      <alignment horizontal="center" vertical="center" wrapText="1"/>
    </xf>
    <xf numFmtId="2" fontId="14" fillId="0" borderId="296" xfId="0" applyNumberFormat="1" applyFont="1" applyBorder="1" applyAlignment="1">
      <alignment horizontal="center" vertical="center" wrapText="1"/>
    </xf>
    <xf numFmtId="2" fontId="14" fillId="0" borderId="277" xfId="0" applyNumberFormat="1" applyFont="1" applyBorder="1" applyAlignment="1">
      <alignment horizontal="center" vertical="center" wrapText="1"/>
    </xf>
    <xf numFmtId="2" fontId="118" fillId="0" borderId="192" xfId="0" applyNumberFormat="1" applyFont="1" applyFill="1" applyBorder="1" applyAlignment="1">
      <alignment horizontal="center" vertical="center"/>
    </xf>
    <xf numFmtId="168" fontId="126" fillId="0" borderId="192" xfId="0" applyNumberFormat="1" applyFont="1" applyFill="1" applyBorder="1" applyAlignment="1">
      <alignment horizontal="center" vertical="center"/>
    </xf>
    <xf numFmtId="167" fontId="118" fillId="0" borderId="192" xfId="0" applyNumberFormat="1" applyFont="1" applyFill="1" applyBorder="1" applyAlignment="1">
      <alignment horizontal="center" vertical="center"/>
    </xf>
    <xf numFmtId="174" fontId="118" fillId="0" borderId="192" xfId="0" applyNumberFormat="1" applyFont="1" applyFill="1" applyBorder="1" applyAlignment="1">
      <alignment horizontal="center" vertical="center"/>
    </xf>
    <xf numFmtId="168" fontId="118" fillId="0" borderId="192" xfId="0" applyNumberFormat="1" applyFont="1" applyFill="1" applyBorder="1" applyAlignment="1">
      <alignment horizontal="center" vertical="center"/>
    </xf>
    <xf numFmtId="4" fontId="89" fillId="29" borderId="206" xfId="0" applyNumberFormat="1" applyFont="1" applyFill="1" applyBorder="1" applyAlignment="1">
      <alignment horizontal="center" vertical="center" wrapText="1"/>
    </xf>
    <xf numFmtId="178" fontId="97" fillId="29" borderId="192" xfId="0" applyNumberFormat="1" applyFont="1" applyFill="1" applyBorder="1" applyAlignment="1">
      <alignment horizontal="center" vertical="center"/>
    </xf>
    <xf numFmtId="4" fontId="89" fillId="29" borderId="192" xfId="0" applyNumberFormat="1" applyFont="1" applyFill="1" applyBorder="1" applyAlignment="1">
      <alignment horizontal="center" vertical="center"/>
    </xf>
    <xf numFmtId="4" fontId="89" fillId="29" borderId="335" xfId="0" applyNumberFormat="1" applyFont="1" applyFill="1" applyBorder="1" applyAlignment="1">
      <alignment horizontal="center" vertical="center"/>
    </xf>
    <xf numFmtId="4" fontId="170" fillId="29" borderId="335" xfId="0" applyNumberFormat="1" applyFont="1" applyFill="1" applyBorder="1" applyAlignment="1">
      <alignment horizontal="center" vertical="center"/>
    </xf>
    <xf numFmtId="4" fontId="144" fillId="57" borderId="206" xfId="96" applyNumberFormat="1" applyFont="1" applyFill="1" applyBorder="1" applyAlignment="1">
      <alignment horizontal="center" vertical="center" wrapText="1"/>
    </xf>
    <xf numFmtId="4" fontId="118" fillId="57" borderId="192" xfId="96" applyNumberFormat="1" applyFont="1" applyFill="1" applyBorder="1" applyAlignment="1">
      <alignment horizontal="center" vertical="center" wrapText="1"/>
    </xf>
    <xf numFmtId="4" fontId="126" fillId="57" borderId="192" xfId="96" applyNumberFormat="1" applyFont="1" applyFill="1" applyBorder="1" applyAlignment="1">
      <alignment horizontal="center" vertical="center" wrapText="1"/>
    </xf>
    <xf numFmtId="2" fontId="144" fillId="57" borderId="192" xfId="96" applyNumberFormat="1" applyFont="1" applyFill="1" applyBorder="1" applyAlignment="1">
      <alignment vertical="center"/>
    </xf>
    <xf numFmtId="4" fontId="118" fillId="57" borderId="192" xfId="0" applyNumberFormat="1" applyFont="1" applyFill="1" applyBorder="1" applyAlignment="1">
      <alignment horizontal="center" vertical="center" wrapText="1"/>
    </xf>
    <xf numFmtId="4" fontId="186" fillId="57" borderId="192" xfId="0" applyNumberFormat="1" applyFont="1" applyFill="1" applyBorder="1" applyAlignment="1">
      <alignment horizontal="center" vertical="center" wrapText="1"/>
    </xf>
    <xf numFmtId="4" fontId="144" fillId="57" borderId="192" xfId="96" applyNumberFormat="1" applyFont="1" applyFill="1" applyBorder="1" applyAlignment="1">
      <alignment horizontal="center" vertical="center" wrapText="1"/>
    </xf>
    <xf numFmtId="0" fontId="118" fillId="57" borderId="192" xfId="96" applyFont="1" applyFill="1" applyBorder="1"/>
    <xf numFmtId="2" fontId="118" fillId="57" borderId="192" xfId="96" applyNumberFormat="1" applyFont="1" applyFill="1" applyBorder="1" applyAlignment="1">
      <alignment horizontal="center"/>
    </xf>
    <xf numFmtId="169" fontId="118" fillId="57" borderId="192" xfId="96" applyNumberFormat="1" applyFont="1" applyFill="1" applyBorder="1" applyAlignment="1">
      <alignment horizontal="center"/>
    </xf>
    <xf numFmtId="4" fontId="118" fillId="57" borderId="192" xfId="96" applyNumberFormat="1" applyFont="1" applyFill="1" applyBorder="1" applyAlignment="1">
      <alignment horizontal="center"/>
    </xf>
    <xf numFmtId="0" fontId="118" fillId="57" borderId="192" xfId="96" applyFont="1" applyFill="1" applyBorder="1" applyAlignment="1">
      <alignment horizontal="center"/>
    </xf>
    <xf numFmtId="4" fontId="97" fillId="57" borderId="192" xfId="0" applyNumberFormat="1" applyFont="1" applyFill="1" applyBorder="1" applyAlignment="1">
      <alignment vertical="center"/>
    </xf>
    <xf numFmtId="4" fontId="170" fillId="57" borderId="192" xfId="0" applyNumberFormat="1" applyFont="1" applyFill="1" applyBorder="1" applyAlignment="1">
      <alignment vertical="center"/>
    </xf>
    <xf numFmtId="170" fontId="97" fillId="57" borderId="192" xfId="0" applyNumberFormat="1" applyFont="1" applyFill="1" applyBorder="1" applyAlignment="1">
      <alignment vertical="center"/>
    </xf>
    <xf numFmtId="170" fontId="97" fillId="57" borderId="205" xfId="0" applyNumberFormat="1" applyFont="1" applyFill="1" applyBorder="1" applyAlignment="1">
      <alignment horizontal="center" vertical="center"/>
    </xf>
    <xf numFmtId="4" fontId="89" fillId="57" borderId="192" xfId="0" applyNumberFormat="1" applyFont="1" applyFill="1" applyBorder="1" applyAlignment="1">
      <alignment vertical="center"/>
    </xf>
    <xf numFmtId="2" fontId="89" fillId="57" borderId="192" xfId="0" applyNumberFormat="1" applyFont="1" applyFill="1" applyBorder="1" applyAlignment="1">
      <alignment vertical="center"/>
    </xf>
    <xf numFmtId="4" fontId="174" fillId="57" borderId="0" xfId="0" applyNumberFormat="1" applyFont="1" applyFill="1"/>
    <xf numFmtId="2" fontId="174" fillId="57" borderId="0" xfId="0" applyNumberFormat="1" applyFont="1" applyFill="1"/>
    <xf numFmtId="174" fontId="126" fillId="57" borderId="192" xfId="96" applyNumberFormat="1" applyFont="1" applyFill="1" applyBorder="1" applyAlignment="1">
      <alignment horizontal="center" vertical="center" wrapText="1"/>
    </xf>
    <xf numFmtId="0" fontId="144" fillId="57" borderId="192" xfId="96" applyFont="1" applyFill="1" applyBorder="1"/>
    <xf numFmtId="170" fontId="118" fillId="57" borderId="192" xfId="96" applyNumberFormat="1" applyFont="1" applyFill="1" applyBorder="1" applyAlignment="1">
      <alignment horizontal="center" vertical="center" wrapText="1"/>
    </xf>
    <xf numFmtId="4" fontId="173" fillId="57" borderId="192" xfId="0" applyNumberFormat="1" applyFont="1" applyFill="1" applyBorder="1" applyAlignment="1">
      <alignment horizontal="center" vertical="center" wrapText="1"/>
    </xf>
    <xf numFmtId="4" fontId="97" fillId="0" borderId="0" xfId="0" applyNumberFormat="1" applyFont="1" applyFill="1" applyBorder="1" applyAlignment="1">
      <alignment horizontal="right" vertical="center"/>
    </xf>
    <xf numFmtId="0" fontId="118" fillId="0" borderId="0" xfId="0" applyFont="1" applyFill="1" applyAlignment="1">
      <alignment horizontal="right" vertical="center"/>
    </xf>
    <xf numFmtId="4" fontId="89" fillId="0" borderId="0" xfId="0" applyNumberFormat="1" applyFont="1" applyFill="1" applyBorder="1" applyAlignment="1">
      <alignment horizontal="right" vertical="center"/>
    </xf>
    <xf numFmtId="4" fontId="97" fillId="0" borderId="0" xfId="0" applyNumberFormat="1" applyFont="1" applyFill="1" applyAlignment="1">
      <alignment horizontal="right" vertical="center"/>
    </xf>
    <xf numFmtId="0" fontId="97" fillId="0" borderId="0" xfId="0" applyFont="1" applyFill="1" applyAlignment="1">
      <alignment horizontal="right" vertical="center"/>
    </xf>
    <xf numFmtId="170" fontId="97" fillId="0" borderId="0" xfId="0" applyNumberFormat="1" applyFont="1" applyFill="1" applyAlignment="1">
      <alignment horizontal="right" vertical="center"/>
    </xf>
    <xf numFmtId="4" fontId="89" fillId="0" borderId="0" xfId="0" applyNumberFormat="1" applyFont="1" applyFill="1" applyAlignment="1">
      <alignment vertical="center"/>
    </xf>
    <xf numFmtId="0" fontId="97" fillId="0" borderId="0" xfId="0" applyFont="1" applyFill="1" applyAlignment="1">
      <alignment vertical="center"/>
    </xf>
    <xf numFmtId="4" fontId="14" fillId="57" borderId="192" xfId="96" applyNumberFormat="1" applyFont="1" applyFill="1" applyBorder="1" applyAlignment="1">
      <alignment horizontal="center" vertical="center" wrapText="1"/>
    </xf>
    <xf numFmtId="4" fontId="15" fillId="57" borderId="192" xfId="96" applyNumberFormat="1" applyFont="1" applyFill="1" applyBorder="1" applyAlignment="1">
      <alignment horizontal="center" vertical="center" wrapText="1"/>
    </xf>
    <xf numFmtId="170" fontId="15" fillId="57" borderId="192" xfId="96" applyNumberFormat="1" applyFont="1" applyFill="1" applyBorder="1" applyAlignment="1">
      <alignment horizontal="center" vertical="center" wrapText="1"/>
    </xf>
    <xf numFmtId="2" fontId="13" fillId="57" borderId="192" xfId="96" applyNumberFormat="1" applyFont="1" applyFill="1" applyBorder="1" applyAlignment="1">
      <alignment horizontal="center" vertical="center"/>
    </xf>
    <xf numFmtId="4" fontId="14" fillId="57" borderId="192" xfId="0" applyNumberFormat="1" applyFont="1" applyFill="1" applyBorder="1" applyAlignment="1">
      <alignment horizontal="center" vertical="center" wrapText="1"/>
    </xf>
    <xf numFmtId="170" fontId="14" fillId="57" borderId="192" xfId="0" applyNumberFormat="1" applyFont="1" applyFill="1" applyBorder="1" applyAlignment="1">
      <alignment horizontal="center" vertical="center" wrapText="1"/>
    </xf>
    <xf numFmtId="4" fontId="145" fillId="57" borderId="192" xfId="0" applyNumberFormat="1" applyFont="1" applyFill="1" applyBorder="1" applyAlignment="1">
      <alignment horizontal="center" vertical="center" wrapText="1"/>
    </xf>
    <xf numFmtId="4" fontId="13" fillId="57" borderId="192" xfId="96" applyNumberFormat="1" applyFont="1" applyFill="1" applyBorder="1" applyAlignment="1">
      <alignment horizontal="center" vertical="center" wrapText="1"/>
    </xf>
    <xf numFmtId="0" fontId="14" fillId="57" borderId="192" xfId="96" applyFont="1" applyFill="1" applyBorder="1"/>
    <xf numFmtId="2" fontId="14" fillId="57" borderId="192" xfId="96" applyNumberFormat="1" applyFont="1" applyFill="1" applyBorder="1" applyAlignment="1">
      <alignment horizontal="center"/>
    </xf>
    <xf numFmtId="169" fontId="14" fillId="57" borderId="192" xfId="96" applyNumberFormat="1" applyFont="1" applyFill="1" applyBorder="1" applyAlignment="1">
      <alignment horizontal="center"/>
    </xf>
    <xf numFmtId="169" fontId="14" fillId="57" borderId="192" xfId="96" applyNumberFormat="1" applyFont="1" applyFill="1" applyBorder="1" applyAlignment="1">
      <alignment horizontal="center" vertical="center"/>
    </xf>
    <xf numFmtId="0" fontId="13" fillId="57" borderId="192" xfId="96" applyFont="1" applyFill="1" applyBorder="1"/>
    <xf numFmtId="0" fontId="14" fillId="57" borderId="192" xfId="96" applyFont="1" applyFill="1" applyBorder="1" applyAlignment="1">
      <alignment horizontal="center"/>
    </xf>
    <xf numFmtId="2" fontId="89" fillId="0" borderId="335" xfId="0" applyNumberFormat="1" applyFont="1" applyFill="1" applyBorder="1"/>
    <xf numFmtId="4" fontId="62" fillId="0" borderId="335" xfId="0" applyNumberFormat="1" applyFont="1" applyFill="1" applyBorder="1" applyAlignment="1">
      <alignment vertical="center"/>
    </xf>
    <xf numFmtId="178" fontId="170" fillId="0" borderId="335" xfId="0" applyNumberFormat="1" applyFont="1" applyFill="1" applyBorder="1" applyAlignment="1">
      <alignment vertical="center"/>
    </xf>
    <xf numFmtId="178" fontId="62" fillId="0" borderId="335" xfId="0" applyNumberFormat="1" applyFont="1" applyFill="1" applyBorder="1" applyAlignment="1">
      <alignment vertical="center"/>
    </xf>
    <xf numFmtId="2" fontId="170" fillId="0" borderId="335" xfId="0" applyNumberFormat="1" applyFont="1" applyFill="1" applyBorder="1"/>
    <xf numFmtId="168" fontId="89" fillId="0" borderId="335" xfId="0" applyNumberFormat="1" applyFont="1" applyFill="1" applyBorder="1"/>
    <xf numFmtId="174" fontId="62" fillId="0" borderId="257" xfId="0" applyNumberFormat="1" applyFont="1" applyFill="1" applyBorder="1" applyAlignment="1" applyProtection="1">
      <alignment vertical="center"/>
      <protection locked="0"/>
    </xf>
    <xf numFmtId="170" fontId="62" fillId="0" borderId="335" xfId="0" applyNumberFormat="1" applyFont="1" applyFill="1" applyBorder="1" applyProtection="1">
      <protection locked="0"/>
    </xf>
    <xf numFmtId="174" fontId="89" fillId="0" borderId="257" xfId="0" applyNumberFormat="1" applyFont="1" applyFill="1" applyBorder="1" applyAlignment="1" applyProtection="1">
      <alignment vertical="center"/>
    </xf>
    <xf numFmtId="174" fontId="18" fillId="0" borderId="335" xfId="0" applyNumberFormat="1" applyFont="1" applyFill="1" applyBorder="1" applyAlignment="1" applyProtection="1">
      <alignment vertical="center"/>
    </xf>
    <xf numFmtId="174" fontId="89" fillId="0" borderId="335" xfId="0" applyNumberFormat="1" applyFont="1" applyFill="1" applyBorder="1" applyAlignment="1" applyProtection="1">
      <alignment vertical="center"/>
    </xf>
    <xf numFmtId="174" fontId="61" fillId="0" borderId="335" xfId="0" applyNumberFormat="1" applyFont="1" applyFill="1" applyBorder="1" applyAlignment="1" applyProtection="1">
      <alignment vertical="center"/>
    </xf>
    <xf numFmtId="174" fontId="97" fillId="0" borderId="335" xfId="0" applyNumberFormat="1" applyFont="1" applyFill="1" applyBorder="1" applyAlignment="1" applyProtection="1">
      <alignment vertical="center"/>
    </xf>
    <xf numFmtId="174" fontId="170" fillId="0" borderId="335" xfId="0" applyNumberFormat="1" applyFont="1" applyFill="1" applyBorder="1" applyAlignment="1" applyProtection="1">
      <alignment vertical="center"/>
    </xf>
    <xf numFmtId="174" fontId="62" fillId="0" borderId="335" xfId="0" applyNumberFormat="1" applyFont="1" applyFill="1" applyBorder="1" applyAlignment="1" applyProtection="1">
      <alignment vertical="center"/>
    </xf>
    <xf numFmtId="178" fontId="97" fillId="0" borderId="270" xfId="0" applyNumberFormat="1" applyFont="1" applyFill="1" applyBorder="1" applyAlignment="1">
      <alignment horizontal="right" vertical="center"/>
    </xf>
    <xf numFmtId="174" fontId="61" fillId="0" borderId="257" xfId="0" applyNumberFormat="1" applyFont="1" applyFill="1" applyBorder="1" applyAlignment="1" applyProtection="1">
      <alignment vertical="center"/>
    </xf>
    <xf numFmtId="174" fontId="170" fillId="0" borderId="257" xfId="0" applyNumberFormat="1" applyFont="1" applyFill="1" applyBorder="1" applyAlignment="1" applyProtection="1">
      <alignment vertical="center"/>
    </xf>
    <xf numFmtId="174" fontId="62" fillId="0" borderId="257" xfId="0" applyNumberFormat="1" applyFont="1" applyFill="1" applyBorder="1" applyAlignment="1" applyProtection="1">
      <alignment vertical="center"/>
    </xf>
    <xf numFmtId="174" fontId="97" fillId="0" borderId="257" xfId="0" applyNumberFormat="1" applyFont="1" applyFill="1" applyBorder="1" applyAlignment="1" applyProtection="1">
      <alignment vertical="center"/>
    </xf>
    <xf numFmtId="0" fontId="14" fillId="34" borderId="17" xfId="0" applyFont="1" applyFill="1" applyBorder="1" applyAlignment="1">
      <alignment horizontal="center" vertical="center" wrapText="1"/>
    </xf>
    <xf numFmtId="0" fontId="14" fillId="34" borderId="18" xfId="0" applyFont="1" applyFill="1" applyBorder="1" applyAlignment="1">
      <alignment horizontal="center" vertical="center" wrapText="1"/>
    </xf>
    <xf numFmtId="0" fontId="14" fillId="34" borderId="112" xfId="0" applyFont="1" applyFill="1" applyBorder="1" applyAlignment="1">
      <alignment horizontal="center" vertical="center" wrapText="1"/>
    </xf>
    <xf numFmtId="0" fontId="14" fillId="34" borderId="122" xfId="0" applyFont="1" applyFill="1" applyBorder="1" applyAlignment="1">
      <alignment horizontal="center" vertical="center" wrapText="1"/>
    </xf>
    <xf numFmtId="0" fontId="14" fillId="34" borderId="44" xfId="0" applyFont="1" applyFill="1" applyBorder="1" applyAlignment="1">
      <alignment horizontal="center" vertical="center" wrapText="1"/>
    </xf>
    <xf numFmtId="0" fontId="14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4" fillId="34" borderId="121" xfId="0" applyFont="1" applyFill="1" applyBorder="1" applyAlignment="1">
      <alignment horizontal="center" vertical="center" wrapText="1"/>
    </xf>
    <xf numFmtId="0" fontId="14" fillId="34" borderId="112" xfId="0" applyFont="1" applyFill="1" applyBorder="1" applyAlignment="1">
      <alignment horizontal="center" vertical="center"/>
    </xf>
    <xf numFmtId="0" fontId="14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8" fillId="34" borderId="13" xfId="0" applyFont="1" applyFill="1" applyBorder="1" applyAlignment="1">
      <alignment horizontal="center" vertical="center" wrapText="1"/>
    </xf>
    <xf numFmtId="0" fontId="18" fillId="34" borderId="117" xfId="0" applyFont="1" applyFill="1" applyBorder="1" applyAlignment="1">
      <alignment horizontal="center" vertical="center" wrapText="1"/>
    </xf>
    <xf numFmtId="0" fontId="18" fillId="34" borderId="110" xfId="0" applyFont="1" applyFill="1" applyBorder="1" applyAlignment="1">
      <alignment horizontal="center" vertical="center" wrapText="1"/>
    </xf>
    <xf numFmtId="0" fontId="96" fillId="34" borderId="47" xfId="0" applyFont="1" applyFill="1" applyBorder="1" applyAlignment="1">
      <alignment horizontal="center" vertical="center"/>
    </xf>
    <xf numFmtId="0" fontId="65" fillId="34" borderId="47" xfId="0" applyFont="1" applyFill="1" applyBorder="1" applyAlignment="1">
      <alignment horizontal="center" vertical="center"/>
    </xf>
    <xf numFmtId="0" fontId="14" fillId="34" borderId="37" xfId="0" applyFont="1" applyFill="1" applyBorder="1" applyAlignment="1">
      <alignment horizontal="center" vertical="center"/>
    </xf>
    <xf numFmtId="0" fontId="14" fillId="34" borderId="116" xfId="0" applyFont="1" applyFill="1" applyBorder="1" applyAlignment="1">
      <alignment horizontal="center" vertical="center"/>
    </xf>
    <xf numFmtId="0" fontId="14" fillId="34" borderId="120" xfId="0" applyFont="1" applyFill="1" applyBorder="1" applyAlignment="1">
      <alignment horizontal="center" vertical="center"/>
    </xf>
    <xf numFmtId="0" fontId="14" fillId="34" borderId="11" xfId="0" applyFont="1" applyFill="1" applyBorder="1" applyAlignment="1">
      <alignment horizontal="center" vertical="center"/>
    </xf>
    <xf numFmtId="0" fontId="14" fillId="34" borderId="38" xfId="0" applyFont="1" applyFill="1" applyBorder="1" applyAlignment="1">
      <alignment horizontal="center" vertical="center"/>
    </xf>
    <xf numFmtId="0" fontId="14" fillId="34" borderId="16" xfId="0" applyFont="1" applyFill="1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/>
    </xf>
    <xf numFmtId="0" fontId="14" fillId="34" borderId="18" xfId="0" applyFont="1" applyFill="1" applyBorder="1" applyAlignment="1">
      <alignment horizontal="center" vertical="center"/>
    </xf>
    <xf numFmtId="0" fontId="14" fillId="34" borderId="73" xfId="0" applyFont="1" applyFill="1" applyBorder="1" applyAlignment="1">
      <alignment horizontal="center" vertical="center" wrapText="1"/>
    </xf>
    <xf numFmtId="0" fontId="14" fillId="34" borderId="71" xfId="0" applyFont="1" applyFill="1" applyBorder="1" applyAlignment="1">
      <alignment horizontal="center" vertical="center"/>
    </xf>
    <xf numFmtId="0" fontId="14" fillId="34" borderId="69" xfId="0" applyFont="1" applyFill="1" applyBorder="1" applyAlignment="1">
      <alignment horizontal="center" vertical="center"/>
    </xf>
    <xf numFmtId="0" fontId="14" fillId="34" borderId="118" xfId="0" applyFont="1" applyFill="1" applyBorder="1" applyAlignment="1">
      <alignment horizontal="center" vertical="center"/>
    </xf>
    <xf numFmtId="0" fontId="14" fillId="34" borderId="115" xfId="0" applyFont="1" applyFill="1" applyBorder="1" applyAlignment="1">
      <alignment horizontal="center" vertical="center"/>
    </xf>
    <xf numFmtId="0" fontId="14" fillId="34" borderId="119" xfId="0" applyFont="1" applyFill="1" applyBorder="1" applyAlignment="1">
      <alignment horizontal="center" vertical="center"/>
    </xf>
    <xf numFmtId="0" fontId="15" fillId="34" borderId="75" xfId="0" applyFont="1" applyFill="1" applyBorder="1" applyAlignment="1">
      <alignment horizontal="center" vertical="center"/>
    </xf>
    <xf numFmtId="0" fontId="15" fillId="34" borderId="76" xfId="0" applyFont="1" applyFill="1" applyBorder="1" applyAlignment="1">
      <alignment horizontal="center" vertical="center"/>
    </xf>
    <xf numFmtId="0" fontId="14" fillId="34" borderId="77" xfId="0" applyFont="1" applyFill="1" applyBorder="1" applyAlignment="1">
      <alignment horizontal="center" vertical="center"/>
    </xf>
    <xf numFmtId="0" fontId="15" fillId="34" borderId="50" xfId="0" applyFont="1" applyFill="1" applyBorder="1" applyAlignment="1">
      <alignment horizontal="center" vertical="center"/>
    </xf>
    <xf numFmtId="0" fontId="15" fillId="34" borderId="47" xfId="0" applyFont="1" applyFill="1" applyBorder="1" applyAlignment="1">
      <alignment horizontal="center" vertical="center"/>
    </xf>
    <xf numFmtId="0" fontId="14" fillId="34" borderId="48" xfId="0" applyFont="1" applyFill="1" applyBorder="1" applyAlignment="1">
      <alignment horizontal="center" vertical="center"/>
    </xf>
    <xf numFmtId="0" fontId="14" fillId="34" borderId="47" xfId="0" applyFont="1" applyFill="1" applyBorder="1" applyAlignment="1">
      <alignment horizontal="center" vertical="center"/>
    </xf>
    <xf numFmtId="0" fontId="14" fillId="0" borderId="112" xfId="0" applyFont="1" applyBorder="1" applyAlignment="1">
      <alignment horizontal="center" vertical="center" wrapText="1"/>
    </xf>
    <xf numFmtId="0" fontId="14" fillId="0" borderId="121" xfId="0" applyFont="1" applyBorder="1" applyAlignment="1">
      <alignment horizontal="center" vertical="center" wrapText="1"/>
    </xf>
    <xf numFmtId="0" fontId="14" fillId="0" borderId="112" xfId="0" applyFont="1" applyBorder="1" applyAlignment="1">
      <alignment horizontal="center" vertical="center"/>
    </xf>
    <xf numFmtId="0" fontId="14" fillId="0" borderId="122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68" fillId="34" borderId="50" xfId="0" applyFont="1" applyFill="1" applyBorder="1" applyAlignment="1">
      <alignment horizontal="center"/>
    </xf>
    <xf numFmtId="0" fontId="68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8" fillId="0" borderId="13" xfId="0" applyFont="1" applyBorder="1" applyAlignment="1">
      <alignment horizontal="center" vertical="center" wrapText="1"/>
    </xf>
    <xf numFmtId="0" fontId="18" fillId="0" borderId="117" xfId="0" applyFont="1" applyBorder="1" applyAlignment="1">
      <alignment horizontal="center" vertical="center" wrapText="1"/>
    </xf>
    <xf numFmtId="0" fontId="18" fillId="0" borderId="110" xfId="0" applyFont="1" applyBorder="1" applyAlignment="1">
      <alignment horizontal="center" vertical="center" wrapText="1"/>
    </xf>
    <xf numFmtId="0" fontId="96" fillId="0" borderId="47" xfId="0" applyFont="1" applyBorder="1" applyAlignment="1">
      <alignment horizontal="center" vertical="center"/>
    </xf>
    <xf numFmtId="0" fontId="65" fillId="0" borderId="47" xfId="0" applyFont="1" applyBorder="1" applyAlignment="1">
      <alignment horizontal="center" vertical="center"/>
    </xf>
    <xf numFmtId="0" fontId="14" fillId="0" borderId="73" xfId="0" applyFont="1" applyBorder="1" applyAlignment="1">
      <alignment horizontal="center" vertical="center" wrapText="1"/>
    </xf>
    <xf numFmtId="0" fontId="14" fillId="0" borderId="71" xfId="0" applyFont="1" applyBorder="1" applyAlignment="1">
      <alignment horizontal="center" vertical="center"/>
    </xf>
    <xf numFmtId="0" fontId="14" fillId="0" borderId="69" xfId="0" applyFont="1" applyBorder="1" applyAlignment="1">
      <alignment horizontal="center" vertical="center"/>
    </xf>
    <xf numFmtId="0" fontId="14" fillId="0" borderId="118" xfId="0" applyFont="1" applyBorder="1" applyAlignment="1">
      <alignment horizontal="center" vertical="center"/>
    </xf>
    <xf numFmtId="0" fontId="14" fillId="0" borderId="115" xfId="0" applyFont="1" applyBorder="1" applyAlignment="1">
      <alignment horizontal="center" vertical="center"/>
    </xf>
    <xf numFmtId="0" fontId="14" fillId="0" borderId="119" xfId="0" applyFont="1" applyBorder="1" applyAlignment="1">
      <alignment horizontal="center" vertical="center"/>
    </xf>
    <xf numFmtId="0" fontId="15" fillId="0" borderId="75" xfId="0" applyFont="1" applyBorder="1" applyAlignment="1">
      <alignment horizontal="center" vertical="center"/>
    </xf>
    <xf numFmtId="0" fontId="15" fillId="0" borderId="76" xfId="0" applyFont="1" applyBorder="1" applyAlignment="1">
      <alignment horizontal="center" vertical="center"/>
    </xf>
    <xf numFmtId="0" fontId="14" fillId="0" borderId="77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4" fillId="0" borderId="37" xfId="0" applyFont="1" applyBorder="1" applyAlignment="1">
      <alignment horizontal="center" vertical="center"/>
    </xf>
    <xf numFmtId="0" fontId="14" fillId="0" borderId="116" xfId="0" applyFont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38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68" fillId="33" borderId="50" xfId="0" applyFont="1" applyFill="1" applyBorder="1" applyAlignment="1">
      <alignment horizontal="center"/>
    </xf>
    <xf numFmtId="0" fontId="68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4" fillId="34" borderId="113" xfId="0" applyFont="1" applyFill="1" applyBorder="1" applyAlignment="1">
      <alignment horizontal="center" vertical="center"/>
    </xf>
    <xf numFmtId="0" fontId="14" fillId="34" borderId="122" xfId="0" applyFont="1" applyFill="1" applyBorder="1" applyAlignment="1">
      <alignment horizontal="center" vertical="center"/>
    </xf>
    <xf numFmtId="0" fontId="14" fillId="34" borderId="113" xfId="0" applyFont="1" applyFill="1" applyBorder="1" applyAlignment="1">
      <alignment horizontal="center" vertical="center" wrapText="1"/>
    </xf>
    <xf numFmtId="0" fontId="14" fillId="0" borderId="113" xfId="0" applyFont="1" applyBorder="1" applyAlignment="1">
      <alignment horizontal="center" vertical="center"/>
    </xf>
    <xf numFmtId="0" fontId="14" fillId="0" borderId="122" xfId="0" applyFont="1" applyBorder="1" applyAlignment="1">
      <alignment horizontal="center" vertical="center"/>
    </xf>
    <xf numFmtId="0" fontId="14" fillId="0" borderId="113" xfId="0" applyFont="1" applyBorder="1" applyAlignment="1">
      <alignment horizontal="center" vertical="center" wrapText="1"/>
    </xf>
    <xf numFmtId="0" fontId="61" fillId="0" borderId="128" xfId="0" applyFont="1" applyBorder="1" applyAlignment="1">
      <alignment horizontal="center" vertical="center" wrapText="1"/>
    </xf>
    <xf numFmtId="0" fontId="61" fillId="0" borderId="129" xfId="0" applyFont="1" applyBorder="1" applyAlignment="1">
      <alignment horizontal="center" vertical="center" wrapText="1"/>
    </xf>
    <xf numFmtId="0" fontId="61" fillId="0" borderId="130" xfId="0" applyFont="1" applyBorder="1" applyAlignment="1">
      <alignment horizontal="center" vertical="center" wrapText="1"/>
    </xf>
    <xf numFmtId="0" fontId="61" fillId="0" borderId="132" xfId="0" applyFont="1" applyBorder="1" applyAlignment="1">
      <alignment horizontal="center" vertical="center" wrapText="1"/>
    </xf>
    <xf numFmtId="0" fontId="61" fillId="0" borderId="66" xfId="0" applyFont="1" applyBorder="1" applyAlignment="1">
      <alignment horizontal="center" vertical="center" wrapText="1"/>
    </xf>
    <xf numFmtId="0" fontId="61" fillId="0" borderId="74" xfId="0" applyFont="1" applyBorder="1" applyAlignment="1">
      <alignment horizontal="center" vertical="center" wrapText="1"/>
    </xf>
    <xf numFmtId="0" fontId="61" fillId="0" borderId="30" xfId="0" applyFont="1" applyBorder="1" applyAlignment="1">
      <alignment horizontal="left" vertical="center" wrapText="1"/>
    </xf>
    <xf numFmtId="0" fontId="61" fillId="0" borderId="18" xfId="0" applyFont="1" applyBorder="1" applyAlignment="1">
      <alignment horizontal="left" vertical="center" wrapText="1"/>
    </xf>
    <xf numFmtId="0" fontId="61" fillId="0" borderId="113" xfId="0" applyFont="1" applyBorder="1" applyAlignment="1">
      <alignment horizontal="center" vertical="center" wrapText="1"/>
    </xf>
    <xf numFmtId="0" fontId="61" fillId="0" borderId="134" xfId="0" applyFont="1" applyBorder="1" applyAlignment="1">
      <alignment horizontal="center" vertical="center" wrapText="1"/>
    </xf>
    <xf numFmtId="0" fontId="61" fillId="0" borderId="54" xfId="0" applyFont="1" applyBorder="1" applyAlignment="1">
      <alignment horizontal="center" vertical="center" wrapText="1"/>
    </xf>
    <xf numFmtId="0" fontId="18" fillId="29" borderId="52" xfId="0" applyFont="1" applyFill="1" applyBorder="1" applyAlignment="1">
      <alignment horizontal="center" vertical="center"/>
    </xf>
    <xf numFmtId="0" fontId="63" fillId="29" borderId="53" xfId="0" applyFont="1" applyFill="1" applyBorder="1" applyAlignment="1"/>
    <xf numFmtId="0" fontId="63" fillId="29" borderId="55" xfId="0" applyFont="1" applyFill="1" applyBorder="1" applyAlignment="1"/>
    <xf numFmtId="0" fontId="63" fillId="29" borderId="59" xfId="0" applyFont="1" applyFill="1" applyBorder="1" applyAlignment="1"/>
    <xf numFmtId="0" fontId="61" fillId="0" borderId="16" xfId="0" applyFont="1" applyBorder="1" applyAlignment="1">
      <alignment horizontal="left" vertical="center" wrapText="1"/>
    </xf>
    <xf numFmtId="0" fontId="61" fillId="0" borderId="19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0" borderId="68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left" vertical="center" wrapText="1"/>
    </xf>
    <xf numFmtId="0" fontId="61" fillId="0" borderId="92" xfId="0" applyFont="1" applyBorder="1" applyAlignment="1">
      <alignment horizontal="center" vertical="center" wrapText="1"/>
    </xf>
    <xf numFmtId="0" fontId="61" fillId="0" borderId="87" xfId="0" applyFont="1" applyBorder="1" applyAlignment="1">
      <alignment horizontal="center" vertical="center" wrapText="1"/>
    </xf>
    <xf numFmtId="0" fontId="61" fillId="0" borderId="131" xfId="0" applyFont="1" applyBorder="1" applyAlignment="1">
      <alignment horizontal="center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8" fillId="0" borderId="73" xfId="0" applyFont="1" applyFill="1" applyBorder="1" applyAlignment="1">
      <alignment horizontal="center" vertical="center" wrapText="1"/>
    </xf>
    <xf numFmtId="0" fontId="18" fillId="0" borderId="71" xfId="0" applyFont="1" applyFill="1" applyBorder="1" applyAlignment="1">
      <alignment horizontal="center" vertical="center" wrapText="1"/>
    </xf>
    <xf numFmtId="0" fontId="18" fillId="0" borderId="69" xfId="0" applyFont="1" applyFill="1" applyBorder="1" applyAlignment="1">
      <alignment horizontal="center" vertical="center" wrapText="1"/>
    </xf>
    <xf numFmtId="0" fontId="61" fillId="0" borderId="148" xfId="0" applyFont="1" applyBorder="1" applyAlignment="1">
      <alignment horizontal="left" vertical="center" wrapText="1"/>
    </xf>
    <xf numFmtId="0" fontId="61" fillId="0" borderId="113" xfId="0" applyFont="1" applyBorder="1" applyAlignment="1">
      <alignment horizontal="left" vertical="center" wrapText="1"/>
    </xf>
    <xf numFmtId="0" fontId="14" fillId="0" borderId="19" xfId="0" applyFont="1" applyBorder="1" applyAlignment="1">
      <alignment horizontal="left" vertical="center" wrapText="1"/>
    </xf>
    <xf numFmtId="0" fontId="14" fillId="0" borderId="20" xfId="0" applyFont="1" applyBorder="1" applyAlignment="1">
      <alignment horizontal="left" vertical="center" wrapText="1"/>
    </xf>
    <xf numFmtId="0" fontId="14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4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8" fillId="25" borderId="54" xfId="0" applyFont="1" applyFill="1" applyBorder="1" applyAlignment="1">
      <alignment horizontal="center" vertical="center" wrapText="1"/>
    </xf>
    <xf numFmtId="0" fontId="18" fillId="25" borderId="0" xfId="0" applyFont="1" applyFill="1" applyBorder="1" applyAlignment="1">
      <alignment horizontal="center" vertical="center" wrapText="1"/>
    </xf>
    <xf numFmtId="0" fontId="18" fillId="25" borderId="60" xfId="0" applyFont="1" applyFill="1" applyBorder="1" applyAlignment="1">
      <alignment horizontal="center" vertical="center" wrapText="1"/>
    </xf>
    <xf numFmtId="0" fontId="14" fillId="0" borderId="148" xfId="0" applyFont="1" applyBorder="1" applyAlignment="1">
      <alignment horizontal="left" vertical="center" wrapText="1"/>
    </xf>
    <xf numFmtId="0" fontId="14" fillId="0" borderId="113" xfId="0" applyFont="1" applyBorder="1" applyAlignment="1">
      <alignment horizontal="left" vertical="center" wrapText="1"/>
    </xf>
    <xf numFmtId="0" fontId="14" fillId="0" borderId="100" xfId="0" applyFont="1" applyBorder="1" applyAlignment="1">
      <alignment horizontal="left" vertical="center" wrapText="1"/>
    </xf>
    <xf numFmtId="0" fontId="14" fillId="0" borderId="23" xfId="0" applyFont="1" applyBorder="1" applyAlignment="1">
      <alignment horizontal="left" vertical="center" wrapText="1"/>
    </xf>
    <xf numFmtId="0" fontId="62" fillId="0" borderId="19" xfId="0" applyFont="1" applyBorder="1" applyAlignment="1">
      <alignment horizontal="left" vertical="center" wrapText="1"/>
    </xf>
    <xf numFmtId="0" fontId="62" fillId="0" borderId="20" xfId="0" applyFont="1" applyBorder="1" applyAlignment="1">
      <alignment horizontal="left" vertical="center" wrapText="1"/>
    </xf>
    <xf numFmtId="0" fontId="13" fillId="0" borderId="52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59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7" fillId="0" borderId="0" xfId="0" applyFont="1" applyFill="1" applyBorder="1" applyAlignment="1">
      <alignment horizontal="center" wrapText="1"/>
    </xf>
    <xf numFmtId="0" fontId="61" fillId="0" borderId="13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0" fontId="18" fillId="0" borderId="73" xfId="0" applyFont="1" applyBorder="1" applyAlignment="1">
      <alignment horizontal="center" vertical="center" wrapText="1"/>
    </xf>
    <xf numFmtId="0" fontId="18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61" fillId="0" borderId="30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  <xf numFmtId="0" fontId="61" fillId="0" borderId="91" xfId="0" applyFont="1" applyBorder="1" applyAlignment="1">
      <alignment horizontal="center" vertical="center"/>
    </xf>
    <xf numFmtId="0" fontId="61" fillId="0" borderId="20" xfId="0" applyFont="1" applyBorder="1" applyAlignment="1">
      <alignment horizontal="center" vertical="center"/>
    </xf>
    <xf numFmtId="0" fontId="61" fillId="0" borderId="65" xfId="0" applyFont="1" applyBorder="1" applyAlignment="1">
      <alignment horizontal="center" vertical="center"/>
    </xf>
    <xf numFmtId="0" fontId="61" fillId="0" borderId="88" xfId="0" applyFont="1" applyBorder="1" applyAlignment="1">
      <alignment horizontal="center" vertical="center"/>
    </xf>
    <xf numFmtId="0" fontId="61" fillId="0" borderId="116" xfId="0" applyFont="1" applyBorder="1" applyAlignment="1">
      <alignment horizontal="center" vertical="center" wrapText="1"/>
    </xf>
    <xf numFmtId="0" fontId="61" fillId="0" borderId="21" xfId="0" applyFont="1" applyBorder="1" applyAlignment="1">
      <alignment horizontal="center" vertical="center" wrapText="1"/>
    </xf>
    <xf numFmtId="0" fontId="61" fillId="0" borderId="114" xfId="0" applyFont="1" applyBorder="1" applyAlignment="1">
      <alignment horizontal="center" vertical="center" wrapText="1"/>
    </xf>
    <xf numFmtId="0" fontId="61" fillId="0" borderId="146" xfId="0" applyFont="1" applyBorder="1" applyAlignment="1">
      <alignment horizontal="center" vertical="center" wrapText="1"/>
    </xf>
    <xf numFmtId="0" fontId="61" fillId="0" borderId="144" xfId="0" applyFont="1" applyBorder="1" applyAlignment="1">
      <alignment horizontal="center" vertical="center" wrapText="1"/>
    </xf>
    <xf numFmtId="0" fontId="61" fillId="0" borderId="20" xfId="0" applyFont="1" applyBorder="1" applyAlignment="1">
      <alignment horizontal="center" vertical="center" wrapText="1"/>
    </xf>
    <xf numFmtId="0" fontId="61" fillId="0" borderId="88" xfId="0" applyFont="1" applyBorder="1" applyAlignment="1">
      <alignment horizontal="center" vertical="center" wrapText="1"/>
    </xf>
    <xf numFmtId="0" fontId="61" fillId="0" borderId="141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63" xfId="0" applyFont="1" applyBorder="1" applyAlignment="1">
      <alignment horizontal="center" vertical="center" wrapText="1"/>
    </xf>
    <xf numFmtId="0" fontId="14" fillId="0" borderId="49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 wrapText="1"/>
    </xf>
    <xf numFmtId="0" fontId="14" fillId="0" borderId="67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14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4" fillId="0" borderId="46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 wrapText="1"/>
    </xf>
    <xf numFmtId="0" fontId="14" fillId="0" borderId="57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68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 wrapText="1"/>
    </xf>
    <xf numFmtId="0" fontId="14" fillId="0" borderId="6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9" fontId="14" fillId="0" borderId="0" xfId="85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49" fillId="27" borderId="192" xfId="0" applyFont="1" applyFill="1" applyBorder="1" applyAlignment="1">
      <alignment horizontal="center" vertical="center"/>
    </xf>
    <xf numFmtId="168" fontId="49" fillId="27" borderId="205" xfId="0" applyNumberFormat="1" applyFont="1" applyFill="1" applyBorder="1" applyAlignment="1">
      <alignment horizontal="center" vertical="center"/>
    </xf>
    <xf numFmtId="168" fontId="49" fillId="27" borderId="206" xfId="0" applyNumberFormat="1" applyFont="1" applyFill="1" applyBorder="1" applyAlignment="1">
      <alignment horizontal="center" vertical="center"/>
    </xf>
    <xf numFmtId="2" fontId="49" fillId="27" borderId="205" xfId="0" applyNumberFormat="1" applyFont="1" applyFill="1" applyBorder="1" applyAlignment="1">
      <alignment horizontal="center" vertical="center"/>
    </xf>
    <xf numFmtId="2" fontId="49" fillId="27" borderId="206" xfId="0" applyNumberFormat="1" applyFont="1" applyFill="1" applyBorder="1" applyAlignment="1">
      <alignment horizontal="center" vertical="center"/>
    </xf>
    <xf numFmtId="0" fontId="49" fillId="27" borderId="192" xfId="0" applyFont="1" applyFill="1" applyBorder="1" applyAlignment="1">
      <alignment horizontal="center" vertical="center" wrapText="1"/>
    </xf>
    <xf numFmtId="0" fontId="49" fillId="27" borderId="193" xfId="0" applyFont="1" applyFill="1" applyBorder="1" applyAlignment="1">
      <alignment horizontal="center" vertical="center" wrapText="1"/>
    </xf>
    <xf numFmtId="0" fontId="14" fillId="27" borderId="210" xfId="0" applyFont="1" applyFill="1" applyBorder="1" applyAlignment="1">
      <alignment horizontal="center"/>
    </xf>
    <xf numFmtId="0" fontId="14" fillId="27" borderId="204" xfId="0" applyFont="1" applyFill="1" applyBorder="1" applyAlignment="1">
      <alignment horizontal="center"/>
    </xf>
    <xf numFmtId="0" fontId="133" fillId="0" borderId="0" xfId="0" applyFont="1" applyAlignment="1">
      <alignment horizontal="center"/>
    </xf>
    <xf numFmtId="0" fontId="56" fillId="0" borderId="208" xfId="0" applyFont="1" applyBorder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4" fillId="27" borderId="209" xfId="0" applyFont="1" applyFill="1" applyBorder="1" applyAlignment="1">
      <alignment horizontal="center" vertical="center" wrapText="1"/>
    </xf>
    <xf numFmtId="0" fontId="14" fillId="27" borderId="204" xfId="0" applyFont="1" applyFill="1" applyBorder="1" applyAlignment="1">
      <alignment horizontal="center" vertical="center" wrapText="1"/>
    </xf>
    <xf numFmtId="0" fontId="14" fillId="27" borderId="203" xfId="0" applyFont="1" applyFill="1" applyBorder="1" applyAlignment="1">
      <alignment horizontal="center" vertical="center"/>
    </xf>
    <xf numFmtId="0" fontId="14" fillId="45" borderId="210" xfId="0" applyFont="1" applyFill="1" applyBorder="1" applyAlignment="1">
      <alignment horizontal="center"/>
    </xf>
    <xf numFmtId="0" fontId="14" fillId="45" borderId="204" xfId="0" applyFont="1" applyFill="1" applyBorder="1" applyAlignment="1">
      <alignment horizontal="center"/>
    </xf>
    <xf numFmtId="0" fontId="14" fillId="44" borderId="211" xfId="0" applyFont="1" applyFill="1" applyBorder="1" applyAlignment="1">
      <alignment horizontal="center"/>
    </xf>
    <xf numFmtId="0" fontId="14" fillId="44" borderId="212" xfId="0" applyFont="1" applyFill="1" applyBorder="1" applyAlignment="1">
      <alignment horizontal="center"/>
    </xf>
    <xf numFmtId="0" fontId="14" fillId="44" borderId="0" xfId="0" applyFont="1" applyFill="1" applyBorder="1" applyAlignment="1">
      <alignment horizontal="center"/>
    </xf>
    <xf numFmtId="0" fontId="14" fillId="44" borderId="74" xfId="0" applyFont="1" applyFill="1" applyBorder="1" applyAlignment="1">
      <alignment horizontal="center"/>
    </xf>
    <xf numFmtId="0" fontId="14" fillId="44" borderId="36" xfId="0" applyFont="1" applyFill="1" applyBorder="1" applyAlignment="1">
      <alignment horizontal="center"/>
    </xf>
    <xf numFmtId="0" fontId="14" fillId="44" borderId="31" xfId="0" applyFont="1" applyFill="1" applyBorder="1" applyAlignment="1">
      <alignment horizontal="center"/>
    </xf>
    <xf numFmtId="4" fontId="49" fillId="37" borderId="193" xfId="0" applyNumberFormat="1" applyFont="1" applyFill="1" applyBorder="1" applyAlignment="1">
      <alignment horizontal="center" vertical="center" wrapText="1"/>
    </xf>
    <xf numFmtId="4" fontId="49" fillId="37" borderId="199" xfId="0" applyNumberFormat="1" applyFont="1" applyFill="1" applyBorder="1" applyAlignment="1">
      <alignment horizontal="center" vertical="center" wrapText="1"/>
    </xf>
    <xf numFmtId="4" fontId="49" fillId="37" borderId="194" xfId="0" applyNumberFormat="1" applyFont="1" applyFill="1" applyBorder="1" applyAlignment="1">
      <alignment horizontal="center" vertical="center" wrapText="1"/>
    </xf>
    <xf numFmtId="0" fontId="49" fillId="38" borderId="192" xfId="0" applyFont="1" applyFill="1" applyBorder="1" applyAlignment="1">
      <alignment horizontal="center" vertical="center" wrapText="1"/>
    </xf>
    <xf numFmtId="178" fontId="49" fillId="36" borderId="192" xfId="0" applyNumberFormat="1" applyFont="1" applyFill="1" applyBorder="1" applyAlignment="1">
      <alignment horizontal="center" vertical="center" wrapText="1"/>
    </xf>
    <xf numFmtId="4" fontId="49" fillId="37" borderId="192" xfId="0" applyNumberFormat="1" applyFont="1" applyFill="1" applyBorder="1" applyAlignment="1">
      <alignment horizontal="center" vertical="center" wrapText="1"/>
    </xf>
    <xf numFmtId="178" fontId="49" fillId="36" borderId="193" xfId="0" applyNumberFormat="1" applyFont="1" applyFill="1" applyBorder="1" applyAlignment="1">
      <alignment horizontal="center" vertical="center" wrapText="1"/>
    </xf>
    <xf numFmtId="178" fontId="49" fillId="36" borderId="199" xfId="0" applyNumberFormat="1" applyFont="1" applyFill="1" applyBorder="1" applyAlignment="1">
      <alignment horizontal="center" vertical="center" wrapText="1"/>
    </xf>
    <xf numFmtId="178" fontId="49" fillId="36" borderId="194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6" fillId="0" borderId="208" xfId="0" applyFont="1" applyBorder="1" applyAlignment="1">
      <alignment horizontal="left" vertical="center"/>
    </xf>
    <xf numFmtId="0" fontId="14" fillId="38" borderId="233" xfId="0" applyFont="1" applyFill="1" applyBorder="1" applyAlignment="1">
      <alignment horizontal="center" vertical="center" wrapText="1"/>
    </xf>
    <xf numFmtId="0" fontId="14" fillId="38" borderId="222" xfId="0" applyFont="1" applyFill="1" applyBorder="1" applyAlignment="1">
      <alignment horizontal="center" vertical="center" wrapText="1"/>
    </xf>
    <xf numFmtId="0" fontId="14" fillId="38" borderId="250" xfId="0" applyFont="1" applyFill="1" applyBorder="1" applyAlignment="1">
      <alignment horizontal="center" vertical="center" wrapText="1"/>
    </xf>
    <xf numFmtId="0" fontId="14" fillId="38" borderId="220" xfId="0" applyFont="1" applyFill="1" applyBorder="1" applyAlignment="1">
      <alignment horizontal="center" vertical="center" wrapText="1"/>
    </xf>
    <xf numFmtId="0" fontId="14" fillId="38" borderId="243" xfId="0" applyFont="1" applyFill="1" applyBorder="1" applyAlignment="1">
      <alignment horizontal="center" vertical="center" wrapText="1"/>
    </xf>
    <xf numFmtId="0" fontId="52" fillId="0" borderId="0" xfId="0" applyFont="1" applyBorder="1" applyAlignment="1">
      <alignment horizontal="center"/>
    </xf>
    <xf numFmtId="0" fontId="53" fillId="0" borderId="55" xfId="0" applyFont="1" applyBorder="1" applyAlignment="1">
      <alignment horizontal="left"/>
    </xf>
    <xf numFmtId="0" fontId="14" fillId="38" borderId="234" xfId="0" applyFont="1" applyFill="1" applyBorder="1" applyAlignment="1">
      <alignment horizontal="center" vertical="center"/>
    </xf>
    <xf numFmtId="0" fontId="14" fillId="38" borderId="223" xfId="0" applyFont="1" applyFill="1" applyBorder="1" applyAlignment="1">
      <alignment horizontal="center" vertical="center"/>
    </xf>
    <xf numFmtId="0" fontId="14" fillId="38" borderId="248" xfId="0" applyFont="1" applyFill="1" applyBorder="1" applyAlignment="1">
      <alignment horizontal="center" vertical="center" wrapText="1"/>
    </xf>
    <xf numFmtId="0" fontId="14" fillId="38" borderId="249" xfId="0" applyFont="1" applyFill="1" applyBorder="1" applyAlignment="1">
      <alignment horizontal="center" vertical="center" wrapText="1"/>
    </xf>
    <xf numFmtId="0" fontId="14" fillId="38" borderId="235" xfId="0" applyFont="1" applyFill="1" applyBorder="1" applyAlignment="1">
      <alignment horizontal="center" vertical="center"/>
    </xf>
    <xf numFmtId="0" fontId="14" fillId="38" borderId="233" xfId="0" applyFont="1" applyFill="1" applyBorder="1" applyAlignment="1">
      <alignment horizontal="center" vertical="center"/>
    </xf>
    <xf numFmtId="0" fontId="14" fillId="38" borderId="222" xfId="0" applyFont="1" applyFill="1" applyBorder="1" applyAlignment="1">
      <alignment horizontal="center" vertical="center"/>
    </xf>
    <xf numFmtId="0" fontId="14" fillId="38" borderId="236" xfId="0" applyFont="1" applyFill="1" applyBorder="1" applyAlignment="1">
      <alignment horizontal="center" vertical="center"/>
    </xf>
    <xf numFmtId="0" fontId="14" fillId="38" borderId="224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3" fillId="29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/>
    </xf>
    <xf numFmtId="0" fontId="17" fillId="38" borderId="199" xfId="0" applyFont="1" applyFill="1" applyBorder="1" applyAlignment="1">
      <alignment horizontal="center"/>
    </xf>
    <xf numFmtId="0" fontId="17" fillId="38" borderId="194" xfId="0" applyFont="1" applyFill="1" applyBorder="1" applyAlignment="1">
      <alignment horizontal="center"/>
    </xf>
    <xf numFmtId="0" fontId="17" fillId="38" borderId="192" xfId="0" applyFont="1" applyFill="1" applyBorder="1" applyAlignment="1">
      <alignment horizontal="center"/>
    </xf>
    <xf numFmtId="0" fontId="17" fillId="0" borderId="192" xfId="0" applyFont="1" applyFill="1" applyBorder="1" applyAlignment="1">
      <alignment horizontal="center"/>
    </xf>
    <xf numFmtId="0" fontId="14" fillId="38" borderId="205" xfId="0" applyFont="1" applyFill="1" applyBorder="1" applyAlignment="1">
      <alignment horizontal="center" vertical="center"/>
    </xf>
    <xf numFmtId="0" fontId="14" fillId="38" borderId="206" xfId="0" applyFont="1" applyFill="1" applyBorder="1" applyAlignment="1">
      <alignment horizontal="center" vertical="center"/>
    </xf>
    <xf numFmtId="0" fontId="82" fillId="0" borderId="227" xfId="0" applyFont="1" applyBorder="1" applyAlignment="1">
      <alignment horizontal="center" vertical="center"/>
    </xf>
    <xf numFmtId="0" fontId="82" fillId="0" borderId="208" xfId="0" applyFont="1" applyBorder="1" applyAlignment="1">
      <alignment horizontal="center" vertical="center"/>
    </xf>
    <xf numFmtId="0" fontId="14" fillId="38" borderId="192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180" fillId="0" borderId="0" xfId="151" applyFont="1" applyAlignment="1">
      <alignment horizontal="center"/>
    </xf>
    <xf numFmtId="0" fontId="164" fillId="0" borderId="0" xfId="0" applyFont="1" applyAlignment="1">
      <alignment horizontal="center"/>
    </xf>
    <xf numFmtId="0" fontId="107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7" fillId="0" borderId="0" xfId="151" applyFont="1" applyAlignment="1">
      <alignment horizontal="center"/>
    </xf>
    <xf numFmtId="0" fontId="179" fillId="0" borderId="0" xfId="151" applyFont="1" applyAlignment="1">
      <alignment horizontal="center"/>
    </xf>
    <xf numFmtId="0" fontId="49" fillId="0" borderId="0" xfId="151" applyFont="1" applyAlignment="1">
      <alignment horizontal="left"/>
    </xf>
    <xf numFmtId="0" fontId="8" fillId="0" borderId="0" xfId="0" applyFont="1" applyAlignment="1">
      <alignment horizontal="left"/>
    </xf>
    <xf numFmtId="0" fontId="61" fillId="0" borderId="0" xfId="0" applyFont="1" applyAlignment="1">
      <alignment horizontal="left" vertical="top" wrapText="1"/>
    </xf>
    <xf numFmtId="0" fontId="19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17" fillId="0" borderId="338" xfId="0" applyFont="1" applyFill="1" applyBorder="1" applyAlignment="1">
      <alignment horizontal="center" vertical="center"/>
    </xf>
    <xf numFmtId="0" fontId="0" fillId="0" borderId="329" xfId="0" applyFont="1" applyFill="1" applyBorder="1" applyAlignment="1">
      <alignment horizontal="center" vertical="center"/>
    </xf>
    <xf numFmtId="0" fontId="0" fillId="0" borderId="339" xfId="0" applyFont="1" applyFill="1" applyBorder="1" applyAlignment="1">
      <alignment horizontal="center" vertical="center"/>
    </xf>
    <xf numFmtId="0" fontId="64" fillId="0" borderId="0" xfId="0" applyFont="1" applyAlignment="1">
      <alignment wrapText="1"/>
    </xf>
    <xf numFmtId="0" fontId="19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8" fillId="29" borderId="73" xfId="0" applyFont="1" applyFill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0" fillId="0" borderId="69" xfId="0" applyFont="1" applyBorder="1" applyAlignment="1">
      <alignment horizontal="center"/>
    </xf>
    <xf numFmtId="0" fontId="18" fillId="29" borderId="338" xfId="0" applyFont="1" applyFill="1" applyBorder="1" applyAlignment="1">
      <alignment horizontal="center"/>
    </xf>
    <xf numFmtId="0" fontId="0" fillId="0" borderId="329" xfId="0" applyFont="1" applyBorder="1" applyAlignment="1">
      <alignment horizontal="center"/>
    </xf>
    <xf numFmtId="0" fontId="0" fillId="0" borderId="339" xfId="0" applyFont="1" applyBorder="1" applyAlignment="1">
      <alignment horizontal="center"/>
    </xf>
    <xf numFmtId="0" fontId="0" fillId="0" borderId="0" xfId="0" applyFont="1" applyAlignment="1">
      <alignment horizontal="left" vertical="top" wrapText="1"/>
    </xf>
    <xf numFmtId="0" fontId="18" fillId="29" borderId="329" xfId="0" applyFont="1" applyFill="1" applyBorder="1" applyAlignment="1">
      <alignment horizontal="center"/>
    </xf>
    <xf numFmtId="0" fontId="18" fillId="29" borderId="339" xfId="0" applyFont="1" applyFill="1" applyBorder="1" applyAlignment="1">
      <alignment horizontal="center"/>
    </xf>
    <xf numFmtId="0" fontId="61" fillId="0" borderId="296" xfId="0" applyFont="1" applyBorder="1" applyAlignment="1">
      <alignment horizontal="center" vertical="center"/>
    </xf>
    <xf numFmtId="0" fontId="61" fillId="0" borderId="331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95" fillId="0" borderId="0" xfId="0" applyFont="1" applyAlignment="1">
      <alignment wrapText="1"/>
    </xf>
    <xf numFmtId="0" fontId="95" fillId="0" borderId="0" xfId="0" applyFont="1" applyAlignment="1"/>
    <xf numFmtId="0" fontId="0" fillId="0" borderId="0" xfId="0" applyFont="1" applyAlignment="1">
      <alignment horizontal="left" vertical="top"/>
    </xf>
    <xf numFmtId="0" fontId="61" fillId="0" borderId="0" xfId="0" applyFont="1" applyAlignment="1">
      <alignment horizontal="left" vertical="top"/>
    </xf>
    <xf numFmtId="0" fontId="80" fillId="0" borderId="0" xfId="0" applyFont="1" applyAlignment="1">
      <alignment horizontal="left" vertical="top"/>
    </xf>
    <xf numFmtId="0" fontId="61" fillId="0" borderId="0" xfId="0" applyFont="1" applyAlignment="1"/>
    <xf numFmtId="0" fontId="18" fillId="25" borderId="16" xfId="0" applyFont="1" applyFill="1" applyBorder="1" applyAlignment="1">
      <alignment horizontal="center" vertical="center" wrapText="1"/>
    </xf>
    <xf numFmtId="0" fontId="18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61" fillId="0" borderId="169" xfId="0" applyFont="1" applyBorder="1" applyAlignment="1">
      <alignment horizontal="center" vertical="center"/>
    </xf>
    <xf numFmtId="0" fontId="18" fillId="0" borderId="257" xfId="0" applyFont="1" applyBorder="1" applyAlignment="1">
      <alignment horizontal="center" vertical="center" wrapText="1"/>
    </xf>
    <xf numFmtId="0" fontId="61" fillId="0" borderId="257" xfId="0" applyFont="1" applyBorder="1" applyAlignment="1">
      <alignment horizontal="center" vertical="center"/>
    </xf>
    <xf numFmtId="0" fontId="61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8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18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61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61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8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17" fillId="0" borderId="0" xfId="77" applyFont="1" applyAlignment="1">
      <alignment horizontal="center"/>
    </xf>
    <xf numFmtId="0" fontId="145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82" fillId="38" borderId="258" xfId="77" applyFont="1" applyFill="1" applyBorder="1" applyAlignment="1">
      <alignment horizontal="center"/>
    </xf>
    <xf numFmtId="0" fontId="82" fillId="38" borderId="11" xfId="77" applyFont="1" applyFill="1" applyBorder="1" applyAlignment="1">
      <alignment horizontal="center"/>
    </xf>
    <xf numFmtId="0" fontId="82" fillId="38" borderId="209" xfId="77" applyFont="1" applyFill="1" applyBorder="1" applyAlignment="1">
      <alignment horizontal="center" wrapText="1"/>
    </xf>
    <xf numFmtId="0" fontId="20" fillId="0" borderId="260" xfId="77" applyBorder="1" applyAlignment="1">
      <alignment horizontal="center" wrapText="1"/>
    </xf>
    <xf numFmtId="0" fontId="82" fillId="38" borderId="258" xfId="77" applyFont="1" applyFill="1" applyBorder="1" applyAlignment="1">
      <alignment horizontal="center" wrapText="1"/>
    </xf>
    <xf numFmtId="0" fontId="82" fillId="38" borderId="11" xfId="77" applyFont="1" applyFill="1" applyBorder="1" applyAlignment="1">
      <alignment horizontal="center" wrapText="1"/>
    </xf>
    <xf numFmtId="0" fontId="20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8" fillId="29" borderId="273" xfId="0" applyFont="1" applyFill="1" applyBorder="1" applyAlignment="1">
      <alignment horizontal="left" vertical="center" wrapText="1"/>
    </xf>
    <xf numFmtId="0" fontId="0" fillId="0" borderId="274" xfId="0" applyBorder="1" applyAlignment="1"/>
    <xf numFmtId="0" fontId="0" fillId="0" borderId="275" xfId="0" applyBorder="1" applyAlignment="1"/>
    <xf numFmtId="0" fontId="61" fillId="0" borderId="270" xfId="0" applyFont="1" applyBorder="1" applyAlignment="1">
      <alignment horizontal="center" vertical="center"/>
    </xf>
    <xf numFmtId="0" fontId="18" fillId="0" borderId="273" xfId="0" applyFont="1" applyFill="1" applyBorder="1" applyAlignment="1">
      <alignment horizontal="center" vertical="center" wrapText="1"/>
    </xf>
    <xf numFmtId="0" fontId="18" fillId="0" borderId="274" xfId="0" applyFont="1" applyFill="1" applyBorder="1" applyAlignment="1">
      <alignment horizontal="center" vertical="center" wrapText="1"/>
    </xf>
    <xf numFmtId="0" fontId="9" fillId="0" borderId="274" xfId="0" applyFont="1" applyFill="1" applyBorder="1" applyAlignment="1">
      <alignment horizontal="center" vertical="center" wrapText="1"/>
    </xf>
    <xf numFmtId="0" fontId="9" fillId="0" borderId="274" xfId="0" applyFont="1" applyBorder="1" applyAlignment="1">
      <alignment horizontal="center" vertical="center" wrapText="1"/>
    </xf>
    <xf numFmtId="0" fontId="9" fillId="0" borderId="275" xfId="0" applyFont="1" applyBorder="1" applyAlignment="1">
      <alignment horizontal="center" vertical="center" wrapText="1"/>
    </xf>
    <xf numFmtId="0" fontId="0" fillId="0" borderId="274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8" fillId="57" borderId="273" xfId="0" applyFont="1" applyFill="1" applyBorder="1" applyAlignment="1">
      <alignment horizontal="center" vertical="center" wrapText="1"/>
    </xf>
    <xf numFmtId="0" fontId="18" fillId="57" borderId="274" xfId="0" applyFont="1" applyFill="1" applyBorder="1" applyAlignment="1">
      <alignment horizontal="center" vertical="center" wrapText="1"/>
    </xf>
    <xf numFmtId="0" fontId="9" fillId="57" borderId="274" xfId="0" applyFont="1" applyFill="1" applyBorder="1" applyAlignment="1">
      <alignment horizontal="center" vertical="center" wrapText="1"/>
    </xf>
    <xf numFmtId="0" fontId="61" fillId="0" borderId="176" xfId="0" applyFont="1" applyFill="1" applyBorder="1" applyAlignment="1">
      <alignment horizontal="center" vertical="center" wrapText="1"/>
    </xf>
    <xf numFmtId="0" fontId="61" fillId="0" borderId="211" xfId="0" applyFont="1" applyFill="1" applyBorder="1" applyAlignment="1">
      <alignment horizontal="center" vertical="center" wrapText="1"/>
    </xf>
    <xf numFmtId="0" fontId="61" fillId="0" borderId="212" xfId="0" applyFont="1" applyFill="1" applyBorder="1" applyAlignment="1">
      <alignment horizontal="center" vertical="center" wrapText="1"/>
    </xf>
    <xf numFmtId="0" fontId="61" fillId="57" borderId="273" xfId="0" applyFont="1" applyFill="1" applyBorder="1" applyAlignment="1">
      <alignment horizontal="center" vertical="center" wrapText="1"/>
    </xf>
    <xf numFmtId="0" fontId="61" fillId="57" borderId="274" xfId="0" applyFont="1" applyFill="1" applyBorder="1" applyAlignment="1">
      <alignment horizontal="center" vertical="center" wrapText="1"/>
    </xf>
    <xf numFmtId="0" fontId="61" fillId="57" borderId="275" xfId="0" applyFont="1" applyFill="1" applyBorder="1" applyAlignment="1">
      <alignment horizontal="center" vertical="center" wrapText="1"/>
    </xf>
    <xf numFmtId="0" fontId="61" fillId="57" borderId="176" xfId="0" applyFont="1" applyFill="1" applyBorder="1" applyAlignment="1">
      <alignment horizontal="center" vertical="center" wrapText="1"/>
    </xf>
    <xf numFmtId="0" fontId="61" fillId="57" borderId="211" xfId="0" applyFont="1" applyFill="1" applyBorder="1" applyAlignment="1">
      <alignment horizontal="center" vertical="center" wrapText="1"/>
    </xf>
    <xf numFmtId="0" fontId="61" fillId="57" borderId="212" xfId="0" applyFont="1" applyFill="1" applyBorder="1" applyAlignment="1">
      <alignment horizontal="center" vertical="center" wrapText="1"/>
    </xf>
    <xf numFmtId="0" fontId="9" fillId="0" borderId="275" xfId="0" applyFont="1" applyFill="1" applyBorder="1" applyAlignment="1">
      <alignment horizontal="center" vertical="center" wrapText="1"/>
    </xf>
    <xf numFmtId="0" fontId="0" fillId="0" borderId="274" xfId="0" applyFill="1" applyBorder="1" applyAlignment="1">
      <alignment horizontal="center" vertical="center" wrapText="1"/>
    </xf>
    <xf numFmtId="0" fontId="0" fillId="0" borderId="275" xfId="0" applyFill="1" applyBorder="1" applyAlignment="1">
      <alignment horizontal="center" vertical="center" wrapText="1"/>
    </xf>
    <xf numFmtId="4" fontId="89" fillId="57" borderId="273" xfId="0" applyNumberFormat="1" applyFont="1" applyFill="1" applyBorder="1" applyAlignment="1">
      <alignment horizontal="center"/>
    </xf>
    <xf numFmtId="4" fontId="89" fillId="57" borderId="274" xfId="0" applyNumberFormat="1" applyFont="1" applyFill="1" applyBorder="1" applyAlignment="1">
      <alignment horizontal="center"/>
    </xf>
    <xf numFmtId="4" fontId="89" fillId="57" borderId="275" xfId="0" applyNumberFormat="1" applyFont="1" applyFill="1" applyBorder="1" applyAlignment="1">
      <alignment horizontal="center"/>
    </xf>
    <xf numFmtId="4" fontId="89" fillId="0" borderId="273" xfId="0" applyNumberFormat="1" applyFont="1" applyFill="1" applyBorder="1" applyAlignment="1">
      <alignment horizontal="center"/>
    </xf>
    <xf numFmtId="4" fontId="89" fillId="0" borderId="274" xfId="0" applyNumberFormat="1" applyFont="1" applyFill="1" applyBorder="1" applyAlignment="1">
      <alignment horizontal="center"/>
    </xf>
    <xf numFmtId="4" fontId="89" fillId="0" borderId="275" xfId="0" applyNumberFormat="1" applyFont="1" applyFill="1" applyBorder="1" applyAlignment="1">
      <alignment horizontal="center"/>
    </xf>
    <xf numFmtId="4" fontId="89" fillId="0" borderId="336" xfId="0" applyNumberFormat="1" applyFont="1" applyFill="1" applyBorder="1" applyAlignment="1">
      <alignment horizontal="center"/>
    </xf>
    <xf numFmtId="4" fontId="89" fillId="0" borderId="329" xfId="0" applyNumberFormat="1" applyFont="1" applyFill="1" applyBorder="1" applyAlignment="1">
      <alignment horizontal="center"/>
    </xf>
    <xf numFmtId="4" fontId="89" fillId="0" borderId="330" xfId="0" applyNumberFormat="1" applyFont="1" applyFill="1" applyBorder="1" applyAlignment="1">
      <alignment horizontal="center"/>
    </xf>
    <xf numFmtId="4" fontId="170" fillId="0" borderId="273" xfId="0" applyNumberFormat="1" applyFont="1" applyFill="1" applyBorder="1" applyAlignment="1">
      <alignment horizontal="center" vertical="center"/>
    </xf>
    <xf numFmtId="4" fontId="170" fillId="0" borderId="274" xfId="0" applyNumberFormat="1" applyFont="1" applyFill="1" applyBorder="1" applyAlignment="1">
      <alignment horizontal="center" vertical="center"/>
    </xf>
    <xf numFmtId="4" fontId="170" fillId="0" borderId="275" xfId="0" applyNumberFormat="1" applyFont="1" applyFill="1" applyBorder="1" applyAlignment="1">
      <alignment horizontal="center" vertical="center"/>
    </xf>
    <xf numFmtId="4" fontId="62" fillId="0" borderId="273" xfId="0" applyNumberFormat="1" applyFont="1" applyFill="1" applyBorder="1" applyAlignment="1">
      <alignment horizontal="center" vertical="center"/>
    </xf>
    <xf numFmtId="4" fontId="62" fillId="0" borderId="274" xfId="0" applyNumberFormat="1" applyFont="1" applyFill="1" applyBorder="1" applyAlignment="1">
      <alignment horizontal="center" vertical="center"/>
    </xf>
    <xf numFmtId="4" fontId="62" fillId="0" borderId="275" xfId="0" applyNumberFormat="1" applyFont="1" applyFill="1" applyBorder="1" applyAlignment="1">
      <alignment horizontal="center" vertical="center"/>
    </xf>
    <xf numFmtId="4" fontId="170" fillId="0" borderId="336" xfId="0" applyNumberFormat="1" applyFont="1" applyFill="1" applyBorder="1" applyAlignment="1">
      <alignment horizontal="center" vertical="center"/>
    </xf>
    <xf numFmtId="4" fontId="170" fillId="0" borderId="329" xfId="0" applyNumberFormat="1" applyFont="1" applyFill="1" applyBorder="1" applyAlignment="1">
      <alignment horizontal="center" vertical="center"/>
    </xf>
    <xf numFmtId="4" fontId="170" fillId="0" borderId="330" xfId="0" applyNumberFormat="1" applyFont="1" applyFill="1" applyBorder="1" applyAlignment="1">
      <alignment horizontal="center" vertical="center"/>
    </xf>
    <xf numFmtId="178" fontId="89" fillId="57" borderId="273" xfId="0" applyNumberFormat="1" applyFont="1" applyFill="1" applyBorder="1" applyAlignment="1">
      <alignment horizontal="center"/>
    </xf>
    <xf numFmtId="178" fontId="89" fillId="57" borderId="274" xfId="0" applyNumberFormat="1" applyFont="1" applyFill="1" applyBorder="1" applyAlignment="1">
      <alignment horizontal="center"/>
    </xf>
    <xf numFmtId="178" fontId="89" fillId="57" borderId="275" xfId="0" applyNumberFormat="1" applyFont="1" applyFill="1" applyBorder="1" applyAlignment="1">
      <alignment horizontal="center"/>
    </xf>
    <xf numFmtId="4" fontId="170" fillId="57" borderId="273" xfId="0" applyNumberFormat="1" applyFont="1" applyFill="1" applyBorder="1" applyAlignment="1">
      <alignment horizontal="center" vertical="center"/>
    </xf>
    <xf numFmtId="4" fontId="170" fillId="57" borderId="274" xfId="0" applyNumberFormat="1" applyFont="1" applyFill="1" applyBorder="1" applyAlignment="1">
      <alignment horizontal="center" vertical="center"/>
    </xf>
    <xf numFmtId="4" fontId="170" fillId="57" borderId="275" xfId="0" applyNumberFormat="1" applyFont="1" applyFill="1" applyBorder="1" applyAlignment="1">
      <alignment horizontal="center" vertical="center"/>
    </xf>
    <xf numFmtId="4" fontId="62" fillId="0" borderId="336" xfId="0" applyNumberFormat="1" applyFont="1" applyFill="1" applyBorder="1" applyAlignment="1">
      <alignment horizontal="center" vertical="center"/>
    </xf>
    <xf numFmtId="4" fontId="62" fillId="0" borderId="329" xfId="0" applyNumberFormat="1" applyFont="1" applyFill="1" applyBorder="1" applyAlignment="1">
      <alignment horizontal="center" vertical="center"/>
    </xf>
    <xf numFmtId="4" fontId="62" fillId="0" borderId="330" xfId="0" applyNumberFormat="1" applyFont="1" applyFill="1" applyBorder="1" applyAlignment="1">
      <alignment horizontal="center" vertical="center"/>
    </xf>
    <xf numFmtId="178" fontId="170" fillId="57" borderId="273" xfId="0" applyNumberFormat="1" applyFont="1" applyFill="1" applyBorder="1" applyAlignment="1">
      <alignment horizontal="center" vertical="center"/>
    </xf>
    <xf numFmtId="178" fontId="170" fillId="57" borderId="274" xfId="0" applyNumberFormat="1" applyFont="1" applyFill="1" applyBorder="1" applyAlignment="1">
      <alignment horizontal="center" vertical="center"/>
    </xf>
    <xf numFmtId="178" fontId="170" fillId="57" borderId="275" xfId="0" applyNumberFormat="1" applyFont="1" applyFill="1" applyBorder="1" applyAlignment="1">
      <alignment horizontal="center" vertical="center"/>
    </xf>
    <xf numFmtId="4" fontId="89" fillId="57" borderId="273" xfId="0" applyNumberFormat="1" applyFont="1" applyFill="1" applyBorder="1" applyAlignment="1">
      <alignment horizontal="center" vertical="center"/>
    </xf>
    <xf numFmtId="4" fontId="89" fillId="57" borderId="274" xfId="0" applyNumberFormat="1" applyFont="1" applyFill="1" applyBorder="1" applyAlignment="1">
      <alignment horizontal="center" vertical="center"/>
    </xf>
    <xf numFmtId="4" fontId="89" fillId="57" borderId="275" xfId="0" applyNumberFormat="1" applyFont="1" applyFill="1" applyBorder="1" applyAlignment="1">
      <alignment horizontal="center" vertical="center"/>
    </xf>
    <xf numFmtId="0" fontId="18" fillId="57" borderId="336" xfId="0" applyFont="1" applyFill="1" applyBorder="1" applyAlignment="1" applyProtection="1">
      <alignment horizontal="center" vertical="center"/>
    </xf>
    <xf numFmtId="0" fontId="18" fillId="57" borderId="329" xfId="0" applyFont="1" applyFill="1" applyBorder="1" applyAlignment="1" applyProtection="1">
      <alignment horizontal="center" vertical="center"/>
    </xf>
    <xf numFmtId="0" fontId="9" fillId="57" borderId="329" xfId="0" applyFont="1" applyFill="1" applyBorder="1" applyAlignment="1">
      <alignment vertical="center"/>
    </xf>
    <xf numFmtId="0" fontId="9" fillId="57" borderId="330" xfId="0" applyFont="1" applyFill="1" applyBorder="1" applyAlignment="1">
      <alignment vertical="center"/>
    </xf>
    <xf numFmtId="0" fontId="18" fillId="0" borderId="336" xfId="0" applyFont="1" applyFill="1" applyBorder="1" applyAlignment="1" applyProtection="1">
      <alignment horizontal="center" vertical="center" wrapText="1"/>
    </xf>
    <xf numFmtId="0" fontId="18" fillId="0" borderId="329" xfId="0" applyFont="1" applyFill="1" applyBorder="1" applyAlignment="1" applyProtection="1">
      <alignment horizontal="center" vertical="center" wrapText="1"/>
    </xf>
    <xf numFmtId="0" fontId="18" fillId="0" borderId="330" xfId="0" applyFont="1" applyFill="1" applyBorder="1" applyAlignment="1" applyProtection="1">
      <alignment horizontal="center" vertical="center" wrapText="1"/>
    </xf>
    <xf numFmtId="0" fontId="61" fillId="0" borderId="336" xfId="0" applyFont="1" applyFill="1" applyBorder="1" applyAlignment="1" applyProtection="1">
      <alignment horizontal="center" vertical="center"/>
    </xf>
    <xf numFmtId="0" fontId="61" fillId="0" borderId="329" xfId="0" applyFont="1" applyFill="1" applyBorder="1" applyAlignment="1" applyProtection="1">
      <alignment horizontal="center" vertical="center"/>
    </xf>
    <xf numFmtId="0" fontId="61" fillId="0" borderId="330" xfId="0" applyFont="1" applyFill="1" applyBorder="1" applyAlignment="1" applyProtection="1">
      <alignment horizontal="center" vertical="center"/>
    </xf>
    <xf numFmtId="0" fontId="61" fillId="0" borderId="336" xfId="0" applyFont="1" applyFill="1" applyBorder="1" applyAlignment="1" applyProtection="1">
      <alignment horizontal="center" vertical="center" wrapText="1"/>
    </xf>
    <xf numFmtId="0" fontId="61" fillId="0" borderId="329" xfId="0" applyFont="1" applyFill="1" applyBorder="1" applyAlignment="1" applyProtection="1">
      <alignment horizontal="center" vertical="center" wrapText="1"/>
    </xf>
    <xf numFmtId="0" fontId="61" fillId="0" borderId="330" xfId="0" applyFont="1" applyFill="1" applyBorder="1" applyAlignment="1" applyProtection="1">
      <alignment horizontal="center" vertical="center" wrapText="1"/>
    </xf>
    <xf numFmtId="0" fontId="18" fillId="0" borderId="336" xfId="0" applyFont="1" applyFill="1" applyBorder="1" applyAlignment="1" applyProtection="1">
      <alignment horizontal="center" vertical="center"/>
    </xf>
    <xf numFmtId="0" fontId="18" fillId="0" borderId="329" xfId="0" applyFont="1" applyFill="1" applyBorder="1" applyAlignment="1" applyProtection="1">
      <alignment horizontal="center" vertical="center"/>
    </xf>
    <xf numFmtId="0" fontId="18" fillId="0" borderId="330" xfId="0" applyFont="1" applyFill="1" applyBorder="1" applyAlignment="1" applyProtection="1">
      <alignment horizontal="center" vertical="center"/>
    </xf>
    <xf numFmtId="0" fontId="9" fillId="0" borderId="329" xfId="0" applyFont="1" applyBorder="1" applyAlignment="1">
      <alignment horizontal="center" vertical="center" wrapText="1"/>
    </xf>
    <xf numFmtId="0" fontId="9" fillId="0" borderId="330" xfId="0" applyFont="1" applyBorder="1" applyAlignment="1">
      <alignment horizontal="center" vertical="center" wrapText="1"/>
    </xf>
    <xf numFmtId="0" fontId="9" fillId="0" borderId="329" xfId="0" applyFont="1" applyBorder="1" applyAlignment="1">
      <alignment horizontal="center" vertical="center"/>
    </xf>
    <xf numFmtId="0" fontId="9" fillId="0" borderId="330" xfId="0" applyFont="1" applyBorder="1" applyAlignment="1">
      <alignment horizontal="center" vertical="center"/>
    </xf>
    <xf numFmtId="0" fontId="18" fillId="57" borderId="332" xfId="0" applyFont="1" applyFill="1" applyBorder="1" applyAlignment="1" applyProtection="1">
      <alignment horizontal="center" vertical="center"/>
    </xf>
    <xf numFmtId="0" fontId="18" fillId="57" borderId="333" xfId="0" applyFont="1" applyFill="1" applyBorder="1" applyAlignment="1" applyProtection="1">
      <alignment horizontal="center" vertical="center"/>
    </xf>
    <xf numFmtId="0" fontId="18" fillId="57" borderId="334" xfId="0" applyFont="1" applyFill="1" applyBorder="1" applyAlignment="1" applyProtection="1">
      <alignment horizontal="center" vertical="center"/>
    </xf>
    <xf numFmtId="0" fontId="61" fillId="0" borderId="332" xfId="0" applyFont="1" applyFill="1" applyBorder="1" applyAlignment="1" applyProtection="1">
      <alignment horizontal="center" vertical="center" wrapText="1"/>
    </xf>
    <xf numFmtId="0" fontId="61" fillId="0" borderId="333" xfId="0" applyFont="1" applyFill="1" applyBorder="1" applyAlignment="1" applyProtection="1">
      <alignment horizontal="center" vertical="center" wrapText="1"/>
    </xf>
    <xf numFmtId="0" fontId="61" fillId="0" borderId="334" xfId="0" applyFont="1" applyFill="1" applyBorder="1" applyAlignment="1" applyProtection="1">
      <alignment horizontal="center" vertical="center" wrapText="1"/>
    </xf>
    <xf numFmtId="0" fontId="18" fillId="57" borderId="66" xfId="0" applyFont="1" applyFill="1" applyBorder="1" applyAlignment="1" applyProtection="1">
      <alignment horizontal="center" vertical="center" wrapText="1"/>
    </xf>
    <xf numFmtId="0" fontId="18" fillId="57" borderId="0" xfId="0" applyFont="1" applyFill="1" applyBorder="1" applyAlignment="1" applyProtection="1">
      <alignment horizontal="center" vertical="center" wrapText="1"/>
    </xf>
    <xf numFmtId="0" fontId="18" fillId="57" borderId="74" xfId="0" applyFont="1" applyFill="1" applyBorder="1" applyAlignment="1" applyProtection="1">
      <alignment horizontal="center" vertical="center" wrapText="1"/>
    </xf>
    <xf numFmtId="0" fontId="9" fillId="57" borderId="0" xfId="0" applyFont="1" applyFill="1" applyBorder="1" applyAlignment="1">
      <alignment horizontal="center" vertical="center" wrapText="1"/>
    </xf>
    <xf numFmtId="0" fontId="9" fillId="57" borderId="74" xfId="0" applyFont="1" applyFill="1" applyBorder="1" applyAlignment="1">
      <alignment horizontal="center" vertical="center" wrapText="1"/>
    </xf>
    <xf numFmtId="0" fontId="61" fillId="0" borderId="331" xfId="0" applyFont="1" applyBorder="1" applyAlignment="1" applyProtection="1">
      <alignment horizontal="center" vertical="center" wrapText="1"/>
    </xf>
    <xf numFmtId="0" fontId="61" fillId="0" borderId="61" xfId="0" applyFont="1" applyBorder="1" applyAlignment="1" applyProtection="1">
      <alignment horizontal="center" vertical="center" wrapText="1"/>
    </xf>
    <xf numFmtId="0" fontId="18" fillId="57" borderId="332" xfId="0" applyFont="1" applyFill="1" applyBorder="1" applyAlignment="1" applyProtection="1">
      <alignment horizontal="center" vertical="center" wrapText="1"/>
    </xf>
    <xf numFmtId="0" fontId="18" fillId="57" borderId="333" xfId="0" applyFont="1" applyFill="1" applyBorder="1" applyAlignment="1" applyProtection="1">
      <alignment horizontal="center" vertical="center" wrapText="1"/>
    </xf>
    <xf numFmtId="0" fontId="18" fillId="57" borderId="334" xfId="0" applyFont="1" applyFill="1" applyBorder="1" applyAlignment="1" applyProtection="1">
      <alignment horizontal="center" vertical="center" wrapText="1"/>
    </xf>
    <xf numFmtId="0" fontId="18" fillId="0" borderId="332" xfId="0" applyFont="1" applyFill="1" applyBorder="1" applyAlignment="1" applyProtection="1">
      <alignment horizontal="center" vertical="center"/>
    </xf>
    <xf numFmtId="0" fontId="18" fillId="0" borderId="333" xfId="0" applyFont="1" applyFill="1" applyBorder="1" applyAlignment="1" applyProtection="1">
      <alignment horizontal="center" vertical="center"/>
    </xf>
    <xf numFmtId="0" fontId="18" fillId="0" borderId="334" xfId="0" applyFont="1" applyFill="1" applyBorder="1" applyAlignment="1" applyProtection="1">
      <alignment horizontal="center" vertical="center"/>
    </xf>
    <xf numFmtId="0" fontId="61" fillId="0" borderId="332" xfId="0" applyFont="1" applyFill="1" applyBorder="1" applyAlignment="1" applyProtection="1">
      <alignment horizontal="center" vertical="center"/>
    </xf>
    <xf numFmtId="0" fontId="61" fillId="0" borderId="333" xfId="0" applyFont="1" applyFill="1" applyBorder="1" applyAlignment="1" applyProtection="1">
      <alignment horizontal="center" vertical="center"/>
    </xf>
    <xf numFmtId="0" fontId="61" fillId="0" borderId="334" xfId="0" applyFont="1" applyFill="1" applyBorder="1" applyAlignment="1" applyProtection="1">
      <alignment horizontal="center" vertical="center"/>
    </xf>
    <xf numFmtId="178" fontId="89" fillId="0" borderId="336" xfId="0" applyNumberFormat="1" applyFont="1" applyFill="1" applyBorder="1" applyAlignment="1">
      <alignment horizontal="center" vertical="center"/>
    </xf>
    <xf numFmtId="178" fontId="89" fillId="0" borderId="329" xfId="0" applyNumberFormat="1" applyFont="1" applyFill="1" applyBorder="1" applyAlignment="1">
      <alignment horizontal="center" vertical="center"/>
    </xf>
    <xf numFmtId="178" fontId="89" fillId="0" borderId="330" xfId="0" applyNumberFormat="1" applyFont="1" applyFill="1" applyBorder="1" applyAlignment="1">
      <alignment horizontal="center" vertical="center"/>
    </xf>
    <xf numFmtId="4" fontId="89" fillId="0" borderId="336" xfId="0" applyNumberFormat="1" applyFont="1" applyFill="1" applyBorder="1" applyAlignment="1">
      <alignment horizontal="center" vertical="center"/>
    </xf>
    <xf numFmtId="4" fontId="89" fillId="0" borderId="329" xfId="0" applyNumberFormat="1" applyFont="1" applyFill="1" applyBorder="1" applyAlignment="1">
      <alignment horizontal="center" vertical="center"/>
    </xf>
    <xf numFmtId="4" fontId="89" fillId="0" borderId="330" xfId="0" applyNumberFormat="1" applyFont="1" applyFill="1" applyBorder="1" applyAlignment="1">
      <alignment horizontal="center" vertical="center"/>
    </xf>
    <xf numFmtId="4" fontId="89" fillId="57" borderId="336" xfId="0" applyNumberFormat="1" applyFont="1" applyFill="1" applyBorder="1" applyAlignment="1">
      <alignment horizontal="center" vertical="center"/>
    </xf>
    <xf numFmtId="4" fontId="89" fillId="57" borderId="329" xfId="0" applyNumberFormat="1" applyFont="1" applyFill="1" applyBorder="1" applyAlignment="1">
      <alignment horizontal="center" vertical="center"/>
    </xf>
    <xf numFmtId="4" fontId="89" fillId="57" borderId="330" xfId="0" applyNumberFormat="1" applyFont="1" applyFill="1" applyBorder="1" applyAlignment="1">
      <alignment horizontal="center" vertical="center"/>
    </xf>
    <xf numFmtId="178" fontId="89" fillId="57" borderId="336" xfId="0" applyNumberFormat="1" applyFont="1" applyFill="1" applyBorder="1" applyAlignment="1">
      <alignment horizontal="center" vertical="center"/>
    </xf>
    <xf numFmtId="178" fontId="89" fillId="57" borderId="329" xfId="0" applyNumberFormat="1" applyFont="1" applyFill="1" applyBorder="1" applyAlignment="1">
      <alignment horizontal="center" vertical="center"/>
    </xf>
    <xf numFmtId="178" fontId="89" fillId="57" borderId="330" xfId="0" applyNumberFormat="1" applyFont="1" applyFill="1" applyBorder="1" applyAlignment="1">
      <alignment horizontal="center" vertical="center"/>
    </xf>
    <xf numFmtId="178" fontId="170" fillId="57" borderId="336" xfId="0" applyNumberFormat="1" applyFont="1" applyFill="1" applyBorder="1" applyAlignment="1">
      <alignment horizontal="center" vertical="center"/>
    </xf>
    <xf numFmtId="178" fontId="170" fillId="57" borderId="329" xfId="0" applyNumberFormat="1" applyFont="1" applyFill="1" applyBorder="1" applyAlignment="1">
      <alignment horizontal="center" vertical="center"/>
    </xf>
    <xf numFmtId="178" fontId="170" fillId="57" borderId="330" xfId="0" applyNumberFormat="1" applyFont="1" applyFill="1" applyBorder="1" applyAlignment="1">
      <alignment horizontal="center" vertical="center"/>
    </xf>
    <xf numFmtId="4" fontId="170" fillId="57" borderId="336" xfId="0" applyNumberFormat="1" applyFont="1" applyFill="1" applyBorder="1" applyAlignment="1">
      <alignment horizontal="center" vertical="center"/>
    </xf>
    <xf numFmtId="4" fontId="170" fillId="57" borderId="329" xfId="0" applyNumberFormat="1" applyFont="1" applyFill="1" applyBorder="1" applyAlignment="1">
      <alignment horizontal="center" vertical="center"/>
    </xf>
    <xf numFmtId="4" fontId="170" fillId="57" borderId="330" xfId="0" applyNumberFormat="1" applyFont="1" applyFill="1" applyBorder="1" applyAlignment="1">
      <alignment horizontal="center" vertical="center"/>
    </xf>
    <xf numFmtId="178" fontId="170" fillId="0" borderId="336" xfId="0" applyNumberFormat="1" applyFont="1" applyFill="1" applyBorder="1" applyAlignment="1">
      <alignment horizontal="center" vertical="center"/>
    </xf>
    <xf numFmtId="178" fontId="170" fillId="0" borderId="329" xfId="0" applyNumberFormat="1" applyFont="1" applyFill="1" applyBorder="1" applyAlignment="1">
      <alignment horizontal="center" vertical="center"/>
    </xf>
    <xf numFmtId="178" fontId="170" fillId="0" borderId="330" xfId="0" applyNumberFormat="1" applyFont="1" applyFill="1" applyBorder="1" applyAlignment="1">
      <alignment horizontal="center" vertical="center"/>
    </xf>
    <xf numFmtId="178" fontId="89" fillId="0" borderId="336" xfId="0" applyNumberFormat="1" applyFont="1" applyFill="1" applyBorder="1" applyAlignment="1">
      <alignment horizontal="center"/>
    </xf>
    <xf numFmtId="178" fontId="89" fillId="0" borderId="329" xfId="0" applyNumberFormat="1" applyFont="1" applyFill="1" applyBorder="1" applyAlignment="1">
      <alignment horizontal="center"/>
    </xf>
    <xf numFmtId="178" fontId="89" fillId="0" borderId="330" xfId="0" applyNumberFormat="1" applyFont="1" applyFill="1" applyBorder="1" applyAlignment="1">
      <alignment horizontal="center"/>
    </xf>
    <xf numFmtId="0" fontId="61" fillId="0" borderId="331" xfId="0" applyFont="1" applyBorder="1" applyAlignment="1">
      <alignment horizontal="center" vertical="center"/>
    </xf>
    <xf numFmtId="0" fontId="61" fillId="0" borderId="61" xfId="0" applyFont="1" applyBorder="1" applyAlignment="1">
      <alignment horizontal="center" vertical="center"/>
    </xf>
    <xf numFmtId="0" fontId="61" fillId="0" borderId="11" xfId="0" applyFont="1" applyBorder="1" applyAlignment="1">
      <alignment horizontal="center" vertical="center"/>
    </xf>
    <xf numFmtId="0" fontId="18" fillId="0" borderId="336" xfId="0" applyFont="1" applyFill="1" applyBorder="1" applyAlignment="1">
      <alignment horizontal="center" vertical="center" wrapText="1"/>
    </xf>
    <xf numFmtId="0" fontId="18" fillId="0" borderId="329" xfId="0" applyFont="1" applyFill="1" applyBorder="1" applyAlignment="1">
      <alignment horizontal="center" vertical="center" wrapText="1"/>
    </xf>
    <xf numFmtId="0" fontId="18" fillId="0" borderId="330" xfId="0" applyFont="1" applyFill="1" applyBorder="1" applyAlignment="1">
      <alignment horizontal="center" vertical="center" wrapText="1"/>
    </xf>
    <xf numFmtId="0" fontId="18" fillId="57" borderId="336" xfId="0" applyFont="1" applyFill="1" applyBorder="1" applyAlignment="1">
      <alignment horizontal="center" vertical="center" wrapText="1"/>
    </xf>
    <xf numFmtId="0" fontId="18" fillId="57" borderId="329" xfId="0" applyFont="1" applyFill="1" applyBorder="1" applyAlignment="1">
      <alignment horizontal="center" vertical="center" wrapText="1"/>
    </xf>
    <xf numFmtId="0" fontId="18" fillId="57" borderId="330" xfId="0" applyFont="1" applyFill="1" applyBorder="1" applyAlignment="1">
      <alignment horizontal="center" vertical="center" wrapText="1"/>
    </xf>
    <xf numFmtId="0" fontId="61" fillId="0" borderId="336" xfId="0" applyFont="1" applyFill="1" applyBorder="1" applyAlignment="1">
      <alignment horizontal="center" vertical="center" wrapText="1"/>
    </xf>
    <xf numFmtId="0" fontId="61" fillId="0" borderId="329" xfId="0" applyFont="1" applyFill="1" applyBorder="1" applyAlignment="1">
      <alignment horizontal="center" vertical="center" wrapText="1"/>
    </xf>
    <xf numFmtId="0" fontId="61" fillId="0" borderId="330" xfId="0" applyFont="1" applyFill="1" applyBorder="1" applyAlignment="1">
      <alignment horizontal="center" vertical="center" wrapText="1"/>
    </xf>
    <xf numFmtId="0" fontId="61" fillId="57" borderId="336" xfId="0" applyFont="1" applyFill="1" applyBorder="1" applyAlignment="1">
      <alignment horizontal="center" vertical="center" wrapText="1"/>
    </xf>
    <xf numFmtId="0" fontId="61" fillId="57" borderId="329" xfId="0" applyFont="1" applyFill="1" applyBorder="1" applyAlignment="1">
      <alignment horizontal="center" vertical="center" wrapText="1"/>
    </xf>
    <xf numFmtId="0" fontId="61" fillId="57" borderId="330" xfId="0" applyFont="1" applyFill="1" applyBorder="1" applyAlignment="1">
      <alignment horizontal="center" vertical="center" wrapText="1"/>
    </xf>
    <xf numFmtId="178" fontId="18" fillId="0" borderId="336" xfId="0" applyNumberFormat="1" applyFont="1" applyFill="1" applyBorder="1" applyAlignment="1">
      <alignment horizontal="center" vertical="center" wrapText="1"/>
    </xf>
    <xf numFmtId="178" fontId="18" fillId="0" borderId="329" xfId="0" applyNumberFormat="1" applyFont="1" applyFill="1" applyBorder="1" applyAlignment="1">
      <alignment horizontal="center" vertical="center" wrapText="1"/>
    </xf>
    <xf numFmtId="178" fontId="18" fillId="0" borderId="330" xfId="0" applyNumberFormat="1" applyFont="1" applyFill="1" applyBorder="1" applyAlignment="1">
      <alignment horizontal="center" vertical="center" wrapText="1"/>
    </xf>
    <xf numFmtId="178" fontId="61" fillId="0" borderId="336" xfId="0" applyNumberFormat="1" applyFont="1" applyFill="1" applyBorder="1" applyAlignment="1">
      <alignment horizontal="center" vertical="center" wrapText="1"/>
    </xf>
    <xf numFmtId="178" fontId="61" fillId="0" borderId="329" xfId="0" applyNumberFormat="1" applyFont="1" applyFill="1" applyBorder="1" applyAlignment="1">
      <alignment horizontal="center" vertical="center" wrapText="1"/>
    </xf>
    <xf numFmtId="178" fontId="61" fillId="0" borderId="330" xfId="0" applyNumberFormat="1" applyFont="1" applyFill="1" applyBorder="1" applyAlignment="1">
      <alignment horizontal="center" vertical="center" wrapText="1"/>
    </xf>
    <xf numFmtId="4" fontId="89" fillId="57" borderId="336" xfId="0" applyNumberFormat="1" applyFont="1" applyFill="1" applyBorder="1" applyAlignment="1">
      <alignment horizontal="center"/>
    </xf>
    <xf numFmtId="4" fontId="89" fillId="57" borderId="329" xfId="0" applyNumberFormat="1" applyFont="1" applyFill="1" applyBorder="1" applyAlignment="1">
      <alignment horizontal="center"/>
    </xf>
    <xf numFmtId="4" fontId="89" fillId="57" borderId="330" xfId="0" applyNumberFormat="1" applyFont="1" applyFill="1" applyBorder="1" applyAlignment="1">
      <alignment horizontal="center"/>
    </xf>
    <xf numFmtId="178" fontId="89" fillId="57" borderId="336" xfId="0" applyNumberFormat="1" applyFont="1" applyFill="1" applyBorder="1" applyAlignment="1">
      <alignment horizontal="center"/>
    </xf>
    <xf numFmtId="178" fontId="89" fillId="57" borderId="329" xfId="0" applyNumberFormat="1" applyFont="1" applyFill="1" applyBorder="1" applyAlignment="1">
      <alignment horizontal="center"/>
    </xf>
    <xf numFmtId="178" fontId="89" fillId="57" borderId="330" xfId="0" applyNumberFormat="1" applyFont="1" applyFill="1" applyBorder="1" applyAlignment="1">
      <alignment horizontal="center"/>
    </xf>
    <xf numFmtId="2" fontId="170" fillId="57" borderId="336" xfId="0" applyNumberFormat="1" applyFont="1" applyFill="1" applyBorder="1" applyAlignment="1">
      <alignment horizontal="center" vertical="center"/>
    </xf>
    <xf numFmtId="2" fontId="170" fillId="57" borderId="329" xfId="0" applyNumberFormat="1" applyFont="1" applyFill="1" applyBorder="1" applyAlignment="1">
      <alignment horizontal="center" vertical="center"/>
    </xf>
    <xf numFmtId="2" fontId="170" fillId="57" borderId="330" xfId="0" applyNumberFormat="1" applyFont="1" applyFill="1" applyBorder="1" applyAlignment="1">
      <alignment horizontal="center" vertical="center"/>
    </xf>
    <xf numFmtId="2" fontId="171" fillId="57" borderId="336" xfId="0" applyNumberFormat="1" applyFont="1" applyFill="1" applyBorder="1" applyAlignment="1">
      <alignment horizontal="center" vertical="center"/>
    </xf>
    <xf numFmtId="2" fontId="171" fillId="57" borderId="329" xfId="0" applyNumberFormat="1" applyFont="1" applyFill="1" applyBorder="1" applyAlignment="1">
      <alignment horizontal="center" vertical="center"/>
    </xf>
    <xf numFmtId="2" fontId="171" fillId="57" borderId="330" xfId="0" applyNumberFormat="1" applyFont="1" applyFill="1" applyBorder="1" applyAlignment="1">
      <alignment horizontal="center" vertical="center"/>
    </xf>
    <xf numFmtId="4" fontId="171" fillId="57" borderId="336" xfId="0" applyNumberFormat="1" applyFont="1" applyFill="1" applyBorder="1" applyAlignment="1">
      <alignment horizontal="center" vertical="center"/>
    </xf>
    <xf numFmtId="4" fontId="171" fillId="57" borderId="329" xfId="0" applyNumberFormat="1" applyFont="1" applyFill="1" applyBorder="1" applyAlignment="1">
      <alignment horizontal="center" vertical="center"/>
    </xf>
    <xf numFmtId="4" fontId="171" fillId="57" borderId="330" xfId="0" applyNumberFormat="1" applyFont="1" applyFill="1" applyBorder="1" applyAlignment="1">
      <alignment horizontal="center" vertical="center"/>
    </xf>
    <xf numFmtId="0" fontId="18" fillId="57" borderId="273" xfId="0" applyFont="1" applyFill="1" applyBorder="1" applyAlignment="1" applyProtection="1">
      <alignment horizontal="center" vertical="center"/>
    </xf>
    <xf numFmtId="0" fontId="18" fillId="0" borderId="273" xfId="0" applyFont="1" applyFill="1" applyBorder="1" applyAlignment="1" applyProtection="1">
      <alignment horizontal="center" vertical="center" wrapText="1"/>
    </xf>
    <xf numFmtId="0" fontId="61" fillId="0" borderId="273" xfId="0" applyFont="1" applyFill="1" applyBorder="1" applyAlignment="1" applyProtection="1">
      <alignment horizontal="center" vertical="center"/>
    </xf>
    <xf numFmtId="0" fontId="61" fillId="0" borderId="273" xfId="0" applyFont="1" applyFill="1" applyBorder="1" applyAlignment="1" applyProtection="1">
      <alignment horizontal="center" vertical="center" wrapText="1"/>
    </xf>
    <xf numFmtId="0" fontId="18" fillId="0" borderId="273" xfId="0" applyFont="1" applyFill="1" applyBorder="1" applyAlignment="1" applyProtection="1">
      <alignment horizontal="center" vertical="center"/>
    </xf>
    <xf numFmtId="0" fontId="18" fillId="0" borderId="332" xfId="0" applyFont="1" applyFill="1" applyBorder="1" applyAlignment="1" applyProtection="1">
      <alignment horizontal="center" vertical="center" wrapText="1"/>
    </xf>
    <xf numFmtId="0" fontId="18" fillId="0" borderId="333" xfId="0" applyFont="1" applyFill="1" applyBorder="1" applyAlignment="1" applyProtection="1">
      <alignment horizontal="center" vertical="center" wrapText="1"/>
    </xf>
    <xf numFmtId="0" fontId="61" fillId="0" borderId="258" xfId="0" applyFont="1" applyBorder="1" applyAlignment="1" applyProtection="1">
      <alignment horizontal="center" vertical="center" wrapText="1"/>
    </xf>
    <xf numFmtId="0" fontId="18" fillId="0" borderId="209" xfId="0" applyFont="1" applyFill="1" applyBorder="1" applyAlignment="1" applyProtection="1">
      <alignment horizontal="center" vertical="center"/>
    </xf>
    <xf numFmtId="0" fontId="18" fillId="0" borderId="210" xfId="0" applyFont="1" applyFill="1" applyBorder="1" applyAlignment="1" applyProtection="1">
      <alignment horizontal="center" vertical="center"/>
    </xf>
    <xf numFmtId="0" fontId="18" fillId="0" borderId="260" xfId="0" applyFont="1" applyFill="1" applyBorder="1" applyAlignment="1" applyProtection="1">
      <alignment horizontal="center" vertical="center"/>
    </xf>
    <xf numFmtId="0" fontId="18" fillId="0" borderId="209" xfId="0" applyFont="1" applyFill="1" applyBorder="1" applyAlignment="1" applyProtection="1">
      <alignment horizontal="center" vertical="center" wrapText="1"/>
    </xf>
    <xf numFmtId="0" fontId="18" fillId="0" borderId="210" xfId="0" applyFont="1" applyFill="1" applyBorder="1" applyAlignment="1" applyProtection="1">
      <alignment horizontal="center" vertical="center" wrapText="1"/>
    </xf>
    <xf numFmtId="0" fontId="9" fillId="0" borderId="210" xfId="0" applyFont="1" applyBorder="1" applyAlignment="1">
      <alignment horizontal="center" vertical="center" wrapText="1"/>
    </xf>
    <xf numFmtId="0" fontId="9" fillId="0" borderId="260" xfId="0" applyFont="1" applyBorder="1" applyAlignment="1">
      <alignment horizontal="center" vertical="center" wrapText="1"/>
    </xf>
    <xf numFmtId="0" fontId="18" fillId="57" borderId="209" xfId="0" applyFont="1" applyFill="1" applyBorder="1" applyAlignment="1" applyProtection="1">
      <alignment horizontal="center" vertical="center"/>
    </xf>
    <xf numFmtId="0" fontId="18" fillId="57" borderId="210" xfId="0" applyFont="1" applyFill="1" applyBorder="1" applyAlignment="1" applyProtection="1">
      <alignment horizontal="center" vertical="center"/>
    </xf>
    <xf numFmtId="0" fontId="9" fillId="0" borderId="210" xfId="0" applyFont="1" applyBorder="1" applyAlignment="1">
      <alignment horizontal="center" vertical="center"/>
    </xf>
    <xf numFmtId="0" fontId="9" fillId="0" borderId="260" xfId="0" applyFont="1" applyBorder="1" applyAlignment="1">
      <alignment horizontal="center" vertical="center"/>
    </xf>
    <xf numFmtId="0" fontId="18" fillId="0" borderId="334" xfId="0" applyFont="1" applyFill="1" applyBorder="1" applyAlignment="1" applyProtection="1">
      <alignment horizontal="center" vertical="center" wrapText="1"/>
    </xf>
    <xf numFmtId="0" fontId="61" fillId="0" borderId="209" xfId="0" applyFont="1" applyFill="1" applyBorder="1" applyAlignment="1" applyProtection="1">
      <alignment horizontal="center" vertical="center"/>
    </xf>
    <xf numFmtId="0" fontId="61" fillId="0" borderId="210" xfId="0" applyFont="1" applyFill="1" applyBorder="1" applyAlignment="1" applyProtection="1">
      <alignment horizontal="center" vertical="center"/>
    </xf>
    <xf numFmtId="0" fontId="9" fillId="57" borderId="210" xfId="0" applyFont="1" applyFill="1" applyBorder="1" applyAlignment="1">
      <alignment vertical="center"/>
    </xf>
    <xf numFmtId="0" fontId="9" fillId="57" borderId="260" xfId="0" applyFont="1" applyFill="1" applyBorder="1" applyAlignment="1">
      <alignment vertical="center"/>
    </xf>
    <xf numFmtId="0" fontId="18" fillId="0" borderId="260" xfId="0" applyFont="1" applyFill="1" applyBorder="1" applyAlignment="1" applyProtection="1">
      <alignment horizontal="center" vertical="center" wrapText="1"/>
    </xf>
    <xf numFmtId="0" fontId="61" fillId="0" borderId="260" xfId="0" applyFont="1" applyFill="1" applyBorder="1" applyAlignment="1" applyProtection="1">
      <alignment horizontal="center" vertical="center"/>
    </xf>
    <xf numFmtId="0" fontId="61" fillId="0" borderId="209" xfId="0" applyFont="1" applyFill="1" applyBorder="1" applyAlignment="1" applyProtection="1">
      <alignment horizontal="center" vertical="center" wrapText="1"/>
    </xf>
    <xf numFmtId="0" fontId="61" fillId="0" borderId="210" xfId="0" applyFont="1" applyFill="1" applyBorder="1" applyAlignment="1" applyProtection="1">
      <alignment horizontal="center" vertical="center" wrapText="1"/>
    </xf>
    <xf numFmtId="0" fontId="61" fillId="0" borderId="260" xfId="0" applyFont="1" applyFill="1" applyBorder="1" applyAlignment="1" applyProtection="1">
      <alignment horizontal="center" vertical="center" wrapText="1"/>
    </xf>
    <xf numFmtId="0" fontId="18" fillId="0" borderId="176" xfId="0" applyFont="1" applyFill="1" applyBorder="1" applyAlignment="1" applyProtection="1">
      <alignment horizontal="center" vertical="center"/>
    </xf>
    <xf numFmtId="0" fontId="18" fillId="0" borderId="211" xfId="0" applyFont="1" applyFill="1" applyBorder="1" applyAlignment="1" applyProtection="1">
      <alignment horizontal="center" vertical="center"/>
    </xf>
    <xf numFmtId="0" fontId="18" fillId="0" borderId="212" xfId="0" applyFont="1" applyFill="1" applyBorder="1" applyAlignment="1" applyProtection="1">
      <alignment horizontal="center" vertical="center"/>
    </xf>
    <xf numFmtId="0" fontId="18" fillId="57" borderId="176" xfId="0" applyFont="1" applyFill="1" applyBorder="1" applyAlignment="1" applyProtection="1">
      <alignment horizontal="center" vertical="center" wrapText="1"/>
    </xf>
    <xf numFmtId="0" fontId="18" fillId="57" borderId="211" xfId="0" applyFont="1" applyFill="1" applyBorder="1" applyAlignment="1" applyProtection="1">
      <alignment horizontal="center" vertical="center" wrapText="1"/>
    </xf>
    <xf numFmtId="0" fontId="18" fillId="57" borderId="212" xfId="0" applyFont="1" applyFill="1" applyBorder="1" applyAlignment="1" applyProtection="1">
      <alignment horizontal="center" vertical="center" wrapText="1"/>
    </xf>
    <xf numFmtId="0" fontId="18" fillId="57" borderId="176" xfId="0" applyFont="1" applyFill="1" applyBorder="1" applyAlignment="1" applyProtection="1">
      <alignment horizontal="center" vertical="center"/>
    </xf>
    <xf numFmtId="0" fontId="18" fillId="57" borderId="211" xfId="0" applyFont="1" applyFill="1" applyBorder="1" applyAlignment="1" applyProtection="1">
      <alignment horizontal="center" vertical="center"/>
    </xf>
    <xf numFmtId="0" fontId="18" fillId="57" borderId="212" xfId="0" applyFont="1" applyFill="1" applyBorder="1" applyAlignment="1" applyProtection="1">
      <alignment horizontal="center" vertical="center"/>
    </xf>
    <xf numFmtId="4" fontId="89" fillId="0" borderId="209" xfId="0" applyNumberFormat="1" applyFont="1" applyFill="1" applyBorder="1" applyAlignment="1">
      <alignment horizontal="center"/>
    </xf>
    <xf numFmtId="4" fontId="89" fillId="0" borderId="210" xfId="0" applyNumberFormat="1" applyFont="1" applyFill="1" applyBorder="1" applyAlignment="1">
      <alignment horizontal="center"/>
    </xf>
    <xf numFmtId="4" fontId="89" fillId="0" borderId="260" xfId="0" applyNumberFormat="1" applyFont="1" applyFill="1" applyBorder="1" applyAlignment="1">
      <alignment horizontal="center"/>
    </xf>
    <xf numFmtId="178" fontId="89" fillId="57" borderId="209" xfId="0" applyNumberFormat="1" applyFont="1" applyFill="1" applyBorder="1" applyAlignment="1">
      <alignment horizontal="center" vertical="center"/>
    </xf>
    <xf numFmtId="178" fontId="89" fillId="57" borderId="210" xfId="0" applyNumberFormat="1" applyFont="1" applyFill="1" applyBorder="1" applyAlignment="1">
      <alignment horizontal="center" vertical="center"/>
    </xf>
    <xf numFmtId="178" fontId="89" fillId="57" borderId="260" xfId="0" applyNumberFormat="1" applyFont="1" applyFill="1" applyBorder="1" applyAlignment="1">
      <alignment horizontal="center" vertical="center"/>
    </xf>
    <xf numFmtId="4" fontId="89" fillId="57" borderId="209" xfId="0" applyNumberFormat="1" applyFont="1" applyFill="1" applyBorder="1" applyAlignment="1">
      <alignment horizontal="center" vertical="center"/>
    </xf>
    <xf numFmtId="4" fontId="89" fillId="57" borderId="210" xfId="0" applyNumberFormat="1" applyFont="1" applyFill="1" applyBorder="1" applyAlignment="1">
      <alignment horizontal="center" vertical="center"/>
    </xf>
    <xf numFmtId="4" fontId="89" fillId="57" borderId="260" xfId="0" applyNumberFormat="1" applyFont="1" applyFill="1" applyBorder="1" applyAlignment="1">
      <alignment horizontal="center" vertical="center"/>
    </xf>
    <xf numFmtId="0" fontId="18" fillId="0" borderId="176" xfId="0" applyFont="1" applyFill="1" applyBorder="1" applyAlignment="1" applyProtection="1">
      <alignment horizontal="center" vertical="center" wrapText="1"/>
    </xf>
    <xf numFmtId="0" fontId="18" fillId="0" borderId="211" xfId="0" applyFont="1" applyFill="1" applyBorder="1" applyAlignment="1" applyProtection="1">
      <alignment horizontal="center" vertical="center" wrapText="1"/>
    </xf>
    <xf numFmtId="178" fontId="89" fillId="0" borderId="209" xfId="0" applyNumberFormat="1" applyFont="1" applyFill="1" applyBorder="1" applyAlignment="1">
      <alignment horizontal="center"/>
    </xf>
    <xf numFmtId="178" fontId="89" fillId="0" borderId="210" xfId="0" applyNumberFormat="1" applyFont="1" applyFill="1" applyBorder="1" applyAlignment="1">
      <alignment horizontal="center"/>
    </xf>
    <xf numFmtId="178" fontId="89" fillId="0" borderId="260" xfId="0" applyNumberFormat="1" applyFont="1" applyFill="1" applyBorder="1" applyAlignment="1">
      <alignment horizontal="center"/>
    </xf>
    <xf numFmtId="0" fontId="18" fillId="0" borderId="212" xfId="0" applyFont="1" applyFill="1" applyBorder="1" applyAlignment="1" applyProtection="1">
      <alignment horizontal="center" vertical="center" wrapText="1"/>
    </xf>
    <xf numFmtId="0" fontId="61" fillId="0" borderId="176" xfId="0" applyFont="1" applyFill="1" applyBorder="1" applyAlignment="1" applyProtection="1">
      <alignment horizontal="center" vertical="center" wrapText="1"/>
    </xf>
    <xf numFmtId="0" fontId="61" fillId="0" borderId="211" xfId="0" applyFont="1" applyFill="1" applyBorder="1" applyAlignment="1" applyProtection="1">
      <alignment horizontal="center" vertical="center" wrapText="1"/>
    </xf>
    <xf numFmtId="0" fontId="61" fillId="0" borderId="212" xfId="0" applyFont="1" applyFill="1" applyBorder="1" applyAlignment="1" applyProtection="1">
      <alignment horizontal="center" vertical="center" wrapText="1"/>
    </xf>
    <xf numFmtId="0" fontId="61" fillId="0" borderId="176" xfId="0" applyFont="1" applyFill="1" applyBorder="1" applyAlignment="1" applyProtection="1">
      <alignment horizontal="center" vertical="center"/>
    </xf>
    <xf numFmtId="0" fontId="61" fillId="0" borderId="211" xfId="0" applyFont="1" applyFill="1" applyBorder="1" applyAlignment="1" applyProtection="1">
      <alignment horizontal="center" vertical="center"/>
    </xf>
    <xf numFmtId="0" fontId="61" fillId="0" borderId="212" xfId="0" applyFont="1" applyFill="1" applyBorder="1" applyAlignment="1" applyProtection="1">
      <alignment horizontal="center" vertical="center"/>
    </xf>
    <xf numFmtId="178" fontId="170" fillId="0" borderId="209" xfId="0" applyNumberFormat="1" applyFont="1" applyFill="1" applyBorder="1" applyAlignment="1">
      <alignment horizontal="center" vertical="center"/>
    </xf>
    <xf numFmtId="0" fontId="51" fillId="0" borderId="210" xfId="0" applyFont="1" applyFill="1" applyBorder="1" applyAlignment="1">
      <alignment horizontal="center" vertical="center"/>
    </xf>
    <xf numFmtId="0" fontId="51" fillId="0" borderId="260" xfId="0" applyFont="1" applyFill="1" applyBorder="1" applyAlignment="1">
      <alignment horizontal="center" vertical="center"/>
    </xf>
    <xf numFmtId="4" fontId="62" fillId="0" borderId="209" xfId="0" applyNumberFormat="1" applyFont="1" applyFill="1" applyBorder="1" applyAlignment="1">
      <alignment horizontal="center" vertical="center"/>
    </xf>
    <xf numFmtId="4" fontId="170" fillId="0" borderId="209" xfId="0" applyNumberFormat="1" applyFont="1" applyFill="1" applyBorder="1" applyAlignment="1">
      <alignment horizontal="center" vertical="center"/>
    </xf>
    <xf numFmtId="4" fontId="170" fillId="0" borderId="210" xfId="0" applyNumberFormat="1" applyFont="1" applyFill="1" applyBorder="1" applyAlignment="1">
      <alignment horizontal="center" vertical="center"/>
    </xf>
    <xf numFmtId="4" fontId="170" fillId="0" borderId="260" xfId="0" applyNumberFormat="1" applyFont="1" applyFill="1" applyBorder="1" applyAlignment="1">
      <alignment horizontal="center" vertical="center"/>
    </xf>
    <xf numFmtId="4" fontId="170" fillId="57" borderId="209" xfId="0" applyNumberFormat="1" applyFont="1" applyFill="1" applyBorder="1" applyAlignment="1">
      <alignment horizontal="center" vertical="center"/>
    </xf>
    <xf numFmtId="4" fontId="170" fillId="57" borderId="210" xfId="0" applyNumberFormat="1" applyFont="1" applyFill="1" applyBorder="1" applyAlignment="1">
      <alignment horizontal="center" vertical="center"/>
    </xf>
    <xf numFmtId="4" fontId="170" fillId="57" borderId="260" xfId="0" applyNumberFormat="1" applyFont="1" applyFill="1" applyBorder="1" applyAlignment="1">
      <alignment horizontal="center" vertical="center"/>
    </xf>
    <xf numFmtId="0" fontId="51" fillId="0" borderId="210" xfId="0" applyFont="1" applyBorder="1" applyAlignment="1">
      <alignment horizontal="center" vertical="center"/>
    </xf>
    <xf numFmtId="0" fontId="51" fillId="0" borderId="260" xfId="0" applyFont="1" applyBorder="1" applyAlignment="1">
      <alignment horizontal="center" vertical="center"/>
    </xf>
    <xf numFmtId="178" fontId="170" fillId="57" borderId="209" xfId="0" applyNumberFormat="1" applyFont="1" applyFill="1" applyBorder="1" applyAlignment="1">
      <alignment horizontal="center" vertical="center"/>
    </xf>
    <xf numFmtId="178" fontId="170" fillId="57" borderId="210" xfId="0" applyNumberFormat="1" applyFont="1" applyFill="1" applyBorder="1" applyAlignment="1">
      <alignment horizontal="center" vertical="center"/>
    </xf>
    <xf numFmtId="178" fontId="170" fillId="57" borderId="260" xfId="0" applyNumberFormat="1" applyFont="1" applyFill="1" applyBorder="1" applyAlignment="1">
      <alignment horizontal="center" vertical="center"/>
    </xf>
    <xf numFmtId="4" fontId="171" fillId="57" borderId="209" xfId="0" applyNumberFormat="1" applyFont="1" applyFill="1" applyBorder="1" applyAlignment="1">
      <alignment horizontal="center" vertical="center"/>
    </xf>
    <xf numFmtId="4" fontId="171" fillId="57" borderId="210" xfId="0" applyNumberFormat="1" applyFont="1" applyFill="1" applyBorder="1" applyAlignment="1">
      <alignment horizontal="center" vertical="center"/>
    </xf>
    <xf numFmtId="4" fontId="171" fillId="57" borderId="260" xfId="0" applyNumberFormat="1" applyFont="1" applyFill="1" applyBorder="1" applyAlignment="1">
      <alignment horizontal="center" vertical="center"/>
    </xf>
    <xf numFmtId="4" fontId="62" fillId="0" borderId="210" xfId="0" applyNumberFormat="1" applyFont="1" applyFill="1" applyBorder="1" applyAlignment="1">
      <alignment horizontal="center" vertical="center"/>
    </xf>
    <xf numFmtId="4" fontId="62" fillId="0" borderId="260" xfId="0" applyNumberFormat="1" applyFont="1" applyFill="1" applyBorder="1" applyAlignment="1">
      <alignment horizontal="center" vertical="center"/>
    </xf>
    <xf numFmtId="178" fontId="170" fillId="0" borderId="210" xfId="0" applyNumberFormat="1" applyFont="1" applyFill="1" applyBorder="1" applyAlignment="1">
      <alignment horizontal="center" vertical="center"/>
    </xf>
    <xf numFmtId="178" fontId="170" fillId="0" borderId="260" xfId="0" applyNumberFormat="1" applyFont="1" applyFill="1" applyBorder="1" applyAlignment="1">
      <alignment horizontal="center" vertical="center"/>
    </xf>
    <xf numFmtId="2" fontId="89" fillId="57" borderId="209" xfId="0" applyNumberFormat="1" applyFont="1" applyFill="1" applyBorder="1" applyAlignment="1">
      <alignment horizontal="center" vertical="center"/>
    </xf>
    <xf numFmtId="2" fontId="89" fillId="57" borderId="210" xfId="0" applyNumberFormat="1" applyFont="1" applyFill="1" applyBorder="1" applyAlignment="1">
      <alignment horizontal="center" vertical="center"/>
    </xf>
    <xf numFmtId="2" fontId="89" fillId="57" borderId="260" xfId="0" applyNumberFormat="1" applyFont="1" applyFill="1" applyBorder="1" applyAlignment="1">
      <alignment horizontal="center" vertical="center"/>
    </xf>
    <xf numFmtId="2" fontId="170" fillId="57" borderId="209" xfId="0" applyNumberFormat="1" applyFont="1" applyFill="1" applyBorder="1" applyAlignment="1">
      <alignment horizontal="center" vertical="center"/>
    </xf>
    <xf numFmtId="2" fontId="170" fillId="57" borderId="210" xfId="0" applyNumberFormat="1" applyFont="1" applyFill="1" applyBorder="1" applyAlignment="1">
      <alignment horizontal="center" vertical="center"/>
    </xf>
    <xf numFmtId="2" fontId="170" fillId="57" borderId="260" xfId="0" applyNumberFormat="1" applyFont="1" applyFill="1" applyBorder="1" applyAlignment="1">
      <alignment horizontal="center" vertical="center"/>
    </xf>
    <xf numFmtId="2" fontId="171" fillId="57" borderId="209" xfId="0" applyNumberFormat="1" applyFont="1" applyFill="1" applyBorder="1" applyAlignment="1">
      <alignment horizontal="center" vertical="center"/>
    </xf>
    <xf numFmtId="2" fontId="171" fillId="57" borderId="210" xfId="0" applyNumberFormat="1" applyFont="1" applyFill="1" applyBorder="1" applyAlignment="1">
      <alignment horizontal="center" vertical="center"/>
    </xf>
    <xf numFmtId="2" fontId="171" fillId="57" borderId="260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85" fillId="0" borderId="0" xfId="0" applyFont="1" applyAlignment="1">
      <alignment horizontal="center"/>
    </xf>
    <xf numFmtId="0" fontId="18" fillId="38" borderId="291" xfId="0" applyFont="1" applyFill="1" applyBorder="1" applyAlignment="1">
      <alignment horizontal="center" vertical="center" wrapText="1"/>
    </xf>
    <xf numFmtId="0" fontId="0" fillId="0" borderId="29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8" fillId="38" borderId="52" xfId="0" applyFont="1" applyFill="1" applyBorder="1" applyAlignment="1">
      <alignment horizontal="center" vertical="center"/>
    </xf>
    <xf numFmtId="0" fontId="18" fillId="38" borderId="53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3" xfId="0" applyBorder="1" applyAlignment="1">
      <alignment vertical="center"/>
    </xf>
    <xf numFmtId="0" fontId="0" fillId="0" borderId="53" xfId="0" applyBorder="1" applyAlignment="1"/>
    <xf numFmtId="0" fontId="0" fillId="0" borderId="59" xfId="0" applyBorder="1" applyAlignment="1"/>
    <xf numFmtId="0" fontId="18" fillId="38" borderId="335" xfId="0" applyFont="1" applyFill="1" applyBorder="1" applyAlignment="1">
      <alignment horizontal="center" vertical="center" wrapText="1"/>
    </xf>
    <xf numFmtId="0" fontId="61" fillId="38" borderId="335" xfId="0" applyFont="1" applyFill="1" applyBorder="1" applyAlignment="1">
      <alignment horizontal="center" vertical="center" wrapText="1"/>
    </xf>
    <xf numFmtId="0" fontId="163" fillId="0" borderId="0" xfId="0" applyFont="1" applyAlignment="1">
      <alignment horizontal="center"/>
    </xf>
    <xf numFmtId="0" fontId="18" fillId="38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35" xfId="0" applyBorder="1" applyAlignment="1">
      <alignment horizontal="center" vertical="center" wrapText="1"/>
    </xf>
    <xf numFmtId="0" fontId="18" fillId="38" borderId="66" xfId="0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8" fillId="38" borderId="336" xfId="0" applyFont="1" applyFill="1" applyBorder="1" applyAlignment="1">
      <alignment horizontal="center" vertical="center" wrapText="1"/>
    </xf>
    <xf numFmtId="0" fontId="0" fillId="0" borderId="330" xfId="0" applyBorder="1" applyAlignment="1">
      <alignment horizontal="center" vertical="center" wrapText="1"/>
    </xf>
    <xf numFmtId="0" fontId="61" fillId="38" borderId="331" xfId="0" applyFont="1" applyFill="1" applyBorder="1" applyAlignment="1">
      <alignment horizontal="center" vertical="center" wrapText="1"/>
    </xf>
    <xf numFmtId="0" fontId="18" fillId="38" borderId="3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38" borderId="335" xfId="0" applyFill="1" applyBorder="1" applyAlignment="1">
      <alignment horizontal="center" vertical="center" wrapText="1"/>
    </xf>
    <xf numFmtId="0" fontId="61" fillId="38" borderId="16" xfId="0" applyFont="1" applyFill="1" applyBorder="1" applyAlignment="1">
      <alignment horizontal="center" vertical="center"/>
    </xf>
    <xf numFmtId="0" fontId="61" fillId="38" borderId="296" xfId="0" applyFont="1" applyFill="1" applyBorder="1" applyAlignment="1">
      <alignment horizontal="center" vertical="center"/>
    </xf>
    <xf numFmtId="0" fontId="61" fillId="38" borderId="340" xfId="0" applyFont="1" applyFill="1" applyBorder="1" applyAlignment="1">
      <alignment horizontal="center" vertical="center"/>
    </xf>
    <xf numFmtId="0" fontId="0" fillId="38" borderId="331" xfId="0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18" fillId="25" borderId="52" xfId="0" applyFont="1" applyFill="1" applyBorder="1" applyAlignment="1">
      <alignment horizontal="center" vertical="center"/>
    </xf>
    <xf numFmtId="0" fontId="18" fillId="25" borderId="53" xfId="0" applyFont="1" applyFill="1" applyBorder="1" applyAlignment="1">
      <alignment horizontal="center" vertical="center"/>
    </xf>
    <xf numFmtId="0" fontId="19" fillId="38" borderId="192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92" xfId="0" applyBorder="1" applyAlignment="1"/>
    <xf numFmtId="0" fontId="0" fillId="0" borderId="193" xfId="0" applyBorder="1" applyAlignment="1"/>
    <xf numFmtId="0" fontId="17" fillId="38" borderId="192" xfId="0" applyFont="1" applyFill="1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19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61" fillId="38" borderId="205" xfId="0" applyFont="1" applyFill="1" applyBorder="1" applyAlignment="1">
      <alignment horizontal="center" vertical="center" wrapText="1"/>
    </xf>
    <xf numFmtId="0" fontId="61" fillId="38" borderId="206" xfId="0" applyFont="1" applyFill="1" applyBorder="1" applyAlignment="1">
      <alignment horizontal="center" vertical="center" wrapText="1"/>
    </xf>
    <xf numFmtId="0" fontId="61" fillId="38" borderId="193" xfId="0" applyFont="1" applyFill="1" applyBorder="1" applyAlignment="1">
      <alignment horizontal="center" vertical="center" wrapText="1"/>
    </xf>
    <xf numFmtId="0" fontId="61" fillId="38" borderId="194" xfId="0" applyFont="1" applyFill="1" applyBorder="1" applyAlignment="1">
      <alignment horizontal="center" vertical="center" wrapText="1"/>
    </xf>
    <xf numFmtId="0" fontId="19" fillId="38" borderId="193" xfId="0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 wrapText="1"/>
    </xf>
    <xf numFmtId="0" fontId="9" fillId="38" borderId="192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19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19" fillId="38" borderId="199" xfId="0" applyFont="1" applyFill="1" applyBorder="1" applyAlignment="1">
      <alignment horizontal="center" vertical="center" wrapText="1"/>
    </xf>
    <xf numFmtId="0" fontId="19" fillId="38" borderId="194" xfId="0" applyFont="1" applyFill="1" applyBorder="1" applyAlignment="1">
      <alignment horizontal="center" vertical="center" wrapText="1"/>
    </xf>
    <xf numFmtId="0" fontId="9" fillId="25" borderId="26" xfId="0" applyFont="1" applyFill="1" applyBorder="1" applyAlignment="1">
      <alignment horizontal="center"/>
    </xf>
    <xf numFmtId="0" fontId="79" fillId="38" borderId="192" xfId="0" applyFont="1" applyFill="1" applyBorder="1" applyAlignment="1">
      <alignment horizontal="center" vertical="center" wrapText="1"/>
    </xf>
    <xf numFmtId="0" fontId="62" fillId="38" borderId="192" xfId="0" applyFont="1" applyFill="1" applyBorder="1" applyAlignment="1">
      <alignment horizontal="center" vertical="center" wrapText="1"/>
    </xf>
    <xf numFmtId="0" fontId="51" fillId="38" borderId="192" xfId="0" applyFont="1" applyFill="1" applyBorder="1" applyAlignment="1">
      <alignment horizontal="center" vertical="center" wrapText="1"/>
    </xf>
    <xf numFmtId="0" fontId="18" fillId="38" borderId="192" xfId="0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horizontal="center" vertical="center" wrapText="1"/>
    </xf>
    <xf numFmtId="0" fontId="61" fillId="38" borderId="192" xfId="0" applyFont="1" applyFill="1" applyBorder="1" applyAlignment="1">
      <alignment horizontal="center" vertical="center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0" fillId="0" borderId="28" xfId="0" applyBorder="1" applyAlignment="1">
      <alignment horizontal="center"/>
    </xf>
    <xf numFmtId="0" fontId="9" fillId="25" borderId="0" xfId="0" applyFont="1" applyFill="1" applyBorder="1" applyAlignment="1">
      <alignment horizontal="center"/>
    </xf>
    <xf numFmtId="0" fontId="9" fillId="25" borderId="36" xfId="0" applyFont="1" applyFill="1" applyBorder="1" applyAlignment="1">
      <alignment horizontal="center"/>
    </xf>
    <xf numFmtId="0" fontId="9" fillId="25" borderId="25" xfId="0" applyFont="1" applyFill="1" applyBorder="1" applyAlignment="1">
      <alignment horizontal="center"/>
    </xf>
    <xf numFmtId="0" fontId="9" fillId="25" borderId="28" xfId="0" applyFont="1" applyFill="1" applyBorder="1" applyAlignment="1">
      <alignment horizontal="center"/>
    </xf>
    <xf numFmtId="0" fontId="0" fillId="0" borderId="193" xfId="0" applyBorder="1" applyAlignment="1">
      <alignment horizontal="center" vertical="center" wrapText="1"/>
    </xf>
    <xf numFmtId="0" fontId="14" fillId="38" borderId="192" xfId="0" applyFont="1" applyFill="1" applyBorder="1" applyAlignment="1"/>
    <xf numFmtId="0" fontId="61" fillId="38" borderId="205" xfId="0" applyFont="1" applyFill="1" applyBorder="1" applyAlignment="1">
      <alignment horizontal="center" vertical="center"/>
    </xf>
    <xf numFmtId="0" fontId="61" fillId="38" borderId="206" xfId="0" applyFont="1" applyFill="1" applyBorder="1" applyAlignment="1">
      <alignment horizontal="center" vertical="center"/>
    </xf>
    <xf numFmtId="0" fontId="18" fillId="38" borderId="193" xfId="0" applyFont="1" applyFill="1" applyBorder="1" applyAlignment="1">
      <alignment horizontal="center" vertical="center" wrapText="1"/>
    </xf>
    <xf numFmtId="0" fontId="18" fillId="38" borderId="199" xfId="0" applyFont="1" applyFill="1" applyBorder="1" applyAlignment="1">
      <alignment horizontal="center" vertical="center" wrapText="1"/>
    </xf>
    <xf numFmtId="0" fontId="18" fillId="38" borderId="194" xfId="0" applyFont="1" applyFill="1" applyBorder="1" applyAlignment="1">
      <alignment horizontal="center" vertical="center" wrapText="1"/>
    </xf>
    <xf numFmtId="0" fontId="18" fillId="38" borderId="192" xfId="0" applyFont="1" applyFill="1" applyBorder="1"/>
    <xf numFmtId="0" fontId="18" fillId="38" borderId="192" xfId="0" applyFont="1" applyFill="1" applyBorder="1" applyAlignment="1"/>
    <xf numFmtId="0" fontId="13" fillId="38" borderId="192" xfId="0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/>
    </xf>
    <xf numFmtId="0" fontId="131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wrapText="1"/>
    </xf>
    <xf numFmtId="0" fontId="14" fillId="38" borderId="192" xfId="96" applyFont="1" applyFill="1" applyBorder="1" applyAlignment="1">
      <alignment horizontal="center" vertical="center" wrapText="1"/>
    </xf>
    <xf numFmtId="4" fontId="144" fillId="57" borderId="207" xfId="96" applyNumberFormat="1" applyFont="1" applyFill="1" applyBorder="1" applyAlignment="1">
      <alignment horizontal="center" vertical="center" wrapText="1"/>
    </xf>
    <xf numFmtId="4" fontId="144" fillId="57" borderId="206" xfId="96" applyNumberFormat="1" applyFont="1" applyFill="1" applyBorder="1" applyAlignment="1">
      <alignment horizontal="center" vertical="center" wrapText="1"/>
    </xf>
    <xf numFmtId="0" fontId="14" fillId="38" borderId="193" xfId="96" applyFont="1" applyFill="1" applyBorder="1" applyAlignment="1">
      <alignment horizontal="center" vertical="center" wrapText="1"/>
    </xf>
    <xf numFmtId="0" fontId="14" fillId="38" borderId="199" xfId="96" applyFont="1" applyFill="1" applyBorder="1" applyAlignment="1">
      <alignment horizontal="center" vertical="center" wrapText="1"/>
    </xf>
    <xf numFmtId="0" fontId="0" fillId="38" borderId="199" xfId="0" applyFill="1" applyBorder="1" applyAlignment="1">
      <alignment horizontal="center" vertical="center" wrapText="1"/>
    </xf>
    <xf numFmtId="0" fontId="0" fillId="38" borderId="199" xfId="0" applyFill="1" applyBorder="1" applyAlignment="1"/>
    <xf numFmtId="0" fontId="0" fillId="0" borderId="199" xfId="0" applyBorder="1" applyAlignment="1"/>
    <xf numFmtId="0" fontId="0" fillId="0" borderId="194" xfId="0" applyBorder="1" applyAlignment="1"/>
    <xf numFmtId="0" fontId="18" fillId="24" borderId="0" xfId="96" applyFont="1" applyFill="1" applyAlignment="1">
      <alignment horizontal="center" wrapText="1"/>
    </xf>
    <xf numFmtId="0" fontId="14" fillId="0" borderId="192" xfId="96" applyFont="1" applyFill="1" applyBorder="1" applyAlignment="1">
      <alignment horizontal="center" vertical="center" wrapText="1"/>
    </xf>
    <xf numFmtId="178" fontId="14" fillId="0" borderId="192" xfId="96" applyNumberFormat="1" applyFont="1" applyFill="1" applyBorder="1" applyAlignment="1">
      <alignment horizontal="center" vertical="center" wrapText="1"/>
    </xf>
    <xf numFmtId="4" fontId="138" fillId="0" borderId="207" xfId="96" applyNumberFormat="1" applyFont="1" applyFill="1" applyBorder="1" applyAlignment="1">
      <alignment horizontal="center" vertical="center" wrapText="1"/>
    </xf>
    <xf numFmtId="4" fontId="138" fillId="0" borderId="206" xfId="96" applyNumberFormat="1" applyFont="1" applyFill="1" applyBorder="1" applyAlignment="1">
      <alignment horizontal="center" vertical="center" wrapText="1"/>
    </xf>
    <xf numFmtId="0" fontId="14" fillId="27" borderId="192" xfId="96" applyFont="1" applyFill="1" applyBorder="1" applyAlignment="1">
      <alignment horizontal="center" vertical="center" wrapText="1"/>
    </xf>
    <xf numFmtId="0" fontId="14" fillId="27" borderId="205" xfId="96" applyFont="1" applyFill="1" applyBorder="1" applyAlignment="1">
      <alignment horizontal="center" vertical="center" wrapText="1"/>
    </xf>
    <xf numFmtId="0" fontId="14" fillId="27" borderId="207" xfId="96" applyFont="1" applyFill="1" applyBorder="1" applyAlignment="1">
      <alignment horizontal="center" vertical="center" wrapText="1"/>
    </xf>
    <xf numFmtId="0" fontId="14" fillId="27" borderId="206" xfId="96" applyFont="1" applyFill="1" applyBorder="1" applyAlignment="1">
      <alignment horizontal="center" vertical="center" wrapText="1"/>
    </xf>
    <xf numFmtId="178" fontId="14" fillId="0" borderId="193" xfId="96" applyNumberFormat="1" applyFont="1" applyFill="1" applyBorder="1" applyAlignment="1">
      <alignment horizontal="center" vertical="center" wrapText="1"/>
    </xf>
    <xf numFmtId="0" fontId="14" fillId="27" borderId="193" xfId="96" applyFont="1" applyFill="1" applyBorder="1" applyAlignment="1">
      <alignment horizontal="center" vertical="center" wrapText="1"/>
    </xf>
    <xf numFmtId="0" fontId="14" fillId="27" borderId="199" xfId="96" applyFont="1" applyFill="1" applyBorder="1" applyAlignment="1">
      <alignment horizontal="center" vertical="center" wrapText="1"/>
    </xf>
    <xf numFmtId="0" fontId="14" fillId="27" borderId="213" xfId="96" applyFont="1" applyFill="1" applyBorder="1" applyAlignment="1">
      <alignment horizontal="center" vertical="center" wrapText="1"/>
    </xf>
    <xf numFmtId="0" fontId="14" fillId="27" borderId="225" xfId="96" applyFont="1" applyFill="1" applyBorder="1" applyAlignment="1">
      <alignment horizontal="center" vertical="center" wrapText="1"/>
    </xf>
    <xf numFmtId="0" fontId="14" fillId="27" borderId="215" xfId="96" applyFont="1" applyFill="1" applyBorder="1" applyAlignment="1">
      <alignment horizontal="center" vertical="center" wrapText="1"/>
    </xf>
    <xf numFmtId="4" fontId="13" fillId="0" borderId="207" xfId="96" applyNumberFormat="1" applyFont="1" applyFill="1" applyBorder="1" applyAlignment="1">
      <alignment horizontal="center" vertical="center" wrapText="1"/>
    </xf>
    <xf numFmtId="4" fontId="13" fillId="0" borderId="206" xfId="96" applyNumberFormat="1" applyFont="1" applyFill="1" applyBorder="1" applyAlignment="1">
      <alignment horizontal="center" vertical="center" wrapText="1"/>
    </xf>
    <xf numFmtId="0" fontId="0" fillId="38" borderId="192" xfId="0" applyFill="1" applyBorder="1" applyAlignment="1"/>
    <xf numFmtId="0" fontId="8" fillId="38" borderId="192" xfId="0" applyFont="1" applyFill="1" applyBorder="1" applyAlignment="1">
      <alignment horizontal="center" vertical="center" wrapText="1"/>
    </xf>
    <xf numFmtId="4" fontId="13" fillId="29" borderId="207" xfId="96" applyNumberFormat="1" applyFont="1" applyFill="1" applyBorder="1" applyAlignment="1">
      <alignment horizontal="center" vertical="center" wrapText="1"/>
    </xf>
    <xf numFmtId="4" fontId="13" fillId="29" borderId="206" xfId="96" applyNumberFormat="1" applyFont="1" applyFill="1" applyBorder="1" applyAlignment="1">
      <alignment horizontal="center" vertical="center" wrapText="1"/>
    </xf>
    <xf numFmtId="4" fontId="166" fillId="0" borderId="207" xfId="96" applyNumberFormat="1" applyFont="1" applyFill="1" applyBorder="1" applyAlignment="1">
      <alignment horizontal="center" vertical="center" wrapText="1"/>
    </xf>
    <xf numFmtId="4" fontId="166" fillId="0" borderId="206" xfId="96" applyNumberFormat="1" applyFont="1" applyFill="1" applyBorder="1" applyAlignment="1">
      <alignment horizontal="center" vertical="center" wrapText="1"/>
    </xf>
    <xf numFmtId="4" fontId="138" fillId="0" borderId="205" xfId="96" applyNumberFormat="1" applyFont="1" applyFill="1" applyBorder="1" applyAlignment="1">
      <alignment horizontal="center" vertical="center" wrapText="1"/>
    </xf>
    <xf numFmtId="0" fontId="14" fillId="38" borderId="192" xfId="96" applyFont="1" applyFill="1" applyBorder="1" applyAlignment="1">
      <alignment horizontal="center" vertical="center"/>
    </xf>
    <xf numFmtId="0" fontId="8" fillId="38" borderId="192" xfId="0" applyFont="1" applyFill="1" applyBorder="1" applyAlignment="1">
      <alignment horizontal="center" vertical="center"/>
    </xf>
    <xf numFmtId="4" fontId="144" fillId="57" borderId="192" xfId="96" applyNumberFormat="1" applyFont="1" applyFill="1" applyBorder="1" applyAlignment="1">
      <alignment horizontal="center" vertical="center" wrapText="1"/>
    </xf>
    <xf numFmtId="0" fontId="18" fillId="24" borderId="0" xfId="96" applyFont="1" applyFill="1" applyAlignment="1">
      <alignment horizontal="center"/>
    </xf>
    <xf numFmtId="4" fontId="13" fillId="29" borderId="192" xfId="96" applyNumberFormat="1" applyFont="1" applyFill="1" applyBorder="1" applyAlignment="1">
      <alignment horizontal="center" vertical="center" wrapText="1"/>
    </xf>
    <xf numFmtId="4" fontId="13" fillId="0" borderId="192" xfId="96" applyNumberFormat="1" applyFont="1" applyFill="1" applyBorder="1" applyAlignment="1">
      <alignment horizontal="center" vertical="center" wrapText="1"/>
    </xf>
    <xf numFmtId="4" fontId="138" fillId="0" borderId="192" xfId="96" applyNumberFormat="1" applyFont="1" applyFill="1" applyBorder="1" applyAlignment="1">
      <alignment horizontal="center" vertical="center" wrapText="1"/>
    </xf>
    <xf numFmtId="0" fontId="13" fillId="0" borderId="205" xfId="96" applyFont="1" applyFill="1" applyBorder="1" applyAlignment="1">
      <alignment horizontal="center" vertical="center"/>
    </xf>
    <xf numFmtId="0" fontId="13" fillId="0" borderId="207" xfId="96" applyFont="1" applyFill="1" applyBorder="1" applyAlignment="1">
      <alignment horizontal="center" vertical="center"/>
    </xf>
    <xf numFmtId="0" fontId="0" fillId="0" borderId="206" xfId="0" applyBorder="1" applyAlignment="1">
      <alignment horizontal="center" vertical="center"/>
    </xf>
    <xf numFmtId="0" fontId="18" fillId="24" borderId="0" xfId="96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4" fontId="13" fillId="57" borderId="192" xfId="96" applyNumberFormat="1" applyFont="1" applyFill="1" applyBorder="1" applyAlignment="1">
      <alignment horizontal="center" vertical="center" wrapText="1"/>
    </xf>
    <xf numFmtId="4" fontId="166" fillId="0" borderId="192" xfId="96" applyNumberFormat="1" applyFont="1" applyFill="1" applyBorder="1" applyAlignment="1">
      <alignment horizontal="center" vertical="center" wrapText="1"/>
    </xf>
    <xf numFmtId="0" fontId="137" fillId="0" borderId="192" xfId="96" applyFont="1" applyFill="1" applyBorder="1" applyAlignment="1">
      <alignment horizontal="center" vertical="center"/>
    </xf>
    <xf numFmtId="0" fontId="13" fillId="38" borderId="193" xfId="0" applyFont="1" applyFill="1" applyBorder="1" applyAlignment="1">
      <alignment horizontal="center" vertical="center" wrapText="1"/>
    </xf>
    <xf numFmtId="0" fontId="14" fillId="0" borderId="199" xfId="0" applyFont="1" applyBorder="1" applyAlignment="1">
      <alignment horizontal="center" vertical="center"/>
    </xf>
    <xf numFmtId="0" fontId="14" fillId="38" borderId="213" xfId="0" applyFont="1" applyFill="1" applyBorder="1" applyAlignment="1">
      <alignment horizontal="center" vertical="center" wrapText="1"/>
    </xf>
    <xf numFmtId="0" fontId="14" fillId="0" borderId="253" xfId="0" applyFont="1" applyBorder="1" applyAlignment="1">
      <alignment horizontal="center" vertical="center"/>
    </xf>
    <xf numFmtId="0" fontId="14" fillId="0" borderId="214" xfId="0" applyFont="1" applyBorder="1" applyAlignment="1">
      <alignment horizontal="center" vertical="center"/>
    </xf>
    <xf numFmtId="0" fontId="14" fillId="0" borderId="215" xfId="0" applyFont="1" applyBorder="1" applyAlignment="1">
      <alignment horizontal="center" vertical="center"/>
    </xf>
    <xf numFmtId="0" fontId="14" fillId="0" borderId="208" xfId="0" applyFont="1" applyBorder="1" applyAlignment="1">
      <alignment horizontal="center" vertical="center"/>
    </xf>
    <xf numFmtId="0" fontId="14" fillId="0" borderId="216" xfId="0" applyFont="1" applyBorder="1" applyAlignment="1">
      <alignment horizontal="center" vertical="center"/>
    </xf>
    <xf numFmtId="0" fontId="14" fillId="38" borderId="207" xfId="0" applyFont="1" applyFill="1" applyBorder="1" applyAlignment="1">
      <alignment horizontal="center" vertical="center"/>
    </xf>
    <xf numFmtId="0" fontId="14" fillId="0" borderId="206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" fontId="82" fillId="29" borderId="192" xfId="0" applyNumberFormat="1" applyFont="1" applyFill="1" applyBorder="1" applyAlignment="1">
      <alignment horizontal="center"/>
    </xf>
    <xf numFmtId="0" fontId="0" fillId="29" borderId="192" xfId="0" applyFont="1" applyFill="1" applyBorder="1" applyAlignment="1">
      <alignment horizontal="center"/>
    </xf>
    <xf numFmtId="0" fontId="14" fillId="29" borderId="192" xfId="0" applyFont="1" applyFill="1" applyBorder="1" applyAlignment="1">
      <alignment horizontal="center" vertical="center"/>
    </xf>
    <xf numFmtId="0" fontId="0" fillId="29" borderId="192" xfId="0" applyFill="1" applyBorder="1" applyAlignment="1"/>
    <xf numFmtId="0" fontId="0" fillId="0" borderId="192" xfId="0" applyFont="1" applyBorder="1" applyAlignment="1">
      <alignment horizontal="center" vertical="center" wrapText="1"/>
    </xf>
    <xf numFmtId="0" fontId="58" fillId="0" borderId="0" xfId="0" applyFont="1" applyAlignment="1">
      <alignment horizontal="center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14" fillId="0" borderId="192" xfId="0" applyFont="1" applyFill="1" applyBorder="1" applyAlignment="1">
      <alignment horizontal="left" vertical="center" wrapText="1"/>
    </xf>
    <xf numFmtId="0" fontId="0" fillId="0" borderId="192" xfId="0" applyFont="1" applyFill="1" applyBorder="1" applyAlignment="1">
      <alignment horizontal="left" vertical="center" wrapText="1"/>
    </xf>
    <xf numFmtId="0" fontId="15" fillId="0" borderId="192" xfId="0" applyFont="1" applyFill="1" applyBorder="1" applyAlignment="1">
      <alignment horizontal="left" vertical="center" wrapText="1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61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vertical="center" wrapText="1"/>
    </xf>
    <xf numFmtId="0" fontId="0" fillId="0" borderId="192" xfId="0" applyFont="1" applyFill="1" applyBorder="1" applyAlignment="1">
      <alignment vertical="center" wrapText="1"/>
    </xf>
    <xf numFmtId="0" fontId="14" fillId="0" borderId="192" xfId="0" applyFont="1" applyFill="1" applyBorder="1" applyAlignment="1"/>
    <xf numFmtId="0" fontId="0" fillId="0" borderId="192" xfId="0" applyFont="1" applyFill="1" applyBorder="1" applyAlignment="1"/>
    <xf numFmtId="168" fontId="14" fillId="0" borderId="192" xfId="0" applyNumberFormat="1" applyFont="1" applyFill="1" applyBorder="1" applyAlignment="1">
      <alignment vertical="center" wrapText="1"/>
    </xf>
    <xf numFmtId="168" fontId="0" fillId="0" borderId="192" xfId="0" applyNumberFormat="1" applyFont="1" applyFill="1" applyBorder="1" applyAlignment="1">
      <alignment vertical="center" wrapText="1"/>
    </xf>
    <xf numFmtId="0" fontId="18" fillId="38" borderId="193" xfId="0" applyFont="1" applyFill="1" applyBorder="1" applyAlignment="1">
      <alignment horizontal="center"/>
    </xf>
    <xf numFmtId="0" fontId="18" fillId="38" borderId="194" xfId="0" applyFont="1" applyFill="1" applyBorder="1" applyAlignment="1">
      <alignment horizontal="center"/>
    </xf>
    <xf numFmtId="0" fontId="18" fillId="38" borderId="192" xfId="0" applyFont="1" applyFill="1" applyBorder="1" applyAlignment="1">
      <alignment horizontal="center"/>
    </xf>
    <xf numFmtId="0" fontId="0" fillId="0" borderId="192" xfId="0" applyBorder="1" applyAlignment="1">
      <alignment horizontal="center"/>
    </xf>
    <xf numFmtId="4" fontId="61" fillId="0" borderId="193" xfId="0" applyNumberFormat="1" applyFont="1" applyFill="1" applyBorder="1" applyAlignment="1">
      <alignment horizontal="center" vertical="center"/>
    </xf>
    <xf numFmtId="0" fontId="0" fillId="0" borderId="199" xfId="0" applyFont="1" applyFill="1" applyBorder="1" applyAlignment="1">
      <alignment horizontal="center" vertical="center"/>
    </xf>
    <xf numFmtId="0" fontId="0" fillId="0" borderId="199" xfId="0" applyFont="1" applyFill="1" applyBorder="1" applyAlignment="1"/>
    <xf numFmtId="0" fontId="14" fillId="46" borderId="192" xfId="0" applyFont="1" applyFill="1" applyBorder="1" applyAlignment="1">
      <alignment horizontal="left" vertical="center" wrapText="1"/>
    </xf>
    <xf numFmtId="0" fontId="0" fillId="46" borderId="192" xfId="0" applyFont="1" applyFill="1" applyBorder="1" applyAlignment="1">
      <alignment horizontal="left" vertical="center" wrapText="1"/>
    </xf>
    <xf numFmtId="0" fontId="18" fillId="38" borderId="193" xfId="0" applyFont="1" applyFill="1" applyBorder="1" applyAlignment="1">
      <alignment horizontal="center" vertical="center"/>
    </xf>
    <xf numFmtId="0" fontId="18" fillId="38" borderId="199" xfId="0" applyFont="1" applyFill="1" applyBorder="1" applyAlignment="1">
      <alignment horizontal="center" vertical="center"/>
    </xf>
    <xf numFmtId="0" fontId="18" fillId="38" borderId="194" xfId="0" applyFont="1" applyFill="1" applyBorder="1" applyAlignment="1">
      <alignment horizontal="center" vertical="center"/>
    </xf>
    <xf numFmtId="0" fontId="61" fillId="38" borderId="207" xfId="0" applyFont="1" applyFill="1" applyBorder="1" applyAlignment="1">
      <alignment horizontal="center" vertical="center" wrapText="1"/>
    </xf>
    <xf numFmtId="0" fontId="61" fillId="38" borderId="207" xfId="0" applyFont="1" applyFill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0" fillId="0" borderId="194" xfId="0" applyBorder="1" applyAlignment="1">
      <alignment horizontal="center"/>
    </xf>
    <xf numFmtId="0" fontId="14" fillId="46" borderId="192" xfId="0" applyFont="1" applyFill="1" applyBorder="1" applyAlignment="1">
      <alignment vertical="center" wrapText="1"/>
    </xf>
    <xf numFmtId="0" fontId="0" fillId="46" borderId="192" xfId="0" applyFont="1" applyFill="1" applyBorder="1" applyAlignment="1">
      <alignment vertical="center" wrapText="1"/>
    </xf>
    <xf numFmtId="0" fontId="14" fillId="46" borderId="193" xfId="0" applyFont="1" applyFill="1" applyBorder="1" applyAlignment="1">
      <alignment horizontal="center" vertical="center" wrapText="1"/>
    </xf>
    <xf numFmtId="0" fontId="14" fillId="46" borderId="199" xfId="0" applyFont="1" applyFill="1" applyBorder="1" applyAlignment="1">
      <alignment horizontal="center" vertical="center" wrapText="1"/>
    </xf>
    <xf numFmtId="0" fontId="14" fillId="46" borderId="194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 wrapText="1"/>
    </xf>
    <xf numFmtId="0" fontId="61" fillId="0" borderId="126" xfId="0" applyFont="1" applyBorder="1" applyAlignment="1">
      <alignment horizontal="center" vertical="center"/>
    </xf>
    <xf numFmtId="0" fontId="118" fillId="46" borderId="192" xfId="0" applyFont="1" applyFill="1" applyBorder="1" applyAlignment="1">
      <alignment vertical="center" wrapText="1"/>
    </xf>
    <xf numFmtId="0" fontId="119" fillId="46" borderId="192" xfId="0" applyFont="1" applyFill="1" applyBorder="1" applyAlignment="1">
      <alignment vertical="center" wrapText="1"/>
    </xf>
    <xf numFmtId="0" fontId="61" fillId="30" borderId="126" xfId="0" applyFont="1" applyFill="1" applyBorder="1" applyAlignment="1">
      <alignment horizontal="center" vertical="center"/>
    </xf>
    <xf numFmtId="0" fontId="61" fillId="30" borderId="11" xfId="0" applyFont="1" applyFill="1" applyBorder="1" applyAlignment="1">
      <alignment horizontal="center" vertical="center"/>
    </xf>
    <xf numFmtId="0" fontId="0" fillId="46" borderId="192" xfId="0" applyFill="1" applyBorder="1" applyAlignment="1">
      <alignment vertical="center" wrapText="1"/>
    </xf>
    <xf numFmtId="0" fontId="61" fillId="30" borderId="126" xfId="0" applyFont="1" applyFill="1" applyBorder="1" applyAlignment="1">
      <alignment horizontal="center" vertical="center" wrapText="1"/>
    </xf>
    <xf numFmtId="0" fontId="61" fillId="30" borderId="11" xfId="0" applyFont="1" applyFill="1" applyBorder="1" applyAlignment="1">
      <alignment horizontal="center" vertical="center" wrapText="1"/>
    </xf>
    <xf numFmtId="0" fontId="61" fillId="30" borderId="123" xfId="0" applyFont="1" applyFill="1" applyBorder="1" applyAlignment="1">
      <alignment horizontal="center" vertical="center" wrapText="1"/>
    </xf>
    <xf numFmtId="0" fontId="61" fillId="30" borderId="125" xfId="0" applyFont="1" applyFill="1" applyBorder="1" applyAlignment="1">
      <alignment horizontal="center" vertical="center" wrapText="1"/>
    </xf>
    <xf numFmtId="0" fontId="61" fillId="31" borderId="66" xfId="0" applyFont="1" applyFill="1" applyBorder="1" applyAlignment="1">
      <alignment vertical="center"/>
    </xf>
    <xf numFmtId="0" fontId="93" fillId="46" borderId="192" xfId="0" applyFont="1" applyFill="1" applyBorder="1" applyAlignment="1">
      <alignment vertical="center" wrapText="1"/>
    </xf>
    <xf numFmtId="0" fontId="90" fillId="46" borderId="192" xfId="0" applyFont="1" applyFill="1" applyBorder="1" applyAlignment="1">
      <alignment vertical="center" wrapText="1"/>
    </xf>
    <xf numFmtId="0" fontId="14" fillId="46" borderId="192" xfId="0" applyFont="1" applyFill="1" applyBorder="1" applyAlignment="1">
      <alignment vertical="center"/>
    </xf>
    <xf numFmtId="0" fontId="0" fillId="46" borderId="192" xfId="0" applyFill="1" applyBorder="1" applyAlignment="1"/>
    <xf numFmtId="0" fontId="61" fillId="0" borderId="12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18" fillId="0" borderId="123" xfId="0" applyFont="1" applyFill="1" applyBorder="1" applyAlignment="1">
      <alignment horizontal="center"/>
    </xf>
    <xf numFmtId="0" fontId="18" fillId="0" borderId="124" xfId="0" applyFont="1" applyFill="1" applyBorder="1" applyAlignment="1">
      <alignment horizontal="center"/>
    </xf>
    <xf numFmtId="0" fontId="18" fillId="0" borderId="125" xfId="0" applyFont="1" applyFill="1" applyBorder="1" applyAlignment="1">
      <alignment horizontal="center"/>
    </xf>
    <xf numFmtId="0" fontId="9" fillId="38" borderId="192" xfId="0" applyFont="1" applyFill="1" applyBorder="1" applyAlignment="1">
      <alignment horizontal="center" vertic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3" fillId="0" borderId="0" xfId="0" applyFont="1" applyAlignment="1">
      <alignment horizontal="center"/>
    </xf>
    <xf numFmtId="0" fontId="17" fillId="28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14" fillId="0" borderId="16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2" fontId="49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17" fillId="26" borderId="58" xfId="0" applyFont="1" applyFill="1" applyBorder="1" applyAlignment="1">
      <alignment horizontal="center" vertical="center"/>
    </xf>
    <xf numFmtId="0" fontId="17" fillId="27" borderId="58" xfId="0" applyFont="1" applyFill="1" applyBorder="1" applyAlignment="1">
      <alignment horizontal="center" vertical="center"/>
    </xf>
    <xf numFmtId="0" fontId="68" fillId="0" borderId="0" xfId="0" applyFont="1" applyAlignment="1"/>
    <xf numFmtId="0" fontId="13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7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2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4" fillId="0" borderId="10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3" fillId="0" borderId="16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9" fillId="0" borderId="51" xfId="0" applyFont="1" applyBorder="1" applyAlignment="1">
      <alignment horizontal="center" vertical="center"/>
    </xf>
    <xf numFmtId="0" fontId="58" fillId="0" borderId="51" xfId="0" applyFont="1" applyBorder="1" applyAlignment="1">
      <alignment vertical="center"/>
    </xf>
    <xf numFmtId="0" fontId="9" fillId="0" borderId="58" xfId="0" applyFont="1" applyBorder="1" applyAlignment="1">
      <alignment horizontal="center" vertical="center"/>
    </xf>
    <xf numFmtId="0" fontId="58" fillId="0" borderId="58" xfId="0" applyFont="1" applyBorder="1" applyAlignment="1">
      <alignment horizontal="center" vertical="center"/>
    </xf>
    <xf numFmtId="0" fontId="19" fillId="0" borderId="58" xfId="0" applyFont="1" applyBorder="1" applyAlignment="1">
      <alignment horizontal="center" vertical="center"/>
    </xf>
    <xf numFmtId="0" fontId="58" fillId="0" borderId="58" xfId="0" applyFont="1" applyBorder="1" applyAlignment="1">
      <alignment vertical="center"/>
    </xf>
    <xf numFmtId="2" fontId="19" fillId="37" borderId="193" xfId="0" applyNumberFormat="1" applyFont="1" applyFill="1" applyBorder="1" applyAlignment="1">
      <alignment horizontal="center" vertical="center"/>
    </xf>
    <xf numFmtId="2" fontId="19" fillId="37" borderId="199" xfId="0" applyNumberFormat="1" applyFont="1" applyFill="1" applyBorder="1" applyAlignment="1">
      <alignment horizontal="center" vertical="center"/>
    </xf>
    <xf numFmtId="2" fontId="19" fillId="37" borderId="194" xfId="0" applyNumberFormat="1" applyFont="1" applyFill="1" applyBorder="1" applyAlignment="1">
      <alignment horizontal="center" vertical="center"/>
    </xf>
    <xf numFmtId="2" fontId="61" fillId="37" borderId="205" xfId="0" applyNumberFormat="1" applyFont="1" applyFill="1" applyBorder="1" applyAlignment="1">
      <alignment horizontal="center" vertical="center" wrapText="1"/>
    </xf>
    <xf numFmtId="2" fontId="61" fillId="37" borderId="206" xfId="0" applyNumberFormat="1" applyFont="1" applyFill="1" applyBorder="1" applyAlignment="1">
      <alignment horizontal="center" vertical="center" wrapText="1"/>
    </xf>
    <xf numFmtId="0" fontId="19" fillId="37" borderId="193" xfId="0" applyFont="1" applyFill="1" applyBorder="1" applyAlignment="1">
      <alignment horizontal="center" vertical="center"/>
    </xf>
    <xf numFmtId="0" fontId="19" fillId="37" borderId="199" xfId="0" applyFont="1" applyFill="1" applyBorder="1" applyAlignment="1">
      <alignment horizontal="center" vertical="center"/>
    </xf>
    <xf numFmtId="0" fontId="19" fillId="37" borderId="194" xfId="0" applyFont="1" applyFill="1" applyBorder="1" applyAlignment="1">
      <alignment horizontal="center" vertical="center"/>
    </xf>
    <xf numFmtId="2" fontId="18" fillId="37" borderId="193" xfId="0" applyNumberFormat="1" applyFont="1" applyFill="1" applyBorder="1" applyAlignment="1">
      <alignment horizontal="center" vertical="center"/>
    </xf>
    <xf numFmtId="2" fontId="18" fillId="37" borderId="199" xfId="0" applyNumberFormat="1" applyFont="1" applyFill="1" applyBorder="1" applyAlignment="1">
      <alignment horizontal="center" vertical="center"/>
    </xf>
    <xf numFmtId="2" fontId="18" fillId="37" borderId="194" xfId="0" applyNumberFormat="1" applyFont="1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horizontal="center" vertical="center" wrapText="1"/>
    </xf>
    <xf numFmtId="0" fontId="19" fillId="37" borderId="192" xfId="0" applyFont="1" applyFill="1" applyBorder="1" applyAlignment="1">
      <alignment horizontal="center" vertical="center"/>
    </xf>
    <xf numFmtId="2" fontId="19" fillId="37" borderId="192" xfId="0" applyNumberFormat="1" applyFont="1" applyFill="1" applyBorder="1" applyAlignment="1">
      <alignment horizontal="center" vertical="center" wrapText="1"/>
    </xf>
    <xf numFmtId="2" fontId="19" fillId="37" borderId="192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 vertical="center"/>
    </xf>
    <xf numFmtId="2" fontId="14" fillId="0" borderId="62" xfId="0" applyNumberFormat="1" applyFont="1" applyBorder="1" applyAlignment="1">
      <alignment horizontal="center" vertical="center"/>
    </xf>
    <xf numFmtId="2" fontId="14" fillId="0" borderId="78" xfId="0" applyNumberFormat="1" applyFont="1" applyBorder="1" applyAlignment="1">
      <alignment horizontal="center" vertical="center"/>
    </xf>
    <xf numFmtId="2" fontId="14" fillId="0" borderId="65" xfId="0" applyNumberFormat="1" applyFont="1" applyBorder="1" applyAlignment="1">
      <alignment horizontal="center" vertical="center"/>
    </xf>
    <xf numFmtId="2" fontId="14" fillId="0" borderId="35" xfId="0" applyNumberFormat="1" applyFont="1" applyBorder="1" applyAlignment="1">
      <alignment horizontal="center" vertical="center"/>
    </xf>
    <xf numFmtId="2" fontId="14" fillId="0" borderId="36" xfId="0" applyNumberFormat="1" applyFont="1" applyBorder="1" applyAlignment="1">
      <alignment horizontal="center" vertical="center"/>
    </xf>
    <xf numFmtId="2" fontId="14" fillId="0" borderId="31" xfId="0" applyNumberFormat="1" applyFont="1" applyBorder="1" applyAlignment="1">
      <alignment horizontal="center" vertical="center"/>
    </xf>
    <xf numFmtId="0" fontId="14" fillId="0" borderId="92" xfId="0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2" fontId="14" fillId="0" borderId="92" xfId="0" applyNumberFormat="1" applyFont="1" applyBorder="1" applyAlignment="1">
      <alignment horizontal="center" vertical="center"/>
    </xf>
    <xf numFmtId="2" fontId="14" fillId="0" borderId="10" xfId="0" applyNumberFormat="1" applyFont="1" applyBorder="1" applyAlignment="1">
      <alignment horizontal="center" vertical="center" wrapText="1"/>
    </xf>
    <xf numFmtId="2" fontId="14" fillId="0" borderId="45" xfId="0" applyNumberFormat="1" applyFont="1" applyBorder="1" applyAlignment="1">
      <alignment horizontal="center" vertical="center" wrapText="1"/>
    </xf>
    <xf numFmtId="2" fontId="14" fillId="0" borderId="11" xfId="0" applyNumberFormat="1" applyFont="1" applyBorder="1" applyAlignment="1">
      <alignment horizontal="center" vertical="center" wrapText="1"/>
    </xf>
    <xf numFmtId="2" fontId="14" fillId="0" borderId="62" xfId="0" applyNumberFormat="1" applyFont="1" applyBorder="1" applyAlignment="1">
      <alignment horizontal="center" vertical="center" wrapText="1"/>
    </xf>
    <xf numFmtId="2" fontId="14" fillId="0" borderId="65" xfId="0" applyNumberFormat="1" applyFont="1" applyBorder="1" applyAlignment="1">
      <alignment horizontal="center" vertical="center" wrapText="1"/>
    </xf>
    <xf numFmtId="2" fontId="14" fillId="0" borderId="35" xfId="0" applyNumberFormat="1" applyFont="1" applyBorder="1" applyAlignment="1">
      <alignment horizontal="center" vertical="center" wrapText="1"/>
    </xf>
    <xf numFmtId="2" fontId="14" fillId="0" borderId="31" xfId="0" applyNumberFormat="1" applyFont="1" applyBorder="1" applyAlignment="1">
      <alignment horizontal="center" vertical="center" wrapText="1"/>
    </xf>
    <xf numFmtId="2" fontId="18" fillId="37" borderId="192" xfId="0" applyNumberFormat="1" applyFont="1" applyFill="1" applyBorder="1" applyAlignment="1">
      <alignment horizontal="center" vertical="center"/>
    </xf>
    <xf numFmtId="0" fontId="65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61" fillId="37" borderId="192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/>
    </xf>
    <xf numFmtId="0" fontId="86" fillId="0" borderId="0" xfId="0" applyFont="1" applyAlignment="1">
      <alignment horizontal="center"/>
    </xf>
    <xf numFmtId="0" fontId="86" fillId="0" borderId="0" xfId="0" applyFont="1" applyAlignment="1"/>
    <xf numFmtId="0" fontId="14" fillId="0" borderId="0" xfId="0" applyFont="1" applyBorder="1" applyAlignment="1">
      <alignment horizontal="center"/>
    </xf>
    <xf numFmtId="2" fontId="19" fillId="0" borderId="0" xfId="0" applyNumberFormat="1" applyFont="1" applyAlignment="1">
      <alignment horizontal="center"/>
    </xf>
    <xf numFmtId="0" fontId="19" fillId="0" borderId="73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9" fillId="0" borderId="101" xfId="0" applyNumberFormat="1" applyFont="1" applyBorder="1" applyAlignment="1">
      <alignment horizontal="center" vertical="center"/>
    </xf>
    <xf numFmtId="2" fontId="61" fillId="0" borderId="101" xfId="0" applyNumberFormat="1" applyFont="1" applyBorder="1" applyAlignment="1">
      <alignment horizontal="center" vertical="center" wrapText="1"/>
    </xf>
    <xf numFmtId="2" fontId="19" fillId="0" borderId="99" xfId="0" applyNumberFormat="1" applyFont="1" applyBorder="1" applyAlignment="1">
      <alignment horizontal="center" vertical="center"/>
    </xf>
    <xf numFmtId="2" fontId="19" fillId="0" borderId="92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 wrapText="1"/>
    </xf>
    <xf numFmtId="2" fontId="18" fillId="0" borderId="101" xfId="0" applyNumberFormat="1" applyFont="1" applyBorder="1" applyAlignment="1">
      <alignment horizontal="center" vertical="center"/>
    </xf>
    <xf numFmtId="2" fontId="18" fillId="0" borderId="92" xfId="0" applyNumberFormat="1" applyFont="1" applyBorder="1" applyAlignment="1">
      <alignment horizontal="center" vertical="center"/>
    </xf>
    <xf numFmtId="2" fontId="19" fillId="0" borderId="19" xfId="0" applyNumberFormat="1" applyFont="1" applyBorder="1" applyAlignment="1">
      <alignment horizontal="center" vertical="center"/>
    </xf>
    <xf numFmtId="2" fontId="61" fillId="0" borderId="92" xfId="0" applyNumberFormat="1" applyFont="1" applyFill="1" applyBorder="1" applyAlignment="1">
      <alignment horizontal="center" vertical="center" wrapText="1"/>
    </xf>
    <xf numFmtId="2" fontId="61" fillId="0" borderId="20" xfId="0" applyNumberFormat="1" applyFont="1" applyFill="1" applyBorder="1" applyAlignment="1">
      <alignment horizontal="center" vertical="center" wrapText="1"/>
    </xf>
    <xf numFmtId="0" fontId="65" fillId="0" borderId="71" xfId="0" applyFont="1" applyBorder="1" applyAlignment="1">
      <alignment horizontal="center" vertical="center"/>
    </xf>
    <xf numFmtId="0" fontId="65" fillId="0" borderId="69" xfId="0" applyFont="1" applyBorder="1" applyAlignment="1">
      <alignment horizontal="center" vertical="center"/>
    </xf>
    <xf numFmtId="2" fontId="18" fillId="0" borderId="93" xfId="0" applyNumberFormat="1" applyFont="1" applyFill="1" applyBorder="1" applyAlignment="1">
      <alignment horizontal="center" vertical="center"/>
    </xf>
    <xf numFmtId="2" fontId="18" fillId="0" borderId="90" xfId="0" applyNumberFormat="1" applyFont="1" applyFill="1" applyBorder="1" applyAlignment="1">
      <alignment horizontal="center" vertical="center"/>
    </xf>
    <xf numFmtId="2" fontId="18" fillId="0" borderId="89" xfId="0" applyNumberFormat="1" applyFont="1" applyFill="1" applyBorder="1" applyAlignment="1">
      <alignment horizontal="center" vertical="center"/>
    </xf>
    <xf numFmtId="2" fontId="18" fillId="0" borderId="19" xfId="0" applyNumberFormat="1" applyFont="1" applyBorder="1" applyAlignment="1">
      <alignment horizontal="center" vertical="center"/>
    </xf>
    <xf numFmtId="0" fontId="65" fillId="0" borderId="0" xfId="0" applyFont="1" applyAlignment="1"/>
    <xf numFmtId="2" fontId="61" fillId="0" borderId="13" xfId="0" applyNumberFormat="1" applyFont="1" applyBorder="1" applyAlignment="1">
      <alignment horizontal="center" vertical="center"/>
    </xf>
    <xf numFmtId="2" fontId="61" fillId="0" borderId="12" xfId="0" applyNumberFormat="1" applyFont="1" applyBorder="1" applyAlignment="1">
      <alignment horizontal="center" vertical="center"/>
    </xf>
    <xf numFmtId="2" fontId="61" fillId="0" borderId="92" xfId="0" applyNumberFormat="1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2" fontId="19" fillId="0" borderId="168" xfId="0" applyNumberFormat="1" applyFont="1" applyBorder="1" applyAlignment="1">
      <alignment horizontal="center" vertical="center"/>
    </xf>
    <xf numFmtId="2" fontId="19" fillId="0" borderId="167" xfId="0" applyNumberFormat="1" applyFont="1" applyBorder="1" applyAlignment="1">
      <alignment horizontal="center" vertical="center"/>
    </xf>
    <xf numFmtId="2" fontId="18" fillId="0" borderId="20" xfId="0" applyNumberFormat="1" applyFont="1" applyBorder="1" applyAlignment="1">
      <alignment horizontal="center" vertical="center"/>
    </xf>
    <xf numFmtId="2" fontId="61" fillId="0" borderId="20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wrapText="1"/>
    </xf>
    <xf numFmtId="0" fontId="14" fillId="38" borderId="193" xfId="0" applyFont="1" applyFill="1" applyBorder="1" applyAlignment="1">
      <alignment horizontal="center" vertical="center"/>
    </xf>
    <xf numFmtId="0" fontId="14" fillId="38" borderId="205" xfId="0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 vertical="center"/>
    </xf>
    <xf numFmtId="0" fontId="14" fillId="38" borderId="192" xfId="0" applyFont="1" applyFill="1" applyBorder="1" applyAlignment="1">
      <alignment horizontal="center" wrapText="1"/>
    </xf>
    <xf numFmtId="0" fontId="0" fillId="0" borderId="192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3" fillId="38" borderId="193" xfId="0" applyFont="1" applyFill="1" applyBorder="1" applyAlignment="1">
      <alignment horizontal="center" vertical="center"/>
    </xf>
    <xf numFmtId="0" fontId="13" fillId="38" borderId="199" xfId="0" applyFont="1" applyFill="1" applyBorder="1" applyAlignment="1">
      <alignment horizontal="center" vertical="center"/>
    </xf>
    <xf numFmtId="0" fontId="13" fillId="38" borderId="194" xfId="0" applyFont="1" applyFill="1" applyBorder="1" applyAlignment="1">
      <alignment horizontal="center" vertical="center"/>
    </xf>
    <xf numFmtId="0" fontId="13" fillId="38" borderId="199" xfId="0" applyFont="1" applyFill="1" applyBorder="1" applyAlignment="1">
      <alignment horizontal="center" vertical="center" wrapText="1"/>
    </xf>
    <xf numFmtId="0" fontId="13" fillId="38" borderId="194" xfId="0" applyFont="1" applyFill="1" applyBorder="1" applyAlignment="1">
      <alignment horizontal="center" vertical="center" wrapText="1"/>
    </xf>
    <xf numFmtId="0" fontId="14" fillId="38" borderId="253" xfId="0" applyFont="1" applyFill="1" applyBorder="1" applyAlignment="1">
      <alignment horizontal="center" vertical="center" wrapText="1"/>
    </xf>
    <xf numFmtId="0" fontId="14" fillId="38" borderId="214" xfId="0" applyFont="1" applyFill="1" applyBorder="1" applyAlignment="1">
      <alignment horizontal="center" vertical="center" wrapText="1"/>
    </xf>
    <xf numFmtId="0" fontId="14" fillId="38" borderId="215" xfId="0" applyFont="1" applyFill="1" applyBorder="1" applyAlignment="1">
      <alignment horizontal="center" vertical="center" wrapText="1"/>
    </xf>
    <xf numFmtId="0" fontId="14" fillId="38" borderId="208" xfId="0" applyFont="1" applyFill="1" applyBorder="1" applyAlignment="1">
      <alignment horizontal="center" vertical="center" wrapText="1"/>
    </xf>
    <xf numFmtId="0" fontId="14" fillId="38" borderId="216" xfId="0" applyFont="1" applyFill="1" applyBorder="1" applyAlignment="1">
      <alignment horizontal="center" vertical="center" wrapText="1"/>
    </xf>
    <xf numFmtId="0" fontId="14" fillId="38" borderId="206" xfId="0" applyFont="1" applyFill="1" applyBorder="1" applyAlignment="1">
      <alignment horizontal="center" vertical="center" wrapText="1"/>
    </xf>
    <xf numFmtId="0" fontId="13" fillId="38" borderId="253" xfId="0" applyFont="1" applyFill="1" applyBorder="1" applyAlignment="1">
      <alignment horizontal="center" vertical="center" wrapText="1"/>
    </xf>
    <xf numFmtId="0" fontId="13" fillId="38" borderId="214" xfId="0" applyFont="1" applyFill="1" applyBorder="1" applyAlignment="1">
      <alignment horizontal="center" vertical="center" wrapText="1"/>
    </xf>
    <xf numFmtId="0" fontId="14" fillId="37" borderId="192" xfId="0" applyFont="1" applyFill="1" applyBorder="1" applyAlignment="1">
      <alignment horizontal="center" vertical="center"/>
    </xf>
    <xf numFmtId="0" fontId="14" fillId="37" borderId="192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7" fillId="0" borderId="0" xfId="147" applyFont="1" applyBorder="1" applyAlignment="1">
      <alignment horizontal="center" vertical="center" wrapText="1"/>
    </xf>
    <xf numFmtId="0" fontId="134" fillId="0" borderId="192" xfId="147" applyFont="1" applyBorder="1" applyAlignment="1">
      <alignment horizontal="center" vertical="center" wrapText="1"/>
    </xf>
    <xf numFmtId="4" fontId="14" fillId="0" borderId="192" xfId="0" applyNumberFormat="1" applyFont="1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 wrapText="1"/>
    </xf>
    <xf numFmtId="0" fontId="0" fillId="0" borderId="205" xfId="0" applyBorder="1" applyAlignment="1">
      <alignment horizontal="center" vertical="center" wrapText="1"/>
    </xf>
    <xf numFmtId="0" fontId="0" fillId="0" borderId="205" xfId="0" applyBorder="1" applyAlignment="1">
      <alignment horizontal="center" vertical="center"/>
    </xf>
    <xf numFmtId="0" fontId="14" fillId="38" borderId="193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13" fillId="0" borderId="257" xfId="0" applyFont="1" applyBorder="1" applyAlignment="1">
      <alignment horizontal="center"/>
    </xf>
    <xf numFmtId="0" fontId="9" fillId="0" borderId="257" xfId="0" applyFont="1" applyBorder="1" applyAlignment="1">
      <alignment horizontal="center"/>
    </xf>
    <xf numFmtId="0" fontId="0" fillId="0" borderId="257" xfId="0" applyBorder="1" applyAlignment="1"/>
    <xf numFmtId="9" fontId="14" fillId="0" borderId="257" xfId="0" applyNumberFormat="1" applyFont="1" applyBorder="1" applyAlignment="1">
      <alignment vertical="center"/>
    </xf>
    <xf numFmtId="0" fontId="14" fillId="38" borderId="213" xfId="0" applyFont="1" applyFill="1" applyBorder="1" applyAlignment="1">
      <alignment horizontal="center" vertical="center"/>
    </xf>
    <xf numFmtId="0" fontId="0" fillId="0" borderId="253" xfId="0" applyBorder="1" applyAlignment="1">
      <alignment horizontal="center" vertical="center"/>
    </xf>
    <xf numFmtId="0" fontId="0" fillId="0" borderId="214" xfId="0" applyBorder="1" applyAlignment="1">
      <alignment horizontal="center" vertical="center"/>
    </xf>
    <xf numFmtId="0" fontId="55" fillId="38" borderId="192" xfId="147" applyFont="1" applyFill="1" applyBorder="1" applyAlignment="1">
      <alignment horizontal="left" vertical="center" wrapText="1"/>
    </xf>
    <xf numFmtId="0" fontId="56" fillId="38" borderId="192" xfId="147" applyFont="1" applyFill="1" applyBorder="1" applyAlignment="1">
      <alignment vertical="center" wrapText="1"/>
    </xf>
    <xf numFmtId="0" fontId="56" fillId="38" borderId="192" xfId="147" applyFont="1" applyFill="1" applyBorder="1" applyAlignment="1">
      <alignment horizontal="left" vertical="center" wrapText="1"/>
    </xf>
    <xf numFmtId="0" fontId="84" fillId="40" borderId="0" xfId="147" applyFont="1" applyFill="1" applyBorder="1" applyAlignment="1">
      <alignment horizontal="center"/>
    </xf>
    <xf numFmtId="0" fontId="56" fillId="38" borderId="192" xfId="147" applyFont="1" applyFill="1" applyBorder="1" applyAlignment="1">
      <alignment horizontal="center" vertical="center" wrapText="1"/>
    </xf>
    <xf numFmtId="0" fontId="56" fillId="0" borderId="40" xfId="147" applyFont="1" applyBorder="1" applyAlignment="1">
      <alignment vertical="center" wrapText="1"/>
    </xf>
    <xf numFmtId="0" fontId="56" fillId="0" borderId="68" xfId="147" applyFont="1" applyBorder="1" applyAlignment="1">
      <alignment vertical="center" wrapText="1"/>
    </xf>
    <xf numFmtId="0" fontId="56" fillId="0" borderId="171" xfId="147" applyFont="1" applyBorder="1" applyAlignment="1">
      <alignment horizontal="center" vertical="center" wrapText="1"/>
    </xf>
    <xf numFmtId="0" fontId="56" fillId="0" borderId="172" xfId="147" applyFont="1" applyBorder="1" applyAlignment="1">
      <alignment horizontal="center" vertical="center" wrapText="1"/>
    </xf>
    <xf numFmtId="0" fontId="56" fillId="0" borderId="40" xfId="147" applyFont="1" applyBorder="1" applyAlignment="1">
      <alignment horizontal="left" vertical="center" wrapText="1"/>
    </xf>
    <xf numFmtId="0" fontId="56" fillId="0" borderId="68" xfId="147" applyFont="1" applyBorder="1" applyAlignment="1">
      <alignment horizontal="left" vertical="center" wrapText="1"/>
    </xf>
    <xf numFmtId="0" fontId="55" fillId="41" borderId="52" xfId="147" applyFont="1" applyFill="1" applyBorder="1" applyAlignment="1">
      <alignment horizontal="left" vertical="center" wrapText="1"/>
    </xf>
    <xf numFmtId="0" fontId="55" fillId="41" borderId="53" xfId="147" applyFont="1" applyFill="1" applyBorder="1" applyAlignment="1">
      <alignment horizontal="left" vertical="center" wrapText="1"/>
    </xf>
    <xf numFmtId="0" fontId="17" fillId="0" borderId="0" xfId="147" applyFont="1" applyBorder="1" applyAlignment="1">
      <alignment horizontal="center"/>
    </xf>
    <xf numFmtId="0" fontId="56" fillId="0" borderId="146" xfId="147" applyFont="1" applyBorder="1" applyAlignment="1">
      <alignment horizontal="left" vertical="center" wrapText="1"/>
    </xf>
    <xf numFmtId="0" fontId="56" fillId="0" borderId="165" xfId="147" applyFont="1" applyBorder="1" applyAlignment="1">
      <alignment horizontal="left" vertical="center" wrapText="1"/>
    </xf>
    <xf numFmtId="0" fontId="56" fillId="0" borderId="171" xfId="147" applyFont="1" applyBorder="1" applyAlignment="1">
      <alignment horizontal="left" vertical="center" wrapText="1"/>
    </xf>
    <xf numFmtId="0" fontId="56" fillId="0" borderId="172" xfId="147" applyFont="1" applyBorder="1" applyAlignment="1">
      <alignment horizontal="left" vertical="center" wrapText="1"/>
    </xf>
    <xf numFmtId="0" fontId="56" fillId="0" borderId="56" xfId="147" applyFont="1" applyBorder="1" applyAlignment="1">
      <alignment horizontal="left" vertical="center" wrapText="1"/>
    </xf>
    <xf numFmtId="0" fontId="56" fillId="0" borderId="33" xfId="147" applyFont="1" applyBorder="1" applyAlignment="1">
      <alignment horizontal="left" vertical="center" wrapText="1"/>
    </xf>
    <xf numFmtId="0" fontId="18" fillId="0" borderId="0" xfId="147" applyFont="1" applyAlignment="1">
      <alignment horizontal="center" vertical="center"/>
    </xf>
    <xf numFmtId="0" fontId="84" fillId="40" borderId="55" xfId="147" applyFont="1" applyFill="1" applyBorder="1" applyAlignment="1">
      <alignment horizontal="center"/>
    </xf>
    <xf numFmtId="0" fontId="56" fillId="0" borderId="50" xfId="147" applyFont="1" applyBorder="1" applyAlignment="1">
      <alignment horizontal="center" vertical="center" wrapText="1"/>
    </xf>
    <xf numFmtId="0" fontId="56" fillId="0" borderId="48" xfId="147" applyFont="1" applyBorder="1" applyAlignment="1">
      <alignment horizontal="center" vertical="center" wrapText="1"/>
    </xf>
    <xf numFmtId="0" fontId="56" fillId="0" borderId="56" xfId="147" applyFont="1" applyBorder="1" applyAlignment="1">
      <alignment horizontal="center" vertical="center" wrapText="1"/>
    </xf>
    <xf numFmtId="0" fontId="56" fillId="0" borderId="33" xfId="147" applyFont="1" applyBorder="1" applyAlignment="1">
      <alignment horizontal="center" vertical="center" wrapText="1"/>
    </xf>
    <xf numFmtId="0" fontId="56" fillId="0" borderId="52" xfId="147" applyFont="1" applyBorder="1" applyAlignment="1">
      <alignment horizontal="center" vertical="center" wrapText="1"/>
    </xf>
    <xf numFmtId="0" fontId="56" fillId="0" borderId="59" xfId="147" applyFont="1" applyBorder="1" applyAlignment="1">
      <alignment horizontal="center" vertical="center" wrapText="1"/>
    </xf>
    <xf numFmtId="0" fontId="167" fillId="0" borderId="0" xfId="147" applyFont="1" applyAlignment="1">
      <alignment horizontal="center"/>
    </xf>
    <xf numFmtId="0" fontId="18" fillId="0" borderId="55" xfId="0" applyFont="1" applyFill="1" applyBorder="1" applyAlignment="1">
      <alignment horizontal="center"/>
    </xf>
    <xf numFmtId="0" fontId="13" fillId="0" borderId="213" xfId="0" applyFont="1" applyFill="1" applyBorder="1" applyAlignment="1">
      <alignment horizontal="center" vertical="center" wrapText="1"/>
    </xf>
    <xf numFmtId="0" fontId="13" fillId="0" borderId="253" xfId="0" applyFont="1" applyFill="1" applyBorder="1" applyAlignment="1">
      <alignment horizontal="center" vertical="center" wrapText="1"/>
    </xf>
    <xf numFmtId="0" fontId="13" fillId="0" borderId="214" xfId="0" applyFont="1" applyFill="1" applyBorder="1" applyAlignment="1">
      <alignment horizontal="center" vertical="center" wrapText="1"/>
    </xf>
    <xf numFmtId="0" fontId="13" fillId="0" borderId="215" xfId="0" applyFont="1" applyFill="1" applyBorder="1" applyAlignment="1">
      <alignment horizontal="center" vertical="center" wrapText="1"/>
    </xf>
    <xf numFmtId="0" fontId="13" fillId="0" borderId="208" xfId="0" applyFont="1" applyFill="1" applyBorder="1" applyAlignment="1">
      <alignment horizontal="center" vertical="center" wrapText="1"/>
    </xf>
    <xf numFmtId="0" fontId="13" fillId="0" borderId="216" xfId="0" applyFont="1" applyFill="1" applyBorder="1" applyAlignment="1">
      <alignment horizontal="center" vertical="center" wrapText="1"/>
    </xf>
    <xf numFmtId="0" fontId="13" fillId="0" borderId="193" xfId="0" applyFont="1" applyFill="1" applyBorder="1" applyAlignment="1">
      <alignment horizontal="center"/>
    </xf>
    <xf numFmtId="0" fontId="13" fillId="0" borderId="199" xfId="0" applyFont="1" applyFill="1" applyBorder="1" applyAlignment="1">
      <alignment horizontal="center"/>
    </xf>
    <xf numFmtId="0" fontId="13" fillId="0" borderId="194" xfId="0" applyFont="1" applyFill="1" applyBorder="1" applyAlignment="1">
      <alignment horizontal="center"/>
    </xf>
    <xf numFmtId="0" fontId="13" fillId="0" borderId="213" xfId="0" applyFont="1" applyFill="1" applyBorder="1" applyAlignment="1">
      <alignment horizontal="center" vertical="center"/>
    </xf>
    <xf numFmtId="0" fontId="0" fillId="0" borderId="253" xfId="0" applyFill="1" applyBorder="1" applyAlignment="1">
      <alignment horizontal="center" vertical="center"/>
    </xf>
    <xf numFmtId="0" fontId="0" fillId="0" borderId="214" xfId="0" applyFill="1" applyBorder="1" applyAlignment="1">
      <alignment horizontal="center" vertical="center"/>
    </xf>
    <xf numFmtId="0" fontId="0" fillId="0" borderId="22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226" xfId="0" applyFill="1" applyBorder="1" applyAlignment="1">
      <alignment horizontal="center" vertical="center"/>
    </xf>
    <xf numFmtId="0" fontId="0" fillId="0" borderId="215" xfId="0" applyFill="1" applyBorder="1" applyAlignment="1">
      <alignment horizontal="center" vertical="center"/>
    </xf>
    <xf numFmtId="0" fontId="0" fillId="0" borderId="208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 vertical="center" wrapText="1"/>
    </xf>
    <xf numFmtId="0" fontId="61" fillId="0" borderId="72" xfId="0" applyFont="1" applyFill="1" applyBorder="1" applyAlignment="1">
      <alignment horizontal="center" vertical="center" wrapText="1"/>
    </xf>
    <xf numFmtId="0" fontId="61" fillId="0" borderId="49" xfId="0" applyFont="1" applyFill="1" applyBorder="1" applyAlignment="1">
      <alignment horizontal="center" vertical="center" wrapText="1"/>
    </xf>
    <xf numFmtId="0" fontId="61" fillId="0" borderId="2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44" xfId="0" applyFont="1" applyFill="1" applyBorder="1" applyAlignment="1">
      <alignment horizontal="center" vertical="center" wrapText="1"/>
    </xf>
    <xf numFmtId="0" fontId="18" fillId="0" borderId="50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48" xfId="0" applyFont="1" applyFill="1" applyBorder="1" applyAlignment="1">
      <alignment horizontal="center" vertical="center" wrapText="1"/>
    </xf>
    <xf numFmtId="0" fontId="18" fillId="0" borderId="40" xfId="0" applyFont="1" applyFill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 vertical="center" wrapText="1"/>
    </xf>
    <xf numFmtId="0" fontId="18" fillId="0" borderId="68" xfId="0" applyFont="1" applyFill="1" applyBorder="1" applyAlignment="1">
      <alignment horizontal="center" vertical="center" wrapText="1"/>
    </xf>
    <xf numFmtId="0" fontId="13" fillId="0" borderId="213" xfId="0" applyFont="1" applyFill="1" applyBorder="1" applyAlignment="1">
      <alignment horizontal="center"/>
    </xf>
    <xf numFmtId="0" fontId="0" fillId="0" borderId="253" xfId="0" applyFill="1" applyBorder="1" applyAlignment="1">
      <alignment horizontal="center"/>
    </xf>
    <xf numFmtId="0" fontId="0" fillId="0" borderId="214" xfId="0" applyFill="1" applyBorder="1" applyAlignment="1">
      <alignment horizontal="center"/>
    </xf>
    <xf numFmtId="0" fontId="59" fillId="0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14" fillId="0" borderId="192" xfId="0" applyFont="1" applyFill="1" applyBorder="1" applyAlignment="1">
      <alignment horizontal="center" vertical="center"/>
    </xf>
    <xf numFmtId="0" fontId="14" fillId="0" borderId="192" xfId="0" applyFont="1" applyFill="1" applyBorder="1" applyAlignment="1">
      <alignment horizontal="left" vertical="center"/>
    </xf>
    <xf numFmtId="0" fontId="14" fillId="0" borderId="192" xfId="0" applyFont="1" applyFill="1" applyBorder="1" applyAlignment="1">
      <alignment horizontal="center" vertical="center" wrapText="1"/>
    </xf>
    <xf numFmtId="0" fontId="13" fillId="0" borderId="205" xfId="0" applyFont="1" applyFill="1" applyBorder="1" applyAlignment="1">
      <alignment horizontal="center" vertical="center"/>
    </xf>
    <xf numFmtId="0" fontId="13" fillId="0" borderId="207" xfId="0" applyFont="1" applyFill="1" applyBorder="1" applyAlignment="1">
      <alignment horizontal="center" vertical="center"/>
    </xf>
    <xf numFmtId="0" fontId="13" fillId="0" borderId="192" xfId="0" applyFont="1" applyFill="1" applyBorder="1" applyAlignment="1">
      <alignment horizontal="center"/>
    </xf>
    <xf numFmtId="0" fontId="61" fillId="0" borderId="17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8" fillId="0" borderId="52" xfId="0" applyFont="1" applyFill="1" applyBorder="1" applyAlignment="1">
      <alignment horizontal="center" vertical="center" wrapText="1"/>
    </xf>
    <xf numFmtId="0" fontId="18" fillId="0" borderId="53" xfId="0" applyFont="1" applyFill="1" applyBorder="1" applyAlignment="1">
      <alignment horizontal="center" vertical="center" wrapText="1"/>
    </xf>
    <xf numFmtId="0" fontId="18" fillId="0" borderId="59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/>
    </xf>
    <xf numFmtId="0" fontId="0" fillId="0" borderId="0" xfId="0" applyFill="1" applyAlignment="1"/>
    <xf numFmtId="0" fontId="18" fillId="0" borderId="51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10" fontId="14" fillId="0" borderId="214" xfId="85" applyNumberFormat="1" applyFont="1" applyFill="1" applyBorder="1" applyAlignment="1">
      <alignment horizontal="left" vertical="center" wrapText="1"/>
    </xf>
    <xf numFmtId="10" fontId="14" fillId="0" borderId="226" xfId="85" applyNumberFormat="1" applyFont="1" applyFill="1" applyBorder="1" applyAlignment="1">
      <alignment horizontal="left" vertical="center" wrapText="1"/>
    </xf>
    <xf numFmtId="10" fontId="14" fillId="0" borderId="216" xfId="85" applyNumberFormat="1" applyFont="1" applyFill="1" applyBorder="1" applyAlignment="1">
      <alignment horizontal="left" vertical="center" wrapText="1"/>
    </xf>
    <xf numFmtId="0" fontId="0" fillId="0" borderId="199" xfId="0" applyFill="1" applyBorder="1" applyAlignment="1">
      <alignment horizontal="center"/>
    </xf>
    <xf numFmtId="0" fontId="0" fillId="0" borderId="194" xfId="0" applyFill="1" applyBorder="1" applyAlignment="1">
      <alignment horizontal="center"/>
    </xf>
    <xf numFmtId="0" fontId="0" fillId="0" borderId="253" xfId="0" applyFill="1" applyBorder="1" applyAlignment="1">
      <alignment horizontal="center" vertical="center" wrapText="1"/>
    </xf>
    <xf numFmtId="0" fontId="0" fillId="0" borderId="214" xfId="0" applyFill="1" applyBorder="1" applyAlignment="1">
      <alignment horizontal="center" vertical="center" wrapText="1"/>
    </xf>
    <xf numFmtId="0" fontId="0" fillId="0" borderId="215" xfId="0" applyFill="1" applyBorder="1" applyAlignment="1">
      <alignment horizontal="center" vertical="center" wrapText="1"/>
    </xf>
    <xf numFmtId="0" fontId="0" fillId="0" borderId="208" xfId="0" applyFill="1" applyBorder="1" applyAlignment="1">
      <alignment horizontal="center" vertical="center" wrapText="1"/>
    </xf>
    <xf numFmtId="0" fontId="0" fillId="0" borderId="216" xfId="0" applyFill="1" applyBorder="1" applyAlignment="1">
      <alignment horizontal="center" vertical="center" wrapText="1"/>
    </xf>
    <xf numFmtId="0" fontId="13" fillId="38" borderId="205" xfId="0" applyFont="1" applyFill="1" applyBorder="1" applyAlignment="1">
      <alignment horizontal="center" vertical="center"/>
    </xf>
    <xf numFmtId="0" fontId="13" fillId="38" borderId="207" xfId="0" applyFont="1" applyFill="1" applyBorder="1" applyAlignment="1">
      <alignment horizontal="center" vertical="center"/>
    </xf>
    <xf numFmtId="0" fontId="13" fillId="38" borderId="206" xfId="0" applyFont="1" applyFill="1" applyBorder="1" applyAlignment="1">
      <alignment horizontal="center" vertical="center"/>
    </xf>
    <xf numFmtId="10" fontId="14" fillId="0" borderId="205" xfId="85" applyNumberFormat="1" applyFont="1" applyFill="1" applyBorder="1" applyAlignment="1">
      <alignment vertical="center" wrapText="1"/>
    </xf>
    <xf numFmtId="0" fontId="0" fillId="0" borderId="207" xfId="0" applyFill="1" applyBorder="1" applyAlignment="1">
      <alignment vertical="center" wrapText="1"/>
    </xf>
    <xf numFmtId="0" fontId="0" fillId="0" borderId="206" xfId="0" applyFill="1" applyBorder="1" applyAlignment="1">
      <alignment vertical="center" wrapText="1"/>
    </xf>
    <xf numFmtId="4" fontId="200" fillId="60" borderId="307" xfId="189" applyNumberFormat="1" applyFont="1" applyFill="1" applyBorder="1" applyAlignment="1" applyProtection="1">
      <alignment horizontal="center" vertical="center" wrapText="1"/>
      <protection hidden="1"/>
    </xf>
    <xf numFmtId="4" fontId="202" fillId="60" borderId="308" xfId="189" applyNumberFormat="1" applyFont="1" applyFill="1" applyBorder="1" applyAlignment="1" applyProtection="1">
      <alignment horizontal="center" vertical="center" wrapText="1"/>
      <protection hidden="1"/>
    </xf>
    <xf numFmtId="4" fontId="203" fillId="60" borderId="307" xfId="189" applyNumberFormat="1" applyFont="1" applyFill="1" applyBorder="1" applyAlignment="1" applyProtection="1">
      <alignment horizontal="center" vertical="center" wrapText="1"/>
      <protection hidden="1"/>
    </xf>
    <xf numFmtId="0" fontId="26" fillId="60" borderId="298" xfId="189" applyFont="1" applyFill="1" applyBorder="1" applyProtection="1">
      <protection hidden="1"/>
    </xf>
    <xf numFmtId="0" fontId="26" fillId="60" borderId="300" xfId="189" applyFont="1" applyFill="1" applyBorder="1" applyProtection="1">
      <protection hidden="1"/>
    </xf>
    <xf numFmtId="0" fontId="26" fillId="60" borderId="302" xfId="189" applyFont="1" applyFill="1" applyBorder="1" applyProtection="1">
      <protection hidden="1"/>
    </xf>
    <xf numFmtId="1" fontId="26" fillId="60" borderId="304" xfId="189" applyNumberFormat="1" applyFont="1" applyFill="1" applyBorder="1" applyAlignment="1" applyProtection="1">
      <alignment horizontal="center" vertical="center" wrapText="1"/>
      <protection hidden="1"/>
    </xf>
    <xf numFmtId="1" fontId="26" fillId="60" borderId="305" xfId="189" applyNumberFormat="1" applyFont="1" applyFill="1" applyBorder="1" applyAlignment="1" applyProtection="1">
      <alignment horizontal="center" vertical="center" wrapText="1"/>
      <protection hidden="1"/>
    </xf>
    <xf numFmtId="2" fontId="26" fillId="60" borderId="306" xfId="189" applyNumberFormat="1" applyFont="1" applyFill="1" applyBorder="1" applyAlignment="1" applyProtection="1">
      <alignment horizontal="center" vertical="center" wrapText="1"/>
      <protection hidden="1"/>
    </xf>
    <xf numFmtId="4" fontId="14" fillId="0" borderId="192" xfId="0" applyNumberFormat="1" applyFont="1" applyFill="1" applyBorder="1" applyAlignment="1">
      <alignment horizontal="center" vertical="center"/>
    </xf>
    <xf numFmtId="0" fontId="0" fillId="0" borderId="192" xfId="0" applyFont="1" applyFill="1" applyBorder="1" applyAlignment="1">
      <alignment horizontal="center" vertical="center"/>
    </xf>
    <xf numFmtId="0" fontId="14" fillId="38" borderId="193" xfId="0" applyFont="1" applyFill="1" applyBorder="1" applyAlignment="1">
      <alignment horizontal="center" vertical="center" wrapText="1"/>
    </xf>
    <xf numFmtId="0" fontId="0" fillId="38" borderId="199" xfId="0" applyFont="1" applyFill="1" applyBorder="1" applyAlignment="1">
      <alignment horizontal="center" vertical="center"/>
    </xf>
    <xf numFmtId="0" fontId="17" fillId="0" borderId="0" xfId="0" applyFont="1" applyAlignment="1">
      <alignment horizontal="justify" wrapText="1"/>
    </xf>
    <xf numFmtId="0" fontId="12" fillId="0" borderId="0" xfId="0" applyFont="1" applyAlignment="1">
      <alignment horizontal="justify"/>
    </xf>
    <xf numFmtId="0" fontId="59" fillId="0" borderId="0" xfId="0" applyFont="1" applyAlignment="1">
      <alignment horizontal="center" wrapText="1"/>
    </xf>
    <xf numFmtId="0" fontId="65" fillId="0" borderId="0" xfId="0" applyFont="1" applyAlignment="1">
      <alignment horizontal="center"/>
    </xf>
    <xf numFmtId="4" fontId="13" fillId="0" borderId="192" xfId="0" applyNumberFormat="1" applyFont="1" applyFill="1" applyBorder="1" applyAlignment="1">
      <alignment horizontal="center" vertical="center"/>
    </xf>
    <xf numFmtId="0" fontId="9" fillId="0" borderId="192" xfId="0" applyFont="1" applyFill="1" applyBorder="1" applyAlignment="1">
      <alignment horizontal="center" vertical="center"/>
    </xf>
    <xf numFmtId="0" fontId="164" fillId="0" borderId="0" xfId="0" applyFont="1" applyAlignment="1">
      <alignment horizontal="center" wrapText="1"/>
    </xf>
    <xf numFmtId="0" fontId="165" fillId="0" borderId="0" xfId="0" applyFont="1" applyAlignment="1">
      <alignment horizontal="center"/>
    </xf>
    <xf numFmtId="0" fontId="164" fillId="0" borderId="0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0" fillId="38" borderId="194" xfId="0" applyFont="1" applyFill="1" applyBorder="1" applyAlignment="1">
      <alignment horizontal="center" vertical="center"/>
    </xf>
    <xf numFmtId="4" fontId="14" fillId="38" borderId="193" xfId="0" applyNumberFormat="1" applyFont="1" applyFill="1" applyBorder="1" applyAlignment="1">
      <alignment horizontal="center" vertical="center" wrapText="1"/>
    </xf>
    <xf numFmtId="4" fontId="14" fillId="0" borderId="193" xfId="0" applyNumberFormat="1" applyFont="1" applyFill="1" applyBorder="1" applyAlignment="1">
      <alignment horizontal="left" vertical="center" wrapText="1"/>
    </xf>
    <xf numFmtId="0" fontId="0" fillId="0" borderId="199" xfId="0" applyFont="1" applyFill="1" applyBorder="1" applyAlignment="1">
      <alignment horizontal="left" vertical="center" wrapText="1"/>
    </xf>
    <xf numFmtId="0" fontId="0" fillId="0" borderId="194" xfId="0" applyFont="1" applyFill="1" applyBorder="1" applyAlignment="1">
      <alignment horizontal="left" vertical="center" wrapText="1"/>
    </xf>
    <xf numFmtId="4" fontId="14" fillId="36" borderId="213" xfId="0" applyNumberFormat="1" applyFont="1" applyFill="1" applyBorder="1" applyAlignment="1">
      <alignment horizontal="left" vertical="center" wrapText="1"/>
    </xf>
    <xf numFmtId="4" fontId="14" fillId="36" borderId="253" xfId="0" applyNumberFormat="1" applyFont="1" applyFill="1" applyBorder="1" applyAlignment="1">
      <alignment horizontal="left" vertical="center" wrapText="1"/>
    </xf>
    <xf numFmtId="4" fontId="14" fillId="36" borderId="214" xfId="0" applyNumberFormat="1" applyFont="1" applyFill="1" applyBorder="1" applyAlignment="1">
      <alignment horizontal="left" vertical="center" wrapText="1"/>
    </xf>
    <xf numFmtId="4" fontId="14" fillId="36" borderId="225" xfId="0" applyNumberFormat="1" applyFont="1" applyFill="1" applyBorder="1" applyAlignment="1">
      <alignment horizontal="left" vertical="center" wrapText="1"/>
    </xf>
    <xf numFmtId="4" fontId="14" fillId="36" borderId="0" xfId="0" applyNumberFormat="1" applyFont="1" applyFill="1" applyBorder="1" applyAlignment="1">
      <alignment horizontal="left" vertical="center" wrapText="1"/>
    </xf>
    <xf numFmtId="4" fontId="14" fillId="36" borderId="226" xfId="0" applyNumberFormat="1" applyFont="1" applyFill="1" applyBorder="1" applyAlignment="1">
      <alignment horizontal="left" vertical="center" wrapText="1"/>
    </xf>
    <xf numFmtId="4" fontId="14" fillId="36" borderId="192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wrapText="1"/>
    </xf>
    <xf numFmtId="4" fontId="13" fillId="0" borderId="193" xfId="0" applyNumberFormat="1" applyFont="1" applyFill="1" applyBorder="1" applyAlignment="1">
      <alignment horizontal="left" vertical="center" wrapText="1"/>
    </xf>
    <xf numFmtId="0" fontId="49" fillId="38" borderId="193" xfId="79" applyFont="1" applyFill="1" applyBorder="1" applyAlignment="1">
      <alignment horizontal="center" vertical="center" wrapText="1"/>
    </xf>
    <xf numFmtId="0" fontId="49" fillId="38" borderId="199" xfId="79" applyFont="1" applyFill="1" applyBorder="1" applyAlignment="1">
      <alignment horizontal="center" vertical="center" wrapText="1"/>
    </xf>
    <xf numFmtId="0" fontId="14" fillId="38" borderId="213" xfId="79" applyFont="1" applyFill="1" applyBorder="1" applyAlignment="1">
      <alignment horizontal="center" vertical="center" wrapText="1"/>
    </xf>
    <xf numFmtId="0" fontId="14" fillId="38" borderId="253" xfId="79" applyFont="1" applyFill="1" applyBorder="1" applyAlignment="1">
      <alignment horizontal="center" vertical="center" wrapText="1"/>
    </xf>
    <xf numFmtId="4" fontId="14" fillId="0" borderId="0" xfId="79" applyNumberFormat="1" applyFont="1" applyFill="1" applyAlignment="1">
      <alignment horizontal="center"/>
    </xf>
    <xf numFmtId="0" fontId="52" fillId="38" borderId="192" xfId="79" applyFont="1" applyFill="1" applyBorder="1" applyAlignment="1">
      <alignment horizontal="center" vertical="center" wrapText="1"/>
    </xf>
    <xf numFmtId="0" fontId="14" fillId="38" borderId="192" xfId="79" applyFont="1" applyFill="1" applyBorder="1" applyAlignment="1">
      <alignment horizontal="center" vertical="center" wrapText="1"/>
    </xf>
    <xf numFmtId="0" fontId="14" fillId="38" borderId="205" xfId="79" applyFont="1" applyFill="1" applyBorder="1" applyAlignment="1">
      <alignment horizontal="center" vertical="center" wrapText="1"/>
    </xf>
    <xf numFmtId="0" fontId="14" fillId="38" borderId="206" xfId="79" applyFont="1" applyFill="1" applyBorder="1" applyAlignment="1">
      <alignment horizontal="center" vertical="center" wrapText="1"/>
    </xf>
    <xf numFmtId="0" fontId="49" fillId="38" borderId="205" xfId="79" applyFont="1" applyFill="1" applyBorder="1" applyAlignment="1">
      <alignment horizontal="center" vertical="center" wrapText="1"/>
    </xf>
    <xf numFmtId="0" fontId="49" fillId="38" borderId="206" xfId="79" applyFont="1" applyFill="1" applyBorder="1" applyAlignment="1">
      <alignment horizontal="center" vertical="center" wrapText="1"/>
    </xf>
    <xf numFmtId="0" fontId="49" fillId="38" borderId="213" xfId="79" applyFont="1" applyFill="1" applyBorder="1" applyAlignment="1">
      <alignment horizontal="center" vertical="center" wrapText="1"/>
    </xf>
    <xf numFmtId="0" fontId="49" fillId="38" borderId="253" xfId="79" applyFont="1" applyFill="1" applyBorder="1" applyAlignment="1">
      <alignment horizontal="center" vertical="center" wrapText="1"/>
    </xf>
    <xf numFmtId="0" fontId="49" fillId="38" borderId="214" xfId="79" applyFont="1" applyFill="1" applyBorder="1" applyAlignment="1">
      <alignment horizontal="center" vertical="center" wrapText="1"/>
    </xf>
    <xf numFmtId="0" fontId="14" fillId="38" borderId="193" xfId="79" applyFont="1" applyFill="1" applyBorder="1" applyAlignment="1">
      <alignment horizontal="center" vertical="center" wrapText="1"/>
    </xf>
    <xf numFmtId="0" fontId="14" fillId="38" borderId="194" xfId="79" applyFont="1" applyFill="1" applyBorder="1" applyAlignment="1">
      <alignment horizontal="center" vertical="center" wrapText="1"/>
    </xf>
    <xf numFmtId="0" fontId="14" fillId="38" borderId="199" xfId="79" applyFont="1" applyFill="1" applyBorder="1" applyAlignment="1">
      <alignment horizontal="center" vertical="center" wrapText="1"/>
    </xf>
    <xf numFmtId="0" fontId="49" fillId="38" borderId="194" xfId="79" applyFont="1" applyFill="1" applyBorder="1" applyAlignment="1">
      <alignment horizontal="center" vertical="center" wrapText="1"/>
    </xf>
    <xf numFmtId="0" fontId="49" fillId="38" borderId="192" xfId="79" applyFont="1" applyFill="1" applyBorder="1" applyAlignment="1">
      <alignment horizontal="center" vertical="center" wrapText="1"/>
    </xf>
    <xf numFmtId="0" fontId="11" fillId="38" borderId="192" xfId="79" applyFont="1" applyFill="1" applyBorder="1" applyAlignment="1">
      <alignment horizontal="center" vertical="center"/>
    </xf>
    <xf numFmtId="0" fontId="17" fillId="0" borderId="192" xfId="79" applyFont="1" applyFill="1" applyBorder="1" applyAlignment="1">
      <alignment horizontal="center" vertical="center" wrapText="1"/>
    </xf>
    <xf numFmtId="0" fontId="49" fillId="0" borderId="192" xfId="79" applyFont="1" applyFill="1" applyBorder="1" applyAlignment="1">
      <alignment horizontal="center" vertical="center" wrapText="1"/>
    </xf>
    <xf numFmtId="0" fontId="18" fillId="0" borderId="192" xfId="79" applyFont="1" applyFill="1" applyBorder="1" applyAlignment="1">
      <alignment horizontal="center" vertical="center" wrapText="1"/>
    </xf>
    <xf numFmtId="0" fontId="70" fillId="0" borderId="192" xfId="79" applyFont="1" applyFill="1" applyBorder="1" applyAlignment="1">
      <alignment horizontal="center" vertical="center" wrapText="1"/>
    </xf>
    <xf numFmtId="0" fontId="49" fillId="0" borderId="192" xfId="79" applyFont="1" applyFill="1" applyBorder="1" applyAlignment="1">
      <alignment horizontal="center" vertical="center"/>
    </xf>
    <xf numFmtId="0" fontId="0" fillId="0" borderId="192" xfId="0" applyFill="1" applyBorder="1" applyAlignment="1">
      <alignment horizontal="center" vertical="center" wrapText="1"/>
    </xf>
    <xf numFmtId="0" fontId="88" fillId="0" borderId="192" xfId="79" applyFont="1" applyFill="1" applyBorder="1" applyAlignment="1">
      <alignment horizontal="center" vertical="center" wrapText="1"/>
    </xf>
    <xf numFmtId="0" fontId="87" fillId="0" borderId="192" xfId="0" applyFont="1" applyBorder="1" applyAlignment="1">
      <alignment horizontal="center" vertical="center" wrapText="1"/>
    </xf>
    <xf numFmtId="0" fontId="49" fillId="38" borderId="192" xfId="79" applyFont="1" applyFill="1" applyBorder="1" applyAlignment="1">
      <alignment horizontal="center" vertical="center"/>
    </xf>
    <xf numFmtId="0" fontId="49" fillId="38" borderId="213" xfId="0" applyFont="1" applyFill="1" applyBorder="1" applyAlignment="1">
      <alignment horizontal="center" vertical="center" wrapText="1"/>
    </xf>
    <xf numFmtId="0" fontId="49" fillId="38" borderId="214" xfId="0" applyFont="1" applyFill="1" applyBorder="1" applyAlignment="1">
      <alignment horizontal="center" vertical="center" wrapText="1"/>
    </xf>
    <xf numFmtId="0" fontId="0" fillId="38" borderId="215" xfId="0" applyFill="1" applyBorder="1" applyAlignment="1">
      <alignment horizontal="center" vertical="center" wrapText="1"/>
    </xf>
    <xf numFmtId="0" fontId="0" fillId="38" borderId="216" xfId="0" applyFill="1" applyBorder="1" applyAlignment="1">
      <alignment horizontal="center" vertical="center" wrapText="1"/>
    </xf>
    <xf numFmtId="0" fontId="19" fillId="0" borderId="225" xfId="79" applyFont="1" applyFill="1" applyBorder="1" applyAlignment="1">
      <alignment horizontal="center" vertical="center"/>
    </xf>
    <xf numFmtId="0" fontId="19" fillId="0" borderId="0" xfId="79" applyFont="1" applyFill="1" applyBorder="1" applyAlignment="1">
      <alignment horizontal="center" vertical="center"/>
    </xf>
    <xf numFmtId="0" fontId="0" fillId="38" borderId="192" xfId="0" applyFill="1" applyBorder="1" applyAlignment="1">
      <alignment vertical="center"/>
    </xf>
    <xf numFmtId="0" fontId="11" fillId="0" borderId="192" xfId="79" applyFont="1" applyFill="1" applyBorder="1" applyAlignment="1">
      <alignment horizontal="center" vertical="center"/>
    </xf>
    <xf numFmtId="0" fontId="69" fillId="0" borderId="0" xfId="79" applyFont="1" applyAlignment="1">
      <alignment horizontal="center"/>
    </xf>
    <xf numFmtId="0" fontId="0" fillId="38" borderId="194" xfId="0" applyFill="1" applyBorder="1" applyAlignment="1">
      <alignment horizontal="center" vertical="center" wrapText="1"/>
    </xf>
    <xf numFmtId="0" fontId="59" fillId="0" borderId="0" xfId="79" applyFont="1" applyFill="1" applyAlignment="1"/>
    <xf numFmtId="0" fontId="0" fillId="0" borderId="206" xfId="0" applyBorder="1" applyAlignment="1">
      <alignment horizontal="center"/>
    </xf>
    <xf numFmtId="0" fontId="0" fillId="0" borderId="199" xfId="0" applyBorder="1" applyAlignment="1">
      <alignment horizontal="center"/>
    </xf>
    <xf numFmtId="0" fontId="14" fillId="0" borderId="0" xfId="77" applyFont="1" applyBorder="1" applyAlignment="1">
      <alignment horizontal="center" vertical="center" wrapText="1"/>
    </xf>
    <xf numFmtId="0" fontId="20" fillId="0" borderId="0" xfId="77" applyBorder="1" applyAlignment="1">
      <alignment horizontal="center" vertical="center" wrapText="1"/>
    </xf>
    <xf numFmtId="0" fontId="20" fillId="0" borderId="338" xfId="0" applyFont="1" applyBorder="1" applyAlignment="1">
      <alignment horizontal="center" vertical="center" wrapText="1"/>
    </xf>
    <xf numFmtId="0" fontId="0" fillId="0" borderId="329" xfId="0" applyBorder="1" applyAlignment="1">
      <alignment horizontal="center" vertical="center" wrapText="1"/>
    </xf>
    <xf numFmtId="0" fontId="20" fillId="0" borderId="336" xfId="0" applyFont="1" applyBorder="1" applyAlignment="1">
      <alignment horizontal="center" vertical="center" wrapText="1"/>
    </xf>
    <xf numFmtId="0" fontId="14" fillId="0" borderId="335" xfId="0" applyFont="1" applyBorder="1" applyAlignment="1">
      <alignment horizontal="center" vertical="center" wrapText="1"/>
    </xf>
    <xf numFmtId="0" fontId="14" fillId="0" borderId="337" xfId="0" applyFont="1" applyBorder="1" applyAlignment="1">
      <alignment horizontal="center" vertical="center" wrapText="1"/>
    </xf>
    <xf numFmtId="0" fontId="14" fillId="0" borderId="0" xfId="77" applyNumberFormat="1" applyFont="1" applyFill="1" applyBorder="1" applyAlignment="1">
      <alignment horizontal="center"/>
    </xf>
    <xf numFmtId="0" fontId="20" fillId="0" borderId="0" xfId="77" applyAlignment="1"/>
    <xf numFmtId="0" fontId="17" fillId="0" borderId="0" xfId="77" applyFont="1" applyBorder="1" applyAlignment="1">
      <alignment horizontal="center" vertical="center"/>
    </xf>
    <xf numFmtId="0" fontId="20" fillId="0" borderId="0" xfId="77" applyAlignment="1">
      <alignment horizontal="center" vertical="center"/>
    </xf>
    <xf numFmtId="0" fontId="14" fillId="0" borderId="54" xfId="0" applyFont="1" applyBorder="1" applyAlignment="1">
      <alignment horizontal="center" vertical="center" wrapText="1"/>
    </xf>
    <xf numFmtId="0" fontId="0" fillId="0" borderId="297" xfId="0" applyBorder="1" applyAlignment="1">
      <alignment horizontal="center" vertical="center" wrapText="1"/>
    </xf>
    <xf numFmtId="0" fontId="14" fillId="0" borderId="50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17" fillId="0" borderId="0" xfId="77" applyFont="1" applyAlignment="1">
      <alignment horizontal="center" vertical="center"/>
    </xf>
    <xf numFmtId="0" fontId="14" fillId="0" borderId="49" xfId="0" applyFont="1" applyBorder="1" applyAlignment="1">
      <alignment horizontal="center" vertical="center"/>
    </xf>
    <xf numFmtId="0" fontId="0" fillId="0" borderId="277" xfId="0" applyBorder="1" applyAlignment="1">
      <alignment horizontal="center" vertical="center"/>
    </xf>
    <xf numFmtId="0" fontId="14" fillId="0" borderId="190" xfId="0" applyFont="1" applyBorder="1" applyAlignment="1">
      <alignment horizontal="center" vertical="center"/>
    </xf>
    <xf numFmtId="0" fontId="14" fillId="0" borderId="294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4" fillId="0" borderId="335" xfId="0" applyFont="1" applyBorder="1" applyAlignment="1">
      <alignment horizontal="center" vertical="center"/>
    </xf>
    <xf numFmtId="0" fontId="15" fillId="0" borderId="335" xfId="0" applyFont="1" applyBorder="1" applyAlignment="1">
      <alignment horizontal="center" vertical="center"/>
    </xf>
    <xf numFmtId="0" fontId="59" fillId="0" borderId="0" xfId="0" applyFont="1" applyAlignment="1">
      <alignment vertical="center" wrapText="1"/>
    </xf>
    <xf numFmtId="0" fontId="13" fillId="0" borderId="208" xfId="0" applyFont="1" applyBorder="1" applyAlignment="1">
      <alignment horizontal="center" vertical="center" wrapText="1"/>
    </xf>
    <xf numFmtId="0" fontId="0" fillId="0" borderId="208" xfId="0" applyBorder="1" applyAlignment="1"/>
    <xf numFmtId="0" fontId="14" fillId="0" borderId="193" xfId="0" applyFont="1" applyFill="1" applyBorder="1" applyAlignment="1">
      <alignment horizontal="center" vertical="center" wrapText="1"/>
    </xf>
    <xf numFmtId="0" fontId="14" fillId="0" borderId="199" xfId="0" applyFont="1" applyFill="1" applyBorder="1" applyAlignment="1">
      <alignment horizontal="center" vertical="center" wrapText="1"/>
    </xf>
    <xf numFmtId="0" fontId="0" fillId="0" borderId="199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94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18" fillId="0" borderId="55" xfId="0" applyFont="1" applyBorder="1" applyAlignment="1">
      <alignment horizontal="center"/>
    </xf>
    <xf numFmtId="0" fontId="61" fillId="0" borderId="72" xfId="0" applyFont="1" applyBorder="1" applyAlignment="1">
      <alignment horizontal="center" vertical="center" wrapText="1"/>
    </xf>
    <xf numFmtId="0" fontId="61" fillId="0" borderId="49" xfId="0" applyFont="1" applyBorder="1" applyAlignment="1">
      <alignment horizontal="center" vertical="center" wrapText="1"/>
    </xf>
    <xf numFmtId="0" fontId="61" fillId="0" borderId="24" xfId="0" applyFont="1" applyBorder="1" applyAlignment="1">
      <alignment horizontal="center" vertical="center" wrapText="1"/>
    </xf>
    <xf numFmtId="0" fontId="61" fillId="0" borderId="70" xfId="0" applyFont="1" applyBorder="1" applyAlignment="1">
      <alignment horizontal="center" vertical="center" wrapText="1"/>
    </xf>
    <xf numFmtId="0" fontId="61" fillId="0" borderId="67" xfId="0" applyFont="1" applyBorder="1" applyAlignment="1">
      <alignment horizontal="center" vertical="center" wrapText="1"/>
    </xf>
    <xf numFmtId="0" fontId="61" fillId="0" borderId="44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 wrapText="1"/>
    </xf>
    <xf numFmtId="0" fontId="18" fillId="27" borderId="50" xfId="0" applyFont="1" applyFill="1" applyBorder="1" applyAlignment="1">
      <alignment horizontal="center" vertical="center" wrapText="1"/>
    </xf>
    <xf numFmtId="0" fontId="18" fillId="27" borderId="47" xfId="0" applyFont="1" applyFill="1" applyBorder="1" applyAlignment="1">
      <alignment horizontal="center" vertical="center" wrapText="1"/>
    </xf>
    <xf numFmtId="0" fontId="18" fillId="27" borderId="40" xfId="0" applyFont="1" applyFill="1" applyBorder="1" applyAlignment="1">
      <alignment horizontal="center" vertical="center" wrapText="1"/>
    </xf>
    <xf numFmtId="0" fontId="18" fillId="27" borderId="36" xfId="0" applyFont="1" applyFill="1" applyBorder="1" applyAlignment="1">
      <alignment horizontal="center" vertical="center" wrapText="1"/>
    </xf>
    <xf numFmtId="0" fontId="18" fillId="24" borderId="50" xfId="0" applyFont="1" applyFill="1" applyBorder="1" applyAlignment="1">
      <alignment horizontal="center" vertical="center" wrapText="1"/>
    </xf>
    <xf numFmtId="0" fontId="18" fillId="24" borderId="47" xfId="0" applyFont="1" applyFill="1" applyBorder="1" applyAlignment="1">
      <alignment horizontal="center" vertical="center" wrapText="1"/>
    </xf>
    <xf numFmtId="0" fontId="18" fillId="24" borderId="48" xfId="0" applyFont="1" applyFill="1" applyBorder="1" applyAlignment="1">
      <alignment horizontal="center" vertical="center" wrapText="1"/>
    </xf>
    <xf numFmtId="0" fontId="18" fillId="24" borderId="40" xfId="0" applyFont="1" applyFill="1" applyBorder="1" applyAlignment="1">
      <alignment horizontal="center" vertical="center" wrapText="1"/>
    </xf>
    <xf numFmtId="0" fontId="18" fillId="24" borderId="36" xfId="0" applyFont="1" applyFill="1" applyBorder="1" applyAlignment="1">
      <alignment horizontal="center" vertical="center" wrapText="1"/>
    </xf>
    <xf numFmtId="0" fontId="18" fillId="24" borderId="68" xfId="0" applyFont="1" applyFill="1" applyBorder="1" applyAlignment="1">
      <alignment horizontal="center" vertical="center" wrapText="1"/>
    </xf>
    <xf numFmtId="0" fontId="63" fillId="0" borderId="51" xfId="0" applyFont="1" applyBorder="1" applyAlignment="1">
      <alignment horizontal="center" vertical="center" wrapText="1"/>
    </xf>
    <xf numFmtId="0" fontId="63" fillId="0" borderId="46" xfId="0" applyFont="1" applyBorder="1" applyAlignment="1">
      <alignment horizontal="center" vertical="center" wrapText="1"/>
    </xf>
    <xf numFmtId="0" fontId="63" fillId="0" borderId="57" xfId="0" applyFont="1" applyBorder="1" applyAlignment="1">
      <alignment horizontal="center" vertical="center" wrapText="1"/>
    </xf>
    <xf numFmtId="0" fontId="68" fillId="0" borderId="52" xfId="0" applyFont="1" applyBorder="1" applyAlignment="1">
      <alignment horizontal="center"/>
    </xf>
    <xf numFmtId="0" fontId="68" fillId="0" borderId="53" xfId="0" applyFont="1" applyBorder="1" applyAlignment="1">
      <alignment horizontal="center"/>
    </xf>
    <xf numFmtId="0" fontId="68" fillId="0" borderId="59" xfId="0" applyFont="1" applyBorder="1" applyAlignment="1">
      <alignment horizontal="center"/>
    </xf>
    <xf numFmtId="0" fontId="65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9" fillId="0" borderId="50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0" fontId="19" fillId="0" borderId="48" xfId="0" applyFont="1" applyFill="1" applyBorder="1" applyAlignment="1">
      <alignment horizontal="center" vertical="center" wrapText="1"/>
    </xf>
    <xf numFmtId="0" fontId="19" fillId="0" borderId="40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 wrapText="1"/>
    </xf>
    <xf numFmtId="0" fontId="19" fillId="0" borderId="68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left"/>
    </xf>
    <xf numFmtId="0" fontId="19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 wrapText="1"/>
    </xf>
    <xf numFmtId="0" fontId="19" fillId="0" borderId="169" xfId="0" applyFont="1" applyFill="1" applyBorder="1" applyAlignment="1">
      <alignment horizontal="center" vertical="center" wrapText="1"/>
    </xf>
    <xf numFmtId="0" fontId="19" fillId="0" borderId="175" xfId="0" applyFont="1" applyFill="1" applyBorder="1" applyAlignment="1">
      <alignment horizontal="center" vertical="center" wrapText="1"/>
    </xf>
    <xf numFmtId="0" fontId="19" fillId="0" borderId="170" xfId="0" applyFont="1" applyFill="1" applyBorder="1" applyAlignment="1">
      <alignment horizontal="center" vertical="center" wrapText="1"/>
    </xf>
    <xf numFmtId="0" fontId="19" fillId="0" borderId="190" xfId="0" applyFont="1" applyFill="1" applyBorder="1" applyAlignment="1">
      <alignment horizontal="center" vertical="center" wrapText="1"/>
    </xf>
    <xf numFmtId="0" fontId="19" fillId="0" borderId="35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60" xfId="0" applyFont="1" applyFill="1" applyBorder="1" applyAlignment="1">
      <alignment horizontal="center" vertical="center" wrapText="1"/>
    </xf>
    <xf numFmtId="0" fontId="61" fillId="0" borderId="51" xfId="0" applyFont="1" applyFill="1" applyBorder="1" applyAlignment="1">
      <alignment horizontal="center" vertical="center"/>
    </xf>
    <xf numFmtId="0" fontId="61" fillId="0" borderId="46" xfId="0" applyFont="1" applyFill="1" applyBorder="1" applyAlignment="1">
      <alignment horizontal="center" vertical="center"/>
    </xf>
    <xf numFmtId="0" fontId="19" fillId="0" borderId="27" xfId="0" applyFont="1" applyFill="1" applyBorder="1" applyAlignment="1">
      <alignment horizontal="center" vertical="center" wrapText="1"/>
    </xf>
    <xf numFmtId="0" fontId="19" fillId="0" borderId="185" xfId="0" applyFont="1" applyFill="1" applyBorder="1" applyAlignment="1">
      <alignment horizontal="center" vertical="center" wrapText="1"/>
    </xf>
    <xf numFmtId="0" fontId="59" fillId="0" borderId="47" xfId="0" applyFont="1" applyFill="1" applyBorder="1" applyAlignment="1">
      <alignment horizontal="center" vertical="center" wrapText="1"/>
    </xf>
    <xf numFmtId="0" fontId="59" fillId="0" borderId="48" xfId="0" applyFont="1" applyFill="1" applyBorder="1" applyAlignment="1">
      <alignment horizontal="center" vertical="center" wrapText="1"/>
    </xf>
    <xf numFmtId="0" fontId="59" fillId="0" borderId="40" xfId="0" applyFont="1" applyFill="1" applyBorder="1" applyAlignment="1">
      <alignment horizontal="center" vertical="center" wrapText="1"/>
    </xf>
    <xf numFmtId="0" fontId="59" fillId="0" borderId="36" xfId="0" applyFont="1" applyFill="1" applyBorder="1" applyAlignment="1">
      <alignment horizontal="center" vertical="center" wrapText="1"/>
    </xf>
    <xf numFmtId="0" fontId="59" fillId="0" borderId="68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90" fillId="0" borderId="177" xfId="0" applyFont="1" applyFill="1" applyBorder="1" applyAlignment="1">
      <alignment horizontal="left" vertical="center" wrapText="1"/>
    </xf>
    <xf numFmtId="0" fontId="90" fillId="0" borderId="173" xfId="0" applyFont="1" applyFill="1" applyBorder="1" applyAlignment="1">
      <alignment horizontal="left" vertical="center" wrapText="1"/>
    </xf>
    <xf numFmtId="0" fontId="90" fillId="0" borderId="165" xfId="0" applyFont="1" applyFill="1" applyBorder="1" applyAlignment="1">
      <alignment horizontal="left" vertical="center" wrapText="1"/>
    </xf>
    <xf numFmtId="0" fontId="90" fillId="0" borderId="54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left" vertical="center" wrapText="1"/>
    </xf>
    <xf numFmtId="0" fontId="90" fillId="0" borderId="60" xfId="0" applyFont="1" applyFill="1" applyBorder="1" applyAlignment="1">
      <alignment horizontal="left" vertical="center" wrapText="1"/>
    </xf>
    <xf numFmtId="0" fontId="90" fillId="0" borderId="56" xfId="0" applyFont="1" applyFill="1" applyBorder="1" applyAlignment="1">
      <alignment horizontal="left" vertical="center" wrapText="1"/>
    </xf>
    <xf numFmtId="0" fontId="90" fillId="0" borderId="55" xfId="0" applyFont="1" applyFill="1" applyBorder="1" applyAlignment="1">
      <alignment horizontal="left" vertical="center" wrapText="1"/>
    </xf>
    <xf numFmtId="0" fontId="90" fillId="0" borderId="33" xfId="0" applyFont="1" applyFill="1" applyBorder="1" applyAlignment="1">
      <alignment horizontal="left" vertical="center" wrapText="1"/>
    </xf>
    <xf numFmtId="0" fontId="18" fillId="29" borderId="53" xfId="0" applyFont="1" applyFill="1" applyBorder="1" applyAlignment="1">
      <alignment horizontal="center" vertical="center"/>
    </xf>
    <xf numFmtId="0" fontId="18" fillId="29" borderId="59" xfId="0" applyFont="1" applyFill="1" applyBorder="1" applyAlignment="1">
      <alignment horizontal="center" vertical="center"/>
    </xf>
    <xf numFmtId="0" fontId="61" fillId="0" borderId="37" xfId="0" applyFont="1" applyFill="1" applyBorder="1" applyAlignment="1">
      <alignment horizontal="left" vertical="center"/>
    </xf>
    <xf numFmtId="0" fontId="61" fillId="0" borderId="38" xfId="0" applyFont="1" applyFill="1" applyBorder="1" applyAlignment="1">
      <alignment horizontal="left" vertical="center"/>
    </xf>
    <xf numFmtId="0" fontId="61" fillId="0" borderId="66" xfId="0" applyFont="1" applyFill="1" applyBorder="1" applyAlignment="1">
      <alignment horizontal="center" vertical="center"/>
    </xf>
    <xf numFmtId="0" fontId="61" fillId="0" borderId="79" xfId="0" applyFont="1" applyFill="1" applyBorder="1" applyAlignment="1">
      <alignment horizontal="center" vertical="center"/>
    </xf>
    <xf numFmtId="0" fontId="61" fillId="0" borderId="169" xfId="0" applyFont="1" applyFill="1" applyBorder="1" applyAlignment="1">
      <alignment horizontal="left" vertical="center"/>
    </xf>
    <xf numFmtId="0" fontId="61" fillId="0" borderId="170" xfId="0" applyFont="1" applyFill="1" applyBorder="1" applyAlignment="1">
      <alignment horizontal="left" vertical="center"/>
    </xf>
    <xf numFmtId="0" fontId="0" fillId="38" borderId="206" xfId="0" applyFill="1" applyBorder="1" applyAlignment="1">
      <alignment horizontal="center" vertical="center"/>
    </xf>
    <xf numFmtId="0" fontId="18" fillId="0" borderId="0" xfId="0" applyFont="1" applyAlignment="1">
      <alignment horizontal="center" wrapText="1"/>
    </xf>
    <xf numFmtId="0" fontId="14" fillId="0" borderId="192" xfId="0" applyFont="1" applyFill="1" applyBorder="1" applyAlignment="1">
      <alignment vertical="center"/>
    </xf>
    <xf numFmtId="0" fontId="0" fillId="0" borderId="192" xfId="0" applyFill="1" applyBorder="1" applyAlignment="1"/>
    <xf numFmtId="0" fontId="0" fillId="38" borderId="192" xfId="0" applyFill="1" applyBorder="1" applyAlignment="1">
      <alignment horizontal="center" vertical="center"/>
    </xf>
    <xf numFmtId="0" fontId="14" fillId="38" borderId="213" xfId="0" applyFont="1" applyFill="1" applyBorder="1" applyAlignment="1">
      <alignment horizontal="left" vertical="center" wrapText="1"/>
    </xf>
    <xf numFmtId="0" fontId="14" fillId="38" borderId="253" xfId="0" applyFont="1" applyFill="1" applyBorder="1" applyAlignment="1">
      <alignment horizontal="left" vertical="center" wrapText="1"/>
    </xf>
    <xf numFmtId="0" fontId="14" fillId="38" borderId="214" xfId="0" applyFont="1" applyFill="1" applyBorder="1" applyAlignment="1">
      <alignment horizontal="left" vertical="center" wrapText="1"/>
    </xf>
    <xf numFmtId="0" fontId="14" fillId="38" borderId="225" xfId="0" applyFont="1" applyFill="1" applyBorder="1" applyAlignment="1">
      <alignment horizontal="left" vertical="center" wrapText="1"/>
    </xf>
    <xf numFmtId="0" fontId="14" fillId="38" borderId="0" xfId="0" applyFont="1" applyFill="1" applyBorder="1" applyAlignment="1">
      <alignment horizontal="left" vertical="center" wrapText="1"/>
    </xf>
    <xf numFmtId="0" fontId="14" fillId="38" borderId="226" xfId="0" applyFont="1" applyFill="1" applyBorder="1" applyAlignment="1">
      <alignment horizontal="left" vertical="center" wrapText="1"/>
    </xf>
    <xf numFmtId="0" fontId="14" fillId="38" borderId="215" xfId="0" applyFont="1" applyFill="1" applyBorder="1" applyAlignment="1">
      <alignment horizontal="left" vertical="center" wrapText="1"/>
    </xf>
    <xf numFmtId="0" fontId="14" fillId="38" borderId="208" xfId="0" applyFont="1" applyFill="1" applyBorder="1" applyAlignment="1">
      <alignment horizontal="left" vertical="center" wrapText="1"/>
    </xf>
    <xf numFmtId="0" fontId="14" fillId="38" borderId="216" xfId="0" applyFont="1" applyFill="1" applyBorder="1" applyAlignment="1">
      <alignment horizontal="left" vertical="center" wrapText="1"/>
    </xf>
    <xf numFmtId="0" fontId="14" fillId="38" borderId="213" xfId="0" applyFont="1" applyFill="1" applyBorder="1" applyAlignment="1">
      <alignment horizontal="left" wrapText="1"/>
    </xf>
    <xf numFmtId="0" fontId="14" fillId="38" borderId="253" xfId="0" applyFont="1" applyFill="1" applyBorder="1" applyAlignment="1">
      <alignment horizontal="left" wrapText="1"/>
    </xf>
    <xf numFmtId="0" fontId="14" fillId="38" borderId="214" xfId="0" applyFont="1" applyFill="1" applyBorder="1" applyAlignment="1">
      <alignment horizontal="left" wrapText="1"/>
    </xf>
    <xf numFmtId="0" fontId="14" fillId="38" borderId="225" xfId="0" applyFont="1" applyFill="1" applyBorder="1" applyAlignment="1">
      <alignment horizontal="left" wrapText="1"/>
    </xf>
    <xf numFmtId="0" fontId="14" fillId="38" borderId="0" xfId="0" applyFont="1" applyFill="1" applyBorder="1" applyAlignment="1">
      <alignment horizontal="left" wrapText="1"/>
    </xf>
    <xf numFmtId="0" fontId="14" fillId="38" borderId="226" xfId="0" applyFont="1" applyFill="1" applyBorder="1" applyAlignment="1">
      <alignment horizontal="left" wrapText="1"/>
    </xf>
    <xf numFmtId="0" fontId="14" fillId="38" borderId="215" xfId="0" applyFont="1" applyFill="1" applyBorder="1" applyAlignment="1">
      <alignment horizontal="left" wrapText="1"/>
    </xf>
    <xf numFmtId="0" fontId="14" fillId="38" borderId="208" xfId="0" applyFont="1" applyFill="1" applyBorder="1" applyAlignment="1">
      <alignment horizontal="left" wrapText="1"/>
    </xf>
    <xf numFmtId="0" fontId="14" fillId="38" borderId="216" xfId="0" applyFont="1" applyFill="1" applyBorder="1" applyAlignment="1">
      <alignment horizontal="left" wrapText="1"/>
    </xf>
    <xf numFmtId="0" fontId="109" fillId="0" borderId="36" xfId="147" applyFont="1" applyBorder="1" applyAlignment="1">
      <alignment horizontal="center"/>
    </xf>
    <xf numFmtId="0" fontId="7" fillId="0" borderId="36" xfId="147" applyBorder="1" applyAlignment="1">
      <alignment horizontal="center"/>
    </xf>
    <xf numFmtId="0" fontId="111" fillId="0" borderId="167" xfId="147" applyFont="1" applyBorder="1" applyAlignment="1"/>
    <xf numFmtId="0" fontId="7" fillId="0" borderId="167" xfId="147" applyBorder="1" applyAlignment="1"/>
    <xf numFmtId="0" fontId="109" fillId="0" borderId="167" xfId="147" applyFont="1" applyBorder="1" applyAlignment="1">
      <alignment horizontal="center"/>
    </xf>
    <xf numFmtId="0" fontId="7" fillId="0" borderId="167" xfId="147" applyBorder="1" applyAlignment="1">
      <alignment horizontal="center"/>
    </xf>
    <xf numFmtId="0" fontId="12" fillId="29" borderId="0" xfId="0" applyFont="1" applyFill="1" applyAlignment="1">
      <alignment horizontal="center"/>
    </xf>
    <xf numFmtId="0" fontId="22" fillId="0" borderId="0" xfId="0" applyFont="1" applyBorder="1" applyAlignment="1">
      <alignment vertical="top" wrapText="1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22" fillId="0" borderId="55" xfId="0" applyFont="1" applyBorder="1" applyAlignment="1">
      <alignment vertical="top" wrapText="1"/>
    </xf>
    <xf numFmtId="0" fontId="14" fillId="0" borderId="46" xfId="0" applyFont="1" applyBorder="1" applyAlignment="1">
      <alignment wrapText="1"/>
    </xf>
    <xf numFmtId="0" fontId="22" fillId="0" borderId="52" xfId="0" applyFont="1" applyBorder="1" applyAlignment="1">
      <alignment vertical="top" wrapText="1"/>
    </xf>
    <xf numFmtId="0" fontId="22" fillId="0" borderId="53" xfId="0" applyFont="1" applyBorder="1" applyAlignment="1">
      <alignment vertical="top" wrapText="1"/>
    </xf>
    <xf numFmtId="0" fontId="22" fillId="0" borderId="59" xfId="0" applyFont="1" applyBorder="1" applyAlignment="1">
      <alignment vertical="top" wrapText="1"/>
    </xf>
    <xf numFmtId="0" fontId="22" fillId="0" borderId="50" xfId="0" applyFont="1" applyBorder="1" applyAlignment="1">
      <alignment vertical="top" wrapText="1"/>
    </xf>
    <xf numFmtId="0" fontId="22" fillId="0" borderId="47" xfId="0" applyFont="1" applyBorder="1" applyAlignment="1">
      <alignment vertical="top" wrapText="1"/>
    </xf>
    <xf numFmtId="0" fontId="22" fillId="0" borderId="56" xfId="0" applyFont="1" applyBorder="1" applyAlignment="1">
      <alignment vertical="top" wrapText="1"/>
    </xf>
    <xf numFmtId="0" fontId="22" fillId="0" borderId="47" xfId="0" applyFont="1" applyBorder="1" applyAlignment="1">
      <alignment horizontal="right" vertical="top" wrapText="1"/>
    </xf>
    <xf numFmtId="0" fontId="22" fillId="0" borderId="55" xfId="0" applyFont="1" applyBorder="1" applyAlignment="1">
      <alignment horizontal="right" vertical="top" wrapText="1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22" fillId="0" borderId="51" xfId="0" applyFont="1" applyBorder="1" applyAlignment="1">
      <alignment horizontal="right" vertical="top" wrapText="1"/>
    </xf>
    <xf numFmtId="0" fontId="22" fillId="0" borderId="57" xfId="0" applyFont="1" applyBorder="1" applyAlignment="1">
      <alignment horizontal="right" vertical="top" wrapText="1"/>
    </xf>
    <xf numFmtId="0" fontId="22" fillId="0" borderId="51" xfId="0" applyFont="1" applyBorder="1" applyAlignment="1">
      <alignment vertical="top" wrapText="1"/>
    </xf>
    <xf numFmtId="0" fontId="22" fillId="0" borderId="57" xfId="0" applyFont="1" applyBorder="1" applyAlignment="1">
      <alignment vertical="top" wrapText="1"/>
    </xf>
    <xf numFmtId="0" fontId="22" fillId="0" borderId="46" xfId="0" applyFont="1" applyBorder="1" applyAlignment="1">
      <alignment horizontal="right" vertical="top" wrapText="1"/>
    </xf>
    <xf numFmtId="0" fontId="22" fillId="0" borderId="46" xfId="0" applyFont="1" applyBorder="1" applyAlignment="1">
      <alignment vertical="top" wrapText="1"/>
    </xf>
    <xf numFmtId="0" fontId="14" fillId="0" borderId="51" xfId="0" applyFont="1" applyBorder="1" applyAlignment="1">
      <alignment wrapText="1"/>
    </xf>
    <xf numFmtId="0" fontId="22" fillId="0" borderId="52" xfId="0" applyFont="1" applyBorder="1" applyAlignment="1">
      <alignment horizontal="center" wrapText="1"/>
    </xf>
    <xf numFmtId="0" fontId="22" fillId="0" borderId="59" xfId="0" applyFont="1" applyBorder="1" applyAlignment="1">
      <alignment horizontal="center" wrapText="1"/>
    </xf>
    <xf numFmtId="0" fontId="22" fillId="0" borderId="53" xfId="0" applyFont="1" applyBorder="1" applyAlignment="1">
      <alignment horizontal="center" wrapText="1"/>
    </xf>
    <xf numFmtId="0" fontId="22" fillId="0" borderId="50" xfId="0" applyFont="1" applyBorder="1" applyAlignment="1">
      <alignment horizontal="center" wrapText="1"/>
    </xf>
    <xf numFmtId="0" fontId="22" fillId="0" borderId="48" xfId="0" applyFont="1" applyBorder="1" applyAlignment="1">
      <alignment horizontal="center" wrapText="1"/>
    </xf>
    <xf numFmtId="0" fontId="22" fillId="0" borderId="56" xfId="0" applyFont="1" applyBorder="1" applyAlignment="1">
      <alignment horizontal="center" wrapText="1"/>
    </xf>
    <xf numFmtId="0" fontId="22" fillId="0" borderId="33" xfId="0" applyFont="1" applyBorder="1" applyAlignment="1">
      <alignment horizontal="center" wrapText="1"/>
    </xf>
    <xf numFmtId="0" fontId="92" fillId="0" borderId="52" xfId="0" applyFont="1" applyBorder="1" applyAlignment="1">
      <alignment vertical="top" wrapText="1"/>
    </xf>
    <xf numFmtId="0" fontId="92" fillId="0" borderId="53" xfId="0" applyFont="1" applyBorder="1" applyAlignment="1">
      <alignment vertical="top" wrapText="1"/>
    </xf>
    <xf numFmtId="0" fontId="92" fillId="0" borderId="59" xfId="0" applyFont="1" applyBorder="1" applyAlignment="1">
      <alignment vertical="top" wrapText="1"/>
    </xf>
    <xf numFmtId="0" fontId="15" fillId="0" borderId="54" xfId="0" applyFont="1" applyBorder="1" applyAlignment="1">
      <alignment vertical="top" wrapText="1"/>
    </xf>
    <xf numFmtId="0" fontId="14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top" wrapText="1"/>
    </xf>
    <xf numFmtId="0" fontId="76" fillId="0" borderId="54" xfId="0" applyFont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5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5" fillId="0" borderId="0" xfId="0" applyFont="1" applyBorder="1" applyAlignment="1">
      <alignment horizontal="center" vertical="top" wrapText="1"/>
    </xf>
    <xf numFmtId="0" fontId="16" fillId="0" borderId="54" xfId="0" applyFont="1" applyBorder="1" applyAlignment="1">
      <alignment vertical="top" wrapText="1"/>
    </xf>
    <xf numFmtId="0" fontId="13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vertical="top" wrapText="1"/>
    </xf>
    <xf numFmtId="0" fontId="18" fillId="0" borderId="50" xfId="0" applyFont="1" applyBorder="1" applyAlignment="1">
      <alignment horizontal="center" wrapText="1"/>
    </xf>
    <xf numFmtId="0" fontId="63" fillId="0" borderId="47" xfId="0" applyFont="1" applyBorder="1" applyAlignment="1">
      <alignment horizontal="center"/>
    </xf>
    <xf numFmtId="0" fontId="91" fillId="0" borderId="54" xfId="0" applyFont="1" applyBorder="1" applyAlignment="1">
      <alignment horizontal="center" wrapText="1"/>
    </xf>
    <xf numFmtId="0" fontId="18" fillId="0" borderId="54" xfId="0" applyFont="1" applyBorder="1" applyAlignment="1">
      <alignment horizontal="center"/>
    </xf>
    <xf numFmtId="0" fontId="122" fillId="0" borderId="52" xfId="0" applyFont="1" applyBorder="1" applyAlignment="1">
      <alignment horizontal="center" vertical="top" wrapText="1"/>
    </xf>
    <xf numFmtId="0" fontId="122" fillId="0" borderId="53" xfId="0" applyFont="1" applyBorder="1" applyAlignment="1">
      <alignment horizontal="center" vertical="top" wrapText="1"/>
    </xf>
    <xf numFmtId="0" fontId="63" fillId="0" borderId="48" xfId="0" applyFont="1" applyBorder="1" applyAlignment="1">
      <alignment horizontal="center"/>
    </xf>
    <xf numFmtId="0" fontId="15" fillId="0" borderId="54" xfId="0" applyFont="1" applyBorder="1" applyAlignment="1"/>
    <xf numFmtId="0" fontId="12" fillId="29" borderId="47" xfId="0" applyFont="1" applyFill="1" applyBorder="1" applyAlignment="1">
      <alignment horizontal="right"/>
    </xf>
    <xf numFmtId="0" fontId="125" fillId="0" borderId="52" xfId="0" applyFont="1" applyBorder="1" applyAlignment="1">
      <alignment horizontal="center" vertical="top" wrapText="1"/>
    </xf>
    <xf numFmtId="0" fontId="125" fillId="0" borderId="53" xfId="0" applyFont="1" applyBorder="1" applyAlignment="1">
      <alignment horizontal="center" vertical="top" wrapText="1"/>
    </xf>
    <xf numFmtId="0" fontId="63" fillId="0" borderId="155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16" fillId="0" borderId="0" xfId="149" applyFont="1" applyAlignment="1">
      <alignment horizontal="center"/>
    </xf>
    <xf numFmtId="0" fontId="105" fillId="0" borderId="175" xfId="149" applyFont="1" applyBorder="1" applyAlignment="1">
      <alignment horizontal="center" wrapText="1"/>
    </xf>
    <xf numFmtId="0" fontId="6" fillId="29" borderId="180" xfId="149" applyFill="1" applyBorder="1" applyAlignment="1">
      <alignment horizontal="center" wrapText="1"/>
    </xf>
    <xf numFmtId="0" fontId="6" fillId="29" borderId="181" xfId="149" applyFill="1" applyBorder="1" applyAlignment="1">
      <alignment horizontal="center" wrapText="1"/>
    </xf>
    <xf numFmtId="0" fontId="6" fillId="29" borderId="179" xfId="149" applyFill="1" applyBorder="1" applyAlignment="1">
      <alignment horizontal="center" wrapText="1"/>
    </xf>
    <xf numFmtId="0" fontId="6" fillId="29" borderId="181" xfId="149" applyFill="1" applyBorder="1" applyAlignment="1">
      <alignment horizontal="center"/>
    </xf>
    <xf numFmtId="0" fontId="6" fillId="29" borderId="179" xfId="149" applyFill="1" applyBorder="1" applyAlignment="1">
      <alignment horizontal="center"/>
    </xf>
    <xf numFmtId="4" fontId="6" fillId="0" borderId="180" xfId="149" applyNumberFormat="1" applyBorder="1" applyAlignment="1">
      <alignment horizontal="center"/>
    </xf>
    <xf numFmtId="4" fontId="6" fillId="0" borderId="181" xfId="149" applyNumberFormat="1" applyBorder="1" applyAlignment="1">
      <alignment horizontal="center"/>
    </xf>
    <xf numFmtId="4" fontId="6" fillId="0" borderId="179" xfId="149" applyNumberFormat="1" applyBorder="1" applyAlignment="1">
      <alignment horizontal="center"/>
    </xf>
    <xf numFmtId="0" fontId="105" fillId="0" borderId="175" xfId="149" applyFont="1" applyBorder="1" applyAlignment="1">
      <alignment horizontal="center"/>
    </xf>
    <xf numFmtId="0" fontId="105" fillId="0" borderId="180" xfId="149" applyFont="1" applyBorder="1" applyAlignment="1">
      <alignment horizontal="center"/>
    </xf>
    <xf numFmtId="0" fontId="105" fillId="0" borderId="180" xfId="149" applyFont="1" applyBorder="1" applyAlignment="1">
      <alignment horizontal="center" wrapText="1"/>
    </xf>
    <xf numFmtId="0" fontId="115" fillId="0" borderId="180" xfId="149" applyFont="1" applyFill="1" applyBorder="1" applyAlignment="1">
      <alignment horizontal="left" wrapText="1"/>
    </xf>
    <xf numFmtId="0" fontId="115" fillId="0" borderId="181" xfId="149" applyFont="1" applyFill="1" applyBorder="1" applyAlignment="1">
      <alignment horizontal="left" wrapText="1"/>
    </xf>
    <xf numFmtId="0" fontId="115" fillId="0" borderId="179" xfId="149" applyFont="1" applyFill="1" applyBorder="1" applyAlignment="1">
      <alignment horizontal="left" wrapText="1"/>
    </xf>
    <xf numFmtId="4" fontId="81" fillId="0" borderId="192" xfId="0" applyNumberFormat="1" applyFont="1" applyFill="1" applyBorder="1" applyAlignment="1">
      <alignment horizontal="center" vertical="center"/>
    </xf>
    <xf numFmtId="0" fontId="51" fillId="0" borderId="192" xfId="0" applyFont="1" applyBorder="1" applyAlignment="1"/>
    <xf numFmtId="0" fontId="18" fillId="0" borderId="193" xfId="0" applyFont="1" applyFill="1" applyBorder="1" applyAlignment="1">
      <alignment horizontal="center" vertical="center" wrapText="1"/>
    </xf>
    <xf numFmtId="0" fontId="85" fillId="0" borderId="193" xfId="0" applyFont="1" applyBorder="1" applyAlignment="1">
      <alignment horizontal="center" vertical="center" wrapText="1"/>
    </xf>
    <xf numFmtId="0" fontId="19" fillId="38" borderId="205" xfId="0" applyFont="1" applyFill="1" applyBorder="1" applyAlignment="1">
      <alignment horizontal="center" vertical="center" wrapText="1"/>
    </xf>
    <xf numFmtId="0" fontId="0" fillId="38" borderId="206" xfId="0" applyFill="1" applyBorder="1" applyAlignment="1">
      <alignment horizontal="center" vertical="center" wrapText="1"/>
    </xf>
    <xf numFmtId="0" fontId="0" fillId="0" borderId="225" xfId="0" applyBorder="1" applyAlignment="1">
      <alignment horizontal="center" vertical="center" wrapText="1"/>
    </xf>
    <xf numFmtId="0" fontId="0" fillId="0" borderId="226" xfId="0" applyBorder="1" applyAlignment="1">
      <alignment horizontal="center" vertical="center" wrapText="1"/>
    </xf>
    <xf numFmtId="0" fontId="183" fillId="0" borderId="192" xfId="0" applyFont="1" applyBorder="1" applyAlignment="1">
      <alignment horizontal="center" vertical="center"/>
    </xf>
    <xf numFmtId="0" fontId="0" fillId="0" borderId="199" xfId="0" applyBorder="1" applyAlignment="1">
      <alignment wrapText="1"/>
    </xf>
    <xf numFmtId="0" fontId="0" fillId="0" borderId="194" xfId="0" applyBorder="1" applyAlignment="1">
      <alignment wrapText="1"/>
    </xf>
    <xf numFmtId="4" fontId="14" fillId="0" borderId="193" xfId="85" applyNumberFormat="1" applyFont="1" applyFill="1" applyBorder="1" applyAlignment="1">
      <alignment horizontal="center" vertical="center" wrapText="1"/>
    </xf>
    <xf numFmtId="0" fontId="13" fillId="38" borderId="213" xfId="0" applyFont="1" applyFill="1" applyBorder="1" applyAlignment="1">
      <alignment horizontal="center" vertical="center" wrapText="1"/>
    </xf>
    <xf numFmtId="0" fontId="0" fillId="38" borderId="253" xfId="0" applyFill="1" applyBorder="1" applyAlignment="1">
      <alignment horizontal="center" vertical="center" wrapText="1"/>
    </xf>
    <xf numFmtId="0" fontId="0" fillId="38" borderId="214" xfId="0" applyFill="1" applyBorder="1" applyAlignment="1">
      <alignment horizontal="center" vertical="center" wrapText="1"/>
    </xf>
    <xf numFmtId="0" fontId="52" fillId="29" borderId="209" xfId="150" applyFont="1" applyFill="1" applyBorder="1" applyAlignment="1">
      <alignment horizontal="center"/>
    </xf>
    <xf numFmtId="0" fontId="8" fillId="0" borderId="210" xfId="0" applyFont="1" applyBorder="1" applyAlignment="1">
      <alignment horizontal="center"/>
    </xf>
    <xf numFmtId="0" fontId="8" fillId="0" borderId="260" xfId="0" applyFont="1" applyBorder="1" applyAlignment="1">
      <alignment horizontal="center"/>
    </xf>
    <xf numFmtId="0" fontId="106" fillId="0" borderId="36" xfId="150" applyFont="1" applyBorder="1" applyAlignment="1">
      <alignment horizontal="center" vertical="center"/>
    </xf>
    <xf numFmtId="0" fontId="106" fillId="29" borderId="209" xfId="150" applyFont="1" applyFill="1" applyBorder="1" applyAlignment="1">
      <alignment horizontal="center"/>
    </xf>
    <xf numFmtId="0" fontId="9" fillId="0" borderId="210" xfId="0" applyFont="1" applyBorder="1" applyAlignment="1">
      <alignment horizontal="center"/>
    </xf>
    <xf numFmtId="0" fontId="9" fillId="0" borderId="260" xfId="0" applyFont="1" applyBorder="1" applyAlignment="1">
      <alignment horizontal="center"/>
    </xf>
    <xf numFmtId="0" fontId="17" fillId="0" borderId="36" xfId="150" applyFont="1" applyBorder="1" applyAlignment="1">
      <alignment horizontal="center" vertical="center"/>
    </xf>
    <xf numFmtId="0" fontId="13" fillId="29" borderId="193" xfId="0" applyFont="1" applyFill="1" applyBorder="1" applyAlignment="1">
      <alignment horizontal="center" vertical="center" wrapText="1"/>
    </xf>
    <xf numFmtId="0" fontId="13" fillId="29" borderId="199" xfId="0" applyFont="1" applyFill="1" applyBorder="1" applyAlignment="1">
      <alignment horizontal="center" vertical="center" wrapText="1"/>
    </xf>
    <xf numFmtId="0" fontId="0" fillId="29" borderId="199" xfId="0" applyFont="1" applyFill="1" applyBorder="1" applyAlignment="1"/>
    <xf numFmtId="0" fontId="0" fillId="0" borderId="199" xfId="0" applyFont="1" applyBorder="1" applyAlignment="1"/>
    <xf numFmtId="0" fontId="14" fillId="0" borderId="253" xfId="0" applyFont="1" applyBorder="1" applyAlignment="1">
      <alignment horizontal="justify" vertical="center" wrapText="1"/>
    </xf>
    <xf numFmtId="0" fontId="0" fillId="0" borderId="253" xfId="0" applyFont="1" applyBorder="1" applyAlignment="1">
      <alignment horizontal="justify" vertical="center"/>
    </xf>
    <xf numFmtId="0" fontId="0" fillId="0" borderId="0" xfId="0" applyFont="1" applyAlignment="1">
      <alignment horizontal="justify" vertical="center"/>
    </xf>
    <xf numFmtId="0" fontId="17" fillId="38" borderId="213" xfId="0" applyFont="1" applyFill="1" applyBorder="1" applyAlignment="1">
      <alignment horizontal="center" vertical="center"/>
    </xf>
    <xf numFmtId="0" fontId="17" fillId="38" borderId="253" xfId="0" applyFont="1" applyFill="1" applyBorder="1" applyAlignment="1">
      <alignment horizontal="center" vertical="center"/>
    </xf>
    <xf numFmtId="0" fontId="17" fillId="38" borderId="214" xfId="0" applyFont="1" applyFill="1" applyBorder="1" applyAlignment="1">
      <alignment horizontal="center" vertical="center"/>
    </xf>
    <xf numFmtId="0" fontId="0" fillId="38" borderId="215" xfId="0" applyFill="1" applyBorder="1" applyAlignment="1">
      <alignment horizontal="center" vertical="center"/>
    </xf>
    <xf numFmtId="0" fontId="0" fillId="38" borderId="208" xfId="0" applyFill="1" applyBorder="1" applyAlignment="1">
      <alignment horizontal="center" vertical="center"/>
    </xf>
    <xf numFmtId="0" fontId="0" fillId="38" borderId="216" xfId="0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82" fillId="38" borderId="192" xfId="0" applyFont="1" applyFill="1" applyBorder="1" applyAlignment="1">
      <alignment horizontal="center"/>
    </xf>
    <xf numFmtId="0" fontId="0" fillId="38" borderId="192" xfId="0" applyFont="1" applyFill="1" applyBorder="1" applyAlignment="1">
      <alignment horizontal="center"/>
    </xf>
    <xf numFmtId="0" fontId="64" fillId="38" borderId="192" xfId="0" applyFont="1" applyFill="1" applyBorder="1" applyAlignment="1">
      <alignment horizontal="center"/>
    </xf>
    <xf numFmtId="0" fontId="14" fillId="38" borderId="194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/>
    </xf>
    <xf numFmtId="0" fontId="13" fillId="29" borderId="194" xfId="0" applyFont="1" applyFill="1" applyBorder="1" applyAlignment="1">
      <alignment horizontal="center" vertical="center"/>
    </xf>
    <xf numFmtId="0" fontId="19" fillId="0" borderId="0" xfId="0" applyFont="1" applyAlignment="1">
      <alignment horizontal="center" wrapText="1"/>
    </xf>
    <xf numFmtId="4" fontId="15" fillId="29" borderId="205" xfId="0" applyNumberFormat="1" applyFont="1" applyFill="1" applyBorder="1" applyAlignment="1">
      <alignment horizontal="right" vertical="center"/>
    </xf>
    <xf numFmtId="0" fontId="0" fillId="29" borderId="206" xfId="0" applyFont="1" applyFill="1" applyBorder="1" applyAlignment="1">
      <alignment horizontal="right" vertical="center"/>
    </xf>
    <xf numFmtId="4" fontId="15" fillId="29" borderId="205" xfId="0" applyNumberFormat="1" applyFont="1" applyFill="1" applyBorder="1" applyAlignment="1">
      <alignment horizontal="center" vertical="center"/>
    </xf>
    <xf numFmtId="0" fontId="0" fillId="29" borderId="206" xfId="0" applyFont="1" applyFill="1" applyBorder="1" applyAlignment="1">
      <alignment horizontal="center" vertical="center"/>
    </xf>
    <xf numFmtId="4" fontId="126" fillId="29" borderId="205" xfId="0" applyNumberFormat="1" applyFont="1" applyFill="1" applyBorder="1" applyAlignment="1">
      <alignment horizontal="right" vertical="center"/>
    </xf>
    <xf numFmtId="0" fontId="119" fillId="29" borderId="206" xfId="0" applyFont="1" applyFill="1" applyBorder="1" applyAlignment="1">
      <alignment horizontal="right" vertical="center"/>
    </xf>
    <xf numFmtId="4" fontId="15" fillId="0" borderId="205" xfId="0" applyNumberFormat="1" applyFont="1" applyFill="1" applyBorder="1" applyAlignment="1">
      <alignment horizontal="right" vertical="center"/>
    </xf>
    <xf numFmtId="0" fontId="0" fillId="0" borderId="206" xfId="0" applyFont="1" applyFill="1" applyBorder="1" applyAlignment="1">
      <alignment horizontal="right" vertical="center"/>
    </xf>
    <xf numFmtId="4" fontId="182" fillId="46" borderId="205" xfId="0" applyNumberFormat="1" applyFont="1" applyFill="1" applyBorder="1" applyAlignment="1">
      <alignment horizontal="right" vertical="center"/>
    </xf>
    <xf numFmtId="4" fontId="182" fillId="46" borderId="206" xfId="0" applyNumberFormat="1" applyFont="1" applyFill="1" applyBorder="1" applyAlignment="1">
      <alignment horizontal="right" vertical="center"/>
    </xf>
    <xf numFmtId="4" fontId="126" fillId="29" borderId="205" xfId="0" applyNumberFormat="1" applyFont="1" applyFill="1" applyBorder="1" applyAlignment="1">
      <alignment horizontal="center" vertical="center"/>
    </xf>
    <xf numFmtId="0" fontId="119" fillId="29" borderId="206" xfId="0" applyFont="1" applyFill="1" applyBorder="1" applyAlignment="1">
      <alignment horizontal="center" vertical="center"/>
    </xf>
    <xf numFmtId="4" fontId="15" fillId="0" borderId="205" xfId="0" applyNumberFormat="1" applyFont="1" applyFill="1" applyBorder="1" applyAlignment="1">
      <alignment horizontal="center" vertical="center"/>
    </xf>
    <xf numFmtId="0" fontId="0" fillId="0" borderId="206" xfId="0" applyFont="1" applyFill="1" applyBorder="1" applyAlignment="1">
      <alignment horizontal="center" vertical="center"/>
    </xf>
    <xf numFmtId="0" fontId="0" fillId="38" borderId="253" xfId="0" applyFill="1" applyBorder="1" applyAlignment="1"/>
    <xf numFmtId="0" fontId="0" fillId="38" borderId="214" xfId="0" applyFill="1" applyBorder="1" applyAlignment="1"/>
    <xf numFmtId="4" fontId="15" fillId="0" borderId="206" xfId="0" applyNumberFormat="1" applyFont="1" applyFill="1" applyBorder="1" applyAlignment="1">
      <alignment horizontal="center" vertical="center"/>
    </xf>
    <xf numFmtId="4" fontId="15" fillId="0" borderId="206" xfId="0" applyNumberFormat="1" applyFont="1" applyFill="1" applyBorder="1" applyAlignment="1">
      <alignment horizontal="right" vertical="center"/>
    </xf>
    <xf numFmtId="4" fontId="182" fillId="46" borderId="205" xfId="0" applyNumberFormat="1" applyFont="1" applyFill="1" applyBorder="1" applyAlignment="1">
      <alignment horizontal="center" vertical="center"/>
    </xf>
    <xf numFmtId="4" fontId="182" fillId="46" borderId="206" xfId="0" applyNumberFormat="1" applyFont="1" applyFill="1" applyBorder="1" applyAlignment="1">
      <alignment horizontal="center" vertical="center"/>
    </xf>
    <xf numFmtId="0" fontId="107" fillId="0" borderId="182" xfId="147" applyFont="1" applyBorder="1" applyAlignment="1">
      <alignment horizontal="center" vertical="center" wrapText="1"/>
    </xf>
    <xf numFmtId="0" fontId="107" fillId="0" borderId="11" xfId="147" applyFont="1" applyBorder="1" applyAlignment="1">
      <alignment horizontal="center" vertical="center" wrapText="1"/>
    </xf>
    <xf numFmtId="0" fontId="107" fillId="0" borderId="182" xfId="147" applyFont="1" applyBorder="1" applyAlignment="1">
      <alignment horizontal="center" vertical="center"/>
    </xf>
    <xf numFmtId="0" fontId="107" fillId="0" borderId="11" xfId="147" applyFont="1" applyBorder="1" applyAlignment="1">
      <alignment horizontal="center" vertical="center"/>
    </xf>
    <xf numFmtId="0" fontId="106" fillId="0" borderId="36" xfId="147" applyFont="1" applyBorder="1" applyAlignment="1">
      <alignment horizontal="center" vertical="center" wrapText="1"/>
    </xf>
    <xf numFmtId="0" fontId="107" fillId="38" borderId="192" xfId="147" applyFont="1" applyFill="1" applyBorder="1" applyAlignment="1">
      <alignment horizontal="center" vertical="center" wrapText="1"/>
    </xf>
    <xf numFmtId="0" fontId="107" fillId="38" borderId="192" xfId="147" applyFont="1" applyFill="1" applyBorder="1" applyAlignment="1">
      <alignment horizontal="center" vertical="center"/>
    </xf>
    <xf numFmtId="0" fontId="52" fillId="0" borderId="184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 wrapText="1"/>
    </xf>
    <xf numFmtId="0" fontId="18" fillId="0" borderId="180" xfId="0" applyFont="1" applyBorder="1" applyAlignment="1">
      <alignment horizontal="center"/>
    </xf>
    <xf numFmtId="0" fontId="18" fillId="0" borderId="181" xfId="0" applyFont="1" applyBorder="1" applyAlignment="1">
      <alignment horizontal="center"/>
    </xf>
    <xf numFmtId="0" fontId="18" fillId="0" borderId="179" xfId="0" applyFont="1" applyBorder="1" applyAlignment="1">
      <alignment horizontal="center"/>
    </xf>
    <xf numFmtId="0" fontId="18" fillId="43" borderId="180" xfId="0" applyFont="1" applyFill="1" applyBorder="1" applyAlignment="1">
      <alignment horizontal="center"/>
    </xf>
    <xf numFmtId="0" fontId="18" fillId="43" borderId="181" xfId="0" applyFont="1" applyFill="1" applyBorder="1" applyAlignment="1">
      <alignment horizontal="center"/>
    </xf>
    <xf numFmtId="0" fontId="18" fillId="43" borderId="179" xfId="0" applyFont="1" applyFill="1" applyBorder="1" applyAlignment="1">
      <alignment horizontal="center"/>
    </xf>
    <xf numFmtId="4" fontId="14" fillId="0" borderId="184" xfId="0" applyNumberFormat="1" applyFont="1" applyBorder="1" applyAlignment="1">
      <alignment horizontal="center" vertical="center"/>
    </xf>
    <xf numFmtId="4" fontId="14" fillId="0" borderId="61" xfId="0" applyNumberFormat="1" applyFont="1" applyBorder="1" applyAlignment="1">
      <alignment horizontal="center" vertical="center"/>
    </xf>
    <xf numFmtId="4" fontId="14" fillId="0" borderId="11" xfId="0" applyNumberFormat="1" applyFont="1" applyBorder="1" applyAlignment="1">
      <alignment horizontal="center" vertical="center"/>
    </xf>
    <xf numFmtId="0" fontId="14" fillId="0" borderId="184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8" fillId="0" borderId="184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3" fillId="0" borderId="185" xfId="0" applyFont="1" applyBorder="1" applyAlignment="1">
      <alignment horizontal="center" vertical="center"/>
    </xf>
    <xf numFmtId="0" fontId="13" fillId="0" borderId="186" xfId="0" applyFont="1" applyBorder="1" applyAlignment="1">
      <alignment horizontal="center" vertical="center"/>
    </xf>
    <xf numFmtId="0" fontId="13" fillId="0" borderId="187" xfId="0" applyFont="1" applyBorder="1" applyAlignment="1">
      <alignment horizontal="center" vertical="center"/>
    </xf>
    <xf numFmtId="0" fontId="52" fillId="0" borderId="175" xfId="0" applyFont="1" applyBorder="1" applyAlignment="1">
      <alignment horizontal="center" wrapText="1"/>
    </xf>
    <xf numFmtId="4" fontId="14" fillId="43" borderId="184" xfId="0" applyNumberFormat="1" applyFont="1" applyFill="1" applyBorder="1" applyAlignment="1">
      <alignment horizontal="center" vertical="center"/>
    </xf>
    <xf numFmtId="4" fontId="14" fillId="43" borderId="61" xfId="0" applyNumberFormat="1" applyFont="1" applyFill="1" applyBorder="1" applyAlignment="1">
      <alignment horizontal="center" vertical="center"/>
    </xf>
    <xf numFmtId="4" fontId="14" fillId="43" borderId="11" xfId="0" applyNumberFormat="1" applyFont="1" applyFill="1" applyBorder="1" applyAlignment="1">
      <alignment horizontal="center" vertical="center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9" fillId="29" borderId="52" xfId="0" applyFont="1" applyFill="1" applyBorder="1" applyAlignment="1">
      <alignment horizontal="center"/>
    </xf>
    <xf numFmtId="0" fontId="9" fillId="29" borderId="53" xfId="0" applyFont="1" applyFill="1" applyBorder="1" applyAlignment="1">
      <alignment horizontal="center"/>
    </xf>
    <xf numFmtId="0" fontId="9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63" fillId="0" borderId="0" xfId="0" applyFont="1" applyBorder="1" applyAlignment="1">
      <alignment horizontal="center"/>
    </xf>
    <xf numFmtId="0" fontId="80" fillId="0" borderId="0" xfId="0" applyFont="1" applyBorder="1" applyAlignment="1"/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128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0" fillId="0" borderId="36" xfId="0" applyBorder="1" applyAlignment="1">
      <alignment horizontal="center"/>
    </xf>
    <xf numFmtId="0" fontId="7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47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76" fillId="0" borderId="0" xfId="0" applyFont="1" applyAlignment="1">
      <alignment horizontal="center"/>
    </xf>
    <xf numFmtId="0" fontId="55" fillId="0" borderId="16" xfId="81" applyFont="1" applyBorder="1" applyAlignment="1">
      <alignment horizontal="center"/>
    </xf>
    <xf numFmtId="0" fontId="55" fillId="0" borderId="17" xfId="81" applyFont="1" applyBorder="1" applyAlignment="1">
      <alignment horizontal="center"/>
    </xf>
    <xf numFmtId="0" fontId="55" fillId="0" borderId="18" xfId="81" applyFont="1" applyBorder="1" applyAlignment="1">
      <alignment horizontal="center"/>
    </xf>
    <xf numFmtId="0" fontId="56" fillId="0" borderId="73" xfId="81" applyFont="1" applyBorder="1" applyAlignment="1">
      <alignment horizontal="center" vertical="center"/>
    </xf>
    <xf numFmtId="0" fontId="56" fillId="0" borderId="42" xfId="81" applyFont="1" applyBorder="1" applyAlignment="1">
      <alignment horizontal="center" vertical="center"/>
    </xf>
    <xf numFmtId="0" fontId="56" fillId="0" borderId="13" xfId="81" applyFont="1" applyBorder="1" applyAlignment="1">
      <alignment horizontal="center" vertical="center"/>
    </xf>
    <xf numFmtId="0" fontId="56" fillId="0" borderId="15" xfId="81" applyFont="1" applyBorder="1" applyAlignment="1">
      <alignment horizontal="center" vertical="center"/>
    </xf>
    <xf numFmtId="0" fontId="55" fillId="0" borderId="71" xfId="81" applyFont="1" applyBorder="1" applyAlignment="1">
      <alignment horizontal="center"/>
    </xf>
    <xf numFmtId="0" fontId="55" fillId="0" borderId="0" xfId="81" applyFont="1" applyAlignment="1">
      <alignment horizontal="center"/>
    </xf>
    <xf numFmtId="0" fontId="14" fillId="0" borderId="203" xfId="0" applyFont="1" applyBorder="1" applyAlignment="1">
      <alignment horizontal="center"/>
    </xf>
    <xf numFmtId="0" fontId="18" fillId="0" borderId="209" xfId="0" applyFont="1" applyBorder="1" applyAlignment="1">
      <alignment horizontal="center"/>
    </xf>
    <xf numFmtId="0" fontId="18" fillId="0" borderId="210" xfId="0" applyFont="1" applyBorder="1" applyAlignment="1">
      <alignment horizontal="center"/>
    </xf>
    <xf numFmtId="0" fontId="18" fillId="0" borderId="204" xfId="0" applyFont="1" applyBorder="1" applyAlignment="1">
      <alignment horizontal="center"/>
    </xf>
    <xf numFmtId="0" fontId="18" fillId="43" borderId="209" xfId="0" applyFont="1" applyFill="1" applyBorder="1" applyAlignment="1">
      <alignment horizontal="center"/>
    </xf>
    <xf numFmtId="0" fontId="18" fillId="43" borderId="210" xfId="0" applyFont="1" applyFill="1" applyBorder="1" applyAlignment="1">
      <alignment horizontal="center"/>
    </xf>
    <xf numFmtId="0" fontId="18" fillId="43" borderId="204" xfId="0" applyFont="1" applyFill="1" applyBorder="1" applyAlignment="1">
      <alignment horizontal="center"/>
    </xf>
    <xf numFmtId="0" fontId="14" fillId="0" borderId="195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4" fontId="14" fillId="0" borderId="195" xfId="0" applyNumberFormat="1" applyFont="1" applyBorder="1" applyAlignment="1">
      <alignment horizontal="center" vertical="center"/>
    </xf>
    <xf numFmtId="0" fontId="18" fillId="0" borderId="200" xfId="0" applyFont="1" applyBorder="1" applyAlignment="1">
      <alignment horizontal="center"/>
    </xf>
    <xf numFmtId="0" fontId="18" fillId="0" borderId="201" xfId="0" applyFont="1" applyBorder="1" applyAlignment="1">
      <alignment horizontal="center"/>
    </xf>
    <xf numFmtId="0" fontId="18" fillId="0" borderId="198" xfId="0" applyFont="1" applyBorder="1" applyAlignment="1">
      <alignment horizontal="center"/>
    </xf>
    <xf numFmtId="0" fontId="18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191" fillId="0" borderId="0" xfId="0" applyFont="1" applyBorder="1" applyAlignment="1">
      <alignment horizontal="justify" vertical="center" wrapText="1"/>
    </xf>
    <xf numFmtId="0" fontId="0" fillId="0" borderId="0" xfId="0" applyFont="1" applyAlignment="1">
      <alignment horizontal="justify" vertical="center" wrapText="1"/>
    </xf>
    <xf numFmtId="0" fontId="191" fillId="0" borderId="290" xfId="0" applyFont="1" applyBorder="1" applyAlignment="1">
      <alignment horizontal="center" vertical="center"/>
    </xf>
    <xf numFmtId="0" fontId="61" fillId="0" borderId="0" xfId="0" applyFont="1" applyAlignment="1">
      <alignment horizontal="right" vertical="center" wrapText="1"/>
    </xf>
    <xf numFmtId="0" fontId="191" fillId="0" borderId="0" xfId="0" applyFont="1" applyAlignment="1">
      <alignment horizontal="center" vertical="center" wrapText="1"/>
    </xf>
    <xf numFmtId="0" fontId="191" fillId="0" borderId="290" xfId="0" applyFont="1" applyBorder="1" applyAlignment="1">
      <alignment horizontal="center" vertical="center" wrapText="1"/>
    </xf>
    <xf numFmtId="0" fontId="192" fillId="0" borderId="290" xfId="0" applyFont="1" applyBorder="1" applyAlignment="1">
      <alignment horizontal="center" vertical="center" wrapText="1"/>
    </xf>
    <xf numFmtId="0" fontId="0" fillId="0" borderId="290" xfId="0" applyBorder="1" applyAlignment="1">
      <alignment horizontal="center" vertical="center" wrapText="1"/>
    </xf>
    <xf numFmtId="4" fontId="191" fillId="0" borderId="290" xfId="0" applyNumberFormat="1" applyFont="1" applyBorder="1" applyAlignment="1">
      <alignment horizontal="center" vertical="center"/>
    </xf>
    <xf numFmtId="0" fontId="191" fillId="0" borderId="0" xfId="0" applyFont="1" applyAlignment="1">
      <alignment horizontal="justify" wrapText="1"/>
    </xf>
    <xf numFmtId="0" fontId="191" fillId="0" borderId="0" xfId="0" applyFont="1" applyAlignment="1">
      <alignment horizontal="justify"/>
    </xf>
    <xf numFmtId="0" fontId="190" fillId="0" borderId="0" xfId="0" applyFont="1" applyAlignment="1">
      <alignment horizontal="center" vertical="center" wrapText="1"/>
    </xf>
    <xf numFmtId="0" fontId="191" fillId="0" borderId="257" xfId="0" applyFont="1" applyBorder="1" applyAlignment="1">
      <alignment horizontal="center" vertical="center" wrapText="1"/>
    </xf>
    <xf numFmtId="0" fontId="0" fillId="0" borderId="257" xfId="0" applyBorder="1" applyAlignment="1">
      <alignment horizontal="center" vertical="center" wrapText="1"/>
    </xf>
    <xf numFmtId="0" fontId="191" fillId="0" borderId="257" xfId="0" applyFont="1" applyBorder="1" applyAlignment="1">
      <alignment horizontal="center" vertical="center"/>
    </xf>
    <xf numFmtId="4" fontId="191" fillId="0" borderId="257" xfId="0" applyNumberFormat="1" applyFont="1" applyBorder="1" applyAlignment="1">
      <alignment horizontal="center" vertical="center"/>
    </xf>
    <xf numFmtId="0" fontId="192" fillId="0" borderId="257" xfId="0" applyFont="1" applyBorder="1" applyAlignment="1">
      <alignment horizontal="center" vertical="center" wrapText="1"/>
    </xf>
    <xf numFmtId="0" fontId="14" fillId="38" borderId="254" xfId="0" applyFont="1" applyFill="1" applyBorder="1" applyAlignment="1">
      <alignment horizontal="center" vertical="center"/>
    </xf>
    <xf numFmtId="0" fontId="14" fillId="38" borderId="254" xfId="0" applyFont="1" applyFill="1" applyBorder="1" applyAlignment="1">
      <alignment horizontal="center"/>
    </xf>
    <xf numFmtId="0" fontId="14" fillId="38" borderId="254" xfId="0" applyFont="1" applyFill="1" applyBorder="1" applyAlignment="1">
      <alignment horizontal="center" wrapText="1"/>
    </xf>
    <xf numFmtId="0" fontId="14" fillId="38" borderId="255" xfId="0" applyFont="1" applyFill="1" applyBorder="1" applyAlignment="1">
      <alignment horizontal="center"/>
    </xf>
    <xf numFmtId="0" fontId="14" fillId="38" borderId="261" xfId="0" applyFont="1" applyFill="1" applyBorder="1" applyAlignment="1">
      <alignment horizontal="center"/>
    </xf>
    <xf numFmtId="0" fontId="14" fillId="38" borderId="256" xfId="0" applyFont="1" applyFill="1" applyBorder="1" applyAlignment="1">
      <alignment horizontal="center"/>
    </xf>
    <xf numFmtId="0" fontId="14" fillId="38" borderId="262" xfId="0" applyFont="1" applyFill="1" applyBorder="1" applyAlignment="1">
      <alignment horizontal="center" vertical="center" wrapText="1"/>
    </xf>
    <xf numFmtId="0" fontId="14" fillId="38" borderId="263" xfId="0" applyFont="1" applyFill="1" applyBorder="1" applyAlignment="1">
      <alignment horizontal="center" vertical="center" wrapText="1"/>
    </xf>
    <xf numFmtId="0" fontId="14" fillId="38" borderId="262" xfId="0" applyFont="1" applyFill="1" applyBorder="1" applyAlignment="1">
      <alignment horizontal="center" wrapText="1"/>
    </xf>
    <xf numFmtId="0" fontId="14" fillId="38" borderId="263" xfId="0" applyFont="1" applyFill="1" applyBorder="1" applyAlignment="1">
      <alignment horizontal="center" wrapText="1"/>
    </xf>
    <xf numFmtId="0" fontId="14" fillId="0" borderId="270" xfId="0" applyFont="1" applyBorder="1" applyAlignment="1">
      <alignment horizontal="center" vertical="center" wrapText="1"/>
    </xf>
    <xf numFmtId="0" fontId="52" fillId="0" borderId="258" xfId="0" applyFont="1" applyBorder="1" applyAlignment="1">
      <alignment horizontal="center" wrapText="1"/>
    </xf>
    <xf numFmtId="0" fontId="48" fillId="0" borderId="11" xfId="0" applyFont="1" applyBorder="1" applyAlignment="1">
      <alignment horizontal="center" wrapText="1"/>
    </xf>
    <xf numFmtId="4" fontId="13" fillId="0" borderId="270" xfId="0" applyNumberFormat="1" applyFont="1" applyBorder="1" applyAlignment="1">
      <alignment horizontal="center" vertical="center"/>
    </xf>
    <xf numFmtId="0" fontId="18" fillId="29" borderId="270" xfId="0" applyFont="1" applyFill="1" applyBorder="1" applyAlignment="1">
      <alignment horizontal="center"/>
    </xf>
    <xf numFmtId="0" fontId="0" fillId="0" borderId="270" xfId="0" applyBorder="1" applyAlignment="1">
      <alignment horizontal="center"/>
    </xf>
    <xf numFmtId="2" fontId="13" fillId="0" borderId="270" xfId="0" applyNumberFormat="1" applyFont="1" applyBorder="1" applyAlignment="1">
      <alignment horizontal="center" vertical="center"/>
    </xf>
    <xf numFmtId="2" fontId="9" fillId="0" borderId="270" xfId="0" applyNumberFormat="1" applyFont="1" applyBorder="1" applyAlignment="1">
      <alignment horizontal="center" vertical="center"/>
    </xf>
    <xf numFmtId="0" fontId="14" fillId="0" borderId="258" xfId="0" applyFont="1" applyBorder="1" applyAlignment="1">
      <alignment horizontal="center" vertical="center" wrapText="1"/>
    </xf>
    <xf numFmtId="0" fontId="18" fillId="0" borderId="258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3" fillId="0" borderId="273" xfId="0" applyFont="1" applyBorder="1" applyAlignment="1">
      <alignment horizontal="center" vertical="center"/>
    </xf>
    <xf numFmtId="0" fontId="13" fillId="0" borderId="274" xfId="0" applyFont="1" applyBorder="1" applyAlignment="1">
      <alignment horizontal="center" vertical="center"/>
    </xf>
    <xf numFmtId="0" fontId="13" fillId="0" borderId="275" xfId="0" applyFont="1" applyBorder="1" applyAlignment="1">
      <alignment horizontal="center" vertical="center"/>
    </xf>
    <xf numFmtId="0" fontId="52" fillId="0" borderId="270" xfId="0" applyFont="1" applyBorder="1" applyAlignment="1">
      <alignment horizontal="center" wrapText="1"/>
    </xf>
    <xf numFmtId="0" fontId="52" fillId="0" borderId="258" xfId="0" applyFont="1" applyBorder="1" applyAlignment="1">
      <alignment horizontal="center" vertical="center" wrapText="1"/>
    </xf>
    <xf numFmtId="0" fontId="18" fillId="43" borderId="273" xfId="0" applyFont="1" applyFill="1" applyBorder="1" applyAlignment="1">
      <alignment horizontal="center"/>
    </xf>
    <xf numFmtId="0" fontId="18" fillId="43" borderId="274" xfId="0" applyFont="1" applyFill="1" applyBorder="1" applyAlignment="1">
      <alignment horizontal="center"/>
    </xf>
    <xf numFmtId="0" fontId="18" fillId="43" borderId="275" xfId="0" applyFont="1" applyFill="1" applyBorder="1" applyAlignment="1">
      <alignment horizontal="center"/>
    </xf>
    <xf numFmtId="4" fontId="14" fillId="43" borderId="258" xfId="0" applyNumberFormat="1" applyFont="1" applyFill="1" applyBorder="1" applyAlignment="1">
      <alignment horizontal="center" vertical="center"/>
    </xf>
    <xf numFmtId="4" fontId="14" fillId="0" borderId="258" xfId="0" applyNumberFormat="1" applyFont="1" applyBorder="1" applyAlignment="1">
      <alignment horizontal="center" vertical="center"/>
    </xf>
    <xf numFmtId="0" fontId="18" fillId="0" borderId="273" xfId="0" applyFont="1" applyBorder="1" applyAlignment="1">
      <alignment horizontal="center"/>
    </xf>
    <xf numFmtId="0" fontId="18" fillId="0" borderId="274" xfId="0" applyFont="1" applyBorder="1" applyAlignment="1">
      <alignment horizontal="center"/>
    </xf>
    <xf numFmtId="0" fontId="18" fillId="0" borderId="275" xfId="0" applyFont="1" applyBorder="1" applyAlignment="1">
      <alignment horizontal="center"/>
    </xf>
    <xf numFmtId="0" fontId="14" fillId="0" borderId="270" xfId="0" applyFont="1" applyBorder="1" applyAlignment="1">
      <alignment horizontal="center"/>
    </xf>
    <xf numFmtId="0" fontId="18" fillId="0" borderId="258" xfId="0" applyFont="1" applyBorder="1" applyAlignment="1">
      <alignment horizontal="center"/>
    </xf>
    <xf numFmtId="0" fontId="14" fillId="0" borderId="270" xfId="0" applyFont="1" applyBorder="1" applyAlignment="1"/>
    <xf numFmtId="0" fontId="0" fillId="0" borderId="270" xfId="0" applyBorder="1" applyAlignment="1"/>
    <xf numFmtId="0" fontId="9" fillId="0" borderId="270" xfId="0" applyFont="1" applyBorder="1" applyAlignment="1">
      <alignment horizontal="center" vertical="center"/>
    </xf>
    <xf numFmtId="0" fontId="61" fillId="0" borderId="0" xfId="0" applyFont="1" applyAlignment="1">
      <alignment horizontal="center" wrapText="1"/>
    </xf>
    <xf numFmtId="0" fontId="14" fillId="0" borderId="0" xfId="0" applyFont="1" applyAlignment="1">
      <alignment vertical="top" wrapText="1"/>
    </xf>
    <xf numFmtId="0" fontId="118" fillId="0" borderId="0" xfId="0" applyFont="1" applyAlignment="1">
      <alignment wrapText="1"/>
    </xf>
    <xf numFmtId="0" fontId="14" fillId="0" borderId="0" xfId="0" applyFont="1" applyAlignment="1">
      <alignment horizontal="justify" vertical="top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wrapText="1"/>
    </xf>
    <xf numFmtId="0" fontId="14" fillId="0" borderId="0" xfId="0" applyFont="1" applyAlignment="1">
      <alignment horizontal="justify" wrapText="1"/>
    </xf>
    <xf numFmtId="0" fontId="14" fillId="0" borderId="0" xfId="0" applyFont="1" applyAlignment="1">
      <alignment wrapText="1"/>
    </xf>
    <xf numFmtId="0" fontId="14" fillId="0" borderId="0" xfId="0" applyFont="1" applyAlignment="1"/>
    <xf numFmtId="0" fontId="14" fillId="0" borderId="257" xfId="0" applyFont="1" applyBorder="1" applyAlignment="1">
      <alignment horizontal="center" vertical="center"/>
    </xf>
    <xf numFmtId="0" fontId="14" fillId="0" borderId="257" xfId="0" applyFont="1" applyBorder="1" applyAlignment="1">
      <alignment horizontal="center" vertical="center" wrapText="1"/>
    </xf>
    <xf numFmtId="0" fontId="14" fillId="0" borderId="257" xfId="0" applyFont="1" applyBorder="1" applyAlignment="1"/>
    <xf numFmtId="0" fontId="14" fillId="0" borderId="257" xfId="0" applyFont="1" applyBorder="1" applyAlignment="1">
      <alignment horizontal="center"/>
    </xf>
    <xf numFmtId="0" fontId="14" fillId="0" borderId="257" xfId="0" applyFont="1" applyBorder="1" applyAlignment="1">
      <alignment horizontal="center" wrapText="1"/>
    </xf>
    <xf numFmtId="0" fontId="172" fillId="0" borderId="0" xfId="77" applyFont="1" applyAlignment="1">
      <alignment horizontal="center"/>
    </xf>
    <xf numFmtId="0" fontId="119" fillId="0" borderId="0" xfId="0" applyFont="1" applyAlignment="1"/>
    <xf numFmtId="0" fontId="173" fillId="29" borderId="36" xfId="77" applyFont="1" applyFill="1" applyBorder="1" applyAlignment="1">
      <alignment horizontal="left" vertical="center"/>
    </xf>
    <xf numFmtId="0" fontId="119" fillId="0" borderId="36" xfId="0" applyFont="1" applyBorder="1" applyAlignment="1"/>
    <xf numFmtId="0" fontId="174" fillId="38" borderId="258" xfId="77" applyFont="1" applyFill="1" applyBorder="1" applyAlignment="1">
      <alignment horizontal="center"/>
    </xf>
    <xf numFmtId="0" fontId="174" fillId="38" borderId="11" xfId="77" applyFont="1" applyFill="1" applyBorder="1" applyAlignment="1">
      <alignment horizontal="center"/>
    </xf>
    <xf numFmtId="0" fontId="174" fillId="38" borderId="209" xfId="77" applyFont="1" applyFill="1" applyBorder="1" applyAlignment="1">
      <alignment horizontal="center" wrapText="1"/>
    </xf>
    <xf numFmtId="0" fontId="175" fillId="0" borderId="260" xfId="77" applyFont="1" applyBorder="1" applyAlignment="1">
      <alignment horizontal="center" wrapText="1"/>
    </xf>
    <xf numFmtId="0" fontId="174" fillId="38" borderId="258" xfId="77" applyFont="1" applyFill="1" applyBorder="1" applyAlignment="1">
      <alignment horizontal="center" wrapText="1"/>
    </xf>
    <xf numFmtId="0" fontId="174" fillId="38" borderId="11" xfId="77" applyFont="1" applyFill="1" applyBorder="1" applyAlignment="1">
      <alignment horizontal="center" wrapText="1"/>
    </xf>
    <xf numFmtId="0" fontId="175" fillId="0" borderId="210" xfId="77" applyFont="1" applyBorder="1" applyAlignment="1">
      <alignment horizontal="center" wrapText="1"/>
    </xf>
    <xf numFmtId="0" fontId="119" fillId="0" borderId="260" xfId="0" applyFont="1" applyBorder="1" applyAlignment="1">
      <alignment horizontal="center" wrapText="1"/>
    </xf>
    <xf numFmtId="0" fontId="18" fillId="29" borderId="209" xfId="0" applyFont="1" applyFill="1" applyBorder="1" applyAlignment="1">
      <alignment horizontal="center"/>
    </xf>
    <xf numFmtId="0" fontId="18" fillId="29" borderId="210" xfId="0" applyFont="1" applyFill="1" applyBorder="1" applyAlignment="1">
      <alignment horizontal="center"/>
    </xf>
    <xf numFmtId="0" fontId="18" fillId="29" borderId="260" xfId="0" applyFont="1" applyFill="1" applyBorder="1" applyAlignment="1">
      <alignment horizontal="center"/>
    </xf>
    <xf numFmtId="4" fontId="13" fillId="0" borderId="258" xfId="0" applyNumberFormat="1" applyFont="1" applyBorder="1" applyAlignment="1">
      <alignment horizontal="center" vertical="center"/>
    </xf>
    <xf numFmtId="4" fontId="13" fillId="0" borderId="61" xfId="0" applyNumberFormat="1" applyFont="1" applyBorder="1" applyAlignment="1">
      <alignment horizontal="center" vertical="center"/>
    </xf>
    <xf numFmtId="4" fontId="13" fillId="0" borderId="11" xfId="0" applyNumberFormat="1" applyFont="1" applyBorder="1" applyAlignment="1">
      <alignment horizontal="center" vertical="center"/>
    </xf>
    <xf numFmtId="0" fontId="18" fillId="43" borderId="260" xfId="0" applyFont="1" applyFill="1" applyBorder="1" applyAlignment="1">
      <alignment horizontal="center"/>
    </xf>
    <xf numFmtId="0" fontId="13" fillId="0" borderId="209" xfId="0" applyFont="1" applyBorder="1" applyAlignment="1">
      <alignment horizontal="center" vertical="center"/>
    </xf>
    <xf numFmtId="0" fontId="13" fillId="0" borderId="210" xfId="0" applyFont="1" applyBorder="1" applyAlignment="1">
      <alignment horizontal="center" vertical="center"/>
    </xf>
    <xf numFmtId="0" fontId="13" fillId="0" borderId="260" xfId="0" applyFont="1" applyBorder="1" applyAlignment="1">
      <alignment horizontal="center" vertical="center"/>
    </xf>
    <xf numFmtId="0" fontId="52" fillId="0" borderId="257" xfId="0" applyFont="1" applyBorder="1" applyAlignment="1">
      <alignment horizontal="center" wrapText="1"/>
    </xf>
    <xf numFmtId="0" fontId="18" fillId="0" borderId="260" xfId="0" applyFont="1" applyBorder="1" applyAlignment="1">
      <alignment horizontal="center"/>
    </xf>
    <xf numFmtId="0" fontId="52" fillId="0" borderId="0" xfId="0" applyFont="1" applyAlignment="1">
      <alignment horizontal="center" wrapText="1"/>
    </xf>
    <xf numFmtId="0" fontId="14" fillId="38" borderId="194" xfId="0" applyFont="1" applyFill="1" applyBorder="1" applyAlignment="1">
      <alignment horizontal="center" vertical="center"/>
    </xf>
    <xf numFmtId="0" fontId="82" fillId="38" borderId="192" xfId="0" applyFont="1" applyFill="1" applyBorder="1" applyAlignment="1">
      <alignment horizontal="center" vertical="center"/>
    </xf>
    <xf numFmtId="4" fontId="82" fillId="38" borderId="192" xfId="0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right"/>
    </xf>
    <xf numFmtId="0" fontId="107" fillId="0" borderId="200" xfId="147" applyFont="1" applyBorder="1" applyAlignment="1">
      <alignment horizontal="center" vertical="center" wrapText="1"/>
    </xf>
    <xf numFmtId="0" fontId="107" fillId="0" borderId="201" xfId="147" applyFont="1" applyBorder="1" applyAlignment="1">
      <alignment horizontal="center" vertical="center" wrapText="1"/>
    </xf>
    <xf numFmtId="0" fontId="107" fillId="0" borderId="198" xfId="147" applyFont="1" applyBorder="1" applyAlignment="1">
      <alignment horizontal="center" vertical="center" wrapText="1"/>
    </xf>
    <xf numFmtId="0" fontId="14" fillId="38" borderId="252" xfId="0" applyFont="1" applyFill="1" applyBorder="1" applyAlignment="1">
      <alignment horizontal="center"/>
    </xf>
    <xf numFmtId="0" fontId="14" fillId="38" borderId="248" xfId="0" applyFont="1" applyFill="1" applyBorder="1" applyAlignment="1">
      <alignment horizontal="center"/>
    </xf>
    <xf numFmtId="0" fontId="14" fillId="38" borderId="234" xfId="0" applyFont="1" applyFill="1" applyBorder="1" applyAlignment="1">
      <alignment horizontal="center"/>
    </xf>
    <xf numFmtId="0" fontId="14" fillId="38" borderId="236" xfId="0" applyFont="1" applyFill="1" applyBorder="1" applyAlignment="1">
      <alignment horizontal="center"/>
    </xf>
    <xf numFmtId="0" fontId="14" fillId="38" borderId="213" xfId="0" applyFont="1" applyFill="1" applyBorder="1" applyAlignment="1">
      <alignment horizontal="center"/>
    </xf>
    <xf numFmtId="0" fontId="14" fillId="38" borderId="225" xfId="0" applyFont="1" applyFill="1" applyBorder="1" applyAlignment="1">
      <alignment horizontal="center"/>
    </xf>
    <xf numFmtId="0" fontId="14" fillId="38" borderId="215" xfId="0" applyFont="1" applyFill="1" applyBorder="1" applyAlignment="1">
      <alignment horizontal="center"/>
    </xf>
    <xf numFmtId="0" fontId="14" fillId="38" borderId="233" xfId="0" applyFont="1" applyFill="1" applyBorder="1" applyAlignment="1">
      <alignment horizontal="center"/>
    </xf>
    <xf numFmtId="0" fontId="14" fillId="38" borderId="220" xfId="0" applyFont="1" applyFill="1" applyBorder="1" applyAlignment="1">
      <alignment horizontal="center"/>
    </xf>
    <xf numFmtId="0" fontId="14" fillId="38" borderId="194" xfId="0" applyFont="1" applyFill="1" applyBorder="1" applyAlignment="1">
      <alignment horizontal="center"/>
    </xf>
    <xf numFmtId="0" fontId="14" fillId="38" borderId="221" xfId="0" applyFont="1" applyFill="1" applyBorder="1" applyAlignment="1">
      <alignment horizontal="center"/>
    </xf>
    <xf numFmtId="0" fontId="158" fillId="0" borderId="267" xfId="0" applyNumberFormat="1" applyFont="1" applyBorder="1" applyAlignment="1">
      <alignment vertical="top" wrapText="1" indent="2"/>
    </xf>
    <xf numFmtId="185" fontId="158" fillId="0" borderId="267" xfId="0" applyNumberFormat="1" applyFont="1" applyBorder="1" applyAlignment="1">
      <alignment horizontal="right" vertical="top" wrapText="1"/>
    </xf>
    <xf numFmtId="0" fontId="161" fillId="54" borderId="264" xfId="0" applyNumberFormat="1" applyFont="1" applyFill="1" applyBorder="1" applyAlignment="1">
      <alignment vertical="top"/>
    </xf>
    <xf numFmtId="185" fontId="161" fillId="54" borderId="264" xfId="0" applyNumberFormat="1" applyFont="1" applyFill="1" applyBorder="1" applyAlignment="1">
      <alignment horizontal="righ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vertical="top" wrapText="1" indent="2"/>
    </xf>
    <xf numFmtId="185" fontId="158" fillId="37" borderId="267" xfId="0" applyNumberFormat="1" applyFont="1" applyFill="1" applyBorder="1" applyAlignment="1">
      <alignment horizontal="right" vertical="top" wrapText="1"/>
    </xf>
    <xf numFmtId="0" fontId="156" fillId="54" borderId="267" xfId="0" applyNumberFormat="1" applyFont="1" applyFill="1" applyBorder="1" applyAlignment="1">
      <alignment vertical="top" wrapText="1"/>
    </xf>
    <xf numFmtId="185" fontId="156" fillId="54" borderId="267" xfId="0" applyNumberFormat="1" applyFont="1" applyFill="1" applyBorder="1" applyAlignment="1">
      <alignment horizontal="right" vertical="top" wrapText="1"/>
    </xf>
    <xf numFmtId="0" fontId="158" fillId="46" borderId="267" xfId="0" applyNumberFormat="1" applyFont="1" applyFill="1" applyBorder="1" applyAlignment="1">
      <alignment vertical="top" wrapText="1" indent="2"/>
    </xf>
    <xf numFmtId="185" fontId="158" fillId="46" borderId="267" xfId="0" applyNumberFormat="1" applyFont="1" applyFill="1" applyBorder="1" applyAlignment="1">
      <alignment horizontal="right" vertical="top" wrapText="1"/>
    </xf>
    <xf numFmtId="0" fontId="158" fillId="34" borderId="267" xfId="0" applyNumberFormat="1" applyFont="1" applyFill="1" applyBorder="1" applyAlignment="1">
      <alignment vertical="top" wrapText="1" indent="2"/>
    </xf>
    <xf numFmtId="0" fontId="158" fillId="55" borderId="267" xfId="0" applyNumberFormat="1" applyFont="1" applyFill="1" applyBorder="1" applyAlignment="1">
      <alignment vertical="top" wrapText="1" indent="2"/>
    </xf>
    <xf numFmtId="185" fontId="158" fillId="55" borderId="267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156" fillId="53" borderId="264" xfId="0" applyNumberFormat="1" applyFont="1" applyFill="1" applyBorder="1" applyAlignment="1">
      <alignment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0" fontId="155" fillId="0" borderId="0" xfId="0" applyNumberFormat="1" applyFont="1" applyAlignment="1">
      <alignment wrapText="1"/>
    </xf>
    <xf numFmtId="0" fontId="21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4" fillId="0" borderId="0" xfId="0" applyFont="1" applyAlignment="1">
      <alignment horizontal="left" vertical="center"/>
    </xf>
    <xf numFmtId="0" fontId="14" fillId="0" borderId="192" xfId="0" applyFont="1" applyBorder="1" applyAlignment="1">
      <alignment horizontal="center" vertical="center" wrapText="1"/>
    </xf>
    <xf numFmtId="0" fontId="14" fillId="0" borderId="192" xfId="0" applyFont="1" applyBorder="1" applyAlignment="1">
      <alignment horizontal="center"/>
    </xf>
    <xf numFmtId="0" fontId="14" fillId="0" borderId="192" xfId="0" applyFont="1" applyBorder="1" applyAlignment="1">
      <alignment horizontal="center" wrapText="1"/>
    </xf>
    <xf numFmtId="0" fontId="14" fillId="36" borderId="193" xfId="0" applyFont="1" applyFill="1" applyBorder="1" applyAlignment="1">
      <alignment horizontal="center"/>
    </xf>
    <xf numFmtId="0" fontId="14" fillId="36" borderId="194" xfId="0" applyFont="1" applyFill="1" applyBorder="1" applyAlignment="1">
      <alignment horizontal="center"/>
    </xf>
    <xf numFmtId="4" fontId="14" fillId="42" borderId="193" xfId="0" applyNumberFormat="1" applyFont="1" applyFill="1" applyBorder="1" applyAlignment="1">
      <alignment horizontal="center" vertical="center"/>
    </xf>
    <xf numFmtId="4" fontId="14" fillId="42" borderId="199" xfId="0" applyNumberFormat="1" applyFont="1" applyFill="1" applyBorder="1" applyAlignment="1">
      <alignment horizontal="center" vertical="center"/>
    </xf>
    <xf numFmtId="4" fontId="14" fillId="42" borderId="192" xfId="0" applyNumberFormat="1" applyFont="1" applyFill="1" applyBorder="1" applyAlignment="1">
      <alignment horizontal="center" vertical="center"/>
    </xf>
    <xf numFmtId="0" fontId="14" fillId="38" borderId="199" xfId="0" applyFont="1" applyFill="1" applyBorder="1" applyAlignment="1">
      <alignment horizontal="center"/>
    </xf>
    <xf numFmtId="0" fontId="14" fillId="38" borderId="192" xfId="0" applyFont="1" applyFill="1" applyBorder="1" applyAlignment="1">
      <alignment vertical="center"/>
    </xf>
    <xf numFmtId="0" fontId="14" fillId="37" borderId="214" xfId="0" applyFont="1" applyFill="1" applyBorder="1" applyAlignment="1">
      <alignment horizontal="left" vertical="center"/>
    </xf>
    <xf numFmtId="0" fontId="14" fillId="37" borderId="216" xfId="0" applyFont="1" applyFill="1" applyBorder="1" applyAlignment="1">
      <alignment horizontal="left" vertical="center"/>
    </xf>
    <xf numFmtId="0" fontId="14" fillId="37" borderId="205" xfId="0" applyFont="1" applyFill="1" applyBorder="1" applyAlignment="1">
      <alignment horizontal="center"/>
    </xf>
    <xf numFmtId="0" fontId="14" fillId="38" borderId="192" xfId="0" applyFont="1" applyFill="1" applyBorder="1" applyAlignment="1">
      <alignment horizontal="left" vertical="center" wrapText="1"/>
    </xf>
    <xf numFmtId="0" fontId="13" fillId="38" borderId="207" xfId="0" applyFont="1" applyFill="1" applyBorder="1" applyAlignment="1">
      <alignment horizontal="center" vertical="center" wrapText="1"/>
    </xf>
    <xf numFmtId="0" fontId="13" fillId="38" borderId="206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horizontal="center"/>
    </xf>
    <xf numFmtId="0" fontId="13" fillId="38" borderId="193" xfId="0" applyFont="1" applyFill="1" applyBorder="1" applyAlignment="1">
      <alignment horizontal="center"/>
    </xf>
    <xf numFmtId="0" fontId="13" fillId="38" borderId="199" xfId="0" applyFont="1" applyFill="1" applyBorder="1" applyAlignment="1">
      <alignment horizontal="center"/>
    </xf>
    <xf numFmtId="0" fontId="13" fillId="38" borderId="194" xfId="0" applyFont="1" applyFill="1" applyBorder="1" applyAlignment="1">
      <alignment horizontal="center"/>
    </xf>
    <xf numFmtId="0" fontId="14" fillId="38" borderId="205" xfId="0" applyFont="1" applyFill="1" applyBorder="1" applyAlignment="1">
      <alignment horizontal="center"/>
    </xf>
    <xf numFmtId="0" fontId="14" fillId="38" borderId="206" xfId="0" applyFont="1" applyFill="1" applyBorder="1" applyAlignment="1">
      <alignment horizontal="center"/>
    </xf>
    <xf numFmtId="0" fontId="82" fillId="0" borderId="0" xfId="0" applyFont="1" applyAlignment="1">
      <alignment horizontal="center"/>
    </xf>
    <xf numFmtId="0" fontId="14" fillId="38" borderId="217" xfId="0" applyFont="1" applyFill="1" applyBorder="1" applyAlignment="1">
      <alignment horizontal="center"/>
    </xf>
    <xf numFmtId="0" fontId="14" fillId="38" borderId="218" xfId="0" applyFont="1" applyFill="1" applyBorder="1" applyAlignment="1">
      <alignment horizontal="center"/>
    </xf>
    <xf numFmtId="0" fontId="14" fillId="38" borderId="219" xfId="0" applyFont="1" applyFill="1" applyBorder="1" applyAlignment="1">
      <alignment horizontal="center"/>
    </xf>
    <xf numFmtId="0" fontId="14" fillId="38" borderId="208" xfId="0" applyFont="1" applyFill="1" applyBorder="1" applyAlignment="1">
      <alignment horizontal="center"/>
    </xf>
    <xf numFmtId="0" fontId="14" fillId="38" borderId="216" xfId="0" applyFont="1" applyFill="1" applyBorder="1" applyAlignment="1">
      <alignment horizontal="center"/>
    </xf>
    <xf numFmtId="2" fontId="13" fillId="37" borderId="192" xfId="0" applyNumberFormat="1" applyFont="1" applyFill="1" applyBorder="1" applyAlignment="1">
      <alignment horizontal="center" vertical="center"/>
    </xf>
    <xf numFmtId="2" fontId="14" fillId="37" borderId="192" xfId="0" applyNumberFormat="1" applyFont="1" applyFill="1" applyBorder="1" applyAlignment="1">
      <alignment horizontal="center" vertical="center" wrapText="1"/>
    </xf>
    <xf numFmtId="0" fontId="13" fillId="37" borderId="192" xfId="0" applyFont="1" applyFill="1" applyBorder="1" applyAlignment="1">
      <alignment horizontal="center" vertical="center"/>
    </xf>
    <xf numFmtId="2" fontId="13" fillId="37" borderId="192" xfId="0" applyNumberFormat="1" applyFont="1" applyFill="1" applyBorder="1" applyAlignment="1">
      <alignment horizontal="center" vertical="center" wrapText="1"/>
    </xf>
    <xf numFmtId="2" fontId="14" fillId="37" borderId="192" xfId="0" applyNumberFormat="1" applyFont="1" applyFill="1" applyBorder="1" applyAlignment="1">
      <alignment horizontal="center" vertical="center"/>
    </xf>
  </cellXfs>
  <cellStyles count="192">
    <cellStyle name="]_x000d__x000a_Zoomed=1_x000d__x000a_Row=0_x000d__x000a_Column=0_x000d__x000a_Height=0_x000d__x000a_Width=0_x000d__x000a_FontName=FoxFont_x000d__x000a_FontStyle=0_x000d__x000a_FontSize=9_x000d__x000a_PrtFontName=FoxPrin" xfId="97" xr:uid="{00000000-0005-0000-0000-000000000000}"/>
    <cellStyle name="__Металлургический дивизион - формы v1.2" xfId="98" xr:uid="{00000000-0005-0000-0000-000001000000}"/>
    <cellStyle name="__Металлургический дивизион v1.3" xfId="99" xr:uid="{00000000-0005-0000-0000-000002000000}"/>
    <cellStyle name="__Штабквартира - формы v1.1" xfId="100" xr:uid="{00000000-0005-0000-0000-000003000000}"/>
    <cellStyle name="_горн" xfId="101" xr:uid="{00000000-0005-0000-0000-000004000000}"/>
    <cellStyle name="_кокс" xfId="102" xr:uid="{00000000-0005-0000-0000-000005000000}"/>
    <cellStyle name="_Коксоугольный дивизион - формы MR - v2 0" xfId="103" xr:uid="{00000000-0005-0000-0000-000006000000}"/>
    <cellStyle name="_Коксоугольный дивизион - формы MR - v2.0" xfId="104" xr:uid="{00000000-0005-0000-0000-000007000000}"/>
    <cellStyle name="_мет" xfId="105" xr:uid="{00000000-0005-0000-0000-000008000000}"/>
    <cellStyle name="_ШтабКвартира - формы MR - v3.0" xfId="106" xr:uid="{00000000-0005-0000-0000-000009000000}"/>
    <cellStyle name="_ШтабКвартира - формы MR - v5 0" xfId="107" xr:uid="{00000000-0005-0000-0000-00000A000000}"/>
    <cellStyle name="1Normal" xfId="108" xr:uid="{00000000-0005-0000-0000-00000B000000}"/>
    <cellStyle name="20% - Accent1" xfId="1" xr:uid="{00000000-0005-0000-0000-00000C000000}"/>
    <cellStyle name="20% - Accent2" xfId="2" xr:uid="{00000000-0005-0000-0000-00000D000000}"/>
    <cellStyle name="20% - Accent3" xfId="3" xr:uid="{00000000-0005-0000-0000-00000E000000}"/>
    <cellStyle name="20% - Accent4" xfId="4" xr:uid="{00000000-0005-0000-0000-00000F000000}"/>
    <cellStyle name="20% - Accent5" xfId="5" xr:uid="{00000000-0005-0000-0000-000010000000}"/>
    <cellStyle name="20% - Accent6" xfId="6" xr:uid="{00000000-0005-0000-0000-000011000000}"/>
    <cellStyle name="20% - Акцент1 2" xfId="7" xr:uid="{00000000-0005-0000-0000-000012000000}"/>
    <cellStyle name="20% - Акцент2 2" xfId="8" xr:uid="{00000000-0005-0000-0000-000013000000}"/>
    <cellStyle name="20% - Акцент3 2" xfId="9" xr:uid="{00000000-0005-0000-0000-000014000000}"/>
    <cellStyle name="20% - Акцент4 2" xfId="10" xr:uid="{00000000-0005-0000-0000-000015000000}"/>
    <cellStyle name="20% - Акцент5 2" xfId="11" xr:uid="{00000000-0005-0000-0000-000016000000}"/>
    <cellStyle name="20% - Акцент6 2" xfId="12" xr:uid="{00000000-0005-0000-0000-000017000000}"/>
    <cellStyle name="40% - Accent1" xfId="13" xr:uid="{00000000-0005-0000-0000-000018000000}"/>
    <cellStyle name="40% - Accent2" xfId="14" xr:uid="{00000000-0005-0000-0000-000019000000}"/>
    <cellStyle name="40% - Accent3" xfId="15" xr:uid="{00000000-0005-0000-0000-00001A000000}"/>
    <cellStyle name="40% - Accent4" xfId="16" xr:uid="{00000000-0005-0000-0000-00001B000000}"/>
    <cellStyle name="40% - Accent5" xfId="17" xr:uid="{00000000-0005-0000-0000-00001C000000}"/>
    <cellStyle name="40% - Accent6" xfId="18" xr:uid="{00000000-0005-0000-0000-00001D000000}"/>
    <cellStyle name="40% - Акцент1 2" xfId="19" xr:uid="{00000000-0005-0000-0000-00001E000000}"/>
    <cellStyle name="40% - Акцент2 2" xfId="20" xr:uid="{00000000-0005-0000-0000-00001F000000}"/>
    <cellStyle name="40% - Акцент3 2" xfId="21" xr:uid="{00000000-0005-0000-0000-000020000000}"/>
    <cellStyle name="40% - Акцент4 2" xfId="22" xr:uid="{00000000-0005-0000-0000-000021000000}"/>
    <cellStyle name="40% - Акцент5 2" xfId="23" xr:uid="{00000000-0005-0000-0000-000022000000}"/>
    <cellStyle name="40% - Акцент6 2" xfId="24" xr:uid="{00000000-0005-0000-0000-000023000000}"/>
    <cellStyle name="60% - Accent1" xfId="25" xr:uid="{00000000-0005-0000-0000-000024000000}"/>
    <cellStyle name="60% - Accent2" xfId="26" xr:uid="{00000000-0005-0000-0000-000025000000}"/>
    <cellStyle name="60% - Accent3" xfId="27" xr:uid="{00000000-0005-0000-0000-000026000000}"/>
    <cellStyle name="60% - Accent4" xfId="28" xr:uid="{00000000-0005-0000-0000-000027000000}"/>
    <cellStyle name="60% - Accent5" xfId="29" xr:uid="{00000000-0005-0000-0000-000028000000}"/>
    <cellStyle name="60% - Accent6" xfId="30" xr:uid="{00000000-0005-0000-0000-000029000000}"/>
    <cellStyle name="60% - Акцент1 2" xfId="31" xr:uid="{00000000-0005-0000-0000-00002A000000}"/>
    <cellStyle name="60% - Акцент2 2" xfId="32" xr:uid="{00000000-0005-0000-0000-00002B000000}"/>
    <cellStyle name="60% - Акцент3 2" xfId="33" xr:uid="{00000000-0005-0000-0000-00002C000000}"/>
    <cellStyle name="60% - Акцент4 2" xfId="34" xr:uid="{00000000-0005-0000-0000-00002D000000}"/>
    <cellStyle name="60% - Акцент5 2" xfId="35" xr:uid="{00000000-0005-0000-0000-00002E000000}"/>
    <cellStyle name="60% - Акцент6 2" xfId="36" xr:uid="{00000000-0005-0000-0000-00002F000000}"/>
    <cellStyle name="Accent1" xfId="37" xr:uid="{00000000-0005-0000-0000-000030000000}"/>
    <cellStyle name="Accent2" xfId="38" xr:uid="{00000000-0005-0000-0000-000031000000}"/>
    <cellStyle name="Accent3" xfId="39" xr:uid="{00000000-0005-0000-0000-000032000000}"/>
    <cellStyle name="Accent4" xfId="40" xr:uid="{00000000-0005-0000-0000-000033000000}"/>
    <cellStyle name="Accent5" xfId="41" xr:uid="{00000000-0005-0000-0000-000034000000}"/>
    <cellStyle name="Accent6" xfId="42" xr:uid="{00000000-0005-0000-0000-000035000000}"/>
    <cellStyle name="Bad" xfId="43" xr:uid="{00000000-0005-0000-0000-000036000000}"/>
    <cellStyle name="Calculation" xfId="44" xr:uid="{00000000-0005-0000-0000-000037000000}"/>
    <cellStyle name="Calculation 2" xfId="165" xr:uid="{00000000-0005-0000-0000-000038000000}"/>
    <cellStyle name="Calculation 2 2" xfId="178" xr:uid="{00000000-0005-0000-0000-000039000000}"/>
    <cellStyle name="Calculation 3" xfId="152" xr:uid="{00000000-0005-0000-0000-00003A000000}"/>
    <cellStyle name="Check Cell" xfId="45" xr:uid="{00000000-0005-0000-0000-00003B000000}"/>
    <cellStyle name="Excel Built-in Normal 2" xfId="189" xr:uid="{00000000-0005-0000-0000-00003C000000}"/>
    <cellStyle name="Explanatory Text" xfId="46" xr:uid="{00000000-0005-0000-0000-00003D000000}"/>
    <cellStyle name="Good" xfId="47" xr:uid="{00000000-0005-0000-0000-00003E000000}"/>
    <cellStyle name="Heading 1" xfId="48" xr:uid="{00000000-0005-0000-0000-00003F000000}"/>
    <cellStyle name="Heading 2" xfId="49" xr:uid="{00000000-0005-0000-0000-000040000000}"/>
    <cellStyle name="Heading 3" xfId="50" xr:uid="{00000000-0005-0000-0000-000041000000}"/>
    <cellStyle name="Heading 4" xfId="51" xr:uid="{00000000-0005-0000-0000-000042000000}"/>
    <cellStyle name="Hyperlink1" xfId="109" xr:uid="{00000000-0005-0000-0000-000043000000}"/>
    <cellStyle name="Hyperlink2" xfId="110" xr:uid="{00000000-0005-0000-0000-000044000000}"/>
    <cellStyle name="Hyperlink3" xfId="111" xr:uid="{00000000-0005-0000-0000-000045000000}"/>
    <cellStyle name="Input" xfId="52" xr:uid="{00000000-0005-0000-0000-000046000000}"/>
    <cellStyle name="Input 2" xfId="166" xr:uid="{00000000-0005-0000-0000-000047000000}"/>
    <cellStyle name="Input 2 2" xfId="179" xr:uid="{00000000-0005-0000-0000-000048000000}"/>
    <cellStyle name="Input 3" xfId="153" xr:uid="{00000000-0005-0000-0000-000049000000}"/>
    <cellStyle name="Linked Cell" xfId="53" xr:uid="{00000000-0005-0000-0000-00004A000000}"/>
    <cellStyle name="Millares [0]_CARAT SAPIC" xfId="112" xr:uid="{00000000-0005-0000-0000-00004B000000}"/>
    <cellStyle name="Millares_CARAT SAPIC" xfId="113" xr:uid="{00000000-0005-0000-0000-00004C000000}"/>
    <cellStyle name="Moneda [0]_CARAT SAPIC" xfId="114" xr:uid="{00000000-0005-0000-0000-00004D000000}"/>
    <cellStyle name="Moneda_CARAT SAPIC" xfId="115" xr:uid="{00000000-0005-0000-0000-00004E000000}"/>
    <cellStyle name="Neutral" xfId="54" xr:uid="{00000000-0005-0000-0000-00004F000000}"/>
    <cellStyle name="Norma11l" xfId="116" xr:uid="{00000000-0005-0000-0000-000050000000}"/>
    <cellStyle name="Normal 2" xfId="117" xr:uid="{00000000-0005-0000-0000-000051000000}"/>
    <cellStyle name="Normal 2 2" xfId="118" xr:uid="{00000000-0005-0000-0000-000052000000}"/>
    <cellStyle name="Normal 2_БВП" xfId="119" xr:uid="{00000000-0005-0000-0000-000053000000}"/>
    <cellStyle name="Normal 3" xfId="120" xr:uid="{00000000-0005-0000-0000-000054000000}"/>
    <cellStyle name="Normal_Bankruptcy indicators" xfId="121" xr:uid="{00000000-0005-0000-0000-000055000000}"/>
    <cellStyle name="Note" xfId="55" xr:uid="{00000000-0005-0000-0000-000056000000}"/>
    <cellStyle name="Note 2" xfId="167" xr:uid="{00000000-0005-0000-0000-000057000000}"/>
    <cellStyle name="Note 2 2" xfId="180" xr:uid="{00000000-0005-0000-0000-000058000000}"/>
    <cellStyle name="Note 3" xfId="154" xr:uid="{00000000-0005-0000-0000-000059000000}"/>
    <cellStyle name="Output" xfId="56" xr:uid="{00000000-0005-0000-0000-00005A000000}"/>
    <cellStyle name="Output 2" xfId="168" xr:uid="{00000000-0005-0000-0000-00005B000000}"/>
    <cellStyle name="Output 2 2" xfId="181" xr:uid="{00000000-0005-0000-0000-00005C000000}"/>
    <cellStyle name="Output 3" xfId="155" xr:uid="{00000000-0005-0000-0000-00005D000000}"/>
    <cellStyle name="Porcentual_PROVBRID (2)" xfId="122" xr:uid="{00000000-0005-0000-0000-00005E000000}"/>
    <cellStyle name="Style 1" xfId="123" xr:uid="{00000000-0005-0000-0000-00005F000000}"/>
    <cellStyle name="Title" xfId="57" xr:uid="{00000000-0005-0000-0000-000060000000}"/>
    <cellStyle name="Total" xfId="58" xr:uid="{00000000-0005-0000-0000-000061000000}"/>
    <cellStyle name="Total 2" xfId="169" xr:uid="{00000000-0005-0000-0000-000062000000}"/>
    <cellStyle name="Total 2 2" xfId="182" xr:uid="{00000000-0005-0000-0000-000063000000}"/>
    <cellStyle name="Total 3" xfId="156" xr:uid="{00000000-0005-0000-0000-000064000000}"/>
    <cellStyle name="Warning Text" xfId="59" xr:uid="{00000000-0005-0000-0000-000065000000}"/>
    <cellStyle name="Акцент1 2" xfId="60" xr:uid="{00000000-0005-0000-0000-000066000000}"/>
    <cellStyle name="Акцент2 2" xfId="61" xr:uid="{00000000-0005-0000-0000-000067000000}"/>
    <cellStyle name="Акцент3 2" xfId="62" xr:uid="{00000000-0005-0000-0000-000068000000}"/>
    <cellStyle name="Акцент4 2" xfId="63" xr:uid="{00000000-0005-0000-0000-000069000000}"/>
    <cellStyle name="Акцент5 2" xfId="64" xr:uid="{00000000-0005-0000-0000-00006A000000}"/>
    <cellStyle name="Акцент6 2" xfId="65" xr:uid="{00000000-0005-0000-0000-00006B000000}"/>
    <cellStyle name="Ввод  2" xfId="66" xr:uid="{00000000-0005-0000-0000-00006C000000}"/>
    <cellStyle name="Ввод  2 2" xfId="170" xr:uid="{00000000-0005-0000-0000-00006D000000}"/>
    <cellStyle name="Ввод  2 2 2" xfId="183" xr:uid="{00000000-0005-0000-0000-00006E000000}"/>
    <cellStyle name="Ввод  2 3" xfId="157" xr:uid="{00000000-0005-0000-0000-00006F000000}"/>
    <cellStyle name="Вывод 2" xfId="67" xr:uid="{00000000-0005-0000-0000-000070000000}"/>
    <cellStyle name="Вывод 2 2" xfId="171" xr:uid="{00000000-0005-0000-0000-000071000000}"/>
    <cellStyle name="Вывод 2 2 2" xfId="184" xr:uid="{00000000-0005-0000-0000-000072000000}"/>
    <cellStyle name="Вывод 2 3" xfId="158" xr:uid="{00000000-0005-0000-0000-000073000000}"/>
    <cellStyle name="Вычисление 2" xfId="68" xr:uid="{00000000-0005-0000-0000-000074000000}"/>
    <cellStyle name="Вычисление 2 2" xfId="172" xr:uid="{00000000-0005-0000-0000-000075000000}"/>
    <cellStyle name="Вычисление 2 2 2" xfId="185" xr:uid="{00000000-0005-0000-0000-000076000000}"/>
    <cellStyle name="Вычисление 2 3" xfId="159" xr:uid="{00000000-0005-0000-0000-000077000000}"/>
    <cellStyle name="Гиперссылка 4" xfId="124" xr:uid="{00000000-0005-0000-0000-000078000000}"/>
    <cellStyle name="Денежный 2" xfId="125" xr:uid="{00000000-0005-0000-0000-000079000000}"/>
    <cellStyle name="Денежный 2 2" xfId="126" xr:uid="{00000000-0005-0000-0000-00007A000000}"/>
    <cellStyle name="Денежный 3" xfId="127" xr:uid="{00000000-0005-0000-0000-00007B000000}"/>
    <cellStyle name="Заголовок 1 2" xfId="69" xr:uid="{00000000-0005-0000-0000-00007C000000}"/>
    <cellStyle name="Заголовок 2 2" xfId="70" xr:uid="{00000000-0005-0000-0000-00007D000000}"/>
    <cellStyle name="Заголовок 3 2" xfId="71" xr:uid="{00000000-0005-0000-0000-00007E000000}"/>
    <cellStyle name="Заголовок 4 2" xfId="72" xr:uid="{00000000-0005-0000-0000-00007F000000}"/>
    <cellStyle name="Итог 2" xfId="73" xr:uid="{00000000-0005-0000-0000-000080000000}"/>
    <cellStyle name="Итог 2 2" xfId="173" xr:uid="{00000000-0005-0000-0000-000081000000}"/>
    <cellStyle name="Итог 2 2 2" xfId="186" xr:uid="{00000000-0005-0000-0000-000082000000}"/>
    <cellStyle name="Итог 2 3" xfId="160" xr:uid="{00000000-0005-0000-0000-000083000000}"/>
    <cellStyle name="Контрольная ячейка 2" xfId="74" xr:uid="{00000000-0005-0000-0000-000084000000}"/>
    <cellStyle name="Название 2" xfId="75" xr:uid="{00000000-0005-0000-0000-000085000000}"/>
    <cellStyle name="Нейтральный 2" xfId="76" xr:uid="{00000000-0005-0000-0000-000086000000}"/>
    <cellStyle name="Обычный" xfId="0" builtinId="0"/>
    <cellStyle name="Обычный 10 2" xfId="151" xr:uid="{00000000-0005-0000-0000-000088000000}"/>
    <cellStyle name="Обычный 10 2 5" xfId="191" xr:uid="{00000000-0005-0000-0000-000089000000}"/>
    <cellStyle name="Обычный 12" xfId="150" xr:uid="{00000000-0005-0000-0000-00008A000000}"/>
    <cellStyle name="Обычный 16" xfId="128" xr:uid="{00000000-0005-0000-0000-00008B000000}"/>
    <cellStyle name="Обычный 2" xfId="77" xr:uid="{00000000-0005-0000-0000-00008C000000}"/>
    <cellStyle name="Обычный 2 2" xfId="78" xr:uid="{00000000-0005-0000-0000-00008D000000}"/>
    <cellStyle name="Обычный 2 2 2" xfId="129" xr:uid="{00000000-0005-0000-0000-00008E000000}"/>
    <cellStyle name="Обычный 2 2_Светлозерское 2012" xfId="130" xr:uid="{00000000-0005-0000-0000-00008F000000}"/>
    <cellStyle name="Обычный 2 3" xfId="131" xr:uid="{00000000-0005-0000-0000-000090000000}"/>
    <cellStyle name="Обычный 2 3 2" xfId="132" xr:uid="{00000000-0005-0000-0000-000091000000}"/>
    <cellStyle name="Обычный 2_Индексы к протокол 59,61 Вин район" xfId="133" xr:uid="{00000000-0005-0000-0000-000092000000}"/>
    <cellStyle name="Обычный 2_ИП Суслонов В А  - расчетные таблицы к тарифу на 2012 год" xfId="79" xr:uid="{00000000-0005-0000-0000-000093000000}"/>
    <cellStyle name="Обычный 3" xfId="80" xr:uid="{00000000-0005-0000-0000-000094000000}"/>
    <cellStyle name="Обычный 3 2" xfId="134" xr:uid="{00000000-0005-0000-0000-000095000000}"/>
    <cellStyle name="Обычный 3_Индексы к протокол 59,61 Вин район" xfId="135" xr:uid="{00000000-0005-0000-0000-000096000000}"/>
    <cellStyle name="Обычный 4" xfId="96" xr:uid="{00000000-0005-0000-0000-000097000000}"/>
    <cellStyle name="Обычный 5" xfId="136" xr:uid="{00000000-0005-0000-0000-000098000000}"/>
    <cellStyle name="Обычный 6" xfId="137" xr:uid="{00000000-0005-0000-0000-000099000000}"/>
    <cellStyle name="Обычный 7" xfId="138" xr:uid="{00000000-0005-0000-0000-00009A000000}"/>
    <cellStyle name="Обычный 8" xfId="147" xr:uid="{00000000-0005-0000-0000-00009B000000}"/>
    <cellStyle name="Обычный 8 2" xfId="175" xr:uid="{00000000-0005-0000-0000-00009C000000}"/>
    <cellStyle name="Обычный 8 3" xfId="162" xr:uid="{00000000-0005-0000-0000-00009D000000}"/>
    <cellStyle name="Обычный 9" xfId="149" xr:uid="{00000000-0005-0000-0000-00009E000000}"/>
    <cellStyle name="Обычный 9 2" xfId="177" xr:uid="{00000000-0005-0000-0000-00009F000000}"/>
    <cellStyle name="Обычный 9 3" xfId="164" xr:uid="{00000000-0005-0000-0000-0000A0000000}"/>
    <cellStyle name="Обычный_Платежка Котлас 2013-2014" xfId="81" xr:uid="{00000000-0005-0000-0000-0000A1000000}"/>
    <cellStyle name="Плохой 2" xfId="82" xr:uid="{00000000-0005-0000-0000-0000A2000000}"/>
    <cellStyle name="Пояснение 2" xfId="83" xr:uid="{00000000-0005-0000-0000-0000A3000000}"/>
    <cellStyle name="Примечание 2" xfId="84" xr:uid="{00000000-0005-0000-0000-0000A4000000}"/>
    <cellStyle name="Примечание 2 2" xfId="174" xr:uid="{00000000-0005-0000-0000-0000A5000000}"/>
    <cellStyle name="Примечание 2 2 2" xfId="187" xr:uid="{00000000-0005-0000-0000-0000A6000000}"/>
    <cellStyle name="Примечание 2 3" xfId="161" xr:uid="{00000000-0005-0000-0000-0000A7000000}"/>
    <cellStyle name="Процентный" xfId="85" builtinId="5"/>
    <cellStyle name="Процентный 2" xfId="86" xr:uid="{00000000-0005-0000-0000-0000A9000000}"/>
    <cellStyle name="Процентный 2 2" xfId="139" xr:uid="{00000000-0005-0000-0000-0000AA000000}"/>
    <cellStyle name="Процентный 2 2 3" xfId="190" xr:uid="{00000000-0005-0000-0000-0000AB000000}"/>
    <cellStyle name="Процентный 2 3" xfId="140" xr:uid="{00000000-0005-0000-0000-0000AC000000}"/>
    <cellStyle name="Процентный 3" xfId="141" xr:uid="{00000000-0005-0000-0000-0000AD000000}"/>
    <cellStyle name="Процентный 3 2" xfId="142" xr:uid="{00000000-0005-0000-0000-0000AE000000}"/>
    <cellStyle name="Процентный 4" xfId="143" xr:uid="{00000000-0005-0000-0000-0000AF000000}"/>
    <cellStyle name="Процентный 5" xfId="144" xr:uid="{00000000-0005-0000-0000-0000B0000000}"/>
    <cellStyle name="Процентный 6" xfId="148" xr:uid="{00000000-0005-0000-0000-0000B1000000}"/>
    <cellStyle name="Процентный 6 2" xfId="176" xr:uid="{00000000-0005-0000-0000-0000B2000000}"/>
    <cellStyle name="Процентный 6 3" xfId="163" xr:uid="{00000000-0005-0000-0000-0000B3000000}"/>
    <cellStyle name="Связанная ячейка 2" xfId="87" xr:uid="{00000000-0005-0000-0000-0000B4000000}"/>
    <cellStyle name="Текст предупреждения 2" xfId="88" xr:uid="{00000000-0005-0000-0000-0000B5000000}"/>
    <cellStyle name="Тысячи [0]_Chart1 (Sales &amp; Costs)" xfId="145" xr:uid="{00000000-0005-0000-0000-0000B6000000}"/>
    <cellStyle name="Тысячи_Chart1 (Sales &amp; Costs)" xfId="146" xr:uid="{00000000-0005-0000-0000-0000B7000000}"/>
    <cellStyle name="Финансовый" xfId="89" builtinId="3"/>
    <cellStyle name="Финансовый 2" xfId="90" xr:uid="{00000000-0005-0000-0000-0000B9000000}"/>
    <cellStyle name="Финансовый 2 2" xfId="91" xr:uid="{00000000-0005-0000-0000-0000BA000000}"/>
    <cellStyle name="Финансовый 2 3" xfId="188" xr:uid="{00000000-0005-0000-0000-0000BB000000}"/>
    <cellStyle name="Финансовый 2_Тариф для  ООО Управдом-сервис Борки 2014 на коллегию2" xfId="92" xr:uid="{00000000-0005-0000-0000-0000BC000000}"/>
    <cellStyle name="Финансовый 3" xfId="93" xr:uid="{00000000-0005-0000-0000-0000BD000000}"/>
    <cellStyle name="Финансовый 4" xfId="94" xr:uid="{00000000-0005-0000-0000-0000BE000000}"/>
    <cellStyle name="Хороший 2" xfId="95" xr:uid="{00000000-0005-0000-0000-0000BF000000}"/>
  </cellStyles>
  <dxfs count="0"/>
  <tableStyles count="0" defaultTableStyle="TableStyleMedium9" defaultPivotStyle="PivotStyleLight16"/>
  <colors>
    <mruColors>
      <color rgb="FFCCFFCC"/>
      <color rgb="FFFF66FF"/>
      <color rgb="FFCC00FF"/>
      <color rgb="FF66FFFF"/>
      <color rgb="FFFFCCFF"/>
      <color rgb="FFFBFBC5"/>
      <color rgb="FFFFE0C1"/>
      <color rgb="FFFFCC66"/>
      <color rgb="FFCC99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8.xml"/><Relationship Id="rId133" Type="http://schemas.openxmlformats.org/officeDocument/2006/relationships/externalLink" Target="externalLinks/externalLink29.xml"/><Relationship Id="rId138" Type="http://schemas.openxmlformats.org/officeDocument/2006/relationships/externalLink" Target="externalLinks/externalLink34.xml"/><Relationship Id="rId154" Type="http://schemas.openxmlformats.org/officeDocument/2006/relationships/externalLink" Target="externalLinks/externalLink50.xml"/><Relationship Id="rId159" Type="http://schemas.openxmlformats.org/officeDocument/2006/relationships/externalLink" Target="externalLinks/externalLink55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externalLink" Target="externalLinks/externalLink19.xml"/><Relationship Id="rId128" Type="http://schemas.openxmlformats.org/officeDocument/2006/relationships/externalLink" Target="externalLinks/externalLink24.xml"/><Relationship Id="rId144" Type="http://schemas.openxmlformats.org/officeDocument/2006/relationships/externalLink" Target="externalLinks/externalLink40.xml"/><Relationship Id="rId149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56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9.xml"/><Relationship Id="rId118" Type="http://schemas.openxmlformats.org/officeDocument/2006/relationships/externalLink" Target="externalLinks/externalLink14.xml"/><Relationship Id="rId134" Type="http://schemas.openxmlformats.org/officeDocument/2006/relationships/externalLink" Target="externalLinks/externalLink30.xml"/><Relationship Id="rId139" Type="http://schemas.openxmlformats.org/officeDocument/2006/relationships/externalLink" Target="externalLinks/externalLink35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46.xml"/><Relationship Id="rId155" Type="http://schemas.openxmlformats.org/officeDocument/2006/relationships/externalLink" Target="externalLinks/externalLink5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4.xml"/><Relationship Id="rId124" Type="http://schemas.openxmlformats.org/officeDocument/2006/relationships/externalLink" Target="externalLinks/externalLink20.xml"/><Relationship Id="rId129" Type="http://schemas.openxmlformats.org/officeDocument/2006/relationships/externalLink" Target="externalLinks/externalLink25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36.xml"/><Relationship Id="rId145" Type="http://schemas.openxmlformats.org/officeDocument/2006/relationships/externalLink" Target="externalLinks/externalLink41.xml"/><Relationship Id="rId161" Type="http://schemas.openxmlformats.org/officeDocument/2006/relationships/externalLink" Target="externalLinks/externalLink5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2.xml"/><Relationship Id="rId114" Type="http://schemas.openxmlformats.org/officeDocument/2006/relationships/externalLink" Target="externalLinks/externalLink10.xml"/><Relationship Id="rId119" Type="http://schemas.openxmlformats.org/officeDocument/2006/relationships/externalLink" Target="externalLinks/externalLink15.xml"/><Relationship Id="rId127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externalLink" Target="externalLinks/externalLink18.xml"/><Relationship Id="rId130" Type="http://schemas.openxmlformats.org/officeDocument/2006/relationships/externalLink" Target="externalLinks/externalLink26.xml"/><Relationship Id="rId135" Type="http://schemas.openxmlformats.org/officeDocument/2006/relationships/externalLink" Target="externalLinks/externalLink31.xml"/><Relationship Id="rId143" Type="http://schemas.openxmlformats.org/officeDocument/2006/relationships/externalLink" Target="externalLinks/externalLink39.xml"/><Relationship Id="rId148" Type="http://schemas.openxmlformats.org/officeDocument/2006/relationships/externalLink" Target="externalLinks/externalLink44.xml"/><Relationship Id="rId151" Type="http://schemas.openxmlformats.org/officeDocument/2006/relationships/externalLink" Target="externalLinks/externalLink47.xml"/><Relationship Id="rId156" Type="http://schemas.openxmlformats.org/officeDocument/2006/relationships/externalLink" Target="externalLinks/externalLink52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6.xml"/><Relationship Id="rId125" Type="http://schemas.openxmlformats.org/officeDocument/2006/relationships/externalLink" Target="externalLinks/externalLink21.xml"/><Relationship Id="rId141" Type="http://schemas.openxmlformats.org/officeDocument/2006/relationships/externalLink" Target="externalLinks/externalLink37.xml"/><Relationship Id="rId146" Type="http://schemas.openxmlformats.org/officeDocument/2006/relationships/externalLink" Target="externalLinks/externalLink4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6.xml"/><Relationship Id="rId115" Type="http://schemas.openxmlformats.org/officeDocument/2006/relationships/externalLink" Target="externalLinks/externalLink11.xml"/><Relationship Id="rId131" Type="http://schemas.openxmlformats.org/officeDocument/2006/relationships/externalLink" Target="externalLinks/externalLink27.xml"/><Relationship Id="rId136" Type="http://schemas.openxmlformats.org/officeDocument/2006/relationships/externalLink" Target="externalLinks/externalLink32.xml"/><Relationship Id="rId157" Type="http://schemas.openxmlformats.org/officeDocument/2006/relationships/externalLink" Target="externalLinks/externalLink5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4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1.xml"/><Relationship Id="rId126" Type="http://schemas.openxmlformats.org/officeDocument/2006/relationships/externalLink" Target="externalLinks/externalLink22.xml"/><Relationship Id="rId147" Type="http://schemas.openxmlformats.org/officeDocument/2006/relationships/externalLink" Target="externalLinks/externalLink4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17.xml"/><Relationship Id="rId142" Type="http://schemas.openxmlformats.org/officeDocument/2006/relationships/externalLink" Target="externalLinks/externalLink38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12.xml"/><Relationship Id="rId137" Type="http://schemas.openxmlformats.org/officeDocument/2006/relationships/externalLink" Target="externalLinks/externalLink33.xml"/><Relationship Id="rId158" Type="http://schemas.openxmlformats.org/officeDocument/2006/relationships/externalLink" Target="externalLinks/externalLink5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7.xml"/><Relationship Id="rId132" Type="http://schemas.openxmlformats.org/officeDocument/2006/relationships/externalLink" Target="externalLinks/externalLink28.xml"/><Relationship Id="rId153" Type="http://schemas.openxmlformats.org/officeDocument/2006/relationships/externalLink" Target="externalLinks/externalLink4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Users\User\Desktop\&#1055;&#1051;&#1040;&#1053;,%20&#1060;&#1040;&#1050;&#1058;,%20&#1060;&#1061;&#1044;%20&#1042;&#1054;&#1044;&#1040;,%20&#1057;&#1058;&#1054;&#1050;&#1048;%202023%2009.01.2023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0;&#1054;&#1056;&#1056;&#1045;&#1050;&#1058;&#1048;&#1056;&#1054;&#1042;&#1050;&#1040;%20&#1058;&#1040;&#1056;&#1048;&#1060;&#1054;&#1042;%202021%20&#1043;&#1054;&#1044;\&#1055;&#1051;&#1040;&#1053;,%20&#1060;&#1040;&#1050;&#1058;,%20&#1060;&#1061;&#1044;%202019%20&#1089;%20&#1091;&#1095;&#1077;&#1090;&#1086;&#1084;%20&#1085;&#1072;&#1083;&#1086;&#1075;&#1072;%20&#1085;&#1072;%20&#1080;&#1084;&#1091;&#1097;&#1077;&#1089;&#1090;&#1074;&#1086;%20(1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enk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ПО"/>
      <sheetName val="ПО форм"/>
      <sheetName val="Текущий ремонт23"/>
      <sheetName val="Чистая прибыль с транспортир.23"/>
      <sheetName val="Прил.1 ПланФХД с транспортир.23"/>
      <sheetName val="Прил.1 ПланФХД трансп. стоков23"/>
      <sheetName val="Прил. 1 План ФХД трансп. воды23"/>
      <sheetName val="Прил. 1 План ФХД стоки 2023"/>
      <sheetName val="Прил. 1 План ФХД вода 2023 "/>
      <sheetName val="ФАКТИЧЕСКАЯ СЕБЕСТ. СТОКИ 2023"/>
      <sheetName val="ПОЛНАЯ СЕБЕСТОИМОСТЬ СТОКИ 2023"/>
      <sheetName val="ФАКТИЧЕСКАЯ СЕБЕСТ ВОДА 2023"/>
      <sheetName val="ПОЛНАЯ СЕБЕСТОИМОСТЬ ВОДА 2023"/>
      <sheetName val="тв вода"/>
      <sheetName val="тв стоки"/>
      <sheetName val="Цел.Пок 21"/>
      <sheetName val="Объемы по форм2"/>
      <sheetName val="Расчет товарной выручки 2022"/>
      <sheetName val="Объемы ВС и ВО"/>
      <sheetName val="Выручка 2020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выручка 2019"/>
      <sheetName val="А 2020"/>
      <sheetName val="смета ВОДА"/>
      <sheetName val="смета СТОКИ"/>
      <sheetName val="МИ ХВС"/>
      <sheetName val="МИ ТЕХ.ВОДА"/>
      <sheetName val="МИ ВО"/>
      <sheetName val="МИ ВО ОЧИСТКА"/>
      <sheetName val="ХР"/>
      <sheetName val="электр 2017-2018"/>
      <sheetName val="электр"/>
      <sheetName val="вода"/>
      <sheetName val="стоки"/>
      <sheetName val="ЭЭ вода"/>
      <sheetName val="ЭЭ стоки"/>
      <sheetName val="5.1Аморт"/>
      <sheetName val="ЗП среднемес (23)"/>
      <sheetName val="ЗП (23)"/>
      <sheetName val="хим реагенты (23)"/>
      <sheetName val="лизинг"/>
      <sheetName val="рем программа (23)"/>
      <sheetName val="ремонты (23)"/>
      <sheetName val="т э"/>
      <sheetName val="Природный газ, ДОБАВЬ"/>
      <sheetName val="Трансп. КЭМЗ"/>
      <sheetName val="цех вода"/>
      <sheetName val="цех стоки"/>
      <sheetName val="ОХР  (23)"/>
      <sheetName val="Электроэн 2019"/>
      <sheetName val="Бесхоз. сети вода"/>
      <sheetName val="Аренда земли (2)"/>
      <sheetName val="Бесхоз сети вода23"/>
      <sheetName val="Бесхоз. сети стоки"/>
      <sheetName val="Бесхоз сетиВО"/>
      <sheetName val="Расчет числ. бесхоз"/>
      <sheetName val="налоги"/>
      <sheetName val="вод.налог"/>
      <sheetName val="4.2 Налог на имущество"/>
      <sheetName val="ОХР "/>
      <sheetName val="Лист2"/>
      <sheetName val="Аренда земли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ВОС 23"/>
      <sheetName val="рез к 2018-2024 (кор) "/>
      <sheetName val="Сбытовые расходы (дополн.)"/>
      <sheetName val="Налог на прибыль"/>
      <sheetName val="выпадающие расходы"/>
      <sheetName val="Прочие неподконтр. расх"/>
      <sheetName val="Прочие расходы дополнительно"/>
      <sheetName val="рем программа"/>
      <sheetName val="ремонты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9">
          <cell r="CF39">
            <v>6071.3003321958313</v>
          </cell>
        </row>
        <row r="60">
          <cell r="CF60">
            <v>3074.252248491367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9">
          <cell r="C9">
            <v>250.1947480409527</v>
          </cell>
          <cell r="D9">
            <v>1.4722222222222223</v>
          </cell>
          <cell r="F9">
            <v>266.29300000000001</v>
          </cell>
          <cell r="G9">
            <v>0.20250000000000001</v>
          </cell>
          <cell r="L9">
            <v>250.1947480409527</v>
          </cell>
          <cell r="M9">
            <v>1.4722222222222223</v>
          </cell>
          <cell r="O9">
            <v>256.13299999999998</v>
          </cell>
          <cell r="P9">
            <v>0.17299999999999999</v>
          </cell>
          <cell r="U9">
            <v>250.1947480409527</v>
          </cell>
          <cell r="V9">
            <v>1.4722222222222223</v>
          </cell>
          <cell r="X9">
            <v>248.363</v>
          </cell>
          <cell r="Y9">
            <v>3.68</v>
          </cell>
          <cell r="AP9">
            <v>250.1947480409527</v>
          </cell>
          <cell r="AQ9">
            <v>1.4722222222222223</v>
          </cell>
          <cell r="AS9">
            <v>259.78700000000003</v>
          </cell>
          <cell r="AT9">
            <v>0.3</v>
          </cell>
          <cell r="AY9">
            <v>250.1947480409527</v>
          </cell>
          <cell r="AZ9">
            <v>1.4722222222222223</v>
          </cell>
          <cell r="BB9">
            <v>253.66200000000003</v>
          </cell>
          <cell r="BC9">
            <v>0.51</v>
          </cell>
          <cell r="BH9">
            <v>250.1947480409527</v>
          </cell>
          <cell r="BI9">
            <v>1.4722222222222223</v>
          </cell>
          <cell r="BK9">
            <v>254.41299999999998</v>
          </cell>
          <cell r="BL9">
            <v>3.8660000000000001</v>
          </cell>
          <cell r="CO9">
            <v>250.1947480409527</v>
          </cell>
          <cell r="CP9">
            <v>1.4722222222222223</v>
          </cell>
          <cell r="CR9">
            <v>241.745</v>
          </cell>
          <cell r="CS9">
            <v>0.311</v>
          </cell>
          <cell r="CX9">
            <v>250.1947480409527</v>
          </cell>
          <cell r="CY9">
            <v>1.4722222222222223</v>
          </cell>
          <cell r="DA9">
            <v>275.25400000000002</v>
          </cell>
          <cell r="DB9">
            <v>0.379</v>
          </cell>
          <cell r="DG9">
            <v>250.1947480409527</v>
          </cell>
          <cell r="DH9">
            <v>1.4722222222222223</v>
          </cell>
          <cell r="DJ9">
            <v>253.471</v>
          </cell>
          <cell r="DK9">
            <v>3.9079999999999999</v>
          </cell>
          <cell r="EN9">
            <v>250.1947480409527</v>
          </cell>
          <cell r="EO9">
            <v>1.4722222222222223</v>
          </cell>
          <cell r="EQ9">
            <v>258.96600000000001</v>
          </cell>
          <cell r="ER9">
            <v>0.371</v>
          </cell>
          <cell r="EW9">
            <v>250.1947480409527</v>
          </cell>
          <cell r="EX9">
            <v>1.4722222222222223</v>
          </cell>
          <cell r="EZ9">
            <v>269.01900000000001</v>
          </cell>
          <cell r="FA9">
            <v>0.40899999999999997</v>
          </cell>
          <cell r="FF9">
            <v>250.1947480409527</v>
          </cell>
          <cell r="FG9">
            <v>1.4722222222222223</v>
          </cell>
          <cell r="FI9">
            <v>268.49200000000002</v>
          </cell>
          <cell r="FJ9">
            <v>0.72499999999999998</v>
          </cell>
        </row>
      </sheetData>
      <sheetData sheetId="10" refreshError="1"/>
      <sheetData sheetId="11">
        <row r="14">
          <cell r="C14">
            <v>305.05207694444442</v>
          </cell>
          <cell r="D14">
            <v>0.14749999999999999</v>
          </cell>
          <cell r="F14">
            <v>311.435</v>
          </cell>
          <cell r="G14">
            <v>0.12</v>
          </cell>
          <cell r="L14">
            <v>305.05207694444442</v>
          </cell>
          <cell r="M14">
            <v>0.14749999999999999</v>
          </cell>
          <cell r="O14">
            <v>296.91000000000003</v>
          </cell>
          <cell r="P14">
            <v>0.09</v>
          </cell>
          <cell r="U14">
            <v>305.05207694444442</v>
          </cell>
          <cell r="V14">
            <v>0.14749999999999999</v>
          </cell>
          <cell r="X14">
            <v>282.12900000000002</v>
          </cell>
          <cell r="Y14">
            <v>7.4999999999999997E-2</v>
          </cell>
          <cell r="AP14">
            <v>305.05207694444442</v>
          </cell>
          <cell r="AQ14">
            <v>0.14749999999999999</v>
          </cell>
          <cell r="AS14">
            <v>295.09999999999997</v>
          </cell>
          <cell r="AT14">
            <v>9.5000000000000001E-2</v>
          </cell>
          <cell r="AY14">
            <v>305.05207694444442</v>
          </cell>
          <cell r="AZ14">
            <v>0.14749999999999999</v>
          </cell>
          <cell r="BB14">
            <v>283.63499999999999</v>
          </cell>
          <cell r="BC14">
            <v>9.7000000000000003E-2</v>
          </cell>
          <cell r="BH14">
            <v>305.05207694444442</v>
          </cell>
          <cell r="BI14">
            <v>0.14749999999999999</v>
          </cell>
          <cell r="BK14">
            <v>281.72200000000004</v>
          </cell>
          <cell r="BL14">
            <v>8.1000000000000003E-2</v>
          </cell>
          <cell r="CO14">
            <v>305.05207694444442</v>
          </cell>
          <cell r="CP14">
            <v>0.14749999999999999</v>
          </cell>
          <cell r="CR14">
            <v>275.601</v>
          </cell>
          <cell r="CS14">
            <v>9.0999999999999998E-2</v>
          </cell>
          <cell r="CX14">
            <v>305.05207694444442</v>
          </cell>
          <cell r="CY14">
            <v>0.14749999999999999</v>
          </cell>
          <cell r="DA14">
            <v>310.86200000000002</v>
          </cell>
          <cell r="DB14">
            <v>0.09</v>
          </cell>
          <cell r="DG14">
            <v>305.05207694444442</v>
          </cell>
          <cell r="DH14">
            <v>0.14749999999999999</v>
          </cell>
          <cell r="DJ14">
            <v>301.03099999999995</v>
          </cell>
          <cell r="DK14">
            <v>0.09</v>
          </cell>
          <cell r="EN14">
            <v>305.05207694444442</v>
          </cell>
          <cell r="EO14">
            <v>0.14749999999999999</v>
          </cell>
          <cell r="EQ14">
            <v>302.60199999999998</v>
          </cell>
          <cell r="ER14">
            <v>7.5999999999999998E-2</v>
          </cell>
          <cell r="EW14">
            <v>305.05207694444442</v>
          </cell>
          <cell r="EX14">
            <v>0.14749999999999999</v>
          </cell>
          <cell r="EZ14">
            <v>293.13499999999999</v>
          </cell>
          <cell r="FA14">
            <v>0.157</v>
          </cell>
          <cell r="FF14">
            <v>305.05207694444442</v>
          </cell>
          <cell r="FG14">
            <v>0.14749999999999999</v>
          </cell>
          <cell r="FI14">
            <v>293.71100000000001</v>
          </cell>
          <cell r="FJ14">
            <v>6.7000000000000004E-2</v>
          </cell>
        </row>
      </sheetData>
      <sheetData sheetId="12">
        <row r="8">
          <cell r="F8">
            <v>568.21</v>
          </cell>
        </row>
      </sheetData>
      <sheetData sheetId="13">
        <row r="38">
          <cell r="AX38">
            <v>6253.3816796622659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868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1507</v>
      </c>
    </row>
    <row r="2" spans="1:24" ht="27" hidden="1" thickBot="1" x14ac:dyDescent="0.45">
      <c r="A2" s="4979" t="s">
        <v>856</v>
      </c>
      <c r="B2" s="4980"/>
      <c r="C2" s="4980"/>
      <c r="D2" s="4980"/>
      <c r="E2" s="4980"/>
      <c r="F2" s="4980"/>
      <c r="G2" s="4980"/>
      <c r="H2" s="4980"/>
      <c r="I2" s="4980"/>
      <c r="J2" s="4980"/>
      <c r="K2" s="4980"/>
      <c r="L2" s="4980"/>
      <c r="M2" s="4980"/>
      <c r="N2" s="4980"/>
      <c r="O2" s="4980"/>
      <c r="P2" s="4980"/>
      <c r="Q2" s="4980"/>
      <c r="R2" s="4980"/>
      <c r="S2" s="4980"/>
      <c r="T2" s="4980"/>
      <c r="U2" s="4980"/>
      <c r="V2" s="4980"/>
      <c r="W2" s="4980"/>
      <c r="X2" s="4981"/>
    </row>
    <row r="3" spans="1:24" ht="15" hidden="1" customHeight="1" thickBot="1" x14ac:dyDescent="0.25">
      <c r="A3" s="4951">
        <v>2015</v>
      </c>
      <c r="B3" s="4954" t="s">
        <v>385</v>
      </c>
      <c r="C3" s="4954"/>
      <c r="D3" s="4954"/>
      <c r="E3" s="4954"/>
      <c r="F3" s="4954"/>
      <c r="G3" s="4954"/>
      <c r="H3" s="4954"/>
      <c r="I3" s="4954"/>
      <c r="J3" s="4954"/>
      <c r="K3" s="4954"/>
      <c r="L3" s="4954"/>
      <c r="M3" s="4954"/>
      <c r="N3" s="4954"/>
      <c r="O3" s="4954"/>
      <c r="P3" s="4955"/>
      <c r="Q3" s="4956" t="s">
        <v>389</v>
      </c>
      <c r="R3" s="4957"/>
      <c r="S3" s="4957"/>
      <c r="T3" s="4958"/>
      <c r="U3" s="4956" t="s">
        <v>390</v>
      </c>
      <c r="V3" s="4957"/>
      <c r="W3" s="4957"/>
      <c r="X3" s="4958"/>
    </row>
    <row r="4" spans="1:24" ht="15" hidden="1" customHeight="1" thickBot="1" x14ac:dyDescent="0.25">
      <c r="A4" s="4952"/>
      <c r="B4" s="4962" t="s">
        <v>386</v>
      </c>
      <c r="C4" s="4963"/>
      <c r="D4" s="4963"/>
      <c r="E4" s="4963"/>
      <c r="F4" s="4964"/>
      <c r="G4" s="4965" t="s">
        <v>387</v>
      </c>
      <c r="H4" s="4966"/>
      <c r="I4" s="4966"/>
      <c r="J4" s="4966"/>
      <c r="K4" s="4967"/>
      <c r="L4" s="4965" t="s">
        <v>362</v>
      </c>
      <c r="M4" s="4966"/>
      <c r="N4" s="4966"/>
      <c r="O4" s="4966"/>
      <c r="P4" s="4968"/>
      <c r="Q4" s="4959"/>
      <c r="R4" s="4960"/>
      <c r="S4" s="4960"/>
      <c r="T4" s="4961"/>
      <c r="U4" s="4959"/>
      <c r="V4" s="4960"/>
      <c r="W4" s="4960"/>
      <c r="X4" s="4961"/>
    </row>
    <row r="5" spans="1:24" ht="15" hidden="1" customHeight="1" x14ac:dyDescent="0.2">
      <c r="A5" s="4952"/>
      <c r="B5" s="4969" t="s">
        <v>288</v>
      </c>
      <c r="C5" s="4972" t="s">
        <v>50</v>
      </c>
      <c r="D5" s="4972"/>
      <c r="E5" s="4972"/>
      <c r="F5" s="4973"/>
      <c r="G5" s="4974" t="s">
        <v>288</v>
      </c>
      <c r="H5" s="4975" t="s">
        <v>50</v>
      </c>
      <c r="I5" s="4975"/>
      <c r="J5" s="4975"/>
      <c r="K5" s="4976"/>
      <c r="L5" s="4974" t="s">
        <v>288</v>
      </c>
      <c r="M5" s="4975" t="s">
        <v>50</v>
      </c>
      <c r="N5" s="4975"/>
      <c r="O5" s="4975"/>
      <c r="P5" s="4976"/>
      <c r="Q5" s="4974" t="s">
        <v>288</v>
      </c>
      <c r="R5" s="4977" t="s">
        <v>50</v>
      </c>
      <c r="S5" s="4977"/>
      <c r="T5" s="4978"/>
      <c r="U5" s="4974" t="s">
        <v>288</v>
      </c>
      <c r="V5" s="4977" t="s">
        <v>50</v>
      </c>
      <c r="W5" s="4977"/>
      <c r="X5" s="4978"/>
    </row>
    <row r="6" spans="1:24" ht="15" hidden="1" customHeight="1" x14ac:dyDescent="0.2">
      <c r="A6" s="4952"/>
      <c r="B6" s="4970"/>
      <c r="C6" s="4943" t="s">
        <v>366</v>
      </c>
      <c r="D6" s="4945" t="s">
        <v>228</v>
      </c>
      <c r="E6" s="4945"/>
      <c r="F6" s="4985" t="s">
        <v>853</v>
      </c>
      <c r="G6" s="4970"/>
      <c r="H6" s="4943" t="s">
        <v>366</v>
      </c>
      <c r="I6" s="4945" t="s">
        <v>228</v>
      </c>
      <c r="J6" s="4945"/>
      <c r="K6" s="4985" t="s">
        <v>853</v>
      </c>
      <c r="L6" s="4970"/>
      <c r="M6" s="4943" t="s">
        <v>366</v>
      </c>
      <c r="N6" s="4945" t="s">
        <v>228</v>
      </c>
      <c r="O6" s="4945"/>
      <c r="P6" s="4985" t="s">
        <v>853</v>
      </c>
      <c r="Q6" s="4970"/>
      <c r="R6" s="4943" t="s">
        <v>366</v>
      </c>
      <c r="S6" s="4943"/>
      <c r="T6" s="4987" t="s">
        <v>853</v>
      </c>
      <c r="U6" s="4970"/>
      <c r="V6" s="4943" t="s">
        <v>366</v>
      </c>
      <c r="W6" s="4943"/>
      <c r="X6" s="4987" t="s">
        <v>853</v>
      </c>
    </row>
    <row r="7" spans="1:24" ht="15" hidden="1" customHeight="1" thickBot="1" x14ac:dyDescent="0.25">
      <c r="A7" s="4953"/>
      <c r="B7" s="4971"/>
      <c r="C7" s="4944"/>
      <c r="D7" s="889" t="s">
        <v>253</v>
      </c>
      <c r="E7" s="889" t="s">
        <v>287</v>
      </c>
      <c r="F7" s="4986"/>
      <c r="G7" s="4971"/>
      <c r="H7" s="4944"/>
      <c r="I7" s="889" t="s">
        <v>253</v>
      </c>
      <c r="J7" s="889" t="s">
        <v>287</v>
      </c>
      <c r="K7" s="4986"/>
      <c r="L7" s="4971"/>
      <c r="M7" s="4944"/>
      <c r="N7" s="889" t="s">
        <v>253</v>
      </c>
      <c r="O7" s="889" t="s">
        <v>287</v>
      </c>
      <c r="P7" s="4986"/>
      <c r="Q7" s="4971"/>
      <c r="R7" s="894" t="s">
        <v>854</v>
      </c>
      <c r="S7" s="894" t="s">
        <v>253</v>
      </c>
      <c r="T7" s="4986"/>
      <c r="U7" s="4971"/>
      <c r="V7" s="894" t="s">
        <v>854</v>
      </c>
      <c r="W7" s="894" t="s">
        <v>253</v>
      </c>
      <c r="X7" s="4986"/>
    </row>
    <row r="8" spans="1:24" ht="30" hidden="1" customHeight="1" x14ac:dyDescent="0.2">
      <c r="A8" s="893" t="s">
        <v>379</v>
      </c>
      <c r="B8" s="890">
        <f>'объемы ВС и ВО 2023'!M49/2</f>
        <v>2003.135</v>
      </c>
      <c r="C8" s="891">
        <f>SUM(D8:E8)</f>
        <v>2003.135</v>
      </c>
      <c r="D8" s="891">
        <f>SUM('объемы ВС и ВО 2023'!M50/2)</f>
        <v>1222.71</v>
      </c>
      <c r="E8" s="891">
        <f>SUM('объемы ВС и ВО 2023'!M52+'объемы ВС и ВО 2023'!M57)/2</f>
        <v>780.42499999999995</v>
      </c>
      <c r="F8" s="892">
        <f>SUM('объемы ВС и ВО 2023'!M51/2)</f>
        <v>0</v>
      </c>
      <c r="G8" s="890">
        <f>B8</f>
        <v>2003.135</v>
      </c>
      <c r="H8" s="891">
        <f>C8</f>
        <v>2003.135</v>
      </c>
      <c r="I8" s="891">
        <f>D8</f>
        <v>1222.71</v>
      </c>
      <c r="J8" s="891">
        <f>E8</f>
        <v>780.42499999999995</v>
      </c>
      <c r="K8" s="892">
        <f>F8</f>
        <v>0</v>
      </c>
      <c r="L8" s="890">
        <f>SUM(B8+G8)</f>
        <v>4006.27</v>
      </c>
      <c r="M8" s="891">
        <f>SUM(C8+H8)</f>
        <v>4006.27</v>
      </c>
      <c r="N8" s="891">
        <f>SUM(D8+I8)</f>
        <v>2445.42</v>
      </c>
      <c r="O8" s="891">
        <f>SUM(E8+J8)</f>
        <v>1560.85</v>
      </c>
      <c r="P8" s="892">
        <f>SUM(F8+K8)</f>
        <v>0</v>
      </c>
      <c r="Q8" s="890"/>
      <c r="R8" s="895"/>
      <c r="S8" s="895"/>
      <c r="T8" s="896"/>
      <c r="U8" s="897"/>
      <c r="V8" s="895"/>
      <c r="W8" s="895"/>
      <c r="X8" s="896"/>
    </row>
    <row r="9" spans="1:24" ht="30" hidden="1" customHeight="1" x14ac:dyDescent="0.2">
      <c r="A9" s="876" t="s">
        <v>380</v>
      </c>
      <c r="B9" s="882">
        <f>SUM(B10/B8)</f>
        <v>30</v>
      </c>
      <c r="C9" s="883">
        <f>SUM(C10/C8)</f>
        <v>30</v>
      </c>
      <c r="D9" s="883">
        <v>22.66</v>
      </c>
      <c r="E9" s="883">
        <v>30</v>
      </c>
      <c r="F9" s="884">
        <v>18.420000000000002</v>
      </c>
      <c r="G9" s="882" t="e">
        <f>SUM(G10/G8)</f>
        <v>#REF!</v>
      </c>
      <c r="H9" s="883" t="e">
        <f>H10/H8</f>
        <v>#REF!</v>
      </c>
      <c r="I9" s="883">
        <f>D9*1.145</f>
        <v>25.945700000000002</v>
      </c>
      <c r="J9" s="883" t="e">
        <f>SUM(H9)</f>
        <v>#REF!</v>
      </c>
      <c r="K9" s="884">
        <v>20.11</v>
      </c>
      <c r="L9" s="882" t="e">
        <f>SUM(L10/L8)</f>
        <v>#REF!</v>
      </c>
      <c r="M9" s="883" t="e">
        <f>SUM(M10/M8)</f>
        <v>#REF!</v>
      </c>
      <c r="N9" s="883">
        <f>SUM(N10/N8)</f>
        <v>24.302849999999999</v>
      </c>
      <c r="O9" s="883" t="e">
        <f>SUM(O10/O8)</f>
        <v>#REF!</v>
      </c>
      <c r="P9" s="884" t="e">
        <f>SUM(P10/P8)</f>
        <v>#DIV/0!</v>
      </c>
      <c r="Q9" s="885" t="e">
        <f>SUM(G9/B9)</f>
        <v>#REF!</v>
      </c>
      <c r="R9" s="871" t="e">
        <f>SUM(H9/C9)</f>
        <v>#REF!</v>
      </c>
      <c r="S9" s="871">
        <f>I9/D9</f>
        <v>1.145</v>
      </c>
      <c r="T9" s="878">
        <f>SUM(K9/F9)</f>
        <v>1.0917480998914222</v>
      </c>
      <c r="U9" s="880" t="e">
        <f>SUM(L9/вода!AA94)</f>
        <v>#REF!</v>
      </c>
      <c r="V9" s="872" t="e">
        <f>SUM(M9/вода!AC94)</f>
        <v>#REF!</v>
      </c>
      <c r="W9" s="872">
        <f>SUM(N9/20.9)</f>
        <v>1.1628157894736844</v>
      </c>
      <c r="X9" s="873" t="e">
        <f>SUM(P9/вода!AD94)</f>
        <v>#DIV/0!</v>
      </c>
    </row>
    <row r="10" spans="1:24" ht="30" hidden="1" customHeight="1" x14ac:dyDescent="0.2">
      <c r="A10" s="876" t="s">
        <v>381</v>
      </c>
      <c r="B10" s="882">
        <f>SUM(C10+F10)</f>
        <v>60094.05</v>
      </c>
      <c r="C10" s="883">
        <f>SUM(D10:E10)+D11</f>
        <v>60094.05</v>
      </c>
      <c r="D10" s="883">
        <f>D9*D8</f>
        <v>27706.6086</v>
      </c>
      <c r="E10" s="883">
        <f>E9*E8</f>
        <v>23412.75</v>
      </c>
      <c r="F10" s="884">
        <f>F9*F8</f>
        <v>0</v>
      </c>
      <c r="G10" s="882" t="e">
        <f>SUM(L10-B10)</f>
        <v>#REF!</v>
      </c>
      <c r="H10" s="883" t="e">
        <f>SUM(M10-C10)</f>
        <v>#REF!</v>
      </c>
      <c r="I10" s="883">
        <f>I9*I8</f>
        <v>31724.066847000002</v>
      </c>
      <c r="J10" s="883" t="e">
        <f>SUM(J8*J9)</f>
        <v>#REF!</v>
      </c>
      <c r="K10" s="884">
        <f>SUM(P10-F10)</f>
        <v>868.7319260372135</v>
      </c>
      <c r="L10" s="882" t="e">
        <f>SUM(вода!AL93)</f>
        <v>#REF!</v>
      </c>
      <c r="M10" s="883" t="e">
        <f>SUM(вода!AN93)</f>
        <v>#REF!</v>
      </c>
      <c r="N10" s="883">
        <f>SUM(D10+I10)</f>
        <v>59430.675447000001</v>
      </c>
      <c r="O10" s="883" t="e">
        <f>SUM(E10+J10)</f>
        <v>#REF!</v>
      </c>
      <c r="P10" s="884">
        <f>SUM(вода!AO93)</f>
        <v>868.7319260372135</v>
      </c>
      <c r="Q10" s="882"/>
      <c r="R10" s="869"/>
      <c r="S10" s="869"/>
      <c r="T10" s="870"/>
      <c r="U10" s="879"/>
      <c r="V10" s="869"/>
      <c r="W10" s="869"/>
      <c r="X10" s="870"/>
    </row>
    <row r="11" spans="1:24" ht="30" hidden="1" customHeight="1" thickBot="1" x14ac:dyDescent="0.25">
      <c r="A11" s="877" t="s">
        <v>383</v>
      </c>
      <c r="B11" s="886">
        <f>SUM(C11:F11)</f>
        <v>8974.6913999999997</v>
      </c>
      <c r="C11" s="887">
        <v>0</v>
      </c>
      <c r="D11" s="887">
        <f>SUM(E9-D9)*D8</f>
        <v>8974.6913999999997</v>
      </c>
      <c r="E11" s="887">
        <v>0</v>
      </c>
      <c r="F11" s="888">
        <v>0</v>
      </c>
      <c r="G11" s="886" t="e">
        <f>SUM(H11:K11)</f>
        <v>#REF!</v>
      </c>
      <c r="H11" s="887">
        <v>0</v>
      </c>
      <c r="I11" s="887" t="e">
        <f>SUM(H9-I9)*I8</f>
        <v>#REF!</v>
      </c>
      <c r="J11" s="887">
        <v>0</v>
      </c>
      <c r="K11" s="888">
        <v>0</v>
      </c>
      <c r="L11" s="886" t="e">
        <f>SUM(M11:P11)</f>
        <v>#REF!</v>
      </c>
      <c r="M11" s="887">
        <v>0</v>
      </c>
      <c r="N11" s="887" t="e">
        <f>SUM(B11+G11)</f>
        <v>#REF!</v>
      </c>
      <c r="O11" s="887">
        <v>0</v>
      </c>
      <c r="P11" s="888">
        <v>0</v>
      </c>
      <c r="Q11" s="886"/>
      <c r="R11" s="874"/>
      <c r="S11" s="874"/>
      <c r="T11" s="875"/>
      <c r="U11" s="881"/>
      <c r="V11" s="874"/>
      <c r="W11" s="874"/>
      <c r="X11" s="875"/>
    </row>
    <row r="12" spans="1:24" ht="15" hidden="1" customHeight="1" thickBot="1" x14ac:dyDescent="0.25">
      <c r="A12" s="4914"/>
      <c r="B12" s="4915"/>
      <c r="C12" s="4915"/>
      <c r="D12" s="4915"/>
      <c r="E12" s="4915"/>
      <c r="F12" s="4915"/>
      <c r="G12" s="4915"/>
      <c r="H12" s="4915"/>
      <c r="I12" s="4915"/>
      <c r="J12" s="4915"/>
      <c r="K12" s="4915"/>
      <c r="L12" s="4915"/>
      <c r="M12" s="4915"/>
      <c r="N12" s="4915"/>
      <c r="O12" s="4915"/>
      <c r="P12" s="4915"/>
      <c r="Q12" s="4915"/>
      <c r="R12" s="4915"/>
      <c r="S12" s="4915"/>
      <c r="T12" s="4915"/>
      <c r="U12" s="4915"/>
      <c r="V12" s="4915"/>
      <c r="W12" s="4915"/>
      <c r="X12" s="4916"/>
    </row>
    <row r="13" spans="1:24" ht="15" hidden="1" customHeight="1" thickBot="1" x14ac:dyDescent="0.25">
      <c r="A13" s="4951">
        <v>2015</v>
      </c>
      <c r="B13" s="4954" t="s">
        <v>382</v>
      </c>
      <c r="C13" s="4954"/>
      <c r="D13" s="4954"/>
      <c r="E13" s="4954"/>
      <c r="F13" s="4954"/>
      <c r="G13" s="4954"/>
      <c r="H13" s="4954"/>
      <c r="I13" s="4954"/>
      <c r="J13" s="4954"/>
      <c r="K13" s="4954"/>
      <c r="L13" s="4954"/>
      <c r="M13" s="4954"/>
      <c r="N13" s="4954"/>
      <c r="O13" s="4954"/>
      <c r="P13" s="4955"/>
      <c r="Q13" s="4956" t="s">
        <v>389</v>
      </c>
      <c r="R13" s="4957"/>
      <c r="S13" s="4957"/>
      <c r="T13" s="4958"/>
      <c r="U13" s="4956" t="s">
        <v>390</v>
      </c>
      <c r="V13" s="4957"/>
      <c r="W13" s="4957"/>
      <c r="X13" s="4958"/>
    </row>
    <row r="14" spans="1:24" ht="15" hidden="1" customHeight="1" thickBot="1" x14ac:dyDescent="0.25">
      <c r="A14" s="4952"/>
      <c r="B14" s="4962" t="s">
        <v>386</v>
      </c>
      <c r="C14" s="4963"/>
      <c r="D14" s="4963"/>
      <c r="E14" s="4963"/>
      <c r="F14" s="4964"/>
      <c r="G14" s="4965" t="s">
        <v>387</v>
      </c>
      <c r="H14" s="4966"/>
      <c r="I14" s="4966"/>
      <c r="J14" s="4966"/>
      <c r="K14" s="4967"/>
      <c r="L14" s="4965" t="s">
        <v>362</v>
      </c>
      <c r="M14" s="4966"/>
      <c r="N14" s="4966"/>
      <c r="O14" s="4966"/>
      <c r="P14" s="4968"/>
      <c r="Q14" s="4959"/>
      <c r="R14" s="4960"/>
      <c r="S14" s="4960"/>
      <c r="T14" s="4961"/>
      <c r="U14" s="4959"/>
      <c r="V14" s="4960"/>
      <c r="W14" s="4960"/>
      <c r="X14" s="4961"/>
    </row>
    <row r="15" spans="1:24" ht="15" hidden="1" customHeight="1" x14ac:dyDescent="0.2">
      <c r="A15" s="4952"/>
      <c r="B15" s="4969" t="s">
        <v>288</v>
      </c>
      <c r="C15" s="4972" t="s">
        <v>50</v>
      </c>
      <c r="D15" s="4972"/>
      <c r="E15" s="4972"/>
      <c r="F15" s="4973"/>
      <c r="G15" s="4974" t="s">
        <v>288</v>
      </c>
      <c r="H15" s="4975" t="s">
        <v>50</v>
      </c>
      <c r="I15" s="4975"/>
      <c r="J15" s="4975"/>
      <c r="K15" s="4976"/>
      <c r="L15" s="4974" t="s">
        <v>288</v>
      </c>
      <c r="M15" s="4975" t="s">
        <v>50</v>
      </c>
      <c r="N15" s="4975"/>
      <c r="O15" s="4975"/>
      <c r="P15" s="4976"/>
      <c r="Q15" s="4974" t="s">
        <v>288</v>
      </c>
      <c r="R15" s="4977" t="s">
        <v>50</v>
      </c>
      <c r="S15" s="4977"/>
      <c r="T15" s="4978"/>
      <c r="U15" s="4974" t="s">
        <v>288</v>
      </c>
      <c r="V15" s="4977" t="s">
        <v>50</v>
      </c>
      <c r="W15" s="4977"/>
      <c r="X15" s="4978"/>
    </row>
    <row r="16" spans="1:24" ht="15" hidden="1" customHeight="1" x14ac:dyDescent="0.2">
      <c r="A16" s="4952"/>
      <c r="B16" s="4970"/>
      <c r="C16" s="4943" t="s">
        <v>366</v>
      </c>
      <c r="D16" s="4945" t="s">
        <v>228</v>
      </c>
      <c r="E16" s="4945"/>
      <c r="F16" s="4985" t="s">
        <v>853</v>
      </c>
      <c r="G16" s="4970"/>
      <c r="H16" s="4943" t="s">
        <v>366</v>
      </c>
      <c r="I16" s="4945" t="s">
        <v>228</v>
      </c>
      <c r="J16" s="4945"/>
      <c r="K16" s="4985" t="s">
        <v>853</v>
      </c>
      <c r="L16" s="4970"/>
      <c r="M16" s="4943" t="s">
        <v>366</v>
      </c>
      <c r="N16" s="4945" t="s">
        <v>228</v>
      </c>
      <c r="O16" s="4945"/>
      <c r="P16" s="4985" t="s">
        <v>853</v>
      </c>
      <c r="Q16" s="4970"/>
      <c r="R16" s="4943" t="s">
        <v>366</v>
      </c>
      <c r="S16" s="4943"/>
      <c r="T16" s="4987" t="s">
        <v>853</v>
      </c>
      <c r="U16" s="4970"/>
      <c r="V16" s="4943" t="s">
        <v>366</v>
      </c>
      <c r="W16" s="4943"/>
      <c r="X16" s="4987" t="s">
        <v>853</v>
      </c>
    </row>
    <row r="17" spans="1:24" ht="15" hidden="1" customHeight="1" thickBot="1" x14ac:dyDescent="0.25">
      <c r="A17" s="4953"/>
      <c r="B17" s="4971"/>
      <c r="C17" s="4944"/>
      <c r="D17" s="889" t="s">
        <v>253</v>
      </c>
      <c r="E17" s="889" t="s">
        <v>287</v>
      </c>
      <c r="F17" s="4986"/>
      <c r="G17" s="4971"/>
      <c r="H17" s="4944"/>
      <c r="I17" s="889" t="s">
        <v>253</v>
      </c>
      <c r="J17" s="889" t="s">
        <v>287</v>
      </c>
      <c r="K17" s="4986"/>
      <c r="L17" s="4971"/>
      <c r="M17" s="4944"/>
      <c r="N17" s="889" t="s">
        <v>253</v>
      </c>
      <c r="O17" s="889" t="s">
        <v>287</v>
      </c>
      <c r="P17" s="4986"/>
      <c r="Q17" s="4971"/>
      <c r="R17" s="894" t="s">
        <v>854</v>
      </c>
      <c r="S17" s="894" t="s">
        <v>253</v>
      </c>
      <c r="T17" s="4986"/>
      <c r="U17" s="4971"/>
      <c r="V17" s="894" t="s">
        <v>854</v>
      </c>
      <c r="W17" s="894" t="s">
        <v>253</v>
      </c>
      <c r="X17" s="4986"/>
    </row>
    <row r="18" spans="1:24" ht="30" hidden="1" customHeight="1" x14ac:dyDescent="0.2">
      <c r="A18" s="893" t="s">
        <v>379</v>
      </c>
      <c r="B18" s="890">
        <f>SUM(B8)</f>
        <v>2003.135</v>
      </c>
      <c r="C18" s="891">
        <f t="shared" ref="C18:P18" si="0">SUM(C8)</f>
        <v>2003.135</v>
      </c>
      <c r="D18" s="891">
        <f t="shared" si="0"/>
        <v>1222.71</v>
      </c>
      <c r="E18" s="891">
        <f t="shared" si="0"/>
        <v>780.42499999999995</v>
      </c>
      <c r="F18" s="892">
        <f t="shared" si="0"/>
        <v>0</v>
      </c>
      <c r="G18" s="890">
        <f t="shared" si="0"/>
        <v>2003.135</v>
      </c>
      <c r="H18" s="891">
        <f t="shared" si="0"/>
        <v>2003.135</v>
      </c>
      <c r="I18" s="891">
        <f t="shared" si="0"/>
        <v>1222.71</v>
      </c>
      <c r="J18" s="891">
        <f t="shared" si="0"/>
        <v>780.42499999999995</v>
      </c>
      <c r="K18" s="892">
        <f t="shared" si="0"/>
        <v>0</v>
      </c>
      <c r="L18" s="890">
        <f t="shared" si="0"/>
        <v>4006.27</v>
      </c>
      <c r="M18" s="891">
        <f t="shared" si="0"/>
        <v>4006.27</v>
      </c>
      <c r="N18" s="891">
        <f t="shared" si="0"/>
        <v>2445.42</v>
      </c>
      <c r="O18" s="891">
        <f t="shared" si="0"/>
        <v>1560.85</v>
      </c>
      <c r="P18" s="892">
        <f t="shared" si="0"/>
        <v>0</v>
      </c>
      <c r="Q18" s="890"/>
      <c r="R18" s="895"/>
      <c r="S18" s="895"/>
      <c r="T18" s="896"/>
      <c r="U18" s="897"/>
      <c r="V18" s="895"/>
      <c r="W18" s="895"/>
      <c r="X18" s="896"/>
    </row>
    <row r="19" spans="1:24" ht="30" hidden="1" customHeight="1" x14ac:dyDescent="0.2">
      <c r="A19" s="876" t="s">
        <v>380</v>
      </c>
      <c r="B19" s="882">
        <f>SUM(B20/B18)</f>
        <v>27.64</v>
      </c>
      <c r="C19" s="883">
        <f>SUM(C20/C18)</f>
        <v>27.64</v>
      </c>
      <c r="D19" s="883">
        <v>22.66</v>
      </c>
      <c r="E19" s="883">
        <v>27.64</v>
      </c>
      <c r="F19" s="884">
        <v>18.420000000000002</v>
      </c>
      <c r="G19" s="882" t="e">
        <f>SUM(G20/G18)</f>
        <v>#REF!</v>
      </c>
      <c r="H19" s="883" t="e">
        <f>H20/H18</f>
        <v>#REF!</v>
      </c>
      <c r="I19" s="883">
        <f>D19*1.145</f>
        <v>25.945700000000002</v>
      </c>
      <c r="J19" s="883" t="e">
        <f>SUM(H19)</f>
        <v>#REF!</v>
      </c>
      <c r="K19" s="884">
        <v>20.11</v>
      </c>
      <c r="L19" s="882" t="e">
        <f>SUM(L20/L18)</f>
        <v>#REF!</v>
      </c>
      <c r="M19" s="883" t="e">
        <f>SUM(M20/M18)</f>
        <v>#REF!</v>
      </c>
      <c r="N19" s="883">
        <f>SUM(N20/N18)</f>
        <v>24.302849999999999</v>
      </c>
      <c r="O19" s="883" t="e">
        <f>SUM(O20/O18)</f>
        <v>#REF!</v>
      </c>
      <c r="P19" s="884" t="e">
        <f>SUM(P20/P18)</f>
        <v>#DIV/0!</v>
      </c>
      <c r="Q19" s="885" t="e">
        <f>SUM(G19/B19)</f>
        <v>#REF!</v>
      </c>
      <c r="R19" s="871" t="e">
        <f>SUM(H19/C19)</f>
        <v>#REF!</v>
      </c>
      <c r="S19" s="871">
        <f>I19/D19</f>
        <v>1.145</v>
      </c>
      <c r="T19" s="878">
        <f>SUM(K19/F19)</f>
        <v>1.0917480998914222</v>
      </c>
      <c r="U19" s="880" t="e">
        <f>SUM(L19/вода!AA91)</f>
        <v>#REF!</v>
      </c>
      <c r="V19" s="872" t="e">
        <f>SUM(M19/вода!AC91)</f>
        <v>#REF!</v>
      </c>
      <c r="W19" s="872">
        <f>SUM(N19/20.9)</f>
        <v>1.1628157894736844</v>
      </c>
      <c r="X19" s="873" t="e">
        <f>SUM(P19/вода!AD91)</f>
        <v>#DIV/0!</v>
      </c>
    </row>
    <row r="20" spans="1:24" ht="30" hidden="1" customHeight="1" x14ac:dyDescent="0.2">
      <c r="A20" s="876" t="s">
        <v>381</v>
      </c>
      <c r="B20" s="882">
        <f>SUM(C20+F20)</f>
        <v>55366.651400000002</v>
      </c>
      <c r="C20" s="883">
        <f>SUM(D20:E20)+D21</f>
        <v>55366.651400000002</v>
      </c>
      <c r="D20" s="883">
        <f>D19*D18</f>
        <v>27706.6086</v>
      </c>
      <c r="E20" s="883">
        <f>E19*E18</f>
        <v>21570.947</v>
      </c>
      <c r="F20" s="884">
        <f>F19*F18</f>
        <v>0</v>
      </c>
      <c r="G20" s="882" t="e">
        <f>SUM(L20-B20)</f>
        <v>#REF!</v>
      </c>
      <c r="H20" s="883" t="e">
        <f>SUM(M20-C20)</f>
        <v>#REF!</v>
      </c>
      <c r="I20" s="883">
        <f>I19*I18</f>
        <v>31724.066847000002</v>
      </c>
      <c r="J20" s="883" t="e">
        <f>SUM(J18*J19)</f>
        <v>#REF!</v>
      </c>
      <c r="K20" s="884">
        <f>SUM(P20-F20)</f>
        <v>868.7319260372135</v>
      </c>
      <c r="L20" s="882" t="e">
        <f>SUM(вода!AL90)</f>
        <v>#REF!</v>
      </c>
      <c r="M20" s="883" t="e">
        <f>SUM(вода!AN90)</f>
        <v>#REF!</v>
      </c>
      <c r="N20" s="883">
        <f>SUM(D20+I20)</f>
        <v>59430.675447000001</v>
      </c>
      <c r="O20" s="883" t="e">
        <f>SUM(E20+J20)</f>
        <v>#REF!</v>
      </c>
      <c r="P20" s="884">
        <f>SUM(вода!AO90)</f>
        <v>868.7319260372135</v>
      </c>
      <c r="Q20" s="882"/>
      <c r="R20" s="869"/>
      <c r="S20" s="869"/>
      <c r="T20" s="870"/>
      <c r="U20" s="879"/>
      <c r="V20" s="869"/>
      <c r="W20" s="869"/>
      <c r="X20" s="870"/>
    </row>
    <row r="21" spans="1:24" ht="30" hidden="1" customHeight="1" thickBot="1" x14ac:dyDescent="0.25">
      <c r="A21" s="877" t="s">
        <v>383</v>
      </c>
      <c r="B21" s="886">
        <f>SUM(C21:F21)</f>
        <v>6089.095800000001</v>
      </c>
      <c r="C21" s="887">
        <v>0</v>
      </c>
      <c r="D21" s="887">
        <f>SUM(E19-D19)*D18</f>
        <v>6089.095800000001</v>
      </c>
      <c r="E21" s="887">
        <v>0</v>
      </c>
      <c r="F21" s="888">
        <v>0</v>
      </c>
      <c r="G21" s="886" t="e">
        <f>SUM(H21:K21)</f>
        <v>#REF!</v>
      </c>
      <c r="H21" s="887">
        <v>0</v>
      </c>
      <c r="I21" s="887" t="e">
        <f>SUM(H19-I19)*I18</f>
        <v>#REF!</v>
      </c>
      <c r="J21" s="887">
        <v>0</v>
      </c>
      <c r="K21" s="888">
        <v>0</v>
      </c>
      <c r="L21" s="886" t="e">
        <f>SUM(M21:P21)</f>
        <v>#REF!</v>
      </c>
      <c r="M21" s="887">
        <v>0</v>
      </c>
      <c r="N21" s="887" t="e">
        <f>SUM(B21+G21)</f>
        <v>#REF!</v>
      </c>
      <c r="O21" s="887">
        <v>0</v>
      </c>
      <c r="P21" s="888">
        <v>0</v>
      </c>
      <c r="Q21" s="886"/>
      <c r="R21" s="874"/>
      <c r="S21" s="874"/>
      <c r="T21" s="875"/>
      <c r="U21" s="881"/>
      <c r="V21" s="874"/>
      <c r="W21" s="874"/>
      <c r="X21" s="875"/>
    </row>
    <row r="22" spans="1:24" ht="26.25" customHeight="1" thickBot="1" x14ac:dyDescent="0.45">
      <c r="A22" s="4979" t="s">
        <v>857</v>
      </c>
      <c r="B22" s="4980"/>
      <c r="C22" s="4980"/>
      <c r="D22" s="4980"/>
      <c r="E22" s="4980"/>
      <c r="F22" s="4980"/>
      <c r="G22" s="4980"/>
      <c r="H22" s="4980"/>
      <c r="I22" s="4980"/>
      <c r="J22" s="4980"/>
      <c r="K22" s="4980"/>
      <c r="L22" s="4980"/>
      <c r="M22" s="4980"/>
      <c r="N22" s="4980"/>
      <c r="O22" s="4980"/>
      <c r="P22" s="4980"/>
      <c r="Q22" s="4980"/>
      <c r="R22" s="4980"/>
      <c r="S22" s="4980"/>
      <c r="T22" s="4980"/>
      <c r="U22" s="4980"/>
      <c r="V22" s="4980"/>
      <c r="W22" s="4980"/>
      <c r="X22" s="4981"/>
    </row>
    <row r="23" spans="1:24" ht="15" customHeight="1" thickBot="1" x14ac:dyDescent="0.25">
      <c r="A23" s="4951">
        <v>2016</v>
      </c>
      <c r="B23" s="4954" t="s">
        <v>385</v>
      </c>
      <c r="C23" s="4954"/>
      <c r="D23" s="4954"/>
      <c r="E23" s="4954"/>
      <c r="F23" s="4954"/>
      <c r="G23" s="4954"/>
      <c r="H23" s="4954"/>
      <c r="I23" s="4954"/>
      <c r="J23" s="4954"/>
      <c r="K23" s="4954"/>
      <c r="L23" s="4954"/>
      <c r="M23" s="4954"/>
      <c r="N23" s="4954"/>
      <c r="O23" s="4954"/>
      <c r="P23" s="4955"/>
      <c r="Q23" s="4956" t="s">
        <v>389</v>
      </c>
      <c r="R23" s="4957"/>
      <c r="S23" s="4957"/>
      <c r="T23" s="4958"/>
      <c r="U23" s="4956" t="s">
        <v>390</v>
      </c>
      <c r="V23" s="4957"/>
      <c r="W23" s="4957"/>
      <c r="X23" s="4958"/>
    </row>
    <row r="24" spans="1:24" ht="15" customHeight="1" thickBot="1" x14ac:dyDescent="0.25">
      <c r="A24" s="4952"/>
      <c r="B24" s="4962" t="s">
        <v>851</v>
      </c>
      <c r="C24" s="4963"/>
      <c r="D24" s="4963"/>
      <c r="E24" s="4963"/>
      <c r="F24" s="4964"/>
      <c r="G24" s="4965" t="s">
        <v>852</v>
      </c>
      <c r="H24" s="4966"/>
      <c r="I24" s="4966"/>
      <c r="J24" s="4966"/>
      <c r="K24" s="4967"/>
      <c r="L24" s="4965" t="s">
        <v>815</v>
      </c>
      <c r="M24" s="4966"/>
      <c r="N24" s="4966"/>
      <c r="O24" s="4966"/>
      <c r="P24" s="4968"/>
      <c r="Q24" s="4959"/>
      <c r="R24" s="4960"/>
      <c r="S24" s="4960"/>
      <c r="T24" s="4961"/>
      <c r="U24" s="4959"/>
      <c r="V24" s="4960"/>
      <c r="W24" s="4960"/>
      <c r="X24" s="4961"/>
    </row>
    <row r="25" spans="1:24" ht="15" customHeight="1" x14ac:dyDescent="0.2">
      <c r="A25" s="4952"/>
      <c r="B25" s="4969" t="s">
        <v>288</v>
      </c>
      <c r="C25" s="4972" t="s">
        <v>50</v>
      </c>
      <c r="D25" s="4972"/>
      <c r="E25" s="4972"/>
      <c r="F25" s="4973"/>
      <c r="G25" s="4974" t="s">
        <v>288</v>
      </c>
      <c r="H25" s="4975" t="s">
        <v>50</v>
      </c>
      <c r="I25" s="4975"/>
      <c r="J25" s="4975"/>
      <c r="K25" s="4976"/>
      <c r="L25" s="4974" t="s">
        <v>288</v>
      </c>
      <c r="M25" s="4975" t="s">
        <v>50</v>
      </c>
      <c r="N25" s="4975"/>
      <c r="O25" s="4975"/>
      <c r="P25" s="4976"/>
      <c r="Q25" s="4974" t="s">
        <v>288</v>
      </c>
      <c r="R25" s="4977" t="s">
        <v>50</v>
      </c>
      <c r="S25" s="4977"/>
      <c r="T25" s="4978"/>
      <c r="U25" s="4974" t="s">
        <v>288</v>
      </c>
      <c r="V25" s="4977" t="s">
        <v>50</v>
      </c>
      <c r="W25" s="4977"/>
      <c r="X25" s="4978"/>
    </row>
    <row r="26" spans="1:24" ht="15" customHeight="1" x14ac:dyDescent="0.2">
      <c r="A26" s="4952"/>
      <c r="B26" s="4970"/>
      <c r="C26" s="4943" t="s">
        <v>366</v>
      </c>
      <c r="D26" s="4945" t="s">
        <v>228</v>
      </c>
      <c r="E26" s="4945"/>
      <c r="F26" s="4985" t="s">
        <v>853</v>
      </c>
      <c r="G26" s="4970"/>
      <c r="H26" s="4943" t="s">
        <v>366</v>
      </c>
      <c r="I26" s="4945" t="s">
        <v>228</v>
      </c>
      <c r="J26" s="4945"/>
      <c r="K26" s="4985" t="s">
        <v>853</v>
      </c>
      <c r="L26" s="4970"/>
      <c r="M26" s="4943" t="s">
        <v>366</v>
      </c>
      <c r="N26" s="4945" t="s">
        <v>228</v>
      </c>
      <c r="O26" s="4945"/>
      <c r="P26" s="4985" t="s">
        <v>853</v>
      </c>
      <c r="Q26" s="4970"/>
      <c r="R26" s="4943" t="s">
        <v>366</v>
      </c>
      <c r="S26" s="4943"/>
      <c r="T26" s="4987" t="s">
        <v>853</v>
      </c>
      <c r="U26" s="4970"/>
      <c r="V26" s="4943" t="s">
        <v>366</v>
      </c>
      <c r="W26" s="4943"/>
      <c r="X26" s="4987" t="s">
        <v>853</v>
      </c>
    </row>
    <row r="27" spans="1:24" ht="15" customHeight="1" thickBot="1" x14ac:dyDescent="0.25">
      <c r="A27" s="4953"/>
      <c r="B27" s="4971"/>
      <c r="C27" s="4944"/>
      <c r="D27" s="889" t="s">
        <v>253</v>
      </c>
      <c r="E27" s="889" t="s">
        <v>287</v>
      </c>
      <c r="F27" s="4986"/>
      <c r="G27" s="4971"/>
      <c r="H27" s="4944"/>
      <c r="I27" s="889" t="s">
        <v>253</v>
      </c>
      <c r="J27" s="889" t="s">
        <v>287</v>
      </c>
      <c r="K27" s="4986"/>
      <c r="L27" s="4971"/>
      <c r="M27" s="4944"/>
      <c r="N27" s="889" t="s">
        <v>253</v>
      </c>
      <c r="O27" s="889" t="s">
        <v>287</v>
      </c>
      <c r="P27" s="4986"/>
      <c r="Q27" s="4971"/>
      <c r="R27" s="894" t="s">
        <v>854</v>
      </c>
      <c r="S27" s="894" t="s">
        <v>253</v>
      </c>
      <c r="T27" s="4986"/>
      <c r="U27" s="4971"/>
      <c r="V27" s="894" t="s">
        <v>854</v>
      </c>
      <c r="W27" s="894" t="s">
        <v>253</v>
      </c>
      <c r="X27" s="4986"/>
    </row>
    <row r="28" spans="1:24" ht="30" customHeight="1" x14ac:dyDescent="0.2">
      <c r="A28" s="893" t="s">
        <v>379</v>
      </c>
      <c r="B28" s="890">
        <f>SUM('объемы ВС и ВО 2023'!T49/2)</f>
        <v>2005.3184999999999</v>
      </c>
      <c r="C28" s="891">
        <f>SUM(D28:E28)</f>
        <v>1994.6085</v>
      </c>
      <c r="D28" s="891">
        <f>SUM('объемы ВС и ВО 2023'!T50/2)</f>
        <v>1214.28</v>
      </c>
      <c r="E28" s="891">
        <f>SUM('объемы ВС и ВО 2023'!T52+'объемы ВС и ВО 2023'!T57)/2</f>
        <v>780.32850000000008</v>
      </c>
      <c r="F28" s="892">
        <f>SUM('объемы ВС и ВО 2023'!T51/2)</f>
        <v>10.71</v>
      </c>
      <c r="G28" s="890">
        <f>B28</f>
        <v>2005.3184999999999</v>
      </c>
      <c r="H28" s="891">
        <f>C28</f>
        <v>1994.6085</v>
      </c>
      <c r="I28" s="891">
        <f>D28</f>
        <v>1214.28</v>
      </c>
      <c r="J28" s="891">
        <f>E28</f>
        <v>780.32850000000008</v>
      </c>
      <c r="K28" s="892">
        <f>F28</f>
        <v>10.71</v>
      </c>
      <c r="L28" s="890">
        <f>SUM(B28+G28)</f>
        <v>4010.6369999999997</v>
      </c>
      <c r="M28" s="891">
        <f>SUM(C28+H28)</f>
        <v>3989.2170000000001</v>
      </c>
      <c r="N28" s="891">
        <f>SUM(D28+I28)</f>
        <v>2428.56</v>
      </c>
      <c r="O28" s="891">
        <f>SUM(E28+J28)</f>
        <v>1560.6570000000002</v>
      </c>
      <c r="P28" s="892">
        <f>SUM(F28+K28)</f>
        <v>21.42</v>
      </c>
      <c r="Q28" s="890"/>
      <c r="R28" s="895"/>
      <c r="S28" s="895"/>
      <c r="T28" s="896"/>
      <c r="U28" s="897"/>
      <c r="V28" s="895"/>
      <c r="W28" s="895"/>
      <c r="X28" s="896"/>
    </row>
    <row r="29" spans="1:24" ht="30" customHeight="1" x14ac:dyDescent="0.2">
      <c r="A29" s="876" t="s">
        <v>380</v>
      </c>
      <c r="B29" s="882" t="e">
        <f>SUM(B30/B28)</f>
        <v>#REF!</v>
      </c>
      <c r="C29" s="883" t="e">
        <f>SUM(C30/C28)</f>
        <v>#REF!</v>
      </c>
      <c r="D29" s="883">
        <f>SUM(I9)</f>
        <v>25.945700000000002</v>
      </c>
      <c r="E29" s="883" t="e">
        <f>SUM(J9)</f>
        <v>#REF!</v>
      </c>
      <c r="F29" s="884">
        <f>SUM(K9)</f>
        <v>20.11</v>
      </c>
      <c r="G29" s="882" t="e">
        <f>SUM(G30/G28)</f>
        <v>#REF!</v>
      </c>
      <c r="H29" s="883" t="e">
        <f>H30/H28</f>
        <v>#REF!</v>
      </c>
      <c r="I29" s="883">
        <f>D29*1.2</f>
        <v>31.134840000000001</v>
      </c>
      <c r="J29" s="883" t="e">
        <f>SUM(H29)</f>
        <v>#REF!</v>
      </c>
      <c r="K29" s="884">
        <f t="shared" ref="K29:P29" si="1">SUM(K30/K28)</f>
        <v>25.350484680875475</v>
      </c>
      <c r="L29" s="882">
        <f t="shared" si="1"/>
        <v>36.390731993966654</v>
      </c>
      <c r="M29" s="883">
        <f t="shared" si="1"/>
        <v>36.464081648392202</v>
      </c>
      <c r="N29" s="883">
        <f t="shared" si="1"/>
        <v>28.540270000000003</v>
      </c>
      <c r="O29" s="883" t="e">
        <f t="shared" si="1"/>
        <v>#REF!</v>
      </c>
      <c r="P29" s="884">
        <f t="shared" si="1"/>
        <v>22.730242340437737</v>
      </c>
      <c r="Q29" s="885" t="e">
        <f>SUM(G29/B29)</f>
        <v>#REF!</v>
      </c>
      <c r="R29" s="871" t="e">
        <f>SUM(H29/C29)</f>
        <v>#REF!</v>
      </c>
      <c r="S29" s="871">
        <f>I29/D29</f>
        <v>1.2</v>
      </c>
      <c r="T29" s="878">
        <f>SUM(K29/F29)</f>
        <v>1.2605909836337879</v>
      </c>
      <c r="U29" s="880" t="e">
        <f>SUM(L29/L9)</f>
        <v>#REF!</v>
      </c>
      <c r="V29" s="872" t="e">
        <f>SUM(M29/M9)</f>
        <v>#REF!</v>
      </c>
      <c r="W29" s="872">
        <f>SUM(N29/N9)</f>
        <v>1.1743589743589746</v>
      </c>
      <c r="X29" s="873" t="e">
        <f>SUM(P29/P9)</f>
        <v>#DIV/0!</v>
      </c>
    </row>
    <row r="30" spans="1:24" ht="30" customHeight="1" x14ac:dyDescent="0.2">
      <c r="A30" s="876" t="s">
        <v>381</v>
      </c>
      <c r="B30" s="882" t="e">
        <f>SUM(C30+F30)</f>
        <v>#REF!</v>
      </c>
      <c r="C30" s="883" t="e">
        <f>SUM(D30:E30)+D31</f>
        <v>#REF!</v>
      </c>
      <c r="D30" s="883">
        <f>D29*D28</f>
        <v>31505.344596000003</v>
      </c>
      <c r="E30" s="883" t="e">
        <f>E29*E28</f>
        <v>#REF!</v>
      </c>
      <c r="F30" s="884">
        <f>F29*F28</f>
        <v>215.37810000000002</v>
      </c>
      <c r="G30" s="882" t="e">
        <f>SUM(L30-B30)</f>
        <v>#REF!</v>
      </c>
      <c r="H30" s="883" t="e">
        <f>SUM(M30-C30)</f>
        <v>#REF!</v>
      </c>
      <c r="I30" s="883">
        <f>I29*I28</f>
        <v>37806.413515200002</v>
      </c>
      <c r="J30" s="883" t="e">
        <f>SUM(J28*J29)</f>
        <v>#REF!</v>
      </c>
      <c r="K30" s="884">
        <f>SUM(P30-F30)</f>
        <v>271.50369093217637</v>
      </c>
      <c r="L30" s="882">
        <f>SUM(вода!AZ93)</f>
        <v>145950.01619208642</v>
      </c>
      <c r="M30" s="883">
        <f>SUM(вода!BB93)</f>
        <v>145463.13440115421</v>
      </c>
      <c r="N30" s="883">
        <f>SUM(D30+I30)</f>
        <v>69311.758111200004</v>
      </c>
      <c r="O30" s="883" t="e">
        <f>SUM(E30+J30)</f>
        <v>#REF!</v>
      </c>
      <c r="P30" s="884">
        <f>SUM(вода!BC93)</f>
        <v>486.88179093217639</v>
      </c>
      <c r="Q30" s="882"/>
      <c r="R30" s="869"/>
      <c r="S30" s="869"/>
      <c r="T30" s="870"/>
      <c r="U30" s="879"/>
      <c r="V30" s="869"/>
      <c r="W30" s="869"/>
      <c r="X30" s="870"/>
    </row>
    <row r="31" spans="1:24" ht="30" customHeight="1" thickBot="1" x14ac:dyDescent="0.25">
      <c r="A31" s="877" t="s">
        <v>383</v>
      </c>
      <c r="B31" s="886" t="e">
        <f>SUM(C31:F31)</f>
        <v>#REF!</v>
      </c>
      <c r="C31" s="887">
        <v>0</v>
      </c>
      <c r="D31" s="887" t="e">
        <f>SUM(E29-D29)*D28</f>
        <v>#REF!</v>
      </c>
      <c r="E31" s="887">
        <v>0</v>
      </c>
      <c r="F31" s="888">
        <v>0</v>
      </c>
      <c r="G31" s="886" t="e">
        <f>SUM(H31:K31)</f>
        <v>#REF!</v>
      </c>
      <c r="H31" s="887">
        <v>0</v>
      </c>
      <c r="I31" s="887" t="e">
        <f>SUM(H29-I29)*I28</f>
        <v>#REF!</v>
      </c>
      <c r="J31" s="887">
        <v>0</v>
      </c>
      <c r="K31" s="888">
        <v>0</v>
      </c>
      <c r="L31" s="886" t="e">
        <f>SUM(M31:P31)</f>
        <v>#REF!</v>
      </c>
      <c r="M31" s="887">
        <v>0</v>
      </c>
      <c r="N31" s="887" t="e">
        <f>SUM(B31+G31)</f>
        <v>#REF!</v>
      </c>
      <c r="O31" s="887">
        <v>0</v>
      </c>
      <c r="P31" s="888">
        <v>0</v>
      </c>
      <c r="Q31" s="886"/>
      <c r="R31" s="874"/>
      <c r="S31" s="874"/>
      <c r="T31" s="875"/>
      <c r="U31" s="881"/>
      <c r="V31" s="874"/>
      <c r="W31" s="874"/>
      <c r="X31" s="875"/>
    </row>
    <row r="32" spans="1:24" ht="15" customHeight="1" thickBot="1" x14ac:dyDescent="0.25">
      <c r="A32" s="4914"/>
      <c r="B32" s="4915"/>
      <c r="C32" s="4915"/>
      <c r="D32" s="4915"/>
      <c r="E32" s="4915"/>
      <c r="F32" s="4915"/>
      <c r="G32" s="4915"/>
      <c r="H32" s="4915"/>
      <c r="I32" s="4915"/>
      <c r="J32" s="4915"/>
      <c r="K32" s="4915"/>
      <c r="L32" s="4915"/>
      <c r="M32" s="4915"/>
      <c r="N32" s="4915"/>
      <c r="O32" s="4915"/>
      <c r="P32" s="4915"/>
      <c r="Q32" s="4915"/>
      <c r="R32" s="4915"/>
      <c r="S32" s="4915"/>
      <c r="T32" s="4915"/>
      <c r="U32" s="4915"/>
      <c r="V32" s="4915"/>
      <c r="W32" s="4915"/>
      <c r="X32" s="4916"/>
    </row>
    <row r="33" spans="1:24" ht="15" customHeight="1" thickBot="1" x14ac:dyDescent="0.25">
      <c r="A33" s="4951">
        <v>2016</v>
      </c>
      <c r="B33" s="4954" t="s">
        <v>382</v>
      </c>
      <c r="C33" s="4954"/>
      <c r="D33" s="4954"/>
      <c r="E33" s="4954"/>
      <c r="F33" s="4954"/>
      <c r="G33" s="4954"/>
      <c r="H33" s="4954"/>
      <c r="I33" s="4954"/>
      <c r="J33" s="4954"/>
      <c r="K33" s="4954"/>
      <c r="L33" s="4954"/>
      <c r="M33" s="4954"/>
      <c r="N33" s="4954"/>
      <c r="O33" s="4954"/>
      <c r="P33" s="4955"/>
      <c r="Q33" s="4956" t="s">
        <v>389</v>
      </c>
      <c r="R33" s="4957"/>
      <c r="S33" s="4957"/>
      <c r="T33" s="4958"/>
      <c r="U33" s="4956" t="s">
        <v>390</v>
      </c>
      <c r="V33" s="4957"/>
      <c r="W33" s="4957"/>
      <c r="X33" s="4958"/>
    </row>
    <row r="34" spans="1:24" ht="15" customHeight="1" thickBot="1" x14ac:dyDescent="0.25">
      <c r="A34" s="4952"/>
      <c r="B34" s="4962" t="s">
        <v>851</v>
      </c>
      <c r="C34" s="4963"/>
      <c r="D34" s="4963"/>
      <c r="E34" s="4963"/>
      <c r="F34" s="4964"/>
      <c r="G34" s="4965" t="s">
        <v>852</v>
      </c>
      <c r="H34" s="4966"/>
      <c r="I34" s="4966"/>
      <c r="J34" s="4966"/>
      <c r="K34" s="4967"/>
      <c r="L34" s="4965" t="s">
        <v>815</v>
      </c>
      <c r="M34" s="4966"/>
      <c r="N34" s="4966"/>
      <c r="O34" s="4966"/>
      <c r="P34" s="4968"/>
      <c r="Q34" s="4959"/>
      <c r="R34" s="4960"/>
      <c r="S34" s="4960"/>
      <c r="T34" s="4961"/>
      <c r="U34" s="4959"/>
      <c r="V34" s="4960"/>
      <c r="W34" s="4960"/>
      <c r="X34" s="4961"/>
    </row>
    <row r="35" spans="1:24" ht="15" customHeight="1" x14ac:dyDescent="0.2">
      <c r="A35" s="4952"/>
      <c r="B35" s="4969" t="s">
        <v>288</v>
      </c>
      <c r="C35" s="4972" t="s">
        <v>50</v>
      </c>
      <c r="D35" s="4972"/>
      <c r="E35" s="4972"/>
      <c r="F35" s="4973"/>
      <c r="G35" s="4974" t="s">
        <v>288</v>
      </c>
      <c r="H35" s="4975" t="s">
        <v>50</v>
      </c>
      <c r="I35" s="4975"/>
      <c r="J35" s="4975"/>
      <c r="K35" s="4976"/>
      <c r="L35" s="4974" t="s">
        <v>288</v>
      </c>
      <c r="M35" s="4975" t="s">
        <v>50</v>
      </c>
      <c r="N35" s="4975"/>
      <c r="O35" s="4975"/>
      <c r="P35" s="4976"/>
      <c r="Q35" s="4974" t="s">
        <v>288</v>
      </c>
      <c r="R35" s="4977" t="s">
        <v>50</v>
      </c>
      <c r="S35" s="4977"/>
      <c r="T35" s="4978"/>
      <c r="U35" s="4974" t="s">
        <v>288</v>
      </c>
      <c r="V35" s="4977" t="s">
        <v>50</v>
      </c>
      <c r="W35" s="4977"/>
      <c r="X35" s="4978"/>
    </row>
    <row r="36" spans="1:24" ht="15" customHeight="1" x14ac:dyDescent="0.2">
      <c r="A36" s="4952"/>
      <c r="B36" s="4970"/>
      <c r="C36" s="4943" t="s">
        <v>366</v>
      </c>
      <c r="D36" s="4945" t="s">
        <v>228</v>
      </c>
      <c r="E36" s="4945"/>
      <c r="F36" s="4985" t="s">
        <v>853</v>
      </c>
      <c r="G36" s="4970"/>
      <c r="H36" s="4943" t="s">
        <v>366</v>
      </c>
      <c r="I36" s="4945" t="s">
        <v>228</v>
      </c>
      <c r="J36" s="4945"/>
      <c r="K36" s="4985" t="s">
        <v>853</v>
      </c>
      <c r="L36" s="4970"/>
      <c r="M36" s="4943" t="s">
        <v>366</v>
      </c>
      <c r="N36" s="4945" t="s">
        <v>228</v>
      </c>
      <c r="O36" s="4945"/>
      <c r="P36" s="4985" t="s">
        <v>853</v>
      </c>
      <c r="Q36" s="4970"/>
      <c r="R36" s="4943" t="s">
        <v>366</v>
      </c>
      <c r="S36" s="4943"/>
      <c r="T36" s="4987" t="s">
        <v>853</v>
      </c>
      <c r="U36" s="4970"/>
      <c r="V36" s="4943" t="s">
        <v>366</v>
      </c>
      <c r="W36" s="4943"/>
      <c r="X36" s="4987" t="s">
        <v>853</v>
      </c>
    </row>
    <row r="37" spans="1:24" ht="15" customHeight="1" thickBot="1" x14ac:dyDescent="0.25">
      <c r="A37" s="4953"/>
      <c r="B37" s="4971"/>
      <c r="C37" s="4944"/>
      <c r="D37" s="889" t="s">
        <v>253</v>
      </c>
      <c r="E37" s="889" t="s">
        <v>287</v>
      </c>
      <c r="F37" s="4986"/>
      <c r="G37" s="4971"/>
      <c r="H37" s="4944"/>
      <c r="I37" s="889" t="s">
        <v>253</v>
      </c>
      <c r="J37" s="889" t="s">
        <v>287</v>
      </c>
      <c r="K37" s="4986"/>
      <c r="L37" s="4971"/>
      <c r="M37" s="4944"/>
      <c r="N37" s="889" t="s">
        <v>253</v>
      </c>
      <c r="O37" s="889" t="s">
        <v>287</v>
      </c>
      <c r="P37" s="4986"/>
      <c r="Q37" s="4971"/>
      <c r="R37" s="894" t="s">
        <v>854</v>
      </c>
      <c r="S37" s="894" t="s">
        <v>253</v>
      </c>
      <c r="T37" s="4986"/>
      <c r="U37" s="4971"/>
      <c r="V37" s="894" t="s">
        <v>854</v>
      </c>
      <c r="W37" s="894" t="s">
        <v>253</v>
      </c>
      <c r="X37" s="4986"/>
    </row>
    <row r="38" spans="1:24" ht="30" customHeight="1" x14ac:dyDescent="0.2">
      <c r="A38" s="893" t="s">
        <v>379</v>
      </c>
      <c r="B38" s="890">
        <f>SUM(B28)</f>
        <v>2005.3184999999999</v>
      </c>
      <c r="C38" s="891">
        <f t="shared" ref="C38:P38" si="2">SUM(C28)</f>
        <v>1994.6085</v>
      </c>
      <c r="D38" s="891">
        <f t="shared" si="2"/>
        <v>1214.28</v>
      </c>
      <c r="E38" s="891">
        <f t="shared" si="2"/>
        <v>780.32850000000008</v>
      </c>
      <c r="F38" s="892">
        <f t="shared" si="2"/>
        <v>10.71</v>
      </c>
      <c r="G38" s="890">
        <f t="shared" si="2"/>
        <v>2005.3184999999999</v>
      </c>
      <c r="H38" s="891">
        <f t="shared" si="2"/>
        <v>1994.6085</v>
      </c>
      <c r="I38" s="891">
        <f t="shared" si="2"/>
        <v>1214.28</v>
      </c>
      <c r="J38" s="891">
        <f t="shared" si="2"/>
        <v>780.32850000000008</v>
      </c>
      <c r="K38" s="892">
        <f t="shared" si="2"/>
        <v>10.71</v>
      </c>
      <c r="L38" s="890">
        <f t="shared" si="2"/>
        <v>4010.6369999999997</v>
      </c>
      <c r="M38" s="891">
        <f t="shared" si="2"/>
        <v>3989.2170000000001</v>
      </c>
      <c r="N38" s="891">
        <f t="shared" si="2"/>
        <v>2428.56</v>
      </c>
      <c r="O38" s="891">
        <f t="shared" si="2"/>
        <v>1560.6570000000002</v>
      </c>
      <c r="P38" s="892">
        <f t="shared" si="2"/>
        <v>21.42</v>
      </c>
      <c r="Q38" s="890"/>
      <c r="R38" s="895"/>
      <c r="S38" s="895"/>
      <c r="T38" s="896"/>
      <c r="U38" s="897"/>
      <c r="V38" s="895"/>
      <c r="W38" s="895"/>
      <c r="X38" s="896"/>
    </row>
    <row r="39" spans="1:24" ht="30" customHeight="1" x14ac:dyDescent="0.2">
      <c r="A39" s="876" t="s">
        <v>380</v>
      </c>
      <c r="B39" s="882" t="e">
        <f>SUM(B40/B38)</f>
        <v>#REF!</v>
      </c>
      <c r="C39" s="883" t="e">
        <f>SUM(C40/C38)</f>
        <v>#REF!</v>
      </c>
      <c r="D39" s="883">
        <f>SUM(I19)</f>
        <v>25.945700000000002</v>
      </c>
      <c r="E39" s="883" t="e">
        <f>SUM(J19)</f>
        <v>#REF!</v>
      </c>
      <c r="F39" s="884">
        <f>SUM(K19)</f>
        <v>20.11</v>
      </c>
      <c r="G39" s="882" t="e">
        <f>SUM(G40/G38)</f>
        <v>#REF!</v>
      </c>
      <c r="H39" s="883" t="e">
        <f>H40/H38</f>
        <v>#REF!</v>
      </c>
      <c r="I39" s="883">
        <f>D39*1.2</f>
        <v>31.134840000000001</v>
      </c>
      <c r="J39" s="883" t="e">
        <f>SUM(H39)</f>
        <v>#REF!</v>
      </c>
      <c r="K39" s="884">
        <f t="shared" ref="K39:P39" si="3">SUM(K40/K38)</f>
        <v>25.350484680875475</v>
      </c>
      <c r="L39" s="882">
        <f t="shared" si="3"/>
        <v>35.399368277928524</v>
      </c>
      <c r="M39" s="883">
        <f t="shared" si="3"/>
        <v>35.467394829901259</v>
      </c>
      <c r="N39" s="883">
        <f t="shared" si="3"/>
        <v>28.540270000000003</v>
      </c>
      <c r="O39" s="883" t="e">
        <f t="shared" si="3"/>
        <v>#REF!</v>
      </c>
      <c r="P39" s="884">
        <f t="shared" si="3"/>
        <v>22.730242340437737</v>
      </c>
      <c r="Q39" s="885" t="e">
        <f>SUM(G39/B39)</f>
        <v>#REF!</v>
      </c>
      <c r="R39" s="871" t="e">
        <f>SUM(H39/C39)</f>
        <v>#REF!</v>
      </c>
      <c r="S39" s="871">
        <f>I39/D39</f>
        <v>1.2</v>
      </c>
      <c r="T39" s="878">
        <f>SUM(K39/F39)</f>
        <v>1.2605909836337879</v>
      </c>
      <c r="U39" s="880" t="e">
        <f>SUM(L39/L19)</f>
        <v>#REF!</v>
      </c>
      <c r="V39" s="872" t="e">
        <f>SUM(M39/M19)</f>
        <v>#REF!</v>
      </c>
      <c r="W39" s="872">
        <f>SUM(N39/N19)</f>
        <v>1.1743589743589746</v>
      </c>
      <c r="X39" s="873" t="e">
        <f>SUM(P39/P19)</f>
        <v>#DIV/0!</v>
      </c>
    </row>
    <row r="40" spans="1:24" ht="30" customHeight="1" x14ac:dyDescent="0.2">
      <c r="A40" s="876" t="s">
        <v>381</v>
      </c>
      <c r="B40" s="882" t="e">
        <f>SUM(C40+F40)</f>
        <v>#REF!</v>
      </c>
      <c r="C40" s="883" t="e">
        <f>SUM(D40:E40)+D41</f>
        <v>#REF!</v>
      </c>
      <c r="D40" s="883">
        <f>D39*D38</f>
        <v>31505.344596000003</v>
      </c>
      <c r="E40" s="883" t="e">
        <f>E39*E38</f>
        <v>#REF!</v>
      </c>
      <c r="F40" s="884">
        <f>F39*F38</f>
        <v>215.37810000000002</v>
      </c>
      <c r="G40" s="882" t="e">
        <f>SUM(L40-B40)</f>
        <v>#REF!</v>
      </c>
      <c r="H40" s="883" t="e">
        <f>SUM(M40-C40)</f>
        <v>#REF!</v>
      </c>
      <c r="I40" s="883">
        <f>I39*I38</f>
        <v>37806.413515200002</v>
      </c>
      <c r="J40" s="883" t="e">
        <f>SUM(J38*J39)</f>
        <v>#REF!</v>
      </c>
      <c r="K40" s="884">
        <f>SUM(P40-F40)</f>
        <v>271.50369093217637</v>
      </c>
      <c r="L40" s="882">
        <f>SUM(вода!AZ90)</f>
        <v>141974.01619208642</v>
      </c>
      <c r="M40" s="883">
        <f>SUM(вода!BB90)</f>
        <v>141487.13440115421</v>
      </c>
      <c r="N40" s="883">
        <f>SUM(D40+I40)</f>
        <v>69311.758111200004</v>
      </c>
      <c r="O40" s="883" t="e">
        <f>SUM(E40+J40)</f>
        <v>#REF!</v>
      </c>
      <c r="P40" s="884">
        <f>SUM(вода!BC90)</f>
        <v>486.88179093217639</v>
      </c>
      <c r="Q40" s="882"/>
      <c r="R40" s="869"/>
      <c r="S40" s="869"/>
      <c r="T40" s="870"/>
      <c r="U40" s="879"/>
      <c r="V40" s="869"/>
      <c r="W40" s="869"/>
      <c r="X40" s="870"/>
    </row>
    <row r="41" spans="1:24" ht="30" customHeight="1" thickBot="1" x14ac:dyDescent="0.25">
      <c r="A41" s="877" t="s">
        <v>383</v>
      </c>
      <c r="B41" s="886" t="e">
        <f>SUM(C41:F41)</f>
        <v>#REF!</v>
      </c>
      <c r="C41" s="887">
        <v>0</v>
      </c>
      <c r="D41" s="887" t="e">
        <f>SUM(E39-D39)*D38</f>
        <v>#REF!</v>
      </c>
      <c r="E41" s="887">
        <v>0</v>
      </c>
      <c r="F41" s="888">
        <v>0</v>
      </c>
      <c r="G41" s="886" t="e">
        <f>SUM(H41:K41)</f>
        <v>#REF!</v>
      </c>
      <c r="H41" s="887">
        <v>0</v>
      </c>
      <c r="I41" s="887" t="e">
        <f>SUM(H39-I39)*I38</f>
        <v>#REF!</v>
      </c>
      <c r="J41" s="887">
        <v>0</v>
      </c>
      <c r="K41" s="888">
        <v>0</v>
      </c>
      <c r="L41" s="886" t="e">
        <f>SUM(M41:P41)</f>
        <v>#REF!</v>
      </c>
      <c r="M41" s="887">
        <v>0</v>
      </c>
      <c r="N41" s="887" t="e">
        <f>SUM(B41+G41)</f>
        <v>#REF!</v>
      </c>
      <c r="O41" s="887">
        <v>0</v>
      </c>
      <c r="P41" s="888">
        <v>0</v>
      </c>
      <c r="Q41" s="886"/>
      <c r="R41" s="874"/>
      <c r="S41" s="874"/>
      <c r="T41" s="875"/>
      <c r="U41" s="881"/>
      <c r="V41" s="874"/>
      <c r="W41" s="874"/>
      <c r="X41" s="875"/>
    </row>
    <row r="42" spans="1:24" ht="26.25" customHeight="1" thickBot="1" x14ac:dyDescent="0.45">
      <c r="A42" s="4948" t="s">
        <v>855</v>
      </c>
      <c r="B42" s="4949"/>
      <c r="C42" s="4949"/>
      <c r="D42" s="4949"/>
      <c r="E42" s="4949"/>
      <c r="F42" s="4949"/>
      <c r="G42" s="4949"/>
      <c r="H42" s="4949"/>
      <c r="I42" s="4949"/>
      <c r="J42" s="4949"/>
      <c r="K42" s="4949"/>
      <c r="L42" s="4949"/>
      <c r="M42" s="4949"/>
      <c r="N42" s="4949"/>
      <c r="O42" s="4949"/>
      <c r="P42" s="4949"/>
      <c r="Q42" s="4949"/>
      <c r="R42" s="4949"/>
      <c r="S42" s="4949"/>
      <c r="T42" s="4949"/>
      <c r="U42" s="4949"/>
      <c r="V42" s="4949"/>
      <c r="W42" s="4949"/>
      <c r="X42" s="4950"/>
    </row>
    <row r="43" spans="1:24" ht="15" customHeight="1" thickBot="1" x14ac:dyDescent="0.25">
      <c r="A43" s="4917">
        <v>2016</v>
      </c>
      <c r="B43" s="4920" t="s">
        <v>385</v>
      </c>
      <c r="C43" s="4920"/>
      <c r="D43" s="4920"/>
      <c r="E43" s="4920"/>
      <c r="F43" s="4920"/>
      <c r="G43" s="4920"/>
      <c r="H43" s="4920"/>
      <c r="I43" s="4920"/>
      <c r="J43" s="4920"/>
      <c r="K43" s="4920"/>
      <c r="L43" s="4920"/>
      <c r="M43" s="4920"/>
      <c r="N43" s="4920"/>
      <c r="O43" s="4920"/>
      <c r="P43" s="4921"/>
      <c r="Q43" s="4930" t="s">
        <v>389</v>
      </c>
      <c r="R43" s="4931"/>
      <c r="S43" s="4931"/>
      <c r="T43" s="4932"/>
      <c r="U43" s="4930" t="s">
        <v>390</v>
      </c>
      <c r="V43" s="4931"/>
      <c r="W43" s="4931"/>
      <c r="X43" s="4932"/>
    </row>
    <row r="44" spans="1:24" ht="15" customHeight="1" thickBot="1" x14ac:dyDescent="0.25">
      <c r="A44" s="4918"/>
      <c r="B44" s="4936" t="s">
        <v>851</v>
      </c>
      <c r="C44" s="4937"/>
      <c r="D44" s="4937"/>
      <c r="E44" s="4937"/>
      <c r="F44" s="4938"/>
      <c r="G44" s="4939" t="s">
        <v>852</v>
      </c>
      <c r="H44" s="4940"/>
      <c r="I44" s="4940"/>
      <c r="J44" s="4940"/>
      <c r="K44" s="4941"/>
      <c r="L44" s="4939" t="s">
        <v>815</v>
      </c>
      <c r="M44" s="4940"/>
      <c r="N44" s="4940"/>
      <c r="O44" s="4940"/>
      <c r="P44" s="4942"/>
      <c r="Q44" s="4933"/>
      <c r="R44" s="4934"/>
      <c r="S44" s="4934"/>
      <c r="T44" s="4935"/>
      <c r="U44" s="4933"/>
      <c r="V44" s="4934"/>
      <c r="W44" s="4934"/>
      <c r="X44" s="4935"/>
    </row>
    <row r="45" spans="1:24" ht="15" customHeight="1" x14ac:dyDescent="0.2">
      <c r="A45" s="4918"/>
      <c r="B45" s="4922" t="s">
        <v>288</v>
      </c>
      <c r="C45" s="4925" t="s">
        <v>50</v>
      </c>
      <c r="D45" s="4925"/>
      <c r="E45" s="4925"/>
      <c r="F45" s="4926"/>
      <c r="G45" s="4927" t="s">
        <v>288</v>
      </c>
      <c r="H45" s="4928" t="s">
        <v>50</v>
      </c>
      <c r="I45" s="4928"/>
      <c r="J45" s="4928"/>
      <c r="K45" s="4929"/>
      <c r="L45" s="4927" t="s">
        <v>288</v>
      </c>
      <c r="M45" s="4928" t="s">
        <v>50</v>
      </c>
      <c r="N45" s="4928"/>
      <c r="O45" s="4928"/>
      <c r="P45" s="4929"/>
      <c r="Q45" s="4927" t="s">
        <v>288</v>
      </c>
      <c r="R45" s="4903" t="s">
        <v>50</v>
      </c>
      <c r="S45" s="4903"/>
      <c r="T45" s="4904"/>
      <c r="U45" s="4927" t="s">
        <v>288</v>
      </c>
      <c r="V45" s="4903" t="s">
        <v>50</v>
      </c>
      <c r="W45" s="4903"/>
      <c r="X45" s="4904"/>
    </row>
    <row r="46" spans="1:24" ht="15" customHeight="1" x14ac:dyDescent="0.2">
      <c r="A46" s="4918"/>
      <c r="B46" s="4923"/>
      <c r="C46" s="4905" t="s">
        <v>366</v>
      </c>
      <c r="D46" s="4913" t="s">
        <v>228</v>
      </c>
      <c r="E46" s="4913"/>
      <c r="F46" s="4982" t="s">
        <v>853</v>
      </c>
      <c r="G46" s="4923"/>
      <c r="H46" s="4905" t="s">
        <v>366</v>
      </c>
      <c r="I46" s="4913" t="s">
        <v>228</v>
      </c>
      <c r="J46" s="4913"/>
      <c r="K46" s="4982" t="s">
        <v>853</v>
      </c>
      <c r="L46" s="4923"/>
      <c r="M46" s="4905" t="s">
        <v>366</v>
      </c>
      <c r="N46" s="4913" t="s">
        <v>228</v>
      </c>
      <c r="O46" s="4913"/>
      <c r="P46" s="4982" t="s">
        <v>853</v>
      </c>
      <c r="Q46" s="4923"/>
      <c r="R46" s="4905" t="s">
        <v>366</v>
      </c>
      <c r="S46" s="4905"/>
      <c r="T46" s="4984" t="s">
        <v>853</v>
      </c>
      <c r="U46" s="4923"/>
      <c r="V46" s="4905" t="s">
        <v>366</v>
      </c>
      <c r="W46" s="4905"/>
      <c r="X46" s="4984" t="s">
        <v>853</v>
      </c>
    </row>
    <row r="47" spans="1:24" ht="15" customHeight="1" thickBot="1" x14ac:dyDescent="0.25">
      <c r="A47" s="4919"/>
      <c r="B47" s="4924"/>
      <c r="C47" s="4912"/>
      <c r="D47" s="898" t="s">
        <v>253</v>
      </c>
      <c r="E47" s="898" t="s">
        <v>287</v>
      </c>
      <c r="F47" s="4983"/>
      <c r="G47" s="4924"/>
      <c r="H47" s="4912"/>
      <c r="I47" s="898" t="s">
        <v>253</v>
      </c>
      <c r="J47" s="898" t="s">
        <v>287</v>
      </c>
      <c r="K47" s="4983"/>
      <c r="L47" s="4924"/>
      <c r="M47" s="4912"/>
      <c r="N47" s="898" t="s">
        <v>253</v>
      </c>
      <c r="O47" s="898" t="s">
        <v>287</v>
      </c>
      <c r="P47" s="4983"/>
      <c r="Q47" s="4924"/>
      <c r="R47" s="898" t="s">
        <v>854</v>
      </c>
      <c r="S47" s="898" t="s">
        <v>253</v>
      </c>
      <c r="T47" s="4983"/>
      <c r="U47" s="4924"/>
      <c r="V47" s="898" t="s">
        <v>854</v>
      </c>
      <c r="W47" s="898" t="s">
        <v>253</v>
      </c>
      <c r="X47" s="4983"/>
    </row>
    <row r="48" spans="1:24" ht="30" customHeight="1" x14ac:dyDescent="0.2">
      <c r="A48" s="899" t="s">
        <v>379</v>
      </c>
      <c r="B48" s="900">
        <f>SUM('объемы ВС и ВО 2023'!AA49/2)</f>
        <v>1994.6085</v>
      </c>
      <c r="C48" s="901">
        <f>SUM(D48:E48)</f>
        <v>1994.6085</v>
      </c>
      <c r="D48" s="901">
        <f>SUM('объемы ВС и ВО 2023'!AA50/2)</f>
        <v>1214.28</v>
      </c>
      <c r="E48" s="901">
        <f>SUM('объемы ВС и ВО 2023'!AA52+'объемы ВС и ВО 2023'!AA57)/2</f>
        <v>780.32850000000008</v>
      </c>
      <c r="F48" s="902">
        <f>SUM('объемы ВС и ВО 2023'!AA51/2)</f>
        <v>0</v>
      </c>
      <c r="G48" s="900">
        <f>B48</f>
        <v>1994.6085</v>
      </c>
      <c r="H48" s="901">
        <f>C48</f>
        <v>1994.6085</v>
      </c>
      <c r="I48" s="901">
        <f>D48</f>
        <v>1214.28</v>
      </c>
      <c r="J48" s="901">
        <f>E48</f>
        <v>780.32850000000008</v>
      </c>
      <c r="K48" s="902">
        <f>F48</f>
        <v>0</v>
      </c>
      <c r="L48" s="900">
        <f>SUM(B48+G48)</f>
        <v>3989.2170000000001</v>
      </c>
      <c r="M48" s="901">
        <f>SUM(C48+H48)</f>
        <v>3989.2170000000001</v>
      </c>
      <c r="N48" s="901">
        <f>SUM(D48+I48)</f>
        <v>2428.56</v>
      </c>
      <c r="O48" s="901">
        <f>SUM(E48+J48)</f>
        <v>1560.6570000000002</v>
      </c>
      <c r="P48" s="902">
        <f>SUM(F48+K48)</f>
        <v>0</v>
      </c>
      <c r="Q48" s="900"/>
      <c r="R48" s="903"/>
      <c r="S48" s="903"/>
      <c r="T48" s="904"/>
      <c r="U48" s="905"/>
      <c r="V48" s="903"/>
      <c r="W48" s="903"/>
      <c r="X48" s="904"/>
    </row>
    <row r="49" spans="1:24" ht="30" customHeight="1" x14ac:dyDescent="0.2">
      <c r="A49" s="906" t="s">
        <v>380</v>
      </c>
      <c r="B49" s="907" t="e">
        <f>SUM(B50/B48)</f>
        <v>#REF!</v>
      </c>
      <c r="C49" s="908" t="e">
        <f>SUM(C50/C48)</f>
        <v>#REF!</v>
      </c>
      <c r="D49" s="908">
        <f>SUM(I9)</f>
        <v>25.945700000000002</v>
      </c>
      <c r="E49" s="908" t="e">
        <f>SUM(J9)</f>
        <v>#REF!</v>
      </c>
      <c r="F49" s="909">
        <f>SUM(K9)</f>
        <v>20.11</v>
      </c>
      <c r="G49" s="907" t="e">
        <f>SUM(G50/G48)</f>
        <v>#REF!</v>
      </c>
      <c r="H49" s="908" t="e">
        <f>H50/H48</f>
        <v>#REF!</v>
      </c>
      <c r="I49" s="908">
        <f>D49*1.045</f>
        <v>27.113256500000002</v>
      </c>
      <c r="J49" s="908" t="e">
        <f>SUM(H49)</f>
        <v>#REF!</v>
      </c>
      <c r="K49" s="909" t="e">
        <f t="shared" ref="K49:P49" si="4">SUM(K50/K48)</f>
        <v>#DIV/0!</v>
      </c>
      <c r="L49" s="907">
        <f t="shared" si="4"/>
        <v>32.628198394370763</v>
      </c>
      <c r="M49" s="908">
        <f t="shared" si="4"/>
        <v>32.628198394370763</v>
      </c>
      <c r="N49" s="908">
        <f t="shared" si="4"/>
        <v>26.529478250000004</v>
      </c>
      <c r="O49" s="908" t="e">
        <f t="shared" si="4"/>
        <v>#REF!</v>
      </c>
      <c r="P49" s="909" t="e">
        <f t="shared" si="4"/>
        <v>#DIV/0!</v>
      </c>
      <c r="Q49" s="910" t="e">
        <f>SUM(G49/B49)</f>
        <v>#REF!</v>
      </c>
      <c r="R49" s="911" t="e">
        <f>SUM(H49/C49)</f>
        <v>#REF!</v>
      </c>
      <c r="S49" s="911">
        <f>I49/D49</f>
        <v>1.0449999999999999</v>
      </c>
      <c r="T49" s="912" t="e">
        <f>SUM(K49/F49)</f>
        <v>#DIV/0!</v>
      </c>
      <c r="U49" s="913" t="e">
        <f>SUM(L49/L9)</f>
        <v>#REF!</v>
      </c>
      <c r="V49" s="914" t="e">
        <f>SUM(M49/M9)</f>
        <v>#REF!</v>
      </c>
      <c r="W49" s="914">
        <f>SUM(N49/N9)</f>
        <v>1.0916200466200467</v>
      </c>
      <c r="X49" s="915" t="e">
        <f>SUM(P49/P9)</f>
        <v>#DIV/0!</v>
      </c>
    </row>
    <row r="50" spans="1:24" ht="30" customHeight="1" x14ac:dyDescent="0.2">
      <c r="A50" s="906" t="s">
        <v>381</v>
      </c>
      <c r="B50" s="907" t="e">
        <f>SUM(C50+F50)</f>
        <v>#REF!</v>
      </c>
      <c r="C50" s="908" t="e">
        <f>SUM(D50:E50)+D51</f>
        <v>#REF!</v>
      </c>
      <c r="D50" s="908">
        <f>D49*D48</f>
        <v>31505.344596000003</v>
      </c>
      <c r="E50" s="908" t="e">
        <f>E49*E48</f>
        <v>#REF!</v>
      </c>
      <c r="F50" s="909">
        <f>F49*F48</f>
        <v>0</v>
      </c>
      <c r="G50" s="907" t="e">
        <f>SUM(L50-B50)</f>
        <v>#REF!</v>
      </c>
      <c r="H50" s="908" t="e">
        <f>SUM(M50-C50)</f>
        <v>#REF!</v>
      </c>
      <c r="I50" s="908">
        <f>I49*I48</f>
        <v>32923.085102820005</v>
      </c>
      <c r="J50" s="908" t="e">
        <f>SUM(J48*J49)</f>
        <v>#REF!</v>
      </c>
      <c r="K50" s="909">
        <f>SUM(P50-F50)</f>
        <v>344.13892519829579</v>
      </c>
      <c r="L50" s="907">
        <f>вода!BE93</f>
        <v>130160.96371419655</v>
      </c>
      <c r="M50" s="908">
        <f>SUM(вода!BE93)</f>
        <v>130160.96371419655</v>
      </c>
      <c r="N50" s="908">
        <f>SUM(D50+I50)</f>
        <v>64428.429698820008</v>
      </c>
      <c r="O50" s="908" t="e">
        <f>SUM(E50+J50)</f>
        <v>#REF!</v>
      </c>
      <c r="P50" s="909">
        <f>SUM(вода!BF93)</f>
        <v>344.13892519829579</v>
      </c>
      <c r="Q50" s="907"/>
      <c r="R50" s="916"/>
      <c r="S50" s="916"/>
      <c r="T50" s="917"/>
      <c r="U50" s="918"/>
      <c r="V50" s="916"/>
      <c r="W50" s="916"/>
      <c r="X50" s="917"/>
    </row>
    <row r="51" spans="1:24" ht="30" customHeight="1" thickBot="1" x14ac:dyDescent="0.25">
      <c r="A51" s="919" t="s">
        <v>383</v>
      </c>
      <c r="B51" s="920" t="e">
        <f>SUM(C51:F51)</f>
        <v>#REF!</v>
      </c>
      <c r="C51" s="921">
        <v>0</v>
      </c>
      <c r="D51" s="921" t="e">
        <f>SUM(E49-D49)*D48</f>
        <v>#REF!</v>
      </c>
      <c r="E51" s="921">
        <v>0</v>
      </c>
      <c r="F51" s="922">
        <v>0</v>
      </c>
      <c r="G51" s="920" t="e">
        <f>SUM(H51:K51)</f>
        <v>#REF!</v>
      </c>
      <c r="H51" s="921">
        <v>0</v>
      </c>
      <c r="I51" s="921" t="e">
        <f>SUM(H49-I49)*I48</f>
        <v>#REF!</v>
      </c>
      <c r="J51" s="921">
        <v>0</v>
      </c>
      <c r="K51" s="922">
        <v>0</v>
      </c>
      <c r="L51" s="920" t="e">
        <f>SUM(M51:P51)</f>
        <v>#REF!</v>
      </c>
      <c r="M51" s="921">
        <v>0</v>
      </c>
      <c r="N51" s="921" t="e">
        <f>SUM(B51+G51)</f>
        <v>#REF!</v>
      </c>
      <c r="O51" s="921">
        <v>0</v>
      </c>
      <c r="P51" s="922">
        <v>0</v>
      </c>
      <c r="Q51" s="920"/>
      <c r="R51" s="923"/>
      <c r="S51" s="923"/>
      <c r="T51" s="924"/>
      <c r="U51" s="925"/>
      <c r="V51" s="923"/>
      <c r="W51" s="923"/>
      <c r="X51" s="924"/>
    </row>
    <row r="52" spans="1:24" ht="15" customHeight="1" thickBot="1" x14ac:dyDescent="0.25">
      <c r="A52" s="4914"/>
      <c r="B52" s="4915"/>
      <c r="C52" s="4915"/>
      <c r="D52" s="4915"/>
      <c r="E52" s="4915"/>
      <c r="F52" s="4915"/>
      <c r="G52" s="4915"/>
      <c r="H52" s="4915"/>
      <c r="I52" s="4915"/>
      <c r="J52" s="4915"/>
      <c r="K52" s="4915"/>
      <c r="L52" s="4915"/>
      <c r="M52" s="4915"/>
      <c r="N52" s="4915"/>
      <c r="O52" s="4915"/>
      <c r="P52" s="4915"/>
      <c r="Q52" s="4915"/>
      <c r="R52" s="4915"/>
      <c r="S52" s="4915"/>
      <c r="T52" s="4915"/>
      <c r="U52" s="4915"/>
      <c r="V52" s="4915"/>
      <c r="W52" s="4915"/>
      <c r="X52" s="4916"/>
    </row>
    <row r="53" spans="1:24" ht="15" customHeight="1" thickBot="1" x14ac:dyDescent="0.25">
      <c r="A53" s="4917">
        <v>2016</v>
      </c>
      <c r="B53" s="4920" t="s">
        <v>382</v>
      </c>
      <c r="C53" s="4920"/>
      <c r="D53" s="4920"/>
      <c r="E53" s="4920"/>
      <c r="F53" s="4920"/>
      <c r="G53" s="4920"/>
      <c r="H53" s="4920"/>
      <c r="I53" s="4920"/>
      <c r="J53" s="4920"/>
      <c r="K53" s="4920"/>
      <c r="L53" s="4920"/>
      <c r="M53" s="4920"/>
      <c r="N53" s="4920"/>
      <c r="O53" s="4920"/>
      <c r="P53" s="4921"/>
      <c r="Q53" s="4930" t="s">
        <v>389</v>
      </c>
      <c r="R53" s="4931"/>
      <c r="S53" s="4931"/>
      <c r="T53" s="4932"/>
      <c r="U53" s="4930" t="s">
        <v>390</v>
      </c>
      <c r="V53" s="4931"/>
      <c r="W53" s="4931"/>
      <c r="X53" s="4932"/>
    </row>
    <row r="54" spans="1:24" ht="15" customHeight="1" thickBot="1" x14ac:dyDescent="0.25">
      <c r="A54" s="4918"/>
      <c r="B54" s="4936" t="s">
        <v>851</v>
      </c>
      <c r="C54" s="4937"/>
      <c r="D54" s="4937"/>
      <c r="E54" s="4937"/>
      <c r="F54" s="4938"/>
      <c r="G54" s="4939" t="s">
        <v>852</v>
      </c>
      <c r="H54" s="4940"/>
      <c r="I54" s="4940"/>
      <c r="J54" s="4940"/>
      <c r="K54" s="4941"/>
      <c r="L54" s="4939" t="s">
        <v>815</v>
      </c>
      <c r="M54" s="4940"/>
      <c r="N54" s="4940"/>
      <c r="O54" s="4940"/>
      <c r="P54" s="4942"/>
      <c r="Q54" s="4933"/>
      <c r="R54" s="4934"/>
      <c r="S54" s="4934"/>
      <c r="T54" s="4935"/>
      <c r="U54" s="4933"/>
      <c r="V54" s="4934"/>
      <c r="W54" s="4934"/>
      <c r="X54" s="4935"/>
    </row>
    <row r="55" spans="1:24" ht="15" customHeight="1" x14ac:dyDescent="0.2">
      <c r="A55" s="4918"/>
      <c r="B55" s="4922" t="s">
        <v>288</v>
      </c>
      <c r="C55" s="4925" t="s">
        <v>50</v>
      </c>
      <c r="D55" s="4925"/>
      <c r="E55" s="4925"/>
      <c r="F55" s="4926"/>
      <c r="G55" s="4927" t="s">
        <v>288</v>
      </c>
      <c r="H55" s="4928" t="s">
        <v>50</v>
      </c>
      <c r="I55" s="4928"/>
      <c r="J55" s="4928"/>
      <c r="K55" s="4929"/>
      <c r="L55" s="4927" t="s">
        <v>288</v>
      </c>
      <c r="M55" s="4928" t="s">
        <v>50</v>
      </c>
      <c r="N55" s="4928"/>
      <c r="O55" s="4928"/>
      <c r="P55" s="4929"/>
      <c r="Q55" s="4927" t="s">
        <v>288</v>
      </c>
      <c r="R55" s="4903" t="s">
        <v>50</v>
      </c>
      <c r="S55" s="4903"/>
      <c r="T55" s="4904"/>
      <c r="U55" s="4927" t="s">
        <v>288</v>
      </c>
      <c r="V55" s="4903" t="s">
        <v>50</v>
      </c>
      <c r="W55" s="4903"/>
      <c r="X55" s="4904"/>
    </row>
    <row r="56" spans="1:24" ht="15" customHeight="1" x14ac:dyDescent="0.2">
      <c r="A56" s="4918"/>
      <c r="B56" s="4923"/>
      <c r="C56" s="4905" t="s">
        <v>366</v>
      </c>
      <c r="D56" s="4913" t="s">
        <v>228</v>
      </c>
      <c r="E56" s="4913"/>
      <c r="F56" s="4982" t="s">
        <v>853</v>
      </c>
      <c r="G56" s="4923"/>
      <c r="H56" s="4905" t="s">
        <v>366</v>
      </c>
      <c r="I56" s="4913" t="s">
        <v>228</v>
      </c>
      <c r="J56" s="4913"/>
      <c r="K56" s="4982" t="s">
        <v>853</v>
      </c>
      <c r="L56" s="4923"/>
      <c r="M56" s="4905" t="s">
        <v>366</v>
      </c>
      <c r="N56" s="4913" t="s">
        <v>228</v>
      </c>
      <c r="O56" s="4913"/>
      <c r="P56" s="4982" t="s">
        <v>853</v>
      </c>
      <c r="Q56" s="4923"/>
      <c r="R56" s="4905" t="s">
        <v>366</v>
      </c>
      <c r="S56" s="4905"/>
      <c r="T56" s="4984" t="s">
        <v>853</v>
      </c>
      <c r="U56" s="4923"/>
      <c r="V56" s="4905" t="s">
        <v>366</v>
      </c>
      <c r="W56" s="4905"/>
      <c r="X56" s="4984" t="s">
        <v>853</v>
      </c>
    </row>
    <row r="57" spans="1:24" ht="15" customHeight="1" thickBot="1" x14ac:dyDescent="0.25">
      <c r="A57" s="4919"/>
      <c r="B57" s="4924"/>
      <c r="C57" s="4912"/>
      <c r="D57" s="898" t="s">
        <v>253</v>
      </c>
      <c r="E57" s="898" t="s">
        <v>287</v>
      </c>
      <c r="F57" s="4983"/>
      <c r="G57" s="4924"/>
      <c r="H57" s="4912"/>
      <c r="I57" s="898" t="s">
        <v>253</v>
      </c>
      <c r="J57" s="898" t="s">
        <v>287</v>
      </c>
      <c r="K57" s="4983"/>
      <c r="L57" s="4924"/>
      <c r="M57" s="4912"/>
      <c r="N57" s="898" t="s">
        <v>253</v>
      </c>
      <c r="O57" s="898" t="s">
        <v>287</v>
      </c>
      <c r="P57" s="4983"/>
      <c r="Q57" s="4924"/>
      <c r="R57" s="898" t="s">
        <v>854</v>
      </c>
      <c r="S57" s="898" t="s">
        <v>253</v>
      </c>
      <c r="T57" s="4983"/>
      <c r="U57" s="4924"/>
      <c r="V57" s="898" t="s">
        <v>854</v>
      </c>
      <c r="W57" s="898" t="s">
        <v>253</v>
      </c>
      <c r="X57" s="4983"/>
    </row>
    <row r="58" spans="1:24" ht="30" customHeight="1" x14ac:dyDescent="0.2">
      <c r="A58" s="899" t="s">
        <v>379</v>
      </c>
      <c r="B58" s="900">
        <f>SUM(B48)</f>
        <v>1994.6085</v>
      </c>
      <c r="C58" s="901">
        <f t="shared" ref="C58:P58" si="5">SUM(C48)</f>
        <v>1994.6085</v>
      </c>
      <c r="D58" s="901">
        <f t="shared" si="5"/>
        <v>1214.28</v>
      </c>
      <c r="E58" s="901">
        <f t="shared" si="5"/>
        <v>780.32850000000008</v>
      </c>
      <c r="F58" s="902">
        <f t="shared" si="5"/>
        <v>0</v>
      </c>
      <c r="G58" s="900">
        <f t="shared" si="5"/>
        <v>1994.6085</v>
      </c>
      <c r="H58" s="901">
        <f t="shared" si="5"/>
        <v>1994.6085</v>
      </c>
      <c r="I58" s="901">
        <f t="shared" si="5"/>
        <v>1214.28</v>
      </c>
      <c r="J58" s="901">
        <f t="shared" si="5"/>
        <v>780.32850000000008</v>
      </c>
      <c r="K58" s="902">
        <f t="shared" si="5"/>
        <v>0</v>
      </c>
      <c r="L58" s="900">
        <f t="shared" si="5"/>
        <v>3989.2170000000001</v>
      </c>
      <c r="M58" s="901">
        <f t="shared" si="5"/>
        <v>3989.2170000000001</v>
      </c>
      <c r="N58" s="901">
        <f t="shared" si="5"/>
        <v>2428.56</v>
      </c>
      <c r="O58" s="901">
        <f t="shared" si="5"/>
        <v>1560.6570000000002</v>
      </c>
      <c r="P58" s="902">
        <f t="shared" si="5"/>
        <v>0</v>
      </c>
      <c r="Q58" s="900"/>
      <c r="R58" s="903"/>
      <c r="S58" s="903"/>
      <c r="T58" s="904"/>
      <c r="U58" s="905"/>
      <c r="V58" s="903"/>
      <c r="W58" s="903"/>
      <c r="X58" s="904"/>
    </row>
    <row r="59" spans="1:24" ht="30" customHeight="1" x14ac:dyDescent="0.2">
      <c r="A59" s="906" t="s">
        <v>380</v>
      </c>
      <c r="B59" s="907" t="e">
        <f>SUM(B60/B58)</f>
        <v>#REF!</v>
      </c>
      <c r="C59" s="908" t="e">
        <f>SUM(C60/C58)</f>
        <v>#REF!</v>
      </c>
      <c r="D59" s="908">
        <f t="shared" ref="D59:E59" si="6">SUM(I19)</f>
        <v>25.945700000000002</v>
      </c>
      <c r="E59" s="908" t="e">
        <f t="shared" si="6"/>
        <v>#REF!</v>
      </c>
      <c r="F59" s="909">
        <f>SUM(K19)</f>
        <v>20.11</v>
      </c>
      <c r="G59" s="907" t="e">
        <f>SUM(G60/G58)</f>
        <v>#REF!</v>
      </c>
      <c r="H59" s="908" t="e">
        <f>H60/H58</f>
        <v>#REF!</v>
      </c>
      <c r="I59" s="908">
        <f>D59*1.045</f>
        <v>27.113256500000002</v>
      </c>
      <c r="J59" s="908" t="e">
        <f>SUM(H59)</f>
        <v>#REF!</v>
      </c>
      <c r="K59" s="909" t="e">
        <f t="shared" ref="K59:P59" si="7">SUM(K60/K58)</f>
        <v>#DIV/0!</v>
      </c>
      <c r="L59" s="907">
        <f t="shared" si="7"/>
        <v>31.717778862216537</v>
      </c>
      <c r="M59" s="908">
        <f t="shared" si="7"/>
        <v>31.631511575879816</v>
      </c>
      <c r="N59" s="908">
        <f t="shared" si="7"/>
        <v>26.529478250000004</v>
      </c>
      <c r="O59" s="908" t="e">
        <f t="shared" si="7"/>
        <v>#REF!</v>
      </c>
      <c r="P59" s="909" t="e">
        <f t="shared" si="7"/>
        <v>#DIV/0!</v>
      </c>
      <c r="Q59" s="910" t="e">
        <f>SUM(G59/B59)</f>
        <v>#REF!</v>
      </c>
      <c r="R59" s="911" t="e">
        <f>SUM(H59/C59)</f>
        <v>#REF!</v>
      </c>
      <c r="S59" s="911">
        <f>I59/D59</f>
        <v>1.0449999999999999</v>
      </c>
      <c r="T59" s="912" t="e">
        <f>SUM(K59/F59)</f>
        <v>#DIV/0!</v>
      </c>
      <c r="U59" s="913" t="e">
        <f>SUM(L59/L19)</f>
        <v>#REF!</v>
      </c>
      <c r="V59" s="914" t="e">
        <f>SUM(M59/M19)</f>
        <v>#REF!</v>
      </c>
      <c r="W59" s="914">
        <f>SUM(N59/N19)</f>
        <v>1.0916200466200467</v>
      </c>
      <c r="X59" s="915" t="e">
        <f>SUM(P59/P19)</f>
        <v>#DIV/0!</v>
      </c>
    </row>
    <row r="60" spans="1:24" ht="30" customHeight="1" x14ac:dyDescent="0.2">
      <c r="A60" s="906" t="s">
        <v>381</v>
      </c>
      <c r="B60" s="907" t="e">
        <f>SUM(C60+F60)</f>
        <v>#REF!</v>
      </c>
      <c r="C60" s="908" t="e">
        <f>SUM(D60:E60)+D61</f>
        <v>#REF!</v>
      </c>
      <c r="D60" s="908">
        <f>D59*D58</f>
        <v>31505.344596000003</v>
      </c>
      <c r="E60" s="908" t="e">
        <f>E59*E58</f>
        <v>#REF!</v>
      </c>
      <c r="F60" s="909">
        <f>F59*F58</f>
        <v>0</v>
      </c>
      <c r="G60" s="907" t="e">
        <f>SUM(L60-B60)</f>
        <v>#REF!</v>
      </c>
      <c r="H60" s="908" t="e">
        <f>SUM(M60-C60)</f>
        <v>#REF!</v>
      </c>
      <c r="I60" s="908">
        <f>I59*I58</f>
        <v>32923.085102820005</v>
      </c>
      <c r="J60" s="908" t="e">
        <f>SUM(J58*J59)</f>
        <v>#REF!</v>
      </c>
      <c r="K60" s="909">
        <f>SUM(P60-F60)</f>
        <v>344.13892519829579</v>
      </c>
      <c r="L60" s="907">
        <f>SUM(вода!BD90)</f>
        <v>126529.10263939487</v>
      </c>
      <c r="M60" s="908">
        <f>SUM(вода!BE90)</f>
        <v>126184.96371419655</v>
      </c>
      <c r="N60" s="908">
        <f>SUM(D60+I60)</f>
        <v>64428.429698820008</v>
      </c>
      <c r="O60" s="908" t="e">
        <f>SUM(E60+J60)</f>
        <v>#REF!</v>
      </c>
      <c r="P60" s="909">
        <f>SUM(вода!BF90)</f>
        <v>344.13892519829579</v>
      </c>
      <c r="Q60" s="907"/>
      <c r="R60" s="916"/>
      <c r="S60" s="916"/>
      <c r="T60" s="917"/>
      <c r="U60" s="918"/>
      <c r="V60" s="916"/>
      <c r="W60" s="916"/>
      <c r="X60" s="917"/>
    </row>
    <row r="61" spans="1:24" ht="30" customHeight="1" thickBot="1" x14ac:dyDescent="0.25">
      <c r="A61" s="919" t="s">
        <v>383</v>
      </c>
      <c r="B61" s="920" t="e">
        <f>SUM(C61:F61)</f>
        <v>#REF!</v>
      </c>
      <c r="C61" s="921">
        <v>0</v>
      </c>
      <c r="D61" s="921" t="e">
        <f>SUM(E59-D59)*D58</f>
        <v>#REF!</v>
      </c>
      <c r="E61" s="921">
        <v>0</v>
      </c>
      <c r="F61" s="922">
        <v>0</v>
      </c>
      <c r="G61" s="920" t="e">
        <f>SUM(H61:K61)</f>
        <v>#REF!</v>
      </c>
      <c r="H61" s="921">
        <v>0</v>
      </c>
      <c r="I61" s="921" t="e">
        <f>SUM(H59-I59)*I58</f>
        <v>#REF!</v>
      </c>
      <c r="J61" s="921">
        <v>0</v>
      </c>
      <c r="K61" s="922">
        <v>0</v>
      </c>
      <c r="L61" s="920" t="e">
        <f>SUM(M61:P61)</f>
        <v>#REF!</v>
      </c>
      <c r="M61" s="921">
        <v>0</v>
      </c>
      <c r="N61" s="921" t="e">
        <f>SUM(B61+G61)</f>
        <v>#REF!</v>
      </c>
      <c r="O61" s="921">
        <v>0</v>
      </c>
      <c r="P61" s="922">
        <v>0</v>
      </c>
      <c r="Q61" s="920"/>
      <c r="R61" s="923"/>
      <c r="S61" s="923"/>
      <c r="T61" s="924"/>
      <c r="U61" s="925"/>
      <c r="V61" s="923"/>
      <c r="W61" s="923"/>
      <c r="X61" s="924"/>
    </row>
    <row r="62" spans="1:24" ht="30" customHeight="1" x14ac:dyDescent="0.2">
      <c r="A62" s="4908"/>
      <c r="B62" s="4909"/>
      <c r="C62" s="4909"/>
      <c r="D62" s="4909"/>
      <c r="E62" s="4909"/>
      <c r="F62" s="4909"/>
      <c r="G62" s="4909"/>
      <c r="H62" s="4909"/>
      <c r="I62" s="4909"/>
      <c r="J62" s="4909"/>
      <c r="K62" s="4909"/>
      <c r="L62" s="4909"/>
      <c r="M62" s="4909"/>
      <c r="N62" s="4909"/>
      <c r="O62" s="4909"/>
      <c r="P62" s="4909"/>
      <c r="Q62" s="4909"/>
      <c r="R62" s="4909"/>
      <c r="S62" s="4909"/>
      <c r="T62" s="4909"/>
      <c r="U62" s="4909"/>
      <c r="V62" s="4909"/>
      <c r="W62" s="4909"/>
      <c r="X62" s="4909"/>
    </row>
    <row r="63" spans="1:24" x14ac:dyDescent="0.2">
      <c r="A63" s="4910"/>
      <c r="B63" s="4910"/>
      <c r="C63" s="4910"/>
      <c r="D63" s="4910"/>
      <c r="E63" s="4910"/>
      <c r="F63" s="4910"/>
      <c r="G63" s="4910"/>
      <c r="H63" s="4910"/>
      <c r="I63" s="4910"/>
      <c r="J63" s="4910"/>
      <c r="K63" s="4910"/>
      <c r="L63" s="4910"/>
      <c r="M63" s="4910"/>
      <c r="N63" s="4910"/>
      <c r="O63" s="4910"/>
      <c r="P63" s="4910"/>
      <c r="Q63" s="4910"/>
      <c r="R63" s="4910"/>
      <c r="S63" s="4910"/>
      <c r="T63" s="4910"/>
      <c r="U63" s="4910"/>
      <c r="V63" s="4910"/>
      <c r="W63" s="4910"/>
      <c r="X63" s="4910"/>
    </row>
    <row r="64" spans="1:24" ht="13.5" thickBot="1" x14ac:dyDescent="0.25">
      <c r="A64" s="4911"/>
      <c r="B64" s="4911"/>
      <c r="C64" s="4911"/>
      <c r="D64" s="4911"/>
      <c r="E64" s="4911"/>
      <c r="F64" s="4911"/>
      <c r="G64" s="4911"/>
      <c r="H64" s="4911"/>
      <c r="I64" s="4911"/>
      <c r="J64" s="4911"/>
      <c r="K64" s="4911"/>
      <c r="L64" s="4911"/>
      <c r="M64" s="4911"/>
      <c r="N64" s="4911"/>
      <c r="O64" s="4911"/>
      <c r="P64" s="4911"/>
      <c r="Q64" s="4911"/>
      <c r="R64" s="4911"/>
      <c r="S64" s="4911"/>
      <c r="T64" s="4911"/>
      <c r="U64" s="4911"/>
      <c r="V64" s="4911"/>
      <c r="W64" s="4911"/>
      <c r="X64" s="4911"/>
    </row>
    <row r="65" spans="1:24" ht="27" hidden="1" thickBot="1" x14ac:dyDescent="0.45">
      <c r="A65" s="4979" t="s">
        <v>858</v>
      </c>
      <c r="B65" s="4980"/>
      <c r="C65" s="4980"/>
      <c r="D65" s="4980"/>
      <c r="E65" s="4980"/>
      <c r="F65" s="4980"/>
      <c r="G65" s="4980"/>
      <c r="H65" s="4980"/>
      <c r="I65" s="4980"/>
      <c r="J65" s="4980"/>
      <c r="K65" s="4980"/>
      <c r="L65" s="4980"/>
      <c r="M65" s="4980"/>
      <c r="N65" s="4980"/>
      <c r="O65" s="4980"/>
      <c r="P65" s="4980"/>
      <c r="Q65" s="4980"/>
      <c r="R65" s="4980"/>
      <c r="S65" s="4980"/>
      <c r="T65" s="4980"/>
      <c r="U65" s="4980"/>
      <c r="V65" s="4980"/>
      <c r="W65" s="4980"/>
      <c r="X65" s="4981"/>
    </row>
    <row r="66" spans="1:24" ht="15.75" hidden="1" customHeight="1" thickBot="1" x14ac:dyDescent="0.25">
      <c r="A66" s="4951">
        <v>2015</v>
      </c>
      <c r="B66" s="4954" t="s">
        <v>385</v>
      </c>
      <c r="C66" s="4954"/>
      <c r="D66" s="4954"/>
      <c r="E66" s="4954"/>
      <c r="F66" s="4954"/>
      <c r="G66" s="4954"/>
      <c r="H66" s="4954"/>
      <c r="I66" s="4954"/>
      <c r="J66" s="4954"/>
      <c r="K66" s="4954"/>
      <c r="L66" s="4954"/>
      <c r="M66" s="4954"/>
      <c r="N66" s="4954"/>
      <c r="O66" s="4954"/>
      <c r="P66" s="4955"/>
      <c r="Q66" s="4956" t="s">
        <v>389</v>
      </c>
      <c r="R66" s="4957"/>
      <c r="S66" s="4957"/>
      <c r="T66" s="4958"/>
      <c r="U66" s="4956" t="s">
        <v>390</v>
      </c>
      <c r="V66" s="4957"/>
      <c r="W66" s="4957"/>
      <c r="X66" s="4958"/>
    </row>
    <row r="67" spans="1:24" ht="15.75" hidden="1" customHeight="1" thickBot="1" x14ac:dyDescent="0.25">
      <c r="A67" s="4952"/>
      <c r="B67" s="4962" t="s">
        <v>386</v>
      </c>
      <c r="C67" s="4963"/>
      <c r="D67" s="4963"/>
      <c r="E67" s="4963"/>
      <c r="F67" s="4964"/>
      <c r="G67" s="4965" t="s">
        <v>387</v>
      </c>
      <c r="H67" s="4966"/>
      <c r="I67" s="4966"/>
      <c r="J67" s="4966"/>
      <c r="K67" s="4967"/>
      <c r="L67" s="4965" t="s">
        <v>362</v>
      </c>
      <c r="M67" s="4966"/>
      <c r="N67" s="4966"/>
      <c r="O67" s="4966"/>
      <c r="P67" s="4968"/>
      <c r="Q67" s="4959"/>
      <c r="R67" s="4960"/>
      <c r="S67" s="4960"/>
      <c r="T67" s="4961"/>
      <c r="U67" s="4959"/>
      <c r="V67" s="4960"/>
      <c r="W67" s="4960"/>
      <c r="X67" s="4961"/>
    </row>
    <row r="68" spans="1:24" ht="15.75" hidden="1" customHeight="1" x14ac:dyDescent="0.2">
      <c r="A68" s="4952"/>
      <c r="B68" s="4969" t="s">
        <v>288</v>
      </c>
      <c r="C68" s="4972" t="s">
        <v>50</v>
      </c>
      <c r="D68" s="4972"/>
      <c r="E68" s="4972"/>
      <c r="F68" s="4973"/>
      <c r="G68" s="4974" t="s">
        <v>288</v>
      </c>
      <c r="H68" s="4975" t="s">
        <v>50</v>
      </c>
      <c r="I68" s="4975"/>
      <c r="J68" s="4975"/>
      <c r="K68" s="4976"/>
      <c r="L68" s="4974" t="s">
        <v>288</v>
      </c>
      <c r="M68" s="4975" t="s">
        <v>50</v>
      </c>
      <c r="N68" s="4975"/>
      <c r="O68" s="4975"/>
      <c r="P68" s="4976"/>
      <c r="Q68" s="4974" t="s">
        <v>288</v>
      </c>
      <c r="R68" s="4977" t="s">
        <v>50</v>
      </c>
      <c r="S68" s="4977"/>
      <c r="T68" s="4978"/>
      <c r="U68" s="4974" t="s">
        <v>288</v>
      </c>
      <c r="V68" s="4977" t="s">
        <v>50</v>
      </c>
      <c r="W68" s="4977"/>
      <c r="X68" s="4978"/>
    </row>
    <row r="69" spans="1:24" ht="15.75" hidden="1" customHeight="1" x14ac:dyDescent="0.2">
      <c r="A69" s="4952"/>
      <c r="B69" s="4970"/>
      <c r="C69" s="4943" t="s">
        <v>314</v>
      </c>
      <c r="D69" s="4945" t="s">
        <v>228</v>
      </c>
      <c r="E69" s="4945"/>
      <c r="F69" s="4946" t="s">
        <v>861</v>
      </c>
      <c r="G69" s="4970"/>
      <c r="H69" s="4943" t="s">
        <v>314</v>
      </c>
      <c r="I69" s="4945" t="s">
        <v>228</v>
      </c>
      <c r="J69" s="4945"/>
      <c r="K69" s="4946" t="s">
        <v>861</v>
      </c>
      <c r="L69" s="4970"/>
      <c r="M69" s="4943" t="s">
        <v>314</v>
      </c>
      <c r="N69" s="4945" t="s">
        <v>228</v>
      </c>
      <c r="O69" s="4945"/>
      <c r="P69" s="4946" t="s">
        <v>861</v>
      </c>
      <c r="Q69" s="4970"/>
      <c r="R69" s="4943" t="s">
        <v>314</v>
      </c>
      <c r="S69" s="4943"/>
      <c r="T69" s="4946" t="s">
        <v>861</v>
      </c>
      <c r="U69" s="4970"/>
      <c r="V69" s="4943" t="s">
        <v>314</v>
      </c>
      <c r="W69" s="4943"/>
      <c r="X69" s="4946" t="s">
        <v>861</v>
      </c>
    </row>
    <row r="70" spans="1:24" ht="15.75" hidden="1" customHeight="1" thickBot="1" x14ac:dyDescent="0.25">
      <c r="A70" s="4953"/>
      <c r="B70" s="4971"/>
      <c r="C70" s="4944"/>
      <c r="D70" s="889" t="s">
        <v>253</v>
      </c>
      <c r="E70" s="889" t="s">
        <v>287</v>
      </c>
      <c r="F70" s="4947"/>
      <c r="G70" s="4971"/>
      <c r="H70" s="4944"/>
      <c r="I70" s="889" t="s">
        <v>253</v>
      </c>
      <c r="J70" s="889" t="s">
        <v>287</v>
      </c>
      <c r="K70" s="4947"/>
      <c r="L70" s="4971"/>
      <c r="M70" s="4944"/>
      <c r="N70" s="889" t="s">
        <v>253</v>
      </c>
      <c r="O70" s="889" t="s">
        <v>287</v>
      </c>
      <c r="P70" s="4947"/>
      <c r="Q70" s="4971"/>
      <c r="R70" s="894" t="s">
        <v>854</v>
      </c>
      <c r="S70" s="894" t="s">
        <v>253</v>
      </c>
      <c r="T70" s="4947"/>
      <c r="U70" s="4971"/>
      <c r="V70" s="894" t="s">
        <v>854</v>
      </c>
      <c r="W70" s="894" t="s">
        <v>253</v>
      </c>
      <c r="X70" s="4947"/>
    </row>
    <row r="71" spans="1:24" ht="30" hidden="1" customHeight="1" x14ac:dyDescent="0.2">
      <c r="A71" s="893" t="s">
        <v>379</v>
      </c>
      <c r="B71" s="890">
        <f>SUM('объемы ВС и ВО 2023'!M63/2)</f>
        <v>1822.35</v>
      </c>
      <c r="C71" s="891">
        <f>SUM(D71:E71)</f>
        <v>1822.35</v>
      </c>
      <c r="D71" s="891">
        <f>SUM('объемы ВС и ВО 2023'!M64/2)</f>
        <v>1300</v>
      </c>
      <c r="E71" s="891">
        <f>SUM('объемы ВС и ВО 2023'!M65/2)</f>
        <v>522.35</v>
      </c>
      <c r="F71" s="892">
        <f>SUM('объемы ВС и ВО 2023'!M70/2)</f>
        <v>0</v>
      </c>
      <c r="G71" s="890">
        <f>B71</f>
        <v>1822.35</v>
      </c>
      <c r="H71" s="891">
        <f>C71</f>
        <v>1822.35</v>
      </c>
      <c r="I71" s="891">
        <f>D71</f>
        <v>1300</v>
      </c>
      <c r="J71" s="891">
        <f>E71</f>
        <v>522.35</v>
      </c>
      <c r="K71" s="892">
        <f>F71</f>
        <v>0</v>
      </c>
      <c r="L71" s="890">
        <f>SUM(B71+G71)</f>
        <v>3644.7</v>
      </c>
      <c r="M71" s="891">
        <f>SUM(C71+H71)</f>
        <v>3644.7</v>
      </c>
      <c r="N71" s="891">
        <f>SUM(D71+I71)</f>
        <v>2600</v>
      </c>
      <c r="O71" s="891">
        <f>SUM(E71+J71)</f>
        <v>1044.7</v>
      </c>
      <c r="P71" s="892">
        <f>SUM(F71+K71)</f>
        <v>0</v>
      </c>
      <c r="Q71" s="890"/>
      <c r="R71" s="926"/>
      <c r="S71" s="926"/>
      <c r="T71" s="927"/>
      <c r="U71" s="928"/>
      <c r="V71" s="926"/>
      <c r="W71" s="926"/>
      <c r="X71" s="927"/>
    </row>
    <row r="72" spans="1:24" ht="30" hidden="1" customHeight="1" x14ac:dyDescent="0.2">
      <c r="A72" s="876" t="s">
        <v>380</v>
      </c>
      <c r="B72" s="882">
        <f>SUM(B73/B71)</f>
        <v>24.290000000000003</v>
      </c>
      <c r="C72" s="883">
        <f>SUM(C73/C71)</f>
        <v>24.290000000000003</v>
      </c>
      <c r="D72" s="883">
        <v>18.350000000000001</v>
      </c>
      <c r="E72" s="883">
        <v>24.29</v>
      </c>
      <c r="F72" s="884">
        <v>12.04</v>
      </c>
      <c r="G72" s="882" t="e">
        <f>SUM(G73/G71)</f>
        <v>#REF!</v>
      </c>
      <c r="H72" s="883" t="e">
        <f>H73/H71</f>
        <v>#REF!</v>
      </c>
      <c r="I72" s="883">
        <v>21.01</v>
      </c>
      <c r="J72" s="883" t="e">
        <f>SUM(H72)</f>
        <v>#REF!</v>
      </c>
      <c r="K72" s="884">
        <v>13.79</v>
      </c>
      <c r="L72" s="882" t="e">
        <f>SUM(L73/L71)</f>
        <v>#REF!</v>
      </c>
      <c r="M72" s="883" t="e">
        <f>SUM(M73/M71)</f>
        <v>#REF!</v>
      </c>
      <c r="N72" s="883">
        <f>SUM(N73/N71)</f>
        <v>19.680000000000003</v>
      </c>
      <c r="O72" s="883" t="e">
        <f>SUM(O73/O71)</f>
        <v>#REF!</v>
      </c>
      <c r="P72" s="884" t="e">
        <f>SUM(P73/P71)</f>
        <v>#REF!</v>
      </c>
      <c r="Q72" s="885" t="e">
        <f>SUM(G72/B72)</f>
        <v>#REF!</v>
      </c>
      <c r="R72" s="929" t="e">
        <f>SUM(H72/C72)</f>
        <v>#REF!</v>
      </c>
      <c r="S72" s="929">
        <f>I72/D72</f>
        <v>1.144959128065395</v>
      </c>
      <c r="T72" s="930">
        <f>SUM(K72/F72)</f>
        <v>1.1453488372093024</v>
      </c>
      <c r="U72" s="931" t="e">
        <f>SUM(L72/стоки!Y130)</f>
        <v>#REF!</v>
      </c>
      <c r="V72" s="932" t="e">
        <f>SUM(M72/стоки!Z130)</f>
        <v>#REF!</v>
      </c>
      <c r="W72" s="932">
        <f>SUM(N72/16.93)</f>
        <v>1.1624335499114</v>
      </c>
      <c r="X72" s="933" t="e">
        <f>SUM(P72/стоки!AA130)</f>
        <v>#REF!</v>
      </c>
    </row>
    <row r="73" spans="1:24" ht="30" hidden="1" customHeight="1" x14ac:dyDescent="0.2">
      <c r="A73" s="876" t="s">
        <v>381</v>
      </c>
      <c r="B73" s="882">
        <f>SUM(C73+F73)</f>
        <v>44264.881500000003</v>
      </c>
      <c r="C73" s="883">
        <f>SUM(D73:E73)+D74</f>
        <v>44264.881500000003</v>
      </c>
      <c r="D73" s="883">
        <f>D72*D71</f>
        <v>23855.000000000004</v>
      </c>
      <c r="E73" s="883">
        <f>E72*E71</f>
        <v>12687.8815</v>
      </c>
      <c r="F73" s="884">
        <f>F72*F71</f>
        <v>0</v>
      </c>
      <c r="G73" s="882" t="e">
        <f>SUM(L73-B73)</f>
        <v>#REF!</v>
      </c>
      <c r="H73" s="883" t="e">
        <f>SUM(M73-C73)</f>
        <v>#REF!</v>
      </c>
      <c r="I73" s="883">
        <f>I72*I71</f>
        <v>27313.000000000004</v>
      </c>
      <c r="J73" s="883" t="e">
        <f>SUM(J71*J72)</f>
        <v>#REF!</v>
      </c>
      <c r="K73" s="884" t="e">
        <f>SUM(P73-F73)</f>
        <v>#REF!</v>
      </c>
      <c r="L73" s="882" t="e">
        <f>SUM(стоки!AI129)</f>
        <v>#REF!</v>
      </c>
      <c r="M73" s="883" t="e">
        <f>SUM(стоки!AK129)</f>
        <v>#REF!</v>
      </c>
      <c r="N73" s="883">
        <f>SUM(D73+I73)</f>
        <v>51168.000000000007</v>
      </c>
      <c r="O73" s="883" t="e">
        <f>SUM(E73+J73)</f>
        <v>#REF!</v>
      </c>
      <c r="P73" s="884" t="e">
        <f>SUM(стоки!AL129)</f>
        <v>#REF!</v>
      </c>
      <c r="Q73" s="882"/>
      <c r="R73" s="934"/>
      <c r="S73" s="934"/>
      <c r="T73" s="935"/>
      <c r="U73" s="936"/>
      <c r="V73" s="934"/>
      <c r="W73" s="934"/>
      <c r="X73" s="935"/>
    </row>
    <row r="74" spans="1:24" ht="30" hidden="1" customHeight="1" thickBot="1" x14ac:dyDescent="0.25">
      <c r="A74" s="877" t="s">
        <v>383</v>
      </c>
      <c r="B74" s="886">
        <f>SUM(C74:F74)</f>
        <v>7721.9999999999973</v>
      </c>
      <c r="C74" s="887">
        <v>0</v>
      </c>
      <c r="D74" s="887">
        <f>SUM(E72-D72)*D71</f>
        <v>7721.9999999999973</v>
      </c>
      <c r="E74" s="887">
        <v>0</v>
      </c>
      <c r="F74" s="888">
        <v>0</v>
      </c>
      <c r="G74" s="886" t="e">
        <f>SUM(H74:K74)</f>
        <v>#REF!</v>
      </c>
      <c r="H74" s="887">
        <v>0</v>
      </c>
      <c r="I74" s="887" t="e">
        <f>SUM(H72-I72)*I71</f>
        <v>#REF!</v>
      </c>
      <c r="J74" s="887">
        <v>0</v>
      </c>
      <c r="K74" s="888">
        <v>0</v>
      </c>
      <c r="L74" s="886" t="e">
        <f>SUM(M74:P74)</f>
        <v>#REF!</v>
      </c>
      <c r="M74" s="887">
        <v>0</v>
      </c>
      <c r="N74" s="887" t="e">
        <f>SUM(B74+G74)</f>
        <v>#REF!</v>
      </c>
      <c r="O74" s="887">
        <v>0</v>
      </c>
      <c r="P74" s="888">
        <v>0</v>
      </c>
      <c r="Q74" s="886"/>
      <c r="R74" s="937"/>
      <c r="S74" s="937"/>
      <c r="T74" s="938"/>
      <c r="U74" s="939"/>
      <c r="V74" s="937"/>
      <c r="W74" s="937"/>
      <c r="X74" s="938"/>
    </row>
    <row r="75" spans="1:24" ht="15.75" hidden="1" customHeight="1" thickBot="1" x14ac:dyDescent="0.25">
      <c r="A75" s="4914"/>
      <c r="B75" s="4915"/>
      <c r="C75" s="4915"/>
      <c r="D75" s="4915"/>
      <c r="E75" s="4915"/>
      <c r="F75" s="4915"/>
      <c r="G75" s="4915"/>
      <c r="H75" s="4915"/>
      <c r="I75" s="4915"/>
      <c r="J75" s="4915"/>
      <c r="K75" s="4915"/>
      <c r="L75" s="4915"/>
      <c r="M75" s="4915"/>
      <c r="N75" s="4915"/>
      <c r="O75" s="4915"/>
      <c r="P75" s="4915"/>
      <c r="Q75" s="4915"/>
      <c r="R75" s="4915"/>
      <c r="S75" s="4915"/>
      <c r="T75" s="4915"/>
      <c r="U75" s="4915"/>
      <c r="V75" s="4915"/>
      <c r="W75" s="4915"/>
      <c r="X75" s="4916"/>
    </row>
    <row r="76" spans="1:24" ht="15.75" hidden="1" customHeight="1" thickBot="1" x14ac:dyDescent="0.25">
      <c r="A76" s="4951">
        <v>2015</v>
      </c>
      <c r="B76" s="4954" t="s">
        <v>382</v>
      </c>
      <c r="C76" s="4954"/>
      <c r="D76" s="4954"/>
      <c r="E76" s="4954"/>
      <c r="F76" s="4954"/>
      <c r="G76" s="4954"/>
      <c r="H76" s="4954"/>
      <c r="I76" s="4954"/>
      <c r="J76" s="4954"/>
      <c r="K76" s="4954"/>
      <c r="L76" s="4954"/>
      <c r="M76" s="4954"/>
      <c r="N76" s="4954"/>
      <c r="O76" s="4954"/>
      <c r="P76" s="4955"/>
      <c r="Q76" s="4956" t="s">
        <v>389</v>
      </c>
      <c r="R76" s="4957"/>
      <c r="S76" s="4957"/>
      <c r="T76" s="4958"/>
      <c r="U76" s="4956" t="s">
        <v>390</v>
      </c>
      <c r="V76" s="4957"/>
      <c r="W76" s="4957"/>
      <c r="X76" s="4958"/>
    </row>
    <row r="77" spans="1:24" ht="15.75" hidden="1" customHeight="1" thickBot="1" x14ac:dyDescent="0.25">
      <c r="A77" s="4952"/>
      <c r="B77" s="4962" t="s">
        <v>386</v>
      </c>
      <c r="C77" s="4963"/>
      <c r="D77" s="4963"/>
      <c r="E77" s="4963"/>
      <c r="F77" s="4964"/>
      <c r="G77" s="4965" t="s">
        <v>387</v>
      </c>
      <c r="H77" s="4966"/>
      <c r="I77" s="4966"/>
      <c r="J77" s="4966"/>
      <c r="K77" s="4967"/>
      <c r="L77" s="4965" t="s">
        <v>362</v>
      </c>
      <c r="M77" s="4966"/>
      <c r="N77" s="4966"/>
      <c r="O77" s="4966"/>
      <c r="P77" s="4968"/>
      <c r="Q77" s="4959"/>
      <c r="R77" s="4960"/>
      <c r="S77" s="4960"/>
      <c r="T77" s="4961"/>
      <c r="U77" s="4959"/>
      <c r="V77" s="4960"/>
      <c r="W77" s="4960"/>
      <c r="X77" s="4961"/>
    </row>
    <row r="78" spans="1:24" ht="15.75" hidden="1" customHeight="1" x14ac:dyDescent="0.2">
      <c r="A78" s="4952"/>
      <c r="B78" s="4969" t="s">
        <v>288</v>
      </c>
      <c r="C78" s="4972" t="s">
        <v>50</v>
      </c>
      <c r="D78" s="4972"/>
      <c r="E78" s="4972"/>
      <c r="F78" s="4973"/>
      <c r="G78" s="4974" t="s">
        <v>288</v>
      </c>
      <c r="H78" s="4975" t="s">
        <v>50</v>
      </c>
      <c r="I78" s="4975"/>
      <c r="J78" s="4975"/>
      <c r="K78" s="4976"/>
      <c r="L78" s="4974" t="s">
        <v>288</v>
      </c>
      <c r="M78" s="4975" t="s">
        <v>50</v>
      </c>
      <c r="N78" s="4975"/>
      <c r="O78" s="4975"/>
      <c r="P78" s="4976"/>
      <c r="Q78" s="4974" t="s">
        <v>288</v>
      </c>
      <c r="R78" s="4977" t="s">
        <v>50</v>
      </c>
      <c r="S78" s="4977"/>
      <c r="T78" s="4978"/>
      <c r="U78" s="4974" t="s">
        <v>288</v>
      </c>
      <c r="V78" s="4977" t="s">
        <v>50</v>
      </c>
      <c r="W78" s="4977"/>
      <c r="X78" s="4978"/>
    </row>
    <row r="79" spans="1:24" ht="15.75" hidden="1" customHeight="1" x14ac:dyDescent="0.2">
      <c r="A79" s="4952"/>
      <c r="B79" s="4970"/>
      <c r="C79" s="4943" t="s">
        <v>314</v>
      </c>
      <c r="D79" s="4945" t="s">
        <v>228</v>
      </c>
      <c r="E79" s="4945"/>
      <c r="F79" s="4946" t="s">
        <v>861</v>
      </c>
      <c r="G79" s="4970"/>
      <c r="H79" s="4943" t="s">
        <v>314</v>
      </c>
      <c r="I79" s="4945" t="s">
        <v>228</v>
      </c>
      <c r="J79" s="4945"/>
      <c r="K79" s="4946" t="s">
        <v>861</v>
      </c>
      <c r="L79" s="4970"/>
      <c r="M79" s="4943" t="s">
        <v>314</v>
      </c>
      <c r="N79" s="4945" t="s">
        <v>228</v>
      </c>
      <c r="O79" s="4945"/>
      <c r="P79" s="4946" t="s">
        <v>861</v>
      </c>
      <c r="Q79" s="4970"/>
      <c r="R79" s="4943" t="s">
        <v>314</v>
      </c>
      <c r="S79" s="4943"/>
      <c r="T79" s="4946" t="s">
        <v>861</v>
      </c>
      <c r="U79" s="4970"/>
      <c r="V79" s="4943" t="s">
        <v>314</v>
      </c>
      <c r="W79" s="4943"/>
      <c r="X79" s="4946" t="s">
        <v>861</v>
      </c>
    </row>
    <row r="80" spans="1:24" ht="15.75" hidden="1" customHeight="1" thickBot="1" x14ac:dyDescent="0.25">
      <c r="A80" s="4953"/>
      <c r="B80" s="4971"/>
      <c r="C80" s="4944"/>
      <c r="D80" s="889" t="s">
        <v>253</v>
      </c>
      <c r="E80" s="889" t="s">
        <v>287</v>
      </c>
      <c r="F80" s="4947"/>
      <c r="G80" s="4971"/>
      <c r="H80" s="4944"/>
      <c r="I80" s="889" t="s">
        <v>253</v>
      </c>
      <c r="J80" s="889" t="s">
        <v>287</v>
      </c>
      <c r="K80" s="4947"/>
      <c r="L80" s="4971"/>
      <c r="M80" s="4944"/>
      <c r="N80" s="889" t="s">
        <v>253</v>
      </c>
      <c r="O80" s="889" t="s">
        <v>287</v>
      </c>
      <c r="P80" s="4947"/>
      <c r="Q80" s="4971"/>
      <c r="R80" s="894" t="s">
        <v>854</v>
      </c>
      <c r="S80" s="894" t="s">
        <v>253</v>
      </c>
      <c r="T80" s="4947"/>
      <c r="U80" s="4971"/>
      <c r="V80" s="894" t="s">
        <v>854</v>
      </c>
      <c r="W80" s="894" t="s">
        <v>253</v>
      </c>
      <c r="X80" s="4947"/>
    </row>
    <row r="81" spans="1:24" ht="30" hidden="1" customHeight="1" x14ac:dyDescent="0.2">
      <c r="A81" s="893" t="s">
        <v>379</v>
      </c>
      <c r="B81" s="890">
        <f>SUM(B71)</f>
        <v>1822.35</v>
      </c>
      <c r="C81" s="891">
        <f t="shared" ref="C81:P81" si="8">SUM(C71)</f>
        <v>1822.35</v>
      </c>
      <c r="D81" s="891">
        <f t="shared" si="8"/>
        <v>1300</v>
      </c>
      <c r="E81" s="891">
        <f t="shared" si="8"/>
        <v>522.35</v>
      </c>
      <c r="F81" s="892">
        <f t="shared" si="8"/>
        <v>0</v>
      </c>
      <c r="G81" s="890">
        <f t="shared" si="8"/>
        <v>1822.35</v>
      </c>
      <c r="H81" s="891">
        <f t="shared" si="8"/>
        <v>1822.35</v>
      </c>
      <c r="I81" s="891">
        <f t="shared" si="8"/>
        <v>1300</v>
      </c>
      <c r="J81" s="891">
        <f t="shared" si="8"/>
        <v>522.35</v>
      </c>
      <c r="K81" s="892">
        <f t="shared" si="8"/>
        <v>0</v>
      </c>
      <c r="L81" s="890">
        <f t="shared" si="8"/>
        <v>3644.7</v>
      </c>
      <c r="M81" s="891">
        <f t="shared" si="8"/>
        <v>3644.7</v>
      </c>
      <c r="N81" s="891">
        <f t="shared" si="8"/>
        <v>2600</v>
      </c>
      <c r="O81" s="891">
        <f t="shared" si="8"/>
        <v>1044.7</v>
      </c>
      <c r="P81" s="892">
        <f t="shared" si="8"/>
        <v>0</v>
      </c>
      <c r="Q81" s="890"/>
      <c r="R81" s="926"/>
      <c r="S81" s="926"/>
      <c r="T81" s="927"/>
      <c r="U81" s="928"/>
      <c r="V81" s="926"/>
      <c r="W81" s="926"/>
      <c r="X81" s="927"/>
    </row>
    <row r="82" spans="1:24" ht="30" hidden="1" customHeight="1" x14ac:dyDescent="0.2">
      <c r="A82" s="876" t="s">
        <v>380</v>
      </c>
      <c r="B82" s="882">
        <f>SUM(B83/B81)</f>
        <v>21.58</v>
      </c>
      <c r="C82" s="883">
        <f>SUM(C83/C81)</f>
        <v>21.58</v>
      </c>
      <c r="D82" s="883">
        <v>18.350000000000001</v>
      </c>
      <c r="E82" s="883">
        <v>21.58</v>
      </c>
      <c r="F82" s="884">
        <v>12.04</v>
      </c>
      <c r="G82" s="882" t="e">
        <f>SUM(G83/G81)</f>
        <v>#REF!</v>
      </c>
      <c r="H82" s="883">
        <v>25.05</v>
      </c>
      <c r="I82" s="883">
        <v>21.01</v>
      </c>
      <c r="J82" s="883">
        <v>25.05</v>
      </c>
      <c r="K82" s="884">
        <v>13.79</v>
      </c>
      <c r="L82" s="882" t="e">
        <f>SUM(L83/L81)</f>
        <v>#REF!</v>
      </c>
      <c r="M82" s="883" t="e">
        <f>SUM(M83/M81)</f>
        <v>#REF!</v>
      </c>
      <c r="N82" s="883">
        <f>SUM(N83/N81)</f>
        <v>19.680000000000003</v>
      </c>
      <c r="O82" s="883">
        <f>SUM(O83/O81)</f>
        <v>23.315000000000001</v>
      </c>
      <c r="P82" s="884" t="e">
        <f>SUM(P83/P81)</f>
        <v>#REF!</v>
      </c>
      <c r="Q82" s="885" t="e">
        <f>SUM(G82/B82)</f>
        <v>#REF!</v>
      </c>
      <c r="R82" s="929">
        <f>SUM(H82/C82)</f>
        <v>1.1607970342910103</v>
      </c>
      <c r="S82" s="929">
        <f>I82/D82</f>
        <v>1.144959128065395</v>
      </c>
      <c r="T82" s="930">
        <f>SUM(K82/F82)</f>
        <v>1.1453488372093024</v>
      </c>
      <c r="U82" s="931" t="e">
        <f>SUM(L82/стоки!Y127)</f>
        <v>#REF!</v>
      </c>
      <c r="V82" s="932" t="e">
        <f>SUM(M82/стоки!Z127)</f>
        <v>#REF!</v>
      </c>
      <c r="W82" s="932">
        <f>SUM(N82/16.93)</f>
        <v>1.1624335499114</v>
      </c>
      <c r="X82" s="933" t="e">
        <f>SUM(P82/стоки!AA127)</f>
        <v>#REF!</v>
      </c>
    </row>
    <row r="83" spans="1:24" ht="30" hidden="1" customHeight="1" x14ac:dyDescent="0.2">
      <c r="A83" s="876" t="s">
        <v>381</v>
      </c>
      <c r="B83" s="882">
        <f>SUM(C83+F83)</f>
        <v>39326.312999999995</v>
      </c>
      <c r="C83" s="883">
        <f>SUM(D83:E83)+D84</f>
        <v>39326.312999999995</v>
      </c>
      <c r="D83" s="883">
        <f>D82*D81</f>
        <v>23855.000000000004</v>
      </c>
      <c r="E83" s="883">
        <f>E82*E81</f>
        <v>11272.313</v>
      </c>
      <c r="F83" s="884">
        <f>F82*F81</f>
        <v>0</v>
      </c>
      <c r="G83" s="882" t="e">
        <f>SUM(L83-B83)</f>
        <v>#REF!</v>
      </c>
      <c r="H83" s="883" t="e">
        <f>SUM(M83-C83)</f>
        <v>#REF!</v>
      </c>
      <c r="I83" s="883">
        <f>I82*I81</f>
        <v>27313.000000000004</v>
      </c>
      <c r="J83" s="883">
        <f>SUM(J81*J82)</f>
        <v>13084.8675</v>
      </c>
      <c r="K83" s="884" t="e">
        <f>SUM(P83-F83)</f>
        <v>#REF!</v>
      </c>
      <c r="L83" s="882" t="e">
        <f>SUM(стоки!AI126)</f>
        <v>#REF!</v>
      </c>
      <c r="M83" s="883" t="e">
        <f>SUM(стоки!AK126)</f>
        <v>#REF!</v>
      </c>
      <c r="N83" s="883">
        <f>SUM(D83+I83)</f>
        <v>51168.000000000007</v>
      </c>
      <c r="O83" s="883">
        <f>SUM(E83+J83)</f>
        <v>24357.180500000002</v>
      </c>
      <c r="P83" s="884" t="e">
        <f>SUM(стоки!AL126)</f>
        <v>#REF!</v>
      </c>
      <c r="Q83" s="882"/>
      <c r="R83" s="934"/>
      <c r="S83" s="934"/>
      <c r="T83" s="935"/>
      <c r="U83" s="936"/>
      <c r="V83" s="934"/>
      <c r="W83" s="934"/>
      <c r="X83" s="935"/>
    </row>
    <row r="84" spans="1:24" ht="30" hidden="1" customHeight="1" thickBot="1" x14ac:dyDescent="0.25">
      <c r="A84" s="877" t="s">
        <v>383</v>
      </c>
      <c r="B84" s="886">
        <f>SUM(C84:F84)</f>
        <v>4198.9999999999964</v>
      </c>
      <c r="C84" s="887">
        <v>0</v>
      </c>
      <c r="D84" s="887">
        <f>SUM(E82-D82)*D81</f>
        <v>4198.9999999999964</v>
      </c>
      <c r="E84" s="887">
        <v>0</v>
      </c>
      <c r="F84" s="888">
        <v>0</v>
      </c>
      <c r="G84" s="886">
        <f>SUM(H84:K84)</f>
        <v>5251.9999999999991</v>
      </c>
      <c r="H84" s="887">
        <v>0</v>
      </c>
      <c r="I84" s="887">
        <f>SUM(H82-I82)*I81</f>
        <v>5251.9999999999991</v>
      </c>
      <c r="J84" s="887">
        <v>0</v>
      </c>
      <c r="K84" s="888">
        <v>0</v>
      </c>
      <c r="L84" s="886">
        <f>SUM(M84:P84)</f>
        <v>9450.9999999999964</v>
      </c>
      <c r="M84" s="887">
        <v>0</v>
      </c>
      <c r="N84" s="887">
        <f>SUM(B84+G84)</f>
        <v>9450.9999999999964</v>
      </c>
      <c r="O84" s="887">
        <v>0</v>
      </c>
      <c r="P84" s="888">
        <v>0</v>
      </c>
      <c r="Q84" s="886"/>
      <c r="R84" s="937"/>
      <c r="S84" s="937"/>
      <c r="T84" s="938"/>
      <c r="U84" s="939"/>
      <c r="V84" s="937"/>
      <c r="W84" s="937"/>
      <c r="X84" s="938"/>
    </row>
    <row r="85" spans="1:24" ht="27" thickBot="1" x14ac:dyDescent="0.45">
      <c r="A85" s="4979" t="s">
        <v>859</v>
      </c>
      <c r="B85" s="4980"/>
      <c r="C85" s="4980"/>
      <c r="D85" s="4980"/>
      <c r="E85" s="4980"/>
      <c r="F85" s="4980"/>
      <c r="G85" s="4980"/>
      <c r="H85" s="4980"/>
      <c r="I85" s="4980"/>
      <c r="J85" s="4980"/>
      <c r="K85" s="4980"/>
      <c r="L85" s="4980"/>
      <c r="M85" s="4980"/>
      <c r="N85" s="4980"/>
      <c r="O85" s="4980"/>
      <c r="P85" s="4980"/>
      <c r="Q85" s="4980"/>
      <c r="R85" s="4980"/>
      <c r="S85" s="4980"/>
      <c r="T85" s="4980"/>
      <c r="U85" s="4980"/>
      <c r="V85" s="4980"/>
      <c r="W85" s="4980"/>
      <c r="X85" s="4981"/>
    </row>
    <row r="86" spans="1:24" ht="15.75" customHeight="1" thickBot="1" x14ac:dyDescent="0.25">
      <c r="A86" s="4951">
        <v>2016</v>
      </c>
      <c r="B86" s="4954" t="s">
        <v>385</v>
      </c>
      <c r="C86" s="4954"/>
      <c r="D86" s="4954"/>
      <c r="E86" s="4954"/>
      <c r="F86" s="4954"/>
      <c r="G86" s="4954"/>
      <c r="H86" s="4954"/>
      <c r="I86" s="4954"/>
      <c r="J86" s="4954"/>
      <c r="K86" s="4954"/>
      <c r="L86" s="4954"/>
      <c r="M86" s="4954"/>
      <c r="N86" s="4954"/>
      <c r="O86" s="4954"/>
      <c r="P86" s="4955"/>
      <c r="Q86" s="4956" t="s">
        <v>389</v>
      </c>
      <c r="R86" s="4957"/>
      <c r="S86" s="4957"/>
      <c r="T86" s="4958"/>
      <c r="U86" s="4956" t="s">
        <v>390</v>
      </c>
      <c r="V86" s="4957"/>
      <c r="W86" s="4957"/>
      <c r="X86" s="4958"/>
    </row>
    <row r="87" spans="1:24" ht="15.75" customHeight="1" thickBot="1" x14ac:dyDescent="0.25">
      <c r="A87" s="4952"/>
      <c r="B87" s="4962" t="s">
        <v>851</v>
      </c>
      <c r="C87" s="4963"/>
      <c r="D87" s="4963"/>
      <c r="E87" s="4963"/>
      <c r="F87" s="4964"/>
      <c r="G87" s="4965" t="s">
        <v>852</v>
      </c>
      <c r="H87" s="4966"/>
      <c r="I87" s="4966"/>
      <c r="J87" s="4966"/>
      <c r="K87" s="4967"/>
      <c r="L87" s="4965" t="s">
        <v>815</v>
      </c>
      <c r="M87" s="4966"/>
      <c r="N87" s="4966"/>
      <c r="O87" s="4966"/>
      <c r="P87" s="4968"/>
      <c r="Q87" s="4959"/>
      <c r="R87" s="4960"/>
      <c r="S87" s="4960"/>
      <c r="T87" s="4961"/>
      <c r="U87" s="4959"/>
      <c r="V87" s="4960"/>
      <c r="W87" s="4960"/>
      <c r="X87" s="4961"/>
    </row>
    <row r="88" spans="1:24" ht="15.75" customHeight="1" x14ac:dyDescent="0.2">
      <c r="A88" s="4952"/>
      <c r="B88" s="4969" t="s">
        <v>288</v>
      </c>
      <c r="C88" s="4972" t="s">
        <v>50</v>
      </c>
      <c r="D88" s="4972"/>
      <c r="E88" s="4972"/>
      <c r="F88" s="4973"/>
      <c r="G88" s="4974" t="s">
        <v>288</v>
      </c>
      <c r="H88" s="4975" t="s">
        <v>50</v>
      </c>
      <c r="I88" s="4975"/>
      <c r="J88" s="4975"/>
      <c r="K88" s="4976"/>
      <c r="L88" s="4974" t="s">
        <v>288</v>
      </c>
      <c r="M88" s="4975" t="s">
        <v>50</v>
      </c>
      <c r="N88" s="4975"/>
      <c r="O88" s="4975"/>
      <c r="P88" s="4976"/>
      <c r="Q88" s="4974" t="s">
        <v>288</v>
      </c>
      <c r="R88" s="4977" t="s">
        <v>50</v>
      </c>
      <c r="S88" s="4977"/>
      <c r="T88" s="4978"/>
      <c r="U88" s="4974" t="s">
        <v>288</v>
      </c>
      <c r="V88" s="4977" t="s">
        <v>50</v>
      </c>
      <c r="W88" s="4977"/>
      <c r="X88" s="4978"/>
    </row>
    <row r="89" spans="1:24" ht="15.75" customHeight="1" x14ac:dyDescent="0.2">
      <c r="A89" s="4952"/>
      <c r="B89" s="4970"/>
      <c r="C89" s="4943" t="s">
        <v>314</v>
      </c>
      <c r="D89" s="4945" t="s">
        <v>228</v>
      </c>
      <c r="E89" s="4945"/>
      <c r="F89" s="4946" t="s">
        <v>861</v>
      </c>
      <c r="G89" s="4970"/>
      <c r="H89" s="4943" t="s">
        <v>314</v>
      </c>
      <c r="I89" s="4945" t="s">
        <v>228</v>
      </c>
      <c r="J89" s="4945"/>
      <c r="K89" s="4946" t="s">
        <v>861</v>
      </c>
      <c r="L89" s="4970"/>
      <c r="M89" s="4943" t="s">
        <v>314</v>
      </c>
      <c r="N89" s="4945" t="s">
        <v>228</v>
      </c>
      <c r="O89" s="4945"/>
      <c r="P89" s="4946" t="s">
        <v>861</v>
      </c>
      <c r="Q89" s="4970"/>
      <c r="R89" s="4943" t="s">
        <v>314</v>
      </c>
      <c r="S89" s="4943"/>
      <c r="T89" s="4946" t="s">
        <v>861</v>
      </c>
      <c r="U89" s="4970"/>
      <c r="V89" s="4943" t="s">
        <v>314</v>
      </c>
      <c r="W89" s="4943"/>
      <c r="X89" s="4946" t="s">
        <v>861</v>
      </c>
    </row>
    <row r="90" spans="1:24" ht="15.75" customHeight="1" thickBot="1" x14ac:dyDescent="0.25">
      <c r="A90" s="4953"/>
      <c r="B90" s="4971"/>
      <c r="C90" s="4944"/>
      <c r="D90" s="889" t="s">
        <v>253</v>
      </c>
      <c r="E90" s="889" t="s">
        <v>287</v>
      </c>
      <c r="F90" s="4947"/>
      <c r="G90" s="4971"/>
      <c r="H90" s="4944"/>
      <c r="I90" s="889" t="s">
        <v>253</v>
      </c>
      <c r="J90" s="889" t="s">
        <v>287</v>
      </c>
      <c r="K90" s="4947"/>
      <c r="L90" s="4971"/>
      <c r="M90" s="4944"/>
      <c r="N90" s="889" t="s">
        <v>253</v>
      </c>
      <c r="O90" s="889" t="s">
        <v>287</v>
      </c>
      <c r="P90" s="4947"/>
      <c r="Q90" s="4971"/>
      <c r="R90" s="894" t="s">
        <v>854</v>
      </c>
      <c r="S90" s="894" t="s">
        <v>253</v>
      </c>
      <c r="T90" s="4947"/>
      <c r="U90" s="4971"/>
      <c r="V90" s="894" t="s">
        <v>854</v>
      </c>
      <c r="W90" s="894" t="s">
        <v>253</v>
      </c>
      <c r="X90" s="4947"/>
    </row>
    <row r="91" spans="1:24" ht="30" customHeight="1" x14ac:dyDescent="0.2">
      <c r="A91" s="893" t="s">
        <v>379</v>
      </c>
      <c r="B91" s="890">
        <f>SUM('объемы ВС и ВО 2023'!T63/2)</f>
        <v>1736.5</v>
      </c>
      <c r="C91" s="891">
        <f>SUM(D91:E91)</f>
        <v>1722.5</v>
      </c>
      <c r="D91" s="891">
        <f>SUM('объемы ВС и ВО 2023'!T64/2)</f>
        <v>1224</v>
      </c>
      <c r="E91" s="891">
        <f>SUM('объемы ВС и ВО 2023'!T65/2)</f>
        <v>498.5</v>
      </c>
      <c r="F91" s="892">
        <f>SUM('объемы ВС и ВО 2023'!T70/2)</f>
        <v>14</v>
      </c>
      <c r="G91" s="890">
        <f>B91</f>
        <v>1736.5</v>
      </c>
      <c r="H91" s="891">
        <f>C91</f>
        <v>1722.5</v>
      </c>
      <c r="I91" s="891">
        <f>D91</f>
        <v>1224</v>
      </c>
      <c r="J91" s="891">
        <f>E91</f>
        <v>498.5</v>
      </c>
      <c r="K91" s="892">
        <f>F91</f>
        <v>14</v>
      </c>
      <c r="L91" s="890">
        <f>SUM(B91+G91)</f>
        <v>3473</v>
      </c>
      <c r="M91" s="891">
        <f>SUM(C91+H91)</f>
        <v>3445</v>
      </c>
      <c r="N91" s="891">
        <f>SUM(D91+I91)</f>
        <v>2448</v>
      </c>
      <c r="O91" s="891">
        <f>SUM(E91+J91)</f>
        <v>997</v>
      </c>
      <c r="P91" s="892">
        <f>SUM(F91+K91)</f>
        <v>28</v>
      </c>
      <c r="Q91" s="890"/>
      <c r="R91" s="926"/>
      <c r="S91" s="926"/>
      <c r="T91" s="927"/>
      <c r="U91" s="928"/>
      <c r="V91" s="895"/>
      <c r="W91" s="895"/>
      <c r="X91" s="896"/>
    </row>
    <row r="92" spans="1:24" ht="30" customHeight="1" x14ac:dyDescent="0.2">
      <c r="A92" s="876" t="s">
        <v>380</v>
      </c>
      <c r="B92" s="882" t="e">
        <f>SUM(B93/B91)</f>
        <v>#REF!</v>
      </c>
      <c r="C92" s="883" t="e">
        <f>SUM(C93/C91)</f>
        <v>#REF!</v>
      </c>
      <c r="D92" s="883">
        <f>SUM(I72)</f>
        <v>21.01</v>
      </c>
      <c r="E92" s="883" t="e">
        <f>SUM(J72)</f>
        <v>#REF!</v>
      </c>
      <c r="F92" s="884">
        <f>SUM(K72)</f>
        <v>13.79</v>
      </c>
      <c r="G92" s="882" t="e">
        <f>SUM(G93/G91)</f>
        <v>#REF!</v>
      </c>
      <c r="H92" s="883" t="e">
        <f>H93/H91</f>
        <v>#REF!</v>
      </c>
      <c r="I92" s="883">
        <f>D92*1.2</f>
        <v>25.212</v>
      </c>
      <c r="J92" s="883" t="e">
        <f>SUM(H92)</f>
        <v>#REF!</v>
      </c>
      <c r="K92" s="884">
        <f t="shared" ref="K92:P92" si="9">SUM(K93/K91)</f>
        <v>13.286581777548991</v>
      </c>
      <c r="L92" s="882">
        <f t="shared" si="9"/>
        <v>27.874522469513643</v>
      </c>
      <c r="M92" s="883">
        <f t="shared" si="9"/>
        <v>27.991043364799765</v>
      </c>
      <c r="N92" s="883">
        <f t="shared" si="9"/>
        <v>23.111000000000001</v>
      </c>
      <c r="O92" s="883" t="e">
        <f t="shared" si="9"/>
        <v>#REF!</v>
      </c>
      <c r="P92" s="884">
        <f t="shared" si="9"/>
        <v>13.538290888774496</v>
      </c>
      <c r="Q92" s="885" t="e">
        <f>SUM(G92/B92)</f>
        <v>#REF!</v>
      </c>
      <c r="R92" s="929" t="e">
        <f>SUM(H92/C92)</f>
        <v>#REF!</v>
      </c>
      <c r="S92" s="929">
        <f>I92/D92</f>
        <v>1.2</v>
      </c>
      <c r="T92" s="930">
        <f>SUM(K92/F92)</f>
        <v>0.96349396501443008</v>
      </c>
      <c r="U92" s="931" t="e">
        <f>SUM(L92/L72)</f>
        <v>#REF!</v>
      </c>
      <c r="V92" s="872" t="e">
        <f>SUM(M92/M72)</f>
        <v>#REF!</v>
      </c>
      <c r="W92" s="872">
        <f>SUM(N92/N72)</f>
        <v>1.1743394308943087</v>
      </c>
      <c r="X92" s="873" t="e">
        <f>SUM(P92/P72)</f>
        <v>#REF!</v>
      </c>
    </row>
    <row r="93" spans="1:24" ht="30" customHeight="1" x14ac:dyDescent="0.2">
      <c r="A93" s="876" t="s">
        <v>381</v>
      </c>
      <c r="B93" s="882" t="e">
        <f>SUM(C93+F93)</f>
        <v>#REF!</v>
      </c>
      <c r="C93" s="883" t="e">
        <f>SUM(D93:E93)+D94</f>
        <v>#REF!</v>
      </c>
      <c r="D93" s="883">
        <f>D92*D91</f>
        <v>25716.240000000002</v>
      </c>
      <c r="E93" s="883" t="e">
        <f>E92*E91</f>
        <v>#REF!</v>
      </c>
      <c r="F93" s="884">
        <f>F92*F91</f>
        <v>193.06</v>
      </c>
      <c r="G93" s="882" t="e">
        <f>SUM(L93-B93)</f>
        <v>#REF!</v>
      </c>
      <c r="H93" s="883" t="e">
        <f>SUM(M93-C93)</f>
        <v>#REF!</v>
      </c>
      <c r="I93" s="883">
        <f>I92*I91</f>
        <v>30859.488000000001</v>
      </c>
      <c r="J93" s="883" t="e">
        <f>SUM(J91*J92)</f>
        <v>#REF!</v>
      </c>
      <c r="K93" s="884">
        <f>SUM(P93-F93)</f>
        <v>186.01214488568587</v>
      </c>
      <c r="L93" s="882">
        <f>SUM(стоки!AV129)</f>
        <v>96808.216536620879</v>
      </c>
      <c r="M93" s="883">
        <f>SUM(стоки!AX129)</f>
        <v>96429.144391735186</v>
      </c>
      <c r="N93" s="883">
        <f>SUM(D93+I93)</f>
        <v>56575.728000000003</v>
      </c>
      <c r="O93" s="883" t="e">
        <f>SUM(E93+J93)</f>
        <v>#REF!</v>
      </c>
      <c r="P93" s="884">
        <f>SUM(стоки!AY129)</f>
        <v>379.07214488568587</v>
      </c>
      <c r="Q93" s="882"/>
      <c r="R93" s="934"/>
      <c r="S93" s="934"/>
      <c r="T93" s="935"/>
      <c r="U93" s="936"/>
      <c r="V93" s="869"/>
      <c r="W93" s="869"/>
      <c r="X93" s="870"/>
    </row>
    <row r="94" spans="1:24" ht="30" customHeight="1" thickBot="1" x14ac:dyDescent="0.25">
      <c r="A94" s="877" t="s">
        <v>383</v>
      </c>
      <c r="B94" s="886" t="e">
        <f>SUM(C94:F94)</f>
        <v>#REF!</v>
      </c>
      <c r="C94" s="887">
        <v>0</v>
      </c>
      <c r="D94" s="887" t="e">
        <f>SUM(E92-D92)*D91</f>
        <v>#REF!</v>
      </c>
      <c r="E94" s="887">
        <v>0</v>
      </c>
      <c r="F94" s="888">
        <v>0</v>
      </c>
      <c r="G94" s="886" t="e">
        <f>SUM(H94:K94)</f>
        <v>#REF!</v>
      </c>
      <c r="H94" s="887">
        <v>0</v>
      </c>
      <c r="I94" s="887" t="e">
        <f>SUM(H92-I92)*I91</f>
        <v>#REF!</v>
      </c>
      <c r="J94" s="887">
        <v>0</v>
      </c>
      <c r="K94" s="888">
        <v>0</v>
      </c>
      <c r="L94" s="886" t="e">
        <f>SUM(M94:P94)</f>
        <v>#REF!</v>
      </c>
      <c r="M94" s="887">
        <v>0</v>
      </c>
      <c r="N94" s="887" t="e">
        <f>SUM(B94+G94)</f>
        <v>#REF!</v>
      </c>
      <c r="O94" s="887">
        <v>0</v>
      </c>
      <c r="P94" s="888">
        <v>0</v>
      </c>
      <c r="Q94" s="886"/>
      <c r="R94" s="937"/>
      <c r="S94" s="937"/>
      <c r="T94" s="938"/>
      <c r="U94" s="939"/>
      <c r="V94" s="874"/>
      <c r="W94" s="874"/>
      <c r="X94" s="875"/>
    </row>
    <row r="95" spans="1:24" ht="15.75" customHeight="1" thickBot="1" x14ac:dyDescent="0.25">
      <c r="A95" s="4914"/>
      <c r="B95" s="4915"/>
      <c r="C95" s="4915"/>
      <c r="D95" s="4915"/>
      <c r="E95" s="4915"/>
      <c r="F95" s="4915"/>
      <c r="G95" s="4915"/>
      <c r="H95" s="4915"/>
      <c r="I95" s="4915"/>
      <c r="J95" s="4915"/>
      <c r="K95" s="4915"/>
      <c r="L95" s="4915"/>
      <c r="M95" s="4915"/>
      <c r="N95" s="4915"/>
      <c r="O95" s="4915"/>
      <c r="P95" s="4915"/>
      <c r="Q95" s="4915"/>
      <c r="R95" s="4915"/>
      <c r="S95" s="4915"/>
      <c r="T95" s="4915"/>
      <c r="U95" s="4915"/>
      <c r="V95" s="4915"/>
      <c r="W95" s="4915"/>
      <c r="X95" s="4916"/>
    </row>
    <row r="96" spans="1:24" ht="15.75" customHeight="1" thickBot="1" x14ac:dyDescent="0.25">
      <c r="A96" s="4951">
        <v>2016</v>
      </c>
      <c r="B96" s="4954" t="s">
        <v>382</v>
      </c>
      <c r="C96" s="4954"/>
      <c r="D96" s="4954"/>
      <c r="E96" s="4954"/>
      <c r="F96" s="4954"/>
      <c r="G96" s="4954"/>
      <c r="H96" s="4954"/>
      <c r="I96" s="4954"/>
      <c r="J96" s="4954"/>
      <c r="K96" s="4954"/>
      <c r="L96" s="4954"/>
      <c r="M96" s="4954"/>
      <c r="N96" s="4954"/>
      <c r="O96" s="4954"/>
      <c r="P96" s="4955"/>
      <c r="Q96" s="4956" t="s">
        <v>389</v>
      </c>
      <c r="R96" s="4957"/>
      <c r="S96" s="4957"/>
      <c r="T96" s="4958"/>
      <c r="U96" s="4956" t="s">
        <v>390</v>
      </c>
      <c r="V96" s="4957"/>
      <c r="W96" s="4957"/>
      <c r="X96" s="4958"/>
    </row>
    <row r="97" spans="1:24" ht="15.75" customHeight="1" thickBot="1" x14ac:dyDescent="0.25">
      <c r="A97" s="4952"/>
      <c r="B97" s="4962" t="s">
        <v>851</v>
      </c>
      <c r="C97" s="4963"/>
      <c r="D97" s="4963"/>
      <c r="E97" s="4963"/>
      <c r="F97" s="4964"/>
      <c r="G97" s="4965" t="s">
        <v>852</v>
      </c>
      <c r="H97" s="4966"/>
      <c r="I97" s="4966"/>
      <c r="J97" s="4966"/>
      <c r="K97" s="4967"/>
      <c r="L97" s="4965" t="s">
        <v>815</v>
      </c>
      <c r="M97" s="4966"/>
      <c r="N97" s="4966"/>
      <c r="O97" s="4966"/>
      <c r="P97" s="4968"/>
      <c r="Q97" s="4959"/>
      <c r="R97" s="4960"/>
      <c r="S97" s="4960"/>
      <c r="T97" s="4961"/>
      <c r="U97" s="4959"/>
      <c r="V97" s="4960"/>
      <c r="W97" s="4960"/>
      <c r="X97" s="4961"/>
    </row>
    <row r="98" spans="1:24" ht="15.75" customHeight="1" x14ac:dyDescent="0.2">
      <c r="A98" s="4952"/>
      <c r="B98" s="4969" t="s">
        <v>288</v>
      </c>
      <c r="C98" s="4972" t="s">
        <v>50</v>
      </c>
      <c r="D98" s="4972"/>
      <c r="E98" s="4972"/>
      <c r="F98" s="4973"/>
      <c r="G98" s="4974" t="s">
        <v>288</v>
      </c>
      <c r="H98" s="4975" t="s">
        <v>50</v>
      </c>
      <c r="I98" s="4975"/>
      <c r="J98" s="4975"/>
      <c r="K98" s="4976"/>
      <c r="L98" s="4974" t="s">
        <v>288</v>
      </c>
      <c r="M98" s="4975" t="s">
        <v>50</v>
      </c>
      <c r="N98" s="4975"/>
      <c r="O98" s="4975"/>
      <c r="P98" s="4976"/>
      <c r="Q98" s="4974" t="s">
        <v>288</v>
      </c>
      <c r="R98" s="4977" t="s">
        <v>50</v>
      </c>
      <c r="S98" s="4977"/>
      <c r="T98" s="4978"/>
      <c r="U98" s="4974" t="s">
        <v>288</v>
      </c>
      <c r="V98" s="4977" t="s">
        <v>50</v>
      </c>
      <c r="W98" s="4977"/>
      <c r="X98" s="4978"/>
    </row>
    <row r="99" spans="1:24" ht="15.75" customHeight="1" x14ac:dyDescent="0.2">
      <c r="A99" s="4952"/>
      <c r="B99" s="4970"/>
      <c r="C99" s="4943" t="s">
        <v>314</v>
      </c>
      <c r="D99" s="4945" t="s">
        <v>228</v>
      </c>
      <c r="E99" s="4945"/>
      <c r="F99" s="4946" t="s">
        <v>861</v>
      </c>
      <c r="G99" s="4970"/>
      <c r="H99" s="4943" t="s">
        <v>314</v>
      </c>
      <c r="I99" s="4945" t="s">
        <v>228</v>
      </c>
      <c r="J99" s="4945"/>
      <c r="K99" s="4946" t="s">
        <v>861</v>
      </c>
      <c r="L99" s="4970"/>
      <c r="M99" s="4943" t="s">
        <v>314</v>
      </c>
      <c r="N99" s="4945" t="s">
        <v>228</v>
      </c>
      <c r="O99" s="4945"/>
      <c r="P99" s="4946" t="s">
        <v>861</v>
      </c>
      <c r="Q99" s="4970"/>
      <c r="R99" s="4943" t="s">
        <v>314</v>
      </c>
      <c r="S99" s="4943"/>
      <c r="T99" s="4946" t="s">
        <v>861</v>
      </c>
      <c r="U99" s="4970"/>
      <c r="V99" s="4943" t="s">
        <v>314</v>
      </c>
      <c r="W99" s="4943"/>
      <c r="X99" s="4946" t="s">
        <v>861</v>
      </c>
    </row>
    <row r="100" spans="1:24" ht="15.75" customHeight="1" thickBot="1" x14ac:dyDescent="0.25">
      <c r="A100" s="4953"/>
      <c r="B100" s="4971"/>
      <c r="C100" s="4944"/>
      <c r="D100" s="889" t="s">
        <v>253</v>
      </c>
      <c r="E100" s="889" t="s">
        <v>287</v>
      </c>
      <c r="F100" s="4947"/>
      <c r="G100" s="4971"/>
      <c r="H100" s="4944"/>
      <c r="I100" s="889" t="s">
        <v>253</v>
      </c>
      <c r="J100" s="889" t="s">
        <v>287</v>
      </c>
      <c r="K100" s="4947"/>
      <c r="L100" s="4971"/>
      <c r="M100" s="4944"/>
      <c r="N100" s="889" t="s">
        <v>253</v>
      </c>
      <c r="O100" s="889" t="s">
        <v>287</v>
      </c>
      <c r="P100" s="4947"/>
      <c r="Q100" s="4971"/>
      <c r="R100" s="894" t="s">
        <v>854</v>
      </c>
      <c r="S100" s="894" t="s">
        <v>253</v>
      </c>
      <c r="T100" s="4947"/>
      <c r="U100" s="4971"/>
      <c r="V100" s="894" t="s">
        <v>854</v>
      </c>
      <c r="W100" s="894" t="s">
        <v>253</v>
      </c>
      <c r="X100" s="4947"/>
    </row>
    <row r="101" spans="1:24" ht="30" customHeight="1" x14ac:dyDescent="0.2">
      <c r="A101" s="893" t="s">
        <v>379</v>
      </c>
      <c r="B101" s="890">
        <f>SUM(B91)</f>
        <v>1736.5</v>
      </c>
      <c r="C101" s="891">
        <f t="shared" ref="C101:P101" si="10">SUM(C91)</f>
        <v>1722.5</v>
      </c>
      <c r="D101" s="891">
        <f t="shared" si="10"/>
        <v>1224</v>
      </c>
      <c r="E101" s="891">
        <f t="shared" si="10"/>
        <v>498.5</v>
      </c>
      <c r="F101" s="892">
        <f t="shared" si="10"/>
        <v>14</v>
      </c>
      <c r="G101" s="890">
        <f t="shared" si="10"/>
        <v>1736.5</v>
      </c>
      <c r="H101" s="891">
        <f t="shared" si="10"/>
        <v>1722.5</v>
      </c>
      <c r="I101" s="891">
        <f t="shared" si="10"/>
        <v>1224</v>
      </c>
      <c r="J101" s="891">
        <f t="shared" si="10"/>
        <v>498.5</v>
      </c>
      <c r="K101" s="892">
        <f t="shared" si="10"/>
        <v>14</v>
      </c>
      <c r="L101" s="890">
        <f t="shared" si="10"/>
        <v>3473</v>
      </c>
      <c r="M101" s="891">
        <f t="shared" si="10"/>
        <v>3445</v>
      </c>
      <c r="N101" s="891">
        <f t="shared" si="10"/>
        <v>2448</v>
      </c>
      <c r="O101" s="891">
        <f t="shared" si="10"/>
        <v>997</v>
      </c>
      <c r="P101" s="892">
        <f t="shared" si="10"/>
        <v>28</v>
      </c>
      <c r="Q101" s="890"/>
      <c r="R101" s="895"/>
      <c r="S101" s="895"/>
      <c r="T101" s="896"/>
      <c r="U101" s="897"/>
      <c r="V101" s="895"/>
      <c r="W101" s="895"/>
      <c r="X101" s="896"/>
    </row>
    <row r="102" spans="1:24" ht="30" customHeight="1" x14ac:dyDescent="0.2">
      <c r="A102" s="876" t="s">
        <v>380</v>
      </c>
      <c r="B102" s="882">
        <f>SUM(B103/B101)</f>
        <v>24.959219694788366</v>
      </c>
      <c r="C102" s="883">
        <f>SUM(C103/C101)</f>
        <v>25.05</v>
      </c>
      <c r="D102" s="883">
        <f>SUM(I82)</f>
        <v>21.01</v>
      </c>
      <c r="E102" s="883">
        <f>SUM(J82)</f>
        <v>25.05</v>
      </c>
      <c r="F102" s="884">
        <f>SUM(K82)</f>
        <v>13.79</v>
      </c>
      <c r="G102" s="882">
        <f>SUM(G103/G101)</f>
        <v>30.789306960334518</v>
      </c>
      <c r="H102" s="883">
        <f>H103/H101</f>
        <v>30.931564233227977</v>
      </c>
      <c r="I102" s="883">
        <f>D102*1.2</f>
        <v>25.212</v>
      </c>
      <c r="J102" s="883">
        <f>SUM(H102)</f>
        <v>30.931564233227977</v>
      </c>
      <c r="K102" s="884">
        <f t="shared" ref="K102:P102" si="11">SUM(K103/K101)</f>
        <v>13.286581777548991</v>
      </c>
      <c r="L102" s="882">
        <f t="shared" si="11"/>
        <v>27.87426332756144</v>
      </c>
      <c r="M102" s="883">
        <f t="shared" si="11"/>
        <v>27.990782116613989</v>
      </c>
      <c r="N102" s="883">
        <f t="shared" si="11"/>
        <v>23.111000000000001</v>
      </c>
      <c r="O102" s="883">
        <f t="shared" si="11"/>
        <v>27.990782116613989</v>
      </c>
      <c r="P102" s="884">
        <f t="shared" si="11"/>
        <v>13.538290888774496</v>
      </c>
      <c r="Q102" s="885">
        <f>SUM(G102/B102)</f>
        <v>1.2335845165369295</v>
      </c>
      <c r="R102" s="871">
        <f>SUM(H102/C102)</f>
        <v>1.2347929833623943</v>
      </c>
      <c r="S102" s="871">
        <f>I102/D102</f>
        <v>1.2</v>
      </c>
      <c r="T102" s="878">
        <f>SUM(K102/F102)</f>
        <v>0.96349396501443008</v>
      </c>
      <c r="U102" s="880" t="e">
        <f>SUM(L102/L82)</f>
        <v>#REF!</v>
      </c>
      <c r="V102" s="872" t="e">
        <f>SUM(M102/M82)</f>
        <v>#REF!</v>
      </c>
      <c r="W102" s="872">
        <f>SUM(N102/N82)</f>
        <v>1.1743394308943087</v>
      </c>
      <c r="X102" s="873" t="e">
        <f>SUM(P102/P82)</f>
        <v>#REF!</v>
      </c>
    </row>
    <row r="103" spans="1:24" ht="30" customHeight="1" x14ac:dyDescent="0.2">
      <c r="A103" s="876" t="s">
        <v>381</v>
      </c>
      <c r="B103" s="882">
        <f>SUM(C103+F103)</f>
        <v>43341.684999999998</v>
      </c>
      <c r="C103" s="883">
        <f>SUM(D103:E103)+D104</f>
        <v>43148.625</v>
      </c>
      <c r="D103" s="883">
        <f>D102*D101</f>
        <v>25716.240000000002</v>
      </c>
      <c r="E103" s="883">
        <f>E102*E101</f>
        <v>12487.425000000001</v>
      </c>
      <c r="F103" s="884">
        <f>F102*F101</f>
        <v>193.06</v>
      </c>
      <c r="G103" s="882">
        <f>SUM(L103-B103)</f>
        <v>53465.631536620887</v>
      </c>
      <c r="H103" s="883">
        <f>SUM(M103-C103)</f>
        <v>53279.619391735192</v>
      </c>
      <c r="I103" s="883">
        <f>I102*I101</f>
        <v>30859.488000000001</v>
      </c>
      <c r="J103" s="883">
        <f>SUM(J101*J102)</f>
        <v>15419.384770264147</v>
      </c>
      <c r="K103" s="884">
        <f>SUM(P103-F103)</f>
        <v>186.01214488568587</v>
      </c>
      <c r="L103" s="882">
        <f>SUM(стоки!AV126)</f>
        <v>96807.316536620885</v>
      </c>
      <c r="M103" s="883">
        <f>SUM(стоки!AX126)</f>
        <v>96428.244391735192</v>
      </c>
      <c r="N103" s="883">
        <f>SUM(D103+I103)</f>
        <v>56575.728000000003</v>
      </c>
      <c r="O103" s="883">
        <f>SUM(E103+J103)</f>
        <v>27906.809770264146</v>
      </c>
      <c r="P103" s="884">
        <f>SUM(стоки!AY126)</f>
        <v>379.07214488568587</v>
      </c>
      <c r="Q103" s="882"/>
      <c r="R103" s="869"/>
      <c r="S103" s="869"/>
      <c r="T103" s="870"/>
      <c r="U103" s="879"/>
      <c r="V103" s="869"/>
      <c r="W103" s="869"/>
      <c r="X103" s="870"/>
    </row>
    <row r="104" spans="1:24" ht="30" customHeight="1" thickBot="1" x14ac:dyDescent="0.25">
      <c r="A104" s="877" t="s">
        <v>383</v>
      </c>
      <c r="B104" s="886">
        <f>SUM(C104:F104)</f>
        <v>4944.9599999999991</v>
      </c>
      <c r="C104" s="887">
        <v>0</v>
      </c>
      <c r="D104" s="887">
        <f>SUM(E102-D102)*D101</f>
        <v>4944.9599999999991</v>
      </c>
      <c r="E104" s="887">
        <v>0</v>
      </c>
      <c r="F104" s="888">
        <v>0</v>
      </c>
      <c r="G104" s="886">
        <f>SUM(H104:K104)</f>
        <v>7000.7466214710448</v>
      </c>
      <c r="H104" s="887">
        <v>0</v>
      </c>
      <c r="I104" s="887">
        <f>SUM(H102-I102)*I101</f>
        <v>7000.7466214710448</v>
      </c>
      <c r="J104" s="887">
        <v>0</v>
      </c>
      <c r="K104" s="888">
        <v>0</v>
      </c>
      <c r="L104" s="886">
        <f>SUM(M104:P104)</f>
        <v>11945.706621471043</v>
      </c>
      <c r="M104" s="887">
        <v>0</v>
      </c>
      <c r="N104" s="887">
        <f>SUM(B104+G104)</f>
        <v>11945.706621471043</v>
      </c>
      <c r="O104" s="887">
        <v>0</v>
      </c>
      <c r="P104" s="888">
        <v>0</v>
      </c>
      <c r="Q104" s="886"/>
      <c r="R104" s="874"/>
      <c r="S104" s="874"/>
      <c r="T104" s="875"/>
      <c r="U104" s="881"/>
      <c r="V104" s="874"/>
      <c r="W104" s="874"/>
      <c r="X104" s="875"/>
    </row>
    <row r="105" spans="1:24" ht="27" thickBot="1" x14ac:dyDescent="0.45">
      <c r="A105" s="4948" t="s">
        <v>860</v>
      </c>
      <c r="B105" s="4949"/>
      <c r="C105" s="4949"/>
      <c r="D105" s="4949"/>
      <c r="E105" s="4949"/>
      <c r="F105" s="4949"/>
      <c r="G105" s="4949"/>
      <c r="H105" s="4949"/>
      <c r="I105" s="4949"/>
      <c r="J105" s="4949"/>
      <c r="K105" s="4949"/>
      <c r="L105" s="4949"/>
      <c r="M105" s="4949"/>
      <c r="N105" s="4949"/>
      <c r="O105" s="4949"/>
      <c r="P105" s="4949"/>
      <c r="Q105" s="4949"/>
      <c r="R105" s="4949"/>
      <c r="S105" s="4949"/>
      <c r="T105" s="4949"/>
      <c r="U105" s="4949"/>
      <c r="V105" s="4949"/>
      <c r="W105" s="4949"/>
      <c r="X105" s="4950"/>
    </row>
    <row r="106" spans="1:24" ht="15.75" customHeight="1" thickBot="1" x14ac:dyDescent="0.25">
      <c r="A106" s="4917">
        <v>2016</v>
      </c>
      <c r="B106" s="4920" t="s">
        <v>385</v>
      </c>
      <c r="C106" s="4920"/>
      <c r="D106" s="4920"/>
      <c r="E106" s="4920"/>
      <c r="F106" s="4920"/>
      <c r="G106" s="4920"/>
      <c r="H106" s="4920"/>
      <c r="I106" s="4920"/>
      <c r="J106" s="4920"/>
      <c r="K106" s="4920"/>
      <c r="L106" s="4920"/>
      <c r="M106" s="4920"/>
      <c r="N106" s="4920"/>
      <c r="O106" s="4920"/>
      <c r="P106" s="4921"/>
      <c r="Q106" s="4930" t="s">
        <v>389</v>
      </c>
      <c r="R106" s="4931"/>
      <c r="S106" s="4931"/>
      <c r="T106" s="4932"/>
      <c r="U106" s="4930" t="s">
        <v>390</v>
      </c>
      <c r="V106" s="4931"/>
      <c r="W106" s="4931"/>
      <c r="X106" s="4932"/>
    </row>
    <row r="107" spans="1:24" ht="15.75" customHeight="1" thickBot="1" x14ac:dyDescent="0.25">
      <c r="A107" s="4918"/>
      <c r="B107" s="4936" t="s">
        <v>851</v>
      </c>
      <c r="C107" s="4937"/>
      <c r="D107" s="4937"/>
      <c r="E107" s="4937"/>
      <c r="F107" s="4938"/>
      <c r="G107" s="4939" t="s">
        <v>852</v>
      </c>
      <c r="H107" s="4940"/>
      <c r="I107" s="4940"/>
      <c r="J107" s="4940"/>
      <c r="K107" s="4941"/>
      <c r="L107" s="4939" t="s">
        <v>815</v>
      </c>
      <c r="M107" s="4940"/>
      <c r="N107" s="4940"/>
      <c r="O107" s="4940"/>
      <c r="P107" s="4942"/>
      <c r="Q107" s="4933"/>
      <c r="R107" s="4934"/>
      <c r="S107" s="4934"/>
      <c r="T107" s="4935"/>
      <c r="U107" s="4933"/>
      <c r="V107" s="4934"/>
      <c r="W107" s="4934"/>
      <c r="X107" s="4935"/>
    </row>
    <row r="108" spans="1:24" ht="15.75" customHeight="1" x14ac:dyDescent="0.2">
      <c r="A108" s="4918"/>
      <c r="B108" s="4922" t="s">
        <v>288</v>
      </c>
      <c r="C108" s="4925" t="s">
        <v>50</v>
      </c>
      <c r="D108" s="4925"/>
      <c r="E108" s="4925"/>
      <c r="F108" s="4926"/>
      <c r="G108" s="4927" t="s">
        <v>288</v>
      </c>
      <c r="H108" s="4928" t="s">
        <v>50</v>
      </c>
      <c r="I108" s="4928"/>
      <c r="J108" s="4928"/>
      <c r="K108" s="4929"/>
      <c r="L108" s="4927" t="s">
        <v>288</v>
      </c>
      <c r="M108" s="4928" t="s">
        <v>50</v>
      </c>
      <c r="N108" s="4928"/>
      <c r="O108" s="4928"/>
      <c r="P108" s="4929"/>
      <c r="Q108" s="4927" t="s">
        <v>288</v>
      </c>
      <c r="R108" s="4903" t="s">
        <v>50</v>
      </c>
      <c r="S108" s="4903"/>
      <c r="T108" s="4904"/>
      <c r="U108" s="4927" t="s">
        <v>288</v>
      </c>
      <c r="V108" s="4903" t="s">
        <v>50</v>
      </c>
      <c r="W108" s="4903"/>
      <c r="X108" s="4904"/>
    </row>
    <row r="109" spans="1:24" ht="15.75" customHeight="1" x14ac:dyDescent="0.2">
      <c r="A109" s="4918"/>
      <c r="B109" s="4923"/>
      <c r="C109" s="4905" t="s">
        <v>314</v>
      </c>
      <c r="D109" s="4913" t="s">
        <v>228</v>
      </c>
      <c r="E109" s="4913"/>
      <c r="F109" s="4906" t="s">
        <v>861</v>
      </c>
      <c r="G109" s="4923"/>
      <c r="H109" s="4905" t="s">
        <v>314</v>
      </c>
      <c r="I109" s="4913" t="s">
        <v>228</v>
      </c>
      <c r="J109" s="4913"/>
      <c r="K109" s="4906" t="s">
        <v>861</v>
      </c>
      <c r="L109" s="4923"/>
      <c r="M109" s="4905" t="s">
        <v>314</v>
      </c>
      <c r="N109" s="4913" t="s">
        <v>228</v>
      </c>
      <c r="O109" s="4913"/>
      <c r="P109" s="4906" t="s">
        <v>861</v>
      </c>
      <c r="Q109" s="4923"/>
      <c r="R109" s="4905" t="s">
        <v>314</v>
      </c>
      <c r="S109" s="4905"/>
      <c r="T109" s="4906" t="s">
        <v>861</v>
      </c>
      <c r="U109" s="4923"/>
      <c r="V109" s="4905" t="s">
        <v>314</v>
      </c>
      <c r="W109" s="4905"/>
      <c r="X109" s="4906" t="s">
        <v>861</v>
      </c>
    </row>
    <row r="110" spans="1:24" ht="15.75" customHeight="1" thickBot="1" x14ac:dyDescent="0.25">
      <c r="A110" s="4919"/>
      <c r="B110" s="4924"/>
      <c r="C110" s="4912"/>
      <c r="D110" s="898" t="s">
        <v>253</v>
      </c>
      <c r="E110" s="898" t="s">
        <v>287</v>
      </c>
      <c r="F110" s="4907"/>
      <c r="G110" s="4924"/>
      <c r="H110" s="4912"/>
      <c r="I110" s="898" t="s">
        <v>253</v>
      </c>
      <c r="J110" s="898" t="s">
        <v>287</v>
      </c>
      <c r="K110" s="4907"/>
      <c r="L110" s="4924"/>
      <c r="M110" s="4912"/>
      <c r="N110" s="898" t="s">
        <v>253</v>
      </c>
      <c r="O110" s="898" t="s">
        <v>287</v>
      </c>
      <c r="P110" s="4907"/>
      <c r="Q110" s="4924"/>
      <c r="R110" s="898" t="s">
        <v>854</v>
      </c>
      <c r="S110" s="898" t="s">
        <v>253</v>
      </c>
      <c r="T110" s="4907"/>
      <c r="U110" s="4924"/>
      <c r="V110" s="898" t="s">
        <v>854</v>
      </c>
      <c r="W110" s="898" t="s">
        <v>253</v>
      </c>
      <c r="X110" s="4907"/>
    </row>
    <row r="111" spans="1:24" ht="30" customHeight="1" x14ac:dyDescent="0.2">
      <c r="A111" s="899" t="s">
        <v>379</v>
      </c>
      <c r="B111" s="900">
        <f>SUM('объемы ВС и ВО 2023'!AA63/2)</f>
        <v>1722.5</v>
      </c>
      <c r="C111" s="901">
        <f>SUM(D111:E111)</f>
        <v>1722.5</v>
      </c>
      <c r="D111" s="901">
        <f>SUM('объемы ВС и ВО 2023'!AA64/2)</f>
        <v>1224</v>
      </c>
      <c r="E111" s="901">
        <f>SUM('объемы ВС и ВО 2023'!AA65/2)</f>
        <v>498.5</v>
      </c>
      <c r="F111" s="902">
        <f>SUM('объемы ВС и ВО 2023'!AA70/2)</f>
        <v>0</v>
      </c>
      <c r="G111" s="900">
        <f>B111</f>
        <v>1722.5</v>
      </c>
      <c r="H111" s="901">
        <f>C111</f>
        <v>1722.5</v>
      </c>
      <c r="I111" s="901">
        <f>D111</f>
        <v>1224</v>
      </c>
      <c r="J111" s="901">
        <f>E111</f>
        <v>498.5</v>
      </c>
      <c r="K111" s="902">
        <f>F111</f>
        <v>0</v>
      </c>
      <c r="L111" s="900">
        <f>SUM(B111+G111)</f>
        <v>3445</v>
      </c>
      <c r="M111" s="901">
        <f>SUM(C111+H111)</f>
        <v>3445</v>
      </c>
      <c r="N111" s="901">
        <f>SUM(D111+I111)</f>
        <v>2448</v>
      </c>
      <c r="O111" s="901">
        <f>SUM(E111+J111)</f>
        <v>997</v>
      </c>
      <c r="P111" s="902">
        <f>SUM(F111+K111)</f>
        <v>0</v>
      </c>
      <c r="Q111" s="900"/>
      <c r="R111" s="903"/>
      <c r="S111" s="903"/>
      <c r="T111" s="904"/>
      <c r="U111" s="905"/>
      <c r="V111" s="903"/>
      <c r="W111" s="903"/>
      <c r="X111" s="904"/>
    </row>
    <row r="112" spans="1:24" ht="30" customHeight="1" x14ac:dyDescent="0.2">
      <c r="A112" s="906" t="s">
        <v>380</v>
      </c>
      <c r="B112" s="907" t="e">
        <f>SUM(B113/B111)</f>
        <v>#REF!</v>
      </c>
      <c r="C112" s="908" t="e">
        <f>SUM(C113/C111)</f>
        <v>#REF!</v>
      </c>
      <c r="D112" s="908">
        <f>SUM(I72)</f>
        <v>21.01</v>
      </c>
      <c r="E112" s="908" t="e">
        <f>SUM(J72)</f>
        <v>#REF!</v>
      </c>
      <c r="F112" s="909">
        <f>SUM(K72)</f>
        <v>13.79</v>
      </c>
      <c r="G112" s="907" t="e">
        <f>SUM(G113/G111)</f>
        <v>#REF!</v>
      </c>
      <c r="H112" s="908" t="e">
        <f>H113/H111</f>
        <v>#REF!</v>
      </c>
      <c r="I112" s="908">
        <f>D112*1.045</f>
        <v>21.955449999999999</v>
      </c>
      <c r="J112" s="908" t="e">
        <f>SUM(H112)</f>
        <v>#REF!</v>
      </c>
      <c r="K112" s="909" t="e">
        <f t="shared" ref="K112:P112" si="12">SUM(K113/K111)</f>
        <v>#DIV/0!</v>
      </c>
      <c r="L112" s="907">
        <f t="shared" si="12"/>
        <v>24.785313993735123</v>
      </c>
      <c r="M112" s="908">
        <f t="shared" si="12"/>
        <v>24.708181875298283</v>
      </c>
      <c r="N112" s="908">
        <f t="shared" si="12"/>
        <v>21.482725000000002</v>
      </c>
      <c r="O112" s="908" t="e">
        <f t="shared" si="12"/>
        <v>#REF!</v>
      </c>
      <c r="P112" s="909" t="e">
        <f t="shared" si="12"/>
        <v>#DIV/0!</v>
      </c>
      <c r="Q112" s="910" t="e">
        <f>SUM(G112/B112)</f>
        <v>#REF!</v>
      </c>
      <c r="R112" s="911" t="e">
        <f>SUM(H112/C112)</f>
        <v>#REF!</v>
      </c>
      <c r="S112" s="911">
        <f>I112/D112</f>
        <v>1.0449999999999999</v>
      </c>
      <c r="T112" s="912" t="e">
        <f>SUM(K112/F112)</f>
        <v>#DIV/0!</v>
      </c>
      <c r="U112" s="913" t="e">
        <f>SUM(L112/L72)</f>
        <v>#REF!</v>
      </c>
      <c r="V112" s="914" t="e">
        <f>SUM(M112/M72)</f>
        <v>#REF!</v>
      </c>
      <c r="W112" s="914">
        <f>SUM(N112/N72)</f>
        <v>1.0916018800813008</v>
      </c>
      <c r="X112" s="915" t="e">
        <f>SUM(P112/P72)</f>
        <v>#DIV/0!</v>
      </c>
    </row>
    <row r="113" spans="1:24" ht="30" customHeight="1" x14ac:dyDescent="0.2">
      <c r="A113" s="906" t="s">
        <v>381</v>
      </c>
      <c r="B113" s="907" t="e">
        <f>SUM(C113+F113)</f>
        <v>#REF!</v>
      </c>
      <c r="C113" s="908" t="e">
        <f>SUM(D113:E113)+D114</f>
        <v>#REF!</v>
      </c>
      <c r="D113" s="908">
        <f>D112*D111</f>
        <v>25716.240000000002</v>
      </c>
      <c r="E113" s="908" t="e">
        <f>E112*E111</f>
        <v>#REF!</v>
      </c>
      <c r="F113" s="909">
        <f>F112*F111</f>
        <v>0</v>
      </c>
      <c r="G113" s="907" t="e">
        <f>SUM(L113-B113)</f>
        <v>#REF!</v>
      </c>
      <c r="H113" s="908" t="e">
        <f>SUM(M113-C113)</f>
        <v>#REF!</v>
      </c>
      <c r="I113" s="908">
        <f>I112*I111</f>
        <v>26873.470799999999</v>
      </c>
      <c r="J113" s="908" t="e">
        <f>SUM(J111*J112)</f>
        <v>#REF!</v>
      </c>
      <c r="K113" s="909">
        <f>SUM(P113-F113)</f>
        <v>265.72014801492946</v>
      </c>
      <c r="L113" s="907">
        <f>SUM(стоки!AZ129)</f>
        <v>85385.406708417504</v>
      </c>
      <c r="M113" s="908">
        <f>SUM(стоки!BB129)</f>
        <v>85119.686560402581</v>
      </c>
      <c r="N113" s="908">
        <f>SUM(D113+I113)</f>
        <v>52589.710800000001</v>
      </c>
      <c r="O113" s="908" t="e">
        <f>SUM(E113+J113)</f>
        <v>#REF!</v>
      </c>
      <c r="P113" s="909">
        <f>SUM(стоки!BC129)</f>
        <v>265.72014801492946</v>
      </c>
      <c r="Q113" s="907"/>
      <c r="R113" s="916"/>
      <c r="S113" s="916"/>
      <c r="T113" s="917"/>
      <c r="U113" s="918"/>
      <c r="V113" s="916"/>
      <c r="W113" s="916"/>
      <c r="X113" s="917"/>
    </row>
    <row r="114" spans="1:24" ht="30" customHeight="1" thickBot="1" x14ac:dyDescent="0.25">
      <c r="A114" s="919" t="s">
        <v>383</v>
      </c>
      <c r="B114" s="920" t="e">
        <f>SUM(C114:F114)</f>
        <v>#REF!</v>
      </c>
      <c r="C114" s="921">
        <v>0</v>
      </c>
      <c r="D114" s="921" t="e">
        <f>SUM(E112-D112)*D111</f>
        <v>#REF!</v>
      </c>
      <c r="E114" s="921">
        <v>0</v>
      </c>
      <c r="F114" s="922">
        <v>0</v>
      </c>
      <c r="G114" s="920" t="e">
        <f>SUM(H114:K114)</f>
        <v>#REF!</v>
      </c>
      <c r="H114" s="921">
        <v>0</v>
      </c>
      <c r="I114" s="921" t="e">
        <f>SUM(H112-I112)*I111</f>
        <v>#REF!</v>
      </c>
      <c r="J114" s="921">
        <v>0</v>
      </c>
      <c r="K114" s="922">
        <v>0</v>
      </c>
      <c r="L114" s="920" t="e">
        <f>SUM(M114:P114)</f>
        <v>#REF!</v>
      </c>
      <c r="M114" s="921">
        <v>0</v>
      </c>
      <c r="N114" s="921" t="e">
        <f>SUM(B114+G114)</f>
        <v>#REF!</v>
      </c>
      <c r="O114" s="921">
        <v>0</v>
      </c>
      <c r="P114" s="922">
        <v>0</v>
      </c>
      <c r="Q114" s="920"/>
      <c r="R114" s="923"/>
      <c r="S114" s="923"/>
      <c r="T114" s="924"/>
      <c r="U114" s="925"/>
      <c r="V114" s="923"/>
      <c r="W114" s="923"/>
      <c r="X114" s="924"/>
    </row>
    <row r="115" spans="1:24" ht="15.75" customHeight="1" thickBot="1" x14ac:dyDescent="0.25">
      <c r="A115" s="4914"/>
      <c r="B115" s="4915"/>
      <c r="C115" s="4915"/>
      <c r="D115" s="4915"/>
      <c r="E115" s="4915"/>
      <c r="F115" s="4915"/>
      <c r="G115" s="4915"/>
      <c r="H115" s="4915"/>
      <c r="I115" s="4915"/>
      <c r="J115" s="4915"/>
      <c r="K115" s="4915"/>
      <c r="L115" s="4915"/>
      <c r="M115" s="4915"/>
      <c r="N115" s="4915"/>
      <c r="O115" s="4915"/>
      <c r="P115" s="4915"/>
      <c r="Q115" s="4915"/>
      <c r="R115" s="4915"/>
      <c r="S115" s="4915"/>
      <c r="T115" s="4915"/>
      <c r="U115" s="4915"/>
      <c r="V115" s="4915"/>
      <c r="W115" s="4915"/>
      <c r="X115" s="4916"/>
    </row>
    <row r="116" spans="1:24" ht="15.75" customHeight="1" thickBot="1" x14ac:dyDescent="0.25">
      <c r="A116" s="4917">
        <v>2016</v>
      </c>
      <c r="B116" s="4920" t="s">
        <v>382</v>
      </c>
      <c r="C116" s="4920"/>
      <c r="D116" s="4920"/>
      <c r="E116" s="4920"/>
      <c r="F116" s="4920"/>
      <c r="G116" s="4920"/>
      <c r="H116" s="4920"/>
      <c r="I116" s="4920"/>
      <c r="J116" s="4920"/>
      <c r="K116" s="4920"/>
      <c r="L116" s="4920"/>
      <c r="M116" s="4920"/>
      <c r="N116" s="4920"/>
      <c r="O116" s="4920"/>
      <c r="P116" s="4921"/>
      <c r="Q116" s="4930" t="s">
        <v>389</v>
      </c>
      <c r="R116" s="4931"/>
      <c r="S116" s="4931"/>
      <c r="T116" s="4932"/>
      <c r="U116" s="4930" t="s">
        <v>390</v>
      </c>
      <c r="V116" s="4931"/>
      <c r="W116" s="4931"/>
      <c r="X116" s="4932"/>
    </row>
    <row r="117" spans="1:24" ht="15.75" customHeight="1" thickBot="1" x14ac:dyDescent="0.25">
      <c r="A117" s="4918"/>
      <c r="B117" s="4936" t="s">
        <v>851</v>
      </c>
      <c r="C117" s="4937"/>
      <c r="D117" s="4937"/>
      <c r="E117" s="4937"/>
      <c r="F117" s="4938"/>
      <c r="G117" s="4939" t="s">
        <v>852</v>
      </c>
      <c r="H117" s="4940"/>
      <c r="I117" s="4940"/>
      <c r="J117" s="4940"/>
      <c r="K117" s="4941"/>
      <c r="L117" s="4939" t="s">
        <v>815</v>
      </c>
      <c r="M117" s="4940"/>
      <c r="N117" s="4940"/>
      <c r="O117" s="4940"/>
      <c r="P117" s="4942"/>
      <c r="Q117" s="4933"/>
      <c r="R117" s="4934"/>
      <c r="S117" s="4934"/>
      <c r="T117" s="4935"/>
      <c r="U117" s="4933"/>
      <c r="V117" s="4934"/>
      <c r="W117" s="4934"/>
      <c r="X117" s="4935"/>
    </row>
    <row r="118" spans="1:24" ht="15.75" customHeight="1" x14ac:dyDescent="0.2">
      <c r="A118" s="4918"/>
      <c r="B118" s="4922" t="s">
        <v>288</v>
      </c>
      <c r="C118" s="4925" t="s">
        <v>50</v>
      </c>
      <c r="D118" s="4925"/>
      <c r="E118" s="4925"/>
      <c r="F118" s="4926"/>
      <c r="G118" s="4927" t="s">
        <v>288</v>
      </c>
      <c r="H118" s="4928" t="s">
        <v>50</v>
      </c>
      <c r="I118" s="4928"/>
      <c r="J118" s="4928"/>
      <c r="K118" s="4929"/>
      <c r="L118" s="4927" t="s">
        <v>288</v>
      </c>
      <c r="M118" s="4928" t="s">
        <v>50</v>
      </c>
      <c r="N118" s="4928"/>
      <c r="O118" s="4928"/>
      <c r="P118" s="4929"/>
      <c r="Q118" s="4927" t="s">
        <v>288</v>
      </c>
      <c r="R118" s="4903" t="s">
        <v>50</v>
      </c>
      <c r="S118" s="4903"/>
      <c r="T118" s="4904"/>
      <c r="U118" s="4927" t="s">
        <v>288</v>
      </c>
      <c r="V118" s="4903" t="s">
        <v>50</v>
      </c>
      <c r="W118" s="4903"/>
      <c r="X118" s="4904"/>
    </row>
    <row r="119" spans="1:24" ht="15.75" customHeight="1" x14ac:dyDescent="0.2">
      <c r="A119" s="4918"/>
      <c r="B119" s="4923"/>
      <c r="C119" s="4905" t="s">
        <v>314</v>
      </c>
      <c r="D119" s="4913" t="s">
        <v>228</v>
      </c>
      <c r="E119" s="4913"/>
      <c r="F119" s="4906" t="s">
        <v>861</v>
      </c>
      <c r="G119" s="4923"/>
      <c r="H119" s="4905" t="s">
        <v>314</v>
      </c>
      <c r="I119" s="4913" t="s">
        <v>228</v>
      </c>
      <c r="J119" s="4913"/>
      <c r="K119" s="4906" t="s">
        <v>861</v>
      </c>
      <c r="L119" s="4923"/>
      <c r="M119" s="4905" t="s">
        <v>314</v>
      </c>
      <c r="N119" s="4913" t="s">
        <v>228</v>
      </c>
      <c r="O119" s="4913"/>
      <c r="P119" s="4906" t="s">
        <v>861</v>
      </c>
      <c r="Q119" s="4923"/>
      <c r="R119" s="4905" t="s">
        <v>314</v>
      </c>
      <c r="S119" s="4905"/>
      <c r="T119" s="4906" t="s">
        <v>861</v>
      </c>
      <c r="U119" s="4923"/>
      <c r="V119" s="4905" t="s">
        <v>314</v>
      </c>
      <c r="W119" s="4905"/>
      <c r="X119" s="4906" t="s">
        <v>861</v>
      </c>
    </row>
    <row r="120" spans="1:24" ht="15.75" customHeight="1" thickBot="1" x14ac:dyDescent="0.25">
      <c r="A120" s="4919"/>
      <c r="B120" s="4924"/>
      <c r="C120" s="4912"/>
      <c r="D120" s="898" t="s">
        <v>253</v>
      </c>
      <c r="E120" s="898" t="s">
        <v>287</v>
      </c>
      <c r="F120" s="4907"/>
      <c r="G120" s="4924"/>
      <c r="H120" s="4912"/>
      <c r="I120" s="898" t="s">
        <v>253</v>
      </c>
      <c r="J120" s="898" t="s">
        <v>287</v>
      </c>
      <c r="K120" s="4907"/>
      <c r="L120" s="4924"/>
      <c r="M120" s="4912"/>
      <c r="N120" s="898" t="s">
        <v>253</v>
      </c>
      <c r="O120" s="898" t="s">
        <v>287</v>
      </c>
      <c r="P120" s="4907"/>
      <c r="Q120" s="4924"/>
      <c r="R120" s="898" t="s">
        <v>854</v>
      </c>
      <c r="S120" s="898" t="s">
        <v>253</v>
      </c>
      <c r="T120" s="4907"/>
      <c r="U120" s="4924"/>
      <c r="V120" s="898" t="s">
        <v>854</v>
      </c>
      <c r="W120" s="898" t="s">
        <v>253</v>
      </c>
      <c r="X120" s="4907"/>
    </row>
    <row r="121" spans="1:24" ht="30" customHeight="1" x14ac:dyDescent="0.2">
      <c r="A121" s="899" t="s">
        <v>379</v>
      </c>
      <c r="B121" s="900">
        <f>SUM(B111)</f>
        <v>1722.5</v>
      </c>
      <c r="C121" s="901">
        <f t="shared" ref="C121:P121" si="13">SUM(C111)</f>
        <v>1722.5</v>
      </c>
      <c r="D121" s="901">
        <f t="shared" si="13"/>
        <v>1224</v>
      </c>
      <c r="E121" s="901">
        <f t="shared" si="13"/>
        <v>498.5</v>
      </c>
      <c r="F121" s="902">
        <f t="shared" si="13"/>
        <v>0</v>
      </c>
      <c r="G121" s="900">
        <f t="shared" si="13"/>
        <v>1722.5</v>
      </c>
      <c r="H121" s="901">
        <f t="shared" si="13"/>
        <v>1722.5</v>
      </c>
      <c r="I121" s="901">
        <f t="shared" si="13"/>
        <v>1224</v>
      </c>
      <c r="J121" s="901">
        <f t="shared" si="13"/>
        <v>498.5</v>
      </c>
      <c r="K121" s="902">
        <f t="shared" si="13"/>
        <v>0</v>
      </c>
      <c r="L121" s="900">
        <f t="shared" si="13"/>
        <v>3445</v>
      </c>
      <c r="M121" s="901">
        <f t="shared" si="13"/>
        <v>3445</v>
      </c>
      <c r="N121" s="901">
        <f t="shared" si="13"/>
        <v>2448</v>
      </c>
      <c r="O121" s="901">
        <f t="shared" si="13"/>
        <v>997</v>
      </c>
      <c r="P121" s="902">
        <f t="shared" si="13"/>
        <v>0</v>
      </c>
      <c r="Q121" s="900"/>
      <c r="R121" s="903"/>
      <c r="S121" s="903"/>
      <c r="T121" s="904"/>
      <c r="U121" s="905"/>
      <c r="V121" s="903"/>
      <c r="W121" s="903"/>
      <c r="X121" s="904"/>
    </row>
    <row r="122" spans="1:24" ht="30" customHeight="1" x14ac:dyDescent="0.2">
      <c r="A122" s="906" t="s">
        <v>380</v>
      </c>
      <c r="B122" s="907">
        <f>SUM(B123/B121)</f>
        <v>25.05</v>
      </c>
      <c r="C122" s="908">
        <f>SUM(C123/C121)</f>
        <v>25.05</v>
      </c>
      <c r="D122" s="908">
        <f t="shared" ref="D122" si="14">SUM(I82)</f>
        <v>21.01</v>
      </c>
      <c r="E122" s="908">
        <f t="shared" ref="E122" si="15">SUM(J82)</f>
        <v>25.05</v>
      </c>
      <c r="F122" s="909">
        <f>SUM(K82)</f>
        <v>13.79</v>
      </c>
      <c r="G122" s="907">
        <f>SUM(G123/G121)</f>
        <v>24.5201054910987</v>
      </c>
      <c r="H122" s="908">
        <f>H123/H121</f>
        <v>24.365841254225014</v>
      </c>
      <c r="I122" s="908">
        <f>D122*1.045</f>
        <v>21.955449999999999</v>
      </c>
      <c r="J122" s="908">
        <f>SUM(H122)</f>
        <v>24.365841254225014</v>
      </c>
      <c r="K122" s="909" t="e">
        <f t="shared" ref="K122:P122" si="16">SUM(K123/K121)</f>
        <v>#DIV/0!</v>
      </c>
      <c r="L122" s="907">
        <f t="shared" si="16"/>
        <v>24.785052745549351</v>
      </c>
      <c r="M122" s="908">
        <f t="shared" si="16"/>
        <v>24.707920627112507</v>
      </c>
      <c r="N122" s="908">
        <f t="shared" si="16"/>
        <v>21.482725000000002</v>
      </c>
      <c r="O122" s="908">
        <f t="shared" si="16"/>
        <v>24.707920627112507</v>
      </c>
      <c r="P122" s="909" t="e">
        <f t="shared" si="16"/>
        <v>#DIV/0!</v>
      </c>
      <c r="Q122" s="910">
        <f>SUM(G122/B122)</f>
        <v>0.97884652659076643</v>
      </c>
      <c r="R122" s="911">
        <f>SUM(H122/C122)</f>
        <v>0.97268827362175703</v>
      </c>
      <c r="S122" s="911">
        <f>I122/D122</f>
        <v>1.0449999999999999</v>
      </c>
      <c r="T122" s="912" t="e">
        <f>SUM(K122/F122)</f>
        <v>#DIV/0!</v>
      </c>
      <c r="U122" s="913" t="e">
        <f>SUM(L122/L82)</f>
        <v>#REF!</v>
      </c>
      <c r="V122" s="914" t="e">
        <f>SUM(M122/M82)</f>
        <v>#REF!</v>
      </c>
      <c r="W122" s="914">
        <f>SUM(N122/N82)</f>
        <v>1.0916018800813008</v>
      </c>
      <c r="X122" s="915" t="e">
        <f>SUM(P122/P82)</f>
        <v>#DIV/0!</v>
      </c>
    </row>
    <row r="123" spans="1:24" ht="30" customHeight="1" x14ac:dyDescent="0.2">
      <c r="A123" s="906" t="s">
        <v>381</v>
      </c>
      <c r="B123" s="907">
        <f>SUM(C123+F123)</f>
        <v>43148.625</v>
      </c>
      <c r="C123" s="908">
        <f>SUM(D123:E123)+D124</f>
        <v>43148.625</v>
      </c>
      <c r="D123" s="908">
        <f>D122*D121</f>
        <v>25716.240000000002</v>
      </c>
      <c r="E123" s="908">
        <f>E122*E121</f>
        <v>12487.425000000001</v>
      </c>
      <c r="F123" s="909">
        <f>F122*F121</f>
        <v>0</v>
      </c>
      <c r="G123" s="907">
        <f>SUM(L123-B123)</f>
        <v>42235.88170841751</v>
      </c>
      <c r="H123" s="908">
        <f>SUM(M123-C123)</f>
        <v>41970.161560402586</v>
      </c>
      <c r="I123" s="908">
        <f>I122*I121</f>
        <v>26873.470799999999</v>
      </c>
      <c r="J123" s="908">
        <f>SUM(J121*J122)</f>
        <v>12146.371865231169</v>
      </c>
      <c r="K123" s="909">
        <f>SUM(P123-F123)</f>
        <v>265.72014801492946</v>
      </c>
      <c r="L123" s="907">
        <f>SUM(стоки!AZ126)</f>
        <v>85384.50670841751</v>
      </c>
      <c r="M123" s="908">
        <f>SUM(стоки!BB126)</f>
        <v>85118.786560402586</v>
      </c>
      <c r="N123" s="908">
        <f>SUM(D123+I123)</f>
        <v>52589.710800000001</v>
      </c>
      <c r="O123" s="908">
        <f>SUM(E123+J123)</f>
        <v>24633.796865231168</v>
      </c>
      <c r="P123" s="909">
        <f>SUM(стоки!BC126)</f>
        <v>265.72014801492946</v>
      </c>
      <c r="Q123" s="907"/>
      <c r="R123" s="916"/>
      <c r="S123" s="916"/>
      <c r="T123" s="917"/>
      <c r="U123" s="918"/>
      <c r="V123" s="916"/>
      <c r="W123" s="916"/>
      <c r="X123" s="917"/>
    </row>
    <row r="124" spans="1:24" ht="30" customHeight="1" thickBot="1" x14ac:dyDescent="0.25">
      <c r="A124" s="919" t="s">
        <v>383</v>
      </c>
      <c r="B124" s="920">
        <f>SUM(C124:F124)</f>
        <v>4944.9599999999991</v>
      </c>
      <c r="C124" s="921">
        <v>0</v>
      </c>
      <c r="D124" s="921">
        <f>SUM(E122-D122)*D121</f>
        <v>4944.9599999999991</v>
      </c>
      <c r="E124" s="921">
        <v>0</v>
      </c>
      <c r="F124" s="922">
        <v>0</v>
      </c>
      <c r="G124" s="920">
        <f>SUM(H124:K124)</f>
        <v>2950.3188951714183</v>
      </c>
      <c r="H124" s="921">
        <v>0</v>
      </c>
      <c r="I124" s="921">
        <f>SUM(H122-I122)*I121</f>
        <v>2950.3188951714183</v>
      </c>
      <c r="J124" s="921">
        <v>0</v>
      </c>
      <c r="K124" s="922">
        <v>0</v>
      </c>
      <c r="L124" s="920">
        <f>SUM(M124:P124)</f>
        <v>7895.2788951714174</v>
      </c>
      <c r="M124" s="921">
        <v>0</v>
      </c>
      <c r="N124" s="921">
        <f>SUM(B124+G124)</f>
        <v>7895.2788951714174</v>
      </c>
      <c r="O124" s="921">
        <v>0</v>
      </c>
      <c r="P124" s="922">
        <v>0</v>
      </c>
      <c r="Q124" s="920"/>
      <c r="R124" s="923"/>
      <c r="S124" s="923"/>
      <c r="T124" s="924"/>
      <c r="U124" s="925"/>
      <c r="V124" s="923"/>
      <c r="W124" s="923"/>
      <c r="X124" s="924"/>
    </row>
  </sheetData>
  <mergeCells count="373"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5131" t="s">
        <v>1717</v>
      </c>
      <c r="B3" s="5131"/>
      <c r="C3" s="5131"/>
      <c r="D3" s="5131"/>
      <c r="E3" s="5131"/>
      <c r="F3" s="5131"/>
      <c r="G3" s="5131"/>
      <c r="H3" s="5131"/>
    </row>
    <row r="4" spans="1:8" ht="15.75" thickBot="1" x14ac:dyDescent="0.3">
      <c r="A4" s="5132" t="s">
        <v>1794</v>
      </c>
      <c r="B4" s="5132"/>
      <c r="C4" s="5132"/>
      <c r="D4" s="5132"/>
      <c r="E4" s="5132"/>
      <c r="F4" s="5132"/>
      <c r="G4" s="5132"/>
      <c r="H4" s="5132"/>
    </row>
    <row r="5" spans="1:8" x14ac:dyDescent="0.2">
      <c r="A5" s="5126" t="s">
        <v>1718</v>
      </c>
      <c r="B5" s="5133" t="s">
        <v>1719</v>
      </c>
      <c r="C5" s="5135" t="s">
        <v>1720</v>
      </c>
      <c r="D5" s="5133" t="s">
        <v>1721</v>
      </c>
      <c r="E5" s="5137"/>
      <c r="F5" s="5138" t="s">
        <v>1722</v>
      </c>
      <c r="G5" s="5133" t="s">
        <v>1723</v>
      </c>
      <c r="H5" s="5140" t="s">
        <v>1708</v>
      </c>
    </row>
    <row r="6" spans="1:8" ht="13.5" thickBot="1" x14ac:dyDescent="0.25">
      <c r="A6" s="5127"/>
      <c r="B6" s="5134"/>
      <c r="C6" s="5136"/>
      <c r="D6" s="1942" t="s">
        <v>1563</v>
      </c>
      <c r="E6" s="1943" t="s">
        <v>60</v>
      </c>
      <c r="F6" s="5139"/>
      <c r="G6" s="5134"/>
      <c r="H6" s="5141"/>
    </row>
    <row r="7" spans="1:8" ht="88.5" customHeight="1" x14ac:dyDescent="0.2">
      <c r="A7" s="5126" t="s">
        <v>1724</v>
      </c>
      <c r="B7" s="1944" t="s">
        <v>1725</v>
      </c>
      <c r="C7" s="1945" t="s">
        <v>44</v>
      </c>
      <c r="D7" s="1946">
        <v>8</v>
      </c>
      <c r="E7" s="1947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5127"/>
      <c r="B8" s="1984" t="s">
        <v>1726</v>
      </c>
      <c r="C8" s="1942" t="s">
        <v>44</v>
      </c>
      <c r="D8" s="1952">
        <v>40.5</v>
      </c>
      <c r="E8" s="1953">
        <v>40.5</v>
      </c>
      <c r="F8" s="1954">
        <f>F7</f>
        <v>0.33333333333333331</v>
      </c>
      <c r="G8" s="1955">
        <f>IF(D8/E8&gt;1,1,D8/E8)</f>
        <v>1</v>
      </c>
      <c r="H8" s="1956">
        <f t="shared" si="0"/>
        <v>0.33333333333333331</v>
      </c>
    </row>
    <row r="9" spans="1:8" ht="68.25" customHeight="1" x14ac:dyDescent="0.2">
      <c r="A9" s="5126" t="s">
        <v>1727</v>
      </c>
      <c r="B9" s="1957" t="s">
        <v>1728</v>
      </c>
      <c r="C9" s="1945" t="s">
        <v>1729</v>
      </c>
      <c r="D9" s="1946">
        <v>0.37</v>
      </c>
      <c r="E9" s="1947">
        <v>0.63</v>
      </c>
      <c r="F9" s="1958">
        <f>F8</f>
        <v>0.33333333333333331</v>
      </c>
      <c r="G9" s="1985">
        <f>IF(D9/E9&gt;1,1,D9/E9)</f>
        <v>0.58730158730158732</v>
      </c>
      <c r="H9" s="1960">
        <f t="shared" si="0"/>
        <v>0.19576719576719576</v>
      </c>
    </row>
    <row r="10" spans="1:8" ht="32.25" customHeight="1" thickBot="1" x14ac:dyDescent="0.25">
      <c r="A10" s="5127"/>
      <c r="B10" s="1984" t="s">
        <v>1730</v>
      </c>
      <c r="C10" s="1942" t="s">
        <v>1729</v>
      </c>
      <c r="D10" s="1952">
        <v>10.7</v>
      </c>
      <c r="E10" s="1953">
        <v>11.2</v>
      </c>
      <c r="F10" s="1954">
        <f>1/D19</f>
        <v>0.33333333333333331</v>
      </c>
      <c r="G10" s="1986">
        <f>IF(D10/E10&gt;1,1,D10/E10)</f>
        <v>0.9553571428571429</v>
      </c>
      <c r="H10" s="1956">
        <f t="shared" si="0"/>
        <v>0.31845238095238093</v>
      </c>
    </row>
    <row r="11" spans="1:8" ht="40.5" customHeight="1" x14ac:dyDescent="0.2">
      <c r="A11" s="5126" t="s">
        <v>1731</v>
      </c>
      <c r="B11" s="1944" t="s">
        <v>1732</v>
      </c>
      <c r="C11" s="1945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5127"/>
      <c r="B12" s="1951" t="s">
        <v>1733</v>
      </c>
      <c r="C12" s="1942" t="s">
        <v>44</v>
      </c>
      <c r="D12" s="1952">
        <v>100</v>
      </c>
      <c r="E12" s="1953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5126" t="s">
        <v>1734</v>
      </c>
      <c r="B13" s="1957" t="s">
        <v>1735</v>
      </c>
      <c r="C13" s="1945" t="s">
        <v>44</v>
      </c>
      <c r="D13" s="1946">
        <v>19.7</v>
      </c>
      <c r="E13" s="1947">
        <v>30.66</v>
      </c>
      <c r="F13" s="1948">
        <v>0</v>
      </c>
      <c r="G13" s="1987">
        <f>IF(D13/E13&gt;1,1,D13/E13)</f>
        <v>0.64253098499673844</v>
      </c>
      <c r="H13" s="1950"/>
    </row>
    <row r="14" spans="1:8" ht="38.25" customHeight="1" x14ac:dyDescent="0.2">
      <c r="A14" s="5128"/>
      <c r="B14" s="1676" t="s">
        <v>1738</v>
      </c>
      <c r="C14" s="1913" t="s">
        <v>1736</v>
      </c>
      <c r="D14" s="1982">
        <v>0.124</v>
      </c>
      <c r="E14" s="1983">
        <v>0.125</v>
      </c>
      <c r="F14" s="1948"/>
      <c r="G14" s="1961"/>
      <c r="H14" s="1950"/>
    </row>
    <row r="15" spans="1:8" ht="40.5" customHeight="1" x14ac:dyDescent="0.2">
      <c r="A15" s="5129"/>
      <c r="B15" s="1676" t="s">
        <v>1739</v>
      </c>
      <c r="C15" s="1913" t="s">
        <v>1736</v>
      </c>
      <c r="D15" s="1851">
        <v>0.249</v>
      </c>
      <c r="E15" s="1962">
        <v>0.29499999999999998</v>
      </c>
      <c r="F15" s="1963">
        <v>0</v>
      </c>
      <c r="G15" s="1964"/>
      <c r="H15" s="1965"/>
    </row>
    <row r="16" spans="1:8" ht="40.5" customHeight="1" x14ac:dyDescent="0.2">
      <c r="A16" s="5130"/>
      <c r="B16" s="1966" t="s">
        <v>1737</v>
      </c>
      <c r="C16" s="1913" t="s">
        <v>1736</v>
      </c>
      <c r="D16" s="1967">
        <v>0.42</v>
      </c>
      <c r="E16" s="1968">
        <v>0.60199999999999998</v>
      </c>
      <c r="F16" s="1969"/>
      <c r="G16" s="1970"/>
      <c r="H16" s="1971"/>
    </row>
    <row r="17" spans="1:8" ht="42.75" customHeight="1" thickBot="1" x14ac:dyDescent="0.25">
      <c r="A17" s="5130"/>
      <c r="B17" s="1966" t="s">
        <v>1740</v>
      </c>
      <c r="C17" s="1911" t="s">
        <v>1736</v>
      </c>
      <c r="D17" s="1967">
        <v>8.4000000000000005E-2</v>
      </c>
      <c r="E17" s="1968">
        <v>9.1999999999999998E-2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286</v>
      </c>
      <c r="D18" s="1973">
        <v>3</v>
      </c>
      <c r="E18" s="1973"/>
      <c r="F18" s="1974">
        <f>F7+F8+F9</f>
        <v>1</v>
      </c>
      <c r="G18" s="1975"/>
      <c r="H18" s="1976">
        <f>H7+H8+H9</f>
        <v>0.86243386243386233</v>
      </c>
    </row>
    <row r="19" spans="1:8" ht="13.5" thickBot="1" x14ac:dyDescent="0.25">
      <c r="A19" s="1977"/>
      <c r="B19" s="1978"/>
      <c r="C19" s="1978" t="s">
        <v>314</v>
      </c>
      <c r="D19" s="1978">
        <v>3</v>
      </c>
      <c r="E19" s="1978"/>
      <c r="F19" s="1979">
        <f>F10+F11+F12</f>
        <v>1</v>
      </c>
      <c r="G19" s="1980"/>
      <c r="H19" s="1981">
        <f>H10+H11+H12</f>
        <v>0.98511904761904745</v>
      </c>
    </row>
    <row r="23" spans="1:8" x14ac:dyDescent="0.2">
      <c r="B23" s="5" t="s">
        <v>366</v>
      </c>
      <c r="C23" s="5"/>
      <c r="D23" s="5"/>
    </row>
    <row r="24" spans="1:8" ht="28.5" x14ac:dyDescent="0.2">
      <c r="B24" s="1914" t="s">
        <v>1741</v>
      </c>
      <c r="C24" s="1988">
        <f>C26*C27*C28*C29</f>
        <v>1402.0984566147722</v>
      </c>
      <c r="D24" s="1910"/>
    </row>
    <row r="25" spans="1:8" ht="14.25" x14ac:dyDescent="0.2">
      <c r="B25" s="1989" t="s">
        <v>1742</v>
      </c>
      <c r="C25" s="1990">
        <f>1/100</f>
        <v>0.01</v>
      </c>
      <c r="D25" s="1909" t="s">
        <v>1743</v>
      </c>
    </row>
    <row r="26" spans="1:8" x14ac:dyDescent="0.2">
      <c r="B26" s="1989" t="s">
        <v>1744</v>
      </c>
      <c r="C26" s="1990">
        <f>IF(1-H54&gt;1/100,1/100,1-H54)</f>
        <v>0.01</v>
      </c>
      <c r="D26" s="1909"/>
    </row>
    <row r="27" spans="1:8" ht="14.25" x14ac:dyDescent="0.2">
      <c r="B27" s="1989" t="s">
        <v>1745</v>
      </c>
      <c r="C27" s="1990">
        <f>'вода 2019-2023 коррект'!F11</f>
        <v>130132.0308002161</v>
      </c>
      <c r="D27" s="1909"/>
    </row>
    <row r="28" spans="1:8" ht="14.25" x14ac:dyDescent="0.2">
      <c r="B28" s="1989" t="s">
        <v>1746</v>
      </c>
      <c r="C28" s="1991">
        <v>1.0389999999999999</v>
      </c>
      <c r="D28" s="1909"/>
    </row>
    <row r="29" spans="1:8" ht="14.25" x14ac:dyDescent="0.2">
      <c r="B29" s="1989" t="s">
        <v>1747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1914" t="s">
        <v>1741</v>
      </c>
      <c r="C31" s="1988">
        <f>C33*C34*C35*C36</f>
        <v>917.11610446699819</v>
      </c>
      <c r="D31" s="1910"/>
    </row>
    <row r="32" spans="1:8" ht="14.25" x14ac:dyDescent="0.2">
      <c r="B32" s="1989" t="s">
        <v>1742</v>
      </c>
      <c r="C32" s="1990">
        <f>1/100</f>
        <v>0.01</v>
      </c>
      <c r="D32" s="1909" t="s">
        <v>1743</v>
      </c>
    </row>
    <row r="33" spans="2:4" x14ac:dyDescent="0.2">
      <c r="B33" s="1989" t="s">
        <v>1744</v>
      </c>
      <c r="C33" s="1990">
        <f>IF(1-H61&gt;1/100,1/100,1-H61)</f>
        <v>0.01</v>
      </c>
      <c r="D33" s="1909"/>
    </row>
    <row r="34" spans="2:4" ht="14.25" x14ac:dyDescent="0.2">
      <c r="B34" s="1989" t="s">
        <v>1745</v>
      </c>
      <c r="C34" s="1990">
        <f>'стоки 2019-2023'!F9</f>
        <v>85119.686560402581</v>
      </c>
      <c r="D34" s="1909"/>
    </row>
    <row r="35" spans="2:4" ht="14.25" x14ac:dyDescent="0.2">
      <c r="B35" s="1989" t="s">
        <v>1746</v>
      </c>
      <c r="C35" s="1991">
        <v>1.0389999999999999</v>
      </c>
      <c r="D35" s="1909"/>
    </row>
    <row r="36" spans="2:4" ht="14.25" x14ac:dyDescent="0.2">
      <c r="B36" s="1989" t="s">
        <v>1747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49" t="s">
        <v>1741</v>
      </c>
      <c r="C39" s="1988">
        <f>C41*C42*C43*C44</f>
        <v>3.706200318684449</v>
      </c>
      <c r="D39" s="2048"/>
    </row>
    <row r="40" spans="2:4" ht="14.25" x14ac:dyDescent="0.2">
      <c r="B40" s="1989" t="s">
        <v>1742</v>
      </c>
      <c r="C40" s="1990">
        <f>1/100</f>
        <v>0.01</v>
      </c>
      <c r="D40" s="2047" t="s">
        <v>1743</v>
      </c>
    </row>
    <row r="41" spans="2:4" x14ac:dyDescent="0.2">
      <c r="B41" s="1989" t="s">
        <v>1744</v>
      </c>
      <c r="C41" s="1990">
        <f>IF(1-H69&gt;1/100,1/100,1-H69)</f>
        <v>0.01</v>
      </c>
      <c r="D41" s="2047"/>
    </row>
    <row r="42" spans="2:4" ht="14.25" x14ac:dyDescent="0.2">
      <c r="B42" s="1989" t="s">
        <v>1745</v>
      </c>
      <c r="C42" s="1990">
        <f>'тех вода 2019-2023'!F10</f>
        <v>343.98110328661932</v>
      </c>
      <c r="D42" s="2047"/>
    </row>
    <row r="43" spans="2:4" ht="14.25" x14ac:dyDescent="0.2">
      <c r="B43" s="1989" t="s">
        <v>1746</v>
      </c>
      <c r="C43" s="1991">
        <v>1.0389999999999999</v>
      </c>
      <c r="D43" s="2047"/>
    </row>
    <row r="44" spans="2:4" ht="14.25" x14ac:dyDescent="0.2">
      <c r="B44" s="1989" t="s">
        <v>1747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6592" t="s">
        <v>525</v>
      </c>
      <c r="B3" s="6590" t="s">
        <v>362</v>
      </c>
      <c r="C3" s="6590"/>
      <c r="D3" s="6590"/>
      <c r="E3" s="6590"/>
      <c r="F3" s="6590"/>
      <c r="G3" s="6590"/>
      <c r="H3" s="6590"/>
      <c r="I3" s="6590"/>
      <c r="J3" s="6590"/>
      <c r="K3" s="6590"/>
      <c r="L3" s="6590"/>
      <c r="M3" s="6590"/>
      <c r="N3" s="6590"/>
      <c r="O3" s="6590"/>
      <c r="P3" s="6590"/>
      <c r="Q3" s="6590"/>
      <c r="R3" s="6590"/>
      <c r="S3" s="6590"/>
      <c r="T3" s="6590"/>
      <c r="U3" s="6590"/>
      <c r="V3" s="6590"/>
    </row>
    <row r="4" spans="1:23" ht="19.5" customHeight="1" x14ac:dyDescent="0.2">
      <c r="A4" s="6592"/>
      <c r="B4" s="6588" t="s">
        <v>236</v>
      </c>
      <c r="C4" s="6588"/>
      <c r="D4" s="6588"/>
      <c r="E4" s="6588" t="s">
        <v>351</v>
      </c>
      <c r="F4" s="6588"/>
      <c r="G4" s="6588"/>
      <c r="H4" s="6588" t="s">
        <v>351</v>
      </c>
      <c r="I4" s="6588"/>
      <c r="J4" s="6588"/>
      <c r="K4" s="6588" t="s">
        <v>122</v>
      </c>
      <c r="L4" s="6588"/>
      <c r="M4" s="6588"/>
      <c r="N4" s="6588" t="s">
        <v>351</v>
      </c>
      <c r="O4" s="6588"/>
      <c r="P4" s="6588"/>
      <c r="Q4" s="6591" t="s">
        <v>1516</v>
      </c>
      <c r="R4" s="6591"/>
      <c r="S4" s="6591"/>
      <c r="T4" s="6588" t="s">
        <v>1595</v>
      </c>
      <c r="U4" s="6588"/>
      <c r="V4" s="6588"/>
    </row>
    <row r="5" spans="1:23" ht="28.5" customHeight="1" x14ac:dyDescent="0.2">
      <c r="A5" s="6592"/>
      <c r="B5" s="1836" t="s">
        <v>111</v>
      </c>
      <c r="C5" s="6589" t="s">
        <v>822</v>
      </c>
      <c r="D5" s="6589" t="s">
        <v>98</v>
      </c>
      <c r="E5" s="6589" t="s">
        <v>827</v>
      </c>
      <c r="F5" s="6589"/>
      <c r="G5" s="6589"/>
      <c r="H5" s="6589" t="s">
        <v>827</v>
      </c>
      <c r="I5" s="6589"/>
      <c r="J5" s="6589"/>
      <c r="K5" s="1836" t="s">
        <v>111</v>
      </c>
      <c r="L5" s="6589" t="s">
        <v>822</v>
      </c>
      <c r="M5" s="6589" t="s">
        <v>98</v>
      </c>
      <c r="N5" s="6589" t="s">
        <v>827</v>
      </c>
      <c r="O5" s="6589"/>
      <c r="P5" s="6589"/>
      <c r="Q5" s="1836" t="s">
        <v>111</v>
      </c>
      <c r="R5" s="6589" t="s">
        <v>822</v>
      </c>
      <c r="S5" s="6589" t="s">
        <v>98</v>
      </c>
      <c r="T5" s="1836" t="s">
        <v>111</v>
      </c>
      <c r="U5" s="6589" t="s">
        <v>822</v>
      </c>
      <c r="V5" s="6589" t="s">
        <v>98</v>
      </c>
    </row>
    <row r="6" spans="1:23" ht="25.5" x14ac:dyDescent="0.2">
      <c r="A6" s="6592"/>
      <c r="B6" s="1836" t="s">
        <v>221</v>
      </c>
      <c r="C6" s="6589"/>
      <c r="D6" s="6589"/>
      <c r="E6" s="1836" t="s">
        <v>111</v>
      </c>
      <c r="F6" s="1836" t="s">
        <v>359</v>
      </c>
      <c r="G6" s="1836" t="s">
        <v>98</v>
      </c>
      <c r="H6" s="1836" t="s">
        <v>111</v>
      </c>
      <c r="I6" s="1836" t="s">
        <v>359</v>
      </c>
      <c r="J6" s="1836" t="s">
        <v>98</v>
      </c>
      <c r="K6" s="1836" t="s">
        <v>221</v>
      </c>
      <c r="L6" s="6589"/>
      <c r="M6" s="6589"/>
      <c r="N6" s="1836" t="s">
        <v>111</v>
      </c>
      <c r="O6" s="1836" t="s">
        <v>359</v>
      </c>
      <c r="P6" s="1836" t="s">
        <v>98</v>
      </c>
      <c r="Q6" s="1836" t="s">
        <v>221</v>
      </c>
      <c r="R6" s="6589"/>
      <c r="S6" s="6589"/>
      <c r="T6" s="1836" t="s">
        <v>221</v>
      </c>
      <c r="U6" s="6589"/>
      <c r="V6" s="6589"/>
    </row>
    <row r="7" spans="1:23" ht="22.5" customHeight="1" x14ac:dyDescent="0.2">
      <c r="A7" s="1837" t="s">
        <v>131</v>
      </c>
      <c r="B7" s="1841">
        <f>D7/C7</f>
        <v>5.2037034957496262</v>
      </c>
      <c r="C7" s="1842">
        <v>890.51</v>
      </c>
      <c r="D7" s="1741">
        <v>4633.95</v>
      </c>
      <c r="E7" s="1841" t="e">
        <f>B7-#REF!</f>
        <v>#REF!</v>
      </c>
      <c r="F7" s="1843" t="e">
        <f>C7-#REF!</f>
        <v>#REF!</v>
      </c>
      <c r="G7" s="1843" t="e">
        <f>D7-#REF!</f>
        <v>#REF!</v>
      </c>
      <c r="H7" s="1841" t="e">
        <f>#REF!-B7</f>
        <v>#REF!</v>
      </c>
      <c r="I7" s="1843" t="e">
        <f>#REF!-E7</f>
        <v>#REF!</v>
      </c>
      <c r="J7" s="1843" t="e">
        <f>#REF!-F7</f>
        <v>#REF!</v>
      </c>
      <c r="K7" s="1841" t="e">
        <f>#REF!*1.067</f>
        <v>#REF!</v>
      </c>
      <c r="L7" s="1842" t="e">
        <f>M18*M19</f>
        <v>#REF!</v>
      </c>
      <c r="M7" s="1741" t="e">
        <f>L7*K7</f>
        <v>#REF!</v>
      </c>
      <c r="N7" s="1841" t="e">
        <f>K7-#REF!</f>
        <v>#REF!</v>
      </c>
      <c r="O7" s="1843" t="e">
        <f t="shared" ref="O7:P7" si="0">L7-H7</f>
        <v>#REF!</v>
      </c>
      <c r="P7" s="1843" t="e">
        <f t="shared" si="0"/>
        <v>#REF!</v>
      </c>
      <c r="Q7" s="1843">
        <v>5.1375000000000002</v>
      </c>
      <c r="R7" s="1842">
        <v>742.25199999999995</v>
      </c>
      <c r="S7" s="1844">
        <f>R7*Q7</f>
        <v>3813.3196499999999</v>
      </c>
      <c r="T7" s="1843">
        <f>Q7</f>
        <v>5.1375000000000002</v>
      </c>
      <c r="U7" s="1842">
        <f>V18*V19</f>
        <v>912.32354775672991</v>
      </c>
      <c r="V7" s="1844">
        <f>T7*U7</f>
        <v>4687.0622266002001</v>
      </c>
    </row>
    <row r="8" spans="1:23" ht="15" customHeight="1" x14ac:dyDescent="0.2">
      <c r="A8" s="1837"/>
      <c r="B8" s="1841"/>
      <c r="C8" s="1842"/>
      <c r="D8" s="1741"/>
      <c r="E8" s="1841"/>
      <c r="F8" s="1843"/>
      <c r="G8" s="1843"/>
      <c r="H8" s="1841"/>
      <c r="I8" s="1843"/>
      <c r="J8" s="1843"/>
      <c r="K8" s="1841"/>
      <c r="L8" s="1842"/>
      <c r="M8" s="1741"/>
      <c r="N8" s="1841"/>
      <c r="O8" s="1843"/>
      <c r="P8" s="1843"/>
      <c r="Q8" s="1843"/>
      <c r="R8" s="1842"/>
      <c r="S8" s="1844"/>
      <c r="T8" s="1841"/>
      <c r="U8" s="1842"/>
      <c r="V8" s="1844"/>
    </row>
    <row r="9" spans="1:23" ht="20.25" customHeight="1" x14ac:dyDescent="0.2">
      <c r="A9" s="1837" t="s">
        <v>132</v>
      </c>
      <c r="B9" s="1841">
        <f>D9/C9</f>
        <v>4.2335618738685605</v>
      </c>
      <c r="C9" s="1842">
        <v>1220.79</v>
      </c>
      <c r="D9" s="1741">
        <v>5168.29</v>
      </c>
      <c r="E9" s="1841" t="e">
        <f>B9-#REF!</f>
        <v>#REF!</v>
      </c>
      <c r="F9" s="1843" t="e">
        <f>C9-#REF!</f>
        <v>#REF!</v>
      </c>
      <c r="G9" s="1843" t="e">
        <f>D9-#REF!</f>
        <v>#REF!</v>
      </c>
      <c r="H9" s="1841" t="e">
        <f>#REF!-B9</f>
        <v>#REF!</v>
      </c>
      <c r="I9" s="1843" t="e">
        <f>#REF!-E9</f>
        <v>#REF!</v>
      </c>
      <c r="J9" s="1843" t="e">
        <f>#REF!-F9</f>
        <v>#REF!</v>
      </c>
      <c r="K9" s="1841" t="e">
        <f>#REF!*1.067</f>
        <v>#REF!</v>
      </c>
      <c r="L9" s="1842" t="e">
        <f>M20*M21</f>
        <v>#REF!</v>
      </c>
      <c r="M9" s="1741" t="e">
        <f>L9*K9</f>
        <v>#REF!</v>
      </c>
      <c r="N9" s="1841" t="e">
        <f>K9-#REF!</f>
        <v>#REF!</v>
      </c>
      <c r="O9" s="1843" t="e">
        <f t="shared" ref="O9:P12" si="1">L9-H9</f>
        <v>#REF!</v>
      </c>
      <c r="P9" s="1843" t="e">
        <f t="shared" si="1"/>
        <v>#REF!</v>
      </c>
      <c r="Q9" s="1843">
        <v>4.0983000000000001</v>
      </c>
      <c r="R9" s="1842">
        <v>1422.3510000000001</v>
      </c>
      <c r="S9" s="1844">
        <f>R9*Q9</f>
        <v>5829.2211033000003</v>
      </c>
      <c r="T9" s="1843">
        <f>Q9</f>
        <v>4.0983000000000001</v>
      </c>
      <c r="U9" s="1842">
        <f>V20*V21</f>
        <v>1139.0707554536391</v>
      </c>
      <c r="V9" s="1844">
        <f t="shared" ref="V9" si="2">T9*U9</f>
        <v>4668.2536770756487</v>
      </c>
    </row>
    <row r="10" spans="1:23" ht="20.25" customHeight="1" x14ac:dyDescent="0.2">
      <c r="A10" s="1837" t="s">
        <v>1599</v>
      </c>
      <c r="B10" s="1841"/>
      <c r="C10" s="1842"/>
      <c r="D10" s="1741"/>
      <c r="E10" s="1841"/>
      <c r="F10" s="1843"/>
      <c r="G10" s="1843"/>
      <c r="H10" s="1841"/>
      <c r="I10" s="1843"/>
      <c r="J10" s="1843"/>
      <c r="K10" s="1841"/>
      <c r="L10" s="1842"/>
      <c r="M10" s="1741"/>
      <c r="N10" s="1841"/>
      <c r="O10" s="1843"/>
      <c r="P10" s="1843"/>
      <c r="Q10" s="1843"/>
      <c r="R10" s="1842"/>
      <c r="S10" s="1844">
        <v>258.7</v>
      </c>
      <c r="T10" s="1841"/>
      <c r="U10" s="1842"/>
      <c r="V10" s="1844">
        <v>258.7</v>
      </c>
    </row>
    <row r="11" spans="1:23" ht="25.5" customHeight="1" x14ac:dyDescent="0.2">
      <c r="A11" s="1845" t="s">
        <v>133</v>
      </c>
      <c r="B11" s="1846">
        <f>D11/C11</f>
        <v>4.6427509117605261</v>
      </c>
      <c r="C11" s="1739">
        <f>C7+C9</f>
        <v>2111.3000000000002</v>
      </c>
      <c r="D11" s="1739">
        <f>SUM(D7:D9)</f>
        <v>9802.24</v>
      </c>
      <c r="E11" s="1846" t="e">
        <f>B11-#REF!</f>
        <v>#REF!</v>
      </c>
      <c r="F11" s="1847" t="e">
        <f>C11-#REF!</f>
        <v>#REF!</v>
      </c>
      <c r="G11" s="1847" t="e">
        <f>D11-#REF!</f>
        <v>#REF!</v>
      </c>
      <c r="H11" s="1846" t="e">
        <f>#REF!-D11</f>
        <v>#REF!</v>
      </c>
      <c r="I11" s="1847" t="e">
        <f>#REF!-E11</f>
        <v>#REF!</v>
      </c>
      <c r="J11" s="1847" t="e">
        <f>#REF!-F11</f>
        <v>#REF!</v>
      </c>
      <c r="K11" s="1846" t="e">
        <f>M11/L11</f>
        <v>#REF!</v>
      </c>
      <c r="L11" s="1739" t="e">
        <f>L7+L9</f>
        <v>#REF!</v>
      </c>
      <c r="M11" s="1739" t="e">
        <f>SUM(M7:M9)</f>
        <v>#REF!</v>
      </c>
      <c r="N11" s="1846" t="e">
        <f>K11-#REF!</f>
        <v>#REF!</v>
      </c>
      <c r="O11" s="1847" t="e">
        <f t="shared" si="1"/>
        <v>#REF!</v>
      </c>
      <c r="P11" s="1847" t="e">
        <f t="shared" si="1"/>
        <v>#REF!</v>
      </c>
      <c r="Q11" s="1846">
        <f>S11/R11</f>
        <v>4.5741601362004953</v>
      </c>
      <c r="R11" s="1739">
        <f>R7+R9</f>
        <v>2164.6030000000001</v>
      </c>
      <c r="S11" s="1739">
        <f>SUM(S7:S10)</f>
        <v>9901.2407533000005</v>
      </c>
      <c r="T11" s="1846">
        <f>V11/U11</f>
        <v>4.686576290394397</v>
      </c>
      <c r="U11" s="1739">
        <f>U7+U9</f>
        <v>2051.3943032103689</v>
      </c>
      <c r="V11" s="1739">
        <f>SUM(V7:V10)</f>
        <v>9614.0159036758487</v>
      </c>
      <c r="W11" s="1668">
        <f>D11-V11</f>
        <v>188.22409632415111</v>
      </c>
    </row>
    <row r="12" spans="1:23" ht="25.5" customHeight="1" x14ac:dyDescent="0.2">
      <c r="A12" s="1837" t="s">
        <v>134</v>
      </c>
      <c r="B12" s="1841">
        <f>D12/C12</f>
        <v>5.2277890952435557</v>
      </c>
      <c r="C12" s="1842">
        <f>D22*D23</f>
        <v>363.59730000000002</v>
      </c>
      <c r="D12" s="1741">
        <v>1900.81</v>
      </c>
      <c r="E12" s="1841" t="e">
        <f>B12-#REF!</f>
        <v>#REF!</v>
      </c>
      <c r="F12" s="1843" t="e">
        <f>C12-#REF!</f>
        <v>#REF!</v>
      </c>
      <c r="G12" s="1843" t="e">
        <f>D12-#REF!</f>
        <v>#REF!</v>
      </c>
      <c r="H12" s="1841" t="e">
        <f>#REF!-D12</f>
        <v>#REF!</v>
      </c>
      <c r="I12" s="1843" t="e">
        <f>#REF!-E12</f>
        <v>#REF!</v>
      </c>
      <c r="J12" s="1843" t="e">
        <f>#REF!-F12</f>
        <v>#REF!</v>
      </c>
      <c r="K12" s="1841" t="e">
        <f>#REF!*1.067</f>
        <v>#REF!</v>
      </c>
      <c r="L12" s="1842" t="e">
        <f>M22*M23</f>
        <v>#REF!</v>
      </c>
      <c r="M12" s="1741" t="e">
        <f>L12*K12</f>
        <v>#REF!</v>
      </c>
      <c r="N12" s="1841" t="e">
        <f>K12-#REF!</f>
        <v>#REF!</v>
      </c>
      <c r="O12" s="1843" t="e">
        <f t="shared" si="1"/>
        <v>#REF!</v>
      </c>
      <c r="P12" s="1843" t="e">
        <f t="shared" si="1"/>
        <v>#REF!</v>
      </c>
      <c r="Q12" s="1843">
        <v>5.1866000000000003</v>
      </c>
      <c r="R12" s="1842">
        <v>267.00099999999998</v>
      </c>
      <c r="S12" s="1844">
        <f>R12*Q12</f>
        <v>1384.8273866</v>
      </c>
      <c r="T12" s="1841">
        <f>Q12</f>
        <v>5.1866000000000003</v>
      </c>
      <c r="U12" s="1842">
        <f>V22*V23</f>
        <v>285.68554999999998</v>
      </c>
      <c r="V12" s="1844">
        <f>T12*U12</f>
        <v>1481.73667363</v>
      </c>
    </row>
    <row r="13" spans="1:23" ht="15" customHeight="1" x14ac:dyDescent="0.2">
      <c r="A13" s="1837"/>
      <c r="B13" s="1841"/>
      <c r="C13" s="1842"/>
      <c r="D13" s="1741"/>
      <c r="E13" s="1841"/>
      <c r="F13" s="1843"/>
      <c r="G13" s="1843"/>
      <c r="H13" s="1841"/>
      <c r="I13" s="1843"/>
      <c r="J13" s="1843"/>
      <c r="K13" s="1841"/>
      <c r="L13" s="1842"/>
      <c r="M13" s="1741"/>
      <c r="N13" s="1841"/>
      <c r="O13" s="1843"/>
      <c r="P13" s="1843"/>
      <c r="Q13" s="1841"/>
      <c r="R13" s="1842"/>
      <c r="S13" s="1844"/>
      <c r="T13" s="1841"/>
      <c r="U13" s="1842"/>
      <c r="V13" s="1844"/>
    </row>
    <row r="14" spans="1:23" ht="21.75" customHeight="1" x14ac:dyDescent="0.2">
      <c r="A14" s="1837" t="s">
        <v>135</v>
      </c>
      <c r="B14" s="1841">
        <f>D14/C14</f>
        <v>4.0317610966296833</v>
      </c>
      <c r="C14" s="1842">
        <f>D22*D24</f>
        <v>1439.6984</v>
      </c>
      <c r="D14" s="1741">
        <v>5804.52</v>
      </c>
      <c r="E14" s="1841" t="e">
        <f>B14-#REF!</f>
        <v>#REF!</v>
      </c>
      <c r="F14" s="1843" t="e">
        <f>C14-#REF!</f>
        <v>#REF!</v>
      </c>
      <c r="G14" s="1843" t="e">
        <f>D14-#REF!</f>
        <v>#REF!</v>
      </c>
      <c r="H14" s="1841" t="e">
        <f>#REF!-D14</f>
        <v>#REF!</v>
      </c>
      <c r="I14" s="1843" t="e">
        <f>#REF!-E14</f>
        <v>#REF!</v>
      </c>
      <c r="J14" s="1843" t="e">
        <f>#REF!-F14</f>
        <v>#REF!</v>
      </c>
      <c r="K14" s="1841" t="e">
        <f>#REF!*1.067</f>
        <v>#REF!</v>
      </c>
      <c r="L14" s="1842" t="e">
        <f>M22*M24</f>
        <v>#REF!</v>
      </c>
      <c r="M14" s="1741" t="e">
        <f>L14*K14</f>
        <v>#REF!</v>
      </c>
      <c r="N14" s="1841" t="e">
        <f>K14-#REF!</f>
        <v>#REF!</v>
      </c>
      <c r="O14" s="1843" t="e">
        <f t="shared" ref="O14:P14" si="3">L14-H14</f>
        <v>#REF!</v>
      </c>
      <c r="P14" s="1843" t="e">
        <f t="shared" si="3"/>
        <v>#REF!</v>
      </c>
      <c r="Q14" s="1843">
        <v>3.8536000000000001</v>
      </c>
      <c r="R14" s="1842">
        <v>1856.5809999999999</v>
      </c>
      <c r="S14" s="1844">
        <f>R14*Q14</f>
        <v>7154.5205415999999</v>
      </c>
      <c r="T14" s="1841">
        <f>Q14</f>
        <v>3.8536000000000001</v>
      </c>
      <c r="U14" s="1842">
        <f>V22*V24</f>
        <v>1258.3004000000001</v>
      </c>
      <c r="V14" s="1844">
        <f>T14*U14</f>
        <v>4848.9864214400004</v>
      </c>
    </row>
    <row r="15" spans="1:23" ht="21.75" customHeight="1" x14ac:dyDescent="0.2">
      <c r="A15" s="1837" t="s">
        <v>1599</v>
      </c>
      <c r="B15" s="1841"/>
      <c r="C15" s="1842"/>
      <c r="D15" s="1741"/>
      <c r="E15" s="1841"/>
      <c r="F15" s="1843"/>
      <c r="G15" s="1843"/>
      <c r="H15" s="1841"/>
      <c r="I15" s="1843"/>
      <c r="J15" s="1843"/>
      <c r="K15" s="1841"/>
      <c r="L15" s="1842"/>
      <c r="M15" s="1741"/>
      <c r="N15" s="1841"/>
      <c r="O15" s="1843"/>
      <c r="P15" s="1843"/>
      <c r="Q15" s="1843"/>
      <c r="R15" s="1842"/>
      <c r="S15" s="1844">
        <v>258.5</v>
      </c>
      <c r="T15" s="1841"/>
      <c r="U15" s="1842"/>
      <c r="V15" s="1844">
        <v>258.5</v>
      </c>
    </row>
    <row r="16" spans="1:23" ht="30" customHeight="1" x14ac:dyDescent="0.2">
      <c r="A16" s="1845" t="s">
        <v>136</v>
      </c>
      <c r="B16" s="1846">
        <f>D16/C16</f>
        <v>4.2729154181424596</v>
      </c>
      <c r="C16" s="1739">
        <f>SUM(C12:C14)</f>
        <v>1803.2957000000001</v>
      </c>
      <c r="D16" s="1739">
        <f>SUM(D12:D14)</f>
        <v>7705.33</v>
      </c>
      <c r="E16" s="1846" t="e">
        <f>B16-#REF!</f>
        <v>#REF!</v>
      </c>
      <c r="F16" s="1848" t="e">
        <f>C16-#REF!</f>
        <v>#REF!</v>
      </c>
      <c r="G16" s="1848" t="e">
        <f>D16-#REF!</f>
        <v>#REF!</v>
      </c>
      <c r="H16" s="1846" t="e">
        <f>#REF!-D16</f>
        <v>#REF!</v>
      </c>
      <c r="I16" s="1848" t="e">
        <f>#REF!-E16</f>
        <v>#REF!</v>
      </c>
      <c r="J16" s="1848" t="e">
        <f>#REF!-F16</f>
        <v>#REF!</v>
      </c>
      <c r="K16" s="1846" t="e">
        <f>M16/L16</f>
        <v>#REF!</v>
      </c>
      <c r="L16" s="1739" t="e">
        <f>SUM(L12:L14)</f>
        <v>#REF!</v>
      </c>
      <c r="M16" s="1739" t="e">
        <f>SUM(M12:M14)</f>
        <v>#REF!</v>
      </c>
      <c r="N16" s="1846" t="e">
        <f>K16-#REF!</f>
        <v>#REF!</v>
      </c>
      <c r="O16" s="1848" t="e">
        <f>L16-H16</f>
        <v>#REF!</v>
      </c>
      <c r="P16" s="1848" t="e">
        <f>M16-I16</f>
        <v>#REF!</v>
      </c>
      <c r="Q16" s="1846">
        <f>S16/R16</f>
        <v>4.1429282825904536</v>
      </c>
      <c r="R16" s="1739">
        <f>SUM(R12:R14)</f>
        <v>2123.5819999999999</v>
      </c>
      <c r="S16" s="1739">
        <f>SUM(S12:S15)</f>
        <v>8797.8479282000008</v>
      </c>
      <c r="T16" s="1846">
        <f>V16/U16</f>
        <v>4.2676703729525522</v>
      </c>
      <c r="U16" s="1739">
        <f>SUM(U12:U14)</f>
        <v>1543.98595</v>
      </c>
      <c r="V16" s="1739">
        <f>SUM(V12:V15)</f>
        <v>6589.2230950700005</v>
      </c>
      <c r="W16" s="1668">
        <f>D16-V16</f>
        <v>1116.1069049299995</v>
      </c>
    </row>
    <row r="17" spans="1:23" ht="30" customHeight="1" x14ac:dyDescent="0.2">
      <c r="A17" s="1845" t="s">
        <v>1600</v>
      </c>
      <c r="B17" s="1854">
        <v>0</v>
      </c>
      <c r="C17" s="1740">
        <v>0</v>
      </c>
      <c r="D17" s="1740">
        <v>0</v>
      </c>
      <c r="E17" s="1846"/>
      <c r="F17" s="1848"/>
      <c r="G17" s="1848"/>
      <c r="H17" s="1846"/>
      <c r="I17" s="1848"/>
      <c r="J17" s="1848"/>
      <c r="K17" s="1846"/>
      <c r="L17" s="1739"/>
      <c r="M17" s="1739"/>
      <c r="N17" s="1846"/>
      <c r="O17" s="1848"/>
      <c r="P17" s="1848"/>
      <c r="Q17" s="1854">
        <f>S17/R17</f>
        <v>5.1825010380100407</v>
      </c>
      <c r="R17" s="1740">
        <f>26.493</f>
        <v>26.492999999999999</v>
      </c>
      <c r="S17" s="1740">
        <v>137.30000000000001</v>
      </c>
      <c r="T17" s="1854">
        <v>0</v>
      </c>
      <c r="U17" s="1740">
        <v>0</v>
      </c>
      <c r="V17" s="1740">
        <v>137.30000000000001</v>
      </c>
      <c r="W17" s="1668">
        <f>D17-V17</f>
        <v>-137.30000000000001</v>
      </c>
    </row>
    <row r="18" spans="1:23" ht="14.25" customHeight="1" x14ac:dyDescent="0.2">
      <c r="A18" s="1849" t="s">
        <v>137</v>
      </c>
      <c r="B18" s="1839"/>
      <c r="C18" s="1839"/>
      <c r="D18" s="1840">
        <v>5607.52</v>
      </c>
      <c r="E18" s="1839"/>
      <c r="F18" s="1838"/>
      <c r="G18" s="1835" t="e">
        <f>D18-#REF!</f>
        <v>#REF!</v>
      </c>
      <c r="H18" s="1839"/>
      <c r="I18" s="1838"/>
      <c r="J18" s="1835" t="e">
        <f>#REF!-F18</f>
        <v>#REF!</v>
      </c>
      <c r="K18" s="1839"/>
      <c r="L18" s="1839"/>
      <c r="M18" s="1840" t="e">
        <f>#REF!</f>
        <v>#REF!</v>
      </c>
      <c r="N18" s="1839"/>
      <c r="O18" s="1838"/>
      <c r="P18" s="1835" t="e">
        <f t="shared" ref="P18:P24" si="4">M18-I18</f>
        <v>#REF!</v>
      </c>
      <c r="Q18" s="1839"/>
      <c r="R18" s="1839"/>
      <c r="S18" s="1840">
        <f>'объемы ВС и ВО 2023'!R39+'объемы ВС и ВО 2023'!S39</f>
        <v>6716.13</v>
      </c>
      <c r="T18" s="1839"/>
      <c r="U18" s="1839"/>
      <c r="V18" s="1840">
        <f>'хим. реагенты'!B26+'хим. реагенты'!C26</f>
        <v>5737.8839481555342</v>
      </c>
    </row>
    <row r="19" spans="1:23" ht="26.25" customHeight="1" x14ac:dyDescent="0.2">
      <c r="A19" s="1850" t="s">
        <v>138</v>
      </c>
      <c r="B19" s="1851"/>
      <c r="C19" s="1851"/>
      <c r="D19" s="1841">
        <v>0.159</v>
      </c>
      <c r="E19" s="1851"/>
      <c r="F19" s="1841"/>
      <c r="G19" s="1841" t="e">
        <f>D19-#REF!</f>
        <v>#REF!</v>
      </c>
      <c r="H19" s="1851"/>
      <c r="I19" s="1841"/>
      <c r="J19" s="1841" t="e">
        <f>#REF!-F19</f>
        <v>#REF!</v>
      </c>
      <c r="K19" s="1851"/>
      <c r="L19" s="1851"/>
      <c r="M19" s="1841">
        <v>0.124</v>
      </c>
      <c r="N19" s="1851"/>
      <c r="O19" s="1841"/>
      <c r="P19" s="1841">
        <f t="shared" si="4"/>
        <v>0.124</v>
      </c>
      <c r="Q19" s="1851"/>
      <c r="R19" s="1851"/>
      <c r="S19" s="1841">
        <f>R7/S18</f>
        <v>0.11051781308580982</v>
      </c>
      <c r="T19" s="1851"/>
      <c r="U19" s="1851"/>
      <c r="V19" s="1841">
        <v>0.159</v>
      </c>
    </row>
    <row r="20" spans="1:23" ht="15.75" customHeight="1" x14ac:dyDescent="0.2">
      <c r="A20" s="1850" t="s">
        <v>862</v>
      </c>
      <c r="B20" s="1851"/>
      <c r="C20" s="1851"/>
      <c r="D20" s="1741">
        <v>5050.3999999999996</v>
      </c>
      <c r="E20" s="1851"/>
      <c r="F20" s="1841"/>
      <c r="G20" s="1843" t="e">
        <f>D20-#REF!</f>
        <v>#REF!</v>
      </c>
      <c r="H20" s="1851"/>
      <c r="I20" s="1841"/>
      <c r="J20" s="1843" t="e">
        <f>#REF!-F20</f>
        <v>#REF!</v>
      </c>
      <c r="K20" s="1851"/>
      <c r="L20" s="1851"/>
      <c r="M20" s="1741" t="e">
        <f>#REF!</f>
        <v>#REF!</v>
      </c>
      <c r="N20" s="1851"/>
      <c r="O20" s="1841"/>
      <c r="P20" s="1843" t="e">
        <f t="shared" si="4"/>
        <v>#REF!</v>
      </c>
      <c r="Q20" s="1851"/>
      <c r="R20" s="1851"/>
      <c r="S20" s="1741">
        <f>'объемы ВС и ВО 2023'!U44+'объемы ВС и ВО 2023'!R42</f>
        <v>4834.7</v>
      </c>
      <c r="T20" s="1851"/>
      <c r="U20" s="1851"/>
      <c r="V20" s="1741">
        <f>V18-'хим. реагенты'!B27</f>
        <v>4706.9039481555337</v>
      </c>
    </row>
    <row r="21" spans="1:23" ht="20.25" customHeight="1" x14ac:dyDescent="0.2">
      <c r="A21" s="1850" t="s">
        <v>139</v>
      </c>
      <c r="B21" s="1851"/>
      <c r="C21" s="1851"/>
      <c r="D21" s="1841">
        <v>0.24199999999999999</v>
      </c>
      <c r="E21" s="1851"/>
      <c r="F21" s="1841"/>
      <c r="G21" s="1841" t="e">
        <f>D21-#REF!</f>
        <v>#REF!</v>
      </c>
      <c r="H21" s="1851"/>
      <c r="I21" s="1841"/>
      <c r="J21" s="1841" t="e">
        <f>#REF!-F21</f>
        <v>#REF!</v>
      </c>
      <c r="K21" s="1851"/>
      <c r="L21" s="1851"/>
      <c r="M21" s="1841">
        <v>0.24199999999999999</v>
      </c>
      <c r="N21" s="1851"/>
      <c r="O21" s="1841"/>
      <c r="P21" s="1841">
        <f t="shared" si="4"/>
        <v>0.24199999999999999</v>
      </c>
      <c r="Q21" s="1851"/>
      <c r="R21" s="1851"/>
      <c r="S21" s="1841">
        <f>R9/S20</f>
        <v>0.29419633069270074</v>
      </c>
      <c r="T21" s="1851"/>
      <c r="U21" s="1851"/>
      <c r="V21" s="1841">
        <v>0.24199999999999999</v>
      </c>
    </row>
    <row r="22" spans="1:23" ht="21" customHeight="1" x14ac:dyDescent="0.2">
      <c r="A22" s="1852" t="s">
        <v>140</v>
      </c>
      <c r="B22" s="1839"/>
      <c r="C22" s="1839"/>
      <c r="D22" s="1840">
        <v>3672.7</v>
      </c>
      <c r="E22" s="1839"/>
      <c r="F22" s="1838"/>
      <c r="G22" s="1835" t="e">
        <f>D22-#REF!</f>
        <v>#REF!</v>
      </c>
      <c r="H22" s="1839"/>
      <c r="I22" s="1838"/>
      <c r="J22" s="1835" t="e">
        <f>#REF!-F22</f>
        <v>#REF!</v>
      </c>
      <c r="K22" s="1839"/>
      <c r="L22" s="1839"/>
      <c r="M22" s="1840" t="e">
        <f>#REF!</f>
        <v>#REF!</v>
      </c>
      <c r="N22" s="1839"/>
      <c r="O22" s="1838"/>
      <c r="P22" s="1835" t="e">
        <f t="shared" si="4"/>
        <v>#REF!</v>
      </c>
      <c r="Q22" s="1839"/>
      <c r="R22" s="1839"/>
      <c r="S22" s="1840">
        <f>'объемы ВС и ВО 2023'!R62</f>
        <v>3840.95</v>
      </c>
      <c r="T22" s="1839"/>
      <c r="U22" s="1839"/>
      <c r="V22" s="1840">
        <f>'объемы ВС и ВО 2023'!R63+'объемы ВС и ВО 2023'!S63</f>
        <v>3209.95</v>
      </c>
    </row>
    <row r="23" spans="1:23" ht="46.5" customHeight="1" x14ac:dyDescent="0.2">
      <c r="A23" s="1850" t="s">
        <v>141</v>
      </c>
      <c r="B23" s="1851"/>
      <c r="C23" s="1851"/>
      <c r="D23" s="1841">
        <v>9.9000000000000005E-2</v>
      </c>
      <c r="E23" s="1851"/>
      <c r="F23" s="1841"/>
      <c r="G23" s="1841" t="e">
        <f>D23-#REF!</f>
        <v>#REF!</v>
      </c>
      <c r="H23" s="1851"/>
      <c r="I23" s="1841"/>
      <c r="J23" s="1841" t="e">
        <f>#REF!-F23</f>
        <v>#REF!</v>
      </c>
      <c r="K23" s="1851"/>
      <c r="L23" s="1851"/>
      <c r="M23" s="1841">
        <v>8.4000000000000005E-2</v>
      </c>
      <c r="N23" s="1851"/>
      <c r="O23" s="1841"/>
      <c r="P23" s="1841">
        <f t="shared" si="4"/>
        <v>8.4000000000000005E-2</v>
      </c>
      <c r="Q23" s="1851"/>
      <c r="R23" s="1851"/>
      <c r="S23" s="1841">
        <v>8.4000000000000005E-2</v>
      </c>
      <c r="T23" s="1851"/>
      <c r="U23" s="1851"/>
      <c r="V23" s="1841">
        <v>8.8999999999999996E-2</v>
      </c>
      <c r="W23" s="371" t="s">
        <v>1660</v>
      </c>
    </row>
    <row r="24" spans="1:23" ht="45.75" customHeight="1" x14ac:dyDescent="0.2">
      <c r="A24" s="1850" t="s">
        <v>142</v>
      </c>
      <c r="B24" s="1851"/>
      <c r="C24" s="1851"/>
      <c r="D24" s="1841">
        <v>0.39200000000000002</v>
      </c>
      <c r="E24" s="1851"/>
      <c r="F24" s="1841"/>
      <c r="G24" s="1841" t="e">
        <f>D24-#REF!</f>
        <v>#REF!</v>
      </c>
      <c r="H24" s="1851"/>
      <c r="I24" s="1841"/>
      <c r="J24" s="1841" t="e">
        <f>#REF!-F24</f>
        <v>#REF!</v>
      </c>
      <c r="K24" s="1851"/>
      <c r="L24" s="1851"/>
      <c r="M24" s="1841">
        <v>0.42</v>
      </c>
      <c r="N24" s="1851"/>
      <c r="O24" s="1841"/>
      <c r="P24" s="1841">
        <f t="shared" si="4"/>
        <v>0.42</v>
      </c>
      <c r="Q24" s="1851"/>
      <c r="R24" s="1851"/>
      <c r="S24" s="1843">
        <v>0.42</v>
      </c>
      <c r="T24" s="1851"/>
      <c r="U24" s="1851"/>
      <c r="V24" s="1841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860"/>
    </row>
    <row r="34" spans="1:1" x14ac:dyDescent="0.2">
      <c r="A34" s="860"/>
    </row>
    <row r="35" spans="1:1" x14ac:dyDescent="0.2">
      <c r="A35" s="1853"/>
    </row>
    <row r="36" spans="1:1" x14ac:dyDescent="0.2">
      <c r="A36" s="1853"/>
    </row>
  </sheetData>
  <mergeCells count="20">
    <mergeCell ref="B4:D4"/>
    <mergeCell ref="E4:G4"/>
    <mergeCell ref="H4:J4"/>
    <mergeCell ref="A3:A6"/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6561"/>
      <c r="B1" s="6561" t="s">
        <v>362</v>
      </c>
      <c r="C1" s="6561"/>
      <c r="D1" s="6561"/>
      <c r="E1" s="6561"/>
    </row>
    <row r="2" spans="1:6" ht="25.5" x14ac:dyDescent="0.2">
      <c r="A2" s="6561"/>
      <c r="B2" s="1575" t="s">
        <v>118</v>
      </c>
      <c r="C2" s="1595" t="s">
        <v>1585</v>
      </c>
      <c r="D2" s="1595" t="s">
        <v>1662</v>
      </c>
      <c r="E2" s="1595" t="s">
        <v>60</v>
      </c>
    </row>
    <row r="3" spans="1:6" x14ac:dyDescent="0.2">
      <c r="A3" s="1669" t="s">
        <v>46</v>
      </c>
      <c r="B3" s="1669"/>
      <c r="C3" s="1669"/>
      <c r="D3" s="1669"/>
      <c r="E3" s="1669"/>
    </row>
    <row r="4" spans="1:6" x14ac:dyDescent="0.2">
      <c r="A4" s="1669" t="s">
        <v>1661</v>
      </c>
      <c r="B4" s="1669">
        <f>278+998+1575</f>
        <v>2851</v>
      </c>
      <c r="C4" s="1669">
        <v>215.85</v>
      </c>
      <c r="D4" s="1669">
        <f>C4-B4</f>
        <v>-2635.15</v>
      </c>
      <c r="E4" s="1669">
        <v>4226.2929999999997</v>
      </c>
      <c r="F4" s="5">
        <f>E4-C4</f>
        <v>4010.4429999999998</v>
      </c>
    </row>
    <row r="5" spans="1:6" x14ac:dyDescent="0.2">
      <c r="A5" s="1669" t="s">
        <v>276</v>
      </c>
      <c r="B5" s="1669">
        <v>0</v>
      </c>
      <c r="C5" s="1669">
        <v>0</v>
      </c>
      <c r="D5" s="1669">
        <v>0</v>
      </c>
      <c r="E5" s="1669">
        <v>0</v>
      </c>
      <c r="F5" s="5">
        <f t="shared" ref="F5:F8" si="0">E5-C5</f>
        <v>0</v>
      </c>
    </row>
    <row r="6" spans="1:6" x14ac:dyDescent="0.2">
      <c r="A6" s="1669" t="s">
        <v>47</v>
      </c>
      <c r="B6" s="1669"/>
      <c r="C6" s="1669"/>
      <c r="D6" s="1669"/>
      <c r="E6" s="1669"/>
    </row>
    <row r="7" spans="1:6" x14ac:dyDescent="0.2">
      <c r="A7" s="1669" t="s">
        <v>1661</v>
      </c>
      <c r="B7" s="1669">
        <f>320+290+230+730</f>
        <v>1570</v>
      </c>
      <c r="C7" s="1669">
        <v>361.53</v>
      </c>
      <c r="D7" s="1669">
        <f>C7-B7</f>
        <v>-1208.47</v>
      </c>
      <c r="E7" s="1669">
        <v>1189.7080000000001</v>
      </c>
      <c r="F7" s="5">
        <f t="shared" si="0"/>
        <v>828.17800000000011</v>
      </c>
    </row>
    <row r="8" spans="1:6" x14ac:dyDescent="0.2">
      <c r="A8" s="1669" t="s">
        <v>276</v>
      </c>
      <c r="B8" s="1669">
        <v>0</v>
      </c>
      <c r="C8" s="1669">
        <v>0</v>
      </c>
      <c r="D8" s="1669">
        <v>0</v>
      </c>
      <c r="E8" s="1669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5142" t="s">
        <v>1666</v>
      </c>
      <c r="G1" s="5142"/>
      <c r="H1" s="5142"/>
      <c r="I1" s="5142"/>
      <c r="J1" s="5142"/>
      <c r="K1" s="5142"/>
    </row>
    <row r="2" spans="1:11" ht="15.75" x14ac:dyDescent="0.2">
      <c r="A2" s="5152" t="s">
        <v>1671</v>
      </c>
      <c r="B2" s="5153"/>
      <c r="C2" s="5153"/>
      <c r="D2" s="5153"/>
      <c r="E2" s="5153"/>
      <c r="F2" s="5153"/>
      <c r="G2" s="5153"/>
      <c r="H2" s="5153"/>
      <c r="I2" s="5153"/>
      <c r="J2" s="5153"/>
      <c r="K2" s="5153"/>
    </row>
    <row r="3" spans="1:11" ht="15.75" x14ac:dyDescent="0.25">
      <c r="A3" s="5144" t="s">
        <v>356</v>
      </c>
      <c r="B3" s="5148" t="s">
        <v>1663</v>
      </c>
      <c r="C3" s="5148"/>
      <c r="D3" s="5148"/>
      <c r="E3" s="5148" t="s">
        <v>1664</v>
      </c>
      <c r="F3" s="5148"/>
      <c r="G3" s="5148"/>
      <c r="H3" s="5148" t="s">
        <v>1526</v>
      </c>
      <c r="I3" s="5148"/>
      <c r="J3" s="5148"/>
      <c r="K3" s="5150" t="s">
        <v>1593</v>
      </c>
    </row>
    <row r="4" spans="1:11" ht="30" customHeight="1" x14ac:dyDescent="0.2">
      <c r="A4" s="5144"/>
      <c r="B4" s="1881" t="s">
        <v>396</v>
      </c>
      <c r="C4" s="1881" t="s">
        <v>647</v>
      </c>
      <c r="D4" s="1881" t="s">
        <v>398</v>
      </c>
      <c r="E4" s="1881" t="s">
        <v>396</v>
      </c>
      <c r="F4" s="1881" t="s">
        <v>647</v>
      </c>
      <c r="G4" s="1881" t="s">
        <v>398</v>
      </c>
      <c r="H4" s="1881" t="s">
        <v>396</v>
      </c>
      <c r="I4" s="1881" t="s">
        <v>647</v>
      </c>
      <c r="J4" s="1881" t="s">
        <v>398</v>
      </c>
      <c r="K4" s="5151"/>
    </row>
    <row r="5" spans="1:11" ht="15" customHeight="1" x14ac:dyDescent="0.2">
      <c r="A5" s="1882" t="s">
        <v>648</v>
      </c>
      <c r="B5" s="1744"/>
      <c r="C5" s="1614"/>
      <c r="D5" s="1614"/>
      <c r="E5" s="1745">
        <f>SUM('объемы ВС и ВО 2023'!T39)</f>
        <v>5779.357</v>
      </c>
      <c r="F5" s="1614"/>
      <c r="G5" s="1614"/>
      <c r="H5" s="1672"/>
      <c r="I5" s="1603"/>
      <c r="J5" s="1603"/>
      <c r="K5" s="1751"/>
    </row>
    <row r="6" spans="1:11" ht="15" customHeight="1" x14ac:dyDescent="0.2">
      <c r="A6" s="1882" t="s">
        <v>24</v>
      </c>
      <c r="B6" s="1744">
        <v>2800</v>
      </c>
      <c r="C6" s="1614">
        <v>70</v>
      </c>
      <c r="D6" s="1745">
        <f>B6*C6/1000</f>
        <v>196</v>
      </c>
      <c r="E6" s="1745">
        <f>'объемы ВС и ВО 2023'!R50</f>
        <v>2377.86</v>
      </c>
      <c r="F6" s="1614">
        <v>81</v>
      </c>
      <c r="G6" s="1745">
        <f>E6*F6/1000</f>
        <v>192.60666000000001</v>
      </c>
      <c r="H6" s="1672"/>
      <c r="I6" s="1603"/>
      <c r="J6" s="1672"/>
      <c r="K6" s="1753">
        <f>G6-D6</f>
        <v>-3.3933399999999949</v>
      </c>
    </row>
    <row r="7" spans="1:11" ht="15" customHeight="1" x14ac:dyDescent="0.2">
      <c r="A7" s="1882" t="s">
        <v>254</v>
      </c>
      <c r="B7" s="1744">
        <v>1206.27</v>
      </c>
      <c r="C7" s="1614">
        <v>258</v>
      </c>
      <c r="D7" s="1745">
        <f>B7*C7/1000</f>
        <v>311.21765999999997</v>
      </c>
      <c r="E7" s="1745">
        <f>'объемы ВС и ВО 2023'!S51+'объемы ВС и ВО 2023'!R52+'объемы ВС и ВО 2023'!R57</f>
        <v>1402.56</v>
      </c>
      <c r="F7" s="1614">
        <f>258*1.15</f>
        <v>296.7</v>
      </c>
      <c r="G7" s="1745">
        <f>E7*F7/1000</f>
        <v>416.13955199999998</v>
      </c>
      <c r="H7" s="1672"/>
      <c r="I7" s="1603"/>
      <c r="J7" s="1672"/>
      <c r="K7" s="1753">
        <f t="shared" ref="K7:K11" si="0">G7-D7</f>
        <v>104.92189200000001</v>
      </c>
    </row>
    <row r="8" spans="1:11" ht="15" customHeight="1" x14ac:dyDescent="0.2">
      <c r="A8" s="1882" t="s">
        <v>392</v>
      </c>
      <c r="B8" s="1744">
        <v>557.12</v>
      </c>
      <c r="C8" s="1614">
        <v>258</v>
      </c>
      <c r="D8" s="1745">
        <f>B8*C8/1000</f>
        <v>143.73695999999998</v>
      </c>
      <c r="E8" s="1745">
        <f>'объемы ВС и ВО 2023'!R42</f>
        <v>1030.98</v>
      </c>
      <c r="F8" s="1614">
        <f>258*1.15</f>
        <v>296.7</v>
      </c>
      <c r="G8" s="1745">
        <f>E8*F8/1000</f>
        <v>305.89176600000002</v>
      </c>
      <c r="H8" s="1672"/>
      <c r="I8" s="1603"/>
      <c r="J8" s="1672"/>
      <c r="K8" s="1753">
        <f t="shared" si="0"/>
        <v>162.15480600000004</v>
      </c>
    </row>
    <row r="9" spans="1:11" ht="15" customHeight="1" x14ac:dyDescent="0.2">
      <c r="A9" s="1882" t="s">
        <v>393</v>
      </c>
      <c r="B9" s="1744">
        <v>998</v>
      </c>
      <c r="C9" s="1614"/>
      <c r="D9" s="1745"/>
      <c r="E9" s="1745">
        <f>'хим. реагенты'!B28</f>
        <v>926.48394815553365</v>
      </c>
      <c r="F9" s="1614"/>
      <c r="G9" s="1745"/>
      <c r="H9" s="1672"/>
      <c r="I9" s="1603"/>
      <c r="J9" s="1672"/>
      <c r="K9" s="1753"/>
    </row>
    <row r="10" spans="1:11" ht="15" customHeight="1" x14ac:dyDescent="0.2">
      <c r="A10" s="1882" t="s">
        <v>394</v>
      </c>
      <c r="B10" s="1613">
        <v>697.05072386999996</v>
      </c>
      <c r="C10" s="1614">
        <v>70</v>
      </c>
      <c r="D10" s="1745">
        <f>B10*C10/1000</f>
        <v>48.793550670899997</v>
      </c>
      <c r="E10" s="1768">
        <f>E9*E6/(E6+E7)</f>
        <v>582.75247749221444</v>
      </c>
      <c r="F10" s="1614">
        <v>81</v>
      </c>
      <c r="G10" s="1745">
        <f>E10*F10/1000</f>
        <v>47.202950676869371</v>
      </c>
      <c r="H10" s="1603"/>
      <c r="I10" s="1603"/>
      <c r="J10" s="1672"/>
      <c r="K10" s="1753">
        <f t="shared" si="0"/>
        <v>-1.5905999940306259</v>
      </c>
    </row>
    <row r="11" spans="1:11" ht="15" customHeight="1" x14ac:dyDescent="0.2">
      <c r="A11" s="1882" t="s">
        <v>395</v>
      </c>
      <c r="B11" s="1744">
        <v>300.49</v>
      </c>
      <c r="C11" s="1614">
        <v>258</v>
      </c>
      <c r="D11" s="1745">
        <f>B11*C11/1000</f>
        <v>77.526420000000002</v>
      </c>
      <c r="E11" s="1745">
        <f>E9-E10</f>
        <v>343.73147066331921</v>
      </c>
      <c r="F11" s="1614">
        <v>341</v>
      </c>
      <c r="G11" s="1745">
        <f>E11*F11/1000</f>
        <v>117.21243149619185</v>
      </c>
      <c r="H11" s="1672"/>
      <c r="I11" s="1603"/>
      <c r="J11" s="1672"/>
      <c r="K11" s="1753">
        <f t="shared" si="0"/>
        <v>39.686011496191853</v>
      </c>
    </row>
    <row r="12" spans="1:11" ht="15" customHeight="1" x14ac:dyDescent="0.2">
      <c r="A12" s="1675" t="s">
        <v>847</v>
      </c>
      <c r="B12" s="1677"/>
      <c r="C12" s="1675"/>
      <c r="D12" s="1678">
        <f>SUM(D6:D11)</f>
        <v>777.27459067090001</v>
      </c>
      <c r="E12" s="1675"/>
      <c r="F12" s="1675"/>
      <c r="G12" s="1678">
        <f>SUM(G6:G11)</f>
        <v>1079.0533601730613</v>
      </c>
      <c r="H12" s="1607"/>
      <c r="I12" s="1607"/>
      <c r="J12" s="1608"/>
      <c r="K12" s="1749">
        <f>G12-D12</f>
        <v>301.77876950216125</v>
      </c>
    </row>
    <row r="13" spans="1:11" ht="58.5" hidden="1" customHeight="1" x14ac:dyDescent="0.2">
      <c r="A13" s="1676" t="s">
        <v>848</v>
      </c>
      <c r="B13" s="1612"/>
      <c r="C13" s="1742"/>
      <c r="D13" s="1743"/>
      <c r="E13" s="1742"/>
      <c r="F13" s="1742"/>
      <c r="G13" s="1743">
        <v>1455.14</v>
      </c>
      <c r="H13" s="1607"/>
      <c r="I13" s="1607"/>
      <c r="J13" s="1608">
        <v>1455.14</v>
      </c>
      <c r="K13" s="1669"/>
    </row>
    <row r="14" spans="1:11" ht="58.5" hidden="1" customHeight="1" x14ac:dyDescent="0.2">
      <c r="A14" s="1676" t="s">
        <v>848</v>
      </c>
      <c r="B14" s="1612"/>
      <c r="C14" s="1742"/>
      <c r="D14" s="1743"/>
      <c r="E14" s="1742"/>
      <c r="F14" s="1742"/>
      <c r="G14" s="1743">
        <v>60.06</v>
      </c>
      <c r="H14" s="1607"/>
      <c r="I14" s="1607"/>
      <c r="J14" s="1608">
        <v>60.06</v>
      </c>
      <c r="K14" s="1669"/>
    </row>
    <row r="15" spans="1:11" ht="58.5" hidden="1" customHeight="1" x14ac:dyDescent="0.2">
      <c r="A15" s="1677" t="s">
        <v>849</v>
      </c>
      <c r="B15" s="1612"/>
      <c r="C15" s="1742"/>
      <c r="D15" s="1743"/>
      <c r="E15" s="1742"/>
      <c r="F15" s="1742"/>
      <c r="G15" s="1743">
        <f>SUM(G13:G14)</f>
        <v>1515.2</v>
      </c>
      <c r="H15" s="1607"/>
      <c r="I15" s="1607"/>
      <c r="J15" s="1608">
        <f>SUM(J13:J14)</f>
        <v>1515.2</v>
      </c>
      <c r="K15" s="1669"/>
    </row>
    <row r="16" spans="1:11" ht="15" hidden="1" customHeight="1" x14ac:dyDescent="0.2">
      <c r="A16" s="5143" t="s">
        <v>399</v>
      </c>
      <c r="B16" s="5143"/>
      <c r="C16" s="5143"/>
      <c r="D16" s="5143"/>
      <c r="E16" s="5143"/>
      <c r="F16" s="5143"/>
      <c r="G16" s="5143"/>
      <c r="H16" s="5143"/>
      <c r="I16" s="5143"/>
      <c r="J16" s="5143"/>
    </row>
    <row r="17" spans="1:10" ht="38.25" hidden="1" customHeight="1" x14ac:dyDescent="0.2">
      <c r="A17" s="1575" t="s">
        <v>356</v>
      </c>
      <c r="B17" s="1575" t="s">
        <v>396</v>
      </c>
      <c r="C17" s="1575" t="s">
        <v>647</v>
      </c>
      <c r="D17" s="1575" t="s">
        <v>398</v>
      </c>
      <c r="E17" s="1575" t="s">
        <v>396</v>
      </c>
      <c r="F17" s="1575" t="s">
        <v>647</v>
      </c>
      <c r="G17" s="1575" t="s">
        <v>398</v>
      </c>
      <c r="H17" s="1669"/>
      <c r="I17" s="1669"/>
      <c r="J17" s="1669"/>
    </row>
    <row r="18" spans="1:10" ht="15" hidden="1" customHeight="1" x14ac:dyDescent="0.2">
      <c r="A18" s="1603" t="s">
        <v>648</v>
      </c>
      <c r="B18" s="1670">
        <f>'объемы ВС и ВО 2023'!M39</f>
        <v>5561.39</v>
      </c>
      <c r="C18" s="1574"/>
      <c r="D18" s="1574"/>
      <c r="E18" s="1670">
        <f>SUM('объемы ВС и ВО 2023'!AA39)</f>
        <v>5654.317</v>
      </c>
      <c r="F18" s="1574"/>
      <c r="G18" s="1574"/>
      <c r="H18" s="1669"/>
      <c r="I18" s="1669"/>
      <c r="J18" s="1669"/>
    </row>
    <row r="19" spans="1:10" ht="15" hidden="1" customHeight="1" x14ac:dyDescent="0.2">
      <c r="A19" s="1603" t="s">
        <v>24</v>
      </c>
      <c r="B19" s="1670">
        <v>2800</v>
      </c>
      <c r="C19" s="1574">
        <v>70</v>
      </c>
      <c r="D19" s="1670">
        <f>B19*C19/1000</f>
        <v>196</v>
      </c>
      <c r="E19" s="1670">
        <f>SUM('объемы ВС и ВО 2023'!AA50)</f>
        <v>2428.56</v>
      </c>
      <c r="F19" s="1574">
        <v>93</v>
      </c>
      <c r="G19" s="1670">
        <f>E19*F19/1000</f>
        <v>225.85607999999999</v>
      </c>
      <c r="H19" s="1669"/>
      <c r="I19" s="1669"/>
      <c r="J19" s="1669"/>
    </row>
    <row r="20" spans="1:10" ht="15" hidden="1" customHeight="1" x14ac:dyDescent="0.2">
      <c r="A20" s="1603" t="s">
        <v>254</v>
      </c>
      <c r="B20" s="1670">
        <v>1206.27</v>
      </c>
      <c r="C20" s="1574">
        <v>258</v>
      </c>
      <c r="D20" s="1670">
        <f>B20*C20/1000</f>
        <v>311.21765999999997</v>
      </c>
      <c r="E20" s="1670">
        <f>SUM('объемы ВС и ВО 2023'!AA52+'объемы ВС и ВО 2023'!AA51+'объемы ВС и ВО 2023'!AA57)</f>
        <v>1560.6570000000002</v>
      </c>
      <c r="F20" s="1574">
        <v>341</v>
      </c>
      <c r="G20" s="1670">
        <f>E20*F20/1000</f>
        <v>532.18403699999999</v>
      </c>
      <c r="H20" s="1669"/>
      <c r="I20" s="1669"/>
      <c r="J20" s="1669"/>
    </row>
    <row r="21" spans="1:10" ht="15" hidden="1" customHeight="1" x14ac:dyDescent="0.2">
      <c r="A21" s="1603" t="s">
        <v>392</v>
      </c>
      <c r="B21" s="1670">
        <f>'объемы ВС и ВО 2023'!M42</f>
        <v>557.12</v>
      </c>
      <c r="C21" s="1574">
        <v>258</v>
      </c>
      <c r="D21" s="1670">
        <f>B21*C21/1000</f>
        <v>143.73695999999998</v>
      </c>
      <c r="E21" s="1670">
        <f>SUM('объемы ВС и ВО 2023'!AA42)</f>
        <v>686.4</v>
      </c>
      <c r="F21" s="1574">
        <v>341</v>
      </c>
      <c r="G21" s="1670">
        <f>E21*F21/1000</f>
        <v>234.0624</v>
      </c>
      <c r="H21" s="1669"/>
      <c r="I21" s="1669"/>
      <c r="J21" s="1669"/>
    </row>
    <row r="22" spans="1:10" ht="15" hidden="1" customHeight="1" x14ac:dyDescent="0.2">
      <c r="A22" s="1603" t="s">
        <v>393</v>
      </c>
      <c r="B22" s="1670">
        <f>'объемы ВС и ВО 2023'!M47</f>
        <v>998</v>
      </c>
      <c r="C22" s="1574"/>
      <c r="D22" s="1670"/>
      <c r="E22" s="1670">
        <f>SUM('объемы ВС и ВО 2023'!AA47)</f>
        <v>978.7</v>
      </c>
      <c r="F22" s="1574"/>
      <c r="G22" s="1670"/>
      <c r="H22" s="1669"/>
      <c r="I22" s="1669"/>
      <c r="J22" s="1669"/>
    </row>
    <row r="23" spans="1:10" ht="15" hidden="1" customHeight="1" x14ac:dyDescent="0.2">
      <c r="A23" s="1603" t="s">
        <v>394</v>
      </c>
      <c r="B23" s="1574">
        <f>B22*B19/(B19+B20)</f>
        <v>697.50665831309425</v>
      </c>
      <c r="C23" s="1574">
        <f>C19</f>
        <v>70</v>
      </c>
      <c r="D23" s="1670">
        <f>B23*C23/1000</f>
        <v>48.825466081916595</v>
      </c>
      <c r="E23" s="1574">
        <f>E22*E19/(E19+E20)</f>
        <v>595.81408381644826</v>
      </c>
      <c r="F23" s="1574">
        <f>F19</f>
        <v>93</v>
      </c>
      <c r="G23" s="1670">
        <f>E23*F23/1000</f>
        <v>55.410709794929687</v>
      </c>
      <c r="H23" s="1669"/>
      <c r="I23" s="1669"/>
      <c r="J23" s="1669"/>
    </row>
    <row r="24" spans="1:10" ht="15" hidden="1" customHeight="1" x14ac:dyDescent="0.2">
      <c r="A24" s="1603" t="s">
        <v>395</v>
      </c>
      <c r="B24" s="1670">
        <f>B22-B23</f>
        <v>300.49334168690575</v>
      </c>
      <c r="C24" s="1574">
        <v>258</v>
      </c>
      <c r="D24" s="1670">
        <f>B24*C24/1000</f>
        <v>77.527282155221684</v>
      </c>
      <c r="E24" s="1670">
        <f>E22-E23</f>
        <v>382.88591618355179</v>
      </c>
      <c r="F24" s="1574">
        <v>341</v>
      </c>
      <c r="G24" s="1670">
        <f>E24*F24/1000</f>
        <v>130.56409741859116</v>
      </c>
      <c r="H24" s="1669"/>
      <c r="I24" s="1669"/>
      <c r="J24" s="1669"/>
    </row>
    <row r="25" spans="1:10" ht="15" hidden="1" customHeight="1" x14ac:dyDescent="0.2">
      <c r="A25" s="1607" t="s">
        <v>397</v>
      </c>
      <c r="B25" s="1602"/>
      <c r="C25" s="1602"/>
      <c r="D25" s="1671">
        <f>SUM(D19:D24)</f>
        <v>777.30736823713823</v>
      </c>
      <c r="E25" s="1602"/>
      <c r="F25" s="1602"/>
      <c r="G25" s="1671">
        <f>SUM(G19:G24)</f>
        <v>1178.077324213521</v>
      </c>
      <c r="H25" s="1669"/>
      <c r="I25" s="1669"/>
      <c r="J25" s="1669"/>
    </row>
    <row r="26" spans="1:10" ht="15.75" hidden="1" x14ac:dyDescent="0.25">
      <c r="A26" s="5144" t="s">
        <v>356</v>
      </c>
      <c r="B26" s="5145" t="s">
        <v>646</v>
      </c>
      <c r="C26" s="5146"/>
      <c r="D26" s="5147"/>
      <c r="E26" s="5148" t="s">
        <v>867</v>
      </c>
      <c r="F26" s="5148"/>
      <c r="G26" s="5148"/>
      <c r="H26" s="5149" t="s">
        <v>868</v>
      </c>
      <c r="I26" s="5149"/>
      <c r="J26" s="5149"/>
    </row>
    <row r="27" spans="1:10" ht="38.25" hidden="1" x14ac:dyDescent="0.2">
      <c r="A27" s="5144"/>
      <c r="B27" s="1881" t="s">
        <v>396</v>
      </c>
      <c r="C27" s="1881" t="s">
        <v>647</v>
      </c>
      <c r="D27" s="1881" t="s">
        <v>398</v>
      </c>
      <c r="E27" s="1881" t="s">
        <v>396</v>
      </c>
      <c r="F27" s="1881" t="s">
        <v>647</v>
      </c>
      <c r="G27" s="1881" t="s">
        <v>398</v>
      </c>
      <c r="H27" s="1575" t="s">
        <v>396</v>
      </c>
      <c r="I27" s="1575" t="s">
        <v>647</v>
      </c>
      <c r="J27" s="1575" t="s">
        <v>398</v>
      </c>
    </row>
    <row r="28" spans="1:10" hidden="1" x14ac:dyDescent="0.2">
      <c r="A28" s="1882" t="s">
        <v>648</v>
      </c>
      <c r="B28" s="1746">
        <f>'объемы ВС и ВО 2023'!L72</f>
        <v>0</v>
      </c>
      <c r="C28" s="1614"/>
      <c r="D28" s="1614"/>
      <c r="E28" s="1745">
        <f>E29+E30+E31+E32</f>
        <v>5570.6852214411947</v>
      </c>
      <c r="F28" s="1614"/>
      <c r="G28" s="1614"/>
      <c r="H28" s="1672">
        <f>SUM('объемы ВС и ВО 2023'!AC72)</f>
        <v>0</v>
      </c>
      <c r="I28" s="1603"/>
      <c r="J28" s="1603"/>
    </row>
    <row r="29" spans="1:10" hidden="1" x14ac:dyDescent="0.2">
      <c r="A29" s="1882" t="s">
        <v>24</v>
      </c>
      <c r="B29" s="1746">
        <f>'объемы ВС и ВО 2023'!AA50</f>
        <v>2428.56</v>
      </c>
      <c r="C29" s="1614">
        <v>93</v>
      </c>
      <c r="D29" s="1745">
        <f>B29*C29/1000</f>
        <v>225.85607999999999</v>
      </c>
      <c r="E29" s="1745">
        <f>'объемы ВС и ВО 2023'!AJ50</f>
        <v>2380</v>
      </c>
      <c r="F29" s="1614">
        <f>107</f>
        <v>107</v>
      </c>
      <c r="G29" s="1745">
        <f>E29*F29/1000</f>
        <v>254.66</v>
      </c>
      <c r="H29" s="1672">
        <f>E29</f>
        <v>2380</v>
      </c>
      <c r="I29" s="1603">
        <v>122</v>
      </c>
      <c r="J29" s="1672">
        <f>H29*I29/1000</f>
        <v>290.36</v>
      </c>
    </row>
    <row r="30" spans="1:10" hidden="1" x14ac:dyDescent="0.2">
      <c r="A30" s="1882" t="s">
        <v>254</v>
      </c>
      <c r="B30" s="1746">
        <f>'объемы ВС и ВО 2023'!AA52+'объемы ВС и ВО 2023'!AB51+'объемы ВС и ВО 2023'!AA57</f>
        <v>1582.077</v>
      </c>
      <c r="C30" s="1614">
        <v>341</v>
      </c>
      <c r="D30" s="1745">
        <f>B30*C30/1000</f>
        <v>539.48825699999998</v>
      </c>
      <c r="E30" s="1745">
        <f>'объемы ВС и ВО 2023'!AJ52+'объемы ВС и ВО 2023'!AK39+'объемы ВС и ВО 2023'!AJ57</f>
        <v>1411.3490000000002</v>
      </c>
      <c r="F30" s="1614">
        <v>392</v>
      </c>
      <c r="G30" s="1745">
        <f>E30*F30/1000</f>
        <v>553.24880800000005</v>
      </c>
      <c r="H30" s="1672">
        <f t="shared" ref="H30:H34" si="1">E30</f>
        <v>1411.3490000000002</v>
      </c>
      <c r="I30" s="1603">
        <v>452</v>
      </c>
      <c r="J30" s="1672">
        <f>H30*I30/1000</f>
        <v>637.92974800000002</v>
      </c>
    </row>
    <row r="31" spans="1:10" hidden="1" x14ac:dyDescent="0.2">
      <c r="A31" s="1882" t="s">
        <v>392</v>
      </c>
      <c r="B31" s="1746">
        <f>'объемы ВС и ВО 2023'!AA42</f>
        <v>686.4</v>
      </c>
      <c r="C31" s="1614">
        <v>341</v>
      </c>
      <c r="D31" s="1745">
        <f>B31*C31/1000</f>
        <v>234.0624</v>
      </c>
      <c r="E31" s="1745">
        <f>'объемы ВС и ВО 2023'!AJ42</f>
        <v>854.19674447979992</v>
      </c>
      <c r="F31" s="1614">
        <f>F30</f>
        <v>392</v>
      </c>
      <c r="G31" s="1745">
        <f>E31*F31/1000</f>
        <v>334.8451238360816</v>
      </c>
      <c r="H31" s="1672">
        <f t="shared" si="1"/>
        <v>854.19674447979992</v>
      </c>
      <c r="I31" s="1603">
        <f>I30</f>
        <v>452</v>
      </c>
      <c r="J31" s="1672">
        <f>H31*I31/1000</f>
        <v>386.0969285048696</v>
      </c>
    </row>
    <row r="32" spans="1:10" hidden="1" x14ac:dyDescent="0.2">
      <c r="A32" s="1882" t="s">
        <v>393</v>
      </c>
      <c r="B32" s="1746">
        <f>'объемы ВС и ВО 2023'!AA47</f>
        <v>978.7</v>
      </c>
      <c r="C32" s="1614"/>
      <c r="D32" s="1745"/>
      <c r="E32" s="1745">
        <f>'объемы ВС и ВО 2023'!AJ47+'объемы ВС и ВО 2023'!AK47</f>
        <v>925.13947696139473</v>
      </c>
      <c r="F32" s="1614"/>
      <c r="G32" s="1745"/>
      <c r="H32" s="1672">
        <f t="shared" si="1"/>
        <v>925.13947696139473</v>
      </c>
      <c r="I32" s="1603"/>
      <c r="J32" s="1672"/>
    </row>
    <row r="33" spans="1:10" hidden="1" x14ac:dyDescent="0.2">
      <c r="A33" s="1882" t="s">
        <v>394</v>
      </c>
      <c r="B33" s="1746">
        <f>B32*B29/(B29+B30)</f>
        <v>592.63196145649692</v>
      </c>
      <c r="C33" s="1614">
        <f>C29</f>
        <v>93</v>
      </c>
      <c r="D33" s="1745">
        <f>B33*C33/1000</f>
        <v>55.114772415454219</v>
      </c>
      <c r="E33" s="1745">
        <f t="shared" ref="E33:E34" si="2">B33</f>
        <v>592.63196145649692</v>
      </c>
      <c r="F33" s="1614">
        <f>F29</f>
        <v>107</v>
      </c>
      <c r="G33" s="1745">
        <f>E33*F33/1000</f>
        <v>63.411619875845169</v>
      </c>
      <c r="H33" s="1672">
        <f t="shared" si="1"/>
        <v>592.63196145649692</v>
      </c>
      <c r="I33" s="1603">
        <f>I29</f>
        <v>122</v>
      </c>
      <c r="J33" s="1672">
        <f>H33*I33/1000</f>
        <v>72.301099297692616</v>
      </c>
    </row>
    <row r="34" spans="1:10" hidden="1" x14ac:dyDescent="0.2">
      <c r="A34" s="1882" t="s">
        <v>395</v>
      </c>
      <c r="B34" s="1746">
        <f>B32-B33</f>
        <v>386.06803854350312</v>
      </c>
      <c r="C34" s="1614">
        <v>341</v>
      </c>
      <c r="D34" s="1745">
        <f>B34*C34/1000</f>
        <v>131.64920114333455</v>
      </c>
      <c r="E34" s="1745">
        <f t="shared" si="2"/>
        <v>386.06803854350312</v>
      </c>
      <c r="F34" s="1614">
        <f>F31</f>
        <v>392</v>
      </c>
      <c r="G34" s="1745">
        <f>E34*F34/1000</f>
        <v>151.33867110905322</v>
      </c>
      <c r="H34" s="1672">
        <f t="shared" si="1"/>
        <v>386.06803854350312</v>
      </c>
      <c r="I34" s="1603">
        <f>I31</f>
        <v>452</v>
      </c>
      <c r="J34" s="1672">
        <f>H34*I34/1000</f>
        <v>174.50275342166341</v>
      </c>
    </row>
    <row r="35" spans="1:10" hidden="1" x14ac:dyDescent="0.2">
      <c r="A35" s="1675" t="s">
        <v>847</v>
      </c>
      <c r="B35" s="1747"/>
      <c r="C35" s="1675"/>
      <c r="D35" s="1678">
        <f>SUM(D29:D34)</f>
        <v>1186.1707105587886</v>
      </c>
      <c r="E35" s="1675"/>
      <c r="F35" s="1675"/>
      <c r="G35" s="1678">
        <f>SUM(G29:G34)</f>
        <v>1357.50422282098</v>
      </c>
      <c r="H35" s="1607"/>
      <c r="I35" s="1607"/>
      <c r="J35" s="1608">
        <f>SUM(J29:J34)</f>
        <v>1561.1905292242257</v>
      </c>
    </row>
    <row r="36" spans="1:10" hidden="1" x14ac:dyDescent="0.2">
      <c r="A36" s="1748" t="s">
        <v>1535</v>
      </c>
      <c r="B36" s="1751"/>
      <c r="C36" s="1751"/>
      <c r="D36" s="1751"/>
      <c r="E36" s="1751"/>
      <c r="F36" s="1751"/>
      <c r="G36" s="1752"/>
      <c r="J36" s="1667">
        <f>J35/G35</f>
        <v>1.1500446945056073</v>
      </c>
    </row>
    <row r="37" spans="1:10" hidden="1" x14ac:dyDescent="0.2">
      <c r="A37" s="1748" t="s">
        <v>1536</v>
      </c>
      <c r="B37" s="1751"/>
      <c r="C37" s="1751"/>
      <c r="D37" s="1751"/>
      <c r="E37" s="1751">
        <f>'объемы ВС и ВО 2023'!AK39</f>
        <v>20.349</v>
      </c>
      <c r="F37" s="1751">
        <f>F34</f>
        <v>392</v>
      </c>
      <c r="G37" s="1756">
        <f>E37*F37/1000</f>
        <v>7.9768080000000001</v>
      </c>
    </row>
    <row r="38" spans="1:10" hidden="1" x14ac:dyDescent="0.2">
      <c r="A38" s="1748" t="s">
        <v>1537</v>
      </c>
      <c r="B38" s="1751"/>
      <c r="C38" s="1751"/>
      <c r="D38" s="1751"/>
      <c r="E38" s="1753"/>
      <c r="F38" s="1751"/>
      <c r="G38" s="1756">
        <f>G35-G37</f>
        <v>1349.5274148209801</v>
      </c>
    </row>
    <row r="39" spans="1:10" hidden="1" x14ac:dyDescent="0.2">
      <c r="G39" s="1668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5155" t="s">
        <v>1583</v>
      </c>
      <c r="B1" s="5154" t="s">
        <v>227</v>
      </c>
      <c r="C1" s="5154"/>
      <c r="D1" s="5154"/>
      <c r="E1" s="5154"/>
      <c r="F1" s="5154"/>
      <c r="G1" s="5154"/>
      <c r="H1" s="5154" t="s">
        <v>362</v>
      </c>
      <c r="I1" s="5154"/>
      <c r="J1" s="5154"/>
      <c r="K1" s="5154"/>
      <c r="L1" s="5154"/>
      <c r="M1" s="5154"/>
    </row>
    <row r="2" spans="1:13" s="1815" customFormat="1" ht="38.25" x14ac:dyDescent="0.2">
      <c r="A2" s="5155"/>
      <c r="B2" s="1673" t="s">
        <v>1586</v>
      </c>
      <c r="C2" s="1673" t="s">
        <v>1585</v>
      </c>
      <c r="D2" s="1673" t="s">
        <v>60</v>
      </c>
      <c r="E2" s="1673" t="s">
        <v>1589</v>
      </c>
      <c r="F2" s="1673" t="s">
        <v>1588</v>
      </c>
      <c r="G2" s="1673" t="s">
        <v>1587</v>
      </c>
      <c r="H2" s="1673" t="s">
        <v>1586</v>
      </c>
      <c r="I2" s="1673" t="s">
        <v>1585</v>
      </c>
      <c r="J2" s="1673" t="s">
        <v>60</v>
      </c>
      <c r="K2" s="1673" t="s">
        <v>1589</v>
      </c>
      <c r="L2" s="1673" t="s">
        <v>1588</v>
      </c>
      <c r="M2" s="1673" t="s">
        <v>1587</v>
      </c>
    </row>
    <row r="3" spans="1:13" x14ac:dyDescent="0.2">
      <c r="A3" s="1748" t="s">
        <v>1584</v>
      </c>
      <c r="B3" s="1751">
        <f>4000-25</f>
        <v>3975</v>
      </c>
      <c r="C3" s="1751">
        <f>4052.2-46</f>
        <v>4006.2</v>
      </c>
      <c r="D3" s="1816">
        <f>'объемы ВС и ВО 2023'!K49-49.8</f>
        <v>3989.2</v>
      </c>
      <c r="E3" s="1816">
        <f>C3-B3</f>
        <v>31.199999999999818</v>
      </c>
      <c r="F3" s="1816">
        <f>D3-B3</f>
        <v>14.199999999999818</v>
      </c>
      <c r="G3" s="1816">
        <f>D3-C3</f>
        <v>-17</v>
      </c>
      <c r="H3" s="1754">
        <v>3992</v>
      </c>
      <c r="I3" s="1754">
        <f>4052.4-I4</f>
        <v>4006.27</v>
      </c>
      <c r="J3" s="1754">
        <v>3762.2</v>
      </c>
      <c r="K3" s="1754">
        <f>H3-I3</f>
        <v>-14.269999999999982</v>
      </c>
      <c r="L3" s="1754">
        <f>J3-H3</f>
        <v>-229.80000000000018</v>
      </c>
      <c r="M3" s="1754">
        <f>J3-I3</f>
        <v>-244.07000000000016</v>
      </c>
    </row>
    <row r="4" spans="1:13" x14ac:dyDescent="0.2">
      <c r="A4" s="1748" t="s">
        <v>25</v>
      </c>
      <c r="B4" s="1751">
        <v>25</v>
      </c>
      <c r="C4" s="1751">
        <v>46</v>
      </c>
      <c r="D4" s="1751">
        <f>'объемы ВС и ВО 2023'!K51</f>
        <v>49.8</v>
      </c>
      <c r="E4" s="1816">
        <f t="shared" ref="E4:E6" si="0">C4-B4</f>
        <v>21</v>
      </c>
      <c r="F4" s="1816">
        <f t="shared" ref="F4:F6" si="1">D4-B4</f>
        <v>24.799999999999997</v>
      </c>
      <c r="G4" s="1816">
        <f t="shared" ref="G4:G6" si="2">D4-C4</f>
        <v>3.7999999999999972</v>
      </c>
      <c r="H4" s="1754">
        <v>46.13</v>
      </c>
      <c r="I4" s="1751">
        <v>46.13</v>
      </c>
      <c r="J4" s="1751">
        <v>18.22</v>
      </c>
      <c r="K4" s="1754">
        <f t="shared" ref="K4:K6" si="3">H4-I4</f>
        <v>0</v>
      </c>
      <c r="L4" s="1754">
        <f t="shared" ref="L4:L6" si="4">J4-H4</f>
        <v>-27.910000000000004</v>
      </c>
      <c r="M4" s="1754">
        <f t="shared" ref="M4:M6" si="5">J4-I4</f>
        <v>-27.910000000000004</v>
      </c>
    </row>
    <row r="5" spans="1:13" x14ac:dyDescent="0.2">
      <c r="A5" s="1748" t="s">
        <v>47</v>
      </c>
      <c r="B5" s="1751">
        <f>3600-28</f>
        <v>3572</v>
      </c>
      <c r="C5" s="1751">
        <f>3672.7-28</f>
        <v>3644.7</v>
      </c>
      <c r="D5" s="1816">
        <f>'объемы ВС и ВО 2023'!K63-30.2</f>
        <v>3446</v>
      </c>
      <c r="E5" s="1816">
        <f t="shared" si="0"/>
        <v>72.699999999999818</v>
      </c>
      <c r="F5" s="1816">
        <f t="shared" si="1"/>
        <v>-126</v>
      </c>
      <c r="G5" s="1816">
        <f t="shared" si="2"/>
        <v>-198.69999999999982</v>
      </c>
      <c r="H5" s="1754">
        <f>3672-28</f>
        <v>3644</v>
      </c>
      <c r="I5" s="1754">
        <v>3644.7</v>
      </c>
      <c r="J5" s="1751">
        <v>3186.57</v>
      </c>
      <c r="K5" s="1754">
        <f t="shared" si="3"/>
        <v>-0.6999999999998181</v>
      </c>
      <c r="L5" s="1754">
        <f t="shared" si="4"/>
        <v>-457.42999999999984</v>
      </c>
      <c r="M5" s="1754">
        <f t="shared" si="5"/>
        <v>-458.12999999999965</v>
      </c>
    </row>
    <row r="6" spans="1:13" x14ac:dyDescent="0.2">
      <c r="A6" s="1748" t="s">
        <v>1550</v>
      </c>
      <c r="B6" s="1751">
        <v>28</v>
      </c>
      <c r="C6" s="1751">
        <v>28</v>
      </c>
      <c r="D6" s="1751">
        <v>30.2</v>
      </c>
      <c r="E6" s="1816">
        <f t="shared" si="0"/>
        <v>0</v>
      </c>
      <c r="F6" s="1816">
        <f t="shared" si="1"/>
        <v>2.1999999999999993</v>
      </c>
      <c r="G6" s="1816">
        <f t="shared" si="2"/>
        <v>2.1999999999999993</v>
      </c>
      <c r="H6" s="1751">
        <v>28</v>
      </c>
      <c r="I6" s="1751">
        <v>28</v>
      </c>
      <c r="J6" s="1751">
        <v>23.38</v>
      </c>
      <c r="K6" s="1754">
        <f t="shared" si="3"/>
        <v>0</v>
      </c>
      <c r="L6" s="1754">
        <f t="shared" si="4"/>
        <v>-4.620000000000001</v>
      </c>
      <c r="M6" s="1754">
        <f t="shared" si="5"/>
        <v>-4.620000000000001</v>
      </c>
    </row>
    <row r="7" spans="1:13" x14ac:dyDescent="0.2">
      <c r="A7" s="1748" t="s">
        <v>1590</v>
      </c>
      <c r="B7" s="1748"/>
      <c r="C7" s="1748"/>
      <c r="D7" s="1748"/>
      <c r="E7" s="1748"/>
      <c r="F7" s="1748"/>
      <c r="G7" s="1748"/>
      <c r="H7" s="1748"/>
      <c r="I7" s="1748"/>
      <c r="J7" s="1748"/>
      <c r="K7" s="1748"/>
      <c r="L7" s="1748"/>
      <c r="M7" s="1748"/>
    </row>
    <row r="8" spans="1:13" x14ac:dyDescent="0.2">
      <c r="A8" s="1748" t="s">
        <v>1584</v>
      </c>
      <c r="B8" s="1751"/>
      <c r="C8" s="1751">
        <v>30.76</v>
      </c>
      <c r="D8" s="1816"/>
      <c r="E8" s="1816"/>
      <c r="F8" s="1816"/>
      <c r="G8" s="1816">
        <f>C8*G3</f>
        <v>-522.92000000000007</v>
      </c>
      <c r="H8" s="1754"/>
      <c r="I8" s="1754">
        <v>30.76</v>
      </c>
      <c r="J8" s="1754"/>
      <c r="K8" s="1754">
        <f>I8*K3</f>
        <v>-438.94519999999949</v>
      </c>
      <c r="L8" s="1754">
        <f>I8*L3</f>
        <v>-7068.6480000000056</v>
      </c>
      <c r="M8" s="1754">
        <f>I8*M3</f>
        <v>-7507.5932000000057</v>
      </c>
    </row>
    <row r="9" spans="1:13" x14ac:dyDescent="0.2">
      <c r="A9" s="1748" t="s">
        <v>25</v>
      </c>
      <c r="B9" s="1751"/>
      <c r="C9" s="1751">
        <v>19.260000000000002</v>
      </c>
      <c r="D9" s="1751"/>
      <c r="E9" s="1816"/>
      <c r="F9" s="1816"/>
      <c r="G9" s="1816"/>
      <c r="H9" s="1754"/>
      <c r="I9" s="1751">
        <v>18.84</v>
      </c>
      <c r="J9" s="1751"/>
      <c r="K9" s="1754">
        <f t="shared" ref="K9:K11" si="6">I9*K4</f>
        <v>0</v>
      </c>
      <c r="L9" s="1754">
        <f t="shared" ref="L9:L11" si="7">I9*L4</f>
        <v>-525.82440000000008</v>
      </c>
      <c r="M9" s="1754">
        <f t="shared" ref="M9:M11" si="8">I9*M4</f>
        <v>-525.82440000000008</v>
      </c>
    </row>
    <row r="10" spans="1:13" x14ac:dyDescent="0.2">
      <c r="A10" s="1748" t="s">
        <v>47</v>
      </c>
      <c r="B10" s="1751"/>
      <c r="C10" s="1751">
        <v>21.08</v>
      </c>
      <c r="D10" s="1816"/>
      <c r="E10" s="1816"/>
      <c r="F10" s="1816"/>
      <c r="G10" s="1816">
        <f>C10*G5</f>
        <v>-4188.5959999999959</v>
      </c>
      <c r="H10" s="1754"/>
      <c r="I10" s="1754">
        <v>24.29</v>
      </c>
      <c r="J10" s="1751"/>
      <c r="K10" s="1754">
        <f t="shared" si="6"/>
        <v>-17.002999999995581</v>
      </c>
      <c r="L10" s="1754">
        <f t="shared" si="7"/>
        <v>-11110.974699999995</v>
      </c>
      <c r="M10" s="1754">
        <f t="shared" si="8"/>
        <v>-11127.97769999999</v>
      </c>
    </row>
    <row r="11" spans="1:13" x14ac:dyDescent="0.2">
      <c r="A11" s="1748" t="s">
        <v>1550</v>
      </c>
      <c r="B11" s="1751"/>
      <c r="C11" s="1751">
        <v>11.76</v>
      </c>
      <c r="D11" s="1751"/>
      <c r="E11" s="1816"/>
      <c r="F11" s="1816"/>
      <c r="G11" s="1816"/>
      <c r="H11" s="1751"/>
      <c r="I11" s="1751">
        <v>12.91</v>
      </c>
      <c r="J11" s="1751"/>
      <c r="K11" s="1754">
        <f t="shared" si="6"/>
        <v>0</v>
      </c>
      <c r="L11" s="1754">
        <f t="shared" si="7"/>
        <v>-59.644200000000012</v>
      </c>
      <c r="M11" s="1754">
        <f t="shared" si="8"/>
        <v>-59.644200000000012</v>
      </c>
    </row>
    <row r="12" spans="1:13" x14ac:dyDescent="0.2">
      <c r="A12" s="1748" t="s">
        <v>269</v>
      </c>
      <c r="B12" s="1748"/>
      <c r="C12" s="1748"/>
      <c r="D12" s="1748"/>
      <c r="E12" s="1748"/>
      <c r="F12" s="1748"/>
      <c r="G12" s="1748"/>
      <c r="H12" s="1748"/>
      <c r="I12" s="1748"/>
      <c r="J12" s="1748"/>
      <c r="K12" s="1748"/>
      <c r="L12" s="1748"/>
      <c r="M12" s="1748"/>
    </row>
    <row r="13" spans="1:13" x14ac:dyDescent="0.2">
      <c r="A13" s="1748" t="s">
        <v>1584</v>
      </c>
      <c r="B13" s="1751"/>
      <c r="C13" s="1751">
        <v>30.76</v>
      </c>
      <c r="D13" s="1816"/>
      <c r="E13" s="1816"/>
      <c r="F13" s="1816"/>
      <c r="G13" s="1816">
        <f>C13*G8</f>
        <v>-16085.019200000002</v>
      </c>
      <c r="H13" s="1754"/>
      <c r="I13" s="1754"/>
      <c r="J13" s="1754"/>
      <c r="K13" s="1754">
        <f>K8</f>
        <v>-438.94519999999949</v>
      </c>
      <c r="L13" s="1754">
        <f t="shared" ref="L13:M13" si="9">L8</f>
        <v>-7068.6480000000056</v>
      </c>
      <c r="M13" s="1754">
        <f t="shared" si="9"/>
        <v>-7507.5932000000057</v>
      </c>
    </row>
    <row r="14" spans="1:13" x14ac:dyDescent="0.2">
      <c r="A14" s="1748" t="s">
        <v>25</v>
      </c>
      <c r="B14" s="1751"/>
      <c r="C14" s="1751">
        <v>19.260000000000002</v>
      </c>
      <c r="D14" s="1751"/>
      <c r="E14" s="1816"/>
      <c r="F14" s="1816"/>
      <c r="G14" s="1816"/>
      <c r="H14" s="1754"/>
      <c r="I14" s="1751"/>
      <c r="J14" s="1751"/>
      <c r="K14" s="1754">
        <f t="shared" ref="K14:M14" si="10">K9</f>
        <v>0</v>
      </c>
      <c r="L14" s="1754">
        <f t="shared" si="10"/>
        <v>-525.82440000000008</v>
      </c>
      <c r="M14" s="1754">
        <f t="shared" si="10"/>
        <v>-525.82440000000008</v>
      </c>
    </row>
    <row r="15" spans="1:13" x14ac:dyDescent="0.2">
      <c r="A15" s="1748" t="s">
        <v>47</v>
      </c>
      <c r="B15" s="1751"/>
      <c r="C15" s="1751">
        <v>21.08</v>
      </c>
      <c r="D15" s="1816"/>
      <c r="E15" s="1816"/>
      <c r="F15" s="1816"/>
      <c r="G15" s="1816">
        <f>C15*G10</f>
        <v>-88295.603679999913</v>
      </c>
      <c r="H15" s="1754"/>
      <c r="I15" s="1754"/>
      <c r="J15" s="1751"/>
      <c r="K15" s="1754">
        <f t="shared" ref="K15:M15" si="11">K10</f>
        <v>-17.002999999995581</v>
      </c>
      <c r="L15" s="1754">
        <f t="shared" si="11"/>
        <v>-11110.974699999995</v>
      </c>
      <c r="M15" s="1754">
        <f t="shared" si="11"/>
        <v>-11127.97769999999</v>
      </c>
    </row>
    <row r="16" spans="1:13" x14ac:dyDescent="0.2">
      <c r="A16" s="1748" t="s">
        <v>1550</v>
      </c>
      <c r="B16" s="1751"/>
      <c r="C16" s="1751">
        <v>11.76</v>
      </c>
      <c r="D16" s="1751"/>
      <c r="E16" s="1816"/>
      <c r="F16" s="1816"/>
      <c r="G16" s="1816"/>
      <c r="H16" s="1751"/>
      <c r="I16" s="1751"/>
      <c r="J16" s="1751"/>
      <c r="K16" s="1754">
        <f t="shared" ref="K16:M16" si="12">K11</f>
        <v>0</v>
      </c>
      <c r="L16" s="1754">
        <f t="shared" si="12"/>
        <v>-59.644200000000012</v>
      </c>
      <c r="M16" s="1754">
        <f t="shared" si="12"/>
        <v>-59.644200000000012</v>
      </c>
    </row>
    <row r="17" spans="1:14" x14ac:dyDescent="0.2">
      <c r="A17" s="1748" t="s">
        <v>345</v>
      </c>
      <c r="B17" s="1669"/>
      <c r="C17" s="1669"/>
      <c r="D17" s="1669"/>
      <c r="E17" s="1669"/>
      <c r="F17" s="1669"/>
      <c r="G17" s="1669"/>
      <c r="H17" s="1748"/>
      <c r="I17" s="1748"/>
      <c r="J17" s="1748"/>
      <c r="K17" s="1750">
        <f>K13+K14</f>
        <v>-438.94519999999949</v>
      </c>
      <c r="L17" s="1750">
        <f t="shared" ref="L17:M17" si="13">L13+L14</f>
        <v>-7594.472400000006</v>
      </c>
      <c r="M17" s="1750">
        <f t="shared" si="13"/>
        <v>-8033.4176000000061</v>
      </c>
      <c r="N17" s="1650"/>
    </row>
    <row r="18" spans="1:14" x14ac:dyDescent="0.2">
      <c r="A18" s="1748" t="s">
        <v>335</v>
      </c>
      <c r="B18" s="1669"/>
      <c r="C18" s="1669"/>
      <c r="D18" s="1669"/>
      <c r="E18" s="1669"/>
      <c r="F18" s="1669"/>
      <c r="G18" s="1669"/>
      <c r="H18" s="1748"/>
      <c r="I18" s="1748"/>
      <c r="J18" s="1748"/>
      <c r="K18" s="1750">
        <f>K15+K16</f>
        <v>-17.002999999995581</v>
      </c>
      <c r="L18" s="1750">
        <f t="shared" ref="L18:M18" si="14">L15+L16</f>
        <v>-11170.618899999996</v>
      </c>
      <c r="M18" s="1750">
        <f t="shared" si="14"/>
        <v>-11187.621899999991</v>
      </c>
      <c r="N18" s="1650"/>
    </row>
    <row r="20" spans="1:14" x14ac:dyDescent="0.2">
      <c r="A20" s="5144" t="s">
        <v>1591</v>
      </c>
      <c r="B20" s="1748"/>
      <c r="C20" s="1748"/>
      <c r="D20" s="1748"/>
      <c r="E20" s="1748"/>
      <c r="F20" s="1748"/>
      <c r="G20" s="1748"/>
      <c r="H20" s="5154" t="s">
        <v>362</v>
      </c>
      <c r="I20" s="5154"/>
      <c r="J20" s="5154"/>
      <c r="K20" s="5154"/>
      <c r="L20" s="5154"/>
      <c r="M20" s="5154"/>
    </row>
    <row r="21" spans="1:14" ht="38.25" x14ac:dyDescent="0.2">
      <c r="A21" s="5144"/>
      <c r="B21" s="1748"/>
      <c r="C21" s="1748"/>
      <c r="D21" s="1748"/>
      <c r="E21" s="1748"/>
      <c r="F21" s="1748"/>
      <c r="G21" s="1748"/>
      <c r="H21" s="1673" t="s">
        <v>1586</v>
      </c>
      <c r="I21" s="1673" t="s">
        <v>1585</v>
      </c>
      <c r="J21" s="1673" t="s">
        <v>60</v>
      </c>
      <c r="K21" s="1673" t="s">
        <v>1589</v>
      </c>
      <c r="L21" s="1673" t="s">
        <v>1588</v>
      </c>
      <c r="M21" s="1673" t="s">
        <v>1587</v>
      </c>
    </row>
    <row r="22" spans="1:14" x14ac:dyDescent="0.2">
      <c r="A22" s="1673" t="s">
        <v>345</v>
      </c>
      <c r="B22" s="1748"/>
      <c r="C22" s="1748"/>
      <c r="D22" s="1748"/>
      <c r="E22" s="1748"/>
      <c r="F22" s="1748"/>
      <c r="G22" s="1748"/>
      <c r="H22" s="1673"/>
      <c r="I22" s="1673"/>
      <c r="J22" s="1673"/>
      <c r="K22" s="1673"/>
      <c r="L22" s="1673"/>
      <c r="M22" s="1673"/>
    </row>
    <row r="23" spans="1:14" x14ac:dyDescent="0.2">
      <c r="A23" s="1748" t="s">
        <v>2</v>
      </c>
      <c r="B23" s="1748"/>
      <c r="C23" s="1748"/>
      <c r="D23" s="1748"/>
      <c r="E23" s="1748"/>
      <c r="F23" s="1748"/>
      <c r="G23" s="1748"/>
      <c r="H23" s="1751"/>
      <c r="I23" s="1751"/>
      <c r="J23" s="1751"/>
      <c r="K23" s="1751"/>
      <c r="L23" s="1751"/>
      <c r="M23" s="1751"/>
    </row>
    <row r="24" spans="1:14" x14ac:dyDescent="0.2">
      <c r="A24" s="1748" t="s">
        <v>1592</v>
      </c>
      <c r="B24" s="1748"/>
      <c r="C24" s="1748"/>
      <c r="D24" s="1748"/>
      <c r="E24" s="1748"/>
      <c r="F24" s="1748"/>
      <c r="G24" s="1748"/>
      <c r="H24" s="1751"/>
      <c r="I24" s="1751"/>
      <c r="J24" s="1751"/>
      <c r="K24" s="1751"/>
      <c r="L24" s="1751"/>
      <c r="M24" s="1751"/>
    </row>
    <row r="25" spans="1:14" x14ac:dyDescent="0.2">
      <c r="A25" s="1748" t="s">
        <v>8</v>
      </c>
      <c r="B25" s="1748"/>
      <c r="C25" s="1748"/>
      <c r="D25" s="1748"/>
      <c r="E25" s="1748"/>
      <c r="F25" s="1748"/>
      <c r="G25" s="1748"/>
      <c r="H25" s="1751"/>
      <c r="I25" s="1751"/>
      <c r="J25" s="1751"/>
      <c r="K25" s="1751"/>
      <c r="L25" s="1751"/>
      <c r="M25" s="1751"/>
    </row>
    <row r="26" spans="1:14" x14ac:dyDescent="0.2">
      <c r="A26" s="1748" t="s">
        <v>1</v>
      </c>
      <c r="B26" s="1748"/>
      <c r="C26" s="1748"/>
      <c r="D26" s="1748"/>
      <c r="E26" s="1748"/>
      <c r="F26" s="1748"/>
      <c r="G26" s="1748"/>
      <c r="H26" s="1751"/>
      <c r="I26" s="1751"/>
      <c r="J26" s="1751"/>
      <c r="K26" s="1751"/>
      <c r="L26" s="1751"/>
      <c r="M26" s="1751"/>
    </row>
    <row r="27" spans="1:14" x14ac:dyDescent="0.2">
      <c r="A27" s="1748"/>
      <c r="B27" s="1748"/>
      <c r="C27" s="1748"/>
      <c r="D27" s="1748"/>
      <c r="E27" s="1748"/>
      <c r="F27" s="1748"/>
      <c r="G27" s="1748"/>
      <c r="H27" s="1751"/>
      <c r="I27" s="1751"/>
      <c r="J27" s="1751"/>
      <c r="K27" s="1751"/>
      <c r="L27" s="1751"/>
      <c r="M27" s="1751"/>
    </row>
    <row r="28" spans="1:14" x14ac:dyDescent="0.2">
      <c r="A28" s="1748"/>
      <c r="B28" s="1748"/>
      <c r="C28" s="1748"/>
      <c r="D28" s="1748"/>
      <c r="E28" s="1748"/>
      <c r="F28" s="1748"/>
      <c r="G28" s="1748"/>
      <c r="H28" s="1751"/>
      <c r="I28" s="1751"/>
      <c r="J28" s="1751"/>
      <c r="K28" s="1751"/>
      <c r="L28" s="1751"/>
      <c r="M28" s="1751"/>
    </row>
    <row r="29" spans="1:14" x14ac:dyDescent="0.2">
      <c r="A29" s="1748"/>
      <c r="B29" s="1748"/>
      <c r="C29" s="1748"/>
      <c r="D29" s="1748"/>
      <c r="E29" s="1748"/>
      <c r="F29" s="1748"/>
      <c r="G29" s="1748"/>
      <c r="H29" s="1751"/>
      <c r="I29" s="1751"/>
      <c r="J29" s="1751"/>
      <c r="K29" s="1751"/>
      <c r="L29" s="1751"/>
      <c r="M29" s="1751"/>
    </row>
    <row r="30" spans="1:14" x14ac:dyDescent="0.2">
      <c r="A30" s="1748"/>
      <c r="B30" s="1748"/>
      <c r="C30" s="1748"/>
      <c r="D30" s="1748"/>
      <c r="E30" s="1748"/>
      <c r="F30" s="1748"/>
      <c r="G30" s="1748"/>
      <c r="H30" s="1751"/>
      <c r="I30" s="1751"/>
      <c r="J30" s="1751"/>
      <c r="K30" s="1751"/>
      <c r="L30" s="1751"/>
      <c r="M30" s="1751"/>
    </row>
    <row r="31" spans="1:14" x14ac:dyDescent="0.2">
      <c r="A31" s="1748"/>
      <c r="B31" s="1748"/>
      <c r="C31" s="1748"/>
      <c r="D31" s="1748"/>
      <c r="E31" s="1748"/>
      <c r="F31" s="1748"/>
      <c r="G31" s="1748"/>
      <c r="H31" s="1751"/>
      <c r="I31" s="1751"/>
      <c r="J31" s="1751"/>
      <c r="K31" s="1751"/>
      <c r="L31" s="1751"/>
      <c r="M31" s="1751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5156" t="s">
        <v>1811</v>
      </c>
      <c r="B3" s="5156"/>
      <c r="C3" s="5156"/>
      <c r="D3" s="5156"/>
      <c r="E3" s="5156"/>
      <c r="F3" s="5156"/>
      <c r="G3" s="5156"/>
      <c r="H3" s="5156"/>
    </row>
    <row r="4" spans="1:8" ht="15.75" thickBot="1" x14ac:dyDescent="0.3">
      <c r="A4" s="5132" t="s">
        <v>1794</v>
      </c>
      <c r="B4" s="5132"/>
      <c r="C4" s="5132"/>
      <c r="D4" s="5132"/>
      <c r="E4" s="5132"/>
      <c r="F4" s="5132"/>
      <c r="G4" s="5132"/>
      <c r="H4" s="5132"/>
    </row>
    <row r="5" spans="1:8" x14ac:dyDescent="0.2">
      <c r="A5" s="5126" t="s">
        <v>1718</v>
      </c>
      <c r="B5" s="5133" t="s">
        <v>1719</v>
      </c>
      <c r="C5" s="5135" t="s">
        <v>1720</v>
      </c>
      <c r="D5" s="5133" t="s">
        <v>1721</v>
      </c>
      <c r="E5" s="5137"/>
      <c r="F5" s="5138" t="s">
        <v>1722</v>
      </c>
      <c r="G5" s="5133" t="s">
        <v>1723</v>
      </c>
      <c r="H5" s="5140" t="s">
        <v>1708</v>
      </c>
    </row>
    <row r="6" spans="1:8" ht="13.5" thickBot="1" x14ac:dyDescent="0.25">
      <c r="A6" s="5127"/>
      <c r="B6" s="5134"/>
      <c r="C6" s="5136"/>
      <c r="D6" s="2059" t="s">
        <v>1563</v>
      </c>
      <c r="E6" s="1943" t="s">
        <v>60</v>
      </c>
      <c r="F6" s="5139"/>
      <c r="G6" s="5134"/>
      <c r="H6" s="5141"/>
    </row>
    <row r="7" spans="1:8" ht="88.5" customHeight="1" x14ac:dyDescent="0.2">
      <c r="A7" s="5126" t="s">
        <v>1724</v>
      </c>
      <c r="B7" s="1944" t="s">
        <v>1725</v>
      </c>
      <c r="C7" s="2058" t="s">
        <v>44</v>
      </c>
      <c r="D7" s="1946">
        <v>8</v>
      </c>
      <c r="E7" s="2084">
        <v>8</v>
      </c>
      <c r="F7" s="1948">
        <f>1/D18</f>
        <v>0.33333333333333331</v>
      </c>
      <c r="G7" s="1949">
        <f>IF(D7/E7&gt;1,1,D7/E7)</f>
        <v>1</v>
      </c>
      <c r="H7" s="1950">
        <f t="shared" ref="H7:H12" si="0">F7*G7</f>
        <v>0.33333333333333331</v>
      </c>
    </row>
    <row r="8" spans="1:8" ht="54.75" customHeight="1" thickBot="1" x14ac:dyDescent="0.25">
      <c r="A8" s="5127"/>
      <c r="B8" s="1984" t="s">
        <v>1726</v>
      </c>
      <c r="C8" s="2059" t="s">
        <v>44</v>
      </c>
      <c r="D8" s="1952">
        <v>40.5</v>
      </c>
      <c r="E8" s="1953">
        <v>40.5</v>
      </c>
      <c r="F8" s="1954">
        <f>F7</f>
        <v>0.33333333333333331</v>
      </c>
      <c r="G8" s="1949">
        <f>IF(D8/E8&gt;1,1,D8/E8)</f>
        <v>1</v>
      </c>
      <c r="H8" s="1950">
        <f t="shared" si="0"/>
        <v>0.33333333333333331</v>
      </c>
    </row>
    <row r="9" spans="1:8" ht="68.25" customHeight="1" x14ac:dyDescent="0.2">
      <c r="A9" s="5126" t="s">
        <v>1727</v>
      </c>
      <c r="B9" s="1957" t="s">
        <v>1728</v>
      </c>
      <c r="C9" s="2058" t="s">
        <v>1729</v>
      </c>
      <c r="D9" s="1946">
        <v>0.37</v>
      </c>
      <c r="E9" s="2215">
        <v>0.48</v>
      </c>
      <c r="F9" s="1958">
        <f>F8</f>
        <v>0.33333333333333331</v>
      </c>
      <c r="G9" s="1985">
        <f>IF(D9/E9&gt;1,1,D9/E9)</f>
        <v>0.77083333333333337</v>
      </c>
      <c r="H9" s="1960">
        <f t="shared" si="0"/>
        <v>0.25694444444444442</v>
      </c>
    </row>
    <row r="10" spans="1:8" ht="32.25" customHeight="1" thickBot="1" x14ac:dyDescent="0.25">
      <c r="A10" s="5127"/>
      <c r="B10" s="1984" t="s">
        <v>2010</v>
      </c>
      <c r="C10" s="2059" t="s">
        <v>1729</v>
      </c>
      <c r="D10" s="1952">
        <v>10.7</v>
      </c>
      <c r="E10" s="2216">
        <v>10.81</v>
      </c>
      <c r="F10" s="1954">
        <f>1/D19</f>
        <v>0.33333333333333331</v>
      </c>
      <c r="G10" s="1986">
        <f>IF(D10/E10&gt;1,1,D10/E10)</f>
        <v>0.98982423681776122</v>
      </c>
      <c r="H10" s="1956">
        <f t="shared" si="0"/>
        <v>0.32994141227258705</v>
      </c>
    </row>
    <row r="11" spans="1:8" ht="40.5" customHeight="1" x14ac:dyDescent="0.2">
      <c r="A11" s="5126" t="s">
        <v>1731</v>
      </c>
      <c r="B11" s="1944" t="s">
        <v>1732</v>
      </c>
      <c r="C11" s="2058" t="s">
        <v>44</v>
      </c>
      <c r="D11" s="1946">
        <v>0</v>
      </c>
      <c r="E11" s="1947">
        <v>0</v>
      </c>
      <c r="F11" s="1958">
        <f>F10</f>
        <v>0.33333333333333331</v>
      </c>
      <c r="G11" s="1959">
        <v>1</v>
      </c>
      <c r="H11" s="1960">
        <f t="shared" si="0"/>
        <v>0.33333333333333331</v>
      </c>
    </row>
    <row r="12" spans="1:8" ht="33.75" customHeight="1" thickBot="1" x14ac:dyDescent="0.25">
      <c r="A12" s="5127"/>
      <c r="B12" s="1951" t="s">
        <v>1733</v>
      </c>
      <c r="C12" s="2059" t="s">
        <v>44</v>
      </c>
      <c r="D12" s="1952">
        <v>100</v>
      </c>
      <c r="E12" s="2085">
        <v>100</v>
      </c>
      <c r="F12" s="1954">
        <f>F11</f>
        <v>0.33333333333333331</v>
      </c>
      <c r="G12" s="1955">
        <f>IF(D12/E12&gt;1,1,D12/E12)</f>
        <v>1</v>
      </c>
      <c r="H12" s="1956">
        <f t="shared" si="0"/>
        <v>0.33333333333333331</v>
      </c>
    </row>
    <row r="13" spans="1:8" ht="38.25" customHeight="1" x14ac:dyDescent="0.2">
      <c r="A13" s="5126" t="s">
        <v>1734</v>
      </c>
      <c r="B13" s="1957" t="s">
        <v>1735</v>
      </c>
      <c r="C13" s="2058" t="s">
        <v>44</v>
      </c>
      <c r="D13" s="1946">
        <v>19.7</v>
      </c>
      <c r="E13" s="1947">
        <v>31.82</v>
      </c>
      <c r="F13" s="1948">
        <v>0</v>
      </c>
      <c r="G13" s="1987">
        <f>IF(D13/E13&gt;1,1,D13/E13)</f>
        <v>0.61910747957259582</v>
      </c>
      <c r="H13" s="1950"/>
    </row>
    <row r="14" spans="1:8" ht="38.25" customHeight="1" x14ac:dyDescent="0.2">
      <c r="A14" s="5128"/>
      <c r="B14" s="1676" t="s">
        <v>1738</v>
      </c>
      <c r="C14" s="2064" t="s">
        <v>1736</v>
      </c>
      <c r="D14" s="1982">
        <v>0.124</v>
      </c>
      <c r="E14" s="1983">
        <v>0.13</v>
      </c>
      <c r="F14" s="1948"/>
      <c r="G14" s="1961"/>
      <c r="H14" s="1950"/>
    </row>
    <row r="15" spans="1:8" ht="40.5" customHeight="1" x14ac:dyDescent="0.2">
      <c r="A15" s="5129"/>
      <c r="B15" s="1676" t="s">
        <v>1739</v>
      </c>
      <c r="C15" s="2064" t="s">
        <v>1736</v>
      </c>
      <c r="D15" s="1851">
        <v>0.24199999999999999</v>
      </c>
      <c r="E15" s="1962">
        <v>0.28799999999999998</v>
      </c>
      <c r="F15" s="1963">
        <v>0</v>
      </c>
      <c r="G15" s="1964"/>
      <c r="H15" s="1965"/>
    </row>
    <row r="16" spans="1:8" ht="40.5" customHeight="1" x14ac:dyDescent="0.2">
      <c r="A16" s="5130"/>
      <c r="B16" s="1966" t="s">
        <v>1737</v>
      </c>
      <c r="C16" s="2064" t="s">
        <v>1736</v>
      </c>
      <c r="D16" s="1967">
        <v>0.42</v>
      </c>
      <c r="E16" s="1968">
        <v>0.6</v>
      </c>
      <c r="F16" s="1969"/>
      <c r="G16" s="1970"/>
      <c r="H16" s="1971"/>
    </row>
    <row r="17" spans="1:8" ht="42.75" customHeight="1" thickBot="1" x14ac:dyDescent="0.25">
      <c r="A17" s="5130"/>
      <c r="B17" s="1966" t="s">
        <v>1740</v>
      </c>
      <c r="C17" s="2062" t="s">
        <v>1736</v>
      </c>
      <c r="D17" s="1967">
        <v>8.4000000000000005E-2</v>
      </c>
      <c r="E17" s="1968">
        <v>0.11</v>
      </c>
      <c r="F17" s="1969">
        <v>0</v>
      </c>
      <c r="G17" s="1970"/>
      <c r="H17" s="1971"/>
    </row>
    <row r="18" spans="1:8" x14ac:dyDescent="0.2">
      <c r="A18" s="1972"/>
      <c r="B18" s="1973"/>
      <c r="C18" s="1973" t="s">
        <v>286</v>
      </c>
      <c r="D18" s="1973">
        <v>3</v>
      </c>
      <c r="E18" s="1973"/>
      <c r="F18" s="1974">
        <f>F7+F8+F9</f>
        <v>1</v>
      </c>
      <c r="G18" s="1975"/>
      <c r="H18" s="2214">
        <f>H7+H8+H9</f>
        <v>0.92361111111111105</v>
      </c>
    </row>
    <row r="19" spans="1:8" ht="13.5" thickBot="1" x14ac:dyDescent="0.25">
      <c r="A19" s="1977"/>
      <c r="B19" s="1978"/>
      <c r="C19" s="1978" t="s">
        <v>314</v>
      </c>
      <c r="D19" s="1978">
        <v>3</v>
      </c>
      <c r="E19" s="1978"/>
      <c r="F19" s="1979">
        <f>F10+F11+F12</f>
        <v>1</v>
      </c>
      <c r="G19" s="1980"/>
      <c r="H19" s="2213">
        <f>H10+H11+H12</f>
        <v>0.99660807893925374</v>
      </c>
    </row>
    <row r="23" spans="1:8" x14ac:dyDescent="0.2">
      <c r="B23" s="5" t="s">
        <v>366</v>
      </c>
      <c r="C23" s="5"/>
      <c r="D23" s="5"/>
    </row>
    <row r="24" spans="1:8" ht="28.5" x14ac:dyDescent="0.2">
      <c r="B24" s="2072" t="s">
        <v>1812</v>
      </c>
      <c r="C24" s="1988">
        <f>C25*C27*C28*C29</f>
        <v>2860.2146527550749</v>
      </c>
      <c r="D24" s="2061"/>
    </row>
    <row r="25" spans="1:8" ht="14.25" x14ac:dyDescent="0.2">
      <c r="B25" s="1989" t="s">
        <v>1742</v>
      </c>
      <c r="C25" s="1990">
        <f>2/100</f>
        <v>0.02</v>
      </c>
      <c r="D25" s="2057" t="s">
        <v>1815</v>
      </c>
    </row>
    <row r="26" spans="1:8" x14ac:dyDescent="0.2">
      <c r="B26" s="1989" t="s">
        <v>1744</v>
      </c>
      <c r="C26" s="1990">
        <f>IF(1-H54&gt;1/100,1/100,1-H54)</f>
        <v>0.01</v>
      </c>
      <c r="D26" s="2057"/>
    </row>
    <row r="27" spans="1:8" ht="25.5" x14ac:dyDescent="0.2">
      <c r="B27" s="1989" t="s">
        <v>1813</v>
      </c>
      <c r="C27" s="1990">
        <f>'вода 2019-2023 коррект'!K11</f>
        <v>132731.59938646757</v>
      </c>
      <c r="D27" s="2057" t="s">
        <v>1816</v>
      </c>
    </row>
    <row r="28" spans="1:8" ht="14.25" x14ac:dyDescent="0.2">
      <c r="B28" s="1989" t="s">
        <v>1747</v>
      </c>
      <c r="C28" s="1991">
        <v>1.0389999999999999</v>
      </c>
      <c r="D28" s="2057"/>
    </row>
    <row r="29" spans="1:8" ht="14.25" x14ac:dyDescent="0.2">
      <c r="B29" s="1989" t="s">
        <v>1814</v>
      </c>
      <c r="C29" s="1992">
        <v>1.0369999999999999</v>
      </c>
      <c r="D29" s="1993"/>
    </row>
    <row r="30" spans="1:8" x14ac:dyDescent="0.2">
      <c r="B30" s="5" t="s">
        <v>47</v>
      </c>
      <c r="C30" s="5"/>
      <c r="D30" s="5"/>
    </row>
    <row r="31" spans="1:8" ht="28.5" x14ac:dyDescent="0.2">
      <c r="B31" s="2072" t="s">
        <v>1812</v>
      </c>
      <c r="C31" s="1988">
        <f>C33*C34*C35*C36</f>
        <v>969.01570224930151</v>
      </c>
      <c r="D31" s="2061"/>
    </row>
    <row r="32" spans="1:8" ht="14.25" x14ac:dyDescent="0.2">
      <c r="B32" s="1989" t="s">
        <v>1742</v>
      </c>
      <c r="C32" s="1990">
        <f>1/100</f>
        <v>0.01</v>
      </c>
      <c r="D32" s="2057" t="s">
        <v>1815</v>
      </c>
    </row>
    <row r="33" spans="2:4" x14ac:dyDescent="0.2">
      <c r="B33" s="1989" t="s">
        <v>1744</v>
      </c>
      <c r="C33" s="1990">
        <f>IF(1-H61&gt;1/100,1/100,1-H61)</f>
        <v>0.01</v>
      </c>
      <c r="D33" s="2057"/>
    </row>
    <row r="34" spans="2:4" ht="25.5" x14ac:dyDescent="0.2">
      <c r="B34" s="1989" t="s">
        <v>1813</v>
      </c>
      <c r="C34" s="1990">
        <f>'стоки 2019-2023'!K9</f>
        <v>89936.60938437593</v>
      </c>
      <c r="D34" s="2057" t="s">
        <v>1816</v>
      </c>
    </row>
    <row r="35" spans="2:4" ht="14.25" x14ac:dyDescent="0.2">
      <c r="B35" s="1989" t="s">
        <v>1747</v>
      </c>
      <c r="C35" s="1991">
        <v>1.0389999999999999</v>
      </c>
      <c r="D35" s="2057"/>
    </row>
    <row r="36" spans="2:4" ht="14.25" x14ac:dyDescent="0.2">
      <c r="B36" s="1989" t="s">
        <v>1814</v>
      </c>
      <c r="C36" s="1992">
        <v>1.0369999999999999</v>
      </c>
      <c r="D36" s="1993"/>
    </row>
    <row r="38" spans="2:4" x14ac:dyDescent="0.2">
      <c r="B38" s="5" t="s">
        <v>25</v>
      </c>
      <c r="C38" s="5"/>
      <c r="D38" s="5"/>
    </row>
    <row r="39" spans="2:4" ht="28.5" x14ac:dyDescent="0.2">
      <c r="B39" s="2072" t="s">
        <v>1812</v>
      </c>
      <c r="C39" s="1988">
        <v>0</v>
      </c>
      <c r="D39" s="2061"/>
    </row>
    <row r="40" spans="2:4" ht="14.25" x14ac:dyDescent="0.2">
      <c r="B40" s="1989" t="s">
        <v>1742</v>
      </c>
      <c r="C40" s="1990">
        <f>1/100</f>
        <v>0.01</v>
      </c>
      <c r="D40" s="2057" t="s">
        <v>1815</v>
      </c>
    </row>
    <row r="41" spans="2:4" x14ac:dyDescent="0.2">
      <c r="B41" s="1989" t="s">
        <v>1744</v>
      </c>
      <c r="C41" s="1990">
        <f>IF(1-H69&gt;1/100,1/100,1-H69)</f>
        <v>0.01</v>
      </c>
      <c r="D41" s="2057"/>
    </row>
    <row r="42" spans="2:4" ht="25.5" x14ac:dyDescent="0.2">
      <c r="B42" s="1989" t="s">
        <v>1813</v>
      </c>
      <c r="C42" s="1990">
        <v>0</v>
      </c>
      <c r="D42" s="2057" t="s">
        <v>1816</v>
      </c>
    </row>
    <row r="43" spans="2:4" ht="14.25" x14ac:dyDescent="0.2">
      <c r="B43" s="1989" t="s">
        <v>1747</v>
      </c>
      <c r="C43" s="1991">
        <v>1.0389999999999999</v>
      </c>
      <c r="D43" s="2057"/>
    </row>
    <row r="44" spans="2:4" ht="14.25" x14ac:dyDescent="0.2">
      <c r="B44" s="1989" t="s">
        <v>1814</v>
      </c>
      <c r="C44" s="1992">
        <v>1.0369999999999999</v>
      </c>
      <c r="D44" s="199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92">
    <pageSetUpPr fitToPage="1"/>
  </sheetPr>
  <dimension ref="A1:L25"/>
  <sheetViews>
    <sheetView workbookViewId="0">
      <selection activeCell="O8" sqref="O8"/>
    </sheetView>
  </sheetViews>
  <sheetFormatPr defaultRowHeight="15" x14ac:dyDescent="0.25"/>
  <cols>
    <col min="1" max="12" width="17.7109375" style="2985" customWidth="1"/>
    <col min="13" max="16384" width="9.140625" style="2985"/>
  </cols>
  <sheetData>
    <row r="1" spans="1:12" ht="26.25" x14ac:dyDescent="0.4">
      <c r="A1" s="5157" t="s">
        <v>4251</v>
      </c>
      <c r="B1" s="5157"/>
      <c r="C1" s="5158"/>
      <c r="D1" s="5158"/>
      <c r="E1" s="5158"/>
      <c r="F1" s="5158"/>
      <c r="G1" s="5158"/>
      <c r="H1" s="5158"/>
      <c r="I1" s="5158"/>
      <c r="J1" s="4910"/>
      <c r="K1" s="4910"/>
      <c r="L1" s="4910"/>
    </row>
    <row r="2" spans="1:12" x14ac:dyDescent="0.25">
      <c r="A2" s="2986"/>
      <c r="B2" s="2986"/>
      <c r="C2" s="2986"/>
      <c r="D2" s="2986"/>
      <c r="E2" s="2986"/>
      <c r="F2" s="2986"/>
      <c r="G2" s="2986"/>
      <c r="H2" s="2986"/>
      <c r="I2" s="3006"/>
      <c r="L2" s="3006" t="s">
        <v>55</v>
      </c>
    </row>
    <row r="3" spans="1:12" ht="46.7" customHeight="1" x14ac:dyDescent="0.25">
      <c r="A3" s="3007" t="s">
        <v>3830</v>
      </c>
      <c r="B3" s="3007" t="s">
        <v>614</v>
      </c>
      <c r="C3" s="3007" t="s">
        <v>345</v>
      </c>
      <c r="D3" s="3008" t="s">
        <v>3831</v>
      </c>
      <c r="E3" s="3007" t="s">
        <v>614</v>
      </c>
      <c r="F3" s="3007" t="s">
        <v>335</v>
      </c>
      <c r="G3" s="3008" t="s">
        <v>3802</v>
      </c>
      <c r="H3" s="3007" t="s">
        <v>3634</v>
      </c>
      <c r="I3" s="3008" t="s">
        <v>3832</v>
      </c>
      <c r="J3" s="3009" t="s">
        <v>3827</v>
      </c>
      <c r="K3" s="3008" t="s">
        <v>3828</v>
      </c>
      <c r="L3" s="3007" t="s">
        <v>614</v>
      </c>
    </row>
    <row r="4" spans="1:12" ht="24.95" customHeight="1" x14ac:dyDescent="0.25">
      <c r="A4" s="3010" t="s">
        <v>256</v>
      </c>
      <c r="B4" s="3029">
        <f>SUM(C4:D4)</f>
        <v>174.02828757888858</v>
      </c>
      <c r="C4" s="3029">
        <f>SUM('Прил. 1 План ФХД вода 2023'!AE36)/12</f>
        <v>174.02828757888858</v>
      </c>
      <c r="D4" s="3029">
        <f>SUM('Прил. 1 План ФХД вода 2023'!AF36)/12</f>
        <v>0</v>
      </c>
      <c r="E4" s="3029">
        <f>SUM(F4:G4)</f>
        <v>189.78776720530755</v>
      </c>
      <c r="F4" s="3029">
        <f>SUM('Прил. 1 План ФХД стоки 2023'!AF30)/12</f>
        <v>189.78776720530755</v>
      </c>
      <c r="G4" s="3029">
        <f>SUM('Прил. 1 План ФХД стоки 2023'!AG30)/12</f>
        <v>0</v>
      </c>
      <c r="H4" s="3029">
        <v>0</v>
      </c>
      <c r="I4" s="3029">
        <f>SUM(B4+E4+H4)</f>
        <v>363.81605478419613</v>
      </c>
      <c r="J4" s="3031">
        <f>SUM('Прил. 1 План ФХД трансп. воды23'!I27)/12</f>
        <v>13.748775</v>
      </c>
      <c r="K4" s="3031">
        <f>SUM('Прил.1 ПланФХД трансп. стоков23'!I23)/12</f>
        <v>44.574883333333332</v>
      </c>
      <c r="L4" s="3032">
        <f>I4+J4+K4</f>
        <v>422.13971311752948</v>
      </c>
    </row>
    <row r="5" spans="1:12" ht="24.95" customHeight="1" x14ac:dyDescent="0.25">
      <c r="A5" s="3010" t="s">
        <v>257</v>
      </c>
      <c r="B5" s="3029">
        <f t="shared" ref="B5:B6" si="0">SUM(C5:D5)</f>
        <v>174.02828757888858</v>
      </c>
      <c r="C5" s="3029">
        <f>SUM(C4)</f>
        <v>174.02828757888858</v>
      </c>
      <c r="D5" s="3029">
        <f>SUM(D4)</f>
        <v>0</v>
      </c>
      <c r="E5" s="3029">
        <f t="shared" ref="E5:E20" si="1">SUM(F5:G5)</f>
        <v>189.78776720530755</v>
      </c>
      <c r="F5" s="3029">
        <f t="shared" ref="F5:H6" si="2">SUM(F4)</f>
        <v>189.78776720530755</v>
      </c>
      <c r="G5" s="3029">
        <f t="shared" si="2"/>
        <v>0</v>
      </c>
      <c r="H5" s="3029">
        <f t="shared" si="2"/>
        <v>0</v>
      </c>
      <c r="I5" s="3029">
        <f t="shared" ref="I5:I6" si="3">SUM(B5+E5+H5)</f>
        <v>363.81605478419613</v>
      </c>
      <c r="J5" s="3029">
        <f t="shared" ref="J5:K5" si="4">SUM(J4)</f>
        <v>13.748775</v>
      </c>
      <c r="K5" s="3029">
        <f t="shared" si="4"/>
        <v>44.574883333333332</v>
      </c>
      <c r="L5" s="3032">
        <f t="shared" ref="L5:L22" si="5">I5+J5+K5</f>
        <v>422.13971311752948</v>
      </c>
    </row>
    <row r="6" spans="1:12" ht="24.95" customHeight="1" x14ac:dyDescent="0.25">
      <c r="A6" s="3010" t="s">
        <v>258</v>
      </c>
      <c r="B6" s="3029">
        <f t="shared" si="0"/>
        <v>174.02828757888858</v>
      </c>
      <c r="C6" s="3029">
        <f>SUM(C5)</f>
        <v>174.02828757888858</v>
      </c>
      <c r="D6" s="3029">
        <f>SUM(D5)</f>
        <v>0</v>
      </c>
      <c r="E6" s="3029">
        <f t="shared" si="1"/>
        <v>189.78776720530755</v>
      </c>
      <c r="F6" s="3029">
        <f t="shared" si="2"/>
        <v>189.78776720530755</v>
      </c>
      <c r="G6" s="3029">
        <f t="shared" si="2"/>
        <v>0</v>
      </c>
      <c r="H6" s="3029">
        <f t="shared" si="2"/>
        <v>0</v>
      </c>
      <c r="I6" s="3029">
        <f t="shared" si="3"/>
        <v>363.81605478419613</v>
      </c>
      <c r="J6" s="3029">
        <f t="shared" ref="J6:K6" si="6">SUM(J5)</f>
        <v>13.748775</v>
      </c>
      <c r="K6" s="3029">
        <f t="shared" si="6"/>
        <v>44.574883333333332</v>
      </c>
      <c r="L6" s="3032">
        <f t="shared" si="5"/>
        <v>422.13971311752948</v>
      </c>
    </row>
    <row r="7" spans="1:12" ht="24.95" customHeight="1" x14ac:dyDescent="0.25">
      <c r="A7" s="3011" t="s">
        <v>1559</v>
      </c>
      <c r="B7" s="3030">
        <f t="shared" ref="B7:B22" si="7">SUM(C7:D7)</f>
        <v>522.08486273666574</v>
      </c>
      <c r="C7" s="3030">
        <f>SUM(C4:C6)</f>
        <v>522.08486273666574</v>
      </c>
      <c r="D7" s="3030">
        <f>SUM(D4:D6)</f>
        <v>0</v>
      </c>
      <c r="E7" s="3030">
        <f t="shared" si="1"/>
        <v>569.36330161592264</v>
      </c>
      <c r="F7" s="3030">
        <f>SUM(F4:F6)</f>
        <v>569.36330161592264</v>
      </c>
      <c r="G7" s="3030">
        <f>SUM(G4:G6)</f>
        <v>0</v>
      </c>
      <c r="H7" s="3030">
        <f>SUM(H4:H6)</f>
        <v>0</v>
      </c>
      <c r="I7" s="3030">
        <f>SUM(B7+E7+H7)</f>
        <v>1091.4481643525883</v>
      </c>
      <c r="J7" s="3030">
        <f>SUM(J4:J6)</f>
        <v>41.246324999999999</v>
      </c>
      <c r="K7" s="3030">
        <f>SUM(K4:K6)</f>
        <v>133.72465</v>
      </c>
      <c r="L7" s="3033">
        <f t="shared" si="5"/>
        <v>1266.4191393525884</v>
      </c>
    </row>
    <row r="8" spans="1:12" ht="24.95" customHeight="1" x14ac:dyDescent="0.25">
      <c r="A8" s="3010" t="s">
        <v>259</v>
      </c>
      <c r="B8" s="3029">
        <f t="shared" si="7"/>
        <v>174.02828757888858</v>
      </c>
      <c r="C8" s="3029">
        <f>SUM(C4)</f>
        <v>174.02828757888858</v>
      </c>
      <c r="D8" s="3029">
        <f>SUM(D4)</f>
        <v>0</v>
      </c>
      <c r="E8" s="3029">
        <f t="shared" si="1"/>
        <v>189.78776720530755</v>
      </c>
      <c r="F8" s="3029">
        <f>SUM(F4)</f>
        <v>189.78776720530755</v>
      </c>
      <c r="G8" s="3029">
        <f>SUM(G4)</f>
        <v>0</v>
      </c>
      <c r="H8" s="3029">
        <f>SUM(H4)</f>
        <v>0</v>
      </c>
      <c r="I8" s="3029">
        <f t="shared" ref="I8:I22" si="8">SUM(B8+E8+H8)</f>
        <v>363.81605478419613</v>
      </c>
      <c r="J8" s="3029">
        <f>SUM(J4)</f>
        <v>13.748775</v>
      </c>
      <c r="K8" s="3029">
        <f>SUM(K4)</f>
        <v>44.574883333333332</v>
      </c>
      <c r="L8" s="3032">
        <f t="shared" si="5"/>
        <v>422.13971311752948</v>
      </c>
    </row>
    <row r="9" spans="1:12" ht="24.95" customHeight="1" x14ac:dyDescent="0.25">
      <c r="A9" s="3010" t="s">
        <v>1342</v>
      </c>
      <c r="B9" s="3029">
        <f t="shared" si="7"/>
        <v>174.02828757888858</v>
      </c>
      <c r="C9" s="3029">
        <f t="shared" ref="C9:D9" si="9">SUM(C5)</f>
        <v>174.02828757888858</v>
      </c>
      <c r="D9" s="3029">
        <f t="shared" si="9"/>
        <v>0</v>
      </c>
      <c r="E9" s="3029">
        <f t="shared" si="1"/>
        <v>189.78776720530755</v>
      </c>
      <c r="F9" s="3029">
        <f t="shared" ref="F9:H9" si="10">SUM(F5)</f>
        <v>189.78776720530755</v>
      </c>
      <c r="G9" s="3029">
        <f t="shared" si="10"/>
        <v>0</v>
      </c>
      <c r="H9" s="3029">
        <f t="shared" si="10"/>
        <v>0</v>
      </c>
      <c r="I9" s="3029">
        <f t="shared" si="8"/>
        <v>363.81605478419613</v>
      </c>
      <c r="J9" s="3029">
        <f t="shared" ref="J9:K9" si="11">SUM(J5)</f>
        <v>13.748775</v>
      </c>
      <c r="K9" s="3029">
        <f t="shared" si="11"/>
        <v>44.574883333333332</v>
      </c>
      <c r="L9" s="3032">
        <f t="shared" si="5"/>
        <v>422.13971311752948</v>
      </c>
    </row>
    <row r="10" spans="1:12" ht="24.95" customHeight="1" x14ac:dyDescent="0.25">
      <c r="A10" s="3010" t="s">
        <v>261</v>
      </c>
      <c r="B10" s="3029">
        <f t="shared" si="7"/>
        <v>174.02828757888858</v>
      </c>
      <c r="C10" s="3029">
        <f t="shared" ref="C10:D10" si="12">SUM(C6)</f>
        <v>174.02828757888858</v>
      </c>
      <c r="D10" s="3029">
        <f t="shared" si="12"/>
        <v>0</v>
      </c>
      <c r="E10" s="3029">
        <f t="shared" si="1"/>
        <v>189.78776720530755</v>
      </c>
      <c r="F10" s="3029">
        <f t="shared" ref="F10:H10" si="13">SUM(F6)</f>
        <v>189.78776720530755</v>
      </c>
      <c r="G10" s="3029">
        <f t="shared" si="13"/>
        <v>0</v>
      </c>
      <c r="H10" s="3029">
        <f t="shared" si="13"/>
        <v>0</v>
      </c>
      <c r="I10" s="3029">
        <f t="shared" si="8"/>
        <v>363.81605478419613</v>
      </c>
      <c r="J10" s="3029">
        <f t="shared" ref="J10:K10" si="14">SUM(J6)</f>
        <v>13.748775</v>
      </c>
      <c r="K10" s="3029">
        <f t="shared" si="14"/>
        <v>44.574883333333332</v>
      </c>
      <c r="L10" s="3032">
        <f t="shared" si="5"/>
        <v>422.13971311752948</v>
      </c>
    </row>
    <row r="11" spans="1:12" ht="24.95" customHeight="1" x14ac:dyDescent="0.25">
      <c r="A11" s="3011" t="s">
        <v>1560</v>
      </c>
      <c r="B11" s="3030">
        <f t="shared" si="7"/>
        <v>522.08486273666574</v>
      </c>
      <c r="C11" s="3030">
        <f>SUM(C8:C10)</f>
        <v>522.08486273666574</v>
      </c>
      <c r="D11" s="3030">
        <f>SUM(D8:D10)</f>
        <v>0</v>
      </c>
      <c r="E11" s="3030">
        <f t="shared" si="1"/>
        <v>569.36330161592264</v>
      </c>
      <c r="F11" s="3030">
        <f>SUM(F8:F10)</f>
        <v>569.36330161592264</v>
      </c>
      <c r="G11" s="3030">
        <f>SUM(G8:G10)</f>
        <v>0</v>
      </c>
      <c r="H11" s="3030">
        <f>SUM(H8:H10)</f>
        <v>0</v>
      </c>
      <c r="I11" s="3030">
        <f t="shared" si="8"/>
        <v>1091.4481643525883</v>
      </c>
      <c r="J11" s="3030">
        <f>SUM(J8:J10)</f>
        <v>41.246324999999999</v>
      </c>
      <c r="K11" s="3030">
        <f>SUM(K8:K10)</f>
        <v>133.72465</v>
      </c>
      <c r="L11" s="3033">
        <f t="shared" si="5"/>
        <v>1266.4191393525884</v>
      </c>
    </row>
    <row r="12" spans="1:12" ht="24.95" customHeight="1" x14ac:dyDescent="0.25">
      <c r="A12" s="3011" t="s">
        <v>373</v>
      </c>
      <c r="B12" s="3030">
        <f t="shared" ref="B12:H12" si="15">B7+B11</f>
        <v>1044.1697254733315</v>
      </c>
      <c r="C12" s="3030">
        <f t="shared" si="15"/>
        <v>1044.1697254733315</v>
      </c>
      <c r="D12" s="3030">
        <f t="shared" si="15"/>
        <v>0</v>
      </c>
      <c r="E12" s="3030">
        <f t="shared" si="15"/>
        <v>1138.7266032318453</v>
      </c>
      <c r="F12" s="3030">
        <f t="shared" si="15"/>
        <v>1138.7266032318453</v>
      </c>
      <c r="G12" s="3030">
        <f t="shared" si="15"/>
        <v>0</v>
      </c>
      <c r="H12" s="3030">
        <f t="shared" si="15"/>
        <v>0</v>
      </c>
      <c r="I12" s="3030">
        <f t="shared" si="8"/>
        <v>2182.8963287051765</v>
      </c>
      <c r="J12" s="3030">
        <f t="shared" ref="J12:K12" si="16">J7+J11</f>
        <v>82.492649999999998</v>
      </c>
      <c r="K12" s="3030">
        <f t="shared" si="16"/>
        <v>267.44929999999999</v>
      </c>
      <c r="L12" s="3033">
        <f t="shared" si="5"/>
        <v>2532.8382787051769</v>
      </c>
    </row>
    <row r="13" spans="1:12" ht="24.95" customHeight="1" x14ac:dyDescent="0.25">
      <c r="A13" s="3010" t="s">
        <v>1207</v>
      </c>
      <c r="B13" s="3029">
        <f t="shared" ref="B13:B15" si="17">SUM(C13:D13)</f>
        <v>174.02828757888858</v>
      </c>
      <c r="C13" s="3029">
        <f>SUM(C9)</f>
        <v>174.02828757888858</v>
      </c>
      <c r="D13" s="3029">
        <f>SUM(D9)</f>
        <v>0</v>
      </c>
      <c r="E13" s="3029">
        <f t="shared" ref="E13:E16" si="18">SUM(F13:G13)</f>
        <v>189.78776720530755</v>
      </c>
      <c r="F13" s="3029">
        <f t="shared" ref="F13:H14" si="19">SUM(F9)</f>
        <v>189.78776720530755</v>
      </c>
      <c r="G13" s="3029">
        <f t="shared" si="19"/>
        <v>0</v>
      </c>
      <c r="H13" s="3029">
        <f t="shared" si="19"/>
        <v>0</v>
      </c>
      <c r="I13" s="3029">
        <f t="shared" si="8"/>
        <v>363.81605478419613</v>
      </c>
      <c r="J13" s="3029">
        <f t="shared" ref="J13:K13" si="20">SUM(J9)</f>
        <v>13.748775</v>
      </c>
      <c r="K13" s="3029">
        <f t="shared" si="20"/>
        <v>44.574883333333332</v>
      </c>
      <c r="L13" s="3032">
        <f t="shared" si="5"/>
        <v>422.13971311752948</v>
      </c>
    </row>
    <row r="14" spans="1:12" ht="24.95" customHeight="1" x14ac:dyDescent="0.25">
      <c r="A14" s="3010" t="s">
        <v>262</v>
      </c>
      <c r="B14" s="3029">
        <f t="shared" si="17"/>
        <v>174.02828757888858</v>
      </c>
      <c r="C14" s="3029">
        <f>SUM(C10)</f>
        <v>174.02828757888858</v>
      </c>
      <c r="D14" s="3029">
        <f>SUM(D10)</f>
        <v>0</v>
      </c>
      <c r="E14" s="3029">
        <f t="shared" si="18"/>
        <v>189.78776720530755</v>
      </c>
      <c r="F14" s="3029">
        <f t="shared" si="19"/>
        <v>189.78776720530755</v>
      </c>
      <c r="G14" s="3029">
        <f t="shared" si="19"/>
        <v>0</v>
      </c>
      <c r="H14" s="3029">
        <f t="shared" si="19"/>
        <v>0</v>
      </c>
      <c r="I14" s="3029">
        <f t="shared" si="8"/>
        <v>363.81605478419613</v>
      </c>
      <c r="J14" s="3029">
        <f t="shared" ref="J14:K14" si="21">SUM(J10)</f>
        <v>13.748775</v>
      </c>
      <c r="K14" s="3029">
        <f t="shared" si="21"/>
        <v>44.574883333333332</v>
      </c>
      <c r="L14" s="3032">
        <f t="shared" si="5"/>
        <v>422.13971311752948</v>
      </c>
    </row>
    <row r="15" spans="1:12" ht="24.95" customHeight="1" x14ac:dyDescent="0.25">
      <c r="A15" s="3010" t="s">
        <v>1225</v>
      </c>
      <c r="B15" s="3029">
        <f t="shared" si="17"/>
        <v>174.02828757888858</v>
      </c>
      <c r="C15" s="3029">
        <f>SUM(C13)</f>
        <v>174.02828757888858</v>
      </c>
      <c r="D15" s="3029">
        <f>SUM(D13)</f>
        <v>0</v>
      </c>
      <c r="E15" s="3029">
        <f t="shared" si="18"/>
        <v>189.78776720530755</v>
      </c>
      <c r="F15" s="3029">
        <f>SUM(F13)</f>
        <v>189.78776720530755</v>
      </c>
      <c r="G15" s="3029">
        <f>SUM(G13)</f>
        <v>0</v>
      </c>
      <c r="H15" s="3029">
        <f>SUM(H13)</f>
        <v>0</v>
      </c>
      <c r="I15" s="3029">
        <f t="shared" si="8"/>
        <v>363.81605478419613</v>
      </c>
      <c r="J15" s="3029">
        <f>SUM(J13)</f>
        <v>13.748775</v>
      </c>
      <c r="K15" s="3029">
        <f>SUM(K13)</f>
        <v>44.574883333333332</v>
      </c>
      <c r="L15" s="3032">
        <f t="shared" si="5"/>
        <v>422.13971311752948</v>
      </c>
    </row>
    <row r="16" spans="1:12" ht="24.95" customHeight="1" x14ac:dyDescent="0.25">
      <c r="A16" s="3011" t="s">
        <v>1561</v>
      </c>
      <c r="B16" s="3030">
        <f t="shared" si="7"/>
        <v>522.08486273666574</v>
      </c>
      <c r="C16" s="3030">
        <f>SUM(C13:C15)</f>
        <v>522.08486273666574</v>
      </c>
      <c r="D16" s="3030">
        <f>SUM(D13:D15)</f>
        <v>0</v>
      </c>
      <c r="E16" s="3030">
        <f t="shared" si="18"/>
        <v>569.36330161592264</v>
      </c>
      <c r="F16" s="3030">
        <f>SUM(F13:F15)</f>
        <v>569.36330161592264</v>
      </c>
      <c r="G16" s="3030">
        <f>SUM(G13:G15)</f>
        <v>0</v>
      </c>
      <c r="H16" s="3030">
        <f>SUM(H13:H15)</f>
        <v>0</v>
      </c>
      <c r="I16" s="3030">
        <f t="shared" si="8"/>
        <v>1091.4481643525883</v>
      </c>
      <c r="J16" s="3030">
        <f>SUM(J13:J15)</f>
        <v>41.246324999999999</v>
      </c>
      <c r="K16" s="3030">
        <f>SUM(K13:K15)</f>
        <v>133.72465</v>
      </c>
      <c r="L16" s="3033">
        <f t="shared" si="5"/>
        <v>1266.4191393525884</v>
      </c>
    </row>
    <row r="17" spans="1:12" ht="24.95" customHeight="1" x14ac:dyDescent="0.25">
      <c r="A17" s="3011" t="s">
        <v>126</v>
      </c>
      <c r="B17" s="3030">
        <f t="shared" si="7"/>
        <v>1566.2545882099971</v>
      </c>
      <c r="C17" s="3030">
        <f>C12+C16</f>
        <v>1566.2545882099971</v>
      </c>
      <c r="D17" s="3030">
        <f t="shared" ref="D17:H17" si="22">D12+D16</f>
        <v>0</v>
      </c>
      <c r="E17" s="3030">
        <f t="shared" si="22"/>
        <v>1708.0899048477679</v>
      </c>
      <c r="F17" s="3030">
        <f t="shared" si="22"/>
        <v>1708.0899048477679</v>
      </c>
      <c r="G17" s="3030">
        <f t="shared" si="22"/>
        <v>0</v>
      </c>
      <c r="H17" s="3030">
        <f t="shared" si="22"/>
        <v>0</v>
      </c>
      <c r="I17" s="3030">
        <f t="shared" si="8"/>
        <v>3274.3444930577652</v>
      </c>
      <c r="J17" s="3030">
        <f t="shared" ref="J17:K17" si="23">J12+J16</f>
        <v>123.738975</v>
      </c>
      <c r="K17" s="3030">
        <f t="shared" si="23"/>
        <v>401.17394999999999</v>
      </c>
      <c r="L17" s="3033">
        <f t="shared" si="5"/>
        <v>3799.2574180577653</v>
      </c>
    </row>
    <row r="18" spans="1:12" ht="24.95" customHeight="1" x14ac:dyDescent="0.25">
      <c r="A18" s="3010" t="s">
        <v>263</v>
      </c>
      <c r="B18" s="3029">
        <f t="shared" si="7"/>
        <v>174.02828757888858</v>
      </c>
      <c r="C18" s="3029">
        <f>SUM(C14)</f>
        <v>174.02828757888858</v>
      </c>
      <c r="D18" s="3029">
        <f>SUM(D14)</f>
        <v>0</v>
      </c>
      <c r="E18" s="3029">
        <f t="shared" si="1"/>
        <v>189.78776720530755</v>
      </c>
      <c r="F18" s="3029">
        <f t="shared" ref="F18:H19" si="24">SUM(F14)</f>
        <v>189.78776720530755</v>
      </c>
      <c r="G18" s="3029">
        <f t="shared" si="24"/>
        <v>0</v>
      </c>
      <c r="H18" s="3029">
        <f t="shared" si="24"/>
        <v>0</v>
      </c>
      <c r="I18" s="3029">
        <f t="shared" si="8"/>
        <v>363.81605478419613</v>
      </c>
      <c r="J18" s="3029">
        <f t="shared" ref="J18:K18" si="25">SUM(J14)</f>
        <v>13.748775</v>
      </c>
      <c r="K18" s="3029">
        <f t="shared" si="25"/>
        <v>44.574883333333332</v>
      </c>
      <c r="L18" s="3032">
        <f>I18+J18+K18</f>
        <v>422.13971311752948</v>
      </c>
    </row>
    <row r="19" spans="1:12" ht="24.95" customHeight="1" x14ac:dyDescent="0.25">
      <c r="A19" s="3010" t="s">
        <v>264</v>
      </c>
      <c r="B19" s="3029">
        <f t="shared" si="7"/>
        <v>174.02828757888858</v>
      </c>
      <c r="C19" s="3029">
        <f>SUM(C15)</f>
        <v>174.02828757888858</v>
      </c>
      <c r="D19" s="3029">
        <f>SUM(D15)</f>
        <v>0</v>
      </c>
      <c r="E19" s="3029">
        <f t="shared" si="1"/>
        <v>189.78776720530755</v>
      </c>
      <c r="F19" s="3029">
        <f t="shared" si="24"/>
        <v>189.78776720530755</v>
      </c>
      <c r="G19" s="3029">
        <f t="shared" si="24"/>
        <v>0</v>
      </c>
      <c r="H19" s="3029">
        <f t="shared" si="24"/>
        <v>0</v>
      </c>
      <c r="I19" s="3029">
        <f t="shared" si="8"/>
        <v>363.81605478419613</v>
      </c>
      <c r="J19" s="3029">
        <f t="shared" ref="J19:K19" si="26">SUM(J15)</f>
        <v>13.748775</v>
      </c>
      <c r="K19" s="3029">
        <f t="shared" si="26"/>
        <v>44.574883333333332</v>
      </c>
      <c r="L19" s="3032">
        <f>I19+J19+K19</f>
        <v>422.13971311752948</v>
      </c>
    </row>
    <row r="20" spans="1:12" ht="24.95" customHeight="1" x14ac:dyDescent="0.25">
      <c r="A20" s="3010" t="s">
        <v>1316</v>
      </c>
      <c r="B20" s="3029">
        <f t="shared" si="7"/>
        <v>174.02828757888858</v>
      </c>
      <c r="C20" s="3029">
        <f>SUM(C18)</f>
        <v>174.02828757888858</v>
      </c>
      <c r="D20" s="3029">
        <f>SUM(D18)</f>
        <v>0</v>
      </c>
      <c r="E20" s="3029">
        <f t="shared" si="1"/>
        <v>189.78776720530755</v>
      </c>
      <c r="F20" s="3029">
        <f>SUM(F18)</f>
        <v>189.78776720530755</v>
      </c>
      <c r="G20" s="3029">
        <f>SUM(G18)</f>
        <v>0</v>
      </c>
      <c r="H20" s="3029">
        <f>SUM(H18)</f>
        <v>0</v>
      </c>
      <c r="I20" s="3029">
        <f t="shared" si="8"/>
        <v>363.81605478419613</v>
      </c>
      <c r="J20" s="3029">
        <f>SUM(J18)</f>
        <v>13.748775</v>
      </c>
      <c r="K20" s="3029">
        <f>SUM(K18)</f>
        <v>44.574883333333332</v>
      </c>
      <c r="L20" s="3032">
        <f t="shared" si="5"/>
        <v>422.13971311752948</v>
      </c>
    </row>
    <row r="21" spans="1:12" ht="24.95" customHeight="1" x14ac:dyDescent="0.25">
      <c r="A21" s="3011" t="s">
        <v>127</v>
      </c>
      <c r="B21" s="3030">
        <f t="shared" si="7"/>
        <v>522.08486273666574</v>
      </c>
      <c r="C21" s="3030">
        <f>SUM(C18:C20)</f>
        <v>522.08486273666574</v>
      </c>
      <c r="D21" s="3030">
        <f t="shared" ref="D21:H21" si="27">SUM(D18:D20)</f>
        <v>0</v>
      </c>
      <c r="E21" s="3030">
        <f t="shared" si="27"/>
        <v>569.36330161592264</v>
      </c>
      <c r="F21" s="3030">
        <f t="shared" si="27"/>
        <v>569.36330161592264</v>
      </c>
      <c r="G21" s="3030">
        <f t="shared" si="27"/>
        <v>0</v>
      </c>
      <c r="H21" s="3030">
        <f t="shared" si="27"/>
        <v>0</v>
      </c>
      <c r="I21" s="3030">
        <f t="shared" si="8"/>
        <v>1091.4481643525883</v>
      </c>
      <c r="J21" s="3030">
        <f t="shared" ref="J21:K21" si="28">SUM(J18:J20)</f>
        <v>41.246324999999999</v>
      </c>
      <c r="K21" s="3030">
        <f t="shared" si="28"/>
        <v>133.72465</v>
      </c>
      <c r="L21" s="3033">
        <f t="shared" si="5"/>
        <v>1266.4191393525884</v>
      </c>
    </row>
    <row r="22" spans="1:12" ht="24.95" customHeight="1" x14ac:dyDescent="0.25">
      <c r="A22" s="3011" t="s">
        <v>241</v>
      </c>
      <c r="B22" s="3030">
        <f t="shared" si="7"/>
        <v>2088.339450946663</v>
      </c>
      <c r="C22" s="3030">
        <f>C17+C21</f>
        <v>2088.339450946663</v>
      </c>
      <c r="D22" s="3030">
        <f t="shared" ref="D22:H22" si="29">D17+D21</f>
        <v>0</v>
      </c>
      <c r="E22" s="3030">
        <f t="shared" si="29"/>
        <v>2277.4532064636905</v>
      </c>
      <c r="F22" s="3030">
        <f t="shared" si="29"/>
        <v>2277.4532064636905</v>
      </c>
      <c r="G22" s="3030">
        <f t="shared" si="29"/>
        <v>0</v>
      </c>
      <c r="H22" s="3030">
        <f t="shared" si="29"/>
        <v>0</v>
      </c>
      <c r="I22" s="3030">
        <f t="shared" si="8"/>
        <v>4365.7926574103531</v>
      </c>
      <c r="J22" s="3030">
        <f t="shared" ref="J22:K22" si="30">J17+J21</f>
        <v>164.9853</v>
      </c>
      <c r="K22" s="3030">
        <f t="shared" si="30"/>
        <v>534.89859999999999</v>
      </c>
      <c r="L22" s="3033">
        <f t="shared" si="5"/>
        <v>5065.6765574103538</v>
      </c>
    </row>
    <row r="23" spans="1:12" x14ac:dyDescent="0.25">
      <c r="A23" s="2986"/>
      <c r="B23" s="2986"/>
      <c r="C23" s="2986"/>
      <c r="D23" s="2986"/>
      <c r="E23" s="2986"/>
      <c r="F23" s="2986"/>
      <c r="G23" s="2986"/>
      <c r="H23" s="2986"/>
      <c r="I23" s="2986"/>
    </row>
    <row r="24" spans="1:12" x14ac:dyDescent="0.25">
      <c r="A24" s="2986"/>
      <c r="B24" s="2986"/>
      <c r="C24" s="2986"/>
      <c r="D24" s="2986"/>
      <c r="E24" s="2986"/>
      <c r="F24" s="2986"/>
      <c r="G24" s="2986"/>
      <c r="H24" s="2986"/>
      <c r="I24" s="2986"/>
    </row>
    <row r="25" spans="1:12" x14ac:dyDescent="0.25">
      <c r="A25" s="5159" t="s">
        <v>3833</v>
      </c>
      <c r="B25" s="5159"/>
      <c r="C25" s="5160"/>
      <c r="D25" s="5160"/>
      <c r="E25" s="5160"/>
      <c r="F25" s="5160"/>
      <c r="G25" s="5160"/>
      <c r="H25" s="5160"/>
      <c r="I25" s="5160"/>
      <c r="J25" s="4910"/>
      <c r="K25" s="4910"/>
      <c r="L25" s="4910"/>
    </row>
  </sheetData>
  <mergeCells count="2">
    <mergeCell ref="A1:L1"/>
    <mergeCell ref="A25:L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7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91">
    <tabColor rgb="FFFFC000"/>
    <pageSetUpPr fitToPage="1"/>
  </sheetPr>
  <dimension ref="A1:T50"/>
  <sheetViews>
    <sheetView zoomScale="110" zoomScaleNormal="11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J52" sqref="J52"/>
    </sheetView>
  </sheetViews>
  <sheetFormatPr defaultRowHeight="15" x14ac:dyDescent="0.25"/>
  <cols>
    <col min="1" max="1" width="46.28515625" style="2985" customWidth="1"/>
    <col min="2" max="4" width="9.7109375" style="2985" customWidth="1"/>
    <col min="5" max="5" width="10.140625" style="2985" customWidth="1"/>
    <col min="6" max="8" width="9.7109375" style="2985" customWidth="1"/>
    <col min="9" max="10" width="10.140625" style="2985" customWidth="1"/>
    <col min="11" max="13" width="9.7109375" style="2985" customWidth="1"/>
    <col min="14" max="14" width="10.140625" style="2985" customWidth="1"/>
    <col min="15" max="15" width="10.5703125" style="2985" customWidth="1"/>
    <col min="16" max="18" width="9.7109375" style="2985" customWidth="1"/>
    <col min="19" max="19" width="9.5703125" style="2985" customWidth="1"/>
    <col min="20" max="20" width="10.28515625" style="2985" customWidth="1"/>
    <col min="21" max="16384" width="9.140625" style="2985"/>
  </cols>
  <sheetData>
    <row r="1" spans="1:20" x14ac:dyDescent="0.25">
      <c r="Q1" s="4550" t="s">
        <v>3774</v>
      </c>
      <c r="R1" s="2986"/>
    </row>
    <row r="2" spans="1:20" x14ac:dyDescent="0.25">
      <c r="Q2" s="4550" t="s">
        <v>3775</v>
      </c>
      <c r="R2" s="2986"/>
    </row>
    <row r="3" spans="1:20" ht="30.2" customHeight="1" x14ac:dyDescent="0.25">
      <c r="Q3" s="4550" t="s">
        <v>4250</v>
      </c>
      <c r="R3" s="2986"/>
    </row>
    <row r="5" spans="1:20" ht="20.25" x14ac:dyDescent="0.3">
      <c r="A5" s="5161" t="s">
        <v>4249</v>
      </c>
      <c r="B5" s="5162"/>
      <c r="C5" s="5162"/>
      <c r="D5" s="5162"/>
      <c r="E5" s="5162"/>
      <c r="F5" s="5162"/>
      <c r="G5" s="5162"/>
      <c r="H5" s="5162"/>
      <c r="I5" s="5162"/>
      <c r="J5" s="5162"/>
      <c r="K5" s="5162"/>
      <c r="L5" s="5162"/>
      <c r="M5" s="5162"/>
      <c r="N5" s="5162"/>
      <c r="O5" s="5162"/>
      <c r="P5" s="5162"/>
      <c r="Q5" s="5162"/>
      <c r="R5" s="5162"/>
      <c r="S5" s="5162"/>
      <c r="T5" s="5162"/>
    </row>
    <row r="6" spans="1:20" ht="15.75" thickBot="1" x14ac:dyDescent="0.3">
      <c r="A6" s="2986"/>
      <c r="B6" s="2986"/>
      <c r="C6" s="2986"/>
      <c r="D6" s="2986"/>
      <c r="E6" s="2986"/>
      <c r="F6" s="2986"/>
      <c r="G6" s="2986"/>
      <c r="H6" s="2986"/>
      <c r="I6" s="2986"/>
      <c r="J6" s="2986"/>
      <c r="K6" s="2986"/>
      <c r="L6" s="2986"/>
      <c r="M6" s="2986"/>
      <c r="N6" s="2986"/>
      <c r="O6" s="2986"/>
      <c r="P6" s="2986"/>
      <c r="Q6" s="2986"/>
      <c r="R6" s="2986"/>
      <c r="S6" s="2986"/>
      <c r="T6" s="2986"/>
    </row>
    <row r="7" spans="1:20" ht="19.7" customHeight="1" x14ac:dyDescent="0.25">
      <c r="A7" s="2987" t="s">
        <v>1024</v>
      </c>
      <c r="B7" s="2988" t="s">
        <v>256</v>
      </c>
      <c r="C7" s="2988" t="s">
        <v>257</v>
      </c>
      <c r="D7" s="2988" t="s">
        <v>258</v>
      </c>
      <c r="E7" s="2989" t="s">
        <v>1559</v>
      </c>
      <c r="F7" s="2988" t="s">
        <v>259</v>
      </c>
      <c r="G7" s="2988" t="s">
        <v>260</v>
      </c>
      <c r="H7" s="2988" t="s">
        <v>261</v>
      </c>
      <c r="I7" s="2989" t="s">
        <v>1560</v>
      </c>
      <c r="J7" s="2989" t="s">
        <v>1959</v>
      </c>
      <c r="K7" s="2988" t="s">
        <v>1207</v>
      </c>
      <c r="L7" s="2988" t="s">
        <v>262</v>
      </c>
      <c r="M7" s="2988" t="s">
        <v>1225</v>
      </c>
      <c r="N7" s="2989" t="s">
        <v>1561</v>
      </c>
      <c r="O7" s="2989" t="s">
        <v>218</v>
      </c>
      <c r="P7" s="2988" t="s">
        <v>263</v>
      </c>
      <c r="Q7" s="2988" t="s">
        <v>264</v>
      </c>
      <c r="R7" s="2988" t="s">
        <v>1316</v>
      </c>
      <c r="S7" s="2989" t="s">
        <v>127</v>
      </c>
      <c r="T7" s="2990" t="s">
        <v>241</v>
      </c>
    </row>
    <row r="8" spans="1:20" ht="19.7" customHeight="1" x14ac:dyDescent="0.25">
      <c r="A8" s="2991" t="s">
        <v>3825</v>
      </c>
      <c r="B8" s="2992">
        <f>SUM(B9+B12+B13+B16+B17)</f>
        <v>26878.591516452143</v>
      </c>
      <c r="C8" s="2992">
        <f>SUM(C9+C12+C13+C16+C17)</f>
        <v>26878.591516452143</v>
      </c>
      <c r="D8" s="2992">
        <f>SUM(D9+D12+D13+D16+D17)</f>
        <v>26878.591516452143</v>
      </c>
      <c r="E8" s="2993">
        <f>SUM(B8:D8)</f>
        <v>80635.774549356429</v>
      </c>
      <c r="F8" s="2992">
        <f>SUM(F9+F12+F13+F16+F17)</f>
        <v>26878.591516452143</v>
      </c>
      <c r="G8" s="2992">
        <f>SUM(G9+G12+G13+G16+G17)</f>
        <v>26878.591516452143</v>
      </c>
      <c r="H8" s="2992">
        <f>SUM(H9+H12+H13+H16+H17)</f>
        <v>26878.591516452143</v>
      </c>
      <c r="I8" s="2993">
        <f>SUM(F8:H8)</f>
        <v>80635.774549356429</v>
      </c>
      <c r="J8" s="2993">
        <f>E8+I8</f>
        <v>161271.54909871286</v>
      </c>
      <c r="K8" s="2992">
        <f>SUM(K9+K12+K13+K16+K17)</f>
        <v>26878.591516452143</v>
      </c>
      <c r="L8" s="2992">
        <f>SUM(L9+L12+L13+L16+L17)</f>
        <v>26878.591516452143</v>
      </c>
      <c r="M8" s="2992">
        <f>SUM(M9+M12+M13+M16+M17)</f>
        <v>26878.591516452143</v>
      </c>
      <c r="N8" s="2993">
        <f t="shared" ref="N8:N9" si="0">SUM(K8:M8)</f>
        <v>80635.774549356429</v>
      </c>
      <c r="O8" s="2993">
        <f>J8+N8</f>
        <v>241907.32364806929</v>
      </c>
      <c r="P8" s="2992">
        <f>SUM(P9+P12+P13+P16+P17)</f>
        <v>26878.591516452143</v>
      </c>
      <c r="Q8" s="2992">
        <f>SUM(Q9+Q12+Q13+Q16+Q17)</f>
        <v>26878.591516452143</v>
      </c>
      <c r="R8" s="2992">
        <f>SUM(R9+R12+R13+R16+R17)</f>
        <v>26878.591516452143</v>
      </c>
      <c r="S8" s="2993">
        <f>SUM(P8:R8)</f>
        <v>80635.774549356429</v>
      </c>
      <c r="T8" s="2994">
        <f>O8+S8</f>
        <v>322543.09819742572</v>
      </c>
    </row>
    <row r="9" spans="1:20" ht="19.7" customHeight="1" x14ac:dyDescent="0.25">
      <c r="A9" s="2995" t="s">
        <v>3826</v>
      </c>
      <c r="B9" s="2996">
        <f>SUM(B10:B11)</f>
        <v>15605.919923996196</v>
      </c>
      <c r="C9" s="2996">
        <f t="shared" ref="C9:D9" si="1">SUM(C10:C11)</f>
        <v>15605.919923996196</v>
      </c>
      <c r="D9" s="2996">
        <f t="shared" si="1"/>
        <v>15605.919923996196</v>
      </c>
      <c r="E9" s="2997">
        <f t="shared" ref="E9:E32" si="2">SUM(B9:D9)</f>
        <v>46817.759771988589</v>
      </c>
      <c r="F9" s="2996">
        <f>SUM(F10:F11)</f>
        <v>15605.919923996196</v>
      </c>
      <c r="G9" s="2996">
        <f t="shared" ref="G9:H9" si="3">SUM(G10:G11)</f>
        <v>15605.919923996196</v>
      </c>
      <c r="H9" s="2996">
        <f t="shared" si="3"/>
        <v>15605.919923996196</v>
      </c>
      <c r="I9" s="2997">
        <f t="shared" ref="I9:I32" si="4">SUM(F9:H9)</f>
        <v>46817.759771988589</v>
      </c>
      <c r="J9" s="2997">
        <f t="shared" ref="J9:J46" si="5">E9+I9</f>
        <v>93635.519543977178</v>
      </c>
      <c r="K9" s="2996">
        <f>SUM(K10:K11)</f>
        <v>15605.919923996196</v>
      </c>
      <c r="L9" s="2996">
        <f t="shared" ref="L9:M9" si="6">SUM(L10:L11)</f>
        <v>15605.919923996196</v>
      </c>
      <c r="M9" s="2996">
        <f t="shared" si="6"/>
        <v>15605.919923996196</v>
      </c>
      <c r="N9" s="2997">
        <f t="shared" si="0"/>
        <v>46817.759771988589</v>
      </c>
      <c r="O9" s="2997">
        <f t="shared" ref="O9:O46" si="7">J9+N9</f>
        <v>140453.27931596577</v>
      </c>
      <c r="P9" s="2996">
        <f>SUM(P10:P11)</f>
        <v>15605.919923996196</v>
      </c>
      <c r="Q9" s="2996">
        <f t="shared" ref="Q9:R9" si="8">SUM(Q10:Q11)</f>
        <v>15605.919923996196</v>
      </c>
      <c r="R9" s="2996">
        <f t="shared" si="8"/>
        <v>15605.919923996196</v>
      </c>
      <c r="S9" s="2997">
        <f>SUM(P9:R9)</f>
        <v>46817.759771988589</v>
      </c>
      <c r="T9" s="2998">
        <f t="shared" ref="T9:T46" si="9">O9+S9</f>
        <v>187271.03908795436</v>
      </c>
    </row>
    <row r="10" spans="1:20" ht="19.7" customHeight="1" x14ac:dyDescent="0.25">
      <c r="A10" s="2972" t="s">
        <v>3799</v>
      </c>
      <c r="B10" s="2999">
        <f>SUM('Прил.1 ПланФХД с транспортир.23'!C23)/3</f>
        <v>15602.990592974411</v>
      </c>
      <c r="C10" s="2999">
        <f>SUM(B10)</f>
        <v>15602.990592974411</v>
      </c>
      <c r="D10" s="2999">
        <f>SUM(B10)</f>
        <v>15602.990592974411</v>
      </c>
      <c r="E10" s="2997">
        <f t="shared" si="2"/>
        <v>46808.971778923231</v>
      </c>
      <c r="F10" s="2999">
        <f>SUM(B10)</f>
        <v>15602.990592974411</v>
      </c>
      <c r="G10" s="2999">
        <f>SUM(B10)</f>
        <v>15602.990592974411</v>
      </c>
      <c r="H10" s="2999">
        <f>SUM(B10)</f>
        <v>15602.990592974411</v>
      </c>
      <c r="I10" s="2997">
        <f t="shared" si="4"/>
        <v>46808.971778923231</v>
      </c>
      <c r="J10" s="2997">
        <f t="shared" si="5"/>
        <v>93617.943557846462</v>
      </c>
      <c r="K10" s="2999">
        <f>SUM('Прил.1 ПланФХД с транспортир.23'!F23)/3</f>
        <v>15602.990592974411</v>
      </c>
      <c r="L10" s="2999">
        <f>SUM(K10)</f>
        <v>15602.990592974411</v>
      </c>
      <c r="M10" s="2999">
        <f>SUM(K10)</f>
        <v>15602.990592974411</v>
      </c>
      <c r="N10" s="2997">
        <f t="shared" ref="N10:N32" si="10">SUM(K10:M10)</f>
        <v>46808.971778923231</v>
      </c>
      <c r="O10" s="2997">
        <f t="shared" si="7"/>
        <v>140426.91533676969</v>
      </c>
      <c r="P10" s="2999">
        <f>SUM(K10)</f>
        <v>15602.990592974411</v>
      </c>
      <c r="Q10" s="2999">
        <f>SUM(K10)</f>
        <v>15602.990592974411</v>
      </c>
      <c r="R10" s="2999">
        <f>SUM(K10)</f>
        <v>15602.990592974411</v>
      </c>
      <c r="S10" s="2997">
        <f t="shared" ref="S10:S32" si="11">SUM(P10:R10)</f>
        <v>46808.971778923231</v>
      </c>
      <c r="T10" s="2998">
        <f t="shared" si="9"/>
        <v>187235.88711569292</v>
      </c>
    </row>
    <row r="11" spans="1:20" ht="19.7" customHeight="1" x14ac:dyDescent="0.25">
      <c r="A11" s="2972" t="s">
        <v>1693</v>
      </c>
      <c r="B11" s="2999">
        <f>SUM('Прил.1 ПланФХД с транспортир.23'!C25)/3</f>
        <v>2.929331021786147</v>
      </c>
      <c r="C11" s="2999">
        <f>SUM(B11)</f>
        <v>2.929331021786147</v>
      </c>
      <c r="D11" s="2999">
        <f>SUM(B11)</f>
        <v>2.929331021786147</v>
      </c>
      <c r="E11" s="2997">
        <f t="shared" si="2"/>
        <v>8.7879930653584406</v>
      </c>
      <c r="F11" s="2999">
        <f>SUM(B11)</f>
        <v>2.929331021786147</v>
      </c>
      <c r="G11" s="2999">
        <f>SUM(B11)</f>
        <v>2.929331021786147</v>
      </c>
      <c r="H11" s="2999">
        <f>SUM(B11)</f>
        <v>2.929331021786147</v>
      </c>
      <c r="I11" s="2997">
        <f t="shared" si="4"/>
        <v>8.7879930653584406</v>
      </c>
      <c r="J11" s="2997">
        <f t="shared" si="5"/>
        <v>17.575986130716881</v>
      </c>
      <c r="K11" s="2999">
        <f>SUM('Прил.1 ПланФХД с транспортир.23'!F25)/3</f>
        <v>2.929331021786147</v>
      </c>
      <c r="L11" s="2999">
        <f>SUM(K11)</f>
        <v>2.929331021786147</v>
      </c>
      <c r="M11" s="2999">
        <f>SUM(K11)</f>
        <v>2.929331021786147</v>
      </c>
      <c r="N11" s="2997">
        <f t="shared" si="10"/>
        <v>8.7879930653584406</v>
      </c>
      <c r="O11" s="2997">
        <f t="shared" si="7"/>
        <v>26.36397919607532</v>
      </c>
      <c r="P11" s="2999">
        <f>SUM(K11)</f>
        <v>2.929331021786147</v>
      </c>
      <c r="Q11" s="2999">
        <f>SUM(K11)</f>
        <v>2.929331021786147</v>
      </c>
      <c r="R11" s="2999">
        <f>SUM(K11)</f>
        <v>2.929331021786147</v>
      </c>
      <c r="S11" s="2997">
        <f t="shared" si="11"/>
        <v>8.7879930653584406</v>
      </c>
      <c r="T11" s="2998">
        <f t="shared" si="9"/>
        <v>35.151972261433762</v>
      </c>
    </row>
    <row r="12" spans="1:20" ht="19.7" customHeight="1" x14ac:dyDescent="0.25">
      <c r="A12" s="2981" t="s">
        <v>3827</v>
      </c>
      <c r="B12" s="2999">
        <f>SUM('Прил.1 ПланФХД с транспортир.23'!C26)/3</f>
        <v>92.457220629999995</v>
      </c>
      <c r="C12" s="2999">
        <f>SUM(B12)</f>
        <v>92.457220629999995</v>
      </c>
      <c r="D12" s="2999">
        <f>SUM(B12)</f>
        <v>92.457220629999995</v>
      </c>
      <c r="E12" s="2997">
        <f t="shared" si="2"/>
        <v>277.37166188999998</v>
      </c>
      <c r="F12" s="2999">
        <f>SUM(B12)</f>
        <v>92.457220629999995</v>
      </c>
      <c r="G12" s="2999">
        <f>SUM(B12)</f>
        <v>92.457220629999995</v>
      </c>
      <c r="H12" s="2999">
        <f>SUM(B12)</f>
        <v>92.457220629999995</v>
      </c>
      <c r="I12" s="2997">
        <f t="shared" si="4"/>
        <v>277.37166188999998</v>
      </c>
      <c r="J12" s="2997">
        <f t="shared" si="5"/>
        <v>554.74332377999997</v>
      </c>
      <c r="K12" s="2999">
        <f>SUM('Прил.1 ПланФХД с транспортир.23'!F26)/3</f>
        <v>92.457220629999995</v>
      </c>
      <c r="L12" s="2999">
        <f>SUM(K12)</f>
        <v>92.457220629999995</v>
      </c>
      <c r="M12" s="2999">
        <f>SUM(K12)</f>
        <v>92.457220629999995</v>
      </c>
      <c r="N12" s="2997">
        <f t="shared" si="10"/>
        <v>277.37166188999998</v>
      </c>
      <c r="O12" s="2997">
        <f t="shared" si="7"/>
        <v>832.1149856699999</v>
      </c>
      <c r="P12" s="2999">
        <f>SUM(K12)</f>
        <v>92.457220629999995</v>
      </c>
      <c r="Q12" s="2999">
        <f>SUM(K12)</f>
        <v>92.457220629999995</v>
      </c>
      <c r="R12" s="2999">
        <f>SUM(K12)</f>
        <v>92.457220629999995</v>
      </c>
      <c r="S12" s="2997">
        <f t="shared" si="11"/>
        <v>277.37166188999998</v>
      </c>
      <c r="T12" s="2998">
        <f t="shared" si="9"/>
        <v>1109.4866475599999</v>
      </c>
    </row>
    <row r="13" spans="1:20" ht="19.7" customHeight="1" x14ac:dyDescent="0.25">
      <c r="A13" s="2978" t="s">
        <v>3801</v>
      </c>
      <c r="B13" s="2996">
        <f>SUM(B14:B15)</f>
        <v>10404.145866679883</v>
      </c>
      <c r="C13" s="2996">
        <f t="shared" ref="C13:D13" si="12">SUM(C14:C15)</f>
        <v>10404.145866679883</v>
      </c>
      <c r="D13" s="2996">
        <f t="shared" si="12"/>
        <v>10404.145866679883</v>
      </c>
      <c r="E13" s="2997">
        <f t="shared" si="2"/>
        <v>31212.437600039648</v>
      </c>
      <c r="F13" s="2996">
        <f>SUM(F14:F15)</f>
        <v>10404.145866679883</v>
      </c>
      <c r="G13" s="2996">
        <f t="shared" ref="G13:H13" si="13">SUM(G14:G15)</f>
        <v>10404.145866679883</v>
      </c>
      <c r="H13" s="2996">
        <f t="shared" si="13"/>
        <v>10404.145866679883</v>
      </c>
      <c r="I13" s="2997">
        <f t="shared" si="4"/>
        <v>31212.437600039648</v>
      </c>
      <c r="J13" s="2997">
        <f t="shared" si="5"/>
        <v>62424.875200079296</v>
      </c>
      <c r="K13" s="2996">
        <f>SUM(K14:K15)</f>
        <v>10404.145866679883</v>
      </c>
      <c r="L13" s="2996">
        <f t="shared" ref="L13:M13" si="14">SUM(L14:L15)</f>
        <v>10404.145866679883</v>
      </c>
      <c r="M13" s="2996">
        <f t="shared" si="14"/>
        <v>10404.145866679883</v>
      </c>
      <c r="N13" s="2997">
        <f t="shared" si="10"/>
        <v>31212.437600039648</v>
      </c>
      <c r="O13" s="2997">
        <f t="shared" si="7"/>
        <v>93637.312800118947</v>
      </c>
      <c r="P13" s="2996">
        <f>SUM(P14:P15)</f>
        <v>10404.145866679883</v>
      </c>
      <c r="Q13" s="2996">
        <f>SUM(Q14:Q15)</f>
        <v>10404.145866679883</v>
      </c>
      <c r="R13" s="2996">
        <f t="shared" ref="R13" si="15">SUM(R14:R15)</f>
        <v>10404.145866679883</v>
      </c>
      <c r="S13" s="2997">
        <f t="shared" si="11"/>
        <v>31212.437600039648</v>
      </c>
      <c r="T13" s="2998">
        <f t="shared" si="9"/>
        <v>124849.75040015859</v>
      </c>
    </row>
    <row r="14" spans="1:20" ht="19.7" customHeight="1" x14ac:dyDescent="0.25">
      <c r="A14" s="2976" t="s">
        <v>335</v>
      </c>
      <c r="B14" s="2999">
        <f>SUM('Прил.1 ПланФХД с транспортир.23'!C28)/3</f>
        <v>10375.248009452187</v>
      </c>
      <c r="C14" s="2999">
        <f>SUM(B14)</f>
        <v>10375.248009452187</v>
      </c>
      <c r="D14" s="2999">
        <f>SUM(B14)</f>
        <v>10375.248009452187</v>
      </c>
      <c r="E14" s="2997">
        <f t="shared" si="2"/>
        <v>31125.744028356559</v>
      </c>
      <c r="F14" s="2999">
        <f>SUM(B14)</f>
        <v>10375.248009452187</v>
      </c>
      <c r="G14" s="2999">
        <f>SUM(B14)</f>
        <v>10375.248009452187</v>
      </c>
      <c r="H14" s="2999">
        <f>SUM(B14)</f>
        <v>10375.248009452187</v>
      </c>
      <c r="I14" s="2997">
        <f t="shared" si="4"/>
        <v>31125.744028356559</v>
      </c>
      <c r="J14" s="2997">
        <f t="shared" si="5"/>
        <v>62251.488056713119</v>
      </c>
      <c r="K14" s="2999">
        <f>SUM('Прил.1 ПланФХД с транспортир.23'!F28)/3</f>
        <v>10375.248009452187</v>
      </c>
      <c r="L14" s="2999">
        <f>SUM(K14)</f>
        <v>10375.248009452187</v>
      </c>
      <c r="M14" s="2999">
        <f>SUM(K14)</f>
        <v>10375.248009452187</v>
      </c>
      <c r="N14" s="2997">
        <f t="shared" si="10"/>
        <v>31125.744028356559</v>
      </c>
      <c r="O14" s="2997">
        <f t="shared" si="7"/>
        <v>93377.232085069671</v>
      </c>
      <c r="P14" s="2999">
        <f>SUM(K14)</f>
        <v>10375.248009452187</v>
      </c>
      <c r="Q14" s="2999">
        <f>SUM(K14)</f>
        <v>10375.248009452187</v>
      </c>
      <c r="R14" s="2999">
        <f>SUM(K14)</f>
        <v>10375.248009452187</v>
      </c>
      <c r="S14" s="2997">
        <f t="shared" si="11"/>
        <v>31125.744028356559</v>
      </c>
      <c r="T14" s="2998">
        <f t="shared" si="9"/>
        <v>124502.97611342624</v>
      </c>
    </row>
    <row r="15" spans="1:20" ht="19.7" customHeight="1" x14ac:dyDescent="0.25">
      <c r="A15" s="2976" t="s">
        <v>3802</v>
      </c>
      <c r="B15" s="2999">
        <f>SUM('Прил.1 ПланФХД с транспортир.23'!C30)/3</f>
        <v>28.897857227695187</v>
      </c>
      <c r="C15" s="2999">
        <f>SUM(B15)</f>
        <v>28.897857227695187</v>
      </c>
      <c r="D15" s="2999">
        <f>SUM(B15)</f>
        <v>28.897857227695187</v>
      </c>
      <c r="E15" s="2997">
        <f t="shared" si="2"/>
        <v>86.693571683085565</v>
      </c>
      <c r="F15" s="2999">
        <f>SUM(B15)</f>
        <v>28.897857227695187</v>
      </c>
      <c r="G15" s="2999">
        <f>SUM(B15)</f>
        <v>28.897857227695187</v>
      </c>
      <c r="H15" s="2999">
        <f>SUM(B15)</f>
        <v>28.897857227695187</v>
      </c>
      <c r="I15" s="2997">
        <f t="shared" si="4"/>
        <v>86.693571683085565</v>
      </c>
      <c r="J15" s="2997">
        <f t="shared" si="5"/>
        <v>173.38714336617113</v>
      </c>
      <c r="K15" s="2999">
        <f>SUM('Прил.1 ПланФХД с транспортир.23'!F30)/3</f>
        <v>28.897857227695187</v>
      </c>
      <c r="L15" s="2999">
        <f>SUM(K15)</f>
        <v>28.897857227695187</v>
      </c>
      <c r="M15" s="2999">
        <f>SUM(K15)</f>
        <v>28.897857227695187</v>
      </c>
      <c r="N15" s="2997">
        <f t="shared" si="10"/>
        <v>86.693571683085565</v>
      </c>
      <c r="O15" s="2997">
        <f t="shared" si="7"/>
        <v>260.0807150492567</v>
      </c>
      <c r="P15" s="2999">
        <f>SUM(K15)</f>
        <v>28.897857227695187</v>
      </c>
      <c r="Q15" s="2999">
        <f>SUM(K15)</f>
        <v>28.897857227695187</v>
      </c>
      <c r="R15" s="2999">
        <f>SUM(K15)</f>
        <v>28.897857227695187</v>
      </c>
      <c r="S15" s="2997">
        <f t="shared" si="11"/>
        <v>86.693571683085565</v>
      </c>
      <c r="T15" s="2998">
        <f t="shared" si="9"/>
        <v>346.77428673234226</v>
      </c>
    </row>
    <row r="16" spans="1:20" ht="19.7" customHeight="1" x14ac:dyDescent="0.25">
      <c r="A16" s="2981" t="s">
        <v>3828</v>
      </c>
      <c r="B16" s="2999">
        <f>SUM('Прил.1 ПланФХД с транспортир.23'!C31)/3</f>
        <v>481.06850514606253</v>
      </c>
      <c r="C16" s="2999">
        <f>SUM(B16)</f>
        <v>481.06850514606253</v>
      </c>
      <c r="D16" s="2999">
        <f>SUM(B16)</f>
        <v>481.06850514606253</v>
      </c>
      <c r="E16" s="2997">
        <f t="shared" si="2"/>
        <v>1443.2055154381876</v>
      </c>
      <c r="F16" s="2999">
        <f>SUM(B16)</f>
        <v>481.06850514606253</v>
      </c>
      <c r="G16" s="2999">
        <f>SUM(B16)</f>
        <v>481.06850514606253</v>
      </c>
      <c r="H16" s="2999">
        <f>SUM(B16)</f>
        <v>481.06850514606253</v>
      </c>
      <c r="I16" s="2997">
        <f t="shared" si="4"/>
        <v>1443.2055154381876</v>
      </c>
      <c r="J16" s="2997">
        <f t="shared" si="5"/>
        <v>2886.4110308763752</v>
      </c>
      <c r="K16" s="2999">
        <f>SUM('Прил.1 ПланФХД с транспортир.23'!F31)/3</f>
        <v>481.06850514606253</v>
      </c>
      <c r="L16" s="2999">
        <f>SUM(K16)</f>
        <v>481.06850514606253</v>
      </c>
      <c r="M16" s="2999">
        <f>SUM(K16)</f>
        <v>481.06850514606253</v>
      </c>
      <c r="N16" s="2997">
        <f t="shared" si="10"/>
        <v>1443.2055154381876</v>
      </c>
      <c r="O16" s="2997">
        <f t="shared" si="7"/>
        <v>4329.6165463145626</v>
      </c>
      <c r="P16" s="2999">
        <f>SUM(K16)</f>
        <v>481.06850514606253</v>
      </c>
      <c r="Q16" s="2999">
        <f>SUM(K16)</f>
        <v>481.06850514606253</v>
      </c>
      <c r="R16" s="2999">
        <f>SUM(K16)</f>
        <v>481.06850514606253</v>
      </c>
      <c r="S16" s="2997">
        <f t="shared" si="11"/>
        <v>1443.2055154381876</v>
      </c>
      <c r="T16" s="2998">
        <f t="shared" si="9"/>
        <v>5772.8220617527504</v>
      </c>
    </row>
    <row r="17" spans="1:20" ht="19.7" customHeight="1" x14ac:dyDescent="0.25">
      <c r="A17" s="2978" t="s">
        <v>3808</v>
      </c>
      <c r="B17" s="2996">
        <f>SUM(B18:B19)</f>
        <v>295</v>
      </c>
      <c r="C17" s="2996">
        <f t="shared" ref="C17:D17" si="16">SUM(C18:C19)</f>
        <v>295</v>
      </c>
      <c r="D17" s="2996">
        <f t="shared" si="16"/>
        <v>295</v>
      </c>
      <c r="E17" s="2997">
        <f t="shared" si="2"/>
        <v>885</v>
      </c>
      <c r="F17" s="2996">
        <f>SUM(F18:F19)</f>
        <v>295</v>
      </c>
      <c r="G17" s="2996">
        <f t="shared" ref="G17" si="17">SUM(G18:G19)</f>
        <v>295</v>
      </c>
      <c r="H17" s="2996">
        <f>SUM(H18:H19)</f>
        <v>295</v>
      </c>
      <c r="I17" s="2997">
        <f t="shared" si="4"/>
        <v>885</v>
      </c>
      <c r="J17" s="2997">
        <f t="shared" si="5"/>
        <v>1770</v>
      </c>
      <c r="K17" s="2996">
        <f>SUM(K18:K19)</f>
        <v>295</v>
      </c>
      <c r="L17" s="2996">
        <f t="shared" ref="L17:M17" si="18">SUM(L18:L19)</f>
        <v>295</v>
      </c>
      <c r="M17" s="2996">
        <f t="shared" si="18"/>
        <v>295</v>
      </c>
      <c r="N17" s="2997">
        <f t="shared" si="10"/>
        <v>885</v>
      </c>
      <c r="O17" s="2997">
        <f t="shared" si="7"/>
        <v>2655</v>
      </c>
      <c r="P17" s="2996">
        <f>SUM(P18:P19)</f>
        <v>295</v>
      </c>
      <c r="Q17" s="2996">
        <f t="shared" ref="Q17:R17" si="19">SUM(Q18:Q19)</f>
        <v>295</v>
      </c>
      <c r="R17" s="2996">
        <f t="shared" si="19"/>
        <v>295</v>
      </c>
      <c r="S17" s="2997">
        <f t="shared" si="11"/>
        <v>885</v>
      </c>
      <c r="T17" s="2998">
        <f t="shared" si="9"/>
        <v>3540</v>
      </c>
    </row>
    <row r="18" spans="1:20" ht="19.7" customHeight="1" x14ac:dyDescent="0.25">
      <c r="A18" s="2908" t="s">
        <v>3809</v>
      </c>
      <c r="B18" s="2999">
        <f>SUM('Прил.1 ПланФХД с транспортир.23'!C33)/3</f>
        <v>70.833333333333329</v>
      </c>
      <c r="C18" s="2999">
        <f>SUM(B18)</f>
        <v>70.833333333333329</v>
      </c>
      <c r="D18" s="2999">
        <f>SUM(B18)</f>
        <v>70.833333333333329</v>
      </c>
      <c r="E18" s="2997">
        <f t="shared" si="2"/>
        <v>212.5</v>
      </c>
      <c r="F18" s="2999">
        <f>SUM(B18)</f>
        <v>70.833333333333329</v>
      </c>
      <c r="G18" s="2999">
        <f>SUM(B18)</f>
        <v>70.833333333333329</v>
      </c>
      <c r="H18" s="2999">
        <f>SUM(B18)</f>
        <v>70.833333333333329</v>
      </c>
      <c r="I18" s="2997">
        <f t="shared" si="4"/>
        <v>212.5</v>
      </c>
      <c r="J18" s="2997">
        <f t="shared" si="5"/>
        <v>425</v>
      </c>
      <c r="K18" s="2999">
        <f>SUM(B18)</f>
        <v>70.833333333333329</v>
      </c>
      <c r="L18" s="2999">
        <f>SUM(B18)</f>
        <v>70.833333333333329</v>
      </c>
      <c r="M18" s="2999">
        <f>SUM(B18)</f>
        <v>70.833333333333329</v>
      </c>
      <c r="N18" s="2997">
        <f t="shared" si="10"/>
        <v>212.5</v>
      </c>
      <c r="O18" s="2997">
        <f t="shared" si="7"/>
        <v>637.5</v>
      </c>
      <c r="P18" s="2999">
        <f>SUM(B18)</f>
        <v>70.833333333333329</v>
      </c>
      <c r="Q18" s="2999">
        <f>SUM(B18)</f>
        <v>70.833333333333329</v>
      </c>
      <c r="R18" s="2999">
        <f>SUM(B18)</f>
        <v>70.833333333333329</v>
      </c>
      <c r="S18" s="2997">
        <f t="shared" si="11"/>
        <v>212.5</v>
      </c>
      <c r="T18" s="2998">
        <f t="shared" si="9"/>
        <v>850</v>
      </c>
    </row>
    <row r="19" spans="1:20" ht="19.7" customHeight="1" x14ac:dyDescent="0.25">
      <c r="A19" s="2908" t="s">
        <v>3715</v>
      </c>
      <c r="B19" s="2999">
        <f>SUM('Прил.1 ПланФХД с транспортир.23'!C34)/3</f>
        <v>224.16666666666666</v>
      </c>
      <c r="C19" s="2999">
        <f>SUM(B19)</f>
        <v>224.16666666666666</v>
      </c>
      <c r="D19" s="2999">
        <f>SUM(B19)</f>
        <v>224.16666666666666</v>
      </c>
      <c r="E19" s="2997">
        <f t="shared" si="2"/>
        <v>672.5</v>
      </c>
      <c r="F19" s="2999">
        <f>SUM(B19)</f>
        <v>224.16666666666666</v>
      </c>
      <c r="G19" s="2999">
        <f>SUM(B19)</f>
        <v>224.16666666666666</v>
      </c>
      <c r="H19" s="2999">
        <f>SUM(B19)</f>
        <v>224.16666666666666</v>
      </c>
      <c r="I19" s="2997">
        <f t="shared" si="4"/>
        <v>672.5</v>
      </c>
      <c r="J19" s="2997">
        <f t="shared" si="5"/>
        <v>1345</v>
      </c>
      <c r="K19" s="2999">
        <f>SUM(B19)</f>
        <v>224.16666666666666</v>
      </c>
      <c r="L19" s="2999">
        <f>SUM(B19)</f>
        <v>224.16666666666666</v>
      </c>
      <c r="M19" s="2999">
        <f>SUM(B19)</f>
        <v>224.16666666666666</v>
      </c>
      <c r="N19" s="2997">
        <f t="shared" si="10"/>
        <v>672.5</v>
      </c>
      <c r="O19" s="2997">
        <f t="shared" si="7"/>
        <v>2017.5</v>
      </c>
      <c r="P19" s="2999">
        <f>SUM(B19)</f>
        <v>224.16666666666666</v>
      </c>
      <c r="Q19" s="2999">
        <f>SUM(B19)</f>
        <v>224.16666666666666</v>
      </c>
      <c r="R19" s="2999">
        <f>SUM(B19)</f>
        <v>224.16666666666666</v>
      </c>
      <c r="S19" s="2997">
        <f t="shared" si="11"/>
        <v>672.5</v>
      </c>
      <c r="T19" s="2998">
        <f t="shared" si="9"/>
        <v>2690</v>
      </c>
    </row>
    <row r="20" spans="1:20" ht="19.7" customHeight="1" x14ac:dyDescent="0.25">
      <c r="A20" s="2977" t="s">
        <v>3810</v>
      </c>
      <c r="B20" s="2996">
        <f>SUM(B21+B24+B25+B28+B29)</f>
        <v>26819.591594887133</v>
      </c>
      <c r="C20" s="2996">
        <f t="shared" ref="C20:D20" si="20">SUM(C21+C24+C25+C28+C29)</f>
        <v>26819.591594887133</v>
      </c>
      <c r="D20" s="2996">
        <f t="shared" si="20"/>
        <v>26819.591594887133</v>
      </c>
      <c r="E20" s="2997">
        <f t="shared" si="2"/>
        <v>80458.774784661393</v>
      </c>
      <c r="F20" s="2996">
        <f>SUM(F21+F24+F25+F28+F29)</f>
        <v>26819.591594887133</v>
      </c>
      <c r="G20" s="2996">
        <f t="shared" ref="G20:H20" si="21">SUM(G21+G24+G25+G28+G29)</f>
        <v>26819.591594887133</v>
      </c>
      <c r="H20" s="2996">
        <f t="shared" si="21"/>
        <v>26819.591594887133</v>
      </c>
      <c r="I20" s="2997">
        <f t="shared" si="4"/>
        <v>80458.774784661393</v>
      </c>
      <c r="J20" s="2997">
        <f t="shared" si="5"/>
        <v>160917.54956932279</v>
      </c>
      <c r="K20" s="2996">
        <f>SUM(K21+K24+K25+K28+K29)</f>
        <v>26819.591594887133</v>
      </c>
      <c r="L20" s="2996">
        <f t="shared" ref="L20:M20" si="22">SUM(L21+L24+L25+L28+L29)</f>
        <v>26819.591594887133</v>
      </c>
      <c r="M20" s="2996">
        <f t="shared" si="22"/>
        <v>26819.591594887133</v>
      </c>
      <c r="N20" s="2997">
        <f t="shared" si="10"/>
        <v>80458.774784661393</v>
      </c>
      <c r="O20" s="2997">
        <f t="shared" si="7"/>
        <v>241376.32435398418</v>
      </c>
      <c r="P20" s="2996">
        <f>SUM(P21+P24+P25+P28+P29)</f>
        <v>26819.591594887133</v>
      </c>
      <c r="Q20" s="2996">
        <f>SUM(Q21+Q24+Q25+Q28+Q29)</f>
        <v>26819.591594887133</v>
      </c>
      <c r="R20" s="2996">
        <f t="shared" ref="R20" si="23">SUM(R21+R24+R25+R28+R29)</f>
        <v>26819.591594887133</v>
      </c>
      <c r="S20" s="2997">
        <f t="shared" si="11"/>
        <v>80458.774784661393</v>
      </c>
      <c r="T20" s="2998">
        <f t="shared" si="9"/>
        <v>321835.09913864557</v>
      </c>
    </row>
    <row r="21" spans="1:20" ht="19.7" customHeight="1" x14ac:dyDescent="0.25">
      <c r="A21" s="2978" t="s">
        <v>3805</v>
      </c>
      <c r="B21" s="2996">
        <f>SUM(B22:B23)</f>
        <v>15605.919634270404</v>
      </c>
      <c r="C21" s="2996">
        <f t="shared" ref="C21:D21" si="24">SUM(C22:C23)</f>
        <v>15605.919634270404</v>
      </c>
      <c r="D21" s="2996">
        <f t="shared" si="24"/>
        <v>15605.919634270404</v>
      </c>
      <c r="E21" s="2997">
        <f t="shared" si="2"/>
        <v>46817.758902811212</v>
      </c>
      <c r="F21" s="2996">
        <f>SUM(F22:F23)</f>
        <v>15605.919634270404</v>
      </c>
      <c r="G21" s="2996">
        <f t="shared" ref="G21:H21" si="25">SUM(G22:G23)</f>
        <v>15605.919634270404</v>
      </c>
      <c r="H21" s="2996">
        <f t="shared" si="25"/>
        <v>15605.919634270404</v>
      </c>
      <c r="I21" s="2997">
        <f t="shared" si="4"/>
        <v>46817.758902811212</v>
      </c>
      <c r="J21" s="2997">
        <f t="shared" si="5"/>
        <v>93635.517805622425</v>
      </c>
      <c r="K21" s="2996">
        <f>SUM(K22:K23)</f>
        <v>15605.919634270404</v>
      </c>
      <c r="L21" s="2996">
        <f t="shared" ref="L21:M21" si="26">SUM(L22:L23)</f>
        <v>15605.919634270404</v>
      </c>
      <c r="M21" s="2996">
        <f t="shared" si="26"/>
        <v>15605.919634270404</v>
      </c>
      <c r="N21" s="2997">
        <f t="shared" si="10"/>
        <v>46817.758902811212</v>
      </c>
      <c r="O21" s="2997">
        <f t="shared" si="7"/>
        <v>140453.27670843364</v>
      </c>
      <c r="P21" s="2996">
        <f>SUM(P22:P23)</f>
        <v>15605.919634270404</v>
      </c>
      <c r="Q21" s="2996">
        <f t="shared" ref="Q21" si="27">SUM(Q22:Q23)</f>
        <v>15605.919634270404</v>
      </c>
      <c r="R21" s="2996">
        <f>SUM(R22:R23)</f>
        <v>15605.919634270404</v>
      </c>
      <c r="S21" s="2997">
        <f t="shared" si="11"/>
        <v>46817.758902811212</v>
      </c>
      <c r="T21" s="2998">
        <f t="shared" si="9"/>
        <v>187271.03561124485</v>
      </c>
    </row>
    <row r="22" spans="1:20" ht="19.7" customHeight="1" x14ac:dyDescent="0.25">
      <c r="A22" s="2972" t="s">
        <v>3799</v>
      </c>
      <c r="B22" s="2999">
        <f>SUM('Прил.1 ПланФХД с транспортир.23'!C37)/3</f>
        <v>15602.990637266261</v>
      </c>
      <c r="C22" s="2999">
        <f>SUM(B22)</f>
        <v>15602.990637266261</v>
      </c>
      <c r="D22" s="2999">
        <f>SUM(B22)</f>
        <v>15602.990637266261</v>
      </c>
      <c r="E22" s="2997">
        <f t="shared" si="2"/>
        <v>46808.971911798784</v>
      </c>
      <c r="F22" s="2999">
        <f>SUM(B22)</f>
        <v>15602.990637266261</v>
      </c>
      <c r="G22" s="2999">
        <f>SUM(B22)</f>
        <v>15602.990637266261</v>
      </c>
      <c r="H22" s="2999">
        <f>SUM(B22)</f>
        <v>15602.990637266261</v>
      </c>
      <c r="I22" s="2997">
        <f t="shared" si="4"/>
        <v>46808.971911798784</v>
      </c>
      <c r="J22" s="2997">
        <f t="shared" si="5"/>
        <v>93617.943823597569</v>
      </c>
      <c r="K22" s="2999">
        <f>SUM('Прил.1 ПланФХД с транспортир.23'!F37)/3</f>
        <v>15602.990637266261</v>
      </c>
      <c r="L22" s="2999">
        <f>SUM(K22)</f>
        <v>15602.990637266261</v>
      </c>
      <c r="M22" s="2999">
        <f>SUM(K22)</f>
        <v>15602.990637266261</v>
      </c>
      <c r="N22" s="2997">
        <f t="shared" si="10"/>
        <v>46808.971911798784</v>
      </c>
      <c r="O22" s="2997">
        <f t="shared" si="7"/>
        <v>140426.91573539635</v>
      </c>
      <c r="P22" s="2999">
        <f>SUM(K22)</f>
        <v>15602.990637266261</v>
      </c>
      <c r="Q22" s="2999">
        <f>SUM(K22)</f>
        <v>15602.990637266261</v>
      </c>
      <c r="R22" s="2999">
        <f>SUM(K22)</f>
        <v>15602.990637266261</v>
      </c>
      <c r="S22" s="2997">
        <f t="shared" si="11"/>
        <v>46808.971911798784</v>
      </c>
      <c r="T22" s="2998">
        <f t="shared" si="9"/>
        <v>187235.88764719514</v>
      </c>
    </row>
    <row r="23" spans="1:20" ht="19.7" customHeight="1" x14ac:dyDescent="0.25">
      <c r="A23" s="2976" t="s">
        <v>1693</v>
      </c>
      <c r="B23" s="2999">
        <f>SUM('Прил.1 ПланФХД с транспортир.23'!C38)/3</f>
        <v>2.9289970041436235</v>
      </c>
      <c r="C23" s="2999">
        <f>SUM(B23)</f>
        <v>2.9289970041436235</v>
      </c>
      <c r="D23" s="2999">
        <f>SUM(B23)</f>
        <v>2.9289970041436235</v>
      </c>
      <c r="E23" s="2997">
        <f t="shared" si="2"/>
        <v>8.786991012430871</v>
      </c>
      <c r="F23" s="2999">
        <f>SUM(B23)</f>
        <v>2.9289970041436235</v>
      </c>
      <c r="G23" s="2999">
        <f>SUM(B23)</f>
        <v>2.9289970041436235</v>
      </c>
      <c r="H23" s="2999">
        <f>SUM(B23)</f>
        <v>2.9289970041436235</v>
      </c>
      <c r="I23" s="2997">
        <f t="shared" si="4"/>
        <v>8.786991012430871</v>
      </c>
      <c r="J23" s="2997">
        <f t="shared" si="5"/>
        <v>17.573982024861742</v>
      </c>
      <c r="K23" s="2999">
        <f>SUM('Прил.1 ПланФХД с транспортир.23'!F38)/3</f>
        <v>2.9289970041436235</v>
      </c>
      <c r="L23" s="2999">
        <f>SUM(K23)</f>
        <v>2.9289970041436235</v>
      </c>
      <c r="M23" s="2999">
        <f>SUM(K23)</f>
        <v>2.9289970041436235</v>
      </c>
      <c r="N23" s="2997">
        <f t="shared" si="10"/>
        <v>8.786991012430871</v>
      </c>
      <c r="O23" s="2997">
        <f t="shared" si="7"/>
        <v>26.360973037292613</v>
      </c>
      <c r="P23" s="2999">
        <f>SUM(K23)</f>
        <v>2.9289970041436235</v>
      </c>
      <c r="Q23" s="2999">
        <f>SUM(K23)</f>
        <v>2.9289970041436235</v>
      </c>
      <c r="R23" s="2999">
        <f>SUM(K23)</f>
        <v>2.9289970041436235</v>
      </c>
      <c r="S23" s="2997">
        <f t="shared" si="11"/>
        <v>8.786991012430871</v>
      </c>
      <c r="T23" s="2998">
        <f t="shared" si="9"/>
        <v>35.147964049723484</v>
      </c>
    </row>
    <row r="24" spans="1:20" ht="19.7" customHeight="1" x14ac:dyDescent="0.25">
      <c r="A24" s="2981" t="s">
        <v>3827</v>
      </c>
      <c r="B24" s="2999">
        <f>SUM('Прил.1 ПланФХД с транспортир.23'!C39)/3</f>
        <v>92.457220629999995</v>
      </c>
      <c r="C24" s="2999">
        <f>SUM(B24)</f>
        <v>92.457220629999995</v>
      </c>
      <c r="D24" s="2999">
        <f>SUM(B24)</f>
        <v>92.457220629999995</v>
      </c>
      <c r="E24" s="2997">
        <f t="shared" si="2"/>
        <v>277.37166188999998</v>
      </c>
      <c r="F24" s="2999">
        <f>SUM(B24)</f>
        <v>92.457220629999995</v>
      </c>
      <c r="G24" s="2999">
        <f>SUM(B24)</f>
        <v>92.457220629999995</v>
      </c>
      <c r="H24" s="2999">
        <f>SUM(B24)</f>
        <v>92.457220629999995</v>
      </c>
      <c r="I24" s="2997">
        <f t="shared" si="4"/>
        <v>277.37166188999998</v>
      </c>
      <c r="J24" s="2997">
        <f t="shared" si="5"/>
        <v>554.74332377999997</v>
      </c>
      <c r="K24" s="2999">
        <f>SUM('Прил.1 ПланФХД с транспортир.23'!F39)/3</f>
        <v>92.457220629999995</v>
      </c>
      <c r="L24" s="2999">
        <f>SUM(K24)</f>
        <v>92.457220629999995</v>
      </c>
      <c r="M24" s="2999">
        <f>SUM(K24)</f>
        <v>92.457220629999995</v>
      </c>
      <c r="N24" s="2997">
        <f t="shared" si="10"/>
        <v>277.37166188999998</v>
      </c>
      <c r="O24" s="2997">
        <f t="shared" si="7"/>
        <v>832.1149856699999</v>
      </c>
      <c r="P24" s="2999">
        <f>SUM(K24)</f>
        <v>92.457220629999995</v>
      </c>
      <c r="Q24" s="2999">
        <f>SUM(K24)</f>
        <v>92.457220629999995</v>
      </c>
      <c r="R24" s="2999">
        <f>SUM(K24)</f>
        <v>92.457220629999995</v>
      </c>
      <c r="S24" s="2997">
        <f t="shared" si="11"/>
        <v>277.37166188999998</v>
      </c>
      <c r="T24" s="2998">
        <f t="shared" si="9"/>
        <v>1109.4866475599999</v>
      </c>
    </row>
    <row r="25" spans="1:20" ht="19.7" customHeight="1" x14ac:dyDescent="0.25">
      <c r="A25" s="2978" t="s">
        <v>3801</v>
      </c>
      <c r="B25" s="2996">
        <f>SUM(B26:B27)</f>
        <v>10404.146234840666</v>
      </c>
      <c r="C25" s="2996">
        <f t="shared" ref="C25:D25" si="28">SUM(C26:C27)</f>
        <v>10404.146234840666</v>
      </c>
      <c r="D25" s="2996">
        <f t="shared" si="28"/>
        <v>10404.146234840666</v>
      </c>
      <c r="E25" s="2997">
        <f t="shared" si="2"/>
        <v>31212.438704521999</v>
      </c>
      <c r="F25" s="2996">
        <f>SUM(F26:F27)</f>
        <v>10404.146234840666</v>
      </c>
      <c r="G25" s="2996">
        <f t="shared" ref="G25:H25" si="29">SUM(G26:G27)</f>
        <v>10404.146234840666</v>
      </c>
      <c r="H25" s="2996">
        <f t="shared" si="29"/>
        <v>10404.146234840666</v>
      </c>
      <c r="I25" s="2997">
        <f t="shared" si="4"/>
        <v>31212.438704521999</v>
      </c>
      <c r="J25" s="2997">
        <f t="shared" si="5"/>
        <v>62424.877409043998</v>
      </c>
      <c r="K25" s="2996">
        <f>SUM(K26:K27)</f>
        <v>10404.146234840666</v>
      </c>
      <c r="L25" s="2996">
        <f t="shared" ref="L25:M25" si="30">SUM(L26:L27)</f>
        <v>10404.146234840666</v>
      </c>
      <c r="M25" s="2996">
        <f t="shared" si="30"/>
        <v>10404.146234840666</v>
      </c>
      <c r="N25" s="2997">
        <f t="shared" si="10"/>
        <v>31212.438704521999</v>
      </c>
      <c r="O25" s="2997">
        <f t="shared" si="7"/>
        <v>93637.31611356599</v>
      </c>
      <c r="P25" s="2996">
        <f>SUM(P26:P27)</f>
        <v>10404.146234840666</v>
      </c>
      <c r="Q25" s="2996">
        <f t="shared" ref="Q25:R25" si="31">SUM(Q26:Q27)</f>
        <v>10404.146234840666</v>
      </c>
      <c r="R25" s="2996">
        <f t="shared" si="31"/>
        <v>10404.146234840666</v>
      </c>
      <c r="S25" s="2997">
        <f t="shared" si="11"/>
        <v>31212.438704521999</v>
      </c>
      <c r="T25" s="2998">
        <f t="shared" si="9"/>
        <v>124849.754818088</v>
      </c>
    </row>
    <row r="26" spans="1:20" ht="19.7" customHeight="1" x14ac:dyDescent="0.25">
      <c r="A26" s="2976" t="s">
        <v>335</v>
      </c>
      <c r="B26" s="2999">
        <f>SUM('Прил.1 ПланФХД с транспортир.23'!C41)/3</f>
        <v>10375.248415879982</v>
      </c>
      <c r="C26" s="2999">
        <f>SUM(B26)</f>
        <v>10375.248415879982</v>
      </c>
      <c r="D26" s="2999">
        <f>SUM(B26)</f>
        <v>10375.248415879982</v>
      </c>
      <c r="E26" s="2997">
        <f t="shared" si="2"/>
        <v>31125.745247639945</v>
      </c>
      <c r="F26" s="2999">
        <f>SUM(B26)</f>
        <v>10375.248415879982</v>
      </c>
      <c r="G26" s="2999">
        <f>SUM(B26)</f>
        <v>10375.248415879982</v>
      </c>
      <c r="H26" s="2999">
        <f>SUM(B26)</f>
        <v>10375.248415879982</v>
      </c>
      <c r="I26" s="2997">
        <f t="shared" si="4"/>
        <v>31125.745247639945</v>
      </c>
      <c r="J26" s="2997">
        <f t="shared" si="5"/>
        <v>62251.49049527989</v>
      </c>
      <c r="K26" s="2999">
        <f>SUM('Прил.1 ПланФХД с транспортир.23'!F41)/3</f>
        <v>10375.248415879982</v>
      </c>
      <c r="L26" s="2999">
        <f>SUM(K26)</f>
        <v>10375.248415879982</v>
      </c>
      <c r="M26" s="2999">
        <f>SUM(K26)</f>
        <v>10375.248415879982</v>
      </c>
      <c r="N26" s="2997">
        <f t="shared" si="10"/>
        <v>31125.745247639945</v>
      </c>
      <c r="O26" s="2997">
        <f t="shared" si="7"/>
        <v>93377.235742919831</v>
      </c>
      <c r="P26" s="2999">
        <f>SUM(K26)</f>
        <v>10375.248415879982</v>
      </c>
      <c r="Q26" s="2999">
        <f>SUM(K26)</f>
        <v>10375.248415879982</v>
      </c>
      <c r="R26" s="2999">
        <f>SUM(K26)</f>
        <v>10375.248415879982</v>
      </c>
      <c r="S26" s="2997">
        <f t="shared" si="11"/>
        <v>31125.745247639945</v>
      </c>
      <c r="T26" s="2998">
        <f t="shared" si="9"/>
        <v>124502.98099055978</v>
      </c>
    </row>
    <row r="27" spans="1:20" ht="19.7" customHeight="1" x14ac:dyDescent="0.25">
      <c r="A27" s="2976" t="s">
        <v>3802</v>
      </c>
      <c r="B27" s="2999">
        <f>SUM('Прил.1 ПланФХД с транспортир.23'!C42)/3</f>
        <v>28.89781896068455</v>
      </c>
      <c r="C27" s="2999">
        <f>SUM(B27)</f>
        <v>28.89781896068455</v>
      </c>
      <c r="D27" s="2999">
        <f>SUM(B27)</f>
        <v>28.89781896068455</v>
      </c>
      <c r="E27" s="2997">
        <f t="shared" si="2"/>
        <v>86.693456882053653</v>
      </c>
      <c r="F27" s="2999">
        <f>SUM(B27)</f>
        <v>28.89781896068455</v>
      </c>
      <c r="G27" s="2999">
        <f>SUM(B27)</f>
        <v>28.89781896068455</v>
      </c>
      <c r="H27" s="2999">
        <f>SUM(B27)</f>
        <v>28.89781896068455</v>
      </c>
      <c r="I27" s="2997">
        <f t="shared" si="4"/>
        <v>86.693456882053653</v>
      </c>
      <c r="J27" s="2997">
        <f t="shared" si="5"/>
        <v>173.38691376410731</v>
      </c>
      <c r="K27" s="2999">
        <f>SUM('Прил.1 ПланФХД с транспортир.23'!F42)/3</f>
        <v>28.89781896068455</v>
      </c>
      <c r="L27" s="2999">
        <f>SUM(K27)</f>
        <v>28.89781896068455</v>
      </c>
      <c r="M27" s="2999">
        <f>SUM(K27)</f>
        <v>28.89781896068455</v>
      </c>
      <c r="N27" s="2997">
        <f t="shared" si="10"/>
        <v>86.693456882053653</v>
      </c>
      <c r="O27" s="2997">
        <f t="shared" si="7"/>
        <v>260.08037064616099</v>
      </c>
      <c r="P27" s="2999">
        <f>SUM(K27)</f>
        <v>28.89781896068455</v>
      </c>
      <c r="Q27" s="2999">
        <f>SUM(K27)</f>
        <v>28.89781896068455</v>
      </c>
      <c r="R27" s="2999">
        <f>SUM(K27)</f>
        <v>28.89781896068455</v>
      </c>
      <c r="S27" s="2997">
        <f t="shared" si="11"/>
        <v>86.693456882053653</v>
      </c>
      <c r="T27" s="2998">
        <f t="shared" si="9"/>
        <v>346.77382752821461</v>
      </c>
    </row>
    <row r="28" spans="1:20" ht="19.7" customHeight="1" x14ac:dyDescent="0.25">
      <c r="A28" s="2981" t="s">
        <v>3828</v>
      </c>
      <c r="B28" s="2999">
        <f>SUM('Прил.1 ПланФХД с транспортир.23'!C43)/3</f>
        <v>481.06850514606253</v>
      </c>
      <c r="C28" s="2999">
        <f>SUM(B28)</f>
        <v>481.06850514606253</v>
      </c>
      <c r="D28" s="2999">
        <f>SUM(B28)</f>
        <v>481.06850514606253</v>
      </c>
      <c r="E28" s="2997">
        <f t="shared" si="2"/>
        <v>1443.2055154381876</v>
      </c>
      <c r="F28" s="2999">
        <f>SUM(B28)</f>
        <v>481.06850514606253</v>
      </c>
      <c r="G28" s="2999">
        <f>SUM(B28)</f>
        <v>481.06850514606253</v>
      </c>
      <c r="H28" s="2999">
        <f>SUM(B28)</f>
        <v>481.06850514606253</v>
      </c>
      <c r="I28" s="2997">
        <f t="shared" si="4"/>
        <v>1443.2055154381876</v>
      </c>
      <c r="J28" s="2997">
        <f t="shared" si="5"/>
        <v>2886.4110308763752</v>
      </c>
      <c r="K28" s="2999">
        <f>SUM('Прил.1 ПланФХД с транспортир.23'!F43)/3</f>
        <v>481.06850514606253</v>
      </c>
      <c r="L28" s="2999">
        <f>SUM(K28)</f>
        <v>481.06850514606253</v>
      </c>
      <c r="M28" s="2999">
        <f>SUM(K28)</f>
        <v>481.06850514606253</v>
      </c>
      <c r="N28" s="2997">
        <f t="shared" si="10"/>
        <v>1443.2055154381876</v>
      </c>
      <c r="O28" s="2997">
        <f t="shared" si="7"/>
        <v>4329.6165463145626</v>
      </c>
      <c r="P28" s="2999">
        <f>SUM(K28)</f>
        <v>481.06850514606253</v>
      </c>
      <c r="Q28" s="2999">
        <f>SUM(K28)</f>
        <v>481.06850514606253</v>
      </c>
      <c r="R28" s="2999">
        <f>SUM(K28)</f>
        <v>481.06850514606253</v>
      </c>
      <c r="S28" s="2997">
        <f t="shared" si="11"/>
        <v>1443.2055154381876</v>
      </c>
      <c r="T28" s="2998">
        <f t="shared" si="9"/>
        <v>5772.8220617527504</v>
      </c>
    </row>
    <row r="29" spans="1:20" ht="19.7" customHeight="1" x14ac:dyDescent="0.25">
      <c r="A29" s="2978" t="s">
        <v>3811</v>
      </c>
      <c r="B29" s="2996">
        <f>SUM(B30:B31)</f>
        <v>236</v>
      </c>
      <c r="C29" s="2996">
        <f t="shared" ref="C29:D29" si="32">SUM(C30:C31)</f>
        <v>236</v>
      </c>
      <c r="D29" s="2996">
        <f t="shared" si="32"/>
        <v>236</v>
      </c>
      <c r="E29" s="2997">
        <f t="shared" si="2"/>
        <v>708</v>
      </c>
      <c r="F29" s="2996">
        <f>SUM(F30:F31)</f>
        <v>236</v>
      </c>
      <c r="G29" s="2996">
        <f t="shared" ref="G29:H29" si="33">SUM(G30:G31)</f>
        <v>236</v>
      </c>
      <c r="H29" s="2996">
        <f t="shared" si="33"/>
        <v>236</v>
      </c>
      <c r="I29" s="2997">
        <f t="shared" si="4"/>
        <v>708</v>
      </c>
      <c r="J29" s="2997">
        <f t="shared" si="5"/>
        <v>1416</v>
      </c>
      <c r="K29" s="2996">
        <f>SUM(K30:K31)</f>
        <v>236</v>
      </c>
      <c r="L29" s="2996">
        <f t="shared" ref="L29:M29" si="34">SUM(L30:L31)</f>
        <v>236</v>
      </c>
      <c r="M29" s="2996">
        <f t="shared" si="34"/>
        <v>236</v>
      </c>
      <c r="N29" s="2997">
        <f t="shared" si="10"/>
        <v>708</v>
      </c>
      <c r="O29" s="2997">
        <f t="shared" si="7"/>
        <v>2124</v>
      </c>
      <c r="P29" s="2996">
        <f>SUM(P30:P31)</f>
        <v>236</v>
      </c>
      <c r="Q29" s="2996">
        <f t="shared" ref="Q29:R29" si="35">SUM(Q30:Q31)</f>
        <v>236</v>
      </c>
      <c r="R29" s="2996">
        <f t="shared" si="35"/>
        <v>236</v>
      </c>
      <c r="S29" s="2997">
        <f t="shared" si="11"/>
        <v>708</v>
      </c>
      <c r="T29" s="2998">
        <f t="shared" si="9"/>
        <v>2832</v>
      </c>
    </row>
    <row r="30" spans="1:20" ht="19.7" customHeight="1" x14ac:dyDescent="0.25">
      <c r="A30" s="2982" t="s">
        <v>3809</v>
      </c>
      <c r="B30" s="2999">
        <f>SUM('Прил.1 ПланФХД с транспортир.23'!C45)/3</f>
        <v>56.666666666666664</v>
      </c>
      <c r="C30" s="2999">
        <f>SUM(B30)</f>
        <v>56.666666666666664</v>
      </c>
      <c r="D30" s="2999">
        <f>SUM(B30)</f>
        <v>56.666666666666664</v>
      </c>
      <c r="E30" s="2997">
        <f t="shared" si="2"/>
        <v>170</v>
      </c>
      <c r="F30" s="2999">
        <f>SUM(B30)</f>
        <v>56.666666666666664</v>
      </c>
      <c r="G30" s="2999">
        <f>SUM(B30)</f>
        <v>56.666666666666664</v>
      </c>
      <c r="H30" s="2999">
        <f>SUM(B30)</f>
        <v>56.666666666666664</v>
      </c>
      <c r="I30" s="2997">
        <f t="shared" si="4"/>
        <v>170</v>
      </c>
      <c r="J30" s="2997">
        <f t="shared" si="5"/>
        <v>340</v>
      </c>
      <c r="K30" s="2999">
        <f>SUM(B30)</f>
        <v>56.666666666666664</v>
      </c>
      <c r="L30" s="2999">
        <f>SUM(B30)</f>
        <v>56.666666666666664</v>
      </c>
      <c r="M30" s="2999">
        <f>SUM(B30)</f>
        <v>56.666666666666664</v>
      </c>
      <c r="N30" s="2997">
        <f t="shared" si="10"/>
        <v>170</v>
      </c>
      <c r="O30" s="2997">
        <f t="shared" si="7"/>
        <v>510</v>
      </c>
      <c r="P30" s="2999">
        <f>SUM(B30)</f>
        <v>56.666666666666664</v>
      </c>
      <c r="Q30" s="2999">
        <f>SUM(B30)</f>
        <v>56.666666666666664</v>
      </c>
      <c r="R30" s="2999">
        <f>SUM(B30)</f>
        <v>56.666666666666664</v>
      </c>
      <c r="S30" s="2997">
        <f t="shared" si="11"/>
        <v>170</v>
      </c>
      <c r="T30" s="2998">
        <f t="shared" si="9"/>
        <v>680</v>
      </c>
    </row>
    <row r="31" spans="1:20" ht="19.7" customHeight="1" x14ac:dyDescent="0.25">
      <c r="A31" s="2982" t="s">
        <v>3715</v>
      </c>
      <c r="B31" s="2999">
        <f>SUM('Прил.1 ПланФХД с транспортир.23'!C46)/3</f>
        <v>179.33333333333334</v>
      </c>
      <c r="C31" s="2999">
        <f>SUM(B31)</f>
        <v>179.33333333333334</v>
      </c>
      <c r="D31" s="2999">
        <f>SUM(B31)</f>
        <v>179.33333333333334</v>
      </c>
      <c r="E31" s="2997">
        <f t="shared" si="2"/>
        <v>538</v>
      </c>
      <c r="F31" s="2999">
        <f>SUM(B31)</f>
        <v>179.33333333333334</v>
      </c>
      <c r="G31" s="2999">
        <f>SUM(B31)</f>
        <v>179.33333333333334</v>
      </c>
      <c r="H31" s="2999">
        <f>SUM(B31)</f>
        <v>179.33333333333334</v>
      </c>
      <c r="I31" s="2997">
        <f t="shared" si="4"/>
        <v>538</v>
      </c>
      <c r="J31" s="2997">
        <f t="shared" si="5"/>
        <v>1076</v>
      </c>
      <c r="K31" s="2999">
        <f>SUM(B31)</f>
        <v>179.33333333333334</v>
      </c>
      <c r="L31" s="2999">
        <f>SUM(B31)</f>
        <v>179.33333333333334</v>
      </c>
      <c r="M31" s="2999">
        <f>SUM(B31)</f>
        <v>179.33333333333334</v>
      </c>
      <c r="N31" s="2997">
        <f t="shared" si="10"/>
        <v>538</v>
      </c>
      <c r="O31" s="2997">
        <f t="shared" si="7"/>
        <v>1614</v>
      </c>
      <c r="P31" s="2999">
        <f>SUM(B31)</f>
        <v>179.33333333333334</v>
      </c>
      <c r="Q31" s="2999">
        <f>SUM(B31)</f>
        <v>179.33333333333334</v>
      </c>
      <c r="R31" s="2999">
        <f>SUM(B31)</f>
        <v>179.33333333333334</v>
      </c>
      <c r="S31" s="2997">
        <f t="shared" si="11"/>
        <v>538</v>
      </c>
      <c r="T31" s="2998">
        <f t="shared" si="9"/>
        <v>2152</v>
      </c>
    </row>
    <row r="32" spans="1:20" ht="19.7" customHeight="1" x14ac:dyDescent="0.25">
      <c r="A32" s="2975" t="s">
        <v>3812</v>
      </c>
      <c r="B32" s="2992">
        <f>SUM(B33:B37)</f>
        <v>58.999921565009572</v>
      </c>
      <c r="C32" s="2992">
        <f t="shared" ref="C32:D32" si="36">SUM(C33:C37)</f>
        <v>58.999921565009572</v>
      </c>
      <c r="D32" s="2992">
        <f t="shared" si="36"/>
        <v>58.999921565009572</v>
      </c>
      <c r="E32" s="2993">
        <f t="shared" si="2"/>
        <v>176.99976469502872</v>
      </c>
      <c r="F32" s="2992">
        <f>SUM(F33:F37)</f>
        <v>58.999921565009572</v>
      </c>
      <c r="G32" s="2992">
        <f t="shared" ref="G32:H32" si="37">SUM(G33:G37)</f>
        <v>58.999921565009572</v>
      </c>
      <c r="H32" s="2992">
        <f t="shared" si="37"/>
        <v>58.999921565009572</v>
      </c>
      <c r="I32" s="2993">
        <f t="shared" si="4"/>
        <v>176.99976469502872</v>
      </c>
      <c r="J32" s="2993">
        <f t="shared" si="5"/>
        <v>353.99952939005743</v>
      </c>
      <c r="K32" s="2992">
        <f>SUM(K33:K37)</f>
        <v>58.999921565009572</v>
      </c>
      <c r="L32" s="2992">
        <f t="shared" ref="L32:M32" si="38">SUM(L33:L37)</f>
        <v>58.999921565009572</v>
      </c>
      <c r="M32" s="2992">
        <f t="shared" si="38"/>
        <v>58.999921565009572</v>
      </c>
      <c r="N32" s="2993">
        <f t="shared" si="10"/>
        <v>176.99976469502872</v>
      </c>
      <c r="O32" s="2993">
        <f t="shared" si="7"/>
        <v>530.99929408508615</v>
      </c>
      <c r="P32" s="2992">
        <f>SUM(P33:P37)</f>
        <v>58.999921565009572</v>
      </c>
      <c r="Q32" s="2992">
        <f t="shared" ref="Q32:R32" si="39">SUM(Q33:Q37)</f>
        <v>58.999921565009572</v>
      </c>
      <c r="R32" s="2992">
        <f t="shared" si="39"/>
        <v>58.999921565009572</v>
      </c>
      <c r="S32" s="2993">
        <f t="shared" si="11"/>
        <v>176.99976469502872</v>
      </c>
      <c r="T32" s="2994">
        <f t="shared" si="9"/>
        <v>707.99905878011486</v>
      </c>
    </row>
    <row r="33" spans="1:20" ht="19.7" customHeight="1" x14ac:dyDescent="0.25">
      <c r="A33" s="2976" t="s">
        <v>345</v>
      </c>
      <c r="B33" s="2999">
        <f>SUM(B9-B21)</f>
        <v>2.8972579275432508E-4</v>
      </c>
      <c r="C33" s="2999">
        <f t="shared" ref="C33:D33" si="40">SUM(C9-C21)</f>
        <v>2.8972579275432508E-4</v>
      </c>
      <c r="D33" s="2999">
        <f t="shared" si="40"/>
        <v>2.8972579275432508E-4</v>
      </c>
      <c r="E33" s="2997">
        <f t="shared" ref="E33:E39" si="41">SUM(B33:D33)</f>
        <v>8.6917737826297525E-4</v>
      </c>
      <c r="F33" s="2999">
        <f>SUM(F9-F21)</f>
        <v>2.8972579275432508E-4</v>
      </c>
      <c r="G33" s="2999">
        <f t="shared" ref="G33:H33" si="42">SUM(G9-G21)</f>
        <v>2.8972579275432508E-4</v>
      </c>
      <c r="H33" s="2999">
        <f t="shared" si="42"/>
        <v>2.8972579275432508E-4</v>
      </c>
      <c r="I33" s="2997">
        <f t="shared" ref="I33:I39" si="43">SUM(F33:H33)</f>
        <v>8.6917737826297525E-4</v>
      </c>
      <c r="J33" s="2997">
        <f t="shared" si="5"/>
        <v>1.7383547565259505E-3</v>
      </c>
      <c r="K33" s="2999">
        <f>SUM(K9-K21)</f>
        <v>2.8972579275432508E-4</v>
      </c>
      <c r="L33" s="2999">
        <f t="shared" ref="L33:M33" si="44">SUM(L9-L21)</f>
        <v>2.8972579275432508E-4</v>
      </c>
      <c r="M33" s="2999">
        <f t="shared" si="44"/>
        <v>2.8972579275432508E-4</v>
      </c>
      <c r="N33" s="2997">
        <f t="shared" ref="N33:N39" si="45">SUM(K33:M33)</f>
        <v>8.6917737826297525E-4</v>
      </c>
      <c r="O33" s="2997">
        <f t="shared" si="7"/>
        <v>2.6075321347889258E-3</v>
      </c>
      <c r="P33" s="2999">
        <f>SUM(P9-P21)</f>
        <v>2.8972579275432508E-4</v>
      </c>
      <c r="Q33" s="2999">
        <f t="shared" ref="Q33:R33" si="46">SUM(Q9-Q21)</f>
        <v>2.8972579275432508E-4</v>
      </c>
      <c r="R33" s="2999">
        <f t="shared" si="46"/>
        <v>2.8972579275432508E-4</v>
      </c>
      <c r="S33" s="2997">
        <f t="shared" ref="S33:S39" si="47">SUM(P33:R33)</f>
        <v>8.6917737826297525E-4</v>
      </c>
      <c r="T33" s="2998">
        <f t="shared" si="9"/>
        <v>3.476709513051901E-3</v>
      </c>
    </row>
    <row r="34" spans="1:20" ht="19.7" customHeight="1" x14ac:dyDescent="0.25">
      <c r="A34" s="2972" t="s">
        <v>3827</v>
      </c>
      <c r="B34" s="2999">
        <f>SUM(B12-B24)</f>
        <v>0</v>
      </c>
      <c r="C34" s="2999">
        <f t="shared" ref="C34:D35" si="48">SUM(C12-C24)</f>
        <v>0</v>
      </c>
      <c r="D34" s="2999">
        <f t="shared" si="48"/>
        <v>0</v>
      </c>
      <c r="E34" s="2997">
        <f t="shared" si="41"/>
        <v>0</v>
      </c>
      <c r="F34" s="2999">
        <f>SUM(F12-F24)</f>
        <v>0</v>
      </c>
      <c r="G34" s="2999">
        <f t="shared" ref="G34:H35" si="49">SUM(G12-G24)</f>
        <v>0</v>
      </c>
      <c r="H34" s="2999">
        <f t="shared" si="49"/>
        <v>0</v>
      </c>
      <c r="I34" s="2997">
        <f t="shared" si="43"/>
        <v>0</v>
      </c>
      <c r="J34" s="2997">
        <f t="shared" si="5"/>
        <v>0</v>
      </c>
      <c r="K34" s="2999">
        <f>SUM(K12-K24)</f>
        <v>0</v>
      </c>
      <c r="L34" s="2999">
        <f t="shared" ref="L34:M35" si="50">SUM(L12-L24)</f>
        <v>0</v>
      </c>
      <c r="M34" s="2999">
        <f t="shared" si="50"/>
        <v>0</v>
      </c>
      <c r="N34" s="2997">
        <f t="shared" si="45"/>
        <v>0</v>
      </c>
      <c r="O34" s="2997">
        <f t="shared" si="7"/>
        <v>0</v>
      </c>
      <c r="P34" s="2999">
        <f>SUM(P12-P24)</f>
        <v>0</v>
      </c>
      <c r="Q34" s="2999">
        <f t="shared" ref="Q34:R35" si="51">SUM(Q12-Q24)</f>
        <v>0</v>
      </c>
      <c r="R34" s="2999">
        <f t="shared" si="51"/>
        <v>0</v>
      </c>
      <c r="S34" s="2997">
        <f t="shared" si="47"/>
        <v>0</v>
      </c>
      <c r="T34" s="2998">
        <f t="shared" si="9"/>
        <v>0</v>
      </c>
    </row>
    <row r="35" spans="1:20" ht="19.7" customHeight="1" x14ac:dyDescent="0.25">
      <c r="A35" s="2976" t="s">
        <v>335</v>
      </c>
      <c r="B35" s="2999">
        <f>SUM(B13-B25)</f>
        <v>-3.6816078318224754E-4</v>
      </c>
      <c r="C35" s="2999">
        <f t="shared" si="48"/>
        <v>-3.6816078318224754E-4</v>
      </c>
      <c r="D35" s="2999">
        <f t="shared" si="48"/>
        <v>-3.6816078318224754E-4</v>
      </c>
      <c r="E35" s="2997">
        <f t="shared" si="41"/>
        <v>-1.1044823495467426E-3</v>
      </c>
      <c r="F35" s="2999">
        <f>SUM(F13-F25)</f>
        <v>-3.6816078318224754E-4</v>
      </c>
      <c r="G35" s="2999">
        <f t="shared" si="49"/>
        <v>-3.6816078318224754E-4</v>
      </c>
      <c r="H35" s="2999">
        <f t="shared" si="49"/>
        <v>-3.6816078318224754E-4</v>
      </c>
      <c r="I35" s="2997">
        <f t="shared" si="43"/>
        <v>-1.1044823495467426E-3</v>
      </c>
      <c r="J35" s="2997">
        <f t="shared" si="5"/>
        <v>-2.2089646990934853E-3</v>
      </c>
      <c r="K35" s="2999">
        <f>SUM(K13-K25)</f>
        <v>-3.6816078318224754E-4</v>
      </c>
      <c r="L35" s="2999">
        <f t="shared" si="50"/>
        <v>-3.6816078318224754E-4</v>
      </c>
      <c r="M35" s="2999">
        <f t="shared" si="50"/>
        <v>-3.6816078318224754E-4</v>
      </c>
      <c r="N35" s="2997">
        <f t="shared" si="45"/>
        <v>-1.1044823495467426E-3</v>
      </c>
      <c r="O35" s="2997">
        <f t="shared" si="7"/>
        <v>-3.3134470486402279E-3</v>
      </c>
      <c r="P35" s="2999">
        <f>SUM(P13-P25)</f>
        <v>-3.6816078318224754E-4</v>
      </c>
      <c r="Q35" s="2999">
        <f t="shared" si="51"/>
        <v>-3.6816078318224754E-4</v>
      </c>
      <c r="R35" s="2999">
        <f t="shared" si="51"/>
        <v>-3.6816078318224754E-4</v>
      </c>
      <c r="S35" s="2997">
        <f t="shared" si="47"/>
        <v>-1.1044823495467426E-3</v>
      </c>
      <c r="T35" s="2998">
        <f t="shared" si="9"/>
        <v>-4.4179293981869705E-3</v>
      </c>
    </row>
    <row r="36" spans="1:20" ht="19.7" customHeight="1" x14ac:dyDescent="0.25">
      <c r="A36" s="2972" t="s">
        <v>3828</v>
      </c>
      <c r="B36" s="2999">
        <f>SUM(B16-B28)</f>
        <v>0</v>
      </c>
      <c r="C36" s="2999">
        <f t="shared" ref="C36:D37" si="52">SUM(C16-C28)</f>
        <v>0</v>
      </c>
      <c r="D36" s="2999">
        <f t="shared" si="52"/>
        <v>0</v>
      </c>
      <c r="E36" s="2997">
        <f t="shared" si="41"/>
        <v>0</v>
      </c>
      <c r="F36" s="2999">
        <f>SUM(F16-F28)</f>
        <v>0</v>
      </c>
      <c r="G36" s="2999">
        <f t="shared" ref="G36:H37" si="53">SUM(G16-G28)</f>
        <v>0</v>
      </c>
      <c r="H36" s="2999">
        <f t="shared" si="53"/>
        <v>0</v>
      </c>
      <c r="I36" s="2997">
        <f t="shared" si="43"/>
        <v>0</v>
      </c>
      <c r="J36" s="2997">
        <f t="shared" si="5"/>
        <v>0</v>
      </c>
      <c r="K36" s="2999">
        <f>SUM(K16-K28)</f>
        <v>0</v>
      </c>
      <c r="L36" s="2999">
        <f t="shared" ref="L36:M37" si="54">SUM(L16-L28)</f>
        <v>0</v>
      </c>
      <c r="M36" s="2999">
        <f t="shared" si="54"/>
        <v>0</v>
      </c>
      <c r="N36" s="2997">
        <f t="shared" si="45"/>
        <v>0</v>
      </c>
      <c r="O36" s="2997">
        <f t="shared" si="7"/>
        <v>0</v>
      </c>
      <c r="P36" s="2999">
        <f>SUM(P16-P28)</f>
        <v>0</v>
      </c>
      <c r="Q36" s="2999">
        <f t="shared" ref="Q36:R37" si="55">SUM(Q16-Q28)</f>
        <v>0</v>
      </c>
      <c r="R36" s="2999">
        <f t="shared" si="55"/>
        <v>0</v>
      </c>
      <c r="S36" s="2997">
        <f t="shared" si="47"/>
        <v>0</v>
      </c>
      <c r="T36" s="2998">
        <f t="shared" si="9"/>
        <v>0</v>
      </c>
    </row>
    <row r="37" spans="1:20" ht="19.7" customHeight="1" x14ac:dyDescent="0.25">
      <c r="A37" s="2976" t="s">
        <v>3813</v>
      </c>
      <c r="B37" s="2999">
        <f>SUM(B17-B29)</f>
        <v>59</v>
      </c>
      <c r="C37" s="2999">
        <f t="shared" si="52"/>
        <v>59</v>
      </c>
      <c r="D37" s="2999">
        <f t="shared" si="52"/>
        <v>59</v>
      </c>
      <c r="E37" s="2997">
        <f t="shared" si="41"/>
        <v>177</v>
      </c>
      <c r="F37" s="2999">
        <f>SUM(F17-F29)</f>
        <v>59</v>
      </c>
      <c r="G37" s="2999">
        <f t="shared" si="53"/>
        <v>59</v>
      </c>
      <c r="H37" s="2999">
        <f t="shared" si="53"/>
        <v>59</v>
      </c>
      <c r="I37" s="2997">
        <f t="shared" si="43"/>
        <v>177</v>
      </c>
      <c r="J37" s="2997">
        <f t="shared" si="5"/>
        <v>354</v>
      </c>
      <c r="K37" s="2999">
        <f>SUM(K17-K29)</f>
        <v>59</v>
      </c>
      <c r="L37" s="2999">
        <f t="shared" si="54"/>
        <v>59</v>
      </c>
      <c r="M37" s="2999">
        <f t="shared" si="54"/>
        <v>59</v>
      </c>
      <c r="N37" s="2997">
        <f t="shared" si="45"/>
        <v>177</v>
      </c>
      <c r="O37" s="2997">
        <f t="shared" si="7"/>
        <v>531</v>
      </c>
      <c r="P37" s="2999">
        <f>SUM(P17-P29)</f>
        <v>59</v>
      </c>
      <c r="Q37" s="2999">
        <f t="shared" si="55"/>
        <v>59</v>
      </c>
      <c r="R37" s="2999">
        <f t="shared" si="55"/>
        <v>59</v>
      </c>
      <c r="S37" s="2997">
        <f t="shared" si="47"/>
        <v>177</v>
      </c>
      <c r="T37" s="2998">
        <f t="shared" si="9"/>
        <v>708</v>
      </c>
    </row>
    <row r="38" spans="1:20" ht="19.7" customHeight="1" x14ac:dyDescent="0.25">
      <c r="A38" s="2975" t="s">
        <v>3814</v>
      </c>
      <c r="B38" s="2992">
        <f>SUM('Прил.1 ПланФХД с транспортир.23'!C53)/3</f>
        <v>1208.1066666666668</v>
      </c>
      <c r="C38" s="2992">
        <f>SUM(B38)</f>
        <v>1208.1066666666668</v>
      </c>
      <c r="D38" s="2992">
        <f>SUM(B38)</f>
        <v>1208.1066666666668</v>
      </c>
      <c r="E38" s="2993">
        <f t="shared" si="41"/>
        <v>3624.3200000000006</v>
      </c>
      <c r="F38" s="2992">
        <f>SUM(B38)</f>
        <v>1208.1066666666668</v>
      </c>
      <c r="G38" s="2992">
        <f>SUM(B38)</f>
        <v>1208.1066666666668</v>
      </c>
      <c r="H38" s="2992">
        <f>SUM(B38)</f>
        <v>1208.1066666666668</v>
      </c>
      <c r="I38" s="2993">
        <f t="shared" si="43"/>
        <v>3624.3200000000006</v>
      </c>
      <c r="J38" s="2993">
        <f t="shared" si="5"/>
        <v>7248.6400000000012</v>
      </c>
      <c r="K38" s="2992">
        <f>SUM(B38)</f>
        <v>1208.1066666666668</v>
      </c>
      <c r="L38" s="2992">
        <f>SUM(B38)</f>
        <v>1208.1066666666668</v>
      </c>
      <c r="M38" s="2992">
        <f>SUM(B38)</f>
        <v>1208.1066666666668</v>
      </c>
      <c r="N38" s="2993">
        <f t="shared" si="45"/>
        <v>3624.3200000000006</v>
      </c>
      <c r="O38" s="2993">
        <f t="shared" si="7"/>
        <v>10872.960000000003</v>
      </c>
      <c r="P38" s="2992">
        <f>SUM(B38)</f>
        <v>1208.1066666666668</v>
      </c>
      <c r="Q38" s="2992">
        <f>SUM(B38)</f>
        <v>1208.1066666666668</v>
      </c>
      <c r="R38" s="2992">
        <f>SUM(B38)</f>
        <v>1208.1066666666668</v>
      </c>
      <c r="S38" s="2993">
        <f t="shared" si="47"/>
        <v>3624.3200000000006</v>
      </c>
      <c r="T38" s="2994">
        <f t="shared" si="9"/>
        <v>14497.280000000002</v>
      </c>
    </row>
    <row r="39" spans="1:20" ht="19.7" customHeight="1" x14ac:dyDescent="0.25">
      <c r="A39" s="2975" t="s">
        <v>3815</v>
      </c>
      <c r="B39" s="2992">
        <f>SUM(B40:B42)</f>
        <v>1267.1066666666668</v>
      </c>
      <c r="C39" s="2992">
        <f t="shared" ref="C39:D39" si="56">SUM(C40:C42)</f>
        <v>1267.1066666666668</v>
      </c>
      <c r="D39" s="2992">
        <f t="shared" si="56"/>
        <v>1267.1066666666668</v>
      </c>
      <c r="E39" s="2993">
        <f t="shared" si="41"/>
        <v>3801.3200000000006</v>
      </c>
      <c r="F39" s="2992">
        <f>SUM(F40:F42)</f>
        <v>1267.1066666666668</v>
      </c>
      <c r="G39" s="2992">
        <f t="shared" ref="G39:H39" si="57">SUM(G40:G42)</f>
        <v>1267.1066666666668</v>
      </c>
      <c r="H39" s="2992">
        <f t="shared" si="57"/>
        <v>1267.1066666666668</v>
      </c>
      <c r="I39" s="2993">
        <f t="shared" si="43"/>
        <v>3801.3200000000006</v>
      </c>
      <c r="J39" s="2993">
        <f t="shared" si="5"/>
        <v>7602.6400000000012</v>
      </c>
      <c r="K39" s="2992">
        <f>SUM(K40:K42)</f>
        <v>1267.1066666666668</v>
      </c>
      <c r="L39" s="2992">
        <f t="shared" ref="L39:M39" si="58">SUM(L40:L42)</f>
        <v>1267.1066666666668</v>
      </c>
      <c r="M39" s="2992">
        <f t="shared" si="58"/>
        <v>1267.1066666666668</v>
      </c>
      <c r="N39" s="2993">
        <f t="shared" si="45"/>
        <v>3801.3200000000006</v>
      </c>
      <c r="O39" s="2993">
        <f t="shared" si="7"/>
        <v>11403.960000000003</v>
      </c>
      <c r="P39" s="2992">
        <f>SUM(P40:P42)</f>
        <v>1267.1066666666668</v>
      </c>
      <c r="Q39" s="2992">
        <f t="shared" ref="Q39:R39" si="59">SUM(Q40:Q42)</f>
        <v>1267.1066666666668</v>
      </c>
      <c r="R39" s="2992">
        <f t="shared" si="59"/>
        <v>1267.1066666666668</v>
      </c>
      <c r="S39" s="2993">
        <f t="shared" si="47"/>
        <v>3801.3200000000006</v>
      </c>
      <c r="T39" s="2994">
        <f t="shared" si="9"/>
        <v>15205.280000000002</v>
      </c>
    </row>
    <row r="40" spans="1:20" ht="19.7" customHeight="1" x14ac:dyDescent="0.25">
      <c r="A40" s="2976" t="s">
        <v>3816</v>
      </c>
      <c r="B40" s="2999">
        <f>SUM('Прил.1 ПланФХД с транспортир.23'!C55)/3</f>
        <v>746.33333333333337</v>
      </c>
      <c r="C40" s="2999">
        <f t="shared" ref="C40:C42" si="60">SUM(B40)</f>
        <v>746.33333333333337</v>
      </c>
      <c r="D40" s="2999">
        <f t="shared" ref="D40:D42" si="61">SUM(B40)</f>
        <v>746.33333333333337</v>
      </c>
      <c r="E40" s="3000">
        <f t="shared" ref="E40:E42" si="62">SUM(B40:D40)</f>
        <v>2239</v>
      </c>
      <c r="F40" s="2999">
        <f t="shared" ref="F40:F42" si="63">SUM(B40)</f>
        <v>746.33333333333337</v>
      </c>
      <c r="G40" s="2999">
        <f t="shared" ref="G40:G42" si="64">SUM(B40)</f>
        <v>746.33333333333337</v>
      </c>
      <c r="H40" s="2999">
        <f t="shared" ref="H40:H42" si="65">SUM(B40)</f>
        <v>746.33333333333337</v>
      </c>
      <c r="I40" s="3000">
        <f t="shared" ref="I40:I42" si="66">SUM(F40:H40)</f>
        <v>2239</v>
      </c>
      <c r="J40" s="3000">
        <f t="shared" si="5"/>
        <v>4478</v>
      </c>
      <c r="K40" s="2999">
        <f>SUM('Прил.1 ПланФХД с транспортир.23'!F55)/3</f>
        <v>746.33333333333337</v>
      </c>
      <c r="L40" s="2999">
        <f t="shared" ref="L40:L42" si="67">SUM(K40)</f>
        <v>746.33333333333337</v>
      </c>
      <c r="M40" s="2999">
        <f t="shared" ref="M40:M42" si="68">SUM(K40)</f>
        <v>746.33333333333337</v>
      </c>
      <c r="N40" s="3000">
        <f t="shared" ref="N40:N42" si="69">SUM(K40:M40)</f>
        <v>2239</v>
      </c>
      <c r="O40" s="3000">
        <f t="shared" si="7"/>
        <v>6717</v>
      </c>
      <c r="P40" s="2999">
        <f t="shared" ref="P40:P42" si="70">SUM(K40)</f>
        <v>746.33333333333337</v>
      </c>
      <c r="Q40" s="2999">
        <f t="shared" ref="Q40:Q42" si="71">SUM(K40)</f>
        <v>746.33333333333337</v>
      </c>
      <c r="R40" s="2999">
        <f t="shared" ref="R40:R42" si="72">SUM(K40)</f>
        <v>746.33333333333337</v>
      </c>
      <c r="S40" s="3000">
        <f t="shared" ref="S40:S42" si="73">SUM(P40:R40)</f>
        <v>2239</v>
      </c>
      <c r="T40" s="3001">
        <f t="shared" si="9"/>
        <v>8956</v>
      </c>
    </row>
    <row r="41" spans="1:20" ht="19.7" customHeight="1" x14ac:dyDescent="0.25">
      <c r="A41" s="2976" t="s">
        <v>3888</v>
      </c>
      <c r="B41" s="2999">
        <f>SUM('Прил.1 ПланФХД с транспортир.23'!C56)/3</f>
        <v>477.97333333333336</v>
      </c>
      <c r="C41" s="2999">
        <f t="shared" si="60"/>
        <v>477.97333333333336</v>
      </c>
      <c r="D41" s="2999">
        <f t="shared" si="61"/>
        <v>477.97333333333336</v>
      </c>
      <c r="E41" s="3000">
        <f t="shared" si="62"/>
        <v>1433.92</v>
      </c>
      <c r="F41" s="2999">
        <f t="shared" si="63"/>
        <v>477.97333333333336</v>
      </c>
      <c r="G41" s="2999">
        <f t="shared" si="64"/>
        <v>477.97333333333336</v>
      </c>
      <c r="H41" s="2999">
        <f t="shared" si="65"/>
        <v>477.97333333333336</v>
      </c>
      <c r="I41" s="3000">
        <f t="shared" si="66"/>
        <v>1433.92</v>
      </c>
      <c r="J41" s="3000">
        <f t="shared" si="5"/>
        <v>2867.84</v>
      </c>
      <c r="K41" s="2999">
        <f>SUM('Прил.1 ПланФХД с транспортир.23'!F56)/3</f>
        <v>477.97333333333336</v>
      </c>
      <c r="L41" s="2999">
        <f t="shared" si="67"/>
        <v>477.97333333333336</v>
      </c>
      <c r="M41" s="2999">
        <f t="shared" si="68"/>
        <v>477.97333333333336</v>
      </c>
      <c r="N41" s="3000">
        <f t="shared" si="69"/>
        <v>1433.92</v>
      </c>
      <c r="O41" s="3000">
        <f t="shared" si="7"/>
        <v>4301.76</v>
      </c>
      <c r="P41" s="2999">
        <f t="shared" si="70"/>
        <v>477.97333333333336</v>
      </c>
      <c r="Q41" s="2999">
        <f t="shared" si="71"/>
        <v>477.97333333333336</v>
      </c>
      <c r="R41" s="2999">
        <f t="shared" si="72"/>
        <v>477.97333333333336</v>
      </c>
      <c r="S41" s="3000">
        <f t="shared" si="73"/>
        <v>1433.92</v>
      </c>
      <c r="T41" s="3001">
        <f t="shared" si="9"/>
        <v>5735.68</v>
      </c>
    </row>
    <row r="42" spans="1:20" ht="19.7" customHeight="1" x14ac:dyDescent="0.25">
      <c r="A42" s="2976" t="s">
        <v>3817</v>
      </c>
      <c r="B42" s="2999">
        <f>SUM('Прил.1 ПланФХД с транспортир.23'!C57)/3</f>
        <v>42.800000000000004</v>
      </c>
      <c r="C42" s="2999">
        <f t="shared" si="60"/>
        <v>42.800000000000004</v>
      </c>
      <c r="D42" s="2999">
        <f t="shared" si="61"/>
        <v>42.800000000000004</v>
      </c>
      <c r="E42" s="3000">
        <f t="shared" si="62"/>
        <v>128.4</v>
      </c>
      <c r="F42" s="2999">
        <f t="shared" si="63"/>
        <v>42.800000000000004</v>
      </c>
      <c r="G42" s="2999">
        <f t="shared" si="64"/>
        <v>42.800000000000004</v>
      </c>
      <c r="H42" s="2999">
        <f t="shared" si="65"/>
        <v>42.800000000000004</v>
      </c>
      <c r="I42" s="3000">
        <f t="shared" si="66"/>
        <v>128.4</v>
      </c>
      <c r="J42" s="3000">
        <f t="shared" si="5"/>
        <v>256.8</v>
      </c>
      <c r="K42" s="2999">
        <f>SUM('Прил.1 ПланФХД с транспортир.23'!F57)/3</f>
        <v>42.800000000000004</v>
      </c>
      <c r="L42" s="2999">
        <f t="shared" si="67"/>
        <v>42.800000000000004</v>
      </c>
      <c r="M42" s="2999">
        <f t="shared" si="68"/>
        <v>42.800000000000004</v>
      </c>
      <c r="N42" s="3000">
        <f t="shared" si="69"/>
        <v>128.4</v>
      </c>
      <c r="O42" s="3000">
        <f t="shared" si="7"/>
        <v>385.20000000000005</v>
      </c>
      <c r="P42" s="2999">
        <f t="shared" si="70"/>
        <v>42.800000000000004</v>
      </c>
      <c r="Q42" s="2999">
        <f t="shared" si="71"/>
        <v>42.800000000000004</v>
      </c>
      <c r="R42" s="2999">
        <f t="shared" si="72"/>
        <v>42.800000000000004</v>
      </c>
      <c r="S42" s="3000">
        <f t="shared" si="73"/>
        <v>128.4</v>
      </c>
      <c r="T42" s="3001">
        <f t="shared" si="9"/>
        <v>513.6</v>
      </c>
    </row>
    <row r="43" spans="1:20" ht="19.7" customHeight="1" x14ac:dyDescent="0.25">
      <c r="A43" s="2975" t="s">
        <v>3818</v>
      </c>
      <c r="B43" s="2992">
        <f>SUM(B32+B38-B39)</f>
        <v>-7.8434990427922457E-5</v>
      </c>
      <c r="C43" s="2992">
        <f t="shared" ref="C43:D43" si="74">SUM(C32+C38-C39)</f>
        <v>-7.8434990427922457E-5</v>
      </c>
      <c r="D43" s="2992">
        <f t="shared" si="74"/>
        <v>-7.8434990427922457E-5</v>
      </c>
      <c r="E43" s="2993">
        <f t="shared" ref="E43" si="75">SUM(B43:D43)</f>
        <v>-2.3530497128376737E-4</v>
      </c>
      <c r="F43" s="2992">
        <f>SUM(F32+F38-F39)</f>
        <v>-7.8434990427922457E-5</v>
      </c>
      <c r="G43" s="2992">
        <f t="shared" ref="G43:H43" si="76">SUM(G32+G38-G39)</f>
        <v>-7.8434990427922457E-5</v>
      </c>
      <c r="H43" s="2992">
        <f t="shared" si="76"/>
        <v>-7.8434990427922457E-5</v>
      </c>
      <c r="I43" s="2993">
        <f t="shared" ref="I43" si="77">SUM(F43:H43)</f>
        <v>-2.3530497128376737E-4</v>
      </c>
      <c r="J43" s="2993">
        <f t="shared" si="5"/>
        <v>-4.7060994256753474E-4</v>
      </c>
      <c r="K43" s="2992">
        <f>SUM(K32+K38-K39)</f>
        <v>-7.8434990427922457E-5</v>
      </c>
      <c r="L43" s="2992">
        <f t="shared" ref="L43:M43" si="78">SUM(L32+L38-L39)</f>
        <v>-7.8434990427922457E-5</v>
      </c>
      <c r="M43" s="2992">
        <f t="shared" si="78"/>
        <v>-7.8434990427922457E-5</v>
      </c>
      <c r="N43" s="2993">
        <f t="shared" ref="N43" si="79">SUM(K43:M43)</f>
        <v>-2.3530497128376737E-4</v>
      </c>
      <c r="O43" s="2993">
        <f t="shared" si="7"/>
        <v>-7.0591491385130212E-4</v>
      </c>
      <c r="P43" s="2992">
        <f>SUM(P32+P38-P39)</f>
        <v>-7.8434990427922457E-5</v>
      </c>
      <c r="Q43" s="2992">
        <f t="shared" ref="Q43:R43" si="80">SUM(Q32+Q38-Q39)</f>
        <v>-7.8434990427922457E-5</v>
      </c>
      <c r="R43" s="2992">
        <f t="shared" si="80"/>
        <v>-7.8434990427922457E-5</v>
      </c>
      <c r="S43" s="2993">
        <f t="shared" ref="S43" si="81">SUM(P43:R43)</f>
        <v>-2.3530497128376737E-4</v>
      </c>
      <c r="T43" s="2994">
        <f t="shared" si="9"/>
        <v>-9.4121988513506949E-4</v>
      </c>
    </row>
    <row r="44" spans="1:20" ht="19.7" customHeight="1" x14ac:dyDescent="0.25">
      <c r="A44" s="2975" t="s">
        <v>3819</v>
      </c>
      <c r="B44" s="3593">
        <f>SUM(B43-(B43*20%))</f>
        <v>-6.2747992342337969E-5</v>
      </c>
      <c r="C44" s="3593">
        <f t="shared" ref="C44:D44" si="82">SUM(C43-(C43*20%))</f>
        <v>-6.2747992342337969E-5</v>
      </c>
      <c r="D44" s="3593">
        <f t="shared" si="82"/>
        <v>-6.2747992342337969E-5</v>
      </c>
      <c r="E44" s="2993">
        <f t="shared" ref="E44:E46" si="83">SUM(B44:D44)</f>
        <v>-1.8824397702701392E-4</v>
      </c>
      <c r="F44" s="3593">
        <f>SUM(F43-(F43*20%))</f>
        <v>-6.2747992342337969E-5</v>
      </c>
      <c r="G44" s="3593">
        <f t="shared" ref="G44:H44" si="84">SUM(G43-(G43*20%))</f>
        <v>-6.2747992342337969E-5</v>
      </c>
      <c r="H44" s="3593">
        <f t="shared" si="84"/>
        <v>-6.2747992342337969E-5</v>
      </c>
      <c r="I44" s="2993">
        <f t="shared" ref="I44:I46" si="85">SUM(F44:H44)</f>
        <v>-1.8824397702701392E-4</v>
      </c>
      <c r="J44" s="2993">
        <f t="shared" si="5"/>
        <v>-3.7648795405402784E-4</v>
      </c>
      <c r="K44" s="3593">
        <f>SUM(K43-(K43*20%))</f>
        <v>-6.2747992342337969E-5</v>
      </c>
      <c r="L44" s="3593">
        <f t="shared" ref="L44:M44" si="86">SUM(L43-(L43*20%))</f>
        <v>-6.2747992342337969E-5</v>
      </c>
      <c r="M44" s="3593">
        <f t="shared" si="86"/>
        <v>-6.2747992342337969E-5</v>
      </c>
      <c r="N44" s="2993">
        <f t="shared" ref="N44:N46" si="87">SUM(K44:M44)</f>
        <v>-1.8824397702701392E-4</v>
      </c>
      <c r="O44" s="2993">
        <f t="shared" si="7"/>
        <v>-5.6473193108104176E-4</v>
      </c>
      <c r="P44" s="3593">
        <f>SUM(P43-(P43*20%))</f>
        <v>-6.2747992342337969E-5</v>
      </c>
      <c r="Q44" s="3593">
        <f t="shared" ref="Q44:R44" si="88">SUM(Q43-(Q43*20%))</f>
        <v>-6.2747992342337969E-5</v>
      </c>
      <c r="R44" s="3593">
        <f t="shared" si="88"/>
        <v>-6.2747992342337969E-5</v>
      </c>
      <c r="S44" s="2993">
        <f t="shared" ref="S44:S46" si="89">SUM(P44:R44)</f>
        <v>-1.8824397702701392E-4</v>
      </c>
      <c r="T44" s="2994">
        <f t="shared" si="9"/>
        <v>-7.5297590810805568E-4</v>
      </c>
    </row>
    <row r="45" spans="1:20" ht="19.7" customHeight="1" x14ac:dyDescent="0.25">
      <c r="A45" s="2980" t="s">
        <v>3820</v>
      </c>
      <c r="B45" s="3592">
        <f t="shared" ref="B45:E45" si="90">B44/B20*100</f>
        <v>-2.3396326569827482E-7</v>
      </c>
      <c r="C45" s="3592">
        <f t="shared" si="90"/>
        <v>-2.3396326569827482E-7</v>
      </c>
      <c r="D45" s="3592">
        <f t="shared" si="90"/>
        <v>-2.3396326569827482E-7</v>
      </c>
      <c r="E45" s="3595">
        <f t="shared" si="90"/>
        <v>-2.3396326569827487E-7</v>
      </c>
      <c r="F45" s="3592">
        <f t="shared" ref="F45:J45" si="91">F44/F20*100</f>
        <v>-2.3396326569827482E-7</v>
      </c>
      <c r="G45" s="3592">
        <f t="shared" si="91"/>
        <v>-2.3396326569827482E-7</v>
      </c>
      <c r="H45" s="3592">
        <f t="shared" si="91"/>
        <v>-2.3396326569827482E-7</v>
      </c>
      <c r="I45" s="3595">
        <f t="shared" si="91"/>
        <v>-2.3396326569827487E-7</v>
      </c>
      <c r="J45" s="3595">
        <f t="shared" si="91"/>
        <v>-2.3396326569827487E-7</v>
      </c>
      <c r="K45" s="3592">
        <f t="shared" ref="K45:O45" si="92">K44/K20*100</f>
        <v>-2.3396326569827482E-7</v>
      </c>
      <c r="L45" s="3592">
        <f t="shared" si="92"/>
        <v>-2.3396326569827482E-7</v>
      </c>
      <c r="M45" s="3592">
        <f t="shared" si="92"/>
        <v>-2.3396326569827482E-7</v>
      </c>
      <c r="N45" s="3595">
        <f t="shared" si="92"/>
        <v>-2.3396326569827487E-7</v>
      </c>
      <c r="O45" s="3595">
        <f t="shared" si="92"/>
        <v>-2.3396326569827487E-7</v>
      </c>
      <c r="P45" s="3592">
        <f t="shared" ref="P45:T45" si="93">P44/P20*100</f>
        <v>-2.3396326569827482E-7</v>
      </c>
      <c r="Q45" s="3592">
        <f t="shared" si="93"/>
        <v>-2.3396326569827482E-7</v>
      </c>
      <c r="R45" s="3592">
        <f t="shared" si="93"/>
        <v>-2.3396326569827482E-7</v>
      </c>
      <c r="S45" s="3595">
        <f t="shared" si="93"/>
        <v>-2.3396326569827487E-7</v>
      </c>
      <c r="T45" s="3596">
        <f t="shared" si="93"/>
        <v>-2.3396326569827487E-7</v>
      </c>
    </row>
    <row r="46" spans="1:20" ht="19.7" customHeight="1" thickBot="1" x14ac:dyDescent="0.3">
      <c r="A46" s="2983" t="s">
        <v>3821</v>
      </c>
      <c r="B46" s="3594">
        <f>SUM(B44)</f>
        <v>-6.2747992342337969E-5</v>
      </c>
      <c r="C46" s="3594">
        <f t="shared" ref="C46:D46" si="94">SUM(C44)</f>
        <v>-6.2747992342337969E-5</v>
      </c>
      <c r="D46" s="3594">
        <f t="shared" si="94"/>
        <v>-6.2747992342337969E-5</v>
      </c>
      <c r="E46" s="3002">
        <f t="shared" si="83"/>
        <v>-1.8824397702701392E-4</v>
      </c>
      <c r="F46" s="3594">
        <f>SUM(F44)</f>
        <v>-6.2747992342337969E-5</v>
      </c>
      <c r="G46" s="3594">
        <f t="shared" ref="G46:H46" si="95">SUM(G44)</f>
        <v>-6.2747992342337969E-5</v>
      </c>
      <c r="H46" s="3594">
        <f t="shared" si="95"/>
        <v>-6.2747992342337969E-5</v>
      </c>
      <c r="I46" s="3002">
        <f t="shared" si="85"/>
        <v>-1.8824397702701392E-4</v>
      </c>
      <c r="J46" s="3002">
        <f t="shared" si="5"/>
        <v>-3.7648795405402784E-4</v>
      </c>
      <c r="K46" s="3594">
        <f>SUM(K44)</f>
        <v>-6.2747992342337969E-5</v>
      </c>
      <c r="L46" s="3594">
        <f t="shared" ref="L46:M46" si="96">SUM(L44)</f>
        <v>-6.2747992342337969E-5</v>
      </c>
      <c r="M46" s="3594">
        <f t="shared" si="96"/>
        <v>-6.2747992342337969E-5</v>
      </c>
      <c r="N46" s="3002">
        <f t="shared" si="87"/>
        <v>-1.8824397702701392E-4</v>
      </c>
      <c r="O46" s="3002">
        <f t="shared" si="7"/>
        <v>-5.6473193108104176E-4</v>
      </c>
      <c r="P46" s="3594">
        <f>SUM(P44)</f>
        <v>-6.2747992342337969E-5</v>
      </c>
      <c r="Q46" s="3594">
        <f t="shared" ref="Q46:R46" si="97">SUM(Q44)</f>
        <v>-6.2747992342337969E-5</v>
      </c>
      <c r="R46" s="3594">
        <f t="shared" si="97"/>
        <v>-6.2747992342337969E-5</v>
      </c>
      <c r="S46" s="3002">
        <f t="shared" si="89"/>
        <v>-1.8824397702701392E-4</v>
      </c>
      <c r="T46" s="3003">
        <f t="shared" si="9"/>
        <v>-7.5297590810805568E-4</v>
      </c>
    </row>
    <row r="47" spans="1:20" x14ac:dyDescent="0.25">
      <c r="A47" s="3004"/>
      <c r="B47" s="3005"/>
      <c r="C47" s="3005"/>
      <c r="D47" s="3005"/>
      <c r="E47" s="3005"/>
      <c r="F47" s="3005"/>
      <c r="G47" s="3005"/>
      <c r="H47" s="3005"/>
      <c r="I47" s="3005"/>
      <c r="J47" s="3005"/>
      <c r="K47" s="3005"/>
      <c r="L47" s="3005"/>
      <c r="M47" s="3005"/>
      <c r="N47" s="3005"/>
      <c r="O47" s="3005"/>
      <c r="P47" s="3005"/>
      <c r="Q47" s="3005"/>
      <c r="R47" s="3005"/>
      <c r="S47" s="3005"/>
      <c r="T47" s="3005"/>
    </row>
    <row r="48" spans="1:20" x14ac:dyDescent="0.25">
      <c r="A48" s="3004"/>
      <c r="B48" s="3005"/>
      <c r="C48" s="3005"/>
      <c r="D48" s="3005"/>
      <c r="E48" s="3005"/>
      <c r="F48" s="3005"/>
      <c r="G48" s="3005"/>
      <c r="H48" s="3005"/>
      <c r="I48" s="3005"/>
      <c r="J48" s="3005"/>
      <c r="K48" s="3005"/>
      <c r="L48" s="3005"/>
      <c r="M48" s="3005"/>
      <c r="N48" s="3005"/>
      <c r="O48" s="3005"/>
      <c r="P48" s="3005"/>
      <c r="Q48" s="3005"/>
      <c r="R48" s="3005"/>
      <c r="S48" s="3005"/>
      <c r="T48" s="3005"/>
    </row>
    <row r="49" spans="1:20" x14ac:dyDescent="0.25">
      <c r="A49" s="5163" t="s">
        <v>3829</v>
      </c>
      <c r="B49" s="5164"/>
      <c r="C49" s="5164"/>
      <c r="D49" s="5164"/>
      <c r="E49" s="5164"/>
      <c r="F49" s="5164"/>
      <c r="G49" s="5164"/>
      <c r="H49" s="5164"/>
      <c r="I49" s="5164"/>
      <c r="J49" s="5164"/>
      <c r="K49" s="5164"/>
      <c r="L49" s="5164"/>
      <c r="M49" s="5164"/>
      <c r="N49" s="5164"/>
      <c r="O49" s="5164"/>
      <c r="P49" s="5164"/>
      <c r="Q49" s="5164"/>
      <c r="R49" s="5164"/>
      <c r="S49" s="5164"/>
      <c r="T49" s="5164"/>
    </row>
    <row r="50" spans="1:20" x14ac:dyDescent="0.25">
      <c r="B50" s="3006"/>
      <c r="C50" s="3006"/>
      <c r="D50" s="3006"/>
      <c r="E50" s="3006"/>
      <c r="F50" s="3006"/>
      <c r="G50" s="3006"/>
      <c r="H50" s="3006"/>
      <c r="I50" s="3006"/>
      <c r="J50" s="3006"/>
      <c r="K50" s="3006"/>
      <c r="L50" s="3006"/>
      <c r="M50" s="3006"/>
      <c r="N50" s="3006"/>
      <c r="O50" s="3006"/>
      <c r="P50" s="3006"/>
      <c r="Q50" s="3006"/>
      <c r="R50" s="3006"/>
      <c r="S50" s="3006"/>
      <c r="T50" s="3006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90">
    <tabColor rgb="FFFFFF00"/>
    <pageSetUpPr fitToPage="1"/>
  </sheetPr>
  <dimension ref="A1:L76"/>
  <sheetViews>
    <sheetView topLeftCell="A34" zoomScale="90" zoomScaleNormal="90" workbookViewId="0">
      <selection sqref="A1:I68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655"/>
      <c r="B1" s="5"/>
      <c r="C1" s="1655"/>
      <c r="D1" s="1655"/>
      <c r="E1" s="1655"/>
      <c r="F1" s="5165" t="s">
        <v>3889</v>
      </c>
      <c r="G1" s="5165"/>
      <c r="H1" s="5165"/>
      <c r="I1" s="5165"/>
    </row>
    <row r="2" spans="1:11" ht="6" customHeight="1" x14ac:dyDescent="0.25">
      <c r="A2" s="1655"/>
      <c r="B2" s="5"/>
      <c r="C2" s="1655"/>
      <c r="D2" s="1655"/>
      <c r="E2" s="1655"/>
      <c r="F2" s="2920"/>
      <c r="G2" s="4475"/>
      <c r="H2" s="4475"/>
      <c r="I2" s="4475"/>
    </row>
    <row r="3" spans="1:11" ht="15.75" customHeight="1" x14ac:dyDescent="0.25">
      <c r="A3" s="1655"/>
      <c r="B3" s="5"/>
      <c r="C3" s="1655"/>
      <c r="D3" s="1655"/>
      <c r="E3" s="1655"/>
      <c r="F3" s="4302" t="s">
        <v>3890</v>
      </c>
      <c r="G3" s="4302"/>
      <c r="H3" s="4302"/>
      <c r="I3" s="4302"/>
    </row>
    <row r="4" spans="1:11" ht="37.5" customHeight="1" x14ac:dyDescent="0.25">
      <c r="A4" s="1655"/>
      <c r="B4" s="5"/>
      <c r="C4" s="1655"/>
      <c r="D4" s="1655"/>
      <c r="E4" s="1655"/>
      <c r="F4" s="5165" t="s">
        <v>3891</v>
      </c>
      <c r="G4" s="5165"/>
      <c r="H4" s="5165"/>
      <c r="I4" s="5165"/>
    </row>
    <row r="5" spans="1:11" ht="21" customHeight="1" x14ac:dyDescent="0.25">
      <c r="A5" s="1655"/>
      <c r="B5" s="1655"/>
      <c r="C5" s="1655"/>
      <c r="D5" s="1655"/>
      <c r="E5" s="1655"/>
      <c r="F5" s="4302" t="s">
        <v>4245</v>
      </c>
      <c r="G5" s="4303"/>
      <c r="H5" s="4303"/>
      <c r="I5" s="4302"/>
    </row>
    <row r="6" spans="1:11" ht="21" customHeight="1" x14ac:dyDescent="0.3">
      <c r="A6" s="1655"/>
      <c r="B6" s="1655"/>
      <c r="C6" s="1655"/>
      <c r="D6" s="1655"/>
      <c r="E6" s="1655"/>
      <c r="F6" s="4304" t="s">
        <v>4242</v>
      </c>
      <c r="G6" s="4304"/>
      <c r="H6" s="4304"/>
      <c r="I6" s="4304"/>
    </row>
    <row r="7" spans="1:11" ht="6" customHeight="1" x14ac:dyDescent="0.25">
      <c r="A7" s="1655"/>
      <c r="B7" s="1655"/>
      <c r="C7" s="1655"/>
      <c r="D7" s="1655"/>
      <c r="E7" s="1655"/>
      <c r="F7" s="1655"/>
      <c r="G7" s="1655"/>
      <c r="H7" s="1655"/>
      <c r="I7" s="1655"/>
    </row>
    <row r="8" spans="1:11" ht="45.2" customHeight="1" x14ac:dyDescent="0.2">
      <c r="A8" s="5166" t="s">
        <v>4247</v>
      </c>
      <c r="B8" s="5167"/>
      <c r="C8" s="5167"/>
      <c r="D8" s="5167"/>
      <c r="E8" s="5167"/>
      <c r="F8" s="5167"/>
      <c r="G8" s="5167"/>
      <c r="H8" s="5167"/>
      <c r="I8" s="5167"/>
    </row>
    <row r="9" spans="1:11" ht="16.5" thickBot="1" x14ac:dyDescent="0.3">
      <c r="A9" s="1655"/>
      <c r="B9" s="1655"/>
      <c r="C9" s="1655"/>
      <c r="D9" s="1655"/>
      <c r="E9" s="1655"/>
      <c r="F9" s="1655"/>
      <c r="G9" s="1655"/>
      <c r="H9" s="1655"/>
      <c r="I9" s="2924" t="s">
        <v>3788</v>
      </c>
    </row>
    <row r="10" spans="1:11" ht="30" customHeight="1" x14ac:dyDescent="0.2">
      <c r="A10" s="2967" t="s">
        <v>356</v>
      </c>
      <c r="B10" s="2968" t="s">
        <v>986</v>
      </c>
      <c r="C10" s="2968" t="s">
        <v>3789</v>
      </c>
      <c r="D10" s="2968" t="s">
        <v>3790</v>
      </c>
      <c r="E10" s="2968" t="s">
        <v>373</v>
      </c>
      <c r="F10" s="2968" t="s">
        <v>3791</v>
      </c>
      <c r="G10" s="2968" t="s">
        <v>3792</v>
      </c>
      <c r="H10" s="2968" t="s">
        <v>3793</v>
      </c>
      <c r="I10" s="2969" t="s">
        <v>241</v>
      </c>
    </row>
    <row r="11" spans="1:11" ht="19.5" customHeight="1" x14ac:dyDescent="0.2">
      <c r="A11" s="4522" t="s">
        <v>3794</v>
      </c>
      <c r="B11" s="4523" t="s">
        <v>3795</v>
      </c>
      <c r="C11" s="4546">
        <v>293</v>
      </c>
      <c r="D11" s="4546">
        <v>293</v>
      </c>
      <c r="E11" s="4546">
        <v>293</v>
      </c>
      <c r="F11" s="4546">
        <v>293</v>
      </c>
      <c r="G11" s="4546">
        <v>293</v>
      </c>
      <c r="H11" s="4546">
        <v>293</v>
      </c>
      <c r="I11" s="4547">
        <v>293</v>
      </c>
    </row>
    <row r="12" spans="1:11" ht="19.5" customHeight="1" x14ac:dyDescent="0.2">
      <c r="A12" s="5168" t="s">
        <v>3796</v>
      </c>
      <c r="B12" s="5169"/>
      <c r="C12" s="5169"/>
      <c r="D12" s="5169"/>
      <c r="E12" s="5169"/>
      <c r="F12" s="5169"/>
      <c r="G12" s="5169"/>
      <c r="H12" s="5169"/>
      <c r="I12" s="5170"/>
    </row>
    <row r="13" spans="1:11" ht="20.100000000000001" customHeight="1" x14ac:dyDescent="0.2">
      <c r="A13" s="2970" t="s">
        <v>3797</v>
      </c>
      <c r="B13" s="2971" t="s">
        <v>3798</v>
      </c>
      <c r="C13" s="3590">
        <f>SUM(C14:C15)</f>
        <v>888.86101814628705</v>
      </c>
      <c r="D13" s="3590">
        <f t="shared" ref="D13:G13" si="0">SUM(D14:D15)</f>
        <v>888.86101814628705</v>
      </c>
      <c r="E13" s="3590">
        <f t="shared" si="0"/>
        <v>1777.7220362925741</v>
      </c>
      <c r="F13" s="3590">
        <f t="shared" si="0"/>
        <v>888.86101814628705</v>
      </c>
      <c r="G13" s="3590">
        <f t="shared" si="0"/>
        <v>2666.5830544388609</v>
      </c>
      <c r="H13" s="3590">
        <f>SUM(H14:H15)</f>
        <v>888.86101814628705</v>
      </c>
      <c r="I13" s="3838">
        <f>SUM(G13:H13)</f>
        <v>3555.4440725851482</v>
      </c>
      <c r="K13" s="128">
        <f>SUM(C13+D13+F13+H13)</f>
        <v>3555.4440725851482</v>
      </c>
    </row>
    <row r="14" spans="1:11" ht="20.100000000000001" customHeight="1" x14ac:dyDescent="0.2">
      <c r="A14" s="2972" t="s">
        <v>3799</v>
      </c>
      <c r="B14" s="2971" t="s">
        <v>3798</v>
      </c>
      <c r="C14" s="3591">
        <f>SUM('Прил. 1 План ФХД вода 2023'!M19)</f>
        <v>888.52326814628702</v>
      </c>
      <c r="D14" s="3591">
        <f>SUM('Прил. 1 План ФХД вода 2023'!P19)</f>
        <v>888.52326814628702</v>
      </c>
      <c r="E14" s="3591">
        <f>SUM('Прил. 1 План ФХД вода 2023'!S19)</f>
        <v>1777.046536292574</v>
      </c>
      <c r="F14" s="3591">
        <f>SUM('Прил. 1 План ФХД вода 2023'!V19)</f>
        <v>888.52326814628702</v>
      </c>
      <c r="G14" s="3591">
        <f>SUM('Прил. 1 План ФХД вода 2023'!Y19)</f>
        <v>2665.569804438861</v>
      </c>
      <c r="H14" s="3591">
        <f>SUM('Прил. 1 План ФХД вода 2023'!AB19)</f>
        <v>888.52326814628702</v>
      </c>
      <c r="I14" s="3591">
        <f>SUM('Прил. 1 План ФХД вода 2023'!AE19)</f>
        <v>3554.0930725851481</v>
      </c>
      <c r="K14" s="128">
        <f t="shared" ref="K14:K61" si="1">SUM(C14+D14+F14+H14)</f>
        <v>3554.0930725851481</v>
      </c>
    </row>
    <row r="15" spans="1:11" ht="20.100000000000001" customHeight="1" x14ac:dyDescent="0.2">
      <c r="A15" s="2972" t="s">
        <v>1693</v>
      </c>
      <c r="B15" s="2971" t="s">
        <v>3798</v>
      </c>
      <c r="C15" s="3591">
        <f>SUM('Прил. 1 План ФХД вода 2023'!N19)</f>
        <v>0.33774999999999999</v>
      </c>
      <c r="D15" s="3591">
        <f>SUM('Прил. 1 План ФХД вода 2023'!Q19)</f>
        <v>0.33774999999999999</v>
      </c>
      <c r="E15" s="3591">
        <f>SUM('Прил. 1 План ФХД вода 2023'!T19)</f>
        <v>0.67549999999999999</v>
      </c>
      <c r="F15" s="3591">
        <f>SUM('Прил. 1 План ФХД вода 2023'!W19)</f>
        <v>0.33774999999999999</v>
      </c>
      <c r="G15" s="3591">
        <f>SUM('Прил. 1 План ФХД вода 2023'!Z19)</f>
        <v>1.01325</v>
      </c>
      <c r="H15" s="3591">
        <f>SUM('Прил. 1 План ФХД вода 2023'!AC19)</f>
        <v>0.33774999999999999</v>
      </c>
      <c r="I15" s="3591">
        <f>SUM('Прил. 1 План ФХД вода 2023'!AF19)</f>
        <v>1.351</v>
      </c>
      <c r="K15" s="128">
        <f t="shared" si="1"/>
        <v>1.351</v>
      </c>
    </row>
    <row r="16" spans="1:11" ht="20.100000000000001" customHeight="1" x14ac:dyDescent="0.2">
      <c r="A16" s="2970" t="s">
        <v>3800</v>
      </c>
      <c r="B16" s="2971" t="s">
        <v>3798</v>
      </c>
      <c r="C16" s="3590">
        <f>SUM('Прил. 1 План ФХД трансп. воды23'!C15)</f>
        <v>81.122749999999996</v>
      </c>
      <c r="D16" s="3590">
        <f>SUM('Прил. 1 План ФХД трансп. воды23'!D15)</f>
        <v>81.122749999999996</v>
      </c>
      <c r="E16" s="3590">
        <f>SUM('Прил. 1 План ФХД трансп. воды23'!E15)</f>
        <v>162.24549999999999</v>
      </c>
      <c r="F16" s="3590">
        <f>SUM('Прил. 1 План ФХД трансп. воды23'!F15)</f>
        <v>81.122749999999996</v>
      </c>
      <c r="G16" s="3590">
        <f>SUM('Прил. 1 План ФХД трансп. воды23'!G15)</f>
        <v>243.36824999999999</v>
      </c>
      <c r="H16" s="3590">
        <f>SUM('Прил. 1 План ФХД трансп. воды23'!H15)</f>
        <v>81.122749999999996</v>
      </c>
      <c r="I16" s="3838">
        <f>SUM(G16:H16)</f>
        <v>324.49099999999999</v>
      </c>
      <c r="K16" s="128">
        <f t="shared" si="1"/>
        <v>324.49099999999999</v>
      </c>
    </row>
    <row r="17" spans="1:11" ht="20.100000000000001" customHeight="1" x14ac:dyDescent="0.2">
      <c r="A17" s="4524" t="s">
        <v>3801</v>
      </c>
      <c r="B17" s="2971" t="s">
        <v>3798</v>
      </c>
      <c r="C17" s="3590">
        <f>SUM(C18:C19)</f>
        <v>768.56306212265406</v>
      </c>
      <c r="D17" s="3590">
        <f t="shared" ref="D17:I17" si="2">SUM(D18:D19)</f>
        <v>768.56306212265406</v>
      </c>
      <c r="E17" s="3590">
        <f t="shared" si="2"/>
        <v>1537.1261242453081</v>
      </c>
      <c r="F17" s="3590">
        <f t="shared" si="2"/>
        <v>768.56306212265406</v>
      </c>
      <c r="G17" s="3590">
        <f t="shared" si="2"/>
        <v>2305.6891863679625</v>
      </c>
      <c r="H17" s="3590">
        <f t="shared" si="2"/>
        <v>768.56306212265406</v>
      </c>
      <c r="I17" s="3838">
        <f t="shared" si="2"/>
        <v>3074.2522484906162</v>
      </c>
      <c r="K17" s="128">
        <f>SUM(C17+D17+F17+H17)</f>
        <v>3074.2522484906162</v>
      </c>
    </row>
    <row r="18" spans="1:11" ht="20.100000000000001" customHeight="1" x14ac:dyDescent="0.2">
      <c r="A18" s="4525" t="s">
        <v>335</v>
      </c>
      <c r="B18" s="2971" t="s">
        <v>3798</v>
      </c>
      <c r="C18" s="3591">
        <f>SUM('Прил. 1 План ФХД стоки 2023'!N15)</f>
        <v>764.75724428647504</v>
      </c>
      <c r="D18" s="3591">
        <f>SUM('Прил. 1 План ФХД стоки 2023'!Q15)</f>
        <v>764.75724428647504</v>
      </c>
      <c r="E18" s="3591">
        <f>SUM('Прил. 1 План ФХД стоки 2023'!T15)</f>
        <v>1529.5144885729501</v>
      </c>
      <c r="F18" s="3591">
        <f>SUM('Прил. 1 План ФХД стоки 2023'!W15)</f>
        <v>764.75724428647504</v>
      </c>
      <c r="G18" s="3591">
        <f>SUM('Прил. 1 План ФХД стоки 2023'!Z15)</f>
        <v>2294.2717328594254</v>
      </c>
      <c r="H18" s="3591">
        <f>SUM('Прил. 1 План ФХД стоки 2023'!AC15)</f>
        <v>764.75724428647504</v>
      </c>
      <c r="I18" s="3839">
        <f>SUM(G18:H18)</f>
        <v>3059.0289771459002</v>
      </c>
      <c r="K18" s="128">
        <f t="shared" si="1"/>
        <v>3059.0289771459002</v>
      </c>
    </row>
    <row r="19" spans="1:11" ht="20.100000000000001" customHeight="1" x14ac:dyDescent="0.2">
      <c r="A19" s="4525" t="s">
        <v>3802</v>
      </c>
      <c r="B19" s="2971" t="s">
        <v>3798</v>
      </c>
      <c r="C19" s="3591">
        <f>SUM('Прил. 1 План ФХД стоки 2023'!O15)</f>
        <v>3.8058178361790249</v>
      </c>
      <c r="D19" s="3591">
        <f>SUM('Прил. 1 План ФХД стоки 2023'!R15)</f>
        <v>3.8058178361790249</v>
      </c>
      <c r="E19" s="3591">
        <f>SUM('Прил. 1 План ФХД стоки 2023'!U15)</f>
        <v>7.6116356723580498</v>
      </c>
      <c r="F19" s="3591">
        <f>SUM('Прил. 1 План ФХД стоки 2023'!X15)</f>
        <v>3.8058178361790249</v>
      </c>
      <c r="G19" s="3591">
        <f>SUM('Прил. 1 План ФХД стоки 2023'!AA15)</f>
        <v>11.417453508537076</v>
      </c>
      <c r="H19" s="3591">
        <f>SUM('Прил. 1 План ФХД стоки 2023'!AD15)</f>
        <v>3.8058178361790249</v>
      </c>
      <c r="I19" s="3839">
        <f>SUM(G19:H19)</f>
        <v>15.2232713447161</v>
      </c>
      <c r="K19" s="128">
        <f t="shared" si="1"/>
        <v>15.2232713447161</v>
      </c>
    </row>
    <row r="20" spans="1:11" ht="20.100000000000001" customHeight="1" x14ac:dyDescent="0.2">
      <c r="A20" s="2970" t="s">
        <v>3803</v>
      </c>
      <c r="B20" s="2971" t="s">
        <v>3798</v>
      </c>
      <c r="C20" s="3590">
        <f>SUM('Прил.1 ПланФХД трансп. стоков23'!C12)</f>
        <v>113.91818125</v>
      </c>
      <c r="D20" s="3590">
        <f>SUM('Прил.1 ПланФХД трансп. стоков23'!D12)</f>
        <v>113.91818125</v>
      </c>
      <c r="E20" s="3590">
        <f>SUM('Прил.1 ПланФХД трансп. стоков23'!E12)</f>
        <v>227.83636250000001</v>
      </c>
      <c r="F20" s="3590">
        <f>SUM('Прил.1 ПланФХД трансп. стоков23'!F12)</f>
        <v>113.91818125</v>
      </c>
      <c r="G20" s="3590">
        <f>SUM('Прил.1 ПланФХД трансп. стоков23'!G12)</f>
        <v>341.75454375000004</v>
      </c>
      <c r="H20" s="3590">
        <f>SUM('Прил.1 ПланФХД трансп. стоков23'!H12)</f>
        <v>113.91818125</v>
      </c>
      <c r="I20" s="3838">
        <f>SUM(G20:H20)</f>
        <v>455.67272500000001</v>
      </c>
      <c r="K20" s="128">
        <f t="shared" si="1"/>
        <v>455.67272500000001</v>
      </c>
    </row>
    <row r="21" spans="1:11" ht="20.100000000000001" customHeight="1" x14ac:dyDescent="0.2">
      <c r="A21" s="4526" t="s">
        <v>3804</v>
      </c>
      <c r="B21" s="4527" t="s">
        <v>180</v>
      </c>
      <c r="C21" s="4528">
        <f>SUM(C22+C27+C32+C26+C31)</f>
        <v>80635.774549356414</v>
      </c>
      <c r="D21" s="4528">
        <f t="shared" ref="D21:G21" si="3">SUM(D22+D27+D32+D26+D31)</f>
        <v>80635.774549356414</v>
      </c>
      <c r="E21" s="4528">
        <f t="shared" si="3"/>
        <v>161271.54909871283</v>
      </c>
      <c r="F21" s="4528">
        <f t="shared" si="3"/>
        <v>80635.774549356414</v>
      </c>
      <c r="G21" s="4528">
        <f t="shared" si="3"/>
        <v>241907.32364806926</v>
      </c>
      <c r="H21" s="4528">
        <f>SUM(H22+H27+H32+H26+H31)</f>
        <v>80635.774549356414</v>
      </c>
      <c r="I21" s="4529">
        <f>SUM(I22+I27+I32+I26+I31)</f>
        <v>322543.09819742566</v>
      </c>
      <c r="K21" s="128">
        <f t="shared" si="1"/>
        <v>322543.09819742566</v>
      </c>
    </row>
    <row r="22" spans="1:11" ht="20.100000000000001" customHeight="1" x14ac:dyDescent="0.2">
      <c r="A22" s="4524" t="s">
        <v>3805</v>
      </c>
      <c r="B22" s="4527" t="s">
        <v>180</v>
      </c>
      <c r="C22" s="4530">
        <f>SUM(C23+C25)</f>
        <v>46817.759771988589</v>
      </c>
      <c r="D22" s="4530">
        <f t="shared" ref="D22:I22" si="4">SUM(D23+D25)</f>
        <v>46817.759771988589</v>
      </c>
      <c r="E22" s="4530">
        <f t="shared" si="4"/>
        <v>93635.519543977178</v>
      </c>
      <c r="F22" s="4530">
        <f t="shared" si="4"/>
        <v>46817.759771988589</v>
      </c>
      <c r="G22" s="4530">
        <f t="shared" si="4"/>
        <v>140453.27931596577</v>
      </c>
      <c r="H22" s="4530">
        <f>SUM(H23+H25)</f>
        <v>46817.759771988589</v>
      </c>
      <c r="I22" s="4531">
        <f t="shared" si="4"/>
        <v>187271.03908795436</v>
      </c>
      <c r="J22" s="523"/>
      <c r="K22" s="128">
        <f t="shared" si="1"/>
        <v>187271.03908795436</v>
      </c>
    </row>
    <row r="23" spans="1:11" ht="20.100000000000001" customHeight="1" x14ac:dyDescent="0.2">
      <c r="A23" s="2979" t="s">
        <v>3806</v>
      </c>
      <c r="B23" s="4527" t="s">
        <v>180</v>
      </c>
      <c r="C23" s="4536">
        <f>SUM('ФАКТ.СЕБЕСТ.ВОДА за 1 пол. 2023'!AD35)</f>
        <v>46808.971778923231</v>
      </c>
      <c r="D23" s="4536">
        <f>SUM('ФАКТ.СЕБЕСТ.ВОДА за 1 пол. 2023'!BQ35)</f>
        <v>46808.971778923231</v>
      </c>
      <c r="E23" s="4536">
        <f>SUM('ФАКТ.СЕБЕСТ.ВОДА за 1 пол. 2023'!CC35)</f>
        <v>93617.943557846462</v>
      </c>
      <c r="F23" s="4536">
        <f>SUM('ФАКТ.СЕБЕСТ.ВОДА за 1 пол. 2023'!DP35)</f>
        <v>46808.971778923231</v>
      </c>
      <c r="G23" s="4536">
        <f>SUM('ФАКТ.СЕБЕСТ.ВОДА за 1 пол. 2023'!EB35)</f>
        <v>140426.91533676969</v>
      </c>
      <c r="H23" s="4536">
        <f>SUM('ФАКТ.СЕБЕСТ.ВОДА за 1 пол. 2023'!FO35)</f>
        <v>46808.971778923231</v>
      </c>
      <c r="I23" s="4537">
        <f>SUM('ФАКТ.СЕБЕСТ.ВОДА за 1 пол. 2023'!GA35)</f>
        <v>187235.88711569292</v>
      </c>
      <c r="J23" s="523"/>
      <c r="K23" s="128">
        <f t="shared" si="1"/>
        <v>187235.88711569292</v>
      </c>
    </row>
    <row r="24" spans="1:11" ht="20.100000000000001" customHeight="1" x14ac:dyDescent="0.2">
      <c r="A24" s="4532" t="s">
        <v>3807</v>
      </c>
      <c r="B24" s="4527" t="s">
        <v>180</v>
      </c>
      <c r="C24" s="4548">
        <f>SUM('ФАКТ.СЕБЕСТ.ВОДА за 1 пол. 2023'!AD29)</f>
        <v>8929.6935269352471</v>
      </c>
      <c r="D24" s="4548">
        <f>SUM('ФАКТ.СЕБЕСТ.ВОДА за 1 пол. 2023'!BQ29)</f>
        <v>8929.6935269352471</v>
      </c>
      <c r="E24" s="4548">
        <f>SUM('ФАКТ.СЕБЕСТ.ВОДА за 1 пол. 2023'!CC29)</f>
        <v>17859.387053870494</v>
      </c>
      <c r="F24" s="4548">
        <f>SUM('ФАКТ.СЕБЕСТ.ВОДА за 1 пол. 2023'!DP29)</f>
        <v>8929.6935269352471</v>
      </c>
      <c r="G24" s="4548">
        <f>SUM('ФАКТ.СЕБЕСТ.ВОДА за 1 пол. 2023'!EB29)</f>
        <v>26789.080580805741</v>
      </c>
      <c r="H24" s="4548">
        <f>SUM('ФАКТ.СЕБЕСТ.ВОДА за 1 пол. 2023'!FO29)</f>
        <v>8929.6935269352471</v>
      </c>
      <c r="I24" s="4549">
        <f>SUM('ФАКТ.СЕБЕСТ.ВОДА за 1 пол. 2023'!GA29)</f>
        <v>35718.774107740988</v>
      </c>
      <c r="J24" s="523"/>
      <c r="K24" s="128">
        <f t="shared" si="1"/>
        <v>35718.774107740988</v>
      </c>
    </row>
    <row r="25" spans="1:11" ht="20.100000000000001" customHeight="1" x14ac:dyDescent="0.2">
      <c r="A25" s="4533" t="s">
        <v>1693</v>
      </c>
      <c r="B25" s="4527" t="s">
        <v>180</v>
      </c>
      <c r="C25" s="4536">
        <f>SUM('ФАКТ.СЕБЕСТ.ВОДА за 1 пол. 2023'!AE35)</f>
        <v>8.7879930653584406</v>
      </c>
      <c r="D25" s="4536">
        <f>SUM('ФАКТ.СЕБЕСТ.ВОДА за 1 пол. 2023'!BR35)</f>
        <v>8.7879930653584406</v>
      </c>
      <c r="E25" s="4536">
        <f>SUM('ФАКТ.СЕБЕСТ.ВОДА за 1 пол. 2023'!CD35)</f>
        <v>17.575986130716881</v>
      </c>
      <c r="F25" s="4536">
        <f>SUM('ФАКТ.СЕБЕСТ.ВОДА за 1 пол. 2023'!DQ35)</f>
        <v>8.7879930653584406</v>
      </c>
      <c r="G25" s="4536">
        <f>SUM('ФАКТ.СЕБЕСТ.ВОДА за 1 пол. 2023'!EC35)</f>
        <v>26.36397919607532</v>
      </c>
      <c r="H25" s="4536">
        <f>SUM('ФАКТ.СЕБЕСТ.ВОДА за 1 пол. 2023'!FP35)</f>
        <v>8.7879930653584406</v>
      </c>
      <c r="I25" s="4537">
        <f>SUM('ФАКТ.СЕБЕСТ.ВОДА за 1 пол. 2023'!GB35)</f>
        <v>35.151972261433762</v>
      </c>
      <c r="J25" s="523"/>
      <c r="K25" s="128">
        <f t="shared" si="1"/>
        <v>35.151972261433762</v>
      </c>
    </row>
    <row r="26" spans="1:11" ht="20.100000000000001" customHeight="1" x14ac:dyDescent="0.2">
      <c r="A26" s="2970" t="s">
        <v>3800</v>
      </c>
      <c r="B26" s="4527" t="s">
        <v>180</v>
      </c>
      <c r="C26" s="3590">
        <f>SUM('Прил. 1 План ФХД трансп. воды23'!C19)</f>
        <v>277.37166188999998</v>
      </c>
      <c r="D26" s="3590">
        <f>SUM('Прил. 1 План ФХД трансп. воды23'!D19)</f>
        <v>277.37166188999998</v>
      </c>
      <c r="E26" s="3590">
        <f>SUM('Прил. 1 План ФХД трансп. воды23'!E19)</f>
        <v>554.74332377999997</v>
      </c>
      <c r="F26" s="3590">
        <f>SUM('Прил. 1 План ФХД трансп. воды23'!F19)</f>
        <v>277.37166188999998</v>
      </c>
      <c r="G26" s="3590">
        <f>SUM('Прил. 1 План ФХД трансп. воды23'!G19)</f>
        <v>832.1149856699999</v>
      </c>
      <c r="H26" s="3590">
        <f>SUM('Прил. 1 План ФХД трансп. воды23'!H19)</f>
        <v>277.37166188999998</v>
      </c>
      <c r="I26" s="3838">
        <f>SUM(G26:H26)</f>
        <v>1109.4866475599999</v>
      </c>
      <c r="J26" s="523"/>
      <c r="K26" s="128">
        <f t="shared" si="1"/>
        <v>1109.4866475599999</v>
      </c>
    </row>
    <row r="27" spans="1:11" ht="20.100000000000001" customHeight="1" x14ac:dyDescent="0.2">
      <c r="A27" s="4524" t="s">
        <v>3801</v>
      </c>
      <c r="B27" s="4527" t="s">
        <v>180</v>
      </c>
      <c r="C27" s="4530">
        <f>SUM(C28+C30)</f>
        <v>31212.437600039644</v>
      </c>
      <c r="D27" s="4530">
        <f t="shared" ref="D27:I27" si="5">SUM(D28+D30)</f>
        <v>31212.437600039644</v>
      </c>
      <c r="E27" s="4530">
        <f t="shared" si="5"/>
        <v>62424.875200079288</v>
      </c>
      <c r="F27" s="4530">
        <f t="shared" si="5"/>
        <v>31212.437600039644</v>
      </c>
      <c r="G27" s="4530">
        <f t="shared" si="5"/>
        <v>93637.312800118933</v>
      </c>
      <c r="H27" s="4530">
        <f>SUM(H28+H30)</f>
        <v>31212.437600039644</v>
      </c>
      <c r="I27" s="4531">
        <f t="shared" si="5"/>
        <v>124849.75040015858</v>
      </c>
      <c r="J27" s="523"/>
      <c r="K27" s="128">
        <f t="shared" si="1"/>
        <v>124849.75040015858</v>
      </c>
    </row>
    <row r="28" spans="1:11" ht="20.100000000000001" customHeight="1" x14ac:dyDescent="0.2">
      <c r="A28" s="4533" t="s">
        <v>3801</v>
      </c>
      <c r="B28" s="4527" t="s">
        <v>180</v>
      </c>
      <c r="C28" s="4536">
        <f>SUM('ФАКТ.СЕБЕСТ.СТОКИ за 1 пол.2023'!AD25)</f>
        <v>31125.744028356559</v>
      </c>
      <c r="D28" s="4536">
        <f>SUM('ФАКТ.СЕБЕСТ.СТОКИ за 1 пол.2023'!BQ25)</f>
        <v>31125.744028356559</v>
      </c>
      <c r="E28" s="4536">
        <f>SUM('ФАКТ.СЕБЕСТ.СТОКИ за 1 пол.2023'!CC25)</f>
        <v>62251.488056713119</v>
      </c>
      <c r="F28" s="4536">
        <f>SUM('ФАКТ.СЕБЕСТ.СТОКИ за 1 пол.2023'!DP25)</f>
        <v>31125.744028356559</v>
      </c>
      <c r="G28" s="4536">
        <f>SUM('ФАКТ.СЕБЕСТ.СТОКИ за 1 пол.2023'!EB25)</f>
        <v>93377.232085069671</v>
      </c>
      <c r="H28" s="4536">
        <f>SUM('ФАКТ.СЕБЕСТ.СТОКИ за 1 пол.2023'!FO25)</f>
        <v>31125.744028356559</v>
      </c>
      <c r="I28" s="4537">
        <f>SUM('ФАКТ.СЕБЕСТ.СТОКИ за 1 пол.2023'!GA25)</f>
        <v>124502.97611342624</v>
      </c>
      <c r="J28" s="523"/>
      <c r="K28" s="128">
        <f t="shared" si="1"/>
        <v>124502.97611342624</v>
      </c>
    </row>
    <row r="29" spans="1:11" ht="20.100000000000001" customHeight="1" x14ac:dyDescent="0.2">
      <c r="A29" s="4532" t="s">
        <v>3807</v>
      </c>
      <c r="B29" s="4527" t="s">
        <v>180</v>
      </c>
      <c r="C29" s="4548">
        <f>SUM('ФАКТ.СЕБЕСТ.СТОКИ за 1 пол.2023'!AD22)</f>
        <v>5383.0112747879366</v>
      </c>
      <c r="D29" s="4548">
        <f>SUM('ФАКТ.СЕБЕСТ.СТОКИ за 1 пол.2023'!BQ22)</f>
        <v>5383.0112747879366</v>
      </c>
      <c r="E29" s="4548">
        <f>SUM('ФАКТ.СЕБЕСТ.СТОКИ за 1 пол.2023'!CC22)</f>
        <v>10766.022549575873</v>
      </c>
      <c r="F29" s="4548">
        <f>SUM('ФАКТ.СЕБЕСТ.СТОКИ за 1 пол.2023'!DP22)</f>
        <v>5383.0112747879366</v>
      </c>
      <c r="G29" s="4548">
        <f>SUM('ФАКТ.СЕБЕСТ.СТОКИ за 1 пол.2023'!EB22)</f>
        <v>16149.033824363811</v>
      </c>
      <c r="H29" s="4548">
        <f>SUM('ФАКТ.СЕБЕСТ.СТОКИ за 1 пол.2023'!FO22)</f>
        <v>5383.0112747879366</v>
      </c>
      <c r="I29" s="4549">
        <f>SUM('ФАКТ.СЕБЕСТ.СТОКИ за 1 пол.2023'!GA22)</f>
        <v>21532.045099151746</v>
      </c>
      <c r="J29" s="523"/>
      <c r="K29" s="128">
        <f t="shared" si="1"/>
        <v>21532.045099151746</v>
      </c>
    </row>
    <row r="30" spans="1:11" ht="20.100000000000001" customHeight="1" x14ac:dyDescent="0.2">
      <c r="A30" s="4533" t="s">
        <v>3802</v>
      </c>
      <c r="B30" s="4527" t="s">
        <v>180</v>
      </c>
      <c r="C30" s="4536">
        <f>SUM('ФАКТ.СЕБЕСТ.СТОКИ за 1 пол.2023'!AE25)</f>
        <v>86.693571683085565</v>
      </c>
      <c r="D30" s="4536">
        <f>SUM('ФАКТ.СЕБЕСТ.СТОКИ за 1 пол.2023'!BR25)</f>
        <v>86.693571683085565</v>
      </c>
      <c r="E30" s="4536">
        <f>SUM('ФАКТ.СЕБЕСТ.СТОКИ за 1 пол.2023'!CD25)</f>
        <v>173.38714336617113</v>
      </c>
      <c r="F30" s="4536">
        <f>SUM('ФАКТ.СЕБЕСТ.СТОКИ за 1 пол.2023'!DQ25)</f>
        <v>86.693571683085565</v>
      </c>
      <c r="G30" s="4536">
        <f>SUM('ФАКТ.СЕБЕСТ.СТОКИ за 1 пол.2023'!EC25)</f>
        <v>260.0807150492567</v>
      </c>
      <c r="H30" s="4536">
        <f>SUM('ФАКТ.СЕБЕСТ.СТОКИ за 1 пол.2023'!FP25)</f>
        <v>86.693571683085565</v>
      </c>
      <c r="I30" s="4537">
        <f>SUM('ФАКТ.СЕБЕСТ.СТОКИ за 1 пол.2023'!GB25)</f>
        <v>346.77428673234226</v>
      </c>
      <c r="J30" s="523"/>
      <c r="K30" s="128">
        <f t="shared" si="1"/>
        <v>346.77428673234226</v>
      </c>
    </row>
    <row r="31" spans="1:11" ht="20.100000000000001" customHeight="1" x14ac:dyDescent="0.2">
      <c r="A31" s="2970" t="s">
        <v>3803</v>
      </c>
      <c r="B31" s="4527" t="s">
        <v>180</v>
      </c>
      <c r="C31" s="3590">
        <f>SUM('Прил.1 ПланФХД трансп. стоков23'!C16)</f>
        <v>1443.2055154381876</v>
      </c>
      <c r="D31" s="3590">
        <f>SUM('Прил.1 ПланФХД трансп. стоков23'!D16)</f>
        <v>1443.2055154381876</v>
      </c>
      <c r="E31" s="3590">
        <f>SUM('Прил.1 ПланФХД трансп. стоков23'!E16)</f>
        <v>2886.4110308763752</v>
      </c>
      <c r="F31" s="3590">
        <f>SUM('Прил.1 ПланФХД трансп. стоков23'!F16)</f>
        <v>1443.2055154381876</v>
      </c>
      <c r="G31" s="3590">
        <f>SUM('Прил.1 ПланФХД трансп. стоков23'!G16)</f>
        <v>4329.6165463145626</v>
      </c>
      <c r="H31" s="3590">
        <f>SUM('Прил.1 ПланФХД трансп. стоков23'!H16)</f>
        <v>1443.2055154381876</v>
      </c>
      <c r="I31" s="3838">
        <f>SUM(G31:H31)</f>
        <v>5772.8220617527504</v>
      </c>
      <c r="J31" s="523"/>
      <c r="K31" s="128">
        <f t="shared" si="1"/>
        <v>5772.8220617527504</v>
      </c>
    </row>
    <row r="32" spans="1:11" ht="20.100000000000001" customHeight="1" x14ac:dyDescent="0.2">
      <c r="A32" s="4524" t="s">
        <v>3808</v>
      </c>
      <c r="B32" s="4527" t="s">
        <v>180</v>
      </c>
      <c r="C32" s="4530">
        <f>SUM(C33:C34)</f>
        <v>885</v>
      </c>
      <c r="D32" s="4530">
        <f t="shared" ref="D32:I32" si="6">SUM(D33:D34)</f>
        <v>885</v>
      </c>
      <c r="E32" s="4530">
        <f t="shared" si="6"/>
        <v>1770</v>
      </c>
      <c r="F32" s="4530">
        <f t="shared" si="6"/>
        <v>885</v>
      </c>
      <c r="G32" s="4530">
        <f t="shared" si="6"/>
        <v>2655</v>
      </c>
      <c r="H32" s="4530">
        <f t="shared" si="6"/>
        <v>885</v>
      </c>
      <c r="I32" s="4531">
        <f t="shared" si="6"/>
        <v>3540</v>
      </c>
      <c r="K32" s="128">
        <f t="shared" si="1"/>
        <v>3540</v>
      </c>
    </row>
    <row r="33" spans="1:12" ht="20.100000000000001" customHeight="1" x14ac:dyDescent="0.2">
      <c r="A33" s="4390" t="s">
        <v>3809</v>
      </c>
      <c r="B33" s="4527" t="s">
        <v>180</v>
      </c>
      <c r="C33" s="4548">
        <v>212.5</v>
      </c>
      <c r="D33" s="4548">
        <v>212.5</v>
      </c>
      <c r="E33" s="4548">
        <f>SUM(C33:D33)</f>
        <v>425</v>
      </c>
      <c r="F33" s="4548">
        <v>212.5</v>
      </c>
      <c r="G33" s="4548">
        <f>SUM(E33:F33)</f>
        <v>637.5</v>
      </c>
      <c r="H33" s="4548">
        <v>212.5</v>
      </c>
      <c r="I33" s="4549">
        <f>SUM(G33:H33)</f>
        <v>850</v>
      </c>
      <c r="K33" s="128">
        <f t="shared" si="1"/>
        <v>850</v>
      </c>
    </row>
    <row r="34" spans="1:12" ht="20.100000000000001" customHeight="1" x14ac:dyDescent="0.2">
      <c r="A34" s="4390" t="s">
        <v>3715</v>
      </c>
      <c r="B34" s="4527" t="s">
        <v>180</v>
      </c>
      <c r="C34" s="4548">
        <v>672.5</v>
      </c>
      <c r="D34" s="4548">
        <v>672.5</v>
      </c>
      <c r="E34" s="4548">
        <f>SUM(C34:D34)</f>
        <v>1345</v>
      </c>
      <c r="F34" s="4548">
        <v>672.5</v>
      </c>
      <c r="G34" s="4548">
        <f>SUM(E34:F34)</f>
        <v>2017.5</v>
      </c>
      <c r="H34" s="4548">
        <v>672.5</v>
      </c>
      <c r="I34" s="4549">
        <f>SUM(G34:H34)</f>
        <v>2690</v>
      </c>
      <c r="K34" s="128">
        <f t="shared" si="1"/>
        <v>2690</v>
      </c>
    </row>
    <row r="35" spans="1:12" ht="20.100000000000001" customHeight="1" x14ac:dyDescent="0.2">
      <c r="A35" s="4526" t="s">
        <v>3810</v>
      </c>
      <c r="B35" s="4527" t="s">
        <v>180</v>
      </c>
      <c r="C35" s="4528">
        <f t="shared" ref="C35:I35" si="7">SUM(C36+C39+C40+C43+C44)</f>
        <v>80458.774784661393</v>
      </c>
      <c r="D35" s="4528">
        <f t="shared" si="7"/>
        <v>80458.774784661393</v>
      </c>
      <c r="E35" s="4528">
        <f t="shared" si="7"/>
        <v>160917.54956932279</v>
      </c>
      <c r="F35" s="4528">
        <f t="shared" si="7"/>
        <v>80458.774784661393</v>
      </c>
      <c r="G35" s="4528">
        <f t="shared" si="7"/>
        <v>241376.32435398418</v>
      </c>
      <c r="H35" s="4528">
        <f t="shared" si="7"/>
        <v>80458.774784661393</v>
      </c>
      <c r="I35" s="4529">
        <f t="shared" si="7"/>
        <v>321835.09913864557</v>
      </c>
      <c r="K35" s="128">
        <f t="shared" si="1"/>
        <v>321835.09913864557</v>
      </c>
    </row>
    <row r="36" spans="1:12" ht="20.100000000000001" customHeight="1" x14ac:dyDescent="0.2">
      <c r="A36" s="4524" t="s">
        <v>3805</v>
      </c>
      <c r="B36" s="4527" t="s">
        <v>180</v>
      </c>
      <c r="C36" s="4530">
        <f>SUM(C37:C38)</f>
        <v>46817.758902811212</v>
      </c>
      <c r="D36" s="4530">
        <f t="shared" ref="D36:I36" si="8">SUM(D37:D38)</f>
        <v>46817.758902811212</v>
      </c>
      <c r="E36" s="4530">
        <f t="shared" si="8"/>
        <v>93635.517805622425</v>
      </c>
      <c r="F36" s="4530">
        <f t="shared" si="8"/>
        <v>46817.758902811212</v>
      </c>
      <c r="G36" s="4530">
        <f t="shared" si="8"/>
        <v>140453.27670843364</v>
      </c>
      <c r="H36" s="4530">
        <f t="shared" si="8"/>
        <v>46817.758902811212</v>
      </c>
      <c r="I36" s="4531">
        <f t="shared" si="8"/>
        <v>187271.03561124485</v>
      </c>
      <c r="K36" s="128">
        <f t="shared" si="1"/>
        <v>187271.03561124485</v>
      </c>
    </row>
    <row r="37" spans="1:12" ht="20.100000000000001" customHeight="1" x14ac:dyDescent="0.2">
      <c r="A37" s="2979" t="s">
        <v>3799</v>
      </c>
      <c r="B37" s="4527" t="s">
        <v>180</v>
      </c>
      <c r="C37" s="4536">
        <f>SUM('ФАКТ.СЕБЕСТ.ВОДА за 1 пол. 2023'!AD81)</f>
        <v>46808.971911798784</v>
      </c>
      <c r="D37" s="4536">
        <f>SUM('ФАКТ.СЕБЕСТ.ВОДА за 1 пол. 2023'!BQ81)</f>
        <v>46808.971911798784</v>
      </c>
      <c r="E37" s="4536">
        <f>SUM('ФАКТ.СЕБЕСТ.ВОДА за 1 пол. 2023'!CC81)</f>
        <v>93617.943823597569</v>
      </c>
      <c r="F37" s="4536">
        <f>SUM('ФАКТ.СЕБЕСТ.ВОДА за 1 пол. 2023'!DP81)</f>
        <v>46808.971911798784</v>
      </c>
      <c r="G37" s="4536">
        <f>SUM('ФАКТ.СЕБЕСТ.ВОДА за 1 пол. 2023'!EB81)</f>
        <v>140426.91573539635</v>
      </c>
      <c r="H37" s="4536">
        <f>SUM('ФАКТ.СЕБЕСТ.ВОДА за 1 пол. 2023'!FO81)</f>
        <v>46808.971911798784</v>
      </c>
      <c r="I37" s="4537">
        <f>SUM('ФАКТ.СЕБЕСТ.ВОДА за 1 пол. 2023'!GA81)</f>
        <v>187235.88764719514</v>
      </c>
      <c r="K37" s="128">
        <f t="shared" si="1"/>
        <v>187235.88764719514</v>
      </c>
    </row>
    <row r="38" spans="1:12" ht="20.100000000000001" customHeight="1" x14ac:dyDescent="0.2">
      <c r="A38" s="4533" t="s">
        <v>1693</v>
      </c>
      <c r="B38" s="4527" t="s">
        <v>180</v>
      </c>
      <c r="C38" s="4536">
        <f>SUM('ФАКТ.СЕБЕСТ.ВОДА за 1 пол. 2023'!AE81)</f>
        <v>8.786991012430871</v>
      </c>
      <c r="D38" s="4536">
        <f>SUM('ФАКТ.СЕБЕСТ.ВОДА за 1 пол. 2023'!BR81)</f>
        <v>8.786991012430871</v>
      </c>
      <c r="E38" s="4536">
        <f>SUM('ФАКТ.СЕБЕСТ.ВОДА за 1 пол. 2023'!CD81)</f>
        <v>17.573982024861742</v>
      </c>
      <c r="F38" s="4536">
        <f>SUM('ФАКТ.СЕБЕСТ.ВОДА за 1 пол. 2023'!DQ81)</f>
        <v>8.786991012430871</v>
      </c>
      <c r="G38" s="4536">
        <f>SUM('ФАКТ.СЕБЕСТ.ВОДА за 1 пол. 2023'!EC81)</f>
        <v>26.360973037292613</v>
      </c>
      <c r="H38" s="4536">
        <f>SUM('ФАКТ.СЕБЕСТ.ВОДА за 1 пол. 2023'!FP81)</f>
        <v>8.786991012430871</v>
      </c>
      <c r="I38" s="4537">
        <f>SUM('ФАКТ.СЕБЕСТ.ВОДА за 1 пол. 2023'!GB81)</f>
        <v>35.147964049723484</v>
      </c>
      <c r="K38" s="128">
        <f t="shared" si="1"/>
        <v>35.147964049723484</v>
      </c>
    </row>
    <row r="39" spans="1:12" ht="20.100000000000001" customHeight="1" x14ac:dyDescent="0.2">
      <c r="A39" s="2970" t="s">
        <v>3800</v>
      </c>
      <c r="B39" s="4527" t="s">
        <v>180</v>
      </c>
      <c r="C39" s="3590">
        <f>SUM('Прил. 1 План ФХД трансп. воды23'!C40)</f>
        <v>277.37166188999998</v>
      </c>
      <c r="D39" s="3590">
        <f>SUM('Прил. 1 План ФХД трансп. воды23'!D40)</f>
        <v>277.37166188999998</v>
      </c>
      <c r="E39" s="3590">
        <f>SUM(C39:D39)</f>
        <v>554.74332377999997</v>
      </c>
      <c r="F39" s="3590">
        <f>SUM('Прил. 1 План ФХД трансп. воды23'!F40)</f>
        <v>277.37166188999998</v>
      </c>
      <c r="G39" s="3590">
        <f>SUM(E39:F39)</f>
        <v>832.1149856699999</v>
      </c>
      <c r="H39" s="3590">
        <f>SUM('Прил. 1 План ФХД трансп. воды23'!H40)</f>
        <v>277.37166188999998</v>
      </c>
      <c r="I39" s="3838">
        <f>SUM(G39:H39)</f>
        <v>1109.4866475599999</v>
      </c>
      <c r="K39" s="128">
        <f t="shared" si="1"/>
        <v>1109.4866475599999</v>
      </c>
    </row>
    <row r="40" spans="1:12" ht="20.100000000000001" customHeight="1" x14ac:dyDescent="0.2">
      <c r="A40" s="4524" t="s">
        <v>3801</v>
      </c>
      <c r="B40" s="4527" t="s">
        <v>180</v>
      </c>
      <c r="C40" s="4530">
        <f>SUM(C41:C42)</f>
        <v>31212.438704521999</v>
      </c>
      <c r="D40" s="4530">
        <f t="shared" ref="D40:I40" si="9">SUM(D41:D42)</f>
        <v>31212.438704521999</v>
      </c>
      <c r="E40" s="4530">
        <f t="shared" si="9"/>
        <v>62424.877409043998</v>
      </c>
      <c r="F40" s="4530">
        <f t="shared" si="9"/>
        <v>31212.438704521999</v>
      </c>
      <c r="G40" s="4530">
        <f t="shared" si="9"/>
        <v>93637.31611356599</v>
      </c>
      <c r="H40" s="4530">
        <f t="shared" si="9"/>
        <v>31212.438704521999</v>
      </c>
      <c r="I40" s="4531">
        <f t="shared" si="9"/>
        <v>124849.754818088</v>
      </c>
      <c r="K40" s="128">
        <f t="shared" si="1"/>
        <v>124849.754818088</v>
      </c>
    </row>
    <row r="41" spans="1:12" ht="20.100000000000001" customHeight="1" x14ac:dyDescent="0.2">
      <c r="A41" s="4533" t="s">
        <v>335</v>
      </c>
      <c r="B41" s="4527" t="s">
        <v>180</v>
      </c>
      <c r="C41" s="4536">
        <f>SUM('ФАКТ.СЕБЕСТ.СТОКИ за 1 пол.2023'!AD68)</f>
        <v>31125.745247639945</v>
      </c>
      <c r="D41" s="4536">
        <f>SUM('ФАКТ.СЕБЕСТ.СТОКИ за 1 пол.2023'!BQ68)</f>
        <v>31125.745247639945</v>
      </c>
      <c r="E41" s="4536">
        <f>SUM('ФАКТ.СЕБЕСТ.СТОКИ за 1 пол.2023'!CC68)</f>
        <v>62251.49049527989</v>
      </c>
      <c r="F41" s="4536">
        <f>SUM('ФАКТ.СЕБЕСТ.СТОКИ за 1 пол.2023'!DP68)</f>
        <v>31125.745247639945</v>
      </c>
      <c r="G41" s="4536">
        <f>SUM('ФАКТ.СЕБЕСТ.СТОКИ за 1 пол.2023'!EB68)</f>
        <v>93377.235742919831</v>
      </c>
      <c r="H41" s="4536">
        <f>SUM('ФАКТ.СЕБЕСТ.СТОКИ за 1 пол.2023'!FO68)</f>
        <v>31125.745247639945</v>
      </c>
      <c r="I41" s="4537">
        <f>SUM('ФАКТ.СЕБЕСТ.СТОКИ за 1 пол.2023'!GA68)</f>
        <v>124502.98099055978</v>
      </c>
      <c r="K41" s="128">
        <f t="shared" si="1"/>
        <v>124502.98099055978</v>
      </c>
    </row>
    <row r="42" spans="1:12" ht="20.100000000000001" customHeight="1" x14ac:dyDescent="0.2">
      <c r="A42" s="4533" t="s">
        <v>3802</v>
      </c>
      <c r="B42" s="4527" t="s">
        <v>180</v>
      </c>
      <c r="C42" s="4536">
        <f>SUM('ФАКТ.СЕБЕСТ.СТОКИ за 1 пол.2023'!AE68)</f>
        <v>86.693456882053653</v>
      </c>
      <c r="D42" s="4536">
        <f>SUM('ФАКТ.СЕБЕСТ.СТОКИ за 1 пол.2023'!BR68)</f>
        <v>86.693456882053653</v>
      </c>
      <c r="E42" s="4536">
        <f>SUM('ФАКТ.СЕБЕСТ.СТОКИ за 1 пол.2023'!CD68)</f>
        <v>173.38691376410731</v>
      </c>
      <c r="F42" s="4536">
        <f>SUM('ФАКТ.СЕБЕСТ.СТОКИ за 1 пол.2023'!DQ68)</f>
        <v>86.693456882053653</v>
      </c>
      <c r="G42" s="4536">
        <f>SUM('ФАКТ.СЕБЕСТ.СТОКИ за 1 пол.2023'!EC68)</f>
        <v>260.08037064616099</v>
      </c>
      <c r="H42" s="4536">
        <f>SUM('ФАКТ.СЕБЕСТ.СТОКИ за 1 пол.2023'!FP68)</f>
        <v>86.693456882053653</v>
      </c>
      <c r="I42" s="4537">
        <f>SUM('ФАКТ.СЕБЕСТ.СТОКИ за 1 пол.2023'!GB68)</f>
        <v>346.77382752821461</v>
      </c>
      <c r="K42" s="128">
        <f t="shared" si="1"/>
        <v>346.77382752821461</v>
      </c>
    </row>
    <row r="43" spans="1:12" ht="20.100000000000001" customHeight="1" x14ac:dyDescent="0.2">
      <c r="A43" s="2970" t="s">
        <v>3803</v>
      </c>
      <c r="B43" s="4527" t="s">
        <v>180</v>
      </c>
      <c r="C43" s="3590">
        <f>SUM('Прил.1 ПланФХД трансп. стоков23'!C38)</f>
        <v>1443.2055154381876</v>
      </c>
      <c r="D43" s="3590">
        <f>SUM('Прил.1 ПланФХД трансп. стоков23'!D38)</f>
        <v>1443.2055154381876</v>
      </c>
      <c r="E43" s="3590">
        <f>SUM(C43:D43)</f>
        <v>2886.4110308763752</v>
      </c>
      <c r="F43" s="3590">
        <f>SUM('Прил.1 ПланФХД трансп. стоков23'!F38)</f>
        <v>1443.2055154381876</v>
      </c>
      <c r="G43" s="3590">
        <f>SUM(E43:F43)</f>
        <v>4329.6165463145626</v>
      </c>
      <c r="H43" s="3590">
        <f>SUM('Прил.1 ПланФХД трансп. стоков23'!H38)</f>
        <v>1443.2055154381876</v>
      </c>
      <c r="I43" s="3838">
        <f>SUM(G43:H43)</f>
        <v>5772.8220617527504</v>
      </c>
      <c r="K43" s="128">
        <f t="shared" si="1"/>
        <v>5772.8220617527504</v>
      </c>
    </row>
    <row r="44" spans="1:12" ht="20.100000000000001" customHeight="1" x14ac:dyDescent="0.2">
      <c r="A44" s="4524" t="s">
        <v>3811</v>
      </c>
      <c r="B44" s="4527" t="s">
        <v>180</v>
      </c>
      <c r="C44" s="4530">
        <f>SUM(C45:C46)</f>
        <v>708</v>
      </c>
      <c r="D44" s="4530">
        <f t="shared" ref="D44:I44" si="10">SUM(D45:D46)</f>
        <v>708</v>
      </c>
      <c r="E44" s="4530">
        <f t="shared" si="10"/>
        <v>1416</v>
      </c>
      <c r="F44" s="4530">
        <f t="shared" si="10"/>
        <v>708</v>
      </c>
      <c r="G44" s="4530">
        <f t="shared" si="10"/>
        <v>2124</v>
      </c>
      <c r="H44" s="4530">
        <f t="shared" si="10"/>
        <v>708</v>
      </c>
      <c r="I44" s="4531">
        <f t="shared" si="10"/>
        <v>2832</v>
      </c>
      <c r="K44" s="128">
        <f t="shared" si="1"/>
        <v>2832</v>
      </c>
    </row>
    <row r="45" spans="1:12" ht="20.100000000000001" customHeight="1" x14ac:dyDescent="0.2">
      <c r="A45" s="4534" t="s">
        <v>3809</v>
      </c>
      <c r="B45" s="4527" t="s">
        <v>180</v>
      </c>
      <c r="C45" s="4536">
        <f t="shared" ref="C45:I46" si="11">SUM(C33*80%)</f>
        <v>170</v>
      </c>
      <c r="D45" s="4536">
        <f t="shared" si="11"/>
        <v>170</v>
      </c>
      <c r="E45" s="4536">
        <f t="shared" si="11"/>
        <v>340</v>
      </c>
      <c r="F45" s="4536">
        <f t="shared" si="11"/>
        <v>170</v>
      </c>
      <c r="G45" s="4536">
        <f t="shared" si="11"/>
        <v>510</v>
      </c>
      <c r="H45" s="4536">
        <f t="shared" si="11"/>
        <v>170</v>
      </c>
      <c r="I45" s="4537">
        <f t="shared" si="11"/>
        <v>680</v>
      </c>
      <c r="K45" s="128">
        <f t="shared" si="1"/>
        <v>680</v>
      </c>
    </row>
    <row r="46" spans="1:12" ht="20.100000000000001" customHeight="1" x14ac:dyDescent="0.2">
      <c r="A46" s="4534" t="s">
        <v>3715</v>
      </c>
      <c r="B46" s="4527" t="s">
        <v>180</v>
      </c>
      <c r="C46" s="4536">
        <f t="shared" si="11"/>
        <v>538</v>
      </c>
      <c r="D46" s="4536">
        <f t="shared" si="11"/>
        <v>538</v>
      </c>
      <c r="E46" s="4536">
        <f t="shared" si="11"/>
        <v>1076</v>
      </c>
      <c r="F46" s="4536">
        <f t="shared" si="11"/>
        <v>538</v>
      </c>
      <c r="G46" s="4536">
        <f t="shared" si="11"/>
        <v>1614</v>
      </c>
      <c r="H46" s="4536">
        <f t="shared" si="11"/>
        <v>538</v>
      </c>
      <c r="I46" s="4537">
        <f t="shared" si="11"/>
        <v>2152</v>
      </c>
      <c r="K46" s="128">
        <f t="shared" si="1"/>
        <v>2152</v>
      </c>
    </row>
    <row r="47" spans="1:12" ht="20.100000000000001" customHeight="1" x14ac:dyDescent="0.2">
      <c r="A47" s="4524" t="s">
        <v>3812</v>
      </c>
      <c r="B47" s="4527" t="s">
        <v>180</v>
      </c>
      <c r="C47" s="4530">
        <f t="shared" ref="C47:I47" si="12">SUM(C48:C52)</f>
        <v>176.99976469502144</v>
      </c>
      <c r="D47" s="4530">
        <f t="shared" si="12"/>
        <v>176.99976469502144</v>
      </c>
      <c r="E47" s="4530">
        <f t="shared" si="12"/>
        <v>353.99952939004288</v>
      </c>
      <c r="F47" s="4530">
        <f t="shared" si="12"/>
        <v>176.99976469502144</v>
      </c>
      <c r="G47" s="4530">
        <f t="shared" si="12"/>
        <v>530.99929408507887</v>
      </c>
      <c r="H47" s="4530">
        <f>SUM(H48:H52)</f>
        <v>176.99976469502144</v>
      </c>
      <c r="I47" s="4531">
        <f t="shared" si="12"/>
        <v>707.99905878008576</v>
      </c>
      <c r="K47" s="128">
        <f t="shared" si="1"/>
        <v>707.99905878008576</v>
      </c>
    </row>
    <row r="48" spans="1:12" ht="20.100000000000001" customHeight="1" x14ac:dyDescent="0.2">
      <c r="A48" s="4525" t="s">
        <v>345</v>
      </c>
      <c r="B48" s="4535" t="s">
        <v>180</v>
      </c>
      <c r="C48" s="4548">
        <f>SUM(C22-C36)</f>
        <v>8.6917737644398585E-4</v>
      </c>
      <c r="D48" s="4548">
        <f t="shared" ref="D48:I48" si="13">SUM(D22-D36)</f>
        <v>8.6917737644398585E-4</v>
      </c>
      <c r="E48" s="4548">
        <f t="shared" si="13"/>
        <v>1.7383547528879717E-3</v>
      </c>
      <c r="F48" s="4548">
        <f t="shared" si="13"/>
        <v>8.6917737644398585E-4</v>
      </c>
      <c r="G48" s="4548">
        <f t="shared" si="13"/>
        <v>2.6075321366079152E-3</v>
      </c>
      <c r="H48" s="4548">
        <f t="shared" si="13"/>
        <v>8.6917737644398585E-4</v>
      </c>
      <c r="I48" s="4549">
        <f t="shared" si="13"/>
        <v>3.4767095057759434E-3</v>
      </c>
      <c r="K48" s="128">
        <f t="shared" si="1"/>
        <v>3.4767095057759434E-3</v>
      </c>
      <c r="L48" s="129"/>
    </row>
    <row r="49" spans="1:12" ht="20.100000000000001" customHeight="1" x14ac:dyDescent="0.2">
      <c r="A49" s="2972" t="s">
        <v>3800</v>
      </c>
      <c r="B49" s="4535" t="s">
        <v>180</v>
      </c>
      <c r="C49" s="4548">
        <f>SUM(C26-C39)</f>
        <v>0</v>
      </c>
      <c r="D49" s="4548">
        <f t="shared" ref="D49:I50" si="14">SUM(D26-D39)</f>
        <v>0</v>
      </c>
      <c r="E49" s="4548">
        <f t="shared" si="14"/>
        <v>0</v>
      </c>
      <c r="F49" s="4548">
        <f t="shared" si="14"/>
        <v>0</v>
      </c>
      <c r="G49" s="4548">
        <f t="shared" si="14"/>
        <v>0</v>
      </c>
      <c r="H49" s="4548">
        <f t="shared" si="14"/>
        <v>0</v>
      </c>
      <c r="I49" s="4549">
        <f t="shared" si="14"/>
        <v>0</v>
      </c>
      <c r="K49" s="128">
        <f t="shared" si="1"/>
        <v>0</v>
      </c>
      <c r="L49" s="129"/>
    </row>
    <row r="50" spans="1:12" ht="20.100000000000001" customHeight="1" x14ac:dyDescent="0.2">
      <c r="A50" s="4525" t="s">
        <v>335</v>
      </c>
      <c r="B50" s="4535" t="s">
        <v>180</v>
      </c>
      <c r="C50" s="4548">
        <f>SUM(C27-C40)</f>
        <v>-1.1044823550037108E-3</v>
      </c>
      <c r="D50" s="4548">
        <f t="shared" si="14"/>
        <v>-1.1044823550037108E-3</v>
      </c>
      <c r="E50" s="4548">
        <f t="shared" si="14"/>
        <v>-2.2089647100074217E-3</v>
      </c>
      <c r="F50" s="4548">
        <f t="shared" si="14"/>
        <v>-1.1044823550037108E-3</v>
      </c>
      <c r="G50" s="4548">
        <f t="shared" si="14"/>
        <v>-3.3134470577351749E-3</v>
      </c>
      <c r="H50" s="4548">
        <f t="shared" si="14"/>
        <v>-1.1044823550037108E-3</v>
      </c>
      <c r="I50" s="4549">
        <f t="shared" si="14"/>
        <v>-4.4179294200148433E-3</v>
      </c>
      <c r="K50" s="128">
        <f t="shared" si="1"/>
        <v>-4.4179294200148433E-3</v>
      </c>
      <c r="L50" s="129"/>
    </row>
    <row r="51" spans="1:12" ht="20.100000000000001" customHeight="1" x14ac:dyDescent="0.2">
      <c r="A51" s="2972" t="s">
        <v>3803</v>
      </c>
      <c r="B51" s="4535" t="s">
        <v>180</v>
      </c>
      <c r="C51" s="4548">
        <f>SUM(C31-C43)</f>
        <v>0</v>
      </c>
      <c r="D51" s="4548">
        <f t="shared" ref="D51:I52" si="15">SUM(D31-D43)</f>
        <v>0</v>
      </c>
      <c r="E51" s="4548">
        <f t="shared" si="15"/>
        <v>0</v>
      </c>
      <c r="F51" s="4548">
        <f t="shared" si="15"/>
        <v>0</v>
      </c>
      <c r="G51" s="4548">
        <f t="shared" si="15"/>
        <v>0</v>
      </c>
      <c r="H51" s="4548">
        <f t="shared" si="15"/>
        <v>0</v>
      </c>
      <c r="I51" s="4549">
        <f t="shared" si="15"/>
        <v>0</v>
      </c>
      <c r="K51" s="128">
        <f t="shared" si="1"/>
        <v>0</v>
      </c>
      <c r="L51" s="129"/>
    </row>
    <row r="52" spans="1:12" ht="20.100000000000001" customHeight="1" x14ac:dyDescent="0.2">
      <c r="A52" s="4525" t="s">
        <v>3813</v>
      </c>
      <c r="B52" s="4535" t="s">
        <v>180</v>
      </c>
      <c r="C52" s="4548">
        <f>SUM(C32-C44)</f>
        <v>177</v>
      </c>
      <c r="D52" s="4548">
        <f t="shared" si="15"/>
        <v>177</v>
      </c>
      <c r="E52" s="4548">
        <f t="shared" si="15"/>
        <v>354</v>
      </c>
      <c r="F52" s="4548">
        <f t="shared" si="15"/>
        <v>177</v>
      </c>
      <c r="G52" s="4548">
        <f t="shared" si="15"/>
        <v>531</v>
      </c>
      <c r="H52" s="4548">
        <f t="shared" si="15"/>
        <v>177</v>
      </c>
      <c r="I52" s="4549">
        <f t="shared" si="15"/>
        <v>708</v>
      </c>
      <c r="K52" s="128">
        <f t="shared" si="1"/>
        <v>708</v>
      </c>
    </row>
    <row r="53" spans="1:12" ht="20.100000000000001" customHeight="1" x14ac:dyDescent="0.2">
      <c r="A53" s="4524" t="s">
        <v>3814</v>
      </c>
      <c r="B53" s="4527" t="s">
        <v>180</v>
      </c>
      <c r="C53" s="4530">
        <v>3624.32</v>
      </c>
      <c r="D53" s="4530">
        <v>3624.32</v>
      </c>
      <c r="E53" s="4530">
        <f>SUM(C53:D53)</f>
        <v>7248.64</v>
      </c>
      <c r="F53" s="4530">
        <v>3624.32</v>
      </c>
      <c r="G53" s="4530">
        <f>SUM(E53:F53)</f>
        <v>10872.960000000001</v>
      </c>
      <c r="H53" s="4530">
        <v>3624.32</v>
      </c>
      <c r="I53" s="4531">
        <f>SUM(G53:H53)</f>
        <v>14497.28</v>
      </c>
      <c r="K53" s="128">
        <f t="shared" si="1"/>
        <v>14497.28</v>
      </c>
    </row>
    <row r="54" spans="1:12" ht="20.100000000000001" customHeight="1" x14ac:dyDescent="0.2">
      <c r="A54" s="4524" t="s">
        <v>3815</v>
      </c>
      <c r="B54" s="4527" t="s">
        <v>180</v>
      </c>
      <c r="C54" s="4530">
        <v>3801.32</v>
      </c>
      <c r="D54" s="4530">
        <f t="shared" ref="D54:I54" si="16">SUM(D55:D57)</f>
        <v>3801.32</v>
      </c>
      <c r="E54" s="4530">
        <f t="shared" si="16"/>
        <v>7602.64</v>
      </c>
      <c r="F54" s="4530">
        <f t="shared" si="16"/>
        <v>3801.32</v>
      </c>
      <c r="G54" s="4530">
        <f t="shared" si="16"/>
        <v>11403.960000000001</v>
      </c>
      <c r="H54" s="4530">
        <f t="shared" si="16"/>
        <v>3801.32</v>
      </c>
      <c r="I54" s="4531">
        <f t="shared" si="16"/>
        <v>15205.28</v>
      </c>
      <c r="K54" s="128">
        <f t="shared" si="1"/>
        <v>15205.28</v>
      </c>
    </row>
    <row r="55" spans="1:12" ht="20.100000000000001" customHeight="1" x14ac:dyDescent="0.2">
      <c r="A55" s="4525" t="s">
        <v>3816</v>
      </c>
      <c r="B55" s="4535" t="s">
        <v>180</v>
      </c>
      <c r="C55" s="4548">
        <v>2239</v>
      </c>
      <c r="D55" s="4548">
        <v>2239</v>
      </c>
      <c r="E55" s="4548">
        <f>C55+D55</f>
        <v>4478</v>
      </c>
      <c r="F55" s="4548">
        <v>2239</v>
      </c>
      <c r="G55" s="4548">
        <f>E55+F55</f>
        <v>6717</v>
      </c>
      <c r="H55" s="4548">
        <v>2239</v>
      </c>
      <c r="I55" s="4549">
        <f>SUM(G55:H55)</f>
        <v>8956</v>
      </c>
      <c r="K55" s="128">
        <f t="shared" si="1"/>
        <v>8956</v>
      </c>
    </row>
    <row r="56" spans="1:12" ht="20.100000000000001" customHeight="1" x14ac:dyDescent="0.2">
      <c r="A56" s="4525" t="s">
        <v>3888</v>
      </c>
      <c r="B56" s="4535" t="s">
        <v>180</v>
      </c>
      <c r="C56" s="4548">
        <v>1433.92</v>
      </c>
      <c r="D56" s="4548">
        <v>1433.92</v>
      </c>
      <c r="E56" s="4548">
        <f>C56+D56</f>
        <v>2867.84</v>
      </c>
      <c r="F56" s="4548">
        <v>1433.92</v>
      </c>
      <c r="G56" s="4548">
        <f>E56+F56</f>
        <v>4301.76</v>
      </c>
      <c r="H56" s="4548">
        <v>1433.92</v>
      </c>
      <c r="I56" s="4549">
        <f t="shared" ref="I56:I57" si="17">G56+H56</f>
        <v>5735.68</v>
      </c>
      <c r="K56" s="128">
        <f t="shared" si="1"/>
        <v>5735.68</v>
      </c>
    </row>
    <row r="57" spans="1:12" ht="20.100000000000001" customHeight="1" x14ac:dyDescent="0.2">
      <c r="A57" s="4525" t="s">
        <v>3817</v>
      </c>
      <c r="B57" s="4535" t="s">
        <v>180</v>
      </c>
      <c r="C57" s="4548">
        <v>128.4</v>
      </c>
      <c r="D57" s="4548">
        <v>128.4</v>
      </c>
      <c r="E57" s="4548">
        <f>C57+D57</f>
        <v>256.8</v>
      </c>
      <c r="F57" s="4548">
        <v>128.4</v>
      </c>
      <c r="G57" s="4548">
        <f>E57+F57</f>
        <v>385.20000000000005</v>
      </c>
      <c r="H57" s="4548">
        <v>128.4</v>
      </c>
      <c r="I57" s="4549">
        <f t="shared" si="17"/>
        <v>513.6</v>
      </c>
      <c r="K57" s="128">
        <f t="shared" si="1"/>
        <v>513.6</v>
      </c>
    </row>
    <row r="58" spans="1:12" ht="20.100000000000001" customHeight="1" x14ac:dyDescent="0.2">
      <c r="A58" s="4524" t="s">
        <v>3818</v>
      </c>
      <c r="B58" s="4527" t="s">
        <v>180</v>
      </c>
      <c r="C58" s="4530">
        <f>SUM(C47+C53-C54)</f>
        <v>-2.3530497855972499E-4</v>
      </c>
      <c r="D58" s="4530">
        <f t="shared" ref="D58:I58" si="18">SUM(D47+D53-D54)</f>
        <v>-2.3530497855972499E-4</v>
      </c>
      <c r="E58" s="4530">
        <f t="shared" si="18"/>
        <v>-4.7060995711944997E-4</v>
      </c>
      <c r="F58" s="4530">
        <f t="shared" si="18"/>
        <v>-2.3530497855972499E-4</v>
      </c>
      <c r="G58" s="4530">
        <f t="shared" si="18"/>
        <v>-7.0591492112725973E-4</v>
      </c>
      <c r="H58" s="4530">
        <f t="shared" si="18"/>
        <v>-2.3530497855972499E-4</v>
      </c>
      <c r="I58" s="4531">
        <f t="shared" si="18"/>
        <v>-9.4121991423889995E-4</v>
      </c>
      <c r="K58" s="128">
        <f t="shared" si="1"/>
        <v>-9.4121991423889995E-4</v>
      </c>
    </row>
    <row r="59" spans="1:12" ht="20.100000000000001" customHeight="1" x14ac:dyDescent="0.2">
      <c r="A59" s="4524" t="s">
        <v>3819</v>
      </c>
      <c r="B59" s="4527" t="s">
        <v>180</v>
      </c>
      <c r="C59" s="4530">
        <f>SUM(C58-(C58*20%))</f>
        <v>-1.8824398284777999E-4</v>
      </c>
      <c r="D59" s="4530">
        <f t="shared" ref="D59:I59" si="19">SUM(D58-(D58*20%))</f>
        <v>-1.8824398284777999E-4</v>
      </c>
      <c r="E59" s="4530">
        <f t="shared" si="19"/>
        <v>-3.7648796569555998E-4</v>
      </c>
      <c r="F59" s="4530">
        <f t="shared" si="19"/>
        <v>-1.8824398284777999E-4</v>
      </c>
      <c r="G59" s="4530">
        <f t="shared" si="19"/>
        <v>-5.6473193690180783E-4</v>
      </c>
      <c r="H59" s="4530">
        <f t="shared" si="19"/>
        <v>-1.8824398284777999E-4</v>
      </c>
      <c r="I59" s="4531">
        <f t="shared" si="19"/>
        <v>-7.5297593139111996E-4</v>
      </c>
      <c r="K59" s="128">
        <f t="shared" si="1"/>
        <v>-7.5297593139111996E-4</v>
      </c>
    </row>
    <row r="60" spans="1:12" ht="20.100000000000001" customHeight="1" x14ac:dyDescent="0.2">
      <c r="A60" s="4533" t="s">
        <v>3820</v>
      </c>
      <c r="B60" s="2971" t="s">
        <v>44</v>
      </c>
      <c r="C60" s="4536">
        <f t="shared" ref="C60:I60" si="20">C59/C35*100</f>
        <v>-2.3396327293274505E-7</v>
      </c>
      <c r="D60" s="4536">
        <f t="shared" si="20"/>
        <v>-2.3396327293274505E-7</v>
      </c>
      <c r="E60" s="4536">
        <f t="shared" si="20"/>
        <v>-2.3396327293274505E-7</v>
      </c>
      <c r="F60" s="4536">
        <f t="shared" si="20"/>
        <v>-2.3396327293274505E-7</v>
      </c>
      <c r="G60" s="4536">
        <f t="shared" si="20"/>
        <v>-2.3396326810976494E-7</v>
      </c>
      <c r="H60" s="4536">
        <f t="shared" si="20"/>
        <v>-2.3396327293274505E-7</v>
      </c>
      <c r="I60" s="4537">
        <f t="shared" si="20"/>
        <v>-2.3396327293274505E-7</v>
      </c>
      <c r="K60" s="128">
        <f t="shared" si="1"/>
        <v>-9.3585309173098022E-7</v>
      </c>
    </row>
    <row r="61" spans="1:12" ht="20.100000000000001" customHeight="1" thickBot="1" x14ac:dyDescent="0.25">
      <c r="A61" s="4538" t="s">
        <v>3821</v>
      </c>
      <c r="B61" s="4539" t="s">
        <v>180</v>
      </c>
      <c r="C61" s="4540">
        <f>SUM(C59)</f>
        <v>-1.8824398284777999E-4</v>
      </c>
      <c r="D61" s="4540">
        <f t="shared" ref="D61:I61" si="21">SUM(D59)</f>
        <v>-1.8824398284777999E-4</v>
      </c>
      <c r="E61" s="4540">
        <f t="shared" si="21"/>
        <v>-3.7648796569555998E-4</v>
      </c>
      <c r="F61" s="4540">
        <f t="shared" si="21"/>
        <v>-1.8824398284777999E-4</v>
      </c>
      <c r="G61" s="4540">
        <f t="shared" si="21"/>
        <v>-5.6473193690180783E-4</v>
      </c>
      <c r="H61" s="4540">
        <f t="shared" si="21"/>
        <v>-1.8824398284777999E-4</v>
      </c>
      <c r="I61" s="4541">
        <f t="shared" si="21"/>
        <v>-7.5297593139111996E-4</v>
      </c>
      <c r="K61" s="128">
        <f t="shared" si="1"/>
        <v>-7.5297593139111996E-4</v>
      </c>
    </row>
    <row r="62" spans="1:12" ht="48.2" hidden="1" customHeight="1" x14ac:dyDescent="0.2">
      <c r="A62" s="2984" t="s">
        <v>3822</v>
      </c>
      <c r="B62" s="2971" t="s">
        <v>180</v>
      </c>
      <c r="C62" s="2973">
        <v>0</v>
      </c>
      <c r="D62" s="2973">
        <v>0</v>
      </c>
      <c r="E62" s="2973">
        <v>0</v>
      </c>
      <c r="F62" s="2973">
        <v>0</v>
      </c>
      <c r="G62" s="2973">
        <v>0</v>
      </c>
      <c r="H62" s="2973">
        <v>0</v>
      </c>
      <c r="I62" s="2974">
        <v>0</v>
      </c>
    </row>
    <row r="63" spans="1:12" ht="49.5" hidden="1" customHeight="1" x14ac:dyDescent="0.2">
      <c r="A63" s="4542" t="s">
        <v>3823</v>
      </c>
      <c r="B63" s="4527" t="s">
        <v>180</v>
      </c>
      <c r="C63" s="4536">
        <v>0</v>
      </c>
      <c r="D63" s="4536">
        <v>0</v>
      </c>
      <c r="E63" s="4536">
        <v>0</v>
      </c>
      <c r="F63" s="4536">
        <v>0</v>
      </c>
      <c r="G63" s="4536">
        <v>0</v>
      </c>
      <c r="H63" s="4536">
        <v>0</v>
      </c>
      <c r="I63" s="4537">
        <v>0</v>
      </c>
    </row>
    <row r="64" spans="1:12" ht="49.5" hidden="1" customHeight="1" thickBot="1" x14ac:dyDescent="0.25">
      <c r="A64" s="4543" t="s">
        <v>3824</v>
      </c>
      <c r="B64" s="4539" t="s">
        <v>180</v>
      </c>
      <c r="C64" s="4544">
        <f>SUM(C61-(C62+C63))</f>
        <v>-1.8824398284777999E-4</v>
      </c>
      <c r="D64" s="4544">
        <f t="shared" ref="D64:I64" si="22">SUM(D61-(D62+D63))</f>
        <v>-1.8824398284777999E-4</v>
      </c>
      <c r="E64" s="4544">
        <f t="shared" si="22"/>
        <v>-3.7648796569555998E-4</v>
      </c>
      <c r="F64" s="4544">
        <f t="shared" si="22"/>
        <v>-1.8824398284777999E-4</v>
      </c>
      <c r="G64" s="4544">
        <f t="shared" si="22"/>
        <v>-5.6473193690180783E-4</v>
      </c>
      <c r="H64" s="4544">
        <f t="shared" si="22"/>
        <v>-1.8824398284777999E-4</v>
      </c>
      <c r="I64" s="4545">
        <f t="shared" si="22"/>
        <v>-7.5297593139111996E-4</v>
      </c>
    </row>
    <row r="65" spans="1:9" ht="15.75" x14ac:dyDescent="0.25">
      <c r="A65" s="2387"/>
      <c r="B65" s="2387"/>
      <c r="C65" s="2387"/>
      <c r="D65" s="2387"/>
      <c r="E65" s="2387"/>
      <c r="F65" s="2387"/>
      <c r="G65" s="2387"/>
      <c r="H65" s="2387"/>
      <c r="I65" s="2387"/>
    </row>
    <row r="66" spans="1:9" ht="18.75" x14ac:dyDescent="0.3">
      <c r="A66" s="389" t="s">
        <v>3775</v>
      </c>
      <c r="B66" s="389"/>
      <c r="C66" s="389"/>
      <c r="D66" s="389"/>
      <c r="E66" s="389" t="s">
        <v>4248</v>
      </c>
      <c r="F66" s="2387"/>
      <c r="G66" s="2387"/>
      <c r="H66" s="2387"/>
      <c r="I66" s="2387"/>
    </row>
    <row r="67" spans="1:9" ht="18.75" x14ac:dyDescent="0.3">
      <c r="A67" s="4304"/>
      <c r="B67" s="361"/>
      <c r="C67" s="361"/>
      <c r="D67" s="4304"/>
      <c r="E67" s="4304"/>
      <c r="F67" s="1655"/>
      <c r="G67" s="1655"/>
      <c r="H67" s="1655"/>
      <c r="I67" s="1655"/>
    </row>
    <row r="68" spans="1:9" ht="18.75" x14ac:dyDescent="0.3">
      <c r="A68" s="4304" t="s">
        <v>3783</v>
      </c>
      <c r="B68" s="361"/>
      <c r="C68" s="361"/>
      <c r="D68" s="4304"/>
      <c r="E68" s="4304" t="s">
        <v>3784</v>
      </c>
      <c r="F68" s="2917"/>
      <c r="G68" s="4301"/>
      <c r="H68" s="4301"/>
      <c r="I68" s="4301"/>
    </row>
    <row r="69" spans="1:9" ht="15" x14ac:dyDescent="0.2">
      <c r="A69" s="2856"/>
      <c r="B69" s="2856"/>
      <c r="C69" s="2856"/>
      <c r="D69" s="2856"/>
      <c r="E69" s="2856"/>
      <c r="F69" s="2856"/>
      <c r="G69" s="2856"/>
      <c r="H69" s="2856"/>
      <c r="I69" s="2856"/>
    </row>
    <row r="70" spans="1:9" ht="15" x14ac:dyDescent="0.2">
      <c r="A70" s="2856"/>
      <c r="B70" s="2856"/>
      <c r="C70" s="2856"/>
      <c r="D70" s="2856"/>
      <c r="E70" s="2856"/>
      <c r="F70" s="2856"/>
      <c r="G70" s="2856"/>
      <c r="H70" s="2856"/>
      <c r="I70" s="2856"/>
    </row>
    <row r="71" spans="1:9" ht="15" x14ac:dyDescent="0.2">
      <c r="A71" s="2856"/>
      <c r="B71" s="2856"/>
      <c r="C71" s="2856"/>
      <c r="D71" s="2856"/>
      <c r="E71" s="2856"/>
      <c r="F71" s="2856"/>
      <c r="G71" s="2856"/>
      <c r="H71" s="2856"/>
      <c r="I71" s="2856"/>
    </row>
    <row r="72" spans="1:9" ht="15" x14ac:dyDescent="0.2">
      <c r="A72" s="2856"/>
      <c r="B72" s="2856"/>
      <c r="C72" s="2856"/>
      <c r="D72" s="2856"/>
      <c r="E72" s="2856"/>
      <c r="F72" s="2856"/>
      <c r="G72" s="2856"/>
      <c r="H72" s="2856"/>
      <c r="I72" s="2856"/>
    </row>
    <row r="73" spans="1:9" ht="15" x14ac:dyDescent="0.2">
      <c r="A73" s="2856"/>
      <c r="B73" s="2856"/>
      <c r="C73" s="2856"/>
      <c r="D73" s="2856"/>
      <c r="E73" s="2856"/>
      <c r="F73" s="2856"/>
      <c r="G73" s="2856"/>
      <c r="H73" s="2856"/>
      <c r="I73" s="2856"/>
    </row>
    <row r="74" spans="1:9" ht="66.75" customHeight="1" x14ac:dyDescent="0.2">
      <c r="A74" s="5171"/>
      <c r="B74" s="5171"/>
      <c r="C74" s="5171"/>
      <c r="D74" s="5171"/>
      <c r="E74" s="5171"/>
      <c r="F74" s="5171"/>
      <c r="G74" s="5171"/>
      <c r="H74" s="5171"/>
      <c r="I74" s="5171"/>
    </row>
    <row r="75" spans="1:9" ht="31.5" customHeight="1" x14ac:dyDescent="0.2">
      <c r="A75" s="5171"/>
      <c r="B75" s="4910"/>
      <c r="C75" s="4910"/>
      <c r="D75" s="4910"/>
      <c r="E75" s="4910"/>
      <c r="F75" s="4910"/>
      <c r="G75" s="4910"/>
      <c r="H75" s="4910"/>
      <c r="I75" s="4910"/>
    </row>
    <row r="76" spans="1:9" ht="15" x14ac:dyDescent="0.2">
      <c r="A76" s="2856"/>
      <c r="B76" s="2856"/>
      <c r="C76" s="2856"/>
      <c r="D76" s="2856"/>
      <c r="E76" s="2856"/>
      <c r="F76" s="2856"/>
      <c r="G76" s="2856"/>
      <c r="H76" s="2856"/>
      <c r="I76" s="2856"/>
    </row>
  </sheetData>
  <mergeCells count="6">
    <mergeCell ref="F1:I1"/>
    <mergeCell ref="A8:I8"/>
    <mergeCell ref="A12:I12"/>
    <mergeCell ref="A74:I74"/>
    <mergeCell ref="A75:I75"/>
    <mergeCell ref="F4:I4"/>
  </mergeCells>
  <printOptions horizontalCentered="1" verticalCentered="1"/>
  <pageMargins left="0.31496062992125984" right="0.31496062992125984" top="0.15748031496062992" bottom="0.15748031496062992" header="0" footer="0"/>
  <pageSetup paperSize="9" scale="6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K51"/>
  <sheetViews>
    <sheetView topLeftCell="C9" zoomScale="80" zoomScaleNormal="80" workbookViewId="0">
      <selection activeCell="F26" sqref="F26"/>
    </sheetView>
  </sheetViews>
  <sheetFormatPr defaultRowHeight="12.75" x14ac:dyDescent="0.2"/>
  <cols>
    <col min="1" max="1" width="54.28515625" customWidth="1"/>
    <col min="2" max="9" width="20.7109375" customWidth="1"/>
    <col min="11" max="11" width="17.7109375" customWidth="1"/>
  </cols>
  <sheetData>
    <row r="1" spans="1:11" ht="75.75" customHeight="1" x14ac:dyDescent="0.2">
      <c r="A1" s="565"/>
      <c r="B1" s="565"/>
      <c r="C1" s="565"/>
      <c r="D1" s="565"/>
      <c r="E1" s="565"/>
      <c r="F1" s="565"/>
      <c r="G1" s="5165" t="s">
        <v>3889</v>
      </c>
      <c r="H1" s="5165"/>
      <c r="I1" s="5165"/>
    </row>
    <row r="2" spans="1:11" x14ac:dyDescent="0.2">
      <c r="A2" s="565"/>
      <c r="B2" s="565"/>
      <c r="C2" s="565"/>
      <c r="D2" s="565"/>
      <c r="E2" s="565"/>
      <c r="F2" s="565"/>
      <c r="G2" s="2920"/>
      <c r="H2" s="4475"/>
      <c r="I2" s="4475"/>
    </row>
    <row r="3" spans="1:11" ht="18" customHeight="1" x14ac:dyDescent="0.2">
      <c r="A3" s="565"/>
      <c r="B3" s="565"/>
      <c r="C3" s="565"/>
      <c r="D3" s="565"/>
      <c r="E3" s="565"/>
      <c r="F3" s="565"/>
      <c r="G3" s="4302" t="s">
        <v>3890</v>
      </c>
      <c r="H3" s="4302"/>
      <c r="I3" s="4302"/>
    </row>
    <row r="4" spans="1:11" ht="43.5" customHeight="1" x14ac:dyDescent="0.2">
      <c r="A4" s="565"/>
      <c r="B4" s="565"/>
      <c r="C4" s="565"/>
      <c r="D4" s="565"/>
      <c r="E4" s="565"/>
      <c r="F4" s="565"/>
      <c r="G4" s="5165" t="s">
        <v>3891</v>
      </c>
      <c r="H4" s="5180"/>
      <c r="I4" s="5180"/>
    </row>
    <row r="5" spans="1:11" ht="18.75" x14ac:dyDescent="0.2">
      <c r="A5" s="565"/>
      <c r="B5" s="565"/>
      <c r="C5" s="565"/>
      <c r="D5" s="565"/>
      <c r="E5" s="565"/>
      <c r="F5" s="565"/>
      <c r="G5" s="4302" t="s">
        <v>4245</v>
      </c>
      <c r="H5" s="4303"/>
      <c r="I5" s="4303"/>
    </row>
    <row r="6" spans="1:11" ht="24" customHeight="1" x14ac:dyDescent="0.3">
      <c r="A6" s="2791"/>
      <c r="B6" s="565"/>
      <c r="C6" s="565"/>
      <c r="D6" s="565"/>
      <c r="E6" s="565"/>
      <c r="F6" s="565"/>
      <c r="G6" s="4304" t="s">
        <v>4242</v>
      </c>
      <c r="H6" s="4304"/>
      <c r="I6" s="4304"/>
    </row>
    <row r="7" spans="1:11" ht="12.75" customHeight="1" x14ac:dyDescent="0.3">
      <c r="A7" s="2791"/>
      <c r="B7" s="565"/>
      <c r="C7" s="565"/>
      <c r="D7" s="565"/>
      <c r="E7" s="565"/>
      <c r="F7" s="565"/>
      <c r="G7" s="4304"/>
      <c r="H7" s="4304"/>
      <c r="I7" s="4304"/>
    </row>
    <row r="8" spans="1:11" ht="20.25" x14ac:dyDescent="0.3">
      <c r="A8" s="5172" t="s">
        <v>4246</v>
      </c>
      <c r="B8" s="5173"/>
      <c r="C8" s="5173"/>
      <c r="D8" s="5173"/>
      <c r="E8" s="5173"/>
      <c r="F8" s="5173"/>
      <c r="G8" s="5173"/>
      <c r="H8" s="5173"/>
      <c r="I8" s="5173"/>
    </row>
    <row r="9" spans="1:11" ht="21" thickBot="1" x14ac:dyDescent="0.35">
      <c r="A9" s="2792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x14ac:dyDescent="0.3">
      <c r="A10" s="5174" t="s">
        <v>3840</v>
      </c>
      <c r="B10" s="5175"/>
      <c r="C10" s="5175"/>
      <c r="D10" s="5175"/>
      <c r="E10" s="5175"/>
      <c r="F10" s="5175"/>
      <c r="G10" s="5175"/>
      <c r="H10" s="5175"/>
      <c r="I10" s="5176"/>
      <c r="J10" s="365"/>
      <c r="K10" s="523"/>
    </row>
    <row r="11" spans="1:11" ht="19.5" customHeight="1" x14ac:dyDescent="0.2">
      <c r="A11" s="4479" t="s">
        <v>525</v>
      </c>
      <c r="B11" s="4425" t="s">
        <v>3778</v>
      </c>
      <c r="C11" s="4422" t="s">
        <v>583</v>
      </c>
      <c r="D11" s="4422" t="s">
        <v>582</v>
      </c>
      <c r="E11" s="4422" t="s">
        <v>581</v>
      </c>
      <c r="F11" s="4422" t="s">
        <v>214</v>
      </c>
      <c r="G11" s="4422" t="s">
        <v>218</v>
      </c>
      <c r="H11" s="4422" t="s">
        <v>3779</v>
      </c>
      <c r="I11" s="4519" t="s">
        <v>1991</v>
      </c>
      <c r="J11" s="565"/>
    </row>
    <row r="12" spans="1:11" ht="18.75" x14ac:dyDescent="0.3">
      <c r="A12" s="4481" t="s">
        <v>3839</v>
      </c>
      <c r="B12" s="4485" t="s">
        <v>3780</v>
      </c>
      <c r="C12" s="4378">
        <f>SUM(I12/4)</f>
        <v>113.91818125</v>
      </c>
      <c r="D12" s="4378">
        <f>SUM(C12)</f>
        <v>113.91818125</v>
      </c>
      <c r="E12" s="4378">
        <f>SUM(C12+D12)</f>
        <v>227.83636250000001</v>
      </c>
      <c r="F12" s="4378">
        <f>SUM(C12)</f>
        <v>113.91818125</v>
      </c>
      <c r="G12" s="4378">
        <f>SUM(E12+F12)</f>
        <v>341.75454375000004</v>
      </c>
      <c r="H12" s="4378">
        <f>SUM(C12)</f>
        <v>113.91818125</v>
      </c>
      <c r="I12" s="4483">
        <v>455.67272500000001</v>
      </c>
      <c r="J12" s="565"/>
    </row>
    <row r="13" spans="1:11" ht="18.75" hidden="1" customHeight="1" x14ac:dyDescent="0.3">
      <c r="A13" s="4489" t="s">
        <v>3739</v>
      </c>
      <c r="B13" s="4373"/>
      <c r="C13" s="4520"/>
      <c r="D13" s="4520"/>
      <c r="E13" s="4520"/>
      <c r="F13" s="4520"/>
      <c r="G13" s="4520"/>
      <c r="H13" s="4520"/>
      <c r="I13" s="4521"/>
      <c r="J13" s="565"/>
    </row>
    <row r="14" spans="1:11" ht="20.25" hidden="1" customHeight="1" x14ac:dyDescent="0.2">
      <c r="A14" s="4479" t="s">
        <v>525</v>
      </c>
      <c r="B14" s="4425" t="s">
        <v>3778</v>
      </c>
      <c r="C14" s="4422" t="s">
        <v>3678</v>
      </c>
      <c r="D14" s="4422" t="s">
        <v>3679</v>
      </c>
      <c r="E14" s="4422" t="s">
        <v>3680</v>
      </c>
      <c r="F14" s="4422" t="s">
        <v>3681</v>
      </c>
      <c r="G14" s="4422" t="s">
        <v>3682</v>
      </c>
      <c r="H14" s="4422" t="s">
        <v>3683</v>
      </c>
      <c r="I14" s="4519" t="s">
        <v>1987</v>
      </c>
      <c r="J14" s="565"/>
    </row>
    <row r="15" spans="1:11" ht="18.75" hidden="1" customHeight="1" x14ac:dyDescent="0.2">
      <c r="A15" s="4494" t="s">
        <v>3742</v>
      </c>
      <c r="B15" s="4383"/>
      <c r="C15" s="4495">
        <f>SUM(C12*C17)</f>
        <v>1443.2055154381876</v>
      </c>
      <c r="D15" s="4495">
        <f>SUM(D12*D17)</f>
        <v>1443.2055154381876</v>
      </c>
      <c r="E15" s="4495">
        <f>SUM(C15+D15)</f>
        <v>2886.4110308763752</v>
      </c>
      <c r="F15" s="4495">
        <f>SUM(F12*F17)</f>
        <v>1443.2055154381876</v>
      </c>
      <c r="G15" s="4495">
        <f>SUM(E15+F15)</f>
        <v>4329.6165463145626</v>
      </c>
      <c r="H15" s="4495">
        <f>SUM(H12*H17)</f>
        <v>1443.2055154381876</v>
      </c>
      <c r="I15" s="4496">
        <f>SUM(G15+H15)</f>
        <v>5772.8220617527504</v>
      </c>
      <c r="J15" s="565"/>
    </row>
    <row r="16" spans="1:11" ht="18.75" hidden="1" customHeight="1" x14ac:dyDescent="0.2">
      <c r="A16" s="4497" t="s">
        <v>3744</v>
      </c>
      <c r="B16" s="4432"/>
      <c r="C16" s="4498">
        <f>SUM(C15)</f>
        <v>1443.2055154381876</v>
      </c>
      <c r="D16" s="4498">
        <f>SUM(D15)</f>
        <v>1443.2055154381876</v>
      </c>
      <c r="E16" s="4498">
        <f>SUM(C16+D16)</f>
        <v>2886.4110308763752</v>
      </c>
      <c r="F16" s="4498">
        <f>SUM(F15)</f>
        <v>1443.2055154381876</v>
      </c>
      <c r="G16" s="4498">
        <f>SUM(E16+F16)</f>
        <v>4329.6165463145626</v>
      </c>
      <c r="H16" s="4498">
        <f>SUM(H15)</f>
        <v>1443.2055154381876</v>
      </c>
      <c r="I16" s="4499">
        <f>SUM(G16+H16)</f>
        <v>5772.8220617527504</v>
      </c>
      <c r="J16" s="565"/>
    </row>
    <row r="17" spans="1:11" ht="18.75" hidden="1" customHeight="1" x14ac:dyDescent="0.2">
      <c r="A17" s="4497" t="s">
        <v>3745</v>
      </c>
      <c r="B17" s="4500"/>
      <c r="C17" s="4498">
        <v>12.66879</v>
      </c>
      <c r="D17" s="4498">
        <f>SUM(C17)</f>
        <v>12.66879</v>
      </c>
      <c r="E17" s="4498">
        <f>SUM(E15/E12)</f>
        <v>12.668790000000001</v>
      </c>
      <c r="F17" s="4498">
        <v>12.66879</v>
      </c>
      <c r="G17" s="4498">
        <f>SUM(G15/G12)</f>
        <v>12.66879</v>
      </c>
      <c r="H17" s="4498">
        <f>SUM(F17)</f>
        <v>12.66879</v>
      </c>
      <c r="I17" s="4499">
        <f>SUM(I16/I12)</f>
        <v>12.668790000000001</v>
      </c>
      <c r="J17" s="565"/>
    </row>
    <row r="18" spans="1:11" ht="18" customHeight="1" x14ac:dyDescent="0.3">
      <c r="A18" s="5177" t="s">
        <v>3770</v>
      </c>
      <c r="B18" s="5178"/>
      <c r="C18" s="5178"/>
      <c r="D18" s="5178"/>
      <c r="E18" s="5178"/>
      <c r="F18" s="5178"/>
      <c r="G18" s="5178"/>
      <c r="H18" s="5178"/>
      <c r="I18" s="5179"/>
      <c r="J18" s="565"/>
    </row>
    <row r="19" spans="1:11" ht="20.25" customHeight="1" x14ac:dyDescent="0.2">
      <c r="A19" s="4479" t="s">
        <v>525</v>
      </c>
      <c r="B19" s="4425" t="s">
        <v>3778</v>
      </c>
      <c r="C19" s="4422" t="s">
        <v>583</v>
      </c>
      <c r="D19" s="4422" t="s">
        <v>582</v>
      </c>
      <c r="E19" s="4422" t="s">
        <v>581</v>
      </c>
      <c r="F19" s="4422" t="s">
        <v>214</v>
      </c>
      <c r="G19" s="4422" t="s">
        <v>218</v>
      </c>
      <c r="H19" s="4422" t="s">
        <v>3779</v>
      </c>
      <c r="I19" s="4519" t="s">
        <v>1991</v>
      </c>
      <c r="J19" s="565"/>
    </row>
    <row r="20" spans="1:11" ht="18.75" x14ac:dyDescent="0.3">
      <c r="A20" s="4501" t="s">
        <v>3836</v>
      </c>
      <c r="B20" s="4477" t="s">
        <v>899</v>
      </c>
      <c r="C20" s="4388">
        <f>SUM(I20/4)</f>
        <v>20.445699999999999</v>
      </c>
      <c r="D20" s="4388">
        <f>SUM(C20)</f>
        <v>20.445699999999999</v>
      </c>
      <c r="E20" s="4388">
        <f>SUM(C20+D20)</f>
        <v>40.891399999999997</v>
      </c>
      <c r="F20" s="4388">
        <f>SUM(C20)</f>
        <v>20.445699999999999</v>
      </c>
      <c r="G20" s="4388">
        <f>SUM(E20+F20)</f>
        <v>61.337099999999992</v>
      </c>
      <c r="H20" s="4388">
        <f>SUM(C20)</f>
        <v>20.445699999999999</v>
      </c>
      <c r="I20" s="4502">
        <v>81.782799999999995</v>
      </c>
      <c r="J20" s="389"/>
      <c r="K20" s="1250"/>
    </row>
    <row r="21" spans="1:11" ht="18.75" x14ac:dyDescent="0.3">
      <c r="A21" s="4501" t="s">
        <v>3837</v>
      </c>
      <c r="B21" s="4477" t="s">
        <v>899</v>
      </c>
      <c r="C21" s="4388">
        <f>SUM(I21/4)</f>
        <v>756.88877500000001</v>
      </c>
      <c r="D21" s="4388">
        <f>SUM(C21)</f>
        <v>756.88877500000001</v>
      </c>
      <c r="E21" s="4388">
        <f>SUM(C21+D21)</f>
        <v>1513.77755</v>
      </c>
      <c r="F21" s="4388">
        <f>SUM(C21)</f>
        <v>756.88877500000001</v>
      </c>
      <c r="G21" s="4388">
        <f>SUM(E21+F21)</f>
        <v>2270.6663250000001</v>
      </c>
      <c r="H21" s="4388">
        <f>SUM(C21)</f>
        <v>756.88877500000001</v>
      </c>
      <c r="I21" s="4502">
        <v>3027.5551</v>
      </c>
      <c r="J21" s="389"/>
      <c r="K21" s="1250"/>
    </row>
    <row r="22" spans="1:11" ht="18.75" x14ac:dyDescent="0.3">
      <c r="A22" s="4501" t="s">
        <v>5</v>
      </c>
      <c r="B22" s="4477" t="s">
        <v>899</v>
      </c>
      <c r="C22" s="4388">
        <f>SUM(I22/4)</f>
        <v>228.5804</v>
      </c>
      <c r="D22" s="4388">
        <f>SUM(C22)</f>
        <v>228.5804</v>
      </c>
      <c r="E22" s="4388">
        <f>SUM(C22+D22)</f>
        <v>457.16079999999999</v>
      </c>
      <c r="F22" s="4388">
        <f>SUM(C22)</f>
        <v>228.5804</v>
      </c>
      <c r="G22" s="4388">
        <f>SUM(E22+F22)</f>
        <v>685.74119999999994</v>
      </c>
      <c r="H22" s="4388">
        <f>SUM(C22)</f>
        <v>228.5804</v>
      </c>
      <c r="I22" s="4502">
        <v>914.32159999999999</v>
      </c>
      <c r="J22" s="389"/>
      <c r="K22" s="1250"/>
    </row>
    <row r="23" spans="1:11" ht="18.75" x14ac:dyDescent="0.3">
      <c r="A23" s="4501" t="s">
        <v>3</v>
      </c>
      <c r="B23" s="4477" t="s">
        <v>899</v>
      </c>
      <c r="C23" s="4388">
        <f>SUM(I23/4)</f>
        <v>133.72465</v>
      </c>
      <c r="D23" s="4388">
        <f>SUM(C23)</f>
        <v>133.72465</v>
      </c>
      <c r="E23" s="4388">
        <f>SUM(C23+D23)</f>
        <v>267.44929999999999</v>
      </c>
      <c r="F23" s="4388">
        <f>SUM(C23)</f>
        <v>133.72465</v>
      </c>
      <c r="G23" s="4388">
        <f>SUM(E23+F23)</f>
        <v>401.17394999999999</v>
      </c>
      <c r="H23" s="4388">
        <f>SUM(C23)</f>
        <v>133.72465</v>
      </c>
      <c r="I23" s="4502">
        <v>534.89859999999999</v>
      </c>
      <c r="J23" s="389"/>
      <c r="K23" s="1250"/>
    </row>
    <row r="24" spans="1:11" ht="18.75" x14ac:dyDescent="0.3">
      <c r="A24" s="4501" t="s">
        <v>3718</v>
      </c>
      <c r="B24" s="4477" t="s">
        <v>899</v>
      </c>
      <c r="C24" s="4398">
        <f>SUM(C25:C27)</f>
        <v>78.873674999999992</v>
      </c>
      <c r="D24" s="4398">
        <f t="shared" ref="D24:H24" si="0">SUM(D25:D27)</f>
        <v>78.873674999999992</v>
      </c>
      <c r="E24" s="4398">
        <f t="shared" si="0"/>
        <v>157.74734999999998</v>
      </c>
      <c r="F24" s="4398">
        <f t="shared" si="0"/>
        <v>78.873674999999992</v>
      </c>
      <c r="G24" s="4398">
        <f t="shared" si="0"/>
        <v>236.62102500000003</v>
      </c>
      <c r="H24" s="4398">
        <f t="shared" si="0"/>
        <v>78.873674999999992</v>
      </c>
      <c r="I24" s="4502">
        <f>SUM(I25:I27)</f>
        <v>315.49469999999997</v>
      </c>
      <c r="J24" s="389"/>
      <c r="K24" s="1250"/>
    </row>
    <row r="25" spans="1:11" ht="18.75" x14ac:dyDescent="0.3">
      <c r="A25" s="4503" t="s">
        <v>3719</v>
      </c>
      <c r="B25" s="4477" t="s">
        <v>899</v>
      </c>
      <c r="C25" s="4392">
        <f>SUM(I25/4)</f>
        <v>49.755724999999998</v>
      </c>
      <c r="D25" s="4392">
        <f>SUM(C25)</f>
        <v>49.755724999999998</v>
      </c>
      <c r="E25" s="4392">
        <f>SUM(C25+D25)</f>
        <v>99.511449999999996</v>
      </c>
      <c r="F25" s="4392">
        <f>SUM(C25)</f>
        <v>49.755724999999998</v>
      </c>
      <c r="G25" s="4392">
        <f>SUM(E25+F25)</f>
        <v>149.26717500000001</v>
      </c>
      <c r="H25" s="4392">
        <f>SUM(C25)</f>
        <v>49.755724999999998</v>
      </c>
      <c r="I25" s="4504">
        <v>199.02289999999999</v>
      </c>
      <c r="J25" s="389"/>
      <c r="K25" s="1250"/>
    </row>
    <row r="26" spans="1:11" ht="18.75" x14ac:dyDescent="0.3">
      <c r="A26" s="4505" t="s">
        <v>3720</v>
      </c>
      <c r="B26" s="4477" t="s">
        <v>899</v>
      </c>
      <c r="C26" s="4392">
        <f t="shared" ref="C26:C27" si="1">SUM(I26/4)</f>
        <v>15.026225</v>
      </c>
      <c r="D26" s="4392">
        <f>SUM(C26)</f>
        <v>15.026225</v>
      </c>
      <c r="E26" s="4392">
        <f>SUM(C26+D26)</f>
        <v>30.05245</v>
      </c>
      <c r="F26" s="4392">
        <f>SUM(C26)</f>
        <v>15.026225</v>
      </c>
      <c r="G26" s="4392">
        <f>SUM(E26+F26)</f>
        <v>45.078675000000004</v>
      </c>
      <c r="H26" s="4392">
        <f>SUM(C26)</f>
        <v>15.026225</v>
      </c>
      <c r="I26" s="4504">
        <v>60.104900000000001</v>
      </c>
      <c r="J26" s="389"/>
      <c r="K26" s="1250"/>
    </row>
    <row r="27" spans="1:11" ht="18.75" x14ac:dyDescent="0.3">
      <c r="A27" s="4505" t="s">
        <v>3838</v>
      </c>
      <c r="B27" s="4477" t="s">
        <v>899</v>
      </c>
      <c r="C27" s="4392">
        <f t="shared" si="1"/>
        <v>14.091725</v>
      </c>
      <c r="D27" s="4392">
        <f>SUM(C27)</f>
        <v>14.091725</v>
      </c>
      <c r="E27" s="4392">
        <f>SUM(C27+D27)</f>
        <v>28.183450000000001</v>
      </c>
      <c r="F27" s="4392">
        <f>SUM(C27)</f>
        <v>14.091725</v>
      </c>
      <c r="G27" s="4392">
        <f>SUM(E27+F27)</f>
        <v>42.275175000000004</v>
      </c>
      <c r="H27" s="4392">
        <f>SUM(C27)</f>
        <v>14.091725</v>
      </c>
      <c r="I27" s="4504">
        <v>56.366900000000001</v>
      </c>
      <c r="J27" s="389"/>
      <c r="K27" s="1250"/>
    </row>
    <row r="28" spans="1:11" ht="18.75" x14ac:dyDescent="0.3">
      <c r="A28" s="4501" t="s">
        <v>3721</v>
      </c>
      <c r="B28" s="4477" t="s">
        <v>899</v>
      </c>
      <c r="C28" s="4398">
        <f>SUM(C29:C31)</f>
        <v>20.609349999999999</v>
      </c>
      <c r="D28" s="4398">
        <f t="shared" ref="D28:H28" si="2">SUM(D29:D31)</f>
        <v>20.609349999999999</v>
      </c>
      <c r="E28" s="4398">
        <f t="shared" si="2"/>
        <v>41.218699999999998</v>
      </c>
      <c r="F28" s="4398">
        <f t="shared" si="2"/>
        <v>20.609349999999999</v>
      </c>
      <c r="G28" s="4398">
        <f t="shared" si="2"/>
        <v>61.828050000000005</v>
      </c>
      <c r="H28" s="4398">
        <f t="shared" si="2"/>
        <v>20.609349999999999</v>
      </c>
      <c r="I28" s="4502">
        <f>SUM(I29:I31)</f>
        <v>82.437399999999997</v>
      </c>
      <c r="J28" s="389"/>
      <c r="K28" s="1250"/>
    </row>
    <row r="29" spans="1:11" ht="18.75" x14ac:dyDescent="0.3">
      <c r="A29" s="4505" t="s">
        <v>3707</v>
      </c>
      <c r="B29" s="4477" t="s">
        <v>899</v>
      </c>
      <c r="C29" s="4392">
        <f t="shared" ref="C29:C31" si="3">SUM(I29/4)</f>
        <v>15.829000000000001</v>
      </c>
      <c r="D29" s="4392">
        <f>SUM(C29)</f>
        <v>15.829000000000001</v>
      </c>
      <c r="E29" s="4392">
        <f>SUM(C29+D29)</f>
        <v>31.658000000000001</v>
      </c>
      <c r="F29" s="4392">
        <f>SUM(C29)</f>
        <v>15.829000000000001</v>
      </c>
      <c r="G29" s="4392">
        <f>SUM(E29+F29)</f>
        <v>47.487000000000002</v>
      </c>
      <c r="H29" s="4392">
        <f>SUM(C29)</f>
        <v>15.829000000000001</v>
      </c>
      <c r="I29" s="4504">
        <v>63.316000000000003</v>
      </c>
      <c r="J29" s="389"/>
      <c r="K29" s="1250"/>
    </row>
    <row r="30" spans="1:11" ht="18.75" x14ac:dyDescent="0.3">
      <c r="A30" s="4505" t="s">
        <v>3708</v>
      </c>
      <c r="B30" s="4477" t="s">
        <v>899</v>
      </c>
      <c r="C30" s="4392">
        <f t="shared" si="3"/>
        <v>4.7803500000000003</v>
      </c>
      <c r="D30" s="4392">
        <f>SUM(C30)</f>
        <v>4.7803500000000003</v>
      </c>
      <c r="E30" s="4392">
        <f>SUM(C30+D30)</f>
        <v>9.5607000000000006</v>
      </c>
      <c r="F30" s="4392">
        <f>SUM(C30)</f>
        <v>4.7803500000000003</v>
      </c>
      <c r="G30" s="4392">
        <f>SUM(E30+F30)</f>
        <v>14.341050000000001</v>
      </c>
      <c r="H30" s="4392">
        <f>SUM(C30)</f>
        <v>4.7803500000000003</v>
      </c>
      <c r="I30" s="4504">
        <v>19.121400000000001</v>
      </c>
      <c r="J30" s="389"/>
      <c r="K30" s="1250"/>
    </row>
    <row r="31" spans="1:11" ht="18.75" x14ac:dyDescent="0.3">
      <c r="A31" s="4505" t="s">
        <v>3709</v>
      </c>
      <c r="B31" s="4477" t="s">
        <v>899</v>
      </c>
      <c r="C31" s="4392">
        <f t="shared" si="3"/>
        <v>0</v>
      </c>
      <c r="D31" s="4392">
        <f>SUM(C31)</f>
        <v>0</v>
      </c>
      <c r="E31" s="4392">
        <f>SUM(C31+D31)</f>
        <v>0</v>
      </c>
      <c r="F31" s="4392">
        <f>SUM(C31)</f>
        <v>0</v>
      </c>
      <c r="G31" s="4392">
        <f>SUM(E31+F31)</f>
        <v>0</v>
      </c>
      <c r="H31" s="4392">
        <f>SUM(C31)</f>
        <v>0</v>
      </c>
      <c r="I31" s="4504">
        <v>0</v>
      </c>
      <c r="J31" s="389"/>
      <c r="K31" s="1250"/>
    </row>
    <row r="32" spans="1:11" ht="18.75" x14ac:dyDescent="0.3">
      <c r="A32" s="4506" t="s">
        <v>12</v>
      </c>
      <c r="B32" s="4507" t="s">
        <v>899</v>
      </c>
      <c r="C32" s="4508">
        <f t="shared" ref="C32:H32" si="4">SUM(C20+C21+C22+C23+C24+C28)</f>
        <v>1239.12255</v>
      </c>
      <c r="D32" s="4508">
        <f t="shared" si="4"/>
        <v>1239.12255</v>
      </c>
      <c r="E32" s="4508">
        <f t="shared" si="4"/>
        <v>2478.2451000000001</v>
      </c>
      <c r="F32" s="4508">
        <f t="shared" si="4"/>
        <v>1239.12255</v>
      </c>
      <c r="G32" s="4508">
        <f t="shared" si="4"/>
        <v>3717.3676500000001</v>
      </c>
      <c r="H32" s="4508">
        <f t="shared" si="4"/>
        <v>1239.12255</v>
      </c>
      <c r="I32" s="4509">
        <f>SUM(I20+I21+I22+I23+I24+I28)</f>
        <v>4956.4902000000002</v>
      </c>
      <c r="J32" s="389"/>
      <c r="K32" s="1250"/>
    </row>
    <row r="33" spans="1:11" ht="18.75" x14ac:dyDescent="0.3">
      <c r="A33" s="4506" t="s">
        <v>13</v>
      </c>
      <c r="B33" s="4482" t="s">
        <v>3780</v>
      </c>
      <c r="C33" s="4510">
        <f t="shared" ref="C33:I33" si="5">SUM(C12)</f>
        <v>113.91818125</v>
      </c>
      <c r="D33" s="4510">
        <f t="shared" si="5"/>
        <v>113.91818125</v>
      </c>
      <c r="E33" s="4510">
        <f t="shared" si="5"/>
        <v>227.83636250000001</v>
      </c>
      <c r="F33" s="4510">
        <f t="shared" si="5"/>
        <v>113.91818125</v>
      </c>
      <c r="G33" s="4510">
        <f t="shared" si="5"/>
        <v>341.75454375000004</v>
      </c>
      <c r="H33" s="4510">
        <f t="shared" si="5"/>
        <v>113.91818125</v>
      </c>
      <c r="I33" s="4511">
        <f t="shared" si="5"/>
        <v>455.67272500000001</v>
      </c>
      <c r="J33" s="389"/>
      <c r="K33" s="1250"/>
    </row>
    <row r="34" spans="1:11" ht="18.75" x14ac:dyDescent="0.3">
      <c r="A34" s="4512" t="s">
        <v>14</v>
      </c>
      <c r="B34" s="4513" t="s">
        <v>2025</v>
      </c>
      <c r="C34" s="4510">
        <f t="shared" ref="C34:I34" si="6">SUM(C32/C33)</f>
        <v>10.877302783483476</v>
      </c>
      <c r="D34" s="4510">
        <f t="shared" si="6"/>
        <v>10.877302783483476</v>
      </c>
      <c r="E34" s="4510">
        <f t="shared" si="6"/>
        <v>10.877302783483476</v>
      </c>
      <c r="F34" s="4510">
        <f t="shared" si="6"/>
        <v>10.877302783483476</v>
      </c>
      <c r="G34" s="4510">
        <f t="shared" si="6"/>
        <v>10.877302783483474</v>
      </c>
      <c r="H34" s="4510">
        <f t="shared" si="6"/>
        <v>10.877302783483476</v>
      </c>
      <c r="I34" s="4511">
        <f t="shared" si="6"/>
        <v>10.877302783483476</v>
      </c>
      <c r="J34" s="389"/>
      <c r="K34" s="1250"/>
    </row>
    <row r="35" spans="1:11" ht="18.75" x14ac:dyDescent="0.3">
      <c r="A35" s="4512" t="s">
        <v>1750</v>
      </c>
      <c r="B35" s="4507" t="s">
        <v>899</v>
      </c>
      <c r="C35" s="4378">
        <f t="shared" ref="C35" si="7">SUM(I35/4)</f>
        <v>204.08307500000001</v>
      </c>
      <c r="D35" s="4378">
        <f>SUM(C35)</f>
        <v>204.08307500000001</v>
      </c>
      <c r="E35" s="4378">
        <f>SUM(C35+D35)</f>
        <v>408.16615000000002</v>
      </c>
      <c r="F35" s="4378">
        <f>SUM(C35)</f>
        <v>204.08307500000001</v>
      </c>
      <c r="G35" s="4378">
        <f>SUM(E35+F35)</f>
        <v>612.24922500000002</v>
      </c>
      <c r="H35" s="4378">
        <f>SUM(C35)</f>
        <v>204.08307500000001</v>
      </c>
      <c r="I35" s="4509">
        <v>816.33230000000003</v>
      </c>
      <c r="J35" s="389"/>
      <c r="K35" s="1250"/>
    </row>
    <row r="36" spans="1:11" ht="18.75" x14ac:dyDescent="0.3">
      <c r="A36" s="4512" t="s">
        <v>3675</v>
      </c>
      <c r="B36" s="4507" t="s">
        <v>899</v>
      </c>
      <c r="C36" s="4510">
        <f t="shared" ref="C36:I36" si="8">SUM(C32+C35)</f>
        <v>1443.2056250000001</v>
      </c>
      <c r="D36" s="4510">
        <f t="shared" si="8"/>
        <v>1443.2056250000001</v>
      </c>
      <c r="E36" s="4510">
        <f t="shared" si="8"/>
        <v>2886.4112500000001</v>
      </c>
      <c r="F36" s="4510">
        <f t="shared" si="8"/>
        <v>1443.2056250000001</v>
      </c>
      <c r="G36" s="4510">
        <f t="shared" si="8"/>
        <v>4329.6168749999997</v>
      </c>
      <c r="H36" s="4510">
        <f t="shared" si="8"/>
        <v>1443.2056250000001</v>
      </c>
      <c r="I36" s="4510">
        <f t="shared" si="8"/>
        <v>5772.8225000000002</v>
      </c>
      <c r="J36" s="389"/>
      <c r="K36" s="1250"/>
    </row>
    <row r="37" spans="1:11" ht="19.5" x14ac:dyDescent="0.3">
      <c r="A37" s="4512" t="s">
        <v>3749</v>
      </c>
      <c r="B37" s="3585" t="s">
        <v>899</v>
      </c>
      <c r="C37" s="4508">
        <f>SUM(C12*C17)-C36</f>
        <v>-1.0956181245092012E-4</v>
      </c>
      <c r="D37" s="4508">
        <f>SUM(D12*D17)-D36</f>
        <v>-1.0956181245092012E-4</v>
      </c>
      <c r="E37" s="4508">
        <f>SUM(C37+D37)</f>
        <v>-2.1912362490184023E-4</v>
      </c>
      <c r="F37" s="4508">
        <f>SUM(F12*F17)-F36</f>
        <v>-1.0956181245092012E-4</v>
      </c>
      <c r="G37" s="4514">
        <f>SUM(E37+F37)</f>
        <v>-3.2868543735276035E-4</v>
      </c>
      <c r="H37" s="4508">
        <f>SUM(H12*H17)-H36</f>
        <v>-1.0956181245092012E-4</v>
      </c>
      <c r="I37" s="4509">
        <f>SUM(G37+H37)</f>
        <v>-4.3824724980368046E-4</v>
      </c>
      <c r="J37" s="2617"/>
      <c r="K37" s="1250"/>
    </row>
    <row r="38" spans="1:11" ht="19.5" x14ac:dyDescent="0.3">
      <c r="A38" s="4481" t="s">
        <v>527</v>
      </c>
      <c r="B38" s="4507" t="s">
        <v>899</v>
      </c>
      <c r="C38" s="4508">
        <f>SUM(C36:C37)</f>
        <v>1443.2055154381876</v>
      </c>
      <c r="D38" s="4508">
        <f>SUM(D36:D37)</f>
        <v>1443.2055154381876</v>
      </c>
      <c r="E38" s="4508">
        <f>SUM(C38+D38)</f>
        <v>2886.4110308763752</v>
      </c>
      <c r="F38" s="4508">
        <f>SUM(F36:F37)</f>
        <v>1443.2055154381876</v>
      </c>
      <c r="G38" s="4514">
        <f>SUM(E38+F38)</f>
        <v>4329.6165463145626</v>
      </c>
      <c r="H38" s="4508">
        <f>SUM(H36:H37)</f>
        <v>1443.2055154381876</v>
      </c>
      <c r="I38" s="4509">
        <f>SUM(G38+H38)</f>
        <v>5772.8220617527504</v>
      </c>
      <c r="J38" s="2617"/>
      <c r="K38" s="1250"/>
    </row>
    <row r="39" spans="1:11" ht="19.5" thickBot="1" x14ac:dyDescent="0.35">
      <c r="A39" s="4515" t="s">
        <v>68</v>
      </c>
      <c r="B39" s="4516" t="s">
        <v>2025</v>
      </c>
      <c r="C39" s="4517">
        <f t="shared" ref="C39:D39" si="9">SUM(C38/C33)</f>
        <v>12.668790000000001</v>
      </c>
      <c r="D39" s="4517">
        <f t="shared" si="9"/>
        <v>12.668790000000001</v>
      </c>
      <c r="E39" s="4517">
        <f>SUM(E38/E33)</f>
        <v>12.668790000000001</v>
      </c>
      <c r="F39" s="4517">
        <f t="shared" ref="F39" si="10">SUM(F38/F33)</f>
        <v>12.668790000000001</v>
      </c>
      <c r="G39" s="4517">
        <f>SUM(G38/G33)</f>
        <v>12.66879</v>
      </c>
      <c r="H39" s="4517">
        <f t="shared" ref="H39" si="11">SUM(H38/H33)</f>
        <v>12.668790000000001</v>
      </c>
      <c r="I39" s="4518">
        <f>SUM(I38/I33)</f>
        <v>12.668790000000001</v>
      </c>
      <c r="J39" s="2617"/>
      <c r="K39" s="1250"/>
    </row>
    <row r="40" spans="1:11" ht="18.75" x14ac:dyDescent="0.3">
      <c r="A40" s="1655"/>
      <c r="B40" s="389"/>
      <c r="C40" s="389"/>
      <c r="D40" s="389"/>
      <c r="E40" s="389"/>
      <c r="F40" s="389"/>
      <c r="G40" s="389"/>
      <c r="H40" s="389"/>
      <c r="I40" s="2096"/>
      <c r="J40" s="389"/>
    </row>
    <row r="41" spans="1:11" ht="18.75" x14ac:dyDescent="0.3">
      <c r="A41" s="1655"/>
      <c r="B41" s="389"/>
      <c r="C41" s="389"/>
      <c r="D41" s="389"/>
      <c r="E41" s="389"/>
      <c r="F41" s="389"/>
      <c r="G41" s="389"/>
      <c r="H41" s="389"/>
      <c r="I41" s="2096"/>
      <c r="J41" s="389"/>
    </row>
    <row r="42" spans="1:11" ht="18.75" x14ac:dyDescent="0.3">
      <c r="A42" s="389" t="s">
        <v>3775</v>
      </c>
      <c r="B42" s="389"/>
      <c r="C42" s="389"/>
      <c r="D42" s="389" t="s">
        <v>4152</v>
      </c>
      <c r="E42" s="389"/>
      <c r="F42" s="389"/>
      <c r="G42" s="389"/>
      <c r="H42" s="389"/>
      <c r="I42" s="2096"/>
      <c r="J42" s="389"/>
    </row>
    <row r="43" spans="1:11" ht="18.75" x14ac:dyDescent="0.3">
      <c r="A43" s="4304"/>
      <c r="B43" s="361"/>
      <c r="C43" s="361"/>
      <c r="D43" s="4304"/>
      <c r="E43" s="389"/>
      <c r="F43" s="389"/>
      <c r="G43" s="389"/>
      <c r="H43" s="389"/>
      <c r="I43" s="389"/>
      <c r="J43" s="389"/>
    </row>
    <row r="44" spans="1:11" ht="18.75" x14ac:dyDescent="0.3">
      <c r="A44" s="4304" t="s">
        <v>3783</v>
      </c>
      <c r="B44" s="361"/>
      <c r="C44" s="361"/>
      <c r="D44" s="4304" t="s">
        <v>3784</v>
      </c>
      <c r="E44" s="4304"/>
      <c r="F44" s="389"/>
      <c r="G44" s="389"/>
      <c r="H44" s="389"/>
      <c r="I44" s="389"/>
      <c r="J44" s="389"/>
    </row>
    <row r="45" spans="1:11" ht="18.75" x14ac:dyDescent="0.3">
      <c r="A45" s="1655"/>
      <c r="B45" s="2856"/>
      <c r="C45" s="2856"/>
      <c r="D45" s="389"/>
      <c r="E45" s="389"/>
      <c r="F45" s="389"/>
      <c r="G45" s="389"/>
      <c r="H45" s="389"/>
      <c r="I45" s="389"/>
      <c r="J45" s="389"/>
    </row>
    <row r="46" spans="1:11" ht="18.75" x14ac:dyDescent="0.3">
      <c r="A46" s="1655"/>
      <c r="B46" s="2856"/>
      <c r="C46" s="2856"/>
      <c r="D46" s="389"/>
      <c r="E46" s="389"/>
      <c r="F46" s="389"/>
      <c r="G46" s="389"/>
      <c r="H46" s="389"/>
      <c r="I46" s="389"/>
      <c r="J46" s="389"/>
    </row>
    <row r="47" spans="1:11" ht="18.75" x14ac:dyDescent="0.3">
      <c r="A47" s="565"/>
      <c r="B47" s="565"/>
      <c r="C47" s="565"/>
      <c r="D47" s="389"/>
      <c r="E47" s="389"/>
      <c r="F47" s="389"/>
      <c r="G47" s="389"/>
      <c r="H47" s="389"/>
      <c r="I47" s="389"/>
      <c r="J47" s="389"/>
    </row>
    <row r="48" spans="1:11" ht="18.75" x14ac:dyDescent="0.3">
      <c r="A48" s="565"/>
      <c r="B48" s="565"/>
      <c r="C48" s="565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</sheetData>
  <sheetProtection formatCells="0" formatColumns="0" formatRows="0" insertColumns="0" insertRows="0" insertHyperlinks="0" deleteColumns="0" deleteRows="0" sort="0" autoFilter="0" pivotTables="0"/>
  <mergeCells count="5">
    <mergeCell ref="A8:I8"/>
    <mergeCell ref="A10:I10"/>
    <mergeCell ref="A18:I18"/>
    <mergeCell ref="G1:I1"/>
    <mergeCell ref="G4:I4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  <pageSetUpPr fitToPage="1"/>
  </sheetPr>
  <dimension ref="A1:R53"/>
  <sheetViews>
    <sheetView topLeftCell="B1" zoomScale="80" zoomScaleNormal="80" workbookViewId="0">
      <selection sqref="A1:I53"/>
    </sheetView>
  </sheetViews>
  <sheetFormatPr defaultRowHeight="12.75" x14ac:dyDescent="0.2"/>
  <cols>
    <col min="1" max="1" width="57" customWidth="1"/>
    <col min="2" max="9" width="20.7109375" customWidth="1"/>
    <col min="11" max="11" width="0" hidden="1" customWidth="1"/>
  </cols>
  <sheetData>
    <row r="1" spans="1:11" ht="75.75" customHeight="1" x14ac:dyDescent="0.2">
      <c r="A1" s="565"/>
      <c r="B1" s="565"/>
      <c r="C1" s="565"/>
      <c r="D1" s="565"/>
      <c r="E1" s="565"/>
      <c r="F1" s="565"/>
      <c r="G1" s="5165" t="s">
        <v>3889</v>
      </c>
      <c r="H1" s="5165"/>
      <c r="I1" s="5165"/>
      <c r="J1" s="3586"/>
    </row>
    <row r="2" spans="1:11" ht="12" customHeight="1" x14ac:dyDescent="0.2">
      <c r="A2" s="565"/>
      <c r="B2" s="565"/>
      <c r="C2" s="565"/>
      <c r="D2" s="565"/>
      <c r="E2" s="565"/>
      <c r="F2" s="565"/>
      <c r="G2" s="2920"/>
      <c r="H2" s="4475"/>
      <c r="I2" s="4475"/>
      <c r="J2" s="3586"/>
    </row>
    <row r="3" spans="1:11" ht="18" customHeight="1" x14ac:dyDescent="0.2">
      <c r="A3" s="565"/>
      <c r="B3" s="565"/>
      <c r="C3" s="565"/>
      <c r="D3" s="565"/>
      <c r="E3" s="565"/>
      <c r="F3" s="565"/>
      <c r="G3" s="4302" t="s">
        <v>3890</v>
      </c>
      <c r="H3" s="4302"/>
      <c r="I3" s="4302"/>
      <c r="J3" s="3587"/>
    </row>
    <row r="4" spans="1:11" ht="42.75" customHeight="1" x14ac:dyDescent="0.2">
      <c r="A4" s="565"/>
      <c r="B4" s="565"/>
      <c r="C4" s="565"/>
      <c r="D4" s="565"/>
      <c r="E4" s="565"/>
      <c r="F4" s="565"/>
      <c r="G4" s="5165" t="s">
        <v>3891</v>
      </c>
      <c r="H4" s="5180"/>
      <c r="I4" s="5180"/>
      <c r="J4" s="3597"/>
    </row>
    <row r="5" spans="1:11" ht="24.75" customHeight="1" x14ac:dyDescent="0.2">
      <c r="A5" s="565"/>
      <c r="B5" s="565"/>
      <c r="C5" s="565"/>
      <c r="D5" s="565"/>
      <c r="E5" s="565"/>
      <c r="F5" s="565"/>
      <c r="G5" s="4302" t="s">
        <v>4241</v>
      </c>
      <c r="H5" s="4303"/>
      <c r="I5" s="4303"/>
      <c r="J5" s="3587"/>
    </row>
    <row r="6" spans="1:11" ht="18.75" x14ac:dyDescent="0.3">
      <c r="A6" s="565"/>
      <c r="B6" s="565"/>
      <c r="C6" s="565"/>
      <c r="D6" s="565"/>
      <c r="E6" s="565"/>
      <c r="F6" s="565"/>
      <c r="G6" s="4304" t="s">
        <v>4242</v>
      </c>
      <c r="H6" s="4304"/>
      <c r="I6" s="4304"/>
      <c r="J6" s="3589"/>
    </row>
    <row r="7" spans="1:11" x14ac:dyDescent="0.2">
      <c r="A7" s="565"/>
      <c r="B7" s="565"/>
      <c r="C7" s="565"/>
      <c r="D7" s="565"/>
      <c r="E7" s="565"/>
      <c r="F7" s="565"/>
      <c r="G7" s="565"/>
      <c r="H7" s="565"/>
      <c r="I7" s="565"/>
    </row>
    <row r="8" spans="1:11" ht="20.25" x14ac:dyDescent="0.3">
      <c r="A8" s="5172" t="s">
        <v>4244</v>
      </c>
      <c r="B8" s="5173"/>
      <c r="C8" s="5173"/>
      <c r="D8" s="5173"/>
      <c r="E8" s="5173"/>
      <c r="F8" s="5173"/>
      <c r="G8" s="5173"/>
      <c r="H8" s="5173"/>
      <c r="I8" s="5173"/>
    </row>
    <row r="9" spans="1:11" ht="21" thickBot="1" x14ac:dyDescent="0.35">
      <c r="A9" s="2792"/>
      <c r="B9" s="565"/>
      <c r="C9" s="565"/>
      <c r="D9" s="565"/>
      <c r="E9" s="565"/>
      <c r="F9" s="565"/>
      <c r="G9" s="565"/>
      <c r="H9" s="565"/>
      <c r="I9" s="565"/>
      <c r="J9" s="565"/>
    </row>
    <row r="10" spans="1:11" ht="18.75" customHeight="1" x14ac:dyDescent="0.3">
      <c r="A10" s="5174" t="s">
        <v>3841</v>
      </c>
      <c r="B10" s="5175"/>
      <c r="C10" s="5175"/>
      <c r="D10" s="5175"/>
      <c r="E10" s="5175"/>
      <c r="F10" s="5175"/>
      <c r="G10" s="5175"/>
      <c r="H10" s="5175"/>
      <c r="I10" s="5176"/>
      <c r="J10" s="365"/>
      <c r="K10" s="523"/>
    </row>
    <row r="11" spans="1:11" ht="19.5" customHeight="1" x14ac:dyDescent="0.2">
      <c r="A11" s="4479" t="s">
        <v>525</v>
      </c>
      <c r="B11" s="4425" t="s">
        <v>3778</v>
      </c>
      <c r="C11" s="4424" t="s">
        <v>583</v>
      </c>
      <c r="D11" s="4424" t="s">
        <v>582</v>
      </c>
      <c r="E11" s="4424" t="s">
        <v>581</v>
      </c>
      <c r="F11" s="4424" t="s">
        <v>214</v>
      </c>
      <c r="G11" s="4424" t="s">
        <v>218</v>
      </c>
      <c r="H11" s="4424" t="s">
        <v>3779</v>
      </c>
      <c r="I11" s="4480" t="s">
        <v>1991</v>
      </c>
      <c r="J11" s="565"/>
    </row>
    <row r="12" spans="1:11" ht="18.75" x14ac:dyDescent="0.3">
      <c r="A12" s="4481" t="s">
        <v>3834</v>
      </c>
      <c r="B12" s="4482" t="s">
        <v>3780</v>
      </c>
      <c r="C12" s="4378">
        <f>SUM(I12/4)</f>
        <v>81.122749999999996</v>
      </c>
      <c r="D12" s="4378">
        <f>SUM(C12)</f>
        <v>81.122749999999996</v>
      </c>
      <c r="E12" s="4378">
        <f>SUM(C12+D12)</f>
        <v>162.24549999999999</v>
      </c>
      <c r="F12" s="4378">
        <f>SUM(C12)</f>
        <v>81.122749999999996</v>
      </c>
      <c r="G12" s="4378">
        <f>SUM(E12+F12)</f>
        <v>243.36824999999999</v>
      </c>
      <c r="H12" s="4378">
        <f>SUM(C12)</f>
        <v>81.122749999999996</v>
      </c>
      <c r="I12" s="4483">
        <v>324.49099999999999</v>
      </c>
      <c r="J12" s="565"/>
      <c r="K12" s="1250" t="e">
        <f>SUM(#REF!+#REF!+#REF!+#REF!+#REF!+#REF!+#REF!+#REF!+#REF!+#REF!+#REF!+#REF!)</f>
        <v>#REF!</v>
      </c>
    </row>
    <row r="13" spans="1:11" ht="18.75" customHeight="1" x14ac:dyDescent="0.3">
      <c r="A13" s="4484" t="s">
        <v>51</v>
      </c>
      <c r="B13" s="4485" t="s">
        <v>3780</v>
      </c>
      <c r="C13" s="4388">
        <v>0</v>
      </c>
      <c r="D13" s="4388">
        <v>0</v>
      </c>
      <c r="E13" s="4388">
        <v>0</v>
      </c>
      <c r="F13" s="4388">
        <v>0</v>
      </c>
      <c r="G13" s="4388">
        <f>SUM(E13+F13)</f>
        <v>0</v>
      </c>
      <c r="H13" s="4388">
        <v>0</v>
      </c>
      <c r="I13" s="4486">
        <v>0</v>
      </c>
      <c r="J13" s="565"/>
      <c r="K13" s="1250" t="e">
        <f>SUM(#REF!+#REF!+#REF!+#REF!+#REF!+#REF!+#REF!+#REF!+#REF!+#REF!+#REF!+#REF!)</f>
        <v>#REF!</v>
      </c>
    </row>
    <row r="14" spans="1:11" ht="18.75" x14ac:dyDescent="0.3">
      <c r="A14" s="4390" t="s">
        <v>110</v>
      </c>
      <c r="B14" s="4485" t="s">
        <v>3780</v>
      </c>
      <c r="C14" s="4487">
        <f t="shared" ref="C14:I14" si="0">SUM(C13/C12)</f>
        <v>0</v>
      </c>
      <c r="D14" s="4487">
        <f t="shared" si="0"/>
        <v>0</v>
      </c>
      <c r="E14" s="4487">
        <f t="shared" si="0"/>
        <v>0</v>
      </c>
      <c r="F14" s="4487">
        <f t="shared" si="0"/>
        <v>0</v>
      </c>
      <c r="G14" s="4487">
        <f t="shared" si="0"/>
        <v>0</v>
      </c>
      <c r="H14" s="4487">
        <f t="shared" si="0"/>
        <v>0</v>
      </c>
      <c r="I14" s="4488">
        <f t="shared" si="0"/>
        <v>0</v>
      </c>
      <c r="J14" s="565"/>
      <c r="K14" s="1250" t="e">
        <f>SUM(#REF!+#REF!+#REF!+#REF!+#REF!+#REF!+#REF!+#REF!+#REF!+#REF!+#REF!+#REF!)</f>
        <v>#REF!</v>
      </c>
    </row>
    <row r="15" spans="1:11" ht="18.75" x14ac:dyDescent="0.3">
      <c r="A15" s="4481" t="s">
        <v>3835</v>
      </c>
      <c r="B15" s="4482" t="s">
        <v>3780</v>
      </c>
      <c r="C15" s="4378">
        <f t="shared" ref="C15:I15" si="1">SUM(C12)</f>
        <v>81.122749999999996</v>
      </c>
      <c r="D15" s="4378">
        <f t="shared" si="1"/>
        <v>81.122749999999996</v>
      </c>
      <c r="E15" s="4378">
        <f t="shared" si="1"/>
        <v>162.24549999999999</v>
      </c>
      <c r="F15" s="4378">
        <f t="shared" si="1"/>
        <v>81.122749999999996</v>
      </c>
      <c r="G15" s="4378">
        <f t="shared" si="1"/>
        <v>243.36824999999999</v>
      </c>
      <c r="H15" s="4378">
        <f t="shared" si="1"/>
        <v>81.122749999999996</v>
      </c>
      <c r="I15" s="4483">
        <f t="shared" si="1"/>
        <v>324.49099999999999</v>
      </c>
      <c r="J15" s="565"/>
      <c r="K15" s="1250" t="e">
        <f>SUM(#REF!+#REF!+#REF!+#REF!+#REF!+#REF!+#REF!+#REF!+#REF!+#REF!+#REF!+#REF!)</f>
        <v>#REF!</v>
      </c>
    </row>
    <row r="16" spans="1:11" ht="18.75" hidden="1" customHeight="1" x14ac:dyDescent="0.3">
      <c r="A16" s="4489" t="s">
        <v>3739</v>
      </c>
      <c r="B16" s="4490"/>
      <c r="C16" s="4373"/>
      <c r="D16" s="4373"/>
      <c r="E16" s="4373"/>
      <c r="F16" s="4373"/>
      <c r="G16" s="4373"/>
      <c r="H16" s="4373"/>
      <c r="I16" s="4491"/>
      <c r="J16" s="565"/>
    </row>
    <row r="17" spans="1:11" ht="37.5" hidden="1" customHeight="1" x14ac:dyDescent="0.2">
      <c r="A17" s="4479" t="s">
        <v>525</v>
      </c>
      <c r="B17" s="4492"/>
      <c r="C17" s="4423" t="s">
        <v>3678</v>
      </c>
      <c r="D17" s="4423" t="s">
        <v>3679</v>
      </c>
      <c r="E17" s="4423" t="s">
        <v>3680</v>
      </c>
      <c r="F17" s="4423" t="s">
        <v>3681</v>
      </c>
      <c r="G17" s="4423" t="s">
        <v>3682</v>
      </c>
      <c r="H17" s="4423" t="s">
        <v>3683</v>
      </c>
      <c r="I17" s="4493" t="s">
        <v>1988</v>
      </c>
      <c r="J17" s="565"/>
    </row>
    <row r="18" spans="1:11" ht="18.75" hidden="1" customHeight="1" x14ac:dyDescent="0.2">
      <c r="A18" s="4494" t="s">
        <v>3742</v>
      </c>
      <c r="B18" s="4383"/>
      <c r="C18" s="4495">
        <f>SUM(C15*C20)</f>
        <v>277.37166188999998</v>
      </c>
      <c r="D18" s="4495">
        <f>SUM(D15*D20)</f>
        <v>277.37166188999998</v>
      </c>
      <c r="E18" s="4495">
        <f>SUM(C18+D18)</f>
        <v>554.74332377999997</v>
      </c>
      <c r="F18" s="4495">
        <f>SUM(F15*F20)</f>
        <v>277.37166188999998</v>
      </c>
      <c r="G18" s="4495">
        <f>SUM(E18+F18)</f>
        <v>832.1149856699999</v>
      </c>
      <c r="H18" s="4495">
        <f>SUM(H15*H20)</f>
        <v>277.37166188999998</v>
      </c>
      <c r="I18" s="4496">
        <f>SUM(G18+H18)</f>
        <v>1109.4866475599999</v>
      </c>
      <c r="J18" s="565"/>
      <c r="K18" s="1250" t="e">
        <f>SUM(#REF!+#REF!+#REF!+#REF!+#REF!+#REF!+#REF!+#REF!+#REF!+#REF!+#REF!+#REF!)</f>
        <v>#REF!</v>
      </c>
    </row>
    <row r="19" spans="1:11" ht="18.75" hidden="1" customHeight="1" x14ac:dyDescent="0.2">
      <c r="A19" s="4497" t="s">
        <v>3744</v>
      </c>
      <c r="B19" s="4432"/>
      <c r="C19" s="4498">
        <f>SUM(C18)</f>
        <v>277.37166188999998</v>
      </c>
      <c r="D19" s="4498">
        <f>SUM(D18)</f>
        <v>277.37166188999998</v>
      </c>
      <c r="E19" s="4498">
        <f>SUM(C19+D19)</f>
        <v>554.74332377999997</v>
      </c>
      <c r="F19" s="4498">
        <f>SUM(F18)</f>
        <v>277.37166188999998</v>
      </c>
      <c r="G19" s="4498">
        <f>SUM(E19+F19)</f>
        <v>832.1149856699999</v>
      </c>
      <c r="H19" s="4498">
        <f>SUM(H18)</f>
        <v>277.37166188999998</v>
      </c>
      <c r="I19" s="4499">
        <f>SUM(G19+H19)</f>
        <v>1109.4866475599999</v>
      </c>
      <c r="J19" s="565"/>
      <c r="K19" s="1250" t="e">
        <f>SUM(#REF!+#REF!+#REF!+#REF!+#REF!+#REF!+#REF!+#REF!+#REF!+#REF!+#REF!+#REF!)</f>
        <v>#REF!</v>
      </c>
    </row>
    <row r="20" spans="1:11" ht="18.75" hidden="1" customHeight="1" x14ac:dyDescent="0.2">
      <c r="A20" s="4497" t="s">
        <v>3745</v>
      </c>
      <c r="B20" s="4500"/>
      <c r="C20" s="4498">
        <v>3.4191600000000002</v>
      </c>
      <c r="D20" s="4498">
        <f>SUM(C20)</f>
        <v>3.4191600000000002</v>
      </c>
      <c r="E20" s="4498">
        <f>SUM(E18/E15)</f>
        <v>3.4191599999999998</v>
      </c>
      <c r="F20" s="4498">
        <v>3.4191600000000002</v>
      </c>
      <c r="G20" s="4498">
        <f>SUM(G18/G15)</f>
        <v>3.4191599999999998</v>
      </c>
      <c r="H20" s="4498">
        <f>SUM(F20)</f>
        <v>3.4191600000000002</v>
      </c>
      <c r="I20" s="4499">
        <f>SUM(I19/I15)</f>
        <v>3.4191599999999998</v>
      </c>
      <c r="J20" s="565"/>
      <c r="K20" s="1250"/>
    </row>
    <row r="21" spans="1:11" ht="18" customHeight="1" x14ac:dyDescent="0.3">
      <c r="A21" s="5177" t="s">
        <v>3770</v>
      </c>
      <c r="B21" s="5181"/>
      <c r="C21" s="5181"/>
      <c r="D21" s="5181"/>
      <c r="E21" s="5181"/>
      <c r="F21" s="5181"/>
      <c r="G21" s="5181"/>
      <c r="H21" s="5181"/>
      <c r="I21" s="5182"/>
      <c r="J21" s="565"/>
    </row>
    <row r="22" spans="1:11" ht="20.25" customHeight="1" x14ac:dyDescent="0.2">
      <c r="A22" s="5183" t="s">
        <v>525</v>
      </c>
      <c r="B22" s="5184" t="s">
        <v>3778</v>
      </c>
      <c r="C22" s="4424" t="s">
        <v>583</v>
      </c>
      <c r="D22" s="4424" t="s">
        <v>582</v>
      </c>
      <c r="E22" s="4424" t="s">
        <v>581</v>
      </c>
      <c r="F22" s="4424" t="s">
        <v>214</v>
      </c>
      <c r="G22" s="4424" t="s">
        <v>218</v>
      </c>
      <c r="H22" s="4424" t="s">
        <v>3779</v>
      </c>
      <c r="I22" s="4480" t="s">
        <v>1991</v>
      </c>
      <c r="J22" s="565"/>
    </row>
    <row r="23" spans="1:11" ht="35.25" customHeight="1" x14ac:dyDescent="0.3">
      <c r="A23" s="5183"/>
      <c r="B23" s="5185"/>
      <c r="C23" s="4424" t="s">
        <v>3550</v>
      </c>
      <c r="D23" s="4424" t="s">
        <v>3550</v>
      </c>
      <c r="E23" s="4424" t="s">
        <v>3550</v>
      </c>
      <c r="F23" s="4424" t="s">
        <v>3550</v>
      </c>
      <c r="G23" s="4424" t="s">
        <v>3550</v>
      </c>
      <c r="H23" s="4424" t="s">
        <v>3550</v>
      </c>
      <c r="I23" s="4480" t="s">
        <v>3550</v>
      </c>
      <c r="J23" s="389"/>
    </row>
    <row r="24" spans="1:11" ht="18.75" x14ac:dyDescent="0.3">
      <c r="A24" s="4501" t="s">
        <v>3836</v>
      </c>
      <c r="B24" s="4477" t="s">
        <v>899</v>
      </c>
      <c r="C24" s="4388">
        <f>SUM(I24/4)</f>
        <v>8.8862500000000004</v>
      </c>
      <c r="D24" s="4388">
        <f>SUM(C24)</f>
        <v>8.8862500000000004</v>
      </c>
      <c r="E24" s="4388">
        <f>SUM(C24+D24)</f>
        <v>17.772500000000001</v>
      </c>
      <c r="F24" s="4388">
        <f>SUM(C24)</f>
        <v>8.8862500000000004</v>
      </c>
      <c r="G24" s="4388">
        <f>SUM(E24+F24)</f>
        <v>26.658750000000001</v>
      </c>
      <c r="H24" s="4388">
        <f>SUM(C24)</f>
        <v>8.8862500000000004</v>
      </c>
      <c r="I24" s="4502">
        <v>35.545000000000002</v>
      </c>
      <c r="J24" s="389"/>
      <c r="K24" s="1250" t="e">
        <f>SUM(#REF!+#REF!+#REF!+#REF!+#REF!+#REF!+#REF!+#REF!+#REF!+#REF!+#REF!+#REF!)</f>
        <v>#REF!</v>
      </c>
    </row>
    <row r="25" spans="1:11" ht="18.75" x14ac:dyDescent="0.3">
      <c r="A25" s="4501" t="s">
        <v>3837</v>
      </c>
      <c r="B25" s="4477" t="s">
        <v>899</v>
      </c>
      <c r="C25" s="4388">
        <f>SUM(I25/4)</f>
        <v>165.33295000000001</v>
      </c>
      <c r="D25" s="4388">
        <f>SUM(C25)</f>
        <v>165.33295000000001</v>
      </c>
      <c r="E25" s="4388">
        <f>SUM(C25+D25)</f>
        <v>330.66590000000002</v>
      </c>
      <c r="F25" s="4388">
        <f>SUM(C25)</f>
        <v>165.33295000000001</v>
      </c>
      <c r="G25" s="4388">
        <f>SUM(E25+F25)</f>
        <v>495.99885000000006</v>
      </c>
      <c r="H25" s="4388">
        <f>SUM(C25)</f>
        <v>165.33295000000001</v>
      </c>
      <c r="I25" s="4502">
        <v>661.33180000000004</v>
      </c>
      <c r="J25" s="389"/>
      <c r="K25" s="1250" t="e">
        <f>SUM(#REF!+#REF!+#REF!+#REF!+#REF!+#REF!+#REF!+#REF!+#REF!+#REF!+#REF!+#REF!)</f>
        <v>#REF!</v>
      </c>
    </row>
    <row r="26" spans="1:11" ht="18.75" x14ac:dyDescent="0.3">
      <c r="A26" s="4501" t="s">
        <v>5</v>
      </c>
      <c r="B26" s="4477" t="s">
        <v>899</v>
      </c>
      <c r="C26" s="4388">
        <f>SUM(I26/4)</f>
        <v>49.9305509</v>
      </c>
      <c r="D26" s="4388">
        <f>SUM(C26)</f>
        <v>49.9305509</v>
      </c>
      <c r="E26" s="4388">
        <f>SUM(C26+D26)</f>
        <v>99.8611018</v>
      </c>
      <c r="F26" s="4388">
        <f>SUM(C26)</f>
        <v>49.9305509</v>
      </c>
      <c r="G26" s="4388">
        <f>SUM(E26+F26)</f>
        <v>149.79165269999999</v>
      </c>
      <c r="H26" s="4388">
        <f>SUM(C26)</f>
        <v>49.9305509</v>
      </c>
      <c r="I26" s="4502">
        <f>SUM(I25*30.2%)</f>
        <v>199.7222036</v>
      </c>
      <c r="J26" s="389"/>
      <c r="K26" s="1250" t="e">
        <f>SUM(#REF!+#REF!+#REF!+#REF!+#REF!+#REF!+#REF!+#REF!+#REF!+#REF!+#REF!+#REF!)</f>
        <v>#REF!</v>
      </c>
    </row>
    <row r="27" spans="1:11" ht="18.75" x14ac:dyDescent="0.3">
      <c r="A27" s="4501" t="s">
        <v>3</v>
      </c>
      <c r="B27" s="4477" t="s">
        <v>899</v>
      </c>
      <c r="C27" s="4388">
        <f>SUM(I27/4)</f>
        <v>41.246324999999999</v>
      </c>
      <c r="D27" s="4388">
        <f>SUM(C27)</f>
        <v>41.246324999999999</v>
      </c>
      <c r="E27" s="4388">
        <f>SUM(C27+D27)</f>
        <v>82.492649999999998</v>
      </c>
      <c r="F27" s="4388">
        <f>SUM(C27)</f>
        <v>41.246324999999999</v>
      </c>
      <c r="G27" s="4388">
        <f>SUM(E27+F27)</f>
        <v>123.738975</v>
      </c>
      <c r="H27" s="4388">
        <f>SUM(C27)</f>
        <v>41.246324999999999</v>
      </c>
      <c r="I27" s="4502">
        <v>164.9853</v>
      </c>
      <c r="J27" s="389"/>
      <c r="K27" s="1250" t="e">
        <f>SUM(#REF!+#REF!+#REF!+#REF!+#REF!+#REF!+#REF!+#REF!+#REF!+#REF!+#REF!+#REF!)</f>
        <v>#REF!</v>
      </c>
    </row>
    <row r="28" spans="1:11" ht="18.75" x14ac:dyDescent="0.3">
      <c r="A28" s="4501" t="s">
        <v>3718</v>
      </c>
      <c r="B28" s="4477" t="s">
        <v>899</v>
      </c>
      <c r="C28" s="4398">
        <f>SUM(C29:C31)</f>
        <v>8.8423765000000003</v>
      </c>
      <c r="D28" s="4398">
        <f t="shared" ref="D28:H28" si="2">SUM(D29:D31)</f>
        <v>8.8423765000000003</v>
      </c>
      <c r="E28" s="4398">
        <f t="shared" si="2"/>
        <v>17.684753000000001</v>
      </c>
      <c r="F28" s="4398">
        <f t="shared" si="2"/>
        <v>8.8423765000000003</v>
      </c>
      <c r="G28" s="4398">
        <f t="shared" si="2"/>
        <v>26.527129500000001</v>
      </c>
      <c r="H28" s="4398">
        <f t="shared" si="2"/>
        <v>8.8423765000000003</v>
      </c>
      <c r="I28" s="4502">
        <f>SUM(I29:I31)</f>
        <v>35.369506000000001</v>
      </c>
      <c r="J28" s="389"/>
      <c r="K28" s="1250" t="e">
        <f>SUM(#REF!+#REF!+#REF!+#REF!+#REF!+#REF!+#REF!+#REF!+#REF!+#REF!+#REF!+#REF!)</f>
        <v>#REF!</v>
      </c>
    </row>
    <row r="29" spans="1:11" ht="18.75" x14ac:dyDescent="0.3">
      <c r="A29" s="4503" t="s">
        <v>3719</v>
      </c>
      <c r="B29" s="4477" t="s">
        <v>899</v>
      </c>
      <c r="C29" s="4392">
        <f>SUM(I29/4)</f>
        <v>4.3882500000000002</v>
      </c>
      <c r="D29" s="4392">
        <f>SUM(C29)</f>
        <v>4.3882500000000002</v>
      </c>
      <c r="E29" s="4392">
        <f>SUM(C29+D29)</f>
        <v>8.7765000000000004</v>
      </c>
      <c r="F29" s="4392">
        <f>SUM(C29)</f>
        <v>4.3882500000000002</v>
      </c>
      <c r="G29" s="4392">
        <f>SUM(E29+F29)</f>
        <v>13.164750000000002</v>
      </c>
      <c r="H29" s="4392">
        <f>SUM(C29)</f>
        <v>4.3882500000000002</v>
      </c>
      <c r="I29" s="4504">
        <v>17.553000000000001</v>
      </c>
      <c r="J29" s="389"/>
      <c r="K29" s="1250" t="e">
        <f>SUM(#REF!+#REF!+#REF!+#REF!+#REF!+#REF!+#REF!+#REF!+#REF!+#REF!+#REF!+#REF!)</f>
        <v>#REF!</v>
      </c>
    </row>
    <row r="30" spans="1:11" ht="18.75" x14ac:dyDescent="0.3">
      <c r="A30" s="4505" t="s">
        <v>3720</v>
      </c>
      <c r="B30" s="4477" t="s">
        <v>899</v>
      </c>
      <c r="C30" s="4392">
        <f t="shared" ref="C30:C31" si="3">SUM(I30/4)</f>
        <v>1.3252515</v>
      </c>
      <c r="D30" s="4392">
        <f>SUM(C30)</f>
        <v>1.3252515</v>
      </c>
      <c r="E30" s="4392">
        <f>SUM(C30+D30)</f>
        <v>2.6505030000000001</v>
      </c>
      <c r="F30" s="4392">
        <f>SUM(C30)</f>
        <v>1.3252515</v>
      </c>
      <c r="G30" s="4392">
        <f>SUM(E30+F30)</f>
        <v>3.9757544999999999</v>
      </c>
      <c r="H30" s="4392">
        <f>SUM(C30)</f>
        <v>1.3252515</v>
      </c>
      <c r="I30" s="4504">
        <f>SUM(I29*30.2%)</f>
        <v>5.3010060000000001</v>
      </c>
      <c r="J30" s="389"/>
      <c r="K30" s="1250" t="e">
        <f>SUM(#REF!+#REF!+#REF!+#REF!+#REF!+#REF!+#REF!+#REF!+#REF!+#REF!+#REF!+#REF!)</f>
        <v>#REF!</v>
      </c>
    </row>
    <row r="31" spans="1:11" ht="18.75" x14ac:dyDescent="0.3">
      <c r="A31" s="4505" t="s">
        <v>3838</v>
      </c>
      <c r="B31" s="4477" t="s">
        <v>899</v>
      </c>
      <c r="C31" s="4392">
        <f t="shared" si="3"/>
        <v>3.1288749999999999</v>
      </c>
      <c r="D31" s="4392">
        <f>SUM(C31)</f>
        <v>3.1288749999999999</v>
      </c>
      <c r="E31" s="4392">
        <f>SUM(C31+D31)</f>
        <v>6.2577499999999997</v>
      </c>
      <c r="F31" s="4392">
        <f>SUM(C31)</f>
        <v>3.1288749999999999</v>
      </c>
      <c r="G31" s="4392">
        <f>SUM(E31+F31)</f>
        <v>9.3866249999999987</v>
      </c>
      <c r="H31" s="4392">
        <f>SUM(C31)</f>
        <v>3.1288749999999999</v>
      </c>
      <c r="I31" s="4504">
        <v>12.515499999999999</v>
      </c>
      <c r="J31" s="389"/>
      <c r="K31" s="1250" t="e">
        <f>SUM(#REF!+#REF!+#REF!+#REF!+#REF!+#REF!+#REF!+#REF!+#REF!+#REF!+#REF!+#REF!)</f>
        <v>#REF!</v>
      </c>
    </row>
    <row r="32" spans="1:11" ht="18.75" x14ac:dyDescent="0.3">
      <c r="A32" s="4501" t="s">
        <v>3721</v>
      </c>
      <c r="B32" s="4477" t="s">
        <v>899</v>
      </c>
      <c r="C32" s="4398">
        <f>SUM(C33:C35)</f>
        <v>3.1332629999999999</v>
      </c>
      <c r="D32" s="4398">
        <f t="shared" ref="D32:H32" si="4">SUM(D33:D35)</f>
        <v>3.1332629999999999</v>
      </c>
      <c r="E32" s="4398">
        <f t="shared" si="4"/>
        <v>6.2665259999999998</v>
      </c>
      <c r="F32" s="4398">
        <f t="shared" si="4"/>
        <v>3.1332629999999999</v>
      </c>
      <c r="G32" s="4398">
        <f t="shared" si="4"/>
        <v>9.3997890000000002</v>
      </c>
      <c r="H32" s="4398">
        <f t="shared" si="4"/>
        <v>3.1332629999999999</v>
      </c>
      <c r="I32" s="4502">
        <f>SUM(I33:I35)</f>
        <v>12.533052</v>
      </c>
      <c r="J32" s="389"/>
      <c r="K32" s="1250" t="e">
        <f>SUM(#REF!+#REF!+#REF!+#REF!+#REF!+#REF!+#REF!+#REF!+#REF!+#REF!+#REF!+#REF!)</f>
        <v>#REF!</v>
      </c>
    </row>
    <row r="33" spans="1:18" ht="18.75" x14ac:dyDescent="0.3">
      <c r="A33" s="4505" t="s">
        <v>3707</v>
      </c>
      <c r="B33" s="4477" t="s">
        <v>899</v>
      </c>
      <c r="C33" s="4392">
        <f t="shared" ref="C33:C35" si="5">SUM(I33/4)</f>
        <v>2.4064999999999999</v>
      </c>
      <c r="D33" s="4392">
        <f>SUM(C33)</f>
        <v>2.4064999999999999</v>
      </c>
      <c r="E33" s="4392">
        <f>SUM(C33+D33)</f>
        <v>4.8129999999999997</v>
      </c>
      <c r="F33" s="4392">
        <f>SUM(C33)</f>
        <v>2.4064999999999999</v>
      </c>
      <c r="G33" s="4392">
        <f>SUM(E33+F33)</f>
        <v>7.2195</v>
      </c>
      <c r="H33" s="4392">
        <f>SUM(C33)</f>
        <v>2.4064999999999999</v>
      </c>
      <c r="I33" s="4504">
        <v>9.6259999999999994</v>
      </c>
      <c r="J33" s="389"/>
      <c r="K33" s="1250" t="e">
        <f>SUM(#REF!+#REF!+#REF!+#REF!+#REF!+#REF!+#REF!+#REF!+#REF!+#REF!+#REF!+#REF!)</f>
        <v>#REF!</v>
      </c>
    </row>
    <row r="34" spans="1:18" ht="18.75" x14ac:dyDescent="0.3">
      <c r="A34" s="4505" t="s">
        <v>3708</v>
      </c>
      <c r="B34" s="4477" t="s">
        <v>899</v>
      </c>
      <c r="C34" s="4392">
        <f t="shared" si="5"/>
        <v>0.72676299999999994</v>
      </c>
      <c r="D34" s="4392">
        <f>SUM(C34)</f>
        <v>0.72676299999999994</v>
      </c>
      <c r="E34" s="4392">
        <f>SUM(C34+D34)</f>
        <v>1.4535259999999999</v>
      </c>
      <c r="F34" s="4392">
        <f>SUM(C34)</f>
        <v>0.72676299999999994</v>
      </c>
      <c r="G34" s="4392">
        <f>SUM(E34+F34)</f>
        <v>2.1802889999999997</v>
      </c>
      <c r="H34" s="4392">
        <f>SUM(C34)</f>
        <v>0.72676299999999994</v>
      </c>
      <c r="I34" s="4504">
        <f>SUM(I33*30.2%)</f>
        <v>2.9070519999999997</v>
      </c>
      <c r="J34" s="389"/>
      <c r="K34" s="1250" t="e">
        <f>SUM(#REF!+#REF!+#REF!+#REF!+#REF!+#REF!+#REF!+#REF!+#REF!+#REF!+#REF!+#REF!)</f>
        <v>#REF!</v>
      </c>
    </row>
    <row r="35" spans="1:18" ht="18.75" x14ac:dyDescent="0.3">
      <c r="A35" s="4505" t="s">
        <v>3709</v>
      </c>
      <c r="B35" s="4477" t="s">
        <v>899</v>
      </c>
      <c r="C35" s="4392">
        <f t="shared" si="5"/>
        <v>0</v>
      </c>
      <c r="D35" s="4392">
        <f>SUM(C35)</f>
        <v>0</v>
      </c>
      <c r="E35" s="4392">
        <f>SUM(C35+D35)</f>
        <v>0</v>
      </c>
      <c r="F35" s="4392">
        <f>SUM(C35)</f>
        <v>0</v>
      </c>
      <c r="G35" s="4392">
        <f>SUM(E35+F35)</f>
        <v>0</v>
      </c>
      <c r="H35" s="4392">
        <f>SUM(C35)</f>
        <v>0</v>
      </c>
      <c r="I35" s="4504">
        <v>0</v>
      </c>
      <c r="J35" s="389"/>
      <c r="K35" s="1250" t="e">
        <f>SUM(#REF!+#REF!+#REF!+#REF!+#REF!+#REF!+#REF!+#REF!+#REF!+#REF!+#REF!+#REF!)</f>
        <v>#REF!</v>
      </c>
    </row>
    <row r="36" spans="1:18" ht="18.75" x14ac:dyDescent="0.3">
      <c r="A36" s="4506" t="s">
        <v>12</v>
      </c>
      <c r="B36" s="4507" t="s">
        <v>899</v>
      </c>
      <c r="C36" s="4508">
        <f t="shared" ref="C36:H36" si="6">SUM(C24+C25+C26+C27+C28+C32)</f>
        <v>277.37171540000003</v>
      </c>
      <c r="D36" s="4508">
        <f t="shared" si="6"/>
        <v>277.37171540000003</v>
      </c>
      <c r="E36" s="4508">
        <f t="shared" si="6"/>
        <v>554.74343080000006</v>
      </c>
      <c r="F36" s="4508">
        <f t="shared" si="6"/>
        <v>277.37171540000003</v>
      </c>
      <c r="G36" s="4508">
        <f t="shared" si="6"/>
        <v>832.11514620000014</v>
      </c>
      <c r="H36" s="4508">
        <f t="shared" si="6"/>
        <v>277.37171540000003</v>
      </c>
      <c r="I36" s="4509">
        <f>SUM(I24+I25+I26+I27+I28+I32)</f>
        <v>1109.4868616000001</v>
      </c>
      <c r="J36" s="389"/>
      <c r="K36" s="1250" t="e">
        <f>SUM(#REF!+#REF!+#REF!+#REF!+#REF!+#REF!+#REF!+#REF!+#REF!+#REF!+#REF!+#REF!)</f>
        <v>#REF!</v>
      </c>
    </row>
    <row r="37" spans="1:18" ht="18.75" x14ac:dyDescent="0.3">
      <c r="A37" s="4506" t="s">
        <v>13</v>
      </c>
      <c r="B37" s="4482" t="s">
        <v>3780</v>
      </c>
      <c r="C37" s="4510">
        <f t="shared" ref="C37:I37" si="7">SUM(C15)</f>
        <v>81.122749999999996</v>
      </c>
      <c r="D37" s="4510">
        <f t="shared" si="7"/>
        <v>81.122749999999996</v>
      </c>
      <c r="E37" s="4510">
        <f t="shared" si="7"/>
        <v>162.24549999999999</v>
      </c>
      <c r="F37" s="4510">
        <f t="shared" si="7"/>
        <v>81.122749999999996</v>
      </c>
      <c r="G37" s="4510">
        <f t="shared" si="7"/>
        <v>243.36824999999999</v>
      </c>
      <c r="H37" s="4510">
        <f t="shared" si="7"/>
        <v>81.122749999999996</v>
      </c>
      <c r="I37" s="4511">
        <f t="shared" si="7"/>
        <v>324.49099999999999</v>
      </c>
      <c r="J37" s="389"/>
      <c r="K37" s="1250" t="e">
        <f>SUM(#REF!+#REF!+#REF!+#REF!+#REF!+#REF!+#REF!+#REF!+#REF!+#REF!+#REF!+#REF!)</f>
        <v>#REF!</v>
      </c>
    </row>
    <row r="38" spans="1:18" ht="18.75" x14ac:dyDescent="0.3">
      <c r="A38" s="4512" t="s">
        <v>14</v>
      </c>
      <c r="B38" s="4513" t="s">
        <v>2025</v>
      </c>
      <c r="C38" s="4510">
        <f t="shared" ref="C38:G38" si="8">SUM(C36/C37)</f>
        <v>3.4191606596176785</v>
      </c>
      <c r="D38" s="4510">
        <f t="shared" ref="D38:F38" si="9">SUM(D36/D37)</f>
        <v>3.4191606596176785</v>
      </c>
      <c r="E38" s="4510">
        <f t="shared" si="9"/>
        <v>3.4191606596176785</v>
      </c>
      <c r="F38" s="4510">
        <f t="shared" si="9"/>
        <v>3.4191606596176785</v>
      </c>
      <c r="G38" s="4510">
        <f t="shared" si="8"/>
        <v>3.4191606596176789</v>
      </c>
      <c r="H38" s="4510">
        <f t="shared" ref="H38:I38" si="10">SUM(H36/H37)</f>
        <v>3.4191606596176785</v>
      </c>
      <c r="I38" s="4511">
        <f t="shared" si="10"/>
        <v>3.4191606596176785</v>
      </c>
      <c r="J38" s="389"/>
      <c r="K38" s="1250" t="e">
        <f>SUM(#REF!+#REF!+#REF!+#REF!+#REF!+#REF!+#REF!+#REF!+#REF!+#REF!+#REF!+#REF!)</f>
        <v>#REF!</v>
      </c>
    </row>
    <row r="39" spans="1:18" ht="19.5" x14ac:dyDescent="0.3">
      <c r="A39" s="4512" t="s">
        <v>3749</v>
      </c>
      <c r="B39" s="4507" t="s">
        <v>899</v>
      </c>
      <c r="C39" s="4508">
        <f>SUM(C15*C20)-C36</f>
        <v>-5.3510000043388573E-5</v>
      </c>
      <c r="D39" s="4508">
        <f>SUM(D15*D20)-D36</f>
        <v>-5.3510000043388573E-5</v>
      </c>
      <c r="E39" s="4508">
        <f>SUM(C39+D39)</f>
        <v>-1.0702000008677715E-4</v>
      </c>
      <c r="F39" s="4508">
        <f>SUM(F15*F20)-F36</f>
        <v>-5.3510000043388573E-5</v>
      </c>
      <c r="G39" s="4514">
        <f>SUM(E39+F39)</f>
        <v>-1.6053000013016572E-4</v>
      </c>
      <c r="H39" s="4508">
        <f>SUM(H15*H20)-H36</f>
        <v>-5.3510000043388573E-5</v>
      </c>
      <c r="I39" s="4509">
        <f>SUM(G39+H39)</f>
        <v>-2.1404000017355429E-4</v>
      </c>
      <c r="J39" s="2617"/>
      <c r="K39" s="1250" t="e">
        <f>SUM(#REF!+#REF!+#REF!+#REF!+#REF!+#REF!+#REF!+#REF!+#REF!+#REF!+#REF!+#REF!)</f>
        <v>#REF!</v>
      </c>
    </row>
    <row r="40" spans="1:18" ht="19.5" x14ac:dyDescent="0.3">
      <c r="A40" s="4481" t="s">
        <v>527</v>
      </c>
      <c r="B40" s="4507" t="s">
        <v>899</v>
      </c>
      <c r="C40" s="4508">
        <f>SUM(C36+C39)</f>
        <v>277.37166188999998</v>
      </c>
      <c r="D40" s="4508">
        <f>SUM(D36+D39)</f>
        <v>277.37166188999998</v>
      </c>
      <c r="E40" s="4508">
        <f>SUM(C40+D40)</f>
        <v>554.74332377999997</v>
      </c>
      <c r="F40" s="4508">
        <f>SUM(F36+F39)</f>
        <v>277.37166188999998</v>
      </c>
      <c r="G40" s="4514">
        <f>SUM(E40+F40)</f>
        <v>832.1149856699999</v>
      </c>
      <c r="H40" s="4508">
        <f>SUM(H36+H39)</f>
        <v>277.37166188999998</v>
      </c>
      <c r="I40" s="4509">
        <f>SUM(G40+H40)</f>
        <v>1109.4866475599999</v>
      </c>
      <c r="J40" s="2617"/>
      <c r="K40" s="1250" t="e">
        <f>SUM(#REF!+#REF!+#REF!+#REF!+#REF!+#REF!+#REF!+#REF!+#REF!+#REF!+#REF!+#REF!)</f>
        <v>#REF!</v>
      </c>
    </row>
    <row r="41" spans="1:18" ht="19.5" thickBot="1" x14ac:dyDescent="0.35">
      <c r="A41" s="4515" t="s">
        <v>68</v>
      </c>
      <c r="B41" s="4516" t="s">
        <v>2025</v>
      </c>
      <c r="C41" s="4517">
        <f t="shared" ref="C41:D41" si="11">SUM(C40/C37)</f>
        <v>3.4191599999999998</v>
      </c>
      <c r="D41" s="4517">
        <f t="shared" si="11"/>
        <v>3.4191599999999998</v>
      </c>
      <c r="E41" s="4517">
        <f>SUM(E40/E37)</f>
        <v>3.4191599999999998</v>
      </c>
      <c r="F41" s="4517">
        <f t="shared" ref="F41" si="12">SUM(F40/F37)</f>
        <v>3.4191599999999998</v>
      </c>
      <c r="G41" s="4517">
        <f>SUM(G40/G37)</f>
        <v>3.4191599999999998</v>
      </c>
      <c r="H41" s="4517">
        <f t="shared" ref="H41" si="13">SUM(H40/H37)</f>
        <v>3.4191599999999998</v>
      </c>
      <c r="I41" s="4518">
        <f>SUM(I40/I37)</f>
        <v>3.4191599999999998</v>
      </c>
      <c r="J41" s="2617"/>
      <c r="K41" s="1250" t="e">
        <f>SUM(#REF!+#REF!+#REF!+#REF!+#REF!+#REF!+#REF!+#REF!+#REF!+#REF!+#REF!+#REF!)</f>
        <v>#REF!</v>
      </c>
    </row>
    <row r="42" spans="1:18" ht="18.75" x14ac:dyDescent="0.3">
      <c r="A42" s="1655"/>
      <c r="B42" s="389"/>
      <c r="C42" s="389"/>
      <c r="D42" s="389"/>
      <c r="E42" s="389"/>
      <c r="F42" s="389"/>
      <c r="G42" s="389"/>
      <c r="H42" s="389"/>
      <c r="I42" s="389"/>
      <c r="J42" s="389"/>
    </row>
    <row r="43" spans="1:18" ht="18.75" x14ac:dyDescent="0.3">
      <c r="A43" s="1655"/>
      <c r="B43" s="389"/>
      <c r="C43" s="389"/>
      <c r="D43" s="389"/>
      <c r="E43" s="389"/>
      <c r="F43" s="389"/>
      <c r="G43" s="389"/>
      <c r="H43" s="389"/>
      <c r="I43" s="389"/>
      <c r="J43" s="389"/>
    </row>
    <row r="44" spans="1:18" ht="18.75" x14ac:dyDescent="0.3">
      <c r="A44" s="389" t="s">
        <v>3775</v>
      </c>
      <c r="B44" s="389"/>
      <c r="C44" s="389"/>
      <c r="D44" s="389" t="s">
        <v>4152</v>
      </c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</row>
    <row r="45" spans="1:18" ht="18.75" x14ac:dyDescent="0.3">
      <c r="A45" s="4304"/>
      <c r="B45" s="361"/>
      <c r="C45" s="361"/>
      <c r="D45" s="4304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589"/>
    </row>
    <row r="46" spans="1:18" ht="18.75" x14ac:dyDescent="0.3">
      <c r="A46" s="4304" t="s">
        <v>3783</v>
      </c>
      <c r="B46" s="361"/>
      <c r="C46" s="361"/>
      <c r="D46" s="4304" t="s">
        <v>3784</v>
      </c>
      <c r="E46" s="361"/>
      <c r="F46" s="361"/>
      <c r="G46" s="361"/>
      <c r="H46" s="361"/>
      <c r="I46" s="361"/>
      <c r="J46" s="361"/>
      <c r="K46" s="361"/>
      <c r="L46" s="361"/>
      <c r="M46" s="361"/>
      <c r="N46" s="361"/>
      <c r="O46" s="361"/>
      <c r="P46" s="361"/>
      <c r="Q46" s="361"/>
      <c r="R46" s="3589"/>
    </row>
    <row r="47" spans="1:18" ht="18.75" x14ac:dyDescent="0.3">
      <c r="A47" s="1655"/>
      <c r="B47" s="2856"/>
      <c r="C47" s="2856"/>
      <c r="D47" s="389"/>
      <c r="E47" s="389"/>
      <c r="F47" s="389"/>
      <c r="G47" s="389"/>
      <c r="H47" s="389"/>
      <c r="I47" s="389"/>
      <c r="J47" s="389"/>
    </row>
    <row r="48" spans="1:18" ht="18.75" x14ac:dyDescent="0.3">
      <c r="A48" s="1655"/>
      <c r="B48" s="2856"/>
      <c r="C48" s="2856"/>
      <c r="D48" s="389"/>
      <c r="E48" s="389"/>
      <c r="F48" s="389"/>
      <c r="G48" s="389"/>
      <c r="H48" s="389"/>
      <c r="I48" s="389"/>
      <c r="J48" s="389"/>
    </row>
    <row r="49" spans="1:10" ht="18.75" x14ac:dyDescent="0.3">
      <c r="A49" s="565"/>
      <c r="B49" s="565"/>
      <c r="C49" s="565"/>
      <c r="D49" s="389"/>
      <c r="E49" s="389"/>
      <c r="F49" s="389"/>
      <c r="G49" s="389"/>
      <c r="H49" s="389"/>
      <c r="I49" s="389"/>
      <c r="J49" s="389"/>
    </row>
    <row r="50" spans="1:10" ht="18.75" x14ac:dyDescent="0.3">
      <c r="A50" s="565"/>
      <c r="B50" s="565"/>
      <c r="C50" s="565"/>
      <c r="D50" s="389"/>
      <c r="E50" s="389"/>
      <c r="F50" s="389"/>
      <c r="G50" s="389"/>
      <c r="H50" s="389"/>
      <c r="I50" s="389"/>
      <c r="J50" s="389"/>
    </row>
    <row r="51" spans="1:10" ht="18.75" x14ac:dyDescent="0.3">
      <c r="A51" s="565"/>
      <c r="B51" s="565"/>
      <c r="C51" s="565"/>
      <c r="D51" s="389"/>
      <c r="E51" s="389"/>
      <c r="F51" s="389"/>
      <c r="G51" s="389"/>
      <c r="H51" s="389"/>
      <c r="I51" s="389"/>
      <c r="J51" s="389"/>
    </row>
    <row r="52" spans="1:10" ht="18.75" x14ac:dyDescent="0.3">
      <c r="A52" s="565"/>
      <c r="B52" s="565"/>
      <c r="C52" s="565"/>
      <c r="D52" s="389"/>
      <c r="E52" s="389"/>
      <c r="F52" s="389"/>
      <c r="G52" s="389"/>
      <c r="H52" s="389"/>
      <c r="I52" s="389"/>
      <c r="J52" s="389"/>
    </row>
    <row r="53" spans="1:10" ht="18.75" x14ac:dyDescent="0.3">
      <c r="A53" s="565"/>
      <c r="B53" s="565"/>
      <c r="C53" s="565"/>
      <c r="D53" s="389"/>
      <c r="E53" s="389"/>
      <c r="F53" s="389"/>
      <c r="G53" s="389"/>
      <c r="H53" s="389"/>
      <c r="I53" s="389"/>
      <c r="J53" s="389"/>
    </row>
  </sheetData>
  <sheetProtection formatCells="0" formatColumns="0" formatRows="0" insertColumns="0" insertRows="0" insertHyperlinks="0" deleteColumns="0" deleteRows="0" sort="0" autoFilter="0" pivotTables="0"/>
  <mergeCells count="7">
    <mergeCell ref="G1:I1"/>
    <mergeCell ref="A10:I10"/>
    <mergeCell ref="A8:I8"/>
    <mergeCell ref="A21:I21"/>
    <mergeCell ref="A22:A23"/>
    <mergeCell ref="G4:I4"/>
    <mergeCell ref="B22:B23"/>
  </mergeCells>
  <printOptions horizontalCentered="1"/>
  <pageMargins left="0.19685039370078741" right="0.19685039370078741" top="0.39370078740157483" bottom="0.39370078740157483" header="0" footer="0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Лист14">
    <tabColor rgb="FFFFFF00"/>
    <pageSetUpPr fitToPage="1"/>
  </sheetPr>
  <dimension ref="A1:AG464"/>
  <sheetViews>
    <sheetView topLeftCell="T10" zoomScale="73" zoomScaleNormal="73" zoomScalePageLayoutView="90" workbookViewId="0">
      <selection activeCell="AH17" sqref="AH17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23"/>
      <c r="AD1" s="5165" t="s">
        <v>3889</v>
      </c>
      <c r="AE1" s="5189"/>
      <c r="AF1" s="5189"/>
      <c r="AG1" s="5189"/>
    </row>
    <row r="2" spans="1:33" ht="12.2" customHeight="1" x14ac:dyDescent="0.2">
      <c r="P2" s="2918"/>
      <c r="Q2" s="2919"/>
      <c r="R2" s="2919"/>
      <c r="S2" s="2919"/>
      <c r="AD2" s="2920"/>
      <c r="AE2" s="4475"/>
      <c r="AF2" s="4475"/>
      <c r="AG2" s="4475"/>
    </row>
    <row r="3" spans="1:33" ht="24" customHeight="1" x14ac:dyDescent="0.2">
      <c r="P3" s="2918"/>
      <c r="Q3" s="2919"/>
      <c r="R3" s="2919"/>
      <c r="S3" s="2919"/>
      <c r="AD3" s="4302" t="s">
        <v>3890</v>
      </c>
      <c r="AE3" s="4302"/>
      <c r="AF3" s="4302"/>
      <c r="AG3" s="4302"/>
    </row>
    <row r="4" spans="1:33" ht="44.25" customHeight="1" x14ac:dyDescent="0.2">
      <c r="P4" s="5190"/>
      <c r="Q4" s="5190"/>
      <c r="R4" s="5190"/>
      <c r="S4" s="5190"/>
      <c r="AD4" s="5165" t="s">
        <v>3891</v>
      </c>
      <c r="AE4" s="5180"/>
      <c r="AF4" s="5180"/>
      <c r="AG4" s="5180"/>
    </row>
    <row r="5" spans="1:33" ht="23.25" customHeight="1" x14ac:dyDescent="0.2">
      <c r="P5" s="5190"/>
      <c r="Q5" s="5190"/>
      <c r="R5" s="5190"/>
      <c r="S5" s="5190"/>
      <c r="AD5" s="4302" t="s">
        <v>4241</v>
      </c>
      <c r="AE5" s="4303"/>
      <c r="AF5" s="4303"/>
      <c r="AG5" s="4302"/>
    </row>
    <row r="6" spans="1:33" ht="21" customHeight="1" x14ac:dyDescent="0.3">
      <c r="P6" s="5190"/>
      <c r="Q6" s="5190"/>
      <c r="R6" s="5191"/>
      <c r="S6" s="5190"/>
      <c r="AD6" s="4304" t="s">
        <v>4242</v>
      </c>
      <c r="AE6" s="4304"/>
      <c r="AF6" s="4304"/>
      <c r="AG6" s="4304"/>
    </row>
    <row r="7" spans="1:33" ht="21" customHeight="1" x14ac:dyDescent="0.3">
      <c r="P7" s="5192"/>
      <c r="Q7" s="5192"/>
      <c r="R7" s="5192"/>
      <c r="S7" s="5192"/>
    </row>
    <row r="8" spans="1:33" ht="12.2" customHeight="1" x14ac:dyDescent="0.35">
      <c r="Q8" s="2857"/>
    </row>
    <row r="10" spans="1:33" ht="43.5" customHeight="1" x14ac:dyDescent="0.4">
      <c r="A10" s="5186" t="s">
        <v>4243</v>
      </c>
      <c r="B10" s="5186"/>
      <c r="C10" s="5186"/>
      <c r="D10" s="5186"/>
      <c r="E10" s="5186"/>
      <c r="F10" s="5186"/>
      <c r="G10" s="5186"/>
      <c r="H10" s="5186"/>
      <c r="I10" s="5186"/>
      <c r="J10" s="5186"/>
      <c r="K10" s="5187"/>
      <c r="L10" s="5187"/>
      <c r="M10" s="5187"/>
      <c r="N10" s="5187"/>
      <c r="O10" s="5187"/>
      <c r="P10" s="5187"/>
      <c r="Q10" s="5187"/>
      <c r="R10" s="5187"/>
      <c r="S10" s="5188"/>
      <c r="T10" s="5188"/>
      <c r="U10" s="5188"/>
      <c r="V10" s="5188"/>
      <c r="W10" s="5188"/>
      <c r="X10" s="5188"/>
      <c r="Y10" s="5188"/>
      <c r="Z10" s="5188"/>
      <c r="AA10" s="5188"/>
      <c r="AB10" s="5188"/>
      <c r="AC10" s="5188"/>
      <c r="AD10" s="5188"/>
      <c r="AE10" s="5188"/>
      <c r="AF10" s="5188"/>
      <c r="AG10" s="5188"/>
    </row>
    <row r="11" spans="1:33" ht="16.5" customHeight="1" thickBot="1" x14ac:dyDescent="0.35">
      <c r="A11" s="2916"/>
      <c r="B11" s="2916"/>
      <c r="C11" s="2916"/>
      <c r="D11" s="2916"/>
      <c r="E11" s="2916"/>
      <c r="F11" s="2916"/>
      <c r="G11" s="2916"/>
      <c r="H11" s="2916"/>
      <c r="I11" s="2916"/>
      <c r="J11" s="2916"/>
      <c r="K11" s="2916"/>
      <c r="L11" s="2915"/>
      <c r="M11" s="2915"/>
      <c r="N11" s="2915"/>
      <c r="O11" s="2915"/>
      <c r="P11" s="2915"/>
      <c r="Q11" s="2915"/>
      <c r="R11" s="2915"/>
      <c r="S11" s="2924"/>
      <c r="AG11" s="2924" t="s">
        <v>3785</v>
      </c>
    </row>
    <row r="12" spans="1:33" ht="18.75" customHeight="1" x14ac:dyDescent="0.2">
      <c r="A12" s="5193" t="s">
        <v>3786</v>
      </c>
      <c r="B12" s="5194"/>
      <c r="C12" s="5194"/>
      <c r="D12" s="5194"/>
      <c r="E12" s="5194"/>
      <c r="F12" s="5194"/>
      <c r="G12" s="5194"/>
      <c r="H12" s="5194"/>
      <c r="I12" s="5194"/>
      <c r="J12" s="5194"/>
      <c r="K12" s="5194"/>
      <c r="L12" s="5195"/>
      <c r="M12" s="5195"/>
      <c r="N12" s="5195"/>
      <c r="O12" s="5195"/>
      <c r="P12" s="5195"/>
      <c r="Q12" s="5195"/>
      <c r="R12" s="5195"/>
      <c r="S12" s="5195"/>
      <c r="T12" s="5195"/>
      <c r="U12" s="5195"/>
      <c r="V12" s="5195"/>
      <c r="W12" s="5195"/>
      <c r="X12" s="5195"/>
      <c r="Y12" s="5195"/>
      <c r="Z12" s="5195"/>
      <c r="AA12" s="5195"/>
      <c r="AB12" s="5195"/>
      <c r="AC12" s="5195"/>
      <c r="AD12" s="5195"/>
      <c r="AE12" s="5195"/>
      <c r="AF12" s="5195"/>
      <c r="AG12" s="5196"/>
    </row>
    <row r="13" spans="1:33" ht="19.5" customHeight="1" x14ac:dyDescent="0.2">
      <c r="A13" s="5197" t="s">
        <v>525</v>
      </c>
      <c r="B13" s="2954"/>
      <c r="C13" s="2954"/>
      <c r="D13" s="2954"/>
      <c r="E13" s="5198" t="s">
        <v>230</v>
      </c>
      <c r="F13" s="5198"/>
      <c r="G13" s="5198"/>
      <c r="H13" s="5198"/>
      <c r="I13" s="5198"/>
      <c r="J13" s="2371"/>
      <c r="K13" s="3015" t="s">
        <v>360</v>
      </c>
      <c r="L13" s="5199" t="s">
        <v>3778</v>
      </c>
      <c r="M13" s="5200" t="s">
        <v>583</v>
      </c>
      <c r="N13" s="5201"/>
      <c r="O13" s="5201"/>
      <c r="P13" s="5200" t="s">
        <v>582</v>
      </c>
      <c r="Q13" s="5201"/>
      <c r="R13" s="5201"/>
      <c r="S13" s="5200" t="s">
        <v>581</v>
      </c>
      <c r="T13" s="5201"/>
      <c r="U13" s="5201"/>
      <c r="V13" s="5200" t="s">
        <v>214</v>
      </c>
      <c r="W13" s="5201"/>
      <c r="X13" s="5201"/>
      <c r="Y13" s="5200" t="s">
        <v>218</v>
      </c>
      <c r="Z13" s="5201"/>
      <c r="AA13" s="5201"/>
      <c r="AB13" s="5200" t="s">
        <v>3779</v>
      </c>
      <c r="AC13" s="5201"/>
      <c r="AD13" s="5201"/>
      <c r="AE13" s="5200" t="s">
        <v>1808</v>
      </c>
      <c r="AF13" s="5201"/>
      <c r="AG13" s="5202"/>
    </row>
    <row r="14" spans="1:33" ht="19.5" customHeight="1" x14ac:dyDescent="0.2">
      <c r="A14" s="5197"/>
      <c r="B14" s="2954"/>
      <c r="C14" s="2954"/>
      <c r="D14" s="2954"/>
      <c r="E14" s="2955" t="s">
        <v>510</v>
      </c>
      <c r="F14" s="2955" t="s">
        <v>152</v>
      </c>
      <c r="G14" s="2955" t="s">
        <v>511</v>
      </c>
      <c r="H14" s="2955" t="s">
        <v>512</v>
      </c>
      <c r="I14" s="2955" t="s">
        <v>513</v>
      </c>
      <c r="J14" s="2371"/>
      <c r="K14" s="2955" t="s">
        <v>510</v>
      </c>
      <c r="L14" s="5199"/>
      <c r="M14" s="3014" t="s">
        <v>614</v>
      </c>
      <c r="N14" s="3014" t="s">
        <v>3753</v>
      </c>
      <c r="O14" s="3014" t="s">
        <v>3754</v>
      </c>
      <c r="P14" s="3014" t="s">
        <v>614</v>
      </c>
      <c r="Q14" s="3014" t="s">
        <v>3753</v>
      </c>
      <c r="R14" s="3014" t="s">
        <v>3754</v>
      </c>
      <c r="S14" s="3014" t="s">
        <v>614</v>
      </c>
      <c r="T14" s="3014" t="s">
        <v>3753</v>
      </c>
      <c r="U14" s="3014" t="s">
        <v>3754</v>
      </c>
      <c r="V14" s="3014" t="s">
        <v>614</v>
      </c>
      <c r="W14" s="3014" t="s">
        <v>3753</v>
      </c>
      <c r="X14" s="3014" t="s">
        <v>3754</v>
      </c>
      <c r="Y14" s="3014" t="s">
        <v>614</v>
      </c>
      <c r="Z14" s="3014" t="s">
        <v>3753</v>
      </c>
      <c r="AA14" s="3014" t="s">
        <v>3754</v>
      </c>
      <c r="AB14" s="3014" t="s">
        <v>614</v>
      </c>
      <c r="AC14" s="3014" t="s">
        <v>3753</v>
      </c>
      <c r="AD14" s="3014" t="s">
        <v>3754</v>
      </c>
      <c r="AE14" s="3014" t="s">
        <v>614</v>
      </c>
      <c r="AF14" s="3014" t="s">
        <v>3753</v>
      </c>
      <c r="AG14" s="2926" t="s">
        <v>3754</v>
      </c>
    </row>
    <row r="15" spans="1:33" ht="18.75" customHeight="1" x14ac:dyDescent="0.3">
      <c r="A15" s="2927" t="s">
        <v>3766</v>
      </c>
      <c r="B15" s="2377"/>
      <c r="C15" s="2377"/>
      <c r="D15" s="2377"/>
      <c r="E15" s="2372">
        <v>3600</v>
      </c>
      <c r="F15" s="2373" t="e">
        <f>E15/#REF!*100</f>
        <v>#REF!</v>
      </c>
      <c r="G15" s="2372" t="e">
        <f>SUM(G16:G18)</f>
        <v>#REF!</v>
      </c>
      <c r="H15" s="2372">
        <f>SUM(H16:H18)</f>
        <v>1764.1999999999998</v>
      </c>
      <c r="I15" s="2372">
        <f>SUM(I16:I18)</f>
        <v>2589</v>
      </c>
      <c r="J15" s="2379"/>
      <c r="K15" s="2372">
        <f>SUM(K16:K18)</f>
        <v>3644.7</v>
      </c>
      <c r="L15" s="2956" t="s">
        <v>3780</v>
      </c>
      <c r="M15" s="2930">
        <f>SUM('ФАКТ.СЕБЕСТ.СТОКИ за 1 пол.2023'!AC8)</f>
        <v>768.56306212265406</v>
      </c>
      <c r="N15" s="2930">
        <f>SUM('ФАКТ.СЕБЕСТ.СТОКИ за 1 пол.2023'!AD8)</f>
        <v>764.75724428647504</v>
      </c>
      <c r="O15" s="2930">
        <f>SUM('ФАКТ.СЕБЕСТ.СТОКИ за 1 пол.2023'!AE8)</f>
        <v>3.8058178361790249</v>
      </c>
      <c r="P15" s="2930">
        <f>SUM('ФАКТ.СЕБЕСТ.СТОКИ за 1 пол.2023'!BP8)</f>
        <v>768.56306212265406</v>
      </c>
      <c r="Q15" s="2930">
        <f>SUM('ФАКТ.СЕБЕСТ.СТОКИ за 1 пол.2023'!BQ8)</f>
        <v>764.75724428647504</v>
      </c>
      <c r="R15" s="2930">
        <f>SUM('ФАКТ.СЕБЕСТ.СТОКИ за 1 пол.2023'!BR8)</f>
        <v>3.8058178361790249</v>
      </c>
      <c r="S15" s="2930">
        <f>SUM('ФАКТ.СЕБЕСТ.СТОКИ за 1 пол.2023'!CB8)</f>
        <v>1537.1261242453081</v>
      </c>
      <c r="T15" s="2930">
        <f>SUM('ФАКТ.СЕБЕСТ.СТОКИ за 1 пол.2023'!CC8)</f>
        <v>1529.5144885729501</v>
      </c>
      <c r="U15" s="2930">
        <f>SUM('ФАКТ.СЕБЕСТ.СТОКИ за 1 пол.2023'!CD8)</f>
        <v>7.6116356723580498</v>
      </c>
      <c r="V15" s="2930">
        <f>SUM('ФАКТ.СЕБЕСТ.СТОКИ за 1 пол.2023'!DO8)</f>
        <v>768.56306212265406</v>
      </c>
      <c r="W15" s="2930">
        <f>SUM('ФАКТ.СЕБЕСТ.СТОКИ за 1 пол.2023'!DP8)</f>
        <v>764.75724428647504</v>
      </c>
      <c r="X15" s="2930">
        <f>SUM('ФАКТ.СЕБЕСТ.СТОКИ за 1 пол.2023'!DQ8)</f>
        <v>3.8058178361790249</v>
      </c>
      <c r="Y15" s="2930">
        <f>SUM('ФАКТ.СЕБЕСТ.СТОКИ за 1 пол.2023'!EA8)</f>
        <v>2305.6891863679625</v>
      </c>
      <c r="Z15" s="2930">
        <f>SUM('ФАКТ.СЕБЕСТ.СТОКИ за 1 пол.2023'!EB8)</f>
        <v>2294.2717328594254</v>
      </c>
      <c r="AA15" s="2930">
        <f>SUM('ФАКТ.СЕБЕСТ.СТОКИ за 1 пол.2023'!EC8)</f>
        <v>11.417453508537076</v>
      </c>
      <c r="AB15" s="2930">
        <f>SUM('ФАКТ.СЕБЕСТ.СТОКИ за 1 пол.2023'!FN8)</f>
        <v>768.56306212265406</v>
      </c>
      <c r="AC15" s="2930">
        <f>SUM('ФАКТ.СЕБЕСТ.СТОКИ за 1 пол.2023'!FO8)</f>
        <v>764.75724428647504</v>
      </c>
      <c r="AD15" s="2930">
        <f>SUM('ФАКТ.СЕБЕСТ.СТОКИ за 1 пол.2023'!FP8)</f>
        <v>3.8058178361790249</v>
      </c>
      <c r="AE15" s="2930">
        <f>SUM('ФАКТ.СЕБЕСТ.СТОКИ за 1 пол.2023'!FZ8)</f>
        <v>3074.2522484906162</v>
      </c>
      <c r="AF15" s="2930">
        <f>SUM('ФАКТ.СЕБЕСТ.СТОКИ за 1 пол.2023'!GA8)</f>
        <v>3059.0289771459002</v>
      </c>
      <c r="AG15" s="2932">
        <f>SUM('ФАКТ.СЕБЕСТ.СТОКИ за 1 пол.2023'!GB8)</f>
        <v>15.2232713447161</v>
      </c>
    </row>
    <row r="16" spans="1:33" ht="18.75" customHeight="1" x14ac:dyDescent="0.3">
      <c r="A16" s="2933" t="s">
        <v>253</v>
      </c>
      <c r="B16" s="2377"/>
      <c r="C16" s="2377"/>
      <c r="D16" s="2377"/>
      <c r="E16" s="2375">
        <v>2600</v>
      </c>
      <c r="F16" s="2376" t="e">
        <f>E16/#REF!*100</f>
        <v>#REF!</v>
      </c>
      <c r="G16" s="2375">
        <f>E16</f>
        <v>2600</v>
      </c>
      <c r="H16" s="2375">
        <v>1250.8</v>
      </c>
      <c r="I16" s="2378">
        <v>1837.1</v>
      </c>
      <c r="J16" s="2378"/>
      <c r="K16" s="2375">
        <v>2600</v>
      </c>
      <c r="L16" s="2957" t="s">
        <v>3780</v>
      </c>
      <c r="M16" s="2935">
        <f>SUM('ФАКТ.СЕБЕСТ.СТОКИ за 1 пол.2023'!AC9)</f>
        <v>768.56306212265406</v>
      </c>
      <c r="N16" s="2935">
        <f>SUM('ФАКТ.СЕБЕСТ.СТОКИ за 1 пол.2023'!AD9)</f>
        <v>764.75724428647504</v>
      </c>
      <c r="O16" s="2935">
        <f>SUM('ФАКТ.СЕБЕСТ.СТОКИ за 1 пол.2023'!AE9)</f>
        <v>3.8058178361790249</v>
      </c>
      <c r="P16" s="2935">
        <f>SUM('ФАКТ.СЕБЕСТ.СТОКИ за 1 пол.2023'!BP9)</f>
        <v>768.56306212265406</v>
      </c>
      <c r="Q16" s="2935">
        <f>SUM('ФАКТ.СЕБЕСТ.СТОКИ за 1 пол.2023'!BQ9)</f>
        <v>764.75724428647504</v>
      </c>
      <c r="R16" s="2935">
        <f>SUM('ФАКТ.СЕБЕСТ.СТОКИ за 1 пол.2023'!BR9)</f>
        <v>3.8058178361790249</v>
      </c>
      <c r="S16" s="2935">
        <f>SUM('ФАКТ.СЕБЕСТ.СТОКИ за 1 пол.2023'!CB9)</f>
        <v>1537.1261242453081</v>
      </c>
      <c r="T16" s="2935">
        <f>SUM('ФАКТ.СЕБЕСТ.СТОКИ за 1 пол.2023'!CC9)</f>
        <v>1529.5144885729501</v>
      </c>
      <c r="U16" s="2935">
        <f>SUM('ФАКТ.СЕБЕСТ.СТОКИ за 1 пол.2023'!CD9)</f>
        <v>7.6116356723580498</v>
      </c>
      <c r="V16" s="2935">
        <f>SUM('ФАКТ.СЕБЕСТ.СТОКИ за 1 пол.2023'!DO9)</f>
        <v>768.56306212265406</v>
      </c>
      <c r="W16" s="2935">
        <f>SUM('ФАКТ.СЕБЕСТ.СТОКИ за 1 пол.2023'!DP9)</f>
        <v>764.75724428647504</v>
      </c>
      <c r="X16" s="2935">
        <f>SUM('ФАКТ.СЕБЕСТ.СТОКИ за 1 пол.2023'!DQ9)</f>
        <v>3.8058178361790249</v>
      </c>
      <c r="Y16" s="2935">
        <f>SUM('ФАКТ.СЕБЕСТ.СТОКИ за 1 пол.2023'!EA9)</f>
        <v>2305.6891863679625</v>
      </c>
      <c r="Z16" s="2935">
        <f>SUM('ФАКТ.СЕБЕСТ.СТОКИ за 1 пол.2023'!EB9)</f>
        <v>2294.2717328594254</v>
      </c>
      <c r="AA16" s="2935">
        <f>SUM('ФАКТ.СЕБЕСТ.СТОКИ за 1 пол.2023'!EC9)</f>
        <v>11.417453508537076</v>
      </c>
      <c r="AB16" s="2935">
        <f>SUM('ФАКТ.СЕБЕСТ.СТОКИ за 1 пол.2023'!FN9)</f>
        <v>768.56306212265406</v>
      </c>
      <c r="AC16" s="2935">
        <f>SUM('ФАКТ.СЕБЕСТ.СТОКИ за 1 пол.2023'!FO9)</f>
        <v>764.75724428647504</v>
      </c>
      <c r="AD16" s="2935">
        <f>SUM('ФАКТ.СЕБЕСТ.СТОКИ за 1 пол.2023'!FP9)</f>
        <v>3.8058178361790249</v>
      </c>
      <c r="AE16" s="2935">
        <f>SUM('ФАКТ.СЕБЕСТ.СТОКИ за 1 пол.2023'!FZ9)</f>
        <v>3074.2522484906162</v>
      </c>
      <c r="AF16" s="2935">
        <f>SUM('ФАКТ.СЕБЕСТ.СТОКИ за 1 пол.2023'!GA9)</f>
        <v>3059.0289771459002</v>
      </c>
      <c r="AG16" s="2937">
        <f>SUM('ФАКТ.СЕБЕСТ.СТОКИ за 1 пол.2023'!GB9)</f>
        <v>15.2232713447161</v>
      </c>
    </row>
    <row r="17" spans="1:33" ht="18.75" customHeight="1" x14ac:dyDescent="0.3">
      <c r="A17" s="2933" t="s">
        <v>3757</v>
      </c>
      <c r="B17" s="2377"/>
      <c r="C17" s="2377"/>
      <c r="D17" s="2377"/>
      <c r="E17" s="2375"/>
      <c r="F17" s="2376"/>
      <c r="G17" s="2375"/>
      <c r="H17" s="2375"/>
      <c r="I17" s="2378"/>
      <c r="J17" s="2378"/>
      <c r="K17" s="2375"/>
      <c r="L17" s="2957" t="s">
        <v>3780</v>
      </c>
      <c r="M17" s="2935">
        <f>SUM('ФАКТ.СЕБЕСТ.СТОКИ за 1 пол.2023'!AC10)</f>
        <v>592.17988042297497</v>
      </c>
      <c r="N17" s="2935">
        <f>SUM('ФАКТ.СЕБЕСТ.СТОКИ за 1 пол.2023'!AD10)</f>
        <v>592.17988042297497</v>
      </c>
      <c r="O17" s="2935">
        <f>SUM('ФАКТ.СЕБЕСТ.СТОКИ за 1 пол.2023'!AE10)</f>
        <v>0</v>
      </c>
      <c r="P17" s="2935">
        <f>SUM('ФАКТ.СЕБЕСТ.СТОКИ за 1 пол.2023'!BP10)</f>
        <v>592.17988042297497</v>
      </c>
      <c r="Q17" s="2935">
        <f>SUM('ФАКТ.СЕБЕСТ.СТОКИ за 1 пол.2023'!BQ10)</f>
        <v>592.17988042297497</v>
      </c>
      <c r="R17" s="2935">
        <f>SUM('ФАКТ.СЕБЕСТ.СТОКИ за 1 пол.2023'!BR10)</f>
        <v>0</v>
      </c>
      <c r="S17" s="2935">
        <f>SUM('ФАКТ.СЕБЕСТ.СТОКИ за 1 пол.2023'!CB10)</f>
        <v>1184.3597608459499</v>
      </c>
      <c r="T17" s="2935">
        <f>SUM('ФАКТ.СЕБЕСТ.СТОКИ за 1 пол.2023'!CC10)</f>
        <v>1184.3597608459499</v>
      </c>
      <c r="U17" s="2935">
        <f>SUM('ФАКТ.СЕБЕСТ.СТОКИ за 1 пол.2023'!CD10)</f>
        <v>0</v>
      </c>
      <c r="V17" s="2935">
        <f>SUM('ФАКТ.СЕБЕСТ.СТОКИ за 1 пол.2023'!DO10)</f>
        <v>592.17988042297497</v>
      </c>
      <c r="W17" s="2935">
        <f>SUM('ФАКТ.СЕБЕСТ.СТОКИ за 1 пол.2023'!DP10)</f>
        <v>592.17988042297497</v>
      </c>
      <c r="X17" s="2935">
        <f>SUM('ФАКТ.СЕБЕСТ.СТОКИ за 1 пол.2023'!DQ10)</f>
        <v>0</v>
      </c>
      <c r="Y17" s="2935">
        <f>SUM('ФАКТ.СЕБЕСТ.СТОКИ за 1 пол.2023'!EA10)</f>
        <v>1776.5396412689249</v>
      </c>
      <c r="Z17" s="2935">
        <f>SUM('ФАКТ.СЕБЕСТ.СТОКИ за 1 пол.2023'!EB10)</f>
        <v>1776.5396412689249</v>
      </c>
      <c r="AA17" s="2935">
        <f>SUM('ФАКТ.СЕБЕСТ.СТОКИ за 1 пол.2023'!EC10)</f>
        <v>0</v>
      </c>
      <c r="AB17" s="2935">
        <f>SUM('ФАКТ.СЕБЕСТ.СТОКИ за 1 пол.2023'!FN10)</f>
        <v>592.17988042297497</v>
      </c>
      <c r="AC17" s="2935">
        <f>SUM('ФАКТ.СЕБЕСТ.СТОКИ за 1 пол.2023'!FO10)</f>
        <v>592.17988042297497</v>
      </c>
      <c r="AD17" s="2935">
        <f>SUM('ФАКТ.СЕБЕСТ.СТОКИ за 1 пол.2023'!FP10)</f>
        <v>0</v>
      </c>
      <c r="AE17" s="2935">
        <f>SUM('ФАКТ.СЕБЕСТ.СТОКИ за 1 пол.2023'!FZ10)</f>
        <v>2368.7195216918999</v>
      </c>
      <c r="AF17" s="2935">
        <f>SUM('ФАКТ.СЕБЕСТ.СТОКИ за 1 пол.2023'!GA10)</f>
        <v>2368.7195216918999</v>
      </c>
      <c r="AG17" s="2937">
        <f>SUM('ФАКТ.СЕБЕСТ.СТОКИ за 1 пол.2023'!GB10)</f>
        <v>0</v>
      </c>
    </row>
    <row r="18" spans="1:33" ht="18.75" customHeight="1" x14ac:dyDescent="0.3">
      <c r="A18" s="3022" t="s">
        <v>3773</v>
      </c>
      <c r="B18" s="2377"/>
      <c r="C18" s="2377"/>
      <c r="D18" s="2377"/>
      <c r="E18" s="2375">
        <v>972</v>
      </c>
      <c r="F18" s="2376" t="e">
        <f>E18/#REF!*100</f>
        <v>#REF!</v>
      </c>
      <c r="G18" s="2375" t="e">
        <f>#REF!+2.4</f>
        <v>#REF!</v>
      </c>
      <c r="H18" s="2375">
        <v>513.4</v>
      </c>
      <c r="I18" s="2378">
        <v>751.9</v>
      </c>
      <c r="J18" s="2378"/>
      <c r="K18" s="2375">
        <v>1044.7</v>
      </c>
      <c r="L18" s="2957" t="s">
        <v>3780</v>
      </c>
      <c r="M18" s="2935">
        <f>SUM('ФАКТ.СЕБЕСТ.СТОКИ за 1 пол.2023'!AC11)</f>
        <v>3.8058178361790249</v>
      </c>
      <c r="N18" s="2935">
        <f>SUM('ФАКТ.СЕБЕСТ.СТОКИ за 1 пол.2023'!AD11)</f>
        <v>0</v>
      </c>
      <c r="O18" s="2935">
        <f>SUM('ФАКТ.СЕБЕСТ.СТОКИ за 1 пол.2023'!AE11)</f>
        <v>3.8058178361790249</v>
      </c>
      <c r="P18" s="2935">
        <f>SUM('ФАКТ.СЕБЕСТ.СТОКИ за 1 пол.2023'!BP11)</f>
        <v>3.8058178361790249</v>
      </c>
      <c r="Q18" s="2935">
        <f>SUM('ФАКТ.СЕБЕСТ.СТОКИ за 1 пол.2023'!BQ11)</f>
        <v>0</v>
      </c>
      <c r="R18" s="2935">
        <f>SUM('ФАКТ.СЕБЕСТ.СТОКИ за 1 пол.2023'!BR11)</f>
        <v>3.8058178361790249</v>
      </c>
      <c r="S18" s="2935">
        <f>SUM('ФАКТ.СЕБЕСТ.СТОКИ за 1 пол.2023'!CB11)</f>
        <v>7.6116356723580498</v>
      </c>
      <c r="T18" s="2935">
        <f>SUM('ФАКТ.СЕБЕСТ.СТОКИ за 1 пол.2023'!CC11)</f>
        <v>0</v>
      </c>
      <c r="U18" s="2935">
        <f>SUM('ФАКТ.СЕБЕСТ.СТОКИ за 1 пол.2023'!CD11)</f>
        <v>7.6116356723580498</v>
      </c>
      <c r="V18" s="2935">
        <f>SUM('ФАКТ.СЕБЕСТ.СТОКИ за 1 пол.2023'!DO11)</f>
        <v>3.8058178361790249</v>
      </c>
      <c r="W18" s="2935">
        <f>SUM('ФАКТ.СЕБЕСТ.СТОКИ за 1 пол.2023'!DP11)</f>
        <v>0</v>
      </c>
      <c r="X18" s="2935">
        <f>SUM('ФАКТ.СЕБЕСТ.СТОКИ за 1 пол.2023'!DQ11)</f>
        <v>3.8058178361790249</v>
      </c>
      <c r="Y18" s="2935">
        <f>SUM('ФАКТ.СЕБЕСТ.СТОКИ за 1 пол.2023'!EA11)</f>
        <v>11.417453508537076</v>
      </c>
      <c r="Z18" s="2935">
        <f>SUM('ФАКТ.СЕБЕСТ.СТОКИ за 1 пол.2023'!EB11)</f>
        <v>0</v>
      </c>
      <c r="AA18" s="2935">
        <f>SUM('ФАКТ.СЕБЕСТ.СТОКИ за 1 пол.2023'!EC11)</f>
        <v>11.417453508537076</v>
      </c>
      <c r="AB18" s="2935">
        <f>SUM('ФАКТ.СЕБЕСТ.СТОКИ за 1 пол.2023'!FN11)</f>
        <v>3.8058178361790249</v>
      </c>
      <c r="AC18" s="2935">
        <f>SUM('ФАКТ.СЕБЕСТ.СТОКИ за 1 пол.2023'!FO11)</f>
        <v>0</v>
      </c>
      <c r="AD18" s="2935">
        <f>SUM('ФАКТ.СЕБЕСТ.СТОКИ за 1 пол.2023'!FP11)</f>
        <v>3.8058178361790249</v>
      </c>
      <c r="AE18" s="2935">
        <f>SUM('ФАКТ.СЕБЕСТ.СТОКИ за 1 пол.2023'!FZ11)</f>
        <v>15.2232713447161</v>
      </c>
      <c r="AF18" s="2935">
        <f>SUM('ФАКТ.СЕБЕСТ.СТОКИ за 1 пол.2023'!GA11)</f>
        <v>0</v>
      </c>
      <c r="AG18" s="2937">
        <f>SUM('ФАКТ.СЕБЕСТ.СТОКИ за 1 пол.2023'!GB11)</f>
        <v>15.2232713447161</v>
      </c>
    </row>
    <row r="19" spans="1:33" ht="18.75" customHeight="1" x14ac:dyDescent="0.3">
      <c r="A19" s="2908" t="s">
        <v>3644</v>
      </c>
      <c r="B19" s="2377"/>
      <c r="C19" s="2377"/>
      <c r="D19" s="2377"/>
      <c r="E19" s="2375"/>
      <c r="F19" s="2376"/>
      <c r="G19" s="2375"/>
      <c r="H19" s="2375"/>
      <c r="I19" s="2378"/>
      <c r="J19" s="2378"/>
      <c r="K19" s="2375"/>
      <c r="L19" s="2957" t="s">
        <v>3780</v>
      </c>
      <c r="M19" s="2942">
        <f>SUM('ФАКТ.СЕБЕСТ.СТОКИ за 1 пол.2023'!AC12)</f>
        <v>172.57736386350001</v>
      </c>
      <c r="N19" s="2942">
        <f>SUM('ФАКТ.СЕБЕСТ.СТОКИ за 1 пол.2023'!AD12)</f>
        <v>172.57736386350001</v>
      </c>
      <c r="O19" s="2942">
        <f>SUM('ФАКТ.СЕБЕСТ.СТОКИ за 1 пол.2023'!AE12)</f>
        <v>0</v>
      </c>
      <c r="P19" s="2942">
        <f>SUM('ФАКТ.СЕБЕСТ.СТОКИ за 1 пол.2023'!BP12)</f>
        <v>172.57736386350001</v>
      </c>
      <c r="Q19" s="2942">
        <f>SUM('ФАКТ.СЕБЕСТ.СТОКИ за 1 пол.2023'!BQ12)</f>
        <v>172.57736386350001</v>
      </c>
      <c r="R19" s="2942">
        <f>SUM('ФАКТ.СЕБЕСТ.СТОКИ за 1 пол.2023'!BR12)</f>
        <v>0</v>
      </c>
      <c r="S19" s="2942">
        <f>SUM('ФАКТ.СЕБЕСТ.СТОКИ за 1 пол.2023'!CB12)</f>
        <v>345.15472772700002</v>
      </c>
      <c r="T19" s="2942">
        <f>SUM('ФАКТ.СЕБЕСТ.СТОКИ за 1 пол.2023'!CC12)</f>
        <v>345.15472772700002</v>
      </c>
      <c r="U19" s="2942">
        <f>SUM('ФАКТ.СЕБЕСТ.СТОКИ за 1 пол.2023'!CD12)</f>
        <v>0</v>
      </c>
      <c r="V19" s="2942">
        <f>SUM('ФАКТ.СЕБЕСТ.СТОКИ за 1 пол.2023'!DO12)</f>
        <v>172.57736386350001</v>
      </c>
      <c r="W19" s="2942">
        <f>SUM('ФАКТ.СЕБЕСТ.СТОКИ за 1 пол.2023'!DP12)</f>
        <v>172.57736386350001</v>
      </c>
      <c r="X19" s="2942">
        <f>SUM('ФАКТ.СЕБЕСТ.СТОКИ за 1 пол.2023'!DQ12)</f>
        <v>0</v>
      </c>
      <c r="Y19" s="2942">
        <f>SUM('ФАКТ.СЕБЕСТ.СТОКИ за 1 пол.2023'!EA12)</f>
        <v>517.73209159049998</v>
      </c>
      <c r="Z19" s="2942">
        <f>SUM('ФАКТ.СЕБЕСТ.СТОКИ за 1 пол.2023'!EB12)</f>
        <v>517.73209159049998</v>
      </c>
      <c r="AA19" s="2942">
        <f>SUM('ФАКТ.СЕБЕСТ.СТОКИ за 1 пол.2023'!EC12)</f>
        <v>0</v>
      </c>
      <c r="AB19" s="2942">
        <f>SUM('ФАКТ.СЕБЕСТ.СТОКИ за 1 пол.2023'!FN12)</f>
        <v>172.57736386350001</v>
      </c>
      <c r="AC19" s="2942">
        <f>SUM('ФАКТ.СЕБЕСТ.СТОКИ за 1 пол.2023'!FO12)</f>
        <v>172.57736386350001</v>
      </c>
      <c r="AD19" s="2942">
        <f>SUM('ФАКТ.СЕБЕСТ.СТОКИ за 1 пол.2023'!FP12)</f>
        <v>0</v>
      </c>
      <c r="AE19" s="2942">
        <f>SUM('ФАКТ.СЕБЕСТ.СТОКИ за 1 пол.2023'!FZ12)</f>
        <v>690.30945545400004</v>
      </c>
      <c r="AF19" s="2942">
        <f>SUM('ФАКТ.СЕБЕСТ.СТОКИ за 1 пол.2023'!GA12)</f>
        <v>690.30945545400004</v>
      </c>
      <c r="AG19" s="2944">
        <f>SUM('ФАКТ.СЕБЕСТ.СТОКИ за 1 пол.2023'!GB12)</f>
        <v>0</v>
      </c>
    </row>
    <row r="20" spans="1:33" ht="18.75" customHeight="1" x14ac:dyDescent="0.3">
      <c r="A20" s="2909" t="s">
        <v>3646</v>
      </c>
      <c r="B20" s="2377"/>
      <c r="C20" s="2377"/>
      <c r="D20" s="2377"/>
      <c r="E20" s="2375"/>
      <c r="F20" s="2376"/>
      <c r="G20" s="2375"/>
      <c r="H20" s="2375"/>
      <c r="I20" s="2378"/>
      <c r="J20" s="2378"/>
      <c r="K20" s="2375"/>
      <c r="L20" s="2957" t="s">
        <v>3780</v>
      </c>
      <c r="M20" s="2942">
        <f>SUM('ФАКТ.СЕБЕСТ.СТОКИ за 1 пол.2023'!AC13)</f>
        <v>74.360610535086494</v>
      </c>
      <c r="N20" s="2942">
        <f>SUM('ФАКТ.СЕБЕСТ.СТОКИ за 1 пол.2023'!AD13)</f>
        <v>74.360610535086494</v>
      </c>
      <c r="O20" s="2942">
        <f>SUM('ФАКТ.СЕБЕСТ.СТОКИ за 1 пол.2023'!AE13)</f>
        <v>0</v>
      </c>
      <c r="P20" s="2942">
        <f>SUM('ФАКТ.СЕБЕСТ.СТОКИ за 1 пол.2023'!BP13)</f>
        <v>74.360610535086494</v>
      </c>
      <c r="Q20" s="2942">
        <f>SUM('ФАКТ.СЕБЕСТ.СТОКИ за 1 пол.2023'!BQ13)</f>
        <v>74.360610535086494</v>
      </c>
      <c r="R20" s="2942">
        <f>SUM('ФАКТ.СЕБЕСТ.СТОКИ за 1 пол.2023'!BR13)</f>
        <v>0</v>
      </c>
      <c r="S20" s="2942">
        <f>SUM('ФАКТ.СЕБЕСТ.СТОКИ за 1 пол.2023'!CB13)</f>
        <v>148.72122107017299</v>
      </c>
      <c r="T20" s="2942">
        <f>SUM('ФАКТ.СЕБЕСТ.СТОКИ за 1 пол.2023'!CC13)</f>
        <v>148.72122107017299</v>
      </c>
      <c r="U20" s="2942">
        <f>SUM('ФАКТ.СЕБЕСТ.СТОКИ за 1 пол.2023'!CD13)</f>
        <v>0</v>
      </c>
      <c r="V20" s="2942">
        <f>SUM('ФАКТ.СЕБЕСТ.СТОКИ за 1 пол.2023'!DO13)</f>
        <v>74.360610535086494</v>
      </c>
      <c r="W20" s="2942">
        <f>SUM('ФАКТ.СЕБЕСТ.СТОКИ за 1 пол.2023'!DP13)</f>
        <v>74.360610535086494</v>
      </c>
      <c r="X20" s="2942">
        <f>SUM('ФАКТ.СЕБЕСТ.СТОКИ за 1 пол.2023'!DQ13)</f>
        <v>0</v>
      </c>
      <c r="Y20" s="2942">
        <f>SUM('ФАКТ.СЕБЕСТ.СТОКИ за 1 пол.2023'!EA13)</f>
        <v>223.08183160525948</v>
      </c>
      <c r="Z20" s="2942">
        <f>SUM('ФАКТ.СЕБЕСТ.СТОКИ за 1 пол.2023'!EB13)</f>
        <v>223.08183160525948</v>
      </c>
      <c r="AA20" s="2942">
        <f>SUM('ФАКТ.СЕБЕСТ.СТОКИ за 1 пол.2023'!EC13)</f>
        <v>0</v>
      </c>
      <c r="AB20" s="2942">
        <f>SUM('ФАКТ.СЕБЕСТ.СТОКИ за 1 пол.2023'!FN13)</f>
        <v>74.360610535086494</v>
      </c>
      <c r="AC20" s="2942">
        <f>SUM('ФАКТ.СЕБЕСТ.СТОКИ за 1 пол.2023'!FO13)</f>
        <v>74.360610535086494</v>
      </c>
      <c r="AD20" s="2942">
        <f>SUM('ФАКТ.СЕБЕСТ.СТОКИ за 1 пол.2023'!FP13)</f>
        <v>0</v>
      </c>
      <c r="AE20" s="2942">
        <f>SUM('ФАКТ.СЕБЕСТ.СТОКИ за 1 пол.2023'!FZ13)</f>
        <v>297.44244214034597</v>
      </c>
      <c r="AF20" s="2942">
        <f>SUM('ФАКТ.СЕБЕСТ.СТОКИ за 1 пол.2023'!GA13)</f>
        <v>297.44244214034597</v>
      </c>
      <c r="AG20" s="2944">
        <f>SUM('ФАКТ.СЕБЕСТ.СТОКИ за 1 пол.2023'!GB13)</f>
        <v>0</v>
      </c>
    </row>
    <row r="21" spans="1:33" ht="18.75" customHeight="1" x14ac:dyDescent="0.3">
      <c r="A21" s="2909" t="s">
        <v>3645</v>
      </c>
      <c r="B21" s="2377"/>
      <c r="C21" s="2377"/>
      <c r="D21" s="2377"/>
      <c r="E21" s="2375"/>
      <c r="F21" s="2376"/>
      <c r="G21" s="2375"/>
      <c r="H21" s="2375"/>
      <c r="I21" s="2378"/>
      <c r="J21" s="2378"/>
      <c r="K21" s="2375"/>
      <c r="L21" s="2957" t="s">
        <v>3780</v>
      </c>
      <c r="M21" s="2942">
        <f>SUM('ФАКТ.СЕБЕСТ.СТОКИ за 1 пол.2023'!AC14)</f>
        <v>27.290344066376747</v>
      </c>
      <c r="N21" s="2942">
        <f>SUM('ФАКТ.СЕБЕСТ.СТОКИ за 1 пол.2023'!AD14)</f>
        <v>27.290344066376747</v>
      </c>
      <c r="O21" s="2942">
        <f>SUM('ФАКТ.СЕБЕСТ.СТОКИ за 1 пол.2023'!AE14)</f>
        <v>0</v>
      </c>
      <c r="P21" s="2942">
        <f>SUM('ФАКТ.СЕБЕСТ.СТОКИ за 1 пол.2023'!BP14)</f>
        <v>27.290344066376747</v>
      </c>
      <c r="Q21" s="2942">
        <f>SUM('ФАКТ.СЕБЕСТ.СТОКИ за 1 пол.2023'!BQ14)</f>
        <v>27.290344066376747</v>
      </c>
      <c r="R21" s="2942">
        <f>SUM('ФАКТ.СЕБЕСТ.СТОКИ за 1 пол.2023'!BR14)</f>
        <v>0</v>
      </c>
      <c r="S21" s="2942">
        <f>SUM('ФАКТ.СЕБЕСТ.СТОКИ за 1 пол.2023'!CB14)</f>
        <v>54.580688132753494</v>
      </c>
      <c r="T21" s="2942">
        <f>SUM('ФАКТ.СЕБЕСТ.СТОКИ за 1 пол.2023'!CC14)</f>
        <v>54.580688132753494</v>
      </c>
      <c r="U21" s="2942">
        <f>SUM('ФАКТ.СЕБЕСТ.СТОКИ за 1 пол.2023'!CD14)</f>
        <v>0</v>
      </c>
      <c r="V21" s="2942">
        <f>SUM('ФАКТ.СЕБЕСТ.СТОКИ за 1 пол.2023'!DO14)</f>
        <v>27.290344066376747</v>
      </c>
      <c r="W21" s="2942">
        <f>SUM('ФАКТ.СЕБЕСТ.СТОКИ за 1 пол.2023'!DP14)</f>
        <v>27.290344066376747</v>
      </c>
      <c r="X21" s="2942">
        <f>SUM('ФАКТ.СЕБЕСТ.СТОКИ за 1 пол.2023'!DQ14)</f>
        <v>0</v>
      </c>
      <c r="Y21" s="2942">
        <f>SUM('ФАКТ.СЕБЕСТ.СТОКИ за 1 пол.2023'!EA14)</f>
        <v>81.871032199130241</v>
      </c>
      <c r="Z21" s="2942">
        <f>SUM('ФАКТ.СЕБЕСТ.СТОКИ за 1 пол.2023'!EB14)</f>
        <v>81.871032199130241</v>
      </c>
      <c r="AA21" s="2942">
        <f>SUM('ФАКТ.СЕБЕСТ.СТОКИ за 1 пол.2023'!EC14)</f>
        <v>0</v>
      </c>
      <c r="AB21" s="2942">
        <f>SUM('ФАКТ.СЕБЕСТ.СТОКИ за 1 пол.2023'!FN14)</f>
        <v>27.290344066376747</v>
      </c>
      <c r="AC21" s="2942">
        <f>SUM('ФАКТ.СЕБЕСТ.СТОКИ за 1 пол.2023'!FO14)</f>
        <v>27.290344066376747</v>
      </c>
      <c r="AD21" s="2942">
        <f>SUM('ФАКТ.СЕБЕСТ.СТОКИ за 1 пол.2023'!FP14)</f>
        <v>0</v>
      </c>
      <c r="AE21" s="2942">
        <f>SUM('ФАКТ.СЕБЕСТ.СТОКИ за 1 пол.2023'!FZ14)</f>
        <v>109.16137626550699</v>
      </c>
      <c r="AF21" s="2942">
        <f>SUM('ФАКТ.СЕБЕСТ.СТОКИ за 1 пол.2023'!GA14)</f>
        <v>109.16137626550699</v>
      </c>
      <c r="AG21" s="2944">
        <f>SUM('ФАКТ.СЕБЕСТ.СТОКИ за 1 пол.2023'!GB14)</f>
        <v>0</v>
      </c>
    </row>
    <row r="22" spans="1:33" ht="18.75" customHeight="1" x14ac:dyDescent="0.3">
      <c r="A22" s="2909" t="s">
        <v>3647</v>
      </c>
      <c r="B22" s="2377"/>
      <c r="C22" s="2377"/>
      <c r="D22" s="2377"/>
      <c r="E22" s="2375"/>
      <c r="F22" s="2376"/>
      <c r="G22" s="2375"/>
      <c r="H22" s="2375"/>
      <c r="I22" s="2378"/>
      <c r="J22" s="2378"/>
      <c r="K22" s="2375"/>
      <c r="L22" s="2957" t="s">
        <v>3780</v>
      </c>
      <c r="M22" s="2942">
        <f>SUM('ФАКТ.СЕБЕСТ.СТОКИ за 1 пол.2023'!AC15)</f>
        <v>21.19277400249965</v>
      </c>
      <c r="N22" s="2942">
        <f>SUM('ФАКТ.СЕБЕСТ.СТОКИ за 1 пол.2023'!AD15)</f>
        <v>21.19277400249965</v>
      </c>
      <c r="O22" s="2942">
        <f>SUM('ФАКТ.СЕБЕСТ.СТОКИ за 1 пол.2023'!AE15)</f>
        <v>0</v>
      </c>
      <c r="P22" s="2942">
        <f>SUM('ФАКТ.СЕБЕСТ.СТОКИ за 1 пол.2023'!BP15)</f>
        <v>21.19277400249965</v>
      </c>
      <c r="Q22" s="2942">
        <f>SUM('ФАКТ.СЕБЕСТ.СТОКИ за 1 пол.2023'!BQ15)</f>
        <v>21.19277400249965</v>
      </c>
      <c r="R22" s="2942">
        <f>SUM('ФАКТ.СЕБЕСТ.СТОКИ за 1 пол.2023'!BR15)</f>
        <v>0</v>
      </c>
      <c r="S22" s="2942">
        <f>SUM('ФАКТ.СЕБЕСТ.СТОКИ за 1 пол.2023'!CB15)</f>
        <v>42.385548004999301</v>
      </c>
      <c r="T22" s="2942">
        <f>SUM('ФАКТ.СЕБЕСТ.СТОКИ за 1 пол.2023'!CC15)</f>
        <v>42.385548004999301</v>
      </c>
      <c r="U22" s="2942">
        <f>SUM('ФАКТ.СЕБЕСТ.СТОКИ за 1 пол.2023'!CD15)</f>
        <v>0</v>
      </c>
      <c r="V22" s="2942">
        <f>SUM('ФАКТ.СЕБЕСТ.СТОКИ за 1 пол.2023'!DO15)</f>
        <v>21.19277400249965</v>
      </c>
      <c r="W22" s="2942">
        <f>SUM('ФАКТ.СЕБЕСТ.СТОКИ за 1 пол.2023'!DP15)</f>
        <v>21.19277400249965</v>
      </c>
      <c r="X22" s="2942">
        <f>SUM('ФАКТ.СЕБЕСТ.СТОКИ за 1 пол.2023'!DQ15)</f>
        <v>0</v>
      </c>
      <c r="Y22" s="2942">
        <f>SUM('ФАКТ.СЕБЕСТ.СТОКИ за 1 пол.2023'!EA15)</f>
        <v>63.578322007498954</v>
      </c>
      <c r="Z22" s="2942">
        <f>SUM('ФАКТ.СЕБЕСТ.СТОКИ за 1 пол.2023'!EB15)</f>
        <v>63.578322007498954</v>
      </c>
      <c r="AA22" s="2942">
        <f>SUM('ФАКТ.СЕБЕСТ.СТОКИ за 1 пол.2023'!EC15)</f>
        <v>0</v>
      </c>
      <c r="AB22" s="2942">
        <f>SUM('ФАКТ.СЕБЕСТ.СТОКИ за 1 пол.2023'!FN15)</f>
        <v>21.19277400249965</v>
      </c>
      <c r="AC22" s="2942">
        <f>SUM('ФАКТ.СЕБЕСТ.СТОКИ за 1 пол.2023'!FO15)</f>
        <v>21.19277400249965</v>
      </c>
      <c r="AD22" s="2942">
        <f>SUM('ФАКТ.СЕБЕСТ.СТОКИ за 1 пол.2023'!FP15)</f>
        <v>0</v>
      </c>
      <c r="AE22" s="2942">
        <f>SUM('ФАКТ.СЕБЕСТ.СТОКИ за 1 пол.2023'!FZ15)</f>
        <v>84.771096009998601</v>
      </c>
      <c r="AF22" s="2942">
        <f>SUM('ФАКТ.СЕБЕСТ.СТОКИ за 1 пол.2023'!GA15)</f>
        <v>84.771096009998601</v>
      </c>
      <c r="AG22" s="2944">
        <f>SUM('ФАКТ.СЕБЕСТ.СТОКИ за 1 пол.2023'!GB15)</f>
        <v>0</v>
      </c>
    </row>
    <row r="23" spans="1:33" ht="18.75" customHeight="1" x14ac:dyDescent="0.3">
      <c r="A23" s="5203" t="s">
        <v>3770</v>
      </c>
      <c r="B23" s="5204"/>
      <c r="C23" s="5204"/>
      <c r="D23" s="5204"/>
      <c r="E23" s="5204"/>
      <c r="F23" s="5204"/>
      <c r="G23" s="5204"/>
      <c r="H23" s="5204"/>
      <c r="I23" s="5204"/>
      <c r="J23" s="5204"/>
      <c r="K23" s="5204"/>
      <c r="L23" s="5205"/>
      <c r="M23" s="5205"/>
      <c r="N23" s="5205"/>
      <c r="O23" s="5205"/>
      <c r="P23" s="5205"/>
      <c r="Q23" s="5205"/>
      <c r="R23" s="5205"/>
      <c r="S23" s="5205"/>
      <c r="T23" s="5206"/>
      <c r="U23" s="5206"/>
      <c r="V23" s="5206"/>
      <c r="W23" s="5206"/>
      <c r="X23" s="5206"/>
      <c r="Y23" s="5206"/>
      <c r="Z23" s="5206"/>
      <c r="AA23" s="5206"/>
      <c r="AB23" s="5206"/>
      <c r="AC23" s="5206"/>
      <c r="AD23" s="5206"/>
      <c r="AE23" s="5206"/>
      <c r="AF23" s="5206"/>
      <c r="AG23" s="5207"/>
    </row>
    <row r="24" spans="1:33" ht="19.5" customHeight="1" x14ac:dyDescent="0.2">
      <c r="A24" s="5197" t="s">
        <v>525</v>
      </c>
      <c r="B24" s="2954"/>
      <c r="C24" s="2954"/>
      <c r="D24" s="2954"/>
      <c r="E24" s="5198" t="s">
        <v>230</v>
      </c>
      <c r="F24" s="5198"/>
      <c r="G24" s="5198"/>
      <c r="H24" s="5198"/>
      <c r="I24" s="5198"/>
      <c r="J24" s="2371"/>
      <c r="K24" s="3015" t="s">
        <v>360</v>
      </c>
      <c r="L24" s="5200" t="s">
        <v>3778</v>
      </c>
      <c r="M24" s="5200" t="s">
        <v>583</v>
      </c>
      <c r="N24" s="5201"/>
      <c r="O24" s="5201"/>
      <c r="P24" s="5200" t="s">
        <v>582</v>
      </c>
      <c r="Q24" s="5201"/>
      <c r="R24" s="5201"/>
      <c r="S24" s="5200" t="s">
        <v>581</v>
      </c>
      <c r="T24" s="5201"/>
      <c r="U24" s="5201"/>
      <c r="V24" s="5200" t="s">
        <v>214</v>
      </c>
      <c r="W24" s="5201"/>
      <c r="X24" s="5201"/>
      <c r="Y24" s="5200" t="s">
        <v>218</v>
      </c>
      <c r="Z24" s="5201"/>
      <c r="AA24" s="5201"/>
      <c r="AB24" s="5200" t="s">
        <v>3779</v>
      </c>
      <c r="AC24" s="5201"/>
      <c r="AD24" s="5201"/>
      <c r="AE24" s="5200" t="s">
        <v>1808</v>
      </c>
      <c r="AF24" s="5201"/>
      <c r="AG24" s="5202"/>
    </row>
    <row r="25" spans="1:33" ht="41.25" customHeight="1" x14ac:dyDescent="0.2">
      <c r="A25" s="5197"/>
      <c r="B25" s="2954"/>
      <c r="C25" s="2954"/>
      <c r="D25" s="2954"/>
      <c r="E25" s="2955" t="s">
        <v>510</v>
      </c>
      <c r="F25" s="2955" t="s">
        <v>152</v>
      </c>
      <c r="G25" s="2955" t="s">
        <v>511</v>
      </c>
      <c r="H25" s="2955" t="s">
        <v>512</v>
      </c>
      <c r="I25" s="2955" t="s">
        <v>513</v>
      </c>
      <c r="J25" s="2371"/>
      <c r="K25" s="2955" t="s">
        <v>510</v>
      </c>
      <c r="L25" s="5200"/>
      <c r="M25" s="3014" t="s">
        <v>614</v>
      </c>
      <c r="N25" s="3014" t="s">
        <v>3686</v>
      </c>
      <c r="O25" s="3014" t="s">
        <v>3626</v>
      </c>
      <c r="P25" s="3014" t="s">
        <v>614</v>
      </c>
      <c r="Q25" s="3014" t="s">
        <v>3686</v>
      </c>
      <c r="R25" s="3014" t="s">
        <v>3626</v>
      </c>
      <c r="S25" s="3014" t="s">
        <v>614</v>
      </c>
      <c r="T25" s="3014" t="s">
        <v>3686</v>
      </c>
      <c r="U25" s="3014" t="s">
        <v>3626</v>
      </c>
      <c r="V25" s="3014" t="s">
        <v>614</v>
      </c>
      <c r="W25" s="3014" t="s">
        <v>3686</v>
      </c>
      <c r="X25" s="3014" t="s">
        <v>3626</v>
      </c>
      <c r="Y25" s="3014" t="s">
        <v>614</v>
      </c>
      <c r="Z25" s="3014" t="s">
        <v>3686</v>
      </c>
      <c r="AA25" s="3014" t="s">
        <v>3626</v>
      </c>
      <c r="AB25" s="3014" t="s">
        <v>614</v>
      </c>
      <c r="AC25" s="3014" t="s">
        <v>3686</v>
      </c>
      <c r="AD25" s="3014" t="s">
        <v>3626</v>
      </c>
      <c r="AE25" s="3014" t="s">
        <v>614</v>
      </c>
      <c r="AF25" s="3014" t="s">
        <v>3686</v>
      </c>
      <c r="AG25" s="2926" t="s">
        <v>3626</v>
      </c>
    </row>
    <row r="26" spans="1:33" ht="18.75" customHeight="1" x14ac:dyDescent="0.3">
      <c r="A26" s="2933" t="s">
        <v>1</v>
      </c>
      <c r="B26" s="2948"/>
      <c r="C26" s="2948"/>
      <c r="D26" s="2948"/>
      <c r="E26" s="2948"/>
      <c r="F26" s="2948"/>
      <c r="G26" s="2948"/>
      <c r="H26" s="2948"/>
      <c r="I26" s="2948"/>
      <c r="J26" s="2948"/>
      <c r="K26" s="2948"/>
      <c r="L26" s="2958" t="s">
        <v>899</v>
      </c>
      <c r="M26" s="2935">
        <f>SUM('ФАКТ.СЕБЕСТ.СТОКИ за 1 пол.2023'!AC35)</f>
        <v>2535.4497784417135</v>
      </c>
      <c r="N26" s="2935">
        <f>SUM('ФАКТ.СЕБЕСТ.СТОКИ за 1 пол.2023'!AD35)</f>
        <v>2522.8945823035083</v>
      </c>
      <c r="O26" s="2935">
        <f>SUM('ФАКТ.СЕБЕСТ.СТОКИ за 1 пол.2023'!AE35)</f>
        <v>12.555196138205357</v>
      </c>
      <c r="P26" s="2935">
        <f>SUM('ФАКТ.СЕБЕСТ.СТОКИ за 1 пол.2023'!BP35)</f>
        <v>2535.4497784417135</v>
      </c>
      <c r="Q26" s="2935">
        <f>SUM('ФАКТ.СЕБЕСТ.СТОКИ за 1 пол.2023'!BQ35)</f>
        <v>2522.8945823035083</v>
      </c>
      <c r="R26" s="2935">
        <f>SUM('ФАКТ.СЕБЕСТ.СТОКИ за 1 пол.2023'!BR35)</f>
        <v>12.555196138205357</v>
      </c>
      <c r="S26" s="2935">
        <f>SUM('ФАКТ.СЕБЕСТ.СТОКИ за 1 пол.2023'!CB35)</f>
        <v>5070.8995568834271</v>
      </c>
      <c r="T26" s="2935">
        <f>SUM('ФАКТ.СЕБЕСТ.СТОКИ за 1 пол.2023'!CC35)</f>
        <v>5045.7891646070166</v>
      </c>
      <c r="U26" s="2935">
        <f>SUM('ФАКТ.СЕБЕСТ.СТОКИ за 1 пол.2023'!CD35)</f>
        <v>25.110392276410714</v>
      </c>
      <c r="V26" s="2935">
        <f>SUM('ФАКТ.СЕБЕСТ.СТОКИ за 1 пол.2023'!DO35)</f>
        <v>2535.4497784417135</v>
      </c>
      <c r="W26" s="2935">
        <f>SUM('ФАКТ.СЕБЕСТ.СТОКИ за 1 пол.2023'!DP35)</f>
        <v>2522.8945823035083</v>
      </c>
      <c r="X26" s="2935">
        <f>SUM('ФАКТ.СЕБЕСТ.СТОКИ за 1 пол.2023'!DQ35)</f>
        <v>12.555196138205357</v>
      </c>
      <c r="Y26" s="2935">
        <f>SUM('ФАКТ.СЕБЕСТ.СТОКИ за 1 пол.2023'!EA35)</f>
        <v>7606.3493353251406</v>
      </c>
      <c r="Z26" s="2935">
        <f>SUM('ФАКТ.СЕБЕСТ.СТОКИ за 1 пол.2023'!EB35)</f>
        <v>7568.6837469105249</v>
      </c>
      <c r="AA26" s="2935">
        <f>SUM('ФАКТ.СЕБЕСТ.СТОКИ за 1 пол.2023'!EC35)</f>
        <v>37.665588414616067</v>
      </c>
      <c r="AB26" s="2935">
        <f>SUM('ФАКТ.СЕБЕСТ.СТОКИ за 1 пол.2023'!FN35)</f>
        <v>2535.4497784417135</v>
      </c>
      <c r="AC26" s="2935">
        <f>SUM('ФАКТ.СЕБЕСТ.СТОКИ за 1 пол.2023'!FO35)</f>
        <v>2522.8945823035083</v>
      </c>
      <c r="AD26" s="2935">
        <f>SUM('ФАКТ.СЕБЕСТ.СТОКИ за 1 пол.2023'!FP35)</f>
        <v>12.555196138205357</v>
      </c>
      <c r="AE26" s="2935">
        <f>SUM('ФАКТ.СЕБЕСТ.СТОКИ за 1 пол.2023'!FZ35)</f>
        <v>10141.799113766854</v>
      </c>
      <c r="AF26" s="2935">
        <f>SUM('ФАКТ.СЕБЕСТ.СТОКИ за 1 пол.2023'!GA35)</f>
        <v>10091.578329214033</v>
      </c>
      <c r="AG26" s="2937">
        <f>SUM('ФАКТ.СЕБЕСТ.СТОКИ за 1 пол.2023'!GB35)</f>
        <v>50.220784552821428</v>
      </c>
    </row>
    <row r="27" spans="1:33" ht="18.75" customHeight="1" x14ac:dyDescent="0.3">
      <c r="A27" s="2933" t="s">
        <v>2</v>
      </c>
      <c r="B27" s="2948"/>
      <c r="C27" s="2948"/>
      <c r="D27" s="2948"/>
      <c r="E27" s="2948"/>
      <c r="F27" s="2948"/>
      <c r="G27" s="2948"/>
      <c r="H27" s="2948"/>
      <c r="I27" s="2948"/>
      <c r="J27" s="2948"/>
      <c r="K27" s="2948"/>
      <c r="L27" s="2958" t="s">
        <v>899</v>
      </c>
      <c r="M27" s="2935">
        <f>SUM('ФАКТ.СЕБЕСТ.СТОКИ за 1 пол.2023'!AC36)</f>
        <v>1372.6875</v>
      </c>
      <c r="N27" s="2935">
        <f>SUM('ФАКТ.СЕБЕСТ.СТОКИ за 1 пол.2023'!AD36)</f>
        <v>1372.6875</v>
      </c>
      <c r="O27" s="2935">
        <f>SUM('ФАКТ.СЕБЕСТ.СТОКИ за 1 пол.2023'!AE36)</f>
        <v>0</v>
      </c>
      <c r="P27" s="2935">
        <f>SUM('ФАКТ.СЕБЕСТ.СТОКИ за 1 пол.2023'!BP36)</f>
        <v>1372.6875</v>
      </c>
      <c r="Q27" s="2935">
        <f>SUM('ФАКТ.СЕБЕСТ.СТОКИ за 1 пол.2023'!BQ36)</f>
        <v>1372.6875</v>
      </c>
      <c r="R27" s="2935">
        <f>SUM('ФАКТ.СЕБЕСТ.СТОКИ за 1 пол.2023'!BR36)</f>
        <v>0</v>
      </c>
      <c r="S27" s="2935">
        <f>SUM('ФАКТ.СЕБЕСТ.СТОКИ за 1 пол.2023'!CB36)</f>
        <v>2745.375</v>
      </c>
      <c r="T27" s="2935">
        <f>SUM('ФАКТ.СЕБЕСТ.СТОКИ за 1 пол.2023'!CC36)</f>
        <v>2745.375</v>
      </c>
      <c r="U27" s="2935">
        <f>SUM('ФАКТ.СЕБЕСТ.СТОКИ за 1 пол.2023'!CD36)</f>
        <v>0</v>
      </c>
      <c r="V27" s="2935">
        <f>SUM('ФАКТ.СЕБЕСТ.СТОКИ за 1 пол.2023'!DO36)</f>
        <v>1372.6875</v>
      </c>
      <c r="W27" s="2935">
        <f>SUM('ФАКТ.СЕБЕСТ.СТОКИ за 1 пол.2023'!DP36)</f>
        <v>1372.6875</v>
      </c>
      <c r="X27" s="2935">
        <f>SUM('ФАКТ.СЕБЕСТ.СТОКИ за 1 пол.2023'!DQ36)</f>
        <v>0</v>
      </c>
      <c r="Y27" s="2935">
        <f>SUM('ФАКТ.СЕБЕСТ.СТОКИ за 1 пол.2023'!EA36)</f>
        <v>4118.0625</v>
      </c>
      <c r="Z27" s="2935">
        <f>SUM('ФАКТ.СЕБЕСТ.СТОКИ за 1 пол.2023'!EB36)</f>
        <v>4118.0625</v>
      </c>
      <c r="AA27" s="2935">
        <f>SUM('ФАКТ.СЕБЕСТ.СТОКИ за 1 пол.2023'!EC36)</f>
        <v>0</v>
      </c>
      <c r="AB27" s="2935">
        <f>SUM('ФАКТ.СЕБЕСТ.СТОКИ за 1 пол.2023'!FN36)</f>
        <v>1372.6875</v>
      </c>
      <c r="AC27" s="2935">
        <f>SUM('ФАКТ.СЕБЕСТ.СТОКИ за 1 пол.2023'!FO36)</f>
        <v>1372.6875</v>
      </c>
      <c r="AD27" s="2935">
        <f>SUM('ФАКТ.СЕБЕСТ.СТОКИ за 1 пол.2023'!FP36)</f>
        <v>0</v>
      </c>
      <c r="AE27" s="2935">
        <f>SUM('ФАКТ.СЕБЕСТ.СТОКИ за 1 пол.2023'!FZ36)</f>
        <v>5490.75</v>
      </c>
      <c r="AF27" s="2935">
        <f>SUM('ФАКТ.СЕБЕСТ.СТОКИ за 1 пол.2023'!GA36)</f>
        <v>5490.75</v>
      </c>
      <c r="AG27" s="2937">
        <f>SUM('ФАКТ.СЕБЕСТ.СТОКИ за 1 пол.2023'!GB36)</f>
        <v>0</v>
      </c>
    </row>
    <row r="28" spans="1:33" ht="18.75" customHeight="1" x14ac:dyDescent="0.3">
      <c r="A28" s="2933" t="s">
        <v>209</v>
      </c>
      <c r="B28" s="2948"/>
      <c r="C28" s="2948"/>
      <c r="D28" s="2948"/>
      <c r="E28" s="2948"/>
      <c r="F28" s="2948"/>
      <c r="G28" s="2948"/>
      <c r="H28" s="2948"/>
      <c r="I28" s="2948"/>
      <c r="J28" s="2948"/>
      <c r="K28" s="2948"/>
      <c r="L28" s="2958" t="s">
        <v>899</v>
      </c>
      <c r="M28" s="2935">
        <f>SUM('ФАКТ.СЕБЕСТ.СТОКИ за 1 пол.2023'!AC37)</f>
        <v>0</v>
      </c>
      <c r="N28" s="2935">
        <f>SUM('ФАКТ.СЕБЕСТ.СТОКИ за 1 пол.2023'!AD37)</f>
        <v>0</v>
      </c>
      <c r="O28" s="2935">
        <f>SUM('ФАКТ.СЕБЕСТ.СТОКИ за 1 пол.2023'!AE37)</f>
        <v>0</v>
      </c>
      <c r="P28" s="2935">
        <f>SUM('ФАКТ.СЕБЕСТ.СТОКИ за 1 пол.2023'!BP37)</f>
        <v>0</v>
      </c>
      <c r="Q28" s="2935">
        <f>SUM('ФАКТ.СЕБЕСТ.СТОКИ за 1 пол.2023'!BQ37)</f>
        <v>0</v>
      </c>
      <c r="R28" s="2935">
        <f>SUM('ФАКТ.СЕБЕСТ.СТОКИ за 1 пол.2023'!BR37)</f>
        <v>0</v>
      </c>
      <c r="S28" s="2935">
        <f>SUM('ФАКТ.СЕБЕСТ.СТОКИ за 1 пол.2023'!CB37)</f>
        <v>0</v>
      </c>
      <c r="T28" s="2935">
        <f>SUM('ФАКТ.СЕБЕСТ.СТОКИ за 1 пол.2023'!CC37)</f>
        <v>0</v>
      </c>
      <c r="U28" s="2935">
        <f>SUM('ФАКТ.СЕБЕСТ.СТОКИ за 1 пол.2023'!CD37)</f>
        <v>0</v>
      </c>
      <c r="V28" s="2935">
        <f>SUM('ФАКТ.СЕБЕСТ.СТОКИ за 1 пол.2023'!DO37)</f>
        <v>0</v>
      </c>
      <c r="W28" s="2935">
        <f>SUM('ФАКТ.СЕБЕСТ.СТОКИ за 1 пол.2023'!DP37)</f>
        <v>0</v>
      </c>
      <c r="X28" s="2935">
        <f>SUM('ФАКТ.СЕБЕСТ.СТОКИ за 1 пол.2023'!DQ37)</f>
        <v>0</v>
      </c>
      <c r="Y28" s="2935">
        <f>SUM('ФАКТ.СЕБЕСТ.СТОКИ за 1 пол.2023'!EA37)</f>
        <v>0</v>
      </c>
      <c r="Z28" s="2935">
        <f>SUM('ФАКТ.СЕБЕСТ.СТОКИ за 1 пол.2023'!EB37)</f>
        <v>0</v>
      </c>
      <c r="AA28" s="2935">
        <f>SUM('ФАКТ.СЕБЕСТ.СТОКИ за 1 пол.2023'!EC37)</f>
        <v>0</v>
      </c>
      <c r="AB28" s="2935">
        <f>SUM('ФАКТ.СЕБЕСТ.СТОКИ за 1 пол.2023'!FN37)</f>
        <v>0</v>
      </c>
      <c r="AC28" s="2935">
        <f>SUM('ФАКТ.СЕБЕСТ.СТОКИ за 1 пол.2023'!FO37)</f>
        <v>0</v>
      </c>
      <c r="AD28" s="2935">
        <f>SUM('ФАКТ.СЕБЕСТ.СТОКИ за 1 пол.2023'!FP37)</f>
        <v>0</v>
      </c>
      <c r="AE28" s="2935">
        <f>SUM('ФАКТ.СЕБЕСТ.СТОКИ за 1 пол.2023'!FZ37)</f>
        <v>0</v>
      </c>
      <c r="AF28" s="2935">
        <f>SUM('ФАКТ.СЕБЕСТ.СТОКИ за 1 пол.2023'!GA37)</f>
        <v>0</v>
      </c>
      <c r="AG28" s="2937">
        <f>SUM('ФАКТ.СЕБЕСТ.СТОКИ за 1 пол.2023'!GB37)</f>
        <v>0</v>
      </c>
    </row>
    <row r="29" spans="1:33" ht="18.75" customHeight="1" x14ac:dyDescent="0.3">
      <c r="A29" s="2933" t="s">
        <v>8</v>
      </c>
      <c r="B29" s="2948"/>
      <c r="C29" s="2948"/>
      <c r="D29" s="2948"/>
      <c r="E29" s="2948"/>
      <c r="F29" s="2948"/>
      <c r="G29" s="2948"/>
      <c r="H29" s="2948"/>
      <c r="I29" s="2948"/>
      <c r="J29" s="2948"/>
      <c r="K29" s="2948"/>
      <c r="L29" s="2958" t="s">
        <v>899</v>
      </c>
      <c r="M29" s="2935">
        <f>SUM('ФАКТ.СЕБЕСТ.СТОКИ за 1 пол.2023'!AC38)</f>
        <v>361.42113698684176</v>
      </c>
      <c r="N29" s="2935">
        <f>SUM('ФАКТ.СЕБЕСТ.СТОКИ за 1 пол.2023'!AD38)</f>
        <v>361.42113698684176</v>
      </c>
      <c r="O29" s="2935">
        <f>SUM('ФАКТ.СЕБЕСТ.СТОКИ за 1 пол.2023'!AE38)</f>
        <v>0</v>
      </c>
      <c r="P29" s="2935">
        <f>SUM('ФАКТ.СЕБЕСТ.СТОКИ за 1 пол.2023'!BP38)</f>
        <v>361.42113698684176</v>
      </c>
      <c r="Q29" s="2935">
        <f>SUM('ФАКТ.СЕБЕСТ.СТОКИ за 1 пол.2023'!BQ38)</f>
        <v>361.42113698684176</v>
      </c>
      <c r="R29" s="2935">
        <f>SUM('ФАКТ.СЕБЕСТ.СТОКИ за 1 пол.2023'!BR38)</f>
        <v>0</v>
      </c>
      <c r="S29" s="2935">
        <f>SUM('ФАКТ.СЕБЕСТ.СТОКИ за 1 пол.2023'!CB38)</f>
        <v>722.84227397368352</v>
      </c>
      <c r="T29" s="2935">
        <f>SUM('ФАКТ.СЕБЕСТ.СТОКИ за 1 пол.2023'!CC38)</f>
        <v>722.84227397368352</v>
      </c>
      <c r="U29" s="2935">
        <f>SUM('ФАКТ.СЕБЕСТ.СТОКИ за 1 пол.2023'!CD38)</f>
        <v>0</v>
      </c>
      <c r="V29" s="2935">
        <f>SUM('ФАКТ.СЕБЕСТ.СТОКИ за 1 пол.2023'!DO38)</f>
        <v>361.42113698684176</v>
      </c>
      <c r="W29" s="2935">
        <f>SUM('ФАКТ.СЕБЕСТ.СТОКИ за 1 пол.2023'!DP38)</f>
        <v>361.42113698684176</v>
      </c>
      <c r="X29" s="2935">
        <f>SUM('ФАКТ.СЕБЕСТ.СТОКИ за 1 пол.2023'!DQ38)</f>
        <v>0</v>
      </c>
      <c r="Y29" s="2935">
        <f>SUM('ФАКТ.СЕБЕСТ.СТОКИ за 1 пол.2023'!EA38)</f>
        <v>1084.2634109605253</v>
      </c>
      <c r="Z29" s="2935">
        <f>SUM('ФАКТ.СЕБЕСТ.СТОКИ за 1 пол.2023'!EB38)</f>
        <v>1084.2634109605253</v>
      </c>
      <c r="AA29" s="2935">
        <f>SUM('ФАКТ.СЕБЕСТ.СТОКИ за 1 пол.2023'!EC38)</f>
        <v>0</v>
      </c>
      <c r="AB29" s="2935">
        <f>SUM('ФАКТ.СЕБЕСТ.СТОКИ за 1 пол.2023'!FN38)</f>
        <v>361.42113698684176</v>
      </c>
      <c r="AC29" s="2935">
        <f>SUM('ФАКТ.СЕБЕСТ.СТОКИ за 1 пол.2023'!FO38)</f>
        <v>361.42113698684176</v>
      </c>
      <c r="AD29" s="2935">
        <f>SUM('ФАКТ.СЕБЕСТ.СТОКИ за 1 пол.2023'!FP38)</f>
        <v>0</v>
      </c>
      <c r="AE29" s="2935">
        <f>SUM('ФАКТ.СЕБЕСТ.СТОКИ за 1 пол.2023'!FZ38)</f>
        <v>1445.684547947367</v>
      </c>
      <c r="AF29" s="2935">
        <f>SUM('ФАКТ.СЕБЕСТ.СТОКИ за 1 пол.2023'!GA38)</f>
        <v>1445.684547947367</v>
      </c>
      <c r="AG29" s="2937">
        <f>SUM('ФАКТ.СЕБЕСТ.СТОКИ за 1 пол.2023'!GB38)</f>
        <v>0</v>
      </c>
    </row>
    <row r="30" spans="1:33" ht="18.75" customHeight="1" x14ac:dyDescent="0.3">
      <c r="A30" s="2933" t="s">
        <v>3</v>
      </c>
      <c r="B30" s="2948"/>
      <c r="C30" s="2948"/>
      <c r="D30" s="2948"/>
      <c r="E30" s="2948"/>
      <c r="F30" s="2948"/>
      <c r="G30" s="2948"/>
      <c r="H30" s="2948"/>
      <c r="I30" s="2948"/>
      <c r="J30" s="2948"/>
      <c r="K30" s="2948"/>
      <c r="L30" s="2958" t="s">
        <v>899</v>
      </c>
      <c r="M30" s="2935">
        <f>SUM('ФАКТ.СЕБЕСТ.СТОКИ за 1 пол.2023'!AC39)</f>
        <v>569.36330161592264</v>
      </c>
      <c r="N30" s="2935">
        <f>SUM('ФАКТ.СЕБЕСТ.СТОКИ за 1 пол.2023'!AD39)</f>
        <v>569.36330161592264</v>
      </c>
      <c r="O30" s="2935">
        <f>SUM('ФАКТ.СЕБЕСТ.СТОКИ за 1 пол.2023'!AE39)</f>
        <v>0</v>
      </c>
      <c r="P30" s="2935">
        <f>SUM('ФАКТ.СЕБЕСТ.СТОКИ за 1 пол.2023'!BP39)</f>
        <v>569.36330161592264</v>
      </c>
      <c r="Q30" s="2935">
        <f>SUM('ФАКТ.СЕБЕСТ.СТОКИ за 1 пол.2023'!BQ39)</f>
        <v>569.36330161592264</v>
      </c>
      <c r="R30" s="2935">
        <f>SUM('ФАКТ.СЕБЕСТ.СТОКИ за 1 пол.2023'!BR39)</f>
        <v>0</v>
      </c>
      <c r="S30" s="2935">
        <f>SUM('ФАКТ.СЕБЕСТ.СТОКИ за 1 пол.2023'!CB39)</f>
        <v>1138.7266032318453</v>
      </c>
      <c r="T30" s="2935">
        <f>SUM('ФАКТ.СЕБЕСТ.СТОКИ за 1 пол.2023'!CC39)</f>
        <v>1138.7266032318453</v>
      </c>
      <c r="U30" s="2935">
        <f>SUM('ФАКТ.СЕБЕСТ.СТОКИ за 1 пол.2023'!CD39)</f>
        <v>0</v>
      </c>
      <c r="V30" s="2935">
        <f>SUM('ФАКТ.СЕБЕСТ.СТОКИ за 1 пол.2023'!DO39)</f>
        <v>569.36330161592264</v>
      </c>
      <c r="W30" s="2935">
        <f>SUM('ФАКТ.СЕБЕСТ.СТОКИ за 1 пол.2023'!DP39)</f>
        <v>569.36330161592264</v>
      </c>
      <c r="X30" s="2935">
        <f>SUM('ФАКТ.СЕБЕСТ.СТОКИ за 1 пол.2023'!DQ39)</f>
        <v>0</v>
      </c>
      <c r="Y30" s="2935">
        <f>SUM('ФАКТ.СЕБЕСТ.СТОКИ за 1 пол.2023'!EA39)</f>
        <v>1708.0899048477679</v>
      </c>
      <c r="Z30" s="2935">
        <f>SUM('ФАКТ.СЕБЕСТ.СТОКИ за 1 пол.2023'!EB39)</f>
        <v>1708.0899048477679</v>
      </c>
      <c r="AA30" s="2935">
        <f>SUM('ФАКТ.СЕБЕСТ.СТОКИ за 1 пол.2023'!EC39)</f>
        <v>0</v>
      </c>
      <c r="AB30" s="2935">
        <f>SUM('ФАКТ.СЕБЕСТ.СТОКИ за 1 пол.2023'!FN39)</f>
        <v>569.36330161592264</v>
      </c>
      <c r="AC30" s="2935">
        <f>SUM('ФАКТ.СЕБЕСТ.СТОКИ за 1 пол.2023'!FO39)</f>
        <v>569.36330161592264</v>
      </c>
      <c r="AD30" s="2935">
        <f>SUM('ФАКТ.СЕБЕСТ.СТОКИ за 1 пол.2023'!FP39)</f>
        <v>0</v>
      </c>
      <c r="AE30" s="2935">
        <f>SUM('ФАКТ.СЕБЕСТ.СТОКИ за 1 пол.2023'!FZ39)</f>
        <v>2277.4532064636905</v>
      </c>
      <c r="AF30" s="2935">
        <f>SUM('ФАКТ.СЕБЕСТ.СТОКИ за 1 пол.2023'!GA39)</f>
        <v>2277.4532064636905</v>
      </c>
      <c r="AG30" s="2937">
        <f>SUM('ФАКТ.СЕБЕСТ.СТОКИ за 1 пол.2023'!GB39)</f>
        <v>0</v>
      </c>
    </row>
    <row r="31" spans="1:33" ht="18.75" customHeight="1" x14ac:dyDescent="0.3">
      <c r="A31" s="2933" t="s">
        <v>4</v>
      </c>
      <c r="B31" s="2948"/>
      <c r="C31" s="2948"/>
      <c r="D31" s="2948"/>
      <c r="E31" s="2948"/>
      <c r="F31" s="2948"/>
      <c r="G31" s="2948"/>
      <c r="H31" s="2948"/>
      <c r="I31" s="2948"/>
      <c r="J31" s="2948"/>
      <c r="K31" s="2948"/>
      <c r="L31" s="2958" t="s">
        <v>899</v>
      </c>
      <c r="M31" s="2935">
        <f>SUM('ФАКТ.СЕБЕСТ.СТОКИ за 1 пол.2023'!AC40)</f>
        <v>12060.9797915618</v>
      </c>
      <c r="N31" s="2935">
        <f>SUM('ФАКТ.СЕБЕСТ.СТОКИ за 1 пол.2023'!AD40)</f>
        <v>12025.480218561799</v>
      </c>
      <c r="O31" s="2935">
        <f>SUM('ФАКТ.СЕБЕСТ.СТОКИ за 1 пол.2023'!AE40)</f>
        <v>35.499573000000005</v>
      </c>
      <c r="P31" s="2935">
        <f>SUM('ФАКТ.СЕБЕСТ.СТОКИ за 1 пол.2023'!BP40)</f>
        <v>12060.9797915618</v>
      </c>
      <c r="Q31" s="2935">
        <f>SUM('ФАКТ.СЕБЕСТ.СТОКИ за 1 пол.2023'!BQ40)</f>
        <v>12025.480218561799</v>
      </c>
      <c r="R31" s="2935">
        <f>SUM('ФАКТ.СЕБЕСТ.СТОКИ за 1 пол.2023'!BR40)</f>
        <v>35.499573000000005</v>
      </c>
      <c r="S31" s="2935">
        <f>SUM('ФАКТ.СЕБЕСТ.СТОКИ за 1 пол.2023'!CB40)</f>
        <v>24121.9595831236</v>
      </c>
      <c r="T31" s="2935">
        <f>SUM('ФАКТ.СЕБЕСТ.СТОКИ за 1 пол.2023'!CC40)</f>
        <v>24050.960437123598</v>
      </c>
      <c r="U31" s="2935">
        <f>SUM('ФАКТ.СЕБЕСТ.СТОКИ за 1 пол.2023'!CD40)</f>
        <v>70.99914600000001</v>
      </c>
      <c r="V31" s="2935">
        <f>SUM('ФАКТ.СЕБЕСТ.СТОКИ за 1 пол.2023'!DO40)</f>
        <v>12060.9797915618</v>
      </c>
      <c r="W31" s="2935">
        <f>SUM('ФАКТ.СЕБЕСТ.СТОКИ за 1 пол.2023'!DP40)</f>
        <v>12025.480218561799</v>
      </c>
      <c r="X31" s="2935">
        <f>SUM('ФАКТ.СЕБЕСТ.СТОКИ за 1 пол.2023'!DQ40)</f>
        <v>35.499573000000005</v>
      </c>
      <c r="Y31" s="2935">
        <f>SUM('ФАКТ.СЕБЕСТ.СТОКИ за 1 пол.2023'!EA40)</f>
        <v>36182.939374685404</v>
      </c>
      <c r="Z31" s="2935">
        <f>SUM('ФАКТ.СЕБЕСТ.СТОКИ за 1 пол.2023'!EB40)</f>
        <v>36076.440655685394</v>
      </c>
      <c r="AA31" s="2935">
        <f>SUM('ФАКТ.СЕБЕСТ.СТОКИ за 1 пол.2023'!EC40)</f>
        <v>106.49871900000002</v>
      </c>
      <c r="AB31" s="2935">
        <f>SUM('ФАКТ.СЕБЕСТ.СТОКИ за 1 пол.2023'!FN40)</f>
        <v>12060.9797915618</v>
      </c>
      <c r="AC31" s="2935">
        <f>SUM('ФАКТ.СЕБЕСТ.СТОКИ за 1 пол.2023'!FO40)</f>
        <v>12025.480218561799</v>
      </c>
      <c r="AD31" s="2935">
        <f>SUM('ФАКТ.СЕБЕСТ.СТОКИ за 1 пол.2023'!FP40)</f>
        <v>35.499573000000005</v>
      </c>
      <c r="AE31" s="2935">
        <f>SUM('ФАКТ.СЕБЕСТ.СТОКИ за 1 пол.2023'!FZ40)</f>
        <v>48243.9191662472</v>
      </c>
      <c r="AF31" s="2935">
        <f>SUM('ФАКТ.СЕБЕСТ.СТОКИ за 1 пол.2023'!GA40)</f>
        <v>48101.920874247196</v>
      </c>
      <c r="AG31" s="2937">
        <f>SUM('ФАКТ.СЕБЕСТ.СТОКИ за 1 пол.2023'!GB40)</f>
        <v>141.99829200000002</v>
      </c>
    </row>
    <row r="32" spans="1:33" ht="18.75" customHeight="1" x14ac:dyDescent="0.3">
      <c r="A32" s="2933" t="s">
        <v>113</v>
      </c>
      <c r="B32" s="2948"/>
      <c r="C32" s="2948"/>
      <c r="D32" s="2948"/>
      <c r="E32" s="2948"/>
      <c r="F32" s="2948"/>
      <c r="G32" s="2948"/>
      <c r="H32" s="2948"/>
      <c r="I32" s="2948"/>
      <c r="J32" s="2948"/>
      <c r="K32" s="2948"/>
      <c r="L32" s="2958" t="s">
        <v>899</v>
      </c>
      <c r="M32" s="2935">
        <f>SUM('ФАКТ.СЕБЕСТ.СТОКИ за 1 пол.2023'!AC41)</f>
        <v>3649.4181059029215</v>
      </c>
      <c r="N32" s="2935">
        <f>SUM('ФАКТ.СЕБЕСТ.СТОКИ за 1 пол.2023'!AD41)</f>
        <v>3638.695473281562</v>
      </c>
      <c r="O32" s="2935">
        <f>SUM('ФАКТ.СЕБЕСТ.СТОКИ за 1 пол.2023'!AE41)</f>
        <v>10.722632621359224</v>
      </c>
      <c r="P32" s="2935">
        <f>SUM('ФАКТ.СЕБЕСТ.СТОКИ за 1 пол.2023'!BP41)</f>
        <v>3649.4181059029215</v>
      </c>
      <c r="Q32" s="2935">
        <f>SUM('ФАКТ.СЕБЕСТ.СТОКИ за 1 пол.2023'!BQ41)</f>
        <v>3638.695473281562</v>
      </c>
      <c r="R32" s="2935">
        <f>SUM('ФАКТ.СЕБЕСТ.СТОКИ за 1 пол.2023'!BR41)</f>
        <v>10.722632621359224</v>
      </c>
      <c r="S32" s="2935">
        <f>SUM('ФАКТ.СЕБЕСТ.СТОКИ за 1 пол.2023'!CB41)</f>
        <v>7298.836211805843</v>
      </c>
      <c r="T32" s="2935">
        <f>SUM('ФАКТ.СЕБЕСТ.СТОКИ за 1 пол.2023'!CC41)</f>
        <v>7277.3909465631241</v>
      </c>
      <c r="U32" s="2935">
        <f>SUM('ФАКТ.СЕБЕСТ.СТОКИ за 1 пол.2023'!CD41)</f>
        <v>21.445265242718449</v>
      </c>
      <c r="V32" s="2935">
        <f>SUM('ФАКТ.СЕБЕСТ.СТОКИ за 1 пол.2023'!DO41)</f>
        <v>3649.4181059029215</v>
      </c>
      <c r="W32" s="2935">
        <f>SUM('ФАКТ.СЕБЕСТ.СТОКИ за 1 пол.2023'!DP41)</f>
        <v>3638.695473281562</v>
      </c>
      <c r="X32" s="2935">
        <f>SUM('ФАКТ.СЕБЕСТ.СТОКИ за 1 пол.2023'!DQ41)</f>
        <v>10.722632621359224</v>
      </c>
      <c r="Y32" s="2935">
        <f>SUM('ФАКТ.СЕБЕСТ.СТОКИ за 1 пол.2023'!EA41)</f>
        <v>10948.254317708765</v>
      </c>
      <c r="Z32" s="2935">
        <f>SUM('ФАКТ.СЕБЕСТ.СТОКИ за 1 пол.2023'!EB41)</f>
        <v>10916.086419844687</v>
      </c>
      <c r="AA32" s="2935">
        <f>SUM('ФАКТ.СЕБЕСТ.СТОКИ за 1 пол.2023'!EC41)</f>
        <v>32.167897864077673</v>
      </c>
      <c r="AB32" s="2935">
        <f>SUM('ФАКТ.СЕБЕСТ.СТОКИ за 1 пол.2023'!FN41)</f>
        <v>3649.4181059029215</v>
      </c>
      <c r="AC32" s="2935">
        <f>SUM('ФАКТ.СЕБЕСТ.СТОКИ за 1 пол.2023'!FO41)</f>
        <v>3638.695473281562</v>
      </c>
      <c r="AD32" s="2935">
        <f>SUM('ФАКТ.СЕБЕСТ.СТОКИ за 1 пол.2023'!FP41)</f>
        <v>10.722632621359224</v>
      </c>
      <c r="AE32" s="2935">
        <f>SUM('ФАКТ.СЕБЕСТ.СТОКИ за 1 пол.2023'!FZ41)</f>
        <v>14597.672423611686</v>
      </c>
      <c r="AF32" s="2935">
        <f>SUM('ФАКТ.СЕБЕСТ.СТОКИ за 1 пол.2023'!GA41)</f>
        <v>14554.781893126248</v>
      </c>
      <c r="AG32" s="2937">
        <f>SUM('ФАКТ.СЕБЕСТ.СТОКИ за 1 пол.2023'!GB41)</f>
        <v>42.890530485436898</v>
      </c>
    </row>
    <row r="33" spans="1:33" ht="18.75" customHeight="1" x14ac:dyDescent="0.3">
      <c r="A33" s="2938" t="s">
        <v>308</v>
      </c>
      <c r="B33" s="2948"/>
      <c r="C33" s="2948"/>
      <c r="D33" s="2948"/>
      <c r="E33" s="2948"/>
      <c r="F33" s="2948"/>
      <c r="G33" s="2948"/>
      <c r="H33" s="2948"/>
      <c r="I33" s="2948"/>
      <c r="J33" s="2948"/>
      <c r="K33" s="2948"/>
      <c r="L33" s="2958" t="s">
        <v>44</v>
      </c>
      <c r="M33" s="2959">
        <f>SUM('ФАКТ.СЕБЕСТ.СТОКИ за 1 пол.2023'!AC42)</f>
        <v>0.30258056716554294</v>
      </c>
      <c r="N33" s="2959">
        <f>SUM('ФАКТ.СЕБЕСТ.СТОКИ за 1 пол.2023'!AD42)</f>
        <v>0.30258213453006999</v>
      </c>
      <c r="O33" s="2959">
        <f>SUM('ФАКТ.СЕБЕСТ.СТОКИ за 1 пол.2023'!AE42)</f>
        <v>0.30204962243797195</v>
      </c>
      <c r="P33" s="2959">
        <f>SUM('ФАКТ.СЕБЕСТ.СТОКИ за 1 пол.2023'!BP42)</f>
        <v>0.30258056716554294</v>
      </c>
      <c r="Q33" s="2959">
        <f>SUM('ФАКТ.СЕБЕСТ.СТОКИ за 1 пол.2023'!BQ42)</f>
        <v>0.30258213453006999</v>
      </c>
      <c r="R33" s="2959">
        <f>SUM('ФАКТ.СЕБЕСТ.СТОКИ за 1 пол.2023'!BR42)</f>
        <v>0.30204962243797195</v>
      </c>
      <c r="S33" s="2959">
        <f>SUM('ФАКТ.СЕБЕСТ.СТОКИ за 1 пол.2023'!CB42)</f>
        <v>0.30258056716554294</v>
      </c>
      <c r="T33" s="2959">
        <f>SUM('ФАКТ.СЕБЕСТ.СТОКИ за 1 пол.2023'!CC42)</f>
        <v>0.30258213453006999</v>
      </c>
      <c r="U33" s="2959">
        <f>SUM('ФАКТ.СЕБЕСТ.СТОКИ за 1 пол.2023'!CD42)</f>
        <v>0.30204962243797195</v>
      </c>
      <c r="V33" s="2959">
        <f>SUM('ФАКТ.СЕБЕСТ.СТОКИ за 1 пол.2023'!DO42)</f>
        <v>0.30258056716554294</v>
      </c>
      <c r="W33" s="2959">
        <f>SUM('ФАКТ.СЕБЕСТ.СТОКИ за 1 пол.2023'!DP42)</f>
        <v>0.30258213453006999</v>
      </c>
      <c r="X33" s="2959">
        <f>SUM('ФАКТ.СЕБЕСТ.СТОКИ за 1 пол.2023'!DQ42)</f>
        <v>0.30204962243797195</v>
      </c>
      <c r="Y33" s="2959">
        <f>SUM('ФАКТ.СЕБЕСТ.СТОКИ за 1 пол.2023'!EA42)</f>
        <v>0.30258056716554294</v>
      </c>
      <c r="Z33" s="2959">
        <f>SUM('ФАКТ.СЕБЕСТ.СТОКИ за 1 пол.2023'!EB42)</f>
        <v>0.30258213453007005</v>
      </c>
      <c r="AA33" s="2959">
        <f>SUM('ФАКТ.СЕБЕСТ.СТОКИ за 1 пол.2023'!EC42)</f>
        <v>0.3020496224379719</v>
      </c>
      <c r="AB33" s="2959">
        <f>SUM('ФАКТ.СЕБЕСТ.СТОКИ за 1 пол.2023'!FN42)</f>
        <v>0.30258056716554294</v>
      </c>
      <c r="AC33" s="2959">
        <f>SUM('ФАКТ.СЕБЕСТ.СТОКИ за 1 пол.2023'!FO42)</f>
        <v>0.30258213453006999</v>
      </c>
      <c r="AD33" s="2959">
        <f>SUM('ФАКТ.СЕБЕСТ.СТОКИ за 1 пол.2023'!FP42)</f>
        <v>0.30204962243797195</v>
      </c>
      <c r="AE33" s="2959">
        <f>SUM('ФАКТ.СЕБЕСТ.СТОКИ за 1 пол.2023'!FZ42)</f>
        <v>0.30258056716554294</v>
      </c>
      <c r="AF33" s="2959">
        <f>SUM('ФАКТ.СЕБЕСТ.СТОКИ за 1 пол.2023'!GA42)</f>
        <v>0.30258213453006999</v>
      </c>
      <c r="AG33" s="2960">
        <f>SUM('ФАКТ.СЕБЕСТ.СТОКИ за 1 пол.2023'!GB42)</f>
        <v>0.30204962243797195</v>
      </c>
    </row>
    <row r="34" spans="1:33" ht="18.75" customHeight="1" x14ac:dyDescent="0.3">
      <c r="A34" s="2945" t="s">
        <v>3718</v>
      </c>
      <c r="B34" s="2948"/>
      <c r="C34" s="2948"/>
      <c r="D34" s="2948"/>
      <c r="E34" s="2948"/>
      <c r="F34" s="2948"/>
      <c r="G34" s="2948"/>
      <c r="H34" s="2948"/>
      <c r="I34" s="2948"/>
      <c r="J34" s="2948"/>
      <c r="K34" s="2948"/>
      <c r="L34" s="2958" t="s">
        <v>899</v>
      </c>
      <c r="M34" s="2935">
        <f>SUM('ФАКТ.СЕБЕСТ.СТОКИ за 1 пол.2023'!AC43)</f>
        <v>6152.0768028484317</v>
      </c>
      <c r="N34" s="2935">
        <f>SUM('ФАКТ.СЕБЕСТ.СТОКИ за 1 пол.2023'!AD43)</f>
        <v>6152.0768028484317</v>
      </c>
      <c r="O34" s="2935">
        <f>SUM('ФАКТ.СЕБЕСТ.СТОКИ за 1 пол.2023'!AE43)</f>
        <v>0</v>
      </c>
      <c r="P34" s="2935">
        <f>SUM('ФАКТ.СЕБЕСТ.СТОКИ за 1 пол.2023'!BP43)</f>
        <v>6152.0768028484317</v>
      </c>
      <c r="Q34" s="2935">
        <f>SUM('ФАКТ.СЕБЕСТ.СТОКИ за 1 пол.2023'!BQ43)</f>
        <v>6152.0768028484317</v>
      </c>
      <c r="R34" s="2935">
        <f>SUM('ФАКТ.СЕБЕСТ.СТОКИ за 1 пол.2023'!BR43)</f>
        <v>0</v>
      </c>
      <c r="S34" s="2935">
        <f>SUM('ФАКТ.СЕБЕСТ.СТОКИ за 1 пол.2023'!CB43)</f>
        <v>12304.153605696863</v>
      </c>
      <c r="T34" s="2935">
        <f>SUM('ФАКТ.СЕБЕСТ.СТОКИ за 1 пол.2023'!CC43)</f>
        <v>12304.153605696863</v>
      </c>
      <c r="U34" s="2935">
        <f>SUM('ФАКТ.СЕБЕСТ.СТОКИ за 1 пол.2023'!CD43)</f>
        <v>0</v>
      </c>
      <c r="V34" s="2935">
        <f>SUM('ФАКТ.СЕБЕСТ.СТОКИ за 1 пол.2023'!DO43)</f>
        <v>6152.0768028484317</v>
      </c>
      <c r="W34" s="2935">
        <f>SUM('ФАКТ.СЕБЕСТ.СТОКИ за 1 пол.2023'!DP43)</f>
        <v>6152.0768028484317</v>
      </c>
      <c r="X34" s="2935">
        <f>SUM('ФАКТ.СЕБЕСТ.СТОКИ за 1 пол.2023'!DQ43)</f>
        <v>0</v>
      </c>
      <c r="Y34" s="2935">
        <f>SUM('ФАКТ.СЕБЕСТ.СТОКИ за 1 пол.2023'!EA43)</f>
        <v>18456.230408545296</v>
      </c>
      <c r="Z34" s="2935">
        <f>SUM('ФАКТ.СЕБЕСТ.СТОКИ за 1 пол.2023'!EB43)</f>
        <v>18456.230408545296</v>
      </c>
      <c r="AA34" s="2935">
        <f>SUM('ФАКТ.СЕБЕСТ.СТОКИ за 1 пол.2023'!EC43)</f>
        <v>0</v>
      </c>
      <c r="AB34" s="2935">
        <f>SUM('ФАКТ.СЕБЕСТ.СТОКИ за 1 пол.2023'!FN43)</f>
        <v>6152.0768028484317</v>
      </c>
      <c r="AC34" s="2935">
        <f>SUM('ФАКТ.СЕБЕСТ.СТОКИ за 1 пол.2023'!FO43)</f>
        <v>6152.0768028484317</v>
      </c>
      <c r="AD34" s="2935">
        <f>SUM('ФАКТ.СЕБЕСТ.СТОКИ за 1 пол.2023'!FP43)</f>
        <v>0</v>
      </c>
      <c r="AE34" s="2935">
        <f>SUM('ФАКТ.СЕБЕСТ.СТОКИ за 1 пол.2023'!FZ43)</f>
        <v>24608.307211393727</v>
      </c>
      <c r="AF34" s="2935">
        <f>SUM('ФАКТ.СЕБЕСТ.СТОКИ за 1 пол.2023'!GA43)</f>
        <v>24608.307211393727</v>
      </c>
      <c r="AG34" s="2937">
        <f>SUM('ФАКТ.СЕБЕСТ.СТОКИ за 1 пол.2023'!GB43)</f>
        <v>0</v>
      </c>
    </row>
    <row r="35" spans="1:33" ht="18.75" customHeight="1" x14ac:dyDescent="0.3">
      <c r="A35" s="2946" t="s">
        <v>3719</v>
      </c>
      <c r="B35" s="2961"/>
      <c r="C35" s="2961"/>
      <c r="D35" s="2961"/>
      <c r="E35" s="2961"/>
      <c r="F35" s="2961"/>
      <c r="G35" s="2961"/>
      <c r="H35" s="2961"/>
      <c r="I35" s="2961"/>
      <c r="J35" s="2961"/>
      <c r="K35" s="2961"/>
      <c r="L35" s="2958" t="s">
        <v>899</v>
      </c>
      <c r="M35" s="2942">
        <f>SUM('ФАКТ.СЕБЕСТ.СТОКИ за 1 пол.2023'!AC44)</f>
        <v>2402.8131296850306</v>
      </c>
      <c r="N35" s="2942">
        <f>SUM('ФАКТ.СЕБЕСТ.СТОКИ за 1 пол.2023'!AD44)</f>
        <v>2402.8131296850306</v>
      </c>
      <c r="O35" s="2942">
        <f>SUM('ФАКТ.СЕБЕСТ.СТОКИ за 1 пол.2023'!AE44)</f>
        <v>0</v>
      </c>
      <c r="P35" s="2942">
        <f>SUM('ФАКТ.СЕБЕСТ.СТОКИ за 1 пол.2023'!BP44)</f>
        <v>2402.8131296850306</v>
      </c>
      <c r="Q35" s="2942">
        <f>SUM('ФАКТ.СЕБЕСТ.СТОКИ за 1 пол.2023'!BQ44)</f>
        <v>2402.8131296850306</v>
      </c>
      <c r="R35" s="2942">
        <f>SUM('ФАКТ.СЕБЕСТ.СТОКИ за 1 пол.2023'!BR44)</f>
        <v>0</v>
      </c>
      <c r="S35" s="2942">
        <f>SUM('ФАКТ.СЕБЕСТ.СТОКИ за 1 пол.2023'!CB44)</f>
        <v>4805.6262593700612</v>
      </c>
      <c r="T35" s="2942">
        <f>SUM('ФАКТ.СЕБЕСТ.СТОКИ за 1 пол.2023'!CC44)</f>
        <v>4805.6262593700612</v>
      </c>
      <c r="U35" s="2942">
        <f>SUM('ФАКТ.СЕБЕСТ.СТОКИ за 1 пол.2023'!CD44)</f>
        <v>0</v>
      </c>
      <c r="V35" s="2942">
        <f>SUM('ФАКТ.СЕБЕСТ.СТОКИ за 1 пол.2023'!DO44)</f>
        <v>2402.8131296850306</v>
      </c>
      <c r="W35" s="2942">
        <f>SUM('ФАКТ.СЕБЕСТ.СТОКИ за 1 пол.2023'!DP44)</f>
        <v>2402.8131296850306</v>
      </c>
      <c r="X35" s="2942">
        <f>SUM('ФАКТ.СЕБЕСТ.СТОКИ за 1 пол.2023'!DQ44)</f>
        <v>0</v>
      </c>
      <c r="Y35" s="2942">
        <f>SUM('ФАКТ.СЕБЕСТ.СТОКИ за 1 пол.2023'!EA44)</f>
        <v>7208.4393890550919</v>
      </c>
      <c r="Z35" s="2942">
        <f>SUM('ФАКТ.СЕБЕСТ.СТОКИ за 1 пол.2023'!EB44)</f>
        <v>7208.4393890550919</v>
      </c>
      <c r="AA35" s="2942">
        <f>SUM('ФАКТ.СЕБЕСТ.СТОКИ за 1 пол.2023'!EC44)</f>
        <v>0</v>
      </c>
      <c r="AB35" s="2942">
        <f>SUM('ФАКТ.СЕБЕСТ.СТОКИ за 1 пол.2023'!FN44)</f>
        <v>2402.8131296850306</v>
      </c>
      <c r="AC35" s="2942">
        <f>SUM('ФАКТ.СЕБЕСТ.СТОКИ за 1 пол.2023'!FO44)</f>
        <v>2402.8131296850306</v>
      </c>
      <c r="AD35" s="2942">
        <f>SUM('ФАКТ.СЕБЕСТ.СТОКИ за 1 пол.2023'!FP44)</f>
        <v>0</v>
      </c>
      <c r="AE35" s="2942">
        <f>SUM('ФАКТ.СЕБЕСТ.СТОКИ за 1 пол.2023'!FZ44)</f>
        <v>9611.2525187401225</v>
      </c>
      <c r="AF35" s="2942">
        <f>SUM('ФАКТ.СЕБЕСТ.СТОКИ за 1 пол.2023'!GA44)</f>
        <v>9611.2525187401225</v>
      </c>
      <c r="AG35" s="2944">
        <f>SUM('ФАКТ.СЕБЕСТ.СТОКИ за 1 пол.2023'!GB44)</f>
        <v>0</v>
      </c>
    </row>
    <row r="36" spans="1:33" ht="18.75" customHeight="1" x14ac:dyDescent="0.3">
      <c r="A36" s="2946" t="s">
        <v>3720</v>
      </c>
      <c r="B36" s="2961"/>
      <c r="C36" s="2961"/>
      <c r="D36" s="2961"/>
      <c r="E36" s="2961"/>
      <c r="F36" s="2961"/>
      <c r="G36" s="2961"/>
      <c r="H36" s="2961"/>
      <c r="I36" s="2961"/>
      <c r="J36" s="2961"/>
      <c r="K36" s="2961"/>
      <c r="L36" s="2958" t="s">
        <v>899</v>
      </c>
      <c r="M36" s="2942">
        <f>SUM('ФАКТ.СЕБЕСТ.СТОКИ за 1 пол.2023'!AC45)</f>
        <v>722.77993391340135</v>
      </c>
      <c r="N36" s="2942">
        <f>SUM('ФАКТ.СЕБЕСТ.СТОКИ за 1 пол.2023'!AD45)</f>
        <v>722.77993391340135</v>
      </c>
      <c r="O36" s="2942">
        <f>SUM('ФАКТ.СЕБЕСТ.СТОКИ за 1 пол.2023'!AE45)</f>
        <v>0</v>
      </c>
      <c r="P36" s="2942">
        <f>SUM('ФАКТ.СЕБЕСТ.СТОКИ за 1 пол.2023'!BP45)</f>
        <v>722.77993391340135</v>
      </c>
      <c r="Q36" s="2942">
        <f>SUM('ФАКТ.СЕБЕСТ.СТОКИ за 1 пол.2023'!BQ45)</f>
        <v>722.77993391340135</v>
      </c>
      <c r="R36" s="2942">
        <f>SUM('ФАКТ.СЕБЕСТ.СТОКИ за 1 пол.2023'!BR45)</f>
        <v>0</v>
      </c>
      <c r="S36" s="2942">
        <f>SUM('ФАКТ.СЕБЕСТ.СТОКИ за 1 пол.2023'!CB45)</f>
        <v>1445.5598678268027</v>
      </c>
      <c r="T36" s="2942">
        <f>SUM('ФАКТ.СЕБЕСТ.СТОКИ за 1 пол.2023'!CC45)</f>
        <v>1445.5598678268027</v>
      </c>
      <c r="U36" s="2942">
        <f>SUM('ФАКТ.СЕБЕСТ.СТОКИ за 1 пол.2023'!CD45)</f>
        <v>0</v>
      </c>
      <c r="V36" s="2942">
        <f>SUM('ФАКТ.СЕБЕСТ.СТОКИ за 1 пол.2023'!DO45)</f>
        <v>722.77993391340135</v>
      </c>
      <c r="W36" s="2942">
        <f>SUM('ФАКТ.СЕБЕСТ.СТОКИ за 1 пол.2023'!DP45)</f>
        <v>722.77993391340135</v>
      </c>
      <c r="X36" s="2942">
        <f>SUM('ФАКТ.СЕБЕСТ.СТОКИ за 1 пол.2023'!DQ45)</f>
        <v>0</v>
      </c>
      <c r="Y36" s="2942">
        <f>SUM('ФАКТ.СЕБЕСТ.СТОКИ за 1 пол.2023'!EA45)</f>
        <v>2168.3398017402042</v>
      </c>
      <c r="Z36" s="2942">
        <f>SUM('ФАКТ.СЕБЕСТ.СТОКИ за 1 пол.2023'!EB45)</f>
        <v>2168.3398017402042</v>
      </c>
      <c r="AA36" s="2942">
        <f>SUM('ФАКТ.СЕБЕСТ.СТОКИ за 1 пол.2023'!EC45)</f>
        <v>0</v>
      </c>
      <c r="AB36" s="2942">
        <f>SUM('ФАКТ.СЕБЕСТ.СТОКИ за 1 пол.2023'!FN45)</f>
        <v>722.77993391340135</v>
      </c>
      <c r="AC36" s="2942">
        <f>SUM('ФАКТ.СЕБЕСТ.СТОКИ за 1 пол.2023'!FO45)</f>
        <v>722.77993391340135</v>
      </c>
      <c r="AD36" s="2942">
        <f>SUM('ФАКТ.СЕБЕСТ.СТОКИ за 1 пол.2023'!FP45)</f>
        <v>0</v>
      </c>
      <c r="AE36" s="2942">
        <f>SUM('ФАКТ.СЕБЕСТ.СТОКИ за 1 пол.2023'!FZ45)</f>
        <v>2891.1197356536054</v>
      </c>
      <c r="AF36" s="2942">
        <f>SUM('ФАКТ.СЕБЕСТ.СТОКИ за 1 пол.2023'!GA45)</f>
        <v>2891.1197356536054</v>
      </c>
      <c r="AG36" s="2944">
        <f>SUM('ФАКТ.СЕБЕСТ.СТОКИ за 1 пол.2023'!GB45)</f>
        <v>0</v>
      </c>
    </row>
    <row r="37" spans="1:33" ht="18.75" customHeight="1" x14ac:dyDescent="0.3">
      <c r="A37" s="2946" t="s">
        <v>31</v>
      </c>
      <c r="B37" s="2961"/>
      <c r="C37" s="2961"/>
      <c r="D37" s="2961"/>
      <c r="E37" s="2961"/>
      <c r="F37" s="2961"/>
      <c r="G37" s="2961"/>
      <c r="H37" s="2961"/>
      <c r="I37" s="2961"/>
      <c r="J37" s="2961"/>
      <c r="K37" s="2961"/>
      <c r="L37" s="2958" t="s">
        <v>899</v>
      </c>
      <c r="M37" s="2942">
        <f>SUM('ФАКТ.СЕБЕСТ.СТОКИ за 1 пол.2023'!AC46)</f>
        <v>538.77949999999998</v>
      </c>
      <c r="N37" s="2942">
        <f>SUM('ФАКТ.СЕБЕСТ.СТОКИ за 1 пол.2023'!AD46)</f>
        <v>538.77949999999998</v>
      </c>
      <c r="O37" s="2942">
        <f>SUM('ФАКТ.СЕБЕСТ.СТОКИ за 1 пол.2023'!AE46)</f>
        <v>0</v>
      </c>
      <c r="P37" s="2942">
        <f>SUM('ФАКТ.СЕБЕСТ.СТОКИ за 1 пол.2023'!BP46)</f>
        <v>538.77949999999998</v>
      </c>
      <c r="Q37" s="2942">
        <f>SUM('ФАКТ.СЕБЕСТ.СТОКИ за 1 пол.2023'!BQ46)</f>
        <v>538.77949999999998</v>
      </c>
      <c r="R37" s="2942">
        <f>SUM('ФАКТ.СЕБЕСТ.СТОКИ за 1 пол.2023'!BR46)</f>
        <v>0</v>
      </c>
      <c r="S37" s="2942">
        <f>SUM('ФАКТ.СЕБЕСТ.СТОКИ за 1 пол.2023'!CB46)</f>
        <v>1077.559</v>
      </c>
      <c r="T37" s="2942">
        <f>SUM('ФАКТ.СЕБЕСТ.СТОКИ за 1 пол.2023'!CC46)</f>
        <v>1077.559</v>
      </c>
      <c r="U37" s="2942">
        <f>SUM('ФАКТ.СЕБЕСТ.СТОКИ за 1 пол.2023'!CD46)</f>
        <v>0</v>
      </c>
      <c r="V37" s="2942">
        <f>SUM('ФАКТ.СЕБЕСТ.СТОКИ за 1 пол.2023'!DO46)</f>
        <v>538.77949999999998</v>
      </c>
      <c r="W37" s="2942">
        <f>SUM('ФАКТ.СЕБЕСТ.СТОКИ за 1 пол.2023'!DP46)</f>
        <v>538.77949999999998</v>
      </c>
      <c r="X37" s="2942">
        <f>SUM('ФАКТ.СЕБЕСТ.СТОКИ за 1 пол.2023'!DQ46)</f>
        <v>0</v>
      </c>
      <c r="Y37" s="2942">
        <f>SUM('ФАКТ.СЕБЕСТ.СТОКИ за 1 пол.2023'!EA46)</f>
        <v>1616.3384999999998</v>
      </c>
      <c r="Z37" s="2942">
        <f>SUM('ФАКТ.СЕБЕСТ.СТОКИ за 1 пол.2023'!EB46)</f>
        <v>1616.3384999999998</v>
      </c>
      <c r="AA37" s="2942">
        <f>SUM('ФАКТ.СЕБЕСТ.СТОКИ за 1 пол.2023'!EC46)</f>
        <v>0</v>
      </c>
      <c r="AB37" s="2942">
        <f>SUM('ФАКТ.СЕБЕСТ.СТОКИ за 1 пол.2023'!FN46)</f>
        <v>538.77949999999998</v>
      </c>
      <c r="AC37" s="2942">
        <f>SUM('ФАКТ.СЕБЕСТ.СТОКИ за 1 пол.2023'!FO46)</f>
        <v>538.77949999999998</v>
      </c>
      <c r="AD37" s="2942">
        <f>SUM('ФАКТ.СЕБЕСТ.СТОКИ за 1 пол.2023'!FP46)</f>
        <v>0</v>
      </c>
      <c r="AE37" s="2942">
        <f>SUM('ФАКТ.СЕБЕСТ.СТОКИ за 1 пол.2023'!FZ46)</f>
        <v>2155.1179999999999</v>
      </c>
      <c r="AF37" s="2942">
        <f>SUM('ФАКТ.СЕБЕСТ.СТОКИ за 1 пол.2023'!GA46)</f>
        <v>2155.1179999999999</v>
      </c>
      <c r="AG37" s="2944">
        <f>SUM('ФАКТ.СЕБЕСТ.СТОКИ за 1 пол.2023'!GB46)</f>
        <v>0</v>
      </c>
    </row>
    <row r="38" spans="1:33" ht="18.75" customHeight="1" x14ac:dyDescent="0.3">
      <c r="A38" s="2946" t="s">
        <v>287</v>
      </c>
      <c r="B38" s="2961"/>
      <c r="C38" s="2961"/>
      <c r="D38" s="2961"/>
      <c r="E38" s="2961"/>
      <c r="F38" s="2961"/>
      <c r="G38" s="2961"/>
      <c r="H38" s="2961"/>
      <c r="I38" s="2961"/>
      <c r="J38" s="2961"/>
      <c r="K38" s="2961"/>
      <c r="L38" s="2958" t="s">
        <v>899</v>
      </c>
      <c r="M38" s="2942">
        <f>SUM('ФАКТ.СЕБЕСТ.СТОКИ за 1 пол.2023'!AC47)</f>
        <v>2487.7042392499998</v>
      </c>
      <c r="N38" s="2942">
        <f>SUM('ФАКТ.СЕБЕСТ.СТОКИ за 1 пол.2023'!AD47)</f>
        <v>2487.7042392499998</v>
      </c>
      <c r="O38" s="2942">
        <f>SUM('ФАКТ.СЕБЕСТ.СТОКИ за 1 пол.2023'!AE47)</f>
        <v>0</v>
      </c>
      <c r="P38" s="2942">
        <f>SUM('ФАКТ.СЕБЕСТ.СТОКИ за 1 пол.2023'!BP47)</f>
        <v>2487.7042392499998</v>
      </c>
      <c r="Q38" s="2942">
        <f>SUM('ФАКТ.СЕБЕСТ.СТОКИ за 1 пол.2023'!BQ47)</f>
        <v>2487.7042392499998</v>
      </c>
      <c r="R38" s="2942">
        <f>SUM('ФАКТ.СЕБЕСТ.СТОКИ за 1 пол.2023'!BR47)</f>
        <v>0</v>
      </c>
      <c r="S38" s="2942">
        <f>SUM('ФАКТ.СЕБЕСТ.СТОКИ за 1 пол.2023'!CB47)</f>
        <v>4975.4084784999995</v>
      </c>
      <c r="T38" s="2942">
        <f>SUM('ФАКТ.СЕБЕСТ.СТОКИ за 1 пол.2023'!CC47)</f>
        <v>4975.4084784999995</v>
      </c>
      <c r="U38" s="2942">
        <f>SUM('ФАКТ.СЕБЕСТ.СТОКИ за 1 пол.2023'!CD47)</f>
        <v>0</v>
      </c>
      <c r="V38" s="2942">
        <f>SUM('ФАКТ.СЕБЕСТ.СТОКИ за 1 пол.2023'!DO47)</f>
        <v>2487.7042392499998</v>
      </c>
      <c r="W38" s="2942">
        <f>SUM('ФАКТ.СЕБЕСТ.СТОКИ за 1 пол.2023'!DP47)</f>
        <v>2487.7042392499998</v>
      </c>
      <c r="X38" s="2942">
        <f>SUM('ФАКТ.СЕБЕСТ.СТОКИ за 1 пол.2023'!DQ47)</f>
        <v>0</v>
      </c>
      <c r="Y38" s="2942">
        <f>SUM('ФАКТ.СЕБЕСТ.СТОКИ за 1 пол.2023'!EA47)</f>
        <v>7463.1127177499993</v>
      </c>
      <c r="Z38" s="2942">
        <f>SUM('ФАКТ.СЕБЕСТ.СТОКИ за 1 пол.2023'!EB47)</f>
        <v>7463.1127177499993</v>
      </c>
      <c r="AA38" s="2942">
        <f>SUM('ФАКТ.СЕБЕСТ.СТОКИ за 1 пол.2023'!EC47)</f>
        <v>0</v>
      </c>
      <c r="AB38" s="2942">
        <f>SUM('ФАКТ.СЕБЕСТ.СТОКИ за 1 пол.2023'!FN47)</f>
        <v>2487.7042392499998</v>
      </c>
      <c r="AC38" s="2942">
        <f>SUM('ФАКТ.СЕБЕСТ.СТОКИ за 1 пол.2023'!FO47)</f>
        <v>2487.7042392499998</v>
      </c>
      <c r="AD38" s="2942">
        <f>SUM('ФАКТ.СЕБЕСТ.СТОКИ за 1 пол.2023'!FP47)</f>
        <v>0</v>
      </c>
      <c r="AE38" s="2942">
        <f>SUM('ФАКТ.СЕБЕСТ.СТОКИ за 1 пол.2023'!FZ47)</f>
        <v>9950.8169569999991</v>
      </c>
      <c r="AF38" s="2942">
        <f>SUM('ФАКТ.СЕБЕСТ.СТОКИ за 1 пол.2023'!GA47)</f>
        <v>9950.8169569999991</v>
      </c>
      <c r="AG38" s="2944">
        <f>SUM('ФАКТ.СЕБЕСТ.СТОКИ за 1 пол.2023'!GB47)</f>
        <v>0</v>
      </c>
    </row>
    <row r="39" spans="1:33" ht="18.75" customHeight="1" x14ac:dyDescent="0.3">
      <c r="A39" s="2945" t="s">
        <v>3703</v>
      </c>
      <c r="B39" s="2962"/>
      <c r="C39" s="2962"/>
      <c r="D39" s="2962"/>
      <c r="E39" s="2962"/>
      <c r="F39" s="2962"/>
      <c r="G39" s="2962"/>
      <c r="H39" s="2962"/>
      <c r="I39" s="2962"/>
      <c r="J39" s="2962"/>
      <c r="K39" s="2962"/>
      <c r="L39" s="2958" t="s">
        <v>899</v>
      </c>
      <c r="M39" s="2935">
        <f>SUM('ФАКТ.СЕБЕСТ.СТОКИ за 1 пол.2023'!AC48)</f>
        <v>814.10092500000007</v>
      </c>
      <c r="N39" s="2935">
        <f>SUM('ФАКТ.СЕБЕСТ.СТОКИ за 1 пол.2023'!AD48)</f>
        <v>814.10092500000007</v>
      </c>
      <c r="O39" s="2935">
        <f>SUM('ФАКТ.СЕБЕСТ.СТОКИ за 1 пол.2023'!AE48)</f>
        <v>0</v>
      </c>
      <c r="P39" s="2935">
        <f>SUM('ФАКТ.СЕБЕСТ.СТОКИ за 1 пол.2023'!BP48)</f>
        <v>814.10092500000007</v>
      </c>
      <c r="Q39" s="2935">
        <f>SUM('ФАКТ.СЕБЕСТ.СТОКИ за 1 пол.2023'!BQ48)</f>
        <v>814.10092500000007</v>
      </c>
      <c r="R39" s="2935">
        <f>SUM('ФАКТ.СЕБЕСТ.СТОКИ за 1 пол.2023'!BR48)</f>
        <v>0</v>
      </c>
      <c r="S39" s="2935">
        <f>SUM('ФАКТ.СЕБЕСТ.СТОКИ за 1 пол.2023'!CB48)</f>
        <v>1628.2018500000001</v>
      </c>
      <c r="T39" s="2935">
        <f>SUM('ФАКТ.СЕБЕСТ.СТОКИ за 1 пол.2023'!CC48)</f>
        <v>1628.2018500000001</v>
      </c>
      <c r="U39" s="2935">
        <f>SUM('ФАКТ.СЕБЕСТ.СТОКИ за 1 пол.2023'!CD48)</f>
        <v>0</v>
      </c>
      <c r="V39" s="2935">
        <f>SUM('ФАКТ.СЕБЕСТ.СТОКИ за 1 пол.2023'!DO48)</f>
        <v>814.10092500000007</v>
      </c>
      <c r="W39" s="2935">
        <f>SUM('ФАКТ.СЕБЕСТ.СТОКИ за 1 пол.2023'!DP48)</f>
        <v>814.10092500000007</v>
      </c>
      <c r="X39" s="2935">
        <f>SUM('ФАКТ.СЕБЕСТ.СТОКИ за 1 пол.2023'!DQ48)</f>
        <v>0</v>
      </c>
      <c r="Y39" s="2935">
        <f>SUM('ФАКТ.СЕБЕСТ.СТОКИ за 1 пол.2023'!EA48)</f>
        <v>2442.3027750000001</v>
      </c>
      <c r="Z39" s="2935">
        <f>SUM('ФАКТ.СЕБЕСТ.СТОКИ за 1 пол.2023'!EB48)</f>
        <v>2442.3027750000001</v>
      </c>
      <c r="AA39" s="2935">
        <f>SUM('ФАКТ.СЕБЕСТ.СТОКИ за 1 пол.2023'!EC48)</f>
        <v>0</v>
      </c>
      <c r="AB39" s="2935">
        <f>SUM('ФАКТ.СЕБЕСТ.СТОКИ за 1 пол.2023'!FN48)</f>
        <v>814.10092500000007</v>
      </c>
      <c r="AC39" s="2935">
        <f>SUM('ФАКТ.СЕБЕСТ.СТОКИ за 1 пол.2023'!FO48)</f>
        <v>814.10092500000007</v>
      </c>
      <c r="AD39" s="2935">
        <f>SUM('ФАКТ.СЕБЕСТ.СТОКИ за 1 пол.2023'!FP48)</f>
        <v>0</v>
      </c>
      <c r="AE39" s="2935">
        <f>SUM('ФАКТ.СЕБЕСТ.СТОКИ за 1 пол.2023'!FZ48)</f>
        <v>3256.4037000000003</v>
      </c>
      <c r="AF39" s="2935">
        <f>SUM('ФАКТ.СЕБЕСТ.СТОКИ за 1 пол.2023'!GA48)</f>
        <v>3256.4037000000003</v>
      </c>
      <c r="AG39" s="2937">
        <f>SUM('ФАКТ.СЕБЕСТ.СТОКИ за 1 пол.2023'!GB48)</f>
        <v>0</v>
      </c>
    </row>
    <row r="40" spans="1:33" ht="18.75" customHeight="1" x14ac:dyDescent="0.3">
      <c r="A40" s="2938" t="s">
        <v>3787</v>
      </c>
      <c r="B40" s="2962"/>
      <c r="C40" s="2962"/>
      <c r="D40" s="2962"/>
      <c r="E40" s="2962"/>
      <c r="F40" s="2962"/>
      <c r="G40" s="2962"/>
      <c r="H40" s="2962"/>
      <c r="I40" s="2962"/>
      <c r="J40" s="2962"/>
      <c r="K40" s="2962"/>
      <c r="L40" s="2958" t="s">
        <v>899</v>
      </c>
      <c r="M40" s="2942">
        <f>SUM('ФАКТ.СЕБЕСТ.СТОКИ за 1 пол.2023'!AC49)</f>
        <v>278.033525</v>
      </c>
      <c r="N40" s="2942">
        <f>SUM('ФАКТ.СЕБЕСТ.СТОКИ за 1 пол.2023'!AD49)</f>
        <v>278.033525</v>
      </c>
      <c r="O40" s="2942">
        <f>SUM('ФАКТ.СЕБЕСТ.СТОКИ за 1 пол.2023'!AE49)</f>
        <v>0</v>
      </c>
      <c r="P40" s="2942">
        <f>SUM('ФАКТ.СЕБЕСТ.СТОКИ за 1 пол.2023'!BP49)</f>
        <v>278.033525</v>
      </c>
      <c r="Q40" s="2942">
        <f>SUM('ФАКТ.СЕБЕСТ.СТОКИ за 1 пол.2023'!BQ49)</f>
        <v>278.033525</v>
      </c>
      <c r="R40" s="2942">
        <f>SUM('ФАКТ.СЕБЕСТ.СТОКИ за 1 пол.2023'!BR49)</f>
        <v>0</v>
      </c>
      <c r="S40" s="2942">
        <f>SUM('ФАКТ.СЕБЕСТ.СТОКИ за 1 пол.2023'!CB49)</f>
        <v>556.06704999999999</v>
      </c>
      <c r="T40" s="2942">
        <f>SUM('ФАКТ.СЕБЕСТ.СТОКИ за 1 пол.2023'!CC49)</f>
        <v>556.06704999999999</v>
      </c>
      <c r="U40" s="2942">
        <f>SUM('ФАКТ.СЕБЕСТ.СТОКИ за 1 пол.2023'!CD49)</f>
        <v>0</v>
      </c>
      <c r="V40" s="2942">
        <f>SUM('ФАКТ.СЕБЕСТ.СТОКИ за 1 пол.2023'!DO49)</f>
        <v>278.033525</v>
      </c>
      <c r="W40" s="2942">
        <f>SUM('ФАКТ.СЕБЕСТ.СТОКИ за 1 пол.2023'!DP49)</f>
        <v>278.033525</v>
      </c>
      <c r="X40" s="2942">
        <f>SUM('ФАКТ.СЕБЕСТ.СТОКИ за 1 пол.2023'!DQ49)</f>
        <v>0</v>
      </c>
      <c r="Y40" s="2942">
        <f>SUM('ФАКТ.СЕБЕСТ.СТОКИ за 1 пол.2023'!EA49)</f>
        <v>834.10057499999994</v>
      </c>
      <c r="Z40" s="2942">
        <f>SUM('ФАКТ.СЕБЕСТ.СТОКИ за 1 пол.2023'!EB49)</f>
        <v>834.10057499999994</v>
      </c>
      <c r="AA40" s="2942">
        <f>SUM('ФАКТ.СЕБЕСТ.СТОКИ за 1 пол.2023'!EC49)</f>
        <v>0</v>
      </c>
      <c r="AB40" s="2942">
        <f>SUM('ФАКТ.СЕБЕСТ.СТОКИ за 1 пол.2023'!FN49)</f>
        <v>278.033525</v>
      </c>
      <c r="AC40" s="2942">
        <f>SUM('ФАКТ.СЕБЕСТ.СТОКИ за 1 пол.2023'!FO49)</f>
        <v>278.033525</v>
      </c>
      <c r="AD40" s="2942">
        <f>SUM('ФАКТ.СЕБЕСТ.СТОКИ за 1 пол.2023'!FP49)</f>
        <v>0</v>
      </c>
      <c r="AE40" s="2942">
        <f>SUM('ФАКТ.СЕБЕСТ.СТОКИ за 1 пол.2023'!FZ49)</f>
        <v>1112.1341</v>
      </c>
      <c r="AF40" s="2942">
        <f>SUM('ФАКТ.СЕБЕСТ.СТОКИ за 1 пол.2023'!GA49)</f>
        <v>1112.1341</v>
      </c>
      <c r="AG40" s="2944">
        <f>SUM('ФАКТ.СЕБЕСТ.СТОКИ за 1 пол.2023'!GB49)</f>
        <v>0</v>
      </c>
    </row>
    <row r="41" spans="1:33" ht="18.75" customHeight="1" x14ac:dyDescent="0.3">
      <c r="A41" s="2938" t="s">
        <v>522</v>
      </c>
      <c r="B41" s="2962"/>
      <c r="C41" s="2962"/>
      <c r="D41" s="2962"/>
      <c r="E41" s="2962"/>
      <c r="F41" s="2962"/>
      <c r="G41" s="2962"/>
      <c r="H41" s="2962"/>
      <c r="I41" s="2962"/>
      <c r="J41" s="2962"/>
      <c r="K41" s="2962"/>
      <c r="L41" s="2958" t="s">
        <v>899</v>
      </c>
      <c r="M41" s="2942">
        <f>SUM('ФАКТ.СЕБЕСТ.СТОКИ за 1 пол.2023'!AC50)</f>
        <v>14.487500000000001</v>
      </c>
      <c r="N41" s="2942">
        <f>SUM('ФАКТ.СЕБЕСТ.СТОКИ за 1 пол.2023'!AD50)</f>
        <v>14.487500000000001</v>
      </c>
      <c r="O41" s="2942">
        <f>SUM('ФАКТ.СЕБЕСТ.СТОКИ за 1 пол.2023'!AE50)</f>
        <v>0</v>
      </c>
      <c r="P41" s="2942">
        <f>SUM('ФАКТ.СЕБЕСТ.СТОКИ за 1 пол.2023'!BP50)</f>
        <v>14.487500000000001</v>
      </c>
      <c r="Q41" s="2942">
        <f>SUM('ФАКТ.СЕБЕСТ.СТОКИ за 1 пол.2023'!BQ50)</f>
        <v>14.487500000000001</v>
      </c>
      <c r="R41" s="2942">
        <f>SUM('ФАКТ.СЕБЕСТ.СТОКИ за 1 пол.2023'!BR50)</f>
        <v>0</v>
      </c>
      <c r="S41" s="2942">
        <f>SUM('ФАКТ.СЕБЕСТ.СТОКИ за 1 пол.2023'!CB50)</f>
        <v>28.975000000000001</v>
      </c>
      <c r="T41" s="2942">
        <f>SUM('ФАКТ.СЕБЕСТ.СТОКИ за 1 пол.2023'!CC50)</f>
        <v>28.975000000000001</v>
      </c>
      <c r="U41" s="2942">
        <f>SUM('ФАКТ.СЕБЕСТ.СТОКИ за 1 пол.2023'!CD50)</f>
        <v>0</v>
      </c>
      <c r="V41" s="2942">
        <f>SUM('ФАКТ.СЕБЕСТ.СТОКИ за 1 пол.2023'!DO50)</f>
        <v>14.487500000000001</v>
      </c>
      <c r="W41" s="2942">
        <f>SUM('ФАКТ.СЕБЕСТ.СТОКИ за 1 пол.2023'!DP50)</f>
        <v>14.487500000000001</v>
      </c>
      <c r="X41" s="2942">
        <f>SUM('ФАКТ.СЕБЕСТ.СТОКИ за 1 пол.2023'!DQ50)</f>
        <v>0</v>
      </c>
      <c r="Y41" s="2942">
        <f>SUM('ФАКТ.СЕБЕСТ.СТОКИ за 1 пол.2023'!EA50)</f>
        <v>43.462500000000006</v>
      </c>
      <c r="Z41" s="2942">
        <f>SUM('ФАКТ.СЕБЕСТ.СТОКИ за 1 пол.2023'!EB50)</f>
        <v>43.462500000000006</v>
      </c>
      <c r="AA41" s="2942">
        <f>SUM('ФАКТ.СЕБЕСТ.СТОКИ за 1 пол.2023'!EC50)</f>
        <v>0</v>
      </c>
      <c r="AB41" s="2942">
        <f>SUM('ФАКТ.СЕБЕСТ.СТОКИ за 1 пол.2023'!FN50)</f>
        <v>14.487500000000001</v>
      </c>
      <c r="AC41" s="2942">
        <f>SUM('ФАКТ.СЕБЕСТ.СТОКИ за 1 пол.2023'!FO50)</f>
        <v>14.487500000000001</v>
      </c>
      <c r="AD41" s="2942">
        <f>SUM('ФАКТ.СЕБЕСТ.СТОКИ за 1 пол.2023'!FP50)</f>
        <v>0</v>
      </c>
      <c r="AE41" s="2942">
        <f>SUM('ФАКТ.СЕБЕСТ.СТОКИ за 1 пол.2023'!FZ50)</f>
        <v>57.95</v>
      </c>
      <c r="AF41" s="2942">
        <f>SUM('ФАКТ.СЕБЕСТ.СТОКИ за 1 пол.2023'!GA50)</f>
        <v>57.95</v>
      </c>
      <c r="AG41" s="2944">
        <f>SUM('ФАКТ.СЕБЕСТ.СТОКИ за 1 пол.2023'!GB50)</f>
        <v>0</v>
      </c>
    </row>
    <row r="42" spans="1:33" ht="18.75" customHeight="1" x14ac:dyDescent="0.3">
      <c r="A42" s="2938" t="s">
        <v>524</v>
      </c>
      <c r="B42" s="2962"/>
      <c r="C42" s="2962"/>
      <c r="D42" s="2962"/>
      <c r="E42" s="2962"/>
      <c r="F42" s="2962"/>
      <c r="G42" s="2962"/>
      <c r="H42" s="2962"/>
      <c r="I42" s="2962"/>
      <c r="J42" s="2962"/>
      <c r="K42" s="2962"/>
      <c r="L42" s="2958" t="s">
        <v>899</v>
      </c>
      <c r="M42" s="2942">
        <f>SUM('ФАКТ.СЕБЕСТ.СТОКИ за 1 пол.2023'!AC51)</f>
        <v>521.57990000000007</v>
      </c>
      <c r="N42" s="2942">
        <f>SUM('ФАКТ.СЕБЕСТ.СТОКИ за 1 пол.2023'!AD51)</f>
        <v>521.57990000000007</v>
      </c>
      <c r="O42" s="2942">
        <f>SUM('ФАКТ.СЕБЕСТ.СТОКИ за 1 пол.2023'!AE51)</f>
        <v>0</v>
      </c>
      <c r="P42" s="2942">
        <f>SUM('ФАКТ.СЕБЕСТ.СТОКИ за 1 пол.2023'!BP51)</f>
        <v>521.57990000000007</v>
      </c>
      <c r="Q42" s="2942">
        <f>SUM('ФАКТ.СЕБЕСТ.СТОКИ за 1 пол.2023'!BQ51)</f>
        <v>521.57990000000007</v>
      </c>
      <c r="R42" s="2942">
        <f>SUM('ФАКТ.СЕБЕСТ.СТОКИ за 1 пол.2023'!BR51)</f>
        <v>0</v>
      </c>
      <c r="S42" s="2942">
        <f>SUM('ФАКТ.СЕБЕСТ.СТОКИ за 1 пол.2023'!CB51)</f>
        <v>1043.1598000000001</v>
      </c>
      <c r="T42" s="2942">
        <f>SUM('ФАКТ.СЕБЕСТ.СТОКИ за 1 пол.2023'!CC51)</f>
        <v>1043.1598000000001</v>
      </c>
      <c r="U42" s="2942">
        <f>SUM('ФАКТ.СЕБЕСТ.СТОКИ за 1 пол.2023'!CD51)</f>
        <v>0</v>
      </c>
      <c r="V42" s="2942">
        <f>SUM('ФАКТ.СЕБЕСТ.СТОКИ за 1 пол.2023'!DO51)</f>
        <v>521.57990000000007</v>
      </c>
      <c r="W42" s="2942">
        <f>SUM('ФАКТ.СЕБЕСТ.СТОКИ за 1 пол.2023'!DP51)</f>
        <v>521.57990000000007</v>
      </c>
      <c r="X42" s="2942">
        <f>SUM('ФАКТ.СЕБЕСТ.СТОКИ за 1 пол.2023'!DQ51)</f>
        <v>0</v>
      </c>
      <c r="Y42" s="2942">
        <f>SUM('ФАКТ.СЕБЕСТ.СТОКИ за 1 пол.2023'!EA51)</f>
        <v>1564.7397000000001</v>
      </c>
      <c r="Z42" s="2942">
        <f>SUM('ФАКТ.СЕБЕСТ.СТОКИ за 1 пол.2023'!EB51)</f>
        <v>1564.7397000000001</v>
      </c>
      <c r="AA42" s="2942">
        <f>SUM('ФАКТ.СЕБЕСТ.СТОКИ за 1 пол.2023'!EC51)</f>
        <v>0</v>
      </c>
      <c r="AB42" s="2942">
        <f>SUM('ФАКТ.СЕБЕСТ.СТОКИ за 1 пол.2023'!FN51)</f>
        <v>521.57990000000007</v>
      </c>
      <c r="AC42" s="2942">
        <f>SUM('ФАКТ.СЕБЕСТ.СТОКИ за 1 пол.2023'!FO51)</f>
        <v>521.57990000000007</v>
      </c>
      <c r="AD42" s="2942">
        <f>SUM('ФАКТ.СЕБЕСТ.СТОКИ за 1 пол.2023'!FP51)</f>
        <v>0</v>
      </c>
      <c r="AE42" s="2942">
        <f>SUM('ФАКТ.СЕБЕСТ.СТОКИ за 1 пол.2023'!FZ51)</f>
        <v>2086.3196000000003</v>
      </c>
      <c r="AF42" s="2942">
        <f>SUM('ФАКТ.СЕБЕСТ.СТОКИ за 1 пол.2023'!GA51)</f>
        <v>2086.3196000000003</v>
      </c>
      <c r="AG42" s="2944">
        <f>SUM('ФАКТ.СЕБЕСТ.СТОКИ за 1 пол.2023'!GB51)</f>
        <v>0</v>
      </c>
    </row>
    <row r="43" spans="1:33" ht="18.75" customHeight="1" x14ac:dyDescent="0.3">
      <c r="A43" s="2945" t="s">
        <v>3721</v>
      </c>
      <c r="B43" s="2948"/>
      <c r="C43" s="2948"/>
      <c r="D43" s="2948"/>
      <c r="E43" s="2948"/>
      <c r="F43" s="2948"/>
      <c r="G43" s="2948"/>
      <c r="H43" s="2948"/>
      <c r="I43" s="2948"/>
      <c r="J43" s="2948"/>
      <c r="K43" s="2948"/>
      <c r="L43" s="2958" t="s">
        <v>899</v>
      </c>
      <c r="M43" s="2935">
        <f>SUM('ФАКТ.СЕБЕСТ.СТОКИ за 1 пол.2023'!AC52)</f>
        <v>3100.8452169399848</v>
      </c>
      <c r="N43" s="2935">
        <f>SUM('ФАКТ.СЕБЕСТ.СТОКИ за 1 пол.2023'!AD52)</f>
        <v>3078.8982169399851</v>
      </c>
      <c r="O43" s="2935">
        <f>SUM('ФАКТ.СЕБЕСТ.СТОКИ за 1 пол.2023'!AE52)</f>
        <v>21.947000000000003</v>
      </c>
      <c r="P43" s="2935">
        <f>SUM('ФАКТ.СЕБЕСТ.СТОКИ за 1 пол.2023'!BP52)</f>
        <v>3100.8452169399848</v>
      </c>
      <c r="Q43" s="2935">
        <f>SUM('ФАКТ.СЕБЕСТ.СТОКИ за 1 пол.2023'!BQ52)</f>
        <v>3078.8982169399851</v>
      </c>
      <c r="R43" s="2935">
        <f>SUM('ФАКТ.СЕБЕСТ.СТОКИ за 1 пол.2023'!BR52)</f>
        <v>21.947000000000003</v>
      </c>
      <c r="S43" s="2935">
        <f>SUM('ФАКТ.СЕБЕСТ.СТОКИ за 1 пол.2023'!CB52)</f>
        <v>6201.6904338799695</v>
      </c>
      <c r="T43" s="2935">
        <f>SUM('ФАКТ.СЕБЕСТ.СТОКИ за 1 пол.2023'!CC52)</f>
        <v>6157.7964338799702</v>
      </c>
      <c r="U43" s="2935">
        <f>SUM('ФАКТ.СЕБЕСТ.СТОКИ за 1 пол.2023'!CD52)</f>
        <v>43.894000000000005</v>
      </c>
      <c r="V43" s="2935">
        <f>SUM('ФАКТ.СЕБЕСТ.СТОКИ за 1 пол.2023'!DO52)</f>
        <v>3100.8452169399848</v>
      </c>
      <c r="W43" s="2935">
        <f>SUM('ФАКТ.СЕБЕСТ.СТОКИ за 1 пол.2023'!DP52)</f>
        <v>3078.8982169399851</v>
      </c>
      <c r="X43" s="2935">
        <f>SUM('ФАКТ.СЕБЕСТ.СТОКИ за 1 пол.2023'!DQ52)</f>
        <v>21.947000000000003</v>
      </c>
      <c r="Y43" s="2935">
        <f>SUM('ФАКТ.СЕБЕСТ.СТОКИ за 1 пол.2023'!EA52)</f>
        <v>9302.5356508199548</v>
      </c>
      <c r="Z43" s="2935">
        <f>SUM('ФАКТ.СЕБЕСТ.СТОКИ за 1 пол.2023'!EB52)</f>
        <v>9236.6946508199544</v>
      </c>
      <c r="AA43" s="2935">
        <f>SUM('ФАКТ.СЕБЕСТ.СТОКИ за 1 пол.2023'!EC52)</f>
        <v>65.841000000000008</v>
      </c>
      <c r="AB43" s="2935">
        <f>SUM('ФАКТ.СЕБЕСТ.СТОКИ за 1 пол.2023'!FN52)</f>
        <v>3100.8452169399848</v>
      </c>
      <c r="AC43" s="2935">
        <f>SUM('ФАКТ.СЕБЕСТ.СТОКИ за 1 пол.2023'!FO52)</f>
        <v>3078.8982169399851</v>
      </c>
      <c r="AD43" s="2935">
        <f>SUM('ФАКТ.СЕБЕСТ.СТОКИ за 1 пол.2023'!FP52)</f>
        <v>21.947000000000003</v>
      </c>
      <c r="AE43" s="2935">
        <f>SUM('ФАКТ.СЕБЕСТ.СТОКИ за 1 пол.2023'!FZ52)</f>
        <v>12403.380867759939</v>
      </c>
      <c r="AF43" s="2935">
        <f>SUM('ФАКТ.СЕБЕСТ.СТОКИ за 1 пол.2023'!GA52)</f>
        <v>12315.59286775994</v>
      </c>
      <c r="AG43" s="2937">
        <f>SUM('ФАКТ.СЕБЕСТ.СТОКИ за 1 пол.2023'!GB52)</f>
        <v>87.788000000000011</v>
      </c>
    </row>
    <row r="44" spans="1:33" ht="18.75" customHeight="1" x14ac:dyDescent="0.3">
      <c r="A44" s="2949" t="s">
        <v>3707</v>
      </c>
      <c r="B44" s="2961"/>
      <c r="C44" s="2961"/>
      <c r="D44" s="2961"/>
      <c r="E44" s="2961"/>
      <c r="F44" s="2961"/>
      <c r="G44" s="2961"/>
      <c r="H44" s="2961"/>
      <c r="I44" s="2961"/>
      <c r="J44" s="2961"/>
      <c r="K44" s="2961"/>
      <c r="L44" s="2958" t="s">
        <v>899</v>
      </c>
      <c r="M44" s="2942">
        <f>SUM('ФАКТ.СЕБЕСТ.СТОКИ за 1 пол.2023'!AC53)</f>
        <v>1994.5342433185415</v>
      </c>
      <c r="N44" s="2942">
        <f>SUM('ФАКТ.СЕБЕСТ.СТОКИ за 1 пол.2023'!AD53)</f>
        <v>1988.5374933185417</v>
      </c>
      <c r="O44" s="2942">
        <f>SUM('ФАКТ.СЕБЕСТ.СТОКИ за 1 пол.2023'!AE53)</f>
        <v>5.9967499999999996</v>
      </c>
      <c r="P44" s="2942">
        <f>SUM('ФАКТ.СЕБЕСТ.СТОКИ за 1 пол.2023'!BP53)</f>
        <v>1994.5342433185415</v>
      </c>
      <c r="Q44" s="2942">
        <f>SUM('ФАКТ.СЕБЕСТ.СТОКИ за 1 пол.2023'!BQ53)</f>
        <v>1988.5374933185417</v>
      </c>
      <c r="R44" s="2942">
        <f>SUM('ФАКТ.СЕБЕСТ.СТОКИ за 1 пол.2023'!BR53)</f>
        <v>5.9967499999999996</v>
      </c>
      <c r="S44" s="2942">
        <f>SUM('ФАКТ.СЕБЕСТ.СТОКИ за 1 пол.2023'!CB53)</f>
        <v>3989.068486637083</v>
      </c>
      <c r="T44" s="2942">
        <f>SUM('ФАКТ.СЕБЕСТ.СТОКИ за 1 пол.2023'!CC53)</f>
        <v>3977.0749866370834</v>
      </c>
      <c r="U44" s="2942">
        <f>SUM('ФАКТ.СЕБЕСТ.СТОКИ за 1 пол.2023'!CD53)</f>
        <v>11.993499999999999</v>
      </c>
      <c r="V44" s="2942">
        <f>SUM('ФАКТ.СЕБЕСТ.СТОКИ за 1 пол.2023'!DO53)</f>
        <v>1994.5342433185415</v>
      </c>
      <c r="W44" s="2942">
        <f>SUM('ФАКТ.СЕБЕСТ.СТОКИ за 1 пол.2023'!DP53)</f>
        <v>1988.5374933185417</v>
      </c>
      <c r="X44" s="2942">
        <f>SUM('ФАКТ.СЕБЕСТ.СТОКИ за 1 пол.2023'!DQ53)</f>
        <v>5.9967499999999996</v>
      </c>
      <c r="Y44" s="2942">
        <f>SUM('ФАКТ.СЕБЕСТ.СТОКИ за 1 пол.2023'!EA53)</f>
        <v>5983.6027299556245</v>
      </c>
      <c r="Z44" s="2942">
        <f>SUM('ФАКТ.СЕБЕСТ.СТОКИ за 1 пол.2023'!EB53)</f>
        <v>5965.6124799556255</v>
      </c>
      <c r="AA44" s="2942">
        <f>SUM('ФАКТ.СЕБЕСТ.СТОКИ за 1 пол.2023'!EC53)</f>
        <v>17.99025</v>
      </c>
      <c r="AB44" s="2942">
        <f>SUM('ФАКТ.СЕБЕСТ.СТОКИ за 1 пол.2023'!FN53)</f>
        <v>1994.5342433185415</v>
      </c>
      <c r="AC44" s="2942">
        <f>SUM('ФАКТ.СЕБЕСТ.СТОКИ за 1 пол.2023'!FO53)</f>
        <v>1988.5374933185417</v>
      </c>
      <c r="AD44" s="2942">
        <f>SUM('ФАКТ.СЕБЕСТ.СТОКИ за 1 пол.2023'!FP53)</f>
        <v>5.9967499999999996</v>
      </c>
      <c r="AE44" s="2942">
        <f>SUM('ФАКТ.СЕБЕСТ.СТОКИ за 1 пол.2023'!FZ53)</f>
        <v>7978.1369732741659</v>
      </c>
      <c r="AF44" s="2942">
        <f>SUM('ФАКТ.СЕБЕСТ.СТОКИ за 1 пол.2023'!GA53)</f>
        <v>7954.1499732741668</v>
      </c>
      <c r="AG44" s="2944">
        <f>SUM('ФАКТ.СЕБЕСТ.СТОКИ за 1 пол.2023'!GB53)</f>
        <v>23.986999999999998</v>
      </c>
    </row>
    <row r="45" spans="1:33" ht="18.75" customHeight="1" x14ac:dyDescent="0.3">
      <c r="A45" s="2949" t="s">
        <v>3708</v>
      </c>
      <c r="B45" s="2961"/>
      <c r="C45" s="2961"/>
      <c r="D45" s="2961"/>
      <c r="E45" s="2961"/>
      <c r="F45" s="2961"/>
      <c r="G45" s="2961"/>
      <c r="H45" s="2961"/>
      <c r="I45" s="2961"/>
      <c r="J45" s="2961"/>
      <c r="K45" s="2961"/>
      <c r="L45" s="2958" t="s">
        <v>899</v>
      </c>
      <c r="M45" s="2942">
        <f>SUM('ФАКТ.СЕБЕСТ.СТОКИ за 1 пол.2023'!AC54)</f>
        <v>598.36027299556247</v>
      </c>
      <c r="N45" s="2942">
        <f>SUM('ФАКТ.СЕБЕСТ.СТОКИ за 1 пол.2023'!AD54)</f>
        <v>596.56127299556249</v>
      </c>
      <c r="O45" s="2942">
        <f>SUM('ФАКТ.СЕБЕСТ.СТОКИ за 1 пол.2023'!AE54)</f>
        <v>1.7989999999999999</v>
      </c>
      <c r="P45" s="2942">
        <f>SUM('ФАКТ.СЕБЕСТ.СТОКИ за 1 пол.2023'!BP54)</f>
        <v>598.36027299556247</v>
      </c>
      <c r="Q45" s="2942">
        <f>SUM('ФАКТ.СЕБЕСТ.СТОКИ за 1 пол.2023'!BQ54)</f>
        <v>596.56127299556249</v>
      </c>
      <c r="R45" s="2942">
        <f>SUM('ФАКТ.СЕБЕСТ.СТОКИ за 1 пол.2023'!BR54)</f>
        <v>1.7989999999999999</v>
      </c>
      <c r="S45" s="2942">
        <f>SUM('ФАКТ.СЕБЕСТ.СТОКИ за 1 пол.2023'!CB54)</f>
        <v>1196.7205459911249</v>
      </c>
      <c r="T45" s="2942">
        <f>SUM('ФАКТ.СЕБЕСТ.СТОКИ за 1 пол.2023'!CC54)</f>
        <v>1193.122545991125</v>
      </c>
      <c r="U45" s="2942">
        <f>SUM('ФАКТ.СЕБЕСТ.СТОКИ за 1 пол.2023'!CD54)</f>
        <v>3.5979999999999999</v>
      </c>
      <c r="V45" s="2942">
        <f>SUM('ФАКТ.СЕБЕСТ.СТОКИ за 1 пол.2023'!DO54)</f>
        <v>598.36027299556247</v>
      </c>
      <c r="W45" s="2942">
        <f>SUM('ФАКТ.СЕБЕСТ.СТОКИ за 1 пол.2023'!DP54)</f>
        <v>596.56127299556249</v>
      </c>
      <c r="X45" s="2942">
        <f>SUM('ФАКТ.СЕБЕСТ.СТОКИ за 1 пол.2023'!DQ54)</f>
        <v>1.7989999999999999</v>
      </c>
      <c r="Y45" s="2942">
        <f>SUM('ФАКТ.СЕБЕСТ.СТОКИ за 1 пол.2023'!EA54)</f>
        <v>1795.0808189866875</v>
      </c>
      <c r="Z45" s="2942">
        <f>SUM('ФАКТ.СЕБЕСТ.СТОКИ за 1 пол.2023'!EB54)</f>
        <v>1789.6838189866876</v>
      </c>
      <c r="AA45" s="2942">
        <f>SUM('ФАКТ.СЕБЕСТ.СТОКИ за 1 пол.2023'!EC54)</f>
        <v>5.3970000000000002</v>
      </c>
      <c r="AB45" s="2942">
        <f>SUM('ФАКТ.СЕБЕСТ.СТОКИ за 1 пол.2023'!FN54)</f>
        <v>598.36027299556247</v>
      </c>
      <c r="AC45" s="2942">
        <f>SUM('ФАКТ.СЕБЕСТ.СТОКИ за 1 пол.2023'!FO54)</f>
        <v>596.56127299556249</v>
      </c>
      <c r="AD45" s="2942">
        <f>SUM('ФАКТ.СЕБЕСТ.СТОКИ за 1 пол.2023'!FP54)</f>
        <v>1.7989999999999999</v>
      </c>
      <c r="AE45" s="2942">
        <f>SUM('ФАКТ.СЕБЕСТ.СТОКИ за 1 пол.2023'!FZ54)</f>
        <v>2393.4410919822499</v>
      </c>
      <c r="AF45" s="2942">
        <f>SUM('ФАКТ.СЕБЕСТ.СТОКИ за 1 пол.2023'!GA54)</f>
        <v>2386.24509198225</v>
      </c>
      <c r="AG45" s="2944">
        <f>SUM('ФАКТ.СЕБЕСТ.СТОКИ за 1 пол.2023'!GB54)</f>
        <v>7.1959999999999997</v>
      </c>
    </row>
    <row r="46" spans="1:33" ht="18.75" customHeight="1" x14ac:dyDescent="0.3">
      <c r="A46" s="2949" t="s">
        <v>272</v>
      </c>
      <c r="B46" s="2961"/>
      <c r="C46" s="2961"/>
      <c r="D46" s="2961"/>
      <c r="E46" s="2961"/>
      <c r="F46" s="2961"/>
      <c r="G46" s="2961"/>
      <c r="H46" s="2961"/>
      <c r="I46" s="2961"/>
      <c r="J46" s="2961"/>
      <c r="K46" s="2961"/>
      <c r="L46" s="2958" t="s">
        <v>899</v>
      </c>
      <c r="M46" s="2942">
        <f>SUM('ФАКТ.СЕБЕСТ.СТОКИ за 1 пол.2023'!AC55)</f>
        <v>3.223227850611778</v>
      </c>
      <c r="N46" s="2942">
        <f>SUM('ФАКТ.СЕБЕСТ.СТОКИ за 1 пол.2023'!AD55)</f>
        <v>3.1699778506117786</v>
      </c>
      <c r="O46" s="2942">
        <f>SUM('ФАКТ.СЕБЕСТ.СТОКИ за 1 пол.2023'!AE55)</f>
        <v>5.3249999999999992E-2</v>
      </c>
      <c r="P46" s="2942">
        <f>SUM('ФАКТ.СЕБЕСТ.СТОКИ за 1 пол.2023'!BP55)</f>
        <v>3.223227850611778</v>
      </c>
      <c r="Q46" s="2942">
        <f>SUM('ФАКТ.СЕБЕСТ.СТОКИ за 1 пол.2023'!BQ55)</f>
        <v>3.1699778506117786</v>
      </c>
      <c r="R46" s="2942">
        <f>SUM('ФАКТ.СЕБЕСТ.СТОКИ за 1 пол.2023'!BR55)</f>
        <v>5.3249999999999992E-2</v>
      </c>
      <c r="S46" s="2942">
        <f>SUM('ФАКТ.СЕБЕСТ.СТОКИ за 1 пол.2023'!CB55)</f>
        <v>6.4464557012235559</v>
      </c>
      <c r="T46" s="2942">
        <f>SUM('ФАКТ.СЕБЕСТ.СТОКИ за 1 пол.2023'!CC55)</f>
        <v>6.3399557012235572</v>
      </c>
      <c r="U46" s="2942">
        <f>SUM('ФАКТ.СЕБЕСТ.СТОКИ за 1 пол.2023'!CD55)</f>
        <v>0.10649999999999998</v>
      </c>
      <c r="V46" s="2942">
        <f>SUM('ФАКТ.СЕБЕСТ.СТОКИ за 1 пол.2023'!DO55)</f>
        <v>0.01</v>
      </c>
      <c r="W46" s="2942">
        <f>SUM('ФАКТ.СЕБЕСТ.СТОКИ за 1 пол.2023'!DP55)</f>
        <v>3.1699778506117786</v>
      </c>
      <c r="X46" s="2942">
        <f>SUM('ФАКТ.СЕБЕСТ.СТОКИ за 1 пол.2023'!DQ55)</f>
        <v>5.3249999999999992E-2</v>
      </c>
      <c r="Y46" s="2942">
        <f>SUM('ФАКТ.СЕБЕСТ.СТОКИ за 1 пол.2023'!EA55)</f>
        <v>6.4564557012235557</v>
      </c>
      <c r="Z46" s="2942">
        <f>SUM('ФАКТ.СЕБЕСТ.СТОКИ за 1 пол.2023'!EB55)</f>
        <v>9.509933551835335</v>
      </c>
      <c r="AA46" s="2942">
        <f>SUM('ФАКТ.СЕБЕСТ.СТОКИ за 1 пол.2023'!EC55)</f>
        <v>0.15974999999999998</v>
      </c>
      <c r="AB46" s="2942">
        <f>SUM('ФАКТ.СЕБЕСТ.СТОКИ за 1 пол.2023'!FN55)</f>
        <v>3.223227850611778</v>
      </c>
      <c r="AC46" s="2942">
        <f>SUM('ФАКТ.СЕБЕСТ.СТОКИ за 1 пол.2023'!FO55)</f>
        <v>3.1699778506117786</v>
      </c>
      <c r="AD46" s="2942">
        <f>SUM('ФАКТ.СЕБЕСТ.СТОКИ за 1 пол.2023'!FP55)</f>
        <v>5.3249999999999992E-2</v>
      </c>
      <c r="AE46" s="2942">
        <f>SUM('ФАКТ.СЕБЕСТ.СТОКИ за 1 пол.2023'!FZ55)</f>
        <v>9.6796835518353337</v>
      </c>
      <c r="AF46" s="2942">
        <f>SUM('ФАКТ.СЕБЕСТ.СТОКИ за 1 пол.2023'!GA55)</f>
        <v>12.679911402447114</v>
      </c>
      <c r="AG46" s="2944">
        <f>SUM('ФАКТ.СЕБЕСТ.СТОКИ за 1 пол.2023'!GB55)</f>
        <v>0.21299999999999997</v>
      </c>
    </row>
    <row r="47" spans="1:33" ht="18.75" customHeight="1" x14ac:dyDescent="0.3">
      <c r="A47" s="2949" t="s">
        <v>1543</v>
      </c>
      <c r="B47" s="2961"/>
      <c r="C47" s="2961"/>
      <c r="D47" s="2961"/>
      <c r="E47" s="2961"/>
      <c r="F47" s="2961"/>
      <c r="G47" s="2961"/>
      <c r="H47" s="2961"/>
      <c r="I47" s="2961"/>
      <c r="J47" s="2961"/>
      <c r="K47" s="2961"/>
      <c r="L47" s="2958" t="s">
        <v>899</v>
      </c>
      <c r="M47" s="2942">
        <f>SUM('ФАКТ.СЕБЕСТ.СТОКИ за 1 пол.2023'!AC56)</f>
        <v>13.381774560723819</v>
      </c>
      <c r="N47" s="2942">
        <f>SUM('ФАКТ.СЕБЕСТ.СТОКИ за 1 пол.2023'!AD56)</f>
        <v>13.332274560723821</v>
      </c>
      <c r="O47" s="2942">
        <f>SUM('ФАКТ.СЕБЕСТ.СТОКИ за 1 пол.2023'!AE56)</f>
        <v>4.9500000000000002E-2</v>
      </c>
      <c r="P47" s="2942">
        <f>SUM('ФАКТ.СЕБЕСТ.СТОКИ за 1 пол.2023'!BP56)</f>
        <v>13.381774560723819</v>
      </c>
      <c r="Q47" s="2942">
        <f>SUM('ФАКТ.СЕБЕСТ.СТОКИ за 1 пол.2023'!BQ56)</f>
        <v>13.332274560723821</v>
      </c>
      <c r="R47" s="2942">
        <f>SUM('ФАКТ.СЕБЕСТ.СТОКИ за 1 пол.2023'!BR56)</f>
        <v>4.9500000000000002E-2</v>
      </c>
      <c r="S47" s="2942">
        <f>SUM('ФАКТ.СЕБЕСТ.СТОКИ за 1 пол.2023'!CB56)</f>
        <v>26.763549121447639</v>
      </c>
      <c r="T47" s="2942">
        <f>SUM('ФАКТ.СЕБЕСТ.СТОКИ за 1 пол.2023'!CC56)</f>
        <v>26.664549121447642</v>
      </c>
      <c r="U47" s="2942">
        <f>SUM('ФАКТ.СЕБЕСТ.СТОКИ за 1 пол.2023'!CD56)</f>
        <v>9.9000000000000005E-2</v>
      </c>
      <c r="V47" s="2942">
        <f>SUM('ФАКТ.СЕБЕСТ.СТОКИ за 1 пол.2023'!DO56)</f>
        <v>13.381774560723819</v>
      </c>
      <c r="W47" s="2942">
        <f>SUM('ФАКТ.СЕБЕСТ.СТОКИ за 1 пол.2023'!DP56)</f>
        <v>13.332274560723821</v>
      </c>
      <c r="X47" s="2942">
        <f>SUM('ФАКТ.СЕБЕСТ.СТОКИ за 1 пол.2023'!DQ56)</f>
        <v>4.9500000000000002E-2</v>
      </c>
      <c r="Y47" s="2942">
        <f>SUM('ФАКТ.СЕБЕСТ.СТОКИ за 1 пол.2023'!EA56)</f>
        <v>40.145323682171458</v>
      </c>
      <c r="Z47" s="2942">
        <f>SUM('ФАКТ.СЕБЕСТ.СТОКИ за 1 пол.2023'!EB56)</f>
        <v>39.996823682171467</v>
      </c>
      <c r="AA47" s="2942">
        <f>SUM('ФАКТ.СЕБЕСТ.СТОКИ за 1 пол.2023'!EC56)</f>
        <v>0.14850000000000002</v>
      </c>
      <c r="AB47" s="2942">
        <f>SUM('ФАКТ.СЕБЕСТ.СТОКИ за 1 пол.2023'!FN56)</f>
        <v>13.381774560723819</v>
      </c>
      <c r="AC47" s="2942">
        <f>SUM('ФАКТ.СЕБЕСТ.СТОКИ за 1 пол.2023'!FO56)</f>
        <v>13.332274560723821</v>
      </c>
      <c r="AD47" s="2942">
        <f>SUM('ФАКТ.СЕБЕСТ.СТОКИ за 1 пол.2023'!FP56)</f>
        <v>4.9500000000000002E-2</v>
      </c>
      <c r="AE47" s="2942">
        <f>SUM('ФАКТ.СЕБЕСТ.СТОКИ за 1 пол.2023'!FZ56)</f>
        <v>53.527098242895278</v>
      </c>
      <c r="AF47" s="2942">
        <f>SUM('ФАКТ.СЕБЕСТ.СТОКИ за 1 пол.2023'!GA56)</f>
        <v>53.329098242895284</v>
      </c>
      <c r="AG47" s="2944">
        <f>SUM('ФАКТ.СЕБЕСТ.СТОКИ за 1 пол.2023'!GB56)</f>
        <v>0.19800000000000001</v>
      </c>
    </row>
    <row r="48" spans="1:33" ht="18.75" customHeight="1" x14ac:dyDescent="0.3">
      <c r="A48" s="2949" t="s">
        <v>273</v>
      </c>
      <c r="B48" s="2961"/>
      <c r="C48" s="2961"/>
      <c r="D48" s="2961"/>
      <c r="E48" s="2961"/>
      <c r="F48" s="2961"/>
      <c r="G48" s="2961"/>
      <c r="H48" s="2961"/>
      <c r="I48" s="2961"/>
      <c r="J48" s="2961"/>
      <c r="K48" s="2961"/>
      <c r="L48" s="2958" t="s">
        <v>899</v>
      </c>
      <c r="M48" s="2942">
        <f>SUM('ФАКТ.СЕБЕСТ.СТОКИ за 1 пол.2023'!AC57)</f>
        <v>15.807406487149116</v>
      </c>
      <c r="N48" s="2942">
        <f>SUM('ФАКТ.СЕБЕСТ.СТОКИ за 1 пол.2023'!AD57)</f>
        <v>15.765156487149117</v>
      </c>
      <c r="O48" s="2942">
        <f>SUM('ФАКТ.СЕБЕСТ.СТОКИ за 1 пол.2023'!AE57)</f>
        <v>4.2250000000000003E-2</v>
      </c>
      <c r="P48" s="2942">
        <f>SUM('ФАКТ.СЕБЕСТ.СТОКИ за 1 пол.2023'!BP57)</f>
        <v>15.807406487149116</v>
      </c>
      <c r="Q48" s="2942">
        <f>SUM('ФАКТ.СЕБЕСТ.СТОКИ за 1 пол.2023'!BQ57)</f>
        <v>15.765156487149117</v>
      </c>
      <c r="R48" s="2942">
        <f>SUM('ФАКТ.СЕБЕСТ.СТОКИ за 1 пол.2023'!BR57)</f>
        <v>4.2250000000000003E-2</v>
      </c>
      <c r="S48" s="2942">
        <f>SUM('ФАКТ.СЕБЕСТ.СТОКИ за 1 пол.2023'!CB57)</f>
        <v>31.614812974298232</v>
      </c>
      <c r="T48" s="2942">
        <f>SUM('ФАКТ.СЕБЕСТ.СТОКИ за 1 пол.2023'!CC57)</f>
        <v>31.530312974298234</v>
      </c>
      <c r="U48" s="2942">
        <f>SUM('ФАКТ.СЕБЕСТ.СТОКИ за 1 пол.2023'!CD57)</f>
        <v>8.4500000000000006E-2</v>
      </c>
      <c r="V48" s="2942">
        <f>SUM('ФАКТ.СЕБЕСТ.СТОКИ за 1 пол.2023'!DO57)</f>
        <v>15.807406487149116</v>
      </c>
      <c r="W48" s="2942">
        <f>SUM('ФАКТ.СЕБЕСТ.СТОКИ за 1 пол.2023'!DP57)</f>
        <v>15.765156487149117</v>
      </c>
      <c r="X48" s="2942">
        <f>SUM('ФАКТ.СЕБЕСТ.СТОКИ за 1 пол.2023'!DQ57)</f>
        <v>4.2250000000000003E-2</v>
      </c>
      <c r="Y48" s="2942">
        <f>SUM('ФАКТ.СЕБЕСТ.СТОКИ за 1 пол.2023'!EA57)</f>
        <v>47.422219461447348</v>
      </c>
      <c r="Z48" s="2942">
        <f>SUM('ФАКТ.СЕБЕСТ.СТОКИ за 1 пол.2023'!EB57)</f>
        <v>47.295469461447354</v>
      </c>
      <c r="AA48" s="2942">
        <f>SUM('ФАКТ.СЕБЕСТ.СТОКИ за 1 пол.2023'!EC57)</f>
        <v>0.12675</v>
      </c>
      <c r="AB48" s="2942">
        <f>SUM('ФАКТ.СЕБЕСТ.СТОКИ за 1 пол.2023'!FN57)</f>
        <v>15.807406487149116</v>
      </c>
      <c r="AC48" s="2942">
        <f>SUM('ФАКТ.СЕБЕСТ.СТОКИ за 1 пол.2023'!FO57)</f>
        <v>15.765156487149117</v>
      </c>
      <c r="AD48" s="2942">
        <f>SUM('ФАКТ.СЕБЕСТ.СТОКИ за 1 пол.2023'!FP57)</f>
        <v>4.2250000000000003E-2</v>
      </c>
      <c r="AE48" s="2942">
        <f>SUM('ФАКТ.СЕБЕСТ.СТОКИ за 1 пол.2023'!FZ57)</f>
        <v>63.229625948596464</v>
      </c>
      <c r="AF48" s="2942">
        <f>SUM('ФАКТ.СЕБЕСТ.СТОКИ за 1 пол.2023'!GA57)</f>
        <v>63.060625948596467</v>
      </c>
      <c r="AG48" s="2944">
        <f>SUM('ФАКТ.СЕБЕСТ.СТОКИ за 1 пол.2023'!GB57)</f>
        <v>0.16900000000000001</v>
      </c>
    </row>
    <row r="49" spans="1:33" ht="18.75" customHeight="1" x14ac:dyDescent="0.3">
      <c r="A49" s="2946" t="s">
        <v>3709</v>
      </c>
      <c r="B49" s="2961"/>
      <c r="C49" s="2961"/>
      <c r="D49" s="2961"/>
      <c r="E49" s="2961"/>
      <c r="F49" s="2961"/>
      <c r="G49" s="2961"/>
      <c r="H49" s="2961"/>
      <c r="I49" s="2961"/>
      <c r="J49" s="2961"/>
      <c r="K49" s="2961"/>
      <c r="L49" s="2958" t="s">
        <v>899</v>
      </c>
      <c r="M49" s="2942">
        <f>SUM('ФАКТ.СЕБЕСТ.СТОКИ за 1 пол.2023'!AC58)</f>
        <v>475.5382917273962</v>
      </c>
      <c r="N49" s="2942">
        <f>SUM('ФАКТ.СЕБЕСТ.СТОКИ за 1 пол.2023'!AD58)</f>
        <v>461.53204172739629</v>
      </c>
      <c r="O49" s="2942">
        <f>SUM('ФАКТ.СЕБЕСТ.СТОКИ за 1 пол.2023'!AE58)</f>
        <v>14.006250000000001</v>
      </c>
      <c r="P49" s="2942">
        <f>SUM('ФАКТ.СЕБЕСТ.СТОКИ за 1 пол.2023'!BP58)</f>
        <v>475.5382917273962</v>
      </c>
      <c r="Q49" s="2942">
        <f>SUM('ФАКТ.СЕБЕСТ.СТОКИ за 1 пол.2023'!BQ58)</f>
        <v>461.53204172739629</v>
      </c>
      <c r="R49" s="2942">
        <f>SUM('ФАКТ.СЕБЕСТ.СТОКИ за 1 пол.2023'!BR58)</f>
        <v>14.006250000000001</v>
      </c>
      <c r="S49" s="2942">
        <f>SUM('ФАКТ.СЕБЕСТ.СТОКИ за 1 пол.2023'!CB58)</f>
        <v>951.0765834547924</v>
      </c>
      <c r="T49" s="2942">
        <f>SUM('ФАКТ.СЕБЕСТ.СТОКИ за 1 пол.2023'!CC58)</f>
        <v>923.06408345479258</v>
      </c>
      <c r="U49" s="2942">
        <f>SUM('ФАКТ.СЕБЕСТ.СТОКИ за 1 пол.2023'!CD58)</f>
        <v>28.012500000000003</v>
      </c>
      <c r="V49" s="2942">
        <f>SUM('ФАКТ.СЕБЕСТ.СТОКИ за 1 пол.2023'!DO58)</f>
        <v>475.5382917273962</v>
      </c>
      <c r="W49" s="2942">
        <f>SUM('ФАКТ.СЕБЕСТ.СТОКИ за 1 пол.2023'!DP58)</f>
        <v>461.53204172739629</v>
      </c>
      <c r="X49" s="2942">
        <f>SUM('ФАКТ.СЕБЕСТ.СТОКИ за 1 пол.2023'!DQ58)</f>
        <v>14.006250000000001</v>
      </c>
      <c r="Y49" s="2942">
        <f>SUM('ФАКТ.СЕБЕСТ.СТОКИ за 1 пол.2023'!EA58)</f>
        <v>1426.6148751821886</v>
      </c>
      <c r="Z49" s="2942">
        <f>SUM('ФАКТ.СЕБЕСТ.СТОКИ за 1 пол.2023'!EB58)</f>
        <v>1384.5961251821889</v>
      </c>
      <c r="AA49" s="2942">
        <f>SUM('ФАКТ.СЕБЕСТ.СТОКИ за 1 пол.2023'!EC58)</f>
        <v>42.018750000000004</v>
      </c>
      <c r="AB49" s="2942">
        <f>SUM('ФАКТ.СЕБЕСТ.СТОКИ за 1 пол.2023'!FN58)</f>
        <v>475.5382917273962</v>
      </c>
      <c r="AC49" s="2942">
        <f>SUM('ФАКТ.СЕБЕСТ.СТОКИ за 1 пол.2023'!FO58)</f>
        <v>461.53204172739629</v>
      </c>
      <c r="AD49" s="2942">
        <f>SUM('ФАКТ.СЕБЕСТ.СТОКИ за 1 пол.2023'!FP58)</f>
        <v>14.006250000000001</v>
      </c>
      <c r="AE49" s="2942">
        <f>SUM('ФАКТ.СЕБЕСТ.СТОКИ за 1 пол.2023'!FZ58)</f>
        <v>1902.1531669095848</v>
      </c>
      <c r="AF49" s="2942">
        <f>SUM('ФАКТ.СЕБЕСТ.СТОКИ за 1 пол.2023'!GA58)</f>
        <v>1846.1281669095852</v>
      </c>
      <c r="AG49" s="2944">
        <f>SUM('ФАКТ.СЕБЕСТ.СТОКИ за 1 пол.2023'!GB58)</f>
        <v>56.025000000000006</v>
      </c>
    </row>
    <row r="50" spans="1:33" ht="18.75" customHeight="1" x14ac:dyDescent="0.3">
      <c r="A50" s="2933" t="s">
        <v>504</v>
      </c>
      <c r="B50" s="2948"/>
      <c r="C50" s="2948"/>
      <c r="D50" s="2948"/>
      <c r="E50" s="2948"/>
      <c r="F50" s="2948"/>
      <c r="G50" s="2948"/>
      <c r="H50" s="2948"/>
      <c r="I50" s="2948"/>
      <c r="J50" s="2948"/>
      <c r="K50" s="2948"/>
      <c r="L50" s="2958" t="s">
        <v>899</v>
      </c>
      <c r="M50" s="2935">
        <f>SUM('ФАКТ.СЕБЕСТ.СТОКИ за 1 пол.2023'!AC59)</f>
        <v>0</v>
      </c>
      <c r="N50" s="2935">
        <f>SUM('ФАКТ.СЕБЕСТ.СТОКИ за 1 пол.2023'!AD59)</f>
        <v>0</v>
      </c>
      <c r="O50" s="2935">
        <f>SUM('ФАКТ.СЕБЕСТ.СТОКИ за 1 пол.2023'!AE59)</f>
        <v>0</v>
      </c>
      <c r="P50" s="2935">
        <f>SUM('ФАКТ.СЕБЕСТ.СТОКИ за 1 пол.2023'!BP59)</f>
        <v>0</v>
      </c>
      <c r="Q50" s="2935">
        <f>SUM('ФАКТ.СЕБЕСТ.СТОКИ за 1 пол.2023'!BQ59)</f>
        <v>0</v>
      </c>
      <c r="R50" s="2935">
        <f>SUM('ФАКТ.СЕБЕСТ.СТОКИ за 1 пол.2023'!BR59)</f>
        <v>0</v>
      </c>
      <c r="S50" s="2935">
        <f>SUM('ФАКТ.СЕБЕСТ.СТОКИ за 1 пол.2023'!CB59)</f>
        <v>0</v>
      </c>
      <c r="T50" s="2935">
        <f>SUM('ФАКТ.СЕБЕСТ.СТОКИ за 1 пол.2023'!CC59)</f>
        <v>0</v>
      </c>
      <c r="U50" s="2935">
        <f>SUM('ФАКТ.СЕБЕСТ.СТОКИ за 1 пол.2023'!CD59)</f>
        <v>0</v>
      </c>
      <c r="V50" s="2935">
        <f>SUM('ФАКТ.СЕБЕСТ.СТОКИ за 1 пол.2023'!DO59)</f>
        <v>0</v>
      </c>
      <c r="W50" s="2935">
        <f>SUM('ФАКТ.СЕБЕСТ.СТОКИ за 1 пол.2023'!DP59)</f>
        <v>0</v>
      </c>
      <c r="X50" s="2935">
        <f>SUM('ФАКТ.СЕБЕСТ.СТОКИ за 1 пол.2023'!DQ59)</f>
        <v>0</v>
      </c>
      <c r="Y50" s="2935">
        <f>SUM('ФАКТ.СЕБЕСТ.СТОКИ за 1 пол.2023'!EA59)</f>
        <v>0</v>
      </c>
      <c r="Z50" s="2935">
        <f>SUM('ФАКТ.СЕБЕСТ.СТОКИ за 1 пол.2023'!EB59)</f>
        <v>0</v>
      </c>
      <c r="AA50" s="2935">
        <f>SUM('ФАКТ.СЕБЕСТ.СТОКИ за 1 пол.2023'!EC59)</f>
        <v>0</v>
      </c>
      <c r="AB50" s="2935">
        <f>SUM('ФАКТ.СЕБЕСТ.СТОКИ за 1 пол.2023'!FN59)</f>
        <v>0</v>
      </c>
      <c r="AC50" s="2935">
        <f>SUM('ФАКТ.СЕБЕСТ.СТОКИ за 1 пол.2023'!FO59)</f>
        <v>0</v>
      </c>
      <c r="AD50" s="2935">
        <f>SUM('ФАКТ.СЕБЕСТ.СТОКИ за 1 пол.2023'!FP59)</f>
        <v>0</v>
      </c>
      <c r="AE50" s="2935">
        <f>SUM('ФАКТ.СЕБЕСТ.СТОКИ за 1 пол.2023'!FZ59)</f>
        <v>0</v>
      </c>
      <c r="AF50" s="2935">
        <f>SUM('ФАКТ.СЕБЕСТ.СТОКИ за 1 пол.2023'!GA59)</f>
        <v>0</v>
      </c>
      <c r="AG50" s="2937">
        <f>SUM('ФАКТ.СЕБЕСТ.СТОКИ за 1 пол.2023'!GB59)</f>
        <v>0</v>
      </c>
    </row>
    <row r="51" spans="1:33" ht="18.75" customHeight="1" x14ac:dyDescent="0.3">
      <c r="A51" s="2933" t="s">
        <v>3711</v>
      </c>
      <c r="B51" s="2948"/>
      <c r="C51" s="2948"/>
      <c r="D51" s="2948"/>
      <c r="E51" s="2948"/>
      <c r="F51" s="2948"/>
      <c r="G51" s="2948"/>
      <c r="H51" s="2948"/>
      <c r="I51" s="2948"/>
      <c r="J51" s="2948"/>
      <c r="K51" s="2948"/>
      <c r="L51" s="2958" t="s">
        <v>899</v>
      </c>
      <c r="M51" s="2935">
        <f>SUM('ФАКТ.СЕБЕСТ.СТОКИ за 1 пол.2023'!AC60)</f>
        <v>0</v>
      </c>
      <c r="N51" s="2935">
        <f>SUM('ФАКТ.СЕБЕСТ.СТОКИ за 1 пол.2023'!AD60)</f>
        <v>0</v>
      </c>
      <c r="O51" s="2935">
        <f>SUM('ФАКТ.СЕБЕСТ.СТОКИ за 1 пол.2023'!AE60)</f>
        <v>0</v>
      </c>
      <c r="P51" s="2935">
        <f>SUM('ФАКТ.СЕБЕСТ.СТОКИ за 1 пол.2023'!BP60)</f>
        <v>0</v>
      </c>
      <c r="Q51" s="2935">
        <f>SUM('ФАКТ.СЕБЕСТ.СТОКИ за 1 пол.2023'!BQ60)</f>
        <v>0</v>
      </c>
      <c r="R51" s="2935">
        <f>SUM('ФАКТ.СЕБЕСТ.СТОКИ за 1 пол.2023'!BR60)</f>
        <v>0</v>
      </c>
      <c r="S51" s="2935">
        <f>SUM('ФАКТ.СЕБЕСТ.СТОКИ за 1 пол.2023'!CB60)</f>
        <v>0</v>
      </c>
      <c r="T51" s="2935">
        <f>SUM('ФАКТ.СЕБЕСТ.СТОКИ за 1 пол.2023'!CC60)</f>
        <v>0</v>
      </c>
      <c r="U51" s="2935">
        <f>SUM('ФАКТ.СЕБЕСТ.СТОКИ за 1 пол.2023'!CD60)</f>
        <v>0</v>
      </c>
      <c r="V51" s="2935">
        <f>SUM('ФАКТ.СЕБЕСТ.СТОКИ за 1 пол.2023'!DO60)</f>
        <v>0</v>
      </c>
      <c r="W51" s="2935">
        <f>SUM('ФАКТ.СЕБЕСТ.СТОКИ за 1 пол.2023'!DP60)</f>
        <v>0</v>
      </c>
      <c r="X51" s="2935">
        <f>SUM('ФАКТ.СЕБЕСТ.СТОКИ за 1 пол.2023'!DQ60)</f>
        <v>0</v>
      </c>
      <c r="Y51" s="2935">
        <f>SUM('ФАКТ.СЕБЕСТ.СТОКИ за 1 пол.2023'!EA60)</f>
        <v>0</v>
      </c>
      <c r="Z51" s="2935">
        <f>SUM('ФАКТ.СЕБЕСТ.СТОКИ за 1 пол.2023'!EB60)</f>
        <v>0</v>
      </c>
      <c r="AA51" s="2935">
        <f>SUM('ФАКТ.СЕБЕСТ.СТОКИ за 1 пол.2023'!EC60)</f>
        <v>0</v>
      </c>
      <c r="AB51" s="2935">
        <f>SUM('ФАКТ.СЕБЕСТ.СТОКИ за 1 пол.2023'!FN60)</f>
        <v>0</v>
      </c>
      <c r="AC51" s="2935">
        <f>SUM('ФАКТ.СЕБЕСТ.СТОКИ за 1 пол.2023'!FO60)</f>
        <v>0</v>
      </c>
      <c r="AD51" s="2935">
        <f>SUM('ФАКТ.СЕБЕСТ.СТОКИ за 1 пол.2023'!FP60)</f>
        <v>0</v>
      </c>
      <c r="AE51" s="2935">
        <f>SUM('ФАКТ.СЕБЕСТ.СТОКИ за 1 пол.2023'!FZ60)</f>
        <v>0</v>
      </c>
      <c r="AF51" s="2935">
        <f>SUM('ФАКТ.СЕБЕСТ.СТОКИ за 1 пол.2023'!GA60)</f>
        <v>0</v>
      </c>
      <c r="AG51" s="2937">
        <f>SUM('ФАКТ.СЕБЕСТ.СТОКИ за 1 пол.2023'!GB60)</f>
        <v>0</v>
      </c>
    </row>
    <row r="52" spans="1:33" ht="18.75" customHeight="1" x14ac:dyDescent="0.3">
      <c r="A52" s="3837" t="s">
        <v>3960</v>
      </c>
      <c r="B52" s="2948"/>
      <c r="C52" s="2948"/>
      <c r="D52" s="2948"/>
      <c r="E52" s="2948"/>
      <c r="F52" s="2948"/>
      <c r="G52" s="2948"/>
      <c r="H52" s="2948"/>
      <c r="I52" s="2948"/>
      <c r="J52" s="2948"/>
      <c r="K52" s="2948"/>
      <c r="L52" s="2958" t="s">
        <v>899</v>
      </c>
      <c r="M52" s="2935">
        <f>SUM('ФАКТ.СЕБЕСТ.СТОКИ за 1 пол.2023'!AC61)</f>
        <v>103.38999999999999</v>
      </c>
      <c r="N52" s="2935">
        <f>SUM('ФАКТ.СЕБЕСТ.СТОКИ за 1 пол.2023'!AD61)</f>
        <v>103.38999999999999</v>
      </c>
      <c r="O52" s="2935">
        <f>SUM('ФАКТ.СЕБЕСТ.СТОКИ за 1 пол.2023'!AE61)</f>
        <v>0</v>
      </c>
      <c r="P52" s="2935">
        <f>SUM('ФАКТ.СЕБЕСТ.СТОКИ за 1 пол.2023'!BP61)</f>
        <v>103.38999999999999</v>
      </c>
      <c r="Q52" s="2935">
        <f>SUM('ФАКТ.СЕБЕСТ.СТОКИ за 1 пол.2023'!BQ61)</f>
        <v>103.38999999999999</v>
      </c>
      <c r="R52" s="2935">
        <f>SUM('ФАКТ.СЕБЕСТ.СТОКИ за 1 пол.2023'!BR61)</f>
        <v>0</v>
      </c>
      <c r="S52" s="2935">
        <f>SUM('ФАКТ.СЕБЕСТ.СТОКИ за 1 пол.2023'!CB61)</f>
        <v>206.77999999999997</v>
      </c>
      <c r="T52" s="2935">
        <f>SUM('ФАКТ.СЕБЕСТ.СТОКИ за 1 пол.2023'!CC61)</f>
        <v>206.77999999999997</v>
      </c>
      <c r="U52" s="2935">
        <f>SUM('ФАКТ.СЕБЕСТ.СТОКИ за 1 пол.2023'!CD61)</f>
        <v>0</v>
      </c>
      <c r="V52" s="2935">
        <f>SUM('ФАКТ.СЕБЕСТ.СТОКИ за 1 пол.2023'!DO61)</f>
        <v>103.38999999999999</v>
      </c>
      <c r="W52" s="2935">
        <f>SUM('ФАКТ.СЕБЕСТ.СТОКИ за 1 пол.2023'!DP61)</f>
        <v>103.38999999999999</v>
      </c>
      <c r="X52" s="2935">
        <f>SUM('ФАКТ.СЕБЕСТ.СТОКИ за 1 пол.2023'!DQ61)</f>
        <v>0</v>
      </c>
      <c r="Y52" s="2935">
        <f>SUM('ФАКТ.СЕБЕСТ.СТОКИ за 1 пол.2023'!EA61)</f>
        <v>310.16999999999996</v>
      </c>
      <c r="Z52" s="2935">
        <f>SUM('ФАКТ.СЕБЕСТ.СТОКИ за 1 пол.2023'!EB61)</f>
        <v>310.16999999999996</v>
      </c>
      <c r="AA52" s="2935">
        <f>SUM('ФАКТ.СЕБЕСТ.СТОКИ за 1 пол.2023'!EC61)</f>
        <v>0</v>
      </c>
      <c r="AB52" s="2935">
        <f>SUM('ФАКТ.СЕБЕСТ.СТОКИ за 1 пол.2023'!FN61)</f>
        <v>103.38999999999999</v>
      </c>
      <c r="AC52" s="2935">
        <f>SUM('ФАКТ.СЕБЕСТ.СТОКИ за 1 пол.2023'!FO61)</f>
        <v>103.38999999999999</v>
      </c>
      <c r="AD52" s="2935">
        <f>SUM('ФАКТ.СЕБЕСТ.СТОКИ за 1 пол.2023'!FP61)</f>
        <v>0</v>
      </c>
      <c r="AE52" s="2935">
        <f>SUM('ФАКТ.СЕБЕСТ.СТОКИ за 1 пол.2023'!FZ61)</f>
        <v>413.55999999999995</v>
      </c>
      <c r="AF52" s="2935">
        <f>SUM('ФАКТ.СЕБЕСТ.СТОКИ за 1 пол.2023'!GA61)</f>
        <v>413.55999999999995</v>
      </c>
      <c r="AG52" s="2937">
        <f>SUM('ФАКТ.СЕБЕСТ.СТОКИ за 1 пол.2023'!GB61)</f>
        <v>0</v>
      </c>
    </row>
    <row r="53" spans="1:33" ht="18.75" customHeight="1" x14ac:dyDescent="0.3">
      <c r="A53" s="4478" t="s">
        <v>4236</v>
      </c>
      <c r="B53" s="4476"/>
      <c r="C53" s="4476"/>
      <c r="D53" s="4476"/>
      <c r="E53" s="4476"/>
      <c r="F53" s="4476"/>
      <c r="G53" s="4476"/>
      <c r="H53" s="4476"/>
      <c r="I53" s="4476"/>
      <c r="J53" s="4476"/>
      <c r="K53" s="4476"/>
      <c r="L53" s="2958" t="s">
        <v>899</v>
      </c>
      <c r="M53" s="2935">
        <f>SUM('ФАКТ.СЕБЕСТ.СТОКИ за 1 пол.2023'!AC62)</f>
        <v>564.95009321399891</v>
      </c>
      <c r="N53" s="2935">
        <f>SUM('ФАКТ.СЕБЕСТ.СТОКИ за 1 пол.2023'!AD62)</f>
        <v>564.95009321399891</v>
      </c>
      <c r="O53" s="2935">
        <f>SUM('ФАКТ.СЕБЕСТ.СТОКИ за 1 пол.2023'!AE62)</f>
        <v>0</v>
      </c>
      <c r="P53" s="2935">
        <f>SUM('ФАКТ.СЕБЕСТ.СТОКИ за 1 пол.2023'!BP62)</f>
        <v>564.95009321399891</v>
      </c>
      <c r="Q53" s="2935">
        <f>SUM('ФАКТ.СЕБЕСТ.СТОКИ за 1 пол.2023'!BQ62)</f>
        <v>564.95009321399891</v>
      </c>
      <c r="R53" s="2935">
        <f>SUM('ФАКТ.СЕБЕСТ.СТОКИ за 1 пол.2023'!BR62)</f>
        <v>0</v>
      </c>
      <c r="S53" s="2935">
        <f>SUM('ФАКТ.СЕБЕСТ.СТОКИ за 1 пол.2023'!CB62)</f>
        <v>1129.9001864279978</v>
      </c>
      <c r="T53" s="2935">
        <f>SUM('ФАКТ.СЕБЕСТ.СТОКИ за 1 пол.2023'!CC62)</f>
        <v>1129.9001864279978</v>
      </c>
      <c r="U53" s="2935">
        <f>SUM('ФАКТ.СЕБЕСТ.СТОКИ за 1 пол.2023'!CD62)</f>
        <v>0</v>
      </c>
      <c r="V53" s="2935">
        <f>SUM('ФАКТ.СЕБЕСТ.СТОКИ за 1 пол.2023'!DO62)</f>
        <v>564.95009321399891</v>
      </c>
      <c r="W53" s="2935">
        <f>SUM('ФАКТ.СЕБЕСТ.СТОКИ за 1 пол.2023'!DP62)</f>
        <v>564.95009321399891</v>
      </c>
      <c r="X53" s="2935">
        <f>SUM('ФАКТ.СЕБЕСТ.СТОКИ за 1 пол.2023'!DQ62)</f>
        <v>0</v>
      </c>
      <c r="Y53" s="2935">
        <f>SUM('ФАКТ.СЕБЕСТ.СТОКИ за 1 пол.2023'!EA62)</f>
        <v>1694.8502796419966</v>
      </c>
      <c r="Z53" s="2935">
        <f>SUM('ФАКТ.СЕБЕСТ.СТОКИ за 1 пол.2023'!EB62)</f>
        <v>1694.8502796419966</v>
      </c>
      <c r="AA53" s="2935">
        <f>SUM('ФАКТ.СЕБЕСТ.СТОКИ за 1 пол.2023'!EC62)</f>
        <v>0</v>
      </c>
      <c r="AB53" s="2935">
        <f>SUM('ФАКТ.СЕБЕСТ.СТОКИ за 1 пол.2023'!FN62)</f>
        <v>564.95009321399891</v>
      </c>
      <c r="AC53" s="2935">
        <f>SUM('ФАКТ.СЕБЕСТ.СТОКИ за 1 пол.2023'!FO62)</f>
        <v>564.95009321399891</v>
      </c>
      <c r="AD53" s="2935">
        <f>SUM('ФАКТ.СЕБЕСТ.СТОКИ за 1 пол.2023'!FP62)</f>
        <v>0</v>
      </c>
      <c r="AE53" s="2935">
        <f>SUM('ФАКТ.СЕБЕСТ.СТОКИ за 1 пол.2023'!FZ62)</f>
        <v>2259.8003728559956</v>
      </c>
      <c r="AF53" s="2935">
        <f>SUM('ФАКТ.СЕБЕСТ.СТОКИ за 1 пол.2023'!GA62)</f>
        <v>2259.8003728559956</v>
      </c>
      <c r="AG53" s="2937">
        <f>SUM('ФАКТ.СЕБЕСТ.СТОКИ за 1 пол.2023'!GB62)</f>
        <v>0</v>
      </c>
    </row>
    <row r="54" spans="1:33" ht="18.75" customHeight="1" x14ac:dyDescent="0.3">
      <c r="A54" s="2927" t="s">
        <v>12</v>
      </c>
      <c r="B54" s="2948"/>
      <c r="C54" s="2948"/>
      <c r="D54" s="2948"/>
      <c r="E54" s="2948"/>
      <c r="F54" s="2948"/>
      <c r="G54" s="2948"/>
      <c r="H54" s="2948"/>
      <c r="I54" s="2948"/>
      <c r="J54" s="2948"/>
      <c r="K54" s="2948"/>
      <c r="L54" s="2963" t="s">
        <v>899</v>
      </c>
      <c r="M54" s="2930">
        <f>SUM('ФАКТ.СЕБЕСТ.СТОКИ за 1 пол.2023'!AC63)</f>
        <v>31284.682652511612</v>
      </c>
      <c r="N54" s="2930">
        <f>SUM('ФАКТ.СЕБЕСТ.СТОКИ за 1 пол.2023'!AD63)</f>
        <v>31203.958250752046</v>
      </c>
      <c r="O54" s="2930">
        <f>SUM('ФАКТ.СЕБЕСТ.СТОКИ за 1 пол.2023'!AE63)</f>
        <v>80.7244017595646</v>
      </c>
      <c r="P54" s="2930">
        <f>SUM('ФАКТ.СЕБЕСТ.СТОКИ за 1 пол.2023'!BP63)</f>
        <v>31284.682652511612</v>
      </c>
      <c r="Q54" s="2930">
        <f>SUM('ФАКТ.СЕБЕСТ.СТОКИ за 1 пол.2023'!BQ63)</f>
        <v>31203.958250752046</v>
      </c>
      <c r="R54" s="2930">
        <f>SUM('ФАКТ.СЕБЕСТ.СТОКИ за 1 пол.2023'!BR63)</f>
        <v>80.7244017595646</v>
      </c>
      <c r="S54" s="2930">
        <f>SUM('ФАКТ.СЕБЕСТ.СТОКИ за 1 пол.2023'!CB63)</f>
        <v>62569.365305023224</v>
      </c>
      <c r="T54" s="2930">
        <f>SUM('ФАКТ.СЕБЕСТ.СТОКИ за 1 пол.2023'!CC63)</f>
        <v>62407.916501504093</v>
      </c>
      <c r="U54" s="2930">
        <f>SUM('ФАКТ.СЕБЕСТ.СТОКИ за 1 пол.2023'!CD63)</f>
        <v>161.4488035191292</v>
      </c>
      <c r="V54" s="2930">
        <f>SUM('ФАКТ.СЕБЕСТ.СТОКИ за 1 пол.2023'!DO63)</f>
        <v>31284.682652511612</v>
      </c>
      <c r="W54" s="2930">
        <f>SUM('ФАКТ.СЕБЕСТ.СТОКИ за 1 пол.2023'!DP63)</f>
        <v>31203.958250752046</v>
      </c>
      <c r="X54" s="2930">
        <f>SUM('ФАКТ.СЕБЕСТ.СТОКИ за 1 пол.2023'!DQ63)</f>
        <v>80.7244017595646</v>
      </c>
      <c r="Y54" s="2930">
        <f>SUM('ФАКТ.СЕБЕСТ.СТОКИ за 1 пол.2023'!EA63)</f>
        <v>93854.047957534844</v>
      </c>
      <c r="Z54" s="2930">
        <f>SUM('ФАКТ.СЕБЕСТ.СТОКИ за 1 пол.2023'!EB63)</f>
        <v>93611.874752256146</v>
      </c>
      <c r="AA54" s="2930">
        <f>SUM('ФАКТ.СЕБЕСТ.СТОКИ за 1 пол.2023'!EC63)</f>
        <v>242.17320527869379</v>
      </c>
      <c r="AB54" s="2930">
        <f>SUM('ФАКТ.СЕБЕСТ.СТОКИ за 1 пол.2023'!FN63)</f>
        <v>31284.682652511612</v>
      </c>
      <c r="AC54" s="2930">
        <f>SUM('ФАКТ.СЕБЕСТ.СТОКИ за 1 пол.2023'!FO63)</f>
        <v>31203.958250752046</v>
      </c>
      <c r="AD54" s="2930">
        <f>SUM('ФАКТ.СЕБЕСТ.СТОКИ за 1 пол.2023'!FP63)</f>
        <v>80.7244017595646</v>
      </c>
      <c r="AE54" s="2930">
        <f>SUM('ФАКТ.СЕБЕСТ.СТОКИ за 1 пол.2023'!FZ63)</f>
        <v>125138.73061004645</v>
      </c>
      <c r="AF54" s="2930">
        <f>SUM('ФАКТ.СЕБЕСТ.СТОКИ за 1 пол.2023'!GA63)</f>
        <v>124815.83300300819</v>
      </c>
      <c r="AG54" s="2932">
        <f>SUM('ФАКТ.СЕБЕСТ.СТОКИ за 1 пол.2023'!GB63)</f>
        <v>322.8976070382584</v>
      </c>
    </row>
    <row r="55" spans="1:33" ht="18.75" customHeight="1" x14ac:dyDescent="0.3">
      <c r="A55" s="2927" t="s">
        <v>13</v>
      </c>
      <c r="B55" s="2948"/>
      <c r="C55" s="2948"/>
      <c r="D55" s="2948"/>
      <c r="E55" s="2948"/>
      <c r="F55" s="2948"/>
      <c r="G55" s="2948"/>
      <c r="H55" s="2948"/>
      <c r="I55" s="2948"/>
      <c r="J55" s="2948"/>
      <c r="K55" s="2948"/>
      <c r="L55" s="2964" t="s">
        <v>3780</v>
      </c>
      <c r="M55" s="2930">
        <f>SUM('ФАКТ.СЕБЕСТ.СТОКИ за 1 пол.2023'!AC64)</f>
        <v>768.56306212265417</v>
      </c>
      <c r="N55" s="2930">
        <f>SUM('ФАКТ.СЕБЕСТ.СТОКИ за 1 пол.2023'!AD64)</f>
        <v>764.75724428647504</v>
      </c>
      <c r="O55" s="2930">
        <f>SUM('ФАКТ.СЕБЕСТ.СТОКИ за 1 пол.2023'!AE64)</f>
        <v>3.8058178361790249</v>
      </c>
      <c r="P55" s="2930">
        <f>SUM('ФАКТ.СЕБЕСТ.СТОКИ за 1 пол.2023'!BP64)</f>
        <v>768.56306212265417</v>
      </c>
      <c r="Q55" s="2930">
        <f>SUM('ФАКТ.СЕБЕСТ.СТОКИ за 1 пол.2023'!BQ64)</f>
        <v>764.75724428647504</v>
      </c>
      <c r="R55" s="2930">
        <f>SUM('ФАКТ.СЕБЕСТ.СТОКИ за 1 пол.2023'!BR64)</f>
        <v>3.8058178361790249</v>
      </c>
      <c r="S55" s="2930">
        <f>SUM('ФАКТ.СЕБЕСТ.СТОКИ за 1 пол.2023'!CB64)</f>
        <v>1537.1261242453083</v>
      </c>
      <c r="T55" s="2930">
        <f>SUM('ФАКТ.СЕБЕСТ.СТОКИ за 1 пол.2023'!CC64)</f>
        <v>1529.5144885729501</v>
      </c>
      <c r="U55" s="2930">
        <f>SUM('ФАКТ.СЕБЕСТ.СТОКИ за 1 пол.2023'!CD64)</f>
        <v>7.6116356723580498</v>
      </c>
      <c r="V55" s="2930">
        <f>SUM('ФАКТ.СЕБЕСТ.СТОКИ за 1 пол.2023'!DO64)</f>
        <v>768.56306212265417</v>
      </c>
      <c r="W55" s="2930">
        <f>SUM('ФАКТ.СЕБЕСТ.СТОКИ за 1 пол.2023'!DP64)</f>
        <v>764.75724428647504</v>
      </c>
      <c r="X55" s="2930">
        <f>SUM('ФАКТ.СЕБЕСТ.СТОКИ за 1 пол.2023'!DQ64)</f>
        <v>3.8058178361790249</v>
      </c>
      <c r="Y55" s="2930">
        <f>SUM('ФАКТ.СЕБЕСТ.СТОКИ за 1 пол.2023'!EA64)</f>
        <v>2305.6891863679625</v>
      </c>
      <c r="Z55" s="2930">
        <f>SUM('ФАКТ.СЕБЕСТ.СТОКИ за 1 пол.2023'!EB64)</f>
        <v>2294.2717328594254</v>
      </c>
      <c r="AA55" s="2930">
        <f>SUM('ФАКТ.СЕБЕСТ.СТОКИ за 1 пол.2023'!EC64)</f>
        <v>11.417453508537076</v>
      </c>
      <c r="AB55" s="2930">
        <f>SUM('ФАКТ.СЕБЕСТ.СТОКИ за 1 пол.2023'!FN64)</f>
        <v>768.56306212265417</v>
      </c>
      <c r="AC55" s="2930">
        <f>SUM('ФАКТ.СЕБЕСТ.СТОКИ за 1 пол.2023'!FO64)</f>
        <v>764.75724428647504</v>
      </c>
      <c r="AD55" s="2930">
        <f>SUM('ФАКТ.СЕБЕСТ.СТОКИ за 1 пол.2023'!FP64)</f>
        <v>3.8058178361790249</v>
      </c>
      <c r="AE55" s="2930">
        <f>SUM('ФАКТ.СЕБЕСТ.СТОКИ за 1 пол.2023'!FZ64)</f>
        <v>3074.2522484906167</v>
      </c>
      <c r="AF55" s="2930">
        <f>SUM('ФАКТ.СЕБЕСТ.СТОКИ за 1 пол.2023'!GA64)</f>
        <v>3059.0289771459002</v>
      </c>
      <c r="AG55" s="2932">
        <f>SUM('ФАКТ.СЕБЕСТ.СТОКИ за 1 пол.2023'!GB64)</f>
        <v>15.2232713447161</v>
      </c>
    </row>
    <row r="56" spans="1:33" ht="18.75" customHeight="1" x14ac:dyDescent="0.3">
      <c r="A56" s="2927" t="s">
        <v>14</v>
      </c>
      <c r="B56" s="2948"/>
      <c r="C56" s="2948"/>
      <c r="D56" s="2948"/>
      <c r="E56" s="2948"/>
      <c r="F56" s="2948"/>
      <c r="G56" s="2948"/>
      <c r="H56" s="2948"/>
      <c r="I56" s="2948"/>
      <c r="J56" s="2948"/>
      <c r="K56" s="2948"/>
      <c r="L56" s="2965" t="s">
        <v>2025</v>
      </c>
      <c r="M56" s="2930">
        <f>SUM('ФАКТ.СЕБЕСТ.СТОКИ за 1 пол.2023'!AC65)</f>
        <v>40.705420536485427</v>
      </c>
      <c r="N56" s="2930">
        <f>SUM('ФАКТ.СЕБЕСТ.СТОКИ за 1 пол.2023'!AD65)</f>
        <v>40.802435653768278</v>
      </c>
      <c r="O56" s="2930">
        <f>SUM('ФАКТ.СЕБЕСТ.СТОКИ за 1 пол.2023'!AE65)</f>
        <v>21.210789699963804</v>
      </c>
      <c r="P56" s="2930">
        <f>SUM('ФАКТ.СЕБЕСТ.СТОКИ за 1 пол.2023'!BP65)</f>
        <v>40.705420536485427</v>
      </c>
      <c r="Q56" s="2930">
        <f>SUM('ФАКТ.СЕБЕСТ.СТОКИ за 1 пол.2023'!BQ65)</f>
        <v>40.802435653768278</v>
      </c>
      <c r="R56" s="2930">
        <f>SUM('ФАКТ.СЕБЕСТ.СТОКИ за 1 пол.2023'!BR65)</f>
        <v>21.210789699963804</v>
      </c>
      <c r="S56" s="2930">
        <f>SUM('ФАКТ.СЕБЕСТ.СТОКИ за 1 пол.2023'!CB65)</f>
        <v>40.705420536485427</v>
      </c>
      <c r="T56" s="2930">
        <f>SUM('ФАКТ.СЕБЕСТ.СТОКИ за 1 пол.2023'!CC65)</f>
        <v>40.802435653768278</v>
      </c>
      <c r="U56" s="2930">
        <f>SUM('ФАКТ.СЕБЕСТ.СТОКИ за 1 пол.2023'!CD65)</f>
        <v>21.210789699963804</v>
      </c>
      <c r="V56" s="2930">
        <f>SUM('ФАКТ.СЕБЕСТ.СТОКИ за 1 пол.2023'!DO65)</f>
        <v>40.705420536485427</v>
      </c>
      <c r="W56" s="2930">
        <f>SUM('ФАКТ.СЕБЕСТ.СТОКИ за 1 пол.2023'!DP65)</f>
        <v>40.802435653768278</v>
      </c>
      <c r="X56" s="2930">
        <f>SUM('ФАКТ.СЕБЕСТ.СТОКИ за 1 пол.2023'!DQ65)</f>
        <v>21.210789699963804</v>
      </c>
      <c r="Y56" s="2930">
        <f>SUM('ФАКТ.СЕБЕСТ.СТОКИ за 1 пол.2023'!EA65)</f>
        <v>40.705420536485427</v>
      </c>
      <c r="Z56" s="2930">
        <f>SUM('ФАКТ.СЕБЕСТ.СТОКИ за 1 пол.2023'!EB65)</f>
        <v>40.802435653768278</v>
      </c>
      <c r="AA56" s="2930">
        <f>SUM('ФАКТ.СЕБЕСТ.СТОКИ за 1 пол.2023'!EC65)</f>
        <v>21.210789699963804</v>
      </c>
      <c r="AB56" s="2930">
        <f>SUM('ФАКТ.СЕБЕСТ.СТОКИ за 1 пол.2023'!FN65)</f>
        <v>40.705420536485427</v>
      </c>
      <c r="AC56" s="2930">
        <f>SUM('ФАКТ.СЕБЕСТ.СТОКИ за 1 пол.2023'!FO65)</f>
        <v>40.802435653768278</v>
      </c>
      <c r="AD56" s="2930">
        <f>SUM('ФАКТ.СЕБЕСТ.СТОКИ за 1 пол.2023'!FP65)</f>
        <v>21.210789699963804</v>
      </c>
      <c r="AE56" s="2930">
        <f>SUM('ФАКТ.СЕБЕСТ.СТОКИ за 1 пол.2023'!FZ65)</f>
        <v>40.705420536485427</v>
      </c>
      <c r="AF56" s="2930">
        <f>SUM('ФАКТ.СЕБЕСТ.СТОКИ за 1 пол.2023'!GA65)</f>
        <v>40.802435653768278</v>
      </c>
      <c r="AG56" s="2932">
        <f>SUM('ФАКТ.СЕБЕСТ.СТОКИ за 1 пол.2023'!GB65)</f>
        <v>21.210789699963804</v>
      </c>
    </row>
    <row r="57" spans="1:33" ht="18.75" customHeight="1" x14ac:dyDescent="0.3">
      <c r="A57" s="2950" t="s">
        <v>3748</v>
      </c>
      <c r="B57" s="2948"/>
      <c r="C57" s="2948"/>
      <c r="D57" s="2948"/>
      <c r="E57" s="2948"/>
      <c r="F57" s="2948"/>
      <c r="G57" s="2948"/>
      <c r="H57" s="2948"/>
      <c r="I57" s="2948"/>
      <c r="J57" s="2948"/>
      <c r="K57" s="2948"/>
      <c r="L57" s="2963" t="s">
        <v>899</v>
      </c>
      <c r="M57" s="2930">
        <f>SUM('ФАКТ.СЕБЕСТ.СТОКИ за 1 пол.2023'!AC66)</f>
        <v>-72.243947989615947</v>
      </c>
      <c r="N57" s="2930">
        <f>SUM('ФАКТ.СЕБЕСТ.СТОКИ за 1 пол.2023'!AD66)</f>
        <v>-78.213003112105</v>
      </c>
      <c r="O57" s="2930">
        <f>SUM('ФАКТ.СЕБЕСТ.СТОКИ за 1 пол.2023'!AE66)</f>
        <v>5.96905512248905</v>
      </c>
      <c r="P57" s="2930">
        <f>SUM('ФАКТ.СЕБЕСТ.СТОКИ за 1 пол.2023'!BP66)</f>
        <v>-72.243947989615947</v>
      </c>
      <c r="Q57" s="2930">
        <f>SUM('ФАКТ.СЕБЕСТ.СТОКИ за 1 пол.2023'!BQ66)</f>
        <v>-78.213003112105</v>
      </c>
      <c r="R57" s="2930">
        <f>SUM('ФАКТ.СЕБЕСТ.СТОКИ за 1 пол.2023'!BR66)</f>
        <v>5.96905512248905</v>
      </c>
      <c r="S57" s="2930">
        <f>SUM('ФАКТ.СЕБЕСТ.СТОКИ за 1 пол.2023'!CB66)</f>
        <v>-144.48789597923189</v>
      </c>
      <c r="T57" s="2930">
        <f>SUM('ФАКТ.СЕБЕСТ.СТОКИ за 1 пол.2023'!CC66)</f>
        <v>-156.42600622421</v>
      </c>
      <c r="U57" s="2930">
        <f>SUM('ФАКТ.СЕБЕСТ.СТОКИ за 1 пол.2023'!CD66)</f>
        <v>11.9381102449781</v>
      </c>
      <c r="V57" s="2930">
        <f>SUM('ФАКТ.СЕБЕСТ.СТОКИ за 1 пол.2023'!DO66)</f>
        <v>-72.243947989615947</v>
      </c>
      <c r="W57" s="2930">
        <f>SUM('ФАКТ.СЕБЕСТ.СТОКИ за 1 пол.2023'!DP66)</f>
        <v>-78.213003112105</v>
      </c>
      <c r="X57" s="2930">
        <f>SUM('ФАКТ.СЕБЕСТ.СТОКИ за 1 пол.2023'!DQ66)</f>
        <v>5.96905512248905</v>
      </c>
      <c r="Y57" s="2930">
        <f>SUM('ФАКТ.СЕБЕСТ.СТОКИ за 1 пол.2023'!EA66)</f>
        <v>-216.73184396884784</v>
      </c>
      <c r="Z57" s="2930">
        <f>SUM('ФАКТ.СЕБЕСТ.СТОКИ за 1 пол.2023'!EB66)</f>
        <v>-234.63900933631498</v>
      </c>
      <c r="AA57" s="2930">
        <f>SUM('ФАКТ.СЕБЕСТ.СТОКИ за 1 пол.2023'!EC66)</f>
        <v>17.907165367467151</v>
      </c>
      <c r="AB57" s="2930">
        <f>SUM('ФАКТ.СЕБЕСТ.СТОКИ за 1 пол.2023'!FN66)</f>
        <v>-72.243947989615947</v>
      </c>
      <c r="AC57" s="2930">
        <f>SUM('ФАКТ.СЕБЕСТ.СТОКИ за 1 пол.2023'!FO66)</f>
        <v>-78.213003112105</v>
      </c>
      <c r="AD57" s="2930">
        <f>SUM('ФАКТ.СЕБЕСТ.СТОКИ за 1 пол.2023'!FP66)</f>
        <v>5.96905512248905</v>
      </c>
      <c r="AE57" s="2930">
        <f>SUM('ФАКТ.СЕБЕСТ.СТОКИ за 1 пол.2023'!FZ66)</f>
        <v>-288.97579195846379</v>
      </c>
      <c r="AF57" s="2930">
        <f>SUM('ФАКТ.СЕБЕСТ.СТОКИ за 1 пол.2023'!GA66)</f>
        <v>-312.85201244842</v>
      </c>
      <c r="AG57" s="2932">
        <f>SUM('ФАКТ.СЕБЕСТ.СТОКИ за 1 пол.2023'!GB66)</f>
        <v>23.8762204899562</v>
      </c>
    </row>
    <row r="58" spans="1:33" ht="18.75" customHeight="1" x14ac:dyDescent="0.3">
      <c r="A58" s="2946" t="s">
        <v>310</v>
      </c>
      <c r="B58" s="2948"/>
      <c r="C58" s="2948"/>
      <c r="D58" s="2948"/>
      <c r="E58" s="2948"/>
      <c r="F58" s="2948"/>
      <c r="G58" s="2948"/>
      <c r="H58" s="2948"/>
      <c r="I58" s="2948"/>
      <c r="J58" s="2948"/>
      <c r="K58" s="2948"/>
      <c r="L58" s="2963" t="s">
        <v>899</v>
      </c>
      <c r="M58" s="2942">
        <f>SUM('ФАКТ.СЕБЕСТ.СТОКИ за 1 пол.2023'!AC67)</f>
        <v>0</v>
      </c>
      <c r="N58" s="2942">
        <f>SUM('ФАКТ.СЕБЕСТ.СТОКИ за 1 пол.2023'!AD67)</f>
        <v>0</v>
      </c>
      <c r="O58" s="2942">
        <f>SUM('ФАКТ.СЕБЕСТ.СТОКИ за 1 пол.2023'!AE67)</f>
        <v>0</v>
      </c>
      <c r="P58" s="2942">
        <f>SUM('ФАКТ.СЕБЕСТ.СТОКИ за 1 пол.2023'!BP67)</f>
        <v>0</v>
      </c>
      <c r="Q58" s="2942">
        <f>SUM('ФАКТ.СЕБЕСТ.СТОКИ за 1 пол.2023'!BQ67)</f>
        <v>0</v>
      </c>
      <c r="R58" s="2942">
        <f>SUM('ФАКТ.СЕБЕСТ.СТОКИ за 1 пол.2023'!BR67)</f>
        <v>0</v>
      </c>
      <c r="S58" s="2942">
        <f>SUM('ФАКТ.СЕБЕСТ.СТОКИ за 1 пол.2023'!CB67)</f>
        <v>0</v>
      </c>
      <c r="T58" s="2942">
        <f>SUM('ФАКТ.СЕБЕСТ.СТОКИ за 1 пол.2023'!CC67)</f>
        <v>0</v>
      </c>
      <c r="U58" s="2942">
        <f>SUM('ФАКТ.СЕБЕСТ.СТОКИ за 1 пол.2023'!CD67)</f>
        <v>0</v>
      </c>
      <c r="V58" s="2942">
        <f>SUM('ФАКТ.СЕБЕСТ.СТОКИ за 1 пол.2023'!DO67)</f>
        <v>0</v>
      </c>
      <c r="W58" s="2942">
        <f>SUM('ФАКТ.СЕБЕСТ.СТОКИ за 1 пол.2023'!DP67)</f>
        <v>0</v>
      </c>
      <c r="X58" s="2942">
        <f>SUM('ФАКТ.СЕБЕСТ.СТОКИ за 1 пол.2023'!DQ67)</f>
        <v>0</v>
      </c>
      <c r="Y58" s="2942">
        <f>SUM('ФАКТ.СЕБЕСТ.СТОКИ за 1 пол.2023'!EA67)</f>
        <v>0</v>
      </c>
      <c r="Z58" s="2942">
        <f>SUM('ФАКТ.СЕБЕСТ.СТОКИ за 1 пол.2023'!EB67)</f>
        <v>0</v>
      </c>
      <c r="AA58" s="2942">
        <f>SUM('ФАКТ.СЕБЕСТ.СТОКИ за 1 пол.2023'!EC67)</f>
        <v>0</v>
      </c>
      <c r="AB58" s="2942">
        <f>SUM('ФАКТ.СЕБЕСТ.СТОКИ за 1 пол.2023'!FN67)</f>
        <v>0</v>
      </c>
      <c r="AC58" s="2942">
        <f>SUM('ФАКТ.СЕБЕСТ.СТОКИ за 1 пол.2023'!FO67)</f>
        <v>0</v>
      </c>
      <c r="AD58" s="2942">
        <f>SUM('ФАКТ.СЕБЕСТ.СТОКИ за 1 пол.2023'!FP67)</f>
        <v>0</v>
      </c>
      <c r="AE58" s="2942">
        <f>SUM('ФАКТ.СЕБЕСТ.СТОКИ за 1 пол.2023'!FZ67)</f>
        <v>0</v>
      </c>
      <c r="AF58" s="2942">
        <f>SUM('ФАКТ.СЕБЕСТ.СТОКИ за 1 пол.2023'!GA67)</f>
        <v>0</v>
      </c>
      <c r="AG58" s="2944">
        <f>SUM('ФАКТ.СЕБЕСТ.СТОКИ за 1 пол.2023'!GB67)</f>
        <v>0</v>
      </c>
    </row>
    <row r="59" spans="1:33" ht="18.75" customHeight="1" x14ac:dyDescent="0.3">
      <c r="A59" s="2950" t="s">
        <v>3675</v>
      </c>
      <c r="B59" s="2948"/>
      <c r="C59" s="2948"/>
      <c r="D59" s="2948"/>
      <c r="E59" s="2948"/>
      <c r="F59" s="2948"/>
      <c r="G59" s="2948"/>
      <c r="H59" s="2948"/>
      <c r="I59" s="2948"/>
      <c r="J59" s="2948"/>
      <c r="K59" s="2948"/>
      <c r="L59" s="2963" t="s">
        <v>899</v>
      </c>
      <c r="M59" s="2930">
        <f>SUM('ФАКТ.СЕБЕСТ.СТОКИ за 1 пол.2023'!AC68)</f>
        <v>31212.438704521999</v>
      </c>
      <c r="N59" s="2930">
        <f>SUM('ФАКТ.СЕБЕСТ.СТОКИ за 1 пол.2023'!AD68)</f>
        <v>31125.745247639945</v>
      </c>
      <c r="O59" s="2930">
        <f>SUM('ФАКТ.СЕБЕСТ.СТОКИ за 1 пол.2023'!AE68)</f>
        <v>86.693456882053653</v>
      </c>
      <c r="P59" s="2930">
        <f>SUM('ФАКТ.СЕБЕСТ.СТОКИ за 1 пол.2023'!BP68)</f>
        <v>31212.438704521999</v>
      </c>
      <c r="Q59" s="2930">
        <f>SUM('ФАКТ.СЕБЕСТ.СТОКИ за 1 пол.2023'!BQ68)</f>
        <v>31125.745247639945</v>
      </c>
      <c r="R59" s="2930">
        <f>SUM('ФАКТ.СЕБЕСТ.СТОКИ за 1 пол.2023'!BR68)</f>
        <v>86.693456882053653</v>
      </c>
      <c r="S59" s="2930">
        <f>SUM('ФАКТ.СЕБЕСТ.СТОКИ за 1 пол.2023'!CB68)</f>
        <v>62424.877409043998</v>
      </c>
      <c r="T59" s="2930">
        <f>SUM('ФАКТ.СЕБЕСТ.СТОКИ за 1 пол.2023'!CC68)</f>
        <v>62251.49049527989</v>
      </c>
      <c r="U59" s="2930">
        <f>SUM('ФАКТ.СЕБЕСТ.СТОКИ за 1 пол.2023'!CD68)</f>
        <v>173.38691376410731</v>
      </c>
      <c r="V59" s="2930">
        <f>SUM('ФАКТ.СЕБЕСТ.СТОКИ за 1 пол.2023'!DO68)</f>
        <v>31212.438704521999</v>
      </c>
      <c r="W59" s="2930">
        <f>SUM('ФАКТ.СЕБЕСТ.СТОКИ за 1 пол.2023'!DP68)</f>
        <v>31125.745247639945</v>
      </c>
      <c r="X59" s="2930">
        <f>SUM('ФАКТ.СЕБЕСТ.СТОКИ за 1 пол.2023'!DQ68)</f>
        <v>86.693456882053653</v>
      </c>
      <c r="Y59" s="2930">
        <f>SUM('ФАКТ.СЕБЕСТ.СТОКИ за 1 пол.2023'!EA68)</f>
        <v>93637.31611356599</v>
      </c>
      <c r="Z59" s="2930">
        <f>SUM('ФАКТ.СЕБЕСТ.СТОКИ за 1 пол.2023'!EB68)</f>
        <v>93377.235742919831</v>
      </c>
      <c r="AA59" s="2930">
        <f>SUM('ФАКТ.СЕБЕСТ.СТОКИ за 1 пол.2023'!EC68)</f>
        <v>260.08037064616099</v>
      </c>
      <c r="AB59" s="2930">
        <f>SUM('ФАКТ.СЕБЕСТ.СТОКИ за 1 пол.2023'!FN68)</f>
        <v>31212.438704521999</v>
      </c>
      <c r="AC59" s="2930">
        <f>SUM('ФАКТ.СЕБЕСТ.СТОКИ за 1 пол.2023'!FO68)</f>
        <v>31125.745247639945</v>
      </c>
      <c r="AD59" s="2930">
        <f>SUM('ФАКТ.СЕБЕСТ.СТОКИ за 1 пол.2023'!FP68)</f>
        <v>86.693456882053653</v>
      </c>
      <c r="AE59" s="2930">
        <f>SUM('ФАКТ.СЕБЕСТ.СТОКИ за 1 пол.2023'!FZ68)</f>
        <v>124849.754818088</v>
      </c>
      <c r="AF59" s="2930">
        <f>SUM('ФАКТ.СЕБЕСТ.СТОКИ за 1 пол.2023'!GA68)</f>
        <v>124502.98099055978</v>
      </c>
      <c r="AG59" s="2932">
        <f>SUM('ФАКТ.СЕБЕСТ.СТОКИ за 1 пол.2023'!GB68)</f>
        <v>346.77382752821461</v>
      </c>
    </row>
    <row r="60" spans="1:33" ht="18.75" customHeight="1" x14ac:dyDescent="0.3">
      <c r="A60" s="2951" t="s">
        <v>3749</v>
      </c>
      <c r="B60" s="2948"/>
      <c r="C60" s="2948"/>
      <c r="D60" s="2948"/>
      <c r="E60" s="2948"/>
      <c r="F60" s="2948"/>
      <c r="G60" s="2948"/>
      <c r="H60" s="2948"/>
      <c r="I60" s="2948"/>
      <c r="J60" s="2948"/>
      <c r="K60" s="2948"/>
      <c r="L60" s="2963" t="s">
        <v>899</v>
      </c>
      <c r="M60" s="2930">
        <f>SUM('ФАКТ.СЕБЕСТ.СТОКИ за 1 пол.2023'!AC69)</f>
        <v>-1.1044823518489011E-3</v>
      </c>
      <c r="N60" s="2930">
        <f>SUM('ФАКТ.СЕБЕСТ.СТОКИ за 1 пол.2023'!AD69)</f>
        <v>-1.219283383761649E-3</v>
      </c>
      <c r="O60" s="2930">
        <f>SUM('ФАКТ.СЕБЕСТ.СТОКИ за 1 пол.2023'!AE69)</f>
        <v>1.1480103191274793E-4</v>
      </c>
      <c r="P60" s="2930">
        <f>SUM('ФАКТ.СЕБЕСТ.СТОКИ за 1 пол.2023'!BP69)</f>
        <v>-1.1044823518489011E-3</v>
      </c>
      <c r="Q60" s="2930">
        <f>SUM('ФАКТ.СЕБЕСТ.СТОКИ за 1 пол.2023'!BQ69)</f>
        <v>-1.219283383761649E-3</v>
      </c>
      <c r="R60" s="2930">
        <f>SUM('ФАКТ.СЕБЕСТ.СТОКИ за 1 пол.2023'!BR69)</f>
        <v>1.1480103191274793E-4</v>
      </c>
      <c r="S60" s="2930">
        <f>SUM('ФАКТ.СЕБЕСТ.СТОКИ за 1 пол.2023'!CB69)</f>
        <v>-2.2089647036978022E-3</v>
      </c>
      <c r="T60" s="2930">
        <f>SUM('ФАКТ.СЕБЕСТ.СТОКИ за 1 пол.2023'!CC69)</f>
        <v>-2.438566767523298E-3</v>
      </c>
      <c r="U60" s="2930">
        <f>SUM('ФАКТ.СЕБЕСТ.СТОКИ за 1 пол.2023'!CD69)</f>
        <v>2.2960206382549586E-4</v>
      </c>
      <c r="V60" s="2930">
        <f>SUM('ФАКТ.СЕБЕСТ.СТОКИ за 1 пол.2023'!DO69)</f>
        <v>-1.1044823518489011E-3</v>
      </c>
      <c r="W60" s="2930">
        <f>SUM('ФАКТ.СЕБЕСТ.СТОКИ за 1 пол.2023'!DP69)</f>
        <v>-1.219283383761649E-3</v>
      </c>
      <c r="X60" s="2930">
        <f>SUM('ФАКТ.СЕБЕСТ.СТОКИ за 1 пол.2023'!DQ69)</f>
        <v>1.1480103191274793E-4</v>
      </c>
      <c r="Y60" s="2930">
        <f>SUM('ФАКТ.СЕБЕСТ.СТОКИ за 1 пол.2023'!EA69)</f>
        <v>-3.3134470555467033E-3</v>
      </c>
      <c r="Z60" s="2930">
        <f>SUM('ФАКТ.СЕБЕСТ.СТОКИ за 1 пол.2023'!EB69)</f>
        <v>-3.6578501512849471E-3</v>
      </c>
      <c r="AA60" s="2930">
        <f>SUM('ФАКТ.СЕБЕСТ.СТОКИ за 1 пол.2023'!EC69)</f>
        <v>3.4440309573824379E-4</v>
      </c>
      <c r="AB60" s="2930">
        <f>SUM('ФАКТ.СЕБЕСТ.СТОКИ за 1 пол.2023'!FN69)</f>
        <v>-1.1044823518489011E-3</v>
      </c>
      <c r="AC60" s="2930">
        <f>SUM('ФАКТ.СЕБЕСТ.СТОКИ за 1 пол.2023'!FO69)</f>
        <v>-1.219283383761649E-3</v>
      </c>
      <c r="AD60" s="2930">
        <f>SUM('ФАКТ.СЕБЕСТ.СТОКИ за 1 пол.2023'!FP69)</f>
        <v>1.1480103191274793E-4</v>
      </c>
      <c r="AE60" s="2930">
        <f>SUM('ФАКТ.СЕБЕСТ.СТОКИ за 1 пол.2023'!FZ69)</f>
        <v>-4.4179294073956044E-3</v>
      </c>
      <c r="AF60" s="2930">
        <f>SUM('ФАКТ.СЕБЕСТ.СТОКИ за 1 пол.2023'!GA69)</f>
        <v>-4.8771335350465961E-3</v>
      </c>
      <c r="AG60" s="2932">
        <f>SUM('ФАКТ.СЕБЕСТ.СТОКИ за 1 пол.2023'!GB69)</f>
        <v>4.5920412765099172E-4</v>
      </c>
    </row>
    <row r="61" spans="1:33" ht="18.75" customHeight="1" x14ac:dyDescent="0.3">
      <c r="A61" s="2951" t="s">
        <v>527</v>
      </c>
      <c r="B61" s="2948"/>
      <c r="C61" s="2948"/>
      <c r="D61" s="2948"/>
      <c r="E61" s="2948"/>
      <c r="F61" s="2948"/>
      <c r="G61" s="2948"/>
      <c r="H61" s="2948"/>
      <c r="I61" s="2948"/>
      <c r="J61" s="2948"/>
      <c r="K61" s="2948"/>
      <c r="L61" s="2963" t="s">
        <v>899</v>
      </c>
      <c r="M61" s="2930">
        <f>SUM('ФАКТ.СЕБЕСТ.СТОКИ за 1 пол.2023'!AC70)</f>
        <v>31212.437600039648</v>
      </c>
      <c r="N61" s="2930">
        <f>SUM('ФАКТ.СЕБЕСТ.СТОКИ за 1 пол.2023'!AD70)</f>
        <v>31125.744028356559</v>
      </c>
      <c r="O61" s="2930">
        <f>SUM('ФАКТ.СЕБЕСТ.СТОКИ за 1 пол.2023'!AE70)</f>
        <v>86.693571683085565</v>
      </c>
      <c r="P61" s="2930">
        <f>SUM('ФАКТ.СЕБЕСТ.СТОКИ за 1 пол.2023'!BP70)</f>
        <v>31212.437600039648</v>
      </c>
      <c r="Q61" s="2930">
        <f>SUM('ФАКТ.СЕБЕСТ.СТОКИ за 1 пол.2023'!BQ70)</f>
        <v>31125.744028356559</v>
      </c>
      <c r="R61" s="2930">
        <f>SUM('ФАКТ.СЕБЕСТ.СТОКИ за 1 пол.2023'!BR70)</f>
        <v>86.693571683085565</v>
      </c>
      <c r="S61" s="2930">
        <f>SUM('ФАКТ.СЕБЕСТ.СТОКИ за 1 пол.2023'!CB70)</f>
        <v>62424.875200079296</v>
      </c>
      <c r="T61" s="2930">
        <f>SUM('ФАКТ.СЕБЕСТ.СТОКИ за 1 пол.2023'!CC70)</f>
        <v>62251.488056713119</v>
      </c>
      <c r="U61" s="2930">
        <f>SUM('ФАКТ.СЕБЕСТ.СТОКИ за 1 пол.2023'!CD70)</f>
        <v>173.38714336617113</v>
      </c>
      <c r="V61" s="2930">
        <f>SUM('ФАКТ.СЕБЕСТ.СТОКИ за 1 пол.2023'!DO70)</f>
        <v>31212.437600039648</v>
      </c>
      <c r="W61" s="2930">
        <f>SUM('ФАКТ.СЕБЕСТ.СТОКИ за 1 пол.2023'!DP70)</f>
        <v>31125.744028356559</v>
      </c>
      <c r="X61" s="2930">
        <f>SUM('ФАКТ.СЕБЕСТ.СТОКИ за 1 пол.2023'!DQ70)</f>
        <v>86.693571683085565</v>
      </c>
      <c r="Y61" s="2930">
        <f>SUM('ФАКТ.СЕБЕСТ.СТОКИ за 1 пол.2023'!EA70)</f>
        <v>93637.312800118947</v>
      </c>
      <c r="Z61" s="2930">
        <f>SUM('ФАКТ.СЕБЕСТ.СТОКИ за 1 пол.2023'!EB70)</f>
        <v>93377.232085069671</v>
      </c>
      <c r="AA61" s="2930">
        <f>SUM('ФАКТ.СЕБЕСТ.СТОКИ за 1 пол.2023'!EC70)</f>
        <v>260.0807150492567</v>
      </c>
      <c r="AB61" s="2930">
        <f>SUM('ФАКТ.СЕБЕСТ.СТОКИ за 1 пол.2023'!FN70)</f>
        <v>31212.437600039648</v>
      </c>
      <c r="AC61" s="2930">
        <f>SUM('ФАКТ.СЕБЕСТ.СТОКИ за 1 пол.2023'!FO70)</f>
        <v>31125.744028356559</v>
      </c>
      <c r="AD61" s="2930">
        <f>SUM('ФАКТ.СЕБЕСТ.СТОКИ за 1 пол.2023'!FP70)</f>
        <v>86.693571683085565</v>
      </c>
      <c r="AE61" s="2930">
        <f>SUM('ФАКТ.СЕБЕСТ.СТОКИ за 1 пол.2023'!FZ70)</f>
        <v>124849.75040015859</v>
      </c>
      <c r="AF61" s="2930">
        <f>SUM('ФАКТ.СЕБЕСТ.СТОКИ за 1 пол.2023'!GA70)</f>
        <v>124502.97611342624</v>
      </c>
      <c r="AG61" s="2932">
        <f>SUM('ФАКТ.СЕБЕСТ.СТОКИ за 1 пол.2023'!GB70)</f>
        <v>346.77428673234226</v>
      </c>
    </row>
    <row r="62" spans="1:33" ht="18.75" customHeight="1" thickBot="1" x14ac:dyDescent="0.35">
      <c r="A62" s="2966" t="s">
        <v>68</v>
      </c>
      <c r="B62" s="3018"/>
      <c r="C62" s="3018"/>
      <c r="D62" s="3018"/>
      <c r="E62" s="3018"/>
      <c r="F62" s="3018"/>
      <c r="G62" s="3018"/>
      <c r="H62" s="3018"/>
      <c r="I62" s="3018"/>
      <c r="J62" s="3018"/>
      <c r="K62" s="3018"/>
      <c r="L62" s="3023" t="s">
        <v>2025</v>
      </c>
      <c r="M62" s="3020">
        <f>SUM('ФАКТ.СЕБЕСТ.СТОКИ за 1 пол.2023'!AC71)</f>
        <v>40.611420374322499</v>
      </c>
      <c r="N62" s="3020">
        <f>SUM('ФАКТ.СЕБЕСТ.СТОКИ за 1 пол.2023'!AD71)</f>
        <v>40.700162386035508</v>
      </c>
      <c r="O62" s="3020">
        <f>SUM('ФАКТ.СЕБЕСТ.СТОКИ за 1 пол.2023'!AE71)</f>
        <v>22.779222604654247</v>
      </c>
      <c r="P62" s="3020">
        <f>SUM('ФАКТ.СЕБЕСТ.СТОКИ за 1 пол.2023'!BP71)</f>
        <v>40.611420374322499</v>
      </c>
      <c r="Q62" s="3020">
        <f>SUM('ФАКТ.СЕБЕСТ.СТОКИ за 1 пол.2023'!BQ71)</f>
        <v>40.700162386035508</v>
      </c>
      <c r="R62" s="3020">
        <f>SUM('ФАКТ.СЕБЕСТ.СТОКИ за 1 пол.2023'!BR71)</f>
        <v>22.779222604654247</v>
      </c>
      <c r="S62" s="3020">
        <f>SUM('ФАКТ.СЕБЕСТ.СТОКИ за 1 пол.2023'!CB71)</f>
        <v>40.611420374322499</v>
      </c>
      <c r="T62" s="3020">
        <f>SUM('ФАКТ.СЕБЕСТ.СТОКИ за 1 пол.2023'!CC71)</f>
        <v>40.700162386035508</v>
      </c>
      <c r="U62" s="3020">
        <f>SUM('ФАКТ.СЕБЕСТ.СТОКИ за 1 пол.2023'!CD71)</f>
        <v>22.779222604654247</v>
      </c>
      <c r="V62" s="3020">
        <f>SUM('ФАКТ.СЕБЕСТ.СТОКИ за 1 пол.2023'!DO71)</f>
        <v>40.611420374322499</v>
      </c>
      <c r="W62" s="3020">
        <f>SUM('ФАКТ.СЕБЕСТ.СТОКИ за 1 пол.2023'!DP71)</f>
        <v>40.700162386035508</v>
      </c>
      <c r="X62" s="3020">
        <f>SUM('ФАКТ.СЕБЕСТ.СТОКИ за 1 пол.2023'!DQ71)</f>
        <v>22.779222604654247</v>
      </c>
      <c r="Y62" s="3020">
        <f>SUM('ФАКТ.СЕБЕСТ.СТОКИ за 1 пол.2023'!EA71)</f>
        <v>40.611420374322506</v>
      </c>
      <c r="Z62" s="3020">
        <f>SUM('ФАКТ.СЕБЕСТ.СТОКИ за 1 пол.2023'!EB71)</f>
        <v>40.700162386035501</v>
      </c>
      <c r="AA62" s="3020">
        <f>SUM('ФАКТ.СЕБЕСТ.СТОКИ за 1 пол.2023'!EC71)</f>
        <v>22.779222604654247</v>
      </c>
      <c r="AB62" s="3020">
        <f>SUM('ФАКТ.СЕБЕСТ.СТОКИ за 1 пол.2023'!FN71)</f>
        <v>40.611420374322499</v>
      </c>
      <c r="AC62" s="3020">
        <f>SUM('ФАКТ.СЕБЕСТ.СТОКИ за 1 пол.2023'!FO71)</f>
        <v>40.700162386035508</v>
      </c>
      <c r="AD62" s="3020">
        <f>SUM('ФАКТ.СЕБЕСТ.СТОКИ за 1 пол.2023'!FP71)</f>
        <v>22.779222604654247</v>
      </c>
      <c r="AE62" s="3020">
        <f>SUM('ФАКТ.СЕБЕСТ.СТОКИ за 1 пол.2023'!FZ71)</f>
        <v>40.611420374322499</v>
      </c>
      <c r="AF62" s="3020">
        <f>SUM('ФАКТ.СЕБЕСТ.СТОКИ за 1 пол.2023'!GA71)</f>
        <v>40.700162386035508</v>
      </c>
      <c r="AG62" s="2953">
        <f>SUM('ФАКТ.СЕБЕСТ.СТОКИ за 1 пол.2023'!GB71)</f>
        <v>22.779222604654247</v>
      </c>
    </row>
    <row r="63" spans="1:33" ht="12.75" customHeight="1" x14ac:dyDescent="0.2"/>
    <row r="64" spans="1:33" ht="12.75" customHeight="1" x14ac:dyDescent="0.2"/>
    <row r="65" spans="1:19" ht="18.75" customHeight="1" x14ac:dyDescent="0.3">
      <c r="A65" s="389" t="s">
        <v>3775</v>
      </c>
      <c r="B65" s="389"/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 t="s">
        <v>4152</v>
      </c>
      <c r="S65" s="389"/>
    </row>
    <row r="66" spans="1:19" ht="18.75" customHeight="1" x14ac:dyDescent="0.3">
      <c r="A66" s="4304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  <c r="R66" s="4304"/>
      <c r="S66" s="4304"/>
    </row>
    <row r="67" spans="1:19" ht="18.75" customHeight="1" x14ac:dyDescent="0.3">
      <c r="A67" s="4304" t="s">
        <v>3783</v>
      </c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  <c r="R67" s="4304" t="s">
        <v>3784</v>
      </c>
      <c r="S67" s="4304"/>
    </row>
    <row r="68" spans="1:19" ht="18.75" customHeight="1" x14ac:dyDescent="0.2"/>
    <row r="69" spans="1:19" ht="18.75" customHeight="1" x14ac:dyDescent="0.2"/>
    <row r="70" spans="1:19" ht="18.75" customHeight="1" x14ac:dyDescent="0.2"/>
    <row r="71" spans="1:19" ht="18.75" customHeight="1" x14ac:dyDescent="0.2"/>
    <row r="72" spans="1:19" ht="18.75" customHeight="1" x14ac:dyDescent="0.2"/>
    <row r="73" spans="1:19" ht="18.75" customHeight="1" x14ac:dyDescent="0.2"/>
    <row r="74" spans="1:19" ht="18.75" customHeight="1" x14ac:dyDescent="0.2"/>
    <row r="75" spans="1:19" ht="18.75" customHeight="1" x14ac:dyDescent="0.2"/>
    <row r="76" spans="1:19" ht="18.75" customHeight="1" x14ac:dyDescent="0.2"/>
    <row r="77" spans="1:19" ht="18.75" customHeight="1" x14ac:dyDescent="0.2"/>
    <row r="78" spans="1:19" ht="18.75" customHeight="1" x14ac:dyDescent="0.2"/>
    <row r="79" spans="1:19" ht="18.75" customHeight="1" x14ac:dyDescent="0.2"/>
    <row r="80" spans="1:19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  <row r="463" ht="18.75" customHeight="1" x14ac:dyDescent="0.2"/>
    <row r="464" ht="18.75" customHeight="1" x14ac:dyDescent="0.2"/>
  </sheetData>
  <mergeCells count="29"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10:AG10"/>
    <mergeCell ref="AD1:AG1"/>
    <mergeCell ref="P4:S4"/>
    <mergeCell ref="P5:S5"/>
    <mergeCell ref="P6:S6"/>
    <mergeCell ref="P7:S7"/>
    <mergeCell ref="AD4:AG4"/>
  </mergeCells>
  <printOptions horizontalCentered="1" verticalCentered="1"/>
  <pageMargins left="0.15748031496062992" right="0.15748031496062992" top="0.19685039370078741" bottom="0.19685039370078741" header="0" footer="0"/>
  <pageSetup paperSize="9" scale="4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5076" t="s">
        <v>56</v>
      </c>
      <c r="B2" s="5076"/>
      <c r="C2" s="5076"/>
      <c r="D2" s="5076"/>
      <c r="E2" s="5076"/>
      <c r="F2" s="5076"/>
      <c r="G2" s="5076"/>
      <c r="H2" s="5076"/>
      <c r="I2" s="5076"/>
      <c r="J2" s="5076"/>
      <c r="K2" s="5076"/>
      <c r="L2" s="5076"/>
      <c r="M2" s="5076"/>
      <c r="N2" s="5076"/>
      <c r="O2" s="5076"/>
      <c r="P2" s="5076"/>
      <c r="Q2" s="5076"/>
      <c r="R2" s="5076"/>
      <c r="S2" s="5076"/>
      <c r="T2" s="5076"/>
      <c r="U2" s="5076"/>
      <c r="V2" s="5076"/>
      <c r="W2" s="5076"/>
      <c r="X2" s="5076"/>
      <c r="Y2" s="5076"/>
      <c r="Z2" s="5076"/>
      <c r="AA2" s="5076"/>
      <c r="AB2" s="5076"/>
      <c r="AC2" s="5076"/>
      <c r="AD2" s="5076"/>
      <c r="AE2" s="5076"/>
      <c r="AF2" s="5076"/>
      <c r="AG2" s="5076"/>
    </row>
    <row r="3" spans="1:34" x14ac:dyDescent="0.2">
      <c r="A3" s="5077" t="s">
        <v>19</v>
      </c>
      <c r="B3" s="5078"/>
      <c r="C3" s="5078"/>
      <c r="D3" s="5078"/>
      <c r="E3" s="5078"/>
      <c r="F3" s="5078"/>
      <c r="G3" s="5078"/>
      <c r="H3" s="5078"/>
      <c r="I3" s="5078"/>
      <c r="J3" s="5078"/>
      <c r="K3" s="5078"/>
      <c r="L3" s="5078"/>
      <c r="M3" s="5078"/>
      <c r="N3" s="5078"/>
      <c r="O3" s="5078"/>
      <c r="P3" s="5078"/>
      <c r="Q3" s="5078"/>
      <c r="R3" s="5078"/>
      <c r="S3" s="5078"/>
      <c r="T3" s="5078"/>
      <c r="U3" s="5078"/>
      <c r="V3" s="5078"/>
      <c r="W3" s="5078"/>
      <c r="X3" s="5078"/>
      <c r="Y3" s="5078"/>
      <c r="Z3" s="5078"/>
      <c r="AA3" s="5078"/>
      <c r="AB3" s="5078"/>
      <c r="AC3" s="5078"/>
      <c r="AD3" s="5078"/>
      <c r="AE3" s="5078"/>
      <c r="AF3" s="5078"/>
      <c r="AG3" s="5078"/>
    </row>
    <row r="4" spans="1:34" ht="12.75" hidden="1" customHeight="1" x14ac:dyDescent="0.2">
      <c r="A4" s="5079"/>
      <c r="B4" s="5081" t="s">
        <v>57</v>
      </c>
      <c r="C4" s="988"/>
      <c r="D4" s="988"/>
      <c r="E4" s="988"/>
      <c r="F4" s="988"/>
      <c r="G4" s="988"/>
      <c r="H4" s="988"/>
      <c r="I4" s="988"/>
      <c r="J4" s="5083" t="s">
        <v>58</v>
      </c>
      <c r="K4" s="5084"/>
      <c r="L4" s="5084"/>
      <c r="M4" s="5085"/>
      <c r="N4" s="5083" t="s">
        <v>66</v>
      </c>
      <c r="O4" s="5085"/>
      <c r="P4" s="5083" t="s">
        <v>91</v>
      </c>
      <c r="Q4" s="5084"/>
      <c r="R4" s="5085"/>
      <c r="S4" s="5083" t="s">
        <v>116</v>
      </c>
      <c r="T4" s="5084"/>
      <c r="U4" s="5084"/>
      <c r="V4" s="5084"/>
      <c r="W4" s="5006" t="s">
        <v>153</v>
      </c>
      <c r="X4" s="5086"/>
      <c r="Y4" s="5086"/>
      <c r="Z4" s="5086"/>
      <c r="AA4" s="5086"/>
      <c r="AB4" s="5086"/>
      <c r="AC4" s="5086"/>
      <c r="AD4" s="5086"/>
      <c r="AE4" s="5086"/>
      <c r="AF4" s="5086"/>
      <c r="AG4" s="5086"/>
      <c r="AH4" s="5087"/>
    </row>
    <row r="5" spans="1:34" ht="12.75" hidden="1" customHeight="1" x14ac:dyDescent="0.2">
      <c r="A5" s="5079"/>
      <c r="B5" s="5081"/>
      <c r="C5" s="988"/>
      <c r="D5" s="988"/>
      <c r="E5" s="988"/>
      <c r="F5" s="988"/>
      <c r="G5" s="988"/>
      <c r="H5" s="988"/>
      <c r="I5" s="988"/>
      <c r="J5" s="5071" t="s">
        <v>60</v>
      </c>
      <c r="K5" s="1004"/>
      <c r="L5" s="1004"/>
      <c r="M5" s="5074" t="s">
        <v>61</v>
      </c>
      <c r="N5" s="5071" t="s">
        <v>60</v>
      </c>
      <c r="O5" s="5074" t="s">
        <v>65</v>
      </c>
      <c r="P5" s="5071" t="s">
        <v>60</v>
      </c>
      <c r="Q5" s="1004"/>
      <c r="R5" s="5074" t="s">
        <v>108</v>
      </c>
      <c r="S5" s="5071" t="s">
        <v>59</v>
      </c>
      <c r="T5" s="967"/>
      <c r="U5" s="590"/>
      <c r="V5" s="5068" t="s">
        <v>106</v>
      </c>
      <c r="W5" s="5071" t="s">
        <v>92</v>
      </c>
      <c r="X5" s="974"/>
      <c r="Y5" s="590"/>
      <c r="Z5" s="590"/>
      <c r="AA5" s="590"/>
      <c r="AB5" s="1118"/>
      <c r="AC5" s="590"/>
      <c r="AD5" s="967"/>
      <c r="AE5" s="590"/>
      <c r="AF5" s="5068" t="s">
        <v>120</v>
      </c>
      <c r="AG5" s="5068" t="s">
        <v>93</v>
      </c>
      <c r="AH5" s="5074" t="s">
        <v>60</v>
      </c>
    </row>
    <row r="6" spans="1:34" ht="12.75" hidden="1" customHeight="1" x14ac:dyDescent="0.2">
      <c r="A6" s="5079"/>
      <c r="B6" s="5081"/>
      <c r="C6" s="988"/>
      <c r="D6" s="988"/>
      <c r="E6" s="988"/>
      <c r="F6" s="988"/>
      <c r="G6" s="988"/>
      <c r="H6" s="988"/>
      <c r="I6" s="988"/>
      <c r="J6" s="5072"/>
      <c r="K6" s="319"/>
      <c r="L6" s="319"/>
      <c r="M6" s="5075"/>
      <c r="N6" s="5072"/>
      <c r="O6" s="5075"/>
      <c r="P6" s="5072"/>
      <c r="Q6" s="319"/>
      <c r="R6" s="5075"/>
      <c r="S6" s="5072"/>
      <c r="T6" s="941"/>
      <c r="U6" s="941"/>
      <c r="V6" s="5069"/>
      <c r="W6" s="5072"/>
      <c r="X6" s="975"/>
      <c r="Y6" s="941"/>
      <c r="Z6" s="941"/>
      <c r="AA6" s="941"/>
      <c r="AB6" s="964"/>
      <c r="AC6" s="941"/>
      <c r="AD6" s="941"/>
      <c r="AE6" s="941"/>
      <c r="AF6" s="5069"/>
      <c r="AG6" s="5069"/>
      <c r="AH6" s="5075"/>
    </row>
    <row r="7" spans="1:34" ht="13.5" hidden="1" customHeight="1" thickBot="1" x14ac:dyDescent="0.25">
      <c r="A7" s="5080"/>
      <c r="B7" s="5082"/>
      <c r="C7" s="989"/>
      <c r="D7" s="989"/>
      <c r="E7" s="989"/>
      <c r="F7" s="989"/>
      <c r="G7" s="989"/>
      <c r="H7" s="989"/>
      <c r="I7" s="989"/>
      <c r="J7" s="5073"/>
      <c r="K7" s="1005"/>
      <c r="L7" s="1005"/>
      <c r="M7" s="4947"/>
      <c r="N7" s="5073"/>
      <c r="O7" s="4947"/>
      <c r="P7" s="5073"/>
      <c r="Q7" s="1005"/>
      <c r="R7" s="4947"/>
      <c r="S7" s="5073"/>
      <c r="T7" s="942"/>
      <c r="U7" s="942"/>
      <c r="V7" s="5070"/>
      <c r="W7" s="5073"/>
      <c r="X7" s="976"/>
      <c r="Y7" s="942"/>
      <c r="Z7" s="942"/>
      <c r="AA7" s="942"/>
      <c r="AB7" s="965"/>
      <c r="AC7" s="942"/>
      <c r="AD7" s="942"/>
      <c r="AE7" s="942"/>
      <c r="AF7" s="5070"/>
      <c r="AG7" s="5070"/>
      <c r="AH7" s="4947"/>
    </row>
    <row r="8" spans="1:34" ht="13.5" hidden="1" thickBot="1" x14ac:dyDescent="0.25">
      <c r="A8" s="5036" t="s">
        <v>46</v>
      </c>
      <c r="B8" s="5037"/>
      <c r="C8" s="5037"/>
      <c r="D8" s="5037"/>
      <c r="E8" s="5037"/>
      <c r="F8" s="5037"/>
      <c r="G8" s="5037"/>
      <c r="H8" s="5037"/>
      <c r="I8" s="5037"/>
      <c r="J8" s="5037"/>
      <c r="K8" s="5037"/>
      <c r="L8" s="5037"/>
      <c r="M8" s="5037"/>
      <c r="N8" s="5037"/>
      <c r="O8" s="5037"/>
      <c r="P8" s="5037"/>
      <c r="Q8" s="5037"/>
      <c r="R8" s="5037"/>
      <c r="S8" s="5037"/>
      <c r="T8" s="5037"/>
      <c r="U8" s="5037"/>
      <c r="V8" s="5037"/>
      <c r="W8" s="5037"/>
      <c r="X8" s="5037"/>
      <c r="Y8" s="5037"/>
      <c r="Z8" s="5037"/>
      <c r="AA8" s="5037"/>
      <c r="AB8" s="5037"/>
      <c r="AC8" s="5037"/>
      <c r="AD8" s="5037"/>
      <c r="AE8" s="5037"/>
      <c r="AF8" s="5037"/>
      <c r="AG8" s="5037"/>
      <c r="AH8" s="5038"/>
    </row>
    <row r="9" spans="1:34" hidden="1" x14ac:dyDescent="0.2">
      <c r="A9" s="33" t="s">
        <v>18</v>
      </c>
      <c r="B9" s="37">
        <f>B10+B12</f>
        <v>10513.699999999999</v>
      </c>
      <c r="C9" s="990"/>
      <c r="D9" s="990"/>
      <c r="E9" s="990"/>
      <c r="F9" s="990"/>
      <c r="G9" s="990"/>
      <c r="H9" s="990"/>
      <c r="I9" s="990"/>
      <c r="J9" s="42">
        <f>J10+J12</f>
        <v>8838.9000000000015</v>
      </c>
      <c r="K9" s="1010"/>
      <c r="L9" s="1010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945">
        <f>P10+P11+P12</f>
        <v>8372.9</v>
      </c>
      <c r="Q9" s="990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945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3">
        <f>AH10+AH12</f>
        <v>7835.7</v>
      </c>
    </row>
    <row r="10" spans="1:34" hidden="1" x14ac:dyDescent="0.2">
      <c r="A10" s="34" t="s">
        <v>20</v>
      </c>
      <c r="B10" s="38">
        <v>744.9</v>
      </c>
      <c r="C10" s="991"/>
      <c r="D10" s="991"/>
      <c r="E10" s="991"/>
      <c r="F10" s="991"/>
      <c r="G10" s="991"/>
      <c r="H10" s="991"/>
      <c r="I10" s="991"/>
      <c r="J10" s="943">
        <v>643.70000000000005</v>
      </c>
      <c r="K10" s="1011"/>
      <c r="L10" s="1011"/>
      <c r="M10" s="45">
        <f>J10/B10*100</f>
        <v>86.414283796482763</v>
      </c>
      <c r="N10" s="943">
        <v>811.9</v>
      </c>
      <c r="O10" s="108">
        <f>N10/J10*100</f>
        <v>126.13018486872764</v>
      </c>
      <c r="P10" s="946">
        <v>876.4</v>
      </c>
      <c r="Q10" s="991"/>
      <c r="R10" s="45">
        <f t="shared" ref="R10:R19" si="1">P10/N10*100</f>
        <v>107.9443281192265</v>
      </c>
      <c r="S10" s="113">
        <v>841.6</v>
      </c>
      <c r="T10" s="999"/>
      <c r="U10" s="591"/>
      <c r="V10" s="11">
        <v>580.70000000000005</v>
      </c>
      <c r="W10" s="946">
        <v>876</v>
      </c>
      <c r="X10" s="977"/>
      <c r="Y10" s="595"/>
      <c r="Z10" s="595"/>
      <c r="AA10" s="595"/>
      <c r="AB10" s="1119"/>
      <c r="AC10" s="595"/>
      <c r="AD10" s="968"/>
      <c r="AE10" s="595"/>
      <c r="AF10" s="943">
        <v>876</v>
      </c>
      <c r="AG10" s="6">
        <f t="shared" si="0"/>
        <v>104.08745247148288</v>
      </c>
      <c r="AH10" s="268">
        <f>7835.7-4227.7-2796.3</f>
        <v>811.69999999999982</v>
      </c>
    </row>
    <row r="11" spans="1:34" hidden="1" x14ac:dyDescent="0.2">
      <c r="A11" s="55" t="s">
        <v>109</v>
      </c>
      <c r="B11" s="32"/>
      <c r="C11" s="992"/>
      <c r="D11" s="992"/>
      <c r="E11" s="992"/>
      <c r="F11" s="992"/>
      <c r="G11" s="992"/>
      <c r="H11" s="992"/>
      <c r="I11" s="992"/>
      <c r="J11" s="2"/>
      <c r="K11" s="1012"/>
      <c r="L11" s="1012"/>
      <c r="M11" s="47"/>
      <c r="N11" s="2">
        <v>54.2</v>
      </c>
      <c r="O11" s="109"/>
      <c r="P11" s="56">
        <v>0</v>
      </c>
      <c r="Q11" s="992"/>
      <c r="R11" s="45">
        <f t="shared" si="1"/>
        <v>0</v>
      </c>
      <c r="S11" s="112">
        <v>22.5</v>
      </c>
      <c r="T11" s="1000"/>
      <c r="U11" s="592"/>
      <c r="V11" s="31"/>
      <c r="W11" s="56"/>
      <c r="X11" s="978"/>
      <c r="Y11" s="595"/>
      <c r="Z11" s="595"/>
      <c r="AA11" s="595"/>
      <c r="AB11" s="1119"/>
      <c r="AC11" s="595"/>
      <c r="AD11" s="968"/>
      <c r="AE11" s="595"/>
      <c r="AF11" s="2"/>
      <c r="AG11" s="31">
        <f t="shared" si="0"/>
        <v>0</v>
      </c>
      <c r="AH11" s="174"/>
    </row>
    <row r="12" spans="1:34" hidden="1" x14ac:dyDescent="0.2">
      <c r="A12" s="34" t="s">
        <v>21</v>
      </c>
      <c r="B12" s="38">
        <f>B13+B15</f>
        <v>9768.7999999999993</v>
      </c>
      <c r="C12" s="991"/>
      <c r="D12" s="991"/>
      <c r="E12" s="991"/>
      <c r="F12" s="991"/>
      <c r="G12" s="991"/>
      <c r="H12" s="991"/>
      <c r="I12" s="991"/>
      <c r="J12" s="943">
        <f>J13+J15</f>
        <v>8195.2000000000007</v>
      </c>
      <c r="K12" s="1011"/>
      <c r="L12" s="1011"/>
      <c r="M12" s="45">
        <f>J12/B12*100</f>
        <v>83.891573171730414</v>
      </c>
      <c r="N12" s="943">
        <f>N13+N15</f>
        <v>7996.7999999999993</v>
      </c>
      <c r="O12" s="108">
        <f>N12/J12*100</f>
        <v>97.579070675517357</v>
      </c>
      <c r="P12" s="946">
        <f>P13+P15</f>
        <v>7496.5</v>
      </c>
      <c r="Q12" s="991"/>
      <c r="R12" s="45">
        <f t="shared" si="1"/>
        <v>93.74374749899961</v>
      </c>
      <c r="S12" s="113">
        <f>S13+S15</f>
        <v>5795</v>
      </c>
      <c r="T12" s="1001"/>
      <c r="U12" s="944"/>
      <c r="V12" s="943">
        <f>V13+V15</f>
        <v>6086.2000000000007</v>
      </c>
      <c r="W12" s="946">
        <f>W13+W15</f>
        <v>5783.1</v>
      </c>
      <c r="X12" s="977"/>
      <c r="Y12" s="595"/>
      <c r="Z12" s="595"/>
      <c r="AA12" s="595"/>
      <c r="AB12" s="1119"/>
      <c r="AC12" s="595"/>
      <c r="AD12" s="968"/>
      <c r="AE12" s="595"/>
      <c r="AF12" s="943">
        <f>AF13+AF15</f>
        <v>5505</v>
      </c>
      <c r="AG12" s="6">
        <f t="shared" si="0"/>
        <v>94.995685936151858</v>
      </c>
      <c r="AH12" s="246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991"/>
      <c r="D13" s="991"/>
      <c r="E13" s="991"/>
      <c r="F13" s="991"/>
      <c r="G13" s="991"/>
      <c r="H13" s="991"/>
      <c r="I13" s="991"/>
      <c r="J13" s="943">
        <v>3172</v>
      </c>
      <c r="K13" s="1011"/>
      <c r="L13" s="1011"/>
      <c r="M13" s="45">
        <f>J13/B13*100</f>
        <v>71.36268532475421</v>
      </c>
      <c r="N13" s="943">
        <v>3094</v>
      </c>
      <c r="O13" s="108">
        <f>N13/J13*100</f>
        <v>97.540983606557376</v>
      </c>
      <c r="P13" s="946">
        <v>2972.2</v>
      </c>
      <c r="Q13" s="991"/>
      <c r="R13" s="45">
        <f t="shared" si="1"/>
        <v>96.063348416289585</v>
      </c>
      <c r="S13" s="113">
        <v>1150</v>
      </c>
      <c r="T13" s="999"/>
      <c r="U13" s="591"/>
      <c r="V13" s="11">
        <v>2822.4</v>
      </c>
      <c r="W13" s="946">
        <v>1683.1</v>
      </c>
      <c r="X13" s="977"/>
      <c r="Y13" s="595"/>
      <c r="Z13" s="595"/>
      <c r="AA13" s="595"/>
      <c r="AB13" s="1119"/>
      <c r="AC13" s="595"/>
      <c r="AD13" s="968"/>
      <c r="AE13" s="595"/>
      <c r="AF13" s="943">
        <v>1100</v>
      </c>
      <c r="AG13" s="6">
        <f t="shared" si="0"/>
        <v>95.652173913043484</v>
      </c>
      <c r="AH13" s="174">
        <v>2796.3</v>
      </c>
    </row>
    <row r="14" spans="1:34" ht="27.75" hidden="1" customHeight="1" x14ac:dyDescent="0.2">
      <c r="A14" s="35" t="s">
        <v>110</v>
      </c>
      <c r="B14" s="39">
        <f>B13/B12*100</f>
        <v>45.500982720497909</v>
      </c>
      <c r="C14" s="993"/>
      <c r="D14" s="993"/>
      <c r="E14" s="993"/>
      <c r="F14" s="993"/>
      <c r="G14" s="993"/>
      <c r="H14" s="993"/>
      <c r="I14" s="993"/>
      <c r="J14" s="30">
        <f>J13/J12*100</f>
        <v>38.705583756345177</v>
      </c>
      <c r="K14" s="1013"/>
      <c r="L14" s="1013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993"/>
      <c r="R14" s="45"/>
      <c r="S14" s="118">
        <f>S13/S12*100</f>
        <v>19.844693701466781</v>
      </c>
      <c r="T14" s="1000"/>
      <c r="U14" s="592"/>
      <c r="V14" s="31">
        <f>V13/V12*100</f>
        <v>46.373763596332687</v>
      </c>
      <c r="W14" s="46">
        <f>W13/W12*100</f>
        <v>29.103767875360965</v>
      </c>
      <c r="X14" s="979"/>
      <c r="Y14" s="595"/>
      <c r="Z14" s="595"/>
      <c r="AA14" s="595"/>
      <c r="AB14" s="1119"/>
      <c r="AC14" s="595"/>
      <c r="AD14" s="968"/>
      <c r="AE14" s="595"/>
      <c r="AF14" s="94">
        <f>AF13/AF12*100</f>
        <v>19.981834695731155</v>
      </c>
      <c r="AG14" s="31">
        <f t="shared" si="0"/>
        <v>100.69107135805395</v>
      </c>
      <c r="AH14" s="247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991"/>
      <c r="D15" s="991"/>
      <c r="E15" s="991"/>
      <c r="F15" s="991"/>
      <c r="G15" s="991"/>
      <c r="H15" s="991"/>
      <c r="I15" s="991"/>
      <c r="J15" s="943">
        <f>SUM(J17:J19)</f>
        <v>5023.2000000000007</v>
      </c>
      <c r="K15" s="1011"/>
      <c r="L15" s="1011"/>
      <c r="M15" s="45">
        <f>J15/B15*100</f>
        <v>94.351884896410539</v>
      </c>
      <c r="N15" s="943">
        <f>SUM(N17:N19)</f>
        <v>4902.7999999999993</v>
      </c>
      <c r="O15" s="108">
        <f>N15/J15*100</f>
        <v>97.603121516164975</v>
      </c>
      <c r="P15" s="946">
        <f>SUM(P17:P19)</f>
        <v>4524.3</v>
      </c>
      <c r="Q15" s="991"/>
      <c r="R15" s="45">
        <f t="shared" si="1"/>
        <v>92.279921677408851</v>
      </c>
      <c r="S15" s="113">
        <f>SUM(S17:S19)</f>
        <v>4645</v>
      </c>
      <c r="T15" s="1001"/>
      <c r="U15" s="944"/>
      <c r="V15" s="943">
        <f>SUM(V17:V19)</f>
        <v>3263.8</v>
      </c>
      <c r="W15" s="946">
        <f>SUM(W17:W19)</f>
        <v>4100</v>
      </c>
      <c r="X15" s="977"/>
      <c r="Y15" s="595"/>
      <c r="Z15" s="595"/>
      <c r="AA15" s="595"/>
      <c r="AB15" s="1119"/>
      <c r="AC15" s="595"/>
      <c r="AD15" s="968"/>
      <c r="AE15" s="595"/>
      <c r="AF15" s="943">
        <f>SUM(AF17:AF19)</f>
        <v>4405</v>
      </c>
      <c r="AG15" s="6">
        <f t="shared" si="0"/>
        <v>94.833153928955866</v>
      </c>
      <c r="AH15" s="246">
        <f>SUM(AH17:AH19)</f>
        <v>4227.7</v>
      </c>
    </row>
    <row r="16" spans="1:34" hidden="1" x14ac:dyDescent="0.2">
      <c r="A16" s="34" t="s">
        <v>50</v>
      </c>
      <c r="B16" s="38"/>
      <c r="C16" s="991"/>
      <c r="D16" s="991"/>
      <c r="E16" s="991"/>
      <c r="F16" s="991"/>
      <c r="G16" s="991"/>
      <c r="H16" s="991"/>
      <c r="I16" s="991"/>
      <c r="J16" s="943"/>
      <c r="K16" s="1011"/>
      <c r="L16" s="1011"/>
      <c r="M16" s="45"/>
      <c r="N16" s="943"/>
      <c r="O16" s="108"/>
      <c r="P16" s="946"/>
      <c r="Q16" s="991"/>
      <c r="R16" s="45"/>
      <c r="S16" s="113"/>
      <c r="T16" s="999"/>
      <c r="U16" s="591"/>
      <c r="V16" s="6"/>
      <c r="W16" s="946"/>
      <c r="X16" s="977"/>
      <c r="Y16" s="595"/>
      <c r="Z16" s="595"/>
      <c r="AA16" s="595"/>
      <c r="AB16" s="1119"/>
      <c r="AC16" s="595"/>
      <c r="AD16" s="968"/>
      <c r="AE16" s="595"/>
      <c r="AF16" s="943"/>
      <c r="AG16" s="6"/>
      <c r="AH16" s="174"/>
    </row>
    <row r="17" spans="1:34" hidden="1" x14ac:dyDescent="0.2">
      <c r="A17" s="34" t="s">
        <v>24</v>
      </c>
      <c r="B17" s="38">
        <v>3682.8</v>
      </c>
      <c r="C17" s="991"/>
      <c r="D17" s="991"/>
      <c r="E17" s="991"/>
      <c r="F17" s="991"/>
      <c r="G17" s="991"/>
      <c r="H17" s="991"/>
      <c r="I17" s="991"/>
      <c r="J17" s="943">
        <v>3570.3</v>
      </c>
      <c r="K17" s="1011"/>
      <c r="L17" s="1011"/>
      <c r="M17" s="45">
        <f>J17/B17*100</f>
        <v>96.945259042033243</v>
      </c>
      <c r="N17" s="943">
        <v>3407.1</v>
      </c>
      <c r="O17" s="108">
        <f>N17/J17*100</f>
        <v>95.42895554995377</v>
      </c>
      <c r="P17" s="946">
        <v>3159.6</v>
      </c>
      <c r="Q17" s="991"/>
      <c r="R17" s="45">
        <f t="shared" si="1"/>
        <v>92.735757682486579</v>
      </c>
      <c r="S17" s="113">
        <v>3192</v>
      </c>
      <c r="T17" s="999"/>
      <c r="U17" s="591"/>
      <c r="V17" s="11">
        <v>2288.1</v>
      </c>
      <c r="W17" s="946">
        <v>2860</v>
      </c>
      <c r="X17" s="977"/>
      <c r="Y17" s="595"/>
      <c r="Z17" s="595"/>
      <c r="AA17" s="595"/>
      <c r="AB17" s="1119"/>
      <c r="AC17" s="595"/>
      <c r="AD17" s="968"/>
      <c r="AE17" s="595"/>
      <c r="AF17" s="943">
        <v>3100</v>
      </c>
      <c r="AG17" s="6">
        <f>AF17/S17*100</f>
        <v>97.11779448621553</v>
      </c>
      <c r="AH17" s="174">
        <v>2975.5</v>
      </c>
    </row>
    <row r="18" spans="1:34" hidden="1" x14ac:dyDescent="0.2">
      <c r="A18" s="34" t="s">
        <v>25</v>
      </c>
      <c r="B18" s="38">
        <v>129.69999999999999</v>
      </c>
      <c r="C18" s="991"/>
      <c r="D18" s="991"/>
      <c r="E18" s="991"/>
      <c r="F18" s="991"/>
      <c r="G18" s="991"/>
      <c r="H18" s="991"/>
      <c r="I18" s="991"/>
      <c r="J18" s="943">
        <v>59.4</v>
      </c>
      <c r="K18" s="1011"/>
      <c r="L18" s="1011"/>
      <c r="M18" s="45">
        <f>J18/B18*100</f>
        <v>45.797995373939862</v>
      </c>
      <c r="N18" s="943">
        <v>46.1</v>
      </c>
      <c r="O18" s="108">
        <f>N18/J18*100</f>
        <v>77.609427609427613</v>
      </c>
      <c r="P18" s="946">
        <v>54.9</v>
      </c>
      <c r="Q18" s="991"/>
      <c r="R18" s="45">
        <f t="shared" si="1"/>
        <v>119.08893709327548</v>
      </c>
      <c r="S18" s="113">
        <v>59</v>
      </c>
      <c r="T18" s="999"/>
      <c r="U18" s="591"/>
      <c r="V18" s="11">
        <v>36.799999999999997</v>
      </c>
      <c r="W18" s="946">
        <v>55</v>
      </c>
      <c r="X18" s="977"/>
      <c r="Y18" s="595"/>
      <c r="Z18" s="595"/>
      <c r="AA18" s="595"/>
      <c r="AB18" s="1119"/>
      <c r="AC18" s="595"/>
      <c r="AD18" s="968"/>
      <c r="AE18" s="595"/>
      <c r="AF18" s="943">
        <v>55</v>
      </c>
      <c r="AG18" s="6">
        <f>AF18/S18*100</f>
        <v>93.220338983050837</v>
      </c>
      <c r="AH18" s="174">
        <v>46</v>
      </c>
    </row>
    <row r="19" spans="1:34" ht="13.5" hidden="1" thickBot="1" x14ac:dyDescent="0.25">
      <c r="A19" s="36" t="s">
        <v>26</v>
      </c>
      <c r="B19" s="40">
        <v>1511.4</v>
      </c>
      <c r="C19" s="994"/>
      <c r="D19" s="994"/>
      <c r="E19" s="994"/>
      <c r="F19" s="994"/>
      <c r="G19" s="994"/>
      <c r="H19" s="994"/>
      <c r="I19" s="994"/>
      <c r="J19" s="49">
        <v>1393.5</v>
      </c>
      <c r="K19" s="1014"/>
      <c r="L19" s="1014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06"/>
      <c r="R19" s="119">
        <f t="shared" si="1"/>
        <v>90.355960264900673</v>
      </c>
      <c r="S19" s="117">
        <v>1394</v>
      </c>
      <c r="T19" s="1002"/>
      <c r="U19" s="51"/>
      <c r="V19" s="51">
        <v>938.9</v>
      </c>
      <c r="W19" s="947">
        <v>1185</v>
      </c>
      <c r="X19" s="980"/>
      <c r="Y19" s="53"/>
      <c r="Z19" s="53"/>
      <c r="AA19" s="53"/>
      <c r="AB19" s="969"/>
      <c r="AC19" s="53"/>
      <c r="AD19" s="969"/>
      <c r="AE19" s="53"/>
      <c r="AF19" s="49">
        <v>1250</v>
      </c>
      <c r="AG19" s="53">
        <f>AF19/S19*100</f>
        <v>89.670014347202297</v>
      </c>
      <c r="AH19" s="175">
        <v>1206.2</v>
      </c>
    </row>
    <row r="20" spans="1:34" ht="13.5" hidden="1" thickBot="1" x14ac:dyDescent="0.25">
      <c r="A20" s="5039" t="s">
        <v>47</v>
      </c>
      <c r="B20" s="5040"/>
      <c r="C20" s="5040"/>
      <c r="D20" s="5040"/>
      <c r="E20" s="5040"/>
      <c r="F20" s="5040"/>
      <c r="G20" s="5040"/>
      <c r="H20" s="5040"/>
      <c r="I20" s="5040"/>
      <c r="J20" s="5040"/>
      <c r="K20" s="5040"/>
      <c r="L20" s="5040"/>
      <c r="M20" s="5040"/>
      <c r="N20" s="5040"/>
      <c r="O20" s="5040"/>
      <c r="P20" s="5040"/>
      <c r="Q20" s="5040"/>
      <c r="R20" s="5040"/>
      <c r="S20" s="5040"/>
      <c r="T20" s="5040"/>
      <c r="U20" s="5040"/>
      <c r="V20" s="5040"/>
      <c r="W20" s="5040"/>
      <c r="X20" s="5040"/>
      <c r="Y20" s="5040"/>
      <c r="Z20" s="5040"/>
      <c r="AA20" s="5040"/>
      <c r="AB20" s="5040"/>
      <c r="AC20" s="5040"/>
      <c r="AD20" s="5040"/>
      <c r="AE20" s="5040"/>
      <c r="AF20" s="5040"/>
      <c r="AG20" s="5040"/>
      <c r="AH20" s="5041"/>
    </row>
    <row r="21" spans="1:34" hidden="1" x14ac:dyDescent="0.2">
      <c r="A21" s="148" t="s">
        <v>114</v>
      </c>
      <c r="B21" s="149">
        <f>SUM(B23:B26)</f>
        <v>4738.2</v>
      </c>
      <c r="C21" s="151"/>
      <c r="D21" s="151"/>
      <c r="E21" s="151"/>
      <c r="F21" s="151"/>
      <c r="G21" s="151"/>
      <c r="H21" s="151"/>
      <c r="I21" s="151"/>
      <c r="J21" s="145">
        <f>SUM(J23:J26)</f>
        <v>4585.8</v>
      </c>
      <c r="K21" s="1015"/>
      <c r="L21" s="1015"/>
      <c r="M21" s="150">
        <f>J21/B21*100</f>
        <v>96.783588704571372</v>
      </c>
      <c r="N21" s="149">
        <f>SUM(N23:N26)</f>
        <v>4415.2</v>
      </c>
      <c r="O21" s="151">
        <f>SUM(O23:O26)</f>
        <v>389.68342743817789</v>
      </c>
      <c r="P21" s="152">
        <f>SUM(P23:P26)</f>
        <v>4093.2000000000003</v>
      </c>
      <c r="Q21" s="151"/>
      <c r="R21" s="153">
        <f>P21/N21*100</f>
        <v>92.707012139880419</v>
      </c>
      <c r="S21" s="116">
        <f>SUM(S23:S26)</f>
        <v>4224.5</v>
      </c>
      <c r="T21" s="145"/>
      <c r="U21" s="145"/>
      <c r="V21" s="145">
        <f>SUM(V23:V26)</f>
        <v>2958.3</v>
      </c>
      <c r="W21" s="945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8">
        <f>SUM(AH23:AH26)</f>
        <v>3805.3</v>
      </c>
    </row>
    <row r="22" spans="1:34" hidden="1" x14ac:dyDescent="0.2">
      <c r="A22" s="34" t="s">
        <v>23</v>
      </c>
      <c r="B22" s="38"/>
      <c r="C22" s="991"/>
      <c r="D22" s="991"/>
      <c r="E22" s="991"/>
      <c r="F22" s="991"/>
      <c r="G22" s="991"/>
      <c r="H22" s="991"/>
      <c r="I22" s="991"/>
      <c r="J22" s="943"/>
      <c r="K22" s="1011"/>
      <c r="L22" s="1011"/>
      <c r="M22" s="108"/>
      <c r="N22" s="38"/>
      <c r="O22" s="106"/>
      <c r="P22" s="120"/>
      <c r="Q22" s="1007"/>
      <c r="R22" s="45"/>
      <c r="S22" s="113"/>
      <c r="T22" s="999"/>
      <c r="U22" s="591"/>
      <c r="V22" s="6"/>
      <c r="W22" s="946"/>
      <c r="X22" s="977"/>
      <c r="Y22" s="595"/>
      <c r="Z22" s="595"/>
      <c r="AA22" s="595"/>
      <c r="AB22" s="1119"/>
      <c r="AC22" s="595"/>
      <c r="AD22" s="968"/>
      <c r="AE22" s="595"/>
      <c r="AF22" s="943"/>
      <c r="AG22" s="6"/>
      <c r="AH22" s="249"/>
    </row>
    <row r="23" spans="1:34" hidden="1" x14ac:dyDescent="0.2">
      <c r="A23" s="34" t="s">
        <v>27</v>
      </c>
      <c r="B23" s="38">
        <v>3483.6</v>
      </c>
      <c r="C23" s="991"/>
      <c r="D23" s="991"/>
      <c r="E23" s="991"/>
      <c r="F23" s="991"/>
      <c r="G23" s="991"/>
      <c r="H23" s="991"/>
      <c r="I23" s="991"/>
      <c r="J23" s="943">
        <v>3439.8</v>
      </c>
      <c r="K23" s="1011"/>
      <c r="L23" s="1011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08"/>
      <c r="R23" s="45">
        <f>P23/N23*100</f>
        <v>92.496110789128522</v>
      </c>
      <c r="S23" s="113">
        <v>3064.5</v>
      </c>
      <c r="T23" s="999"/>
      <c r="U23" s="591"/>
      <c r="V23" s="11">
        <v>2188.8000000000002</v>
      </c>
      <c r="W23" s="946">
        <v>2632</v>
      </c>
      <c r="X23" s="977"/>
      <c r="Y23" s="595"/>
      <c r="Z23" s="595"/>
      <c r="AA23" s="595"/>
      <c r="AB23" s="1119"/>
      <c r="AC23" s="595"/>
      <c r="AD23" s="968"/>
      <c r="AE23" s="595"/>
      <c r="AF23" s="943">
        <v>2955</v>
      </c>
      <c r="AG23" s="6">
        <f>AF23/S23*100</f>
        <v>96.426823299069994</v>
      </c>
      <c r="AH23" s="249">
        <v>2735</v>
      </c>
    </row>
    <row r="24" spans="1:34" hidden="1" x14ac:dyDescent="0.2">
      <c r="A24" s="34" t="s">
        <v>28</v>
      </c>
      <c r="B24" s="38">
        <v>293.89999999999998</v>
      </c>
      <c r="C24" s="991"/>
      <c r="D24" s="991"/>
      <c r="E24" s="991"/>
      <c r="F24" s="991"/>
      <c r="G24" s="991"/>
      <c r="H24" s="991"/>
      <c r="I24" s="991"/>
      <c r="J24" s="943">
        <v>272.2</v>
      </c>
      <c r="K24" s="1011"/>
      <c r="L24" s="1011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08"/>
      <c r="R24" s="45">
        <f>P24/N24*100</f>
        <v>0</v>
      </c>
      <c r="S24" s="113"/>
      <c r="T24" s="999"/>
      <c r="U24" s="591"/>
      <c r="V24" s="11"/>
      <c r="W24" s="946"/>
      <c r="X24" s="977"/>
      <c r="Y24" s="595"/>
      <c r="Z24" s="595"/>
      <c r="AA24" s="595"/>
      <c r="AB24" s="1119"/>
      <c r="AC24" s="595"/>
      <c r="AD24" s="968"/>
      <c r="AE24" s="595"/>
      <c r="AF24" s="943"/>
      <c r="AG24" s="6"/>
      <c r="AH24" s="249"/>
    </row>
    <row r="25" spans="1:34" hidden="1" x14ac:dyDescent="0.2">
      <c r="A25" s="34" t="s">
        <v>29</v>
      </c>
      <c r="B25" s="38">
        <v>932.3</v>
      </c>
      <c r="C25" s="991"/>
      <c r="D25" s="991"/>
      <c r="E25" s="991"/>
      <c r="F25" s="991"/>
      <c r="G25" s="991"/>
      <c r="H25" s="991"/>
      <c r="I25" s="991"/>
      <c r="J25" s="943">
        <v>845.1</v>
      </c>
      <c r="K25" s="1011"/>
      <c r="L25" s="1011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08"/>
      <c r="R25" s="45">
        <f>P25/N25*100</f>
        <v>120.92343658679134</v>
      </c>
      <c r="S25" s="116">
        <v>1132</v>
      </c>
      <c r="T25" s="999"/>
      <c r="U25" s="591"/>
      <c r="V25" s="11">
        <v>755.4</v>
      </c>
      <c r="W25" s="946">
        <v>1035</v>
      </c>
      <c r="X25" s="977"/>
      <c r="Y25" s="595"/>
      <c r="Z25" s="595"/>
      <c r="AA25" s="595"/>
      <c r="AB25" s="1119"/>
      <c r="AC25" s="595"/>
      <c r="AD25" s="968"/>
      <c r="AE25" s="595"/>
      <c r="AF25" s="943">
        <v>1035</v>
      </c>
      <c r="AG25" s="6">
        <f>AF25/S25*100</f>
        <v>91.431095406360413</v>
      </c>
      <c r="AH25" s="249">
        <f>449.5+407.8+92.5+92.5</f>
        <v>1042.3</v>
      </c>
    </row>
    <row r="26" spans="1:34" ht="13.5" hidden="1" thickBot="1" x14ac:dyDescent="0.25">
      <c r="A26" s="36" t="s">
        <v>67</v>
      </c>
      <c r="B26" s="40">
        <v>28.4</v>
      </c>
      <c r="C26" s="994"/>
      <c r="D26" s="994"/>
      <c r="E26" s="994"/>
      <c r="F26" s="994"/>
      <c r="G26" s="994"/>
      <c r="H26" s="994"/>
      <c r="I26" s="994"/>
      <c r="J26" s="49">
        <v>28.7</v>
      </c>
      <c r="K26" s="1014"/>
      <c r="L26" s="1014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09"/>
      <c r="R26" s="50">
        <f>P26/N26*100</f>
        <v>91.666666666666657</v>
      </c>
      <c r="S26" s="117">
        <v>28</v>
      </c>
      <c r="T26" s="1002"/>
      <c r="U26" s="51"/>
      <c r="V26" s="51">
        <v>14.1</v>
      </c>
      <c r="W26" s="947">
        <v>28</v>
      </c>
      <c r="X26" s="980"/>
      <c r="Y26" s="53"/>
      <c r="Z26" s="53"/>
      <c r="AA26" s="53"/>
      <c r="AB26" s="969"/>
      <c r="AC26" s="53"/>
      <c r="AD26" s="969"/>
      <c r="AE26" s="53"/>
      <c r="AF26" s="49">
        <v>28</v>
      </c>
      <c r="AG26" s="53">
        <f>AF26/S26*100</f>
        <v>100</v>
      </c>
      <c r="AH26" s="250">
        <v>28</v>
      </c>
    </row>
    <row r="27" spans="1:34" hidden="1" x14ac:dyDescent="0.2">
      <c r="A27" s="231" t="s">
        <v>352</v>
      </c>
      <c r="N27" s="159">
        <f>N10/N9</f>
        <v>9.1606584752169151E-2</v>
      </c>
      <c r="O27" s="159">
        <f t="shared" ref="O27:AF27" si="2">O10/O9</f>
        <v>1.257886347624589</v>
      </c>
      <c r="P27" s="159">
        <f t="shared" si="2"/>
        <v>0.10467102198760286</v>
      </c>
      <c r="Q27" s="159"/>
      <c r="S27" s="159">
        <f t="shared" si="2"/>
        <v>0.12638344521031369</v>
      </c>
      <c r="T27" s="159"/>
      <c r="U27" s="159"/>
      <c r="V27" s="159">
        <f t="shared" si="2"/>
        <v>8.7101951431699895E-2</v>
      </c>
      <c r="W27" s="159">
        <f t="shared" si="2"/>
        <v>0.1315493084651079</v>
      </c>
      <c r="X27" s="159"/>
      <c r="AF27" s="159">
        <f t="shared" si="2"/>
        <v>0.13728255759285379</v>
      </c>
      <c r="AH27" s="159">
        <f>AH10/AH9</f>
        <v>0.10358997919777427</v>
      </c>
    </row>
    <row r="28" spans="1:34" hidden="1" x14ac:dyDescent="0.2">
      <c r="A28" s="105" t="s">
        <v>239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5042" t="s">
        <v>231</v>
      </c>
      <c r="B31" s="5042"/>
      <c r="C31" s="5042"/>
      <c r="D31" s="5042"/>
      <c r="E31" s="5042"/>
      <c r="F31" s="5042"/>
      <c r="G31" s="5042"/>
      <c r="H31" s="5042"/>
      <c r="I31" s="5042"/>
      <c r="J31" s="5042"/>
      <c r="K31" s="5042"/>
      <c r="L31" s="5042"/>
      <c r="M31" s="5042"/>
      <c r="N31" s="5042"/>
      <c r="O31" s="5042"/>
      <c r="P31" s="5042"/>
      <c r="Q31" s="5042"/>
      <c r="R31" s="5042"/>
      <c r="S31" s="5042"/>
      <c r="T31" s="5042"/>
      <c r="U31" s="5042"/>
      <c r="V31" s="5042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5043" t="s">
        <v>525</v>
      </c>
      <c r="B33" s="5016" t="s">
        <v>91</v>
      </c>
      <c r="C33" s="5017"/>
      <c r="D33" s="5017"/>
      <c r="E33" s="5018"/>
      <c r="F33" s="5016" t="s">
        <v>116</v>
      </c>
      <c r="G33" s="5017"/>
      <c r="H33" s="5017"/>
      <c r="I33" s="5018"/>
      <c r="J33" s="5016" t="s">
        <v>154</v>
      </c>
      <c r="K33" s="5017"/>
      <c r="L33" s="5017"/>
      <c r="M33" s="5018"/>
      <c r="N33" s="5046" t="s">
        <v>230</v>
      </c>
      <c r="O33" s="5047"/>
      <c r="P33" s="5047"/>
      <c r="Q33" s="5047"/>
      <c r="R33" s="5047"/>
      <c r="S33" s="5047"/>
      <c r="T33" s="5048"/>
      <c r="U33" s="5049"/>
      <c r="V33" s="5047" t="s">
        <v>360</v>
      </c>
      <c r="W33" s="5047"/>
      <c r="X33" s="5047"/>
      <c r="Y33" s="5050"/>
      <c r="Z33" s="5051"/>
      <c r="AA33" s="5046" t="s">
        <v>645</v>
      </c>
      <c r="AB33" s="5047"/>
      <c r="AC33" s="5047"/>
      <c r="AD33" s="5047"/>
      <c r="AE33" s="5051"/>
      <c r="AF33" s="5052" t="s">
        <v>235</v>
      </c>
      <c r="AG33" s="5053"/>
    </row>
    <row r="34" spans="1:33" ht="21" customHeight="1" x14ac:dyDescent="0.2">
      <c r="A34" s="5044"/>
      <c r="B34" s="4990" t="s">
        <v>511</v>
      </c>
      <c r="C34" s="4991"/>
      <c r="D34" s="4988" t="s">
        <v>875</v>
      </c>
      <c r="E34" s="4989"/>
      <c r="F34" s="4997" t="s">
        <v>511</v>
      </c>
      <c r="G34" s="4991"/>
      <c r="H34" s="4988" t="s">
        <v>875</v>
      </c>
      <c r="I34" s="4996"/>
      <c r="J34" s="4997" t="s">
        <v>511</v>
      </c>
      <c r="K34" s="4991"/>
      <c r="L34" s="4988" t="s">
        <v>875</v>
      </c>
      <c r="M34" s="4996"/>
      <c r="N34" s="5058" t="s">
        <v>510</v>
      </c>
      <c r="O34" s="4988" t="s">
        <v>152</v>
      </c>
      <c r="P34" s="4990" t="s">
        <v>511</v>
      </c>
      <c r="Q34" s="4991"/>
      <c r="R34" s="4988" t="s">
        <v>512</v>
      </c>
      <c r="S34" s="4988" t="s">
        <v>513</v>
      </c>
      <c r="T34" s="4988" t="s">
        <v>875</v>
      </c>
      <c r="U34" s="4996"/>
      <c r="V34" s="5011" t="s">
        <v>510</v>
      </c>
      <c r="W34" s="4990" t="s">
        <v>511</v>
      </c>
      <c r="X34" s="4991"/>
      <c r="Y34" s="5009" t="s">
        <v>512</v>
      </c>
      <c r="Z34" s="5063" t="s">
        <v>513</v>
      </c>
      <c r="AA34" s="5061" t="s">
        <v>510</v>
      </c>
      <c r="AB34" s="5062"/>
      <c r="AC34" s="5065" t="s">
        <v>511</v>
      </c>
      <c r="AD34" s="5062"/>
      <c r="AE34" s="4996" t="s">
        <v>514</v>
      </c>
      <c r="AF34" s="5054"/>
      <c r="AG34" s="5055"/>
    </row>
    <row r="35" spans="1:33" ht="6" customHeight="1" x14ac:dyDescent="0.2">
      <c r="A35" s="5044"/>
      <c r="B35" s="4992"/>
      <c r="C35" s="4993"/>
      <c r="D35" s="4988"/>
      <c r="E35" s="4989"/>
      <c r="F35" s="4998"/>
      <c r="G35" s="4993"/>
      <c r="H35" s="4988"/>
      <c r="I35" s="4996"/>
      <c r="J35" s="4998"/>
      <c r="K35" s="4993"/>
      <c r="L35" s="4988"/>
      <c r="M35" s="4996"/>
      <c r="N35" s="5058"/>
      <c r="O35" s="4988"/>
      <c r="P35" s="4992"/>
      <c r="Q35" s="4993"/>
      <c r="R35" s="4988"/>
      <c r="S35" s="4988"/>
      <c r="T35" s="4988"/>
      <c r="U35" s="4996"/>
      <c r="V35" s="5011"/>
      <c r="W35" s="4992"/>
      <c r="X35" s="4993"/>
      <c r="Y35" s="5009"/>
      <c r="Z35" s="5063"/>
      <c r="AA35" s="4998"/>
      <c r="AB35" s="4993"/>
      <c r="AC35" s="4992"/>
      <c r="AD35" s="4993"/>
      <c r="AE35" s="5066"/>
      <c r="AF35" s="5054"/>
      <c r="AG35" s="5055"/>
    </row>
    <row r="36" spans="1:33" ht="38.25" thickBot="1" x14ac:dyDescent="0.25">
      <c r="A36" s="5045"/>
      <c r="B36" s="973" t="s">
        <v>366</v>
      </c>
      <c r="C36" s="970" t="s">
        <v>25</v>
      </c>
      <c r="D36" s="973" t="s">
        <v>366</v>
      </c>
      <c r="E36" s="970" t="s">
        <v>25</v>
      </c>
      <c r="F36" s="940" t="s">
        <v>366</v>
      </c>
      <c r="G36" s="970" t="s">
        <v>25</v>
      </c>
      <c r="H36" s="1016" t="s">
        <v>366</v>
      </c>
      <c r="I36" s="455" t="s">
        <v>25</v>
      </c>
      <c r="J36" s="940" t="s">
        <v>366</v>
      </c>
      <c r="K36" s="970" t="s">
        <v>25</v>
      </c>
      <c r="L36" s="1016" t="s">
        <v>366</v>
      </c>
      <c r="M36" s="455" t="s">
        <v>25</v>
      </c>
      <c r="N36" s="5059"/>
      <c r="O36" s="5060"/>
      <c r="P36" s="1016" t="s">
        <v>366</v>
      </c>
      <c r="Q36" s="970" t="s">
        <v>25</v>
      </c>
      <c r="R36" s="5060"/>
      <c r="S36" s="5060"/>
      <c r="T36" s="1016" t="s">
        <v>366</v>
      </c>
      <c r="U36" s="455" t="s">
        <v>25</v>
      </c>
      <c r="V36" s="4991"/>
      <c r="W36" s="973" t="s">
        <v>366</v>
      </c>
      <c r="X36" s="970" t="s">
        <v>25</v>
      </c>
      <c r="Y36" s="5010"/>
      <c r="Z36" s="5064"/>
      <c r="AA36" s="966" t="s">
        <v>366</v>
      </c>
      <c r="AB36" s="970" t="s">
        <v>25</v>
      </c>
      <c r="AC36" s="1017" t="s">
        <v>366</v>
      </c>
      <c r="AD36" s="970" t="s">
        <v>25</v>
      </c>
      <c r="AE36" s="5067"/>
      <c r="AF36" s="5056"/>
      <c r="AG36" s="5057"/>
    </row>
    <row r="37" spans="1:33" ht="20.100000000000001" customHeight="1" thickBot="1" x14ac:dyDescent="0.3">
      <c r="A37" s="4999" t="s">
        <v>508</v>
      </c>
      <c r="B37" s="5000"/>
      <c r="C37" s="5000"/>
      <c r="D37" s="5000"/>
      <c r="E37" s="5000"/>
      <c r="F37" s="5000"/>
      <c r="G37" s="5000"/>
      <c r="H37" s="5000"/>
      <c r="I37" s="5000"/>
      <c r="J37" s="5000"/>
      <c r="K37" s="5000"/>
      <c r="L37" s="5000"/>
      <c r="M37" s="5000"/>
      <c r="N37" s="5001"/>
      <c r="O37" s="5001"/>
      <c r="P37" s="5001"/>
      <c r="Q37" s="5001"/>
      <c r="R37" s="5001"/>
      <c r="S37" s="5001"/>
      <c r="T37" s="5001"/>
      <c r="U37" s="5001"/>
      <c r="V37" s="5000"/>
      <c r="W37" s="5000"/>
      <c r="X37" s="5000"/>
      <c r="Y37" s="5000"/>
      <c r="Z37" s="5000"/>
      <c r="AA37" s="5001"/>
      <c r="AB37" s="5001"/>
      <c r="AC37" s="5001"/>
      <c r="AD37" s="5001"/>
      <c r="AE37" s="5001"/>
      <c r="AF37" s="5000"/>
      <c r="AG37" s="5002"/>
    </row>
    <row r="38" spans="1:33" ht="36" customHeight="1" x14ac:dyDescent="0.2">
      <c r="A38" s="604" t="s">
        <v>519</v>
      </c>
      <c r="B38" s="1018"/>
      <c r="C38" s="1019"/>
      <c r="D38" s="1020">
        <f>8372.9-E38</f>
        <v>8318</v>
      </c>
      <c r="E38" s="1149">
        <v>54.9</v>
      </c>
      <c r="F38" s="1022">
        <f>6659.1-G38</f>
        <v>6600.1</v>
      </c>
      <c r="G38" s="1023">
        <v>59</v>
      </c>
      <c r="H38" s="1020">
        <v>9115.2999999999993</v>
      </c>
      <c r="I38" s="1021">
        <v>52.2</v>
      </c>
      <c r="J38" s="1022">
        <v>6326</v>
      </c>
      <c r="K38" s="1023">
        <v>55</v>
      </c>
      <c r="L38" s="1020">
        <v>7789.7</v>
      </c>
      <c r="M38" s="1021">
        <v>46</v>
      </c>
      <c r="N38" s="1154">
        <f>N41+N43</f>
        <v>5850</v>
      </c>
      <c r="O38" s="1137">
        <f>N38/J38*100</f>
        <v>92.475497944988945</v>
      </c>
      <c r="P38" s="1024">
        <f>SUM(P41:P43)</f>
        <v>5498.0912165809077</v>
      </c>
      <c r="Q38" s="1026">
        <v>46.13</v>
      </c>
      <c r="R38" s="1026">
        <f>SUM(R41:R43)-R42</f>
        <v>3465.3000000000006</v>
      </c>
      <c r="S38" s="1026">
        <f>SUM(S41:S43)-S42</f>
        <v>5119.5</v>
      </c>
      <c r="T38" s="1027">
        <v>6928.1</v>
      </c>
      <c r="U38" s="1028">
        <v>49.8</v>
      </c>
      <c r="V38" s="1141">
        <f>SUM(V39:V40)</f>
        <v>5800.03</v>
      </c>
      <c r="W38" s="1024">
        <f>SUM(W39:W40)</f>
        <v>5561.39</v>
      </c>
      <c r="X38" s="1029">
        <v>46.13</v>
      </c>
      <c r="Y38" s="1120">
        <f t="shared" ref="Y38:Z38" si="3">SUM(Y39:Y40)</f>
        <v>0</v>
      </c>
      <c r="Z38" s="1028">
        <f t="shared" si="3"/>
        <v>0</v>
      </c>
      <c r="AA38" s="982">
        <f>SUM(AA39:AA40)</f>
        <v>5782.63</v>
      </c>
      <c r="AB38" s="1120">
        <v>49.8</v>
      </c>
      <c r="AC38" s="983">
        <f>SUM(AC39:AC40)</f>
        <v>5642.86</v>
      </c>
      <c r="AD38" s="983">
        <f>SUM(AD39:AD40)</f>
        <v>49.8</v>
      </c>
      <c r="AE38" s="1029">
        <f>SUM(AC38/W38*100)</f>
        <v>101.46492153939933</v>
      </c>
      <c r="AF38" s="5003"/>
      <c r="AG38" s="4995"/>
    </row>
    <row r="39" spans="1:33" ht="36" hidden="1" customHeight="1" x14ac:dyDescent="0.2">
      <c r="A39" s="600" t="s">
        <v>518</v>
      </c>
      <c r="B39" s="1030"/>
      <c r="C39" s="1031"/>
      <c r="D39" s="1032"/>
      <c r="E39" s="1150"/>
      <c r="F39" s="1034"/>
      <c r="G39" s="1158"/>
      <c r="H39" s="1159"/>
      <c r="I39" s="1033"/>
      <c r="J39" s="1034"/>
      <c r="K39" s="1158"/>
      <c r="L39" s="1159"/>
      <c r="M39" s="1033"/>
      <c r="N39" s="1108">
        <f>SUM(N38-N40)</f>
        <v>5825</v>
      </c>
      <c r="O39" s="1138"/>
      <c r="P39" s="1073">
        <f>SUM(P38-P40)</f>
        <v>5498.0912165809077</v>
      </c>
      <c r="Q39" s="1074"/>
      <c r="R39" s="1074">
        <f>SUM(R38-R40)</f>
        <v>3437.3000000000006</v>
      </c>
      <c r="S39" s="1074">
        <f>SUM(S38-S40)</f>
        <v>5081</v>
      </c>
      <c r="T39" s="1145"/>
      <c r="U39" s="1146">
        <v>6928.1</v>
      </c>
      <c r="V39" s="1142">
        <v>5753.9</v>
      </c>
      <c r="W39" s="1073">
        <v>5561.39</v>
      </c>
      <c r="X39" s="1062"/>
      <c r="Y39" s="1123"/>
      <c r="Z39" s="1036"/>
      <c r="AA39" s="1059">
        <v>5736.5</v>
      </c>
      <c r="AB39" s="1121"/>
      <c r="AC39" s="1060">
        <f>AC41+AC43</f>
        <v>5642.86</v>
      </c>
      <c r="AD39" s="1061"/>
      <c r="AE39" s="1062">
        <f>SUM(AC39/W39*100)</f>
        <v>101.46492153939933</v>
      </c>
      <c r="AF39" s="5004"/>
      <c r="AG39" s="5005"/>
    </row>
    <row r="40" spans="1:33" ht="36" hidden="1" customHeight="1" x14ac:dyDescent="0.2">
      <c r="A40" s="600" t="s">
        <v>517</v>
      </c>
      <c r="B40" s="1030"/>
      <c r="C40" s="1031"/>
      <c r="D40" s="1032"/>
      <c r="E40" s="1150"/>
      <c r="F40" s="1034"/>
      <c r="G40" s="1158"/>
      <c r="H40" s="1159"/>
      <c r="I40" s="1033"/>
      <c r="J40" s="1034"/>
      <c r="K40" s="1158"/>
      <c r="L40" s="1159"/>
      <c r="M40" s="1033"/>
      <c r="N40" s="1108">
        <v>25</v>
      </c>
      <c r="O40" s="1138"/>
      <c r="P40" s="1073">
        <v>0</v>
      </c>
      <c r="Q40" s="1074"/>
      <c r="R40" s="1074">
        <v>28</v>
      </c>
      <c r="S40" s="1074">
        <v>38.5</v>
      </c>
      <c r="T40" s="1145"/>
      <c r="U40" s="1146">
        <v>49.8</v>
      </c>
      <c r="V40" s="1142">
        <v>46.13</v>
      </c>
      <c r="W40" s="1073">
        <v>0</v>
      </c>
      <c r="X40" s="1062">
        <v>46.13</v>
      </c>
      <c r="Y40" s="1123"/>
      <c r="Z40" s="1036"/>
      <c r="AA40" s="1059">
        <v>46.13</v>
      </c>
      <c r="AB40" s="1121"/>
      <c r="AC40" s="1060"/>
      <c r="AD40" s="1061">
        <v>49.8</v>
      </c>
      <c r="AE40" s="1062">
        <f>SUM(AC40/40*100)</f>
        <v>0</v>
      </c>
      <c r="AF40" s="5004"/>
      <c r="AG40" s="5005"/>
    </row>
    <row r="41" spans="1:33" ht="36" customHeight="1" x14ac:dyDescent="0.2">
      <c r="A41" s="600" t="s">
        <v>20</v>
      </c>
      <c r="B41" s="1037"/>
      <c r="C41" s="1038"/>
      <c r="D41" s="1039">
        <v>876.4</v>
      </c>
      <c r="E41" s="1105"/>
      <c r="F41" s="1041">
        <f>841.6+22.5</f>
        <v>864.1</v>
      </c>
      <c r="G41" s="1160"/>
      <c r="H41" s="1088">
        <v>913.3</v>
      </c>
      <c r="I41" s="1040"/>
      <c r="J41" s="1041">
        <v>876</v>
      </c>
      <c r="K41" s="1160"/>
      <c r="L41" s="1088">
        <v>811.7</v>
      </c>
      <c r="M41" s="1040"/>
      <c r="N41" s="1108">
        <v>876</v>
      </c>
      <c r="O41" s="1115">
        <f>N41/J41*100</f>
        <v>100</v>
      </c>
      <c r="P41" s="1073">
        <v>507</v>
      </c>
      <c r="Q41" s="1074"/>
      <c r="R41" s="1074">
        <f>3493.3-3054.18</f>
        <v>439.12000000000035</v>
      </c>
      <c r="S41" s="1074">
        <v>648.79999999999995</v>
      </c>
      <c r="T41" s="1115">
        <v>841</v>
      </c>
      <c r="U41" s="1146"/>
      <c r="V41" s="1142">
        <v>754</v>
      </c>
      <c r="W41" s="1073">
        <v>557.12</v>
      </c>
      <c r="X41" s="1062"/>
      <c r="Y41" s="1121"/>
      <c r="Z41" s="1035"/>
      <c r="AA41" s="1059">
        <v>750</v>
      </c>
      <c r="AB41" s="1121"/>
      <c r="AC41" s="1063">
        <v>685</v>
      </c>
      <c r="AD41" s="1064"/>
      <c r="AE41" s="1062">
        <f>SUM(AC41/41*100)</f>
        <v>1670.7317073170732</v>
      </c>
      <c r="AF41" s="986"/>
      <c r="AG41" s="987"/>
    </row>
    <row r="42" spans="1:33" s="181" customFormat="1" ht="36" customHeight="1" x14ac:dyDescent="0.2">
      <c r="A42" s="601" t="s">
        <v>371</v>
      </c>
      <c r="B42" s="598"/>
      <c r="C42" s="995"/>
      <c r="D42" s="606">
        <f>D41/D38</f>
        <v>0.10536186583313296</v>
      </c>
      <c r="E42" s="1151"/>
      <c r="F42" s="1129">
        <f>F41/F38</f>
        <v>0.13092225875365524</v>
      </c>
      <c r="G42" s="1163"/>
      <c r="H42" s="1124">
        <f>H41/H38</f>
        <v>0.10019417901769552</v>
      </c>
      <c r="I42" s="996"/>
      <c r="J42" s="1129">
        <f>J41/J38</f>
        <v>0.13847613025608599</v>
      </c>
      <c r="K42" s="1124"/>
      <c r="L42" s="1124">
        <f>L41/L38</f>
        <v>0.1042017022478401</v>
      </c>
      <c r="M42" s="1135"/>
      <c r="N42" s="1155">
        <f>N41/N38</f>
        <v>0.14974358974358976</v>
      </c>
      <c r="O42" s="1139"/>
      <c r="P42" s="1129">
        <f>507/5558.2</f>
        <v>9.1216580907488035E-2</v>
      </c>
      <c r="Q42" s="1124"/>
      <c r="R42" s="1124">
        <f>439.12/3493</f>
        <v>0.12571428571428572</v>
      </c>
      <c r="S42" s="1124">
        <f>SUM(648.8/5158)</f>
        <v>0.12578518805738659</v>
      </c>
      <c r="T42" s="1065">
        <f>SUM(T41/T38)</f>
        <v>0.12138970280452072</v>
      </c>
      <c r="U42" s="1065"/>
      <c r="V42" s="1143">
        <f>SUM(V41/V38)</f>
        <v>0.12999932758968488</v>
      </c>
      <c r="W42" s="1129">
        <f>SUM(W41/W38)</f>
        <v>0.10017639475023329</v>
      </c>
      <c r="X42" s="1135"/>
      <c r="Y42" s="1133" t="e">
        <f t="shared" ref="Y42:Z42" si="4">SUM(Y41/Y38)</f>
        <v>#DIV/0!</v>
      </c>
      <c r="Z42" s="654" t="e">
        <f t="shared" si="4"/>
        <v>#DIV/0!</v>
      </c>
      <c r="AA42" s="1076">
        <f>SUM(AA41/AA38)</f>
        <v>0.12969877028272603</v>
      </c>
      <c r="AB42" s="1122"/>
      <c r="AC42" s="1077">
        <f>SUM(AC41/AC38)</f>
        <v>0.12139234359881337</v>
      </c>
      <c r="AD42" s="1078"/>
      <c r="AE42" s="1066">
        <f>SUM(AC42/W42*100)</f>
        <v>121.1785909260132</v>
      </c>
      <c r="AF42" s="5006" t="s">
        <v>873</v>
      </c>
      <c r="AG42" s="5007"/>
    </row>
    <row r="43" spans="1:33" ht="36" customHeight="1" x14ac:dyDescent="0.2">
      <c r="A43" s="602" t="s">
        <v>520</v>
      </c>
      <c r="B43" s="1042"/>
      <c r="C43" s="1043"/>
      <c r="D43" s="1044">
        <f>7496.5-E43</f>
        <v>7441.6</v>
      </c>
      <c r="E43" s="1152">
        <v>54.9</v>
      </c>
      <c r="F43" s="1046">
        <f>5795-G43</f>
        <v>5736</v>
      </c>
      <c r="G43" s="1161">
        <v>59</v>
      </c>
      <c r="H43" s="1162">
        <v>8202</v>
      </c>
      <c r="I43" s="1045">
        <v>52.2</v>
      </c>
      <c r="J43" s="1046">
        <v>5450</v>
      </c>
      <c r="K43" s="1161">
        <v>55</v>
      </c>
      <c r="L43" s="1162">
        <v>6978</v>
      </c>
      <c r="M43" s="1045">
        <v>46</v>
      </c>
      <c r="N43" s="1156">
        <f>N46+N48</f>
        <v>4974</v>
      </c>
      <c r="O43" s="1140">
        <f>N43/J43*100</f>
        <v>91.266055045871568</v>
      </c>
      <c r="P43" s="1136">
        <f>P46+P48</f>
        <v>4991</v>
      </c>
      <c r="Q43" s="1147">
        <v>46.13</v>
      </c>
      <c r="R43" s="1147">
        <f>R46+R48</f>
        <v>3026.1800000000003</v>
      </c>
      <c r="S43" s="1147">
        <f>S46+S48</f>
        <v>4470.7</v>
      </c>
      <c r="T43" s="1145">
        <v>6087.1</v>
      </c>
      <c r="U43" s="1148">
        <v>49.8</v>
      </c>
      <c r="V43" s="1144">
        <f>V46+V48</f>
        <v>4999.8999999999996</v>
      </c>
      <c r="W43" s="1136">
        <f>W46+W48</f>
        <v>5004.2700000000004</v>
      </c>
      <c r="X43" s="1068">
        <v>46.13</v>
      </c>
      <c r="Y43" s="1123">
        <f t="shared" ref="Y43:Z43" si="5">SUM(Y44:Y45)</f>
        <v>0</v>
      </c>
      <c r="Z43" s="1036">
        <f t="shared" si="5"/>
        <v>0</v>
      </c>
      <c r="AA43" s="1067">
        <f>SUM(AA44:AA45)</f>
        <v>5032.63</v>
      </c>
      <c r="AB43" s="1123">
        <v>49.8</v>
      </c>
      <c r="AC43" s="1060">
        <f>SUM(AC44:AC45)</f>
        <v>4957.8599999999997</v>
      </c>
      <c r="AD43" s="1060">
        <f>SUM(AD44:AD45)</f>
        <v>49.8</v>
      </c>
      <c r="AE43" s="1068">
        <f>SUM(AC43/W43*100)</f>
        <v>99.07259200642649</v>
      </c>
      <c r="AF43" s="5004"/>
      <c r="AG43" s="5008"/>
    </row>
    <row r="44" spans="1:33" ht="36" hidden="1" customHeight="1" x14ac:dyDescent="0.2">
      <c r="A44" s="600" t="s">
        <v>518</v>
      </c>
      <c r="B44" s="1042"/>
      <c r="C44" s="1043"/>
      <c r="D44" s="1044"/>
      <c r="E44" s="1152"/>
      <c r="F44" s="1046"/>
      <c r="G44" s="1161"/>
      <c r="H44" s="1162"/>
      <c r="I44" s="1045"/>
      <c r="J44" s="1046"/>
      <c r="K44" s="1161"/>
      <c r="L44" s="1162"/>
      <c r="M44" s="1045"/>
      <c r="N44" s="1108">
        <f>SUM(N43-N45)</f>
        <v>4949</v>
      </c>
      <c r="O44" s="1138"/>
      <c r="P44" s="1073">
        <f>SUM(P43-P45)</f>
        <v>4945</v>
      </c>
      <c r="Q44" s="1074"/>
      <c r="R44" s="1074">
        <f>SUM(R43-R45)</f>
        <v>2998.1800000000003</v>
      </c>
      <c r="S44" s="1074">
        <f>SUM(S43-S45)</f>
        <v>4432.2</v>
      </c>
      <c r="T44" s="1145"/>
      <c r="U44" s="1146">
        <f>SUM(U39-U41)</f>
        <v>6928.1</v>
      </c>
      <c r="V44" s="1142">
        <f>SUM(V43-V45)</f>
        <v>4953.7699999999995</v>
      </c>
      <c r="W44" s="1073">
        <f>SUM(W43-W45)</f>
        <v>4958.1400000000003</v>
      </c>
      <c r="X44" s="1062"/>
      <c r="Y44" s="1121">
        <f t="shared" ref="Y44:Z44" si="6">SUM(Y39-Y41)</f>
        <v>0</v>
      </c>
      <c r="Z44" s="1035">
        <f t="shared" si="6"/>
        <v>0</v>
      </c>
      <c r="AA44" s="1059">
        <f>SUM(AA39-AA41)</f>
        <v>4986.5</v>
      </c>
      <c r="AB44" s="1121"/>
      <c r="AC44" s="1063">
        <f>AC48+AC46</f>
        <v>4957.8599999999997</v>
      </c>
      <c r="AD44" s="1064"/>
      <c r="AE44" s="1062">
        <f>SUM(AC44/45*100)</f>
        <v>11017.466666666665</v>
      </c>
      <c r="AF44" s="5004"/>
      <c r="AG44" s="5008"/>
    </row>
    <row r="45" spans="1:33" ht="36" hidden="1" customHeight="1" x14ac:dyDescent="0.2">
      <c r="A45" s="600" t="s">
        <v>517</v>
      </c>
      <c r="B45" s="1042"/>
      <c r="C45" s="1043"/>
      <c r="D45" s="1044"/>
      <c r="E45" s="1152"/>
      <c r="F45" s="1046"/>
      <c r="G45" s="1161"/>
      <c r="H45" s="1162"/>
      <c r="I45" s="1045"/>
      <c r="J45" s="1046"/>
      <c r="K45" s="1161"/>
      <c r="L45" s="1162"/>
      <c r="M45" s="1045"/>
      <c r="N45" s="1108">
        <v>25</v>
      </c>
      <c r="O45" s="1138"/>
      <c r="P45" s="1073">
        <v>46</v>
      </c>
      <c r="Q45" s="1074"/>
      <c r="R45" s="1074">
        <v>28</v>
      </c>
      <c r="S45" s="1074">
        <v>38.5</v>
      </c>
      <c r="T45" s="1145"/>
      <c r="U45" s="1146">
        <f>SUM(U40)</f>
        <v>49.8</v>
      </c>
      <c r="V45" s="1142">
        <v>46.13</v>
      </c>
      <c r="W45" s="1073">
        <v>46.13</v>
      </c>
      <c r="X45" s="1062"/>
      <c r="Y45" s="1121">
        <f t="shared" ref="Y45:Z45" si="7">SUM(Y40)</f>
        <v>0</v>
      </c>
      <c r="Z45" s="1035">
        <f t="shared" si="7"/>
        <v>0</v>
      </c>
      <c r="AA45" s="1059">
        <f>SUM(AA40)</f>
        <v>46.13</v>
      </c>
      <c r="AB45" s="1121"/>
      <c r="AC45" s="1063">
        <f>SUM(AC40)</f>
        <v>0</v>
      </c>
      <c r="AD45" s="1064">
        <v>49.8</v>
      </c>
      <c r="AE45" s="1062">
        <f>SUM(AC45/46*100)</f>
        <v>0</v>
      </c>
      <c r="AF45" s="5004"/>
      <c r="AG45" s="5008"/>
    </row>
    <row r="46" spans="1:33" ht="36" customHeight="1" x14ac:dyDescent="0.2">
      <c r="A46" s="600" t="s">
        <v>51</v>
      </c>
      <c r="B46" s="1037"/>
      <c r="C46" s="1038"/>
      <c r="D46" s="1039">
        <v>2972.2</v>
      </c>
      <c r="E46" s="1105"/>
      <c r="F46" s="1041">
        <v>1150</v>
      </c>
      <c r="G46" s="1160"/>
      <c r="H46" s="1088">
        <v>3822.7</v>
      </c>
      <c r="I46" s="1040"/>
      <c r="J46" s="1041">
        <v>1100</v>
      </c>
      <c r="K46" s="1160"/>
      <c r="L46" s="1088">
        <v>2796.3</v>
      </c>
      <c r="M46" s="1040"/>
      <c r="N46" s="1108">
        <v>999</v>
      </c>
      <c r="O46" s="1115">
        <f>N46/J46*100</f>
        <v>90.818181818181813</v>
      </c>
      <c r="P46" s="1073">
        <f>N46</f>
        <v>999</v>
      </c>
      <c r="Q46" s="1074"/>
      <c r="R46" s="1074">
        <v>981.98</v>
      </c>
      <c r="S46" s="1074">
        <v>1481.3</v>
      </c>
      <c r="T46" s="1115">
        <v>2097.9</v>
      </c>
      <c r="U46" s="1146"/>
      <c r="V46" s="1142">
        <v>1007.9</v>
      </c>
      <c r="W46" s="1073">
        <v>998</v>
      </c>
      <c r="X46" s="1062"/>
      <c r="Y46" s="1121"/>
      <c r="Z46" s="1035"/>
      <c r="AA46" s="1059">
        <v>997.3</v>
      </c>
      <c r="AB46" s="1121"/>
      <c r="AC46" s="1063">
        <v>982.5</v>
      </c>
      <c r="AD46" s="1064"/>
      <c r="AE46" s="1062">
        <f>SUM(AC46/W46*100)</f>
        <v>98.446893787575149</v>
      </c>
      <c r="AF46" s="5004"/>
      <c r="AG46" s="5008"/>
    </row>
    <row r="47" spans="1:33" s="181" customFormat="1" ht="36" customHeight="1" x14ac:dyDescent="0.2">
      <c r="A47" s="601" t="s">
        <v>110</v>
      </c>
      <c r="B47" s="606"/>
      <c r="C47" s="606"/>
      <c r="D47" s="606">
        <f>D46/D43</f>
        <v>0.39940335411739408</v>
      </c>
      <c r="E47" s="1132"/>
      <c r="F47" s="1129">
        <f>F46/F43</f>
        <v>0.20048814504881451</v>
      </c>
      <c r="G47" s="1124"/>
      <c r="H47" s="1124">
        <f>H46/H43</f>
        <v>0.46606925140209704</v>
      </c>
      <c r="I47" s="1135"/>
      <c r="J47" s="1129">
        <f>J46/J43</f>
        <v>0.20183486238532111</v>
      </c>
      <c r="K47" s="1124"/>
      <c r="L47" s="1124">
        <f>L46/L43</f>
        <v>0.40073086844368017</v>
      </c>
      <c r="M47" s="1135"/>
      <c r="N47" s="1155">
        <f>N46/N43*100</f>
        <v>20.084439083232812</v>
      </c>
      <c r="O47" s="1132"/>
      <c r="P47" s="1129">
        <f>P46/P43</f>
        <v>0.20016028851933479</v>
      </c>
      <c r="Q47" s="1124"/>
      <c r="R47" s="1124">
        <f>R46/R43*100</f>
        <v>32.449490777151389</v>
      </c>
      <c r="S47" s="1124">
        <f>S46/S43*100</f>
        <v>33.133513767418968</v>
      </c>
      <c r="T47" s="1124"/>
      <c r="U47" s="1135"/>
      <c r="V47" s="1143">
        <f>V46/V43</f>
        <v>0.20158403168063363</v>
      </c>
      <c r="W47" s="1129">
        <f>W46/W43</f>
        <v>0.19942968704726163</v>
      </c>
      <c r="X47" s="1135"/>
      <c r="Y47" s="1134" t="e">
        <f t="shared" ref="Y47:Z47" si="8">Y46/Y43*100</f>
        <v>#DIV/0!</v>
      </c>
      <c r="Z47" s="655" t="e">
        <f t="shared" si="8"/>
        <v>#DIV/0!</v>
      </c>
      <c r="AA47" s="1129">
        <f>AA46/AA43</f>
        <v>0.19816676370009317</v>
      </c>
      <c r="AB47" s="1124"/>
      <c r="AC47" s="1124">
        <f>AC46/AC43</f>
        <v>0.19817017826239547</v>
      </c>
      <c r="AD47" s="1124"/>
      <c r="AE47" s="1066">
        <f>SUM(AC47/W47*100)</f>
        <v>99.368444686689159</v>
      </c>
      <c r="AF47" s="5034"/>
      <c r="AG47" s="5035"/>
    </row>
    <row r="48" spans="1:33" ht="36" customHeight="1" x14ac:dyDescent="0.2">
      <c r="A48" s="602" t="s">
        <v>515</v>
      </c>
      <c r="B48" s="1042"/>
      <c r="C48" s="1043"/>
      <c r="D48" s="1044">
        <v>4524.3</v>
      </c>
      <c r="E48" s="1152">
        <v>54.9</v>
      </c>
      <c r="F48" s="1046">
        <f>4645-G48</f>
        <v>4586</v>
      </c>
      <c r="G48" s="1161">
        <v>59</v>
      </c>
      <c r="H48" s="1162">
        <v>4379.3</v>
      </c>
      <c r="I48" s="1045">
        <v>52.2</v>
      </c>
      <c r="J48" s="1046">
        <v>4405</v>
      </c>
      <c r="K48" s="1161">
        <v>55</v>
      </c>
      <c r="L48" s="1162">
        <v>4181.7</v>
      </c>
      <c r="M48" s="1045">
        <v>46</v>
      </c>
      <c r="N48" s="1156">
        <f>SUM(N49:N50)</f>
        <v>3975</v>
      </c>
      <c r="O48" s="1140">
        <f>N48/J48*100</f>
        <v>90.238365493757087</v>
      </c>
      <c r="P48" s="1136">
        <f>SUM(P49:P50)</f>
        <v>3992</v>
      </c>
      <c r="Q48" s="1147">
        <v>46.13</v>
      </c>
      <c r="R48" s="1147">
        <f>SUM(R49:R50)</f>
        <v>2044.2</v>
      </c>
      <c r="S48" s="1147">
        <f>SUM(S49:S50)</f>
        <v>2989.3999999999996</v>
      </c>
      <c r="T48" s="1145">
        <v>3989.2</v>
      </c>
      <c r="U48" s="1148">
        <v>49.8</v>
      </c>
      <c r="V48" s="1144">
        <f>SUM(V49:V50)</f>
        <v>3992</v>
      </c>
      <c r="W48" s="1136">
        <f>SUM(W49:W51)</f>
        <v>4006.2700000000004</v>
      </c>
      <c r="X48" s="1068">
        <v>46.13</v>
      </c>
      <c r="Y48" s="1123">
        <f>SUM(Y49:Y50)</f>
        <v>0</v>
      </c>
      <c r="Z48" s="1036">
        <f>SUM(Z49:Z50)</f>
        <v>0</v>
      </c>
      <c r="AA48" s="1067">
        <f>SUM(AA49:AA51)</f>
        <v>3989.2169999999996</v>
      </c>
      <c r="AB48" s="1123">
        <v>49.8</v>
      </c>
      <c r="AC48" s="1060">
        <f>SUM(AC49:AC51)</f>
        <v>3975.3599999999997</v>
      </c>
      <c r="AD48" s="1060">
        <f>SUM(AD49:AD51)</f>
        <v>49.8</v>
      </c>
      <c r="AE48" s="1164">
        <f>AC48/W48</f>
        <v>0.99228459389906298</v>
      </c>
      <c r="AF48" s="5004"/>
      <c r="AG48" s="5008"/>
    </row>
    <row r="49" spans="1:33" ht="36" customHeight="1" x14ac:dyDescent="0.2">
      <c r="A49" s="600" t="s">
        <v>24</v>
      </c>
      <c r="B49" s="1037"/>
      <c r="C49" s="1038"/>
      <c r="D49" s="1039">
        <v>3159.6</v>
      </c>
      <c r="E49" s="1105"/>
      <c r="F49" s="1041">
        <v>3192</v>
      </c>
      <c r="G49" s="1160"/>
      <c r="H49" s="1088">
        <v>3094</v>
      </c>
      <c r="I49" s="1040"/>
      <c r="J49" s="1041">
        <v>3100</v>
      </c>
      <c r="K49" s="1160"/>
      <c r="L49" s="1088">
        <v>2975.5</v>
      </c>
      <c r="M49" s="1040"/>
      <c r="N49" s="1108">
        <v>2800</v>
      </c>
      <c r="O49" s="1115">
        <f>N49/J49*100</f>
        <v>90.322580645161281</v>
      </c>
      <c r="P49" s="1073">
        <v>2800</v>
      </c>
      <c r="Q49" s="1074"/>
      <c r="R49" s="1074">
        <f>1426.4</f>
        <v>1426.4</v>
      </c>
      <c r="S49" s="1074">
        <v>2084.6999999999998</v>
      </c>
      <c r="T49" s="1115">
        <v>2780.7</v>
      </c>
      <c r="U49" s="1146"/>
      <c r="V49" s="1142">
        <v>2800</v>
      </c>
      <c r="W49" s="1073">
        <v>2445.422</v>
      </c>
      <c r="X49" s="1062"/>
      <c r="Y49" s="1121"/>
      <c r="Z49" s="1035"/>
      <c r="AA49" s="1059">
        <v>2428.56</v>
      </c>
      <c r="AB49" s="1121"/>
      <c r="AC49" s="1063">
        <f>AA49</f>
        <v>2428.56</v>
      </c>
      <c r="AD49" s="1064">
        <v>0</v>
      </c>
      <c r="AE49" s="1062">
        <f>SUM(AC49/W49*100)</f>
        <v>99.310466659742161</v>
      </c>
      <c r="AF49" s="5021" t="s">
        <v>880</v>
      </c>
      <c r="AG49" s="5022"/>
    </row>
    <row r="50" spans="1:33" ht="36" customHeight="1" x14ac:dyDescent="0.2">
      <c r="A50" s="781" t="s">
        <v>26</v>
      </c>
      <c r="B50" s="1047"/>
      <c r="C50" s="1048"/>
      <c r="D50" s="1049">
        <v>1309.8</v>
      </c>
      <c r="E50" s="1153">
        <v>54.9</v>
      </c>
      <c r="F50" s="1084">
        <v>1394</v>
      </c>
      <c r="G50" s="1081">
        <v>59</v>
      </c>
      <c r="H50" s="1082">
        <v>1285.3</v>
      </c>
      <c r="I50" s="1083">
        <v>52.2</v>
      </c>
      <c r="J50" s="1084">
        <v>1250</v>
      </c>
      <c r="K50" s="1081">
        <v>55</v>
      </c>
      <c r="L50" s="1082">
        <v>1206.2</v>
      </c>
      <c r="M50" s="1083">
        <v>46</v>
      </c>
      <c r="N50" s="1157">
        <v>1175</v>
      </c>
      <c r="O50" s="1075">
        <f>N50/J50*100</f>
        <v>94</v>
      </c>
      <c r="P50" s="1085">
        <v>1192</v>
      </c>
      <c r="Q50" s="1086">
        <v>46.13</v>
      </c>
      <c r="R50" s="1086">
        <v>617.79999999999995</v>
      </c>
      <c r="S50" s="1086">
        <v>904.7</v>
      </c>
      <c r="T50" s="1075">
        <v>1208.5</v>
      </c>
      <c r="U50" s="1087">
        <v>49.8</v>
      </c>
      <c r="V50" s="1126">
        <v>1192</v>
      </c>
      <c r="W50" s="1085">
        <v>1003.2910000000001</v>
      </c>
      <c r="X50" s="1072">
        <v>46.13</v>
      </c>
      <c r="Y50" s="1125"/>
      <c r="Z50" s="1050"/>
      <c r="AA50" s="1069">
        <v>1003.1</v>
      </c>
      <c r="AB50" s="1125">
        <v>49.8</v>
      </c>
      <c r="AC50" s="1070">
        <v>1003.1</v>
      </c>
      <c r="AD50" s="1071">
        <v>49.8</v>
      </c>
      <c r="AE50" s="1072">
        <f>SUM(AC50/W50*100)</f>
        <v>99.980962651912549</v>
      </c>
      <c r="AF50" s="5021" t="s">
        <v>880</v>
      </c>
      <c r="AG50" s="5022"/>
    </row>
    <row r="51" spans="1:33" ht="36" customHeight="1" x14ac:dyDescent="0.2">
      <c r="A51" s="600" t="s">
        <v>825</v>
      </c>
      <c r="B51" s="1037"/>
      <c r="C51" s="1038"/>
      <c r="D51" s="1039"/>
      <c r="E51" s="1105"/>
      <c r="F51" s="1041"/>
      <c r="G51" s="1160"/>
      <c r="H51" s="1088"/>
      <c r="I51" s="1040"/>
      <c r="J51" s="1041"/>
      <c r="K51" s="1160"/>
      <c r="L51" s="1088"/>
      <c r="M51" s="1040"/>
      <c r="N51" s="1108"/>
      <c r="O51" s="1115"/>
      <c r="P51" s="1073"/>
      <c r="Q51" s="1074"/>
      <c r="R51" s="1074"/>
      <c r="S51" s="1074"/>
      <c r="T51" s="1115"/>
      <c r="U51" s="1146"/>
      <c r="V51" s="1142"/>
      <c r="W51" s="1073">
        <f>SUM(W52:W53)</f>
        <v>557.55700000000002</v>
      </c>
      <c r="X51" s="1062"/>
      <c r="Y51" s="1121"/>
      <c r="Z51" s="1035"/>
      <c r="AA51" s="1073">
        <f>SUM(AA52:AA53)</f>
        <v>557.55700000000002</v>
      </c>
      <c r="AB51" s="1108"/>
      <c r="AC51" s="1074">
        <f>SUM(AC52:AC53)</f>
        <v>543.70000000000005</v>
      </c>
      <c r="AD51" s="1075">
        <v>0</v>
      </c>
      <c r="AE51" s="1072">
        <f>SUM(AC51/W51*100)</f>
        <v>97.514693564962869</v>
      </c>
      <c r="AF51" s="5023"/>
      <c r="AG51" s="5024"/>
    </row>
    <row r="52" spans="1:33" ht="50.25" customHeight="1" x14ac:dyDescent="0.2">
      <c r="A52" s="601" t="s">
        <v>637</v>
      </c>
      <c r="B52" s="1037"/>
      <c r="C52" s="1038"/>
      <c r="D52" s="1039"/>
      <c r="E52" s="1105"/>
      <c r="F52" s="1041"/>
      <c r="G52" s="1160"/>
      <c r="H52" s="1088"/>
      <c r="I52" s="1040"/>
      <c r="J52" s="1041"/>
      <c r="K52" s="1160"/>
      <c r="L52" s="1088"/>
      <c r="M52" s="1040"/>
      <c r="N52" s="1108"/>
      <c r="O52" s="1115"/>
      <c r="P52" s="1073"/>
      <c r="Q52" s="1074"/>
      <c r="R52" s="1074"/>
      <c r="S52" s="1074"/>
      <c r="T52" s="1115"/>
      <c r="U52" s="1146"/>
      <c r="V52" s="1142"/>
      <c r="W52" s="1073">
        <v>509.79</v>
      </c>
      <c r="X52" s="1062"/>
      <c r="Y52" s="1121"/>
      <c r="Z52" s="1035"/>
      <c r="AA52" s="1073">
        <v>509.79</v>
      </c>
      <c r="AB52" s="1126"/>
      <c r="AC52" s="1075">
        <v>494</v>
      </c>
      <c r="AD52" s="1075">
        <v>0</v>
      </c>
      <c r="AE52" s="1072">
        <f>SUM(AC52/W52*100)</f>
        <v>96.902646187645885</v>
      </c>
      <c r="AF52" s="5023" t="s">
        <v>872</v>
      </c>
      <c r="AG52" s="5024"/>
    </row>
    <row r="53" spans="1:33" ht="58.5" customHeight="1" thickBot="1" x14ac:dyDescent="0.25">
      <c r="A53" s="1079" t="s">
        <v>638</v>
      </c>
      <c r="B53" s="1080"/>
      <c r="C53" s="1081"/>
      <c r="D53" s="1082"/>
      <c r="E53" s="1153"/>
      <c r="F53" s="1054"/>
      <c r="G53" s="1051"/>
      <c r="H53" s="1052"/>
      <c r="I53" s="1053"/>
      <c r="J53" s="1054"/>
      <c r="K53" s="1051"/>
      <c r="L53" s="1052"/>
      <c r="M53" s="1053"/>
      <c r="N53" s="1157"/>
      <c r="O53" s="1075"/>
      <c r="P53" s="1055"/>
      <c r="Q53" s="1056"/>
      <c r="R53" s="1056"/>
      <c r="S53" s="1056"/>
      <c r="T53" s="984"/>
      <c r="U53" s="1057"/>
      <c r="V53" s="1126"/>
      <c r="W53" s="1055">
        <v>47.767000000000003</v>
      </c>
      <c r="X53" s="1058"/>
      <c r="Y53" s="1125"/>
      <c r="Z53" s="1087"/>
      <c r="AA53" s="1055">
        <v>47.767000000000003</v>
      </c>
      <c r="AB53" s="1130"/>
      <c r="AC53" s="984">
        <v>49.7</v>
      </c>
      <c r="AD53" s="984">
        <v>0</v>
      </c>
      <c r="AE53" s="1058">
        <f>SUM(AC53/W53*100)</f>
        <v>104.04672681977097</v>
      </c>
      <c r="AF53" s="5025" t="s">
        <v>872</v>
      </c>
      <c r="AG53" s="5026"/>
    </row>
    <row r="54" spans="1:33" ht="58.5" customHeight="1" x14ac:dyDescent="0.2">
      <c r="A54" s="1096" t="s">
        <v>876</v>
      </c>
      <c r="B54" s="1102"/>
      <c r="C54" s="1089"/>
      <c r="D54" s="1089"/>
      <c r="E54" s="1103"/>
      <c r="F54" s="1099"/>
      <c r="G54" s="1089"/>
      <c r="H54" s="1089"/>
      <c r="I54" s="1104"/>
      <c r="J54" s="1102"/>
      <c r="K54" s="1089"/>
      <c r="L54" s="1089"/>
      <c r="M54" s="1103"/>
      <c r="N54" s="1107"/>
      <c r="O54" s="1090"/>
      <c r="P54" s="1090"/>
      <c r="Q54" s="1090"/>
      <c r="R54" s="1090"/>
      <c r="S54" s="1090"/>
      <c r="T54" s="1090"/>
      <c r="U54" s="1110"/>
      <c r="V54" s="1165"/>
      <c r="W54" s="1112"/>
      <c r="X54" s="1113"/>
      <c r="Y54" s="1091"/>
      <c r="Z54" s="1091"/>
      <c r="AA54" s="1090"/>
      <c r="AB54" s="1090"/>
      <c r="AC54" s="1090">
        <f>1/3*((T48-L48)/L48+(L48-H48)/H48+(H48-D48)/D48)</f>
        <v>-4.1068144286008995E-2</v>
      </c>
      <c r="AD54" s="1090"/>
      <c r="AE54" s="1114"/>
      <c r="AF54" s="1116"/>
      <c r="AG54" s="1092"/>
    </row>
    <row r="55" spans="1:33" ht="58.5" customHeight="1" x14ac:dyDescent="0.2">
      <c r="A55" s="1097" t="s">
        <v>877</v>
      </c>
      <c r="B55" s="1041"/>
      <c r="C55" s="1088"/>
      <c r="D55" s="1088"/>
      <c r="E55" s="1040"/>
      <c r="F55" s="1100"/>
      <c r="G55" s="1088"/>
      <c r="H55" s="1088"/>
      <c r="I55" s="1105"/>
      <c r="J55" s="1041"/>
      <c r="K55" s="1088"/>
      <c r="L55" s="1088"/>
      <c r="M55" s="1040"/>
      <c r="N55" s="1108"/>
      <c r="O55" s="1074"/>
      <c r="P55" s="1074"/>
      <c r="Q55" s="1074"/>
      <c r="R55" s="1074"/>
      <c r="S55" s="1074"/>
      <c r="T55" s="1074"/>
      <c r="U55" s="1064"/>
      <c r="V55" s="1131"/>
      <c r="W55" s="1073"/>
      <c r="X55" s="1062"/>
      <c r="Y55" s="1063"/>
      <c r="Z55" s="1063"/>
      <c r="AA55" s="1074"/>
      <c r="AB55" s="1074"/>
      <c r="AC55" s="1074">
        <f>AC54</f>
        <v>-4.1068144286008995E-2</v>
      </c>
      <c r="AD55" s="1074"/>
      <c r="AE55" s="1115"/>
      <c r="AF55" s="1117"/>
      <c r="AG55" s="1093"/>
    </row>
    <row r="56" spans="1:33" ht="58.5" customHeight="1" thickBot="1" x14ac:dyDescent="0.25">
      <c r="A56" s="1098" t="s">
        <v>878</v>
      </c>
      <c r="B56" s="1054"/>
      <c r="C56" s="1052"/>
      <c r="D56" s="1052"/>
      <c r="E56" s="1053"/>
      <c r="F56" s="1101"/>
      <c r="G56" s="1052"/>
      <c r="H56" s="1052"/>
      <c r="I56" s="1106"/>
      <c r="J56" s="1054"/>
      <c r="K56" s="1052"/>
      <c r="L56" s="1052"/>
      <c r="M56" s="1053"/>
      <c r="N56" s="1109"/>
      <c r="O56" s="1056"/>
      <c r="P56" s="1056"/>
      <c r="Q56" s="1056"/>
      <c r="R56" s="1056"/>
      <c r="S56" s="1056"/>
      <c r="T56" s="1056"/>
      <c r="U56" s="1111"/>
      <c r="V56" s="1166"/>
      <c r="W56" s="1055"/>
      <c r="X56" s="1058"/>
      <c r="Y56" s="1094"/>
      <c r="Z56" s="1094"/>
      <c r="AA56" s="1056"/>
      <c r="AB56" s="1056"/>
      <c r="AC56" s="1056">
        <f>T48*(1+AC55)*(1+AC55)</f>
        <v>3668.2700723301605</v>
      </c>
      <c r="AD56" s="1056"/>
      <c r="AE56" s="984">
        <f>AC56/W48</f>
        <v>0.9156322645079239</v>
      </c>
      <c r="AF56" s="963"/>
      <c r="AG56" s="1095"/>
    </row>
    <row r="57" spans="1:33" ht="20.100000000000001" customHeight="1" thickBot="1" x14ac:dyDescent="0.25">
      <c r="A57" s="5027" t="s">
        <v>509</v>
      </c>
      <c r="B57" s="5028"/>
      <c r="C57" s="5028"/>
      <c r="D57" s="5028"/>
      <c r="E57" s="5028"/>
      <c r="F57" s="5028"/>
      <c r="G57" s="5028"/>
      <c r="H57" s="5028"/>
      <c r="I57" s="5028"/>
      <c r="J57" s="5028"/>
      <c r="K57" s="5028"/>
      <c r="L57" s="5028"/>
      <c r="M57" s="5028"/>
      <c r="N57" s="5028"/>
      <c r="O57" s="5028"/>
      <c r="P57" s="5028"/>
      <c r="Q57" s="5028"/>
      <c r="R57" s="5028"/>
      <c r="S57" s="5028"/>
      <c r="T57" s="5028"/>
      <c r="U57" s="5028"/>
      <c r="V57" s="5028"/>
      <c r="W57" s="5028"/>
      <c r="X57" s="5028"/>
      <c r="Y57" s="5028"/>
      <c r="Z57" s="5028"/>
      <c r="AA57" s="5028"/>
      <c r="AB57" s="5028"/>
      <c r="AC57" s="5028"/>
      <c r="AD57" s="5028"/>
      <c r="AE57" s="5028"/>
      <c r="AF57" s="5028"/>
      <c r="AG57" s="5029"/>
    </row>
    <row r="58" spans="1:33" ht="20.100000000000001" customHeight="1" x14ac:dyDescent="0.2">
      <c r="A58" s="599" t="s">
        <v>879</v>
      </c>
      <c r="B58" s="1102"/>
      <c r="C58" s="1089"/>
      <c r="D58" s="1089"/>
      <c r="E58" s="1103"/>
      <c r="F58" s="1102">
        <f>F59</f>
        <v>4196.5</v>
      </c>
      <c r="G58" s="1089">
        <v>28</v>
      </c>
      <c r="H58" s="1089">
        <v>8680.7000000000007</v>
      </c>
      <c r="I58" s="1103">
        <v>18.3</v>
      </c>
      <c r="J58" s="1102">
        <v>3990</v>
      </c>
      <c r="K58" s="1089">
        <v>28</v>
      </c>
      <c r="L58" s="1089">
        <v>4731.6000000000004</v>
      </c>
      <c r="M58" s="1103">
        <v>30.2</v>
      </c>
      <c r="N58" s="1154">
        <v>3600</v>
      </c>
      <c r="O58" s="1025" t="e">
        <f>N58/#REF!*100</f>
        <v>#REF!</v>
      </c>
      <c r="P58" s="1026">
        <v>3644.7</v>
      </c>
      <c r="Q58" s="1026">
        <f>Q59</f>
        <v>28</v>
      </c>
      <c r="R58" s="1026">
        <f>SUM(R59:R61)</f>
        <v>3537.9999999999995</v>
      </c>
      <c r="S58" s="1026">
        <f>SUM(S59:S61)</f>
        <v>5192.1999999999989</v>
      </c>
      <c r="T58" s="1026">
        <v>4374.8</v>
      </c>
      <c r="U58" s="983">
        <v>30.2</v>
      </c>
      <c r="V58" s="1027">
        <f t="shared" ref="U58:X59" si="9">SUM(V59:V61)</f>
        <v>7317.4</v>
      </c>
      <c r="W58" s="1024">
        <f>W59</f>
        <v>3644.7</v>
      </c>
      <c r="X58" s="1029">
        <f t="shared" si="9"/>
        <v>28</v>
      </c>
      <c r="Y58" s="1120">
        <f t="shared" ref="Y58:Z59" si="10">SUM(Y59:Y61)</f>
        <v>0</v>
      </c>
      <c r="Z58" s="1173">
        <f t="shared" si="10"/>
        <v>0</v>
      </c>
      <c r="AA58" s="1024">
        <v>4658</v>
      </c>
      <c r="AB58" s="1026">
        <v>28</v>
      </c>
      <c r="AC58" s="1026">
        <f>AC59</f>
        <v>3445</v>
      </c>
      <c r="AD58" s="1026">
        <f t="shared" ref="AA58:AD59" si="11">SUM(AD59:AD61)</f>
        <v>28</v>
      </c>
      <c r="AE58" s="1113">
        <f>SUM(AC58/W58*100)</f>
        <v>94.520811040689225</v>
      </c>
      <c r="AF58" s="4994"/>
      <c r="AG58" s="4995"/>
    </row>
    <row r="59" spans="1:33" ht="36" customHeight="1" x14ac:dyDescent="0.2">
      <c r="A59" s="1170" t="s">
        <v>516</v>
      </c>
      <c r="B59" s="1041"/>
      <c r="C59" s="1088"/>
      <c r="D59" s="1088">
        <v>4093.2</v>
      </c>
      <c r="E59" s="1040">
        <v>26.4</v>
      </c>
      <c r="F59" s="1041">
        <v>4196.5</v>
      </c>
      <c r="G59" s="1088">
        <v>28</v>
      </c>
      <c r="H59" s="1088">
        <v>3988.3</v>
      </c>
      <c r="I59" s="1040">
        <v>18.3</v>
      </c>
      <c r="J59" s="1041">
        <v>3990</v>
      </c>
      <c r="K59" s="1088">
        <v>28</v>
      </c>
      <c r="L59" s="1088">
        <v>3771</v>
      </c>
      <c r="M59" s="1040">
        <f>M60+M61+M62</f>
        <v>30.2</v>
      </c>
      <c r="N59" s="1156">
        <v>3600</v>
      </c>
      <c r="O59" s="1167" t="e">
        <f>N59/#REF!*100</f>
        <v>#REF!</v>
      </c>
      <c r="P59" s="1147">
        <f>SUM(P60:P62)</f>
        <v>3644.7</v>
      </c>
      <c r="Q59" s="1147">
        <v>28</v>
      </c>
      <c r="R59" s="1147">
        <f>SUM(R60:R62)</f>
        <v>1773.7999999999997</v>
      </c>
      <c r="S59" s="1147">
        <f>SUM(S60:S62)</f>
        <v>2603.1999999999998</v>
      </c>
      <c r="T59" s="1147">
        <v>3476.2</v>
      </c>
      <c r="U59" s="1060">
        <f t="shared" si="9"/>
        <v>30.2</v>
      </c>
      <c r="V59" s="1145">
        <f t="shared" si="9"/>
        <v>3672.7</v>
      </c>
      <c r="W59" s="1136">
        <f t="shared" si="9"/>
        <v>3644.7</v>
      </c>
      <c r="X59" s="1068">
        <f t="shared" si="9"/>
        <v>28</v>
      </c>
      <c r="Y59" s="1123">
        <f t="shared" si="10"/>
        <v>0</v>
      </c>
      <c r="Z59" s="1061">
        <f t="shared" si="10"/>
        <v>0</v>
      </c>
      <c r="AA59" s="1136">
        <f t="shared" si="11"/>
        <v>3445</v>
      </c>
      <c r="AB59" s="1147">
        <v>28</v>
      </c>
      <c r="AC59" s="1147">
        <f t="shared" si="11"/>
        <v>3445</v>
      </c>
      <c r="AD59" s="1147">
        <f t="shared" si="11"/>
        <v>28</v>
      </c>
      <c r="AE59" s="1062">
        <f>SUM(AC59/W59*100)</f>
        <v>94.520811040689225</v>
      </c>
      <c r="AF59" s="5019"/>
      <c r="AG59" s="5020"/>
    </row>
    <row r="60" spans="1:33" ht="36" customHeight="1" x14ac:dyDescent="0.2">
      <c r="A60" s="1171" t="s">
        <v>27</v>
      </c>
      <c r="B60" s="1041"/>
      <c r="C60" s="1088"/>
      <c r="D60" s="1088">
        <v>3032.3</v>
      </c>
      <c r="E60" s="1040">
        <v>0</v>
      </c>
      <c r="F60" s="1041">
        <v>3064.5</v>
      </c>
      <c r="G60" s="1088">
        <v>0</v>
      </c>
      <c r="H60" s="1088">
        <v>2946</v>
      </c>
      <c r="I60" s="1040">
        <v>0</v>
      </c>
      <c r="J60" s="1041">
        <v>2955</v>
      </c>
      <c r="K60" s="1088">
        <v>0</v>
      </c>
      <c r="L60" s="1088">
        <v>2748.3</v>
      </c>
      <c r="M60" s="1040">
        <v>0</v>
      </c>
      <c r="N60" s="1108">
        <v>2600</v>
      </c>
      <c r="O60" s="1168" t="e">
        <f>N60/#REF!*100</f>
        <v>#REF!</v>
      </c>
      <c r="P60" s="1074">
        <v>2600</v>
      </c>
      <c r="Q60" s="1074">
        <v>0</v>
      </c>
      <c r="R60" s="1074">
        <v>1250.8</v>
      </c>
      <c r="S60" s="1074">
        <v>1837.1</v>
      </c>
      <c r="T60" s="1074">
        <v>2448.6999999999998</v>
      </c>
      <c r="U60" s="1063">
        <v>0</v>
      </c>
      <c r="V60" s="1115">
        <v>2600</v>
      </c>
      <c r="W60" s="1073">
        <f>V60</f>
        <v>2600</v>
      </c>
      <c r="X60" s="1062">
        <v>0</v>
      </c>
      <c r="Y60" s="1121"/>
      <c r="Z60" s="1064"/>
      <c r="AA60" s="1073">
        <v>2448</v>
      </c>
      <c r="AB60" s="1074">
        <v>0</v>
      </c>
      <c r="AC60" s="1074">
        <f>AA60</f>
        <v>2448</v>
      </c>
      <c r="AD60" s="1074">
        <v>0</v>
      </c>
      <c r="AE60" s="1062">
        <f>SUM(AC60/W60*100)</f>
        <v>94.15384615384616</v>
      </c>
      <c r="AF60" s="5030" t="s">
        <v>880</v>
      </c>
      <c r="AG60" s="5031"/>
    </row>
    <row r="61" spans="1:33" ht="36" customHeight="1" x14ac:dyDescent="0.2">
      <c r="A61" s="1171" t="s">
        <v>29</v>
      </c>
      <c r="B61" s="1041"/>
      <c r="C61" s="1088"/>
      <c r="D61" s="1088">
        <v>1034.5</v>
      </c>
      <c r="E61" s="1040">
        <v>0</v>
      </c>
      <c r="F61" s="1041">
        <v>1132</v>
      </c>
      <c r="G61" s="1088">
        <v>0</v>
      </c>
      <c r="H61" s="1088">
        <v>1042.3</v>
      </c>
      <c r="I61" s="1040">
        <v>0</v>
      </c>
      <c r="J61" s="1041">
        <v>1035</v>
      </c>
      <c r="K61" s="1088">
        <v>0</v>
      </c>
      <c r="L61" s="1088">
        <v>1022.7</v>
      </c>
      <c r="M61" s="1040">
        <v>0</v>
      </c>
      <c r="N61" s="1108">
        <v>972</v>
      </c>
      <c r="O61" s="1168" t="e">
        <f>N61/#REF!*100</f>
        <v>#REF!</v>
      </c>
      <c r="P61" s="1074">
        <v>1044.7</v>
      </c>
      <c r="Q61" s="1074">
        <v>0</v>
      </c>
      <c r="R61" s="1074">
        <v>513.4</v>
      </c>
      <c r="S61" s="1074">
        <v>751.9</v>
      </c>
      <c r="T61" s="1074">
        <v>997.3</v>
      </c>
      <c r="U61" s="1063">
        <v>0</v>
      </c>
      <c r="V61" s="1115">
        <v>1044.7</v>
      </c>
      <c r="W61" s="1073">
        <f>V61</f>
        <v>1044.7</v>
      </c>
      <c r="X61" s="1062">
        <v>0</v>
      </c>
      <c r="Y61" s="1121"/>
      <c r="Z61" s="1064"/>
      <c r="AA61" s="1073">
        <v>997</v>
      </c>
      <c r="AB61" s="1074">
        <v>0</v>
      </c>
      <c r="AC61" s="1074">
        <f>AA61</f>
        <v>997</v>
      </c>
      <c r="AD61" s="1074">
        <v>0</v>
      </c>
      <c r="AE61" s="1062">
        <f>SUM(AC61/W61*100)</f>
        <v>95.434095912702205</v>
      </c>
      <c r="AF61" s="5030" t="s">
        <v>880</v>
      </c>
      <c r="AG61" s="5031"/>
    </row>
    <row r="62" spans="1:33" ht="36" customHeight="1" thickBot="1" x14ac:dyDescent="0.25">
      <c r="A62" s="603" t="s">
        <v>67</v>
      </c>
      <c r="B62" s="1054"/>
      <c r="C62" s="1052"/>
      <c r="D62" s="1052">
        <v>0</v>
      </c>
      <c r="E62" s="1053">
        <v>26.4</v>
      </c>
      <c r="F62" s="1054">
        <v>0</v>
      </c>
      <c r="G62" s="1052">
        <v>28</v>
      </c>
      <c r="H62" s="1052">
        <v>0</v>
      </c>
      <c r="I62" s="1053">
        <v>18.3</v>
      </c>
      <c r="J62" s="1054">
        <v>0</v>
      </c>
      <c r="K62" s="1052">
        <v>28</v>
      </c>
      <c r="L62" s="1052">
        <v>0</v>
      </c>
      <c r="M62" s="1053">
        <v>30.2</v>
      </c>
      <c r="N62" s="1109">
        <v>28</v>
      </c>
      <c r="O62" s="1169" t="e">
        <f>N62/#REF!*100</f>
        <v>#REF!</v>
      </c>
      <c r="P62" s="1056">
        <v>0</v>
      </c>
      <c r="Q62" s="1056">
        <v>28</v>
      </c>
      <c r="R62" s="1056">
        <v>9.6</v>
      </c>
      <c r="S62" s="1056">
        <v>14.2</v>
      </c>
      <c r="T62" s="1056">
        <v>0</v>
      </c>
      <c r="U62" s="1094">
        <v>30.2</v>
      </c>
      <c r="V62" s="984">
        <v>28</v>
      </c>
      <c r="W62" s="1055">
        <v>0</v>
      </c>
      <c r="X62" s="1058">
        <v>28</v>
      </c>
      <c r="Y62" s="1172"/>
      <c r="Z62" s="1111"/>
      <c r="AA62" s="1055">
        <v>0</v>
      </c>
      <c r="AB62" s="1056">
        <v>28</v>
      </c>
      <c r="AC62" s="1056">
        <v>0</v>
      </c>
      <c r="AD62" s="1056">
        <v>28</v>
      </c>
      <c r="AE62" s="1058" t="e">
        <f>SUM(AC62/W62*100)</f>
        <v>#DIV/0!</v>
      </c>
      <c r="AF62" s="5032"/>
      <c r="AG62" s="5033"/>
    </row>
    <row r="64" spans="1:33" hidden="1" outlineLevel="1" x14ac:dyDescent="0.2">
      <c r="A64" s="157" t="s">
        <v>265</v>
      </c>
    </row>
    <row r="65" spans="1:34" hidden="1" outlineLevel="1" x14ac:dyDescent="0.2">
      <c r="A65" s="25"/>
      <c r="B65" s="25"/>
      <c r="C65" s="971"/>
      <c r="D65" s="971"/>
      <c r="E65" s="971"/>
      <c r="F65" s="971"/>
      <c r="G65" s="971"/>
      <c r="H65" s="971"/>
      <c r="I65" s="971"/>
      <c r="J65" s="25"/>
      <c r="K65" s="971"/>
      <c r="L65" s="971"/>
      <c r="M65" s="25"/>
      <c r="N65" s="25" t="s">
        <v>256</v>
      </c>
      <c r="O65" s="25" t="s">
        <v>257</v>
      </c>
      <c r="P65" s="25" t="s">
        <v>257</v>
      </c>
      <c r="Q65" s="971"/>
      <c r="R65" s="25" t="s">
        <v>258</v>
      </c>
      <c r="S65" s="25" t="s">
        <v>259</v>
      </c>
      <c r="T65" s="971"/>
      <c r="U65" s="579"/>
      <c r="V65" s="25" t="s">
        <v>260</v>
      </c>
      <c r="W65" s="25" t="s">
        <v>262</v>
      </c>
      <c r="X65" s="971"/>
      <c r="Y65" s="579"/>
      <c r="Z65" s="579"/>
      <c r="AA65" s="579"/>
      <c r="AB65" s="1127"/>
      <c r="AC65" s="579"/>
      <c r="AD65" s="971"/>
      <c r="AE65" s="579"/>
      <c r="AF65" s="25" t="s">
        <v>263</v>
      </c>
      <c r="AG65" s="25" t="s">
        <v>264</v>
      </c>
    </row>
    <row r="66" spans="1:34" hidden="1" outlineLevel="1" x14ac:dyDescent="0.2">
      <c r="A66" s="25" t="s">
        <v>252</v>
      </c>
      <c r="B66" s="25"/>
      <c r="C66" s="971"/>
      <c r="D66" s="971"/>
      <c r="E66" s="971"/>
      <c r="F66" s="971"/>
      <c r="G66" s="971"/>
      <c r="H66" s="971"/>
      <c r="I66" s="971"/>
      <c r="J66" s="25"/>
      <c r="K66" s="971"/>
      <c r="L66" s="971"/>
      <c r="M66" s="25"/>
      <c r="N66" s="25"/>
      <c r="O66" s="25"/>
      <c r="P66" s="25"/>
      <c r="Q66" s="971"/>
      <c r="R66" s="25"/>
      <c r="S66" s="25"/>
      <c r="T66" s="971"/>
      <c r="U66" s="579"/>
      <c r="V66" s="25"/>
      <c r="W66" s="25"/>
      <c r="X66" s="971"/>
      <c r="Y66" s="579"/>
      <c r="Z66" s="579"/>
      <c r="AA66" s="579"/>
      <c r="AB66" s="1127"/>
      <c r="AC66" s="579"/>
      <c r="AD66" s="971"/>
      <c r="AE66" s="579"/>
      <c r="AF66" s="25"/>
      <c r="AG66" s="25"/>
    </row>
    <row r="67" spans="1:34" hidden="1" outlineLevel="1" x14ac:dyDescent="0.2">
      <c r="A67" s="156" t="s">
        <v>228</v>
      </c>
      <c r="B67" s="25"/>
      <c r="C67" s="971"/>
      <c r="D67" s="971"/>
      <c r="E67" s="971"/>
      <c r="F67" s="971"/>
      <c r="G67" s="971"/>
      <c r="H67" s="971"/>
      <c r="I67" s="971"/>
      <c r="J67" s="25"/>
      <c r="K67" s="971"/>
      <c r="L67" s="971"/>
      <c r="M67" s="25"/>
      <c r="N67" s="25"/>
      <c r="O67" s="25"/>
      <c r="P67" s="25"/>
      <c r="Q67" s="971"/>
      <c r="R67" s="25"/>
      <c r="S67" s="25"/>
      <c r="T67" s="971"/>
      <c r="U67" s="579"/>
      <c r="V67" s="25"/>
      <c r="W67" s="25"/>
      <c r="X67" s="971"/>
      <c r="Y67" s="579"/>
      <c r="Z67" s="579"/>
      <c r="AA67" s="579"/>
      <c r="AB67" s="1127"/>
      <c r="AC67" s="579"/>
      <c r="AD67" s="971"/>
      <c r="AE67" s="579"/>
      <c r="AF67" s="25"/>
      <c r="AG67" s="25"/>
    </row>
    <row r="68" spans="1:34" hidden="1" outlineLevel="1" x14ac:dyDescent="0.2">
      <c r="A68" s="25" t="s">
        <v>253</v>
      </c>
      <c r="B68" s="25"/>
      <c r="C68" s="971"/>
      <c r="D68" s="971"/>
      <c r="E68" s="971"/>
      <c r="F68" s="971"/>
      <c r="G68" s="971"/>
      <c r="H68" s="971"/>
      <c r="I68" s="971"/>
      <c r="J68" s="25"/>
      <c r="K68" s="971"/>
      <c r="L68" s="971"/>
      <c r="M68" s="25"/>
      <c r="N68" s="25">
        <v>236.8</v>
      </c>
      <c r="O68" s="25">
        <v>236.8</v>
      </c>
      <c r="P68" s="25">
        <v>236.8</v>
      </c>
      <c r="Q68" s="971"/>
      <c r="R68" s="25">
        <v>236.8</v>
      </c>
      <c r="S68" s="25">
        <v>236.8</v>
      </c>
      <c r="T68" s="971"/>
      <c r="U68" s="579"/>
      <c r="V68" s="25">
        <f>S68</f>
        <v>236.8</v>
      </c>
      <c r="W68" s="25">
        <v>229.09</v>
      </c>
      <c r="X68" s="971"/>
      <c r="Y68" s="579"/>
      <c r="Z68" s="579"/>
      <c r="AA68" s="579"/>
      <c r="AB68" s="1127"/>
      <c r="AC68" s="579"/>
      <c r="AD68" s="971"/>
      <c r="AE68" s="579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254</v>
      </c>
      <c r="B69" s="25"/>
      <c r="C69" s="971"/>
      <c r="D69" s="971"/>
      <c r="E69" s="971"/>
      <c r="F69" s="971"/>
      <c r="G69" s="971"/>
      <c r="H69" s="971"/>
      <c r="I69" s="971"/>
      <c r="J69" s="25"/>
      <c r="K69" s="971"/>
      <c r="L69" s="971"/>
      <c r="M69" s="25"/>
      <c r="N69" s="25">
        <v>100.3</v>
      </c>
      <c r="O69" s="25">
        <v>100.3</v>
      </c>
      <c r="P69" s="25">
        <v>100.3</v>
      </c>
      <c r="Q69" s="971"/>
      <c r="R69" s="25">
        <v>100.3</v>
      </c>
      <c r="S69" s="25">
        <v>100.3</v>
      </c>
      <c r="T69" s="971"/>
      <c r="U69" s="579"/>
      <c r="V69" s="25">
        <f>S69</f>
        <v>100.3</v>
      </c>
      <c r="W69" s="25">
        <v>87.4</v>
      </c>
      <c r="X69" s="971"/>
      <c r="Y69" s="579"/>
      <c r="Z69" s="579"/>
      <c r="AA69" s="579"/>
      <c r="AB69" s="1127"/>
      <c r="AC69" s="579"/>
      <c r="AD69" s="971"/>
      <c r="AE69" s="579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255</v>
      </c>
      <c r="B70" s="25"/>
      <c r="C70" s="971"/>
      <c r="D70" s="971"/>
      <c r="E70" s="971"/>
      <c r="F70" s="971"/>
      <c r="G70" s="971"/>
      <c r="H70" s="971"/>
      <c r="I70" s="971"/>
      <c r="J70" s="25"/>
      <c r="K70" s="971"/>
      <c r="L70" s="971"/>
      <c r="M70" s="25"/>
      <c r="N70" s="25">
        <v>3.6</v>
      </c>
      <c r="O70" s="25">
        <v>3.6</v>
      </c>
      <c r="P70" s="25">
        <v>3.6</v>
      </c>
      <c r="Q70" s="971"/>
      <c r="R70" s="25">
        <v>3.6</v>
      </c>
      <c r="S70" s="25">
        <v>3.6</v>
      </c>
      <c r="T70" s="971"/>
      <c r="U70" s="579"/>
      <c r="V70" s="25">
        <f>S70</f>
        <v>3.6</v>
      </c>
      <c r="W70" s="25">
        <v>2.1</v>
      </c>
      <c r="X70" s="971"/>
      <c r="Y70" s="579"/>
      <c r="Z70" s="579"/>
      <c r="AA70" s="579"/>
      <c r="AB70" s="1127"/>
      <c r="AC70" s="579"/>
      <c r="AD70" s="971"/>
      <c r="AE70" s="579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971"/>
      <c r="D71" s="971"/>
      <c r="E71" s="971"/>
      <c r="F71" s="971"/>
      <c r="G71" s="971"/>
      <c r="H71" s="971"/>
      <c r="I71" s="971"/>
      <c r="J71" s="25"/>
      <c r="K71" s="971"/>
      <c r="L71" s="971"/>
      <c r="M71" s="25"/>
      <c r="N71" s="5012" t="s">
        <v>266</v>
      </c>
      <c r="O71" s="5013"/>
      <c r="P71" s="5013"/>
      <c r="Q71" s="5014"/>
      <c r="R71" s="5013"/>
      <c r="S71" s="5013"/>
      <c r="T71" s="1003"/>
      <c r="U71" s="594"/>
      <c r="V71" s="5013" t="s">
        <v>267</v>
      </c>
      <c r="W71" s="5013"/>
      <c r="X71" s="981"/>
      <c r="Y71" s="596"/>
      <c r="Z71" s="596"/>
      <c r="AA71" s="596"/>
      <c r="AB71" s="1128"/>
      <c r="AC71" s="596"/>
      <c r="AD71" s="972"/>
      <c r="AE71" s="596"/>
      <c r="AF71" s="5015" t="s">
        <v>268</v>
      </c>
      <c r="AG71" s="5015"/>
    </row>
    <row r="72" spans="1:34" collapsed="1" x14ac:dyDescent="0.2"/>
  </sheetData>
  <mergeCells count="76"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  <mergeCell ref="V5:V7"/>
    <mergeCell ref="W5:W7"/>
    <mergeCell ref="AF5:AF7"/>
    <mergeCell ref="AG5:AG7"/>
    <mergeCell ref="AH5:AH7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W34:X35"/>
    <mergeCell ref="AF60:AG60"/>
    <mergeCell ref="AF61:AG61"/>
    <mergeCell ref="AF62:AG62"/>
    <mergeCell ref="AF47:AG47"/>
    <mergeCell ref="AF48:AG48"/>
    <mergeCell ref="AF49:AG49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15">
    <tabColor rgb="FFFFFF00"/>
    <pageSetUpPr fitToPage="1"/>
  </sheetPr>
  <dimension ref="A1:BI75"/>
  <sheetViews>
    <sheetView topLeftCell="A31" zoomScale="70" zoomScaleNormal="70" zoomScalePageLayoutView="90" workbookViewId="0">
      <selection activeCell="A21" sqref="A21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2918"/>
      <c r="V1" s="2918"/>
      <c r="W1" s="2918"/>
      <c r="X1" s="2919"/>
      <c r="Y1" s="2919"/>
      <c r="Z1" s="2919"/>
      <c r="AA1" s="2919"/>
      <c r="AB1" s="3588"/>
      <c r="AC1" s="5165" t="s">
        <v>3889</v>
      </c>
      <c r="AD1" s="5165"/>
      <c r="AE1" s="5165"/>
      <c r="AF1" s="5165"/>
    </row>
    <row r="2" spans="1:61" ht="12.75" customHeight="1" x14ac:dyDescent="0.2">
      <c r="U2" s="2920"/>
      <c r="V2" s="2920"/>
      <c r="W2" s="2920"/>
      <c r="X2" s="2921"/>
      <c r="Y2" s="2921"/>
      <c r="Z2" s="2921"/>
      <c r="AA2" s="2921"/>
      <c r="AB2" s="2921"/>
      <c r="AC2" s="2920"/>
      <c r="AD2" s="4475"/>
      <c r="AE2" s="4475"/>
      <c r="AF2" s="4475"/>
    </row>
    <row r="3" spans="1:61" ht="18.75" x14ac:dyDescent="0.2">
      <c r="U3" s="2922"/>
      <c r="V3" s="2922"/>
      <c r="W3" s="2922"/>
      <c r="X3" s="2922"/>
      <c r="Y3" s="2922"/>
      <c r="Z3" s="2922"/>
      <c r="AA3" s="2922"/>
      <c r="AB3" s="2922"/>
      <c r="AC3" s="4302" t="s">
        <v>3890</v>
      </c>
      <c r="AD3" s="4302"/>
      <c r="AE3" s="4302"/>
      <c r="AF3" s="4302"/>
    </row>
    <row r="4" spans="1:61" ht="44.25" customHeight="1" x14ac:dyDescent="0.2">
      <c r="U4" s="2922"/>
      <c r="V4" s="2922"/>
      <c r="W4" s="2922"/>
      <c r="X4" s="2922"/>
      <c r="Y4" s="2922"/>
      <c r="Z4" s="2922"/>
      <c r="AA4" s="2922"/>
      <c r="AB4" s="3587"/>
      <c r="AC4" s="5165" t="s">
        <v>3891</v>
      </c>
      <c r="AD4" s="5165"/>
      <c r="AE4" s="5165"/>
      <c r="AF4" s="5165"/>
    </row>
    <row r="5" spans="1:61" ht="26.25" customHeight="1" x14ac:dyDescent="0.2">
      <c r="U5" s="2922"/>
      <c r="V5" s="2922"/>
      <c r="W5" s="2922"/>
      <c r="X5" s="2922"/>
      <c r="Y5" s="2922"/>
      <c r="Z5" s="2922"/>
      <c r="AA5" s="2919"/>
      <c r="AB5" s="2919"/>
      <c r="AC5" s="4302" t="s">
        <v>4241</v>
      </c>
      <c r="AD5" s="4303"/>
      <c r="AE5" s="4303"/>
      <c r="AF5" s="4302"/>
    </row>
    <row r="6" spans="1:61" ht="25.5" customHeight="1" x14ac:dyDescent="0.3">
      <c r="U6" s="2923"/>
      <c r="V6" s="2923"/>
      <c r="W6" s="2923"/>
      <c r="X6" s="2923"/>
      <c r="Y6" s="2923"/>
      <c r="Z6" s="2923"/>
      <c r="AA6" s="2923"/>
      <c r="AB6" s="2923"/>
      <c r="AC6" s="4304" t="s">
        <v>4242</v>
      </c>
      <c r="AD6" s="4304"/>
      <c r="AE6" s="4304"/>
      <c r="AF6" s="4304"/>
    </row>
    <row r="7" spans="1:61" ht="12.2" customHeight="1" x14ac:dyDescent="0.25">
      <c r="U7" s="2917"/>
      <c r="V7" s="2917"/>
      <c r="W7" s="2917"/>
      <c r="X7" s="2917"/>
      <c r="Y7" s="2917"/>
      <c r="Z7" s="2917"/>
      <c r="AA7" s="2917"/>
      <c r="AB7" s="2917"/>
      <c r="AC7" s="2917"/>
      <c r="AD7" s="2917"/>
      <c r="AE7" s="2917"/>
      <c r="AF7" s="2917"/>
    </row>
    <row r="8" spans="1:61" ht="44.25" customHeight="1" x14ac:dyDescent="0.4">
      <c r="A8" s="5186" t="s">
        <v>4240</v>
      </c>
      <c r="B8" s="5186"/>
      <c r="C8" s="5186"/>
      <c r="D8" s="5186"/>
      <c r="E8" s="5186"/>
      <c r="F8" s="5186"/>
      <c r="G8" s="5186"/>
      <c r="H8" s="5186"/>
      <c r="I8" s="5186"/>
      <c r="J8" s="5186"/>
      <c r="K8" s="5187"/>
      <c r="L8" s="5187"/>
      <c r="M8" s="5187"/>
      <c r="N8" s="5187"/>
      <c r="O8" s="5187"/>
      <c r="P8" s="5187"/>
      <c r="Q8" s="5187"/>
      <c r="R8" s="5187"/>
      <c r="S8" s="5187"/>
      <c r="T8" s="5187"/>
      <c r="U8" s="5187"/>
      <c r="V8" s="5187"/>
      <c r="W8" s="5187"/>
      <c r="X8" s="5187"/>
      <c r="Y8" s="5187"/>
      <c r="Z8" s="5187"/>
      <c r="AA8" s="5187"/>
      <c r="AB8" s="5187"/>
      <c r="AC8" s="5187"/>
      <c r="AD8" s="5187"/>
      <c r="AE8" s="5187"/>
      <c r="AF8" s="5187"/>
    </row>
    <row r="9" spans="1:61" ht="16.5" collapsed="1" thickBot="1" x14ac:dyDescent="0.3">
      <c r="AF9" s="2924" t="s">
        <v>3776</v>
      </c>
    </row>
    <row r="10" spans="1:61" ht="18.75" x14ac:dyDescent="0.3">
      <c r="A10" s="5208" t="s">
        <v>3777</v>
      </c>
      <c r="B10" s="5209"/>
      <c r="C10" s="5209"/>
      <c r="D10" s="5209"/>
      <c r="E10" s="5209"/>
      <c r="F10" s="5209"/>
      <c r="G10" s="5209"/>
      <c r="H10" s="5209"/>
      <c r="I10" s="5209"/>
      <c r="J10" s="5209"/>
      <c r="K10" s="5209"/>
      <c r="L10" s="5209"/>
      <c r="M10" s="5209"/>
      <c r="N10" s="5209"/>
      <c r="O10" s="5209"/>
      <c r="P10" s="5209"/>
      <c r="Q10" s="5209"/>
      <c r="R10" s="5209"/>
      <c r="S10" s="5209"/>
      <c r="T10" s="5209"/>
      <c r="U10" s="5209"/>
      <c r="V10" s="5209"/>
      <c r="W10" s="5209"/>
      <c r="X10" s="5209"/>
      <c r="Y10" s="5209"/>
      <c r="Z10" s="5209"/>
      <c r="AA10" s="5209"/>
      <c r="AB10" s="5210"/>
      <c r="AC10" s="5210"/>
      <c r="AD10" s="5210"/>
      <c r="AE10" s="5210"/>
      <c r="AF10" s="5196"/>
    </row>
    <row r="11" spans="1:61" ht="18.75" customHeight="1" x14ac:dyDescent="0.3">
      <c r="A11" s="5211" t="s">
        <v>525</v>
      </c>
      <c r="B11" s="2925"/>
      <c r="C11" s="2925"/>
      <c r="D11" s="2925"/>
      <c r="E11" s="2925"/>
      <c r="F11" s="2925"/>
      <c r="G11" s="2925"/>
      <c r="H11" s="2925"/>
      <c r="I11" s="2925"/>
      <c r="J11" s="2925"/>
      <c r="K11" s="5199" t="s">
        <v>3778</v>
      </c>
      <c r="L11" s="5213" t="s">
        <v>583</v>
      </c>
      <c r="M11" s="5214"/>
      <c r="N11" s="5215"/>
      <c r="O11" s="5213" t="s">
        <v>582</v>
      </c>
      <c r="P11" s="5214"/>
      <c r="Q11" s="5215"/>
      <c r="R11" s="5213" t="s">
        <v>581</v>
      </c>
      <c r="S11" s="5214"/>
      <c r="T11" s="5215"/>
      <c r="U11" s="5213" t="s">
        <v>214</v>
      </c>
      <c r="V11" s="5214"/>
      <c r="W11" s="5215"/>
      <c r="X11" s="5213" t="s">
        <v>218</v>
      </c>
      <c r="Y11" s="5214"/>
      <c r="Z11" s="5215"/>
      <c r="AA11" s="5213" t="s">
        <v>3779</v>
      </c>
      <c r="AB11" s="5214"/>
      <c r="AC11" s="5215"/>
      <c r="AD11" s="5213" t="s">
        <v>1808</v>
      </c>
      <c r="AE11" s="5214"/>
      <c r="AF11" s="5216"/>
      <c r="AG11" s="389"/>
      <c r="AH11" s="389"/>
      <c r="AI11" s="389"/>
      <c r="AJ11" s="389"/>
      <c r="AK11" s="389"/>
      <c r="AL11" s="389"/>
      <c r="AM11" s="389"/>
      <c r="AN11" s="389"/>
      <c r="AO11" s="389"/>
      <c r="AP11" s="389"/>
      <c r="AQ11" s="389"/>
      <c r="AR11" s="389"/>
      <c r="AS11" s="389"/>
      <c r="AT11" s="389"/>
      <c r="AU11" s="389"/>
      <c r="AV11" s="389"/>
      <c r="AW11" s="389"/>
      <c r="AX11" s="389"/>
      <c r="AY11" s="389"/>
      <c r="AZ11" s="389"/>
      <c r="BA11" s="389"/>
      <c r="BB11" s="389"/>
      <c r="BC11" s="389"/>
      <c r="BD11" s="389"/>
      <c r="BE11" s="389"/>
      <c r="BF11" s="389"/>
      <c r="BG11" s="389"/>
      <c r="BH11" s="389"/>
      <c r="BI11" s="389"/>
    </row>
    <row r="12" spans="1:61" ht="18.75" x14ac:dyDescent="0.3">
      <c r="A12" s="5212"/>
      <c r="B12" s="2925"/>
      <c r="C12" s="2925"/>
      <c r="D12" s="2925"/>
      <c r="E12" s="2925"/>
      <c r="F12" s="2925"/>
      <c r="G12" s="2925"/>
      <c r="H12" s="2925"/>
      <c r="I12" s="2925"/>
      <c r="J12" s="2925"/>
      <c r="K12" s="5199"/>
      <c r="L12" s="3012" t="s">
        <v>614</v>
      </c>
      <c r="M12" s="3012" t="s">
        <v>3686</v>
      </c>
      <c r="N12" s="3012" t="s">
        <v>3626</v>
      </c>
      <c r="O12" s="3012" t="s">
        <v>614</v>
      </c>
      <c r="P12" s="3012" t="s">
        <v>3686</v>
      </c>
      <c r="Q12" s="3012" t="s">
        <v>3626</v>
      </c>
      <c r="R12" s="3012" t="s">
        <v>614</v>
      </c>
      <c r="S12" s="3012" t="s">
        <v>3686</v>
      </c>
      <c r="T12" s="3012" t="s">
        <v>3626</v>
      </c>
      <c r="U12" s="3012" t="s">
        <v>614</v>
      </c>
      <c r="V12" s="3012" t="s">
        <v>3686</v>
      </c>
      <c r="W12" s="3012" t="s">
        <v>3626</v>
      </c>
      <c r="X12" s="3012" t="s">
        <v>614</v>
      </c>
      <c r="Y12" s="3012" t="s">
        <v>3686</v>
      </c>
      <c r="Z12" s="3012" t="s">
        <v>3626</v>
      </c>
      <c r="AA12" s="3012" t="s">
        <v>614</v>
      </c>
      <c r="AB12" s="3012" t="s">
        <v>3686</v>
      </c>
      <c r="AC12" s="3012" t="s">
        <v>3626</v>
      </c>
      <c r="AD12" s="3012" t="s">
        <v>614</v>
      </c>
      <c r="AE12" s="3012" t="s">
        <v>3686</v>
      </c>
      <c r="AF12" s="2926" t="s">
        <v>3626</v>
      </c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  <c r="BF12" s="389"/>
      <c r="BG12" s="389"/>
      <c r="BH12" s="389"/>
      <c r="BI12" s="389"/>
    </row>
    <row r="13" spans="1:61" ht="18.75" x14ac:dyDescent="0.3">
      <c r="A13" s="2927" t="s">
        <v>3687</v>
      </c>
      <c r="B13" s="2928"/>
      <c r="C13" s="2928"/>
      <c r="D13" s="2928"/>
      <c r="E13" s="2928"/>
      <c r="F13" s="2928"/>
      <c r="G13" s="2928"/>
      <c r="H13" s="2928"/>
      <c r="I13" s="2928"/>
      <c r="J13" s="2928"/>
      <c r="K13" s="2929" t="s">
        <v>3780</v>
      </c>
      <c r="L13" s="2930">
        <f>SUM('ПОЛНАЯ СЕБЕСТОИМОСТЬ ВОДА 2023'!B8)</f>
        <v>1518.16283305</v>
      </c>
      <c r="M13" s="2930">
        <f>SUM('ПОЛНАЯ СЕБЕСТОИМОСТЬ ВОДА 2023'!C8)</f>
        <v>1517.8250830500001</v>
      </c>
      <c r="N13" s="2930">
        <f>SUM('ПОЛНАЯ СЕБЕСТОИМОСТЬ ВОДА 2023'!D8)</f>
        <v>0.33774999999999999</v>
      </c>
      <c r="O13" s="2930">
        <f>SUM('ПОЛНАЯ СЕБЕСТОИМОСТЬ ВОДА 2023'!Q8)</f>
        <v>1518.16283305</v>
      </c>
      <c r="P13" s="2930">
        <f>SUM('ПОЛНАЯ СЕБЕСТОИМОСТЬ ВОДА 2023'!R8)</f>
        <v>1517.8250830500001</v>
      </c>
      <c r="Q13" s="2930">
        <f>SUM('ПОЛНАЯ СЕБЕСТОИМОСТЬ ВОДА 2023'!S8)</f>
        <v>0.33774999999999999</v>
      </c>
      <c r="R13" s="2930">
        <f>SUM('ПОЛНАЯ СЕБЕСТОИМОСТЬ ВОДА 2023'!AF8)</f>
        <v>3036.3256661</v>
      </c>
      <c r="S13" s="2930">
        <f>SUM('ПОЛНАЯ СЕБЕСТОИМОСТЬ ВОДА 2023'!AG8)</f>
        <v>3035.6501661000002</v>
      </c>
      <c r="T13" s="2930">
        <f>SUM('ПОЛНАЯ СЕБЕСТОИМОСТЬ ВОДА 2023'!AH8)</f>
        <v>0.67549999999999999</v>
      </c>
      <c r="U13" s="2930">
        <f>SUM('ПОЛНАЯ СЕБЕСТОИМОСТЬ ВОДА 2023'!AO8)</f>
        <v>1518.16283305</v>
      </c>
      <c r="V13" s="2930">
        <f>SUM('ПОЛНАЯ СЕБЕСТОИМОСТЬ ВОДА 2023'!AP8)</f>
        <v>1517.8250830500001</v>
      </c>
      <c r="W13" s="2930">
        <f>SUM('ПОЛНАЯ СЕБЕСТОИМОСТЬ ВОДА 2023'!AQ8)</f>
        <v>0.33774999999999999</v>
      </c>
      <c r="X13" s="2930">
        <f>SUM('ПОЛНАЯ СЕБЕСТОИМОСТЬ ВОДА 2023'!BD8)</f>
        <v>4554.4884991500003</v>
      </c>
      <c r="Y13" s="2930">
        <f>SUM('ПОЛНАЯ СЕБЕСТОИМОСТЬ ВОДА 2023'!BE8)</f>
        <v>4553.4752491500003</v>
      </c>
      <c r="Z13" s="2930">
        <f>SUM('ПОЛНАЯ СЕБЕСТОИМОСТЬ ВОДА 2023'!BF8)</f>
        <v>1.01325</v>
      </c>
      <c r="AA13" s="2930">
        <f>SUM('ПОЛНАЯ СЕБЕСТОИМОСТЬ ВОДА 2023'!BM8)</f>
        <v>1518.16283305</v>
      </c>
      <c r="AB13" s="2930">
        <f>SUM('ПОЛНАЯ СЕБЕСТОИМОСТЬ ВОДА 2023'!BN8)</f>
        <v>1517.8250830500001</v>
      </c>
      <c r="AC13" s="2930">
        <f>SUM('ПОЛНАЯ СЕБЕСТОИМОСТЬ ВОДА 2023'!BO8)</f>
        <v>0.33774999999999999</v>
      </c>
      <c r="AD13" s="2931">
        <f>SUM('ПОЛНАЯ СЕБЕСТОИМОСТЬ ВОДА 2023'!CB8)</f>
        <v>6072.6513322000001</v>
      </c>
      <c r="AE13" s="2931">
        <f>SUM('ПОЛНАЯ СЕБЕСТОИМОСТЬ ВОДА 2023'!CC8)</f>
        <v>6071.3003322000004</v>
      </c>
      <c r="AF13" s="2932">
        <f>SUM('ПОЛНАЯ СЕБЕСТОИМОСТЬ ВОДА 2023'!CD8)</f>
        <v>1.351</v>
      </c>
      <c r="AG13" s="389"/>
      <c r="AH13" s="389"/>
      <c r="AI13" s="389"/>
      <c r="AJ13" s="389"/>
      <c r="AK13" s="389"/>
      <c r="AL13" s="389"/>
      <c r="AM13" s="389"/>
      <c r="AN13" s="389"/>
      <c r="AO13" s="389"/>
      <c r="AP13" s="389"/>
      <c r="AQ13" s="389"/>
      <c r="AR13" s="389"/>
      <c r="AS13" s="389"/>
      <c r="AT13" s="389"/>
      <c r="AU13" s="389"/>
      <c r="AV13" s="389"/>
      <c r="AW13" s="389"/>
      <c r="AX13" s="389"/>
      <c r="AY13" s="389"/>
      <c r="AZ13" s="389"/>
      <c r="BA13" s="389"/>
      <c r="BB13" s="389"/>
      <c r="BC13" s="389"/>
      <c r="BD13" s="389"/>
      <c r="BE13" s="389"/>
      <c r="BF13" s="389"/>
      <c r="BG13" s="389"/>
      <c r="BH13" s="389"/>
      <c r="BI13" s="389"/>
    </row>
    <row r="14" spans="1:61" ht="18.75" x14ac:dyDescent="0.3">
      <c r="A14" s="2933" t="s">
        <v>20</v>
      </c>
      <c r="B14" s="2928"/>
      <c r="C14" s="2928"/>
      <c r="D14" s="2928"/>
      <c r="E14" s="2928"/>
      <c r="F14" s="2928"/>
      <c r="G14" s="2928"/>
      <c r="H14" s="2928"/>
      <c r="I14" s="2928"/>
      <c r="J14" s="2928"/>
      <c r="K14" s="2934" t="s">
        <v>3780</v>
      </c>
      <c r="L14" s="2935">
        <f>SUM('ПОЛНАЯ СЕБЕСТОИМОСТЬ ВОДА 2023'!B9)</f>
        <v>289.90459086235001</v>
      </c>
      <c r="M14" s="2935">
        <f>SUM('ПОЛНАЯ СЕБЕСТОИМОСТЬ ВОДА 2023'!C9)</f>
        <v>289.90459086235001</v>
      </c>
      <c r="N14" s="2935">
        <f>SUM('ПОЛНАЯ СЕБЕСТОИМОСТЬ ВОДА 2023'!D9)</f>
        <v>0</v>
      </c>
      <c r="O14" s="2935">
        <f>SUM('ПОЛНАЯ СЕБЕСТОИМОСТЬ ВОДА 2023'!Q9)</f>
        <v>289.90459086235001</v>
      </c>
      <c r="P14" s="2935">
        <f>SUM('ПОЛНАЯ СЕБЕСТОИМОСТЬ ВОДА 2023'!R9)</f>
        <v>289.90459086235001</v>
      </c>
      <c r="Q14" s="2935">
        <f>SUM('ПОЛНАЯ СЕБЕСТОИМОСТЬ ВОДА 2023'!S9)</f>
        <v>0</v>
      </c>
      <c r="R14" s="2935">
        <f>SUM('ПОЛНАЯ СЕБЕСТОИМОСТЬ ВОДА 2023'!AF9)</f>
        <v>579.80918172470001</v>
      </c>
      <c r="S14" s="2935">
        <f>SUM('ПОЛНАЯ СЕБЕСТОИМОСТЬ ВОДА 2023'!AG9)</f>
        <v>579.80918172470001</v>
      </c>
      <c r="T14" s="2935">
        <f>SUM('ПОЛНАЯ СЕБЕСТОИМОСТЬ ВОДА 2023'!AH9)</f>
        <v>0</v>
      </c>
      <c r="U14" s="2935">
        <f>SUM('ПОЛНАЯ СЕБЕСТОИМОСТЬ ВОДА 2023'!AO9)</f>
        <v>289.90459086235001</v>
      </c>
      <c r="V14" s="2935">
        <f>SUM('ПОЛНАЯ СЕБЕСТОИМОСТЬ ВОДА 2023'!AP9)</f>
        <v>289.90459086235001</v>
      </c>
      <c r="W14" s="2935">
        <f>SUM('ПОЛНАЯ СЕБЕСТОИМОСТЬ ВОДА 2023'!AQ9)</f>
        <v>0</v>
      </c>
      <c r="X14" s="2935">
        <f>SUM('ПОЛНАЯ СЕБЕСТОИМОСТЬ ВОДА 2023'!BD9)</f>
        <v>869.71377258705002</v>
      </c>
      <c r="Y14" s="2935">
        <f>SUM('ПОЛНАЯ СЕБЕСТОИМОСТЬ ВОДА 2023'!BE9)</f>
        <v>869.71377258705002</v>
      </c>
      <c r="Z14" s="2935">
        <f>SUM('ПОЛНАЯ СЕБЕСТОИМОСТЬ ВОДА 2023'!BF9)</f>
        <v>0</v>
      </c>
      <c r="AA14" s="2935">
        <f>SUM('ПОЛНАЯ СЕБЕСТОИМОСТЬ ВОДА 2023'!BM9)</f>
        <v>289.90459086235001</v>
      </c>
      <c r="AB14" s="2935">
        <f>SUM('ПОЛНАЯ СЕБЕСТОИМОСТЬ ВОДА 2023'!BN9)</f>
        <v>289.90459086235001</v>
      </c>
      <c r="AC14" s="2935">
        <f>SUM('ПОЛНАЯ СЕБЕСТОИМОСТЬ ВОДА 2023'!BO9)</f>
        <v>0</v>
      </c>
      <c r="AD14" s="2936">
        <f>SUM('ПОЛНАЯ СЕБЕСТОИМОСТЬ ВОДА 2023'!CB9)</f>
        <v>1159.6183634494</v>
      </c>
      <c r="AE14" s="2936">
        <f>SUM('ПОЛНАЯ СЕБЕСТОИМОСТЬ ВОДА 2023'!CC9)</f>
        <v>1159.6183634494</v>
      </c>
      <c r="AF14" s="2937">
        <f>SUM('ПОЛНАЯ СЕБЕСТОИМОСТЬ ВОДА 2023'!CD9)</f>
        <v>0</v>
      </c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</row>
    <row r="15" spans="1:61" ht="18.75" x14ac:dyDescent="0.3">
      <c r="A15" s="2938" t="s">
        <v>371</v>
      </c>
      <c r="B15" s="2928"/>
      <c r="C15" s="2928"/>
      <c r="D15" s="2928"/>
      <c r="E15" s="2928"/>
      <c r="F15" s="2928"/>
      <c r="G15" s="2928"/>
      <c r="H15" s="2928"/>
      <c r="I15" s="2928"/>
      <c r="J15" s="2928"/>
      <c r="K15" s="2934" t="s">
        <v>44</v>
      </c>
      <c r="L15" s="2939">
        <f>SUM('ПОЛНАЯ СЕБЕСТОИМОСТЬ ВОДА 2023'!B10)</f>
        <v>0.19095750768705727</v>
      </c>
      <c r="M15" s="2939">
        <f>SUM('ПОЛНАЯ СЕБЕСТОИМОСТЬ ВОДА 2023'!C10)</f>
        <v>0.19099999999986822</v>
      </c>
      <c r="N15" s="2939">
        <f>SUM('ПОЛНАЯ СЕБЕСТОИМОСТЬ ВОДА 2023'!D10)</f>
        <v>0</v>
      </c>
      <c r="O15" s="2939">
        <f>SUM('ПОЛНАЯ СЕБЕСТОИМОСТЬ ВОДА 2023'!Q10)</f>
        <v>0.19095750768705727</v>
      </c>
      <c r="P15" s="2939">
        <f>SUM('ПОЛНАЯ СЕБЕСТОИМОСТЬ ВОДА 2023'!R10)</f>
        <v>0.19099999999986822</v>
      </c>
      <c r="Q15" s="2939">
        <f>SUM('ПОЛНАЯ СЕБЕСТОИМОСТЬ ВОДА 2023'!S10)</f>
        <v>0</v>
      </c>
      <c r="R15" s="2939">
        <f>SUM('ПОЛНАЯ СЕБЕСТОИМОСТЬ ВОДА 2023'!AF10)</f>
        <v>0.19095750768705727</v>
      </c>
      <c r="S15" s="2939">
        <f>SUM('ПОЛНАЯ СЕБЕСТОИМОСТЬ ВОДА 2023'!AG10)</f>
        <v>0.19099999999986822</v>
      </c>
      <c r="T15" s="2939">
        <f>SUM('ПОЛНАЯ СЕБЕСТОИМОСТЬ ВОДА 2023'!AH10)</f>
        <v>0</v>
      </c>
      <c r="U15" s="2939">
        <f>SUM('ПОЛНАЯ СЕБЕСТОИМОСТЬ ВОДА 2023'!AO10)</f>
        <v>0.19095750768705727</v>
      </c>
      <c r="V15" s="2939">
        <f>SUM('ПОЛНАЯ СЕБЕСТОИМОСТЬ ВОДА 2023'!AP10)</f>
        <v>0.19099999999986822</v>
      </c>
      <c r="W15" s="2939">
        <f>SUM('ПОЛНАЯ СЕБЕСТОИМОСТЬ ВОДА 2023'!AQ10)</f>
        <v>0</v>
      </c>
      <c r="X15" s="2939">
        <f>SUM('ПОЛНАЯ СЕБЕСТОИМОСТЬ ВОДА 2023'!BD10)</f>
        <v>0.19095750768705724</v>
      </c>
      <c r="Y15" s="2939">
        <f>SUM('ПОЛНАЯ СЕБЕСТОИМОСТЬ ВОДА 2023'!BE10)</f>
        <v>0.19099999999986822</v>
      </c>
      <c r="Z15" s="2939">
        <f>SUM('ПОЛНАЯ СЕБЕСТОИМОСТЬ ВОДА 2023'!BF10)</f>
        <v>0</v>
      </c>
      <c r="AA15" s="2939">
        <f>SUM('ПОЛНАЯ СЕБЕСТОИМОСТЬ ВОДА 2023'!BM10)</f>
        <v>0.19095750768705727</v>
      </c>
      <c r="AB15" s="2939">
        <f>SUM('ПОЛНАЯ СЕБЕСТОИМОСТЬ ВОДА 2023'!BN10)</f>
        <v>0.19099999999986822</v>
      </c>
      <c r="AC15" s="2939">
        <f>SUM('ПОЛНАЯ СЕБЕСТОИМОСТЬ ВОДА 2023'!BO10)</f>
        <v>0</v>
      </c>
      <c r="AD15" s="2940">
        <f>SUM('ПОЛНАЯ СЕБЕСТОИМОСТЬ ВОДА 2023'!CB10)</f>
        <v>0.19095750768705727</v>
      </c>
      <c r="AE15" s="2940">
        <f>SUM('ПОЛНАЯ СЕБЕСТОИМОСТЬ ВОДА 2023'!CC10)</f>
        <v>0.19099999999986822</v>
      </c>
      <c r="AF15" s="2941">
        <f>SUM('ПОЛНАЯ СЕБЕСТОИМОСТЬ ВОДА 2023'!CD10)</f>
        <v>0</v>
      </c>
      <c r="AG15" s="389"/>
      <c r="AH15" s="389"/>
      <c r="AI15" s="389"/>
      <c r="AJ15" s="389"/>
      <c r="AK15" s="389"/>
      <c r="AL15" s="389"/>
      <c r="AM15" s="389"/>
      <c r="AN15" s="389"/>
      <c r="AO15" s="389"/>
      <c r="AP15" s="389"/>
      <c r="AQ15" s="389"/>
      <c r="AR15" s="389"/>
      <c r="AS15" s="389"/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</row>
    <row r="16" spans="1:61" ht="18.75" x14ac:dyDescent="0.3">
      <c r="A16" s="2927" t="s">
        <v>3688</v>
      </c>
      <c r="B16" s="2928"/>
      <c r="C16" s="2928"/>
      <c r="D16" s="2928"/>
      <c r="E16" s="2928"/>
      <c r="F16" s="2928"/>
      <c r="G16" s="2928"/>
      <c r="H16" s="2928"/>
      <c r="I16" s="2928"/>
      <c r="J16" s="2928"/>
      <c r="K16" s="2929" t="s">
        <v>3780</v>
      </c>
      <c r="L16" s="2930">
        <f>SUM('ПОЛНАЯ СЕБЕСТОИМОСТЬ ВОДА 2023'!B11)</f>
        <v>1228.25824218765</v>
      </c>
      <c r="M16" s="2930">
        <f>SUM('ПОЛНАЯ СЕБЕСТОИМОСТЬ ВОДА 2023'!C11)</f>
        <v>1227.9204921876501</v>
      </c>
      <c r="N16" s="2930">
        <f>SUM('ПОЛНАЯ СЕБЕСТОИМОСТЬ ВОДА 2023'!D11)</f>
        <v>0.33774999999999999</v>
      </c>
      <c r="O16" s="2930">
        <f>SUM('ПОЛНАЯ СЕБЕСТОИМОСТЬ ВОДА 2023'!Q11)</f>
        <v>1228.25824218765</v>
      </c>
      <c r="P16" s="2930">
        <f>SUM('ПОЛНАЯ СЕБЕСТОИМОСТЬ ВОДА 2023'!R11)</f>
        <v>1227.9204921876501</v>
      </c>
      <c r="Q16" s="2930">
        <f>SUM('ПОЛНАЯ СЕБЕСТОИМОСТЬ ВОДА 2023'!S11)</f>
        <v>0.33774999999999999</v>
      </c>
      <c r="R16" s="2930">
        <f>SUM('ПОЛНАЯ СЕБЕСТОИМОСТЬ ВОДА 2023'!AF11)</f>
        <v>2456.5164843753</v>
      </c>
      <c r="S16" s="2930">
        <f>SUM('ПОЛНАЯ СЕБЕСТОИМОСТЬ ВОДА 2023'!AG11)</f>
        <v>2455.8409843753002</v>
      </c>
      <c r="T16" s="2930">
        <f>SUM('ПОЛНАЯ СЕБЕСТОИМОСТЬ ВОДА 2023'!AH11)</f>
        <v>0.67549999999999999</v>
      </c>
      <c r="U16" s="2930">
        <f>SUM('ПОЛНАЯ СЕБЕСТОИМОСТЬ ВОДА 2023'!AO11)</f>
        <v>1228.25824218765</v>
      </c>
      <c r="V16" s="2930">
        <f>SUM('ПОЛНАЯ СЕБЕСТОИМОСТЬ ВОДА 2023'!AP11)</f>
        <v>1227.9204921876501</v>
      </c>
      <c r="W16" s="2930">
        <f>SUM('ПОЛНАЯ СЕБЕСТОИМОСТЬ ВОДА 2023'!AQ11)</f>
        <v>0.33774999999999999</v>
      </c>
      <c r="X16" s="2930">
        <f>SUM('ПОЛНАЯ СЕБЕСТОИМОСТЬ ВОДА 2023'!BD11)</f>
        <v>3684.7747265629505</v>
      </c>
      <c r="Y16" s="2930">
        <f>SUM('ПОЛНАЯ СЕБЕСТОИМОСТЬ ВОДА 2023'!BE11)</f>
        <v>3683.7614765629505</v>
      </c>
      <c r="Z16" s="2930">
        <f>SUM('ПОЛНАЯ СЕБЕСТОИМОСТЬ ВОДА 2023'!BF11)</f>
        <v>1.01325</v>
      </c>
      <c r="AA16" s="2930">
        <f>SUM('ПОЛНАЯ СЕБЕСТОИМОСТЬ ВОДА 2023'!BM11)</f>
        <v>1228.25824218765</v>
      </c>
      <c r="AB16" s="2930">
        <f>SUM('ПОЛНАЯ СЕБЕСТОИМОСТЬ ВОДА 2023'!BN11)</f>
        <v>1227.9204921876501</v>
      </c>
      <c r="AC16" s="2930">
        <f>SUM('ПОЛНАЯ СЕБЕСТОИМОСТЬ ВОДА 2023'!BO11)</f>
        <v>0.33774999999999999</v>
      </c>
      <c r="AD16" s="2931">
        <f>SUM('ПОЛНАЯ СЕБЕСТОИМОСТЬ ВОДА 2023'!CB11)</f>
        <v>4913.0329687506</v>
      </c>
      <c r="AE16" s="2931">
        <f>SUM('ПОЛНАЯ СЕБЕСТОИМОСТЬ ВОДА 2023'!CC11)</f>
        <v>4911.6819687506004</v>
      </c>
      <c r="AF16" s="2932">
        <f>SUM('ПОЛНАЯ СЕБЕСТОИМОСТЬ ВОДА 2023'!CD11)</f>
        <v>1.351</v>
      </c>
      <c r="AG16" s="389"/>
      <c r="AH16" s="389"/>
      <c r="AI16" s="389"/>
      <c r="AJ16" s="389"/>
      <c r="AK16" s="389"/>
      <c r="AL16" s="389"/>
      <c r="AM16" s="389"/>
      <c r="AN16" s="389"/>
      <c r="AO16" s="389"/>
      <c r="AP16" s="389"/>
      <c r="AQ16" s="389"/>
      <c r="AR16" s="389"/>
      <c r="AS16" s="389"/>
      <c r="AT16" s="389"/>
      <c r="AU16" s="389"/>
      <c r="AV16" s="389"/>
      <c r="AW16" s="389"/>
      <c r="AX16" s="389"/>
      <c r="AY16" s="389"/>
      <c r="AZ16" s="389"/>
      <c r="BA16" s="389"/>
      <c r="BB16" s="389"/>
      <c r="BC16" s="389"/>
      <c r="BD16" s="389"/>
      <c r="BE16" s="389"/>
      <c r="BF16" s="389"/>
      <c r="BG16" s="389"/>
      <c r="BH16" s="389"/>
      <c r="BI16" s="389"/>
    </row>
    <row r="17" spans="1:61" ht="18.75" x14ac:dyDescent="0.3">
      <c r="A17" s="2933" t="s">
        <v>51</v>
      </c>
      <c r="B17" s="2928"/>
      <c r="C17" s="2928"/>
      <c r="D17" s="2928"/>
      <c r="E17" s="2928"/>
      <c r="F17" s="2928"/>
      <c r="G17" s="2928"/>
      <c r="H17" s="2928"/>
      <c r="I17" s="2928"/>
      <c r="J17" s="2928"/>
      <c r="K17" s="2934" t="s">
        <v>3780</v>
      </c>
      <c r="L17" s="2935">
        <f>SUM('ПОЛНАЯ СЕБЕСТОИМОСТЬ ВОДА 2023'!B12)</f>
        <v>339.39722404136307</v>
      </c>
      <c r="M17" s="2935">
        <f>SUM('ПОЛНАЯ СЕБЕСТОИМОСТЬ ВОДА 2023'!C12)</f>
        <v>339.39722404136307</v>
      </c>
      <c r="N17" s="2935">
        <f>SUM('ПОЛНАЯ СЕБЕСТОИМОСТЬ ВОДА 2023'!D12)</f>
        <v>0</v>
      </c>
      <c r="O17" s="2935">
        <f>SUM('ПОЛНАЯ СЕБЕСТОИМОСТЬ ВОДА 2023'!Q12)</f>
        <v>339.39722404136307</v>
      </c>
      <c r="P17" s="2935">
        <f>SUM('ПОЛНАЯ СЕБЕСТОИМОСТЬ ВОДА 2023'!R12)</f>
        <v>339.39722404136307</v>
      </c>
      <c r="Q17" s="2935">
        <f>SUM('ПОЛНАЯ СЕБЕСТОИМОСТЬ ВОДА 2023'!S12)</f>
        <v>0</v>
      </c>
      <c r="R17" s="2935">
        <f>SUM('ПОЛНАЯ СЕБЕСТОИМОСТЬ ВОДА 2023'!AF12)</f>
        <v>678.79444808272615</v>
      </c>
      <c r="S17" s="2935">
        <f>SUM('ПОЛНАЯ СЕБЕСТОИМОСТЬ ВОДА 2023'!AG12)</f>
        <v>678.79444808272615</v>
      </c>
      <c r="T17" s="2935">
        <f>SUM('ПОЛНАЯ СЕБЕСТОИМОСТЬ ВОДА 2023'!AH12)</f>
        <v>0</v>
      </c>
      <c r="U17" s="2935">
        <f>SUM('ПОЛНАЯ СЕБЕСТОИМОСТЬ ВОДА 2023'!AO12)</f>
        <v>339.39722404136307</v>
      </c>
      <c r="V17" s="2935">
        <f>SUM('ПОЛНАЯ СЕБЕСТОИМОСТЬ ВОДА 2023'!AP12)</f>
        <v>339.39722404136307</v>
      </c>
      <c r="W17" s="2935">
        <f>SUM('ПОЛНАЯ СЕБЕСТОИМОСТЬ ВОДА 2023'!AQ12)</f>
        <v>0</v>
      </c>
      <c r="X17" s="2935">
        <f>SUM('ПОЛНАЯ СЕБЕСТОИМОСТЬ ВОДА 2023'!BD12)</f>
        <v>1018.1916721240896</v>
      </c>
      <c r="Y17" s="2935">
        <f>SUM('ПОЛНАЯ СЕБЕСТОИМОСТЬ ВОДА 2023'!BE12)</f>
        <v>1018.1916721240896</v>
      </c>
      <c r="Z17" s="2935">
        <f>SUM('ПОЛНАЯ СЕБЕСТОИМОСТЬ ВОДА 2023'!BF12)</f>
        <v>0</v>
      </c>
      <c r="AA17" s="2935">
        <f>SUM('ПОЛНАЯ СЕБЕСТОИМОСТЬ ВОДА 2023'!BM12)</f>
        <v>339.39722404136307</v>
      </c>
      <c r="AB17" s="2935">
        <f>SUM('ПОЛНАЯ СЕБЕСТОИМОСТЬ ВОДА 2023'!BN12)</f>
        <v>339.39722404136307</v>
      </c>
      <c r="AC17" s="2935">
        <f>SUM('ПОЛНАЯ СЕБЕСТОИМОСТЬ ВОДА 2023'!BO12)</f>
        <v>0</v>
      </c>
      <c r="AD17" s="2936">
        <f>SUM('ПОЛНАЯ СЕБЕСТОИМОСТЬ ВОДА 2023'!CB12)</f>
        <v>1357.5888961654523</v>
      </c>
      <c r="AE17" s="2936">
        <f>SUM('ПОЛНАЯ СЕБЕСТОИМОСТЬ ВОДА 2023'!CC12)</f>
        <v>1357.5888961654523</v>
      </c>
      <c r="AF17" s="2937">
        <f>SUM('ПОЛНАЯ СЕБЕСТОИМОСТЬ ВОДА 2023'!CD12)</f>
        <v>0</v>
      </c>
      <c r="AG17" s="389"/>
      <c r="AH17" s="389"/>
      <c r="AI17" s="389"/>
      <c r="AJ17" s="389"/>
      <c r="AK17" s="389"/>
      <c r="AL17" s="389"/>
      <c r="AM17" s="389"/>
      <c r="AN17" s="389"/>
      <c r="AO17" s="389"/>
      <c r="AP17" s="389"/>
      <c r="AQ17" s="389"/>
      <c r="AR17" s="389"/>
      <c r="AS17" s="389"/>
      <c r="AT17" s="389"/>
      <c r="AU17" s="389"/>
      <c r="AV17" s="389"/>
      <c r="AW17" s="389"/>
      <c r="AX17" s="389"/>
      <c r="AY17" s="389"/>
      <c r="AZ17" s="389"/>
      <c r="BA17" s="389"/>
      <c r="BB17" s="389"/>
      <c r="BC17" s="389"/>
      <c r="BD17" s="389"/>
      <c r="BE17" s="389"/>
      <c r="BF17" s="389"/>
      <c r="BG17" s="389"/>
      <c r="BH17" s="389"/>
      <c r="BI17" s="389"/>
    </row>
    <row r="18" spans="1:61" ht="18.75" customHeight="1" x14ac:dyDescent="0.3">
      <c r="A18" s="2938" t="s">
        <v>110</v>
      </c>
      <c r="B18" s="2928"/>
      <c r="C18" s="2928"/>
      <c r="D18" s="2928"/>
      <c r="E18" s="2928"/>
      <c r="F18" s="2928"/>
      <c r="G18" s="2928"/>
      <c r="H18" s="2928"/>
      <c r="I18" s="2928"/>
      <c r="J18" s="2928"/>
      <c r="K18" s="2934" t="s">
        <v>44</v>
      </c>
      <c r="L18" s="2959">
        <f>SUM('ПОЛНАЯ СЕБЕСТОИМОСТЬ ВОДА 2023'!B13)</f>
        <v>0.2763239947300194</v>
      </c>
      <c r="M18" s="2959">
        <f>SUM('ПОЛНАЯ СЕБЕСТОИМОСТЬ ВОДА 2023'!C13)</f>
        <v>0.2764000000005673</v>
      </c>
      <c r="N18" s="2959">
        <f>SUM('ПОЛНАЯ СЕБЕСТОИМОСТЬ ВОДА 2023'!D13)</f>
        <v>0</v>
      </c>
      <c r="O18" s="2959">
        <f>SUM('ПОЛНАЯ СЕБЕСТОИМОСТЬ ВОДА 2023'!Q13)</f>
        <v>0.2763239947300194</v>
      </c>
      <c r="P18" s="2959">
        <f>SUM('ПОЛНАЯ СЕБЕСТОИМОСТЬ ВОДА 2023'!R13)</f>
        <v>0.2764000000005673</v>
      </c>
      <c r="Q18" s="2959">
        <f>SUM('ПОЛНАЯ СЕБЕСТОИМОСТЬ ВОДА 2023'!S13)</f>
        <v>0</v>
      </c>
      <c r="R18" s="2959">
        <f>SUM('ПОЛНАЯ СЕБЕСТОИМОСТЬ ВОДА 2023'!AF13)</f>
        <v>0.2763239947300194</v>
      </c>
      <c r="S18" s="2959">
        <f>SUM('ПОЛНАЯ СЕБЕСТОИМОСТЬ ВОДА 2023'!AG13)</f>
        <v>0.2764000000005673</v>
      </c>
      <c r="T18" s="2959">
        <f>SUM('ПОЛНАЯ СЕБЕСТОИМОСТЬ ВОДА 2023'!AH13)</f>
        <v>0</v>
      </c>
      <c r="U18" s="2959">
        <f>SUM('ПОЛНАЯ СЕБЕСТОИМОСТЬ ВОДА 2023'!AO13)</f>
        <v>0.2763239947300194</v>
      </c>
      <c r="V18" s="2959">
        <f>SUM('ПОЛНАЯ СЕБЕСТОИМОСТЬ ВОДА 2023'!AP13)</f>
        <v>0.2764000000005673</v>
      </c>
      <c r="W18" s="2959">
        <f>SUM('ПОЛНАЯ СЕБЕСТОИМОСТЬ ВОДА 2023'!AQ13)</f>
        <v>0</v>
      </c>
      <c r="X18" s="2959">
        <f>SUM('ПОЛНАЯ СЕБЕСТОИМОСТЬ ВОДА 2023'!BD13)</f>
        <v>0.27632399473001945</v>
      </c>
      <c r="Y18" s="2959">
        <f>SUM('ПОЛНАЯ СЕБЕСТОИМОСТЬ ВОДА 2023'!BE13)</f>
        <v>0.27640000000056736</v>
      </c>
      <c r="Z18" s="2959">
        <f>SUM('ПОЛНАЯ СЕБЕСТОИМОСТЬ ВОДА 2023'!BF13)</f>
        <v>0</v>
      </c>
      <c r="AA18" s="2959">
        <f>SUM('ПОЛНАЯ СЕБЕСТОИМОСТЬ ВОДА 2023'!BM13)</f>
        <v>0.2763239947300194</v>
      </c>
      <c r="AB18" s="2959">
        <f>SUM('ПОЛНАЯ СЕБЕСТОИМОСТЬ ВОДА 2023'!BN13)</f>
        <v>0.2764000000005673</v>
      </c>
      <c r="AC18" s="2959">
        <f>SUM('ПОЛНАЯ СЕБЕСТОИМОСТЬ ВОДА 2023'!BO13)</f>
        <v>0</v>
      </c>
      <c r="AD18" s="3013">
        <f>SUM('ПОЛНАЯ СЕБЕСТОИМОСТЬ ВОДА 2023'!CB13)</f>
        <v>0.2763239947300194</v>
      </c>
      <c r="AE18" s="3013">
        <f>SUM('ПОЛНАЯ СЕБЕСТОИМОСТЬ ВОДА 2023'!CC13)</f>
        <v>0.2764000000005673</v>
      </c>
      <c r="AF18" s="2960">
        <f>SUM('ПОЛНАЯ СЕБЕСТОИМОСТЬ ВОДА 2023'!CD13)</f>
        <v>0</v>
      </c>
      <c r="AG18" s="389"/>
      <c r="AH18" s="389"/>
      <c r="AI18" s="389"/>
      <c r="AJ18" s="389"/>
      <c r="AK18" s="389"/>
      <c r="AL18" s="389"/>
      <c r="AM18" s="389"/>
      <c r="AN18" s="389"/>
      <c r="AO18" s="389"/>
      <c r="AP18" s="389"/>
      <c r="AQ18" s="389"/>
      <c r="AR18" s="389"/>
      <c r="AS18" s="389"/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</row>
    <row r="19" spans="1:61" ht="18.75" x14ac:dyDescent="0.3">
      <c r="A19" s="2927" t="s">
        <v>3689</v>
      </c>
      <c r="B19" s="2928"/>
      <c r="C19" s="2928"/>
      <c r="D19" s="2928"/>
      <c r="E19" s="2928"/>
      <c r="F19" s="2928"/>
      <c r="G19" s="2928"/>
      <c r="H19" s="2928"/>
      <c r="I19" s="2928"/>
      <c r="J19" s="2928"/>
      <c r="K19" s="2929" t="s">
        <v>3780</v>
      </c>
      <c r="L19" s="2930">
        <f>SUM('ПОЛНАЯ СЕБЕСТОИМОСТЬ ВОДА 2023'!B14)</f>
        <v>888.86101814628705</v>
      </c>
      <c r="M19" s="2930">
        <f>SUM('ПОЛНАЯ СЕБЕСТОИМОСТЬ ВОДА 2023'!C14)</f>
        <v>888.52326814628702</v>
      </c>
      <c r="N19" s="2930">
        <f>SUM('ПОЛНАЯ СЕБЕСТОИМОСТЬ ВОДА 2023'!D14)</f>
        <v>0.33774999999999999</v>
      </c>
      <c r="O19" s="2930">
        <f>SUM('ПОЛНАЯ СЕБЕСТОИМОСТЬ ВОДА 2023'!Q14)</f>
        <v>888.86101814628705</v>
      </c>
      <c r="P19" s="2930">
        <f>SUM('ПОЛНАЯ СЕБЕСТОИМОСТЬ ВОДА 2023'!R14)</f>
        <v>888.52326814628702</v>
      </c>
      <c r="Q19" s="2930">
        <f>SUM('ПОЛНАЯ СЕБЕСТОИМОСТЬ ВОДА 2023'!S14)</f>
        <v>0.33774999999999999</v>
      </c>
      <c r="R19" s="2930">
        <f>SUM('ПОЛНАЯ СЕБЕСТОИМОСТЬ ВОДА 2023'!AF14)</f>
        <v>1777.7220362925741</v>
      </c>
      <c r="S19" s="2930">
        <f>SUM('ПОЛНАЯ СЕБЕСТОИМОСТЬ ВОДА 2023'!AG14)</f>
        <v>1777.046536292574</v>
      </c>
      <c r="T19" s="2930">
        <f>SUM('ПОЛНАЯ СЕБЕСТОИМОСТЬ ВОДА 2023'!AH14)</f>
        <v>0.67549999999999999</v>
      </c>
      <c r="U19" s="2930">
        <f>SUM('ПОЛНАЯ СЕБЕСТОИМОСТЬ ВОДА 2023'!AO14)</f>
        <v>888.86101814628705</v>
      </c>
      <c r="V19" s="2930">
        <f>SUM('ПОЛНАЯ СЕБЕСТОИМОСТЬ ВОДА 2023'!AP14)</f>
        <v>888.52326814628702</v>
      </c>
      <c r="W19" s="2930">
        <f>SUM('ПОЛНАЯ СЕБЕСТОИМОСТЬ ВОДА 2023'!AQ14)</f>
        <v>0.33774999999999999</v>
      </c>
      <c r="X19" s="2930">
        <f>SUM('ПОЛНАЯ СЕБЕСТОИМОСТЬ ВОДА 2023'!BD14)</f>
        <v>2666.5830544388609</v>
      </c>
      <c r="Y19" s="2930">
        <f>SUM('ПОЛНАЯ СЕБЕСТОИМОСТЬ ВОДА 2023'!BE14)</f>
        <v>2665.569804438861</v>
      </c>
      <c r="Z19" s="2930">
        <f>SUM('ПОЛНАЯ СЕБЕСТОИМОСТЬ ВОДА 2023'!BF14)</f>
        <v>1.01325</v>
      </c>
      <c r="AA19" s="2930">
        <f>SUM('ПОЛНАЯ СЕБЕСТОИМОСТЬ ВОДА 2023'!BM14)</f>
        <v>888.86101814628705</v>
      </c>
      <c r="AB19" s="2930">
        <f>SUM('ПОЛНАЯ СЕБЕСТОИМОСТЬ ВОДА 2023'!BN14)</f>
        <v>888.52326814628702</v>
      </c>
      <c r="AC19" s="2930">
        <f>SUM('ПОЛНАЯ СЕБЕСТОИМОСТЬ ВОДА 2023'!BO14)</f>
        <v>0.33774999999999999</v>
      </c>
      <c r="AD19" s="2931">
        <f>SUM('ПОЛНАЯ СЕБЕСТОИМОСТЬ ВОДА 2023'!CB14)</f>
        <v>3555.4440725851482</v>
      </c>
      <c r="AE19" s="2931">
        <f>SUM('ПОЛНАЯ СЕБЕСТОИМОСТЬ ВОДА 2023'!CC14)</f>
        <v>3554.0930725851481</v>
      </c>
      <c r="AF19" s="2932">
        <f>SUM('ПОЛНАЯ СЕБЕСТОИМОСТЬ ВОДА 2023'!CD14)</f>
        <v>1.351</v>
      </c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</row>
    <row r="20" spans="1:61" ht="18.75" x14ac:dyDescent="0.3">
      <c r="A20" s="2933" t="s">
        <v>24</v>
      </c>
      <c r="B20" s="2928"/>
      <c r="C20" s="2928"/>
      <c r="D20" s="2928"/>
      <c r="E20" s="2928"/>
      <c r="F20" s="2928"/>
      <c r="G20" s="2928"/>
      <c r="H20" s="2928"/>
      <c r="I20" s="2928"/>
      <c r="J20" s="2928"/>
      <c r="K20" s="2934" t="s">
        <v>3780</v>
      </c>
      <c r="L20" s="2935">
        <f>SUM('ПОЛНАЯ СЕБЕСТОИМОСТЬ ВОДА 2023'!B15)</f>
        <v>603.28582716000005</v>
      </c>
      <c r="M20" s="2935">
        <f>SUM('ПОЛНАЯ СЕБЕСТОИМОСТЬ ВОДА 2023'!C15)</f>
        <v>603.28582716000005</v>
      </c>
      <c r="N20" s="2935">
        <f>SUM('ПОЛНАЯ СЕБЕСТОИМОСТЬ ВОДА 2023'!D15)</f>
        <v>0</v>
      </c>
      <c r="O20" s="2935">
        <f>SUM('ПОЛНАЯ СЕБЕСТОИМОСТЬ ВОДА 2023'!Q15)</f>
        <v>603.28582716000005</v>
      </c>
      <c r="P20" s="2935">
        <f>SUM('ПОЛНАЯ СЕБЕСТОИМОСТЬ ВОДА 2023'!R15)</f>
        <v>603.28582716000005</v>
      </c>
      <c r="Q20" s="2935">
        <f>SUM('ПОЛНАЯ СЕБЕСТОИМОСТЬ ВОДА 2023'!S15)</f>
        <v>0</v>
      </c>
      <c r="R20" s="2935">
        <f>SUM('ПОЛНАЯ СЕБЕСТОИМОСТЬ ВОДА 2023'!AF15)</f>
        <v>1206.5716543200001</v>
      </c>
      <c r="S20" s="2935">
        <f>SUM('ПОЛНАЯ СЕБЕСТОИМОСТЬ ВОДА 2023'!AG15)</f>
        <v>1206.5716543200001</v>
      </c>
      <c r="T20" s="2935">
        <f>SUM('ПОЛНАЯ СЕБЕСТОИМОСТЬ ВОДА 2023'!AH15)</f>
        <v>0</v>
      </c>
      <c r="U20" s="2935">
        <f>SUM('ПОЛНАЯ СЕБЕСТОИМОСТЬ ВОДА 2023'!AO15)</f>
        <v>603.28582716000005</v>
      </c>
      <c r="V20" s="2935">
        <f>SUM('ПОЛНАЯ СЕБЕСТОИМОСТЬ ВОДА 2023'!AP15)</f>
        <v>603.28582716000005</v>
      </c>
      <c r="W20" s="2935">
        <f>SUM('ПОЛНАЯ СЕБЕСТОИМОСТЬ ВОДА 2023'!AQ15)</f>
        <v>0</v>
      </c>
      <c r="X20" s="2935">
        <f>SUM('ПОЛНАЯ СЕБЕСТОИМОСТЬ ВОДА 2023'!BD15)</f>
        <v>1809.8574814800002</v>
      </c>
      <c r="Y20" s="2935">
        <f>SUM('ПОЛНАЯ СЕБЕСТОИМОСТЬ ВОДА 2023'!BE15)</f>
        <v>1809.8574814800002</v>
      </c>
      <c r="Z20" s="2935">
        <f>SUM('ПОЛНАЯ СЕБЕСТОИМОСТЬ ВОДА 2023'!BF15)</f>
        <v>0</v>
      </c>
      <c r="AA20" s="2935">
        <f>SUM('ПОЛНАЯ СЕБЕСТОИМОСТЬ ВОДА 2023'!BM15)</f>
        <v>603.28582716000005</v>
      </c>
      <c r="AB20" s="2935">
        <f>SUM('ПОЛНАЯ СЕБЕСТОИМОСТЬ ВОДА 2023'!BN15)</f>
        <v>603.28582716000005</v>
      </c>
      <c r="AC20" s="2935">
        <f>SUM('ПОЛНАЯ СЕБЕСТОИМОСТЬ ВОДА 2023'!BO15)</f>
        <v>0</v>
      </c>
      <c r="AD20" s="2936">
        <f>SUM('ПОЛНАЯ СЕБЕСТОИМОСТЬ ВОДА 2023'!CB15)</f>
        <v>2413.1433086400002</v>
      </c>
      <c r="AE20" s="2936">
        <f>SUM('ПОЛНАЯ СЕБЕСТОИМОСТЬ ВОДА 2023'!CC15)</f>
        <v>2413.1433086400002</v>
      </c>
      <c r="AF20" s="2937">
        <f>SUM('ПОЛНАЯ СЕБЕСТОИМОСТЬ ВОДА 2023'!CD15)</f>
        <v>0</v>
      </c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1:61" ht="19.5" hidden="1" customHeight="1" x14ac:dyDescent="0.3">
      <c r="A21" s="3016" t="s">
        <v>3772</v>
      </c>
      <c r="B21" s="2928"/>
      <c r="C21" s="2928"/>
      <c r="D21" s="2928"/>
      <c r="E21" s="2928"/>
      <c r="F21" s="2928"/>
      <c r="G21" s="2928"/>
      <c r="H21" s="2928"/>
      <c r="I21" s="2928"/>
      <c r="J21" s="2928"/>
      <c r="K21" s="2934" t="s">
        <v>3780</v>
      </c>
      <c r="L21" s="2935" t="e">
        <f>SUM('ПОЛНАЯ СЕБЕСТОИМОСТЬ ВОДА 2023'!#REF!)</f>
        <v>#REF!</v>
      </c>
      <c r="M21" s="2935" t="e">
        <f>SUM('ПОЛНАЯ СЕБЕСТОИМОСТЬ ВОДА 2023'!#REF!)</f>
        <v>#REF!</v>
      </c>
      <c r="N21" s="2935" t="e">
        <f>SUM('ПОЛНАЯ СЕБЕСТОИМОСТЬ ВОДА 2023'!#REF!)</f>
        <v>#REF!</v>
      </c>
      <c r="O21" s="2935" t="e">
        <f>SUM('ПОЛНАЯ СЕБЕСТОИМОСТЬ ВОДА 2023'!#REF!)</f>
        <v>#REF!</v>
      </c>
      <c r="P21" s="2935" t="e">
        <f>SUM('ПОЛНАЯ СЕБЕСТОИМОСТЬ ВОДА 2023'!#REF!)</f>
        <v>#REF!</v>
      </c>
      <c r="Q21" s="2935" t="e">
        <f>SUM('ПОЛНАЯ СЕБЕСТОИМОСТЬ ВОДА 2023'!#REF!)</f>
        <v>#REF!</v>
      </c>
      <c r="R21" s="2935" t="e">
        <f>SUM('ПОЛНАЯ СЕБЕСТОИМОСТЬ ВОДА 2023'!#REF!)</f>
        <v>#REF!</v>
      </c>
      <c r="S21" s="2935" t="e">
        <f>SUM('ПОЛНАЯ СЕБЕСТОИМОСТЬ ВОДА 2023'!#REF!)</f>
        <v>#REF!</v>
      </c>
      <c r="T21" s="2935" t="e">
        <f>SUM('ПОЛНАЯ СЕБЕСТОИМОСТЬ ВОДА 2023'!#REF!)</f>
        <v>#REF!</v>
      </c>
      <c r="U21" s="2935" t="e">
        <f>SUM('ПОЛНАЯ СЕБЕСТОИМОСТЬ ВОДА 2023'!#REF!)</f>
        <v>#REF!</v>
      </c>
      <c r="V21" s="2935" t="e">
        <f>SUM('ПОЛНАЯ СЕБЕСТОИМОСТЬ ВОДА 2023'!#REF!)</f>
        <v>#REF!</v>
      </c>
      <c r="W21" s="2935" t="e">
        <f>SUM('ПОЛНАЯ СЕБЕСТОИМОСТЬ ВОДА 2023'!#REF!)</f>
        <v>#REF!</v>
      </c>
      <c r="X21" s="2935" t="e">
        <f>SUM('ПОЛНАЯ СЕБЕСТОИМОСТЬ ВОДА 2023'!#REF!)</f>
        <v>#REF!</v>
      </c>
      <c r="Y21" s="2935" t="e">
        <f>SUM('ПОЛНАЯ СЕБЕСТОИМОСТЬ ВОДА 2023'!#REF!)</f>
        <v>#REF!</v>
      </c>
      <c r="Z21" s="2935" t="e">
        <f>SUM('ПОЛНАЯ СЕБЕСТОИМОСТЬ ВОДА 2023'!#REF!)</f>
        <v>#REF!</v>
      </c>
      <c r="AA21" s="2935" t="e">
        <f>SUM('ПОЛНАЯ СЕБЕСТОИМОСТЬ ВОДА 2023'!#REF!)</f>
        <v>#REF!</v>
      </c>
      <c r="AB21" s="2935" t="e">
        <f>SUM('ПОЛНАЯ СЕБЕСТОИМОСТЬ ВОДА 2023'!#REF!)</f>
        <v>#REF!</v>
      </c>
      <c r="AC21" s="2935" t="e">
        <f>SUM('ПОЛНАЯ СЕБЕСТОИМОСТЬ ВОДА 2023'!#REF!)</f>
        <v>#REF!</v>
      </c>
      <c r="AD21" s="2936" t="e">
        <f>SUM('ПОЛНАЯ СЕБЕСТОИМОСТЬ ВОДА 2023'!#REF!)</f>
        <v>#REF!</v>
      </c>
      <c r="AE21" s="2936" t="e">
        <f>SUM('ПОЛНАЯ СЕБЕСТОИМОСТЬ ВОДА 2023'!#REF!)</f>
        <v>#REF!</v>
      </c>
      <c r="AF21" s="2937" t="e">
        <f>SUM('ПОЛНАЯ СЕБЕСТОИМОСТЬ ВОДА 2023'!#REF!)</f>
        <v>#REF!</v>
      </c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1:61" ht="18.75" x14ac:dyDescent="0.3">
      <c r="A22" s="3016" t="s">
        <v>3643</v>
      </c>
      <c r="B22" s="2928"/>
      <c r="C22" s="2928"/>
      <c r="D22" s="2928"/>
      <c r="E22" s="2928"/>
      <c r="F22" s="2928"/>
      <c r="G22" s="2928"/>
      <c r="H22" s="2928"/>
      <c r="I22" s="2928"/>
      <c r="J22" s="2928"/>
      <c r="K22" s="2934" t="s">
        <v>3780</v>
      </c>
      <c r="L22" s="2935">
        <f>SUM('ПОЛНАЯ СЕБЕСТОИМОСТЬ ВОДА 2023'!B16)</f>
        <v>208.075190986287</v>
      </c>
      <c r="M22" s="2935">
        <f>SUM('ПОЛНАЯ СЕБЕСТОИМОСТЬ ВОДА 2023'!C16)</f>
        <v>207.737440986287</v>
      </c>
      <c r="N22" s="2935">
        <f>SUM('ПОЛНАЯ СЕБЕСТОИМОСТЬ ВОДА 2023'!D16)</f>
        <v>0.33774999999999999</v>
      </c>
      <c r="O22" s="2935">
        <f>SUM('ПОЛНАЯ СЕБЕСТОИМОСТЬ ВОДА 2023'!Q16)</f>
        <v>208.075190986287</v>
      </c>
      <c r="P22" s="2935">
        <f>SUM('ПОЛНАЯ СЕБЕСТОИМОСТЬ ВОДА 2023'!R16)</f>
        <v>207.737440986287</v>
      </c>
      <c r="Q22" s="2935">
        <f>SUM('ПОЛНАЯ СЕБЕСТОИМОСТЬ ВОДА 2023'!S16)</f>
        <v>0.33774999999999999</v>
      </c>
      <c r="R22" s="2935">
        <f>SUM('ПОЛНАЯ СЕБЕСТОИМОСТЬ ВОДА 2023'!AF16)</f>
        <v>416.150381972574</v>
      </c>
      <c r="S22" s="2935">
        <f>SUM('ПОЛНАЯ СЕБЕСТОИМОСТЬ ВОДА 2023'!AG16)</f>
        <v>415.474881972574</v>
      </c>
      <c r="T22" s="2935">
        <f>SUM('ПОЛНАЯ СЕБЕСТОИМОСТЬ ВОДА 2023'!AH16)</f>
        <v>0.67549999999999999</v>
      </c>
      <c r="U22" s="2935">
        <f>SUM('ПОЛНАЯ СЕБЕСТОИМОСТЬ ВОДА 2023'!AO16)</f>
        <v>208.075190986287</v>
      </c>
      <c r="V22" s="2935">
        <f>SUM('ПОЛНАЯ СЕБЕСТОИМОСТЬ ВОДА 2023'!AP16)</f>
        <v>207.737440986287</v>
      </c>
      <c r="W22" s="2935">
        <f>SUM('ПОЛНАЯ СЕБЕСТОИМОСТЬ ВОДА 2023'!AQ16)</f>
        <v>0.33774999999999999</v>
      </c>
      <c r="X22" s="2935">
        <f>SUM('ПОЛНАЯ СЕБЕСТОИМОСТЬ ВОДА 2023'!BD16)</f>
        <v>624.22557295886099</v>
      </c>
      <c r="Y22" s="2935">
        <f>SUM('ПОЛНАЯ СЕБЕСТОИМОСТЬ ВОДА 2023'!BE16)</f>
        <v>623.21232295886102</v>
      </c>
      <c r="Z22" s="2935">
        <f>SUM('ПОЛНАЯ СЕБЕСТОИМОСТЬ ВОДА 2023'!BF16)</f>
        <v>1.01325</v>
      </c>
      <c r="AA22" s="2935">
        <f>SUM('ПОЛНАЯ СЕБЕСТОИМОСТЬ ВОДА 2023'!BM16)</f>
        <v>208.075190986287</v>
      </c>
      <c r="AB22" s="2935">
        <f>SUM('ПОЛНАЯ СЕБЕСТОИМОСТЬ ВОДА 2023'!BN16)</f>
        <v>207.737440986287</v>
      </c>
      <c r="AC22" s="2935">
        <f>SUM('ПОЛНАЯ СЕБЕСТОИМОСТЬ ВОДА 2023'!BO16)</f>
        <v>0.33774999999999999</v>
      </c>
      <c r="AD22" s="2936">
        <f>SUM('ПОЛНАЯ СЕБЕСТОИМОСТЬ ВОДА 2023'!CB16)</f>
        <v>832.30076394514799</v>
      </c>
      <c r="AE22" s="2936">
        <f>SUM('ПОЛНАЯ СЕБЕСТОИМОСТЬ ВОДА 2023'!CC16)</f>
        <v>830.94976394514799</v>
      </c>
      <c r="AF22" s="2937">
        <f>SUM('ПОЛНАЯ СЕБЕСТОИМОСТЬ ВОДА 2023'!CD16)</f>
        <v>1.351</v>
      </c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1:61" ht="18.75" x14ac:dyDescent="0.3">
      <c r="A23" s="2908" t="s">
        <v>3644</v>
      </c>
      <c r="B23" s="2928"/>
      <c r="C23" s="2928"/>
      <c r="D23" s="2928"/>
      <c r="E23" s="2928"/>
      <c r="F23" s="2928"/>
      <c r="G23" s="2928"/>
      <c r="H23" s="2928"/>
      <c r="I23" s="2928"/>
      <c r="J23" s="2928"/>
      <c r="K23" s="2934" t="s">
        <v>3780</v>
      </c>
      <c r="L23" s="2942">
        <f>SUM('ПОЛНАЯ СЕБЕСТОИМОСТЬ ВОДА 2023'!B17)</f>
        <v>71.282636797438244</v>
      </c>
      <c r="M23" s="2942">
        <f>SUM('ПОЛНАЯ СЕБЕСТОИМОСТЬ ВОДА 2023'!C17)</f>
        <v>71.282636797438244</v>
      </c>
      <c r="N23" s="2942">
        <f>SUM('ПОЛНАЯ СЕБЕСТОИМОСТЬ ВОДА 2023'!D17)</f>
        <v>0</v>
      </c>
      <c r="O23" s="2942">
        <f>SUM('ПОЛНАЯ СЕБЕСТОИМОСТЬ ВОДА 2023'!Q17)</f>
        <v>71.282636797438244</v>
      </c>
      <c r="P23" s="2942">
        <f>SUM('ПОЛНАЯ СЕБЕСТОИМОСТЬ ВОДА 2023'!R17)</f>
        <v>71.282636797438244</v>
      </c>
      <c r="Q23" s="2942">
        <f>SUM('ПОЛНАЯ СЕБЕСТОИМОСТЬ ВОДА 2023'!S17)</f>
        <v>0</v>
      </c>
      <c r="R23" s="2942">
        <f>SUM('ПОЛНАЯ СЕБЕСТОИМОСТЬ ВОДА 2023'!AF17)</f>
        <v>142.56527359487649</v>
      </c>
      <c r="S23" s="2942">
        <f>SUM('ПОЛНАЯ СЕБЕСТОИМОСТЬ ВОДА 2023'!AG17)</f>
        <v>142.56527359487649</v>
      </c>
      <c r="T23" s="2942">
        <f>SUM('ПОЛНАЯ СЕБЕСТОИМОСТЬ ВОДА 2023'!AH17)</f>
        <v>0</v>
      </c>
      <c r="U23" s="2942">
        <f>SUM('ПОЛНАЯ СЕБЕСТОИМОСТЬ ВОДА 2023'!AO17)</f>
        <v>71.282636797438244</v>
      </c>
      <c r="V23" s="2942">
        <f>SUM('ПОЛНАЯ СЕБЕСТОИМОСТЬ ВОДА 2023'!AP17)</f>
        <v>71.282636797438244</v>
      </c>
      <c r="W23" s="2942">
        <f>SUM('ПОЛНАЯ СЕБЕСТОИМОСТЬ ВОДА 2023'!AQ17)</f>
        <v>0</v>
      </c>
      <c r="X23" s="2942">
        <f>SUM('ПОЛНАЯ СЕБЕСТОИМОСТЬ ВОДА 2023'!BD17)</f>
        <v>213.84791039231473</v>
      </c>
      <c r="Y23" s="2942">
        <f>SUM('ПОЛНАЯ СЕБЕСТОИМОСТЬ ВОДА 2023'!BE17)</f>
        <v>213.84791039231473</v>
      </c>
      <c r="Z23" s="2942">
        <f>SUM('ПОЛНАЯ СЕБЕСТОИМОСТЬ ВОДА 2023'!BF17)</f>
        <v>0</v>
      </c>
      <c r="AA23" s="2942">
        <f>SUM('ПОЛНАЯ СЕБЕСТОИМОСТЬ ВОДА 2023'!BM17)</f>
        <v>71.282636797438244</v>
      </c>
      <c r="AB23" s="2942">
        <f>SUM('ПОЛНАЯ СЕБЕСТОИМОСТЬ ВОДА 2023'!BN17)</f>
        <v>71.282636797438244</v>
      </c>
      <c r="AC23" s="2942">
        <f>SUM('ПОЛНАЯ СЕБЕСТОИМОСТЬ ВОДА 2023'!BO17)</f>
        <v>0</v>
      </c>
      <c r="AD23" s="2943">
        <f>SUM('ПОЛНАЯ СЕБЕСТОИМОСТЬ ВОДА 2023'!CB17)</f>
        <v>285.13054718975297</v>
      </c>
      <c r="AE23" s="2943">
        <f>SUM('ПОЛНАЯ СЕБЕСТОИМОСТЬ ВОДА 2023'!CC17)</f>
        <v>285.13054718975297</v>
      </c>
      <c r="AF23" s="2944">
        <f>SUM('ПОЛНАЯ СЕБЕСТОИМОСТЬ ВОДА 2023'!CD17)</f>
        <v>0</v>
      </c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1:61" ht="18.75" x14ac:dyDescent="0.3">
      <c r="A24" s="2909" t="s">
        <v>3646</v>
      </c>
      <c r="B24" s="2928"/>
      <c r="C24" s="2928"/>
      <c r="D24" s="2928"/>
      <c r="E24" s="2928"/>
      <c r="F24" s="2928"/>
      <c r="G24" s="2928"/>
      <c r="H24" s="2928"/>
      <c r="I24" s="2928"/>
      <c r="J24" s="2928"/>
      <c r="K24" s="2934" t="s">
        <v>3780</v>
      </c>
      <c r="L24" s="2942">
        <f>SUM('ПОЛНАЯ СЕБЕСТОИМОСТЬ ВОДА 2023'!B18)</f>
        <v>27.301249893418845</v>
      </c>
      <c r="M24" s="2942">
        <f>SUM('ПОЛНАЯ СЕБЕСТОИМОСТЬ ВОДА 2023'!C18)</f>
        <v>27.301249893418845</v>
      </c>
      <c r="N24" s="2942">
        <f>SUM('ПОЛНАЯ СЕБЕСТОИМОСТЬ ВОДА 2023'!D18)</f>
        <v>0</v>
      </c>
      <c r="O24" s="2942">
        <f>SUM('ПОЛНАЯ СЕБЕСТОИМОСТЬ ВОДА 2023'!Q18)</f>
        <v>27.301249893418845</v>
      </c>
      <c r="P24" s="2942">
        <f>SUM('ПОЛНАЯ СЕБЕСТОИМОСТЬ ВОДА 2023'!R18)</f>
        <v>27.301249893418845</v>
      </c>
      <c r="Q24" s="2942">
        <f>SUM('ПОЛНАЯ СЕБЕСТОИМОСТЬ ВОДА 2023'!S18)</f>
        <v>0</v>
      </c>
      <c r="R24" s="2942">
        <f>SUM('ПОЛНАЯ СЕБЕСТОИМОСТЬ ВОДА 2023'!AF18)</f>
        <v>54.60249978683769</v>
      </c>
      <c r="S24" s="2942">
        <f>SUM('ПОЛНАЯ СЕБЕСТОИМОСТЬ ВОДА 2023'!AG18)</f>
        <v>54.60249978683769</v>
      </c>
      <c r="T24" s="2942">
        <f>SUM('ПОЛНАЯ СЕБЕСТОИМОСТЬ ВОДА 2023'!AH18)</f>
        <v>0</v>
      </c>
      <c r="U24" s="2942">
        <f>SUM('ПОЛНАЯ СЕБЕСТОИМОСТЬ ВОДА 2023'!AO18)</f>
        <v>27.301249893418845</v>
      </c>
      <c r="V24" s="2942">
        <f>SUM('ПОЛНАЯ СЕБЕСТОИМОСТЬ ВОДА 2023'!AP18)</f>
        <v>27.301249893418845</v>
      </c>
      <c r="W24" s="2942">
        <f>SUM('ПОЛНАЯ СЕБЕСТОИМОСТЬ ВОДА 2023'!AQ18)</f>
        <v>0</v>
      </c>
      <c r="X24" s="2942">
        <f>SUM('ПОЛНАЯ СЕБЕСТОИМОСТЬ ВОДА 2023'!BD18)</f>
        <v>81.903749680256539</v>
      </c>
      <c r="Y24" s="2942">
        <f>SUM('ПОЛНАЯ СЕБЕСТОИМОСТЬ ВОДА 2023'!BE18)</f>
        <v>81.903749680256539</v>
      </c>
      <c r="Z24" s="2942">
        <f>SUM('ПОЛНАЯ СЕБЕСТОИМОСТЬ ВОДА 2023'!BF18)</f>
        <v>0</v>
      </c>
      <c r="AA24" s="2942">
        <f>SUM('ПОЛНАЯ СЕБЕСТОИМОСТЬ ВОДА 2023'!BM18)</f>
        <v>27.301249893418845</v>
      </c>
      <c r="AB24" s="2942">
        <f>SUM('ПОЛНАЯ СЕБЕСТОИМОСТЬ ВОДА 2023'!BN18)</f>
        <v>27.301249893418845</v>
      </c>
      <c r="AC24" s="2942">
        <f>SUM('ПОЛНАЯ СЕБЕСТОИМОСТЬ ВОДА 2023'!BO18)</f>
        <v>0</v>
      </c>
      <c r="AD24" s="2943">
        <f>SUM('ПОЛНАЯ СЕБЕСТОИМОСТЬ ВОДА 2023'!CB18)</f>
        <v>109.20499957367538</v>
      </c>
      <c r="AE24" s="2943">
        <f>SUM('ПОЛНАЯ СЕБЕСТОИМОСТЬ ВОДА 2023'!CC18)</f>
        <v>109.20499957367538</v>
      </c>
      <c r="AF24" s="2944">
        <f>SUM('ПОЛНАЯ СЕБЕСТОИМОСТЬ ВОДА 2023'!CD18)</f>
        <v>0</v>
      </c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1:61" ht="18.75" x14ac:dyDescent="0.3">
      <c r="A25" s="2909" t="s">
        <v>3645</v>
      </c>
      <c r="B25" s="2928"/>
      <c r="C25" s="2928"/>
      <c r="D25" s="2928"/>
      <c r="E25" s="2928"/>
      <c r="F25" s="2928"/>
      <c r="G25" s="2928"/>
      <c r="H25" s="2928"/>
      <c r="I25" s="2928"/>
      <c r="J25" s="2928"/>
      <c r="K25" s="2934" t="s">
        <v>3780</v>
      </c>
      <c r="L25" s="2942">
        <f>SUM('ПОЛНАЯ СЕБЕСТОИМОСТЬ ВОДА 2023'!B19)</f>
        <v>21.02837785524428</v>
      </c>
      <c r="M25" s="2942">
        <f>SUM('ПОЛНАЯ СЕБЕСТОИМОСТЬ ВОДА 2023'!C19)</f>
        <v>21.02837785524428</v>
      </c>
      <c r="N25" s="2942">
        <f>SUM('ПОЛНАЯ СЕБЕСТОИМОСТЬ ВОДА 2023'!D19)</f>
        <v>0</v>
      </c>
      <c r="O25" s="2942">
        <f>SUM('ПОЛНАЯ СЕБЕСТОИМОСТЬ ВОДА 2023'!Q19)</f>
        <v>21.02837785524428</v>
      </c>
      <c r="P25" s="2942">
        <f>SUM('ПОЛНАЯ СЕБЕСТОИМОСТЬ ВОДА 2023'!R19)</f>
        <v>21.02837785524428</v>
      </c>
      <c r="Q25" s="2942">
        <f>SUM('ПОЛНАЯ СЕБЕСТОИМОСТЬ ВОДА 2023'!S19)</f>
        <v>0</v>
      </c>
      <c r="R25" s="2942">
        <f>SUM('ПОЛНАЯ СЕБЕСТОИМОСТЬ ВОДА 2023'!AF19)</f>
        <v>42.056755710488559</v>
      </c>
      <c r="S25" s="2942">
        <f>SUM('ПОЛНАЯ СЕБЕСТОИМОСТЬ ВОДА 2023'!AG19)</f>
        <v>42.056755710488559</v>
      </c>
      <c r="T25" s="2942">
        <f>SUM('ПОЛНАЯ СЕБЕСТОИМОСТЬ ВОДА 2023'!AH19)</f>
        <v>0</v>
      </c>
      <c r="U25" s="2942">
        <f>SUM('ПОЛНАЯ СЕБЕСТОИМОСТЬ ВОДА 2023'!AO19)</f>
        <v>21.02837785524428</v>
      </c>
      <c r="V25" s="2942">
        <f>SUM('ПОЛНАЯ СЕБЕСТОИМОСТЬ ВОДА 2023'!AP19)</f>
        <v>21.02837785524428</v>
      </c>
      <c r="W25" s="2942">
        <f>SUM('ПОЛНАЯ СЕБЕСТОИМОСТЬ ВОДА 2023'!AQ19)</f>
        <v>0</v>
      </c>
      <c r="X25" s="2942">
        <f>SUM('ПОЛНАЯ СЕБЕСТОИМОСТЬ ВОДА 2023'!BD19)</f>
        <v>63.085133565732839</v>
      </c>
      <c r="Y25" s="2942">
        <f>SUM('ПОЛНАЯ СЕБЕСТОИМОСТЬ ВОДА 2023'!BE19)</f>
        <v>63.085133565732839</v>
      </c>
      <c r="Z25" s="2942">
        <f>SUM('ПОЛНАЯ СЕБЕСТОИМОСТЬ ВОДА 2023'!BF19)</f>
        <v>0</v>
      </c>
      <c r="AA25" s="2942">
        <f>SUM('ПОЛНАЯ СЕБЕСТОИМОСТЬ ВОДА 2023'!BM19)</f>
        <v>21.02837785524428</v>
      </c>
      <c r="AB25" s="2942">
        <f>SUM('ПОЛНАЯ СЕБЕСТОИМОСТЬ ВОДА 2023'!BN19)</f>
        <v>21.02837785524428</v>
      </c>
      <c r="AC25" s="2942">
        <f>SUM('ПОЛНАЯ СЕБЕСТОИМОСТЬ ВОДА 2023'!BO19)</f>
        <v>0</v>
      </c>
      <c r="AD25" s="2943">
        <f>SUM('ПОЛНАЯ СЕБЕСТОИМОСТЬ ВОДА 2023'!CB19)</f>
        <v>84.113511420977119</v>
      </c>
      <c r="AE25" s="2943">
        <f>SUM('ПОЛНАЯ СЕБЕСТОИМОСТЬ ВОДА 2023'!CC19)</f>
        <v>84.113511420977119</v>
      </c>
      <c r="AF25" s="2944">
        <f>SUM('ПОЛНАЯ СЕБЕСТОИМОСТЬ ВОДА 2023'!CD19)</f>
        <v>0</v>
      </c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1:61" ht="18.75" x14ac:dyDescent="0.3">
      <c r="A26" s="2909" t="s">
        <v>3647</v>
      </c>
      <c r="B26" s="2928"/>
      <c r="C26" s="2928"/>
      <c r="D26" s="2928"/>
      <c r="E26" s="2928"/>
      <c r="F26" s="2928"/>
      <c r="G26" s="2928"/>
      <c r="H26" s="2928"/>
      <c r="I26" s="2928"/>
      <c r="J26" s="2928"/>
      <c r="K26" s="2934" t="s">
        <v>3780</v>
      </c>
      <c r="L26" s="2942">
        <f>SUM('ПОЛНАЯ СЕБЕСТОИМОСТЬ ВОДА 2023'!B20)</f>
        <v>22.953009048775115</v>
      </c>
      <c r="M26" s="2942">
        <f>SUM('ПОЛНАЯ СЕБЕСТОИМОСТЬ ВОДА 2023'!C20)</f>
        <v>22.953009048775115</v>
      </c>
      <c r="N26" s="2942">
        <f>SUM('ПОЛНАЯ СЕБЕСТОИМОСТЬ ВОДА 2023'!D20)</f>
        <v>0</v>
      </c>
      <c r="O26" s="2942">
        <f>SUM('ПОЛНАЯ СЕБЕСТОИМОСТЬ ВОДА 2023'!Q20)</f>
        <v>22.953009048775115</v>
      </c>
      <c r="P26" s="2942">
        <f>SUM('ПОЛНАЯ СЕБЕСТОИМОСТЬ ВОДА 2023'!R20)</f>
        <v>22.953009048775115</v>
      </c>
      <c r="Q26" s="2942">
        <f>SUM('ПОЛНАЯ СЕБЕСТОИМОСТЬ ВОДА 2023'!S20)</f>
        <v>0</v>
      </c>
      <c r="R26" s="2942">
        <f>SUM('ПОЛНАЯ СЕБЕСТОИМОСТЬ ВОДА 2023'!AF20)</f>
        <v>45.906018097550231</v>
      </c>
      <c r="S26" s="2942">
        <f>SUM('ПОЛНАЯ СЕБЕСТОИМОСТЬ ВОДА 2023'!AG20)</f>
        <v>45.906018097550231</v>
      </c>
      <c r="T26" s="2942">
        <f>SUM('ПОЛНАЯ СЕБЕСТОИМОСТЬ ВОДА 2023'!AH20)</f>
        <v>0</v>
      </c>
      <c r="U26" s="2942">
        <f>SUM('ПОЛНАЯ СЕБЕСТОИМОСТЬ ВОДА 2023'!AO20)</f>
        <v>22.953009048775115</v>
      </c>
      <c r="V26" s="2942">
        <f>SUM('ПОЛНАЯ СЕБЕСТОИМОСТЬ ВОДА 2023'!AP20)</f>
        <v>22.953009048775115</v>
      </c>
      <c r="W26" s="2942">
        <f>SUM('ПОЛНАЯ СЕБЕСТОИМОСТЬ ВОДА 2023'!AQ20)</f>
        <v>0</v>
      </c>
      <c r="X26" s="2942">
        <f>SUM('ПОЛНАЯ СЕБЕСТОИМОСТЬ ВОДА 2023'!BD20)</f>
        <v>68.859027146325346</v>
      </c>
      <c r="Y26" s="2942">
        <f>SUM('ПОЛНАЯ СЕБЕСТОИМОСТЬ ВОДА 2023'!BE20)</f>
        <v>68.859027146325346</v>
      </c>
      <c r="Z26" s="2942">
        <f>SUM('ПОЛНАЯ СЕБЕСТОИМОСТЬ ВОДА 2023'!BF20)</f>
        <v>0</v>
      </c>
      <c r="AA26" s="2942">
        <f>SUM('ПОЛНАЯ СЕБЕСТОИМОСТЬ ВОДА 2023'!BM20)</f>
        <v>22.953009048775115</v>
      </c>
      <c r="AB26" s="2942">
        <f>SUM('ПОЛНАЯ СЕБЕСТОИМОСТЬ ВОДА 2023'!BN20)</f>
        <v>22.953009048775115</v>
      </c>
      <c r="AC26" s="2942">
        <f>SUM('ПОЛНАЯ СЕБЕСТОИМОСТЬ ВОДА 2023'!BO20)</f>
        <v>0</v>
      </c>
      <c r="AD26" s="2943">
        <f>SUM('ПОЛНАЯ СЕБЕСТОИМОСТЬ ВОДА 2023'!CB20)</f>
        <v>91.812036195100461</v>
      </c>
      <c r="AE26" s="2943">
        <f>SUM('ПОЛНАЯ СЕБЕСТОИМОСТЬ ВОДА 2023'!CC20)</f>
        <v>91.812036195100461</v>
      </c>
      <c r="AF26" s="2944">
        <f>SUM('ПОЛНАЯ СЕБЕСТОИМОСТЬ ВОДА 2023'!CD20)</f>
        <v>0</v>
      </c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1:61" ht="18.75" x14ac:dyDescent="0.3">
      <c r="A27" s="2933" t="s">
        <v>3690</v>
      </c>
      <c r="B27" s="2928"/>
      <c r="C27" s="2928"/>
      <c r="D27" s="2928"/>
      <c r="E27" s="2928"/>
      <c r="F27" s="2928"/>
      <c r="G27" s="2928"/>
      <c r="H27" s="2928"/>
      <c r="I27" s="2928"/>
      <c r="J27" s="2928"/>
      <c r="K27" s="2934" t="s">
        <v>3780</v>
      </c>
      <c r="L27" s="2935">
        <f>SUM('ПОЛНАЯ СЕБЕСТОИМОСТЬ ВОДА 2023'!B21)</f>
        <v>77.5</v>
      </c>
      <c r="M27" s="2935">
        <f>SUM('ПОЛНАЯ СЕБЕСТОИМОСТЬ ВОДА 2023'!C21)</f>
        <v>77.5</v>
      </c>
      <c r="N27" s="2935">
        <f>SUM('ПОЛНАЯ СЕБЕСТОИМОСТЬ ВОДА 2023'!D21)</f>
        <v>0</v>
      </c>
      <c r="O27" s="2935">
        <f>SUM('ПОЛНАЯ СЕБЕСТОИМОСТЬ ВОДА 2023'!Q21)</f>
        <v>77.5</v>
      </c>
      <c r="P27" s="2935">
        <f>SUM('ПОЛНАЯ СЕБЕСТОИМОСТЬ ВОДА 2023'!R21)</f>
        <v>77.5</v>
      </c>
      <c r="Q27" s="2935">
        <f>SUM('ПОЛНАЯ СЕБЕСТОИМОСТЬ ВОДА 2023'!S21)</f>
        <v>0</v>
      </c>
      <c r="R27" s="2935">
        <f>SUM('ПОЛНАЯ СЕБЕСТОИМОСТЬ ВОДА 2023'!AF21)</f>
        <v>155</v>
      </c>
      <c r="S27" s="2935">
        <f>SUM('ПОЛНАЯ СЕБЕСТОИМОСТЬ ВОДА 2023'!AG21)</f>
        <v>155</v>
      </c>
      <c r="T27" s="2935">
        <f>SUM('ПОЛНАЯ СЕБЕСТОИМОСТЬ ВОДА 2023'!AH21)</f>
        <v>0</v>
      </c>
      <c r="U27" s="2935">
        <f>SUM('ПОЛНАЯ СЕБЕСТОИМОСТЬ ВОДА 2023'!AO21)</f>
        <v>77.5</v>
      </c>
      <c r="V27" s="2935">
        <f>SUM('ПОЛНАЯ СЕБЕСТОИМОСТЬ ВОДА 2023'!AP21)</f>
        <v>77.5</v>
      </c>
      <c r="W27" s="2935">
        <f>SUM('ПОЛНАЯ СЕБЕСТОИМОСТЬ ВОДА 2023'!AQ21)</f>
        <v>0</v>
      </c>
      <c r="X27" s="2935">
        <f>SUM('ПОЛНАЯ СЕБЕСТОИМОСТЬ ВОДА 2023'!BD21)</f>
        <v>232.5</v>
      </c>
      <c r="Y27" s="2935">
        <f>SUM('ПОЛНАЯ СЕБЕСТОИМОСТЬ ВОДА 2023'!BE21)</f>
        <v>232.5</v>
      </c>
      <c r="Z27" s="2935">
        <f>SUM('ПОЛНАЯ СЕБЕСТОИМОСТЬ ВОДА 2023'!BF21)</f>
        <v>0</v>
      </c>
      <c r="AA27" s="2935">
        <f>SUM('ПОЛНАЯ СЕБЕСТОИМОСТЬ ВОДА 2023'!BM21)</f>
        <v>77.5</v>
      </c>
      <c r="AB27" s="2935">
        <f>SUM('ПОЛНАЯ СЕБЕСТОИМОСТЬ ВОДА 2023'!BN21)</f>
        <v>77.5</v>
      </c>
      <c r="AC27" s="2935">
        <f>SUM('ПОЛНАЯ СЕБЕСТОИМОСТЬ ВОДА 2023'!BO21)</f>
        <v>0</v>
      </c>
      <c r="AD27" s="2936">
        <f>SUM('ПОЛНАЯ СЕБЕСТОИМОСТЬ ВОДА 2023'!CB21)</f>
        <v>310</v>
      </c>
      <c r="AE27" s="2936">
        <f>SUM('ПОЛНАЯ СЕБЕСТОИМОСТЬ ВОДА 2023'!CC21)</f>
        <v>310</v>
      </c>
      <c r="AF27" s="2937">
        <f>SUM('ПОЛНАЯ СЕБЕСТОИМОСТЬ ВОДА 2023'!CD21)</f>
        <v>0</v>
      </c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1:61" ht="18" customHeight="1" x14ac:dyDescent="0.3">
      <c r="A28" s="2938" t="s">
        <v>637</v>
      </c>
      <c r="B28" s="2928"/>
      <c r="C28" s="2928"/>
      <c r="D28" s="2928"/>
      <c r="E28" s="2928"/>
      <c r="F28" s="2928"/>
      <c r="G28" s="2928"/>
      <c r="H28" s="2928"/>
      <c r="I28" s="2928"/>
      <c r="J28" s="2928"/>
      <c r="K28" s="2934" t="s">
        <v>3780</v>
      </c>
      <c r="L28" s="2942">
        <f>SUM('ПОЛНАЯ СЕБЕСТОИМОСТЬ ВОДА 2023'!B22)</f>
        <v>77.5</v>
      </c>
      <c r="M28" s="2942">
        <f>SUM('ПОЛНАЯ СЕБЕСТОИМОСТЬ ВОДА 2023'!C22)</f>
        <v>77.5</v>
      </c>
      <c r="N28" s="2942">
        <f>SUM('ПОЛНАЯ СЕБЕСТОИМОСТЬ ВОДА 2023'!D22)</f>
        <v>0</v>
      </c>
      <c r="O28" s="2942">
        <f>SUM('ПОЛНАЯ СЕБЕСТОИМОСТЬ ВОДА 2023'!Q22)</f>
        <v>77.5</v>
      </c>
      <c r="P28" s="2942">
        <f>SUM('ПОЛНАЯ СЕБЕСТОИМОСТЬ ВОДА 2023'!R22)</f>
        <v>77.5</v>
      </c>
      <c r="Q28" s="2942">
        <f>SUM('ПОЛНАЯ СЕБЕСТОИМОСТЬ ВОДА 2023'!S22)</f>
        <v>0</v>
      </c>
      <c r="R28" s="2942">
        <f>SUM('ПОЛНАЯ СЕБЕСТОИМОСТЬ ВОДА 2023'!AF22)</f>
        <v>155</v>
      </c>
      <c r="S28" s="2942">
        <f>SUM('ПОЛНАЯ СЕБЕСТОИМОСТЬ ВОДА 2023'!AG22)</f>
        <v>155</v>
      </c>
      <c r="T28" s="2942">
        <f>SUM('ПОЛНАЯ СЕБЕСТОИМОСТЬ ВОДА 2023'!AH22)</f>
        <v>0</v>
      </c>
      <c r="U28" s="2942">
        <f>SUM('ПОЛНАЯ СЕБЕСТОИМОСТЬ ВОДА 2023'!AO22)</f>
        <v>77.5</v>
      </c>
      <c r="V28" s="2942">
        <f>SUM('ПОЛНАЯ СЕБЕСТОИМОСТЬ ВОДА 2023'!AP22)</f>
        <v>77.5</v>
      </c>
      <c r="W28" s="2942">
        <f>SUM('ПОЛНАЯ СЕБЕСТОИМОСТЬ ВОДА 2023'!AQ22)</f>
        <v>0</v>
      </c>
      <c r="X28" s="2942">
        <f>SUM('ПОЛНАЯ СЕБЕСТОИМОСТЬ ВОДА 2023'!BD22)</f>
        <v>232.5</v>
      </c>
      <c r="Y28" s="2942">
        <f>SUM('ПОЛНАЯ СЕБЕСТОИМОСТЬ ВОДА 2023'!BE22)</f>
        <v>232.5</v>
      </c>
      <c r="Z28" s="2942">
        <f>SUM('ПОЛНАЯ СЕБЕСТОИМОСТЬ ВОДА 2023'!BF22)</f>
        <v>0</v>
      </c>
      <c r="AA28" s="2942">
        <f>SUM('ПОЛНАЯ СЕБЕСТОИМОСТЬ ВОДА 2023'!BM22)</f>
        <v>77.5</v>
      </c>
      <c r="AB28" s="2942">
        <f>SUM('ПОЛНАЯ СЕБЕСТОИМОСТЬ ВОДА 2023'!BN22)</f>
        <v>77.5</v>
      </c>
      <c r="AC28" s="2942">
        <f>SUM('ПОЛНАЯ СЕБЕСТОИМОСТЬ ВОДА 2023'!BO22)</f>
        <v>0</v>
      </c>
      <c r="AD28" s="2943">
        <f>SUM('ПОЛНАЯ СЕБЕСТОИМОСТЬ ВОДА 2023'!CB22)</f>
        <v>310</v>
      </c>
      <c r="AE28" s="2943">
        <f>SUM('ПОЛНАЯ СЕБЕСТОИМОСТЬ ВОДА 2023'!CC22)</f>
        <v>310</v>
      </c>
      <c r="AF28" s="2944">
        <f>SUM('ПОЛНАЯ СЕБЕСТОИМОСТЬ ВОДА 2023'!CD22)</f>
        <v>0</v>
      </c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1:61" ht="18.75" x14ac:dyDescent="0.3">
      <c r="A29" s="2938" t="s">
        <v>638</v>
      </c>
      <c r="B29" s="2928"/>
      <c r="C29" s="2928"/>
      <c r="D29" s="2928"/>
      <c r="E29" s="2928"/>
      <c r="F29" s="2928"/>
      <c r="G29" s="2928"/>
      <c r="H29" s="2928"/>
      <c r="I29" s="2928"/>
      <c r="J29" s="2928"/>
      <c r="K29" s="2934" t="s">
        <v>3780</v>
      </c>
      <c r="L29" s="2942">
        <f>SUM('ПОЛНАЯ СЕБЕСТОИМОСТЬ ВОДА 2023'!B23)</f>
        <v>0</v>
      </c>
      <c r="M29" s="2942">
        <f>SUM('ПОЛНАЯ СЕБЕСТОИМОСТЬ ВОДА 2023'!C23)</f>
        <v>0</v>
      </c>
      <c r="N29" s="2942">
        <f>SUM('ПОЛНАЯ СЕБЕСТОИМОСТЬ ВОДА 2023'!D23)</f>
        <v>0</v>
      </c>
      <c r="O29" s="2942">
        <f>SUM('ПОЛНАЯ СЕБЕСТОИМОСТЬ ВОДА 2023'!Q23)</f>
        <v>0</v>
      </c>
      <c r="P29" s="2942">
        <f>SUM('ПОЛНАЯ СЕБЕСТОИМОСТЬ ВОДА 2023'!R23)</f>
        <v>0</v>
      </c>
      <c r="Q29" s="2942">
        <f>SUM('ПОЛНАЯ СЕБЕСТОИМОСТЬ ВОДА 2023'!S23)</f>
        <v>0</v>
      </c>
      <c r="R29" s="2942">
        <f>SUM('ПОЛНАЯ СЕБЕСТОИМОСТЬ ВОДА 2023'!AF23)</f>
        <v>0</v>
      </c>
      <c r="S29" s="2942">
        <f>SUM('ПОЛНАЯ СЕБЕСТОИМОСТЬ ВОДА 2023'!AG23)</f>
        <v>0</v>
      </c>
      <c r="T29" s="2942">
        <f>SUM('ПОЛНАЯ СЕБЕСТОИМОСТЬ ВОДА 2023'!AH23)</f>
        <v>0</v>
      </c>
      <c r="U29" s="2942">
        <f>SUM('ПОЛНАЯ СЕБЕСТОИМОСТЬ ВОДА 2023'!AO23)</f>
        <v>0</v>
      </c>
      <c r="V29" s="2942">
        <f>SUM('ПОЛНАЯ СЕБЕСТОИМОСТЬ ВОДА 2023'!AP23)</f>
        <v>0</v>
      </c>
      <c r="W29" s="2942">
        <f>SUM('ПОЛНАЯ СЕБЕСТОИМОСТЬ ВОДА 2023'!AQ23)</f>
        <v>0</v>
      </c>
      <c r="X29" s="2942">
        <f>SUM('ПОЛНАЯ СЕБЕСТОИМОСТЬ ВОДА 2023'!BD23)</f>
        <v>0</v>
      </c>
      <c r="Y29" s="2942">
        <f>SUM('ПОЛНАЯ СЕБЕСТОИМОСТЬ ВОДА 2023'!BE23)</f>
        <v>0</v>
      </c>
      <c r="Z29" s="2942">
        <f>SUM('ПОЛНАЯ СЕБЕСТОИМОСТЬ ВОДА 2023'!BF23)</f>
        <v>0</v>
      </c>
      <c r="AA29" s="2942">
        <f>SUM('ПОЛНАЯ СЕБЕСТОИМОСТЬ ВОДА 2023'!BM23)</f>
        <v>0</v>
      </c>
      <c r="AB29" s="2942">
        <f>SUM('ПОЛНАЯ СЕБЕСТОИМОСТЬ ВОДА 2023'!BN23)</f>
        <v>0</v>
      </c>
      <c r="AC29" s="2942">
        <f>SUM('ПОЛНАЯ СЕБЕСТОИМОСТЬ ВОДА 2023'!BO23)</f>
        <v>0</v>
      </c>
      <c r="AD29" s="2943">
        <f>SUM('ПОЛНАЯ СЕБЕСТОИМОСТЬ ВОДА 2023'!CB23)</f>
        <v>0</v>
      </c>
      <c r="AE29" s="2943">
        <f>SUM('ПОЛНАЯ СЕБЕСТОИМОСТЬ ВОДА 2023'!CC23)</f>
        <v>0</v>
      </c>
      <c r="AF29" s="2944">
        <f>SUM('ПОЛНАЯ СЕБЕСТОИМОСТЬ ВОДА 2023'!CD23)</f>
        <v>0</v>
      </c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  <row r="30" spans="1:61" ht="18.75" x14ac:dyDescent="0.3">
      <c r="A30" s="5217" t="s">
        <v>3770</v>
      </c>
      <c r="B30" s="5218"/>
      <c r="C30" s="5218"/>
      <c r="D30" s="5218"/>
      <c r="E30" s="5218"/>
      <c r="F30" s="5218"/>
      <c r="G30" s="5218"/>
      <c r="H30" s="5218"/>
      <c r="I30" s="5218"/>
      <c r="J30" s="5218"/>
      <c r="K30" s="5219"/>
      <c r="L30" s="5219"/>
      <c r="M30" s="5219"/>
      <c r="N30" s="5219"/>
      <c r="O30" s="5219"/>
      <c r="P30" s="5219"/>
      <c r="Q30" s="5219"/>
      <c r="R30" s="5219"/>
      <c r="S30" s="5219"/>
      <c r="T30" s="5219"/>
      <c r="U30" s="5219"/>
      <c r="V30" s="5219"/>
      <c r="W30" s="5219"/>
      <c r="X30" s="5219"/>
      <c r="Y30" s="5219"/>
      <c r="Z30" s="5219"/>
      <c r="AA30" s="5219"/>
      <c r="AB30" s="5220"/>
      <c r="AC30" s="5220"/>
      <c r="AD30" s="5220"/>
      <c r="AE30" s="5220"/>
      <c r="AF30" s="5221"/>
      <c r="AG30" s="389"/>
      <c r="AH30" s="389"/>
      <c r="AI30" s="389"/>
      <c r="AJ30" s="389"/>
      <c r="AK30" s="389"/>
      <c r="AL30" s="389"/>
      <c r="AM30" s="389"/>
      <c r="AN30" s="389"/>
      <c r="AO30" s="389"/>
      <c r="AP30" s="389"/>
      <c r="AQ30" s="389"/>
      <c r="AR30" s="389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9"/>
      <c r="BG30" s="389"/>
      <c r="BH30" s="389"/>
      <c r="BI30" s="389"/>
    </row>
    <row r="31" spans="1:61" ht="18.75" customHeight="1" x14ac:dyDescent="0.3">
      <c r="A31" s="5211" t="s">
        <v>525</v>
      </c>
      <c r="B31" s="2925"/>
      <c r="C31" s="2925"/>
      <c r="D31" s="2925"/>
      <c r="E31" s="2925"/>
      <c r="F31" s="2925"/>
      <c r="G31" s="2925"/>
      <c r="H31" s="2925"/>
      <c r="I31" s="2925"/>
      <c r="J31" s="2925"/>
      <c r="K31" s="5199" t="s">
        <v>3778</v>
      </c>
      <c r="L31" s="5213" t="s">
        <v>583</v>
      </c>
      <c r="M31" s="5214"/>
      <c r="N31" s="5215"/>
      <c r="O31" s="5213" t="s">
        <v>582</v>
      </c>
      <c r="P31" s="5214"/>
      <c r="Q31" s="5215"/>
      <c r="R31" s="5213" t="s">
        <v>581</v>
      </c>
      <c r="S31" s="5214"/>
      <c r="T31" s="5215"/>
      <c r="U31" s="5213" t="s">
        <v>214</v>
      </c>
      <c r="V31" s="5214"/>
      <c r="W31" s="5215"/>
      <c r="X31" s="5213" t="s">
        <v>218</v>
      </c>
      <c r="Y31" s="5214"/>
      <c r="Z31" s="5215"/>
      <c r="AA31" s="5213" t="s">
        <v>3779</v>
      </c>
      <c r="AB31" s="5214"/>
      <c r="AC31" s="5215"/>
      <c r="AD31" s="5213" t="s">
        <v>1808</v>
      </c>
      <c r="AE31" s="5214"/>
      <c r="AF31" s="5216"/>
      <c r="AG31" s="389"/>
      <c r="AH31" s="389"/>
      <c r="AI31" s="389"/>
      <c r="AJ31" s="389"/>
      <c r="AK31" s="389"/>
      <c r="AL31" s="389"/>
      <c r="AM31" s="389"/>
      <c r="AN31" s="389"/>
      <c r="AO31" s="389"/>
      <c r="AP31" s="389"/>
      <c r="AQ31" s="389"/>
      <c r="AR31" s="389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9"/>
      <c r="BG31" s="389"/>
      <c r="BH31" s="389"/>
      <c r="BI31" s="389"/>
    </row>
    <row r="32" spans="1:61" ht="18.75" x14ac:dyDescent="0.3">
      <c r="A32" s="5212"/>
      <c r="B32" s="2925"/>
      <c r="C32" s="2925"/>
      <c r="D32" s="2925"/>
      <c r="E32" s="2925"/>
      <c r="F32" s="2925"/>
      <c r="G32" s="2925"/>
      <c r="H32" s="2925"/>
      <c r="I32" s="2925"/>
      <c r="J32" s="2925"/>
      <c r="K32" s="5199"/>
      <c r="L32" s="3012" t="s">
        <v>614</v>
      </c>
      <c r="M32" s="3012" t="s">
        <v>3686</v>
      </c>
      <c r="N32" s="3012" t="s">
        <v>3626</v>
      </c>
      <c r="O32" s="3012" t="s">
        <v>614</v>
      </c>
      <c r="P32" s="3012" t="s">
        <v>3686</v>
      </c>
      <c r="Q32" s="3012" t="s">
        <v>3626</v>
      </c>
      <c r="R32" s="3012" t="s">
        <v>614</v>
      </c>
      <c r="S32" s="3012" t="s">
        <v>3686</v>
      </c>
      <c r="T32" s="3012" t="s">
        <v>3626</v>
      </c>
      <c r="U32" s="3012" t="s">
        <v>614</v>
      </c>
      <c r="V32" s="3012" t="s">
        <v>3686</v>
      </c>
      <c r="W32" s="3012" t="s">
        <v>3626</v>
      </c>
      <c r="X32" s="3012" t="s">
        <v>614</v>
      </c>
      <c r="Y32" s="3012" t="s">
        <v>3686</v>
      </c>
      <c r="Z32" s="3012" t="s">
        <v>3626</v>
      </c>
      <c r="AA32" s="3012" t="s">
        <v>614</v>
      </c>
      <c r="AB32" s="3012" t="s">
        <v>3686</v>
      </c>
      <c r="AC32" s="3012" t="s">
        <v>3626</v>
      </c>
      <c r="AD32" s="3012" t="s">
        <v>614</v>
      </c>
      <c r="AE32" s="3012" t="s">
        <v>3686</v>
      </c>
      <c r="AF32" s="2926" t="s">
        <v>3626</v>
      </c>
      <c r="AG32" s="389"/>
      <c r="AH32" s="389"/>
      <c r="AI32" s="389"/>
      <c r="AJ32" s="389"/>
      <c r="AK32" s="389"/>
      <c r="AL32" s="389"/>
      <c r="AM32" s="389"/>
      <c r="AN32" s="389"/>
      <c r="AO32" s="389"/>
      <c r="AP32" s="389"/>
      <c r="AQ32" s="389"/>
      <c r="AR32" s="389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9"/>
      <c r="BG32" s="389"/>
      <c r="BH32" s="389"/>
      <c r="BI32" s="389"/>
    </row>
    <row r="33" spans="1:61" ht="18.75" x14ac:dyDescent="0.3">
      <c r="A33" s="2945" t="s">
        <v>1</v>
      </c>
      <c r="B33" s="2928"/>
      <c r="C33" s="2928"/>
      <c r="D33" s="2928"/>
      <c r="E33" s="2928"/>
      <c r="F33" s="2928"/>
      <c r="G33" s="2928"/>
      <c r="H33" s="2928"/>
      <c r="I33" s="2928"/>
      <c r="J33" s="2928"/>
      <c r="K33" s="2934" t="s">
        <v>899</v>
      </c>
      <c r="L33" s="2935">
        <f>SUM('ФАКТ.СЕБЕСТ.ВОДА за 1 пол. 2023'!AC47)</f>
        <v>3402.2619773607116</v>
      </c>
      <c r="M33" s="2935">
        <f>SUM('ФАКТ.СЕБЕСТ.ВОДА за 1 пол. 2023'!AD47)</f>
        <v>3401.9446880252981</v>
      </c>
      <c r="N33" s="2935">
        <f>SUM('ФАКТ.СЕБЕСТ.ВОДА за 1 пол. 2023'!AE47)</f>
        <v>0.31728933541304999</v>
      </c>
      <c r="O33" s="2935">
        <f>SUM('ФАКТ.СЕБЕСТ.ВОДА за 1 пол. 2023'!BP47)</f>
        <v>3402.2619773607116</v>
      </c>
      <c r="P33" s="2935">
        <f>SUM('ФАКТ.СЕБЕСТ.ВОДА за 1 пол. 2023'!BQ47)</f>
        <v>3401.9446880252981</v>
      </c>
      <c r="Q33" s="2935">
        <f>SUM('ФАКТ.СЕБЕСТ.ВОДА за 1 пол. 2023'!BR47)</f>
        <v>0.31728933541304999</v>
      </c>
      <c r="R33" s="2935">
        <f>SUM('ФАКТ.СЕБЕСТ.ВОДА за 1 пол. 2023'!CB47)</f>
        <v>6804.5239547214233</v>
      </c>
      <c r="S33" s="2935">
        <f>SUM('ФАКТ.СЕБЕСТ.ВОДА за 1 пол. 2023'!CC47)</f>
        <v>6803.8893760505962</v>
      </c>
      <c r="T33" s="2935">
        <f>SUM('ФАКТ.СЕБЕСТ.ВОДА за 1 пол. 2023'!CD47)</f>
        <v>0.63457867082609998</v>
      </c>
      <c r="U33" s="2935">
        <f>SUM('ФАКТ.СЕБЕСТ.ВОДА за 1 пол. 2023'!DO47)</f>
        <v>3402.2619773607116</v>
      </c>
      <c r="V33" s="2935">
        <f>SUM('ФАКТ.СЕБЕСТ.ВОДА за 1 пол. 2023'!DP47)</f>
        <v>3401.9446880252981</v>
      </c>
      <c r="W33" s="2935">
        <f>SUM('ФАКТ.СЕБЕСТ.ВОДА за 1 пол. 2023'!DQ47)</f>
        <v>0.31728933541304999</v>
      </c>
      <c r="X33" s="2935">
        <f>SUM('ФАКТ.СЕБЕСТ.ВОДА за 1 пол. 2023'!EA47)</f>
        <v>10206.785932082135</v>
      </c>
      <c r="Y33" s="2935">
        <f>SUM('ФАКТ.СЕБЕСТ.ВОДА за 1 пол. 2023'!EB47)</f>
        <v>10205.834064075894</v>
      </c>
      <c r="Z33" s="2935">
        <f>SUM('ФАКТ.СЕБЕСТ.ВОДА за 1 пол. 2023'!EC47)</f>
        <v>0.95186800623915002</v>
      </c>
      <c r="AA33" s="2935">
        <f>SUM('ФАКТ.СЕБЕСТ.ВОДА за 1 пол. 2023'!FN47)</f>
        <v>3402.2619773607116</v>
      </c>
      <c r="AB33" s="2935">
        <f>SUM('ФАКТ.СЕБЕСТ.ВОДА за 1 пол. 2023'!FO47)</f>
        <v>3401.9446880252981</v>
      </c>
      <c r="AC33" s="2935">
        <f>SUM('ФАКТ.СЕБЕСТ.ВОДА за 1 пол. 2023'!FP47)</f>
        <v>0.31728933541304999</v>
      </c>
      <c r="AD33" s="2936">
        <f>SUM('ФАКТ.СЕБЕСТ.ВОДА за 1 пол. 2023'!FZ47)</f>
        <v>13609.047909442847</v>
      </c>
      <c r="AE33" s="2936">
        <f>SUM('ФАКТ.СЕБЕСТ.ВОДА за 1 пол. 2023'!GA47)</f>
        <v>13607.778752101192</v>
      </c>
      <c r="AF33" s="2937">
        <f>SUM('ФАКТ.СЕБЕСТ.ВОДА за 1 пол. 2023'!GB47)</f>
        <v>1.2691573416522</v>
      </c>
      <c r="AG33" s="389"/>
      <c r="AH33" s="389"/>
      <c r="AI33" s="389"/>
      <c r="AJ33" s="389"/>
      <c r="AK33" s="389"/>
      <c r="AL33" s="389"/>
      <c r="AM33" s="389"/>
      <c r="AN33" s="389"/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</row>
    <row r="34" spans="1:61" ht="18.75" x14ac:dyDescent="0.3">
      <c r="A34" s="2945" t="s">
        <v>2</v>
      </c>
      <c r="B34" s="2928"/>
      <c r="C34" s="2928"/>
      <c r="D34" s="2928"/>
      <c r="E34" s="2928"/>
      <c r="F34" s="2928"/>
      <c r="G34" s="2928"/>
      <c r="H34" s="2928"/>
      <c r="I34" s="2928"/>
      <c r="J34" s="2928"/>
      <c r="K34" s="2934" t="s">
        <v>899</v>
      </c>
      <c r="L34" s="2935">
        <f>SUM('ФАКТ.СЕБЕСТ.ВОДА за 1 пол. 2023'!AC48)</f>
        <v>2624.4310000000005</v>
      </c>
      <c r="M34" s="2935">
        <f>SUM('ФАКТ.СЕБЕСТ.ВОДА за 1 пол. 2023'!AD48)</f>
        <v>2624.4310000000005</v>
      </c>
      <c r="N34" s="2935">
        <f>SUM('ФАКТ.СЕБЕСТ.ВОДА за 1 пол. 2023'!AE48)</f>
        <v>0</v>
      </c>
      <c r="O34" s="2935">
        <f>SUM('ФАКТ.СЕБЕСТ.ВОДА за 1 пол. 2023'!BP48)</f>
        <v>2624.4310000000005</v>
      </c>
      <c r="P34" s="2935">
        <f>SUM('ФАКТ.СЕБЕСТ.ВОДА за 1 пол. 2023'!BQ48)</f>
        <v>2624.4310000000005</v>
      </c>
      <c r="Q34" s="2935">
        <f>SUM('ФАКТ.СЕБЕСТ.ВОДА за 1 пол. 2023'!BR48)</f>
        <v>0</v>
      </c>
      <c r="R34" s="2935">
        <f>SUM('ФАКТ.СЕБЕСТ.ВОДА за 1 пол. 2023'!CB48)</f>
        <v>5248.862000000001</v>
      </c>
      <c r="S34" s="2935">
        <f>SUM('ФАКТ.СЕБЕСТ.ВОДА за 1 пол. 2023'!CC48)</f>
        <v>5248.862000000001</v>
      </c>
      <c r="T34" s="2935">
        <f>SUM('ФАКТ.СЕБЕСТ.ВОДА за 1 пол. 2023'!CD48)</f>
        <v>0</v>
      </c>
      <c r="U34" s="2935">
        <f>SUM('ФАКТ.СЕБЕСТ.ВОДА за 1 пол. 2023'!DO48)</f>
        <v>2624.4310000000005</v>
      </c>
      <c r="V34" s="2935">
        <f>SUM('ФАКТ.СЕБЕСТ.ВОДА за 1 пол. 2023'!DP48)</f>
        <v>2624.4310000000005</v>
      </c>
      <c r="W34" s="2935">
        <f>SUM('ФАКТ.СЕБЕСТ.ВОДА за 1 пол. 2023'!DQ48)</f>
        <v>0</v>
      </c>
      <c r="X34" s="2935">
        <f>SUM('ФАКТ.СЕБЕСТ.ВОДА за 1 пол. 2023'!EA48)</f>
        <v>7873.2930000000015</v>
      </c>
      <c r="Y34" s="2935">
        <f>SUM('ФАКТ.СЕБЕСТ.ВОДА за 1 пол. 2023'!EB48)</f>
        <v>7873.2930000000015</v>
      </c>
      <c r="Z34" s="2935">
        <f>SUM('ФАКТ.СЕБЕСТ.ВОДА за 1 пол. 2023'!EC48)</f>
        <v>0</v>
      </c>
      <c r="AA34" s="2935">
        <f>SUM('ФАКТ.СЕБЕСТ.ВОДА за 1 пол. 2023'!FN48)</f>
        <v>2624.4310000000005</v>
      </c>
      <c r="AB34" s="2935">
        <f>SUM('ФАКТ.СЕБЕСТ.ВОДА за 1 пол. 2023'!FO48)</f>
        <v>2624.4310000000005</v>
      </c>
      <c r="AC34" s="2935">
        <f>SUM('ФАКТ.СЕБЕСТ.ВОДА за 1 пол. 2023'!FP48)</f>
        <v>0</v>
      </c>
      <c r="AD34" s="2936">
        <f>SUM('ФАКТ.СЕБЕСТ.ВОДА за 1 пол. 2023'!FZ48)</f>
        <v>10497.724000000002</v>
      </c>
      <c r="AE34" s="2936">
        <f>SUM('ФАКТ.СЕБЕСТ.ВОДА за 1 пол. 2023'!GA48)</f>
        <v>10497.724000000002</v>
      </c>
      <c r="AF34" s="2937">
        <f>SUM('ФАКТ.СЕБЕСТ.ВОДА за 1 пол. 2023'!GB48)</f>
        <v>0</v>
      </c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</row>
    <row r="35" spans="1:61" ht="18.75" x14ac:dyDescent="0.3">
      <c r="A35" s="2945" t="s">
        <v>209</v>
      </c>
      <c r="B35" s="2928"/>
      <c r="C35" s="2928"/>
      <c r="D35" s="2928"/>
      <c r="E35" s="2928"/>
      <c r="F35" s="2928"/>
      <c r="G35" s="2928"/>
      <c r="H35" s="2928"/>
      <c r="I35" s="2928"/>
      <c r="J35" s="2928"/>
      <c r="K35" s="2934" t="s">
        <v>899</v>
      </c>
      <c r="L35" s="2935">
        <f>SUM('ФАКТ.СЕБЕСТ.ВОДА за 1 пол. 2023'!AC49)</f>
        <v>0</v>
      </c>
      <c r="M35" s="2935">
        <f>SUM('ФАКТ.СЕБЕСТ.ВОДА за 1 пол. 2023'!AD49)</f>
        <v>0</v>
      </c>
      <c r="N35" s="2935">
        <f>SUM('ФАКТ.СЕБЕСТ.ВОДА за 1 пол. 2023'!AE49)</f>
        <v>0</v>
      </c>
      <c r="O35" s="2935">
        <f>SUM('ФАКТ.СЕБЕСТ.ВОДА за 1 пол. 2023'!BP49)</f>
        <v>0</v>
      </c>
      <c r="P35" s="2935">
        <f>SUM('ФАКТ.СЕБЕСТ.ВОДА за 1 пол. 2023'!BQ49)</f>
        <v>0</v>
      </c>
      <c r="Q35" s="2935">
        <f>SUM('ФАКТ.СЕБЕСТ.ВОДА за 1 пол. 2023'!BR49)</f>
        <v>0</v>
      </c>
      <c r="R35" s="2935">
        <f>SUM('ФАКТ.СЕБЕСТ.ВОДА за 1 пол. 2023'!CB49)</f>
        <v>0</v>
      </c>
      <c r="S35" s="2935">
        <f>SUM('ФАКТ.СЕБЕСТ.ВОДА за 1 пол. 2023'!CC49)</f>
        <v>0</v>
      </c>
      <c r="T35" s="2935">
        <f>SUM('ФАКТ.СЕБЕСТ.ВОДА за 1 пол. 2023'!CD49)</f>
        <v>0</v>
      </c>
      <c r="U35" s="2935">
        <f>SUM('ФАКТ.СЕБЕСТ.ВОДА за 1 пол. 2023'!DO49)</f>
        <v>0</v>
      </c>
      <c r="V35" s="2935">
        <f>SUM('ФАКТ.СЕБЕСТ.ВОДА за 1 пол. 2023'!DP49)</f>
        <v>0</v>
      </c>
      <c r="W35" s="2935">
        <f>SUM('ФАКТ.СЕБЕСТ.ВОДА за 1 пол. 2023'!DQ49)</f>
        <v>0</v>
      </c>
      <c r="X35" s="2935">
        <f>SUM('ФАКТ.СЕБЕСТ.ВОДА за 1 пол. 2023'!EA49)</f>
        <v>0</v>
      </c>
      <c r="Y35" s="2935">
        <f>SUM('ФАКТ.СЕБЕСТ.ВОДА за 1 пол. 2023'!EB49)</f>
        <v>0</v>
      </c>
      <c r="Z35" s="2935">
        <f>SUM('ФАКТ.СЕБЕСТ.ВОДА за 1 пол. 2023'!EC49)</f>
        <v>0</v>
      </c>
      <c r="AA35" s="2935">
        <f>SUM('ФАКТ.СЕБЕСТ.ВОДА за 1 пол. 2023'!FN49)</f>
        <v>0</v>
      </c>
      <c r="AB35" s="2935">
        <f>SUM('ФАКТ.СЕБЕСТ.ВОДА за 1 пол. 2023'!FO49)</f>
        <v>0</v>
      </c>
      <c r="AC35" s="2935">
        <f>SUM('ФАКТ.СЕБЕСТ.ВОДА за 1 пол. 2023'!FP49)</f>
        <v>0</v>
      </c>
      <c r="AD35" s="2936">
        <f>SUM('ФАКТ.СЕБЕСТ.ВОДА за 1 пол. 2023'!FZ49)</f>
        <v>0</v>
      </c>
      <c r="AE35" s="2936">
        <f>SUM('ФАКТ.СЕБЕСТ.ВОДА за 1 пол. 2023'!GA49)</f>
        <v>0</v>
      </c>
      <c r="AF35" s="2937">
        <f>SUM('ФАКТ.СЕБЕСТ.ВОДА за 1 пол. 2023'!GB49)</f>
        <v>0</v>
      </c>
      <c r="AG35" s="389"/>
      <c r="AH35" s="389"/>
      <c r="AI35" s="389"/>
      <c r="AJ35" s="389"/>
      <c r="AK35" s="389"/>
      <c r="AL35" s="389"/>
      <c r="AM35" s="389"/>
      <c r="AN35" s="389"/>
      <c r="AO35" s="389"/>
      <c r="AP35" s="389"/>
      <c r="AQ35" s="389"/>
      <c r="AR35" s="389"/>
      <c r="AS35" s="389"/>
      <c r="AT35" s="389"/>
      <c r="AU35" s="389"/>
      <c r="AV35" s="389"/>
      <c r="AW35" s="389"/>
      <c r="AX35" s="389"/>
      <c r="AY35" s="389"/>
      <c r="AZ35" s="389"/>
      <c r="BA35" s="389"/>
      <c r="BB35" s="389"/>
      <c r="BC35" s="389"/>
      <c r="BD35" s="389"/>
      <c r="BE35" s="389"/>
      <c r="BF35" s="389"/>
      <c r="BG35" s="389"/>
      <c r="BH35" s="389"/>
      <c r="BI35" s="389"/>
    </row>
    <row r="36" spans="1:61" ht="18.75" x14ac:dyDescent="0.3">
      <c r="A36" s="2945" t="s">
        <v>3</v>
      </c>
      <c r="B36" s="2928"/>
      <c r="C36" s="2928"/>
      <c r="D36" s="2928"/>
      <c r="E36" s="2928"/>
      <c r="F36" s="2928"/>
      <c r="G36" s="2928"/>
      <c r="H36" s="2928"/>
      <c r="I36" s="2928"/>
      <c r="J36" s="2928"/>
      <c r="K36" s="2934" t="s">
        <v>899</v>
      </c>
      <c r="L36" s="2935">
        <f>SUM('ФАКТ.СЕБЕСТ.ВОДА за 1 пол. 2023'!AC50)</f>
        <v>522.08486273666574</v>
      </c>
      <c r="M36" s="2935">
        <f>SUM('ФАКТ.СЕБЕСТ.ВОДА за 1 пол. 2023'!AD50)</f>
        <v>522.08486273666574</v>
      </c>
      <c r="N36" s="2935">
        <f>SUM('ФАКТ.СЕБЕСТ.ВОДА за 1 пол. 2023'!AE50)</f>
        <v>0</v>
      </c>
      <c r="O36" s="2935">
        <f>SUM('ФАКТ.СЕБЕСТ.ВОДА за 1 пол. 2023'!BP50)</f>
        <v>522.08486273666574</v>
      </c>
      <c r="P36" s="2935">
        <f>SUM('ФАКТ.СЕБЕСТ.ВОДА за 1 пол. 2023'!BQ50)</f>
        <v>522.08486273666574</v>
      </c>
      <c r="Q36" s="2935">
        <f>SUM('ФАКТ.СЕБЕСТ.ВОДА за 1 пол. 2023'!BR50)</f>
        <v>0</v>
      </c>
      <c r="R36" s="2935">
        <f>SUM('ФАКТ.СЕБЕСТ.ВОДА за 1 пол. 2023'!CB50)</f>
        <v>1044.1697254733315</v>
      </c>
      <c r="S36" s="2935">
        <f>SUM('ФАКТ.СЕБЕСТ.ВОДА за 1 пол. 2023'!CC50)</f>
        <v>1044.1697254733315</v>
      </c>
      <c r="T36" s="2935">
        <f>SUM('ФАКТ.СЕБЕСТ.ВОДА за 1 пол. 2023'!CD50)</f>
        <v>0</v>
      </c>
      <c r="U36" s="2935">
        <f>SUM('ФАКТ.СЕБЕСТ.ВОДА за 1 пол. 2023'!DO50)</f>
        <v>522.08486273666574</v>
      </c>
      <c r="V36" s="2935">
        <f>SUM('ФАКТ.СЕБЕСТ.ВОДА за 1 пол. 2023'!DP50)</f>
        <v>522.08486273666574</v>
      </c>
      <c r="W36" s="2935">
        <f>SUM('ФАКТ.СЕБЕСТ.ВОДА за 1 пол. 2023'!DQ50)</f>
        <v>0</v>
      </c>
      <c r="X36" s="2935">
        <f>SUM('ФАКТ.СЕБЕСТ.ВОДА за 1 пол. 2023'!EA50)</f>
        <v>1566.2545882099971</v>
      </c>
      <c r="Y36" s="2935">
        <f>SUM('ФАКТ.СЕБЕСТ.ВОДА за 1 пол. 2023'!EB50)</f>
        <v>1566.2545882099971</v>
      </c>
      <c r="Z36" s="2935">
        <f>SUM('ФАКТ.СЕБЕСТ.ВОДА за 1 пол. 2023'!EC50)</f>
        <v>0</v>
      </c>
      <c r="AA36" s="2935">
        <f>SUM('ФАКТ.СЕБЕСТ.ВОДА за 1 пол. 2023'!FN50)</f>
        <v>522.08486273666574</v>
      </c>
      <c r="AB36" s="2935">
        <f>SUM('ФАКТ.СЕБЕСТ.ВОДА за 1 пол. 2023'!FO50)</f>
        <v>522.08486273666574</v>
      </c>
      <c r="AC36" s="2935">
        <f>SUM('ФАКТ.СЕБЕСТ.ВОДА за 1 пол. 2023'!FP50)</f>
        <v>0</v>
      </c>
      <c r="AD36" s="2936">
        <f>SUM('ФАКТ.СЕБЕСТ.ВОДА за 1 пол. 2023'!FZ50)</f>
        <v>2088.339450946663</v>
      </c>
      <c r="AE36" s="2936">
        <f>SUM('ФАКТ.СЕБЕСТ.ВОДА за 1 пол. 2023'!GA50)</f>
        <v>2088.339450946663</v>
      </c>
      <c r="AF36" s="2937">
        <f>SUM('ФАКТ.СЕБЕСТ.ВОДА за 1 пол. 2023'!GB50)</f>
        <v>0</v>
      </c>
      <c r="AG36" s="389"/>
      <c r="AH36" s="389"/>
      <c r="AI36" s="389"/>
      <c r="AJ36" s="389"/>
      <c r="AK36" s="389"/>
      <c r="AL36" s="389"/>
      <c r="AM36" s="389"/>
      <c r="AN36" s="389"/>
      <c r="AO36" s="389"/>
      <c r="AP36" s="389"/>
      <c r="AQ36" s="389"/>
      <c r="AR36" s="389"/>
      <c r="AS36" s="389"/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</row>
    <row r="37" spans="1:61" ht="18.75" x14ac:dyDescent="0.3">
      <c r="A37" s="2945" t="s">
        <v>8</v>
      </c>
      <c r="B37" s="2928"/>
      <c r="C37" s="2928"/>
      <c r="D37" s="2928"/>
      <c r="E37" s="2928"/>
      <c r="F37" s="2928"/>
      <c r="G37" s="2928"/>
      <c r="H37" s="2928"/>
      <c r="I37" s="2928"/>
      <c r="J37" s="2928"/>
      <c r="K37" s="2934" t="s">
        <v>899</v>
      </c>
      <c r="L37" s="2935">
        <f>SUM('ФАКТ.СЕБЕСТ.ВОДА за 1 пол. 2023'!AC51)</f>
        <v>3980.6927256475255</v>
      </c>
      <c r="M37" s="2935">
        <f>SUM('ФАКТ.СЕБЕСТ.ВОДА за 1 пол. 2023'!AD51)</f>
        <v>3980.6927256475255</v>
      </c>
      <c r="N37" s="2935">
        <f>SUM('ФАКТ.СЕБЕСТ.ВОДА за 1 пол. 2023'!AE51)</f>
        <v>0</v>
      </c>
      <c r="O37" s="2935">
        <f>SUM('ФАКТ.СЕБЕСТ.ВОДА за 1 пол. 2023'!BP51)</f>
        <v>3980.6927256475255</v>
      </c>
      <c r="P37" s="2935">
        <f>SUM('ФАКТ.СЕБЕСТ.ВОДА за 1 пол. 2023'!BQ51)</f>
        <v>3980.6927256475255</v>
      </c>
      <c r="Q37" s="2935">
        <f>SUM('ФАКТ.СЕБЕСТ.ВОДА за 1 пол. 2023'!BR51)</f>
        <v>0</v>
      </c>
      <c r="R37" s="2935">
        <f>SUM('ФАКТ.СЕБЕСТ.ВОДА за 1 пол. 2023'!CB51)</f>
        <v>7961.3854512950511</v>
      </c>
      <c r="S37" s="2935">
        <f>SUM('ФАКТ.СЕБЕСТ.ВОДА за 1 пол. 2023'!CC51)</f>
        <v>7961.3854512950511</v>
      </c>
      <c r="T37" s="2935">
        <f>SUM('ФАКТ.СЕБЕСТ.ВОДА за 1 пол. 2023'!CD51)</f>
        <v>0</v>
      </c>
      <c r="U37" s="2935">
        <f>SUM('ФАКТ.СЕБЕСТ.ВОДА за 1 пол. 2023'!DO51)</f>
        <v>3980.6927256475255</v>
      </c>
      <c r="V37" s="2935">
        <f>SUM('ФАКТ.СЕБЕСТ.ВОДА за 1 пол. 2023'!DP51)</f>
        <v>3980.6927256475255</v>
      </c>
      <c r="W37" s="2935">
        <f>SUM('ФАКТ.СЕБЕСТ.ВОДА за 1 пол. 2023'!DQ51)</f>
        <v>0</v>
      </c>
      <c r="X37" s="2935">
        <f>SUM('ФАКТ.СЕБЕСТ.ВОДА за 1 пол. 2023'!EA51)</f>
        <v>11942.078176942578</v>
      </c>
      <c r="Y37" s="2935">
        <f>SUM('ФАКТ.СЕБЕСТ.ВОДА за 1 пол. 2023'!EB51)</f>
        <v>11942.078176942578</v>
      </c>
      <c r="Z37" s="2935">
        <f>SUM('ФАКТ.СЕБЕСТ.ВОДА за 1 пол. 2023'!EC51)</f>
        <v>0</v>
      </c>
      <c r="AA37" s="2935">
        <f>SUM('ФАКТ.СЕБЕСТ.ВОДА за 1 пол. 2023'!FN51)</f>
        <v>3980.6927256475255</v>
      </c>
      <c r="AB37" s="2935">
        <f>SUM('ФАКТ.СЕБЕСТ.ВОДА за 1 пол. 2023'!FO51)</f>
        <v>3980.6927256475255</v>
      </c>
      <c r="AC37" s="2935">
        <f>SUM('ФАКТ.СЕБЕСТ.ВОДА за 1 пол. 2023'!FP51)</f>
        <v>0</v>
      </c>
      <c r="AD37" s="2936">
        <f>SUM('ФАКТ.СЕБЕСТ.ВОДА за 1 пол. 2023'!FZ51)</f>
        <v>15922.770902590102</v>
      </c>
      <c r="AE37" s="2936">
        <f>SUM('ФАКТ.СЕБЕСТ.ВОДА за 1 пол. 2023'!GA51)</f>
        <v>15922.770902590102</v>
      </c>
      <c r="AF37" s="2937">
        <f>SUM('ФАКТ.СЕБЕСТ.ВОДА за 1 пол. 2023'!GB51)</f>
        <v>0</v>
      </c>
      <c r="AG37" s="389"/>
      <c r="AH37" s="389"/>
      <c r="AI37" s="389"/>
      <c r="AJ37" s="389"/>
      <c r="AK37" s="389"/>
      <c r="AL37" s="389"/>
      <c r="AM37" s="389"/>
      <c r="AN37" s="389"/>
      <c r="AO37" s="389"/>
      <c r="AP37" s="389"/>
      <c r="AQ37" s="389"/>
      <c r="AR37" s="389"/>
      <c r="AS37" s="389"/>
      <c r="AT37" s="389"/>
      <c r="AU37" s="389"/>
      <c r="AV37" s="389"/>
      <c r="AW37" s="389"/>
      <c r="AX37" s="389"/>
      <c r="AY37" s="389"/>
      <c r="AZ37" s="389"/>
      <c r="BA37" s="389"/>
      <c r="BB37" s="389"/>
      <c r="BC37" s="389"/>
      <c r="BD37" s="389"/>
      <c r="BE37" s="389"/>
      <c r="BF37" s="389"/>
      <c r="BG37" s="389"/>
      <c r="BH37" s="389"/>
      <c r="BI37" s="389"/>
    </row>
    <row r="38" spans="1:61" ht="18.75" x14ac:dyDescent="0.3">
      <c r="A38" s="2945" t="s">
        <v>4</v>
      </c>
      <c r="B38" s="2928"/>
      <c r="C38" s="2928"/>
      <c r="D38" s="2928"/>
      <c r="E38" s="2928"/>
      <c r="F38" s="2928"/>
      <c r="G38" s="2928"/>
      <c r="H38" s="2928"/>
      <c r="I38" s="2928"/>
      <c r="J38" s="2928"/>
      <c r="K38" s="2934" t="s">
        <v>899</v>
      </c>
      <c r="L38" s="2935">
        <f>SUM('ФАКТ.СЕБЕСТ.ВОДА за 1 пол. 2023'!AC52)</f>
        <v>17387.69741410172</v>
      </c>
      <c r="M38" s="2935">
        <f>SUM('ФАКТ.СЕБЕСТ.ВОДА за 1 пол. 2023'!AD52)</f>
        <v>17381.780818601721</v>
      </c>
      <c r="N38" s="2935">
        <f>SUM('ФАКТ.СЕБЕСТ.ВОДА за 1 пол. 2023'!AE52)</f>
        <v>5.9165955000000006</v>
      </c>
      <c r="O38" s="2935">
        <f>SUM('ФАКТ.СЕБЕСТ.ВОДА за 1 пол. 2023'!BP52)</f>
        <v>17387.69741410172</v>
      </c>
      <c r="P38" s="2935">
        <f>SUM('ФАКТ.СЕБЕСТ.ВОДА за 1 пол. 2023'!BQ52)</f>
        <v>17381.780818601721</v>
      </c>
      <c r="Q38" s="2935">
        <f>SUM('ФАКТ.СЕБЕСТ.ВОДА за 1 пол. 2023'!BR52)</f>
        <v>5.9165955000000006</v>
      </c>
      <c r="R38" s="2935">
        <f>SUM('ФАКТ.СЕБЕСТ.ВОДА за 1 пол. 2023'!CB52)</f>
        <v>34775.39482820344</v>
      </c>
      <c r="S38" s="2935">
        <f>SUM('ФАКТ.СЕБЕСТ.ВОДА за 1 пол. 2023'!CC52)</f>
        <v>34763.561637203442</v>
      </c>
      <c r="T38" s="2935">
        <f>SUM('ФАКТ.СЕБЕСТ.ВОДА за 1 пол. 2023'!CD52)</f>
        <v>11.833191000000001</v>
      </c>
      <c r="U38" s="2935">
        <f>SUM('ФАКТ.СЕБЕСТ.ВОДА за 1 пол. 2023'!DO52)</f>
        <v>17387.69741410172</v>
      </c>
      <c r="V38" s="2935">
        <f>SUM('ФАКТ.СЕБЕСТ.ВОДА за 1 пол. 2023'!DP52)</f>
        <v>17381.780818601721</v>
      </c>
      <c r="W38" s="2935">
        <f>SUM('ФАКТ.СЕБЕСТ.ВОДА за 1 пол. 2023'!DQ52)</f>
        <v>5.9165955000000006</v>
      </c>
      <c r="X38" s="2935">
        <f>SUM('ФАКТ.СЕБЕСТ.ВОДА за 1 пол. 2023'!EA52)</f>
        <v>52163.09224230516</v>
      </c>
      <c r="Y38" s="2935">
        <f>SUM('ФАКТ.СЕБЕСТ.ВОДА за 1 пол. 2023'!EB52)</f>
        <v>52145.342455805163</v>
      </c>
      <c r="Z38" s="2935">
        <f>SUM('ФАКТ.СЕБЕСТ.ВОДА за 1 пол. 2023'!EC52)</f>
        <v>17.749786500000003</v>
      </c>
      <c r="AA38" s="2935">
        <f>SUM('ФАКТ.СЕБЕСТ.ВОДА за 1 пол. 2023'!FN52)</f>
        <v>17387.69741410172</v>
      </c>
      <c r="AB38" s="2935">
        <f>SUM('ФАКТ.СЕБЕСТ.ВОДА за 1 пол. 2023'!FO52)</f>
        <v>17381.780818601721</v>
      </c>
      <c r="AC38" s="2935">
        <f>SUM('ФАКТ.СЕБЕСТ.ВОДА за 1 пол. 2023'!FP52)</f>
        <v>5.9165955000000006</v>
      </c>
      <c r="AD38" s="2936">
        <f>SUM('ФАКТ.СЕБЕСТ.ВОДА за 1 пол. 2023'!FZ52)</f>
        <v>69550.78965640688</v>
      </c>
      <c r="AE38" s="2936">
        <f>SUM('ФАКТ.СЕБЕСТ.ВОДА за 1 пол. 2023'!GA52)</f>
        <v>69527.123274406884</v>
      </c>
      <c r="AF38" s="2937">
        <f>SUM('ФАКТ.СЕБЕСТ.ВОДА за 1 пол. 2023'!GB52)</f>
        <v>23.666382000000002</v>
      </c>
      <c r="AG38" s="389"/>
      <c r="AH38" s="389"/>
      <c r="AI38" s="389"/>
      <c r="AJ38" s="389"/>
      <c r="AK38" s="389"/>
      <c r="AL38" s="389"/>
      <c r="AM38" s="389"/>
      <c r="AN38" s="389"/>
      <c r="AO38" s="389"/>
      <c r="AP38" s="389"/>
      <c r="AQ38" s="389"/>
      <c r="AR38" s="389"/>
      <c r="AS38" s="389"/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</row>
    <row r="39" spans="1:61" ht="18.75" x14ac:dyDescent="0.3">
      <c r="A39" s="2945" t="s">
        <v>5</v>
      </c>
      <c r="B39" s="2928"/>
      <c r="C39" s="2928"/>
      <c r="D39" s="2928"/>
      <c r="E39" s="2928"/>
      <c r="F39" s="2928"/>
      <c r="G39" s="2928"/>
      <c r="H39" s="2928"/>
      <c r="I39" s="2928"/>
      <c r="J39" s="2928"/>
      <c r="K39" s="2934" t="s">
        <v>899</v>
      </c>
      <c r="L39" s="2935">
        <f>SUM('ФАКТ.СЕБЕСТ.ВОДА за 1 пол. 2023'!AC53)</f>
        <v>5252.664485773952</v>
      </c>
      <c r="M39" s="2935">
        <f>SUM('ФАКТ.СЕБЕСТ.ВОДА за 1 пол. 2023'!AD53)</f>
        <v>5250.883588006428</v>
      </c>
      <c r="N39" s="2935">
        <f>SUM('ФАКТ.СЕБЕСТ.ВОДА за 1 пол. 2023'!AE53)</f>
        <v>1.7808977675238724</v>
      </c>
      <c r="O39" s="2935">
        <f>SUM('ФАКТ.СЕБЕСТ.ВОДА за 1 пол. 2023'!BP53)</f>
        <v>5252.664485773952</v>
      </c>
      <c r="P39" s="2935">
        <f>SUM('ФАКТ.СЕБЕСТ.ВОДА за 1 пол. 2023'!BQ53)</f>
        <v>5250.883588006428</v>
      </c>
      <c r="Q39" s="2935">
        <f>SUM('ФАКТ.СЕБЕСТ.ВОДА за 1 пол. 2023'!BR53)</f>
        <v>1.7808977675238724</v>
      </c>
      <c r="R39" s="2935">
        <f>SUM('ФАКТ.СЕБЕСТ.ВОДА за 1 пол. 2023'!CB53)</f>
        <v>10505.328971547904</v>
      </c>
      <c r="S39" s="2935">
        <f>SUM('ФАКТ.СЕБЕСТ.ВОДА за 1 пол. 2023'!CC53)</f>
        <v>10501.767176012856</v>
      </c>
      <c r="T39" s="2935">
        <f>SUM('ФАКТ.СЕБЕСТ.ВОДА за 1 пол. 2023'!CD53)</f>
        <v>3.5617955350477448</v>
      </c>
      <c r="U39" s="2935">
        <f>SUM('ФАКТ.СЕБЕСТ.ВОДА за 1 пол. 2023'!DO53)</f>
        <v>5252.664485773952</v>
      </c>
      <c r="V39" s="2935">
        <f>SUM('ФАКТ.СЕБЕСТ.ВОДА за 1 пол. 2023'!DP53)</f>
        <v>5250.883588006428</v>
      </c>
      <c r="W39" s="2935">
        <f>SUM('ФАКТ.СЕБЕСТ.ВОДА за 1 пол. 2023'!DQ53)</f>
        <v>1.7808977675238724</v>
      </c>
      <c r="X39" s="2935">
        <f>SUM('ФАКТ.СЕБЕСТ.ВОДА за 1 пол. 2023'!EA53)</f>
        <v>15757.993457321856</v>
      </c>
      <c r="Y39" s="2935">
        <f>SUM('ФАКТ.СЕБЕСТ.ВОДА за 1 пол. 2023'!EB53)</f>
        <v>15752.650764019283</v>
      </c>
      <c r="Z39" s="2935">
        <f>SUM('ФАКТ.СЕБЕСТ.ВОДА за 1 пол. 2023'!EC53)</f>
        <v>5.3426933025716172</v>
      </c>
      <c r="AA39" s="2935">
        <f>SUM('ФАКТ.СЕБЕСТ.ВОДА за 1 пол. 2023'!FN53)</f>
        <v>5252.664485773952</v>
      </c>
      <c r="AB39" s="2935">
        <f>SUM('ФАКТ.СЕБЕСТ.ВОДА за 1 пол. 2023'!FO53)</f>
        <v>5250.883588006428</v>
      </c>
      <c r="AC39" s="2935">
        <f>SUM('ФАКТ.СЕБЕСТ.ВОДА за 1 пол. 2023'!FP53)</f>
        <v>1.7808977675238724</v>
      </c>
      <c r="AD39" s="2936">
        <f>SUM('ФАКТ.СЕБЕСТ.ВОДА за 1 пол. 2023'!FZ53)</f>
        <v>21010.657943095808</v>
      </c>
      <c r="AE39" s="2936">
        <f>SUM('ФАКТ.СЕБЕСТ.ВОДА за 1 пол. 2023'!GA53)</f>
        <v>21003.534352025712</v>
      </c>
      <c r="AF39" s="2937">
        <f>SUM('ФАКТ.СЕБЕСТ.ВОДА за 1 пол. 2023'!GB53)</f>
        <v>7.1235910700954896</v>
      </c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</row>
    <row r="40" spans="1:61" ht="18.75" x14ac:dyDescent="0.3">
      <c r="A40" s="2946" t="s">
        <v>308</v>
      </c>
      <c r="B40" s="2928"/>
      <c r="C40" s="2928"/>
      <c r="D40" s="2928"/>
      <c r="E40" s="2928"/>
      <c r="F40" s="2928"/>
      <c r="G40" s="2928"/>
      <c r="H40" s="2928"/>
      <c r="I40" s="2928"/>
      <c r="J40" s="2928"/>
      <c r="K40" s="2947" t="s">
        <v>44</v>
      </c>
      <c r="L40" s="2939">
        <f>SUM('ФАКТ.СЕБЕСТ.ВОДА за 1 пол. 2023'!AC54)</f>
        <v>0.30209086118061562</v>
      </c>
      <c r="M40" s="2939">
        <f>SUM('ФАКТ.СЕБЕСТ.ВОДА за 1 пол. 2023'!AD54)</f>
        <v>0.3020912323544554</v>
      </c>
      <c r="N40" s="2939">
        <f>SUM('ФАКТ.СЕБЕСТ.ВОДА за 1 пол. 2023'!AE54)</f>
        <v>0.30100042626268303</v>
      </c>
      <c r="O40" s="2939">
        <f>SUM('ФАКТ.СЕБЕСТ.ВОДА за 1 пол. 2023'!BP54)</f>
        <v>0.30209086118061562</v>
      </c>
      <c r="P40" s="2939">
        <f>SUM('ФАКТ.СЕБЕСТ.ВОДА за 1 пол. 2023'!BQ54)</f>
        <v>0.3020912323544554</v>
      </c>
      <c r="Q40" s="2939">
        <f>SUM('ФАКТ.СЕБЕСТ.ВОДА за 1 пол. 2023'!BR54)</f>
        <v>0.30100042626268303</v>
      </c>
      <c r="R40" s="2939">
        <f>SUM('ФАКТ.СЕБЕСТ.ВОДА за 1 пол. 2023'!CB54)</f>
        <v>0.30209086118061562</v>
      </c>
      <c r="S40" s="2939">
        <f>SUM('ФАКТ.СЕБЕСТ.ВОДА за 1 пол. 2023'!CC54)</f>
        <v>0.3020912323544554</v>
      </c>
      <c r="T40" s="2939">
        <f>SUM('ФАКТ.СЕБЕСТ.ВОДА за 1 пол. 2023'!CD54)</f>
        <v>0.30100042626268303</v>
      </c>
      <c r="U40" s="2939">
        <f>SUM('ФАКТ.СЕБЕСТ.ВОДА за 1 пол. 2023'!DO54)</f>
        <v>0.30209086118061562</v>
      </c>
      <c r="V40" s="2939">
        <f>SUM('ФАКТ.СЕБЕСТ.ВОДА за 1 пол. 2023'!DP54)</f>
        <v>0.3020912323544554</v>
      </c>
      <c r="W40" s="2939">
        <f>SUM('ФАКТ.СЕБЕСТ.ВОДА за 1 пол. 2023'!DQ54)</f>
        <v>0.30100042626268303</v>
      </c>
      <c r="X40" s="2939">
        <f>SUM('ФАКТ.СЕБЕСТ.ВОДА за 1 пол. 2023'!EA54)</f>
        <v>0.30209086118061562</v>
      </c>
      <c r="Y40" s="2939">
        <f>SUM('ФАКТ.СЕБЕСТ.ВОДА за 1 пол. 2023'!EB54)</f>
        <v>0.30209123235445534</v>
      </c>
      <c r="Z40" s="2939">
        <f>SUM('ФАКТ.СЕБЕСТ.ВОДА за 1 пол. 2023'!EC54)</f>
        <v>0.30100042626268303</v>
      </c>
      <c r="AA40" s="2939">
        <f>SUM('ФАКТ.СЕБЕСТ.ВОДА за 1 пол. 2023'!FN54)</f>
        <v>0.30209086118061562</v>
      </c>
      <c r="AB40" s="2939">
        <f>SUM('ФАКТ.СЕБЕСТ.ВОДА за 1 пол. 2023'!FO54)</f>
        <v>0.3020912323544554</v>
      </c>
      <c r="AC40" s="2939">
        <f>SUM('ФАКТ.СЕБЕСТ.ВОДА за 1 пол. 2023'!FP54)</f>
        <v>0.30100042626268303</v>
      </c>
      <c r="AD40" s="2940">
        <f>SUM('ФАКТ.СЕБЕСТ.ВОДА за 1 пол. 2023'!FZ54)</f>
        <v>0.30209086118061562</v>
      </c>
      <c r="AE40" s="2940">
        <f>SUM('ФАКТ.СЕБЕСТ.ВОДА за 1 пол. 2023'!GA54)</f>
        <v>0.3020912323544554</v>
      </c>
      <c r="AF40" s="2941">
        <f>SUM('ФАКТ.СЕБЕСТ.ВОДА за 1 пол. 2023'!GB54)</f>
        <v>0.30100042626268303</v>
      </c>
      <c r="AG40" s="389"/>
      <c r="AH40" s="389"/>
      <c r="AI40" s="389"/>
      <c r="AJ40" s="389"/>
      <c r="AK40" s="389"/>
      <c r="AL40" s="389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89"/>
      <c r="BE40" s="389"/>
      <c r="BF40" s="389"/>
      <c r="BG40" s="389"/>
      <c r="BH40" s="389"/>
      <c r="BI40" s="389"/>
    </row>
    <row r="41" spans="1:61" ht="18.75" x14ac:dyDescent="0.3">
      <c r="A41" s="2945" t="s">
        <v>3718</v>
      </c>
      <c r="B41" s="2928"/>
      <c r="C41" s="2928"/>
      <c r="D41" s="2928"/>
      <c r="E41" s="2928"/>
      <c r="F41" s="2928"/>
      <c r="G41" s="2928"/>
      <c r="H41" s="2928"/>
      <c r="I41" s="2928"/>
      <c r="J41" s="2928"/>
      <c r="K41" s="2934" t="s">
        <v>899</v>
      </c>
      <c r="L41" s="2935">
        <f>SUM('ФАКТ.СЕБЕСТ.ВОДА за 1 пол. 2023'!AC55)</f>
        <v>5761.490915774767</v>
      </c>
      <c r="M41" s="2935">
        <f>SUM('ФАКТ.СЕБЕСТ.ВОДА за 1 пол. 2023'!AD55)</f>
        <v>5761.490915774767</v>
      </c>
      <c r="N41" s="2935">
        <f>SUM('ФАКТ.СЕБЕСТ.ВОДА за 1 пол. 2023'!AE55)</f>
        <v>0</v>
      </c>
      <c r="O41" s="2935">
        <f>SUM('ФАКТ.СЕБЕСТ.ВОДА за 1 пол. 2023'!BP55)</f>
        <v>5761.490915774767</v>
      </c>
      <c r="P41" s="2935">
        <f>SUM('ФАКТ.СЕБЕСТ.ВОДА за 1 пол. 2023'!BQ55)</f>
        <v>5761.490915774767</v>
      </c>
      <c r="Q41" s="2935">
        <f>SUM('ФАКТ.СЕБЕСТ.ВОДА за 1 пол. 2023'!BR55)</f>
        <v>0</v>
      </c>
      <c r="R41" s="2935">
        <f>SUM('ФАКТ.СЕБЕСТ.ВОДА за 1 пол. 2023'!CB55)</f>
        <v>11522.981831549534</v>
      </c>
      <c r="S41" s="2935">
        <f>SUM('ФАКТ.СЕБЕСТ.ВОДА за 1 пол. 2023'!CC55)</f>
        <v>11522.981831549534</v>
      </c>
      <c r="T41" s="2935">
        <f>SUM('ФАКТ.СЕБЕСТ.ВОДА за 1 пол. 2023'!CD55)</f>
        <v>0</v>
      </c>
      <c r="U41" s="2935">
        <f>SUM('ФАКТ.СЕБЕСТ.ВОДА за 1 пол. 2023'!DO55)</f>
        <v>5761.490915774767</v>
      </c>
      <c r="V41" s="2935">
        <f>SUM('ФАКТ.СЕБЕСТ.ВОДА за 1 пол. 2023'!DP55)</f>
        <v>5761.490915774767</v>
      </c>
      <c r="W41" s="2935">
        <f>SUM('ФАКТ.СЕБЕСТ.ВОДА за 1 пол. 2023'!DQ55)</f>
        <v>0</v>
      </c>
      <c r="X41" s="2935">
        <f>SUM('ФАКТ.СЕБЕСТ.ВОДА за 1 пол. 2023'!EA55)</f>
        <v>17284.4727473243</v>
      </c>
      <c r="Y41" s="2935">
        <f>SUM('ФАКТ.СЕБЕСТ.ВОДА за 1 пол. 2023'!EB55)</f>
        <v>17284.4727473243</v>
      </c>
      <c r="Z41" s="2935">
        <f>SUM('ФАКТ.СЕБЕСТ.ВОДА за 1 пол. 2023'!EC55)</f>
        <v>0</v>
      </c>
      <c r="AA41" s="2935">
        <f>SUM('ФАКТ.СЕБЕСТ.ВОДА за 1 пол. 2023'!FN55)</f>
        <v>5761.490915774767</v>
      </c>
      <c r="AB41" s="2935">
        <f>SUM('ФАКТ.СЕБЕСТ.ВОДА за 1 пол. 2023'!FO55)</f>
        <v>5761.490915774767</v>
      </c>
      <c r="AC41" s="2935">
        <f>SUM('ФАКТ.СЕБЕСТ.ВОДА за 1 пол. 2023'!FP55)</f>
        <v>0</v>
      </c>
      <c r="AD41" s="2936">
        <f>SUM('ФАКТ.СЕБЕСТ.ВОДА за 1 пол. 2023'!FZ55)</f>
        <v>23045.963663099068</v>
      </c>
      <c r="AE41" s="2936">
        <f>SUM('ФАКТ.СЕБЕСТ.ВОДА за 1 пол. 2023'!GA55)</f>
        <v>23045.963663099068</v>
      </c>
      <c r="AF41" s="2937">
        <f>SUM('ФАКТ.СЕБЕСТ.ВОДА за 1 пол. 2023'!GB55)</f>
        <v>0</v>
      </c>
      <c r="AG41" s="389"/>
      <c r="AH41" s="389"/>
      <c r="AI41" s="389"/>
      <c r="AJ41" s="389"/>
      <c r="AK41" s="389"/>
      <c r="AL41" s="389"/>
      <c r="AM41" s="389"/>
      <c r="AN41" s="389"/>
      <c r="AO41" s="389"/>
      <c r="AP41" s="389"/>
      <c r="AQ41" s="389"/>
      <c r="AR41" s="389"/>
      <c r="AS41" s="389"/>
      <c r="AT41" s="389"/>
      <c r="AU41" s="389"/>
      <c r="AV41" s="389"/>
      <c r="AW41" s="389"/>
      <c r="AX41" s="389"/>
      <c r="AY41" s="389"/>
      <c r="AZ41" s="389"/>
      <c r="BA41" s="389"/>
      <c r="BB41" s="389"/>
      <c r="BC41" s="389"/>
      <c r="BD41" s="389"/>
      <c r="BE41" s="389"/>
      <c r="BF41" s="389"/>
      <c r="BG41" s="389"/>
      <c r="BH41" s="389"/>
      <c r="BI41" s="389"/>
    </row>
    <row r="42" spans="1:61" ht="18.75" x14ac:dyDescent="0.3">
      <c r="A42" s="2946" t="s">
        <v>3719</v>
      </c>
      <c r="B42" s="2928"/>
      <c r="C42" s="2928"/>
      <c r="D42" s="2928"/>
      <c r="E42" s="2928"/>
      <c r="F42" s="2928"/>
      <c r="G42" s="2928"/>
      <c r="H42" s="2928"/>
      <c r="I42" s="2928"/>
      <c r="J42" s="2928"/>
      <c r="K42" s="2934" t="s">
        <v>899</v>
      </c>
      <c r="L42" s="2942">
        <f>SUM('ФАКТ.СЕБЕСТ.ВОДА за 1 пол. 2023'!AC56)</f>
        <v>2757.9645</v>
      </c>
      <c r="M42" s="2942">
        <f>SUM('ФАКТ.СЕБЕСТ.ВОДА за 1 пол. 2023'!AD56)</f>
        <v>2757.9645</v>
      </c>
      <c r="N42" s="2942">
        <f>SUM('ФАКТ.СЕБЕСТ.ВОДА за 1 пол. 2023'!AE56)</f>
        <v>0</v>
      </c>
      <c r="O42" s="2942">
        <f>SUM('ФАКТ.СЕБЕСТ.ВОДА за 1 пол. 2023'!BP56)</f>
        <v>2757.9645</v>
      </c>
      <c r="P42" s="2942">
        <f>SUM('ФАКТ.СЕБЕСТ.ВОДА за 1 пол. 2023'!BQ56)</f>
        <v>2757.9645</v>
      </c>
      <c r="Q42" s="2942">
        <f>SUM('ФАКТ.СЕБЕСТ.ВОДА за 1 пол. 2023'!BR56)</f>
        <v>0</v>
      </c>
      <c r="R42" s="2942">
        <f>SUM('ФАКТ.СЕБЕСТ.ВОДА за 1 пол. 2023'!CB56)</f>
        <v>5515.9290000000001</v>
      </c>
      <c r="S42" s="2942">
        <f>SUM('ФАКТ.СЕБЕСТ.ВОДА за 1 пол. 2023'!CC56)</f>
        <v>5515.9290000000001</v>
      </c>
      <c r="T42" s="2942">
        <f>SUM('ФАКТ.СЕБЕСТ.ВОДА за 1 пол. 2023'!CD56)</f>
        <v>0</v>
      </c>
      <c r="U42" s="2942">
        <f>SUM('ФАКТ.СЕБЕСТ.ВОДА за 1 пол. 2023'!DO56)</f>
        <v>2757.9645</v>
      </c>
      <c r="V42" s="2942">
        <f>SUM('ФАКТ.СЕБЕСТ.ВОДА за 1 пол. 2023'!DP56)</f>
        <v>2757.9645</v>
      </c>
      <c r="W42" s="2942">
        <f>SUM('ФАКТ.СЕБЕСТ.ВОДА за 1 пол. 2023'!DQ56)</f>
        <v>0</v>
      </c>
      <c r="X42" s="2942">
        <f>SUM('ФАКТ.СЕБЕСТ.ВОДА за 1 пол. 2023'!EA56)</f>
        <v>8273.8935000000001</v>
      </c>
      <c r="Y42" s="2942">
        <f>SUM('ФАКТ.СЕБЕСТ.ВОДА за 1 пол. 2023'!EB56)</f>
        <v>8273.8935000000001</v>
      </c>
      <c r="Z42" s="2942">
        <f>SUM('ФАКТ.СЕБЕСТ.ВОДА за 1 пол. 2023'!EC56)</f>
        <v>0</v>
      </c>
      <c r="AA42" s="2942">
        <f>SUM('ФАКТ.СЕБЕСТ.ВОДА за 1 пол. 2023'!FN56)</f>
        <v>2757.9645</v>
      </c>
      <c r="AB42" s="2942">
        <f>SUM('ФАКТ.СЕБЕСТ.ВОДА за 1 пол. 2023'!FO56)</f>
        <v>2757.9645</v>
      </c>
      <c r="AC42" s="2942">
        <f>SUM('ФАКТ.СЕБЕСТ.ВОДА за 1 пол. 2023'!FP56)</f>
        <v>0</v>
      </c>
      <c r="AD42" s="2943">
        <f>SUM('ФАКТ.СЕБЕСТ.ВОДА за 1 пол. 2023'!FZ56)</f>
        <v>11031.858</v>
      </c>
      <c r="AE42" s="2943">
        <f>SUM('ФАКТ.СЕБЕСТ.ВОДА за 1 пол. 2023'!GA56)</f>
        <v>11031.858</v>
      </c>
      <c r="AF42" s="2944">
        <f>SUM('ФАКТ.СЕБЕСТ.ВОДА за 1 пол. 2023'!GB56)</f>
        <v>0</v>
      </c>
    </row>
    <row r="43" spans="1:61" ht="18.75" x14ac:dyDescent="0.3">
      <c r="A43" s="2946" t="s">
        <v>3720</v>
      </c>
      <c r="B43" s="2928"/>
      <c r="C43" s="2928"/>
      <c r="D43" s="2928"/>
      <c r="E43" s="2928"/>
      <c r="F43" s="2928"/>
      <c r="G43" s="2928"/>
      <c r="H43" s="2928"/>
      <c r="I43" s="2928"/>
      <c r="J43" s="2928"/>
      <c r="K43" s="2934" t="s">
        <v>899</v>
      </c>
      <c r="L43" s="2942">
        <f>SUM('ФАКТ.СЕБЕСТ.ВОДА за 1 пол. 2023'!AC57)</f>
        <v>829.58096624999996</v>
      </c>
      <c r="M43" s="2942">
        <f>SUM('ФАКТ.СЕБЕСТ.ВОДА за 1 пол. 2023'!AD57)</f>
        <v>829.58096624999996</v>
      </c>
      <c r="N43" s="2942">
        <f>SUM('ФАКТ.СЕБЕСТ.ВОДА за 1 пол. 2023'!AE57)</f>
        <v>0</v>
      </c>
      <c r="O43" s="2942">
        <f>SUM('ФАКТ.СЕБЕСТ.ВОДА за 1 пол. 2023'!BP57)</f>
        <v>829.58096624999996</v>
      </c>
      <c r="P43" s="2942">
        <f>SUM('ФАКТ.СЕБЕСТ.ВОДА за 1 пол. 2023'!BQ57)</f>
        <v>829.58096624999996</v>
      </c>
      <c r="Q43" s="2942">
        <f>SUM('ФАКТ.СЕБЕСТ.ВОДА за 1 пол. 2023'!BR57)</f>
        <v>0</v>
      </c>
      <c r="R43" s="2942">
        <f>SUM('ФАКТ.СЕБЕСТ.ВОДА за 1 пол. 2023'!CB57)</f>
        <v>1659.1619324999999</v>
      </c>
      <c r="S43" s="2942">
        <f>SUM('ФАКТ.СЕБЕСТ.ВОДА за 1 пол. 2023'!CC57)</f>
        <v>1659.1619324999999</v>
      </c>
      <c r="T43" s="2942">
        <f>SUM('ФАКТ.СЕБЕСТ.ВОДА за 1 пол. 2023'!CD57)</f>
        <v>0</v>
      </c>
      <c r="U43" s="2942">
        <f>SUM('ФАКТ.СЕБЕСТ.ВОДА за 1 пол. 2023'!DO57)</f>
        <v>829.58096624999996</v>
      </c>
      <c r="V43" s="2942">
        <f>SUM('ФАКТ.СЕБЕСТ.ВОДА за 1 пол. 2023'!DP57)</f>
        <v>829.58096624999996</v>
      </c>
      <c r="W43" s="2942">
        <f>SUM('ФАКТ.СЕБЕСТ.ВОДА за 1 пол. 2023'!DQ57)</f>
        <v>0</v>
      </c>
      <c r="X43" s="2942">
        <f>SUM('ФАКТ.СЕБЕСТ.ВОДА за 1 пол. 2023'!EA57)</f>
        <v>2488.7428987499998</v>
      </c>
      <c r="Y43" s="2942">
        <f>SUM('ФАКТ.СЕБЕСТ.ВОДА за 1 пол. 2023'!EB57)</f>
        <v>2488.7428987499998</v>
      </c>
      <c r="Z43" s="2942">
        <f>SUM('ФАКТ.СЕБЕСТ.ВОДА за 1 пол. 2023'!EC57)</f>
        <v>0</v>
      </c>
      <c r="AA43" s="2942">
        <f>SUM('ФАКТ.СЕБЕСТ.ВОДА за 1 пол. 2023'!FN57)</f>
        <v>829.58096624999996</v>
      </c>
      <c r="AB43" s="2942">
        <f>SUM('ФАКТ.СЕБЕСТ.ВОДА за 1 пол. 2023'!FO57)</f>
        <v>829.58096624999996</v>
      </c>
      <c r="AC43" s="2942">
        <f>SUM('ФАКТ.СЕБЕСТ.ВОДА за 1 пол. 2023'!FP57)</f>
        <v>0</v>
      </c>
      <c r="AD43" s="2943">
        <f>SUM('ФАКТ.СЕБЕСТ.ВОДА за 1 пол. 2023'!FZ57)</f>
        <v>3318.3238649999998</v>
      </c>
      <c r="AE43" s="2943">
        <f>SUM('ФАКТ.СЕБЕСТ.ВОДА за 1 пол. 2023'!GA57)</f>
        <v>3318.3238649999998</v>
      </c>
      <c r="AF43" s="2944">
        <f>SUM('ФАКТ.СЕБЕСТ.ВОДА за 1 пол. 2023'!GB57)</f>
        <v>0</v>
      </c>
    </row>
    <row r="44" spans="1:61" ht="18.75" x14ac:dyDescent="0.3">
      <c r="A44" s="2946" t="s">
        <v>31</v>
      </c>
      <c r="B44" s="2928"/>
      <c r="C44" s="2928"/>
      <c r="D44" s="2928"/>
      <c r="E44" s="2928"/>
      <c r="F44" s="2928"/>
      <c r="G44" s="2928"/>
      <c r="H44" s="2928"/>
      <c r="I44" s="2928"/>
      <c r="J44" s="2928"/>
      <c r="K44" s="2934" t="s">
        <v>899</v>
      </c>
      <c r="L44" s="2942">
        <f>SUM('ФАКТ.СЕБЕСТ.ВОДА за 1 пол. 2023'!AC58)</f>
        <v>419.27716249999997</v>
      </c>
      <c r="M44" s="2942">
        <f>SUM('ФАКТ.СЕБЕСТ.ВОДА за 1 пол. 2023'!AD58)</f>
        <v>419.27716249999997</v>
      </c>
      <c r="N44" s="2942">
        <f>SUM('ФАКТ.СЕБЕСТ.ВОДА за 1 пол. 2023'!AE58)</f>
        <v>0</v>
      </c>
      <c r="O44" s="2942">
        <f>SUM('ФАКТ.СЕБЕСТ.ВОДА за 1 пол. 2023'!BP58)</f>
        <v>419.27716249999997</v>
      </c>
      <c r="P44" s="2942">
        <f>SUM('ФАКТ.СЕБЕСТ.ВОДА за 1 пол. 2023'!BQ58)</f>
        <v>419.27716249999997</v>
      </c>
      <c r="Q44" s="2942">
        <f>SUM('ФАКТ.СЕБЕСТ.ВОДА за 1 пол. 2023'!BR58)</f>
        <v>0</v>
      </c>
      <c r="R44" s="2942">
        <f>SUM('ФАКТ.СЕБЕСТ.ВОДА за 1 пол. 2023'!CB58)</f>
        <v>838.55432499999995</v>
      </c>
      <c r="S44" s="2942">
        <f>SUM('ФАКТ.СЕБЕСТ.ВОДА за 1 пол. 2023'!CC58)</f>
        <v>838.55432499999995</v>
      </c>
      <c r="T44" s="2942">
        <f>SUM('ФАКТ.СЕБЕСТ.ВОДА за 1 пол. 2023'!CD58)</f>
        <v>0</v>
      </c>
      <c r="U44" s="2942">
        <f>SUM('ФАКТ.СЕБЕСТ.ВОДА за 1 пол. 2023'!DO58)</f>
        <v>419.27716249999997</v>
      </c>
      <c r="V44" s="2942">
        <f>SUM('ФАКТ.СЕБЕСТ.ВОДА за 1 пол. 2023'!DP58)</f>
        <v>419.27716249999997</v>
      </c>
      <c r="W44" s="2942">
        <f>SUM('ФАКТ.СЕБЕСТ.ВОДА за 1 пол. 2023'!DQ58)</f>
        <v>0</v>
      </c>
      <c r="X44" s="2942">
        <f>SUM('ФАКТ.СЕБЕСТ.ВОДА за 1 пол. 2023'!EA58)</f>
        <v>1257.8314874999999</v>
      </c>
      <c r="Y44" s="2942">
        <f>SUM('ФАКТ.СЕБЕСТ.ВОДА за 1 пол. 2023'!EB58)</f>
        <v>1257.8314874999999</v>
      </c>
      <c r="Z44" s="2942">
        <f>SUM('ФАКТ.СЕБЕСТ.ВОДА за 1 пол. 2023'!EC58)</f>
        <v>0</v>
      </c>
      <c r="AA44" s="2942">
        <f>SUM('ФАКТ.СЕБЕСТ.ВОДА за 1 пол. 2023'!FN58)</f>
        <v>419.27716249999997</v>
      </c>
      <c r="AB44" s="2942">
        <f>SUM('ФАКТ.СЕБЕСТ.ВОДА за 1 пол. 2023'!FO58)</f>
        <v>419.27716249999997</v>
      </c>
      <c r="AC44" s="2942">
        <f>SUM('ФАКТ.СЕБЕСТ.ВОДА за 1 пол. 2023'!FP58)</f>
        <v>0</v>
      </c>
      <c r="AD44" s="2943">
        <f>SUM('ФАКТ.СЕБЕСТ.ВОДА за 1 пол. 2023'!FZ58)</f>
        <v>1677.1086499999999</v>
      </c>
      <c r="AE44" s="2943">
        <f>SUM('ФАКТ.СЕБЕСТ.ВОДА за 1 пол. 2023'!GA58)</f>
        <v>1677.1086499999999</v>
      </c>
      <c r="AF44" s="2944">
        <f>SUM('ФАКТ.СЕБЕСТ.ВОДА за 1 пол. 2023'!GB58)</f>
        <v>0</v>
      </c>
    </row>
    <row r="45" spans="1:61" ht="18.75" x14ac:dyDescent="0.3">
      <c r="A45" s="2946" t="s">
        <v>287</v>
      </c>
      <c r="B45" s="2928"/>
      <c r="C45" s="2928"/>
      <c r="D45" s="2928"/>
      <c r="E45" s="2928"/>
      <c r="F45" s="2928"/>
      <c r="G45" s="2928"/>
      <c r="H45" s="2928"/>
      <c r="I45" s="2928"/>
      <c r="J45" s="2928"/>
      <c r="K45" s="2934" t="s">
        <v>899</v>
      </c>
      <c r="L45" s="2942">
        <f>SUM('ФАКТ.СЕБЕСТ.ВОДА за 1 пол. 2023'!AC59)</f>
        <v>1754.6682870247669</v>
      </c>
      <c r="M45" s="2942">
        <f>SUM('ФАКТ.СЕБЕСТ.ВОДА за 1 пол. 2023'!AD59)</f>
        <v>1754.6682870247669</v>
      </c>
      <c r="N45" s="2942">
        <f>SUM('ФАКТ.СЕБЕСТ.ВОДА за 1 пол. 2023'!AE59)</f>
        <v>0</v>
      </c>
      <c r="O45" s="2942">
        <f>SUM('ФАКТ.СЕБЕСТ.ВОДА за 1 пол. 2023'!BP59)</f>
        <v>1754.6682870247669</v>
      </c>
      <c r="P45" s="2942">
        <f>SUM('ФАКТ.СЕБЕСТ.ВОДА за 1 пол. 2023'!BQ59)</f>
        <v>1754.6682870247669</v>
      </c>
      <c r="Q45" s="2942">
        <f>SUM('ФАКТ.СЕБЕСТ.ВОДА за 1 пол. 2023'!BR59)</f>
        <v>0</v>
      </c>
      <c r="R45" s="2942">
        <f>SUM('ФАКТ.СЕБЕСТ.ВОДА за 1 пол. 2023'!CB59)</f>
        <v>3509.3365740495337</v>
      </c>
      <c r="S45" s="2942">
        <f>SUM('ФАКТ.СЕБЕСТ.ВОДА за 1 пол. 2023'!CC59)</f>
        <v>3509.3365740495337</v>
      </c>
      <c r="T45" s="2942">
        <f>SUM('ФАКТ.СЕБЕСТ.ВОДА за 1 пол. 2023'!CD59)</f>
        <v>0</v>
      </c>
      <c r="U45" s="2942">
        <f>SUM('ФАКТ.СЕБЕСТ.ВОДА за 1 пол. 2023'!DO59)</f>
        <v>1754.6682870247669</v>
      </c>
      <c r="V45" s="2942">
        <f>SUM('ФАКТ.СЕБЕСТ.ВОДА за 1 пол. 2023'!DP59)</f>
        <v>1754.6682870247669</v>
      </c>
      <c r="W45" s="2942">
        <f>SUM('ФАКТ.СЕБЕСТ.ВОДА за 1 пол. 2023'!DQ59)</f>
        <v>0</v>
      </c>
      <c r="X45" s="2942">
        <f>SUM('ФАКТ.СЕБЕСТ.ВОДА за 1 пол. 2023'!EA59)</f>
        <v>5264.0048610743006</v>
      </c>
      <c r="Y45" s="2942">
        <f>SUM('ФАКТ.СЕБЕСТ.ВОДА за 1 пол. 2023'!EB59)</f>
        <v>5264.0048610743006</v>
      </c>
      <c r="Z45" s="2942">
        <f>SUM('ФАКТ.СЕБЕСТ.ВОДА за 1 пол. 2023'!EC59)</f>
        <v>0</v>
      </c>
      <c r="AA45" s="2942">
        <f>SUM('ФАКТ.СЕБЕСТ.ВОДА за 1 пол. 2023'!FN59)</f>
        <v>1754.6682870247669</v>
      </c>
      <c r="AB45" s="2942">
        <f>SUM('ФАКТ.СЕБЕСТ.ВОДА за 1 пол. 2023'!FO59)</f>
        <v>1754.6682870247669</v>
      </c>
      <c r="AC45" s="2942">
        <f>SUM('ФАКТ.СЕБЕСТ.ВОДА за 1 пол. 2023'!FP59)</f>
        <v>0</v>
      </c>
      <c r="AD45" s="2943">
        <f>SUM('ФАКТ.СЕБЕСТ.ВОДА за 1 пол. 2023'!FZ59)</f>
        <v>7018.6731480990675</v>
      </c>
      <c r="AE45" s="2943">
        <f>SUM('ФАКТ.СЕБЕСТ.ВОДА за 1 пол. 2023'!GA59)</f>
        <v>7018.6731480990675</v>
      </c>
      <c r="AF45" s="2944">
        <f>SUM('ФАКТ.СЕБЕСТ.ВОДА за 1 пол. 2023'!GB59)</f>
        <v>0</v>
      </c>
    </row>
    <row r="46" spans="1:61" ht="18.75" x14ac:dyDescent="0.3">
      <c r="A46" s="2945" t="s">
        <v>3703</v>
      </c>
      <c r="B46" s="2948"/>
      <c r="C46" s="2948"/>
      <c r="D46" s="2948"/>
      <c r="E46" s="2948"/>
      <c r="F46" s="2948"/>
      <c r="G46" s="2948"/>
      <c r="H46" s="2948"/>
      <c r="I46" s="2948"/>
      <c r="J46" s="2948"/>
      <c r="K46" s="2934" t="s">
        <v>899</v>
      </c>
      <c r="L46" s="2935">
        <f>SUM('ФАКТ.СЕБЕСТ.ВОДА за 1 пол. 2023'!AC60)</f>
        <v>1631.6398005399324</v>
      </c>
      <c r="M46" s="2935">
        <f>SUM('ФАКТ.СЕБЕСТ.ВОДА за 1 пол. 2023'!AD60)</f>
        <v>1631.3330694999322</v>
      </c>
      <c r="N46" s="2935">
        <f>SUM('ФАКТ.СЕБЕСТ.ВОДА за 1 пол. 2023'!AE60)</f>
        <v>0.30673104000000001</v>
      </c>
      <c r="O46" s="2935">
        <f>SUM('ФАКТ.СЕБЕСТ.ВОДА за 1 пол. 2023'!BP60)</f>
        <v>1631.6398005399324</v>
      </c>
      <c r="P46" s="2935">
        <f>SUM('ФАКТ.СЕБЕСТ.ВОДА за 1 пол. 2023'!BQ60)</f>
        <v>1631.3330694999322</v>
      </c>
      <c r="Q46" s="2935">
        <f>SUM('ФАКТ.СЕБЕСТ.ВОДА за 1 пол. 2023'!BR60)</f>
        <v>0.30673104000000001</v>
      </c>
      <c r="R46" s="2935">
        <f>SUM('ФАКТ.СЕБЕСТ.ВОДА за 1 пол. 2023'!CB60)</f>
        <v>3263.2796010798647</v>
      </c>
      <c r="S46" s="2935">
        <f>SUM('ФАКТ.СЕБЕСТ.ВОДА за 1 пол. 2023'!CC60)</f>
        <v>3262.6661389998644</v>
      </c>
      <c r="T46" s="2935">
        <f>SUM('ФАКТ.СЕБЕСТ.ВОДА за 1 пол. 2023'!CD60)</f>
        <v>0.61346208000000002</v>
      </c>
      <c r="U46" s="2935">
        <f>SUM('ФАКТ.СЕБЕСТ.ВОДА за 1 пол. 2023'!DO60)</f>
        <v>1631.6398005399324</v>
      </c>
      <c r="V46" s="2935">
        <f>SUM('ФАКТ.СЕБЕСТ.ВОДА за 1 пол. 2023'!DP60)</f>
        <v>1631.3330694999322</v>
      </c>
      <c r="W46" s="2935">
        <f>SUM('ФАКТ.СЕБЕСТ.ВОДА за 1 пол. 2023'!DQ60)</f>
        <v>0.30673104000000001</v>
      </c>
      <c r="X46" s="2935">
        <f>SUM('ФАКТ.СЕБЕСТ.ВОДА за 1 пол. 2023'!EA60)</f>
        <v>4894.9194016197971</v>
      </c>
      <c r="Y46" s="2935">
        <f>SUM('ФАКТ.СЕБЕСТ.ВОДА за 1 пол. 2023'!EB60)</f>
        <v>4893.9992084997966</v>
      </c>
      <c r="Z46" s="2935">
        <f>SUM('ФАКТ.СЕБЕСТ.ВОДА за 1 пол. 2023'!EC60)</f>
        <v>0.92019311999999998</v>
      </c>
      <c r="AA46" s="2935">
        <f>SUM('ФАКТ.СЕБЕСТ.ВОДА за 1 пол. 2023'!FN60)</f>
        <v>1631.6398005399324</v>
      </c>
      <c r="AB46" s="2935">
        <f>SUM('ФАКТ.СЕБЕСТ.ВОДА за 1 пол. 2023'!FO60)</f>
        <v>1631.3330694999322</v>
      </c>
      <c r="AC46" s="2935">
        <f>SUM('ФАКТ.СЕБЕСТ.ВОДА за 1 пол. 2023'!FP60)</f>
        <v>0.30673104000000001</v>
      </c>
      <c r="AD46" s="2936">
        <f>SUM('ФАКТ.СЕБЕСТ.ВОДА за 1 пол. 2023'!FZ60)</f>
        <v>6526.5592021597295</v>
      </c>
      <c r="AE46" s="2936">
        <f>SUM('ФАКТ.СЕБЕСТ.ВОДА за 1 пол. 2023'!GA60)</f>
        <v>6525.3322779997288</v>
      </c>
      <c r="AF46" s="2937">
        <f>SUM('ФАКТ.СЕБЕСТ.ВОДА за 1 пол. 2023'!GB60)</f>
        <v>1.22692416</v>
      </c>
    </row>
    <row r="47" spans="1:61" ht="18.75" x14ac:dyDescent="0.3">
      <c r="A47" s="2946" t="s">
        <v>3747</v>
      </c>
      <c r="B47" s="2948"/>
      <c r="C47" s="2948"/>
      <c r="D47" s="2948"/>
      <c r="E47" s="2948"/>
      <c r="F47" s="2948"/>
      <c r="G47" s="2948"/>
      <c r="H47" s="2948"/>
      <c r="I47" s="2948"/>
      <c r="J47" s="2948"/>
      <c r="K47" s="2934" t="s">
        <v>899</v>
      </c>
      <c r="L47" s="2942">
        <f>SUM('ФАКТ.СЕБЕСТ.ВОДА за 1 пол. 2023'!AC61)</f>
        <v>826.67320053993251</v>
      </c>
      <c r="M47" s="2942">
        <f>SUM('ФАКТ.СЕБЕСТ.ВОДА за 1 пол. 2023'!AD61)</f>
        <v>826.36646949993246</v>
      </c>
      <c r="N47" s="2942">
        <f>SUM('ФАКТ.СЕБЕСТ.ВОДА за 1 пол. 2023'!AE61)</f>
        <v>0.30673104000000001</v>
      </c>
      <c r="O47" s="2942">
        <f>SUM('ФАКТ.СЕБЕСТ.ВОДА за 1 пол. 2023'!BP61)</f>
        <v>826.67320053993251</v>
      </c>
      <c r="P47" s="2942">
        <f>SUM('ФАКТ.СЕБЕСТ.ВОДА за 1 пол. 2023'!BQ61)</f>
        <v>826.36646949993246</v>
      </c>
      <c r="Q47" s="2942">
        <f>SUM('ФАКТ.СЕБЕСТ.ВОДА за 1 пол. 2023'!BR61)</f>
        <v>0.30673104000000001</v>
      </c>
      <c r="R47" s="2942">
        <f>SUM('ФАКТ.СЕБЕСТ.ВОДА за 1 пол. 2023'!CB61)</f>
        <v>1653.346401079865</v>
      </c>
      <c r="S47" s="2942">
        <f>SUM('ФАКТ.СЕБЕСТ.ВОДА за 1 пол. 2023'!CC61)</f>
        <v>1652.7329389998649</v>
      </c>
      <c r="T47" s="2942">
        <f>SUM('ФАКТ.СЕБЕСТ.ВОДА за 1 пол. 2023'!CD61)</f>
        <v>0.61346208000000002</v>
      </c>
      <c r="U47" s="2942">
        <f>SUM('ФАКТ.СЕБЕСТ.ВОДА за 1 пол. 2023'!DO61)</f>
        <v>826.67320053993251</v>
      </c>
      <c r="V47" s="2942">
        <f>SUM('ФАКТ.СЕБЕСТ.ВОДА за 1 пол. 2023'!DP61)</f>
        <v>826.36646949993246</v>
      </c>
      <c r="W47" s="2942">
        <f>SUM('ФАКТ.СЕБЕСТ.ВОДА за 1 пол. 2023'!DQ61)</f>
        <v>0.30673104000000001</v>
      </c>
      <c r="X47" s="2942">
        <f>SUM('ФАКТ.СЕБЕСТ.ВОДА за 1 пол. 2023'!EA61)</f>
        <v>2480.0196016197974</v>
      </c>
      <c r="Y47" s="2942">
        <f>SUM('ФАКТ.СЕБЕСТ.ВОДА за 1 пол. 2023'!EB61)</f>
        <v>2479.0994084997974</v>
      </c>
      <c r="Z47" s="2942">
        <f>SUM('ФАКТ.СЕБЕСТ.ВОДА за 1 пол. 2023'!EC61)</f>
        <v>0.92019311999999998</v>
      </c>
      <c r="AA47" s="2942">
        <f>SUM('ФАКТ.СЕБЕСТ.ВОДА за 1 пол. 2023'!FN61)</f>
        <v>826.67320053993251</v>
      </c>
      <c r="AB47" s="2942">
        <f>SUM('ФАКТ.СЕБЕСТ.ВОДА за 1 пол. 2023'!FO61)</f>
        <v>826.36646949993246</v>
      </c>
      <c r="AC47" s="2942">
        <f>SUM('ФАКТ.СЕБЕСТ.ВОДА за 1 пол. 2023'!FP61)</f>
        <v>0.30673104000000001</v>
      </c>
      <c r="AD47" s="2943">
        <f>SUM('ФАКТ.СЕБЕСТ.ВОДА за 1 пол. 2023'!FZ61)</f>
        <v>3306.69280215973</v>
      </c>
      <c r="AE47" s="2943">
        <f>SUM('ФАКТ.СЕБЕСТ.ВОДА за 1 пол. 2023'!GA61)</f>
        <v>3305.4658779997299</v>
      </c>
      <c r="AF47" s="2944">
        <f>SUM('ФАКТ.СЕБЕСТ.ВОДА за 1 пол. 2023'!GB61)</f>
        <v>1.22692416</v>
      </c>
    </row>
    <row r="48" spans="1:61" ht="18.75" x14ac:dyDescent="0.3">
      <c r="A48" s="2946" t="s">
        <v>522</v>
      </c>
      <c r="B48" s="2948"/>
      <c r="C48" s="2948"/>
      <c r="D48" s="2948"/>
      <c r="E48" s="2948"/>
      <c r="F48" s="2948"/>
      <c r="G48" s="2948"/>
      <c r="H48" s="2948"/>
      <c r="I48" s="2948"/>
      <c r="J48" s="2948"/>
      <c r="K48" s="2934" t="s">
        <v>899</v>
      </c>
      <c r="L48" s="2942">
        <f>SUM('ФАКТ.СЕБЕСТ.ВОДА за 1 пол. 2023'!AC62)</f>
        <v>22.59675</v>
      </c>
      <c r="M48" s="2942">
        <f>SUM('ФАКТ.СЕБЕСТ.ВОДА за 1 пол. 2023'!AD62)</f>
        <v>22.59675</v>
      </c>
      <c r="N48" s="2942">
        <f>SUM('ФАКТ.СЕБЕСТ.ВОДА за 1 пол. 2023'!AE62)</f>
        <v>0</v>
      </c>
      <c r="O48" s="2942">
        <f>SUM('ФАКТ.СЕБЕСТ.ВОДА за 1 пол. 2023'!BP62)</f>
        <v>22.59675</v>
      </c>
      <c r="P48" s="2942">
        <f>SUM('ФАКТ.СЕБЕСТ.ВОДА за 1 пол. 2023'!BQ62)</f>
        <v>22.59675</v>
      </c>
      <c r="Q48" s="2942">
        <f>SUM('ФАКТ.СЕБЕСТ.ВОДА за 1 пол. 2023'!BR62)</f>
        <v>0</v>
      </c>
      <c r="R48" s="2942">
        <f>SUM('ФАКТ.СЕБЕСТ.ВОДА за 1 пол. 2023'!CB62)</f>
        <v>45.1935</v>
      </c>
      <c r="S48" s="2942">
        <f>SUM('ФАКТ.СЕБЕСТ.ВОДА за 1 пол. 2023'!CC62)</f>
        <v>45.1935</v>
      </c>
      <c r="T48" s="2942">
        <f>SUM('ФАКТ.СЕБЕСТ.ВОДА за 1 пол. 2023'!CD62)</f>
        <v>0</v>
      </c>
      <c r="U48" s="2942">
        <f>SUM('ФАКТ.СЕБЕСТ.ВОДА за 1 пол. 2023'!DO62)</f>
        <v>22.59675</v>
      </c>
      <c r="V48" s="2942">
        <f>SUM('ФАКТ.СЕБЕСТ.ВОДА за 1 пол. 2023'!DP62)</f>
        <v>22.59675</v>
      </c>
      <c r="W48" s="2942">
        <f>SUM('ФАКТ.СЕБЕСТ.ВОДА за 1 пол. 2023'!DQ62)</f>
        <v>0</v>
      </c>
      <c r="X48" s="2942">
        <f>SUM('ФАКТ.СЕБЕСТ.ВОДА за 1 пол. 2023'!EA62)</f>
        <v>67.79025</v>
      </c>
      <c r="Y48" s="2942">
        <f>SUM('ФАКТ.СЕБЕСТ.ВОДА за 1 пол. 2023'!EB62)</f>
        <v>67.79025</v>
      </c>
      <c r="Z48" s="2942">
        <f>SUM('ФАКТ.СЕБЕСТ.ВОДА за 1 пол. 2023'!EC62)</f>
        <v>0</v>
      </c>
      <c r="AA48" s="2942">
        <f>SUM('ФАКТ.СЕБЕСТ.ВОДА за 1 пол. 2023'!FN62)</f>
        <v>22.59675</v>
      </c>
      <c r="AB48" s="2942">
        <f>SUM('ФАКТ.СЕБЕСТ.ВОДА за 1 пол. 2023'!FO62)</f>
        <v>22.59675</v>
      </c>
      <c r="AC48" s="2942">
        <f>SUM('ФАКТ.СЕБЕСТ.ВОДА за 1 пол. 2023'!FP62)</f>
        <v>0</v>
      </c>
      <c r="AD48" s="2943">
        <f>SUM('ФАКТ.СЕБЕСТ.ВОДА за 1 пол. 2023'!FZ62)</f>
        <v>90.387</v>
      </c>
      <c r="AE48" s="2943">
        <f>SUM('ФАКТ.СЕБЕСТ.ВОДА за 1 пол. 2023'!GA62)</f>
        <v>90.387</v>
      </c>
      <c r="AF48" s="2944">
        <f>SUM('ФАКТ.СЕБЕСТ.ВОДА за 1 пол. 2023'!GB62)</f>
        <v>0</v>
      </c>
    </row>
    <row r="49" spans="1:32" ht="18.75" x14ac:dyDescent="0.3">
      <c r="A49" s="2946" t="s">
        <v>523</v>
      </c>
      <c r="B49" s="2948"/>
      <c r="C49" s="2948"/>
      <c r="D49" s="2948"/>
      <c r="E49" s="2948"/>
      <c r="F49" s="2948"/>
      <c r="G49" s="2948"/>
      <c r="H49" s="2948"/>
      <c r="I49" s="2948"/>
      <c r="J49" s="2948"/>
      <c r="K49" s="2934" t="s">
        <v>899</v>
      </c>
      <c r="L49" s="2942">
        <f>SUM('ФАКТ.СЕБЕСТ.ВОДА за 1 пол. 2023'!AC63)</f>
        <v>0</v>
      </c>
      <c r="M49" s="2942">
        <f>SUM('ФАКТ.СЕБЕСТ.ВОДА за 1 пол. 2023'!AD63)</f>
        <v>0</v>
      </c>
      <c r="N49" s="2942">
        <f>SUM('ФАКТ.СЕБЕСТ.ВОДА за 1 пол. 2023'!AE63)</f>
        <v>0</v>
      </c>
      <c r="O49" s="2942">
        <f>SUM('ФАКТ.СЕБЕСТ.ВОДА за 1 пол. 2023'!BP63)</f>
        <v>0</v>
      </c>
      <c r="P49" s="2942">
        <f>SUM('ФАКТ.СЕБЕСТ.ВОДА за 1 пол. 2023'!BQ63)</f>
        <v>0</v>
      </c>
      <c r="Q49" s="2942">
        <f>SUM('ФАКТ.СЕБЕСТ.ВОДА за 1 пол. 2023'!BR63)</f>
        <v>0</v>
      </c>
      <c r="R49" s="2942">
        <f>SUM('ФАКТ.СЕБЕСТ.ВОДА за 1 пол. 2023'!CB63)</f>
        <v>0</v>
      </c>
      <c r="S49" s="2942">
        <f>SUM('ФАКТ.СЕБЕСТ.ВОДА за 1 пол. 2023'!CC63)</f>
        <v>0</v>
      </c>
      <c r="T49" s="2942">
        <f>SUM('ФАКТ.СЕБЕСТ.ВОДА за 1 пол. 2023'!CD63)</f>
        <v>0</v>
      </c>
      <c r="U49" s="2942">
        <f>SUM('ФАКТ.СЕБЕСТ.ВОДА за 1 пол. 2023'!DO63)</f>
        <v>0</v>
      </c>
      <c r="V49" s="2942">
        <f>SUM('ФАКТ.СЕБЕСТ.ВОДА за 1 пол. 2023'!DP63)</f>
        <v>0</v>
      </c>
      <c r="W49" s="2942">
        <f>SUM('ФАКТ.СЕБЕСТ.ВОДА за 1 пол. 2023'!DQ63)</f>
        <v>0</v>
      </c>
      <c r="X49" s="2942">
        <f>SUM('ФАКТ.СЕБЕСТ.ВОДА за 1 пол. 2023'!EA63)</f>
        <v>0</v>
      </c>
      <c r="Y49" s="2942">
        <f>SUM('ФАКТ.СЕБЕСТ.ВОДА за 1 пол. 2023'!EB63)</f>
        <v>0</v>
      </c>
      <c r="Z49" s="2942">
        <f>SUM('ФАКТ.СЕБЕСТ.ВОДА за 1 пол. 2023'!EC63)</f>
        <v>0</v>
      </c>
      <c r="AA49" s="2942">
        <f>SUM('ФАКТ.СЕБЕСТ.ВОДА за 1 пол. 2023'!FN63)</f>
        <v>0</v>
      </c>
      <c r="AB49" s="2942">
        <f>SUM('ФАКТ.СЕБЕСТ.ВОДА за 1 пол. 2023'!FO63)</f>
        <v>0</v>
      </c>
      <c r="AC49" s="2942">
        <f>SUM('ФАКТ.СЕБЕСТ.ВОДА за 1 пол. 2023'!FP63)</f>
        <v>0</v>
      </c>
      <c r="AD49" s="2943">
        <f>SUM('ФАКТ.СЕБЕСТ.ВОДА за 1 пол. 2023'!FZ63)</f>
        <v>0</v>
      </c>
      <c r="AE49" s="2943">
        <f>SUM('ФАКТ.СЕБЕСТ.ВОДА за 1 пол. 2023'!GA63)</f>
        <v>0</v>
      </c>
      <c r="AF49" s="2944">
        <f>SUM('ФАКТ.СЕБЕСТ.ВОДА за 1 пол. 2023'!GB63)</f>
        <v>0</v>
      </c>
    </row>
    <row r="50" spans="1:32" ht="18.75" x14ac:dyDescent="0.3">
      <c r="A50" s="2946" t="s">
        <v>524</v>
      </c>
      <c r="B50" s="2948"/>
      <c r="C50" s="2948"/>
      <c r="D50" s="2948"/>
      <c r="E50" s="2948"/>
      <c r="F50" s="2948"/>
      <c r="G50" s="2948"/>
      <c r="H50" s="2948"/>
      <c r="I50" s="2948"/>
      <c r="J50" s="2948"/>
      <c r="K50" s="2934" t="s">
        <v>899</v>
      </c>
      <c r="L50" s="2942">
        <f>SUM('ФАКТ.СЕБЕСТ.ВОДА за 1 пол. 2023'!AC64)</f>
        <v>782.36984999999993</v>
      </c>
      <c r="M50" s="2942">
        <f>SUM('ФАКТ.СЕБЕСТ.ВОДА за 1 пол. 2023'!AD64)</f>
        <v>782.36984999999993</v>
      </c>
      <c r="N50" s="2942">
        <f>SUM('ФАКТ.СЕБЕСТ.ВОДА за 1 пол. 2023'!AE64)</f>
        <v>0</v>
      </c>
      <c r="O50" s="2942">
        <f>SUM('ФАКТ.СЕБЕСТ.ВОДА за 1 пол. 2023'!BP64)</f>
        <v>782.36984999999993</v>
      </c>
      <c r="P50" s="2942">
        <f>SUM('ФАКТ.СЕБЕСТ.ВОДА за 1 пол. 2023'!BQ64)</f>
        <v>782.36984999999993</v>
      </c>
      <c r="Q50" s="2942">
        <f>SUM('ФАКТ.СЕБЕСТ.ВОДА за 1 пол. 2023'!BR64)</f>
        <v>0</v>
      </c>
      <c r="R50" s="2942">
        <f>SUM('ФАКТ.СЕБЕСТ.ВОДА за 1 пол. 2023'!CB64)</f>
        <v>1564.7396999999999</v>
      </c>
      <c r="S50" s="2942">
        <f>SUM('ФАКТ.СЕБЕСТ.ВОДА за 1 пол. 2023'!CC64)</f>
        <v>1564.7396999999999</v>
      </c>
      <c r="T50" s="2942">
        <f>SUM('ФАКТ.СЕБЕСТ.ВОДА за 1 пол. 2023'!CD64)</f>
        <v>0</v>
      </c>
      <c r="U50" s="2942">
        <f>SUM('ФАКТ.СЕБЕСТ.ВОДА за 1 пол. 2023'!DO64)</f>
        <v>782.36984999999993</v>
      </c>
      <c r="V50" s="2942">
        <f>SUM('ФАКТ.СЕБЕСТ.ВОДА за 1 пол. 2023'!DP64)</f>
        <v>782.36984999999993</v>
      </c>
      <c r="W50" s="2942">
        <f>SUM('ФАКТ.СЕБЕСТ.ВОДА за 1 пол. 2023'!DQ64)</f>
        <v>0</v>
      </c>
      <c r="X50" s="2942">
        <f>SUM('ФАКТ.СЕБЕСТ.ВОДА за 1 пол. 2023'!EA64)</f>
        <v>2347.1095499999997</v>
      </c>
      <c r="Y50" s="2942">
        <f>SUM('ФАКТ.СЕБЕСТ.ВОДА за 1 пол. 2023'!EB64)</f>
        <v>2347.1095499999997</v>
      </c>
      <c r="Z50" s="2942">
        <f>SUM('ФАКТ.СЕБЕСТ.ВОДА за 1 пол. 2023'!EC64)</f>
        <v>0</v>
      </c>
      <c r="AA50" s="2942">
        <f>SUM('ФАКТ.СЕБЕСТ.ВОДА за 1 пол. 2023'!FN64)</f>
        <v>782.36984999999993</v>
      </c>
      <c r="AB50" s="2942">
        <f>SUM('ФАКТ.СЕБЕСТ.ВОДА за 1 пол. 2023'!FO64)</f>
        <v>782.36984999999993</v>
      </c>
      <c r="AC50" s="2942">
        <f>SUM('ФАКТ.СЕБЕСТ.ВОДА за 1 пол. 2023'!FP64)</f>
        <v>0</v>
      </c>
      <c r="AD50" s="2943">
        <f>SUM('ФАКТ.СЕБЕСТ.ВОДА за 1 пол. 2023'!FZ64)</f>
        <v>3129.4793999999997</v>
      </c>
      <c r="AE50" s="2943">
        <f>SUM('ФАКТ.СЕБЕСТ.ВОДА за 1 пол. 2023'!GA64)</f>
        <v>3129.4793999999997</v>
      </c>
      <c r="AF50" s="2944">
        <f>SUM('ФАКТ.СЕБЕСТ.ВОДА за 1 пол. 2023'!GB64)</f>
        <v>0</v>
      </c>
    </row>
    <row r="51" spans="1:32" ht="18.75" x14ac:dyDescent="0.3">
      <c r="A51" s="3017" t="s">
        <v>3705</v>
      </c>
      <c r="B51" s="2948"/>
      <c r="C51" s="2948"/>
      <c r="D51" s="2948"/>
      <c r="E51" s="2948"/>
      <c r="F51" s="2948"/>
      <c r="G51" s="2948"/>
      <c r="H51" s="2948"/>
      <c r="I51" s="2948"/>
      <c r="J51" s="2948"/>
      <c r="K51" s="2934" t="s">
        <v>899</v>
      </c>
      <c r="L51" s="2942">
        <f>SUM('ФАКТ.СЕБЕСТ.ВОДА за 1 пол. 2023'!AC65)</f>
        <v>0</v>
      </c>
      <c r="M51" s="2942">
        <f>SUM('ФАКТ.СЕБЕСТ.ВОДА за 1 пол. 2023'!AD65)</f>
        <v>0</v>
      </c>
      <c r="N51" s="2942">
        <f>SUM('ФАКТ.СЕБЕСТ.ВОДА за 1 пол. 2023'!AE65)</f>
        <v>0</v>
      </c>
      <c r="O51" s="2942">
        <f>SUM('ФАКТ.СЕБЕСТ.ВОДА за 1 пол. 2023'!BP65)</f>
        <v>0</v>
      </c>
      <c r="P51" s="2942">
        <f>SUM('ФАКТ.СЕБЕСТ.ВОДА за 1 пол. 2023'!BQ65)</f>
        <v>0</v>
      </c>
      <c r="Q51" s="2942">
        <f>SUM('ФАКТ.СЕБЕСТ.ВОДА за 1 пол. 2023'!BR65)</f>
        <v>0</v>
      </c>
      <c r="R51" s="2942">
        <f>SUM('ФАКТ.СЕБЕСТ.ВОДА за 1 пол. 2023'!CB65)</f>
        <v>0</v>
      </c>
      <c r="S51" s="2942">
        <f>SUM('ФАКТ.СЕБЕСТ.ВОДА за 1 пол. 2023'!CC65)</f>
        <v>0</v>
      </c>
      <c r="T51" s="2942">
        <f>SUM('ФАКТ.СЕБЕСТ.ВОДА за 1 пол. 2023'!CD65)</f>
        <v>0</v>
      </c>
      <c r="U51" s="2942">
        <f>SUM('ФАКТ.СЕБЕСТ.ВОДА за 1 пол. 2023'!DO65)</f>
        <v>0</v>
      </c>
      <c r="V51" s="2942">
        <f>SUM('ФАКТ.СЕБЕСТ.ВОДА за 1 пол. 2023'!DP65)</f>
        <v>0</v>
      </c>
      <c r="W51" s="2942">
        <f>SUM('ФАКТ.СЕБЕСТ.ВОДА за 1 пол. 2023'!DQ65)</f>
        <v>0</v>
      </c>
      <c r="X51" s="2942">
        <f>SUM('ФАКТ.СЕБЕСТ.ВОДА за 1 пол. 2023'!EA65)</f>
        <v>0</v>
      </c>
      <c r="Y51" s="2942">
        <f>SUM('ФАКТ.СЕБЕСТ.ВОДА за 1 пол. 2023'!EB65)</f>
        <v>0</v>
      </c>
      <c r="Z51" s="2942">
        <f>SUM('ФАКТ.СЕБЕСТ.ВОДА за 1 пол. 2023'!EC65)</f>
        <v>0</v>
      </c>
      <c r="AA51" s="2942">
        <f>SUM('ФАКТ.СЕБЕСТ.ВОДА за 1 пол. 2023'!FN65)</f>
        <v>0</v>
      </c>
      <c r="AB51" s="2942">
        <f>SUM('ФАКТ.СЕБЕСТ.ВОДА за 1 пол. 2023'!FO65)</f>
        <v>0</v>
      </c>
      <c r="AC51" s="2942">
        <f>SUM('ФАКТ.СЕБЕСТ.ВОДА за 1 пол. 2023'!FP65)</f>
        <v>0</v>
      </c>
      <c r="AD51" s="2943">
        <f>SUM('ФАКТ.СЕБЕСТ.ВОДА за 1 пол. 2023'!FZ65)</f>
        <v>0</v>
      </c>
      <c r="AE51" s="2943">
        <f>SUM('ФАКТ.СЕБЕСТ.ВОДА за 1 пол. 2023'!GA65)</f>
        <v>0</v>
      </c>
      <c r="AF51" s="2944">
        <f>SUM('ФАКТ.СЕБЕСТ.ВОДА за 1 пол. 2023'!GB65)</f>
        <v>0</v>
      </c>
    </row>
    <row r="52" spans="1:32" ht="18.75" x14ac:dyDescent="0.3">
      <c r="A52" s="2945" t="s">
        <v>3721</v>
      </c>
      <c r="B52" s="2948"/>
      <c r="C52" s="2948"/>
      <c r="D52" s="2948"/>
      <c r="E52" s="2948"/>
      <c r="F52" s="2948"/>
      <c r="G52" s="2948"/>
      <c r="H52" s="2948"/>
      <c r="I52" s="2948"/>
      <c r="J52" s="2948"/>
      <c r="K52" s="2934" t="s">
        <v>899</v>
      </c>
      <c r="L52" s="2935">
        <f>SUM('ФАКТ.СЕБЕСТ.ВОДА за 1 пол. 2023'!AC66)</f>
        <v>4576.903889553364</v>
      </c>
      <c r="M52" s="2935">
        <f>SUM('ФАКТ.СЕБЕСТ.ВОДА за 1 пол. 2023'!AD66)</f>
        <v>4576.4456395533643</v>
      </c>
      <c r="N52" s="2935">
        <f>SUM('ФАКТ.СЕБЕСТ.ВОДА за 1 пол. 2023'!AE66)</f>
        <v>0.45824999999999999</v>
      </c>
      <c r="O52" s="2935">
        <f>SUM('ФАКТ.СЕБЕСТ.ВОДА за 1 пол. 2023'!BP66)</f>
        <v>4576.903889553364</v>
      </c>
      <c r="P52" s="2935">
        <f>SUM('ФАКТ.СЕБЕСТ.ВОДА за 1 пол. 2023'!BQ66)</f>
        <v>4576.4456395533643</v>
      </c>
      <c r="Q52" s="2935">
        <f>SUM('ФАКТ.СЕБЕСТ.ВОДА за 1 пол. 2023'!BR66)</f>
        <v>0.45824999999999999</v>
      </c>
      <c r="R52" s="2935">
        <f>SUM('ФАКТ.СЕБЕСТ.ВОДА за 1 пол. 2023'!CB66)</f>
        <v>9153.807779106728</v>
      </c>
      <c r="S52" s="2935">
        <f>SUM('ФАКТ.СЕБЕСТ.ВОДА за 1 пол. 2023'!CC66)</f>
        <v>9152.8912791067287</v>
      </c>
      <c r="T52" s="2935">
        <f>SUM('ФАКТ.СЕБЕСТ.ВОДА за 1 пол. 2023'!CD66)</f>
        <v>0.91649999999999998</v>
      </c>
      <c r="U52" s="2935">
        <f>SUM('ФАКТ.СЕБЕСТ.ВОДА за 1 пол. 2023'!DO66)</f>
        <v>4576.903889553364</v>
      </c>
      <c r="V52" s="2935">
        <f>SUM('ФАКТ.СЕБЕСТ.ВОДА за 1 пол. 2023'!DP66)</f>
        <v>4576.4456395533643</v>
      </c>
      <c r="W52" s="2935">
        <f>SUM('ФАКТ.СЕБЕСТ.ВОДА за 1 пол. 2023'!DQ66)</f>
        <v>0.45824999999999999</v>
      </c>
      <c r="X52" s="2935">
        <f>SUM('ФАКТ.СЕБЕСТ.ВОДА за 1 пол. 2023'!EA66)</f>
        <v>13730.711668660093</v>
      </c>
      <c r="Y52" s="2935">
        <f>SUM('ФАКТ.СЕБЕСТ.ВОДА за 1 пол. 2023'!EB66)</f>
        <v>13729.336918660094</v>
      </c>
      <c r="Z52" s="2935">
        <f>SUM('ФАКТ.СЕБЕСТ.ВОДА за 1 пол. 2023'!EC66)</f>
        <v>1.3747499999999999</v>
      </c>
      <c r="AA52" s="2935">
        <f>SUM('ФАКТ.СЕБЕСТ.ВОДА за 1 пол. 2023'!FN66)</f>
        <v>4576.903889553364</v>
      </c>
      <c r="AB52" s="2935">
        <f>SUM('ФАКТ.СЕБЕСТ.ВОДА за 1 пол. 2023'!FO66)</f>
        <v>4576.4456395533643</v>
      </c>
      <c r="AC52" s="2935">
        <f>SUM('ФАКТ.СЕБЕСТ.ВОДА за 1 пол. 2023'!FP66)</f>
        <v>0.45824999999999999</v>
      </c>
      <c r="AD52" s="2936">
        <f>SUM('ФАКТ.СЕБЕСТ.ВОДА за 1 пол. 2023'!FZ66)</f>
        <v>18307.615558213456</v>
      </c>
      <c r="AE52" s="2936">
        <f>SUM('ФАКТ.СЕБЕСТ.ВОДА за 1 пол. 2023'!GA66)</f>
        <v>18305.782558213457</v>
      </c>
      <c r="AF52" s="2937">
        <f>SUM('ФАКТ.СЕБЕСТ.ВОДА за 1 пол. 2023'!GB66)</f>
        <v>1.833</v>
      </c>
    </row>
    <row r="53" spans="1:32" ht="18.75" customHeight="1" x14ac:dyDescent="0.3">
      <c r="A53" s="2949" t="s">
        <v>3707</v>
      </c>
      <c r="B53" s="2948"/>
      <c r="C53" s="2948"/>
      <c r="D53" s="2948"/>
      <c r="E53" s="2948"/>
      <c r="F53" s="2948"/>
      <c r="G53" s="2948"/>
      <c r="H53" s="2948"/>
      <c r="I53" s="2948"/>
      <c r="J53" s="2948"/>
      <c r="K53" s="2934" t="s">
        <v>899</v>
      </c>
      <c r="L53" s="2942">
        <f>SUM('ФАКТ.СЕБЕСТ.ВОДА за 1 пол. 2023'!AC67)</f>
        <v>3080.6182525263366</v>
      </c>
      <c r="M53" s="2942">
        <f>SUM('ФАКТ.СЕБЕСТ.ВОДА за 1 пол. 2023'!AD67)</f>
        <v>3080.2907525263372</v>
      </c>
      <c r="N53" s="2942">
        <f>SUM('ФАКТ.СЕБЕСТ.ВОДА за 1 пол. 2023'!AE67)</f>
        <v>0.32750000000000001</v>
      </c>
      <c r="O53" s="2942">
        <f>SUM('ФАКТ.СЕБЕСТ.ВОДА за 1 пол. 2023'!BP67)</f>
        <v>3080.6182525263366</v>
      </c>
      <c r="P53" s="2942">
        <f>SUM('ФАКТ.СЕБЕСТ.ВОДА за 1 пол. 2023'!BQ67)</f>
        <v>3080.2907525263372</v>
      </c>
      <c r="Q53" s="2942">
        <f>SUM('ФАКТ.СЕБЕСТ.ВОДА за 1 пол. 2023'!BR67)</f>
        <v>0.32750000000000001</v>
      </c>
      <c r="R53" s="2942">
        <f>SUM('ФАКТ.СЕБЕСТ.ВОДА за 1 пол. 2023'!CB67)</f>
        <v>6161.2365050526732</v>
      </c>
      <c r="S53" s="2942">
        <f>SUM('ФАКТ.СЕБЕСТ.ВОДА за 1 пол. 2023'!CC67)</f>
        <v>6160.5815050526744</v>
      </c>
      <c r="T53" s="2942">
        <f>SUM('ФАКТ.СЕБЕСТ.ВОДА за 1 пол. 2023'!CD67)</f>
        <v>0.65500000000000003</v>
      </c>
      <c r="U53" s="2942">
        <f>SUM('ФАКТ.СЕБЕСТ.ВОДА за 1 пол. 2023'!DO67)</f>
        <v>3080.6182525263366</v>
      </c>
      <c r="V53" s="2942">
        <f>SUM('ФАКТ.СЕБЕСТ.ВОДА за 1 пол. 2023'!DP67)</f>
        <v>3080.2907525263372</v>
      </c>
      <c r="W53" s="2942">
        <f>SUM('ФАКТ.СЕБЕСТ.ВОДА за 1 пол. 2023'!DQ67)</f>
        <v>0.32750000000000001</v>
      </c>
      <c r="X53" s="2942">
        <f>SUM('ФАКТ.СЕБЕСТ.ВОДА за 1 пол. 2023'!EA67)</f>
        <v>9241.8547575790108</v>
      </c>
      <c r="Y53" s="2942">
        <f>SUM('ФАКТ.СЕБЕСТ.ВОДА за 1 пол. 2023'!EB67)</f>
        <v>9240.8722575790125</v>
      </c>
      <c r="Z53" s="2942">
        <f>SUM('ФАКТ.СЕБЕСТ.ВОДА за 1 пол. 2023'!EC67)</f>
        <v>0.98250000000000004</v>
      </c>
      <c r="AA53" s="2942">
        <f>SUM('ФАКТ.СЕБЕСТ.ВОДА за 1 пол. 2023'!FN67)</f>
        <v>3080.6182525263366</v>
      </c>
      <c r="AB53" s="2942">
        <f>SUM('ФАКТ.СЕБЕСТ.ВОДА за 1 пол. 2023'!FO67)</f>
        <v>3080.2907525263372</v>
      </c>
      <c r="AC53" s="2942">
        <f>SUM('ФАКТ.СЕБЕСТ.ВОДА за 1 пол. 2023'!FP67)</f>
        <v>0.32750000000000001</v>
      </c>
      <c r="AD53" s="2943">
        <f>SUM('ФАКТ.СЕБЕСТ.ВОДА за 1 пол. 2023'!FZ67)</f>
        <v>12322.473010105346</v>
      </c>
      <c r="AE53" s="2943">
        <f>SUM('ФАКТ.СЕБЕСТ.ВОДА за 1 пол. 2023'!GA67)</f>
        <v>12321.163010105349</v>
      </c>
      <c r="AF53" s="2944">
        <f>SUM('ФАКТ.СЕБЕСТ.ВОДА за 1 пол. 2023'!GB67)</f>
        <v>1.31</v>
      </c>
    </row>
    <row r="54" spans="1:32" ht="18.75" x14ac:dyDescent="0.3">
      <c r="A54" s="2949" t="s">
        <v>3708</v>
      </c>
      <c r="B54" s="2948"/>
      <c r="C54" s="2948"/>
      <c r="D54" s="2948"/>
      <c r="E54" s="2948"/>
      <c r="F54" s="2948"/>
      <c r="G54" s="2948"/>
      <c r="H54" s="2948"/>
      <c r="I54" s="2948"/>
      <c r="J54" s="2948"/>
      <c r="K54" s="2934" t="s">
        <v>899</v>
      </c>
      <c r="L54" s="2942">
        <f>SUM('ФАКТ.СЕБЕСТ.ВОДА за 1 пол. 2023'!AC68)</f>
        <v>924.18547575790126</v>
      </c>
      <c r="M54" s="2942">
        <f>SUM('ФАКТ.СЕБЕСТ.ВОДА за 1 пол. 2023'!AD68)</f>
        <v>924.08722575790125</v>
      </c>
      <c r="N54" s="2942">
        <f>SUM('ФАКТ.СЕБЕСТ.ВОДА за 1 пол. 2023'!AE68)</f>
        <v>9.8250000000000004E-2</v>
      </c>
      <c r="O54" s="2942">
        <f>SUM('ФАКТ.СЕБЕСТ.ВОДА за 1 пол. 2023'!BP68)</f>
        <v>924.18547575790126</v>
      </c>
      <c r="P54" s="2942">
        <f>SUM('ФАКТ.СЕБЕСТ.ВОДА за 1 пол. 2023'!BQ68)</f>
        <v>924.08722575790125</v>
      </c>
      <c r="Q54" s="2942">
        <f>SUM('ФАКТ.СЕБЕСТ.ВОДА за 1 пол. 2023'!BR68)</f>
        <v>9.8250000000000004E-2</v>
      </c>
      <c r="R54" s="2942">
        <f>SUM('ФАКТ.СЕБЕСТ.ВОДА за 1 пол. 2023'!CB68)</f>
        <v>1848.3709515158025</v>
      </c>
      <c r="S54" s="2942">
        <f>SUM('ФАКТ.СЕБЕСТ.ВОДА за 1 пол. 2023'!CC68)</f>
        <v>1848.1744515158025</v>
      </c>
      <c r="T54" s="2942">
        <f>SUM('ФАКТ.СЕБЕСТ.ВОДА за 1 пол. 2023'!CD68)</f>
        <v>0.19650000000000001</v>
      </c>
      <c r="U54" s="2942">
        <f>SUM('ФАКТ.СЕБЕСТ.ВОДА за 1 пол. 2023'!DO68)</f>
        <v>924.18547575790126</v>
      </c>
      <c r="V54" s="2942">
        <f>SUM('ФАКТ.СЕБЕСТ.ВОДА за 1 пол. 2023'!DP68)</f>
        <v>924.08722575790125</v>
      </c>
      <c r="W54" s="2942">
        <f>SUM('ФАКТ.СЕБЕСТ.ВОДА за 1 пол. 2023'!DQ68)</f>
        <v>9.8250000000000004E-2</v>
      </c>
      <c r="X54" s="2942">
        <f>SUM('ФАКТ.СЕБЕСТ.ВОДА за 1 пол. 2023'!EA68)</f>
        <v>2772.5564272737038</v>
      </c>
      <c r="Y54" s="2942">
        <f>SUM('ФАКТ.СЕБЕСТ.ВОДА за 1 пол. 2023'!EB68)</f>
        <v>2772.2616772737038</v>
      </c>
      <c r="Z54" s="2942">
        <f>SUM('ФАКТ.СЕБЕСТ.ВОДА за 1 пол. 2023'!EC68)</f>
        <v>0.29475000000000001</v>
      </c>
      <c r="AA54" s="2942">
        <f>SUM('ФАКТ.СЕБЕСТ.ВОДА за 1 пол. 2023'!FN68)</f>
        <v>924.18547575790126</v>
      </c>
      <c r="AB54" s="2942">
        <f>SUM('ФАКТ.СЕБЕСТ.ВОДА за 1 пол. 2023'!FO68)</f>
        <v>924.08722575790125</v>
      </c>
      <c r="AC54" s="2942">
        <f>SUM('ФАКТ.СЕБЕСТ.ВОДА за 1 пол. 2023'!FP68)</f>
        <v>9.8250000000000004E-2</v>
      </c>
      <c r="AD54" s="2943">
        <f>SUM('ФАКТ.СЕБЕСТ.ВОДА за 1 пол. 2023'!FZ68)</f>
        <v>3696.741903031605</v>
      </c>
      <c r="AE54" s="2943">
        <f>SUM('ФАКТ.СЕБЕСТ.ВОДА за 1 пол. 2023'!GA68)</f>
        <v>3696.348903031605</v>
      </c>
      <c r="AF54" s="2944">
        <f>SUM('ФАКТ.СЕБЕСТ.ВОДА за 1 пол. 2023'!GB68)</f>
        <v>0.39300000000000002</v>
      </c>
    </row>
    <row r="55" spans="1:32" ht="18.75" x14ac:dyDescent="0.3">
      <c r="A55" s="2949" t="s">
        <v>272</v>
      </c>
      <c r="B55" s="2948"/>
      <c r="C55" s="2948"/>
      <c r="D55" s="2948"/>
      <c r="E55" s="2948"/>
      <c r="F55" s="2948"/>
      <c r="G55" s="2948"/>
      <c r="H55" s="2948"/>
      <c r="I55" s="2948"/>
      <c r="J55" s="2948"/>
      <c r="K55" s="2934" t="s">
        <v>899</v>
      </c>
      <c r="L55" s="2942">
        <f>SUM('ФАКТ.СЕБЕСТ.ВОДА за 1 пол. 2023'!AC69)</f>
        <v>4.9820933109303871</v>
      </c>
      <c r="M55" s="2942">
        <f>SUM('ФАКТ.СЕБЕСТ.ВОДА за 1 пол. 2023'!AD69)</f>
        <v>4.9778433109303872</v>
      </c>
      <c r="N55" s="2942">
        <f>SUM('ФАКТ.СЕБЕСТ.ВОДА за 1 пол. 2023'!AE69)</f>
        <v>4.2500000000000003E-3</v>
      </c>
      <c r="O55" s="2942">
        <f>SUM('ФАКТ.СЕБЕСТ.ВОДА за 1 пол. 2023'!BP69)</f>
        <v>4.9820933109303871</v>
      </c>
      <c r="P55" s="2942">
        <f>SUM('ФАКТ.СЕБЕСТ.ВОДА за 1 пол. 2023'!BQ69)</f>
        <v>4.9778433109303872</v>
      </c>
      <c r="Q55" s="2942">
        <f>SUM('ФАКТ.СЕБЕСТ.ВОДА за 1 пол. 2023'!BR69)</f>
        <v>4.2500000000000003E-3</v>
      </c>
      <c r="R55" s="2942">
        <f>SUM('ФАКТ.СЕБЕСТ.ВОДА за 1 пол. 2023'!CB69)</f>
        <v>9.9641866218607742</v>
      </c>
      <c r="S55" s="2942">
        <f>SUM('ФАКТ.СЕБЕСТ.ВОДА за 1 пол. 2023'!CC69)</f>
        <v>9.9556866218607745</v>
      </c>
      <c r="T55" s="2942">
        <f>SUM('ФАКТ.СЕБЕСТ.ВОДА за 1 пол. 2023'!CD69)</f>
        <v>8.5000000000000006E-3</v>
      </c>
      <c r="U55" s="2942">
        <f>SUM('ФАКТ.СЕБЕСТ.ВОДА за 1 пол. 2023'!DO69)</f>
        <v>4.9820933109303871</v>
      </c>
      <c r="V55" s="2942">
        <f>SUM('ФАКТ.СЕБЕСТ.ВОДА за 1 пол. 2023'!DP69)</f>
        <v>4.9778433109303872</v>
      </c>
      <c r="W55" s="2942">
        <f>SUM('ФАКТ.СЕБЕСТ.ВОДА за 1 пол. 2023'!DQ69)</f>
        <v>4.2500000000000003E-3</v>
      </c>
      <c r="X55" s="2942">
        <f>SUM('ФАКТ.СЕБЕСТ.ВОДА за 1 пол. 2023'!EA69)</f>
        <v>14.94627993279116</v>
      </c>
      <c r="Y55" s="2942">
        <f>SUM('ФАКТ.СЕБЕСТ.ВОДА за 1 пол. 2023'!EB69)</f>
        <v>14.933529932791162</v>
      </c>
      <c r="Z55" s="2942">
        <f>SUM('ФАКТ.СЕБЕСТ.ВОДА за 1 пол. 2023'!EC69)</f>
        <v>1.2750000000000001E-2</v>
      </c>
      <c r="AA55" s="2942">
        <f>SUM('ФАКТ.СЕБЕСТ.ВОДА за 1 пол. 2023'!FN69)</f>
        <v>4.9820933109303871</v>
      </c>
      <c r="AB55" s="2942">
        <f>SUM('ФАКТ.СЕБЕСТ.ВОДА за 1 пол. 2023'!FO69)</f>
        <v>4.9778433109303872</v>
      </c>
      <c r="AC55" s="2942">
        <f>SUM('ФАКТ.СЕБЕСТ.ВОДА за 1 пол. 2023'!FP69)</f>
        <v>4.2500000000000003E-3</v>
      </c>
      <c r="AD55" s="2943">
        <f>SUM('ФАКТ.СЕБЕСТ.ВОДА за 1 пол. 2023'!FZ69)</f>
        <v>19.928373243721548</v>
      </c>
      <c r="AE55" s="2943">
        <f>SUM('ФАКТ.СЕБЕСТ.ВОДА за 1 пол. 2023'!GA69)</f>
        <v>19.911373243721549</v>
      </c>
      <c r="AF55" s="2944">
        <f>SUM('ФАКТ.СЕБЕСТ.ВОДА за 1 пол. 2023'!GB69)</f>
        <v>1.7000000000000001E-2</v>
      </c>
    </row>
    <row r="56" spans="1:32" ht="18.75" x14ac:dyDescent="0.3">
      <c r="A56" s="2949" t="s">
        <v>1543</v>
      </c>
      <c r="B56" s="2948"/>
      <c r="C56" s="2948"/>
      <c r="D56" s="2948"/>
      <c r="E56" s="2948"/>
      <c r="F56" s="2948"/>
      <c r="G56" s="2948"/>
      <c r="H56" s="2948"/>
      <c r="I56" s="2948"/>
      <c r="J56" s="2948"/>
      <c r="K56" s="2934" t="s">
        <v>899</v>
      </c>
      <c r="L56" s="2942">
        <f>SUM('ФАКТ.СЕБЕСТ.ВОДА за 1 пол. 2023'!AC70)</f>
        <v>3.0000000000000001E-3</v>
      </c>
      <c r="M56" s="2942">
        <f>SUM('ФАКТ.СЕБЕСТ.ВОДА за 1 пол. 2023'!AD70)</f>
        <v>0</v>
      </c>
      <c r="N56" s="2942">
        <f>SUM('ФАКТ.СЕБЕСТ.ВОДА за 1 пол. 2023'!AE70)</f>
        <v>3.0000000000000001E-3</v>
      </c>
      <c r="O56" s="2942">
        <f>SUM('ФАКТ.СЕБЕСТ.ВОДА за 1 пол. 2023'!BP70)</f>
        <v>3.0000000000000001E-3</v>
      </c>
      <c r="P56" s="2942">
        <f>SUM('ФАКТ.СЕБЕСТ.ВОДА за 1 пол. 2023'!BQ70)</f>
        <v>0</v>
      </c>
      <c r="Q56" s="2942">
        <f>SUM('ФАКТ.СЕБЕСТ.ВОДА за 1 пол. 2023'!BR70)</f>
        <v>3.0000000000000001E-3</v>
      </c>
      <c r="R56" s="2942">
        <f>SUM('ФАКТ.СЕБЕСТ.ВОДА за 1 пол. 2023'!CB70)</f>
        <v>6.0000000000000001E-3</v>
      </c>
      <c r="S56" s="2942">
        <f>SUM('ФАКТ.СЕБЕСТ.ВОДА за 1 пол. 2023'!CC70)</f>
        <v>0</v>
      </c>
      <c r="T56" s="2942">
        <f>SUM('ФАКТ.СЕБЕСТ.ВОДА за 1 пол. 2023'!CD70)</f>
        <v>6.0000000000000001E-3</v>
      </c>
      <c r="U56" s="2942">
        <f>SUM('ФАКТ.СЕБЕСТ.ВОДА за 1 пол. 2023'!DO70)</f>
        <v>3.0000000000000001E-3</v>
      </c>
      <c r="V56" s="2942">
        <f>SUM('ФАКТ.СЕБЕСТ.ВОДА за 1 пол. 2023'!DP70)</f>
        <v>0</v>
      </c>
      <c r="W56" s="2942">
        <f>SUM('ФАКТ.СЕБЕСТ.ВОДА за 1 пол. 2023'!DQ70)</f>
        <v>3.0000000000000001E-3</v>
      </c>
      <c r="X56" s="2942">
        <f>SUM('ФАКТ.СЕБЕСТ.ВОДА за 1 пол. 2023'!EA70)</f>
        <v>9.0000000000000011E-3</v>
      </c>
      <c r="Y56" s="2942">
        <f>SUM('ФАКТ.СЕБЕСТ.ВОДА за 1 пол. 2023'!EB70)</f>
        <v>0</v>
      </c>
      <c r="Z56" s="2942">
        <f>SUM('ФАКТ.СЕБЕСТ.ВОДА за 1 пол. 2023'!EC70)</f>
        <v>9.0000000000000011E-3</v>
      </c>
      <c r="AA56" s="2942">
        <f>SUM('ФАКТ.СЕБЕСТ.ВОДА за 1 пол. 2023'!FN70)</f>
        <v>3.0000000000000001E-3</v>
      </c>
      <c r="AB56" s="2942">
        <f>SUM('ФАКТ.СЕБЕСТ.ВОДА за 1 пол. 2023'!FO70)</f>
        <v>0</v>
      </c>
      <c r="AC56" s="2942">
        <f>SUM('ФАКТ.СЕБЕСТ.ВОДА за 1 пол. 2023'!FP70)</f>
        <v>3.0000000000000001E-3</v>
      </c>
      <c r="AD56" s="2943">
        <f>SUM('ФАКТ.СЕБЕСТ.ВОДА за 1 пол. 2023'!FZ70)</f>
        <v>1.2E-2</v>
      </c>
      <c r="AE56" s="2943">
        <f>SUM('ФАКТ.СЕБЕСТ.ВОДА за 1 пол. 2023'!GA70)</f>
        <v>0</v>
      </c>
      <c r="AF56" s="2944">
        <f>SUM('ФАКТ.СЕБЕСТ.ВОДА за 1 пол. 2023'!GB70)</f>
        <v>1.2E-2</v>
      </c>
    </row>
    <row r="57" spans="1:32" ht="18.75" x14ac:dyDescent="0.3">
      <c r="A57" s="2949" t="s">
        <v>273</v>
      </c>
      <c r="B57" s="2948"/>
      <c r="C57" s="2948"/>
      <c r="D57" s="2948"/>
      <c r="E57" s="2948"/>
      <c r="F57" s="2948"/>
      <c r="G57" s="2948"/>
      <c r="H57" s="2948"/>
      <c r="I57" s="2948"/>
      <c r="J57" s="2948"/>
      <c r="K57" s="2934" t="s">
        <v>899</v>
      </c>
      <c r="L57" s="2942">
        <f>SUM('ФАКТ.СЕБЕСТ.ВОДА за 1 пол. 2023'!AC71)</f>
        <v>21.161999999999999</v>
      </c>
      <c r="M57" s="2942">
        <f>SUM('ФАКТ.СЕБЕСТ.ВОДА за 1 пол. 2023'!AD71)</f>
        <v>21.161999999999999</v>
      </c>
      <c r="N57" s="2942">
        <f>SUM('ФАКТ.СЕБЕСТ.ВОДА за 1 пол. 2023'!AE71)</f>
        <v>0</v>
      </c>
      <c r="O57" s="2942">
        <f>SUM('ФАКТ.СЕБЕСТ.ВОДА за 1 пол. 2023'!BP71)</f>
        <v>21.161999999999999</v>
      </c>
      <c r="P57" s="2942">
        <f>SUM('ФАКТ.СЕБЕСТ.ВОДА за 1 пол. 2023'!BQ71)</f>
        <v>21.161999999999999</v>
      </c>
      <c r="Q57" s="2942">
        <f>SUM('ФАКТ.СЕБЕСТ.ВОДА за 1 пол. 2023'!BR71)</f>
        <v>0</v>
      </c>
      <c r="R57" s="2942">
        <f>SUM('ФАКТ.СЕБЕСТ.ВОДА за 1 пол. 2023'!CB71)</f>
        <v>42.323999999999998</v>
      </c>
      <c r="S57" s="2942">
        <f>SUM('ФАКТ.СЕБЕСТ.ВОДА за 1 пол. 2023'!CC71)</f>
        <v>42.323999999999998</v>
      </c>
      <c r="T57" s="2942">
        <f>SUM('ФАКТ.СЕБЕСТ.ВОДА за 1 пол. 2023'!CD71)</f>
        <v>0</v>
      </c>
      <c r="U57" s="2942">
        <f>SUM('ФАКТ.СЕБЕСТ.ВОДА за 1 пол. 2023'!DO71)</f>
        <v>21.161999999999999</v>
      </c>
      <c r="V57" s="2942">
        <f>SUM('ФАКТ.СЕБЕСТ.ВОДА за 1 пол. 2023'!DP71)</f>
        <v>21.161999999999999</v>
      </c>
      <c r="W57" s="2942">
        <f>SUM('ФАКТ.СЕБЕСТ.ВОДА за 1 пол. 2023'!DQ71)</f>
        <v>0</v>
      </c>
      <c r="X57" s="2942">
        <f>SUM('ФАКТ.СЕБЕСТ.ВОДА за 1 пол. 2023'!EA71)</f>
        <v>63.485999999999997</v>
      </c>
      <c r="Y57" s="2942">
        <f>SUM('ФАКТ.СЕБЕСТ.ВОДА за 1 пол. 2023'!EB71)</f>
        <v>63.485999999999997</v>
      </c>
      <c r="Z57" s="2942">
        <f>SUM('ФАКТ.СЕБЕСТ.ВОДА за 1 пол. 2023'!EC71)</f>
        <v>0</v>
      </c>
      <c r="AA57" s="2942">
        <f>SUM('ФАКТ.СЕБЕСТ.ВОДА за 1 пол. 2023'!FN71)</f>
        <v>21.161999999999999</v>
      </c>
      <c r="AB57" s="2942">
        <f>SUM('ФАКТ.СЕБЕСТ.ВОДА за 1 пол. 2023'!FO71)</f>
        <v>21.161999999999999</v>
      </c>
      <c r="AC57" s="2942">
        <f>SUM('ФАКТ.СЕБЕСТ.ВОДА за 1 пол. 2023'!FP71)</f>
        <v>0</v>
      </c>
      <c r="AD57" s="2943">
        <f>SUM('ФАКТ.СЕБЕСТ.ВОДА за 1 пол. 2023'!FZ71)</f>
        <v>84.647999999999996</v>
      </c>
      <c r="AE57" s="2943">
        <f>SUM('ФАКТ.СЕБЕСТ.ВОДА за 1 пол. 2023'!GA71)</f>
        <v>84.647999999999996</v>
      </c>
      <c r="AF57" s="2944">
        <f>SUM('ФАКТ.СЕБЕСТ.ВОДА за 1 пол. 2023'!GB71)</f>
        <v>0</v>
      </c>
    </row>
    <row r="58" spans="1:32" ht="18.75" x14ac:dyDescent="0.3">
      <c r="A58" s="2946" t="s">
        <v>3709</v>
      </c>
      <c r="B58" s="2948"/>
      <c r="C58" s="2948"/>
      <c r="D58" s="2948"/>
      <c r="E58" s="2948"/>
      <c r="F58" s="2948"/>
      <c r="G58" s="2948"/>
      <c r="H58" s="2948"/>
      <c r="I58" s="2948"/>
      <c r="J58" s="2948"/>
      <c r="K58" s="2934" t="s">
        <v>899</v>
      </c>
      <c r="L58" s="2942">
        <f>SUM('ФАКТ.СЕБЕСТ.ВОДА за 1 пол. 2023'!AC72)</f>
        <v>545.95306795819567</v>
      </c>
      <c r="M58" s="2942">
        <f>SUM('ФАКТ.СЕБЕСТ.ВОДА за 1 пол. 2023'!AD72)</f>
        <v>545.92781795819565</v>
      </c>
      <c r="N58" s="2942">
        <f>SUM('ФАКТ.СЕБЕСТ.ВОДА за 1 пол. 2023'!AE72)</f>
        <v>2.5249999999999995E-2</v>
      </c>
      <c r="O58" s="2942">
        <f>SUM('ФАКТ.СЕБЕСТ.ВОДА за 1 пол. 2023'!BP72)</f>
        <v>545.95306795819567</v>
      </c>
      <c r="P58" s="2942">
        <f>SUM('ФАКТ.СЕБЕСТ.ВОДА за 1 пол. 2023'!BQ72)</f>
        <v>545.92781795819565</v>
      </c>
      <c r="Q58" s="2942">
        <f>SUM('ФАКТ.СЕБЕСТ.ВОДА за 1 пол. 2023'!BR72)</f>
        <v>2.5249999999999995E-2</v>
      </c>
      <c r="R58" s="2942">
        <f>SUM('ФАКТ.СЕБЕСТ.ВОДА за 1 пол. 2023'!CB72)</f>
        <v>1091.9061359163913</v>
      </c>
      <c r="S58" s="2942">
        <f>SUM('ФАКТ.СЕБЕСТ.ВОДА за 1 пол. 2023'!CC72)</f>
        <v>1091.8556359163913</v>
      </c>
      <c r="T58" s="2942">
        <f>SUM('ФАКТ.СЕБЕСТ.ВОДА за 1 пол. 2023'!CD72)</f>
        <v>5.0499999999999989E-2</v>
      </c>
      <c r="U58" s="2942">
        <f>SUM('ФАКТ.СЕБЕСТ.ВОДА за 1 пол. 2023'!DO72)</f>
        <v>545.95306795819567</v>
      </c>
      <c r="V58" s="2942">
        <f>SUM('ФАКТ.СЕБЕСТ.ВОДА за 1 пол. 2023'!DP72)</f>
        <v>545.92781795819565</v>
      </c>
      <c r="W58" s="2942">
        <f>SUM('ФАКТ.СЕБЕСТ.ВОДА за 1 пол. 2023'!DQ72)</f>
        <v>2.5249999999999995E-2</v>
      </c>
      <c r="X58" s="2942">
        <f>SUM('ФАКТ.СЕБЕСТ.ВОДА за 1 пол. 2023'!EA72)</f>
        <v>1637.8592038745869</v>
      </c>
      <c r="Y58" s="2942">
        <f>SUM('ФАКТ.СЕБЕСТ.ВОДА за 1 пол. 2023'!EB72)</f>
        <v>1637.7834538745869</v>
      </c>
      <c r="Z58" s="2942">
        <f>SUM('ФАКТ.СЕБЕСТ.ВОДА за 1 пол. 2023'!EC72)</f>
        <v>7.5749999999999984E-2</v>
      </c>
      <c r="AA58" s="2942">
        <f>SUM('ФАКТ.СЕБЕСТ.ВОДА за 1 пол. 2023'!FN72)</f>
        <v>545.95306795819567</v>
      </c>
      <c r="AB58" s="2942">
        <f>SUM('ФАКТ.СЕБЕСТ.ВОДА за 1 пол. 2023'!FO72)</f>
        <v>545.92781795819565</v>
      </c>
      <c r="AC58" s="2942">
        <f>SUM('ФАКТ.СЕБЕСТ.ВОДА за 1 пол. 2023'!FP72)</f>
        <v>2.5249999999999995E-2</v>
      </c>
      <c r="AD58" s="2943">
        <f>SUM('ФАКТ.СЕБЕСТ.ВОДА за 1 пол. 2023'!FZ72)</f>
        <v>2183.8122718327827</v>
      </c>
      <c r="AE58" s="2943">
        <f>SUM('ФАКТ.СЕБЕСТ.ВОДА за 1 пол. 2023'!GA72)</f>
        <v>2183.7112718327826</v>
      </c>
      <c r="AF58" s="2944">
        <f>SUM('ФАКТ.СЕБЕСТ.ВОДА за 1 пол. 2023'!GB72)</f>
        <v>0.10099999999999998</v>
      </c>
    </row>
    <row r="59" spans="1:32" ht="18.75" x14ac:dyDescent="0.3">
      <c r="A59" s="2933" t="s">
        <v>3762</v>
      </c>
      <c r="B59" s="2948"/>
      <c r="C59" s="2948"/>
      <c r="D59" s="2948"/>
      <c r="E59" s="2948"/>
      <c r="F59" s="2948"/>
      <c r="G59" s="2948"/>
      <c r="H59" s="2948"/>
      <c r="I59" s="2948"/>
      <c r="J59" s="2948"/>
      <c r="K59" s="2934" t="s">
        <v>899</v>
      </c>
      <c r="L59" s="2935">
        <f>SUM('ФАКТ.СЕБЕСТ.ВОДА за 1 пол. 2023'!AC73)</f>
        <v>0</v>
      </c>
      <c r="M59" s="2935">
        <f>SUM('ФАКТ.СЕБЕСТ.ВОДА за 1 пол. 2023'!AD73)</f>
        <v>0</v>
      </c>
      <c r="N59" s="2935">
        <f>SUM('ФАКТ.СЕБЕСТ.ВОДА за 1 пол. 2023'!AE73)</f>
        <v>0</v>
      </c>
      <c r="O59" s="2935">
        <f>SUM('ФАКТ.СЕБЕСТ.ВОДА за 1 пол. 2023'!BP73)</f>
        <v>0</v>
      </c>
      <c r="P59" s="2935">
        <f>SUM('ФАКТ.СЕБЕСТ.ВОДА за 1 пол. 2023'!BQ73)</f>
        <v>0</v>
      </c>
      <c r="Q59" s="2935">
        <f>SUM('ФАКТ.СЕБЕСТ.ВОДА за 1 пол. 2023'!BR73)</f>
        <v>0</v>
      </c>
      <c r="R59" s="2935">
        <f>SUM('ФАКТ.СЕБЕСТ.ВОДА за 1 пол. 2023'!CB73)</f>
        <v>0</v>
      </c>
      <c r="S59" s="2935">
        <f>SUM('ФАКТ.СЕБЕСТ.ВОДА за 1 пол. 2023'!CC73)</f>
        <v>0</v>
      </c>
      <c r="T59" s="2935">
        <f>SUM('ФАКТ.СЕБЕСТ.ВОДА за 1 пол. 2023'!CD73)</f>
        <v>0</v>
      </c>
      <c r="U59" s="2935">
        <f>SUM('ФАКТ.СЕБЕСТ.ВОДА за 1 пол. 2023'!DO73)</f>
        <v>0</v>
      </c>
      <c r="V59" s="2935">
        <f>SUM('ФАКТ.СЕБЕСТ.ВОДА за 1 пол. 2023'!DP73)</f>
        <v>0</v>
      </c>
      <c r="W59" s="2935">
        <f>SUM('ФАКТ.СЕБЕСТ.ВОДА за 1 пол. 2023'!DQ73)</f>
        <v>0</v>
      </c>
      <c r="X59" s="2935">
        <f>SUM('ФАКТ.СЕБЕСТ.ВОДА за 1 пол. 2023'!EA73)</f>
        <v>0</v>
      </c>
      <c r="Y59" s="2935">
        <f>SUM('ФАКТ.СЕБЕСТ.ВОДА за 1 пол. 2023'!EB73)</f>
        <v>0</v>
      </c>
      <c r="Z59" s="2935">
        <f>SUM('ФАКТ.СЕБЕСТ.ВОДА за 1 пол. 2023'!EC73)</f>
        <v>0</v>
      </c>
      <c r="AA59" s="2935">
        <f>SUM('ФАКТ.СЕБЕСТ.ВОДА за 1 пол. 2023'!FN73)</f>
        <v>0</v>
      </c>
      <c r="AB59" s="2935">
        <f>SUM('ФАКТ.СЕБЕСТ.ВОДА за 1 пол. 2023'!FO73)</f>
        <v>0</v>
      </c>
      <c r="AC59" s="2935">
        <f>SUM('ФАКТ.СЕБЕСТ.ВОДА за 1 пол. 2023'!FP73)</f>
        <v>0</v>
      </c>
      <c r="AD59" s="2936">
        <f>SUM('ФАКТ.СЕБЕСТ.ВОДА за 1 пол. 2023'!FZ73)</f>
        <v>0</v>
      </c>
      <c r="AE59" s="2936">
        <f>SUM('ФАКТ.СЕБЕСТ.ВОДА за 1 пол. 2023'!GA73)</f>
        <v>0</v>
      </c>
      <c r="AF59" s="2937">
        <f>SUM('ФАКТ.СЕБЕСТ.ВОДА за 1 пол. 2023'!GB73)</f>
        <v>0</v>
      </c>
    </row>
    <row r="60" spans="1:32" ht="18.75" x14ac:dyDescent="0.3">
      <c r="A60" s="2933" t="s">
        <v>3711</v>
      </c>
      <c r="B60" s="2948"/>
      <c r="C60" s="2948"/>
      <c r="D60" s="2948"/>
      <c r="E60" s="2948"/>
      <c r="F60" s="2948"/>
      <c r="G60" s="2948"/>
      <c r="H60" s="2948"/>
      <c r="I60" s="2948"/>
      <c r="J60" s="2948"/>
      <c r="K60" s="2934" t="s">
        <v>899</v>
      </c>
      <c r="L60" s="2935">
        <f>SUM('ФАКТ.СЕБЕСТ.ВОДА за 1 пол. 2023'!AC74)</f>
        <v>0</v>
      </c>
      <c r="M60" s="2935">
        <f>SUM('ФАКТ.СЕБЕСТ.ВОДА за 1 пол. 2023'!AD74)</f>
        <v>0</v>
      </c>
      <c r="N60" s="2935">
        <f>SUM('ФАКТ.СЕБЕСТ.ВОДА за 1 пол. 2023'!AE74)</f>
        <v>0</v>
      </c>
      <c r="O60" s="2935">
        <f>SUM('ФАКТ.СЕБЕСТ.ВОДА за 1 пол. 2023'!BP74)</f>
        <v>0</v>
      </c>
      <c r="P60" s="2935">
        <f>SUM('ФАКТ.СЕБЕСТ.ВОДА за 1 пол. 2023'!BQ74)</f>
        <v>0</v>
      </c>
      <c r="Q60" s="2935">
        <f>SUM('ФАКТ.СЕБЕСТ.ВОДА за 1 пол. 2023'!BR74)</f>
        <v>0</v>
      </c>
      <c r="R60" s="2935">
        <f>SUM('ФАКТ.СЕБЕСТ.ВОДА за 1 пол. 2023'!CB74)</f>
        <v>0</v>
      </c>
      <c r="S60" s="2935">
        <f>SUM('ФАКТ.СЕБЕСТ.ВОДА за 1 пол. 2023'!CC74)</f>
        <v>0</v>
      </c>
      <c r="T60" s="2935">
        <f>SUM('ФАКТ.СЕБЕСТ.ВОДА за 1 пол. 2023'!CD74)</f>
        <v>0</v>
      </c>
      <c r="U60" s="2935">
        <f>SUM('ФАКТ.СЕБЕСТ.ВОДА за 1 пол. 2023'!DO74)</f>
        <v>0</v>
      </c>
      <c r="V60" s="2935">
        <f>SUM('ФАКТ.СЕБЕСТ.ВОДА за 1 пол. 2023'!DP74)</f>
        <v>0</v>
      </c>
      <c r="W60" s="2935">
        <f>SUM('ФАКТ.СЕБЕСТ.ВОДА за 1 пол. 2023'!DQ74)</f>
        <v>0</v>
      </c>
      <c r="X60" s="2935">
        <f>SUM('ФАКТ.СЕБЕСТ.ВОДА за 1 пол. 2023'!EA74)</f>
        <v>0</v>
      </c>
      <c r="Y60" s="2935">
        <f>SUM('ФАКТ.СЕБЕСТ.ВОДА за 1 пол. 2023'!EB74)</f>
        <v>0</v>
      </c>
      <c r="Z60" s="2935">
        <f>SUM('ФАКТ.СЕБЕСТ.ВОДА за 1 пол. 2023'!EC74)</f>
        <v>0</v>
      </c>
      <c r="AA60" s="2935">
        <f>SUM('ФАКТ.СЕБЕСТ.ВОДА за 1 пол. 2023'!FN74)</f>
        <v>0</v>
      </c>
      <c r="AB60" s="2935">
        <f>SUM('ФАКТ.СЕБЕСТ.ВОДА за 1 пол. 2023'!FO74)</f>
        <v>0</v>
      </c>
      <c r="AC60" s="2935">
        <f>SUM('ФАКТ.СЕБЕСТ.ВОДА за 1 пол. 2023'!FP74)</f>
        <v>0</v>
      </c>
      <c r="AD60" s="2936">
        <f>SUM('ФАКТ.СЕБЕСТ.ВОДА за 1 пол. 2023'!FZ74)</f>
        <v>0</v>
      </c>
      <c r="AE60" s="2936">
        <f>SUM('ФАКТ.СЕБЕСТ.ВОДА за 1 пол. 2023'!GA74)</f>
        <v>0</v>
      </c>
      <c r="AF60" s="2937">
        <f>SUM('ФАКТ.СЕБЕСТ.ВОДА за 1 пол. 2023'!GB74)</f>
        <v>0</v>
      </c>
    </row>
    <row r="61" spans="1:32" ht="18.75" x14ac:dyDescent="0.3">
      <c r="A61" s="3837" t="s">
        <v>3960</v>
      </c>
      <c r="B61" s="2948"/>
      <c r="C61" s="2948"/>
      <c r="D61" s="2948"/>
      <c r="E61" s="2948"/>
      <c r="F61" s="2948"/>
      <c r="G61" s="2948"/>
      <c r="H61" s="2948"/>
      <c r="I61" s="2948"/>
      <c r="J61" s="2948"/>
      <c r="K61" s="2934" t="s">
        <v>899</v>
      </c>
      <c r="L61" s="2935">
        <f>SUM('ФАКТ.СЕБЕСТ.ВОДА за 1 пол. 2023'!AC75)</f>
        <v>46.960250000000002</v>
      </c>
      <c r="M61" s="2935">
        <f>SUM('ФАКТ.СЕБЕСТ.ВОДА за 1 пол. 2023'!AD75)</f>
        <v>46.960250000000002</v>
      </c>
      <c r="N61" s="2935">
        <f>SUM('ФАКТ.СЕБЕСТ.ВОДА за 1 пол. 2023'!AE75)</f>
        <v>0</v>
      </c>
      <c r="O61" s="2935">
        <f>SUM('ФАКТ.СЕБЕСТ.ВОДА за 1 пол. 2023'!BP75)</f>
        <v>46.960250000000002</v>
      </c>
      <c r="P61" s="2935">
        <f>SUM('ФАКТ.СЕБЕСТ.ВОДА за 1 пол. 2023'!BQ75)</f>
        <v>46.960250000000002</v>
      </c>
      <c r="Q61" s="2935">
        <f>SUM('ФАКТ.СЕБЕСТ.ВОДА за 1 пол. 2023'!BR75)</f>
        <v>0</v>
      </c>
      <c r="R61" s="2935">
        <f>SUM('ФАКТ.СЕБЕСТ.ВОДА за 1 пол. 2023'!CB75)</f>
        <v>93.920500000000004</v>
      </c>
      <c r="S61" s="2935">
        <f>SUM('ФАКТ.СЕБЕСТ.ВОДА за 1 пол. 2023'!CC75)</f>
        <v>93.920500000000004</v>
      </c>
      <c r="T61" s="2935">
        <f>SUM('ФАКТ.СЕБЕСТ.ВОДА за 1 пол. 2023'!CD75)</f>
        <v>0</v>
      </c>
      <c r="U61" s="2935">
        <f>SUM('ФАКТ.СЕБЕСТ.ВОДА за 1 пол. 2023'!DO75)</f>
        <v>46.960250000000002</v>
      </c>
      <c r="V61" s="2935">
        <f>SUM('ФАКТ.СЕБЕСТ.ВОДА за 1 пол. 2023'!DP75)</f>
        <v>46.960250000000002</v>
      </c>
      <c r="W61" s="2935">
        <f>SUM('ФАКТ.СЕБЕСТ.ВОДА за 1 пол. 2023'!DQ75)</f>
        <v>0</v>
      </c>
      <c r="X61" s="2935">
        <f>SUM('ФАКТ.СЕБЕСТ.ВОДА за 1 пол. 2023'!EA75)</f>
        <v>140.88075000000001</v>
      </c>
      <c r="Y61" s="2935">
        <f>SUM('ФАКТ.СЕБЕСТ.ВОДА за 1 пол. 2023'!EB75)</f>
        <v>140.88075000000001</v>
      </c>
      <c r="Z61" s="2935">
        <f>SUM('ФАКТ.СЕБЕСТ.ВОДА за 1 пол. 2023'!EC75)</f>
        <v>0</v>
      </c>
      <c r="AA61" s="2935">
        <f>SUM('ФАКТ.СЕБЕСТ.ВОДА за 1 пол. 2023'!FN75)</f>
        <v>46.960250000000002</v>
      </c>
      <c r="AB61" s="2935">
        <f>SUM('ФАКТ.СЕБЕСТ.ВОДА за 1 пол. 2023'!FO75)</f>
        <v>46.960250000000002</v>
      </c>
      <c r="AC61" s="2935">
        <f>SUM('ФАКТ.СЕБЕСТ.ВОДА за 1 пол. 2023'!FP75)</f>
        <v>0</v>
      </c>
      <c r="AD61" s="2936">
        <f>SUM('ФАКТ.СЕБЕСТ.ВОДА за 1 пол. 2023'!FZ75)</f>
        <v>187.84100000000001</v>
      </c>
      <c r="AE61" s="2936">
        <f>SUM('ФАКТ.СЕБЕСТ.ВОДА за 1 пол. 2023'!GA75)</f>
        <v>187.84100000000001</v>
      </c>
      <c r="AF61" s="2937">
        <f>SUM('ФАКТ.СЕБЕСТ.ВОДА за 1 пол. 2023'!GB75)</f>
        <v>0</v>
      </c>
    </row>
    <row r="62" spans="1:32" ht="18.75" x14ac:dyDescent="0.3">
      <c r="A62" s="2950" t="s">
        <v>12</v>
      </c>
      <c r="B62" s="2948"/>
      <c r="C62" s="2948"/>
      <c r="D62" s="2948"/>
      <c r="E62" s="2948"/>
      <c r="F62" s="2948"/>
      <c r="G62" s="2948"/>
      <c r="H62" s="2948"/>
      <c r="I62" s="2948"/>
      <c r="J62" s="2948"/>
      <c r="K62" s="2929" t="s">
        <v>899</v>
      </c>
      <c r="L62" s="2930">
        <f>SUM('ФАКТ.СЕБЕСТ.ВОДА за 1 пол. 2023'!AC76)</f>
        <v>45186.827321488636</v>
      </c>
      <c r="M62" s="2930">
        <f>SUM('ФАКТ.СЕБЕСТ.ВОДА за 1 пол. 2023'!AD76)</f>
        <v>45178.047557845697</v>
      </c>
      <c r="N62" s="2930">
        <f>SUM('ФАКТ.СЕБЕСТ.ВОДА за 1 пол. 2023'!AE76)</f>
        <v>8.7797636429369224</v>
      </c>
      <c r="O62" s="2930">
        <f>SUM('ФАКТ.СЕБЕСТ.ВОДА за 1 пол. 2023'!BP76)</f>
        <v>45186.827321488636</v>
      </c>
      <c r="P62" s="2930">
        <f>SUM('ФАКТ.СЕБЕСТ.ВОДА за 1 пол. 2023'!BQ76)</f>
        <v>45178.047557845697</v>
      </c>
      <c r="Q62" s="2930">
        <f>SUM('ФАКТ.СЕБЕСТ.ВОДА за 1 пол. 2023'!BR76)</f>
        <v>8.7797636429369224</v>
      </c>
      <c r="R62" s="2930">
        <f>SUM('ФАКТ.СЕБЕСТ.ВОДА за 1 пол. 2023'!CB76)</f>
        <v>90373.654642977272</v>
      </c>
      <c r="S62" s="2930">
        <f>SUM('ФАКТ.СЕБЕСТ.ВОДА за 1 пол. 2023'!CC76)</f>
        <v>90356.095115691394</v>
      </c>
      <c r="T62" s="2930">
        <f>SUM('ФАКТ.СЕБЕСТ.ВОДА за 1 пол. 2023'!CD76)</f>
        <v>17.559527285873845</v>
      </c>
      <c r="U62" s="2930">
        <f>SUM('ФАКТ.СЕБЕСТ.ВОДА за 1 пол. 2023'!DO76)</f>
        <v>45186.827321488636</v>
      </c>
      <c r="V62" s="2930">
        <f>SUM('ФАКТ.СЕБЕСТ.ВОДА за 1 пол. 2023'!DP76)</f>
        <v>45178.047557845697</v>
      </c>
      <c r="W62" s="2930">
        <f>SUM('ФАКТ.СЕБЕСТ.ВОДА за 1 пол. 2023'!DQ76)</f>
        <v>8.7797636429369224</v>
      </c>
      <c r="X62" s="2930">
        <f>SUM('ФАКТ.СЕБЕСТ.ВОДА за 1 пол. 2023'!EA76)</f>
        <v>135560.48196446593</v>
      </c>
      <c r="Y62" s="2930">
        <f>SUM('ФАКТ.СЕБЕСТ.ВОДА за 1 пол. 2023'!EB76)</f>
        <v>135534.14267353711</v>
      </c>
      <c r="Z62" s="2930">
        <f>SUM('ФАКТ.СЕБЕСТ.ВОДА за 1 пол. 2023'!EC76)</f>
        <v>26.339290928810769</v>
      </c>
      <c r="AA62" s="2930">
        <f>SUM('ФАКТ.СЕБЕСТ.ВОДА за 1 пол. 2023'!FN76)</f>
        <v>45186.827321488636</v>
      </c>
      <c r="AB62" s="2930">
        <f>SUM('ФАКТ.СЕБЕСТ.ВОДА за 1 пол. 2023'!FO76)</f>
        <v>45178.047557845697</v>
      </c>
      <c r="AC62" s="2930">
        <f>SUM('ФАКТ.СЕБЕСТ.ВОДА за 1 пол. 2023'!FP76)</f>
        <v>8.7797636429369224</v>
      </c>
      <c r="AD62" s="2931">
        <f>SUM('ФАКТ.СЕБЕСТ.ВОДА за 1 пол. 2023'!FZ76)</f>
        <v>180747.30928595454</v>
      </c>
      <c r="AE62" s="2931">
        <f>SUM('ФАКТ.СЕБЕСТ.ВОДА за 1 пол. 2023'!GA76)</f>
        <v>180712.19023138279</v>
      </c>
      <c r="AF62" s="2932">
        <f>SUM('ФАКТ.СЕБЕСТ.ВОДА за 1 пол. 2023'!GB76)</f>
        <v>35.119054571747689</v>
      </c>
    </row>
    <row r="63" spans="1:32" ht="18.75" x14ac:dyDescent="0.3">
      <c r="A63" s="2950" t="s">
        <v>13</v>
      </c>
      <c r="B63" s="2948"/>
      <c r="C63" s="2948"/>
      <c r="D63" s="2948"/>
      <c r="E63" s="2948"/>
      <c r="F63" s="2948"/>
      <c r="G63" s="2948"/>
      <c r="H63" s="2948"/>
      <c r="I63" s="2948"/>
      <c r="J63" s="2948"/>
      <c r="K63" s="2929" t="s">
        <v>3780</v>
      </c>
      <c r="L63" s="2930">
        <f>SUM('ФАКТ.СЕБЕСТ.ВОДА за 1 пол. 2023'!AC77)</f>
        <v>888.86101814628717</v>
      </c>
      <c r="M63" s="2930">
        <f>SUM('ФАКТ.СЕБЕСТ.ВОДА за 1 пол. 2023'!AD77)</f>
        <v>888.52326814628714</v>
      </c>
      <c r="N63" s="2930">
        <f>SUM('ФАКТ.СЕБЕСТ.ВОДА за 1 пол. 2023'!AE77)</f>
        <v>0.33774999999999999</v>
      </c>
      <c r="O63" s="2930">
        <f>SUM('ФАКТ.СЕБЕСТ.ВОДА за 1 пол. 2023'!BP77)</f>
        <v>888.86101814628717</v>
      </c>
      <c r="P63" s="2930">
        <f>SUM('ФАКТ.СЕБЕСТ.ВОДА за 1 пол. 2023'!BQ77)</f>
        <v>888.52326814628714</v>
      </c>
      <c r="Q63" s="2930">
        <f>SUM('ФАКТ.СЕБЕСТ.ВОДА за 1 пол. 2023'!BR77)</f>
        <v>0.33774999999999999</v>
      </c>
      <c r="R63" s="2930">
        <f>SUM('ФАКТ.СЕБЕСТ.ВОДА за 1 пол. 2023'!CB77)</f>
        <v>1777.7220362925743</v>
      </c>
      <c r="S63" s="2930">
        <f>SUM('ФАКТ.СЕБЕСТ.ВОДА за 1 пол. 2023'!CC77)</f>
        <v>1777.0465362925743</v>
      </c>
      <c r="T63" s="2930">
        <f>SUM('ФАКТ.СЕБЕСТ.ВОДА за 1 пол. 2023'!CD77)</f>
        <v>0.67549999999999999</v>
      </c>
      <c r="U63" s="2930">
        <f>SUM('ФАКТ.СЕБЕСТ.ВОДА за 1 пол. 2023'!DO77)</f>
        <v>888.86101814628717</v>
      </c>
      <c r="V63" s="2930">
        <f>SUM('ФАКТ.СЕБЕСТ.ВОДА за 1 пол. 2023'!DP77)</f>
        <v>888.52326814628714</v>
      </c>
      <c r="W63" s="2930">
        <f>SUM('ФАКТ.СЕБЕСТ.ВОДА за 1 пол. 2023'!DQ77)</f>
        <v>0.33774999999999999</v>
      </c>
      <c r="X63" s="2930">
        <f>SUM('ФАКТ.СЕБЕСТ.ВОДА за 1 пол. 2023'!EA77)</f>
        <v>2666.5830544388609</v>
      </c>
      <c r="Y63" s="2930">
        <f>SUM('ФАКТ.СЕБЕСТ.ВОДА за 1 пол. 2023'!EB77)</f>
        <v>2665.569804438861</v>
      </c>
      <c r="Z63" s="2930">
        <f>SUM('ФАКТ.СЕБЕСТ.ВОДА за 1 пол. 2023'!EC77)</f>
        <v>1.01325</v>
      </c>
      <c r="AA63" s="2930">
        <f>SUM('ФАКТ.СЕБЕСТ.ВОДА за 1 пол. 2023'!FN77)</f>
        <v>888.86101814628717</v>
      </c>
      <c r="AB63" s="2930">
        <f>SUM('ФАКТ.СЕБЕСТ.ВОДА за 1 пол. 2023'!FO77)</f>
        <v>888.52326814628714</v>
      </c>
      <c r="AC63" s="2930">
        <f>SUM('ФАКТ.СЕБЕСТ.ВОДА за 1 пол. 2023'!FP77)</f>
        <v>0.33774999999999999</v>
      </c>
      <c r="AD63" s="2931">
        <f>SUM('ФАКТ.СЕБЕСТ.ВОДА за 1 пол. 2023'!FZ77)</f>
        <v>3555.4440725851482</v>
      </c>
      <c r="AE63" s="2931">
        <f>SUM('ФАКТ.СЕБЕСТ.ВОДА за 1 пол. 2023'!GA77)</f>
        <v>3554.0930725851481</v>
      </c>
      <c r="AF63" s="2932">
        <f>SUM('ФАКТ.СЕБЕСТ.ВОДА за 1 пол. 2023'!GB77)</f>
        <v>1.351</v>
      </c>
    </row>
    <row r="64" spans="1:32" ht="18.75" x14ac:dyDescent="0.3">
      <c r="A64" s="2950" t="s">
        <v>14</v>
      </c>
      <c r="B64" s="2948"/>
      <c r="C64" s="2948"/>
      <c r="D64" s="2948"/>
      <c r="E64" s="2948"/>
      <c r="F64" s="2948"/>
      <c r="G64" s="2948"/>
      <c r="H64" s="2948"/>
      <c r="I64" s="2948"/>
      <c r="J64" s="2948"/>
      <c r="K64" s="2929" t="s">
        <v>2025</v>
      </c>
      <c r="L64" s="2930">
        <f>SUM('ФАКТ.СЕБЕСТ.ВОДА за 1 пол. 2023'!AC78)</f>
        <v>50.836774702669963</v>
      </c>
      <c r="M64" s="2930">
        <f>SUM('ФАКТ.СЕБЕСТ.ВОДА за 1 пол. 2023'!AD78)</f>
        <v>50.846217738450434</v>
      </c>
      <c r="N64" s="2930">
        <f>SUM('ФАКТ.СЕБЕСТ.ВОДА за 1 пол. 2023'!AE78)</f>
        <v>25.994859046445367</v>
      </c>
      <c r="O64" s="2930">
        <f>SUM('ФАКТ.СЕБЕСТ.ВОДА за 1 пол. 2023'!BP78)</f>
        <v>50.836774702669963</v>
      </c>
      <c r="P64" s="2930">
        <f>SUM('ФАКТ.СЕБЕСТ.ВОДА за 1 пол. 2023'!BQ78)</f>
        <v>50.846217738450434</v>
      </c>
      <c r="Q64" s="2930">
        <f>SUM('ФАКТ.СЕБЕСТ.ВОДА за 1 пол. 2023'!BR78)</f>
        <v>25.994859046445367</v>
      </c>
      <c r="R64" s="2930">
        <f>SUM('ФАКТ.СЕБЕСТ.ВОДА за 1 пол. 2023'!CB78)</f>
        <v>50.836774702669963</v>
      </c>
      <c r="S64" s="2930">
        <f>SUM('ФАКТ.СЕБЕСТ.ВОДА за 1 пол. 2023'!CC78)</f>
        <v>50.846217738450434</v>
      </c>
      <c r="T64" s="2930">
        <f>SUM('ФАКТ.СЕБЕСТ.ВОДА за 1 пол. 2023'!CD78)</f>
        <v>25.994859046445367</v>
      </c>
      <c r="U64" s="2930">
        <f>SUM('ФАКТ.СЕБЕСТ.ВОДА за 1 пол. 2023'!DO78)</f>
        <v>50.836774702669963</v>
      </c>
      <c r="V64" s="2930">
        <f>SUM('ФАКТ.СЕБЕСТ.ВОДА за 1 пол. 2023'!DP78)</f>
        <v>50.846217738450434</v>
      </c>
      <c r="W64" s="2930">
        <f>SUM('ФАКТ.СЕБЕСТ.ВОДА за 1 пол. 2023'!DQ78)</f>
        <v>25.994859046445367</v>
      </c>
      <c r="X64" s="2930">
        <f>SUM('ФАКТ.СЕБЕСТ.ВОДА за 1 пол. 2023'!EA78)</f>
        <v>50.836774702669977</v>
      </c>
      <c r="Y64" s="2930">
        <f>SUM('ФАКТ.СЕБЕСТ.ВОДА за 1 пол. 2023'!EB78)</f>
        <v>50.846217738450449</v>
      </c>
      <c r="Z64" s="2930">
        <f>SUM('ФАКТ.СЕБЕСТ.ВОДА за 1 пол. 2023'!EC78)</f>
        <v>25.994859046445367</v>
      </c>
      <c r="AA64" s="2930">
        <f>SUM('ФАКТ.СЕБЕСТ.ВОДА за 1 пол. 2023'!FN78)</f>
        <v>50.836774702669963</v>
      </c>
      <c r="AB64" s="2930">
        <f>SUM('ФАКТ.СЕБЕСТ.ВОДА за 1 пол. 2023'!FO78)</f>
        <v>50.846217738450434</v>
      </c>
      <c r="AC64" s="2930">
        <f>SUM('ФАКТ.СЕБЕСТ.ВОДА за 1 пол. 2023'!FP78)</f>
        <v>25.994859046445367</v>
      </c>
      <c r="AD64" s="2931">
        <f>SUM('ФАКТ.СЕБЕСТ.ВОДА за 1 пол. 2023'!FZ78)</f>
        <v>50.836774702669963</v>
      </c>
      <c r="AE64" s="2931">
        <f>SUM('ФАКТ.СЕБЕСТ.ВОДА за 1 пол. 2023'!GA78)</f>
        <v>50.846217738450441</v>
      </c>
      <c r="AF64" s="2932">
        <f>SUM('ФАКТ.СЕБЕСТ.ВОДА за 1 пол. 2023'!GB78)</f>
        <v>25.994859046445367</v>
      </c>
    </row>
    <row r="65" spans="1:32" ht="18.75" x14ac:dyDescent="0.3">
      <c r="A65" s="2950" t="s">
        <v>3781</v>
      </c>
      <c r="B65" s="2948"/>
      <c r="C65" s="2948"/>
      <c r="D65" s="2948"/>
      <c r="E65" s="2948"/>
      <c r="F65" s="2948"/>
      <c r="G65" s="2948"/>
      <c r="H65" s="2948"/>
      <c r="I65" s="2948"/>
      <c r="J65" s="2948"/>
      <c r="K65" s="2929" t="s">
        <v>899</v>
      </c>
      <c r="L65" s="2930">
        <f>SUM('ФАКТ.СЕБЕСТ.ВОДА за 1 пол. 2023'!AC79)</f>
        <v>1630.931581322589</v>
      </c>
      <c r="M65" s="2930">
        <f>SUM('ФАКТ.СЕБЕСТ.ВОДА за 1 пол. 2023'!AD79)</f>
        <v>1630.9243539530953</v>
      </c>
      <c r="N65" s="2930">
        <f>SUM('ФАКТ.СЕБЕСТ.ВОДА за 1 пол. 2023'!AE79)</f>
        <v>7.2273694939486502E-3</v>
      </c>
      <c r="O65" s="2930">
        <f>SUM('ФАКТ.СЕБЕСТ.ВОДА за 1 пол. 2023'!BP79)</f>
        <v>1630.931581322589</v>
      </c>
      <c r="P65" s="2930">
        <f>SUM('ФАКТ.СЕБЕСТ.ВОДА за 1 пол. 2023'!BQ79)</f>
        <v>1630.9243539530953</v>
      </c>
      <c r="Q65" s="2930">
        <f>SUM('ФАКТ.СЕБЕСТ.ВОДА за 1 пол. 2023'!BR79)</f>
        <v>7.2273694939486502E-3</v>
      </c>
      <c r="R65" s="2930">
        <f>SUM('ФАКТ.СЕБЕСТ.ВОДА за 1 пол. 2023'!CB79)</f>
        <v>3261.8631626451779</v>
      </c>
      <c r="S65" s="2930">
        <f>SUM('ФАКТ.СЕБЕСТ.ВОДА за 1 пол. 2023'!CC79)</f>
        <v>3261.8487079061906</v>
      </c>
      <c r="T65" s="2930">
        <f>SUM('ФАКТ.СЕБЕСТ.ВОДА за 1 пол. 2023'!CD79)</f>
        <v>1.44547389878973E-2</v>
      </c>
      <c r="U65" s="2930">
        <f>SUM('ФАКТ.СЕБЕСТ.ВОДА за 1 пол. 2023'!DO79)</f>
        <v>1630.931581322589</v>
      </c>
      <c r="V65" s="2930">
        <f>SUM('ФАКТ.СЕБЕСТ.ВОДА за 1 пол. 2023'!DP79)</f>
        <v>1630.9243539530953</v>
      </c>
      <c r="W65" s="2930">
        <f>SUM('ФАКТ.СЕБЕСТ.ВОДА за 1 пол. 2023'!DQ79)</f>
        <v>7.2273694939486502E-3</v>
      </c>
      <c r="X65" s="2930">
        <f>SUM('ФАКТ.СЕБЕСТ.ВОДА за 1 пол. 2023'!EA79)</f>
        <v>4892.7947439677664</v>
      </c>
      <c r="Y65" s="2930">
        <f>SUM('ФАКТ.СЕБЕСТ.ВОДА за 1 пол. 2023'!EB79)</f>
        <v>4892.7730618592859</v>
      </c>
      <c r="Z65" s="2930">
        <f>SUM('ФАКТ.СЕБЕСТ.ВОДА за 1 пол. 2023'!EC79)</f>
        <v>2.1682108481845951E-2</v>
      </c>
      <c r="AA65" s="2930">
        <f>SUM('ФАКТ.СЕБЕСТ.ВОДА за 1 пол. 2023'!FN79)</f>
        <v>1630.931581322589</v>
      </c>
      <c r="AB65" s="2930">
        <f>SUM('ФАКТ.СЕБЕСТ.ВОДА за 1 пол. 2023'!FO79)</f>
        <v>1630.9243539530953</v>
      </c>
      <c r="AC65" s="2930">
        <f>SUM('ФАКТ.СЕБЕСТ.ВОДА за 1 пол. 2023'!FP79)</f>
        <v>7.2273694939486502E-3</v>
      </c>
      <c r="AD65" s="2931">
        <f>SUM('ФАКТ.СЕБЕСТ.ВОДА за 1 пол. 2023'!FZ79)</f>
        <v>6523.7263252903558</v>
      </c>
      <c r="AE65" s="2931">
        <f>SUM('ФАКТ.СЕБЕСТ.ВОДА за 1 пол. 2023'!GA79)</f>
        <v>6523.6974158123812</v>
      </c>
      <c r="AF65" s="2932">
        <f>SUM('ФАКТ.СЕБЕСТ.ВОДА за 1 пол. 2023'!GB79)</f>
        <v>2.8909477975794601E-2</v>
      </c>
    </row>
    <row r="66" spans="1:32" ht="18.75" x14ac:dyDescent="0.3">
      <c r="A66" s="2946" t="s">
        <v>310</v>
      </c>
      <c r="B66" s="2948"/>
      <c r="C66" s="2948"/>
      <c r="D66" s="2948"/>
      <c r="E66" s="2948"/>
      <c r="F66" s="2948"/>
      <c r="G66" s="2948"/>
      <c r="H66" s="2948"/>
      <c r="I66" s="2948"/>
      <c r="J66" s="2948"/>
      <c r="K66" s="2934" t="s">
        <v>899</v>
      </c>
      <c r="L66" s="2942">
        <f>SUM('ФАКТ.СЕБЕСТ.ВОДА за 1 пол. 2023'!AC80)</f>
        <v>0</v>
      </c>
      <c r="M66" s="2942">
        <f>SUM('ФАКТ.СЕБЕСТ.ВОДА за 1 пол. 2023'!AD80)</f>
        <v>0</v>
      </c>
      <c r="N66" s="2942">
        <f>SUM('ФАКТ.СЕБЕСТ.ВОДА за 1 пол. 2023'!AE80)</f>
        <v>0</v>
      </c>
      <c r="O66" s="2942">
        <f>SUM('ФАКТ.СЕБЕСТ.ВОДА за 1 пол. 2023'!BP80)</f>
        <v>0</v>
      </c>
      <c r="P66" s="2942">
        <f>SUM('ФАКТ.СЕБЕСТ.ВОДА за 1 пол. 2023'!BQ80)</f>
        <v>0</v>
      </c>
      <c r="Q66" s="2942">
        <f>SUM('ФАКТ.СЕБЕСТ.ВОДА за 1 пол. 2023'!BR80)</f>
        <v>0</v>
      </c>
      <c r="R66" s="2942">
        <f>SUM('ФАКТ.СЕБЕСТ.ВОДА за 1 пол. 2023'!CB80)</f>
        <v>0</v>
      </c>
      <c r="S66" s="2942">
        <f>SUM('ФАКТ.СЕБЕСТ.ВОДА за 1 пол. 2023'!CC80)</f>
        <v>0</v>
      </c>
      <c r="T66" s="2942">
        <f>SUM('ФАКТ.СЕБЕСТ.ВОДА за 1 пол. 2023'!CD80)</f>
        <v>0</v>
      </c>
      <c r="U66" s="2942">
        <f>SUM('ФАКТ.СЕБЕСТ.ВОДА за 1 пол. 2023'!DO80)</f>
        <v>0</v>
      </c>
      <c r="V66" s="2942">
        <f>SUM('ФАКТ.СЕБЕСТ.ВОДА за 1 пол. 2023'!DP80)</f>
        <v>0</v>
      </c>
      <c r="W66" s="2942">
        <f>SUM('ФАКТ.СЕБЕСТ.ВОДА за 1 пол. 2023'!DQ80)</f>
        <v>0</v>
      </c>
      <c r="X66" s="2942">
        <f>SUM('ФАКТ.СЕБЕСТ.ВОДА за 1 пол. 2023'!EA80)</f>
        <v>0</v>
      </c>
      <c r="Y66" s="2942">
        <f>SUM('ФАКТ.СЕБЕСТ.ВОДА за 1 пол. 2023'!EB80)</f>
        <v>0</v>
      </c>
      <c r="Z66" s="2942">
        <f>SUM('ФАКТ.СЕБЕСТ.ВОДА за 1 пол. 2023'!EC80)</f>
        <v>0</v>
      </c>
      <c r="AA66" s="2942">
        <f>SUM('ФАКТ.СЕБЕСТ.ВОДА за 1 пол. 2023'!FN80)</f>
        <v>0</v>
      </c>
      <c r="AB66" s="2942">
        <f>SUM('ФАКТ.СЕБЕСТ.ВОДА за 1 пол. 2023'!FO80)</f>
        <v>0</v>
      </c>
      <c r="AC66" s="2942">
        <f>SUM('ФАКТ.СЕБЕСТ.ВОДА за 1 пол. 2023'!FP80)</f>
        <v>0</v>
      </c>
      <c r="AD66" s="2943">
        <f>SUM('ФАКТ.СЕБЕСТ.ВОДА за 1 пол. 2023'!FZ80)</f>
        <v>0</v>
      </c>
      <c r="AE66" s="2943">
        <f>SUM('ФАКТ.СЕБЕСТ.ВОДА за 1 пол. 2023'!GA80)</f>
        <v>0</v>
      </c>
      <c r="AF66" s="2944">
        <f>SUM('ФАКТ.СЕБЕСТ.ВОДА за 1 пол. 2023'!GB80)</f>
        <v>0</v>
      </c>
    </row>
    <row r="67" spans="1:32" ht="18.75" x14ac:dyDescent="0.3">
      <c r="A67" s="2950" t="s">
        <v>3675</v>
      </c>
      <c r="B67" s="2948"/>
      <c r="C67" s="2948"/>
      <c r="D67" s="2948"/>
      <c r="E67" s="2948"/>
      <c r="F67" s="2948"/>
      <c r="G67" s="2948"/>
      <c r="H67" s="2948"/>
      <c r="I67" s="2948"/>
      <c r="J67" s="2948"/>
      <c r="K67" s="2929" t="s">
        <v>899</v>
      </c>
      <c r="L67" s="2930">
        <f>SUM('ФАКТ.СЕБЕСТ.ВОДА за 1 пол. 2023'!AC81)</f>
        <v>46817.758902811212</v>
      </c>
      <c r="M67" s="2930">
        <f>SUM('ФАКТ.СЕБЕСТ.ВОДА за 1 пол. 2023'!AD81)</f>
        <v>46808.971911798784</v>
      </c>
      <c r="N67" s="2930">
        <f>SUM('ФАКТ.СЕБЕСТ.ВОДА за 1 пол. 2023'!AE81)</f>
        <v>8.786991012430871</v>
      </c>
      <c r="O67" s="2930">
        <f>SUM('ФАКТ.СЕБЕСТ.ВОДА за 1 пол. 2023'!BP81)</f>
        <v>46817.758902811212</v>
      </c>
      <c r="P67" s="2930">
        <f>SUM('ФАКТ.СЕБЕСТ.ВОДА за 1 пол. 2023'!BQ81)</f>
        <v>46808.971911798784</v>
      </c>
      <c r="Q67" s="2930">
        <f>SUM('ФАКТ.СЕБЕСТ.ВОДА за 1 пол. 2023'!BR81)</f>
        <v>8.786991012430871</v>
      </c>
      <c r="R67" s="2930">
        <f>SUM('ФАКТ.СЕБЕСТ.ВОДА за 1 пол. 2023'!CB81)</f>
        <v>93635.517805622425</v>
      </c>
      <c r="S67" s="2930">
        <f>SUM('ФАКТ.СЕБЕСТ.ВОДА за 1 пол. 2023'!CC81)</f>
        <v>93617.943823597569</v>
      </c>
      <c r="T67" s="2930">
        <f>SUM('ФАКТ.СЕБЕСТ.ВОДА за 1 пол. 2023'!CD81)</f>
        <v>17.573982024861742</v>
      </c>
      <c r="U67" s="2930">
        <f>SUM('ФАКТ.СЕБЕСТ.ВОДА за 1 пол. 2023'!DO81)</f>
        <v>46817.758902811212</v>
      </c>
      <c r="V67" s="2930">
        <f>SUM('ФАКТ.СЕБЕСТ.ВОДА за 1 пол. 2023'!DP81)</f>
        <v>46808.971911798784</v>
      </c>
      <c r="W67" s="2930">
        <f>SUM('ФАКТ.СЕБЕСТ.ВОДА за 1 пол. 2023'!DQ81)</f>
        <v>8.786991012430871</v>
      </c>
      <c r="X67" s="2930">
        <f>SUM('ФАКТ.СЕБЕСТ.ВОДА за 1 пол. 2023'!EA81)</f>
        <v>140453.27670843364</v>
      </c>
      <c r="Y67" s="2930">
        <f>SUM('ФАКТ.СЕБЕСТ.ВОДА за 1 пол. 2023'!EB81)</f>
        <v>140426.91573539635</v>
      </c>
      <c r="Z67" s="2930">
        <f>SUM('ФАКТ.СЕБЕСТ.ВОДА за 1 пол. 2023'!EC81)</f>
        <v>26.360973037292613</v>
      </c>
      <c r="AA67" s="2930">
        <f>SUM('ФАКТ.СЕБЕСТ.ВОДА за 1 пол. 2023'!FN81)</f>
        <v>46817.758902811212</v>
      </c>
      <c r="AB67" s="2930">
        <f>SUM('ФАКТ.СЕБЕСТ.ВОДА за 1 пол. 2023'!FO81)</f>
        <v>46808.971911798784</v>
      </c>
      <c r="AC67" s="2930">
        <f>SUM('ФАКТ.СЕБЕСТ.ВОДА за 1 пол. 2023'!FP81)</f>
        <v>8.786991012430871</v>
      </c>
      <c r="AD67" s="2931">
        <f>SUM('ФАКТ.СЕБЕСТ.ВОДА за 1 пол. 2023'!FZ81)</f>
        <v>187271.03561124485</v>
      </c>
      <c r="AE67" s="2931">
        <f>SUM('ФАКТ.СЕБЕСТ.ВОДА за 1 пол. 2023'!GA81)</f>
        <v>187235.88764719514</v>
      </c>
      <c r="AF67" s="2932">
        <f>SUM('ФАКТ.СЕБЕСТ.ВОДА за 1 пол. 2023'!GB81)</f>
        <v>35.147964049723484</v>
      </c>
    </row>
    <row r="68" spans="1:32" ht="18.75" x14ac:dyDescent="0.3">
      <c r="A68" s="2951" t="s">
        <v>3782</v>
      </c>
      <c r="B68" s="2948"/>
      <c r="C68" s="2948"/>
      <c r="D68" s="2948"/>
      <c r="E68" s="2948"/>
      <c r="F68" s="2948"/>
      <c r="G68" s="2948"/>
      <c r="H68" s="2948"/>
      <c r="I68" s="2948"/>
      <c r="J68" s="2948"/>
      <c r="K68" s="2929" t="s">
        <v>899</v>
      </c>
      <c r="L68" s="2930">
        <f>SUM('ФАКТ.СЕБЕСТ.ВОДА за 1 пол. 2023'!AC82)</f>
        <v>8.6917737235969739E-4</v>
      </c>
      <c r="M68" s="2930">
        <f>SUM('ФАКТ.СЕБЕСТ.ВОДА за 1 пол. 2023'!AD82)</f>
        <v>-1.3287555520946626E-4</v>
      </c>
      <c r="N68" s="2930">
        <f>SUM('ФАКТ.СЕБЕСТ.ВОДА за 1 пол. 2023'!AE82)</f>
        <v>1.0020529275691636E-3</v>
      </c>
      <c r="O68" s="2930">
        <f>SUM('ФАКТ.СЕБЕСТ.ВОДА за 1 пол. 2023'!BP82)</f>
        <v>8.6917737235969739E-4</v>
      </c>
      <c r="P68" s="2930">
        <f>SUM('ФАКТ.СЕБЕСТ.ВОДА за 1 пол. 2023'!BQ82)</f>
        <v>-1.3287555520946626E-4</v>
      </c>
      <c r="Q68" s="2930">
        <f>SUM('ФАКТ.СЕБЕСТ.ВОДА за 1 пол. 2023'!BR82)</f>
        <v>1.0020529275691636E-3</v>
      </c>
      <c r="R68" s="2930">
        <f>SUM('ФАКТ.СЕБЕСТ.ВОДА за 1 пол. 2023'!CB82)</f>
        <v>1.7383547447193948E-3</v>
      </c>
      <c r="S68" s="2930">
        <f>SUM('ФАКТ.СЕБЕСТ.ВОДА за 1 пол. 2023'!CC82)</f>
        <v>-2.6575111041893251E-4</v>
      </c>
      <c r="T68" s="2930">
        <f>SUM('ФАКТ.СЕБЕСТ.ВОДА за 1 пол. 2023'!CD82)</f>
        <v>2.0041058551383273E-3</v>
      </c>
      <c r="U68" s="2930">
        <f>SUM('ФАКТ.СЕБЕСТ.ВОДА за 1 пол. 2023'!DO82)</f>
        <v>8.6917737235969739E-4</v>
      </c>
      <c r="V68" s="2930">
        <f>SUM('ФАКТ.СЕБЕСТ.ВОДА за 1 пол. 2023'!DP82)</f>
        <v>-1.3287555520946626E-4</v>
      </c>
      <c r="W68" s="2930">
        <f>SUM('ФАКТ.СЕБЕСТ.ВОДА за 1 пол. 2023'!DQ82)</f>
        <v>1.0020529275691636E-3</v>
      </c>
      <c r="X68" s="2930">
        <f>SUM('ФАКТ.СЕБЕСТ.ВОДА за 1 пол. 2023'!EA82)</f>
        <v>2.6075321170790922E-3</v>
      </c>
      <c r="Y68" s="2930">
        <f>SUM('ФАКТ.СЕБЕСТ.ВОДА за 1 пол. 2023'!EB82)</f>
        <v>-3.9862666562839877E-4</v>
      </c>
      <c r="Z68" s="2930">
        <f>SUM('ФАКТ.СЕБЕСТ.ВОДА за 1 пол. 2023'!EC82)</f>
        <v>3.0061587827074909E-3</v>
      </c>
      <c r="AA68" s="2930">
        <f>SUM('ФАКТ.СЕБЕСТ.ВОДА за 1 пол. 2023'!FN82)</f>
        <v>8.6917737235969739E-4</v>
      </c>
      <c r="AB68" s="2930">
        <f>SUM('ФАКТ.СЕБЕСТ.ВОДА за 1 пол. 2023'!FO82)</f>
        <v>-1.3287555520946626E-4</v>
      </c>
      <c r="AC68" s="2930">
        <f>SUM('ФАКТ.СЕБЕСТ.ВОДА за 1 пол. 2023'!FP82)</f>
        <v>1.0020529275691636E-3</v>
      </c>
      <c r="AD68" s="2931">
        <f>SUM('ФАКТ.СЕБЕСТ.ВОДА за 1 пол. 2023'!FZ82)</f>
        <v>3.4767094894387895E-3</v>
      </c>
      <c r="AE68" s="2931">
        <f>SUM('ФАКТ.СЕБЕСТ.ВОДА за 1 пол. 2023'!GA82)</f>
        <v>-5.3150222083786502E-4</v>
      </c>
      <c r="AF68" s="2932">
        <f>SUM('ФАКТ.СЕБЕСТ.ВОДА за 1 пол. 2023'!GB82)</f>
        <v>4.0082117102766546E-3</v>
      </c>
    </row>
    <row r="69" spans="1:32" ht="18.75" customHeight="1" x14ac:dyDescent="0.3">
      <c r="A69" s="2951" t="s">
        <v>527</v>
      </c>
      <c r="B69" s="2948"/>
      <c r="C69" s="2948"/>
      <c r="D69" s="2948"/>
      <c r="E69" s="2948"/>
      <c r="F69" s="2948"/>
      <c r="G69" s="2948"/>
      <c r="H69" s="2948"/>
      <c r="I69" s="2948"/>
      <c r="J69" s="2948"/>
      <c r="K69" s="2929" t="s">
        <v>899</v>
      </c>
      <c r="L69" s="2930">
        <f>SUM('ФАКТ.СЕБЕСТ.ВОДА за 1 пол. 2023'!AC83)</f>
        <v>46817.759771988589</v>
      </c>
      <c r="M69" s="2930">
        <f>SUM('ФАКТ.СЕБЕСТ.ВОДА за 1 пол. 2023'!AD83)</f>
        <v>46808.971778923231</v>
      </c>
      <c r="N69" s="2930">
        <f>SUM('ФАКТ.СЕБЕСТ.ВОДА за 1 пол. 2023'!AE83)</f>
        <v>8.7879930653584406</v>
      </c>
      <c r="O69" s="2930">
        <f>SUM('ФАКТ.СЕБЕСТ.ВОДА за 1 пол. 2023'!BP83)</f>
        <v>46817.759771988589</v>
      </c>
      <c r="P69" s="2930">
        <f>SUM('ФАКТ.СЕБЕСТ.ВОДА за 1 пол. 2023'!BQ83)</f>
        <v>46808.971778923231</v>
      </c>
      <c r="Q69" s="2930">
        <f>SUM('ФАКТ.СЕБЕСТ.ВОДА за 1 пол. 2023'!BR83)</f>
        <v>8.7879930653584406</v>
      </c>
      <c r="R69" s="2930">
        <f>SUM('ФАКТ.СЕБЕСТ.ВОДА за 1 пол. 2023'!CB83)</f>
        <v>93635.519543977178</v>
      </c>
      <c r="S69" s="2930">
        <f>SUM('ФАКТ.СЕБЕСТ.ВОДА за 1 пол. 2023'!CC83)</f>
        <v>93617.943557846462</v>
      </c>
      <c r="T69" s="2930">
        <f>SUM('ФАКТ.СЕБЕСТ.ВОДА за 1 пол. 2023'!CD83)</f>
        <v>17.575986130716881</v>
      </c>
      <c r="U69" s="2930">
        <f>SUM('ФАКТ.СЕБЕСТ.ВОДА за 1 пол. 2023'!DO83)</f>
        <v>46817.759771988589</v>
      </c>
      <c r="V69" s="2930">
        <f>SUM('ФАКТ.СЕБЕСТ.ВОДА за 1 пол. 2023'!DP83)</f>
        <v>46808.971778923231</v>
      </c>
      <c r="W69" s="2930">
        <f>SUM('ФАКТ.СЕБЕСТ.ВОДА за 1 пол. 2023'!DQ83)</f>
        <v>8.7879930653584406</v>
      </c>
      <c r="X69" s="2930">
        <f>SUM('ФАКТ.СЕБЕСТ.ВОДА за 1 пол. 2023'!EA83)</f>
        <v>140453.27931596577</v>
      </c>
      <c r="Y69" s="2930">
        <f>SUM('ФАКТ.СЕБЕСТ.ВОДА за 1 пол. 2023'!EB83)</f>
        <v>140426.91533676969</v>
      </c>
      <c r="Z69" s="2930">
        <f>SUM('ФАКТ.СЕБЕСТ.ВОДА за 1 пол. 2023'!EC83)</f>
        <v>26.36397919607532</v>
      </c>
      <c r="AA69" s="2930">
        <f>SUM('ФАКТ.СЕБЕСТ.ВОДА за 1 пол. 2023'!FN83)</f>
        <v>46817.759771988589</v>
      </c>
      <c r="AB69" s="2930">
        <f>SUM('ФАКТ.СЕБЕСТ.ВОДА за 1 пол. 2023'!FO83)</f>
        <v>46808.971778923231</v>
      </c>
      <c r="AC69" s="2930">
        <f>SUM('ФАКТ.СЕБЕСТ.ВОДА за 1 пол. 2023'!FP83)</f>
        <v>8.7879930653584406</v>
      </c>
      <c r="AD69" s="2931">
        <f>SUM('ФАКТ.СЕБЕСТ.ВОДА за 1 пол. 2023'!FZ83)</f>
        <v>187271.03908795436</v>
      </c>
      <c r="AE69" s="2931">
        <f>SUM('ФАКТ.СЕБЕСТ.ВОДА за 1 пол. 2023'!GA83)</f>
        <v>187235.88711569292</v>
      </c>
      <c r="AF69" s="2932">
        <f>SUM('ФАКТ.СЕБЕСТ.ВОДА за 1 пол. 2023'!GB83)</f>
        <v>35.151972261433762</v>
      </c>
    </row>
    <row r="70" spans="1:32" ht="18.75" customHeight="1" thickBot="1" x14ac:dyDescent="0.35">
      <c r="A70" s="2952" t="s">
        <v>68</v>
      </c>
      <c r="B70" s="3018"/>
      <c r="C70" s="3018"/>
      <c r="D70" s="3018"/>
      <c r="E70" s="3018"/>
      <c r="F70" s="3018"/>
      <c r="G70" s="3018"/>
      <c r="H70" s="3018"/>
      <c r="I70" s="3018"/>
      <c r="J70" s="3018"/>
      <c r="K70" s="3019" t="s">
        <v>2025</v>
      </c>
      <c r="L70" s="3020">
        <f>SUM('ФАКТ.СЕБЕСТ.ВОДА за 1 пол. 2023'!AC84)</f>
        <v>52.671631240648473</v>
      </c>
      <c r="M70" s="3020">
        <f>SUM('ФАКТ.СЕБЕСТ.ВОДА за 1 пол. 2023'!AD84)</f>
        <v>52.681762489552007</v>
      </c>
      <c r="N70" s="3020">
        <f>SUM('ФАКТ.СЕБЕСТ.ВОДА за 1 пол. 2023'!AE84)</f>
        <v>26.019224471823659</v>
      </c>
      <c r="O70" s="3020">
        <f>SUM('ФАКТ.СЕБЕСТ.ВОДА за 1 пол. 2023'!BP84)</f>
        <v>52.671631240648473</v>
      </c>
      <c r="P70" s="3020">
        <f>SUM('ФАКТ.СЕБЕСТ.ВОДА за 1 пол. 2023'!BQ84)</f>
        <v>52.681762489552007</v>
      </c>
      <c r="Q70" s="3020">
        <f>SUM('ФАКТ.СЕБЕСТ.ВОДА за 1 пол. 2023'!BR84)</f>
        <v>26.019224471823659</v>
      </c>
      <c r="R70" s="3020">
        <f>SUM('ФАКТ.СЕБЕСТ.ВОДА за 1 пол. 2023'!CB84)</f>
        <v>52.671631240648473</v>
      </c>
      <c r="S70" s="3020">
        <f>SUM('ФАКТ.СЕБЕСТ.ВОДА за 1 пол. 2023'!CC84)</f>
        <v>52.681762489552007</v>
      </c>
      <c r="T70" s="3020">
        <f>SUM('ФАКТ.СЕБЕСТ.ВОДА за 1 пол. 2023'!CD84)</f>
        <v>26.019224471823659</v>
      </c>
      <c r="U70" s="3020">
        <f>SUM('ФАКТ.СЕБЕСТ.ВОДА за 1 пол. 2023'!DO84)</f>
        <v>52.671631240648473</v>
      </c>
      <c r="V70" s="3020">
        <f>SUM('ФАКТ.СЕБЕСТ.ВОДА за 1 пол. 2023'!DP84)</f>
        <v>52.681762489552007</v>
      </c>
      <c r="W70" s="3020">
        <f>SUM('ФАКТ.СЕБЕСТ.ВОДА за 1 пол. 2023'!DQ84)</f>
        <v>26.019224471823659</v>
      </c>
      <c r="X70" s="3020">
        <f>SUM('ФАКТ.СЕБЕСТ.ВОДА за 1 пол. 2023'!EA84)</f>
        <v>52.671631240648487</v>
      </c>
      <c r="Y70" s="3020">
        <f>SUM('ФАКТ.СЕБЕСТ.ВОДА за 1 пол. 2023'!EB84)</f>
        <v>52.681762489552014</v>
      </c>
      <c r="Z70" s="3020">
        <f>SUM('ФАКТ.СЕБЕСТ.ВОДА за 1 пол. 2023'!EC84)</f>
        <v>26.019224471823659</v>
      </c>
      <c r="AA70" s="3020">
        <f>SUM('ФАКТ.СЕБЕСТ.ВОДА за 1 пол. 2023'!FN84)</f>
        <v>52.671631240648473</v>
      </c>
      <c r="AB70" s="3020">
        <f>SUM('ФАКТ.СЕБЕСТ.ВОДА за 1 пол. 2023'!FO84)</f>
        <v>52.681762489552007</v>
      </c>
      <c r="AC70" s="3020">
        <f>SUM('ФАКТ.СЕБЕСТ.ВОДА за 1 пол. 2023'!FP84)</f>
        <v>26.019224471823659</v>
      </c>
      <c r="AD70" s="3021">
        <f>SUM('ФАКТ.СЕБЕСТ.ВОДА за 1 пол. 2023'!FZ84)</f>
        <v>52.67163124064848</v>
      </c>
      <c r="AE70" s="3021">
        <f>SUM('ФАКТ.СЕБЕСТ.ВОДА за 1 пол. 2023'!GA84)</f>
        <v>52.681762489552014</v>
      </c>
      <c r="AF70" s="2953">
        <f>SUM('ФАКТ.СЕБЕСТ.ВОДА за 1 пол. 2023'!GB84)</f>
        <v>26.019224471823659</v>
      </c>
    </row>
    <row r="73" spans="1:32" ht="18.75" x14ac:dyDescent="0.3">
      <c r="A73" s="389" t="s">
        <v>3775</v>
      </c>
      <c r="B73" s="389"/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 t="s">
        <v>4152</v>
      </c>
      <c r="S73" s="389"/>
    </row>
    <row r="74" spans="1:32" ht="18.75" x14ac:dyDescent="0.3">
      <c r="A74" s="4304"/>
      <c r="B74" s="361"/>
      <c r="C74" s="361"/>
      <c r="D74" s="361"/>
      <c r="E74" s="361"/>
      <c r="F74" s="361"/>
      <c r="G74" s="361"/>
      <c r="H74" s="361"/>
      <c r="I74" s="361"/>
      <c r="J74" s="361"/>
      <c r="K74" s="361"/>
      <c r="L74" s="361"/>
      <c r="M74" s="361"/>
      <c r="N74" s="361"/>
      <c r="O74" s="361"/>
      <c r="P74" s="361"/>
      <c r="Q74" s="361"/>
      <c r="R74" s="4304"/>
      <c r="S74" s="4304"/>
      <c r="T74" s="2923"/>
      <c r="U74" s="361"/>
      <c r="V74" s="361"/>
      <c r="W74" s="361"/>
      <c r="X74" s="361"/>
      <c r="Y74" s="361"/>
      <c r="Z74" s="361"/>
    </row>
    <row r="75" spans="1:32" ht="18.75" x14ac:dyDescent="0.3">
      <c r="A75" s="4304" t="s">
        <v>3783</v>
      </c>
      <c r="B75" s="361"/>
      <c r="C75" s="361"/>
      <c r="D75" s="361"/>
      <c r="E75" s="361"/>
      <c r="F75" s="361"/>
      <c r="G75" s="361"/>
      <c r="H75" s="361"/>
      <c r="I75" s="361"/>
      <c r="J75" s="361"/>
      <c r="K75" s="361"/>
      <c r="L75" s="361"/>
      <c r="M75" s="361"/>
      <c r="N75" s="361"/>
      <c r="O75" s="361"/>
      <c r="P75" s="361"/>
      <c r="Q75" s="361"/>
      <c r="R75" s="4304" t="s">
        <v>3784</v>
      </c>
      <c r="S75" s="4304"/>
      <c r="T75" s="2923"/>
      <c r="U75" s="361"/>
      <c r="V75" s="361"/>
      <c r="W75" s="361"/>
      <c r="X75" s="361"/>
      <c r="Y75" s="361"/>
      <c r="Z75" s="361"/>
    </row>
  </sheetData>
  <mergeCells count="23"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  <mergeCell ref="AC4:AF4"/>
  </mergeCells>
  <printOptions horizontalCentered="1" verticalCentered="1"/>
  <pageMargins left="0.15748031496062992" right="0.15748031496062992" top="0" bottom="0" header="0" footer="0"/>
  <pageSetup paperSize="9" scale="3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16">
    <tabColor rgb="FFFFFF00"/>
    <pageSetUpPr fitToPage="1"/>
  </sheetPr>
  <dimension ref="A1:I68"/>
  <sheetViews>
    <sheetView topLeftCell="A43" workbookViewId="0">
      <selection activeCell="I39" sqref="I39"/>
    </sheetView>
  </sheetViews>
  <sheetFormatPr defaultRowHeight="12.75" x14ac:dyDescent="0.2"/>
  <cols>
    <col min="1" max="7" width="12.7109375" style="2482" customWidth="1"/>
    <col min="8" max="8" width="9.140625" style="2482"/>
    <col min="9" max="9" width="19.28515625" style="2482" customWidth="1"/>
    <col min="10" max="258" width="9.140625" style="2482"/>
    <col min="259" max="259" width="20.7109375" style="2482" customWidth="1"/>
    <col min="260" max="262" width="14.7109375" style="2482" customWidth="1"/>
    <col min="263" max="514" width="9.140625" style="2482"/>
    <col min="515" max="515" width="20.7109375" style="2482" customWidth="1"/>
    <col min="516" max="518" width="14.7109375" style="2482" customWidth="1"/>
    <col min="519" max="770" width="9.140625" style="2482"/>
    <col min="771" max="771" width="20.7109375" style="2482" customWidth="1"/>
    <col min="772" max="774" width="14.7109375" style="2482" customWidth="1"/>
    <col min="775" max="1026" width="9.140625" style="2482"/>
    <col min="1027" max="1027" width="20.7109375" style="2482" customWidth="1"/>
    <col min="1028" max="1030" width="14.7109375" style="2482" customWidth="1"/>
    <col min="1031" max="1282" width="9.140625" style="2482"/>
    <col min="1283" max="1283" width="20.7109375" style="2482" customWidth="1"/>
    <col min="1284" max="1286" width="14.7109375" style="2482" customWidth="1"/>
    <col min="1287" max="1538" width="9.140625" style="2482"/>
    <col min="1539" max="1539" width="20.7109375" style="2482" customWidth="1"/>
    <col min="1540" max="1542" width="14.7109375" style="2482" customWidth="1"/>
    <col min="1543" max="1794" width="9.140625" style="2482"/>
    <col min="1795" max="1795" width="20.7109375" style="2482" customWidth="1"/>
    <col min="1796" max="1798" width="14.7109375" style="2482" customWidth="1"/>
    <col min="1799" max="2050" width="9.140625" style="2482"/>
    <col min="2051" max="2051" width="20.7109375" style="2482" customWidth="1"/>
    <col min="2052" max="2054" width="14.7109375" style="2482" customWidth="1"/>
    <col min="2055" max="2306" width="9.140625" style="2482"/>
    <col min="2307" max="2307" width="20.7109375" style="2482" customWidth="1"/>
    <col min="2308" max="2310" width="14.7109375" style="2482" customWidth="1"/>
    <col min="2311" max="2562" width="9.140625" style="2482"/>
    <col min="2563" max="2563" width="20.7109375" style="2482" customWidth="1"/>
    <col min="2564" max="2566" width="14.7109375" style="2482" customWidth="1"/>
    <col min="2567" max="2818" width="9.140625" style="2482"/>
    <col min="2819" max="2819" width="20.7109375" style="2482" customWidth="1"/>
    <col min="2820" max="2822" width="14.7109375" style="2482" customWidth="1"/>
    <col min="2823" max="3074" width="9.140625" style="2482"/>
    <col min="3075" max="3075" width="20.7109375" style="2482" customWidth="1"/>
    <col min="3076" max="3078" width="14.7109375" style="2482" customWidth="1"/>
    <col min="3079" max="3330" width="9.140625" style="2482"/>
    <col min="3331" max="3331" width="20.7109375" style="2482" customWidth="1"/>
    <col min="3332" max="3334" width="14.7109375" style="2482" customWidth="1"/>
    <col min="3335" max="3586" width="9.140625" style="2482"/>
    <col min="3587" max="3587" width="20.7109375" style="2482" customWidth="1"/>
    <col min="3588" max="3590" width="14.7109375" style="2482" customWidth="1"/>
    <col min="3591" max="3842" width="9.140625" style="2482"/>
    <col min="3843" max="3843" width="20.7109375" style="2482" customWidth="1"/>
    <col min="3844" max="3846" width="14.7109375" style="2482" customWidth="1"/>
    <col min="3847" max="4098" width="9.140625" style="2482"/>
    <col min="4099" max="4099" width="20.7109375" style="2482" customWidth="1"/>
    <col min="4100" max="4102" width="14.7109375" style="2482" customWidth="1"/>
    <col min="4103" max="4354" width="9.140625" style="2482"/>
    <col min="4355" max="4355" width="20.7109375" style="2482" customWidth="1"/>
    <col min="4356" max="4358" width="14.7109375" style="2482" customWidth="1"/>
    <col min="4359" max="4610" width="9.140625" style="2482"/>
    <col min="4611" max="4611" width="20.7109375" style="2482" customWidth="1"/>
    <col min="4612" max="4614" width="14.7109375" style="2482" customWidth="1"/>
    <col min="4615" max="4866" width="9.140625" style="2482"/>
    <col min="4867" max="4867" width="20.7109375" style="2482" customWidth="1"/>
    <col min="4868" max="4870" width="14.7109375" style="2482" customWidth="1"/>
    <col min="4871" max="5122" width="9.140625" style="2482"/>
    <col min="5123" max="5123" width="20.7109375" style="2482" customWidth="1"/>
    <col min="5124" max="5126" width="14.7109375" style="2482" customWidth="1"/>
    <col min="5127" max="5378" width="9.140625" style="2482"/>
    <col min="5379" max="5379" width="20.7109375" style="2482" customWidth="1"/>
    <col min="5380" max="5382" width="14.7109375" style="2482" customWidth="1"/>
    <col min="5383" max="5634" width="9.140625" style="2482"/>
    <col min="5635" max="5635" width="20.7109375" style="2482" customWidth="1"/>
    <col min="5636" max="5638" width="14.7109375" style="2482" customWidth="1"/>
    <col min="5639" max="5890" width="9.140625" style="2482"/>
    <col min="5891" max="5891" width="20.7109375" style="2482" customWidth="1"/>
    <col min="5892" max="5894" width="14.7109375" style="2482" customWidth="1"/>
    <col min="5895" max="6146" width="9.140625" style="2482"/>
    <col min="6147" max="6147" width="20.7109375" style="2482" customWidth="1"/>
    <col min="6148" max="6150" width="14.7109375" style="2482" customWidth="1"/>
    <col min="6151" max="6402" width="9.140625" style="2482"/>
    <col min="6403" max="6403" width="20.7109375" style="2482" customWidth="1"/>
    <col min="6404" max="6406" width="14.7109375" style="2482" customWidth="1"/>
    <col min="6407" max="6658" width="9.140625" style="2482"/>
    <col min="6659" max="6659" width="20.7109375" style="2482" customWidth="1"/>
    <col min="6660" max="6662" width="14.7109375" style="2482" customWidth="1"/>
    <col min="6663" max="6914" width="9.140625" style="2482"/>
    <col min="6915" max="6915" width="20.7109375" style="2482" customWidth="1"/>
    <col min="6916" max="6918" width="14.7109375" style="2482" customWidth="1"/>
    <col min="6919" max="7170" width="9.140625" style="2482"/>
    <col min="7171" max="7171" width="20.7109375" style="2482" customWidth="1"/>
    <col min="7172" max="7174" width="14.7109375" style="2482" customWidth="1"/>
    <col min="7175" max="7426" width="9.140625" style="2482"/>
    <col min="7427" max="7427" width="20.7109375" style="2482" customWidth="1"/>
    <col min="7428" max="7430" width="14.7109375" style="2482" customWidth="1"/>
    <col min="7431" max="7682" width="9.140625" style="2482"/>
    <col min="7683" max="7683" width="20.7109375" style="2482" customWidth="1"/>
    <col min="7684" max="7686" width="14.7109375" style="2482" customWidth="1"/>
    <col min="7687" max="7938" width="9.140625" style="2482"/>
    <col min="7939" max="7939" width="20.7109375" style="2482" customWidth="1"/>
    <col min="7940" max="7942" width="14.7109375" style="2482" customWidth="1"/>
    <col min="7943" max="8194" width="9.140625" style="2482"/>
    <col min="8195" max="8195" width="20.7109375" style="2482" customWidth="1"/>
    <col min="8196" max="8198" width="14.7109375" style="2482" customWidth="1"/>
    <col min="8199" max="8450" width="9.140625" style="2482"/>
    <col min="8451" max="8451" width="20.7109375" style="2482" customWidth="1"/>
    <col min="8452" max="8454" width="14.7109375" style="2482" customWidth="1"/>
    <col min="8455" max="8706" width="9.140625" style="2482"/>
    <col min="8707" max="8707" width="20.7109375" style="2482" customWidth="1"/>
    <col min="8708" max="8710" width="14.7109375" style="2482" customWidth="1"/>
    <col min="8711" max="8962" width="9.140625" style="2482"/>
    <col min="8963" max="8963" width="20.7109375" style="2482" customWidth="1"/>
    <col min="8964" max="8966" width="14.7109375" style="2482" customWidth="1"/>
    <col min="8967" max="9218" width="9.140625" style="2482"/>
    <col min="9219" max="9219" width="20.7109375" style="2482" customWidth="1"/>
    <col min="9220" max="9222" width="14.7109375" style="2482" customWidth="1"/>
    <col min="9223" max="9474" width="9.140625" style="2482"/>
    <col min="9475" max="9475" width="20.7109375" style="2482" customWidth="1"/>
    <col min="9476" max="9478" width="14.7109375" style="2482" customWidth="1"/>
    <col min="9479" max="9730" width="9.140625" style="2482"/>
    <col min="9731" max="9731" width="20.7109375" style="2482" customWidth="1"/>
    <col min="9732" max="9734" width="14.7109375" style="2482" customWidth="1"/>
    <col min="9735" max="9986" width="9.140625" style="2482"/>
    <col min="9987" max="9987" width="20.7109375" style="2482" customWidth="1"/>
    <col min="9988" max="9990" width="14.7109375" style="2482" customWidth="1"/>
    <col min="9991" max="10242" width="9.140625" style="2482"/>
    <col min="10243" max="10243" width="20.7109375" style="2482" customWidth="1"/>
    <col min="10244" max="10246" width="14.7109375" style="2482" customWidth="1"/>
    <col min="10247" max="10498" width="9.140625" style="2482"/>
    <col min="10499" max="10499" width="20.7109375" style="2482" customWidth="1"/>
    <col min="10500" max="10502" width="14.7109375" style="2482" customWidth="1"/>
    <col min="10503" max="10754" width="9.140625" style="2482"/>
    <col min="10755" max="10755" width="20.7109375" style="2482" customWidth="1"/>
    <col min="10756" max="10758" width="14.7109375" style="2482" customWidth="1"/>
    <col min="10759" max="11010" width="9.140625" style="2482"/>
    <col min="11011" max="11011" width="20.7109375" style="2482" customWidth="1"/>
    <col min="11012" max="11014" width="14.7109375" style="2482" customWidth="1"/>
    <col min="11015" max="11266" width="9.140625" style="2482"/>
    <col min="11267" max="11267" width="20.7109375" style="2482" customWidth="1"/>
    <col min="11268" max="11270" width="14.7109375" style="2482" customWidth="1"/>
    <col min="11271" max="11522" width="9.140625" style="2482"/>
    <col min="11523" max="11523" width="20.7109375" style="2482" customWidth="1"/>
    <col min="11524" max="11526" width="14.7109375" style="2482" customWidth="1"/>
    <col min="11527" max="11778" width="9.140625" style="2482"/>
    <col min="11779" max="11779" width="20.7109375" style="2482" customWidth="1"/>
    <col min="11780" max="11782" width="14.7109375" style="2482" customWidth="1"/>
    <col min="11783" max="12034" width="9.140625" style="2482"/>
    <col min="12035" max="12035" width="20.7109375" style="2482" customWidth="1"/>
    <col min="12036" max="12038" width="14.7109375" style="2482" customWidth="1"/>
    <col min="12039" max="12290" width="9.140625" style="2482"/>
    <col min="12291" max="12291" width="20.7109375" style="2482" customWidth="1"/>
    <col min="12292" max="12294" width="14.7109375" style="2482" customWidth="1"/>
    <col min="12295" max="12546" width="9.140625" style="2482"/>
    <col min="12547" max="12547" width="20.7109375" style="2482" customWidth="1"/>
    <col min="12548" max="12550" width="14.7109375" style="2482" customWidth="1"/>
    <col min="12551" max="12802" width="9.140625" style="2482"/>
    <col min="12803" max="12803" width="20.7109375" style="2482" customWidth="1"/>
    <col min="12804" max="12806" width="14.7109375" style="2482" customWidth="1"/>
    <col min="12807" max="13058" width="9.140625" style="2482"/>
    <col min="13059" max="13059" width="20.7109375" style="2482" customWidth="1"/>
    <col min="13060" max="13062" width="14.7109375" style="2482" customWidth="1"/>
    <col min="13063" max="13314" width="9.140625" style="2482"/>
    <col min="13315" max="13315" width="20.7109375" style="2482" customWidth="1"/>
    <col min="13316" max="13318" width="14.7109375" style="2482" customWidth="1"/>
    <col min="13319" max="13570" width="9.140625" style="2482"/>
    <col min="13571" max="13571" width="20.7109375" style="2482" customWidth="1"/>
    <col min="13572" max="13574" width="14.7109375" style="2482" customWidth="1"/>
    <col min="13575" max="13826" width="9.140625" style="2482"/>
    <col min="13827" max="13827" width="20.7109375" style="2482" customWidth="1"/>
    <col min="13828" max="13830" width="14.7109375" style="2482" customWidth="1"/>
    <col min="13831" max="14082" width="9.140625" style="2482"/>
    <col min="14083" max="14083" width="20.7109375" style="2482" customWidth="1"/>
    <col min="14084" max="14086" width="14.7109375" style="2482" customWidth="1"/>
    <col min="14087" max="14338" width="9.140625" style="2482"/>
    <col min="14339" max="14339" width="20.7109375" style="2482" customWidth="1"/>
    <col min="14340" max="14342" width="14.7109375" style="2482" customWidth="1"/>
    <col min="14343" max="14594" width="9.140625" style="2482"/>
    <col min="14595" max="14595" width="20.7109375" style="2482" customWidth="1"/>
    <col min="14596" max="14598" width="14.7109375" style="2482" customWidth="1"/>
    <col min="14599" max="14850" width="9.140625" style="2482"/>
    <col min="14851" max="14851" width="20.7109375" style="2482" customWidth="1"/>
    <col min="14852" max="14854" width="14.7109375" style="2482" customWidth="1"/>
    <col min="14855" max="15106" width="9.140625" style="2482"/>
    <col min="15107" max="15107" width="20.7109375" style="2482" customWidth="1"/>
    <col min="15108" max="15110" width="14.7109375" style="2482" customWidth="1"/>
    <col min="15111" max="15362" width="9.140625" style="2482"/>
    <col min="15363" max="15363" width="20.7109375" style="2482" customWidth="1"/>
    <col min="15364" max="15366" width="14.7109375" style="2482" customWidth="1"/>
    <col min="15367" max="15618" width="9.140625" style="2482"/>
    <col min="15619" max="15619" width="20.7109375" style="2482" customWidth="1"/>
    <col min="15620" max="15622" width="14.7109375" style="2482" customWidth="1"/>
    <col min="15623" max="15874" width="9.140625" style="2482"/>
    <col min="15875" max="15875" width="20.7109375" style="2482" customWidth="1"/>
    <col min="15876" max="15878" width="14.7109375" style="2482" customWidth="1"/>
    <col min="15879" max="16130" width="9.140625" style="2482"/>
    <col min="16131" max="16131" width="20.7109375" style="2482" customWidth="1"/>
    <col min="16132" max="16134" width="14.7109375" style="2482" customWidth="1"/>
    <col min="16135" max="16384" width="9.140625" style="2482"/>
  </cols>
  <sheetData>
    <row r="1" spans="1:9" ht="15.75" x14ac:dyDescent="0.25">
      <c r="A1" s="5222" t="s">
        <v>4239</v>
      </c>
      <c r="B1" s="5222"/>
      <c r="C1" s="5222"/>
      <c r="D1" s="5222"/>
      <c r="E1" s="5222"/>
      <c r="F1" s="5222"/>
      <c r="G1" s="4910"/>
    </row>
    <row r="2" spans="1:9" ht="15.75" x14ac:dyDescent="0.2">
      <c r="A2" s="5223" t="s">
        <v>366</v>
      </c>
      <c r="B2" s="5223"/>
      <c r="C2" s="5223"/>
      <c r="D2" s="5224"/>
      <c r="E2" s="5224"/>
      <c r="F2" s="5224"/>
      <c r="G2" s="5224"/>
    </row>
    <row r="3" spans="1:9" ht="13.5" x14ac:dyDescent="0.25">
      <c r="A3" s="5225" t="s">
        <v>1557</v>
      </c>
      <c r="B3" s="5227" t="s">
        <v>1705</v>
      </c>
      <c r="C3" s="5228"/>
      <c r="D3" s="5229" t="s">
        <v>1706</v>
      </c>
      <c r="E3" s="5227" t="s">
        <v>3549</v>
      </c>
      <c r="F3" s="5231"/>
      <c r="G3" s="5232"/>
    </row>
    <row r="4" spans="1:9" ht="15.75" x14ac:dyDescent="0.25">
      <c r="A4" s="5226"/>
      <c r="B4" s="2483" t="s">
        <v>3550</v>
      </c>
      <c r="C4" s="2483" t="s">
        <v>1674</v>
      </c>
      <c r="D4" s="5230"/>
      <c r="E4" s="2483" t="s">
        <v>3550</v>
      </c>
      <c r="F4" s="2483" t="s">
        <v>1674</v>
      </c>
      <c r="G4" s="2483" t="s">
        <v>1593</v>
      </c>
    </row>
    <row r="5" spans="1:9" ht="15.75" x14ac:dyDescent="0.25">
      <c r="A5" s="2484" t="s">
        <v>256</v>
      </c>
      <c r="B5" s="2485">
        <f>SUM('ФАКТ.СЕБЕСТ.ВОДА за 1 пол. 2023'!C14)*1000</f>
        <v>296174.42271542898</v>
      </c>
      <c r="C5" s="2486">
        <f>SUM('ФАКТ.СЕБЕСТ.ВОДА за 1 пол. 2023'!F14)*1000</f>
        <v>301683.598</v>
      </c>
      <c r="D5" s="2488">
        <f>SUM('ФАКТ.СЕБЕСТ.ВОДА за 1 пол. 2023'!CC39)</f>
        <v>52.681762489552014</v>
      </c>
      <c r="E5" s="2488">
        <f>B5*D5/1000</f>
        <v>15602.990592974409</v>
      </c>
      <c r="F5" s="2488">
        <f>C5*D5/1000</f>
        <v>15893.22365682949</v>
      </c>
      <c r="G5" s="2488">
        <f>SUM(F5-E5)</f>
        <v>290.23306385508113</v>
      </c>
    </row>
    <row r="6" spans="1:9" ht="15.75" x14ac:dyDescent="0.25">
      <c r="A6" s="2484" t="s">
        <v>257</v>
      </c>
      <c r="B6" s="2485">
        <f>SUM('ФАКТ.СЕБЕСТ.ВОДА за 1 пол. 2023'!L14)*1000</f>
        <v>296174.42271542898</v>
      </c>
      <c r="C6" s="2486">
        <f>SUM('ФАКТ.СЕБЕСТ.ВОДА за 1 пол. 2023'!O14)*1000</f>
        <v>303980.777</v>
      </c>
      <c r="D6" s="2488">
        <f>SUM(D5)</f>
        <v>52.681762489552014</v>
      </c>
      <c r="E6" s="2488">
        <f t="shared" ref="E6:E16" si="0">B6*D6/1000</f>
        <v>15602.990592974409</v>
      </c>
      <c r="F6" s="2488">
        <f t="shared" ref="F6:F16" si="1">C6*D6/1000</f>
        <v>16014.243095303476</v>
      </c>
      <c r="G6" s="2488">
        <f t="shared" ref="G6:G16" si="2">SUM(F6-E6)</f>
        <v>411.25250232906728</v>
      </c>
    </row>
    <row r="7" spans="1:9" ht="15.75" x14ac:dyDescent="0.25">
      <c r="A7" s="2484" t="s">
        <v>258</v>
      </c>
      <c r="B7" s="2485">
        <f>SUM('ФАКТ.СЕБЕСТ.ВОДА за 1 пол. 2023'!U14)*1000</f>
        <v>296174.42271542898</v>
      </c>
      <c r="C7" s="2486">
        <f>SUM('ФАКТ.СЕБЕСТ.ВОДА за 1 пол. 2023'!X14)*1000</f>
        <v>287728.76300000004</v>
      </c>
      <c r="D7" s="2488">
        <f>SUM(D5)</f>
        <v>52.681762489552014</v>
      </c>
      <c r="E7" s="2488">
        <f t="shared" si="0"/>
        <v>15602.990592974409</v>
      </c>
      <c r="F7" s="2488">
        <f t="shared" si="1"/>
        <v>15158.058353778602</v>
      </c>
      <c r="G7" s="2488">
        <f t="shared" si="2"/>
        <v>-444.93223919580669</v>
      </c>
    </row>
    <row r="8" spans="1:9" ht="15.75" x14ac:dyDescent="0.25">
      <c r="A8" s="2484" t="s">
        <v>259</v>
      </c>
      <c r="B8" s="2485">
        <f>SUM('ФАКТ.СЕБЕСТ.ВОДА за 1 пол. 2023'!AP14)*1000</f>
        <v>296174.42271542898</v>
      </c>
      <c r="C8" s="2486">
        <f>SUM('ФАКТ.СЕБЕСТ.ВОДА за 1 пол. 2023'!AS14)*1000</f>
        <v>284123.58299999998</v>
      </c>
      <c r="D8" s="2488">
        <f>SUM(D5)</f>
        <v>52.681762489552014</v>
      </c>
      <c r="E8" s="2488">
        <f t="shared" si="0"/>
        <v>15602.990592974409</v>
      </c>
      <c r="F8" s="2488">
        <f t="shared" si="1"/>
        <v>14968.131117286519</v>
      </c>
      <c r="G8" s="2488">
        <f t="shared" si="2"/>
        <v>-634.85947568789015</v>
      </c>
    </row>
    <row r="9" spans="1:9" ht="15.75" x14ac:dyDescent="0.25">
      <c r="A9" s="2484" t="s">
        <v>260</v>
      </c>
      <c r="B9" s="2485">
        <f>SUM('ФАКТ.СЕБЕСТ.ВОДА за 1 пол. 2023'!AY14)*1000</f>
        <v>296174.42271542898</v>
      </c>
      <c r="C9" s="2486">
        <f>SUM('ФАКТ.СЕБЕСТ.ВОДА за 1 пол. 2023'!BB14)*1000</f>
        <v>289245.89500000002</v>
      </c>
      <c r="D9" s="2488">
        <f>SUM(D5)</f>
        <v>52.681762489552014</v>
      </c>
      <c r="E9" s="2488">
        <f t="shared" si="0"/>
        <v>15602.990592974409</v>
      </c>
      <c r="F9" s="2488">
        <f t="shared" si="1"/>
        <v>15237.983541467902</v>
      </c>
      <c r="G9" s="2488">
        <f t="shared" si="2"/>
        <v>-365.0070515065072</v>
      </c>
    </row>
    <row r="10" spans="1:9" ht="15.75" x14ac:dyDescent="0.25">
      <c r="A10" s="2484" t="s">
        <v>261</v>
      </c>
      <c r="B10" s="2485">
        <f>SUM('ФАКТ.СЕБЕСТ.ВОДА за 1 пол. 2023'!BH14)*1000</f>
        <v>296174.42271542898</v>
      </c>
      <c r="C10" s="2486">
        <f>SUM('ФАКТ.СЕБЕСТ.ВОДА за 1 пол. 2023'!BK14)*1000</f>
        <v>281887.679</v>
      </c>
      <c r="D10" s="2488">
        <f>SUM(D5)</f>
        <v>52.681762489552014</v>
      </c>
      <c r="E10" s="2488">
        <f t="shared" si="0"/>
        <v>15602.990592974409</v>
      </c>
      <c r="F10" s="2488">
        <f t="shared" si="1"/>
        <v>14850.339753809079</v>
      </c>
      <c r="G10" s="2488">
        <f t="shared" si="2"/>
        <v>-752.65083916532967</v>
      </c>
    </row>
    <row r="11" spans="1:9" ht="15.75" x14ac:dyDescent="0.25">
      <c r="A11" s="2484" t="s">
        <v>1207</v>
      </c>
      <c r="B11" s="2485">
        <f>SUM('ФАКТ.СЕБЕСТ.ВОДА за 1 пол. 2023'!CO14)*1000</f>
        <v>296174.42271542898</v>
      </c>
      <c r="C11" s="2486">
        <f>SUM('ФАКТ.СЕБЕСТ.ВОДА за 1 пол. 2023'!CR14)*1000</f>
        <v>257665.99199999997</v>
      </c>
      <c r="D11" s="2485">
        <f>SUM('ФАКТ.СЕБЕСТ.ВОДА за 1 пол. 2023'!CO39)</f>
        <v>52.681762489552014</v>
      </c>
      <c r="E11" s="2488">
        <f t="shared" si="0"/>
        <v>15602.990592974409</v>
      </c>
      <c r="F11" s="2488">
        <f t="shared" si="1"/>
        <v>13574.298592178808</v>
      </c>
      <c r="G11" s="2488">
        <f t="shared" si="2"/>
        <v>-2028.6920007956014</v>
      </c>
      <c r="I11" s="2489"/>
    </row>
    <row r="12" spans="1:9" ht="15.75" x14ac:dyDescent="0.25">
      <c r="A12" s="2484" t="s">
        <v>262</v>
      </c>
      <c r="B12" s="2485">
        <f>SUM('ФАКТ.СЕБЕСТ.ВОДА за 1 пол. 2023'!CX14)*1000</f>
        <v>296174.42271542898</v>
      </c>
      <c r="C12" s="2486">
        <f>SUM('ФАКТ.СЕБЕСТ.ВОДА за 1 пол. 2023'!DA14)*1000</f>
        <v>0</v>
      </c>
      <c r="D12" s="2485">
        <f>SUM(D11)</f>
        <v>52.681762489552014</v>
      </c>
      <c r="E12" s="2488">
        <f t="shared" si="0"/>
        <v>15602.990592974409</v>
      </c>
      <c r="F12" s="2488">
        <f t="shared" si="1"/>
        <v>0</v>
      </c>
      <c r="G12" s="2488">
        <f t="shared" si="2"/>
        <v>-15602.990592974409</v>
      </c>
    </row>
    <row r="13" spans="1:9" ht="15.75" x14ac:dyDescent="0.25">
      <c r="A13" s="2484" t="s">
        <v>1225</v>
      </c>
      <c r="B13" s="2485">
        <f>SUM('ФАКТ.СЕБЕСТ.ВОДА за 1 пол. 2023'!DG14)*1000</f>
        <v>296174.42271542898</v>
      </c>
      <c r="C13" s="2486">
        <f>SUM('ФАКТ.СЕБЕСТ.ВОДА за 1 пол. 2023'!DJ14)*1000</f>
        <v>0</v>
      </c>
      <c r="D13" s="2485">
        <f>SUM(D11)</f>
        <v>52.681762489552014</v>
      </c>
      <c r="E13" s="2488">
        <f t="shared" si="0"/>
        <v>15602.990592974409</v>
      </c>
      <c r="F13" s="2488">
        <f t="shared" si="1"/>
        <v>0</v>
      </c>
      <c r="G13" s="2488">
        <f t="shared" si="2"/>
        <v>-15602.990592974409</v>
      </c>
    </row>
    <row r="14" spans="1:9" ht="15.75" x14ac:dyDescent="0.25">
      <c r="A14" s="2484" t="s">
        <v>263</v>
      </c>
      <c r="B14" s="2485">
        <f>SUM('ФАКТ.СЕБЕСТ.ВОДА за 1 пол. 2023'!EN14)*1000</f>
        <v>296174.42271542898</v>
      </c>
      <c r="C14" s="2486">
        <f>SUM('ФАКТ.СЕБЕСТ.ВОДА за 1 пол. 2023'!EQ14)*1000</f>
        <v>0</v>
      </c>
      <c r="D14" s="2485">
        <f>SUM(D11)</f>
        <v>52.681762489552014</v>
      </c>
      <c r="E14" s="2488">
        <f t="shared" si="0"/>
        <v>15602.990592974409</v>
      </c>
      <c r="F14" s="2488">
        <f t="shared" si="1"/>
        <v>0</v>
      </c>
      <c r="G14" s="2488">
        <f t="shared" si="2"/>
        <v>-15602.990592974409</v>
      </c>
    </row>
    <row r="15" spans="1:9" ht="15.75" x14ac:dyDescent="0.25">
      <c r="A15" s="2484" t="s">
        <v>264</v>
      </c>
      <c r="B15" s="2485">
        <f>SUM('ФАКТ.СЕБЕСТ.ВОДА за 1 пол. 2023'!EW14)*1000</f>
        <v>296174.42271542898</v>
      </c>
      <c r="C15" s="2486">
        <f>SUM('ФАКТ.СЕБЕСТ.ВОДА за 1 пол. 2023'!EZ14)*1000</f>
        <v>0</v>
      </c>
      <c r="D15" s="2485">
        <f>SUM(D11)</f>
        <v>52.681762489552014</v>
      </c>
      <c r="E15" s="2488">
        <f t="shared" si="0"/>
        <v>15602.990592974409</v>
      </c>
      <c r="F15" s="2488">
        <f t="shared" si="1"/>
        <v>0</v>
      </c>
      <c r="G15" s="2488">
        <f t="shared" si="2"/>
        <v>-15602.990592974409</v>
      </c>
    </row>
    <row r="16" spans="1:9" ht="15.75" x14ac:dyDescent="0.25">
      <c r="A16" s="2484" t="s">
        <v>1316</v>
      </c>
      <c r="B16" s="2485">
        <f>SUM('ФАКТ.СЕБЕСТ.ВОДА за 1 пол. 2023'!FF14)*1000</f>
        <v>296174.42271542898</v>
      </c>
      <c r="C16" s="2486">
        <f>SUM('ФАКТ.СЕБЕСТ.ВОДА за 1 пол. 2023'!FI14)*1000</f>
        <v>0</v>
      </c>
      <c r="D16" s="2485">
        <f>SUM(D11)</f>
        <v>52.681762489552014</v>
      </c>
      <c r="E16" s="2488">
        <f t="shared" si="0"/>
        <v>15602.990592974409</v>
      </c>
      <c r="F16" s="2488">
        <f t="shared" si="1"/>
        <v>0</v>
      </c>
      <c r="G16" s="2488">
        <f t="shared" si="2"/>
        <v>-15602.990592974409</v>
      </c>
    </row>
    <row r="17" spans="1:7" ht="15.75" x14ac:dyDescent="0.25">
      <c r="A17" s="2490" t="s">
        <v>280</v>
      </c>
      <c r="B17" s="2491">
        <f>SUM(B5:B16)</f>
        <v>3554093.0725851487</v>
      </c>
      <c r="C17" s="2492">
        <f>SUM(C5:C16)</f>
        <v>2006316.287</v>
      </c>
      <c r="D17" s="2492">
        <f>F17/C17*1000</f>
        <v>52.681762489552014</v>
      </c>
      <c r="E17" s="2492">
        <f>SUM(E5:E16)</f>
        <v>187235.88711569292</v>
      </c>
      <c r="F17" s="2492">
        <f>SUM(F5:F16)</f>
        <v>105696.27811065388</v>
      </c>
      <c r="G17" s="2492">
        <f>SUM(G5:G16)</f>
        <v>-81539.609005039048</v>
      </c>
    </row>
    <row r="18" spans="1:7" ht="15" x14ac:dyDescent="0.2">
      <c r="A18" s="2493"/>
      <c r="B18" s="2493"/>
      <c r="C18" s="2493"/>
      <c r="D18" s="2493"/>
      <c r="E18" s="2493"/>
      <c r="F18" s="2493"/>
    </row>
    <row r="19" spans="1:7" ht="15.75" x14ac:dyDescent="0.2">
      <c r="A19" s="5223" t="s">
        <v>25</v>
      </c>
      <c r="B19" s="5223"/>
      <c r="C19" s="5223"/>
      <c r="D19" s="5224"/>
      <c r="E19" s="5224"/>
      <c r="F19" s="5224"/>
      <c r="G19" s="5224"/>
    </row>
    <row r="20" spans="1:7" ht="15.75" customHeight="1" x14ac:dyDescent="0.25">
      <c r="A20" s="5225" t="s">
        <v>1557</v>
      </c>
      <c r="B20" s="5227" t="s">
        <v>1705</v>
      </c>
      <c r="C20" s="5228"/>
      <c r="D20" s="5229" t="s">
        <v>1706</v>
      </c>
      <c r="E20" s="5227" t="s">
        <v>3549</v>
      </c>
      <c r="F20" s="5231"/>
      <c r="G20" s="5232"/>
    </row>
    <row r="21" spans="1:7" ht="15.75" customHeight="1" x14ac:dyDescent="0.25">
      <c r="A21" s="5226"/>
      <c r="B21" s="2483" t="s">
        <v>3550</v>
      </c>
      <c r="C21" s="2483" t="s">
        <v>1674</v>
      </c>
      <c r="D21" s="5230"/>
      <c r="E21" s="2483" t="s">
        <v>3550</v>
      </c>
      <c r="F21" s="2483" t="s">
        <v>1674</v>
      </c>
      <c r="G21" s="2483" t="s">
        <v>1593</v>
      </c>
    </row>
    <row r="22" spans="1:7" ht="15.75" x14ac:dyDescent="0.25">
      <c r="A22" s="2484" t="s">
        <v>256</v>
      </c>
      <c r="B22" s="2485">
        <f>SUM('ФАКТ.СЕБЕСТ.ВОДА за 1 пол. 2023'!D14)*1000</f>
        <v>112.58333333333333</v>
      </c>
      <c r="C22" s="2486">
        <f>SUM('ФАКТ.СЕБЕСТ.ВОДА за 1 пол. 2023'!G14)*1000</f>
        <v>0</v>
      </c>
      <c r="D22" s="2486">
        <f>SUM('ФАКТ.СЕБЕСТ.ВОДА за 1 пол. 2023'!CD40)</f>
        <v>26.019224471823659</v>
      </c>
      <c r="E22" s="2488">
        <f>B22*D22/1000</f>
        <v>2.9293310217861466</v>
      </c>
      <c r="F22" s="2488">
        <f>C22*D22/1000</f>
        <v>0</v>
      </c>
      <c r="G22" s="2488">
        <f>SUM(F22-E22)</f>
        <v>-2.9293310217861466</v>
      </c>
    </row>
    <row r="23" spans="1:7" ht="15.75" x14ac:dyDescent="0.25">
      <c r="A23" s="2484" t="s">
        <v>257</v>
      </c>
      <c r="B23" s="2485">
        <f>SUM('ФАКТ.СЕБЕСТ.ВОДА за 1 пол. 2023'!M14)*1000</f>
        <v>112.58333333333333</v>
      </c>
      <c r="C23" s="2486">
        <f>SUM('ФАКТ.СЕБЕСТ.ВОДА за 1 пол. 2023'!P14)*1000</f>
        <v>0</v>
      </c>
      <c r="D23" s="2486">
        <f>SUM(D22)</f>
        <v>26.019224471823659</v>
      </c>
      <c r="E23" s="2488">
        <f t="shared" ref="E23:E33" si="3">B23*D23/1000</f>
        <v>2.9293310217861466</v>
      </c>
      <c r="F23" s="2488">
        <f t="shared" ref="F23:F33" si="4">C23*D23/1000</f>
        <v>0</v>
      </c>
      <c r="G23" s="2488">
        <f t="shared" ref="G23:G33" si="5">SUM(F23-E23)</f>
        <v>-2.9293310217861466</v>
      </c>
    </row>
    <row r="24" spans="1:7" ht="15.75" x14ac:dyDescent="0.25">
      <c r="A24" s="2484" t="s">
        <v>258</v>
      </c>
      <c r="B24" s="2485">
        <f>SUM('ФАКТ.СЕБЕСТ.ВОДА за 1 пол. 2023'!V14)*1000</f>
        <v>112.58333333333333</v>
      </c>
      <c r="C24" s="2486">
        <f>SUM('ФАКТ.СЕБЕСТ.ВОДА за 1 пол. 2023'!Y14)*1000</f>
        <v>0</v>
      </c>
      <c r="D24" s="2486">
        <f>SUM(D22)</f>
        <v>26.019224471823659</v>
      </c>
      <c r="E24" s="2488">
        <f t="shared" si="3"/>
        <v>2.9293310217861466</v>
      </c>
      <c r="F24" s="2488">
        <f t="shared" si="4"/>
        <v>0</v>
      </c>
      <c r="G24" s="2488">
        <f t="shared" si="5"/>
        <v>-2.9293310217861466</v>
      </c>
    </row>
    <row r="25" spans="1:7" ht="15.75" x14ac:dyDescent="0.25">
      <c r="A25" s="2484" t="s">
        <v>259</v>
      </c>
      <c r="B25" s="2485">
        <f>SUM('ФАКТ.СЕБЕСТ.ВОДА за 1 пол. 2023'!AQ14)*1000</f>
        <v>112.58333333333333</v>
      </c>
      <c r="C25" s="2486">
        <f>SUM('ФАКТ.СЕБЕСТ.ВОДА за 1 пол. 2023'!AT14)*1000</f>
        <v>0</v>
      </c>
      <c r="D25" s="2486">
        <f>SUM(D22)</f>
        <v>26.019224471823659</v>
      </c>
      <c r="E25" s="2488">
        <f t="shared" si="3"/>
        <v>2.9293310217861466</v>
      </c>
      <c r="F25" s="2488">
        <f t="shared" si="4"/>
        <v>0</v>
      </c>
      <c r="G25" s="2488">
        <f t="shared" si="5"/>
        <v>-2.9293310217861466</v>
      </c>
    </row>
    <row r="26" spans="1:7" ht="15.75" x14ac:dyDescent="0.25">
      <c r="A26" s="2484" t="s">
        <v>260</v>
      </c>
      <c r="B26" s="2485">
        <f>SUM('ФАКТ.СЕБЕСТ.ВОДА за 1 пол. 2023'!AZ14)*1000</f>
        <v>112.58333333333333</v>
      </c>
      <c r="C26" s="2486">
        <f>SUM('ФАКТ.СЕБЕСТ.ВОДА за 1 пол. 2023'!BC14)*1000</f>
        <v>0</v>
      </c>
      <c r="D26" s="2486">
        <f>SUM(D22)</f>
        <v>26.019224471823659</v>
      </c>
      <c r="E26" s="2488">
        <f t="shared" si="3"/>
        <v>2.9293310217861466</v>
      </c>
      <c r="F26" s="2488">
        <f t="shared" si="4"/>
        <v>0</v>
      </c>
      <c r="G26" s="2488">
        <f t="shared" si="5"/>
        <v>-2.9293310217861466</v>
      </c>
    </row>
    <row r="27" spans="1:7" ht="15.75" x14ac:dyDescent="0.25">
      <c r="A27" s="2484" t="s">
        <v>261</v>
      </c>
      <c r="B27" s="2485">
        <f>SUM('ФАКТ.СЕБЕСТ.ВОДА за 1 пол. 2023'!BI14)*1000</f>
        <v>112.58333333333333</v>
      </c>
      <c r="C27" s="2486">
        <f>SUM('ФАКТ.СЕБЕСТ.ВОДА за 1 пол. 2023'!BL14)*1000</f>
        <v>0</v>
      </c>
      <c r="D27" s="2486">
        <f>SUM(D22)</f>
        <v>26.019224471823659</v>
      </c>
      <c r="E27" s="2488">
        <f t="shared" si="3"/>
        <v>2.9293310217861466</v>
      </c>
      <c r="F27" s="2488">
        <f t="shared" si="4"/>
        <v>0</v>
      </c>
      <c r="G27" s="2488">
        <f t="shared" si="5"/>
        <v>-2.9293310217861466</v>
      </c>
    </row>
    <row r="28" spans="1:7" ht="15.75" x14ac:dyDescent="0.25">
      <c r="A28" s="2484" t="s">
        <v>1207</v>
      </c>
      <c r="B28" s="2485">
        <f>SUM('ФАКТ.СЕБЕСТ.ВОДА за 1 пол. 2023'!CP14)*1000</f>
        <v>112.58333333333333</v>
      </c>
      <c r="C28" s="2486">
        <f>SUM('ФАКТ.СЕБЕСТ.ВОДА за 1 пол. 2023'!CS14)*1000</f>
        <v>0</v>
      </c>
      <c r="D28" s="2486">
        <f>SUM('ФАКТ.СЕБЕСТ.ВОДА за 1 пол. 2023'!CP40)</f>
        <v>26.019224471823662</v>
      </c>
      <c r="E28" s="2488">
        <f t="shared" si="3"/>
        <v>2.929331021786147</v>
      </c>
      <c r="F28" s="2488">
        <f t="shared" si="4"/>
        <v>0</v>
      </c>
      <c r="G28" s="2488">
        <f t="shared" si="5"/>
        <v>-2.929331021786147</v>
      </c>
    </row>
    <row r="29" spans="1:7" ht="15.75" x14ac:dyDescent="0.25">
      <c r="A29" s="2484" t="s">
        <v>262</v>
      </c>
      <c r="B29" s="2485">
        <f>SUM('ФАКТ.СЕБЕСТ.ВОДА за 1 пол. 2023'!CY14)*1000</f>
        <v>112.58333333333333</v>
      </c>
      <c r="C29" s="2486">
        <f>SUM('ФАКТ.СЕБЕСТ.ВОДА за 1 пол. 2023'!DB14)*1000</f>
        <v>0</v>
      </c>
      <c r="D29" s="2486">
        <f>SUM(D28)</f>
        <v>26.019224471823662</v>
      </c>
      <c r="E29" s="2488">
        <f t="shared" si="3"/>
        <v>2.929331021786147</v>
      </c>
      <c r="F29" s="2488">
        <f t="shared" si="4"/>
        <v>0</v>
      </c>
      <c r="G29" s="2488">
        <f t="shared" si="5"/>
        <v>-2.929331021786147</v>
      </c>
    </row>
    <row r="30" spans="1:7" ht="15.75" x14ac:dyDescent="0.25">
      <c r="A30" s="2484" t="s">
        <v>1225</v>
      </c>
      <c r="B30" s="2485">
        <f>SUM('ФАКТ.СЕБЕСТ.ВОДА за 1 пол. 2023'!DH14)*1000</f>
        <v>112.58333333333333</v>
      </c>
      <c r="C30" s="2486">
        <f>SUM('ФАКТ.СЕБЕСТ.ВОДА за 1 пол. 2023'!DK14)*1000</f>
        <v>0</v>
      </c>
      <c r="D30" s="2486">
        <f>SUM(D28)</f>
        <v>26.019224471823662</v>
      </c>
      <c r="E30" s="2488">
        <f t="shared" si="3"/>
        <v>2.929331021786147</v>
      </c>
      <c r="F30" s="2488">
        <f t="shared" si="4"/>
        <v>0</v>
      </c>
      <c r="G30" s="2488">
        <f t="shared" si="5"/>
        <v>-2.929331021786147</v>
      </c>
    </row>
    <row r="31" spans="1:7" ht="15.75" x14ac:dyDescent="0.25">
      <c r="A31" s="2484" t="s">
        <v>263</v>
      </c>
      <c r="B31" s="2485">
        <f>SUM('ФАКТ.СЕБЕСТ.ВОДА за 1 пол. 2023'!EO14)*1000</f>
        <v>112.58333333333333</v>
      </c>
      <c r="C31" s="2486">
        <f>SUM('ФАКТ.СЕБЕСТ.ВОДА за 1 пол. 2023'!ER14)*1000</f>
        <v>0</v>
      </c>
      <c r="D31" s="2486">
        <f>SUM(D28)</f>
        <v>26.019224471823662</v>
      </c>
      <c r="E31" s="2488">
        <f t="shared" si="3"/>
        <v>2.929331021786147</v>
      </c>
      <c r="F31" s="2488">
        <f t="shared" si="4"/>
        <v>0</v>
      </c>
      <c r="G31" s="2488">
        <f t="shared" si="5"/>
        <v>-2.929331021786147</v>
      </c>
    </row>
    <row r="32" spans="1:7" ht="15.75" x14ac:dyDescent="0.25">
      <c r="A32" s="2484" t="s">
        <v>264</v>
      </c>
      <c r="B32" s="2485">
        <f>SUM('ФАКТ.СЕБЕСТ.ВОДА за 1 пол. 2023'!EX14)*1000</f>
        <v>112.58333333333333</v>
      </c>
      <c r="C32" s="2486">
        <f>SUM('ФАКТ.СЕБЕСТ.ВОДА за 1 пол. 2023'!FA14)*1000</f>
        <v>0</v>
      </c>
      <c r="D32" s="2486">
        <f>SUM(D28)</f>
        <v>26.019224471823662</v>
      </c>
      <c r="E32" s="2488">
        <f t="shared" si="3"/>
        <v>2.929331021786147</v>
      </c>
      <c r="F32" s="2488">
        <f t="shared" si="4"/>
        <v>0</v>
      </c>
      <c r="G32" s="2488">
        <f t="shared" si="5"/>
        <v>-2.929331021786147</v>
      </c>
    </row>
    <row r="33" spans="1:7" ht="15.75" x14ac:dyDescent="0.25">
      <c r="A33" s="2484" t="s">
        <v>1316</v>
      </c>
      <c r="B33" s="2485">
        <f>SUM('ФАКТ.СЕБЕСТ.ВОДА за 1 пол. 2023'!FG14)*1000</f>
        <v>112.58333333333333</v>
      </c>
      <c r="C33" s="2486">
        <f>SUM('ФАКТ.СЕБЕСТ.ВОДА за 1 пол. 2023'!FJ14)*1000</f>
        <v>0</v>
      </c>
      <c r="D33" s="2486">
        <f>SUM(D28)</f>
        <v>26.019224471823662</v>
      </c>
      <c r="E33" s="2488">
        <f t="shared" si="3"/>
        <v>2.929331021786147</v>
      </c>
      <c r="F33" s="2488">
        <f t="shared" si="4"/>
        <v>0</v>
      </c>
      <c r="G33" s="2488">
        <f t="shared" si="5"/>
        <v>-2.929331021786147</v>
      </c>
    </row>
    <row r="34" spans="1:7" ht="15.75" x14ac:dyDescent="0.25">
      <c r="A34" s="2490" t="s">
        <v>280</v>
      </c>
      <c r="B34" s="2491">
        <f>SUM(B22:B33)</f>
        <v>1351</v>
      </c>
      <c r="C34" s="2492">
        <f>SUM(C22:C33)</f>
        <v>0</v>
      </c>
      <c r="D34" s="2492" t="e">
        <f>F34/C34*1000</f>
        <v>#DIV/0!</v>
      </c>
      <c r="E34" s="2492">
        <f>SUM(E22:E33)</f>
        <v>35.151972261433762</v>
      </c>
      <c r="F34" s="2492">
        <f>SUM(F22:F33)</f>
        <v>0</v>
      </c>
      <c r="G34" s="2492">
        <f>SUM(G22:G33)</f>
        <v>-35.151972261433762</v>
      </c>
    </row>
    <row r="35" spans="1:7" ht="15" x14ac:dyDescent="0.2">
      <c r="A35" s="2493"/>
      <c r="B35" s="2493"/>
      <c r="C35" s="2493"/>
      <c r="D35" s="2493"/>
      <c r="E35" s="2493"/>
      <c r="F35" s="2493"/>
    </row>
    <row r="36" spans="1:7" ht="15.75" x14ac:dyDescent="0.2">
      <c r="A36" s="5223" t="s">
        <v>47</v>
      </c>
      <c r="B36" s="5223"/>
      <c r="C36" s="5223"/>
      <c r="D36" s="5224"/>
      <c r="E36" s="5224"/>
      <c r="F36" s="5224"/>
      <c r="G36" s="5224"/>
    </row>
    <row r="37" spans="1:7" ht="12.75" customHeight="1" x14ac:dyDescent="0.25">
      <c r="A37" s="5225" t="s">
        <v>1557</v>
      </c>
      <c r="B37" s="5227" t="s">
        <v>1705</v>
      </c>
      <c r="C37" s="5228"/>
      <c r="D37" s="5229" t="s">
        <v>1706</v>
      </c>
      <c r="E37" s="5227" t="s">
        <v>3549</v>
      </c>
      <c r="F37" s="5231"/>
      <c r="G37" s="5232"/>
    </row>
    <row r="38" spans="1:7" ht="15.75" x14ac:dyDescent="0.25">
      <c r="A38" s="5226"/>
      <c r="B38" s="2483" t="s">
        <v>3550</v>
      </c>
      <c r="C38" s="2483" t="s">
        <v>1674</v>
      </c>
      <c r="D38" s="5230"/>
      <c r="E38" s="2483" t="s">
        <v>3550</v>
      </c>
      <c r="F38" s="2483" t="s">
        <v>1674</v>
      </c>
      <c r="G38" s="2483" t="s">
        <v>1593</v>
      </c>
    </row>
    <row r="39" spans="1:7" ht="15.75" x14ac:dyDescent="0.25">
      <c r="A39" s="2484" t="s">
        <v>256</v>
      </c>
      <c r="B39" s="2485">
        <f>SUM('ФАКТ.СЕБЕСТ.СТОКИ за 1 пол.2023'!C9)*1000</f>
        <v>254919.08142882501</v>
      </c>
      <c r="C39" s="2485">
        <f>SUM('ФАКТ.СЕБЕСТ.СТОКИ за 1 пол.2023'!F9)*1000</f>
        <v>256713.26299999998</v>
      </c>
      <c r="D39" s="2486">
        <f>SUM('ФАКТ.СЕБЕСТ.СТОКИ за 1 пол.2023'!CC30)</f>
        <v>40.700162386035515</v>
      </c>
      <c r="E39" s="2488">
        <f>B39*D39/1000</f>
        <v>10375.248009452189</v>
      </c>
      <c r="F39" s="2488">
        <f>C39*D39/1000</f>
        <v>10448.271490749043</v>
      </c>
      <c r="G39" s="2488">
        <f>SUM(F39-E39)</f>
        <v>73.023481296853788</v>
      </c>
    </row>
    <row r="40" spans="1:7" ht="15.75" x14ac:dyDescent="0.25">
      <c r="A40" s="2484" t="s">
        <v>257</v>
      </c>
      <c r="B40" s="2485">
        <f>SUM('ФАКТ.СЕБЕСТ.СТОКИ за 1 пол.2023'!L9)*1000</f>
        <v>254919.08142882501</v>
      </c>
      <c r="C40" s="2485">
        <f>SUM('ФАКТ.СЕБЕСТ.СТОКИ за 1 пол.2023'!O9)*1000</f>
        <v>268082.42499999999</v>
      </c>
      <c r="D40" s="2486">
        <f>SUM(D39)</f>
        <v>40.700162386035515</v>
      </c>
      <c r="E40" s="2488">
        <f t="shared" ref="E40:E50" si="6">B40*D40/1000</f>
        <v>10375.248009452189</v>
      </c>
      <c r="F40" s="2488">
        <f t="shared" ref="F40:F50" si="7">C40*D40/1000</f>
        <v>10910.998230342188</v>
      </c>
      <c r="G40" s="2488">
        <f t="shared" ref="G40:G50" si="8">SUM(F40-E40)</f>
        <v>535.75022088999867</v>
      </c>
    </row>
    <row r="41" spans="1:7" ht="15.75" x14ac:dyDescent="0.25">
      <c r="A41" s="2484" t="s">
        <v>258</v>
      </c>
      <c r="B41" s="2485">
        <f>SUM('ФАКТ.СЕБЕСТ.СТОКИ за 1 пол.2023'!U9)*1000</f>
        <v>254919.08142882501</v>
      </c>
      <c r="C41" s="2485">
        <f>SUM('ФАКТ.СЕБЕСТ.СТОКИ за 1 пол.2023'!X9)*1000</f>
        <v>257064.43000000002</v>
      </c>
      <c r="D41" s="2486">
        <f>SUM(D39)</f>
        <v>40.700162386035515</v>
      </c>
      <c r="E41" s="2488">
        <f t="shared" si="6"/>
        <v>10375.248009452189</v>
      </c>
      <c r="F41" s="2488">
        <f t="shared" si="7"/>
        <v>10462.564044673662</v>
      </c>
      <c r="G41" s="2488">
        <f t="shared" si="8"/>
        <v>87.316035221472703</v>
      </c>
    </row>
    <row r="42" spans="1:7" ht="15.75" x14ac:dyDescent="0.25">
      <c r="A42" s="2484" t="s">
        <v>259</v>
      </c>
      <c r="B42" s="2485">
        <f>SUM('ФАКТ.СЕБЕСТ.СТОКИ за 1 пол.2023'!AP9)*1000</f>
        <v>254919.08142882501</v>
      </c>
      <c r="C42" s="2485">
        <f>SUM('ФАКТ.СЕБЕСТ.СТОКИ за 1 пол.2023'!AS9)*1000</f>
        <v>262864.13399999996</v>
      </c>
      <c r="D42" s="2486">
        <f>SUM(D39)</f>
        <v>40.700162386035515</v>
      </c>
      <c r="E42" s="2488">
        <f t="shared" si="6"/>
        <v>10375.248009452189</v>
      </c>
      <c r="F42" s="2488">
        <f t="shared" si="7"/>
        <v>10698.612939264598</v>
      </c>
      <c r="G42" s="2488">
        <f t="shared" si="8"/>
        <v>323.36492981240917</v>
      </c>
    </row>
    <row r="43" spans="1:7" ht="15.75" x14ac:dyDescent="0.25">
      <c r="A43" s="2484" t="s">
        <v>260</v>
      </c>
      <c r="B43" s="2485">
        <f>SUM('ФАКТ.СЕБЕСТ.СТОКИ за 1 пол.2023'!AY9)*1000</f>
        <v>254919.08142882501</v>
      </c>
      <c r="C43" s="2485">
        <f>SUM('ФАКТ.СЕБЕСТ.СТОКИ за 1 пол.2023'!BB9)*1000</f>
        <v>262778.09600000002</v>
      </c>
      <c r="D43" s="2486">
        <f>SUM(D39)</f>
        <v>40.700162386035515</v>
      </c>
      <c r="E43" s="2488">
        <f t="shared" si="6"/>
        <v>10375.248009452189</v>
      </c>
      <c r="F43" s="2488">
        <f t="shared" si="7"/>
        <v>10695.111178693231</v>
      </c>
      <c r="G43" s="2488">
        <f t="shared" si="8"/>
        <v>319.86316924104176</v>
      </c>
    </row>
    <row r="44" spans="1:7" ht="15.75" x14ac:dyDescent="0.25">
      <c r="A44" s="2484" t="s">
        <v>261</v>
      </c>
      <c r="B44" s="2485">
        <f>SUM('ФАКТ.СЕБЕСТ.СТОКИ за 1 пол.2023'!BH9)*1000</f>
        <v>254919.08142882501</v>
      </c>
      <c r="C44" s="2485">
        <f>SUM('ФАКТ.СЕБЕСТ.СТОКИ за 1 пол.2023'!BK9)*1000</f>
        <v>255070.69699999999</v>
      </c>
      <c r="D44" s="2486">
        <f>SUM(D39)</f>
        <v>40.700162386035515</v>
      </c>
      <c r="E44" s="2488">
        <f t="shared" si="6"/>
        <v>10375.248009452189</v>
      </c>
      <c r="F44" s="2488">
        <f t="shared" si="7"/>
        <v>10381.418787819261</v>
      </c>
      <c r="G44" s="2488">
        <f t="shared" si="8"/>
        <v>6.1707783670717617</v>
      </c>
    </row>
    <row r="45" spans="1:7" ht="15.75" x14ac:dyDescent="0.25">
      <c r="A45" s="2484" t="s">
        <v>1207</v>
      </c>
      <c r="B45" s="2485">
        <f>SUM('ФАКТ.СЕБЕСТ.СТОКИ за 1 пол.2023'!CO9)*1000</f>
        <v>254919.08142882501</v>
      </c>
      <c r="C45" s="2485">
        <f>SUM('ФАКТ.СЕБЕСТ.СТОКИ за 1 пол.2023'!CR9)*1000</f>
        <v>225574.83900000001</v>
      </c>
      <c r="D45" s="2486">
        <f>SUM('ФАКТ.СЕБЕСТ.СТОКИ за 1 пол.2023'!CO30)</f>
        <v>40.700162386035515</v>
      </c>
      <c r="E45" s="2488">
        <f t="shared" si="6"/>
        <v>10375.248009452189</v>
      </c>
      <c r="F45" s="2488">
        <f t="shared" si="7"/>
        <v>9180.9325775038178</v>
      </c>
      <c r="G45" s="2488">
        <f t="shared" si="8"/>
        <v>-1194.315431948371</v>
      </c>
    </row>
    <row r="46" spans="1:7" ht="15.75" x14ac:dyDescent="0.25">
      <c r="A46" s="2484" t="s">
        <v>262</v>
      </c>
      <c r="B46" s="2485">
        <f>SUM('ФАКТ.СЕБЕСТ.СТОКИ за 1 пол.2023'!CX9)*1000</f>
        <v>254919.08142882501</v>
      </c>
      <c r="C46" s="2485">
        <f>SUM('ФАКТ.СЕБЕСТ.СТОКИ за 1 пол.2023'!DA9)*1000</f>
        <v>0</v>
      </c>
      <c r="D46" s="2486">
        <f>SUM(D45)</f>
        <v>40.700162386035515</v>
      </c>
      <c r="E46" s="2488">
        <f t="shared" si="6"/>
        <v>10375.248009452189</v>
      </c>
      <c r="F46" s="2488">
        <f t="shared" si="7"/>
        <v>0</v>
      </c>
      <c r="G46" s="2488">
        <f t="shared" si="8"/>
        <v>-10375.248009452189</v>
      </c>
    </row>
    <row r="47" spans="1:7" ht="15.75" x14ac:dyDescent="0.25">
      <c r="A47" s="2484" t="s">
        <v>1225</v>
      </c>
      <c r="B47" s="2485">
        <f>SUM('ФАКТ.СЕБЕСТ.СТОКИ за 1 пол.2023'!DG9)*1000</f>
        <v>254919.08142882501</v>
      </c>
      <c r="C47" s="2485">
        <f>SUM('ФАКТ.СЕБЕСТ.СТОКИ за 1 пол.2023'!DJ9)*1000</f>
        <v>0</v>
      </c>
      <c r="D47" s="2486">
        <f>SUM(D45)</f>
        <v>40.700162386035515</v>
      </c>
      <c r="E47" s="2488">
        <f t="shared" si="6"/>
        <v>10375.248009452189</v>
      </c>
      <c r="F47" s="2488">
        <f t="shared" si="7"/>
        <v>0</v>
      </c>
      <c r="G47" s="2488">
        <f t="shared" si="8"/>
        <v>-10375.248009452189</v>
      </c>
    </row>
    <row r="48" spans="1:7" ht="15.75" x14ac:dyDescent="0.25">
      <c r="A48" s="2484" t="s">
        <v>263</v>
      </c>
      <c r="B48" s="2485">
        <f>SUM('ФАКТ.СЕБЕСТ.СТОКИ за 1 пол.2023'!EN9)*1000</f>
        <v>254919.08142882501</v>
      </c>
      <c r="C48" s="2485">
        <f>SUM('ФАКТ.СЕБЕСТ.СТОКИ за 1 пол.2023'!EQ9)*1000</f>
        <v>0</v>
      </c>
      <c r="D48" s="2486">
        <f>SUM(D45)</f>
        <v>40.700162386035515</v>
      </c>
      <c r="E48" s="2488">
        <f t="shared" si="6"/>
        <v>10375.248009452189</v>
      </c>
      <c r="F48" s="2488">
        <f t="shared" si="7"/>
        <v>0</v>
      </c>
      <c r="G48" s="2488">
        <f t="shared" si="8"/>
        <v>-10375.248009452189</v>
      </c>
    </row>
    <row r="49" spans="1:7" ht="15.75" x14ac:dyDescent="0.25">
      <c r="A49" s="2484" t="s">
        <v>264</v>
      </c>
      <c r="B49" s="2485">
        <f>SUM('ФАКТ.СЕБЕСТ.СТОКИ за 1 пол.2023'!EW9)*1000</f>
        <v>254919.08142882501</v>
      </c>
      <c r="C49" s="2485">
        <f>SUM('ФАКТ.СЕБЕСТ.СТОКИ за 1 пол.2023'!EZ9)*1000</f>
        <v>0</v>
      </c>
      <c r="D49" s="2486">
        <f>SUM(D45)</f>
        <v>40.700162386035515</v>
      </c>
      <c r="E49" s="2488">
        <f t="shared" si="6"/>
        <v>10375.248009452189</v>
      </c>
      <c r="F49" s="2488">
        <f t="shared" si="7"/>
        <v>0</v>
      </c>
      <c r="G49" s="2488">
        <f t="shared" si="8"/>
        <v>-10375.248009452189</v>
      </c>
    </row>
    <row r="50" spans="1:7" ht="15.75" x14ac:dyDescent="0.25">
      <c r="A50" s="2484" t="s">
        <v>1316</v>
      </c>
      <c r="B50" s="2485">
        <f>SUM('ФАКТ.СЕБЕСТ.СТОКИ за 1 пол.2023'!FF9)*1000</f>
        <v>254919.08142882501</v>
      </c>
      <c r="C50" s="2485">
        <f>SUM('ФАКТ.СЕБЕСТ.СТОКИ за 1 пол.2023'!FI9)*1000</f>
        <v>0</v>
      </c>
      <c r="D50" s="2486">
        <f>SUM(D45)</f>
        <v>40.700162386035515</v>
      </c>
      <c r="E50" s="2488">
        <f t="shared" si="6"/>
        <v>10375.248009452189</v>
      </c>
      <c r="F50" s="2488">
        <f t="shared" si="7"/>
        <v>0</v>
      </c>
      <c r="G50" s="2488">
        <f t="shared" si="8"/>
        <v>-10375.248009452189</v>
      </c>
    </row>
    <row r="51" spans="1:7" ht="15.75" x14ac:dyDescent="0.25">
      <c r="A51" s="2490" t="s">
        <v>280</v>
      </c>
      <c r="B51" s="2491">
        <f>SUM(B39:B50)</f>
        <v>3059028.9771458996</v>
      </c>
      <c r="C51" s="2492">
        <f>SUM(C39:C50)</f>
        <v>1788147.8839999998</v>
      </c>
      <c r="D51" s="2492">
        <f>F51/C51*1000</f>
        <v>40.700162386035522</v>
      </c>
      <c r="E51" s="2492">
        <f>SUM(E39:E50)</f>
        <v>124502.97611342627</v>
      </c>
      <c r="F51" s="2492">
        <f>SUM(F39:F50)</f>
        <v>72777.909249045799</v>
      </c>
      <c r="G51" s="2492">
        <f>SUM(G39:G50)</f>
        <v>-51725.066864380467</v>
      </c>
    </row>
    <row r="52" spans="1:7" ht="15" x14ac:dyDescent="0.2">
      <c r="A52" s="2493"/>
      <c r="B52" s="2493"/>
      <c r="C52" s="2493"/>
      <c r="D52" s="2493"/>
      <c r="E52" s="2493"/>
      <c r="F52" s="2493"/>
    </row>
    <row r="53" spans="1:7" ht="15.75" x14ac:dyDescent="0.2">
      <c r="A53" s="5223" t="s">
        <v>1749</v>
      </c>
      <c r="B53" s="5223"/>
      <c r="C53" s="5223"/>
      <c r="D53" s="5224"/>
      <c r="E53" s="5224"/>
      <c r="F53" s="5224"/>
      <c r="G53" s="5224"/>
    </row>
    <row r="54" spans="1:7" ht="12.75" customHeight="1" x14ac:dyDescent="0.25">
      <c r="A54" s="5225" t="s">
        <v>1557</v>
      </c>
      <c r="B54" s="5227" t="s">
        <v>1705</v>
      </c>
      <c r="C54" s="5228"/>
      <c r="D54" s="5229" t="s">
        <v>1706</v>
      </c>
      <c r="E54" s="5227" t="s">
        <v>3549</v>
      </c>
      <c r="F54" s="5231"/>
      <c r="G54" s="5232"/>
    </row>
    <row r="55" spans="1:7" ht="15.75" x14ac:dyDescent="0.25">
      <c r="A55" s="5226"/>
      <c r="B55" s="2483" t="s">
        <v>3550</v>
      </c>
      <c r="C55" s="2483" t="s">
        <v>1674</v>
      </c>
      <c r="D55" s="5230"/>
      <c r="E55" s="2483" t="s">
        <v>3550</v>
      </c>
      <c r="F55" s="2483" t="s">
        <v>1674</v>
      </c>
      <c r="G55" s="2483" t="s">
        <v>1593</v>
      </c>
    </row>
    <row r="56" spans="1:7" ht="15.75" x14ac:dyDescent="0.25">
      <c r="A56" s="2484" t="s">
        <v>256</v>
      </c>
      <c r="B56" s="2485">
        <f>SUM('ФАКТ.СЕБЕСТ.СТОКИ за 1 пол.2023'!D9)*1000</f>
        <v>1268.6059453930084</v>
      </c>
      <c r="C56" s="2485">
        <f>SUM('ФАКТ.СЕБЕСТ.СТОКИ за 1 пол.2023'!G9)*1000</f>
        <v>701.25</v>
      </c>
      <c r="D56" s="2488">
        <f>SUM('ФАКТ.СЕБЕСТ.СТОКИ за 1 пол.2023'!CD29)</f>
        <v>22.779222604654247</v>
      </c>
      <c r="E56" s="2488">
        <f>B56*D56/1000</f>
        <v>28.897857227695191</v>
      </c>
      <c r="F56" s="2488">
        <f>C56*D56/1000</f>
        <v>15.973929851513791</v>
      </c>
      <c r="G56" s="2488">
        <f>SUM(F56-E56)</f>
        <v>-12.9239273761814</v>
      </c>
    </row>
    <row r="57" spans="1:7" ht="15.75" x14ac:dyDescent="0.25">
      <c r="A57" s="2484" t="s">
        <v>257</v>
      </c>
      <c r="B57" s="2485">
        <f>SUM('ФАКТ.СЕБЕСТ.СТОКИ за 1 пол.2023'!M9)*1000</f>
        <v>1268.6059453930084</v>
      </c>
      <c r="C57" s="2485">
        <f>SUM('ФАКТ.СЕБЕСТ.СТОКИ за 1 пол.2023'!P9)*1000</f>
        <v>460.25</v>
      </c>
      <c r="D57" s="2488">
        <f>SUM(D56)</f>
        <v>22.779222604654247</v>
      </c>
      <c r="E57" s="2488">
        <f t="shared" ref="E57:E67" si="9">B57*D57/1000</f>
        <v>28.897857227695191</v>
      </c>
      <c r="F57" s="2488">
        <f t="shared" ref="F57:F67" si="10">C57*D57/1000</f>
        <v>10.484137203792118</v>
      </c>
      <c r="G57" s="2488">
        <f t="shared" ref="G57:G67" si="11">SUM(F57-E57)</f>
        <v>-18.413720023903075</v>
      </c>
    </row>
    <row r="58" spans="1:7" ht="15.75" x14ac:dyDescent="0.25">
      <c r="A58" s="2484" t="s">
        <v>258</v>
      </c>
      <c r="B58" s="2485">
        <f>SUM('ФАКТ.СЕБЕСТ.СТОКИ за 1 пол.2023'!V9)*1000</f>
        <v>1268.6059453930084</v>
      </c>
      <c r="C58" s="2485">
        <f>SUM('ФАКТ.СЕБЕСТ.СТОКИ за 1 пол.2023'!Y9)*1000</f>
        <v>2417.5</v>
      </c>
      <c r="D58" s="2488">
        <f>SUM(D56)</f>
        <v>22.779222604654247</v>
      </c>
      <c r="E58" s="2488">
        <f t="shared" si="9"/>
        <v>28.897857227695191</v>
      </c>
      <c r="F58" s="2488">
        <f t="shared" si="10"/>
        <v>55.068770646751638</v>
      </c>
      <c r="G58" s="2488">
        <f t="shared" si="11"/>
        <v>26.170913419056447</v>
      </c>
    </row>
    <row r="59" spans="1:7" ht="15.75" x14ac:dyDescent="0.25">
      <c r="A59" s="2484" t="s">
        <v>259</v>
      </c>
      <c r="B59" s="2485">
        <f>SUM('ФАКТ.СЕБЕСТ.СТОКИ за 1 пол.2023'!AQ9)*1000</f>
        <v>1268.6059453930084</v>
      </c>
      <c r="C59" s="2485">
        <f>SUM('ФАКТ.СЕБЕСТ.СТОКИ за 1 пол.2023'!AT9)*1000</f>
        <v>460</v>
      </c>
      <c r="D59" s="2488">
        <f>SUM(D56)</f>
        <v>22.779222604654247</v>
      </c>
      <c r="E59" s="2488">
        <f t="shared" si="9"/>
        <v>28.897857227695191</v>
      </c>
      <c r="F59" s="2488">
        <f t="shared" si="10"/>
        <v>10.478442398140954</v>
      </c>
      <c r="G59" s="2488">
        <f t="shared" si="11"/>
        <v>-18.419414829554235</v>
      </c>
    </row>
    <row r="60" spans="1:7" ht="15.75" x14ac:dyDescent="0.25">
      <c r="A60" s="2484" t="s">
        <v>260</v>
      </c>
      <c r="B60" s="2485">
        <f>SUM('ФАКТ.СЕБЕСТ.СТОКИ за 1 пол.2023'!AZ9)*1000</f>
        <v>1268.6059453930084</v>
      </c>
      <c r="C60" s="2485">
        <f>SUM('ФАКТ.СЕБЕСТ.СТОКИ за 1 пол.2023'!BC9)*1000</f>
        <v>748.75</v>
      </c>
      <c r="D60" s="2488">
        <f>SUM(D56)</f>
        <v>22.779222604654247</v>
      </c>
      <c r="E60" s="2488">
        <f t="shared" si="9"/>
        <v>28.897857227695191</v>
      </c>
      <c r="F60" s="2488">
        <f t="shared" si="10"/>
        <v>17.055942925234866</v>
      </c>
      <c r="G60" s="2488">
        <f t="shared" si="11"/>
        <v>-11.841914302460324</v>
      </c>
    </row>
    <row r="61" spans="1:7" ht="15.75" x14ac:dyDescent="0.25">
      <c r="A61" s="2484" t="s">
        <v>261</v>
      </c>
      <c r="B61" s="2485">
        <f>SUM('ФАКТ.СЕБЕСТ.СТОКИ за 1 пол.2023'!BI9)*1000</f>
        <v>1268.6059453930084</v>
      </c>
      <c r="C61" s="2485">
        <f>SUM('ФАКТ.СЕБЕСТ.СТОКИ за 1 пол.2023'!BL9)*1000</f>
        <v>2591.25</v>
      </c>
      <c r="D61" s="2488">
        <f>SUM(D56)</f>
        <v>22.779222604654247</v>
      </c>
      <c r="E61" s="2488">
        <f t="shared" si="9"/>
        <v>28.897857227695191</v>
      </c>
      <c r="F61" s="2488">
        <f t="shared" si="10"/>
        <v>59.02666057431032</v>
      </c>
      <c r="G61" s="2488">
        <f t="shared" si="11"/>
        <v>30.128803346615129</v>
      </c>
    </row>
    <row r="62" spans="1:7" ht="15.75" x14ac:dyDescent="0.25">
      <c r="A62" s="2484" t="s">
        <v>1207</v>
      </c>
      <c r="B62" s="2485">
        <f>SUM('ФАКТ.СЕБЕСТ.СТОКИ за 1 пол.2023'!CP9)*1000</f>
        <v>1268.6059453930084</v>
      </c>
      <c r="C62" s="2485">
        <f>SUM('ФАКТ.СЕБЕСТ.СТОКИ за 1 пол.2023'!CS9)*1000</f>
        <v>542.5</v>
      </c>
      <c r="D62" s="2488">
        <f>SUM('ФАКТ.СЕБЕСТ.СТОКИ за 1 пол.2023'!CP29)</f>
        <v>22.779222604654247</v>
      </c>
      <c r="E62" s="2488">
        <f t="shared" si="9"/>
        <v>28.897857227695191</v>
      </c>
      <c r="F62" s="2488">
        <f t="shared" si="10"/>
        <v>12.35772826302493</v>
      </c>
      <c r="G62" s="2488">
        <f t="shared" si="11"/>
        <v>-16.540128964670259</v>
      </c>
    </row>
    <row r="63" spans="1:7" ht="15.75" x14ac:dyDescent="0.25">
      <c r="A63" s="2484" t="s">
        <v>262</v>
      </c>
      <c r="B63" s="2485">
        <f>SUM('ФАКТ.СЕБЕСТ.СТОКИ за 1 пол.2023'!CY9)*1000</f>
        <v>1268.6059453930084</v>
      </c>
      <c r="C63" s="2485">
        <f>SUM('ФАКТ.СЕБЕСТ.СТОКИ за 1 пол.2023'!DB9)*1000</f>
        <v>0</v>
      </c>
      <c r="D63" s="2488">
        <f>SUM(D62)</f>
        <v>22.779222604654247</v>
      </c>
      <c r="E63" s="2488">
        <f t="shared" si="9"/>
        <v>28.897857227695191</v>
      </c>
      <c r="F63" s="2488">
        <f t="shared" si="10"/>
        <v>0</v>
      </c>
      <c r="G63" s="2488">
        <f t="shared" si="11"/>
        <v>-28.897857227695191</v>
      </c>
    </row>
    <row r="64" spans="1:7" ht="15.75" x14ac:dyDescent="0.25">
      <c r="A64" s="2484" t="s">
        <v>1225</v>
      </c>
      <c r="B64" s="2485">
        <f>SUM('ФАКТ.СЕБЕСТ.СТОКИ за 1 пол.2023'!DH9)*1000</f>
        <v>1268.6059453930084</v>
      </c>
      <c r="C64" s="2485">
        <f>SUM('ФАКТ.СЕБЕСТ.СТОКИ за 1 пол.2023'!DK9)*1000</f>
        <v>0</v>
      </c>
      <c r="D64" s="2488">
        <f>SUM(D62)</f>
        <v>22.779222604654247</v>
      </c>
      <c r="E64" s="2488">
        <f t="shared" si="9"/>
        <v>28.897857227695191</v>
      </c>
      <c r="F64" s="2488">
        <f t="shared" si="10"/>
        <v>0</v>
      </c>
      <c r="G64" s="2488">
        <f t="shared" si="11"/>
        <v>-28.897857227695191</v>
      </c>
    </row>
    <row r="65" spans="1:7" ht="15.75" x14ac:dyDescent="0.25">
      <c r="A65" s="2484" t="s">
        <v>263</v>
      </c>
      <c r="B65" s="2485">
        <f>SUM('ФАКТ.СЕБЕСТ.СТОКИ за 1 пол.2023'!EO9)*1000</f>
        <v>1268.6059453930084</v>
      </c>
      <c r="C65" s="2485">
        <f>SUM('ФАКТ.СЕБЕСТ.СТОКИ за 1 пол.2023'!ER9)*1000</f>
        <v>0</v>
      </c>
      <c r="D65" s="2488">
        <f>SUM(D62)</f>
        <v>22.779222604654247</v>
      </c>
      <c r="E65" s="2488">
        <f t="shared" si="9"/>
        <v>28.897857227695191</v>
      </c>
      <c r="F65" s="2488">
        <f t="shared" si="10"/>
        <v>0</v>
      </c>
      <c r="G65" s="2488">
        <f t="shared" si="11"/>
        <v>-28.897857227695191</v>
      </c>
    </row>
    <row r="66" spans="1:7" ht="15.75" x14ac:dyDescent="0.25">
      <c r="A66" s="2484" t="s">
        <v>264</v>
      </c>
      <c r="B66" s="2485">
        <f>SUM('ФАКТ.СЕБЕСТ.СТОКИ за 1 пол.2023'!EX9)*1000</f>
        <v>1268.6059453930084</v>
      </c>
      <c r="C66" s="2485">
        <f>SUM('ФАКТ.СЕБЕСТ.СТОКИ за 1 пол.2023'!FA9)*1000</f>
        <v>0</v>
      </c>
      <c r="D66" s="2488">
        <f>SUM(D62)</f>
        <v>22.779222604654247</v>
      </c>
      <c r="E66" s="2488">
        <f t="shared" si="9"/>
        <v>28.897857227695191</v>
      </c>
      <c r="F66" s="2488">
        <f t="shared" si="10"/>
        <v>0</v>
      </c>
      <c r="G66" s="2488">
        <f t="shared" si="11"/>
        <v>-28.897857227695191</v>
      </c>
    </row>
    <row r="67" spans="1:7" ht="15.75" x14ac:dyDescent="0.25">
      <c r="A67" s="2484" t="s">
        <v>1316</v>
      </c>
      <c r="B67" s="2485">
        <f>SUM('ФАКТ.СЕБЕСТ.СТОКИ за 1 пол.2023'!FG9)*1000</f>
        <v>1268.6059453930084</v>
      </c>
      <c r="C67" s="2485">
        <f>SUM('ФАКТ.СЕБЕСТ.СТОКИ за 1 пол.2023'!FJ9)*1000</f>
        <v>0</v>
      </c>
      <c r="D67" s="2488">
        <f>SUM(D62)</f>
        <v>22.779222604654247</v>
      </c>
      <c r="E67" s="2488">
        <f t="shared" si="9"/>
        <v>28.897857227695191</v>
      </c>
      <c r="F67" s="2488">
        <f t="shared" si="10"/>
        <v>0</v>
      </c>
      <c r="G67" s="2488">
        <f t="shared" si="11"/>
        <v>-28.897857227695191</v>
      </c>
    </row>
    <row r="68" spans="1:7" ht="15.75" x14ac:dyDescent="0.25">
      <c r="A68" s="2490" t="s">
        <v>280</v>
      </c>
      <c r="B68" s="2491">
        <f>SUM(B56:B67)</f>
        <v>15223.2713447161</v>
      </c>
      <c r="C68" s="2492">
        <f>SUM(C56:C67)</f>
        <v>7921.5</v>
      </c>
      <c r="D68" s="2492">
        <f>F68/C68*1000</f>
        <v>22.779222604654247</v>
      </c>
      <c r="E68" s="2492">
        <f>SUM(E56:E67)</f>
        <v>346.77428673234226</v>
      </c>
      <c r="F68" s="2492">
        <f>SUM(F56:F67)</f>
        <v>180.44561186276863</v>
      </c>
      <c r="G68" s="2492">
        <f>SUM(G56:G67)</f>
        <v>-166.32867486957369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17">
    <tabColor theme="1"/>
    <pageSetUpPr fitToPage="1"/>
  </sheetPr>
  <dimension ref="A1:GM432"/>
  <sheetViews>
    <sheetView tabSelected="1" zoomScale="70" zoomScaleNormal="70" zoomScalePageLayoutView="90" workbookViewId="0">
      <pane xSplit="1" ySplit="6" topLeftCell="CB64" activePane="bottomRight" state="frozen"/>
      <selection pane="topRight" activeCell="B1" sqref="B1"/>
      <selection pane="bottomLeft" activeCell="A7" sqref="A7"/>
      <selection pane="bottomRight" activeCell="CB42" sqref="CB42"/>
    </sheetView>
  </sheetViews>
  <sheetFormatPr defaultRowHeight="12.75" x14ac:dyDescent="0.2"/>
  <cols>
    <col min="1" max="1" width="57" customWidth="1"/>
    <col min="2" max="28" width="12.7109375" hidden="1" customWidth="1"/>
    <col min="29" max="30" width="14.140625" hidden="1" customWidth="1"/>
    <col min="31" max="31" width="12.7109375" hidden="1" customWidth="1"/>
    <col min="32" max="32" width="14.85546875" hidden="1" customWidth="1"/>
    <col min="33" max="33" width="14.28515625" hidden="1" customWidth="1"/>
    <col min="34" max="37" width="12.7109375" hidden="1" customWidth="1"/>
    <col min="38" max="38" width="13.28515625" hidden="1" customWidth="1"/>
    <col min="39" max="39" width="13.140625" hidden="1" customWidth="1"/>
    <col min="40" max="76" width="12.7109375" hidden="1" customWidth="1"/>
    <col min="77" max="77" width="13.42578125" hidden="1" customWidth="1"/>
    <col min="78" max="78" width="13.140625" hidden="1" customWidth="1"/>
    <col min="79" max="79" width="12.7109375" hidden="1" customWidth="1"/>
    <col min="80" max="88" width="12.7109375" customWidth="1"/>
    <col min="89" max="89" width="13.28515625" customWidth="1"/>
    <col min="90" max="90" width="13.5703125" customWidth="1"/>
    <col min="91" max="91" width="12.7109375" customWidth="1"/>
    <col min="92" max="127" width="12.7109375" hidden="1" customWidth="1"/>
    <col min="128" max="128" width="13.42578125" hidden="1" customWidth="1"/>
    <col min="129" max="129" width="13.140625" hidden="1" customWidth="1"/>
    <col min="130" max="133" width="12.7109375" hidden="1" customWidth="1"/>
    <col min="134" max="134" width="14.42578125" hidden="1" customWidth="1"/>
    <col min="135" max="135" width="14.5703125" hidden="1" customWidth="1"/>
    <col min="136" max="136" width="13.140625" hidden="1" customWidth="1"/>
    <col min="137" max="139" width="12.7109375" hidden="1" customWidth="1"/>
    <col min="140" max="140" width="13.28515625" hidden="1" customWidth="1"/>
    <col min="141" max="141" width="13.140625" hidden="1" customWidth="1"/>
    <col min="142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2" width="15.7109375" hidden="1" customWidth="1"/>
    <col min="183" max="183" width="15.28515625" hidden="1" customWidth="1"/>
    <col min="184" max="187" width="14.28515625" hidden="1" customWidth="1"/>
    <col min="188" max="188" width="14" hidden="1" customWidth="1"/>
    <col min="189" max="189" width="13.5703125" hidden="1" customWidth="1"/>
    <col min="190" max="190" width="12.7109375" hidden="1" customWidth="1"/>
    <col min="191" max="192" width="13.140625" hidden="1" customWidth="1"/>
    <col min="193" max="193" width="12.7109375" hidden="1" customWidth="1"/>
    <col min="194" max="194" width="0" hidden="1" customWidth="1"/>
    <col min="195" max="195" width="12.42578125" hidden="1" customWidth="1"/>
  </cols>
  <sheetData>
    <row r="1" spans="1:195" ht="23.25" x14ac:dyDescent="0.35">
      <c r="A1" s="2791" t="s">
        <v>3768</v>
      </c>
      <c r="BA1" s="2857"/>
      <c r="BB1" s="2857"/>
      <c r="BC1" s="2857"/>
    </row>
    <row r="2" spans="1:195" ht="23.25" x14ac:dyDescent="0.35">
      <c r="A2" s="2791" t="s">
        <v>4238</v>
      </c>
      <c r="BA2" s="2857"/>
      <c r="BB2" s="2857"/>
      <c r="BC2" s="2857"/>
    </row>
    <row r="3" spans="1:195" ht="23.25" x14ac:dyDescent="0.35">
      <c r="BA3" s="2857"/>
      <c r="BB3" s="2857"/>
      <c r="BC3" s="2857"/>
    </row>
    <row r="4" spans="1:195" ht="18.75" customHeight="1" x14ac:dyDescent="0.2">
      <c r="A4" s="5233" t="s">
        <v>3752</v>
      </c>
      <c r="B4" s="5234"/>
      <c r="C4" s="5234"/>
      <c r="D4" s="5234"/>
      <c r="E4" s="5234"/>
      <c r="F4" s="5234"/>
      <c r="G4" s="5234"/>
      <c r="H4" s="5234"/>
      <c r="I4" s="5234"/>
      <c r="J4" s="5234"/>
      <c r="K4" s="5234"/>
      <c r="L4" s="5234"/>
      <c r="M4" s="5234"/>
      <c r="N4" s="5234"/>
      <c r="O4" s="5234"/>
      <c r="P4" s="5234"/>
      <c r="Q4" s="5234"/>
      <c r="R4" s="5234"/>
      <c r="S4" s="5234"/>
      <c r="T4" s="5234"/>
      <c r="U4" s="5234"/>
      <c r="V4" s="5234"/>
      <c r="W4" s="5234"/>
      <c r="X4" s="5234"/>
      <c r="Y4" s="5234"/>
      <c r="Z4" s="5234"/>
      <c r="AA4" s="5234"/>
      <c r="AB4" s="5234"/>
      <c r="AC4" s="5234"/>
      <c r="AD4" s="5234"/>
      <c r="AE4" s="5234"/>
      <c r="AF4" s="5234"/>
      <c r="AG4" s="5234"/>
      <c r="AH4" s="5234"/>
      <c r="AI4" s="5234"/>
      <c r="AJ4" s="5234"/>
      <c r="AK4" s="5234"/>
      <c r="AL4" s="5234"/>
      <c r="AM4" s="5234"/>
      <c r="AN4" s="5234"/>
      <c r="AO4" s="5234"/>
      <c r="AP4" s="5234"/>
      <c r="AQ4" s="5234"/>
      <c r="AR4" s="5234"/>
      <c r="AS4" s="5234"/>
      <c r="AT4" s="5234"/>
      <c r="AU4" s="5234"/>
      <c r="AV4" s="5234"/>
      <c r="AW4" s="5234"/>
      <c r="AX4" s="5234"/>
      <c r="AY4" s="5234"/>
      <c r="AZ4" s="5234"/>
      <c r="BA4" s="5234"/>
      <c r="BB4" s="5234"/>
      <c r="BC4" s="5234"/>
      <c r="BD4" s="5234"/>
      <c r="BE4" s="5234"/>
      <c r="BF4" s="5234"/>
      <c r="BG4" s="5234"/>
      <c r="BH4" s="5234"/>
      <c r="BI4" s="5234"/>
      <c r="BJ4" s="5234"/>
      <c r="BK4" s="5234"/>
      <c r="BL4" s="5234"/>
      <c r="BM4" s="5234"/>
      <c r="BN4" s="5234"/>
      <c r="BO4" s="5234"/>
      <c r="BP4" s="5234"/>
      <c r="BQ4" s="5234"/>
      <c r="BR4" s="5234"/>
      <c r="BS4" s="5234"/>
      <c r="BT4" s="5234"/>
      <c r="BU4" s="5234"/>
      <c r="BV4" s="5234"/>
      <c r="BW4" s="5234"/>
      <c r="BX4" s="5234"/>
      <c r="BY4" s="5234"/>
      <c r="BZ4" s="5234"/>
      <c r="CA4" s="5234"/>
      <c r="CB4" s="5234"/>
      <c r="CC4" s="5234"/>
      <c r="CD4" s="5234"/>
      <c r="CE4" s="5234"/>
      <c r="CF4" s="5234"/>
      <c r="CG4" s="5234"/>
      <c r="CH4" s="5234"/>
      <c r="CI4" s="5234"/>
      <c r="CJ4" s="5234"/>
      <c r="CK4" s="5234"/>
      <c r="CL4" s="5234"/>
      <c r="CM4" s="5234"/>
      <c r="CN4" s="5234"/>
      <c r="CO4" s="5234"/>
      <c r="CP4" s="5234"/>
      <c r="CQ4" s="5234"/>
      <c r="CR4" s="5234"/>
      <c r="CS4" s="5234"/>
      <c r="CT4" s="5234"/>
      <c r="CU4" s="5234"/>
      <c r="CV4" s="5234"/>
      <c r="CW4" s="5234"/>
      <c r="CX4" s="5234"/>
      <c r="CY4" s="5234"/>
      <c r="CZ4" s="5234"/>
      <c r="DA4" s="5234"/>
      <c r="DB4" s="5234"/>
      <c r="DC4" s="5234"/>
      <c r="DD4" s="5234"/>
      <c r="DE4" s="5234"/>
      <c r="DF4" s="5234"/>
      <c r="DG4" s="5234"/>
      <c r="DH4" s="5234"/>
      <c r="DI4" s="5234"/>
      <c r="DJ4" s="5234"/>
      <c r="DK4" s="5234"/>
      <c r="DL4" s="5234"/>
      <c r="DM4" s="5234"/>
      <c r="DN4" s="5234"/>
      <c r="DO4" s="5234"/>
      <c r="DP4" s="5234"/>
      <c r="DQ4" s="5234"/>
      <c r="DR4" s="5234"/>
      <c r="DS4" s="5234"/>
      <c r="DT4" s="5234"/>
      <c r="DU4" s="5234"/>
      <c r="DV4" s="5234"/>
      <c r="DW4" s="5234"/>
      <c r="DX4" s="5234"/>
      <c r="DY4" s="5234"/>
      <c r="DZ4" s="5234"/>
      <c r="EA4" s="5234"/>
      <c r="EB4" s="5234"/>
      <c r="EC4" s="5234"/>
      <c r="ED4" s="5234"/>
      <c r="EE4" s="5234"/>
      <c r="EF4" s="5234"/>
      <c r="EG4" s="5234"/>
      <c r="EH4" s="5234"/>
      <c r="EI4" s="5234"/>
      <c r="EJ4" s="5234"/>
      <c r="EK4" s="5234"/>
      <c r="EL4" s="5234"/>
      <c r="EM4" s="5234"/>
      <c r="EN4" s="5234"/>
      <c r="EO4" s="5234"/>
      <c r="EP4" s="5234"/>
      <c r="EQ4" s="5234"/>
      <c r="ER4" s="5234"/>
      <c r="ES4" s="5234"/>
      <c r="ET4" s="5234"/>
      <c r="EU4" s="5234"/>
      <c r="EV4" s="5234"/>
      <c r="EW4" s="5234"/>
      <c r="EX4" s="5234"/>
      <c r="EY4" s="5234"/>
      <c r="EZ4" s="5234"/>
      <c r="FA4" s="5234"/>
      <c r="FB4" s="5234"/>
      <c r="FC4" s="5234"/>
      <c r="FD4" s="5234"/>
      <c r="FE4" s="5234"/>
      <c r="FF4" s="5234"/>
      <c r="FG4" s="5234"/>
      <c r="FH4" s="5234"/>
      <c r="FI4" s="5234"/>
      <c r="FJ4" s="5234"/>
      <c r="FK4" s="5234"/>
      <c r="FL4" s="5234"/>
      <c r="FM4" s="5234"/>
      <c r="FN4" s="5234"/>
      <c r="FO4" s="5234"/>
      <c r="FP4" s="5234"/>
      <c r="FQ4" s="5234"/>
      <c r="FR4" s="5234"/>
      <c r="FS4" s="5234"/>
      <c r="FT4" s="5234"/>
      <c r="FU4" s="5234"/>
      <c r="FV4" s="5234"/>
      <c r="FW4" s="5234"/>
      <c r="FX4" s="5234"/>
      <c r="FY4" s="5234"/>
      <c r="FZ4" s="5234"/>
      <c r="GA4" s="5234"/>
      <c r="GB4" s="5234"/>
      <c r="GC4" s="5234"/>
      <c r="GD4" s="5234"/>
      <c r="GE4" s="5234"/>
      <c r="GF4" s="5234"/>
      <c r="GG4" s="5234"/>
      <c r="GH4" s="5234"/>
      <c r="GI4" s="5234"/>
      <c r="GJ4" s="5234"/>
      <c r="GK4" s="5235"/>
    </row>
    <row r="5" spans="1:195" ht="19.5" customHeight="1" x14ac:dyDescent="0.2">
      <c r="A5" s="5236" t="s">
        <v>525</v>
      </c>
      <c r="B5" s="5237" t="s">
        <v>3726</v>
      </c>
      <c r="C5" s="5238"/>
      <c r="D5" s="5238"/>
      <c r="E5" s="5239"/>
      <c r="F5" s="5239"/>
      <c r="G5" s="5239"/>
      <c r="H5" s="5239"/>
      <c r="I5" s="5240"/>
      <c r="J5" s="5241"/>
      <c r="K5" s="5237" t="s">
        <v>3727</v>
      </c>
      <c r="L5" s="5238"/>
      <c r="M5" s="5238"/>
      <c r="N5" s="5239"/>
      <c r="O5" s="5239"/>
      <c r="P5" s="5239"/>
      <c r="Q5" s="5239"/>
      <c r="R5" s="5240"/>
      <c r="S5" s="5241"/>
      <c r="T5" s="5237" t="s">
        <v>3728</v>
      </c>
      <c r="U5" s="5238"/>
      <c r="V5" s="5238"/>
      <c r="W5" s="5239"/>
      <c r="X5" s="5239"/>
      <c r="Y5" s="5239"/>
      <c r="Z5" s="5239"/>
      <c r="AA5" s="5242"/>
      <c r="AB5" s="5243"/>
      <c r="AC5" s="5244" t="s">
        <v>3678</v>
      </c>
      <c r="AD5" s="5245"/>
      <c r="AE5" s="5245"/>
      <c r="AF5" s="5246"/>
      <c r="AG5" s="5246"/>
      <c r="AH5" s="5246"/>
      <c r="AI5" s="5246"/>
      <c r="AJ5" s="5246"/>
      <c r="AK5" s="5246"/>
      <c r="AL5" s="5246"/>
      <c r="AM5" s="5246"/>
      <c r="AN5" s="5246"/>
      <c r="AO5" s="5237" t="s">
        <v>3729</v>
      </c>
      <c r="AP5" s="5238"/>
      <c r="AQ5" s="5238"/>
      <c r="AR5" s="5239"/>
      <c r="AS5" s="5239"/>
      <c r="AT5" s="5239"/>
      <c r="AU5" s="5239"/>
      <c r="AV5" s="5242"/>
      <c r="AW5" s="5243"/>
      <c r="AX5" s="5237" t="s">
        <v>3730</v>
      </c>
      <c r="AY5" s="5238"/>
      <c r="AZ5" s="5238"/>
      <c r="BA5" s="5239"/>
      <c r="BB5" s="5239"/>
      <c r="BC5" s="5239"/>
      <c r="BD5" s="5239"/>
      <c r="BE5" s="5240"/>
      <c r="BF5" s="5241"/>
      <c r="BG5" s="5237" t="s">
        <v>3731</v>
      </c>
      <c r="BH5" s="5238"/>
      <c r="BI5" s="5238"/>
      <c r="BJ5" s="5239"/>
      <c r="BK5" s="5239"/>
      <c r="BL5" s="5239"/>
      <c r="BM5" s="5239"/>
      <c r="BN5" s="5240"/>
      <c r="BO5" s="5241"/>
      <c r="BP5" s="5244" t="s">
        <v>3679</v>
      </c>
      <c r="BQ5" s="5245"/>
      <c r="BR5" s="5245"/>
      <c r="BS5" s="5246"/>
      <c r="BT5" s="5246"/>
      <c r="BU5" s="5246"/>
      <c r="BV5" s="5246"/>
      <c r="BW5" s="5246"/>
      <c r="BX5" s="5246"/>
      <c r="BY5" s="5240"/>
      <c r="BZ5" s="5240"/>
      <c r="CA5" s="5240"/>
      <c r="CB5" s="5244" t="s">
        <v>3680</v>
      </c>
      <c r="CC5" s="5245"/>
      <c r="CD5" s="5245"/>
      <c r="CE5" s="5246"/>
      <c r="CF5" s="5246"/>
      <c r="CG5" s="5246"/>
      <c r="CH5" s="5246"/>
      <c r="CI5" s="5246"/>
      <c r="CJ5" s="5246"/>
      <c r="CK5" s="5240"/>
      <c r="CL5" s="5240"/>
      <c r="CM5" s="5240"/>
      <c r="CN5" s="5237" t="s">
        <v>1357</v>
      </c>
      <c r="CO5" s="5238"/>
      <c r="CP5" s="5238"/>
      <c r="CQ5" s="5239"/>
      <c r="CR5" s="5239"/>
      <c r="CS5" s="5239"/>
      <c r="CT5" s="5239"/>
      <c r="CU5" s="5240"/>
      <c r="CV5" s="5241"/>
      <c r="CW5" s="5237" t="s">
        <v>3732</v>
      </c>
      <c r="CX5" s="5238"/>
      <c r="CY5" s="5238"/>
      <c r="CZ5" s="5239"/>
      <c r="DA5" s="5239"/>
      <c r="DB5" s="5239"/>
      <c r="DC5" s="5239"/>
      <c r="DD5" s="5240"/>
      <c r="DE5" s="5241"/>
      <c r="DF5" s="5237" t="s">
        <v>3733</v>
      </c>
      <c r="DG5" s="5238"/>
      <c r="DH5" s="5238"/>
      <c r="DI5" s="5239"/>
      <c r="DJ5" s="5239"/>
      <c r="DK5" s="5239"/>
      <c r="DL5" s="5239"/>
      <c r="DM5" s="5240"/>
      <c r="DN5" s="5241"/>
      <c r="DO5" s="5244" t="s">
        <v>3681</v>
      </c>
      <c r="DP5" s="5245"/>
      <c r="DQ5" s="5245"/>
      <c r="DR5" s="5246"/>
      <c r="DS5" s="5246"/>
      <c r="DT5" s="5246"/>
      <c r="DU5" s="5246"/>
      <c r="DV5" s="5246"/>
      <c r="DW5" s="5246"/>
      <c r="DX5" s="5240"/>
      <c r="DY5" s="5240"/>
      <c r="DZ5" s="5240"/>
      <c r="EA5" s="5244" t="s">
        <v>3682</v>
      </c>
      <c r="EB5" s="5245"/>
      <c r="EC5" s="5245"/>
      <c r="ED5" s="5246"/>
      <c r="EE5" s="5246"/>
      <c r="EF5" s="5246"/>
      <c r="EG5" s="5246"/>
      <c r="EH5" s="5246"/>
      <c r="EI5" s="5246"/>
      <c r="EJ5" s="5240"/>
      <c r="EK5" s="5240"/>
      <c r="EL5" s="5240"/>
      <c r="EM5" s="5237" t="s">
        <v>3734</v>
      </c>
      <c r="EN5" s="5238"/>
      <c r="EO5" s="5238"/>
      <c r="EP5" s="5239"/>
      <c r="EQ5" s="5239"/>
      <c r="ER5" s="5239"/>
      <c r="ES5" s="5239"/>
      <c r="ET5" s="5240"/>
      <c r="EU5" s="5241"/>
      <c r="EV5" s="5237" t="s">
        <v>3735</v>
      </c>
      <c r="EW5" s="5238"/>
      <c r="EX5" s="5238"/>
      <c r="EY5" s="5239"/>
      <c r="EZ5" s="5239"/>
      <c r="FA5" s="5239"/>
      <c r="FB5" s="5239"/>
      <c r="FC5" s="5240"/>
      <c r="FD5" s="5241"/>
      <c r="FE5" s="5237" t="s">
        <v>3736</v>
      </c>
      <c r="FF5" s="5238"/>
      <c r="FG5" s="5238"/>
      <c r="FH5" s="5239"/>
      <c r="FI5" s="5239"/>
      <c r="FJ5" s="5239"/>
      <c r="FK5" s="5239"/>
      <c r="FL5" s="5240"/>
      <c r="FM5" s="5241"/>
      <c r="FN5" s="5244" t="s">
        <v>3683</v>
      </c>
      <c r="FO5" s="5245"/>
      <c r="FP5" s="5245"/>
      <c r="FQ5" s="5246"/>
      <c r="FR5" s="5246"/>
      <c r="FS5" s="5246"/>
      <c r="FT5" s="5246"/>
      <c r="FU5" s="5246"/>
      <c r="FV5" s="5246"/>
      <c r="FW5" s="5240"/>
      <c r="FX5" s="5240"/>
      <c r="FY5" s="5240"/>
      <c r="FZ5" s="5244" t="s">
        <v>1991</v>
      </c>
      <c r="GA5" s="5245"/>
      <c r="GB5" s="5245"/>
      <c r="GC5" s="5246"/>
      <c r="GD5" s="5246"/>
      <c r="GE5" s="5246"/>
      <c r="GF5" s="5246"/>
      <c r="GG5" s="5246"/>
      <c r="GH5" s="5246"/>
      <c r="GI5" s="5240"/>
      <c r="GJ5" s="5240"/>
      <c r="GK5" s="5241"/>
    </row>
    <row r="6" spans="1:195" ht="19.5" customHeight="1" x14ac:dyDescent="0.2">
      <c r="A6" s="5236"/>
      <c r="B6" s="5247" t="s">
        <v>3550</v>
      </c>
      <c r="C6" s="5248"/>
      <c r="D6" s="5249"/>
      <c r="E6" s="5247" t="s">
        <v>1674</v>
      </c>
      <c r="F6" s="5248"/>
      <c r="G6" s="5249"/>
      <c r="H6" s="5247" t="s">
        <v>3737</v>
      </c>
      <c r="I6" s="5248"/>
      <c r="J6" s="5249"/>
      <c r="K6" s="5247" t="s">
        <v>3550</v>
      </c>
      <c r="L6" s="5248"/>
      <c r="M6" s="5249"/>
      <c r="N6" s="5247" t="s">
        <v>1674</v>
      </c>
      <c r="O6" s="5248"/>
      <c r="P6" s="5249"/>
      <c r="Q6" s="5247" t="s">
        <v>3737</v>
      </c>
      <c r="R6" s="5248"/>
      <c r="S6" s="5249"/>
      <c r="T6" s="5247" t="s">
        <v>3550</v>
      </c>
      <c r="U6" s="5248"/>
      <c r="V6" s="5249"/>
      <c r="W6" s="5247" t="s">
        <v>1674</v>
      </c>
      <c r="X6" s="5248"/>
      <c r="Y6" s="5249"/>
      <c r="Z6" s="5247" t="s">
        <v>3737</v>
      </c>
      <c r="AA6" s="5248"/>
      <c r="AB6" s="5249"/>
      <c r="AC6" s="5250" t="s">
        <v>3550</v>
      </c>
      <c r="AD6" s="5251"/>
      <c r="AE6" s="5252"/>
      <c r="AF6" s="5253" t="s">
        <v>1674</v>
      </c>
      <c r="AG6" s="5254"/>
      <c r="AH6" s="5255"/>
      <c r="AI6" s="5253" t="s">
        <v>3737</v>
      </c>
      <c r="AJ6" s="5254"/>
      <c r="AK6" s="5255"/>
      <c r="AL6" s="5250" t="s">
        <v>3738</v>
      </c>
      <c r="AM6" s="5251"/>
      <c r="AN6" s="5252"/>
      <c r="AO6" s="5247" t="s">
        <v>3550</v>
      </c>
      <c r="AP6" s="5248"/>
      <c r="AQ6" s="5249"/>
      <c r="AR6" s="5247" t="s">
        <v>1674</v>
      </c>
      <c r="AS6" s="5248"/>
      <c r="AT6" s="5249"/>
      <c r="AU6" s="5247" t="s">
        <v>3737</v>
      </c>
      <c r="AV6" s="5248"/>
      <c r="AW6" s="5249"/>
      <c r="AX6" s="5247" t="s">
        <v>3550</v>
      </c>
      <c r="AY6" s="5248"/>
      <c r="AZ6" s="5249"/>
      <c r="BA6" s="5247" t="s">
        <v>1674</v>
      </c>
      <c r="BB6" s="5248"/>
      <c r="BC6" s="5249"/>
      <c r="BD6" s="5247" t="s">
        <v>3737</v>
      </c>
      <c r="BE6" s="5248"/>
      <c r="BF6" s="5249"/>
      <c r="BG6" s="5247" t="s">
        <v>3550</v>
      </c>
      <c r="BH6" s="5248"/>
      <c r="BI6" s="5249"/>
      <c r="BJ6" s="5247" t="s">
        <v>1674</v>
      </c>
      <c r="BK6" s="5248"/>
      <c r="BL6" s="5249"/>
      <c r="BM6" s="5247" t="s">
        <v>3737</v>
      </c>
      <c r="BN6" s="5248"/>
      <c r="BO6" s="5249"/>
      <c r="BP6" s="5250" t="s">
        <v>3550</v>
      </c>
      <c r="BQ6" s="5251"/>
      <c r="BR6" s="5252"/>
      <c r="BS6" s="5253" t="s">
        <v>1674</v>
      </c>
      <c r="BT6" s="5254"/>
      <c r="BU6" s="5255"/>
      <c r="BV6" s="5253" t="s">
        <v>3737</v>
      </c>
      <c r="BW6" s="5254"/>
      <c r="BX6" s="5255"/>
      <c r="BY6" s="5250" t="s">
        <v>3738</v>
      </c>
      <c r="BZ6" s="5251"/>
      <c r="CA6" s="5252"/>
      <c r="CB6" s="5250" t="s">
        <v>3550</v>
      </c>
      <c r="CC6" s="5251"/>
      <c r="CD6" s="5252"/>
      <c r="CE6" s="5253" t="s">
        <v>1674</v>
      </c>
      <c r="CF6" s="5254"/>
      <c r="CG6" s="5255"/>
      <c r="CH6" s="5253" t="s">
        <v>3737</v>
      </c>
      <c r="CI6" s="5254"/>
      <c r="CJ6" s="5255"/>
      <c r="CK6" s="5250" t="s">
        <v>3738</v>
      </c>
      <c r="CL6" s="5251"/>
      <c r="CM6" s="5252"/>
      <c r="CN6" s="5247" t="s">
        <v>3550</v>
      </c>
      <c r="CO6" s="5248"/>
      <c r="CP6" s="5249"/>
      <c r="CQ6" s="5247" t="s">
        <v>1674</v>
      </c>
      <c r="CR6" s="5248"/>
      <c r="CS6" s="5249"/>
      <c r="CT6" s="5247" t="s">
        <v>3737</v>
      </c>
      <c r="CU6" s="5248"/>
      <c r="CV6" s="5249"/>
      <c r="CW6" s="5247" t="s">
        <v>3550</v>
      </c>
      <c r="CX6" s="5248"/>
      <c r="CY6" s="5249"/>
      <c r="CZ6" s="5247" t="s">
        <v>1674</v>
      </c>
      <c r="DA6" s="5248"/>
      <c r="DB6" s="5249"/>
      <c r="DC6" s="5247" t="s">
        <v>3737</v>
      </c>
      <c r="DD6" s="5248"/>
      <c r="DE6" s="5249"/>
      <c r="DF6" s="5247" t="s">
        <v>3550</v>
      </c>
      <c r="DG6" s="5248"/>
      <c r="DH6" s="5249"/>
      <c r="DI6" s="5247" t="s">
        <v>1674</v>
      </c>
      <c r="DJ6" s="5248"/>
      <c r="DK6" s="5249"/>
      <c r="DL6" s="5247" t="s">
        <v>3737</v>
      </c>
      <c r="DM6" s="5248"/>
      <c r="DN6" s="5249"/>
      <c r="DO6" s="5250" t="s">
        <v>3550</v>
      </c>
      <c r="DP6" s="5251"/>
      <c r="DQ6" s="5252"/>
      <c r="DR6" s="5253" t="s">
        <v>1674</v>
      </c>
      <c r="DS6" s="5254"/>
      <c r="DT6" s="5255"/>
      <c r="DU6" s="5253" t="s">
        <v>3737</v>
      </c>
      <c r="DV6" s="5254"/>
      <c r="DW6" s="5255"/>
      <c r="DX6" s="5250" t="s">
        <v>3738</v>
      </c>
      <c r="DY6" s="5251"/>
      <c r="DZ6" s="5252"/>
      <c r="EA6" s="5250" t="s">
        <v>3550</v>
      </c>
      <c r="EB6" s="5251"/>
      <c r="EC6" s="5252"/>
      <c r="ED6" s="5253" t="s">
        <v>1674</v>
      </c>
      <c r="EE6" s="5254"/>
      <c r="EF6" s="5255"/>
      <c r="EG6" s="5253" t="s">
        <v>3737</v>
      </c>
      <c r="EH6" s="5254"/>
      <c r="EI6" s="5255"/>
      <c r="EJ6" s="5250" t="s">
        <v>3738</v>
      </c>
      <c r="EK6" s="5251"/>
      <c r="EL6" s="5252"/>
      <c r="EM6" s="5247" t="s">
        <v>3550</v>
      </c>
      <c r="EN6" s="5248"/>
      <c r="EO6" s="5249"/>
      <c r="EP6" s="5247" t="s">
        <v>1674</v>
      </c>
      <c r="EQ6" s="5248"/>
      <c r="ER6" s="5249"/>
      <c r="ES6" s="5247" t="s">
        <v>3737</v>
      </c>
      <c r="ET6" s="5248"/>
      <c r="EU6" s="5249"/>
      <c r="EV6" s="5247" t="s">
        <v>3550</v>
      </c>
      <c r="EW6" s="5248"/>
      <c r="EX6" s="5249"/>
      <c r="EY6" s="5247" t="s">
        <v>1674</v>
      </c>
      <c r="EZ6" s="5248"/>
      <c r="FA6" s="5249"/>
      <c r="FB6" s="5247" t="s">
        <v>3737</v>
      </c>
      <c r="FC6" s="5248"/>
      <c r="FD6" s="5249"/>
      <c r="FE6" s="5247" t="s">
        <v>3550</v>
      </c>
      <c r="FF6" s="5248"/>
      <c r="FG6" s="5249"/>
      <c r="FH6" s="5247" t="s">
        <v>1674</v>
      </c>
      <c r="FI6" s="5248"/>
      <c r="FJ6" s="5249"/>
      <c r="FK6" s="5247" t="s">
        <v>3737</v>
      </c>
      <c r="FL6" s="5248"/>
      <c r="FM6" s="5249"/>
      <c r="FN6" s="5250" t="s">
        <v>3550</v>
      </c>
      <c r="FO6" s="5251"/>
      <c r="FP6" s="5252"/>
      <c r="FQ6" s="5253" t="s">
        <v>1674</v>
      </c>
      <c r="FR6" s="5254"/>
      <c r="FS6" s="5255"/>
      <c r="FT6" s="5253" t="s">
        <v>3737</v>
      </c>
      <c r="FU6" s="5254"/>
      <c r="FV6" s="5255"/>
      <c r="FW6" s="5250" t="s">
        <v>3738</v>
      </c>
      <c r="FX6" s="5251"/>
      <c r="FY6" s="5252"/>
      <c r="FZ6" s="5250" t="s">
        <v>3550</v>
      </c>
      <c r="GA6" s="5251"/>
      <c r="GB6" s="5252"/>
      <c r="GC6" s="5253" t="s">
        <v>1674</v>
      </c>
      <c r="GD6" s="5254"/>
      <c r="GE6" s="5255"/>
      <c r="GF6" s="5253" t="s">
        <v>3737</v>
      </c>
      <c r="GG6" s="5254"/>
      <c r="GH6" s="5255"/>
      <c r="GI6" s="5250" t="s">
        <v>3738</v>
      </c>
      <c r="GJ6" s="5251"/>
      <c r="GK6" s="5252"/>
    </row>
    <row r="7" spans="1:195" ht="24.75" customHeight="1" x14ac:dyDescent="0.2">
      <c r="A7" s="5236"/>
      <c r="B7" s="2753" t="s">
        <v>614</v>
      </c>
      <c r="C7" s="2753" t="s">
        <v>3753</v>
      </c>
      <c r="D7" s="2753" t="s">
        <v>3754</v>
      </c>
      <c r="E7" s="2753" t="s">
        <v>614</v>
      </c>
      <c r="F7" s="2753" t="s">
        <v>3753</v>
      </c>
      <c r="G7" s="2753" t="s">
        <v>3754</v>
      </c>
      <c r="H7" s="2753" t="s">
        <v>614</v>
      </c>
      <c r="I7" s="2753" t="s">
        <v>3753</v>
      </c>
      <c r="J7" s="2753" t="s">
        <v>3754</v>
      </c>
      <c r="K7" s="2753" t="s">
        <v>614</v>
      </c>
      <c r="L7" s="2753" t="s">
        <v>3753</v>
      </c>
      <c r="M7" s="2753" t="s">
        <v>3754</v>
      </c>
      <c r="N7" s="2753" t="s">
        <v>614</v>
      </c>
      <c r="O7" s="2753" t="s">
        <v>3753</v>
      </c>
      <c r="P7" s="2753" t="s">
        <v>3754</v>
      </c>
      <c r="Q7" s="2753" t="s">
        <v>614</v>
      </c>
      <c r="R7" s="2753" t="s">
        <v>3753</v>
      </c>
      <c r="S7" s="2753" t="s">
        <v>3754</v>
      </c>
      <c r="T7" s="2753" t="s">
        <v>614</v>
      </c>
      <c r="U7" s="2753" t="s">
        <v>3753</v>
      </c>
      <c r="V7" s="2753" t="s">
        <v>3754</v>
      </c>
      <c r="W7" s="2753" t="s">
        <v>614</v>
      </c>
      <c r="X7" s="2753" t="s">
        <v>3753</v>
      </c>
      <c r="Y7" s="2753" t="s">
        <v>3754</v>
      </c>
      <c r="Z7" s="2753" t="s">
        <v>614</v>
      </c>
      <c r="AA7" s="2753" t="s">
        <v>3753</v>
      </c>
      <c r="AB7" s="2753" t="s">
        <v>3754</v>
      </c>
      <c r="AC7" s="2754" t="s">
        <v>614</v>
      </c>
      <c r="AD7" s="2754" t="s">
        <v>3753</v>
      </c>
      <c r="AE7" s="2754" t="s">
        <v>3754</v>
      </c>
      <c r="AF7" s="2754" t="s">
        <v>614</v>
      </c>
      <c r="AG7" s="2754" t="s">
        <v>3753</v>
      </c>
      <c r="AH7" s="2754" t="s">
        <v>3754</v>
      </c>
      <c r="AI7" s="2754" t="s">
        <v>614</v>
      </c>
      <c r="AJ7" s="2754" t="s">
        <v>3753</v>
      </c>
      <c r="AK7" s="2754" t="s">
        <v>3754</v>
      </c>
      <c r="AL7" s="2754" t="s">
        <v>614</v>
      </c>
      <c r="AM7" s="2754" t="s">
        <v>3753</v>
      </c>
      <c r="AN7" s="2754" t="s">
        <v>3754</v>
      </c>
      <c r="AO7" s="2753" t="s">
        <v>614</v>
      </c>
      <c r="AP7" s="2753" t="s">
        <v>3753</v>
      </c>
      <c r="AQ7" s="2753" t="s">
        <v>3754</v>
      </c>
      <c r="AR7" s="2753" t="s">
        <v>614</v>
      </c>
      <c r="AS7" s="2753" t="s">
        <v>3753</v>
      </c>
      <c r="AT7" s="2753" t="s">
        <v>3754</v>
      </c>
      <c r="AU7" s="2753" t="s">
        <v>614</v>
      </c>
      <c r="AV7" s="2753" t="s">
        <v>3753</v>
      </c>
      <c r="AW7" s="2753" t="s">
        <v>3754</v>
      </c>
      <c r="AX7" s="2753" t="s">
        <v>614</v>
      </c>
      <c r="AY7" s="2753" t="s">
        <v>3753</v>
      </c>
      <c r="AZ7" s="2753" t="s">
        <v>3754</v>
      </c>
      <c r="BA7" s="2753" t="s">
        <v>614</v>
      </c>
      <c r="BB7" s="2753" t="s">
        <v>3753</v>
      </c>
      <c r="BC7" s="2753" t="s">
        <v>3754</v>
      </c>
      <c r="BD7" s="2753" t="s">
        <v>614</v>
      </c>
      <c r="BE7" s="2753" t="s">
        <v>3753</v>
      </c>
      <c r="BF7" s="2753" t="s">
        <v>3754</v>
      </c>
      <c r="BG7" s="2753" t="s">
        <v>614</v>
      </c>
      <c r="BH7" s="2753" t="s">
        <v>3753</v>
      </c>
      <c r="BI7" s="2753" t="s">
        <v>3754</v>
      </c>
      <c r="BJ7" s="2753" t="s">
        <v>614</v>
      </c>
      <c r="BK7" s="2753" t="s">
        <v>3753</v>
      </c>
      <c r="BL7" s="2753" t="s">
        <v>3754</v>
      </c>
      <c r="BM7" s="2753" t="s">
        <v>614</v>
      </c>
      <c r="BN7" s="2753" t="s">
        <v>3753</v>
      </c>
      <c r="BO7" s="2753" t="s">
        <v>3754</v>
      </c>
      <c r="BP7" s="2754" t="s">
        <v>614</v>
      </c>
      <c r="BQ7" s="2754" t="s">
        <v>3753</v>
      </c>
      <c r="BR7" s="2754" t="s">
        <v>3754</v>
      </c>
      <c r="BS7" s="2754" t="s">
        <v>614</v>
      </c>
      <c r="BT7" s="2754" t="s">
        <v>3753</v>
      </c>
      <c r="BU7" s="2754" t="s">
        <v>3754</v>
      </c>
      <c r="BV7" s="2754" t="s">
        <v>614</v>
      </c>
      <c r="BW7" s="2754" t="s">
        <v>3753</v>
      </c>
      <c r="BX7" s="2754" t="s">
        <v>3754</v>
      </c>
      <c r="BY7" s="2754" t="s">
        <v>614</v>
      </c>
      <c r="BZ7" s="2754" t="s">
        <v>3753</v>
      </c>
      <c r="CA7" s="2754" t="s">
        <v>3754</v>
      </c>
      <c r="CB7" s="2754" t="s">
        <v>614</v>
      </c>
      <c r="CC7" s="2754" t="s">
        <v>3753</v>
      </c>
      <c r="CD7" s="2754" t="s">
        <v>3754</v>
      </c>
      <c r="CE7" s="2754" t="s">
        <v>614</v>
      </c>
      <c r="CF7" s="2754" t="s">
        <v>3753</v>
      </c>
      <c r="CG7" s="2754" t="s">
        <v>3754</v>
      </c>
      <c r="CH7" s="2754" t="s">
        <v>614</v>
      </c>
      <c r="CI7" s="2754" t="s">
        <v>3753</v>
      </c>
      <c r="CJ7" s="2754" t="s">
        <v>3754</v>
      </c>
      <c r="CK7" s="2754" t="s">
        <v>614</v>
      </c>
      <c r="CL7" s="2754" t="s">
        <v>3753</v>
      </c>
      <c r="CM7" s="2754" t="s">
        <v>3754</v>
      </c>
      <c r="CN7" s="2753" t="s">
        <v>614</v>
      </c>
      <c r="CO7" s="2753" t="s">
        <v>3753</v>
      </c>
      <c r="CP7" s="2753" t="s">
        <v>3754</v>
      </c>
      <c r="CQ7" s="2753" t="s">
        <v>614</v>
      </c>
      <c r="CR7" s="2753" t="s">
        <v>3753</v>
      </c>
      <c r="CS7" s="2753" t="s">
        <v>3754</v>
      </c>
      <c r="CT7" s="2753" t="s">
        <v>614</v>
      </c>
      <c r="CU7" s="2753" t="s">
        <v>3753</v>
      </c>
      <c r="CV7" s="2753" t="s">
        <v>3754</v>
      </c>
      <c r="CW7" s="2753" t="s">
        <v>614</v>
      </c>
      <c r="CX7" s="2753" t="s">
        <v>3753</v>
      </c>
      <c r="CY7" s="2753" t="s">
        <v>3754</v>
      </c>
      <c r="CZ7" s="2753" t="s">
        <v>614</v>
      </c>
      <c r="DA7" s="2753" t="s">
        <v>3753</v>
      </c>
      <c r="DB7" s="2753" t="s">
        <v>3754</v>
      </c>
      <c r="DC7" s="2753" t="s">
        <v>614</v>
      </c>
      <c r="DD7" s="2753" t="s">
        <v>3753</v>
      </c>
      <c r="DE7" s="2753" t="s">
        <v>3754</v>
      </c>
      <c r="DF7" s="2753" t="s">
        <v>614</v>
      </c>
      <c r="DG7" s="2753" t="s">
        <v>3753</v>
      </c>
      <c r="DH7" s="2753" t="s">
        <v>3754</v>
      </c>
      <c r="DI7" s="2753" t="s">
        <v>614</v>
      </c>
      <c r="DJ7" s="2753" t="s">
        <v>3753</v>
      </c>
      <c r="DK7" s="2753" t="s">
        <v>3754</v>
      </c>
      <c r="DL7" s="2753" t="s">
        <v>614</v>
      </c>
      <c r="DM7" s="2753" t="s">
        <v>3753</v>
      </c>
      <c r="DN7" s="2753" t="s">
        <v>3754</v>
      </c>
      <c r="DO7" s="2754" t="s">
        <v>614</v>
      </c>
      <c r="DP7" s="2754" t="s">
        <v>3753</v>
      </c>
      <c r="DQ7" s="2754" t="s">
        <v>3754</v>
      </c>
      <c r="DR7" s="2754" t="s">
        <v>614</v>
      </c>
      <c r="DS7" s="2754" t="s">
        <v>3753</v>
      </c>
      <c r="DT7" s="2754" t="s">
        <v>3754</v>
      </c>
      <c r="DU7" s="2754" t="s">
        <v>614</v>
      </c>
      <c r="DV7" s="2754" t="s">
        <v>3753</v>
      </c>
      <c r="DW7" s="2754" t="s">
        <v>3754</v>
      </c>
      <c r="DX7" s="2754" t="s">
        <v>614</v>
      </c>
      <c r="DY7" s="2754" t="s">
        <v>3753</v>
      </c>
      <c r="DZ7" s="2754" t="s">
        <v>3754</v>
      </c>
      <c r="EA7" s="2754" t="s">
        <v>614</v>
      </c>
      <c r="EB7" s="2754" t="s">
        <v>3753</v>
      </c>
      <c r="EC7" s="2754" t="s">
        <v>3754</v>
      </c>
      <c r="ED7" s="2754" t="s">
        <v>614</v>
      </c>
      <c r="EE7" s="2754" t="s">
        <v>3753</v>
      </c>
      <c r="EF7" s="2754" t="s">
        <v>3754</v>
      </c>
      <c r="EG7" s="2754" t="s">
        <v>614</v>
      </c>
      <c r="EH7" s="2754" t="s">
        <v>3753</v>
      </c>
      <c r="EI7" s="2754" t="s">
        <v>3754</v>
      </c>
      <c r="EJ7" s="2754" t="s">
        <v>614</v>
      </c>
      <c r="EK7" s="2754" t="s">
        <v>3753</v>
      </c>
      <c r="EL7" s="2754" t="s">
        <v>3754</v>
      </c>
      <c r="EM7" s="2753" t="s">
        <v>614</v>
      </c>
      <c r="EN7" s="2753" t="s">
        <v>3753</v>
      </c>
      <c r="EO7" s="2753" t="s">
        <v>3754</v>
      </c>
      <c r="EP7" s="2753" t="s">
        <v>614</v>
      </c>
      <c r="EQ7" s="2753" t="s">
        <v>3753</v>
      </c>
      <c r="ER7" s="2753" t="s">
        <v>3754</v>
      </c>
      <c r="ES7" s="2753" t="s">
        <v>614</v>
      </c>
      <c r="ET7" s="2753" t="s">
        <v>3753</v>
      </c>
      <c r="EU7" s="2753" t="s">
        <v>3754</v>
      </c>
      <c r="EV7" s="2753" t="s">
        <v>614</v>
      </c>
      <c r="EW7" s="2753" t="s">
        <v>3753</v>
      </c>
      <c r="EX7" s="2753" t="s">
        <v>3754</v>
      </c>
      <c r="EY7" s="2753" t="s">
        <v>614</v>
      </c>
      <c r="EZ7" s="2753" t="s">
        <v>3753</v>
      </c>
      <c r="FA7" s="2753" t="s">
        <v>3754</v>
      </c>
      <c r="FB7" s="2753" t="s">
        <v>614</v>
      </c>
      <c r="FC7" s="2753" t="s">
        <v>3753</v>
      </c>
      <c r="FD7" s="2753" t="s">
        <v>3754</v>
      </c>
      <c r="FE7" s="2753" t="s">
        <v>614</v>
      </c>
      <c r="FF7" s="2753" t="s">
        <v>3753</v>
      </c>
      <c r="FG7" s="2753" t="s">
        <v>3754</v>
      </c>
      <c r="FH7" s="2753" t="s">
        <v>614</v>
      </c>
      <c r="FI7" s="2753" t="s">
        <v>3753</v>
      </c>
      <c r="FJ7" s="2753" t="s">
        <v>3754</v>
      </c>
      <c r="FK7" s="2753" t="s">
        <v>614</v>
      </c>
      <c r="FL7" s="2753" t="s">
        <v>3753</v>
      </c>
      <c r="FM7" s="2753" t="s">
        <v>3754</v>
      </c>
      <c r="FN7" s="2754" t="s">
        <v>614</v>
      </c>
      <c r="FO7" s="2754" t="s">
        <v>3753</v>
      </c>
      <c r="FP7" s="2754" t="s">
        <v>3754</v>
      </c>
      <c r="FQ7" s="2754" t="s">
        <v>614</v>
      </c>
      <c r="FR7" s="2754" t="s">
        <v>3753</v>
      </c>
      <c r="FS7" s="2754" t="s">
        <v>3754</v>
      </c>
      <c r="FT7" s="2754" t="s">
        <v>614</v>
      </c>
      <c r="FU7" s="2754" t="s">
        <v>3753</v>
      </c>
      <c r="FV7" s="2754" t="s">
        <v>3754</v>
      </c>
      <c r="FW7" s="2754" t="s">
        <v>614</v>
      </c>
      <c r="FX7" s="2754" t="s">
        <v>3753</v>
      </c>
      <c r="FY7" s="2754" t="s">
        <v>3754</v>
      </c>
      <c r="FZ7" s="2754" t="s">
        <v>614</v>
      </c>
      <c r="GA7" s="2754" t="s">
        <v>3753</v>
      </c>
      <c r="GB7" s="2754" t="s">
        <v>3754</v>
      </c>
      <c r="GC7" s="2754" t="s">
        <v>614</v>
      </c>
      <c r="GD7" s="2754" t="s">
        <v>3753</v>
      </c>
      <c r="GE7" s="2754" t="s">
        <v>3754</v>
      </c>
      <c r="GF7" s="2754" t="s">
        <v>614</v>
      </c>
      <c r="GG7" s="2754" t="s">
        <v>3753</v>
      </c>
      <c r="GH7" s="2754" t="s">
        <v>3754</v>
      </c>
      <c r="GI7" s="2754" t="s">
        <v>614</v>
      </c>
      <c r="GJ7" s="2754" t="s">
        <v>3753</v>
      </c>
      <c r="GK7" s="2754" t="s">
        <v>3754</v>
      </c>
    </row>
    <row r="8" spans="1:195" ht="18.75" customHeight="1" x14ac:dyDescent="0.3">
      <c r="A8" s="2870" t="s">
        <v>3755</v>
      </c>
      <c r="B8" s="2756">
        <f>SUM(C8:D8)</f>
        <v>256.18768737421806</v>
      </c>
      <c r="C8" s="2756">
        <f>SUM(GA8/12)</f>
        <v>254.91908142882502</v>
      </c>
      <c r="D8" s="2756">
        <f>SUM(GB8/12)</f>
        <v>1.2686059453930083</v>
      </c>
      <c r="E8" s="2756">
        <f>SUM(F8:G8)</f>
        <v>421.51</v>
      </c>
      <c r="F8" s="2871">
        <f>SUM('ПОЛНАЯ СЕБЕСТОИМОСТЬ СТОКИ 2023'!F8)</f>
        <v>420.80874999999997</v>
      </c>
      <c r="G8" s="2871">
        <f>SUM('ПОЛНАЯ СЕБЕСТОИМОСТЬ СТОКИ 2023'!G8)</f>
        <v>0.70125000000000004</v>
      </c>
      <c r="H8" s="2756">
        <f>SUM(I8:J8)</f>
        <v>406.15000000000003</v>
      </c>
      <c r="I8" s="3851">
        <v>405.92500000000001</v>
      </c>
      <c r="J8" s="3851">
        <v>0.22500000000000001</v>
      </c>
      <c r="K8" s="2756">
        <f>SUM(L8:M8)</f>
        <v>256.18768737421806</v>
      </c>
      <c r="L8" s="2756">
        <f t="shared" ref="L8:M12" si="0">SUM(GA8/12)</f>
        <v>254.91908142882502</v>
      </c>
      <c r="M8" s="2756">
        <f t="shared" si="0"/>
        <v>1.2686059453930083</v>
      </c>
      <c r="N8" s="2756">
        <f>SUM(O8:P8)</f>
        <v>376.33</v>
      </c>
      <c r="O8" s="2871">
        <f>SUM('ПОЛНАЯ СЕБЕСТОИМОСТЬ СТОКИ 2023'!I8)</f>
        <v>375.86975000000001</v>
      </c>
      <c r="P8" s="2871">
        <f>SUM('ПОЛНАЯ СЕБЕСТОИМОСТЬ СТОКИ 2023'!J8)</f>
        <v>0.46024999999999999</v>
      </c>
      <c r="Q8" s="2756">
        <f>SUM(R8:S8)</f>
        <v>357.88000000000005</v>
      </c>
      <c r="R8" s="3851">
        <v>357.62875000000003</v>
      </c>
      <c r="S8" s="3851">
        <v>0.25124999999999997</v>
      </c>
      <c r="T8" s="2756">
        <f>SUM(U8:V8)</f>
        <v>256.18768737421806</v>
      </c>
      <c r="U8" s="2756">
        <f t="shared" ref="U8:V12" si="1">SUM(GA8/12)</f>
        <v>254.91908142882502</v>
      </c>
      <c r="V8" s="2756">
        <f t="shared" si="1"/>
        <v>1.2686059453930083</v>
      </c>
      <c r="W8" s="2756">
        <f>SUM(X8:Y8)</f>
        <v>477.91</v>
      </c>
      <c r="X8" s="2871">
        <f>SUM('ПОЛНАЯ СЕБЕСТОИМОСТЬ СТОКИ 2023'!L8)</f>
        <v>475.49250000000001</v>
      </c>
      <c r="Y8" s="2871">
        <f>SUM('ПОЛНАЯ СЕБЕСТОИМОСТЬ СТОКИ 2023'!M8)</f>
        <v>2.4175</v>
      </c>
      <c r="Z8" s="2756">
        <f>SUM(AA8:AB8)</f>
        <v>435.73</v>
      </c>
      <c r="AA8" s="3851">
        <v>433.32600000000002</v>
      </c>
      <c r="AB8" s="3851">
        <v>2.4039999999999999</v>
      </c>
      <c r="AC8" s="2758">
        <f>SUM(AD8:AE8)</f>
        <v>768.56306212265406</v>
      </c>
      <c r="AD8" s="2758">
        <f>SUM(C8+L8+U8)</f>
        <v>764.75724428647504</v>
      </c>
      <c r="AE8" s="2758">
        <f>SUM(D8+M8+V8)</f>
        <v>3.8058178361790249</v>
      </c>
      <c r="AF8" s="2758">
        <f>SUM(AG8:AH8)</f>
        <v>1275.75</v>
      </c>
      <c r="AG8" s="2758">
        <f>SUM(F8+O8+X8)</f>
        <v>1272.171</v>
      </c>
      <c r="AH8" s="2758">
        <f>SUM(G8+P8+Y8)</f>
        <v>3.5789999999999997</v>
      </c>
      <c r="AI8" s="2798">
        <f t="shared" ref="AI8:AK12" si="2">SUM(H8+Q8+Z8)</f>
        <v>1199.7600000000002</v>
      </c>
      <c r="AJ8" s="2798">
        <f t="shared" si="2"/>
        <v>1196.8797500000001</v>
      </c>
      <c r="AK8" s="2798">
        <f t="shared" si="2"/>
        <v>2.8802499999999998</v>
      </c>
      <c r="AL8" s="2758">
        <f>SUM(AM8:AN8)</f>
        <v>507.186937877346</v>
      </c>
      <c r="AM8" s="2758">
        <f>SUM(AG8-AD8)</f>
        <v>507.41375571352501</v>
      </c>
      <c r="AN8" s="2758">
        <f>SUM(AH8-AE8)</f>
        <v>-0.22681783617902518</v>
      </c>
      <c r="AO8" s="2756">
        <f>SUM(AP8:AQ8)</f>
        <v>256.18768737421806</v>
      </c>
      <c r="AP8" s="2756">
        <f t="shared" ref="AP8:AQ12" si="3">SUM(GA8/12)</f>
        <v>254.91908142882502</v>
      </c>
      <c r="AQ8" s="2756">
        <f t="shared" si="3"/>
        <v>1.2686059453930083</v>
      </c>
      <c r="AR8" s="2756">
        <f>SUM(AS8:AT8)</f>
        <v>552.43000000000006</v>
      </c>
      <c r="AS8" s="2871">
        <f>SUM('ПОЛНАЯ СЕБЕСТОИМОСТЬ СТОКИ 2023'!U8)</f>
        <v>551.97</v>
      </c>
      <c r="AT8" s="2871">
        <f>SUM('ПОЛНАЯ СЕБЕСТОИМОСТЬ СТОКИ 2023'!V8)</f>
        <v>0.46</v>
      </c>
      <c r="AU8" s="2756">
        <f>SUM(AV8:AW8)</f>
        <v>490.8</v>
      </c>
      <c r="AV8" s="3851">
        <v>490.22750000000002</v>
      </c>
      <c r="AW8" s="3851">
        <v>0.57250000000000001</v>
      </c>
      <c r="AX8" s="2756">
        <f>SUM(AY8:AZ8)</f>
        <v>256.18768737421806</v>
      </c>
      <c r="AY8" s="2756">
        <f t="shared" ref="AY8:AZ12" si="4">SUM(GA8/12)</f>
        <v>254.91908142882502</v>
      </c>
      <c r="AZ8" s="2756">
        <f t="shared" si="4"/>
        <v>1.2686059453930083</v>
      </c>
      <c r="BA8" s="2756">
        <f>SUM(BB8:BC8)</f>
        <v>525.72</v>
      </c>
      <c r="BB8" s="2871">
        <f>SUM('ПОЛНАЯ СЕБЕСТОИМОСТЬ СТОКИ 2023'!X8)</f>
        <v>524.97125000000005</v>
      </c>
      <c r="BC8" s="2871">
        <f>SUM('ПОЛНАЯ СЕБЕСТОИМОСТЬ СТОКИ 2023'!Y8)</f>
        <v>0.74875000000000003</v>
      </c>
      <c r="BD8" s="2756">
        <f>SUM(BE8:BF8)</f>
        <v>482.98</v>
      </c>
      <c r="BE8" s="3851">
        <v>482.42099999999999</v>
      </c>
      <c r="BF8" s="3851">
        <v>0.55900000000000005</v>
      </c>
      <c r="BG8" s="2756">
        <f>SUM(BH8:BI8)</f>
        <v>256.18768737421806</v>
      </c>
      <c r="BH8" s="2756">
        <f t="shared" ref="BH8:BI12" si="5">SUM(GA8/12)</f>
        <v>254.91908142882502</v>
      </c>
      <c r="BI8" s="2756">
        <f t="shared" si="5"/>
        <v>1.2686059453930083</v>
      </c>
      <c r="BJ8" s="2756">
        <f>SUM(BK8:BL8)</f>
        <v>412.99</v>
      </c>
      <c r="BK8" s="2871">
        <f>SUM('ПОЛНАЯ СЕБЕСТОИМОСТЬ СТОКИ 2023'!AA8)</f>
        <v>410.39875000000001</v>
      </c>
      <c r="BL8" s="2871">
        <f>SUM('ПОЛНАЯ СЕБЕСТОИМОСТЬ СТОКИ 2023'!AB8)</f>
        <v>2.5912500000000001</v>
      </c>
      <c r="BM8" s="2756">
        <f>SUM(BN8:BO8)</f>
        <v>438.44900000000001</v>
      </c>
      <c r="BN8" s="3851">
        <v>435.56875000000002</v>
      </c>
      <c r="BO8" s="3851">
        <v>2.8802500000000002</v>
      </c>
      <c r="BP8" s="2758">
        <f>SUM(BQ8:BR8)</f>
        <v>768.56306212265406</v>
      </c>
      <c r="BQ8" s="2758">
        <f>SUM(AP8+AY8+BH8)</f>
        <v>764.75724428647504</v>
      </c>
      <c r="BR8" s="2758">
        <f>SUM(AQ8+AZ8+BI8)</f>
        <v>3.8058178361790249</v>
      </c>
      <c r="BS8" s="2758">
        <f>SUM(BT8:BU8)</f>
        <v>1491.14</v>
      </c>
      <c r="BT8" s="2758">
        <f>SUM(AS8+BB8+BK8)</f>
        <v>1487.3400000000001</v>
      </c>
      <c r="BU8" s="2758">
        <f>SUM(AT8+BC8+BL8)</f>
        <v>3.8</v>
      </c>
      <c r="BV8" s="2798">
        <f t="shared" ref="BV8:BX12" si="6">SUM(AU8+BD8+BM8)</f>
        <v>1412.229</v>
      </c>
      <c r="BW8" s="2758">
        <f t="shared" si="6"/>
        <v>1408.2172500000001</v>
      </c>
      <c r="BX8" s="2758">
        <f t="shared" si="6"/>
        <v>4.0117500000000001</v>
      </c>
      <c r="BY8" s="2758">
        <f>SUM(BZ8:CA8)</f>
        <v>722.57693787734604</v>
      </c>
      <c r="BZ8" s="2758">
        <f>SUM(BT8-BQ8)</f>
        <v>722.5827557135251</v>
      </c>
      <c r="CA8" s="2758">
        <f>SUM(BU8-BR8)</f>
        <v>-5.8178361790250932E-3</v>
      </c>
      <c r="CB8" s="2758">
        <f>SUM(CC8:CD8)</f>
        <v>1537.1261242453081</v>
      </c>
      <c r="CC8" s="2758">
        <f>SUM(AD8+BQ8)</f>
        <v>1529.5144885729501</v>
      </c>
      <c r="CD8" s="2758">
        <f>SUM(AE8+BR8)</f>
        <v>7.6116356723580498</v>
      </c>
      <c r="CE8" s="2758">
        <f>SUM(CF8:CG8)</f>
        <v>2766.8900000000003</v>
      </c>
      <c r="CF8" s="2758">
        <f t="shared" ref="CF8:CJ12" si="7">SUM(AG8+BT8)</f>
        <v>2759.5110000000004</v>
      </c>
      <c r="CG8" s="2758">
        <f t="shared" si="7"/>
        <v>7.3789999999999996</v>
      </c>
      <c r="CH8" s="2798">
        <f t="shared" si="7"/>
        <v>2611.9890000000005</v>
      </c>
      <c r="CI8" s="2798">
        <f t="shared" si="7"/>
        <v>2605.0970000000002</v>
      </c>
      <c r="CJ8" s="2798">
        <f t="shared" si="7"/>
        <v>6.8919999999999995</v>
      </c>
      <c r="CK8" s="2758">
        <f>SUM(CL8:CM8)</f>
        <v>1229.7638757546922</v>
      </c>
      <c r="CL8" s="2799">
        <f t="shared" ref="CL8:CM12" si="8">SUM(CF8-CC8)</f>
        <v>1229.9965114270503</v>
      </c>
      <c r="CM8" s="2799">
        <f t="shared" si="8"/>
        <v>-0.23263567235805027</v>
      </c>
      <c r="CN8" s="2756">
        <f>SUM(CO8:CP8)</f>
        <v>256.18768737421806</v>
      </c>
      <c r="CO8" s="2756">
        <f t="shared" ref="CO8:CP12" si="9">SUM(GA8/12)</f>
        <v>254.91908142882502</v>
      </c>
      <c r="CP8" s="2756">
        <f t="shared" si="9"/>
        <v>1.2686059453930083</v>
      </c>
      <c r="CQ8" s="2756">
        <f>SUM(CR8:CS8)</f>
        <v>445.82</v>
      </c>
      <c r="CR8" s="2871">
        <f>SUM('ПОЛНАЯ СЕБЕСТОИМОСТЬ СТОКИ 2023'!AS8)</f>
        <v>445.27749999999997</v>
      </c>
      <c r="CS8" s="2871">
        <f>SUM('ПОЛНАЯ СЕБЕСТОИМОСТЬ СТОКИ 2023'!AT8)</f>
        <v>0.54249999999999998</v>
      </c>
      <c r="CT8" s="2756">
        <f>SUM(CU8:CV8)</f>
        <v>449.21</v>
      </c>
      <c r="CU8" s="3851">
        <v>448.87599999999998</v>
      </c>
      <c r="CV8" s="3851">
        <v>0.33400000000000002</v>
      </c>
      <c r="CW8" s="2756">
        <f>SUM(CX8:CY8)</f>
        <v>256.18768737421806</v>
      </c>
      <c r="CX8" s="2756">
        <f t="shared" ref="CX8:CY12" si="10">SUM(GA8/12)</f>
        <v>254.91908142882502</v>
      </c>
      <c r="CY8" s="2756">
        <f t="shared" si="10"/>
        <v>1.2686059453930083</v>
      </c>
      <c r="CZ8" s="2756">
        <f>SUM(DA8:DB8)</f>
        <v>0</v>
      </c>
      <c r="DA8" s="2871">
        <f>SUM('ПОЛНАЯ СЕБЕСТОИМОСТЬ СТОКИ 2023'!AV8)</f>
        <v>0</v>
      </c>
      <c r="DB8" s="2871">
        <f>SUM('ПОЛНАЯ СЕБЕСТОИМОСТЬ СТОКИ 2023'!AW8)</f>
        <v>0</v>
      </c>
      <c r="DC8" s="2756">
        <f>SUM(DD8:DE8)</f>
        <v>429.08000000000004</v>
      </c>
      <c r="DD8" s="3851">
        <v>428.68400000000003</v>
      </c>
      <c r="DE8" s="3851">
        <v>0.39600000000000002</v>
      </c>
      <c r="DF8" s="2756">
        <f>SUM(DG8:DH8)</f>
        <v>256.18768737421806</v>
      </c>
      <c r="DG8" s="2756">
        <f t="shared" ref="DG8:DH12" si="11">SUM(GA8/12)</f>
        <v>254.91908142882502</v>
      </c>
      <c r="DH8" s="2756">
        <f t="shared" si="11"/>
        <v>1.2686059453930083</v>
      </c>
      <c r="DI8" s="2756">
        <f>SUM(DJ8:DK8)</f>
        <v>0</v>
      </c>
      <c r="DJ8" s="2871">
        <f>SUM('ПОЛНАЯ СЕБЕСТОИМОСТЬ СТОКИ 2023'!AY8)</f>
        <v>0</v>
      </c>
      <c r="DK8" s="2871">
        <f>SUM('ПОЛНАЯ СЕБЕСТОИМОСТЬ СТОКИ 2023'!AZ8)</f>
        <v>0</v>
      </c>
      <c r="DL8" s="2756">
        <f>SUM(DM8:DN8)</f>
        <v>448.34999999999997</v>
      </c>
      <c r="DM8" s="3851">
        <v>445.49599999999998</v>
      </c>
      <c r="DN8" s="3851">
        <v>2.8540000000000001</v>
      </c>
      <c r="DO8" s="2758">
        <f>SUM(DP8:DQ8)</f>
        <v>768.56306212265406</v>
      </c>
      <c r="DP8" s="2758">
        <f>SUM(CO8+CX8+DG8)</f>
        <v>764.75724428647504</v>
      </c>
      <c r="DQ8" s="2758">
        <f>SUM(CP8+CY8+DH8)</f>
        <v>3.8058178361790249</v>
      </c>
      <c r="DR8" s="2758">
        <f>SUM(DS8:DT8)</f>
        <v>445.82</v>
      </c>
      <c r="DS8" s="2758">
        <f>SUM(CR8+DA8+DJ8)</f>
        <v>445.27749999999997</v>
      </c>
      <c r="DT8" s="2758">
        <f>SUM(CS8+DB8+DK8)</f>
        <v>0.54249999999999998</v>
      </c>
      <c r="DU8" s="2798">
        <f t="shared" ref="DU8:DW12" si="12">SUM(CT8+DC8+DL8)</f>
        <v>1326.6399999999999</v>
      </c>
      <c r="DV8" s="2758">
        <f t="shared" si="12"/>
        <v>1323.056</v>
      </c>
      <c r="DW8" s="2758">
        <f t="shared" si="12"/>
        <v>3.5840000000000001</v>
      </c>
      <c r="DX8" s="2758">
        <f>SUM(DY8:DZ8)</f>
        <v>-322.74306212265407</v>
      </c>
      <c r="DY8" s="2799">
        <f t="shared" ref="DY8:DZ12" si="13">SUM(DS8-DP8)</f>
        <v>-319.47974428647507</v>
      </c>
      <c r="DZ8" s="2799">
        <f t="shared" si="13"/>
        <v>-3.2633178361790249</v>
      </c>
      <c r="EA8" s="2758">
        <f>SUM(EB8:EC8)</f>
        <v>2305.6891863679625</v>
      </c>
      <c r="EB8" s="2758">
        <f>SUM(CC8+DP8)</f>
        <v>2294.2717328594254</v>
      </c>
      <c r="EC8" s="2758">
        <f>SUM(CD8+DQ8)</f>
        <v>11.417453508537076</v>
      </c>
      <c r="ED8" s="2758">
        <f>SUM(EE8:EF8)</f>
        <v>3212.7100000000005</v>
      </c>
      <c r="EE8" s="2758">
        <f t="shared" ref="EE8:EI12" si="14">SUM(CF8+DS8)</f>
        <v>3204.7885000000006</v>
      </c>
      <c r="EF8" s="2758">
        <f t="shared" si="14"/>
        <v>7.9215</v>
      </c>
      <c r="EG8" s="2758">
        <f t="shared" si="14"/>
        <v>3938.6290000000004</v>
      </c>
      <c r="EH8" s="2758">
        <f t="shared" si="14"/>
        <v>3928.1530000000002</v>
      </c>
      <c r="EI8" s="2758">
        <f t="shared" si="14"/>
        <v>10.475999999999999</v>
      </c>
      <c r="EJ8" s="2758">
        <f>SUM(EK8:EL8)</f>
        <v>907.02081363203808</v>
      </c>
      <c r="EK8" s="2799">
        <f t="shared" ref="EK8:EL12" si="15">SUM(EE8-EB8)</f>
        <v>910.51676714057521</v>
      </c>
      <c r="EL8" s="2799">
        <f t="shared" si="15"/>
        <v>-3.4959535085370756</v>
      </c>
      <c r="EM8" s="2756">
        <f>SUM(EN8:EO8)</f>
        <v>256.18768737421806</v>
      </c>
      <c r="EN8" s="2756">
        <f t="shared" ref="EN8:EO12" si="16">SUM(GA8/12)</f>
        <v>254.91908142882502</v>
      </c>
      <c r="EO8" s="2756">
        <f t="shared" si="16"/>
        <v>1.2686059453930083</v>
      </c>
      <c r="EP8" s="2756">
        <f>SUM(EQ8:ER8)</f>
        <v>0</v>
      </c>
      <c r="EQ8" s="2871">
        <f>SUM('ПОЛНАЯ СЕБЕСТОИМОСТЬ СТОКИ 2023'!BQ8)</f>
        <v>0</v>
      </c>
      <c r="ER8" s="2871">
        <f>SUM('ПОЛНАЯ СЕБЕСТОИМОСТЬ СТОКИ 2023'!BR8)</f>
        <v>0</v>
      </c>
      <c r="ES8" s="2756">
        <f>SUM(ET8:EU8)</f>
        <v>468.07</v>
      </c>
      <c r="ET8" s="3851">
        <v>467.42599999999999</v>
      </c>
      <c r="EU8" s="3851">
        <v>0.64400000000000002</v>
      </c>
      <c r="EV8" s="2756">
        <f>SUM(EW8:EX8)</f>
        <v>256.18768737421806</v>
      </c>
      <c r="EW8" s="2756">
        <f t="shared" ref="EW8:EX12" si="17">SUM(GA8/12)</f>
        <v>254.91908142882502</v>
      </c>
      <c r="EX8" s="2756">
        <f t="shared" si="17"/>
        <v>1.2686059453930083</v>
      </c>
      <c r="EY8" s="2756">
        <f>SUM(EZ8:FA8)</f>
        <v>0</v>
      </c>
      <c r="EZ8" s="2871">
        <f>SUM('ПОЛНАЯ СЕБЕСТОИМОСТЬ СТОКИ 2023'!BT8)</f>
        <v>0</v>
      </c>
      <c r="FA8" s="2871">
        <f>SUM('ПОЛНАЯ СЕБЕСТОИМОСТЬ СТОКИ 2023'!BU8)</f>
        <v>0</v>
      </c>
      <c r="FB8" s="2756">
        <f>SUM(FC8:FD8)</f>
        <v>445.88</v>
      </c>
      <c r="FC8" s="3851">
        <v>445.29250000000002</v>
      </c>
      <c r="FD8" s="3851">
        <v>0.58750000000000002</v>
      </c>
      <c r="FE8" s="2756">
        <f>SUM(FF8:FG8)</f>
        <v>256.18768737421806</v>
      </c>
      <c r="FF8" s="2756">
        <f t="shared" ref="FF8:FG12" si="18">SUM(GA8/12)</f>
        <v>254.91908142882502</v>
      </c>
      <c r="FG8" s="2756">
        <f t="shared" si="18"/>
        <v>1.2686059453930083</v>
      </c>
      <c r="FH8" s="2756">
        <f>SUM(FI8:FJ8)</f>
        <v>0</v>
      </c>
      <c r="FI8" s="2871">
        <f>SUM('ПОЛНАЯ СЕБЕСТОИМОСТЬ СТОКИ 2023'!BW8)</f>
        <v>0</v>
      </c>
      <c r="FJ8" s="2871">
        <f>SUM('ПОЛНАЯ СЕБЕСТОИМОСТЬ СТОКИ 2023'!BX8)</f>
        <v>0</v>
      </c>
      <c r="FK8" s="2756">
        <f>SUM(FL8:FM8)</f>
        <v>435.62990000000002</v>
      </c>
      <c r="FL8" s="2757">
        <v>432.51100000000002</v>
      </c>
      <c r="FM8" s="2757">
        <v>3.1189</v>
      </c>
      <c r="FN8" s="2758">
        <f>SUM(FO8:FP8)</f>
        <v>768.56306212265406</v>
      </c>
      <c r="FO8" s="2758">
        <f>SUM(EN8+EW8+FF8)</f>
        <v>764.75724428647504</v>
      </c>
      <c r="FP8" s="2758">
        <f>SUM(EO8+EX8+FG8)</f>
        <v>3.8058178361790249</v>
      </c>
      <c r="FQ8" s="2758">
        <f>SUM(FR8:FS8)</f>
        <v>0</v>
      </c>
      <c r="FR8" s="2758">
        <f>SUM(EQ8+EZ8+FI8)</f>
        <v>0</v>
      </c>
      <c r="FS8" s="2758">
        <f>SUM(ER8+FA8+FJ8)</f>
        <v>0</v>
      </c>
      <c r="FT8" s="2798">
        <f t="shared" ref="FT8:FV12" si="19">SUM(ES8+FB8+FK8)</f>
        <v>1349.5799000000002</v>
      </c>
      <c r="FU8" s="2798">
        <f t="shared" si="19"/>
        <v>1345.2294999999999</v>
      </c>
      <c r="FV8" s="2798">
        <f t="shared" si="19"/>
        <v>4.3504000000000005</v>
      </c>
      <c r="FW8" s="2758">
        <f>SUM(FX8:FY8)</f>
        <v>-768.56306212265406</v>
      </c>
      <c r="FX8" s="2799">
        <f t="shared" ref="FX8:FY12" si="20">SUM(FR8-FO8)</f>
        <v>-764.75724428647504</v>
      </c>
      <c r="FY8" s="2799">
        <f t="shared" si="20"/>
        <v>-3.8058178361790249</v>
      </c>
      <c r="FZ8" s="2758">
        <f>SUM(GA8:GB8)</f>
        <v>3074.2522484906162</v>
      </c>
      <c r="GA8" s="2758">
        <f>SUM('ПОЛНАЯ СЕБЕСТОИМОСТЬ СТОКИ 2023'!CC8)</f>
        <v>3059.0289771459002</v>
      </c>
      <c r="GB8" s="2758">
        <f>SUM('ПОЛНАЯ СЕБЕСТОИМОСТЬ СТОКИ 2023'!CD8)</f>
        <v>15.2232713447161</v>
      </c>
      <c r="GC8" s="2758">
        <f>SUM(GD8:GE8)</f>
        <v>3212.7100000000005</v>
      </c>
      <c r="GD8" s="2798">
        <f t="shared" ref="GD8:GF12" si="21">SUM(EE8+FR8)</f>
        <v>3204.7885000000006</v>
      </c>
      <c r="GE8" s="2798">
        <f t="shared" si="21"/>
        <v>7.9215</v>
      </c>
      <c r="GF8" s="2798">
        <f>SUM(EG8+FT8)</f>
        <v>5288.2089000000005</v>
      </c>
      <c r="GG8" s="2798">
        <f t="shared" ref="GG8:GH12" si="22">SUM(EH8+FU8)</f>
        <v>5273.3824999999997</v>
      </c>
      <c r="GH8" s="2798">
        <f t="shared" si="22"/>
        <v>14.8264</v>
      </c>
      <c r="GI8" s="2758">
        <f>SUM(GJ8:GK8)</f>
        <v>138.45775150938431</v>
      </c>
      <c r="GJ8" s="2799">
        <f t="shared" ref="GJ8:GK12" si="23">SUM(GD8-GA8)</f>
        <v>145.7595228541004</v>
      </c>
      <c r="GK8" s="2799">
        <f t="shared" si="23"/>
        <v>-7.3017713447160997</v>
      </c>
      <c r="GM8" s="3576">
        <f>SUM(B8+K8+T8+AO8+AX8+BG8+CN8+CW8+DF8+EM8+EV8+FE8)</f>
        <v>3074.2522484906167</v>
      </c>
    </row>
    <row r="9" spans="1:195" ht="18.75" customHeight="1" x14ac:dyDescent="0.3">
      <c r="A9" s="2796" t="s">
        <v>3766</v>
      </c>
      <c r="B9" s="2756">
        <f t="shared" ref="B9:B12" si="24">SUM(C9:D9)</f>
        <v>256.18768737421806</v>
      </c>
      <c r="C9" s="2756">
        <f t="shared" ref="C9:D12" si="25">SUM(GA9/12)</f>
        <v>254.91908142882502</v>
      </c>
      <c r="D9" s="2756">
        <f t="shared" si="25"/>
        <v>1.2686059453930083</v>
      </c>
      <c r="E9" s="2756">
        <f t="shared" ref="E9:E16" si="26">SUM(F9:G9)</f>
        <v>257.414513</v>
      </c>
      <c r="F9" s="2871">
        <f>SUM('ПОЛНАЯ СЕБЕСТОИМОСТЬ СТОКИ 2023'!F9)</f>
        <v>256.71326299999998</v>
      </c>
      <c r="G9" s="2871">
        <f>SUM('ПОЛНАЯ СЕБЕСТОИМОСТЬ СТОКИ 2023'!G9)</f>
        <v>0.70125000000000004</v>
      </c>
      <c r="H9" s="2756">
        <f t="shared" ref="H9:H16" si="27">SUM(I9:J9)</f>
        <v>276.91700000000003</v>
      </c>
      <c r="I9" s="3852">
        <v>276.69200000000001</v>
      </c>
      <c r="J9" s="3852">
        <v>0.22500000000000001</v>
      </c>
      <c r="K9" s="2756">
        <f>SUM(L9:M9)</f>
        <v>256.18768737421806</v>
      </c>
      <c r="L9" s="2756">
        <f t="shared" si="0"/>
        <v>254.91908142882502</v>
      </c>
      <c r="M9" s="2756">
        <f t="shared" si="0"/>
        <v>1.2686059453930083</v>
      </c>
      <c r="N9" s="2756">
        <f t="shared" ref="N9:N16" si="28">SUM(O9:P9)</f>
        <v>268.54267499999997</v>
      </c>
      <c r="O9" s="2871">
        <f>SUM('ПОЛНАЯ СЕБЕСТОИМОСТЬ СТОКИ 2023'!I9)</f>
        <v>268.082425</v>
      </c>
      <c r="P9" s="2871">
        <f>SUM('ПОЛНАЯ СЕБЕСТОИМОСТЬ СТОКИ 2023'!J9)</f>
        <v>0.46024999999999999</v>
      </c>
      <c r="Q9" s="2756">
        <f t="shared" ref="Q9:Q16" si="29">SUM(R9:S9)</f>
        <v>278.30025000000001</v>
      </c>
      <c r="R9" s="3852">
        <v>278.04899999999998</v>
      </c>
      <c r="S9" s="3852">
        <v>0.25124999999999997</v>
      </c>
      <c r="T9" s="2756">
        <f>SUM(U9:V9)</f>
        <v>256.18768737421806</v>
      </c>
      <c r="U9" s="2756">
        <f t="shared" si="1"/>
        <v>254.91908142882502</v>
      </c>
      <c r="V9" s="2756">
        <f t="shared" si="1"/>
        <v>1.2686059453930083</v>
      </c>
      <c r="W9" s="2756">
        <f t="shared" ref="W9:W16" si="30">SUM(X9:Y9)</f>
        <v>259.48193000000003</v>
      </c>
      <c r="X9" s="2871">
        <f>SUM('ПОЛНАЯ СЕБЕСТОИМОСТЬ СТОКИ 2023'!L9)</f>
        <v>257.06443000000002</v>
      </c>
      <c r="Y9" s="2871">
        <f>SUM('ПОЛНАЯ СЕБЕСТОИМОСТЬ СТОКИ 2023'!M9)</f>
        <v>2.4175</v>
      </c>
      <c r="Z9" s="2755">
        <f t="shared" ref="Z9:Z16" si="31">SUM(AA9:AB9)</f>
        <v>272.42900000000003</v>
      </c>
      <c r="AA9" s="3852">
        <v>270.02500000000003</v>
      </c>
      <c r="AB9" s="3852">
        <v>2.4039999999999999</v>
      </c>
      <c r="AC9" s="2758">
        <f t="shared" ref="AC9:AC12" si="32">SUM(AD9:AE9)</f>
        <v>768.56306212265406</v>
      </c>
      <c r="AD9" s="2758">
        <f t="shared" ref="AD9:AE12" si="33">SUM(C9+L9+U9)</f>
        <v>764.75724428647504</v>
      </c>
      <c r="AE9" s="2758">
        <f t="shared" si="33"/>
        <v>3.8058178361790249</v>
      </c>
      <c r="AF9" s="2758">
        <f t="shared" ref="AF9:AF12" si="34">SUM(AG9:AH9)</f>
        <v>785.43911799999989</v>
      </c>
      <c r="AG9" s="2758">
        <f t="shared" ref="AG9:AH12" si="35">SUM(F9+O9+X9)</f>
        <v>781.86011799999994</v>
      </c>
      <c r="AH9" s="2758">
        <f t="shared" si="35"/>
        <v>3.5789999999999997</v>
      </c>
      <c r="AI9" s="2798">
        <f t="shared" si="2"/>
        <v>827.64625000000001</v>
      </c>
      <c r="AJ9" s="2798">
        <f t="shared" si="2"/>
        <v>824.76600000000008</v>
      </c>
      <c r="AK9" s="2798">
        <f t="shared" si="2"/>
        <v>2.8802499999999998</v>
      </c>
      <c r="AL9" s="2758">
        <f t="shared" ref="AL9:AL12" si="36">SUM(AM9:AN9)</f>
        <v>16.876055877345877</v>
      </c>
      <c r="AM9" s="2758">
        <f t="shared" ref="AM9:AN12" si="37">SUM(AG9-AD9)</f>
        <v>17.1028737135249</v>
      </c>
      <c r="AN9" s="2758">
        <f t="shared" si="37"/>
        <v>-0.22681783617902518</v>
      </c>
      <c r="AO9" s="2756">
        <f>SUM(AP9:AQ9)</f>
        <v>256.18768737421806</v>
      </c>
      <c r="AP9" s="2756">
        <f t="shared" si="3"/>
        <v>254.91908142882502</v>
      </c>
      <c r="AQ9" s="2756">
        <f t="shared" si="3"/>
        <v>1.2686059453930083</v>
      </c>
      <c r="AR9" s="2756">
        <f t="shared" ref="AR9:AR16" si="38">SUM(AS9:AT9)</f>
        <v>263.32413399999996</v>
      </c>
      <c r="AS9" s="2871">
        <f>SUM('ПОЛНАЯ СЕБЕСТОИМОСТЬ СТОКИ 2023'!U9)</f>
        <v>262.86413399999998</v>
      </c>
      <c r="AT9" s="2871">
        <f>SUM('ПОЛНАЯ СЕБЕСТОИМОСТЬ СТОКИ 2023'!V9)</f>
        <v>0.46</v>
      </c>
      <c r="AU9" s="2755">
        <f t="shared" ref="AU9:AU16" si="39">SUM(AV9:AW9)</f>
        <v>297.51749999999998</v>
      </c>
      <c r="AV9" s="3852">
        <v>296.94499999999999</v>
      </c>
      <c r="AW9" s="3852">
        <v>0.57250000000000001</v>
      </c>
      <c r="AX9" s="2756">
        <f>SUM(AY9:AZ9)</f>
        <v>256.18768737421806</v>
      </c>
      <c r="AY9" s="2756">
        <f t="shared" si="4"/>
        <v>254.91908142882502</v>
      </c>
      <c r="AZ9" s="2756">
        <f t="shared" si="4"/>
        <v>1.2686059453930083</v>
      </c>
      <c r="BA9" s="2756">
        <f t="shared" ref="BA9:BA16" si="40">SUM(BB9:BC9)</f>
        <v>263.52684599999998</v>
      </c>
      <c r="BB9" s="2871">
        <f>SUM('ПОЛНАЯ СЕБЕСТОИМОСТЬ СТОКИ 2023'!X9)</f>
        <v>262.77809600000001</v>
      </c>
      <c r="BC9" s="2871">
        <f>SUM('ПОЛНАЯ СЕБЕСТОИМОСТЬ СТОКИ 2023'!Y9)</f>
        <v>0.74875000000000003</v>
      </c>
      <c r="BD9" s="2755">
        <f t="shared" ref="BD9:BD16" si="41">SUM(BE9:BF9)</f>
        <v>265.84300000000002</v>
      </c>
      <c r="BE9" s="3852">
        <v>265.28399999999999</v>
      </c>
      <c r="BF9" s="3852">
        <v>0.55900000000000005</v>
      </c>
      <c r="BG9" s="2756">
        <f>SUM(BH9:BI9)</f>
        <v>256.18768737421806</v>
      </c>
      <c r="BH9" s="2756">
        <f t="shared" si="5"/>
        <v>254.91908142882502</v>
      </c>
      <c r="BI9" s="2756">
        <f t="shared" si="5"/>
        <v>1.2686059453930083</v>
      </c>
      <c r="BJ9" s="2756">
        <f t="shared" ref="BJ9:BJ16" si="42">SUM(BK9:BL9)</f>
        <v>257.661947</v>
      </c>
      <c r="BK9" s="2871">
        <f>SUM('ПОЛНАЯ СЕБЕСТОИМОСТЬ СТОКИ 2023'!AA9)</f>
        <v>255.070697</v>
      </c>
      <c r="BL9" s="2871">
        <f>SUM('ПОЛНАЯ СЕБЕСТОИМОСТЬ СТОКИ 2023'!AB9)</f>
        <v>2.5912500000000001</v>
      </c>
      <c r="BM9" s="2755">
        <f t="shared" ref="BM9:BM16" si="43">SUM(BN9:BO9)</f>
        <v>261.50725</v>
      </c>
      <c r="BN9" s="3852">
        <v>258.62700000000001</v>
      </c>
      <c r="BO9" s="3852">
        <v>2.8802500000000002</v>
      </c>
      <c r="BP9" s="2758">
        <f t="shared" ref="BP9:BP12" si="44">SUM(BQ9:BR9)</f>
        <v>768.56306212265406</v>
      </c>
      <c r="BQ9" s="2758">
        <f t="shared" ref="BQ9:BR12" si="45">SUM(AP9+AY9+BH9)</f>
        <v>764.75724428647504</v>
      </c>
      <c r="BR9" s="2758">
        <f t="shared" si="45"/>
        <v>3.8058178361790249</v>
      </c>
      <c r="BS9" s="2758">
        <f t="shared" ref="BS9:BS12" si="46">SUM(BT9:BU9)</f>
        <v>784.51292699999988</v>
      </c>
      <c r="BT9" s="2758">
        <f t="shared" ref="BT9:BU12" si="47">SUM(AS9+BB9+BK9)</f>
        <v>780.71292699999992</v>
      </c>
      <c r="BU9" s="2758">
        <f t="shared" si="47"/>
        <v>3.8</v>
      </c>
      <c r="BV9" s="2798">
        <f t="shared" si="6"/>
        <v>824.86775</v>
      </c>
      <c r="BW9" s="2758">
        <f t="shared" si="6"/>
        <v>820.85599999999999</v>
      </c>
      <c r="BX9" s="2758">
        <f t="shared" si="6"/>
        <v>4.0117500000000001</v>
      </c>
      <c r="BY9" s="2758">
        <f t="shared" ref="BY9:BY12" si="48">SUM(BZ9:CA9)</f>
        <v>15.949864877345854</v>
      </c>
      <c r="BZ9" s="2758">
        <f t="shared" ref="BZ9:CA12" si="49">SUM(BT9-BQ9)</f>
        <v>15.95568271352488</v>
      </c>
      <c r="CA9" s="2758">
        <f t="shared" si="49"/>
        <v>-5.8178361790250932E-3</v>
      </c>
      <c r="CB9" s="2758">
        <f t="shared" ref="CB9:CB12" si="50">SUM(CC9:CD9)</f>
        <v>1537.1261242453081</v>
      </c>
      <c r="CC9" s="2758">
        <f t="shared" ref="CC9:CD12" si="51">SUM(AD9+BQ9)</f>
        <v>1529.5144885729501</v>
      </c>
      <c r="CD9" s="2758">
        <f t="shared" si="51"/>
        <v>7.6116356723580498</v>
      </c>
      <c r="CE9" s="2758">
        <f>SUM(CF9:CG9)</f>
        <v>1569.9520449999998</v>
      </c>
      <c r="CF9" s="2758">
        <f t="shared" si="7"/>
        <v>1562.5730449999999</v>
      </c>
      <c r="CG9" s="2758">
        <f t="shared" si="7"/>
        <v>7.3789999999999996</v>
      </c>
      <c r="CH9" s="2798">
        <f t="shared" si="7"/>
        <v>1652.5140000000001</v>
      </c>
      <c r="CI9" s="2798">
        <f t="shared" si="7"/>
        <v>1645.6220000000001</v>
      </c>
      <c r="CJ9" s="2798">
        <f t="shared" si="7"/>
        <v>6.8919999999999995</v>
      </c>
      <c r="CK9" s="2758">
        <f t="shared" ref="CK9:CK12" si="52">SUM(CL9:CM9)</f>
        <v>32.82592075469173</v>
      </c>
      <c r="CL9" s="2799">
        <f t="shared" si="8"/>
        <v>33.05855642704978</v>
      </c>
      <c r="CM9" s="2799">
        <f t="shared" si="8"/>
        <v>-0.23263567235805027</v>
      </c>
      <c r="CN9" s="2756">
        <f>SUM(CO9:CP9)</f>
        <v>256.18768737421806</v>
      </c>
      <c r="CO9" s="2756">
        <f t="shared" si="9"/>
        <v>254.91908142882502</v>
      </c>
      <c r="CP9" s="2756">
        <f t="shared" si="9"/>
        <v>1.2686059453930083</v>
      </c>
      <c r="CQ9" s="2756">
        <f t="shared" ref="CQ9:CQ16" si="53">SUM(CR9:CS9)</f>
        <v>226.11733899999999</v>
      </c>
      <c r="CR9" s="2871">
        <f>SUM('ПОЛНАЯ СЕБЕСТОИМОСТЬ СТОКИ 2023'!AS9)</f>
        <v>225.574839</v>
      </c>
      <c r="CS9" s="2871">
        <f>SUM('ПОЛНАЯ СЕБЕСТОИМОСТЬ СТОКИ 2023'!AT9)</f>
        <v>0.54249999999999998</v>
      </c>
      <c r="CT9" s="2756">
        <f t="shared" ref="CT9:CT16" si="54">SUM(CU9:CV9)</f>
        <v>247.98500000000001</v>
      </c>
      <c r="CU9" s="3852">
        <v>247.65100000000001</v>
      </c>
      <c r="CV9" s="3852">
        <v>0.33400000000000002</v>
      </c>
      <c r="CW9" s="2756">
        <f>SUM(CX9:CY9)</f>
        <v>256.18768737421806</v>
      </c>
      <c r="CX9" s="2756">
        <f t="shared" si="10"/>
        <v>254.91908142882502</v>
      </c>
      <c r="CY9" s="2756">
        <f t="shared" si="10"/>
        <v>1.2686059453930083</v>
      </c>
      <c r="CZ9" s="2756">
        <f t="shared" ref="CZ9:CZ16" si="55">SUM(DA9:DB9)</f>
        <v>0</v>
      </c>
      <c r="DA9" s="2871">
        <f>SUM('ПОЛНАЯ СЕБЕСТОИМОСТЬ СТОКИ 2023'!AV9)</f>
        <v>0</v>
      </c>
      <c r="DB9" s="2871">
        <f>SUM('ПОЛНАЯ СЕБЕСТОИМОСТЬ СТОКИ 2023'!AW9)</f>
        <v>0</v>
      </c>
      <c r="DC9" s="2755">
        <f t="shared" ref="DC9:DC16" si="56">SUM(DD9:DE9)</f>
        <v>254.21399999999997</v>
      </c>
      <c r="DD9" s="3852">
        <v>253.81799999999998</v>
      </c>
      <c r="DE9" s="3852">
        <v>0.39600000000000002</v>
      </c>
      <c r="DF9" s="2756">
        <f>SUM(DG9:DH9)</f>
        <v>256.18768737421806</v>
      </c>
      <c r="DG9" s="2756">
        <f t="shared" si="11"/>
        <v>254.91908142882502</v>
      </c>
      <c r="DH9" s="2756">
        <f t="shared" si="11"/>
        <v>1.2686059453930083</v>
      </c>
      <c r="DI9" s="2756">
        <f t="shared" ref="DI9:DI16" si="57">SUM(DJ9:DK9)</f>
        <v>0</v>
      </c>
      <c r="DJ9" s="2871">
        <f>SUM('ПОЛНАЯ СЕБЕСТОИМОСТЬ СТОКИ 2023'!AY9)</f>
        <v>0</v>
      </c>
      <c r="DK9" s="2871">
        <f>SUM('ПОЛНАЯ СЕБЕСТОИМОСТЬ СТОКИ 2023'!AZ9)</f>
        <v>0</v>
      </c>
      <c r="DL9" s="2755">
        <f t="shared" ref="DL9:DL16" si="58">SUM(DM9:DN9)</f>
        <v>267.44142799999997</v>
      </c>
      <c r="DM9" s="3852">
        <v>264.58742799999999</v>
      </c>
      <c r="DN9" s="3852">
        <v>2.8540000000000001</v>
      </c>
      <c r="DO9" s="2758">
        <f t="shared" ref="DO9:DO12" si="59">SUM(DP9:DQ9)</f>
        <v>768.56306212265406</v>
      </c>
      <c r="DP9" s="2758">
        <f t="shared" ref="DP9:DQ12" si="60">SUM(CO9+CX9+DG9)</f>
        <v>764.75724428647504</v>
      </c>
      <c r="DQ9" s="2758">
        <f t="shared" si="60"/>
        <v>3.8058178361790249</v>
      </c>
      <c r="DR9" s="2758">
        <f t="shared" ref="DR9:DR12" si="61">SUM(DS9:DT9)</f>
        <v>226.11733899999999</v>
      </c>
      <c r="DS9" s="2758">
        <f t="shared" ref="DS9:DT12" si="62">SUM(CR9+DA9+DJ9)</f>
        <v>225.574839</v>
      </c>
      <c r="DT9" s="2758">
        <f t="shared" si="62"/>
        <v>0.54249999999999998</v>
      </c>
      <c r="DU9" s="2798">
        <f t="shared" si="12"/>
        <v>769.64042799999993</v>
      </c>
      <c r="DV9" s="2758">
        <f t="shared" si="12"/>
        <v>766.05642799999998</v>
      </c>
      <c r="DW9" s="2758">
        <f t="shared" si="12"/>
        <v>3.5840000000000001</v>
      </c>
      <c r="DX9" s="2758">
        <f t="shared" ref="DX9:DX12" si="63">SUM(DY9:DZ9)</f>
        <v>-542.44572312265404</v>
      </c>
      <c r="DY9" s="2799">
        <f t="shared" si="13"/>
        <v>-539.18240528647505</v>
      </c>
      <c r="DZ9" s="2799">
        <f t="shared" si="13"/>
        <v>-3.2633178361790249</v>
      </c>
      <c r="EA9" s="2758">
        <f t="shared" ref="EA9:EA12" si="64">SUM(EB9:EC9)</f>
        <v>2305.6891863679625</v>
      </c>
      <c r="EB9" s="2758">
        <f t="shared" ref="EB9:EC12" si="65">SUM(CC9+DP9)</f>
        <v>2294.2717328594254</v>
      </c>
      <c r="EC9" s="2758">
        <f t="shared" si="65"/>
        <v>11.417453508537076</v>
      </c>
      <c r="ED9" s="2758">
        <f t="shared" ref="ED9:ED12" si="66">SUM(EE9:EF9)</f>
        <v>1796.0693839999999</v>
      </c>
      <c r="EE9" s="2758">
        <f t="shared" si="14"/>
        <v>1788.147884</v>
      </c>
      <c r="EF9" s="2758">
        <f t="shared" si="14"/>
        <v>7.9215</v>
      </c>
      <c r="EG9" s="2758">
        <f t="shared" si="14"/>
        <v>2422.1544279999998</v>
      </c>
      <c r="EH9" s="2758">
        <f t="shared" si="14"/>
        <v>2411.6784280000002</v>
      </c>
      <c r="EI9" s="2758">
        <f t="shared" si="14"/>
        <v>10.475999999999999</v>
      </c>
      <c r="EJ9" s="2758">
        <f t="shared" ref="EJ9:EJ12" si="67">SUM(EK9:EL9)</f>
        <v>-509.61980236796245</v>
      </c>
      <c r="EK9" s="2799">
        <f t="shared" si="15"/>
        <v>-506.12384885942538</v>
      </c>
      <c r="EL9" s="2799">
        <f t="shared" si="15"/>
        <v>-3.4959535085370756</v>
      </c>
      <c r="EM9" s="2756">
        <f>SUM(EN9:EO9)</f>
        <v>256.18768737421806</v>
      </c>
      <c r="EN9" s="2756">
        <f t="shared" si="16"/>
        <v>254.91908142882502</v>
      </c>
      <c r="EO9" s="2756">
        <f t="shared" si="16"/>
        <v>1.2686059453930083</v>
      </c>
      <c r="EP9" s="2756">
        <f t="shared" ref="EP9:EP16" si="68">SUM(EQ9:ER9)</f>
        <v>0</v>
      </c>
      <c r="EQ9" s="2871">
        <f>SUM('ПОЛНАЯ СЕБЕСТОИМОСТЬ СТОКИ 2023'!BQ9)</f>
        <v>0</v>
      </c>
      <c r="ER9" s="2871">
        <f>SUM('ПОЛНАЯ СЕБЕСТОИМОСТЬ СТОКИ 2023'!BR9)</f>
        <v>0</v>
      </c>
      <c r="ES9" s="2755">
        <f t="shared" ref="ES9:ES16" si="69">SUM(ET9:EU9)</f>
        <v>265.94100000000003</v>
      </c>
      <c r="ET9" s="3852">
        <v>265.29700000000003</v>
      </c>
      <c r="EU9" s="3852">
        <v>0.64400000000000002</v>
      </c>
      <c r="EV9" s="2756">
        <f>SUM(EW9:EX9)</f>
        <v>256.18768737421806</v>
      </c>
      <c r="EW9" s="2756">
        <f t="shared" si="17"/>
        <v>254.91908142882502</v>
      </c>
      <c r="EX9" s="2756">
        <f t="shared" si="17"/>
        <v>1.2686059453930083</v>
      </c>
      <c r="EY9" s="2756">
        <f t="shared" ref="EY9:EY16" si="70">SUM(EZ9:FA9)</f>
        <v>0</v>
      </c>
      <c r="EZ9" s="2871">
        <f>SUM('ПОЛНАЯ СЕБЕСТОИМОСТЬ СТОКИ 2023'!BT9)</f>
        <v>0</v>
      </c>
      <c r="FA9" s="2871">
        <f>SUM('ПОЛНАЯ СЕБЕСТОИМОСТЬ СТОКИ 2023'!BU9)</f>
        <v>0</v>
      </c>
      <c r="FB9" s="2756">
        <f t="shared" ref="FB9:FB16" si="71">SUM(FC9:FD9)</f>
        <v>266.04975399999995</v>
      </c>
      <c r="FC9" s="3852">
        <v>265.46225399999997</v>
      </c>
      <c r="FD9" s="3852">
        <v>0.58750000000000002</v>
      </c>
      <c r="FE9" s="2756">
        <f>SUM(FF9:FG9)</f>
        <v>256.18768737421806</v>
      </c>
      <c r="FF9" s="2756">
        <f t="shared" si="18"/>
        <v>254.91908142882502</v>
      </c>
      <c r="FG9" s="2756">
        <f t="shared" si="18"/>
        <v>1.2686059453930083</v>
      </c>
      <c r="FH9" s="2756">
        <f t="shared" ref="FH9:FH16" si="72">SUM(FI9:FJ9)</f>
        <v>0</v>
      </c>
      <c r="FI9" s="2871">
        <f>SUM('ПОЛНАЯ СЕБЕСТОИМОСТЬ СТОКИ 2023'!BW9)</f>
        <v>0</v>
      </c>
      <c r="FJ9" s="2871">
        <f>SUM('ПОЛНАЯ СЕБЕСТОИМОСТЬ СТОКИ 2023'!BX9)</f>
        <v>0</v>
      </c>
      <c r="FK9" s="2756">
        <f t="shared" ref="FK9:FK16" si="73">SUM(FL9:FM9)</f>
        <v>271.41572000000002</v>
      </c>
      <c r="FL9" s="2756">
        <v>268.29682000000003</v>
      </c>
      <c r="FM9" s="2756">
        <v>3.1189</v>
      </c>
      <c r="FN9" s="2758">
        <f t="shared" ref="FN9:FN12" si="74">SUM(FO9:FP9)</f>
        <v>768.56306212265406</v>
      </c>
      <c r="FO9" s="2758">
        <f t="shared" ref="FO9:FP12" si="75">SUM(EN9+EW9+FF9)</f>
        <v>764.75724428647504</v>
      </c>
      <c r="FP9" s="2758">
        <f t="shared" si="75"/>
        <v>3.8058178361790249</v>
      </c>
      <c r="FQ9" s="2758">
        <f t="shared" ref="FQ9:FQ12" si="76">SUM(FR9:FS9)</f>
        <v>0</v>
      </c>
      <c r="FR9" s="2758">
        <f t="shared" ref="FR9:FS12" si="77">SUM(EQ9+EZ9+FI9)</f>
        <v>0</v>
      </c>
      <c r="FS9" s="2758">
        <f t="shared" si="77"/>
        <v>0</v>
      </c>
      <c r="FT9" s="2798">
        <f t="shared" si="19"/>
        <v>803.40647399999989</v>
      </c>
      <c r="FU9" s="2798">
        <f t="shared" si="19"/>
        <v>799.05607400000008</v>
      </c>
      <c r="FV9" s="2798">
        <f t="shared" si="19"/>
        <v>4.3504000000000005</v>
      </c>
      <c r="FW9" s="2758">
        <f t="shared" ref="FW9:FW12" si="78">SUM(FX9:FY9)</f>
        <v>-768.56306212265406</v>
      </c>
      <c r="FX9" s="2799">
        <f t="shared" si="20"/>
        <v>-764.75724428647504</v>
      </c>
      <c r="FY9" s="2799">
        <f t="shared" si="20"/>
        <v>-3.8058178361790249</v>
      </c>
      <c r="FZ9" s="2758">
        <f t="shared" ref="FZ9:FZ16" si="79">SUM(GA9:GB9)</f>
        <v>3074.2522484906162</v>
      </c>
      <c r="GA9" s="2758">
        <f>SUM('ПОЛНАЯ СЕБЕСТОИМОСТЬ СТОКИ 2023'!CC9)</f>
        <v>3059.0289771459002</v>
      </c>
      <c r="GB9" s="2758">
        <f>SUM('ПОЛНАЯ СЕБЕСТОИМОСТЬ СТОКИ 2023'!CD9)</f>
        <v>15.2232713447161</v>
      </c>
      <c r="GC9" s="2758">
        <f t="shared" ref="GC9:GC12" si="80">SUM(GD9:GE9)</f>
        <v>1796.0693839999999</v>
      </c>
      <c r="GD9" s="2798">
        <f t="shared" si="21"/>
        <v>1788.147884</v>
      </c>
      <c r="GE9" s="2798">
        <f t="shared" si="21"/>
        <v>7.9215</v>
      </c>
      <c r="GF9" s="2798">
        <f t="shared" si="21"/>
        <v>3225.5609019999997</v>
      </c>
      <c r="GG9" s="2798">
        <f t="shared" si="22"/>
        <v>3210.7345020000002</v>
      </c>
      <c r="GH9" s="2798">
        <f t="shared" si="22"/>
        <v>14.8264</v>
      </c>
      <c r="GI9" s="2758">
        <f t="shared" ref="GI9:GI12" si="81">SUM(GJ9:GK9)</f>
        <v>-1278.1828644906163</v>
      </c>
      <c r="GJ9" s="2799">
        <f t="shared" si="23"/>
        <v>-1270.8810931459002</v>
      </c>
      <c r="GK9" s="2799">
        <f t="shared" si="23"/>
        <v>-7.3017713447160997</v>
      </c>
      <c r="GM9" s="3576">
        <f t="shared" ref="GM9:GM16" si="82">SUM(B9+K9+T9+AO9+AX9+BG9+CN9+CW9+DF9+EM9+EV9+FE9)</f>
        <v>3074.2522484906167</v>
      </c>
    </row>
    <row r="10" spans="1:195" ht="18.75" customHeight="1" x14ac:dyDescent="0.3">
      <c r="A10" s="2800" t="s">
        <v>253</v>
      </c>
      <c r="B10" s="2762">
        <f t="shared" si="24"/>
        <v>197.39329347432499</v>
      </c>
      <c r="C10" s="2762">
        <f t="shared" si="25"/>
        <v>197.39329347432499</v>
      </c>
      <c r="D10" s="2762">
        <f t="shared" si="25"/>
        <v>0</v>
      </c>
      <c r="E10" s="2762">
        <f t="shared" si="26"/>
        <v>203.136651</v>
      </c>
      <c r="F10" s="2872">
        <f>SUM('ПОЛНАЯ СЕБЕСТОИМОСТЬ СТОКИ 2023'!F10)</f>
        <v>203.136651</v>
      </c>
      <c r="G10" s="2872">
        <f>SUM('ПОЛНАЯ СЕБЕСТОИМОСТЬ СТОКИ 2023'!G10)</f>
        <v>0</v>
      </c>
      <c r="H10" s="2761">
        <f t="shared" si="27"/>
        <v>207.261</v>
      </c>
      <c r="I10" s="3853">
        <v>207.261</v>
      </c>
      <c r="J10" s="3853">
        <v>0</v>
      </c>
      <c r="K10" s="2762">
        <f>SUM(L10:M10)</f>
        <v>197.39329347432499</v>
      </c>
      <c r="L10" s="2762">
        <f t="shared" si="0"/>
        <v>197.39329347432499</v>
      </c>
      <c r="M10" s="2762">
        <f t="shared" si="0"/>
        <v>0</v>
      </c>
      <c r="N10" s="2762">
        <f t="shared" si="28"/>
        <v>207.06859499999999</v>
      </c>
      <c r="O10" s="2872">
        <f>SUM('ПОЛНАЯ СЕБЕСТОИМОСТЬ СТОКИ 2023'!I10)</f>
        <v>207.06859499999999</v>
      </c>
      <c r="P10" s="2872">
        <f>SUM('ПОЛНАЯ СЕБЕСТОИМОСТЬ СТОКИ 2023'!J10)</f>
        <v>0</v>
      </c>
      <c r="Q10" s="2761">
        <f t="shared" si="29"/>
        <v>204.084</v>
      </c>
      <c r="R10" s="3853">
        <v>204.084</v>
      </c>
      <c r="S10" s="3853">
        <v>0</v>
      </c>
      <c r="T10" s="2762">
        <f>SUM(U10:V10)</f>
        <v>197.39329347432499</v>
      </c>
      <c r="U10" s="2762">
        <f t="shared" si="1"/>
        <v>197.39329347432499</v>
      </c>
      <c r="V10" s="2762">
        <f t="shared" si="1"/>
        <v>0</v>
      </c>
      <c r="W10" s="2762">
        <f t="shared" si="30"/>
        <v>199.56375600000001</v>
      </c>
      <c r="X10" s="2872">
        <f>SUM('ПОЛНАЯ СЕБЕСТОИМОСТЬ СТОКИ 2023'!L10)</f>
        <v>199.56375600000001</v>
      </c>
      <c r="Y10" s="2872">
        <f>SUM('ПОЛНАЯ СЕБЕСТОИМОСТЬ СТОКИ 2023'!M10)</f>
        <v>0</v>
      </c>
      <c r="Z10" s="2761">
        <f t="shared" si="31"/>
        <v>199.22900000000001</v>
      </c>
      <c r="AA10" s="3853">
        <v>199.22900000000001</v>
      </c>
      <c r="AB10" s="3853">
        <v>0</v>
      </c>
      <c r="AC10" s="2763">
        <f t="shared" si="32"/>
        <v>592.17988042297497</v>
      </c>
      <c r="AD10" s="2763">
        <f t="shared" si="33"/>
        <v>592.17988042297497</v>
      </c>
      <c r="AE10" s="2763">
        <f t="shared" si="33"/>
        <v>0</v>
      </c>
      <c r="AF10" s="2763">
        <f t="shared" si="34"/>
        <v>609.769002</v>
      </c>
      <c r="AG10" s="2763">
        <f t="shared" si="35"/>
        <v>609.769002</v>
      </c>
      <c r="AH10" s="2763">
        <f t="shared" si="35"/>
        <v>0</v>
      </c>
      <c r="AI10" s="2802">
        <f t="shared" si="2"/>
        <v>610.57400000000007</v>
      </c>
      <c r="AJ10" s="2802">
        <f t="shared" si="2"/>
        <v>610.57400000000007</v>
      </c>
      <c r="AK10" s="2802">
        <f t="shared" si="2"/>
        <v>0</v>
      </c>
      <c r="AL10" s="2763">
        <f t="shared" si="36"/>
        <v>17.589121577025026</v>
      </c>
      <c r="AM10" s="2763">
        <f t="shared" si="37"/>
        <v>17.589121577025026</v>
      </c>
      <c r="AN10" s="2763">
        <f t="shared" si="37"/>
        <v>0</v>
      </c>
      <c r="AO10" s="2762">
        <f>SUM(AP10:AQ10)</f>
        <v>197.39329347432499</v>
      </c>
      <c r="AP10" s="2762">
        <f t="shared" si="3"/>
        <v>197.39329347432499</v>
      </c>
      <c r="AQ10" s="2762">
        <f t="shared" si="3"/>
        <v>0</v>
      </c>
      <c r="AR10" s="2762">
        <f t="shared" si="38"/>
        <v>204.270996</v>
      </c>
      <c r="AS10" s="2872">
        <f>SUM('ПОЛНАЯ СЕБЕСТОИМОСТЬ СТОКИ 2023'!U10)</f>
        <v>204.270996</v>
      </c>
      <c r="AT10" s="2872">
        <f>SUM('ПОЛНАЯ СЕБЕСТОИМОСТЬ СТОКИ 2023'!V10)</f>
        <v>0</v>
      </c>
      <c r="AU10" s="2761">
        <f t="shared" si="39"/>
        <v>240.98500000000001</v>
      </c>
      <c r="AV10" s="3853">
        <v>240.98500000000001</v>
      </c>
      <c r="AW10" s="3853">
        <v>0</v>
      </c>
      <c r="AX10" s="2762">
        <f>SUM(AY10:AZ10)</f>
        <v>197.39329347432499</v>
      </c>
      <c r="AY10" s="2762">
        <f t="shared" si="4"/>
        <v>197.39329347432499</v>
      </c>
      <c r="AZ10" s="2762">
        <f t="shared" si="4"/>
        <v>0</v>
      </c>
      <c r="BA10" s="2762">
        <f t="shared" si="40"/>
        <v>210.60340099999999</v>
      </c>
      <c r="BB10" s="2872">
        <f>SUM('ПОЛНАЯ СЕБЕСТОИМОСТЬ СТОКИ 2023'!X10)</f>
        <v>210.60340099999999</v>
      </c>
      <c r="BC10" s="2872">
        <f>SUM('ПОЛНАЯ СЕБЕСТОИМОСТЬ СТОКИ 2023'!Y10)</f>
        <v>0</v>
      </c>
      <c r="BD10" s="2761">
        <f t="shared" si="41"/>
        <v>205.10599999999999</v>
      </c>
      <c r="BE10" s="3853">
        <v>205.10599999999999</v>
      </c>
      <c r="BF10" s="3853">
        <v>0</v>
      </c>
      <c r="BG10" s="2762">
        <f>SUM(BH10:BI10)</f>
        <v>197.39329347432499</v>
      </c>
      <c r="BH10" s="2762">
        <f t="shared" si="5"/>
        <v>197.39329347432499</v>
      </c>
      <c r="BI10" s="2762">
        <f t="shared" si="5"/>
        <v>0</v>
      </c>
      <c r="BJ10" s="2762">
        <f t="shared" si="42"/>
        <v>200.97697199999999</v>
      </c>
      <c r="BK10" s="2872">
        <f>SUM('ПОЛНАЯ СЕБЕСТОИМОСТЬ СТОКИ 2023'!AA10)</f>
        <v>200.97697199999999</v>
      </c>
      <c r="BL10" s="2872">
        <f>SUM('ПОЛНАЯ СЕБЕСТОИМОСТЬ СТОКИ 2023'!AB10)</f>
        <v>0</v>
      </c>
      <c r="BM10" s="2761">
        <f t="shared" si="43"/>
        <v>193.73599999999999</v>
      </c>
      <c r="BN10" s="3853">
        <v>193.73599999999999</v>
      </c>
      <c r="BO10" s="3853">
        <v>0</v>
      </c>
      <c r="BP10" s="2763">
        <f t="shared" si="44"/>
        <v>592.17988042297497</v>
      </c>
      <c r="BQ10" s="2763">
        <f t="shared" si="45"/>
        <v>592.17988042297497</v>
      </c>
      <c r="BR10" s="2763">
        <f t="shared" si="45"/>
        <v>0</v>
      </c>
      <c r="BS10" s="2763">
        <f t="shared" si="46"/>
        <v>615.85136899999998</v>
      </c>
      <c r="BT10" s="2763">
        <f t="shared" si="47"/>
        <v>615.85136899999998</v>
      </c>
      <c r="BU10" s="2763">
        <f t="shared" si="47"/>
        <v>0</v>
      </c>
      <c r="BV10" s="2802">
        <f t="shared" si="6"/>
        <v>639.827</v>
      </c>
      <c r="BW10" s="2763">
        <f t="shared" si="6"/>
        <v>639.827</v>
      </c>
      <c r="BX10" s="2763">
        <f t="shared" si="6"/>
        <v>0</v>
      </c>
      <c r="BY10" s="2763">
        <f t="shared" si="48"/>
        <v>23.671488577025002</v>
      </c>
      <c r="BZ10" s="2763">
        <f t="shared" si="49"/>
        <v>23.671488577025002</v>
      </c>
      <c r="CA10" s="2763">
        <f t="shared" si="49"/>
        <v>0</v>
      </c>
      <c r="CB10" s="2763">
        <f t="shared" si="50"/>
        <v>1184.3597608459499</v>
      </c>
      <c r="CC10" s="2763">
        <f t="shared" si="51"/>
        <v>1184.3597608459499</v>
      </c>
      <c r="CD10" s="2763">
        <f t="shared" si="51"/>
        <v>0</v>
      </c>
      <c r="CE10" s="2763">
        <f t="shared" ref="CE10:CE12" si="83">SUM(CF10:CG10)</f>
        <v>1225.620371</v>
      </c>
      <c r="CF10" s="2763">
        <f t="shared" si="7"/>
        <v>1225.620371</v>
      </c>
      <c r="CG10" s="2763">
        <f t="shared" si="7"/>
        <v>0</v>
      </c>
      <c r="CH10" s="2802">
        <f t="shared" si="7"/>
        <v>1250.4010000000001</v>
      </c>
      <c r="CI10" s="2802">
        <f t="shared" si="7"/>
        <v>1250.4010000000001</v>
      </c>
      <c r="CJ10" s="2802">
        <f t="shared" si="7"/>
        <v>0</v>
      </c>
      <c r="CK10" s="2763">
        <f t="shared" si="52"/>
        <v>41.260610154050028</v>
      </c>
      <c r="CL10" s="2803">
        <f t="shared" si="8"/>
        <v>41.260610154050028</v>
      </c>
      <c r="CM10" s="2803">
        <f t="shared" si="8"/>
        <v>0</v>
      </c>
      <c r="CN10" s="2762">
        <f>SUM(CO10:CP10)</f>
        <v>197.39329347432499</v>
      </c>
      <c r="CO10" s="2762">
        <f t="shared" si="9"/>
        <v>197.39329347432499</v>
      </c>
      <c r="CP10" s="2762">
        <f t="shared" si="9"/>
        <v>0</v>
      </c>
      <c r="CQ10" s="2762">
        <f t="shared" si="53"/>
        <v>182.92413400000001</v>
      </c>
      <c r="CR10" s="2872">
        <f>SUM('ПОЛНАЯ СЕБЕСТОИМОСТЬ СТОКИ 2023'!AS10)</f>
        <v>182.92413400000001</v>
      </c>
      <c r="CS10" s="2872">
        <f>SUM('ПОЛНАЯ СЕБЕСТОИМОСТЬ СТОКИ 2023'!AT10)</f>
        <v>0</v>
      </c>
      <c r="CT10" s="2761">
        <f t="shared" si="54"/>
        <v>188.94200000000001</v>
      </c>
      <c r="CU10" s="3853">
        <v>188.94200000000001</v>
      </c>
      <c r="CV10" s="3853">
        <v>0</v>
      </c>
      <c r="CW10" s="2762">
        <f>SUM(CX10:CY10)</f>
        <v>197.39329347432499</v>
      </c>
      <c r="CX10" s="2762">
        <f t="shared" si="10"/>
        <v>197.39329347432499</v>
      </c>
      <c r="CY10" s="2762">
        <f t="shared" si="10"/>
        <v>0</v>
      </c>
      <c r="CZ10" s="2762">
        <f t="shared" si="55"/>
        <v>0</v>
      </c>
      <c r="DA10" s="2872">
        <f>SUM('ПОЛНАЯ СЕБЕСТОИМОСТЬ СТОКИ 2023'!AV10)</f>
        <v>0</v>
      </c>
      <c r="DB10" s="2872">
        <f>SUM('ПОЛНАЯ СЕБЕСТОИМОСТЬ СТОКИ 2023'!AW10)</f>
        <v>0</v>
      </c>
      <c r="DC10" s="2761">
        <f t="shared" si="56"/>
        <v>198.375</v>
      </c>
      <c r="DD10" s="3853">
        <v>198.375</v>
      </c>
      <c r="DE10" s="3853">
        <v>0</v>
      </c>
      <c r="DF10" s="2762">
        <f>SUM(DG10:DH10)</f>
        <v>197.39329347432499</v>
      </c>
      <c r="DG10" s="2762">
        <f t="shared" si="11"/>
        <v>197.39329347432499</v>
      </c>
      <c r="DH10" s="2762">
        <f t="shared" si="11"/>
        <v>0</v>
      </c>
      <c r="DI10" s="2762">
        <f t="shared" si="57"/>
        <v>0</v>
      </c>
      <c r="DJ10" s="2872">
        <f>SUM('ПОЛНАЯ СЕБЕСТОИМОСТЬ СТОКИ 2023'!AY10)</f>
        <v>0</v>
      </c>
      <c r="DK10" s="2872">
        <f>SUM('ПОЛНАЯ СЕБЕСТОИМОСТЬ СТОКИ 2023'!AZ10)</f>
        <v>0</v>
      </c>
      <c r="DL10" s="2761">
        <f t="shared" si="58"/>
        <v>199.85042799999999</v>
      </c>
      <c r="DM10" s="3853">
        <v>199.85042799999999</v>
      </c>
      <c r="DN10" s="3853">
        <v>0</v>
      </c>
      <c r="DO10" s="2763">
        <f t="shared" si="59"/>
        <v>592.17988042297497</v>
      </c>
      <c r="DP10" s="2763">
        <f t="shared" si="60"/>
        <v>592.17988042297497</v>
      </c>
      <c r="DQ10" s="2763">
        <f t="shared" si="60"/>
        <v>0</v>
      </c>
      <c r="DR10" s="2763">
        <f t="shared" si="61"/>
        <v>182.92413400000001</v>
      </c>
      <c r="DS10" s="2763">
        <f t="shared" si="62"/>
        <v>182.92413400000001</v>
      </c>
      <c r="DT10" s="2763">
        <f t="shared" si="62"/>
        <v>0</v>
      </c>
      <c r="DU10" s="2802">
        <f t="shared" si="12"/>
        <v>587.16742799999997</v>
      </c>
      <c r="DV10" s="2763">
        <f t="shared" si="12"/>
        <v>587.16742799999997</v>
      </c>
      <c r="DW10" s="2763">
        <f t="shared" si="12"/>
        <v>0</v>
      </c>
      <c r="DX10" s="2763">
        <f t="shared" si="63"/>
        <v>-409.25574642297499</v>
      </c>
      <c r="DY10" s="2803">
        <f t="shared" si="13"/>
        <v>-409.25574642297499</v>
      </c>
      <c r="DZ10" s="2803">
        <f t="shared" si="13"/>
        <v>0</v>
      </c>
      <c r="EA10" s="2763">
        <f t="shared" si="64"/>
        <v>1776.5396412689249</v>
      </c>
      <c r="EB10" s="2763">
        <f t="shared" si="65"/>
        <v>1776.5396412689249</v>
      </c>
      <c r="EC10" s="2763">
        <f t="shared" si="65"/>
        <v>0</v>
      </c>
      <c r="ED10" s="2763">
        <f t="shared" si="66"/>
        <v>1408.5445050000001</v>
      </c>
      <c r="EE10" s="2763">
        <f t="shared" si="14"/>
        <v>1408.5445050000001</v>
      </c>
      <c r="EF10" s="2763">
        <f t="shared" si="14"/>
        <v>0</v>
      </c>
      <c r="EG10" s="2763">
        <f t="shared" si="14"/>
        <v>1837.568428</v>
      </c>
      <c r="EH10" s="2763">
        <f t="shared" si="14"/>
        <v>1837.568428</v>
      </c>
      <c r="EI10" s="2763">
        <f t="shared" si="14"/>
        <v>0</v>
      </c>
      <c r="EJ10" s="2763">
        <f t="shared" si="67"/>
        <v>-367.99513626892485</v>
      </c>
      <c r="EK10" s="2803">
        <f t="shared" si="15"/>
        <v>-367.99513626892485</v>
      </c>
      <c r="EL10" s="2803">
        <f t="shared" si="15"/>
        <v>0</v>
      </c>
      <c r="EM10" s="2762">
        <f>SUM(EN10:EO10)</f>
        <v>197.39329347432499</v>
      </c>
      <c r="EN10" s="2762">
        <f t="shared" si="16"/>
        <v>197.39329347432499</v>
      </c>
      <c r="EO10" s="2762">
        <f t="shared" si="16"/>
        <v>0</v>
      </c>
      <c r="EP10" s="2762">
        <f t="shared" si="68"/>
        <v>0</v>
      </c>
      <c r="EQ10" s="2872">
        <f>SUM('ПОЛНАЯ СЕБЕСТОИМОСТЬ СТОКИ 2023'!BQ10)</f>
        <v>0</v>
      </c>
      <c r="ER10" s="2872">
        <f>SUM('ПОЛНАЯ СЕБЕСТОИМОСТЬ СТОКИ 2023'!BR10)</f>
        <v>0</v>
      </c>
      <c r="ES10" s="2761">
        <f t="shared" si="69"/>
        <v>199.12200000000001</v>
      </c>
      <c r="ET10" s="3853">
        <v>199.12200000000001</v>
      </c>
      <c r="EU10" s="3853">
        <v>0</v>
      </c>
      <c r="EV10" s="2762">
        <f>SUM(EW10:EX10)</f>
        <v>197.39329347432499</v>
      </c>
      <c r="EW10" s="2762">
        <f t="shared" si="17"/>
        <v>197.39329347432499</v>
      </c>
      <c r="EX10" s="2762">
        <f t="shared" si="17"/>
        <v>0</v>
      </c>
      <c r="EY10" s="2762">
        <f t="shared" si="70"/>
        <v>0</v>
      </c>
      <c r="EZ10" s="2872">
        <f>SUM('ПОЛНАЯ СЕБЕСТОИМОСТЬ СТОКИ 2023'!BT10)</f>
        <v>0</v>
      </c>
      <c r="FA10" s="2872">
        <f>SUM('ПОЛНАЯ СЕБЕСТОИМОСТЬ СТОКИ 2023'!BU10)</f>
        <v>0</v>
      </c>
      <c r="FB10" s="2762">
        <f t="shared" si="71"/>
        <v>204.453847</v>
      </c>
      <c r="FC10" s="3853">
        <v>204.453847</v>
      </c>
      <c r="FD10" s="3853">
        <v>0</v>
      </c>
      <c r="FE10" s="2762">
        <f>SUM(FF10:FG10)</f>
        <v>197.39329347432499</v>
      </c>
      <c r="FF10" s="2762">
        <f t="shared" si="18"/>
        <v>197.39329347432499</v>
      </c>
      <c r="FG10" s="2762">
        <f t="shared" si="18"/>
        <v>0</v>
      </c>
      <c r="FH10" s="2762">
        <f t="shared" si="72"/>
        <v>0</v>
      </c>
      <c r="FI10" s="2872">
        <f>SUM('ПОЛНАЯ СЕБЕСТОИМОСТЬ СТОКИ 2023'!BW10)</f>
        <v>0</v>
      </c>
      <c r="FJ10" s="2872">
        <f>SUM('ПОЛНАЯ СЕБЕСТОИМОСТЬ СТОКИ 2023'!BX10)</f>
        <v>0</v>
      </c>
      <c r="FK10" s="2762">
        <f t="shared" si="73"/>
        <v>203.58250000000001</v>
      </c>
      <c r="FL10" s="2766">
        <v>203.58250000000001</v>
      </c>
      <c r="FM10" s="2766">
        <v>0</v>
      </c>
      <c r="FN10" s="2763">
        <f t="shared" si="74"/>
        <v>592.17988042297497</v>
      </c>
      <c r="FO10" s="2763">
        <f t="shared" si="75"/>
        <v>592.17988042297497</v>
      </c>
      <c r="FP10" s="2763">
        <f t="shared" si="75"/>
        <v>0</v>
      </c>
      <c r="FQ10" s="2763">
        <f t="shared" si="76"/>
        <v>0</v>
      </c>
      <c r="FR10" s="2763">
        <f t="shared" si="77"/>
        <v>0</v>
      </c>
      <c r="FS10" s="2763">
        <f t="shared" si="77"/>
        <v>0</v>
      </c>
      <c r="FT10" s="2802">
        <f t="shared" si="19"/>
        <v>607.15834700000005</v>
      </c>
      <c r="FU10" s="2802">
        <f t="shared" si="19"/>
        <v>607.15834700000005</v>
      </c>
      <c r="FV10" s="2802">
        <f t="shared" si="19"/>
        <v>0</v>
      </c>
      <c r="FW10" s="2763">
        <f t="shared" si="78"/>
        <v>-592.17988042297497</v>
      </c>
      <c r="FX10" s="2803">
        <f t="shared" si="20"/>
        <v>-592.17988042297497</v>
      </c>
      <c r="FY10" s="2803">
        <f t="shared" si="20"/>
        <v>0</v>
      </c>
      <c r="FZ10" s="2763">
        <f t="shared" si="79"/>
        <v>2368.7195216918999</v>
      </c>
      <c r="GA10" s="2763">
        <f>SUM('ПОЛНАЯ СЕБЕСТОИМОСТЬ СТОКИ 2023'!CC10)</f>
        <v>2368.7195216918999</v>
      </c>
      <c r="GB10" s="2763">
        <v>0</v>
      </c>
      <c r="GC10" s="2763">
        <f t="shared" si="80"/>
        <v>1408.5445050000001</v>
      </c>
      <c r="GD10" s="2802">
        <f t="shared" si="21"/>
        <v>1408.5445050000001</v>
      </c>
      <c r="GE10" s="2802">
        <f t="shared" si="21"/>
        <v>0</v>
      </c>
      <c r="GF10" s="2802">
        <f t="shared" si="21"/>
        <v>2444.7267750000001</v>
      </c>
      <c r="GG10" s="2802">
        <f t="shared" si="22"/>
        <v>2444.7267750000001</v>
      </c>
      <c r="GH10" s="2802">
        <f t="shared" si="22"/>
        <v>0</v>
      </c>
      <c r="GI10" s="2763">
        <f t="shared" si="81"/>
        <v>-960.17501669189983</v>
      </c>
      <c r="GJ10" s="2803">
        <f t="shared" si="23"/>
        <v>-960.17501669189983</v>
      </c>
      <c r="GK10" s="2803">
        <f t="shared" si="23"/>
        <v>0</v>
      </c>
      <c r="GM10" s="3576">
        <f t="shared" si="82"/>
        <v>2368.7195216918999</v>
      </c>
    </row>
    <row r="11" spans="1:195" ht="18.75" customHeight="1" x14ac:dyDescent="0.3">
      <c r="A11" s="2800" t="s">
        <v>3757</v>
      </c>
      <c r="B11" s="2762">
        <f t="shared" si="24"/>
        <v>1.2686059453930083</v>
      </c>
      <c r="C11" s="2762">
        <f>SUM(GA11/12)</f>
        <v>0</v>
      </c>
      <c r="D11" s="2762">
        <f t="shared" si="25"/>
        <v>1.2686059453930083</v>
      </c>
      <c r="E11" s="2762">
        <f t="shared" si="26"/>
        <v>0.70125000000000004</v>
      </c>
      <c r="F11" s="2872">
        <f>SUM('ПОЛНАЯ СЕБЕСТОИМОСТЬ СТОКИ 2023'!F11)</f>
        <v>0</v>
      </c>
      <c r="G11" s="2872">
        <f>SUM('ПОЛНАЯ СЕБЕСТОИМОСТЬ СТОКИ 2023'!G11)</f>
        <v>0.70125000000000004</v>
      </c>
      <c r="H11" s="2761">
        <f t="shared" si="27"/>
        <v>0.22500000000000001</v>
      </c>
      <c r="I11" s="3854">
        <v>0</v>
      </c>
      <c r="J11" s="3853">
        <v>0.22500000000000001</v>
      </c>
      <c r="K11" s="2762">
        <f>SUM(L11:M11)</f>
        <v>1.2686059453930083</v>
      </c>
      <c r="L11" s="2762">
        <f t="shared" si="0"/>
        <v>0</v>
      </c>
      <c r="M11" s="2762">
        <f t="shared" si="0"/>
        <v>1.2686059453930083</v>
      </c>
      <c r="N11" s="2762">
        <f t="shared" si="28"/>
        <v>0.46024999999999999</v>
      </c>
      <c r="O11" s="2872">
        <f>SUM('ПОЛНАЯ СЕБЕСТОИМОСТЬ СТОКИ 2023'!I11)</f>
        <v>0</v>
      </c>
      <c r="P11" s="2872">
        <f>SUM('ПОЛНАЯ СЕБЕСТОИМОСТЬ СТОКИ 2023'!J11)</f>
        <v>0.46024999999999999</v>
      </c>
      <c r="Q11" s="2761">
        <f t="shared" si="29"/>
        <v>0.25124999999999997</v>
      </c>
      <c r="R11" s="3854">
        <v>0</v>
      </c>
      <c r="S11" s="3853">
        <v>0.25124999999999997</v>
      </c>
      <c r="T11" s="2762">
        <f>SUM(U11:V11)</f>
        <v>1.2686059453930083</v>
      </c>
      <c r="U11" s="2762">
        <f t="shared" si="1"/>
        <v>0</v>
      </c>
      <c r="V11" s="2762">
        <f t="shared" si="1"/>
        <v>1.2686059453930083</v>
      </c>
      <c r="W11" s="2762">
        <f t="shared" si="30"/>
        <v>2.4175</v>
      </c>
      <c r="X11" s="2872">
        <f>SUM('ПОЛНАЯ СЕБЕСТОИМОСТЬ СТОКИ 2023'!L11)</f>
        <v>0</v>
      </c>
      <c r="Y11" s="2872">
        <f>SUM('ПОЛНАЯ СЕБЕСТОИМОСТЬ СТОКИ 2023'!M11)</f>
        <v>2.4175</v>
      </c>
      <c r="Z11" s="2761">
        <f t="shared" si="31"/>
        <v>2.4039999999999999</v>
      </c>
      <c r="AA11" s="3854">
        <v>0</v>
      </c>
      <c r="AB11" s="3853">
        <v>2.4039999999999999</v>
      </c>
      <c r="AC11" s="2763">
        <f t="shared" si="32"/>
        <v>3.8058178361790249</v>
      </c>
      <c r="AD11" s="2763">
        <f t="shared" si="33"/>
        <v>0</v>
      </c>
      <c r="AE11" s="2763">
        <f t="shared" si="33"/>
        <v>3.8058178361790249</v>
      </c>
      <c r="AF11" s="2763">
        <f t="shared" si="34"/>
        <v>3.5789999999999997</v>
      </c>
      <c r="AG11" s="2763">
        <f t="shared" si="35"/>
        <v>0</v>
      </c>
      <c r="AH11" s="2763">
        <f t="shared" si="35"/>
        <v>3.5789999999999997</v>
      </c>
      <c r="AI11" s="2802">
        <f t="shared" si="2"/>
        <v>2.8802499999999998</v>
      </c>
      <c r="AJ11" s="2802">
        <f t="shared" si="2"/>
        <v>0</v>
      </c>
      <c r="AK11" s="2802">
        <f t="shared" si="2"/>
        <v>2.8802499999999998</v>
      </c>
      <c r="AL11" s="2763">
        <f t="shared" si="36"/>
        <v>-0.22681783617902518</v>
      </c>
      <c r="AM11" s="2763">
        <f t="shared" si="37"/>
        <v>0</v>
      </c>
      <c r="AN11" s="2763">
        <f t="shared" si="37"/>
        <v>-0.22681783617902518</v>
      </c>
      <c r="AO11" s="2762">
        <f>SUM(AP11:AQ11)</f>
        <v>1.2686059453930083</v>
      </c>
      <c r="AP11" s="2762">
        <f t="shared" si="3"/>
        <v>0</v>
      </c>
      <c r="AQ11" s="2762">
        <f t="shared" si="3"/>
        <v>1.2686059453930083</v>
      </c>
      <c r="AR11" s="2762">
        <f t="shared" si="38"/>
        <v>0.46</v>
      </c>
      <c r="AS11" s="2872">
        <f>SUM('ПОЛНАЯ СЕБЕСТОИМОСТЬ СТОКИ 2023'!U11)</f>
        <v>0</v>
      </c>
      <c r="AT11" s="2872">
        <f>SUM('ПОЛНАЯ СЕБЕСТОИМОСТЬ СТОКИ 2023'!V11)</f>
        <v>0.46</v>
      </c>
      <c r="AU11" s="2761">
        <f t="shared" si="39"/>
        <v>0.57250000000000001</v>
      </c>
      <c r="AV11" s="3854">
        <v>0</v>
      </c>
      <c r="AW11" s="3853">
        <v>0.57250000000000001</v>
      </c>
      <c r="AX11" s="2762">
        <f>SUM(AY11:AZ11)</f>
        <v>1.2686059453930083</v>
      </c>
      <c r="AY11" s="2762">
        <f t="shared" si="4"/>
        <v>0</v>
      </c>
      <c r="AZ11" s="2762">
        <f t="shared" si="4"/>
        <v>1.2686059453930083</v>
      </c>
      <c r="BA11" s="2762">
        <f t="shared" si="40"/>
        <v>0.74875000000000003</v>
      </c>
      <c r="BB11" s="2872">
        <f>SUM('ПОЛНАЯ СЕБЕСТОИМОСТЬ СТОКИ 2023'!X11)</f>
        <v>0</v>
      </c>
      <c r="BC11" s="2872">
        <f>SUM('ПОЛНАЯ СЕБЕСТОИМОСТЬ СТОКИ 2023'!Y11)</f>
        <v>0.74875000000000003</v>
      </c>
      <c r="BD11" s="2761">
        <f t="shared" si="41"/>
        <v>0.55900000000000005</v>
      </c>
      <c r="BE11" s="3854">
        <v>0</v>
      </c>
      <c r="BF11" s="3853">
        <v>0.55900000000000005</v>
      </c>
      <c r="BG11" s="2762">
        <f>SUM(BH11:BI11)</f>
        <v>1.2686059453930083</v>
      </c>
      <c r="BH11" s="2762">
        <f t="shared" si="5"/>
        <v>0</v>
      </c>
      <c r="BI11" s="2762">
        <f t="shared" si="5"/>
        <v>1.2686059453930083</v>
      </c>
      <c r="BJ11" s="2762">
        <f t="shared" si="42"/>
        <v>2.5912500000000001</v>
      </c>
      <c r="BK11" s="2872">
        <f>SUM('ПОЛНАЯ СЕБЕСТОИМОСТЬ СТОКИ 2023'!AA11)</f>
        <v>0</v>
      </c>
      <c r="BL11" s="2872">
        <f>SUM('ПОЛНАЯ СЕБЕСТОИМОСТЬ СТОКИ 2023'!AB11)</f>
        <v>2.5912500000000001</v>
      </c>
      <c r="BM11" s="2761">
        <f t="shared" si="43"/>
        <v>2.8802500000000002</v>
      </c>
      <c r="BN11" s="3854">
        <v>0</v>
      </c>
      <c r="BO11" s="3853">
        <v>2.8802500000000002</v>
      </c>
      <c r="BP11" s="2763">
        <f t="shared" si="44"/>
        <v>3.8058178361790249</v>
      </c>
      <c r="BQ11" s="2763">
        <f t="shared" si="45"/>
        <v>0</v>
      </c>
      <c r="BR11" s="2763">
        <f t="shared" si="45"/>
        <v>3.8058178361790249</v>
      </c>
      <c r="BS11" s="2763">
        <f t="shared" si="46"/>
        <v>3.8</v>
      </c>
      <c r="BT11" s="2763">
        <f t="shared" si="47"/>
        <v>0</v>
      </c>
      <c r="BU11" s="2763">
        <f t="shared" si="47"/>
        <v>3.8</v>
      </c>
      <c r="BV11" s="2802">
        <f t="shared" si="6"/>
        <v>4.0117500000000001</v>
      </c>
      <c r="BW11" s="2763">
        <f t="shared" si="6"/>
        <v>0</v>
      </c>
      <c r="BX11" s="2763">
        <f t="shared" si="6"/>
        <v>4.0117500000000001</v>
      </c>
      <c r="BY11" s="2763">
        <f t="shared" si="48"/>
        <v>-5.8178361790250932E-3</v>
      </c>
      <c r="BZ11" s="2763">
        <f t="shared" si="49"/>
        <v>0</v>
      </c>
      <c r="CA11" s="2763">
        <f t="shared" si="49"/>
        <v>-5.8178361790250932E-3</v>
      </c>
      <c r="CB11" s="2763">
        <f t="shared" si="50"/>
        <v>7.6116356723580498</v>
      </c>
      <c r="CC11" s="2763">
        <f t="shared" si="51"/>
        <v>0</v>
      </c>
      <c r="CD11" s="2763">
        <f t="shared" si="51"/>
        <v>7.6116356723580498</v>
      </c>
      <c r="CE11" s="2763">
        <f t="shared" si="83"/>
        <v>7.3789999999999996</v>
      </c>
      <c r="CF11" s="2763">
        <f t="shared" si="7"/>
        <v>0</v>
      </c>
      <c r="CG11" s="2763">
        <f t="shared" si="7"/>
        <v>7.3789999999999996</v>
      </c>
      <c r="CH11" s="2802">
        <f t="shared" si="7"/>
        <v>6.8919999999999995</v>
      </c>
      <c r="CI11" s="2802">
        <f t="shared" si="7"/>
        <v>0</v>
      </c>
      <c r="CJ11" s="2802">
        <f t="shared" si="7"/>
        <v>6.8919999999999995</v>
      </c>
      <c r="CK11" s="2763">
        <f t="shared" si="52"/>
        <v>-0.23263567235805027</v>
      </c>
      <c r="CL11" s="2803">
        <f t="shared" si="8"/>
        <v>0</v>
      </c>
      <c r="CM11" s="2803">
        <f t="shared" si="8"/>
        <v>-0.23263567235805027</v>
      </c>
      <c r="CN11" s="2762">
        <f>SUM(CO11:CP11)</f>
        <v>1.2686059453930083</v>
      </c>
      <c r="CO11" s="2762">
        <f t="shared" si="9"/>
        <v>0</v>
      </c>
      <c r="CP11" s="2762">
        <f t="shared" si="9"/>
        <v>1.2686059453930083</v>
      </c>
      <c r="CQ11" s="2762">
        <f t="shared" si="53"/>
        <v>0.54249999999999998</v>
      </c>
      <c r="CR11" s="2872">
        <f>SUM('ПОЛНАЯ СЕБЕСТОИМОСТЬ СТОКИ 2023'!AS11)</f>
        <v>0</v>
      </c>
      <c r="CS11" s="2872">
        <f>SUM('ПОЛНАЯ СЕБЕСТОИМОСТЬ СТОКИ 2023'!AT11)</f>
        <v>0.54249999999999998</v>
      </c>
      <c r="CT11" s="2761">
        <f t="shared" si="54"/>
        <v>0.33400000000000002</v>
      </c>
      <c r="CU11" s="3854">
        <v>0</v>
      </c>
      <c r="CV11" s="3853">
        <v>0.33400000000000002</v>
      </c>
      <c r="CW11" s="2762">
        <f>SUM(CX11:CY11)</f>
        <v>1.2686059453930083</v>
      </c>
      <c r="CX11" s="2762">
        <f t="shared" si="10"/>
        <v>0</v>
      </c>
      <c r="CY11" s="2762">
        <f t="shared" si="10"/>
        <v>1.2686059453930083</v>
      </c>
      <c r="CZ11" s="2762">
        <f t="shared" si="55"/>
        <v>0</v>
      </c>
      <c r="DA11" s="2872">
        <f>SUM('ПОЛНАЯ СЕБЕСТОИМОСТЬ СТОКИ 2023'!AV11)</f>
        <v>0</v>
      </c>
      <c r="DB11" s="2872">
        <f>SUM('ПОЛНАЯ СЕБЕСТОИМОСТЬ СТОКИ 2023'!AW11)</f>
        <v>0</v>
      </c>
      <c r="DC11" s="2761">
        <f t="shared" si="56"/>
        <v>0.39600000000000002</v>
      </c>
      <c r="DD11" s="3854">
        <v>0</v>
      </c>
      <c r="DE11" s="3853">
        <v>0.39600000000000002</v>
      </c>
      <c r="DF11" s="2762">
        <f>SUM(DG11:DH11)</f>
        <v>1.2686059453930083</v>
      </c>
      <c r="DG11" s="2762">
        <f t="shared" si="11"/>
        <v>0</v>
      </c>
      <c r="DH11" s="2762">
        <f t="shared" si="11"/>
        <v>1.2686059453930083</v>
      </c>
      <c r="DI11" s="2762">
        <f t="shared" si="57"/>
        <v>0</v>
      </c>
      <c r="DJ11" s="2872">
        <f>SUM('ПОЛНАЯ СЕБЕСТОИМОСТЬ СТОКИ 2023'!AY11)</f>
        <v>0</v>
      </c>
      <c r="DK11" s="2872">
        <f>SUM('ПОЛНАЯ СЕБЕСТОИМОСТЬ СТОКИ 2023'!AZ11)</f>
        <v>0</v>
      </c>
      <c r="DL11" s="2761">
        <f t="shared" si="58"/>
        <v>2.8540000000000001</v>
      </c>
      <c r="DM11" s="3854">
        <v>0</v>
      </c>
      <c r="DN11" s="3853">
        <v>2.8540000000000001</v>
      </c>
      <c r="DO11" s="2763">
        <f t="shared" si="59"/>
        <v>3.8058178361790249</v>
      </c>
      <c r="DP11" s="2763">
        <f t="shared" si="60"/>
        <v>0</v>
      </c>
      <c r="DQ11" s="2763">
        <f t="shared" si="60"/>
        <v>3.8058178361790249</v>
      </c>
      <c r="DR11" s="2763">
        <f t="shared" si="61"/>
        <v>0.54249999999999998</v>
      </c>
      <c r="DS11" s="2763">
        <f t="shared" si="62"/>
        <v>0</v>
      </c>
      <c r="DT11" s="2763">
        <f t="shared" si="62"/>
        <v>0.54249999999999998</v>
      </c>
      <c r="DU11" s="2802">
        <f t="shared" si="12"/>
        <v>3.5840000000000001</v>
      </c>
      <c r="DV11" s="2763">
        <f t="shared" si="12"/>
        <v>0</v>
      </c>
      <c r="DW11" s="2763">
        <f t="shared" si="12"/>
        <v>3.5840000000000001</v>
      </c>
      <c r="DX11" s="2763">
        <f t="shared" si="63"/>
        <v>-3.2633178361790249</v>
      </c>
      <c r="DY11" s="2803">
        <f t="shared" si="13"/>
        <v>0</v>
      </c>
      <c r="DZ11" s="2803">
        <f t="shared" si="13"/>
        <v>-3.2633178361790249</v>
      </c>
      <c r="EA11" s="2763">
        <f t="shared" si="64"/>
        <v>11.417453508537076</v>
      </c>
      <c r="EB11" s="2763">
        <f t="shared" si="65"/>
        <v>0</v>
      </c>
      <c r="EC11" s="2763">
        <f t="shared" si="65"/>
        <v>11.417453508537076</v>
      </c>
      <c r="ED11" s="2763">
        <f t="shared" si="66"/>
        <v>7.9215</v>
      </c>
      <c r="EE11" s="2763">
        <f t="shared" si="14"/>
        <v>0</v>
      </c>
      <c r="EF11" s="2763">
        <f t="shared" si="14"/>
        <v>7.9215</v>
      </c>
      <c r="EG11" s="2763">
        <f t="shared" si="14"/>
        <v>10.475999999999999</v>
      </c>
      <c r="EH11" s="2763">
        <f t="shared" si="14"/>
        <v>0</v>
      </c>
      <c r="EI11" s="2763">
        <f t="shared" si="14"/>
        <v>10.475999999999999</v>
      </c>
      <c r="EJ11" s="2763">
        <f t="shared" si="67"/>
        <v>-3.4959535085370756</v>
      </c>
      <c r="EK11" s="2803">
        <f t="shared" si="15"/>
        <v>0</v>
      </c>
      <c r="EL11" s="2803">
        <f t="shared" si="15"/>
        <v>-3.4959535085370756</v>
      </c>
      <c r="EM11" s="2762">
        <f>SUM(EN11:EO11)</f>
        <v>1.2686059453930083</v>
      </c>
      <c r="EN11" s="2762">
        <f t="shared" si="16"/>
        <v>0</v>
      </c>
      <c r="EO11" s="2762">
        <f t="shared" si="16"/>
        <v>1.2686059453930083</v>
      </c>
      <c r="EP11" s="2762">
        <f t="shared" si="68"/>
        <v>0</v>
      </c>
      <c r="EQ11" s="2872">
        <f>SUM('ПОЛНАЯ СЕБЕСТОИМОСТЬ СТОКИ 2023'!BQ11)</f>
        <v>0</v>
      </c>
      <c r="ER11" s="2872">
        <f>SUM('ПОЛНАЯ СЕБЕСТОИМОСТЬ СТОКИ 2023'!BR11)</f>
        <v>0</v>
      </c>
      <c r="ES11" s="2761">
        <f t="shared" si="69"/>
        <v>0.64400000000000002</v>
      </c>
      <c r="ET11" s="3854">
        <v>0</v>
      </c>
      <c r="EU11" s="3853">
        <v>0.64400000000000002</v>
      </c>
      <c r="EV11" s="2762">
        <f>SUM(EW11:EX11)</f>
        <v>1.2686059453930083</v>
      </c>
      <c r="EW11" s="2762">
        <f t="shared" si="17"/>
        <v>0</v>
      </c>
      <c r="EX11" s="2762">
        <f t="shared" si="17"/>
        <v>1.2686059453930083</v>
      </c>
      <c r="EY11" s="2762">
        <f t="shared" si="70"/>
        <v>0</v>
      </c>
      <c r="EZ11" s="2872">
        <f>SUM('ПОЛНАЯ СЕБЕСТОИМОСТЬ СТОКИ 2023'!BT11)</f>
        <v>0</v>
      </c>
      <c r="FA11" s="2872">
        <f>SUM('ПОЛНАЯ СЕБЕСТОИМОСТЬ СТОКИ 2023'!BU11)</f>
        <v>0</v>
      </c>
      <c r="FB11" s="2762">
        <f t="shared" si="71"/>
        <v>0.58750000000000002</v>
      </c>
      <c r="FC11" s="3854">
        <v>0</v>
      </c>
      <c r="FD11" s="3853">
        <v>0.58750000000000002</v>
      </c>
      <c r="FE11" s="2762">
        <f>SUM(FF11:FG11)</f>
        <v>1.2686059453930083</v>
      </c>
      <c r="FF11" s="2762">
        <f t="shared" si="18"/>
        <v>0</v>
      </c>
      <c r="FG11" s="2762">
        <f t="shared" si="18"/>
        <v>1.2686059453930083</v>
      </c>
      <c r="FH11" s="2762">
        <f t="shared" si="72"/>
        <v>0</v>
      </c>
      <c r="FI11" s="2872">
        <f>SUM('ПОЛНАЯ СЕБЕСТОИМОСТЬ СТОКИ 2023'!BW11)</f>
        <v>0</v>
      </c>
      <c r="FJ11" s="2872">
        <f>SUM('ПОЛНАЯ СЕБЕСТОИМОСТЬ СТОКИ 2023'!BX11)</f>
        <v>0</v>
      </c>
      <c r="FK11" s="2762">
        <f t="shared" si="73"/>
        <v>3.1189</v>
      </c>
      <c r="FL11" s="2762">
        <v>0</v>
      </c>
      <c r="FM11" s="2766">
        <v>3.1189</v>
      </c>
      <c r="FN11" s="2763">
        <f t="shared" si="74"/>
        <v>3.8058178361790249</v>
      </c>
      <c r="FO11" s="2763">
        <f t="shared" si="75"/>
        <v>0</v>
      </c>
      <c r="FP11" s="2763">
        <f t="shared" si="75"/>
        <v>3.8058178361790249</v>
      </c>
      <c r="FQ11" s="2763">
        <f t="shared" si="76"/>
        <v>0</v>
      </c>
      <c r="FR11" s="2763">
        <f t="shared" si="77"/>
        <v>0</v>
      </c>
      <c r="FS11" s="2763">
        <f t="shared" si="77"/>
        <v>0</v>
      </c>
      <c r="FT11" s="2802">
        <f t="shared" si="19"/>
        <v>4.3504000000000005</v>
      </c>
      <c r="FU11" s="2802">
        <f t="shared" si="19"/>
        <v>0</v>
      </c>
      <c r="FV11" s="2802">
        <f t="shared" si="19"/>
        <v>4.3504000000000005</v>
      </c>
      <c r="FW11" s="2763">
        <f t="shared" si="78"/>
        <v>-3.8058178361790249</v>
      </c>
      <c r="FX11" s="2803">
        <f t="shared" si="20"/>
        <v>0</v>
      </c>
      <c r="FY11" s="2803">
        <f t="shared" si="20"/>
        <v>-3.8058178361790249</v>
      </c>
      <c r="FZ11" s="2763">
        <f t="shared" si="79"/>
        <v>15.2232713447161</v>
      </c>
      <c r="GA11" s="2763">
        <v>0</v>
      </c>
      <c r="GB11" s="2763">
        <f>SUM('ПОЛНАЯ СЕБЕСТОИМОСТЬ СТОКИ 2023'!CD11)</f>
        <v>15.2232713447161</v>
      </c>
      <c r="GC11" s="2763">
        <f t="shared" si="80"/>
        <v>7.9215</v>
      </c>
      <c r="GD11" s="2802">
        <f t="shared" si="21"/>
        <v>0</v>
      </c>
      <c r="GE11" s="2802">
        <f t="shared" si="21"/>
        <v>7.9215</v>
      </c>
      <c r="GF11" s="2802">
        <f t="shared" si="21"/>
        <v>14.8264</v>
      </c>
      <c r="GG11" s="2802">
        <f t="shared" si="22"/>
        <v>0</v>
      </c>
      <c r="GH11" s="2802">
        <f t="shared" si="22"/>
        <v>14.8264</v>
      </c>
      <c r="GI11" s="2763">
        <f t="shared" si="81"/>
        <v>-7.3017713447160997</v>
      </c>
      <c r="GJ11" s="2803">
        <f t="shared" si="23"/>
        <v>0</v>
      </c>
      <c r="GK11" s="2803">
        <f t="shared" si="23"/>
        <v>-7.3017713447160997</v>
      </c>
      <c r="GM11" s="3576">
        <f t="shared" si="82"/>
        <v>15.223271344716103</v>
      </c>
    </row>
    <row r="12" spans="1:195" ht="18.75" customHeight="1" x14ac:dyDescent="0.3">
      <c r="A12" s="2800" t="s">
        <v>3773</v>
      </c>
      <c r="B12" s="2762">
        <f t="shared" si="24"/>
        <v>57.525787954500004</v>
      </c>
      <c r="C12" s="2762">
        <f t="shared" si="25"/>
        <v>57.525787954500004</v>
      </c>
      <c r="D12" s="2762">
        <f t="shared" si="25"/>
        <v>0</v>
      </c>
      <c r="E12" s="2762">
        <f t="shared" si="26"/>
        <v>53.576611999999997</v>
      </c>
      <c r="F12" s="2872">
        <f>SUM('ПОЛНАЯ СЕБЕСТОИМОСТЬ СТОКИ 2023'!F12)</f>
        <v>53.576611999999997</v>
      </c>
      <c r="G12" s="2872">
        <f>SUM('ПОЛНАЯ СЕБЕСТОИМОСТЬ СТОКИ 2023'!G12)</f>
        <v>0</v>
      </c>
      <c r="H12" s="2761">
        <f t="shared" si="27"/>
        <v>69.430999999999997</v>
      </c>
      <c r="I12" s="3853">
        <v>69.430999999999997</v>
      </c>
      <c r="J12" s="3853">
        <v>0</v>
      </c>
      <c r="K12" s="2762">
        <f>SUM(L12:M12)</f>
        <v>57.525787954500004</v>
      </c>
      <c r="L12" s="2762">
        <f t="shared" si="0"/>
        <v>57.525787954500004</v>
      </c>
      <c r="M12" s="2762">
        <f t="shared" si="0"/>
        <v>0</v>
      </c>
      <c r="N12" s="2762">
        <f t="shared" si="28"/>
        <v>61.013829999999999</v>
      </c>
      <c r="O12" s="2872">
        <f>SUM('ПОЛНАЯ СЕБЕСТОИМОСТЬ СТОКИ 2023'!I12)</f>
        <v>61.013829999999999</v>
      </c>
      <c r="P12" s="2872">
        <f>SUM('ПОЛНАЯ СЕБЕСТОИМОСТЬ СТОКИ 2023'!J12)</f>
        <v>0</v>
      </c>
      <c r="Q12" s="2761">
        <f t="shared" si="29"/>
        <v>73.965000000000003</v>
      </c>
      <c r="R12" s="3853">
        <v>73.965000000000003</v>
      </c>
      <c r="S12" s="3853">
        <v>0</v>
      </c>
      <c r="T12" s="2762">
        <f>SUM(U12:V12)</f>
        <v>57.525787954500004</v>
      </c>
      <c r="U12" s="2762">
        <f t="shared" si="1"/>
        <v>57.525787954500004</v>
      </c>
      <c r="V12" s="2762">
        <f t="shared" si="1"/>
        <v>0</v>
      </c>
      <c r="W12" s="2762">
        <f t="shared" si="30"/>
        <v>57.500673999999997</v>
      </c>
      <c r="X12" s="2872">
        <f>SUM('ПОЛНАЯ СЕБЕСТОИМОСТЬ СТОКИ 2023'!L12)</f>
        <v>57.500673999999997</v>
      </c>
      <c r="Y12" s="2872">
        <f>SUM('ПОЛНАЯ СЕБЕСТОИМОСТЬ СТОКИ 2023'!M12)</f>
        <v>0</v>
      </c>
      <c r="Z12" s="2761">
        <f t="shared" si="31"/>
        <v>70.796000000000006</v>
      </c>
      <c r="AA12" s="3853">
        <v>70.796000000000006</v>
      </c>
      <c r="AB12" s="3853">
        <v>0</v>
      </c>
      <c r="AC12" s="2763">
        <f t="shared" si="32"/>
        <v>172.57736386350001</v>
      </c>
      <c r="AD12" s="2763">
        <f t="shared" si="33"/>
        <v>172.57736386350001</v>
      </c>
      <c r="AE12" s="2763">
        <f t="shared" si="33"/>
        <v>0</v>
      </c>
      <c r="AF12" s="2763">
        <f t="shared" si="34"/>
        <v>172.091116</v>
      </c>
      <c r="AG12" s="2763">
        <f t="shared" si="35"/>
        <v>172.091116</v>
      </c>
      <c r="AH12" s="2763">
        <f t="shared" si="35"/>
        <v>0</v>
      </c>
      <c r="AI12" s="2802">
        <f t="shared" si="2"/>
        <v>214.19200000000001</v>
      </c>
      <c r="AJ12" s="2802">
        <f t="shared" si="2"/>
        <v>214.19200000000001</v>
      </c>
      <c r="AK12" s="2802">
        <f t="shared" si="2"/>
        <v>0</v>
      </c>
      <c r="AL12" s="2763">
        <f t="shared" si="36"/>
        <v>-0.48624786350001159</v>
      </c>
      <c r="AM12" s="2763">
        <f t="shared" si="37"/>
        <v>-0.48624786350001159</v>
      </c>
      <c r="AN12" s="2763">
        <f t="shared" si="37"/>
        <v>0</v>
      </c>
      <c r="AO12" s="2762">
        <f>SUM(AP12:AQ12)</f>
        <v>57.525787954500004</v>
      </c>
      <c r="AP12" s="2762">
        <f t="shared" si="3"/>
        <v>57.525787954500004</v>
      </c>
      <c r="AQ12" s="2762">
        <f t="shared" si="3"/>
        <v>0</v>
      </c>
      <c r="AR12" s="2762">
        <f t="shared" si="38"/>
        <v>58.593138000000003</v>
      </c>
      <c r="AS12" s="2872">
        <f>SUM('ПОЛНАЯ СЕБЕСТОИМОСТЬ СТОКИ 2023'!U12)</f>
        <v>58.593138000000003</v>
      </c>
      <c r="AT12" s="2872">
        <f>SUM('ПОЛНАЯ СЕБЕСТОИМОСТЬ СТОКИ 2023'!V12)</f>
        <v>0</v>
      </c>
      <c r="AU12" s="2761">
        <f t="shared" si="39"/>
        <v>55.96</v>
      </c>
      <c r="AV12" s="3853">
        <v>55.96</v>
      </c>
      <c r="AW12" s="3853">
        <v>0</v>
      </c>
      <c r="AX12" s="2762">
        <f>SUM(AY12:AZ12)</f>
        <v>57.525787954500004</v>
      </c>
      <c r="AY12" s="2762">
        <f t="shared" si="4"/>
        <v>57.525787954500004</v>
      </c>
      <c r="AZ12" s="2762">
        <f t="shared" si="4"/>
        <v>0</v>
      </c>
      <c r="BA12" s="2762">
        <f t="shared" si="40"/>
        <v>52.174695</v>
      </c>
      <c r="BB12" s="2872">
        <f>SUM('ПОЛНАЯ СЕБЕСТОИМОСТЬ СТОКИ 2023'!X12)</f>
        <v>52.174695</v>
      </c>
      <c r="BC12" s="2872">
        <f>SUM('ПОЛНАЯ СЕБЕСТОИМОСТЬ СТОКИ 2023'!Y12)</f>
        <v>0</v>
      </c>
      <c r="BD12" s="2761">
        <f t="shared" si="41"/>
        <v>60.177999999999997</v>
      </c>
      <c r="BE12" s="3853">
        <v>60.177999999999997</v>
      </c>
      <c r="BF12" s="3853">
        <v>0</v>
      </c>
      <c r="BG12" s="2762">
        <f>SUM(BH12:BI12)</f>
        <v>57.525787954500004</v>
      </c>
      <c r="BH12" s="2762">
        <f t="shared" si="5"/>
        <v>57.525787954500004</v>
      </c>
      <c r="BI12" s="2762">
        <f t="shared" si="5"/>
        <v>0</v>
      </c>
      <c r="BJ12" s="2762">
        <f t="shared" si="42"/>
        <v>54.093724999999999</v>
      </c>
      <c r="BK12" s="2872">
        <f>SUM('ПОЛНАЯ СЕБЕСТОИМОСТЬ СТОКИ 2023'!AA12)</f>
        <v>54.093724999999999</v>
      </c>
      <c r="BL12" s="2872">
        <f>SUM('ПОЛНАЯ СЕБЕСТОИМОСТЬ СТОКИ 2023'!AB12)</f>
        <v>0</v>
      </c>
      <c r="BM12" s="2761">
        <f t="shared" si="43"/>
        <v>64.891000000000005</v>
      </c>
      <c r="BN12" s="3853">
        <v>64.891000000000005</v>
      </c>
      <c r="BO12" s="3853">
        <v>0</v>
      </c>
      <c r="BP12" s="2763">
        <f t="shared" si="44"/>
        <v>172.57736386350001</v>
      </c>
      <c r="BQ12" s="2763">
        <f t="shared" si="45"/>
        <v>172.57736386350001</v>
      </c>
      <c r="BR12" s="2763">
        <f t="shared" si="45"/>
        <v>0</v>
      </c>
      <c r="BS12" s="2763">
        <f t="shared" si="46"/>
        <v>164.861558</v>
      </c>
      <c r="BT12" s="2763">
        <f t="shared" si="47"/>
        <v>164.861558</v>
      </c>
      <c r="BU12" s="2763">
        <f t="shared" si="47"/>
        <v>0</v>
      </c>
      <c r="BV12" s="2802">
        <f t="shared" si="6"/>
        <v>181.029</v>
      </c>
      <c r="BW12" s="2763">
        <f t="shared" si="6"/>
        <v>181.029</v>
      </c>
      <c r="BX12" s="2763">
        <f t="shared" si="6"/>
        <v>0</v>
      </c>
      <c r="BY12" s="2763">
        <f t="shared" si="48"/>
        <v>-7.7158058635000089</v>
      </c>
      <c r="BZ12" s="2763">
        <f t="shared" si="49"/>
        <v>-7.7158058635000089</v>
      </c>
      <c r="CA12" s="2763">
        <f t="shared" si="49"/>
        <v>0</v>
      </c>
      <c r="CB12" s="2763">
        <f t="shared" si="50"/>
        <v>345.15472772700002</v>
      </c>
      <c r="CC12" s="2763">
        <f t="shared" si="51"/>
        <v>345.15472772700002</v>
      </c>
      <c r="CD12" s="2763">
        <f t="shared" si="51"/>
        <v>0</v>
      </c>
      <c r="CE12" s="2763">
        <f t="shared" si="83"/>
        <v>336.952674</v>
      </c>
      <c r="CF12" s="2763">
        <f t="shared" si="7"/>
        <v>336.952674</v>
      </c>
      <c r="CG12" s="2763">
        <f t="shared" si="7"/>
        <v>0</v>
      </c>
      <c r="CH12" s="2802">
        <f t="shared" si="7"/>
        <v>395.221</v>
      </c>
      <c r="CI12" s="2802">
        <f t="shared" si="7"/>
        <v>395.221</v>
      </c>
      <c r="CJ12" s="2802">
        <f t="shared" si="7"/>
        <v>0</v>
      </c>
      <c r="CK12" s="2763">
        <f t="shared" si="52"/>
        <v>-8.2020537270000204</v>
      </c>
      <c r="CL12" s="2803">
        <f t="shared" si="8"/>
        <v>-8.2020537270000204</v>
      </c>
      <c r="CM12" s="2803">
        <f t="shared" si="8"/>
        <v>0</v>
      </c>
      <c r="CN12" s="2762">
        <f>SUM(CO12:CP12)</f>
        <v>57.525787954500004</v>
      </c>
      <c r="CO12" s="2762">
        <f t="shared" si="9"/>
        <v>57.525787954500004</v>
      </c>
      <c r="CP12" s="2762">
        <f t="shared" si="9"/>
        <v>0</v>
      </c>
      <c r="CQ12" s="2762">
        <f t="shared" si="53"/>
        <v>42.650705000000002</v>
      </c>
      <c r="CR12" s="2872">
        <f>SUM('ПОЛНАЯ СЕБЕСТОИМОСТЬ СТОКИ 2023'!AS12)</f>
        <v>42.650705000000002</v>
      </c>
      <c r="CS12" s="2872">
        <f>SUM('ПОЛНАЯ СЕБЕСТОИМОСТЬ СТОКИ 2023'!AT12)</f>
        <v>0</v>
      </c>
      <c r="CT12" s="2761">
        <f t="shared" si="54"/>
        <v>58.709000000000003</v>
      </c>
      <c r="CU12" s="3853">
        <v>58.709000000000003</v>
      </c>
      <c r="CV12" s="3853">
        <v>0</v>
      </c>
      <c r="CW12" s="2762">
        <f>SUM(CX12:CY12)</f>
        <v>57.525787954500004</v>
      </c>
      <c r="CX12" s="2762">
        <f t="shared" si="10"/>
        <v>57.525787954500004</v>
      </c>
      <c r="CY12" s="2762">
        <f t="shared" si="10"/>
        <v>0</v>
      </c>
      <c r="CZ12" s="2762">
        <f t="shared" si="55"/>
        <v>0</v>
      </c>
      <c r="DA12" s="2872">
        <f>SUM('ПОЛНАЯ СЕБЕСТОИМОСТЬ СТОКИ 2023'!AV12)</f>
        <v>0</v>
      </c>
      <c r="DB12" s="2872">
        <f>SUM('ПОЛНАЯ СЕБЕСТОИМОСТЬ СТОКИ 2023'!AW12)</f>
        <v>0</v>
      </c>
      <c r="DC12" s="2761">
        <f t="shared" si="56"/>
        <v>55.442999999999998</v>
      </c>
      <c r="DD12" s="3853">
        <v>55.442999999999998</v>
      </c>
      <c r="DE12" s="3853">
        <v>0</v>
      </c>
      <c r="DF12" s="2762">
        <f>SUM(DG12:DH12)</f>
        <v>57.525787954500004</v>
      </c>
      <c r="DG12" s="2762">
        <f t="shared" si="11"/>
        <v>57.525787954500004</v>
      </c>
      <c r="DH12" s="2762">
        <f t="shared" si="11"/>
        <v>0</v>
      </c>
      <c r="DI12" s="2762">
        <f t="shared" si="57"/>
        <v>0</v>
      </c>
      <c r="DJ12" s="2872">
        <f>SUM('ПОЛНАЯ СЕБЕСТОИМОСТЬ СТОКИ 2023'!AY12)</f>
        <v>0</v>
      </c>
      <c r="DK12" s="2872">
        <f>SUM('ПОЛНАЯ СЕБЕСТОИМОСТЬ СТОКИ 2023'!AZ12)</f>
        <v>0</v>
      </c>
      <c r="DL12" s="2761">
        <f t="shared" si="58"/>
        <v>64.736999999999995</v>
      </c>
      <c r="DM12" s="3853">
        <v>64.736999999999995</v>
      </c>
      <c r="DN12" s="3853">
        <v>0</v>
      </c>
      <c r="DO12" s="2763">
        <f t="shared" si="59"/>
        <v>172.57736386350001</v>
      </c>
      <c r="DP12" s="2763">
        <f t="shared" si="60"/>
        <v>172.57736386350001</v>
      </c>
      <c r="DQ12" s="2763">
        <f t="shared" si="60"/>
        <v>0</v>
      </c>
      <c r="DR12" s="2763">
        <f t="shared" si="61"/>
        <v>42.650705000000002</v>
      </c>
      <c r="DS12" s="2763">
        <f t="shared" si="62"/>
        <v>42.650705000000002</v>
      </c>
      <c r="DT12" s="2763">
        <f t="shared" si="62"/>
        <v>0</v>
      </c>
      <c r="DU12" s="2802">
        <f t="shared" si="12"/>
        <v>178.88900000000001</v>
      </c>
      <c r="DV12" s="2763">
        <f t="shared" si="12"/>
        <v>178.88900000000001</v>
      </c>
      <c r="DW12" s="2763">
        <f t="shared" si="12"/>
        <v>0</v>
      </c>
      <c r="DX12" s="2763">
        <f t="shared" si="63"/>
        <v>-129.92665886349999</v>
      </c>
      <c r="DY12" s="2803">
        <f t="shared" si="13"/>
        <v>-129.92665886349999</v>
      </c>
      <c r="DZ12" s="2803">
        <f t="shared" si="13"/>
        <v>0</v>
      </c>
      <c r="EA12" s="2763">
        <f t="shared" si="64"/>
        <v>517.73209159049998</v>
      </c>
      <c r="EB12" s="2763">
        <f t="shared" si="65"/>
        <v>517.73209159049998</v>
      </c>
      <c r="EC12" s="2763">
        <f t="shared" si="65"/>
        <v>0</v>
      </c>
      <c r="ED12" s="2763">
        <f t="shared" si="66"/>
        <v>379.60337900000002</v>
      </c>
      <c r="EE12" s="2763">
        <f t="shared" si="14"/>
        <v>379.60337900000002</v>
      </c>
      <c r="EF12" s="2763">
        <f t="shared" si="14"/>
        <v>0</v>
      </c>
      <c r="EG12" s="2763">
        <f t="shared" si="14"/>
        <v>574.11</v>
      </c>
      <c r="EH12" s="2763">
        <f t="shared" si="14"/>
        <v>574.11</v>
      </c>
      <c r="EI12" s="2763">
        <f t="shared" si="14"/>
        <v>0</v>
      </c>
      <c r="EJ12" s="2763">
        <f t="shared" si="67"/>
        <v>-138.12871259049996</v>
      </c>
      <c r="EK12" s="2803">
        <f t="shared" si="15"/>
        <v>-138.12871259049996</v>
      </c>
      <c r="EL12" s="2803">
        <f t="shared" si="15"/>
        <v>0</v>
      </c>
      <c r="EM12" s="2762">
        <f>SUM(EN12:EO12)</f>
        <v>57.525787954500004</v>
      </c>
      <c r="EN12" s="2762">
        <f t="shared" si="16"/>
        <v>57.525787954500004</v>
      </c>
      <c r="EO12" s="2762">
        <f t="shared" si="16"/>
        <v>0</v>
      </c>
      <c r="EP12" s="2762">
        <f t="shared" si="68"/>
        <v>0</v>
      </c>
      <c r="EQ12" s="2872">
        <f>SUM('ПОЛНАЯ СЕБЕСТОИМОСТЬ СТОКИ 2023'!BQ12)</f>
        <v>0</v>
      </c>
      <c r="ER12" s="2872">
        <f>SUM('ПОЛНАЯ СЕБЕСТОИМОСТЬ СТОКИ 2023'!BR12)</f>
        <v>0</v>
      </c>
      <c r="ES12" s="2761">
        <f t="shared" si="69"/>
        <v>66.174999999999997</v>
      </c>
      <c r="ET12" s="3853">
        <v>66.174999999999997</v>
      </c>
      <c r="EU12" s="3853">
        <v>0</v>
      </c>
      <c r="EV12" s="2762">
        <f>SUM(EW12:EX12)</f>
        <v>57.525787954500004</v>
      </c>
      <c r="EW12" s="2762">
        <f t="shared" si="17"/>
        <v>57.525787954500004</v>
      </c>
      <c r="EX12" s="2762">
        <f t="shared" si="17"/>
        <v>0</v>
      </c>
      <c r="EY12" s="2762">
        <f t="shared" si="70"/>
        <v>0</v>
      </c>
      <c r="EZ12" s="2872">
        <f>SUM('ПОЛНАЯ СЕБЕСТОИМОСТЬ СТОКИ 2023'!BT12)</f>
        <v>0</v>
      </c>
      <c r="FA12" s="2872">
        <f>SUM('ПОЛНАЯ СЕБЕСТОИМОСТЬ СТОКИ 2023'!BU12)</f>
        <v>0</v>
      </c>
      <c r="FB12" s="2762">
        <f t="shared" si="71"/>
        <v>61.008406999999998</v>
      </c>
      <c r="FC12" s="3853">
        <v>61.008406999999998</v>
      </c>
      <c r="FD12" s="3853">
        <v>0</v>
      </c>
      <c r="FE12" s="2762">
        <f>SUM(FF12:FG12)</f>
        <v>57.525787954500004</v>
      </c>
      <c r="FF12" s="2762">
        <f t="shared" si="18"/>
        <v>57.525787954500004</v>
      </c>
      <c r="FG12" s="2762">
        <f t="shared" si="18"/>
        <v>0</v>
      </c>
      <c r="FH12" s="2762">
        <f t="shared" si="72"/>
        <v>0</v>
      </c>
      <c r="FI12" s="2872">
        <f>SUM('ПОЛНАЯ СЕБЕСТОИМОСТЬ СТОКИ 2023'!BW12)</f>
        <v>0</v>
      </c>
      <c r="FJ12" s="2872">
        <f>SUM('ПОЛНАЯ СЕБЕСТОИМОСТЬ СТОКИ 2023'!BX12)</f>
        <v>0</v>
      </c>
      <c r="FK12" s="2762">
        <f t="shared" si="73"/>
        <v>64.714320000000001</v>
      </c>
      <c r="FL12" s="2766">
        <v>64.714320000000001</v>
      </c>
      <c r="FM12" s="2766">
        <v>0</v>
      </c>
      <c r="FN12" s="2763">
        <f t="shared" si="74"/>
        <v>172.57736386350001</v>
      </c>
      <c r="FO12" s="2763">
        <f t="shared" si="75"/>
        <v>172.57736386350001</v>
      </c>
      <c r="FP12" s="2763">
        <f t="shared" si="75"/>
        <v>0</v>
      </c>
      <c r="FQ12" s="2763">
        <f t="shared" si="76"/>
        <v>0</v>
      </c>
      <c r="FR12" s="2763">
        <f t="shared" si="77"/>
        <v>0</v>
      </c>
      <c r="FS12" s="2763">
        <f t="shared" si="77"/>
        <v>0</v>
      </c>
      <c r="FT12" s="2802">
        <f t="shared" si="19"/>
        <v>191.89772699999997</v>
      </c>
      <c r="FU12" s="2802">
        <f t="shared" si="19"/>
        <v>191.89772699999997</v>
      </c>
      <c r="FV12" s="2802">
        <f t="shared" si="19"/>
        <v>0</v>
      </c>
      <c r="FW12" s="2763">
        <f t="shared" si="78"/>
        <v>-172.57736386350001</v>
      </c>
      <c r="FX12" s="2803">
        <f t="shared" si="20"/>
        <v>-172.57736386350001</v>
      </c>
      <c r="FY12" s="2803">
        <f t="shared" si="20"/>
        <v>0</v>
      </c>
      <c r="FZ12" s="2763">
        <f t="shared" si="79"/>
        <v>690.30945545400004</v>
      </c>
      <c r="GA12" s="2763">
        <f>SUM('ПОЛНАЯ СЕБЕСТОИМОСТЬ СТОКИ 2023'!CC12)</f>
        <v>690.30945545400004</v>
      </c>
      <c r="GB12" s="2763">
        <v>0</v>
      </c>
      <c r="GC12" s="2763">
        <f t="shared" si="80"/>
        <v>379.60337900000002</v>
      </c>
      <c r="GD12" s="2802">
        <f t="shared" si="21"/>
        <v>379.60337900000002</v>
      </c>
      <c r="GE12" s="2802">
        <f t="shared" si="21"/>
        <v>0</v>
      </c>
      <c r="GF12" s="2802">
        <f t="shared" si="21"/>
        <v>766.00772699999993</v>
      </c>
      <c r="GG12" s="2802">
        <f t="shared" si="22"/>
        <v>766.00772699999993</v>
      </c>
      <c r="GH12" s="2802">
        <f t="shared" si="22"/>
        <v>0</v>
      </c>
      <c r="GI12" s="2763">
        <f t="shared" si="81"/>
        <v>-310.70607645400003</v>
      </c>
      <c r="GJ12" s="2803">
        <f t="shared" si="23"/>
        <v>-310.70607645400003</v>
      </c>
      <c r="GK12" s="2803">
        <f t="shared" si="23"/>
        <v>0</v>
      </c>
      <c r="GM12" s="3576">
        <f t="shared" si="82"/>
        <v>690.30945545399982</v>
      </c>
    </row>
    <row r="13" spans="1:195" ht="18.75" customHeight="1" x14ac:dyDescent="0.3">
      <c r="A13" s="2786" t="s">
        <v>3644</v>
      </c>
      <c r="B13" s="2767">
        <f t="shared" ref="B13" si="84">SUM(C13:D13)</f>
        <v>24.786870178362165</v>
      </c>
      <c r="C13" s="2767">
        <f t="shared" ref="C13" si="85">SUM(GA13/12)</f>
        <v>24.786870178362165</v>
      </c>
      <c r="D13" s="2767">
        <f t="shared" ref="D13" si="86">SUM(GB13/12)</f>
        <v>0</v>
      </c>
      <c r="E13" s="2767">
        <f t="shared" si="26"/>
        <v>24.507874000000001</v>
      </c>
      <c r="F13" s="2913">
        <f>SUM('ПОЛНАЯ СЕБЕСТОИМОСТЬ СТОКИ 2023'!F13)</f>
        <v>24.507874000000001</v>
      </c>
      <c r="G13" s="2913">
        <f>SUM('ПОЛНАЯ СЕБЕСТОИМОСТЬ СТОКИ 2023'!G13)</f>
        <v>0</v>
      </c>
      <c r="H13" s="2768">
        <f t="shared" si="27"/>
        <v>27.997599999999998</v>
      </c>
      <c r="I13" s="3855">
        <v>27.997599999999998</v>
      </c>
      <c r="J13" s="3856">
        <v>0</v>
      </c>
      <c r="K13" s="2767">
        <f t="shared" ref="K13:K16" si="87">SUM(L13:M13)</f>
        <v>24.786870178362165</v>
      </c>
      <c r="L13" s="2767">
        <f t="shared" ref="L13:L16" si="88">SUM(GA13/12)</f>
        <v>24.786870178362165</v>
      </c>
      <c r="M13" s="2767">
        <f t="shared" ref="M13:M16" si="89">SUM(GB13/12)</f>
        <v>0</v>
      </c>
      <c r="N13" s="2767">
        <f t="shared" si="28"/>
        <v>28.501264999999997</v>
      </c>
      <c r="O13" s="2913">
        <f>SUM('ПОЛНАЯ СЕБЕСТОИМОСТЬ СТОКИ 2023'!I13)</f>
        <v>28.501264999999997</v>
      </c>
      <c r="P13" s="2913">
        <f>SUM('ПОЛНАЯ СЕБЕСТОИМОСТЬ СТОКИ 2023'!J13)</f>
        <v>0</v>
      </c>
      <c r="Q13" s="2768">
        <f t="shared" si="29"/>
        <v>27.696600000000004</v>
      </c>
      <c r="R13" s="3855">
        <v>27.696600000000004</v>
      </c>
      <c r="S13" s="3856">
        <v>0</v>
      </c>
      <c r="T13" s="2767">
        <f t="shared" ref="T13:T16" si="90">SUM(U13:V13)</f>
        <v>24.786870178362165</v>
      </c>
      <c r="U13" s="2767">
        <f t="shared" ref="U13:U16" si="91">SUM(GA13/12)</f>
        <v>24.786870178362165</v>
      </c>
      <c r="V13" s="2767">
        <f t="shared" ref="V13:V16" si="92">SUM(GB13/12)</f>
        <v>0</v>
      </c>
      <c r="W13" s="2767">
        <f t="shared" si="30"/>
        <v>24.637121</v>
      </c>
      <c r="X13" s="2913">
        <f>SUM('ПОЛНАЯ СЕБЕСТОИМОСТЬ СТОКИ 2023'!L13)</f>
        <v>24.637121</v>
      </c>
      <c r="Y13" s="2913">
        <f>SUM('ПОЛНАЯ СЕБЕСТОИМОСТЬ СТОКИ 2023'!M13)</f>
        <v>0</v>
      </c>
      <c r="Z13" s="2768">
        <f t="shared" si="31"/>
        <v>26.448499999999999</v>
      </c>
      <c r="AA13" s="3855">
        <v>26.448499999999999</v>
      </c>
      <c r="AB13" s="3856">
        <v>0</v>
      </c>
      <c r="AC13" s="2769">
        <f t="shared" ref="AC13:AC16" si="93">SUM(AD13:AE13)</f>
        <v>74.360610535086494</v>
      </c>
      <c r="AD13" s="2769">
        <f t="shared" ref="AD13:AD16" si="94">SUM(C13+L13+U13)</f>
        <v>74.360610535086494</v>
      </c>
      <c r="AE13" s="2769">
        <f t="shared" ref="AE13:AE16" si="95">SUM(D13+M13+V13)</f>
        <v>0</v>
      </c>
      <c r="AF13" s="2769">
        <f t="shared" ref="AF13:AF16" si="96">SUM(AG13:AH13)</f>
        <v>77.646259999999998</v>
      </c>
      <c r="AG13" s="2769">
        <f t="shared" ref="AG13:AG16" si="97">SUM(F13+O13+X13)</f>
        <v>77.646259999999998</v>
      </c>
      <c r="AH13" s="2769">
        <f t="shared" ref="AH13:AH16" si="98">SUM(G13+P13+Y13)</f>
        <v>0</v>
      </c>
      <c r="AI13" s="2807">
        <f t="shared" ref="AI13:AI16" si="99">SUM(H13+Q13+Z13)</f>
        <v>82.142700000000005</v>
      </c>
      <c r="AJ13" s="2807">
        <f t="shared" ref="AJ13:AJ16" si="100">SUM(I13+R13+AA13)</f>
        <v>82.142700000000005</v>
      </c>
      <c r="AK13" s="2807">
        <f t="shared" ref="AK13:AK16" si="101">SUM(J13+S13+AB13)</f>
        <v>0</v>
      </c>
      <c r="AL13" s="2769">
        <f t="shared" ref="AL13:AL16" si="102">SUM(AM13:AN13)</f>
        <v>3.2856494649135044</v>
      </c>
      <c r="AM13" s="2769">
        <f t="shared" ref="AM13:AM16" si="103">SUM(AG13-AD13)</f>
        <v>3.2856494649135044</v>
      </c>
      <c r="AN13" s="2769">
        <f t="shared" ref="AN13:AN16" si="104">SUM(AH13-AE13)</f>
        <v>0</v>
      </c>
      <c r="AO13" s="2767">
        <f t="shared" ref="AO13:AO16" si="105">SUM(AP13:AQ13)</f>
        <v>24.786870178362165</v>
      </c>
      <c r="AP13" s="2767">
        <f t="shared" ref="AP13:AP16" si="106">SUM(GA13/12)</f>
        <v>24.786870178362165</v>
      </c>
      <c r="AQ13" s="2767">
        <f t="shared" ref="AQ13:AQ16" si="107">SUM(GB13/12)</f>
        <v>0</v>
      </c>
      <c r="AR13" s="2767">
        <f t="shared" si="38"/>
        <v>26.101188999999998</v>
      </c>
      <c r="AS13" s="2913">
        <f>SUM('ПОЛНАЯ СЕБЕСТОИМОСТЬ СТОКИ 2023'!U13)</f>
        <v>26.101188999999998</v>
      </c>
      <c r="AT13" s="2913">
        <f>SUM('ПОЛНАЯ СЕБЕСТОИМОСТЬ СТОКИ 2023'!V13)</f>
        <v>0</v>
      </c>
      <c r="AU13" s="2768">
        <f t="shared" si="39"/>
        <v>27.267200000000003</v>
      </c>
      <c r="AV13" s="3855">
        <v>27.267200000000003</v>
      </c>
      <c r="AW13" s="3856">
        <v>0</v>
      </c>
      <c r="AX13" s="2767">
        <f t="shared" ref="AX13:AX16" si="108">SUM(AY13:AZ13)</f>
        <v>24.786870178362165</v>
      </c>
      <c r="AY13" s="2767">
        <f t="shared" ref="AY13:AY16" si="109">SUM(GA13/12)</f>
        <v>24.786870178362165</v>
      </c>
      <c r="AZ13" s="2767">
        <f t="shared" ref="AZ13:AZ16" si="110">SUM(GB13/12)</f>
        <v>0</v>
      </c>
      <c r="BA13" s="2767">
        <f t="shared" si="40"/>
        <v>22.193646000000001</v>
      </c>
      <c r="BB13" s="2913">
        <f>SUM('ПОЛНАЯ СЕБЕСТОИМОСТЬ СТОКИ 2023'!X13)</f>
        <v>22.193646000000001</v>
      </c>
      <c r="BC13" s="2913">
        <f>SUM('ПОЛНАЯ СЕБЕСТОИМОСТЬ СТОКИ 2023'!Y13)</f>
        <v>0</v>
      </c>
      <c r="BD13" s="2768">
        <f t="shared" si="41"/>
        <v>24.469000000000001</v>
      </c>
      <c r="BE13" s="3855">
        <v>24.469000000000001</v>
      </c>
      <c r="BF13" s="3856">
        <v>0</v>
      </c>
      <c r="BG13" s="2767">
        <f t="shared" ref="BG13:BG16" si="111">SUM(BH13:BI13)</f>
        <v>24.786870178362165</v>
      </c>
      <c r="BH13" s="2767">
        <f t="shared" ref="BH13:BH16" si="112">SUM(GA13/12)</f>
        <v>24.786870178362165</v>
      </c>
      <c r="BI13" s="2767">
        <f t="shared" ref="BI13:BI16" si="113">SUM(GB13/12)</f>
        <v>0</v>
      </c>
      <c r="BJ13" s="2767">
        <f t="shared" si="42"/>
        <v>21.841826000000001</v>
      </c>
      <c r="BK13" s="2913">
        <f>SUM('ПОЛНАЯ СЕБЕСТОИМОСТЬ СТОКИ 2023'!AA13)</f>
        <v>21.841826000000001</v>
      </c>
      <c r="BL13" s="2913">
        <f>SUM('ПОЛНАЯ СЕБЕСТОИМОСТЬ СТОКИ 2023'!AB13)</f>
        <v>0</v>
      </c>
      <c r="BM13" s="2768">
        <f t="shared" si="43"/>
        <v>23.113</v>
      </c>
      <c r="BN13" s="3855">
        <v>23.113</v>
      </c>
      <c r="BO13" s="3856">
        <v>0</v>
      </c>
      <c r="BP13" s="2769">
        <f t="shared" ref="BP13:BP16" si="114">SUM(BQ13:BR13)</f>
        <v>74.360610535086494</v>
      </c>
      <c r="BQ13" s="2769">
        <f t="shared" ref="BQ13:BQ16" si="115">SUM(AP13+AY13+BH13)</f>
        <v>74.360610535086494</v>
      </c>
      <c r="BR13" s="2769">
        <f t="shared" ref="BR13:BR16" si="116">SUM(AQ13+AZ13+BI13)</f>
        <v>0</v>
      </c>
      <c r="BS13" s="2769">
        <f t="shared" ref="BS13:BS16" si="117">SUM(BT13:BU13)</f>
        <v>70.136661000000004</v>
      </c>
      <c r="BT13" s="2769">
        <f t="shared" ref="BT13:BT16" si="118">SUM(AS13+BB13+BK13)</f>
        <v>70.136661000000004</v>
      </c>
      <c r="BU13" s="2769">
        <f t="shared" ref="BU13:BU16" si="119">SUM(AT13+BC13+BL13)</f>
        <v>0</v>
      </c>
      <c r="BV13" s="2807">
        <f t="shared" ref="BV13:BV16" si="120">SUM(AU13+BD13+BM13)</f>
        <v>74.849199999999996</v>
      </c>
      <c r="BW13" s="2769">
        <f t="shared" ref="BW13:BW16" si="121">SUM(AV13+BE13+BN13)</f>
        <v>74.849199999999996</v>
      </c>
      <c r="BX13" s="2769">
        <f t="shared" ref="BX13:BX16" si="122">SUM(AW13+BF13+BO13)</f>
        <v>0</v>
      </c>
      <c r="BY13" s="2769">
        <f t="shared" ref="BY13:BY16" si="123">SUM(BZ13:CA13)</f>
        <v>-4.22394953508649</v>
      </c>
      <c r="BZ13" s="2769">
        <f t="shared" ref="BZ13:BZ16" si="124">SUM(BT13-BQ13)</f>
        <v>-4.22394953508649</v>
      </c>
      <c r="CA13" s="2769">
        <f t="shared" ref="CA13:CA16" si="125">SUM(BU13-BR13)</f>
        <v>0</v>
      </c>
      <c r="CB13" s="2769">
        <f t="shared" ref="CB13:CB16" si="126">SUM(CC13:CD13)</f>
        <v>148.72122107017299</v>
      </c>
      <c r="CC13" s="2769">
        <f t="shared" ref="CC13:CC16" si="127">SUM(AD13+BQ13)</f>
        <v>148.72122107017299</v>
      </c>
      <c r="CD13" s="2769">
        <f t="shared" ref="CD13:CD16" si="128">SUM(AE13+BR13)</f>
        <v>0</v>
      </c>
      <c r="CE13" s="2769">
        <f t="shared" ref="CE13:CE16" si="129">SUM(CF13:CG13)</f>
        <v>147.78292099999999</v>
      </c>
      <c r="CF13" s="2769">
        <f t="shared" ref="CF13:CF16" si="130">SUM(AG13+BT13)</f>
        <v>147.78292099999999</v>
      </c>
      <c r="CG13" s="2769">
        <f t="shared" ref="CG13:CG16" si="131">SUM(AH13+BU13)</f>
        <v>0</v>
      </c>
      <c r="CH13" s="2807">
        <f t="shared" ref="CH13:CH16" si="132">SUM(AI13+BV13)</f>
        <v>156.99189999999999</v>
      </c>
      <c r="CI13" s="2807">
        <f t="shared" ref="CI13:CI16" si="133">SUM(AJ13+BW13)</f>
        <v>156.99189999999999</v>
      </c>
      <c r="CJ13" s="2807">
        <f t="shared" ref="CJ13:CJ16" si="134">SUM(AK13+BX13)</f>
        <v>0</v>
      </c>
      <c r="CK13" s="2769">
        <f t="shared" ref="CK13:CK16" si="135">SUM(CL13:CM13)</f>
        <v>-0.93830007017299977</v>
      </c>
      <c r="CL13" s="2808">
        <f t="shared" ref="CL13:CL16" si="136">SUM(CF13-CC13)</f>
        <v>-0.93830007017299977</v>
      </c>
      <c r="CM13" s="2808">
        <f t="shared" ref="CM13:CM16" si="137">SUM(CG13-CD13)</f>
        <v>0</v>
      </c>
      <c r="CN13" s="2767">
        <f t="shared" ref="CN13:CN16" si="138">SUM(CO13:CP13)</f>
        <v>24.786870178362165</v>
      </c>
      <c r="CO13" s="2767">
        <f t="shared" ref="CO13:CO16" si="139">SUM(GA13/12)</f>
        <v>24.786870178362165</v>
      </c>
      <c r="CP13" s="2767">
        <f t="shared" ref="CP13:CP16" si="140">SUM(GB13/12)</f>
        <v>0</v>
      </c>
      <c r="CQ13" s="2767">
        <f t="shared" si="53"/>
        <v>16.222892000000002</v>
      </c>
      <c r="CR13" s="2913">
        <f>SUM('ПОЛНАЯ СЕБЕСТОИМОСТЬ СТОКИ 2023'!AS13)</f>
        <v>16.222892000000002</v>
      </c>
      <c r="CS13" s="2913">
        <f>SUM('ПОЛНАЯ СЕБЕСТОИМОСТЬ СТОКИ 2023'!AT13)</f>
        <v>0</v>
      </c>
      <c r="CT13" s="2768">
        <f t="shared" si="54"/>
        <v>20.143000000000001</v>
      </c>
      <c r="CU13" s="3855">
        <v>20.143000000000001</v>
      </c>
      <c r="CV13" s="3856">
        <v>0</v>
      </c>
      <c r="CW13" s="2767">
        <f t="shared" ref="CW13:CW16" si="141">SUM(CX13:CY13)</f>
        <v>24.786870178362165</v>
      </c>
      <c r="CX13" s="2767">
        <f t="shared" ref="CX13:CX16" si="142">SUM(GA13/12)</f>
        <v>24.786870178362165</v>
      </c>
      <c r="CY13" s="2767">
        <f t="shared" ref="CY13:CY16" si="143">SUM(GB13/12)</f>
        <v>0</v>
      </c>
      <c r="CZ13" s="2767">
        <f t="shared" si="55"/>
        <v>0</v>
      </c>
      <c r="DA13" s="2913">
        <f>SUM('ПОЛНАЯ СЕБЕСТОИМОСТЬ СТОКИ 2023'!AV13)</f>
        <v>0</v>
      </c>
      <c r="DB13" s="2913">
        <f>SUM('ПОЛНАЯ СЕБЕСТОИМОСТЬ СТОКИ 2023'!AW13)</f>
        <v>0</v>
      </c>
      <c r="DC13" s="2768">
        <f t="shared" si="56"/>
        <v>19.702999999999999</v>
      </c>
      <c r="DD13" s="3855">
        <v>19.702999999999999</v>
      </c>
      <c r="DE13" s="3856">
        <v>0</v>
      </c>
      <c r="DF13" s="2767">
        <f t="shared" ref="DF13:DF16" si="144">SUM(DG13:DH13)</f>
        <v>24.786870178362165</v>
      </c>
      <c r="DG13" s="2767">
        <f t="shared" ref="DG13:DG16" si="145">SUM(GA13/12)</f>
        <v>24.786870178362165</v>
      </c>
      <c r="DH13" s="2767">
        <f t="shared" ref="DH13:DH16" si="146">SUM(GB13/12)</f>
        <v>0</v>
      </c>
      <c r="DI13" s="2767">
        <f t="shared" si="57"/>
        <v>0</v>
      </c>
      <c r="DJ13" s="2913">
        <f>SUM('ПОЛНАЯ СЕБЕСТОИМОСТЬ СТОКИ 2023'!AY13)</f>
        <v>0</v>
      </c>
      <c r="DK13" s="2913">
        <f>SUM('ПОЛНАЯ СЕБЕСТОИМОСТЬ СТОКИ 2023'!AZ13)</f>
        <v>0</v>
      </c>
      <c r="DL13" s="2768">
        <f t="shared" si="58"/>
        <v>26.105947999999998</v>
      </c>
      <c r="DM13" s="3855">
        <v>26.105947999999998</v>
      </c>
      <c r="DN13" s="3856">
        <v>0</v>
      </c>
      <c r="DO13" s="2769">
        <f t="shared" ref="DO13:DO16" si="147">SUM(DP13:DQ13)</f>
        <v>74.360610535086494</v>
      </c>
      <c r="DP13" s="2769">
        <f t="shared" ref="DP13:DP16" si="148">SUM(CO13+CX13+DG13)</f>
        <v>74.360610535086494</v>
      </c>
      <c r="DQ13" s="2769">
        <f t="shared" ref="DQ13:DQ16" si="149">SUM(CP13+CY13+DH13)</f>
        <v>0</v>
      </c>
      <c r="DR13" s="2769">
        <f t="shared" ref="DR13:DR16" si="150">SUM(DS13:DT13)</f>
        <v>16.222892000000002</v>
      </c>
      <c r="DS13" s="2769">
        <f t="shared" ref="DS13:DS16" si="151">SUM(CR13+DA13+DJ13)</f>
        <v>16.222892000000002</v>
      </c>
      <c r="DT13" s="2769">
        <f t="shared" ref="DT13:DT16" si="152">SUM(CS13+DB13+DK13)</f>
        <v>0</v>
      </c>
      <c r="DU13" s="2807">
        <f t="shared" ref="DU13:DU16" si="153">SUM(CT13+DC13+DL13)</f>
        <v>65.951948000000002</v>
      </c>
      <c r="DV13" s="2769">
        <f t="shared" ref="DV13:DV16" si="154">SUM(CU13+DD13+DM13)</f>
        <v>65.951948000000002</v>
      </c>
      <c r="DW13" s="2769">
        <f t="shared" ref="DW13:DW16" si="155">SUM(CV13+DE13+DN13)</f>
        <v>0</v>
      </c>
      <c r="DX13" s="2769">
        <f t="shared" ref="DX13:DX16" si="156">SUM(DY13:DZ13)</f>
        <v>-58.137718535086492</v>
      </c>
      <c r="DY13" s="2808">
        <f t="shared" ref="DY13:DY16" si="157">SUM(DS13-DP13)</f>
        <v>-58.137718535086492</v>
      </c>
      <c r="DZ13" s="2808">
        <f t="shared" ref="DZ13:DZ16" si="158">SUM(DT13-DQ13)</f>
        <v>0</v>
      </c>
      <c r="EA13" s="2769">
        <f t="shared" ref="EA13:EA16" si="159">SUM(EB13:EC13)</f>
        <v>223.08183160525948</v>
      </c>
      <c r="EB13" s="2769">
        <f t="shared" ref="EB13:EB16" si="160">SUM(CC13+DP13)</f>
        <v>223.08183160525948</v>
      </c>
      <c r="EC13" s="2769">
        <f t="shared" ref="EC13:EC16" si="161">SUM(CD13+DQ13)</f>
        <v>0</v>
      </c>
      <c r="ED13" s="2769">
        <f t="shared" ref="ED13:ED16" si="162">SUM(EE13:EF13)</f>
        <v>164.00581299999999</v>
      </c>
      <c r="EE13" s="2769">
        <f t="shared" ref="EE13:EE16" si="163">SUM(CF13+DS13)</f>
        <v>164.00581299999999</v>
      </c>
      <c r="EF13" s="2769">
        <f t="shared" ref="EF13:EF16" si="164">SUM(CG13+DT13)</f>
        <v>0</v>
      </c>
      <c r="EG13" s="2769">
        <f t="shared" ref="EG13:EG16" si="165">SUM(CH13+DU13)</f>
        <v>222.943848</v>
      </c>
      <c r="EH13" s="2769">
        <f t="shared" ref="EH13:EH16" si="166">SUM(CI13+DV13)</f>
        <v>222.943848</v>
      </c>
      <c r="EI13" s="2769">
        <f t="shared" ref="EI13:EI16" si="167">SUM(CJ13+DW13)</f>
        <v>0</v>
      </c>
      <c r="EJ13" s="2769">
        <f t="shared" ref="EJ13:EJ16" si="168">SUM(EK13:EL13)</f>
        <v>-59.076018605259492</v>
      </c>
      <c r="EK13" s="2808">
        <f t="shared" ref="EK13:EK16" si="169">SUM(EE13-EB13)</f>
        <v>-59.076018605259492</v>
      </c>
      <c r="EL13" s="2808">
        <f t="shared" ref="EL13:EL16" si="170">SUM(EF13-EC13)</f>
        <v>0</v>
      </c>
      <c r="EM13" s="2767">
        <f t="shared" ref="EM13:EM16" si="171">SUM(EN13:EO13)</f>
        <v>24.786870178362165</v>
      </c>
      <c r="EN13" s="2767">
        <f t="shared" ref="EN13:EN16" si="172">SUM(GA13/12)</f>
        <v>24.786870178362165</v>
      </c>
      <c r="EO13" s="2767">
        <f t="shared" ref="EO13:EO16" si="173">SUM(GB13/12)</f>
        <v>0</v>
      </c>
      <c r="EP13" s="2767">
        <f t="shared" si="68"/>
        <v>0</v>
      </c>
      <c r="EQ13" s="2913">
        <f>SUM('ПОЛНАЯ СЕБЕСТОИМОСТЬ СТОКИ 2023'!BQ13)</f>
        <v>0</v>
      </c>
      <c r="ER13" s="2913">
        <f>SUM('ПОЛНАЯ СЕБЕСТОИМОСТЬ СТОКИ 2023'!BR13)</f>
        <v>0</v>
      </c>
      <c r="ES13" s="2768">
        <f t="shared" si="69"/>
        <v>28.935000000000002</v>
      </c>
      <c r="ET13" s="3855">
        <v>28.935000000000002</v>
      </c>
      <c r="EU13" s="3856">
        <v>0</v>
      </c>
      <c r="EV13" s="2767">
        <f t="shared" ref="EV13:EV16" si="174">SUM(EW13:EX13)</f>
        <v>24.786870178362165</v>
      </c>
      <c r="EW13" s="2767">
        <f t="shared" ref="EW13:EW16" si="175">SUM(GA13/12)</f>
        <v>24.786870178362165</v>
      </c>
      <c r="EX13" s="2767">
        <f t="shared" ref="EX13:EX16" si="176">SUM(GB13/12)</f>
        <v>0</v>
      </c>
      <c r="EY13" s="2767">
        <f t="shared" si="70"/>
        <v>0</v>
      </c>
      <c r="EZ13" s="2913">
        <f>SUM('ПОЛНАЯ СЕБЕСТОИМОСТЬ СТОКИ 2023'!BT13)</f>
        <v>0</v>
      </c>
      <c r="FA13" s="2913">
        <f>SUM('ПОЛНАЯ СЕБЕСТОИМОСТЬ СТОКИ 2023'!BU13)</f>
        <v>0</v>
      </c>
      <c r="FB13" s="2767">
        <f t="shared" si="71"/>
        <v>29.144311999999999</v>
      </c>
      <c r="FC13" s="3855">
        <v>29.144311999999999</v>
      </c>
      <c r="FD13" s="3856">
        <v>0</v>
      </c>
      <c r="FE13" s="2767">
        <f t="shared" ref="FE13:FE16" si="177">SUM(FF13:FG13)</f>
        <v>24.786870178362165</v>
      </c>
      <c r="FF13" s="2767">
        <f t="shared" ref="FF13:FF16" si="178">SUM(GA13/12)</f>
        <v>24.786870178362165</v>
      </c>
      <c r="FG13" s="2767">
        <f t="shared" ref="FG13:FG16" si="179">SUM(GB13/12)</f>
        <v>0</v>
      </c>
      <c r="FH13" s="2767">
        <f t="shared" si="72"/>
        <v>0</v>
      </c>
      <c r="FI13" s="2913">
        <f>SUM('ПОЛНАЯ СЕБЕСТОИМОСТЬ СТОКИ 2023'!BW13)</f>
        <v>0</v>
      </c>
      <c r="FJ13" s="2913">
        <f>SUM('ПОЛНАЯ СЕБЕСТОИМОСТЬ СТОКИ 2023'!BX13)</f>
        <v>0</v>
      </c>
      <c r="FK13" s="2767">
        <f t="shared" si="73"/>
        <v>30.702731999999997</v>
      </c>
      <c r="FL13" s="2767">
        <v>30.702731999999997</v>
      </c>
      <c r="FM13" s="2906">
        <v>0</v>
      </c>
      <c r="FN13" s="2769">
        <f t="shared" ref="FN13:FN16" si="180">SUM(FO13:FP13)</f>
        <v>74.360610535086494</v>
      </c>
      <c r="FO13" s="2769">
        <f t="shared" ref="FO13:FO16" si="181">SUM(EN13+EW13+FF13)</f>
        <v>74.360610535086494</v>
      </c>
      <c r="FP13" s="2769">
        <f t="shared" ref="FP13:FP16" si="182">SUM(EO13+EX13+FG13)</f>
        <v>0</v>
      </c>
      <c r="FQ13" s="2769">
        <f t="shared" ref="FQ13:FQ16" si="183">SUM(FR13:FS13)</f>
        <v>0</v>
      </c>
      <c r="FR13" s="2769">
        <f t="shared" ref="FR13:FR16" si="184">SUM(EQ13+EZ13+FI13)</f>
        <v>0</v>
      </c>
      <c r="FS13" s="2769">
        <f t="shared" ref="FS13:FS16" si="185">SUM(ER13+FA13+FJ13)</f>
        <v>0</v>
      </c>
      <c r="FT13" s="2807">
        <f t="shared" ref="FT13:FT16" si="186">SUM(ES13+FB13+FK13)</f>
        <v>88.782043999999999</v>
      </c>
      <c r="FU13" s="2807">
        <f t="shared" ref="FU13:FU16" si="187">SUM(ET13+FC13+FL13)</f>
        <v>88.782043999999999</v>
      </c>
      <c r="FV13" s="2807">
        <f t="shared" ref="FV13:FV16" si="188">SUM(EU13+FD13+FM13)</f>
        <v>0</v>
      </c>
      <c r="FW13" s="2769">
        <f t="shared" ref="FW13:FW16" si="189">SUM(FX13:FY13)</f>
        <v>-74.360610535086494</v>
      </c>
      <c r="FX13" s="2808">
        <f t="shared" ref="FX13:FX16" si="190">SUM(FR13-FO13)</f>
        <v>-74.360610535086494</v>
      </c>
      <c r="FY13" s="2808">
        <f t="shared" ref="FY13:FY16" si="191">SUM(FS13-FP13)</f>
        <v>0</v>
      </c>
      <c r="FZ13" s="2769">
        <f t="shared" si="79"/>
        <v>297.44244214034597</v>
      </c>
      <c r="GA13" s="2769">
        <f>SUM('ПОЛНАЯ СЕБЕСТОИМОСТЬ СТОКИ 2023'!CC13)</f>
        <v>297.44244214034597</v>
      </c>
      <c r="GB13" s="2769">
        <v>0</v>
      </c>
      <c r="GC13" s="2769">
        <f t="shared" ref="GC13:GC16" si="192">SUM(GD13:GE13)</f>
        <v>164.00581299999999</v>
      </c>
      <c r="GD13" s="2807">
        <f t="shared" ref="GD13:GD16" si="193">SUM(EE13+FR13)</f>
        <v>164.00581299999999</v>
      </c>
      <c r="GE13" s="2807">
        <f t="shared" ref="GE13:GE16" si="194">SUM(EF13+FS13)</f>
        <v>0</v>
      </c>
      <c r="GF13" s="2807">
        <f t="shared" ref="GF13:GF16" si="195">SUM(EG13+FT13)</f>
        <v>311.72589199999999</v>
      </c>
      <c r="GG13" s="2807">
        <f t="shared" ref="GG13:GG16" si="196">SUM(EH13+FU13)</f>
        <v>311.72589199999999</v>
      </c>
      <c r="GH13" s="2807">
        <f t="shared" ref="GH13:GH16" si="197">SUM(EI13+FV13)</f>
        <v>0</v>
      </c>
      <c r="GI13" s="2769">
        <f t="shared" ref="GI13:GI16" si="198">SUM(GJ13:GK13)</f>
        <v>-133.43662914034599</v>
      </c>
      <c r="GJ13" s="2808">
        <f t="shared" ref="GJ13:GJ16" si="199">SUM(GD13-GA13)</f>
        <v>-133.43662914034599</v>
      </c>
      <c r="GK13" s="2808">
        <f t="shared" ref="GK13:GK16" si="200">SUM(GE13-GB13)</f>
        <v>0</v>
      </c>
      <c r="GM13" s="3576">
        <f t="shared" si="82"/>
        <v>297.44244214034597</v>
      </c>
    </row>
    <row r="14" spans="1:195" ht="18.75" customHeight="1" x14ac:dyDescent="0.3">
      <c r="A14" s="2912" t="s">
        <v>3646</v>
      </c>
      <c r="B14" s="2767">
        <f t="shared" ref="B14:B16" si="201">SUM(C14:D14)</f>
        <v>9.0967813554589156</v>
      </c>
      <c r="C14" s="2767">
        <f t="shared" ref="C14:C16" si="202">SUM(GA14/12)</f>
        <v>9.0967813554589156</v>
      </c>
      <c r="D14" s="2767">
        <f t="shared" ref="D14:D16" si="203">SUM(GB14/12)</f>
        <v>0</v>
      </c>
      <c r="E14" s="2767">
        <f t="shared" si="26"/>
        <v>8.0636550000000007</v>
      </c>
      <c r="F14" s="2913">
        <f>SUM('ПОЛНАЯ СЕБЕСТОИМОСТЬ СТОКИ 2023'!F14)</f>
        <v>8.0636550000000007</v>
      </c>
      <c r="G14" s="2913">
        <f>SUM('ПОЛНАЯ СЕБЕСТОИМОСТЬ СТОКИ 2023'!G14)</f>
        <v>0</v>
      </c>
      <c r="H14" s="2768">
        <f t="shared" si="27"/>
        <v>8.5679999999999996</v>
      </c>
      <c r="I14" s="3856">
        <v>8.5679999999999996</v>
      </c>
      <c r="J14" s="3856">
        <v>0</v>
      </c>
      <c r="K14" s="2767">
        <f t="shared" si="87"/>
        <v>9.0967813554589156</v>
      </c>
      <c r="L14" s="2767">
        <f t="shared" si="88"/>
        <v>9.0967813554589156</v>
      </c>
      <c r="M14" s="2767">
        <f t="shared" si="89"/>
        <v>0</v>
      </c>
      <c r="N14" s="2767">
        <f t="shared" si="28"/>
        <v>10.427747</v>
      </c>
      <c r="O14" s="2913">
        <f>SUM('ПОЛНАЯ СЕБЕСТОИМОСТЬ СТОКИ 2023'!I14)</f>
        <v>10.427747</v>
      </c>
      <c r="P14" s="2913">
        <f>SUM('ПОЛНАЯ СЕБЕСТОИМОСТЬ СТОКИ 2023'!J14)</f>
        <v>0</v>
      </c>
      <c r="Q14" s="2768">
        <f t="shared" si="29"/>
        <v>8.1820000000000004</v>
      </c>
      <c r="R14" s="3856">
        <v>8.1820000000000004</v>
      </c>
      <c r="S14" s="3856">
        <v>0</v>
      </c>
      <c r="T14" s="2767">
        <f t="shared" si="90"/>
        <v>9.0967813554589156</v>
      </c>
      <c r="U14" s="2767">
        <f t="shared" si="91"/>
        <v>9.0967813554589156</v>
      </c>
      <c r="V14" s="2767">
        <f t="shared" si="92"/>
        <v>0</v>
      </c>
      <c r="W14" s="2767">
        <f t="shared" si="30"/>
        <v>8.6376749999999998</v>
      </c>
      <c r="X14" s="2913">
        <f>SUM('ПОЛНАЯ СЕБЕСТОИМОСТЬ СТОКИ 2023'!L14)</f>
        <v>8.6376749999999998</v>
      </c>
      <c r="Y14" s="2913">
        <f>SUM('ПОЛНАЯ СЕБЕСТОИМОСТЬ СТОКИ 2023'!M14)</f>
        <v>0</v>
      </c>
      <c r="Z14" s="2768">
        <f t="shared" si="31"/>
        <v>8.5434999999999999</v>
      </c>
      <c r="AA14" s="3856">
        <v>8.5434999999999999</v>
      </c>
      <c r="AB14" s="3856">
        <v>0</v>
      </c>
      <c r="AC14" s="2769">
        <f t="shared" si="93"/>
        <v>27.290344066376747</v>
      </c>
      <c r="AD14" s="2769">
        <f t="shared" si="94"/>
        <v>27.290344066376747</v>
      </c>
      <c r="AE14" s="2769">
        <f t="shared" si="95"/>
        <v>0</v>
      </c>
      <c r="AF14" s="2769">
        <f t="shared" si="96"/>
        <v>27.129077000000002</v>
      </c>
      <c r="AG14" s="2769">
        <f t="shared" si="97"/>
        <v>27.129077000000002</v>
      </c>
      <c r="AH14" s="2769">
        <f t="shared" si="98"/>
        <v>0</v>
      </c>
      <c r="AI14" s="2807">
        <f t="shared" si="99"/>
        <v>25.293500000000002</v>
      </c>
      <c r="AJ14" s="2807">
        <f t="shared" si="100"/>
        <v>25.293500000000002</v>
      </c>
      <c r="AK14" s="2807">
        <f t="shared" si="101"/>
        <v>0</v>
      </c>
      <c r="AL14" s="2769">
        <f t="shared" si="102"/>
        <v>-0.16126706637674459</v>
      </c>
      <c r="AM14" s="2769">
        <f t="shared" si="103"/>
        <v>-0.16126706637674459</v>
      </c>
      <c r="AN14" s="2769">
        <f t="shared" si="104"/>
        <v>0</v>
      </c>
      <c r="AO14" s="2767">
        <f t="shared" si="105"/>
        <v>9.0967813554589156</v>
      </c>
      <c r="AP14" s="2767">
        <f t="shared" si="106"/>
        <v>9.0967813554589156</v>
      </c>
      <c r="AQ14" s="2767">
        <f t="shared" si="107"/>
        <v>0</v>
      </c>
      <c r="AR14" s="2767">
        <f t="shared" si="38"/>
        <v>7.4618869999999999</v>
      </c>
      <c r="AS14" s="2913">
        <f>SUM('ПОЛНАЯ СЕБЕСТОИМОСТЬ СТОКИ 2023'!U14)</f>
        <v>7.4618869999999999</v>
      </c>
      <c r="AT14" s="2913">
        <f>SUM('ПОЛНАЯ СЕБЕСТОИМОСТЬ СТОКИ 2023'!V14)</f>
        <v>0</v>
      </c>
      <c r="AU14" s="2768">
        <f t="shared" si="39"/>
        <v>7.2422000000000004</v>
      </c>
      <c r="AV14" s="3856">
        <v>7.2422000000000004</v>
      </c>
      <c r="AW14" s="3856">
        <v>0</v>
      </c>
      <c r="AX14" s="2767">
        <f t="shared" si="108"/>
        <v>9.0967813554589156</v>
      </c>
      <c r="AY14" s="2767">
        <f t="shared" si="109"/>
        <v>9.0967813554589156</v>
      </c>
      <c r="AZ14" s="2767">
        <f t="shared" si="110"/>
        <v>0</v>
      </c>
      <c r="BA14" s="2767">
        <f t="shared" si="40"/>
        <v>6.4517470000000001</v>
      </c>
      <c r="BB14" s="2913">
        <f>SUM('ПОЛНАЯ СЕБЕСТОИМОСТЬ СТОКИ 2023'!X14)</f>
        <v>6.4517470000000001</v>
      </c>
      <c r="BC14" s="2913">
        <f>SUM('ПОЛНАЯ СЕБЕСТОИМОСТЬ СТОКИ 2023'!Y14)</f>
        <v>0</v>
      </c>
      <c r="BD14" s="2768">
        <f t="shared" si="41"/>
        <v>6.9569999999999999</v>
      </c>
      <c r="BE14" s="3856">
        <v>6.9569999999999999</v>
      </c>
      <c r="BF14" s="3856">
        <v>0</v>
      </c>
      <c r="BG14" s="2767">
        <f t="shared" si="111"/>
        <v>9.0967813554589156</v>
      </c>
      <c r="BH14" s="2767">
        <f t="shared" si="112"/>
        <v>9.0967813554589156</v>
      </c>
      <c r="BI14" s="2767">
        <f t="shared" si="113"/>
        <v>0</v>
      </c>
      <c r="BJ14" s="2767">
        <f t="shared" si="42"/>
        <v>7.5663410000000004</v>
      </c>
      <c r="BK14" s="2913">
        <f>SUM('ПОЛНАЯ СЕБЕСТОИМОСТЬ СТОКИ 2023'!AA14)</f>
        <v>7.5663410000000004</v>
      </c>
      <c r="BL14" s="2913">
        <f>SUM('ПОЛНАЯ СЕБЕСТОИМОСТЬ СТОКИ 2023'!AB14)</f>
        <v>0</v>
      </c>
      <c r="BM14" s="2768">
        <f t="shared" si="43"/>
        <v>6.8979999999999997</v>
      </c>
      <c r="BN14" s="3856">
        <v>6.8979999999999997</v>
      </c>
      <c r="BO14" s="3856">
        <v>0</v>
      </c>
      <c r="BP14" s="2769">
        <f t="shared" si="114"/>
        <v>27.290344066376747</v>
      </c>
      <c r="BQ14" s="2769">
        <f t="shared" si="115"/>
        <v>27.290344066376747</v>
      </c>
      <c r="BR14" s="2769">
        <f t="shared" si="116"/>
        <v>0</v>
      </c>
      <c r="BS14" s="2769">
        <f t="shared" si="117"/>
        <v>21.479975</v>
      </c>
      <c r="BT14" s="2769">
        <f t="shared" si="118"/>
        <v>21.479975</v>
      </c>
      <c r="BU14" s="2769">
        <f t="shared" si="119"/>
        <v>0</v>
      </c>
      <c r="BV14" s="2807">
        <f t="shared" si="120"/>
        <v>21.097200000000001</v>
      </c>
      <c r="BW14" s="2769">
        <f t="shared" si="121"/>
        <v>21.097200000000001</v>
      </c>
      <c r="BX14" s="2769">
        <f t="shared" si="122"/>
        <v>0</v>
      </c>
      <c r="BY14" s="2769">
        <f t="shared" si="123"/>
        <v>-5.8103690663767473</v>
      </c>
      <c r="BZ14" s="2769">
        <f t="shared" si="124"/>
        <v>-5.8103690663767473</v>
      </c>
      <c r="CA14" s="2769">
        <f t="shared" si="125"/>
        <v>0</v>
      </c>
      <c r="CB14" s="2769">
        <f t="shared" si="126"/>
        <v>54.580688132753494</v>
      </c>
      <c r="CC14" s="2769">
        <f t="shared" si="127"/>
        <v>54.580688132753494</v>
      </c>
      <c r="CD14" s="2769">
        <f t="shared" si="128"/>
        <v>0</v>
      </c>
      <c r="CE14" s="2769">
        <f t="shared" si="129"/>
        <v>48.609052000000005</v>
      </c>
      <c r="CF14" s="2769">
        <f t="shared" si="130"/>
        <v>48.609052000000005</v>
      </c>
      <c r="CG14" s="2769">
        <f t="shared" si="131"/>
        <v>0</v>
      </c>
      <c r="CH14" s="2807">
        <f t="shared" si="132"/>
        <v>46.390700000000002</v>
      </c>
      <c r="CI14" s="2807">
        <f t="shared" si="133"/>
        <v>46.390700000000002</v>
      </c>
      <c r="CJ14" s="2807">
        <f t="shared" si="134"/>
        <v>0</v>
      </c>
      <c r="CK14" s="2769">
        <f t="shared" si="135"/>
        <v>-5.9716361327534884</v>
      </c>
      <c r="CL14" s="2808">
        <f t="shared" si="136"/>
        <v>-5.9716361327534884</v>
      </c>
      <c r="CM14" s="2808">
        <f t="shared" si="137"/>
        <v>0</v>
      </c>
      <c r="CN14" s="2767">
        <f t="shared" si="138"/>
        <v>9.0967813554589156</v>
      </c>
      <c r="CO14" s="2767">
        <f t="shared" si="139"/>
        <v>9.0967813554589156</v>
      </c>
      <c r="CP14" s="2767">
        <f t="shared" si="140"/>
        <v>0</v>
      </c>
      <c r="CQ14" s="2767">
        <f t="shared" si="53"/>
        <v>7.3152470000000003</v>
      </c>
      <c r="CR14" s="2913">
        <f>SUM('ПОЛНАЯ СЕБЕСТОИМОСТЬ СТОКИ 2023'!AS14)</f>
        <v>7.3152470000000003</v>
      </c>
      <c r="CS14" s="2913">
        <f>SUM('ПОЛНАЯ СЕБЕСТОИМОСТЬ СТОКИ 2023'!AT14)</f>
        <v>0</v>
      </c>
      <c r="CT14" s="2768">
        <f t="shared" si="54"/>
        <v>6.7370000000000001</v>
      </c>
      <c r="CU14" s="3856">
        <v>6.7370000000000001</v>
      </c>
      <c r="CV14" s="3856">
        <v>0</v>
      </c>
      <c r="CW14" s="2767">
        <f t="shared" si="141"/>
        <v>9.0967813554589156</v>
      </c>
      <c r="CX14" s="2767">
        <f t="shared" si="142"/>
        <v>9.0967813554589156</v>
      </c>
      <c r="CY14" s="2767">
        <f t="shared" si="143"/>
        <v>0</v>
      </c>
      <c r="CZ14" s="2767">
        <f t="shared" si="55"/>
        <v>0</v>
      </c>
      <c r="DA14" s="2913">
        <f>SUM('ПОЛНАЯ СЕБЕСТОИМОСТЬ СТОКИ 2023'!AV14)</f>
        <v>0</v>
      </c>
      <c r="DB14" s="2913">
        <f>SUM('ПОЛНАЯ СЕБЕСТОИМОСТЬ СТОКИ 2023'!AW14)</f>
        <v>0</v>
      </c>
      <c r="DC14" s="2768">
        <f t="shared" si="56"/>
        <v>5.81</v>
      </c>
      <c r="DD14" s="3856">
        <v>5.81</v>
      </c>
      <c r="DE14" s="3856">
        <v>0</v>
      </c>
      <c r="DF14" s="2767">
        <f t="shared" si="144"/>
        <v>9.0967813554589156</v>
      </c>
      <c r="DG14" s="2767">
        <f t="shared" si="145"/>
        <v>9.0967813554589156</v>
      </c>
      <c r="DH14" s="2767">
        <f t="shared" si="146"/>
        <v>0</v>
      </c>
      <c r="DI14" s="2767">
        <f t="shared" si="57"/>
        <v>0</v>
      </c>
      <c r="DJ14" s="2913">
        <f>SUM('ПОЛНАЯ СЕБЕСТОИМОСТЬ СТОКИ 2023'!AY14)</f>
        <v>0</v>
      </c>
      <c r="DK14" s="2913">
        <f>SUM('ПОЛНАЯ СЕБЕСТОИМОСТЬ СТОКИ 2023'!AZ14)</f>
        <v>0</v>
      </c>
      <c r="DL14" s="2768">
        <f t="shared" si="58"/>
        <v>9.128266</v>
      </c>
      <c r="DM14" s="3856">
        <v>9.128266</v>
      </c>
      <c r="DN14" s="3856">
        <v>0</v>
      </c>
      <c r="DO14" s="2769">
        <f t="shared" si="147"/>
        <v>27.290344066376747</v>
      </c>
      <c r="DP14" s="2769">
        <f t="shared" si="148"/>
        <v>27.290344066376747</v>
      </c>
      <c r="DQ14" s="2769">
        <f t="shared" si="149"/>
        <v>0</v>
      </c>
      <c r="DR14" s="2769">
        <f t="shared" si="150"/>
        <v>7.3152470000000003</v>
      </c>
      <c r="DS14" s="2769">
        <f t="shared" si="151"/>
        <v>7.3152470000000003</v>
      </c>
      <c r="DT14" s="2769">
        <f t="shared" si="152"/>
        <v>0</v>
      </c>
      <c r="DU14" s="2807">
        <f t="shared" si="153"/>
        <v>21.675266000000001</v>
      </c>
      <c r="DV14" s="2769">
        <f t="shared" si="154"/>
        <v>21.675266000000001</v>
      </c>
      <c r="DW14" s="2769">
        <f t="shared" si="155"/>
        <v>0</v>
      </c>
      <c r="DX14" s="2769">
        <f t="shared" si="156"/>
        <v>-19.975097066376748</v>
      </c>
      <c r="DY14" s="2808">
        <f t="shared" si="157"/>
        <v>-19.975097066376748</v>
      </c>
      <c r="DZ14" s="2808">
        <f t="shared" si="158"/>
        <v>0</v>
      </c>
      <c r="EA14" s="2769">
        <f t="shared" si="159"/>
        <v>81.871032199130241</v>
      </c>
      <c r="EB14" s="2769">
        <f t="shared" si="160"/>
        <v>81.871032199130241</v>
      </c>
      <c r="EC14" s="2769">
        <f t="shared" si="161"/>
        <v>0</v>
      </c>
      <c r="ED14" s="2769">
        <f t="shared" si="162"/>
        <v>55.924299000000005</v>
      </c>
      <c r="EE14" s="2769">
        <f t="shared" si="163"/>
        <v>55.924299000000005</v>
      </c>
      <c r="EF14" s="2769">
        <f t="shared" si="164"/>
        <v>0</v>
      </c>
      <c r="EG14" s="2769">
        <f t="shared" si="165"/>
        <v>68.065966000000003</v>
      </c>
      <c r="EH14" s="2769">
        <f t="shared" si="166"/>
        <v>68.065966000000003</v>
      </c>
      <c r="EI14" s="2769">
        <f t="shared" si="167"/>
        <v>0</v>
      </c>
      <c r="EJ14" s="2769">
        <f t="shared" si="168"/>
        <v>-25.946733199130236</v>
      </c>
      <c r="EK14" s="2808">
        <f t="shared" si="169"/>
        <v>-25.946733199130236</v>
      </c>
      <c r="EL14" s="2808">
        <f t="shared" si="170"/>
        <v>0</v>
      </c>
      <c r="EM14" s="2767">
        <f t="shared" si="171"/>
        <v>9.0967813554589156</v>
      </c>
      <c r="EN14" s="2767">
        <f t="shared" si="172"/>
        <v>9.0967813554589156</v>
      </c>
      <c r="EO14" s="2767">
        <f t="shared" si="173"/>
        <v>0</v>
      </c>
      <c r="EP14" s="2767">
        <f t="shared" si="68"/>
        <v>0</v>
      </c>
      <c r="EQ14" s="2913">
        <f>SUM('ПОЛНАЯ СЕБЕСТОИМОСТЬ СТОКИ 2023'!BQ14)</f>
        <v>0</v>
      </c>
      <c r="ER14" s="2913">
        <f>SUM('ПОЛНАЯ СЕБЕСТОИМОСТЬ СТОКИ 2023'!BR14)</f>
        <v>0</v>
      </c>
      <c r="ES14" s="2768">
        <f t="shared" si="69"/>
        <v>10.327999999999999</v>
      </c>
      <c r="ET14" s="3856">
        <v>10.327999999999999</v>
      </c>
      <c r="EU14" s="3856">
        <v>0</v>
      </c>
      <c r="EV14" s="2767">
        <f t="shared" si="174"/>
        <v>9.0967813554589156</v>
      </c>
      <c r="EW14" s="2767">
        <f t="shared" si="175"/>
        <v>9.0967813554589156</v>
      </c>
      <c r="EX14" s="2767">
        <f t="shared" si="176"/>
        <v>0</v>
      </c>
      <c r="EY14" s="2767">
        <f t="shared" si="70"/>
        <v>0</v>
      </c>
      <c r="EZ14" s="2913">
        <f>SUM('ПОЛНАЯ СЕБЕСТОИМОСТЬ СТОКИ 2023'!BT14)</f>
        <v>0</v>
      </c>
      <c r="FA14" s="2913">
        <f>SUM('ПОЛНАЯ СЕБЕСТОИМОСТЬ СТОКИ 2023'!BU14)</f>
        <v>0</v>
      </c>
      <c r="FB14" s="2767">
        <f t="shared" si="71"/>
        <v>10.195747000000001</v>
      </c>
      <c r="FC14" s="3856">
        <v>10.195747000000001</v>
      </c>
      <c r="FD14" s="3856">
        <v>0</v>
      </c>
      <c r="FE14" s="2767">
        <f t="shared" si="177"/>
        <v>9.0967813554589156</v>
      </c>
      <c r="FF14" s="2767">
        <f t="shared" si="178"/>
        <v>9.0967813554589156</v>
      </c>
      <c r="FG14" s="2767">
        <f t="shared" si="179"/>
        <v>0</v>
      </c>
      <c r="FH14" s="2767">
        <f t="shared" si="72"/>
        <v>0</v>
      </c>
      <c r="FI14" s="2913">
        <f>SUM('ПОЛНАЯ СЕБЕСТОИМОСТЬ СТОКИ 2023'!BW14)</f>
        <v>0</v>
      </c>
      <c r="FJ14" s="2913">
        <f>SUM('ПОЛНАЯ СЕБЕСТОИМОСТЬ СТОКИ 2023'!BX14)</f>
        <v>0</v>
      </c>
      <c r="FK14" s="2767">
        <f t="shared" si="73"/>
        <v>9.8559999999999999</v>
      </c>
      <c r="FL14" s="2906">
        <v>9.8559999999999999</v>
      </c>
      <c r="FM14" s="2906">
        <v>0</v>
      </c>
      <c r="FN14" s="2769">
        <f t="shared" si="180"/>
        <v>27.290344066376747</v>
      </c>
      <c r="FO14" s="2769">
        <f t="shared" si="181"/>
        <v>27.290344066376747</v>
      </c>
      <c r="FP14" s="2769">
        <f t="shared" si="182"/>
        <v>0</v>
      </c>
      <c r="FQ14" s="2769">
        <f t="shared" si="183"/>
        <v>0</v>
      </c>
      <c r="FR14" s="2769">
        <f t="shared" si="184"/>
        <v>0</v>
      </c>
      <c r="FS14" s="2769">
        <f t="shared" si="185"/>
        <v>0</v>
      </c>
      <c r="FT14" s="2807">
        <f t="shared" si="186"/>
        <v>30.379747000000002</v>
      </c>
      <c r="FU14" s="2807">
        <f t="shared" si="187"/>
        <v>30.379747000000002</v>
      </c>
      <c r="FV14" s="2807">
        <f t="shared" si="188"/>
        <v>0</v>
      </c>
      <c r="FW14" s="2769">
        <f t="shared" si="189"/>
        <v>-27.290344066376747</v>
      </c>
      <c r="FX14" s="2808">
        <f t="shared" si="190"/>
        <v>-27.290344066376747</v>
      </c>
      <c r="FY14" s="2808">
        <f t="shared" si="191"/>
        <v>0</v>
      </c>
      <c r="FZ14" s="2769">
        <f t="shared" si="79"/>
        <v>109.16137626550699</v>
      </c>
      <c r="GA14" s="2769">
        <f>SUM('ПОЛНАЯ СЕБЕСТОИМОСТЬ СТОКИ 2023'!CC14)</f>
        <v>109.16137626550699</v>
      </c>
      <c r="GB14" s="2769">
        <v>0</v>
      </c>
      <c r="GC14" s="2769">
        <f t="shared" si="192"/>
        <v>55.924299000000005</v>
      </c>
      <c r="GD14" s="2807">
        <f t="shared" si="193"/>
        <v>55.924299000000005</v>
      </c>
      <c r="GE14" s="2807">
        <f t="shared" si="194"/>
        <v>0</v>
      </c>
      <c r="GF14" s="2807">
        <f t="shared" si="195"/>
        <v>98.445713000000012</v>
      </c>
      <c r="GG14" s="2807">
        <f t="shared" si="196"/>
        <v>98.445713000000012</v>
      </c>
      <c r="GH14" s="2807">
        <f t="shared" si="197"/>
        <v>0</v>
      </c>
      <c r="GI14" s="2769">
        <f t="shared" si="198"/>
        <v>-53.237077265506983</v>
      </c>
      <c r="GJ14" s="2808">
        <f t="shared" si="199"/>
        <v>-53.237077265506983</v>
      </c>
      <c r="GK14" s="2808">
        <f t="shared" si="200"/>
        <v>0</v>
      </c>
      <c r="GM14" s="3576">
        <f t="shared" si="82"/>
        <v>109.16137626550699</v>
      </c>
    </row>
    <row r="15" spans="1:195" ht="18.75" customHeight="1" x14ac:dyDescent="0.3">
      <c r="A15" s="2912" t="s">
        <v>3645</v>
      </c>
      <c r="B15" s="2767">
        <f t="shared" si="201"/>
        <v>7.0642580008332168</v>
      </c>
      <c r="C15" s="2767">
        <f t="shared" si="202"/>
        <v>7.0642580008332168</v>
      </c>
      <c r="D15" s="2767">
        <f t="shared" si="203"/>
        <v>0</v>
      </c>
      <c r="E15" s="2767">
        <f t="shared" si="26"/>
        <v>7.6390000000000002</v>
      </c>
      <c r="F15" s="2913">
        <f>SUM('ПОЛНАЯ СЕБЕСТОИМОСТЬ СТОКИ 2023'!F15)</f>
        <v>7.6390000000000002</v>
      </c>
      <c r="G15" s="2913">
        <f>SUM('ПОЛНАЯ СЕБЕСТОИМОСТЬ СТОКИ 2023'!G15)</f>
        <v>0</v>
      </c>
      <c r="H15" s="2768">
        <f t="shared" si="27"/>
        <v>8.9429999999999996</v>
      </c>
      <c r="I15" s="3856">
        <v>8.9429999999999996</v>
      </c>
      <c r="J15" s="3856">
        <v>0</v>
      </c>
      <c r="K15" s="2767">
        <f t="shared" si="87"/>
        <v>7.0642580008332168</v>
      </c>
      <c r="L15" s="2767">
        <f t="shared" si="88"/>
        <v>7.0642580008332168</v>
      </c>
      <c r="M15" s="2767">
        <f t="shared" si="89"/>
        <v>0</v>
      </c>
      <c r="N15" s="2767">
        <f t="shared" si="28"/>
        <v>7.2450799999999997</v>
      </c>
      <c r="O15" s="2913">
        <f>SUM('ПОЛНАЯ СЕБЕСТОИМОСТЬ СТОКИ 2023'!I15)</f>
        <v>7.2450799999999997</v>
      </c>
      <c r="P15" s="2913">
        <f>SUM('ПОЛНАЯ СЕБЕСТОИМОСТЬ СТОКИ 2023'!J15)</f>
        <v>0</v>
      </c>
      <c r="Q15" s="2768">
        <f t="shared" si="29"/>
        <v>9.0640000000000001</v>
      </c>
      <c r="R15" s="3856">
        <v>9.0640000000000001</v>
      </c>
      <c r="S15" s="3856">
        <v>0</v>
      </c>
      <c r="T15" s="2767">
        <f t="shared" si="90"/>
        <v>7.0642580008332168</v>
      </c>
      <c r="U15" s="2767">
        <f t="shared" si="91"/>
        <v>7.0642580008332168</v>
      </c>
      <c r="V15" s="2767">
        <f t="shared" si="92"/>
        <v>0</v>
      </c>
      <c r="W15" s="2767">
        <f t="shared" si="30"/>
        <v>6.821091</v>
      </c>
      <c r="X15" s="2913">
        <f>SUM('ПОЛНАЯ СЕБЕСТОИМОСТЬ СТОКИ 2023'!L15)</f>
        <v>6.821091</v>
      </c>
      <c r="Y15" s="2913">
        <f>SUM('ПОЛНАЯ СЕБЕСТОИМОСТЬ СТОКИ 2023'!M15)</f>
        <v>0</v>
      </c>
      <c r="Z15" s="2768">
        <f t="shared" si="31"/>
        <v>8.6229999999999993</v>
      </c>
      <c r="AA15" s="3856">
        <v>8.6229999999999993</v>
      </c>
      <c r="AB15" s="3856">
        <v>0</v>
      </c>
      <c r="AC15" s="2769">
        <f t="shared" si="93"/>
        <v>21.19277400249965</v>
      </c>
      <c r="AD15" s="2769">
        <f t="shared" si="94"/>
        <v>21.19277400249965</v>
      </c>
      <c r="AE15" s="2769">
        <f t="shared" si="95"/>
        <v>0</v>
      </c>
      <c r="AF15" s="2769">
        <f t="shared" si="96"/>
        <v>21.705171</v>
      </c>
      <c r="AG15" s="2769">
        <f t="shared" si="97"/>
        <v>21.705171</v>
      </c>
      <c r="AH15" s="2769">
        <f t="shared" si="98"/>
        <v>0</v>
      </c>
      <c r="AI15" s="2807">
        <f t="shared" si="99"/>
        <v>26.629999999999995</v>
      </c>
      <c r="AJ15" s="2807">
        <f t="shared" si="100"/>
        <v>26.629999999999995</v>
      </c>
      <c r="AK15" s="2807">
        <f t="shared" si="101"/>
        <v>0</v>
      </c>
      <c r="AL15" s="2769">
        <f t="shared" si="102"/>
        <v>0.51239699750034973</v>
      </c>
      <c r="AM15" s="2769">
        <f t="shared" si="103"/>
        <v>0.51239699750034973</v>
      </c>
      <c r="AN15" s="2769">
        <f t="shared" si="104"/>
        <v>0</v>
      </c>
      <c r="AO15" s="2767">
        <f t="shared" si="105"/>
        <v>7.0642580008332168</v>
      </c>
      <c r="AP15" s="2767">
        <f t="shared" si="106"/>
        <v>7.0642580008332168</v>
      </c>
      <c r="AQ15" s="2767">
        <f t="shared" si="107"/>
        <v>0</v>
      </c>
      <c r="AR15" s="2767">
        <f t="shared" si="38"/>
        <v>7.8571350000000004</v>
      </c>
      <c r="AS15" s="2913">
        <f>SUM('ПОЛНАЯ СЕБЕСТОИМОСТЬ СТОКИ 2023'!U15)</f>
        <v>7.8571350000000004</v>
      </c>
      <c r="AT15" s="2913">
        <f>SUM('ПОЛНАЯ СЕБЕСТОИМОСТЬ СТОКИ 2023'!V15)</f>
        <v>0</v>
      </c>
      <c r="AU15" s="2768">
        <f t="shared" si="39"/>
        <v>8.5980000000000008</v>
      </c>
      <c r="AV15" s="3856">
        <v>8.5980000000000008</v>
      </c>
      <c r="AW15" s="3856">
        <v>0</v>
      </c>
      <c r="AX15" s="2767">
        <f t="shared" si="108"/>
        <v>7.0642580008332168</v>
      </c>
      <c r="AY15" s="2767">
        <f t="shared" si="109"/>
        <v>7.0642580008332168</v>
      </c>
      <c r="AZ15" s="2767">
        <f t="shared" si="110"/>
        <v>0</v>
      </c>
      <c r="BA15" s="2767">
        <f t="shared" si="40"/>
        <v>7.3830030000000004</v>
      </c>
      <c r="BB15" s="2913">
        <f>SUM('ПОЛНАЯ СЕБЕСТОИМОСТЬ СТОКИ 2023'!X15)</f>
        <v>7.3830030000000004</v>
      </c>
      <c r="BC15" s="2913">
        <f>SUM('ПОЛНАЯ СЕБЕСТОИМОСТЬ СТОКИ 2023'!Y15)</f>
        <v>0</v>
      </c>
      <c r="BD15" s="2768">
        <f t="shared" si="41"/>
        <v>8.6140000000000008</v>
      </c>
      <c r="BE15" s="3856">
        <v>8.6140000000000008</v>
      </c>
      <c r="BF15" s="3856">
        <v>0</v>
      </c>
      <c r="BG15" s="2767">
        <f t="shared" si="111"/>
        <v>7.0642580008332168</v>
      </c>
      <c r="BH15" s="2767">
        <f t="shared" si="112"/>
        <v>7.0642580008332168</v>
      </c>
      <c r="BI15" s="2767">
        <f t="shared" si="113"/>
        <v>0</v>
      </c>
      <c r="BJ15" s="2767">
        <f t="shared" si="42"/>
        <v>7.4423180000000002</v>
      </c>
      <c r="BK15" s="2913">
        <f>SUM('ПОЛНАЯ СЕБЕСТОИМОСТЬ СТОКИ 2023'!AA15)</f>
        <v>7.4423180000000002</v>
      </c>
      <c r="BL15" s="2913">
        <f>SUM('ПОЛНАЯ СЕБЕСТОИМОСТЬ СТОКИ 2023'!AB15)</f>
        <v>0</v>
      </c>
      <c r="BM15" s="2768">
        <f t="shared" si="43"/>
        <v>9.0630000000000006</v>
      </c>
      <c r="BN15" s="3856">
        <v>9.0630000000000006</v>
      </c>
      <c r="BO15" s="3856">
        <v>0</v>
      </c>
      <c r="BP15" s="2769">
        <f t="shared" si="114"/>
        <v>21.19277400249965</v>
      </c>
      <c r="BQ15" s="2769">
        <f t="shared" si="115"/>
        <v>21.19277400249965</v>
      </c>
      <c r="BR15" s="2769">
        <f t="shared" si="116"/>
        <v>0</v>
      </c>
      <c r="BS15" s="2769">
        <f t="shared" si="117"/>
        <v>22.682456000000002</v>
      </c>
      <c r="BT15" s="2769">
        <f t="shared" si="118"/>
        <v>22.682456000000002</v>
      </c>
      <c r="BU15" s="2769">
        <f t="shared" si="119"/>
        <v>0</v>
      </c>
      <c r="BV15" s="2807">
        <f t="shared" si="120"/>
        <v>26.275000000000006</v>
      </c>
      <c r="BW15" s="2769">
        <f t="shared" si="121"/>
        <v>26.275000000000006</v>
      </c>
      <c r="BX15" s="2769">
        <f t="shared" si="122"/>
        <v>0</v>
      </c>
      <c r="BY15" s="2769">
        <f t="shared" si="123"/>
        <v>1.4896819975003517</v>
      </c>
      <c r="BZ15" s="2769">
        <f t="shared" si="124"/>
        <v>1.4896819975003517</v>
      </c>
      <c r="CA15" s="2769">
        <f t="shared" si="125"/>
        <v>0</v>
      </c>
      <c r="CB15" s="2769">
        <f t="shared" si="126"/>
        <v>42.385548004999301</v>
      </c>
      <c r="CC15" s="2769">
        <f t="shared" si="127"/>
        <v>42.385548004999301</v>
      </c>
      <c r="CD15" s="2769">
        <f t="shared" si="128"/>
        <v>0</v>
      </c>
      <c r="CE15" s="2769">
        <f t="shared" si="129"/>
        <v>44.387627000000002</v>
      </c>
      <c r="CF15" s="2769">
        <f t="shared" si="130"/>
        <v>44.387627000000002</v>
      </c>
      <c r="CG15" s="2769">
        <f t="shared" si="131"/>
        <v>0</v>
      </c>
      <c r="CH15" s="2807">
        <f t="shared" si="132"/>
        <v>52.905000000000001</v>
      </c>
      <c r="CI15" s="2807">
        <f t="shared" si="133"/>
        <v>52.905000000000001</v>
      </c>
      <c r="CJ15" s="2807">
        <f t="shared" si="134"/>
        <v>0</v>
      </c>
      <c r="CK15" s="2769">
        <f t="shared" si="135"/>
        <v>2.0020789950007014</v>
      </c>
      <c r="CL15" s="2808">
        <f t="shared" si="136"/>
        <v>2.0020789950007014</v>
      </c>
      <c r="CM15" s="2808">
        <f t="shared" si="137"/>
        <v>0</v>
      </c>
      <c r="CN15" s="2767">
        <f t="shared" si="138"/>
        <v>7.0642580008332168</v>
      </c>
      <c r="CO15" s="2767">
        <f t="shared" si="139"/>
        <v>7.0642580008332168</v>
      </c>
      <c r="CP15" s="2767">
        <f t="shared" si="140"/>
        <v>0</v>
      </c>
      <c r="CQ15" s="2767">
        <f t="shared" si="53"/>
        <v>5.26938</v>
      </c>
      <c r="CR15" s="2913">
        <f>SUM('ПОЛНАЯ СЕБЕСТОИМОСТЬ СТОКИ 2023'!AS15)</f>
        <v>5.26938</v>
      </c>
      <c r="CS15" s="2913">
        <f>SUM('ПОЛНАЯ СЕБЕСТОИМОСТЬ СТОКИ 2023'!AT15)</f>
        <v>0</v>
      </c>
      <c r="CT15" s="2768">
        <f t="shared" si="54"/>
        <v>8.7949999999999999</v>
      </c>
      <c r="CU15" s="3856">
        <v>8.7949999999999999</v>
      </c>
      <c r="CV15" s="3856">
        <v>0</v>
      </c>
      <c r="CW15" s="2767">
        <f t="shared" si="141"/>
        <v>7.0642580008332168</v>
      </c>
      <c r="CX15" s="2767">
        <f t="shared" si="142"/>
        <v>7.0642580008332168</v>
      </c>
      <c r="CY15" s="2767">
        <f t="shared" si="143"/>
        <v>0</v>
      </c>
      <c r="CZ15" s="2767">
        <f t="shared" si="55"/>
        <v>0</v>
      </c>
      <c r="DA15" s="2913">
        <f>SUM('ПОЛНАЯ СЕБЕСТОИМОСТЬ СТОКИ 2023'!AV15)</f>
        <v>0</v>
      </c>
      <c r="DB15" s="2913">
        <f>SUM('ПОЛНАЯ СЕБЕСТОИМОСТЬ СТОКИ 2023'!AW15)</f>
        <v>0</v>
      </c>
      <c r="DC15" s="2768">
        <f t="shared" si="56"/>
        <v>9.8879999999999999</v>
      </c>
      <c r="DD15" s="3856">
        <v>9.8879999999999999</v>
      </c>
      <c r="DE15" s="3856">
        <v>0</v>
      </c>
      <c r="DF15" s="2767">
        <f t="shared" si="144"/>
        <v>7.0642580008332168</v>
      </c>
      <c r="DG15" s="2767">
        <f t="shared" si="145"/>
        <v>7.0642580008332168</v>
      </c>
      <c r="DH15" s="2767">
        <f t="shared" si="146"/>
        <v>0</v>
      </c>
      <c r="DI15" s="2767">
        <f t="shared" si="57"/>
        <v>0</v>
      </c>
      <c r="DJ15" s="2913">
        <f>SUM('ПОЛНАЯ СЕБЕСТОИМОСТЬ СТОКИ 2023'!AY15)</f>
        <v>0</v>
      </c>
      <c r="DK15" s="2913">
        <f>SUM('ПОЛНАЯ СЕБЕСТОИМОСТЬ СТОКИ 2023'!AZ15)</f>
        <v>0</v>
      </c>
      <c r="DL15" s="2768">
        <f t="shared" si="58"/>
        <v>9.1778919999999999</v>
      </c>
      <c r="DM15" s="3856">
        <v>9.1778919999999999</v>
      </c>
      <c r="DN15" s="3856">
        <v>0</v>
      </c>
      <c r="DO15" s="2769">
        <f t="shared" si="147"/>
        <v>21.19277400249965</v>
      </c>
      <c r="DP15" s="2769">
        <f t="shared" si="148"/>
        <v>21.19277400249965</v>
      </c>
      <c r="DQ15" s="2769">
        <f t="shared" si="149"/>
        <v>0</v>
      </c>
      <c r="DR15" s="2769">
        <f t="shared" si="150"/>
        <v>5.26938</v>
      </c>
      <c r="DS15" s="2769">
        <f t="shared" si="151"/>
        <v>5.26938</v>
      </c>
      <c r="DT15" s="2769">
        <f t="shared" si="152"/>
        <v>0</v>
      </c>
      <c r="DU15" s="2807">
        <f t="shared" si="153"/>
        <v>27.860892</v>
      </c>
      <c r="DV15" s="2769">
        <f t="shared" si="154"/>
        <v>27.860892</v>
      </c>
      <c r="DW15" s="2769">
        <f t="shared" si="155"/>
        <v>0</v>
      </c>
      <c r="DX15" s="2769">
        <f t="shared" si="156"/>
        <v>-15.92339400249965</v>
      </c>
      <c r="DY15" s="2808">
        <f t="shared" si="157"/>
        <v>-15.92339400249965</v>
      </c>
      <c r="DZ15" s="2808">
        <f t="shared" si="158"/>
        <v>0</v>
      </c>
      <c r="EA15" s="2769">
        <f t="shared" si="159"/>
        <v>63.578322007498954</v>
      </c>
      <c r="EB15" s="2769">
        <f t="shared" si="160"/>
        <v>63.578322007498954</v>
      </c>
      <c r="EC15" s="2769">
        <f t="shared" si="161"/>
        <v>0</v>
      </c>
      <c r="ED15" s="2769">
        <f t="shared" si="162"/>
        <v>49.657007</v>
      </c>
      <c r="EE15" s="2769">
        <f t="shared" si="163"/>
        <v>49.657007</v>
      </c>
      <c r="EF15" s="2769">
        <f t="shared" si="164"/>
        <v>0</v>
      </c>
      <c r="EG15" s="2769">
        <f t="shared" si="165"/>
        <v>80.765892000000008</v>
      </c>
      <c r="EH15" s="2769">
        <f t="shared" si="166"/>
        <v>80.765892000000008</v>
      </c>
      <c r="EI15" s="2769">
        <f t="shared" si="167"/>
        <v>0</v>
      </c>
      <c r="EJ15" s="2769">
        <f t="shared" si="168"/>
        <v>-13.921315007498954</v>
      </c>
      <c r="EK15" s="2808">
        <f t="shared" si="169"/>
        <v>-13.921315007498954</v>
      </c>
      <c r="EL15" s="2808">
        <f t="shared" si="170"/>
        <v>0</v>
      </c>
      <c r="EM15" s="2767">
        <f t="shared" si="171"/>
        <v>7.0642580008332168</v>
      </c>
      <c r="EN15" s="2767">
        <f t="shared" si="172"/>
        <v>7.0642580008332168</v>
      </c>
      <c r="EO15" s="2767">
        <f t="shared" si="173"/>
        <v>0</v>
      </c>
      <c r="EP15" s="2767">
        <f t="shared" si="68"/>
        <v>0</v>
      </c>
      <c r="EQ15" s="2913">
        <f>SUM('ПОЛНАЯ СЕБЕСТОИМОСТЬ СТОКИ 2023'!BQ15)</f>
        <v>0</v>
      </c>
      <c r="ER15" s="2913">
        <f>SUM('ПОЛНАЯ СЕБЕСТОИМОСТЬ СТОКИ 2023'!BR15)</f>
        <v>0</v>
      </c>
      <c r="ES15" s="2768">
        <f t="shared" si="69"/>
        <v>8.577</v>
      </c>
      <c r="ET15" s="3856">
        <v>8.577</v>
      </c>
      <c r="EU15" s="3856">
        <v>0</v>
      </c>
      <c r="EV15" s="2767">
        <f t="shared" si="174"/>
        <v>7.0642580008332168</v>
      </c>
      <c r="EW15" s="2767">
        <f t="shared" si="175"/>
        <v>7.0642580008332168</v>
      </c>
      <c r="EX15" s="2767">
        <f t="shared" si="176"/>
        <v>0</v>
      </c>
      <c r="EY15" s="2767">
        <f t="shared" si="70"/>
        <v>0</v>
      </c>
      <c r="EZ15" s="2913">
        <f>SUM('ПОЛНАЯ СЕБЕСТОИМОСТЬ СТОКИ 2023'!BT15)</f>
        <v>0</v>
      </c>
      <c r="FA15" s="2913">
        <f>SUM('ПОЛНАЯ СЕБЕСТОИМОСТЬ СТОКИ 2023'!BU15)</f>
        <v>0</v>
      </c>
      <c r="FB15" s="2767">
        <f t="shared" si="71"/>
        <v>8.6204400000000003</v>
      </c>
      <c r="FC15" s="3856">
        <v>8.6204400000000003</v>
      </c>
      <c r="FD15" s="3856">
        <v>0</v>
      </c>
      <c r="FE15" s="2767">
        <f t="shared" si="177"/>
        <v>7.0642580008332168</v>
      </c>
      <c r="FF15" s="2767">
        <f t="shared" si="178"/>
        <v>7.0642580008332168</v>
      </c>
      <c r="FG15" s="2767">
        <f t="shared" si="179"/>
        <v>0</v>
      </c>
      <c r="FH15" s="2767">
        <f t="shared" si="72"/>
        <v>0</v>
      </c>
      <c r="FI15" s="2913">
        <f>SUM('ПОЛНАЯ СЕБЕСТОИМОСТЬ СТОКИ 2023'!BW15)</f>
        <v>0</v>
      </c>
      <c r="FJ15" s="2913">
        <f>SUM('ПОЛНАЯ СЕБЕСТОИМОСТЬ СТОКИ 2023'!BX15)</f>
        <v>0</v>
      </c>
      <c r="FK15" s="2767">
        <f t="shared" si="73"/>
        <v>7.7045810000000001</v>
      </c>
      <c r="FL15" s="2906">
        <v>7.7045810000000001</v>
      </c>
      <c r="FM15" s="2906">
        <v>0</v>
      </c>
      <c r="FN15" s="2769">
        <f t="shared" si="180"/>
        <v>21.19277400249965</v>
      </c>
      <c r="FO15" s="2769">
        <f t="shared" si="181"/>
        <v>21.19277400249965</v>
      </c>
      <c r="FP15" s="2769">
        <f t="shared" si="182"/>
        <v>0</v>
      </c>
      <c r="FQ15" s="2769">
        <f t="shared" si="183"/>
        <v>0</v>
      </c>
      <c r="FR15" s="2769">
        <f t="shared" si="184"/>
        <v>0</v>
      </c>
      <c r="FS15" s="2769">
        <f t="shared" si="185"/>
        <v>0</v>
      </c>
      <c r="FT15" s="2807">
        <f t="shared" si="186"/>
        <v>24.902021000000001</v>
      </c>
      <c r="FU15" s="2807">
        <f t="shared" si="187"/>
        <v>24.902021000000001</v>
      </c>
      <c r="FV15" s="2807">
        <f t="shared" si="188"/>
        <v>0</v>
      </c>
      <c r="FW15" s="2769">
        <f t="shared" si="189"/>
        <v>-21.19277400249965</v>
      </c>
      <c r="FX15" s="2808">
        <f t="shared" si="190"/>
        <v>-21.19277400249965</v>
      </c>
      <c r="FY15" s="2808">
        <f t="shared" si="191"/>
        <v>0</v>
      </c>
      <c r="FZ15" s="2769">
        <f t="shared" si="79"/>
        <v>84.771096009998601</v>
      </c>
      <c r="GA15" s="2769">
        <f>SUM('ПОЛНАЯ СЕБЕСТОИМОСТЬ СТОКИ 2023'!CC15)</f>
        <v>84.771096009998601</v>
      </c>
      <c r="GB15" s="2769">
        <v>0</v>
      </c>
      <c r="GC15" s="2769">
        <f t="shared" si="192"/>
        <v>49.657007</v>
      </c>
      <c r="GD15" s="2807">
        <f t="shared" si="193"/>
        <v>49.657007</v>
      </c>
      <c r="GE15" s="2807">
        <f t="shared" si="194"/>
        <v>0</v>
      </c>
      <c r="GF15" s="2807">
        <f t="shared" si="195"/>
        <v>105.66791300000001</v>
      </c>
      <c r="GG15" s="2807">
        <f t="shared" si="196"/>
        <v>105.66791300000001</v>
      </c>
      <c r="GH15" s="2807">
        <f t="shared" si="197"/>
        <v>0</v>
      </c>
      <c r="GI15" s="2769">
        <f t="shared" si="198"/>
        <v>-35.114089009998601</v>
      </c>
      <c r="GJ15" s="2808">
        <f t="shared" si="199"/>
        <v>-35.114089009998601</v>
      </c>
      <c r="GK15" s="2808">
        <f t="shared" si="200"/>
        <v>0</v>
      </c>
      <c r="GM15" s="3576">
        <f t="shared" si="82"/>
        <v>84.771096009998629</v>
      </c>
    </row>
    <row r="16" spans="1:195" ht="18.75" customHeight="1" x14ac:dyDescent="0.3">
      <c r="A16" s="2912" t="s">
        <v>3647</v>
      </c>
      <c r="B16" s="2767">
        <f t="shared" si="201"/>
        <v>8.6258308220700322</v>
      </c>
      <c r="C16" s="2767">
        <f t="shared" si="202"/>
        <v>8.6258308220700322</v>
      </c>
      <c r="D16" s="2767">
        <f t="shared" si="203"/>
        <v>0</v>
      </c>
      <c r="E16" s="2767">
        <f t="shared" si="26"/>
        <v>8.8052189999999992</v>
      </c>
      <c r="F16" s="2913">
        <f>SUM('ПОЛНАЯ СЕБЕСТОИМОСТЬ СТОКИ 2023'!F16)</f>
        <v>8.8052189999999992</v>
      </c>
      <c r="G16" s="2913">
        <f>SUM('ПОЛНАЯ СЕБЕСТОИМОСТЬ СТОКИ 2023'!G16)</f>
        <v>0</v>
      </c>
      <c r="H16" s="2768">
        <f t="shared" si="27"/>
        <v>10.486599999999999</v>
      </c>
      <c r="I16" s="3856">
        <v>10.486599999999999</v>
      </c>
      <c r="J16" s="3856">
        <v>0</v>
      </c>
      <c r="K16" s="2767">
        <f t="shared" si="87"/>
        <v>8.6258308220700322</v>
      </c>
      <c r="L16" s="2767">
        <f t="shared" si="88"/>
        <v>8.6258308220700322</v>
      </c>
      <c r="M16" s="2767">
        <f t="shared" si="89"/>
        <v>0</v>
      </c>
      <c r="N16" s="2767">
        <f t="shared" si="28"/>
        <v>10.828438</v>
      </c>
      <c r="O16" s="2913">
        <f>SUM('ПОЛНАЯ СЕБЕСТОИМОСТЬ СТОКИ 2023'!I16)</f>
        <v>10.828438</v>
      </c>
      <c r="P16" s="2913">
        <f>SUM('ПОЛНАЯ СЕБЕСТОИМОСТЬ СТОКИ 2023'!J16)</f>
        <v>0</v>
      </c>
      <c r="Q16" s="2768">
        <f t="shared" si="29"/>
        <v>10.4506</v>
      </c>
      <c r="R16" s="3856">
        <v>10.4506</v>
      </c>
      <c r="S16" s="3856">
        <v>0</v>
      </c>
      <c r="T16" s="2767">
        <f t="shared" si="90"/>
        <v>8.6258308220700322</v>
      </c>
      <c r="U16" s="2767">
        <f t="shared" si="91"/>
        <v>8.6258308220700322</v>
      </c>
      <c r="V16" s="2767">
        <f t="shared" si="92"/>
        <v>0</v>
      </c>
      <c r="W16" s="2767">
        <f t="shared" si="30"/>
        <v>9.1783549999999998</v>
      </c>
      <c r="X16" s="2913">
        <f>SUM('ПОЛНАЯ СЕБЕСТОИМОСТЬ СТОКИ 2023'!L16)</f>
        <v>9.1783549999999998</v>
      </c>
      <c r="Y16" s="2913">
        <f>SUM('ПОЛНАЯ СЕБЕСТОИМОСТЬ СТОКИ 2023'!M16)</f>
        <v>0</v>
      </c>
      <c r="Z16" s="2768">
        <f t="shared" si="31"/>
        <v>9.282</v>
      </c>
      <c r="AA16" s="3856">
        <v>9.282</v>
      </c>
      <c r="AB16" s="3856">
        <v>0</v>
      </c>
      <c r="AC16" s="2769">
        <f t="shared" si="93"/>
        <v>25.877492466210096</v>
      </c>
      <c r="AD16" s="2769">
        <f t="shared" si="94"/>
        <v>25.877492466210096</v>
      </c>
      <c r="AE16" s="2769">
        <f t="shared" si="95"/>
        <v>0</v>
      </c>
      <c r="AF16" s="2769">
        <f t="shared" si="96"/>
        <v>28.812011999999999</v>
      </c>
      <c r="AG16" s="2769">
        <f t="shared" si="97"/>
        <v>28.812011999999999</v>
      </c>
      <c r="AH16" s="2769">
        <f t="shared" si="98"/>
        <v>0</v>
      </c>
      <c r="AI16" s="2807">
        <f t="shared" si="99"/>
        <v>30.219199999999997</v>
      </c>
      <c r="AJ16" s="2807">
        <f t="shared" si="100"/>
        <v>30.219199999999997</v>
      </c>
      <c r="AK16" s="2807">
        <f t="shared" si="101"/>
        <v>0</v>
      </c>
      <c r="AL16" s="2769">
        <f t="shared" si="102"/>
        <v>2.9345195337899028</v>
      </c>
      <c r="AM16" s="2769">
        <f t="shared" si="103"/>
        <v>2.9345195337899028</v>
      </c>
      <c r="AN16" s="2769">
        <f t="shared" si="104"/>
        <v>0</v>
      </c>
      <c r="AO16" s="2767">
        <f t="shared" si="105"/>
        <v>8.6258308220700322</v>
      </c>
      <c r="AP16" s="2767">
        <f t="shared" si="106"/>
        <v>8.6258308220700322</v>
      </c>
      <c r="AQ16" s="2767">
        <f t="shared" si="107"/>
        <v>0</v>
      </c>
      <c r="AR16" s="2767">
        <f t="shared" si="38"/>
        <v>10.782166999999999</v>
      </c>
      <c r="AS16" s="2913">
        <f>SUM('ПОЛНАЯ СЕБЕСТОИМОСТЬ СТОКИ 2023'!U16)</f>
        <v>10.782166999999999</v>
      </c>
      <c r="AT16" s="2913">
        <f>SUM('ПОЛНАЯ СЕБЕСТОИМОСТЬ СТОКИ 2023'!V16)</f>
        <v>0</v>
      </c>
      <c r="AU16" s="2768">
        <f t="shared" si="39"/>
        <v>11.427</v>
      </c>
      <c r="AV16" s="3856">
        <v>11.427</v>
      </c>
      <c r="AW16" s="3856">
        <v>0</v>
      </c>
      <c r="AX16" s="2767">
        <f t="shared" si="108"/>
        <v>8.6258308220700322</v>
      </c>
      <c r="AY16" s="2767">
        <f t="shared" si="109"/>
        <v>8.6258308220700322</v>
      </c>
      <c r="AZ16" s="2767">
        <f t="shared" si="110"/>
        <v>0</v>
      </c>
      <c r="BA16" s="2767">
        <f t="shared" si="40"/>
        <v>8.3588959999999997</v>
      </c>
      <c r="BB16" s="2913">
        <f>SUM('ПОЛНАЯ СЕБЕСТОИМОСТЬ СТОКИ 2023'!X16)</f>
        <v>8.3588959999999997</v>
      </c>
      <c r="BC16" s="2913">
        <f>SUM('ПОЛНАЯ СЕБЕСТОИМОСТЬ СТОКИ 2023'!Y16)</f>
        <v>0</v>
      </c>
      <c r="BD16" s="2768">
        <f t="shared" si="41"/>
        <v>8.8979999999999997</v>
      </c>
      <c r="BE16" s="3856">
        <v>8.8979999999999997</v>
      </c>
      <c r="BF16" s="3856">
        <v>0</v>
      </c>
      <c r="BG16" s="2767">
        <f t="shared" si="111"/>
        <v>8.6258308220700322</v>
      </c>
      <c r="BH16" s="2767">
        <f t="shared" si="112"/>
        <v>8.6258308220700322</v>
      </c>
      <c r="BI16" s="2767">
        <f t="shared" si="113"/>
        <v>0</v>
      </c>
      <c r="BJ16" s="2767">
        <f t="shared" si="42"/>
        <v>6.8331670000000004</v>
      </c>
      <c r="BK16" s="2913">
        <f>SUM('ПОЛНАЯ СЕБЕСТОИМОСТЬ СТОКИ 2023'!AA16)</f>
        <v>6.8331670000000004</v>
      </c>
      <c r="BL16" s="2913">
        <f>SUM('ПОЛНАЯ СЕБЕСТОИМОСТЬ СТОКИ 2023'!AB16)</f>
        <v>0</v>
      </c>
      <c r="BM16" s="2768">
        <f t="shared" si="43"/>
        <v>7.1520000000000001</v>
      </c>
      <c r="BN16" s="3856">
        <v>7.1520000000000001</v>
      </c>
      <c r="BO16" s="3856">
        <v>0</v>
      </c>
      <c r="BP16" s="2769">
        <f t="shared" si="114"/>
        <v>25.877492466210096</v>
      </c>
      <c r="BQ16" s="2769">
        <f t="shared" si="115"/>
        <v>25.877492466210096</v>
      </c>
      <c r="BR16" s="2769">
        <f t="shared" si="116"/>
        <v>0</v>
      </c>
      <c r="BS16" s="2769">
        <f t="shared" si="117"/>
        <v>25.974229999999999</v>
      </c>
      <c r="BT16" s="2769">
        <f t="shared" si="118"/>
        <v>25.974229999999999</v>
      </c>
      <c r="BU16" s="2769">
        <f t="shared" si="119"/>
        <v>0</v>
      </c>
      <c r="BV16" s="2807">
        <f t="shared" si="120"/>
        <v>27.477</v>
      </c>
      <c r="BW16" s="2769">
        <f t="shared" si="121"/>
        <v>27.477</v>
      </c>
      <c r="BX16" s="2769">
        <f t="shared" si="122"/>
        <v>0</v>
      </c>
      <c r="BY16" s="2769">
        <f t="shared" si="123"/>
        <v>9.673753378990213E-2</v>
      </c>
      <c r="BZ16" s="2769">
        <f t="shared" si="124"/>
        <v>9.673753378990213E-2</v>
      </c>
      <c r="CA16" s="2769">
        <f t="shared" si="125"/>
        <v>0</v>
      </c>
      <c r="CB16" s="2769">
        <f t="shared" si="126"/>
        <v>51.754984932420193</v>
      </c>
      <c r="CC16" s="2769">
        <f t="shared" si="127"/>
        <v>51.754984932420193</v>
      </c>
      <c r="CD16" s="2769">
        <f t="shared" si="128"/>
        <v>0</v>
      </c>
      <c r="CE16" s="2769">
        <f t="shared" si="129"/>
        <v>54.786242000000001</v>
      </c>
      <c r="CF16" s="2769">
        <f t="shared" si="130"/>
        <v>54.786242000000001</v>
      </c>
      <c r="CG16" s="2769">
        <f t="shared" si="131"/>
        <v>0</v>
      </c>
      <c r="CH16" s="2807">
        <f t="shared" si="132"/>
        <v>57.696199999999997</v>
      </c>
      <c r="CI16" s="2807">
        <f t="shared" si="133"/>
        <v>57.696199999999997</v>
      </c>
      <c r="CJ16" s="2807">
        <f t="shared" si="134"/>
        <v>0</v>
      </c>
      <c r="CK16" s="2769">
        <f t="shared" si="135"/>
        <v>3.0312570675798085</v>
      </c>
      <c r="CL16" s="2808">
        <f t="shared" si="136"/>
        <v>3.0312570675798085</v>
      </c>
      <c r="CM16" s="2808">
        <f t="shared" si="137"/>
        <v>0</v>
      </c>
      <c r="CN16" s="2767">
        <f t="shared" si="138"/>
        <v>8.6258308220700322</v>
      </c>
      <c r="CO16" s="2767">
        <f t="shared" si="139"/>
        <v>8.6258308220700322</v>
      </c>
      <c r="CP16" s="2767">
        <f t="shared" si="140"/>
        <v>0</v>
      </c>
      <c r="CQ16" s="2767">
        <f t="shared" si="53"/>
        <v>3.6382650000000001</v>
      </c>
      <c r="CR16" s="2913">
        <f>SUM('ПОЛНАЯ СЕБЕСТОИМОСТЬ СТОКИ 2023'!AS16)</f>
        <v>3.6382650000000001</v>
      </c>
      <c r="CS16" s="2913">
        <f>SUM('ПОЛНАЯ СЕБЕСТОИМОСТЬ СТОКИ 2023'!AT16)</f>
        <v>0</v>
      </c>
      <c r="CT16" s="2768">
        <f t="shared" si="54"/>
        <v>4.6109999999999998</v>
      </c>
      <c r="CU16" s="3856">
        <v>4.6109999999999998</v>
      </c>
      <c r="CV16" s="3856">
        <v>0</v>
      </c>
      <c r="CW16" s="2767">
        <f t="shared" si="141"/>
        <v>8.6258308220700322</v>
      </c>
      <c r="CX16" s="2767">
        <f t="shared" si="142"/>
        <v>8.6258308220700322</v>
      </c>
      <c r="CY16" s="2767">
        <f t="shared" si="143"/>
        <v>0</v>
      </c>
      <c r="CZ16" s="2767">
        <f t="shared" si="55"/>
        <v>0</v>
      </c>
      <c r="DA16" s="2913">
        <f>SUM('ПОЛНАЯ СЕБЕСТОИМОСТЬ СТОКИ 2023'!AV16)</f>
        <v>0</v>
      </c>
      <c r="DB16" s="2913">
        <f>SUM('ПОЛНАЯ СЕБЕСТОИМОСТЬ СТОКИ 2023'!AW16)</f>
        <v>0</v>
      </c>
      <c r="DC16" s="2768">
        <f t="shared" si="56"/>
        <v>4.0049999999999999</v>
      </c>
      <c r="DD16" s="3856">
        <v>4.0049999999999999</v>
      </c>
      <c r="DE16" s="3856">
        <v>0</v>
      </c>
      <c r="DF16" s="2767">
        <f t="shared" si="144"/>
        <v>8.6258308220700322</v>
      </c>
      <c r="DG16" s="2767">
        <f t="shared" si="145"/>
        <v>8.6258308220700322</v>
      </c>
      <c r="DH16" s="2767">
        <f t="shared" si="146"/>
        <v>0</v>
      </c>
      <c r="DI16" s="2767">
        <f t="shared" si="57"/>
        <v>0</v>
      </c>
      <c r="DJ16" s="2913">
        <f>SUM('ПОЛНАЯ СЕБЕСТОИМОСТЬ СТОКИ 2023'!AY16)</f>
        <v>0</v>
      </c>
      <c r="DK16" s="2913">
        <f>SUM('ПОЛНАЯ СЕБЕСТОИМОСТЬ СТОКИ 2023'!AZ16)</f>
        <v>0</v>
      </c>
      <c r="DL16" s="2768">
        <f t="shared" si="58"/>
        <v>7.7997899999999998</v>
      </c>
      <c r="DM16" s="3856">
        <v>7.7997899999999998</v>
      </c>
      <c r="DN16" s="3856">
        <v>0</v>
      </c>
      <c r="DO16" s="2769">
        <f t="shared" si="147"/>
        <v>25.877492466210096</v>
      </c>
      <c r="DP16" s="2769">
        <f t="shared" si="148"/>
        <v>25.877492466210096</v>
      </c>
      <c r="DQ16" s="2769">
        <f t="shared" si="149"/>
        <v>0</v>
      </c>
      <c r="DR16" s="2769">
        <f t="shared" si="150"/>
        <v>3.6382650000000001</v>
      </c>
      <c r="DS16" s="2769">
        <f t="shared" si="151"/>
        <v>3.6382650000000001</v>
      </c>
      <c r="DT16" s="2769">
        <f t="shared" si="152"/>
        <v>0</v>
      </c>
      <c r="DU16" s="2807">
        <f t="shared" si="153"/>
        <v>16.415790000000001</v>
      </c>
      <c r="DV16" s="2769">
        <f t="shared" si="154"/>
        <v>16.415790000000001</v>
      </c>
      <c r="DW16" s="2769">
        <f t="shared" si="155"/>
        <v>0</v>
      </c>
      <c r="DX16" s="2769">
        <f t="shared" si="156"/>
        <v>-22.239227466210096</v>
      </c>
      <c r="DY16" s="2808">
        <f t="shared" si="157"/>
        <v>-22.239227466210096</v>
      </c>
      <c r="DZ16" s="2808">
        <f t="shared" si="158"/>
        <v>0</v>
      </c>
      <c r="EA16" s="2769">
        <f t="shared" si="159"/>
        <v>77.632477398630286</v>
      </c>
      <c r="EB16" s="2769">
        <f t="shared" si="160"/>
        <v>77.632477398630286</v>
      </c>
      <c r="EC16" s="2769">
        <f t="shared" si="161"/>
        <v>0</v>
      </c>
      <c r="ED16" s="2769">
        <f t="shared" si="162"/>
        <v>58.424506999999998</v>
      </c>
      <c r="EE16" s="2769">
        <f t="shared" si="163"/>
        <v>58.424506999999998</v>
      </c>
      <c r="EF16" s="2769">
        <f t="shared" si="164"/>
        <v>0</v>
      </c>
      <c r="EG16" s="2769">
        <f t="shared" si="165"/>
        <v>74.111989999999992</v>
      </c>
      <c r="EH16" s="2769">
        <f t="shared" si="166"/>
        <v>74.111989999999992</v>
      </c>
      <c r="EI16" s="2769">
        <f t="shared" si="167"/>
        <v>0</v>
      </c>
      <c r="EJ16" s="2769">
        <f t="shared" si="168"/>
        <v>-19.207970398630287</v>
      </c>
      <c r="EK16" s="2808">
        <f t="shared" si="169"/>
        <v>-19.207970398630287</v>
      </c>
      <c r="EL16" s="2808">
        <f t="shared" si="170"/>
        <v>0</v>
      </c>
      <c r="EM16" s="2767">
        <f t="shared" si="171"/>
        <v>8.6258308220700322</v>
      </c>
      <c r="EN16" s="2767">
        <f t="shared" si="172"/>
        <v>8.6258308220700322</v>
      </c>
      <c r="EO16" s="2767">
        <f t="shared" si="173"/>
        <v>0</v>
      </c>
      <c r="EP16" s="2767">
        <f t="shared" si="68"/>
        <v>0</v>
      </c>
      <c r="EQ16" s="2913">
        <f>SUM('ПОЛНАЯ СЕБЕСТОИМОСТЬ СТОКИ 2023'!BQ16)</f>
        <v>0</v>
      </c>
      <c r="ER16" s="2913">
        <f>SUM('ПОЛНАЯ СЕБЕСТОИМОСТЬ СТОКИ 2023'!BR16)</f>
        <v>0</v>
      </c>
      <c r="ES16" s="2768">
        <f t="shared" si="69"/>
        <v>10.029999999999999</v>
      </c>
      <c r="ET16" s="3856">
        <v>10.029999999999999</v>
      </c>
      <c r="EU16" s="3856">
        <v>0</v>
      </c>
      <c r="EV16" s="2767">
        <f t="shared" si="174"/>
        <v>8.6258308220700322</v>
      </c>
      <c r="EW16" s="2767">
        <f t="shared" si="175"/>
        <v>8.6258308220700322</v>
      </c>
      <c r="EX16" s="2767">
        <f t="shared" si="176"/>
        <v>0</v>
      </c>
      <c r="EY16" s="2767">
        <f t="shared" si="70"/>
        <v>0</v>
      </c>
      <c r="EZ16" s="2913">
        <f>SUM('ПОЛНАЯ СЕБЕСТОИМОСТЬ СТОКИ 2023'!BT16)</f>
        <v>0</v>
      </c>
      <c r="FA16" s="2913">
        <f>SUM('ПОЛНАЯ СЕБЕСТОИМОСТЬ СТОКИ 2023'!BU16)</f>
        <v>0</v>
      </c>
      <c r="FB16" s="2767">
        <f t="shared" si="71"/>
        <v>10.328125</v>
      </c>
      <c r="FC16" s="3856">
        <v>10.328125</v>
      </c>
      <c r="FD16" s="3856">
        <v>0</v>
      </c>
      <c r="FE16" s="2767">
        <f t="shared" si="177"/>
        <v>8.6258308220700322</v>
      </c>
      <c r="FF16" s="2767">
        <f t="shared" si="178"/>
        <v>8.6258308220700322</v>
      </c>
      <c r="FG16" s="2767">
        <f t="shared" si="179"/>
        <v>0</v>
      </c>
      <c r="FH16" s="2767">
        <f t="shared" si="72"/>
        <v>0</v>
      </c>
      <c r="FI16" s="2913">
        <f>SUM('ПОЛНАЯ СЕБЕСТОИМОСТЬ СТОКИ 2023'!BW16)</f>
        <v>0</v>
      </c>
      <c r="FJ16" s="2913">
        <f>SUM('ПОЛНАЯ СЕБЕСТОИМОСТЬ СТОКИ 2023'!BX16)</f>
        <v>0</v>
      </c>
      <c r="FK16" s="2767">
        <f t="shared" si="73"/>
        <v>13.142151</v>
      </c>
      <c r="FL16" s="2906">
        <v>13.142151</v>
      </c>
      <c r="FM16" s="2906">
        <v>0</v>
      </c>
      <c r="FN16" s="2769">
        <f t="shared" si="180"/>
        <v>25.877492466210096</v>
      </c>
      <c r="FO16" s="2769">
        <f t="shared" si="181"/>
        <v>25.877492466210096</v>
      </c>
      <c r="FP16" s="2769">
        <f t="shared" si="182"/>
        <v>0</v>
      </c>
      <c r="FQ16" s="2769">
        <f t="shared" si="183"/>
        <v>0</v>
      </c>
      <c r="FR16" s="2769">
        <f t="shared" si="184"/>
        <v>0</v>
      </c>
      <c r="FS16" s="2769">
        <f t="shared" si="185"/>
        <v>0</v>
      </c>
      <c r="FT16" s="2807">
        <f t="shared" si="186"/>
        <v>33.500275999999999</v>
      </c>
      <c r="FU16" s="2807">
        <f t="shared" si="187"/>
        <v>33.500275999999999</v>
      </c>
      <c r="FV16" s="2807">
        <f t="shared" si="188"/>
        <v>0</v>
      </c>
      <c r="FW16" s="2769">
        <f t="shared" si="189"/>
        <v>-25.877492466210096</v>
      </c>
      <c r="FX16" s="2808">
        <f t="shared" si="190"/>
        <v>-25.877492466210096</v>
      </c>
      <c r="FY16" s="2808">
        <f t="shared" si="191"/>
        <v>0</v>
      </c>
      <c r="FZ16" s="2769">
        <f t="shared" si="79"/>
        <v>103.50996986484039</v>
      </c>
      <c r="GA16" s="2769">
        <f>SUM('ПОЛНАЯ СЕБЕСТОИМОСТЬ СТОКИ 2023'!CC16)</f>
        <v>103.50996986484039</v>
      </c>
      <c r="GB16" s="2769">
        <v>0</v>
      </c>
      <c r="GC16" s="2769">
        <f t="shared" si="192"/>
        <v>58.424506999999998</v>
      </c>
      <c r="GD16" s="2807">
        <f t="shared" si="193"/>
        <v>58.424506999999998</v>
      </c>
      <c r="GE16" s="2807">
        <f t="shared" si="194"/>
        <v>0</v>
      </c>
      <c r="GF16" s="2807">
        <f t="shared" si="195"/>
        <v>107.61226599999999</v>
      </c>
      <c r="GG16" s="2807">
        <f t="shared" si="196"/>
        <v>107.61226599999999</v>
      </c>
      <c r="GH16" s="2807">
        <f t="shared" si="197"/>
        <v>0</v>
      </c>
      <c r="GI16" s="2769">
        <f t="shared" si="198"/>
        <v>-45.085462864840387</v>
      </c>
      <c r="GJ16" s="2808">
        <f t="shared" si="199"/>
        <v>-45.085462864840387</v>
      </c>
      <c r="GK16" s="2808">
        <f t="shared" si="200"/>
        <v>0</v>
      </c>
      <c r="GM16" s="3576">
        <f t="shared" si="82"/>
        <v>103.50996986484036</v>
      </c>
    </row>
    <row r="17" spans="1:195" ht="18.75" customHeight="1" x14ac:dyDescent="0.3">
      <c r="A17" s="2873" t="s">
        <v>3739</v>
      </c>
      <c r="B17" s="2874"/>
      <c r="C17" s="2874"/>
      <c r="D17" s="2874"/>
      <c r="E17" s="2874"/>
      <c r="F17" s="2874"/>
      <c r="G17" s="2874"/>
      <c r="H17" s="2874"/>
      <c r="I17" s="2874"/>
      <c r="J17" s="2874"/>
      <c r="K17" s="2875"/>
      <c r="L17" s="2875"/>
      <c r="M17" s="2875"/>
      <c r="N17" s="2875"/>
      <c r="O17" s="2875"/>
      <c r="P17" s="2875"/>
      <c r="Q17" s="2875"/>
      <c r="R17" s="2875"/>
      <c r="S17" s="2875"/>
      <c r="T17" s="2875"/>
      <c r="U17" s="2875"/>
      <c r="V17" s="2875"/>
      <c r="W17" s="2875"/>
      <c r="X17" s="2875"/>
      <c r="Y17" s="2875"/>
      <c r="Z17" s="2875"/>
      <c r="AA17" s="2875"/>
      <c r="AB17" s="2875"/>
      <c r="AC17" s="2875"/>
      <c r="AD17" s="2875"/>
      <c r="AE17" s="2875"/>
      <c r="AF17" s="2875"/>
      <c r="AG17" s="2875"/>
      <c r="AH17" s="2875"/>
      <c r="AI17" s="2875"/>
      <c r="AJ17" s="2875"/>
      <c r="AK17" s="2875"/>
      <c r="AL17" s="2875"/>
      <c r="AM17" s="2875"/>
      <c r="AN17" s="2875"/>
      <c r="AO17" s="2875"/>
      <c r="AP17" s="2875"/>
      <c r="AQ17" s="2875"/>
      <c r="AR17" s="2875"/>
      <c r="AS17" s="2875"/>
      <c r="AT17" s="2875"/>
      <c r="AU17" s="2875"/>
      <c r="AV17" s="2875"/>
      <c r="AW17" s="2875"/>
      <c r="AX17" s="2875"/>
      <c r="AY17" s="2875"/>
      <c r="AZ17" s="2875"/>
      <c r="BA17" s="2875"/>
      <c r="BB17" s="2875"/>
      <c r="BC17" s="2875"/>
      <c r="BD17" s="2875"/>
      <c r="BE17" s="2875"/>
      <c r="BF17" s="2875"/>
      <c r="BG17" s="2875"/>
      <c r="BH17" s="2875"/>
      <c r="BI17" s="2875"/>
      <c r="BJ17" s="2875"/>
      <c r="BK17" s="2875"/>
      <c r="BL17" s="2875"/>
      <c r="BM17" s="2875"/>
      <c r="BN17" s="2875"/>
      <c r="BO17" s="2875"/>
      <c r="BP17" s="2875"/>
      <c r="BQ17" s="2875"/>
      <c r="BR17" s="2875"/>
      <c r="BS17" s="2875"/>
      <c r="BT17" s="2875"/>
      <c r="BU17" s="2875"/>
      <c r="BV17" s="2875"/>
      <c r="BW17" s="2875"/>
      <c r="BX17" s="2875"/>
      <c r="BY17" s="2875"/>
      <c r="BZ17" s="2875"/>
      <c r="CA17" s="2875"/>
      <c r="CB17" s="2875"/>
      <c r="CC17" s="2875"/>
      <c r="CD17" s="2875"/>
      <c r="CE17" s="2875"/>
      <c r="CF17" s="2875"/>
      <c r="CG17" s="2875"/>
      <c r="CH17" s="2875"/>
      <c r="CI17" s="2875"/>
      <c r="CJ17" s="2875"/>
      <c r="CK17" s="2875"/>
      <c r="CL17" s="2875"/>
      <c r="CM17" s="2875"/>
      <c r="CN17" s="2875"/>
      <c r="CO17" s="2875"/>
      <c r="CP17" s="2875"/>
      <c r="CQ17" s="2875"/>
      <c r="CR17" s="2875"/>
      <c r="CS17" s="2875"/>
      <c r="CT17" s="2875"/>
      <c r="CU17" s="2875"/>
      <c r="CV17" s="2875"/>
      <c r="CW17" s="2875"/>
      <c r="CX17" s="2875"/>
      <c r="CY17" s="2875"/>
      <c r="CZ17" s="2875"/>
      <c r="DA17" s="2875"/>
      <c r="DB17" s="2875"/>
      <c r="DC17" s="2875"/>
      <c r="DD17" s="2875"/>
      <c r="DE17" s="2875"/>
      <c r="DF17" s="2875"/>
      <c r="DG17" s="2875"/>
      <c r="DH17" s="2875"/>
      <c r="DI17" s="2875"/>
      <c r="DJ17" s="2875"/>
      <c r="DK17" s="2875"/>
      <c r="DL17" s="2875"/>
      <c r="DM17" s="2875"/>
      <c r="DN17" s="2875"/>
      <c r="DO17" s="2875"/>
      <c r="DP17" s="2875"/>
      <c r="DQ17" s="2875"/>
      <c r="DR17" s="2875"/>
      <c r="DS17" s="2875"/>
      <c r="DT17" s="2875"/>
      <c r="DU17" s="2875"/>
      <c r="DV17" s="2875"/>
      <c r="DW17" s="2875"/>
      <c r="DX17" s="2875"/>
      <c r="DY17" s="2875"/>
      <c r="DZ17" s="2875"/>
      <c r="EA17" s="2875"/>
      <c r="EB17" s="2875"/>
      <c r="EC17" s="2875"/>
      <c r="ED17" s="2875"/>
      <c r="EE17" s="2875"/>
      <c r="EF17" s="2875"/>
      <c r="EG17" s="2875"/>
      <c r="EH17" s="2875"/>
      <c r="EI17" s="2875"/>
      <c r="EJ17" s="2875"/>
      <c r="EK17" s="2875"/>
      <c r="EL17" s="2875"/>
      <c r="EM17" s="2875"/>
      <c r="EN17" s="2875"/>
      <c r="EO17" s="2875"/>
      <c r="EP17" s="2875"/>
      <c r="EQ17" s="2875"/>
      <c r="ER17" s="2875"/>
      <c r="ES17" s="2875"/>
      <c r="ET17" s="2875"/>
      <c r="EU17" s="2875"/>
      <c r="EV17" s="2875"/>
      <c r="EW17" s="2875"/>
      <c r="EX17" s="2875"/>
      <c r="EY17" s="2875"/>
      <c r="EZ17" s="2875"/>
      <c r="FA17" s="2875"/>
      <c r="FB17" s="2875"/>
      <c r="FC17" s="2875"/>
      <c r="FD17" s="2875"/>
      <c r="FE17" s="2875"/>
      <c r="FF17" s="2875"/>
      <c r="FG17" s="2875"/>
      <c r="FH17" s="2875"/>
      <c r="FI17" s="2875"/>
      <c r="FJ17" s="2875"/>
      <c r="FK17" s="2875"/>
      <c r="FL17" s="2875"/>
      <c r="FM17" s="2875"/>
      <c r="FN17" s="2876"/>
      <c r="FO17" s="2876"/>
      <c r="FP17" s="2876"/>
      <c r="FQ17" s="2876"/>
      <c r="FR17" s="2876"/>
      <c r="FS17" s="2876"/>
      <c r="FT17" s="2876"/>
      <c r="FU17" s="2876"/>
      <c r="FV17" s="2876"/>
      <c r="FW17" s="2876"/>
      <c r="FX17" s="2876"/>
      <c r="FY17" s="2876"/>
      <c r="FZ17" s="2876"/>
      <c r="GA17" s="2876"/>
      <c r="GB17" s="2876"/>
      <c r="GC17" s="2876"/>
      <c r="GD17" s="2876"/>
      <c r="GE17" s="2876"/>
      <c r="GF17" s="2876"/>
      <c r="GG17" s="2876"/>
      <c r="GH17" s="2876"/>
      <c r="GI17" s="2876"/>
      <c r="GJ17" s="2876"/>
      <c r="GK17" s="2877"/>
    </row>
    <row r="18" spans="1:195" ht="18.75" customHeight="1" x14ac:dyDescent="0.2">
      <c r="A18" s="5236" t="s">
        <v>525</v>
      </c>
      <c r="B18" s="5237" t="s">
        <v>3726</v>
      </c>
      <c r="C18" s="5238"/>
      <c r="D18" s="5238"/>
      <c r="E18" s="5239"/>
      <c r="F18" s="5239"/>
      <c r="G18" s="5239"/>
      <c r="H18" s="5239"/>
      <c r="I18" s="5240"/>
      <c r="J18" s="5241"/>
      <c r="K18" s="5237" t="s">
        <v>3727</v>
      </c>
      <c r="L18" s="5238"/>
      <c r="M18" s="5238"/>
      <c r="N18" s="5239"/>
      <c r="O18" s="5239"/>
      <c r="P18" s="5239"/>
      <c r="Q18" s="5239"/>
      <c r="R18" s="5240"/>
      <c r="S18" s="5241"/>
      <c r="T18" s="5237" t="s">
        <v>3728</v>
      </c>
      <c r="U18" s="5238"/>
      <c r="V18" s="5238"/>
      <c r="W18" s="5239"/>
      <c r="X18" s="5239"/>
      <c r="Y18" s="5239"/>
      <c r="Z18" s="5239"/>
      <c r="AA18" s="5242"/>
      <c r="AB18" s="5243"/>
      <c r="AC18" s="5244" t="s">
        <v>3678</v>
      </c>
      <c r="AD18" s="5245"/>
      <c r="AE18" s="5245"/>
      <c r="AF18" s="5246"/>
      <c r="AG18" s="5246"/>
      <c r="AH18" s="5246"/>
      <c r="AI18" s="5246"/>
      <c r="AJ18" s="5246"/>
      <c r="AK18" s="5246"/>
      <c r="AL18" s="5246"/>
      <c r="AM18" s="5246"/>
      <c r="AN18" s="5246"/>
      <c r="AO18" s="5237" t="s">
        <v>3729</v>
      </c>
      <c r="AP18" s="5238"/>
      <c r="AQ18" s="5238"/>
      <c r="AR18" s="5239"/>
      <c r="AS18" s="5239"/>
      <c r="AT18" s="5239"/>
      <c r="AU18" s="5239"/>
      <c r="AV18" s="5242"/>
      <c r="AW18" s="5243"/>
      <c r="AX18" s="5237" t="s">
        <v>3730</v>
      </c>
      <c r="AY18" s="5238"/>
      <c r="AZ18" s="5238"/>
      <c r="BA18" s="5239"/>
      <c r="BB18" s="5239"/>
      <c r="BC18" s="5239"/>
      <c r="BD18" s="5239"/>
      <c r="BE18" s="5240"/>
      <c r="BF18" s="5241"/>
      <c r="BG18" s="5237" t="s">
        <v>3731</v>
      </c>
      <c r="BH18" s="5238"/>
      <c r="BI18" s="5238"/>
      <c r="BJ18" s="5239"/>
      <c r="BK18" s="5239"/>
      <c r="BL18" s="5239"/>
      <c r="BM18" s="5239"/>
      <c r="BN18" s="5240"/>
      <c r="BO18" s="5241"/>
      <c r="BP18" s="5244" t="s">
        <v>3679</v>
      </c>
      <c r="BQ18" s="5245"/>
      <c r="BR18" s="5245"/>
      <c r="BS18" s="5246"/>
      <c r="BT18" s="5246"/>
      <c r="BU18" s="5246"/>
      <c r="BV18" s="5246"/>
      <c r="BW18" s="5246"/>
      <c r="BX18" s="5246"/>
      <c r="BY18" s="5240"/>
      <c r="BZ18" s="5240"/>
      <c r="CA18" s="5240"/>
      <c r="CB18" s="5244" t="s">
        <v>3680</v>
      </c>
      <c r="CC18" s="5245"/>
      <c r="CD18" s="5245"/>
      <c r="CE18" s="5246"/>
      <c r="CF18" s="5246"/>
      <c r="CG18" s="5246"/>
      <c r="CH18" s="5246"/>
      <c r="CI18" s="5246"/>
      <c r="CJ18" s="5246"/>
      <c r="CK18" s="5240"/>
      <c r="CL18" s="5240"/>
      <c r="CM18" s="5240"/>
      <c r="CN18" s="5237" t="s">
        <v>1357</v>
      </c>
      <c r="CO18" s="5238"/>
      <c r="CP18" s="5238"/>
      <c r="CQ18" s="5239"/>
      <c r="CR18" s="5239"/>
      <c r="CS18" s="5239"/>
      <c r="CT18" s="5239"/>
      <c r="CU18" s="5240"/>
      <c r="CV18" s="5241"/>
      <c r="CW18" s="5237" t="s">
        <v>3732</v>
      </c>
      <c r="CX18" s="5238"/>
      <c r="CY18" s="5238"/>
      <c r="CZ18" s="5239"/>
      <c r="DA18" s="5239"/>
      <c r="DB18" s="5239"/>
      <c r="DC18" s="5239"/>
      <c r="DD18" s="5240"/>
      <c r="DE18" s="5241"/>
      <c r="DF18" s="5237" t="s">
        <v>3733</v>
      </c>
      <c r="DG18" s="5238"/>
      <c r="DH18" s="5238"/>
      <c r="DI18" s="5239"/>
      <c r="DJ18" s="5239"/>
      <c r="DK18" s="5239"/>
      <c r="DL18" s="5239"/>
      <c r="DM18" s="5240"/>
      <c r="DN18" s="5241"/>
      <c r="DO18" s="5244" t="s">
        <v>3681</v>
      </c>
      <c r="DP18" s="5245"/>
      <c r="DQ18" s="5245"/>
      <c r="DR18" s="5246"/>
      <c r="DS18" s="5246"/>
      <c r="DT18" s="5246"/>
      <c r="DU18" s="5246"/>
      <c r="DV18" s="5246"/>
      <c r="DW18" s="5246"/>
      <c r="DX18" s="5240"/>
      <c r="DY18" s="5240"/>
      <c r="DZ18" s="5240"/>
      <c r="EA18" s="5244" t="s">
        <v>3682</v>
      </c>
      <c r="EB18" s="5245"/>
      <c r="EC18" s="5245"/>
      <c r="ED18" s="5246"/>
      <c r="EE18" s="5246"/>
      <c r="EF18" s="5246"/>
      <c r="EG18" s="5246"/>
      <c r="EH18" s="5246"/>
      <c r="EI18" s="5246"/>
      <c r="EJ18" s="5240"/>
      <c r="EK18" s="5240"/>
      <c r="EL18" s="5240"/>
      <c r="EM18" s="5237" t="s">
        <v>3734</v>
      </c>
      <c r="EN18" s="5238"/>
      <c r="EO18" s="5238"/>
      <c r="EP18" s="5239"/>
      <c r="EQ18" s="5239"/>
      <c r="ER18" s="5239"/>
      <c r="ES18" s="5239"/>
      <c r="ET18" s="5240"/>
      <c r="EU18" s="5241"/>
      <c r="EV18" s="5237" t="s">
        <v>3735</v>
      </c>
      <c r="EW18" s="5238"/>
      <c r="EX18" s="5238"/>
      <c r="EY18" s="5239"/>
      <c r="EZ18" s="5239"/>
      <c r="FA18" s="5239"/>
      <c r="FB18" s="5239"/>
      <c r="FC18" s="5240"/>
      <c r="FD18" s="5241"/>
      <c r="FE18" s="5237" t="s">
        <v>3736</v>
      </c>
      <c r="FF18" s="5238"/>
      <c r="FG18" s="5238"/>
      <c r="FH18" s="5239"/>
      <c r="FI18" s="5239"/>
      <c r="FJ18" s="5239"/>
      <c r="FK18" s="5239"/>
      <c r="FL18" s="5240"/>
      <c r="FM18" s="5241"/>
      <c r="FN18" s="5244" t="s">
        <v>3683</v>
      </c>
      <c r="FO18" s="5245"/>
      <c r="FP18" s="5245"/>
      <c r="FQ18" s="5246"/>
      <c r="FR18" s="5246"/>
      <c r="FS18" s="5246"/>
      <c r="FT18" s="5246"/>
      <c r="FU18" s="5246"/>
      <c r="FV18" s="5246"/>
      <c r="FW18" s="5240"/>
      <c r="FX18" s="5240"/>
      <c r="FY18" s="5240"/>
      <c r="FZ18" s="5244" t="s">
        <v>1991</v>
      </c>
      <c r="GA18" s="5245"/>
      <c r="GB18" s="5245"/>
      <c r="GC18" s="5246"/>
      <c r="GD18" s="5246"/>
      <c r="GE18" s="5246"/>
      <c r="GF18" s="5246"/>
      <c r="GG18" s="5246"/>
      <c r="GH18" s="5246"/>
      <c r="GI18" s="5240"/>
      <c r="GJ18" s="5240"/>
      <c r="GK18" s="5241"/>
    </row>
    <row r="19" spans="1:195" ht="18.75" customHeight="1" x14ac:dyDescent="0.2">
      <c r="A19" s="5236"/>
      <c r="B19" s="5247" t="s">
        <v>3550</v>
      </c>
      <c r="C19" s="5248"/>
      <c r="D19" s="5249"/>
      <c r="E19" s="5247" t="s">
        <v>1674</v>
      </c>
      <c r="F19" s="5248"/>
      <c r="G19" s="5249"/>
      <c r="H19" s="5247" t="s">
        <v>3737</v>
      </c>
      <c r="I19" s="5248"/>
      <c r="J19" s="5249"/>
      <c r="K19" s="5247" t="s">
        <v>3550</v>
      </c>
      <c r="L19" s="5248"/>
      <c r="M19" s="5249"/>
      <c r="N19" s="5247" t="s">
        <v>1674</v>
      </c>
      <c r="O19" s="5248"/>
      <c r="P19" s="5249"/>
      <c r="Q19" s="5247" t="s">
        <v>3737</v>
      </c>
      <c r="R19" s="5248"/>
      <c r="S19" s="5249"/>
      <c r="T19" s="5247" t="s">
        <v>3550</v>
      </c>
      <c r="U19" s="5248"/>
      <c r="V19" s="5249"/>
      <c r="W19" s="5247" t="s">
        <v>1674</v>
      </c>
      <c r="X19" s="5248"/>
      <c r="Y19" s="5249"/>
      <c r="Z19" s="5247" t="s">
        <v>3737</v>
      </c>
      <c r="AA19" s="5248"/>
      <c r="AB19" s="5249"/>
      <c r="AC19" s="5250" t="s">
        <v>3550</v>
      </c>
      <c r="AD19" s="5251"/>
      <c r="AE19" s="5252"/>
      <c r="AF19" s="5253" t="s">
        <v>1674</v>
      </c>
      <c r="AG19" s="5254"/>
      <c r="AH19" s="5255"/>
      <c r="AI19" s="5253" t="s">
        <v>3737</v>
      </c>
      <c r="AJ19" s="5254"/>
      <c r="AK19" s="5255"/>
      <c r="AL19" s="5250" t="s">
        <v>3738</v>
      </c>
      <c r="AM19" s="5251"/>
      <c r="AN19" s="5252"/>
      <c r="AO19" s="5247" t="s">
        <v>3550</v>
      </c>
      <c r="AP19" s="5248"/>
      <c r="AQ19" s="5249"/>
      <c r="AR19" s="5247" t="s">
        <v>1674</v>
      </c>
      <c r="AS19" s="5248"/>
      <c r="AT19" s="5249"/>
      <c r="AU19" s="5247" t="s">
        <v>3737</v>
      </c>
      <c r="AV19" s="5248"/>
      <c r="AW19" s="5249"/>
      <c r="AX19" s="5247" t="s">
        <v>3550</v>
      </c>
      <c r="AY19" s="5248"/>
      <c r="AZ19" s="5249"/>
      <c r="BA19" s="5247" t="s">
        <v>1674</v>
      </c>
      <c r="BB19" s="5248"/>
      <c r="BC19" s="5249"/>
      <c r="BD19" s="5247" t="s">
        <v>3737</v>
      </c>
      <c r="BE19" s="5248"/>
      <c r="BF19" s="5249"/>
      <c r="BG19" s="5247" t="s">
        <v>3550</v>
      </c>
      <c r="BH19" s="5248"/>
      <c r="BI19" s="5249"/>
      <c r="BJ19" s="5247" t="s">
        <v>1674</v>
      </c>
      <c r="BK19" s="5248"/>
      <c r="BL19" s="5249"/>
      <c r="BM19" s="5247" t="s">
        <v>3737</v>
      </c>
      <c r="BN19" s="5248"/>
      <c r="BO19" s="5249"/>
      <c r="BP19" s="5250" t="s">
        <v>3550</v>
      </c>
      <c r="BQ19" s="5251"/>
      <c r="BR19" s="5252"/>
      <c r="BS19" s="5253" t="s">
        <v>1674</v>
      </c>
      <c r="BT19" s="5254"/>
      <c r="BU19" s="5255"/>
      <c r="BV19" s="5253" t="s">
        <v>3737</v>
      </c>
      <c r="BW19" s="5254"/>
      <c r="BX19" s="5255"/>
      <c r="BY19" s="5250" t="s">
        <v>3738</v>
      </c>
      <c r="BZ19" s="5251"/>
      <c r="CA19" s="5252"/>
      <c r="CB19" s="5250" t="s">
        <v>3550</v>
      </c>
      <c r="CC19" s="5251"/>
      <c r="CD19" s="5252"/>
      <c r="CE19" s="5253" t="s">
        <v>1674</v>
      </c>
      <c r="CF19" s="5254"/>
      <c r="CG19" s="5255"/>
      <c r="CH19" s="5253" t="s">
        <v>3737</v>
      </c>
      <c r="CI19" s="5254"/>
      <c r="CJ19" s="5255"/>
      <c r="CK19" s="5250" t="s">
        <v>3738</v>
      </c>
      <c r="CL19" s="5251"/>
      <c r="CM19" s="5252"/>
      <c r="CN19" s="5247" t="s">
        <v>3550</v>
      </c>
      <c r="CO19" s="5248"/>
      <c r="CP19" s="5249"/>
      <c r="CQ19" s="5247" t="s">
        <v>1674</v>
      </c>
      <c r="CR19" s="5248"/>
      <c r="CS19" s="5249"/>
      <c r="CT19" s="5247" t="s">
        <v>3737</v>
      </c>
      <c r="CU19" s="5248"/>
      <c r="CV19" s="5249"/>
      <c r="CW19" s="5247" t="s">
        <v>3550</v>
      </c>
      <c r="CX19" s="5248"/>
      <c r="CY19" s="5249"/>
      <c r="CZ19" s="5247" t="s">
        <v>1674</v>
      </c>
      <c r="DA19" s="5248"/>
      <c r="DB19" s="5249"/>
      <c r="DC19" s="5247" t="s">
        <v>3737</v>
      </c>
      <c r="DD19" s="5248"/>
      <c r="DE19" s="5249"/>
      <c r="DF19" s="5247" t="s">
        <v>3550</v>
      </c>
      <c r="DG19" s="5248"/>
      <c r="DH19" s="5249"/>
      <c r="DI19" s="5247" t="s">
        <v>1674</v>
      </c>
      <c r="DJ19" s="5248"/>
      <c r="DK19" s="5249"/>
      <c r="DL19" s="5247" t="s">
        <v>3737</v>
      </c>
      <c r="DM19" s="5248"/>
      <c r="DN19" s="5249"/>
      <c r="DO19" s="5250" t="s">
        <v>3550</v>
      </c>
      <c r="DP19" s="5251"/>
      <c r="DQ19" s="5252"/>
      <c r="DR19" s="5253" t="s">
        <v>1674</v>
      </c>
      <c r="DS19" s="5254"/>
      <c r="DT19" s="5255"/>
      <c r="DU19" s="5253" t="s">
        <v>3737</v>
      </c>
      <c r="DV19" s="5254"/>
      <c r="DW19" s="5255"/>
      <c r="DX19" s="5250" t="s">
        <v>3738</v>
      </c>
      <c r="DY19" s="5251"/>
      <c r="DZ19" s="5252"/>
      <c r="EA19" s="5250" t="s">
        <v>3550</v>
      </c>
      <c r="EB19" s="5251"/>
      <c r="EC19" s="5252"/>
      <c r="ED19" s="5253" t="s">
        <v>1674</v>
      </c>
      <c r="EE19" s="5254"/>
      <c r="EF19" s="5255"/>
      <c r="EG19" s="5253" t="s">
        <v>3737</v>
      </c>
      <c r="EH19" s="5254"/>
      <c r="EI19" s="5255"/>
      <c r="EJ19" s="5250" t="s">
        <v>3738</v>
      </c>
      <c r="EK19" s="5251"/>
      <c r="EL19" s="5252"/>
      <c r="EM19" s="5247" t="s">
        <v>3550</v>
      </c>
      <c r="EN19" s="5248"/>
      <c r="EO19" s="5249"/>
      <c r="EP19" s="5247" t="s">
        <v>1674</v>
      </c>
      <c r="EQ19" s="5248"/>
      <c r="ER19" s="5249"/>
      <c r="ES19" s="5247" t="s">
        <v>3737</v>
      </c>
      <c r="ET19" s="5248"/>
      <c r="EU19" s="5249"/>
      <c r="EV19" s="5247" t="s">
        <v>3550</v>
      </c>
      <c r="EW19" s="5248"/>
      <c r="EX19" s="5249"/>
      <c r="EY19" s="5247" t="s">
        <v>1674</v>
      </c>
      <c r="EZ19" s="5248"/>
      <c r="FA19" s="5249"/>
      <c r="FB19" s="5247" t="s">
        <v>3737</v>
      </c>
      <c r="FC19" s="5248"/>
      <c r="FD19" s="5249"/>
      <c r="FE19" s="5247" t="s">
        <v>3550</v>
      </c>
      <c r="FF19" s="5248"/>
      <c r="FG19" s="5249"/>
      <c r="FH19" s="5247" t="s">
        <v>1674</v>
      </c>
      <c r="FI19" s="5248"/>
      <c r="FJ19" s="5249"/>
      <c r="FK19" s="5247" t="s">
        <v>3737</v>
      </c>
      <c r="FL19" s="5248"/>
      <c r="FM19" s="5249"/>
      <c r="FN19" s="5250" t="s">
        <v>3550</v>
      </c>
      <c r="FO19" s="5251"/>
      <c r="FP19" s="5252"/>
      <c r="FQ19" s="5253" t="s">
        <v>1674</v>
      </c>
      <c r="FR19" s="5254"/>
      <c r="FS19" s="5255"/>
      <c r="FT19" s="5253" t="s">
        <v>3737</v>
      </c>
      <c r="FU19" s="5254"/>
      <c r="FV19" s="5255"/>
      <c r="FW19" s="5250" t="s">
        <v>3738</v>
      </c>
      <c r="FX19" s="5251"/>
      <c r="FY19" s="5252"/>
      <c r="FZ19" s="5250" t="s">
        <v>3550</v>
      </c>
      <c r="GA19" s="5251"/>
      <c r="GB19" s="5252"/>
      <c r="GC19" s="5253" t="s">
        <v>1674</v>
      </c>
      <c r="GD19" s="5254"/>
      <c r="GE19" s="5255"/>
      <c r="GF19" s="5253" t="s">
        <v>3737</v>
      </c>
      <c r="GG19" s="5254"/>
      <c r="GH19" s="5255"/>
      <c r="GI19" s="5250" t="s">
        <v>3738</v>
      </c>
      <c r="GJ19" s="5251"/>
      <c r="GK19" s="5252"/>
    </row>
    <row r="20" spans="1:195" ht="24.75" customHeight="1" x14ac:dyDescent="0.2">
      <c r="A20" s="5236"/>
      <c r="B20" s="2753" t="s">
        <v>614</v>
      </c>
      <c r="C20" s="2753" t="s">
        <v>3753</v>
      </c>
      <c r="D20" s="2753" t="s">
        <v>3754</v>
      </c>
      <c r="E20" s="2753" t="s">
        <v>614</v>
      </c>
      <c r="F20" s="2753" t="s">
        <v>3753</v>
      </c>
      <c r="G20" s="2753" t="s">
        <v>3754</v>
      </c>
      <c r="H20" s="2753" t="s">
        <v>614</v>
      </c>
      <c r="I20" s="2753" t="s">
        <v>3753</v>
      </c>
      <c r="J20" s="2753" t="s">
        <v>3754</v>
      </c>
      <c r="K20" s="2753" t="s">
        <v>614</v>
      </c>
      <c r="L20" s="2753" t="s">
        <v>3753</v>
      </c>
      <c r="M20" s="2753" t="s">
        <v>3754</v>
      </c>
      <c r="N20" s="2753" t="s">
        <v>614</v>
      </c>
      <c r="O20" s="2753" t="s">
        <v>3753</v>
      </c>
      <c r="P20" s="2753" t="s">
        <v>3754</v>
      </c>
      <c r="Q20" s="2753" t="s">
        <v>614</v>
      </c>
      <c r="R20" s="2753" t="s">
        <v>3753</v>
      </c>
      <c r="S20" s="2753" t="s">
        <v>3754</v>
      </c>
      <c r="T20" s="2753" t="s">
        <v>614</v>
      </c>
      <c r="U20" s="2753" t="s">
        <v>3753</v>
      </c>
      <c r="V20" s="2753" t="s">
        <v>3754</v>
      </c>
      <c r="W20" s="2753" t="s">
        <v>614</v>
      </c>
      <c r="X20" s="2753" t="s">
        <v>3753</v>
      </c>
      <c r="Y20" s="2753" t="s">
        <v>3754</v>
      </c>
      <c r="Z20" s="2753" t="s">
        <v>614</v>
      </c>
      <c r="AA20" s="2753" t="s">
        <v>3753</v>
      </c>
      <c r="AB20" s="2753" t="s">
        <v>3754</v>
      </c>
      <c r="AC20" s="2754" t="s">
        <v>614</v>
      </c>
      <c r="AD20" s="2754" t="s">
        <v>3753</v>
      </c>
      <c r="AE20" s="2754" t="s">
        <v>3754</v>
      </c>
      <c r="AF20" s="2754" t="s">
        <v>614</v>
      </c>
      <c r="AG20" s="2754" t="s">
        <v>3753</v>
      </c>
      <c r="AH20" s="2754" t="s">
        <v>3754</v>
      </c>
      <c r="AI20" s="2754" t="s">
        <v>614</v>
      </c>
      <c r="AJ20" s="2754" t="s">
        <v>3753</v>
      </c>
      <c r="AK20" s="2754" t="s">
        <v>3754</v>
      </c>
      <c r="AL20" s="2754" t="s">
        <v>614</v>
      </c>
      <c r="AM20" s="2754" t="s">
        <v>3753</v>
      </c>
      <c r="AN20" s="2754" t="s">
        <v>3754</v>
      </c>
      <c r="AO20" s="2753" t="s">
        <v>614</v>
      </c>
      <c r="AP20" s="2753" t="s">
        <v>3753</v>
      </c>
      <c r="AQ20" s="2753" t="s">
        <v>3754</v>
      </c>
      <c r="AR20" s="2753" t="s">
        <v>614</v>
      </c>
      <c r="AS20" s="2753" t="s">
        <v>3753</v>
      </c>
      <c r="AT20" s="2753" t="s">
        <v>3754</v>
      </c>
      <c r="AU20" s="2753" t="s">
        <v>614</v>
      </c>
      <c r="AV20" s="2753" t="s">
        <v>3753</v>
      </c>
      <c r="AW20" s="2753" t="s">
        <v>3754</v>
      </c>
      <c r="AX20" s="2753" t="s">
        <v>614</v>
      </c>
      <c r="AY20" s="2753" t="s">
        <v>3753</v>
      </c>
      <c r="AZ20" s="2753" t="s">
        <v>3754</v>
      </c>
      <c r="BA20" s="2753" t="s">
        <v>614</v>
      </c>
      <c r="BB20" s="2753" t="s">
        <v>3753</v>
      </c>
      <c r="BC20" s="2753" t="s">
        <v>3754</v>
      </c>
      <c r="BD20" s="2753" t="s">
        <v>614</v>
      </c>
      <c r="BE20" s="2753" t="s">
        <v>3753</v>
      </c>
      <c r="BF20" s="2753" t="s">
        <v>3754</v>
      </c>
      <c r="BG20" s="2753" t="s">
        <v>614</v>
      </c>
      <c r="BH20" s="2753" t="s">
        <v>3753</v>
      </c>
      <c r="BI20" s="2753" t="s">
        <v>3754</v>
      </c>
      <c r="BJ20" s="2753" t="s">
        <v>614</v>
      </c>
      <c r="BK20" s="2753" t="s">
        <v>3753</v>
      </c>
      <c r="BL20" s="2753" t="s">
        <v>3754</v>
      </c>
      <c r="BM20" s="2753" t="s">
        <v>614</v>
      </c>
      <c r="BN20" s="2753" t="s">
        <v>3753</v>
      </c>
      <c r="BO20" s="2753" t="s">
        <v>3754</v>
      </c>
      <c r="BP20" s="2754" t="s">
        <v>614</v>
      </c>
      <c r="BQ20" s="2754" t="s">
        <v>3753</v>
      </c>
      <c r="BR20" s="2754" t="s">
        <v>3754</v>
      </c>
      <c r="BS20" s="2754" t="s">
        <v>614</v>
      </c>
      <c r="BT20" s="2754" t="s">
        <v>3753</v>
      </c>
      <c r="BU20" s="2754" t="s">
        <v>3754</v>
      </c>
      <c r="BV20" s="2754" t="s">
        <v>614</v>
      </c>
      <c r="BW20" s="2754" t="s">
        <v>3753</v>
      </c>
      <c r="BX20" s="2754" t="s">
        <v>3754</v>
      </c>
      <c r="BY20" s="2754" t="s">
        <v>614</v>
      </c>
      <c r="BZ20" s="2754" t="s">
        <v>3753</v>
      </c>
      <c r="CA20" s="2754" t="s">
        <v>3754</v>
      </c>
      <c r="CB20" s="2754" t="s">
        <v>614</v>
      </c>
      <c r="CC20" s="2754" t="s">
        <v>3753</v>
      </c>
      <c r="CD20" s="2754" t="s">
        <v>3754</v>
      </c>
      <c r="CE20" s="2754" t="s">
        <v>614</v>
      </c>
      <c r="CF20" s="2754" t="s">
        <v>3753</v>
      </c>
      <c r="CG20" s="2754" t="s">
        <v>3754</v>
      </c>
      <c r="CH20" s="2754" t="s">
        <v>614</v>
      </c>
      <c r="CI20" s="2754" t="s">
        <v>3753</v>
      </c>
      <c r="CJ20" s="2754" t="s">
        <v>3754</v>
      </c>
      <c r="CK20" s="2754" t="s">
        <v>614</v>
      </c>
      <c r="CL20" s="2754" t="s">
        <v>3753</v>
      </c>
      <c r="CM20" s="2754" t="s">
        <v>3754</v>
      </c>
      <c r="CN20" s="2753" t="s">
        <v>614</v>
      </c>
      <c r="CO20" s="2753" t="s">
        <v>3753</v>
      </c>
      <c r="CP20" s="2753" t="s">
        <v>3754</v>
      </c>
      <c r="CQ20" s="2753" t="s">
        <v>614</v>
      </c>
      <c r="CR20" s="2753" t="s">
        <v>3753</v>
      </c>
      <c r="CS20" s="2753" t="s">
        <v>3754</v>
      </c>
      <c r="CT20" s="2753" t="s">
        <v>614</v>
      </c>
      <c r="CU20" s="2753" t="s">
        <v>3753</v>
      </c>
      <c r="CV20" s="2753" t="s">
        <v>3754</v>
      </c>
      <c r="CW20" s="2753" t="s">
        <v>614</v>
      </c>
      <c r="CX20" s="2753" t="s">
        <v>3753</v>
      </c>
      <c r="CY20" s="2753" t="s">
        <v>3754</v>
      </c>
      <c r="CZ20" s="2753" t="s">
        <v>614</v>
      </c>
      <c r="DA20" s="2753" t="s">
        <v>3753</v>
      </c>
      <c r="DB20" s="2753" t="s">
        <v>3754</v>
      </c>
      <c r="DC20" s="2753" t="s">
        <v>614</v>
      </c>
      <c r="DD20" s="2753" t="s">
        <v>3753</v>
      </c>
      <c r="DE20" s="2753" t="s">
        <v>3754</v>
      </c>
      <c r="DF20" s="2753" t="s">
        <v>614</v>
      </c>
      <c r="DG20" s="2753" t="s">
        <v>3753</v>
      </c>
      <c r="DH20" s="2753" t="s">
        <v>3754</v>
      </c>
      <c r="DI20" s="2753" t="s">
        <v>614</v>
      </c>
      <c r="DJ20" s="2753" t="s">
        <v>3753</v>
      </c>
      <c r="DK20" s="2753" t="s">
        <v>3754</v>
      </c>
      <c r="DL20" s="2753" t="s">
        <v>614</v>
      </c>
      <c r="DM20" s="2753" t="s">
        <v>3753</v>
      </c>
      <c r="DN20" s="2753" t="s">
        <v>3754</v>
      </c>
      <c r="DO20" s="2754" t="s">
        <v>614</v>
      </c>
      <c r="DP20" s="2754" t="s">
        <v>3753</v>
      </c>
      <c r="DQ20" s="2754" t="s">
        <v>3754</v>
      </c>
      <c r="DR20" s="2754" t="s">
        <v>614</v>
      </c>
      <c r="DS20" s="2754" t="s">
        <v>3753</v>
      </c>
      <c r="DT20" s="2754" t="s">
        <v>3754</v>
      </c>
      <c r="DU20" s="2754" t="s">
        <v>614</v>
      </c>
      <c r="DV20" s="2754" t="s">
        <v>3753</v>
      </c>
      <c r="DW20" s="2754" t="s">
        <v>3754</v>
      </c>
      <c r="DX20" s="2754" t="s">
        <v>614</v>
      </c>
      <c r="DY20" s="2754" t="s">
        <v>3753</v>
      </c>
      <c r="DZ20" s="2754" t="s">
        <v>3754</v>
      </c>
      <c r="EA20" s="2754" t="s">
        <v>614</v>
      </c>
      <c r="EB20" s="2754" t="s">
        <v>3753</v>
      </c>
      <c r="EC20" s="2754" t="s">
        <v>3754</v>
      </c>
      <c r="ED20" s="2754" t="s">
        <v>614</v>
      </c>
      <c r="EE20" s="2754" t="s">
        <v>3753</v>
      </c>
      <c r="EF20" s="2754" t="s">
        <v>3754</v>
      </c>
      <c r="EG20" s="2754" t="s">
        <v>614</v>
      </c>
      <c r="EH20" s="2754" t="s">
        <v>3753</v>
      </c>
      <c r="EI20" s="2754" t="s">
        <v>3754</v>
      </c>
      <c r="EJ20" s="2754" t="s">
        <v>614</v>
      </c>
      <c r="EK20" s="2754" t="s">
        <v>3753</v>
      </c>
      <c r="EL20" s="2754" t="s">
        <v>3754</v>
      </c>
      <c r="EM20" s="2753" t="s">
        <v>614</v>
      </c>
      <c r="EN20" s="2753" t="s">
        <v>3753</v>
      </c>
      <c r="EO20" s="2753" t="s">
        <v>3754</v>
      </c>
      <c r="EP20" s="2753" t="s">
        <v>614</v>
      </c>
      <c r="EQ20" s="2753" t="s">
        <v>3753</v>
      </c>
      <c r="ER20" s="2753" t="s">
        <v>3754</v>
      </c>
      <c r="ES20" s="2753" t="s">
        <v>614</v>
      </c>
      <c r="ET20" s="2753" t="s">
        <v>3753</v>
      </c>
      <c r="EU20" s="2753" t="s">
        <v>3754</v>
      </c>
      <c r="EV20" s="2753" t="s">
        <v>614</v>
      </c>
      <c r="EW20" s="2753" t="s">
        <v>3753</v>
      </c>
      <c r="EX20" s="2753" t="s">
        <v>3754</v>
      </c>
      <c r="EY20" s="2753" t="s">
        <v>614</v>
      </c>
      <c r="EZ20" s="2753" t="s">
        <v>3753</v>
      </c>
      <c r="FA20" s="2753" t="s">
        <v>3754</v>
      </c>
      <c r="FB20" s="2753" t="s">
        <v>614</v>
      </c>
      <c r="FC20" s="2753" t="s">
        <v>3753</v>
      </c>
      <c r="FD20" s="2753" t="s">
        <v>3754</v>
      </c>
      <c r="FE20" s="2753" t="s">
        <v>614</v>
      </c>
      <c r="FF20" s="2753" t="s">
        <v>3753</v>
      </c>
      <c r="FG20" s="2753" t="s">
        <v>3754</v>
      </c>
      <c r="FH20" s="2753" t="s">
        <v>614</v>
      </c>
      <c r="FI20" s="2753" t="s">
        <v>3753</v>
      </c>
      <c r="FJ20" s="2753" t="s">
        <v>3754</v>
      </c>
      <c r="FK20" s="2753" t="s">
        <v>614</v>
      </c>
      <c r="FL20" s="2753" t="s">
        <v>3753</v>
      </c>
      <c r="FM20" s="2753" t="s">
        <v>3754</v>
      </c>
      <c r="FN20" s="2754" t="s">
        <v>614</v>
      </c>
      <c r="FO20" s="2754" t="s">
        <v>3753</v>
      </c>
      <c r="FP20" s="2754" t="s">
        <v>3754</v>
      </c>
      <c r="FQ20" s="2754" t="s">
        <v>614</v>
      </c>
      <c r="FR20" s="2754" t="s">
        <v>3753</v>
      </c>
      <c r="FS20" s="2754" t="s">
        <v>3754</v>
      </c>
      <c r="FT20" s="2754" t="s">
        <v>614</v>
      </c>
      <c r="FU20" s="2754" t="s">
        <v>3753</v>
      </c>
      <c r="FV20" s="2754" t="s">
        <v>3754</v>
      </c>
      <c r="FW20" s="2754" t="s">
        <v>614</v>
      </c>
      <c r="FX20" s="2754" t="s">
        <v>3753</v>
      </c>
      <c r="FY20" s="2754" t="s">
        <v>3754</v>
      </c>
      <c r="FZ20" s="2754" t="s">
        <v>614</v>
      </c>
      <c r="GA20" s="2754" t="s">
        <v>3753</v>
      </c>
      <c r="GB20" s="2754" t="s">
        <v>3754</v>
      </c>
      <c r="GC20" s="2754" t="s">
        <v>614</v>
      </c>
      <c r="GD20" s="2754" t="s">
        <v>3753</v>
      </c>
      <c r="GE20" s="2754" t="s">
        <v>3754</v>
      </c>
      <c r="GF20" s="2754" t="s">
        <v>614</v>
      </c>
      <c r="GG20" s="2754" t="s">
        <v>3753</v>
      </c>
      <c r="GH20" s="2754" t="s">
        <v>3754</v>
      </c>
      <c r="GI20" s="2754" t="s">
        <v>614</v>
      </c>
      <c r="GJ20" s="2754" t="s">
        <v>3753</v>
      </c>
      <c r="GK20" s="2754" t="s">
        <v>3754</v>
      </c>
    </row>
    <row r="21" spans="1:195" ht="18.75" customHeight="1" x14ac:dyDescent="0.3">
      <c r="A21" s="2800" t="s">
        <v>3740</v>
      </c>
      <c r="B21" s="2867">
        <f>SUM(C21:D21)</f>
        <v>6239.6020067234131</v>
      </c>
      <c r="C21" s="2867">
        <f>SUM(C10*C27)</f>
        <v>6239.6020067234131</v>
      </c>
      <c r="D21" s="2867"/>
      <c r="E21" s="2867">
        <f>SUM(F21:G21)</f>
        <v>6420.8075250000002</v>
      </c>
      <c r="F21" s="2878">
        <v>6420.8075250000002</v>
      </c>
      <c r="G21" s="2878"/>
      <c r="H21" s="2867">
        <f>SUM(I21:J21)</f>
        <v>5647.8579250000003</v>
      </c>
      <c r="I21" s="3857">
        <v>5647.8579250000003</v>
      </c>
      <c r="J21" s="3858"/>
      <c r="K21" s="2867">
        <f>SUM(L21:M21)</f>
        <v>6239.6020067234131</v>
      </c>
      <c r="L21" s="2867">
        <f>SUM(L10*L27)</f>
        <v>6239.6020067234131</v>
      </c>
      <c r="M21" s="2867"/>
      <c r="N21" s="2867">
        <f>SUM(O21:P21)</f>
        <v>6545.0914249999996</v>
      </c>
      <c r="O21" s="2878">
        <v>6545.0914249999996</v>
      </c>
      <c r="P21" s="2878"/>
      <c r="Q21" s="2867">
        <f>SUM(R21:S21)</f>
        <v>5561.2929999999997</v>
      </c>
      <c r="R21" s="3857">
        <v>5561.2929999999997</v>
      </c>
      <c r="S21" s="3858"/>
      <c r="T21" s="2867">
        <f>SUM(U21:V21)</f>
        <v>6239.6020067234131</v>
      </c>
      <c r="U21" s="2867">
        <f>SUM(U10*U27)</f>
        <v>6239.6020067234131</v>
      </c>
      <c r="V21" s="2867"/>
      <c r="W21" s="2867">
        <f>SUM(X21:Y21)</f>
        <v>6307.875583</v>
      </c>
      <c r="X21" s="2878">
        <v>6307.875583</v>
      </c>
      <c r="Y21" s="2878"/>
      <c r="Z21" s="2867">
        <f>SUM(AA21:AB21)</f>
        <v>5429.0020000000004</v>
      </c>
      <c r="AA21" s="3857">
        <v>5429.0020000000004</v>
      </c>
      <c r="AB21" s="3858"/>
      <c r="AC21" s="2868">
        <f t="shared" ref="AC21:AK25" si="204">SUM(B21+K21+T21)</f>
        <v>18718.806020170239</v>
      </c>
      <c r="AD21" s="2868">
        <f t="shared" si="204"/>
        <v>18718.806020170239</v>
      </c>
      <c r="AE21" s="2868">
        <f t="shared" si="204"/>
        <v>0</v>
      </c>
      <c r="AF21" s="2863">
        <f t="shared" si="204"/>
        <v>19273.774533</v>
      </c>
      <c r="AG21" s="2863">
        <f t="shared" si="204"/>
        <v>19273.774533</v>
      </c>
      <c r="AH21" s="2863">
        <f t="shared" si="204"/>
        <v>0</v>
      </c>
      <c r="AI21" s="2868">
        <f t="shared" si="204"/>
        <v>16638.152925000002</v>
      </c>
      <c r="AJ21" s="2868">
        <f t="shared" si="204"/>
        <v>16638.152925000002</v>
      </c>
      <c r="AK21" s="2868">
        <f t="shared" si="204"/>
        <v>0</v>
      </c>
      <c r="AL21" s="2839">
        <f t="shared" ref="AL21:AN30" si="205">SUM(AF21-AC21)</f>
        <v>554.96851282976058</v>
      </c>
      <c r="AM21" s="2839">
        <f t="shared" si="205"/>
        <v>554.96851282976058</v>
      </c>
      <c r="AN21" s="2839">
        <f t="shared" si="205"/>
        <v>0</v>
      </c>
      <c r="AO21" s="2867">
        <f>SUM(AP21:AQ21)</f>
        <v>6239.6020067234131</v>
      </c>
      <c r="AP21" s="2867">
        <f>SUM(AP10*AP27)</f>
        <v>6239.6020067234131</v>
      </c>
      <c r="AQ21" s="2867"/>
      <c r="AR21" s="2867">
        <f>SUM(AS21:AT21)</f>
        <v>6456.6639249999998</v>
      </c>
      <c r="AS21" s="2878">
        <v>6456.6639249999998</v>
      </c>
      <c r="AT21" s="2878"/>
      <c r="AU21" s="2867">
        <f>SUM(AV21:AW21)</f>
        <v>6566.83</v>
      </c>
      <c r="AV21" s="3857">
        <v>6566.83</v>
      </c>
      <c r="AW21" s="3858"/>
      <c r="AX21" s="2867">
        <f>SUM(AY21:AZ21)</f>
        <v>6239.6020067234131</v>
      </c>
      <c r="AY21" s="2867">
        <f>SUM(AY10*AY27)</f>
        <v>6239.6020067234131</v>
      </c>
      <c r="AZ21" s="2867"/>
      <c r="BA21" s="2867">
        <f>SUM(BB21:BC21)</f>
        <v>6656.8202250000004</v>
      </c>
      <c r="BB21" s="2878">
        <v>6656.8202250000004</v>
      </c>
      <c r="BC21" s="2878"/>
      <c r="BD21" s="2867">
        <f>SUM(BE21:BF21)</f>
        <v>5589.1379999999999</v>
      </c>
      <c r="BE21" s="3857">
        <v>5589.1379999999999</v>
      </c>
      <c r="BF21" s="3858"/>
      <c r="BG21" s="2867">
        <f>SUM(BH21:BI21)</f>
        <v>6239.6020067234131</v>
      </c>
      <c r="BH21" s="2867">
        <f>SUM(BH10*BH27)</f>
        <v>6239.6020067234131</v>
      </c>
      <c r="BI21" s="2867"/>
      <c r="BJ21" s="2867">
        <f>SUM(BK21:BL21)</f>
        <v>6352.8819999999996</v>
      </c>
      <c r="BK21" s="2878">
        <v>6352.8819999999996</v>
      </c>
      <c r="BL21" s="2878"/>
      <c r="BM21" s="2867">
        <f>SUM(BN21:BO21)</f>
        <v>5279.3050000000003</v>
      </c>
      <c r="BN21" s="3857">
        <v>5279.3050000000003</v>
      </c>
      <c r="BO21" s="3858"/>
      <c r="BP21" s="2868">
        <f t="shared" ref="BP21:BX25" si="206">SUM(AO21+AX21+BG21)</f>
        <v>18718.806020170239</v>
      </c>
      <c r="BQ21" s="2868">
        <f t="shared" si="206"/>
        <v>18718.806020170239</v>
      </c>
      <c r="BR21" s="2868">
        <f t="shared" si="206"/>
        <v>0</v>
      </c>
      <c r="BS21" s="2868">
        <f t="shared" si="206"/>
        <v>19466.366150000002</v>
      </c>
      <c r="BT21" s="2868">
        <f t="shared" si="206"/>
        <v>19466.366150000002</v>
      </c>
      <c r="BU21" s="2868">
        <f t="shared" si="206"/>
        <v>0</v>
      </c>
      <c r="BV21" s="2868">
        <f t="shared" si="206"/>
        <v>17435.273000000001</v>
      </c>
      <c r="BW21" s="2868">
        <f t="shared" si="206"/>
        <v>17435.273000000001</v>
      </c>
      <c r="BX21" s="2868">
        <f t="shared" si="206"/>
        <v>0</v>
      </c>
      <c r="BY21" s="2839">
        <f t="shared" ref="BY21:CA30" si="207">SUM(BS21-BP21)</f>
        <v>747.56012982976245</v>
      </c>
      <c r="BZ21" s="2839">
        <f t="shared" si="207"/>
        <v>747.56012982976245</v>
      </c>
      <c r="CA21" s="2839">
        <f t="shared" si="207"/>
        <v>0</v>
      </c>
      <c r="CB21" s="2868">
        <f t="shared" ref="CB21:CJ25" si="208">SUM(AC21+BP21)</f>
        <v>37437.612040340478</v>
      </c>
      <c r="CC21" s="2868">
        <f t="shared" si="208"/>
        <v>37437.612040340478</v>
      </c>
      <c r="CD21" s="2868">
        <f t="shared" si="208"/>
        <v>0</v>
      </c>
      <c r="CE21" s="2868">
        <f t="shared" si="208"/>
        <v>38740.140683000005</v>
      </c>
      <c r="CF21" s="2868">
        <f t="shared" si="208"/>
        <v>38740.140683000005</v>
      </c>
      <c r="CG21" s="2868">
        <f t="shared" si="208"/>
        <v>0</v>
      </c>
      <c r="CH21" s="2868">
        <f t="shared" si="208"/>
        <v>34073.425925000003</v>
      </c>
      <c r="CI21" s="2868">
        <f t="shared" si="208"/>
        <v>34073.425925000003</v>
      </c>
      <c r="CJ21" s="2868">
        <f t="shared" si="208"/>
        <v>0</v>
      </c>
      <c r="CK21" s="2839">
        <f t="shared" ref="CK21:CM30" si="209">SUM(CE21-CB21)</f>
        <v>1302.5286426595267</v>
      </c>
      <c r="CL21" s="2839">
        <f t="shared" si="209"/>
        <v>1302.5286426595267</v>
      </c>
      <c r="CM21" s="2839">
        <f t="shared" si="209"/>
        <v>0</v>
      </c>
      <c r="CN21" s="2867">
        <f>SUM(CO21:CP21)</f>
        <v>6239.6020067234131</v>
      </c>
      <c r="CO21" s="2867">
        <f>SUM(CO10*CO27)</f>
        <v>6239.6020067234131</v>
      </c>
      <c r="CP21" s="2867"/>
      <c r="CQ21" s="2867">
        <f>SUM(CR21:CS21)</f>
        <v>5781.924317</v>
      </c>
      <c r="CR21" s="2878">
        <v>5781.924317</v>
      </c>
      <c r="CS21" s="2878"/>
      <c r="CT21" s="2867">
        <f>SUM(CU21:CV21)</f>
        <v>5479.3209999999999</v>
      </c>
      <c r="CU21" s="3857">
        <v>5479.3209999999999</v>
      </c>
      <c r="CV21" s="3858"/>
      <c r="CW21" s="2867">
        <f>SUM(CX21:CY21)</f>
        <v>6239.6020067234131</v>
      </c>
      <c r="CX21" s="2867">
        <f>SUM(CX10*CX27)</f>
        <v>6239.6020067234131</v>
      </c>
      <c r="CY21" s="2867"/>
      <c r="CZ21" s="2867">
        <f>SUM(DA21:DB21)</f>
        <v>0</v>
      </c>
      <c r="DA21" s="2878"/>
      <c r="DB21" s="2878"/>
      <c r="DC21" s="2867">
        <f>SUM(DD21:DE21)</f>
        <v>5752.8710000000001</v>
      </c>
      <c r="DD21" s="3857">
        <v>5752.8710000000001</v>
      </c>
      <c r="DE21" s="3858"/>
      <c r="DF21" s="2867">
        <f>SUM(DG21:DH21)</f>
        <v>6239.6020067234131</v>
      </c>
      <c r="DG21" s="2867">
        <f>SUM(DG10*DG27)</f>
        <v>6239.6020067234131</v>
      </c>
      <c r="DH21" s="2867"/>
      <c r="DI21" s="2867">
        <f>SUM(DJ21:DK21)</f>
        <v>0</v>
      </c>
      <c r="DJ21" s="2878"/>
      <c r="DK21" s="2878"/>
      <c r="DL21" s="4898">
        <f>SUM(DM21:DN21)</f>
        <v>5795.6629999999996</v>
      </c>
      <c r="DM21" s="3857">
        <v>5795.6629999999996</v>
      </c>
      <c r="DN21" s="3857"/>
      <c r="DO21" s="2868">
        <f t="shared" ref="DO21:DW25" si="210">SUM(CN21+CW21+DF21)</f>
        <v>18718.806020170239</v>
      </c>
      <c r="DP21" s="2868">
        <f t="shared" si="210"/>
        <v>18718.806020170239</v>
      </c>
      <c r="DQ21" s="2868">
        <f t="shared" si="210"/>
        <v>0</v>
      </c>
      <c r="DR21" s="2868">
        <f t="shared" si="210"/>
        <v>5781.924317</v>
      </c>
      <c r="DS21" s="2868">
        <f t="shared" si="210"/>
        <v>5781.924317</v>
      </c>
      <c r="DT21" s="2868">
        <f t="shared" si="210"/>
        <v>0</v>
      </c>
      <c r="DU21" s="2868">
        <f t="shared" si="210"/>
        <v>17027.855</v>
      </c>
      <c r="DV21" s="2868">
        <f t="shared" si="210"/>
        <v>17027.855</v>
      </c>
      <c r="DW21" s="2868">
        <f t="shared" si="210"/>
        <v>0</v>
      </c>
      <c r="DX21" s="2839">
        <f t="shared" ref="DX21:DZ30" si="211">SUM(DR21-DO21)</f>
        <v>-12936.881703170238</v>
      </c>
      <c r="DY21" s="2839">
        <f t="shared" si="211"/>
        <v>-12936.881703170238</v>
      </c>
      <c r="DZ21" s="2839">
        <f t="shared" si="211"/>
        <v>0</v>
      </c>
      <c r="EA21" s="2868">
        <f t="shared" ref="EA21:EI25" si="212">SUM(CB21+DO21)</f>
        <v>56156.418060510718</v>
      </c>
      <c r="EB21" s="2868">
        <f t="shared" si="212"/>
        <v>56156.418060510718</v>
      </c>
      <c r="EC21" s="2868">
        <f t="shared" si="212"/>
        <v>0</v>
      </c>
      <c r="ED21" s="2863">
        <f t="shared" si="212"/>
        <v>44522.065000000002</v>
      </c>
      <c r="EE21" s="2863">
        <f t="shared" si="212"/>
        <v>44522.065000000002</v>
      </c>
      <c r="EF21" s="2863">
        <f t="shared" si="212"/>
        <v>0</v>
      </c>
      <c r="EG21" s="2868">
        <f t="shared" si="212"/>
        <v>51101.280924999999</v>
      </c>
      <c r="EH21" s="2868">
        <f t="shared" si="212"/>
        <v>51101.280924999999</v>
      </c>
      <c r="EI21" s="2868">
        <f t="shared" si="212"/>
        <v>0</v>
      </c>
      <c r="EJ21" s="2839">
        <f t="shared" ref="EJ21:EL30" si="213">SUM(ED21-EA21)</f>
        <v>-11634.353060510715</v>
      </c>
      <c r="EK21" s="2839">
        <f t="shared" si="213"/>
        <v>-11634.353060510715</v>
      </c>
      <c r="EL21" s="2839">
        <f t="shared" si="213"/>
        <v>0</v>
      </c>
      <c r="EM21" s="2867">
        <f>SUM(EN21:EO21)</f>
        <v>6239.6020067234131</v>
      </c>
      <c r="EN21" s="2867">
        <f>SUM(EN10*EN27)</f>
        <v>6239.6020067234131</v>
      </c>
      <c r="EO21" s="2867"/>
      <c r="EP21" s="2867">
        <f>SUM(EQ21:ER21)</f>
        <v>0</v>
      </c>
      <c r="EQ21" s="2878"/>
      <c r="ER21" s="2878"/>
      <c r="ES21" s="2867">
        <f>SUM(ET21:EU21)</f>
        <v>5774.5540000000001</v>
      </c>
      <c r="ET21" s="3858">
        <v>5774.5540000000001</v>
      </c>
      <c r="EU21" s="3858"/>
      <c r="EV21" s="2867">
        <f>SUM(EW21:EX21)</f>
        <v>6239.6020067234131</v>
      </c>
      <c r="EW21" s="2867">
        <f>SUM(EW10*EW27)</f>
        <v>6239.6020067234131</v>
      </c>
      <c r="EX21" s="2867"/>
      <c r="EY21" s="2867">
        <f>SUM(EZ21:FA21)</f>
        <v>0</v>
      </c>
      <c r="EZ21" s="2878"/>
      <c r="FA21" s="2878"/>
      <c r="FB21" s="2867">
        <f>SUM(FC21:FD21)</f>
        <v>5929.159275</v>
      </c>
      <c r="FC21" s="3858">
        <v>5929.159275</v>
      </c>
      <c r="FD21" s="3858"/>
      <c r="FE21" s="2867">
        <f>SUM(FF21:FG21)</f>
        <v>6239.6020067234131</v>
      </c>
      <c r="FF21" s="2867">
        <f>SUM(FF10*FF27)</f>
        <v>6239.6020067234131</v>
      </c>
      <c r="FG21" s="2867"/>
      <c r="FH21" s="2867">
        <f>SUM(FI21:FJ21)</f>
        <v>0</v>
      </c>
      <c r="FI21" s="2878"/>
      <c r="FJ21" s="2878"/>
      <c r="FK21" s="2867">
        <f>SUM(FL21:FM21)</f>
        <v>6434.4571079999996</v>
      </c>
      <c r="FL21" s="2878">
        <v>6434.4571079999996</v>
      </c>
      <c r="FM21" s="2878"/>
      <c r="FN21" s="2868">
        <f t="shared" ref="FN21:FV25" si="214">SUM(EM21+EV21+FE21)</f>
        <v>18718.806020170239</v>
      </c>
      <c r="FO21" s="2868">
        <f t="shared" si="214"/>
        <v>18718.806020170239</v>
      </c>
      <c r="FP21" s="2868">
        <f t="shared" si="214"/>
        <v>0</v>
      </c>
      <c r="FQ21" s="2868">
        <f t="shared" si="214"/>
        <v>0</v>
      </c>
      <c r="FR21" s="2868">
        <f t="shared" si="214"/>
        <v>0</v>
      </c>
      <c r="FS21" s="2868">
        <f t="shared" si="214"/>
        <v>0</v>
      </c>
      <c r="FT21" s="2868">
        <f t="shared" si="214"/>
        <v>18138.170383000001</v>
      </c>
      <c r="FU21" s="2868">
        <f t="shared" si="214"/>
        <v>18138.170383000001</v>
      </c>
      <c r="FV21" s="2868">
        <f t="shared" si="214"/>
        <v>0</v>
      </c>
      <c r="FW21" s="2839">
        <f t="shared" ref="FW21:FY30" si="215">SUM(FQ21-FN21)</f>
        <v>-18718.806020170239</v>
      </c>
      <c r="FX21" s="2839">
        <f t="shared" si="215"/>
        <v>-18718.806020170239</v>
      </c>
      <c r="FY21" s="2839">
        <f t="shared" si="215"/>
        <v>0</v>
      </c>
      <c r="FZ21" s="2863">
        <f t="shared" ref="FZ21:GH25" si="216">SUM(EA21+FN21)</f>
        <v>74875.224080680957</v>
      </c>
      <c r="GA21" s="2863">
        <f t="shared" si="216"/>
        <v>74875.224080680957</v>
      </c>
      <c r="GB21" s="2863">
        <f t="shared" si="216"/>
        <v>0</v>
      </c>
      <c r="GC21" s="2868">
        <f t="shared" si="216"/>
        <v>44522.065000000002</v>
      </c>
      <c r="GD21" s="2868">
        <f t="shared" si="216"/>
        <v>44522.065000000002</v>
      </c>
      <c r="GE21" s="2868">
        <f t="shared" si="216"/>
        <v>0</v>
      </c>
      <c r="GF21" s="2868">
        <f t="shared" si="216"/>
        <v>69239.451308000003</v>
      </c>
      <c r="GG21" s="2868">
        <f t="shared" si="216"/>
        <v>69239.451308000003</v>
      </c>
      <c r="GH21" s="2868">
        <f t="shared" si="216"/>
        <v>0</v>
      </c>
      <c r="GI21" s="2839">
        <f t="shared" ref="GI21:GK30" si="217">SUM(GC21-FZ21)</f>
        <v>-30353.159080680955</v>
      </c>
      <c r="GJ21" s="2839">
        <f t="shared" si="217"/>
        <v>-30353.159080680955</v>
      </c>
      <c r="GK21" s="2839">
        <f t="shared" si="217"/>
        <v>0</v>
      </c>
      <c r="GM21" s="3576">
        <f t="shared" ref="GM21:GM25" si="218">SUM(B21+K21+T21+AO21+AX21+BG21+CN21+CW21+DF21+EM21+EV21+FE21)</f>
        <v>74875.224080680957</v>
      </c>
    </row>
    <row r="22" spans="1:195" ht="18.75" customHeight="1" x14ac:dyDescent="0.3">
      <c r="A22" s="2800" t="s">
        <v>3741</v>
      </c>
      <c r="B22" s="2867">
        <f t="shared" ref="B22:B25" si="219">SUM(C22:D22)</f>
        <v>1794.3370915959788</v>
      </c>
      <c r="C22" s="2867">
        <f>SUM(C10*C28)</f>
        <v>1794.3370915959788</v>
      </c>
      <c r="D22" s="2867"/>
      <c r="E22" s="2867">
        <f t="shared" ref="E22:E25" si="220">SUM(F22:G22)</f>
        <v>1845.5940700000001</v>
      </c>
      <c r="F22" s="2878">
        <v>1845.5940700000001</v>
      </c>
      <c r="G22" s="2878"/>
      <c r="H22" s="2867">
        <f t="shared" ref="H22:H24" si="221">SUM(I22:J22)</f>
        <v>1486.06</v>
      </c>
      <c r="I22" s="3858">
        <v>1486.06</v>
      </c>
      <c r="J22" s="3858"/>
      <c r="K22" s="2867">
        <f t="shared" ref="K22:K25" si="222">SUM(L22:M22)</f>
        <v>1794.3370915959788</v>
      </c>
      <c r="L22" s="2867">
        <f>SUM(L10*L28)</f>
        <v>1794.3370915959788</v>
      </c>
      <c r="M22" s="2867"/>
      <c r="N22" s="2867">
        <f t="shared" ref="N22:N25" si="223">SUM(O22:P22)</f>
        <v>1883.1716200000001</v>
      </c>
      <c r="O22" s="2878">
        <v>1883.1716200000001</v>
      </c>
      <c r="P22" s="2878"/>
      <c r="Q22" s="2867">
        <f t="shared" ref="Q22:Q24" si="224">SUM(R22:S22)</f>
        <v>1463.2829999999999</v>
      </c>
      <c r="R22" s="3858">
        <v>1463.2829999999999</v>
      </c>
      <c r="S22" s="3858"/>
      <c r="T22" s="2867">
        <f t="shared" ref="T22:T25" si="225">SUM(U22:V22)</f>
        <v>1794.3370915959788</v>
      </c>
      <c r="U22" s="2867">
        <f>SUM(U10*U28)</f>
        <v>1794.3370915959788</v>
      </c>
      <c r="V22" s="2867"/>
      <c r="W22" s="2867">
        <f t="shared" ref="W22:W25" si="226">SUM(X22:Y22)</f>
        <v>1814.0345400000001</v>
      </c>
      <c r="X22" s="2878">
        <v>1814.0345400000001</v>
      </c>
      <c r="Y22" s="2878"/>
      <c r="Z22" s="2867">
        <f t="shared" ref="Z22:Z24" si="227">SUM(AA22:AB22)</f>
        <v>1428.4749999999999</v>
      </c>
      <c r="AA22" s="3858">
        <v>1428.4749999999999</v>
      </c>
      <c r="AB22" s="3858"/>
      <c r="AC22" s="2868">
        <f t="shared" si="204"/>
        <v>5383.0112747879366</v>
      </c>
      <c r="AD22" s="2868">
        <f t="shared" si="204"/>
        <v>5383.0112747879366</v>
      </c>
      <c r="AE22" s="2868">
        <f t="shared" si="204"/>
        <v>0</v>
      </c>
      <c r="AF22" s="2863">
        <f t="shared" si="204"/>
        <v>5542.8002300000007</v>
      </c>
      <c r="AG22" s="2863">
        <f t="shared" si="204"/>
        <v>5542.8002300000007</v>
      </c>
      <c r="AH22" s="2863">
        <f t="shared" si="204"/>
        <v>0</v>
      </c>
      <c r="AI22" s="2868">
        <f t="shared" si="204"/>
        <v>4377.8179999999993</v>
      </c>
      <c r="AJ22" s="2868">
        <f t="shared" si="204"/>
        <v>4377.8179999999993</v>
      </c>
      <c r="AK22" s="2868">
        <f t="shared" si="204"/>
        <v>0</v>
      </c>
      <c r="AL22" s="2839">
        <f t="shared" si="205"/>
        <v>159.78895521206414</v>
      </c>
      <c r="AM22" s="2839">
        <f t="shared" si="205"/>
        <v>159.78895521206414</v>
      </c>
      <c r="AN22" s="2839">
        <f t="shared" si="205"/>
        <v>0</v>
      </c>
      <c r="AO22" s="2867">
        <f t="shared" ref="AO22:AO25" si="228">SUM(AP22:AQ22)</f>
        <v>1794.3370915959788</v>
      </c>
      <c r="AP22" s="2867">
        <f>SUM(AP10*AP28)</f>
        <v>1794.3370915959788</v>
      </c>
      <c r="AQ22" s="2867"/>
      <c r="AR22" s="2867">
        <f t="shared" ref="AR22:AR25" si="229">SUM(AS22:AT22)</f>
        <v>1856.8233499999999</v>
      </c>
      <c r="AS22" s="2878">
        <v>1856.8233499999999</v>
      </c>
      <c r="AT22" s="2878"/>
      <c r="AU22" s="2867">
        <f t="shared" ref="AU22:AU24" si="230">SUM(AV22:AW22)</f>
        <v>1727.8579999999999</v>
      </c>
      <c r="AV22" s="3858">
        <v>1727.8579999999999</v>
      </c>
      <c r="AW22" s="3858"/>
      <c r="AX22" s="2867">
        <f t="shared" ref="AX22:AX25" si="231">SUM(AY22:AZ22)</f>
        <v>1794.3370915959788</v>
      </c>
      <c r="AY22" s="2867">
        <f>SUM(AY10*AY28)</f>
        <v>1794.3370915959788</v>
      </c>
      <c r="AZ22" s="2867"/>
      <c r="BA22" s="2867">
        <f t="shared" ref="BA22:BA25" si="232">SUM(BB22:BC22)</f>
        <v>1914.38492</v>
      </c>
      <c r="BB22" s="2878">
        <v>1914.38492</v>
      </c>
      <c r="BC22" s="2878"/>
      <c r="BD22" s="2867">
        <f t="shared" ref="BD22:BD24" si="233">SUM(BE22:BF22)</f>
        <v>1470.6079999999999</v>
      </c>
      <c r="BE22" s="3858">
        <v>1470.6079999999999</v>
      </c>
      <c r="BF22" s="3858"/>
      <c r="BG22" s="2867">
        <f t="shared" ref="BG22:BG25" si="234">SUM(BH22:BI22)</f>
        <v>1794.3370915959788</v>
      </c>
      <c r="BH22" s="2867">
        <f>SUM(BH10*BH28)</f>
        <v>1794.3370915959788</v>
      </c>
      <c r="BI22" s="2867"/>
      <c r="BJ22" s="2867">
        <f t="shared" ref="BJ22:BJ25" si="235">SUM(BK22:BL22)</f>
        <v>1826.88068</v>
      </c>
      <c r="BK22" s="2878">
        <v>1826.88068</v>
      </c>
      <c r="BL22" s="2878"/>
      <c r="BM22" s="2867">
        <f t="shared" ref="BM22:BM24" si="236">SUM(BN22:BO22)</f>
        <v>1389.085</v>
      </c>
      <c r="BN22" s="3858">
        <v>1389.085</v>
      </c>
      <c r="BO22" s="3858"/>
      <c r="BP22" s="2868">
        <f t="shared" si="206"/>
        <v>5383.0112747879366</v>
      </c>
      <c r="BQ22" s="2868">
        <f t="shared" si="206"/>
        <v>5383.0112747879366</v>
      </c>
      <c r="BR22" s="2868">
        <f t="shared" si="206"/>
        <v>0</v>
      </c>
      <c r="BS22" s="2868">
        <f t="shared" si="206"/>
        <v>5598.0889500000003</v>
      </c>
      <c r="BT22" s="2868">
        <f t="shared" si="206"/>
        <v>5598.0889500000003</v>
      </c>
      <c r="BU22" s="2868">
        <f t="shared" si="206"/>
        <v>0</v>
      </c>
      <c r="BV22" s="2868">
        <f t="shared" si="206"/>
        <v>4587.5509999999995</v>
      </c>
      <c r="BW22" s="2868">
        <f t="shared" si="206"/>
        <v>4587.5509999999995</v>
      </c>
      <c r="BX22" s="2868">
        <f t="shared" si="206"/>
        <v>0</v>
      </c>
      <c r="BY22" s="2839">
        <f t="shared" si="207"/>
        <v>215.0776752120637</v>
      </c>
      <c r="BZ22" s="2839">
        <f t="shared" si="207"/>
        <v>215.0776752120637</v>
      </c>
      <c r="CA22" s="2839">
        <f t="shared" si="207"/>
        <v>0</v>
      </c>
      <c r="CB22" s="2868">
        <f t="shared" si="208"/>
        <v>10766.022549575873</v>
      </c>
      <c r="CC22" s="2868">
        <f t="shared" si="208"/>
        <v>10766.022549575873</v>
      </c>
      <c r="CD22" s="2868">
        <f t="shared" si="208"/>
        <v>0</v>
      </c>
      <c r="CE22" s="2868">
        <f t="shared" si="208"/>
        <v>11140.889180000002</v>
      </c>
      <c r="CF22" s="2863">
        <f t="shared" si="208"/>
        <v>11140.889180000002</v>
      </c>
      <c r="CG22" s="2868">
        <f t="shared" si="208"/>
        <v>0</v>
      </c>
      <c r="CH22" s="2868">
        <f t="shared" si="208"/>
        <v>8965.3689999999988</v>
      </c>
      <c r="CI22" s="2868">
        <f t="shared" si="208"/>
        <v>8965.3689999999988</v>
      </c>
      <c r="CJ22" s="2868">
        <f t="shared" si="208"/>
        <v>0</v>
      </c>
      <c r="CK22" s="2839">
        <f t="shared" si="209"/>
        <v>374.86663042412874</v>
      </c>
      <c r="CL22" s="2839">
        <f t="shared" si="209"/>
        <v>374.86663042412874</v>
      </c>
      <c r="CM22" s="2839">
        <f t="shared" si="209"/>
        <v>0</v>
      </c>
      <c r="CN22" s="2867">
        <f t="shared" ref="CN22:CN25" si="237">SUM(CO22:CP22)</f>
        <v>1794.3370915959788</v>
      </c>
      <c r="CO22" s="2867">
        <f>SUM(CO10*CO28)</f>
        <v>1794.3370915959788</v>
      </c>
      <c r="CP22" s="2867"/>
      <c r="CQ22" s="2867">
        <f t="shared" ref="CQ22:CQ25" si="238">SUM(CR22:CS22)</f>
        <v>1662.7272499999999</v>
      </c>
      <c r="CR22" s="2878">
        <v>1662.7272499999999</v>
      </c>
      <c r="CS22" s="2878"/>
      <c r="CT22" s="2867">
        <f t="shared" ref="CT22:CT24" si="239">SUM(CU22:CV22)</f>
        <v>1044.8499999999999</v>
      </c>
      <c r="CU22" s="3858">
        <v>1044.8499999999999</v>
      </c>
      <c r="CV22" s="3858"/>
      <c r="CW22" s="2867">
        <f t="shared" ref="CW22:CW25" si="240">SUM(CX22:CY22)</f>
        <v>1794.3370915959788</v>
      </c>
      <c r="CX22" s="2867">
        <f>SUM(CX10*CX28)</f>
        <v>1794.3370915959788</v>
      </c>
      <c r="CY22" s="2867"/>
      <c r="CZ22" s="2867">
        <f t="shared" ref="CZ22:CZ25" si="241">SUM(DA22:DB22)</f>
        <v>0</v>
      </c>
      <c r="DA22" s="2878"/>
      <c r="DB22" s="2878"/>
      <c r="DC22" s="2867">
        <f t="shared" ref="DC22:DC24" si="242">SUM(DD22:DE22)</f>
        <v>1097.0139999999999</v>
      </c>
      <c r="DD22" s="3857">
        <v>1097.0139999999999</v>
      </c>
      <c r="DE22" s="3858"/>
      <c r="DF22" s="2867">
        <f t="shared" ref="DF22:DF25" si="243">SUM(DG22:DH22)</f>
        <v>1794.3370915959788</v>
      </c>
      <c r="DG22" s="2867">
        <f>SUM(DG10*DG28)</f>
        <v>1794.3370915959788</v>
      </c>
      <c r="DH22" s="2867"/>
      <c r="DI22" s="2867">
        <f t="shared" ref="DI22:DI25" si="244">SUM(DJ22:DK22)</f>
        <v>0</v>
      </c>
      <c r="DJ22" s="2878"/>
      <c r="DK22" s="2878"/>
      <c r="DL22" s="4898">
        <f t="shared" ref="DL22:DL24" si="245">SUM(DM22:DN22)</f>
        <v>1105.174</v>
      </c>
      <c r="DM22" s="3857">
        <v>1105.174</v>
      </c>
      <c r="DN22" s="3857"/>
      <c r="DO22" s="2868">
        <f t="shared" si="210"/>
        <v>5383.0112747879366</v>
      </c>
      <c r="DP22" s="2868">
        <f t="shared" si="210"/>
        <v>5383.0112747879366</v>
      </c>
      <c r="DQ22" s="2868">
        <f t="shared" si="210"/>
        <v>0</v>
      </c>
      <c r="DR22" s="2868">
        <f t="shared" si="210"/>
        <v>1662.7272499999999</v>
      </c>
      <c r="DS22" s="2868">
        <f t="shared" si="210"/>
        <v>1662.7272499999999</v>
      </c>
      <c r="DT22" s="2868">
        <f t="shared" si="210"/>
        <v>0</v>
      </c>
      <c r="DU22" s="2868">
        <f t="shared" si="210"/>
        <v>3247.0379999999996</v>
      </c>
      <c r="DV22" s="2868">
        <f t="shared" si="210"/>
        <v>3247.0379999999996</v>
      </c>
      <c r="DW22" s="2868">
        <f t="shared" si="210"/>
        <v>0</v>
      </c>
      <c r="DX22" s="2839">
        <f t="shared" si="211"/>
        <v>-3720.2840247879367</v>
      </c>
      <c r="DY22" s="2839">
        <f t="shared" si="211"/>
        <v>-3720.2840247879367</v>
      </c>
      <c r="DZ22" s="2839">
        <f t="shared" si="211"/>
        <v>0</v>
      </c>
      <c r="EA22" s="2868">
        <f t="shared" si="212"/>
        <v>16149.033824363811</v>
      </c>
      <c r="EB22" s="2868">
        <f t="shared" si="212"/>
        <v>16149.033824363811</v>
      </c>
      <c r="EC22" s="2868">
        <f t="shared" si="212"/>
        <v>0</v>
      </c>
      <c r="ED22" s="2863">
        <f t="shared" si="212"/>
        <v>12803.616430000002</v>
      </c>
      <c r="EE22" s="2863">
        <f t="shared" si="212"/>
        <v>12803.616430000002</v>
      </c>
      <c r="EF22" s="2863">
        <f t="shared" si="212"/>
        <v>0</v>
      </c>
      <c r="EG22" s="2868">
        <f t="shared" si="212"/>
        <v>12212.406999999999</v>
      </c>
      <c r="EH22" s="2868">
        <f t="shared" si="212"/>
        <v>12212.406999999999</v>
      </c>
      <c r="EI22" s="2868">
        <f t="shared" si="212"/>
        <v>0</v>
      </c>
      <c r="EJ22" s="2839">
        <f t="shared" si="213"/>
        <v>-3345.4173943638089</v>
      </c>
      <c r="EK22" s="2839">
        <f t="shared" si="213"/>
        <v>-3345.4173943638089</v>
      </c>
      <c r="EL22" s="2839">
        <f t="shared" si="213"/>
        <v>0</v>
      </c>
      <c r="EM22" s="2867">
        <f t="shared" ref="EM22:EM25" si="246">SUM(EN22:EO22)</f>
        <v>1794.3370915959788</v>
      </c>
      <c r="EN22" s="2867">
        <f>SUM(EN10*EN28)</f>
        <v>1794.3370915959788</v>
      </c>
      <c r="EO22" s="2867"/>
      <c r="EP22" s="2867">
        <f t="shared" ref="EP22:EP25" si="247">SUM(EQ22:ER22)</f>
        <v>0</v>
      </c>
      <c r="EQ22" s="2878"/>
      <c r="ER22" s="2878"/>
      <c r="ES22" s="2867">
        <f t="shared" ref="ES22:ES24" si="248">SUM(ET22:EU22)</f>
        <v>1101.1479999999999</v>
      </c>
      <c r="ET22" s="3858">
        <v>1101.1479999999999</v>
      </c>
      <c r="EU22" s="3858"/>
      <c r="EV22" s="2867">
        <f t="shared" ref="EV22:EV25" si="249">SUM(EW22:EX22)</f>
        <v>1794.3370915959788</v>
      </c>
      <c r="EW22" s="2867">
        <f>SUM(EW10*EW28)</f>
        <v>1794.3370915959788</v>
      </c>
      <c r="EX22" s="2867"/>
      <c r="EY22" s="2867">
        <f t="shared" ref="EY22:EY25" si="250">SUM(EZ22:FA22)</f>
        <v>0</v>
      </c>
      <c r="EZ22" s="2878"/>
      <c r="FA22" s="2878"/>
      <c r="FB22" s="2867">
        <f t="shared" ref="FB22:FB24" si="251">SUM(FC22:FD22)</f>
        <v>1130.62977</v>
      </c>
      <c r="FC22" s="3858">
        <v>1130.62977</v>
      </c>
      <c r="FD22" s="3858"/>
      <c r="FE22" s="2867">
        <f t="shared" ref="FE22:FE25" si="252">SUM(FF22:FG22)</f>
        <v>1794.3370915959788</v>
      </c>
      <c r="FF22" s="2867">
        <f>SUM(FF10*FF28)</f>
        <v>1794.3370915959788</v>
      </c>
      <c r="FG22" s="2867"/>
      <c r="FH22" s="2867">
        <f t="shared" ref="FH22:FH24" si="253">SUM(FI22:FJ22)</f>
        <v>0</v>
      </c>
      <c r="FI22" s="2878"/>
      <c r="FJ22" s="2878"/>
      <c r="FK22" s="2867">
        <f t="shared" ref="FK22:FK24" si="254">SUM(FL22:FM22)</f>
        <v>1850.5629799999999</v>
      </c>
      <c r="FL22" s="2878">
        <v>1850.5629799999999</v>
      </c>
      <c r="FM22" s="2878"/>
      <c r="FN22" s="2868">
        <f t="shared" si="214"/>
        <v>5383.0112747879366</v>
      </c>
      <c r="FO22" s="2868">
        <f t="shared" si="214"/>
        <v>5383.0112747879366</v>
      </c>
      <c r="FP22" s="2868">
        <f t="shared" si="214"/>
        <v>0</v>
      </c>
      <c r="FQ22" s="2868">
        <f t="shared" si="214"/>
        <v>0</v>
      </c>
      <c r="FR22" s="2868">
        <f t="shared" si="214"/>
        <v>0</v>
      </c>
      <c r="FS22" s="2868">
        <f t="shared" si="214"/>
        <v>0</v>
      </c>
      <c r="FT22" s="2868">
        <f t="shared" si="214"/>
        <v>4082.3407499999994</v>
      </c>
      <c r="FU22" s="2868">
        <f t="shared" si="214"/>
        <v>4082.3407499999994</v>
      </c>
      <c r="FV22" s="2868">
        <f t="shared" si="214"/>
        <v>0</v>
      </c>
      <c r="FW22" s="2839">
        <f t="shared" si="215"/>
        <v>-5383.0112747879366</v>
      </c>
      <c r="FX22" s="2839">
        <f t="shared" si="215"/>
        <v>-5383.0112747879366</v>
      </c>
      <c r="FY22" s="2839">
        <f t="shared" si="215"/>
        <v>0</v>
      </c>
      <c r="FZ22" s="2863">
        <f t="shared" si="216"/>
        <v>21532.045099151746</v>
      </c>
      <c r="GA22" s="2863">
        <f t="shared" si="216"/>
        <v>21532.045099151746</v>
      </c>
      <c r="GB22" s="2863">
        <f t="shared" si="216"/>
        <v>0</v>
      </c>
      <c r="GC22" s="2868">
        <f t="shared" si="216"/>
        <v>12803.616430000002</v>
      </c>
      <c r="GD22" s="2868">
        <f t="shared" si="216"/>
        <v>12803.616430000002</v>
      </c>
      <c r="GE22" s="2868">
        <f t="shared" si="216"/>
        <v>0</v>
      </c>
      <c r="GF22" s="2868">
        <f t="shared" si="216"/>
        <v>16294.747749999999</v>
      </c>
      <c r="GG22" s="2868">
        <f t="shared" si="216"/>
        <v>16294.747749999999</v>
      </c>
      <c r="GH22" s="2868">
        <f t="shared" si="216"/>
        <v>0</v>
      </c>
      <c r="GI22" s="2839">
        <f t="shared" si="217"/>
        <v>-8728.4286691517445</v>
      </c>
      <c r="GJ22" s="2839">
        <f t="shared" si="217"/>
        <v>-8728.4286691517445</v>
      </c>
      <c r="GK22" s="2839">
        <f t="shared" si="217"/>
        <v>0</v>
      </c>
      <c r="GM22" s="3576">
        <f t="shared" si="218"/>
        <v>21532.045099151746</v>
      </c>
    </row>
    <row r="23" spans="1:195" ht="18.75" customHeight="1" x14ac:dyDescent="0.3">
      <c r="A23" s="2800" t="s">
        <v>3769</v>
      </c>
      <c r="B23" s="2867">
        <f t="shared" si="219"/>
        <v>28.897857227695187</v>
      </c>
      <c r="C23" s="2867"/>
      <c r="D23" s="2867">
        <f>SUM(D11*D29)</f>
        <v>28.897857227695187</v>
      </c>
      <c r="E23" s="2867">
        <f t="shared" si="220"/>
        <v>15.974482999999999</v>
      </c>
      <c r="F23" s="2878"/>
      <c r="G23" s="3034">
        <v>15.974482999999999</v>
      </c>
      <c r="H23" s="2867">
        <f t="shared" si="221"/>
        <v>4.4865170000000001</v>
      </c>
      <c r="I23" s="3858"/>
      <c r="J23" s="3857">
        <v>4.4865170000000001</v>
      </c>
      <c r="K23" s="2867">
        <f t="shared" si="222"/>
        <v>28.897857227695187</v>
      </c>
      <c r="L23" s="2867"/>
      <c r="M23" s="2867">
        <f>SUM(M11*M29)</f>
        <v>28.897857227695187</v>
      </c>
      <c r="N23" s="2867">
        <f t="shared" si="223"/>
        <v>10.484500000000001</v>
      </c>
      <c r="O23" s="2878"/>
      <c r="P23" s="3034">
        <v>10.484500000000001</v>
      </c>
      <c r="Q23" s="2867">
        <f t="shared" si="224"/>
        <v>5.01</v>
      </c>
      <c r="R23" s="3858"/>
      <c r="S23" s="3857">
        <v>5.01</v>
      </c>
      <c r="T23" s="2867">
        <f t="shared" si="225"/>
        <v>28.897857227695187</v>
      </c>
      <c r="U23" s="2867"/>
      <c r="V23" s="2867">
        <f>SUM(V11*V29)</f>
        <v>28.897857227695187</v>
      </c>
      <c r="W23" s="2867">
        <f t="shared" si="226"/>
        <v>55.070667</v>
      </c>
      <c r="X23" s="2878"/>
      <c r="Y23" s="2878">
        <v>55.070667</v>
      </c>
      <c r="Z23" s="2867">
        <f t="shared" si="227"/>
        <v>47.936</v>
      </c>
      <c r="AA23" s="3858"/>
      <c r="AB23" s="3857">
        <v>47.936</v>
      </c>
      <c r="AC23" s="2868">
        <f t="shared" si="204"/>
        <v>86.693571683085565</v>
      </c>
      <c r="AD23" s="2868">
        <f t="shared" si="204"/>
        <v>0</v>
      </c>
      <c r="AE23" s="2868">
        <f t="shared" si="204"/>
        <v>86.693571683085565</v>
      </c>
      <c r="AF23" s="2863">
        <f t="shared" si="204"/>
        <v>81.529650000000004</v>
      </c>
      <c r="AG23" s="2863">
        <f t="shared" si="204"/>
        <v>0</v>
      </c>
      <c r="AH23" s="2863">
        <f t="shared" si="204"/>
        <v>81.529650000000004</v>
      </c>
      <c r="AI23" s="2868">
        <f t="shared" si="204"/>
        <v>57.432517000000004</v>
      </c>
      <c r="AJ23" s="2868">
        <f t="shared" si="204"/>
        <v>0</v>
      </c>
      <c r="AK23" s="2868">
        <f t="shared" si="204"/>
        <v>57.432517000000004</v>
      </c>
      <c r="AL23" s="2839">
        <f t="shared" si="205"/>
        <v>-5.1639216830855617</v>
      </c>
      <c r="AM23" s="2839">
        <f t="shared" si="205"/>
        <v>0</v>
      </c>
      <c r="AN23" s="2839">
        <f t="shared" si="205"/>
        <v>-5.1639216830855617</v>
      </c>
      <c r="AO23" s="2867">
        <f t="shared" si="228"/>
        <v>28.897857227695187</v>
      </c>
      <c r="AP23" s="2867"/>
      <c r="AQ23" s="2867">
        <f>SUM(AQ11*AQ29)</f>
        <v>28.897857227695187</v>
      </c>
      <c r="AR23" s="2867">
        <f t="shared" si="229"/>
        <v>10.4788</v>
      </c>
      <c r="AS23" s="2878">
        <v>0</v>
      </c>
      <c r="AT23" s="2878">
        <v>10.4788</v>
      </c>
      <c r="AU23" s="2867">
        <f t="shared" si="230"/>
        <v>11.416</v>
      </c>
      <c r="AV23" s="3858">
        <v>0</v>
      </c>
      <c r="AW23" s="3857">
        <v>11.416</v>
      </c>
      <c r="AX23" s="2867">
        <f t="shared" si="231"/>
        <v>28.897857227695187</v>
      </c>
      <c r="AY23" s="2867"/>
      <c r="AZ23" s="2867">
        <f>SUM(AZ11*AZ29)</f>
        <v>28.897857227695187</v>
      </c>
      <c r="BA23" s="2867">
        <f t="shared" si="232"/>
        <v>17.056533000000002</v>
      </c>
      <c r="BB23" s="2878">
        <v>0</v>
      </c>
      <c r="BC23" s="2878">
        <v>17.056533000000002</v>
      </c>
      <c r="BD23" s="2867">
        <f t="shared" si="233"/>
        <v>11.141</v>
      </c>
      <c r="BE23" s="3858">
        <v>0</v>
      </c>
      <c r="BF23" s="3857">
        <v>11.141</v>
      </c>
      <c r="BG23" s="2867">
        <f t="shared" si="234"/>
        <v>28.897857227695187</v>
      </c>
      <c r="BH23" s="2867"/>
      <c r="BI23" s="2867">
        <f>SUM(BI11*BI29)</f>
        <v>28.897857227695187</v>
      </c>
      <c r="BJ23" s="2867">
        <f t="shared" si="235"/>
        <v>59.028700000000001</v>
      </c>
      <c r="BK23" s="2878">
        <v>0</v>
      </c>
      <c r="BL23" s="2878">
        <v>59.028700000000001</v>
      </c>
      <c r="BM23" s="2867">
        <f t="shared" si="236"/>
        <v>57.432000000000002</v>
      </c>
      <c r="BN23" s="3858">
        <v>0</v>
      </c>
      <c r="BO23" s="3857">
        <v>57.432000000000002</v>
      </c>
      <c r="BP23" s="2868">
        <f t="shared" si="206"/>
        <v>86.693571683085565</v>
      </c>
      <c r="BQ23" s="2868">
        <f t="shared" si="206"/>
        <v>0</v>
      </c>
      <c r="BR23" s="2868">
        <f t="shared" si="206"/>
        <v>86.693571683085565</v>
      </c>
      <c r="BS23" s="2868">
        <f t="shared" si="206"/>
        <v>86.564032999999995</v>
      </c>
      <c r="BT23" s="2868">
        <f t="shared" si="206"/>
        <v>0</v>
      </c>
      <c r="BU23" s="2868">
        <f t="shared" si="206"/>
        <v>86.564032999999995</v>
      </c>
      <c r="BV23" s="2868">
        <f t="shared" si="206"/>
        <v>79.989000000000004</v>
      </c>
      <c r="BW23" s="2868">
        <f t="shared" si="206"/>
        <v>0</v>
      </c>
      <c r="BX23" s="2868">
        <f t="shared" si="206"/>
        <v>79.989000000000004</v>
      </c>
      <c r="BY23" s="2839">
        <f t="shared" si="207"/>
        <v>-0.12953868308557048</v>
      </c>
      <c r="BZ23" s="2839">
        <f t="shared" si="207"/>
        <v>0</v>
      </c>
      <c r="CA23" s="2839">
        <f t="shared" si="207"/>
        <v>-0.12953868308557048</v>
      </c>
      <c r="CB23" s="2868">
        <f t="shared" si="208"/>
        <v>173.38714336617113</v>
      </c>
      <c r="CC23" s="2868">
        <f t="shared" si="208"/>
        <v>0</v>
      </c>
      <c r="CD23" s="2868">
        <f t="shared" si="208"/>
        <v>173.38714336617113</v>
      </c>
      <c r="CE23" s="2868">
        <f t="shared" si="208"/>
        <v>168.093683</v>
      </c>
      <c r="CF23" s="2868">
        <f t="shared" si="208"/>
        <v>0</v>
      </c>
      <c r="CG23" s="2868">
        <f t="shared" si="208"/>
        <v>168.093683</v>
      </c>
      <c r="CH23" s="2868">
        <f t="shared" si="208"/>
        <v>137.42151699999999</v>
      </c>
      <c r="CI23" s="2868">
        <f t="shared" si="208"/>
        <v>0</v>
      </c>
      <c r="CJ23" s="2868">
        <f t="shared" si="208"/>
        <v>137.42151699999999</v>
      </c>
      <c r="CK23" s="2839">
        <f t="shared" si="209"/>
        <v>-5.2934603661711321</v>
      </c>
      <c r="CL23" s="2839">
        <f t="shared" si="209"/>
        <v>0</v>
      </c>
      <c r="CM23" s="2839">
        <f t="shared" si="209"/>
        <v>-5.2934603661711321</v>
      </c>
      <c r="CN23" s="2867">
        <f t="shared" si="237"/>
        <v>28.897857227695187</v>
      </c>
      <c r="CO23" s="2867"/>
      <c r="CP23" s="2867">
        <f>SUM(CP11*CP29)</f>
        <v>28.897857227695187</v>
      </c>
      <c r="CQ23" s="2867">
        <f t="shared" si="238"/>
        <v>12.35815</v>
      </c>
      <c r="CR23" s="2878">
        <v>0</v>
      </c>
      <c r="CS23" s="2878">
        <v>12.35815</v>
      </c>
      <c r="CT23" s="2867">
        <f t="shared" si="239"/>
        <v>6.6849999999999996</v>
      </c>
      <c r="CU23" s="3858">
        <v>0</v>
      </c>
      <c r="CV23" s="3857">
        <v>6.6849999999999996</v>
      </c>
      <c r="CW23" s="2867">
        <f t="shared" si="240"/>
        <v>28.897857227695187</v>
      </c>
      <c r="CX23" s="2867"/>
      <c r="CY23" s="2867">
        <f>SUM(CY11*CY29)</f>
        <v>28.897857227695187</v>
      </c>
      <c r="CZ23" s="2867">
        <f t="shared" si="241"/>
        <v>0</v>
      </c>
      <c r="DA23" s="2878"/>
      <c r="DB23" s="2878"/>
      <c r="DC23" s="2867">
        <f t="shared" si="242"/>
        <v>7.9370000000000003</v>
      </c>
      <c r="DD23" s="3858">
        <v>0</v>
      </c>
      <c r="DE23" s="3857">
        <v>7.9370000000000003</v>
      </c>
      <c r="DF23" s="2867">
        <f t="shared" si="243"/>
        <v>28.897857227695187</v>
      </c>
      <c r="DG23" s="2867"/>
      <c r="DH23" s="2867">
        <f>SUM(DH11*DH29)</f>
        <v>28.897857227695187</v>
      </c>
      <c r="DI23" s="2867">
        <f t="shared" si="244"/>
        <v>0</v>
      </c>
      <c r="DJ23" s="2878"/>
      <c r="DK23" s="2878"/>
      <c r="DL23" s="4898">
        <f t="shared" si="245"/>
        <v>57.165616999999997</v>
      </c>
      <c r="DM23" s="3857">
        <v>0</v>
      </c>
      <c r="DN23" s="3857">
        <v>57.165616999999997</v>
      </c>
      <c r="DO23" s="2868">
        <f t="shared" si="210"/>
        <v>86.693571683085565</v>
      </c>
      <c r="DP23" s="2868">
        <f t="shared" si="210"/>
        <v>0</v>
      </c>
      <c r="DQ23" s="2868">
        <f t="shared" si="210"/>
        <v>86.693571683085565</v>
      </c>
      <c r="DR23" s="2868">
        <f t="shared" si="210"/>
        <v>12.35815</v>
      </c>
      <c r="DS23" s="2868">
        <f t="shared" si="210"/>
        <v>0</v>
      </c>
      <c r="DT23" s="2868">
        <f t="shared" si="210"/>
        <v>12.35815</v>
      </c>
      <c r="DU23" s="2868">
        <f t="shared" si="210"/>
        <v>71.787616999999997</v>
      </c>
      <c r="DV23" s="2868">
        <f t="shared" si="210"/>
        <v>0</v>
      </c>
      <c r="DW23" s="2868">
        <f t="shared" si="210"/>
        <v>71.787616999999997</v>
      </c>
      <c r="DX23" s="2839">
        <f t="shared" si="211"/>
        <v>-74.335421683085571</v>
      </c>
      <c r="DY23" s="2839">
        <f t="shared" si="211"/>
        <v>0</v>
      </c>
      <c r="DZ23" s="2839">
        <f t="shared" si="211"/>
        <v>-74.335421683085571</v>
      </c>
      <c r="EA23" s="2868">
        <f t="shared" si="212"/>
        <v>260.0807150492567</v>
      </c>
      <c r="EB23" s="2868">
        <f t="shared" si="212"/>
        <v>0</v>
      </c>
      <c r="EC23" s="2868">
        <f t="shared" si="212"/>
        <v>260.0807150492567</v>
      </c>
      <c r="ED23" s="2863">
        <f t="shared" si="212"/>
        <v>180.45183299999999</v>
      </c>
      <c r="EE23" s="2863">
        <f t="shared" si="212"/>
        <v>0</v>
      </c>
      <c r="EF23" s="2863">
        <f t="shared" si="212"/>
        <v>180.45183299999999</v>
      </c>
      <c r="EG23" s="2868">
        <f t="shared" si="212"/>
        <v>209.20913400000001</v>
      </c>
      <c r="EH23" s="2868">
        <f t="shared" si="212"/>
        <v>0</v>
      </c>
      <c r="EI23" s="2868">
        <f t="shared" si="212"/>
        <v>209.20913400000001</v>
      </c>
      <c r="EJ23" s="2839">
        <f t="shared" si="213"/>
        <v>-79.628882049256703</v>
      </c>
      <c r="EK23" s="2839">
        <f t="shared" si="213"/>
        <v>0</v>
      </c>
      <c r="EL23" s="2839">
        <f t="shared" si="213"/>
        <v>-79.628882049256703</v>
      </c>
      <c r="EM23" s="2867">
        <f t="shared" si="246"/>
        <v>28.897857227695187</v>
      </c>
      <c r="EN23" s="2867"/>
      <c r="EO23" s="2867">
        <f>SUM(EO11*EO29)</f>
        <v>28.897857227695187</v>
      </c>
      <c r="EP23" s="2867">
        <f t="shared" si="247"/>
        <v>0</v>
      </c>
      <c r="EQ23" s="2878"/>
      <c r="ER23" s="2878"/>
      <c r="ES23" s="2867">
        <f t="shared" si="248"/>
        <v>12.894</v>
      </c>
      <c r="ET23" s="3858">
        <v>0</v>
      </c>
      <c r="EU23" s="3858">
        <v>12.894</v>
      </c>
      <c r="EV23" s="2867">
        <f t="shared" si="249"/>
        <v>28.897857227695187</v>
      </c>
      <c r="EW23" s="2867"/>
      <c r="EX23" s="2867">
        <f>SUM(EX11*EX29)</f>
        <v>28.897857227695187</v>
      </c>
      <c r="EY23" s="2867">
        <f t="shared" si="250"/>
        <v>0</v>
      </c>
      <c r="EZ23" s="2878"/>
      <c r="FA23" s="2878"/>
      <c r="FB23" s="2867">
        <f t="shared" si="251"/>
        <v>11.767633</v>
      </c>
      <c r="FC23" s="3858">
        <v>0</v>
      </c>
      <c r="FD23" s="3858">
        <v>11.767633</v>
      </c>
      <c r="FE23" s="2867">
        <f t="shared" si="252"/>
        <v>28.897857227695187</v>
      </c>
      <c r="FF23" s="2867"/>
      <c r="FG23" s="2867">
        <f>SUM(FG11*FG29)</f>
        <v>28.897857227695187</v>
      </c>
      <c r="FH23" s="2867">
        <f t="shared" si="253"/>
        <v>0</v>
      </c>
      <c r="FI23" s="2878"/>
      <c r="FJ23" s="2878"/>
      <c r="FK23" s="2867">
        <f t="shared" si="254"/>
        <v>70.999258299999994</v>
      </c>
      <c r="FL23" s="2878"/>
      <c r="FM23" s="2878">
        <v>70.999258299999994</v>
      </c>
      <c r="FN23" s="2868">
        <f t="shared" si="214"/>
        <v>86.693571683085565</v>
      </c>
      <c r="FO23" s="2868">
        <f t="shared" si="214"/>
        <v>0</v>
      </c>
      <c r="FP23" s="2868">
        <f t="shared" si="214"/>
        <v>86.693571683085565</v>
      </c>
      <c r="FQ23" s="2868">
        <f t="shared" si="214"/>
        <v>0</v>
      </c>
      <c r="FR23" s="2868">
        <f t="shared" si="214"/>
        <v>0</v>
      </c>
      <c r="FS23" s="2868">
        <f t="shared" si="214"/>
        <v>0</v>
      </c>
      <c r="FT23" s="2868">
        <f t="shared" si="214"/>
        <v>95.660891300000003</v>
      </c>
      <c r="FU23" s="2868">
        <f t="shared" si="214"/>
        <v>0</v>
      </c>
      <c r="FV23" s="2868">
        <f t="shared" si="214"/>
        <v>95.660891300000003</v>
      </c>
      <c r="FW23" s="2839">
        <f t="shared" si="215"/>
        <v>-86.693571683085565</v>
      </c>
      <c r="FX23" s="2839">
        <f t="shared" si="215"/>
        <v>0</v>
      </c>
      <c r="FY23" s="2839">
        <f t="shared" si="215"/>
        <v>-86.693571683085565</v>
      </c>
      <c r="FZ23" s="2863">
        <f t="shared" si="216"/>
        <v>346.77428673234226</v>
      </c>
      <c r="GA23" s="2863">
        <f t="shared" si="216"/>
        <v>0</v>
      </c>
      <c r="GB23" s="2863">
        <f t="shared" si="216"/>
        <v>346.77428673234226</v>
      </c>
      <c r="GC23" s="2868">
        <f t="shared" si="216"/>
        <v>180.45183299999999</v>
      </c>
      <c r="GD23" s="2868">
        <f t="shared" si="216"/>
        <v>0</v>
      </c>
      <c r="GE23" s="2868">
        <f t="shared" si="216"/>
        <v>180.45183299999999</v>
      </c>
      <c r="GF23" s="2868">
        <f t="shared" si="216"/>
        <v>304.87002530000001</v>
      </c>
      <c r="GG23" s="2868">
        <f t="shared" si="216"/>
        <v>0</v>
      </c>
      <c r="GH23" s="2868">
        <f t="shared" si="216"/>
        <v>304.87002530000001</v>
      </c>
      <c r="GI23" s="2839">
        <f t="shared" si="217"/>
        <v>-166.32245373234227</v>
      </c>
      <c r="GJ23" s="2839">
        <f t="shared" si="217"/>
        <v>0</v>
      </c>
      <c r="GK23" s="2839">
        <f t="shared" si="217"/>
        <v>-166.32245373234227</v>
      </c>
      <c r="GM23" s="3576">
        <f t="shared" si="218"/>
        <v>346.7742867323422</v>
      </c>
    </row>
    <row r="24" spans="1:195" ht="18.75" customHeight="1" x14ac:dyDescent="0.3">
      <c r="A24" s="2800" t="s">
        <v>3742</v>
      </c>
      <c r="B24" s="2867">
        <f t="shared" si="219"/>
        <v>2341.3089111327959</v>
      </c>
      <c r="C24" s="2867">
        <f>SUM(C12*C30)</f>
        <v>2341.3089111327959</v>
      </c>
      <c r="D24" s="2867"/>
      <c r="E24" s="2867">
        <f t="shared" si="220"/>
        <v>2180.5681330000002</v>
      </c>
      <c r="F24" s="2878">
        <v>2180.5681330000002</v>
      </c>
      <c r="G24" s="2878"/>
      <c r="H24" s="2867">
        <f t="shared" si="221"/>
        <v>2389.806</v>
      </c>
      <c r="I24" s="3857">
        <v>2389.806</v>
      </c>
      <c r="J24" s="3858"/>
      <c r="K24" s="2867">
        <f t="shared" si="222"/>
        <v>2341.3089111327959</v>
      </c>
      <c r="L24" s="2867">
        <f>SUM(L12*L30)</f>
        <v>2341.3089111327959</v>
      </c>
      <c r="M24" s="2867"/>
      <c r="N24" s="2867">
        <f t="shared" si="223"/>
        <v>2483.2593999999999</v>
      </c>
      <c r="O24" s="2878">
        <v>2483.2593999999999</v>
      </c>
      <c r="P24" s="2878"/>
      <c r="Q24" s="2867">
        <f t="shared" si="224"/>
        <v>2545.9009999999998</v>
      </c>
      <c r="R24" s="3857">
        <v>2545.9009999999998</v>
      </c>
      <c r="S24" s="3858"/>
      <c r="T24" s="2867">
        <f t="shared" si="225"/>
        <v>2341.3089111327959</v>
      </c>
      <c r="U24" s="2867">
        <f>SUM(U12*U30)</f>
        <v>2341.3089111327959</v>
      </c>
      <c r="V24" s="2867"/>
      <c r="W24" s="2867">
        <f t="shared" si="226"/>
        <v>2340.2774920000002</v>
      </c>
      <c r="X24" s="2878">
        <v>2340.2774920000002</v>
      </c>
      <c r="Y24" s="2878"/>
      <c r="Z24" s="2867">
        <f t="shared" si="227"/>
        <v>2436.79</v>
      </c>
      <c r="AA24" s="3857">
        <v>2436.79</v>
      </c>
      <c r="AB24" s="3858"/>
      <c r="AC24" s="2868">
        <f t="shared" si="204"/>
        <v>7023.926733398388</v>
      </c>
      <c r="AD24" s="2868">
        <f t="shared" si="204"/>
        <v>7023.926733398388</v>
      </c>
      <c r="AE24" s="2868">
        <f t="shared" si="204"/>
        <v>0</v>
      </c>
      <c r="AF24" s="2863">
        <f t="shared" si="204"/>
        <v>7004.1050249999998</v>
      </c>
      <c r="AG24" s="2863">
        <f t="shared" si="204"/>
        <v>7004.1050249999998</v>
      </c>
      <c r="AH24" s="2863">
        <f t="shared" si="204"/>
        <v>0</v>
      </c>
      <c r="AI24" s="2868">
        <f t="shared" si="204"/>
        <v>7372.4970000000003</v>
      </c>
      <c r="AJ24" s="2868">
        <f t="shared" si="204"/>
        <v>7372.4970000000003</v>
      </c>
      <c r="AK24" s="2868">
        <f t="shared" si="204"/>
        <v>0</v>
      </c>
      <c r="AL24" s="2839">
        <f t="shared" si="205"/>
        <v>-19.821708398388182</v>
      </c>
      <c r="AM24" s="2839">
        <f t="shared" si="205"/>
        <v>-19.821708398388182</v>
      </c>
      <c r="AN24" s="2839">
        <f t="shared" si="205"/>
        <v>0</v>
      </c>
      <c r="AO24" s="2867">
        <f t="shared" si="228"/>
        <v>2341.3089111327959</v>
      </c>
      <c r="AP24" s="2867">
        <f>SUM(AP12*AP30)</f>
        <v>2341.3089111327959</v>
      </c>
      <c r="AQ24" s="2867"/>
      <c r="AR24" s="2867">
        <f t="shared" si="229"/>
        <v>2384.7407079999998</v>
      </c>
      <c r="AS24" s="2878">
        <v>2384.7407079999998</v>
      </c>
      <c r="AT24" s="2878"/>
      <c r="AU24" s="2867">
        <f t="shared" si="230"/>
        <v>1926.144</v>
      </c>
      <c r="AV24" s="3857">
        <v>1926.144</v>
      </c>
      <c r="AW24" s="3858"/>
      <c r="AX24" s="2867">
        <f t="shared" si="231"/>
        <v>2341.3089111327959</v>
      </c>
      <c r="AY24" s="2867">
        <f>SUM(AY12*AY30)</f>
        <v>2341.3089111327959</v>
      </c>
      <c r="AZ24" s="2867"/>
      <c r="BA24" s="2867">
        <f t="shared" si="232"/>
        <v>2123.5100830000001</v>
      </c>
      <c r="BB24" s="2878">
        <v>2123.5100830000001</v>
      </c>
      <c r="BC24" s="2878"/>
      <c r="BD24" s="2867">
        <f t="shared" si="233"/>
        <v>2071.335</v>
      </c>
      <c r="BE24" s="3857">
        <v>2071.335</v>
      </c>
      <c r="BF24" s="3858"/>
      <c r="BG24" s="2867">
        <f t="shared" si="234"/>
        <v>2341.3089111327959</v>
      </c>
      <c r="BH24" s="2867">
        <f>SUM(BH12*BH30)</f>
        <v>2341.3089111327959</v>
      </c>
      <c r="BI24" s="2867"/>
      <c r="BJ24" s="2867">
        <f t="shared" si="235"/>
        <v>2201.6550000000002</v>
      </c>
      <c r="BK24" s="2878">
        <v>2201.6550000000002</v>
      </c>
      <c r="BL24" s="2878"/>
      <c r="BM24" s="2867">
        <f t="shared" si="236"/>
        <v>2233.5439999999999</v>
      </c>
      <c r="BN24" s="3857">
        <v>2233.5439999999999</v>
      </c>
      <c r="BO24" s="3858"/>
      <c r="BP24" s="2868">
        <f t="shared" si="206"/>
        <v>7023.926733398388</v>
      </c>
      <c r="BQ24" s="2868">
        <f t="shared" si="206"/>
        <v>7023.926733398388</v>
      </c>
      <c r="BR24" s="2868">
        <f t="shared" si="206"/>
        <v>0</v>
      </c>
      <c r="BS24" s="2868">
        <f t="shared" si="206"/>
        <v>6709.905791000001</v>
      </c>
      <c r="BT24" s="2868">
        <f t="shared" si="206"/>
        <v>6709.905791000001</v>
      </c>
      <c r="BU24" s="2868">
        <f t="shared" si="206"/>
        <v>0</v>
      </c>
      <c r="BV24" s="2868">
        <f t="shared" si="206"/>
        <v>6231.0230000000001</v>
      </c>
      <c r="BW24" s="2868">
        <f t="shared" si="206"/>
        <v>6231.0230000000001</v>
      </c>
      <c r="BX24" s="2868">
        <f t="shared" si="206"/>
        <v>0</v>
      </c>
      <c r="BY24" s="2839">
        <f t="shared" si="207"/>
        <v>-314.02094239838698</v>
      </c>
      <c r="BZ24" s="2839">
        <f t="shared" si="207"/>
        <v>-314.02094239838698</v>
      </c>
      <c r="CA24" s="2839">
        <f t="shared" si="207"/>
        <v>0</v>
      </c>
      <c r="CB24" s="2868">
        <f t="shared" si="208"/>
        <v>14047.853466796776</v>
      </c>
      <c r="CC24" s="2868">
        <f t="shared" si="208"/>
        <v>14047.853466796776</v>
      </c>
      <c r="CD24" s="2868">
        <f t="shared" si="208"/>
        <v>0</v>
      </c>
      <c r="CE24" s="2868">
        <f t="shared" si="208"/>
        <v>13714.010816000002</v>
      </c>
      <c r="CF24" s="2868">
        <f t="shared" si="208"/>
        <v>13714.010816000002</v>
      </c>
      <c r="CG24" s="2868">
        <f t="shared" si="208"/>
        <v>0</v>
      </c>
      <c r="CH24" s="2868">
        <f t="shared" si="208"/>
        <v>13603.52</v>
      </c>
      <c r="CI24" s="2868">
        <f t="shared" si="208"/>
        <v>13603.52</v>
      </c>
      <c r="CJ24" s="2868">
        <f t="shared" si="208"/>
        <v>0</v>
      </c>
      <c r="CK24" s="2839">
        <f t="shared" si="209"/>
        <v>-333.84265079677425</v>
      </c>
      <c r="CL24" s="2839">
        <f t="shared" si="209"/>
        <v>-333.84265079677425</v>
      </c>
      <c r="CM24" s="2839">
        <f t="shared" si="209"/>
        <v>0</v>
      </c>
      <c r="CN24" s="2867">
        <f t="shared" si="237"/>
        <v>2341.3089111327959</v>
      </c>
      <c r="CO24" s="2867">
        <f>SUM(CO12*CO30)</f>
        <v>2341.3089111327959</v>
      </c>
      <c r="CP24" s="2867"/>
      <c r="CQ24" s="2867">
        <f t="shared" si="238"/>
        <v>1735.8836920000001</v>
      </c>
      <c r="CR24" s="2878">
        <v>1735.8836920000001</v>
      </c>
      <c r="CS24" s="2878"/>
      <c r="CT24" s="2867">
        <f t="shared" si="239"/>
        <v>2027.2370000000001</v>
      </c>
      <c r="CU24" s="3857">
        <v>2027.2370000000001</v>
      </c>
      <c r="CV24" s="3858"/>
      <c r="CW24" s="2867">
        <f t="shared" si="240"/>
        <v>2341.3089111327959</v>
      </c>
      <c r="CX24" s="2867">
        <f>SUM(CX12*CX30)</f>
        <v>2341.3089111327959</v>
      </c>
      <c r="CY24" s="2867"/>
      <c r="CZ24" s="2867">
        <f t="shared" si="241"/>
        <v>0</v>
      </c>
      <c r="DA24" s="2878"/>
      <c r="DB24" s="2878"/>
      <c r="DC24" s="2867">
        <f t="shared" si="242"/>
        <v>1914.481</v>
      </c>
      <c r="DD24" s="3857">
        <v>1914.481</v>
      </c>
      <c r="DE24" s="3858"/>
      <c r="DF24" s="2867">
        <f t="shared" si="243"/>
        <v>2341.3089111327959</v>
      </c>
      <c r="DG24" s="2867">
        <f>SUM(DG12*DG30)</f>
        <v>2341.3089111327959</v>
      </c>
      <c r="DH24" s="2867"/>
      <c r="DI24" s="2867">
        <f t="shared" si="244"/>
        <v>0</v>
      </c>
      <c r="DJ24" s="2878"/>
      <c r="DK24" s="2878"/>
      <c r="DL24" s="4898">
        <f t="shared" si="245"/>
        <v>2235.4870000000001</v>
      </c>
      <c r="DM24" s="3857">
        <v>2235.4870000000001</v>
      </c>
      <c r="DN24" s="3857"/>
      <c r="DO24" s="2868">
        <f t="shared" si="210"/>
        <v>7023.926733398388</v>
      </c>
      <c r="DP24" s="2868">
        <f t="shared" si="210"/>
        <v>7023.926733398388</v>
      </c>
      <c r="DQ24" s="2868">
        <f t="shared" si="210"/>
        <v>0</v>
      </c>
      <c r="DR24" s="2868">
        <f t="shared" si="210"/>
        <v>1735.8836920000001</v>
      </c>
      <c r="DS24" s="2868">
        <f t="shared" si="210"/>
        <v>1735.8836920000001</v>
      </c>
      <c r="DT24" s="2868">
        <f t="shared" si="210"/>
        <v>0</v>
      </c>
      <c r="DU24" s="2868">
        <f t="shared" si="210"/>
        <v>6177.2049999999999</v>
      </c>
      <c r="DV24" s="2868">
        <f t="shared" si="210"/>
        <v>6177.2049999999999</v>
      </c>
      <c r="DW24" s="2868">
        <f t="shared" si="210"/>
        <v>0</v>
      </c>
      <c r="DX24" s="2839">
        <f t="shared" si="211"/>
        <v>-5288.0430413983877</v>
      </c>
      <c r="DY24" s="2839">
        <f t="shared" si="211"/>
        <v>-5288.0430413983877</v>
      </c>
      <c r="DZ24" s="2839">
        <f t="shared" si="211"/>
        <v>0</v>
      </c>
      <c r="EA24" s="2868">
        <f t="shared" si="212"/>
        <v>21071.780200195164</v>
      </c>
      <c r="EB24" s="2868">
        <f t="shared" si="212"/>
        <v>21071.780200195164</v>
      </c>
      <c r="EC24" s="2868">
        <f t="shared" si="212"/>
        <v>0</v>
      </c>
      <c r="ED24" s="2863">
        <f t="shared" si="212"/>
        <v>15449.894508000001</v>
      </c>
      <c r="EE24" s="2863">
        <f t="shared" si="212"/>
        <v>15449.894508000001</v>
      </c>
      <c r="EF24" s="2863">
        <f t="shared" si="212"/>
        <v>0</v>
      </c>
      <c r="EG24" s="2868">
        <f t="shared" si="212"/>
        <v>19780.724999999999</v>
      </c>
      <c r="EH24" s="2868">
        <f t="shared" si="212"/>
        <v>19780.724999999999</v>
      </c>
      <c r="EI24" s="2868">
        <f t="shared" si="212"/>
        <v>0</v>
      </c>
      <c r="EJ24" s="2839">
        <f t="shared" si="213"/>
        <v>-5621.8856921951628</v>
      </c>
      <c r="EK24" s="2839">
        <f t="shared" si="213"/>
        <v>-5621.8856921951628</v>
      </c>
      <c r="EL24" s="2839">
        <f t="shared" si="213"/>
        <v>0</v>
      </c>
      <c r="EM24" s="2867">
        <f t="shared" si="246"/>
        <v>2341.3089111327959</v>
      </c>
      <c r="EN24" s="2867">
        <f>SUM(EN12*EN30)</f>
        <v>2341.3089111327959</v>
      </c>
      <c r="EO24" s="2867"/>
      <c r="EP24" s="2867">
        <f t="shared" si="247"/>
        <v>0</v>
      </c>
      <c r="EQ24" s="2878"/>
      <c r="ER24" s="2878"/>
      <c r="ES24" s="2867">
        <f t="shared" si="248"/>
        <v>2285.0239999999999</v>
      </c>
      <c r="ET24" s="3858">
        <v>2285.0239999999999</v>
      </c>
      <c r="EU24" s="3858"/>
      <c r="EV24" s="2867">
        <f t="shared" si="249"/>
        <v>2341.3089111327959</v>
      </c>
      <c r="EW24" s="2867">
        <f>SUM(EW12*EW30)</f>
        <v>2341.3089111327959</v>
      </c>
      <c r="EX24" s="2867"/>
      <c r="EY24" s="2867">
        <f t="shared" si="250"/>
        <v>0</v>
      </c>
      <c r="EZ24" s="2878"/>
      <c r="FA24" s="2878"/>
      <c r="FB24" s="2867">
        <f t="shared" si="251"/>
        <v>2106.6550000000002</v>
      </c>
      <c r="FC24" s="3858">
        <v>2106.6550000000002</v>
      </c>
      <c r="FD24" s="3858"/>
      <c r="FE24" s="2867">
        <f t="shared" si="252"/>
        <v>2341.3089111327959</v>
      </c>
      <c r="FF24" s="2867">
        <f>SUM(FF12*FF30)</f>
        <v>2341.3089111327959</v>
      </c>
      <c r="FG24" s="2867"/>
      <c r="FH24" s="2867">
        <f t="shared" si="253"/>
        <v>0</v>
      </c>
      <c r="FI24" s="2878"/>
      <c r="FJ24" s="2878"/>
      <c r="FK24" s="2867">
        <f t="shared" si="254"/>
        <v>2634.195158</v>
      </c>
      <c r="FL24" s="2878">
        <v>2634.195158</v>
      </c>
      <c r="FM24" s="2878"/>
      <c r="FN24" s="2868">
        <f t="shared" si="214"/>
        <v>7023.926733398388</v>
      </c>
      <c r="FO24" s="2868">
        <f t="shared" si="214"/>
        <v>7023.926733398388</v>
      </c>
      <c r="FP24" s="2868">
        <f t="shared" si="214"/>
        <v>0</v>
      </c>
      <c r="FQ24" s="2868">
        <f t="shared" si="214"/>
        <v>0</v>
      </c>
      <c r="FR24" s="2868">
        <f t="shared" si="214"/>
        <v>0</v>
      </c>
      <c r="FS24" s="2868">
        <f t="shared" si="214"/>
        <v>0</v>
      </c>
      <c r="FT24" s="2868">
        <f t="shared" si="214"/>
        <v>7025.8741580000005</v>
      </c>
      <c r="FU24" s="2868">
        <f t="shared" si="214"/>
        <v>7025.8741580000005</v>
      </c>
      <c r="FV24" s="2868">
        <f t="shared" si="214"/>
        <v>0</v>
      </c>
      <c r="FW24" s="2839">
        <f t="shared" si="215"/>
        <v>-7023.926733398388</v>
      </c>
      <c r="FX24" s="2839">
        <f t="shared" si="215"/>
        <v>-7023.926733398388</v>
      </c>
      <c r="FY24" s="2839">
        <f t="shared" si="215"/>
        <v>0</v>
      </c>
      <c r="FZ24" s="2863">
        <f t="shared" si="216"/>
        <v>28095.706933593552</v>
      </c>
      <c r="GA24" s="2863">
        <f t="shared" si="216"/>
        <v>28095.706933593552</v>
      </c>
      <c r="GB24" s="2863">
        <f t="shared" si="216"/>
        <v>0</v>
      </c>
      <c r="GC24" s="2868">
        <f t="shared" si="216"/>
        <v>15449.894508000001</v>
      </c>
      <c r="GD24" s="2868">
        <f t="shared" si="216"/>
        <v>15449.894508000001</v>
      </c>
      <c r="GE24" s="2868">
        <f t="shared" si="216"/>
        <v>0</v>
      </c>
      <c r="GF24" s="2868">
        <f t="shared" si="216"/>
        <v>26806.599157999997</v>
      </c>
      <c r="GG24" s="2868">
        <f t="shared" si="216"/>
        <v>26806.599157999997</v>
      </c>
      <c r="GH24" s="2868">
        <f t="shared" si="216"/>
        <v>0</v>
      </c>
      <c r="GI24" s="2839">
        <f t="shared" si="217"/>
        <v>-12645.812425593551</v>
      </c>
      <c r="GJ24" s="2839">
        <f t="shared" si="217"/>
        <v>-12645.812425593551</v>
      </c>
      <c r="GK24" s="2839">
        <f t="shared" si="217"/>
        <v>0</v>
      </c>
      <c r="GM24" s="3576">
        <f t="shared" si="218"/>
        <v>28095.706933593556</v>
      </c>
    </row>
    <row r="25" spans="1:195" ht="18.75" customHeight="1" x14ac:dyDescent="0.3">
      <c r="A25" s="2796" t="s">
        <v>3744</v>
      </c>
      <c r="B25" s="2866">
        <f t="shared" si="219"/>
        <v>10404.145866679883</v>
      </c>
      <c r="C25" s="2866">
        <f>SUM(C21:C24)</f>
        <v>10375.248009452187</v>
      </c>
      <c r="D25" s="2866">
        <f>SUM(D21:D24)</f>
        <v>28.897857227695187</v>
      </c>
      <c r="E25" s="2866">
        <f t="shared" si="220"/>
        <v>10462.944211</v>
      </c>
      <c r="F25" s="2866">
        <f>SUM(F21:F24)</f>
        <v>10446.969728</v>
      </c>
      <c r="G25" s="2866">
        <f>SUM(G21:G24)</f>
        <v>15.974482999999999</v>
      </c>
      <c r="H25" s="2866">
        <f>SUM(H21:H24)</f>
        <v>9528.2104419999996</v>
      </c>
      <c r="I25" s="3859">
        <v>9523.7239250000002</v>
      </c>
      <c r="J25" s="3859">
        <v>4.4865170000000001</v>
      </c>
      <c r="K25" s="2866">
        <f t="shared" si="222"/>
        <v>10404.145866679883</v>
      </c>
      <c r="L25" s="2866">
        <f>SUM(L21:L24)</f>
        <v>10375.248009452187</v>
      </c>
      <c r="M25" s="2866">
        <f>SUM(M21:M24)</f>
        <v>28.897857227695187</v>
      </c>
      <c r="N25" s="2866">
        <f t="shared" si="223"/>
        <v>10922.006944999999</v>
      </c>
      <c r="O25" s="2866">
        <f>SUM(O21:O24)</f>
        <v>10911.522444999999</v>
      </c>
      <c r="P25" s="2866">
        <f>SUM(P21:P24)</f>
        <v>10.484500000000001</v>
      </c>
      <c r="Q25" s="2866">
        <f>SUM(Q21:Q24)</f>
        <v>9575.4869999999992</v>
      </c>
      <c r="R25" s="3859">
        <v>9570.476999999999</v>
      </c>
      <c r="S25" s="3859">
        <v>5.01</v>
      </c>
      <c r="T25" s="2866">
        <f t="shared" si="225"/>
        <v>10404.145866679883</v>
      </c>
      <c r="U25" s="2866">
        <f>SUM(U21:U24)</f>
        <v>10375.248009452187</v>
      </c>
      <c r="V25" s="2866">
        <f>SUM(V21:V24)</f>
        <v>28.897857227695187</v>
      </c>
      <c r="W25" s="2866">
        <f t="shared" si="226"/>
        <v>10517.258281999999</v>
      </c>
      <c r="X25" s="2866">
        <f>SUM(X21:X24)</f>
        <v>10462.187614999999</v>
      </c>
      <c r="Y25" s="2866">
        <f>SUM(Y21:Y24)</f>
        <v>55.070667</v>
      </c>
      <c r="Z25" s="2866">
        <f>SUM(Z21:Z24)</f>
        <v>9342.2030000000013</v>
      </c>
      <c r="AA25" s="3859">
        <v>9294.2669999999998</v>
      </c>
      <c r="AB25" s="3859">
        <v>47.936</v>
      </c>
      <c r="AC25" s="2847">
        <f t="shared" si="204"/>
        <v>31212.437600039648</v>
      </c>
      <c r="AD25" s="2847">
        <f t="shared" si="204"/>
        <v>31125.744028356559</v>
      </c>
      <c r="AE25" s="2847">
        <f t="shared" si="204"/>
        <v>86.693571683085565</v>
      </c>
      <c r="AF25" s="2846">
        <f t="shared" si="204"/>
        <v>31902.209437999998</v>
      </c>
      <c r="AG25" s="2846">
        <f t="shared" si="204"/>
        <v>31820.679787999998</v>
      </c>
      <c r="AH25" s="2846">
        <f t="shared" si="204"/>
        <v>81.529650000000004</v>
      </c>
      <c r="AI25" s="2847">
        <f t="shared" si="204"/>
        <v>28445.900441999998</v>
      </c>
      <c r="AJ25" s="2847">
        <f t="shared" si="204"/>
        <v>28388.467924999997</v>
      </c>
      <c r="AK25" s="2847">
        <f t="shared" si="204"/>
        <v>57.432517000000004</v>
      </c>
      <c r="AL25" s="2849">
        <f t="shared" si="205"/>
        <v>689.77183796035024</v>
      </c>
      <c r="AM25" s="2849">
        <f t="shared" si="205"/>
        <v>694.93575964343836</v>
      </c>
      <c r="AN25" s="2849">
        <f t="shared" si="205"/>
        <v>-5.1639216830855617</v>
      </c>
      <c r="AO25" s="2866">
        <f t="shared" si="228"/>
        <v>10404.145866679883</v>
      </c>
      <c r="AP25" s="2866">
        <f>SUM(AP21:AP24)</f>
        <v>10375.248009452187</v>
      </c>
      <c r="AQ25" s="2866">
        <f>SUM(AQ21:AQ24)</f>
        <v>28.897857227695187</v>
      </c>
      <c r="AR25" s="2866">
        <f t="shared" si="229"/>
        <v>10708.706783</v>
      </c>
      <c r="AS25" s="2866">
        <f>SUM(AS21:AS24)</f>
        <v>10698.227982999999</v>
      </c>
      <c r="AT25" s="2866">
        <f>SUM(AT21:AT24)</f>
        <v>10.4788</v>
      </c>
      <c r="AU25" s="2866">
        <f>SUM(AU21:AU24)</f>
        <v>10232.248</v>
      </c>
      <c r="AV25" s="3859">
        <v>10220.832</v>
      </c>
      <c r="AW25" s="3859">
        <v>11.416</v>
      </c>
      <c r="AX25" s="2866">
        <f t="shared" si="231"/>
        <v>10404.145866679883</v>
      </c>
      <c r="AY25" s="2866">
        <f>SUM(AY21:AY24)</f>
        <v>10375.248009452187</v>
      </c>
      <c r="AZ25" s="2866">
        <f>SUM(AZ21:AZ24)</f>
        <v>28.897857227695187</v>
      </c>
      <c r="BA25" s="2866">
        <f t="shared" si="232"/>
        <v>10711.771761000002</v>
      </c>
      <c r="BB25" s="2866">
        <f>SUM(BB21:BB24)</f>
        <v>10694.715228000001</v>
      </c>
      <c r="BC25" s="2866">
        <f>SUM(BC21:BC24)</f>
        <v>17.056533000000002</v>
      </c>
      <c r="BD25" s="2866">
        <f>SUM(BD21:BD24)</f>
        <v>9142.2219999999998</v>
      </c>
      <c r="BE25" s="3859">
        <v>9131.0810000000001</v>
      </c>
      <c r="BF25" s="3859">
        <v>11.141</v>
      </c>
      <c r="BG25" s="2866">
        <f t="shared" si="234"/>
        <v>10404.145866679883</v>
      </c>
      <c r="BH25" s="2866">
        <f>SUM(BH21:BH24)</f>
        <v>10375.248009452187</v>
      </c>
      <c r="BI25" s="2866">
        <f>SUM(BI21:BI24)</f>
        <v>28.897857227695187</v>
      </c>
      <c r="BJ25" s="2866">
        <f t="shared" si="235"/>
        <v>10440.446380000001</v>
      </c>
      <c r="BK25" s="2866">
        <f>SUM(BK21:BK24)</f>
        <v>10381.41768</v>
      </c>
      <c r="BL25" s="2866">
        <f>SUM(BL21:BL24)</f>
        <v>59.028700000000001</v>
      </c>
      <c r="BM25" s="2866">
        <f>SUM(BM21:BM24)</f>
        <v>8959.366</v>
      </c>
      <c r="BN25" s="3859">
        <v>8901.9340000000011</v>
      </c>
      <c r="BO25" s="3859">
        <v>57.432000000000002</v>
      </c>
      <c r="BP25" s="2847">
        <f t="shared" si="206"/>
        <v>31212.437600039648</v>
      </c>
      <c r="BQ25" s="2847">
        <f t="shared" si="206"/>
        <v>31125.744028356559</v>
      </c>
      <c r="BR25" s="2847">
        <f t="shared" si="206"/>
        <v>86.693571683085565</v>
      </c>
      <c r="BS25" s="2847">
        <f t="shared" si="206"/>
        <v>31860.924924000003</v>
      </c>
      <c r="BT25" s="2847">
        <f t="shared" si="206"/>
        <v>31774.360890999997</v>
      </c>
      <c r="BU25" s="2847">
        <f t="shared" si="206"/>
        <v>86.564032999999995</v>
      </c>
      <c r="BV25" s="2847">
        <f t="shared" si="206"/>
        <v>28333.836000000003</v>
      </c>
      <c r="BW25" s="2847">
        <f t="shared" si="206"/>
        <v>28253.847000000002</v>
      </c>
      <c r="BX25" s="2847">
        <f t="shared" si="206"/>
        <v>79.989000000000004</v>
      </c>
      <c r="BY25" s="2849">
        <f t="shared" si="207"/>
        <v>648.48732396035484</v>
      </c>
      <c r="BZ25" s="2849">
        <f t="shared" si="207"/>
        <v>648.61686264343734</v>
      </c>
      <c r="CA25" s="2849">
        <f t="shared" si="207"/>
        <v>-0.12953868308557048</v>
      </c>
      <c r="CB25" s="2847">
        <f t="shared" si="208"/>
        <v>62424.875200079296</v>
      </c>
      <c r="CC25" s="2847">
        <f t="shared" si="208"/>
        <v>62251.488056713119</v>
      </c>
      <c r="CD25" s="2847">
        <f t="shared" si="208"/>
        <v>173.38714336617113</v>
      </c>
      <c r="CE25" s="2847">
        <f t="shared" si="208"/>
        <v>63763.134361999997</v>
      </c>
      <c r="CF25" s="2847">
        <f t="shared" si="208"/>
        <v>63595.040678999998</v>
      </c>
      <c r="CG25" s="2847">
        <f t="shared" si="208"/>
        <v>168.093683</v>
      </c>
      <c r="CH25" s="2847">
        <f t="shared" si="208"/>
        <v>56779.736442000001</v>
      </c>
      <c r="CI25" s="2847">
        <f t="shared" si="208"/>
        <v>56642.314924999999</v>
      </c>
      <c r="CJ25" s="2847">
        <f t="shared" si="208"/>
        <v>137.42151699999999</v>
      </c>
      <c r="CK25" s="2849">
        <f t="shared" si="209"/>
        <v>1338.2591619207014</v>
      </c>
      <c r="CL25" s="2849">
        <f t="shared" si="209"/>
        <v>1343.5526222868793</v>
      </c>
      <c r="CM25" s="2849">
        <f t="shared" si="209"/>
        <v>-5.2934603661711321</v>
      </c>
      <c r="CN25" s="2866">
        <f t="shared" si="237"/>
        <v>10404.145866679883</v>
      </c>
      <c r="CO25" s="2866">
        <f>SUM(CO21:CO24)</f>
        <v>10375.248009452187</v>
      </c>
      <c r="CP25" s="2866">
        <f>SUM(CP21:CP24)</f>
        <v>28.897857227695187</v>
      </c>
      <c r="CQ25" s="2866">
        <f t="shared" si="238"/>
        <v>9192.8934090000002</v>
      </c>
      <c r="CR25" s="2866">
        <f>SUM(CR21:CR24)</f>
        <v>9180.5352590000002</v>
      </c>
      <c r="CS25" s="2866">
        <f>SUM(CS21:CS24)</f>
        <v>12.35815</v>
      </c>
      <c r="CT25" s="2866">
        <f>SUM(CT21:CT24)</f>
        <v>8558.0930000000008</v>
      </c>
      <c r="CU25" s="3859">
        <v>8551.4079999999994</v>
      </c>
      <c r="CV25" s="3859">
        <v>6.6849999999999996</v>
      </c>
      <c r="CW25" s="2866">
        <f t="shared" si="240"/>
        <v>10404.145866679883</v>
      </c>
      <c r="CX25" s="2866">
        <f>SUM(CX21:CX24)</f>
        <v>10375.248009452187</v>
      </c>
      <c r="CY25" s="2866">
        <f>SUM(CY21:CY24)</f>
        <v>28.897857227695187</v>
      </c>
      <c r="CZ25" s="2866">
        <f t="shared" si="241"/>
        <v>0</v>
      </c>
      <c r="DA25" s="2866">
        <f>SUM(DA21:DA24)</f>
        <v>0</v>
      </c>
      <c r="DB25" s="2866">
        <f>SUM(DB21:DB24)</f>
        <v>0</v>
      </c>
      <c r="DC25" s="2866">
        <f>SUM(DC21:DC24)</f>
        <v>8772.3029999999999</v>
      </c>
      <c r="DD25" s="3859">
        <v>8764.366</v>
      </c>
      <c r="DE25" s="3859">
        <v>7.9370000000000003</v>
      </c>
      <c r="DF25" s="2866">
        <f t="shared" si="243"/>
        <v>10404.145866679883</v>
      </c>
      <c r="DG25" s="2866">
        <f>SUM(DG21:DG24)</f>
        <v>10375.248009452187</v>
      </c>
      <c r="DH25" s="2866">
        <f>SUM(DH21:DH24)</f>
        <v>28.897857227695187</v>
      </c>
      <c r="DI25" s="2866">
        <f t="shared" si="244"/>
        <v>0</v>
      </c>
      <c r="DJ25" s="2866">
        <f>SUM(DJ21:DJ24)</f>
        <v>0</v>
      </c>
      <c r="DK25" s="2866">
        <f>SUM(DK21:DK24)</f>
        <v>0</v>
      </c>
      <c r="DL25" s="2866">
        <f>SUM(DL21:DL24)</f>
        <v>9193.4896169999993</v>
      </c>
      <c r="DM25" s="3859">
        <v>9136.3240000000005</v>
      </c>
      <c r="DN25" s="3859">
        <v>57.165616999999997</v>
      </c>
      <c r="DO25" s="2847">
        <f t="shared" si="210"/>
        <v>31212.437600039648</v>
      </c>
      <c r="DP25" s="2847">
        <f t="shared" si="210"/>
        <v>31125.744028356559</v>
      </c>
      <c r="DQ25" s="2847">
        <f t="shared" si="210"/>
        <v>86.693571683085565</v>
      </c>
      <c r="DR25" s="2847">
        <f t="shared" si="210"/>
        <v>9192.8934090000002</v>
      </c>
      <c r="DS25" s="2847">
        <f t="shared" si="210"/>
        <v>9180.5352590000002</v>
      </c>
      <c r="DT25" s="2847">
        <f t="shared" si="210"/>
        <v>12.35815</v>
      </c>
      <c r="DU25" s="2847">
        <f t="shared" si="210"/>
        <v>26523.885617</v>
      </c>
      <c r="DV25" s="2847">
        <f t="shared" si="210"/>
        <v>26452.097999999998</v>
      </c>
      <c r="DW25" s="2847">
        <f t="shared" si="210"/>
        <v>71.787616999999997</v>
      </c>
      <c r="DX25" s="2849">
        <f t="shared" si="211"/>
        <v>-22019.544191039648</v>
      </c>
      <c r="DY25" s="2849">
        <f t="shared" si="211"/>
        <v>-21945.208769356559</v>
      </c>
      <c r="DZ25" s="2849">
        <f t="shared" si="211"/>
        <v>-74.335421683085571</v>
      </c>
      <c r="EA25" s="2847">
        <f t="shared" si="212"/>
        <v>93637.312800118947</v>
      </c>
      <c r="EB25" s="2847">
        <f t="shared" si="212"/>
        <v>93377.232085069671</v>
      </c>
      <c r="EC25" s="2847">
        <f t="shared" si="212"/>
        <v>260.0807150492567</v>
      </c>
      <c r="ED25" s="2846">
        <f t="shared" si="212"/>
        <v>72956.027770999994</v>
      </c>
      <c r="EE25" s="2846">
        <f t="shared" si="212"/>
        <v>72775.575937999994</v>
      </c>
      <c r="EF25" s="2846">
        <f t="shared" si="212"/>
        <v>180.45183299999999</v>
      </c>
      <c r="EG25" s="2847">
        <f t="shared" si="212"/>
        <v>83303.622059000001</v>
      </c>
      <c r="EH25" s="2847">
        <f t="shared" si="212"/>
        <v>83094.412924999997</v>
      </c>
      <c r="EI25" s="2847">
        <f t="shared" si="212"/>
        <v>209.20913400000001</v>
      </c>
      <c r="EJ25" s="2849">
        <f t="shared" si="213"/>
        <v>-20681.285029118953</v>
      </c>
      <c r="EK25" s="2849">
        <f t="shared" si="213"/>
        <v>-20601.656147069676</v>
      </c>
      <c r="EL25" s="2849">
        <f t="shared" si="213"/>
        <v>-79.628882049256703</v>
      </c>
      <c r="EM25" s="2866">
        <f t="shared" si="246"/>
        <v>10404.145866679883</v>
      </c>
      <c r="EN25" s="2866">
        <f>SUM(EN21:EN24)</f>
        <v>10375.248009452187</v>
      </c>
      <c r="EO25" s="2866">
        <f>SUM(EO21:EO24)</f>
        <v>28.897857227695187</v>
      </c>
      <c r="EP25" s="2866">
        <f t="shared" si="247"/>
        <v>0</v>
      </c>
      <c r="EQ25" s="2866">
        <f>SUM(EQ21:EQ24)</f>
        <v>0</v>
      </c>
      <c r="ER25" s="2866">
        <f>SUM(ER21:ER24)</f>
        <v>0</v>
      </c>
      <c r="ES25" s="2866">
        <f>SUM(ES21:ES24)</f>
        <v>9173.6200000000008</v>
      </c>
      <c r="ET25" s="3859">
        <v>9160.7260000000006</v>
      </c>
      <c r="EU25" s="3859">
        <v>12.894</v>
      </c>
      <c r="EV25" s="2866">
        <f t="shared" si="249"/>
        <v>10404.145866679883</v>
      </c>
      <c r="EW25" s="2866">
        <f>SUM(EW21:EW24)</f>
        <v>10375.248009452187</v>
      </c>
      <c r="EX25" s="2866">
        <f>SUM(EX21:EX24)</f>
        <v>28.897857227695187</v>
      </c>
      <c r="EY25" s="2866">
        <f t="shared" si="250"/>
        <v>0</v>
      </c>
      <c r="EZ25" s="2866">
        <f>SUM(EZ21:EZ24)</f>
        <v>0</v>
      </c>
      <c r="FA25" s="2866">
        <f>SUM(FA21:FA24)</f>
        <v>0</v>
      </c>
      <c r="FB25" s="2866">
        <f>SUM(FB21:FB24)</f>
        <v>9178.2116779999997</v>
      </c>
      <c r="FC25" s="3859">
        <v>9166.4440450000002</v>
      </c>
      <c r="FD25" s="3859">
        <v>11.767633</v>
      </c>
      <c r="FE25" s="2866">
        <f t="shared" si="252"/>
        <v>10404.145866679883</v>
      </c>
      <c r="FF25" s="2866">
        <f>SUM(FF21:FF24)</f>
        <v>10375.248009452187</v>
      </c>
      <c r="FG25" s="2866">
        <f>SUM(FG21:FG24)</f>
        <v>28.897857227695187</v>
      </c>
      <c r="FH25" s="2866">
        <f t="shared" ref="FH25" si="255">SUM(FI25:FJ25)</f>
        <v>0</v>
      </c>
      <c r="FI25" s="2866">
        <f>SUM(FI21:FI24)</f>
        <v>0</v>
      </c>
      <c r="FJ25" s="2866">
        <f>SUM(FJ21:FJ24)</f>
        <v>0</v>
      </c>
      <c r="FK25" s="2866">
        <f>SUM(FK21:FK24)</f>
        <v>10990.2145043</v>
      </c>
      <c r="FL25" s="2866">
        <v>10919.215246</v>
      </c>
      <c r="FM25" s="2866">
        <v>70.999258299999994</v>
      </c>
      <c r="FN25" s="2847">
        <f t="shared" si="214"/>
        <v>31212.437600039648</v>
      </c>
      <c r="FO25" s="2847">
        <f t="shared" si="214"/>
        <v>31125.744028356559</v>
      </c>
      <c r="FP25" s="2847">
        <f t="shared" si="214"/>
        <v>86.693571683085565</v>
      </c>
      <c r="FQ25" s="2847">
        <f t="shared" si="214"/>
        <v>0</v>
      </c>
      <c r="FR25" s="2847">
        <f t="shared" si="214"/>
        <v>0</v>
      </c>
      <c r="FS25" s="2847">
        <f t="shared" si="214"/>
        <v>0</v>
      </c>
      <c r="FT25" s="2847">
        <f t="shared" si="214"/>
        <v>29342.046182300001</v>
      </c>
      <c r="FU25" s="2847">
        <f t="shared" si="214"/>
        <v>29246.385290999999</v>
      </c>
      <c r="FV25" s="2847">
        <f t="shared" si="214"/>
        <v>95.660891300000003</v>
      </c>
      <c r="FW25" s="2849">
        <f t="shared" si="215"/>
        <v>-31212.437600039648</v>
      </c>
      <c r="FX25" s="2849">
        <f t="shared" si="215"/>
        <v>-31125.744028356559</v>
      </c>
      <c r="FY25" s="2849">
        <f t="shared" si="215"/>
        <v>-86.693571683085565</v>
      </c>
      <c r="FZ25" s="2846">
        <f t="shared" si="216"/>
        <v>124849.75040015859</v>
      </c>
      <c r="GA25" s="2846">
        <f t="shared" si="216"/>
        <v>124502.97611342624</v>
      </c>
      <c r="GB25" s="2846">
        <f t="shared" si="216"/>
        <v>346.77428673234226</v>
      </c>
      <c r="GC25" s="2847">
        <f t="shared" si="216"/>
        <v>72956.027770999994</v>
      </c>
      <c r="GD25" s="2847">
        <f t="shared" si="216"/>
        <v>72775.575937999994</v>
      </c>
      <c r="GE25" s="2847">
        <f t="shared" si="216"/>
        <v>180.45183299999999</v>
      </c>
      <c r="GF25" s="2847">
        <f t="shared" si="216"/>
        <v>112645.66824130001</v>
      </c>
      <c r="GG25" s="2847">
        <f t="shared" si="216"/>
        <v>112340.798216</v>
      </c>
      <c r="GH25" s="2847">
        <f t="shared" si="216"/>
        <v>304.87002530000001</v>
      </c>
      <c r="GI25" s="2849">
        <f t="shared" si="217"/>
        <v>-51893.722629158598</v>
      </c>
      <c r="GJ25" s="2849">
        <f t="shared" si="217"/>
        <v>-51727.400175426243</v>
      </c>
      <c r="GK25" s="2849">
        <f t="shared" si="217"/>
        <v>-166.32245373234227</v>
      </c>
      <c r="GM25" s="3576">
        <f t="shared" si="218"/>
        <v>124849.75040015862</v>
      </c>
    </row>
    <row r="26" spans="1:195" ht="18.75" customHeight="1" x14ac:dyDescent="0.3">
      <c r="A26" s="2796" t="s">
        <v>3745</v>
      </c>
      <c r="B26" s="2822">
        <f>SUM(B25/B9)</f>
        <v>40.611420374322499</v>
      </c>
      <c r="C26" s="2822">
        <f t="shared" ref="C26:D26" si="256">SUM(C25/C9)</f>
        <v>40.700162386035508</v>
      </c>
      <c r="D26" s="2822">
        <f t="shared" si="256"/>
        <v>22.779222604654247</v>
      </c>
      <c r="E26" s="2822">
        <f>SUM(E25/E9)</f>
        <v>40.646287146210753</v>
      </c>
      <c r="F26" s="2822">
        <f t="shared" ref="F26:G26" si="257">SUM(F25/F9)</f>
        <v>40.695091503706223</v>
      </c>
      <c r="G26" s="2822">
        <f t="shared" si="257"/>
        <v>22.780011408199641</v>
      </c>
      <c r="H26" s="2822">
        <f>SUM(H25/H9)</f>
        <v>34.408181664542077</v>
      </c>
      <c r="I26" s="3847">
        <v>34.419946818122675</v>
      </c>
      <c r="J26" s="3847">
        <v>19.940075555555556</v>
      </c>
      <c r="K26" s="2822">
        <f>SUM(K25/K9)</f>
        <v>40.611420374322499</v>
      </c>
      <c r="L26" s="2822">
        <f t="shared" ref="L26:M26" si="258">SUM(L25/L9)</f>
        <v>40.700162386035508</v>
      </c>
      <c r="M26" s="2822">
        <f t="shared" si="258"/>
        <v>22.779222604654247</v>
      </c>
      <c r="N26" s="2822">
        <f>SUM(N25/N9)</f>
        <v>40.671401463473174</v>
      </c>
      <c r="O26" s="2822">
        <f t="shared" ref="O26:P26" si="259">SUM(O25/O9)</f>
        <v>40.702117809475943</v>
      </c>
      <c r="P26" s="2822">
        <f t="shared" si="259"/>
        <v>22.780010863661055</v>
      </c>
      <c r="Q26" s="2822">
        <f>SUM(Q25/Q9)</f>
        <v>34.407037004098989</v>
      </c>
      <c r="R26" s="3847">
        <v>34.420109405176781</v>
      </c>
      <c r="S26" s="3847">
        <v>19.940298507462689</v>
      </c>
      <c r="T26" s="2822">
        <f>SUM(T25/T9)</f>
        <v>40.611420374322499</v>
      </c>
      <c r="U26" s="2822">
        <f t="shared" ref="U26:V26" si="260">SUM(U25/U9)</f>
        <v>40.700162386035508</v>
      </c>
      <c r="V26" s="2822">
        <f t="shared" si="260"/>
        <v>22.779222604654247</v>
      </c>
      <c r="W26" s="2822">
        <f>SUM(W25/W9)</f>
        <v>40.531756034032881</v>
      </c>
      <c r="X26" s="2822">
        <f t="shared" ref="X26:Y26" si="261">SUM(X25/X9)</f>
        <v>40.698698046244665</v>
      </c>
      <c r="Y26" s="2822">
        <f t="shared" si="261"/>
        <v>22.780007032057913</v>
      </c>
      <c r="Z26" s="2822">
        <f>SUM(Z25/Z9)</f>
        <v>34.292248622576892</v>
      </c>
      <c r="AA26" s="3847">
        <v>34.420024071845198</v>
      </c>
      <c r="AB26" s="3847">
        <v>19.940099833610649</v>
      </c>
      <c r="AC26" s="2773">
        <f t="shared" ref="AC26:BX26" si="262">SUM(AC25/AC9)</f>
        <v>40.611420374322506</v>
      </c>
      <c r="AD26" s="2773">
        <f t="shared" si="262"/>
        <v>40.700162386035508</v>
      </c>
      <c r="AE26" s="2773">
        <f t="shared" si="262"/>
        <v>22.779222604654247</v>
      </c>
      <c r="AF26" s="2773">
        <f t="shared" si="262"/>
        <v>40.617036644716748</v>
      </c>
      <c r="AG26" s="2773">
        <f t="shared" si="262"/>
        <v>40.698686447132481</v>
      </c>
      <c r="AH26" s="2773">
        <f t="shared" si="262"/>
        <v>22.780008382229674</v>
      </c>
      <c r="AI26" s="2773">
        <f t="shared" si="262"/>
        <v>34.369636112046663</v>
      </c>
      <c r="AJ26" s="2773">
        <f t="shared" si="262"/>
        <v>34.420026922787791</v>
      </c>
      <c r="AK26" s="2773">
        <f t="shared" si="262"/>
        <v>19.940115267771898</v>
      </c>
      <c r="AL26" s="2849">
        <f t="shared" si="205"/>
        <v>5.6162703942419512E-3</v>
      </c>
      <c r="AM26" s="2849">
        <f t="shared" si="205"/>
        <v>-1.4759389030274406E-3</v>
      </c>
      <c r="AN26" s="2849">
        <f t="shared" si="205"/>
        <v>7.8577757542674931E-4</v>
      </c>
      <c r="AO26" s="2822">
        <f>SUM(AO25/AO9)</f>
        <v>40.611420374322499</v>
      </c>
      <c r="AP26" s="2822">
        <f t="shared" ref="AP26:AQ26" si="263">SUM(AP25/AP9)</f>
        <v>40.700162386035508</v>
      </c>
      <c r="AQ26" s="2822">
        <f t="shared" si="263"/>
        <v>22.779222604654247</v>
      </c>
      <c r="AR26" s="2822">
        <f>SUM(AR25/AR9)</f>
        <v>40.667395807328475</v>
      </c>
      <c r="AS26" s="2822">
        <f t="shared" ref="AS26:AT26" si="264">SUM(AS25/AS9)</f>
        <v>40.698697917457238</v>
      </c>
      <c r="AT26" s="2822">
        <f t="shared" si="264"/>
        <v>22.779999999999998</v>
      </c>
      <c r="AU26" s="2822">
        <f>SUM(AU25/AU9)</f>
        <v>34.392087860377963</v>
      </c>
      <c r="AV26" s="3847">
        <v>34.41994982235768</v>
      </c>
      <c r="AW26" s="3847">
        <v>19.940611353711791</v>
      </c>
      <c r="AX26" s="2822">
        <f>SUM(AX25/AX9)</f>
        <v>40.611420374322499</v>
      </c>
      <c r="AY26" s="2822">
        <f t="shared" ref="AY26:AZ26" si="265">SUM(AY25/AY9)</f>
        <v>40.700162386035508</v>
      </c>
      <c r="AZ26" s="2822">
        <f t="shared" si="265"/>
        <v>22.779222604654247</v>
      </c>
      <c r="BA26" s="2822">
        <f>SUM(BA25/BA9)</f>
        <v>40.647743953191025</v>
      </c>
      <c r="BB26" s="2822">
        <f t="shared" ref="BB26:BC26" si="266">SUM(BB25/BB9)</f>
        <v>40.698655598752801</v>
      </c>
      <c r="BC26" s="2822">
        <f t="shared" si="266"/>
        <v>22.780010684474124</v>
      </c>
      <c r="BD26" s="2822">
        <f>SUM(BD25/BD9)</f>
        <v>34.38955323254703</v>
      </c>
      <c r="BE26" s="3847">
        <v>34.420021561797924</v>
      </c>
      <c r="BF26" s="3847">
        <v>19.930232558139533</v>
      </c>
      <c r="BG26" s="2822">
        <f>SUM(BG25/BG9)</f>
        <v>40.611420374322499</v>
      </c>
      <c r="BH26" s="2822">
        <f t="shared" ref="BH26:BI26" si="267">SUM(BH25/BH9)</f>
        <v>40.700162386035508</v>
      </c>
      <c r="BI26" s="2822">
        <f t="shared" si="267"/>
        <v>22.779222604654247</v>
      </c>
      <c r="BJ26" s="2822">
        <f>SUM(BJ25/BJ9)</f>
        <v>40.51993901916763</v>
      </c>
      <c r="BK26" s="2822">
        <f t="shared" ref="BK26:BL26" si="268">SUM(BK25/BK9)</f>
        <v>40.700158042850376</v>
      </c>
      <c r="BL26" s="2822">
        <f t="shared" si="268"/>
        <v>22.780009647853351</v>
      </c>
      <c r="BM26" s="2822">
        <f>SUM(BM25/BM9)</f>
        <v>34.260487997942697</v>
      </c>
      <c r="BN26" s="3847">
        <v>34.41997161935916</v>
      </c>
      <c r="BO26" s="3847">
        <v>19.939935769464455</v>
      </c>
      <c r="BP26" s="2773">
        <f t="shared" si="262"/>
        <v>40.611420374322506</v>
      </c>
      <c r="BQ26" s="2773">
        <f t="shared" si="262"/>
        <v>40.700162386035508</v>
      </c>
      <c r="BR26" s="2773">
        <f t="shared" si="262"/>
        <v>22.779222604654247</v>
      </c>
      <c r="BS26" s="2773">
        <f t="shared" si="262"/>
        <v>40.612364471592713</v>
      </c>
      <c r="BT26" s="2773">
        <f t="shared" si="262"/>
        <v>40.699160718521057</v>
      </c>
      <c r="BU26" s="2773">
        <f t="shared" si="262"/>
        <v>22.780008684210525</v>
      </c>
      <c r="BV26" s="2773">
        <f t="shared" si="262"/>
        <v>34.349549973313906</v>
      </c>
      <c r="BW26" s="2773">
        <f t="shared" si="262"/>
        <v>34.419979874667419</v>
      </c>
      <c r="BX26" s="2773">
        <f t="shared" si="262"/>
        <v>19.938680127126567</v>
      </c>
      <c r="BY26" s="2849">
        <f t="shared" si="207"/>
        <v>9.4409727020661194E-4</v>
      </c>
      <c r="BZ26" s="2849">
        <f t="shared" si="207"/>
        <v>-1.0016675144512988E-3</v>
      </c>
      <c r="CA26" s="2849">
        <f t="shared" si="207"/>
        <v>7.8607955627774118E-4</v>
      </c>
      <c r="CB26" s="2773">
        <f t="shared" ref="CB26:CJ26" si="269">SUM(CB25/CB9)</f>
        <v>40.611420374322506</v>
      </c>
      <c r="CC26" s="2773">
        <f t="shared" si="269"/>
        <v>40.700162386035508</v>
      </c>
      <c r="CD26" s="2773">
        <f t="shared" si="269"/>
        <v>22.779222604654247</v>
      </c>
      <c r="CE26" s="2773">
        <f t="shared" si="269"/>
        <v>40.614701936325709</v>
      </c>
      <c r="CF26" s="2773">
        <f t="shared" si="269"/>
        <v>40.69892340872935</v>
      </c>
      <c r="CG26" s="2773">
        <f t="shared" si="269"/>
        <v>22.780008537742244</v>
      </c>
      <c r="CH26" s="2773">
        <f t="shared" si="269"/>
        <v>34.359609928872011</v>
      </c>
      <c r="CI26" s="2773">
        <f t="shared" si="269"/>
        <v>34.420003454620804</v>
      </c>
      <c r="CJ26" s="2773">
        <f t="shared" si="269"/>
        <v>19.939279889727221</v>
      </c>
      <c r="CK26" s="2849">
        <f t="shared" si="209"/>
        <v>3.2815620032025095E-3</v>
      </c>
      <c r="CL26" s="2849">
        <f t="shared" si="209"/>
        <v>-1.2389773061585174E-3</v>
      </c>
      <c r="CM26" s="2849">
        <f t="shared" si="209"/>
        <v>7.8593308799668193E-4</v>
      </c>
      <c r="CN26" s="2822">
        <f>SUM(CN25/CN9)</f>
        <v>40.611420374322499</v>
      </c>
      <c r="CO26" s="2822">
        <f t="shared" ref="CO26:CP26" si="270">SUM(CO25/CO9)</f>
        <v>40.700162386035508</v>
      </c>
      <c r="CP26" s="2822">
        <f t="shared" si="270"/>
        <v>22.779222604654247</v>
      </c>
      <c r="CQ26" s="2822">
        <f>SUM(CQ25/CQ9)</f>
        <v>40.655411255304045</v>
      </c>
      <c r="CR26" s="2822">
        <f t="shared" ref="CR26:CS26" si="271">SUM(CR25/CR9)</f>
        <v>40.698401026011595</v>
      </c>
      <c r="CS26" s="2822">
        <f t="shared" si="271"/>
        <v>22.78</v>
      </c>
      <c r="CT26" s="2822">
        <f>SUM(CT25/CT9)</f>
        <v>34.510526846381836</v>
      </c>
      <c r="CU26" s="3847">
        <v>34.530076599731068</v>
      </c>
      <c r="CV26" s="3847">
        <v>20.014970059880238</v>
      </c>
      <c r="CW26" s="2822">
        <f>SUM(CW25/CW9)</f>
        <v>40.611420374322499</v>
      </c>
      <c r="CX26" s="2822">
        <f t="shared" ref="CX26:CY26" si="272">SUM(CX25/CX9)</f>
        <v>40.700162386035508</v>
      </c>
      <c r="CY26" s="2822">
        <f t="shared" si="272"/>
        <v>22.779222604654247</v>
      </c>
      <c r="CZ26" s="2822" t="e">
        <f>SUM(CZ25/CZ9)</f>
        <v>#DIV/0!</v>
      </c>
      <c r="DA26" s="2822" t="e">
        <f t="shared" ref="DA26:DB26" si="273">SUM(DA25/DA9)</f>
        <v>#DIV/0!</v>
      </c>
      <c r="DB26" s="2822" t="e">
        <f t="shared" si="273"/>
        <v>#DIV/0!</v>
      </c>
      <c r="DC26" s="2822">
        <f>SUM(DC25/DC9)</f>
        <v>34.507552691826575</v>
      </c>
      <c r="DD26" s="3847">
        <v>34.530120007249288</v>
      </c>
      <c r="DE26" s="3847">
        <v>20.042929292929294</v>
      </c>
      <c r="DF26" s="2822">
        <f>SUM(DF25/DF9)</f>
        <v>40.611420374322499</v>
      </c>
      <c r="DG26" s="2822">
        <f t="shared" ref="DG26:DH26" si="274">SUM(DG25/DG9)</f>
        <v>40.700162386035508</v>
      </c>
      <c r="DH26" s="2822">
        <f t="shared" si="274"/>
        <v>22.779222604654247</v>
      </c>
      <c r="DI26" s="2822" t="e">
        <f>SUM(DI25/DI9)</f>
        <v>#DIV/0!</v>
      </c>
      <c r="DJ26" s="2822" t="e">
        <f t="shared" ref="DJ26:DK26" si="275">SUM(DJ25/DJ9)</f>
        <v>#DIV/0!</v>
      </c>
      <c r="DK26" s="2822" t="e">
        <f t="shared" si="275"/>
        <v>#DIV/0!</v>
      </c>
      <c r="DL26" s="2822">
        <f>SUM(DL25/DL9)</f>
        <v>34.37571241580418</v>
      </c>
      <c r="DM26" s="3847">
        <v>34.530453956413986</v>
      </c>
      <c r="DN26" s="3847">
        <v>20.029998948843726</v>
      </c>
      <c r="DO26" s="2773">
        <f t="shared" ref="DO26:FV26" si="276">SUM(DO25/DO9)</f>
        <v>40.611420374322506</v>
      </c>
      <c r="DP26" s="2773">
        <f t="shared" si="276"/>
        <v>40.700162386035508</v>
      </c>
      <c r="DQ26" s="2773">
        <f t="shared" si="276"/>
        <v>22.779222604654247</v>
      </c>
      <c r="DR26" s="2773">
        <f t="shared" si="276"/>
        <v>40.655411255304045</v>
      </c>
      <c r="DS26" s="2773">
        <f t="shared" si="276"/>
        <v>40.698401026011595</v>
      </c>
      <c r="DT26" s="2773">
        <f t="shared" si="276"/>
        <v>22.78</v>
      </c>
      <c r="DU26" s="2773">
        <f t="shared" si="276"/>
        <v>34.462697971733888</v>
      </c>
      <c r="DV26" s="2773">
        <f t="shared" si="276"/>
        <v>34.530221316803569</v>
      </c>
      <c r="DW26" s="2773">
        <f t="shared" si="276"/>
        <v>20.030027064732142</v>
      </c>
      <c r="DX26" s="2849">
        <f t="shared" si="211"/>
        <v>4.3990880981539249E-2</v>
      </c>
      <c r="DY26" s="2849">
        <f t="shared" si="211"/>
        <v>-1.7613600239130278E-3</v>
      </c>
      <c r="DZ26" s="2849">
        <f t="shared" si="211"/>
        <v>7.7739534575371749E-4</v>
      </c>
      <c r="EA26" s="2773">
        <f t="shared" si="276"/>
        <v>40.611420374322506</v>
      </c>
      <c r="EB26" s="2773">
        <f t="shared" si="276"/>
        <v>40.700162386035501</v>
      </c>
      <c r="EC26" s="2773">
        <f t="shared" si="276"/>
        <v>22.779222604654247</v>
      </c>
      <c r="ED26" s="2773">
        <f t="shared" si="276"/>
        <v>40.619827062872531</v>
      </c>
      <c r="EE26" s="2773">
        <f t="shared" si="276"/>
        <v>40.69885751015434</v>
      </c>
      <c r="EF26" s="2773">
        <f t="shared" si="276"/>
        <v>22.780007953039195</v>
      </c>
      <c r="EG26" s="2773">
        <f t="shared" si="276"/>
        <v>34.392366191029666</v>
      </c>
      <c r="EH26" s="2773">
        <f t="shared" si="276"/>
        <v>34.455013554153659</v>
      </c>
      <c r="EI26" s="2773">
        <f t="shared" si="276"/>
        <v>19.970325887743417</v>
      </c>
      <c r="EJ26" s="2849">
        <f t="shared" si="213"/>
        <v>8.40668855002491E-3</v>
      </c>
      <c r="EK26" s="2849">
        <f t="shared" si="213"/>
        <v>-1.3048758811606831E-3</v>
      </c>
      <c r="EL26" s="2849">
        <f t="shared" si="213"/>
        <v>7.8534838494803694E-4</v>
      </c>
      <c r="EM26" s="2822">
        <f>SUM(EM25/EM9)</f>
        <v>40.611420374322499</v>
      </c>
      <c r="EN26" s="2822">
        <f t="shared" ref="EN26:EO26" si="277">SUM(EN25/EN9)</f>
        <v>40.700162386035508</v>
      </c>
      <c r="EO26" s="2822">
        <f t="shared" si="277"/>
        <v>22.779222604654247</v>
      </c>
      <c r="EP26" s="2822" t="e">
        <f>SUM(EP25/EP9)</f>
        <v>#DIV/0!</v>
      </c>
      <c r="EQ26" s="2822" t="e">
        <f t="shared" ref="EQ26:ER26" si="278">SUM(EQ25/EQ9)</f>
        <v>#DIV/0!</v>
      </c>
      <c r="ER26" s="2822" t="e">
        <f t="shared" si="278"/>
        <v>#DIV/0!</v>
      </c>
      <c r="ES26" s="2822">
        <f>SUM(ES25/ES9)</f>
        <v>34.494944367359679</v>
      </c>
      <c r="ET26" s="3847">
        <v>34.530077611130167</v>
      </c>
      <c r="EU26" s="3847">
        <v>20.021739130434781</v>
      </c>
      <c r="EV26" s="2822">
        <f>SUM(EV25/EV9)</f>
        <v>40.611420374322499</v>
      </c>
      <c r="EW26" s="2822">
        <f t="shared" ref="EW26:EX26" si="279">SUM(EW25/EW9)</f>
        <v>40.700162386035508</v>
      </c>
      <c r="EX26" s="2822">
        <f t="shared" si="279"/>
        <v>22.779222604654247</v>
      </c>
      <c r="EY26" s="2822" t="e">
        <f>SUM(EY25/EY9)</f>
        <v>#DIV/0!</v>
      </c>
      <c r="EZ26" s="2822" t="e">
        <f t="shared" ref="EZ26:FA26" si="280">SUM(EZ25/EZ9)</f>
        <v>#DIV/0!</v>
      </c>
      <c r="FA26" s="2822" t="e">
        <f t="shared" si="280"/>
        <v>#DIV/0!</v>
      </c>
      <c r="FB26" s="2822">
        <f>SUM(FB25/FB9)</f>
        <v>34.49810247898219</v>
      </c>
      <c r="FC26" s="3847">
        <v>34.530122105419935</v>
      </c>
      <c r="FD26" s="3847">
        <v>20.030013617021275</v>
      </c>
      <c r="FE26" s="2822">
        <f>SUM(FE25/FE9)</f>
        <v>40.611420374322499</v>
      </c>
      <c r="FF26" s="2822">
        <f t="shared" ref="FF26:FG26" si="281">SUM(FF25/FF9)</f>
        <v>40.700162386035508</v>
      </c>
      <c r="FG26" s="2822">
        <f t="shared" si="281"/>
        <v>22.779222604654247</v>
      </c>
      <c r="FH26" s="2822" t="e">
        <f>SUM(FH25/FH9)</f>
        <v>#DIV/0!</v>
      </c>
      <c r="FI26" s="2822" t="e">
        <f t="shared" ref="FI26:FJ26" si="282">SUM(FI25/FI9)</f>
        <v>#DIV/0!</v>
      </c>
      <c r="FJ26" s="2822" t="e">
        <f t="shared" si="282"/>
        <v>#DIV/0!</v>
      </c>
      <c r="FK26" s="2822">
        <f>SUM(FK25/FK9)</f>
        <v>40.492181161430146</v>
      </c>
      <c r="FL26" s="2822">
        <v>40.698265622380461</v>
      </c>
      <c r="FM26" s="2822">
        <v>22.763468515549853</v>
      </c>
      <c r="FN26" s="2773">
        <f t="shared" si="276"/>
        <v>40.611420374322506</v>
      </c>
      <c r="FO26" s="2773">
        <f t="shared" si="276"/>
        <v>40.700162386035508</v>
      </c>
      <c r="FP26" s="2773">
        <f t="shared" si="276"/>
        <v>22.779222604654247</v>
      </c>
      <c r="FQ26" s="2773" t="e">
        <f t="shared" si="276"/>
        <v>#DIV/0!</v>
      </c>
      <c r="FR26" s="2773" t="e">
        <f t="shared" si="276"/>
        <v>#DIV/0!</v>
      </c>
      <c r="FS26" s="2773" t="e">
        <f t="shared" si="276"/>
        <v>#DIV/0!</v>
      </c>
      <c r="FT26" s="2773">
        <f t="shared" si="276"/>
        <v>36.522043488412322</v>
      </c>
      <c r="FU26" s="2773">
        <f t="shared" si="276"/>
        <v>36.60116760591697</v>
      </c>
      <c r="FV26" s="2773">
        <f t="shared" si="276"/>
        <v>21.988987518389113</v>
      </c>
      <c r="FW26" s="2849" t="e">
        <f t="shared" si="215"/>
        <v>#DIV/0!</v>
      </c>
      <c r="FX26" s="2849" t="e">
        <f t="shared" si="215"/>
        <v>#DIV/0!</v>
      </c>
      <c r="FY26" s="2849" t="e">
        <f t="shared" si="215"/>
        <v>#DIV/0!</v>
      </c>
      <c r="FZ26" s="4557">
        <f t="shared" ref="FZ26:GH26" si="283">SUM(FZ25/FZ9)</f>
        <v>40.611420374322506</v>
      </c>
      <c r="GA26" s="4557">
        <f t="shared" si="283"/>
        <v>40.700162386035508</v>
      </c>
      <c r="GB26" s="4557">
        <f t="shared" si="283"/>
        <v>22.779222604654247</v>
      </c>
      <c r="GC26" s="2773">
        <f t="shared" si="283"/>
        <v>40.619827062872531</v>
      </c>
      <c r="GD26" s="2773">
        <f t="shared" si="283"/>
        <v>40.69885751015434</v>
      </c>
      <c r="GE26" s="2773">
        <f t="shared" si="283"/>
        <v>22.780007953039195</v>
      </c>
      <c r="GF26" s="2773">
        <f t="shared" si="283"/>
        <v>34.922815492788985</v>
      </c>
      <c r="GG26" s="2773">
        <f t="shared" si="283"/>
        <v>34.989127299694736</v>
      </c>
      <c r="GH26" s="2773">
        <f t="shared" si="283"/>
        <v>20.562646718016513</v>
      </c>
      <c r="GI26" s="2849">
        <f t="shared" si="217"/>
        <v>8.40668855002491E-3</v>
      </c>
      <c r="GJ26" s="2849">
        <f t="shared" si="217"/>
        <v>-1.3048758811677885E-3</v>
      </c>
      <c r="GK26" s="2849">
        <f t="shared" si="217"/>
        <v>7.8534838494803694E-4</v>
      </c>
      <c r="GM26" s="3583">
        <f t="shared" ref="GM26" si="284">SUM(GM25/GM9)</f>
        <v>40.611420374322513</v>
      </c>
    </row>
    <row r="27" spans="1:195" ht="18.75" customHeight="1" x14ac:dyDescent="0.3">
      <c r="A27" s="2815" t="s">
        <v>253</v>
      </c>
      <c r="B27" s="2879">
        <f>SUM(C27)</f>
        <v>31.61</v>
      </c>
      <c r="C27" s="2879">
        <f>SUM('стоки 2019-2023'!BH58)</f>
        <v>31.61</v>
      </c>
      <c r="D27" s="2879"/>
      <c r="E27" s="2816">
        <f>SUM(E21/E10)</f>
        <v>31.608316339723451</v>
      </c>
      <c r="F27" s="2816">
        <f>SUM(F21/F10)</f>
        <v>31.608316339723451</v>
      </c>
      <c r="G27" s="2879"/>
      <c r="H27" s="2816">
        <f>SUM(H21/H10)</f>
        <v>27.249979132591275</v>
      </c>
      <c r="I27" s="3848">
        <v>27.249979132591275</v>
      </c>
      <c r="J27" s="3860"/>
      <c r="K27" s="2879">
        <f>SUM(L27)</f>
        <v>31.61</v>
      </c>
      <c r="L27" s="2879">
        <f>SUM(C27)</f>
        <v>31.61</v>
      </c>
      <c r="M27" s="2879"/>
      <c r="N27" s="2816">
        <f>SUM(N21/N10)</f>
        <v>31.60832488866793</v>
      </c>
      <c r="O27" s="2816">
        <f>SUM(O21/O10)</f>
        <v>31.60832488866793</v>
      </c>
      <c r="P27" s="2879"/>
      <c r="Q27" s="2816">
        <f>SUM(Q21/Q10)</f>
        <v>27.250019599772642</v>
      </c>
      <c r="R27" s="3848">
        <v>27.250019599772642</v>
      </c>
      <c r="S27" s="3860"/>
      <c r="T27" s="2879">
        <f>SUM(U27)</f>
        <v>31.61</v>
      </c>
      <c r="U27" s="2879">
        <f>SUM(C27)</f>
        <v>31.61</v>
      </c>
      <c r="V27" s="2879"/>
      <c r="W27" s="2816">
        <f>SUM(W21/W10)</f>
        <v>31.608322620466211</v>
      </c>
      <c r="X27" s="2816">
        <f>SUM(X21/X10)</f>
        <v>31.608322620466211</v>
      </c>
      <c r="Y27" s="2879"/>
      <c r="Z27" s="2816">
        <f>SUM(Z21/Z10)</f>
        <v>27.250058977357714</v>
      </c>
      <c r="AA27" s="3848">
        <v>27.250058977357714</v>
      </c>
      <c r="AB27" s="3860"/>
      <c r="AC27" s="2779">
        <f>SUM(AC21/AC10)</f>
        <v>31.61</v>
      </c>
      <c r="AD27" s="2779">
        <f t="shared" ref="AD27" si="285">SUM(AD21/AD10)</f>
        <v>31.61</v>
      </c>
      <c r="AE27" s="2779"/>
      <c r="AF27" s="2779">
        <f>SUM(AF21/AF10)</f>
        <v>31.608321298366032</v>
      </c>
      <c r="AG27" s="2779">
        <f t="shared" ref="AG27" si="286">SUM(AG21/AG10)</f>
        <v>31.608321298366032</v>
      </c>
      <c r="AH27" s="2779"/>
      <c r="AI27" s="2779">
        <f>SUM(AI21/AI10)</f>
        <v>27.250018711900605</v>
      </c>
      <c r="AJ27" s="2779">
        <f t="shared" ref="AJ27" si="287">SUM(AJ21/AJ10)</f>
        <v>27.250018711900605</v>
      </c>
      <c r="AK27" s="2779"/>
      <c r="AL27" s="2805">
        <f t="shared" si="205"/>
        <v>-1.6787016339669947E-3</v>
      </c>
      <c r="AM27" s="2805">
        <f t="shared" si="205"/>
        <v>-1.6787016339669947E-3</v>
      </c>
      <c r="AN27" s="2805">
        <f t="shared" si="205"/>
        <v>0</v>
      </c>
      <c r="AO27" s="2879">
        <f>SUM(AP27)</f>
        <v>31.61</v>
      </c>
      <c r="AP27" s="2879">
        <f>SUM(C27)</f>
        <v>31.61</v>
      </c>
      <c r="AQ27" s="2879"/>
      <c r="AR27" s="2816">
        <f>SUM(AR21/AR10)</f>
        <v>31.608324487730993</v>
      </c>
      <c r="AS27" s="2816">
        <f>SUM(AS21/AS10)</f>
        <v>31.608324487730993</v>
      </c>
      <c r="AT27" s="2879"/>
      <c r="AU27" s="2816">
        <f>SUM(AU21/AU10)</f>
        <v>27.249953316596468</v>
      </c>
      <c r="AV27" s="3848">
        <v>27.249953316596468</v>
      </c>
      <c r="AW27" s="3860"/>
      <c r="AX27" s="2879">
        <f>SUM(AY27)</f>
        <v>31.61</v>
      </c>
      <c r="AY27" s="2879">
        <f>SUM(L27)</f>
        <v>31.61</v>
      </c>
      <c r="AZ27" s="2879"/>
      <c r="BA27" s="2816">
        <f>SUM(BA21/BA10)</f>
        <v>31.608322531315629</v>
      </c>
      <c r="BB27" s="2816">
        <f>SUM(BB21/BB10)</f>
        <v>31.608322531315629</v>
      </c>
      <c r="BC27" s="2879"/>
      <c r="BD27" s="2816">
        <f>SUM(BD21/BD10)</f>
        <v>27.249997562236114</v>
      </c>
      <c r="BE27" s="3848">
        <v>27.249997562236114</v>
      </c>
      <c r="BF27" s="3860"/>
      <c r="BG27" s="2879">
        <f>SUM(BH27)</f>
        <v>31.61</v>
      </c>
      <c r="BH27" s="2879">
        <f>SUM(C27)</f>
        <v>31.61</v>
      </c>
      <c r="BI27" s="2879"/>
      <c r="BJ27" s="2816">
        <f>SUM(BJ21/BJ10)</f>
        <v>31.609999577464031</v>
      </c>
      <c r="BK27" s="2816">
        <f>SUM(BK21/BK10)</f>
        <v>31.609999577464031</v>
      </c>
      <c r="BL27" s="2879"/>
      <c r="BM27" s="2816">
        <f>SUM(BM21/BM10)</f>
        <v>27.249994838336708</v>
      </c>
      <c r="BN27" s="3848">
        <v>27.249994838336708</v>
      </c>
      <c r="BO27" s="3860"/>
      <c r="BP27" s="2779">
        <f>SUM(BP21/BP10)</f>
        <v>31.61</v>
      </c>
      <c r="BQ27" s="2779">
        <f t="shared" ref="BQ27" si="288">SUM(BQ21/BQ10)</f>
        <v>31.61</v>
      </c>
      <c r="BR27" s="2779"/>
      <c r="BS27" s="2779">
        <f>SUM(BS21/BS10)</f>
        <v>31.608870467575436</v>
      </c>
      <c r="BT27" s="2779">
        <f t="shared" ref="BT27" si="289">SUM(BT21/BT10)</f>
        <v>31.608870467575436</v>
      </c>
      <c r="BU27" s="2779"/>
      <c r="BV27" s="2779">
        <f>SUM(BV21/BV10)</f>
        <v>27.249980072738413</v>
      </c>
      <c r="BW27" s="2779">
        <f t="shared" ref="BW27" si="290">SUM(BW21/BW10)</f>
        <v>27.249980072738413</v>
      </c>
      <c r="BX27" s="2779"/>
      <c r="BY27" s="2805">
        <f t="shared" si="207"/>
        <v>-1.1295324245637062E-3</v>
      </c>
      <c r="BZ27" s="2805">
        <f t="shared" si="207"/>
        <v>-1.1295324245637062E-3</v>
      </c>
      <c r="CA27" s="2805">
        <f t="shared" si="207"/>
        <v>0</v>
      </c>
      <c r="CB27" s="2779">
        <f>SUM(CB21/CB10)</f>
        <v>31.61</v>
      </c>
      <c r="CC27" s="2779">
        <f t="shared" ref="CC27" si="291">SUM(CC21/CC10)</f>
        <v>31.61</v>
      </c>
      <c r="CD27" s="2779"/>
      <c r="CE27" s="2779">
        <f>SUM(CE21/CE10)</f>
        <v>31.608597245647449</v>
      </c>
      <c r="CF27" s="2779">
        <f t="shared" ref="CF27" si="292">SUM(CF21/CF10)</f>
        <v>31.608597245647449</v>
      </c>
      <c r="CG27" s="2779"/>
      <c r="CH27" s="2779">
        <f>SUM(CH21/CH10)</f>
        <v>27.249998940339939</v>
      </c>
      <c r="CI27" s="2779">
        <f t="shared" ref="CI27" si="293">SUM(CI21/CI10)</f>
        <v>27.249998940339939</v>
      </c>
      <c r="CJ27" s="2779"/>
      <c r="CK27" s="2805">
        <f t="shared" si="209"/>
        <v>-1.4027543525507724E-3</v>
      </c>
      <c r="CL27" s="2805">
        <f t="shared" si="209"/>
        <v>-1.4027543525507724E-3</v>
      </c>
      <c r="CM27" s="2805">
        <f t="shared" si="209"/>
        <v>0</v>
      </c>
      <c r="CN27" s="2879">
        <f>SUM(CO27)</f>
        <v>31.61</v>
      </c>
      <c r="CO27" s="2879">
        <f>SUM('стоки 2019-2023'!BH58)</f>
        <v>31.61</v>
      </c>
      <c r="CP27" s="2879"/>
      <c r="CQ27" s="2816">
        <f>SUM(CQ21/CQ10)</f>
        <v>31.608318654114825</v>
      </c>
      <c r="CR27" s="2816">
        <f>SUM(CR21/CR10)</f>
        <v>31.608318654114825</v>
      </c>
      <c r="CS27" s="2879"/>
      <c r="CT27" s="2816">
        <f>SUM(CT21/CT10)</f>
        <v>29.000015877888451</v>
      </c>
      <c r="CU27" s="3848">
        <v>29.000015877888451</v>
      </c>
      <c r="CV27" s="3860"/>
      <c r="CW27" s="2879">
        <f>SUM(CX27)</f>
        <v>31.61</v>
      </c>
      <c r="CX27" s="2879">
        <f>SUM(CO27)</f>
        <v>31.61</v>
      </c>
      <c r="CY27" s="2879"/>
      <c r="CZ27" s="2816" t="e">
        <f>SUM(CZ21/CZ10)</f>
        <v>#DIV/0!</v>
      </c>
      <c r="DA27" s="2816" t="e">
        <f>SUM(DA21/DA10)</f>
        <v>#DIV/0!</v>
      </c>
      <c r="DB27" s="2879"/>
      <c r="DC27" s="2816">
        <f>SUM(DC21/DC10)</f>
        <v>28.999979836168873</v>
      </c>
      <c r="DD27" s="3848">
        <v>28.999979836168873</v>
      </c>
      <c r="DE27" s="3860"/>
      <c r="DF27" s="2879">
        <f>SUM(DG27)</f>
        <v>31.61</v>
      </c>
      <c r="DG27" s="2879">
        <f>SUM(CO27)</f>
        <v>31.61</v>
      </c>
      <c r="DH27" s="2879"/>
      <c r="DI27" s="2816" t="e">
        <f>SUM(DI21/DI10)</f>
        <v>#DIV/0!</v>
      </c>
      <c r="DJ27" s="2816" t="e">
        <f>SUM(DJ21/DJ10)</f>
        <v>#DIV/0!</v>
      </c>
      <c r="DK27" s="2879"/>
      <c r="DL27" s="2816">
        <f>SUM(DL21/DL10)</f>
        <v>29.000002942200354</v>
      </c>
      <c r="DM27" s="3848">
        <v>29.000002942200354</v>
      </c>
      <c r="DN27" s="3860"/>
      <c r="DO27" s="2779">
        <f>SUM(DO21/DO10)</f>
        <v>31.61</v>
      </c>
      <c r="DP27" s="2779">
        <f t="shared" ref="DP27" si="294">SUM(DP21/DP10)</f>
        <v>31.61</v>
      </c>
      <c r="DQ27" s="2779"/>
      <c r="DR27" s="2779">
        <f t="shared" ref="DR27:DV27" si="295">SUM(DR21/DR10)</f>
        <v>31.608318654114825</v>
      </c>
      <c r="DS27" s="2779">
        <f t="shared" si="295"/>
        <v>31.608318654114825</v>
      </c>
      <c r="DT27" s="2779"/>
      <c r="DU27" s="2779">
        <f t="shared" si="295"/>
        <v>28.999999298326202</v>
      </c>
      <c r="DV27" s="2779">
        <f t="shared" si="295"/>
        <v>28.999999298326202</v>
      </c>
      <c r="DW27" s="2779"/>
      <c r="DX27" s="2805">
        <f t="shared" si="211"/>
        <v>-1.6813458851743235E-3</v>
      </c>
      <c r="DY27" s="2805">
        <f t="shared" si="211"/>
        <v>-1.6813458851743235E-3</v>
      </c>
      <c r="DZ27" s="2805">
        <f t="shared" si="211"/>
        <v>0</v>
      </c>
      <c r="EA27" s="2779">
        <f>SUM(EA21/EA10)</f>
        <v>31.61</v>
      </c>
      <c r="EB27" s="2779">
        <f t="shared" ref="EB27" si="296">SUM(EB21/EB10)</f>
        <v>31.61</v>
      </c>
      <c r="EC27" s="2779"/>
      <c r="ED27" s="2779">
        <f t="shared" ref="ED27:EH27" si="297">SUM(ED21/ED10)</f>
        <v>31.608561065665441</v>
      </c>
      <c r="EE27" s="2779">
        <f t="shared" si="297"/>
        <v>31.608561065665441</v>
      </c>
      <c r="EF27" s="2779"/>
      <c r="EG27" s="2779">
        <f t="shared" si="297"/>
        <v>27.80918530507099</v>
      </c>
      <c r="EH27" s="2779">
        <f t="shared" si="297"/>
        <v>27.80918530507099</v>
      </c>
      <c r="EI27" s="2779"/>
      <c r="EJ27" s="2805">
        <f t="shared" si="213"/>
        <v>-1.4389343345584393E-3</v>
      </c>
      <c r="EK27" s="2805">
        <f t="shared" si="213"/>
        <v>-1.4389343345584393E-3</v>
      </c>
      <c r="EL27" s="2805">
        <f t="shared" si="213"/>
        <v>0</v>
      </c>
      <c r="EM27" s="2879">
        <f>SUM(EN27)</f>
        <v>31.61</v>
      </c>
      <c r="EN27" s="2879">
        <f>SUM(CO27)</f>
        <v>31.61</v>
      </c>
      <c r="EO27" s="2879"/>
      <c r="EP27" s="2816" t="e">
        <f>SUM(EP21/EP10)</f>
        <v>#DIV/0!</v>
      </c>
      <c r="EQ27" s="2816" t="e">
        <f>SUM(EQ21/EQ10)</f>
        <v>#DIV/0!</v>
      </c>
      <c r="ER27" s="2879"/>
      <c r="ES27" s="2816">
        <f>SUM(ES21/ES10)</f>
        <v>29.000080352748565</v>
      </c>
      <c r="ET27" s="3848">
        <v>29.000080352748565</v>
      </c>
      <c r="EU27" s="3860"/>
      <c r="EV27" s="2879">
        <f>SUM(EW27)</f>
        <v>31.61</v>
      </c>
      <c r="EW27" s="2879">
        <f>SUM(CO27)</f>
        <v>31.61</v>
      </c>
      <c r="EX27" s="2879"/>
      <c r="EY27" s="2816" t="e">
        <f>SUM(EY21/EY10)</f>
        <v>#DIV/0!</v>
      </c>
      <c r="EZ27" s="2816" t="e">
        <f>SUM(EZ21/EZ10)</f>
        <v>#DIV/0!</v>
      </c>
      <c r="FA27" s="2879"/>
      <c r="FB27" s="2816">
        <f>SUM(FB21/FB10)</f>
        <v>28.999988809210326</v>
      </c>
      <c r="FC27" s="3848">
        <v>28.999988809210326</v>
      </c>
      <c r="FD27" s="3860"/>
      <c r="FE27" s="2879">
        <f>SUM(FF27)</f>
        <v>31.61</v>
      </c>
      <c r="FF27" s="2879">
        <f>SUM(CO27)</f>
        <v>31.61</v>
      </c>
      <c r="FG27" s="2879"/>
      <c r="FH27" s="2816" t="e">
        <f>SUM(FH21/FH10)</f>
        <v>#DIV/0!</v>
      </c>
      <c r="FI27" s="2816" t="e">
        <f>SUM(FI21/FI10)</f>
        <v>#DIV/0!</v>
      </c>
      <c r="FJ27" s="2879"/>
      <c r="FK27" s="2816">
        <f>SUM(FK21/FK10)</f>
        <v>31.606140547443907</v>
      </c>
      <c r="FL27" s="2816">
        <v>31.606140547443907</v>
      </c>
      <c r="FM27" s="2879"/>
      <c r="FN27" s="2779">
        <f>SUM(FN21/FN10)</f>
        <v>31.61</v>
      </c>
      <c r="FO27" s="2779">
        <f t="shared" ref="FO27" si="298">SUM(FO21/FO10)</f>
        <v>31.61</v>
      </c>
      <c r="FP27" s="2779"/>
      <c r="FQ27" s="2779" t="e">
        <f t="shared" ref="FQ27:FU27" si="299">SUM(FQ21/FQ10)</f>
        <v>#DIV/0!</v>
      </c>
      <c r="FR27" s="2779" t="e">
        <f t="shared" si="299"/>
        <v>#DIV/0!</v>
      </c>
      <c r="FS27" s="2779"/>
      <c r="FT27" s="2779">
        <f t="shared" si="299"/>
        <v>29.873871408705181</v>
      </c>
      <c r="FU27" s="2779">
        <f t="shared" si="299"/>
        <v>29.873871408705181</v>
      </c>
      <c r="FV27" s="2779"/>
      <c r="FW27" s="2805" t="e">
        <f t="shared" si="215"/>
        <v>#DIV/0!</v>
      </c>
      <c r="FX27" s="2805" t="e">
        <f t="shared" si="215"/>
        <v>#DIV/0!</v>
      </c>
      <c r="FY27" s="2805">
        <f t="shared" si="215"/>
        <v>0</v>
      </c>
      <c r="FZ27" s="4558">
        <f>SUM(FZ21/FZ10)</f>
        <v>31.61</v>
      </c>
      <c r="GA27" s="4558">
        <f t="shared" ref="GA27" si="300">SUM(GA21/GA10)</f>
        <v>31.61</v>
      </c>
      <c r="GB27" s="4558"/>
      <c r="GC27" s="2779">
        <f t="shared" ref="GC27:GG27" si="301">SUM(GC21/GC10)</f>
        <v>31.608561065665441</v>
      </c>
      <c r="GD27" s="2779">
        <f t="shared" si="301"/>
        <v>31.608561065665441</v>
      </c>
      <c r="GE27" s="2779"/>
      <c r="GF27" s="2779">
        <f t="shared" si="301"/>
        <v>28.321958926473492</v>
      </c>
      <c r="GG27" s="2779">
        <f t="shared" si="301"/>
        <v>28.321958926473492</v>
      </c>
      <c r="GH27" s="2779"/>
      <c r="GI27" s="2805">
        <f t="shared" si="217"/>
        <v>-1.4389343345584393E-3</v>
      </c>
      <c r="GJ27" s="2805">
        <f t="shared" si="217"/>
        <v>-1.4389343345584393E-3</v>
      </c>
      <c r="GK27" s="2805">
        <f t="shared" si="217"/>
        <v>0</v>
      </c>
      <c r="GM27" s="2914"/>
    </row>
    <row r="28" spans="1:195" ht="18.75" customHeight="1" x14ac:dyDescent="0.3">
      <c r="A28" s="2815" t="s">
        <v>3746</v>
      </c>
      <c r="B28" s="2879">
        <f>SUM(C28)</f>
        <v>9.0901623860355159</v>
      </c>
      <c r="C28" s="2879">
        <f>SUM(C30-C27)</f>
        <v>9.0901623860355159</v>
      </c>
      <c r="D28" s="2879"/>
      <c r="E28" s="2816">
        <f>SUM(E22/E10)</f>
        <v>9.0854804434085121</v>
      </c>
      <c r="F28" s="2816">
        <f>SUM(F22/F10)</f>
        <v>9.0854804434085121</v>
      </c>
      <c r="G28" s="2879"/>
      <c r="H28" s="2816">
        <f>SUM(H22/H10)</f>
        <v>7.1699933899768888</v>
      </c>
      <c r="I28" s="3848">
        <v>7.1699933899768888</v>
      </c>
      <c r="J28" s="3860"/>
      <c r="K28" s="2879">
        <f>SUM(L28)</f>
        <v>9.0901623860355159</v>
      </c>
      <c r="L28" s="2879">
        <f t="shared" ref="L28:L30" si="302">SUM(C28)</f>
        <v>9.0901623860355159</v>
      </c>
      <c r="M28" s="2879"/>
      <c r="N28" s="2816">
        <f>SUM(N22/N10)</f>
        <v>9.0944337551524903</v>
      </c>
      <c r="O28" s="2816">
        <f>SUM(O22/O10)</f>
        <v>9.0944337551524903</v>
      </c>
      <c r="P28" s="2879"/>
      <c r="Q28" s="2816">
        <f>SUM(Q22/Q10)</f>
        <v>7.170003527959075</v>
      </c>
      <c r="R28" s="3848">
        <v>7.170003527959075</v>
      </c>
      <c r="S28" s="3860"/>
      <c r="T28" s="2879">
        <f>SUM(U28)</f>
        <v>9.0901623860355159</v>
      </c>
      <c r="U28" s="2879">
        <f t="shared" ref="U28:U30" si="303">SUM(C28)</f>
        <v>9.0901623860355159</v>
      </c>
      <c r="V28" s="2879"/>
      <c r="W28" s="2816">
        <f>SUM(W22/W10)</f>
        <v>9.0899999897777022</v>
      </c>
      <c r="X28" s="2816">
        <f>SUM(X22/X10)</f>
        <v>9.0899999897777022</v>
      </c>
      <c r="Y28" s="2879"/>
      <c r="Z28" s="2816">
        <f>SUM(Z22/Z10)</f>
        <v>7.1700154094032484</v>
      </c>
      <c r="AA28" s="3848">
        <v>7.1700154094032484</v>
      </c>
      <c r="AB28" s="3860"/>
      <c r="AC28" s="2779">
        <f>SUM(AC22/AC10)</f>
        <v>9.0901623860355159</v>
      </c>
      <c r="AD28" s="2779">
        <f t="shared" ref="AD28" si="304">SUM(AD22/AD10)</f>
        <v>9.0901623860355159</v>
      </c>
      <c r="AE28" s="2779"/>
      <c r="AF28" s="2779">
        <f>SUM(AF22/AF10)</f>
        <v>9.0900000029847376</v>
      </c>
      <c r="AG28" s="2779">
        <f t="shared" ref="AG28" si="305">SUM(AG22/AG10)</f>
        <v>9.0900000029847376</v>
      </c>
      <c r="AH28" s="2779"/>
      <c r="AI28" s="2779">
        <f>SUM(AI22/AI10)</f>
        <v>7.1700039634835395</v>
      </c>
      <c r="AJ28" s="2779">
        <f t="shared" ref="AJ28" si="306">SUM(AJ22/AJ10)</f>
        <v>7.1700039634835395</v>
      </c>
      <c r="AK28" s="2779"/>
      <c r="AL28" s="2805">
        <f t="shared" si="205"/>
        <v>-1.6238305077820314E-4</v>
      </c>
      <c r="AM28" s="2805">
        <f t="shared" si="205"/>
        <v>-1.6238305077820314E-4</v>
      </c>
      <c r="AN28" s="2805">
        <f t="shared" si="205"/>
        <v>0</v>
      </c>
      <c r="AO28" s="2879">
        <f>SUM(AP28)</f>
        <v>9.0901623860355159</v>
      </c>
      <c r="AP28" s="2879">
        <f t="shared" ref="AP28:AP30" si="307">SUM(C28)</f>
        <v>9.0901623860355159</v>
      </c>
      <c r="AQ28" s="2879"/>
      <c r="AR28" s="2816">
        <f>SUM(AR22/AR10)</f>
        <v>9.0899999821805331</v>
      </c>
      <c r="AS28" s="2816">
        <f>SUM(AS22/AS10)</f>
        <v>9.0899999821805331</v>
      </c>
      <c r="AT28" s="2879"/>
      <c r="AU28" s="2816">
        <f>SUM(AU22/AU10)</f>
        <v>7.1699815341203808</v>
      </c>
      <c r="AV28" s="3848">
        <v>7.1699815341203808</v>
      </c>
      <c r="AW28" s="3860"/>
      <c r="AX28" s="2879">
        <f>SUM(AY28)</f>
        <v>9.0901623860355159</v>
      </c>
      <c r="AY28" s="2879">
        <f t="shared" ref="AY28" si="308">SUM(L28)</f>
        <v>9.0901623860355159</v>
      </c>
      <c r="AZ28" s="2879"/>
      <c r="BA28" s="2816">
        <f>SUM(BA22/BA10)</f>
        <v>9.090000023313964</v>
      </c>
      <c r="BB28" s="2816">
        <f>SUM(BB22/BB10)</f>
        <v>9.090000023313964</v>
      </c>
      <c r="BC28" s="2879"/>
      <c r="BD28" s="2816">
        <f>SUM(BD22/BD10)</f>
        <v>7.1699901514338924</v>
      </c>
      <c r="BE28" s="3848">
        <v>7.1699901514338924</v>
      </c>
      <c r="BF28" s="3860"/>
      <c r="BG28" s="2879">
        <f>SUM(BH28)</f>
        <v>9.0901623860355159</v>
      </c>
      <c r="BH28" s="2879">
        <f t="shared" ref="BH28:BH30" si="309">SUM(C28)</f>
        <v>9.0901623860355159</v>
      </c>
      <c r="BI28" s="2879"/>
      <c r="BJ28" s="2816">
        <f>SUM(BJ22/BJ10)</f>
        <v>9.0900000224901394</v>
      </c>
      <c r="BK28" s="2816">
        <f>SUM(BK22/BK10)</f>
        <v>9.0900000224901394</v>
      </c>
      <c r="BL28" s="2879"/>
      <c r="BM28" s="2816">
        <f>SUM(BM22/BM10)</f>
        <v>7.1699890572738161</v>
      </c>
      <c r="BN28" s="3848">
        <v>7.1699890572738161</v>
      </c>
      <c r="BO28" s="3860"/>
      <c r="BP28" s="2779">
        <f>SUM(BP22/BP10)</f>
        <v>9.0901623860355159</v>
      </c>
      <c r="BQ28" s="2779">
        <f t="shared" ref="BQ28" si="310">SUM(BQ22/BQ10)</f>
        <v>9.0901623860355159</v>
      </c>
      <c r="BR28" s="2779"/>
      <c r="BS28" s="2779">
        <f>SUM(BS22/BS10)</f>
        <v>9.0900000094016207</v>
      </c>
      <c r="BT28" s="2779">
        <f t="shared" ref="BT28" si="311">SUM(BT22/BT10)</f>
        <v>9.0900000094016207</v>
      </c>
      <c r="BU28" s="2779"/>
      <c r="BV28" s="2779">
        <f>SUM(BV22/BV10)</f>
        <v>7.1699865744959173</v>
      </c>
      <c r="BW28" s="2779">
        <f t="shared" ref="BW28" si="312">SUM(BW22/BW10)</f>
        <v>7.1699865744959173</v>
      </c>
      <c r="BX28" s="2779"/>
      <c r="BY28" s="2805">
        <f t="shared" si="207"/>
        <v>-1.623766338951782E-4</v>
      </c>
      <c r="BZ28" s="2805">
        <f t="shared" si="207"/>
        <v>-1.623766338951782E-4</v>
      </c>
      <c r="CA28" s="2805">
        <f t="shared" si="207"/>
        <v>0</v>
      </c>
      <c r="CB28" s="2779">
        <f>SUM(CB22/CB10)</f>
        <v>9.0901623860355159</v>
      </c>
      <c r="CC28" s="2779">
        <f t="shared" ref="CC28" si="313">SUM(CC22/CC10)</f>
        <v>9.0901623860355159</v>
      </c>
      <c r="CD28" s="2779"/>
      <c r="CE28" s="2779">
        <f>SUM(CE22/CE10)</f>
        <v>9.0900000062091024</v>
      </c>
      <c r="CF28" s="2779">
        <f t="shared" ref="CF28" si="314">SUM(CF22/CF10)</f>
        <v>9.0900000062091024</v>
      </c>
      <c r="CG28" s="2779"/>
      <c r="CH28" s="2779">
        <f>SUM(CH22/CH10)</f>
        <v>7.1699950655829596</v>
      </c>
      <c r="CI28" s="2779">
        <f t="shared" ref="CI28" si="315">SUM(CI22/CI10)</f>
        <v>7.1699950655829596</v>
      </c>
      <c r="CJ28" s="2779"/>
      <c r="CK28" s="2805">
        <f t="shared" si="209"/>
        <v>-1.6237982641342796E-4</v>
      </c>
      <c r="CL28" s="2805">
        <f t="shared" si="209"/>
        <v>-1.6237982641342796E-4</v>
      </c>
      <c r="CM28" s="2805">
        <f t="shared" si="209"/>
        <v>0</v>
      </c>
      <c r="CN28" s="2879">
        <f>SUM(CO28)</f>
        <v>9.0901623860355159</v>
      </c>
      <c r="CO28" s="2879">
        <f>SUM(CO30-CO27)</f>
        <v>9.0901623860355159</v>
      </c>
      <c r="CP28" s="2879"/>
      <c r="CQ28" s="2816">
        <f>SUM(CQ22/CQ10)</f>
        <v>9.0897095623259858</v>
      </c>
      <c r="CR28" s="2816">
        <f>SUM(CR22/CR10)</f>
        <v>9.0897095623259858</v>
      </c>
      <c r="CS28" s="2879"/>
      <c r="CT28" s="2816">
        <f>SUM(CT22/CT10)</f>
        <v>5.5300039165458177</v>
      </c>
      <c r="CU28" s="3848">
        <v>5.5300039165458177</v>
      </c>
      <c r="CV28" s="3860"/>
      <c r="CW28" s="2879">
        <f>SUM(CX28)</f>
        <v>9.0901623860355159</v>
      </c>
      <c r="CX28" s="2879">
        <f>SUM(CO28)</f>
        <v>9.0901623860355159</v>
      </c>
      <c r="CY28" s="2879"/>
      <c r="CZ28" s="2816" t="e">
        <f>SUM(CZ22/CZ10)</f>
        <v>#DIV/0!</v>
      </c>
      <c r="DA28" s="2816" t="e">
        <f>SUM(DA22/DA10)</f>
        <v>#DIV/0!</v>
      </c>
      <c r="DB28" s="2879"/>
      <c r="DC28" s="2816">
        <f>SUM(DC22/DC10)</f>
        <v>5.5300012602394446</v>
      </c>
      <c r="DD28" s="3848">
        <v>5.5300012602394446</v>
      </c>
      <c r="DE28" s="3860"/>
      <c r="DF28" s="2879">
        <f>SUM(DG28)</f>
        <v>9.0901623860355159</v>
      </c>
      <c r="DG28" s="2879">
        <f t="shared" ref="DG28:DG30" si="316">SUM(CO28)</f>
        <v>9.0901623860355159</v>
      </c>
      <c r="DH28" s="2879"/>
      <c r="DI28" s="2816" t="e">
        <f>SUM(DI22/DI10)</f>
        <v>#DIV/0!</v>
      </c>
      <c r="DJ28" s="2816" t="e">
        <f>SUM(DJ22/DJ10)</f>
        <v>#DIV/0!</v>
      </c>
      <c r="DK28" s="2879"/>
      <c r="DL28" s="2816">
        <f>SUM(DL22/DL10)</f>
        <v>5.5300056700403966</v>
      </c>
      <c r="DM28" s="3848">
        <v>5.5300056700403966</v>
      </c>
      <c r="DN28" s="3860"/>
      <c r="DO28" s="2779">
        <f>SUM(DO22/DO10)</f>
        <v>9.0901623860355159</v>
      </c>
      <c r="DP28" s="2779">
        <f t="shared" ref="DP28" si="317">SUM(DP22/DP10)</f>
        <v>9.0901623860355159</v>
      </c>
      <c r="DQ28" s="2779"/>
      <c r="DR28" s="2779">
        <f>SUM(DR22/DR10)</f>
        <v>9.0897095623259858</v>
      </c>
      <c r="DS28" s="2779">
        <f>SUM(DS22/DS10)</f>
        <v>9.0897095623259858</v>
      </c>
      <c r="DT28" s="2779"/>
      <c r="DU28" s="2779">
        <f>SUM(DU22/DU10)</f>
        <v>5.5300036159362707</v>
      </c>
      <c r="DV28" s="2779">
        <f>SUM(DV22/DV10)</f>
        <v>5.5300036159362707</v>
      </c>
      <c r="DW28" s="2779"/>
      <c r="DX28" s="2805">
        <f t="shared" si="211"/>
        <v>-4.5282370953003692E-4</v>
      </c>
      <c r="DY28" s="2805">
        <f t="shared" si="211"/>
        <v>-4.5282370953003692E-4</v>
      </c>
      <c r="DZ28" s="2805">
        <f t="shared" si="211"/>
        <v>0</v>
      </c>
      <c r="EA28" s="2779">
        <f>SUM(EA22/EA10)</f>
        <v>9.0901623860355159</v>
      </c>
      <c r="EB28" s="2779">
        <f t="shared" ref="EB28" si="318">SUM(EB22/EB10)</f>
        <v>9.0901623860355159</v>
      </c>
      <c r="EC28" s="2779"/>
      <c r="ED28" s="2779">
        <f>SUM(ED22/ED10)</f>
        <v>9.089962286992133</v>
      </c>
      <c r="EE28" s="2779">
        <f>SUM(EE22/EE10)</f>
        <v>9.089962286992133</v>
      </c>
      <c r="EF28" s="2779"/>
      <c r="EG28" s="2779">
        <f>SUM(EG22/EG10)</f>
        <v>6.645960397399687</v>
      </c>
      <c r="EH28" s="2779">
        <f>SUM(EH22/EH10)</f>
        <v>6.645960397399687</v>
      </c>
      <c r="EI28" s="2779"/>
      <c r="EJ28" s="2805">
        <f t="shared" si="213"/>
        <v>-2.0009904338280649E-4</v>
      </c>
      <c r="EK28" s="2805">
        <f t="shared" si="213"/>
        <v>-2.0009904338280649E-4</v>
      </c>
      <c r="EL28" s="2805">
        <f t="shared" si="213"/>
        <v>0</v>
      </c>
      <c r="EM28" s="2879">
        <f>SUM(EN28)</f>
        <v>9.0901623860355159</v>
      </c>
      <c r="EN28" s="2879">
        <f t="shared" ref="EN28:EN30" si="319">SUM(CO28)</f>
        <v>9.0901623860355159</v>
      </c>
      <c r="EO28" s="2879"/>
      <c r="EP28" s="2816" t="e">
        <f>SUM(EP22/EP10)</f>
        <v>#DIV/0!</v>
      </c>
      <c r="EQ28" s="2816" t="e">
        <f>SUM(EQ22/EQ10)</f>
        <v>#DIV/0!</v>
      </c>
      <c r="ER28" s="2879"/>
      <c r="ES28" s="2816">
        <f>SUM(ES22/ES10)</f>
        <v>5.5300167736362624</v>
      </c>
      <c r="ET28" s="3848">
        <v>5.5300167736362624</v>
      </c>
      <c r="EU28" s="3860"/>
      <c r="EV28" s="2879">
        <f>SUM(EW28)</f>
        <v>9.0901623860355159</v>
      </c>
      <c r="EW28" s="2879">
        <f t="shared" ref="EW28:EW30" si="320">SUM(CO28)</f>
        <v>9.0901623860355159</v>
      </c>
      <c r="EX28" s="2879"/>
      <c r="EY28" s="2816" t="e">
        <f>SUM(EY22/EY10)</f>
        <v>#DIV/0!</v>
      </c>
      <c r="EZ28" s="2816" t="e">
        <f>SUM(EZ22/EZ10)</f>
        <v>#DIV/0!</v>
      </c>
      <c r="FA28" s="2879"/>
      <c r="FB28" s="2816">
        <f>SUM(FB22/FB10)</f>
        <v>5.5299999808758793</v>
      </c>
      <c r="FC28" s="3848">
        <v>5.5299999808758793</v>
      </c>
      <c r="FD28" s="3860"/>
      <c r="FE28" s="2879">
        <f>SUM(FF28)</f>
        <v>9.0901623860355159</v>
      </c>
      <c r="FF28" s="2879">
        <f t="shared" ref="FF28:FF30" si="321">SUM(CO28)</f>
        <v>9.0901623860355159</v>
      </c>
      <c r="FG28" s="2879"/>
      <c r="FH28" s="2816" t="e">
        <f>SUM(FH22/FH10)</f>
        <v>#DIV/0!</v>
      </c>
      <c r="FI28" s="2816" t="e">
        <f>SUM(FI22/FI10)</f>
        <v>#DIV/0!</v>
      </c>
      <c r="FJ28" s="2879"/>
      <c r="FK28" s="2816">
        <f>SUM(FK22/FK10)</f>
        <v>9.0899904461336298</v>
      </c>
      <c r="FL28" s="2816">
        <v>9.0899904461336298</v>
      </c>
      <c r="FM28" s="2879"/>
      <c r="FN28" s="2779">
        <f>SUM(FN22/FN10)</f>
        <v>9.0901623860355159</v>
      </c>
      <c r="FO28" s="2779">
        <f t="shared" ref="FO28" si="322">SUM(FO22/FO10)</f>
        <v>9.0901623860355159</v>
      </c>
      <c r="FP28" s="2779"/>
      <c r="FQ28" s="2779" t="e">
        <f>SUM(FQ22/FQ10)</f>
        <v>#DIV/0!</v>
      </c>
      <c r="FR28" s="2779" t="e">
        <f>SUM(FR22/FR10)</f>
        <v>#DIV/0!</v>
      </c>
      <c r="FS28" s="2779"/>
      <c r="FT28" s="2779">
        <f>SUM(FT22/FT10)</f>
        <v>6.7236838135735937</v>
      </c>
      <c r="FU28" s="2779">
        <f>SUM(FU22/FU10)</f>
        <v>6.7236838135735937</v>
      </c>
      <c r="FV28" s="2779"/>
      <c r="FW28" s="2805" t="e">
        <f t="shared" si="215"/>
        <v>#DIV/0!</v>
      </c>
      <c r="FX28" s="2805" t="e">
        <f t="shared" si="215"/>
        <v>#DIV/0!</v>
      </c>
      <c r="FY28" s="2805">
        <f t="shared" si="215"/>
        <v>0</v>
      </c>
      <c r="FZ28" s="4558">
        <f>SUM(FZ22/FZ10)</f>
        <v>9.0901623860355159</v>
      </c>
      <c r="GA28" s="4558">
        <f t="shared" ref="GA28" si="323">SUM(GA22/GA10)</f>
        <v>9.0901623860355159</v>
      </c>
      <c r="GB28" s="4558"/>
      <c r="GC28" s="2779">
        <f>SUM(GC22/GC10)</f>
        <v>9.089962286992133</v>
      </c>
      <c r="GD28" s="2779">
        <f>SUM(GD22/GD10)</f>
        <v>9.089962286992133</v>
      </c>
      <c r="GE28" s="2779"/>
      <c r="GF28" s="2779">
        <f>SUM(GF22/GF10)</f>
        <v>6.6652633401129249</v>
      </c>
      <c r="GG28" s="2779">
        <f>SUM(GG22/GG10)</f>
        <v>6.6652633401129249</v>
      </c>
      <c r="GH28" s="2779"/>
      <c r="GI28" s="2805">
        <f t="shared" si="217"/>
        <v>-2.0009904338280649E-4</v>
      </c>
      <c r="GJ28" s="2805">
        <f t="shared" si="217"/>
        <v>-2.0009904338280649E-4</v>
      </c>
      <c r="GK28" s="2805">
        <f t="shared" si="217"/>
        <v>0</v>
      </c>
      <c r="GM28" s="2914"/>
    </row>
    <row r="29" spans="1:195" ht="18.75" customHeight="1" x14ac:dyDescent="0.3">
      <c r="A29" s="2815" t="s">
        <v>3757</v>
      </c>
      <c r="B29" s="2879">
        <f>SUM(D29)</f>
        <v>22.779222604654247</v>
      </c>
      <c r="C29" s="2879"/>
      <c r="D29" s="2879">
        <f>SUM('очистка 2019-2023'!BB50)</f>
        <v>22.779222604654247</v>
      </c>
      <c r="E29" s="2816">
        <f>SUM(E23/E11)</f>
        <v>22.780011408199641</v>
      </c>
      <c r="F29" s="2816"/>
      <c r="G29" s="2879">
        <f>SUM(G23/G11)</f>
        <v>22.780011408199641</v>
      </c>
      <c r="H29" s="2816">
        <f>SUM(H23/H11)</f>
        <v>19.940075555555556</v>
      </c>
      <c r="I29" s="3848"/>
      <c r="J29" s="3860">
        <v>19.940075555555556</v>
      </c>
      <c r="K29" s="2879">
        <f>SUM(M29)</f>
        <v>22.779222604654247</v>
      </c>
      <c r="L29" s="2879"/>
      <c r="M29" s="2879">
        <f>SUM(D29)</f>
        <v>22.779222604654247</v>
      </c>
      <c r="N29" s="2816">
        <f>SUM(N23/N11)</f>
        <v>22.780010863661055</v>
      </c>
      <c r="O29" s="2816"/>
      <c r="P29" s="2879">
        <f>SUM(P23/P11)</f>
        <v>22.780010863661055</v>
      </c>
      <c r="Q29" s="2816">
        <f>SUM(Q23/Q11)</f>
        <v>19.940298507462689</v>
      </c>
      <c r="R29" s="3848"/>
      <c r="S29" s="3860">
        <v>19.940298507462689</v>
      </c>
      <c r="T29" s="2879">
        <f>SUM(V29)</f>
        <v>22.779222604654247</v>
      </c>
      <c r="U29" s="2879"/>
      <c r="V29" s="2879">
        <f>SUM(D29)</f>
        <v>22.779222604654247</v>
      </c>
      <c r="W29" s="2816">
        <f>SUM(W23/W11)</f>
        <v>22.780007032057913</v>
      </c>
      <c r="X29" s="2816"/>
      <c r="Y29" s="2879">
        <f>SUM(Y23/Y11)</f>
        <v>22.780007032057913</v>
      </c>
      <c r="Z29" s="2816">
        <f>SUM(Z23/Z11)</f>
        <v>19.940099833610649</v>
      </c>
      <c r="AA29" s="3848"/>
      <c r="AB29" s="3860">
        <v>19.940099833610649</v>
      </c>
      <c r="AC29" s="2779">
        <f>SUM(AC23/AC11)</f>
        <v>22.779222604654247</v>
      </c>
      <c r="AD29" s="2779"/>
      <c r="AE29" s="2779">
        <f t="shared" ref="AE29" si="324">SUM(AE23/AE11)</f>
        <v>22.779222604654247</v>
      </c>
      <c r="AF29" s="2779">
        <f>SUM(AF23/AF11)</f>
        <v>22.780008382229674</v>
      </c>
      <c r="AG29" s="2779"/>
      <c r="AH29" s="2779">
        <f t="shared" ref="AH29" si="325">SUM(AH23/AH11)</f>
        <v>22.780008382229674</v>
      </c>
      <c r="AI29" s="2779">
        <f>SUM(AI23/AI11)</f>
        <v>19.940115267771898</v>
      </c>
      <c r="AJ29" s="2779"/>
      <c r="AK29" s="2779">
        <f>SUM(AK23/AK11)</f>
        <v>19.940115267771898</v>
      </c>
      <c r="AL29" s="2805">
        <f t="shared" si="205"/>
        <v>7.8577757542674931E-4</v>
      </c>
      <c r="AM29" s="2805">
        <f t="shared" si="205"/>
        <v>0</v>
      </c>
      <c r="AN29" s="2805">
        <f t="shared" si="205"/>
        <v>7.8577757542674931E-4</v>
      </c>
      <c r="AO29" s="2879">
        <f>SUM(AQ29)</f>
        <v>22.779222604654247</v>
      </c>
      <c r="AP29" s="2879"/>
      <c r="AQ29" s="2879">
        <f>SUM(D29)</f>
        <v>22.779222604654247</v>
      </c>
      <c r="AR29" s="2816">
        <f>SUM(AR23/AR11)</f>
        <v>22.779999999999998</v>
      </c>
      <c r="AS29" s="2816"/>
      <c r="AT29" s="2879">
        <f>SUM(AT23/AT11)</f>
        <v>22.779999999999998</v>
      </c>
      <c r="AU29" s="2816">
        <f>SUM(AU23/AU11)</f>
        <v>19.940611353711791</v>
      </c>
      <c r="AV29" s="3848"/>
      <c r="AW29" s="3860">
        <v>19.940611353711791</v>
      </c>
      <c r="AX29" s="2879">
        <f>SUM(AZ29)</f>
        <v>22.779222604654247</v>
      </c>
      <c r="AY29" s="2879"/>
      <c r="AZ29" s="2879">
        <f>SUM(M29)</f>
        <v>22.779222604654247</v>
      </c>
      <c r="BA29" s="2816">
        <f>SUM(BA23/BA11)</f>
        <v>22.780010684474124</v>
      </c>
      <c r="BB29" s="2816"/>
      <c r="BC29" s="2879">
        <f>SUM(BC23/BC11)</f>
        <v>22.780010684474124</v>
      </c>
      <c r="BD29" s="2816">
        <f>SUM(BD23/BD11)</f>
        <v>19.930232558139533</v>
      </c>
      <c r="BE29" s="3848"/>
      <c r="BF29" s="3860">
        <v>19.930232558139533</v>
      </c>
      <c r="BG29" s="2879">
        <f>SUM(BI29)</f>
        <v>22.779222604654247</v>
      </c>
      <c r="BH29" s="2879"/>
      <c r="BI29" s="2879">
        <f>SUM(D29)</f>
        <v>22.779222604654247</v>
      </c>
      <c r="BJ29" s="2816">
        <f>SUM(BJ23/BJ11)</f>
        <v>22.780009647853351</v>
      </c>
      <c r="BK29" s="2816"/>
      <c r="BL29" s="2879">
        <f>SUM(BL23/BL11)</f>
        <v>22.780009647853351</v>
      </c>
      <c r="BM29" s="2816">
        <f>SUM(BM23/BM11)</f>
        <v>19.939935769464455</v>
      </c>
      <c r="BN29" s="3848"/>
      <c r="BO29" s="3860">
        <v>19.939935769464455</v>
      </c>
      <c r="BP29" s="2779">
        <f>SUM(BP23/BP11)</f>
        <v>22.779222604654247</v>
      </c>
      <c r="BQ29" s="2779"/>
      <c r="BR29" s="2779">
        <f t="shared" ref="BR29" si="326">SUM(BR23/BR11)</f>
        <v>22.779222604654247</v>
      </c>
      <c r="BS29" s="2779">
        <f>SUM(BS23/BS11)</f>
        <v>22.780008684210525</v>
      </c>
      <c r="BT29" s="2779"/>
      <c r="BU29" s="2779">
        <f t="shared" ref="BU29" si="327">SUM(BU23/BU11)</f>
        <v>22.780008684210525</v>
      </c>
      <c r="BV29" s="2779">
        <f>SUM(BV23/BV11)</f>
        <v>19.938680127126567</v>
      </c>
      <c r="BW29" s="2779"/>
      <c r="BX29" s="2779">
        <f t="shared" ref="BX29" si="328">SUM(BX23/BX11)</f>
        <v>19.938680127126567</v>
      </c>
      <c r="BY29" s="2805">
        <f t="shared" si="207"/>
        <v>7.8607955627774118E-4</v>
      </c>
      <c r="BZ29" s="2805">
        <f t="shared" si="207"/>
        <v>0</v>
      </c>
      <c r="CA29" s="2805">
        <f t="shared" si="207"/>
        <v>7.8607955627774118E-4</v>
      </c>
      <c r="CB29" s="2779">
        <f>SUM(CB23/CB11)</f>
        <v>22.779222604654247</v>
      </c>
      <c r="CC29" s="2779"/>
      <c r="CD29" s="2779">
        <f t="shared" ref="CD29" si="329">SUM(CD23/CD11)</f>
        <v>22.779222604654247</v>
      </c>
      <c r="CE29" s="2779">
        <f>SUM(CE23/CE11)</f>
        <v>22.780008537742244</v>
      </c>
      <c r="CF29" s="2779"/>
      <c r="CG29" s="2779">
        <f t="shared" ref="CG29" si="330">SUM(CG23/CG11)</f>
        <v>22.780008537742244</v>
      </c>
      <c r="CH29" s="2779">
        <f>SUM(CH23/CH11)</f>
        <v>19.939279889727221</v>
      </c>
      <c r="CI29" s="2779"/>
      <c r="CJ29" s="2779">
        <f t="shared" ref="CJ29" si="331">SUM(CJ23/CJ11)</f>
        <v>19.939279889727221</v>
      </c>
      <c r="CK29" s="2805">
        <f t="shared" si="209"/>
        <v>7.8593308799668193E-4</v>
      </c>
      <c r="CL29" s="2805">
        <f t="shared" si="209"/>
        <v>0</v>
      </c>
      <c r="CM29" s="2805">
        <f t="shared" si="209"/>
        <v>7.8593308799668193E-4</v>
      </c>
      <c r="CN29" s="2879">
        <f>SUM(CP29)</f>
        <v>22.779222604654247</v>
      </c>
      <c r="CO29" s="2879"/>
      <c r="CP29" s="2879">
        <f>SUM('очистка 2019-2023'!BB50)</f>
        <v>22.779222604654247</v>
      </c>
      <c r="CQ29" s="2816">
        <f>SUM(CQ23/CQ11)</f>
        <v>22.78</v>
      </c>
      <c r="CR29" s="2816"/>
      <c r="CS29" s="2879">
        <f>SUM(CS23/CS11)</f>
        <v>22.78</v>
      </c>
      <c r="CT29" s="2816">
        <f>SUM(CT23/CT11)</f>
        <v>20.014970059880238</v>
      </c>
      <c r="CU29" s="3848"/>
      <c r="CV29" s="3860">
        <v>20.014970059880238</v>
      </c>
      <c r="CW29" s="2879">
        <f>SUM(CY29)</f>
        <v>22.779222604654247</v>
      </c>
      <c r="CX29" s="2879"/>
      <c r="CY29" s="2879">
        <f>SUM(CP29)</f>
        <v>22.779222604654247</v>
      </c>
      <c r="CZ29" s="2816" t="e">
        <f>SUM(CZ23/CZ11)</f>
        <v>#DIV/0!</v>
      </c>
      <c r="DA29" s="2816"/>
      <c r="DB29" s="2879" t="e">
        <f>SUM(DB23/DB11)</f>
        <v>#DIV/0!</v>
      </c>
      <c r="DC29" s="2816">
        <f>SUM(DC23/DC11)</f>
        <v>20.042929292929294</v>
      </c>
      <c r="DD29" s="3848"/>
      <c r="DE29" s="3860">
        <v>20.042929292929294</v>
      </c>
      <c r="DF29" s="2879">
        <f>SUM(DH29)</f>
        <v>22.779222604654247</v>
      </c>
      <c r="DG29" s="2879"/>
      <c r="DH29" s="2879">
        <f>SUM(CP29)</f>
        <v>22.779222604654247</v>
      </c>
      <c r="DI29" s="2816" t="e">
        <f>SUM(DI23/DI11)</f>
        <v>#DIV/0!</v>
      </c>
      <c r="DJ29" s="2816"/>
      <c r="DK29" s="2879" t="e">
        <f>SUM(DK23/DK11)</f>
        <v>#DIV/0!</v>
      </c>
      <c r="DL29" s="2816">
        <f>SUM(DL23/DL11)</f>
        <v>20.029998948843726</v>
      </c>
      <c r="DM29" s="3848"/>
      <c r="DN29" s="3860">
        <v>20.029998948843726</v>
      </c>
      <c r="DO29" s="2779">
        <f>SUM(DO23/DO11)</f>
        <v>22.779222604654247</v>
      </c>
      <c r="DP29" s="2779"/>
      <c r="DQ29" s="2779">
        <f t="shared" ref="DQ29" si="332">SUM(DQ23/DQ11)</f>
        <v>22.779222604654247</v>
      </c>
      <c r="DR29" s="2779">
        <f>SUM(DR23/DR11)</f>
        <v>22.78</v>
      </c>
      <c r="DS29" s="2779"/>
      <c r="DT29" s="2779">
        <f t="shared" ref="DT29" si="333">SUM(DT23/DT11)</f>
        <v>22.78</v>
      </c>
      <c r="DU29" s="2779">
        <f>SUM(DU23/DU11)</f>
        <v>20.030027064732142</v>
      </c>
      <c r="DV29" s="2779"/>
      <c r="DW29" s="2779">
        <f t="shared" ref="DW29" si="334">SUM(DW23/DW11)</f>
        <v>20.030027064732142</v>
      </c>
      <c r="DX29" s="2805">
        <f t="shared" si="211"/>
        <v>7.7739534575371749E-4</v>
      </c>
      <c r="DY29" s="2805">
        <f t="shared" si="211"/>
        <v>0</v>
      </c>
      <c r="DZ29" s="2805">
        <f t="shared" si="211"/>
        <v>7.7739534575371749E-4</v>
      </c>
      <c r="EA29" s="2779">
        <f>SUM(EA23/EA11)</f>
        <v>22.779222604654247</v>
      </c>
      <c r="EB29" s="2779"/>
      <c r="EC29" s="2779">
        <f t="shared" ref="EC29" si="335">SUM(EC23/EC11)</f>
        <v>22.779222604654247</v>
      </c>
      <c r="ED29" s="2779">
        <f>SUM(ED23/ED11)</f>
        <v>22.780007953039195</v>
      </c>
      <c r="EE29" s="2779"/>
      <c r="EF29" s="2779">
        <f t="shared" ref="EF29" si="336">SUM(EF23/EF11)</f>
        <v>22.780007953039195</v>
      </c>
      <c r="EG29" s="2779">
        <f>SUM(EG23/EG11)</f>
        <v>19.970325887743417</v>
      </c>
      <c r="EH29" s="2779"/>
      <c r="EI29" s="2779">
        <f t="shared" ref="EI29" si="337">SUM(EI23/EI11)</f>
        <v>19.970325887743417</v>
      </c>
      <c r="EJ29" s="2805">
        <f t="shared" si="213"/>
        <v>7.8534838494803694E-4</v>
      </c>
      <c r="EK29" s="2805">
        <f t="shared" si="213"/>
        <v>0</v>
      </c>
      <c r="EL29" s="2805">
        <f t="shared" si="213"/>
        <v>7.8534838494803694E-4</v>
      </c>
      <c r="EM29" s="2879">
        <f>SUM(EO29)</f>
        <v>22.779222604654247</v>
      </c>
      <c r="EN29" s="2879"/>
      <c r="EO29" s="2879">
        <f>SUM(CP29)</f>
        <v>22.779222604654247</v>
      </c>
      <c r="EP29" s="2816" t="e">
        <f>SUM(EP23/EP11)</f>
        <v>#DIV/0!</v>
      </c>
      <c r="EQ29" s="2816"/>
      <c r="ER29" s="2879" t="e">
        <f>SUM(ER23/ER11)</f>
        <v>#DIV/0!</v>
      </c>
      <c r="ES29" s="2816">
        <f>SUM(ES23/ES11)</f>
        <v>20.021739130434781</v>
      </c>
      <c r="ET29" s="3848"/>
      <c r="EU29" s="3860">
        <v>20.021739130434781</v>
      </c>
      <c r="EV29" s="2879">
        <f>SUM(EX29)</f>
        <v>22.779222604654247</v>
      </c>
      <c r="EW29" s="2879"/>
      <c r="EX29" s="2879">
        <f>SUM(CP29)</f>
        <v>22.779222604654247</v>
      </c>
      <c r="EY29" s="2816" t="e">
        <f>SUM(EY23/EY11)</f>
        <v>#DIV/0!</v>
      </c>
      <c r="EZ29" s="2816"/>
      <c r="FA29" s="2879" t="e">
        <f>SUM(FA23/FA11)</f>
        <v>#DIV/0!</v>
      </c>
      <c r="FB29" s="2816">
        <f>SUM(FB23/FB11)</f>
        <v>20.030013617021275</v>
      </c>
      <c r="FC29" s="3848"/>
      <c r="FD29" s="3860">
        <v>20.030013617021275</v>
      </c>
      <c r="FE29" s="2879">
        <f>SUM(FG29)</f>
        <v>22.779222604654247</v>
      </c>
      <c r="FF29" s="2879"/>
      <c r="FG29" s="2879">
        <f>SUM(CP29)</f>
        <v>22.779222604654247</v>
      </c>
      <c r="FH29" s="2816" t="e">
        <f>SUM(FH23/FH11)</f>
        <v>#DIV/0!</v>
      </c>
      <c r="FI29" s="2816"/>
      <c r="FJ29" s="2879" t="e">
        <f>SUM(FJ23/FJ11)</f>
        <v>#DIV/0!</v>
      </c>
      <c r="FK29" s="2816">
        <f>SUM(FK23/FK11)</f>
        <v>22.764198371220619</v>
      </c>
      <c r="FL29" s="2816"/>
      <c r="FM29" s="2879">
        <v>22.763468515549853</v>
      </c>
      <c r="FN29" s="2779">
        <f>SUM(FN23/FN11)</f>
        <v>22.779222604654247</v>
      </c>
      <c r="FO29" s="2779"/>
      <c r="FP29" s="2779">
        <f t="shared" ref="FP29" si="338">SUM(FP23/FP11)</f>
        <v>22.779222604654247</v>
      </c>
      <c r="FQ29" s="2779" t="e">
        <f>SUM(FQ23/FQ11)</f>
        <v>#DIV/0!</v>
      </c>
      <c r="FR29" s="2779"/>
      <c r="FS29" s="2779" t="e">
        <f t="shared" ref="FS29" si="339">SUM(FS23/FS11)</f>
        <v>#DIV/0!</v>
      </c>
      <c r="FT29" s="2779">
        <f>SUM(FT23/FT11)</f>
        <v>21.988987518389113</v>
      </c>
      <c r="FU29" s="2779"/>
      <c r="FV29" s="2779">
        <f t="shared" ref="FV29" si="340">SUM(FV23/FV11)</f>
        <v>21.988987518389113</v>
      </c>
      <c r="FW29" s="2805" t="e">
        <f t="shared" si="215"/>
        <v>#DIV/0!</v>
      </c>
      <c r="FX29" s="2805">
        <f t="shared" si="215"/>
        <v>0</v>
      </c>
      <c r="FY29" s="2805" t="e">
        <f t="shared" si="215"/>
        <v>#DIV/0!</v>
      </c>
      <c r="FZ29" s="4558">
        <f>SUM(FZ23/FZ11)</f>
        <v>22.779222604654247</v>
      </c>
      <c r="GA29" s="4558"/>
      <c r="GB29" s="4558">
        <f t="shared" ref="GB29" si="341">SUM(GB23/GB11)</f>
        <v>22.779222604654247</v>
      </c>
      <c r="GC29" s="2779">
        <f>SUM(GC23/GC11)</f>
        <v>22.780007953039195</v>
      </c>
      <c r="GD29" s="2779"/>
      <c r="GE29" s="2779">
        <f t="shared" ref="GE29" si="342">SUM(GE23/GE11)</f>
        <v>22.780007953039195</v>
      </c>
      <c r="GF29" s="2779">
        <f>SUM(GF23/GF11)</f>
        <v>20.562646718016513</v>
      </c>
      <c r="GG29" s="2779"/>
      <c r="GH29" s="2779">
        <f t="shared" ref="GH29" si="343">SUM(GH23/GH11)</f>
        <v>20.562646718016513</v>
      </c>
      <c r="GI29" s="2805">
        <f t="shared" si="217"/>
        <v>7.8534838494803694E-4</v>
      </c>
      <c r="GJ29" s="2805">
        <f t="shared" si="217"/>
        <v>0</v>
      </c>
      <c r="GK29" s="2805">
        <f t="shared" si="217"/>
        <v>7.8534838494803694E-4</v>
      </c>
      <c r="GM29" s="2914"/>
    </row>
    <row r="30" spans="1:195" ht="18.75" customHeight="1" x14ac:dyDescent="0.3">
      <c r="A30" s="2815" t="s">
        <v>254</v>
      </c>
      <c r="B30" s="2879">
        <f>SUM(C30)</f>
        <v>40.700162386035515</v>
      </c>
      <c r="C30" s="2879">
        <f>SUM('стоки 2019-2023'!BH50)</f>
        <v>40.700162386035515</v>
      </c>
      <c r="D30" s="2879"/>
      <c r="E30" s="2816">
        <f>SUM(E24/E12)</f>
        <v>40.700000459155582</v>
      </c>
      <c r="F30" s="2816">
        <f>SUM(F24/F12)</f>
        <v>40.700000459155582</v>
      </c>
      <c r="G30" s="2879"/>
      <c r="H30" s="2816">
        <f>SUM(H24/H12)</f>
        <v>34.419870086848817</v>
      </c>
      <c r="I30" s="3848">
        <v>34.419870086848817</v>
      </c>
      <c r="J30" s="3860"/>
      <c r="K30" s="2879">
        <f>SUM(L30)</f>
        <v>40.700162386035515</v>
      </c>
      <c r="L30" s="2879">
        <f t="shared" si="302"/>
        <v>40.700162386035515</v>
      </c>
      <c r="M30" s="2879"/>
      <c r="N30" s="2816">
        <f>SUM(N24/N12)</f>
        <v>40.699942947361279</v>
      </c>
      <c r="O30" s="2816">
        <f>SUM(O24/O12)</f>
        <v>40.699942947361279</v>
      </c>
      <c r="P30" s="2879"/>
      <c r="Q30" s="2816">
        <f>SUM(Q24/Q12)</f>
        <v>34.420347461637256</v>
      </c>
      <c r="R30" s="3848">
        <v>34.420347461637256</v>
      </c>
      <c r="S30" s="3860"/>
      <c r="T30" s="2879">
        <f>SUM(U30)</f>
        <v>40.700162386035515</v>
      </c>
      <c r="U30" s="2879">
        <f t="shared" si="303"/>
        <v>40.700162386035515</v>
      </c>
      <c r="V30" s="2879"/>
      <c r="W30" s="2816">
        <f>SUM(W24/W12)</f>
        <v>40.700001046944259</v>
      </c>
      <c r="X30" s="2816">
        <f>SUM(X24/X12)</f>
        <v>40.700001046944259</v>
      </c>
      <c r="Y30" s="2879"/>
      <c r="Z30" s="2816">
        <f>SUM(Z24/Z12)</f>
        <v>34.419882479236108</v>
      </c>
      <c r="AA30" s="3848">
        <v>34.419882479236108</v>
      </c>
      <c r="AB30" s="3860"/>
      <c r="AC30" s="2779">
        <f>SUM(AC24/AC12)</f>
        <v>40.700162386035515</v>
      </c>
      <c r="AD30" s="2779">
        <f t="shared" ref="AD30" si="344">SUM(AD24/AD12)</f>
        <v>40.700162386035515</v>
      </c>
      <c r="AE30" s="2779"/>
      <c r="AF30" s="2779">
        <f>SUM(AF24/AF12)</f>
        <v>40.699980265105609</v>
      </c>
      <c r="AG30" s="2779">
        <f t="shared" ref="AG30" si="345">SUM(AG24/AG12)</f>
        <v>40.699980265105609</v>
      </c>
      <c r="AH30" s="2779"/>
      <c r="AI30" s="2779">
        <f>SUM(AI24/AI12)</f>
        <v>34.420039030402627</v>
      </c>
      <c r="AJ30" s="2779">
        <f>SUM(AJ24/AJ12)</f>
        <v>34.420039030402627</v>
      </c>
      <c r="AK30" s="2779"/>
      <c r="AL30" s="2805">
        <f t="shared" si="205"/>
        <v>-1.8212092990665951E-4</v>
      </c>
      <c r="AM30" s="2805">
        <f t="shared" si="205"/>
        <v>-1.8212092990665951E-4</v>
      </c>
      <c r="AN30" s="2805">
        <f t="shared" si="205"/>
        <v>0</v>
      </c>
      <c r="AO30" s="2879">
        <f>SUM(AP30)</f>
        <v>40.700162386035515</v>
      </c>
      <c r="AP30" s="2879">
        <f t="shared" si="307"/>
        <v>40.700162386035515</v>
      </c>
      <c r="AQ30" s="2879"/>
      <c r="AR30" s="2816">
        <f>SUM(AR24/AR12)</f>
        <v>40.69999985322513</v>
      </c>
      <c r="AS30" s="2816">
        <f>SUM(AS24/AS12)</f>
        <v>40.69999985322513</v>
      </c>
      <c r="AT30" s="2879"/>
      <c r="AU30" s="2816">
        <f>SUM(AU24/AU12)</f>
        <v>34.420014295925661</v>
      </c>
      <c r="AV30" s="3848">
        <v>34.420014295925661</v>
      </c>
      <c r="AW30" s="3860"/>
      <c r="AX30" s="2879">
        <f>SUM(AY30)</f>
        <v>40.700162386035515</v>
      </c>
      <c r="AY30" s="2879">
        <f t="shared" ref="AY30" si="346">SUM(L30)</f>
        <v>40.700162386035515</v>
      </c>
      <c r="AZ30" s="2879"/>
      <c r="BA30" s="2816">
        <f>SUM(BA24/BA12)</f>
        <v>40.699999932917677</v>
      </c>
      <c r="BB30" s="2816">
        <f>SUM(BB24/BB12)</f>
        <v>40.699999932917677</v>
      </c>
      <c r="BC30" s="2879"/>
      <c r="BD30" s="2816">
        <f>SUM(BD24/BD12)</f>
        <v>34.420136927116225</v>
      </c>
      <c r="BE30" s="3848">
        <v>34.420136927116225</v>
      </c>
      <c r="BF30" s="3860"/>
      <c r="BG30" s="2879">
        <f>SUM(BH30)</f>
        <v>40.700162386035515</v>
      </c>
      <c r="BH30" s="2879">
        <f t="shared" si="309"/>
        <v>40.700162386035515</v>
      </c>
      <c r="BI30" s="2879"/>
      <c r="BJ30" s="2816">
        <f>SUM(BJ24/BJ12)</f>
        <v>40.700746713227829</v>
      </c>
      <c r="BK30" s="2816">
        <f>SUM(BK24/BK12)</f>
        <v>40.700746713227829</v>
      </c>
      <c r="BL30" s="2879"/>
      <c r="BM30" s="2816">
        <f>SUM(BM24/BM12)</f>
        <v>34.419934967869189</v>
      </c>
      <c r="BN30" s="3848">
        <v>34.419934967869189</v>
      </c>
      <c r="BO30" s="3860"/>
      <c r="BP30" s="2779">
        <f>SUM(BP24/BP12)</f>
        <v>40.700162386035515</v>
      </c>
      <c r="BQ30" s="2779">
        <f t="shared" ref="BQ30" si="347">SUM(BQ24/BQ12)</f>
        <v>40.700162386035515</v>
      </c>
      <c r="BR30" s="2779"/>
      <c r="BS30" s="2779">
        <f>SUM(BS24/BS12)</f>
        <v>40.700244935208005</v>
      </c>
      <c r="BT30" s="2779">
        <f t="shared" ref="BT30" si="348">SUM(BT24/BT12)</f>
        <v>40.700244935208005</v>
      </c>
      <c r="BU30" s="2779"/>
      <c r="BV30" s="2779">
        <f>SUM(BV24/BV12)</f>
        <v>34.420026625568283</v>
      </c>
      <c r="BW30" s="2779">
        <f t="shared" ref="BW30" si="349">SUM(BW24/BW12)</f>
        <v>34.420026625568283</v>
      </c>
      <c r="BX30" s="2779"/>
      <c r="BY30" s="2805">
        <f t="shared" si="207"/>
        <v>8.2549172489621014E-5</v>
      </c>
      <c r="BZ30" s="2805">
        <f t="shared" si="207"/>
        <v>8.2549172489621014E-5</v>
      </c>
      <c r="CA30" s="2805">
        <f t="shared" si="207"/>
        <v>0</v>
      </c>
      <c r="CB30" s="2779">
        <f>SUM(CB24/CB12)</f>
        <v>40.700162386035515</v>
      </c>
      <c r="CC30" s="2779">
        <f t="shared" ref="CC30" si="350">SUM(CC24/CC12)</f>
        <v>40.700162386035515</v>
      </c>
      <c r="CD30" s="2779"/>
      <c r="CE30" s="2779">
        <f>SUM(CE24/CE12)</f>
        <v>40.700109760814662</v>
      </c>
      <c r="CF30" s="2779">
        <f t="shared" ref="CF30" si="351">SUM(CF24/CF12)</f>
        <v>40.700109760814662</v>
      </c>
      <c r="CG30" s="2779"/>
      <c r="CH30" s="2779">
        <f>SUM(CH24/CH12)</f>
        <v>34.420033348430373</v>
      </c>
      <c r="CI30" s="2779">
        <f t="shared" ref="CI30" si="352">SUM(CI24/CI12)</f>
        <v>34.420033348430373</v>
      </c>
      <c r="CJ30" s="2779"/>
      <c r="CK30" s="2805">
        <f t="shared" si="209"/>
        <v>-5.2625220853030896E-5</v>
      </c>
      <c r="CL30" s="2805">
        <f t="shared" si="209"/>
        <v>-5.2625220853030896E-5</v>
      </c>
      <c r="CM30" s="2805">
        <f t="shared" si="209"/>
        <v>0</v>
      </c>
      <c r="CN30" s="2879">
        <f>SUM(CO30)</f>
        <v>40.700162386035515</v>
      </c>
      <c r="CO30" s="2879">
        <f>SUM('стоки 2019-2023'!BH50)</f>
        <v>40.700162386035515</v>
      </c>
      <c r="CP30" s="2879"/>
      <c r="CQ30" s="2816">
        <f>SUM(CQ24/CQ12)</f>
        <v>40.699999964830596</v>
      </c>
      <c r="CR30" s="2816">
        <f>SUM(CR24/CR12)</f>
        <v>40.699999964830596</v>
      </c>
      <c r="CS30" s="2879"/>
      <c r="CT30" s="2816">
        <f>SUM(CT24/CT12)</f>
        <v>34.530259415081161</v>
      </c>
      <c r="CU30" s="3848">
        <v>34.530259415081161</v>
      </c>
      <c r="CV30" s="3860"/>
      <c r="CW30" s="2879">
        <f>SUM(CX30)</f>
        <v>40.700162386035515</v>
      </c>
      <c r="CX30" s="2879">
        <f>SUM(CO30)</f>
        <v>40.700162386035515</v>
      </c>
      <c r="CY30" s="2879"/>
      <c r="CZ30" s="2816" t="e">
        <f>SUM(CZ24/CZ12)</f>
        <v>#DIV/0!</v>
      </c>
      <c r="DA30" s="2816" t="e">
        <f>SUM(DA24/DA12)</f>
        <v>#DIV/0!</v>
      </c>
      <c r="DB30" s="2879"/>
      <c r="DC30" s="2816">
        <f>SUM(DC24/DC12)</f>
        <v>34.530617030102988</v>
      </c>
      <c r="DD30" s="3848">
        <v>34.530617030102988</v>
      </c>
      <c r="DE30" s="3860"/>
      <c r="DF30" s="2879">
        <f>SUM(DG30)</f>
        <v>40.700162386035515</v>
      </c>
      <c r="DG30" s="2879">
        <f t="shared" si="316"/>
        <v>40.700162386035515</v>
      </c>
      <c r="DH30" s="2879"/>
      <c r="DI30" s="2816" t="e">
        <f>SUM(DI24/DI12)</f>
        <v>#DIV/0!</v>
      </c>
      <c r="DJ30" s="2816" t="e">
        <f>SUM(DJ24/DJ12)</f>
        <v>#DIV/0!</v>
      </c>
      <c r="DK30" s="2879"/>
      <c r="DL30" s="2816">
        <f>SUM(DL24/DL12)</f>
        <v>34.53182878415744</v>
      </c>
      <c r="DM30" s="3848">
        <v>34.53182878415744</v>
      </c>
      <c r="DN30" s="3860"/>
      <c r="DO30" s="2779">
        <f>SUM(DO24/DO12)</f>
        <v>40.700162386035515</v>
      </c>
      <c r="DP30" s="2779">
        <f t="shared" ref="DP30" si="353">SUM(DP24/DP12)</f>
        <v>40.700162386035515</v>
      </c>
      <c r="DQ30" s="2779"/>
      <c r="DR30" s="2779">
        <f>SUM(DR24/DR12)</f>
        <v>40.699999964830596</v>
      </c>
      <c r="DS30" s="2779">
        <f>SUM(DS24/DS12)</f>
        <v>40.699999964830596</v>
      </c>
      <c r="DT30" s="2779"/>
      <c r="DU30" s="2779">
        <f>SUM(DU24/DU12)</f>
        <v>34.530938179541501</v>
      </c>
      <c r="DV30" s="2779">
        <f>SUM(DV24/DV12)</f>
        <v>34.530938179541501</v>
      </c>
      <c r="DW30" s="2779"/>
      <c r="DX30" s="2805">
        <f t="shared" si="211"/>
        <v>-1.6242120491938294E-4</v>
      </c>
      <c r="DY30" s="2805">
        <f t="shared" si="211"/>
        <v>-1.6242120491938294E-4</v>
      </c>
      <c r="DZ30" s="2805">
        <f t="shared" si="211"/>
        <v>0</v>
      </c>
      <c r="EA30" s="2779">
        <f>SUM(EA24/EA12)</f>
        <v>40.700162386035522</v>
      </c>
      <c r="EB30" s="2779">
        <f t="shared" ref="EB30:EC30" si="354">SUM(EB24/EB12)</f>
        <v>40.700162386035522</v>
      </c>
      <c r="EC30" s="2779" t="e">
        <f t="shared" si="354"/>
        <v>#DIV/0!</v>
      </c>
      <c r="ED30" s="2779">
        <f>SUM(ED24/ED12)</f>
        <v>40.700097424580619</v>
      </c>
      <c r="EE30" s="2779">
        <f>SUM(EE24/EE12)</f>
        <v>40.700097424580619</v>
      </c>
      <c r="EF30" s="2779" t="e">
        <f>SUM(EF24/EF12)</f>
        <v>#DIV/0!</v>
      </c>
      <c r="EG30" s="2779">
        <f>SUM(EG24/EG12)</f>
        <v>34.454590583686048</v>
      </c>
      <c r="EH30" s="2779">
        <f>SUM(EH24/EH12)</f>
        <v>34.454590583686048</v>
      </c>
      <c r="EI30" s="2779" t="e">
        <f>SUM(EI24/EI12)</f>
        <v>#DIV/0!</v>
      </c>
      <c r="EJ30" s="2805">
        <f t="shared" si="213"/>
        <v>-6.4961454903311733E-5</v>
      </c>
      <c r="EK30" s="2805">
        <f t="shared" si="213"/>
        <v>-6.4961454903311733E-5</v>
      </c>
      <c r="EL30" s="2805" t="e">
        <f t="shared" si="213"/>
        <v>#DIV/0!</v>
      </c>
      <c r="EM30" s="2879">
        <f>SUM(EN30)</f>
        <v>40.700162386035515</v>
      </c>
      <c r="EN30" s="2879">
        <f t="shared" si="319"/>
        <v>40.700162386035515</v>
      </c>
      <c r="EO30" s="2879"/>
      <c r="EP30" s="2816" t="e">
        <f>SUM(EP24/EP12)</f>
        <v>#DIV/0!</v>
      </c>
      <c r="EQ30" s="2816" t="e">
        <f>SUM(EQ24/EQ12)</f>
        <v>#DIV/0!</v>
      </c>
      <c r="ER30" s="2879"/>
      <c r="ES30" s="2816">
        <f>SUM(ES24/ES12)</f>
        <v>34.53001888930865</v>
      </c>
      <c r="ET30" s="3848">
        <v>34.53001888930865</v>
      </c>
      <c r="EU30" s="3860"/>
      <c r="EV30" s="2879">
        <f>SUM(EW30)</f>
        <v>40.700162386035515</v>
      </c>
      <c r="EW30" s="2879">
        <f t="shared" si="320"/>
        <v>40.700162386035515</v>
      </c>
      <c r="EX30" s="2879"/>
      <c r="EY30" s="2816" t="e">
        <f>SUM(EY24/EY12)</f>
        <v>#DIV/0!</v>
      </c>
      <c r="EZ30" s="2816" t="e">
        <f>SUM(EZ24/EZ12)</f>
        <v>#DIV/0!</v>
      </c>
      <c r="FA30" s="2879"/>
      <c r="FB30" s="2816">
        <f>SUM(FB24/FB12)</f>
        <v>34.530568877171312</v>
      </c>
      <c r="FC30" s="3848">
        <v>34.530568877171312</v>
      </c>
      <c r="FD30" s="3860"/>
      <c r="FE30" s="2879">
        <f>SUM(FF30)</f>
        <v>40.700162386035515</v>
      </c>
      <c r="FF30" s="2879">
        <f t="shared" si="321"/>
        <v>40.700162386035515</v>
      </c>
      <c r="FG30" s="2879"/>
      <c r="FH30" s="2816" t="e">
        <f>SUM(FH24/FH12)</f>
        <v>#DIV/0!</v>
      </c>
      <c r="FI30" s="2816" t="e">
        <f>SUM(FI24/FI12)</f>
        <v>#DIV/0!</v>
      </c>
      <c r="FJ30" s="2879"/>
      <c r="FK30" s="2816">
        <f>SUM(FK24/FK12)</f>
        <v>40.704980875948323</v>
      </c>
      <c r="FL30" s="2816">
        <v>40.704980875948323</v>
      </c>
      <c r="FM30" s="2879"/>
      <c r="FN30" s="2779">
        <f>SUM(FN24/FN12)</f>
        <v>40.700162386035515</v>
      </c>
      <c r="FO30" s="2779">
        <f t="shared" ref="FO30" si="355">SUM(FO24/FO12)</f>
        <v>40.700162386035515</v>
      </c>
      <c r="FP30" s="2779"/>
      <c r="FQ30" s="2779" t="e">
        <f>SUM(FQ24/FQ12)</f>
        <v>#DIV/0!</v>
      </c>
      <c r="FR30" s="2779" t="e">
        <f>SUM(FR24/FR12)</f>
        <v>#DIV/0!</v>
      </c>
      <c r="FS30" s="2779"/>
      <c r="FT30" s="2779">
        <f>SUM(FT24/FT12)</f>
        <v>36.612597073648516</v>
      </c>
      <c r="FU30" s="2779">
        <f>SUM(FU24/FU12)</f>
        <v>36.612597073648516</v>
      </c>
      <c r="FV30" s="2779" t="e">
        <f>SUM(FV24/FV12)</f>
        <v>#DIV/0!</v>
      </c>
      <c r="FW30" s="2805" t="e">
        <f t="shared" si="215"/>
        <v>#DIV/0!</v>
      </c>
      <c r="FX30" s="2805" t="e">
        <f t="shared" si="215"/>
        <v>#DIV/0!</v>
      </c>
      <c r="FY30" s="2805">
        <f t="shared" si="215"/>
        <v>0</v>
      </c>
      <c r="FZ30" s="4558">
        <f>SUM(FZ24/FZ12)</f>
        <v>40.700162386035515</v>
      </c>
      <c r="GA30" s="4558">
        <f t="shared" ref="GA30:GB30" si="356">SUM(GA24/GA12)</f>
        <v>40.700162386035515</v>
      </c>
      <c r="GB30" s="4558" t="e">
        <f t="shared" si="356"/>
        <v>#DIV/0!</v>
      </c>
      <c r="GC30" s="2779">
        <f>SUM(GC24/GC12)</f>
        <v>40.700097424580619</v>
      </c>
      <c r="GD30" s="2779">
        <f>SUM(GD24/GD12)</f>
        <v>40.700097424580619</v>
      </c>
      <c r="GE30" s="2779" t="e">
        <f>SUM(GE24/GE12)</f>
        <v>#DIV/0!</v>
      </c>
      <c r="GF30" s="2779">
        <f>SUM(GF24/GF12)</f>
        <v>34.995207245474688</v>
      </c>
      <c r="GG30" s="2779">
        <f>SUM(GG24/GG12)</f>
        <v>34.995207245474688</v>
      </c>
      <c r="GH30" s="2779" t="e">
        <f>SUM(GH24/GH12)</f>
        <v>#DIV/0!</v>
      </c>
      <c r="GI30" s="2805">
        <f t="shared" si="217"/>
        <v>-6.4961454896206305E-5</v>
      </c>
      <c r="GJ30" s="2805">
        <f t="shared" si="217"/>
        <v>-6.4961454896206305E-5</v>
      </c>
      <c r="GK30" s="2805" t="e">
        <f t="shared" si="217"/>
        <v>#DIV/0!</v>
      </c>
      <c r="GM30" s="2914"/>
    </row>
    <row r="31" spans="1:195" ht="18.75" customHeight="1" x14ac:dyDescent="0.3">
      <c r="A31" s="2793" t="s">
        <v>3770</v>
      </c>
      <c r="B31" s="2880"/>
      <c r="C31" s="2880"/>
      <c r="D31" s="2880"/>
      <c r="E31" s="2880"/>
      <c r="F31" s="2880"/>
      <c r="G31" s="2880"/>
      <c r="H31" s="2880"/>
      <c r="I31" s="2880"/>
      <c r="J31" s="2880"/>
      <c r="K31" s="2880"/>
      <c r="L31" s="2880"/>
      <c r="M31" s="2880"/>
      <c r="N31" s="2880"/>
      <c r="O31" s="2880"/>
      <c r="P31" s="2880"/>
      <c r="Q31" s="2880"/>
      <c r="R31" s="2880"/>
      <c r="S31" s="2880"/>
      <c r="T31" s="2880"/>
      <c r="U31" s="2880"/>
      <c r="V31" s="2880"/>
      <c r="W31" s="2880"/>
      <c r="X31" s="2880"/>
      <c r="Y31" s="2880"/>
      <c r="Z31" s="2880"/>
      <c r="AA31" s="2880"/>
      <c r="AB31" s="2880"/>
      <c r="AC31" s="2880"/>
      <c r="AD31" s="2880"/>
      <c r="AE31" s="2880"/>
      <c r="AF31" s="2880"/>
      <c r="AG31" s="2880"/>
      <c r="AH31" s="2880"/>
      <c r="AI31" s="2880"/>
      <c r="AJ31" s="2880"/>
      <c r="AK31" s="2880"/>
      <c r="AL31" s="2880"/>
      <c r="AM31" s="2880"/>
      <c r="AN31" s="2880"/>
      <c r="AO31" s="2881"/>
      <c r="AP31" s="2881"/>
      <c r="AQ31" s="2881"/>
      <c r="AR31" s="2881"/>
      <c r="AS31" s="2881"/>
      <c r="AT31" s="2881"/>
      <c r="AU31" s="2881"/>
      <c r="AV31" s="2881"/>
      <c r="AW31" s="2881"/>
      <c r="AX31" s="2881"/>
      <c r="AY31" s="2881"/>
      <c r="AZ31" s="2881"/>
      <c r="BA31" s="2881"/>
      <c r="BB31" s="2881"/>
      <c r="BC31" s="2881"/>
      <c r="BD31" s="2881"/>
      <c r="BE31" s="2881"/>
      <c r="BF31" s="2881"/>
      <c r="BG31" s="2881"/>
      <c r="BH31" s="2881"/>
      <c r="BI31" s="2881"/>
      <c r="BJ31" s="2881"/>
      <c r="BK31" s="2881"/>
      <c r="BL31" s="2881"/>
      <c r="BM31" s="2882"/>
      <c r="BN31" s="2881"/>
      <c r="BO31" s="2881"/>
      <c r="BP31" s="2875"/>
      <c r="BQ31" s="2875"/>
      <c r="BR31" s="2875"/>
      <c r="BS31" s="2875"/>
      <c r="BT31" s="2875"/>
      <c r="BU31" s="2875"/>
      <c r="BV31" s="2875"/>
      <c r="BW31" s="2875"/>
      <c r="BX31" s="2875"/>
      <c r="BY31" s="2875"/>
      <c r="BZ31" s="2875"/>
      <c r="CA31" s="2875"/>
      <c r="CB31" s="2875"/>
      <c r="CC31" s="2875"/>
      <c r="CD31" s="2875"/>
      <c r="CE31" s="2875"/>
      <c r="CF31" s="2875"/>
      <c r="CG31" s="2875"/>
      <c r="CH31" s="2875"/>
      <c r="CI31" s="2875"/>
      <c r="CJ31" s="2875"/>
      <c r="CK31" s="2875"/>
      <c r="CL31" s="2875"/>
      <c r="CM31" s="2875"/>
      <c r="CN31" s="2875"/>
      <c r="CO31" s="2875"/>
      <c r="CP31" s="2875"/>
      <c r="CQ31" s="2875"/>
      <c r="CR31" s="2875"/>
      <c r="CS31" s="2875"/>
      <c r="CT31" s="2875"/>
      <c r="CU31" s="2875"/>
      <c r="CV31" s="2875"/>
      <c r="CW31" s="2875"/>
      <c r="CX31" s="2875"/>
      <c r="CY31" s="2875"/>
      <c r="CZ31" s="2875"/>
      <c r="DA31" s="2875"/>
      <c r="DB31" s="2875"/>
      <c r="DC31" s="2875"/>
      <c r="DD31" s="2875"/>
      <c r="DE31" s="2875"/>
      <c r="DF31" s="2875"/>
      <c r="DG31" s="2875"/>
      <c r="DH31" s="2875"/>
      <c r="DI31" s="2875"/>
      <c r="DJ31" s="2875"/>
      <c r="DK31" s="2875"/>
      <c r="DL31" s="2875"/>
      <c r="DM31" s="2875"/>
      <c r="DN31" s="2875"/>
      <c r="DO31" s="2875"/>
      <c r="DP31" s="2875"/>
      <c r="DQ31" s="2875"/>
      <c r="DR31" s="2875"/>
      <c r="DS31" s="2875"/>
      <c r="DT31" s="2875"/>
      <c r="DU31" s="2875"/>
      <c r="DV31" s="2875"/>
      <c r="DW31" s="2875"/>
      <c r="DX31" s="2875"/>
      <c r="DY31" s="2875"/>
      <c r="DZ31" s="2875"/>
      <c r="EA31" s="2875"/>
      <c r="EB31" s="2875"/>
      <c r="EC31" s="2875"/>
      <c r="ED31" s="2875"/>
      <c r="EE31" s="2875"/>
      <c r="EF31" s="2875"/>
      <c r="EG31" s="2875"/>
      <c r="EH31" s="2875"/>
      <c r="EI31" s="2875"/>
      <c r="EJ31" s="2875"/>
      <c r="EK31" s="2875"/>
      <c r="EL31" s="2875"/>
      <c r="EM31" s="2875"/>
      <c r="EN31" s="2875"/>
      <c r="EO31" s="2875"/>
      <c r="EP31" s="2875"/>
      <c r="EQ31" s="2875"/>
      <c r="ER31" s="2875"/>
      <c r="ES31" s="2875"/>
      <c r="ET31" s="2875"/>
      <c r="EU31" s="2875"/>
      <c r="EV31" s="2875"/>
      <c r="EW31" s="2875"/>
      <c r="EX31" s="2875"/>
      <c r="EY31" s="2875"/>
      <c r="EZ31" s="2875"/>
      <c r="FA31" s="2875"/>
      <c r="FB31" s="2875"/>
      <c r="FC31" s="2875"/>
      <c r="FD31" s="2875"/>
      <c r="FE31" s="2875"/>
      <c r="FF31" s="2875"/>
      <c r="FG31" s="2875"/>
      <c r="FH31" s="2875"/>
      <c r="FI31" s="2875"/>
      <c r="FJ31" s="2875"/>
      <c r="FK31" s="2875"/>
      <c r="FL31" s="2875"/>
      <c r="FM31" s="2875"/>
      <c r="FN31" s="2876"/>
      <c r="FO31" s="2876"/>
      <c r="FP31" s="2876"/>
      <c r="FQ31" s="2876"/>
      <c r="FR31" s="2876"/>
      <c r="FS31" s="2876"/>
      <c r="FT31" s="2876"/>
      <c r="FU31" s="2876"/>
      <c r="FV31" s="2876"/>
      <c r="FW31" s="2876"/>
      <c r="FX31" s="2876"/>
      <c r="FY31" s="2876"/>
      <c r="FZ31" s="2876"/>
      <c r="GA31" s="2876"/>
      <c r="GB31" s="2876"/>
      <c r="GC31" s="2876"/>
      <c r="GD31" s="2876"/>
      <c r="GE31" s="2876"/>
      <c r="GF31" s="2876"/>
      <c r="GG31" s="2876"/>
      <c r="GH31" s="2876"/>
      <c r="GI31" s="2876"/>
      <c r="GJ31" s="2876"/>
      <c r="GK31" s="2877"/>
    </row>
    <row r="32" spans="1:195" ht="19.5" customHeight="1" x14ac:dyDescent="0.2">
      <c r="A32" s="5236" t="s">
        <v>525</v>
      </c>
      <c r="B32" s="5237" t="s">
        <v>3726</v>
      </c>
      <c r="C32" s="5238"/>
      <c r="D32" s="5238"/>
      <c r="E32" s="5239"/>
      <c r="F32" s="5239"/>
      <c r="G32" s="5239"/>
      <c r="H32" s="5239"/>
      <c r="I32" s="5239"/>
      <c r="J32" s="5256"/>
      <c r="K32" s="5237" t="s">
        <v>3727</v>
      </c>
      <c r="L32" s="5238"/>
      <c r="M32" s="5238"/>
      <c r="N32" s="5239"/>
      <c r="O32" s="5239"/>
      <c r="P32" s="5239"/>
      <c r="Q32" s="5239"/>
      <c r="R32" s="5239"/>
      <c r="S32" s="5256"/>
      <c r="T32" s="5237" t="s">
        <v>3728</v>
      </c>
      <c r="U32" s="5238"/>
      <c r="V32" s="5238"/>
      <c r="W32" s="5239"/>
      <c r="X32" s="5239"/>
      <c r="Y32" s="5239"/>
      <c r="Z32" s="5239"/>
      <c r="AA32" s="5257"/>
      <c r="AB32" s="5258"/>
      <c r="AC32" s="5244" t="s">
        <v>3678</v>
      </c>
      <c r="AD32" s="5245"/>
      <c r="AE32" s="5245"/>
      <c r="AF32" s="5246"/>
      <c r="AG32" s="5246"/>
      <c r="AH32" s="5246"/>
      <c r="AI32" s="5246"/>
      <c r="AJ32" s="5246"/>
      <c r="AK32" s="5246"/>
      <c r="AL32" s="5246"/>
      <c r="AM32" s="5246"/>
      <c r="AN32" s="5246"/>
      <c r="AO32" s="5237" t="s">
        <v>3729</v>
      </c>
      <c r="AP32" s="5238"/>
      <c r="AQ32" s="5238"/>
      <c r="AR32" s="5239"/>
      <c r="AS32" s="5239"/>
      <c r="AT32" s="5239"/>
      <c r="AU32" s="5239"/>
      <c r="AV32" s="5242"/>
      <c r="AW32" s="5243"/>
      <c r="AX32" s="5237" t="s">
        <v>3730</v>
      </c>
      <c r="AY32" s="5238"/>
      <c r="AZ32" s="5238"/>
      <c r="BA32" s="5239"/>
      <c r="BB32" s="5239"/>
      <c r="BC32" s="5239"/>
      <c r="BD32" s="5239"/>
      <c r="BE32" s="5240"/>
      <c r="BF32" s="5241"/>
      <c r="BG32" s="5237" t="s">
        <v>3731</v>
      </c>
      <c r="BH32" s="5238"/>
      <c r="BI32" s="5238"/>
      <c r="BJ32" s="5239"/>
      <c r="BK32" s="5239"/>
      <c r="BL32" s="5239"/>
      <c r="BM32" s="5239"/>
      <c r="BN32" s="5240"/>
      <c r="BO32" s="5241"/>
      <c r="BP32" s="5244" t="s">
        <v>3679</v>
      </c>
      <c r="BQ32" s="5245"/>
      <c r="BR32" s="5245"/>
      <c r="BS32" s="5246"/>
      <c r="BT32" s="5246"/>
      <c r="BU32" s="5246"/>
      <c r="BV32" s="5246"/>
      <c r="BW32" s="5246"/>
      <c r="BX32" s="5246"/>
      <c r="BY32" s="5240"/>
      <c r="BZ32" s="5240"/>
      <c r="CA32" s="5240"/>
      <c r="CB32" s="5244" t="s">
        <v>3680</v>
      </c>
      <c r="CC32" s="5245"/>
      <c r="CD32" s="5245"/>
      <c r="CE32" s="5246"/>
      <c r="CF32" s="5246"/>
      <c r="CG32" s="5246"/>
      <c r="CH32" s="5246"/>
      <c r="CI32" s="5246"/>
      <c r="CJ32" s="5246"/>
      <c r="CK32" s="5240"/>
      <c r="CL32" s="5240"/>
      <c r="CM32" s="5240"/>
      <c r="CN32" s="5237" t="s">
        <v>1357</v>
      </c>
      <c r="CO32" s="5238"/>
      <c r="CP32" s="5238"/>
      <c r="CQ32" s="5239"/>
      <c r="CR32" s="5239"/>
      <c r="CS32" s="5239"/>
      <c r="CT32" s="5239"/>
      <c r="CU32" s="5240"/>
      <c r="CV32" s="5241"/>
      <c r="CW32" s="5237" t="s">
        <v>3732</v>
      </c>
      <c r="CX32" s="5238"/>
      <c r="CY32" s="5238"/>
      <c r="CZ32" s="5239"/>
      <c r="DA32" s="5239"/>
      <c r="DB32" s="5239"/>
      <c r="DC32" s="5239"/>
      <c r="DD32" s="5240"/>
      <c r="DE32" s="5241"/>
      <c r="DF32" s="5237" t="s">
        <v>3733</v>
      </c>
      <c r="DG32" s="5238"/>
      <c r="DH32" s="5238"/>
      <c r="DI32" s="5239"/>
      <c r="DJ32" s="5239"/>
      <c r="DK32" s="5239"/>
      <c r="DL32" s="5239"/>
      <c r="DM32" s="5240"/>
      <c r="DN32" s="5241"/>
      <c r="DO32" s="5244" t="s">
        <v>3681</v>
      </c>
      <c r="DP32" s="5245"/>
      <c r="DQ32" s="5245"/>
      <c r="DR32" s="5246"/>
      <c r="DS32" s="5246"/>
      <c r="DT32" s="5246"/>
      <c r="DU32" s="5246"/>
      <c r="DV32" s="5246"/>
      <c r="DW32" s="5246"/>
      <c r="DX32" s="5240"/>
      <c r="DY32" s="5240"/>
      <c r="DZ32" s="5240"/>
      <c r="EA32" s="5244" t="s">
        <v>3682</v>
      </c>
      <c r="EB32" s="5245"/>
      <c r="EC32" s="5245"/>
      <c r="ED32" s="5246"/>
      <c r="EE32" s="5246"/>
      <c r="EF32" s="5246"/>
      <c r="EG32" s="5246"/>
      <c r="EH32" s="5246"/>
      <c r="EI32" s="5246"/>
      <c r="EJ32" s="5240"/>
      <c r="EK32" s="5240"/>
      <c r="EL32" s="5240"/>
      <c r="EM32" s="5237" t="s">
        <v>3734</v>
      </c>
      <c r="EN32" s="5238"/>
      <c r="EO32" s="5238"/>
      <c r="EP32" s="5239"/>
      <c r="EQ32" s="5239"/>
      <c r="ER32" s="5239"/>
      <c r="ES32" s="5239"/>
      <c r="ET32" s="5240"/>
      <c r="EU32" s="5241"/>
      <c r="EV32" s="5237" t="s">
        <v>3735</v>
      </c>
      <c r="EW32" s="5238"/>
      <c r="EX32" s="5238"/>
      <c r="EY32" s="5239"/>
      <c r="EZ32" s="5239"/>
      <c r="FA32" s="5239"/>
      <c r="FB32" s="5239"/>
      <c r="FC32" s="5240"/>
      <c r="FD32" s="5241"/>
      <c r="FE32" s="5237" t="s">
        <v>3736</v>
      </c>
      <c r="FF32" s="5238"/>
      <c r="FG32" s="5238"/>
      <c r="FH32" s="5239"/>
      <c r="FI32" s="5239"/>
      <c r="FJ32" s="5239"/>
      <c r="FK32" s="5239"/>
      <c r="FL32" s="5240"/>
      <c r="FM32" s="5241"/>
      <c r="FN32" s="5244" t="s">
        <v>3683</v>
      </c>
      <c r="FO32" s="5245"/>
      <c r="FP32" s="5245"/>
      <c r="FQ32" s="5246"/>
      <c r="FR32" s="5246"/>
      <c r="FS32" s="5246"/>
      <c r="FT32" s="5246"/>
      <c r="FU32" s="5246"/>
      <c r="FV32" s="5246"/>
      <c r="FW32" s="5240"/>
      <c r="FX32" s="5240"/>
      <c r="FY32" s="5240"/>
      <c r="FZ32" s="5244" t="s">
        <v>1991</v>
      </c>
      <c r="GA32" s="5245"/>
      <c r="GB32" s="5245"/>
      <c r="GC32" s="5246"/>
      <c r="GD32" s="5246"/>
      <c r="GE32" s="5246"/>
      <c r="GF32" s="5246"/>
      <c r="GG32" s="5246"/>
      <c r="GH32" s="5246"/>
      <c r="GI32" s="5240"/>
      <c r="GJ32" s="5240"/>
      <c r="GK32" s="5241"/>
    </row>
    <row r="33" spans="1:195" ht="19.5" customHeight="1" x14ac:dyDescent="0.2">
      <c r="A33" s="5236"/>
      <c r="B33" s="5247" t="s">
        <v>3550</v>
      </c>
      <c r="C33" s="5248"/>
      <c r="D33" s="5249"/>
      <c r="E33" s="5247" t="s">
        <v>1674</v>
      </c>
      <c r="F33" s="5248"/>
      <c r="G33" s="5249"/>
      <c r="H33" s="5247" t="s">
        <v>3737</v>
      </c>
      <c r="I33" s="5248"/>
      <c r="J33" s="5249"/>
      <c r="K33" s="5247" t="s">
        <v>3550</v>
      </c>
      <c r="L33" s="5248"/>
      <c r="M33" s="5249"/>
      <c r="N33" s="5247" t="s">
        <v>1674</v>
      </c>
      <c r="O33" s="5248"/>
      <c r="P33" s="5249"/>
      <c r="Q33" s="5247" t="s">
        <v>3737</v>
      </c>
      <c r="R33" s="5248"/>
      <c r="S33" s="5249"/>
      <c r="T33" s="5247" t="s">
        <v>3550</v>
      </c>
      <c r="U33" s="5248"/>
      <c r="V33" s="5249"/>
      <c r="W33" s="5247" t="s">
        <v>1674</v>
      </c>
      <c r="X33" s="5248"/>
      <c r="Y33" s="5249"/>
      <c r="Z33" s="5247" t="s">
        <v>3737</v>
      </c>
      <c r="AA33" s="5248"/>
      <c r="AB33" s="5249"/>
      <c r="AC33" s="5250" t="s">
        <v>3550</v>
      </c>
      <c r="AD33" s="5251"/>
      <c r="AE33" s="5252"/>
      <c r="AF33" s="5253" t="s">
        <v>1674</v>
      </c>
      <c r="AG33" s="5254"/>
      <c r="AH33" s="5255"/>
      <c r="AI33" s="5253" t="s">
        <v>3737</v>
      </c>
      <c r="AJ33" s="5254"/>
      <c r="AK33" s="5255"/>
      <c r="AL33" s="5250" t="s">
        <v>3738</v>
      </c>
      <c r="AM33" s="5251"/>
      <c r="AN33" s="5252"/>
      <c r="AO33" s="5247" t="s">
        <v>3550</v>
      </c>
      <c r="AP33" s="5248"/>
      <c r="AQ33" s="5249"/>
      <c r="AR33" s="5247" t="s">
        <v>1674</v>
      </c>
      <c r="AS33" s="5248"/>
      <c r="AT33" s="5249"/>
      <c r="AU33" s="5247" t="s">
        <v>3737</v>
      </c>
      <c r="AV33" s="5248"/>
      <c r="AW33" s="5249"/>
      <c r="AX33" s="5247" t="s">
        <v>3550</v>
      </c>
      <c r="AY33" s="5248"/>
      <c r="AZ33" s="5249"/>
      <c r="BA33" s="5247" t="s">
        <v>1674</v>
      </c>
      <c r="BB33" s="5248"/>
      <c r="BC33" s="5249"/>
      <c r="BD33" s="5247" t="s">
        <v>3737</v>
      </c>
      <c r="BE33" s="5248"/>
      <c r="BF33" s="5249"/>
      <c r="BG33" s="5247" t="s">
        <v>3550</v>
      </c>
      <c r="BH33" s="5248"/>
      <c r="BI33" s="5249"/>
      <c r="BJ33" s="5247" t="s">
        <v>1674</v>
      </c>
      <c r="BK33" s="5248"/>
      <c r="BL33" s="5249"/>
      <c r="BM33" s="5247" t="s">
        <v>3737</v>
      </c>
      <c r="BN33" s="5248"/>
      <c r="BO33" s="5249"/>
      <c r="BP33" s="5250" t="s">
        <v>3550</v>
      </c>
      <c r="BQ33" s="5251"/>
      <c r="BR33" s="5252"/>
      <c r="BS33" s="5253" t="s">
        <v>1674</v>
      </c>
      <c r="BT33" s="5254"/>
      <c r="BU33" s="5255"/>
      <c r="BV33" s="5253" t="s">
        <v>3737</v>
      </c>
      <c r="BW33" s="5254"/>
      <c r="BX33" s="5255"/>
      <c r="BY33" s="5250" t="s">
        <v>3738</v>
      </c>
      <c r="BZ33" s="5251"/>
      <c r="CA33" s="5252"/>
      <c r="CB33" s="5250" t="s">
        <v>3550</v>
      </c>
      <c r="CC33" s="5251"/>
      <c r="CD33" s="5252"/>
      <c r="CE33" s="5253" t="s">
        <v>1674</v>
      </c>
      <c r="CF33" s="5254"/>
      <c r="CG33" s="5255"/>
      <c r="CH33" s="5253" t="s">
        <v>3737</v>
      </c>
      <c r="CI33" s="5254"/>
      <c r="CJ33" s="5255"/>
      <c r="CK33" s="5250" t="s">
        <v>3738</v>
      </c>
      <c r="CL33" s="5251"/>
      <c r="CM33" s="5252"/>
      <c r="CN33" s="5247" t="s">
        <v>3550</v>
      </c>
      <c r="CO33" s="5248"/>
      <c r="CP33" s="5249"/>
      <c r="CQ33" s="5247" t="s">
        <v>1674</v>
      </c>
      <c r="CR33" s="5248"/>
      <c r="CS33" s="5249"/>
      <c r="CT33" s="5247" t="s">
        <v>3737</v>
      </c>
      <c r="CU33" s="5248"/>
      <c r="CV33" s="5249"/>
      <c r="CW33" s="5247" t="s">
        <v>3550</v>
      </c>
      <c r="CX33" s="5248"/>
      <c r="CY33" s="5249"/>
      <c r="CZ33" s="5247" t="s">
        <v>1674</v>
      </c>
      <c r="DA33" s="5248"/>
      <c r="DB33" s="5249"/>
      <c r="DC33" s="5247" t="s">
        <v>3737</v>
      </c>
      <c r="DD33" s="5248"/>
      <c r="DE33" s="5249"/>
      <c r="DF33" s="5247" t="s">
        <v>3550</v>
      </c>
      <c r="DG33" s="5248"/>
      <c r="DH33" s="5249"/>
      <c r="DI33" s="5247" t="s">
        <v>1674</v>
      </c>
      <c r="DJ33" s="5248"/>
      <c r="DK33" s="5249"/>
      <c r="DL33" s="5247" t="s">
        <v>3737</v>
      </c>
      <c r="DM33" s="5248"/>
      <c r="DN33" s="5249"/>
      <c r="DO33" s="5250" t="s">
        <v>3550</v>
      </c>
      <c r="DP33" s="5251"/>
      <c r="DQ33" s="5252"/>
      <c r="DR33" s="5253" t="s">
        <v>1674</v>
      </c>
      <c r="DS33" s="5254"/>
      <c r="DT33" s="5255"/>
      <c r="DU33" s="5253" t="s">
        <v>3737</v>
      </c>
      <c r="DV33" s="5254"/>
      <c r="DW33" s="5255"/>
      <c r="DX33" s="5250" t="s">
        <v>3738</v>
      </c>
      <c r="DY33" s="5251"/>
      <c r="DZ33" s="5252"/>
      <c r="EA33" s="5250" t="s">
        <v>3550</v>
      </c>
      <c r="EB33" s="5251"/>
      <c r="EC33" s="5252"/>
      <c r="ED33" s="5253" t="s">
        <v>1674</v>
      </c>
      <c r="EE33" s="5254"/>
      <c r="EF33" s="5255"/>
      <c r="EG33" s="5253" t="s">
        <v>3737</v>
      </c>
      <c r="EH33" s="5254"/>
      <c r="EI33" s="5255"/>
      <c r="EJ33" s="5250" t="s">
        <v>3738</v>
      </c>
      <c r="EK33" s="5251"/>
      <c r="EL33" s="5252"/>
      <c r="EM33" s="5247" t="s">
        <v>3550</v>
      </c>
      <c r="EN33" s="5248"/>
      <c r="EO33" s="5249"/>
      <c r="EP33" s="5247" t="s">
        <v>1674</v>
      </c>
      <c r="EQ33" s="5248"/>
      <c r="ER33" s="5249"/>
      <c r="ES33" s="5247" t="s">
        <v>3737</v>
      </c>
      <c r="ET33" s="5248"/>
      <c r="EU33" s="5249"/>
      <c r="EV33" s="5247" t="s">
        <v>3550</v>
      </c>
      <c r="EW33" s="5248"/>
      <c r="EX33" s="5249"/>
      <c r="EY33" s="5247" t="s">
        <v>1674</v>
      </c>
      <c r="EZ33" s="5248"/>
      <c r="FA33" s="5249"/>
      <c r="FB33" s="5247" t="s">
        <v>3737</v>
      </c>
      <c r="FC33" s="5248"/>
      <c r="FD33" s="5249"/>
      <c r="FE33" s="5247" t="s">
        <v>3550</v>
      </c>
      <c r="FF33" s="5248"/>
      <c r="FG33" s="5249"/>
      <c r="FH33" s="5247" t="s">
        <v>1674</v>
      </c>
      <c r="FI33" s="5248"/>
      <c r="FJ33" s="5249"/>
      <c r="FK33" s="5247" t="s">
        <v>3737</v>
      </c>
      <c r="FL33" s="5248"/>
      <c r="FM33" s="5249"/>
      <c r="FN33" s="5250" t="s">
        <v>3550</v>
      </c>
      <c r="FO33" s="5251"/>
      <c r="FP33" s="5252"/>
      <c r="FQ33" s="5253" t="s">
        <v>1674</v>
      </c>
      <c r="FR33" s="5254"/>
      <c r="FS33" s="5255"/>
      <c r="FT33" s="5253" t="s">
        <v>3737</v>
      </c>
      <c r="FU33" s="5254"/>
      <c r="FV33" s="5255"/>
      <c r="FW33" s="5250" t="s">
        <v>3738</v>
      </c>
      <c r="FX33" s="5251"/>
      <c r="FY33" s="5252"/>
      <c r="FZ33" s="5250" t="s">
        <v>3550</v>
      </c>
      <c r="GA33" s="5251"/>
      <c r="GB33" s="5252"/>
      <c r="GC33" s="5253" t="s">
        <v>1674</v>
      </c>
      <c r="GD33" s="5254"/>
      <c r="GE33" s="5255"/>
      <c r="GF33" s="5253" t="s">
        <v>3737</v>
      </c>
      <c r="GG33" s="5254"/>
      <c r="GH33" s="5255"/>
      <c r="GI33" s="5250" t="s">
        <v>3738</v>
      </c>
      <c r="GJ33" s="5251"/>
      <c r="GK33" s="5252"/>
    </row>
    <row r="34" spans="1:195" ht="24.75" customHeight="1" x14ac:dyDescent="0.2">
      <c r="A34" s="5236"/>
      <c r="B34" s="2753" t="s">
        <v>614</v>
      </c>
      <c r="C34" s="2753" t="s">
        <v>3753</v>
      </c>
      <c r="D34" s="2753" t="s">
        <v>3754</v>
      </c>
      <c r="E34" s="2753" t="s">
        <v>614</v>
      </c>
      <c r="F34" s="2753" t="s">
        <v>3753</v>
      </c>
      <c r="G34" s="2753" t="s">
        <v>3754</v>
      </c>
      <c r="H34" s="2753" t="s">
        <v>614</v>
      </c>
      <c r="I34" s="2753" t="s">
        <v>3753</v>
      </c>
      <c r="J34" s="2753" t="s">
        <v>3754</v>
      </c>
      <c r="K34" s="2753" t="s">
        <v>614</v>
      </c>
      <c r="L34" s="2753" t="s">
        <v>3753</v>
      </c>
      <c r="M34" s="2753" t="s">
        <v>3754</v>
      </c>
      <c r="N34" s="2753" t="s">
        <v>614</v>
      </c>
      <c r="O34" s="2753" t="s">
        <v>3753</v>
      </c>
      <c r="P34" s="2753" t="s">
        <v>3754</v>
      </c>
      <c r="Q34" s="2753" t="s">
        <v>614</v>
      </c>
      <c r="R34" s="2753" t="s">
        <v>3753</v>
      </c>
      <c r="S34" s="2753" t="s">
        <v>3754</v>
      </c>
      <c r="T34" s="2753" t="s">
        <v>614</v>
      </c>
      <c r="U34" s="2753" t="s">
        <v>3753</v>
      </c>
      <c r="V34" s="2753" t="s">
        <v>3754</v>
      </c>
      <c r="W34" s="2753" t="s">
        <v>614</v>
      </c>
      <c r="X34" s="2753" t="s">
        <v>3753</v>
      </c>
      <c r="Y34" s="2753" t="s">
        <v>3754</v>
      </c>
      <c r="Z34" s="2753" t="s">
        <v>614</v>
      </c>
      <c r="AA34" s="2753" t="s">
        <v>3753</v>
      </c>
      <c r="AB34" s="2753" t="s">
        <v>3754</v>
      </c>
      <c r="AC34" s="2754" t="s">
        <v>614</v>
      </c>
      <c r="AD34" s="2754" t="s">
        <v>3753</v>
      </c>
      <c r="AE34" s="2754" t="s">
        <v>3754</v>
      </c>
      <c r="AF34" s="2754" t="s">
        <v>614</v>
      </c>
      <c r="AG34" s="2754" t="s">
        <v>3753</v>
      </c>
      <c r="AH34" s="2754" t="s">
        <v>3754</v>
      </c>
      <c r="AI34" s="2754" t="s">
        <v>614</v>
      </c>
      <c r="AJ34" s="2754" t="s">
        <v>3753</v>
      </c>
      <c r="AK34" s="2754" t="s">
        <v>3754</v>
      </c>
      <c r="AL34" s="2754" t="s">
        <v>614</v>
      </c>
      <c r="AM34" s="2754" t="s">
        <v>3753</v>
      </c>
      <c r="AN34" s="2754" t="s">
        <v>3754</v>
      </c>
      <c r="AO34" s="2753" t="s">
        <v>614</v>
      </c>
      <c r="AP34" s="2753" t="s">
        <v>3753</v>
      </c>
      <c r="AQ34" s="2753" t="s">
        <v>3754</v>
      </c>
      <c r="AR34" s="2753" t="s">
        <v>614</v>
      </c>
      <c r="AS34" s="2753" t="s">
        <v>3753</v>
      </c>
      <c r="AT34" s="2753" t="s">
        <v>3754</v>
      </c>
      <c r="AU34" s="2753" t="s">
        <v>614</v>
      </c>
      <c r="AV34" s="2753" t="s">
        <v>3753</v>
      </c>
      <c r="AW34" s="2753" t="s">
        <v>3754</v>
      </c>
      <c r="AX34" s="2753" t="s">
        <v>614</v>
      </c>
      <c r="AY34" s="2753" t="s">
        <v>3753</v>
      </c>
      <c r="AZ34" s="2753" t="s">
        <v>3754</v>
      </c>
      <c r="BA34" s="2753" t="s">
        <v>614</v>
      </c>
      <c r="BB34" s="2753" t="s">
        <v>3753</v>
      </c>
      <c r="BC34" s="2753" t="s">
        <v>3754</v>
      </c>
      <c r="BD34" s="2753" t="s">
        <v>614</v>
      </c>
      <c r="BE34" s="2753" t="s">
        <v>3753</v>
      </c>
      <c r="BF34" s="2753" t="s">
        <v>3754</v>
      </c>
      <c r="BG34" s="2753" t="s">
        <v>614</v>
      </c>
      <c r="BH34" s="2753" t="s">
        <v>3753</v>
      </c>
      <c r="BI34" s="2753" t="s">
        <v>3754</v>
      </c>
      <c r="BJ34" s="2753" t="s">
        <v>614</v>
      </c>
      <c r="BK34" s="2753" t="s">
        <v>3753</v>
      </c>
      <c r="BL34" s="2753" t="s">
        <v>3754</v>
      </c>
      <c r="BM34" s="2753" t="s">
        <v>614</v>
      </c>
      <c r="BN34" s="2753" t="s">
        <v>3753</v>
      </c>
      <c r="BO34" s="2753" t="s">
        <v>3754</v>
      </c>
      <c r="BP34" s="2754" t="s">
        <v>614</v>
      </c>
      <c r="BQ34" s="2754" t="s">
        <v>3753</v>
      </c>
      <c r="BR34" s="2754" t="s">
        <v>3754</v>
      </c>
      <c r="BS34" s="2754" t="s">
        <v>614</v>
      </c>
      <c r="BT34" s="2754" t="s">
        <v>3753</v>
      </c>
      <c r="BU34" s="2754" t="s">
        <v>3754</v>
      </c>
      <c r="BV34" s="2754" t="s">
        <v>614</v>
      </c>
      <c r="BW34" s="2754" t="s">
        <v>3753</v>
      </c>
      <c r="BX34" s="2754" t="s">
        <v>3754</v>
      </c>
      <c r="BY34" s="2754" t="s">
        <v>614</v>
      </c>
      <c r="BZ34" s="2754" t="s">
        <v>3753</v>
      </c>
      <c r="CA34" s="2754" t="s">
        <v>3754</v>
      </c>
      <c r="CB34" s="2754" t="s">
        <v>614</v>
      </c>
      <c r="CC34" s="2754" t="s">
        <v>3753</v>
      </c>
      <c r="CD34" s="2754" t="s">
        <v>3754</v>
      </c>
      <c r="CE34" s="2754" t="s">
        <v>614</v>
      </c>
      <c r="CF34" s="2754" t="s">
        <v>3753</v>
      </c>
      <c r="CG34" s="2754" t="s">
        <v>3754</v>
      </c>
      <c r="CH34" s="2754" t="s">
        <v>614</v>
      </c>
      <c r="CI34" s="2754" t="s">
        <v>3753</v>
      </c>
      <c r="CJ34" s="2754" t="s">
        <v>3754</v>
      </c>
      <c r="CK34" s="2754" t="s">
        <v>614</v>
      </c>
      <c r="CL34" s="2754" t="s">
        <v>3753</v>
      </c>
      <c r="CM34" s="2754" t="s">
        <v>3754</v>
      </c>
      <c r="CN34" s="2753" t="s">
        <v>614</v>
      </c>
      <c r="CO34" s="2753" t="s">
        <v>3753</v>
      </c>
      <c r="CP34" s="2753" t="s">
        <v>3754</v>
      </c>
      <c r="CQ34" s="2753" t="s">
        <v>614</v>
      </c>
      <c r="CR34" s="2753" t="s">
        <v>3753</v>
      </c>
      <c r="CS34" s="2753" t="s">
        <v>3754</v>
      </c>
      <c r="CT34" s="2753" t="s">
        <v>614</v>
      </c>
      <c r="CU34" s="2753" t="s">
        <v>3753</v>
      </c>
      <c r="CV34" s="2753" t="s">
        <v>3754</v>
      </c>
      <c r="CW34" s="2753" t="s">
        <v>614</v>
      </c>
      <c r="CX34" s="2753" t="s">
        <v>3753</v>
      </c>
      <c r="CY34" s="2753" t="s">
        <v>3754</v>
      </c>
      <c r="CZ34" s="2753" t="s">
        <v>614</v>
      </c>
      <c r="DA34" s="2753" t="s">
        <v>3753</v>
      </c>
      <c r="DB34" s="2753" t="s">
        <v>3754</v>
      </c>
      <c r="DC34" s="2753" t="s">
        <v>614</v>
      </c>
      <c r="DD34" s="2753" t="s">
        <v>3753</v>
      </c>
      <c r="DE34" s="2753" t="s">
        <v>3754</v>
      </c>
      <c r="DF34" s="2753" t="s">
        <v>614</v>
      </c>
      <c r="DG34" s="2753" t="s">
        <v>3753</v>
      </c>
      <c r="DH34" s="2753" t="s">
        <v>3754</v>
      </c>
      <c r="DI34" s="2753" t="s">
        <v>614</v>
      </c>
      <c r="DJ34" s="2753" t="s">
        <v>3753</v>
      </c>
      <c r="DK34" s="2753" t="s">
        <v>3754</v>
      </c>
      <c r="DL34" s="2753" t="s">
        <v>614</v>
      </c>
      <c r="DM34" s="2753" t="s">
        <v>3753</v>
      </c>
      <c r="DN34" s="2753" t="s">
        <v>3754</v>
      </c>
      <c r="DO34" s="2754" t="s">
        <v>614</v>
      </c>
      <c r="DP34" s="2754" t="s">
        <v>3753</v>
      </c>
      <c r="DQ34" s="2754" t="s">
        <v>3754</v>
      </c>
      <c r="DR34" s="2754" t="s">
        <v>614</v>
      </c>
      <c r="DS34" s="2754" t="s">
        <v>3753</v>
      </c>
      <c r="DT34" s="2754" t="s">
        <v>3754</v>
      </c>
      <c r="DU34" s="2754" t="s">
        <v>614</v>
      </c>
      <c r="DV34" s="2754" t="s">
        <v>3753</v>
      </c>
      <c r="DW34" s="2754" t="s">
        <v>3754</v>
      </c>
      <c r="DX34" s="2754" t="s">
        <v>614</v>
      </c>
      <c r="DY34" s="2754" t="s">
        <v>3753</v>
      </c>
      <c r="DZ34" s="2754" t="s">
        <v>3754</v>
      </c>
      <c r="EA34" s="2754" t="s">
        <v>614</v>
      </c>
      <c r="EB34" s="2754" t="s">
        <v>3753</v>
      </c>
      <c r="EC34" s="2754" t="s">
        <v>3754</v>
      </c>
      <c r="ED34" s="2754" t="s">
        <v>614</v>
      </c>
      <c r="EE34" s="2754" t="s">
        <v>3753</v>
      </c>
      <c r="EF34" s="2754" t="s">
        <v>3754</v>
      </c>
      <c r="EG34" s="2754" t="s">
        <v>614</v>
      </c>
      <c r="EH34" s="2754" t="s">
        <v>3753</v>
      </c>
      <c r="EI34" s="2754" t="s">
        <v>3754</v>
      </c>
      <c r="EJ34" s="2754" t="s">
        <v>614</v>
      </c>
      <c r="EK34" s="2754" t="s">
        <v>3753</v>
      </c>
      <c r="EL34" s="2754" t="s">
        <v>3754</v>
      </c>
      <c r="EM34" s="2753" t="s">
        <v>614</v>
      </c>
      <c r="EN34" s="2753" t="s">
        <v>3753</v>
      </c>
      <c r="EO34" s="2753" t="s">
        <v>3754</v>
      </c>
      <c r="EP34" s="2753" t="s">
        <v>614</v>
      </c>
      <c r="EQ34" s="2753" t="s">
        <v>3753</v>
      </c>
      <c r="ER34" s="2753" t="s">
        <v>3754</v>
      </c>
      <c r="ES34" s="2753" t="s">
        <v>614</v>
      </c>
      <c r="ET34" s="2753" t="s">
        <v>3753</v>
      </c>
      <c r="EU34" s="2753" t="s">
        <v>3754</v>
      </c>
      <c r="EV34" s="2753" t="s">
        <v>614</v>
      </c>
      <c r="EW34" s="2753" t="s">
        <v>3753</v>
      </c>
      <c r="EX34" s="2753" t="s">
        <v>3754</v>
      </c>
      <c r="EY34" s="2753" t="s">
        <v>614</v>
      </c>
      <c r="EZ34" s="2753" t="s">
        <v>3753</v>
      </c>
      <c r="FA34" s="2753" t="s">
        <v>3754</v>
      </c>
      <c r="FB34" s="2753" t="s">
        <v>614</v>
      </c>
      <c r="FC34" s="2753" t="s">
        <v>3753</v>
      </c>
      <c r="FD34" s="2753" t="s">
        <v>3754</v>
      </c>
      <c r="FE34" s="2753" t="s">
        <v>614</v>
      </c>
      <c r="FF34" s="2753" t="s">
        <v>3753</v>
      </c>
      <c r="FG34" s="2753" t="s">
        <v>3754</v>
      </c>
      <c r="FH34" s="2753" t="s">
        <v>614</v>
      </c>
      <c r="FI34" s="2753" t="s">
        <v>3753</v>
      </c>
      <c r="FJ34" s="2753" t="s">
        <v>3754</v>
      </c>
      <c r="FK34" s="2753" t="s">
        <v>614</v>
      </c>
      <c r="FL34" s="2753" t="s">
        <v>3753</v>
      </c>
      <c r="FM34" s="2753" t="s">
        <v>3754</v>
      </c>
      <c r="FN34" s="2754" t="s">
        <v>614</v>
      </c>
      <c r="FO34" s="2754" t="s">
        <v>3753</v>
      </c>
      <c r="FP34" s="2754" t="s">
        <v>3754</v>
      </c>
      <c r="FQ34" s="2754" t="s">
        <v>614</v>
      </c>
      <c r="FR34" s="2754" t="s">
        <v>3753</v>
      </c>
      <c r="FS34" s="2754" t="s">
        <v>3754</v>
      </c>
      <c r="FT34" s="2754" t="s">
        <v>614</v>
      </c>
      <c r="FU34" s="2754" t="s">
        <v>3753</v>
      </c>
      <c r="FV34" s="2754" t="s">
        <v>3754</v>
      </c>
      <c r="FW34" s="2754" t="s">
        <v>614</v>
      </c>
      <c r="FX34" s="2754" t="s">
        <v>3753</v>
      </c>
      <c r="FY34" s="2754" t="s">
        <v>3754</v>
      </c>
      <c r="FZ34" s="2754" t="s">
        <v>614</v>
      </c>
      <c r="GA34" s="2754" t="s">
        <v>3753</v>
      </c>
      <c r="GB34" s="2754" t="s">
        <v>3754</v>
      </c>
      <c r="GC34" s="2754" t="s">
        <v>614</v>
      </c>
      <c r="GD34" s="2754" t="s">
        <v>3753</v>
      </c>
      <c r="GE34" s="2754" t="s">
        <v>3754</v>
      </c>
      <c r="GF34" s="2754" t="s">
        <v>614</v>
      </c>
      <c r="GG34" s="2754" t="s">
        <v>3753</v>
      </c>
      <c r="GH34" s="2754" t="s">
        <v>3754</v>
      </c>
      <c r="GI34" s="2754" t="s">
        <v>614</v>
      </c>
      <c r="GJ34" s="2754" t="s">
        <v>3753</v>
      </c>
      <c r="GK34" s="2754" t="s">
        <v>3754</v>
      </c>
    </row>
    <row r="35" spans="1:195" ht="18.75" customHeight="1" x14ac:dyDescent="0.3">
      <c r="A35" s="2777" t="s">
        <v>1</v>
      </c>
      <c r="B35" s="2775">
        <f>SUM(C35:D35)</f>
        <v>845.14992614723781</v>
      </c>
      <c r="C35" s="2775">
        <f>SUM('ПОЛНАЯ СЕБЕСТОИМОСТЬ СТОКИ 2023'!C153)/3</f>
        <v>840.96486076783606</v>
      </c>
      <c r="D35" s="2775">
        <f>SUM('ПОЛНАЯ СЕБЕСТОИМОСТЬ СТОКИ 2023'!D153)/3</f>
        <v>4.1850653794017854</v>
      </c>
      <c r="E35" s="2775">
        <f>SUM(F35:G35)</f>
        <v>999.89841999999999</v>
      </c>
      <c r="F35" s="2775">
        <f>SUM('ПОЛНАЯ СЕБЕСТОИМОСТЬ СТОКИ 2023'!F153)</f>
        <v>998.25400000000002</v>
      </c>
      <c r="G35" s="2775">
        <f>SUM('ПОЛНАЯ СЕБЕСТОИМОСТЬ СТОКИ 2023'!G153)</f>
        <v>1.64442</v>
      </c>
      <c r="H35" s="2833">
        <f>SUM(I35:J35)</f>
        <v>983.01800000000003</v>
      </c>
      <c r="I35" s="2833">
        <v>982.56200000000001</v>
      </c>
      <c r="J35" s="2833">
        <v>0.45600000000000002</v>
      </c>
      <c r="K35" s="2775">
        <f>SUM(L35:M35)</f>
        <v>845.14992614723781</v>
      </c>
      <c r="L35" s="2775">
        <f>SUM(C35)</f>
        <v>840.96486076783606</v>
      </c>
      <c r="M35" s="2775">
        <f>SUM(D35)</f>
        <v>4.1850653794017854</v>
      </c>
      <c r="N35" s="2775">
        <f>SUM(O35:P35)</f>
        <v>960.41741999999999</v>
      </c>
      <c r="O35" s="2775">
        <f>SUM('ПОЛНАЯ СЕБЕСТОИМОСТЬ СТОКИ 2023'!I153)</f>
        <v>959.32600000000002</v>
      </c>
      <c r="P35" s="2775">
        <f>SUM('ПОЛНАЯ СЕБЕСТОИМОСТЬ СТОКИ 2023'!J153)</f>
        <v>1.0914200000000001</v>
      </c>
      <c r="Q35" s="2833">
        <f>SUM(R35:S35)</f>
        <v>860.14299999999992</v>
      </c>
      <c r="R35" s="2833">
        <v>859.62799999999993</v>
      </c>
      <c r="S35" s="2833">
        <v>0.51500000000000001</v>
      </c>
      <c r="T35" s="2775">
        <f>SUM(U35:V35)</f>
        <v>845.14992614723781</v>
      </c>
      <c r="U35" s="2775">
        <f>SUM(L35)</f>
        <v>840.96486076783606</v>
      </c>
      <c r="V35" s="2775">
        <f>SUM(M35)</f>
        <v>4.1850653794017854</v>
      </c>
      <c r="W35" s="2775">
        <f>SUM(X35:Y35)</f>
        <v>1191.1887599999998</v>
      </c>
      <c r="X35" s="2775">
        <f>SUM('ПОЛНАЯ СЕБЕСТОИМОСТЬ СТОКИ 2023'!L153)</f>
        <v>1185.5529999999999</v>
      </c>
      <c r="Y35" s="2775">
        <f>SUM('ПОЛНАЯ СЕБЕСТОИМОСТЬ СТОКИ 2023'!M153)</f>
        <v>5.6357600000000003</v>
      </c>
      <c r="Z35" s="2833">
        <f>SUM(AA35:AB35)</f>
        <v>971.67200000000003</v>
      </c>
      <c r="AA35" s="2833">
        <v>966.77499999999998</v>
      </c>
      <c r="AB35" s="2833">
        <v>4.8970000000000002</v>
      </c>
      <c r="AC35" s="2868">
        <f t="shared" ref="AC35:AK41" si="357">SUM(B35+K35+T35)</f>
        <v>2535.4497784417135</v>
      </c>
      <c r="AD35" s="2868">
        <f t="shared" si="357"/>
        <v>2522.8945823035083</v>
      </c>
      <c r="AE35" s="2868">
        <f t="shared" si="357"/>
        <v>12.555196138205357</v>
      </c>
      <c r="AF35" s="2868">
        <f t="shared" si="357"/>
        <v>3151.5045999999998</v>
      </c>
      <c r="AG35" s="2868">
        <f t="shared" si="357"/>
        <v>3143.1329999999998</v>
      </c>
      <c r="AH35" s="2868">
        <f t="shared" si="357"/>
        <v>8.3716000000000008</v>
      </c>
      <c r="AI35" s="2868">
        <f t="shared" si="357"/>
        <v>2814.8330000000001</v>
      </c>
      <c r="AJ35" s="2868">
        <f t="shared" si="357"/>
        <v>2808.9650000000001</v>
      </c>
      <c r="AK35" s="2868">
        <f t="shared" si="357"/>
        <v>5.8680000000000003</v>
      </c>
      <c r="AL35" s="2839">
        <f t="shared" ref="AL35:AN71" si="358">SUM(AF35-AC35)</f>
        <v>616.05482155828622</v>
      </c>
      <c r="AM35" s="2839">
        <f t="shared" si="358"/>
        <v>620.23841769649152</v>
      </c>
      <c r="AN35" s="2839">
        <f t="shared" si="358"/>
        <v>-4.1835961382053561</v>
      </c>
      <c r="AO35" s="2775">
        <f>SUM(AP35:AQ35)</f>
        <v>845.14992614723781</v>
      </c>
      <c r="AP35" s="2775">
        <f>SUM('ПОЛНАЯ СЕБЕСТОИМОСТЬ СТОКИ 2023'!R153)/3</f>
        <v>840.96486076783606</v>
      </c>
      <c r="AQ35" s="2775">
        <f>SUM('ПОЛНАЯ СЕБЕСТОИМОСТЬ СТОКИ 2023'!S153)/3</f>
        <v>4.1850653794017854</v>
      </c>
      <c r="AR35" s="2775">
        <f>SUM(AS35:AT35)</f>
        <v>1007.3389999999999</v>
      </c>
      <c r="AS35" s="2775">
        <f>SUM('ПОЛНАЯ СЕБЕСТОИМОСТЬ СТОКИ 2023'!U153)</f>
        <v>1006.347</v>
      </c>
      <c r="AT35" s="2775">
        <f>SUM('ПОЛНАЯ СЕБЕСТОИМОСТЬ СТОКИ 2023'!V153)</f>
        <v>0.99199999999999999</v>
      </c>
      <c r="AU35" s="2833">
        <f>SUM(AV35:AW35)</f>
        <v>1035.7639999999999</v>
      </c>
      <c r="AV35" s="2833">
        <v>1034.607</v>
      </c>
      <c r="AW35" s="2833">
        <v>1.157</v>
      </c>
      <c r="AX35" s="2775">
        <f>SUM(AY35:AZ35)</f>
        <v>845.14992614723781</v>
      </c>
      <c r="AY35" s="2775">
        <f>SUM(AP35)</f>
        <v>840.96486076783606</v>
      </c>
      <c r="AZ35" s="2775">
        <f>SUM(AQ35)</f>
        <v>4.1850653794017854</v>
      </c>
      <c r="BA35" s="2832">
        <f>SUM(BB35:BC35)</f>
        <v>1025.4625800000001</v>
      </c>
      <c r="BB35" s="2832">
        <f>SUM('ПОЛНАЯ СЕБЕСТОИМОСТЬ СТОКИ 2023'!X153)</f>
        <v>1023.7280000000001</v>
      </c>
      <c r="BC35" s="2832">
        <f>SUM('ПОЛНАЯ СЕБЕСТОИМОСТЬ СТОКИ 2023'!Y153)</f>
        <v>1.73458</v>
      </c>
      <c r="BD35" s="2833">
        <f>SUM(BE35:BF35)</f>
        <v>943.49400000000003</v>
      </c>
      <c r="BE35" s="2833">
        <v>942.38499999999999</v>
      </c>
      <c r="BF35" s="2833">
        <v>1.109</v>
      </c>
      <c r="BG35" s="2775">
        <f>SUM(BH35:BI35)</f>
        <v>845.14992614723781</v>
      </c>
      <c r="BH35" s="2775">
        <f>SUM(AY35)</f>
        <v>840.96486076783606</v>
      </c>
      <c r="BI35" s="2775">
        <f>SUM(AZ35)</f>
        <v>4.1850653794017854</v>
      </c>
      <c r="BJ35" s="2775">
        <f>SUM(BK35:BL35)</f>
        <v>930.74783000000002</v>
      </c>
      <c r="BK35" s="2775">
        <f>SUM('ПОЛНАЯ СЕБЕСТОИМОСТЬ СТОКИ 2023'!AA153)</f>
        <v>924.97400000000005</v>
      </c>
      <c r="BL35" s="2775">
        <f>SUM('ПОЛНАЯ СЕБЕСТОИМОСТЬ СТОКИ 2023'!AB153)</f>
        <v>5.7738300000000002</v>
      </c>
      <c r="BM35" s="2833">
        <f>SUM(BN35:BO35)</f>
        <v>836.24405999999999</v>
      </c>
      <c r="BN35" s="2833">
        <v>830.57051000000001</v>
      </c>
      <c r="BO35" s="2833">
        <v>5.6735499999999996</v>
      </c>
      <c r="BP35" s="2868">
        <f t="shared" ref="BP35:BX41" si="359">SUM(AO35+AX35+BG35)</f>
        <v>2535.4497784417135</v>
      </c>
      <c r="BQ35" s="2868">
        <f t="shared" si="359"/>
        <v>2522.8945823035083</v>
      </c>
      <c r="BR35" s="2868">
        <f t="shared" si="359"/>
        <v>12.555196138205357</v>
      </c>
      <c r="BS35" s="2868">
        <f t="shared" si="359"/>
        <v>2963.5494100000001</v>
      </c>
      <c r="BT35" s="2868">
        <f t="shared" si="359"/>
        <v>2955.049</v>
      </c>
      <c r="BU35" s="2868">
        <f t="shared" si="359"/>
        <v>8.5004100000000005</v>
      </c>
      <c r="BV35" s="2868">
        <f t="shared" si="359"/>
        <v>2815.5020599999998</v>
      </c>
      <c r="BW35" s="2868">
        <f t="shared" si="359"/>
        <v>2807.5625099999997</v>
      </c>
      <c r="BX35" s="2868">
        <f t="shared" si="359"/>
        <v>7.9395499999999997</v>
      </c>
      <c r="BY35" s="2839">
        <f t="shared" ref="BY35:CA71" si="360">SUM(BS35-BP35)</f>
        <v>428.09963155828655</v>
      </c>
      <c r="BZ35" s="2839">
        <f t="shared" si="360"/>
        <v>432.15441769649169</v>
      </c>
      <c r="CA35" s="2839">
        <f t="shared" si="360"/>
        <v>-4.0547861382053565</v>
      </c>
      <c r="CB35" s="2868">
        <f t="shared" ref="CB35:CJ41" si="361">SUM(AC35+BP35)</f>
        <v>5070.8995568834271</v>
      </c>
      <c r="CC35" s="2868">
        <f t="shared" si="361"/>
        <v>5045.7891646070166</v>
      </c>
      <c r="CD35" s="2868">
        <f t="shared" si="361"/>
        <v>25.110392276410714</v>
      </c>
      <c r="CE35" s="2868">
        <f t="shared" si="361"/>
        <v>6115.0540099999998</v>
      </c>
      <c r="CF35" s="2868">
        <f t="shared" si="361"/>
        <v>6098.1819999999998</v>
      </c>
      <c r="CG35" s="2868">
        <f t="shared" si="361"/>
        <v>16.872010000000003</v>
      </c>
      <c r="CH35" s="2883">
        <f t="shared" si="361"/>
        <v>5630.3350599999994</v>
      </c>
      <c r="CI35" s="2883">
        <f t="shared" si="361"/>
        <v>5616.5275099999999</v>
      </c>
      <c r="CJ35" s="2883">
        <f t="shared" si="361"/>
        <v>13.807549999999999</v>
      </c>
      <c r="CK35" s="2839">
        <f t="shared" ref="CK35:CM71" si="362">SUM(CE35-CB35)</f>
        <v>1044.1544531165728</v>
      </c>
      <c r="CL35" s="2839">
        <f t="shared" si="362"/>
        <v>1052.3928353929832</v>
      </c>
      <c r="CM35" s="2839">
        <f t="shared" si="362"/>
        <v>-8.2383822764107109</v>
      </c>
      <c r="CN35" s="2775">
        <f>SUM(CO35:CP35)</f>
        <v>845.14992614723781</v>
      </c>
      <c r="CO35" s="2775">
        <f>SUM('ПОЛНАЯ СЕБЕСТОИМОСТЬ СТОКИ 2023'!AP153)/3</f>
        <v>840.96486076783606</v>
      </c>
      <c r="CP35" s="2775">
        <f>SUM('ПОЛНАЯ СЕБЕСТОИМОСТЬ СТОКИ 2023'!AQ153)/3</f>
        <v>4.1850653794017854</v>
      </c>
      <c r="CQ35" s="2775">
        <f>SUM(CR35:CS35)</f>
        <v>963.3732500000001</v>
      </c>
      <c r="CR35" s="2775">
        <f>SUM('ПОЛНАЯ СЕБЕСТОИМОСТЬ СТОКИ 2023'!AS153)</f>
        <v>962.13100000000009</v>
      </c>
      <c r="CS35" s="2775">
        <f>SUM('ПОЛНАЯ СЕБЕСТОИМОСТЬ СТОКИ 2023'!AT153)</f>
        <v>1.2422500000000001</v>
      </c>
      <c r="CT35" s="2833">
        <f>SUM(CU35:CV35)</f>
        <v>877.26400000000001</v>
      </c>
      <c r="CU35" s="2833">
        <v>876.55700000000002</v>
      </c>
      <c r="CV35" s="2833">
        <v>0.70699999999999996</v>
      </c>
      <c r="CW35" s="2775">
        <f>SUM(CX35:CY35)</f>
        <v>845.14992614723781</v>
      </c>
      <c r="CX35" s="2775">
        <f>SUM(CO35)</f>
        <v>840.96486076783606</v>
      </c>
      <c r="CY35" s="2775">
        <f>SUM(CP35)</f>
        <v>4.1850653794017854</v>
      </c>
      <c r="CZ35" s="2775">
        <f>SUM(DA35:DB35)</f>
        <v>0</v>
      </c>
      <c r="DA35" s="2775">
        <f>SUM('ПОЛНАЯ СЕБЕСТОИМОСТЬ СТОКИ 2023'!AV153)</f>
        <v>0</v>
      </c>
      <c r="DB35" s="2775">
        <f>SUM('ПОЛНАЯ СЕБЕСТОИМОСТЬ СТОКИ 2023'!AW153)</f>
        <v>0</v>
      </c>
      <c r="DC35" s="2833">
        <f>SUM(DD35:DE35)</f>
        <v>863.86599999999987</v>
      </c>
      <c r="DD35" s="2833">
        <v>863.02299999999991</v>
      </c>
      <c r="DE35" s="2833">
        <v>0.84299999999999997</v>
      </c>
      <c r="DF35" s="2775">
        <f>SUM(DG35:DH35)</f>
        <v>845.14992614723781</v>
      </c>
      <c r="DG35" s="2775">
        <f>SUM(CX35)</f>
        <v>840.96486076783606</v>
      </c>
      <c r="DH35" s="2775">
        <f>SUM(CY35)</f>
        <v>4.1850653794017854</v>
      </c>
      <c r="DI35" s="2775">
        <f>SUM(DJ35:DK35)</f>
        <v>0</v>
      </c>
      <c r="DJ35" s="2775">
        <f>SUM('ПОЛНАЯ СЕБЕСТОИМОСТЬ СТОКИ 2023'!AY153)</f>
        <v>0</v>
      </c>
      <c r="DK35" s="2775">
        <f>SUM('ПОЛНАЯ СЕБЕСТОИМОСТЬ СТОКИ 2023'!AZ153)</f>
        <v>0</v>
      </c>
      <c r="DL35" s="2833">
        <f>SUM(DM35:DN35)</f>
        <v>921.15949999999998</v>
      </c>
      <c r="DM35" s="2833">
        <v>914.99699999999996</v>
      </c>
      <c r="DN35" s="2833">
        <v>6.1624999999999996</v>
      </c>
      <c r="DO35" s="2868">
        <f t="shared" ref="DO35:DW41" si="363">SUM(CN35+CW35+DF35)</f>
        <v>2535.4497784417135</v>
      </c>
      <c r="DP35" s="2868">
        <f t="shared" si="363"/>
        <v>2522.8945823035083</v>
      </c>
      <c r="DQ35" s="2868">
        <f t="shared" si="363"/>
        <v>12.555196138205357</v>
      </c>
      <c r="DR35" s="2868">
        <f t="shared" si="363"/>
        <v>963.3732500000001</v>
      </c>
      <c r="DS35" s="2868">
        <f t="shared" si="363"/>
        <v>962.13100000000009</v>
      </c>
      <c r="DT35" s="2868">
        <f t="shared" si="363"/>
        <v>1.2422500000000001</v>
      </c>
      <c r="DU35" s="2868">
        <f t="shared" si="363"/>
        <v>2662.2894999999999</v>
      </c>
      <c r="DV35" s="2868">
        <f t="shared" si="363"/>
        <v>2654.5769999999998</v>
      </c>
      <c r="DW35" s="2868">
        <f t="shared" si="363"/>
        <v>7.7124999999999995</v>
      </c>
      <c r="DX35" s="2839">
        <f t="shared" ref="DX35:DZ71" si="364">SUM(DR35-DO35)</f>
        <v>-1572.0765284417134</v>
      </c>
      <c r="DY35" s="2839">
        <f t="shared" si="364"/>
        <v>-1560.7635823035082</v>
      </c>
      <c r="DZ35" s="2839">
        <f t="shared" si="364"/>
        <v>-11.312946138205357</v>
      </c>
      <c r="EA35" s="2868">
        <f t="shared" ref="EA35:EI41" si="365">SUM(CB35+DO35)</f>
        <v>7606.3493353251406</v>
      </c>
      <c r="EB35" s="2868">
        <f t="shared" si="365"/>
        <v>7568.6837469105249</v>
      </c>
      <c r="EC35" s="2868">
        <f t="shared" si="365"/>
        <v>37.665588414616067</v>
      </c>
      <c r="ED35" s="2868">
        <f t="shared" si="365"/>
        <v>7078.4272600000004</v>
      </c>
      <c r="EE35" s="2868">
        <f t="shared" si="365"/>
        <v>7060.3130000000001</v>
      </c>
      <c r="EF35" s="2868">
        <f t="shared" si="365"/>
        <v>18.114260000000002</v>
      </c>
      <c r="EG35" s="2868">
        <f t="shared" si="365"/>
        <v>8292.6245600000002</v>
      </c>
      <c r="EH35" s="2868">
        <f t="shared" si="365"/>
        <v>8271.1045099999992</v>
      </c>
      <c r="EI35" s="2868">
        <f t="shared" si="365"/>
        <v>21.520049999999998</v>
      </c>
      <c r="EJ35" s="2839">
        <f t="shared" ref="EJ35:EL71" si="366">SUM(ED35-EA35)</f>
        <v>-527.92207532514021</v>
      </c>
      <c r="EK35" s="2839">
        <f t="shared" si="366"/>
        <v>-508.37074691052476</v>
      </c>
      <c r="EL35" s="2839">
        <f t="shared" si="366"/>
        <v>-19.551328414616066</v>
      </c>
      <c r="EM35" s="2775">
        <f>SUM(EN35:EO35)</f>
        <v>845.14992614723781</v>
      </c>
      <c r="EN35" s="2775">
        <f>SUM('ПОЛНАЯ СЕБЕСТОИМОСТЬ СТОКИ 2023'!BN153)/3</f>
        <v>840.96486076783606</v>
      </c>
      <c r="EO35" s="2775">
        <f>SUM('ПОЛНАЯ СЕБЕСТОИМОСТЬ СТОКИ 2023'!BO153)/3</f>
        <v>4.1850653794017854</v>
      </c>
      <c r="EP35" s="2775">
        <f>SUM(EQ35:ER35)</f>
        <v>0</v>
      </c>
      <c r="EQ35" s="2775">
        <f>SUM('ПОЛНАЯ СЕБЕСТОИМОСТЬ СТОКИ 2023'!BQ153)</f>
        <v>0</v>
      </c>
      <c r="ER35" s="2775">
        <f>SUM('ПОЛНАЯ СЕБЕСТОИМОСТЬ СТОКИ 2023'!BR153)</f>
        <v>0</v>
      </c>
      <c r="ES35" s="2833">
        <f>SUM(ET35:EU35)</f>
        <v>987.97900000000004</v>
      </c>
      <c r="ET35" s="2833">
        <v>986.63300000000004</v>
      </c>
      <c r="EU35" s="2833">
        <v>1.3460000000000001</v>
      </c>
      <c r="EV35" s="2775">
        <f>SUM(EW35:EX35)</f>
        <v>845.14992614723781</v>
      </c>
      <c r="EW35" s="2775">
        <f>SUM(EN35)</f>
        <v>840.96486076783606</v>
      </c>
      <c r="EX35" s="2775">
        <f>SUM(EO35)</f>
        <v>4.1850653794017854</v>
      </c>
      <c r="EY35" s="2775">
        <f>SUM(EZ35:FA35)</f>
        <v>0</v>
      </c>
      <c r="EZ35" s="2775">
        <f>SUM('ПОЛНАЯ СЕБЕСТОИМОСТЬ СТОКИ 2023'!BT153)</f>
        <v>0</v>
      </c>
      <c r="FA35" s="2775">
        <f>SUM('ПОЛНАЯ СЕБЕСТОИМОСТЬ СТОКИ 2023'!BU153)</f>
        <v>0</v>
      </c>
      <c r="FB35" s="2833">
        <f>SUM(FC35:FD35)</f>
        <v>817.38395000000014</v>
      </c>
      <c r="FC35" s="2833">
        <v>816.13028000000008</v>
      </c>
      <c r="FD35" s="2833">
        <v>1.2536700000000001</v>
      </c>
      <c r="FE35" s="2775">
        <f>SUM(FF35:FG35)</f>
        <v>845.14992614723781</v>
      </c>
      <c r="FF35" s="2775">
        <f>SUM(EW35)</f>
        <v>840.96486076783606</v>
      </c>
      <c r="FG35" s="2775">
        <f>SUM(EX35)</f>
        <v>4.1850653794017854</v>
      </c>
      <c r="FH35" s="2775">
        <f>SUM(FI35:FJ35)</f>
        <v>0</v>
      </c>
      <c r="FI35" s="2775">
        <f>SUM('ПОЛНАЯ СЕБЕСТОИМОСТЬ СТОКИ 2023'!BW153)</f>
        <v>0</v>
      </c>
      <c r="FJ35" s="2775">
        <f>SUM('ПОЛНАЯ СЕБЕСТОИМОСТЬ СТОКИ 2023'!BX153)</f>
        <v>0</v>
      </c>
      <c r="FK35" s="2833">
        <f>SUM(FL35:FM35)</f>
        <v>935.55100000000004</v>
      </c>
      <c r="FL35" s="2833">
        <v>928.46199999999999</v>
      </c>
      <c r="FM35" s="2833">
        <v>7.0890000000000004</v>
      </c>
      <c r="FN35" s="2868">
        <f t="shared" ref="FN35:FV41" si="367">SUM(EM35+EV35+FE35)</f>
        <v>2535.4497784417135</v>
      </c>
      <c r="FO35" s="2868">
        <f t="shared" si="367"/>
        <v>2522.8945823035083</v>
      </c>
      <c r="FP35" s="2868">
        <f t="shared" si="367"/>
        <v>12.555196138205357</v>
      </c>
      <c r="FQ35" s="2868">
        <f t="shared" si="367"/>
        <v>0</v>
      </c>
      <c r="FR35" s="2868">
        <f t="shared" si="367"/>
        <v>0</v>
      </c>
      <c r="FS35" s="2868">
        <f t="shared" si="367"/>
        <v>0</v>
      </c>
      <c r="FT35" s="2868">
        <f t="shared" si="367"/>
        <v>2740.9139500000001</v>
      </c>
      <c r="FU35" s="2868">
        <f t="shared" si="367"/>
        <v>2731.2252800000001</v>
      </c>
      <c r="FV35" s="2868">
        <f t="shared" si="367"/>
        <v>9.6886700000000001</v>
      </c>
      <c r="FW35" s="2839">
        <f t="shared" ref="FW35:FY71" si="368">SUM(FQ35-FN35)</f>
        <v>-2535.4497784417135</v>
      </c>
      <c r="FX35" s="2839">
        <f t="shared" si="368"/>
        <v>-2522.8945823035083</v>
      </c>
      <c r="FY35" s="2839">
        <f t="shared" si="368"/>
        <v>-12.555196138205357</v>
      </c>
      <c r="FZ35" s="2863">
        <f t="shared" ref="FZ35:GH41" si="369">SUM(EA35+FN35)</f>
        <v>10141.799113766854</v>
      </c>
      <c r="GA35" s="2863">
        <f t="shared" si="369"/>
        <v>10091.578329214033</v>
      </c>
      <c r="GB35" s="2863">
        <f t="shared" si="369"/>
        <v>50.220784552821428</v>
      </c>
      <c r="GC35" s="2868">
        <f t="shared" si="369"/>
        <v>7078.4272600000004</v>
      </c>
      <c r="GD35" s="2868">
        <f t="shared" si="369"/>
        <v>7060.3130000000001</v>
      </c>
      <c r="GE35" s="2868">
        <f t="shared" si="369"/>
        <v>18.114260000000002</v>
      </c>
      <c r="GF35" s="2868">
        <f t="shared" si="369"/>
        <v>11033.53851</v>
      </c>
      <c r="GG35" s="2868">
        <f t="shared" si="369"/>
        <v>11002.32979</v>
      </c>
      <c r="GH35" s="2868">
        <f t="shared" si="369"/>
        <v>31.20872</v>
      </c>
      <c r="GI35" s="2839">
        <f t="shared" ref="GI35:GK71" si="370">SUM(GC35-FZ35)</f>
        <v>-3063.3718537668537</v>
      </c>
      <c r="GJ35" s="2839">
        <f t="shared" si="370"/>
        <v>-3031.265329214033</v>
      </c>
      <c r="GK35" s="2839">
        <f t="shared" si="370"/>
        <v>-32.106524552821426</v>
      </c>
      <c r="GM35" s="3576">
        <f t="shared" ref="GM35:GM63" si="371">SUM(B35+K35+T35+AO35+AX35+BG35+CN35+CW35+DF35+EM35+EV35+FE35)</f>
        <v>10141.799113766856</v>
      </c>
    </row>
    <row r="36" spans="1:195" ht="18.75" customHeight="1" x14ac:dyDescent="0.3">
      <c r="A36" s="2777" t="s">
        <v>2</v>
      </c>
      <c r="B36" s="2775">
        <f t="shared" ref="B36:B41" si="372">SUM(C36:D36)</f>
        <v>457.5625</v>
      </c>
      <c r="C36" s="2775">
        <f>SUM('ПОЛНАЯ СЕБЕСТОИМОСТЬ СТОКИ 2023'!C154)/3</f>
        <v>457.5625</v>
      </c>
      <c r="D36" s="2775">
        <f>SUM('ПОЛНАЯ СЕБЕСТОИМОСТЬ СТОКИ 2023'!D154)/3</f>
        <v>0</v>
      </c>
      <c r="E36" s="2775">
        <f t="shared" ref="E36:E41" si="373">SUM(F36:G36)</f>
        <v>569.25300000000004</v>
      </c>
      <c r="F36" s="2775">
        <f>SUM('ПОЛНАЯ СЕБЕСТОИМОСТЬ СТОКИ 2023'!F154)</f>
        <v>569.25300000000004</v>
      </c>
      <c r="G36" s="2775">
        <f>SUM('ПОЛНАЯ СЕБЕСТОИМОСТЬ СТОКИ 2023'!G154)</f>
        <v>0</v>
      </c>
      <c r="H36" s="2833">
        <f t="shared" ref="H36:H41" si="374">SUM(I36:J36)</f>
        <v>278.53199999999998</v>
      </c>
      <c r="I36" s="2833">
        <v>278.53199999999998</v>
      </c>
      <c r="J36" s="2833">
        <v>0</v>
      </c>
      <c r="K36" s="2775">
        <f t="shared" ref="K36:K41" si="375">SUM(L36:M36)</f>
        <v>457.5625</v>
      </c>
      <c r="L36" s="2775">
        <f t="shared" ref="L36:L41" si="376">SUM(C36)</f>
        <v>457.5625</v>
      </c>
      <c r="M36" s="2775">
        <f t="shared" ref="M36:M41" si="377">SUM(D36)</f>
        <v>0</v>
      </c>
      <c r="N36" s="2775">
        <f t="shared" ref="N36:N41" si="378">SUM(O36:P36)</f>
        <v>573.59500000000003</v>
      </c>
      <c r="O36" s="2775">
        <f>SUM('ПОЛНАЯ СЕБЕСТОИМОСТЬ СТОКИ 2023'!I154)</f>
        <v>573.59500000000003</v>
      </c>
      <c r="P36" s="2775">
        <f>SUM('ПОЛНАЯ СЕБЕСТОИМОСТЬ СТОКИ 2023'!J154)</f>
        <v>0</v>
      </c>
      <c r="Q36" s="2833">
        <f t="shared" ref="Q36:Q41" si="379">SUM(R36:S36)</f>
        <v>278.89999999999998</v>
      </c>
      <c r="R36" s="2833">
        <v>278.89999999999998</v>
      </c>
      <c r="S36" s="2833">
        <v>0</v>
      </c>
      <c r="T36" s="2775">
        <f t="shared" ref="T36:T41" si="380">SUM(U36:V36)</f>
        <v>457.5625</v>
      </c>
      <c r="U36" s="2775">
        <f t="shared" ref="U36:U41" si="381">SUM(L36)</f>
        <v>457.5625</v>
      </c>
      <c r="V36" s="2775">
        <f t="shared" ref="V36:V41" si="382">SUM(M36)</f>
        <v>0</v>
      </c>
      <c r="W36" s="2775">
        <f t="shared" ref="W36:W41" si="383">SUM(X36:Y36)</f>
        <v>717.44399999999996</v>
      </c>
      <c r="X36" s="2775">
        <f>SUM('ПОЛНАЯ СЕБЕСТОИМОСТЬ СТОКИ 2023'!L154)</f>
        <v>717.44399999999996</v>
      </c>
      <c r="Y36" s="2775">
        <f>SUM('ПОЛНАЯ СЕБЕСТОИМОСТЬ СТОКИ 2023'!M154)</f>
        <v>0</v>
      </c>
      <c r="Z36" s="2833">
        <f t="shared" ref="Z36:Z41" si="384">SUM(AA36:AB36)</f>
        <v>916.33931000000007</v>
      </c>
      <c r="AA36" s="2833">
        <v>916.33931000000007</v>
      </c>
      <c r="AB36" s="2833">
        <v>0</v>
      </c>
      <c r="AC36" s="2868">
        <f t="shared" si="357"/>
        <v>1372.6875</v>
      </c>
      <c r="AD36" s="2868">
        <f t="shared" si="357"/>
        <v>1372.6875</v>
      </c>
      <c r="AE36" s="2868">
        <f t="shared" si="357"/>
        <v>0</v>
      </c>
      <c r="AF36" s="2868">
        <f t="shared" si="357"/>
        <v>1860.2919999999999</v>
      </c>
      <c r="AG36" s="2868">
        <f t="shared" si="357"/>
        <v>1860.2919999999999</v>
      </c>
      <c r="AH36" s="2868">
        <f t="shared" si="357"/>
        <v>0</v>
      </c>
      <c r="AI36" s="2868">
        <f t="shared" si="357"/>
        <v>1473.7713100000001</v>
      </c>
      <c r="AJ36" s="2868">
        <f t="shared" si="357"/>
        <v>1473.7713100000001</v>
      </c>
      <c r="AK36" s="2868">
        <f t="shared" si="357"/>
        <v>0</v>
      </c>
      <c r="AL36" s="2839">
        <f t="shared" si="358"/>
        <v>487.60449999999992</v>
      </c>
      <c r="AM36" s="2839">
        <f t="shared" si="358"/>
        <v>487.60449999999992</v>
      </c>
      <c r="AN36" s="2839">
        <f t="shared" si="358"/>
        <v>0</v>
      </c>
      <c r="AO36" s="2775">
        <f t="shared" ref="AO36:AO41" si="385">SUM(AP36:AQ36)</f>
        <v>457.5625</v>
      </c>
      <c r="AP36" s="2775">
        <f>SUM('ПОЛНАЯ СЕБЕСТОИМОСТЬ СТОКИ 2023'!R154)/3</f>
        <v>457.5625</v>
      </c>
      <c r="AQ36" s="2775">
        <f>SUM('ПОЛНАЯ СЕБЕСТОИМОСТЬ СТОКИ 2023'!S154)/3</f>
        <v>0</v>
      </c>
      <c r="AR36" s="2775">
        <f t="shared" ref="AR36:AR41" si="386">SUM(AS36:AT36)</f>
        <v>928.29399999999998</v>
      </c>
      <c r="AS36" s="2775">
        <f>SUM('ПОЛНАЯ СЕБЕСТОИМОСТЬ СТОКИ 2023'!U154)</f>
        <v>928.29399999999998</v>
      </c>
      <c r="AT36" s="2775">
        <f>SUM('ПОЛНАЯ СЕБЕСТОИМОСТЬ СТОКИ 2023'!V154)</f>
        <v>0</v>
      </c>
      <c r="AU36" s="2833">
        <f t="shared" ref="AU36:AU41" si="387">SUM(AV36:AW36)</f>
        <v>505.38400000000001</v>
      </c>
      <c r="AV36" s="2833">
        <v>505.38400000000001</v>
      </c>
      <c r="AW36" s="2833">
        <v>0</v>
      </c>
      <c r="AX36" s="2775">
        <f t="shared" ref="AX36:AX41" si="388">SUM(AY36:AZ36)</f>
        <v>457.5625</v>
      </c>
      <c r="AY36" s="2775">
        <f t="shared" ref="AY36:AY41" si="389">SUM(AP36)</f>
        <v>457.5625</v>
      </c>
      <c r="AZ36" s="2775">
        <f t="shared" ref="AZ36:AZ41" si="390">SUM(AQ36)</f>
        <v>0</v>
      </c>
      <c r="BA36" s="2832">
        <f t="shared" ref="BA36:BA41" si="391">SUM(BB36:BC36)</f>
        <v>909.35099999999989</v>
      </c>
      <c r="BB36" s="2832">
        <f>SUM('ПОЛНАЯ СЕБЕСТОИМОСТЬ СТОКИ 2023'!X154)</f>
        <v>909.35099999999989</v>
      </c>
      <c r="BC36" s="2832">
        <f>SUM('ПОЛНАЯ СЕБЕСТОИМОСТЬ СТОКИ 2023'!Y154)</f>
        <v>0</v>
      </c>
      <c r="BD36" s="2833">
        <f t="shared" ref="BD36:BD41" si="392">SUM(BE36:BF36)</f>
        <v>505.16900000000004</v>
      </c>
      <c r="BE36" s="2833">
        <v>505.16900000000004</v>
      </c>
      <c r="BF36" s="2833">
        <v>0</v>
      </c>
      <c r="BG36" s="2775">
        <f t="shared" ref="BG36:BG41" si="393">SUM(BH36:BI36)</f>
        <v>457.5625</v>
      </c>
      <c r="BH36" s="2775">
        <f t="shared" ref="BH36:BH41" si="394">SUM(AY36)</f>
        <v>457.5625</v>
      </c>
      <c r="BI36" s="2775">
        <f t="shared" ref="BI36:BI41" si="395">SUM(AZ36)</f>
        <v>0</v>
      </c>
      <c r="BJ36" s="2775">
        <f t="shared" ref="BJ36:BJ41" si="396">SUM(BK36:BL36)</f>
        <v>909.29477999999995</v>
      </c>
      <c r="BK36" s="2775">
        <f>SUM('ПОЛНАЯ СЕБЕСТОИМОСТЬ СТОКИ 2023'!AA154)</f>
        <v>909.29477999999995</v>
      </c>
      <c r="BL36" s="2775">
        <f>SUM('ПОЛНАЯ СЕБЕСТОИМОСТЬ СТОКИ 2023'!AB154)</f>
        <v>0</v>
      </c>
      <c r="BM36" s="2833">
        <f t="shared" ref="BM36:BM41" si="397">SUM(BN36:BO36)</f>
        <v>502.78099999999995</v>
      </c>
      <c r="BN36" s="2833">
        <v>502.78099999999995</v>
      </c>
      <c r="BO36" s="2833">
        <v>0</v>
      </c>
      <c r="BP36" s="2868">
        <f t="shared" si="359"/>
        <v>1372.6875</v>
      </c>
      <c r="BQ36" s="2868">
        <f t="shared" si="359"/>
        <v>1372.6875</v>
      </c>
      <c r="BR36" s="2868">
        <f t="shared" si="359"/>
        <v>0</v>
      </c>
      <c r="BS36" s="2868">
        <f t="shared" si="359"/>
        <v>2746.9397799999997</v>
      </c>
      <c r="BT36" s="2868">
        <f t="shared" si="359"/>
        <v>2746.9397799999997</v>
      </c>
      <c r="BU36" s="2868">
        <f t="shared" si="359"/>
        <v>0</v>
      </c>
      <c r="BV36" s="2868">
        <f t="shared" si="359"/>
        <v>1513.3340000000001</v>
      </c>
      <c r="BW36" s="2868">
        <f t="shared" si="359"/>
        <v>1513.3340000000001</v>
      </c>
      <c r="BX36" s="2868">
        <f t="shared" si="359"/>
        <v>0</v>
      </c>
      <c r="BY36" s="2839">
        <f t="shared" si="360"/>
        <v>1374.2522799999997</v>
      </c>
      <c r="BZ36" s="2839">
        <f t="shared" si="360"/>
        <v>1374.2522799999997</v>
      </c>
      <c r="CA36" s="2839">
        <f t="shared" si="360"/>
        <v>0</v>
      </c>
      <c r="CB36" s="2868">
        <f t="shared" si="361"/>
        <v>2745.375</v>
      </c>
      <c r="CC36" s="2868">
        <f t="shared" si="361"/>
        <v>2745.375</v>
      </c>
      <c r="CD36" s="2868">
        <f t="shared" si="361"/>
        <v>0</v>
      </c>
      <c r="CE36" s="2868">
        <f t="shared" si="361"/>
        <v>4607.2317800000001</v>
      </c>
      <c r="CF36" s="2868">
        <f t="shared" si="361"/>
        <v>4607.2317800000001</v>
      </c>
      <c r="CG36" s="2868">
        <f t="shared" si="361"/>
        <v>0</v>
      </c>
      <c r="CH36" s="2883">
        <f t="shared" si="361"/>
        <v>2987.1053099999999</v>
      </c>
      <c r="CI36" s="2883">
        <f t="shared" si="361"/>
        <v>2987.1053099999999</v>
      </c>
      <c r="CJ36" s="2883">
        <f t="shared" si="361"/>
        <v>0</v>
      </c>
      <c r="CK36" s="2839">
        <f t="shared" si="362"/>
        <v>1861.8567800000001</v>
      </c>
      <c r="CL36" s="2839">
        <f t="shared" si="362"/>
        <v>1861.8567800000001</v>
      </c>
      <c r="CM36" s="2839">
        <f t="shared" si="362"/>
        <v>0</v>
      </c>
      <c r="CN36" s="2775">
        <f t="shared" ref="CN36:CN41" si="398">SUM(CO36:CP36)</f>
        <v>457.5625</v>
      </c>
      <c r="CO36" s="2775">
        <f>SUM('ПОЛНАЯ СЕБЕСТОИМОСТЬ СТОКИ 2023'!AP154)/3</f>
        <v>457.5625</v>
      </c>
      <c r="CP36" s="2775">
        <f>SUM('ПОЛНАЯ СЕБЕСТОИМОСТЬ СТОКИ 2023'!AQ154)/3</f>
        <v>0</v>
      </c>
      <c r="CQ36" s="2775">
        <f t="shared" ref="CQ36:CQ41" si="399">SUM(CR36:CS36)</f>
        <v>908.75299999999993</v>
      </c>
      <c r="CR36" s="2775">
        <f>SUM('ПОЛНАЯ СЕБЕСТОИМОСТЬ СТОКИ 2023'!AS154)</f>
        <v>908.75299999999993</v>
      </c>
      <c r="CS36" s="2775">
        <f>SUM('ПОЛНАЯ СЕБЕСТОИМОСТЬ СТОКИ 2023'!AT154)</f>
        <v>0</v>
      </c>
      <c r="CT36" s="2833">
        <f t="shared" ref="CT36:CT41" si="400">SUM(CU36:CV36)</f>
        <v>505.57600000000002</v>
      </c>
      <c r="CU36" s="2833">
        <v>505.57600000000002</v>
      </c>
      <c r="CV36" s="2833">
        <v>0</v>
      </c>
      <c r="CW36" s="2775">
        <f t="shared" ref="CW36:CW41" si="401">SUM(CX36:CY36)</f>
        <v>457.5625</v>
      </c>
      <c r="CX36" s="2775">
        <f t="shared" ref="CX36:CX41" si="402">SUM(CO36)</f>
        <v>457.5625</v>
      </c>
      <c r="CY36" s="2775">
        <f t="shared" ref="CY36:CY41" si="403">SUM(CP36)</f>
        <v>0</v>
      </c>
      <c r="CZ36" s="2775">
        <f t="shared" ref="CZ36:CZ41" si="404">SUM(DA36:DB36)</f>
        <v>0</v>
      </c>
      <c r="DA36" s="2775">
        <f>SUM('ПОЛНАЯ СЕБЕСТОИМОСТЬ СТОКИ 2023'!AV154)</f>
        <v>0</v>
      </c>
      <c r="DB36" s="2775">
        <f>SUM('ПОЛНАЯ СЕБЕСТОИМОСТЬ СТОКИ 2023'!AW154)</f>
        <v>0</v>
      </c>
      <c r="DC36" s="2833">
        <f t="shared" ref="DC36:DC41" si="405">SUM(DD36:DE36)</f>
        <v>509.56700000000001</v>
      </c>
      <c r="DD36" s="2833">
        <v>509.56700000000001</v>
      </c>
      <c r="DE36" s="2833">
        <v>0</v>
      </c>
      <c r="DF36" s="2775">
        <f t="shared" ref="DF36:DF41" si="406">SUM(DG36:DH36)</f>
        <v>457.5625</v>
      </c>
      <c r="DG36" s="2775">
        <f t="shared" ref="DG36:DG41" si="407">SUM(CX36)</f>
        <v>457.5625</v>
      </c>
      <c r="DH36" s="2775">
        <f t="shared" ref="DH36:DH41" si="408">SUM(CY36)</f>
        <v>0</v>
      </c>
      <c r="DI36" s="2775">
        <f t="shared" ref="DI36:DI41" si="409">SUM(DJ36:DK36)</f>
        <v>0</v>
      </c>
      <c r="DJ36" s="2775">
        <f>SUM('ПОЛНАЯ СЕБЕСТОИМОСТЬ СТОКИ 2023'!AY154)</f>
        <v>0</v>
      </c>
      <c r="DK36" s="2775">
        <f>SUM('ПОЛНАЯ СЕБЕСТОИМОСТЬ СТОКИ 2023'!AZ154)</f>
        <v>0</v>
      </c>
      <c r="DL36" s="2833">
        <f t="shared" ref="DL36:DL41" si="410">SUM(DM36:DN36)</f>
        <v>508.97800000000001</v>
      </c>
      <c r="DM36" s="2833">
        <v>508.97800000000001</v>
      </c>
      <c r="DN36" s="2833">
        <v>0</v>
      </c>
      <c r="DO36" s="2868">
        <f t="shared" si="363"/>
        <v>1372.6875</v>
      </c>
      <c r="DP36" s="2868">
        <f t="shared" si="363"/>
        <v>1372.6875</v>
      </c>
      <c r="DQ36" s="2868">
        <f t="shared" si="363"/>
        <v>0</v>
      </c>
      <c r="DR36" s="2868">
        <f t="shared" si="363"/>
        <v>908.75299999999993</v>
      </c>
      <c r="DS36" s="2868">
        <f t="shared" si="363"/>
        <v>908.75299999999993</v>
      </c>
      <c r="DT36" s="2868">
        <f t="shared" si="363"/>
        <v>0</v>
      </c>
      <c r="DU36" s="2868">
        <f t="shared" si="363"/>
        <v>1524.1210000000001</v>
      </c>
      <c r="DV36" s="2868">
        <f t="shared" si="363"/>
        <v>1524.1210000000001</v>
      </c>
      <c r="DW36" s="2868">
        <f t="shared" si="363"/>
        <v>0</v>
      </c>
      <c r="DX36" s="2839">
        <f t="shared" si="364"/>
        <v>-463.93450000000007</v>
      </c>
      <c r="DY36" s="2839">
        <f t="shared" si="364"/>
        <v>-463.93450000000007</v>
      </c>
      <c r="DZ36" s="2839">
        <f t="shared" si="364"/>
        <v>0</v>
      </c>
      <c r="EA36" s="2868">
        <f t="shared" si="365"/>
        <v>4118.0625</v>
      </c>
      <c r="EB36" s="2868">
        <f t="shared" si="365"/>
        <v>4118.0625</v>
      </c>
      <c r="EC36" s="2868">
        <f t="shared" si="365"/>
        <v>0</v>
      </c>
      <c r="ED36" s="2868">
        <f t="shared" si="365"/>
        <v>5515.9847799999998</v>
      </c>
      <c r="EE36" s="2868">
        <f t="shared" si="365"/>
        <v>5515.9847799999998</v>
      </c>
      <c r="EF36" s="2868">
        <f t="shared" si="365"/>
        <v>0</v>
      </c>
      <c r="EG36" s="2868">
        <f t="shared" si="365"/>
        <v>4511.22631</v>
      </c>
      <c r="EH36" s="2868">
        <f t="shared" si="365"/>
        <v>4511.22631</v>
      </c>
      <c r="EI36" s="2868">
        <f t="shared" si="365"/>
        <v>0</v>
      </c>
      <c r="EJ36" s="2839">
        <f t="shared" si="366"/>
        <v>1397.9222799999998</v>
      </c>
      <c r="EK36" s="2839">
        <f t="shared" si="366"/>
        <v>1397.9222799999998</v>
      </c>
      <c r="EL36" s="2839">
        <f t="shared" si="366"/>
        <v>0</v>
      </c>
      <c r="EM36" s="2775">
        <f t="shared" ref="EM36:EM41" si="411">SUM(EN36:EO36)</f>
        <v>457.5625</v>
      </c>
      <c r="EN36" s="2775">
        <f>SUM('ПОЛНАЯ СЕБЕСТОИМОСТЬ СТОКИ 2023'!BN154)/3</f>
        <v>457.5625</v>
      </c>
      <c r="EO36" s="2775">
        <f>SUM('ПОЛНАЯ СЕБЕСТОИМОСТЬ СТОКИ 2023'!BO154)/3</f>
        <v>0</v>
      </c>
      <c r="EP36" s="2775">
        <f t="shared" ref="EP36:EP41" si="412">SUM(EQ36:ER36)</f>
        <v>0</v>
      </c>
      <c r="EQ36" s="2775">
        <f>SUM('ПОЛНАЯ СЕБЕСТОИМОСТЬ СТОКИ 2023'!BQ154)</f>
        <v>0</v>
      </c>
      <c r="ER36" s="2775">
        <f>SUM('ПОЛНАЯ СЕБЕСТОИМОСТЬ СТОКИ 2023'!BR154)</f>
        <v>0</v>
      </c>
      <c r="ES36" s="2833">
        <f t="shared" ref="ES36:ES41" si="413">SUM(ET36:EU36)</f>
        <v>598.66599999999994</v>
      </c>
      <c r="ET36" s="2833">
        <v>598.66599999999994</v>
      </c>
      <c r="EU36" s="2833">
        <v>0</v>
      </c>
      <c r="EV36" s="2775">
        <f t="shared" ref="EV36:EV41" si="414">SUM(EW36:EX36)</f>
        <v>457.5625</v>
      </c>
      <c r="EW36" s="2775">
        <f t="shared" ref="EW36:EW41" si="415">SUM(EN36)</f>
        <v>457.5625</v>
      </c>
      <c r="EX36" s="2775">
        <f t="shared" ref="EX36:EX41" si="416">SUM(EO36)</f>
        <v>0</v>
      </c>
      <c r="EY36" s="2775">
        <f t="shared" ref="EY36:EY41" si="417">SUM(EZ36:FA36)</f>
        <v>0</v>
      </c>
      <c r="EZ36" s="2775">
        <f>SUM('ПОЛНАЯ СЕБЕСТОИМОСТЬ СТОКИ 2023'!BT154)</f>
        <v>0</v>
      </c>
      <c r="FA36" s="2775">
        <f>SUM('ПОЛНАЯ СЕБЕСТОИМОСТЬ СТОКИ 2023'!BU154)</f>
        <v>0</v>
      </c>
      <c r="FB36" s="2833">
        <f t="shared" ref="FB36:FB41" si="418">SUM(FC36:FD36)</f>
        <v>599.17599999999993</v>
      </c>
      <c r="FC36" s="2833">
        <v>599.17599999999993</v>
      </c>
      <c r="FD36" s="2833">
        <v>0</v>
      </c>
      <c r="FE36" s="2775">
        <f t="shared" ref="FE36:FE41" si="419">SUM(FF36:FG36)</f>
        <v>457.5625</v>
      </c>
      <c r="FF36" s="2775">
        <f t="shared" ref="FF36:FF41" si="420">SUM(EW36)</f>
        <v>457.5625</v>
      </c>
      <c r="FG36" s="2775">
        <f t="shared" ref="FG36:FG41" si="421">SUM(EX36)</f>
        <v>0</v>
      </c>
      <c r="FH36" s="2775">
        <f t="shared" ref="FH36:FH41" si="422">SUM(FI36:FJ36)</f>
        <v>0</v>
      </c>
      <c r="FI36" s="2775">
        <f>SUM('ПОЛНАЯ СЕБЕСТОИМОСТЬ СТОКИ 2023'!BW154)</f>
        <v>0</v>
      </c>
      <c r="FJ36" s="2775">
        <f>SUM('ПОЛНАЯ СЕБЕСТОИМОСТЬ СТОКИ 2023'!BX154)</f>
        <v>0</v>
      </c>
      <c r="FK36" s="2833">
        <f t="shared" ref="FK36:FK41" si="423">SUM(FL36:FM36)</f>
        <v>888.61200000000008</v>
      </c>
      <c r="FL36" s="2833">
        <v>888.61200000000008</v>
      </c>
      <c r="FM36" s="2833">
        <v>0</v>
      </c>
      <c r="FN36" s="2868">
        <f t="shared" si="367"/>
        <v>1372.6875</v>
      </c>
      <c r="FO36" s="2868">
        <f t="shared" si="367"/>
        <v>1372.6875</v>
      </c>
      <c r="FP36" s="2868">
        <f t="shared" si="367"/>
        <v>0</v>
      </c>
      <c r="FQ36" s="2868">
        <f t="shared" si="367"/>
        <v>0</v>
      </c>
      <c r="FR36" s="2868">
        <f t="shared" si="367"/>
        <v>0</v>
      </c>
      <c r="FS36" s="2868">
        <f t="shared" si="367"/>
        <v>0</v>
      </c>
      <c r="FT36" s="2868">
        <f t="shared" si="367"/>
        <v>2086.4539999999997</v>
      </c>
      <c r="FU36" s="2868">
        <f t="shared" si="367"/>
        <v>2086.4539999999997</v>
      </c>
      <c r="FV36" s="2868">
        <f t="shared" si="367"/>
        <v>0</v>
      </c>
      <c r="FW36" s="2839">
        <f t="shared" si="368"/>
        <v>-1372.6875</v>
      </c>
      <c r="FX36" s="2839">
        <f t="shared" si="368"/>
        <v>-1372.6875</v>
      </c>
      <c r="FY36" s="2839">
        <f t="shared" si="368"/>
        <v>0</v>
      </c>
      <c r="FZ36" s="2863">
        <f t="shared" si="369"/>
        <v>5490.75</v>
      </c>
      <c r="GA36" s="2863">
        <f t="shared" si="369"/>
        <v>5490.75</v>
      </c>
      <c r="GB36" s="2863">
        <f t="shared" si="369"/>
        <v>0</v>
      </c>
      <c r="GC36" s="2868">
        <f t="shared" si="369"/>
        <v>5515.9847799999998</v>
      </c>
      <c r="GD36" s="2868">
        <f t="shared" si="369"/>
        <v>5515.9847799999998</v>
      </c>
      <c r="GE36" s="2868">
        <f t="shared" si="369"/>
        <v>0</v>
      </c>
      <c r="GF36" s="2868">
        <f t="shared" si="369"/>
        <v>6597.6803099999997</v>
      </c>
      <c r="GG36" s="2868">
        <f t="shared" si="369"/>
        <v>6597.6803099999997</v>
      </c>
      <c r="GH36" s="2868">
        <f t="shared" si="369"/>
        <v>0</v>
      </c>
      <c r="GI36" s="2839">
        <f t="shared" si="370"/>
        <v>25.234779999999773</v>
      </c>
      <c r="GJ36" s="2839">
        <f t="shared" si="370"/>
        <v>25.234779999999773</v>
      </c>
      <c r="GK36" s="2839">
        <f t="shared" si="370"/>
        <v>0</v>
      </c>
      <c r="GM36" s="3576">
        <f t="shared" si="371"/>
        <v>5490.75</v>
      </c>
    </row>
    <row r="37" spans="1:195" ht="18.75" customHeight="1" x14ac:dyDescent="0.3">
      <c r="A37" s="2777" t="s">
        <v>3692</v>
      </c>
      <c r="B37" s="2775">
        <f t="shared" si="372"/>
        <v>0</v>
      </c>
      <c r="C37" s="2775">
        <f>SUM('ПОЛНАЯ СЕБЕСТОИМОСТЬ СТОКИ 2023'!C155)/3</f>
        <v>0</v>
      </c>
      <c r="D37" s="2775">
        <f>SUM('ПОЛНАЯ СЕБЕСТОИМОСТЬ СТОКИ 2023'!D155)/3</f>
        <v>0</v>
      </c>
      <c r="E37" s="2775">
        <f t="shared" si="373"/>
        <v>167.404</v>
      </c>
      <c r="F37" s="2775">
        <f>SUM('ПОЛНАЯ СЕБЕСТОИМОСТЬ СТОКИ 2023'!F155)</f>
        <v>167.404</v>
      </c>
      <c r="G37" s="2775">
        <f>SUM('ПОЛНАЯ СЕБЕСТОИМОСТЬ СТОКИ 2023'!G155)</f>
        <v>0</v>
      </c>
      <c r="H37" s="2833">
        <f t="shared" si="374"/>
        <v>7.6539999999999999</v>
      </c>
      <c r="I37" s="2833">
        <v>7.6539999999999999</v>
      </c>
      <c r="J37" s="2833">
        <v>0</v>
      </c>
      <c r="K37" s="2775">
        <f t="shared" si="375"/>
        <v>0</v>
      </c>
      <c r="L37" s="2775">
        <f t="shared" si="376"/>
        <v>0</v>
      </c>
      <c r="M37" s="2775">
        <f t="shared" si="377"/>
        <v>0</v>
      </c>
      <c r="N37" s="2775">
        <f t="shared" si="378"/>
        <v>3.093</v>
      </c>
      <c r="O37" s="2775">
        <f>SUM('ПОЛНАЯ СЕБЕСТОИМОСТЬ СТОКИ 2023'!I155)</f>
        <v>3.093</v>
      </c>
      <c r="P37" s="2775">
        <f>SUM('ПОЛНАЯ СЕБЕСТОИМОСТЬ СТОКИ 2023'!J155)</f>
        <v>0</v>
      </c>
      <c r="Q37" s="2833">
        <f t="shared" si="379"/>
        <v>7.6539999999999999</v>
      </c>
      <c r="R37" s="2833">
        <v>7.6539999999999999</v>
      </c>
      <c r="S37" s="2833">
        <v>0</v>
      </c>
      <c r="T37" s="2775">
        <f t="shared" si="380"/>
        <v>0</v>
      </c>
      <c r="U37" s="2775">
        <f t="shared" si="381"/>
        <v>0</v>
      </c>
      <c r="V37" s="2775">
        <f t="shared" si="382"/>
        <v>0</v>
      </c>
      <c r="W37" s="2775">
        <f t="shared" si="383"/>
        <v>3.093</v>
      </c>
      <c r="X37" s="2775">
        <f>SUM('ПОЛНАЯ СЕБЕСТОИМОСТЬ СТОКИ 2023'!L155)</f>
        <v>3.093</v>
      </c>
      <c r="Y37" s="2775">
        <f>SUM('ПОЛНАЯ СЕБЕСТОИМОСТЬ СТОКИ 2023'!M155)</f>
        <v>0</v>
      </c>
      <c r="Z37" s="2833">
        <f t="shared" si="384"/>
        <v>7.6539999999999999</v>
      </c>
      <c r="AA37" s="2833">
        <v>7.6539999999999999</v>
      </c>
      <c r="AB37" s="2833">
        <v>0</v>
      </c>
      <c r="AC37" s="2868">
        <f t="shared" si="357"/>
        <v>0</v>
      </c>
      <c r="AD37" s="2868">
        <f t="shared" si="357"/>
        <v>0</v>
      </c>
      <c r="AE37" s="2868">
        <f t="shared" si="357"/>
        <v>0</v>
      </c>
      <c r="AF37" s="2868">
        <f t="shared" si="357"/>
        <v>173.58999999999997</v>
      </c>
      <c r="AG37" s="2868">
        <f t="shared" si="357"/>
        <v>173.58999999999997</v>
      </c>
      <c r="AH37" s="2868">
        <f t="shared" si="357"/>
        <v>0</v>
      </c>
      <c r="AI37" s="2868">
        <f t="shared" si="357"/>
        <v>22.962</v>
      </c>
      <c r="AJ37" s="2868">
        <f t="shared" si="357"/>
        <v>22.962</v>
      </c>
      <c r="AK37" s="2868">
        <f t="shared" si="357"/>
        <v>0</v>
      </c>
      <c r="AL37" s="2839">
        <f t="shared" si="358"/>
        <v>173.58999999999997</v>
      </c>
      <c r="AM37" s="2839">
        <f t="shared" si="358"/>
        <v>173.58999999999997</v>
      </c>
      <c r="AN37" s="2839">
        <f t="shared" si="358"/>
        <v>0</v>
      </c>
      <c r="AO37" s="2775">
        <f t="shared" si="385"/>
        <v>0</v>
      </c>
      <c r="AP37" s="2775">
        <f>SUM('ПОЛНАЯ СЕБЕСТОИМОСТЬ СТОКИ 2023'!R155)/3</f>
        <v>0</v>
      </c>
      <c r="AQ37" s="2775">
        <f>SUM('ПОЛНАЯ СЕБЕСТОИМОСТЬ СТОКИ 2023'!S155)/3</f>
        <v>0</v>
      </c>
      <c r="AR37" s="2775">
        <f t="shared" si="386"/>
        <v>120.342</v>
      </c>
      <c r="AS37" s="2775">
        <f>SUM('ПОЛНАЯ СЕБЕСТОИМОСТЬ СТОКИ 2023'!U155)</f>
        <v>120.342</v>
      </c>
      <c r="AT37" s="2775">
        <f>SUM('ПОЛНАЯ СЕБЕСТОИМОСТЬ СТОКИ 2023'!V155)</f>
        <v>0</v>
      </c>
      <c r="AU37" s="2833">
        <f t="shared" si="387"/>
        <v>7.6539999999999999</v>
      </c>
      <c r="AV37" s="2833">
        <v>7.6539999999999999</v>
      </c>
      <c r="AW37" s="2833">
        <v>0</v>
      </c>
      <c r="AX37" s="2775">
        <f t="shared" si="388"/>
        <v>0</v>
      </c>
      <c r="AY37" s="2775">
        <f t="shared" si="389"/>
        <v>0</v>
      </c>
      <c r="AZ37" s="2775">
        <f t="shared" si="390"/>
        <v>0</v>
      </c>
      <c r="BA37" s="2832">
        <f t="shared" si="391"/>
        <v>11.426</v>
      </c>
      <c r="BB37" s="2832">
        <f>SUM('ПОЛНАЯ СЕБЕСТОИМОСТЬ СТОКИ 2023'!X155)</f>
        <v>11.426</v>
      </c>
      <c r="BC37" s="2832">
        <f>SUM('ПОЛНАЯ СЕБЕСТОИМОСТЬ СТОКИ 2023'!Y155)</f>
        <v>0</v>
      </c>
      <c r="BD37" s="2833">
        <f t="shared" si="392"/>
        <v>7.6539999999999999</v>
      </c>
      <c r="BE37" s="2833">
        <v>7.6539999999999999</v>
      </c>
      <c r="BF37" s="2833">
        <v>0</v>
      </c>
      <c r="BG37" s="2775">
        <f t="shared" si="393"/>
        <v>0</v>
      </c>
      <c r="BH37" s="2775">
        <f t="shared" si="394"/>
        <v>0</v>
      </c>
      <c r="BI37" s="2775">
        <f t="shared" si="395"/>
        <v>0</v>
      </c>
      <c r="BJ37" s="2775">
        <f t="shared" si="396"/>
        <v>63.525499999999994</v>
      </c>
      <c r="BK37" s="2775">
        <f>SUM('ПОЛНАЯ СЕБЕСТОИМОСТЬ СТОКИ 2023'!AA155)</f>
        <v>63.525499999999994</v>
      </c>
      <c r="BL37" s="2775">
        <f>SUM('ПОЛНАЯ СЕБЕСТОИМОСТЬ СТОКИ 2023'!AB155)</f>
        <v>0</v>
      </c>
      <c r="BM37" s="2833">
        <f t="shared" si="397"/>
        <v>78.001499999999993</v>
      </c>
      <c r="BN37" s="2833">
        <v>78.001499999999993</v>
      </c>
      <c r="BO37" s="2833">
        <v>0</v>
      </c>
      <c r="BP37" s="2868">
        <f t="shared" si="359"/>
        <v>0</v>
      </c>
      <c r="BQ37" s="2868">
        <f t="shared" si="359"/>
        <v>0</v>
      </c>
      <c r="BR37" s="2868">
        <f t="shared" si="359"/>
        <v>0</v>
      </c>
      <c r="BS37" s="2868">
        <f t="shared" si="359"/>
        <v>195.29349999999999</v>
      </c>
      <c r="BT37" s="2868">
        <f t="shared" si="359"/>
        <v>195.29349999999999</v>
      </c>
      <c r="BU37" s="2868">
        <f t="shared" si="359"/>
        <v>0</v>
      </c>
      <c r="BV37" s="2868">
        <f t="shared" si="359"/>
        <v>93.309499999999986</v>
      </c>
      <c r="BW37" s="2868">
        <f t="shared" si="359"/>
        <v>93.309499999999986</v>
      </c>
      <c r="BX37" s="2868">
        <f t="shared" si="359"/>
        <v>0</v>
      </c>
      <c r="BY37" s="2839">
        <f t="shared" si="360"/>
        <v>195.29349999999999</v>
      </c>
      <c r="BZ37" s="2839">
        <f t="shared" si="360"/>
        <v>195.29349999999999</v>
      </c>
      <c r="CA37" s="2839">
        <f t="shared" si="360"/>
        <v>0</v>
      </c>
      <c r="CB37" s="2868">
        <f t="shared" si="361"/>
        <v>0</v>
      </c>
      <c r="CC37" s="2868">
        <f t="shared" si="361"/>
        <v>0</v>
      </c>
      <c r="CD37" s="2868">
        <f t="shared" si="361"/>
        <v>0</v>
      </c>
      <c r="CE37" s="2868">
        <f t="shared" si="361"/>
        <v>368.88349999999997</v>
      </c>
      <c r="CF37" s="2868">
        <f t="shared" si="361"/>
        <v>368.88349999999997</v>
      </c>
      <c r="CG37" s="2868">
        <f t="shared" si="361"/>
        <v>0</v>
      </c>
      <c r="CH37" s="2883">
        <f t="shared" si="361"/>
        <v>116.27149999999999</v>
      </c>
      <c r="CI37" s="2883">
        <f t="shared" si="361"/>
        <v>116.27149999999999</v>
      </c>
      <c r="CJ37" s="2883">
        <f t="shared" si="361"/>
        <v>0</v>
      </c>
      <c r="CK37" s="2839">
        <f t="shared" si="362"/>
        <v>368.88349999999997</v>
      </c>
      <c r="CL37" s="2839">
        <f t="shared" si="362"/>
        <v>368.88349999999997</v>
      </c>
      <c r="CM37" s="2839">
        <f t="shared" si="362"/>
        <v>0</v>
      </c>
      <c r="CN37" s="2775">
        <f t="shared" si="398"/>
        <v>0</v>
      </c>
      <c r="CO37" s="2775">
        <f>SUM('ПОЛНАЯ СЕБЕСТОИМОСТЬ СТОКИ 2023'!AP155)/3</f>
        <v>0</v>
      </c>
      <c r="CP37" s="2775">
        <f>SUM('ПОЛНАЯ СЕБЕСТОИМОСТЬ СТОКИ 2023'!AQ155)/3</f>
        <v>0</v>
      </c>
      <c r="CQ37" s="2775">
        <f t="shared" si="399"/>
        <v>7.6539999999999999</v>
      </c>
      <c r="CR37" s="2775">
        <f>SUM('ПОЛНАЯ СЕБЕСТОИМОСТЬ СТОКИ 2023'!AS155)</f>
        <v>7.6539999999999999</v>
      </c>
      <c r="CS37" s="2775">
        <f>SUM('ПОЛНАЯ СЕБЕСТОИМОСТЬ СТОКИ 2023'!AT155)</f>
        <v>0</v>
      </c>
      <c r="CT37" s="2833">
        <f t="shared" si="400"/>
        <v>7.6539999999999999</v>
      </c>
      <c r="CU37" s="2833">
        <v>7.6539999999999999</v>
      </c>
      <c r="CV37" s="2833">
        <v>0</v>
      </c>
      <c r="CW37" s="2775">
        <f t="shared" si="401"/>
        <v>0</v>
      </c>
      <c r="CX37" s="2775">
        <f t="shared" si="402"/>
        <v>0</v>
      </c>
      <c r="CY37" s="2775">
        <f t="shared" si="403"/>
        <v>0</v>
      </c>
      <c r="CZ37" s="2775">
        <f t="shared" si="404"/>
        <v>0</v>
      </c>
      <c r="DA37" s="2775">
        <f>SUM('ПОЛНАЯ СЕБЕСТОИМОСТЬ СТОКИ 2023'!AV155)</f>
        <v>0</v>
      </c>
      <c r="DB37" s="2775">
        <f>SUM('ПОЛНАЯ СЕБЕСТОИМОСТЬ СТОКИ 2023'!AW155)</f>
        <v>0</v>
      </c>
      <c r="DC37" s="2833">
        <f t="shared" si="405"/>
        <v>7.6539999999999999</v>
      </c>
      <c r="DD37" s="2833">
        <v>7.6539999999999999</v>
      </c>
      <c r="DE37" s="2833">
        <v>0</v>
      </c>
      <c r="DF37" s="2775">
        <f t="shared" si="406"/>
        <v>0</v>
      </c>
      <c r="DG37" s="2775">
        <f t="shared" si="407"/>
        <v>0</v>
      </c>
      <c r="DH37" s="2775">
        <f t="shared" si="408"/>
        <v>0</v>
      </c>
      <c r="DI37" s="2775">
        <f t="shared" si="409"/>
        <v>0</v>
      </c>
      <c r="DJ37" s="2775">
        <f>SUM('ПОЛНАЯ СЕБЕСТОИМОСТЬ СТОКИ 2023'!AY155)</f>
        <v>0</v>
      </c>
      <c r="DK37" s="2775">
        <f>SUM('ПОЛНАЯ СЕБЕСТОИМОСТЬ СТОКИ 2023'!AZ155)</f>
        <v>0</v>
      </c>
      <c r="DL37" s="2833">
        <f t="shared" si="410"/>
        <v>7.6539999999999999</v>
      </c>
      <c r="DM37" s="2833">
        <v>7.6539999999999999</v>
      </c>
      <c r="DN37" s="2833">
        <v>0</v>
      </c>
      <c r="DO37" s="2868">
        <f t="shared" si="363"/>
        <v>0</v>
      </c>
      <c r="DP37" s="2868">
        <f t="shared" si="363"/>
        <v>0</v>
      </c>
      <c r="DQ37" s="2868">
        <f t="shared" si="363"/>
        <v>0</v>
      </c>
      <c r="DR37" s="2868">
        <f t="shared" si="363"/>
        <v>7.6539999999999999</v>
      </c>
      <c r="DS37" s="2868">
        <f t="shared" si="363"/>
        <v>7.6539999999999999</v>
      </c>
      <c r="DT37" s="2868">
        <f t="shared" si="363"/>
        <v>0</v>
      </c>
      <c r="DU37" s="2868">
        <f t="shared" si="363"/>
        <v>22.962</v>
      </c>
      <c r="DV37" s="2868">
        <f t="shared" si="363"/>
        <v>22.962</v>
      </c>
      <c r="DW37" s="2868">
        <f t="shared" si="363"/>
        <v>0</v>
      </c>
      <c r="DX37" s="2839">
        <f t="shared" si="364"/>
        <v>7.6539999999999999</v>
      </c>
      <c r="DY37" s="2839">
        <f t="shared" si="364"/>
        <v>7.6539999999999999</v>
      </c>
      <c r="DZ37" s="2839">
        <f t="shared" si="364"/>
        <v>0</v>
      </c>
      <c r="EA37" s="2868">
        <f t="shared" si="365"/>
        <v>0</v>
      </c>
      <c r="EB37" s="2868">
        <f t="shared" si="365"/>
        <v>0</v>
      </c>
      <c r="EC37" s="2868">
        <f t="shared" si="365"/>
        <v>0</v>
      </c>
      <c r="ED37" s="2868">
        <f t="shared" si="365"/>
        <v>376.53749999999997</v>
      </c>
      <c r="EE37" s="2868">
        <f t="shared" si="365"/>
        <v>376.53749999999997</v>
      </c>
      <c r="EF37" s="2868">
        <f t="shared" si="365"/>
        <v>0</v>
      </c>
      <c r="EG37" s="2868">
        <f t="shared" si="365"/>
        <v>139.23349999999999</v>
      </c>
      <c r="EH37" s="2868">
        <f t="shared" si="365"/>
        <v>139.23349999999999</v>
      </c>
      <c r="EI37" s="2868">
        <f t="shared" si="365"/>
        <v>0</v>
      </c>
      <c r="EJ37" s="2839">
        <f t="shared" si="366"/>
        <v>376.53749999999997</v>
      </c>
      <c r="EK37" s="2839">
        <f t="shared" si="366"/>
        <v>376.53749999999997</v>
      </c>
      <c r="EL37" s="2839">
        <f t="shared" si="366"/>
        <v>0</v>
      </c>
      <c r="EM37" s="2775">
        <f t="shared" si="411"/>
        <v>0</v>
      </c>
      <c r="EN37" s="2775">
        <f>SUM('ПОЛНАЯ СЕБЕСТОИМОСТЬ СТОКИ 2023'!BN155)/3</f>
        <v>0</v>
      </c>
      <c r="EO37" s="2775">
        <f>SUM('ПОЛНАЯ СЕБЕСТОИМОСТЬ СТОКИ 2023'!BO155)/3</f>
        <v>0</v>
      </c>
      <c r="EP37" s="2775">
        <f t="shared" si="412"/>
        <v>0</v>
      </c>
      <c r="EQ37" s="2775">
        <f>SUM('ПОЛНАЯ СЕБЕСТОИМОСТЬ СТОКИ 2023'!BQ155)</f>
        <v>0</v>
      </c>
      <c r="ER37" s="2775">
        <f>SUM('ПОЛНАЯ СЕБЕСТОИМОСТЬ СТОКИ 2023'!BR155)</f>
        <v>0</v>
      </c>
      <c r="ES37" s="2833">
        <f t="shared" si="413"/>
        <v>14.562000000000001</v>
      </c>
      <c r="ET37" s="2833">
        <v>14.562000000000001</v>
      </c>
      <c r="EU37" s="2833">
        <v>0</v>
      </c>
      <c r="EV37" s="2775">
        <f t="shared" si="414"/>
        <v>0</v>
      </c>
      <c r="EW37" s="2775">
        <f t="shared" si="415"/>
        <v>0</v>
      </c>
      <c r="EX37" s="2775">
        <f t="shared" si="416"/>
        <v>0</v>
      </c>
      <c r="EY37" s="2775">
        <f t="shared" si="417"/>
        <v>0</v>
      </c>
      <c r="EZ37" s="2775">
        <f>SUM('ПОЛНАЯ СЕБЕСТОИМОСТЬ СТОКИ 2023'!BT155)</f>
        <v>0</v>
      </c>
      <c r="FA37" s="2775">
        <f>SUM('ПОЛНАЯ СЕБЕСТОИМОСТЬ СТОКИ 2023'!BU155)</f>
        <v>0</v>
      </c>
      <c r="FB37" s="2833">
        <f t="shared" si="418"/>
        <v>7.6543000000000001</v>
      </c>
      <c r="FC37" s="2833">
        <v>7.6543000000000001</v>
      </c>
      <c r="FD37" s="2833">
        <v>0</v>
      </c>
      <c r="FE37" s="2775">
        <f t="shared" si="419"/>
        <v>0</v>
      </c>
      <c r="FF37" s="2775">
        <f t="shared" si="420"/>
        <v>0</v>
      </c>
      <c r="FG37" s="2775">
        <f t="shared" si="421"/>
        <v>0</v>
      </c>
      <c r="FH37" s="2775">
        <f t="shared" si="422"/>
        <v>0</v>
      </c>
      <c r="FI37" s="2775">
        <f>SUM('ПОЛНАЯ СЕБЕСТОИМОСТЬ СТОКИ 2023'!BW155)</f>
        <v>0</v>
      </c>
      <c r="FJ37" s="2775">
        <f>SUM('ПОЛНАЯ СЕБЕСТОИМОСТЬ СТОКИ 2023'!BX155)</f>
        <v>0</v>
      </c>
      <c r="FK37" s="2833">
        <f t="shared" si="423"/>
        <v>7.6539999999999999</v>
      </c>
      <c r="FL37" s="2833">
        <v>7.6539999999999999</v>
      </c>
      <c r="FM37" s="2833">
        <v>0</v>
      </c>
      <c r="FN37" s="2868">
        <f t="shared" si="367"/>
        <v>0</v>
      </c>
      <c r="FO37" s="2868">
        <f t="shared" si="367"/>
        <v>0</v>
      </c>
      <c r="FP37" s="2868">
        <f t="shared" si="367"/>
        <v>0</v>
      </c>
      <c r="FQ37" s="2868">
        <f t="shared" si="367"/>
        <v>0</v>
      </c>
      <c r="FR37" s="2868">
        <f t="shared" si="367"/>
        <v>0</v>
      </c>
      <c r="FS37" s="2868">
        <f t="shared" si="367"/>
        <v>0</v>
      </c>
      <c r="FT37" s="2868">
        <f t="shared" si="367"/>
        <v>29.8703</v>
      </c>
      <c r="FU37" s="2868">
        <f t="shared" si="367"/>
        <v>29.8703</v>
      </c>
      <c r="FV37" s="2868">
        <f t="shared" si="367"/>
        <v>0</v>
      </c>
      <c r="FW37" s="2839">
        <f t="shared" si="368"/>
        <v>0</v>
      </c>
      <c r="FX37" s="2839">
        <f t="shared" si="368"/>
        <v>0</v>
      </c>
      <c r="FY37" s="2839">
        <f t="shared" si="368"/>
        <v>0</v>
      </c>
      <c r="FZ37" s="2863">
        <f t="shared" si="369"/>
        <v>0</v>
      </c>
      <c r="GA37" s="2863">
        <f t="shared" si="369"/>
        <v>0</v>
      </c>
      <c r="GB37" s="2863">
        <f t="shared" si="369"/>
        <v>0</v>
      </c>
      <c r="GC37" s="2868">
        <f t="shared" si="369"/>
        <v>376.53749999999997</v>
      </c>
      <c r="GD37" s="2868">
        <f t="shared" si="369"/>
        <v>376.53749999999997</v>
      </c>
      <c r="GE37" s="2868">
        <f t="shared" si="369"/>
        <v>0</v>
      </c>
      <c r="GF37" s="2868">
        <f t="shared" si="369"/>
        <v>169.10379999999998</v>
      </c>
      <c r="GG37" s="2868">
        <f t="shared" si="369"/>
        <v>169.10379999999998</v>
      </c>
      <c r="GH37" s="2868">
        <f t="shared" si="369"/>
        <v>0</v>
      </c>
      <c r="GI37" s="2839">
        <f t="shared" si="370"/>
        <v>376.53749999999997</v>
      </c>
      <c r="GJ37" s="2839">
        <f t="shared" si="370"/>
        <v>376.53749999999997</v>
      </c>
      <c r="GK37" s="2839">
        <f t="shared" si="370"/>
        <v>0</v>
      </c>
      <c r="GM37" s="3576">
        <f t="shared" si="371"/>
        <v>0</v>
      </c>
    </row>
    <row r="38" spans="1:195" ht="18.75" customHeight="1" x14ac:dyDescent="0.3">
      <c r="A38" s="2800" t="s">
        <v>8</v>
      </c>
      <c r="B38" s="2775">
        <f t="shared" si="372"/>
        <v>120.47371232894726</v>
      </c>
      <c r="C38" s="2775">
        <f>SUM('ПОЛНАЯ СЕБЕСТОИМОСТЬ СТОКИ 2023'!C156)/3</f>
        <v>120.47371232894726</v>
      </c>
      <c r="D38" s="2775">
        <f>SUM('ПОЛНАЯ СЕБЕСТОИМОСТЬ СТОКИ 2023'!D156)/3</f>
        <v>0</v>
      </c>
      <c r="E38" s="2775">
        <f t="shared" si="373"/>
        <v>74.254999999999995</v>
      </c>
      <c r="F38" s="2775">
        <f>SUM('ПОЛНАЯ СЕБЕСТОИМОСТЬ СТОКИ 2023'!F156)</f>
        <v>74.254999999999995</v>
      </c>
      <c r="G38" s="2775">
        <f>SUM('ПОЛНАЯ СЕБЕСТОИМОСТЬ СТОКИ 2023'!G156)</f>
        <v>0</v>
      </c>
      <c r="H38" s="2833">
        <f t="shared" si="374"/>
        <v>64.052999999999997</v>
      </c>
      <c r="I38" s="2833">
        <v>64.052999999999997</v>
      </c>
      <c r="J38" s="2833">
        <v>0</v>
      </c>
      <c r="K38" s="2775">
        <f t="shared" si="375"/>
        <v>120.47371232894726</v>
      </c>
      <c r="L38" s="2775">
        <f t="shared" si="376"/>
        <v>120.47371232894726</v>
      </c>
      <c r="M38" s="2775">
        <f t="shared" si="377"/>
        <v>0</v>
      </c>
      <c r="N38" s="2775">
        <f t="shared" si="378"/>
        <v>53.947000000000003</v>
      </c>
      <c r="O38" s="2775">
        <f>SUM('ПОЛНАЯ СЕБЕСТОИМОСТЬ СТОКИ 2023'!I156)</f>
        <v>53.947000000000003</v>
      </c>
      <c r="P38" s="2775">
        <f>SUM('ПОЛНАЯ СЕБЕСТОИМОСТЬ СТОКИ 2023'!J156)</f>
        <v>0</v>
      </c>
      <c r="Q38" s="2833">
        <f t="shared" si="379"/>
        <v>43.841999999999999</v>
      </c>
      <c r="R38" s="2833">
        <v>43.841999999999999</v>
      </c>
      <c r="S38" s="2833">
        <v>0</v>
      </c>
      <c r="T38" s="2775">
        <f t="shared" si="380"/>
        <v>120.47371232894726</v>
      </c>
      <c r="U38" s="2775">
        <f t="shared" si="381"/>
        <v>120.47371232894726</v>
      </c>
      <c r="V38" s="2775">
        <f t="shared" si="382"/>
        <v>0</v>
      </c>
      <c r="W38" s="2775">
        <f t="shared" si="383"/>
        <v>33.078000000000003</v>
      </c>
      <c r="X38" s="2775">
        <f>SUM('ПОЛНАЯ СЕБЕСТОИМОСТЬ СТОКИ 2023'!L156)</f>
        <v>33.078000000000003</v>
      </c>
      <c r="Y38" s="2775">
        <f>SUM('ПОЛНАЯ СЕБЕСТОИМОСТЬ СТОКИ 2023'!M156)</f>
        <v>0</v>
      </c>
      <c r="Z38" s="2833">
        <f t="shared" si="384"/>
        <v>59.622999999999998</v>
      </c>
      <c r="AA38" s="2833">
        <v>59.622999999999998</v>
      </c>
      <c r="AB38" s="2833">
        <v>0</v>
      </c>
      <c r="AC38" s="2868">
        <f t="shared" si="357"/>
        <v>361.42113698684176</v>
      </c>
      <c r="AD38" s="2868">
        <f t="shared" si="357"/>
        <v>361.42113698684176</v>
      </c>
      <c r="AE38" s="2868">
        <f t="shared" si="357"/>
        <v>0</v>
      </c>
      <c r="AF38" s="2868">
        <f t="shared" si="357"/>
        <v>161.28</v>
      </c>
      <c r="AG38" s="2868">
        <f t="shared" si="357"/>
        <v>161.28</v>
      </c>
      <c r="AH38" s="2868">
        <f t="shared" si="357"/>
        <v>0</v>
      </c>
      <c r="AI38" s="2868">
        <f t="shared" si="357"/>
        <v>167.518</v>
      </c>
      <c r="AJ38" s="2868">
        <f t="shared" si="357"/>
        <v>167.518</v>
      </c>
      <c r="AK38" s="2868">
        <f t="shared" si="357"/>
        <v>0</v>
      </c>
      <c r="AL38" s="2839">
        <f t="shared" si="358"/>
        <v>-200.14113698684176</v>
      </c>
      <c r="AM38" s="2839">
        <f t="shared" si="358"/>
        <v>-200.14113698684176</v>
      </c>
      <c r="AN38" s="2839">
        <f t="shared" si="358"/>
        <v>0</v>
      </c>
      <c r="AO38" s="2775">
        <f t="shared" si="385"/>
        <v>120.47371232894726</v>
      </c>
      <c r="AP38" s="2775">
        <f>SUM('ПОЛНАЯ СЕБЕСТОИМОСТЬ СТОКИ 2023'!R156)/3</f>
        <v>120.47371232894726</v>
      </c>
      <c r="AQ38" s="2775">
        <f>SUM('ПОЛНАЯ СЕБЕСТОИМОСТЬ СТОКИ 2023'!S156)/3</f>
        <v>0</v>
      </c>
      <c r="AR38" s="2775">
        <f t="shared" si="386"/>
        <v>49.168999999999997</v>
      </c>
      <c r="AS38" s="2775">
        <f>SUM('ПОЛНАЯ СЕБЕСТОИМОСТЬ СТОКИ 2023'!U156)</f>
        <v>49.168999999999997</v>
      </c>
      <c r="AT38" s="2775">
        <f>SUM('ПОЛНАЯ СЕБЕСТОИМОСТЬ СТОКИ 2023'!V156)</f>
        <v>0</v>
      </c>
      <c r="AU38" s="2833">
        <f t="shared" si="387"/>
        <v>56.423000000000002</v>
      </c>
      <c r="AV38" s="2833">
        <v>56.423000000000002</v>
      </c>
      <c r="AW38" s="2833">
        <v>0</v>
      </c>
      <c r="AX38" s="2775">
        <f t="shared" si="388"/>
        <v>120.47371232894726</v>
      </c>
      <c r="AY38" s="2775">
        <f t="shared" si="389"/>
        <v>120.47371232894726</v>
      </c>
      <c r="AZ38" s="2775">
        <f t="shared" si="390"/>
        <v>0</v>
      </c>
      <c r="BA38" s="2832">
        <f t="shared" si="391"/>
        <v>60.244</v>
      </c>
      <c r="BB38" s="2832">
        <f>SUM('ПОЛНАЯ СЕБЕСТОИМОСТЬ СТОКИ 2023'!X156)</f>
        <v>60.244</v>
      </c>
      <c r="BC38" s="2832">
        <f>SUM('ПОЛНАЯ СЕБЕСТОИМОСТЬ СТОКИ 2023'!Y156)</f>
        <v>0</v>
      </c>
      <c r="BD38" s="2833">
        <f t="shared" si="392"/>
        <v>45.027000000000001</v>
      </c>
      <c r="BE38" s="2833">
        <v>45.027000000000001</v>
      </c>
      <c r="BF38" s="2833">
        <v>0</v>
      </c>
      <c r="BG38" s="2775">
        <f t="shared" si="393"/>
        <v>120.47371232894726</v>
      </c>
      <c r="BH38" s="2775">
        <f t="shared" si="394"/>
        <v>120.47371232894726</v>
      </c>
      <c r="BI38" s="2775">
        <f t="shared" si="395"/>
        <v>0</v>
      </c>
      <c r="BJ38" s="2775">
        <f t="shared" si="396"/>
        <v>51.582999999999998</v>
      </c>
      <c r="BK38" s="2775">
        <f>SUM('ПОЛНАЯ СЕБЕСТОИМОСТЬ СТОКИ 2023'!AA156)</f>
        <v>51.582999999999998</v>
      </c>
      <c r="BL38" s="2775">
        <f>SUM('ПОЛНАЯ СЕБЕСТОИМОСТЬ СТОКИ 2023'!AB156)</f>
        <v>0</v>
      </c>
      <c r="BM38" s="2833">
        <f t="shared" si="397"/>
        <v>59.32</v>
      </c>
      <c r="BN38" s="2833">
        <v>59.32</v>
      </c>
      <c r="BO38" s="2833">
        <v>0</v>
      </c>
      <c r="BP38" s="2868">
        <f t="shared" si="359"/>
        <v>361.42113698684176</v>
      </c>
      <c r="BQ38" s="2868">
        <f t="shared" si="359"/>
        <v>361.42113698684176</v>
      </c>
      <c r="BR38" s="2868">
        <f t="shared" si="359"/>
        <v>0</v>
      </c>
      <c r="BS38" s="2868">
        <f t="shared" si="359"/>
        <v>160.99599999999998</v>
      </c>
      <c r="BT38" s="2868">
        <f t="shared" si="359"/>
        <v>160.99599999999998</v>
      </c>
      <c r="BU38" s="2868">
        <f t="shared" si="359"/>
        <v>0</v>
      </c>
      <c r="BV38" s="2868">
        <f t="shared" si="359"/>
        <v>160.77000000000001</v>
      </c>
      <c r="BW38" s="2868">
        <f t="shared" si="359"/>
        <v>160.77000000000001</v>
      </c>
      <c r="BX38" s="2868">
        <f t="shared" si="359"/>
        <v>0</v>
      </c>
      <c r="BY38" s="2839">
        <f t="shared" si="360"/>
        <v>-200.42513698684178</v>
      </c>
      <c r="BZ38" s="2839">
        <f t="shared" si="360"/>
        <v>-200.42513698684178</v>
      </c>
      <c r="CA38" s="2839">
        <f t="shared" si="360"/>
        <v>0</v>
      </c>
      <c r="CB38" s="2868">
        <f t="shared" si="361"/>
        <v>722.84227397368352</v>
      </c>
      <c r="CC38" s="2868">
        <f t="shared" si="361"/>
        <v>722.84227397368352</v>
      </c>
      <c r="CD38" s="2868">
        <f t="shared" si="361"/>
        <v>0</v>
      </c>
      <c r="CE38" s="2868">
        <f t="shared" si="361"/>
        <v>322.27599999999995</v>
      </c>
      <c r="CF38" s="2868">
        <f t="shared" si="361"/>
        <v>322.27599999999995</v>
      </c>
      <c r="CG38" s="2868">
        <f t="shared" si="361"/>
        <v>0</v>
      </c>
      <c r="CH38" s="2883">
        <f t="shared" si="361"/>
        <v>328.28800000000001</v>
      </c>
      <c r="CI38" s="2883">
        <f t="shared" si="361"/>
        <v>328.28800000000001</v>
      </c>
      <c r="CJ38" s="2883">
        <f t="shared" si="361"/>
        <v>0</v>
      </c>
      <c r="CK38" s="2839">
        <f t="shared" si="362"/>
        <v>-400.56627397368356</v>
      </c>
      <c r="CL38" s="2839">
        <f t="shared" si="362"/>
        <v>-400.56627397368356</v>
      </c>
      <c r="CM38" s="2839">
        <f t="shared" si="362"/>
        <v>0</v>
      </c>
      <c r="CN38" s="2775">
        <f t="shared" si="398"/>
        <v>120.47371232894726</v>
      </c>
      <c r="CO38" s="2775">
        <f>SUM('ПОЛНАЯ СЕБЕСТОИМОСТЬ СТОКИ 2023'!AP156)/3</f>
        <v>120.47371232894726</v>
      </c>
      <c r="CP38" s="2775">
        <f>SUM('ПОЛНАЯ СЕБЕСТОИМОСТЬ СТОКИ 2023'!AQ156)/3</f>
        <v>0</v>
      </c>
      <c r="CQ38" s="2775">
        <f t="shared" si="399"/>
        <v>47.826000000000001</v>
      </c>
      <c r="CR38" s="2775">
        <f>SUM('ПОЛНАЯ СЕБЕСТОИМОСТЬ СТОКИ 2023'!AS156)</f>
        <v>47.826000000000001</v>
      </c>
      <c r="CS38" s="2775">
        <f>SUM('ПОЛНАЯ СЕБЕСТОИМОСТЬ СТОКИ 2023'!AT156)</f>
        <v>0</v>
      </c>
      <c r="CT38" s="2833">
        <f t="shared" si="400"/>
        <v>65.495000000000005</v>
      </c>
      <c r="CU38" s="2833">
        <v>65.495000000000005</v>
      </c>
      <c r="CV38" s="2833">
        <v>0</v>
      </c>
      <c r="CW38" s="2775">
        <f t="shared" si="401"/>
        <v>120.47371232894726</v>
      </c>
      <c r="CX38" s="2775">
        <f t="shared" si="402"/>
        <v>120.47371232894726</v>
      </c>
      <c r="CY38" s="2775">
        <f t="shared" si="403"/>
        <v>0</v>
      </c>
      <c r="CZ38" s="2775">
        <f t="shared" si="404"/>
        <v>0</v>
      </c>
      <c r="DA38" s="2775">
        <f>SUM('ПОЛНАЯ СЕБЕСТОИМОСТЬ СТОКИ 2023'!AV156)</f>
        <v>0</v>
      </c>
      <c r="DB38" s="2775">
        <f>SUM('ПОЛНАЯ СЕБЕСТОИМОСТЬ СТОКИ 2023'!AW156)</f>
        <v>0</v>
      </c>
      <c r="DC38" s="2833">
        <f t="shared" si="405"/>
        <v>41.593000000000004</v>
      </c>
      <c r="DD38" s="2833">
        <v>41.593000000000004</v>
      </c>
      <c r="DE38" s="2833">
        <v>0</v>
      </c>
      <c r="DF38" s="2775">
        <f t="shared" si="406"/>
        <v>120.47371232894726</v>
      </c>
      <c r="DG38" s="2775">
        <f t="shared" si="407"/>
        <v>120.47371232894726</v>
      </c>
      <c r="DH38" s="2775">
        <f t="shared" si="408"/>
        <v>0</v>
      </c>
      <c r="DI38" s="2775">
        <f t="shared" si="409"/>
        <v>0</v>
      </c>
      <c r="DJ38" s="2775">
        <f>SUM('ПОЛНАЯ СЕБЕСТОИМОСТЬ СТОКИ 2023'!AY156)</f>
        <v>0</v>
      </c>
      <c r="DK38" s="2775">
        <f>SUM('ПОЛНАЯ СЕБЕСТОИМОСТЬ СТОКИ 2023'!AZ156)</f>
        <v>0</v>
      </c>
      <c r="DL38" s="2833">
        <f t="shared" si="410"/>
        <v>0.20300000000000001</v>
      </c>
      <c r="DM38" s="2833">
        <v>0.20300000000000001</v>
      </c>
      <c r="DN38" s="2833">
        <v>0</v>
      </c>
      <c r="DO38" s="2868">
        <f t="shared" si="363"/>
        <v>361.42113698684176</v>
      </c>
      <c r="DP38" s="2868">
        <f t="shared" si="363"/>
        <v>361.42113698684176</v>
      </c>
      <c r="DQ38" s="2868">
        <f t="shared" si="363"/>
        <v>0</v>
      </c>
      <c r="DR38" s="2868">
        <f t="shared" si="363"/>
        <v>47.826000000000001</v>
      </c>
      <c r="DS38" s="2868">
        <f t="shared" si="363"/>
        <v>47.826000000000001</v>
      </c>
      <c r="DT38" s="2868">
        <f t="shared" si="363"/>
        <v>0</v>
      </c>
      <c r="DU38" s="2868">
        <f t="shared" si="363"/>
        <v>107.29100000000001</v>
      </c>
      <c r="DV38" s="2868">
        <f t="shared" si="363"/>
        <v>107.29100000000001</v>
      </c>
      <c r="DW38" s="2868">
        <f t="shared" si="363"/>
        <v>0</v>
      </c>
      <c r="DX38" s="2839">
        <f t="shared" si="364"/>
        <v>-313.59513698684174</v>
      </c>
      <c r="DY38" s="2839">
        <f t="shared" si="364"/>
        <v>-313.59513698684174</v>
      </c>
      <c r="DZ38" s="2839">
        <f t="shared" si="364"/>
        <v>0</v>
      </c>
      <c r="EA38" s="2868">
        <f t="shared" si="365"/>
        <v>1084.2634109605253</v>
      </c>
      <c r="EB38" s="2868">
        <f t="shared" si="365"/>
        <v>1084.2634109605253</v>
      </c>
      <c r="EC38" s="2868">
        <f t="shared" si="365"/>
        <v>0</v>
      </c>
      <c r="ED38" s="2868">
        <f t="shared" si="365"/>
        <v>370.10199999999998</v>
      </c>
      <c r="EE38" s="2868">
        <f t="shared" si="365"/>
        <v>370.10199999999998</v>
      </c>
      <c r="EF38" s="2868">
        <f t="shared" si="365"/>
        <v>0</v>
      </c>
      <c r="EG38" s="2868">
        <f t="shared" si="365"/>
        <v>435.57900000000001</v>
      </c>
      <c r="EH38" s="2868">
        <f t="shared" si="365"/>
        <v>435.57900000000001</v>
      </c>
      <c r="EI38" s="2868">
        <f t="shared" si="365"/>
        <v>0</v>
      </c>
      <c r="EJ38" s="2839">
        <f t="shared" si="366"/>
        <v>-714.16141096052536</v>
      </c>
      <c r="EK38" s="2839">
        <f t="shared" si="366"/>
        <v>-714.16141096052536</v>
      </c>
      <c r="EL38" s="2839">
        <f t="shared" si="366"/>
        <v>0</v>
      </c>
      <c r="EM38" s="2775">
        <f t="shared" si="411"/>
        <v>120.47371232894726</v>
      </c>
      <c r="EN38" s="2775">
        <f>SUM('ПОЛНАЯ СЕБЕСТОИМОСТЬ СТОКИ 2023'!BN156)/3</f>
        <v>120.47371232894726</v>
      </c>
      <c r="EO38" s="2775">
        <f>SUM('ПОЛНАЯ СЕБЕСТОИМОСТЬ СТОКИ 2023'!BO156)/3</f>
        <v>0</v>
      </c>
      <c r="EP38" s="2775">
        <f t="shared" si="412"/>
        <v>0</v>
      </c>
      <c r="EQ38" s="2775">
        <f>SUM('ПОЛНАЯ СЕБЕСТОИМОСТЬ СТОКИ 2023'!BQ156)</f>
        <v>0</v>
      </c>
      <c r="ER38" s="2775">
        <f>SUM('ПОЛНАЯ СЕБЕСТОИМОСТЬ СТОКИ 2023'!BR156)</f>
        <v>0</v>
      </c>
      <c r="ES38" s="2833">
        <f t="shared" si="413"/>
        <v>139.649</v>
      </c>
      <c r="ET38" s="2833">
        <v>139.649</v>
      </c>
      <c r="EU38" s="2833">
        <v>0</v>
      </c>
      <c r="EV38" s="2775">
        <f t="shared" si="414"/>
        <v>120.47371232894726</v>
      </c>
      <c r="EW38" s="2775">
        <f t="shared" si="415"/>
        <v>120.47371232894726</v>
      </c>
      <c r="EX38" s="2775">
        <f t="shared" si="416"/>
        <v>0</v>
      </c>
      <c r="EY38" s="2775">
        <f t="shared" si="417"/>
        <v>0</v>
      </c>
      <c r="EZ38" s="2775">
        <f>SUM('ПОЛНАЯ СЕБЕСТОИМОСТЬ СТОКИ 2023'!BT156)</f>
        <v>0</v>
      </c>
      <c r="FA38" s="2775">
        <f>SUM('ПОЛНАЯ СЕБЕСТОИМОСТЬ СТОКИ 2023'!BU156)</f>
        <v>0</v>
      </c>
      <c r="FB38" s="2833">
        <f t="shared" si="418"/>
        <v>45.371339999999996</v>
      </c>
      <c r="FC38" s="2833">
        <v>45.371339999999996</v>
      </c>
      <c r="FD38" s="2833">
        <v>0</v>
      </c>
      <c r="FE38" s="2775">
        <f t="shared" si="419"/>
        <v>120.47371232894726</v>
      </c>
      <c r="FF38" s="2775">
        <f t="shared" si="420"/>
        <v>120.47371232894726</v>
      </c>
      <c r="FG38" s="2775">
        <f t="shared" si="421"/>
        <v>0</v>
      </c>
      <c r="FH38" s="2775">
        <f t="shared" si="422"/>
        <v>0</v>
      </c>
      <c r="FI38" s="2775">
        <f>SUM('ПОЛНАЯ СЕБЕСТОИМОСТЬ СТОКИ 2023'!BW156)</f>
        <v>0</v>
      </c>
      <c r="FJ38" s="2775">
        <f>SUM('ПОЛНАЯ СЕБЕСТОИМОСТЬ СТОКИ 2023'!BX156)</f>
        <v>0</v>
      </c>
      <c r="FK38" s="2833">
        <f t="shared" si="423"/>
        <v>45.499000000000002</v>
      </c>
      <c r="FL38" s="2833">
        <v>45.499000000000002</v>
      </c>
      <c r="FM38" s="2833">
        <v>0</v>
      </c>
      <c r="FN38" s="2868">
        <f t="shared" si="367"/>
        <v>361.42113698684176</v>
      </c>
      <c r="FO38" s="2868">
        <f t="shared" si="367"/>
        <v>361.42113698684176</v>
      </c>
      <c r="FP38" s="2868">
        <f t="shared" si="367"/>
        <v>0</v>
      </c>
      <c r="FQ38" s="2868">
        <f t="shared" si="367"/>
        <v>0</v>
      </c>
      <c r="FR38" s="2868">
        <f t="shared" si="367"/>
        <v>0</v>
      </c>
      <c r="FS38" s="2868">
        <f t="shared" si="367"/>
        <v>0</v>
      </c>
      <c r="FT38" s="2868">
        <f t="shared" si="367"/>
        <v>230.51934</v>
      </c>
      <c r="FU38" s="2868">
        <f t="shared" si="367"/>
        <v>230.51934</v>
      </c>
      <c r="FV38" s="2868">
        <f t="shared" si="367"/>
        <v>0</v>
      </c>
      <c r="FW38" s="2839">
        <f t="shared" si="368"/>
        <v>-361.42113698684176</v>
      </c>
      <c r="FX38" s="2839">
        <f t="shared" si="368"/>
        <v>-361.42113698684176</v>
      </c>
      <c r="FY38" s="2839">
        <f t="shared" si="368"/>
        <v>0</v>
      </c>
      <c r="FZ38" s="2863">
        <f t="shared" si="369"/>
        <v>1445.684547947367</v>
      </c>
      <c r="GA38" s="2863">
        <f t="shared" si="369"/>
        <v>1445.684547947367</v>
      </c>
      <c r="GB38" s="2863">
        <f t="shared" si="369"/>
        <v>0</v>
      </c>
      <c r="GC38" s="2868">
        <f t="shared" si="369"/>
        <v>370.10199999999998</v>
      </c>
      <c r="GD38" s="2868">
        <f t="shared" si="369"/>
        <v>370.10199999999998</v>
      </c>
      <c r="GE38" s="2868">
        <f t="shared" si="369"/>
        <v>0</v>
      </c>
      <c r="GF38" s="2868">
        <f t="shared" si="369"/>
        <v>666.09834000000001</v>
      </c>
      <c r="GG38" s="2868">
        <f t="shared" si="369"/>
        <v>666.09834000000001</v>
      </c>
      <c r="GH38" s="2868">
        <f t="shared" si="369"/>
        <v>0</v>
      </c>
      <c r="GI38" s="2839">
        <f t="shared" si="370"/>
        <v>-1075.5825479473669</v>
      </c>
      <c r="GJ38" s="2839">
        <f t="shared" si="370"/>
        <v>-1075.5825479473669</v>
      </c>
      <c r="GK38" s="2839">
        <f t="shared" si="370"/>
        <v>0</v>
      </c>
      <c r="GM38" s="3576">
        <f t="shared" si="371"/>
        <v>1445.6845479473668</v>
      </c>
    </row>
    <row r="39" spans="1:195" ht="18.75" customHeight="1" x14ac:dyDescent="0.3">
      <c r="A39" s="2800" t="s">
        <v>3</v>
      </c>
      <c r="B39" s="2775">
        <f t="shared" si="372"/>
        <v>189.78776720530755</v>
      </c>
      <c r="C39" s="2775">
        <f>SUM('ПОЛНАЯ СЕБЕСТОИМОСТЬ СТОКИ 2023'!C157)/3</f>
        <v>189.78776720530755</v>
      </c>
      <c r="D39" s="2775">
        <f>SUM('ПОЛНАЯ СЕБЕСТОИМОСТЬ СТОКИ 2023'!D157)/3</f>
        <v>0</v>
      </c>
      <c r="E39" s="2775">
        <f t="shared" si="373"/>
        <v>103.849</v>
      </c>
      <c r="F39" s="2775">
        <f>SUM('ПОЛНАЯ СЕБЕСТОИМОСТЬ СТОКИ 2023'!F157)</f>
        <v>103.849</v>
      </c>
      <c r="G39" s="2775">
        <f>SUM('ПОЛНАЯ СЕБЕСТОИМОСТЬ СТОКИ 2023'!G157)</f>
        <v>0</v>
      </c>
      <c r="H39" s="2833">
        <f t="shared" si="374"/>
        <v>147.32602</v>
      </c>
      <c r="I39" s="2833">
        <v>147.32602</v>
      </c>
      <c r="J39" s="2833">
        <v>0</v>
      </c>
      <c r="K39" s="2775">
        <f t="shared" si="375"/>
        <v>189.78776720530755</v>
      </c>
      <c r="L39" s="2775">
        <f t="shared" si="376"/>
        <v>189.78776720530755</v>
      </c>
      <c r="M39" s="2775">
        <f t="shared" si="377"/>
        <v>0</v>
      </c>
      <c r="N39" s="2775">
        <f t="shared" si="378"/>
        <v>271.54599999999999</v>
      </c>
      <c r="O39" s="2775">
        <f>SUM('ПОЛНАЯ СЕБЕСТОИМОСТЬ СТОКИ 2023'!I157)</f>
        <v>271.54599999999999</v>
      </c>
      <c r="P39" s="2775">
        <f>SUM('ПОЛНАЯ СЕБЕСТОИМОСТЬ СТОКИ 2023'!J157)</f>
        <v>0</v>
      </c>
      <c r="Q39" s="2833">
        <f t="shared" si="379"/>
        <v>98.26700000000001</v>
      </c>
      <c r="R39" s="2833">
        <v>98.26700000000001</v>
      </c>
      <c r="S39" s="2833">
        <v>0</v>
      </c>
      <c r="T39" s="2775">
        <f t="shared" si="380"/>
        <v>189.78776720530755</v>
      </c>
      <c r="U39" s="2775">
        <f t="shared" si="381"/>
        <v>189.78776720530755</v>
      </c>
      <c r="V39" s="2775">
        <f t="shared" si="382"/>
        <v>0</v>
      </c>
      <c r="W39" s="2775">
        <f t="shared" si="383"/>
        <v>536.36699999999996</v>
      </c>
      <c r="X39" s="2775">
        <f>SUM('ПОЛНАЯ СЕБЕСТОИМОСТЬ СТОКИ 2023'!L157)</f>
        <v>536.36699999999996</v>
      </c>
      <c r="Y39" s="2775">
        <f>SUM('ПОЛНАЯ СЕБЕСТОИМОСТЬ СТОКИ 2023'!M157)</f>
        <v>0</v>
      </c>
      <c r="Z39" s="2833">
        <f t="shared" si="384"/>
        <v>1009.987</v>
      </c>
      <c r="AA39" s="2833">
        <v>1009.987</v>
      </c>
      <c r="AB39" s="2833">
        <v>0</v>
      </c>
      <c r="AC39" s="2868">
        <f t="shared" si="357"/>
        <v>569.36330161592264</v>
      </c>
      <c r="AD39" s="2868">
        <f t="shared" si="357"/>
        <v>569.36330161592264</v>
      </c>
      <c r="AE39" s="2868">
        <f t="shared" si="357"/>
        <v>0</v>
      </c>
      <c r="AF39" s="2868">
        <f t="shared" si="357"/>
        <v>911.76199999999994</v>
      </c>
      <c r="AG39" s="2868">
        <f t="shared" si="357"/>
        <v>911.76199999999994</v>
      </c>
      <c r="AH39" s="2868">
        <f t="shared" si="357"/>
        <v>0</v>
      </c>
      <c r="AI39" s="2868">
        <f t="shared" si="357"/>
        <v>1255.5800199999999</v>
      </c>
      <c r="AJ39" s="2868">
        <f t="shared" si="357"/>
        <v>1255.5800199999999</v>
      </c>
      <c r="AK39" s="2868">
        <f t="shared" si="357"/>
        <v>0</v>
      </c>
      <c r="AL39" s="2839">
        <f t="shared" si="358"/>
        <v>342.39869838407731</v>
      </c>
      <c r="AM39" s="2839">
        <f t="shared" si="358"/>
        <v>342.39869838407731</v>
      </c>
      <c r="AN39" s="2839">
        <f t="shared" si="358"/>
        <v>0</v>
      </c>
      <c r="AO39" s="2775">
        <f t="shared" si="385"/>
        <v>189.78776720530755</v>
      </c>
      <c r="AP39" s="2775">
        <f>SUM('ПОЛНАЯ СЕБЕСТОИМОСТЬ СТОКИ 2023'!R157)/3</f>
        <v>189.78776720530755</v>
      </c>
      <c r="AQ39" s="2775">
        <f>SUM('ПОЛНАЯ СЕБЕСТОИМОСТЬ СТОКИ 2023'!S157)/3</f>
        <v>0</v>
      </c>
      <c r="AR39" s="2775">
        <f t="shared" si="386"/>
        <v>1216.585</v>
      </c>
      <c r="AS39" s="2775">
        <f>SUM('ПОЛНАЯ СЕБЕСТОИМОСТЬ СТОКИ 2023'!U157)</f>
        <v>1216.585</v>
      </c>
      <c r="AT39" s="2775">
        <f>SUM('ПОЛНАЯ СЕБЕСТОИМОСТЬ СТОКИ 2023'!V157)</f>
        <v>0</v>
      </c>
      <c r="AU39" s="2833">
        <f t="shared" si="387"/>
        <v>302.733</v>
      </c>
      <c r="AV39" s="2833">
        <v>302.733</v>
      </c>
      <c r="AW39" s="2833">
        <v>0</v>
      </c>
      <c r="AX39" s="2775">
        <f t="shared" si="388"/>
        <v>189.78776720530755</v>
      </c>
      <c r="AY39" s="2775">
        <f t="shared" si="389"/>
        <v>189.78776720530755</v>
      </c>
      <c r="AZ39" s="2775">
        <f t="shared" si="390"/>
        <v>0</v>
      </c>
      <c r="BA39" s="2832">
        <f t="shared" si="391"/>
        <v>392.83800000000002</v>
      </c>
      <c r="BB39" s="2832">
        <f>SUM('ПОЛНАЯ СЕБЕСТОИМОСТЬ СТОКИ 2023'!X157)</f>
        <v>392.83800000000002</v>
      </c>
      <c r="BC39" s="2832">
        <f>SUM('ПОЛНАЯ СЕБЕСТОИМОСТЬ СТОКИ 2023'!Y157)</f>
        <v>0</v>
      </c>
      <c r="BD39" s="2833">
        <f t="shared" si="392"/>
        <v>621.46199999999999</v>
      </c>
      <c r="BE39" s="2833">
        <v>621.46199999999999</v>
      </c>
      <c r="BF39" s="2833">
        <v>0</v>
      </c>
      <c r="BG39" s="2775">
        <f t="shared" si="393"/>
        <v>189.78776720530755</v>
      </c>
      <c r="BH39" s="2775">
        <f t="shared" si="394"/>
        <v>189.78776720530755</v>
      </c>
      <c r="BI39" s="2775">
        <f t="shared" si="395"/>
        <v>0</v>
      </c>
      <c r="BJ39" s="2775">
        <f t="shared" si="396"/>
        <v>821.23</v>
      </c>
      <c r="BK39" s="2775">
        <f>SUM('ПОЛНАЯ СЕБЕСТОИМОСТЬ СТОКИ 2023'!AA157)</f>
        <v>821.23</v>
      </c>
      <c r="BL39" s="2775">
        <f>SUM('ПОЛНАЯ СЕБЕСТОИМОСТЬ СТОКИ 2023'!AB157)</f>
        <v>0</v>
      </c>
      <c r="BM39" s="2833">
        <f t="shared" si="397"/>
        <v>231.62</v>
      </c>
      <c r="BN39" s="2833">
        <v>231.62</v>
      </c>
      <c r="BO39" s="2833">
        <v>0</v>
      </c>
      <c r="BP39" s="2868">
        <f t="shared" si="359"/>
        <v>569.36330161592264</v>
      </c>
      <c r="BQ39" s="2868">
        <f t="shared" si="359"/>
        <v>569.36330161592264</v>
      </c>
      <c r="BR39" s="2868">
        <f t="shared" si="359"/>
        <v>0</v>
      </c>
      <c r="BS39" s="2868">
        <f t="shared" si="359"/>
        <v>2430.6530000000002</v>
      </c>
      <c r="BT39" s="2868">
        <f t="shared" si="359"/>
        <v>2430.6530000000002</v>
      </c>
      <c r="BU39" s="2868">
        <f t="shared" si="359"/>
        <v>0</v>
      </c>
      <c r="BV39" s="2868">
        <f t="shared" si="359"/>
        <v>1155.8150000000001</v>
      </c>
      <c r="BW39" s="2868">
        <f t="shared" si="359"/>
        <v>1155.8150000000001</v>
      </c>
      <c r="BX39" s="2868">
        <f t="shared" si="359"/>
        <v>0</v>
      </c>
      <c r="BY39" s="2839">
        <f t="shared" si="360"/>
        <v>1861.2896983840776</v>
      </c>
      <c r="BZ39" s="2839">
        <f t="shared" si="360"/>
        <v>1861.2896983840776</v>
      </c>
      <c r="CA39" s="2839">
        <f t="shared" si="360"/>
        <v>0</v>
      </c>
      <c r="CB39" s="2868">
        <f t="shared" si="361"/>
        <v>1138.7266032318453</v>
      </c>
      <c r="CC39" s="2868">
        <f t="shared" si="361"/>
        <v>1138.7266032318453</v>
      </c>
      <c r="CD39" s="2868">
        <f t="shared" si="361"/>
        <v>0</v>
      </c>
      <c r="CE39" s="2868">
        <f t="shared" si="361"/>
        <v>3342.415</v>
      </c>
      <c r="CF39" s="2868">
        <f t="shared" si="361"/>
        <v>3342.415</v>
      </c>
      <c r="CG39" s="2868">
        <f t="shared" si="361"/>
        <v>0</v>
      </c>
      <c r="CH39" s="2883">
        <f t="shared" si="361"/>
        <v>2411.3950199999999</v>
      </c>
      <c r="CI39" s="2883">
        <f t="shared" si="361"/>
        <v>2411.3950199999999</v>
      </c>
      <c r="CJ39" s="2883">
        <f t="shared" si="361"/>
        <v>0</v>
      </c>
      <c r="CK39" s="2839">
        <f t="shared" si="362"/>
        <v>2203.6883967681547</v>
      </c>
      <c r="CL39" s="2839">
        <f t="shared" si="362"/>
        <v>2203.6883967681547</v>
      </c>
      <c r="CM39" s="2839">
        <f t="shared" si="362"/>
        <v>0</v>
      </c>
      <c r="CN39" s="2775">
        <f t="shared" si="398"/>
        <v>189.78776720530755</v>
      </c>
      <c r="CO39" s="2775">
        <f>SUM('ПОЛНАЯ СЕБЕСТОИМОСТЬ СТОКИ 2023'!AP157)/3</f>
        <v>189.78776720530755</v>
      </c>
      <c r="CP39" s="2775">
        <f>SUM('ПОЛНАЯ СЕБЕСТОИМОСТЬ СТОКИ 2023'!AQ157)/3</f>
        <v>0</v>
      </c>
      <c r="CQ39" s="2775">
        <f t="shared" si="399"/>
        <v>1057.4569999999999</v>
      </c>
      <c r="CR39" s="2775">
        <f>SUM('ПОЛНАЯ СЕБЕСТОИМОСТЬ СТОКИ 2023'!AS157)</f>
        <v>1057.4569999999999</v>
      </c>
      <c r="CS39" s="2775">
        <f>SUM('ПОЛНАЯ СЕБЕСТОИМОСТЬ СТОКИ 2023'!AT157)</f>
        <v>0</v>
      </c>
      <c r="CT39" s="2833">
        <f t="shared" si="400"/>
        <v>1923.5289999999998</v>
      </c>
      <c r="CU39" s="2833">
        <v>1923.5289999999998</v>
      </c>
      <c r="CV39" s="2833">
        <v>0</v>
      </c>
      <c r="CW39" s="2775">
        <f t="shared" si="401"/>
        <v>189.78776720530755</v>
      </c>
      <c r="CX39" s="2775">
        <f t="shared" si="402"/>
        <v>189.78776720530755</v>
      </c>
      <c r="CY39" s="2775">
        <f t="shared" si="403"/>
        <v>0</v>
      </c>
      <c r="CZ39" s="2775">
        <f t="shared" si="404"/>
        <v>0</v>
      </c>
      <c r="DA39" s="2775">
        <f>SUM('ПОЛНАЯ СЕБЕСТОИМОСТЬ СТОКИ 2023'!AV157)</f>
        <v>0</v>
      </c>
      <c r="DB39" s="2775">
        <f>SUM('ПОЛНАЯ СЕБЕСТОИМОСТЬ СТОКИ 2023'!AW157)</f>
        <v>0</v>
      </c>
      <c r="DC39" s="2833">
        <f t="shared" si="405"/>
        <v>771.12200000000007</v>
      </c>
      <c r="DD39" s="2833">
        <v>771.12200000000007</v>
      </c>
      <c r="DE39" s="2833">
        <v>0</v>
      </c>
      <c r="DF39" s="2775">
        <f t="shared" si="406"/>
        <v>189.78776720530755</v>
      </c>
      <c r="DG39" s="2775">
        <f t="shared" si="407"/>
        <v>189.78776720530755</v>
      </c>
      <c r="DH39" s="2775">
        <f t="shared" si="408"/>
        <v>0</v>
      </c>
      <c r="DI39" s="2775">
        <f t="shared" si="409"/>
        <v>0</v>
      </c>
      <c r="DJ39" s="2775">
        <f>SUM('ПОЛНАЯ СЕБЕСТОИМОСТЬ СТОКИ 2023'!AY157)</f>
        <v>0</v>
      </c>
      <c r="DK39" s="2775">
        <f>SUM('ПОЛНАЯ СЕБЕСТОИМОСТЬ СТОКИ 2023'!AZ157)</f>
        <v>0</v>
      </c>
      <c r="DL39" s="2833">
        <f t="shared" si="410"/>
        <v>162.45400000000001</v>
      </c>
      <c r="DM39" s="2833">
        <v>162.45400000000001</v>
      </c>
      <c r="DN39" s="2833">
        <v>0</v>
      </c>
      <c r="DO39" s="2868">
        <f t="shared" si="363"/>
        <v>569.36330161592264</v>
      </c>
      <c r="DP39" s="2868">
        <f t="shared" si="363"/>
        <v>569.36330161592264</v>
      </c>
      <c r="DQ39" s="2868">
        <f t="shared" si="363"/>
        <v>0</v>
      </c>
      <c r="DR39" s="2868">
        <f t="shared" si="363"/>
        <v>1057.4569999999999</v>
      </c>
      <c r="DS39" s="2868">
        <f t="shared" si="363"/>
        <v>1057.4569999999999</v>
      </c>
      <c r="DT39" s="2868">
        <f t="shared" si="363"/>
        <v>0</v>
      </c>
      <c r="DU39" s="2868">
        <f t="shared" si="363"/>
        <v>2857.105</v>
      </c>
      <c r="DV39" s="2868">
        <f t="shared" si="363"/>
        <v>2857.105</v>
      </c>
      <c r="DW39" s="2868">
        <f t="shared" si="363"/>
        <v>0</v>
      </c>
      <c r="DX39" s="2839">
        <f t="shared" si="364"/>
        <v>488.09369838407724</v>
      </c>
      <c r="DY39" s="2839">
        <f t="shared" si="364"/>
        <v>488.09369838407724</v>
      </c>
      <c r="DZ39" s="2839">
        <f t="shared" si="364"/>
        <v>0</v>
      </c>
      <c r="EA39" s="2868">
        <f t="shared" si="365"/>
        <v>1708.0899048477679</v>
      </c>
      <c r="EB39" s="2868">
        <f t="shared" si="365"/>
        <v>1708.0899048477679</v>
      </c>
      <c r="EC39" s="2868">
        <f t="shared" si="365"/>
        <v>0</v>
      </c>
      <c r="ED39" s="2868">
        <f t="shared" si="365"/>
        <v>4399.8719999999994</v>
      </c>
      <c r="EE39" s="2868">
        <f t="shared" si="365"/>
        <v>4399.8719999999994</v>
      </c>
      <c r="EF39" s="2868">
        <f t="shared" si="365"/>
        <v>0</v>
      </c>
      <c r="EG39" s="2868">
        <f t="shared" si="365"/>
        <v>5268.5000199999995</v>
      </c>
      <c r="EH39" s="2868">
        <f t="shared" si="365"/>
        <v>5268.5000199999995</v>
      </c>
      <c r="EI39" s="2868">
        <f t="shared" si="365"/>
        <v>0</v>
      </c>
      <c r="EJ39" s="2839">
        <f t="shared" si="366"/>
        <v>2691.7820951522317</v>
      </c>
      <c r="EK39" s="2839">
        <f t="shared" si="366"/>
        <v>2691.7820951522317</v>
      </c>
      <c r="EL39" s="2839">
        <f t="shared" si="366"/>
        <v>0</v>
      </c>
      <c r="EM39" s="2775">
        <f t="shared" si="411"/>
        <v>189.78776720530755</v>
      </c>
      <c r="EN39" s="2775">
        <f>SUM('ПОЛНАЯ СЕБЕСТОИМОСТЬ СТОКИ 2023'!BN157)/3</f>
        <v>189.78776720530755</v>
      </c>
      <c r="EO39" s="2775">
        <f>SUM('ПОЛНАЯ СЕБЕСТОИМОСТЬ СТОКИ 2023'!BO157)/3</f>
        <v>0</v>
      </c>
      <c r="EP39" s="2775">
        <f t="shared" si="412"/>
        <v>0</v>
      </c>
      <c r="EQ39" s="2775">
        <f>SUM('ПОЛНАЯ СЕБЕСТОИМОСТЬ СТОКИ 2023'!BQ157)</f>
        <v>0</v>
      </c>
      <c r="ER39" s="2775">
        <f>SUM('ПОЛНАЯ СЕБЕСТОИМОСТЬ СТОКИ 2023'!BR157)</f>
        <v>0</v>
      </c>
      <c r="ES39" s="2833">
        <f t="shared" si="413"/>
        <v>621.19899999999996</v>
      </c>
      <c r="ET39" s="2833">
        <v>621.19899999999996</v>
      </c>
      <c r="EU39" s="2833">
        <v>0</v>
      </c>
      <c r="EV39" s="2775">
        <f t="shared" si="414"/>
        <v>189.78776720530755</v>
      </c>
      <c r="EW39" s="2775">
        <f t="shared" si="415"/>
        <v>189.78776720530755</v>
      </c>
      <c r="EX39" s="2775">
        <f t="shared" si="416"/>
        <v>0</v>
      </c>
      <c r="EY39" s="2775">
        <f t="shared" si="417"/>
        <v>0</v>
      </c>
      <c r="EZ39" s="2775">
        <f>SUM('ПОЛНАЯ СЕБЕСТОИМОСТЬ СТОКИ 2023'!BT157)</f>
        <v>0</v>
      </c>
      <c r="FA39" s="2775">
        <f>SUM('ПОЛНАЯ СЕБЕСТОИМОСТЬ СТОКИ 2023'!BU157)</f>
        <v>0</v>
      </c>
      <c r="FB39" s="2833">
        <f t="shared" si="418"/>
        <v>541.20872999999995</v>
      </c>
      <c r="FC39" s="2833">
        <v>541.20872999999995</v>
      </c>
      <c r="FD39" s="2833">
        <v>0</v>
      </c>
      <c r="FE39" s="2775">
        <f t="shared" si="419"/>
        <v>189.78776720530755</v>
      </c>
      <c r="FF39" s="2775">
        <f t="shared" si="420"/>
        <v>189.78776720530755</v>
      </c>
      <c r="FG39" s="2775">
        <f t="shared" si="421"/>
        <v>0</v>
      </c>
      <c r="FH39" s="2775">
        <f t="shared" si="422"/>
        <v>0</v>
      </c>
      <c r="FI39" s="2775">
        <f>SUM('ПОЛНАЯ СЕБЕСТОИМОСТЬ СТОКИ 2023'!BW157)</f>
        <v>0</v>
      </c>
      <c r="FJ39" s="2775">
        <f>SUM('ПОЛНАЯ СЕБЕСТОИМОСТЬ СТОКИ 2023'!BX157)</f>
        <v>0</v>
      </c>
      <c r="FK39" s="2833">
        <f t="shared" si="423"/>
        <v>408.48700000000002</v>
      </c>
      <c r="FL39" s="2833">
        <v>408.48700000000002</v>
      </c>
      <c r="FM39" s="2833">
        <v>0</v>
      </c>
      <c r="FN39" s="2868">
        <f t="shared" si="367"/>
        <v>569.36330161592264</v>
      </c>
      <c r="FO39" s="2868">
        <f t="shared" si="367"/>
        <v>569.36330161592264</v>
      </c>
      <c r="FP39" s="2868">
        <f t="shared" si="367"/>
        <v>0</v>
      </c>
      <c r="FQ39" s="2868">
        <f t="shared" si="367"/>
        <v>0</v>
      </c>
      <c r="FR39" s="2868">
        <f t="shared" si="367"/>
        <v>0</v>
      </c>
      <c r="FS39" s="2868">
        <f t="shared" si="367"/>
        <v>0</v>
      </c>
      <c r="FT39" s="2868">
        <f t="shared" si="367"/>
        <v>1570.89473</v>
      </c>
      <c r="FU39" s="2868">
        <f t="shared" si="367"/>
        <v>1570.89473</v>
      </c>
      <c r="FV39" s="2868">
        <f t="shared" si="367"/>
        <v>0</v>
      </c>
      <c r="FW39" s="2839">
        <f t="shared" si="368"/>
        <v>-569.36330161592264</v>
      </c>
      <c r="FX39" s="2839">
        <f t="shared" si="368"/>
        <v>-569.36330161592264</v>
      </c>
      <c r="FY39" s="2839">
        <f t="shared" si="368"/>
        <v>0</v>
      </c>
      <c r="FZ39" s="2863">
        <f t="shared" si="369"/>
        <v>2277.4532064636905</v>
      </c>
      <c r="GA39" s="2863">
        <f t="shared" si="369"/>
        <v>2277.4532064636905</v>
      </c>
      <c r="GB39" s="2863">
        <f t="shared" si="369"/>
        <v>0</v>
      </c>
      <c r="GC39" s="2868">
        <f t="shared" si="369"/>
        <v>4399.8719999999994</v>
      </c>
      <c r="GD39" s="2868">
        <f t="shared" si="369"/>
        <v>4399.8719999999994</v>
      </c>
      <c r="GE39" s="2868">
        <f t="shared" si="369"/>
        <v>0</v>
      </c>
      <c r="GF39" s="2868">
        <f t="shared" si="369"/>
        <v>6839.3947499999995</v>
      </c>
      <c r="GG39" s="2868">
        <f t="shared" si="369"/>
        <v>6839.3947499999995</v>
      </c>
      <c r="GH39" s="2868">
        <f t="shared" si="369"/>
        <v>0</v>
      </c>
      <c r="GI39" s="2839">
        <f t="shared" si="370"/>
        <v>2122.4187935363088</v>
      </c>
      <c r="GJ39" s="2839">
        <f t="shared" si="370"/>
        <v>2122.4187935363088</v>
      </c>
      <c r="GK39" s="2839">
        <f t="shared" si="370"/>
        <v>0</v>
      </c>
      <c r="GM39" s="3576">
        <f t="shared" si="371"/>
        <v>2277.4532064636905</v>
      </c>
    </row>
    <row r="40" spans="1:195" ht="18.75" customHeight="1" x14ac:dyDescent="0.3">
      <c r="A40" s="2800" t="s">
        <v>4</v>
      </c>
      <c r="B40" s="2775">
        <f t="shared" si="372"/>
        <v>4020.3265971872665</v>
      </c>
      <c r="C40" s="2775">
        <f>SUM('ПОЛНАЯ СЕБЕСТОИМОСТЬ СТОКИ 2023'!C158)/3</f>
        <v>4008.4934061872664</v>
      </c>
      <c r="D40" s="2775">
        <f>SUM('ПОЛНАЯ СЕБЕСТОИМОСТЬ СТОКИ 2023'!D158)/3</f>
        <v>11.833191000000001</v>
      </c>
      <c r="E40" s="2775">
        <f t="shared" si="373"/>
        <v>4708.8422200000005</v>
      </c>
      <c r="F40" s="2775">
        <f>SUM('ПОЛНАЯ СЕБЕСТОИМОСТЬ СТОКИ 2023'!F158)</f>
        <v>4695.1970000000001</v>
      </c>
      <c r="G40" s="2775">
        <f>SUM('ПОЛНАЯ СЕБЕСТОИМОСТЬ СТОКИ 2023'!G158)</f>
        <v>13.64522</v>
      </c>
      <c r="H40" s="2833">
        <f t="shared" si="374"/>
        <v>3025.6320000000001</v>
      </c>
      <c r="I40" s="2833">
        <v>3016.1410000000001</v>
      </c>
      <c r="J40" s="2833">
        <v>9.4909999999999997</v>
      </c>
      <c r="K40" s="2775">
        <f t="shared" si="375"/>
        <v>4020.3265971872665</v>
      </c>
      <c r="L40" s="2775">
        <f t="shared" si="376"/>
        <v>4008.4934061872664</v>
      </c>
      <c r="M40" s="2775">
        <f t="shared" si="377"/>
        <v>11.833191000000001</v>
      </c>
      <c r="N40" s="2775">
        <f t="shared" si="378"/>
        <v>3948.5969399999999</v>
      </c>
      <c r="O40" s="2775">
        <f>SUM('ПОЛНАЯ СЕБЕСТОИМОСТЬ СТОКИ 2023'!I158)</f>
        <v>3937.0160700000001</v>
      </c>
      <c r="P40" s="2775">
        <f>SUM('ПОЛНАЯ СЕБЕСТОИМОСТЬ СТОКИ 2023'!J158)</f>
        <v>11.580870000000001</v>
      </c>
      <c r="Q40" s="2833">
        <f t="shared" si="379"/>
        <v>2759.8159999999998</v>
      </c>
      <c r="R40" s="2833">
        <v>2751.6949999999997</v>
      </c>
      <c r="S40" s="2833">
        <v>8.1210000000000004</v>
      </c>
      <c r="T40" s="2775">
        <f t="shared" si="380"/>
        <v>4020.3265971872665</v>
      </c>
      <c r="U40" s="2775">
        <f t="shared" si="381"/>
        <v>4008.4934061872664</v>
      </c>
      <c r="V40" s="2775">
        <f t="shared" si="382"/>
        <v>11.833191000000001</v>
      </c>
      <c r="W40" s="2775">
        <f t="shared" si="383"/>
        <v>3697.87039</v>
      </c>
      <c r="X40" s="2775">
        <f>SUM('ПОЛНАЯ СЕБЕСТОИМОСТЬ СТОКИ 2023'!L158)</f>
        <v>3684.8090000000002</v>
      </c>
      <c r="Y40" s="2775">
        <f>SUM('ПОЛНАЯ СЕБЕСТОИМОСТЬ СТОКИ 2023'!M158)</f>
        <v>13.061389999999999</v>
      </c>
      <c r="Z40" s="2833">
        <f t="shared" si="384"/>
        <v>4325.7469999999994</v>
      </c>
      <c r="AA40" s="2833">
        <v>4312.2829999999994</v>
      </c>
      <c r="AB40" s="2833">
        <v>13.464</v>
      </c>
      <c r="AC40" s="2868">
        <f t="shared" si="357"/>
        <v>12060.9797915618</v>
      </c>
      <c r="AD40" s="2868">
        <f t="shared" si="357"/>
        <v>12025.480218561799</v>
      </c>
      <c r="AE40" s="2868">
        <f t="shared" si="357"/>
        <v>35.499573000000005</v>
      </c>
      <c r="AF40" s="2868">
        <f t="shared" si="357"/>
        <v>12355.30955</v>
      </c>
      <c r="AG40" s="2868">
        <f t="shared" si="357"/>
        <v>12317.022069999999</v>
      </c>
      <c r="AH40" s="2868">
        <f t="shared" si="357"/>
        <v>38.287480000000002</v>
      </c>
      <c r="AI40" s="2868">
        <f t="shared" si="357"/>
        <v>10111.195</v>
      </c>
      <c r="AJ40" s="2868">
        <f t="shared" si="357"/>
        <v>10080.118999999999</v>
      </c>
      <c r="AK40" s="2868">
        <f t="shared" si="357"/>
        <v>31.076000000000001</v>
      </c>
      <c r="AL40" s="2839">
        <f t="shared" si="358"/>
        <v>294.32975843819986</v>
      </c>
      <c r="AM40" s="2839">
        <f t="shared" si="358"/>
        <v>291.54185143819996</v>
      </c>
      <c r="AN40" s="2839">
        <f t="shared" si="358"/>
        <v>2.787906999999997</v>
      </c>
      <c r="AO40" s="2775">
        <f t="shared" si="385"/>
        <v>4020.3265971872665</v>
      </c>
      <c r="AP40" s="2775">
        <f>SUM('ПОЛНАЯ СЕБЕСТОИМОСТЬ СТОКИ 2023'!R158)/3</f>
        <v>4008.4934061872664</v>
      </c>
      <c r="AQ40" s="2775">
        <f>SUM('ПОЛНАЯ СЕБЕСТОИМОСТЬ СТОКИ 2023'!S158)/3</f>
        <v>11.833191000000001</v>
      </c>
      <c r="AR40" s="2775">
        <f t="shared" si="386"/>
        <v>3534.3960000000002</v>
      </c>
      <c r="AS40" s="2775">
        <f>SUM('ПОЛНАЯ СЕБЕСТОИМОСТЬ СТОКИ 2023'!U158)</f>
        <v>3525.8420000000001</v>
      </c>
      <c r="AT40" s="2775">
        <f>SUM('ПОЛНАЯ СЕБЕСТОИМОСТЬ СТОКИ 2023'!V158)</f>
        <v>8.5540000000000003</v>
      </c>
      <c r="AU40" s="2833">
        <f t="shared" si="387"/>
        <v>3515.7829999999999</v>
      </c>
      <c r="AV40" s="2833">
        <v>3505.3049999999998</v>
      </c>
      <c r="AW40" s="2833">
        <v>10.478</v>
      </c>
      <c r="AX40" s="2775">
        <f t="shared" si="388"/>
        <v>4020.3265971872665</v>
      </c>
      <c r="AY40" s="2775">
        <f t="shared" si="389"/>
        <v>4008.4934061872664</v>
      </c>
      <c r="AZ40" s="2775">
        <f t="shared" si="390"/>
        <v>11.833191000000001</v>
      </c>
      <c r="BA40" s="2832">
        <f t="shared" si="391"/>
        <v>4028.0306700000001</v>
      </c>
      <c r="BB40" s="2832">
        <f>SUM('ПОЛНАЯ СЕБЕСТОИМОСТЬ СТОКИ 2023'!X158)</f>
        <v>4015.6590000000001</v>
      </c>
      <c r="BC40" s="2832">
        <f>SUM('ПОЛНАЯ СЕБЕСТОИМОСТЬ СТОКИ 2023'!Y158)</f>
        <v>12.37167</v>
      </c>
      <c r="BD40" s="2833">
        <f t="shared" si="392"/>
        <v>3068.5140000000001</v>
      </c>
      <c r="BE40" s="2833">
        <v>3063.4100000000003</v>
      </c>
      <c r="BF40" s="2833">
        <v>5.1040000000000001</v>
      </c>
      <c r="BG40" s="2775">
        <f t="shared" si="393"/>
        <v>4020.3265971872665</v>
      </c>
      <c r="BH40" s="2775">
        <f t="shared" si="394"/>
        <v>4008.4934061872664</v>
      </c>
      <c r="BI40" s="2775">
        <f t="shared" si="395"/>
        <v>11.833191000000001</v>
      </c>
      <c r="BJ40" s="2775">
        <f t="shared" si="396"/>
        <v>3677.1623999999997</v>
      </c>
      <c r="BK40" s="2775">
        <f>SUM('ПОЛНАЯ СЕБЕСТОИМОСТЬ СТОКИ 2023'!AA158)</f>
        <v>3663.7014999999997</v>
      </c>
      <c r="BL40" s="2775">
        <f>SUM('ПОЛНАЯ СЕБЕСТОИМОСТЬ СТОКИ 2023'!AB158)</f>
        <v>13.460900000000001</v>
      </c>
      <c r="BM40" s="2833">
        <f t="shared" si="397"/>
        <v>3460.9616499999997</v>
      </c>
      <c r="BN40" s="2833">
        <v>3446.9054899999996</v>
      </c>
      <c r="BO40" s="2833">
        <v>14.05616</v>
      </c>
      <c r="BP40" s="2868">
        <f t="shared" si="359"/>
        <v>12060.9797915618</v>
      </c>
      <c r="BQ40" s="2868">
        <f t="shared" si="359"/>
        <v>12025.480218561799</v>
      </c>
      <c r="BR40" s="2868">
        <f t="shared" si="359"/>
        <v>35.499573000000005</v>
      </c>
      <c r="BS40" s="2868">
        <f t="shared" si="359"/>
        <v>11239.58907</v>
      </c>
      <c r="BT40" s="2868">
        <f t="shared" si="359"/>
        <v>11205.202499999999</v>
      </c>
      <c r="BU40" s="2868">
        <f t="shared" si="359"/>
        <v>34.386569999999999</v>
      </c>
      <c r="BV40" s="2868">
        <f t="shared" si="359"/>
        <v>10045.25865</v>
      </c>
      <c r="BW40" s="2868">
        <f t="shared" si="359"/>
        <v>10015.620489999999</v>
      </c>
      <c r="BX40" s="2868">
        <f t="shared" si="359"/>
        <v>29.638159999999999</v>
      </c>
      <c r="BY40" s="2839">
        <f t="shared" si="360"/>
        <v>-821.39072156180009</v>
      </c>
      <c r="BZ40" s="2839">
        <f t="shared" si="360"/>
        <v>-820.2777185617997</v>
      </c>
      <c r="CA40" s="2839">
        <f t="shared" si="360"/>
        <v>-1.1130030000000062</v>
      </c>
      <c r="CB40" s="2868">
        <f t="shared" si="361"/>
        <v>24121.9595831236</v>
      </c>
      <c r="CC40" s="2868">
        <f t="shared" si="361"/>
        <v>24050.960437123598</v>
      </c>
      <c r="CD40" s="2868">
        <f t="shared" si="361"/>
        <v>70.99914600000001</v>
      </c>
      <c r="CE40" s="2868">
        <f t="shared" si="361"/>
        <v>23594.89862</v>
      </c>
      <c r="CF40" s="2868">
        <f t="shared" si="361"/>
        <v>23522.224569999998</v>
      </c>
      <c r="CG40" s="2868">
        <f t="shared" si="361"/>
        <v>72.674049999999994</v>
      </c>
      <c r="CH40" s="2883">
        <f t="shared" si="361"/>
        <v>20156.453649999999</v>
      </c>
      <c r="CI40" s="2883">
        <f t="shared" si="361"/>
        <v>20095.73949</v>
      </c>
      <c r="CJ40" s="2883">
        <f t="shared" si="361"/>
        <v>60.71416</v>
      </c>
      <c r="CK40" s="2839">
        <f t="shared" si="362"/>
        <v>-527.06096312360023</v>
      </c>
      <c r="CL40" s="2839">
        <f t="shared" si="362"/>
        <v>-528.73586712359975</v>
      </c>
      <c r="CM40" s="2839">
        <f t="shared" si="362"/>
        <v>1.6749039999999837</v>
      </c>
      <c r="CN40" s="2775">
        <f t="shared" si="398"/>
        <v>4020.3265971872665</v>
      </c>
      <c r="CO40" s="2775">
        <f>SUM('ПОЛНАЯ СЕБЕСТОИМОСТЬ СТОКИ 2023'!AP158)/3</f>
        <v>4008.4934061872664</v>
      </c>
      <c r="CP40" s="2775">
        <f>SUM('ПОЛНАЯ СЕБЕСТОИМОСТЬ СТОКИ 2023'!AQ158)/3</f>
        <v>11.833191000000001</v>
      </c>
      <c r="CQ40" s="2775">
        <f t="shared" si="399"/>
        <v>3611.5831199999998</v>
      </c>
      <c r="CR40" s="2775">
        <f>SUM('ПОЛНАЯ СЕБЕСТОИМОСТЬ СТОКИ 2023'!AS158)</f>
        <v>3604.4229999999998</v>
      </c>
      <c r="CS40" s="2775">
        <f>SUM('ПОЛНАЯ СЕБЕСТОИМОСТЬ СТОКИ 2023'!AT158)</f>
        <v>7.16012</v>
      </c>
      <c r="CT40" s="2833">
        <f t="shared" si="400"/>
        <v>3304.5329999999999</v>
      </c>
      <c r="CU40" s="2833">
        <v>3291.0839999999998</v>
      </c>
      <c r="CV40" s="2833">
        <v>13.449</v>
      </c>
      <c r="CW40" s="2775">
        <f t="shared" si="401"/>
        <v>4020.3265971872665</v>
      </c>
      <c r="CX40" s="2775">
        <f t="shared" si="402"/>
        <v>4008.4934061872664</v>
      </c>
      <c r="CY40" s="2775">
        <f t="shared" si="403"/>
        <v>11.833191000000001</v>
      </c>
      <c r="CZ40" s="2775">
        <f t="shared" si="404"/>
        <v>0</v>
      </c>
      <c r="DA40" s="2775">
        <f>SUM('ПОЛНАЯ СЕБЕСТОИМОСТЬ СТОКИ 2023'!AV158)</f>
        <v>0</v>
      </c>
      <c r="DB40" s="2775">
        <f>SUM('ПОЛНАЯ СЕБЕСТОИМОСТЬ СТОКИ 2023'!AW158)</f>
        <v>0</v>
      </c>
      <c r="DC40" s="2833">
        <f t="shared" si="405"/>
        <v>3105.4930000000004</v>
      </c>
      <c r="DD40" s="2833">
        <v>3097.9340000000002</v>
      </c>
      <c r="DE40" s="2833">
        <v>7.5590000000000002</v>
      </c>
      <c r="DF40" s="2775">
        <f t="shared" si="406"/>
        <v>4020.3265971872665</v>
      </c>
      <c r="DG40" s="2775">
        <f t="shared" si="407"/>
        <v>4008.4934061872664</v>
      </c>
      <c r="DH40" s="2775">
        <f t="shared" si="408"/>
        <v>11.833191000000001</v>
      </c>
      <c r="DI40" s="2775">
        <f t="shared" si="409"/>
        <v>0</v>
      </c>
      <c r="DJ40" s="2775">
        <f>SUM('ПОЛНАЯ СЕБЕСТОИМОСТЬ СТОКИ 2023'!AY158)</f>
        <v>0</v>
      </c>
      <c r="DK40" s="2775">
        <f>SUM('ПОЛНАЯ СЕБЕСТОИМОСТЬ СТОКИ 2023'!AZ158)</f>
        <v>0</v>
      </c>
      <c r="DL40" s="2833">
        <f t="shared" si="410"/>
        <v>3655.404</v>
      </c>
      <c r="DM40" s="2833">
        <v>3645.2170000000001</v>
      </c>
      <c r="DN40" s="2833">
        <v>10.186999999999999</v>
      </c>
      <c r="DO40" s="2868">
        <f t="shared" si="363"/>
        <v>12060.9797915618</v>
      </c>
      <c r="DP40" s="2868">
        <f t="shared" si="363"/>
        <v>12025.480218561799</v>
      </c>
      <c r="DQ40" s="2868">
        <f t="shared" si="363"/>
        <v>35.499573000000005</v>
      </c>
      <c r="DR40" s="2868">
        <f t="shared" si="363"/>
        <v>3611.5831199999998</v>
      </c>
      <c r="DS40" s="2868">
        <f t="shared" si="363"/>
        <v>3604.4229999999998</v>
      </c>
      <c r="DT40" s="2868">
        <f t="shared" si="363"/>
        <v>7.16012</v>
      </c>
      <c r="DU40" s="2868">
        <f t="shared" si="363"/>
        <v>10065.43</v>
      </c>
      <c r="DV40" s="2868">
        <f t="shared" si="363"/>
        <v>10034.235000000001</v>
      </c>
      <c r="DW40" s="2868">
        <f t="shared" si="363"/>
        <v>31.195</v>
      </c>
      <c r="DX40" s="2839">
        <f t="shared" si="364"/>
        <v>-8449.3966715618008</v>
      </c>
      <c r="DY40" s="2839">
        <f t="shared" si="364"/>
        <v>-8421.0572185618003</v>
      </c>
      <c r="DZ40" s="2839">
        <f t="shared" si="364"/>
        <v>-28.339453000000006</v>
      </c>
      <c r="EA40" s="2868">
        <f t="shared" si="365"/>
        <v>36182.939374685404</v>
      </c>
      <c r="EB40" s="2868">
        <f t="shared" si="365"/>
        <v>36076.440655685394</v>
      </c>
      <c r="EC40" s="2868">
        <f t="shared" si="365"/>
        <v>106.49871900000002</v>
      </c>
      <c r="ED40" s="2868">
        <f t="shared" si="365"/>
        <v>27206.481739999999</v>
      </c>
      <c r="EE40" s="2868">
        <f t="shared" si="365"/>
        <v>27126.647569999997</v>
      </c>
      <c r="EF40" s="2868">
        <f t="shared" si="365"/>
        <v>79.83417</v>
      </c>
      <c r="EG40" s="2868">
        <f t="shared" si="365"/>
        <v>30221.88365</v>
      </c>
      <c r="EH40" s="2868">
        <f t="shared" si="365"/>
        <v>30129.974490000001</v>
      </c>
      <c r="EI40" s="2868">
        <f t="shared" si="365"/>
        <v>91.90916</v>
      </c>
      <c r="EJ40" s="2839">
        <f t="shared" si="366"/>
        <v>-8976.4576346854046</v>
      </c>
      <c r="EK40" s="2839">
        <f t="shared" si="366"/>
        <v>-8949.7930856853964</v>
      </c>
      <c r="EL40" s="2839">
        <f t="shared" si="366"/>
        <v>-26.664549000000022</v>
      </c>
      <c r="EM40" s="2775">
        <f t="shared" si="411"/>
        <v>4020.3265971872665</v>
      </c>
      <c r="EN40" s="2775">
        <f>SUM('ПОЛНАЯ СЕБЕСТОИМОСТЬ СТОКИ 2023'!BN158)/3</f>
        <v>4008.4934061872664</v>
      </c>
      <c r="EO40" s="2775">
        <f>SUM('ПОЛНАЯ СЕБЕСТОИМОСТЬ СТОКИ 2023'!BO158)/3</f>
        <v>11.833191000000001</v>
      </c>
      <c r="EP40" s="2775">
        <f t="shared" si="412"/>
        <v>0</v>
      </c>
      <c r="EQ40" s="2775">
        <f>SUM('ПОЛНАЯ СЕБЕСТОИМОСТЬ СТОКИ 2023'!BQ158)</f>
        <v>0</v>
      </c>
      <c r="ER40" s="2775">
        <f>SUM('ПОЛНАЯ СЕБЕСТОИМОСТЬ СТОКИ 2023'!BR158)</f>
        <v>0</v>
      </c>
      <c r="ES40" s="2833">
        <f t="shared" si="413"/>
        <v>3418.6849999999999</v>
      </c>
      <c r="ET40" s="2833">
        <v>3407.3890000000001</v>
      </c>
      <c r="EU40" s="2833">
        <v>11.295999999999999</v>
      </c>
      <c r="EV40" s="2775">
        <f t="shared" si="414"/>
        <v>4020.3265971872665</v>
      </c>
      <c r="EW40" s="2775">
        <f t="shared" si="415"/>
        <v>4008.4934061872664</v>
      </c>
      <c r="EX40" s="2775">
        <f t="shared" si="416"/>
        <v>11.833191000000001</v>
      </c>
      <c r="EY40" s="2775">
        <f t="shared" si="417"/>
        <v>0</v>
      </c>
      <c r="EZ40" s="2775">
        <f>SUM('ПОЛНАЯ СЕБЕСТОИМОСТЬ СТОКИ 2023'!BT158)</f>
        <v>0</v>
      </c>
      <c r="FA40" s="2775">
        <f>SUM('ПОЛНАЯ СЕБЕСТОИМОСТЬ СТОКИ 2023'!BU158)</f>
        <v>0</v>
      </c>
      <c r="FB40" s="2833">
        <f t="shared" si="418"/>
        <v>3220.4644499999999</v>
      </c>
      <c r="FC40" s="2833">
        <v>3207.4327800000001</v>
      </c>
      <c r="FD40" s="2833">
        <v>13.03167</v>
      </c>
      <c r="FE40" s="2775">
        <f t="shared" si="419"/>
        <v>4020.3265971872665</v>
      </c>
      <c r="FF40" s="2775">
        <f t="shared" si="420"/>
        <v>4008.4934061872664</v>
      </c>
      <c r="FG40" s="2775">
        <f t="shared" si="421"/>
        <v>11.833191000000001</v>
      </c>
      <c r="FH40" s="2775">
        <f t="shared" si="422"/>
        <v>0</v>
      </c>
      <c r="FI40" s="2775">
        <f>SUM('ПОЛНАЯ СЕБЕСТОИМОСТЬ СТОКИ 2023'!BW158)</f>
        <v>0</v>
      </c>
      <c r="FJ40" s="2775">
        <f>SUM('ПОЛНАЯ СЕБЕСТОИМОСТЬ СТОКИ 2023'!BX158)</f>
        <v>0</v>
      </c>
      <c r="FK40" s="2833">
        <f t="shared" si="423"/>
        <v>3632.1010000000001</v>
      </c>
      <c r="FL40" s="2833">
        <v>3615.5630000000001</v>
      </c>
      <c r="FM40" s="2833">
        <v>16.538</v>
      </c>
      <c r="FN40" s="2868">
        <f t="shared" si="367"/>
        <v>12060.9797915618</v>
      </c>
      <c r="FO40" s="2868">
        <f t="shared" si="367"/>
        <v>12025.480218561799</v>
      </c>
      <c r="FP40" s="2868">
        <f t="shared" si="367"/>
        <v>35.499573000000005</v>
      </c>
      <c r="FQ40" s="2868">
        <f t="shared" si="367"/>
        <v>0</v>
      </c>
      <c r="FR40" s="2868">
        <f t="shared" si="367"/>
        <v>0</v>
      </c>
      <c r="FS40" s="2868">
        <f t="shared" si="367"/>
        <v>0</v>
      </c>
      <c r="FT40" s="2868">
        <f t="shared" si="367"/>
        <v>10271.25045</v>
      </c>
      <c r="FU40" s="2868">
        <f t="shared" si="367"/>
        <v>10230.38478</v>
      </c>
      <c r="FV40" s="2868">
        <f t="shared" si="367"/>
        <v>40.865669999999994</v>
      </c>
      <c r="FW40" s="2839">
        <f t="shared" si="368"/>
        <v>-12060.9797915618</v>
      </c>
      <c r="FX40" s="2839">
        <f t="shared" si="368"/>
        <v>-12025.480218561799</v>
      </c>
      <c r="FY40" s="2839">
        <f t="shared" si="368"/>
        <v>-35.499573000000005</v>
      </c>
      <c r="FZ40" s="2863">
        <f t="shared" si="369"/>
        <v>48243.9191662472</v>
      </c>
      <c r="GA40" s="2863">
        <f t="shared" si="369"/>
        <v>48101.920874247196</v>
      </c>
      <c r="GB40" s="2863">
        <f t="shared" si="369"/>
        <v>141.99829200000002</v>
      </c>
      <c r="GC40" s="2868">
        <f t="shared" si="369"/>
        <v>27206.481739999999</v>
      </c>
      <c r="GD40" s="2868">
        <f t="shared" si="369"/>
        <v>27126.647569999997</v>
      </c>
      <c r="GE40" s="2868">
        <f t="shared" si="369"/>
        <v>79.83417</v>
      </c>
      <c r="GF40" s="2868">
        <f t="shared" si="369"/>
        <v>40493.134099999996</v>
      </c>
      <c r="GG40" s="2868">
        <f t="shared" si="369"/>
        <v>40360.359270000001</v>
      </c>
      <c r="GH40" s="2868">
        <f t="shared" si="369"/>
        <v>132.77483000000001</v>
      </c>
      <c r="GI40" s="2839">
        <f t="shared" si="370"/>
        <v>-21037.437426247201</v>
      </c>
      <c r="GJ40" s="2839">
        <f t="shared" si="370"/>
        <v>-20975.273304247199</v>
      </c>
      <c r="GK40" s="2839">
        <f t="shared" si="370"/>
        <v>-62.16412200000002</v>
      </c>
      <c r="GM40" s="3576">
        <f t="shared" si="371"/>
        <v>48243.919166247208</v>
      </c>
    </row>
    <row r="41" spans="1:195" ht="18.75" customHeight="1" x14ac:dyDescent="0.3">
      <c r="A41" s="2800" t="s">
        <v>113</v>
      </c>
      <c r="B41" s="2775">
        <f t="shared" si="372"/>
        <v>1216.4727019676404</v>
      </c>
      <c r="C41" s="2775">
        <f>SUM('ПОЛНАЯ СЕБЕСТОИМОСТЬ СТОКИ 2023'!C159)/3</f>
        <v>1212.8984910938541</v>
      </c>
      <c r="D41" s="2775">
        <f>SUM('ПОЛНАЯ СЕБЕСТОИМОСТЬ СТОКИ 2023'!D159)/3</f>
        <v>3.574210873786408</v>
      </c>
      <c r="E41" s="2775">
        <f t="shared" si="373"/>
        <v>1410.5788500000001</v>
      </c>
      <c r="F41" s="2775">
        <f>SUM('ПОЛНАЯ СЕБЕСТОИМОСТЬ СТОКИ 2023'!F159)</f>
        <v>1406.4580000000001</v>
      </c>
      <c r="G41" s="2775">
        <f>SUM('ПОЛНАЯ СЕБЕСТОИМОСТЬ СТОКИ 2023'!G159)</f>
        <v>4.1208499999999999</v>
      </c>
      <c r="H41" s="2833">
        <f t="shared" si="374"/>
        <v>930.20899999999995</v>
      </c>
      <c r="I41" s="2833">
        <v>927.34299999999996</v>
      </c>
      <c r="J41" s="2833">
        <v>2.8660000000000001</v>
      </c>
      <c r="K41" s="2775">
        <f t="shared" si="375"/>
        <v>1216.4727019676404</v>
      </c>
      <c r="L41" s="2775">
        <f t="shared" si="376"/>
        <v>1212.8984910938541</v>
      </c>
      <c r="M41" s="2775">
        <f t="shared" si="377"/>
        <v>3.574210873786408</v>
      </c>
      <c r="N41" s="2775">
        <f t="shared" si="378"/>
        <v>1223.3128299999998</v>
      </c>
      <c r="O41" s="2775">
        <f>SUM('ПОЛНАЯ СЕБЕСТОИМОСТЬ СТОКИ 2023'!I159)</f>
        <v>1219.8154099999999</v>
      </c>
      <c r="P41" s="2775">
        <f>SUM('ПОЛНАЯ СЕБЕСТОИМОСТЬ СТОКИ 2023'!J159)</f>
        <v>3.49742</v>
      </c>
      <c r="Q41" s="2833">
        <f t="shared" si="379"/>
        <v>826.32400000000007</v>
      </c>
      <c r="R41" s="2833">
        <v>823.87200000000007</v>
      </c>
      <c r="S41" s="2833">
        <v>2.452</v>
      </c>
      <c r="T41" s="2775">
        <f t="shared" si="380"/>
        <v>1216.4727019676404</v>
      </c>
      <c r="U41" s="2775">
        <f t="shared" si="381"/>
        <v>1212.8984910938541</v>
      </c>
      <c r="V41" s="2775">
        <f t="shared" si="382"/>
        <v>3.574210873786408</v>
      </c>
      <c r="W41" s="2775">
        <f t="shared" si="383"/>
        <v>1179.5029100000002</v>
      </c>
      <c r="X41" s="2775">
        <f>SUM('ПОЛНАЯ СЕБЕСТОИМОСТЬ СТОКИ 2023'!L159)</f>
        <v>1175.0789600000001</v>
      </c>
      <c r="Y41" s="2775">
        <f>SUM('ПОЛНАЯ СЕБЕСТОИМОСТЬ СТОКИ 2023'!M159)</f>
        <v>4.4239500000000005</v>
      </c>
      <c r="Z41" s="2833">
        <f t="shared" si="384"/>
        <v>1309.8629999999998</v>
      </c>
      <c r="AA41" s="2833">
        <v>1305.7959999999998</v>
      </c>
      <c r="AB41" s="2833">
        <v>4.0670000000000002</v>
      </c>
      <c r="AC41" s="2868">
        <f t="shared" si="357"/>
        <v>3649.4181059029215</v>
      </c>
      <c r="AD41" s="2868">
        <f t="shared" si="357"/>
        <v>3638.695473281562</v>
      </c>
      <c r="AE41" s="2868">
        <f t="shared" si="357"/>
        <v>10.722632621359224</v>
      </c>
      <c r="AF41" s="2868">
        <f t="shared" si="357"/>
        <v>3813.3945899999999</v>
      </c>
      <c r="AG41" s="2868">
        <f t="shared" si="357"/>
        <v>3801.3523699999996</v>
      </c>
      <c r="AH41" s="2868">
        <f t="shared" si="357"/>
        <v>12.04222</v>
      </c>
      <c r="AI41" s="2868">
        <f t="shared" si="357"/>
        <v>3066.3959999999997</v>
      </c>
      <c r="AJ41" s="2868">
        <f t="shared" si="357"/>
        <v>3057.011</v>
      </c>
      <c r="AK41" s="2868">
        <f t="shared" si="357"/>
        <v>9.3849999999999998</v>
      </c>
      <c r="AL41" s="2839">
        <f t="shared" si="358"/>
        <v>163.97648409707836</v>
      </c>
      <c r="AM41" s="2839">
        <f t="shared" si="358"/>
        <v>162.65689671843757</v>
      </c>
      <c r="AN41" s="2839">
        <f t="shared" si="358"/>
        <v>1.3195873786407759</v>
      </c>
      <c r="AO41" s="2775">
        <f t="shared" si="385"/>
        <v>1216.4727019676404</v>
      </c>
      <c r="AP41" s="2775">
        <f>SUM('ПОЛНАЯ СЕБЕСТОИМОСТЬ СТОКИ 2023'!R159)/3</f>
        <v>1212.8984910938541</v>
      </c>
      <c r="AQ41" s="2775">
        <f>SUM('ПОЛНАЯ СЕБЕСТОИМОСТЬ СТОКИ 2023'!S159)/3</f>
        <v>3.574210873786408</v>
      </c>
      <c r="AR41" s="2775">
        <f t="shared" si="386"/>
        <v>1097.6660000000002</v>
      </c>
      <c r="AS41" s="2775">
        <f>SUM('ПОЛНАЯ СЕБЕСТОИМОСТЬ СТОКИ 2023'!U159)</f>
        <v>1095.0830000000001</v>
      </c>
      <c r="AT41" s="2775">
        <f>SUM('ПОЛНАЯ СЕБЕСТОИМОСТЬ СТОКИ 2023'!V159)</f>
        <v>2.5830000000000002</v>
      </c>
      <c r="AU41" s="2833">
        <f t="shared" si="387"/>
        <v>1061.8119999999999</v>
      </c>
      <c r="AV41" s="2833">
        <v>1058.6469999999999</v>
      </c>
      <c r="AW41" s="2833">
        <v>3.165</v>
      </c>
      <c r="AX41" s="2775">
        <f t="shared" si="388"/>
        <v>1216.4727019676404</v>
      </c>
      <c r="AY41" s="2775">
        <f t="shared" si="389"/>
        <v>1212.8984910938541</v>
      </c>
      <c r="AZ41" s="2775">
        <f t="shared" si="390"/>
        <v>3.574210873786408</v>
      </c>
      <c r="BA41" s="2832">
        <f t="shared" si="391"/>
        <v>1257.15624</v>
      </c>
      <c r="BB41" s="2832">
        <f>SUM('ПОЛНАЯ СЕБЕСТОИМОСТЬ СТОКИ 2023'!X159)</f>
        <v>1253.42</v>
      </c>
      <c r="BC41" s="2832">
        <f>SUM('ПОЛНАЯ СЕБЕСТОИМОСТЬ СТОКИ 2023'!Y159)</f>
        <v>3.73624</v>
      </c>
      <c r="BD41" s="2833">
        <f t="shared" si="392"/>
        <v>922.42500000000007</v>
      </c>
      <c r="BE41" s="2833">
        <v>920.88400000000001</v>
      </c>
      <c r="BF41" s="2833">
        <v>1.5409999999999999</v>
      </c>
      <c r="BG41" s="2775">
        <f t="shared" si="393"/>
        <v>1216.4727019676404</v>
      </c>
      <c r="BH41" s="2775">
        <f t="shared" si="394"/>
        <v>1212.8984910938541</v>
      </c>
      <c r="BI41" s="2775">
        <f t="shared" si="395"/>
        <v>3.574210873786408</v>
      </c>
      <c r="BJ41" s="2775">
        <f t="shared" si="396"/>
        <v>1133.22648</v>
      </c>
      <c r="BK41" s="2775">
        <f>SUM('ПОЛНАЯ СЕБЕСТОИМОСТЬ СТОКИ 2023'!AA159)</f>
        <v>1129.16129</v>
      </c>
      <c r="BL41" s="2775">
        <f>SUM('ПОЛНАЯ СЕБЕСТОИМОСТЬ СТОКИ 2023'!AB159)</f>
        <v>4.0651900000000003</v>
      </c>
      <c r="BM41" s="2833">
        <f t="shared" si="397"/>
        <v>1045.3993699999999</v>
      </c>
      <c r="BN41" s="2833">
        <v>1041.1546499999999</v>
      </c>
      <c r="BO41" s="2833">
        <v>4.24472</v>
      </c>
      <c r="BP41" s="2868">
        <f t="shared" si="359"/>
        <v>3649.4181059029215</v>
      </c>
      <c r="BQ41" s="2868">
        <f t="shared" si="359"/>
        <v>3638.695473281562</v>
      </c>
      <c r="BR41" s="2868">
        <f t="shared" si="359"/>
        <v>10.722632621359224</v>
      </c>
      <c r="BS41" s="2868">
        <f t="shared" si="359"/>
        <v>3488.0487200000007</v>
      </c>
      <c r="BT41" s="2868">
        <f t="shared" si="359"/>
        <v>3477.6642900000002</v>
      </c>
      <c r="BU41" s="2868">
        <f t="shared" si="359"/>
        <v>10.384430000000002</v>
      </c>
      <c r="BV41" s="2868">
        <f t="shared" si="359"/>
        <v>3029.6363700000002</v>
      </c>
      <c r="BW41" s="2868">
        <f t="shared" si="359"/>
        <v>3020.6856499999999</v>
      </c>
      <c r="BX41" s="2868">
        <f t="shared" si="359"/>
        <v>8.9507200000000005</v>
      </c>
      <c r="BY41" s="2839">
        <f t="shared" si="360"/>
        <v>-161.36938590292084</v>
      </c>
      <c r="BZ41" s="2839">
        <f t="shared" si="360"/>
        <v>-161.03118328156188</v>
      </c>
      <c r="CA41" s="2839">
        <f t="shared" si="360"/>
        <v>-0.33820262135922263</v>
      </c>
      <c r="CB41" s="2868">
        <f t="shared" si="361"/>
        <v>7298.836211805843</v>
      </c>
      <c r="CC41" s="2868">
        <f t="shared" si="361"/>
        <v>7277.3909465631241</v>
      </c>
      <c r="CD41" s="2868">
        <f t="shared" si="361"/>
        <v>21.445265242718449</v>
      </c>
      <c r="CE41" s="2868">
        <f t="shared" si="361"/>
        <v>7301.4433100000006</v>
      </c>
      <c r="CF41" s="2868">
        <f t="shared" si="361"/>
        <v>7279.0166599999993</v>
      </c>
      <c r="CG41" s="2868">
        <f t="shared" si="361"/>
        <v>22.426650000000002</v>
      </c>
      <c r="CH41" s="2883">
        <f t="shared" si="361"/>
        <v>6096.0323699999999</v>
      </c>
      <c r="CI41" s="2883">
        <f t="shared" si="361"/>
        <v>6077.6966499999999</v>
      </c>
      <c r="CJ41" s="2883">
        <f t="shared" si="361"/>
        <v>18.335720000000002</v>
      </c>
      <c r="CK41" s="2839">
        <f t="shared" si="362"/>
        <v>2.6070981941575155</v>
      </c>
      <c r="CL41" s="2839">
        <f t="shared" si="362"/>
        <v>1.6257134368752304</v>
      </c>
      <c r="CM41" s="2839">
        <f t="shared" si="362"/>
        <v>0.98138475728155328</v>
      </c>
      <c r="CN41" s="2775">
        <f t="shared" si="398"/>
        <v>1216.4727019676404</v>
      </c>
      <c r="CO41" s="2775">
        <f>SUM('ПОЛНАЯ СЕБЕСТОИМОСТЬ СТОКИ 2023'!AP159)/3</f>
        <v>1212.8984910938541</v>
      </c>
      <c r="CP41" s="2775">
        <f>SUM('ПОЛНАЯ СЕБЕСТОИМОСТЬ СТОКИ 2023'!AQ159)/3</f>
        <v>3.574210873786408</v>
      </c>
      <c r="CQ41" s="2775">
        <f t="shared" si="399"/>
        <v>1114.56717</v>
      </c>
      <c r="CR41" s="2775">
        <f>SUM('ПОЛНАЯ СЕБЕСТОИМОСТЬ СТОКИ 2023'!AS159)</f>
        <v>1112.201</v>
      </c>
      <c r="CS41" s="2775">
        <f>SUM('ПОЛНАЯ СЕБЕСТОИМОСТЬ СТОКИ 2023'!AT159)</f>
        <v>2.3661699999999999</v>
      </c>
      <c r="CT41" s="2833">
        <f t="shared" si="400"/>
        <v>997.80199999999991</v>
      </c>
      <c r="CU41" s="2833">
        <v>993.74099999999987</v>
      </c>
      <c r="CV41" s="2833">
        <v>4.0609999999999999</v>
      </c>
      <c r="CW41" s="2775">
        <f t="shared" si="401"/>
        <v>1216.4727019676404</v>
      </c>
      <c r="CX41" s="2775">
        <f t="shared" si="402"/>
        <v>1212.8984910938541</v>
      </c>
      <c r="CY41" s="2775">
        <f t="shared" si="403"/>
        <v>3.574210873786408</v>
      </c>
      <c r="CZ41" s="2775">
        <f t="shared" si="404"/>
        <v>0</v>
      </c>
      <c r="DA41" s="2775">
        <f>SUM('ПОЛНАЯ СЕБЕСТОИМОСТЬ СТОКИ 2023'!AV159)</f>
        <v>0</v>
      </c>
      <c r="DB41" s="2775">
        <f>SUM('ПОЛНАЯ СЕБЕСТОИМОСТЬ СТОКИ 2023'!AW159)</f>
        <v>0</v>
      </c>
      <c r="DC41" s="2833">
        <f t="shared" si="405"/>
        <v>935.75800000000004</v>
      </c>
      <c r="DD41" s="2833">
        <v>933.47500000000002</v>
      </c>
      <c r="DE41" s="2833">
        <v>2.2829999999999999</v>
      </c>
      <c r="DF41" s="2775">
        <f t="shared" si="406"/>
        <v>1216.4727019676404</v>
      </c>
      <c r="DG41" s="2775">
        <f t="shared" si="407"/>
        <v>1212.8984910938541</v>
      </c>
      <c r="DH41" s="2775">
        <f t="shared" si="408"/>
        <v>3.574210873786408</v>
      </c>
      <c r="DI41" s="2775">
        <f t="shared" si="409"/>
        <v>0</v>
      </c>
      <c r="DJ41" s="2775">
        <f>SUM('ПОЛНАЯ СЕБЕСТОИМОСТЬ СТОКИ 2023'!AY159)</f>
        <v>0</v>
      </c>
      <c r="DK41" s="2775">
        <f>SUM('ПОЛНАЯ СЕБЕСТОИМОСТЬ СТОКИ 2023'!AZ159)</f>
        <v>0</v>
      </c>
      <c r="DL41" s="2833">
        <f t="shared" si="410"/>
        <v>1101.7629999999999</v>
      </c>
      <c r="DM41" s="2833">
        <v>1098.6859999999999</v>
      </c>
      <c r="DN41" s="2833">
        <v>3.077</v>
      </c>
      <c r="DO41" s="2868">
        <f t="shared" si="363"/>
        <v>3649.4181059029215</v>
      </c>
      <c r="DP41" s="2868">
        <f t="shared" si="363"/>
        <v>3638.695473281562</v>
      </c>
      <c r="DQ41" s="2868">
        <f t="shared" si="363"/>
        <v>10.722632621359224</v>
      </c>
      <c r="DR41" s="2868">
        <f t="shared" si="363"/>
        <v>1114.56717</v>
      </c>
      <c r="DS41" s="2868">
        <f t="shared" si="363"/>
        <v>1112.201</v>
      </c>
      <c r="DT41" s="2868">
        <f t="shared" si="363"/>
        <v>2.3661699999999999</v>
      </c>
      <c r="DU41" s="2868">
        <f t="shared" si="363"/>
        <v>3035.3229999999999</v>
      </c>
      <c r="DV41" s="2868">
        <f t="shared" si="363"/>
        <v>3025.902</v>
      </c>
      <c r="DW41" s="2868">
        <f t="shared" si="363"/>
        <v>9.4209999999999994</v>
      </c>
      <c r="DX41" s="2839">
        <f t="shared" si="364"/>
        <v>-2534.8509359029213</v>
      </c>
      <c r="DY41" s="2839">
        <f t="shared" si="364"/>
        <v>-2526.494473281562</v>
      </c>
      <c r="DZ41" s="2839">
        <f t="shared" si="364"/>
        <v>-8.3564626213592241</v>
      </c>
      <c r="EA41" s="2868">
        <f t="shared" si="365"/>
        <v>10948.254317708765</v>
      </c>
      <c r="EB41" s="2868">
        <f t="shared" si="365"/>
        <v>10916.086419844687</v>
      </c>
      <c r="EC41" s="2868">
        <f t="shared" si="365"/>
        <v>32.167897864077673</v>
      </c>
      <c r="ED41" s="2868">
        <f t="shared" si="365"/>
        <v>8416.0104800000008</v>
      </c>
      <c r="EE41" s="2868">
        <f t="shared" si="365"/>
        <v>8391.2176599999984</v>
      </c>
      <c r="EF41" s="2868">
        <f t="shared" si="365"/>
        <v>24.792820000000003</v>
      </c>
      <c r="EG41" s="2868">
        <f t="shared" si="365"/>
        <v>9131.3553699999993</v>
      </c>
      <c r="EH41" s="2868">
        <f t="shared" si="365"/>
        <v>9103.5986499999999</v>
      </c>
      <c r="EI41" s="2868">
        <f t="shared" si="365"/>
        <v>27.756720000000001</v>
      </c>
      <c r="EJ41" s="2839">
        <f t="shared" si="366"/>
        <v>-2532.2438377087637</v>
      </c>
      <c r="EK41" s="2839">
        <f t="shared" si="366"/>
        <v>-2524.8687598446886</v>
      </c>
      <c r="EL41" s="2839">
        <f t="shared" si="366"/>
        <v>-7.3750778640776709</v>
      </c>
      <c r="EM41" s="2775">
        <f t="shared" si="411"/>
        <v>1216.4727019676404</v>
      </c>
      <c r="EN41" s="2775">
        <f>SUM('ПОЛНАЯ СЕБЕСТОИМОСТЬ СТОКИ 2023'!BN159)/3</f>
        <v>1212.8984910938541</v>
      </c>
      <c r="EO41" s="2775">
        <f>SUM('ПОЛНАЯ СЕБЕСТОИМОСТЬ СТОКИ 2023'!BO159)/3</f>
        <v>3.574210873786408</v>
      </c>
      <c r="EP41" s="2775">
        <f t="shared" si="412"/>
        <v>0</v>
      </c>
      <c r="EQ41" s="2775">
        <f>SUM('ПОЛНАЯ СЕБЕСТОИМОСТЬ СТОКИ 2023'!BQ159)</f>
        <v>0</v>
      </c>
      <c r="ER41" s="2775">
        <f>SUM('ПОЛНАЯ СЕБЕСТОИМОСТЬ СТОКИ 2023'!BR159)</f>
        <v>0</v>
      </c>
      <c r="ES41" s="2833">
        <f t="shared" si="413"/>
        <v>1026.1209999999999</v>
      </c>
      <c r="ET41" s="2833">
        <v>1022.7089999999999</v>
      </c>
      <c r="EU41" s="2833">
        <v>3.4119999999999999</v>
      </c>
      <c r="EV41" s="2775">
        <f t="shared" si="414"/>
        <v>1216.4727019676404</v>
      </c>
      <c r="EW41" s="2775">
        <f t="shared" si="415"/>
        <v>1212.8984910938541</v>
      </c>
      <c r="EX41" s="2775">
        <f t="shared" si="416"/>
        <v>3.574210873786408</v>
      </c>
      <c r="EY41" s="2775">
        <f t="shared" si="417"/>
        <v>0</v>
      </c>
      <c r="EZ41" s="2775">
        <f>SUM('ПОЛНАЯ СЕБЕСТОИМОСТЬ СТОКИ 2023'!BT159)</f>
        <v>0</v>
      </c>
      <c r="FA41" s="2775">
        <f>SUM('ПОЛНАЯ СЕБЕСТОИМОСТЬ СТОКИ 2023'!BU159)</f>
        <v>0</v>
      </c>
      <c r="FB41" s="2833">
        <f t="shared" si="418"/>
        <v>971.64338000000009</v>
      </c>
      <c r="FC41" s="2833">
        <v>967.70782000000008</v>
      </c>
      <c r="FD41" s="2833">
        <v>3.9355599999999997</v>
      </c>
      <c r="FE41" s="2775">
        <f t="shared" si="419"/>
        <v>1216.4727019676404</v>
      </c>
      <c r="FF41" s="2775">
        <f t="shared" si="420"/>
        <v>1212.8984910938541</v>
      </c>
      <c r="FG41" s="2775">
        <f t="shared" si="421"/>
        <v>3.574210873786408</v>
      </c>
      <c r="FH41" s="2775">
        <f t="shared" si="422"/>
        <v>0</v>
      </c>
      <c r="FI41" s="2775">
        <f>SUM('ПОЛНАЯ СЕБЕСТОИМОСТЬ СТОКИ 2023'!BW159)</f>
        <v>0</v>
      </c>
      <c r="FJ41" s="2775">
        <f>SUM('ПОЛНАЯ СЕБЕСТОИМОСТЬ СТОКИ 2023'!BX159)</f>
        <v>0</v>
      </c>
      <c r="FK41" s="2833">
        <f t="shared" si="423"/>
        <v>1090.3949999999998</v>
      </c>
      <c r="FL41" s="2833">
        <v>1085.4009999999998</v>
      </c>
      <c r="FM41" s="2833">
        <v>4.9939999999999998</v>
      </c>
      <c r="FN41" s="2868">
        <f t="shared" si="367"/>
        <v>3649.4181059029215</v>
      </c>
      <c r="FO41" s="2868">
        <f t="shared" si="367"/>
        <v>3638.695473281562</v>
      </c>
      <c r="FP41" s="2868">
        <f t="shared" si="367"/>
        <v>10.722632621359224</v>
      </c>
      <c r="FQ41" s="2868">
        <f t="shared" si="367"/>
        <v>0</v>
      </c>
      <c r="FR41" s="2868">
        <f t="shared" si="367"/>
        <v>0</v>
      </c>
      <c r="FS41" s="2868">
        <f t="shared" si="367"/>
        <v>0</v>
      </c>
      <c r="FT41" s="2868">
        <f t="shared" si="367"/>
        <v>3088.1593800000001</v>
      </c>
      <c r="FU41" s="2868">
        <f t="shared" si="367"/>
        <v>3075.8178199999998</v>
      </c>
      <c r="FV41" s="2868">
        <f t="shared" si="367"/>
        <v>12.341559999999999</v>
      </c>
      <c r="FW41" s="2839">
        <f t="shared" si="368"/>
        <v>-3649.4181059029215</v>
      </c>
      <c r="FX41" s="2839">
        <f t="shared" si="368"/>
        <v>-3638.695473281562</v>
      </c>
      <c r="FY41" s="2839">
        <f t="shared" si="368"/>
        <v>-10.722632621359224</v>
      </c>
      <c r="FZ41" s="2863">
        <f t="shared" si="369"/>
        <v>14597.672423611686</v>
      </c>
      <c r="GA41" s="2863">
        <f t="shared" si="369"/>
        <v>14554.781893126248</v>
      </c>
      <c r="GB41" s="2863">
        <f t="shared" si="369"/>
        <v>42.890530485436898</v>
      </c>
      <c r="GC41" s="2868">
        <f t="shared" si="369"/>
        <v>8416.0104800000008</v>
      </c>
      <c r="GD41" s="2868">
        <f t="shared" si="369"/>
        <v>8391.2176599999984</v>
      </c>
      <c r="GE41" s="2868">
        <f t="shared" si="369"/>
        <v>24.792820000000003</v>
      </c>
      <c r="GF41" s="2868">
        <f t="shared" si="369"/>
        <v>12219.514749999998</v>
      </c>
      <c r="GG41" s="2868">
        <f t="shared" si="369"/>
        <v>12179.41647</v>
      </c>
      <c r="GH41" s="2868">
        <f t="shared" si="369"/>
        <v>40.098280000000003</v>
      </c>
      <c r="GI41" s="2839">
        <f t="shared" si="370"/>
        <v>-6181.6619436116853</v>
      </c>
      <c r="GJ41" s="2839">
        <f t="shared" si="370"/>
        <v>-6163.5642331262497</v>
      </c>
      <c r="GK41" s="2839">
        <f t="shared" si="370"/>
        <v>-18.097710485436895</v>
      </c>
      <c r="GM41" s="3576">
        <f t="shared" si="371"/>
        <v>14597.672423611688</v>
      </c>
    </row>
    <row r="42" spans="1:195" ht="18.75" customHeight="1" x14ac:dyDescent="0.3">
      <c r="A42" s="2884" t="s">
        <v>308</v>
      </c>
      <c r="B42" s="2783">
        <f>SUM(B41/B40)</f>
        <v>0.30258056716554294</v>
      </c>
      <c r="C42" s="2783">
        <f t="shared" ref="C42:AK42" si="424">SUM(C41/C40)</f>
        <v>0.30258213453007005</v>
      </c>
      <c r="D42" s="2783">
        <f t="shared" si="424"/>
        <v>0.30204962243797195</v>
      </c>
      <c r="E42" s="2783">
        <f t="shared" si="424"/>
        <v>0.29955959110475355</v>
      </c>
      <c r="F42" s="2783">
        <f t="shared" si="424"/>
        <v>0.29955250014003676</v>
      </c>
      <c r="G42" s="2783">
        <f t="shared" si="424"/>
        <v>0.30199952803985569</v>
      </c>
      <c r="H42" s="2783">
        <f t="shared" si="424"/>
        <v>0.30744287474484666</v>
      </c>
      <c r="I42" s="2783">
        <v>0.30746009553266906</v>
      </c>
      <c r="J42" s="2783">
        <v>0.30197028764092299</v>
      </c>
      <c r="K42" s="2783">
        <f t="shared" si="424"/>
        <v>0.30258056716554294</v>
      </c>
      <c r="L42" s="2783">
        <f t="shared" si="424"/>
        <v>0.30258213453007005</v>
      </c>
      <c r="M42" s="2783">
        <f t="shared" si="424"/>
        <v>0.30204962243797195</v>
      </c>
      <c r="N42" s="2783">
        <f t="shared" si="424"/>
        <v>0.30980949653473616</v>
      </c>
      <c r="O42" s="2783">
        <f t="shared" si="424"/>
        <v>0.30983246913696239</v>
      </c>
      <c r="P42" s="2783">
        <f t="shared" si="424"/>
        <v>0.30199976340292223</v>
      </c>
      <c r="Q42" s="2783">
        <f t="shared" ref="Q42" si="425">SUM(Q41/Q40)</f>
        <v>0.29941271447081985</v>
      </c>
      <c r="R42" s="2783">
        <v>0.29940527565736763</v>
      </c>
      <c r="S42" s="2783">
        <v>0.30193325945080651</v>
      </c>
      <c r="T42" s="2783">
        <f t="shared" si="424"/>
        <v>0.30258056716554294</v>
      </c>
      <c r="U42" s="2783">
        <f t="shared" si="424"/>
        <v>0.30258213453007005</v>
      </c>
      <c r="V42" s="2783">
        <f t="shared" si="424"/>
        <v>0.30204962243797195</v>
      </c>
      <c r="W42" s="2783">
        <f t="shared" si="424"/>
        <v>0.31896815885967278</v>
      </c>
      <c r="X42" s="2783">
        <f t="shared" si="424"/>
        <v>0.318898200693713</v>
      </c>
      <c r="Y42" s="2783">
        <f t="shared" si="424"/>
        <v>0.33870437985543655</v>
      </c>
      <c r="Z42" s="2783">
        <f t="shared" si="424"/>
        <v>0.30280619740359294</v>
      </c>
      <c r="AA42" s="2783">
        <v>0.30280851233557721</v>
      </c>
      <c r="AB42" s="2783">
        <v>0.30206476530005943</v>
      </c>
      <c r="AC42" s="2835">
        <f t="shared" si="424"/>
        <v>0.30258056716554294</v>
      </c>
      <c r="AD42" s="2835">
        <f t="shared" si="424"/>
        <v>0.30258213453006999</v>
      </c>
      <c r="AE42" s="2835">
        <f t="shared" si="424"/>
        <v>0.30204962243797195</v>
      </c>
      <c r="AF42" s="2835">
        <f t="shared" si="424"/>
        <v>0.30864419661585896</v>
      </c>
      <c r="AG42" s="2835">
        <f t="shared" si="424"/>
        <v>0.3086259282800814</v>
      </c>
      <c r="AH42" s="2835">
        <f t="shared" si="424"/>
        <v>0.31452109148995966</v>
      </c>
      <c r="AI42" s="2835">
        <f t="shared" si="424"/>
        <v>0.30326741794614781</v>
      </c>
      <c r="AJ42" s="2835">
        <f t="shared" si="424"/>
        <v>0.30327132050722816</v>
      </c>
      <c r="AK42" s="2835">
        <f t="shared" si="424"/>
        <v>0.30200154460033463</v>
      </c>
      <c r="AL42" s="2805">
        <f t="shared" si="358"/>
        <v>6.0636294503160215E-3</v>
      </c>
      <c r="AM42" s="2805">
        <f t="shared" si="358"/>
        <v>6.0437937500114058E-3</v>
      </c>
      <c r="AN42" s="2805">
        <f t="shared" si="358"/>
        <v>1.2471469051987705E-2</v>
      </c>
      <c r="AO42" s="2783">
        <f t="shared" ref="AO42:BX42" si="426">SUM(AO41/AO40)</f>
        <v>0.30258056716554294</v>
      </c>
      <c r="AP42" s="2783">
        <f t="shared" si="426"/>
        <v>0.30258213453007005</v>
      </c>
      <c r="AQ42" s="2783">
        <f t="shared" si="426"/>
        <v>0.30204962243797195</v>
      </c>
      <c r="AR42" s="2783">
        <f t="shared" si="426"/>
        <v>0.3105667842539433</v>
      </c>
      <c r="AS42" s="2783">
        <f t="shared" si="426"/>
        <v>0.31058765537423405</v>
      </c>
      <c r="AT42" s="2783">
        <f t="shared" si="426"/>
        <v>0.30196399345335517</v>
      </c>
      <c r="AU42" s="2783">
        <f t="shared" si="426"/>
        <v>0.30201295131127259</v>
      </c>
      <c r="AV42" s="2783">
        <v>0.3020128063035884</v>
      </c>
      <c r="AW42" s="2783">
        <v>0.30206146211108992</v>
      </c>
      <c r="AX42" s="2783">
        <f t="shared" si="426"/>
        <v>0.30258056716554294</v>
      </c>
      <c r="AY42" s="2783">
        <f t="shared" si="426"/>
        <v>0.30258213453007005</v>
      </c>
      <c r="AZ42" s="2783">
        <f t="shared" si="426"/>
        <v>0.30204962243797195</v>
      </c>
      <c r="BA42" s="2783">
        <f t="shared" si="426"/>
        <v>0.31210195328527623</v>
      </c>
      <c r="BB42" s="2783">
        <f t="shared" si="426"/>
        <v>0.3121330770366707</v>
      </c>
      <c r="BC42" s="2783">
        <f t="shared" si="426"/>
        <v>0.30199964919853178</v>
      </c>
      <c r="BD42" s="2783">
        <f t="shared" ref="BD42" si="427">SUM(BD41/BD40)</f>
        <v>0.30060967621461071</v>
      </c>
      <c r="BE42" s="2783">
        <v>0.30060749295719474</v>
      </c>
      <c r="BF42" s="2783">
        <v>0.30192006269592475</v>
      </c>
      <c r="BG42" s="2783">
        <f t="shared" si="426"/>
        <v>0.30258056716554294</v>
      </c>
      <c r="BH42" s="2783">
        <f t="shared" si="426"/>
        <v>0.30258213453007005</v>
      </c>
      <c r="BI42" s="2783">
        <f t="shared" si="426"/>
        <v>0.30204962243797195</v>
      </c>
      <c r="BJ42" s="2783">
        <f t="shared" si="426"/>
        <v>0.30817961153959372</v>
      </c>
      <c r="BK42" s="2783">
        <f t="shared" si="426"/>
        <v>0.30820231670074655</v>
      </c>
      <c r="BL42" s="2783">
        <f t="shared" si="426"/>
        <v>0.30199986627937214</v>
      </c>
      <c r="BM42" s="2783">
        <f t="shared" si="426"/>
        <v>0.30205459514409816</v>
      </c>
      <c r="BN42" s="2783">
        <v>0.30205488749852555</v>
      </c>
      <c r="BO42" s="2783">
        <v>0.30198290286963153</v>
      </c>
      <c r="BP42" s="2835">
        <f t="shared" si="426"/>
        <v>0.30258056716554294</v>
      </c>
      <c r="BQ42" s="2835">
        <f t="shared" si="426"/>
        <v>0.30258213453006999</v>
      </c>
      <c r="BR42" s="2835">
        <f t="shared" si="426"/>
        <v>0.30204962243797195</v>
      </c>
      <c r="BS42" s="2835">
        <f t="shared" si="426"/>
        <v>0.31033596497847771</v>
      </c>
      <c r="BT42" s="2835">
        <f t="shared" si="426"/>
        <v>0.31036157445615109</v>
      </c>
      <c r="BU42" s="2835">
        <f t="shared" si="426"/>
        <v>0.301990864456676</v>
      </c>
      <c r="BV42" s="2835">
        <f t="shared" si="426"/>
        <v>0.30159864226094368</v>
      </c>
      <c r="BW42" s="2835">
        <f t="shared" si="426"/>
        <v>0.30159745499701934</v>
      </c>
      <c r="BX42" s="2835">
        <f t="shared" si="426"/>
        <v>0.30199985424196374</v>
      </c>
      <c r="BY42" s="2805">
        <f t="shared" si="360"/>
        <v>7.7553978129347723E-3</v>
      </c>
      <c r="BZ42" s="2805">
        <f t="shared" si="360"/>
        <v>7.7794399260810998E-3</v>
      </c>
      <c r="CA42" s="2805">
        <f t="shared" si="360"/>
        <v>-5.8757981295953776E-5</v>
      </c>
      <c r="CB42" s="2835">
        <f>SUM(CB41/CB40)</f>
        <v>0.30258056716554294</v>
      </c>
      <c r="CC42" s="2835">
        <f t="shared" ref="CC42:CJ42" si="428">SUM(CC41/CC40)</f>
        <v>0.30258213453006999</v>
      </c>
      <c r="CD42" s="2835">
        <f t="shared" si="428"/>
        <v>0.30204962243797195</v>
      </c>
      <c r="CE42" s="2835">
        <f t="shared" si="428"/>
        <v>0.3094500818838441</v>
      </c>
      <c r="CF42" s="2835">
        <f t="shared" si="428"/>
        <v>0.30945273217413211</v>
      </c>
      <c r="CG42" s="2835">
        <f t="shared" si="428"/>
        <v>0.30859226917998933</v>
      </c>
      <c r="CH42" s="2835">
        <f t="shared" si="428"/>
        <v>0.30243575957618912</v>
      </c>
      <c r="CI42" s="2835">
        <f t="shared" si="428"/>
        <v>0.30243707393919844</v>
      </c>
      <c r="CJ42" s="2835">
        <f t="shared" si="428"/>
        <v>0.3020007194367838</v>
      </c>
      <c r="CK42" s="2805">
        <f t="shared" si="362"/>
        <v>6.8695147183011618E-3</v>
      </c>
      <c r="CL42" s="2805">
        <f t="shared" si="362"/>
        <v>6.8705976440621153E-3</v>
      </c>
      <c r="CM42" s="2805">
        <f t="shared" si="362"/>
        <v>6.5426467420173773E-3</v>
      </c>
      <c r="CN42" s="2783">
        <f t="shared" ref="CN42:DW42" si="429">SUM(CN41/CN40)</f>
        <v>0.30258056716554294</v>
      </c>
      <c r="CO42" s="2783">
        <f t="shared" si="429"/>
        <v>0.30258213453007005</v>
      </c>
      <c r="CP42" s="2783">
        <f t="shared" si="429"/>
        <v>0.30204962243797195</v>
      </c>
      <c r="CQ42" s="2783">
        <f t="shared" si="429"/>
        <v>0.30860903181981869</v>
      </c>
      <c r="CR42" s="2783">
        <f t="shared" si="429"/>
        <v>0.3085656150790293</v>
      </c>
      <c r="CS42" s="2783">
        <f t="shared" si="429"/>
        <v>0.33046513186929827</v>
      </c>
      <c r="CT42" s="2783">
        <f t="shared" si="429"/>
        <v>0.30194947364725966</v>
      </c>
      <c r="CU42" s="2783">
        <v>0.30194944887459568</v>
      </c>
      <c r="CV42" s="2783">
        <v>0.3019555357275634</v>
      </c>
      <c r="CW42" s="2783">
        <f t="shared" si="429"/>
        <v>0.30258056716554294</v>
      </c>
      <c r="CX42" s="2783">
        <f t="shared" si="429"/>
        <v>0.30258213453007005</v>
      </c>
      <c r="CY42" s="2783">
        <f t="shared" si="429"/>
        <v>0.30204962243797195</v>
      </c>
      <c r="CZ42" s="2783" t="e">
        <f t="shared" si="429"/>
        <v>#DIV/0!</v>
      </c>
      <c r="DA42" s="2783" t="e">
        <f t="shared" si="429"/>
        <v>#DIV/0!</v>
      </c>
      <c r="DB42" s="2783" t="e">
        <f t="shared" si="429"/>
        <v>#DIV/0!</v>
      </c>
      <c r="DC42" s="2783">
        <f t="shared" ref="DC42" si="430">SUM(DC41/DC40)</f>
        <v>0.30132349356446786</v>
      </c>
      <c r="DD42" s="2783">
        <v>0.30132178413097244</v>
      </c>
      <c r="DE42" s="2783">
        <v>0.30202407725889668</v>
      </c>
      <c r="DF42" s="2783">
        <f t="shared" si="429"/>
        <v>0.30258056716554294</v>
      </c>
      <c r="DG42" s="2783">
        <f t="shared" si="429"/>
        <v>0.30258213453007005</v>
      </c>
      <c r="DH42" s="2783">
        <f t="shared" si="429"/>
        <v>0.30204962243797195</v>
      </c>
      <c r="DI42" s="2783" t="e">
        <f t="shared" si="429"/>
        <v>#DIV/0!</v>
      </c>
      <c r="DJ42" s="2783" t="e">
        <f t="shared" si="429"/>
        <v>#DIV/0!</v>
      </c>
      <c r="DK42" s="2783" t="e">
        <f t="shared" si="429"/>
        <v>#DIV/0!</v>
      </c>
      <c r="DL42" s="2783">
        <f t="shared" si="429"/>
        <v>0.30140662974598703</v>
      </c>
      <c r="DM42" s="2783">
        <v>0.30140482720233114</v>
      </c>
      <c r="DN42" s="2783">
        <v>0.30205163443604593</v>
      </c>
      <c r="DO42" s="2835">
        <f t="shared" si="429"/>
        <v>0.30258056716554294</v>
      </c>
      <c r="DP42" s="2835">
        <f t="shared" si="429"/>
        <v>0.30258213453006999</v>
      </c>
      <c r="DQ42" s="2835">
        <f t="shared" si="429"/>
        <v>0.30204962243797195</v>
      </c>
      <c r="DR42" s="2835">
        <f t="shared" si="429"/>
        <v>0.30860903181981869</v>
      </c>
      <c r="DS42" s="2835">
        <f t="shared" si="429"/>
        <v>0.3085656150790293</v>
      </c>
      <c r="DT42" s="2835">
        <f t="shared" si="429"/>
        <v>0.33046513186929827</v>
      </c>
      <c r="DU42" s="2835">
        <f t="shared" si="429"/>
        <v>0.30155919816639726</v>
      </c>
      <c r="DV42" s="2835">
        <f t="shared" si="429"/>
        <v>0.30155781681413679</v>
      </c>
      <c r="DW42" s="2835">
        <f t="shared" si="429"/>
        <v>0.30200352620612275</v>
      </c>
      <c r="DX42" s="2805">
        <f t="shared" si="364"/>
        <v>6.0284646542757558E-3</v>
      </c>
      <c r="DY42" s="2805">
        <f t="shared" si="364"/>
        <v>5.9834805489593079E-3</v>
      </c>
      <c r="DZ42" s="2805">
        <f t="shared" si="364"/>
        <v>2.8415509431326313E-2</v>
      </c>
      <c r="EA42" s="2835">
        <f t="shared" ref="EA42:EI42" si="431">SUM(EA41/EA40)</f>
        <v>0.30258056716554294</v>
      </c>
      <c r="EB42" s="2835">
        <f t="shared" si="431"/>
        <v>0.30258213453007005</v>
      </c>
      <c r="EC42" s="2835">
        <f t="shared" si="431"/>
        <v>0.3020496224379719</v>
      </c>
      <c r="ED42" s="2835">
        <f t="shared" si="431"/>
        <v>0.30933843487842322</v>
      </c>
      <c r="EE42" s="2835">
        <f t="shared" si="431"/>
        <v>0.30933485748087963</v>
      </c>
      <c r="EF42" s="2835">
        <f t="shared" si="431"/>
        <v>0.31055398960119462</v>
      </c>
      <c r="EG42" s="2835">
        <f t="shared" si="431"/>
        <v>0.30214381988066452</v>
      </c>
      <c r="EH42" s="2835">
        <f t="shared" si="431"/>
        <v>0.30214425349153357</v>
      </c>
      <c r="EI42" s="2835">
        <f t="shared" si="431"/>
        <v>0.3020016720857856</v>
      </c>
      <c r="EJ42" s="2805">
        <f t="shared" si="366"/>
        <v>6.7578677128802833E-3</v>
      </c>
      <c r="EK42" s="2805">
        <f t="shared" si="366"/>
        <v>6.7527229508095865E-3</v>
      </c>
      <c r="EL42" s="2805">
        <f t="shared" si="366"/>
        <v>8.5043671632227258E-3</v>
      </c>
      <c r="EM42" s="2783">
        <f t="shared" ref="EM42:FV42" si="432">SUM(EM41/EM40)</f>
        <v>0.30258056716554294</v>
      </c>
      <c r="EN42" s="2783">
        <f t="shared" si="432"/>
        <v>0.30258213453007005</v>
      </c>
      <c r="EO42" s="2783">
        <f t="shared" si="432"/>
        <v>0.30204962243797195</v>
      </c>
      <c r="EP42" s="2783" t="e">
        <f t="shared" si="432"/>
        <v>#DIV/0!</v>
      </c>
      <c r="EQ42" s="2783" t="e">
        <f t="shared" si="432"/>
        <v>#DIV/0!</v>
      </c>
      <c r="ER42" s="2783" t="e">
        <f t="shared" si="432"/>
        <v>#DIV/0!</v>
      </c>
      <c r="ES42" s="2783">
        <f t="shared" si="432"/>
        <v>0.300150788972953</v>
      </c>
      <c r="ET42" s="2783">
        <v>0.30014448012833284</v>
      </c>
      <c r="EU42" s="2783">
        <v>0.30205382436260625</v>
      </c>
      <c r="EV42" s="2783">
        <f t="shared" si="432"/>
        <v>0.30258056716554294</v>
      </c>
      <c r="EW42" s="2783">
        <f t="shared" si="432"/>
        <v>0.30258213453007005</v>
      </c>
      <c r="EX42" s="2783">
        <f t="shared" si="432"/>
        <v>0.30204962243797195</v>
      </c>
      <c r="EY42" s="2783" t="e">
        <f t="shared" si="432"/>
        <v>#DIV/0!</v>
      </c>
      <c r="EZ42" s="2783" t="e">
        <f t="shared" si="432"/>
        <v>#DIV/0!</v>
      </c>
      <c r="FA42" s="2783" t="e">
        <f t="shared" si="432"/>
        <v>#DIV/0!</v>
      </c>
      <c r="FB42" s="2783">
        <f t="shared" ref="FB42" si="433">SUM(FB41/FB40)</f>
        <v>0.30170908422851866</v>
      </c>
      <c r="FC42" s="2783">
        <v>0.30170790360258154</v>
      </c>
      <c r="FD42" s="2783">
        <v>0.30199966696517022</v>
      </c>
      <c r="FE42" s="2783">
        <f t="shared" si="432"/>
        <v>0.30258056716554294</v>
      </c>
      <c r="FF42" s="2783">
        <f t="shared" si="432"/>
        <v>0.30258213453007005</v>
      </c>
      <c r="FG42" s="2783">
        <f t="shared" si="432"/>
        <v>0.30204962243797195</v>
      </c>
      <c r="FH42" s="2783" t="e">
        <f t="shared" si="432"/>
        <v>#DIV/0!</v>
      </c>
      <c r="FI42" s="2783" t="e">
        <f t="shared" si="432"/>
        <v>#DIV/0!</v>
      </c>
      <c r="FJ42" s="2783" t="e">
        <f t="shared" si="432"/>
        <v>#DIV/0!</v>
      </c>
      <c r="FK42" s="2783">
        <f t="shared" si="432"/>
        <v>0.3002105392994302</v>
      </c>
      <c r="FL42" s="2783">
        <v>0.30020248575394753</v>
      </c>
      <c r="FM42" s="2783">
        <v>0.30197121780142699</v>
      </c>
      <c r="FN42" s="2835">
        <f t="shared" si="432"/>
        <v>0.30258056716554294</v>
      </c>
      <c r="FO42" s="2835">
        <f t="shared" si="432"/>
        <v>0.30258213453006999</v>
      </c>
      <c r="FP42" s="2835">
        <f t="shared" si="432"/>
        <v>0.30204962243797195</v>
      </c>
      <c r="FQ42" s="2835" t="e">
        <f t="shared" si="432"/>
        <v>#DIV/0!</v>
      </c>
      <c r="FR42" s="2835" t="e">
        <f t="shared" si="432"/>
        <v>#DIV/0!</v>
      </c>
      <c r="FS42" s="2835" t="e">
        <f t="shared" si="432"/>
        <v>#DIV/0!</v>
      </c>
      <c r="FT42" s="2835">
        <f t="shared" si="432"/>
        <v>0.30066050818573897</v>
      </c>
      <c r="FU42" s="2835">
        <f t="shared" si="432"/>
        <v>0.30065514505506213</v>
      </c>
      <c r="FV42" s="2835">
        <f t="shared" si="432"/>
        <v>0.30200312389347833</v>
      </c>
      <c r="FW42" s="2885" t="e">
        <f t="shared" si="368"/>
        <v>#DIV/0!</v>
      </c>
      <c r="FX42" s="2885"/>
      <c r="FY42" s="2885"/>
      <c r="FZ42" s="4559">
        <f t="shared" ref="FZ42:GH42" si="434">SUM(FZ41/FZ40)</f>
        <v>0.30258056716554294</v>
      </c>
      <c r="GA42" s="4559">
        <f t="shared" si="434"/>
        <v>0.30258213453006999</v>
      </c>
      <c r="GB42" s="4559">
        <f t="shared" si="434"/>
        <v>0.30204962243797195</v>
      </c>
      <c r="GC42" s="2835">
        <f t="shared" si="434"/>
        <v>0.30933843487842322</v>
      </c>
      <c r="GD42" s="2835">
        <f t="shared" si="434"/>
        <v>0.30933485748087963</v>
      </c>
      <c r="GE42" s="2835">
        <f t="shared" si="434"/>
        <v>0.31055398960119462</v>
      </c>
      <c r="GF42" s="2835">
        <f t="shared" si="434"/>
        <v>0.30176757175236774</v>
      </c>
      <c r="GG42" s="2835">
        <f t="shared" si="434"/>
        <v>0.30176680015465085</v>
      </c>
      <c r="GH42" s="2835">
        <f t="shared" si="434"/>
        <v>0.302002118925703</v>
      </c>
      <c r="GI42" s="2805">
        <f t="shared" si="370"/>
        <v>6.7578677128802833E-3</v>
      </c>
      <c r="GJ42" s="2805">
        <f t="shared" si="370"/>
        <v>6.752722950809642E-3</v>
      </c>
      <c r="GK42" s="2805">
        <f t="shared" si="370"/>
        <v>8.5043671632226703E-3</v>
      </c>
      <c r="GM42" s="3576">
        <f t="shared" si="371"/>
        <v>3.6309668059865143</v>
      </c>
    </row>
    <row r="43" spans="1:195" ht="18.75" customHeight="1" x14ac:dyDescent="0.3">
      <c r="A43" s="2862" t="s">
        <v>3718</v>
      </c>
      <c r="B43" s="2775">
        <f t="shared" ref="B43:B60" si="435">SUM(C43:D43)</f>
        <v>2050.6922676161439</v>
      </c>
      <c r="C43" s="2775">
        <f>SUM('ПОЛНАЯ СЕБЕСТОИМОСТЬ СТОКИ 2023'!C161)/3</f>
        <v>2050.6922676161439</v>
      </c>
      <c r="D43" s="2775">
        <f>SUM('ПОЛНАЯ СЕБЕСТОИМОСТЬ СТОКИ 2023'!D161)/3</f>
        <v>0</v>
      </c>
      <c r="E43" s="2775">
        <f t="shared" ref="E43:E60" si="436">SUM(F43:G43)</f>
        <v>2131.0070000000001</v>
      </c>
      <c r="F43" s="2775">
        <f>SUM('ПОЛНАЯ СЕБЕСТОИМОСТЬ СТОКИ 2023'!F161)</f>
        <v>2131.0070000000001</v>
      </c>
      <c r="G43" s="2775">
        <f>SUM('ПОЛНАЯ СЕБЕСТОИМОСТЬ СТОКИ 2023'!G161)</f>
        <v>0</v>
      </c>
      <c r="H43" s="2886">
        <f>SUM(H44:H47)</f>
        <v>1335.8654999999999</v>
      </c>
      <c r="I43" s="2886">
        <v>1335.8654999999999</v>
      </c>
      <c r="J43" s="2886">
        <v>0</v>
      </c>
      <c r="K43" s="2775">
        <f t="shared" ref="K43:K54" si="437">SUM(L43:M43)</f>
        <v>2050.6922676161439</v>
      </c>
      <c r="L43" s="2775">
        <f t="shared" ref="L43:L60" si="438">SUM(C43)</f>
        <v>2050.6922676161439</v>
      </c>
      <c r="M43" s="2775">
        <f t="shared" ref="M43:M60" si="439">SUM(D43)</f>
        <v>0</v>
      </c>
      <c r="N43" s="2775">
        <f t="shared" ref="N43:N55" si="440">SUM(O43:P43)</f>
        <v>1894.8214499999999</v>
      </c>
      <c r="O43" s="2775">
        <f>SUM('ПОЛНАЯ СЕБЕСТОИМОСТЬ СТОКИ 2023'!I161)</f>
        <v>1894.8214499999999</v>
      </c>
      <c r="P43" s="2775">
        <f>SUM('ПОЛНАЯ СЕБЕСТОИМОСТЬ СТОКИ 2023'!J161)</f>
        <v>0</v>
      </c>
      <c r="Q43" s="2886">
        <f>SUM(Q44:Q47)</f>
        <v>1213.6660000000002</v>
      </c>
      <c r="R43" s="2886">
        <v>1213.6660000000002</v>
      </c>
      <c r="S43" s="2886">
        <v>0</v>
      </c>
      <c r="T43" s="2775">
        <f t="shared" ref="T43:T56" si="441">SUM(U43:V43)</f>
        <v>2050.6922676161439</v>
      </c>
      <c r="U43" s="2775">
        <f t="shared" ref="U43:U60" si="442">SUM(L43)</f>
        <v>2050.6922676161439</v>
      </c>
      <c r="V43" s="2775">
        <f t="shared" ref="V43:V60" si="443">SUM(M43)</f>
        <v>0</v>
      </c>
      <c r="W43" s="2775">
        <f t="shared" ref="W43:W55" si="444">SUM(X43:Y43)</f>
        <v>1807.4389900000001</v>
      </c>
      <c r="X43" s="2775">
        <f>SUM('ПОЛНАЯ СЕБЕСТОИМОСТЬ СТОКИ 2023'!L161)</f>
        <v>1807.4389900000001</v>
      </c>
      <c r="Y43" s="2775">
        <f>SUM('ПОЛНАЯ СЕБЕСТОИМОСТЬ СТОКИ 2023'!M161)</f>
        <v>0</v>
      </c>
      <c r="Z43" s="2886">
        <f>SUM(Z44:Z47)</f>
        <v>1717.61</v>
      </c>
      <c r="AA43" s="2886">
        <v>1717.61</v>
      </c>
      <c r="AB43" s="2886">
        <v>0</v>
      </c>
      <c r="AC43" s="2868">
        <f t="shared" ref="AC43:AK58" si="445">SUM(B43+K43+T43)</f>
        <v>6152.0768028484317</v>
      </c>
      <c r="AD43" s="2868">
        <f t="shared" si="445"/>
        <v>6152.0768028484317</v>
      </c>
      <c r="AE43" s="2868">
        <f t="shared" si="445"/>
        <v>0</v>
      </c>
      <c r="AF43" s="2868">
        <f t="shared" si="445"/>
        <v>5833.2674399999996</v>
      </c>
      <c r="AG43" s="2868">
        <f t="shared" si="445"/>
        <v>5833.2674399999996</v>
      </c>
      <c r="AH43" s="2868">
        <f t="shared" si="445"/>
        <v>0</v>
      </c>
      <c r="AI43" s="2868">
        <f t="shared" si="445"/>
        <v>4267.1414999999997</v>
      </c>
      <c r="AJ43" s="2868">
        <f t="shared" si="445"/>
        <v>4267.1414999999997</v>
      </c>
      <c r="AK43" s="2868">
        <f t="shared" si="445"/>
        <v>0</v>
      </c>
      <c r="AL43" s="2839">
        <f t="shared" si="358"/>
        <v>-318.8093628484321</v>
      </c>
      <c r="AM43" s="2839">
        <f t="shared" si="358"/>
        <v>-318.8093628484321</v>
      </c>
      <c r="AN43" s="2839">
        <f t="shared" si="358"/>
        <v>0</v>
      </c>
      <c r="AO43" s="2775">
        <f t="shared" ref="AO43:AO55" si="446">SUM(AP43:AQ43)</f>
        <v>2050.6922676161439</v>
      </c>
      <c r="AP43" s="2775">
        <f>SUM('ПОЛНАЯ СЕБЕСТОИМОСТЬ СТОКИ 2023'!R161)/3</f>
        <v>2050.6922676161439</v>
      </c>
      <c r="AQ43" s="2775">
        <f>SUM('ПОЛНАЯ СЕБЕСТОИМОСТЬ СТОКИ 2023'!S161)/3</f>
        <v>0</v>
      </c>
      <c r="AR43" s="2775">
        <f t="shared" ref="AR43:AR60" si="447">SUM(AS43:AT43)</f>
        <v>2310.7719000000002</v>
      </c>
      <c r="AS43" s="2775">
        <f>SUM('ПОЛНАЯ СЕБЕСТОИМОСТЬ СТОКИ 2023'!U161)</f>
        <v>2310.7719000000002</v>
      </c>
      <c r="AT43" s="2775">
        <f>SUM('ПОЛНАЯ СЕБЕСТОИМОСТЬ СТОКИ 2023'!V161)</f>
        <v>0</v>
      </c>
      <c r="AU43" s="2886">
        <f>SUM(AU44:AU47)</f>
        <v>1169.5370000000003</v>
      </c>
      <c r="AV43" s="2886">
        <v>1169.5370000000003</v>
      </c>
      <c r="AW43" s="2886">
        <v>0</v>
      </c>
      <c r="AX43" s="2775">
        <f t="shared" ref="AX43:AX55" si="448">SUM(AY43:AZ43)</f>
        <v>2050.6922676161439</v>
      </c>
      <c r="AY43" s="2775">
        <f t="shared" ref="AY43:AY60" si="449">SUM(AP43)</f>
        <v>2050.6922676161439</v>
      </c>
      <c r="AZ43" s="2775">
        <f t="shared" ref="AZ43:AZ60" si="450">SUM(AQ43)</f>
        <v>0</v>
      </c>
      <c r="BA43" s="2832">
        <f t="shared" ref="BA43:BA56" si="451">SUM(BB43:BC43)</f>
        <v>3211.9629999999997</v>
      </c>
      <c r="BB43" s="2832">
        <f>SUM('ПОЛНАЯ СЕБЕСТОИМОСТЬ СТОКИ 2023'!X161)</f>
        <v>3211.9629999999997</v>
      </c>
      <c r="BC43" s="2832">
        <f>SUM('ПОЛНАЯ СЕБЕСТОИМОСТЬ СТОКИ 2023'!Y161)</f>
        <v>0</v>
      </c>
      <c r="BD43" s="2886">
        <f>SUM(BD44:BD47)</f>
        <v>1325.259</v>
      </c>
      <c r="BE43" s="2886">
        <v>1325.259</v>
      </c>
      <c r="BF43" s="2886">
        <v>0</v>
      </c>
      <c r="BG43" s="2775">
        <f t="shared" ref="BG43:BG56" si="452">SUM(BH43:BI43)</f>
        <v>2050.6922676161439</v>
      </c>
      <c r="BH43" s="2775">
        <f t="shared" ref="BH43:BH60" si="453">SUM(AY43)</f>
        <v>2050.6922676161439</v>
      </c>
      <c r="BI43" s="2775">
        <f t="shared" ref="BI43:BI60" si="454">SUM(AZ43)</f>
        <v>0</v>
      </c>
      <c r="BJ43" s="2775">
        <f t="shared" ref="BJ43:BJ54" si="455">SUM(BK43:BL43)</f>
        <v>2096.3326099999999</v>
      </c>
      <c r="BK43" s="2775">
        <f>SUM('ПОЛНАЯ СЕБЕСТОИМОСТЬ СТОКИ 2023'!AA161)</f>
        <v>2096.3326099999999</v>
      </c>
      <c r="BL43" s="2775">
        <f>SUM('ПОЛНАЯ СЕБЕСТОИМОСТЬ СТОКИ 2023'!AB161)</f>
        <v>0</v>
      </c>
      <c r="BM43" s="2886">
        <f>SUM(BM44:BM47)</f>
        <v>2154.2240499999994</v>
      </c>
      <c r="BN43" s="2886">
        <v>2154.2240499999994</v>
      </c>
      <c r="BO43" s="2886">
        <v>0</v>
      </c>
      <c r="BP43" s="2868">
        <f t="shared" ref="BP43:BX58" si="456">SUM(AO43+AX43+BG43)</f>
        <v>6152.0768028484317</v>
      </c>
      <c r="BQ43" s="2868">
        <f t="shared" si="456"/>
        <v>6152.0768028484317</v>
      </c>
      <c r="BR43" s="2868">
        <f t="shared" si="456"/>
        <v>0</v>
      </c>
      <c r="BS43" s="2868">
        <f t="shared" si="456"/>
        <v>7619.0675099999989</v>
      </c>
      <c r="BT43" s="2868">
        <f t="shared" si="456"/>
        <v>7619.0675099999989</v>
      </c>
      <c r="BU43" s="2868">
        <f t="shared" si="456"/>
        <v>0</v>
      </c>
      <c r="BV43" s="2868">
        <f t="shared" si="456"/>
        <v>4649.0200499999992</v>
      </c>
      <c r="BW43" s="2868">
        <f t="shared" si="456"/>
        <v>4649.0200499999992</v>
      </c>
      <c r="BX43" s="2868">
        <f t="shared" si="456"/>
        <v>0</v>
      </c>
      <c r="BY43" s="2839">
        <f t="shared" si="360"/>
        <v>1466.9907071515672</v>
      </c>
      <c r="BZ43" s="2839">
        <f t="shared" si="360"/>
        <v>1466.9907071515672</v>
      </c>
      <c r="CA43" s="2839">
        <f t="shared" si="360"/>
        <v>0</v>
      </c>
      <c r="CB43" s="2868">
        <f t="shared" ref="CB43:CJ58" si="457">SUM(AC43+BP43)</f>
        <v>12304.153605696863</v>
      </c>
      <c r="CC43" s="2868">
        <f t="shared" si="457"/>
        <v>12304.153605696863</v>
      </c>
      <c r="CD43" s="2868">
        <f t="shared" si="457"/>
        <v>0</v>
      </c>
      <c r="CE43" s="2868">
        <f t="shared" si="457"/>
        <v>13452.334949999999</v>
      </c>
      <c r="CF43" s="2868">
        <f t="shared" si="457"/>
        <v>13452.334949999999</v>
      </c>
      <c r="CG43" s="2868">
        <f t="shared" si="457"/>
        <v>0</v>
      </c>
      <c r="CH43" s="2883">
        <f t="shared" si="457"/>
        <v>8916.1615499999989</v>
      </c>
      <c r="CI43" s="2883">
        <f t="shared" si="457"/>
        <v>8916.1615499999989</v>
      </c>
      <c r="CJ43" s="2883">
        <f t="shared" si="457"/>
        <v>0</v>
      </c>
      <c r="CK43" s="2839">
        <f t="shared" si="362"/>
        <v>1148.1813443031351</v>
      </c>
      <c r="CL43" s="2839">
        <f t="shared" si="362"/>
        <v>1148.1813443031351</v>
      </c>
      <c r="CM43" s="2839">
        <f t="shared" si="362"/>
        <v>0</v>
      </c>
      <c r="CN43" s="2775">
        <f t="shared" ref="CN43:CN60" si="458">SUM(CO43:CP43)</f>
        <v>2050.6922676161439</v>
      </c>
      <c r="CO43" s="2775">
        <f>SUM('ПОЛНАЯ СЕБЕСТОИМОСТЬ СТОКИ 2023'!AP161)/3</f>
        <v>2050.6922676161439</v>
      </c>
      <c r="CP43" s="2775">
        <f>SUM('ПОЛНАЯ СЕБЕСТОИМОСТЬ СТОКИ 2023'!AQ161)/3</f>
        <v>0</v>
      </c>
      <c r="CQ43" s="2775">
        <f t="shared" ref="CQ43:CQ60" si="459">SUM(CR43:CS43)</f>
        <v>2002.3395300000002</v>
      </c>
      <c r="CR43" s="2775">
        <f>SUM('ПОЛНАЯ СЕБЕСТОИМОСТЬ СТОКИ 2023'!AS161)</f>
        <v>2002.3395300000002</v>
      </c>
      <c r="CS43" s="2775">
        <f>SUM('ПОЛНАЯ СЕБЕСТОИМОСТЬ СТОКИ 2023'!AT161)</f>
        <v>0</v>
      </c>
      <c r="CT43" s="2886">
        <f>SUM(CT44:CT47)</f>
        <v>1625.5899999999997</v>
      </c>
      <c r="CU43" s="2886">
        <v>1625.5899999999997</v>
      </c>
      <c r="CV43" s="2886">
        <v>0</v>
      </c>
      <c r="CW43" s="2775">
        <f t="shared" ref="CW43:CW56" si="460">SUM(CX43:CY43)</f>
        <v>2050.6922676161439</v>
      </c>
      <c r="CX43" s="2775">
        <f t="shared" ref="CX43:CX60" si="461">SUM(CO43)</f>
        <v>2050.6922676161439</v>
      </c>
      <c r="CY43" s="2775">
        <f t="shared" ref="CY43:CY60" si="462">SUM(CP43)</f>
        <v>0</v>
      </c>
      <c r="CZ43" s="2775">
        <f t="shared" ref="CZ43:CZ60" si="463">SUM(DA43:DB43)</f>
        <v>0</v>
      </c>
      <c r="DA43" s="2775">
        <f>SUM('ПОЛНАЯ СЕБЕСТОИМОСТЬ СТОКИ 2023'!AV161)</f>
        <v>0</v>
      </c>
      <c r="DB43" s="2775">
        <f>SUM('ПОЛНАЯ СЕБЕСТОИМОСТЬ СТОКИ 2023'!AW161)</f>
        <v>0</v>
      </c>
      <c r="DC43" s="2886">
        <f>SUM(DC44:DC47)</f>
        <v>1368.4955999999997</v>
      </c>
      <c r="DD43" s="2886">
        <v>1368.4955999999997</v>
      </c>
      <c r="DE43" s="2886">
        <v>0</v>
      </c>
      <c r="DF43" s="2775">
        <f t="shared" ref="DF43:DF56" si="464">SUM(DG43:DH43)</f>
        <v>2050.6922676161439</v>
      </c>
      <c r="DG43" s="2775">
        <f t="shared" ref="DG43:DG60" si="465">SUM(CX43)</f>
        <v>2050.6922676161439</v>
      </c>
      <c r="DH43" s="2775">
        <f t="shared" ref="DH43:DH60" si="466">SUM(CY43)</f>
        <v>0</v>
      </c>
      <c r="DI43" s="2775">
        <f t="shared" ref="DI43:DI55" si="467">SUM(DJ43:DK43)</f>
        <v>0</v>
      </c>
      <c r="DJ43" s="2775">
        <f>SUM('ПОЛНАЯ СЕБЕСТОИМОСТЬ СТОКИ 2023'!AY161)</f>
        <v>0</v>
      </c>
      <c r="DK43" s="2775">
        <f>SUM('ПОЛНАЯ СЕБЕСТОИМОСТЬ СТОКИ 2023'!AZ161)</f>
        <v>0</v>
      </c>
      <c r="DL43" s="2886">
        <f>SUM(DL44:DL47)</f>
        <v>1285.0260000000001</v>
      </c>
      <c r="DM43" s="2886">
        <v>1285.0260000000001</v>
      </c>
      <c r="DN43" s="2886">
        <v>0</v>
      </c>
      <c r="DO43" s="2868">
        <f t="shared" ref="DO43:DW58" si="468">SUM(CN43+CW43+DF43)</f>
        <v>6152.0768028484317</v>
      </c>
      <c r="DP43" s="2868">
        <f t="shared" si="468"/>
        <v>6152.0768028484317</v>
      </c>
      <c r="DQ43" s="2868">
        <f t="shared" si="468"/>
        <v>0</v>
      </c>
      <c r="DR43" s="2868">
        <f t="shared" si="468"/>
        <v>2002.3395300000002</v>
      </c>
      <c r="DS43" s="2868">
        <f t="shared" si="468"/>
        <v>2002.3395300000002</v>
      </c>
      <c r="DT43" s="2868">
        <f t="shared" si="468"/>
        <v>0</v>
      </c>
      <c r="DU43" s="2868">
        <f t="shared" si="468"/>
        <v>4279.1115999999993</v>
      </c>
      <c r="DV43" s="2868">
        <f t="shared" si="468"/>
        <v>4279.1115999999993</v>
      </c>
      <c r="DW43" s="2868">
        <f t="shared" si="468"/>
        <v>0</v>
      </c>
      <c r="DX43" s="2839">
        <f t="shared" si="364"/>
        <v>-4149.7372728484315</v>
      </c>
      <c r="DY43" s="2839">
        <f t="shared" si="364"/>
        <v>-4149.7372728484315</v>
      </c>
      <c r="DZ43" s="2839">
        <f t="shared" si="364"/>
        <v>0</v>
      </c>
      <c r="EA43" s="2868">
        <f t="shared" ref="EA43:EI58" si="469">SUM(CB43+DO43)</f>
        <v>18456.230408545296</v>
      </c>
      <c r="EB43" s="2868">
        <f t="shared" si="469"/>
        <v>18456.230408545296</v>
      </c>
      <c r="EC43" s="2868">
        <f t="shared" si="469"/>
        <v>0</v>
      </c>
      <c r="ED43" s="2868">
        <f t="shared" si="469"/>
        <v>15454.674479999998</v>
      </c>
      <c r="EE43" s="2868">
        <f t="shared" si="469"/>
        <v>15454.674479999998</v>
      </c>
      <c r="EF43" s="2868">
        <f t="shared" si="469"/>
        <v>0</v>
      </c>
      <c r="EG43" s="2868">
        <f t="shared" si="469"/>
        <v>13195.273149999997</v>
      </c>
      <c r="EH43" s="2868">
        <f t="shared" si="469"/>
        <v>13195.273149999997</v>
      </c>
      <c r="EI43" s="2868">
        <f t="shared" si="469"/>
        <v>0</v>
      </c>
      <c r="EJ43" s="2839">
        <f t="shared" si="366"/>
        <v>-3001.5559285452982</v>
      </c>
      <c r="EK43" s="2839">
        <f t="shared" si="366"/>
        <v>-3001.5559285452982</v>
      </c>
      <c r="EL43" s="2839">
        <f t="shared" si="366"/>
        <v>0</v>
      </c>
      <c r="EM43" s="2775">
        <f t="shared" ref="EM43:EM54" si="470">SUM(EN43:EO43)</f>
        <v>2050.6922676161439</v>
      </c>
      <c r="EN43" s="2775">
        <f>SUM('ПОЛНАЯ СЕБЕСТОИМОСТЬ СТОКИ 2023'!BN161)/3</f>
        <v>2050.6922676161439</v>
      </c>
      <c r="EO43" s="2775">
        <f>SUM('ПОЛНАЯ СЕБЕСТОИМОСТЬ СТОКИ 2023'!BO161)/3</f>
        <v>0</v>
      </c>
      <c r="EP43" s="2775">
        <f t="shared" ref="EP43:EP60" si="471">SUM(EQ43:ER43)</f>
        <v>0</v>
      </c>
      <c r="EQ43" s="2775">
        <f>SUM('ПОЛНАЯ СЕБЕСТОИМОСТЬ СТОКИ 2023'!BQ161)</f>
        <v>0</v>
      </c>
      <c r="ER43" s="2775">
        <f>SUM('ПОЛНАЯ СЕБЕСТОИМОСТЬ СТОКИ 2023'!BR161)</f>
        <v>0</v>
      </c>
      <c r="ES43" s="2886">
        <f>SUM(ES44:ES47)</f>
        <v>1510.8357000000001</v>
      </c>
      <c r="ET43" s="2886">
        <v>1510.8357000000001</v>
      </c>
      <c r="EU43" s="2886">
        <v>0</v>
      </c>
      <c r="EV43" s="2775">
        <f t="shared" ref="EV43:EV56" si="472">SUM(EW43:EX43)</f>
        <v>2050.6922676161439</v>
      </c>
      <c r="EW43" s="2775">
        <f t="shared" ref="EW43:EW60" si="473">SUM(EN43)</f>
        <v>2050.6922676161439</v>
      </c>
      <c r="EX43" s="2775">
        <f t="shared" ref="EX43:EX60" si="474">SUM(EO43)</f>
        <v>0</v>
      </c>
      <c r="EY43" s="2775">
        <f t="shared" ref="EY43:EY60" si="475">SUM(EZ43:FA43)</f>
        <v>0</v>
      </c>
      <c r="EZ43" s="2775">
        <f>SUM('ПОЛНАЯ СЕБЕСТОИМОСТЬ СТОКИ 2023'!BT161)</f>
        <v>0</v>
      </c>
      <c r="FA43" s="2775">
        <f>SUM('ПОЛНАЯ СЕБЕСТОИМОСТЬ СТОКИ 2023'!BU161)</f>
        <v>0</v>
      </c>
      <c r="FB43" s="2886">
        <f>SUM(FB44:FB47)</f>
        <v>1764.9847</v>
      </c>
      <c r="FC43" s="2886">
        <v>1764.9847</v>
      </c>
      <c r="FD43" s="2886">
        <v>0</v>
      </c>
      <c r="FE43" s="2775">
        <f t="shared" ref="FE43:FE55" si="476">SUM(FF43:FG43)</f>
        <v>2050.6922676161439</v>
      </c>
      <c r="FF43" s="2775">
        <f t="shared" ref="FF43:FF60" si="477">SUM(EW43)</f>
        <v>2050.6922676161439</v>
      </c>
      <c r="FG43" s="2775">
        <f t="shared" ref="FG43:FG60" si="478">SUM(EX43)</f>
        <v>0</v>
      </c>
      <c r="FH43" s="2775">
        <f t="shared" ref="FH43:FH60" si="479">SUM(FI43:FJ43)</f>
        <v>0</v>
      </c>
      <c r="FI43" s="2775">
        <f>SUM('ПОЛНАЯ СЕБЕСТОИМОСТЬ СТОКИ 2023'!BW161)</f>
        <v>0</v>
      </c>
      <c r="FJ43" s="2775">
        <f>SUM('ПОЛНАЯ СЕБЕСТОИМОСТЬ СТОКИ 2023'!BX161)</f>
        <v>0</v>
      </c>
      <c r="FK43" s="2886">
        <f>SUM(FK44:FK47)</f>
        <v>2045.39</v>
      </c>
      <c r="FL43" s="2886">
        <v>2045.39</v>
      </c>
      <c r="FM43" s="2886">
        <v>0</v>
      </c>
      <c r="FN43" s="2868">
        <f t="shared" ref="FN43:FV58" si="480">SUM(EM43+EV43+FE43)</f>
        <v>6152.0768028484317</v>
      </c>
      <c r="FO43" s="2868">
        <f t="shared" si="480"/>
        <v>6152.0768028484317</v>
      </c>
      <c r="FP43" s="2868">
        <f t="shared" si="480"/>
        <v>0</v>
      </c>
      <c r="FQ43" s="2868">
        <f t="shared" si="480"/>
        <v>0</v>
      </c>
      <c r="FR43" s="2868">
        <f t="shared" si="480"/>
        <v>0</v>
      </c>
      <c r="FS43" s="2868">
        <f t="shared" si="480"/>
        <v>0</v>
      </c>
      <c r="FT43" s="2868">
        <f t="shared" si="480"/>
        <v>5321.2103999999999</v>
      </c>
      <c r="FU43" s="2868">
        <f t="shared" si="480"/>
        <v>5321.2103999999999</v>
      </c>
      <c r="FV43" s="2868">
        <f t="shared" si="480"/>
        <v>0</v>
      </c>
      <c r="FW43" s="2839">
        <f t="shared" si="368"/>
        <v>-6152.0768028484317</v>
      </c>
      <c r="FX43" s="2839">
        <f t="shared" si="368"/>
        <v>-6152.0768028484317</v>
      </c>
      <c r="FY43" s="2839">
        <f t="shared" si="368"/>
        <v>0</v>
      </c>
      <c r="FZ43" s="2863">
        <f t="shared" ref="FZ43:GH58" si="481">SUM(EA43+FN43)</f>
        <v>24608.307211393727</v>
      </c>
      <c r="GA43" s="2863">
        <f t="shared" si="481"/>
        <v>24608.307211393727</v>
      </c>
      <c r="GB43" s="2863">
        <f t="shared" si="481"/>
        <v>0</v>
      </c>
      <c r="GC43" s="2868">
        <f t="shared" si="481"/>
        <v>15454.674479999998</v>
      </c>
      <c r="GD43" s="2868">
        <f t="shared" si="481"/>
        <v>15454.674479999998</v>
      </c>
      <c r="GE43" s="2868">
        <f t="shared" si="481"/>
        <v>0</v>
      </c>
      <c r="GF43" s="2868">
        <f t="shared" si="481"/>
        <v>18516.483549999997</v>
      </c>
      <c r="GG43" s="2868">
        <f t="shared" si="481"/>
        <v>18516.483549999997</v>
      </c>
      <c r="GH43" s="2868">
        <f t="shared" si="481"/>
        <v>0</v>
      </c>
      <c r="GI43" s="2839">
        <f t="shared" si="370"/>
        <v>-9153.632731393729</v>
      </c>
      <c r="GJ43" s="2839">
        <f t="shared" si="370"/>
        <v>-9153.632731393729</v>
      </c>
      <c r="GK43" s="2839">
        <f t="shared" si="370"/>
        <v>0</v>
      </c>
      <c r="GM43" s="3576">
        <f t="shared" si="371"/>
        <v>24608.307211393734</v>
      </c>
    </row>
    <row r="44" spans="1:195" ht="18.75" customHeight="1" x14ac:dyDescent="0.3">
      <c r="A44" s="2784" t="s">
        <v>3719</v>
      </c>
      <c r="B44" s="2781">
        <f t="shared" si="435"/>
        <v>800.93770989501024</v>
      </c>
      <c r="C44" s="2781">
        <f>SUM('ПОЛНАЯ СЕБЕСТОИМОСТЬ СТОКИ 2023'!C162)/3</f>
        <v>800.93770989501024</v>
      </c>
      <c r="D44" s="2781">
        <f>SUM('ПОЛНАЯ СЕБЕСТОИМОСТЬ СТОКИ 2023'!D162)/3</f>
        <v>0</v>
      </c>
      <c r="E44" s="2781">
        <f t="shared" si="436"/>
        <v>836.04700000000003</v>
      </c>
      <c r="F44" s="2781">
        <f>SUM('ПОЛНАЯ СЕБЕСТОИМОСТЬ СТОКИ 2023'!F162)</f>
        <v>836.04700000000003</v>
      </c>
      <c r="G44" s="2781">
        <f>SUM('ПОЛНАЯ СЕБЕСТОИМОСТЬ СТОКИ 2023'!G162)</f>
        <v>0</v>
      </c>
      <c r="H44" s="2840">
        <f t="shared" ref="H44:H60" si="482">SUM(I44:J44)</f>
        <v>670.59199999999998</v>
      </c>
      <c r="I44" s="2840">
        <v>670.59199999999998</v>
      </c>
      <c r="J44" s="2840">
        <v>0</v>
      </c>
      <c r="K44" s="2781">
        <f t="shared" si="437"/>
        <v>800.93770989501024</v>
      </c>
      <c r="L44" s="2781">
        <f t="shared" si="438"/>
        <v>800.93770989501024</v>
      </c>
      <c r="M44" s="2781">
        <f t="shared" si="439"/>
        <v>0</v>
      </c>
      <c r="N44" s="2781">
        <f t="shared" si="440"/>
        <v>649.86234999999999</v>
      </c>
      <c r="O44" s="2781">
        <f>SUM('ПОЛНАЯ СЕБЕСТОИМОСТЬ СТОКИ 2023'!I162)</f>
        <v>649.86234999999999</v>
      </c>
      <c r="P44" s="2781">
        <f>SUM('ПОЛНАЯ СЕБЕСТОИМОСТЬ СТОКИ 2023'!J162)</f>
        <v>0</v>
      </c>
      <c r="Q44" s="2840">
        <f t="shared" ref="Q44:Q47" si="483">SUM(R44:S44)</f>
        <v>581.86</v>
      </c>
      <c r="R44" s="2840">
        <v>581.86</v>
      </c>
      <c r="S44" s="2840">
        <v>0</v>
      </c>
      <c r="T44" s="2781">
        <f t="shared" si="441"/>
        <v>800.93770989501024</v>
      </c>
      <c r="U44" s="2781">
        <f t="shared" si="442"/>
        <v>800.93770989501024</v>
      </c>
      <c r="V44" s="2781">
        <f t="shared" si="443"/>
        <v>0</v>
      </c>
      <c r="W44" s="2781">
        <f t="shared" si="444"/>
        <v>715.74200000000008</v>
      </c>
      <c r="X44" s="2781">
        <f>SUM('ПОЛНАЯ СЕБЕСТОИМОСТЬ СТОКИ 2023'!L162)</f>
        <v>715.74200000000008</v>
      </c>
      <c r="Y44" s="2781">
        <f>SUM('ПОЛНАЯ СЕБЕСТОИМОСТЬ СТОКИ 2023'!M162)</f>
        <v>0</v>
      </c>
      <c r="Z44" s="2840">
        <f t="shared" ref="Z44:Z47" si="484">SUM(AA44:AB44)</f>
        <v>966.54199999999992</v>
      </c>
      <c r="AA44" s="2840">
        <v>966.54199999999992</v>
      </c>
      <c r="AB44" s="2840">
        <v>0</v>
      </c>
      <c r="AC44" s="2869">
        <f t="shared" si="445"/>
        <v>2402.8131296850306</v>
      </c>
      <c r="AD44" s="2869">
        <f t="shared" si="445"/>
        <v>2402.8131296850306</v>
      </c>
      <c r="AE44" s="2869">
        <f t="shared" si="445"/>
        <v>0</v>
      </c>
      <c r="AF44" s="2869">
        <f t="shared" si="445"/>
        <v>2201.6513500000001</v>
      </c>
      <c r="AG44" s="2869">
        <f t="shared" si="445"/>
        <v>2201.6513500000001</v>
      </c>
      <c r="AH44" s="2869">
        <f t="shared" si="445"/>
        <v>0</v>
      </c>
      <c r="AI44" s="2869">
        <f t="shared" si="445"/>
        <v>2218.9939999999997</v>
      </c>
      <c r="AJ44" s="2869">
        <f t="shared" si="445"/>
        <v>2218.9939999999997</v>
      </c>
      <c r="AK44" s="2869">
        <f t="shared" si="445"/>
        <v>0</v>
      </c>
      <c r="AL44" s="2805">
        <f t="shared" si="358"/>
        <v>-201.16177968503052</v>
      </c>
      <c r="AM44" s="2805">
        <f t="shared" si="358"/>
        <v>-201.16177968503052</v>
      </c>
      <c r="AN44" s="2805">
        <f t="shared" si="358"/>
        <v>0</v>
      </c>
      <c r="AO44" s="2781">
        <f t="shared" si="446"/>
        <v>800.93770989501024</v>
      </c>
      <c r="AP44" s="2781">
        <f>SUM('ПОЛНАЯ СЕБЕСТОИМОСТЬ СТОКИ 2023'!R162)/3</f>
        <v>800.93770989501024</v>
      </c>
      <c r="AQ44" s="2781">
        <f>SUM('ПОЛНАЯ СЕБЕСТОИМОСТЬ СТОКИ 2023'!S162)/3</f>
        <v>0</v>
      </c>
      <c r="AR44" s="2781">
        <f t="shared" si="447"/>
        <v>873.34299999999996</v>
      </c>
      <c r="AS44" s="2781">
        <f>SUM('ПОЛНАЯ СЕБЕСТОИМОСТЬ СТОКИ 2023'!U162)</f>
        <v>873.34299999999996</v>
      </c>
      <c r="AT44" s="2781">
        <f>SUM('ПОЛНАЯ СЕБЕСТОИМОСТЬ СТОКИ 2023'!V162)</f>
        <v>0</v>
      </c>
      <c r="AU44" s="2840">
        <f t="shared" ref="AU44:AU47" si="485">SUM(AV44:AW44)</f>
        <v>629.62099999999998</v>
      </c>
      <c r="AV44" s="2840">
        <v>629.62099999999998</v>
      </c>
      <c r="AW44" s="2840">
        <v>0</v>
      </c>
      <c r="AX44" s="2781">
        <f t="shared" si="448"/>
        <v>800.93770989501024</v>
      </c>
      <c r="AY44" s="2781">
        <f t="shared" si="449"/>
        <v>800.93770989501024</v>
      </c>
      <c r="AZ44" s="2781">
        <f t="shared" si="450"/>
        <v>0</v>
      </c>
      <c r="BA44" s="2836">
        <f t="shared" si="451"/>
        <v>917.71399999999994</v>
      </c>
      <c r="BB44" s="2836">
        <f>SUM('ПОЛНАЯ СЕБЕСТОИМОСТЬ СТОКИ 2023'!X162)</f>
        <v>917.71399999999994</v>
      </c>
      <c r="BC44" s="2836">
        <f>SUM('ПОЛНАЯ СЕБЕСТОИМОСТЬ СТОКИ 2023'!Y162)</f>
        <v>0</v>
      </c>
      <c r="BD44" s="2840">
        <f t="shared" ref="BD44:BD47" si="486">SUM(BE44:BF44)</f>
        <v>556.44000000000005</v>
      </c>
      <c r="BE44" s="2840">
        <v>556.44000000000005</v>
      </c>
      <c r="BF44" s="2840">
        <v>0</v>
      </c>
      <c r="BG44" s="2781">
        <f t="shared" si="452"/>
        <v>800.93770989501024</v>
      </c>
      <c r="BH44" s="2781">
        <f t="shared" si="453"/>
        <v>800.93770989501024</v>
      </c>
      <c r="BI44" s="2781">
        <f t="shared" si="454"/>
        <v>0</v>
      </c>
      <c r="BJ44" s="2781">
        <f t="shared" si="455"/>
        <v>676.46100000000001</v>
      </c>
      <c r="BK44" s="2781">
        <f>SUM('ПОЛНАЯ СЕБЕСТОИМОСТЬ СТОКИ 2023'!AA162)</f>
        <v>676.46100000000001</v>
      </c>
      <c r="BL44" s="2781">
        <f>SUM('ПОЛНАЯ СЕБЕСТОИМОСТЬ СТОКИ 2023'!AB162)</f>
        <v>0</v>
      </c>
      <c r="BM44" s="2840">
        <f t="shared" ref="BM44:BM47" si="487">SUM(BN44:BO44)</f>
        <v>756.12835999999993</v>
      </c>
      <c r="BN44" s="2840">
        <v>756.12835999999993</v>
      </c>
      <c r="BO44" s="2840">
        <v>0</v>
      </c>
      <c r="BP44" s="2869">
        <f t="shared" si="456"/>
        <v>2402.8131296850306</v>
      </c>
      <c r="BQ44" s="2869">
        <f t="shared" si="456"/>
        <v>2402.8131296850306</v>
      </c>
      <c r="BR44" s="2869">
        <f t="shared" si="456"/>
        <v>0</v>
      </c>
      <c r="BS44" s="2869">
        <f t="shared" si="456"/>
        <v>2467.518</v>
      </c>
      <c r="BT44" s="2869">
        <f t="shared" si="456"/>
        <v>2467.518</v>
      </c>
      <c r="BU44" s="2869">
        <f t="shared" si="456"/>
        <v>0</v>
      </c>
      <c r="BV44" s="2869">
        <f t="shared" si="456"/>
        <v>1942.1893600000001</v>
      </c>
      <c r="BW44" s="2869">
        <f t="shared" si="456"/>
        <v>1942.1893600000001</v>
      </c>
      <c r="BX44" s="2869">
        <f t="shared" si="456"/>
        <v>0</v>
      </c>
      <c r="BY44" s="2805">
        <f t="shared" si="360"/>
        <v>64.704870314969412</v>
      </c>
      <c r="BZ44" s="2805">
        <f t="shared" si="360"/>
        <v>64.704870314969412</v>
      </c>
      <c r="CA44" s="2805">
        <f t="shared" si="360"/>
        <v>0</v>
      </c>
      <c r="CB44" s="2869">
        <f t="shared" si="457"/>
        <v>4805.6262593700612</v>
      </c>
      <c r="CC44" s="2869">
        <f t="shared" si="457"/>
        <v>4805.6262593700612</v>
      </c>
      <c r="CD44" s="2869">
        <f t="shared" si="457"/>
        <v>0</v>
      </c>
      <c r="CE44" s="2869">
        <f t="shared" si="457"/>
        <v>4669.1693500000001</v>
      </c>
      <c r="CF44" s="2869">
        <f t="shared" si="457"/>
        <v>4669.1693500000001</v>
      </c>
      <c r="CG44" s="2869">
        <f t="shared" si="457"/>
        <v>0</v>
      </c>
      <c r="CH44" s="2887">
        <f t="shared" si="457"/>
        <v>4161.18336</v>
      </c>
      <c r="CI44" s="2887">
        <f t="shared" si="457"/>
        <v>4161.18336</v>
      </c>
      <c r="CJ44" s="2887">
        <f t="shared" si="457"/>
        <v>0</v>
      </c>
      <c r="CK44" s="2805">
        <f t="shared" si="362"/>
        <v>-136.45690937006111</v>
      </c>
      <c r="CL44" s="2805">
        <f t="shared" si="362"/>
        <v>-136.45690937006111</v>
      </c>
      <c r="CM44" s="2805">
        <f t="shared" si="362"/>
        <v>0</v>
      </c>
      <c r="CN44" s="2781">
        <f t="shared" si="458"/>
        <v>800.93770989501024</v>
      </c>
      <c r="CO44" s="2781">
        <f>SUM('ПОЛНАЯ СЕБЕСТОИМОСТЬ СТОКИ 2023'!AP162)/3</f>
        <v>800.93770989501024</v>
      </c>
      <c r="CP44" s="2781">
        <f>SUM('ПОЛНАЯ СЕБЕСТОИМОСТЬ СТОКИ 2023'!AQ162)/3</f>
        <v>0</v>
      </c>
      <c r="CQ44" s="2781">
        <f t="shared" si="459"/>
        <v>844.83999999999992</v>
      </c>
      <c r="CR44" s="2781">
        <f>SUM('ПОЛНАЯ СЕБЕСТОИМОСТЬ СТОКИ 2023'!AS162)</f>
        <v>844.83999999999992</v>
      </c>
      <c r="CS44" s="2781">
        <f>SUM('ПОЛНАЯ СЕБЕСТОИМОСТЬ СТОКИ 2023'!AT162)</f>
        <v>0</v>
      </c>
      <c r="CT44" s="2840">
        <f t="shared" ref="CT44:CT47" si="488">SUM(CU44:CV44)</f>
        <v>920.36899999999991</v>
      </c>
      <c r="CU44" s="2840">
        <v>920.36899999999991</v>
      </c>
      <c r="CV44" s="2840">
        <v>0</v>
      </c>
      <c r="CW44" s="2781">
        <f t="shared" si="460"/>
        <v>800.93770989501024</v>
      </c>
      <c r="CX44" s="2781">
        <f t="shared" si="461"/>
        <v>800.93770989501024</v>
      </c>
      <c r="CY44" s="2781">
        <f t="shared" si="462"/>
        <v>0</v>
      </c>
      <c r="CZ44" s="2781">
        <f t="shared" si="463"/>
        <v>0</v>
      </c>
      <c r="DA44" s="2781">
        <f>SUM('ПОЛНАЯ СЕБЕСТОИМОСТЬ СТОКИ 2023'!AV162)</f>
        <v>0</v>
      </c>
      <c r="DB44" s="2781">
        <f>SUM('ПОЛНАЯ СЕБЕСТОИМОСТЬ СТОКИ 2023'!AW162)</f>
        <v>0</v>
      </c>
      <c r="DC44" s="2840">
        <f t="shared" ref="DC44:DC47" si="489">SUM(DD44:DE44)</f>
        <v>554.77700000000004</v>
      </c>
      <c r="DD44" s="2840">
        <v>554.77700000000004</v>
      </c>
      <c r="DE44" s="2840">
        <v>0</v>
      </c>
      <c r="DF44" s="2781">
        <f t="shared" si="464"/>
        <v>800.93770989501024</v>
      </c>
      <c r="DG44" s="2781">
        <f t="shared" si="465"/>
        <v>800.93770989501024</v>
      </c>
      <c r="DH44" s="2781">
        <f t="shared" si="466"/>
        <v>0</v>
      </c>
      <c r="DI44" s="2781">
        <f t="shared" si="467"/>
        <v>0</v>
      </c>
      <c r="DJ44" s="2781">
        <f>SUM('ПОЛНАЯ СЕБЕСТОИМОСТЬ СТОКИ 2023'!AY162)</f>
        <v>0</v>
      </c>
      <c r="DK44" s="2781">
        <f>SUM('ПОЛНАЯ СЕБЕСТОИМОСТЬ СТОКИ 2023'!AZ162)</f>
        <v>0</v>
      </c>
      <c r="DL44" s="2840">
        <f t="shared" ref="DL44:DL47" si="490">SUM(DM44:DN44)</f>
        <v>582.95399999999995</v>
      </c>
      <c r="DM44" s="2840">
        <v>582.95399999999995</v>
      </c>
      <c r="DN44" s="2840">
        <v>0</v>
      </c>
      <c r="DO44" s="2869">
        <f t="shared" si="468"/>
        <v>2402.8131296850306</v>
      </c>
      <c r="DP44" s="2869">
        <f t="shared" si="468"/>
        <v>2402.8131296850306</v>
      </c>
      <c r="DQ44" s="2869">
        <f t="shared" si="468"/>
        <v>0</v>
      </c>
      <c r="DR44" s="2869">
        <f t="shared" si="468"/>
        <v>844.83999999999992</v>
      </c>
      <c r="DS44" s="2869">
        <f t="shared" si="468"/>
        <v>844.83999999999992</v>
      </c>
      <c r="DT44" s="2869">
        <f t="shared" si="468"/>
        <v>0</v>
      </c>
      <c r="DU44" s="2869">
        <f t="shared" si="468"/>
        <v>2058.1</v>
      </c>
      <c r="DV44" s="2869">
        <f t="shared" si="468"/>
        <v>2058.1</v>
      </c>
      <c r="DW44" s="2869">
        <f t="shared" si="468"/>
        <v>0</v>
      </c>
      <c r="DX44" s="2805">
        <f t="shared" si="364"/>
        <v>-1557.9731296850307</v>
      </c>
      <c r="DY44" s="2805">
        <f t="shared" si="364"/>
        <v>-1557.9731296850307</v>
      </c>
      <c r="DZ44" s="2805">
        <f t="shared" si="364"/>
        <v>0</v>
      </c>
      <c r="EA44" s="2869">
        <f t="shared" si="469"/>
        <v>7208.4393890550919</v>
      </c>
      <c r="EB44" s="2869">
        <f t="shared" si="469"/>
        <v>7208.4393890550919</v>
      </c>
      <c r="EC44" s="2869">
        <f t="shared" si="469"/>
        <v>0</v>
      </c>
      <c r="ED44" s="2869">
        <f t="shared" si="469"/>
        <v>5514.0093500000003</v>
      </c>
      <c r="EE44" s="2869">
        <f t="shared" si="469"/>
        <v>5514.0093500000003</v>
      </c>
      <c r="EF44" s="2869">
        <f t="shared" si="469"/>
        <v>0</v>
      </c>
      <c r="EG44" s="2869">
        <f t="shared" si="469"/>
        <v>6219.2833599999994</v>
      </c>
      <c r="EH44" s="2869">
        <f t="shared" si="469"/>
        <v>6219.2833599999994</v>
      </c>
      <c r="EI44" s="2869">
        <f t="shared" si="469"/>
        <v>0</v>
      </c>
      <c r="EJ44" s="2805">
        <f t="shared" si="366"/>
        <v>-1694.4300390550916</v>
      </c>
      <c r="EK44" s="2805">
        <f t="shared" si="366"/>
        <v>-1694.4300390550916</v>
      </c>
      <c r="EL44" s="2805">
        <f t="shared" si="366"/>
        <v>0</v>
      </c>
      <c r="EM44" s="2781">
        <f t="shared" si="470"/>
        <v>800.93770989501024</v>
      </c>
      <c r="EN44" s="2781">
        <f>SUM('ПОЛНАЯ СЕБЕСТОИМОСТЬ СТОКИ 2023'!BN162)/3</f>
        <v>800.93770989501024</v>
      </c>
      <c r="EO44" s="2781">
        <f>SUM('ПОЛНАЯ СЕБЕСТОИМОСТЬ СТОКИ 2023'!BO162)/3</f>
        <v>0</v>
      </c>
      <c r="EP44" s="2781">
        <f t="shared" si="471"/>
        <v>0</v>
      </c>
      <c r="EQ44" s="2781">
        <f>SUM('ПОЛНАЯ СЕБЕСТОИМОСТЬ СТОКИ 2023'!BQ162)</f>
        <v>0</v>
      </c>
      <c r="ER44" s="2781">
        <f>SUM('ПОЛНАЯ СЕБЕСТОИМОСТЬ СТОКИ 2023'!BR162)</f>
        <v>0</v>
      </c>
      <c r="ES44" s="2840">
        <f t="shared" ref="ES44:ES47" si="491">SUM(ET44:EU44)</f>
        <v>568.89699999999993</v>
      </c>
      <c r="ET44" s="2840">
        <v>568.89699999999993</v>
      </c>
      <c r="EU44" s="2840">
        <v>0</v>
      </c>
      <c r="EV44" s="2781">
        <f t="shared" si="472"/>
        <v>800.93770989501024</v>
      </c>
      <c r="EW44" s="2781">
        <f t="shared" si="473"/>
        <v>800.93770989501024</v>
      </c>
      <c r="EX44" s="2781">
        <f t="shared" si="474"/>
        <v>0</v>
      </c>
      <c r="EY44" s="2781">
        <f t="shared" si="475"/>
        <v>0</v>
      </c>
      <c r="EZ44" s="2781">
        <f>SUM('ПОЛНАЯ СЕБЕСТОИМОСТЬ СТОКИ 2023'!BT162)</f>
        <v>0</v>
      </c>
      <c r="FA44" s="2781">
        <f>SUM('ПОЛНАЯ СЕБЕСТОИМОСТЬ СТОКИ 2023'!BU162)</f>
        <v>0</v>
      </c>
      <c r="FB44" s="2840">
        <f t="shared" ref="FB44:FB47" si="492">SUM(FC44:FD44)</f>
        <v>642.52732000000003</v>
      </c>
      <c r="FC44" s="2840">
        <v>642.52732000000003</v>
      </c>
      <c r="FD44" s="2840">
        <v>0</v>
      </c>
      <c r="FE44" s="2781">
        <f t="shared" si="476"/>
        <v>800.93770989501024</v>
      </c>
      <c r="FF44" s="2781">
        <f t="shared" si="477"/>
        <v>800.93770989501024</v>
      </c>
      <c r="FG44" s="2781">
        <f t="shared" si="478"/>
        <v>0</v>
      </c>
      <c r="FH44" s="2781">
        <f t="shared" si="479"/>
        <v>0</v>
      </c>
      <c r="FI44" s="2781">
        <f>SUM('ПОЛНАЯ СЕБЕСТОИМОСТЬ СТОКИ 2023'!BW162)</f>
        <v>0</v>
      </c>
      <c r="FJ44" s="2781">
        <f>SUM('ПОЛНАЯ СЕБЕСТОИМОСТЬ СТОКИ 2023'!BX162)</f>
        <v>0</v>
      </c>
      <c r="FK44" s="2840">
        <f t="shared" ref="FK44:FK47" si="493">SUM(FL44:FM44)</f>
        <v>611.24700000000007</v>
      </c>
      <c r="FL44" s="2840">
        <v>611.24700000000007</v>
      </c>
      <c r="FM44" s="2840">
        <v>0</v>
      </c>
      <c r="FN44" s="2869">
        <f t="shared" si="480"/>
        <v>2402.8131296850306</v>
      </c>
      <c r="FO44" s="2869">
        <f t="shared" si="480"/>
        <v>2402.8131296850306</v>
      </c>
      <c r="FP44" s="2869">
        <f t="shared" si="480"/>
        <v>0</v>
      </c>
      <c r="FQ44" s="2869">
        <f t="shared" si="480"/>
        <v>0</v>
      </c>
      <c r="FR44" s="2869">
        <f t="shared" si="480"/>
        <v>0</v>
      </c>
      <c r="FS44" s="2869">
        <f t="shared" si="480"/>
        <v>0</v>
      </c>
      <c r="FT44" s="2869">
        <f t="shared" si="480"/>
        <v>1822.6713200000002</v>
      </c>
      <c r="FU44" s="2869">
        <f t="shared" si="480"/>
        <v>1822.6713200000002</v>
      </c>
      <c r="FV44" s="2869">
        <f t="shared" si="480"/>
        <v>0</v>
      </c>
      <c r="FW44" s="2805">
        <f t="shared" si="368"/>
        <v>-2402.8131296850306</v>
      </c>
      <c r="FX44" s="2805">
        <f t="shared" si="368"/>
        <v>-2402.8131296850306</v>
      </c>
      <c r="FY44" s="2805">
        <f t="shared" si="368"/>
        <v>0</v>
      </c>
      <c r="FZ44" s="4559">
        <f t="shared" si="481"/>
        <v>9611.2525187401225</v>
      </c>
      <c r="GA44" s="4559">
        <f t="shared" si="481"/>
        <v>9611.2525187401225</v>
      </c>
      <c r="GB44" s="4559">
        <f t="shared" si="481"/>
        <v>0</v>
      </c>
      <c r="GC44" s="2869">
        <f t="shared" si="481"/>
        <v>5514.0093500000003</v>
      </c>
      <c r="GD44" s="2869">
        <f t="shared" si="481"/>
        <v>5514.0093500000003</v>
      </c>
      <c r="GE44" s="2869">
        <f t="shared" si="481"/>
        <v>0</v>
      </c>
      <c r="GF44" s="2869">
        <f t="shared" si="481"/>
        <v>8041.9546799999998</v>
      </c>
      <c r="GG44" s="2869">
        <f t="shared" si="481"/>
        <v>8041.9546799999998</v>
      </c>
      <c r="GH44" s="2869">
        <f t="shared" si="481"/>
        <v>0</v>
      </c>
      <c r="GI44" s="2805">
        <f t="shared" si="370"/>
        <v>-4097.2431687401222</v>
      </c>
      <c r="GJ44" s="2805">
        <f t="shared" si="370"/>
        <v>-4097.2431687401222</v>
      </c>
      <c r="GK44" s="2805">
        <f t="shared" si="370"/>
        <v>0</v>
      </c>
      <c r="GM44" s="3576">
        <f t="shared" si="371"/>
        <v>9611.2525187401206</v>
      </c>
    </row>
    <row r="45" spans="1:195" ht="18.75" customHeight="1" x14ac:dyDescent="0.3">
      <c r="A45" s="2784" t="s">
        <v>3720</v>
      </c>
      <c r="B45" s="2781">
        <f t="shared" si="435"/>
        <v>240.92664463780045</v>
      </c>
      <c r="C45" s="2781">
        <f>SUM('ПОЛНАЯ СЕБЕСТОИМОСТЬ СТОКИ 2023'!C163)/3</f>
        <v>240.92664463780045</v>
      </c>
      <c r="D45" s="2781">
        <f>SUM('ПОЛНАЯ СЕБЕСТОИМОСТЬ СТОКИ 2023'!D163)/3</f>
        <v>0</v>
      </c>
      <c r="E45" s="2781">
        <f t="shared" si="436"/>
        <v>247.25900000000001</v>
      </c>
      <c r="F45" s="2781">
        <f>SUM('ПОЛНАЯ СЕБЕСТОИМОСТЬ СТОКИ 2023'!F163)</f>
        <v>247.25900000000001</v>
      </c>
      <c r="G45" s="2781">
        <f>SUM('ПОЛНАЯ СЕБЕСТОИМОСТЬ СТОКИ 2023'!G163)</f>
        <v>0</v>
      </c>
      <c r="H45" s="2840">
        <f t="shared" si="482"/>
        <v>202.43099999999998</v>
      </c>
      <c r="I45" s="2840">
        <v>202.43099999999998</v>
      </c>
      <c r="J45" s="2840">
        <v>0</v>
      </c>
      <c r="K45" s="2781">
        <f t="shared" si="437"/>
        <v>240.92664463780045</v>
      </c>
      <c r="L45" s="2781">
        <f t="shared" si="438"/>
        <v>240.92664463780045</v>
      </c>
      <c r="M45" s="2781">
        <f t="shared" si="439"/>
        <v>0</v>
      </c>
      <c r="N45" s="2781">
        <f t="shared" si="440"/>
        <v>194.82127999999997</v>
      </c>
      <c r="O45" s="2781">
        <f>SUM('ПОЛНАЯ СЕБЕСТОИМОСТЬ СТОКИ 2023'!I163)</f>
        <v>194.82127999999997</v>
      </c>
      <c r="P45" s="2781">
        <f>SUM('ПОЛНАЯ СЕБЕСТОИМОСТЬ СТОКИ 2023'!J163)</f>
        <v>0</v>
      </c>
      <c r="Q45" s="2840">
        <f t="shared" si="483"/>
        <v>169.60300000000001</v>
      </c>
      <c r="R45" s="2840">
        <v>169.60300000000001</v>
      </c>
      <c r="S45" s="2840">
        <v>0</v>
      </c>
      <c r="T45" s="2781">
        <f t="shared" si="441"/>
        <v>240.92664463780045</v>
      </c>
      <c r="U45" s="2781">
        <f t="shared" si="442"/>
        <v>240.92664463780045</v>
      </c>
      <c r="V45" s="2781">
        <f t="shared" si="443"/>
        <v>0</v>
      </c>
      <c r="W45" s="2781">
        <f t="shared" si="444"/>
        <v>213.38189</v>
      </c>
      <c r="X45" s="2781">
        <f>SUM('ПОЛНАЯ СЕБЕСТОИМОСТЬ СТОКИ 2023'!L163)</f>
        <v>213.38189</v>
      </c>
      <c r="Y45" s="2781">
        <f>SUM('ПОЛНАЯ СЕБЕСТОИМОСТЬ СТОКИ 2023'!M163)</f>
        <v>0</v>
      </c>
      <c r="Z45" s="2840">
        <f t="shared" si="484"/>
        <v>288.565</v>
      </c>
      <c r="AA45" s="2840">
        <v>288.565</v>
      </c>
      <c r="AB45" s="2840">
        <v>0</v>
      </c>
      <c r="AC45" s="2869">
        <f t="shared" si="445"/>
        <v>722.77993391340135</v>
      </c>
      <c r="AD45" s="2869">
        <f t="shared" si="445"/>
        <v>722.77993391340135</v>
      </c>
      <c r="AE45" s="2869">
        <f t="shared" si="445"/>
        <v>0</v>
      </c>
      <c r="AF45" s="2869">
        <f t="shared" si="445"/>
        <v>655.46217000000001</v>
      </c>
      <c r="AG45" s="2869">
        <f t="shared" si="445"/>
        <v>655.46217000000001</v>
      </c>
      <c r="AH45" s="2869">
        <f t="shared" si="445"/>
        <v>0</v>
      </c>
      <c r="AI45" s="2869">
        <f t="shared" si="445"/>
        <v>660.59899999999993</v>
      </c>
      <c r="AJ45" s="2869">
        <f t="shared" si="445"/>
        <v>660.59899999999993</v>
      </c>
      <c r="AK45" s="2869">
        <f t="shared" si="445"/>
        <v>0</v>
      </c>
      <c r="AL45" s="2805">
        <f t="shared" si="358"/>
        <v>-67.317763913401336</v>
      </c>
      <c r="AM45" s="2805">
        <f t="shared" si="358"/>
        <v>-67.317763913401336</v>
      </c>
      <c r="AN45" s="2805">
        <f t="shared" si="358"/>
        <v>0</v>
      </c>
      <c r="AO45" s="2781">
        <f t="shared" si="446"/>
        <v>240.92664463780045</v>
      </c>
      <c r="AP45" s="2781">
        <f>SUM('ПОЛНАЯ СЕБЕСТОИМОСТЬ СТОКИ 2023'!R163)/3</f>
        <v>240.92664463780045</v>
      </c>
      <c r="AQ45" s="2781">
        <f>SUM('ПОЛНАЯ СЕБЕСТОИМОСТЬ СТОКИ 2023'!S163)/3</f>
        <v>0</v>
      </c>
      <c r="AR45" s="2781">
        <f t="shared" si="447"/>
        <v>256.74200000000002</v>
      </c>
      <c r="AS45" s="2781">
        <f>SUM('ПОЛНАЯ СЕБЕСТОИМОСТЬ СТОКИ 2023'!U163)</f>
        <v>256.74200000000002</v>
      </c>
      <c r="AT45" s="2781">
        <f>SUM('ПОЛНАЯ СЕБЕСТОИМОСТЬ СТОКИ 2023'!V163)</f>
        <v>0</v>
      </c>
      <c r="AU45" s="2840">
        <f t="shared" si="485"/>
        <v>190.04900000000001</v>
      </c>
      <c r="AV45" s="2840">
        <v>190.04900000000001</v>
      </c>
      <c r="AW45" s="2840">
        <v>0</v>
      </c>
      <c r="AX45" s="2781">
        <f t="shared" si="448"/>
        <v>240.92664463780045</v>
      </c>
      <c r="AY45" s="2781">
        <f t="shared" si="449"/>
        <v>240.92664463780045</v>
      </c>
      <c r="AZ45" s="2781">
        <f t="shared" si="450"/>
        <v>0</v>
      </c>
      <c r="BA45" s="2836">
        <f t="shared" si="451"/>
        <v>266.41300000000001</v>
      </c>
      <c r="BB45" s="2836">
        <f>SUM('ПОЛНАЯ СЕБЕСТОИМОСТЬ СТОКИ 2023'!X163)</f>
        <v>266.41300000000001</v>
      </c>
      <c r="BC45" s="2836">
        <f>SUM('ПОЛНАЯ СЕБЕСТОИМОСТЬ СТОКИ 2023'!Y163)</f>
        <v>0</v>
      </c>
      <c r="BD45" s="2840">
        <f t="shared" si="486"/>
        <v>165.82299999999998</v>
      </c>
      <c r="BE45" s="2840">
        <v>165.82299999999998</v>
      </c>
      <c r="BF45" s="2840">
        <v>0</v>
      </c>
      <c r="BG45" s="2781">
        <f t="shared" si="452"/>
        <v>240.92664463780045</v>
      </c>
      <c r="BH45" s="2781">
        <f t="shared" si="453"/>
        <v>240.92664463780045</v>
      </c>
      <c r="BI45" s="2781">
        <f t="shared" si="454"/>
        <v>0</v>
      </c>
      <c r="BJ45" s="2781">
        <f t="shared" si="455"/>
        <v>227.93072999999998</v>
      </c>
      <c r="BK45" s="2781">
        <f>SUM('ПОЛНАЯ СЕБЕСТОИМОСТЬ СТОКИ 2023'!AA163)</f>
        <v>227.93072999999998</v>
      </c>
      <c r="BL45" s="2781">
        <f>SUM('ПОЛНАЯ СЕБЕСТОИМОСТЬ СТОКИ 2023'!AB163)</f>
        <v>0</v>
      </c>
      <c r="BM45" s="2840">
        <f t="shared" si="487"/>
        <v>227.65899999999999</v>
      </c>
      <c r="BN45" s="2840">
        <v>227.65899999999999</v>
      </c>
      <c r="BO45" s="2840">
        <v>0</v>
      </c>
      <c r="BP45" s="2869">
        <f t="shared" si="456"/>
        <v>722.77993391340135</v>
      </c>
      <c r="BQ45" s="2869">
        <f t="shared" si="456"/>
        <v>722.77993391340135</v>
      </c>
      <c r="BR45" s="2869">
        <f t="shared" si="456"/>
        <v>0</v>
      </c>
      <c r="BS45" s="2869">
        <f t="shared" si="456"/>
        <v>751.08573000000001</v>
      </c>
      <c r="BT45" s="2869">
        <f t="shared" si="456"/>
        <v>751.08573000000001</v>
      </c>
      <c r="BU45" s="2869">
        <f t="shared" si="456"/>
        <v>0</v>
      </c>
      <c r="BV45" s="2869">
        <f t="shared" si="456"/>
        <v>583.53099999999995</v>
      </c>
      <c r="BW45" s="2869">
        <f t="shared" si="456"/>
        <v>583.53099999999995</v>
      </c>
      <c r="BX45" s="2869">
        <f t="shared" si="456"/>
        <v>0</v>
      </c>
      <c r="BY45" s="2805">
        <f t="shared" si="360"/>
        <v>28.305796086598662</v>
      </c>
      <c r="BZ45" s="2805">
        <f t="shared" si="360"/>
        <v>28.305796086598662</v>
      </c>
      <c r="CA45" s="2805">
        <f t="shared" si="360"/>
        <v>0</v>
      </c>
      <c r="CB45" s="2869">
        <f t="shared" si="457"/>
        <v>1445.5598678268027</v>
      </c>
      <c r="CC45" s="2869">
        <f t="shared" si="457"/>
        <v>1445.5598678268027</v>
      </c>
      <c r="CD45" s="2869">
        <f t="shared" si="457"/>
        <v>0</v>
      </c>
      <c r="CE45" s="2869">
        <f t="shared" si="457"/>
        <v>1406.5479</v>
      </c>
      <c r="CF45" s="2869">
        <f t="shared" si="457"/>
        <v>1406.5479</v>
      </c>
      <c r="CG45" s="2869">
        <f t="shared" si="457"/>
        <v>0</v>
      </c>
      <c r="CH45" s="2887">
        <f t="shared" si="457"/>
        <v>1244.1299999999999</v>
      </c>
      <c r="CI45" s="2887">
        <f t="shared" si="457"/>
        <v>1244.1299999999999</v>
      </c>
      <c r="CJ45" s="2887">
        <f t="shared" si="457"/>
        <v>0</v>
      </c>
      <c r="CK45" s="2805">
        <f t="shared" si="362"/>
        <v>-39.011967826802675</v>
      </c>
      <c r="CL45" s="2805">
        <f t="shared" si="362"/>
        <v>-39.011967826802675</v>
      </c>
      <c r="CM45" s="2805">
        <f t="shared" si="362"/>
        <v>0</v>
      </c>
      <c r="CN45" s="2781">
        <f t="shared" si="458"/>
        <v>240.92664463780045</v>
      </c>
      <c r="CO45" s="2781">
        <f>SUM('ПОЛНАЯ СЕБЕСТОИМОСТЬ СТОКИ 2023'!AP163)/3</f>
        <v>240.92664463780045</v>
      </c>
      <c r="CP45" s="2781">
        <f>SUM('ПОЛНАЯ СЕБЕСТОИМОСТЬ СТОКИ 2023'!AQ163)/3</f>
        <v>0</v>
      </c>
      <c r="CQ45" s="2781">
        <f t="shared" si="459"/>
        <v>261.29899999999998</v>
      </c>
      <c r="CR45" s="2781">
        <f>SUM('ПОЛНАЯ СЕБЕСТОИМОСТЬ СТОКИ 2023'!AS163)</f>
        <v>261.29899999999998</v>
      </c>
      <c r="CS45" s="2781">
        <f>SUM('ПОЛНАЯ СЕБЕСТОИМОСТЬ СТОКИ 2023'!AT163)</f>
        <v>0</v>
      </c>
      <c r="CT45" s="2840">
        <f t="shared" si="488"/>
        <v>216.661</v>
      </c>
      <c r="CU45" s="2840">
        <v>216.661</v>
      </c>
      <c r="CV45" s="2840">
        <v>0</v>
      </c>
      <c r="CW45" s="2781">
        <f t="shared" si="460"/>
        <v>240.92664463780045</v>
      </c>
      <c r="CX45" s="2781">
        <f t="shared" si="461"/>
        <v>240.92664463780045</v>
      </c>
      <c r="CY45" s="2781">
        <f t="shared" si="462"/>
        <v>0</v>
      </c>
      <c r="CZ45" s="2781">
        <f t="shared" si="463"/>
        <v>0</v>
      </c>
      <c r="DA45" s="2781">
        <f>SUM('ПОЛНАЯ СЕБЕСТОИМОСТЬ СТОКИ 2023'!AV163)</f>
        <v>0</v>
      </c>
      <c r="DB45" s="2781">
        <f>SUM('ПОЛНАЯ СЕБЕСТОИМОСТЬ СТОКИ 2023'!AW163)</f>
        <v>0</v>
      </c>
      <c r="DC45" s="2840">
        <f t="shared" si="489"/>
        <v>165.96899999999999</v>
      </c>
      <c r="DD45" s="2840">
        <v>165.96899999999999</v>
      </c>
      <c r="DE45" s="2840">
        <v>0</v>
      </c>
      <c r="DF45" s="2781">
        <f t="shared" si="464"/>
        <v>240.92664463780045</v>
      </c>
      <c r="DG45" s="2781">
        <f t="shared" si="465"/>
        <v>240.92664463780045</v>
      </c>
      <c r="DH45" s="2781">
        <f t="shared" si="466"/>
        <v>0</v>
      </c>
      <c r="DI45" s="2781">
        <f t="shared" si="467"/>
        <v>0</v>
      </c>
      <c r="DJ45" s="2781">
        <f>SUM('ПОЛНАЯ СЕБЕСТОИМОСТЬ СТОКИ 2023'!AY163)</f>
        <v>0</v>
      </c>
      <c r="DK45" s="2781">
        <f>SUM('ПОЛНАЯ СЕБЕСТОИМОСТЬ СТОКИ 2023'!AZ163)</f>
        <v>0</v>
      </c>
      <c r="DL45" s="2840">
        <f t="shared" si="490"/>
        <v>174.88399999999999</v>
      </c>
      <c r="DM45" s="2840">
        <v>174.88399999999999</v>
      </c>
      <c r="DN45" s="2840">
        <v>0</v>
      </c>
      <c r="DO45" s="2869">
        <f t="shared" si="468"/>
        <v>722.77993391340135</v>
      </c>
      <c r="DP45" s="2869">
        <f t="shared" si="468"/>
        <v>722.77993391340135</v>
      </c>
      <c r="DQ45" s="2869">
        <f t="shared" si="468"/>
        <v>0</v>
      </c>
      <c r="DR45" s="2869">
        <f t="shared" si="468"/>
        <v>261.29899999999998</v>
      </c>
      <c r="DS45" s="2869">
        <f t="shared" si="468"/>
        <v>261.29899999999998</v>
      </c>
      <c r="DT45" s="2869">
        <f t="shared" si="468"/>
        <v>0</v>
      </c>
      <c r="DU45" s="2869">
        <f t="shared" si="468"/>
        <v>557.51400000000001</v>
      </c>
      <c r="DV45" s="2869">
        <f t="shared" si="468"/>
        <v>557.51400000000001</v>
      </c>
      <c r="DW45" s="2869">
        <f t="shared" si="468"/>
        <v>0</v>
      </c>
      <c r="DX45" s="2805">
        <f t="shared" si="364"/>
        <v>-461.48093391340137</v>
      </c>
      <c r="DY45" s="2805">
        <f t="shared" si="364"/>
        <v>-461.48093391340137</v>
      </c>
      <c r="DZ45" s="2805">
        <f t="shared" si="364"/>
        <v>0</v>
      </c>
      <c r="EA45" s="2869">
        <f t="shared" si="469"/>
        <v>2168.3398017402042</v>
      </c>
      <c r="EB45" s="2869">
        <f t="shared" si="469"/>
        <v>2168.3398017402042</v>
      </c>
      <c r="EC45" s="2869">
        <f t="shared" si="469"/>
        <v>0</v>
      </c>
      <c r="ED45" s="2869">
        <f t="shared" si="469"/>
        <v>1667.8469</v>
      </c>
      <c r="EE45" s="2869">
        <f t="shared" si="469"/>
        <v>1667.8469</v>
      </c>
      <c r="EF45" s="2869">
        <f t="shared" si="469"/>
        <v>0</v>
      </c>
      <c r="EG45" s="2869">
        <f t="shared" si="469"/>
        <v>1801.6439999999998</v>
      </c>
      <c r="EH45" s="2869">
        <f t="shared" si="469"/>
        <v>1801.6439999999998</v>
      </c>
      <c r="EI45" s="2869">
        <f t="shared" si="469"/>
        <v>0</v>
      </c>
      <c r="EJ45" s="2805">
        <f t="shared" si="366"/>
        <v>-500.49290174020416</v>
      </c>
      <c r="EK45" s="2805">
        <f t="shared" si="366"/>
        <v>-500.49290174020416</v>
      </c>
      <c r="EL45" s="2805">
        <f t="shared" si="366"/>
        <v>0</v>
      </c>
      <c r="EM45" s="2781">
        <f t="shared" si="470"/>
        <v>240.92664463780045</v>
      </c>
      <c r="EN45" s="2781">
        <f>SUM('ПОЛНАЯ СЕБЕСТОИМОСТЬ СТОКИ 2023'!BN163)/3</f>
        <v>240.92664463780045</v>
      </c>
      <c r="EO45" s="2781">
        <f>SUM('ПОЛНАЯ СЕБЕСТОИМОСТЬ СТОКИ 2023'!BO163)/3</f>
        <v>0</v>
      </c>
      <c r="EP45" s="2781">
        <f t="shared" si="471"/>
        <v>0</v>
      </c>
      <c r="EQ45" s="2781">
        <f>SUM('ПОЛНАЯ СЕБЕСТОИМОСТЬ СТОКИ 2023'!BQ163)</f>
        <v>0</v>
      </c>
      <c r="ER45" s="2781">
        <f>SUM('ПОЛНАЯ СЕБЕСТОИМОСТЬ СТОКИ 2023'!BR163)</f>
        <v>0</v>
      </c>
      <c r="ES45" s="2840">
        <f t="shared" si="491"/>
        <v>168.703</v>
      </c>
      <c r="ET45" s="2840">
        <v>168.703</v>
      </c>
      <c r="EU45" s="2840">
        <v>0</v>
      </c>
      <c r="EV45" s="2781">
        <f t="shared" si="472"/>
        <v>240.92664463780045</v>
      </c>
      <c r="EW45" s="2781">
        <f t="shared" si="473"/>
        <v>240.92664463780045</v>
      </c>
      <c r="EX45" s="2781">
        <f t="shared" si="474"/>
        <v>0</v>
      </c>
      <c r="EY45" s="2781">
        <f t="shared" si="475"/>
        <v>0</v>
      </c>
      <c r="EZ45" s="2781">
        <f>SUM('ПОЛНАЯ СЕБЕСТОИМОСТЬ СТОКИ 2023'!BT163)</f>
        <v>0</v>
      </c>
      <c r="FA45" s="2781">
        <f>SUM('ПОЛНАЯ СЕБЕСТОИМОСТЬ СТОКИ 2023'!BU163)</f>
        <v>0</v>
      </c>
      <c r="FB45" s="2840">
        <f t="shared" si="492"/>
        <v>192.08224999999999</v>
      </c>
      <c r="FC45" s="2840">
        <v>192.08224999999999</v>
      </c>
      <c r="FD45" s="2840">
        <v>0</v>
      </c>
      <c r="FE45" s="2781">
        <f t="shared" si="476"/>
        <v>240.92664463780045</v>
      </c>
      <c r="FF45" s="2781">
        <f t="shared" si="477"/>
        <v>240.92664463780045</v>
      </c>
      <c r="FG45" s="2781">
        <f t="shared" si="478"/>
        <v>0</v>
      </c>
      <c r="FH45" s="2781">
        <f t="shared" si="479"/>
        <v>0</v>
      </c>
      <c r="FI45" s="2781">
        <f>SUM('ПОЛНАЯ СЕБЕСТОИМОСТЬ СТОКИ 2023'!BW163)</f>
        <v>0</v>
      </c>
      <c r="FJ45" s="2781">
        <f>SUM('ПОЛНАЯ СЕБЕСТОИМОСТЬ СТОКИ 2023'!BX163)</f>
        <v>0</v>
      </c>
      <c r="FK45" s="2840">
        <f t="shared" si="493"/>
        <v>182.935</v>
      </c>
      <c r="FL45" s="2840">
        <v>182.935</v>
      </c>
      <c r="FM45" s="2840">
        <v>0</v>
      </c>
      <c r="FN45" s="2869">
        <f t="shared" si="480"/>
        <v>722.77993391340135</v>
      </c>
      <c r="FO45" s="2869">
        <f t="shared" si="480"/>
        <v>722.77993391340135</v>
      </c>
      <c r="FP45" s="2869">
        <f t="shared" si="480"/>
        <v>0</v>
      </c>
      <c r="FQ45" s="2869">
        <f t="shared" si="480"/>
        <v>0</v>
      </c>
      <c r="FR45" s="2869">
        <f t="shared" si="480"/>
        <v>0</v>
      </c>
      <c r="FS45" s="2869">
        <f t="shared" si="480"/>
        <v>0</v>
      </c>
      <c r="FT45" s="2869">
        <f t="shared" si="480"/>
        <v>543.72025000000008</v>
      </c>
      <c r="FU45" s="2869">
        <f t="shared" si="480"/>
        <v>543.72025000000008</v>
      </c>
      <c r="FV45" s="2869">
        <f t="shared" si="480"/>
        <v>0</v>
      </c>
      <c r="FW45" s="2805">
        <f t="shared" si="368"/>
        <v>-722.77993391340135</v>
      </c>
      <c r="FX45" s="2805">
        <f t="shared" si="368"/>
        <v>-722.77993391340135</v>
      </c>
      <c r="FY45" s="2805">
        <f t="shared" si="368"/>
        <v>0</v>
      </c>
      <c r="FZ45" s="4559">
        <f t="shared" si="481"/>
        <v>2891.1197356536054</v>
      </c>
      <c r="GA45" s="4559">
        <f t="shared" si="481"/>
        <v>2891.1197356536054</v>
      </c>
      <c r="GB45" s="4559">
        <f t="shared" si="481"/>
        <v>0</v>
      </c>
      <c r="GC45" s="2869">
        <f t="shared" si="481"/>
        <v>1667.8469</v>
      </c>
      <c r="GD45" s="2869">
        <f t="shared" si="481"/>
        <v>1667.8469</v>
      </c>
      <c r="GE45" s="2869">
        <f t="shared" si="481"/>
        <v>0</v>
      </c>
      <c r="GF45" s="2869">
        <f t="shared" si="481"/>
        <v>2345.3642499999996</v>
      </c>
      <c r="GG45" s="2869">
        <f t="shared" si="481"/>
        <v>2345.3642499999996</v>
      </c>
      <c r="GH45" s="2869">
        <f t="shared" si="481"/>
        <v>0</v>
      </c>
      <c r="GI45" s="2805">
        <f t="shared" si="370"/>
        <v>-1223.2728356536054</v>
      </c>
      <c r="GJ45" s="2805">
        <f t="shared" si="370"/>
        <v>-1223.2728356536054</v>
      </c>
      <c r="GK45" s="2805">
        <f t="shared" si="370"/>
        <v>0</v>
      </c>
      <c r="GM45" s="3576">
        <f t="shared" si="371"/>
        <v>2891.1197356536063</v>
      </c>
    </row>
    <row r="46" spans="1:195" ht="18.75" customHeight="1" x14ac:dyDescent="0.3">
      <c r="A46" s="2784" t="s">
        <v>31</v>
      </c>
      <c r="B46" s="2781">
        <f t="shared" si="435"/>
        <v>179.59316666666666</v>
      </c>
      <c r="C46" s="2781">
        <f>SUM('ПОЛНАЯ СЕБЕСТОИМОСТЬ СТОКИ 2023'!C164)/3</f>
        <v>179.59316666666666</v>
      </c>
      <c r="D46" s="2781">
        <f>SUM('ПОЛНАЯ СЕБЕСТОИМОСТЬ СТОКИ 2023'!D164)/3</f>
        <v>0</v>
      </c>
      <c r="E46" s="2781">
        <f t="shared" si="436"/>
        <v>163.87099999999998</v>
      </c>
      <c r="F46" s="2781">
        <f>SUM('ПОЛНАЯ СЕБЕСТОИМОСТЬ СТОКИ 2023'!F164)</f>
        <v>163.87099999999998</v>
      </c>
      <c r="G46" s="2781">
        <f>SUM('ПОЛНАЯ СЕБЕСТОИМОСТЬ СТОКИ 2023'!G164)</f>
        <v>0</v>
      </c>
      <c r="H46" s="2840">
        <f t="shared" si="482"/>
        <v>145.96</v>
      </c>
      <c r="I46" s="2840">
        <v>145.96</v>
      </c>
      <c r="J46" s="2840">
        <v>0</v>
      </c>
      <c r="K46" s="2781">
        <f t="shared" si="437"/>
        <v>179.59316666666666</v>
      </c>
      <c r="L46" s="2781">
        <f t="shared" si="438"/>
        <v>179.59316666666666</v>
      </c>
      <c r="M46" s="2781">
        <f t="shared" si="439"/>
        <v>0</v>
      </c>
      <c r="N46" s="2781">
        <f t="shared" si="440"/>
        <v>149.08500000000001</v>
      </c>
      <c r="O46" s="2781">
        <f>SUM('ПОЛНАЯ СЕБЕСТОИМОСТЬ СТОКИ 2023'!I164)</f>
        <v>149.08500000000001</v>
      </c>
      <c r="P46" s="2781">
        <f>SUM('ПОЛНАЯ СЕБЕСТОИМОСТЬ СТОКИ 2023'!J164)</f>
        <v>0</v>
      </c>
      <c r="Q46" s="2840">
        <f t="shared" si="483"/>
        <v>194.01900000000001</v>
      </c>
      <c r="R46" s="2840">
        <v>194.01900000000001</v>
      </c>
      <c r="S46" s="2840">
        <v>0</v>
      </c>
      <c r="T46" s="2781">
        <f t="shared" si="441"/>
        <v>179.59316666666666</v>
      </c>
      <c r="U46" s="2781">
        <f t="shared" si="442"/>
        <v>179.59316666666666</v>
      </c>
      <c r="V46" s="2781">
        <f t="shared" si="443"/>
        <v>0</v>
      </c>
      <c r="W46" s="2781">
        <f t="shared" si="444"/>
        <v>178.60550000000001</v>
      </c>
      <c r="X46" s="2781">
        <f>SUM('ПОЛНАЯ СЕБЕСТОИМОСТЬ СТОКИ 2023'!L164)</f>
        <v>178.60550000000001</v>
      </c>
      <c r="Y46" s="2781">
        <f>SUM('ПОЛНАЯ СЕБЕСТОИМОСТЬ СТОКИ 2023'!M164)</f>
        <v>0</v>
      </c>
      <c r="Z46" s="2840">
        <f t="shared" si="484"/>
        <v>180.011</v>
      </c>
      <c r="AA46" s="2840">
        <v>180.011</v>
      </c>
      <c r="AB46" s="2840">
        <v>0</v>
      </c>
      <c r="AC46" s="2869">
        <f t="shared" si="445"/>
        <v>538.77949999999998</v>
      </c>
      <c r="AD46" s="2869">
        <f t="shared" si="445"/>
        <v>538.77949999999998</v>
      </c>
      <c r="AE46" s="2869">
        <f t="shared" si="445"/>
        <v>0</v>
      </c>
      <c r="AF46" s="2869">
        <f t="shared" si="445"/>
        <v>491.56150000000002</v>
      </c>
      <c r="AG46" s="2869">
        <f t="shared" si="445"/>
        <v>491.56150000000002</v>
      </c>
      <c r="AH46" s="2869">
        <f t="shared" si="445"/>
        <v>0</v>
      </c>
      <c r="AI46" s="2869">
        <f t="shared" si="445"/>
        <v>519.99</v>
      </c>
      <c r="AJ46" s="2869">
        <f t="shared" si="445"/>
        <v>519.99</v>
      </c>
      <c r="AK46" s="2869">
        <f t="shared" si="445"/>
        <v>0</v>
      </c>
      <c r="AL46" s="2805">
        <f t="shared" si="358"/>
        <v>-47.217999999999961</v>
      </c>
      <c r="AM46" s="2805">
        <f t="shared" si="358"/>
        <v>-47.217999999999961</v>
      </c>
      <c r="AN46" s="2805">
        <f t="shared" si="358"/>
        <v>0</v>
      </c>
      <c r="AO46" s="2781">
        <f t="shared" si="446"/>
        <v>179.59316666666666</v>
      </c>
      <c r="AP46" s="2781">
        <f>SUM('ПОЛНАЯ СЕБЕСТОИМОСТЬ СТОКИ 2023'!R164)/3</f>
        <v>179.59316666666666</v>
      </c>
      <c r="AQ46" s="2781">
        <f>SUM('ПОЛНАЯ СЕБЕСТОИМОСТЬ СТОКИ 2023'!S164)/3</f>
        <v>0</v>
      </c>
      <c r="AR46" s="2781">
        <f t="shared" si="447"/>
        <v>165.43560000000002</v>
      </c>
      <c r="AS46" s="2781">
        <f>SUM('ПОЛНАЯ СЕБЕСТОИМОСТЬ СТОКИ 2023'!U164)</f>
        <v>165.43560000000002</v>
      </c>
      <c r="AT46" s="2781">
        <f>SUM('ПОЛНАЯ СЕБЕСТОИМОСТЬ СТОКИ 2023'!V164)</f>
        <v>0</v>
      </c>
      <c r="AU46" s="2840">
        <f t="shared" si="485"/>
        <v>125.364</v>
      </c>
      <c r="AV46" s="2840">
        <v>125.364</v>
      </c>
      <c r="AW46" s="2840">
        <v>0</v>
      </c>
      <c r="AX46" s="2781">
        <f t="shared" si="448"/>
        <v>179.59316666666666</v>
      </c>
      <c r="AY46" s="2781">
        <f t="shared" si="449"/>
        <v>179.59316666666666</v>
      </c>
      <c r="AZ46" s="2781">
        <f t="shared" si="450"/>
        <v>0</v>
      </c>
      <c r="BA46" s="2836">
        <f t="shared" si="451"/>
        <v>139.57299999999998</v>
      </c>
      <c r="BB46" s="2836">
        <f>SUM('ПОЛНАЯ СЕБЕСТОИМОСТЬ СТОКИ 2023'!X164)</f>
        <v>139.57299999999998</v>
      </c>
      <c r="BC46" s="2836">
        <f>SUM('ПОЛНАЯ СЕБЕСТОИМОСТЬ СТОКИ 2023'!Y164)</f>
        <v>0</v>
      </c>
      <c r="BD46" s="2840">
        <f t="shared" si="486"/>
        <v>93.471000000000004</v>
      </c>
      <c r="BE46" s="2840">
        <v>93.471000000000004</v>
      </c>
      <c r="BF46" s="2840">
        <v>0</v>
      </c>
      <c r="BG46" s="2781">
        <f t="shared" si="452"/>
        <v>179.59316666666666</v>
      </c>
      <c r="BH46" s="2781">
        <f t="shared" si="453"/>
        <v>179.59316666666666</v>
      </c>
      <c r="BI46" s="2781">
        <f t="shared" si="454"/>
        <v>0</v>
      </c>
      <c r="BJ46" s="2781">
        <f t="shared" si="455"/>
        <v>120.88624999999999</v>
      </c>
      <c r="BK46" s="2781">
        <f>SUM('ПОЛНАЯ СЕБЕСТОИМОСТЬ СТОКИ 2023'!AA164)</f>
        <v>120.88624999999999</v>
      </c>
      <c r="BL46" s="2781">
        <f>SUM('ПОЛНАЯ СЕБЕСТОИМОСТЬ СТОКИ 2023'!AB164)</f>
        <v>0</v>
      </c>
      <c r="BM46" s="2840">
        <f t="shared" si="487"/>
        <v>131.80799999999999</v>
      </c>
      <c r="BN46" s="2840">
        <v>131.80799999999999</v>
      </c>
      <c r="BO46" s="2840">
        <v>0</v>
      </c>
      <c r="BP46" s="2869">
        <f t="shared" si="456"/>
        <v>538.77949999999998</v>
      </c>
      <c r="BQ46" s="2869">
        <f t="shared" si="456"/>
        <v>538.77949999999998</v>
      </c>
      <c r="BR46" s="2869">
        <f t="shared" si="456"/>
        <v>0</v>
      </c>
      <c r="BS46" s="2869">
        <f t="shared" si="456"/>
        <v>425.89485000000002</v>
      </c>
      <c r="BT46" s="2869">
        <f t="shared" si="456"/>
        <v>425.89485000000002</v>
      </c>
      <c r="BU46" s="2869">
        <f t="shared" si="456"/>
        <v>0</v>
      </c>
      <c r="BV46" s="2869">
        <f t="shared" si="456"/>
        <v>350.64300000000003</v>
      </c>
      <c r="BW46" s="2869">
        <f t="shared" si="456"/>
        <v>350.64300000000003</v>
      </c>
      <c r="BX46" s="2869">
        <f t="shared" si="456"/>
        <v>0</v>
      </c>
      <c r="BY46" s="2805">
        <f t="shared" si="360"/>
        <v>-112.88464999999997</v>
      </c>
      <c r="BZ46" s="2805">
        <f t="shared" si="360"/>
        <v>-112.88464999999997</v>
      </c>
      <c r="CA46" s="2805">
        <f t="shared" si="360"/>
        <v>0</v>
      </c>
      <c r="CB46" s="2869">
        <f t="shared" si="457"/>
        <v>1077.559</v>
      </c>
      <c r="CC46" s="2869">
        <f t="shared" si="457"/>
        <v>1077.559</v>
      </c>
      <c r="CD46" s="2869">
        <f t="shared" si="457"/>
        <v>0</v>
      </c>
      <c r="CE46" s="2869">
        <f t="shared" si="457"/>
        <v>917.45635000000004</v>
      </c>
      <c r="CF46" s="2869">
        <f t="shared" si="457"/>
        <v>917.45635000000004</v>
      </c>
      <c r="CG46" s="2869">
        <f t="shared" si="457"/>
        <v>0</v>
      </c>
      <c r="CH46" s="2887">
        <f t="shared" si="457"/>
        <v>870.63300000000004</v>
      </c>
      <c r="CI46" s="2887">
        <f t="shared" si="457"/>
        <v>870.63300000000004</v>
      </c>
      <c r="CJ46" s="2887">
        <f t="shared" si="457"/>
        <v>0</v>
      </c>
      <c r="CK46" s="2805">
        <f t="shared" si="362"/>
        <v>-160.10264999999993</v>
      </c>
      <c r="CL46" s="2805">
        <f t="shared" si="362"/>
        <v>-160.10264999999993</v>
      </c>
      <c r="CM46" s="2805">
        <f t="shared" si="362"/>
        <v>0</v>
      </c>
      <c r="CN46" s="2781">
        <f t="shared" si="458"/>
        <v>179.59316666666666</v>
      </c>
      <c r="CO46" s="2781">
        <f>SUM('ПОЛНАЯ СЕБЕСТОИМОСТЬ СТОКИ 2023'!AP164)/3</f>
        <v>179.59316666666666</v>
      </c>
      <c r="CP46" s="2781">
        <f>SUM('ПОЛНАЯ СЕБЕСТОИМОСТЬ СТОКИ 2023'!AQ164)/3</f>
        <v>0</v>
      </c>
      <c r="CQ46" s="2781">
        <f t="shared" si="459"/>
        <v>136.34700000000001</v>
      </c>
      <c r="CR46" s="2781">
        <f>SUM('ПОЛНАЯ СЕБЕСТОИМОСТЬ СТОКИ 2023'!AS164)</f>
        <v>136.34700000000001</v>
      </c>
      <c r="CS46" s="2781">
        <f>SUM('ПОЛНАЯ СЕБЕСТОИМОСТЬ СТОКИ 2023'!AT164)</f>
        <v>0</v>
      </c>
      <c r="CT46" s="2840">
        <f t="shared" si="488"/>
        <v>94.338999999999999</v>
      </c>
      <c r="CU46" s="2840">
        <v>94.338999999999999</v>
      </c>
      <c r="CV46" s="2840">
        <v>0</v>
      </c>
      <c r="CW46" s="2781">
        <f t="shared" si="460"/>
        <v>179.59316666666666</v>
      </c>
      <c r="CX46" s="2781">
        <f t="shared" si="461"/>
        <v>179.59316666666666</v>
      </c>
      <c r="CY46" s="2781">
        <f t="shared" si="462"/>
        <v>0</v>
      </c>
      <c r="CZ46" s="2781">
        <f t="shared" si="463"/>
        <v>0</v>
      </c>
      <c r="DA46" s="2781">
        <f>SUM('ПОЛНАЯ СЕБЕСТОИМОСТЬ СТОКИ 2023'!AV164)</f>
        <v>0</v>
      </c>
      <c r="DB46" s="2781">
        <f>SUM('ПОЛНАЯ СЕБЕСТОИМОСТЬ СТОКИ 2023'!AW164)</f>
        <v>0</v>
      </c>
      <c r="DC46" s="2840">
        <f t="shared" si="489"/>
        <v>97.311000000000007</v>
      </c>
      <c r="DD46" s="2840">
        <v>97.311000000000007</v>
      </c>
      <c r="DE46" s="2840">
        <v>0</v>
      </c>
      <c r="DF46" s="2781">
        <f t="shared" si="464"/>
        <v>179.59316666666666</v>
      </c>
      <c r="DG46" s="2781">
        <f t="shared" si="465"/>
        <v>179.59316666666666</v>
      </c>
      <c r="DH46" s="2781">
        <f t="shared" si="466"/>
        <v>0</v>
      </c>
      <c r="DI46" s="2781">
        <f t="shared" si="467"/>
        <v>0</v>
      </c>
      <c r="DJ46" s="2781">
        <f>SUM('ПОЛНАЯ СЕБЕСТОИМОСТЬ СТОКИ 2023'!AY164)</f>
        <v>0</v>
      </c>
      <c r="DK46" s="2781">
        <f>SUM('ПОЛНАЯ СЕБЕСТОИМОСТЬ СТОКИ 2023'!AZ164)</f>
        <v>0</v>
      </c>
      <c r="DL46" s="2840">
        <f t="shared" si="490"/>
        <v>66.621000000000009</v>
      </c>
      <c r="DM46" s="2840">
        <v>66.621000000000009</v>
      </c>
      <c r="DN46" s="2840">
        <v>0</v>
      </c>
      <c r="DO46" s="2869">
        <f t="shared" si="468"/>
        <v>538.77949999999998</v>
      </c>
      <c r="DP46" s="2869">
        <f t="shared" si="468"/>
        <v>538.77949999999998</v>
      </c>
      <c r="DQ46" s="2869">
        <f t="shared" si="468"/>
        <v>0</v>
      </c>
      <c r="DR46" s="2869">
        <f t="shared" si="468"/>
        <v>136.34700000000001</v>
      </c>
      <c r="DS46" s="2869">
        <f t="shared" si="468"/>
        <v>136.34700000000001</v>
      </c>
      <c r="DT46" s="2869">
        <f t="shared" si="468"/>
        <v>0</v>
      </c>
      <c r="DU46" s="2869">
        <f t="shared" si="468"/>
        <v>258.27100000000002</v>
      </c>
      <c r="DV46" s="2869">
        <f t="shared" si="468"/>
        <v>258.27100000000002</v>
      </c>
      <c r="DW46" s="2869">
        <f t="shared" si="468"/>
        <v>0</v>
      </c>
      <c r="DX46" s="2805">
        <f t="shared" si="364"/>
        <v>-402.4325</v>
      </c>
      <c r="DY46" s="2805">
        <f t="shared" si="364"/>
        <v>-402.4325</v>
      </c>
      <c r="DZ46" s="2805">
        <f t="shared" si="364"/>
        <v>0</v>
      </c>
      <c r="EA46" s="2869">
        <f t="shared" si="469"/>
        <v>1616.3384999999998</v>
      </c>
      <c r="EB46" s="2869">
        <f t="shared" si="469"/>
        <v>1616.3384999999998</v>
      </c>
      <c r="EC46" s="2869">
        <f t="shared" si="469"/>
        <v>0</v>
      </c>
      <c r="ED46" s="2869">
        <f t="shared" si="469"/>
        <v>1053.8033500000001</v>
      </c>
      <c r="EE46" s="2869">
        <f t="shared" si="469"/>
        <v>1053.8033500000001</v>
      </c>
      <c r="EF46" s="2869">
        <f t="shared" si="469"/>
        <v>0</v>
      </c>
      <c r="EG46" s="2869">
        <f t="shared" si="469"/>
        <v>1128.904</v>
      </c>
      <c r="EH46" s="2869">
        <f t="shared" si="469"/>
        <v>1128.904</v>
      </c>
      <c r="EI46" s="2869">
        <f t="shared" si="469"/>
        <v>0</v>
      </c>
      <c r="EJ46" s="2805">
        <f t="shared" si="366"/>
        <v>-562.5351499999997</v>
      </c>
      <c r="EK46" s="2805">
        <f t="shared" si="366"/>
        <v>-562.5351499999997</v>
      </c>
      <c r="EL46" s="2805">
        <f t="shared" si="366"/>
        <v>0</v>
      </c>
      <c r="EM46" s="2781">
        <f t="shared" si="470"/>
        <v>179.59316666666666</v>
      </c>
      <c r="EN46" s="2781">
        <f>SUM('ПОЛНАЯ СЕБЕСТОИМОСТЬ СТОКИ 2023'!BN164)/3</f>
        <v>179.59316666666666</v>
      </c>
      <c r="EO46" s="2781">
        <f>SUM('ПОЛНАЯ СЕБЕСТОИМОСТЬ СТОКИ 2023'!BO164)/3</f>
        <v>0</v>
      </c>
      <c r="EP46" s="2781">
        <f t="shared" si="471"/>
        <v>0</v>
      </c>
      <c r="EQ46" s="2781">
        <f>SUM('ПОЛНАЯ СЕБЕСТОИМОСТЬ СТОКИ 2023'!BQ164)</f>
        <v>0</v>
      </c>
      <c r="ER46" s="2781">
        <f>SUM('ПОЛНАЯ СЕБЕСТОИМОСТЬ СТОКИ 2023'!BR164)</f>
        <v>0</v>
      </c>
      <c r="ES46" s="2840">
        <f t="shared" si="491"/>
        <v>137.02300000000002</v>
      </c>
      <c r="ET46" s="2840">
        <v>137.02300000000002</v>
      </c>
      <c r="EU46" s="2840">
        <v>0</v>
      </c>
      <c r="EV46" s="2781">
        <f t="shared" si="472"/>
        <v>179.59316666666666</v>
      </c>
      <c r="EW46" s="2781">
        <f t="shared" si="473"/>
        <v>179.59316666666666</v>
      </c>
      <c r="EX46" s="2781">
        <f t="shared" si="474"/>
        <v>0</v>
      </c>
      <c r="EY46" s="2781">
        <f t="shared" si="475"/>
        <v>0</v>
      </c>
      <c r="EZ46" s="2781">
        <f>SUM('ПОЛНАЯ СЕБЕСТОИМОСТЬ СТОКИ 2023'!BT164)</f>
        <v>0</v>
      </c>
      <c r="FA46" s="2781">
        <f>SUM('ПОЛНАЯ СЕБЕСТОИМОСТЬ СТОКИ 2023'!BU164)</f>
        <v>0</v>
      </c>
      <c r="FB46" s="2840">
        <f t="shared" si="492"/>
        <v>153.26656</v>
      </c>
      <c r="FC46" s="2840">
        <v>153.26656</v>
      </c>
      <c r="FD46" s="2840">
        <v>0</v>
      </c>
      <c r="FE46" s="2781">
        <f t="shared" si="476"/>
        <v>179.59316666666666</v>
      </c>
      <c r="FF46" s="2781">
        <f t="shared" si="477"/>
        <v>179.59316666666666</v>
      </c>
      <c r="FG46" s="2781">
        <f t="shared" si="478"/>
        <v>0</v>
      </c>
      <c r="FH46" s="2781">
        <f t="shared" si="479"/>
        <v>0</v>
      </c>
      <c r="FI46" s="2781">
        <f>SUM('ПОЛНАЯ СЕБЕСТОИМОСТЬ СТОКИ 2023'!BW164)</f>
        <v>0</v>
      </c>
      <c r="FJ46" s="2781">
        <f>SUM('ПОЛНАЯ СЕБЕСТОИМОСТЬ СТОКИ 2023'!BX164)</f>
        <v>0</v>
      </c>
      <c r="FK46" s="2840">
        <f t="shared" si="493"/>
        <v>144.63400000000001</v>
      </c>
      <c r="FL46" s="2840">
        <v>144.63400000000001</v>
      </c>
      <c r="FM46" s="2840">
        <v>0</v>
      </c>
      <c r="FN46" s="2869">
        <f t="shared" si="480"/>
        <v>538.77949999999998</v>
      </c>
      <c r="FO46" s="2869">
        <f t="shared" si="480"/>
        <v>538.77949999999998</v>
      </c>
      <c r="FP46" s="2869">
        <f t="shared" si="480"/>
        <v>0</v>
      </c>
      <c r="FQ46" s="2869">
        <f t="shared" si="480"/>
        <v>0</v>
      </c>
      <c r="FR46" s="2869">
        <f t="shared" si="480"/>
        <v>0</v>
      </c>
      <c r="FS46" s="2869">
        <f t="shared" si="480"/>
        <v>0</v>
      </c>
      <c r="FT46" s="2869">
        <f t="shared" si="480"/>
        <v>434.92356000000007</v>
      </c>
      <c r="FU46" s="2869">
        <f t="shared" si="480"/>
        <v>434.92356000000007</v>
      </c>
      <c r="FV46" s="2869">
        <f t="shared" si="480"/>
        <v>0</v>
      </c>
      <c r="FW46" s="2805">
        <f t="shared" si="368"/>
        <v>-538.77949999999998</v>
      </c>
      <c r="FX46" s="2805">
        <f t="shared" si="368"/>
        <v>-538.77949999999998</v>
      </c>
      <c r="FY46" s="2805">
        <f t="shared" si="368"/>
        <v>0</v>
      </c>
      <c r="FZ46" s="4559">
        <f t="shared" si="481"/>
        <v>2155.1179999999999</v>
      </c>
      <c r="GA46" s="4559">
        <f t="shared" si="481"/>
        <v>2155.1179999999999</v>
      </c>
      <c r="GB46" s="4559">
        <f t="shared" si="481"/>
        <v>0</v>
      </c>
      <c r="GC46" s="2869">
        <f t="shared" si="481"/>
        <v>1053.8033500000001</v>
      </c>
      <c r="GD46" s="2869">
        <f t="shared" si="481"/>
        <v>1053.8033500000001</v>
      </c>
      <c r="GE46" s="2869">
        <f t="shared" si="481"/>
        <v>0</v>
      </c>
      <c r="GF46" s="2869">
        <f t="shared" si="481"/>
        <v>1563.8275600000002</v>
      </c>
      <c r="GG46" s="2869">
        <f t="shared" si="481"/>
        <v>1563.8275600000002</v>
      </c>
      <c r="GH46" s="2869">
        <f t="shared" si="481"/>
        <v>0</v>
      </c>
      <c r="GI46" s="2805">
        <f t="shared" si="370"/>
        <v>-1101.3146499999998</v>
      </c>
      <c r="GJ46" s="2805">
        <f t="shared" si="370"/>
        <v>-1101.3146499999998</v>
      </c>
      <c r="GK46" s="2805">
        <f t="shared" si="370"/>
        <v>0</v>
      </c>
      <c r="GM46" s="3576">
        <f t="shared" si="371"/>
        <v>2155.1179999999995</v>
      </c>
    </row>
    <row r="47" spans="1:195" ht="18.75" customHeight="1" x14ac:dyDescent="0.3">
      <c r="A47" s="2784" t="s">
        <v>287</v>
      </c>
      <c r="B47" s="2781">
        <f t="shared" si="435"/>
        <v>829.23474641666655</v>
      </c>
      <c r="C47" s="2781">
        <f>SUM('ПОЛНАЯ СЕБЕСТОИМОСТЬ СТОКИ 2023'!C165)/3</f>
        <v>829.23474641666655</v>
      </c>
      <c r="D47" s="2781">
        <f>SUM('ПОЛНАЯ СЕБЕСТОИМОСТЬ СТОКИ 2023'!D165)/3</f>
        <v>0</v>
      </c>
      <c r="E47" s="2781">
        <f t="shared" si="436"/>
        <v>883.83</v>
      </c>
      <c r="F47" s="2781">
        <f>SUM('ПОЛНАЯ СЕБЕСТОИМОСТЬ СТОКИ 2023'!F165)</f>
        <v>883.83</v>
      </c>
      <c r="G47" s="2781">
        <f>SUM('ПОЛНАЯ СЕБЕСТОИМОСТЬ СТОКИ 2023'!G165)</f>
        <v>0</v>
      </c>
      <c r="H47" s="2840">
        <f t="shared" si="482"/>
        <v>316.88249999999994</v>
      </c>
      <c r="I47" s="2840">
        <v>316.88249999999994</v>
      </c>
      <c r="J47" s="2840">
        <v>0</v>
      </c>
      <c r="K47" s="2781">
        <f t="shared" si="437"/>
        <v>829.23474641666655</v>
      </c>
      <c r="L47" s="2781">
        <f t="shared" si="438"/>
        <v>829.23474641666655</v>
      </c>
      <c r="M47" s="2781">
        <f t="shared" si="439"/>
        <v>0</v>
      </c>
      <c r="N47" s="2781">
        <f t="shared" si="440"/>
        <v>901.05282000000011</v>
      </c>
      <c r="O47" s="2781">
        <f>SUM('ПОЛНАЯ СЕБЕСТОИМОСТЬ СТОКИ 2023'!I165)</f>
        <v>901.05282000000011</v>
      </c>
      <c r="P47" s="2781">
        <f>SUM('ПОЛНАЯ СЕБЕСТОИМОСТЬ СТОКИ 2023'!J165)</f>
        <v>0</v>
      </c>
      <c r="Q47" s="2840">
        <f t="shared" si="483"/>
        <v>268.18400000000014</v>
      </c>
      <c r="R47" s="2840">
        <v>268.18400000000014</v>
      </c>
      <c r="S47" s="2840">
        <v>0</v>
      </c>
      <c r="T47" s="2781">
        <f t="shared" si="441"/>
        <v>829.23474641666655</v>
      </c>
      <c r="U47" s="2781">
        <f t="shared" si="442"/>
        <v>829.23474641666655</v>
      </c>
      <c r="V47" s="2781">
        <f t="shared" si="443"/>
        <v>0</v>
      </c>
      <c r="W47" s="2781">
        <f t="shared" si="444"/>
        <v>699.70959999999991</v>
      </c>
      <c r="X47" s="2781">
        <f>SUM('ПОЛНАЯ СЕБЕСТОИМОСТЬ СТОКИ 2023'!L165)</f>
        <v>699.70959999999991</v>
      </c>
      <c r="Y47" s="2781">
        <f>SUM('ПОЛНАЯ СЕБЕСТОИМОСТЬ СТОКИ 2023'!M165)</f>
        <v>0</v>
      </c>
      <c r="Z47" s="2840">
        <f t="shared" si="484"/>
        <v>282.49199999999996</v>
      </c>
      <c r="AA47" s="2840">
        <v>282.49199999999996</v>
      </c>
      <c r="AB47" s="2840">
        <v>0</v>
      </c>
      <c r="AC47" s="2869">
        <f t="shared" si="445"/>
        <v>2487.7042392499998</v>
      </c>
      <c r="AD47" s="2869">
        <f t="shared" si="445"/>
        <v>2487.7042392499998</v>
      </c>
      <c r="AE47" s="2869">
        <f t="shared" si="445"/>
        <v>0</v>
      </c>
      <c r="AF47" s="2869">
        <f t="shared" si="445"/>
        <v>2484.5924199999999</v>
      </c>
      <c r="AG47" s="2869">
        <f t="shared" si="445"/>
        <v>2484.5924199999999</v>
      </c>
      <c r="AH47" s="2869">
        <f t="shared" si="445"/>
        <v>0</v>
      </c>
      <c r="AI47" s="2869">
        <f t="shared" si="445"/>
        <v>867.55850000000009</v>
      </c>
      <c r="AJ47" s="2869">
        <f t="shared" si="445"/>
        <v>867.55850000000009</v>
      </c>
      <c r="AK47" s="2869">
        <f t="shared" si="445"/>
        <v>0</v>
      </c>
      <c r="AL47" s="2805">
        <f t="shared" si="358"/>
        <v>-3.1118192499998258</v>
      </c>
      <c r="AM47" s="2805">
        <f t="shared" si="358"/>
        <v>-3.1118192499998258</v>
      </c>
      <c r="AN47" s="2805">
        <f t="shared" si="358"/>
        <v>0</v>
      </c>
      <c r="AO47" s="2781">
        <f t="shared" si="446"/>
        <v>829.23474641666655</v>
      </c>
      <c r="AP47" s="2781">
        <f>SUM('ПОЛНАЯ СЕБЕСТОИМОСТЬ СТОКИ 2023'!R165)/3</f>
        <v>829.23474641666655</v>
      </c>
      <c r="AQ47" s="2781">
        <f>SUM('ПОЛНАЯ СЕБЕСТОИМОСТЬ СТОКИ 2023'!S165)/3</f>
        <v>0</v>
      </c>
      <c r="AR47" s="2781">
        <f t="shared" si="447"/>
        <v>1015.2513000000004</v>
      </c>
      <c r="AS47" s="2781">
        <f>SUM('ПОЛНАЯ СЕБЕСТОИМОСТЬ СТОКИ 2023'!U165)</f>
        <v>1015.2513000000004</v>
      </c>
      <c r="AT47" s="2781">
        <f>SUM('ПОЛНАЯ СЕБЕСТОИМОСТЬ СТОКИ 2023'!V165)</f>
        <v>0</v>
      </c>
      <c r="AU47" s="2840">
        <f t="shared" si="485"/>
        <v>224.5030000000003</v>
      </c>
      <c r="AV47" s="2840">
        <v>224.5030000000003</v>
      </c>
      <c r="AW47" s="2840">
        <v>0</v>
      </c>
      <c r="AX47" s="2781">
        <f t="shared" si="448"/>
        <v>829.23474641666655</v>
      </c>
      <c r="AY47" s="2781">
        <f t="shared" si="449"/>
        <v>829.23474641666655</v>
      </c>
      <c r="AZ47" s="2781">
        <f t="shared" si="450"/>
        <v>0</v>
      </c>
      <c r="BA47" s="2836">
        <f t="shared" si="451"/>
        <v>1888.2629999999999</v>
      </c>
      <c r="BB47" s="2836">
        <f>SUM('ПОЛНАЯ СЕБЕСТОИМОСТЬ СТОКИ 2023'!X165)</f>
        <v>1888.2629999999999</v>
      </c>
      <c r="BC47" s="2836">
        <f>SUM('ПОЛНАЯ СЕБЕСТОИМОСТЬ СТОКИ 2023'!Y165)</f>
        <v>0</v>
      </c>
      <c r="BD47" s="2840">
        <f t="shared" si="486"/>
        <v>509.52499999999998</v>
      </c>
      <c r="BE47" s="2840">
        <v>509.52499999999998</v>
      </c>
      <c r="BF47" s="2840">
        <v>0</v>
      </c>
      <c r="BG47" s="2781">
        <f t="shared" si="452"/>
        <v>829.23474641666655</v>
      </c>
      <c r="BH47" s="2781">
        <f t="shared" si="453"/>
        <v>829.23474641666655</v>
      </c>
      <c r="BI47" s="2781">
        <f t="shared" si="454"/>
        <v>0</v>
      </c>
      <c r="BJ47" s="2781">
        <f t="shared" si="455"/>
        <v>1071.0546299999999</v>
      </c>
      <c r="BK47" s="2781">
        <f>SUM('ПОЛНАЯ СЕБЕСТОИМОСТЬ СТОКИ 2023'!AA165)</f>
        <v>1071.0546299999999</v>
      </c>
      <c r="BL47" s="2781">
        <f>SUM('ПОЛНАЯ СЕБЕСТОИМОСТЬ СТОКИ 2023'!AB165)</f>
        <v>0</v>
      </c>
      <c r="BM47" s="2840">
        <f t="shared" si="487"/>
        <v>1038.6286899999996</v>
      </c>
      <c r="BN47" s="2840">
        <v>1038.6286899999996</v>
      </c>
      <c r="BO47" s="2840">
        <v>0</v>
      </c>
      <c r="BP47" s="2869">
        <f t="shared" si="456"/>
        <v>2487.7042392499998</v>
      </c>
      <c r="BQ47" s="2869">
        <f t="shared" si="456"/>
        <v>2487.7042392499998</v>
      </c>
      <c r="BR47" s="2869">
        <f t="shared" si="456"/>
        <v>0</v>
      </c>
      <c r="BS47" s="2869">
        <f t="shared" si="456"/>
        <v>3974.5689300000004</v>
      </c>
      <c r="BT47" s="2869">
        <f t="shared" si="456"/>
        <v>3974.5689300000004</v>
      </c>
      <c r="BU47" s="2869">
        <f t="shared" si="456"/>
        <v>0</v>
      </c>
      <c r="BV47" s="2869">
        <f t="shared" si="456"/>
        <v>1772.6566899999998</v>
      </c>
      <c r="BW47" s="2869">
        <f t="shared" si="456"/>
        <v>1772.6566899999998</v>
      </c>
      <c r="BX47" s="2869">
        <f t="shared" si="456"/>
        <v>0</v>
      </c>
      <c r="BY47" s="2805">
        <f t="shared" si="360"/>
        <v>1486.8646907500006</v>
      </c>
      <c r="BZ47" s="2805">
        <f t="shared" si="360"/>
        <v>1486.8646907500006</v>
      </c>
      <c r="CA47" s="2805">
        <f t="shared" si="360"/>
        <v>0</v>
      </c>
      <c r="CB47" s="2869">
        <f t="shared" si="457"/>
        <v>4975.4084784999995</v>
      </c>
      <c r="CC47" s="2869">
        <f t="shared" si="457"/>
        <v>4975.4084784999995</v>
      </c>
      <c r="CD47" s="2869">
        <f t="shared" si="457"/>
        <v>0</v>
      </c>
      <c r="CE47" s="2869">
        <f t="shared" si="457"/>
        <v>6459.1613500000003</v>
      </c>
      <c r="CF47" s="2869">
        <f t="shared" si="457"/>
        <v>6459.1613500000003</v>
      </c>
      <c r="CG47" s="2869">
        <f t="shared" si="457"/>
        <v>0</v>
      </c>
      <c r="CH47" s="2887">
        <f t="shared" si="457"/>
        <v>2640.2151899999999</v>
      </c>
      <c r="CI47" s="2887">
        <f t="shared" si="457"/>
        <v>2640.2151899999999</v>
      </c>
      <c r="CJ47" s="2887">
        <f t="shared" si="457"/>
        <v>0</v>
      </c>
      <c r="CK47" s="2805">
        <f t="shared" si="362"/>
        <v>1483.7528715000008</v>
      </c>
      <c r="CL47" s="2805">
        <f t="shared" si="362"/>
        <v>1483.7528715000008</v>
      </c>
      <c r="CM47" s="2805">
        <f t="shared" si="362"/>
        <v>0</v>
      </c>
      <c r="CN47" s="2781">
        <f t="shared" si="458"/>
        <v>829.23474641666655</v>
      </c>
      <c r="CO47" s="2781">
        <f>SUM('ПОЛНАЯ СЕБЕСТОИМОСТЬ СТОКИ 2023'!AP165)/3</f>
        <v>829.23474641666655</v>
      </c>
      <c r="CP47" s="2781">
        <f>SUM('ПОЛНАЯ СЕБЕСТОИМОСТЬ СТОКИ 2023'!AQ165)/3</f>
        <v>0</v>
      </c>
      <c r="CQ47" s="2781">
        <f t="shared" si="459"/>
        <v>759.85353000000032</v>
      </c>
      <c r="CR47" s="2781">
        <f>SUM('ПОЛНАЯ СЕБЕСТОИМОСТЬ СТОКИ 2023'!AS165)</f>
        <v>759.85353000000032</v>
      </c>
      <c r="CS47" s="2781">
        <f>SUM('ПОЛНАЯ СЕБЕСТОИМОСТЬ СТОКИ 2023'!AT165)</f>
        <v>0</v>
      </c>
      <c r="CT47" s="2840">
        <f t="shared" si="488"/>
        <v>394.22099999999978</v>
      </c>
      <c r="CU47" s="2840">
        <v>394.22099999999978</v>
      </c>
      <c r="CV47" s="2840">
        <v>0</v>
      </c>
      <c r="CW47" s="2781">
        <f t="shared" si="460"/>
        <v>829.23474641666655</v>
      </c>
      <c r="CX47" s="2781">
        <f t="shared" si="461"/>
        <v>829.23474641666655</v>
      </c>
      <c r="CY47" s="2781">
        <f t="shared" si="462"/>
        <v>0</v>
      </c>
      <c r="CZ47" s="2781">
        <f t="shared" si="463"/>
        <v>0</v>
      </c>
      <c r="DA47" s="2781">
        <f>SUM('ПОЛНАЯ СЕБЕСТОИМОСТЬ СТОКИ 2023'!AV165)</f>
        <v>0</v>
      </c>
      <c r="DB47" s="2781">
        <f>SUM('ПОЛНАЯ СЕБЕСТОИМОСТЬ СТОКИ 2023'!AW165)</f>
        <v>0</v>
      </c>
      <c r="DC47" s="2840">
        <f t="shared" si="489"/>
        <v>550.43859999999961</v>
      </c>
      <c r="DD47" s="2840">
        <v>550.43859999999961</v>
      </c>
      <c r="DE47" s="2840">
        <v>0</v>
      </c>
      <c r="DF47" s="2781">
        <f t="shared" si="464"/>
        <v>829.23474641666655</v>
      </c>
      <c r="DG47" s="2781">
        <f t="shared" si="465"/>
        <v>829.23474641666655</v>
      </c>
      <c r="DH47" s="2781">
        <f t="shared" si="466"/>
        <v>0</v>
      </c>
      <c r="DI47" s="2781">
        <f t="shared" si="467"/>
        <v>0</v>
      </c>
      <c r="DJ47" s="2781">
        <f>SUM('ПОЛНАЯ СЕБЕСТОИМОСТЬ СТОКИ 2023'!AY165)</f>
        <v>0</v>
      </c>
      <c r="DK47" s="2781">
        <f>SUM('ПОЛНАЯ СЕБЕСТОИМОСТЬ СТОКИ 2023'!AZ165)</f>
        <v>0</v>
      </c>
      <c r="DL47" s="2840">
        <f t="shared" si="490"/>
        <v>460.56700000000012</v>
      </c>
      <c r="DM47" s="2840">
        <v>460.56700000000012</v>
      </c>
      <c r="DN47" s="2840">
        <v>0</v>
      </c>
      <c r="DO47" s="2869">
        <f t="shared" si="468"/>
        <v>2487.7042392499998</v>
      </c>
      <c r="DP47" s="2869">
        <f t="shared" si="468"/>
        <v>2487.7042392499998</v>
      </c>
      <c r="DQ47" s="2869">
        <f t="shared" si="468"/>
        <v>0</v>
      </c>
      <c r="DR47" s="2869">
        <f t="shared" si="468"/>
        <v>759.85353000000032</v>
      </c>
      <c r="DS47" s="2869">
        <f t="shared" si="468"/>
        <v>759.85353000000032</v>
      </c>
      <c r="DT47" s="2869">
        <f t="shared" si="468"/>
        <v>0</v>
      </c>
      <c r="DU47" s="2869">
        <f t="shared" si="468"/>
        <v>1405.2265999999995</v>
      </c>
      <c r="DV47" s="2869">
        <f t="shared" si="468"/>
        <v>1405.2265999999995</v>
      </c>
      <c r="DW47" s="2869">
        <f t="shared" si="468"/>
        <v>0</v>
      </c>
      <c r="DX47" s="2805">
        <f t="shared" si="364"/>
        <v>-1727.8507092499995</v>
      </c>
      <c r="DY47" s="2805">
        <f t="shared" si="364"/>
        <v>-1727.8507092499995</v>
      </c>
      <c r="DZ47" s="2805">
        <f t="shared" si="364"/>
        <v>0</v>
      </c>
      <c r="EA47" s="2869">
        <f t="shared" si="469"/>
        <v>7463.1127177499993</v>
      </c>
      <c r="EB47" s="2869">
        <f t="shared" si="469"/>
        <v>7463.1127177499993</v>
      </c>
      <c r="EC47" s="2869">
        <f t="shared" si="469"/>
        <v>0</v>
      </c>
      <c r="ED47" s="2869">
        <f t="shared" si="469"/>
        <v>7219.0148800000006</v>
      </c>
      <c r="EE47" s="2869">
        <f t="shared" si="469"/>
        <v>7219.0148800000006</v>
      </c>
      <c r="EF47" s="2869">
        <f t="shared" si="469"/>
        <v>0</v>
      </c>
      <c r="EG47" s="2869">
        <f t="shared" si="469"/>
        <v>4045.4417899999994</v>
      </c>
      <c r="EH47" s="2869">
        <f t="shared" si="469"/>
        <v>4045.4417899999994</v>
      </c>
      <c r="EI47" s="2869">
        <f t="shared" si="469"/>
        <v>0</v>
      </c>
      <c r="EJ47" s="2805">
        <f t="shared" si="366"/>
        <v>-244.09783774999869</v>
      </c>
      <c r="EK47" s="2805">
        <f t="shared" si="366"/>
        <v>-244.09783774999869</v>
      </c>
      <c r="EL47" s="2805">
        <f t="shared" si="366"/>
        <v>0</v>
      </c>
      <c r="EM47" s="2781">
        <f t="shared" si="470"/>
        <v>829.23474641666655</v>
      </c>
      <c r="EN47" s="2781">
        <f>SUM('ПОЛНАЯ СЕБЕСТОИМОСТЬ СТОКИ 2023'!BN165)/3</f>
        <v>829.23474641666655</v>
      </c>
      <c r="EO47" s="2781">
        <f>SUM('ПОЛНАЯ СЕБЕСТОИМОСТЬ СТОКИ 2023'!BO165)/3</f>
        <v>0</v>
      </c>
      <c r="EP47" s="2781">
        <f t="shared" si="471"/>
        <v>0</v>
      </c>
      <c r="EQ47" s="2781">
        <f>SUM('ПОЛНАЯ СЕБЕСТОИМОСТЬ СТОКИ 2023'!BQ165)</f>
        <v>0</v>
      </c>
      <c r="ER47" s="2781">
        <f>SUM('ПОЛНАЯ СЕБЕСТОИМОСТЬ СТОКИ 2023'!BR165)</f>
        <v>0</v>
      </c>
      <c r="ES47" s="2840">
        <f t="shared" si="491"/>
        <v>636.21270000000015</v>
      </c>
      <c r="ET47" s="2840">
        <v>636.21270000000015</v>
      </c>
      <c r="EU47" s="2840">
        <v>0</v>
      </c>
      <c r="EV47" s="2781">
        <f t="shared" si="472"/>
        <v>829.23474641666655</v>
      </c>
      <c r="EW47" s="2781">
        <f t="shared" si="473"/>
        <v>829.23474641666655</v>
      </c>
      <c r="EX47" s="2781">
        <f t="shared" si="474"/>
        <v>0</v>
      </c>
      <c r="EY47" s="2781">
        <f t="shared" si="475"/>
        <v>0</v>
      </c>
      <c r="EZ47" s="2781">
        <f>SUM('ПОЛНАЯ СЕБЕСТОИМОСТЬ СТОКИ 2023'!BT165)</f>
        <v>0</v>
      </c>
      <c r="FA47" s="2781">
        <f>SUM('ПОЛНАЯ СЕБЕСТОИМОСТЬ СТОКИ 2023'!BU165)</f>
        <v>0</v>
      </c>
      <c r="FB47" s="2840">
        <f t="shared" si="492"/>
        <v>777.10856999999987</v>
      </c>
      <c r="FC47" s="2840">
        <v>777.10856999999987</v>
      </c>
      <c r="FD47" s="2840">
        <v>0</v>
      </c>
      <c r="FE47" s="2781">
        <f t="shared" si="476"/>
        <v>829.23474641666655</v>
      </c>
      <c r="FF47" s="2781">
        <f t="shared" si="477"/>
        <v>829.23474641666655</v>
      </c>
      <c r="FG47" s="2781">
        <f t="shared" si="478"/>
        <v>0</v>
      </c>
      <c r="FH47" s="2781">
        <f t="shared" si="479"/>
        <v>0</v>
      </c>
      <c r="FI47" s="2781">
        <f>SUM('ПОЛНАЯ СЕБЕСТОИМОСТЬ СТОКИ 2023'!BW165)</f>
        <v>0</v>
      </c>
      <c r="FJ47" s="2781">
        <f>SUM('ПОЛНАЯ СЕБЕСТОИМОСТЬ СТОКИ 2023'!BX165)</f>
        <v>0</v>
      </c>
      <c r="FK47" s="2840">
        <f t="shared" si="493"/>
        <v>1106.5740000000001</v>
      </c>
      <c r="FL47" s="2840">
        <v>1106.5740000000001</v>
      </c>
      <c r="FM47" s="2840">
        <v>0</v>
      </c>
      <c r="FN47" s="2869">
        <f t="shared" si="480"/>
        <v>2487.7042392499998</v>
      </c>
      <c r="FO47" s="2869">
        <f t="shared" si="480"/>
        <v>2487.7042392499998</v>
      </c>
      <c r="FP47" s="2869">
        <f t="shared" si="480"/>
        <v>0</v>
      </c>
      <c r="FQ47" s="2869">
        <f t="shared" si="480"/>
        <v>0</v>
      </c>
      <c r="FR47" s="2869">
        <f t="shared" si="480"/>
        <v>0</v>
      </c>
      <c r="FS47" s="2869">
        <f t="shared" si="480"/>
        <v>0</v>
      </c>
      <c r="FT47" s="2869">
        <f t="shared" si="480"/>
        <v>2519.89527</v>
      </c>
      <c r="FU47" s="2869">
        <f t="shared" si="480"/>
        <v>2519.89527</v>
      </c>
      <c r="FV47" s="2869">
        <f t="shared" si="480"/>
        <v>0</v>
      </c>
      <c r="FW47" s="2805">
        <f t="shared" si="368"/>
        <v>-2487.7042392499998</v>
      </c>
      <c r="FX47" s="2805">
        <f t="shared" si="368"/>
        <v>-2487.7042392499998</v>
      </c>
      <c r="FY47" s="2805">
        <f t="shared" si="368"/>
        <v>0</v>
      </c>
      <c r="FZ47" s="4559">
        <f t="shared" si="481"/>
        <v>9950.8169569999991</v>
      </c>
      <c r="GA47" s="4559">
        <f t="shared" si="481"/>
        <v>9950.8169569999991</v>
      </c>
      <c r="GB47" s="4559">
        <f t="shared" si="481"/>
        <v>0</v>
      </c>
      <c r="GC47" s="2869">
        <f t="shared" si="481"/>
        <v>7219.0148800000006</v>
      </c>
      <c r="GD47" s="2869">
        <f t="shared" si="481"/>
        <v>7219.0148800000006</v>
      </c>
      <c r="GE47" s="2869">
        <f t="shared" si="481"/>
        <v>0</v>
      </c>
      <c r="GF47" s="2869">
        <f t="shared" si="481"/>
        <v>6565.3370599999998</v>
      </c>
      <c r="GG47" s="2869">
        <f t="shared" si="481"/>
        <v>6565.3370599999998</v>
      </c>
      <c r="GH47" s="2869">
        <f t="shared" si="481"/>
        <v>0</v>
      </c>
      <c r="GI47" s="2805">
        <f t="shared" si="370"/>
        <v>-2731.8020769999985</v>
      </c>
      <c r="GJ47" s="2805">
        <f t="shared" si="370"/>
        <v>-2731.8020769999985</v>
      </c>
      <c r="GK47" s="2805">
        <f t="shared" si="370"/>
        <v>0</v>
      </c>
      <c r="GM47" s="3576">
        <f t="shared" si="371"/>
        <v>9950.8169570000009</v>
      </c>
    </row>
    <row r="48" spans="1:195" ht="18.75" customHeight="1" x14ac:dyDescent="0.3">
      <c r="A48" s="2862" t="s">
        <v>3703</v>
      </c>
      <c r="B48" s="2775">
        <f t="shared" si="435"/>
        <v>271.36697500000002</v>
      </c>
      <c r="C48" s="2775">
        <f>SUM('ПОЛНАЯ СЕБЕСТОИМОСТЬ СТОКИ 2023'!C166)/3</f>
        <v>271.36697500000002</v>
      </c>
      <c r="D48" s="2775">
        <f>SUM('ПОЛНАЯ СЕБЕСТОИМОСТЬ СТОКИ 2023'!D166)/3</f>
        <v>0</v>
      </c>
      <c r="E48" s="2775">
        <f t="shared" si="436"/>
        <v>0</v>
      </c>
      <c r="F48" s="2775">
        <f>SUM('ПОЛНАЯ СЕБЕСТОИМОСТЬ СТОКИ 2023'!F166)</f>
        <v>0</v>
      </c>
      <c r="G48" s="2775">
        <f>SUM('ПОЛНАЯ СЕБЕСТОИМОСТЬ СТОКИ 2023'!G166)</f>
        <v>0</v>
      </c>
      <c r="H48" s="2886">
        <f>SUM(H49:H51)</f>
        <v>0</v>
      </c>
      <c r="I48" s="2886">
        <v>0</v>
      </c>
      <c r="J48" s="2886">
        <v>0</v>
      </c>
      <c r="K48" s="2775">
        <f t="shared" si="437"/>
        <v>271.36697500000002</v>
      </c>
      <c r="L48" s="2775">
        <f t="shared" si="438"/>
        <v>271.36697500000002</v>
      </c>
      <c r="M48" s="2775">
        <f t="shared" si="439"/>
        <v>0</v>
      </c>
      <c r="N48" s="2775">
        <f t="shared" si="440"/>
        <v>0</v>
      </c>
      <c r="O48" s="2775">
        <f>SUM('ПОЛНАЯ СЕБЕСТОИМОСТЬ СТОКИ 2023'!I166)</f>
        <v>0</v>
      </c>
      <c r="P48" s="2775">
        <f>SUM('ПОЛНАЯ СЕБЕСТОИМОСТЬ СТОКИ 2023'!J166)</f>
        <v>0</v>
      </c>
      <c r="Q48" s="2886">
        <f>SUM(Q49:Q51)</f>
        <v>0</v>
      </c>
      <c r="R48" s="2886">
        <v>0</v>
      </c>
      <c r="S48" s="2886">
        <v>0</v>
      </c>
      <c r="T48" s="2775">
        <f t="shared" si="441"/>
        <v>271.36697500000002</v>
      </c>
      <c r="U48" s="2775">
        <f t="shared" si="442"/>
        <v>271.36697500000002</v>
      </c>
      <c r="V48" s="2775">
        <f t="shared" si="443"/>
        <v>0</v>
      </c>
      <c r="W48" s="2775">
        <f t="shared" si="444"/>
        <v>381.01799999999997</v>
      </c>
      <c r="X48" s="2775">
        <f>SUM('ПОЛНАЯ СЕБЕСТОИМОСТЬ СТОКИ 2023'!L166)</f>
        <v>381.01799999999997</v>
      </c>
      <c r="Y48" s="2775">
        <f>SUM('ПОЛНАЯ СЕБЕСТОИМОСТЬ СТОКИ 2023'!M166)</f>
        <v>0</v>
      </c>
      <c r="Z48" s="2886">
        <f>SUM(Z49:Z51)</f>
        <v>292.52299999999997</v>
      </c>
      <c r="AA48" s="2886">
        <v>292.52299999999997</v>
      </c>
      <c r="AB48" s="2886">
        <v>0</v>
      </c>
      <c r="AC48" s="2868">
        <f t="shared" si="445"/>
        <v>814.10092500000007</v>
      </c>
      <c r="AD48" s="2868">
        <f t="shared" si="445"/>
        <v>814.10092500000007</v>
      </c>
      <c r="AE48" s="2868">
        <f t="shared" si="445"/>
        <v>0</v>
      </c>
      <c r="AF48" s="2868">
        <f t="shared" si="445"/>
        <v>381.01799999999997</v>
      </c>
      <c r="AG48" s="2868">
        <f t="shared" si="445"/>
        <v>381.01799999999997</v>
      </c>
      <c r="AH48" s="2868">
        <f t="shared" si="445"/>
        <v>0</v>
      </c>
      <c r="AI48" s="2868">
        <f t="shared" si="445"/>
        <v>292.52299999999997</v>
      </c>
      <c r="AJ48" s="2868">
        <f t="shared" si="445"/>
        <v>292.52299999999997</v>
      </c>
      <c r="AK48" s="2868">
        <f t="shared" si="445"/>
        <v>0</v>
      </c>
      <c r="AL48" s="2839">
        <f t="shared" si="358"/>
        <v>-433.0829250000001</v>
      </c>
      <c r="AM48" s="2839">
        <f t="shared" si="358"/>
        <v>-433.0829250000001</v>
      </c>
      <c r="AN48" s="2839">
        <f t="shared" si="358"/>
        <v>0</v>
      </c>
      <c r="AO48" s="2775">
        <f t="shared" si="446"/>
        <v>271.36697500000002</v>
      </c>
      <c r="AP48" s="2775">
        <f>SUM('ПОЛНАЯ СЕБЕСТОИМОСТЬ СТОКИ 2023'!R166)/3</f>
        <v>271.36697500000002</v>
      </c>
      <c r="AQ48" s="2775">
        <f>SUM('ПОЛНАЯ СЕБЕСТОИМОСТЬ СТОКИ 2023'!S166)/3</f>
        <v>0</v>
      </c>
      <c r="AR48" s="2775">
        <f t="shared" si="447"/>
        <v>0</v>
      </c>
      <c r="AS48" s="2775">
        <f>SUM('ПОЛНАЯ СЕБЕСТОИМОСТЬ СТОКИ 2023'!U166)</f>
        <v>0</v>
      </c>
      <c r="AT48" s="2775">
        <f>SUM('ПОЛНАЯ СЕБЕСТОИМОСТЬ СТОКИ 2023'!V166)</f>
        <v>0</v>
      </c>
      <c r="AU48" s="2886">
        <f>SUM(AU49:AU51)</f>
        <v>1.06</v>
      </c>
      <c r="AV48" s="2886">
        <v>1.06</v>
      </c>
      <c r="AW48" s="2886">
        <v>0</v>
      </c>
      <c r="AX48" s="2775">
        <f t="shared" si="448"/>
        <v>271.36697500000002</v>
      </c>
      <c r="AY48" s="2775">
        <f t="shared" si="449"/>
        <v>271.36697500000002</v>
      </c>
      <c r="AZ48" s="2775">
        <f t="shared" si="450"/>
        <v>0</v>
      </c>
      <c r="BA48" s="2832">
        <f t="shared" si="451"/>
        <v>0</v>
      </c>
      <c r="BB48" s="2832">
        <f>SUM('ПОЛНАЯ СЕБЕСТОИМОСТЬ СТОКИ 2023'!X166)</f>
        <v>0</v>
      </c>
      <c r="BC48" s="2832">
        <f>SUM('ПОЛНАЯ СЕБЕСТОИМОСТЬ СТОКИ 2023'!Y166)</f>
        <v>0</v>
      </c>
      <c r="BD48" s="2886">
        <f>SUM(BD49:BD51)</f>
        <v>0</v>
      </c>
      <c r="BE48" s="2886">
        <v>0</v>
      </c>
      <c r="BF48" s="2886">
        <v>0</v>
      </c>
      <c r="BG48" s="2775">
        <f t="shared" si="452"/>
        <v>271.36697500000002</v>
      </c>
      <c r="BH48" s="2775">
        <f t="shared" si="453"/>
        <v>271.36697500000002</v>
      </c>
      <c r="BI48" s="2775">
        <f t="shared" si="454"/>
        <v>0</v>
      </c>
      <c r="BJ48" s="2775">
        <f t="shared" si="455"/>
        <v>381.01799999999997</v>
      </c>
      <c r="BK48" s="2775">
        <f>SUM('ПОЛНАЯ СЕБЕСТОИМОСТЬ СТОКИ 2023'!AA166)</f>
        <v>381.01799999999997</v>
      </c>
      <c r="BL48" s="2775">
        <f>SUM('ПОЛНАЯ СЕБЕСТОИМОСТЬ СТОКИ 2023'!AB166)</f>
        <v>0</v>
      </c>
      <c r="BM48" s="2886">
        <f>SUM(BM49:BM51)</f>
        <v>292.52199999999999</v>
      </c>
      <c r="BN48" s="2886">
        <v>292.52199999999999</v>
      </c>
      <c r="BO48" s="2886">
        <v>0</v>
      </c>
      <c r="BP48" s="2868">
        <f t="shared" si="456"/>
        <v>814.10092500000007</v>
      </c>
      <c r="BQ48" s="2868">
        <f t="shared" si="456"/>
        <v>814.10092500000007</v>
      </c>
      <c r="BR48" s="2868">
        <f t="shared" si="456"/>
        <v>0</v>
      </c>
      <c r="BS48" s="2868">
        <f t="shared" si="456"/>
        <v>381.01799999999997</v>
      </c>
      <c r="BT48" s="2868">
        <f t="shared" si="456"/>
        <v>381.01799999999997</v>
      </c>
      <c r="BU48" s="2868">
        <f t="shared" si="456"/>
        <v>0</v>
      </c>
      <c r="BV48" s="2868">
        <f t="shared" si="456"/>
        <v>293.58199999999999</v>
      </c>
      <c r="BW48" s="2868">
        <f t="shared" si="456"/>
        <v>293.58199999999999</v>
      </c>
      <c r="BX48" s="2868">
        <f t="shared" si="456"/>
        <v>0</v>
      </c>
      <c r="BY48" s="2839">
        <f t="shared" si="360"/>
        <v>-433.0829250000001</v>
      </c>
      <c r="BZ48" s="2839">
        <f t="shared" si="360"/>
        <v>-433.0829250000001</v>
      </c>
      <c r="CA48" s="2839">
        <f t="shared" si="360"/>
        <v>0</v>
      </c>
      <c r="CB48" s="2868">
        <f t="shared" si="457"/>
        <v>1628.2018500000001</v>
      </c>
      <c r="CC48" s="2868">
        <f t="shared" si="457"/>
        <v>1628.2018500000001</v>
      </c>
      <c r="CD48" s="2868">
        <f t="shared" si="457"/>
        <v>0</v>
      </c>
      <c r="CE48" s="2868">
        <f t="shared" si="457"/>
        <v>762.03599999999994</v>
      </c>
      <c r="CF48" s="2868">
        <f t="shared" si="457"/>
        <v>762.03599999999994</v>
      </c>
      <c r="CG48" s="2868">
        <f t="shared" si="457"/>
        <v>0</v>
      </c>
      <c r="CH48" s="2883">
        <f t="shared" si="457"/>
        <v>586.10500000000002</v>
      </c>
      <c r="CI48" s="2883">
        <f t="shared" si="457"/>
        <v>586.10500000000002</v>
      </c>
      <c r="CJ48" s="2883">
        <f t="shared" si="457"/>
        <v>0</v>
      </c>
      <c r="CK48" s="2839">
        <f t="shared" si="362"/>
        <v>-866.16585000000021</v>
      </c>
      <c r="CL48" s="2839">
        <f t="shared" si="362"/>
        <v>-866.16585000000021</v>
      </c>
      <c r="CM48" s="2839">
        <f t="shared" si="362"/>
        <v>0</v>
      </c>
      <c r="CN48" s="2775">
        <f t="shared" si="458"/>
        <v>271.36697500000002</v>
      </c>
      <c r="CO48" s="2775">
        <f>SUM('ПОЛНАЯ СЕБЕСТОИМОСТЬ СТОКИ 2023'!AP166)/3</f>
        <v>271.36697500000002</v>
      </c>
      <c r="CP48" s="2775">
        <f>SUM('ПОЛНАЯ СЕБЕСТОИМОСТЬ СТОКИ 2023'!AQ166)/3</f>
        <v>0</v>
      </c>
      <c r="CQ48" s="2775">
        <f t="shared" si="459"/>
        <v>0</v>
      </c>
      <c r="CR48" s="2775">
        <f>SUM('ПОЛНАЯ СЕБЕСТОИМОСТЬ СТОКИ 2023'!AS166)</f>
        <v>0</v>
      </c>
      <c r="CS48" s="2775">
        <f>SUM('ПОЛНАЯ СЕБЕСТОИМОСТЬ СТОКИ 2023'!AT166)</f>
        <v>0</v>
      </c>
      <c r="CT48" s="2886">
        <f>SUM(CT49:CT51)</f>
        <v>0</v>
      </c>
      <c r="CU48" s="2886">
        <v>0</v>
      </c>
      <c r="CV48" s="2886">
        <v>0</v>
      </c>
      <c r="CW48" s="2775">
        <f t="shared" si="460"/>
        <v>271.36697500000002</v>
      </c>
      <c r="CX48" s="2775">
        <f t="shared" si="461"/>
        <v>271.36697500000002</v>
      </c>
      <c r="CY48" s="2775">
        <f t="shared" si="462"/>
        <v>0</v>
      </c>
      <c r="CZ48" s="2775">
        <f t="shared" si="463"/>
        <v>0</v>
      </c>
      <c r="DA48" s="2775">
        <f>SUM('ПОЛНАЯ СЕБЕСТОИМОСТЬ СТОКИ 2023'!AV166)</f>
        <v>0</v>
      </c>
      <c r="DB48" s="2775">
        <f>SUM('ПОЛНАЯ СЕБЕСТОИМОСТЬ СТОКИ 2023'!AW166)</f>
        <v>0</v>
      </c>
      <c r="DC48" s="2886">
        <f>SUM(DC49:DC51)</f>
        <v>0</v>
      </c>
      <c r="DD48" s="2886">
        <v>0</v>
      </c>
      <c r="DE48" s="2886">
        <v>0</v>
      </c>
      <c r="DF48" s="2775">
        <f t="shared" si="464"/>
        <v>271.36697500000002</v>
      </c>
      <c r="DG48" s="2775">
        <f t="shared" si="465"/>
        <v>271.36697500000002</v>
      </c>
      <c r="DH48" s="2775">
        <f t="shared" si="466"/>
        <v>0</v>
      </c>
      <c r="DI48" s="2775">
        <f t="shared" si="467"/>
        <v>0</v>
      </c>
      <c r="DJ48" s="2775">
        <f>SUM('ПОЛНАЯ СЕБЕСТОИМОСТЬ СТОКИ 2023'!AY166)</f>
        <v>0</v>
      </c>
      <c r="DK48" s="2775">
        <f>SUM('ПОЛНАЯ СЕБЕСТОИМОСТЬ СТОКИ 2023'!AZ166)</f>
        <v>0</v>
      </c>
      <c r="DL48" s="2886">
        <f>SUM(DL49:DL51)</f>
        <v>292.52299999999997</v>
      </c>
      <c r="DM48" s="2886">
        <v>292.52299999999997</v>
      </c>
      <c r="DN48" s="2886">
        <v>0</v>
      </c>
      <c r="DO48" s="2868">
        <f t="shared" si="468"/>
        <v>814.10092500000007</v>
      </c>
      <c r="DP48" s="2868">
        <f t="shared" si="468"/>
        <v>814.10092500000007</v>
      </c>
      <c r="DQ48" s="2868">
        <f t="shared" si="468"/>
        <v>0</v>
      </c>
      <c r="DR48" s="2868">
        <f t="shared" si="468"/>
        <v>0</v>
      </c>
      <c r="DS48" s="2868">
        <f t="shared" si="468"/>
        <v>0</v>
      </c>
      <c r="DT48" s="2868">
        <f t="shared" si="468"/>
        <v>0</v>
      </c>
      <c r="DU48" s="2868">
        <f t="shared" si="468"/>
        <v>292.52299999999997</v>
      </c>
      <c r="DV48" s="2868">
        <f t="shared" si="468"/>
        <v>292.52299999999997</v>
      </c>
      <c r="DW48" s="2868">
        <f t="shared" si="468"/>
        <v>0</v>
      </c>
      <c r="DX48" s="2839">
        <f t="shared" si="364"/>
        <v>-814.10092500000007</v>
      </c>
      <c r="DY48" s="2839">
        <f t="shared" si="364"/>
        <v>-814.10092500000007</v>
      </c>
      <c r="DZ48" s="2839">
        <f t="shared" si="364"/>
        <v>0</v>
      </c>
      <c r="EA48" s="2868">
        <f t="shared" si="469"/>
        <v>2442.3027750000001</v>
      </c>
      <c r="EB48" s="2868">
        <f t="shared" si="469"/>
        <v>2442.3027750000001</v>
      </c>
      <c r="EC48" s="2868">
        <f t="shared" si="469"/>
        <v>0</v>
      </c>
      <c r="ED48" s="2868">
        <f t="shared" si="469"/>
        <v>762.03599999999994</v>
      </c>
      <c r="EE48" s="2868">
        <f t="shared" si="469"/>
        <v>762.03599999999994</v>
      </c>
      <c r="EF48" s="2868">
        <f t="shared" si="469"/>
        <v>0</v>
      </c>
      <c r="EG48" s="2868">
        <f t="shared" si="469"/>
        <v>878.62799999999993</v>
      </c>
      <c r="EH48" s="2868">
        <f t="shared" si="469"/>
        <v>878.62799999999993</v>
      </c>
      <c r="EI48" s="2868">
        <f t="shared" si="469"/>
        <v>0</v>
      </c>
      <c r="EJ48" s="2839">
        <f t="shared" si="366"/>
        <v>-1680.2667750000001</v>
      </c>
      <c r="EK48" s="2839">
        <f t="shared" si="366"/>
        <v>-1680.2667750000001</v>
      </c>
      <c r="EL48" s="2839">
        <f t="shared" si="366"/>
        <v>0</v>
      </c>
      <c r="EM48" s="2775">
        <f t="shared" si="470"/>
        <v>271.36697500000002</v>
      </c>
      <c r="EN48" s="2775">
        <f>SUM('ПОЛНАЯ СЕБЕСТОИМОСТЬ СТОКИ 2023'!BN166)/3</f>
        <v>271.36697500000002</v>
      </c>
      <c r="EO48" s="2775">
        <f>SUM('ПОЛНАЯ СЕБЕСТОИМОСТЬ СТОКИ 2023'!BO166)/3</f>
        <v>0</v>
      </c>
      <c r="EP48" s="2775">
        <f t="shared" si="471"/>
        <v>0</v>
      </c>
      <c r="EQ48" s="2775">
        <f>SUM('ПОЛНАЯ СЕБЕСТОИМОСТЬ СТОКИ 2023'!BQ166)</f>
        <v>0</v>
      </c>
      <c r="ER48" s="2775">
        <f>SUM('ПОЛНАЯ СЕБЕСТОИМОСТЬ СТОКИ 2023'!BR166)</f>
        <v>0</v>
      </c>
      <c r="ES48" s="2886">
        <f>SUM(ES49:ES51)</f>
        <v>0</v>
      </c>
      <c r="ET48" s="2886">
        <v>0</v>
      </c>
      <c r="EU48" s="2886">
        <v>0</v>
      </c>
      <c r="EV48" s="2775">
        <f t="shared" si="472"/>
        <v>271.36697500000002</v>
      </c>
      <c r="EW48" s="2775">
        <f t="shared" si="473"/>
        <v>271.36697500000002</v>
      </c>
      <c r="EX48" s="2775">
        <f t="shared" si="474"/>
        <v>0</v>
      </c>
      <c r="EY48" s="2775">
        <f t="shared" si="475"/>
        <v>0</v>
      </c>
      <c r="EZ48" s="2775">
        <f>SUM('ПОЛНАЯ СЕБЕСТОИМОСТЬ СТОКИ 2023'!BT166)</f>
        <v>0</v>
      </c>
      <c r="FA48" s="2775">
        <f>SUM('ПОЛНАЯ СЕБЕСТОИМОСТЬ СТОКИ 2023'!BU166)</f>
        <v>0</v>
      </c>
      <c r="FB48" s="2886">
        <f>SUM(FB49:FB51)</f>
        <v>0</v>
      </c>
      <c r="FC48" s="2886">
        <v>0</v>
      </c>
      <c r="FD48" s="2886">
        <v>0</v>
      </c>
      <c r="FE48" s="2775">
        <f t="shared" si="476"/>
        <v>271.36697500000002</v>
      </c>
      <c r="FF48" s="2775">
        <f t="shared" si="477"/>
        <v>271.36697500000002</v>
      </c>
      <c r="FG48" s="2775">
        <f t="shared" si="478"/>
        <v>0</v>
      </c>
      <c r="FH48" s="2775">
        <f t="shared" si="479"/>
        <v>0</v>
      </c>
      <c r="FI48" s="2775">
        <f>SUM('ПОЛНАЯ СЕБЕСТОИМОСТЬ СТОКИ 2023'!BW166)</f>
        <v>0</v>
      </c>
      <c r="FJ48" s="2775">
        <f>SUM('ПОЛНАЯ СЕБЕСТОИМОСТЬ СТОКИ 2023'!BX166)</f>
        <v>0</v>
      </c>
      <c r="FK48" s="2886">
        <f>SUM(FK49:FK51)</f>
        <v>646.50691000000006</v>
      </c>
      <c r="FL48" s="2886">
        <v>646.50690999999995</v>
      </c>
      <c r="FM48" s="2886">
        <v>0</v>
      </c>
      <c r="FN48" s="2868">
        <f t="shared" si="480"/>
        <v>814.10092500000007</v>
      </c>
      <c r="FO48" s="2868">
        <f t="shared" si="480"/>
        <v>814.10092500000007</v>
      </c>
      <c r="FP48" s="2868">
        <f t="shared" si="480"/>
        <v>0</v>
      </c>
      <c r="FQ48" s="2868">
        <f t="shared" si="480"/>
        <v>0</v>
      </c>
      <c r="FR48" s="2868">
        <f t="shared" si="480"/>
        <v>0</v>
      </c>
      <c r="FS48" s="2868">
        <f t="shared" si="480"/>
        <v>0</v>
      </c>
      <c r="FT48" s="2868">
        <f t="shared" si="480"/>
        <v>646.50691000000006</v>
      </c>
      <c r="FU48" s="2868">
        <f t="shared" si="480"/>
        <v>646.50690999999995</v>
      </c>
      <c r="FV48" s="2868">
        <f t="shared" si="480"/>
        <v>0</v>
      </c>
      <c r="FW48" s="2839">
        <f t="shared" si="368"/>
        <v>-814.10092500000007</v>
      </c>
      <c r="FX48" s="2839">
        <f t="shared" si="368"/>
        <v>-814.10092500000007</v>
      </c>
      <c r="FY48" s="2839">
        <f t="shared" si="368"/>
        <v>0</v>
      </c>
      <c r="FZ48" s="2863">
        <f t="shared" si="481"/>
        <v>3256.4037000000003</v>
      </c>
      <c r="GA48" s="2863">
        <f t="shared" si="481"/>
        <v>3256.4037000000003</v>
      </c>
      <c r="GB48" s="2863">
        <f t="shared" si="481"/>
        <v>0</v>
      </c>
      <c r="GC48" s="2868">
        <f t="shared" si="481"/>
        <v>762.03599999999994</v>
      </c>
      <c r="GD48" s="2868">
        <f t="shared" si="481"/>
        <v>762.03599999999994</v>
      </c>
      <c r="GE48" s="2868">
        <f t="shared" si="481"/>
        <v>0</v>
      </c>
      <c r="GF48" s="2868">
        <f t="shared" si="481"/>
        <v>1525.13491</v>
      </c>
      <c r="GG48" s="2868">
        <f t="shared" si="481"/>
        <v>1525.1349099999998</v>
      </c>
      <c r="GH48" s="2868">
        <f t="shared" si="481"/>
        <v>0</v>
      </c>
      <c r="GI48" s="2839">
        <f t="shared" si="370"/>
        <v>-2494.3677000000002</v>
      </c>
      <c r="GJ48" s="2839">
        <f t="shared" si="370"/>
        <v>-2494.3677000000002</v>
      </c>
      <c r="GK48" s="2839">
        <f t="shared" si="370"/>
        <v>0</v>
      </c>
      <c r="GM48" s="3576">
        <f t="shared" si="371"/>
        <v>3256.4036999999994</v>
      </c>
    </row>
    <row r="49" spans="1:195" ht="37.5" customHeight="1" x14ac:dyDescent="0.2">
      <c r="A49" s="2786" t="s">
        <v>3761</v>
      </c>
      <c r="B49" s="2816">
        <f t="shared" si="435"/>
        <v>92.677841666666666</v>
      </c>
      <c r="C49" s="2816">
        <f>SUM('ПОЛНАЯ СЕБЕСТОИМОСТЬ СТОКИ 2023'!C167)/3</f>
        <v>92.677841666666666</v>
      </c>
      <c r="D49" s="2816">
        <f>SUM('ПОЛНАЯ СЕБЕСТОИМОСТЬ СТОКИ 2023'!D167)/3</f>
        <v>0</v>
      </c>
      <c r="E49" s="2816">
        <f t="shared" si="436"/>
        <v>0</v>
      </c>
      <c r="F49" s="2816">
        <f>SUM('ПОЛНАЯ СЕБЕСТОИМОСТЬ СТОКИ 2023'!F167)</f>
        <v>0</v>
      </c>
      <c r="G49" s="2816">
        <f>SUM('ПОЛНАЯ СЕБЕСТОИМОСТЬ СТОКИ 2023'!G167)</f>
        <v>0</v>
      </c>
      <c r="H49" s="2782">
        <f t="shared" si="482"/>
        <v>0</v>
      </c>
      <c r="I49" s="2782">
        <v>0</v>
      </c>
      <c r="J49" s="2782">
        <v>0</v>
      </c>
      <c r="K49" s="2816">
        <f t="shared" si="437"/>
        <v>92.677841666666666</v>
      </c>
      <c r="L49" s="2816">
        <f t="shared" si="438"/>
        <v>92.677841666666666</v>
      </c>
      <c r="M49" s="2816">
        <f t="shared" si="439"/>
        <v>0</v>
      </c>
      <c r="N49" s="2816">
        <f t="shared" si="440"/>
        <v>0</v>
      </c>
      <c r="O49" s="2816">
        <f>SUM('ПОЛНАЯ СЕБЕСТОИМОСТЬ СТОКИ 2023'!I167)</f>
        <v>0</v>
      </c>
      <c r="P49" s="2816">
        <f>SUM('ПОЛНАЯ СЕБЕСТОИМОСТЬ СТОКИ 2023'!J167)</f>
        <v>0</v>
      </c>
      <c r="Q49" s="2782">
        <f t="shared" ref="Q49:Q51" si="494">SUM(R49:S49)</f>
        <v>0</v>
      </c>
      <c r="R49" s="2782">
        <v>0</v>
      </c>
      <c r="S49" s="2782">
        <v>0</v>
      </c>
      <c r="T49" s="2816">
        <f t="shared" si="441"/>
        <v>92.677841666666666</v>
      </c>
      <c r="U49" s="2816">
        <f t="shared" si="442"/>
        <v>92.677841666666666</v>
      </c>
      <c r="V49" s="2816">
        <f t="shared" si="443"/>
        <v>0</v>
      </c>
      <c r="W49" s="2816">
        <f t="shared" si="444"/>
        <v>366.529</v>
      </c>
      <c r="X49" s="2816">
        <f>SUM('ПОЛНАЯ СЕБЕСТОИМОСТЬ СТОКИ 2023'!L167)</f>
        <v>366.529</v>
      </c>
      <c r="Y49" s="2816">
        <f>SUM('ПОЛНАЯ СЕБЕСТОИМОСТЬ СТОКИ 2023'!M167)</f>
        <v>0</v>
      </c>
      <c r="Z49" s="2782">
        <f t="shared" ref="Z49:Z51" si="495">SUM(AA49:AB49)</f>
        <v>278.03399999999999</v>
      </c>
      <c r="AA49" s="2782">
        <v>278.03399999999999</v>
      </c>
      <c r="AB49" s="2782">
        <v>0</v>
      </c>
      <c r="AC49" s="2818">
        <f t="shared" si="445"/>
        <v>278.033525</v>
      </c>
      <c r="AD49" s="2818">
        <f t="shared" si="445"/>
        <v>278.033525</v>
      </c>
      <c r="AE49" s="2818">
        <f t="shared" si="445"/>
        <v>0</v>
      </c>
      <c r="AF49" s="2818">
        <f t="shared" si="445"/>
        <v>366.529</v>
      </c>
      <c r="AG49" s="2818">
        <f t="shared" si="445"/>
        <v>366.529</v>
      </c>
      <c r="AH49" s="2818">
        <f t="shared" si="445"/>
        <v>0</v>
      </c>
      <c r="AI49" s="2818">
        <f t="shared" si="445"/>
        <v>278.03399999999999</v>
      </c>
      <c r="AJ49" s="2818">
        <f t="shared" si="445"/>
        <v>278.03399999999999</v>
      </c>
      <c r="AK49" s="2818">
        <f t="shared" si="445"/>
        <v>0</v>
      </c>
      <c r="AL49" s="2888">
        <f t="shared" si="358"/>
        <v>88.495474999999999</v>
      </c>
      <c r="AM49" s="2888">
        <f t="shared" si="358"/>
        <v>88.495474999999999</v>
      </c>
      <c r="AN49" s="2888">
        <f t="shared" si="358"/>
        <v>0</v>
      </c>
      <c r="AO49" s="2816">
        <f t="shared" si="446"/>
        <v>92.677841666666666</v>
      </c>
      <c r="AP49" s="2816">
        <f>SUM('ПОЛНАЯ СЕБЕСТОИМОСТЬ СТОКИ 2023'!R167)/3</f>
        <v>92.677841666666666</v>
      </c>
      <c r="AQ49" s="2816">
        <f>SUM('ПОЛНАЯ СЕБЕСТОИМОСТЬ СТОКИ 2023'!S167)/3</f>
        <v>0</v>
      </c>
      <c r="AR49" s="2816">
        <f t="shared" si="447"/>
        <v>0</v>
      </c>
      <c r="AS49" s="2816">
        <f>SUM('ПОЛНАЯ СЕБЕСТОИМОСТЬ СТОКИ 2023'!U167)</f>
        <v>0</v>
      </c>
      <c r="AT49" s="2816">
        <f>SUM('ПОЛНАЯ СЕБЕСТОИМОСТЬ СТОКИ 2023'!V167)</f>
        <v>0</v>
      </c>
      <c r="AU49" s="2782">
        <f t="shared" ref="AU49:AU51" si="496">SUM(AV49:AW49)</f>
        <v>0</v>
      </c>
      <c r="AV49" s="2782">
        <v>0</v>
      </c>
      <c r="AW49" s="2782">
        <v>0</v>
      </c>
      <c r="AX49" s="2816">
        <f t="shared" si="448"/>
        <v>92.677841666666666</v>
      </c>
      <c r="AY49" s="2816">
        <f t="shared" si="449"/>
        <v>92.677841666666666</v>
      </c>
      <c r="AZ49" s="2816">
        <f t="shared" si="450"/>
        <v>0</v>
      </c>
      <c r="BA49" s="2806">
        <f t="shared" si="451"/>
        <v>0</v>
      </c>
      <c r="BB49" s="2806">
        <f>SUM('ПОЛНАЯ СЕБЕСТОИМОСТЬ СТОКИ 2023'!X167)</f>
        <v>0</v>
      </c>
      <c r="BC49" s="2806">
        <f>SUM('ПОЛНАЯ СЕБЕСТОИМОСТЬ СТОКИ 2023'!Y167)</f>
        <v>0</v>
      </c>
      <c r="BD49" s="2782">
        <f t="shared" ref="BD49:BD51" si="497">SUM(BE49:BF49)</f>
        <v>0</v>
      </c>
      <c r="BE49" s="2782">
        <v>0</v>
      </c>
      <c r="BF49" s="2782">
        <v>0</v>
      </c>
      <c r="BG49" s="2816">
        <f t="shared" si="452"/>
        <v>92.677841666666666</v>
      </c>
      <c r="BH49" s="2816">
        <f t="shared" si="453"/>
        <v>92.677841666666666</v>
      </c>
      <c r="BI49" s="2816">
        <f t="shared" si="454"/>
        <v>0</v>
      </c>
      <c r="BJ49" s="2816">
        <f t="shared" si="455"/>
        <v>366.529</v>
      </c>
      <c r="BK49" s="2816">
        <f>SUM('ПОЛНАЯ СЕБЕСТОИМОСТЬ СТОКИ 2023'!AA167)</f>
        <v>366.529</v>
      </c>
      <c r="BL49" s="2816">
        <f>SUM('ПОЛНАЯ СЕБЕСТОИМОСТЬ СТОКИ 2023'!AB167)</f>
        <v>0</v>
      </c>
      <c r="BM49" s="2782">
        <f t="shared" ref="BM49:BM51" si="498">SUM(BN49:BO49)</f>
        <v>278.03300000000002</v>
      </c>
      <c r="BN49" s="2782">
        <v>278.03300000000002</v>
      </c>
      <c r="BO49" s="2782">
        <v>0</v>
      </c>
      <c r="BP49" s="2818">
        <f t="shared" si="456"/>
        <v>278.033525</v>
      </c>
      <c r="BQ49" s="2818">
        <f t="shared" si="456"/>
        <v>278.033525</v>
      </c>
      <c r="BR49" s="2818">
        <f t="shared" si="456"/>
        <v>0</v>
      </c>
      <c r="BS49" s="2818">
        <f t="shared" si="456"/>
        <v>366.529</v>
      </c>
      <c r="BT49" s="2818">
        <f t="shared" si="456"/>
        <v>366.529</v>
      </c>
      <c r="BU49" s="2818">
        <f t="shared" si="456"/>
        <v>0</v>
      </c>
      <c r="BV49" s="2818">
        <f t="shared" si="456"/>
        <v>278.03300000000002</v>
      </c>
      <c r="BW49" s="2818">
        <f t="shared" si="456"/>
        <v>278.03300000000002</v>
      </c>
      <c r="BX49" s="2818">
        <f t="shared" si="456"/>
        <v>0</v>
      </c>
      <c r="BY49" s="2888">
        <f t="shared" si="360"/>
        <v>88.495474999999999</v>
      </c>
      <c r="BZ49" s="2888">
        <f t="shared" si="360"/>
        <v>88.495474999999999</v>
      </c>
      <c r="CA49" s="2888">
        <f t="shared" si="360"/>
        <v>0</v>
      </c>
      <c r="CB49" s="2818">
        <f t="shared" si="457"/>
        <v>556.06704999999999</v>
      </c>
      <c r="CC49" s="2818">
        <f t="shared" si="457"/>
        <v>556.06704999999999</v>
      </c>
      <c r="CD49" s="2818">
        <f t="shared" si="457"/>
        <v>0</v>
      </c>
      <c r="CE49" s="2818">
        <f t="shared" si="457"/>
        <v>733.05799999999999</v>
      </c>
      <c r="CF49" s="2818">
        <f t="shared" si="457"/>
        <v>733.05799999999999</v>
      </c>
      <c r="CG49" s="2818">
        <f t="shared" si="457"/>
        <v>0</v>
      </c>
      <c r="CH49" s="2889">
        <f t="shared" si="457"/>
        <v>556.06700000000001</v>
      </c>
      <c r="CI49" s="2889">
        <f t="shared" si="457"/>
        <v>556.06700000000001</v>
      </c>
      <c r="CJ49" s="2889">
        <f t="shared" si="457"/>
        <v>0</v>
      </c>
      <c r="CK49" s="2888">
        <f t="shared" si="362"/>
        <v>176.99095</v>
      </c>
      <c r="CL49" s="2888">
        <f t="shared" si="362"/>
        <v>176.99095</v>
      </c>
      <c r="CM49" s="2888">
        <f t="shared" si="362"/>
        <v>0</v>
      </c>
      <c r="CN49" s="2816">
        <f t="shared" si="458"/>
        <v>92.677841666666666</v>
      </c>
      <c r="CO49" s="2816">
        <f>SUM('ПОЛНАЯ СЕБЕСТОИМОСТЬ СТОКИ 2023'!AP167)/3</f>
        <v>92.677841666666666</v>
      </c>
      <c r="CP49" s="2816">
        <f>SUM('ПОЛНАЯ СЕБЕСТОИМОСТЬ СТОКИ 2023'!AQ167)/3</f>
        <v>0</v>
      </c>
      <c r="CQ49" s="2816">
        <f t="shared" si="459"/>
        <v>0</v>
      </c>
      <c r="CR49" s="2816">
        <f>SUM('ПОЛНАЯ СЕБЕСТОИМОСТЬ СТОКИ 2023'!AS167)</f>
        <v>0</v>
      </c>
      <c r="CS49" s="2816">
        <f>SUM('ПОЛНАЯ СЕБЕСТОИМОСТЬ СТОКИ 2023'!AT167)</f>
        <v>0</v>
      </c>
      <c r="CT49" s="2782">
        <f t="shared" ref="CT49:CT51" si="499">SUM(CU49:CV49)</f>
        <v>0</v>
      </c>
      <c r="CU49" s="2782">
        <v>0</v>
      </c>
      <c r="CV49" s="2782">
        <v>0</v>
      </c>
      <c r="CW49" s="2816">
        <f t="shared" si="460"/>
        <v>92.677841666666666</v>
      </c>
      <c r="CX49" s="2816">
        <f t="shared" si="461"/>
        <v>92.677841666666666</v>
      </c>
      <c r="CY49" s="2816">
        <f t="shared" si="462"/>
        <v>0</v>
      </c>
      <c r="CZ49" s="2816">
        <f t="shared" si="463"/>
        <v>0</v>
      </c>
      <c r="DA49" s="2816">
        <f>SUM('ПОЛНАЯ СЕБЕСТОИМОСТЬ СТОКИ 2023'!AV167)</f>
        <v>0</v>
      </c>
      <c r="DB49" s="2816">
        <f>SUM('ПОЛНАЯ СЕБЕСТОИМОСТЬ СТОКИ 2023'!AW167)</f>
        <v>0</v>
      </c>
      <c r="DC49" s="2782">
        <f t="shared" ref="DC49:DC51" si="500">SUM(DD49:DE49)</f>
        <v>0</v>
      </c>
      <c r="DD49" s="2782">
        <v>0</v>
      </c>
      <c r="DE49" s="2782">
        <v>0</v>
      </c>
      <c r="DF49" s="2816">
        <f t="shared" si="464"/>
        <v>92.677841666666666</v>
      </c>
      <c r="DG49" s="2816">
        <f t="shared" si="465"/>
        <v>92.677841666666666</v>
      </c>
      <c r="DH49" s="2816">
        <f t="shared" si="466"/>
        <v>0</v>
      </c>
      <c r="DI49" s="2816">
        <f t="shared" si="467"/>
        <v>0</v>
      </c>
      <c r="DJ49" s="2816">
        <f>SUM('ПОЛНАЯ СЕБЕСТОИМОСТЬ СТОКИ 2023'!AY167)</f>
        <v>0</v>
      </c>
      <c r="DK49" s="2816">
        <f>SUM('ПОЛНАЯ СЕБЕСТОИМОСТЬ СТОКИ 2023'!AZ167)</f>
        <v>0</v>
      </c>
      <c r="DL49" s="2782">
        <f t="shared" ref="DL49:DL51" si="501">SUM(DM49:DN49)</f>
        <v>278.03399999999999</v>
      </c>
      <c r="DM49" s="2782">
        <v>278.03399999999999</v>
      </c>
      <c r="DN49" s="2782">
        <v>0</v>
      </c>
      <c r="DO49" s="2818">
        <f t="shared" si="468"/>
        <v>278.033525</v>
      </c>
      <c r="DP49" s="2818">
        <f t="shared" si="468"/>
        <v>278.033525</v>
      </c>
      <c r="DQ49" s="2818">
        <f t="shared" si="468"/>
        <v>0</v>
      </c>
      <c r="DR49" s="2818">
        <f t="shared" si="468"/>
        <v>0</v>
      </c>
      <c r="DS49" s="2818">
        <f t="shared" si="468"/>
        <v>0</v>
      </c>
      <c r="DT49" s="2818">
        <f t="shared" si="468"/>
        <v>0</v>
      </c>
      <c r="DU49" s="2818">
        <f t="shared" si="468"/>
        <v>278.03399999999999</v>
      </c>
      <c r="DV49" s="2818">
        <f t="shared" si="468"/>
        <v>278.03399999999999</v>
      </c>
      <c r="DW49" s="2818">
        <f t="shared" si="468"/>
        <v>0</v>
      </c>
      <c r="DX49" s="2888">
        <f t="shared" si="364"/>
        <v>-278.033525</v>
      </c>
      <c r="DY49" s="2888">
        <f t="shared" si="364"/>
        <v>-278.033525</v>
      </c>
      <c r="DZ49" s="2888">
        <f t="shared" si="364"/>
        <v>0</v>
      </c>
      <c r="EA49" s="2818">
        <f t="shared" si="469"/>
        <v>834.10057499999994</v>
      </c>
      <c r="EB49" s="2818">
        <f t="shared" si="469"/>
        <v>834.10057499999994</v>
      </c>
      <c r="EC49" s="2818">
        <f t="shared" si="469"/>
        <v>0</v>
      </c>
      <c r="ED49" s="2818">
        <f t="shared" si="469"/>
        <v>733.05799999999999</v>
      </c>
      <c r="EE49" s="2818">
        <f t="shared" si="469"/>
        <v>733.05799999999999</v>
      </c>
      <c r="EF49" s="2818">
        <f t="shared" si="469"/>
        <v>0</v>
      </c>
      <c r="EG49" s="2818">
        <f t="shared" si="469"/>
        <v>834.101</v>
      </c>
      <c r="EH49" s="2818">
        <f t="shared" si="469"/>
        <v>834.101</v>
      </c>
      <c r="EI49" s="2818">
        <f t="shared" si="469"/>
        <v>0</v>
      </c>
      <c r="EJ49" s="2888">
        <f t="shared" si="366"/>
        <v>-101.04257499999994</v>
      </c>
      <c r="EK49" s="2888">
        <f t="shared" si="366"/>
        <v>-101.04257499999994</v>
      </c>
      <c r="EL49" s="2888">
        <f t="shared" si="366"/>
        <v>0</v>
      </c>
      <c r="EM49" s="2816">
        <f t="shared" si="470"/>
        <v>92.677841666666666</v>
      </c>
      <c r="EN49" s="2816">
        <f>SUM('ПОЛНАЯ СЕБЕСТОИМОСТЬ СТОКИ 2023'!BN167)/3</f>
        <v>92.677841666666666</v>
      </c>
      <c r="EO49" s="2816">
        <f>SUM('ПОЛНАЯ СЕБЕСТОИМОСТЬ СТОКИ 2023'!BO167)/3</f>
        <v>0</v>
      </c>
      <c r="EP49" s="2816">
        <f t="shared" si="471"/>
        <v>0</v>
      </c>
      <c r="EQ49" s="2816">
        <f>SUM('ПОЛНАЯ СЕБЕСТОИМОСТЬ СТОКИ 2023'!BQ167)</f>
        <v>0</v>
      </c>
      <c r="ER49" s="2816">
        <f>SUM('ПОЛНАЯ СЕБЕСТОИМОСТЬ СТОКИ 2023'!BR167)</f>
        <v>0</v>
      </c>
      <c r="ES49" s="2782">
        <f t="shared" ref="ES49:ES51" si="502">SUM(ET49:EU49)</f>
        <v>0</v>
      </c>
      <c r="ET49" s="2782">
        <v>0</v>
      </c>
      <c r="EU49" s="2782">
        <v>0</v>
      </c>
      <c r="EV49" s="2816">
        <f t="shared" si="472"/>
        <v>92.677841666666666</v>
      </c>
      <c r="EW49" s="2816">
        <f t="shared" si="473"/>
        <v>92.677841666666666</v>
      </c>
      <c r="EX49" s="2816">
        <f t="shared" si="474"/>
        <v>0</v>
      </c>
      <c r="EY49" s="2816">
        <f t="shared" si="475"/>
        <v>0</v>
      </c>
      <c r="EZ49" s="2816">
        <f>SUM('ПОЛНАЯ СЕБЕСТОИМОСТЬ СТОКИ 2023'!BT167)</f>
        <v>0</v>
      </c>
      <c r="FA49" s="2816">
        <f>SUM('ПОЛНАЯ СЕБЕСТОИМОСТЬ СТОКИ 2023'!BU167)</f>
        <v>0</v>
      </c>
      <c r="FB49" s="2782">
        <f t="shared" ref="FB49:FB51" si="503">SUM(FC49:FD49)</f>
        <v>0</v>
      </c>
      <c r="FC49" s="2782">
        <v>0</v>
      </c>
      <c r="FD49" s="2782">
        <v>0</v>
      </c>
      <c r="FE49" s="2816">
        <f t="shared" si="476"/>
        <v>92.677841666666666</v>
      </c>
      <c r="FF49" s="2816">
        <f t="shared" si="477"/>
        <v>92.677841666666666</v>
      </c>
      <c r="FG49" s="2816">
        <f t="shared" si="478"/>
        <v>0</v>
      </c>
      <c r="FH49" s="2816">
        <f t="shared" si="479"/>
        <v>0</v>
      </c>
      <c r="FI49" s="2816">
        <f>SUM('ПОЛНАЯ СЕБЕСТОИМОСТЬ СТОКИ 2023'!BW167)</f>
        <v>0</v>
      </c>
      <c r="FJ49" s="2816">
        <f>SUM('ПОЛНАЯ СЕБЕСТОИМОСТЬ СТОКИ 2023'!BX167)</f>
        <v>0</v>
      </c>
      <c r="FK49" s="2782">
        <f t="shared" ref="FK49:FK51" si="504">SUM(FL49:FM49)</f>
        <v>632.01391000000001</v>
      </c>
      <c r="FL49" s="2782">
        <v>632.01391000000001</v>
      </c>
      <c r="FM49" s="2782">
        <v>0</v>
      </c>
      <c r="FN49" s="2818">
        <f t="shared" si="480"/>
        <v>278.033525</v>
      </c>
      <c r="FO49" s="2818">
        <f t="shared" si="480"/>
        <v>278.033525</v>
      </c>
      <c r="FP49" s="2818">
        <f t="shared" si="480"/>
        <v>0</v>
      </c>
      <c r="FQ49" s="2818">
        <f t="shared" si="480"/>
        <v>0</v>
      </c>
      <c r="FR49" s="2818">
        <f t="shared" si="480"/>
        <v>0</v>
      </c>
      <c r="FS49" s="2818">
        <f t="shared" si="480"/>
        <v>0</v>
      </c>
      <c r="FT49" s="2818">
        <f t="shared" si="480"/>
        <v>632.01391000000001</v>
      </c>
      <c r="FU49" s="2818">
        <f t="shared" si="480"/>
        <v>632.01391000000001</v>
      </c>
      <c r="FV49" s="2818">
        <f t="shared" si="480"/>
        <v>0</v>
      </c>
      <c r="FW49" s="2888">
        <f t="shared" si="368"/>
        <v>-278.033525</v>
      </c>
      <c r="FX49" s="2888">
        <f t="shared" si="368"/>
        <v>-278.033525</v>
      </c>
      <c r="FY49" s="2888">
        <f t="shared" si="368"/>
        <v>0</v>
      </c>
      <c r="FZ49" s="2807">
        <f t="shared" si="481"/>
        <v>1112.1341</v>
      </c>
      <c r="GA49" s="2807">
        <f t="shared" si="481"/>
        <v>1112.1341</v>
      </c>
      <c r="GB49" s="2807">
        <f t="shared" si="481"/>
        <v>0</v>
      </c>
      <c r="GC49" s="2818">
        <f t="shared" si="481"/>
        <v>733.05799999999999</v>
      </c>
      <c r="GD49" s="2818">
        <f t="shared" si="481"/>
        <v>733.05799999999999</v>
      </c>
      <c r="GE49" s="2818">
        <f t="shared" si="481"/>
        <v>0</v>
      </c>
      <c r="GF49" s="2818">
        <f t="shared" si="481"/>
        <v>1466.11491</v>
      </c>
      <c r="GG49" s="2818">
        <f t="shared" si="481"/>
        <v>1466.11491</v>
      </c>
      <c r="GH49" s="2818">
        <f t="shared" si="481"/>
        <v>0</v>
      </c>
      <c r="GI49" s="2888">
        <f t="shared" si="370"/>
        <v>-379.0761</v>
      </c>
      <c r="GJ49" s="2888">
        <f t="shared" si="370"/>
        <v>-379.0761</v>
      </c>
      <c r="GK49" s="2888">
        <f t="shared" si="370"/>
        <v>0</v>
      </c>
      <c r="GM49" s="3576">
        <f t="shared" si="371"/>
        <v>1112.1340999999998</v>
      </c>
    </row>
    <row r="50" spans="1:195" ht="18.75" customHeight="1" x14ac:dyDescent="0.2">
      <c r="A50" s="2786" t="s">
        <v>522</v>
      </c>
      <c r="B50" s="2816">
        <f t="shared" si="435"/>
        <v>4.8291666666666666</v>
      </c>
      <c r="C50" s="2816">
        <f>SUM('ПОЛНАЯ СЕБЕСТОИМОСТЬ СТОКИ 2023'!C168)/3</f>
        <v>4.8291666666666666</v>
      </c>
      <c r="D50" s="2816">
        <f>SUM('ПОЛНАЯ СЕБЕСТОИМОСТЬ СТОКИ 2023'!D168)/3</f>
        <v>0</v>
      </c>
      <c r="E50" s="2816">
        <f t="shared" si="436"/>
        <v>0</v>
      </c>
      <c r="F50" s="2816">
        <f>SUM('ПОЛНАЯ СЕБЕСТОИМОСТЬ СТОКИ 2023'!F168)</f>
        <v>0</v>
      </c>
      <c r="G50" s="2816">
        <f>SUM('ПОЛНАЯ СЕБЕСТОИМОСТЬ СТОКИ 2023'!G168)</f>
        <v>0</v>
      </c>
      <c r="H50" s="2782">
        <f t="shared" si="482"/>
        <v>0</v>
      </c>
      <c r="I50" s="2782">
        <v>0</v>
      </c>
      <c r="J50" s="2782">
        <v>0</v>
      </c>
      <c r="K50" s="2816">
        <f t="shared" si="437"/>
        <v>4.8291666666666666</v>
      </c>
      <c r="L50" s="2816">
        <f t="shared" si="438"/>
        <v>4.8291666666666666</v>
      </c>
      <c r="M50" s="2816">
        <f t="shared" si="439"/>
        <v>0</v>
      </c>
      <c r="N50" s="2816">
        <f t="shared" si="440"/>
        <v>0</v>
      </c>
      <c r="O50" s="2816">
        <f>SUM('ПОЛНАЯ СЕБЕСТОИМОСТЬ СТОКИ 2023'!I168)</f>
        <v>0</v>
      </c>
      <c r="P50" s="2816">
        <f>SUM('ПОЛНАЯ СЕБЕСТОИМОСТЬ СТОКИ 2023'!J168)</f>
        <v>0</v>
      </c>
      <c r="Q50" s="2782">
        <f t="shared" si="494"/>
        <v>0</v>
      </c>
      <c r="R50" s="2782">
        <v>0</v>
      </c>
      <c r="S50" s="2782">
        <v>0</v>
      </c>
      <c r="T50" s="2816">
        <f t="shared" si="441"/>
        <v>4.8291666666666666</v>
      </c>
      <c r="U50" s="2816">
        <f t="shared" si="442"/>
        <v>4.8291666666666666</v>
      </c>
      <c r="V50" s="2816">
        <f t="shared" si="443"/>
        <v>0</v>
      </c>
      <c r="W50" s="2816">
        <f t="shared" si="444"/>
        <v>14.489000000000001</v>
      </c>
      <c r="X50" s="2816">
        <f>SUM('ПОЛНАЯ СЕБЕСТОИМОСТЬ СТОКИ 2023'!L168)</f>
        <v>14.489000000000001</v>
      </c>
      <c r="Y50" s="2816">
        <f>SUM('ПОЛНАЯ СЕБЕСТОИМОСТЬ СТОКИ 2023'!M168)</f>
        <v>0</v>
      </c>
      <c r="Z50" s="2782">
        <f t="shared" si="495"/>
        <v>14.489000000000001</v>
      </c>
      <c r="AA50" s="2782">
        <v>14.489000000000001</v>
      </c>
      <c r="AB50" s="2782">
        <v>0</v>
      </c>
      <c r="AC50" s="2818">
        <f t="shared" si="445"/>
        <v>14.487500000000001</v>
      </c>
      <c r="AD50" s="2818">
        <f t="shared" si="445"/>
        <v>14.487500000000001</v>
      </c>
      <c r="AE50" s="2818">
        <f t="shared" si="445"/>
        <v>0</v>
      </c>
      <c r="AF50" s="2818">
        <f t="shared" si="445"/>
        <v>14.489000000000001</v>
      </c>
      <c r="AG50" s="2818">
        <f t="shared" si="445"/>
        <v>14.489000000000001</v>
      </c>
      <c r="AH50" s="2818">
        <f t="shared" si="445"/>
        <v>0</v>
      </c>
      <c r="AI50" s="2818">
        <f t="shared" si="445"/>
        <v>14.489000000000001</v>
      </c>
      <c r="AJ50" s="2818">
        <f t="shared" si="445"/>
        <v>14.489000000000001</v>
      </c>
      <c r="AK50" s="2818">
        <f t="shared" si="445"/>
        <v>0</v>
      </c>
      <c r="AL50" s="2888">
        <f t="shared" si="358"/>
        <v>1.5000000000000568E-3</v>
      </c>
      <c r="AM50" s="2888">
        <f t="shared" si="358"/>
        <v>1.5000000000000568E-3</v>
      </c>
      <c r="AN50" s="2888">
        <f t="shared" si="358"/>
        <v>0</v>
      </c>
      <c r="AO50" s="2816">
        <f t="shared" si="446"/>
        <v>4.8291666666666666</v>
      </c>
      <c r="AP50" s="2816">
        <f>SUM('ПОЛНАЯ СЕБЕСТОИМОСТЬ СТОКИ 2023'!R168)/3</f>
        <v>4.8291666666666666</v>
      </c>
      <c r="AQ50" s="2816">
        <f>SUM('ПОЛНАЯ СЕБЕСТОИМОСТЬ СТОКИ 2023'!S168)/3</f>
        <v>0</v>
      </c>
      <c r="AR50" s="2816">
        <f t="shared" si="447"/>
        <v>0</v>
      </c>
      <c r="AS50" s="2816">
        <f>SUM('ПОЛНАЯ СЕБЕСТОИМОСТЬ СТОКИ 2023'!U168)</f>
        <v>0</v>
      </c>
      <c r="AT50" s="2816">
        <f>SUM('ПОЛНАЯ СЕБЕСТОИМОСТЬ СТОКИ 2023'!V168)</f>
        <v>0</v>
      </c>
      <c r="AU50" s="2782">
        <f t="shared" si="496"/>
        <v>1.06</v>
      </c>
      <c r="AV50" s="2782">
        <v>1.06</v>
      </c>
      <c r="AW50" s="2782">
        <v>0</v>
      </c>
      <c r="AX50" s="2816">
        <f t="shared" si="448"/>
        <v>4.8291666666666666</v>
      </c>
      <c r="AY50" s="2816">
        <f t="shared" si="449"/>
        <v>4.8291666666666666</v>
      </c>
      <c r="AZ50" s="2816">
        <f t="shared" si="450"/>
        <v>0</v>
      </c>
      <c r="BA50" s="2806">
        <f t="shared" si="451"/>
        <v>0</v>
      </c>
      <c r="BB50" s="2806">
        <f>SUM('ПОЛНАЯ СЕБЕСТОИМОСТЬ СТОКИ 2023'!X168)</f>
        <v>0</v>
      </c>
      <c r="BC50" s="2806">
        <f>SUM('ПОЛНАЯ СЕБЕСТОИМОСТЬ СТОКИ 2023'!Y168)</f>
        <v>0</v>
      </c>
      <c r="BD50" s="2782">
        <f t="shared" si="497"/>
        <v>0</v>
      </c>
      <c r="BE50" s="2782">
        <v>0</v>
      </c>
      <c r="BF50" s="2782">
        <v>0</v>
      </c>
      <c r="BG50" s="2816">
        <f t="shared" si="452"/>
        <v>4.8291666666666666</v>
      </c>
      <c r="BH50" s="2816">
        <f t="shared" si="453"/>
        <v>4.8291666666666666</v>
      </c>
      <c r="BI50" s="2816">
        <f t="shared" si="454"/>
        <v>0</v>
      </c>
      <c r="BJ50" s="2816">
        <f t="shared" si="455"/>
        <v>14.489000000000001</v>
      </c>
      <c r="BK50" s="2816">
        <f>SUM('ПОЛНАЯ СЕБЕСТОИМОСТЬ СТОКИ 2023'!AA168)</f>
        <v>14.489000000000001</v>
      </c>
      <c r="BL50" s="2816">
        <f>SUM('ПОЛНАЯ СЕБЕСТОИМОСТЬ СТОКИ 2023'!AB168)</f>
        <v>0</v>
      </c>
      <c r="BM50" s="2782">
        <f t="shared" si="498"/>
        <v>14.489000000000001</v>
      </c>
      <c r="BN50" s="2782">
        <v>14.489000000000001</v>
      </c>
      <c r="BO50" s="2782">
        <v>0</v>
      </c>
      <c r="BP50" s="2818">
        <f t="shared" si="456"/>
        <v>14.487500000000001</v>
      </c>
      <c r="BQ50" s="2818">
        <f t="shared" si="456"/>
        <v>14.487500000000001</v>
      </c>
      <c r="BR50" s="2818">
        <f t="shared" si="456"/>
        <v>0</v>
      </c>
      <c r="BS50" s="2818">
        <f t="shared" si="456"/>
        <v>14.489000000000001</v>
      </c>
      <c r="BT50" s="2818">
        <f t="shared" si="456"/>
        <v>14.489000000000001</v>
      </c>
      <c r="BU50" s="2818">
        <f t="shared" si="456"/>
        <v>0</v>
      </c>
      <c r="BV50" s="2818">
        <f t="shared" si="456"/>
        <v>15.549000000000001</v>
      </c>
      <c r="BW50" s="2818">
        <f t="shared" si="456"/>
        <v>15.549000000000001</v>
      </c>
      <c r="BX50" s="2818">
        <f t="shared" si="456"/>
        <v>0</v>
      </c>
      <c r="BY50" s="2888">
        <f t="shared" si="360"/>
        <v>1.5000000000000568E-3</v>
      </c>
      <c r="BZ50" s="2888">
        <f t="shared" si="360"/>
        <v>1.5000000000000568E-3</v>
      </c>
      <c r="CA50" s="2888">
        <f t="shared" si="360"/>
        <v>0</v>
      </c>
      <c r="CB50" s="2818">
        <f t="shared" si="457"/>
        <v>28.975000000000001</v>
      </c>
      <c r="CC50" s="2818">
        <f t="shared" si="457"/>
        <v>28.975000000000001</v>
      </c>
      <c r="CD50" s="2818">
        <f t="shared" si="457"/>
        <v>0</v>
      </c>
      <c r="CE50" s="2818">
        <f t="shared" si="457"/>
        <v>28.978000000000002</v>
      </c>
      <c r="CF50" s="2818">
        <f t="shared" si="457"/>
        <v>28.978000000000002</v>
      </c>
      <c r="CG50" s="2818">
        <f t="shared" si="457"/>
        <v>0</v>
      </c>
      <c r="CH50" s="2889">
        <f t="shared" si="457"/>
        <v>30.038000000000004</v>
      </c>
      <c r="CI50" s="2889">
        <f t="shared" si="457"/>
        <v>30.038000000000004</v>
      </c>
      <c r="CJ50" s="2889">
        <f t="shared" si="457"/>
        <v>0</v>
      </c>
      <c r="CK50" s="2888">
        <f t="shared" si="362"/>
        <v>3.0000000000001137E-3</v>
      </c>
      <c r="CL50" s="2888">
        <f t="shared" si="362"/>
        <v>3.0000000000001137E-3</v>
      </c>
      <c r="CM50" s="2888">
        <f t="shared" si="362"/>
        <v>0</v>
      </c>
      <c r="CN50" s="2816">
        <f t="shared" si="458"/>
        <v>4.8291666666666666</v>
      </c>
      <c r="CO50" s="2816">
        <f>SUM('ПОЛНАЯ СЕБЕСТОИМОСТЬ СТОКИ 2023'!AP168)/3</f>
        <v>4.8291666666666666</v>
      </c>
      <c r="CP50" s="2816">
        <f>SUM('ПОЛНАЯ СЕБЕСТОИМОСТЬ СТОКИ 2023'!AQ168)/3</f>
        <v>0</v>
      </c>
      <c r="CQ50" s="2816">
        <f t="shared" si="459"/>
        <v>0</v>
      </c>
      <c r="CR50" s="2816">
        <f>SUM('ПОЛНАЯ СЕБЕСТОИМОСТЬ СТОКИ 2023'!AS168)</f>
        <v>0</v>
      </c>
      <c r="CS50" s="2816">
        <f>SUM('ПОЛНАЯ СЕБЕСТОИМОСТЬ СТОКИ 2023'!AT168)</f>
        <v>0</v>
      </c>
      <c r="CT50" s="2782">
        <f t="shared" si="499"/>
        <v>0</v>
      </c>
      <c r="CU50" s="2782">
        <v>0</v>
      </c>
      <c r="CV50" s="2782">
        <v>0</v>
      </c>
      <c r="CW50" s="2816">
        <f t="shared" si="460"/>
        <v>4.8291666666666666</v>
      </c>
      <c r="CX50" s="2816">
        <f t="shared" si="461"/>
        <v>4.8291666666666666</v>
      </c>
      <c r="CY50" s="2816">
        <f t="shared" si="462"/>
        <v>0</v>
      </c>
      <c r="CZ50" s="2816">
        <f t="shared" si="463"/>
        <v>0</v>
      </c>
      <c r="DA50" s="2816">
        <f>SUM('ПОЛНАЯ СЕБЕСТОИМОСТЬ СТОКИ 2023'!AV168)</f>
        <v>0</v>
      </c>
      <c r="DB50" s="2816">
        <f>SUM('ПОЛНАЯ СЕБЕСТОИМОСТЬ СТОКИ 2023'!AW168)</f>
        <v>0</v>
      </c>
      <c r="DC50" s="2782">
        <f t="shared" si="500"/>
        <v>0</v>
      </c>
      <c r="DD50" s="2782">
        <v>0</v>
      </c>
      <c r="DE50" s="2782">
        <v>0</v>
      </c>
      <c r="DF50" s="2816">
        <f t="shared" si="464"/>
        <v>4.8291666666666666</v>
      </c>
      <c r="DG50" s="2816">
        <f t="shared" si="465"/>
        <v>4.8291666666666666</v>
      </c>
      <c r="DH50" s="2816">
        <f t="shared" si="466"/>
        <v>0</v>
      </c>
      <c r="DI50" s="2816">
        <f t="shared" si="467"/>
        <v>0</v>
      </c>
      <c r="DJ50" s="2816">
        <f>SUM('ПОЛНАЯ СЕБЕСТОИМОСТЬ СТОКИ 2023'!AY168)</f>
        <v>0</v>
      </c>
      <c r="DK50" s="2816">
        <f>SUM('ПОЛНАЯ СЕБЕСТОИМОСТЬ СТОКИ 2023'!AZ168)</f>
        <v>0</v>
      </c>
      <c r="DL50" s="2782">
        <f t="shared" si="501"/>
        <v>14.489000000000001</v>
      </c>
      <c r="DM50" s="2782">
        <v>14.489000000000001</v>
      </c>
      <c r="DN50" s="2782">
        <v>0</v>
      </c>
      <c r="DO50" s="2818">
        <f t="shared" si="468"/>
        <v>14.487500000000001</v>
      </c>
      <c r="DP50" s="2818">
        <f t="shared" si="468"/>
        <v>14.487500000000001</v>
      </c>
      <c r="DQ50" s="2818">
        <f t="shared" si="468"/>
        <v>0</v>
      </c>
      <c r="DR50" s="2818">
        <f t="shared" si="468"/>
        <v>0</v>
      </c>
      <c r="DS50" s="2818">
        <f t="shared" si="468"/>
        <v>0</v>
      </c>
      <c r="DT50" s="2818">
        <f t="shared" si="468"/>
        <v>0</v>
      </c>
      <c r="DU50" s="2818">
        <f t="shared" si="468"/>
        <v>14.489000000000001</v>
      </c>
      <c r="DV50" s="2818">
        <f t="shared" si="468"/>
        <v>14.489000000000001</v>
      </c>
      <c r="DW50" s="2818">
        <f t="shared" si="468"/>
        <v>0</v>
      </c>
      <c r="DX50" s="2888">
        <f t="shared" si="364"/>
        <v>-14.487500000000001</v>
      </c>
      <c r="DY50" s="2888">
        <f t="shared" si="364"/>
        <v>-14.487500000000001</v>
      </c>
      <c r="DZ50" s="2888">
        <f t="shared" si="364"/>
        <v>0</v>
      </c>
      <c r="EA50" s="2818">
        <f t="shared" si="469"/>
        <v>43.462500000000006</v>
      </c>
      <c r="EB50" s="2818">
        <f t="shared" si="469"/>
        <v>43.462500000000006</v>
      </c>
      <c r="EC50" s="2818">
        <f t="shared" si="469"/>
        <v>0</v>
      </c>
      <c r="ED50" s="2818">
        <f t="shared" si="469"/>
        <v>28.978000000000002</v>
      </c>
      <c r="EE50" s="2818">
        <f t="shared" si="469"/>
        <v>28.978000000000002</v>
      </c>
      <c r="EF50" s="2818">
        <f t="shared" si="469"/>
        <v>0</v>
      </c>
      <c r="EG50" s="2818">
        <f t="shared" si="469"/>
        <v>44.527000000000001</v>
      </c>
      <c r="EH50" s="2818">
        <f t="shared" si="469"/>
        <v>44.527000000000001</v>
      </c>
      <c r="EI50" s="2818">
        <f t="shared" si="469"/>
        <v>0</v>
      </c>
      <c r="EJ50" s="2888">
        <f t="shared" si="366"/>
        <v>-14.484500000000004</v>
      </c>
      <c r="EK50" s="2888">
        <f t="shared" si="366"/>
        <v>-14.484500000000004</v>
      </c>
      <c r="EL50" s="2888">
        <f t="shared" si="366"/>
        <v>0</v>
      </c>
      <c r="EM50" s="2816">
        <f t="shared" si="470"/>
        <v>4.8291666666666666</v>
      </c>
      <c r="EN50" s="2816">
        <f>SUM('ПОЛНАЯ СЕБЕСТОИМОСТЬ СТОКИ 2023'!BN168)/3</f>
        <v>4.8291666666666666</v>
      </c>
      <c r="EO50" s="2816">
        <f>SUM('ПОЛНАЯ СЕБЕСТОИМОСТЬ СТОКИ 2023'!BO168)/3</f>
        <v>0</v>
      </c>
      <c r="EP50" s="2816">
        <f t="shared" si="471"/>
        <v>0</v>
      </c>
      <c r="EQ50" s="2816">
        <f>SUM('ПОЛНАЯ СЕБЕСТОИМОСТЬ СТОКИ 2023'!BQ168)</f>
        <v>0</v>
      </c>
      <c r="ER50" s="2816">
        <f>SUM('ПОЛНАЯ СЕБЕСТОИМОСТЬ СТОКИ 2023'!BR168)</f>
        <v>0</v>
      </c>
      <c r="ES50" s="2782">
        <f t="shared" si="502"/>
        <v>0</v>
      </c>
      <c r="ET50" s="2782">
        <v>0</v>
      </c>
      <c r="EU50" s="2782">
        <v>0</v>
      </c>
      <c r="EV50" s="2816">
        <f t="shared" si="472"/>
        <v>4.8291666666666666</v>
      </c>
      <c r="EW50" s="2816">
        <f t="shared" si="473"/>
        <v>4.8291666666666666</v>
      </c>
      <c r="EX50" s="2816">
        <f t="shared" si="474"/>
        <v>0</v>
      </c>
      <c r="EY50" s="2816">
        <f t="shared" si="475"/>
        <v>0</v>
      </c>
      <c r="EZ50" s="2816">
        <f>SUM('ПОЛНАЯ СЕБЕСТОИМОСТЬ СТОКИ 2023'!BT168)</f>
        <v>0</v>
      </c>
      <c r="FA50" s="2816">
        <f>SUM('ПОЛНАЯ СЕБЕСТОИМОСТЬ СТОКИ 2023'!BU168)</f>
        <v>0</v>
      </c>
      <c r="FB50" s="2782">
        <f t="shared" si="503"/>
        <v>0</v>
      </c>
      <c r="FC50" s="2782">
        <v>0</v>
      </c>
      <c r="FD50" s="2782">
        <v>0</v>
      </c>
      <c r="FE50" s="2816">
        <f t="shared" si="476"/>
        <v>4.8291666666666666</v>
      </c>
      <c r="FF50" s="2816">
        <f t="shared" si="477"/>
        <v>4.8291666666666666</v>
      </c>
      <c r="FG50" s="2816">
        <f t="shared" si="478"/>
        <v>0</v>
      </c>
      <c r="FH50" s="2816">
        <f t="shared" si="479"/>
        <v>0</v>
      </c>
      <c r="FI50" s="2816">
        <f>SUM('ПОЛНАЯ СЕБЕСТОИМОСТЬ СТОКИ 2023'!BW168)</f>
        <v>0</v>
      </c>
      <c r="FJ50" s="2816">
        <f>SUM('ПОЛНАЯ СЕБЕСТОИМОСТЬ СТОКИ 2023'!BX168)</f>
        <v>0</v>
      </c>
      <c r="FK50" s="2782">
        <f t="shared" si="504"/>
        <v>14.493</v>
      </c>
      <c r="FL50" s="2782">
        <v>14.493</v>
      </c>
      <c r="FM50" s="2782">
        <v>0</v>
      </c>
      <c r="FN50" s="2818">
        <f t="shared" si="480"/>
        <v>14.487500000000001</v>
      </c>
      <c r="FO50" s="2818">
        <f t="shared" si="480"/>
        <v>14.487500000000001</v>
      </c>
      <c r="FP50" s="2818">
        <f t="shared" si="480"/>
        <v>0</v>
      </c>
      <c r="FQ50" s="2818">
        <f t="shared" si="480"/>
        <v>0</v>
      </c>
      <c r="FR50" s="2818">
        <f t="shared" si="480"/>
        <v>0</v>
      </c>
      <c r="FS50" s="2818">
        <f t="shared" si="480"/>
        <v>0</v>
      </c>
      <c r="FT50" s="2818">
        <f t="shared" si="480"/>
        <v>14.493</v>
      </c>
      <c r="FU50" s="2818">
        <f t="shared" si="480"/>
        <v>14.493</v>
      </c>
      <c r="FV50" s="2818">
        <f t="shared" si="480"/>
        <v>0</v>
      </c>
      <c r="FW50" s="2888">
        <f t="shared" si="368"/>
        <v>-14.487500000000001</v>
      </c>
      <c r="FX50" s="2888">
        <f t="shared" si="368"/>
        <v>-14.487500000000001</v>
      </c>
      <c r="FY50" s="2888">
        <f t="shared" si="368"/>
        <v>0</v>
      </c>
      <c r="FZ50" s="2807">
        <f t="shared" si="481"/>
        <v>57.95</v>
      </c>
      <c r="GA50" s="2807">
        <f t="shared" si="481"/>
        <v>57.95</v>
      </c>
      <c r="GB50" s="2807">
        <f t="shared" si="481"/>
        <v>0</v>
      </c>
      <c r="GC50" s="2818">
        <f t="shared" si="481"/>
        <v>28.978000000000002</v>
      </c>
      <c r="GD50" s="2818">
        <f t="shared" si="481"/>
        <v>28.978000000000002</v>
      </c>
      <c r="GE50" s="2818">
        <f t="shared" si="481"/>
        <v>0</v>
      </c>
      <c r="GF50" s="2818">
        <f t="shared" si="481"/>
        <v>59.02</v>
      </c>
      <c r="GG50" s="2818">
        <f t="shared" si="481"/>
        <v>59.02</v>
      </c>
      <c r="GH50" s="2818">
        <f t="shared" si="481"/>
        <v>0</v>
      </c>
      <c r="GI50" s="2888">
        <f t="shared" si="370"/>
        <v>-28.972000000000001</v>
      </c>
      <c r="GJ50" s="2888">
        <f t="shared" si="370"/>
        <v>-28.972000000000001</v>
      </c>
      <c r="GK50" s="2888">
        <f t="shared" si="370"/>
        <v>0</v>
      </c>
      <c r="GM50" s="3576">
        <f t="shared" si="371"/>
        <v>57.949999999999996</v>
      </c>
    </row>
    <row r="51" spans="1:195" ht="18.75" customHeight="1" x14ac:dyDescent="0.2">
      <c r="A51" s="2786" t="s">
        <v>524</v>
      </c>
      <c r="B51" s="2816">
        <f t="shared" si="435"/>
        <v>173.85996666666668</v>
      </c>
      <c r="C51" s="2816">
        <f>SUM('ПОЛНАЯ СЕБЕСТОИМОСТЬ СТОКИ 2023'!C169)/3</f>
        <v>173.85996666666668</v>
      </c>
      <c r="D51" s="2816">
        <f>SUM('ПОЛНАЯ СЕБЕСТОИМОСТЬ СТОКИ 2023'!D169)/3</f>
        <v>0</v>
      </c>
      <c r="E51" s="2816">
        <f t="shared" si="436"/>
        <v>0</v>
      </c>
      <c r="F51" s="2816">
        <f>SUM('ПОЛНАЯ СЕБЕСТОИМОСТЬ СТОКИ 2023'!F169)</f>
        <v>0</v>
      </c>
      <c r="G51" s="2816">
        <f>SUM('ПОЛНАЯ СЕБЕСТОИМОСТЬ СТОКИ 2023'!G169)</f>
        <v>0</v>
      </c>
      <c r="H51" s="2782">
        <f t="shared" si="482"/>
        <v>0</v>
      </c>
      <c r="I51" s="2782">
        <v>0</v>
      </c>
      <c r="J51" s="2782">
        <v>0</v>
      </c>
      <c r="K51" s="2816">
        <f t="shared" si="437"/>
        <v>173.85996666666668</v>
      </c>
      <c r="L51" s="2816">
        <f t="shared" si="438"/>
        <v>173.85996666666668</v>
      </c>
      <c r="M51" s="2816">
        <f t="shared" si="439"/>
        <v>0</v>
      </c>
      <c r="N51" s="2816">
        <f t="shared" si="440"/>
        <v>0</v>
      </c>
      <c r="O51" s="2816">
        <f>SUM('ПОЛНАЯ СЕБЕСТОИМОСТЬ СТОКИ 2023'!I169)</f>
        <v>0</v>
      </c>
      <c r="P51" s="2816">
        <f>SUM('ПОЛНАЯ СЕБЕСТОИМОСТЬ СТОКИ 2023'!J169)</f>
        <v>0</v>
      </c>
      <c r="Q51" s="2782">
        <f t="shared" si="494"/>
        <v>0</v>
      </c>
      <c r="R51" s="2782">
        <v>0</v>
      </c>
      <c r="S51" s="2782">
        <v>0</v>
      </c>
      <c r="T51" s="2816">
        <f t="shared" si="441"/>
        <v>173.85996666666668</v>
      </c>
      <c r="U51" s="2816">
        <f t="shared" si="442"/>
        <v>173.85996666666668</v>
      </c>
      <c r="V51" s="2816">
        <f t="shared" si="443"/>
        <v>0</v>
      </c>
      <c r="W51" s="2816">
        <f t="shared" si="444"/>
        <v>0</v>
      </c>
      <c r="X51" s="2816">
        <f>SUM('ПОЛНАЯ СЕБЕСТОИМОСТЬ СТОКИ 2023'!L169)</f>
        <v>0</v>
      </c>
      <c r="Y51" s="2816">
        <f>SUM('ПОЛНАЯ СЕБЕСТОИМОСТЬ СТОКИ 2023'!M169)</f>
        <v>0</v>
      </c>
      <c r="Z51" s="2782">
        <f t="shared" si="495"/>
        <v>0</v>
      </c>
      <c r="AA51" s="2782">
        <v>0</v>
      </c>
      <c r="AB51" s="2782">
        <v>0</v>
      </c>
      <c r="AC51" s="2818">
        <f t="shared" si="445"/>
        <v>521.57990000000007</v>
      </c>
      <c r="AD51" s="2818">
        <f t="shared" si="445"/>
        <v>521.57990000000007</v>
      </c>
      <c r="AE51" s="2818">
        <f t="shared" si="445"/>
        <v>0</v>
      </c>
      <c r="AF51" s="2818">
        <f t="shared" si="445"/>
        <v>0</v>
      </c>
      <c r="AG51" s="2818">
        <f t="shared" si="445"/>
        <v>0</v>
      </c>
      <c r="AH51" s="2818">
        <f t="shared" si="445"/>
        <v>0</v>
      </c>
      <c r="AI51" s="2818">
        <f t="shared" si="445"/>
        <v>0</v>
      </c>
      <c r="AJ51" s="2818">
        <f t="shared" si="445"/>
        <v>0</v>
      </c>
      <c r="AK51" s="2818">
        <f t="shared" si="445"/>
        <v>0</v>
      </c>
      <c r="AL51" s="2888">
        <f t="shared" si="358"/>
        <v>-521.57990000000007</v>
      </c>
      <c r="AM51" s="2888">
        <f t="shared" si="358"/>
        <v>-521.57990000000007</v>
      </c>
      <c r="AN51" s="2888">
        <f t="shared" si="358"/>
        <v>0</v>
      </c>
      <c r="AO51" s="2816">
        <f t="shared" si="446"/>
        <v>173.85996666666668</v>
      </c>
      <c r="AP51" s="2816">
        <f>SUM('ПОЛНАЯ СЕБЕСТОИМОСТЬ СТОКИ 2023'!R169)/3</f>
        <v>173.85996666666668</v>
      </c>
      <c r="AQ51" s="2816">
        <f>SUM('ПОЛНАЯ СЕБЕСТОИМОСТЬ СТОКИ 2023'!S169)/3</f>
        <v>0</v>
      </c>
      <c r="AR51" s="2816">
        <f t="shared" si="447"/>
        <v>0</v>
      </c>
      <c r="AS51" s="2816">
        <f>SUM('ПОЛНАЯ СЕБЕСТОИМОСТЬ СТОКИ 2023'!U169)</f>
        <v>0</v>
      </c>
      <c r="AT51" s="2816">
        <f>SUM('ПОЛНАЯ СЕБЕСТОИМОСТЬ СТОКИ 2023'!V169)</f>
        <v>0</v>
      </c>
      <c r="AU51" s="2782">
        <f t="shared" si="496"/>
        <v>0</v>
      </c>
      <c r="AV51" s="2782">
        <v>0</v>
      </c>
      <c r="AW51" s="2782">
        <v>0</v>
      </c>
      <c r="AX51" s="2816">
        <f t="shared" si="448"/>
        <v>173.85996666666668</v>
      </c>
      <c r="AY51" s="2816">
        <f t="shared" si="449"/>
        <v>173.85996666666668</v>
      </c>
      <c r="AZ51" s="2816">
        <f t="shared" si="450"/>
        <v>0</v>
      </c>
      <c r="BA51" s="2806">
        <f t="shared" si="451"/>
        <v>0</v>
      </c>
      <c r="BB51" s="2806">
        <f>SUM('ПОЛНАЯ СЕБЕСТОИМОСТЬ СТОКИ 2023'!X169)</f>
        <v>0</v>
      </c>
      <c r="BC51" s="2806">
        <f>SUM('ПОЛНАЯ СЕБЕСТОИМОСТЬ СТОКИ 2023'!Y169)</f>
        <v>0</v>
      </c>
      <c r="BD51" s="2782">
        <f t="shared" si="497"/>
        <v>0</v>
      </c>
      <c r="BE51" s="2782">
        <v>0</v>
      </c>
      <c r="BF51" s="2782">
        <v>0</v>
      </c>
      <c r="BG51" s="2816">
        <f t="shared" si="452"/>
        <v>173.85996666666668</v>
      </c>
      <c r="BH51" s="2816">
        <f t="shared" si="453"/>
        <v>173.85996666666668</v>
      </c>
      <c r="BI51" s="2816">
        <f t="shared" si="454"/>
        <v>0</v>
      </c>
      <c r="BJ51" s="2816">
        <f t="shared" si="455"/>
        <v>0</v>
      </c>
      <c r="BK51" s="2816">
        <f>SUM('ПОЛНАЯ СЕБЕСТОИМОСТЬ СТОКИ 2023'!AA169)</f>
        <v>0</v>
      </c>
      <c r="BL51" s="2816">
        <f>SUM('ПОЛНАЯ СЕБЕСТОИМОСТЬ СТОКИ 2023'!AB169)</f>
        <v>0</v>
      </c>
      <c r="BM51" s="2782">
        <f t="shared" si="498"/>
        <v>0</v>
      </c>
      <c r="BN51" s="2782">
        <v>0</v>
      </c>
      <c r="BO51" s="2782">
        <v>0</v>
      </c>
      <c r="BP51" s="2818">
        <f t="shared" si="456"/>
        <v>521.57990000000007</v>
      </c>
      <c r="BQ51" s="2818">
        <f t="shared" si="456"/>
        <v>521.57990000000007</v>
      </c>
      <c r="BR51" s="2818">
        <f t="shared" si="456"/>
        <v>0</v>
      </c>
      <c r="BS51" s="2818">
        <f t="shared" si="456"/>
        <v>0</v>
      </c>
      <c r="BT51" s="2818">
        <f t="shared" si="456"/>
        <v>0</v>
      </c>
      <c r="BU51" s="2818">
        <f t="shared" si="456"/>
        <v>0</v>
      </c>
      <c r="BV51" s="2818">
        <f t="shared" si="456"/>
        <v>0</v>
      </c>
      <c r="BW51" s="2818">
        <f t="shared" si="456"/>
        <v>0</v>
      </c>
      <c r="BX51" s="2818">
        <f t="shared" si="456"/>
        <v>0</v>
      </c>
      <c r="BY51" s="2888">
        <f t="shared" si="360"/>
        <v>-521.57990000000007</v>
      </c>
      <c r="BZ51" s="2888">
        <f t="shared" si="360"/>
        <v>-521.57990000000007</v>
      </c>
      <c r="CA51" s="2888">
        <f t="shared" si="360"/>
        <v>0</v>
      </c>
      <c r="CB51" s="2818">
        <f t="shared" si="457"/>
        <v>1043.1598000000001</v>
      </c>
      <c r="CC51" s="2818">
        <f t="shared" si="457"/>
        <v>1043.1598000000001</v>
      </c>
      <c r="CD51" s="2818">
        <f t="shared" si="457"/>
        <v>0</v>
      </c>
      <c r="CE51" s="2818">
        <f t="shared" si="457"/>
        <v>0</v>
      </c>
      <c r="CF51" s="2818">
        <f t="shared" si="457"/>
        <v>0</v>
      </c>
      <c r="CG51" s="2818">
        <f t="shared" si="457"/>
        <v>0</v>
      </c>
      <c r="CH51" s="2889">
        <f t="shared" si="457"/>
        <v>0</v>
      </c>
      <c r="CI51" s="2889">
        <f t="shared" si="457"/>
        <v>0</v>
      </c>
      <c r="CJ51" s="2889">
        <f t="shared" si="457"/>
        <v>0</v>
      </c>
      <c r="CK51" s="2888">
        <f t="shared" si="362"/>
        <v>-1043.1598000000001</v>
      </c>
      <c r="CL51" s="2888">
        <f t="shared" si="362"/>
        <v>-1043.1598000000001</v>
      </c>
      <c r="CM51" s="2888">
        <f t="shared" si="362"/>
        <v>0</v>
      </c>
      <c r="CN51" s="2816">
        <f t="shared" si="458"/>
        <v>173.85996666666668</v>
      </c>
      <c r="CO51" s="2816">
        <f>SUM('ПОЛНАЯ СЕБЕСТОИМОСТЬ СТОКИ 2023'!AP169)/3</f>
        <v>173.85996666666668</v>
      </c>
      <c r="CP51" s="2816">
        <f>SUM('ПОЛНАЯ СЕБЕСТОИМОСТЬ СТОКИ 2023'!AQ169)/3</f>
        <v>0</v>
      </c>
      <c r="CQ51" s="2816">
        <f t="shared" si="459"/>
        <v>0</v>
      </c>
      <c r="CR51" s="2816">
        <f>SUM('ПОЛНАЯ СЕБЕСТОИМОСТЬ СТОКИ 2023'!AS169)</f>
        <v>0</v>
      </c>
      <c r="CS51" s="2816">
        <f>SUM('ПОЛНАЯ СЕБЕСТОИМОСТЬ СТОКИ 2023'!AT169)</f>
        <v>0</v>
      </c>
      <c r="CT51" s="2782">
        <f t="shared" si="499"/>
        <v>0</v>
      </c>
      <c r="CU51" s="2782">
        <v>0</v>
      </c>
      <c r="CV51" s="2782">
        <v>0</v>
      </c>
      <c r="CW51" s="2816">
        <f t="shared" si="460"/>
        <v>173.85996666666668</v>
      </c>
      <c r="CX51" s="2816">
        <f t="shared" si="461"/>
        <v>173.85996666666668</v>
      </c>
      <c r="CY51" s="2816">
        <f t="shared" si="462"/>
        <v>0</v>
      </c>
      <c r="CZ51" s="2816">
        <f t="shared" si="463"/>
        <v>0</v>
      </c>
      <c r="DA51" s="2816">
        <f>SUM('ПОЛНАЯ СЕБЕСТОИМОСТЬ СТОКИ 2023'!AV169)</f>
        <v>0</v>
      </c>
      <c r="DB51" s="2816">
        <f>SUM('ПОЛНАЯ СЕБЕСТОИМОСТЬ СТОКИ 2023'!AW169)</f>
        <v>0</v>
      </c>
      <c r="DC51" s="2782">
        <f t="shared" si="500"/>
        <v>0</v>
      </c>
      <c r="DD51" s="2782">
        <v>0</v>
      </c>
      <c r="DE51" s="2782">
        <v>0</v>
      </c>
      <c r="DF51" s="2816">
        <f t="shared" si="464"/>
        <v>173.85996666666668</v>
      </c>
      <c r="DG51" s="2816">
        <f t="shared" si="465"/>
        <v>173.85996666666668</v>
      </c>
      <c r="DH51" s="2816">
        <f t="shared" si="466"/>
        <v>0</v>
      </c>
      <c r="DI51" s="2816">
        <f t="shared" si="467"/>
        <v>0</v>
      </c>
      <c r="DJ51" s="2816">
        <f>SUM('ПОЛНАЯ СЕБЕСТОИМОСТЬ СТОКИ 2023'!AY169)</f>
        <v>0</v>
      </c>
      <c r="DK51" s="2816">
        <f>SUM('ПОЛНАЯ СЕБЕСТОИМОСТЬ СТОКИ 2023'!AZ169)</f>
        <v>0</v>
      </c>
      <c r="DL51" s="2782">
        <f t="shared" si="501"/>
        <v>0</v>
      </c>
      <c r="DM51" s="2782">
        <v>0</v>
      </c>
      <c r="DN51" s="2782">
        <v>0</v>
      </c>
      <c r="DO51" s="2818">
        <f t="shared" si="468"/>
        <v>521.57990000000007</v>
      </c>
      <c r="DP51" s="2818">
        <f t="shared" si="468"/>
        <v>521.57990000000007</v>
      </c>
      <c r="DQ51" s="2818">
        <f t="shared" si="468"/>
        <v>0</v>
      </c>
      <c r="DR51" s="2818">
        <f t="shared" si="468"/>
        <v>0</v>
      </c>
      <c r="DS51" s="2818">
        <f t="shared" si="468"/>
        <v>0</v>
      </c>
      <c r="DT51" s="2818">
        <f t="shared" si="468"/>
        <v>0</v>
      </c>
      <c r="DU51" s="2818">
        <f t="shared" si="468"/>
        <v>0</v>
      </c>
      <c r="DV51" s="2818">
        <f t="shared" si="468"/>
        <v>0</v>
      </c>
      <c r="DW51" s="2818">
        <f t="shared" si="468"/>
        <v>0</v>
      </c>
      <c r="DX51" s="2888">
        <f t="shared" si="364"/>
        <v>-521.57990000000007</v>
      </c>
      <c r="DY51" s="2888">
        <f t="shared" si="364"/>
        <v>-521.57990000000007</v>
      </c>
      <c r="DZ51" s="2888">
        <f t="shared" si="364"/>
        <v>0</v>
      </c>
      <c r="EA51" s="2818">
        <f t="shared" si="469"/>
        <v>1564.7397000000001</v>
      </c>
      <c r="EB51" s="2818">
        <f t="shared" si="469"/>
        <v>1564.7397000000001</v>
      </c>
      <c r="EC51" s="2818">
        <f t="shared" si="469"/>
        <v>0</v>
      </c>
      <c r="ED51" s="2818">
        <f t="shared" si="469"/>
        <v>0</v>
      </c>
      <c r="EE51" s="2818">
        <f t="shared" si="469"/>
        <v>0</v>
      </c>
      <c r="EF51" s="2818">
        <f t="shared" si="469"/>
        <v>0</v>
      </c>
      <c r="EG51" s="2818">
        <f t="shared" si="469"/>
        <v>0</v>
      </c>
      <c r="EH51" s="2818">
        <f t="shared" si="469"/>
        <v>0</v>
      </c>
      <c r="EI51" s="2818">
        <f t="shared" si="469"/>
        <v>0</v>
      </c>
      <c r="EJ51" s="2888">
        <f t="shared" si="366"/>
        <v>-1564.7397000000001</v>
      </c>
      <c r="EK51" s="2888">
        <f t="shared" si="366"/>
        <v>-1564.7397000000001</v>
      </c>
      <c r="EL51" s="2888">
        <f t="shared" si="366"/>
        <v>0</v>
      </c>
      <c r="EM51" s="2816">
        <f t="shared" si="470"/>
        <v>173.85996666666668</v>
      </c>
      <c r="EN51" s="2816">
        <f>SUM('ПОЛНАЯ СЕБЕСТОИМОСТЬ СТОКИ 2023'!BN169)/3</f>
        <v>173.85996666666668</v>
      </c>
      <c r="EO51" s="2816">
        <f>SUM('ПОЛНАЯ СЕБЕСТОИМОСТЬ СТОКИ 2023'!BO169)/3</f>
        <v>0</v>
      </c>
      <c r="EP51" s="2816">
        <f t="shared" si="471"/>
        <v>0</v>
      </c>
      <c r="EQ51" s="2816">
        <f>SUM('ПОЛНАЯ СЕБЕСТОИМОСТЬ СТОКИ 2023'!BQ169)</f>
        <v>0</v>
      </c>
      <c r="ER51" s="2816">
        <f>SUM('ПОЛНАЯ СЕБЕСТОИМОСТЬ СТОКИ 2023'!BR169)</f>
        <v>0</v>
      </c>
      <c r="ES51" s="2782">
        <f t="shared" si="502"/>
        <v>0</v>
      </c>
      <c r="ET51" s="2782">
        <v>0</v>
      </c>
      <c r="EU51" s="2782">
        <v>0</v>
      </c>
      <c r="EV51" s="2816">
        <f t="shared" si="472"/>
        <v>173.85996666666668</v>
      </c>
      <c r="EW51" s="2816">
        <f t="shared" si="473"/>
        <v>173.85996666666668</v>
      </c>
      <c r="EX51" s="2816">
        <f t="shared" si="474"/>
        <v>0</v>
      </c>
      <c r="EY51" s="2816">
        <f t="shared" si="475"/>
        <v>0</v>
      </c>
      <c r="EZ51" s="2816">
        <f>SUM('ПОЛНАЯ СЕБЕСТОИМОСТЬ СТОКИ 2023'!BT169)</f>
        <v>0</v>
      </c>
      <c r="FA51" s="2816">
        <f>SUM('ПОЛНАЯ СЕБЕСТОИМОСТЬ СТОКИ 2023'!BU169)</f>
        <v>0</v>
      </c>
      <c r="FB51" s="2782">
        <f t="shared" si="503"/>
        <v>0</v>
      </c>
      <c r="FC51" s="2782">
        <v>0</v>
      </c>
      <c r="FD51" s="2782">
        <v>0</v>
      </c>
      <c r="FE51" s="2816">
        <f t="shared" si="476"/>
        <v>173.85996666666668</v>
      </c>
      <c r="FF51" s="2816">
        <f t="shared" si="477"/>
        <v>173.85996666666668</v>
      </c>
      <c r="FG51" s="2816">
        <f t="shared" si="478"/>
        <v>0</v>
      </c>
      <c r="FH51" s="2816">
        <f t="shared" si="479"/>
        <v>0</v>
      </c>
      <c r="FI51" s="2816">
        <f>SUM('ПОЛНАЯ СЕБЕСТОИМОСТЬ СТОКИ 2023'!BW169)</f>
        <v>0</v>
      </c>
      <c r="FJ51" s="2816">
        <f>SUM('ПОЛНАЯ СЕБЕСТОИМОСТЬ СТОКИ 2023'!BX169)</f>
        <v>0</v>
      </c>
      <c r="FK51" s="2782">
        <f t="shared" si="504"/>
        <v>0</v>
      </c>
      <c r="FL51" s="2782">
        <v>0</v>
      </c>
      <c r="FM51" s="2782">
        <v>0</v>
      </c>
      <c r="FN51" s="2818">
        <f t="shared" si="480"/>
        <v>521.57990000000007</v>
      </c>
      <c r="FO51" s="2818">
        <f t="shared" si="480"/>
        <v>521.57990000000007</v>
      </c>
      <c r="FP51" s="2818">
        <f t="shared" si="480"/>
        <v>0</v>
      </c>
      <c r="FQ51" s="2818">
        <f t="shared" si="480"/>
        <v>0</v>
      </c>
      <c r="FR51" s="2818">
        <f t="shared" si="480"/>
        <v>0</v>
      </c>
      <c r="FS51" s="2818">
        <f t="shared" si="480"/>
        <v>0</v>
      </c>
      <c r="FT51" s="2818">
        <f t="shared" si="480"/>
        <v>0</v>
      </c>
      <c r="FU51" s="2818">
        <f t="shared" si="480"/>
        <v>0</v>
      </c>
      <c r="FV51" s="2818">
        <f t="shared" si="480"/>
        <v>0</v>
      </c>
      <c r="FW51" s="2888">
        <f t="shared" si="368"/>
        <v>-521.57990000000007</v>
      </c>
      <c r="FX51" s="2888">
        <f t="shared" si="368"/>
        <v>-521.57990000000007</v>
      </c>
      <c r="FY51" s="2888">
        <f t="shared" si="368"/>
        <v>0</v>
      </c>
      <c r="FZ51" s="2807">
        <f t="shared" si="481"/>
        <v>2086.3196000000003</v>
      </c>
      <c r="GA51" s="2807">
        <f t="shared" si="481"/>
        <v>2086.3196000000003</v>
      </c>
      <c r="GB51" s="2807">
        <f t="shared" si="481"/>
        <v>0</v>
      </c>
      <c r="GC51" s="2818">
        <f t="shared" si="481"/>
        <v>0</v>
      </c>
      <c r="GD51" s="2818">
        <f t="shared" si="481"/>
        <v>0</v>
      </c>
      <c r="GE51" s="2818">
        <f t="shared" si="481"/>
        <v>0</v>
      </c>
      <c r="GF51" s="2818">
        <f t="shared" si="481"/>
        <v>0</v>
      </c>
      <c r="GG51" s="2818">
        <f t="shared" si="481"/>
        <v>0</v>
      </c>
      <c r="GH51" s="2818">
        <f t="shared" si="481"/>
        <v>0</v>
      </c>
      <c r="GI51" s="2888">
        <f t="shared" si="370"/>
        <v>-2086.3196000000003</v>
      </c>
      <c r="GJ51" s="2888">
        <f t="shared" si="370"/>
        <v>-2086.3196000000003</v>
      </c>
      <c r="GK51" s="2888">
        <f t="shared" si="370"/>
        <v>0</v>
      </c>
      <c r="GM51" s="3576">
        <f t="shared" si="371"/>
        <v>2086.3196000000003</v>
      </c>
    </row>
    <row r="52" spans="1:195" ht="18.75" customHeight="1" x14ac:dyDescent="0.3">
      <c r="A52" s="2862" t="s">
        <v>3721</v>
      </c>
      <c r="B52" s="2775">
        <f t="shared" si="435"/>
        <v>1033.6150723133283</v>
      </c>
      <c r="C52" s="2775">
        <f>SUM('ПОЛНАЯ СЕБЕСТОИМОСТЬ СТОКИ 2023'!C170)/3</f>
        <v>1026.2994056466616</v>
      </c>
      <c r="D52" s="2775">
        <f>SUM('ПОЛНАЯ СЕБЕСТОИМОСТЬ СТОКИ 2023'!D170)/3</f>
        <v>7.3156666666666679</v>
      </c>
      <c r="E52" s="2775">
        <f t="shared" si="436"/>
        <v>1424.5455899999999</v>
      </c>
      <c r="F52" s="2775">
        <f>SUM('ПОЛНАЯ СЕБЕСТОИМОСТЬ СТОКИ 2023'!F170)</f>
        <v>1421.04</v>
      </c>
      <c r="G52" s="2775">
        <f>SUM('ПОЛНАЯ СЕБЕСТОИМОСТЬ СТОКИ 2023'!G170)</f>
        <v>3.5055899999999998</v>
      </c>
      <c r="H52" s="2886">
        <f>SUM(H53:H60)</f>
        <v>973.38340999999991</v>
      </c>
      <c r="I52" s="2886">
        <v>970.88400000000001</v>
      </c>
      <c r="J52" s="2886">
        <v>2.4994100000000001</v>
      </c>
      <c r="K52" s="2775">
        <f t="shared" si="437"/>
        <v>1033.6150723133283</v>
      </c>
      <c r="L52" s="2775">
        <f t="shared" si="438"/>
        <v>1026.2994056466616</v>
      </c>
      <c r="M52" s="2775">
        <f t="shared" si="439"/>
        <v>7.3156666666666679</v>
      </c>
      <c r="N52" s="2775">
        <f t="shared" si="440"/>
        <v>1431.4598700000001</v>
      </c>
      <c r="O52" s="2775">
        <f>SUM('ПОЛНАЯ СЕБЕСТОИМОСТЬ СТОКИ 2023'!I170)</f>
        <v>1427.8548300000002</v>
      </c>
      <c r="P52" s="2775">
        <f>SUM('ПОЛНАЯ СЕБЕСТОИМОСТЬ СТОКИ 2023'!J170)</f>
        <v>3.6050399999999998</v>
      </c>
      <c r="Q52" s="2886">
        <f>SUM(Q53:Q60)</f>
        <v>920.63789999999995</v>
      </c>
      <c r="R52" s="2886">
        <v>918.40100000000007</v>
      </c>
      <c r="S52" s="2886">
        <v>2.2368999999999999</v>
      </c>
      <c r="T52" s="2775">
        <f t="shared" si="441"/>
        <v>1033.6150723133283</v>
      </c>
      <c r="U52" s="2775">
        <f t="shared" si="442"/>
        <v>1026.2994056466616</v>
      </c>
      <c r="V52" s="2775">
        <f t="shared" si="443"/>
        <v>7.3156666666666679</v>
      </c>
      <c r="W52" s="2775">
        <f t="shared" si="444"/>
        <v>1579.8714100000002</v>
      </c>
      <c r="X52" s="2775">
        <f>SUM('ПОЛНАЯ СЕБЕСТОИМОСТЬ СТОКИ 2023'!L170)</f>
        <v>1575.1960000000001</v>
      </c>
      <c r="Y52" s="2775">
        <f>SUM('ПОЛНАЯ СЕБЕСТОИМОСТЬ СТОКИ 2023'!M170)</f>
        <v>4.6754100000000003</v>
      </c>
      <c r="Z52" s="2886">
        <f>SUM(Z53:Z60)</f>
        <v>1332.0667100000001</v>
      </c>
      <c r="AA52" s="2886">
        <v>1328.6755200000002</v>
      </c>
      <c r="AB52" s="2886">
        <v>3.3911899999999999</v>
      </c>
      <c r="AC52" s="2868">
        <f t="shared" si="445"/>
        <v>3100.8452169399848</v>
      </c>
      <c r="AD52" s="2868">
        <f t="shared" si="445"/>
        <v>3078.8982169399851</v>
      </c>
      <c r="AE52" s="2868">
        <f t="shared" si="445"/>
        <v>21.947000000000003</v>
      </c>
      <c r="AF52" s="2868">
        <f t="shared" si="445"/>
        <v>4435.8768700000001</v>
      </c>
      <c r="AG52" s="2868">
        <f t="shared" si="445"/>
        <v>4424.0908300000001</v>
      </c>
      <c r="AH52" s="2868">
        <f t="shared" si="445"/>
        <v>11.78604</v>
      </c>
      <c r="AI52" s="2868">
        <f t="shared" si="445"/>
        <v>3226.0880200000001</v>
      </c>
      <c r="AJ52" s="2868">
        <f t="shared" si="445"/>
        <v>3217.9605200000005</v>
      </c>
      <c r="AK52" s="2868">
        <f t="shared" si="445"/>
        <v>8.1274999999999995</v>
      </c>
      <c r="AL52" s="2839">
        <f t="shared" si="358"/>
        <v>1335.0316530600153</v>
      </c>
      <c r="AM52" s="2839">
        <f t="shared" si="358"/>
        <v>1345.192613060015</v>
      </c>
      <c r="AN52" s="2839">
        <f t="shared" si="358"/>
        <v>-10.160960000000003</v>
      </c>
      <c r="AO52" s="2775">
        <f t="shared" si="446"/>
        <v>1033.6150723133283</v>
      </c>
      <c r="AP52" s="2775">
        <f>SUM('ПОЛНАЯ СЕБЕСТОИМОСТЬ СТОКИ 2023'!R170)/3</f>
        <v>1026.2994056466616</v>
      </c>
      <c r="AQ52" s="2775">
        <f>SUM('ПОЛНАЯ СЕБЕСТОИМОСТЬ СТОКИ 2023'!S170)/3</f>
        <v>7.3156666666666679</v>
      </c>
      <c r="AR52" s="2775">
        <f t="shared" si="447"/>
        <v>1843.58959</v>
      </c>
      <c r="AS52" s="2775">
        <f>SUM('ПОЛНАЯ СЕБЕСТОИМОСТЬ СТОКИ 2023'!U170)</f>
        <v>1840.01181</v>
      </c>
      <c r="AT52" s="2775">
        <f>SUM('ПОЛНАЯ СЕБЕСТОИМОСТЬ СТОКИ 2023'!V170)</f>
        <v>3.5777800000000006</v>
      </c>
      <c r="AU52" s="2886">
        <f>SUM(AU53:AU60)</f>
        <v>1075.0480000000002</v>
      </c>
      <c r="AV52" s="2886">
        <v>1072.3319999999999</v>
      </c>
      <c r="AW52" s="2886">
        <v>2.7160000000000002</v>
      </c>
      <c r="AX52" s="2775">
        <f t="shared" si="448"/>
        <v>1033.6150723133283</v>
      </c>
      <c r="AY52" s="2775">
        <f t="shared" si="449"/>
        <v>1026.2994056466616</v>
      </c>
      <c r="AZ52" s="2775">
        <f t="shared" si="450"/>
        <v>7.3156666666666679</v>
      </c>
      <c r="BA52" s="2832">
        <f t="shared" si="451"/>
        <v>1522.1466200000002</v>
      </c>
      <c r="BB52" s="2832">
        <f>SUM('ПОЛНАЯ СЕБЕСТОИМОСТЬ СТОКИ 2023'!X170)</f>
        <v>1518.3390000000002</v>
      </c>
      <c r="BC52" s="2832">
        <f>SUM('ПОЛНАЯ СЕБЕСТОИМОСТЬ СТОКИ 2023'!Y170)</f>
        <v>3.80762</v>
      </c>
      <c r="BD52" s="2886">
        <f>SUM(BD53:BD60)</f>
        <v>865.00348999999994</v>
      </c>
      <c r="BE52" s="2886">
        <v>863.78583999999989</v>
      </c>
      <c r="BF52" s="2886">
        <v>1.2176500000000001</v>
      </c>
      <c r="BG52" s="2775">
        <f t="shared" si="452"/>
        <v>1033.6150723133283</v>
      </c>
      <c r="BH52" s="2775">
        <f t="shared" si="453"/>
        <v>1026.2994056466616</v>
      </c>
      <c r="BI52" s="2775">
        <f t="shared" si="454"/>
        <v>7.3156666666666679</v>
      </c>
      <c r="BJ52" s="2775">
        <f t="shared" si="455"/>
        <v>1526.30601</v>
      </c>
      <c r="BK52" s="2775">
        <f>SUM('ПОЛНАЯ СЕБЕСТОИМОСТЬ СТОКИ 2023'!AA170)</f>
        <v>1521.5868499999999</v>
      </c>
      <c r="BL52" s="2775">
        <f>SUM('ПОЛНАЯ СЕБЕСТОИМОСТЬ СТОКИ 2023'!AB170)</f>
        <v>4.7191600000000005</v>
      </c>
      <c r="BM52" s="2886">
        <f>SUM(BM53:BM60)</f>
        <v>1011.9368699999999</v>
      </c>
      <c r="BN52" s="2886">
        <v>1008.5245099999999</v>
      </c>
      <c r="BO52" s="2886">
        <v>3.4123600000000001</v>
      </c>
      <c r="BP52" s="2868">
        <f t="shared" si="456"/>
        <v>3100.8452169399848</v>
      </c>
      <c r="BQ52" s="2868">
        <f t="shared" si="456"/>
        <v>3078.8982169399851</v>
      </c>
      <c r="BR52" s="2868">
        <f t="shared" si="456"/>
        <v>21.947000000000003</v>
      </c>
      <c r="BS52" s="2868">
        <f t="shared" si="456"/>
        <v>4892.0422200000003</v>
      </c>
      <c r="BT52" s="2868">
        <f t="shared" si="456"/>
        <v>4879.9376599999996</v>
      </c>
      <c r="BU52" s="2868">
        <f t="shared" si="456"/>
        <v>12.104560000000001</v>
      </c>
      <c r="BV52" s="2868">
        <f t="shared" si="456"/>
        <v>2951.9883600000003</v>
      </c>
      <c r="BW52" s="2868">
        <f t="shared" si="456"/>
        <v>2944.6423499999996</v>
      </c>
      <c r="BX52" s="2868">
        <f t="shared" si="456"/>
        <v>7.3460099999999997</v>
      </c>
      <c r="BY52" s="2839">
        <f t="shared" si="360"/>
        <v>1791.1970030600155</v>
      </c>
      <c r="BZ52" s="2839">
        <f t="shared" si="360"/>
        <v>1801.0394430600145</v>
      </c>
      <c r="CA52" s="2839">
        <f t="shared" si="360"/>
        <v>-9.8424400000000016</v>
      </c>
      <c r="CB52" s="2868">
        <f t="shared" si="457"/>
        <v>6201.6904338799695</v>
      </c>
      <c r="CC52" s="2868">
        <f t="shared" si="457"/>
        <v>6157.7964338799702</v>
      </c>
      <c r="CD52" s="2868">
        <f t="shared" si="457"/>
        <v>43.894000000000005</v>
      </c>
      <c r="CE52" s="2868">
        <f t="shared" si="457"/>
        <v>9327.9190899999994</v>
      </c>
      <c r="CF52" s="2868">
        <f t="shared" si="457"/>
        <v>9304.0284900000006</v>
      </c>
      <c r="CG52" s="2868">
        <f t="shared" si="457"/>
        <v>23.890599999999999</v>
      </c>
      <c r="CH52" s="2883">
        <f t="shared" si="457"/>
        <v>6178.0763800000004</v>
      </c>
      <c r="CI52" s="2883">
        <f t="shared" si="457"/>
        <v>6162.6028700000006</v>
      </c>
      <c r="CJ52" s="2883">
        <f t="shared" si="457"/>
        <v>15.473509999999999</v>
      </c>
      <c r="CK52" s="2839">
        <f t="shared" si="362"/>
        <v>3126.2286561200299</v>
      </c>
      <c r="CL52" s="2839">
        <f t="shared" si="362"/>
        <v>3146.2320561200304</v>
      </c>
      <c r="CM52" s="2839">
        <f t="shared" si="362"/>
        <v>-20.003400000000006</v>
      </c>
      <c r="CN52" s="2775">
        <f t="shared" si="458"/>
        <v>1033.6150723133283</v>
      </c>
      <c r="CO52" s="2775">
        <f>SUM('ПОЛНАЯ СЕБЕСТОИМОСТЬ СТОКИ 2023'!AP170)/3</f>
        <v>1026.2994056466616</v>
      </c>
      <c r="CP52" s="2775">
        <f>SUM('ПОЛНАЯ СЕБЕСТОИМОСТЬ СТОКИ 2023'!AQ170)/3</f>
        <v>7.3156666666666679</v>
      </c>
      <c r="CQ52" s="2775">
        <f t="shared" si="459"/>
        <v>1389.5819899999999</v>
      </c>
      <c r="CR52" s="2775">
        <f>SUM('ПОЛНАЯ СЕБЕСТОИМОСТЬ СТОКИ 2023'!AS170)</f>
        <v>1387.3493599999999</v>
      </c>
      <c r="CS52" s="2775">
        <f>SUM('ПОЛНАЯ СЕБЕСТОИМОСТЬ СТОКИ 2023'!AT170)</f>
        <v>2.2326299999999999</v>
      </c>
      <c r="CT52" s="2886">
        <f>SUM(CT53:CT60)</f>
        <v>922.59899999999993</v>
      </c>
      <c r="CU52" s="2886">
        <v>919.66199999999992</v>
      </c>
      <c r="CV52" s="2886">
        <v>2.9370000000000003</v>
      </c>
      <c r="CW52" s="2775">
        <f t="shared" si="460"/>
        <v>1033.6150723133283</v>
      </c>
      <c r="CX52" s="2775">
        <f t="shared" si="461"/>
        <v>1026.2994056466616</v>
      </c>
      <c r="CY52" s="2775">
        <f t="shared" si="462"/>
        <v>7.3156666666666679</v>
      </c>
      <c r="CZ52" s="2775">
        <f t="shared" si="463"/>
        <v>0</v>
      </c>
      <c r="DA52" s="2775">
        <f>SUM('ПОЛНАЯ СЕБЕСТОИМОСТЬ СТОКИ 2023'!AV170)</f>
        <v>0</v>
      </c>
      <c r="DB52" s="2775">
        <f>SUM('ПОЛНАЯ СЕБЕСТОИМОСТЬ СТОКИ 2023'!AW170)</f>
        <v>0</v>
      </c>
      <c r="DC52" s="2886">
        <f>SUM(DC53:DC60)</f>
        <v>1063.0302099999999</v>
      </c>
      <c r="DD52" s="2886">
        <v>1060.835</v>
      </c>
      <c r="DE52" s="2886">
        <v>2.1952099999999999</v>
      </c>
      <c r="DF52" s="2775">
        <f t="shared" si="464"/>
        <v>1033.6150723133283</v>
      </c>
      <c r="DG52" s="2775">
        <f t="shared" si="465"/>
        <v>1026.2994056466616</v>
      </c>
      <c r="DH52" s="2775">
        <f t="shared" si="466"/>
        <v>7.3156666666666679</v>
      </c>
      <c r="DI52" s="2775">
        <f t="shared" si="467"/>
        <v>0</v>
      </c>
      <c r="DJ52" s="2775">
        <f>SUM('ПОЛНАЯ СЕБЕСТОИМОСТЬ СТОКИ 2023'!AY170)</f>
        <v>0</v>
      </c>
      <c r="DK52" s="2775">
        <f>SUM('ПОЛНАЯ СЕБЕСТОИМОСТЬ СТОКИ 2023'!AZ170)</f>
        <v>0</v>
      </c>
      <c r="DL52" s="2886">
        <f>SUM(DL53:DL60)</f>
        <v>1425.3088600000001</v>
      </c>
      <c r="DM52" s="2886">
        <v>1421.8830000000003</v>
      </c>
      <c r="DN52" s="2886">
        <v>3.4258600000000001</v>
      </c>
      <c r="DO52" s="2868">
        <f t="shared" si="468"/>
        <v>3100.8452169399848</v>
      </c>
      <c r="DP52" s="2868">
        <f t="shared" si="468"/>
        <v>3078.8982169399851</v>
      </c>
      <c r="DQ52" s="2868">
        <f t="shared" si="468"/>
        <v>21.947000000000003</v>
      </c>
      <c r="DR52" s="2868">
        <f t="shared" si="468"/>
        <v>1389.5819899999999</v>
      </c>
      <c r="DS52" s="2868">
        <f t="shared" si="468"/>
        <v>1387.3493599999999</v>
      </c>
      <c r="DT52" s="2868">
        <f t="shared" si="468"/>
        <v>2.2326299999999999</v>
      </c>
      <c r="DU52" s="2868">
        <f t="shared" si="468"/>
        <v>3410.9380700000002</v>
      </c>
      <c r="DV52" s="2868">
        <f t="shared" si="468"/>
        <v>3402.38</v>
      </c>
      <c r="DW52" s="2868">
        <f t="shared" si="468"/>
        <v>8.5580700000000007</v>
      </c>
      <c r="DX52" s="2839">
        <f t="shared" si="364"/>
        <v>-1711.2632269399849</v>
      </c>
      <c r="DY52" s="2839">
        <f t="shared" si="364"/>
        <v>-1691.5488569399852</v>
      </c>
      <c r="DZ52" s="2839">
        <f t="shared" si="364"/>
        <v>-19.714370000000002</v>
      </c>
      <c r="EA52" s="2868">
        <f t="shared" si="469"/>
        <v>9302.5356508199548</v>
      </c>
      <c r="EB52" s="2868">
        <f t="shared" si="469"/>
        <v>9236.6946508199544</v>
      </c>
      <c r="EC52" s="2868">
        <f t="shared" si="469"/>
        <v>65.841000000000008</v>
      </c>
      <c r="ED52" s="2868">
        <f t="shared" si="469"/>
        <v>10717.50108</v>
      </c>
      <c r="EE52" s="2868">
        <f t="shared" si="469"/>
        <v>10691.377850000001</v>
      </c>
      <c r="EF52" s="2868">
        <f t="shared" si="469"/>
        <v>26.12323</v>
      </c>
      <c r="EG52" s="2868">
        <f t="shared" si="469"/>
        <v>9589.0144500000006</v>
      </c>
      <c r="EH52" s="2868">
        <f t="shared" si="469"/>
        <v>9564.9828699999998</v>
      </c>
      <c r="EI52" s="2868">
        <f t="shared" si="469"/>
        <v>24.031579999999998</v>
      </c>
      <c r="EJ52" s="2839">
        <f t="shared" si="366"/>
        <v>1414.9654291800452</v>
      </c>
      <c r="EK52" s="2839">
        <f t="shared" si="366"/>
        <v>1454.6831991800464</v>
      </c>
      <c r="EL52" s="2839">
        <f t="shared" si="366"/>
        <v>-39.717770000000009</v>
      </c>
      <c r="EM52" s="2775">
        <f t="shared" si="470"/>
        <v>1033.6150723133283</v>
      </c>
      <c r="EN52" s="2775">
        <f>SUM('ПОЛНАЯ СЕБЕСТОИМОСТЬ СТОКИ 2023'!BN170)/3</f>
        <v>1026.2994056466616</v>
      </c>
      <c r="EO52" s="2775">
        <f>SUM('ПОЛНАЯ СЕБЕСТОИМОСТЬ СТОКИ 2023'!BO170)/3</f>
        <v>7.3156666666666679</v>
      </c>
      <c r="EP52" s="2775">
        <f t="shared" si="471"/>
        <v>0</v>
      </c>
      <c r="EQ52" s="2775">
        <f>SUM('ПОЛНАЯ СЕБЕСТОИМОСТЬ СТОКИ 2023'!BQ170)</f>
        <v>0</v>
      </c>
      <c r="ER52" s="2775">
        <f>SUM('ПОЛНАЯ СЕБЕСТОИМОСТЬ СТОКИ 2023'!BR170)</f>
        <v>0</v>
      </c>
      <c r="ES52" s="2886">
        <f>SUM(ES53:ES60)</f>
        <v>1577.9542000000001</v>
      </c>
      <c r="ET52" s="2886">
        <v>1573.4839999999999</v>
      </c>
      <c r="EU52" s="2886">
        <v>4.4702000000000002</v>
      </c>
      <c r="EV52" s="2775">
        <f t="shared" si="472"/>
        <v>1033.6150723133283</v>
      </c>
      <c r="EW52" s="2775">
        <f t="shared" si="473"/>
        <v>1026.2994056466616</v>
      </c>
      <c r="EX52" s="2775">
        <f t="shared" si="474"/>
        <v>7.3156666666666679</v>
      </c>
      <c r="EY52" s="2775">
        <f t="shared" si="475"/>
        <v>0</v>
      </c>
      <c r="EZ52" s="2775">
        <f>SUM('ПОЛНАЯ СЕБЕСТОИМОСТЬ СТОКИ 2023'!BT170)</f>
        <v>0</v>
      </c>
      <c r="FA52" s="2775">
        <f>SUM('ПОЛНАЯ СЕБЕСТОИМОСТЬ СТОКИ 2023'!BU170)</f>
        <v>0</v>
      </c>
      <c r="FB52" s="2886">
        <f>SUM(FB53:FB60)</f>
        <v>1248.3952300000001</v>
      </c>
      <c r="FC52" s="2886">
        <v>1244.18427</v>
      </c>
      <c r="FD52" s="2886">
        <v>4.21096</v>
      </c>
      <c r="FE52" s="2775">
        <f t="shared" si="476"/>
        <v>1033.6150723133283</v>
      </c>
      <c r="FF52" s="2775">
        <f t="shared" si="477"/>
        <v>1026.2994056466616</v>
      </c>
      <c r="FG52" s="2775">
        <f t="shared" si="478"/>
        <v>7.3156666666666679</v>
      </c>
      <c r="FH52" s="2775">
        <f t="shared" si="479"/>
        <v>0</v>
      </c>
      <c r="FI52" s="2775">
        <f>SUM('ПОЛНАЯ СЕБЕСТОИМОСТЬ СТОКИ 2023'!BW170)</f>
        <v>0</v>
      </c>
      <c r="FJ52" s="2775">
        <f>SUM('ПОЛНАЯ СЕБЕСТОИМОСТЬ СТОКИ 2023'!BX170)</f>
        <v>0</v>
      </c>
      <c r="FK52" s="2886">
        <f>SUM(FK53:FK58)</f>
        <v>1448.1246000000001</v>
      </c>
      <c r="FL52" s="2886">
        <v>1442.48</v>
      </c>
      <c r="FM52" s="2886">
        <v>5.6446000000000005</v>
      </c>
      <c r="FN52" s="2868">
        <f t="shared" si="480"/>
        <v>3100.8452169399848</v>
      </c>
      <c r="FO52" s="2868">
        <f t="shared" si="480"/>
        <v>3078.8982169399851</v>
      </c>
      <c r="FP52" s="2868">
        <f t="shared" si="480"/>
        <v>21.947000000000003</v>
      </c>
      <c r="FQ52" s="2868">
        <f t="shared" si="480"/>
        <v>0</v>
      </c>
      <c r="FR52" s="2868">
        <f t="shared" si="480"/>
        <v>0</v>
      </c>
      <c r="FS52" s="2868">
        <f t="shared" si="480"/>
        <v>0</v>
      </c>
      <c r="FT52" s="2868">
        <f t="shared" si="480"/>
        <v>4274.4740300000003</v>
      </c>
      <c r="FU52" s="2868">
        <f t="shared" si="480"/>
        <v>4260.1482699999997</v>
      </c>
      <c r="FV52" s="2868">
        <f t="shared" si="480"/>
        <v>14.325760000000001</v>
      </c>
      <c r="FW52" s="2839">
        <f t="shared" si="368"/>
        <v>-3100.8452169399848</v>
      </c>
      <c r="FX52" s="2839">
        <f t="shared" si="368"/>
        <v>-3078.8982169399851</v>
      </c>
      <c r="FY52" s="2839">
        <f t="shared" si="368"/>
        <v>-21.947000000000003</v>
      </c>
      <c r="FZ52" s="2863">
        <f t="shared" si="481"/>
        <v>12403.380867759939</v>
      </c>
      <c r="GA52" s="2863">
        <f t="shared" si="481"/>
        <v>12315.59286775994</v>
      </c>
      <c r="GB52" s="2863">
        <f t="shared" si="481"/>
        <v>87.788000000000011</v>
      </c>
      <c r="GC52" s="2868">
        <f t="shared" si="481"/>
        <v>10717.50108</v>
      </c>
      <c r="GD52" s="2868">
        <f t="shared" si="481"/>
        <v>10691.377850000001</v>
      </c>
      <c r="GE52" s="2868">
        <f t="shared" si="481"/>
        <v>26.12323</v>
      </c>
      <c r="GF52" s="2868">
        <f t="shared" si="481"/>
        <v>13863.48848</v>
      </c>
      <c r="GG52" s="2868">
        <f t="shared" si="481"/>
        <v>13825.13114</v>
      </c>
      <c r="GH52" s="2868">
        <f t="shared" si="481"/>
        <v>38.357340000000001</v>
      </c>
      <c r="GI52" s="2839">
        <f t="shared" si="370"/>
        <v>-1685.8797877599391</v>
      </c>
      <c r="GJ52" s="2839">
        <f t="shared" si="370"/>
        <v>-1624.2150177599397</v>
      </c>
      <c r="GK52" s="2839">
        <f t="shared" si="370"/>
        <v>-61.664770000000011</v>
      </c>
      <c r="GM52" s="3576">
        <f t="shared" si="371"/>
        <v>12403.380867759943</v>
      </c>
    </row>
    <row r="53" spans="1:195" ht="18.75" customHeight="1" x14ac:dyDescent="0.3">
      <c r="A53" s="2784" t="s">
        <v>3707</v>
      </c>
      <c r="B53" s="2781">
        <f t="shared" si="435"/>
        <v>664.8447477728472</v>
      </c>
      <c r="C53" s="2781">
        <f>SUM('ПОЛНАЯ СЕБЕСТОИМОСТЬ СТОКИ 2023'!C171)/3</f>
        <v>662.84583110618053</v>
      </c>
      <c r="D53" s="2781">
        <f>SUM('ПОЛНАЯ СЕБЕСТОИМОСТЬ СТОКИ 2023'!D171)/3</f>
        <v>1.9989166666666665</v>
      </c>
      <c r="E53" s="2781">
        <f t="shared" si="436"/>
        <v>836.08449000000007</v>
      </c>
      <c r="F53" s="2781">
        <f>SUM('ПОЛНАЯ СЕБЕСТОИМОСТЬ СТОКИ 2023'!F171)</f>
        <v>834.02700000000004</v>
      </c>
      <c r="G53" s="2781">
        <f>SUM('ПОЛНАЯ СЕБЕСТОИМОСТЬ СТОКИ 2023'!G171)</f>
        <v>2.05749</v>
      </c>
      <c r="H53" s="2840">
        <f t="shared" si="482"/>
        <v>647.93499999999995</v>
      </c>
      <c r="I53" s="2840">
        <v>646.27099999999996</v>
      </c>
      <c r="J53" s="2840">
        <v>1.6639999999999999</v>
      </c>
      <c r="K53" s="2781">
        <f t="shared" si="437"/>
        <v>664.8447477728472</v>
      </c>
      <c r="L53" s="2781">
        <f t="shared" si="438"/>
        <v>662.84583110618053</v>
      </c>
      <c r="M53" s="2781">
        <f t="shared" si="439"/>
        <v>1.9989166666666665</v>
      </c>
      <c r="N53" s="2781">
        <f t="shared" si="440"/>
        <v>868.45947000000001</v>
      </c>
      <c r="O53" s="2781">
        <f>SUM('ПОЛНАЯ СЕБЕСТОИМОСТЬ СТОКИ 2023'!I171)</f>
        <v>866.27232000000004</v>
      </c>
      <c r="P53" s="2781">
        <f>SUM('ПОЛНАЯ СЕБЕСТОИМОСТЬ СТОКИ 2023'!J171)</f>
        <v>2.1871499999999999</v>
      </c>
      <c r="Q53" s="2840">
        <f t="shared" ref="Q53:Q60" si="505">SUM(R53:S53)</f>
        <v>584.20799999999997</v>
      </c>
      <c r="R53" s="2840">
        <v>582.78800000000001</v>
      </c>
      <c r="S53" s="2840">
        <v>1.42</v>
      </c>
      <c r="T53" s="2781">
        <f t="shared" si="441"/>
        <v>664.8447477728472</v>
      </c>
      <c r="U53" s="2781">
        <f t="shared" si="442"/>
        <v>662.84583110618053</v>
      </c>
      <c r="V53" s="2781">
        <f t="shared" si="443"/>
        <v>1.9989166666666665</v>
      </c>
      <c r="W53" s="2781">
        <f t="shared" si="444"/>
        <v>927.29919999999993</v>
      </c>
      <c r="X53" s="2781">
        <f>SUM('ПОЛНАЯ СЕБЕСТОИМОСТЬ СТОКИ 2023'!L171)</f>
        <v>924.55499999999995</v>
      </c>
      <c r="Y53" s="2781">
        <f>SUM('ПОЛНАЯ СЕБЕСТОИМОСТЬ СТОКИ 2023'!M171)</f>
        <v>2.7442000000000002</v>
      </c>
      <c r="Z53" s="2840">
        <f t="shared" ref="Z53:Z60" si="506">SUM(AA53:AB53)</f>
        <v>820.01169000000004</v>
      </c>
      <c r="AA53" s="2840">
        <v>817.92100000000005</v>
      </c>
      <c r="AB53" s="2840">
        <v>2.0906899999999999</v>
      </c>
      <c r="AC53" s="2869">
        <f t="shared" si="445"/>
        <v>1994.5342433185415</v>
      </c>
      <c r="AD53" s="2869">
        <f t="shared" si="445"/>
        <v>1988.5374933185417</v>
      </c>
      <c r="AE53" s="2869">
        <f t="shared" si="445"/>
        <v>5.9967499999999996</v>
      </c>
      <c r="AF53" s="2869">
        <f t="shared" si="445"/>
        <v>2631.8431599999999</v>
      </c>
      <c r="AG53" s="2869">
        <f t="shared" si="445"/>
        <v>2624.8543199999999</v>
      </c>
      <c r="AH53" s="2869">
        <f t="shared" si="445"/>
        <v>6.9888400000000006</v>
      </c>
      <c r="AI53" s="2869">
        <f t="shared" si="445"/>
        <v>2052.1546900000003</v>
      </c>
      <c r="AJ53" s="2869">
        <f t="shared" si="445"/>
        <v>2046.98</v>
      </c>
      <c r="AK53" s="2869">
        <f t="shared" si="445"/>
        <v>5.17469</v>
      </c>
      <c r="AL53" s="2805">
        <f t="shared" si="358"/>
        <v>637.30891668145841</v>
      </c>
      <c r="AM53" s="2805">
        <f t="shared" si="358"/>
        <v>636.31682668145822</v>
      </c>
      <c r="AN53" s="2805">
        <f t="shared" si="358"/>
        <v>0.99209000000000103</v>
      </c>
      <c r="AO53" s="2781">
        <f t="shared" si="446"/>
        <v>664.8447477728472</v>
      </c>
      <c r="AP53" s="2781">
        <f>SUM('ПОЛНАЯ СЕБЕСТОИМОСТЬ СТОКИ 2023'!R171)/3</f>
        <v>662.84583110618053</v>
      </c>
      <c r="AQ53" s="2781">
        <f>SUM('ПОЛНАЯ СЕБЕСТОИМОСТЬ СТОКИ 2023'!S171)/3</f>
        <v>1.9989166666666665</v>
      </c>
      <c r="AR53" s="2781">
        <f t="shared" si="447"/>
        <v>1166.72325</v>
      </c>
      <c r="AS53" s="2781">
        <f>SUM('ПОЛНАЯ СЕБЕСТОИМОСТЬ СТОКИ 2023'!U171)</f>
        <v>1164.4590000000001</v>
      </c>
      <c r="AT53" s="2781">
        <f>SUM('ПОЛНАЯ СЕБЕСТОИМОСТЬ СТОКИ 2023'!V171)</f>
        <v>2.2642500000000001</v>
      </c>
      <c r="AU53" s="2840">
        <f t="shared" ref="AU53:AU60" si="507">SUM(AV53:AW53)</f>
        <v>624.19100000000003</v>
      </c>
      <c r="AV53" s="2840">
        <v>622.61300000000006</v>
      </c>
      <c r="AW53" s="2840">
        <v>1.5780000000000001</v>
      </c>
      <c r="AX53" s="2781">
        <f t="shared" si="448"/>
        <v>664.8447477728472</v>
      </c>
      <c r="AY53" s="2781">
        <f t="shared" si="449"/>
        <v>662.84583110618053</v>
      </c>
      <c r="AZ53" s="2781">
        <f t="shared" si="450"/>
        <v>1.9989166666666665</v>
      </c>
      <c r="BA53" s="2836">
        <f t="shared" si="451"/>
        <v>856.80127000000005</v>
      </c>
      <c r="BB53" s="2836">
        <f>SUM('ПОЛНАЯ СЕБЕСТОИМОСТЬ СТОКИ 2023'!X171)</f>
        <v>854.65800000000002</v>
      </c>
      <c r="BC53" s="2836">
        <f>SUM('ПОЛНАЯ СЕБЕСТОИМОСТЬ СТОКИ 2023'!Y171)</f>
        <v>2.1432699999999998</v>
      </c>
      <c r="BD53" s="2840">
        <f t="shared" ref="BD53:BD60" si="508">SUM(BE53:BF53)</f>
        <v>516.43099999999993</v>
      </c>
      <c r="BE53" s="2840">
        <v>515.70399999999995</v>
      </c>
      <c r="BF53" s="2840">
        <v>0.72699999999999998</v>
      </c>
      <c r="BG53" s="2781">
        <f t="shared" si="452"/>
        <v>664.8447477728472</v>
      </c>
      <c r="BH53" s="2781">
        <f t="shared" si="453"/>
        <v>662.84583110618053</v>
      </c>
      <c r="BI53" s="2781">
        <f t="shared" si="454"/>
        <v>1.9989166666666665</v>
      </c>
      <c r="BJ53" s="2781">
        <f t="shared" si="455"/>
        <v>881.0711</v>
      </c>
      <c r="BK53" s="2781">
        <f>SUM('ПОЛНАЯ СЕБЕСТОИМОСТЬ СТОКИ 2023'!AA171)</f>
        <v>878.34693000000004</v>
      </c>
      <c r="BL53" s="2781">
        <f>SUM('ПОЛНАЯ СЕБЕСТОИМОСТЬ СТОКИ 2023'!AB171)</f>
        <v>2.72417</v>
      </c>
      <c r="BM53" s="2840">
        <f t="shared" ref="BM53:BM60" si="509">SUM(BN53:BO53)</f>
        <v>661.35708</v>
      </c>
      <c r="BN53" s="2840">
        <v>659.14986999999996</v>
      </c>
      <c r="BO53" s="2840">
        <v>2.2072099999999999</v>
      </c>
      <c r="BP53" s="2869">
        <f t="shared" si="456"/>
        <v>1994.5342433185415</v>
      </c>
      <c r="BQ53" s="2869">
        <f t="shared" si="456"/>
        <v>1988.5374933185417</v>
      </c>
      <c r="BR53" s="2869">
        <f t="shared" si="456"/>
        <v>5.9967499999999996</v>
      </c>
      <c r="BS53" s="2869">
        <f t="shared" si="456"/>
        <v>2904.5956200000001</v>
      </c>
      <c r="BT53" s="2869">
        <f t="shared" si="456"/>
        <v>2897.4639300000003</v>
      </c>
      <c r="BU53" s="2869">
        <f t="shared" si="456"/>
        <v>7.1316899999999999</v>
      </c>
      <c r="BV53" s="2869">
        <f t="shared" si="456"/>
        <v>1801.9790799999998</v>
      </c>
      <c r="BW53" s="2869">
        <f t="shared" si="456"/>
        <v>1797.46687</v>
      </c>
      <c r="BX53" s="2869">
        <f t="shared" si="456"/>
        <v>4.5122099999999996</v>
      </c>
      <c r="BY53" s="2805">
        <f t="shared" si="360"/>
        <v>910.06137668145857</v>
      </c>
      <c r="BZ53" s="2805">
        <f t="shared" si="360"/>
        <v>908.92643668145865</v>
      </c>
      <c r="CA53" s="2805">
        <f t="shared" si="360"/>
        <v>1.1349400000000003</v>
      </c>
      <c r="CB53" s="2869">
        <f t="shared" si="457"/>
        <v>3989.068486637083</v>
      </c>
      <c r="CC53" s="2869">
        <f t="shared" si="457"/>
        <v>3977.0749866370834</v>
      </c>
      <c r="CD53" s="2869">
        <f t="shared" si="457"/>
        <v>11.993499999999999</v>
      </c>
      <c r="CE53" s="2869">
        <f t="shared" si="457"/>
        <v>5536.4387800000004</v>
      </c>
      <c r="CF53" s="2869">
        <f t="shared" si="457"/>
        <v>5522.3182500000003</v>
      </c>
      <c r="CG53" s="2869">
        <f t="shared" si="457"/>
        <v>14.12053</v>
      </c>
      <c r="CH53" s="2887">
        <f t="shared" si="457"/>
        <v>3854.1337700000004</v>
      </c>
      <c r="CI53" s="2887">
        <f t="shared" si="457"/>
        <v>3844.4468699999998</v>
      </c>
      <c r="CJ53" s="2887">
        <f t="shared" si="457"/>
        <v>9.6868999999999996</v>
      </c>
      <c r="CK53" s="2805">
        <f t="shared" si="362"/>
        <v>1547.3702933629174</v>
      </c>
      <c r="CL53" s="2805">
        <f t="shared" si="362"/>
        <v>1545.2432633629169</v>
      </c>
      <c r="CM53" s="2805">
        <f t="shared" si="362"/>
        <v>2.1270300000000013</v>
      </c>
      <c r="CN53" s="2781">
        <f t="shared" si="458"/>
        <v>664.8447477728472</v>
      </c>
      <c r="CO53" s="2781">
        <f>SUM('ПОЛНАЯ СЕБЕСТОИМОСТЬ СТОКИ 2023'!AP171)/3</f>
        <v>662.84583110618053</v>
      </c>
      <c r="CP53" s="2781">
        <f>SUM('ПОЛНАЯ СЕБЕСТОИМОСТЬ СТОКИ 2023'!AQ171)/3</f>
        <v>1.9989166666666665</v>
      </c>
      <c r="CQ53" s="2781">
        <f t="shared" si="459"/>
        <v>805.53470000000004</v>
      </c>
      <c r="CR53" s="2781">
        <f>SUM('ПОЛНАЯ СЕБЕСТОИМОСТЬ СТОКИ 2023'!AS171)</f>
        <v>804.24045000000001</v>
      </c>
      <c r="CS53" s="2781">
        <f>SUM('ПОЛНАЯ СЕБЕСТОИМОСТЬ СТОКИ 2023'!AT171)</f>
        <v>1.2942499999999999</v>
      </c>
      <c r="CT53" s="2840">
        <f t="shared" ref="CT53:CT60" si="510">SUM(CU53:CV53)</f>
        <v>568.56999999999994</v>
      </c>
      <c r="CU53" s="2840">
        <v>566.76</v>
      </c>
      <c r="CV53" s="2840">
        <v>1.81</v>
      </c>
      <c r="CW53" s="2781">
        <f t="shared" si="460"/>
        <v>664.8447477728472</v>
      </c>
      <c r="CX53" s="2781">
        <f t="shared" si="461"/>
        <v>662.84583110618053</v>
      </c>
      <c r="CY53" s="2781">
        <f t="shared" si="462"/>
        <v>1.9989166666666665</v>
      </c>
      <c r="CZ53" s="2781">
        <f t="shared" si="463"/>
        <v>0</v>
      </c>
      <c r="DA53" s="2781">
        <f>SUM('ПОЛНАЯ СЕБЕСТОИМОСТЬ СТОКИ 2023'!AV171)</f>
        <v>0</v>
      </c>
      <c r="DB53" s="2781">
        <f>SUM('ПОЛНАЯ СЕБЕСТОИМОСТЬ СТОКИ 2023'!AW171)</f>
        <v>0</v>
      </c>
      <c r="DC53" s="2840">
        <f t="shared" ref="DC53:DC60" si="511">SUM(DD53:DE53)</f>
        <v>625.15600000000006</v>
      </c>
      <c r="DD53" s="2840">
        <v>623.86500000000001</v>
      </c>
      <c r="DE53" s="2840">
        <v>1.2909999999999999</v>
      </c>
      <c r="DF53" s="2781">
        <f t="shared" si="464"/>
        <v>664.8447477728472</v>
      </c>
      <c r="DG53" s="2781">
        <f t="shared" si="465"/>
        <v>662.84583110618053</v>
      </c>
      <c r="DH53" s="2781">
        <f t="shared" si="466"/>
        <v>1.9989166666666665</v>
      </c>
      <c r="DI53" s="2781">
        <f t="shared" si="467"/>
        <v>0</v>
      </c>
      <c r="DJ53" s="2781">
        <f>SUM('ПОЛНАЯ СЕБЕСТОИМОСТЬ СТОКИ 2023'!AY171)</f>
        <v>0</v>
      </c>
      <c r="DK53" s="2781">
        <f>SUM('ПОЛНАЯ СЕБЕСТОИМОСТЬ СТОКИ 2023'!AZ171)</f>
        <v>0</v>
      </c>
      <c r="DL53" s="2840">
        <f t="shared" ref="DL53:DL60" si="512">SUM(DM53:DN53)</f>
        <v>805.37300000000005</v>
      </c>
      <c r="DM53" s="2840">
        <v>803.43700000000001</v>
      </c>
      <c r="DN53" s="2840">
        <v>1.9359999999999999</v>
      </c>
      <c r="DO53" s="2869">
        <f t="shared" si="468"/>
        <v>1994.5342433185415</v>
      </c>
      <c r="DP53" s="2869">
        <f t="shared" si="468"/>
        <v>1988.5374933185417</v>
      </c>
      <c r="DQ53" s="2869">
        <f t="shared" si="468"/>
        <v>5.9967499999999996</v>
      </c>
      <c r="DR53" s="2869">
        <f t="shared" si="468"/>
        <v>805.53470000000004</v>
      </c>
      <c r="DS53" s="2869">
        <f t="shared" si="468"/>
        <v>804.24045000000001</v>
      </c>
      <c r="DT53" s="2869">
        <f t="shared" si="468"/>
        <v>1.2942499999999999</v>
      </c>
      <c r="DU53" s="2869">
        <f t="shared" si="468"/>
        <v>1999.0990000000002</v>
      </c>
      <c r="DV53" s="2869">
        <f t="shared" si="468"/>
        <v>1994.0619999999999</v>
      </c>
      <c r="DW53" s="2869">
        <f t="shared" si="468"/>
        <v>5.0369999999999999</v>
      </c>
      <c r="DX53" s="2805">
        <f t="shared" si="364"/>
        <v>-1188.9995433185413</v>
      </c>
      <c r="DY53" s="2805">
        <f t="shared" si="364"/>
        <v>-1184.2970433185417</v>
      </c>
      <c r="DZ53" s="2805">
        <f t="shared" si="364"/>
        <v>-4.7024999999999997</v>
      </c>
      <c r="EA53" s="2869">
        <f t="shared" si="469"/>
        <v>5983.6027299556245</v>
      </c>
      <c r="EB53" s="2869">
        <f t="shared" si="469"/>
        <v>5965.6124799556255</v>
      </c>
      <c r="EC53" s="2869">
        <f t="shared" si="469"/>
        <v>17.99025</v>
      </c>
      <c r="ED53" s="2869">
        <f t="shared" si="469"/>
        <v>6341.9734800000006</v>
      </c>
      <c r="EE53" s="2869">
        <f t="shared" si="469"/>
        <v>6326.5587000000005</v>
      </c>
      <c r="EF53" s="2869">
        <f t="shared" si="469"/>
        <v>15.41478</v>
      </c>
      <c r="EG53" s="2869">
        <f t="shared" si="469"/>
        <v>5853.2327700000005</v>
      </c>
      <c r="EH53" s="2869">
        <f t="shared" si="469"/>
        <v>5838.5088699999997</v>
      </c>
      <c r="EI53" s="2869">
        <f t="shared" si="469"/>
        <v>14.7239</v>
      </c>
      <c r="EJ53" s="2805">
        <f t="shared" si="366"/>
        <v>358.37075004437611</v>
      </c>
      <c r="EK53" s="2805">
        <f t="shared" si="366"/>
        <v>360.94622004437497</v>
      </c>
      <c r="EL53" s="2805">
        <f t="shared" si="366"/>
        <v>-2.5754699999999993</v>
      </c>
      <c r="EM53" s="2781">
        <f t="shared" si="470"/>
        <v>664.8447477728472</v>
      </c>
      <c r="EN53" s="2781">
        <f>SUM('ПОЛНАЯ СЕБЕСТОИМОСТЬ СТОКИ 2023'!BN171)/3</f>
        <v>662.84583110618053</v>
      </c>
      <c r="EO53" s="2781">
        <f>SUM('ПОЛНАЯ СЕБЕСТОИМОСТЬ СТОКИ 2023'!BO171)/3</f>
        <v>1.9989166666666665</v>
      </c>
      <c r="EP53" s="2781">
        <f t="shared" si="471"/>
        <v>0</v>
      </c>
      <c r="EQ53" s="2781">
        <f>SUM('ПОЛНАЯ СЕБЕСТОИМОСТЬ СТОКИ 2023'!BQ171)</f>
        <v>0</v>
      </c>
      <c r="ER53" s="2781">
        <f>SUM('ПОЛНАЯ СЕБЕСТОИМОСТЬ СТОКИ 2023'!BR171)</f>
        <v>0</v>
      </c>
      <c r="ES53" s="2840">
        <f t="shared" ref="ES53:ES60" si="513">SUM(ET53:EU53)</f>
        <v>700.38200000000006</v>
      </c>
      <c r="ET53" s="2840">
        <v>698.39800000000002</v>
      </c>
      <c r="EU53" s="2840">
        <v>1.984</v>
      </c>
      <c r="EV53" s="2781">
        <f t="shared" si="472"/>
        <v>664.8447477728472</v>
      </c>
      <c r="EW53" s="2781">
        <f t="shared" si="473"/>
        <v>662.84583110618053</v>
      </c>
      <c r="EX53" s="2781">
        <f t="shared" si="474"/>
        <v>1.9989166666666665</v>
      </c>
      <c r="EY53" s="2781">
        <f t="shared" si="475"/>
        <v>0</v>
      </c>
      <c r="EZ53" s="2781">
        <f>SUM('ПОЛНАЯ СЕБЕСТОИМОСТЬ СТОКИ 2023'!BT171)</f>
        <v>0</v>
      </c>
      <c r="FA53" s="2781">
        <f>SUM('ПОЛНАЯ СЕБЕСТОИМОСТЬ СТОКИ 2023'!BU171)</f>
        <v>0</v>
      </c>
      <c r="FB53" s="2840">
        <f t="shared" ref="FB53:FB60" si="514">SUM(FC53:FD53)</f>
        <v>713.66884000000005</v>
      </c>
      <c r="FC53" s="2840">
        <v>711.26130000000001</v>
      </c>
      <c r="FD53" s="2840">
        <v>2.40754</v>
      </c>
      <c r="FE53" s="2781">
        <f t="shared" si="476"/>
        <v>664.8447477728472</v>
      </c>
      <c r="FF53" s="2781">
        <f t="shared" si="477"/>
        <v>662.84583110618053</v>
      </c>
      <c r="FG53" s="2781">
        <f t="shared" si="478"/>
        <v>1.9989166666666665</v>
      </c>
      <c r="FH53" s="2781">
        <f t="shared" si="479"/>
        <v>0</v>
      </c>
      <c r="FI53" s="2781">
        <f>SUM('ПОЛНАЯ СЕБЕСТОИМОСТЬ СТОКИ 2023'!BW171)</f>
        <v>0</v>
      </c>
      <c r="FJ53" s="2781">
        <f>SUM('ПОЛНАЯ СЕБЕСТОИМОСТЬ СТОКИ 2023'!BX171)</f>
        <v>0</v>
      </c>
      <c r="FK53" s="2840">
        <f t="shared" ref="FK53:FK60" si="515">SUM(FL53:FM53)</f>
        <v>737.31799999999998</v>
      </c>
      <c r="FL53" s="2840">
        <v>734.44399999999996</v>
      </c>
      <c r="FM53" s="2840">
        <v>2.8740000000000001</v>
      </c>
      <c r="FN53" s="2869">
        <f t="shared" si="480"/>
        <v>1994.5342433185415</v>
      </c>
      <c r="FO53" s="2869">
        <f t="shared" si="480"/>
        <v>1988.5374933185417</v>
      </c>
      <c r="FP53" s="2869">
        <f t="shared" si="480"/>
        <v>5.9967499999999996</v>
      </c>
      <c r="FQ53" s="2869">
        <f t="shared" si="480"/>
        <v>0</v>
      </c>
      <c r="FR53" s="2869">
        <f t="shared" si="480"/>
        <v>0</v>
      </c>
      <c r="FS53" s="2869">
        <f t="shared" si="480"/>
        <v>0</v>
      </c>
      <c r="FT53" s="2869">
        <f t="shared" si="480"/>
        <v>2151.3688400000001</v>
      </c>
      <c r="FU53" s="2869">
        <f t="shared" si="480"/>
        <v>2144.1032999999998</v>
      </c>
      <c r="FV53" s="2869">
        <f t="shared" si="480"/>
        <v>7.2655399999999997</v>
      </c>
      <c r="FW53" s="2805">
        <f t="shared" si="368"/>
        <v>-1994.5342433185415</v>
      </c>
      <c r="FX53" s="2805">
        <f t="shared" si="368"/>
        <v>-1988.5374933185417</v>
      </c>
      <c r="FY53" s="2805">
        <f t="shared" si="368"/>
        <v>-5.9967499999999996</v>
      </c>
      <c r="FZ53" s="4559">
        <f t="shared" si="481"/>
        <v>7978.1369732741659</v>
      </c>
      <c r="GA53" s="4559">
        <f t="shared" si="481"/>
        <v>7954.1499732741668</v>
      </c>
      <c r="GB53" s="4559">
        <f t="shared" si="481"/>
        <v>23.986999999999998</v>
      </c>
      <c r="GC53" s="2869">
        <f t="shared" si="481"/>
        <v>6341.9734800000006</v>
      </c>
      <c r="GD53" s="2869">
        <f t="shared" si="481"/>
        <v>6326.5587000000005</v>
      </c>
      <c r="GE53" s="2869">
        <f t="shared" si="481"/>
        <v>15.41478</v>
      </c>
      <c r="GF53" s="2869">
        <f t="shared" si="481"/>
        <v>8004.6016100000006</v>
      </c>
      <c r="GG53" s="2869">
        <f t="shared" si="481"/>
        <v>7982.6121699999994</v>
      </c>
      <c r="GH53" s="2869">
        <f t="shared" si="481"/>
        <v>21.989440000000002</v>
      </c>
      <c r="GI53" s="2805">
        <f t="shared" si="370"/>
        <v>-1636.1634932741654</v>
      </c>
      <c r="GJ53" s="2805">
        <f t="shared" si="370"/>
        <v>-1627.5912732741663</v>
      </c>
      <c r="GK53" s="2805">
        <f t="shared" si="370"/>
        <v>-8.572219999999998</v>
      </c>
      <c r="GM53" s="3576">
        <f t="shared" si="371"/>
        <v>7978.136973274165</v>
      </c>
    </row>
    <row r="54" spans="1:195" ht="18.75" customHeight="1" x14ac:dyDescent="0.3">
      <c r="A54" s="2784" t="s">
        <v>3708</v>
      </c>
      <c r="B54" s="2781">
        <f t="shared" si="435"/>
        <v>199.45342433185417</v>
      </c>
      <c r="C54" s="2781">
        <f>SUM('ПОЛНАЯ СЕБЕСТОИМОСТЬ СТОКИ 2023'!C172)/3</f>
        <v>198.85375766518749</v>
      </c>
      <c r="D54" s="2781">
        <f>SUM('ПОЛНАЯ СЕБЕСТОИМОСТЬ СТОКИ 2023'!D172)/3</f>
        <v>0.59966666666666668</v>
      </c>
      <c r="E54" s="2781">
        <f t="shared" si="436"/>
        <v>254.72283999999999</v>
      </c>
      <c r="F54" s="2781">
        <f>SUM('ПОЛНАЯ СЕБЕСТОИМОСТЬ СТОКИ 2023'!F172)</f>
        <v>254.096</v>
      </c>
      <c r="G54" s="2781">
        <f>SUM('ПОЛНАЯ СЕБЕСТОИМОСТЬ СТОКИ 2023'!G172)</f>
        <v>0.62683999999999995</v>
      </c>
      <c r="H54" s="2840">
        <f t="shared" si="482"/>
        <v>211.78400000000002</v>
      </c>
      <c r="I54" s="2840">
        <v>211.24</v>
      </c>
      <c r="J54" s="2840">
        <v>0.54400000000000004</v>
      </c>
      <c r="K54" s="2781">
        <f t="shared" si="437"/>
        <v>199.45342433185417</v>
      </c>
      <c r="L54" s="2781">
        <f t="shared" si="438"/>
        <v>198.85375766518749</v>
      </c>
      <c r="M54" s="2781">
        <f t="shared" si="439"/>
        <v>0.59966666666666668</v>
      </c>
      <c r="N54" s="2781">
        <f t="shared" si="440"/>
        <v>270.47374000000002</v>
      </c>
      <c r="O54" s="2781">
        <f>SUM('ПОЛНАЯ СЕБЕСТОИМОСТЬ СТОКИ 2023'!I172)</f>
        <v>269.79257000000001</v>
      </c>
      <c r="P54" s="2781">
        <f>SUM('ПОЛНАЯ СЕБЕСТОИМОСТЬ СТОКИ 2023'!J172)</f>
        <v>0.68117000000000005</v>
      </c>
      <c r="Q54" s="2840">
        <f t="shared" si="505"/>
        <v>171.60499999999999</v>
      </c>
      <c r="R54" s="2840">
        <v>171.18799999999999</v>
      </c>
      <c r="S54" s="2840">
        <v>0.41699999999999998</v>
      </c>
      <c r="T54" s="2781">
        <f t="shared" si="441"/>
        <v>199.45342433185417</v>
      </c>
      <c r="U54" s="2781">
        <f t="shared" si="442"/>
        <v>198.85375766518749</v>
      </c>
      <c r="V54" s="2781">
        <f t="shared" si="443"/>
        <v>0.59966666666666668</v>
      </c>
      <c r="W54" s="2781">
        <f t="shared" si="444"/>
        <v>280.66157000000004</v>
      </c>
      <c r="X54" s="2781">
        <f>SUM('ПОЛНАЯ СЕБЕСТОИМОСТЬ СТОКИ 2023'!L172)</f>
        <v>279.83100000000002</v>
      </c>
      <c r="Y54" s="2781">
        <f>SUM('ПОЛНАЯ СЕБЕСТОИМОСТЬ СТОКИ 2023'!M172)</f>
        <v>0.83056999999999992</v>
      </c>
      <c r="Z54" s="2840">
        <f t="shared" si="506"/>
        <v>245.87687</v>
      </c>
      <c r="AA54" s="2840">
        <v>245.24969999999999</v>
      </c>
      <c r="AB54" s="2840">
        <v>0.62717000000000001</v>
      </c>
      <c r="AC54" s="2869">
        <f t="shared" si="445"/>
        <v>598.36027299556247</v>
      </c>
      <c r="AD54" s="2869">
        <f t="shared" si="445"/>
        <v>596.56127299556249</v>
      </c>
      <c r="AE54" s="2869">
        <f t="shared" si="445"/>
        <v>1.7989999999999999</v>
      </c>
      <c r="AF54" s="2869">
        <f t="shared" si="445"/>
        <v>805.85815000000002</v>
      </c>
      <c r="AG54" s="2869">
        <f t="shared" si="445"/>
        <v>803.71957000000009</v>
      </c>
      <c r="AH54" s="2869">
        <f t="shared" si="445"/>
        <v>2.1385799999999997</v>
      </c>
      <c r="AI54" s="2869">
        <f t="shared" si="445"/>
        <v>629.26586999999995</v>
      </c>
      <c r="AJ54" s="2869">
        <f t="shared" si="445"/>
        <v>627.67769999999996</v>
      </c>
      <c r="AK54" s="2869">
        <f t="shared" si="445"/>
        <v>1.5881700000000001</v>
      </c>
      <c r="AL54" s="2805">
        <f t="shared" si="358"/>
        <v>207.49787700443756</v>
      </c>
      <c r="AM54" s="2805">
        <f t="shared" si="358"/>
        <v>207.1582970044376</v>
      </c>
      <c r="AN54" s="2805">
        <f t="shared" si="358"/>
        <v>0.33957999999999977</v>
      </c>
      <c r="AO54" s="2781">
        <f t="shared" si="446"/>
        <v>199.45342433185417</v>
      </c>
      <c r="AP54" s="2781">
        <f>SUM('ПОЛНАЯ СЕБЕСТОИМОСТЬ СТОКИ 2023'!R172)/3</f>
        <v>198.85375766518749</v>
      </c>
      <c r="AQ54" s="2781">
        <f>SUM('ПОЛНАЯ СЕБЕСТОИМОСТЬ СТОКИ 2023'!S172)/3</f>
        <v>0.59966666666666668</v>
      </c>
      <c r="AR54" s="2781">
        <f t="shared" si="447"/>
        <v>347.70818999999995</v>
      </c>
      <c r="AS54" s="2781">
        <f>SUM('ПОЛНАЯ СЕБЕСТОИМОСТЬ СТОКИ 2023'!U172)</f>
        <v>347.03339999999997</v>
      </c>
      <c r="AT54" s="2781">
        <f>SUM('ПОЛНАЯ СЕБЕСТОИМОСТЬ СТОКИ 2023'!V172)</f>
        <v>0.67479</v>
      </c>
      <c r="AU54" s="2840">
        <f t="shared" si="507"/>
        <v>188.505</v>
      </c>
      <c r="AV54" s="2840">
        <v>188.029</v>
      </c>
      <c r="AW54" s="2840">
        <v>0.47599999999999998</v>
      </c>
      <c r="AX54" s="2781">
        <f t="shared" si="448"/>
        <v>199.45342433185417</v>
      </c>
      <c r="AY54" s="2781">
        <f t="shared" si="449"/>
        <v>198.85375766518749</v>
      </c>
      <c r="AZ54" s="2781">
        <f t="shared" si="450"/>
        <v>0.59966666666666668</v>
      </c>
      <c r="BA54" s="2836">
        <f t="shared" si="451"/>
        <v>255.09286</v>
      </c>
      <c r="BB54" s="2836">
        <f>SUM('ПОЛНАЯ СЕБЕСТОИМОСТЬ СТОКИ 2023'!X172)</f>
        <v>254.45400000000001</v>
      </c>
      <c r="BC54" s="2836">
        <f>SUM('ПОЛНАЯ СЕБЕСТОИМОСТЬ СТОКИ 2023'!Y172)</f>
        <v>0.63885999999999998</v>
      </c>
      <c r="BD54" s="2840">
        <f t="shared" si="508"/>
        <v>155.96159000000003</v>
      </c>
      <c r="BE54" s="2840">
        <v>155.74200000000002</v>
      </c>
      <c r="BF54" s="2840">
        <v>0.21959000000000001</v>
      </c>
      <c r="BG54" s="2781">
        <f t="shared" si="452"/>
        <v>199.45342433185417</v>
      </c>
      <c r="BH54" s="2781">
        <f t="shared" si="453"/>
        <v>198.85375766518749</v>
      </c>
      <c r="BI54" s="2781">
        <f t="shared" si="454"/>
        <v>0.59966666666666668</v>
      </c>
      <c r="BJ54" s="2781">
        <f t="shared" si="455"/>
        <v>266.11548999999997</v>
      </c>
      <c r="BK54" s="2781">
        <f>SUM('ПОЛНАЯ СЕБЕСТОИМОСТЬ СТОКИ 2023'!AA172)</f>
        <v>265.29268999999999</v>
      </c>
      <c r="BL54" s="2781">
        <f>SUM('ПОЛНАЯ СЕБЕСТОИМОСТЬ СТОКИ 2023'!AB172)</f>
        <v>0.82280000000000009</v>
      </c>
      <c r="BM54" s="2840">
        <f t="shared" si="509"/>
        <v>198.84159</v>
      </c>
      <c r="BN54" s="2840">
        <v>198.17779999999999</v>
      </c>
      <c r="BO54" s="2840">
        <v>0.66378999999999999</v>
      </c>
      <c r="BP54" s="2869">
        <f t="shared" si="456"/>
        <v>598.36027299556247</v>
      </c>
      <c r="BQ54" s="2869">
        <f t="shared" si="456"/>
        <v>596.56127299556249</v>
      </c>
      <c r="BR54" s="2869">
        <f t="shared" si="456"/>
        <v>1.7989999999999999</v>
      </c>
      <c r="BS54" s="2869">
        <f t="shared" si="456"/>
        <v>868.91653999999994</v>
      </c>
      <c r="BT54" s="2869">
        <f t="shared" si="456"/>
        <v>866.78008999999997</v>
      </c>
      <c r="BU54" s="2869">
        <f t="shared" si="456"/>
        <v>2.13645</v>
      </c>
      <c r="BV54" s="2869">
        <f t="shared" si="456"/>
        <v>543.30817999999999</v>
      </c>
      <c r="BW54" s="2869">
        <f t="shared" si="456"/>
        <v>541.94880000000001</v>
      </c>
      <c r="BX54" s="2869">
        <f t="shared" si="456"/>
        <v>1.3593799999999998</v>
      </c>
      <c r="BY54" s="2805">
        <f t="shared" si="360"/>
        <v>270.55626700443747</v>
      </c>
      <c r="BZ54" s="2805">
        <f t="shared" si="360"/>
        <v>270.21881700443748</v>
      </c>
      <c r="CA54" s="2805">
        <f t="shared" si="360"/>
        <v>0.33745000000000003</v>
      </c>
      <c r="CB54" s="2869">
        <f t="shared" si="457"/>
        <v>1196.7205459911249</v>
      </c>
      <c r="CC54" s="2869">
        <f t="shared" si="457"/>
        <v>1193.122545991125</v>
      </c>
      <c r="CD54" s="2869">
        <f t="shared" si="457"/>
        <v>3.5979999999999999</v>
      </c>
      <c r="CE54" s="2869">
        <f t="shared" si="457"/>
        <v>1674.77469</v>
      </c>
      <c r="CF54" s="2869">
        <f t="shared" si="457"/>
        <v>1670.4996599999999</v>
      </c>
      <c r="CG54" s="2869">
        <f t="shared" si="457"/>
        <v>4.2750299999999992</v>
      </c>
      <c r="CH54" s="2887">
        <f t="shared" si="457"/>
        <v>1172.5740499999999</v>
      </c>
      <c r="CI54" s="2887">
        <f t="shared" si="457"/>
        <v>1169.6264999999999</v>
      </c>
      <c r="CJ54" s="2887">
        <f t="shared" si="457"/>
        <v>2.9475499999999997</v>
      </c>
      <c r="CK54" s="2805">
        <f t="shared" si="362"/>
        <v>478.05414400887503</v>
      </c>
      <c r="CL54" s="2805">
        <f t="shared" si="362"/>
        <v>477.37711400887497</v>
      </c>
      <c r="CM54" s="2805">
        <f t="shared" si="362"/>
        <v>0.67702999999999935</v>
      </c>
      <c r="CN54" s="2781">
        <f t="shared" si="458"/>
        <v>199.45342433185417</v>
      </c>
      <c r="CO54" s="2781">
        <f>SUM('ПОЛНАЯ СЕБЕСТОИМОСТЬ СТОКИ 2023'!AP172)/3</f>
        <v>198.85375766518749</v>
      </c>
      <c r="CP54" s="2781">
        <f>SUM('ПОЛНАЯ СЕБЕСТОИМОСТЬ СТОКИ 2023'!AQ172)/3</f>
        <v>0.59966666666666668</v>
      </c>
      <c r="CQ54" s="2781">
        <f t="shared" si="459"/>
        <v>241.50426000000002</v>
      </c>
      <c r="CR54" s="2781">
        <f>SUM('ПОЛНАЯ СЕБЕСТОИМОСТЬ СТОКИ 2023'!AS172)</f>
        <v>241.11624</v>
      </c>
      <c r="CS54" s="2781">
        <f>SUM('ПОЛНАЯ СЕБЕСТОИМОСТЬ СТОКИ 2023'!AT172)</f>
        <v>0.38801999999999998</v>
      </c>
      <c r="CT54" s="2840">
        <f t="shared" si="510"/>
        <v>169.31399999999999</v>
      </c>
      <c r="CU54" s="2840">
        <v>168.77500000000001</v>
      </c>
      <c r="CV54" s="2840">
        <v>0.53900000000000003</v>
      </c>
      <c r="CW54" s="2781">
        <f t="shared" si="460"/>
        <v>199.45342433185417</v>
      </c>
      <c r="CX54" s="2781">
        <f t="shared" si="461"/>
        <v>198.85375766518749</v>
      </c>
      <c r="CY54" s="2781">
        <f t="shared" si="462"/>
        <v>0.59966666666666668</v>
      </c>
      <c r="CZ54" s="2781">
        <f t="shared" si="463"/>
        <v>0</v>
      </c>
      <c r="DA54" s="2781">
        <f>SUM('ПОЛНАЯ СЕБЕСТОИМОСТЬ СТОКИ 2023'!AV172)</f>
        <v>0</v>
      </c>
      <c r="DB54" s="2781">
        <f>SUM('ПОЛНАЯ СЕБЕСТОИМОСТЬ СТОКИ 2023'!AW172)</f>
        <v>0</v>
      </c>
      <c r="DC54" s="2840">
        <f t="shared" si="511"/>
        <v>186.50700000000001</v>
      </c>
      <c r="DD54" s="2840">
        <v>186.12200000000001</v>
      </c>
      <c r="DE54" s="2840">
        <v>0.38500000000000001</v>
      </c>
      <c r="DF54" s="2781">
        <f t="shared" si="464"/>
        <v>199.45342433185417</v>
      </c>
      <c r="DG54" s="2781">
        <f t="shared" si="465"/>
        <v>198.85375766518749</v>
      </c>
      <c r="DH54" s="2781">
        <f t="shared" si="466"/>
        <v>0.59966666666666668</v>
      </c>
      <c r="DI54" s="2781">
        <f t="shared" si="467"/>
        <v>0</v>
      </c>
      <c r="DJ54" s="2781">
        <f>SUM('ПОЛНАЯ СЕБЕСТОИМОСТЬ СТОКИ 2023'!AY172)</f>
        <v>0</v>
      </c>
      <c r="DK54" s="2781">
        <f>SUM('ПОЛНАЯ СЕБЕСТОИМОСТЬ СТОКИ 2023'!AZ172)</f>
        <v>0</v>
      </c>
      <c r="DL54" s="2840">
        <f t="shared" si="512"/>
        <v>235.23</v>
      </c>
      <c r="DM54" s="2840">
        <v>234.66499999999999</v>
      </c>
      <c r="DN54" s="2840">
        <v>0.56499999999999995</v>
      </c>
      <c r="DO54" s="2869">
        <f t="shared" si="468"/>
        <v>598.36027299556247</v>
      </c>
      <c r="DP54" s="2869">
        <f t="shared" si="468"/>
        <v>596.56127299556249</v>
      </c>
      <c r="DQ54" s="2869">
        <f t="shared" si="468"/>
        <v>1.7989999999999999</v>
      </c>
      <c r="DR54" s="2869">
        <f t="shared" si="468"/>
        <v>241.50426000000002</v>
      </c>
      <c r="DS54" s="2869">
        <f t="shared" si="468"/>
        <v>241.11624</v>
      </c>
      <c r="DT54" s="2869">
        <f t="shared" si="468"/>
        <v>0.38801999999999998</v>
      </c>
      <c r="DU54" s="2869">
        <f t="shared" si="468"/>
        <v>591.05100000000004</v>
      </c>
      <c r="DV54" s="2869">
        <f t="shared" si="468"/>
        <v>589.56200000000001</v>
      </c>
      <c r="DW54" s="2869">
        <f t="shared" si="468"/>
        <v>1.4889999999999999</v>
      </c>
      <c r="DX54" s="2805">
        <f t="shared" si="364"/>
        <v>-356.85601299556242</v>
      </c>
      <c r="DY54" s="2805">
        <f t="shared" si="364"/>
        <v>-355.44503299556249</v>
      </c>
      <c r="DZ54" s="2805">
        <f t="shared" si="364"/>
        <v>-1.4109799999999999</v>
      </c>
      <c r="EA54" s="2869">
        <f t="shared" si="469"/>
        <v>1795.0808189866875</v>
      </c>
      <c r="EB54" s="2869">
        <f t="shared" si="469"/>
        <v>1789.6838189866876</v>
      </c>
      <c r="EC54" s="2869">
        <f t="shared" si="469"/>
        <v>5.3970000000000002</v>
      </c>
      <c r="ED54" s="2869">
        <f t="shared" si="469"/>
        <v>1916.2789499999999</v>
      </c>
      <c r="EE54" s="2869">
        <f t="shared" si="469"/>
        <v>1911.6159</v>
      </c>
      <c r="EF54" s="2869">
        <f t="shared" si="469"/>
        <v>4.6630499999999993</v>
      </c>
      <c r="EG54" s="2869">
        <f t="shared" si="469"/>
        <v>1763.6250500000001</v>
      </c>
      <c r="EH54" s="2869">
        <f t="shared" si="469"/>
        <v>1759.1884999999997</v>
      </c>
      <c r="EI54" s="2869">
        <f t="shared" si="469"/>
        <v>4.4365499999999995</v>
      </c>
      <c r="EJ54" s="2805">
        <f t="shared" si="366"/>
        <v>121.19813101331238</v>
      </c>
      <c r="EK54" s="2805">
        <f t="shared" si="366"/>
        <v>121.93208101331243</v>
      </c>
      <c r="EL54" s="2805">
        <f t="shared" si="366"/>
        <v>-0.73395000000000099</v>
      </c>
      <c r="EM54" s="2781">
        <f t="shared" si="470"/>
        <v>199.45342433185417</v>
      </c>
      <c r="EN54" s="2781">
        <f>SUM('ПОЛНАЯ СЕБЕСТОИМОСТЬ СТОКИ 2023'!BN172)/3</f>
        <v>198.85375766518749</v>
      </c>
      <c r="EO54" s="2781">
        <f>SUM('ПОЛНАЯ СЕБЕСТОИМОСТЬ СТОКИ 2023'!BO172)/3</f>
        <v>0.59966666666666668</v>
      </c>
      <c r="EP54" s="2781">
        <f t="shared" si="471"/>
        <v>0</v>
      </c>
      <c r="EQ54" s="2781">
        <f>SUM('ПОЛНАЯ СЕБЕСТОИМОСТЬ СТОКИ 2023'!BQ172)</f>
        <v>0</v>
      </c>
      <c r="ER54" s="2781">
        <f>SUM('ПОЛНАЯ СЕБЕСТОИМОСТЬ СТОКИ 2023'!BR172)</f>
        <v>0</v>
      </c>
      <c r="ES54" s="2840">
        <f t="shared" si="513"/>
        <v>188.01</v>
      </c>
      <c r="ET54" s="2840">
        <v>187.477</v>
      </c>
      <c r="EU54" s="2840">
        <v>0.53300000000000003</v>
      </c>
      <c r="EV54" s="2781">
        <f t="shared" si="472"/>
        <v>199.45342433185417</v>
      </c>
      <c r="EW54" s="2781">
        <f t="shared" si="473"/>
        <v>198.85375766518749</v>
      </c>
      <c r="EX54" s="2781">
        <f t="shared" si="474"/>
        <v>0.59966666666666668</v>
      </c>
      <c r="EY54" s="2781">
        <f t="shared" si="475"/>
        <v>0</v>
      </c>
      <c r="EZ54" s="2781">
        <f>SUM('ПОЛНАЯ СЕБЕСТОИМОСТЬ СТОКИ 2023'!BT172)</f>
        <v>0</v>
      </c>
      <c r="FA54" s="2781">
        <f>SUM('ПОЛНАЯ СЕБЕСТОИМОСТЬ СТОКИ 2023'!BU172)</f>
        <v>0</v>
      </c>
      <c r="FB54" s="2840">
        <f t="shared" si="514"/>
        <v>202.52797000000001</v>
      </c>
      <c r="FC54" s="2840">
        <v>201.84475</v>
      </c>
      <c r="FD54" s="2840">
        <v>0.68321999999999994</v>
      </c>
      <c r="FE54" s="2781">
        <f t="shared" si="476"/>
        <v>199.45342433185417</v>
      </c>
      <c r="FF54" s="2781">
        <f t="shared" si="477"/>
        <v>198.85375766518749</v>
      </c>
      <c r="FG54" s="2781">
        <f t="shared" si="478"/>
        <v>0.59966666666666668</v>
      </c>
      <c r="FH54" s="2781">
        <f t="shared" si="479"/>
        <v>0</v>
      </c>
      <c r="FI54" s="2781">
        <f>SUM('ПОЛНАЯ СЕБЕСТОИМОСТЬ СТОКИ 2023'!BW172)</f>
        <v>0</v>
      </c>
      <c r="FJ54" s="2781">
        <f>SUM('ПОЛНАЯ СЕБЕСТОИМОСТЬ СТОКИ 2023'!BX172)</f>
        <v>0</v>
      </c>
      <c r="FK54" s="2840">
        <f t="shared" si="515"/>
        <v>202.50799999999998</v>
      </c>
      <c r="FL54" s="2840">
        <v>201.71899999999999</v>
      </c>
      <c r="FM54" s="2840">
        <v>0.78900000000000003</v>
      </c>
      <c r="FN54" s="2869">
        <f t="shared" si="480"/>
        <v>598.36027299556247</v>
      </c>
      <c r="FO54" s="2869">
        <f t="shared" si="480"/>
        <v>596.56127299556249</v>
      </c>
      <c r="FP54" s="2869">
        <f t="shared" si="480"/>
        <v>1.7989999999999999</v>
      </c>
      <c r="FQ54" s="2869">
        <f t="shared" si="480"/>
        <v>0</v>
      </c>
      <c r="FR54" s="2869">
        <f t="shared" si="480"/>
        <v>0</v>
      </c>
      <c r="FS54" s="2869">
        <f t="shared" si="480"/>
        <v>0</v>
      </c>
      <c r="FT54" s="2869">
        <f t="shared" si="480"/>
        <v>593.0459699999999</v>
      </c>
      <c r="FU54" s="2869">
        <f t="shared" si="480"/>
        <v>591.04075</v>
      </c>
      <c r="FV54" s="2869">
        <f t="shared" si="480"/>
        <v>2.00522</v>
      </c>
      <c r="FW54" s="2805">
        <f t="shared" si="368"/>
        <v>-598.36027299556247</v>
      </c>
      <c r="FX54" s="2805">
        <f t="shared" si="368"/>
        <v>-596.56127299556249</v>
      </c>
      <c r="FY54" s="2805">
        <f t="shared" si="368"/>
        <v>-1.7989999999999999</v>
      </c>
      <c r="FZ54" s="4559">
        <f t="shared" si="481"/>
        <v>2393.4410919822499</v>
      </c>
      <c r="GA54" s="4559">
        <f t="shared" si="481"/>
        <v>2386.24509198225</v>
      </c>
      <c r="GB54" s="4559">
        <f t="shared" si="481"/>
        <v>7.1959999999999997</v>
      </c>
      <c r="GC54" s="2869">
        <f t="shared" si="481"/>
        <v>1916.2789499999999</v>
      </c>
      <c r="GD54" s="2869">
        <f t="shared" si="481"/>
        <v>1911.6159</v>
      </c>
      <c r="GE54" s="2869">
        <f t="shared" si="481"/>
        <v>4.6630499999999993</v>
      </c>
      <c r="GF54" s="2869">
        <f t="shared" si="481"/>
        <v>2356.6710199999998</v>
      </c>
      <c r="GG54" s="2869">
        <f t="shared" si="481"/>
        <v>2350.2292499999999</v>
      </c>
      <c r="GH54" s="2869">
        <f t="shared" si="481"/>
        <v>6.44177</v>
      </c>
      <c r="GI54" s="2805">
        <f t="shared" si="370"/>
        <v>-477.16214198224998</v>
      </c>
      <c r="GJ54" s="2805">
        <f t="shared" si="370"/>
        <v>-474.62919198224995</v>
      </c>
      <c r="GK54" s="2805">
        <f t="shared" si="370"/>
        <v>-2.5329500000000005</v>
      </c>
      <c r="GM54" s="3576">
        <f t="shared" si="371"/>
        <v>2393.4410919822499</v>
      </c>
    </row>
    <row r="55" spans="1:195" ht="18.75" customHeight="1" x14ac:dyDescent="0.3">
      <c r="A55" s="2784" t="s">
        <v>272</v>
      </c>
      <c r="B55" s="2781">
        <f t="shared" si="435"/>
        <v>1.0744092835372594</v>
      </c>
      <c r="C55" s="2781">
        <f>SUM('ПОЛНАЯ СЕБЕСТОИМОСТЬ СТОКИ 2023'!C173)/3</f>
        <v>1.0566592835372595</v>
      </c>
      <c r="D55" s="2781">
        <f>SUM('ПОЛНАЯ СЕБЕСТОИМОСТЬ СТОКИ 2023'!D173)/3</f>
        <v>1.7749999999999998E-2</v>
      </c>
      <c r="E55" s="2781">
        <f t="shared" si="436"/>
        <v>0</v>
      </c>
      <c r="F55" s="2781">
        <f>SUM('ПОЛНАЯ СЕБЕСТОИМОСТЬ СТОКИ 2023'!F173)</f>
        <v>0</v>
      </c>
      <c r="G55" s="2781">
        <f>SUM('ПОЛНАЯ СЕБЕСТОИМОСТЬ СТОКИ 2023'!G173)</f>
        <v>0</v>
      </c>
      <c r="H55" s="2840">
        <f t="shared" si="482"/>
        <v>5.9829999999999997</v>
      </c>
      <c r="I55" s="2840">
        <v>5.968</v>
      </c>
      <c r="J55" s="2840">
        <v>1.4999999999999999E-2</v>
      </c>
      <c r="K55" s="2781">
        <f t="shared" ref="K55:K60" si="516">SUM(L55:M55)</f>
        <v>1.0744092835372594</v>
      </c>
      <c r="L55" s="2781">
        <f t="shared" si="438"/>
        <v>1.0566592835372595</v>
      </c>
      <c r="M55" s="2781">
        <f t="shared" si="439"/>
        <v>1.7749999999999998E-2</v>
      </c>
      <c r="N55" s="2781">
        <f t="shared" si="440"/>
        <v>10.130459999999999</v>
      </c>
      <c r="O55" s="2781">
        <f>SUM('ПОЛНАЯ СЕБЕСТОИМОСТЬ СТОКИ 2023'!I173)</f>
        <v>10.104939999999999</v>
      </c>
      <c r="P55" s="2781">
        <f>SUM('ПОЛНАЯ СЕБЕСТОИМОСТЬ СТОКИ 2023'!J173)</f>
        <v>2.5520000000000001E-2</v>
      </c>
      <c r="Q55" s="2840">
        <f t="shared" si="505"/>
        <v>5.2538</v>
      </c>
      <c r="R55" s="2840">
        <v>5.2409999999999997</v>
      </c>
      <c r="S55" s="2840">
        <v>1.2800000000000001E-2</v>
      </c>
      <c r="T55" s="2781">
        <f t="shared" si="441"/>
        <v>1.0744092835372594</v>
      </c>
      <c r="U55" s="2781">
        <f t="shared" si="442"/>
        <v>1.0566592835372595</v>
      </c>
      <c r="V55" s="2781">
        <f t="shared" si="443"/>
        <v>1.7749999999999998E-2</v>
      </c>
      <c r="W55" s="2781">
        <f t="shared" si="444"/>
        <v>4.7711199999999998</v>
      </c>
      <c r="X55" s="2781">
        <f>SUM('ПОЛНАЯ СЕБЕСТОИМОСТЬ СТОКИ 2023'!L173)</f>
        <v>4.7569999999999997</v>
      </c>
      <c r="Y55" s="2781">
        <f>SUM('ПОЛНАЯ СЕБЕСТОИМОСТЬ СТОКИ 2023'!M173)</f>
        <v>1.4120000000000001E-2</v>
      </c>
      <c r="Z55" s="2840">
        <f t="shared" si="506"/>
        <v>5.7226699999999999</v>
      </c>
      <c r="AA55" s="2840">
        <v>5.70791</v>
      </c>
      <c r="AB55" s="2840">
        <v>1.4760000000000001E-2</v>
      </c>
      <c r="AC55" s="2869">
        <f t="shared" si="445"/>
        <v>3.223227850611778</v>
      </c>
      <c r="AD55" s="2869">
        <f t="shared" si="445"/>
        <v>3.1699778506117786</v>
      </c>
      <c r="AE55" s="2869">
        <f t="shared" si="445"/>
        <v>5.3249999999999992E-2</v>
      </c>
      <c r="AF55" s="2869">
        <f t="shared" si="445"/>
        <v>14.901579999999999</v>
      </c>
      <c r="AG55" s="2869">
        <f t="shared" si="445"/>
        <v>14.861939999999999</v>
      </c>
      <c r="AH55" s="2869">
        <f t="shared" si="445"/>
        <v>3.9640000000000002E-2</v>
      </c>
      <c r="AI55" s="2869">
        <f t="shared" si="445"/>
        <v>16.95947</v>
      </c>
      <c r="AJ55" s="2869">
        <f t="shared" si="445"/>
        <v>16.916910000000001</v>
      </c>
      <c r="AK55" s="2869">
        <f t="shared" si="445"/>
        <v>4.2560000000000001E-2</v>
      </c>
      <c r="AL55" s="2805">
        <f t="shared" si="358"/>
        <v>11.678352149388221</v>
      </c>
      <c r="AM55" s="2805">
        <f t="shared" si="358"/>
        <v>11.691962149388221</v>
      </c>
      <c r="AN55" s="2805">
        <f t="shared" si="358"/>
        <v>-1.360999999999999E-2</v>
      </c>
      <c r="AO55" s="2781">
        <f t="shared" si="446"/>
        <v>1.0744092835372594</v>
      </c>
      <c r="AP55" s="2781">
        <f>SUM('ПОЛНАЯ СЕБЕСТОИМОСТЬ СТОКИ 2023'!R173)/3</f>
        <v>1.0566592835372595</v>
      </c>
      <c r="AQ55" s="2781">
        <f>SUM('ПОЛНАЯ СЕБЕСТОИМОСТЬ СТОКИ 2023'!S173)/3</f>
        <v>1.7749999999999998E-2</v>
      </c>
      <c r="AR55" s="2781">
        <f t="shared" si="447"/>
        <v>4.2068099999999999</v>
      </c>
      <c r="AS55" s="2781">
        <f>SUM('ПОЛНАЯ СЕБЕСТОИМОСТЬ СТОКИ 2023'!U173)</f>
        <v>4.1986499999999998</v>
      </c>
      <c r="AT55" s="2781">
        <f>SUM('ПОЛНАЯ СЕБЕСТОИМОСТЬ СТОКИ 2023'!V173)</f>
        <v>8.1600000000000006E-3</v>
      </c>
      <c r="AU55" s="2840">
        <f t="shared" si="507"/>
        <v>4.8149999999999995</v>
      </c>
      <c r="AV55" s="2840">
        <v>4.8029999999999999</v>
      </c>
      <c r="AW55" s="2840">
        <v>1.2E-2</v>
      </c>
      <c r="AX55" s="2781">
        <f t="shared" si="448"/>
        <v>1.0744092835372594</v>
      </c>
      <c r="AY55" s="2781">
        <f t="shared" si="449"/>
        <v>1.0566592835372595</v>
      </c>
      <c r="AZ55" s="2781">
        <f t="shared" si="450"/>
        <v>1.7749999999999998E-2</v>
      </c>
      <c r="BA55" s="2836">
        <f t="shared" si="451"/>
        <v>5.4817099999999996</v>
      </c>
      <c r="BB55" s="2836">
        <f>SUM('ПОЛНАЯ СЕБЕСТОИМОСТЬ СТОКИ 2023'!X173)</f>
        <v>5.468</v>
      </c>
      <c r="BC55" s="2836">
        <f>SUM('ПОЛНАЯ СЕБЕСТОИМОСТЬ СТОКИ 2023'!Y173)</f>
        <v>1.371E-2</v>
      </c>
      <c r="BD55" s="2840">
        <f t="shared" si="508"/>
        <v>4.67659</v>
      </c>
      <c r="BE55" s="2840">
        <v>4.67</v>
      </c>
      <c r="BF55" s="2840">
        <v>6.5900000000000004E-3</v>
      </c>
      <c r="BG55" s="2781">
        <f t="shared" si="452"/>
        <v>1.0744092835372594</v>
      </c>
      <c r="BH55" s="2781">
        <f t="shared" si="453"/>
        <v>1.0566592835372595</v>
      </c>
      <c r="BI55" s="2781">
        <f t="shared" si="454"/>
        <v>1.7749999999999998E-2</v>
      </c>
      <c r="BJ55" s="2781">
        <f t="shared" ref="BJ55:BJ60" si="517">SUM(BK55:BL55)</f>
        <v>4.0857700000000001</v>
      </c>
      <c r="BK55" s="2781">
        <f>SUM('ПОЛНАЯ СЕБЕСТОИМОСТЬ СТОКИ 2023'!AA173)</f>
        <v>4.0731400000000004</v>
      </c>
      <c r="BL55" s="2781">
        <f>SUM('ПОЛНАЯ СЕБЕСТОИМОСТЬ СТОКИ 2023'!AB173)</f>
        <v>1.2630000000000001E-2</v>
      </c>
      <c r="BM55" s="2840">
        <f t="shared" si="509"/>
        <v>4.64649</v>
      </c>
      <c r="BN55" s="2840">
        <v>4.6294300000000002</v>
      </c>
      <c r="BO55" s="2840">
        <v>1.7059999999999999E-2</v>
      </c>
      <c r="BP55" s="2869">
        <f t="shared" si="456"/>
        <v>3.223227850611778</v>
      </c>
      <c r="BQ55" s="2869">
        <f t="shared" si="456"/>
        <v>3.1699778506117786</v>
      </c>
      <c r="BR55" s="2869">
        <f t="shared" si="456"/>
        <v>5.3249999999999992E-2</v>
      </c>
      <c r="BS55" s="2869">
        <f t="shared" si="456"/>
        <v>13.774290000000001</v>
      </c>
      <c r="BT55" s="2869">
        <f t="shared" si="456"/>
        <v>13.739790000000001</v>
      </c>
      <c r="BU55" s="2869">
        <f t="shared" si="456"/>
        <v>3.4500000000000003E-2</v>
      </c>
      <c r="BV55" s="2869">
        <f t="shared" si="456"/>
        <v>14.138079999999999</v>
      </c>
      <c r="BW55" s="2869">
        <f t="shared" si="456"/>
        <v>14.102429999999998</v>
      </c>
      <c r="BX55" s="2869">
        <f t="shared" si="456"/>
        <v>3.5650000000000001E-2</v>
      </c>
      <c r="BY55" s="2805">
        <f t="shared" si="360"/>
        <v>10.551062149388223</v>
      </c>
      <c r="BZ55" s="2805">
        <f t="shared" si="360"/>
        <v>10.569812149388223</v>
      </c>
      <c r="CA55" s="2805">
        <f t="shared" si="360"/>
        <v>-1.8749999999999989E-2</v>
      </c>
      <c r="CB55" s="2869">
        <f t="shared" si="457"/>
        <v>6.4464557012235559</v>
      </c>
      <c r="CC55" s="2869">
        <f t="shared" si="457"/>
        <v>6.3399557012235572</v>
      </c>
      <c r="CD55" s="2869">
        <f t="shared" si="457"/>
        <v>0.10649999999999998</v>
      </c>
      <c r="CE55" s="2869">
        <f t="shared" si="457"/>
        <v>28.67587</v>
      </c>
      <c r="CF55" s="2869">
        <f t="shared" si="457"/>
        <v>28.60173</v>
      </c>
      <c r="CG55" s="2869">
        <f t="shared" si="457"/>
        <v>7.4140000000000011E-2</v>
      </c>
      <c r="CH55" s="2887">
        <f t="shared" si="457"/>
        <v>31.097549999999998</v>
      </c>
      <c r="CI55" s="2887">
        <f t="shared" si="457"/>
        <v>31.01934</v>
      </c>
      <c r="CJ55" s="2887">
        <f t="shared" si="457"/>
        <v>7.8210000000000002E-2</v>
      </c>
      <c r="CK55" s="2805">
        <f t="shared" si="362"/>
        <v>22.229414298776444</v>
      </c>
      <c r="CL55" s="2805">
        <f t="shared" si="362"/>
        <v>22.261774298776444</v>
      </c>
      <c r="CM55" s="2805">
        <f t="shared" si="362"/>
        <v>-3.2359999999999972E-2</v>
      </c>
      <c r="CN55" s="2781">
        <f t="shared" si="458"/>
        <v>1.0744092835372594</v>
      </c>
      <c r="CO55" s="2781">
        <f>SUM('ПОЛНАЯ СЕБЕСТОИМОСТЬ СТОКИ 2023'!AP173)/3</f>
        <v>1.0566592835372595</v>
      </c>
      <c r="CP55" s="2781">
        <f>SUM('ПОЛНАЯ СЕБЕСТОИМОСТЬ СТОКИ 2023'!AQ173)/3</f>
        <v>1.7749999999999998E-2</v>
      </c>
      <c r="CQ55" s="2781">
        <f t="shared" si="459"/>
        <v>5.3123100000000001</v>
      </c>
      <c r="CR55" s="2781">
        <f>SUM('ПОЛНАЯ СЕБЕСТОИМОСТЬ СТОКИ 2023'!AS173)</f>
        <v>5.3037799999999997</v>
      </c>
      <c r="CS55" s="2781">
        <f>SUM('ПОЛНАЯ СЕБЕСТОИМОСТЬ СТОКИ 2023'!AT173)</f>
        <v>8.5299999999999994E-3</v>
      </c>
      <c r="CT55" s="2840">
        <f t="shared" si="510"/>
        <v>4.8599999999999994</v>
      </c>
      <c r="CU55" s="2840">
        <v>4.8449999999999998</v>
      </c>
      <c r="CV55" s="2840">
        <v>1.4999999999999999E-2</v>
      </c>
      <c r="CW55" s="2781">
        <f t="shared" si="460"/>
        <v>1.0744092835372594</v>
      </c>
      <c r="CX55" s="2781">
        <f t="shared" si="461"/>
        <v>1.0566592835372595</v>
      </c>
      <c r="CY55" s="2781">
        <f t="shared" si="462"/>
        <v>1.7749999999999998E-2</v>
      </c>
      <c r="CZ55" s="2781">
        <f t="shared" si="463"/>
        <v>0</v>
      </c>
      <c r="DA55" s="2781">
        <f>SUM('ПОЛНАЯ СЕБЕСТОИМОСТЬ СТОКИ 2023'!AV173)</f>
        <v>0</v>
      </c>
      <c r="DB55" s="2781">
        <f>SUM('ПОЛНАЯ СЕБЕСТОИМОСТЬ СТОКИ 2023'!AW173)</f>
        <v>0</v>
      </c>
      <c r="DC55" s="2840">
        <f t="shared" si="511"/>
        <v>5.58955</v>
      </c>
      <c r="DD55" s="2840">
        <v>5.5780000000000003</v>
      </c>
      <c r="DE55" s="2840">
        <v>1.155E-2</v>
      </c>
      <c r="DF55" s="2781">
        <f t="shared" si="464"/>
        <v>1.0744092835372594</v>
      </c>
      <c r="DG55" s="2781">
        <f t="shared" si="465"/>
        <v>1.0566592835372595</v>
      </c>
      <c r="DH55" s="2781">
        <f t="shared" si="466"/>
        <v>1.7749999999999998E-2</v>
      </c>
      <c r="DI55" s="2781">
        <f t="shared" si="467"/>
        <v>0</v>
      </c>
      <c r="DJ55" s="2781">
        <f>SUM('ПОЛНАЯ СЕБЕСТОИМОСТЬ СТОКИ 2023'!AY173)</f>
        <v>0</v>
      </c>
      <c r="DK55" s="2781">
        <f>SUM('ПОЛНАЯ СЕБЕСТОИМОСТЬ СТОКИ 2023'!AZ173)</f>
        <v>0</v>
      </c>
      <c r="DL55" s="2840">
        <f t="shared" si="512"/>
        <v>11.5267</v>
      </c>
      <c r="DM55" s="2840">
        <v>11.499000000000001</v>
      </c>
      <c r="DN55" s="2840">
        <v>2.7699999999999999E-2</v>
      </c>
      <c r="DO55" s="2869">
        <v>0.01</v>
      </c>
      <c r="DP55" s="2869">
        <f t="shared" si="468"/>
        <v>3.1699778506117786</v>
      </c>
      <c r="DQ55" s="2869">
        <f t="shared" si="468"/>
        <v>5.3249999999999992E-2</v>
      </c>
      <c r="DR55" s="2869">
        <f t="shared" si="468"/>
        <v>5.3123100000000001</v>
      </c>
      <c r="DS55" s="2869">
        <f t="shared" si="468"/>
        <v>5.3037799999999997</v>
      </c>
      <c r="DT55" s="2869">
        <f t="shared" si="468"/>
        <v>8.5299999999999994E-3</v>
      </c>
      <c r="DU55" s="2869">
        <f t="shared" si="468"/>
        <v>21.97625</v>
      </c>
      <c r="DV55" s="2869">
        <f t="shared" si="468"/>
        <v>21.922000000000001</v>
      </c>
      <c r="DW55" s="2869">
        <f t="shared" si="468"/>
        <v>5.4249999999999993E-2</v>
      </c>
      <c r="DX55" s="2805">
        <f t="shared" si="364"/>
        <v>5.3023100000000003</v>
      </c>
      <c r="DY55" s="2805">
        <f t="shared" si="364"/>
        <v>2.1338021493882211</v>
      </c>
      <c r="DZ55" s="2805">
        <f t="shared" si="364"/>
        <v>-4.4719999999999996E-2</v>
      </c>
      <c r="EA55" s="2869">
        <f t="shared" si="469"/>
        <v>6.4564557012235557</v>
      </c>
      <c r="EB55" s="2869">
        <f t="shared" si="469"/>
        <v>9.509933551835335</v>
      </c>
      <c r="EC55" s="2869">
        <f t="shared" si="469"/>
        <v>0.15974999999999998</v>
      </c>
      <c r="ED55" s="2869">
        <f t="shared" si="469"/>
        <v>33.98818</v>
      </c>
      <c r="EE55" s="2869">
        <f t="shared" si="469"/>
        <v>33.90551</v>
      </c>
      <c r="EF55" s="2869">
        <f t="shared" si="469"/>
        <v>8.2670000000000007E-2</v>
      </c>
      <c r="EG55" s="2869">
        <f t="shared" si="469"/>
        <v>53.073799999999999</v>
      </c>
      <c r="EH55" s="2869">
        <f t="shared" si="469"/>
        <v>52.941339999999997</v>
      </c>
      <c r="EI55" s="2869">
        <f t="shared" si="469"/>
        <v>0.13245999999999999</v>
      </c>
      <c r="EJ55" s="2805">
        <f t="shared" si="366"/>
        <v>27.531724298776446</v>
      </c>
      <c r="EK55" s="2805">
        <f t="shared" si="366"/>
        <v>24.395576448164665</v>
      </c>
      <c r="EL55" s="2805">
        <f t="shared" si="366"/>
        <v>-7.7079999999999968E-2</v>
      </c>
      <c r="EM55" s="2781">
        <f t="shared" ref="EM55:EM60" si="518">SUM(EN55:EO55)</f>
        <v>1.0744092835372594</v>
      </c>
      <c r="EN55" s="2781">
        <f>SUM('ПОЛНАЯ СЕБЕСТОИМОСТЬ СТОКИ 2023'!BN173)/3</f>
        <v>1.0566592835372595</v>
      </c>
      <c r="EO55" s="2781">
        <f>SUM('ПОЛНАЯ СЕБЕСТОИМОСТЬ СТОКИ 2023'!BO173)/3</f>
        <v>1.7749999999999998E-2</v>
      </c>
      <c r="EP55" s="2781">
        <f t="shared" si="471"/>
        <v>0</v>
      </c>
      <c r="EQ55" s="2781">
        <f>SUM('ПОЛНАЯ СЕБЕСТОИМОСТЬ СТОКИ 2023'!BQ173)</f>
        <v>0</v>
      </c>
      <c r="ER55" s="2781">
        <f>SUM('ПОЛНАЯ СЕБЕСТОИМОСТЬ СТОКИ 2023'!BR173)</f>
        <v>0</v>
      </c>
      <c r="ES55" s="2840">
        <f t="shared" si="513"/>
        <v>5.8476000000000008</v>
      </c>
      <c r="ET55" s="2840">
        <v>5.8310000000000004</v>
      </c>
      <c r="EU55" s="2840">
        <v>1.66E-2</v>
      </c>
      <c r="EV55" s="2781">
        <f t="shared" si="472"/>
        <v>1.0744092835372594</v>
      </c>
      <c r="EW55" s="2781">
        <f t="shared" si="473"/>
        <v>1.0566592835372595</v>
      </c>
      <c r="EX55" s="2781">
        <f t="shared" si="474"/>
        <v>1.7749999999999998E-2</v>
      </c>
      <c r="EY55" s="2781">
        <f t="shared" si="475"/>
        <v>0</v>
      </c>
      <c r="EZ55" s="2781">
        <f>SUM('ПОЛНАЯ СЕБЕСТОИМОСТЬ СТОКИ 2023'!BT173)</f>
        <v>0</v>
      </c>
      <c r="FA55" s="2781">
        <f>SUM('ПОЛНАЯ СЕБЕСТОИМОСТЬ СТОКИ 2023'!BU173)</f>
        <v>0</v>
      </c>
      <c r="FB55" s="2840">
        <f t="shared" si="514"/>
        <v>5.7096799999999996</v>
      </c>
      <c r="FC55" s="2840">
        <v>5.6904199999999996</v>
      </c>
      <c r="FD55" s="2840">
        <v>1.9259999999999999E-2</v>
      </c>
      <c r="FE55" s="2781">
        <f t="shared" si="476"/>
        <v>1.0744092835372594</v>
      </c>
      <c r="FF55" s="2781">
        <f t="shared" si="477"/>
        <v>1.0566592835372595</v>
      </c>
      <c r="FG55" s="2781">
        <f t="shared" si="478"/>
        <v>1.7749999999999998E-2</v>
      </c>
      <c r="FH55" s="2781">
        <f t="shared" si="479"/>
        <v>0</v>
      </c>
      <c r="FI55" s="2781">
        <f>SUM('ПОЛНАЯ СЕБЕСТОИМОСТЬ СТОКИ 2023'!BW173)</f>
        <v>0</v>
      </c>
      <c r="FJ55" s="2781">
        <f>SUM('ПОЛНАЯ СЕБЕСТОИМОСТЬ СТОКИ 2023'!BX173)</f>
        <v>0</v>
      </c>
      <c r="FK55" s="2840">
        <f t="shared" si="515"/>
        <v>5.9085999999999999</v>
      </c>
      <c r="FL55" s="2840">
        <v>5.8849999999999998</v>
      </c>
      <c r="FM55" s="2840">
        <v>2.3599999999999999E-2</v>
      </c>
      <c r="FN55" s="2869">
        <f t="shared" si="480"/>
        <v>3.223227850611778</v>
      </c>
      <c r="FO55" s="2869">
        <f t="shared" si="480"/>
        <v>3.1699778506117786</v>
      </c>
      <c r="FP55" s="2869">
        <f t="shared" si="480"/>
        <v>5.3249999999999992E-2</v>
      </c>
      <c r="FQ55" s="2869">
        <f t="shared" si="480"/>
        <v>0</v>
      </c>
      <c r="FR55" s="2869">
        <f t="shared" si="480"/>
        <v>0</v>
      </c>
      <c r="FS55" s="2869">
        <f t="shared" si="480"/>
        <v>0</v>
      </c>
      <c r="FT55" s="2869">
        <f t="shared" si="480"/>
        <v>17.465879999999999</v>
      </c>
      <c r="FU55" s="2869">
        <f t="shared" si="480"/>
        <v>17.406419999999997</v>
      </c>
      <c r="FV55" s="2869">
        <f t="shared" si="480"/>
        <v>5.9459999999999999E-2</v>
      </c>
      <c r="FW55" s="2805">
        <f t="shared" si="368"/>
        <v>-3.223227850611778</v>
      </c>
      <c r="FX55" s="2805">
        <f t="shared" si="368"/>
        <v>-3.1699778506117786</v>
      </c>
      <c r="FY55" s="2805">
        <f t="shared" si="368"/>
        <v>-5.3249999999999992E-2</v>
      </c>
      <c r="FZ55" s="4559">
        <f t="shared" si="481"/>
        <v>9.6796835518353337</v>
      </c>
      <c r="GA55" s="4559">
        <f t="shared" si="481"/>
        <v>12.679911402447114</v>
      </c>
      <c r="GB55" s="4559">
        <f t="shared" si="481"/>
        <v>0.21299999999999997</v>
      </c>
      <c r="GC55" s="2869">
        <f t="shared" si="481"/>
        <v>33.98818</v>
      </c>
      <c r="GD55" s="2869">
        <f t="shared" si="481"/>
        <v>33.90551</v>
      </c>
      <c r="GE55" s="2869">
        <f t="shared" si="481"/>
        <v>8.2670000000000007E-2</v>
      </c>
      <c r="GF55" s="2869">
        <f t="shared" si="481"/>
        <v>70.539680000000004</v>
      </c>
      <c r="GG55" s="2869">
        <f t="shared" si="481"/>
        <v>70.347759999999994</v>
      </c>
      <c r="GH55" s="2869">
        <f t="shared" si="481"/>
        <v>0.19191999999999998</v>
      </c>
      <c r="GI55" s="2805">
        <f t="shared" si="370"/>
        <v>24.308496448164668</v>
      </c>
      <c r="GJ55" s="2805">
        <f t="shared" si="370"/>
        <v>21.225598597552885</v>
      </c>
      <c r="GK55" s="2805">
        <f t="shared" si="370"/>
        <v>-0.13032999999999995</v>
      </c>
      <c r="GM55" s="3576">
        <f t="shared" si="371"/>
        <v>12.89291140244711</v>
      </c>
    </row>
    <row r="56" spans="1:195" ht="18.75" customHeight="1" x14ac:dyDescent="0.3">
      <c r="A56" s="2784" t="s">
        <v>1543</v>
      </c>
      <c r="B56" s="2781">
        <f t="shared" si="435"/>
        <v>4.4605915202412731</v>
      </c>
      <c r="C56" s="2781">
        <f>SUM('ПОЛНАЯ СЕБЕСТОИМОСТЬ СТОКИ 2023'!C174)/3</f>
        <v>4.4440915202412734</v>
      </c>
      <c r="D56" s="2781">
        <f>SUM('ПОЛНАЯ СЕБЕСТОИМОСТЬ СТОКИ 2023'!D174)/3</f>
        <v>1.6500000000000001E-2</v>
      </c>
      <c r="E56" s="2781">
        <f t="shared" si="436"/>
        <v>0</v>
      </c>
      <c r="F56" s="2781">
        <f>SUM('ПОЛНАЯ СЕБЕСТОИМОСТЬ СТОКИ 2023'!F174)</f>
        <v>0</v>
      </c>
      <c r="G56" s="2781">
        <f>SUM('ПОЛНАЯ СЕБЕСТОИМОСТЬ СТОКИ 2023'!G174)</f>
        <v>0</v>
      </c>
      <c r="H56" s="2840">
        <f t="shared" si="482"/>
        <v>9.4129999999999985</v>
      </c>
      <c r="I56" s="2840">
        <v>9.3889999999999993</v>
      </c>
      <c r="J56" s="2840">
        <v>2.4E-2</v>
      </c>
      <c r="K56" s="2781">
        <f t="shared" si="516"/>
        <v>4.4605915202412731</v>
      </c>
      <c r="L56" s="2781">
        <f t="shared" si="438"/>
        <v>4.4440915202412734</v>
      </c>
      <c r="M56" s="2781">
        <f t="shared" si="439"/>
        <v>1.6500000000000001E-2</v>
      </c>
      <c r="N56" s="2781">
        <f t="shared" ref="N56:N60" si="519">SUM(O56:P56)</f>
        <v>0</v>
      </c>
      <c r="O56" s="2781">
        <f>SUM('ПОЛНАЯ СЕБЕСТОИМОСТЬ СТОКИ 2023'!I174)</f>
        <v>0</v>
      </c>
      <c r="P56" s="2781">
        <f>SUM('ПОЛНАЯ СЕБЕСТОИМОСТЬ СТОКИ 2023'!J174)</f>
        <v>0</v>
      </c>
      <c r="Q56" s="2840">
        <f t="shared" si="505"/>
        <v>6.9569000000000001</v>
      </c>
      <c r="R56" s="2840">
        <v>6.94</v>
      </c>
      <c r="S56" s="2840">
        <v>1.6899999999999998E-2</v>
      </c>
      <c r="T56" s="2781">
        <f t="shared" si="441"/>
        <v>4.4605915202412731</v>
      </c>
      <c r="U56" s="2781">
        <f t="shared" si="442"/>
        <v>4.4440915202412734</v>
      </c>
      <c r="V56" s="2781">
        <f t="shared" si="443"/>
        <v>1.6500000000000001E-2</v>
      </c>
      <c r="W56" s="2781">
        <f t="shared" ref="W56:W60" si="520">SUM(X56:Y56)</f>
        <v>0</v>
      </c>
      <c r="X56" s="2781">
        <f>SUM('ПОЛНАЯ СЕБЕСТОИМОСТЬ СТОКИ 2023'!L174)</f>
        <v>0</v>
      </c>
      <c r="Y56" s="2781">
        <f>SUM('ПОЛНАЯ СЕБЕСТОИМОСТЬ СТОКИ 2023'!M174)</f>
        <v>0</v>
      </c>
      <c r="Z56" s="2840">
        <f t="shared" si="506"/>
        <v>6.4115000000000002</v>
      </c>
      <c r="AA56" s="2840">
        <v>6.3949100000000003</v>
      </c>
      <c r="AB56" s="2840">
        <v>1.6590000000000001E-2</v>
      </c>
      <c r="AC56" s="2869">
        <f t="shared" si="445"/>
        <v>13.381774560723819</v>
      </c>
      <c r="AD56" s="2869">
        <f t="shared" si="445"/>
        <v>13.332274560723821</v>
      </c>
      <c r="AE56" s="2869">
        <f t="shared" si="445"/>
        <v>4.9500000000000002E-2</v>
      </c>
      <c r="AF56" s="2869">
        <f t="shared" si="445"/>
        <v>0</v>
      </c>
      <c r="AG56" s="2869">
        <f t="shared" si="445"/>
        <v>0</v>
      </c>
      <c r="AH56" s="2869">
        <f t="shared" si="445"/>
        <v>0</v>
      </c>
      <c r="AI56" s="2869">
        <f t="shared" si="445"/>
        <v>22.781399999999998</v>
      </c>
      <c r="AJ56" s="2869">
        <f t="shared" si="445"/>
        <v>22.72391</v>
      </c>
      <c r="AK56" s="2869">
        <f t="shared" si="445"/>
        <v>5.7489999999999999E-2</v>
      </c>
      <c r="AL56" s="2805">
        <f t="shared" si="358"/>
        <v>-13.381774560723819</v>
      </c>
      <c r="AM56" s="2805">
        <f t="shared" si="358"/>
        <v>-13.332274560723821</v>
      </c>
      <c r="AN56" s="2805">
        <f t="shared" si="358"/>
        <v>-4.9500000000000002E-2</v>
      </c>
      <c r="AO56" s="2781">
        <f t="shared" ref="AO56:AO60" si="521">SUM(AP56:AQ56)</f>
        <v>4.4605915202412731</v>
      </c>
      <c r="AP56" s="2781">
        <f>SUM('ПОЛНАЯ СЕБЕСТОИМОСТЬ СТОКИ 2023'!R174)/3</f>
        <v>4.4440915202412734</v>
      </c>
      <c r="AQ56" s="2781">
        <f>SUM('ПОЛНАЯ СЕБЕСТОИМОСТЬ СТОКИ 2023'!S174)/3</f>
        <v>1.6500000000000001E-2</v>
      </c>
      <c r="AR56" s="2781">
        <f t="shared" si="447"/>
        <v>0</v>
      </c>
      <c r="AS56" s="2781">
        <f>SUM('ПОЛНАЯ СЕБЕСТОИМОСТЬ СТОКИ 2023'!U174)</f>
        <v>0</v>
      </c>
      <c r="AT56" s="2781">
        <f>SUM('ПОЛНАЯ СЕБЕСТОИМОСТЬ СТОКИ 2023'!V174)</f>
        <v>0</v>
      </c>
      <c r="AU56" s="2840">
        <f t="shared" si="507"/>
        <v>4.8879999999999999</v>
      </c>
      <c r="AV56" s="2840">
        <v>4.8760000000000003</v>
      </c>
      <c r="AW56" s="2840">
        <v>1.2E-2</v>
      </c>
      <c r="AX56" s="2781">
        <f t="shared" ref="AX56:AX60" si="522">SUM(AY56:AZ56)</f>
        <v>4.4605915202412731</v>
      </c>
      <c r="AY56" s="2781">
        <f t="shared" si="449"/>
        <v>4.4440915202412734</v>
      </c>
      <c r="AZ56" s="2781">
        <f t="shared" si="450"/>
        <v>1.6500000000000001E-2</v>
      </c>
      <c r="BA56" s="2836">
        <f t="shared" si="451"/>
        <v>0</v>
      </c>
      <c r="BB56" s="2836">
        <f>SUM('ПОЛНАЯ СЕБЕСТОИМОСТЬ СТОКИ 2023'!X174)</f>
        <v>0</v>
      </c>
      <c r="BC56" s="2836">
        <f>SUM('ПОЛНАЯ СЕБЕСТОИМОСТЬ СТОКИ 2023'!Y174)</f>
        <v>0</v>
      </c>
      <c r="BD56" s="2840">
        <f t="shared" si="508"/>
        <v>2.8327800000000001</v>
      </c>
      <c r="BE56" s="2840">
        <v>2.82884</v>
      </c>
      <c r="BF56" s="2840">
        <v>3.9399999999999999E-3</v>
      </c>
      <c r="BG56" s="2781">
        <f t="shared" si="452"/>
        <v>4.4605915202412731</v>
      </c>
      <c r="BH56" s="2781">
        <f t="shared" si="453"/>
        <v>4.4440915202412734</v>
      </c>
      <c r="BI56" s="2781">
        <f t="shared" si="454"/>
        <v>1.6500000000000001E-2</v>
      </c>
      <c r="BJ56" s="2781">
        <f t="shared" si="517"/>
        <v>0</v>
      </c>
      <c r="BK56" s="2781">
        <f>SUM('ПОЛНАЯ СЕБЕСТОИМОСТЬ СТОКИ 2023'!AA174)</f>
        <v>0</v>
      </c>
      <c r="BL56" s="2781">
        <f>SUM('ПОЛНАЯ СЕБЕСТОИМОСТЬ СТОКИ 2023'!AB174)</f>
        <v>0</v>
      </c>
      <c r="BM56" s="2840">
        <f t="shared" si="509"/>
        <v>0</v>
      </c>
      <c r="BN56" s="2840">
        <v>0</v>
      </c>
      <c r="BO56" s="2840">
        <v>0</v>
      </c>
      <c r="BP56" s="2869">
        <f t="shared" si="456"/>
        <v>13.381774560723819</v>
      </c>
      <c r="BQ56" s="2869">
        <f t="shared" si="456"/>
        <v>13.332274560723821</v>
      </c>
      <c r="BR56" s="2869">
        <f t="shared" si="456"/>
        <v>4.9500000000000002E-2</v>
      </c>
      <c r="BS56" s="2869">
        <f t="shared" si="456"/>
        <v>0</v>
      </c>
      <c r="BT56" s="2869">
        <f t="shared" si="456"/>
        <v>0</v>
      </c>
      <c r="BU56" s="2869">
        <f t="shared" si="456"/>
        <v>0</v>
      </c>
      <c r="BV56" s="2869">
        <f t="shared" si="456"/>
        <v>7.7207799999999995</v>
      </c>
      <c r="BW56" s="2869">
        <f t="shared" si="456"/>
        <v>7.7048400000000008</v>
      </c>
      <c r="BX56" s="2869">
        <f t="shared" si="456"/>
        <v>1.5939999999999999E-2</v>
      </c>
      <c r="BY56" s="2805">
        <f t="shared" si="360"/>
        <v>-13.381774560723819</v>
      </c>
      <c r="BZ56" s="2805">
        <f t="shared" si="360"/>
        <v>-13.332274560723821</v>
      </c>
      <c r="CA56" s="2805">
        <f t="shared" si="360"/>
        <v>-4.9500000000000002E-2</v>
      </c>
      <c r="CB56" s="2869">
        <f t="shared" si="457"/>
        <v>26.763549121447639</v>
      </c>
      <c r="CC56" s="2869">
        <f t="shared" si="457"/>
        <v>26.664549121447642</v>
      </c>
      <c r="CD56" s="2869">
        <f t="shared" si="457"/>
        <v>9.9000000000000005E-2</v>
      </c>
      <c r="CE56" s="2869">
        <f t="shared" si="457"/>
        <v>0</v>
      </c>
      <c r="CF56" s="2869">
        <f t="shared" si="457"/>
        <v>0</v>
      </c>
      <c r="CG56" s="2869">
        <f t="shared" si="457"/>
        <v>0</v>
      </c>
      <c r="CH56" s="2887">
        <f t="shared" si="457"/>
        <v>30.502179999999996</v>
      </c>
      <c r="CI56" s="2887">
        <f t="shared" si="457"/>
        <v>30.428750000000001</v>
      </c>
      <c r="CJ56" s="2887">
        <f t="shared" si="457"/>
        <v>7.3429999999999995E-2</v>
      </c>
      <c r="CK56" s="2805">
        <f t="shared" si="362"/>
        <v>-26.763549121447639</v>
      </c>
      <c r="CL56" s="2805">
        <f t="shared" si="362"/>
        <v>-26.664549121447642</v>
      </c>
      <c r="CM56" s="2805">
        <f t="shared" si="362"/>
        <v>-9.9000000000000005E-2</v>
      </c>
      <c r="CN56" s="2781">
        <f t="shared" si="458"/>
        <v>4.4605915202412731</v>
      </c>
      <c r="CO56" s="2781">
        <f>SUM('ПОЛНАЯ СЕБЕСТОИМОСТЬ СТОКИ 2023'!AP174)/3</f>
        <v>4.4440915202412734</v>
      </c>
      <c r="CP56" s="2781">
        <f>SUM('ПОЛНАЯ СЕБЕСТОИМОСТЬ СТОКИ 2023'!AQ174)/3</f>
        <v>1.6500000000000001E-2</v>
      </c>
      <c r="CQ56" s="2781">
        <f t="shared" si="459"/>
        <v>0</v>
      </c>
      <c r="CR56" s="2781">
        <f>SUM('ПОЛНАЯ СЕБЕСТОИМОСТЬ СТОКИ 2023'!AS174)</f>
        <v>0</v>
      </c>
      <c r="CS56" s="2781">
        <f>SUM('ПОЛНАЯ СЕБЕСТОИМОСТЬ СТОКИ 2023'!AT174)</f>
        <v>0</v>
      </c>
      <c r="CT56" s="2840">
        <f t="shared" si="510"/>
        <v>0</v>
      </c>
      <c r="CU56" s="2840">
        <v>0</v>
      </c>
      <c r="CV56" s="2840">
        <v>0</v>
      </c>
      <c r="CW56" s="2781">
        <f t="shared" si="460"/>
        <v>4.4605915202412731</v>
      </c>
      <c r="CX56" s="2781">
        <f t="shared" si="461"/>
        <v>4.4440915202412734</v>
      </c>
      <c r="CY56" s="2781">
        <f t="shared" si="462"/>
        <v>1.6500000000000001E-2</v>
      </c>
      <c r="CZ56" s="2781">
        <f t="shared" si="463"/>
        <v>0</v>
      </c>
      <c r="DA56" s="2781">
        <f>SUM('ПОЛНАЯ СЕБЕСТОИМОСТЬ СТОКИ 2023'!AV174)</f>
        <v>0</v>
      </c>
      <c r="DB56" s="2781">
        <f>SUM('ПОЛНАЯ СЕБЕСТОИМОСТЬ СТОКИ 2023'!AW174)</f>
        <v>0</v>
      </c>
      <c r="DC56" s="2840">
        <f t="shared" si="511"/>
        <v>0</v>
      </c>
      <c r="DD56" s="2840">
        <v>0</v>
      </c>
      <c r="DE56" s="2840">
        <v>0</v>
      </c>
      <c r="DF56" s="2781">
        <f t="shared" si="464"/>
        <v>4.4605915202412731</v>
      </c>
      <c r="DG56" s="2781">
        <f t="shared" si="465"/>
        <v>4.4440915202412734</v>
      </c>
      <c r="DH56" s="2781">
        <f t="shared" si="466"/>
        <v>1.6500000000000001E-2</v>
      </c>
      <c r="DI56" s="2781">
        <f t="shared" ref="DI56:DI60" si="523">SUM(DJ56:DK56)</f>
        <v>0</v>
      </c>
      <c r="DJ56" s="2781">
        <f>SUM('ПОЛНАЯ СЕБЕСТОИМОСТЬ СТОКИ 2023'!AY174)</f>
        <v>0</v>
      </c>
      <c r="DK56" s="2781">
        <f>SUM('ПОЛНАЯ СЕБЕСТОИМОСТЬ СТОКИ 2023'!AZ174)</f>
        <v>0</v>
      </c>
      <c r="DL56" s="2840">
        <f t="shared" si="512"/>
        <v>0.85605999999999993</v>
      </c>
      <c r="DM56" s="2840">
        <v>0.85399999999999998</v>
      </c>
      <c r="DN56" s="2840">
        <v>2.0600000000000002E-3</v>
      </c>
      <c r="DO56" s="2869">
        <f t="shared" si="468"/>
        <v>13.381774560723819</v>
      </c>
      <c r="DP56" s="2869">
        <f t="shared" si="468"/>
        <v>13.332274560723821</v>
      </c>
      <c r="DQ56" s="2869">
        <f t="shared" si="468"/>
        <v>4.9500000000000002E-2</v>
      </c>
      <c r="DR56" s="2869">
        <f t="shared" si="468"/>
        <v>0</v>
      </c>
      <c r="DS56" s="2869">
        <f t="shared" si="468"/>
        <v>0</v>
      </c>
      <c r="DT56" s="2869">
        <f t="shared" si="468"/>
        <v>0</v>
      </c>
      <c r="DU56" s="2869">
        <f t="shared" si="468"/>
        <v>0.85605999999999993</v>
      </c>
      <c r="DV56" s="2869">
        <f t="shared" si="468"/>
        <v>0.85399999999999998</v>
      </c>
      <c r="DW56" s="2869">
        <f t="shared" si="468"/>
        <v>2.0600000000000002E-3</v>
      </c>
      <c r="DX56" s="2805">
        <f t="shared" si="364"/>
        <v>-13.381774560723819</v>
      </c>
      <c r="DY56" s="2805">
        <f t="shared" si="364"/>
        <v>-13.332274560723821</v>
      </c>
      <c r="DZ56" s="2805">
        <f t="shared" si="364"/>
        <v>-4.9500000000000002E-2</v>
      </c>
      <c r="EA56" s="2869">
        <f t="shared" si="469"/>
        <v>40.145323682171458</v>
      </c>
      <c r="EB56" s="2869">
        <f t="shared" si="469"/>
        <v>39.996823682171467</v>
      </c>
      <c r="EC56" s="2869">
        <f t="shared" si="469"/>
        <v>0.14850000000000002</v>
      </c>
      <c r="ED56" s="2869">
        <f t="shared" si="469"/>
        <v>0</v>
      </c>
      <c r="EE56" s="2869">
        <f t="shared" si="469"/>
        <v>0</v>
      </c>
      <c r="EF56" s="2869">
        <f t="shared" si="469"/>
        <v>0</v>
      </c>
      <c r="EG56" s="2869">
        <f t="shared" si="469"/>
        <v>31.358239999999995</v>
      </c>
      <c r="EH56" s="2869">
        <f t="shared" si="469"/>
        <v>31.28275</v>
      </c>
      <c r="EI56" s="2869">
        <f t="shared" si="469"/>
        <v>7.5490000000000002E-2</v>
      </c>
      <c r="EJ56" s="2805">
        <f t="shared" si="366"/>
        <v>-40.145323682171458</v>
      </c>
      <c r="EK56" s="2805">
        <f t="shared" si="366"/>
        <v>-39.996823682171467</v>
      </c>
      <c r="EL56" s="2805">
        <f t="shared" si="366"/>
        <v>-0.14850000000000002</v>
      </c>
      <c r="EM56" s="2781">
        <f t="shared" si="518"/>
        <v>4.4605915202412731</v>
      </c>
      <c r="EN56" s="2781">
        <f>SUM('ПОЛНАЯ СЕБЕСТОИМОСТЬ СТОКИ 2023'!BN174)/3</f>
        <v>4.4440915202412734</v>
      </c>
      <c r="EO56" s="2781">
        <f>SUM('ПОЛНАЯ СЕБЕСТОИМОСТЬ СТОКИ 2023'!BO174)/3</f>
        <v>1.6500000000000001E-2</v>
      </c>
      <c r="EP56" s="2781">
        <f t="shared" si="471"/>
        <v>0</v>
      </c>
      <c r="EQ56" s="2781">
        <f>SUM('ПОЛНАЯ СЕБЕСТОИМОСТЬ СТОКИ 2023'!BQ174)</f>
        <v>0</v>
      </c>
      <c r="ER56" s="2781">
        <f>SUM('ПОЛНАЯ СЕБЕСТОИМОСТЬ СТОКИ 2023'!BR174)</f>
        <v>0</v>
      </c>
      <c r="ES56" s="2840">
        <f t="shared" si="513"/>
        <v>5.2198000000000002</v>
      </c>
      <c r="ET56" s="2840">
        <v>5.2050000000000001</v>
      </c>
      <c r="EU56" s="2840">
        <v>1.4800000000000001E-2</v>
      </c>
      <c r="EV56" s="2781">
        <f t="shared" si="472"/>
        <v>4.4605915202412731</v>
      </c>
      <c r="EW56" s="2781">
        <f t="shared" si="473"/>
        <v>4.4440915202412734</v>
      </c>
      <c r="EX56" s="2781">
        <f t="shared" si="474"/>
        <v>1.6500000000000001E-2</v>
      </c>
      <c r="EY56" s="2781">
        <f t="shared" si="475"/>
        <v>0</v>
      </c>
      <c r="EZ56" s="2781">
        <f>SUM('ПОЛНАЯ СЕБЕСТОИМОСТЬ СТОКИ 2023'!BT174)</f>
        <v>0</v>
      </c>
      <c r="FA56" s="2781">
        <f>SUM('ПОЛНАЯ СЕБЕСТОИМОСТЬ СТОКИ 2023'!BU174)</f>
        <v>0</v>
      </c>
      <c r="FB56" s="2840">
        <f t="shared" si="514"/>
        <v>0</v>
      </c>
      <c r="FC56" s="2840">
        <v>0</v>
      </c>
      <c r="FD56" s="2840">
        <v>0</v>
      </c>
      <c r="FE56" s="2781">
        <f t="shared" ref="FE56:FE60" si="524">SUM(FF56:FG56)</f>
        <v>4.4605915202412731</v>
      </c>
      <c r="FF56" s="2781">
        <f t="shared" si="477"/>
        <v>4.4440915202412734</v>
      </c>
      <c r="FG56" s="2781">
        <f t="shared" si="478"/>
        <v>1.6500000000000001E-2</v>
      </c>
      <c r="FH56" s="2781">
        <f t="shared" si="479"/>
        <v>0</v>
      </c>
      <c r="FI56" s="2781">
        <f>SUM('ПОЛНАЯ СЕБЕСТОИМОСТЬ СТОКИ 2023'!BW174)</f>
        <v>0</v>
      </c>
      <c r="FJ56" s="2781">
        <f>SUM('ПОЛНАЯ СЕБЕСТОИМОСТЬ СТОКИ 2023'!BX174)</f>
        <v>0</v>
      </c>
      <c r="FK56" s="2840">
        <f t="shared" si="515"/>
        <v>0</v>
      </c>
      <c r="FL56" s="2840">
        <v>0</v>
      </c>
      <c r="FM56" s="2840">
        <v>0</v>
      </c>
      <c r="FN56" s="2869">
        <f t="shared" si="480"/>
        <v>13.381774560723819</v>
      </c>
      <c r="FO56" s="2869">
        <f t="shared" si="480"/>
        <v>13.332274560723821</v>
      </c>
      <c r="FP56" s="2869">
        <f t="shared" si="480"/>
        <v>4.9500000000000002E-2</v>
      </c>
      <c r="FQ56" s="2869">
        <f t="shared" si="480"/>
        <v>0</v>
      </c>
      <c r="FR56" s="2869">
        <f t="shared" si="480"/>
        <v>0</v>
      </c>
      <c r="FS56" s="2869">
        <f t="shared" si="480"/>
        <v>0</v>
      </c>
      <c r="FT56" s="2869">
        <f t="shared" si="480"/>
        <v>5.2198000000000002</v>
      </c>
      <c r="FU56" s="2869">
        <f t="shared" si="480"/>
        <v>5.2050000000000001</v>
      </c>
      <c r="FV56" s="2869">
        <f t="shared" si="480"/>
        <v>1.4800000000000001E-2</v>
      </c>
      <c r="FW56" s="2805">
        <f t="shared" si="368"/>
        <v>-13.381774560723819</v>
      </c>
      <c r="FX56" s="2805">
        <f t="shared" si="368"/>
        <v>-13.332274560723821</v>
      </c>
      <c r="FY56" s="2805">
        <f t="shared" si="368"/>
        <v>-4.9500000000000002E-2</v>
      </c>
      <c r="FZ56" s="4559">
        <f t="shared" si="481"/>
        <v>53.527098242895278</v>
      </c>
      <c r="GA56" s="4559">
        <f t="shared" si="481"/>
        <v>53.329098242895284</v>
      </c>
      <c r="GB56" s="4559">
        <f t="shared" si="481"/>
        <v>0.19800000000000001</v>
      </c>
      <c r="GC56" s="2869">
        <f t="shared" si="481"/>
        <v>0</v>
      </c>
      <c r="GD56" s="2869">
        <f t="shared" si="481"/>
        <v>0</v>
      </c>
      <c r="GE56" s="2869">
        <f t="shared" si="481"/>
        <v>0</v>
      </c>
      <c r="GF56" s="2869">
        <f t="shared" si="481"/>
        <v>36.578039999999994</v>
      </c>
      <c r="GG56" s="2869">
        <f t="shared" si="481"/>
        <v>36.487749999999998</v>
      </c>
      <c r="GH56" s="2869">
        <f t="shared" si="481"/>
        <v>9.0290000000000009E-2</v>
      </c>
      <c r="GI56" s="2805">
        <f t="shared" si="370"/>
        <v>-53.527098242895278</v>
      </c>
      <c r="GJ56" s="2805">
        <f t="shared" si="370"/>
        <v>-53.329098242895284</v>
      </c>
      <c r="GK56" s="2805">
        <f t="shared" si="370"/>
        <v>-0.19800000000000001</v>
      </c>
      <c r="GM56" s="3576">
        <f t="shared" si="371"/>
        <v>53.527098242895278</v>
      </c>
    </row>
    <row r="57" spans="1:195" ht="18.75" customHeight="1" x14ac:dyDescent="0.3">
      <c r="A57" s="2784" t="s">
        <v>273</v>
      </c>
      <c r="B57" s="2781">
        <f t="shared" si="435"/>
        <v>5.2691354957163723</v>
      </c>
      <c r="C57" s="2781">
        <f>SUM('ПОЛНАЯ СЕБЕСТОИМОСТЬ СТОКИ 2023'!C175)/3</f>
        <v>5.2550521623830386</v>
      </c>
      <c r="D57" s="2781">
        <f>SUM('ПОЛНАЯ СЕБЕСТОИМОСТЬ СТОКИ 2023'!D175)/3</f>
        <v>1.4083333333333335E-2</v>
      </c>
      <c r="E57" s="2781">
        <f t="shared" si="436"/>
        <v>2.0329999999999999</v>
      </c>
      <c r="F57" s="2781">
        <f>SUM('ПОЛНАЯ СЕБЕСТОИМОСТЬ СТОКИ 2023'!F175)</f>
        <v>2.028</v>
      </c>
      <c r="G57" s="2781">
        <f>SUM('ПОЛНАЯ СЕБЕСТОИМОСТЬ СТОКИ 2023'!G175)</f>
        <v>5.0000000000000001E-3</v>
      </c>
      <c r="H57" s="2840">
        <f t="shared" si="482"/>
        <v>6.3940000000000001</v>
      </c>
      <c r="I57" s="2840">
        <v>6.3780000000000001</v>
      </c>
      <c r="J57" s="2840">
        <v>1.6E-2</v>
      </c>
      <c r="K57" s="2781">
        <f t="shared" si="516"/>
        <v>5.2691354957163723</v>
      </c>
      <c r="L57" s="2781">
        <f t="shared" si="438"/>
        <v>5.2550521623830386</v>
      </c>
      <c r="M57" s="2781">
        <f t="shared" si="439"/>
        <v>1.4083333333333335E-2</v>
      </c>
      <c r="N57" s="2781">
        <f t="shared" si="519"/>
        <v>2.1257000000000001</v>
      </c>
      <c r="O57" s="2781">
        <f>SUM('ПОЛНАЯ СЕБЕСТОИМОСТЬ СТОКИ 2023'!I175)</f>
        <v>2.1257000000000001</v>
      </c>
      <c r="P57" s="2781">
        <f>SUM('ПОЛНАЯ СЕБЕСТОИМОСТЬ СТОКИ 2023'!J175)</f>
        <v>0</v>
      </c>
      <c r="Q57" s="2840">
        <f t="shared" si="505"/>
        <v>6.2511999999999999</v>
      </c>
      <c r="R57" s="2840">
        <v>6.2359999999999998</v>
      </c>
      <c r="S57" s="2840">
        <v>1.52E-2</v>
      </c>
      <c r="T57" s="2781">
        <f t="shared" ref="T57:T60" si="525">SUM(U57:V57)</f>
        <v>5.2691354957163723</v>
      </c>
      <c r="U57" s="2781">
        <f t="shared" si="442"/>
        <v>5.2550521623830386</v>
      </c>
      <c r="V57" s="2781">
        <f t="shared" si="443"/>
        <v>1.4083333333333335E-2</v>
      </c>
      <c r="W57" s="2781">
        <f t="shared" si="520"/>
        <v>2.0691200000000003</v>
      </c>
      <c r="X57" s="2781">
        <f>SUM('ПОЛНАЯ СЕБЕСТОИМОСТЬ СТОКИ 2023'!L175)</f>
        <v>2.0630000000000002</v>
      </c>
      <c r="Y57" s="2781">
        <f>SUM('ПОЛНАЯ СЕБЕСТОИМОСТЬ СТОКИ 2023'!M175)</f>
        <v>6.1199999999999996E-3</v>
      </c>
      <c r="Z57" s="2840">
        <f t="shared" si="506"/>
        <v>6.3989799999999999</v>
      </c>
      <c r="AA57" s="2840">
        <v>6.3819999999999997</v>
      </c>
      <c r="AB57" s="2840">
        <v>1.6979999999999999E-2</v>
      </c>
      <c r="AC57" s="2869">
        <f t="shared" si="445"/>
        <v>15.807406487149116</v>
      </c>
      <c r="AD57" s="2869">
        <f t="shared" si="445"/>
        <v>15.765156487149117</v>
      </c>
      <c r="AE57" s="2869">
        <f t="shared" si="445"/>
        <v>4.2250000000000003E-2</v>
      </c>
      <c r="AF57" s="2869">
        <f t="shared" si="445"/>
        <v>6.2278199999999995</v>
      </c>
      <c r="AG57" s="2869">
        <f t="shared" si="445"/>
        <v>6.2167000000000012</v>
      </c>
      <c r="AH57" s="2869">
        <f t="shared" si="445"/>
        <v>1.112E-2</v>
      </c>
      <c r="AI57" s="2869">
        <f t="shared" si="445"/>
        <v>19.044179999999997</v>
      </c>
      <c r="AJ57" s="2869">
        <f t="shared" si="445"/>
        <v>18.996000000000002</v>
      </c>
      <c r="AK57" s="2869">
        <f t="shared" si="445"/>
        <v>4.8180000000000001E-2</v>
      </c>
      <c r="AL57" s="2805">
        <f t="shared" si="358"/>
        <v>-9.5795864871491165</v>
      </c>
      <c r="AM57" s="2805">
        <f t="shared" si="358"/>
        <v>-9.5484564871491155</v>
      </c>
      <c r="AN57" s="2805">
        <f t="shared" si="358"/>
        <v>-3.1130000000000005E-2</v>
      </c>
      <c r="AO57" s="2781">
        <f t="shared" si="521"/>
        <v>5.2691354957163723</v>
      </c>
      <c r="AP57" s="2781">
        <f>SUM('ПОЛНАЯ СЕБЕСТОИМОСТЬ СТОКИ 2023'!R175)/3</f>
        <v>5.2550521623830386</v>
      </c>
      <c r="AQ57" s="2781">
        <f>SUM('ПОЛНАЯ СЕБЕСТОИМОСТЬ СТОКИ 2023'!S175)/3</f>
        <v>1.4083333333333335E-2</v>
      </c>
      <c r="AR57" s="2781">
        <f t="shared" si="447"/>
        <v>1.9377599999999999</v>
      </c>
      <c r="AS57" s="2781">
        <f>SUM('ПОЛНАЯ СЕБЕСТОИМОСТЬ СТОКИ 2023'!U175)</f>
        <v>1.9339999999999999</v>
      </c>
      <c r="AT57" s="2781">
        <f>SUM('ПОЛНАЯ СЕБЕСТОИМОСТЬ СТОКИ 2023'!V175)</f>
        <v>3.7599999999999999E-3</v>
      </c>
      <c r="AU57" s="2840">
        <f t="shared" si="507"/>
        <v>4.6429999999999998</v>
      </c>
      <c r="AV57" s="2840">
        <v>4.6310000000000002</v>
      </c>
      <c r="AW57" s="2840">
        <v>1.2E-2</v>
      </c>
      <c r="AX57" s="2781">
        <f t="shared" si="522"/>
        <v>5.2691354957163723</v>
      </c>
      <c r="AY57" s="2781">
        <f t="shared" si="449"/>
        <v>5.2550521623830386</v>
      </c>
      <c r="AZ57" s="2781">
        <f t="shared" si="450"/>
        <v>1.4083333333333335E-2</v>
      </c>
      <c r="BA57" s="2836">
        <f t="shared" ref="BA57:BA60" si="526">SUM(BB57:BC57)</f>
        <v>2.1173000000000002</v>
      </c>
      <c r="BB57" s="2836">
        <f>SUM('ПОЛНАЯ СЕБЕСТОИМОСТЬ СТОКИ 2023'!X175)</f>
        <v>2.1120000000000001</v>
      </c>
      <c r="BC57" s="2836">
        <f>SUM('ПОЛНАЯ СЕБЕСТОИМОСТЬ СТОКИ 2023'!Y175)</f>
        <v>5.3E-3</v>
      </c>
      <c r="BD57" s="2840">
        <f t="shared" si="508"/>
        <v>4.0036399999999999</v>
      </c>
      <c r="BE57" s="2840">
        <v>3.9980000000000002</v>
      </c>
      <c r="BF57" s="2840">
        <v>5.64E-3</v>
      </c>
      <c r="BG57" s="2781">
        <f t="shared" ref="BG57:BG60" si="527">SUM(BH57:BI57)</f>
        <v>5.2691354957163723</v>
      </c>
      <c r="BH57" s="2781">
        <f t="shared" si="453"/>
        <v>5.2550521623830386</v>
      </c>
      <c r="BI57" s="2781">
        <f t="shared" si="454"/>
        <v>1.4083333333333335E-2</v>
      </c>
      <c r="BJ57" s="2781">
        <f t="shared" si="517"/>
        <v>5.0655099999999997</v>
      </c>
      <c r="BK57" s="2781">
        <f>SUM('ПОЛНАЯ СЕБЕСТОИМОСТЬ СТОКИ 2023'!AA175)</f>
        <v>5.0498500000000002</v>
      </c>
      <c r="BL57" s="2781">
        <f>SUM('ПОЛНАЯ СЕБЕСТОИМОСТЬ СТОКИ 2023'!AB175)</f>
        <v>1.566E-2</v>
      </c>
      <c r="BM57" s="2840">
        <f t="shared" si="509"/>
        <v>4.5476600000000005</v>
      </c>
      <c r="BN57" s="2840">
        <v>4.5320600000000004</v>
      </c>
      <c r="BO57" s="2840">
        <v>1.5599999999999999E-2</v>
      </c>
      <c r="BP57" s="2869">
        <f t="shared" si="456"/>
        <v>15.807406487149116</v>
      </c>
      <c r="BQ57" s="2869">
        <f t="shared" si="456"/>
        <v>15.765156487149117</v>
      </c>
      <c r="BR57" s="2869">
        <f t="shared" si="456"/>
        <v>4.2250000000000003E-2</v>
      </c>
      <c r="BS57" s="2869">
        <f t="shared" si="456"/>
        <v>9.1205700000000007</v>
      </c>
      <c r="BT57" s="2869">
        <f t="shared" si="456"/>
        <v>9.0958500000000004</v>
      </c>
      <c r="BU57" s="2869">
        <f t="shared" si="456"/>
        <v>2.4719999999999999E-2</v>
      </c>
      <c r="BV57" s="2869">
        <f t="shared" si="456"/>
        <v>13.1943</v>
      </c>
      <c r="BW57" s="2869">
        <f t="shared" si="456"/>
        <v>13.161060000000003</v>
      </c>
      <c r="BX57" s="2869">
        <f t="shared" si="456"/>
        <v>3.3239999999999999E-2</v>
      </c>
      <c r="BY57" s="2805">
        <f t="shared" si="360"/>
        <v>-6.6868364871491153</v>
      </c>
      <c r="BZ57" s="2805">
        <f t="shared" si="360"/>
        <v>-6.6693064871491163</v>
      </c>
      <c r="CA57" s="2805">
        <f t="shared" si="360"/>
        <v>-1.7530000000000004E-2</v>
      </c>
      <c r="CB57" s="2869">
        <f t="shared" si="457"/>
        <v>31.614812974298232</v>
      </c>
      <c r="CC57" s="2869">
        <f t="shared" si="457"/>
        <v>31.530312974298234</v>
      </c>
      <c r="CD57" s="2869">
        <f t="shared" si="457"/>
        <v>8.4500000000000006E-2</v>
      </c>
      <c r="CE57" s="2869">
        <f t="shared" si="457"/>
        <v>15.34839</v>
      </c>
      <c r="CF57" s="2869">
        <f t="shared" si="457"/>
        <v>15.312550000000002</v>
      </c>
      <c r="CG57" s="2869">
        <f t="shared" si="457"/>
        <v>3.5839999999999997E-2</v>
      </c>
      <c r="CH57" s="2887">
        <f t="shared" si="457"/>
        <v>32.238479999999996</v>
      </c>
      <c r="CI57" s="2887">
        <f t="shared" si="457"/>
        <v>32.157060000000001</v>
      </c>
      <c r="CJ57" s="2887">
        <f t="shared" si="457"/>
        <v>8.1419999999999992E-2</v>
      </c>
      <c r="CK57" s="2805">
        <f t="shared" si="362"/>
        <v>-16.26642297429823</v>
      </c>
      <c r="CL57" s="2805">
        <f t="shared" si="362"/>
        <v>-16.217762974298232</v>
      </c>
      <c r="CM57" s="2805">
        <f t="shared" si="362"/>
        <v>-4.8660000000000009E-2</v>
      </c>
      <c r="CN57" s="2781">
        <f t="shared" si="458"/>
        <v>5.2691354957163723</v>
      </c>
      <c r="CO57" s="2781">
        <f>SUM('ПОЛНАЯ СЕБЕСТОИМОСТЬ СТОКИ 2023'!AP175)/3</f>
        <v>5.2550521623830386</v>
      </c>
      <c r="CP57" s="2781">
        <f>SUM('ПОЛНАЯ СЕБЕСТОИМОСТЬ СТОКИ 2023'!AQ175)/3</f>
        <v>1.4083333333333335E-2</v>
      </c>
      <c r="CQ57" s="2781">
        <f t="shared" si="459"/>
        <v>5.22628</v>
      </c>
      <c r="CR57" s="2781">
        <f>SUM('ПОЛНАЯ СЕБЕСТОИМОСТЬ СТОКИ 2023'!AS175)</f>
        <v>5.2178899999999997</v>
      </c>
      <c r="CS57" s="2781">
        <f>SUM('ПОЛНАЯ СЕБЕСТОИМОСТЬ СТОКИ 2023'!AT175)</f>
        <v>8.3899999999999999E-3</v>
      </c>
      <c r="CT57" s="2840">
        <f t="shared" si="510"/>
        <v>4.8009999999999993</v>
      </c>
      <c r="CU57" s="2840">
        <v>4.7859999999999996</v>
      </c>
      <c r="CV57" s="2840">
        <v>1.4999999999999999E-2</v>
      </c>
      <c r="CW57" s="2781">
        <f t="shared" ref="CW57:CW60" si="528">SUM(CX57:CY57)</f>
        <v>5.2691354957163723</v>
      </c>
      <c r="CX57" s="2781">
        <f t="shared" si="461"/>
        <v>5.2550521623830386</v>
      </c>
      <c r="CY57" s="2781">
        <f t="shared" si="462"/>
        <v>1.4083333333333335E-2</v>
      </c>
      <c r="CZ57" s="2781">
        <f t="shared" si="463"/>
        <v>0</v>
      </c>
      <c r="DA57" s="2781">
        <f>SUM('ПОЛНАЯ СЕБЕСТОИМОСТЬ СТОКИ 2023'!AV175)</f>
        <v>0</v>
      </c>
      <c r="DB57" s="2781">
        <f>SUM('ПОЛНАЯ СЕБЕСТОИМОСТЬ СТОКИ 2023'!AW175)</f>
        <v>0</v>
      </c>
      <c r="DC57" s="2840">
        <f t="shared" si="511"/>
        <v>4.4682199999999996</v>
      </c>
      <c r="DD57" s="2840">
        <v>4.4589999999999996</v>
      </c>
      <c r="DE57" s="2840">
        <v>9.2200000000000008E-3</v>
      </c>
      <c r="DF57" s="2781">
        <f t="shared" ref="DF57:DF60" si="529">SUM(DG57:DH57)</f>
        <v>5.2691354957163723</v>
      </c>
      <c r="DG57" s="2781">
        <f t="shared" si="465"/>
        <v>5.2550521623830386</v>
      </c>
      <c r="DH57" s="2781">
        <f t="shared" si="466"/>
        <v>1.4083333333333335E-2</v>
      </c>
      <c r="DI57" s="2781">
        <f t="shared" si="523"/>
        <v>0</v>
      </c>
      <c r="DJ57" s="2781">
        <f>SUM('ПОЛНАЯ СЕБЕСТОИМОСТЬ СТОКИ 2023'!AY175)</f>
        <v>0</v>
      </c>
      <c r="DK57" s="2781">
        <f>SUM('ПОЛНАЯ СЕБЕСТОИМОСТЬ СТОКИ 2023'!AZ175)</f>
        <v>0</v>
      </c>
      <c r="DL57" s="2840">
        <f t="shared" si="512"/>
        <v>4.71333</v>
      </c>
      <c r="DM57" s="2840">
        <v>4.702</v>
      </c>
      <c r="DN57" s="2840">
        <v>1.133E-2</v>
      </c>
      <c r="DO57" s="2869">
        <f t="shared" si="468"/>
        <v>15.807406487149116</v>
      </c>
      <c r="DP57" s="2869">
        <f t="shared" si="468"/>
        <v>15.765156487149117</v>
      </c>
      <c r="DQ57" s="2869">
        <f t="shared" si="468"/>
        <v>4.2250000000000003E-2</v>
      </c>
      <c r="DR57" s="2869">
        <f t="shared" si="468"/>
        <v>5.22628</v>
      </c>
      <c r="DS57" s="2869">
        <f t="shared" si="468"/>
        <v>5.2178899999999997</v>
      </c>
      <c r="DT57" s="2869">
        <f t="shared" si="468"/>
        <v>8.3899999999999999E-3</v>
      </c>
      <c r="DU57" s="2869">
        <f t="shared" si="468"/>
        <v>13.98255</v>
      </c>
      <c r="DV57" s="2869">
        <f t="shared" si="468"/>
        <v>13.946999999999999</v>
      </c>
      <c r="DW57" s="2869">
        <f t="shared" si="468"/>
        <v>3.5549999999999998E-2</v>
      </c>
      <c r="DX57" s="2805">
        <f t="shared" si="364"/>
        <v>-10.581126487149117</v>
      </c>
      <c r="DY57" s="2805">
        <f t="shared" si="364"/>
        <v>-10.547266487149116</v>
      </c>
      <c r="DZ57" s="2805">
        <f t="shared" si="364"/>
        <v>-3.3860000000000001E-2</v>
      </c>
      <c r="EA57" s="2869">
        <f t="shared" si="469"/>
        <v>47.422219461447348</v>
      </c>
      <c r="EB57" s="2869">
        <f t="shared" si="469"/>
        <v>47.295469461447354</v>
      </c>
      <c r="EC57" s="2869">
        <f t="shared" si="469"/>
        <v>0.12675</v>
      </c>
      <c r="ED57" s="2869">
        <f t="shared" si="469"/>
        <v>20.574670000000001</v>
      </c>
      <c r="EE57" s="2869">
        <f t="shared" si="469"/>
        <v>20.530440000000002</v>
      </c>
      <c r="EF57" s="2869">
        <f t="shared" si="469"/>
        <v>4.4229999999999998E-2</v>
      </c>
      <c r="EG57" s="2869">
        <f t="shared" si="469"/>
        <v>46.221029999999999</v>
      </c>
      <c r="EH57" s="2869">
        <f t="shared" si="469"/>
        <v>46.104060000000004</v>
      </c>
      <c r="EI57" s="2869">
        <f t="shared" si="469"/>
        <v>0.11696999999999999</v>
      </c>
      <c r="EJ57" s="2805">
        <f t="shared" si="366"/>
        <v>-26.847549461447347</v>
      </c>
      <c r="EK57" s="2805">
        <f t="shared" si="366"/>
        <v>-26.765029461447352</v>
      </c>
      <c r="EL57" s="2805">
        <f t="shared" si="366"/>
        <v>-8.252000000000001E-2</v>
      </c>
      <c r="EM57" s="2781">
        <f t="shared" si="518"/>
        <v>5.2691354957163723</v>
      </c>
      <c r="EN57" s="2781">
        <f>SUM('ПОЛНАЯ СЕБЕСТОИМОСТЬ СТОКИ 2023'!BN175)/3</f>
        <v>5.2550521623830386</v>
      </c>
      <c r="EO57" s="2781">
        <f>SUM('ПОЛНАЯ СЕБЕСТОИМОСТЬ СТОКИ 2023'!BO175)/3</f>
        <v>1.4083333333333335E-2</v>
      </c>
      <c r="EP57" s="2781">
        <f t="shared" si="471"/>
        <v>0</v>
      </c>
      <c r="EQ57" s="2781">
        <f>SUM('ПОЛНАЯ СЕБЕСТОИМОСТЬ СТОКИ 2023'!BQ175)</f>
        <v>0</v>
      </c>
      <c r="ER57" s="2781">
        <f>SUM('ПОЛНАЯ СЕБЕСТОИМОСТЬ СТОКИ 2023'!BR175)</f>
        <v>0</v>
      </c>
      <c r="ES57" s="2840">
        <f t="shared" si="513"/>
        <v>4.8396999999999997</v>
      </c>
      <c r="ET57" s="2840">
        <v>4.8259999999999996</v>
      </c>
      <c r="EU57" s="2840">
        <v>1.37E-2</v>
      </c>
      <c r="EV57" s="2781">
        <f t="shared" ref="EV57:EV60" si="530">SUM(EW57:EX57)</f>
        <v>5.2691354957163723</v>
      </c>
      <c r="EW57" s="2781">
        <f t="shared" si="473"/>
        <v>5.2550521623830386</v>
      </c>
      <c r="EX57" s="2781">
        <f t="shared" si="474"/>
        <v>1.4083333333333335E-2</v>
      </c>
      <c r="EY57" s="2781">
        <f t="shared" si="475"/>
        <v>0</v>
      </c>
      <c r="EZ57" s="2781">
        <f>SUM('ПОЛНАЯ СЕБЕСТОИМОСТЬ СТОКИ 2023'!BT175)</f>
        <v>0</v>
      </c>
      <c r="FA57" s="2781">
        <f>SUM('ПОЛНАЯ СЕБЕСТОИМОСТЬ СТОКИ 2023'!BU175)</f>
        <v>0</v>
      </c>
      <c r="FB57" s="2840">
        <f t="shared" si="514"/>
        <v>1.92831</v>
      </c>
      <c r="FC57" s="2840">
        <v>1.9218</v>
      </c>
      <c r="FD57" s="2840">
        <v>6.5100000000000002E-3</v>
      </c>
      <c r="FE57" s="2781">
        <f t="shared" si="524"/>
        <v>5.2691354957163723</v>
      </c>
      <c r="FF57" s="2781">
        <f t="shared" si="477"/>
        <v>5.2550521623830386</v>
      </c>
      <c r="FG57" s="2781">
        <f t="shared" si="478"/>
        <v>1.4083333333333335E-2</v>
      </c>
      <c r="FH57" s="2781">
        <f t="shared" si="479"/>
        <v>0</v>
      </c>
      <c r="FI57" s="2781">
        <f>SUM('ПОЛНАЯ СЕБЕСТОИМОСТЬ СТОКИ 2023'!BW175)</f>
        <v>0</v>
      </c>
      <c r="FJ57" s="2781">
        <f>SUM('ПОЛНАЯ СЕБЕСТОИМОСТЬ СТОКИ 2023'!BX175)</f>
        <v>0</v>
      </c>
      <c r="FK57" s="2840">
        <f t="shared" si="515"/>
        <v>2.1579999999999999</v>
      </c>
      <c r="FL57" s="2840">
        <v>2.149</v>
      </c>
      <c r="FM57" s="2840">
        <v>8.9999999999999993E-3</v>
      </c>
      <c r="FN57" s="2869">
        <f t="shared" si="480"/>
        <v>15.807406487149116</v>
      </c>
      <c r="FO57" s="2869">
        <f t="shared" si="480"/>
        <v>15.765156487149117</v>
      </c>
      <c r="FP57" s="2869">
        <f t="shared" si="480"/>
        <v>4.2250000000000003E-2</v>
      </c>
      <c r="FQ57" s="2869">
        <f t="shared" si="480"/>
        <v>0</v>
      </c>
      <c r="FR57" s="2869">
        <f t="shared" si="480"/>
        <v>0</v>
      </c>
      <c r="FS57" s="2869">
        <f t="shared" si="480"/>
        <v>0</v>
      </c>
      <c r="FT57" s="2869">
        <f t="shared" si="480"/>
        <v>8.9260099999999998</v>
      </c>
      <c r="FU57" s="2869">
        <f t="shared" si="480"/>
        <v>8.8967999999999989</v>
      </c>
      <c r="FV57" s="2869">
        <f t="shared" si="480"/>
        <v>2.921E-2</v>
      </c>
      <c r="FW57" s="2805">
        <f t="shared" si="368"/>
        <v>-15.807406487149116</v>
      </c>
      <c r="FX57" s="2805">
        <f t="shared" si="368"/>
        <v>-15.765156487149117</v>
      </c>
      <c r="FY57" s="2805">
        <f t="shared" si="368"/>
        <v>-4.2250000000000003E-2</v>
      </c>
      <c r="FZ57" s="4559">
        <f t="shared" si="481"/>
        <v>63.229625948596464</v>
      </c>
      <c r="GA57" s="4559">
        <f t="shared" si="481"/>
        <v>63.060625948596467</v>
      </c>
      <c r="GB57" s="4559">
        <f t="shared" si="481"/>
        <v>0.16900000000000001</v>
      </c>
      <c r="GC57" s="2869">
        <f t="shared" si="481"/>
        <v>20.574670000000001</v>
      </c>
      <c r="GD57" s="2869">
        <f t="shared" si="481"/>
        <v>20.530440000000002</v>
      </c>
      <c r="GE57" s="2869">
        <f t="shared" si="481"/>
        <v>4.4229999999999998E-2</v>
      </c>
      <c r="GF57" s="2869">
        <f t="shared" si="481"/>
        <v>55.147039999999997</v>
      </c>
      <c r="GG57" s="2869">
        <f t="shared" si="481"/>
        <v>55.000860000000003</v>
      </c>
      <c r="GH57" s="2869">
        <f t="shared" si="481"/>
        <v>0.14617999999999998</v>
      </c>
      <c r="GI57" s="2805">
        <f t="shared" si="370"/>
        <v>-42.654955948596466</v>
      </c>
      <c r="GJ57" s="2805">
        <f t="shared" si="370"/>
        <v>-42.530185948596468</v>
      </c>
      <c r="GK57" s="2805">
        <f t="shared" si="370"/>
        <v>-0.12477000000000002</v>
      </c>
      <c r="GM57" s="3576">
        <f t="shared" si="371"/>
        <v>63.229625948596457</v>
      </c>
    </row>
    <row r="58" spans="1:195" ht="18.75" customHeight="1" x14ac:dyDescent="0.3">
      <c r="A58" s="2784" t="s">
        <v>3709</v>
      </c>
      <c r="B58" s="2781">
        <f t="shared" si="435"/>
        <v>158.51276390913208</v>
      </c>
      <c r="C58" s="2781">
        <f>SUM('ПОЛНАЯ СЕБЕСТОИМОСТЬ СТОКИ 2023'!C176)/3</f>
        <v>153.84401390913209</v>
      </c>
      <c r="D58" s="2781">
        <f>SUM('ПОЛНАЯ СЕБЕСТОИМОСТЬ СТОКИ 2023'!D176)/3</f>
        <v>4.6687500000000002</v>
      </c>
      <c r="E58" s="2781">
        <f t="shared" si="436"/>
        <v>331.70526000000001</v>
      </c>
      <c r="F58" s="2781">
        <f>SUM('ПОЛНАЯ СЕБЕСТОИМОСТЬ СТОКИ 2023'!F176)</f>
        <v>330.88900000000001</v>
      </c>
      <c r="G58" s="2781">
        <f>SUM('ПОЛНАЯ СЕБЕСТОИМОСТЬ СТОКИ 2023'!G176)</f>
        <v>0.81625999999999999</v>
      </c>
      <c r="H58" s="2840">
        <f t="shared" si="482"/>
        <v>91.874410000000012</v>
      </c>
      <c r="I58" s="2840">
        <v>91.638000000000005</v>
      </c>
      <c r="J58" s="2840">
        <v>0.23641000000000001</v>
      </c>
      <c r="K58" s="2781">
        <f t="shared" si="516"/>
        <v>158.51276390913208</v>
      </c>
      <c r="L58" s="2781">
        <f t="shared" si="438"/>
        <v>153.84401390913209</v>
      </c>
      <c r="M58" s="2781">
        <f t="shared" si="439"/>
        <v>4.6687500000000002</v>
      </c>
      <c r="N58" s="2781">
        <f t="shared" si="519"/>
        <v>280.27050000000003</v>
      </c>
      <c r="O58" s="2781">
        <f>SUM('ПОЛНАЯ СЕБЕСТОИМОСТЬ СТОКИ 2023'!I176)</f>
        <v>279.55930000000001</v>
      </c>
      <c r="P58" s="2781">
        <f>SUM('ПОЛНАЯ СЕБЕСТОИМОСТЬ СТОКИ 2023'!J176)</f>
        <v>0.71120000000000005</v>
      </c>
      <c r="Q58" s="2840">
        <f t="shared" si="505"/>
        <v>146.363</v>
      </c>
      <c r="R58" s="2840">
        <v>146.00800000000001</v>
      </c>
      <c r="S58" s="2840">
        <v>0.35499999999999998</v>
      </c>
      <c r="T58" s="2781">
        <f t="shared" si="525"/>
        <v>158.51276390913208</v>
      </c>
      <c r="U58" s="2781">
        <f t="shared" si="442"/>
        <v>153.84401390913209</v>
      </c>
      <c r="V58" s="2781">
        <f t="shared" si="443"/>
        <v>4.6687500000000002</v>
      </c>
      <c r="W58" s="2781">
        <f t="shared" si="520"/>
        <v>365.07040000000001</v>
      </c>
      <c r="X58" s="2781">
        <f>SUM('ПОЛНАЯ СЕБЕСТОИМОСТЬ СТОКИ 2023'!L176)</f>
        <v>363.99</v>
      </c>
      <c r="Y58" s="2781">
        <f>SUM('ПОЛНАЯ СЕБЕСТОИМОСТЬ СТОКИ 2023'!M176)</f>
        <v>1.0804</v>
      </c>
      <c r="Z58" s="2840">
        <f t="shared" si="506"/>
        <v>247.64500000000001</v>
      </c>
      <c r="AA58" s="2840">
        <v>247.02</v>
      </c>
      <c r="AB58" s="2840">
        <v>0.625</v>
      </c>
      <c r="AC58" s="2869">
        <f t="shared" si="445"/>
        <v>475.5382917273962</v>
      </c>
      <c r="AD58" s="2869">
        <f t="shared" si="445"/>
        <v>461.53204172739629</v>
      </c>
      <c r="AE58" s="2869">
        <f t="shared" si="445"/>
        <v>14.006250000000001</v>
      </c>
      <c r="AF58" s="2869">
        <f t="shared" si="445"/>
        <v>977.0461600000001</v>
      </c>
      <c r="AG58" s="2869">
        <f t="shared" si="445"/>
        <v>974.43830000000003</v>
      </c>
      <c r="AH58" s="2869">
        <f t="shared" si="445"/>
        <v>2.6078600000000001</v>
      </c>
      <c r="AI58" s="2869">
        <f t="shared" si="445"/>
        <v>485.88241000000005</v>
      </c>
      <c r="AJ58" s="2869">
        <f t="shared" si="445"/>
        <v>484.66600000000005</v>
      </c>
      <c r="AK58" s="2869">
        <f t="shared" si="445"/>
        <v>1.21641</v>
      </c>
      <c r="AL58" s="2805">
        <f t="shared" si="358"/>
        <v>501.5078682726039</v>
      </c>
      <c r="AM58" s="2805">
        <f t="shared" si="358"/>
        <v>512.90625827260374</v>
      </c>
      <c r="AN58" s="2805">
        <f t="shared" si="358"/>
        <v>-11.398390000000001</v>
      </c>
      <c r="AO58" s="2781">
        <f t="shared" si="521"/>
        <v>158.51276390913208</v>
      </c>
      <c r="AP58" s="2781">
        <f>SUM('ПОЛНАЯ СЕБЕСТОИМОСТЬ СТОКИ 2023'!R176)/3</f>
        <v>153.84401390913209</v>
      </c>
      <c r="AQ58" s="2781">
        <f>SUM('ПОЛНАЯ СЕБЕСТОИМОСТЬ СТОКИ 2023'!S176)/3</f>
        <v>4.6687500000000002</v>
      </c>
      <c r="AR58" s="2781">
        <f t="shared" si="447"/>
        <v>323.01357999999999</v>
      </c>
      <c r="AS58" s="2781">
        <f>SUM('ПОЛНАЯ СЕБЕСТОИМОСТЬ СТОКИ 2023'!U176)</f>
        <v>322.38675999999998</v>
      </c>
      <c r="AT58" s="2781">
        <f>SUM('ПОЛНАЯ СЕБЕСТОИМОСТЬ СТОКИ 2023'!V176)</f>
        <v>0.62682000000000004</v>
      </c>
      <c r="AU58" s="2840">
        <f t="shared" si="507"/>
        <v>248.006</v>
      </c>
      <c r="AV58" s="2840">
        <v>247.38</v>
      </c>
      <c r="AW58" s="2840">
        <v>0.626</v>
      </c>
      <c r="AX58" s="2781">
        <f t="shared" si="522"/>
        <v>158.51276390913208</v>
      </c>
      <c r="AY58" s="2781">
        <f t="shared" si="449"/>
        <v>153.84401390913209</v>
      </c>
      <c r="AZ58" s="2781">
        <f t="shared" si="450"/>
        <v>4.6687500000000002</v>
      </c>
      <c r="BA58" s="2836">
        <f t="shared" si="526"/>
        <v>402.65348</v>
      </c>
      <c r="BB58" s="2836">
        <f>SUM('ПОЛНАЯ СЕБЕСТОИМОСТЬ СТОКИ 2023'!X176)</f>
        <v>401.64699999999999</v>
      </c>
      <c r="BC58" s="2836">
        <f>SUM('ПОЛНАЯ СЕБЕСТОИМОСТЬ СТОКИ 2023'!Y176)</f>
        <v>1.00648</v>
      </c>
      <c r="BD58" s="2840">
        <f t="shared" si="508"/>
        <v>181.09788999999998</v>
      </c>
      <c r="BE58" s="2840">
        <v>180.84299999999999</v>
      </c>
      <c r="BF58" s="2840">
        <v>0.25489000000000001</v>
      </c>
      <c r="BG58" s="2781">
        <f t="shared" si="527"/>
        <v>158.51276390913208</v>
      </c>
      <c r="BH58" s="2781">
        <f t="shared" si="453"/>
        <v>153.84401390913209</v>
      </c>
      <c r="BI58" s="2781">
        <f t="shared" si="454"/>
        <v>4.6687500000000002</v>
      </c>
      <c r="BJ58" s="2781">
        <f t="shared" si="517"/>
        <v>369.96813999999995</v>
      </c>
      <c r="BK58" s="2781">
        <f>SUM('ПОЛНАЯ СЕБЕСТОИМОСТЬ СТОКИ 2023'!AA176)</f>
        <v>368.82423999999997</v>
      </c>
      <c r="BL58" s="2781">
        <f>SUM('ПОЛНАЯ СЕБЕСТОИМОСТЬ СТОКИ 2023'!AB176)</f>
        <v>1.1438999999999999</v>
      </c>
      <c r="BM58" s="2840">
        <f t="shared" si="509"/>
        <v>142.54405</v>
      </c>
      <c r="BN58" s="2840">
        <v>142.03534999999999</v>
      </c>
      <c r="BO58" s="2840">
        <v>0.50870000000000004</v>
      </c>
      <c r="BP58" s="2869">
        <f t="shared" si="456"/>
        <v>475.5382917273962</v>
      </c>
      <c r="BQ58" s="2869">
        <f t="shared" si="456"/>
        <v>461.53204172739629</v>
      </c>
      <c r="BR58" s="2869">
        <f t="shared" si="456"/>
        <v>14.006250000000001</v>
      </c>
      <c r="BS58" s="2869">
        <f t="shared" si="456"/>
        <v>1095.6351999999999</v>
      </c>
      <c r="BT58" s="2869">
        <f t="shared" si="456"/>
        <v>1092.8579999999999</v>
      </c>
      <c r="BU58" s="2869">
        <f t="shared" si="456"/>
        <v>2.7772000000000001</v>
      </c>
      <c r="BV58" s="2869">
        <f t="shared" si="456"/>
        <v>571.64793999999995</v>
      </c>
      <c r="BW58" s="2869">
        <f t="shared" si="456"/>
        <v>570.25834999999995</v>
      </c>
      <c r="BX58" s="2869">
        <f t="shared" si="456"/>
        <v>1.3895900000000001</v>
      </c>
      <c r="BY58" s="2805">
        <f t="shared" si="360"/>
        <v>620.09690827260374</v>
      </c>
      <c r="BZ58" s="2805">
        <f t="shared" si="360"/>
        <v>631.32595827260366</v>
      </c>
      <c r="CA58" s="2805">
        <f t="shared" si="360"/>
        <v>-11.229050000000001</v>
      </c>
      <c r="CB58" s="2869">
        <f t="shared" si="457"/>
        <v>951.0765834547924</v>
      </c>
      <c r="CC58" s="2869">
        <f t="shared" si="457"/>
        <v>923.06408345479258</v>
      </c>
      <c r="CD58" s="2869">
        <f t="shared" si="457"/>
        <v>28.012500000000003</v>
      </c>
      <c r="CE58" s="2869">
        <f t="shared" si="457"/>
        <v>2072.68136</v>
      </c>
      <c r="CF58" s="2869">
        <f t="shared" si="457"/>
        <v>2067.2963</v>
      </c>
      <c r="CG58" s="2869">
        <f t="shared" si="457"/>
        <v>5.3850600000000002</v>
      </c>
      <c r="CH58" s="2887">
        <f t="shared" si="457"/>
        <v>1057.53035</v>
      </c>
      <c r="CI58" s="2887">
        <f t="shared" si="457"/>
        <v>1054.92435</v>
      </c>
      <c r="CJ58" s="2887">
        <f t="shared" si="457"/>
        <v>2.6059999999999999</v>
      </c>
      <c r="CK58" s="2805">
        <f t="shared" si="362"/>
        <v>1121.6047765452076</v>
      </c>
      <c r="CL58" s="2805">
        <f t="shared" si="362"/>
        <v>1144.2322165452074</v>
      </c>
      <c r="CM58" s="2805">
        <f t="shared" si="362"/>
        <v>-22.627440000000004</v>
      </c>
      <c r="CN58" s="2781">
        <f t="shared" si="458"/>
        <v>158.51276390913208</v>
      </c>
      <c r="CO58" s="2781">
        <f>SUM('ПОЛНАЯ СЕБЕСТОИМОСТЬ СТОКИ 2023'!AP176)/3</f>
        <v>153.84401390913209</v>
      </c>
      <c r="CP58" s="2781">
        <f>SUM('ПОЛНАЯ СЕБЕСТОИМОСТЬ СТОКИ 2023'!AQ176)/3</f>
        <v>4.6687500000000002</v>
      </c>
      <c r="CQ58" s="2781">
        <f t="shared" si="459"/>
        <v>332.00443999999999</v>
      </c>
      <c r="CR58" s="2781">
        <f>SUM('ПОЛНАЯ СЕБЕСТОИМОСТЬ СТОКИ 2023'!AS176)</f>
        <v>331.471</v>
      </c>
      <c r="CS58" s="2781">
        <f>SUM('ПОЛНАЯ СЕБЕСТОИМОСТЬ СТОКИ 2023'!AT176)</f>
        <v>0.53344000000000003</v>
      </c>
      <c r="CT58" s="2840">
        <f t="shared" si="510"/>
        <v>175.054</v>
      </c>
      <c r="CU58" s="2840">
        <v>174.49600000000001</v>
      </c>
      <c r="CV58" s="2840">
        <v>0.55800000000000005</v>
      </c>
      <c r="CW58" s="2781">
        <f t="shared" si="528"/>
        <v>158.51276390913208</v>
      </c>
      <c r="CX58" s="2781">
        <f t="shared" si="461"/>
        <v>153.84401390913209</v>
      </c>
      <c r="CY58" s="2781">
        <f t="shared" si="462"/>
        <v>4.6687500000000002</v>
      </c>
      <c r="CZ58" s="2781">
        <f t="shared" si="463"/>
        <v>0</v>
      </c>
      <c r="DA58" s="2781">
        <f>SUM('ПОЛНАЯ СЕБЕСТОИМОСТЬ СТОКИ 2023'!AV176)</f>
        <v>0</v>
      </c>
      <c r="DB58" s="2781">
        <f>SUM('ПОЛНАЯ СЕБЕСТОИМОСТЬ СТОКИ 2023'!AW176)</f>
        <v>0</v>
      </c>
      <c r="DC58" s="2840">
        <f t="shared" si="511"/>
        <v>241.30944</v>
      </c>
      <c r="DD58" s="2840">
        <v>240.81100000000001</v>
      </c>
      <c r="DE58" s="2840">
        <v>0.49843999999999999</v>
      </c>
      <c r="DF58" s="2781">
        <f t="shared" si="529"/>
        <v>158.51276390913208</v>
      </c>
      <c r="DG58" s="2781">
        <f t="shared" si="465"/>
        <v>153.84401390913209</v>
      </c>
      <c r="DH58" s="2781">
        <f t="shared" si="466"/>
        <v>4.6687500000000002</v>
      </c>
      <c r="DI58" s="2781">
        <f t="shared" si="523"/>
        <v>0</v>
      </c>
      <c r="DJ58" s="2781">
        <f>SUM('ПОЛНАЯ СЕБЕСТОИМОСТЬ СТОКИ 2023'!AY176)</f>
        <v>0</v>
      </c>
      <c r="DK58" s="2781">
        <f>SUM('ПОЛНАЯ СЕБЕСТОИМОСТЬ СТОКИ 2023'!AZ176)</f>
        <v>0</v>
      </c>
      <c r="DL58" s="2840">
        <f t="shared" si="512"/>
        <v>367.60977000000003</v>
      </c>
      <c r="DM58" s="2840">
        <v>366.726</v>
      </c>
      <c r="DN58" s="2840">
        <v>0.88376999999999994</v>
      </c>
      <c r="DO58" s="2869">
        <f t="shared" si="468"/>
        <v>475.5382917273962</v>
      </c>
      <c r="DP58" s="2869">
        <f t="shared" si="468"/>
        <v>461.53204172739629</v>
      </c>
      <c r="DQ58" s="2869">
        <f t="shared" si="468"/>
        <v>14.006250000000001</v>
      </c>
      <c r="DR58" s="2869">
        <f t="shared" si="468"/>
        <v>332.00443999999999</v>
      </c>
      <c r="DS58" s="2869">
        <f t="shared" si="468"/>
        <v>331.471</v>
      </c>
      <c r="DT58" s="2869">
        <f t="shared" si="468"/>
        <v>0.53344000000000003</v>
      </c>
      <c r="DU58" s="2869">
        <f t="shared" si="468"/>
        <v>783.97320999999999</v>
      </c>
      <c r="DV58" s="2869">
        <f t="shared" si="468"/>
        <v>782.03300000000002</v>
      </c>
      <c r="DW58" s="2869">
        <f t="shared" si="468"/>
        <v>1.94021</v>
      </c>
      <c r="DX58" s="2805">
        <f t="shared" si="364"/>
        <v>-143.53385172739621</v>
      </c>
      <c r="DY58" s="2805">
        <f t="shared" si="364"/>
        <v>-130.06104172739629</v>
      </c>
      <c r="DZ58" s="2805">
        <f t="shared" si="364"/>
        <v>-13.472810000000001</v>
      </c>
      <c r="EA58" s="2869">
        <f t="shared" si="469"/>
        <v>1426.6148751821886</v>
      </c>
      <c r="EB58" s="2869">
        <f t="shared" si="469"/>
        <v>1384.5961251821889</v>
      </c>
      <c r="EC58" s="2869">
        <f t="shared" si="469"/>
        <v>42.018750000000004</v>
      </c>
      <c r="ED58" s="2869">
        <f t="shared" si="469"/>
        <v>2404.6858000000002</v>
      </c>
      <c r="EE58" s="2869">
        <f t="shared" si="469"/>
        <v>2398.7673</v>
      </c>
      <c r="EF58" s="2869">
        <f t="shared" si="469"/>
        <v>5.9184999999999999</v>
      </c>
      <c r="EG58" s="2869">
        <f t="shared" si="469"/>
        <v>1841.5035600000001</v>
      </c>
      <c r="EH58" s="2869">
        <f t="shared" si="469"/>
        <v>1836.9573500000001</v>
      </c>
      <c r="EI58" s="2869">
        <f t="shared" si="469"/>
        <v>4.5462100000000003</v>
      </c>
      <c r="EJ58" s="2805">
        <f t="shared" si="366"/>
        <v>978.0709248178116</v>
      </c>
      <c r="EK58" s="2805">
        <f t="shared" si="366"/>
        <v>1014.1711748178111</v>
      </c>
      <c r="EL58" s="2805">
        <f t="shared" si="366"/>
        <v>-36.100250000000003</v>
      </c>
      <c r="EM58" s="2781">
        <f t="shared" si="518"/>
        <v>158.51276390913208</v>
      </c>
      <c r="EN58" s="2781">
        <f>SUM('ПОЛНАЯ СЕБЕСТОИМОСТЬ СТОКИ 2023'!BN176)/3</f>
        <v>153.84401390913209</v>
      </c>
      <c r="EO58" s="2781">
        <f>SUM('ПОЛНАЯ СЕБЕСТОИМОСТЬ СТОКИ 2023'!BO176)/3</f>
        <v>4.6687500000000002</v>
      </c>
      <c r="EP58" s="2781">
        <f t="shared" si="471"/>
        <v>0</v>
      </c>
      <c r="EQ58" s="2781">
        <f>SUM('ПОЛНАЯ СЕБЕСТОИМОСТЬ СТОКИ 2023'!BQ176)</f>
        <v>0</v>
      </c>
      <c r="ER58" s="2781">
        <f>SUM('ПОЛНАЯ СЕБЕСТОИМОСТЬ СТОКИ 2023'!BR176)</f>
        <v>0</v>
      </c>
      <c r="ES58" s="2840">
        <f t="shared" si="513"/>
        <v>673.65509999999995</v>
      </c>
      <c r="ET58" s="2840">
        <v>671.74699999999996</v>
      </c>
      <c r="EU58" s="2840">
        <v>1.9080999999999999</v>
      </c>
      <c r="EV58" s="2781">
        <f t="shared" si="530"/>
        <v>158.51276390913208</v>
      </c>
      <c r="EW58" s="2781">
        <f t="shared" si="473"/>
        <v>153.84401390913209</v>
      </c>
      <c r="EX58" s="2781">
        <f t="shared" si="474"/>
        <v>4.6687500000000002</v>
      </c>
      <c r="EY58" s="2781">
        <f t="shared" si="475"/>
        <v>0</v>
      </c>
      <c r="EZ58" s="2781">
        <f>SUM('ПОЛНАЯ СЕБЕСТОИМОСТЬ СТОКИ 2023'!BT176)</f>
        <v>0</v>
      </c>
      <c r="FA58" s="2781">
        <f>SUM('ПОЛНАЯ СЕБЕСТОИМОСТЬ СТОКИ 2023'!BU176)</f>
        <v>0</v>
      </c>
      <c r="FB58" s="2840">
        <f t="shared" si="514"/>
        <v>324.56043</v>
      </c>
      <c r="FC58" s="2840">
        <v>323.46600000000001</v>
      </c>
      <c r="FD58" s="2840">
        <v>1.09443</v>
      </c>
      <c r="FE58" s="2781">
        <f t="shared" si="524"/>
        <v>158.51276390913208</v>
      </c>
      <c r="FF58" s="2781">
        <f t="shared" si="477"/>
        <v>153.84401390913209</v>
      </c>
      <c r="FG58" s="2781">
        <f t="shared" si="478"/>
        <v>4.6687500000000002</v>
      </c>
      <c r="FH58" s="2781">
        <f t="shared" si="479"/>
        <v>0</v>
      </c>
      <c r="FI58" s="2781">
        <f>SUM('ПОЛНАЯ СЕБЕСТОИМОСТЬ СТОКИ 2023'!BW176)</f>
        <v>0</v>
      </c>
      <c r="FJ58" s="2781">
        <f>SUM('ПОЛНАЯ СЕБЕСТОИМОСТЬ СТОКИ 2023'!BX176)</f>
        <v>0</v>
      </c>
      <c r="FK58" s="2840">
        <f t="shared" si="515"/>
        <v>500.23200000000003</v>
      </c>
      <c r="FL58" s="2840">
        <v>498.28300000000002</v>
      </c>
      <c r="FM58" s="2840">
        <v>1.9490000000000001</v>
      </c>
      <c r="FN58" s="2869">
        <f t="shared" si="480"/>
        <v>475.5382917273962</v>
      </c>
      <c r="FO58" s="2869">
        <f t="shared" si="480"/>
        <v>461.53204172739629</v>
      </c>
      <c r="FP58" s="2869">
        <f t="shared" si="480"/>
        <v>14.006250000000001</v>
      </c>
      <c r="FQ58" s="2869">
        <f t="shared" si="480"/>
        <v>0</v>
      </c>
      <c r="FR58" s="2869">
        <f t="shared" si="480"/>
        <v>0</v>
      </c>
      <c r="FS58" s="2869">
        <f t="shared" si="480"/>
        <v>0</v>
      </c>
      <c r="FT58" s="2869">
        <f t="shared" si="480"/>
        <v>1498.4475299999999</v>
      </c>
      <c r="FU58" s="2869">
        <f t="shared" si="480"/>
        <v>1493.4960000000001</v>
      </c>
      <c r="FV58" s="2869">
        <f t="shared" si="480"/>
        <v>4.95153</v>
      </c>
      <c r="FW58" s="2805">
        <f t="shared" si="368"/>
        <v>-475.5382917273962</v>
      </c>
      <c r="FX58" s="2805">
        <f t="shared" si="368"/>
        <v>-461.53204172739629</v>
      </c>
      <c r="FY58" s="2805">
        <f t="shared" si="368"/>
        <v>-14.006250000000001</v>
      </c>
      <c r="FZ58" s="4559">
        <f t="shared" si="481"/>
        <v>1902.1531669095848</v>
      </c>
      <c r="GA58" s="4559">
        <f t="shared" si="481"/>
        <v>1846.1281669095852</v>
      </c>
      <c r="GB58" s="4559">
        <f t="shared" si="481"/>
        <v>56.025000000000006</v>
      </c>
      <c r="GC58" s="2869">
        <f t="shared" si="481"/>
        <v>2404.6858000000002</v>
      </c>
      <c r="GD58" s="2869">
        <f t="shared" si="481"/>
        <v>2398.7673</v>
      </c>
      <c r="GE58" s="2869">
        <f t="shared" si="481"/>
        <v>5.9184999999999999</v>
      </c>
      <c r="GF58" s="2869">
        <f t="shared" si="481"/>
        <v>3339.95109</v>
      </c>
      <c r="GG58" s="2869">
        <f t="shared" si="481"/>
        <v>3330.4533500000002</v>
      </c>
      <c r="GH58" s="2869">
        <f t="shared" si="481"/>
        <v>9.4977400000000003</v>
      </c>
      <c r="GI58" s="2805">
        <f t="shared" si="370"/>
        <v>502.5326330904154</v>
      </c>
      <c r="GJ58" s="2805">
        <f t="shared" si="370"/>
        <v>552.63913309041482</v>
      </c>
      <c r="GK58" s="2805">
        <f t="shared" si="370"/>
        <v>-50.106500000000004</v>
      </c>
      <c r="GM58" s="3576">
        <f t="shared" si="371"/>
        <v>1902.1531669095846</v>
      </c>
    </row>
    <row r="59" spans="1:195" ht="18.75" customHeight="1" x14ac:dyDescent="0.3">
      <c r="A59" s="2800" t="s">
        <v>3771</v>
      </c>
      <c r="B59" s="2775">
        <f t="shared" si="435"/>
        <v>0</v>
      </c>
      <c r="C59" s="2775">
        <f>SUM('ПОЛНАЯ СЕБЕСТОИМОСТЬ СТОКИ 2023'!C177)/3</f>
        <v>0</v>
      </c>
      <c r="D59" s="2775">
        <f>SUM('ПОЛНАЯ СЕБЕСТОИМОСТЬ СТОКИ 2023'!D177)/3</f>
        <v>0</v>
      </c>
      <c r="E59" s="2775">
        <f t="shared" si="436"/>
        <v>0</v>
      </c>
      <c r="F59" s="2775">
        <f>SUM('ПОЛНАЯ СЕБЕСТОИМОСТЬ СТОКИ 2023'!F177)</f>
        <v>0</v>
      </c>
      <c r="G59" s="2775">
        <f>SUM('ПОЛНАЯ СЕБЕСТОИМОСТЬ СТОКИ 2023'!G177)</f>
        <v>0</v>
      </c>
      <c r="H59" s="2833">
        <f t="shared" si="482"/>
        <v>0</v>
      </c>
      <c r="I59" s="2833">
        <v>0</v>
      </c>
      <c r="J59" s="2833">
        <v>0</v>
      </c>
      <c r="K59" s="2775">
        <f t="shared" si="516"/>
        <v>0</v>
      </c>
      <c r="L59" s="2775">
        <f t="shared" si="438"/>
        <v>0</v>
      </c>
      <c r="M59" s="2775">
        <f t="shared" si="439"/>
        <v>0</v>
      </c>
      <c r="N59" s="2775">
        <f t="shared" si="519"/>
        <v>0</v>
      </c>
      <c r="O59" s="2775">
        <f>SUM('ПОЛНАЯ СЕБЕСТОИМОСТЬ СТОКИ 2023'!I177)</f>
        <v>0</v>
      </c>
      <c r="P59" s="2775">
        <f>SUM('ПОЛНАЯ СЕБЕСТОИМОСТЬ СТОКИ 2023'!J177)</f>
        <v>0</v>
      </c>
      <c r="Q59" s="2833">
        <f t="shared" si="505"/>
        <v>0</v>
      </c>
      <c r="R59" s="2833">
        <v>0</v>
      </c>
      <c r="S59" s="2833">
        <v>0</v>
      </c>
      <c r="T59" s="2775">
        <f t="shared" si="525"/>
        <v>0</v>
      </c>
      <c r="U59" s="2775">
        <f t="shared" si="442"/>
        <v>0</v>
      </c>
      <c r="V59" s="2775">
        <f t="shared" si="443"/>
        <v>0</v>
      </c>
      <c r="W59" s="2775">
        <f t="shared" si="520"/>
        <v>0</v>
      </c>
      <c r="X59" s="2775">
        <f>SUM('ПОЛНАЯ СЕБЕСТОИМОСТЬ СТОКИ 2023'!L177)</f>
        <v>0</v>
      </c>
      <c r="Y59" s="2775">
        <f>SUM('ПОЛНАЯ СЕБЕСТОИМОСТЬ СТОКИ 2023'!M177)</f>
        <v>0</v>
      </c>
      <c r="Z59" s="2833">
        <f t="shared" si="506"/>
        <v>0</v>
      </c>
      <c r="AA59" s="2833">
        <v>0</v>
      </c>
      <c r="AB59" s="2833">
        <v>0</v>
      </c>
      <c r="AC59" s="2868">
        <f t="shared" ref="AC59:AK60" si="531">SUM(B59+K59+T59)</f>
        <v>0</v>
      </c>
      <c r="AD59" s="2868">
        <f t="shared" si="531"/>
        <v>0</v>
      </c>
      <c r="AE59" s="2868">
        <f t="shared" si="531"/>
        <v>0</v>
      </c>
      <c r="AF59" s="2868">
        <f t="shared" si="531"/>
        <v>0</v>
      </c>
      <c r="AG59" s="2868">
        <f t="shared" si="531"/>
        <v>0</v>
      </c>
      <c r="AH59" s="2868">
        <f t="shared" si="531"/>
        <v>0</v>
      </c>
      <c r="AI59" s="2868">
        <f t="shared" si="531"/>
        <v>0</v>
      </c>
      <c r="AJ59" s="2868">
        <f t="shared" si="531"/>
        <v>0</v>
      </c>
      <c r="AK59" s="2868">
        <f t="shared" si="531"/>
        <v>0</v>
      </c>
      <c r="AL59" s="2839">
        <f t="shared" si="358"/>
        <v>0</v>
      </c>
      <c r="AM59" s="2839">
        <f t="shared" si="358"/>
        <v>0</v>
      </c>
      <c r="AN59" s="2839">
        <f t="shared" si="358"/>
        <v>0</v>
      </c>
      <c r="AO59" s="2775">
        <f t="shared" si="521"/>
        <v>0</v>
      </c>
      <c r="AP59" s="2775">
        <f>SUM('ПОЛНАЯ СЕБЕСТОИМОСТЬ СТОКИ 2023'!R177)/3</f>
        <v>0</v>
      </c>
      <c r="AQ59" s="2775">
        <f>SUM('ПОЛНАЯ СЕБЕСТОИМОСТЬ СТОКИ 2023'!S177)/3</f>
        <v>0</v>
      </c>
      <c r="AR59" s="2775">
        <f t="shared" si="447"/>
        <v>0</v>
      </c>
      <c r="AS59" s="2775">
        <f>SUM('ПОЛНАЯ СЕБЕСТОИМОСТЬ СТОКИ 2023'!U177)</f>
        <v>0</v>
      </c>
      <c r="AT59" s="2775">
        <f>SUM('ПОЛНАЯ СЕБЕСТОИМОСТЬ СТОКИ 2023'!V177)</f>
        <v>0</v>
      </c>
      <c r="AU59" s="2833">
        <f t="shared" si="507"/>
        <v>0</v>
      </c>
      <c r="AV59" s="2833">
        <v>0</v>
      </c>
      <c r="AW59" s="2833">
        <v>0</v>
      </c>
      <c r="AX59" s="2775">
        <f t="shared" si="522"/>
        <v>0</v>
      </c>
      <c r="AY59" s="2775">
        <f t="shared" si="449"/>
        <v>0</v>
      </c>
      <c r="AZ59" s="2775">
        <f t="shared" si="450"/>
        <v>0</v>
      </c>
      <c r="BA59" s="2832">
        <f t="shared" si="526"/>
        <v>0</v>
      </c>
      <c r="BB59" s="2832">
        <f>SUM('ПОЛНАЯ СЕБЕСТОИМОСТЬ СТОКИ 2023'!X177)</f>
        <v>0</v>
      </c>
      <c r="BC59" s="2832">
        <f>SUM('ПОЛНАЯ СЕБЕСТОИМОСТЬ СТОКИ 2023'!Y177)</f>
        <v>0</v>
      </c>
      <c r="BD59" s="2833">
        <f t="shared" si="508"/>
        <v>0</v>
      </c>
      <c r="BE59" s="2833">
        <v>0</v>
      </c>
      <c r="BF59" s="2833">
        <v>0</v>
      </c>
      <c r="BG59" s="2775">
        <f t="shared" si="527"/>
        <v>0</v>
      </c>
      <c r="BH59" s="2775">
        <f t="shared" si="453"/>
        <v>0</v>
      </c>
      <c r="BI59" s="2775">
        <f t="shared" si="454"/>
        <v>0</v>
      </c>
      <c r="BJ59" s="2775">
        <f t="shared" si="517"/>
        <v>0</v>
      </c>
      <c r="BK59" s="2775">
        <f>SUM('ПОЛНАЯ СЕБЕСТОИМОСТЬ СТОКИ 2023'!AA177)</f>
        <v>0</v>
      </c>
      <c r="BL59" s="2775">
        <f>SUM('ПОЛНАЯ СЕБЕСТОИМОСТЬ СТОКИ 2023'!AB177)</f>
        <v>0</v>
      </c>
      <c r="BM59" s="2833">
        <f t="shared" si="509"/>
        <v>0</v>
      </c>
      <c r="BN59" s="2833">
        <v>0</v>
      </c>
      <c r="BO59" s="2833">
        <v>0</v>
      </c>
      <c r="BP59" s="2868">
        <f t="shared" ref="BP59:BX60" si="532">SUM(AO59+AX59+BG59)</f>
        <v>0</v>
      </c>
      <c r="BQ59" s="2868">
        <f t="shared" si="532"/>
        <v>0</v>
      </c>
      <c r="BR59" s="2868">
        <f t="shared" si="532"/>
        <v>0</v>
      </c>
      <c r="BS59" s="2868">
        <f t="shared" si="532"/>
        <v>0</v>
      </c>
      <c r="BT59" s="2868">
        <f t="shared" si="532"/>
        <v>0</v>
      </c>
      <c r="BU59" s="2868">
        <f t="shared" si="532"/>
        <v>0</v>
      </c>
      <c r="BV59" s="2868">
        <f t="shared" si="532"/>
        <v>0</v>
      </c>
      <c r="BW59" s="2868">
        <f t="shared" si="532"/>
        <v>0</v>
      </c>
      <c r="BX59" s="2868">
        <f t="shared" si="532"/>
        <v>0</v>
      </c>
      <c r="BY59" s="2839">
        <f t="shared" si="360"/>
        <v>0</v>
      </c>
      <c r="BZ59" s="2839">
        <f t="shared" si="360"/>
        <v>0</v>
      </c>
      <c r="CA59" s="2839">
        <f t="shared" si="360"/>
        <v>0</v>
      </c>
      <c r="CB59" s="2868">
        <f t="shared" ref="CB59:CJ64" si="533">SUM(AC59+BP59)</f>
        <v>0</v>
      </c>
      <c r="CC59" s="2868">
        <f t="shared" si="533"/>
        <v>0</v>
      </c>
      <c r="CD59" s="2868">
        <f t="shared" si="533"/>
        <v>0</v>
      </c>
      <c r="CE59" s="2868">
        <f t="shared" si="533"/>
        <v>0</v>
      </c>
      <c r="CF59" s="2868">
        <f t="shared" si="533"/>
        <v>0</v>
      </c>
      <c r="CG59" s="2868">
        <f t="shared" si="533"/>
        <v>0</v>
      </c>
      <c r="CH59" s="2883">
        <f t="shared" si="533"/>
        <v>0</v>
      </c>
      <c r="CI59" s="2883">
        <f t="shared" si="533"/>
        <v>0</v>
      </c>
      <c r="CJ59" s="2883">
        <f t="shared" si="533"/>
        <v>0</v>
      </c>
      <c r="CK59" s="2839">
        <f t="shared" si="362"/>
        <v>0</v>
      </c>
      <c r="CL59" s="2839">
        <f t="shared" si="362"/>
        <v>0</v>
      </c>
      <c r="CM59" s="2839">
        <f t="shared" si="362"/>
        <v>0</v>
      </c>
      <c r="CN59" s="2775">
        <f t="shared" si="458"/>
        <v>0</v>
      </c>
      <c r="CO59" s="2775">
        <f>SUM('ПОЛНАЯ СЕБЕСТОИМОСТЬ СТОКИ 2023'!AP177)/3</f>
        <v>0</v>
      </c>
      <c r="CP59" s="2775">
        <f>SUM('ПОЛНАЯ СЕБЕСТОИМОСТЬ СТОКИ 2023'!AQ177)/3</f>
        <v>0</v>
      </c>
      <c r="CQ59" s="2775">
        <f t="shared" si="459"/>
        <v>0</v>
      </c>
      <c r="CR59" s="2775">
        <f>SUM('ПОЛНАЯ СЕБЕСТОИМОСТЬ СТОКИ 2023'!AS177)</f>
        <v>0</v>
      </c>
      <c r="CS59" s="2775">
        <f>SUM('ПОЛНАЯ СЕБЕСТОИМОСТЬ СТОКИ 2023'!AT177)</f>
        <v>0</v>
      </c>
      <c r="CT59" s="2833">
        <f t="shared" si="510"/>
        <v>0</v>
      </c>
      <c r="CU59" s="2833">
        <v>0</v>
      </c>
      <c r="CV59" s="2833">
        <v>0</v>
      </c>
      <c r="CW59" s="2775">
        <f t="shared" si="528"/>
        <v>0</v>
      </c>
      <c r="CX59" s="2775">
        <f t="shared" si="461"/>
        <v>0</v>
      </c>
      <c r="CY59" s="2775">
        <f t="shared" si="462"/>
        <v>0</v>
      </c>
      <c r="CZ59" s="2775">
        <f t="shared" si="463"/>
        <v>0</v>
      </c>
      <c r="DA59" s="2775">
        <f>SUM('ПОЛНАЯ СЕБЕСТОИМОСТЬ СТОКИ 2023'!AV177)</f>
        <v>0</v>
      </c>
      <c r="DB59" s="2775">
        <f>SUM('ПОЛНАЯ СЕБЕСТОИМОСТЬ СТОКИ 2023'!AW177)</f>
        <v>0</v>
      </c>
      <c r="DC59" s="2833">
        <f t="shared" si="511"/>
        <v>0</v>
      </c>
      <c r="DD59" s="2833">
        <v>0</v>
      </c>
      <c r="DE59" s="2833">
        <v>0</v>
      </c>
      <c r="DF59" s="2775">
        <f t="shared" si="529"/>
        <v>0</v>
      </c>
      <c r="DG59" s="2775">
        <f t="shared" si="465"/>
        <v>0</v>
      </c>
      <c r="DH59" s="2775">
        <f t="shared" si="466"/>
        <v>0</v>
      </c>
      <c r="DI59" s="2775">
        <f t="shared" si="523"/>
        <v>0</v>
      </c>
      <c r="DJ59" s="2775">
        <f>SUM('ПОЛНАЯ СЕБЕСТОИМОСТЬ СТОКИ 2023'!AY177)</f>
        <v>0</v>
      </c>
      <c r="DK59" s="2775">
        <f>SUM('ПОЛНАЯ СЕБЕСТОИМОСТЬ СТОКИ 2023'!AZ177)</f>
        <v>0</v>
      </c>
      <c r="DL59" s="2833">
        <f t="shared" si="512"/>
        <v>0</v>
      </c>
      <c r="DM59" s="2833">
        <v>0</v>
      </c>
      <c r="DN59" s="2833">
        <v>0</v>
      </c>
      <c r="DO59" s="2868">
        <f t="shared" ref="DO59:DW60" si="534">SUM(CN59+CW59+DF59)</f>
        <v>0</v>
      </c>
      <c r="DP59" s="2868">
        <f t="shared" si="534"/>
        <v>0</v>
      </c>
      <c r="DQ59" s="2868">
        <f t="shared" si="534"/>
        <v>0</v>
      </c>
      <c r="DR59" s="2868">
        <f t="shared" si="534"/>
        <v>0</v>
      </c>
      <c r="DS59" s="2868">
        <f t="shared" si="534"/>
        <v>0</v>
      </c>
      <c r="DT59" s="2868">
        <f t="shared" si="534"/>
        <v>0</v>
      </c>
      <c r="DU59" s="2868">
        <f t="shared" si="534"/>
        <v>0</v>
      </c>
      <c r="DV59" s="2868">
        <f t="shared" si="534"/>
        <v>0</v>
      </c>
      <c r="DW59" s="2868">
        <f t="shared" si="534"/>
        <v>0</v>
      </c>
      <c r="DX59" s="2839">
        <f t="shared" si="364"/>
        <v>0</v>
      </c>
      <c r="DY59" s="2839">
        <f t="shared" si="364"/>
        <v>0</v>
      </c>
      <c r="DZ59" s="2839">
        <f t="shared" si="364"/>
        <v>0</v>
      </c>
      <c r="EA59" s="2868">
        <f t="shared" ref="EA59:EI64" si="535">SUM(CB59+DO59)</f>
        <v>0</v>
      </c>
      <c r="EB59" s="2868">
        <f t="shared" si="535"/>
        <v>0</v>
      </c>
      <c r="EC59" s="2868">
        <f t="shared" si="535"/>
        <v>0</v>
      </c>
      <c r="ED59" s="2868">
        <f t="shared" si="535"/>
        <v>0</v>
      </c>
      <c r="EE59" s="2868">
        <f t="shared" si="535"/>
        <v>0</v>
      </c>
      <c r="EF59" s="2868">
        <f t="shared" si="535"/>
        <v>0</v>
      </c>
      <c r="EG59" s="2868">
        <f t="shared" si="535"/>
        <v>0</v>
      </c>
      <c r="EH59" s="2868">
        <f t="shared" si="535"/>
        <v>0</v>
      </c>
      <c r="EI59" s="2868">
        <f t="shared" si="535"/>
        <v>0</v>
      </c>
      <c r="EJ59" s="2839">
        <f t="shared" si="366"/>
        <v>0</v>
      </c>
      <c r="EK59" s="2839">
        <f t="shared" si="366"/>
        <v>0</v>
      </c>
      <c r="EL59" s="2839">
        <f t="shared" si="366"/>
        <v>0</v>
      </c>
      <c r="EM59" s="2775">
        <f t="shared" si="518"/>
        <v>0</v>
      </c>
      <c r="EN59" s="2775">
        <f>SUM('ПОЛНАЯ СЕБЕСТОИМОСТЬ СТОКИ 2023'!BN177)/3</f>
        <v>0</v>
      </c>
      <c r="EO59" s="2775">
        <f>SUM('ПОЛНАЯ СЕБЕСТОИМОСТЬ СТОКИ 2023'!BO177)/3</f>
        <v>0</v>
      </c>
      <c r="EP59" s="2775">
        <f t="shared" si="471"/>
        <v>0</v>
      </c>
      <c r="EQ59" s="2775">
        <f>SUM('ПОЛНАЯ СЕБЕСТОИМОСТЬ СТОКИ 2023'!BQ177)</f>
        <v>0</v>
      </c>
      <c r="ER59" s="2775">
        <f>SUM('ПОЛНАЯ СЕБЕСТОИМОСТЬ СТОКИ 2023'!BR177)</f>
        <v>0</v>
      </c>
      <c r="ES59" s="2833">
        <f t="shared" si="513"/>
        <v>0</v>
      </c>
      <c r="ET59" s="2833">
        <v>0</v>
      </c>
      <c r="EU59" s="2833">
        <v>0</v>
      </c>
      <c r="EV59" s="2775">
        <f t="shared" si="530"/>
        <v>0</v>
      </c>
      <c r="EW59" s="2775">
        <f t="shared" si="473"/>
        <v>0</v>
      </c>
      <c r="EX59" s="2775">
        <f t="shared" si="474"/>
        <v>0</v>
      </c>
      <c r="EY59" s="2775">
        <f t="shared" si="475"/>
        <v>0</v>
      </c>
      <c r="EZ59" s="2775">
        <f>SUM('ПОЛНАЯ СЕБЕСТОИМОСТЬ СТОКИ 2023'!BT177)</f>
        <v>0</v>
      </c>
      <c r="FA59" s="2775">
        <f>SUM('ПОЛНАЯ СЕБЕСТОИМОСТЬ СТОКИ 2023'!BU177)</f>
        <v>0</v>
      </c>
      <c r="FB59" s="2833">
        <f t="shared" si="514"/>
        <v>0</v>
      </c>
      <c r="FC59" s="2833">
        <v>0</v>
      </c>
      <c r="FD59" s="2833">
        <v>0</v>
      </c>
      <c r="FE59" s="2775">
        <f t="shared" si="524"/>
        <v>0</v>
      </c>
      <c r="FF59" s="2775">
        <f t="shared" si="477"/>
        <v>0</v>
      </c>
      <c r="FG59" s="2775">
        <f t="shared" si="478"/>
        <v>0</v>
      </c>
      <c r="FH59" s="2775">
        <f t="shared" si="479"/>
        <v>0</v>
      </c>
      <c r="FI59" s="2775">
        <f>SUM('ПОЛНАЯ СЕБЕСТОИМОСТЬ СТОКИ 2023'!BW177)</f>
        <v>0</v>
      </c>
      <c r="FJ59" s="2775">
        <f>SUM('ПОЛНАЯ СЕБЕСТОИМОСТЬ СТОКИ 2023'!BX177)</f>
        <v>0</v>
      </c>
      <c r="FK59" s="2833">
        <f t="shared" si="515"/>
        <v>0</v>
      </c>
      <c r="FL59" s="2833">
        <v>0</v>
      </c>
      <c r="FM59" s="2833">
        <v>0</v>
      </c>
      <c r="FN59" s="2868">
        <f t="shared" ref="FN59:FV60" si="536">SUM(EM59+EV59+FE59)</f>
        <v>0</v>
      </c>
      <c r="FO59" s="2868">
        <f t="shared" si="536"/>
        <v>0</v>
      </c>
      <c r="FP59" s="2868">
        <f t="shared" si="536"/>
        <v>0</v>
      </c>
      <c r="FQ59" s="2868">
        <f t="shared" si="536"/>
        <v>0</v>
      </c>
      <c r="FR59" s="2868">
        <f t="shared" si="536"/>
        <v>0</v>
      </c>
      <c r="FS59" s="2868">
        <f t="shared" si="536"/>
        <v>0</v>
      </c>
      <c r="FT59" s="2868">
        <f t="shared" si="536"/>
        <v>0</v>
      </c>
      <c r="FU59" s="2868">
        <f t="shared" si="536"/>
        <v>0</v>
      </c>
      <c r="FV59" s="2868">
        <f t="shared" si="536"/>
        <v>0</v>
      </c>
      <c r="FW59" s="2839">
        <f t="shared" si="368"/>
        <v>0</v>
      </c>
      <c r="FX59" s="2839">
        <f t="shared" si="368"/>
        <v>0</v>
      </c>
      <c r="FY59" s="2839">
        <f t="shared" si="368"/>
        <v>0</v>
      </c>
      <c r="FZ59" s="2863">
        <f t="shared" ref="FZ59:GH64" si="537">SUM(EA59+FN59)</f>
        <v>0</v>
      </c>
      <c r="GA59" s="2863">
        <f t="shared" si="537"/>
        <v>0</v>
      </c>
      <c r="GB59" s="2863">
        <f t="shared" si="537"/>
        <v>0</v>
      </c>
      <c r="GC59" s="2868">
        <f t="shared" si="537"/>
        <v>0</v>
      </c>
      <c r="GD59" s="2868">
        <f t="shared" si="537"/>
        <v>0</v>
      </c>
      <c r="GE59" s="2868">
        <f t="shared" si="537"/>
        <v>0</v>
      </c>
      <c r="GF59" s="2868">
        <f t="shared" si="537"/>
        <v>0</v>
      </c>
      <c r="GG59" s="2868">
        <f t="shared" si="537"/>
        <v>0</v>
      </c>
      <c r="GH59" s="2868">
        <f t="shared" si="537"/>
        <v>0</v>
      </c>
      <c r="GI59" s="2839">
        <f t="shared" si="370"/>
        <v>0</v>
      </c>
      <c r="GJ59" s="2839">
        <f t="shared" si="370"/>
        <v>0</v>
      </c>
      <c r="GK59" s="2839">
        <f t="shared" si="370"/>
        <v>0</v>
      </c>
      <c r="GM59" s="3576">
        <f t="shared" si="371"/>
        <v>0</v>
      </c>
    </row>
    <row r="60" spans="1:195" ht="18.75" customHeight="1" x14ac:dyDescent="0.3">
      <c r="A60" s="2800" t="s">
        <v>3711</v>
      </c>
      <c r="B60" s="2775">
        <f t="shared" si="435"/>
        <v>0</v>
      </c>
      <c r="C60" s="2775">
        <f>SUM('ПОЛНАЯ СЕБЕСТОИМОСТЬ СТОКИ 2023'!C178)/3</f>
        <v>0</v>
      </c>
      <c r="D60" s="2775">
        <f>SUM('ПОЛНАЯ СЕБЕСТОИМОСТЬ СТОКИ 2023'!D178)/3</f>
        <v>0</v>
      </c>
      <c r="E60" s="2775">
        <f t="shared" si="436"/>
        <v>0</v>
      </c>
      <c r="F60" s="2775">
        <f>SUM('ПОЛНАЯ СЕБЕСТОИМОСТЬ СТОКИ 2023'!F178)</f>
        <v>0</v>
      </c>
      <c r="G60" s="2775">
        <f>SUM('ПОЛНАЯ СЕБЕСТОИМОСТЬ СТОКИ 2023'!G178)</f>
        <v>0</v>
      </c>
      <c r="H60" s="2833">
        <f t="shared" si="482"/>
        <v>0</v>
      </c>
      <c r="I60" s="2833">
        <v>0</v>
      </c>
      <c r="J60" s="2833">
        <v>0</v>
      </c>
      <c r="K60" s="2775">
        <f t="shared" si="516"/>
        <v>0</v>
      </c>
      <c r="L60" s="2775">
        <f t="shared" si="438"/>
        <v>0</v>
      </c>
      <c r="M60" s="2775">
        <f t="shared" si="439"/>
        <v>0</v>
      </c>
      <c r="N60" s="2775">
        <f t="shared" si="519"/>
        <v>0</v>
      </c>
      <c r="O60" s="2775">
        <f>SUM('ПОЛНАЯ СЕБЕСТОИМОСТЬ СТОКИ 2023'!I178)</f>
        <v>0</v>
      </c>
      <c r="P60" s="2775">
        <f>SUM('ПОЛНАЯ СЕБЕСТОИМОСТЬ СТОКИ 2023'!J178)</f>
        <v>0</v>
      </c>
      <c r="Q60" s="2833">
        <f t="shared" si="505"/>
        <v>0</v>
      </c>
      <c r="R60" s="2833">
        <v>0</v>
      </c>
      <c r="S60" s="2833">
        <v>0</v>
      </c>
      <c r="T60" s="2775">
        <f t="shared" si="525"/>
        <v>0</v>
      </c>
      <c r="U60" s="2775">
        <f t="shared" si="442"/>
        <v>0</v>
      </c>
      <c r="V60" s="2775">
        <f t="shared" si="443"/>
        <v>0</v>
      </c>
      <c r="W60" s="2775">
        <f t="shared" si="520"/>
        <v>0</v>
      </c>
      <c r="X60" s="2775">
        <f>SUM('ПОЛНАЯ СЕБЕСТОИМОСТЬ СТОКИ 2023'!L178)</f>
        <v>0</v>
      </c>
      <c r="Y60" s="2775">
        <f>SUM('ПОЛНАЯ СЕБЕСТОИМОСТЬ СТОКИ 2023'!M178)</f>
        <v>0</v>
      </c>
      <c r="Z60" s="2833">
        <f t="shared" si="506"/>
        <v>0</v>
      </c>
      <c r="AA60" s="2833">
        <v>0</v>
      </c>
      <c r="AB60" s="2833">
        <v>0</v>
      </c>
      <c r="AC60" s="2868">
        <f t="shared" si="531"/>
        <v>0</v>
      </c>
      <c r="AD60" s="2868">
        <f t="shared" si="531"/>
        <v>0</v>
      </c>
      <c r="AE60" s="2868">
        <f t="shared" si="531"/>
        <v>0</v>
      </c>
      <c r="AF60" s="2868">
        <f t="shared" si="531"/>
        <v>0</v>
      </c>
      <c r="AG60" s="2868">
        <f t="shared" si="531"/>
        <v>0</v>
      </c>
      <c r="AH60" s="2868">
        <f t="shared" si="531"/>
        <v>0</v>
      </c>
      <c r="AI60" s="2868">
        <f t="shared" si="531"/>
        <v>0</v>
      </c>
      <c r="AJ60" s="2868">
        <f t="shared" si="531"/>
        <v>0</v>
      </c>
      <c r="AK60" s="2868">
        <f t="shared" si="531"/>
        <v>0</v>
      </c>
      <c r="AL60" s="2839">
        <f t="shared" si="358"/>
        <v>0</v>
      </c>
      <c r="AM60" s="2839">
        <f t="shared" si="358"/>
        <v>0</v>
      </c>
      <c r="AN60" s="2839">
        <f t="shared" si="358"/>
        <v>0</v>
      </c>
      <c r="AO60" s="2775">
        <f t="shared" si="521"/>
        <v>0</v>
      </c>
      <c r="AP60" s="2775">
        <f>SUM('ПОЛНАЯ СЕБЕСТОИМОСТЬ СТОКИ 2023'!R178)/3</f>
        <v>0</v>
      </c>
      <c r="AQ60" s="2775">
        <f>SUM('ПОЛНАЯ СЕБЕСТОИМОСТЬ СТОКИ 2023'!S178)/3</f>
        <v>0</v>
      </c>
      <c r="AR60" s="2775">
        <f t="shared" si="447"/>
        <v>0</v>
      </c>
      <c r="AS60" s="2775">
        <f>SUM('ПОЛНАЯ СЕБЕСТОИМОСТЬ СТОКИ 2023'!U178)</f>
        <v>0</v>
      </c>
      <c r="AT60" s="2775">
        <f>SUM('ПОЛНАЯ СЕБЕСТОИМОСТЬ СТОКИ 2023'!V178)</f>
        <v>0</v>
      </c>
      <c r="AU60" s="2833">
        <f t="shared" si="507"/>
        <v>0</v>
      </c>
      <c r="AV60" s="2833">
        <v>0</v>
      </c>
      <c r="AW60" s="2833">
        <v>0</v>
      </c>
      <c r="AX60" s="2775">
        <f t="shared" si="522"/>
        <v>0</v>
      </c>
      <c r="AY60" s="2775">
        <f t="shared" si="449"/>
        <v>0</v>
      </c>
      <c r="AZ60" s="2775">
        <f t="shared" si="450"/>
        <v>0</v>
      </c>
      <c r="BA60" s="2832">
        <f t="shared" si="526"/>
        <v>0</v>
      </c>
      <c r="BB60" s="2832">
        <f>SUM('ПОЛНАЯ СЕБЕСТОИМОСТЬ СТОКИ 2023'!X178)</f>
        <v>0</v>
      </c>
      <c r="BC60" s="2832">
        <f>SUM('ПОЛНАЯ СЕБЕСТОИМОСТЬ СТОКИ 2023'!Y178)</f>
        <v>0</v>
      </c>
      <c r="BD60" s="2833">
        <f t="shared" si="508"/>
        <v>0</v>
      </c>
      <c r="BE60" s="2833">
        <v>0</v>
      </c>
      <c r="BF60" s="2833">
        <v>0</v>
      </c>
      <c r="BG60" s="2775">
        <f t="shared" si="527"/>
        <v>0</v>
      </c>
      <c r="BH60" s="2775">
        <f t="shared" si="453"/>
        <v>0</v>
      </c>
      <c r="BI60" s="2775">
        <f t="shared" si="454"/>
        <v>0</v>
      </c>
      <c r="BJ60" s="2775">
        <f t="shared" si="517"/>
        <v>0</v>
      </c>
      <c r="BK60" s="2775">
        <f>SUM('ПОЛНАЯ СЕБЕСТОИМОСТЬ СТОКИ 2023'!AA178)</f>
        <v>0</v>
      </c>
      <c r="BL60" s="2775">
        <f>SUM('ПОЛНАЯ СЕБЕСТОИМОСТЬ СТОКИ 2023'!AB178)</f>
        <v>0</v>
      </c>
      <c r="BM60" s="2833">
        <f t="shared" si="509"/>
        <v>0</v>
      </c>
      <c r="BN60" s="2833">
        <v>0</v>
      </c>
      <c r="BO60" s="2833">
        <v>0</v>
      </c>
      <c r="BP60" s="2868">
        <f t="shared" si="532"/>
        <v>0</v>
      </c>
      <c r="BQ60" s="2868">
        <f t="shared" si="532"/>
        <v>0</v>
      </c>
      <c r="BR60" s="2868">
        <f t="shared" si="532"/>
        <v>0</v>
      </c>
      <c r="BS60" s="2868">
        <f t="shared" si="532"/>
        <v>0</v>
      </c>
      <c r="BT60" s="2868">
        <f t="shared" si="532"/>
        <v>0</v>
      </c>
      <c r="BU60" s="2868">
        <f t="shared" si="532"/>
        <v>0</v>
      </c>
      <c r="BV60" s="2868">
        <f t="shared" si="532"/>
        <v>0</v>
      </c>
      <c r="BW60" s="2868">
        <f t="shared" si="532"/>
        <v>0</v>
      </c>
      <c r="BX60" s="2868">
        <f t="shared" si="532"/>
        <v>0</v>
      </c>
      <c r="BY60" s="2839">
        <f t="shared" si="360"/>
        <v>0</v>
      </c>
      <c r="BZ60" s="2839">
        <f t="shared" si="360"/>
        <v>0</v>
      </c>
      <c r="CA60" s="2839">
        <f t="shared" si="360"/>
        <v>0</v>
      </c>
      <c r="CB60" s="2868">
        <f t="shared" si="533"/>
        <v>0</v>
      </c>
      <c r="CC60" s="2868">
        <f t="shared" si="533"/>
        <v>0</v>
      </c>
      <c r="CD60" s="2868">
        <f t="shared" si="533"/>
        <v>0</v>
      </c>
      <c r="CE60" s="2868">
        <f t="shared" si="533"/>
        <v>0</v>
      </c>
      <c r="CF60" s="2868">
        <f t="shared" si="533"/>
        <v>0</v>
      </c>
      <c r="CG60" s="2868">
        <f t="shared" si="533"/>
        <v>0</v>
      </c>
      <c r="CH60" s="2883">
        <f t="shared" si="533"/>
        <v>0</v>
      </c>
      <c r="CI60" s="2883">
        <f t="shared" si="533"/>
        <v>0</v>
      </c>
      <c r="CJ60" s="2883">
        <f t="shared" si="533"/>
        <v>0</v>
      </c>
      <c r="CK60" s="2839">
        <f t="shared" si="362"/>
        <v>0</v>
      </c>
      <c r="CL60" s="2839">
        <f t="shared" si="362"/>
        <v>0</v>
      </c>
      <c r="CM60" s="2839">
        <f t="shared" si="362"/>
        <v>0</v>
      </c>
      <c r="CN60" s="2775">
        <f t="shared" si="458"/>
        <v>0</v>
      </c>
      <c r="CO60" s="2775">
        <f>SUM('ПОЛНАЯ СЕБЕСТОИМОСТЬ СТОКИ 2023'!AP178)/3</f>
        <v>0</v>
      </c>
      <c r="CP60" s="2775">
        <f>SUM('ПОЛНАЯ СЕБЕСТОИМОСТЬ СТОКИ 2023'!AQ178)/3</f>
        <v>0</v>
      </c>
      <c r="CQ60" s="2775">
        <f t="shared" si="459"/>
        <v>0</v>
      </c>
      <c r="CR60" s="2775">
        <f>SUM('ПОЛНАЯ СЕБЕСТОИМОСТЬ СТОКИ 2023'!AS178)</f>
        <v>0</v>
      </c>
      <c r="CS60" s="2775">
        <f>SUM('ПОЛНАЯ СЕБЕСТОИМОСТЬ СТОКИ 2023'!AT178)</f>
        <v>0</v>
      </c>
      <c r="CT60" s="2833">
        <f t="shared" si="510"/>
        <v>0</v>
      </c>
      <c r="CU60" s="2833">
        <v>0</v>
      </c>
      <c r="CV60" s="2833">
        <v>0</v>
      </c>
      <c r="CW60" s="2775">
        <f t="shared" si="528"/>
        <v>0</v>
      </c>
      <c r="CX60" s="2775">
        <f t="shared" si="461"/>
        <v>0</v>
      </c>
      <c r="CY60" s="2775">
        <f t="shared" si="462"/>
        <v>0</v>
      </c>
      <c r="CZ60" s="2775">
        <f t="shared" si="463"/>
        <v>0</v>
      </c>
      <c r="DA60" s="2775">
        <f>SUM('ПОЛНАЯ СЕБЕСТОИМОСТЬ СТОКИ 2023'!AV178)</f>
        <v>0</v>
      </c>
      <c r="DB60" s="2775">
        <f>SUM('ПОЛНАЯ СЕБЕСТОИМОСТЬ СТОКИ 2023'!AW178)</f>
        <v>0</v>
      </c>
      <c r="DC60" s="2833">
        <f t="shared" si="511"/>
        <v>0</v>
      </c>
      <c r="DD60" s="2833">
        <v>0</v>
      </c>
      <c r="DE60" s="2833">
        <v>0</v>
      </c>
      <c r="DF60" s="2775">
        <f t="shared" si="529"/>
        <v>0</v>
      </c>
      <c r="DG60" s="2775">
        <f t="shared" si="465"/>
        <v>0</v>
      </c>
      <c r="DH60" s="2775">
        <f t="shared" si="466"/>
        <v>0</v>
      </c>
      <c r="DI60" s="2775">
        <f t="shared" si="523"/>
        <v>0</v>
      </c>
      <c r="DJ60" s="2775">
        <f>SUM('ПОЛНАЯ СЕБЕСТОИМОСТЬ СТОКИ 2023'!AY178)</f>
        <v>0</v>
      </c>
      <c r="DK60" s="2775">
        <f>SUM('ПОЛНАЯ СЕБЕСТОИМОСТЬ СТОКИ 2023'!AZ178)</f>
        <v>0</v>
      </c>
      <c r="DL60" s="2833">
        <f t="shared" si="512"/>
        <v>0</v>
      </c>
      <c r="DM60" s="2833">
        <v>0</v>
      </c>
      <c r="DN60" s="2833">
        <v>0</v>
      </c>
      <c r="DO60" s="2868">
        <f t="shared" si="534"/>
        <v>0</v>
      </c>
      <c r="DP60" s="2868">
        <f t="shared" si="534"/>
        <v>0</v>
      </c>
      <c r="DQ60" s="2868">
        <f t="shared" si="534"/>
        <v>0</v>
      </c>
      <c r="DR60" s="2868">
        <f t="shared" si="534"/>
        <v>0</v>
      </c>
      <c r="DS60" s="2868">
        <f t="shared" si="534"/>
        <v>0</v>
      </c>
      <c r="DT60" s="2868">
        <f t="shared" si="534"/>
        <v>0</v>
      </c>
      <c r="DU60" s="2868">
        <f t="shared" si="534"/>
        <v>0</v>
      </c>
      <c r="DV60" s="2868">
        <f t="shared" si="534"/>
        <v>0</v>
      </c>
      <c r="DW60" s="2868">
        <f t="shared" si="534"/>
        <v>0</v>
      </c>
      <c r="DX60" s="2839">
        <f t="shared" si="364"/>
        <v>0</v>
      </c>
      <c r="DY60" s="2839">
        <f t="shared" si="364"/>
        <v>0</v>
      </c>
      <c r="DZ60" s="2839">
        <f t="shared" si="364"/>
        <v>0</v>
      </c>
      <c r="EA60" s="2868">
        <f t="shared" si="535"/>
        <v>0</v>
      </c>
      <c r="EB60" s="2868">
        <f t="shared" si="535"/>
        <v>0</v>
      </c>
      <c r="EC60" s="2868">
        <f t="shared" si="535"/>
        <v>0</v>
      </c>
      <c r="ED60" s="2868">
        <f t="shared" si="535"/>
        <v>0</v>
      </c>
      <c r="EE60" s="2868">
        <f t="shared" si="535"/>
        <v>0</v>
      </c>
      <c r="EF60" s="2868">
        <f t="shared" si="535"/>
        <v>0</v>
      </c>
      <c r="EG60" s="2868">
        <f t="shared" si="535"/>
        <v>0</v>
      </c>
      <c r="EH60" s="2868">
        <f t="shared" si="535"/>
        <v>0</v>
      </c>
      <c r="EI60" s="2868">
        <f t="shared" si="535"/>
        <v>0</v>
      </c>
      <c r="EJ60" s="2839">
        <f t="shared" si="366"/>
        <v>0</v>
      </c>
      <c r="EK60" s="2839">
        <f t="shared" si="366"/>
        <v>0</v>
      </c>
      <c r="EL60" s="2839">
        <f t="shared" si="366"/>
        <v>0</v>
      </c>
      <c r="EM60" s="2775">
        <f t="shared" si="518"/>
        <v>0</v>
      </c>
      <c r="EN60" s="2775">
        <f>SUM('ПОЛНАЯ СЕБЕСТОИМОСТЬ СТОКИ 2023'!BN178)/3</f>
        <v>0</v>
      </c>
      <c r="EO60" s="2775">
        <f>SUM('ПОЛНАЯ СЕБЕСТОИМОСТЬ СТОКИ 2023'!BO178)/3</f>
        <v>0</v>
      </c>
      <c r="EP60" s="2775">
        <f t="shared" si="471"/>
        <v>0</v>
      </c>
      <c r="EQ60" s="2775">
        <f>SUM('ПОЛНАЯ СЕБЕСТОИМОСТЬ СТОКИ 2023'!BQ178)</f>
        <v>0</v>
      </c>
      <c r="ER60" s="2775">
        <f>SUM('ПОЛНАЯ СЕБЕСТОИМОСТЬ СТОКИ 2023'!BR178)</f>
        <v>0</v>
      </c>
      <c r="ES60" s="2833">
        <f t="shared" si="513"/>
        <v>0</v>
      </c>
      <c r="ET60" s="2833">
        <v>0</v>
      </c>
      <c r="EU60" s="2833">
        <v>0</v>
      </c>
      <c r="EV60" s="2775">
        <f t="shared" si="530"/>
        <v>0</v>
      </c>
      <c r="EW60" s="2775">
        <f t="shared" si="473"/>
        <v>0</v>
      </c>
      <c r="EX60" s="2775">
        <f t="shared" si="474"/>
        <v>0</v>
      </c>
      <c r="EY60" s="2775">
        <f t="shared" si="475"/>
        <v>0</v>
      </c>
      <c r="EZ60" s="2775">
        <f>SUM('ПОЛНАЯ СЕБЕСТОИМОСТЬ СТОКИ 2023'!BT178)</f>
        <v>0</v>
      </c>
      <c r="FA60" s="2775">
        <f>SUM('ПОЛНАЯ СЕБЕСТОИМОСТЬ СТОКИ 2023'!BU178)</f>
        <v>0</v>
      </c>
      <c r="FB60" s="2833">
        <f t="shared" si="514"/>
        <v>0</v>
      </c>
      <c r="FC60" s="2833">
        <v>0</v>
      </c>
      <c r="FD60" s="2833">
        <v>0</v>
      </c>
      <c r="FE60" s="2775">
        <f t="shared" si="524"/>
        <v>0</v>
      </c>
      <c r="FF60" s="2775">
        <f t="shared" si="477"/>
        <v>0</v>
      </c>
      <c r="FG60" s="2775">
        <f t="shared" si="478"/>
        <v>0</v>
      </c>
      <c r="FH60" s="2775">
        <f t="shared" si="479"/>
        <v>0</v>
      </c>
      <c r="FI60" s="2775">
        <f>SUM('ПОЛНАЯ СЕБЕСТОИМОСТЬ СТОКИ 2023'!BW178)</f>
        <v>0</v>
      </c>
      <c r="FJ60" s="2775">
        <f>SUM('ПОЛНАЯ СЕБЕСТОИМОСТЬ СТОКИ 2023'!BX178)</f>
        <v>0</v>
      </c>
      <c r="FK60" s="2833">
        <f t="shared" si="515"/>
        <v>0</v>
      </c>
      <c r="FL60" s="2833">
        <v>0</v>
      </c>
      <c r="FM60" s="2833">
        <v>0</v>
      </c>
      <c r="FN60" s="2868">
        <f t="shared" si="536"/>
        <v>0</v>
      </c>
      <c r="FO60" s="2868">
        <f t="shared" si="536"/>
        <v>0</v>
      </c>
      <c r="FP60" s="2868">
        <f t="shared" si="536"/>
        <v>0</v>
      </c>
      <c r="FQ60" s="2868">
        <f t="shared" si="536"/>
        <v>0</v>
      </c>
      <c r="FR60" s="2868">
        <f t="shared" si="536"/>
        <v>0</v>
      </c>
      <c r="FS60" s="2868">
        <f t="shared" si="536"/>
        <v>0</v>
      </c>
      <c r="FT60" s="2868">
        <f t="shared" si="536"/>
        <v>0</v>
      </c>
      <c r="FU60" s="2868">
        <f t="shared" si="536"/>
        <v>0</v>
      </c>
      <c r="FV60" s="2868">
        <f t="shared" si="536"/>
        <v>0</v>
      </c>
      <c r="FW60" s="2839">
        <f t="shared" si="368"/>
        <v>0</v>
      </c>
      <c r="FX60" s="2839">
        <f t="shared" si="368"/>
        <v>0</v>
      </c>
      <c r="FY60" s="2839">
        <f t="shared" si="368"/>
        <v>0</v>
      </c>
      <c r="FZ60" s="2863">
        <f t="shared" si="537"/>
        <v>0</v>
      </c>
      <c r="GA60" s="2863">
        <f t="shared" si="537"/>
        <v>0</v>
      </c>
      <c r="GB60" s="2863">
        <f t="shared" si="537"/>
        <v>0</v>
      </c>
      <c r="GC60" s="2868">
        <f t="shared" si="537"/>
        <v>0</v>
      </c>
      <c r="GD60" s="2868">
        <f t="shared" si="537"/>
        <v>0</v>
      </c>
      <c r="GE60" s="2868">
        <f t="shared" si="537"/>
        <v>0</v>
      </c>
      <c r="GF60" s="2868">
        <f t="shared" si="537"/>
        <v>0</v>
      </c>
      <c r="GG60" s="2868">
        <f t="shared" si="537"/>
        <v>0</v>
      </c>
      <c r="GH60" s="2868">
        <f t="shared" si="537"/>
        <v>0</v>
      </c>
      <c r="GI60" s="2839">
        <f t="shared" si="370"/>
        <v>0</v>
      </c>
      <c r="GJ60" s="2839">
        <f t="shared" si="370"/>
        <v>0</v>
      </c>
      <c r="GK60" s="2839">
        <f t="shared" si="370"/>
        <v>0</v>
      </c>
      <c r="GM60" s="3576">
        <f t="shared" si="371"/>
        <v>0</v>
      </c>
    </row>
    <row r="61" spans="1:195" ht="18.75" customHeight="1" x14ac:dyDescent="0.3">
      <c r="A61" s="3837" t="s">
        <v>3920</v>
      </c>
      <c r="B61" s="2775">
        <f t="shared" ref="B61" si="538">SUM(C61:D61)</f>
        <v>34.463333333333331</v>
      </c>
      <c r="C61" s="2775">
        <f>SUM('ПОЛНАЯ СЕБЕСТОИМОСТЬ СТОКИ 2023'!C179)/3</f>
        <v>34.463333333333331</v>
      </c>
      <c r="D61" s="2775">
        <f>SUM('ПОЛНАЯ СЕБЕСТОИМОСТЬ СТОКИ 2023'!D179)/3</f>
        <v>0</v>
      </c>
      <c r="E61" s="2775">
        <f t="shared" ref="E61" si="539">SUM(F61:G61)</f>
        <v>0</v>
      </c>
      <c r="F61" s="2775">
        <f>SUM('ПОЛНАЯ СЕБЕСТОИМОСТЬ СТОКИ 2023'!F179)</f>
        <v>0</v>
      </c>
      <c r="G61" s="2775">
        <f>SUM('ПОЛНАЯ СЕБЕСТОИМОСТЬ СТОКИ 2023'!G179)</f>
        <v>0</v>
      </c>
      <c r="H61" s="2833">
        <f t="shared" ref="H61" si="540">SUM(I61:J61)</f>
        <v>0</v>
      </c>
      <c r="I61" s="2833">
        <v>0</v>
      </c>
      <c r="J61" s="2833">
        <v>0</v>
      </c>
      <c r="K61" s="2775">
        <f t="shared" ref="K61" si="541">SUM(L61:M61)</f>
        <v>34.463333333333331</v>
      </c>
      <c r="L61" s="2775">
        <f t="shared" ref="L61" si="542">SUM(C61)</f>
        <v>34.463333333333331</v>
      </c>
      <c r="M61" s="2775">
        <f t="shared" ref="M61" si="543">SUM(D61)</f>
        <v>0</v>
      </c>
      <c r="N61" s="2775">
        <f t="shared" ref="N61" si="544">SUM(O61:P61)</f>
        <v>0</v>
      </c>
      <c r="O61" s="2775">
        <f>SUM('ПОЛНАЯ СЕБЕСТОИМОСТЬ СТОКИ 2023'!I179)</f>
        <v>0</v>
      </c>
      <c r="P61" s="2775">
        <f>SUM('ПОЛНАЯ СЕБЕСТОИМОСТЬ СТОКИ 2023'!J179)</f>
        <v>0</v>
      </c>
      <c r="Q61" s="2833">
        <f t="shared" ref="Q61" si="545">SUM(R61:S61)</f>
        <v>0</v>
      </c>
      <c r="R61" s="2833">
        <v>0</v>
      </c>
      <c r="S61" s="2833">
        <v>0</v>
      </c>
      <c r="T61" s="2775">
        <f t="shared" ref="T61" si="546">SUM(U61:V61)</f>
        <v>34.463333333333331</v>
      </c>
      <c r="U61" s="2775">
        <f t="shared" ref="U61" si="547">SUM(L61)</f>
        <v>34.463333333333331</v>
      </c>
      <c r="V61" s="2775">
        <f t="shared" ref="V61" si="548">SUM(M61)</f>
        <v>0</v>
      </c>
      <c r="W61" s="2775">
        <f t="shared" ref="W61" si="549">SUM(X61:Y61)</f>
        <v>0</v>
      </c>
      <c r="X61" s="2775">
        <f>SUM('ПОЛНАЯ СЕБЕСТОИМОСТЬ СТОКИ 2023'!L179)</f>
        <v>0</v>
      </c>
      <c r="Y61" s="2775">
        <f>SUM('ПОЛНАЯ СЕБЕСТОИМОСТЬ СТОКИ 2023'!M179)</f>
        <v>0</v>
      </c>
      <c r="Z61" s="2833">
        <f t="shared" ref="Z61" si="550">SUM(AA61:AB61)</f>
        <v>0</v>
      </c>
      <c r="AA61" s="2833">
        <v>0</v>
      </c>
      <c r="AB61" s="2833">
        <v>0</v>
      </c>
      <c r="AC61" s="2868">
        <f t="shared" ref="AC61" si="551">SUM(B61+K61+T61)</f>
        <v>103.38999999999999</v>
      </c>
      <c r="AD61" s="2868">
        <f t="shared" ref="AD61" si="552">SUM(C61+L61+U61)</f>
        <v>103.38999999999999</v>
      </c>
      <c r="AE61" s="2868">
        <f t="shared" ref="AE61" si="553">SUM(D61+M61+V61)</f>
        <v>0</v>
      </c>
      <c r="AF61" s="2868">
        <f t="shared" ref="AF61" si="554">SUM(E61+N61+W61)</f>
        <v>0</v>
      </c>
      <c r="AG61" s="2868">
        <f t="shared" ref="AG61" si="555">SUM(F61+O61+X61)</f>
        <v>0</v>
      </c>
      <c r="AH61" s="2868">
        <f t="shared" ref="AH61" si="556">SUM(G61+P61+Y61)</f>
        <v>0</v>
      </c>
      <c r="AI61" s="2868">
        <f t="shared" ref="AI61" si="557">SUM(H61+Q61+Z61)</f>
        <v>0</v>
      </c>
      <c r="AJ61" s="2868">
        <f t="shared" ref="AJ61" si="558">SUM(I61+R61+AA61)</f>
        <v>0</v>
      </c>
      <c r="AK61" s="2868">
        <f t="shared" ref="AK61" si="559">SUM(J61+S61+AB61)</f>
        <v>0</v>
      </c>
      <c r="AL61" s="2839">
        <f t="shared" ref="AL61" si="560">SUM(AF61-AC61)</f>
        <v>-103.38999999999999</v>
      </c>
      <c r="AM61" s="2839">
        <f t="shared" ref="AM61" si="561">SUM(AG61-AD61)</f>
        <v>-103.38999999999999</v>
      </c>
      <c r="AN61" s="2839">
        <f t="shared" ref="AN61" si="562">SUM(AH61-AE61)</f>
        <v>0</v>
      </c>
      <c r="AO61" s="2775">
        <f t="shared" ref="AO61" si="563">SUM(AP61:AQ61)</f>
        <v>34.463333333333331</v>
      </c>
      <c r="AP61" s="2775">
        <f>SUM('ПОЛНАЯ СЕБЕСТОИМОСТЬ СТОКИ 2023'!R179)/3</f>
        <v>34.463333333333331</v>
      </c>
      <c r="AQ61" s="2775">
        <f>SUM('ПОЛНАЯ СЕБЕСТОИМОСТЬ СТОКИ 2023'!S179)/3</f>
        <v>0</v>
      </c>
      <c r="AR61" s="2775">
        <f t="shared" ref="AR61" si="564">SUM(AS61:AT61)</f>
        <v>0</v>
      </c>
      <c r="AS61" s="2775">
        <f>SUM('ПОЛНАЯ СЕБЕСТОИМОСТЬ СТОКИ 2023'!U179)</f>
        <v>0</v>
      </c>
      <c r="AT61" s="2775">
        <f>SUM('ПОЛНАЯ СЕБЕСТОИМОСТЬ СТОКИ 2023'!V179)</f>
        <v>0</v>
      </c>
      <c r="AU61" s="2833">
        <f t="shared" ref="AU61" si="565">SUM(AV61:AW61)</f>
        <v>0</v>
      </c>
      <c r="AV61" s="2833">
        <v>0</v>
      </c>
      <c r="AW61" s="2833">
        <v>0</v>
      </c>
      <c r="AX61" s="2775">
        <f t="shared" ref="AX61" si="566">SUM(AY61:AZ61)</f>
        <v>34.463333333333331</v>
      </c>
      <c r="AY61" s="2775">
        <f t="shared" ref="AY61" si="567">SUM(AP61)</f>
        <v>34.463333333333331</v>
      </c>
      <c r="AZ61" s="2775">
        <f t="shared" ref="AZ61" si="568">SUM(AQ61)</f>
        <v>0</v>
      </c>
      <c r="BA61" s="2832">
        <f t="shared" ref="BA61" si="569">SUM(BB61:BC61)</f>
        <v>0</v>
      </c>
      <c r="BB61" s="2832">
        <f>SUM('ПОЛНАЯ СЕБЕСТОИМОСТЬ СТОКИ 2023'!X179)</f>
        <v>0</v>
      </c>
      <c r="BC61" s="2832">
        <f>SUM('ПОЛНАЯ СЕБЕСТОИМОСТЬ СТОКИ 2023'!Y179)</f>
        <v>0</v>
      </c>
      <c r="BD61" s="2833">
        <f t="shared" ref="BD61" si="570">SUM(BE61:BF61)</f>
        <v>0</v>
      </c>
      <c r="BE61" s="2833">
        <v>0</v>
      </c>
      <c r="BF61" s="2833">
        <v>0</v>
      </c>
      <c r="BG61" s="2775">
        <f t="shared" ref="BG61" si="571">SUM(BH61:BI61)</f>
        <v>34.463333333333331</v>
      </c>
      <c r="BH61" s="2775">
        <f t="shared" ref="BH61" si="572">SUM(AY61)</f>
        <v>34.463333333333331</v>
      </c>
      <c r="BI61" s="2775">
        <f t="shared" ref="BI61" si="573">SUM(AZ61)</f>
        <v>0</v>
      </c>
      <c r="BJ61" s="2775">
        <f t="shared" ref="BJ61" si="574">SUM(BK61:BL61)</f>
        <v>0</v>
      </c>
      <c r="BK61" s="2775">
        <f>SUM('ПОЛНАЯ СЕБЕСТОИМОСТЬ СТОКИ 2023'!AA179)</f>
        <v>0</v>
      </c>
      <c r="BL61" s="2775">
        <f>SUM('ПОЛНАЯ СЕБЕСТОИМОСТЬ СТОКИ 2023'!AB179)</f>
        <v>0</v>
      </c>
      <c r="BM61" s="2833">
        <f t="shared" ref="BM61" si="575">SUM(BN61:BO61)</f>
        <v>0</v>
      </c>
      <c r="BN61" s="2833">
        <v>0</v>
      </c>
      <c r="BO61" s="2833">
        <v>0</v>
      </c>
      <c r="BP61" s="2868">
        <f t="shared" ref="BP61" si="576">SUM(AO61+AX61+BG61)</f>
        <v>103.38999999999999</v>
      </c>
      <c r="BQ61" s="2868">
        <f t="shared" ref="BQ61" si="577">SUM(AP61+AY61+BH61)</f>
        <v>103.38999999999999</v>
      </c>
      <c r="BR61" s="2868">
        <f t="shared" ref="BR61" si="578">SUM(AQ61+AZ61+BI61)</f>
        <v>0</v>
      </c>
      <c r="BS61" s="2868">
        <f t="shared" ref="BS61" si="579">SUM(AR61+BA61+BJ61)</f>
        <v>0</v>
      </c>
      <c r="BT61" s="2868">
        <f t="shared" ref="BT61" si="580">SUM(AS61+BB61+BK61)</f>
        <v>0</v>
      </c>
      <c r="BU61" s="2868">
        <f t="shared" ref="BU61" si="581">SUM(AT61+BC61+BL61)</f>
        <v>0</v>
      </c>
      <c r="BV61" s="2868">
        <f t="shared" ref="BV61" si="582">SUM(AU61+BD61+BM61)</f>
        <v>0</v>
      </c>
      <c r="BW61" s="2868">
        <f t="shared" ref="BW61" si="583">SUM(AV61+BE61+BN61)</f>
        <v>0</v>
      </c>
      <c r="BX61" s="2868">
        <f t="shared" ref="BX61" si="584">SUM(AW61+BF61+BO61)</f>
        <v>0</v>
      </c>
      <c r="BY61" s="2839">
        <f t="shared" ref="BY61" si="585">SUM(BS61-BP61)</f>
        <v>-103.38999999999999</v>
      </c>
      <c r="BZ61" s="2839">
        <f t="shared" ref="BZ61" si="586">SUM(BT61-BQ61)</f>
        <v>-103.38999999999999</v>
      </c>
      <c r="CA61" s="2839">
        <f t="shared" ref="CA61" si="587">SUM(BU61-BR61)</f>
        <v>0</v>
      </c>
      <c r="CB61" s="2868">
        <f t="shared" ref="CB61" si="588">SUM(AC61+BP61)</f>
        <v>206.77999999999997</v>
      </c>
      <c r="CC61" s="2868">
        <f t="shared" ref="CC61" si="589">SUM(AD61+BQ61)</f>
        <v>206.77999999999997</v>
      </c>
      <c r="CD61" s="2868">
        <f t="shared" ref="CD61" si="590">SUM(AE61+BR61)</f>
        <v>0</v>
      </c>
      <c r="CE61" s="2868">
        <f t="shared" ref="CE61" si="591">SUM(AF61+BS61)</f>
        <v>0</v>
      </c>
      <c r="CF61" s="2868">
        <f t="shared" ref="CF61" si="592">SUM(AG61+BT61)</f>
        <v>0</v>
      </c>
      <c r="CG61" s="2868">
        <f t="shared" ref="CG61" si="593">SUM(AH61+BU61)</f>
        <v>0</v>
      </c>
      <c r="CH61" s="2883">
        <f t="shared" ref="CH61" si="594">SUM(AI61+BV61)</f>
        <v>0</v>
      </c>
      <c r="CI61" s="2883">
        <f t="shared" ref="CI61" si="595">SUM(AJ61+BW61)</f>
        <v>0</v>
      </c>
      <c r="CJ61" s="2883">
        <f t="shared" ref="CJ61" si="596">SUM(AK61+BX61)</f>
        <v>0</v>
      </c>
      <c r="CK61" s="2839">
        <f t="shared" ref="CK61" si="597">SUM(CE61-CB61)</f>
        <v>-206.77999999999997</v>
      </c>
      <c r="CL61" s="2839">
        <f t="shared" ref="CL61" si="598">SUM(CF61-CC61)</f>
        <v>-206.77999999999997</v>
      </c>
      <c r="CM61" s="2839">
        <f t="shared" ref="CM61" si="599">SUM(CG61-CD61)</f>
        <v>0</v>
      </c>
      <c r="CN61" s="2775">
        <f t="shared" ref="CN61" si="600">SUM(CO61:CP61)</f>
        <v>34.463333333333331</v>
      </c>
      <c r="CO61" s="2775">
        <f>SUM('ПОЛНАЯ СЕБЕСТОИМОСТЬ СТОКИ 2023'!AP179)/3</f>
        <v>34.463333333333331</v>
      </c>
      <c r="CP61" s="2775">
        <f>SUM('ПОЛНАЯ СЕБЕСТОИМОСТЬ СТОКИ 2023'!AQ179)/3</f>
        <v>0</v>
      </c>
      <c r="CQ61" s="2775">
        <f t="shared" ref="CQ61" si="601">SUM(CR61:CS61)</f>
        <v>0</v>
      </c>
      <c r="CR61" s="2775">
        <f>SUM('ПОЛНАЯ СЕБЕСТОИМОСТЬ СТОКИ 2023'!AS179)</f>
        <v>0</v>
      </c>
      <c r="CS61" s="2775">
        <f>SUM('ПОЛНАЯ СЕБЕСТОИМОСТЬ СТОКИ 2023'!AT179)</f>
        <v>0</v>
      </c>
      <c r="CT61" s="2833">
        <f t="shared" ref="CT61" si="602">SUM(CU61:CV61)</f>
        <v>0</v>
      </c>
      <c r="CU61" s="2833">
        <v>0</v>
      </c>
      <c r="CV61" s="2833">
        <v>0</v>
      </c>
      <c r="CW61" s="2775">
        <f t="shared" ref="CW61" si="603">SUM(CX61:CY61)</f>
        <v>34.463333333333331</v>
      </c>
      <c r="CX61" s="2775">
        <f t="shared" ref="CX61" si="604">SUM(CO61)</f>
        <v>34.463333333333331</v>
      </c>
      <c r="CY61" s="2775">
        <f t="shared" ref="CY61" si="605">SUM(CP61)</f>
        <v>0</v>
      </c>
      <c r="CZ61" s="2775">
        <f t="shared" ref="CZ61" si="606">SUM(DA61:DB61)</f>
        <v>0</v>
      </c>
      <c r="DA61" s="2775">
        <f>SUM('ПОЛНАЯ СЕБЕСТОИМОСТЬ СТОКИ 2023'!AV179)</f>
        <v>0</v>
      </c>
      <c r="DB61" s="2775">
        <f>SUM('ПОЛНАЯ СЕБЕСТОИМОСТЬ СТОКИ 2023'!AW179)</f>
        <v>0</v>
      </c>
      <c r="DC61" s="2833">
        <f t="shared" ref="DC61" si="607">SUM(DD61:DE61)</f>
        <v>0</v>
      </c>
      <c r="DD61" s="2833">
        <v>0</v>
      </c>
      <c r="DE61" s="2833">
        <v>0</v>
      </c>
      <c r="DF61" s="2775">
        <f t="shared" ref="DF61" si="608">SUM(DG61:DH61)</f>
        <v>34.463333333333331</v>
      </c>
      <c r="DG61" s="2775">
        <f t="shared" ref="DG61" si="609">SUM(CX61)</f>
        <v>34.463333333333331</v>
      </c>
      <c r="DH61" s="2775">
        <f t="shared" ref="DH61" si="610">SUM(CY61)</f>
        <v>0</v>
      </c>
      <c r="DI61" s="2775">
        <f t="shared" ref="DI61" si="611">SUM(DJ61:DK61)</f>
        <v>0</v>
      </c>
      <c r="DJ61" s="2775">
        <f>SUM('ПОЛНАЯ СЕБЕСТОИМОСТЬ СТОКИ 2023'!AY179)</f>
        <v>0</v>
      </c>
      <c r="DK61" s="2775">
        <f>SUM('ПОЛНАЯ СЕБЕСТОИМОСТЬ СТОКИ 2023'!AZ179)</f>
        <v>0</v>
      </c>
      <c r="DL61" s="2833">
        <f t="shared" ref="DL61" si="612">SUM(DM61:DN61)</f>
        <v>0</v>
      </c>
      <c r="DM61" s="2833">
        <v>0</v>
      </c>
      <c r="DN61" s="2833">
        <v>0</v>
      </c>
      <c r="DO61" s="2868">
        <f t="shared" ref="DO61" si="613">SUM(CN61+CW61+DF61)</f>
        <v>103.38999999999999</v>
      </c>
      <c r="DP61" s="2868">
        <f t="shared" ref="DP61" si="614">SUM(CO61+CX61+DG61)</f>
        <v>103.38999999999999</v>
      </c>
      <c r="DQ61" s="2868">
        <f t="shared" ref="DQ61" si="615">SUM(CP61+CY61+DH61)</f>
        <v>0</v>
      </c>
      <c r="DR61" s="2868">
        <f t="shared" ref="DR61" si="616">SUM(CQ61+CZ61+DI61)</f>
        <v>0</v>
      </c>
      <c r="DS61" s="2868">
        <f t="shared" ref="DS61" si="617">SUM(CR61+DA61+DJ61)</f>
        <v>0</v>
      </c>
      <c r="DT61" s="2868">
        <f t="shared" ref="DT61" si="618">SUM(CS61+DB61+DK61)</f>
        <v>0</v>
      </c>
      <c r="DU61" s="2868">
        <f t="shared" ref="DU61" si="619">SUM(CT61+DC61+DL61)</f>
        <v>0</v>
      </c>
      <c r="DV61" s="2868">
        <f t="shared" ref="DV61" si="620">SUM(CU61+DD61+DM61)</f>
        <v>0</v>
      </c>
      <c r="DW61" s="2868">
        <f t="shared" ref="DW61" si="621">SUM(CV61+DE61+DN61)</f>
        <v>0</v>
      </c>
      <c r="DX61" s="2839">
        <f t="shared" ref="DX61" si="622">SUM(DR61-DO61)</f>
        <v>-103.38999999999999</v>
      </c>
      <c r="DY61" s="2839">
        <f t="shared" ref="DY61" si="623">SUM(DS61-DP61)</f>
        <v>-103.38999999999999</v>
      </c>
      <c r="DZ61" s="2839">
        <f t="shared" ref="DZ61" si="624">SUM(DT61-DQ61)</f>
        <v>0</v>
      </c>
      <c r="EA61" s="2868">
        <f t="shared" ref="EA61" si="625">SUM(CB61+DO61)</f>
        <v>310.16999999999996</v>
      </c>
      <c r="EB61" s="2868">
        <f t="shared" ref="EB61" si="626">SUM(CC61+DP61)</f>
        <v>310.16999999999996</v>
      </c>
      <c r="EC61" s="2868">
        <f t="shared" ref="EC61" si="627">SUM(CD61+DQ61)</f>
        <v>0</v>
      </c>
      <c r="ED61" s="2868">
        <f t="shared" ref="ED61" si="628">SUM(CE61+DR61)</f>
        <v>0</v>
      </c>
      <c r="EE61" s="2868">
        <f t="shared" ref="EE61" si="629">SUM(CF61+DS61)</f>
        <v>0</v>
      </c>
      <c r="EF61" s="2868">
        <f t="shared" ref="EF61" si="630">SUM(CG61+DT61)</f>
        <v>0</v>
      </c>
      <c r="EG61" s="2868">
        <f t="shared" ref="EG61" si="631">SUM(CH61+DU61)</f>
        <v>0</v>
      </c>
      <c r="EH61" s="2868">
        <f t="shared" ref="EH61" si="632">SUM(CI61+DV61)</f>
        <v>0</v>
      </c>
      <c r="EI61" s="2868">
        <f t="shared" ref="EI61" si="633">SUM(CJ61+DW61)</f>
        <v>0</v>
      </c>
      <c r="EJ61" s="2839">
        <f t="shared" ref="EJ61" si="634">SUM(ED61-EA61)</f>
        <v>-310.16999999999996</v>
      </c>
      <c r="EK61" s="2839">
        <f t="shared" ref="EK61" si="635">SUM(EE61-EB61)</f>
        <v>-310.16999999999996</v>
      </c>
      <c r="EL61" s="2839">
        <f t="shared" ref="EL61" si="636">SUM(EF61-EC61)</f>
        <v>0</v>
      </c>
      <c r="EM61" s="2775">
        <f t="shared" ref="EM61" si="637">SUM(EN61:EO61)</f>
        <v>34.463333333333331</v>
      </c>
      <c r="EN61" s="2775">
        <f>SUM('ПОЛНАЯ СЕБЕСТОИМОСТЬ СТОКИ 2023'!BN179)/3</f>
        <v>34.463333333333331</v>
      </c>
      <c r="EO61" s="2775">
        <f>SUM('ПОЛНАЯ СЕБЕСТОИМОСТЬ СТОКИ 2023'!BO179)/3</f>
        <v>0</v>
      </c>
      <c r="EP61" s="2775">
        <f t="shared" ref="EP61" si="638">SUM(EQ61:ER61)</f>
        <v>0</v>
      </c>
      <c r="EQ61" s="2775">
        <f>SUM('ПОЛНАЯ СЕБЕСТОИМОСТЬ СТОКИ 2023'!BQ179)</f>
        <v>0</v>
      </c>
      <c r="ER61" s="2775">
        <f>SUM('ПОЛНАЯ СЕБЕСТОИМОСТЬ СТОКИ 2023'!BR179)</f>
        <v>0</v>
      </c>
      <c r="ES61" s="2833">
        <f t="shared" ref="ES61" si="639">SUM(ET61:EU61)</f>
        <v>0</v>
      </c>
      <c r="ET61" s="2833">
        <v>0</v>
      </c>
      <c r="EU61" s="2833">
        <v>0</v>
      </c>
      <c r="EV61" s="2775">
        <f t="shared" ref="EV61" si="640">SUM(EW61:EX61)</f>
        <v>34.463333333333331</v>
      </c>
      <c r="EW61" s="2775">
        <f t="shared" ref="EW61" si="641">SUM(EN61)</f>
        <v>34.463333333333331</v>
      </c>
      <c r="EX61" s="2775">
        <f t="shared" ref="EX61" si="642">SUM(EO61)</f>
        <v>0</v>
      </c>
      <c r="EY61" s="2775">
        <f t="shared" ref="EY61" si="643">SUM(EZ61:FA61)</f>
        <v>0</v>
      </c>
      <c r="EZ61" s="2775">
        <f>SUM('ПОЛНАЯ СЕБЕСТОИМОСТЬ СТОКИ 2023'!BT179)</f>
        <v>0</v>
      </c>
      <c r="FA61" s="2775">
        <f>SUM('ПОЛНАЯ СЕБЕСТОИМОСТЬ СТОКИ 2023'!BU179)</f>
        <v>0</v>
      </c>
      <c r="FB61" s="2833">
        <f t="shared" ref="FB61" si="644">SUM(FC61:FD61)</f>
        <v>0</v>
      </c>
      <c r="FC61" s="2833">
        <v>0</v>
      </c>
      <c r="FD61" s="2833">
        <v>0</v>
      </c>
      <c r="FE61" s="2775">
        <f t="shared" ref="FE61" si="645">SUM(FF61:FG61)</f>
        <v>34.463333333333331</v>
      </c>
      <c r="FF61" s="2775">
        <f t="shared" ref="FF61" si="646">SUM(EW61)</f>
        <v>34.463333333333331</v>
      </c>
      <c r="FG61" s="2775">
        <f t="shared" ref="FG61" si="647">SUM(EX61)</f>
        <v>0</v>
      </c>
      <c r="FH61" s="2775">
        <f t="shared" ref="FH61" si="648">SUM(FI61:FJ61)</f>
        <v>0</v>
      </c>
      <c r="FI61" s="2775">
        <f>SUM('ПОЛНАЯ СЕБЕСТОИМОСТЬ СТОКИ 2023'!BW179)</f>
        <v>0</v>
      </c>
      <c r="FJ61" s="2775">
        <f>SUM('ПОЛНАЯ СЕБЕСТОИМОСТЬ СТОКИ 2023'!BX179)</f>
        <v>0</v>
      </c>
      <c r="FK61" s="2833">
        <f t="shared" ref="FK61" si="649">SUM(FL61:FM61)</f>
        <v>0</v>
      </c>
      <c r="FL61" s="2833">
        <v>0</v>
      </c>
      <c r="FM61" s="2833">
        <v>0</v>
      </c>
      <c r="FN61" s="2868">
        <f t="shared" ref="FN61" si="650">SUM(EM61+EV61+FE61)</f>
        <v>103.38999999999999</v>
      </c>
      <c r="FO61" s="2868">
        <f t="shared" ref="FO61" si="651">SUM(EN61+EW61+FF61)</f>
        <v>103.38999999999999</v>
      </c>
      <c r="FP61" s="2868">
        <f t="shared" ref="FP61" si="652">SUM(EO61+EX61+FG61)</f>
        <v>0</v>
      </c>
      <c r="FQ61" s="2868">
        <f t="shared" ref="FQ61" si="653">SUM(EP61+EY61+FH61)</f>
        <v>0</v>
      </c>
      <c r="FR61" s="2868">
        <f t="shared" ref="FR61" si="654">SUM(EQ61+EZ61+FI61)</f>
        <v>0</v>
      </c>
      <c r="FS61" s="2868">
        <f t="shared" ref="FS61" si="655">SUM(ER61+FA61+FJ61)</f>
        <v>0</v>
      </c>
      <c r="FT61" s="2868">
        <f t="shared" ref="FT61" si="656">SUM(ES61+FB61+FK61)</f>
        <v>0</v>
      </c>
      <c r="FU61" s="2868">
        <f t="shared" ref="FU61" si="657">SUM(ET61+FC61+FL61)</f>
        <v>0</v>
      </c>
      <c r="FV61" s="2868">
        <f t="shared" ref="FV61" si="658">SUM(EU61+FD61+FM61)</f>
        <v>0</v>
      </c>
      <c r="FW61" s="2839">
        <f t="shared" ref="FW61" si="659">SUM(FQ61-FN61)</f>
        <v>-103.38999999999999</v>
      </c>
      <c r="FX61" s="2839">
        <f t="shared" ref="FX61" si="660">SUM(FR61-FO61)</f>
        <v>-103.38999999999999</v>
      </c>
      <c r="FY61" s="2839">
        <f t="shared" ref="FY61" si="661">SUM(FS61-FP61)</f>
        <v>0</v>
      </c>
      <c r="FZ61" s="2863">
        <f t="shared" ref="FZ61" si="662">SUM(EA61+FN61)</f>
        <v>413.55999999999995</v>
      </c>
      <c r="GA61" s="2863">
        <f t="shared" ref="GA61" si="663">SUM(EB61+FO61)</f>
        <v>413.55999999999995</v>
      </c>
      <c r="GB61" s="2863">
        <f t="shared" ref="GB61" si="664">SUM(EC61+FP61)</f>
        <v>0</v>
      </c>
      <c r="GC61" s="2868">
        <f t="shared" ref="GC61" si="665">SUM(ED61+FQ61)</f>
        <v>0</v>
      </c>
      <c r="GD61" s="2868">
        <f t="shared" ref="GD61" si="666">SUM(EE61+FR61)</f>
        <v>0</v>
      </c>
      <c r="GE61" s="2868">
        <f t="shared" ref="GE61" si="667">SUM(EF61+FS61)</f>
        <v>0</v>
      </c>
      <c r="GF61" s="2868">
        <f t="shared" ref="GF61" si="668">SUM(EG61+FT61)</f>
        <v>0</v>
      </c>
      <c r="GG61" s="2868">
        <f t="shared" ref="GG61" si="669">SUM(EH61+FU61)</f>
        <v>0</v>
      </c>
      <c r="GH61" s="2868">
        <f t="shared" ref="GH61" si="670">SUM(EI61+FV61)</f>
        <v>0</v>
      </c>
      <c r="GI61" s="2839">
        <f t="shared" ref="GI61" si="671">SUM(GC61-FZ61)</f>
        <v>-413.55999999999995</v>
      </c>
      <c r="GJ61" s="2839">
        <f t="shared" ref="GJ61" si="672">SUM(GD61-GA61)</f>
        <v>-413.55999999999995</v>
      </c>
      <c r="GK61" s="2839">
        <f t="shared" ref="GK61" si="673">SUM(GE61-GB61)</f>
        <v>0</v>
      </c>
      <c r="GM61" s="3576">
        <f t="shared" si="371"/>
        <v>413.55999999999989</v>
      </c>
    </row>
    <row r="62" spans="1:195" ht="18.75" customHeight="1" x14ac:dyDescent="0.3">
      <c r="A62" s="4389" t="s">
        <v>4236</v>
      </c>
      <c r="B62" s="2775">
        <f t="shared" ref="B62" si="674">SUM(C62:D62)</f>
        <v>188.31669773799965</v>
      </c>
      <c r="C62" s="2775">
        <f>SUM('ПОЛНАЯ СЕБЕСТОИМОСТЬ СТОКИ 2023'!C180)/3</f>
        <v>188.31669773799965</v>
      </c>
      <c r="D62" s="2775">
        <f>SUM('ПОЛНАЯ СЕБЕСТОИМОСТЬ СТОКИ 2023'!D180)/3</f>
        <v>0</v>
      </c>
      <c r="E62" s="2775">
        <f t="shared" ref="E62" si="675">SUM(F62:G62)</f>
        <v>0</v>
      </c>
      <c r="F62" s="2775">
        <f>SUM('ПОЛНАЯ СЕБЕСТОИМОСТЬ СТОКИ 2023'!F180)</f>
        <v>0</v>
      </c>
      <c r="G62" s="2775">
        <f>SUM('ПОЛНАЯ СЕБЕСТОИМОСТЬ СТОКИ 2023'!G180)</f>
        <v>0</v>
      </c>
      <c r="H62" s="2833">
        <f t="shared" ref="H62" si="676">SUM(I62:J62)</f>
        <v>0</v>
      </c>
      <c r="I62" s="2833"/>
      <c r="J62" s="2833"/>
      <c r="K62" s="2775">
        <f t="shared" ref="K62" si="677">SUM(L62:M62)</f>
        <v>188.31669773799965</v>
      </c>
      <c r="L62" s="2775">
        <f t="shared" ref="L62" si="678">SUM(C62)</f>
        <v>188.31669773799965</v>
      </c>
      <c r="M62" s="2775">
        <f t="shared" ref="M62" si="679">SUM(D62)</f>
        <v>0</v>
      </c>
      <c r="N62" s="2775">
        <f t="shared" ref="N62" si="680">SUM(O62:P62)</f>
        <v>0</v>
      </c>
      <c r="O62" s="2775">
        <f>SUM('ПОЛНАЯ СЕБЕСТОИМОСТЬ СТОКИ 2023'!I180)</f>
        <v>0</v>
      </c>
      <c r="P62" s="2775">
        <f>SUM('ПОЛНАЯ СЕБЕСТОИМОСТЬ СТОКИ 2023'!J180)</f>
        <v>0</v>
      </c>
      <c r="Q62" s="2833">
        <f t="shared" ref="Q62" si="681">SUM(R62:S62)</f>
        <v>0</v>
      </c>
      <c r="R62" s="2833"/>
      <c r="S62" s="2833"/>
      <c r="T62" s="2775">
        <f t="shared" ref="T62" si="682">SUM(U62:V62)</f>
        <v>188.31669773799965</v>
      </c>
      <c r="U62" s="2775">
        <f t="shared" ref="U62" si="683">SUM(L62)</f>
        <v>188.31669773799965</v>
      </c>
      <c r="V62" s="2775">
        <f t="shared" ref="V62" si="684">SUM(M62)</f>
        <v>0</v>
      </c>
      <c r="W62" s="2775">
        <f t="shared" ref="W62" si="685">SUM(X62:Y62)</f>
        <v>0</v>
      </c>
      <c r="X62" s="2775">
        <f>SUM('ПОЛНАЯ СЕБЕСТОИМОСТЬ СТОКИ 2023'!L180)</f>
        <v>0</v>
      </c>
      <c r="Y62" s="2775">
        <f>SUM('ПОЛНАЯ СЕБЕСТОИМОСТЬ СТОКИ 2023'!M180)</f>
        <v>0</v>
      </c>
      <c r="Z62" s="2833">
        <f t="shared" ref="Z62" si="686">SUM(AA62:AB62)</f>
        <v>0</v>
      </c>
      <c r="AA62" s="2833"/>
      <c r="AB62" s="2833"/>
      <c r="AC62" s="2868">
        <f t="shared" ref="AC62" si="687">SUM(B62+K62+T62)</f>
        <v>564.95009321399891</v>
      </c>
      <c r="AD62" s="2868">
        <f t="shared" ref="AD62" si="688">SUM(C62+L62+U62)</f>
        <v>564.95009321399891</v>
      </c>
      <c r="AE62" s="2868">
        <f t="shared" ref="AE62" si="689">SUM(D62+M62+V62)</f>
        <v>0</v>
      </c>
      <c r="AF62" s="2868">
        <f t="shared" ref="AF62" si="690">SUM(E62+N62+W62)</f>
        <v>0</v>
      </c>
      <c r="AG62" s="2868">
        <f t="shared" ref="AG62" si="691">SUM(F62+O62+X62)</f>
        <v>0</v>
      </c>
      <c r="AH62" s="2868">
        <f t="shared" ref="AH62" si="692">SUM(G62+P62+Y62)</f>
        <v>0</v>
      </c>
      <c r="AI62" s="2868">
        <f t="shared" ref="AI62" si="693">SUM(H62+Q62+Z62)</f>
        <v>0</v>
      </c>
      <c r="AJ62" s="2868">
        <f t="shared" ref="AJ62" si="694">SUM(I62+R62+AA62)</f>
        <v>0</v>
      </c>
      <c r="AK62" s="2868">
        <f t="shared" ref="AK62" si="695">SUM(J62+S62+AB62)</f>
        <v>0</v>
      </c>
      <c r="AL62" s="2839">
        <f t="shared" ref="AL62:AN63" si="696">SUM(AF62-AC62)</f>
        <v>-564.95009321399891</v>
      </c>
      <c r="AM62" s="2839">
        <f t="shared" ref="AM62" si="697">SUM(AG62-AD62)</f>
        <v>-564.95009321399891</v>
      </c>
      <c r="AN62" s="2839">
        <f t="shared" ref="AN62" si="698">SUM(AH62-AE62)</f>
        <v>0</v>
      </c>
      <c r="AO62" s="2775">
        <f t="shared" ref="AO62" si="699">SUM(AP62:AQ62)</f>
        <v>188.31669773799965</v>
      </c>
      <c r="AP62" s="2775">
        <f>SUM('ПОЛНАЯ СЕБЕСТОИМОСТЬ СТОКИ 2023'!R180)/3</f>
        <v>188.31669773799965</v>
      </c>
      <c r="AQ62" s="2775">
        <f>SUM('ПОЛНАЯ СЕБЕСТОИМОСТЬ СТОКИ 2023'!S180)/3</f>
        <v>0</v>
      </c>
      <c r="AR62" s="2775">
        <f t="shared" ref="AR62" si="700">SUM(AS62:AT62)</f>
        <v>0</v>
      </c>
      <c r="AS62" s="2775">
        <f>SUM('ПОЛНАЯ СЕБЕСТОИМОСТЬ СТОКИ 2023'!U180)</f>
        <v>0</v>
      </c>
      <c r="AT62" s="2775">
        <f>SUM('ПОЛНАЯ СЕБЕСТОИМОСТЬ СТОКИ 2023'!V180)</f>
        <v>0</v>
      </c>
      <c r="AU62" s="2833">
        <f t="shared" ref="AU62" si="701">SUM(AV62:AW62)</f>
        <v>0</v>
      </c>
      <c r="AV62" s="2833"/>
      <c r="AW62" s="2833"/>
      <c r="AX62" s="2775">
        <f t="shared" ref="AX62" si="702">SUM(AY62:AZ62)</f>
        <v>188.31669773799965</v>
      </c>
      <c r="AY62" s="2775">
        <f t="shared" ref="AY62" si="703">SUM(AP62)</f>
        <v>188.31669773799965</v>
      </c>
      <c r="AZ62" s="2775">
        <f t="shared" ref="AZ62" si="704">SUM(AQ62)</f>
        <v>0</v>
      </c>
      <c r="BA62" s="2832">
        <f t="shared" ref="BA62" si="705">SUM(BB62:BC62)</f>
        <v>0</v>
      </c>
      <c r="BB62" s="2832">
        <f>SUM('ПОЛНАЯ СЕБЕСТОИМОСТЬ СТОКИ 2023'!X180)</f>
        <v>0</v>
      </c>
      <c r="BC62" s="2832">
        <f>SUM('ПОЛНАЯ СЕБЕСТОИМОСТЬ СТОКИ 2023'!Y180)</f>
        <v>0</v>
      </c>
      <c r="BD62" s="2833">
        <f t="shared" ref="BD62" si="706">SUM(BE62:BF62)</f>
        <v>0</v>
      </c>
      <c r="BE62" s="2833"/>
      <c r="BF62" s="2833"/>
      <c r="BG62" s="2775">
        <f t="shared" ref="BG62" si="707">SUM(BH62:BI62)</f>
        <v>188.31669773799965</v>
      </c>
      <c r="BH62" s="2775">
        <f t="shared" ref="BH62" si="708">SUM(AY62)</f>
        <v>188.31669773799965</v>
      </c>
      <c r="BI62" s="2775">
        <f t="shared" ref="BI62" si="709">SUM(AZ62)</f>
        <v>0</v>
      </c>
      <c r="BJ62" s="2775">
        <f t="shared" ref="BJ62" si="710">SUM(BK62:BL62)</f>
        <v>0</v>
      </c>
      <c r="BK62" s="2775">
        <f>SUM('ПОЛНАЯ СЕБЕСТОИМОСТЬ СТОКИ 2023'!AA180)</f>
        <v>0</v>
      </c>
      <c r="BL62" s="2775">
        <f>SUM('ПОЛНАЯ СЕБЕСТОИМОСТЬ СТОКИ 2023'!AB180)</f>
        <v>0</v>
      </c>
      <c r="BM62" s="2833">
        <f t="shared" ref="BM62" si="711">SUM(BN62:BO62)</f>
        <v>0</v>
      </c>
      <c r="BN62" s="2833"/>
      <c r="BO62" s="2833"/>
      <c r="BP62" s="2868">
        <f t="shared" ref="BP62" si="712">SUM(AO62+AX62+BG62)</f>
        <v>564.95009321399891</v>
      </c>
      <c r="BQ62" s="2868">
        <f t="shared" ref="BQ62" si="713">SUM(AP62+AY62+BH62)</f>
        <v>564.95009321399891</v>
      </c>
      <c r="BR62" s="2868">
        <f t="shared" ref="BR62" si="714">SUM(AQ62+AZ62+BI62)</f>
        <v>0</v>
      </c>
      <c r="BS62" s="2868">
        <f t="shared" ref="BS62" si="715">SUM(AR62+BA62+BJ62)</f>
        <v>0</v>
      </c>
      <c r="BT62" s="2868">
        <f t="shared" ref="BT62" si="716">SUM(AS62+BB62+BK62)</f>
        <v>0</v>
      </c>
      <c r="BU62" s="2868">
        <f t="shared" ref="BU62" si="717">SUM(AT62+BC62+BL62)</f>
        <v>0</v>
      </c>
      <c r="BV62" s="2868">
        <f t="shared" ref="BV62" si="718">SUM(AU62+BD62+BM62)</f>
        <v>0</v>
      </c>
      <c r="BW62" s="2868">
        <f t="shared" ref="BW62" si="719">SUM(AV62+BE62+BN62)</f>
        <v>0</v>
      </c>
      <c r="BX62" s="2868">
        <f t="shared" ref="BX62" si="720">SUM(AW62+BF62+BO62)</f>
        <v>0</v>
      </c>
      <c r="BY62" s="2839">
        <f t="shared" ref="BY62:CA63" si="721">SUM(BS62-BP62)</f>
        <v>-564.95009321399891</v>
      </c>
      <c r="BZ62" s="2839">
        <f t="shared" ref="BZ62" si="722">SUM(BT62-BQ62)</f>
        <v>-564.95009321399891</v>
      </c>
      <c r="CA62" s="2839">
        <f t="shared" ref="CA62" si="723">SUM(BU62-BR62)</f>
        <v>0</v>
      </c>
      <c r="CB62" s="2868">
        <f t="shared" ref="CB62:CJ63" si="724">SUM(AC62+BP62)</f>
        <v>1129.9001864279978</v>
      </c>
      <c r="CC62" s="2868">
        <f t="shared" ref="CC62" si="725">SUM(AD62+BQ62)</f>
        <v>1129.9001864279978</v>
      </c>
      <c r="CD62" s="2868">
        <f t="shared" ref="CD62" si="726">SUM(AE62+BR62)</f>
        <v>0</v>
      </c>
      <c r="CE62" s="2868">
        <f t="shared" ref="CE62" si="727">SUM(AF62+BS62)</f>
        <v>0</v>
      </c>
      <c r="CF62" s="2868">
        <f t="shared" ref="CF62" si="728">SUM(AG62+BT62)</f>
        <v>0</v>
      </c>
      <c r="CG62" s="2868">
        <f t="shared" ref="CG62" si="729">SUM(AH62+BU62)</f>
        <v>0</v>
      </c>
      <c r="CH62" s="2883">
        <f t="shared" ref="CH62" si="730">SUM(AI62+BV62)</f>
        <v>0</v>
      </c>
      <c r="CI62" s="2883">
        <f t="shared" ref="CI62" si="731">SUM(AJ62+BW62)</f>
        <v>0</v>
      </c>
      <c r="CJ62" s="2883">
        <f t="shared" ref="CJ62" si="732">SUM(AK62+BX62)</f>
        <v>0</v>
      </c>
      <c r="CK62" s="2839">
        <f t="shared" ref="CK62:CM63" si="733">SUM(CE62-CB62)</f>
        <v>-1129.9001864279978</v>
      </c>
      <c r="CL62" s="2839">
        <f t="shared" ref="CL62" si="734">SUM(CF62-CC62)</f>
        <v>-1129.9001864279978</v>
      </c>
      <c r="CM62" s="2839">
        <f t="shared" ref="CM62" si="735">SUM(CG62-CD62)</f>
        <v>0</v>
      </c>
      <c r="CN62" s="2775">
        <f t="shared" ref="CN62" si="736">SUM(CO62:CP62)</f>
        <v>188.31669773799965</v>
      </c>
      <c r="CO62" s="2775">
        <f>SUM('ПОЛНАЯ СЕБЕСТОИМОСТЬ СТОКИ 2023'!AP180)/3</f>
        <v>188.31669773799965</v>
      </c>
      <c r="CP62" s="2775">
        <f>SUM('ПОЛНАЯ СЕБЕСТОИМОСТЬ СТОКИ 2023'!AQ180)/3</f>
        <v>0</v>
      </c>
      <c r="CQ62" s="2775">
        <f t="shared" ref="CQ62" si="737">SUM(CR62:CS62)</f>
        <v>0</v>
      </c>
      <c r="CR62" s="2775">
        <f>SUM('ПОЛНАЯ СЕБЕСТОИМОСТЬ СТОКИ 2023'!AS180)</f>
        <v>0</v>
      </c>
      <c r="CS62" s="2775">
        <f>SUM('ПОЛНАЯ СЕБЕСТОИМОСТЬ СТОКИ 2023'!AT180)</f>
        <v>0</v>
      </c>
      <c r="CT62" s="2833">
        <f t="shared" ref="CT62" si="738">SUM(CU62:CV62)</f>
        <v>0</v>
      </c>
      <c r="CU62" s="2833"/>
      <c r="CV62" s="2833"/>
      <c r="CW62" s="2775">
        <f t="shared" ref="CW62" si="739">SUM(CX62:CY62)</f>
        <v>188.31669773799965</v>
      </c>
      <c r="CX62" s="2775">
        <f t="shared" ref="CX62" si="740">SUM(CO62)</f>
        <v>188.31669773799965</v>
      </c>
      <c r="CY62" s="2775">
        <f t="shared" ref="CY62" si="741">SUM(CP62)</f>
        <v>0</v>
      </c>
      <c r="CZ62" s="2775">
        <f t="shared" ref="CZ62" si="742">SUM(DA62:DB62)</f>
        <v>0</v>
      </c>
      <c r="DA62" s="2775">
        <f>SUM('ПОЛНАЯ СЕБЕСТОИМОСТЬ СТОКИ 2023'!AV180)</f>
        <v>0</v>
      </c>
      <c r="DB62" s="2775">
        <f>SUM('ПОЛНАЯ СЕБЕСТОИМОСТЬ СТОКИ 2023'!AW180)</f>
        <v>0</v>
      </c>
      <c r="DC62" s="2833">
        <f t="shared" ref="DC62" si="743">SUM(DD62:DE62)</f>
        <v>0</v>
      </c>
      <c r="DD62" s="2833"/>
      <c r="DE62" s="2833"/>
      <c r="DF62" s="2775">
        <f t="shared" ref="DF62" si="744">SUM(DG62:DH62)</f>
        <v>188.31669773799965</v>
      </c>
      <c r="DG62" s="2775">
        <f t="shared" ref="DG62" si="745">SUM(CX62)</f>
        <v>188.31669773799965</v>
      </c>
      <c r="DH62" s="2775">
        <f t="shared" ref="DH62" si="746">SUM(CY62)</f>
        <v>0</v>
      </c>
      <c r="DI62" s="2775">
        <f t="shared" ref="DI62" si="747">SUM(DJ62:DK62)</f>
        <v>0</v>
      </c>
      <c r="DJ62" s="2775">
        <f>SUM('ПОЛНАЯ СЕБЕСТОИМОСТЬ СТОКИ 2023'!AY180)</f>
        <v>0</v>
      </c>
      <c r="DK62" s="2775">
        <f>SUM('ПОЛНАЯ СЕБЕСТОИМОСТЬ СТОКИ 2023'!AZ180)</f>
        <v>0</v>
      </c>
      <c r="DL62" s="2833">
        <f t="shared" ref="DL62" si="748">SUM(DM62:DN62)</f>
        <v>0</v>
      </c>
      <c r="DM62" s="2833"/>
      <c r="DN62" s="2833"/>
      <c r="DO62" s="2868">
        <f t="shared" ref="DO62" si="749">SUM(CN62+CW62+DF62)</f>
        <v>564.95009321399891</v>
      </c>
      <c r="DP62" s="2868">
        <f t="shared" ref="DP62" si="750">SUM(CO62+CX62+DG62)</f>
        <v>564.95009321399891</v>
      </c>
      <c r="DQ62" s="2868">
        <f t="shared" ref="DQ62" si="751">SUM(CP62+CY62+DH62)</f>
        <v>0</v>
      </c>
      <c r="DR62" s="2868">
        <f t="shared" ref="DR62" si="752">SUM(CQ62+CZ62+DI62)</f>
        <v>0</v>
      </c>
      <c r="DS62" s="2868">
        <f t="shared" ref="DS62" si="753">SUM(CR62+DA62+DJ62)</f>
        <v>0</v>
      </c>
      <c r="DT62" s="2868">
        <f t="shared" ref="DT62" si="754">SUM(CS62+DB62+DK62)</f>
        <v>0</v>
      </c>
      <c r="DU62" s="2868">
        <f t="shared" ref="DU62" si="755">SUM(CT62+DC62+DL62)</f>
        <v>0</v>
      </c>
      <c r="DV62" s="2868">
        <f t="shared" ref="DV62" si="756">SUM(CU62+DD62+DM62)</f>
        <v>0</v>
      </c>
      <c r="DW62" s="2868">
        <f t="shared" ref="DW62" si="757">SUM(CV62+DE62+DN62)</f>
        <v>0</v>
      </c>
      <c r="DX62" s="2839">
        <f t="shared" ref="DX62:DZ63" si="758">SUM(DR62-DO62)</f>
        <v>-564.95009321399891</v>
      </c>
      <c r="DY62" s="2839">
        <f t="shared" ref="DY62" si="759">SUM(DS62-DP62)</f>
        <v>-564.95009321399891</v>
      </c>
      <c r="DZ62" s="2839">
        <f t="shared" ref="DZ62" si="760">SUM(DT62-DQ62)</f>
        <v>0</v>
      </c>
      <c r="EA62" s="2868">
        <f t="shared" ref="EA62:EI63" si="761">SUM(CB62+DO62)</f>
        <v>1694.8502796419966</v>
      </c>
      <c r="EB62" s="2868">
        <f t="shared" ref="EB62" si="762">SUM(CC62+DP62)</f>
        <v>1694.8502796419966</v>
      </c>
      <c r="EC62" s="2868">
        <f t="shared" ref="EC62" si="763">SUM(CD62+DQ62)</f>
        <v>0</v>
      </c>
      <c r="ED62" s="2868">
        <f t="shared" ref="ED62" si="764">SUM(CE62+DR62)</f>
        <v>0</v>
      </c>
      <c r="EE62" s="2868">
        <f t="shared" ref="EE62" si="765">SUM(CF62+DS62)</f>
        <v>0</v>
      </c>
      <c r="EF62" s="2868">
        <f t="shared" ref="EF62" si="766">SUM(CG62+DT62)</f>
        <v>0</v>
      </c>
      <c r="EG62" s="2868">
        <f t="shared" ref="EG62" si="767">SUM(CH62+DU62)</f>
        <v>0</v>
      </c>
      <c r="EH62" s="2868">
        <f t="shared" ref="EH62" si="768">SUM(CI62+DV62)</f>
        <v>0</v>
      </c>
      <c r="EI62" s="2868">
        <f t="shared" ref="EI62" si="769">SUM(CJ62+DW62)</f>
        <v>0</v>
      </c>
      <c r="EJ62" s="2839">
        <f t="shared" ref="EJ62:EL63" si="770">SUM(ED62-EA62)</f>
        <v>-1694.8502796419966</v>
      </c>
      <c r="EK62" s="2839">
        <f t="shared" ref="EK62" si="771">SUM(EE62-EB62)</f>
        <v>-1694.8502796419966</v>
      </c>
      <c r="EL62" s="2839">
        <f t="shared" ref="EL62" si="772">SUM(EF62-EC62)</f>
        <v>0</v>
      </c>
      <c r="EM62" s="2775">
        <f t="shared" ref="EM62" si="773">SUM(EN62:EO62)</f>
        <v>188.31669773799965</v>
      </c>
      <c r="EN62" s="2775">
        <f>SUM('ПОЛНАЯ СЕБЕСТОИМОСТЬ СТОКИ 2023'!BN180)/3</f>
        <v>188.31669773799965</v>
      </c>
      <c r="EO62" s="2775">
        <f>SUM('ПОЛНАЯ СЕБЕСТОИМОСТЬ СТОКИ 2023'!BO180)/3</f>
        <v>0</v>
      </c>
      <c r="EP62" s="2775">
        <f t="shared" ref="EP62" si="774">SUM(EQ62:ER62)</f>
        <v>0</v>
      </c>
      <c r="EQ62" s="2775">
        <f>SUM('ПОЛНАЯ СЕБЕСТОИМОСТЬ СТОКИ 2023'!BQ180)</f>
        <v>0</v>
      </c>
      <c r="ER62" s="2775">
        <f>SUM('ПОЛНАЯ СЕБЕСТОИМОСТЬ СТОКИ 2023'!BR180)</f>
        <v>0</v>
      </c>
      <c r="ES62" s="2833">
        <f t="shared" ref="ES62" si="775">SUM(ET62:EU62)</f>
        <v>0</v>
      </c>
      <c r="ET62" s="2833"/>
      <c r="EU62" s="2833"/>
      <c r="EV62" s="2775">
        <f t="shared" ref="EV62" si="776">SUM(EW62:EX62)</f>
        <v>188.31669773799965</v>
      </c>
      <c r="EW62" s="2775">
        <f t="shared" ref="EW62" si="777">SUM(EN62)</f>
        <v>188.31669773799965</v>
      </c>
      <c r="EX62" s="2775">
        <f t="shared" ref="EX62" si="778">SUM(EO62)</f>
        <v>0</v>
      </c>
      <c r="EY62" s="2775">
        <f t="shared" ref="EY62" si="779">SUM(EZ62:FA62)</f>
        <v>0</v>
      </c>
      <c r="EZ62" s="2775">
        <f>SUM('ПОЛНАЯ СЕБЕСТОИМОСТЬ СТОКИ 2023'!BT180)</f>
        <v>0</v>
      </c>
      <c r="FA62" s="2775">
        <f>SUM('ПОЛНАЯ СЕБЕСТОИМОСТЬ СТОКИ 2023'!BU180)</f>
        <v>0</v>
      </c>
      <c r="FB62" s="2833">
        <f t="shared" ref="FB62" si="780">SUM(FC62:FD62)</f>
        <v>0</v>
      </c>
      <c r="FC62" s="2833"/>
      <c r="FD62" s="2833"/>
      <c r="FE62" s="2775">
        <f t="shared" ref="FE62" si="781">SUM(FF62:FG62)</f>
        <v>188.31669773799965</v>
      </c>
      <c r="FF62" s="2775">
        <f t="shared" ref="FF62" si="782">SUM(EW62)</f>
        <v>188.31669773799965</v>
      </c>
      <c r="FG62" s="2775">
        <f t="shared" ref="FG62" si="783">SUM(EX62)</f>
        <v>0</v>
      </c>
      <c r="FH62" s="2775">
        <f t="shared" ref="FH62" si="784">SUM(FI62:FJ62)</f>
        <v>0</v>
      </c>
      <c r="FI62" s="2775">
        <f>SUM('ПОЛНАЯ СЕБЕСТОИМОСТЬ СТОКИ 2023'!BW180)</f>
        <v>0</v>
      </c>
      <c r="FJ62" s="2775">
        <f>SUM('ПОЛНАЯ СЕБЕСТОИМОСТЬ СТОКИ 2023'!BX180)</f>
        <v>0</v>
      </c>
      <c r="FK62" s="2833">
        <f t="shared" ref="FK62" si="785">SUM(FL62:FM62)</f>
        <v>0</v>
      </c>
      <c r="FL62" s="2833"/>
      <c r="FM62" s="2833"/>
      <c r="FN62" s="2868">
        <f t="shared" ref="FN62" si="786">SUM(EM62+EV62+FE62)</f>
        <v>564.95009321399891</v>
      </c>
      <c r="FO62" s="2868">
        <f t="shared" ref="FO62" si="787">SUM(EN62+EW62+FF62)</f>
        <v>564.95009321399891</v>
      </c>
      <c r="FP62" s="2868">
        <f t="shared" ref="FP62" si="788">SUM(EO62+EX62+FG62)</f>
        <v>0</v>
      </c>
      <c r="FQ62" s="2868">
        <f t="shared" ref="FQ62" si="789">SUM(EP62+EY62+FH62)</f>
        <v>0</v>
      </c>
      <c r="FR62" s="2868">
        <f t="shared" ref="FR62" si="790">SUM(EQ62+EZ62+FI62)</f>
        <v>0</v>
      </c>
      <c r="FS62" s="2868">
        <f t="shared" ref="FS62" si="791">SUM(ER62+FA62+FJ62)</f>
        <v>0</v>
      </c>
      <c r="FT62" s="2868">
        <f t="shared" ref="FT62" si="792">SUM(ES62+FB62+FK62)</f>
        <v>0</v>
      </c>
      <c r="FU62" s="2868">
        <f t="shared" ref="FU62" si="793">SUM(ET62+FC62+FL62)</f>
        <v>0</v>
      </c>
      <c r="FV62" s="2868">
        <f t="shared" ref="FV62" si="794">SUM(EU62+FD62+FM62)</f>
        <v>0</v>
      </c>
      <c r="FW62" s="2839">
        <f t="shared" ref="FW62:FY63" si="795">SUM(FQ62-FN62)</f>
        <v>-564.95009321399891</v>
      </c>
      <c r="FX62" s="2839">
        <f t="shared" ref="FX62" si="796">SUM(FR62-FO62)</f>
        <v>-564.95009321399891</v>
      </c>
      <c r="FY62" s="2839">
        <f t="shared" ref="FY62" si="797">SUM(FS62-FP62)</f>
        <v>0</v>
      </c>
      <c r="FZ62" s="2863">
        <f t="shared" ref="FZ62:GH63" si="798">SUM(EA62+FN62)</f>
        <v>2259.8003728559956</v>
      </c>
      <c r="GA62" s="2863">
        <f t="shared" ref="GA62" si="799">SUM(EB62+FO62)</f>
        <v>2259.8003728559956</v>
      </c>
      <c r="GB62" s="2863">
        <f t="shared" ref="GB62" si="800">SUM(EC62+FP62)</f>
        <v>0</v>
      </c>
      <c r="GC62" s="2868">
        <f t="shared" ref="GC62" si="801">SUM(ED62+FQ62)</f>
        <v>0</v>
      </c>
      <c r="GD62" s="2868">
        <f t="shared" ref="GD62" si="802">SUM(EE62+FR62)</f>
        <v>0</v>
      </c>
      <c r="GE62" s="2868">
        <f t="shared" ref="GE62" si="803">SUM(EF62+FS62)</f>
        <v>0</v>
      </c>
      <c r="GF62" s="2868">
        <f t="shared" ref="GF62" si="804">SUM(EG62+FT62)</f>
        <v>0</v>
      </c>
      <c r="GG62" s="2868">
        <f t="shared" ref="GG62" si="805">SUM(EH62+FU62)</f>
        <v>0</v>
      </c>
      <c r="GH62" s="2868">
        <f t="shared" ref="GH62" si="806">SUM(EI62+FV62)</f>
        <v>0</v>
      </c>
      <c r="GI62" s="2839">
        <f t="shared" ref="GI62:GI63" si="807">SUM(GC62-FZ62)</f>
        <v>-2259.8003728559956</v>
      </c>
      <c r="GJ62" s="2839">
        <f t="shared" ref="GJ62:GK63" si="808">SUM(GD62-GA62)</f>
        <v>-2259.8003728559956</v>
      </c>
      <c r="GK62" s="2839">
        <f t="shared" ref="GK62" si="809">SUM(GE62-GB62)</f>
        <v>0</v>
      </c>
      <c r="GM62" s="3576"/>
    </row>
    <row r="63" spans="1:195" ht="18.75" customHeight="1" x14ac:dyDescent="0.3">
      <c r="A63" s="2796" t="s">
        <v>12</v>
      </c>
      <c r="B63" s="4415">
        <f t="shared" ref="B63:G63" si="810">SUM(B35+B36+B38+B39+B40+B41+B43+B48+B52+B59+B60+B61+B37+B62)</f>
        <v>10428.227550837204</v>
      </c>
      <c r="C63" s="4415">
        <f t="shared" si="810"/>
        <v>10401.319416917349</v>
      </c>
      <c r="D63" s="4415">
        <f t="shared" si="810"/>
        <v>26.908133919854865</v>
      </c>
      <c r="E63" s="4415">
        <f t="shared" si="810"/>
        <v>11589.633080000001</v>
      </c>
      <c r="F63" s="4415">
        <f t="shared" si="810"/>
        <v>11566.716999999999</v>
      </c>
      <c r="G63" s="4415">
        <f t="shared" si="810"/>
        <v>22.916080000000001</v>
      </c>
      <c r="H63" s="4415">
        <f t="shared" ref="H63:Z63" si="811">SUM(H35+H36+H38+H39+H40+H41+H43+H48+H52+H59+H60+H61+H37)</f>
        <v>7745.6729300000006</v>
      </c>
      <c r="I63" s="4415">
        <v>7730.3605200000002</v>
      </c>
      <c r="J63" s="4415">
        <v>15.31241</v>
      </c>
      <c r="K63" s="4415">
        <f t="shared" ref="K63:P63" si="812">SUM(K35+K36+K38+K39+K40+K41+K43+K48+K52+K59+K60+K61+K37+K62)</f>
        <v>10428.227550837204</v>
      </c>
      <c r="L63" s="4415">
        <f t="shared" si="812"/>
        <v>10401.319416917349</v>
      </c>
      <c r="M63" s="4415">
        <f t="shared" si="812"/>
        <v>26.908133919854865</v>
      </c>
      <c r="N63" s="4415">
        <f t="shared" si="812"/>
        <v>10360.789510000001</v>
      </c>
      <c r="O63" s="4415">
        <f t="shared" si="812"/>
        <v>10341.014760000002</v>
      </c>
      <c r="P63" s="4415">
        <f t="shared" si="812"/>
        <v>19.774750000000001</v>
      </c>
      <c r="Q63" s="4415">
        <f t="shared" si="811"/>
        <v>7009.2498999999998</v>
      </c>
      <c r="R63" s="4415">
        <v>6995.9250000000002</v>
      </c>
      <c r="S63" s="4415">
        <v>13.324900000000001</v>
      </c>
      <c r="T63" s="4415">
        <f t="shared" ref="T63:Y63" si="813">SUM(T35+T36+T38+T39+T40+T41+T43+T48+T52+T59+T60+T61+T37+T62)</f>
        <v>10428.227550837204</v>
      </c>
      <c r="U63" s="4415">
        <f t="shared" si="813"/>
        <v>10401.319416917349</v>
      </c>
      <c r="V63" s="4415">
        <f t="shared" si="813"/>
        <v>26.908133919854865</v>
      </c>
      <c r="W63" s="4415">
        <f t="shared" si="813"/>
        <v>11126.872460000001</v>
      </c>
      <c r="X63" s="4415">
        <f t="shared" si="813"/>
        <v>11099.07595</v>
      </c>
      <c r="Y63" s="4415">
        <f t="shared" si="813"/>
        <v>27.796510000000001</v>
      </c>
      <c r="Z63" s="4415">
        <f t="shared" si="811"/>
        <v>11943.08502</v>
      </c>
      <c r="AA63" s="4415">
        <v>11917.26583</v>
      </c>
      <c r="AB63" s="4415">
        <v>25.819189999999999</v>
      </c>
      <c r="AC63" s="4417">
        <f t="shared" ref="AC63" si="814">SUM(B63+K63+T63)</f>
        <v>31284.682652511612</v>
      </c>
      <c r="AD63" s="4417">
        <f t="shared" ref="AD63:AK63" si="815">SUM(C63+L63+U63)</f>
        <v>31203.958250752046</v>
      </c>
      <c r="AE63" s="4417">
        <f t="shared" si="815"/>
        <v>80.7244017595646</v>
      </c>
      <c r="AF63" s="4417">
        <f t="shared" si="815"/>
        <v>33077.295050000001</v>
      </c>
      <c r="AG63" s="4417">
        <f t="shared" si="815"/>
        <v>33006.807710000001</v>
      </c>
      <c r="AH63" s="4417">
        <f t="shared" si="815"/>
        <v>70.487340000000003</v>
      </c>
      <c r="AI63" s="4417">
        <f t="shared" si="815"/>
        <v>26698.007850000002</v>
      </c>
      <c r="AJ63" s="4417">
        <f t="shared" si="815"/>
        <v>26643.551350000002</v>
      </c>
      <c r="AK63" s="4417">
        <f t="shared" si="815"/>
        <v>54.456499999999998</v>
      </c>
      <c r="AL63" s="4473">
        <f t="shared" si="696"/>
        <v>1792.6123974883885</v>
      </c>
      <c r="AM63" s="4473">
        <f t="shared" si="696"/>
        <v>1802.8494592479547</v>
      </c>
      <c r="AN63" s="4473">
        <f t="shared" si="696"/>
        <v>-10.237061759564597</v>
      </c>
      <c r="AO63" s="4415">
        <f t="shared" ref="AO63:AT63" si="816">SUM(AO35+AO36+AO38+AO39+AO40+AO41+AO43+AO48+AO52+AO59+AO60+AO61+AO37+AO62)</f>
        <v>10428.227550837204</v>
      </c>
      <c r="AP63" s="4415">
        <f t="shared" si="816"/>
        <v>10401.319416917349</v>
      </c>
      <c r="AQ63" s="4415">
        <f t="shared" si="816"/>
        <v>26.908133919854865</v>
      </c>
      <c r="AR63" s="4415">
        <f t="shared" si="816"/>
        <v>12108.15249</v>
      </c>
      <c r="AS63" s="4415">
        <f t="shared" si="816"/>
        <v>12092.445710000002</v>
      </c>
      <c r="AT63" s="4415">
        <f t="shared" si="816"/>
        <v>15.70678</v>
      </c>
      <c r="AU63" s="4415">
        <f t="shared" ref="AU63:BM63" si="817">SUM(AU35+AU36+AU38+AU39+AU40+AU41+AU43+AU48+AU52+AU59+AU60+AU61+AU37)</f>
        <v>8731.1980000000003</v>
      </c>
      <c r="AV63" s="4415">
        <v>8713.6820000000007</v>
      </c>
      <c r="AW63" s="4415">
        <v>17.516000000000002</v>
      </c>
      <c r="AX63" s="4415">
        <f t="shared" ref="AX63:BC63" si="818">SUM(AX35+AX36+AX38+AX39+AX40+AX41+AX43+AX48+AX52+AX59+AX60+AX61+AX37+AX62)</f>
        <v>10428.227550837204</v>
      </c>
      <c r="AY63" s="4415">
        <f t="shared" si="818"/>
        <v>10401.319416917349</v>
      </c>
      <c r="AZ63" s="4415">
        <f t="shared" si="818"/>
        <v>26.908133919854865</v>
      </c>
      <c r="BA63" s="4415">
        <f t="shared" si="818"/>
        <v>12418.618109999999</v>
      </c>
      <c r="BB63" s="4415">
        <f t="shared" si="818"/>
        <v>12396.967999999999</v>
      </c>
      <c r="BC63" s="4415">
        <f t="shared" si="818"/>
        <v>21.650109999999998</v>
      </c>
      <c r="BD63" s="4415">
        <f t="shared" si="817"/>
        <v>8304.00749</v>
      </c>
      <c r="BE63" s="4415">
        <v>8295.0358400000005</v>
      </c>
      <c r="BF63" s="4415">
        <v>8.9716500000000003</v>
      </c>
      <c r="BG63" s="4415">
        <f t="shared" ref="BG63:BL63" si="819">SUM(BG35+BG36+BG38+BG39+BG40+BG41+BG43+BG48+BG52+BG59+BG60+BG61+BG37+BG62)</f>
        <v>10428.227550837204</v>
      </c>
      <c r="BH63" s="4415">
        <f t="shared" si="819"/>
        <v>10401.319416917349</v>
      </c>
      <c r="BI63" s="4415">
        <f t="shared" si="819"/>
        <v>26.908133919854865</v>
      </c>
      <c r="BJ63" s="4415">
        <f t="shared" si="819"/>
        <v>11590.42661</v>
      </c>
      <c r="BK63" s="4415">
        <f t="shared" si="819"/>
        <v>11562.407529999999</v>
      </c>
      <c r="BL63" s="4415">
        <f t="shared" si="819"/>
        <v>28.019080000000002</v>
      </c>
      <c r="BM63" s="4415">
        <f t="shared" si="817"/>
        <v>9673.0105000000003</v>
      </c>
      <c r="BN63" s="4415">
        <v>9645.6237099999998</v>
      </c>
      <c r="BO63" s="4415">
        <v>27.386790000000001</v>
      </c>
      <c r="BP63" s="4417">
        <f t="shared" ref="BP63" si="820">SUM(AO63+AX63+BG63)</f>
        <v>31284.682652511612</v>
      </c>
      <c r="BQ63" s="4417">
        <f t="shared" ref="BQ63:BX63" si="821">SUM(AP63+AY63+BH63)</f>
        <v>31203.958250752046</v>
      </c>
      <c r="BR63" s="4417">
        <f t="shared" si="821"/>
        <v>80.7244017595646</v>
      </c>
      <c r="BS63" s="4417">
        <f t="shared" si="821"/>
        <v>36117.197209999998</v>
      </c>
      <c r="BT63" s="4417">
        <f t="shared" si="821"/>
        <v>36051.821239999997</v>
      </c>
      <c r="BU63" s="4417">
        <f t="shared" si="821"/>
        <v>65.375969999999995</v>
      </c>
      <c r="BV63" s="4417">
        <f t="shared" si="821"/>
        <v>26708.215990000001</v>
      </c>
      <c r="BW63" s="4417">
        <f t="shared" si="821"/>
        <v>26654.341550000001</v>
      </c>
      <c r="BX63" s="4417">
        <f t="shared" si="821"/>
        <v>53.874440000000007</v>
      </c>
      <c r="BY63" s="4473">
        <f t="shared" si="721"/>
        <v>4832.5145574883863</v>
      </c>
      <c r="BZ63" s="4473">
        <f t="shared" si="721"/>
        <v>4847.8629892479512</v>
      </c>
      <c r="CA63" s="4473">
        <f t="shared" si="721"/>
        <v>-15.348431759564605</v>
      </c>
      <c r="CB63" s="4417">
        <f t="shared" si="724"/>
        <v>62569.365305023224</v>
      </c>
      <c r="CC63" s="4417">
        <f t="shared" si="724"/>
        <v>62407.916501504093</v>
      </c>
      <c r="CD63" s="4417">
        <f t="shared" si="724"/>
        <v>161.4488035191292</v>
      </c>
      <c r="CE63" s="4417">
        <f t="shared" si="724"/>
        <v>69194.492259999999</v>
      </c>
      <c r="CF63" s="4417">
        <f t="shared" si="724"/>
        <v>69058.628949999998</v>
      </c>
      <c r="CG63" s="4417">
        <f t="shared" si="724"/>
        <v>135.86331000000001</v>
      </c>
      <c r="CH63" s="4474">
        <f t="shared" si="724"/>
        <v>53406.223840000006</v>
      </c>
      <c r="CI63" s="4474">
        <f t="shared" si="724"/>
        <v>53297.892900000006</v>
      </c>
      <c r="CJ63" s="4474">
        <f t="shared" si="724"/>
        <v>108.33094</v>
      </c>
      <c r="CK63" s="4473">
        <f t="shared" si="733"/>
        <v>6625.1269549767749</v>
      </c>
      <c r="CL63" s="4473">
        <f t="shared" si="733"/>
        <v>6650.7124484959058</v>
      </c>
      <c r="CM63" s="4473">
        <f t="shared" si="733"/>
        <v>-25.585493519129187</v>
      </c>
      <c r="CN63" s="4415">
        <f t="shared" ref="CN63:CS63" si="822">SUM(CN35+CN36+CN38+CN39+CN40+CN41+CN43+CN48+CN52+CN59+CN60+CN61+CN37+CN62)</f>
        <v>10428.227550837204</v>
      </c>
      <c r="CO63" s="4415">
        <f t="shared" si="822"/>
        <v>10401.319416917349</v>
      </c>
      <c r="CP63" s="4415">
        <f t="shared" si="822"/>
        <v>26.908133919854865</v>
      </c>
      <c r="CQ63" s="4415">
        <f t="shared" si="822"/>
        <v>11103.135060000001</v>
      </c>
      <c r="CR63" s="4415">
        <f t="shared" si="822"/>
        <v>11090.133890000001</v>
      </c>
      <c r="CS63" s="4415">
        <f t="shared" si="822"/>
        <v>13.00117</v>
      </c>
      <c r="CT63" s="4415">
        <f t="shared" ref="CT63:DL63" si="823">SUM(CT35+CT36+CT38+CT39+CT40+CT41+CT43+CT48+CT52+CT59+CT60+CT61+CT37)</f>
        <v>10230.041999999999</v>
      </c>
      <c r="CU63" s="4415">
        <v>10208.888000000001</v>
      </c>
      <c r="CV63" s="4415">
        <v>21.154</v>
      </c>
      <c r="CW63" s="4415">
        <f t="shared" ref="CW63:DB63" si="824">SUM(CW35+CW36+CW38+CW39+CW40+CW41+CW43+CW48+CW52+CW59+CW60+CW61+CW37+CW62)</f>
        <v>10428.227550837204</v>
      </c>
      <c r="CX63" s="4415">
        <f t="shared" si="824"/>
        <v>10401.319416917349</v>
      </c>
      <c r="CY63" s="4415">
        <f t="shared" si="824"/>
        <v>26.908133919854865</v>
      </c>
      <c r="CZ63" s="4415">
        <f t="shared" si="824"/>
        <v>0</v>
      </c>
      <c r="DA63" s="4415">
        <f t="shared" si="824"/>
        <v>0</v>
      </c>
      <c r="DB63" s="4415">
        <f t="shared" si="824"/>
        <v>0</v>
      </c>
      <c r="DC63" s="4415">
        <f t="shared" si="823"/>
        <v>8666.5788100000009</v>
      </c>
      <c r="DD63" s="4415">
        <v>8653.6986000000015</v>
      </c>
      <c r="DE63" s="4415">
        <v>12.88021</v>
      </c>
      <c r="DF63" s="4415">
        <f t="shared" ref="DF63:DK63" si="825">SUM(DF35+DF36+DF38+DF39+DF40+DF41+DF43+DF48+DF52+DF59+DF60+DF61+DF37+DF62)</f>
        <v>10428.227550837204</v>
      </c>
      <c r="DG63" s="4415">
        <f t="shared" si="825"/>
        <v>10401.319416917349</v>
      </c>
      <c r="DH63" s="4415">
        <f t="shared" si="825"/>
        <v>26.908133919854865</v>
      </c>
      <c r="DI63" s="4415">
        <f t="shared" si="825"/>
        <v>0</v>
      </c>
      <c r="DJ63" s="4415">
        <f t="shared" si="825"/>
        <v>0</v>
      </c>
      <c r="DK63" s="4415">
        <f t="shared" si="825"/>
        <v>0</v>
      </c>
      <c r="DL63" s="4415">
        <f t="shared" si="823"/>
        <v>9360.4733600000018</v>
      </c>
      <c r="DM63" s="4415">
        <v>9337.621000000001</v>
      </c>
      <c r="DN63" s="4415">
        <v>22.852359999999997</v>
      </c>
      <c r="DO63" s="4417">
        <f t="shared" ref="DO63" si="826">SUM(CN63+CW63+DF63)</f>
        <v>31284.682652511612</v>
      </c>
      <c r="DP63" s="4417">
        <f t="shared" ref="DP63:DW63" si="827">SUM(CO63+CX63+DG63)</f>
        <v>31203.958250752046</v>
      </c>
      <c r="DQ63" s="4417">
        <f t="shared" si="827"/>
        <v>80.7244017595646</v>
      </c>
      <c r="DR63" s="4417">
        <f t="shared" si="827"/>
        <v>11103.135060000001</v>
      </c>
      <c r="DS63" s="4417">
        <f t="shared" si="827"/>
        <v>11090.133890000001</v>
      </c>
      <c r="DT63" s="4417">
        <f t="shared" si="827"/>
        <v>13.00117</v>
      </c>
      <c r="DU63" s="4417">
        <f t="shared" si="827"/>
        <v>28257.094170000004</v>
      </c>
      <c r="DV63" s="4417">
        <f t="shared" si="827"/>
        <v>28200.207600000002</v>
      </c>
      <c r="DW63" s="4417">
        <f t="shared" si="827"/>
        <v>56.886569999999999</v>
      </c>
      <c r="DX63" s="4473">
        <f t="shared" si="758"/>
        <v>-20181.547592511612</v>
      </c>
      <c r="DY63" s="4473">
        <f t="shared" si="758"/>
        <v>-20113.824360752045</v>
      </c>
      <c r="DZ63" s="4473">
        <f t="shared" si="758"/>
        <v>-67.723231759564598</v>
      </c>
      <c r="EA63" s="4417">
        <f t="shared" si="761"/>
        <v>93854.047957534844</v>
      </c>
      <c r="EB63" s="4417">
        <f t="shared" si="761"/>
        <v>93611.874752256146</v>
      </c>
      <c r="EC63" s="4417">
        <f t="shared" si="761"/>
        <v>242.17320527869379</v>
      </c>
      <c r="ED63" s="4417">
        <f t="shared" si="761"/>
        <v>80297.62732</v>
      </c>
      <c r="EE63" s="4417">
        <f t="shared" si="761"/>
        <v>80148.762839999996</v>
      </c>
      <c r="EF63" s="4417">
        <f t="shared" si="761"/>
        <v>148.86448000000001</v>
      </c>
      <c r="EG63" s="4417">
        <f t="shared" si="761"/>
        <v>81663.318010000017</v>
      </c>
      <c r="EH63" s="4417">
        <f t="shared" si="761"/>
        <v>81498.1005</v>
      </c>
      <c r="EI63" s="4417">
        <f t="shared" si="761"/>
        <v>165.21751</v>
      </c>
      <c r="EJ63" s="4473">
        <f t="shared" si="770"/>
        <v>-13556.420637534844</v>
      </c>
      <c r="EK63" s="4473">
        <f t="shared" si="770"/>
        <v>-13463.11191225615</v>
      </c>
      <c r="EL63" s="4473">
        <f t="shared" si="770"/>
        <v>-93.308725278693771</v>
      </c>
      <c r="EM63" s="4415">
        <f t="shared" ref="EM63:ER63" si="828">SUM(EM35+EM36+EM38+EM39+EM40+EM41+EM43+EM48+EM52+EM59+EM60+EM61+EM37+EM62)</f>
        <v>10428.227550837204</v>
      </c>
      <c r="EN63" s="4415">
        <f t="shared" si="828"/>
        <v>10401.319416917349</v>
      </c>
      <c r="EO63" s="4415">
        <f t="shared" si="828"/>
        <v>26.908133919854865</v>
      </c>
      <c r="EP63" s="4415">
        <f t="shared" si="828"/>
        <v>0</v>
      </c>
      <c r="EQ63" s="4415">
        <f t="shared" si="828"/>
        <v>0</v>
      </c>
      <c r="ER63" s="4415">
        <f t="shared" si="828"/>
        <v>0</v>
      </c>
      <c r="ES63" s="4415">
        <f t="shared" ref="ES63:FL63" si="829">SUM(ES35+ES36+ES38+ES39+ES40+ES41+ES43+ES48+ES52+ES59+ES60+ES61+ES37)</f>
        <v>9895.6509000000005</v>
      </c>
      <c r="ET63" s="4415">
        <v>9875.1267000000007</v>
      </c>
      <c r="EU63" s="4415">
        <v>20.5242</v>
      </c>
      <c r="EV63" s="4415">
        <f t="shared" ref="EV63:FA63" si="830">SUM(EV35+EV36+EV38+EV39+EV40+EV41+EV43+EV48+EV52+EV59+EV60+EV61+EV37+EV62)</f>
        <v>10428.227550837204</v>
      </c>
      <c r="EW63" s="4415">
        <f t="shared" si="830"/>
        <v>10401.319416917349</v>
      </c>
      <c r="EX63" s="4415">
        <f t="shared" si="830"/>
        <v>26.908133919854865</v>
      </c>
      <c r="EY63" s="4415">
        <f t="shared" si="830"/>
        <v>0</v>
      </c>
      <c r="EZ63" s="4415">
        <f t="shared" si="830"/>
        <v>0</v>
      </c>
      <c r="FA63" s="4415">
        <f t="shared" si="830"/>
        <v>0</v>
      </c>
      <c r="FB63" s="4415">
        <f t="shared" si="829"/>
        <v>9216.2820800000009</v>
      </c>
      <c r="FC63" s="4415">
        <v>9193.8502200000003</v>
      </c>
      <c r="FD63" s="4415">
        <v>22.43186</v>
      </c>
      <c r="FE63" s="4415">
        <f t="shared" ref="FE63:FJ63" si="831">SUM(FE35+FE36+FE38+FE39+FE40+FE41+FE43+FE48+FE52+FE59+FE60+FE61+FE37+FE62)</f>
        <v>10428.227550837204</v>
      </c>
      <c r="FF63" s="4415">
        <f t="shared" si="831"/>
        <v>10401.319416917349</v>
      </c>
      <c r="FG63" s="4415">
        <f t="shared" si="831"/>
        <v>26.908133919854865</v>
      </c>
      <c r="FH63" s="4415">
        <f t="shared" si="831"/>
        <v>0</v>
      </c>
      <c r="FI63" s="4415">
        <f t="shared" si="831"/>
        <v>0</v>
      </c>
      <c r="FJ63" s="4415">
        <f t="shared" si="831"/>
        <v>0</v>
      </c>
      <c r="FK63" s="4415">
        <f t="shared" si="829"/>
        <v>11148.32051</v>
      </c>
      <c r="FL63" s="4415">
        <f t="shared" si="829"/>
        <v>11114.054909999999</v>
      </c>
      <c r="FM63" s="4415">
        <v>34.265600000000006</v>
      </c>
      <c r="FN63" s="4417">
        <f t="shared" ref="FN63" si="832">SUM(EM63+EV63+FE63)</f>
        <v>31284.682652511612</v>
      </c>
      <c r="FO63" s="4417">
        <f t="shared" ref="FO63:FV63" si="833">SUM(EN63+EW63+FF63)</f>
        <v>31203.958250752046</v>
      </c>
      <c r="FP63" s="4417">
        <f t="shared" si="833"/>
        <v>80.7244017595646</v>
      </c>
      <c r="FQ63" s="4417">
        <f t="shared" si="833"/>
        <v>0</v>
      </c>
      <c r="FR63" s="4417">
        <f t="shared" si="833"/>
        <v>0</v>
      </c>
      <c r="FS63" s="4417">
        <f t="shared" si="833"/>
        <v>0</v>
      </c>
      <c r="FT63" s="4417">
        <f t="shared" si="833"/>
        <v>30260.253490000003</v>
      </c>
      <c r="FU63" s="4417">
        <f t="shared" si="833"/>
        <v>30183.03183</v>
      </c>
      <c r="FV63" s="4417">
        <f t="shared" si="833"/>
        <v>77.221660000000014</v>
      </c>
      <c r="FW63" s="4473">
        <f t="shared" si="795"/>
        <v>-31284.682652511612</v>
      </c>
      <c r="FX63" s="4473">
        <f t="shared" si="795"/>
        <v>-31203.958250752046</v>
      </c>
      <c r="FY63" s="4473">
        <f t="shared" si="795"/>
        <v>-80.7244017595646</v>
      </c>
      <c r="FZ63" s="4416">
        <f t="shared" si="798"/>
        <v>125138.73061004645</v>
      </c>
      <c r="GA63" s="4416">
        <f t="shared" si="798"/>
        <v>124815.83300300819</v>
      </c>
      <c r="GB63" s="4416">
        <f t="shared" si="798"/>
        <v>322.8976070382584</v>
      </c>
      <c r="GC63" s="4417">
        <f t="shared" si="798"/>
        <v>80297.62732</v>
      </c>
      <c r="GD63" s="4417">
        <f t="shared" si="798"/>
        <v>80148.762839999996</v>
      </c>
      <c r="GE63" s="4417">
        <f t="shared" si="798"/>
        <v>148.86448000000001</v>
      </c>
      <c r="GF63" s="4417">
        <f t="shared" si="798"/>
        <v>111923.57150000002</v>
      </c>
      <c r="GG63" s="4417">
        <f t="shared" si="798"/>
        <v>111681.13232999999</v>
      </c>
      <c r="GH63" s="4417">
        <f t="shared" si="798"/>
        <v>242.43917000000002</v>
      </c>
      <c r="GI63" s="2849">
        <f t="shared" si="807"/>
        <v>-44841.103290046449</v>
      </c>
      <c r="GJ63" s="4473">
        <f t="shared" si="808"/>
        <v>-44667.070163008189</v>
      </c>
      <c r="GK63" s="4473">
        <f t="shared" si="808"/>
        <v>-174.03312703825839</v>
      </c>
      <c r="GM63" s="3576">
        <f t="shared" si="371"/>
        <v>125138.73061004648</v>
      </c>
    </row>
    <row r="64" spans="1:195" ht="18.75" customHeight="1" x14ac:dyDescent="0.3">
      <c r="A64" s="2796" t="s">
        <v>13</v>
      </c>
      <c r="B64" s="2772">
        <f>SUM(B9)</f>
        <v>256.18768737421806</v>
      </c>
      <c r="C64" s="2772">
        <f t="shared" ref="C64:D64" si="834">SUM(C9)</f>
        <v>254.91908142882502</v>
      </c>
      <c r="D64" s="2772">
        <f t="shared" si="834"/>
        <v>1.2686059453930083</v>
      </c>
      <c r="E64" s="2772">
        <f>SUM(E9)</f>
        <v>257.414513</v>
      </c>
      <c r="F64" s="2772">
        <f t="shared" ref="F64:G64" si="835">SUM(F9)</f>
        <v>256.71326299999998</v>
      </c>
      <c r="G64" s="2772">
        <f t="shared" si="835"/>
        <v>0.70125000000000004</v>
      </c>
      <c r="H64" s="2772">
        <f>SUM(H9)</f>
        <v>276.91700000000003</v>
      </c>
      <c r="I64" s="2772">
        <v>276.69200000000001</v>
      </c>
      <c r="J64" s="2772">
        <v>0.22500000000000001</v>
      </c>
      <c r="K64" s="2772">
        <f>SUM(K9)</f>
        <v>256.18768737421806</v>
      </c>
      <c r="L64" s="2772">
        <f t="shared" ref="L64:M64" si="836">SUM(L9)</f>
        <v>254.91908142882502</v>
      </c>
      <c r="M64" s="2772">
        <f t="shared" si="836"/>
        <v>1.2686059453930083</v>
      </c>
      <c r="N64" s="2772">
        <f>SUM(N9)</f>
        <v>268.54267499999997</v>
      </c>
      <c r="O64" s="2772">
        <f t="shared" ref="O64:P64" si="837">SUM(O9)</f>
        <v>268.082425</v>
      </c>
      <c r="P64" s="2772">
        <f t="shared" si="837"/>
        <v>0.46024999999999999</v>
      </c>
      <c r="Q64" s="2772">
        <f>SUM(Q9)</f>
        <v>278.30025000000001</v>
      </c>
      <c r="R64" s="2772">
        <v>278.04899999999998</v>
      </c>
      <c r="S64" s="2772">
        <v>0.25124999999999997</v>
      </c>
      <c r="T64" s="2772">
        <f>SUM(T9)</f>
        <v>256.18768737421806</v>
      </c>
      <c r="U64" s="2772">
        <f t="shared" ref="U64:V64" si="838">SUM(U9)</f>
        <v>254.91908142882502</v>
      </c>
      <c r="V64" s="2772">
        <f t="shared" si="838"/>
        <v>1.2686059453930083</v>
      </c>
      <c r="W64" s="2772">
        <f>SUM(W9)</f>
        <v>259.48193000000003</v>
      </c>
      <c r="X64" s="2772">
        <f t="shared" ref="X64:Y64" si="839">SUM(X9)</f>
        <v>257.06443000000002</v>
      </c>
      <c r="Y64" s="2772">
        <f t="shared" si="839"/>
        <v>2.4175</v>
      </c>
      <c r="Z64" s="2772">
        <f>SUM(Z9)</f>
        <v>272.42900000000003</v>
      </c>
      <c r="AA64" s="2772">
        <v>270.02500000000003</v>
      </c>
      <c r="AB64" s="2772">
        <v>2.4039999999999999</v>
      </c>
      <c r="AC64" s="2847">
        <f t="shared" ref="AC64" si="840">SUM(B64+K64+T64)</f>
        <v>768.56306212265417</v>
      </c>
      <c r="AD64" s="2847">
        <f t="shared" ref="AD64:AK64" si="841">SUM(C64+L64+U64)</f>
        <v>764.75724428647504</v>
      </c>
      <c r="AE64" s="2847">
        <f t="shared" si="841"/>
        <v>3.8058178361790249</v>
      </c>
      <c r="AF64" s="2847">
        <f t="shared" si="841"/>
        <v>785.43911800000001</v>
      </c>
      <c r="AG64" s="2847">
        <f t="shared" si="841"/>
        <v>781.86011799999994</v>
      </c>
      <c r="AH64" s="2847">
        <f t="shared" si="841"/>
        <v>3.5789999999999997</v>
      </c>
      <c r="AI64" s="2847">
        <f t="shared" si="841"/>
        <v>827.64625000000001</v>
      </c>
      <c r="AJ64" s="2847">
        <f t="shared" si="841"/>
        <v>824.76600000000008</v>
      </c>
      <c r="AK64" s="2847">
        <f t="shared" si="841"/>
        <v>2.8802499999999998</v>
      </c>
      <c r="AL64" s="2849">
        <f t="shared" si="358"/>
        <v>16.876055877345834</v>
      </c>
      <c r="AM64" s="2849">
        <f t="shared" si="358"/>
        <v>17.1028737135249</v>
      </c>
      <c r="AN64" s="2849">
        <f t="shared" si="358"/>
        <v>-0.22681783617902518</v>
      </c>
      <c r="AO64" s="2772">
        <f>SUM(AO9)</f>
        <v>256.18768737421806</v>
      </c>
      <c r="AP64" s="2772">
        <f t="shared" ref="AP64:AQ64" si="842">SUM(AP9)</f>
        <v>254.91908142882502</v>
      </c>
      <c r="AQ64" s="2772">
        <f t="shared" si="842"/>
        <v>1.2686059453930083</v>
      </c>
      <c r="AR64" s="2772">
        <f>SUM(AR9)</f>
        <v>263.32413399999996</v>
      </c>
      <c r="AS64" s="2772">
        <f t="shared" ref="AS64:AT64" si="843">SUM(AS9)</f>
        <v>262.86413399999998</v>
      </c>
      <c r="AT64" s="2772">
        <f t="shared" si="843"/>
        <v>0.46</v>
      </c>
      <c r="AU64" s="2772">
        <f>SUM(AU9)</f>
        <v>297.51749999999998</v>
      </c>
      <c r="AV64" s="2772">
        <v>296.94499999999999</v>
      </c>
      <c r="AW64" s="2772">
        <v>0.57250000000000001</v>
      </c>
      <c r="AX64" s="2772">
        <f>SUM(AX9)</f>
        <v>256.18768737421806</v>
      </c>
      <c r="AY64" s="2772">
        <f t="shared" ref="AY64:AZ64" si="844">SUM(AY9)</f>
        <v>254.91908142882502</v>
      </c>
      <c r="AZ64" s="2772">
        <f t="shared" si="844"/>
        <v>1.2686059453930083</v>
      </c>
      <c r="BA64" s="2772">
        <f>SUM(BA9)</f>
        <v>263.52684599999998</v>
      </c>
      <c r="BB64" s="2772">
        <f t="shared" ref="BB64:BC64" si="845">SUM(BB9)</f>
        <v>262.77809600000001</v>
      </c>
      <c r="BC64" s="2772">
        <f t="shared" si="845"/>
        <v>0.74875000000000003</v>
      </c>
      <c r="BD64" s="2772">
        <f>SUM(BD9)</f>
        <v>265.84300000000002</v>
      </c>
      <c r="BE64" s="2772">
        <v>265.28399999999999</v>
      </c>
      <c r="BF64" s="2772">
        <v>0.55900000000000005</v>
      </c>
      <c r="BG64" s="2772">
        <f>SUM(BG9)</f>
        <v>256.18768737421806</v>
      </c>
      <c r="BH64" s="2772">
        <f t="shared" ref="BH64:BI64" si="846">SUM(BH9)</f>
        <v>254.91908142882502</v>
      </c>
      <c r="BI64" s="2772">
        <f t="shared" si="846"/>
        <v>1.2686059453930083</v>
      </c>
      <c r="BJ64" s="2772">
        <f>SUM(BJ9)</f>
        <v>257.661947</v>
      </c>
      <c r="BK64" s="2772">
        <f t="shared" ref="BK64:BL64" si="847">SUM(BK9)</f>
        <v>255.070697</v>
      </c>
      <c r="BL64" s="2772">
        <f t="shared" si="847"/>
        <v>2.5912500000000001</v>
      </c>
      <c r="BM64" s="2772">
        <f>SUM(BM9)</f>
        <v>261.50725</v>
      </c>
      <c r="BN64" s="2772">
        <v>258.62700000000001</v>
      </c>
      <c r="BO64" s="2772">
        <v>2.8802500000000002</v>
      </c>
      <c r="BP64" s="2847">
        <f t="shared" ref="BP64" si="848">SUM(AO64+AX64+BG64)</f>
        <v>768.56306212265417</v>
      </c>
      <c r="BQ64" s="2847">
        <f t="shared" ref="BQ64:BX64" si="849">SUM(AP64+AY64+BH64)</f>
        <v>764.75724428647504</v>
      </c>
      <c r="BR64" s="2847">
        <f t="shared" si="849"/>
        <v>3.8058178361790249</v>
      </c>
      <c r="BS64" s="2847">
        <f t="shared" si="849"/>
        <v>784.51292699999999</v>
      </c>
      <c r="BT64" s="2847">
        <f t="shared" si="849"/>
        <v>780.71292699999992</v>
      </c>
      <c r="BU64" s="2847">
        <f t="shared" si="849"/>
        <v>3.8</v>
      </c>
      <c r="BV64" s="2847">
        <f t="shared" si="849"/>
        <v>824.86775</v>
      </c>
      <c r="BW64" s="2847">
        <f t="shared" si="849"/>
        <v>820.85599999999999</v>
      </c>
      <c r="BX64" s="2847">
        <f t="shared" si="849"/>
        <v>4.0117500000000001</v>
      </c>
      <c r="BY64" s="2849">
        <f t="shared" si="360"/>
        <v>15.949864877345817</v>
      </c>
      <c r="BZ64" s="2849">
        <f t="shared" si="360"/>
        <v>15.95568271352488</v>
      </c>
      <c r="CA64" s="2849">
        <f t="shared" si="360"/>
        <v>-5.8178361790250932E-3</v>
      </c>
      <c r="CB64" s="2847">
        <f t="shared" si="533"/>
        <v>1537.1261242453083</v>
      </c>
      <c r="CC64" s="2847">
        <f t="shared" si="533"/>
        <v>1529.5144885729501</v>
      </c>
      <c r="CD64" s="2847">
        <f t="shared" si="533"/>
        <v>7.6116356723580498</v>
      </c>
      <c r="CE64" s="2847">
        <f t="shared" si="533"/>
        <v>1569.952045</v>
      </c>
      <c r="CF64" s="2847">
        <f t="shared" si="533"/>
        <v>1562.5730449999999</v>
      </c>
      <c r="CG64" s="2847">
        <f t="shared" si="533"/>
        <v>7.3789999999999996</v>
      </c>
      <c r="CH64" s="2890">
        <f t="shared" si="533"/>
        <v>1652.5140000000001</v>
      </c>
      <c r="CI64" s="2890">
        <f t="shared" si="533"/>
        <v>1645.6220000000001</v>
      </c>
      <c r="CJ64" s="2890">
        <f t="shared" si="533"/>
        <v>6.8919999999999995</v>
      </c>
      <c r="CK64" s="2849">
        <f t="shared" si="362"/>
        <v>32.825920754691651</v>
      </c>
      <c r="CL64" s="2849">
        <f t="shared" si="362"/>
        <v>33.05855642704978</v>
      </c>
      <c r="CM64" s="2849">
        <f t="shared" si="362"/>
        <v>-0.23263567235805027</v>
      </c>
      <c r="CN64" s="2772">
        <f>SUM(CN9)</f>
        <v>256.18768737421806</v>
      </c>
      <c r="CO64" s="2772">
        <f t="shared" ref="CO64:CP64" si="850">SUM(CO9)</f>
        <v>254.91908142882502</v>
      </c>
      <c r="CP64" s="2772">
        <f t="shared" si="850"/>
        <v>1.2686059453930083</v>
      </c>
      <c r="CQ64" s="2772">
        <f>SUM(CQ9)</f>
        <v>226.11733899999999</v>
      </c>
      <c r="CR64" s="2772">
        <f t="shared" ref="CR64:CS64" si="851">SUM(CR9)</f>
        <v>225.574839</v>
      </c>
      <c r="CS64" s="2772">
        <f t="shared" si="851"/>
        <v>0.54249999999999998</v>
      </c>
      <c r="CT64" s="2772">
        <f>SUM(CT9)</f>
        <v>247.98500000000001</v>
      </c>
      <c r="CU64" s="2772">
        <v>247.65100000000001</v>
      </c>
      <c r="CV64" s="2772">
        <v>0.33400000000000002</v>
      </c>
      <c r="CW64" s="2772">
        <f>SUM(CW9)</f>
        <v>256.18768737421806</v>
      </c>
      <c r="CX64" s="2772">
        <f t="shared" ref="CX64:CY64" si="852">SUM(CX9)</f>
        <v>254.91908142882502</v>
      </c>
      <c r="CY64" s="2772">
        <f t="shared" si="852"/>
        <v>1.2686059453930083</v>
      </c>
      <c r="CZ64" s="2772">
        <f>SUM(CZ9)</f>
        <v>0</v>
      </c>
      <c r="DA64" s="2772">
        <f t="shared" ref="DA64:DB64" si="853">SUM(DA9)</f>
        <v>0</v>
      </c>
      <c r="DB64" s="2772">
        <f t="shared" si="853"/>
        <v>0</v>
      </c>
      <c r="DC64" s="2772">
        <f>SUM(DC9)</f>
        <v>254.21399999999997</v>
      </c>
      <c r="DD64" s="2772">
        <v>253.81799999999998</v>
      </c>
      <c r="DE64" s="2772">
        <v>0.39600000000000002</v>
      </c>
      <c r="DF64" s="2772">
        <f>SUM(DF9)</f>
        <v>256.18768737421806</v>
      </c>
      <c r="DG64" s="2772">
        <f t="shared" ref="DG64:DH64" si="854">SUM(DG9)</f>
        <v>254.91908142882502</v>
      </c>
      <c r="DH64" s="2772">
        <f t="shared" si="854"/>
        <v>1.2686059453930083</v>
      </c>
      <c r="DI64" s="2772">
        <f>SUM(DI9)</f>
        <v>0</v>
      </c>
      <c r="DJ64" s="2772">
        <f t="shared" ref="DJ64:DK64" si="855">SUM(DJ9)</f>
        <v>0</v>
      </c>
      <c r="DK64" s="2772">
        <f t="shared" si="855"/>
        <v>0</v>
      </c>
      <c r="DL64" s="2772">
        <f>SUM(DL9)</f>
        <v>267.44142799999997</v>
      </c>
      <c r="DM64" s="2772">
        <v>264.58742799999999</v>
      </c>
      <c r="DN64" s="2772">
        <v>2.8540000000000001</v>
      </c>
      <c r="DO64" s="2847">
        <f t="shared" ref="DO64" si="856">SUM(CN64+CW64+DF64)</f>
        <v>768.56306212265417</v>
      </c>
      <c r="DP64" s="2847">
        <f t="shared" ref="DP64:DW64" si="857">SUM(CO64+CX64+DG64)</f>
        <v>764.75724428647504</v>
      </c>
      <c r="DQ64" s="2847">
        <f t="shared" si="857"/>
        <v>3.8058178361790249</v>
      </c>
      <c r="DR64" s="2847">
        <f t="shared" si="857"/>
        <v>226.11733899999999</v>
      </c>
      <c r="DS64" s="2847">
        <f t="shared" si="857"/>
        <v>225.574839</v>
      </c>
      <c r="DT64" s="2847">
        <f t="shared" si="857"/>
        <v>0.54249999999999998</v>
      </c>
      <c r="DU64" s="2847">
        <f t="shared" si="857"/>
        <v>769.64042799999993</v>
      </c>
      <c r="DV64" s="2847">
        <f t="shared" si="857"/>
        <v>766.05642799999998</v>
      </c>
      <c r="DW64" s="2847">
        <f t="shared" si="857"/>
        <v>3.5840000000000001</v>
      </c>
      <c r="DX64" s="2849">
        <f t="shared" si="364"/>
        <v>-542.44572312265416</v>
      </c>
      <c r="DY64" s="2849">
        <f t="shared" si="364"/>
        <v>-539.18240528647505</v>
      </c>
      <c r="DZ64" s="2849">
        <f t="shared" si="364"/>
        <v>-3.2633178361790249</v>
      </c>
      <c r="EA64" s="2847">
        <f t="shared" si="535"/>
        <v>2305.6891863679625</v>
      </c>
      <c r="EB64" s="2847">
        <f t="shared" si="535"/>
        <v>2294.2717328594254</v>
      </c>
      <c r="EC64" s="2847">
        <f t="shared" si="535"/>
        <v>11.417453508537076</v>
      </c>
      <c r="ED64" s="2847">
        <f t="shared" si="535"/>
        <v>1796.0693839999999</v>
      </c>
      <c r="EE64" s="2847">
        <f t="shared" si="535"/>
        <v>1788.147884</v>
      </c>
      <c r="EF64" s="2847">
        <f t="shared" si="535"/>
        <v>7.9215</v>
      </c>
      <c r="EG64" s="2847">
        <f t="shared" si="535"/>
        <v>2422.1544279999998</v>
      </c>
      <c r="EH64" s="2847">
        <f t="shared" si="535"/>
        <v>2411.6784280000002</v>
      </c>
      <c r="EI64" s="2847">
        <f t="shared" si="535"/>
        <v>10.475999999999999</v>
      </c>
      <c r="EJ64" s="2849">
        <f t="shared" si="366"/>
        <v>-509.61980236796262</v>
      </c>
      <c r="EK64" s="2849">
        <f t="shared" si="366"/>
        <v>-506.12384885942538</v>
      </c>
      <c r="EL64" s="2849">
        <f t="shared" si="366"/>
        <v>-3.4959535085370756</v>
      </c>
      <c r="EM64" s="2772">
        <f>SUM(EM9)</f>
        <v>256.18768737421806</v>
      </c>
      <c r="EN64" s="2772">
        <f t="shared" ref="EN64:EO64" si="858">SUM(EN9)</f>
        <v>254.91908142882502</v>
      </c>
      <c r="EO64" s="2772">
        <f t="shared" si="858"/>
        <v>1.2686059453930083</v>
      </c>
      <c r="EP64" s="2772">
        <f>SUM(EP9)</f>
        <v>0</v>
      </c>
      <c r="EQ64" s="2772">
        <f t="shared" ref="EQ64:ER64" si="859">SUM(EQ9)</f>
        <v>0</v>
      </c>
      <c r="ER64" s="2844">
        <f t="shared" si="859"/>
        <v>0</v>
      </c>
      <c r="ES64" s="2772">
        <f>SUM(ES9)</f>
        <v>265.94100000000003</v>
      </c>
      <c r="ET64" s="2772">
        <v>265.29700000000003</v>
      </c>
      <c r="EU64" s="2772">
        <v>0.64400000000000002</v>
      </c>
      <c r="EV64" s="2772">
        <f>SUM(EV9)</f>
        <v>256.18768737421806</v>
      </c>
      <c r="EW64" s="2772">
        <f t="shared" ref="EW64:EX64" si="860">SUM(EW9)</f>
        <v>254.91908142882502</v>
      </c>
      <c r="EX64" s="2772">
        <f t="shared" si="860"/>
        <v>1.2686059453930083</v>
      </c>
      <c r="EY64" s="2772">
        <f>SUM(EY9)</f>
        <v>0</v>
      </c>
      <c r="EZ64" s="2772">
        <f t="shared" ref="EZ64:FA64" si="861">SUM(EZ9)</f>
        <v>0</v>
      </c>
      <c r="FA64" s="2772">
        <f t="shared" si="861"/>
        <v>0</v>
      </c>
      <c r="FB64" s="2772">
        <f>SUM(FB9)</f>
        <v>266.04975399999995</v>
      </c>
      <c r="FC64" s="2772">
        <v>265.46225399999997</v>
      </c>
      <c r="FD64" s="2772">
        <v>0.58750000000000002</v>
      </c>
      <c r="FE64" s="2772">
        <f>SUM(FE9)</f>
        <v>256.18768737421806</v>
      </c>
      <c r="FF64" s="2772">
        <f t="shared" ref="FF64:FG64" si="862">SUM(FF9)</f>
        <v>254.91908142882502</v>
      </c>
      <c r="FG64" s="2772">
        <f t="shared" si="862"/>
        <v>1.2686059453930083</v>
      </c>
      <c r="FH64" s="2772">
        <f>SUM(FH9)</f>
        <v>0</v>
      </c>
      <c r="FI64" s="2772">
        <f t="shared" ref="FI64:FJ64" si="863">SUM(FI9)</f>
        <v>0</v>
      </c>
      <c r="FJ64" s="2772">
        <f t="shared" si="863"/>
        <v>0</v>
      </c>
      <c r="FK64" s="2772">
        <f>SUM(FK9)</f>
        <v>271.41572000000002</v>
      </c>
      <c r="FL64" s="2772">
        <v>268.29682000000003</v>
      </c>
      <c r="FM64" s="2772">
        <v>3.1190000000000002</v>
      </c>
      <c r="FN64" s="2847">
        <f t="shared" ref="FN64" si="864">SUM(EM64+EV64+FE64)</f>
        <v>768.56306212265417</v>
      </c>
      <c r="FO64" s="2847">
        <f t="shared" ref="FO64:FV64" si="865">SUM(EN64+EW64+FF64)</f>
        <v>764.75724428647504</v>
      </c>
      <c r="FP64" s="2847">
        <f t="shared" si="865"/>
        <v>3.8058178361790249</v>
      </c>
      <c r="FQ64" s="2847">
        <f t="shared" si="865"/>
        <v>0</v>
      </c>
      <c r="FR64" s="2847">
        <f t="shared" si="865"/>
        <v>0</v>
      </c>
      <c r="FS64" s="2847">
        <f t="shared" si="865"/>
        <v>0</v>
      </c>
      <c r="FT64" s="2847">
        <f t="shared" si="865"/>
        <v>803.40647399999989</v>
      </c>
      <c r="FU64" s="2847">
        <f t="shared" si="865"/>
        <v>799.05607400000008</v>
      </c>
      <c r="FV64" s="2847">
        <f t="shared" si="865"/>
        <v>4.3505000000000003</v>
      </c>
      <c r="FW64" s="2849">
        <f t="shared" si="368"/>
        <v>-768.56306212265417</v>
      </c>
      <c r="FX64" s="2849">
        <f t="shared" si="368"/>
        <v>-764.75724428647504</v>
      </c>
      <c r="FY64" s="2849">
        <f t="shared" si="368"/>
        <v>-3.8058178361790249</v>
      </c>
      <c r="FZ64" s="2846">
        <f t="shared" si="537"/>
        <v>3074.2522484906167</v>
      </c>
      <c r="GA64" s="2846">
        <f t="shared" si="537"/>
        <v>3059.0289771459002</v>
      </c>
      <c r="GB64" s="2846">
        <f t="shared" si="537"/>
        <v>15.2232713447161</v>
      </c>
      <c r="GC64" s="2847">
        <f t="shared" si="537"/>
        <v>1796.0693839999999</v>
      </c>
      <c r="GD64" s="2847">
        <f t="shared" si="537"/>
        <v>1788.147884</v>
      </c>
      <c r="GE64" s="2847">
        <f t="shared" si="537"/>
        <v>7.9215</v>
      </c>
      <c r="GF64" s="2847">
        <f t="shared" si="537"/>
        <v>3225.5609019999997</v>
      </c>
      <c r="GG64" s="2847">
        <f t="shared" si="537"/>
        <v>3210.7345020000002</v>
      </c>
      <c r="GH64" s="2847">
        <f t="shared" si="537"/>
        <v>14.826499999999999</v>
      </c>
      <c r="GI64" s="2849">
        <f t="shared" si="370"/>
        <v>-1278.1828644906168</v>
      </c>
      <c r="GJ64" s="2849">
        <f t="shared" si="370"/>
        <v>-1270.8810931459002</v>
      </c>
      <c r="GK64" s="2849">
        <f t="shared" si="370"/>
        <v>-7.3017713447160997</v>
      </c>
    </row>
    <row r="65" spans="1:195" ht="18.75" customHeight="1" x14ac:dyDescent="0.3">
      <c r="A65" s="2796" t="s">
        <v>14</v>
      </c>
      <c r="B65" s="2772">
        <f t="shared" ref="B65:AK65" si="866">SUM(B63/B64)</f>
        <v>40.705420536485427</v>
      </c>
      <c r="C65" s="2772">
        <f t="shared" si="866"/>
        <v>40.802435653768278</v>
      </c>
      <c r="D65" s="2772">
        <f t="shared" si="866"/>
        <v>21.210789699963804</v>
      </c>
      <c r="E65" s="2772">
        <f t="shared" si="866"/>
        <v>45.023230993972753</v>
      </c>
      <c r="F65" s="2772">
        <f t="shared" si="866"/>
        <v>45.056951342634754</v>
      </c>
      <c r="G65" s="2772">
        <f t="shared" si="866"/>
        <v>32.678901960784316</v>
      </c>
      <c r="H65" s="2772">
        <f t="shared" si="866"/>
        <v>27.971099390792187</v>
      </c>
      <c r="I65" s="2772">
        <v>27.938503896028799</v>
      </c>
      <c r="J65" s="2772">
        <v>68.055155555555558</v>
      </c>
      <c r="K65" s="2772">
        <f t="shared" si="866"/>
        <v>40.705420536485427</v>
      </c>
      <c r="L65" s="2772">
        <f t="shared" si="866"/>
        <v>40.802435653768278</v>
      </c>
      <c r="M65" s="2772">
        <f t="shared" si="866"/>
        <v>21.210789699963804</v>
      </c>
      <c r="N65" s="2772">
        <f t="shared" si="866"/>
        <v>38.581538334642723</v>
      </c>
      <c r="O65" s="2772">
        <f t="shared" si="866"/>
        <v>38.574012302373056</v>
      </c>
      <c r="P65" s="2772">
        <f t="shared" si="866"/>
        <v>42.96523628462792</v>
      </c>
      <c r="Q65" s="2772">
        <f t="shared" si="866"/>
        <v>25.185927429098609</v>
      </c>
      <c r="R65" s="2772">
        <v>25.160763030976558</v>
      </c>
      <c r="S65" s="2772">
        <v>53.034427860696525</v>
      </c>
      <c r="T65" s="2772">
        <f t="shared" si="866"/>
        <v>40.705420536485427</v>
      </c>
      <c r="U65" s="2772">
        <f t="shared" si="866"/>
        <v>40.802435653768278</v>
      </c>
      <c r="V65" s="2772">
        <f t="shared" si="866"/>
        <v>21.210789699963804</v>
      </c>
      <c r="W65" s="2772">
        <f t="shared" si="866"/>
        <v>42.881107212359638</v>
      </c>
      <c r="X65" s="2772">
        <f t="shared" si="866"/>
        <v>43.176241652724961</v>
      </c>
      <c r="Y65" s="2772">
        <f t="shared" si="866"/>
        <v>11.498039296794209</v>
      </c>
      <c r="Z65" s="2772">
        <f t="shared" si="866"/>
        <v>43.8392572743724</v>
      </c>
      <c r="AA65" s="2772">
        <v>44.133935117118781</v>
      </c>
      <c r="AB65" s="2772">
        <v>10.740095673876873</v>
      </c>
      <c r="AC65" s="2847">
        <f t="shared" si="866"/>
        <v>40.705420536485427</v>
      </c>
      <c r="AD65" s="2847">
        <f t="shared" si="866"/>
        <v>40.802435653768278</v>
      </c>
      <c r="AE65" s="2847">
        <f t="shared" si="866"/>
        <v>21.210789699963804</v>
      </c>
      <c r="AF65" s="2847">
        <f t="shared" si="866"/>
        <v>42.113124100854883</v>
      </c>
      <c r="AG65" s="2847">
        <f t="shared" si="866"/>
        <v>42.215745438495439</v>
      </c>
      <c r="AH65" s="2847">
        <f t="shared" si="866"/>
        <v>19.694702430846608</v>
      </c>
      <c r="AI65" s="2847">
        <f t="shared" si="866"/>
        <v>32.257752451605988</v>
      </c>
      <c r="AJ65" s="2847">
        <f t="shared" si="866"/>
        <v>32.304376453442551</v>
      </c>
      <c r="AK65" s="2847">
        <f t="shared" si="866"/>
        <v>18.906865723461507</v>
      </c>
      <c r="AL65" s="2849">
        <f t="shared" si="358"/>
        <v>1.4077035643694558</v>
      </c>
      <c r="AM65" s="2849">
        <f t="shared" si="358"/>
        <v>1.4133097847271614</v>
      </c>
      <c r="AN65" s="2849">
        <f t="shared" si="358"/>
        <v>-1.5160872691171967</v>
      </c>
      <c r="AO65" s="2772">
        <f t="shared" ref="AO65:BX65" si="867">SUM(AO63/AO64)</f>
        <v>40.705420536485427</v>
      </c>
      <c r="AP65" s="2772">
        <f t="shared" si="867"/>
        <v>40.802435653768278</v>
      </c>
      <c r="AQ65" s="2772">
        <f t="shared" si="867"/>
        <v>21.210789699963804</v>
      </c>
      <c r="AR65" s="2772">
        <f t="shared" si="867"/>
        <v>45.981932252362412</v>
      </c>
      <c r="AS65" s="2772">
        <f t="shared" si="867"/>
        <v>46.00264602853732</v>
      </c>
      <c r="AT65" s="2772">
        <f t="shared" si="867"/>
        <v>34.145173913043479</v>
      </c>
      <c r="AU65" s="2772">
        <f t="shared" si="867"/>
        <v>29.346838421269339</v>
      </c>
      <c r="AV65" s="2772">
        <v>29.344430786846051</v>
      </c>
      <c r="AW65" s="2772">
        <v>30.595633187772929</v>
      </c>
      <c r="AX65" s="2772">
        <f t="shared" si="867"/>
        <v>40.705420536485427</v>
      </c>
      <c r="AY65" s="2772">
        <f t="shared" si="867"/>
        <v>40.802435653768278</v>
      </c>
      <c r="AZ65" s="2772">
        <f t="shared" si="867"/>
        <v>21.210789699963804</v>
      </c>
      <c r="BA65" s="2772">
        <f t="shared" si="867"/>
        <v>47.124679320147898</v>
      </c>
      <c r="BB65" s="2772">
        <f t="shared" si="867"/>
        <v>47.176565279626651</v>
      </c>
      <c r="BC65" s="2772">
        <f t="shared" si="867"/>
        <v>28.91500500834724</v>
      </c>
      <c r="BD65" s="2772">
        <f t="shared" si="867"/>
        <v>31.236509857321799</v>
      </c>
      <c r="BE65" s="2772">
        <v>31.268511632816153</v>
      </c>
      <c r="BF65" s="2772">
        <v>16.049463327370304</v>
      </c>
      <c r="BG65" s="2772">
        <f t="shared" si="867"/>
        <v>40.705420536485427</v>
      </c>
      <c r="BH65" s="2772">
        <f t="shared" si="867"/>
        <v>40.802435653768278</v>
      </c>
      <c r="BI65" s="2772">
        <f t="shared" si="867"/>
        <v>21.210789699963804</v>
      </c>
      <c r="BJ65" s="2772">
        <f t="shared" si="867"/>
        <v>44.983074702916845</v>
      </c>
      <c r="BK65" s="2772">
        <f t="shared" si="867"/>
        <v>45.330207138611449</v>
      </c>
      <c r="BL65" s="2772">
        <f t="shared" si="867"/>
        <v>10.812958996623252</v>
      </c>
      <c r="BM65" s="2772">
        <f t="shared" si="867"/>
        <v>36.9894544032718</v>
      </c>
      <c r="BN65" s="2772">
        <v>37.295501668425956</v>
      </c>
      <c r="BO65" s="2772">
        <v>9.5084766947313604</v>
      </c>
      <c r="BP65" s="2847">
        <f t="shared" si="867"/>
        <v>40.705420536485427</v>
      </c>
      <c r="BQ65" s="2847">
        <f t="shared" si="867"/>
        <v>40.802435653768278</v>
      </c>
      <c r="BR65" s="2847">
        <f t="shared" si="867"/>
        <v>21.210789699963804</v>
      </c>
      <c r="BS65" s="2847">
        <f t="shared" si="867"/>
        <v>46.037733690524639</v>
      </c>
      <c r="BT65" s="2847">
        <f t="shared" si="867"/>
        <v>46.178076464718252</v>
      </c>
      <c r="BU65" s="2847">
        <f t="shared" si="867"/>
        <v>17.204202631578948</v>
      </c>
      <c r="BV65" s="2847">
        <f t="shared" si="867"/>
        <v>32.378785556836235</v>
      </c>
      <c r="BW65" s="2847">
        <f t="shared" si="867"/>
        <v>32.471397602015458</v>
      </c>
      <c r="BX65" s="2847">
        <f t="shared" si="867"/>
        <v>13.429161837103509</v>
      </c>
      <c r="BY65" s="2849">
        <f t="shared" si="360"/>
        <v>5.3323131540392126</v>
      </c>
      <c r="BZ65" s="2849">
        <f t="shared" si="360"/>
        <v>5.3756408109499745</v>
      </c>
      <c r="CA65" s="2849">
        <f t="shared" si="360"/>
        <v>-4.0065870683848566</v>
      </c>
      <c r="CB65" s="2847">
        <f>SUM(CB63/CB64)</f>
        <v>40.705420536485427</v>
      </c>
      <c r="CC65" s="2847">
        <f t="shared" ref="CC65:CD65" si="868">SUM(CC63/CC64)</f>
        <v>40.802435653768278</v>
      </c>
      <c r="CD65" s="2847">
        <f t="shared" si="868"/>
        <v>21.210789699963804</v>
      </c>
      <c r="CE65" s="2847">
        <f>SUM(CE63/CE64)</f>
        <v>44.07427123673704</v>
      </c>
      <c r="CF65" s="2847">
        <f t="shared" ref="CF65:CG65" si="869">SUM(CF63/CF64)</f>
        <v>44.195456443445821</v>
      </c>
      <c r="CG65" s="2847">
        <f t="shared" si="869"/>
        <v>18.412157473912458</v>
      </c>
      <c r="CH65" s="2847">
        <f>SUM(CH63/CH64)</f>
        <v>32.318167253045964</v>
      </c>
      <c r="CI65" s="2847">
        <f t="shared" ref="CI65:CJ65" si="870">SUM(CI63/CI64)</f>
        <v>32.387688606496511</v>
      </c>
      <c r="CJ65" s="2847">
        <f t="shared" si="870"/>
        <v>15.718360417875799</v>
      </c>
      <c r="CK65" s="2849">
        <f t="shared" si="362"/>
        <v>3.3688507002516133</v>
      </c>
      <c r="CL65" s="2849">
        <f t="shared" si="362"/>
        <v>3.3930207896775428</v>
      </c>
      <c r="CM65" s="2849">
        <f t="shared" si="362"/>
        <v>-2.7986322260513461</v>
      </c>
      <c r="CN65" s="2772">
        <f t="shared" ref="CN65:DW65" si="871">SUM(CN63/CN64)</f>
        <v>40.705420536485427</v>
      </c>
      <c r="CO65" s="2772">
        <f t="shared" si="871"/>
        <v>40.802435653768278</v>
      </c>
      <c r="CP65" s="2772">
        <f t="shared" si="871"/>
        <v>21.210789699963804</v>
      </c>
      <c r="CQ65" s="2772">
        <f t="shared" si="871"/>
        <v>49.103421741576398</v>
      </c>
      <c r="CR65" s="2772">
        <f t="shared" si="871"/>
        <v>49.163878113196837</v>
      </c>
      <c r="CS65" s="2772">
        <f t="shared" si="871"/>
        <v>23.965290322580646</v>
      </c>
      <c r="CT65" s="2772">
        <f t="shared" si="871"/>
        <v>41.252664475673924</v>
      </c>
      <c r="CU65" s="2772">
        <v>41.222882201162122</v>
      </c>
      <c r="CV65" s="2772">
        <v>63.335329341317362</v>
      </c>
      <c r="CW65" s="2772">
        <f t="shared" si="871"/>
        <v>40.705420536485427</v>
      </c>
      <c r="CX65" s="2772">
        <f t="shared" si="871"/>
        <v>40.802435653768278</v>
      </c>
      <c r="CY65" s="2772">
        <f t="shared" si="871"/>
        <v>21.210789699963804</v>
      </c>
      <c r="CZ65" s="2772" t="e">
        <f t="shared" si="871"/>
        <v>#DIV/0!</v>
      </c>
      <c r="DA65" s="2772" t="e">
        <f t="shared" si="871"/>
        <v>#DIV/0!</v>
      </c>
      <c r="DB65" s="2772" t="e">
        <f t="shared" si="871"/>
        <v>#DIV/0!</v>
      </c>
      <c r="DC65" s="2772">
        <f t="shared" si="871"/>
        <v>34.091666115949565</v>
      </c>
      <c r="DD65" s="2772">
        <v>34.094109164834656</v>
      </c>
      <c r="DE65" s="2772">
        <v>32.525782828282829</v>
      </c>
      <c r="DF65" s="2772">
        <f t="shared" si="871"/>
        <v>40.705420536485427</v>
      </c>
      <c r="DG65" s="2772">
        <f t="shared" si="871"/>
        <v>40.802435653768278</v>
      </c>
      <c r="DH65" s="2772">
        <f t="shared" si="871"/>
        <v>21.210789699963804</v>
      </c>
      <c r="DI65" s="2772" t="e">
        <f t="shared" si="871"/>
        <v>#DIV/0!</v>
      </c>
      <c r="DJ65" s="2772" t="e">
        <f t="shared" si="871"/>
        <v>#DIV/0!</v>
      </c>
      <c r="DK65" s="2772" t="e">
        <f t="shared" si="871"/>
        <v>#DIV/0!</v>
      </c>
      <c r="DL65" s="2772">
        <f t="shared" si="871"/>
        <v>35.000087421010939</v>
      </c>
      <c r="DM65" s="2772">
        <v>35.291249741465421</v>
      </c>
      <c r="DN65" s="2772">
        <v>8.0071338472319535</v>
      </c>
      <c r="DO65" s="2847">
        <f t="shared" si="871"/>
        <v>40.705420536485427</v>
      </c>
      <c r="DP65" s="2847">
        <f t="shared" si="871"/>
        <v>40.802435653768278</v>
      </c>
      <c r="DQ65" s="2847">
        <f t="shared" si="871"/>
        <v>21.210789699963804</v>
      </c>
      <c r="DR65" s="2847">
        <f t="shared" si="871"/>
        <v>49.103421741576398</v>
      </c>
      <c r="DS65" s="2847">
        <f t="shared" si="871"/>
        <v>49.163878113196837</v>
      </c>
      <c r="DT65" s="2847">
        <f t="shared" si="871"/>
        <v>23.965290322580646</v>
      </c>
      <c r="DU65" s="2847">
        <f t="shared" si="871"/>
        <v>36.714669788630189</v>
      </c>
      <c r="DV65" s="2847">
        <f t="shared" si="871"/>
        <v>36.812180629597172</v>
      </c>
      <c r="DW65" s="2847">
        <f t="shared" si="871"/>
        <v>15.872368861607143</v>
      </c>
      <c r="DX65" s="2849">
        <f t="shared" si="364"/>
        <v>8.3980012050909707</v>
      </c>
      <c r="DY65" s="2849">
        <f t="shared" si="364"/>
        <v>8.3614424594285595</v>
      </c>
      <c r="DZ65" s="2849">
        <f t="shared" si="364"/>
        <v>2.7545006226168418</v>
      </c>
      <c r="EA65" s="2847">
        <f>SUM(EA63/EA64)</f>
        <v>40.705420536485427</v>
      </c>
      <c r="EB65" s="2847">
        <f t="shared" ref="EB65:EC65" si="872">SUM(EB63/EB64)</f>
        <v>40.802435653768278</v>
      </c>
      <c r="EC65" s="2847">
        <f t="shared" si="872"/>
        <v>21.210789699963804</v>
      </c>
      <c r="ED65" s="2847">
        <f>SUM(ED63/ED64)</f>
        <v>44.70741945457047</v>
      </c>
      <c r="EE65" s="2847">
        <f t="shared" ref="EE65:EF65" si="873">SUM(EE63/EE64)</f>
        <v>44.822222791054116</v>
      </c>
      <c r="EF65" s="2847">
        <f t="shared" si="873"/>
        <v>18.792461023796001</v>
      </c>
      <c r="EG65" s="2847">
        <f>SUM(EG63/EG64)</f>
        <v>33.715157492014384</v>
      </c>
      <c r="EH65" s="2847">
        <f t="shared" ref="EH65:EI65" si="874">SUM(EH63/EH64)</f>
        <v>33.793104235536994</v>
      </c>
      <c r="EI65" s="2847">
        <f t="shared" si="874"/>
        <v>15.771049064528448</v>
      </c>
      <c r="EJ65" s="2849">
        <f t="shared" si="366"/>
        <v>4.001998918085043</v>
      </c>
      <c r="EK65" s="2849">
        <f t="shared" si="366"/>
        <v>4.0197871372858387</v>
      </c>
      <c r="EL65" s="2849">
        <f t="shared" si="366"/>
        <v>-2.4183286761678033</v>
      </c>
      <c r="EM65" s="2772">
        <f t="shared" ref="EM65:FV65" si="875">SUM(EM63/EM64)</f>
        <v>40.705420536485427</v>
      </c>
      <c r="EN65" s="2772">
        <f t="shared" si="875"/>
        <v>40.802435653768278</v>
      </c>
      <c r="EO65" s="2772">
        <f t="shared" si="875"/>
        <v>21.210789699963804</v>
      </c>
      <c r="EP65" s="2772" t="e">
        <f t="shared" si="875"/>
        <v>#DIV/0!</v>
      </c>
      <c r="EQ65" s="2772" t="e">
        <f t="shared" si="875"/>
        <v>#DIV/0!</v>
      </c>
      <c r="ER65" s="2772" t="e">
        <f t="shared" si="875"/>
        <v>#DIV/0!</v>
      </c>
      <c r="ES65" s="2772">
        <f t="shared" si="875"/>
        <v>37.209948447211971</v>
      </c>
      <c r="ET65" s="2772">
        <v>37.222911303180965</v>
      </c>
      <c r="EU65" s="2772">
        <v>31.869875776397514</v>
      </c>
      <c r="EV65" s="2772">
        <f t="shared" si="875"/>
        <v>40.705420536485427</v>
      </c>
      <c r="EW65" s="2772">
        <f t="shared" si="875"/>
        <v>40.802435653768278</v>
      </c>
      <c r="EX65" s="2772">
        <f t="shared" si="875"/>
        <v>21.210789699963804</v>
      </c>
      <c r="EY65" s="2772" t="e">
        <f t="shared" si="875"/>
        <v>#DIV/0!</v>
      </c>
      <c r="EZ65" s="2772" t="e">
        <f t="shared" si="875"/>
        <v>#DIV/0!</v>
      </c>
      <c r="FA65" s="2772" t="e">
        <f t="shared" si="875"/>
        <v>#DIV/0!</v>
      </c>
      <c r="FB65" s="2772">
        <f t="shared" si="875"/>
        <v>34.641197525783099</v>
      </c>
      <c r="FC65" s="2772">
        <v>34.633361547514028</v>
      </c>
      <c r="FD65" s="2772">
        <v>38.181889361702126</v>
      </c>
      <c r="FE65" s="2772">
        <f t="shared" si="875"/>
        <v>40.705420536485427</v>
      </c>
      <c r="FF65" s="2772">
        <f t="shared" si="875"/>
        <v>40.802435653768278</v>
      </c>
      <c r="FG65" s="2772">
        <f t="shared" si="875"/>
        <v>21.210789699963804</v>
      </c>
      <c r="FH65" s="2772" t="e">
        <f t="shared" si="875"/>
        <v>#DIV/0!</v>
      </c>
      <c r="FI65" s="2772" t="e">
        <f t="shared" si="875"/>
        <v>#DIV/0!</v>
      </c>
      <c r="FJ65" s="2772" t="e">
        <f t="shared" si="875"/>
        <v>#DIV/0!</v>
      </c>
      <c r="FK65" s="2772">
        <f t="shared" si="875"/>
        <v>41.074704552853454</v>
      </c>
      <c r="FL65" s="2772">
        <v>38.968188292354711</v>
      </c>
      <c r="FM65" s="2772">
        <v>10.98608528374479</v>
      </c>
      <c r="FN65" s="2847">
        <f t="shared" si="875"/>
        <v>40.705420536485427</v>
      </c>
      <c r="FO65" s="2847">
        <f t="shared" si="875"/>
        <v>40.802435653768278</v>
      </c>
      <c r="FP65" s="2847">
        <f t="shared" si="875"/>
        <v>21.210789699963804</v>
      </c>
      <c r="FQ65" s="2847" t="e">
        <f t="shared" si="875"/>
        <v>#DIV/0!</v>
      </c>
      <c r="FR65" s="2847" t="e">
        <f t="shared" si="875"/>
        <v>#DIV/0!</v>
      </c>
      <c r="FS65" s="2847" t="e">
        <f t="shared" si="875"/>
        <v>#DIV/0!</v>
      </c>
      <c r="FT65" s="2847">
        <f t="shared" si="875"/>
        <v>37.66493608066196</v>
      </c>
      <c r="FU65" s="2847">
        <f t="shared" si="875"/>
        <v>37.773358856915465</v>
      </c>
      <c r="FV65" s="2847">
        <f t="shared" si="875"/>
        <v>17.750065509711529</v>
      </c>
      <c r="FW65" s="2849" t="e">
        <f t="shared" si="368"/>
        <v>#DIV/0!</v>
      </c>
      <c r="FX65" s="2849" t="e">
        <f t="shared" si="368"/>
        <v>#DIV/0!</v>
      </c>
      <c r="FY65" s="2849" t="e">
        <f t="shared" si="368"/>
        <v>#DIV/0!</v>
      </c>
      <c r="FZ65" s="2846">
        <f>SUM(FZ63/FZ64)</f>
        <v>40.705420536485427</v>
      </c>
      <c r="GA65" s="2846">
        <f t="shared" ref="GA65:GB65" si="876">SUM(GA63/GA64)</f>
        <v>40.802435653768278</v>
      </c>
      <c r="GB65" s="2846">
        <f t="shared" si="876"/>
        <v>21.210789699963804</v>
      </c>
      <c r="GC65" s="2847">
        <f>SUM(GC63/GC64)</f>
        <v>44.70741945457047</v>
      </c>
      <c r="GD65" s="2847">
        <f t="shared" ref="GD65:GE65" si="877">SUM(GD63/GD64)</f>
        <v>44.822222791054116</v>
      </c>
      <c r="GE65" s="2847">
        <f t="shared" si="877"/>
        <v>18.792461023796001</v>
      </c>
      <c r="GF65" s="2847">
        <f>SUM(GF63/GF64)</f>
        <v>34.698948462142546</v>
      </c>
      <c r="GG65" s="2847">
        <f t="shared" ref="GG65:GH65" si="878">SUM(GG63/GG64)</f>
        <v>34.78367092029336</v>
      </c>
      <c r="GH65" s="2847">
        <f t="shared" si="878"/>
        <v>16.351746534920583</v>
      </c>
      <c r="GI65" s="2849">
        <f t="shared" si="370"/>
        <v>4.001998918085043</v>
      </c>
      <c r="GJ65" s="2849">
        <f t="shared" si="370"/>
        <v>4.0197871372858387</v>
      </c>
      <c r="GK65" s="2849">
        <f t="shared" si="370"/>
        <v>-2.4183286761678033</v>
      </c>
    </row>
    <row r="66" spans="1:195" ht="18.75" customHeight="1" x14ac:dyDescent="0.3">
      <c r="A66" s="2850" t="s">
        <v>3748</v>
      </c>
      <c r="B66" s="2772">
        <f t="shared" ref="B66:B67" si="879">SUM(C66:D66)</f>
        <v>-24.081315996538649</v>
      </c>
      <c r="C66" s="2772">
        <f>SUM(стоки!EK122)/12</f>
        <v>-26.071001037368333</v>
      </c>
      <c r="D66" s="2772">
        <f>SUM(стоки!EL122)/12</f>
        <v>1.9896850408296833</v>
      </c>
      <c r="E66" s="2772">
        <f t="shared" ref="E66:E67" si="880">SUM(F66:G66)</f>
        <v>0</v>
      </c>
      <c r="F66" s="2772">
        <v>0</v>
      </c>
      <c r="G66" s="2772">
        <v>0</v>
      </c>
      <c r="H66" s="2772">
        <f t="shared" ref="H66:H67" si="881">SUM(I66:J66)</f>
        <v>0</v>
      </c>
      <c r="I66" s="2772">
        <v>0</v>
      </c>
      <c r="J66" s="2772">
        <v>0</v>
      </c>
      <c r="K66" s="2772">
        <f t="shared" ref="K66:K67" si="882">SUM(L66:M66)</f>
        <v>-24.081315996538649</v>
      </c>
      <c r="L66" s="2772">
        <f>SUM(C66)</f>
        <v>-26.071001037368333</v>
      </c>
      <c r="M66" s="2772">
        <f>SUM(D66)</f>
        <v>1.9896850408296833</v>
      </c>
      <c r="N66" s="2772">
        <f t="shared" ref="N66:N67" si="883">SUM(O66:P66)</f>
        <v>0</v>
      </c>
      <c r="O66" s="2772">
        <v>0</v>
      </c>
      <c r="P66" s="2772">
        <v>0</v>
      </c>
      <c r="Q66" s="2772">
        <f t="shared" ref="Q66:Q67" si="884">SUM(R66:S66)</f>
        <v>0</v>
      </c>
      <c r="R66" s="2772">
        <v>0</v>
      </c>
      <c r="S66" s="2772">
        <v>0</v>
      </c>
      <c r="T66" s="2772">
        <f t="shared" ref="T66:T67" si="885">SUM(U66:V66)</f>
        <v>-24.081315996538649</v>
      </c>
      <c r="U66" s="2772">
        <f>SUM(L66)</f>
        <v>-26.071001037368333</v>
      </c>
      <c r="V66" s="2772">
        <f>SUM(M66)</f>
        <v>1.9896850408296833</v>
      </c>
      <c r="W66" s="2772">
        <f t="shared" ref="W66:W67" si="886">SUM(X66:Y66)</f>
        <v>0</v>
      </c>
      <c r="X66" s="2772">
        <v>0</v>
      </c>
      <c r="Y66" s="2772">
        <v>0</v>
      </c>
      <c r="Z66" s="2772">
        <f t="shared" ref="Z66:Z67" si="887">SUM(AA66:AB66)</f>
        <v>0</v>
      </c>
      <c r="AA66" s="2772">
        <v>0</v>
      </c>
      <c r="AB66" s="2772">
        <v>0</v>
      </c>
      <c r="AC66" s="2823">
        <f>SUM(B66+K66+T66)</f>
        <v>-72.243947989615947</v>
      </c>
      <c r="AD66" s="2823">
        <f t="shared" ref="AD66:AF70" si="888">SUM(C66+L66+U66)</f>
        <v>-78.213003112105</v>
      </c>
      <c r="AE66" s="2823">
        <f t="shared" si="888"/>
        <v>5.96905512248905</v>
      </c>
      <c r="AF66" s="2823">
        <f>SUM(E66+N66+W66)</f>
        <v>0</v>
      </c>
      <c r="AG66" s="2823">
        <f t="shared" ref="AG66:AK70" si="889">SUM(F66+O66+X66)</f>
        <v>0</v>
      </c>
      <c r="AH66" s="2823">
        <f t="shared" si="889"/>
        <v>0</v>
      </c>
      <c r="AI66" s="2823">
        <f t="shared" si="889"/>
        <v>0</v>
      </c>
      <c r="AJ66" s="2823">
        <f t="shared" si="889"/>
        <v>0</v>
      </c>
      <c r="AK66" s="2823">
        <f t="shared" si="889"/>
        <v>0</v>
      </c>
      <c r="AL66" s="2813">
        <f t="shared" si="358"/>
        <v>72.243947989615947</v>
      </c>
      <c r="AM66" s="2813">
        <f t="shared" si="358"/>
        <v>78.213003112105</v>
      </c>
      <c r="AN66" s="2813">
        <f t="shared" si="358"/>
        <v>-5.96905512248905</v>
      </c>
      <c r="AO66" s="2772">
        <f t="shared" ref="AO66" si="890">SUM(AP66:AQ66)</f>
        <v>-24.081315996538649</v>
      </c>
      <c r="AP66" s="2772">
        <f>SUM(U66)</f>
        <v>-26.071001037368333</v>
      </c>
      <c r="AQ66" s="2772">
        <f>SUM(V66)</f>
        <v>1.9896850408296833</v>
      </c>
      <c r="AR66" s="2772">
        <f t="shared" ref="AR66:AR67" si="891">SUM(AS66:AT66)</f>
        <v>0</v>
      </c>
      <c r="AS66" s="2772">
        <v>0</v>
      </c>
      <c r="AT66" s="2772">
        <v>0</v>
      </c>
      <c r="AU66" s="2772">
        <f t="shared" ref="AU66:AU67" si="892">SUM(AV66:AW66)</f>
        <v>0</v>
      </c>
      <c r="AV66" s="2772">
        <v>0</v>
      </c>
      <c r="AW66" s="2772">
        <v>0</v>
      </c>
      <c r="AX66" s="2772">
        <f t="shared" ref="AX66:AX67" si="893">SUM(AY66:AZ66)</f>
        <v>-24.081315996538649</v>
      </c>
      <c r="AY66" s="2772">
        <f>SUM(AP66)</f>
        <v>-26.071001037368333</v>
      </c>
      <c r="AZ66" s="2772">
        <f>SUM(AQ66)</f>
        <v>1.9896850408296833</v>
      </c>
      <c r="BA66" s="2772">
        <f t="shared" ref="BA66:BA67" si="894">SUM(BB66:BC66)</f>
        <v>0</v>
      </c>
      <c r="BB66" s="2772">
        <v>0</v>
      </c>
      <c r="BC66" s="2772">
        <v>0</v>
      </c>
      <c r="BD66" s="2772">
        <f t="shared" ref="BD66:BD67" si="895">SUM(BE66:BF66)</f>
        <v>0</v>
      </c>
      <c r="BE66" s="2772">
        <v>0</v>
      </c>
      <c r="BF66" s="2772">
        <v>0</v>
      </c>
      <c r="BG66" s="2772">
        <f t="shared" ref="BG66:BG67" si="896">SUM(BH66:BI66)</f>
        <v>-24.081315996538649</v>
      </c>
      <c r="BH66" s="2772">
        <f>SUM(AY66)</f>
        <v>-26.071001037368333</v>
      </c>
      <c r="BI66" s="2772">
        <f>SUM(AZ66)</f>
        <v>1.9896850408296833</v>
      </c>
      <c r="BJ66" s="2772">
        <f t="shared" ref="BJ66:BJ67" si="897">SUM(BK66:BL66)</f>
        <v>0</v>
      </c>
      <c r="BK66" s="2772">
        <v>0</v>
      </c>
      <c r="BL66" s="2772">
        <v>0</v>
      </c>
      <c r="BM66" s="2772">
        <f t="shared" ref="BM66:BM67" si="898">SUM(BN66:BO66)</f>
        <v>0</v>
      </c>
      <c r="BN66" s="2772">
        <v>0</v>
      </c>
      <c r="BO66" s="2772">
        <v>0</v>
      </c>
      <c r="BP66" s="2823">
        <f t="shared" ref="BP66:BX70" si="899">SUM(AO66+AX66+BG66)</f>
        <v>-72.243947989615947</v>
      </c>
      <c r="BQ66" s="2823">
        <f t="shared" si="899"/>
        <v>-78.213003112105</v>
      </c>
      <c r="BR66" s="2823">
        <f t="shared" si="899"/>
        <v>5.96905512248905</v>
      </c>
      <c r="BS66" s="2823">
        <f t="shared" si="899"/>
        <v>0</v>
      </c>
      <c r="BT66" s="2823">
        <f t="shared" si="899"/>
        <v>0</v>
      </c>
      <c r="BU66" s="2823">
        <f t="shared" si="899"/>
        <v>0</v>
      </c>
      <c r="BV66" s="2823">
        <f t="shared" si="899"/>
        <v>0</v>
      </c>
      <c r="BW66" s="2823">
        <f t="shared" si="899"/>
        <v>0</v>
      </c>
      <c r="BX66" s="2823">
        <f t="shared" si="899"/>
        <v>0</v>
      </c>
      <c r="BY66" s="2824">
        <f t="shared" si="360"/>
        <v>72.243947989615947</v>
      </c>
      <c r="BZ66" s="2824">
        <f t="shared" si="360"/>
        <v>78.213003112105</v>
      </c>
      <c r="CA66" s="2824">
        <f t="shared" si="360"/>
        <v>-5.96905512248905</v>
      </c>
      <c r="CB66" s="2823">
        <f t="shared" ref="CB66:CJ70" si="900">SUM(AC66+BP66)</f>
        <v>-144.48789597923189</v>
      </c>
      <c r="CC66" s="2823">
        <f t="shared" si="900"/>
        <v>-156.42600622421</v>
      </c>
      <c r="CD66" s="2823">
        <f t="shared" si="900"/>
        <v>11.9381102449781</v>
      </c>
      <c r="CE66" s="2823">
        <f t="shared" si="900"/>
        <v>0</v>
      </c>
      <c r="CF66" s="2823">
        <f t="shared" si="900"/>
        <v>0</v>
      </c>
      <c r="CG66" s="2823">
        <f t="shared" si="900"/>
        <v>0</v>
      </c>
      <c r="CH66" s="2823">
        <f t="shared" si="900"/>
        <v>0</v>
      </c>
      <c r="CI66" s="2823">
        <f t="shared" si="900"/>
        <v>0</v>
      </c>
      <c r="CJ66" s="2823">
        <f t="shared" si="900"/>
        <v>0</v>
      </c>
      <c r="CK66" s="2824">
        <f t="shared" si="362"/>
        <v>144.48789597923189</v>
      </c>
      <c r="CL66" s="2824">
        <f t="shared" si="362"/>
        <v>156.42600622421</v>
      </c>
      <c r="CM66" s="2824">
        <f t="shared" si="362"/>
        <v>-11.9381102449781</v>
      </c>
      <c r="CN66" s="2772">
        <f t="shared" ref="CN66:CN67" si="901">SUM(CO66:CP66)</f>
        <v>-24.081315996538649</v>
      </c>
      <c r="CO66" s="2772">
        <f>SUM(BH66)</f>
        <v>-26.071001037368333</v>
      </c>
      <c r="CP66" s="2772">
        <f>SUM(BI66)</f>
        <v>1.9896850408296833</v>
      </c>
      <c r="CQ66" s="2772">
        <f t="shared" ref="CQ66:CQ67" si="902">SUM(CR66:CS66)</f>
        <v>0</v>
      </c>
      <c r="CR66" s="2772">
        <v>0</v>
      </c>
      <c r="CS66" s="2772">
        <v>0</v>
      </c>
      <c r="CT66" s="2772">
        <f t="shared" ref="CT66:CT67" si="903">SUM(CU66:CV66)</f>
        <v>0</v>
      </c>
      <c r="CU66" s="2772">
        <v>0</v>
      </c>
      <c r="CV66" s="2772">
        <v>0</v>
      </c>
      <c r="CW66" s="2772">
        <f t="shared" ref="CW66:CW67" si="904">SUM(CX66:CY66)</f>
        <v>-24.081315996538649</v>
      </c>
      <c r="CX66" s="2772">
        <f>SUM(CO66)</f>
        <v>-26.071001037368333</v>
      </c>
      <c r="CY66" s="2772">
        <f>SUM(CP66)</f>
        <v>1.9896850408296833</v>
      </c>
      <c r="CZ66" s="2772">
        <f t="shared" ref="CZ66:CZ67" si="905">SUM(DA66:DB66)</f>
        <v>0</v>
      </c>
      <c r="DA66" s="2772">
        <v>0</v>
      </c>
      <c r="DB66" s="2772">
        <v>0</v>
      </c>
      <c r="DC66" s="2772">
        <f t="shared" ref="DC66:DC67" si="906">SUM(DD66:DE66)</f>
        <v>0</v>
      </c>
      <c r="DD66" s="2772">
        <v>0</v>
      </c>
      <c r="DE66" s="2772">
        <v>0</v>
      </c>
      <c r="DF66" s="2772">
        <f t="shared" ref="DF66:DF67" si="907">SUM(DG66:DH66)</f>
        <v>-24.081315996538649</v>
      </c>
      <c r="DG66" s="2772">
        <f>SUM(CX66)</f>
        <v>-26.071001037368333</v>
      </c>
      <c r="DH66" s="2772">
        <f>SUM(CY66)</f>
        <v>1.9896850408296833</v>
      </c>
      <c r="DI66" s="2772">
        <f t="shared" ref="DI66:DI67" si="908">SUM(DJ66:DK66)</f>
        <v>0</v>
      </c>
      <c r="DJ66" s="2772">
        <v>0</v>
      </c>
      <c r="DK66" s="2772">
        <v>0</v>
      </c>
      <c r="DL66" s="2772">
        <f t="shared" ref="DL66:DL67" si="909">SUM(DM66:DN66)</f>
        <v>0</v>
      </c>
      <c r="DM66" s="2772">
        <v>0</v>
      </c>
      <c r="DN66" s="2772">
        <v>0</v>
      </c>
      <c r="DO66" s="2823">
        <f t="shared" ref="DO66:DW70" si="910">SUM(CN66+CW66+DF66)</f>
        <v>-72.243947989615947</v>
      </c>
      <c r="DP66" s="2823">
        <f t="shared" si="910"/>
        <v>-78.213003112105</v>
      </c>
      <c r="DQ66" s="2823">
        <f t="shared" si="910"/>
        <v>5.96905512248905</v>
      </c>
      <c r="DR66" s="2823">
        <f t="shared" si="910"/>
        <v>0</v>
      </c>
      <c r="DS66" s="2823">
        <f t="shared" si="910"/>
        <v>0</v>
      </c>
      <c r="DT66" s="2823">
        <f t="shared" si="910"/>
        <v>0</v>
      </c>
      <c r="DU66" s="2823">
        <f t="shared" si="910"/>
        <v>0</v>
      </c>
      <c r="DV66" s="2823">
        <f t="shared" si="910"/>
        <v>0</v>
      </c>
      <c r="DW66" s="2823">
        <f t="shared" si="910"/>
        <v>0</v>
      </c>
      <c r="DX66" s="2824">
        <f t="shared" si="364"/>
        <v>72.243947989615947</v>
      </c>
      <c r="DY66" s="2824">
        <f t="shared" si="364"/>
        <v>78.213003112105</v>
      </c>
      <c r="DZ66" s="2824">
        <f t="shared" si="364"/>
        <v>-5.96905512248905</v>
      </c>
      <c r="EA66" s="2891">
        <f t="shared" ref="EA66:EI70" si="911">SUM(CB66+DO66)</f>
        <v>-216.73184396884784</v>
      </c>
      <c r="EB66" s="2891">
        <f t="shared" si="911"/>
        <v>-234.63900933631498</v>
      </c>
      <c r="EC66" s="2891">
        <f t="shared" si="911"/>
        <v>17.907165367467151</v>
      </c>
      <c r="ED66" s="2823">
        <f t="shared" si="911"/>
        <v>0</v>
      </c>
      <c r="EE66" s="2823">
        <f t="shared" si="911"/>
        <v>0</v>
      </c>
      <c r="EF66" s="2823">
        <f t="shared" si="911"/>
        <v>0</v>
      </c>
      <c r="EG66" s="2891">
        <f t="shared" si="911"/>
        <v>0</v>
      </c>
      <c r="EH66" s="2891">
        <f t="shared" si="911"/>
        <v>0</v>
      </c>
      <c r="EI66" s="2891">
        <f t="shared" si="911"/>
        <v>0</v>
      </c>
      <c r="EJ66" s="2824">
        <f t="shared" si="366"/>
        <v>216.73184396884784</v>
      </c>
      <c r="EK66" s="2824">
        <f t="shared" si="366"/>
        <v>234.63900933631498</v>
      </c>
      <c r="EL66" s="2824">
        <f t="shared" si="366"/>
        <v>-17.907165367467151</v>
      </c>
      <c r="EM66" s="2772">
        <f t="shared" ref="EM66:EM67" si="912">SUM(EN66:EO66)</f>
        <v>-24.081315996538649</v>
      </c>
      <c r="EN66" s="2772">
        <f>SUM(DG66)</f>
        <v>-26.071001037368333</v>
      </c>
      <c r="EO66" s="2772">
        <f>SUM(DH66)</f>
        <v>1.9896850408296833</v>
      </c>
      <c r="EP66" s="2772">
        <f t="shared" ref="EP66:EP67" si="913">SUM(EQ66:ER66)</f>
        <v>0</v>
      </c>
      <c r="EQ66" s="2772">
        <v>0</v>
      </c>
      <c r="ER66" s="2772">
        <v>0</v>
      </c>
      <c r="ES66" s="2772">
        <f t="shared" ref="ES66:ES67" si="914">SUM(ET66:EU66)</f>
        <v>0</v>
      </c>
      <c r="ET66" s="2772">
        <v>0</v>
      </c>
      <c r="EU66" s="2772">
        <v>0</v>
      </c>
      <c r="EV66" s="2772">
        <f t="shared" ref="EV66:EV67" si="915">SUM(EW66:EX66)</f>
        <v>-24.081315996538649</v>
      </c>
      <c r="EW66" s="2772">
        <f>SUM(EN66)</f>
        <v>-26.071001037368333</v>
      </c>
      <c r="EX66" s="2772">
        <f>SUM(EO66)</f>
        <v>1.9896850408296833</v>
      </c>
      <c r="EY66" s="2772">
        <f t="shared" ref="EY66:EY67" si="916">SUM(EZ66:FA66)</f>
        <v>0</v>
      </c>
      <c r="EZ66" s="2772">
        <v>0</v>
      </c>
      <c r="FA66" s="2772">
        <v>0</v>
      </c>
      <c r="FB66" s="2772">
        <f t="shared" ref="FB66:FB67" si="917">SUM(FC66:FD66)</f>
        <v>0</v>
      </c>
      <c r="FC66" s="2772">
        <v>0</v>
      </c>
      <c r="FD66" s="2772">
        <v>0</v>
      </c>
      <c r="FE66" s="2772">
        <f t="shared" ref="FE66:FE67" si="918">SUM(FF66:FG66)</f>
        <v>-24.081315996538649</v>
      </c>
      <c r="FF66" s="2772">
        <f>SUM(EW66)</f>
        <v>-26.071001037368333</v>
      </c>
      <c r="FG66" s="2772">
        <f>SUM(EX66)</f>
        <v>1.9896850408296833</v>
      </c>
      <c r="FH66" s="2772">
        <f t="shared" ref="FH66:FH67" si="919">SUM(FI66:FJ66)</f>
        <v>0</v>
      </c>
      <c r="FI66" s="2772">
        <v>0</v>
      </c>
      <c r="FJ66" s="2772">
        <v>0</v>
      </c>
      <c r="FK66" s="2772">
        <f t="shared" ref="FK66:FK67" si="920">SUM(FL66:FM66)</f>
        <v>0</v>
      </c>
      <c r="FL66" s="2772">
        <v>0</v>
      </c>
      <c r="FM66" s="2772">
        <v>0</v>
      </c>
      <c r="FN66" s="2823">
        <f t="shared" ref="FN66:FV70" si="921">SUM(EM66+EV66+FE66)</f>
        <v>-72.243947989615947</v>
      </c>
      <c r="FO66" s="2823">
        <f t="shared" si="921"/>
        <v>-78.213003112105</v>
      </c>
      <c r="FP66" s="2823">
        <f t="shared" si="921"/>
        <v>5.96905512248905</v>
      </c>
      <c r="FQ66" s="2823">
        <f t="shared" si="921"/>
        <v>0</v>
      </c>
      <c r="FR66" s="2823">
        <f t="shared" si="921"/>
        <v>0</v>
      </c>
      <c r="FS66" s="2823">
        <f t="shared" si="921"/>
        <v>0</v>
      </c>
      <c r="FT66" s="2823">
        <f t="shared" si="921"/>
        <v>0</v>
      </c>
      <c r="FU66" s="2823">
        <f t="shared" si="921"/>
        <v>0</v>
      </c>
      <c r="FV66" s="2823">
        <f t="shared" si="921"/>
        <v>0</v>
      </c>
      <c r="FW66" s="2824">
        <f t="shared" si="368"/>
        <v>72.243947989615947</v>
      </c>
      <c r="FX66" s="2824">
        <f t="shared" si="368"/>
        <v>78.213003112105</v>
      </c>
      <c r="FY66" s="2824">
        <f t="shared" si="368"/>
        <v>-5.96905512248905</v>
      </c>
      <c r="FZ66" s="2798">
        <f t="shared" ref="FZ66:GH70" si="922">SUM(EA66+FN66)</f>
        <v>-288.97579195846379</v>
      </c>
      <c r="GA66" s="2798">
        <f t="shared" si="922"/>
        <v>-312.85201244842</v>
      </c>
      <c r="GB66" s="2798">
        <f t="shared" si="922"/>
        <v>23.8762204899562</v>
      </c>
      <c r="GC66" s="2823">
        <f t="shared" si="922"/>
        <v>0</v>
      </c>
      <c r="GD66" s="2823">
        <f t="shared" si="922"/>
        <v>0</v>
      </c>
      <c r="GE66" s="2823">
        <f t="shared" si="922"/>
        <v>0</v>
      </c>
      <c r="GF66" s="2823">
        <f t="shared" si="922"/>
        <v>0</v>
      </c>
      <c r="GG66" s="2823">
        <f t="shared" si="922"/>
        <v>0</v>
      </c>
      <c r="GH66" s="2823">
        <f t="shared" si="922"/>
        <v>0</v>
      </c>
      <c r="GI66" s="2824">
        <f t="shared" si="370"/>
        <v>288.97579195846379</v>
      </c>
      <c r="GJ66" s="2824">
        <f t="shared" si="370"/>
        <v>312.85201244842</v>
      </c>
      <c r="GK66" s="2824">
        <f t="shared" si="370"/>
        <v>-23.8762204899562</v>
      </c>
      <c r="GM66" s="3576">
        <f t="shared" ref="GM66" si="923">SUM(B66+K66+T66+AO66+AX66+BG66+CN66+CW66+DF66+EM66+EV66+FE66)</f>
        <v>-288.97579195846379</v>
      </c>
    </row>
    <row r="67" spans="1:195" ht="18.75" hidden="1" customHeight="1" x14ac:dyDescent="0.3">
      <c r="A67" s="2784" t="s">
        <v>310</v>
      </c>
      <c r="B67" s="2781">
        <f t="shared" si="879"/>
        <v>0</v>
      </c>
      <c r="C67" s="2781">
        <v>0</v>
      </c>
      <c r="D67" s="2781">
        <v>0</v>
      </c>
      <c r="E67" s="2781">
        <f t="shared" si="880"/>
        <v>0</v>
      </c>
      <c r="F67" s="2781">
        <v>0</v>
      </c>
      <c r="G67" s="2781">
        <v>0</v>
      </c>
      <c r="H67" s="2781">
        <f t="shared" si="881"/>
        <v>0</v>
      </c>
      <c r="I67" s="2781">
        <v>0</v>
      </c>
      <c r="J67" s="2781">
        <v>0</v>
      </c>
      <c r="K67" s="2781">
        <f t="shared" si="882"/>
        <v>0</v>
      </c>
      <c r="L67" s="2781">
        <f>SUM(C67)</f>
        <v>0</v>
      </c>
      <c r="M67" s="2781">
        <f>SUM(D67)</f>
        <v>0</v>
      </c>
      <c r="N67" s="2781">
        <f t="shared" si="883"/>
        <v>0</v>
      </c>
      <c r="O67" s="2781">
        <v>0</v>
      </c>
      <c r="P67" s="2781">
        <v>0</v>
      </c>
      <c r="Q67" s="2781">
        <f t="shared" si="884"/>
        <v>0</v>
      </c>
      <c r="R67" s="2781">
        <v>0</v>
      </c>
      <c r="S67" s="2781">
        <v>0</v>
      </c>
      <c r="T67" s="2781">
        <f t="shared" si="885"/>
        <v>0</v>
      </c>
      <c r="U67" s="2781">
        <f>SUM(L67)</f>
        <v>0</v>
      </c>
      <c r="V67" s="2781">
        <f>SUM(M67)</f>
        <v>0</v>
      </c>
      <c r="W67" s="2781">
        <f t="shared" si="886"/>
        <v>0</v>
      </c>
      <c r="X67" s="2781">
        <v>0</v>
      </c>
      <c r="Y67" s="2781">
        <v>0</v>
      </c>
      <c r="Z67" s="2781">
        <f t="shared" si="887"/>
        <v>0</v>
      </c>
      <c r="AA67" s="2781">
        <v>0</v>
      </c>
      <c r="AB67" s="2781">
        <v>0</v>
      </c>
      <c r="AC67" s="2818">
        <f>SUM(B67+K67+T67)</f>
        <v>0</v>
      </c>
      <c r="AD67" s="2818">
        <f t="shared" si="888"/>
        <v>0</v>
      </c>
      <c r="AE67" s="2818">
        <f t="shared" si="888"/>
        <v>0</v>
      </c>
      <c r="AF67" s="2818">
        <f>SUM(E67+N67+W67)</f>
        <v>0</v>
      </c>
      <c r="AG67" s="2818">
        <f t="shared" si="889"/>
        <v>0</v>
      </c>
      <c r="AH67" s="2818">
        <f t="shared" si="889"/>
        <v>0</v>
      </c>
      <c r="AI67" s="2818">
        <f t="shared" si="889"/>
        <v>0</v>
      </c>
      <c r="AJ67" s="2818">
        <f t="shared" si="889"/>
        <v>0</v>
      </c>
      <c r="AK67" s="2818">
        <f t="shared" si="889"/>
        <v>0</v>
      </c>
      <c r="AL67" s="2819">
        <f t="shared" si="358"/>
        <v>0</v>
      </c>
      <c r="AM67" s="2819">
        <f t="shared" si="358"/>
        <v>0</v>
      </c>
      <c r="AN67" s="2819">
        <f t="shared" si="358"/>
        <v>0</v>
      </c>
      <c r="AO67" s="2781">
        <f t="shared" ref="AO67" si="924">SUM(AP67:AQ67)</f>
        <v>0</v>
      </c>
      <c r="AP67" s="2781">
        <f>SUM(U67)</f>
        <v>0</v>
      </c>
      <c r="AQ67" s="2781">
        <f>SUM(V67)</f>
        <v>0</v>
      </c>
      <c r="AR67" s="2781">
        <f t="shared" si="891"/>
        <v>0</v>
      </c>
      <c r="AS67" s="2781">
        <v>0</v>
      </c>
      <c r="AT67" s="2781">
        <v>0</v>
      </c>
      <c r="AU67" s="2781">
        <f t="shared" si="892"/>
        <v>0</v>
      </c>
      <c r="AV67" s="2781">
        <v>0</v>
      </c>
      <c r="AW67" s="2781">
        <v>0</v>
      </c>
      <c r="AX67" s="2781">
        <f t="shared" si="893"/>
        <v>0</v>
      </c>
      <c r="AY67" s="2781">
        <f>SUM(AP67)</f>
        <v>0</v>
      </c>
      <c r="AZ67" s="2781">
        <f>SUM(AQ67)</f>
        <v>0</v>
      </c>
      <c r="BA67" s="2781">
        <f t="shared" si="894"/>
        <v>0</v>
      </c>
      <c r="BB67" s="2781">
        <v>0</v>
      </c>
      <c r="BC67" s="2781">
        <v>0</v>
      </c>
      <c r="BD67" s="2781">
        <f t="shared" si="895"/>
        <v>0</v>
      </c>
      <c r="BE67" s="2781">
        <v>0</v>
      </c>
      <c r="BF67" s="2781">
        <v>0</v>
      </c>
      <c r="BG67" s="2781">
        <f t="shared" si="896"/>
        <v>0</v>
      </c>
      <c r="BH67" s="2781">
        <f>SUM(AY67)</f>
        <v>0</v>
      </c>
      <c r="BI67" s="2781">
        <f>SUM(AZ67)</f>
        <v>0</v>
      </c>
      <c r="BJ67" s="2781">
        <f t="shared" si="897"/>
        <v>0</v>
      </c>
      <c r="BK67" s="2781">
        <v>0</v>
      </c>
      <c r="BL67" s="2781">
        <v>0</v>
      </c>
      <c r="BM67" s="2781">
        <f t="shared" si="898"/>
        <v>0</v>
      </c>
      <c r="BN67" s="2781">
        <v>0</v>
      </c>
      <c r="BO67" s="2781">
        <v>0</v>
      </c>
      <c r="BP67" s="2818">
        <f t="shared" si="899"/>
        <v>0</v>
      </c>
      <c r="BQ67" s="2818">
        <f t="shared" si="899"/>
        <v>0</v>
      </c>
      <c r="BR67" s="2818">
        <f t="shared" si="899"/>
        <v>0</v>
      </c>
      <c r="BS67" s="2818">
        <f t="shared" si="899"/>
        <v>0</v>
      </c>
      <c r="BT67" s="2818">
        <f t="shared" si="899"/>
        <v>0</v>
      </c>
      <c r="BU67" s="2818">
        <f t="shared" si="899"/>
        <v>0</v>
      </c>
      <c r="BV67" s="2818">
        <f t="shared" si="899"/>
        <v>0</v>
      </c>
      <c r="BW67" s="2818">
        <f t="shared" si="899"/>
        <v>0</v>
      </c>
      <c r="BX67" s="2818">
        <f t="shared" si="899"/>
        <v>0</v>
      </c>
      <c r="BY67" s="2819">
        <f t="shared" si="360"/>
        <v>0</v>
      </c>
      <c r="BZ67" s="2819">
        <f t="shared" si="360"/>
        <v>0</v>
      </c>
      <c r="CA67" s="2819">
        <f t="shared" si="360"/>
        <v>0</v>
      </c>
      <c r="CB67" s="2818">
        <f t="shared" si="900"/>
        <v>0</v>
      </c>
      <c r="CC67" s="2818">
        <f t="shared" si="900"/>
        <v>0</v>
      </c>
      <c r="CD67" s="2818">
        <f t="shared" si="900"/>
        <v>0</v>
      </c>
      <c r="CE67" s="2818">
        <f t="shared" si="900"/>
        <v>0</v>
      </c>
      <c r="CF67" s="2818">
        <f t="shared" si="900"/>
        <v>0</v>
      </c>
      <c r="CG67" s="2818">
        <f t="shared" si="900"/>
        <v>0</v>
      </c>
      <c r="CH67" s="2818">
        <f t="shared" si="900"/>
        <v>0</v>
      </c>
      <c r="CI67" s="2818">
        <f t="shared" si="900"/>
        <v>0</v>
      </c>
      <c r="CJ67" s="2818">
        <f t="shared" si="900"/>
        <v>0</v>
      </c>
      <c r="CK67" s="2819">
        <f t="shared" si="362"/>
        <v>0</v>
      </c>
      <c r="CL67" s="2819">
        <f t="shared" si="362"/>
        <v>0</v>
      </c>
      <c r="CM67" s="2819">
        <f t="shared" si="362"/>
        <v>0</v>
      </c>
      <c r="CN67" s="2781">
        <f t="shared" si="901"/>
        <v>0</v>
      </c>
      <c r="CO67" s="2781">
        <f t="shared" ref="CO67:CP67" si="925">SUM(BH67)</f>
        <v>0</v>
      </c>
      <c r="CP67" s="2781">
        <f t="shared" si="925"/>
        <v>0</v>
      </c>
      <c r="CQ67" s="2781">
        <f t="shared" si="902"/>
        <v>0</v>
      </c>
      <c r="CR67" s="2781">
        <v>0</v>
      </c>
      <c r="CS67" s="2781">
        <v>0</v>
      </c>
      <c r="CT67" s="2781">
        <f t="shared" si="903"/>
        <v>0</v>
      </c>
      <c r="CU67" s="2781">
        <v>0</v>
      </c>
      <c r="CV67" s="2781">
        <v>0</v>
      </c>
      <c r="CW67" s="2781">
        <f t="shared" si="904"/>
        <v>0</v>
      </c>
      <c r="CX67" s="2781">
        <f>SUM(CO67)</f>
        <v>0</v>
      </c>
      <c r="CY67" s="2781">
        <f>SUM(CP67)</f>
        <v>0</v>
      </c>
      <c r="CZ67" s="2781">
        <f t="shared" si="905"/>
        <v>0</v>
      </c>
      <c r="DA67" s="2781">
        <v>0</v>
      </c>
      <c r="DB67" s="2781">
        <v>0</v>
      </c>
      <c r="DC67" s="2781">
        <f t="shared" si="906"/>
        <v>0</v>
      </c>
      <c r="DD67" s="2781">
        <v>0</v>
      </c>
      <c r="DE67" s="2781">
        <v>0</v>
      </c>
      <c r="DF67" s="2781">
        <f t="shared" si="907"/>
        <v>0</v>
      </c>
      <c r="DG67" s="2781">
        <f>SUM(CX67)</f>
        <v>0</v>
      </c>
      <c r="DH67" s="2781">
        <f>SUM(CY67)</f>
        <v>0</v>
      </c>
      <c r="DI67" s="2781">
        <f t="shared" si="908"/>
        <v>0</v>
      </c>
      <c r="DJ67" s="2781">
        <v>0</v>
      </c>
      <c r="DK67" s="2781">
        <v>0</v>
      </c>
      <c r="DL67" s="2781">
        <f t="shared" si="909"/>
        <v>0</v>
      </c>
      <c r="DM67" s="2781">
        <v>0</v>
      </c>
      <c r="DN67" s="2781">
        <v>0</v>
      </c>
      <c r="DO67" s="2818">
        <f t="shared" si="910"/>
        <v>0</v>
      </c>
      <c r="DP67" s="2818">
        <f t="shared" si="910"/>
        <v>0</v>
      </c>
      <c r="DQ67" s="2818">
        <f t="shared" si="910"/>
        <v>0</v>
      </c>
      <c r="DR67" s="2818">
        <f t="shared" si="910"/>
        <v>0</v>
      </c>
      <c r="DS67" s="2818">
        <f t="shared" si="910"/>
        <v>0</v>
      </c>
      <c r="DT67" s="2818">
        <f t="shared" si="910"/>
        <v>0</v>
      </c>
      <c r="DU67" s="2818">
        <f t="shared" si="910"/>
        <v>0</v>
      </c>
      <c r="DV67" s="2818">
        <f t="shared" si="910"/>
        <v>0</v>
      </c>
      <c r="DW67" s="2818">
        <f t="shared" si="910"/>
        <v>0</v>
      </c>
      <c r="DX67" s="2819">
        <f t="shared" si="364"/>
        <v>0</v>
      </c>
      <c r="DY67" s="2819">
        <f t="shared" si="364"/>
        <v>0</v>
      </c>
      <c r="DZ67" s="2819">
        <f t="shared" si="364"/>
        <v>0</v>
      </c>
      <c r="EA67" s="2818">
        <f t="shared" si="911"/>
        <v>0</v>
      </c>
      <c r="EB67" s="2818">
        <f t="shared" si="911"/>
        <v>0</v>
      </c>
      <c r="EC67" s="2818">
        <f t="shared" si="911"/>
        <v>0</v>
      </c>
      <c r="ED67" s="2818">
        <f t="shared" si="911"/>
        <v>0</v>
      </c>
      <c r="EE67" s="2818">
        <f t="shared" si="911"/>
        <v>0</v>
      </c>
      <c r="EF67" s="2818">
        <f t="shared" si="911"/>
        <v>0</v>
      </c>
      <c r="EG67" s="2818">
        <f t="shared" si="911"/>
        <v>0</v>
      </c>
      <c r="EH67" s="2818">
        <f t="shared" si="911"/>
        <v>0</v>
      </c>
      <c r="EI67" s="2818">
        <f t="shared" si="911"/>
        <v>0</v>
      </c>
      <c r="EJ67" s="2819">
        <f t="shared" si="366"/>
        <v>0</v>
      </c>
      <c r="EK67" s="2819">
        <f t="shared" si="366"/>
        <v>0</v>
      </c>
      <c r="EL67" s="2819">
        <f t="shared" si="366"/>
        <v>0</v>
      </c>
      <c r="EM67" s="2781">
        <f t="shared" si="912"/>
        <v>0</v>
      </c>
      <c r="EN67" s="2781">
        <f>SUM(DG67)</f>
        <v>0</v>
      </c>
      <c r="EO67" s="2781">
        <f>SUM(DH67)</f>
        <v>0</v>
      </c>
      <c r="EP67" s="2781">
        <f t="shared" si="913"/>
        <v>0</v>
      </c>
      <c r="EQ67" s="2781">
        <v>0</v>
      </c>
      <c r="ER67" s="2781">
        <v>0</v>
      </c>
      <c r="ES67" s="2781">
        <f t="shared" si="914"/>
        <v>0</v>
      </c>
      <c r="ET67" s="2781">
        <v>0</v>
      </c>
      <c r="EU67" s="2781">
        <v>0</v>
      </c>
      <c r="EV67" s="2781">
        <f t="shared" si="915"/>
        <v>0</v>
      </c>
      <c r="EW67" s="2781">
        <f>SUM(EN67)</f>
        <v>0</v>
      </c>
      <c r="EX67" s="2781">
        <f>SUM(EO67)</f>
        <v>0</v>
      </c>
      <c r="EY67" s="2781">
        <f t="shared" si="916"/>
        <v>0</v>
      </c>
      <c r="EZ67" s="2781">
        <v>0</v>
      </c>
      <c r="FA67" s="2781">
        <v>0</v>
      </c>
      <c r="FB67" s="2781">
        <f t="shared" si="917"/>
        <v>0</v>
      </c>
      <c r="FC67" s="2781">
        <v>0</v>
      </c>
      <c r="FD67" s="2781">
        <v>0</v>
      </c>
      <c r="FE67" s="2781">
        <f t="shared" si="918"/>
        <v>0</v>
      </c>
      <c r="FF67" s="2781">
        <f>SUM(EW67)</f>
        <v>0</v>
      </c>
      <c r="FG67" s="2781">
        <f>SUM(EX67)</f>
        <v>0</v>
      </c>
      <c r="FH67" s="2781">
        <f t="shared" si="919"/>
        <v>0</v>
      </c>
      <c r="FI67" s="2781">
        <v>0</v>
      </c>
      <c r="FJ67" s="2781">
        <v>0</v>
      </c>
      <c r="FK67" s="2781">
        <f t="shared" si="920"/>
        <v>0</v>
      </c>
      <c r="FL67" s="2781">
        <v>0</v>
      </c>
      <c r="FM67" s="2781">
        <v>0</v>
      </c>
      <c r="FN67" s="2818">
        <f t="shared" si="921"/>
        <v>0</v>
      </c>
      <c r="FO67" s="2818">
        <f t="shared" si="921"/>
        <v>0</v>
      </c>
      <c r="FP67" s="2818">
        <f t="shared" si="921"/>
        <v>0</v>
      </c>
      <c r="FQ67" s="2818">
        <f t="shared" si="921"/>
        <v>0</v>
      </c>
      <c r="FR67" s="2818">
        <f t="shared" si="921"/>
        <v>0</v>
      </c>
      <c r="FS67" s="2818">
        <f t="shared" si="921"/>
        <v>0</v>
      </c>
      <c r="FT67" s="2818">
        <f t="shared" si="921"/>
        <v>0</v>
      </c>
      <c r="FU67" s="2818">
        <f t="shared" si="921"/>
        <v>0</v>
      </c>
      <c r="FV67" s="2818">
        <f t="shared" si="921"/>
        <v>0</v>
      </c>
      <c r="FW67" s="2819">
        <f t="shared" si="368"/>
        <v>0</v>
      </c>
      <c r="FX67" s="2819">
        <f t="shared" si="368"/>
        <v>0</v>
      </c>
      <c r="FY67" s="2819">
        <f t="shared" si="368"/>
        <v>0</v>
      </c>
      <c r="FZ67" s="2807">
        <f t="shared" si="922"/>
        <v>0</v>
      </c>
      <c r="GA67" s="2807">
        <f t="shared" si="922"/>
        <v>0</v>
      </c>
      <c r="GB67" s="2807">
        <f t="shared" si="922"/>
        <v>0</v>
      </c>
      <c r="GC67" s="2818">
        <f t="shared" si="922"/>
        <v>0</v>
      </c>
      <c r="GD67" s="2818">
        <f t="shared" si="922"/>
        <v>0</v>
      </c>
      <c r="GE67" s="2818">
        <f t="shared" si="922"/>
        <v>0</v>
      </c>
      <c r="GF67" s="2818">
        <f t="shared" si="922"/>
        <v>0</v>
      </c>
      <c r="GG67" s="2818">
        <f t="shared" si="922"/>
        <v>0</v>
      </c>
      <c r="GH67" s="2818">
        <f t="shared" si="922"/>
        <v>0</v>
      </c>
      <c r="GI67" s="2819">
        <f t="shared" si="370"/>
        <v>0</v>
      </c>
      <c r="GJ67" s="2819">
        <f t="shared" si="370"/>
        <v>0</v>
      </c>
      <c r="GK67" s="2819">
        <f t="shared" si="370"/>
        <v>0</v>
      </c>
    </row>
    <row r="68" spans="1:195" ht="18.75" customHeight="1" x14ac:dyDescent="0.3">
      <c r="A68" s="2850" t="s">
        <v>3675</v>
      </c>
      <c r="B68" s="2772">
        <f>SUM(C68:D68)</f>
        <v>10404.146234840666</v>
      </c>
      <c r="C68" s="2772">
        <f t="shared" ref="C68:D68" si="926">SUM(C63+C66)</f>
        <v>10375.248415879982</v>
      </c>
      <c r="D68" s="2772">
        <f t="shared" si="926"/>
        <v>28.89781896068455</v>
      </c>
      <c r="E68" s="2772">
        <f>SUM(F68:G68)</f>
        <v>11589.63308</v>
      </c>
      <c r="F68" s="2772">
        <f t="shared" ref="F68:G68" si="927">SUM(F63+F66)</f>
        <v>11566.716999999999</v>
      </c>
      <c r="G68" s="2772">
        <f t="shared" si="927"/>
        <v>22.916080000000001</v>
      </c>
      <c r="H68" s="2772">
        <f>SUM(I68:J68)</f>
        <v>7745.6729300000006</v>
      </c>
      <c r="I68" s="2772">
        <v>7730.3605200000002</v>
      </c>
      <c r="J68" s="2772">
        <v>15.31241</v>
      </c>
      <c r="K68" s="2772">
        <f>SUM(L68:M68)</f>
        <v>10404.146234840666</v>
      </c>
      <c r="L68" s="2772">
        <f t="shared" ref="L68:M68" si="928">SUM(L63+L66)</f>
        <v>10375.248415879982</v>
      </c>
      <c r="M68" s="2772">
        <f t="shared" si="928"/>
        <v>28.89781896068455</v>
      </c>
      <c r="N68" s="2772">
        <f>SUM(O68:P68)</f>
        <v>10360.789510000002</v>
      </c>
      <c r="O68" s="2772">
        <f t="shared" ref="O68:P68" si="929">SUM(O63+O66)</f>
        <v>10341.014760000002</v>
      </c>
      <c r="P68" s="2772">
        <f t="shared" si="929"/>
        <v>19.774750000000001</v>
      </c>
      <c r="Q68" s="2772">
        <f>SUM(R68:S68)</f>
        <v>7009.2498999999998</v>
      </c>
      <c r="R68" s="2772">
        <v>6995.9250000000002</v>
      </c>
      <c r="S68" s="2772">
        <v>13.324900000000001</v>
      </c>
      <c r="T68" s="2772">
        <f>SUM(U68:V68)</f>
        <v>10404.146234840666</v>
      </c>
      <c r="U68" s="2772">
        <f t="shared" ref="U68:V68" si="930">SUM(U63+U66)</f>
        <v>10375.248415879982</v>
      </c>
      <c r="V68" s="2772">
        <f t="shared" si="930"/>
        <v>28.89781896068455</v>
      </c>
      <c r="W68" s="2772">
        <f>SUM(X68:Y68)</f>
        <v>11126.872460000001</v>
      </c>
      <c r="X68" s="2772">
        <f t="shared" ref="X68:Y68" si="931">SUM(X63+X66)</f>
        <v>11099.07595</v>
      </c>
      <c r="Y68" s="2772">
        <f t="shared" si="931"/>
        <v>27.796510000000001</v>
      </c>
      <c r="Z68" s="2772">
        <f>SUM(AA68:AB68)</f>
        <v>11943.08502</v>
      </c>
      <c r="AA68" s="2772">
        <v>11917.26583</v>
      </c>
      <c r="AB68" s="2772">
        <v>25.819189999999999</v>
      </c>
      <c r="AC68" s="2823">
        <f>SUM(B68+K68+T68)</f>
        <v>31212.438704521999</v>
      </c>
      <c r="AD68" s="2823">
        <f t="shared" si="888"/>
        <v>31125.745247639945</v>
      </c>
      <c r="AE68" s="2823">
        <f t="shared" si="888"/>
        <v>86.693456882053653</v>
      </c>
      <c r="AF68" s="2823">
        <f t="shared" si="888"/>
        <v>33077.295050000001</v>
      </c>
      <c r="AG68" s="2823">
        <f t="shared" si="889"/>
        <v>33006.807710000001</v>
      </c>
      <c r="AH68" s="2823">
        <f t="shared" si="889"/>
        <v>70.487340000000003</v>
      </c>
      <c r="AI68" s="2823">
        <f t="shared" si="889"/>
        <v>26698.007850000002</v>
      </c>
      <c r="AJ68" s="2823">
        <f t="shared" si="889"/>
        <v>26643.551350000002</v>
      </c>
      <c r="AK68" s="2823">
        <f t="shared" si="889"/>
        <v>54.456499999999998</v>
      </c>
      <c r="AL68" s="2824">
        <f t="shared" si="358"/>
        <v>1864.8563454780015</v>
      </c>
      <c r="AM68" s="2824">
        <f t="shared" si="358"/>
        <v>1881.0624623600561</v>
      </c>
      <c r="AN68" s="2824">
        <f t="shared" si="358"/>
        <v>-16.206116882053649</v>
      </c>
      <c r="AO68" s="2772">
        <f>SUM(AP68:AQ68)</f>
        <v>10404.146234840666</v>
      </c>
      <c r="AP68" s="2772">
        <f t="shared" ref="AP68:AQ68" si="932">SUM(AP63+AP66)</f>
        <v>10375.248415879982</v>
      </c>
      <c r="AQ68" s="2772">
        <f t="shared" si="932"/>
        <v>28.89781896068455</v>
      </c>
      <c r="AR68" s="2772">
        <f>SUM(AS68:AT68)</f>
        <v>12108.152490000002</v>
      </c>
      <c r="AS68" s="2772">
        <f t="shared" ref="AS68:AT68" si="933">SUM(AS63+AS66)</f>
        <v>12092.445710000002</v>
      </c>
      <c r="AT68" s="2772">
        <f t="shared" si="933"/>
        <v>15.70678</v>
      </c>
      <c r="AU68" s="2772">
        <f>SUM(AV68:AW68)</f>
        <v>8731.1980000000003</v>
      </c>
      <c r="AV68" s="2772">
        <v>8713.6820000000007</v>
      </c>
      <c r="AW68" s="2772">
        <v>17.516000000000002</v>
      </c>
      <c r="AX68" s="2772">
        <f>SUM(AY68:AZ68)</f>
        <v>10404.146234840666</v>
      </c>
      <c r="AY68" s="2772">
        <f t="shared" ref="AY68:AZ68" si="934">SUM(AY63+AY66)</f>
        <v>10375.248415879982</v>
      </c>
      <c r="AZ68" s="2772">
        <f t="shared" si="934"/>
        <v>28.89781896068455</v>
      </c>
      <c r="BA68" s="2772">
        <f>SUM(BB68:BC68)</f>
        <v>12418.618109999999</v>
      </c>
      <c r="BB68" s="2772">
        <f t="shared" ref="BB68:BC68" si="935">SUM(BB63+BB66)</f>
        <v>12396.967999999999</v>
      </c>
      <c r="BC68" s="2772">
        <f t="shared" si="935"/>
        <v>21.650109999999998</v>
      </c>
      <c r="BD68" s="2772">
        <f>SUM(BE68:BF68)</f>
        <v>8304.00749</v>
      </c>
      <c r="BE68" s="2772">
        <v>8295.0358400000005</v>
      </c>
      <c r="BF68" s="2772">
        <v>8.9716500000000003</v>
      </c>
      <c r="BG68" s="2772">
        <f>SUM(BH68:BI68)</f>
        <v>10404.146234840666</v>
      </c>
      <c r="BH68" s="2772">
        <f t="shared" ref="BH68:BI68" si="936">SUM(BH63+BH66)</f>
        <v>10375.248415879982</v>
      </c>
      <c r="BI68" s="2772">
        <f t="shared" si="936"/>
        <v>28.89781896068455</v>
      </c>
      <c r="BJ68" s="2772">
        <f>SUM(BK68:BL68)</f>
        <v>11590.426609999999</v>
      </c>
      <c r="BK68" s="2772">
        <f t="shared" ref="BK68:BL68" si="937">SUM(BK63+BK66)</f>
        <v>11562.407529999999</v>
      </c>
      <c r="BL68" s="2772">
        <f t="shared" si="937"/>
        <v>28.019080000000002</v>
      </c>
      <c r="BM68" s="2772">
        <f>SUM(BN68:BO68)</f>
        <v>9673.0105000000003</v>
      </c>
      <c r="BN68" s="2772">
        <v>9645.6237099999998</v>
      </c>
      <c r="BO68" s="2772">
        <v>27.386790000000001</v>
      </c>
      <c r="BP68" s="2823">
        <f t="shared" si="899"/>
        <v>31212.438704521999</v>
      </c>
      <c r="BQ68" s="2823">
        <f t="shared" si="899"/>
        <v>31125.745247639945</v>
      </c>
      <c r="BR68" s="2823">
        <f t="shared" si="899"/>
        <v>86.693456882053653</v>
      </c>
      <c r="BS68" s="2823">
        <f t="shared" si="899"/>
        <v>36117.197209999998</v>
      </c>
      <c r="BT68" s="2823">
        <f t="shared" si="899"/>
        <v>36051.821239999997</v>
      </c>
      <c r="BU68" s="2823">
        <f t="shared" si="899"/>
        <v>65.375969999999995</v>
      </c>
      <c r="BV68" s="2823">
        <f t="shared" si="899"/>
        <v>26708.215990000001</v>
      </c>
      <c r="BW68" s="2823">
        <f t="shared" si="899"/>
        <v>26654.341550000001</v>
      </c>
      <c r="BX68" s="2823">
        <f t="shared" si="899"/>
        <v>53.874440000000007</v>
      </c>
      <c r="BY68" s="2824">
        <f t="shared" si="360"/>
        <v>4904.7585054779993</v>
      </c>
      <c r="BZ68" s="2824">
        <f t="shared" si="360"/>
        <v>4926.0759923600526</v>
      </c>
      <c r="CA68" s="2824">
        <f t="shared" si="360"/>
        <v>-21.317486882053657</v>
      </c>
      <c r="CB68" s="2823">
        <f t="shared" si="900"/>
        <v>62424.877409043998</v>
      </c>
      <c r="CC68" s="2823">
        <f t="shared" si="900"/>
        <v>62251.49049527989</v>
      </c>
      <c r="CD68" s="2823">
        <f t="shared" si="900"/>
        <v>173.38691376410731</v>
      </c>
      <c r="CE68" s="2823">
        <f t="shared" si="900"/>
        <v>69194.492259999999</v>
      </c>
      <c r="CF68" s="2823">
        <f t="shared" si="900"/>
        <v>69058.628949999998</v>
      </c>
      <c r="CG68" s="2823">
        <f t="shared" si="900"/>
        <v>135.86331000000001</v>
      </c>
      <c r="CH68" s="2823">
        <f t="shared" si="900"/>
        <v>53406.223840000006</v>
      </c>
      <c r="CI68" s="2823">
        <f t="shared" si="900"/>
        <v>53297.892900000006</v>
      </c>
      <c r="CJ68" s="2823">
        <f t="shared" si="900"/>
        <v>108.33094</v>
      </c>
      <c r="CK68" s="2824">
        <f t="shared" si="362"/>
        <v>6769.6148509560007</v>
      </c>
      <c r="CL68" s="2824">
        <f t="shared" si="362"/>
        <v>6807.1384547201087</v>
      </c>
      <c r="CM68" s="2824">
        <f t="shared" si="362"/>
        <v>-37.523603764107293</v>
      </c>
      <c r="CN68" s="2772">
        <f>SUM(CO68:CP68)</f>
        <v>10404.146234840666</v>
      </c>
      <c r="CO68" s="2772">
        <f t="shared" ref="CO68:CP68" si="938">SUM(CO63+CO66)</f>
        <v>10375.248415879982</v>
      </c>
      <c r="CP68" s="2772">
        <f t="shared" si="938"/>
        <v>28.89781896068455</v>
      </c>
      <c r="CQ68" s="2772">
        <f>SUM(CR68:CS68)</f>
        <v>11103.135060000001</v>
      </c>
      <c r="CR68" s="2772">
        <f t="shared" ref="CR68:CS68" si="939">SUM(CR63+CR66)</f>
        <v>11090.133890000001</v>
      </c>
      <c r="CS68" s="2772">
        <f t="shared" si="939"/>
        <v>13.00117</v>
      </c>
      <c r="CT68" s="2772">
        <f>SUM(CU68:CV68)</f>
        <v>10230.042000000001</v>
      </c>
      <c r="CU68" s="2772">
        <v>10208.888000000001</v>
      </c>
      <c r="CV68" s="2772">
        <v>21.154</v>
      </c>
      <c r="CW68" s="2772">
        <f>SUM(CX68:CY68)</f>
        <v>10404.146234840666</v>
      </c>
      <c r="CX68" s="2772">
        <f t="shared" ref="CX68:CY68" si="940">SUM(CX63+CX66)</f>
        <v>10375.248415879982</v>
      </c>
      <c r="CY68" s="2772">
        <f t="shared" si="940"/>
        <v>28.89781896068455</v>
      </c>
      <c r="CZ68" s="2772">
        <f>SUM(DA68:DB68)</f>
        <v>0</v>
      </c>
      <c r="DA68" s="2772">
        <f t="shared" ref="DA68:DB68" si="941">SUM(DA63+DA66)</f>
        <v>0</v>
      </c>
      <c r="DB68" s="2772">
        <f t="shared" si="941"/>
        <v>0</v>
      </c>
      <c r="DC68" s="2772">
        <f>SUM(DD68:DE68)</f>
        <v>8666.5788100000009</v>
      </c>
      <c r="DD68" s="2772">
        <v>8653.6986000000015</v>
      </c>
      <c r="DE68" s="2772">
        <v>12.88021</v>
      </c>
      <c r="DF68" s="2772">
        <f>SUM(DG68:DH68)</f>
        <v>10404.146234840666</v>
      </c>
      <c r="DG68" s="2772">
        <f t="shared" ref="DG68:DH68" si="942">SUM(DG63+DG66)</f>
        <v>10375.248415879982</v>
      </c>
      <c r="DH68" s="2772">
        <f t="shared" si="942"/>
        <v>28.89781896068455</v>
      </c>
      <c r="DI68" s="2772">
        <f>SUM(DJ68:DK68)</f>
        <v>0</v>
      </c>
      <c r="DJ68" s="2772">
        <f t="shared" ref="DJ68:DK68" si="943">SUM(DJ63+DJ66)</f>
        <v>0</v>
      </c>
      <c r="DK68" s="2772">
        <f t="shared" si="943"/>
        <v>0</v>
      </c>
      <c r="DL68" s="2772">
        <f>SUM(DM68:DN68)</f>
        <v>9360.4733600000018</v>
      </c>
      <c r="DM68" s="2772">
        <v>9337.621000000001</v>
      </c>
      <c r="DN68" s="2772">
        <v>22.852359999999997</v>
      </c>
      <c r="DO68" s="2823">
        <f t="shared" si="910"/>
        <v>31212.438704521999</v>
      </c>
      <c r="DP68" s="2823">
        <f t="shared" si="910"/>
        <v>31125.745247639945</v>
      </c>
      <c r="DQ68" s="2823">
        <f t="shared" si="910"/>
        <v>86.693456882053653</v>
      </c>
      <c r="DR68" s="2823">
        <f t="shared" si="910"/>
        <v>11103.135060000001</v>
      </c>
      <c r="DS68" s="2823">
        <f t="shared" si="910"/>
        <v>11090.133890000001</v>
      </c>
      <c r="DT68" s="2823">
        <f t="shared" si="910"/>
        <v>13.00117</v>
      </c>
      <c r="DU68" s="2823">
        <f t="shared" si="910"/>
        <v>28257.094170000004</v>
      </c>
      <c r="DV68" s="2823">
        <f t="shared" si="910"/>
        <v>28200.207600000002</v>
      </c>
      <c r="DW68" s="2823">
        <f t="shared" si="910"/>
        <v>56.886569999999999</v>
      </c>
      <c r="DX68" s="2824">
        <f t="shared" si="364"/>
        <v>-20109.303644521999</v>
      </c>
      <c r="DY68" s="2824">
        <f t="shared" si="364"/>
        <v>-20035.611357639944</v>
      </c>
      <c r="DZ68" s="2824">
        <f t="shared" si="364"/>
        <v>-73.692286882053651</v>
      </c>
      <c r="EA68" s="2891">
        <f t="shared" si="911"/>
        <v>93637.31611356599</v>
      </c>
      <c r="EB68" s="2891">
        <f t="shared" si="911"/>
        <v>93377.235742919831</v>
      </c>
      <c r="EC68" s="2891">
        <f t="shared" si="911"/>
        <v>260.08037064616099</v>
      </c>
      <c r="ED68" s="2823">
        <f t="shared" si="911"/>
        <v>80297.62732</v>
      </c>
      <c r="EE68" s="2823">
        <f t="shared" si="911"/>
        <v>80148.762839999996</v>
      </c>
      <c r="EF68" s="2823">
        <f t="shared" si="911"/>
        <v>148.86448000000001</v>
      </c>
      <c r="EG68" s="2891">
        <f t="shared" si="911"/>
        <v>81663.318010000017</v>
      </c>
      <c r="EH68" s="2891">
        <f t="shared" si="911"/>
        <v>81498.1005</v>
      </c>
      <c r="EI68" s="2891">
        <f t="shared" si="911"/>
        <v>165.21751</v>
      </c>
      <c r="EJ68" s="2824">
        <f t="shared" si="366"/>
        <v>-13339.688793565991</v>
      </c>
      <c r="EK68" s="2824">
        <f t="shared" si="366"/>
        <v>-13228.472902919835</v>
      </c>
      <c r="EL68" s="2824">
        <f t="shared" si="366"/>
        <v>-111.21589064616097</v>
      </c>
      <c r="EM68" s="2772">
        <f>SUM(EN68:EO68)</f>
        <v>10404.146234840666</v>
      </c>
      <c r="EN68" s="2772">
        <f t="shared" ref="EN68:EO68" si="944">SUM(EN63+EN66)</f>
        <v>10375.248415879982</v>
      </c>
      <c r="EO68" s="2772">
        <f t="shared" si="944"/>
        <v>28.89781896068455</v>
      </c>
      <c r="EP68" s="2772">
        <f>SUM(EQ68:ER68)</f>
        <v>0</v>
      </c>
      <c r="EQ68" s="2772">
        <f t="shared" ref="EQ68:ER68" si="945">SUM(EQ63+EQ66)</f>
        <v>0</v>
      </c>
      <c r="ER68" s="2844">
        <f t="shared" si="945"/>
        <v>0</v>
      </c>
      <c r="ES68" s="2772">
        <f>SUM(ET68:EU68)</f>
        <v>9895.6509000000005</v>
      </c>
      <c r="ET68" s="2772">
        <v>9875.1267000000007</v>
      </c>
      <c r="EU68" s="2772">
        <v>20.5242</v>
      </c>
      <c r="EV68" s="2772">
        <f>SUM(EW68:EX68)</f>
        <v>10404.146234840666</v>
      </c>
      <c r="EW68" s="2772">
        <f t="shared" ref="EW68:EX68" si="946">SUM(EW63+EW66)</f>
        <v>10375.248415879982</v>
      </c>
      <c r="EX68" s="2772">
        <f t="shared" si="946"/>
        <v>28.89781896068455</v>
      </c>
      <c r="EY68" s="2772">
        <f>SUM(EZ68:FA68)</f>
        <v>0</v>
      </c>
      <c r="EZ68" s="2772">
        <f t="shared" ref="EZ68:FA68" si="947">SUM(EZ63+EZ66)</f>
        <v>0</v>
      </c>
      <c r="FA68" s="2772">
        <f t="shared" si="947"/>
        <v>0</v>
      </c>
      <c r="FB68" s="2772">
        <f>SUM(FC68:FD68)</f>
        <v>9216.2820800000009</v>
      </c>
      <c r="FC68" s="2772">
        <v>9193.8502200000003</v>
      </c>
      <c r="FD68" s="2772">
        <v>22.43186</v>
      </c>
      <c r="FE68" s="2772">
        <f>SUM(FF68:FG68)</f>
        <v>10404.146234840666</v>
      </c>
      <c r="FF68" s="2772">
        <f t="shared" ref="FF68:FG68" si="948">SUM(FF63+FF66)</f>
        <v>10375.248415879982</v>
      </c>
      <c r="FG68" s="2772">
        <f t="shared" si="948"/>
        <v>28.89781896068455</v>
      </c>
      <c r="FH68" s="2772">
        <f>SUM(FI68:FJ68)</f>
        <v>0</v>
      </c>
      <c r="FI68" s="2772">
        <f t="shared" ref="FI68:FJ68" si="949">SUM(FI63+FI66)</f>
        <v>0</v>
      </c>
      <c r="FJ68" s="2772">
        <f t="shared" si="949"/>
        <v>0</v>
      </c>
      <c r="FK68" s="2772">
        <f>SUM(FL68:FM68)</f>
        <v>10489.3066</v>
      </c>
      <c r="FL68" s="2772">
        <v>10455.040999999999</v>
      </c>
      <c r="FM68" s="2772">
        <v>34.265600000000006</v>
      </c>
      <c r="FN68" s="2823">
        <f t="shared" si="921"/>
        <v>31212.438704521999</v>
      </c>
      <c r="FO68" s="2823">
        <f t="shared" si="921"/>
        <v>31125.745247639945</v>
      </c>
      <c r="FP68" s="2823">
        <f t="shared" si="921"/>
        <v>86.693456882053653</v>
      </c>
      <c r="FQ68" s="2823">
        <f t="shared" si="921"/>
        <v>0</v>
      </c>
      <c r="FR68" s="2823">
        <f t="shared" si="921"/>
        <v>0</v>
      </c>
      <c r="FS68" s="2823">
        <f t="shared" si="921"/>
        <v>0</v>
      </c>
      <c r="FT68" s="2823">
        <f t="shared" si="921"/>
        <v>29601.239580000001</v>
      </c>
      <c r="FU68" s="2823">
        <f t="shared" si="921"/>
        <v>29524.017919999998</v>
      </c>
      <c r="FV68" s="2823">
        <f t="shared" si="921"/>
        <v>77.221660000000014</v>
      </c>
      <c r="FW68" s="2824">
        <f t="shared" si="368"/>
        <v>-31212.438704521999</v>
      </c>
      <c r="FX68" s="2824">
        <f t="shared" si="368"/>
        <v>-31125.745247639945</v>
      </c>
      <c r="FY68" s="2824">
        <f t="shared" si="368"/>
        <v>-86.693456882053653</v>
      </c>
      <c r="FZ68" s="2798">
        <f t="shared" si="922"/>
        <v>124849.754818088</v>
      </c>
      <c r="GA68" s="2798">
        <f t="shared" si="922"/>
        <v>124502.98099055978</v>
      </c>
      <c r="GB68" s="2798">
        <f t="shared" si="922"/>
        <v>346.77382752821461</v>
      </c>
      <c r="GC68" s="2823">
        <f t="shared" si="922"/>
        <v>80297.62732</v>
      </c>
      <c r="GD68" s="2823">
        <f t="shared" si="922"/>
        <v>80148.762839999996</v>
      </c>
      <c r="GE68" s="2823">
        <f t="shared" si="922"/>
        <v>148.86448000000001</v>
      </c>
      <c r="GF68" s="2823">
        <f t="shared" si="922"/>
        <v>111264.55759000001</v>
      </c>
      <c r="GG68" s="2823">
        <f t="shared" si="922"/>
        <v>111022.11842</v>
      </c>
      <c r="GH68" s="2823">
        <f t="shared" si="922"/>
        <v>242.43917000000002</v>
      </c>
      <c r="GI68" s="2824">
        <f t="shared" si="370"/>
        <v>-44552.127498087997</v>
      </c>
      <c r="GJ68" s="2824">
        <f t="shared" si="370"/>
        <v>-44354.218150559784</v>
      </c>
      <c r="GK68" s="2824">
        <f t="shared" si="370"/>
        <v>-197.9093475282146</v>
      </c>
    </row>
    <row r="69" spans="1:195" ht="18.75" customHeight="1" x14ac:dyDescent="0.3">
      <c r="A69" s="2850" t="s">
        <v>3749</v>
      </c>
      <c r="B69" s="2772">
        <f>SUM(C69:D69)</f>
        <v>-3.681607839496337E-4</v>
      </c>
      <c r="C69" s="2772">
        <f>SUM(C25-C68)</f>
        <v>-4.0642779458721634E-4</v>
      </c>
      <c r="D69" s="2772">
        <f>SUM(D25-D68)</f>
        <v>3.8267010637582644E-5</v>
      </c>
      <c r="E69" s="2772">
        <f>SUM(F69:G69)</f>
        <v>-1126.6888689999987</v>
      </c>
      <c r="F69" s="2772">
        <f>SUM(F25-F68)</f>
        <v>-1119.7472719999987</v>
      </c>
      <c r="G69" s="2772">
        <f>SUM(G25-G68)</f>
        <v>-6.9415970000000016</v>
      </c>
      <c r="H69" s="2772">
        <f>SUM(I69:J69)</f>
        <v>1782.5375120000001</v>
      </c>
      <c r="I69" s="2772">
        <v>1793.3634050000001</v>
      </c>
      <c r="J69" s="2772">
        <v>-10.825893000000001</v>
      </c>
      <c r="K69" s="2772">
        <f>SUM(L69:M69)</f>
        <v>-3.681607839496337E-4</v>
      </c>
      <c r="L69" s="2772">
        <f>SUM(L25-L68)</f>
        <v>-4.0642779458721634E-4</v>
      </c>
      <c r="M69" s="2772">
        <f>SUM(M25-M68)</f>
        <v>3.8267010637582644E-5</v>
      </c>
      <c r="N69" s="2772">
        <f>SUM(O69:P69)</f>
        <v>561.21743499999684</v>
      </c>
      <c r="O69" s="2772">
        <f>SUM(O25-O68)</f>
        <v>570.50768499999685</v>
      </c>
      <c r="P69" s="2772">
        <f>SUM(P25-P68)</f>
        <v>-9.2902500000000003</v>
      </c>
      <c r="Q69" s="2772">
        <f>SUM(R69:S69)</f>
        <v>2566.2370999999989</v>
      </c>
      <c r="R69" s="2772">
        <v>2574.5519999999988</v>
      </c>
      <c r="S69" s="2772">
        <v>-8.3149000000000015</v>
      </c>
      <c r="T69" s="2772">
        <f>SUM(U69:V69)</f>
        <v>-3.681607839496337E-4</v>
      </c>
      <c r="U69" s="2772">
        <f>SUM(U25-U68)</f>
        <v>-4.0642779458721634E-4</v>
      </c>
      <c r="V69" s="2772">
        <f>SUM(V25-V68)</f>
        <v>3.8267010637582644E-5</v>
      </c>
      <c r="W69" s="2772">
        <f>SUM(X69:Y69)</f>
        <v>-609.61417800000152</v>
      </c>
      <c r="X69" s="2772">
        <f>SUM(X25-X68)</f>
        <v>-636.88833500000146</v>
      </c>
      <c r="Y69" s="2772">
        <f>SUM(Y25-Y68)</f>
        <v>27.274156999999999</v>
      </c>
      <c r="Z69" s="2772">
        <f>SUM(AA69:AB69)</f>
        <v>-2600.8820200000005</v>
      </c>
      <c r="AA69" s="2772">
        <v>-2622.9988300000005</v>
      </c>
      <c r="AB69" s="2772">
        <v>22.116810000000001</v>
      </c>
      <c r="AC69" s="2823">
        <f>SUM(B69+K69+T69)</f>
        <v>-1.1044823518489011E-3</v>
      </c>
      <c r="AD69" s="2823">
        <f t="shared" si="888"/>
        <v>-1.219283383761649E-3</v>
      </c>
      <c r="AE69" s="2823">
        <f t="shared" si="888"/>
        <v>1.1480103191274793E-4</v>
      </c>
      <c r="AF69" s="2823">
        <f t="shared" si="888"/>
        <v>-1175.0856120000035</v>
      </c>
      <c r="AG69" s="2823">
        <f t="shared" si="889"/>
        <v>-1186.1279220000033</v>
      </c>
      <c r="AH69" s="2823">
        <f t="shared" si="889"/>
        <v>11.042309999999997</v>
      </c>
      <c r="AI69" s="2823">
        <f t="shared" si="889"/>
        <v>1747.8925919999988</v>
      </c>
      <c r="AJ69" s="2823">
        <f t="shared" si="889"/>
        <v>1744.9165749999984</v>
      </c>
      <c r="AK69" s="2823">
        <f t="shared" si="889"/>
        <v>2.9760169999999988</v>
      </c>
      <c r="AL69" s="2824">
        <f t="shared" si="358"/>
        <v>-1175.0845075176517</v>
      </c>
      <c r="AM69" s="2824">
        <f t="shared" si="358"/>
        <v>-1186.1267027166195</v>
      </c>
      <c r="AN69" s="2824">
        <f t="shared" si="358"/>
        <v>11.042195198968084</v>
      </c>
      <c r="AO69" s="2772">
        <f>SUM(AP69:AQ69)</f>
        <v>-3.681607839496337E-4</v>
      </c>
      <c r="AP69" s="2772">
        <f>SUM(AP25-AP68)</f>
        <v>-4.0642779458721634E-4</v>
      </c>
      <c r="AQ69" s="2772">
        <f>SUM(AQ25-AQ68)</f>
        <v>3.8267010637582644E-5</v>
      </c>
      <c r="AR69" s="2772">
        <f>SUM(AS69:AT69)</f>
        <v>-1399.4457070000028</v>
      </c>
      <c r="AS69" s="2772">
        <f>SUM(AS25-AS68)</f>
        <v>-1394.2177270000029</v>
      </c>
      <c r="AT69" s="2772">
        <f>SUM(AT25-AT68)</f>
        <v>-5.2279800000000005</v>
      </c>
      <c r="AU69" s="2772">
        <f>SUM(AV69:AW69)</f>
        <v>1501.0499999999997</v>
      </c>
      <c r="AV69" s="2772">
        <v>1507.1499999999996</v>
      </c>
      <c r="AW69" s="2772">
        <v>-6.1000000000000014</v>
      </c>
      <c r="AX69" s="2772">
        <f>SUM(AY69:AZ69)</f>
        <v>-3.681607839496337E-4</v>
      </c>
      <c r="AY69" s="2772">
        <f>SUM(AY25-AY68)</f>
        <v>-4.0642779458721634E-4</v>
      </c>
      <c r="AZ69" s="2772">
        <f>SUM(AZ25-AZ68)</f>
        <v>3.8267010637582644E-5</v>
      </c>
      <c r="BA69" s="2772">
        <f>SUM(BB69:BC69)</f>
        <v>-1706.8463489999981</v>
      </c>
      <c r="BB69" s="2772">
        <f>SUM(BB25-BB68)</f>
        <v>-1702.252771999998</v>
      </c>
      <c r="BC69" s="2772">
        <f>SUM(BC25-BC68)</f>
        <v>-4.5935769999999962</v>
      </c>
      <c r="BD69" s="2772">
        <f>SUM(BE69:BF69)</f>
        <v>838.21450999999968</v>
      </c>
      <c r="BE69" s="2772">
        <v>836.04515999999967</v>
      </c>
      <c r="BF69" s="2772">
        <v>2.1693499999999997</v>
      </c>
      <c r="BG69" s="2772">
        <f>SUM(BH69:BI69)</f>
        <v>-3.681607839496337E-4</v>
      </c>
      <c r="BH69" s="2772">
        <f>SUM(BH25-BH68)</f>
        <v>-4.0642779458721634E-4</v>
      </c>
      <c r="BI69" s="2772">
        <f>SUM(BI25-BI68)</f>
        <v>3.8267010637582644E-5</v>
      </c>
      <c r="BJ69" s="2772">
        <f>SUM(BK69:BL69)</f>
        <v>-1149.9802299999981</v>
      </c>
      <c r="BK69" s="2772">
        <f>SUM(BK25-BK68)</f>
        <v>-1180.9898499999981</v>
      </c>
      <c r="BL69" s="2772">
        <f>SUM(BL25-BL68)</f>
        <v>31.009619999999998</v>
      </c>
      <c r="BM69" s="2772">
        <f>SUM(BN69:BO69)</f>
        <v>-713.64449999999874</v>
      </c>
      <c r="BN69" s="2772">
        <v>-743.68970999999874</v>
      </c>
      <c r="BO69" s="2772">
        <v>30.045210000000001</v>
      </c>
      <c r="BP69" s="2823">
        <f t="shared" si="899"/>
        <v>-1.1044823518489011E-3</v>
      </c>
      <c r="BQ69" s="2823">
        <f t="shared" si="899"/>
        <v>-1.219283383761649E-3</v>
      </c>
      <c r="BR69" s="2823">
        <f t="shared" si="899"/>
        <v>1.1480103191274793E-4</v>
      </c>
      <c r="BS69" s="2823">
        <f t="shared" si="899"/>
        <v>-4256.2722859999994</v>
      </c>
      <c r="BT69" s="2823">
        <f t="shared" si="899"/>
        <v>-4277.460348999999</v>
      </c>
      <c r="BU69" s="2823">
        <f t="shared" si="899"/>
        <v>21.188063</v>
      </c>
      <c r="BV69" s="2823">
        <f t="shared" si="899"/>
        <v>1625.6200100000008</v>
      </c>
      <c r="BW69" s="2823">
        <f t="shared" si="899"/>
        <v>1599.5054500000006</v>
      </c>
      <c r="BX69" s="2823">
        <f t="shared" si="899"/>
        <v>26.114559999999997</v>
      </c>
      <c r="BY69" s="2824">
        <f t="shared" si="360"/>
        <v>-4256.2711815176472</v>
      </c>
      <c r="BZ69" s="2824">
        <f t="shared" si="360"/>
        <v>-4277.4591297166153</v>
      </c>
      <c r="CA69" s="2824">
        <f t="shared" si="360"/>
        <v>21.187948198968087</v>
      </c>
      <c r="CB69" s="2823">
        <f t="shared" si="900"/>
        <v>-2.2089647036978022E-3</v>
      </c>
      <c r="CC69" s="2823">
        <f t="shared" si="900"/>
        <v>-2.438566767523298E-3</v>
      </c>
      <c r="CD69" s="2823">
        <f t="shared" si="900"/>
        <v>2.2960206382549586E-4</v>
      </c>
      <c r="CE69" s="2823">
        <f t="shared" si="900"/>
        <v>-5431.3578980000029</v>
      </c>
      <c r="CF69" s="2823">
        <f t="shared" si="900"/>
        <v>-5463.5882710000024</v>
      </c>
      <c r="CG69" s="2823">
        <f t="shared" si="900"/>
        <v>32.230373</v>
      </c>
      <c r="CH69" s="2823">
        <f t="shared" si="900"/>
        <v>3373.5126019999998</v>
      </c>
      <c r="CI69" s="2823">
        <f t="shared" si="900"/>
        <v>3344.4220249999989</v>
      </c>
      <c r="CJ69" s="2823">
        <f t="shared" si="900"/>
        <v>29.090576999999996</v>
      </c>
      <c r="CK69" s="2824">
        <f t="shared" si="362"/>
        <v>-5431.3556890352993</v>
      </c>
      <c r="CL69" s="2824">
        <f t="shared" si="362"/>
        <v>-5463.5858324332348</v>
      </c>
      <c r="CM69" s="2824">
        <f t="shared" si="362"/>
        <v>32.230143397936175</v>
      </c>
      <c r="CN69" s="2772">
        <f>SUM(CO69:CP69)</f>
        <v>-3.681607839496337E-4</v>
      </c>
      <c r="CO69" s="2772">
        <f>SUM(CO25-CO68)</f>
        <v>-4.0642779458721634E-4</v>
      </c>
      <c r="CP69" s="2772">
        <f>SUM(CP25-CP68)</f>
        <v>3.8267010637582644E-5</v>
      </c>
      <c r="CQ69" s="2772">
        <f>SUM(CR69:CS69)</f>
        <v>-1910.2416510000007</v>
      </c>
      <c r="CR69" s="2772">
        <f>SUM(CR25-CR68)</f>
        <v>-1909.5986310000008</v>
      </c>
      <c r="CS69" s="2772">
        <f>SUM(CS25-CS68)</f>
        <v>-0.64301999999999992</v>
      </c>
      <c r="CT69" s="2772">
        <f>SUM(CU69:CV69)</f>
        <v>-1671.9490000000014</v>
      </c>
      <c r="CU69" s="2772">
        <v>-1657.4800000000014</v>
      </c>
      <c r="CV69" s="2772">
        <v>-14.469000000000001</v>
      </c>
      <c r="CW69" s="2772">
        <f>SUM(CX69:CY69)</f>
        <v>-3.681607839496337E-4</v>
      </c>
      <c r="CX69" s="2772">
        <f>SUM(CX25-CX68)</f>
        <v>-4.0642779458721634E-4</v>
      </c>
      <c r="CY69" s="2772">
        <f>SUM(CY25-CY68)</f>
        <v>3.8267010637582644E-5</v>
      </c>
      <c r="CZ69" s="2772">
        <f>SUM(DA69:DB69)</f>
        <v>0</v>
      </c>
      <c r="DA69" s="2772">
        <f>SUM(DA25-DA68)</f>
        <v>0</v>
      </c>
      <c r="DB69" s="2772">
        <f>SUM(DB25-DB68)</f>
        <v>0</v>
      </c>
      <c r="DC69" s="2772">
        <f>SUM(DD69:DE69)</f>
        <v>105.72418999999846</v>
      </c>
      <c r="DD69" s="2772">
        <v>110.66739999999845</v>
      </c>
      <c r="DE69" s="2772">
        <v>-4.9432099999999997</v>
      </c>
      <c r="DF69" s="2772">
        <f>SUM(DG69:DH69)</f>
        <v>-3.681607839496337E-4</v>
      </c>
      <c r="DG69" s="2772">
        <f>SUM(DG25-DG68)</f>
        <v>-4.0642779458721634E-4</v>
      </c>
      <c r="DH69" s="2772">
        <f>SUM(DH25-DH68)</f>
        <v>3.8267010637582644E-5</v>
      </c>
      <c r="DI69" s="2772">
        <f>SUM(DJ69:DK69)</f>
        <v>0</v>
      </c>
      <c r="DJ69" s="2772">
        <f>SUM(DJ25-DJ68)</f>
        <v>0</v>
      </c>
      <c r="DK69" s="2772">
        <f>SUM(DK25-DK68)</f>
        <v>0</v>
      </c>
      <c r="DL69" s="2772">
        <f>SUM(DM69:DN69)</f>
        <v>-166.98374300000049</v>
      </c>
      <c r="DM69" s="2772">
        <v>-201.29700000000048</v>
      </c>
      <c r="DN69" s="2772">
        <v>34.313257</v>
      </c>
      <c r="DO69" s="2823">
        <f t="shared" si="910"/>
        <v>-1.1044823518489011E-3</v>
      </c>
      <c r="DP69" s="2823">
        <f t="shared" si="910"/>
        <v>-1.219283383761649E-3</v>
      </c>
      <c r="DQ69" s="2823">
        <f t="shared" si="910"/>
        <v>1.1480103191274793E-4</v>
      </c>
      <c r="DR69" s="2823">
        <f t="shared" si="910"/>
        <v>-1910.2416510000007</v>
      </c>
      <c r="DS69" s="2823">
        <f t="shared" si="910"/>
        <v>-1909.5986310000008</v>
      </c>
      <c r="DT69" s="2823">
        <f t="shared" si="910"/>
        <v>-0.64301999999999992</v>
      </c>
      <c r="DU69" s="2823">
        <f t="shared" si="910"/>
        <v>-1733.2085530000033</v>
      </c>
      <c r="DV69" s="2823">
        <f t="shared" si="910"/>
        <v>-1748.1096000000034</v>
      </c>
      <c r="DW69" s="2823">
        <f t="shared" si="910"/>
        <v>14.901046999999998</v>
      </c>
      <c r="DX69" s="2824">
        <f t="shared" si="364"/>
        <v>-1910.2405465176489</v>
      </c>
      <c r="DY69" s="2824">
        <f t="shared" si="364"/>
        <v>-1909.597411716617</v>
      </c>
      <c r="DZ69" s="2824">
        <f t="shared" si="364"/>
        <v>-0.64313480103191267</v>
      </c>
      <c r="EA69" s="2891">
        <f t="shared" si="911"/>
        <v>-3.3134470555467033E-3</v>
      </c>
      <c r="EB69" s="2891">
        <f t="shared" si="911"/>
        <v>-3.6578501512849471E-3</v>
      </c>
      <c r="EC69" s="2891">
        <f t="shared" si="911"/>
        <v>3.4440309573824379E-4</v>
      </c>
      <c r="ED69" s="2823">
        <f t="shared" si="911"/>
        <v>-7341.5995490000041</v>
      </c>
      <c r="EE69" s="2823">
        <f t="shared" si="911"/>
        <v>-7373.1869020000031</v>
      </c>
      <c r="EF69" s="2823">
        <f t="shared" si="911"/>
        <v>31.587353</v>
      </c>
      <c r="EG69" s="2891">
        <f t="shared" si="911"/>
        <v>1640.3040489999964</v>
      </c>
      <c r="EH69" s="2891">
        <f t="shared" si="911"/>
        <v>1596.3124249999955</v>
      </c>
      <c r="EI69" s="2891">
        <f t="shared" si="911"/>
        <v>43.991623999999995</v>
      </c>
      <c r="EJ69" s="2824">
        <f t="shared" si="366"/>
        <v>-7341.5962355529482</v>
      </c>
      <c r="EK69" s="2824">
        <f t="shared" si="366"/>
        <v>-7373.1832441498518</v>
      </c>
      <c r="EL69" s="2824">
        <f t="shared" si="366"/>
        <v>31.587008596904262</v>
      </c>
      <c r="EM69" s="2772">
        <f>SUM(EN69:EO69)</f>
        <v>-3.681607839496337E-4</v>
      </c>
      <c r="EN69" s="2772">
        <f>SUM(EN25-EN68)</f>
        <v>-4.0642779458721634E-4</v>
      </c>
      <c r="EO69" s="2772">
        <f>SUM(EO25-EO68)</f>
        <v>3.8267010637582644E-5</v>
      </c>
      <c r="EP69" s="2772">
        <f>SUM(EQ69:ER69)</f>
        <v>0</v>
      </c>
      <c r="EQ69" s="2772">
        <f>SUM(EQ25-EQ68)</f>
        <v>0</v>
      </c>
      <c r="ER69" s="2844">
        <f>SUM(ER25-ER68)</f>
        <v>0</v>
      </c>
      <c r="ES69" s="2772">
        <f>SUM(ET69:EU69)</f>
        <v>-722.03090000000009</v>
      </c>
      <c r="ET69" s="2772">
        <v>-714.40070000000014</v>
      </c>
      <c r="EU69" s="2772">
        <v>-7.6302000000000003</v>
      </c>
      <c r="EV69" s="2772">
        <f>SUM(EW69:EX69)</f>
        <v>-3.681607839496337E-4</v>
      </c>
      <c r="EW69" s="2772">
        <f>SUM(EW25-EW68)</f>
        <v>-4.0642779458721634E-4</v>
      </c>
      <c r="EX69" s="2772">
        <f>SUM(EX25-EX68)</f>
        <v>3.8267010637582644E-5</v>
      </c>
      <c r="EY69" s="2772">
        <f>SUM(EZ69:FA69)</f>
        <v>0</v>
      </c>
      <c r="EZ69" s="2772">
        <f>SUM(EZ25-EZ68)</f>
        <v>0</v>
      </c>
      <c r="FA69" s="2772">
        <f>SUM(FA25-FA68)</f>
        <v>0</v>
      </c>
      <c r="FB69" s="2772">
        <f>SUM(FC69:FD69)</f>
        <v>-38.070402000000072</v>
      </c>
      <c r="FC69" s="2772">
        <v>-27.406175000000076</v>
      </c>
      <c r="FD69" s="2772">
        <v>-10.664227</v>
      </c>
      <c r="FE69" s="2772">
        <f>SUM(FF69:FG69)</f>
        <v>-3.681607839496337E-4</v>
      </c>
      <c r="FF69" s="2772">
        <f>SUM(FF25-FF68)</f>
        <v>-4.0642779458721634E-4</v>
      </c>
      <c r="FG69" s="2772">
        <f>SUM(FG25-FG68)</f>
        <v>3.8267010637582644E-5</v>
      </c>
      <c r="FH69" s="2772">
        <f>SUM(FI69:FJ69)</f>
        <v>0</v>
      </c>
      <c r="FI69" s="2772">
        <f>SUM(FI25-FI68)</f>
        <v>0</v>
      </c>
      <c r="FJ69" s="2772">
        <f>SUM(FJ25-FJ68)</f>
        <v>0</v>
      </c>
      <c r="FK69" s="2772">
        <f>SUM(FL69:FM69)</f>
        <v>500.9079043000005</v>
      </c>
      <c r="FL69" s="2772">
        <v>464.17424600000049</v>
      </c>
      <c r="FM69" s="2772">
        <v>36.733658299999988</v>
      </c>
      <c r="FN69" s="2823">
        <f t="shared" si="921"/>
        <v>-1.1044823518489011E-3</v>
      </c>
      <c r="FO69" s="2823">
        <f t="shared" si="921"/>
        <v>-1.219283383761649E-3</v>
      </c>
      <c r="FP69" s="2823">
        <f t="shared" si="921"/>
        <v>1.1480103191274793E-4</v>
      </c>
      <c r="FQ69" s="2823">
        <f t="shared" si="921"/>
        <v>0</v>
      </c>
      <c r="FR69" s="2823">
        <f t="shared" si="921"/>
        <v>0</v>
      </c>
      <c r="FS69" s="2823">
        <f t="shared" si="921"/>
        <v>0</v>
      </c>
      <c r="FT69" s="2823">
        <f t="shared" si="921"/>
        <v>-259.19339769999965</v>
      </c>
      <c r="FU69" s="2823">
        <f t="shared" si="921"/>
        <v>-277.63262899999972</v>
      </c>
      <c r="FV69" s="2823">
        <f t="shared" si="921"/>
        <v>18.439231299999989</v>
      </c>
      <c r="FW69" s="2824">
        <f t="shared" si="368"/>
        <v>1.1044823518489011E-3</v>
      </c>
      <c r="FX69" s="2824">
        <f t="shared" si="368"/>
        <v>1.219283383761649E-3</v>
      </c>
      <c r="FY69" s="2824">
        <f t="shared" si="368"/>
        <v>-1.1480103191274793E-4</v>
      </c>
      <c r="FZ69" s="2798">
        <f t="shared" si="922"/>
        <v>-4.4179294073956044E-3</v>
      </c>
      <c r="GA69" s="2798">
        <f t="shared" si="922"/>
        <v>-4.8771335350465961E-3</v>
      </c>
      <c r="GB69" s="2798">
        <f t="shared" si="922"/>
        <v>4.5920412765099172E-4</v>
      </c>
      <c r="GC69" s="2823">
        <f t="shared" si="922"/>
        <v>-7341.5995490000041</v>
      </c>
      <c r="GD69" s="2823">
        <f t="shared" si="922"/>
        <v>-7373.1869020000031</v>
      </c>
      <c r="GE69" s="2823">
        <f t="shared" si="922"/>
        <v>31.587353</v>
      </c>
      <c r="GF69" s="2823">
        <f t="shared" si="922"/>
        <v>1381.1106512999968</v>
      </c>
      <c r="GG69" s="2823">
        <f t="shared" si="922"/>
        <v>1318.6797959999958</v>
      </c>
      <c r="GH69" s="2823">
        <f t="shared" si="922"/>
        <v>62.430855299999983</v>
      </c>
      <c r="GI69" s="2824">
        <f t="shared" si="370"/>
        <v>-7341.5951310705968</v>
      </c>
      <c r="GJ69" s="2824">
        <f t="shared" si="370"/>
        <v>-7373.1820248664681</v>
      </c>
      <c r="GK69" s="2824">
        <f t="shared" si="370"/>
        <v>31.586893795872349</v>
      </c>
    </row>
    <row r="70" spans="1:195" ht="18.75" customHeight="1" x14ac:dyDescent="0.3">
      <c r="A70" s="2796" t="s">
        <v>527</v>
      </c>
      <c r="B70" s="2772">
        <f>SUM(C70:D70)</f>
        <v>10404.145866679883</v>
      </c>
      <c r="C70" s="2772">
        <f t="shared" ref="C70:D70" si="950">SUM(C68:C69)</f>
        <v>10375.248009452187</v>
      </c>
      <c r="D70" s="2772">
        <f t="shared" si="950"/>
        <v>28.897857227695187</v>
      </c>
      <c r="E70" s="2772">
        <f>SUM(F70:G70)</f>
        <v>10462.944211</v>
      </c>
      <c r="F70" s="2772">
        <f t="shared" ref="F70:G70" si="951">SUM(F68:F69)</f>
        <v>10446.969728</v>
      </c>
      <c r="G70" s="2772">
        <f t="shared" si="951"/>
        <v>15.974482999999999</v>
      </c>
      <c r="H70" s="2772">
        <f>SUM(I70:J70)</f>
        <v>9528.2104419999996</v>
      </c>
      <c r="I70" s="2772">
        <v>9523.7239250000002</v>
      </c>
      <c r="J70" s="2772">
        <v>4.4865169999999992</v>
      </c>
      <c r="K70" s="2772">
        <f>SUM(L70:M70)</f>
        <v>10404.145866679883</v>
      </c>
      <c r="L70" s="2772">
        <f t="shared" ref="L70:M70" si="952">SUM(L68:L69)</f>
        <v>10375.248009452187</v>
      </c>
      <c r="M70" s="2772">
        <f t="shared" si="952"/>
        <v>28.897857227695187</v>
      </c>
      <c r="N70" s="2772">
        <f>SUM(O70:P70)</f>
        <v>10922.006944999999</v>
      </c>
      <c r="O70" s="2772">
        <f t="shared" ref="O70:P70" si="953">SUM(O68:O69)</f>
        <v>10911.522444999999</v>
      </c>
      <c r="P70" s="2772">
        <f t="shared" si="953"/>
        <v>10.484500000000001</v>
      </c>
      <c r="Q70" s="2772">
        <f>SUM(R70:S70)</f>
        <v>9575.4869999999992</v>
      </c>
      <c r="R70" s="2772">
        <v>9570.476999999999</v>
      </c>
      <c r="S70" s="2772">
        <v>5.01</v>
      </c>
      <c r="T70" s="2772">
        <f>SUM(U70:V70)</f>
        <v>10404.145866679883</v>
      </c>
      <c r="U70" s="2772">
        <f t="shared" ref="U70:V70" si="954">SUM(U68:U69)</f>
        <v>10375.248009452187</v>
      </c>
      <c r="V70" s="2772">
        <f t="shared" si="954"/>
        <v>28.897857227695187</v>
      </c>
      <c r="W70" s="2772">
        <f>SUM(X70:Y70)</f>
        <v>10517.258281999999</v>
      </c>
      <c r="X70" s="2772">
        <f t="shared" ref="X70:Y70" si="955">SUM(X68:X69)</f>
        <v>10462.187614999999</v>
      </c>
      <c r="Y70" s="2772">
        <f t="shared" si="955"/>
        <v>55.070667</v>
      </c>
      <c r="Z70" s="2772">
        <f>SUM(AA70:AB70)</f>
        <v>9342.2029999999995</v>
      </c>
      <c r="AA70" s="2772">
        <v>9294.2669999999998</v>
      </c>
      <c r="AB70" s="2772">
        <v>47.936</v>
      </c>
      <c r="AC70" s="2823">
        <f>SUM(B70+K70+T70)</f>
        <v>31212.437600039648</v>
      </c>
      <c r="AD70" s="2823">
        <f t="shared" si="888"/>
        <v>31125.744028356559</v>
      </c>
      <c r="AE70" s="2823">
        <f t="shared" si="888"/>
        <v>86.693571683085565</v>
      </c>
      <c r="AF70" s="2823">
        <f t="shared" si="888"/>
        <v>31902.209437999998</v>
      </c>
      <c r="AG70" s="2823">
        <f t="shared" si="889"/>
        <v>31820.679787999998</v>
      </c>
      <c r="AH70" s="2823">
        <f t="shared" si="889"/>
        <v>81.529650000000004</v>
      </c>
      <c r="AI70" s="2823">
        <f t="shared" si="889"/>
        <v>28445.900441999998</v>
      </c>
      <c r="AJ70" s="2823">
        <f t="shared" si="889"/>
        <v>28388.467924999997</v>
      </c>
      <c r="AK70" s="2823">
        <f t="shared" si="889"/>
        <v>57.432516999999997</v>
      </c>
      <c r="AL70" s="2824">
        <f t="shared" si="358"/>
        <v>689.77183796035024</v>
      </c>
      <c r="AM70" s="2824">
        <f t="shared" si="358"/>
        <v>694.93575964343836</v>
      </c>
      <c r="AN70" s="2824">
        <f t="shared" si="358"/>
        <v>-5.1639216830855617</v>
      </c>
      <c r="AO70" s="2772">
        <f>SUM(AP70:AQ70)</f>
        <v>10404.145866679883</v>
      </c>
      <c r="AP70" s="2772">
        <f t="shared" ref="AP70:AQ70" si="956">SUM(AP68:AP69)</f>
        <v>10375.248009452187</v>
      </c>
      <c r="AQ70" s="2772">
        <f t="shared" si="956"/>
        <v>28.897857227695187</v>
      </c>
      <c r="AR70" s="2772">
        <f>SUM(AS70:AT70)</f>
        <v>10708.706783</v>
      </c>
      <c r="AS70" s="2772">
        <f t="shared" ref="AS70:AT70" si="957">SUM(AS68:AS69)</f>
        <v>10698.227982999999</v>
      </c>
      <c r="AT70" s="2772">
        <f t="shared" si="957"/>
        <v>10.4788</v>
      </c>
      <c r="AU70" s="2772">
        <f>SUM(AV70:AW70)</f>
        <v>10232.248</v>
      </c>
      <c r="AV70" s="2772">
        <v>10220.832</v>
      </c>
      <c r="AW70" s="2772">
        <v>11.416</v>
      </c>
      <c r="AX70" s="2772">
        <f>SUM(AY70:AZ70)</f>
        <v>10404.145866679883</v>
      </c>
      <c r="AY70" s="2772">
        <f t="shared" ref="AY70:AZ70" si="958">SUM(AY68:AY69)</f>
        <v>10375.248009452187</v>
      </c>
      <c r="AZ70" s="2772">
        <f t="shared" si="958"/>
        <v>28.897857227695187</v>
      </c>
      <c r="BA70" s="2772">
        <f>SUM(BB70:BC70)</f>
        <v>10711.771761000002</v>
      </c>
      <c r="BB70" s="2772">
        <f t="shared" ref="BB70:BC70" si="959">SUM(BB68:BB69)</f>
        <v>10694.715228000001</v>
      </c>
      <c r="BC70" s="2772">
        <f t="shared" si="959"/>
        <v>17.056533000000002</v>
      </c>
      <c r="BD70" s="2772">
        <f>SUM(BE70:BF70)</f>
        <v>9142.2219999999998</v>
      </c>
      <c r="BE70" s="2772">
        <v>9131.0810000000001</v>
      </c>
      <c r="BF70" s="2772">
        <v>11.141</v>
      </c>
      <c r="BG70" s="2772">
        <f>SUM(BH70:BI70)</f>
        <v>10404.145866679883</v>
      </c>
      <c r="BH70" s="2772">
        <f t="shared" ref="BH70:BI70" si="960">SUM(BH68:BH69)</f>
        <v>10375.248009452187</v>
      </c>
      <c r="BI70" s="2772">
        <f t="shared" si="960"/>
        <v>28.897857227695187</v>
      </c>
      <c r="BJ70" s="2772">
        <f>SUM(BK70:BL70)</f>
        <v>10440.446380000001</v>
      </c>
      <c r="BK70" s="2772">
        <f t="shared" ref="BK70:BL70" si="961">SUM(BK68:BK69)</f>
        <v>10381.41768</v>
      </c>
      <c r="BL70" s="2772">
        <f t="shared" si="961"/>
        <v>59.028700000000001</v>
      </c>
      <c r="BM70" s="2772">
        <f>SUM(BN70:BO70)</f>
        <v>8959.3660000000018</v>
      </c>
      <c r="BN70" s="2772">
        <v>8901.9340000000011</v>
      </c>
      <c r="BO70" s="2772">
        <v>57.432000000000002</v>
      </c>
      <c r="BP70" s="2823">
        <f t="shared" si="899"/>
        <v>31212.437600039648</v>
      </c>
      <c r="BQ70" s="2823">
        <f t="shared" si="899"/>
        <v>31125.744028356559</v>
      </c>
      <c r="BR70" s="2823">
        <f t="shared" si="899"/>
        <v>86.693571683085565</v>
      </c>
      <c r="BS70" s="2823">
        <f t="shared" si="899"/>
        <v>31860.924924000003</v>
      </c>
      <c r="BT70" s="2823">
        <f t="shared" si="899"/>
        <v>31774.360890999997</v>
      </c>
      <c r="BU70" s="2823">
        <f t="shared" si="899"/>
        <v>86.564032999999995</v>
      </c>
      <c r="BV70" s="2823">
        <f t="shared" si="899"/>
        <v>28333.836000000003</v>
      </c>
      <c r="BW70" s="2823">
        <f t="shared" si="899"/>
        <v>28253.847000000002</v>
      </c>
      <c r="BX70" s="2823">
        <f t="shared" si="899"/>
        <v>79.989000000000004</v>
      </c>
      <c r="BY70" s="2824">
        <f t="shared" si="360"/>
        <v>648.48732396035484</v>
      </c>
      <c r="BZ70" s="2824">
        <f t="shared" si="360"/>
        <v>648.61686264343734</v>
      </c>
      <c r="CA70" s="2824">
        <f t="shared" si="360"/>
        <v>-0.12953868308557048</v>
      </c>
      <c r="CB70" s="2823">
        <f t="shared" si="900"/>
        <v>62424.875200079296</v>
      </c>
      <c r="CC70" s="2823">
        <f t="shared" si="900"/>
        <v>62251.488056713119</v>
      </c>
      <c r="CD70" s="2823">
        <f t="shared" si="900"/>
        <v>173.38714336617113</v>
      </c>
      <c r="CE70" s="2823">
        <f t="shared" si="900"/>
        <v>63763.134361999997</v>
      </c>
      <c r="CF70" s="2823">
        <f t="shared" si="900"/>
        <v>63595.040678999998</v>
      </c>
      <c r="CG70" s="2823">
        <f t="shared" si="900"/>
        <v>168.093683</v>
      </c>
      <c r="CH70" s="2823">
        <f t="shared" si="900"/>
        <v>56779.736442000001</v>
      </c>
      <c r="CI70" s="2823">
        <f t="shared" si="900"/>
        <v>56642.314924999999</v>
      </c>
      <c r="CJ70" s="2823">
        <f t="shared" si="900"/>
        <v>137.42151699999999</v>
      </c>
      <c r="CK70" s="2824">
        <f t="shared" si="362"/>
        <v>1338.2591619207014</v>
      </c>
      <c r="CL70" s="2824">
        <f t="shared" si="362"/>
        <v>1343.5526222868793</v>
      </c>
      <c r="CM70" s="2824">
        <f t="shared" si="362"/>
        <v>-5.2934603661711321</v>
      </c>
      <c r="CN70" s="2772">
        <f>SUM(CO70:CP70)</f>
        <v>10404.145866679883</v>
      </c>
      <c r="CO70" s="2772">
        <f t="shared" ref="CO70:CP70" si="962">SUM(CO68:CO69)</f>
        <v>10375.248009452187</v>
      </c>
      <c r="CP70" s="2772">
        <f t="shared" si="962"/>
        <v>28.897857227695187</v>
      </c>
      <c r="CQ70" s="2772">
        <f>SUM(CR70:CS70)</f>
        <v>9192.8934090000002</v>
      </c>
      <c r="CR70" s="2772">
        <f t="shared" ref="CR70:CS70" si="963">SUM(CR68:CR69)</f>
        <v>9180.5352590000002</v>
      </c>
      <c r="CS70" s="2772">
        <f t="shared" si="963"/>
        <v>12.35815</v>
      </c>
      <c r="CT70" s="2772">
        <f>SUM(CU70:CV70)</f>
        <v>8558.0929999999989</v>
      </c>
      <c r="CU70" s="2772">
        <v>8551.4079999999994</v>
      </c>
      <c r="CV70" s="2772">
        <v>6.6849999999999987</v>
      </c>
      <c r="CW70" s="2772">
        <f>SUM(CX70:CY70)</f>
        <v>10404.145866679883</v>
      </c>
      <c r="CX70" s="2772">
        <f t="shared" ref="CX70:CY70" si="964">SUM(CX68:CX69)</f>
        <v>10375.248009452187</v>
      </c>
      <c r="CY70" s="2772">
        <f t="shared" si="964"/>
        <v>28.897857227695187</v>
      </c>
      <c r="CZ70" s="2772">
        <f>SUM(DA70:DB70)</f>
        <v>0</v>
      </c>
      <c r="DA70" s="2772">
        <f t="shared" ref="DA70:DB70" si="965">SUM(DA68:DA69)</f>
        <v>0</v>
      </c>
      <c r="DB70" s="2772">
        <f t="shared" si="965"/>
        <v>0</v>
      </c>
      <c r="DC70" s="2772">
        <f>SUM(DD70:DE70)</f>
        <v>8772.3029999999999</v>
      </c>
      <c r="DD70" s="2772">
        <v>8764.366</v>
      </c>
      <c r="DE70" s="2772">
        <v>7.9370000000000003</v>
      </c>
      <c r="DF70" s="2772">
        <f>SUM(DG70:DH70)</f>
        <v>10404.145866679883</v>
      </c>
      <c r="DG70" s="2772">
        <f t="shared" ref="DG70:DH70" si="966">SUM(DG68:DG69)</f>
        <v>10375.248009452187</v>
      </c>
      <c r="DH70" s="2772">
        <f t="shared" si="966"/>
        <v>28.897857227695187</v>
      </c>
      <c r="DI70" s="2772">
        <f>SUM(DJ70:DK70)</f>
        <v>0</v>
      </c>
      <c r="DJ70" s="2772">
        <f t="shared" ref="DJ70:DK70" si="967">SUM(DJ68:DJ69)</f>
        <v>0</v>
      </c>
      <c r="DK70" s="2772">
        <f t="shared" si="967"/>
        <v>0</v>
      </c>
      <c r="DL70" s="2772">
        <f>SUM(DM70:DN70)</f>
        <v>9193.4896170000011</v>
      </c>
      <c r="DM70" s="2772">
        <v>9136.3240000000005</v>
      </c>
      <c r="DN70" s="2772">
        <v>57.165616999999997</v>
      </c>
      <c r="DO70" s="2823">
        <f t="shared" si="910"/>
        <v>31212.437600039648</v>
      </c>
      <c r="DP70" s="2823">
        <f t="shared" si="910"/>
        <v>31125.744028356559</v>
      </c>
      <c r="DQ70" s="2823">
        <f t="shared" si="910"/>
        <v>86.693571683085565</v>
      </c>
      <c r="DR70" s="2823">
        <f t="shared" si="910"/>
        <v>9192.8934090000002</v>
      </c>
      <c r="DS70" s="2823">
        <f t="shared" si="910"/>
        <v>9180.5352590000002</v>
      </c>
      <c r="DT70" s="2823">
        <f t="shared" si="910"/>
        <v>12.35815</v>
      </c>
      <c r="DU70" s="2823">
        <f t="shared" si="910"/>
        <v>26523.885617</v>
      </c>
      <c r="DV70" s="2823">
        <f t="shared" si="910"/>
        <v>26452.097999999998</v>
      </c>
      <c r="DW70" s="2823">
        <f t="shared" si="910"/>
        <v>71.787616999999997</v>
      </c>
      <c r="DX70" s="2824">
        <f t="shared" si="364"/>
        <v>-22019.544191039648</v>
      </c>
      <c r="DY70" s="2824">
        <f t="shared" si="364"/>
        <v>-21945.208769356559</v>
      </c>
      <c r="DZ70" s="2824">
        <f t="shared" si="364"/>
        <v>-74.335421683085571</v>
      </c>
      <c r="EA70" s="2891">
        <f t="shared" si="911"/>
        <v>93637.312800118947</v>
      </c>
      <c r="EB70" s="2891">
        <f t="shared" si="911"/>
        <v>93377.232085069671</v>
      </c>
      <c r="EC70" s="2891">
        <f t="shared" si="911"/>
        <v>260.0807150492567</v>
      </c>
      <c r="ED70" s="2823">
        <f t="shared" si="911"/>
        <v>72956.027770999994</v>
      </c>
      <c r="EE70" s="2823">
        <f t="shared" si="911"/>
        <v>72775.575937999994</v>
      </c>
      <c r="EF70" s="2823">
        <f t="shared" si="911"/>
        <v>180.45183299999999</v>
      </c>
      <c r="EG70" s="2891">
        <f t="shared" si="911"/>
        <v>83303.622059000001</v>
      </c>
      <c r="EH70" s="2891">
        <f t="shared" si="911"/>
        <v>83094.412924999997</v>
      </c>
      <c r="EI70" s="2891">
        <f t="shared" si="911"/>
        <v>209.20913400000001</v>
      </c>
      <c r="EJ70" s="2824">
        <f t="shared" si="366"/>
        <v>-20681.285029118953</v>
      </c>
      <c r="EK70" s="2824">
        <f t="shared" si="366"/>
        <v>-20601.656147069676</v>
      </c>
      <c r="EL70" s="2824">
        <f t="shared" si="366"/>
        <v>-79.628882049256703</v>
      </c>
      <c r="EM70" s="2772">
        <f>SUM(EN70:EO70)</f>
        <v>10404.145866679883</v>
      </c>
      <c r="EN70" s="2772">
        <f t="shared" ref="EN70:EO70" si="968">SUM(EN68:EN69)</f>
        <v>10375.248009452187</v>
      </c>
      <c r="EO70" s="2772">
        <f t="shared" si="968"/>
        <v>28.897857227695187</v>
      </c>
      <c r="EP70" s="2772">
        <f>SUM(EQ70:ER70)</f>
        <v>0</v>
      </c>
      <c r="EQ70" s="2772">
        <f t="shared" ref="EQ70:ER70" si="969">SUM(EQ68:EQ69)</f>
        <v>0</v>
      </c>
      <c r="ER70" s="2772">
        <f t="shared" si="969"/>
        <v>0</v>
      </c>
      <c r="ES70" s="2772">
        <f>SUM(ET70:EU70)</f>
        <v>9173.6200000000008</v>
      </c>
      <c r="ET70" s="2772">
        <v>9160.7260000000006</v>
      </c>
      <c r="EU70" s="2772">
        <v>12.894</v>
      </c>
      <c r="EV70" s="2772">
        <f>SUM(EW70:EX70)</f>
        <v>10404.145866679883</v>
      </c>
      <c r="EW70" s="2772">
        <f t="shared" ref="EW70:EX70" si="970">SUM(EW68:EW69)</f>
        <v>10375.248009452187</v>
      </c>
      <c r="EX70" s="2772">
        <f t="shared" si="970"/>
        <v>28.897857227695187</v>
      </c>
      <c r="EY70" s="2772">
        <f>SUM(EZ70:FA70)</f>
        <v>0</v>
      </c>
      <c r="EZ70" s="2772">
        <f t="shared" ref="EZ70:FA70" si="971">SUM(EZ68:EZ69)</f>
        <v>0</v>
      </c>
      <c r="FA70" s="2772">
        <f t="shared" si="971"/>
        <v>0</v>
      </c>
      <c r="FB70" s="2772">
        <f>SUM(FC70:FD70)</f>
        <v>9178.2116779999997</v>
      </c>
      <c r="FC70" s="2772">
        <v>9166.4440450000002</v>
      </c>
      <c r="FD70" s="2772">
        <v>11.767633</v>
      </c>
      <c r="FE70" s="2772">
        <f>SUM(FF70:FG70)</f>
        <v>10404.145866679883</v>
      </c>
      <c r="FF70" s="2772">
        <f t="shared" ref="FF70:FG70" si="972">SUM(FF68:FF69)</f>
        <v>10375.248009452187</v>
      </c>
      <c r="FG70" s="2772">
        <f t="shared" si="972"/>
        <v>28.897857227695187</v>
      </c>
      <c r="FH70" s="2772">
        <f>SUM(FI70:FJ70)</f>
        <v>0</v>
      </c>
      <c r="FI70" s="2772">
        <f t="shared" ref="FI70:FJ70" si="973">SUM(FI68:FI69)</f>
        <v>0</v>
      </c>
      <c r="FJ70" s="2772">
        <f t="shared" si="973"/>
        <v>0</v>
      </c>
      <c r="FK70" s="2772">
        <f>SUM(FL70:FM70)</f>
        <v>10990.2145043</v>
      </c>
      <c r="FL70" s="2772">
        <v>10919.215246</v>
      </c>
      <c r="FM70" s="2772">
        <v>70.999258299999994</v>
      </c>
      <c r="FN70" s="2823">
        <f t="shared" si="921"/>
        <v>31212.437600039648</v>
      </c>
      <c r="FO70" s="2823">
        <f t="shared" si="921"/>
        <v>31125.744028356559</v>
      </c>
      <c r="FP70" s="2823">
        <f t="shared" si="921"/>
        <v>86.693571683085565</v>
      </c>
      <c r="FQ70" s="2823">
        <f t="shared" si="921"/>
        <v>0</v>
      </c>
      <c r="FR70" s="2823">
        <f t="shared" si="921"/>
        <v>0</v>
      </c>
      <c r="FS70" s="2823">
        <f t="shared" si="921"/>
        <v>0</v>
      </c>
      <c r="FT70" s="2823">
        <f t="shared" si="921"/>
        <v>29342.046182300001</v>
      </c>
      <c r="FU70" s="2823">
        <f t="shared" si="921"/>
        <v>29246.385290999999</v>
      </c>
      <c r="FV70" s="2823">
        <f t="shared" si="921"/>
        <v>95.660891300000003</v>
      </c>
      <c r="FW70" s="2824">
        <f t="shared" si="368"/>
        <v>-31212.437600039648</v>
      </c>
      <c r="FX70" s="2824">
        <f t="shared" si="368"/>
        <v>-31125.744028356559</v>
      </c>
      <c r="FY70" s="2824">
        <f t="shared" si="368"/>
        <v>-86.693571683085565</v>
      </c>
      <c r="FZ70" s="2798">
        <f t="shared" si="922"/>
        <v>124849.75040015859</v>
      </c>
      <c r="GA70" s="2798">
        <f t="shared" si="922"/>
        <v>124502.97611342624</v>
      </c>
      <c r="GB70" s="2798">
        <f t="shared" si="922"/>
        <v>346.77428673234226</v>
      </c>
      <c r="GC70" s="2823">
        <f t="shared" si="922"/>
        <v>72956.027770999994</v>
      </c>
      <c r="GD70" s="2823">
        <f t="shared" si="922"/>
        <v>72775.575937999994</v>
      </c>
      <c r="GE70" s="2823">
        <f t="shared" si="922"/>
        <v>180.45183299999999</v>
      </c>
      <c r="GF70" s="2823">
        <f t="shared" si="922"/>
        <v>112645.66824130001</v>
      </c>
      <c r="GG70" s="2823">
        <f t="shared" si="922"/>
        <v>112340.798216</v>
      </c>
      <c r="GH70" s="2823">
        <f t="shared" si="922"/>
        <v>304.87002530000001</v>
      </c>
      <c r="GI70" s="2824">
        <f t="shared" si="370"/>
        <v>-51893.722629158598</v>
      </c>
      <c r="GJ70" s="2824">
        <f t="shared" si="370"/>
        <v>-51727.400175426243</v>
      </c>
      <c r="GK70" s="2824">
        <f t="shared" si="370"/>
        <v>-166.32245373234227</v>
      </c>
    </row>
    <row r="71" spans="1:195" ht="18.75" customHeight="1" x14ac:dyDescent="0.3">
      <c r="A71" s="2850" t="s">
        <v>68</v>
      </c>
      <c r="B71" s="2772">
        <f>SUM(B70/B64)</f>
        <v>40.611420374322499</v>
      </c>
      <c r="C71" s="2772">
        <f t="shared" ref="C71:D71" si="974">SUM(C70/C64)</f>
        <v>40.700162386035508</v>
      </c>
      <c r="D71" s="2772">
        <f t="shared" si="974"/>
        <v>22.779222604654247</v>
      </c>
      <c r="E71" s="2772">
        <f>SUM(E70/E64)</f>
        <v>40.646287146210753</v>
      </c>
      <c r="F71" s="2772">
        <f t="shared" ref="F71:G71" si="975">SUM(F70/F64)</f>
        <v>40.695091503706223</v>
      </c>
      <c r="G71" s="2772">
        <f t="shared" si="975"/>
        <v>22.780011408199641</v>
      </c>
      <c r="H71" s="2772">
        <f>SUM(H70/H64)</f>
        <v>34.408181664542077</v>
      </c>
      <c r="I71" s="2772">
        <v>34.419946818122675</v>
      </c>
      <c r="J71" s="2772">
        <v>19.940075555555552</v>
      </c>
      <c r="K71" s="2772">
        <f>SUM(K70/K64)</f>
        <v>40.611420374322499</v>
      </c>
      <c r="L71" s="2772">
        <f t="shared" ref="L71:M71" si="976">SUM(L70/L64)</f>
        <v>40.700162386035508</v>
      </c>
      <c r="M71" s="2772">
        <f t="shared" si="976"/>
        <v>22.779222604654247</v>
      </c>
      <c r="N71" s="2772">
        <f>SUM(N70/N64)</f>
        <v>40.671401463473174</v>
      </c>
      <c r="O71" s="2772">
        <f t="shared" ref="O71:P71" si="977">SUM(O70/O64)</f>
        <v>40.702117809475943</v>
      </c>
      <c r="P71" s="2772">
        <f t="shared" si="977"/>
        <v>22.780010863661055</v>
      </c>
      <c r="Q71" s="2772">
        <f>SUM(Q70/Q64)</f>
        <v>34.407037004098989</v>
      </c>
      <c r="R71" s="2772">
        <v>34.420109405176781</v>
      </c>
      <c r="S71" s="2772">
        <v>19.940298507462689</v>
      </c>
      <c r="T71" s="2772">
        <f>SUM(T70/T64)</f>
        <v>40.611420374322499</v>
      </c>
      <c r="U71" s="2772">
        <f t="shared" ref="U71:V71" si="978">SUM(U70/U64)</f>
        <v>40.700162386035508</v>
      </c>
      <c r="V71" s="2772">
        <f t="shared" si="978"/>
        <v>22.779222604654247</v>
      </c>
      <c r="W71" s="2772">
        <f>SUM(W70/W64)</f>
        <v>40.531756034032881</v>
      </c>
      <c r="X71" s="2772">
        <f t="shared" ref="X71:Y71" si="979">SUM(X70/X64)</f>
        <v>40.698698046244665</v>
      </c>
      <c r="Y71" s="2772">
        <f t="shared" si="979"/>
        <v>22.780007032057913</v>
      </c>
      <c r="Z71" s="2772">
        <f>SUM(Z70/Z64)</f>
        <v>34.292248622576885</v>
      </c>
      <c r="AA71" s="2772">
        <v>34.420024071845198</v>
      </c>
      <c r="AB71" s="2772">
        <v>19.940099833610649</v>
      </c>
      <c r="AC71" s="2847">
        <f>SUM(AC70/AC64)</f>
        <v>40.611420374322499</v>
      </c>
      <c r="AD71" s="2847">
        <f t="shared" ref="AD71:AE71" si="980">SUM(AD70/AD64)</f>
        <v>40.700162386035508</v>
      </c>
      <c r="AE71" s="2847">
        <f t="shared" si="980"/>
        <v>22.779222604654247</v>
      </c>
      <c r="AF71" s="2847">
        <f>SUM(AF70/AF64)</f>
        <v>40.617036644716741</v>
      </c>
      <c r="AG71" s="2847">
        <f t="shared" ref="AG71:AH71" si="981">SUM(AG70/AG64)</f>
        <v>40.698686447132481</v>
      </c>
      <c r="AH71" s="2847">
        <f t="shared" si="981"/>
        <v>22.780008382229674</v>
      </c>
      <c r="AI71" s="2847">
        <f>SUM(AI70/AI64)</f>
        <v>34.369636112046663</v>
      </c>
      <c r="AJ71" s="2847">
        <f t="shared" ref="AJ71:AK71" si="982">SUM(AJ70/AJ64)</f>
        <v>34.420026922787791</v>
      </c>
      <c r="AK71" s="2847">
        <f t="shared" si="982"/>
        <v>19.940115267771894</v>
      </c>
      <c r="AL71" s="2824">
        <f t="shared" si="358"/>
        <v>5.6162703942419512E-3</v>
      </c>
      <c r="AM71" s="2824">
        <f t="shared" si="358"/>
        <v>-1.4759389030274406E-3</v>
      </c>
      <c r="AN71" s="2824">
        <f t="shared" si="358"/>
        <v>7.8577757542674931E-4</v>
      </c>
      <c r="AO71" s="2772">
        <f>SUM(AO70/AO64)</f>
        <v>40.611420374322499</v>
      </c>
      <c r="AP71" s="2772">
        <f t="shared" ref="AP71:AQ71" si="983">SUM(AP70/AP64)</f>
        <v>40.700162386035508</v>
      </c>
      <c r="AQ71" s="2772">
        <f t="shared" si="983"/>
        <v>22.779222604654247</v>
      </c>
      <c r="AR71" s="2772">
        <f>SUM(AR70/AR64)</f>
        <v>40.667395807328475</v>
      </c>
      <c r="AS71" s="2772">
        <f t="shared" ref="AS71:AT71" si="984">SUM(AS70/AS64)</f>
        <v>40.698697917457238</v>
      </c>
      <c r="AT71" s="2772">
        <f t="shared" si="984"/>
        <v>22.779999999999998</v>
      </c>
      <c r="AU71" s="2772">
        <f>SUM(AU70/AU64)</f>
        <v>34.392087860377963</v>
      </c>
      <c r="AV71" s="2772">
        <v>34.41994982235768</v>
      </c>
      <c r="AW71" s="2772">
        <v>19.940611353711791</v>
      </c>
      <c r="AX71" s="2772">
        <f>SUM(AX70/AX64)</f>
        <v>40.611420374322499</v>
      </c>
      <c r="AY71" s="2772">
        <f t="shared" ref="AY71:AZ71" si="985">SUM(AY70/AY64)</f>
        <v>40.700162386035508</v>
      </c>
      <c r="AZ71" s="2772">
        <f t="shared" si="985"/>
        <v>22.779222604654247</v>
      </c>
      <c r="BA71" s="2772">
        <f>SUM(BA70/BA64)</f>
        <v>40.647743953191025</v>
      </c>
      <c r="BB71" s="2772">
        <f t="shared" ref="BB71:BC71" si="986">SUM(BB70/BB64)</f>
        <v>40.698655598752801</v>
      </c>
      <c r="BC71" s="2772">
        <f t="shared" si="986"/>
        <v>22.780010684474124</v>
      </c>
      <c r="BD71" s="2772">
        <f>SUM(BD70/BD64)</f>
        <v>34.38955323254703</v>
      </c>
      <c r="BE71" s="2772">
        <v>34.420021561797924</v>
      </c>
      <c r="BF71" s="2772">
        <v>19.930232558139533</v>
      </c>
      <c r="BG71" s="2772">
        <f>SUM(BG70/BG64)</f>
        <v>40.611420374322499</v>
      </c>
      <c r="BH71" s="2772">
        <f t="shared" ref="BH71:BI71" si="987">SUM(BH70/BH64)</f>
        <v>40.700162386035508</v>
      </c>
      <c r="BI71" s="2772">
        <f t="shared" si="987"/>
        <v>22.779222604654247</v>
      </c>
      <c r="BJ71" s="2772">
        <f>SUM(BJ70/BJ64)</f>
        <v>40.51993901916763</v>
      </c>
      <c r="BK71" s="2772">
        <f t="shared" ref="BK71:BL71" si="988">SUM(BK70/BK64)</f>
        <v>40.700158042850376</v>
      </c>
      <c r="BL71" s="2772">
        <f t="shared" si="988"/>
        <v>22.780009647853351</v>
      </c>
      <c r="BM71" s="2772">
        <f>SUM(BM70/BM64)</f>
        <v>34.260487997942704</v>
      </c>
      <c r="BN71" s="2772">
        <v>34.41997161935916</v>
      </c>
      <c r="BO71" s="2772">
        <v>19.939935769464455</v>
      </c>
      <c r="BP71" s="2847">
        <f t="shared" ref="BP71:CJ71" si="989">SUM(BP70/BP64)</f>
        <v>40.611420374322499</v>
      </c>
      <c r="BQ71" s="2847">
        <f t="shared" si="989"/>
        <v>40.700162386035508</v>
      </c>
      <c r="BR71" s="2847">
        <f t="shared" si="989"/>
        <v>22.779222604654247</v>
      </c>
      <c r="BS71" s="2847">
        <f t="shared" si="989"/>
        <v>40.612364471592706</v>
      </c>
      <c r="BT71" s="2847">
        <f t="shared" si="989"/>
        <v>40.699160718521057</v>
      </c>
      <c r="BU71" s="2847">
        <f t="shared" si="989"/>
        <v>22.780008684210525</v>
      </c>
      <c r="BV71" s="2847">
        <f t="shared" si="989"/>
        <v>34.349549973313906</v>
      </c>
      <c r="BW71" s="2847">
        <f t="shared" si="989"/>
        <v>34.419979874667419</v>
      </c>
      <c r="BX71" s="2847">
        <f t="shared" si="989"/>
        <v>19.938680127126567</v>
      </c>
      <c r="BY71" s="2824">
        <f t="shared" si="360"/>
        <v>9.4409727020661194E-4</v>
      </c>
      <c r="BZ71" s="2824">
        <f t="shared" si="360"/>
        <v>-1.0016675144512988E-3</v>
      </c>
      <c r="CA71" s="2824">
        <f t="shared" si="360"/>
        <v>7.8607955627774118E-4</v>
      </c>
      <c r="CB71" s="2847">
        <f t="shared" si="989"/>
        <v>40.611420374322499</v>
      </c>
      <c r="CC71" s="2847">
        <f t="shared" si="989"/>
        <v>40.700162386035508</v>
      </c>
      <c r="CD71" s="2847">
        <f t="shared" si="989"/>
        <v>22.779222604654247</v>
      </c>
      <c r="CE71" s="2847">
        <f t="shared" si="989"/>
        <v>40.614701936325702</v>
      </c>
      <c r="CF71" s="2847">
        <f t="shared" si="989"/>
        <v>40.69892340872935</v>
      </c>
      <c r="CG71" s="2847">
        <f t="shared" si="989"/>
        <v>22.780008537742244</v>
      </c>
      <c r="CH71" s="2847">
        <f t="shared" si="989"/>
        <v>34.359609928872011</v>
      </c>
      <c r="CI71" s="2847">
        <f t="shared" si="989"/>
        <v>34.420003454620804</v>
      </c>
      <c r="CJ71" s="2847">
        <f t="shared" si="989"/>
        <v>19.939279889727221</v>
      </c>
      <c r="CK71" s="2824">
        <f t="shared" si="362"/>
        <v>3.2815620032025095E-3</v>
      </c>
      <c r="CL71" s="2824">
        <f t="shared" si="362"/>
        <v>-1.2389773061585174E-3</v>
      </c>
      <c r="CM71" s="2824">
        <f t="shared" si="362"/>
        <v>7.8593308799668193E-4</v>
      </c>
      <c r="CN71" s="2772">
        <f>SUM(CN70/CN64)</f>
        <v>40.611420374322499</v>
      </c>
      <c r="CO71" s="2772">
        <f t="shared" ref="CO71:CP71" si="990">SUM(CO70/CO64)</f>
        <v>40.700162386035508</v>
      </c>
      <c r="CP71" s="2772">
        <f t="shared" si="990"/>
        <v>22.779222604654247</v>
      </c>
      <c r="CQ71" s="2772">
        <f>SUM(CQ70/CQ64)</f>
        <v>40.655411255304045</v>
      </c>
      <c r="CR71" s="2772">
        <f t="shared" ref="CR71:CS71" si="991">SUM(CR70/CR64)</f>
        <v>40.698401026011595</v>
      </c>
      <c r="CS71" s="2772">
        <f t="shared" si="991"/>
        <v>22.78</v>
      </c>
      <c r="CT71" s="2772">
        <f>SUM(CT70/CT64)</f>
        <v>34.510526846381829</v>
      </c>
      <c r="CU71" s="2772">
        <v>34.530076599731068</v>
      </c>
      <c r="CV71" s="2772">
        <v>20.014970059880234</v>
      </c>
      <c r="CW71" s="2772">
        <f>SUM(CW70/CW64)</f>
        <v>40.611420374322499</v>
      </c>
      <c r="CX71" s="2772">
        <f t="shared" ref="CX71:CY71" si="992">SUM(CX70/CX64)</f>
        <v>40.700162386035508</v>
      </c>
      <c r="CY71" s="2772">
        <f t="shared" si="992"/>
        <v>22.779222604654247</v>
      </c>
      <c r="CZ71" s="2772" t="e">
        <f>SUM(CZ70/CZ64)</f>
        <v>#DIV/0!</v>
      </c>
      <c r="DA71" s="2772" t="e">
        <f t="shared" ref="DA71:DB71" si="993">SUM(DA70/DA64)</f>
        <v>#DIV/0!</v>
      </c>
      <c r="DB71" s="2772" t="e">
        <f t="shared" si="993"/>
        <v>#DIV/0!</v>
      </c>
      <c r="DC71" s="2772">
        <f>SUM(DC70/DC64)</f>
        <v>34.507552691826575</v>
      </c>
      <c r="DD71" s="2772">
        <v>34.530120007249288</v>
      </c>
      <c r="DE71" s="2772">
        <v>20.042929292929294</v>
      </c>
      <c r="DF71" s="2772">
        <f>SUM(DF70/DF64)</f>
        <v>40.611420374322499</v>
      </c>
      <c r="DG71" s="2772">
        <f t="shared" ref="DG71:DH71" si="994">SUM(DG70/DG64)</f>
        <v>40.700162386035508</v>
      </c>
      <c r="DH71" s="2772">
        <f t="shared" si="994"/>
        <v>22.779222604654247</v>
      </c>
      <c r="DI71" s="2772" t="e">
        <f>SUM(DI70/DI64)</f>
        <v>#DIV/0!</v>
      </c>
      <c r="DJ71" s="2772" t="e">
        <f t="shared" ref="DJ71:DK71" si="995">SUM(DJ70/DJ64)</f>
        <v>#DIV/0!</v>
      </c>
      <c r="DK71" s="2772" t="e">
        <f t="shared" si="995"/>
        <v>#DIV/0!</v>
      </c>
      <c r="DL71" s="2772">
        <f>SUM(DL70/DL64)</f>
        <v>34.375712415804188</v>
      </c>
      <c r="DM71" s="2772">
        <v>34.530453956413986</v>
      </c>
      <c r="DN71" s="2772">
        <v>20.029998948843726</v>
      </c>
      <c r="DO71" s="2847">
        <f>SUM(DO70/DO64)</f>
        <v>40.611420374322499</v>
      </c>
      <c r="DP71" s="2847">
        <f t="shared" ref="DP71:DW71" si="996">SUM(DP70/DP64)</f>
        <v>40.700162386035508</v>
      </c>
      <c r="DQ71" s="2847">
        <f t="shared" si="996"/>
        <v>22.779222604654247</v>
      </c>
      <c r="DR71" s="2847">
        <f>SUM(DR70/DR64)</f>
        <v>40.655411255304045</v>
      </c>
      <c r="DS71" s="2847">
        <f t="shared" si="996"/>
        <v>40.698401026011595</v>
      </c>
      <c r="DT71" s="2847">
        <f t="shared" si="996"/>
        <v>22.78</v>
      </c>
      <c r="DU71" s="2847">
        <f>SUM(DU70/DU64)</f>
        <v>34.462697971733888</v>
      </c>
      <c r="DV71" s="2847">
        <f t="shared" si="996"/>
        <v>34.530221316803569</v>
      </c>
      <c r="DW71" s="2847">
        <f t="shared" si="996"/>
        <v>20.030027064732142</v>
      </c>
      <c r="DX71" s="2824">
        <f t="shared" si="364"/>
        <v>4.3990880981546354E-2</v>
      </c>
      <c r="DY71" s="2824">
        <f t="shared" si="364"/>
        <v>-1.7613600239130278E-3</v>
      </c>
      <c r="DZ71" s="2824">
        <f t="shared" si="364"/>
        <v>7.7739534575371749E-4</v>
      </c>
      <c r="EA71" s="2847">
        <f>SUM(EA70/EA64)</f>
        <v>40.611420374322506</v>
      </c>
      <c r="EB71" s="2847">
        <f t="shared" ref="EB71:EI71" si="997">SUM(EB70/EB64)</f>
        <v>40.700162386035501</v>
      </c>
      <c r="EC71" s="2847">
        <f t="shared" si="997"/>
        <v>22.779222604654247</v>
      </c>
      <c r="ED71" s="2847">
        <f>SUM(ED70/ED64)</f>
        <v>40.619827062872531</v>
      </c>
      <c r="EE71" s="2847">
        <f t="shared" si="997"/>
        <v>40.69885751015434</v>
      </c>
      <c r="EF71" s="2847">
        <f t="shared" si="997"/>
        <v>22.780007953039195</v>
      </c>
      <c r="EG71" s="2847">
        <f>SUM(EG70/EG64)</f>
        <v>34.392366191029666</v>
      </c>
      <c r="EH71" s="2847">
        <f t="shared" si="997"/>
        <v>34.455013554153659</v>
      </c>
      <c r="EI71" s="2847">
        <f t="shared" si="997"/>
        <v>19.970325887743417</v>
      </c>
      <c r="EJ71" s="2824">
        <f t="shared" si="366"/>
        <v>8.40668855002491E-3</v>
      </c>
      <c r="EK71" s="2824">
        <f t="shared" si="366"/>
        <v>-1.3048758811606831E-3</v>
      </c>
      <c r="EL71" s="2824">
        <f t="shared" si="366"/>
        <v>7.8534838494803694E-4</v>
      </c>
      <c r="EM71" s="2772">
        <f>SUM(EM70/EM64)</f>
        <v>40.611420374322499</v>
      </c>
      <c r="EN71" s="2772">
        <f t="shared" ref="EN71:EO71" si="998">SUM(EN70/EN64)</f>
        <v>40.700162386035508</v>
      </c>
      <c r="EO71" s="2772">
        <f t="shared" si="998"/>
        <v>22.779222604654247</v>
      </c>
      <c r="EP71" s="2772" t="e">
        <f>SUM(EP70/EP64)</f>
        <v>#DIV/0!</v>
      </c>
      <c r="EQ71" s="2772" t="e">
        <f t="shared" ref="EQ71:ER71" si="999">SUM(EQ70/EQ64)</f>
        <v>#DIV/0!</v>
      </c>
      <c r="ER71" s="2772" t="e">
        <f t="shared" si="999"/>
        <v>#DIV/0!</v>
      </c>
      <c r="ES71" s="2772">
        <f>SUM(ES70/ES64)</f>
        <v>34.494944367359679</v>
      </c>
      <c r="ET71" s="2772">
        <v>34.530077611130167</v>
      </c>
      <c r="EU71" s="2772">
        <v>20.021739130434781</v>
      </c>
      <c r="EV71" s="2772">
        <f>SUM(EV70/EV64)</f>
        <v>40.611420374322499</v>
      </c>
      <c r="EW71" s="2772">
        <f t="shared" ref="EW71:EX71" si="1000">SUM(EW70/EW64)</f>
        <v>40.700162386035508</v>
      </c>
      <c r="EX71" s="2772">
        <f t="shared" si="1000"/>
        <v>22.779222604654247</v>
      </c>
      <c r="EY71" s="2772" t="e">
        <f>SUM(EY70/EY64)</f>
        <v>#DIV/0!</v>
      </c>
      <c r="EZ71" s="2772" t="e">
        <f t="shared" ref="EZ71:FA71" si="1001">SUM(EZ70/EZ64)</f>
        <v>#DIV/0!</v>
      </c>
      <c r="FA71" s="2772" t="e">
        <f t="shared" si="1001"/>
        <v>#DIV/0!</v>
      </c>
      <c r="FB71" s="2772">
        <f>SUM(FB70/FB64)</f>
        <v>34.49810247898219</v>
      </c>
      <c r="FC71" s="2772">
        <v>34.530122105419935</v>
      </c>
      <c r="FD71" s="2772">
        <v>20.030013617021275</v>
      </c>
      <c r="FE71" s="2772">
        <f>SUM(FE70/FE64)</f>
        <v>40.611420374322499</v>
      </c>
      <c r="FF71" s="2772">
        <f t="shared" ref="FF71:FG71" si="1002">SUM(FF70/FF64)</f>
        <v>40.700162386035508</v>
      </c>
      <c r="FG71" s="2772">
        <f t="shared" si="1002"/>
        <v>22.779222604654247</v>
      </c>
      <c r="FH71" s="2772" t="e">
        <f>SUM(FH70/FH64)</f>
        <v>#DIV/0!</v>
      </c>
      <c r="FI71" s="2772" t="e">
        <f t="shared" ref="FI71:FJ71" si="1003">SUM(FI70/FI64)</f>
        <v>#DIV/0!</v>
      </c>
      <c r="FJ71" s="2772" t="e">
        <f t="shared" si="1003"/>
        <v>#DIV/0!</v>
      </c>
      <c r="FK71" s="2772">
        <f>SUM(FK70/FK64)</f>
        <v>40.492181161430146</v>
      </c>
      <c r="FL71" s="2772">
        <v>40.698265622380461</v>
      </c>
      <c r="FM71" s="2772">
        <v>22.763468515549853</v>
      </c>
      <c r="FN71" s="2847">
        <f>SUM(FN70/FN64)</f>
        <v>40.611420374322499</v>
      </c>
      <c r="FO71" s="2847">
        <f t="shared" ref="FO71:FV71" si="1004">SUM(FO70/FO64)</f>
        <v>40.700162386035508</v>
      </c>
      <c r="FP71" s="2847">
        <f t="shared" si="1004"/>
        <v>22.779222604654247</v>
      </c>
      <c r="FQ71" s="2847" t="e">
        <f>SUM(FQ70/FQ64)</f>
        <v>#DIV/0!</v>
      </c>
      <c r="FR71" s="2847" t="e">
        <f t="shared" si="1004"/>
        <v>#DIV/0!</v>
      </c>
      <c r="FS71" s="2847" t="e">
        <f t="shared" si="1004"/>
        <v>#DIV/0!</v>
      </c>
      <c r="FT71" s="2847">
        <f>SUM(FT70/FT64)</f>
        <v>36.522043488412322</v>
      </c>
      <c r="FU71" s="2847">
        <f t="shared" si="1004"/>
        <v>36.60116760591697</v>
      </c>
      <c r="FV71" s="2847">
        <f t="shared" si="1004"/>
        <v>21.988482082519251</v>
      </c>
      <c r="FW71" s="2824" t="e">
        <f t="shared" si="368"/>
        <v>#DIV/0!</v>
      </c>
      <c r="FX71" s="2824" t="e">
        <f t="shared" si="368"/>
        <v>#DIV/0!</v>
      </c>
      <c r="FY71" s="2824" t="e">
        <f t="shared" si="368"/>
        <v>#DIV/0!</v>
      </c>
      <c r="FZ71" s="2846">
        <f>SUM(FZ70/FZ64)</f>
        <v>40.611420374322499</v>
      </c>
      <c r="GA71" s="2846">
        <f t="shared" ref="GA71:GH71" si="1005">SUM(GA70/GA64)</f>
        <v>40.700162386035508</v>
      </c>
      <c r="GB71" s="2846">
        <f t="shared" si="1005"/>
        <v>22.779222604654247</v>
      </c>
      <c r="GC71" s="2847">
        <f>SUM(GC70/GC64)</f>
        <v>40.619827062872531</v>
      </c>
      <c r="GD71" s="2847">
        <f t="shared" si="1005"/>
        <v>40.69885751015434</v>
      </c>
      <c r="GE71" s="2847">
        <f t="shared" si="1005"/>
        <v>22.780007953039195</v>
      </c>
      <c r="GF71" s="2847">
        <f>SUM(GF70/GF64)</f>
        <v>34.922815492788985</v>
      </c>
      <c r="GG71" s="2847">
        <f t="shared" si="1005"/>
        <v>34.989127299694736</v>
      </c>
      <c r="GH71" s="2847">
        <f t="shared" si="1005"/>
        <v>20.5625080295417</v>
      </c>
      <c r="GI71" s="2824">
        <f t="shared" si="370"/>
        <v>8.4066885500320154E-3</v>
      </c>
      <c r="GJ71" s="2824">
        <f t="shared" si="370"/>
        <v>-1.3048758811677885E-3</v>
      </c>
      <c r="GK71" s="2824">
        <f t="shared" si="370"/>
        <v>7.8534838494803694E-4</v>
      </c>
    </row>
    <row r="72" spans="1:195" ht="18.75" customHeight="1" x14ac:dyDescent="0.3">
      <c r="A72" s="2785" t="s">
        <v>3712</v>
      </c>
      <c r="B72" s="5262">
        <f>SUM(B73:B75)</f>
        <v>588.90183333333334</v>
      </c>
      <c r="C72" s="5263"/>
      <c r="D72" s="5264"/>
      <c r="E72" s="5262">
        <f>SUM(E73:E75)</f>
        <v>1000.718</v>
      </c>
      <c r="F72" s="5263"/>
      <c r="G72" s="5264"/>
      <c r="H72" s="5262">
        <f>SUM(H73:H75)</f>
        <v>667.51386000000002</v>
      </c>
      <c r="I72" s="5263"/>
      <c r="J72" s="5264"/>
      <c r="K72" s="5262">
        <f>SUM(K73:K75)</f>
        <v>588.90183333333334</v>
      </c>
      <c r="L72" s="5263"/>
      <c r="M72" s="5264"/>
      <c r="N72" s="5265">
        <f>SUM(N73:N75)</f>
        <v>654.16490999999996</v>
      </c>
      <c r="O72" s="5266"/>
      <c r="P72" s="5267"/>
      <c r="Q72" s="5262">
        <f>SUM(Q73:Q75)</f>
        <v>570.76900000000001</v>
      </c>
      <c r="R72" s="5263"/>
      <c r="S72" s="5264"/>
      <c r="T72" s="5262">
        <f>SUM(T73:T75)</f>
        <v>588.90183333333334</v>
      </c>
      <c r="U72" s="5263"/>
      <c r="V72" s="5264"/>
      <c r="W72" s="5262">
        <f>SUM(W73:W75)</f>
        <v>692.85199</v>
      </c>
      <c r="X72" s="5263"/>
      <c r="Y72" s="5264"/>
      <c r="Z72" s="5262">
        <f>SUM(Z73:Z75)</f>
        <v>705.56840999999997</v>
      </c>
      <c r="AA72" s="5263"/>
      <c r="AB72" s="5264"/>
      <c r="AC72" s="5259">
        <f>SUM(AC73:AC75)</f>
        <v>1766.7055</v>
      </c>
      <c r="AD72" s="5260"/>
      <c r="AE72" s="5261"/>
      <c r="AF72" s="5259">
        <f>SUM(AF73:AF75)</f>
        <v>2347.7348999999999</v>
      </c>
      <c r="AG72" s="5260"/>
      <c r="AH72" s="5261"/>
      <c r="AI72" s="5259">
        <f>SUM(AI73:AI75)</f>
        <v>1943.8512699999999</v>
      </c>
      <c r="AJ72" s="5260"/>
      <c r="AK72" s="5261"/>
      <c r="AL72" s="5259">
        <f>SUM(AF72-AC72)</f>
        <v>581.0293999999999</v>
      </c>
      <c r="AM72" s="5260"/>
      <c r="AN72" s="5261"/>
      <c r="AO72" s="5262">
        <f>SUM(AO73:AO75)</f>
        <v>588.90183333333334</v>
      </c>
      <c r="AP72" s="5263"/>
      <c r="AQ72" s="5264"/>
      <c r="AR72" s="5262">
        <f>SUM(AR73:AR75)</f>
        <v>821.60599000000002</v>
      </c>
      <c r="AS72" s="5263"/>
      <c r="AT72" s="5264"/>
      <c r="AU72" s="5262">
        <f>SUM(AU73:AU75)</f>
        <v>644.07999999999993</v>
      </c>
      <c r="AV72" s="5263"/>
      <c r="AW72" s="5264"/>
      <c r="AX72" s="5262">
        <f>SUM(AX73:AX75)</f>
        <v>588.90183333333334</v>
      </c>
      <c r="AY72" s="5263"/>
      <c r="AZ72" s="5264"/>
      <c r="BA72" s="5262">
        <f>SUM(BA73:BA75)</f>
        <v>602.53557999999998</v>
      </c>
      <c r="BB72" s="5263"/>
      <c r="BC72" s="5264"/>
      <c r="BD72" s="5262">
        <f>SUM(BD73:BD75)</f>
        <v>609.94335000000001</v>
      </c>
      <c r="BE72" s="5263"/>
      <c r="BF72" s="5264"/>
      <c r="BG72" s="5262">
        <f>SUM(BG73:BG75)</f>
        <v>588.90183333333334</v>
      </c>
      <c r="BH72" s="5263"/>
      <c r="BI72" s="5264"/>
      <c r="BJ72" s="5262">
        <f>SUM(BJ73:BJ75)</f>
        <v>807.19454999999994</v>
      </c>
      <c r="BK72" s="5263"/>
      <c r="BL72" s="5264"/>
      <c r="BM72" s="5262">
        <f>SUM(BM73:BM75)</f>
        <v>737.26429999999993</v>
      </c>
      <c r="BN72" s="5263"/>
      <c r="BO72" s="5264"/>
      <c r="BP72" s="5259">
        <f>SUM(BP73:BP75)</f>
        <v>1766.7055</v>
      </c>
      <c r="BQ72" s="5260"/>
      <c r="BR72" s="5261"/>
      <c r="BS72" s="5259">
        <f>SUM(BS73:BS75)</f>
        <v>2231.3361199999999</v>
      </c>
      <c r="BT72" s="5260"/>
      <c r="BU72" s="5261"/>
      <c r="BV72" s="5259">
        <f>SUM(BV73:BV75)</f>
        <v>1991.28765</v>
      </c>
      <c r="BW72" s="5260"/>
      <c r="BX72" s="5261"/>
      <c r="BY72" s="5259">
        <f>SUM(BS72-BP72)</f>
        <v>464.63061999999991</v>
      </c>
      <c r="BZ72" s="5260"/>
      <c r="CA72" s="5261"/>
      <c r="CB72" s="5259">
        <f>SUM(CB73:CB75)</f>
        <v>3533.4110000000001</v>
      </c>
      <c r="CC72" s="5260"/>
      <c r="CD72" s="5261"/>
      <c r="CE72" s="5259">
        <f>SUM(CE73:CE75)</f>
        <v>4579.0710199999994</v>
      </c>
      <c r="CF72" s="5260"/>
      <c r="CG72" s="5261"/>
      <c r="CH72" s="5259">
        <f>SUM(CH73:CH75)</f>
        <v>3935.1389199999999</v>
      </c>
      <c r="CI72" s="5260"/>
      <c r="CJ72" s="5261"/>
      <c r="CK72" s="5259">
        <f>SUM(CE72-CB72)</f>
        <v>1045.6600199999993</v>
      </c>
      <c r="CL72" s="5260"/>
      <c r="CM72" s="5261"/>
      <c r="CN72" s="5262">
        <f>SUM(CN73:CN75)</f>
        <v>588.90183333333334</v>
      </c>
      <c r="CO72" s="5263"/>
      <c r="CP72" s="5264"/>
      <c r="CQ72" s="5262">
        <f>SUM(CQ73:CQ75)</f>
        <v>683.30016999999998</v>
      </c>
      <c r="CR72" s="5263"/>
      <c r="CS72" s="5264"/>
      <c r="CT72" s="5262">
        <f>SUM(CT73:CT75)</f>
        <v>810.97900000000004</v>
      </c>
      <c r="CU72" s="5263"/>
      <c r="CV72" s="5264"/>
      <c r="CW72" s="5262">
        <f>SUM(CW73:CW75)</f>
        <v>588.90183333333334</v>
      </c>
      <c r="CX72" s="5263"/>
      <c r="CY72" s="5264"/>
      <c r="CZ72" s="5262">
        <f>SUM(CZ73:CZ75)</f>
        <v>0</v>
      </c>
      <c r="DA72" s="5263"/>
      <c r="DB72" s="5264"/>
      <c r="DC72" s="5262">
        <f>SUM(DC73:DC75)</f>
        <v>647.88700000000006</v>
      </c>
      <c r="DD72" s="5263"/>
      <c r="DE72" s="5264"/>
      <c r="DF72" s="5262">
        <f>SUM(DF73:DF75)</f>
        <v>588.90183333333334</v>
      </c>
      <c r="DG72" s="5263"/>
      <c r="DH72" s="5264"/>
      <c r="DI72" s="5262">
        <f>SUM(DI73:DI75)</f>
        <v>0</v>
      </c>
      <c r="DJ72" s="5263"/>
      <c r="DK72" s="5264"/>
      <c r="DL72" s="5262">
        <f>SUM(DL73:DL75)</f>
        <v>849.70186999999999</v>
      </c>
      <c r="DM72" s="5263"/>
      <c r="DN72" s="5264"/>
      <c r="DO72" s="5259">
        <f>SUM(DO73:DO75)</f>
        <v>1766.7055</v>
      </c>
      <c r="DP72" s="5260"/>
      <c r="DQ72" s="5261"/>
      <c r="DR72" s="5259">
        <f>SUM(DR73:DR75)</f>
        <v>683.30016999999998</v>
      </c>
      <c r="DS72" s="5260"/>
      <c r="DT72" s="5261"/>
      <c r="DU72" s="5259">
        <f>SUM(DU73:DU75)</f>
        <v>2308.5678699999999</v>
      </c>
      <c r="DV72" s="5260"/>
      <c r="DW72" s="5261"/>
      <c r="DX72" s="5259">
        <f>SUM(DR72-DO72)</f>
        <v>-1083.40533</v>
      </c>
      <c r="DY72" s="5260"/>
      <c r="DZ72" s="5261"/>
      <c r="EA72" s="5259">
        <f>SUM(EA73:EA75)</f>
        <v>5300.1165000000001</v>
      </c>
      <c r="EB72" s="5260"/>
      <c r="EC72" s="5261"/>
      <c r="ED72" s="5259">
        <f>SUM(ED73:ED75)</f>
        <v>5262.3711899999989</v>
      </c>
      <c r="EE72" s="5260"/>
      <c r="EF72" s="5261"/>
      <c r="EG72" s="5259">
        <f>SUM(EG73:EG75)</f>
        <v>6243.7067900000002</v>
      </c>
      <c r="EH72" s="5260"/>
      <c r="EI72" s="5261"/>
      <c r="EJ72" s="5259">
        <f>SUM(ED72-EA72)</f>
        <v>-37.745310000001155</v>
      </c>
      <c r="EK72" s="5260"/>
      <c r="EL72" s="5261"/>
      <c r="EM72" s="5262">
        <f>SUM(EM73:EM75)</f>
        <v>588.90183333333334</v>
      </c>
      <c r="EN72" s="5263"/>
      <c r="EO72" s="5264"/>
      <c r="EP72" s="5262">
        <f>SUM(EP73:EP75)</f>
        <v>0</v>
      </c>
      <c r="EQ72" s="5263"/>
      <c r="ER72" s="5264"/>
      <c r="ES72" s="5262">
        <f>SUM(ES73:ES75)</f>
        <v>662.28499999999997</v>
      </c>
      <c r="ET72" s="5263"/>
      <c r="EU72" s="5264"/>
      <c r="EV72" s="5262">
        <f>SUM(EV73:EV75)</f>
        <v>588.90183333333334</v>
      </c>
      <c r="EW72" s="5263"/>
      <c r="EX72" s="5264"/>
      <c r="EY72" s="5262">
        <f>SUM(EY73:EY75)</f>
        <v>0</v>
      </c>
      <c r="EZ72" s="5263"/>
      <c r="FA72" s="5264"/>
      <c r="FB72" s="5262">
        <f>SUM(FB73:FB75)</f>
        <v>910.79845</v>
      </c>
      <c r="FC72" s="5263"/>
      <c r="FD72" s="5264"/>
      <c r="FE72" s="5262">
        <f>SUM(FE73:FE75)</f>
        <v>588.90183333333334</v>
      </c>
      <c r="FF72" s="5263"/>
      <c r="FG72" s="5264"/>
      <c r="FH72" s="5262">
        <f>SUM(FH73:FH75)</f>
        <v>0</v>
      </c>
      <c r="FI72" s="5263"/>
      <c r="FJ72" s="5264"/>
      <c r="FK72" s="5262">
        <f>SUM(FK73:FK75)</f>
        <v>742.74321999999995</v>
      </c>
      <c r="FL72" s="5263"/>
      <c r="FM72" s="5264"/>
      <c r="FN72" s="5259">
        <f>SUM(FN73:FN75)</f>
        <v>1766.7055</v>
      </c>
      <c r="FO72" s="5260"/>
      <c r="FP72" s="5261"/>
      <c r="FQ72" s="5259">
        <f>SUM(FQ73:FQ75)</f>
        <v>0</v>
      </c>
      <c r="FR72" s="5260"/>
      <c r="FS72" s="5261"/>
      <c r="FT72" s="5259">
        <f>SUM(FT73:FT75)</f>
        <v>2315.8266700000004</v>
      </c>
      <c r="FU72" s="5260"/>
      <c r="FV72" s="5261"/>
      <c r="FW72" s="5259">
        <f>SUM(FQ72-FN72)</f>
        <v>-1766.7055</v>
      </c>
      <c r="FX72" s="5260"/>
      <c r="FY72" s="5261"/>
      <c r="FZ72" s="5277">
        <f>SUM(FZ73:FZ75)</f>
        <v>7066.8220000000001</v>
      </c>
      <c r="GA72" s="5278"/>
      <c r="GB72" s="5279"/>
      <c r="GC72" s="5259">
        <f>SUM(GC73:GC75)</f>
        <v>5262.3711899999989</v>
      </c>
      <c r="GD72" s="5260"/>
      <c r="GE72" s="5261"/>
      <c r="GF72" s="5259">
        <f>SUM(GF73:GF75)</f>
        <v>8559.5334600000006</v>
      </c>
      <c r="GG72" s="5260"/>
      <c r="GH72" s="5261"/>
      <c r="GI72" s="5259">
        <f>SUM(GC72-FZ72)</f>
        <v>-1804.4508100000012</v>
      </c>
      <c r="GJ72" s="5260"/>
      <c r="GK72" s="5261"/>
    </row>
    <row r="73" spans="1:195" ht="36" customHeight="1" x14ac:dyDescent="0.2">
      <c r="A73" s="2789" t="s">
        <v>3764</v>
      </c>
      <c r="B73" s="5268">
        <f>SUM('ПОЛНАЯ СЕБЕСТОИМОСТЬ СТОКИ 2023'!B185:D185)/3</f>
        <v>481.06850000000003</v>
      </c>
      <c r="C73" s="5269"/>
      <c r="D73" s="5270"/>
      <c r="E73" s="5268">
        <f>SUM('ПОЛНАЯ СЕБЕСТОИМОСТЬ СТОКИ 2023'!E185:G185)</f>
        <v>975.32799999999997</v>
      </c>
      <c r="F73" s="5269"/>
      <c r="G73" s="5270"/>
      <c r="H73" s="5271">
        <v>618.49180999999999</v>
      </c>
      <c r="I73" s="5272"/>
      <c r="J73" s="5273"/>
      <c r="K73" s="5268">
        <f>SUM(B73)</f>
        <v>481.06850000000003</v>
      </c>
      <c r="L73" s="5269"/>
      <c r="M73" s="5270"/>
      <c r="N73" s="5274">
        <f>SUM('ПОЛНАЯ СЕБЕСТОИМОСТЬ СТОКИ 2023'!H185:J185)</f>
        <v>616.23424999999997</v>
      </c>
      <c r="O73" s="5275"/>
      <c r="P73" s="5276"/>
      <c r="Q73" s="5271">
        <v>541.65800000000002</v>
      </c>
      <c r="R73" s="5272"/>
      <c r="S73" s="5273"/>
      <c r="T73" s="5268">
        <f>SUM(K73)</f>
        <v>481.06850000000003</v>
      </c>
      <c r="U73" s="5269"/>
      <c r="V73" s="5270"/>
      <c r="W73" s="5268">
        <f>SUM('ПОЛНАЯ СЕБЕСТОИМОСТЬ СТОКИ 2023'!K185:M185)</f>
        <v>688.89152000000001</v>
      </c>
      <c r="X73" s="5269"/>
      <c r="Y73" s="5270"/>
      <c r="Z73" s="5271">
        <v>674.82881999999995</v>
      </c>
      <c r="AA73" s="5272"/>
      <c r="AB73" s="5273"/>
      <c r="AC73" s="5280">
        <f>SUM(B73+K73+T73)</f>
        <v>1443.2055</v>
      </c>
      <c r="AD73" s="5281"/>
      <c r="AE73" s="5282"/>
      <c r="AF73" s="5280">
        <f>SUM(E73+N73+W73)</f>
        <v>2280.4537700000001</v>
      </c>
      <c r="AG73" s="5281"/>
      <c r="AH73" s="5282"/>
      <c r="AI73" s="5280">
        <f>SUM(H73+Q73+Z73)</f>
        <v>1834.9786299999998</v>
      </c>
      <c r="AJ73" s="5281"/>
      <c r="AK73" s="5282"/>
      <c r="AL73" s="5280">
        <f>SUM(AF73-AC73)</f>
        <v>837.24827000000005</v>
      </c>
      <c r="AM73" s="5281"/>
      <c r="AN73" s="5282"/>
      <c r="AO73" s="5268">
        <f>SUM(T73)</f>
        <v>481.06850000000003</v>
      </c>
      <c r="AP73" s="5269"/>
      <c r="AQ73" s="5270"/>
      <c r="AR73" s="5268">
        <f>SUM('ПОЛНАЯ СЕБЕСТОИМОСТЬ СТОКИ 2023'!T185:V185)</f>
        <v>801.24153999999999</v>
      </c>
      <c r="AS73" s="5269"/>
      <c r="AT73" s="5270"/>
      <c r="AU73" s="5271">
        <v>553.50099999999998</v>
      </c>
      <c r="AV73" s="5272"/>
      <c r="AW73" s="5273"/>
      <c r="AX73" s="5268">
        <f>SUM(AO73)</f>
        <v>481.06850000000003</v>
      </c>
      <c r="AY73" s="5269"/>
      <c r="AZ73" s="5270"/>
      <c r="BA73" s="5268">
        <f>SUM('ПОЛНАЯ СЕБЕСТОИМОСТЬ СТОКИ 2023'!W185:Y185)</f>
        <v>599.63535999999999</v>
      </c>
      <c r="BB73" s="5269"/>
      <c r="BC73" s="5270"/>
      <c r="BD73" s="5271">
        <v>513.69200000000001</v>
      </c>
      <c r="BE73" s="5272"/>
      <c r="BF73" s="5273"/>
      <c r="BG73" s="5268">
        <f>SUM(AX73)</f>
        <v>481.06850000000003</v>
      </c>
      <c r="BH73" s="5269"/>
      <c r="BI73" s="5270"/>
      <c r="BJ73" s="5268">
        <f>SUM('ПОЛНАЯ СЕБЕСТОИМОСТЬ СТОКИ 2023'!Z185:AB185)</f>
        <v>801.12261999999998</v>
      </c>
      <c r="BK73" s="5269"/>
      <c r="BL73" s="5270"/>
      <c r="BM73" s="5271">
        <v>673.03099999999995</v>
      </c>
      <c r="BN73" s="5272"/>
      <c r="BO73" s="5273"/>
      <c r="BP73" s="5280">
        <f>SUM(AO73+AX73+BG73)</f>
        <v>1443.2055</v>
      </c>
      <c r="BQ73" s="5281"/>
      <c r="BR73" s="5282"/>
      <c r="BS73" s="5280">
        <f>SUM(AR73+BA73+BJ73)</f>
        <v>2201.9995199999998</v>
      </c>
      <c r="BT73" s="5281"/>
      <c r="BU73" s="5282"/>
      <c r="BV73" s="5280">
        <f>SUM(AU73+BD73+BM73)</f>
        <v>1740.2239999999999</v>
      </c>
      <c r="BW73" s="5281"/>
      <c r="BX73" s="5282"/>
      <c r="BY73" s="5280">
        <f>SUM(BS73-BP73)</f>
        <v>758.79401999999982</v>
      </c>
      <c r="BZ73" s="5281"/>
      <c r="CA73" s="5282"/>
      <c r="CB73" s="5280">
        <f>SUM(AC73+BP73)</f>
        <v>2886.4110000000001</v>
      </c>
      <c r="CC73" s="5281"/>
      <c r="CD73" s="5282"/>
      <c r="CE73" s="5280">
        <f>SUM(AF73+BS73)</f>
        <v>4482.4532899999995</v>
      </c>
      <c r="CF73" s="5281"/>
      <c r="CG73" s="5282"/>
      <c r="CH73" s="5280">
        <f>SUM(AI73+BV73)</f>
        <v>3575.2026299999998</v>
      </c>
      <c r="CI73" s="5281"/>
      <c r="CJ73" s="5282"/>
      <c r="CK73" s="5280">
        <f>SUM(CE73-CB73)</f>
        <v>1596.0422899999994</v>
      </c>
      <c r="CL73" s="5281"/>
      <c r="CM73" s="5282"/>
      <c r="CN73" s="5268">
        <f>SUM('ПОЛНАЯ СЕБЕСТОИМОСТЬ СТОКИ 2023'!AO185:AQ185)/3</f>
        <v>481.06850000000003</v>
      </c>
      <c r="CO73" s="5269"/>
      <c r="CP73" s="5270"/>
      <c r="CQ73" s="5268">
        <f>SUM('ПОЛНАЯ СЕБЕСТОИМОСТЬ СТОКИ 2023'!AR185:AT185)</f>
        <v>663.92764999999997</v>
      </c>
      <c r="CR73" s="5269"/>
      <c r="CS73" s="5270"/>
      <c r="CT73" s="5271">
        <v>544.51300000000003</v>
      </c>
      <c r="CU73" s="5272"/>
      <c r="CV73" s="5273"/>
      <c r="CW73" s="5268">
        <f>SUM(CN73)</f>
        <v>481.06850000000003</v>
      </c>
      <c r="CX73" s="5269"/>
      <c r="CY73" s="5270"/>
      <c r="CZ73" s="5268">
        <f>SUM('ПОЛНАЯ СЕБЕСТОИМОСТЬ СТОКИ 2023'!AU185:AW185)</f>
        <v>0</v>
      </c>
      <c r="DA73" s="5269"/>
      <c r="DB73" s="5270"/>
      <c r="DC73" s="5283">
        <v>592.48</v>
      </c>
      <c r="DD73" s="5284"/>
      <c r="DE73" s="5285"/>
      <c r="DF73" s="5268">
        <f>SUM(CW73)</f>
        <v>481.06850000000003</v>
      </c>
      <c r="DG73" s="5269"/>
      <c r="DH73" s="5270"/>
      <c r="DI73" s="5268">
        <f>SUM('ПОЛНАЯ СЕБЕСТОИМОСТЬ СТОКИ 2023'!AX185:AZ185)</f>
        <v>0</v>
      </c>
      <c r="DJ73" s="5269"/>
      <c r="DK73" s="5270"/>
      <c r="DL73" s="5271">
        <v>759.75</v>
      </c>
      <c r="DM73" s="5272"/>
      <c r="DN73" s="5273"/>
      <c r="DO73" s="5280">
        <f>SUM(CN73+CW73+DF73)</f>
        <v>1443.2055</v>
      </c>
      <c r="DP73" s="5281"/>
      <c r="DQ73" s="5282"/>
      <c r="DR73" s="5280">
        <f>SUM(CQ73+CZ73+DI73)</f>
        <v>663.92764999999997</v>
      </c>
      <c r="DS73" s="5281"/>
      <c r="DT73" s="5282"/>
      <c r="DU73" s="5280">
        <f>SUM(CT73+DC73+DL73)</f>
        <v>1896.7429999999999</v>
      </c>
      <c r="DV73" s="5281"/>
      <c r="DW73" s="5282"/>
      <c r="DX73" s="5280">
        <f>SUM(DR73-DO73)</f>
        <v>-779.27785000000006</v>
      </c>
      <c r="DY73" s="5281"/>
      <c r="DZ73" s="5282"/>
      <c r="EA73" s="5280">
        <f>SUM(CB73+DO73)</f>
        <v>4329.6165000000001</v>
      </c>
      <c r="EB73" s="5281"/>
      <c r="EC73" s="5282"/>
      <c r="ED73" s="5280">
        <f>SUM(CE73+DR73)</f>
        <v>5146.3809399999991</v>
      </c>
      <c r="EE73" s="5281"/>
      <c r="EF73" s="5282"/>
      <c r="EG73" s="5280">
        <f>SUM(CH73+DU73)</f>
        <v>5471.9456300000002</v>
      </c>
      <c r="EH73" s="5281"/>
      <c r="EI73" s="5282"/>
      <c r="EJ73" s="5280">
        <f>SUM(ED73-EA73)</f>
        <v>816.76443999999901</v>
      </c>
      <c r="EK73" s="5281"/>
      <c r="EL73" s="5282"/>
      <c r="EM73" s="5268">
        <f>SUM('ПОЛНАЯ СЕБЕСТОИМОСТЬ СТОКИ 2023'!BM185:BO185)/3</f>
        <v>481.06850000000003</v>
      </c>
      <c r="EN73" s="5269"/>
      <c r="EO73" s="5270"/>
      <c r="EP73" s="5268">
        <f>SUM('ПОЛНАЯ СЕБЕСТОИМОСТЬ СТОКИ 2023'!BP185:BR185)</f>
        <v>0</v>
      </c>
      <c r="EQ73" s="5269"/>
      <c r="ER73" s="5270"/>
      <c r="ES73" s="5271">
        <v>570.58600000000001</v>
      </c>
      <c r="ET73" s="5272"/>
      <c r="EU73" s="5273"/>
      <c r="EV73" s="5268">
        <f>SUM(EM73)</f>
        <v>481.06850000000003</v>
      </c>
      <c r="EW73" s="5269"/>
      <c r="EX73" s="5270"/>
      <c r="EY73" s="5268">
        <f>SUM('ПОЛНАЯ СЕБЕСТОИМОСТЬ СТОКИ 2023'!BS185:BU185)</f>
        <v>0</v>
      </c>
      <c r="EZ73" s="5269"/>
      <c r="FA73" s="5270"/>
      <c r="FB73" s="5271">
        <v>679.08808999999997</v>
      </c>
      <c r="FC73" s="5272"/>
      <c r="FD73" s="5273"/>
      <c r="FE73" s="5268">
        <f>SUM(EV73)</f>
        <v>481.06850000000003</v>
      </c>
      <c r="FF73" s="5269"/>
      <c r="FG73" s="5270"/>
      <c r="FH73" s="5268">
        <f>SUM('ПОЛНАЯ СЕБЕСТОИМОСТЬ СТОКИ 2023'!BV185:BX185)</f>
        <v>0</v>
      </c>
      <c r="FI73" s="5269"/>
      <c r="FJ73" s="5270"/>
      <c r="FK73" s="5271">
        <v>590.93700999999999</v>
      </c>
      <c r="FL73" s="5272"/>
      <c r="FM73" s="5273"/>
      <c r="FN73" s="5280">
        <f>SUM(EM73+EV73+FE73)</f>
        <v>1443.2055</v>
      </c>
      <c r="FO73" s="5281"/>
      <c r="FP73" s="5282"/>
      <c r="FQ73" s="5280">
        <f>SUM(EP73+EY73+FH73)</f>
        <v>0</v>
      </c>
      <c r="FR73" s="5281"/>
      <c r="FS73" s="5282"/>
      <c r="FT73" s="5280">
        <f>SUM(ES73+FB73+FK73)</f>
        <v>1840.6111000000001</v>
      </c>
      <c r="FU73" s="5281"/>
      <c r="FV73" s="5282"/>
      <c r="FW73" s="5280">
        <f>SUM(FQ73-FN73)</f>
        <v>-1443.2055</v>
      </c>
      <c r="FX73" s="5281"/>
      <c r="FY73" s="5282"/>
      <c r="FZ73" s="5286">
        <f>SUM(EA73+FN73)</f>
        <v>5772.8220000000001</v>
      </c>
      <c r="GA73" s="5287"/>
      <c r="GB73" s="5288"/>
      <c r="GC73" s="5280">
        <f>SUM(ED73+FQ73)</f>
        <v>5146.3809399999991</v>
      </c>
      <c r="GD73" s="5281"/>
      <c r="GE73" s="5282"/>
      <c r="GF73" s="5280">
        <f>SUM(EG73+FT73)</f>
        <v>7312.5567300000002</v>
      </c>
      <c r="GG73" s="5281"/>
      <c r="GH73" s="5282"/>
      <c r="GI73" s="5280">
        <f>SUM(GC73-FZ73)</f>
        <v>-626.44106000000102</v>
      </c>
      <c r="GJ73" s="5281"/>
      <c r="GK73" s="5282"/>
    </row>
    <row r="74" spans="1:195" ht="35.25" customHeight="1" x14ac:dyDescent="0.2">
      <c r="A74" s="2786" t="s">
        <v>3765</v>
      </c>
      <c r="B74" s="5268">
        <f>SUM('ПОЛНАЯ СЕБЕСТОИМОСТЬ СТОКИ 2023'!B186:D186)/3</f>
        <v>22.5</v>
      </c>
      <c r="C74" s="5269"/>
      <c r="D74" s="5270"/>
      <c r="E74" s="5268">
        <f>SUM('ПОЛНАЯ СЕБЕСТОИМОСТЬ СТОКИ 2023'!E186:G186)</f>
        <v>0</v>
      </c>
      <c r="F74" s="5269"/>
      <c r="G74" s="5270"/>
      <c r="H74" s="5271">
        <v>0</v>
      </c>
      <c r="I74" s="5272"/>
      <c r="J74" s="5273"/>
      <c r="K74" s="5268">
        <f>SUM(B74)</f>
        <v>22.5</v>
      </c>
      <c r="L74" s="5269"/>
      <c r="M74" s="5270"/>
      <c r="N74" s="5274">
        <f>SUM('ПОЛНАЯ СЕБЕСТОИМОСТЬ СТОКИ 2023'!H186:J186)</f>
        <v>0</v>
      </c>
      <c r="O74" s="5275"/>
      <c r="P74" s="5276"/>
      <c r="Q74" s="5271">
        <v>0</v>
      </c>
      <c r="R74" s="5272"/>
      <c r="S74" s="5273"/>
      <c r="T74" s="5268">
        <f>SUM(K74)</f>
        <v>22.5</v>
      </c>
      <c r="U74" s="5269"/>
      <c r="V74" s="5270"/>
      <c r="W74" s="5268">
        <f>SUM('ПОЛНАЯ СЕБЕСТОИМОСТЬ СТОКИ 2023'!K186:M186)</f>
        <v>0</v>
      </c>
      <c r="X74" s="5269"/>
      <c r="Y74" s="5270"/>
      <c r="Z74" s="5271">
        <v>0</v>
      </c>
      <c r="AA74" s="5272"/>
      <c r="AB74" s="5273"/>
      <c r="AC74" s="5280">
        <f>SUM(B74+K74+T74)</f>
        <v>67.5</v>
      </c>
      <c r="AD74" s="5281"/>
      <c r="AE74" s="5282"/>
      <c r="AF74" s="5280">
        <f>SUM(E74+N74+W74)</f>
        <v>0</v>
      </c>
      <c r="AG74" s="5281"/>
      <c r="AH74" s="5282"/>
      <c r="AI74" s="5280">
        <f>SUM(H74+Q74+Z74)</f>
        <v>0</v>
      </c>
      <c r="AJ74" s="5281"/>
      <c r="AK74" s="5282"/>
      <c r="AL74" s="5280">
        <f>SUM(AF74-AC74)</f>
        <v>-67.5</v>
      </c>
      <c r="AM74" s="5281"/>
      <c r="AN74" s="5282"/>
      <c r="AO74" s="5268">
        <f>SUM(T74)</f>
        <v>22.5</v>
      </c>
      <c r="AP74" s="5269"/>
      <c r="AQ74" s="5270"/>
      <c r="AR74" s="5268">
        <f>SUM('ПОЛНАЯ СЕБЕСТОИМОСТЬ СТОКИ 2023'!T186:V186)</f>
        <v>0</v>
      </c>
      <c r="AS74" s="5269"/>
      <c r="AT74" s="5270"/>
      <c r="AU74" s="5271">
        <v>0</v>
      </c>
      <c r="AV74" s="5272"/>
      <c r="AW74" s="5273"/>
      <c r="AX74" s="5268">
        <f>SUM(AO74)</f>
        <v>22.5</v>
      </c>
      <c r="AY74" s="5269"/>
      <c r="AZ74" s="5270"/>
      <c r="BA74" s="5268">
        <f>SUM('ПОЛНАЯ СЕБЕСТОИМОСТЬ СТОКИ 2023'!W186:Y186)</f>
        <v>0</v>
      </c>
      <c r="BB74" s="5269"/>
      <c r="BC74" s="5270"/>
      <c r="BD74" s="5271">
        <v>0</v>
      </c>
      <c r="BE74" s="5272"/>
      <c r="BF74" s="5273"/>
      <c r="BG74" s="5268">
        <f>SUM(AX74)</f>
        <v>22.5</v>
      </c>
      <c r="BH74" s="5269"/>
      <c r="BI74" s="5270"/>
      <c r="BJ74" s="5268">
        <f>SUM('ПОЛНАЯ СЕБЕСТОИМОСТЬ СТОКИ 2023'!Z186:AB186)</f>
        <v>0</v>
      </c>
      <c r="BK74" s="5269"/>
      <c r="BL74" s="5270"/>
      <c r="BM74" s="5271">
        <v>0</v>
      </c>
      <c r="BN74" s="5272"/>
      <c r="BO74" s="5273"/>
      <c r="BP74" s="5280">
        <f>SUM(AO74+AX74+BG74)</f>
        <v>67.5</v>
      </c>
      <c r="BQ74" s="5281"/>
      <c r="BR74" s="5282"/>
      <c r="BS74" s="5280">
        <f>SUM(AR74+BA74+BJ74)</f>
        <v>0</v>
      </c>
      <c r="BT74" s="5281"/>
      <c r="BU74" s="5282"/>
      <c r="BV74" s="5280">
        <f>SUM(AU74+BD74+BM74)</f>
        <v>0</v>
      </c>
      <c r="BW74" s="5281"/>
      <c r="BX74" s="5282"/>
      <c r="BY74" s="5280">
        <f>SUM(BS74-BP74)</f>
        <v>-67.5</v>
      </c>
      <c r="BZ74" s="5281"/>
      <c r="CA74" s="5282"/>
      <c r="CB74" s="5280">
        <f>SUM(AC74+BP74)</f>
        <v>135</v>
      </c>
      <c r="CC74" s="5281"/>
      <c r="CD74" s="5282"/>
      <c r="CE74" s="5280">
        <f>SUM(AF74+BS74)</f>
        <v>0</v>
      </c>
      <c r="CF74" s="5281"/>
      <c r="CG74" s="5282"/>
      <c r="CH74" s="5280">
        <f>SUM(AI74+BV74)</f>
        <v>0</v>
      </c>
      <c r="CI74" s="5281"/>
      <c r="CJ74" s="5282"/>
      <c r="CK74" s="5280">
        <f>SUM(CE74-CB74)</f>
        <v>-135</v>
      </c>
      <c r="CL74" s="5281"/>
      <c r="CM74" s="5282"/>
      <c r="CN74" s="5268">
        <f>SUM('ПОЛНАЯ СЕБЕСТОИМОСТЬ СТОКИ 2023'!AO186:AQ186)/3</f>
        <v>22.5</v>
      </c>
      <c r="CO74" s="5269"/>
      <c r="CP74" s="5270"/>
      <c r="CQ74" s="5268">
        <f>SUM('ПОЛНАЯ СЕБЕСТОИМОСТЬ СТОКИ 2023'!AR186:AT186)</f>
        <v>0</v>
      </c>
      <c r="CR74" s="5269"/>
      <c r="CS74" s="5270"/>
      <c r="CT74" s="5271">
        <v>0</v>
      </c>
      <c r="CU74" s="5272"/>
      <c r="CV74" s="5273"/>
      <c r="CW74" s="5268">
        <f>SUM(CN74)</f>
        <v>22.5</v>
      </c>
      <c r="CX74" s="5269"/>
      <c r="CY74" s="5270"/>
      <c r="CZ74" s="5268">
        <f>SUM('ПОЛНАЯ СЕБЕСТОИМОСТЬ СТОКИ 2023'!AU186:AW186)</f>
        <v>0</v>
      </c>
      <c r="DA74" s="5269"/>
      <c r="DB74" s="5270"/>
      <c r="DC74" s="5283">
        <v>0</v>
      </c>
      <c r="DD74" s="5284"/>
      <c r="DE74" s="5285"/>
      <c r="DF74" s="5268">
        <f>SUM(CW74)</f>
        <v>22.5</v>
      </c>
      <c r="DG74" s="5269"/>
      <c r="DH74" s="5270"/>
      <c r="DI74" s="5268">
        <f>SUM('ПОЛНАЯ СЕБЕСТОИМОСТЬ СТОКИ 2023'!AX186:AZ186)</f>
        <v>0</v>
      </c>
      <c r="DJ74" s="5269"/>
      <c r="DK74" s="5270"/>
      <c r="DL74" s="5271">
        <v>0</v>
      </c>
      <c r="DM74" s="5272"/>
      <c r="DN74" s="5273"/>
      <c r="DO74" s="5280">
        <f>SUM(CN74+CW74+DF74)</f>
        <v>67.5</v>
      </c>
      <c r="DP74" s="5281"/>
      <c r="DQ74" s="5282"/>
      <c r="DR74" s="5280">
        <f>SUM(CQ74+CZ74+DI74)</f>
        <v>0</v>
      </c>
      <c r="DS74" s="5281"/>
      <c r="DT74" s="5282"/>
      <c r="DU74" s="5280">
        <f>SUM(CT74+DC74+DL74)</f>
        <v>0</v>
      </c>
      <c r="DV74" s="5281"/>
      <c r="DW74" s="5282"/>
      <c r="DX74" s="5280">
        <f>SUM(DR74-DO74)</f>
        <v>-67.5</v>
      </c>
      <c r="DY74" s="5281"/>
      <c r="DZ74" s="5282"/>
      <c r="EA74" s="5280">
        <f>SUM(CB74+DO74)</f>
        <v>202.5</v>
      </c>
      <c r="EB74" s="5281"/>
      <c r="EC74" s="5282"/>
      <c r="ED74" s="5280">
        <f>SUM(CE74+DR74)</f>
        <v>0</v>
      </c>
      <c r="EE74" s="5281"/>
      <c r="EF74" s="5282"/>
      <c r="EG74" s="5280">
        <f>SUM(CH74+DU74)</f>
        <v>0</v>
      </c>
      <c r="EH74" s="5281"/>
      <c r="EI74" s="5282"/>
      <c r="EJ74" s="5280">
        <f>SUM(ED74-EA74)</f>
        <v>-202.5</v>
      </c>
      <c r="EK74" s="5281"/>
      <c r="EL74" s="5282"/>
      <c r="EM74" s="5268">
        <f>SUM('ПОЛНАЯ СЕБЕСТОИМОСТЬ СТОКИ 2023'!BM186:BO186)/3</f>
        <v>22.5</v>
      </c>
      <c r="EN74" s="5269"/>
      <c r="EO74" s="5270"/>
      <c r="EP74" s="5268">
        <f>SUM('ПОЛНАЯ СЕБЕСТОИМОСТЬ СТОКИ 2023'!BP186:BR186)</f>
        <v>0</v>
      </c>
      <c r="EQ74" s="5269"/>
      <c r="ER74" s="5270"/>
      <c r="ES74" s="5271">
        <v>0</v>
      </c>
      <c r="ET74" s="5272"/>
      <c r="EU74" s="5273"/>
      <c r="EV74" s="5268">
        <f>SUM(EM74)</f>
        <v>22.5</v>
      </c>
      <c r="EW74" s="5269"/>
      <c r="EX74" s="5270"/>
      <c r="EY74" s="5268">
        <f>SUM('ПОЛНАЯ СЕБЕСТОИМОСТЬ СТОКИ 2023'!BS186:BU186)</f>
        <v>0</v>
      </c>
      <c r="EZ74" s="5269"/>
      <c r="FA74" s="5270"/>
      <c r="FB74" s="5271">
        <v>161.26</v>
      </c>
      <c r="FC74" s="5272"/>
      <c r="FD74" s="5273"/>
      <c r="FE74" s="5268">
        <f>SUM(EV74)</f>
        <v>22.5</v>
      </c>
      <c r="FF74" s="5269"/>
      <c r="FG74" s="5270"/>
      <c r="FH74" s="5268">
        <f>SUM('ПОЛНАЯ СЕБЕСТОИМОСТЬ СТОКИ 2023'!BV186:BX186)</f>
        <v>0</v>
      </c>
      <c r="FI74" s="5269"/>
      <c r="FJ74" s="5270"/>
      <c r="FK74" s="5271">
        <v>88</v>
      </c>
      <c r="FL74" s="5272"/>
      <c r="FM74" s="5273"/>
      <c r="FN74" s="5280">
        <f>SUM(EM74+EV74+FE74)</f>
        <v>67.5</v>
      </c>
      <c r="FO74" s="5281"/>
      <c r="FP74" s="5282"/>
      <c r="FQ74" s="5280">
        <f>SUM(EP74+EY74+FH74)</f>
        <v>0</v>
      </c>
      <c r="FR74" s="5281"/>
      <c r="FS74" s="5282"/>
      <c r="FT74" s="5280">
        <f>SUM(ES74+FB74+FK74)</f>
        <v>249.26</v>
      </c>
      <c r="FU74" s="5281"/>
      <c r="FV74" s="5282"/>
      <c r="FW74" s="5280">
        <f>SUM(FQ74-FN74)</f>
        <v>-67.5</v>
      </c>
      <c r="FX74" s="5281"/>
      <c r="FY74" s="5282"/>
      <c r="FZ74" s="5286">
        <f>SUM(EA74+FN74)</f>
        <v>270</v>
      </c>
      <c r="GA74" s="5287"/>
      <c r="GB74" s="5288"/>
      <c r="GC74" s="5280">
        <f>SUM(ED74+FQ74)</f>
        <v>0</v>
      </c>
      <c r="GD74" s="5281"/>
      <c r="GE74" s="5282"/>
      <c r="GF74" s="5280">
        <f>SUM(EG74+FT74)</f>
        <v>249.26</v>
      </c>
      <c r="GG74" s="5281"/>
      <c r="GH74" s="5282"/>
      <c r="GI74" s="5280">
        <f>SUM(GC74-FZ74)</f>
        <v>-270</v>
      </c>
      <c r="GJ74" s="5281"/>
      <c r="GK74" s="5282"/>
    </row>
    <row r="75" spans="1:195" ht="36" customHeight="1" x14ac:dyDescent="0.2">
      <c r="A75" s="2786" t="s">
        <v>3715</v>
      </c>
      <c r="B75" s="5268">
        <f>SUM('ПОЛНАЯ СЕБЕСТОИМОСТЬ СТОКИ 2023'!B187:D187)/3</f>
        <v>85.333333333333329</v>
      </c>
      <c r="C75" s="5269"/>
      <c r="D75" s="5270"/>
      <c r="E75" s="5268">
        <f>SUM('ПОЛНАЯ СЕБЕСТОИМОСТЬ СТОКИ 2023'!E187:G187)</f>
        <v>25.39</v>
      </c>
      <c r="F75" s="5269"/>
      <c r="G75" s="5270"/>
      <c r="H75" s="5271">
        <v>49.02205</v>
      </c>
      <c r="I75" s="5272"/>
      <c r="J75" s="5273"/>
      <c r="K75" s="5268">
        <f>SUM(B75)</f>
        <v>85.333333333333329</v>
      </c>
      <c r="L75" s="5269"/>
      <c r="M75" s="5270"/>
      <c r="N75" s="5274">
        <f>SUM('ПОЛНАЯ СЕБЕСТОИМОСТЬ СТОКИ 2023'!H187:J187)</f>
        <v>37.930660000000003</v>
      </c>
      <c r="O75" s="5275"/>
      <c r="P75" s="5276"/>
      <c r="Q75" s="5271">
        <v>29.111000000000001</v>
      </c>
      <c r="R75" s="5272"/>
      <c r="S75" s="5273"/>
      <c r="T75" s="5268">
        <f>SUM(K75)</f>
        <v>85.333333333333329</v>
      </c>
      <c r="U75" s="5269"/>
      <c r="V75" s="5270"/>
      <c r="W75" s="5268">
        <f>SUM('ПОЛНАЯ СЕБЕСТОИМОСТЬ СТОКИ 2023'!K187:M187)</f>
        <v>3.9604699999999999</v>
      </c>
      <c r="X75" s="5269"/>
      <c r="Y75" s="5270"/>
      <c r="Z75" s="5271">
        <v>30.73959</v>
      </c>
      <c r="AA75" s="5272"/>
      <c r="AB75" s="5273"/>
      <c r="AC75" s="5280">
        <f>SUM(B75+K75+T75)</f>
        <v>256</v>
      </c>
      <c r="AD75" s="5281"/>
      <c r="AE75" s="5282"/>
      <c r="AF75" s="5280">
        <f>SUM(E75+N75+W75)</f>
        <v>67.281130000000005</v>
      </c>
      <c r="AG75" s="5281"/>
      <c r="AH75" s="5282"/>
      <c r="AI75" s="5280">
        <f>SUM(H75+Q75+Z75)</f>
        <v>108.87263999999999</v>
      </c>
      <c r="AJ75" s="5281"/>
      <c r="AK75" s="5282"/>
      <c r="AL75" s="5280">
        <f>SUM(AF75-AC75)</f>
        <v>-188.71886999999998</v>
      </c>
      <c r="AM75" s="5281"/>
      <c r="AN75" s="5282"/>
      <c r="AO75" s="5268">
        <f>SUM(T75)</f>
        <v>85.333333333333329</v>
      </c>
      <c r="AP75" s="5269"/>
      <c r="AQ75" s="5270"/>
      <c r="AR75" s="5268">
        <f>SUM('ПОЛНАЯ СЕБЕСТОИМОСТЬ СТОКИ 2023'!T187:V187)</f>
        <v>20.364450000000001</v>
      </c>
      <c r="AS75" s="5269"/>
      <c r="AT75" s="5270"/>
      <c r="AU75" s="5271">
        <v>90.578999999999994</v>
      </c>
      <c r="AV75" s="5272"/>
      <c r="AW75" s="5273"/>
      <c r="AX75" s="5268">
        <f>SUM(AO75)</f>
        <v>85.333333333333329</v>
      </c>
      <c r="AY75" s="5269"/>
      <c r="AZ75" s="5270"/>
      <c r="BA75" s="5268">
        <f>SUM('ПОЛНАЯ СЕБЕСТОИМОСТЬ СТОКИ 2023'!W187:Y187)</f>
        <v>2.90022</v>
      </c>
      <c r="BB75" s="5269"/>
      <c r="BC75" s="5270"/>
      <c r="BD75" s="5271">
        <v>96.251350000000002</v>
      </c>
      <c r="BE75" s="5272"/>
      <c r="BF75" s="5273"/>
      <c r="BG75" s="5268">
        <f>SUM(AX75)</f>
        <v>85.333333333333329</v>
      </c>
      <c r="BH75" s="5269"/>
      <c r="BI75" s="5270"/>
      <c r="BJ75" s="5268">
        <f>SUM('ПОЛНАЯ СЕБЕСТОИМОСТЬ СТОКИ 2023'!Z187:AB187)</f>
        <v>6.07193</v>
      </c>
      <c r="BK75" s="5269"/>
      <c r="BL75" s="5270"/>
      <c r="BM75" s="5271">
        <v>64.2333</v>
      </c>
      <c r="BN75" s="5272"/>
      <c r="BO75" s="5273"/>
      <c r="BP75" s="5280">
        <f>SUM(AO75+AX75+BG75)</f>
        <v>256</v>
      </c>
      <c r="BQ75" s="5281"/>
      <c r="BR75" s="5282"/>
      <c r="BS75" s="5280">
        <f>SUM(AR75+BA75+BJ75)</f>
        <v>29.336600000000004</v>
      </c>
      <c r="BT75" s="5281"/>
      <c r="BU75" s="5282"/>
      <c r="BV75" s="5280">
        <f>SUM(AU75+BD75+BM75)</f>
        <v>251.06365</v>
      </c>
      <c r="BW75" s="5281"/>
      <c r="BX75" s="5282"/>
      <c r="BY75" s="5280">
        <f>SUM(BS75-BP75)</f>
        <v>-226.6634</v>
      </c>
      <c r="BZ75" s="5281"/>
      <c r="CA75" s="5282"/>
      <c r="CB75" s="5280">
        <f>SUM(AC75+BP75)</f>
        <v>512</v>
      </c>
      <c r="CC75" s="5281"/>
      <c r="CD75" s="5282"/>
      <c r="CE75" s="5280">
        <f>SUM(AF75+BS75)</f>
        <v>96.617730000000009</v>
      </c>
      <c r="CF75" s="5281"/>
      <c r="CG75" s="5282"/>
      <c r="CH75" s="5280">
        <f>SUM(AI75+BV75)</f>
        <v>359.93628999999999</v>
      </c>
      <c r="CI75" s="5281"/>
      <c r="CJ75" s="5282"/>
      <c r="CK75" s="5280">
        <f>SUM(CE75-CB75)</f>
        <v>-415.38227000000001</v>
      </c>
      <c r="CL75" s="5281"/>
      <c r="CM75" s="5282"/>
      <c r="CN75" s="5268">
        <f>SUM('ПОЛНАЯ СЕБЕСТОИМОСТЬ СТОКИ 2023'!AO187:AQ187)/3</f>
        <v>85.333333333333329</v>
      </c>
      <c r="CO75" s="5269"/>
      <c r="CP75" s="5270"/>
      <c r="CQ75" s="5268">
        <f>SUM('ПОЛНАЯ СЕБЕСТОИМОСТЬ СТОКИ 2023'!AR187:AT187)</f>
        <v>19.372520000000002</v>
      </c>
      <c r="CR75" s="5269"/>
      <c r="CS75" s="5270"/>
      <c r="CT75" s="5271">
        <v>266.46600000000001</v>
      </c>
      <c r="CU75" s="5272"/>
      <c r="CV75" s="5273"/>
      <c r="CW75" s="5268">
        <f>SUM(CN75)</f>
        <v>85.333333333333329</v>
      </c>
      <c r="CX75" s="5269"/>
      <c r="CY75" s="5270"/>
      <c r="CZ75" s="5268">
        <f>SUM('ПОЛНАЯ СЕБЕСТОИМОСТЬ СТОКИ 2023'!AU187:AW187)</f>
        <v>0</v>
      </c>
      <c r="DA75" s="5269"/>
      <c r="DB75" s="5270"/>
      <c r="DC75" s="5283">
        <v>55.406999999999996</v>
      </c>
      <c r="DD75" s="5284"/>
      <c r="DE75" s="5285"/>
      <c r="DF75" s="5268">
        <f>SUM(CW75)</f>
        <v>85.333333333333329</v>
      </c>
      <c r="DG75" s="5269"/>
      <c r="DH75" s="5270"/>
      <c r="DI75" s="5268">
        <f>SUM('ПОЛНАЯ СЕБЕСТОИМОСТЬ СТОКИ 2023'!AX187:AZ187)</f>
        <v>0</v>
      </c>
      <c r="DJ75" s="5269"/>
      <c r="DK75" s="5270"/>
      <c r="DL75" s="5271">
        <v>89.95187</v>
      </c>
      <c r="DM75" s="5272"/>
      <c r="DN75" s="5273"/>
      <c r="DO75" s="5280">
        <f>SUM(CN75+CW75+DF75)</f>
        <v>256</v>
      </c>
      <c r="DP75" s="5281"/>
      <c r="DQ75" s="5282"/>
      <c r="DR75" s="5280">
        <f>SUM(CQ75+CZ75+DI75)</f>
        <v>19.372520000000002</v>
      </c>
      <c r="DS75" s="5281"/>
      <c r="DT75" s="5282"/>
      <c r="DU75" s="5280">
        <f>SUM(CT75+DC75+DL75)</f>
        <v>411.82486999999998</v>
      </c>
      <c r="DV75" s="5281"/>
      <c r="DW75" s="5282"/>
      <c r="DX75" s="5280">
        <f>SUM(DR75-DO75)</f>
        <v>-236.62747999999999</v>
      </c>
      <c r="DY75" s="5281"/>
      <c r="DZ75" s="5282"/>
      <c r="EA75" s="5280">
        <f>SUM(CB75+DO75)</f>
        <v>768</v>
      </c>
      <c r="EB75" s="5281"/>
      <c r="EC75" s="5282"/>
      <c r="ED75" s="5280">
        <f>SUM(CE75+DR75)</f>
        <v>115.99025</v>
      </c>
      <c r="EE75" s="5281"/>
      <c r="EF75" s="5282"/>
      <c r="EG75" s="5280">
        <f>SUM(CH75+DU75)</f>
        <v>771.76116000000002</v>
      </c>
      <c r="EH75" s="5281"/>
      <c r="EI75" s="5282"/>
      <c r="EJ75" s="5280">
        <f>SUM(ED75-EA75)</f>
        <v>-652.00974999999994</v>
      </c>
      <c r="EK75" s="5281"/>
      <c r="EL75" s="5282"/>
      <c r="EM75" s="5268">
        <f>SUM('ПОЛНАЯ СЕБЕСТОИМОСТЬ СТОКИ 2023'!BM187:BO187)/3</f>
        <v>85.333333333333329</v>
      </c>
      <c r="EN75" s="5269"/>
      <c r="EO75" s="5270"/>
      <c r="EP75" s="5268">
        <f>SUM('ПОЛНАЯ СЕБЕСТОИМОСТЬ СТОКИ 2023'!BP187:BR187)</f>
        <v>0</v>
      </c>
      <c r="EQ75" s="5269"/>
      <c r="ER75" s="5270"/>
      <c r="ES75" s="5271">
        <v>91.698999999999998</v>
      </c>
      <c r="ET75" s="5272"/>
      <c r="EU75" s="5273"/>
      <c r="EV75" s="5268">
        <f>SUM(EM75)</f>
        <v>85.333333333333329</v>
      </c>
      <c r="EW75" s="5269"/>
      <c r="EX75" s="5270"/>
      <c r="EY75" s="5268">
        <f>SUM('ПОЛНАЯ СЕБЕСТОИМОСТЬ СТОКИ 2023'!BS187:BU187)</f>
        <v>0</v>
      </c>
      <c r="EZ75" s="5269"/>
      <c r="FA75" s="5270"/>
      <c r="FB75" s="5271">
        <v>70.450360000000003</v>
      </c>
      <c r="FC75" s="5272"/>
      <c r="FD75" s="5273"/>
      <c r="FE75" s="5268">
        <f>SUM(EV75)</f>
        <v>85.333333333333329</v>
      </c>
      <c r="FF75" s="5269"/>
      <c r="FG75" s="5270"/>
      <c r="FH75" s="5268">
        <f>SUM('ПОЛНАЯ СЕБЕСТОИМОСТЬ СТОКИ 2023'!BV187:BX187)</f>
        <v>0</v>
      </c>
      <c r="FI75" s="5269"/>
      <c r="FJ75" s="5270"/>
      <c r="FK75" s="5271">
        <v>63.80621</v>
      </c>
      <c r="FL75" s="5272"/>
      <c r="FM75" s="5273"/>
      <c r="FN75" s="5280">
        <f>SUM(EM75+EV75+FE75)</f>
        <v>256</v>
      </c>
      <c r="FO75" s="5281"/>
      <c r="FP75" s="5282"/>
      <c r="FQ75" s="5280">
        <f>SUM(EP75+EY75+FH75)</f>
        <v>0</v>
      </c>
      <c r="FR75" s="5281"/>
      <c r="FS75" s="5282"/>
      <c r="FT75" s="5280">
        <f>SUM(ES75+FB75+FK75)</f>
        <v>225.95556999999999</v>
      </c>
      <c r="FU75" s="5281"/>
      <c r="FV75" s="5282"/>
      <c r="FW75" s="5280">
        <f>SUM(FQ75-FN75)</f>
        <v>-256</v>
      </c>
      <c r="FX75" s="5281"/>
      <c r="FY75" s="5282"/>
      <c r="FZ75" s="5286">
        <f>SUM(EA75+FN75)</f>
        <v>1024</v>
      </c>
      <c r="GA75" s="5287"/>
      <c r="GB75" s="5288"/>
      <c r="GC75" s="5280">
        <f>SUM(ED75+FQ75)</f>
        <v>115.99025</v>
      </c>
      <c r="GD75" s="5281"/>
      <c r="GE75" s="5282"/>
      <c r="GF75" s="5280">
        <f>SUM(EG75+FT75)</f>
        <v>997.71672999999998</v>
      </c>
      <c r="GG75" s="5281"/>
      <c r="GH75" s="5282"/>
      <c r="GI75" s="5280">
        <f>SUM(GC75-FZ75)</f>
        <v>-908.00974999999994</v>
      </c>
      <c r="GJ75" s="5281"/>
      <c r="GK75" s="5282"/>
    </row>
    <row r="76" spans="1:195" ht="18.75" customHeight="1" x14ac:dyDescent="0.3">
      <c r="A76" s="2796" t="s">
        <v>3750</v>
      </c>
      <c r="B76" s="5262">
        <f>SUM(B63+B72)</f>
        <v>11017.129384170537</v>
      </c>
      <c r="C76" s="5263"/>
      <c r="D76" s="5264"/>
      <c r="E76" s="5262">
        <f>SUM(E63+E72)</f>
        <v>12590.351080000002</v>
      </c>
      <c r="F76" s="5263"/>
      <c r="G76" s="5264"/>
      <c r="H76" s="5262">
        <f t="shared" ref="H76" si="1006">SUM(H63+H72)</f>
        <v>8413.1867899999997</v>
      </c>
      <c r="I76" s="5263"/>
      <c r="J76" s="5264"/>
      <c r="K76" s="5262">
        <f t="shared" ref="K76" si="1007">SUM(K63+K72)</f>
        <v>11017.129384170537</v>
      </c>
      <c r="L76" s="5263"/>
      <c r="M76" s="5264"/>
      <c r="N76" s="5265">
        <f t="shared" ref="N76" si="1008">SUM(N63+N72)</f>
        <v>11014.95442</v>
      </c>
      <c r="O76" s="5266"/>
      <c r="P76" s="5267"/>
      <c r="Q76" s="5262">
        <f t="shared" ref="Q76:Z76" si="1009">SUM(Q63+Q72)</f>
        <v>7580.0189</v>
      </c>
      <c r="R76" s="5263"/>
      <c r="S76" s="5264"/>
      <c r="T76" s="5262">
        <f t="shared" si="1009"/>
        <v>11017.129384170537</v>
      </c>
      <c r="U76" s="5263"/>
      <c r="V76" s="5264"/>
      <c r="W76" s="5262">
        <f t="shared" si="1009"/>
        <v>11819.72445</v>
      </c>
      <c r="X76" s="5263"/>
      <c r="Y76" s="5264"/>
      <c r="Z76" s="5262">
        <f t="shared" si="1009"/>
        <v>12648.65343</v>
      </c>
      <c r="AA76" s="5263"/>
      <c r="AB76" s="5264"/>
      <c r="AC76" s="5259">
        <f t="shared" ref="AC76:AI76" si="1010">SUM(AC63+AC72)</f>
        <v>33051.388152511616</v>
      </c>
      <c r="AD76" s="5260"/>
      <c r="AE76" s="5261"/>
      <c r="AF76" s="5259">
        <f t="shared" si="1010"/>
        <v>35425.029950000004</v>
      </c>
      <c r="AG76" s="5260"/>
      <c r="AH76" s="5261"/>
      <c r="AI76" s="5259">
        <f t="shared" si="1010"/>
        <v>28641.859120000001</v>
      </c>
      <c r="AJ76" s="5260"/>
      <c r="AK76" s="5261"/>
      <c r="AL76" s="5289">
        <f>SUM(AF76-AC76)</f>
        <v>2373.641797488388</v>
      </c>
      <c r="AM76" s="5290"/>
      <c r="AN76" s="5291"/>
      <c r="AO76" s="5262">
        <f t="shared" ref="AO76:BM76" si="1011">SUM(AO63+AO72)</f>
        <v>11017.129384170537</v>
      </c>
      <c r="AP76" s="5263"/>
      <c r="AQ76" s="5264"/>
      <c r="AR76" s="5262">
        <f t="shared" si="1011"/>
        <v>12929.75848</v>
      </c>
      <c r="AS76" s="5263"/>
      <c r="AT76" s="5264"/>
      <c r="AU76" s="5262">
        <f t="shared" si="1011"/>
        <v>9375.2780000000002</v>
      </c>
      <c r="AV76" s="5263"/>
      <c r="AW76" s="5264"/>
      <c r="AX76" s="5262">
        <f t="shared" si="1011"/>
        <v>11017.129384170537</v>
      </c>
      <c r="AY76" s="5263"/>
      <c r="AZ76" s="5264"/>
      <c r="BA76" s="5262">
        <f t="shared" si="1011"/>
        <v>13021.153689999999</v>
      </c>
      <c r="BB76" s="5263"/>
      <c r="BC76" s="5264"/>
      <c r="BD76" s="5262">
        <f t="shared" si="1011"/>
        <v>8913.9508399999995</v>
      </c>
      <c r="BE76" s="5263"/>
      <c r="BF76" s="5264"/>
      <c r="BG76" s="5262">
        <f t="shared" si="1011"/>
        <v>11017.129384170537</v>
      </c>
      <c r="BH76" s="5263"/>
      <c r="BI76" s="5264"/>
      <c r="BJ76" s="5262">
        <f>SUM(BJ63+BJ72)</f>
        <v>12397.621160000001</v>
      </c>
      <c r="BK76" s="5263"/>
      <c r="BL76" s="5264"/>
      <c r="BM76" s="5262">
        <f t="shared" si="1011"/>
        <v>10410.274800000001</v>
      </c>
      <c r="BN76" s="5263"/>
      <c r="BO76" s="5264"/>
      <c r="BP76" s="5259">
        <f t="shared" ref="BP76:BS76" si="1012">SUM(BP63+BP72)</f>
        <v>33051.388152511616</v>
      </c>
      <c r="BQ76" s="5260"/>
      <c r="BR76" s="5261"/>
      <c r="BS76" s="5259">
        <f t="shared" si="1012"/>
        <v>38348.533329999998</v>
      </c>
      <c r="BT76" s="5260"/>
      <c r="BU76" s="5261"/>
      <c r="BV76" s="5259">
        <f>SUM(BV63+BV72)</f>
        <v>28699.503639999999</v>
      </c>
      <c r="BW76" s="5260"/>
      <c r="BX76" s="5261"/>
      <c r="BY76" s="5289">
        <f>SUM(BS76-BP76)</f>
        <v>5297.1451774883826</v>
      </c>
      <c r="BZ76" s="5290"/>
      <c r="CA76" s="5291"/>
      <c r="CB76" s="5259">
        <f t="shared" ref="CB76:CH76" si="1013">SUM(CB63+CB72)</f>
        <v>66102.776305023232</v>
      </c>
      <c r="CC76" s="5260"/>
      <c r="CD76" s="5261"/>
      <c r="CE76" s="5259">
        <f t="shared" si="1013"/>
        <v>73773.563280000002</v>
      </c>
      <c r="CF76" s="5260"/>
      <c r="CG76" s="5261"/>
      <c r="CH76" s="5259">
        <f t="shared" si="1013"/>
        <v>57341.362760000004</v>
      </c>
      <c r="CI76" s="5260"/>
      <c r="CJ76" s="5261"/>
      <c r="CK76" s="5289">
        <f>SUM(CE76-CB76)</f>
        <v>7670.7869749767706</v>
      </c>
      <c r="CL76" s="5290"/>
      <c r="CM76" s="5291"/>
      <c r="CN76" s="5262">
        <f t="shared" ref="CN76:DU76" si="1014">SUM(CN63+CN72)</f>
        <v>11017.129384170537</v>
      </c>
      <c r="CO76" s="5263"/>
      <c r="CP76" s="5264"/>
      <c r="CQ76" s="5262">
        <f t="shared" si="1014"/>
        <v>11786.435230000001</v>
      </c>
      <c r="CR76" s="5263"/>
      <c r="CS76" s="5264"/>
      <c r="CT76" s="5262">
        <f t="shared" si="1014"/>
        <v>11041.020999999999</v>
      </c>
      <c r="CU76" s="5263"/>
      <c r="CV76" s="5264"/>
      <c r="CW76" s="5262">
        <f t="shared" si="1014"/>
        <v>11017.129384170537</v>
      </c>
      <c r="CX76" s="5263"/>
      <c r="CY76" s="5264"/>
      <c r="CZ76" s="5262">
        <f t="shared" si="1014"/>
        <v>0</v>
      </c>
      <c r="DA76" s="5263"/>
      <c r="DB76" s="5264"/>
      <c r="DC76" s="5262">
        <f t="shared" si="1014"/>
        <v>9314.4658100000015</v>
      </c>
      <c r="DD76" s="5263"/>
      <c r="DE76" s="5264"/>
      <c r="DF76" s="5262">
        <f t="shared" si="1014"/>
        <v>11017.129384170537</v>
      </c>
      <c r="DG76" s="5263"/>
      <c r="DH76" s="5264"/>
      <c r="DI76" s="5262">
        <f t="shared" si="1014"/>
        <v>0</v>
      </c>
      <c r="DJ76" s="5263"/>
      <c r="DK76" s="5264"/>
      <c r="DL76" s="5262">
        <f t="shared" si="1014"/>
        <v>10210.175230000003</v>
      </c>
      <c r="DM76" s="5263"/>
      <c r="DN76" s="5264"/>
      <c r="DO76" s="5259">
        <f t="shared" si="1014"/>
        <v>33051.388152511616</v>
      </c>
      <c r="DP76" s="5260"/>
      <c r="DQ76" s="5261"/>
      <c r="DR76" s="5259">
        <f t="shared" si="1014"/>
        <v>11786.435230000001</v>
      </c>
      <c r="DS76" s="5260"/>
      <c r="DT76" s="5261"/>
      <c r="DU76" s="5259">
        <f t="shared" si="1014"/>
        <v>30565.662040000003</v>
      </c>
      <c r="DV76" s="5260"/>
      <c r="DW76" s="5261"/>
      <c r="DX76" s="5289">
        <f>SUM(DR76-DO76)</f>
        <v>-21264.952922511613</v>
      </c>
      <c r="DY76" s="5290"/>
      <c r="DZ76" s="5291"/>
      <c r="EA76" s="5259">
        <f t="shared" ref="EA76:EG76" si="1015">SUM(EA63+EA72)</f>
        <v>99154.164457534847</v>
      </c>
      <c r="EB76" s="5260"/>
      <c r="EC76" s="5261"/>
      <c r="ED76" s="5259">
        <f t="shared" si="1015"/>
        <v>85559.998510000005</v>
      </c>
      <c r="EE76" s="5260"/>
      <c r="EF76" s="5261"/>
      <c r="EG76" s="5259">
        <f t="shared" si="1015"/>
        <v>87907.024800000014</v>
      </c>
      <c r="EH76" s="5260"/>
      <c r="EI76" s="5261"/>
      <c r="EJ76" s="5289">
        <f>SUM(ED76-EA76)</f>
        <v>-13594.165947534842</v>
      </c>
      <c r="EK76" s="5290"/>
      <c r="EL76" s="5291"/>
      <c r="EM76" s="5262">
        <f t="shared" ref="EM76:FT76" si="1016">SUM(EM63+EM72)</f>
        <v>11017.129384170537</v>
      </c>
      <c r="EN76" s="5263"/>
      <c r="EO76" s="5264"/>
      <c r="EP76" s="5262">
        <f t="shared" si="1016"/>
        <v>0</v>
      </c>
      <c r="EQ76" s="5263"/>
      <c r="ER76" s="5264"/>
      <c r="ES76" s="5262">
        <f t="shared" si="1016"/>
        <v>10557.9359</v>
      </c>
      <c r="ET76" s="5263"/>
      <c r="EU76" s="5264"/>
      <c r="EV76" s="5262">
        <f t="shared" si="1016"/>
        <v>11017.129384170537</v>
      </c>
      <c r="EW76" s="5263"/>
      <c r="EX76" s="5264"/>
      <c r="EY76" s="5262">
        <f t="shared" si="1016"/>
        <v>0</v>
      </c>
      <c r="EZ76" s="5263"/>
      <c r="FA76" s="5264"/>
      <c r="FB76" s="5262">
        <f t="shared" si="1016"/>
        <v>10127.080530000001</v>
      </c>
      <c r="FC76" s="5263"/>
      <c r="FD76" s="5264"/>
      <c r="FE76" s="5262">
        <f t="shared" si="1016"/>
        <v>11017.129384170537</v>
      </c>
      <c r="FF76" s="5263"/>
      <c r="FG76" s="5264"/>
      <c r="FH76" s="5262">
        <f t="shared" si="1016"/>
        <v>0</v>
      </c>
      <c r="FI76" s="5263"/>
      <c r="FJ76" s="5264"/>
      <c r="FK76" s="5262">
        <f t="shared" si="1016"/>
        <v>11891.06373</v>
      </c>
      <c r="FL76" s="5263"/>
      <c r="FM76" s="5264"/>
      <c r="FN76" s="5259">
        <f t="shared" si="1016"/>
        <v>33051.388152511616</v>
      </c>
      <c r="FO76" s="5260"/>
      <c r="FP76" s="5261"/>
      <c r="FQ76" s="5259">
        <f t="shared" si="1016"/>
        <v>0</v>
      </c>
      <c r="FR76" s="5260"/>
      <c r="FS76" s="5261"/>
      <c r="FT76" s="5259">
        <f t="shared" si="1016"/>
        <v>32576.080160000005</v>
      </c>
      <c r="FU76" s="5260"/>
      <c r="FV76" s="5261"/>
      <c r="FW76" s="5289">
        <f>SUM(FQ76-FN76)</f>
        <v>-33051.388152511616</v>
      </c>
      <c r="FX76" s="5290"/>
      <c r="FY76" s="5291"/>
      <c r="FZ76" s="5277">
        <f t="shared" ref="FZ76:GF76" si="1017">SUM(FZ63+FZ72)</f>
        <v>132205.55261004646</v>
      </c>
      <c r="GA76" s="5278"/>
      <c r="GB76" s="5279"/>
      <c r="GC76" s="5259">
        <f t="shared" si="1017"/>
        <v>85559.998510000005</v>
      </c>
      <c r="GD76" s="5260"/>
      <c r="GE76" s="5261"/>
      <c r="GF76" s="5259">
        <f t="shared" si="1017"/>
        <v>120483.10496000003</v>
      </c>
      <c r="GG76" s="5260"/>
      <c r="GH76" s="5261"/>
      <c r="GI76" s="5289">
        <f>SUM(GC76-FZ76)</f>
        <v>-46645.554100046458</v>
      </c>
      <c r="GJ76" s="5290"/>
      <c r="GK76" s="5291"/>
    </row>
    <row r="77" spans="1:195" ht="18.75" customHeight="1" x14ac:dyDescent="0.3">
      <c r="A77" s="523"/>
      <c r="B77" s="2892"/>
      <c r="C77" s="2892"/>
      <c r="D77" s="2892"/>
      <c r="E77" s="2893"/>
      <c r="F77" s="2893"/>
      <c r="G77" s="2893"/>
      <c r="H77" s="2893"/>
      <c r="I77" s="2893"/>
      <c r="J77" s="2893"/>
      <c r="K77" s="2893"/>
      <c r="L77" s="2893"/>
      <c r="M77" s="2893"/>
      <c r="N77" s="2893"/>
      <c r="O77" s="2893"/>
      <c r="P77" s="2893"/>
      <c r="Q77" s="2893"/>
      <c r="R77" s="2893"/>
      <c r="S77" s="2893"/>
      <c r="T77" s="2893"/>
      <c r="U77" s="2893"/>
      <c r="V77" s="2893"/>
      <c r="W77" s="2893"/>
      <c r="X77" s="2893"/>
      <c r="Y77" s="2893"/>
      <c r="Z77" s="2893"/>
      <c r="AA77" s="2893"/>
      <c r="AB77" s="2893"/>
      <c r="AC77" s="2893"/>
      <c r="AD77" s="2893"/>
      <c r="AE77" s="2893"/>
      <c r="AF77" s="2893"/>
      <c r="AG77" s="2893"/>
      <c r="AH77" s="2893"/>
      <c r="AI77" s="2893"/>
      <c r="AJ77" s="2893"/>
      <c r="AK77" s="2893"/>
      <c r="AL77" s="2893"/>
      <c r="AM77" s="2893"/>
      <c r="AN77" s="2893"/>
      <c r="AO77" s="2616"/>
      <c r="AP77" s="2616"/>
      <c r="AQ77" s="2616"/>
      <c r="AR77" s="2616"/>
      <c r="AS77" s="2616"/>
      <c r="AT77" s="2616"/>
      <c r="AU77" s="2616"/>
      <c r="AV77" s="2616"/>
      <c r="AW77" s="2616"/>
      <c r="AX77" s="2616"/>
      <c r="AY77" s="2616"/>
      <c r="AZ77" s="2616"/>
      <c r="BA77" s="2616"/>
      <c r="BB77" s="2616"/>
      <c r="BC77" s="2616"/>
      <c r="BD77" s="2616"/>
      <c r="BE77" s="2616"/>
      <c r="BF77" s="2616"/>
      <c r="BG77" s="2616"/>
      <c r="BH77" s="2616"/>
      <c r="BI77" s="2616"/>
      <c r="BJ77" s="2616"/>
      <c r="BK77" s="2616"/>
      <c r="BL77" s="2616"/>
      <c r="BM77" s="2616"/>
      <c r="BN77" s="2616"/>
      <c r="BO77" s="2616"/>
      <c r="BP77" s="2616"/>
      <c r="BQ77" s="2616"/>
      <c r="BR77" s="2616"/>
      <c r="BS77" s="2616"/>
      <c r="BT77" s="2616"/>
      <c r="BU77" s="2616"/>
      <c r="BV77" s="2616"/>
      <c r="BW77" s="2616"/>
      <c r="BX77" s="2616"/>
      <c r="BY77" s="2616"/>
      <c r="BZ77" s="2616"/>
      <c r="CA77" s="2616"/>
      <c r="CB77" s="2616"/>
      <c r="CC77" s="2616"/>
      <c r="CD77" s="2616"/>
      <c r="CE77" s="2616"/>
      <c r="CF77" s="2616"/>
      <c r="CG77" s="2616"/>
      <c r="CH77" s="2616"/>
      <c r="CI77" s="2616"/>
      <c r="CJ77" s="2616"/>
      <c r="CK77" s="2616"/>
      <c r="CL77" s="2616"/>
      <c r="CM77" s="2616"/>
      <c r="CN77" s="2616"/>
      <c r="CO77" s="2616"/>
      <c r="CP77" s="2616"/>
      <c r="CQ77" s="2616"/>
      <c r="CR77" s="2616"/>
      <c r="CS77" s="2616"/>
      <c r="CT77" s="2616"/>
      <c r="CU77" s="2616"/>
      <c r="CV77" s="2616"/>
      <c r="CW77" s="2616"/>
      <c r="CX77" s="2616"/>
      <c r="CY77" s="2616"/>
      <c r="CZ77" s="2616"/>
      <c r="DA77" s="2616"/>
      <c r="DB77" s="2616"/>
      <c r="DC77" s="2616"/>
      <c r="DD77" s="2616"/>
      <c r="DE77" s="2616"/>
      <c r="DF77" s="2616"/>
      <c r="DG77" s="2616"/>
      <c r="DH77" s="2616"/>
      <c r="DI77" s="2616"/>
      <c r="DJ77" s="2616"/>
      <c r="DK77" s="2616"/>
      <c r="DL77" s="2616"/>
      <c r="DM77" s="2616"/>
      <c r="DN77" s="2616"/>
      <c r="DO77" s="2616"/>
      <c r="DP77" s="2616"/>
      <c r="DQ77" s="2616"/>
      <c r="DR77" s="2616"/>
      <c r="DS77" s="2616"/>
      <c r="DT77" s="2616"/>
      <c r="DU77" s="2616"/>
      <c r="DV77" s="2616"/>
      <c r="DW77" s="2616"/>
      <c r="DX77" s="2616"/>
      <c r="DY77" s="2616"/>
      <c r="DZ77" s="2616"/>
      <c r="EA77" s="2616"/>
      <c r="EB77" s="2616"/>
      <c r="EC77" s="2616"/>
      <c r="ED77" s="2616"/>
      <c r="EE77" s="2616"/>
      <c r="EF77" s="2616"/>
      <c r="EG77" s="2616"/>
      <c r="EH77" s="2616"/>
      <c r="EI77" s="2616"/>
      <c r="EJ77" s="2616"/>
      <c r="EK77" s="2616"/>
      <c r="EL77" s="2616"/>
      <c r="EM77" s="2616"/>
      <c r="EN77" s="2616"/>
      <c r="EO77" s="2616"/>
      <c r="EP77" s="2616"/>
      <c r="EQ77" s="2616"/>
      <c r="ER77" s="2616"/>
      <c r="ES77" s="2616"/>
      <c r="ET77" s="2616"/>
      <c r="EU77" s="2616"/>
      <c r="EV77" s="2616"/>
      <c r="EW77" s="2616"/>
      <c r="EX77" s="2616"/>
      <c r="EY77" s="2616"/>
      <c r="EZ77" s="2616"/>
      <c r="FA77" s="2616"/>
      <c r="FB77" s="2616"/>
      <c r="FC77" s="2616"/>
      <c r="FD77" s="2616"/>
      <c r="FE77" s="2616"/>
      <c r="FF77" s="2616"/>
      <c r="FG77" s="2616"/>
      <c r="FH77" s="2616"/>
      <c r="FI77" s="2616"/>
      <c r="FJ77" s="2616"/>
      <c r="FK77" s="2616"/>
      <c r="FL77" s="2616"/>
      <c r="FM77" s="2616"/>
      <c r="FN77" s="2893"/>
      <c r="FO77" s="2893"/>
      <c r="FP77" s="2893"/>
      <c r="FQ77" s="2893"/>
      <c r="FR77" s="2893"/>
      <c r="FS77" s="2893"/>
      <c r="FT77" s="2893"/>
      <c r="FU77" s="2893"/>
      <c r="FV77" s="2893"/>
      <c r="FW77" s="2893"/>
      <c r="FX77" s="2893"/>
      <c r="FY77" s="2893"/>
      <c r="FZ77" s="155"/>
      <c r="GA77" s="155"/>
      <c r="GB77" s="155"/>
      <c r="GC77" s="155"/>
      <c r="GD77" s="155"/>
      <c r="GE77" s="155"/>
      <c r="GF77" s="155"/>
      <c r="GG77" s="155"/>
      <c r="GH77" s="155"/>
      <c r="GI77" s="155"/>
      <c r="GJ77" s="155"/>
      <c r="GK77" s="155"/>
    </row>
    <row r="78" spans="1:195" ht="18.75" customHeight="1" x14ac:dyDescent="0.3">
      <c r="B78" s="2892"/>
      <c r="C78" s="2892"/>
      <c r="D78" s="2892"/>
      <c r="E78" s="2893"/>
      <c r="F78" s="2893"/>
      <c r="G78" s="2893"/>
      <c r="H78" s="2893"/>
      <c r="I78" s="2893"/>
      <c r="J78" s="2893"/>
      <c r="K78" s="2893"/>
      <c r="L78" s="2893"/>
      <c r="M78" s="2893"/>
      <c r="N78" s="2893"/>
      <c r="O78" s="2893"/>
      <c r="P78" s="2893"/>
      <c r="Q78" s="2893"/>
      <c r="R78" s="2893"/>
      <c r="S78" s="2893"/>
      <c r="T78" s="2893"/>
      <c r="U78" s="2893"/>
      <c r="V78" s="2893"/>
      <c r="W78" s="2893"/>
      <c r="X78" s="2893"/>
      <c r="Y78" s="2893"/>
      <c r="Z78" s="2893"/>
      <c r="AA78" s="2893"/>
      <c r="AB78" s="2893"/>
      <c r="AC78" s="2893"/>
      <c r="AD78" s="2893"/>
      <c r="AE78" s="2893"/>
      <c r="AF78" s="2893"/>
      <c r="AG78" s="2893"/>
      <c r="AH78" s="2893"/>
      <c r="AI78" s="2893"/>
      <c r="AJ78" s="2893"/>
      <c r="AK78" s="2893"/>
      <c r="AL78" s="2893"/>
      <c r="AM78" s="2893"/>
      <c r="AN78" s="2893"/>
      <c r="AO78" s="2616"/>
      <c r="AP78" s="2616"/>
      <c r="AQ78" s="2616"/>
      <c r="AR78" s="2616"/>
      <c r="AS78" s="2616"/>
      <c r="AT78" s="2616"/>
      <c r="AU78" s="2616"/>
      <c r="AV78" s="2616"/>
      <c r="AW78" s="2616"/>
      <c r="AX78" s="2616"/>
      <c r="AY78" s="2616"/>
      <c r="AZ78" s="2616"/>
      <c r="BA78" s="2616"/>
      <c r="BB78" s="2616"/>
      <c r="BC78" s="2616"/>
      <c r="BD78" s="2616"/>
      <c r="BE78" s="2616"/>
      <c r="BF78" s="2616"/>
      <c r="BG78" s="2616"/>
      <c r="BH78" s="2616"/>
      <c r="BI78" s="2616"/>
      <c r="BJ78" s="2616"/>
      <c r="BK78" s="2616"/>
      <c r="BL78" s="2616"/>
      <c r="BM78" s="2616"/>
      <c r="BN78" s="2616"/>
      <c r="BO78" s="2616"/>
      <c r="BP78" s="2616"/>
      <c r="BQ78" s="2616"/>
      <c r="BR78" s="2616"/>
      <c r="BS78" s="2616"/>
      <c r="BT78" s="2616"/>
      <c r="BU78" s="2616"/>
      <c r="BV78" s="2616"/>
      <c r="BW78" s="2616"/>
      <c r="BX78" s="2616"/>
      <c r="BY78" s="2616"/>
      <c r="BZ78" s="2616"/>
      <c r="CA78" s="2616"/>
      <c r="CB78" s="2616"/>
      <c r="CC78" s="2616"/>
      <c r="CD78" s="2616"/>
      <c r="CE78" s="2616"/>
      <c r="CF78" s="2616"/>
      <c r="CG78" s="2616"/>
      <c r="CH78" s="2616"/>
      <c r="CI78" s="2616"/>
      <c r="CJ78" s="2616"/>
      <c r="CK78" s="2616"/>
      <c r="CL78" s="2616"/>
      <c r="CM78" s="2616"/>
      <c r="CN78" s="2616"/>
      <c r="CO78" s="2616"/>
      <c r="CP78" s="2616"/>
      <c r="CQ78" s="2616"/>
      <c r="CR78" s="2616"/>
      <c r="CS78" s="2616"/>
      <c r="CT78" s="2616"/>
      <c r="CU78" s="2616"/>
      <c r="CV78" s="2616"/>
      <c r="CW78" s="2616"/>
      <c r="CX78" s="2616"/>
      <c r="CY78" s="2616"/>
      <c r="CZ78" s="2616"/>
      <c r="DA78" s="2616"/>
      <c r="DB78" s="2616"/>
      <c r="DC78" s="2616"/>
      <c r="DD78" s="2616"/>
      <c r="DE78" s="2616"/>
      <c r="DF78" s="2616"/>
      <c r="DG78" s="2616"/>
      <c r="DH78" s="2616"/>
      <c r="DI78" s="2616"/>
      <c r="DJ78" s="2616"/>
      <c r="DK78" s="2616"/>
      <c r="DL78" s="2616"/>
      <c r="DM78" s="2616"/>
      <c r="DN78" s="2616"/>
      <c r="DO78" s="2616"/>
      <c r="DP78" s="2616"/>
      <c r="DQ78" s="2616"/>
      <c r="DR78" s="2616"/>
      <c r="DS78" s="2616"/>
      <c r="DT78" s="2616"/>
      <c r="DU78" s="2616"/>
      <c r="DV78" s="2616"/>
      <c r="DW78" s="2616"/>
      <c r="DX78" s="2616"/>
      <c r="DY78" s="2616"/>
      <c r="DZ78" s="2616"/>
      <c r="EA78" s="2616"/>
      <c r="EB78" s="2616"/>
      <c r="EC78" s="2616"/>
      <c r="ED78" s="2616"/>
      <c r="EE78" s="2616"/>
      <c r="EF78" s="2616"/>
      <c r="EG78" s="2616"/>
      <c r="EH78" s="2616"/>
      <c r="EI78" s="2616"/>
      <c r="EJ78" s="2616"/>
      <c r="EK78" s="2616"/>
      <c r="EL78" s="2616"/>
      <c r="EM78" s="2616"/>
      <c r="EN78" s="2616"/>
      <c r="EO78" s="2616"/>
      <c r="EP78" s="2616"/>
      <c r="EQ78" s="2616"/>
      <c r="ER78" s="2616"/>
      <c r="ES78" s="2616"/>
      <c r="ET78" s="2616"/>
      <c r="EU78" s="2616"/>
      <c r="EV78" s="2616"/>
      <c r="EW78" s="2616"/>
      <c r="EX78" s="2616"/>
      <c r="EY78" s="2616"/>
      <c r="EZ78" s="2616"/>
      <c r="FA78" s="2616"/>
      <c r="FB78" s="2616"/>
      <c r="FC78" s="2616"/>
      <c r="FD78" s="2616"/>
      <c r="FE78" s="2616"/>
      <c r="FF78" s="2616"/>
      <c r="FG78" s="2616"/>
      <c r="FH78" s="2616"/>
      <c r="FI78" s="2616"/>
      <c r="FJ78" s="2616"/>
      <c r="FK78" s="2616"/>
      <c r="FL78" s="2616"/>
      <c r="FM78" s="2616"/>
      <c r="FN78" s="2893"/>
      <c r="FO78" s="2893"/>
      <c r="FP78" s="2893"/>
      <c r="FQ78" s="2893"/>
      <c r="FR78" s="2893"/>
      <c r="FS78" s="2893"/>
      <c r="FT78" s="2893"/>
      <c r="FU78" s="2893"/>
      <c r="FV78" s="2893"/>
      <c r="FW78" s="2893"/>
      <c r="FX78" s="2893"/>
      <c r="FY78" s="2893"/>
      <c r="FZ78" s="155"/>
      <c r="GA78" s="155"/>
      <c r="GB78" s="155"/>
      <c r="GC78" s="155"/>
      <c r="GD78" s="155"/>
      <c r="GE78" s="155"/>
      <c r="GF78" s="155"/>
      <c r="GG78" s="155"/>
      <c r="GH78" s="155"/>
      <c r="GI78" s="155"/>
      <c r="GJ78" s="155"/>
      <c r="GK78" s="155"/>
    </row>
    <row r="79" spans="1:195" ht="18.75" customHeight="1" x14ac:dyDescent="0.3">
      <c r="B79" s="2892"/>
      <c r="C79" s="2892"/>
      <c r="D79" s="2892"/>
      <c r="E79" s="2893"/>
      <c r="F79" s="2893"/>
      <c r="G79" s="2893"/>
      <c r="H79" s="2893"/>
      <c r="I79" s="2893"/>
      <c r="J79" s="2893"/>
      <c r="K79" s="2893"/>
      <c r="L79" s="2893"/>
      <c r="M79" s="2893"/>
      <c r="N79" s="2893"/>
      <c r="O79" s="2893"/>
      <c r="P79" s="2893"/>
      <c r="Q79" s="2893"/>
      <c r="R79" s="2893"/>
      <c r="S79" s="2893"/>
      <c r="T79" s="2893"/>
      <c r="U79" s="2893"/>
      <c r="V79" s="2893"/>
      <c r="W79" s="2893"/>
      <c r="X79" s="2893"/>
      <c r="Y79" s="2893"/>
      <c r="Z79" s="2893"/>
      <c r="AA79" s="2893"/>
      <c r="AB79" s="2893"/>
      <c r="AC79" s="2893"/>
      <c r="AD79" s="2893"/>
      <c r="AE79" s="2893"/>
      <c r="AF79" s="2893"/>
      <c r="AG79" s="2893"/>
      <c r="AH79" s="2893"/>
      <c r="AI79" s="2893"/>
      <c r="AJ79" s="2893"/>
      <c r="AK79" s="2893"/>
      <c r="AL79" s="2893"/>
      <c r="AM79" s="2893"/>
      <c r="AN79" s="2893"/>
      <c r="AO79" s="2616"/>
      <c r="AP79" s="2616"/>
      <c r="AQ79" s="2616"/>
      <c r="AR79" s="2616"/>
      <c r="AS79" s="2616"/>
      <c r="AT79" s="2616"/>
      <c r="AU79" s="2616"/>
      <c r="AV79" s="2616"/>
      <c r="AW79" s="2616"/>
      <c r="AX79" s="2616"/>
      <c r="AY79" s="2616"/>
      <c r="AZ79" s="2616"/>
      <c r="BA79" s="2616"/>
      <c r="BB79" s="2616"/>
      <c r="BC79" s="2616"/>
      <c r="BD79" s="2616"/>
      <c r="BE79" s="2616"/>
      <c r="BF79" s="2616"/>
      <c r="BG79" s="2616"/>
      <c r="BH79" s="2616"/>
      <c r="BI79" s="2616"/>
      <c r="BJ79" s="2616"/>
      <c r="BK79" s="2616"/>
      <c r="BL79" s="2616"/>
      <c r="BM79" s="2616"/>
      <c r="BN79" s="2616"/>
      <c r="BO79" s="2616"/>
      <c r="BP79" s="2616"/>
      <c r="BQ79" s="2616"/>
      <c r="BR79" s="2616"/>
      <c r="BS79" s="2616"/>
      <c r="BT79" s="2616"/>
      <c r="BU79" s="2616"/>
      <c r="BV79" s="2616"/>
      <c r="BW79" s="2616"/>
      <c r="BX79" s="2616"/>
      <c r="BY79" s="2616"/>
      <c r="BZ79" s="2616"/>
      <c r="CA79" s="2616"/>
      <c r="CB79" s="2616"/>
      <c r="CC79" s="2616"/>
      <c r="CD79" s="2616"/>
      <c r="CE79" s="2616"/>
      <c r="CF79" s="2616"/>
      <c r="CG79" s="2616"/>
      <c r="CH79" s="2616"/>
      <c r="CI79" s="2616"/>
      <c r="CJ79" s="2616"/>
      <c r="CK79" s="2616"/>
      <c r="CL79" s="2616"/>
      <c r="CM79" s="2616"/>
      <c r="CN79" s="2616"/>
      <c r="CO79" s="2616"/>
      <c r="CP79" s="2616"/>
      <c r="CQ79" s="2616"/>
      <c r="CR79" s="2616"/>
      <c r="CS79" s="2616"/>
      <c r="CT79" s="2616"/>
      <c r="CU79" s="2616"/>
      <c r="CV79" s="2616"/>
      <c r="CW79" s="2616"/>
      <c r="CX79" s="2616"/>
      <c r="CY79" s="2616"/>
      <c r="CZ79" s="2616"/>
      <c r="DA79" s="2616"/>
      <c r="DB79" s="2616"/>
      <c r="DC79" s="2616"/>
      <c r="DD79" s="2616"/>
      <c r="DE79" s="2616"/>
      <c r="DF79" s="2616"/>
      <c r="DG79" s="2616"/>
      <c r="DH79" s="2616"/>
      <c r="DI79" s="2616"/>
      <c r="DJ79" s="2616"/>
      <c r="DK79" s="2616"/>
      <c r="DL79" s="2616"/>
      <c r="DM79" s="2616"/>
      <c r="DN79" s="2616"/>
      <c r="DO79" s="2616"/>
      <c r="DP79" s="2616"/>
      <c r="DQ79" s="2616"/>
      <c r="DR79" s="2616"/>
      <c r="DS79" s="2616"/>
      <c r="DT79" s="2616"/>
      <c r="DU79" s="2616"/>
      <c r="DV79" s="2616"/>
      <c r="DW79" s="2616"/>
      <c r="DX79" s="2616"/>
      <c r="DY79" s="2616"/>
      <c r="DZ79" s="2616"/>
      <c r="EA79" s="2616"/>
      <c r="EB79" s="2616"/>
      <c r="EC79" s="2616"/>
      <c r="ED79" s="2616"/>
      <c r="EE79" s="2616"/>
      <c r="EF79" s="2616"/>
      <c r="EG79" s="2616"/>
      <c r="EH79" s="2616"/>
      <c r="EI79" s="2616"/>
      <c r="EJ79" s="2616"/>
      <c r="EK79" s="2616"/>
      <c r="EL79" s="2616"/>
      <c r="EM79" s="2616"/>
      <c r="EN79" s="2616"/>
      <c r="EO79" s="2616"/>
      <c r="EP79" s="2616"/>
      <c r="EQ79" s="2616"/>
      <c r="ER79" s="2616"/>
      <c r="ES79" s="2616"/>
      <c r="ET79" s="2616"/>
      <c r="EU79" s="2616"/>
      <c r="EV79" s="2616"/>
      <c r="EW79" s="2616"/>
      <c r="EX79" s="2616"/>
      <c r="EY79" s="2616"/>
      <c r="EZ79" s="2616"/>
      <c r="FA79" s="2616"/>
      <c r="FB79" s="2616"/>
      <c r="FC79" s="2616"/>
      <c r="FD79" s="2616"/>
      <c r="FE79" s="2616"/>
      <c r="FF79" s="2616"/>
      <c r="FG79" s="2616"/>
      <c r="FH79" s="2616"/>
      <c r="FI79" s="2616"/>
      <c r="FJ79" s="2616"/>
      <c r="FK79" s="2616"/>
      <c r="FL79" s="2616"/>
      <c r="FM79" s="2616"/>
      <c r="FN79" s="2893"/>
      <c r="FO79" s="2893"/>
      <c r="FP79" s="2893"/>
      <c r="FQ79" s="2893"/>
      <c r="FR79" s="2893"/>
      <c r="FS79" s="2893"/>
      <c r="FT79" s="2893"/>
      <c r="FU79" s="2893"/>
      <c r="FV79" s="2893"/>
      <c r="FW79" s="2893"/>
      <c r="FX79" s="2893"/>
      <c r="FY79" s="2893"/>
      <c r="FZ79" s="155"/>
      <c r="GA79" s="155"/>
      <c r="GB79" s="155"/>
      <c r="GC79" s="155"/>
      <c r="GD79" s="155"/>
      <c r="GE79" s="155"/>
      <c r="GF79" s="155"/>
      <c r="GG79" s="155"/>
      <c r="GH79" s="155"/>
      <c r="GI79" s="155"/>
      <c r="GJ79" s="155"/>
      <c r="GK79" s="155"/>
    </row>
    <row r="80" spans="1:195" ht="18.75" customHeight="1" x14ac:dyDescent="0.3">
      <c r="B80" s="2892"/>
      <c r="C80" s="2892"/>
      <c r="D80" s="2892"/>
      <c r="E80" s="2893"/>
      <c r="F80" s="2893"/>
      <c r="G80" s="2893"/>
      <c r="H80" s="2893"/>
      <c r="I80" s="2893"/>
      <c r="J80" s="2893"/>
      <c r="K80" s="2893"/>
      <c r="L80" s="2893"/>
      <c r="M80" s="2893"/>
      <c r="N80" s="2893"/>
      <c r="O80" s="2893"/>
      <c r="P80" s="2893"/>
      <c r="Q80" s="2893"/>
      <c r="R80" s="2893"/>
      <c r="S80" s="2893"/>
      <c r="T80" s="2893"/>
      <c r="U80" s="2893"/>
      <c r="V80" s="2893"/>
      <c r="W80" s="2893"/>
      <c r="X80" s="2893"/>
      <c r="Y80" s="2893"/>
      <c r="Z80" s="2893"/>
      <c r="AA80" s="2893"/>
      <c r="AB80" s="2893"/>
      <c r="AC80" s="2893"/>
      <c r="AD80" s="2893"/>
      <c r="AE80" s="2893"/>
      <c r="AF80" s="2893"/>
      <c r="AG80" s="2893"/>
      <c r="AH80" s="2893"/>
      <c r="AI80" s="2893"/>
      <c r="AJ80" s="2893"/>
      <c r="AK80" s="2893"/>
      <c r="AL80" s="2893"/>
      <c r="AM80" s="2893"/>
      <c r="AN80" s="2893"/>
      <c r="AO80" s="2616"/>
      <c r="AP80" s="2616"/>
      <c r="AQ80" s="2616"/>
      <c r="AR80" s="2616"/>
      <c r="AS80" s="2616"/>
      <c r="AT80" s="2616"/>
      <c r="AU80" s="2616"/>
      <c r="AV80" s="2616"/>
      <c r="AW80" s="2616"/>
      <c r="AX80" s="2616"/>
      <c r="AY80" s="2616"/>
      <c r="AZ80" s="2616"/>
      <c r="BA80" s="2616"/>
      <c r="BB80" s="2616"/>
      <c r="BC80" s="2616"/>
      <c r="BD80" s="2616"/>
      <c r="BE80" s="2616"/>
      <c r="BF80" s="2616"/>
      <c r="BG80" s="2616"/>
      <c r="BH80" s="2616"/>
      <c r="BI80" s="2616"/>
      <c r="BJ80" s="2616"/>
      <c r="BK80" s="2616"/>
      <c r="BL80" s="2616"/>
      <c r="BM80" s="2616"/>
      <c r="BN80" s="2616"/>
      <c r="BO80" s="2616"/>
      <c r="BP80" s="2616"/>
      <c r="BQ80" s="2616"/>
      <c r="BR80" s="2616"/>
      <c r="BS80" s="2616"/>
      <c r="BT80" s="2616"/>
      <c r="BU80" s="2616"/>
      <c r="BV80" s="2616"/>
      <c r="BW80" s="2616"/>
      <c r="BX80" s="2616"/>
      <c r="BY80" s="2616"/>
      <c r="BZ80" s="2616"/>
      <c r="CA80" s="2616"/>
      <c r="CB80" s="2616"/>
      <c r="CC80" s="2616"/>
      <c r="CD80" s="2616"/>
      <c r="CE80" s="2616"/>
      <c r="CF80" s="2616"/>
      <c r="CG80" s="2616"/>
      <c r="CH80" s="2616"/>
      <c r="CI80" s="2616"/>
      <c r="CJ80" s="2616"/>
      <c r="CK80" s="2616"/>
      <c r="CL80" s="2616"/>
      <c r="CM80" s="2616"/>
      <c r="CN80" s="2616"/>
      <c r="CO80" s="2616"/>
      <c r="CP80" s="2616"/>
      <c r="CQ80" s="2616"/>
      <c r="CR80" s="2616"/>
      <c r="CS80" s="2616"/>
      <c r="CT80" s="2616"/>
      <c r="CU80" s="2616"/>
      <c r="CV80" s="2616"/>
      <c r="CW80" s="2616"/>
      <c r="CX80" s="2616"/>
      <c r="CY80" s="2616"/>
      <c r="CZ80" s="2616"/>
      <c r="DA80" s="2616"/>
      <c r="DB80" s="2616"/>
      <c r="DC80" s="2616"/>
      <c r="DD80" s="2616"/>
      <c r="DE80" s="2616"/>
      <c r="DF80" s="2616"/>
      <c r="DG80" s="2616"/>
      <c r="DH80" s="2616"/>
      <c r="DI80" s="2616"/>
      <c r="DJ80" s="2616"/>
      <c r="DK80" s="2616"/>
      <c r="DL80" s="2616"/>
      <c r="DM80" s="2616"/>
      <c r="DN80" s="2616"/>
      <c r="DO80" s="2616"/>
      <c r="DP80" s="2616"/>
      <c r="DQ80" s="2616"/>
      <c r="DR80" s="2616"/>
      <c r="DS80" s="2616"/>
      <c r="DT80" s="2616"/>
      <c r="DU80" s="2616"/>
      <c r="DV80" s="2616"/>
      <c r="DW80" s="2616"/>
      <c r="DX80" s="2616"/>
      <c r="DY80" s="2616"/>
      <c r="DZ80" s="2616"/>
      <c r="EA80" s="2616"/>
      <c r="EB80" s="2616"/>
      <c r="EC80" s="2616"/>
      <c r="ED80" s="2616"/>
      <c r="EE80" s="2616"/>
      <c r="EF80" s="2616"/>
      <c r="EG80" s="2616"/>
      <c r="EH80" s="2616"/>
      <c r="EI80" s="2616"/>
      <c r="EJ80" s="2616"/>
      <c r="EK80" s="2616"/>
      <c r="EL80" s="2616"/>
      <c r="EM80" s="2616"/>
      <c r="EN80" s="2616"/>
      <c r="EO80" s="2616"/>
      <c r="EP80" s="2616"/>
      <c r="EQ80" s="2616"/>
      <c r="ER80" s="2616"/>
      <c r="ES80" s="2616"/>
      <c r="ET80" s="2616"/>
      <c r="EU80" s="2616"/>
      <c r="EV80" s="2616"/>
      <c r="EW80" s="2616"/>
      <c r="EX80" s="2616"/>
      <c r="EY80" s="2616"/>
      <c r="EZ80" s="2616"/>
      <c r="FA80" s="2616"/>
      <c r="FB80" s="2616"/>
      <c r="FC80" s="2616"/>
      <c r="FD80" s="2616"/>
      <c r="FE80" s="2616"/>
      <c r="FF80" s="2616"/>
      <c r="FG80" s="2616"/>
      <c r="FH80" s="2616"/>
      <c r="FI80" s="2616"/>
      <c r="FJ80" s="2616"/>
      <c r="FK80" s="2616"/>
      <c r="FL80" s="2616"/>
      <c r="FM80" s="2616"/>
      <c r="FN80" s="2893"/>
      <c r="FO80" s="2893"/>
      <c r="FP80" s="2893"/>
      <c r="FQ80" s="2893"/>
      <c r="FR80" s="2893"/>
      <c r="FS80" s="2893"/>
      <c r="FT80" s="2893"/>
      <c r="FU80" s="2893"/>
      <c r="FV80" s="2893"/>
      <c r="FW80" s="2893"/>
      <c r="FX80" s="2893"/>
      <c r="FY80" s="2893"/>
      <c r="FZ80" s="155"/>
      <c r="GA80" s="155"/>
      <c r="GB80" s="155"/>
      <c r="GC80" s="155"/>
      <c r="GD80" s="155"/>
      <c r="GE80" s="155"/>
      <c r="GF80" s="155"/>
      <c r="GG80" s="155"/>
      <c r="GH80" s="155"/>
      <c r="GI80" s="155"/>
      <c r="GJ80" s="155"/>
      <c r="GK80" s="155"/>
    </row>
    <row r="81" spans="2:193" ht="18.75" customHeight="1" x14ac:dyDescent="0.3">
      <c r="B81" s="2892"/>
      <c r="C81" s="2892"/>
      <c r="D81" s="2892"/>
      <c r="E81" s="2893"/>
      <c r="F81" s="2893"/>
      <c r="G81" s="2893"/>
      <c r="H81" s="2893"/>
      <c r="I81" s="2893"/>
      <c r="J81" s="2893"/>
      <c r="K81" s="2893"/>
      <c r="L81" s="2893"/>
      <c r="M81" s="2893"/>
      <c r="N81" s="2893"/>
      <c r="O81" s="2893"/>
      <c r="P81" s="2893"/>
      <c r="Q81" s="2893"/>
      <c r="R81" s="2893"/>
      <c r="S81" s="2893"/>
      <c r="T81" s="2893"/>
      <c r="U81" s="2893"/>
      <c r="V81" s="2893"/>
      <c r="W81" s="2893"/>
      <c r="X81" s="2893"/>
      <c r="Y81" s="2893"/>
      <c r="Z81" s="2893"/>
      <c r="AA81" s="2893"/>
      <c r="AB81" s="2893"/>
      <c r="AC81" s="2893"/>
      <c r="AD81" s="2893"/>
      <c r="AE81" s="2893"/>
      <c r="AF81" s="2893"/>
      <c r="AG81" s="2893"/>
      <c r="AH81" s="2893"/>
      <c r="AI81" s="2893"/>
      <c r="AJ81" s="2893"/>
      <c r="AK81" s="2893"/>
      <c r="AL81" s="2893"/>
      <c r="AM81" s="2893"/>
      <c r="AN81" s="2893"/>
      <c r="AO81" s="2616"/>
      <c r="AP81" s="2616"/>
      <c r="AQ81" s="2616"/>
      <c r="AR81" s="2616"/>
      <c r="AS81" s="2616"/>
      <c r="AT81" s="2616"/>
      <c r="AU81" s="2616"/>
      <c r="AV81" s="2616"/>
      <c r="AW81" s="2616"/>
      <c r="AX81" s="2616"/>
      <c r="AY81" s="2616"/>
      <c r="AZ81" s="2616"/>
      <c r="BA81" s="2616"/>
      <c r="BB81" s="2616"/>
      <c r="BC81" s="2616"/>
      <c r="BD81" s="2616"/>
      <c r="BE81" s="2616"/>
      <c r="BF81" s="2616"/>
      <c r="BG81" s="2616"/>
      <c r="BH81" s="2616"/>
      <c r="BI81" s="2616"/>
      <c r="BJ81" s="2616"/>
      <c r="BK81" s="2616"/>
      <c r="BL81" s="2616"/>
      <c r="BM81" s="2616"/>
      <c r="BN81" s="2616"/>
      <c r="BO81" s="2616"/>
      <c r="BP81" s="2616"/>
      <c r="BQ81" s="2616"/>
      <c r="BR81" s="2616"/>
      <c r="BS81" s="2616"/>
      <c r="BT81" s="2616"/>
      <c r="BU81" s="2616"/>
      <c r="BV81" s="2616"/>
      <c r="BW81" s="2616"/>
      <c r="BX81" s="2616"/>
      <c r="BY81" s="2616"/>
      <c r="BZ81" s="2616"/>
      <c r="CA81" s="2616"/>
      <c r="CB81" s="2616"/>
      <c r="CC81" s="2616"/>
      <c r="CD81" s="2616"/>
      <c r="CE81" s="2616"/>
      <c r="CF81" s="2616"/>
      <c r="CG81" s="2616"/>
      <c r="CH81" s="2616"/>
      <c r="CI81" s="2616"/>
      <c r="CJ81" s="2616"/>
      <c r="CK81" s="2616"/>
      <c r="CL81" s="2616"/>
      <c r="CM81" s="2616"/>
      <c r="CN81" s="2616"/>
      <c r="CO81" s="2616"/>
      <c r="CP81" s="2616"/>
      <c r="CQ81" s="2616"/>
      <c r="CR81" s="2616"/>
      <c r="CS81" s="2616"/>
      <c r="CT81" s="2616"/>
      <c r="CU81" s="2616"/>
      <c r="CV81" s="2616"/>
      <c r="CW81" s="2616"/>
      <c r="CX81" s="2616"/>
      <c r="CY81" s="2616"/>
      <c r="CZ81" s="2616"/>
      <c r="DA81" s="2616"/>
      <c r="DB81" s="2616"/>
      <c r="DC81" s="2616"/>
      <c r="DD81" s="2616"/>
      <c r="DE81" s="2616"/>
      <c r="DF81" s="2616"/>
      <c r="DG81" s="2616"/>
      <c r="DH81" s="2616"/>
      <c r="DI81" s="2616"/>
      <c r="DJ81" s="2616"/>
      <c r="DK81" s="2616"/>
      <c r="DL81" s="2616"/>
      <c r="DM81" s="2616"/>
      <c r="DN81" s="2616"/>
      <c r="DO81" s="2616"/>
      <c r="DP81" s="2616"/>
      <c r="DQ81" s="2616"/>
      <c r="DR81" s="2616"/>
      <c r="DS81" s="2616"/>
      <c r="DT81" s="2616"/>
      <c r="DU81" s="2616"/>
      <c r="DV81" s="2616"/>
      <c r="DW81" s="2616"/>
      <c r="DX81" s="2616"/>
      <c r="DY81" s="2616"/>
      <c r="DZ81" s="2616"/>
      <c r="EA81" s="2616"/>
      <c r="EB81" s="2616"/>
      <c r="EC81" s="2616"/>
      <c r="ED81" s="2616"/>
      <c r="EE81" s="2616"/>
      <c r="EF81" s="2616"/>
      <c r="EG81" s="2616"/>
      <c r="EH81" s="2616"/>
      <c r="EI81" s="2616"/>
      <c r="EJ81" s="2616"/>
      <c r="EK81" s="2616"/>
      <c r="EL81" s="2616"/>
      <c r="EM81" s="2616"/>
      <c r="EN81" s="2616"/>
      <c r="EO81" s="2616"/>
      <c r="EP81" s="2616"/>
      <c r="EQ81" s="2616"/>
      <c r="ER81" s="2616"/>
      <c r="ES81" s="2616"/>
      <c r="ET81" s="2616"/>
      <c r="EU81" s="2616"/>
      <c r="EV81" s="2616"/>
      <c r="EW81" s="2616"/>
      <c r="EX81" s="2616"/>
      <c r="EY81" s="2616"/>
      <c r="EZ81" s="2616"/>
      <c r="FA81" s="2616"/>
      <c r="FB81" s="2616"/>
      <c r="FC81" s="2616"/>
      <c r="FD81" s="2616"/>
      <c r="FE81" s="2616"/>
      <c r="FF81" s="2616"/>
      <c r="FG81" s="2616"/>
      <c r="FH81" s="2616"/>
      <c r="FI81" s="2616"/>
      <c r="FJ81" s="2616"/>
      <c r="FK81" s="2616"/>
      <c r="FL81" s="2616"/>
      <c r="FM81" s="2616"/>
      <c r="FN81" s="2893"/>
      <c r="FO81" s="2893"/>
      <c r="FP81" s="2893"/>
      <c r="FQ81" s="2893"/>
      <c r="FR81" s="2893"/>
      <c r="FS81" s="2893"/>
      <c r="FT81" s="2893"/>
      <c r="FU81" s="2893"/>
      <c r="FV81" s="2893"/>
      <c r="FW81" s="2893"/>
      <c r="FX81" s="2893"/>
      <c r="FY81" s="2893"/>
      <c r="FZ81" s="155"/>
      <c r="GA81" s="155"/>
      <c r="GB81" s="155"/>
      <c r="GC81" s="155"/>
      <c r="GD81" s="155"/>
      <c r="GE81" s="155"/>
      <c r="GF81" s="155"/>
      <c r="GG81" s="155"/>
      <c r="GH81" s="155"/>
      <c r="GI81" s="155"/>
      <c r="GJ81" s="155"/>
      <c r="GK81" s="155"/>
    </row>
    <row r="82" spans="2:193" ht="18.75" customHeight="1" x14ac:dyDescent="0.3">
      <c r="B82" s="2892"/>
      <c r="C82" s="2892"/>
      <c r="D82" s="2892"/>
      <c r="E82" s="2893"/>
      <c r="F82" s="2893"/>
      <c r="G82" s="2893"/>
      <c r="H82" s="2893"/>
      <c r="I82" s="2893"/>
      <c r="J82" s="2893"/>
      <c r="K82" s="2893"/>
      <c r="L82" s="2893"/>
      <c r="M82" s="2893"/>
      <c r="N82" s="2893"/>
      <c r="O82" s="2893"/>
      <c r="P82" s="2893"/>
      <c r="Q82" s="2893"/>
      <c r="R82" s="2893"/>
      <c r="S82" s="2893"/>
      <c r="T82" s="2893"/>
      <c r="U82" s="2893"/>
      <c r="V82" s="2893"/>
      <c r="W82" s="2893"/>
      <c r="X82" s="2893"/>
      <c r="Y82" s="2893"/>
      <c r="Z82" s="2893"/>
      <c r="AA82" s="2893"/>
      <c r="AB82" s="2893"/>
      <c r="AC82" s="2893"/>
      <c r="AD82" s="2893"/>
      <c r="AE82" s="2893"/>
      <c r="AF82" s="2893"/>
      <c r="AG82" s="2893"/>
      <c r="AH82" s="2893"/>
      <c r="AI82" s="2893"/>
      <c r="AJ82" s="2893"/>
      <c r="AK82" s="2893"/>
      <c r="AL82" s="2893"/>
      <c r="AM82" s="2893"/>
      <c r="AN82" s="2893"/>
      <c r="AO82" s="2616"/>
      <c r="AP82" s="2616"/>
      <c r="AQ82" s="2616"/>
      <c r="AR82" s="2616"/>
      <c r="AS82" s="2616"/>
      <c r="AT82" s="2616"/>
      <c r="AU82" s="2616"/>
      <c r="AV82" s="2616"/>
      <c r="AW82" s="2616"/>
      <c r="AX82" s="2616"/>
      <c r="AY82" s="2616"/>
      <c r="AZ82" s="2616"/>
      <c r="BA82" s="2616"/>
      <c r="BB82" s="2616"/>
      <c r="BC82" s="2616"/>
      <c r="BD82" s="2616"/>
      <c r="BE82" s="2616"/>
      <c r="BF82" s="2616"/>
      <c r="BG82" s="2616"/>
      <c r="BH82" s="2616"/>
      <c r="BI82" s="2616"/>
      <c r="BJ82" s="2616"/>
      <c r="BK82" s="2616"/>
      <c r="BL82" s="2616"/>
      <c r="BM82" s="2616"/>
      <c r="BN82" s="2616"/>
      <c r="BO82" s="2616"/>
      <c r="BP82" s="2616"/>
      <c r="BQ82" s="2616"/>
      <c r="BR82" s="2616"/>
      <c r="BS82" s="2616"/>
      <c r="BT82" s="2616"/>
      <c r="BU82" s="2616"/>
      <c r="BV82" s="2616"/>
      <c r="BW82" s="2616"/>
      <c r="BX82" s="2616"/>
      <c r="BY82" s="2616"/>
      <c r="BZ82" s="2616"/>
      <c r="CA82" s="2616"/>
      <c r="CB82" s="2616"/>
      <c r="CC82" s="2616"/>
      <c r="CD82" s="2616"/>
      <c r="CE82" s="2616"/>
      <c r="CF82" s="2616"/>
      <c r="CG82" s="2616"/>
      <c r="CH82" s="2616"/>
      <c r="CI82" s="2616"/>
      <c r="CJ82" s="2616"/>
      <c r="CK82" s="2616"/>
      <c r="CL82" s="2616"/>
      <c r="CM82" s="2616"/>
      <c r="CN82" s="2616"/>
      <c r="CO82" s="2616"/>
      <c r="CP82" s="2616"/>
      <c r="CQ82" s="2616"/>
      <c r="CR82" s="2616"/>
      <c r="CS82" s="2616"/>
      <c r="CT82" s="2616"/>
      <c r="CU82" s="2616"/>
      <c r="CV82" s="2616"/>
      <c r="CW82" s="2616"/>
      <c r="CX82" s="2616"/>
      <c r="CY82" s="2616"/>
      <c r="CZ82" s="2616"/>
      <c r="DA82" s="2616"/>
      <c r="DB82" s="2616"/>
      <c r="DC82" s="2616"/>
      <c r="DD82" s="2616"/>
      <c r="DE82" s="2616"/>
      <c r="DF82" s="2616"/>
      <c r="DG82" s="2616"/>
      <c r="DH82" s="2616"/>
      <c r="DI82" s="2616"/>
      <c r="DJ82" s="2616"/>
      <c r="DK82" s="2616"/>
      <c r="DL82" s="2616"/>
      <c r="DM82" s="2616"/>
      <c r="DN82" s="2616"/>
      <c r="DO82" s="2616"/>
      <c r="DP82" s="2616"/>
      <c r="DQ82" s="2616"/>
      <c r="DR82" s="2616"/>
      <c r="DS82" s="2616"/>
      <c r="DT82" s="2616"/>
      <c r="DU82" s="2616"/>
      <c r="DV82" s="2616"/>
      <c r="DW82" s="2616"/>
      <c r="DX82" s="2616"/>
      <c r="DY82" s="2616"/>
      <c r="DZ82" s="2616"/>
      <c r="EA82" s="2616"/>
      <c r="EB82" s="2616"/>
      <c r="EC82" s="2616"/>
      <c r="ED82" s="2616"/>
      <c r="EE82" s="2616"/>
      <c r="EF82" s="2616"/>
      <c r="EG82" s="2616"/>
      <c r="EH82" s="2616"/>
      <c r="EI82" s="2616"/>
      <c r="EJ82" s="2616"/>
      <c r="EK82" s="2616"/>
      <c r="EL82" s="2616"/>
      <c r="EM82" s="2616"/>
      <c r="EN82" s="2616"/>
      <c r="EO82" s="2616"/>
      <c r="EP82" s="2616"/>
      <c r="EQ82" s="2616"/>
      <c r="ER82" s="2616"/>
      <c r="ES82" s="2616"/>
      <c r="ET82" s="2616"/>
      <c r="EU82" s="2616"/>
      <c r="EV82" s="2616"/>
      <c r="EW82" s="2616"/>
      <c r="EX82" s="2616"/>
      <c r="EY82" s="2616"/>
      <c r="EZ82" s="2616"/>
      <c r="FA82" s="2616"/>
      <c r="FB82" s="2616"/>
      <c r="FC82" s="2616"/>
      <c r="FD82" s="2616"/>
      <c r="FE82" s="2616"/>
      <c r="FF82" s="2616"/>
      <c r="FG82" s="2616"/>
      <c r="FH82" s="2616"/>
      <c r="FI82" s="2616"/>
      <c r="FJ82" s="2616"/>
      <c r="FK82" s="2616"/>
      <c r="FL82" s="2616"/>
      <c r="FM82" s="2616"/>
      <c r="FN82" s="2893"/>
      <c r="FO82" s="2893"/>
      <c r="FP82" s="2893"/>
      <c r="FQ82" s="2893"/>
      <c r="FR82" s="2893"/>
      <c r="FS82" s="2893"/>
      <c r="FT82" s="2893"/>
      <c r="FU82" s="2893"/>
      <c r="FV82" s="2893"/>
      <c r="FW82" s="2893"/>
      <c r="FX82" s="2893"/>
      <c r="FY82" s="2893"/>
      <c r="FZ82" s="155"/>
      <c r="GA82" s="155"/>
      <c r="GB82" s="155"/>
      <c r="GC82" s="155"/>
      <c r="GD82" s="155"/>
      <c r="GE82" s="155"/>
      <c r="GF82" s="155"/>
      <c r="GG82" s="155"/>
      <c r="GH82" s="155"/>
      <c r="GI82" s="155"/>
      <c r="GJ82" s="155"/>
      <c r="GK82" s="155"/>
    </row>
    <row r="83" spans="2:193" ht="18.75" customHeight="1" x14ac:dyDescent="0.3">
      <c r="B83" s="2892"/>
      <c r="C83" s="2892"/>
      <c r="D83" s="2892"/>
      <c r="E83" s="2893"/>
      <c r="F83" s="2893"/>
      <c r="G83" s="2893"/>
      <c r="H83" s="2893"/>
      <c r="I83" s="2893"/>
      <c r="J83" s="2893"/>
      <c r="K83" s="2893"/>
      <c r="L83" s="2893"/>
      <c r="M83" s="2893"/>
      <c r="N83" s="2893"/>
      <c r="O83" s="2893"/>
      <c r="P83" s="2893"/>
      <c r="Q83" s="2893"/>
      <c r="R83" s="2893"/>
      <c r="S83" s="2893"/>
      <c r="T83" s="2893"/>
      <c r="U83" s="2893"/>
      <c r="V83" s="2893"/>
      <c r="W83" s="2893"/>
      <c r="X83" s="2893"/>
      <c r="Y83" s="2893"/>
      <c r="Z83" s="2893"/>
      <c r="AA83" s="2893"/>
      <c r="AB83" s="2893"/>
      <c r="AC83" s="2893"/>
      <c r="AD83" s="2893"/>
      <c r="AE83" s="2893"/>
      <c r="AF83" s="2893"/>
      <c r="AG83" s="2893"/>
      <c r="AH83" s="2893"/>
      <c r="AI83" s="2893"/>
      <c r="AJ83" s="2893"/>
      <c r="AK83" s="2893"/>
      <c r="AL83" s="2893"/>
      <c r="AM83" s="2893"/>
      <c r="AN83" s="2893"/>
      <c r="AO83" s="2616"/>
      <c r="AP83" s="2616"/>
      <c r="AQ83" s="2616"/>
      <c r="AR83" s="2616"/>
      <c r="AS83" s="2616"/>
      <c r="AT83" s="2616"/>
      <c r="AU83" s="2616"/>
      <c r="AV83" s="2616"/>
      <c r="AW83" s="2616"/>
      <c r="AX83" s="2616"/>
      <c r="AY83" s="2616"/>
      <c r="AZ83" s="2616"/>
      <c r="BA83" s="2616"/>
      <c r="BB83" s="2616"/>
      <c r="BC83" s="2616"/>
      <c r="BD83" s="2616"/>
      <c r="BE83" s="2616"/>
      <c r="BF83" s="2616"/>
      <c r="BG83" s="2616"/>
      <c r="BH83" s="2616"/>
      <c r="BI83" s="2616"/>
      <c r="BJ83" s="2616"/>
      <c r="BK83" s="2616"/>
      <c r="BL83" s="2616"/>
      <c r="BM83" s="2616"/>
      <c r="BN83" s="2616"/>
      <c r="BO83" s="2616"/>
      <c r="BP83" s="2616"/>
      <c r="BQ83" s="2616"/>
      <c r="BR83" s="2616"/>
      <c r="BS83" s="2616"/>
      <c r="BT83" s="2616"/>
      <c r="BU83" s="2616"/>
      <c r="BV83" s="2616"/>
      <c r="BW83" s="2616"/>
      <c r="BX83" s="2616"/>
      <c r="BY83" s="2616"/>
      <c r="BZ83" s="2616"/>
      <c r="CA83" s="2616"/>
      <c r="CB83" s="2616"/>
      <c r="CC83" s="2616"/>
      <c r="CD83" s="2616"/>
      <c r="CE83" s="2616"/>
      <c r="CF83" s="2616"/>
      <c r="CG83" s="2616"/>
      <c r="CH83" s="2616"/>
      <c r="CI83" s="2616"/>
      <c r="CJ83" s="2616"/>
      <c r="CK83" s="2616"/>
      <c r="CL83" s="2616"/>
      <c r="CM83" s="2616"/>
      <c r="CN83" s="2616"/>
      <c r="CO83" s="2616"/>
      <c r="CP83" s="2616"/>
      <c r="CQ83" s="2616"/>
      <c r="CR83" s="2616"/>
      <c r="CS83" s="2616"/>
      <c r="CT83" s="2616"/>
      <c r="CU83" s="2616"/>
      <c r="CV83" s="2616"/>
      <c r="CW83" s="2616"/>
      <c r="CX83" s="2616"/>
      <c r="CY83" s="2616"/>
      <c r="CZ83" s="2616"/>
      <c r="DA83" s="2616"/>
      <c r="DB83" s="2616"/>
      <c r="DC83" s="2616"/>
      <c r="DD83" s="2616"/>
      <c r="DE83" s="2616"/>
      <c r="DF83" s="2616"/>
      <c r="DG83" s="2616"/>
      <c r="DH83" s="2616"/>
      <c r="DI83" s="2616"/>
      <c r="DJ83" s="2616"/>
      <c r="DK83" s="2616"/>
      <c r="DL83" s="2616"/>
      <c r="DM83" s="2616"/>
      <c r="DN83" s="2616"/>
      <c r="DO83" s="2616"/>
      <c r="DP83" s="2616"/>
      <c r="DQ83" s="2616"/>
      <c r="DR83" s="2616"/>
      <c r="DS83" s="2616"/>
      <c r="DT83" s="2616"/>
      <c r="DU83" s="2616"/>
      <c r="DV83" s="2616"/>
      <c r="DW83" s="2616"/>
      <c r="DX83" s="2616"/>
      <c r="DY83" s="2616"/>
      <c r="DZ83" s="2616"/>
      <c r="EA83" s="2616"/>
      <c r="EB83" s="2616"/>
      <c r="EC83" s="2616"/>
      <c r="ED83" s="2616"/>
      <c r="EE83" s="2616"/>
      <c r="EF83" s="2616"/>
      <c r="EG83" s="2616"/>
      <c r="EH83" s="2616"/>
      <c r="EI83" s="2616"/>
      <c r="EJ83" s="2616"/>
      <c r="EK83" s="2616"/>
      <c r="EL83" s="2616"/>
      <c r="EM83" s="2616"/>
      <c r="EN83" s="2616"/>
      <c r="EO83" s="2616"/>
      <c r="EP83" s="2616"/>
      <c r="EQ83" s="2616"/>
      <c r="ER83" s="2616"/>
      <c r="ES83" s="2616"/>
      <c r="ET83" s="2616"/>
      <c r="EU83" s="2616"/>
      <c r="EV83" s="2616"/>
      <c r="EW83" s="2616"/>
      <c r="EX83" s="2616"/>
      <c r="EY83" s="2616"/>
      <c r="EZ83" s="2616"/>
      <c r="FA83" s="2616"/>
      <c r="FB83" s="2616"/>
      <c r="FC83" s="2616"/>
      <c r="FD83" s="2616"/>
      <c r="FE83" s="2616"/>
      <c r="FF83" s="2616"/>
      <c r="FG83" s="2616"/>
      <c r="FH83" s="2616"/>
      <c r="FI83" s="2616"/>
      <c r="FJ83" s="2616"/>
      <c r="FK83" s="2616"/>
      <c r="FL83" s="2616"/>
      <c r="FM83" s="2616"/>
      <c r="FN83" s="2893"/>
      <c r="FO83" s="2893"/>
      <c r="FP83" s="2893"/>
      <c r="FQ83" s="2893"/>
      <c r="FR83" s="2893"/>
      <c r="FS83" s="2893"/>
      <c r="FT83" s="2893"/>
      <c r="FU83" s="2893"/>
      <c r="FV83" s="2893"/>
      <c r="FW83" s="2893"/>
      <c r="FX83" s="2893"/>
      <c r="FY83" s="2893"/>
      <c r="FZ83" s="155"/>
      <c r="GA83" s="155"/>
      <c r="GB83" s="155"/>
      <c r="GC83" s="155"/>
      <c r="GD83" s="155"/>
      <c r="GE83" s="155"/>
      <c r="GF83" s="155"/>
      <c r="GG83" s="155"/>
      <c r="GH83" s="155"/>
      <c r="GI83" s="155"/>
      <c r="GJ83" s="155"/>
      <c r="GK83" s="155"/>
    </row>
    <row r="84" spans="2:193" ht="18.75" customHeight="1" x14ac:dyDescent="0.3">
      <c r="B84" s="2892"/>
      <c r="C84" s="2892"/>
      <c r="D84" s="2892"/>
      <c r="E84" s="2893"/>
      <c r="F84" s="2893"/>
      <c r="G84" s="2893"/>
      <c r="H84" s="2893"/>
      <c r="I84" s="2893"/>
      <c r="J84" s="2893"/>
      <c r="K84" s="2893"/>
      <c r="L84" s="2893"/>
      <c r="M84" s="2893"/>
      <c r="N84" s="2893"/>
      <c r="O84" s="2893"/>
      <c r="P84" s="2893"/>
      <c r="Q84" s="2893"/>
      <c r="R84" s="2893"/>
      <c r="S84" s="2893"/>
      <c r="T84" s="2893"/>
      <c r="U84" s="2893"/>
      <c r="V84" s="2893"/>
      <c r="W84" s="2893"/>
      <c r="X84" s="2893"/>
      <c r="Y84" s="2893"/>
      <c r="Z84" s="2893"/>
      <c r="AA84" s="2893"/>
      <c r="AB84" s="2893"/>
      <c r="AC84" s="2893"/>
      <c r="AD84" s="2893"/>
      <c r="AE84" s="2893"/>
      <c r="AF84" s="2893"/>
      <c r="AG84" s="2893"/>
      <c r="AH84" s="2893"/>
      <c r="AI84" s="2893"/>
      <c r="AJ84" s="2893"/>
      <c r="AK84" s="2893"/>
      <c r="AL84" s="2893"/>
      <c r="AM84" s="2893"/>
      <c r="AN84" s="2893"/>
      <c r="AO84" s="2616"/>
      <c r="AP84" s="2616"/>
      <c r="AQ84" s="2616"/>
      <c r="AR84" s="2616"/>
      <c r="AS84" s="2616"/>
      <c r="AT84" s="2616"/>
      <c r="AU84" s="2616"/>
      <c r="AV84" s="2616"/>
      <c r="AW84" s="2616"/>
      <c r="AX84" s="2616"/>
      <c r="AY84" s="2616"/>
      <c r="AZ84" s="2616"/>
      <c r="BA84" s="2616"/>
      <c r="BB84" s="2616"/>
      <c r="BC84" s="2616"/>
      <c r="BD84" s="2616"/>
      <c r="BE84" s="2616"/>
      <c r="BF84" s="2616"/>
      <c r="BG84" s="2616"/>
      <c r="BH84" s="2616"/>
      <c r="BI84" s="2616"/>
      <c r="BJ84" s="2616"/>
      <c r="BK84" s="2616"/>
      <c r="BL84" s="2616"/>
      <c r="BM84" s="2616"/>
      <c r="BN84" s="2616"/>
      <c r="BO84" s="2616"/>
      <c r="BP84" s="2616"/>
      <c r="BQ84" s="2616"/>
      <c r="BR84" s="2616"/>
      <c r="BS84" s="2616"/>
      <c r="BT84" s="2616"/>
      <c r="BU84" s="2616"/>
      <c r="BV84" s="2616"/>
      <c r="BW84" s="2616"/>
      <c r="BX84" s="2616"/>
      <c r="BY84" s="2616"/>
      <c r="BZ84" s="2616"/>
      <c r="CA84" s="2616"/>
      <c r="CB84" s="2616"/>
      <c r="CC84" s="2616"/>
      <c r="CD84" s="2616"/>
      <c r="CE84" s="2616"/>
      <c r="CF84" s="2616"/>
      <c r="CG84" s="2616"/>
      <c r="CH84" s="2616"/>
      <c r="CI84" s="2616"/>
      <c r="CJ84" s="2616"/>
      <c r="CK84" s="2616"/>
      <c r="CL84" s="2616"/>
      <c r="CM84" s="2616"/>
      <c r="CN84" s="2616"/>
      <c r="CO84" s="2616"/>
      <c r="CP84" s="2616"/>
      <c r="CQ84" s="2616"/>
      <c r="CR84" s="2616"/>
      <c r="CS84" s="2616"/>
      <c r="CT84" s="2616"/>
      <c r="CU84" s="2616"/>
      <c r="CV84" s="2616"/>
      <c r="CW84" s="2616"/>
      <c r="CX84" s="2616"/>
      <c r="CY84" s="2616"/>
      <c r="CZ84" s="2616"/>
      <c r="DA84" s="2616"/>
      <c r="DB84" s="2616"/>
      <c r="DC84" s="2616"/>
      <c r="DD84" s="2616"/>
      <c r="DE84" s="2616"/>
      <c r="DF84" s="2616"/>
      <c r="DG84" s="2616"/>
      <c r="DH84" s="2616"/>
      <c r="DI84" s="2616"/>
      <c r="DJ84" s="2616"/>
      <c r="DK84" s="2616"/>
      <c r="DL84" s="2616"/>
      <c r="DM84" s="2616"/>
      <c r="DN84" s="2616"/>
      <c r="DO84" s="2616"/>
      <c r="DP84" s="2616"/>
      <c r="DQ84" s="2616"/>
      <c r="DR84" s="2616"/>
      <c r="DS84" s="2616"/>
      <c r="DT84" s="2616"/>
      <c r="DU84" s="2616"/>
      <c r="DV84" s="2616"/>
      <c r="DW84" s="2616"/>
      <c r="DX84" s="2616"/>
      <c r="DY84" s="2616"/>
      <c r="DZ84" s="2616"/>
      <c r="EA84" s="2616"/>
      <c r="EB84" s="2616"/>
      <c r="EC84" s="2616"/>
      <c r="ED84" s="2616"/>
      <c r="EE84" s="2616"/>
      <c r="EF84" s="2616"/>
      <c r="EG84" s="2616"/>
      <c r="EH84" s="2616"/>
      <c r="EI84" s="2616"/>
      <c r="EJ84" s="2616"/>
      <c r="EK84" s="2616"/>
      <c r="EL84" s="2616"/>
      <c r="EM84" s="2616"/>
      <c r="EN84" s="2616"/>
      <c r="EO84" s="2616"/>
      <c r="EP84" s="2616"/>
      <c r="EQ84" s="2616"/>
      <c r="ER84" s="2616"/>
      <c r="ES84" s="2616"/>
      <c r="ET84" s="2616"/>
      <c r="EU84" s="2616"/>
      <c r="EV84" s="2616"/>
      <c r="EW84" s="2616"/>
      <c r="EX84" s="2616"/>
      <c r="EY84" s="2616"/>
      <c r="EZ84" s="2616"/>
      <c r="FA84" s="2616"/>
      <c r="FB84" s="2616"/>
      <c r="FC84" s="2616"/>
      <c r="FD84" s="2616"/>
      <c r="FE84" s="2616"/>
      <c r="FF84" s="2616"/>
      <c r="FG84" s="2616"/>
      <c r="FH84" s="2616"/>
      <c r="FI84" s="2616"/>
      <c r="FJ84" s="2616"/>
      <c r="FK84" s="2616"/>
      <c r="FL84" s="2616"/>
      <c r="FM84" s="2616"/>
      <c r="FN84" s="2893"/>
      <c r="FO84" s="2893"/>
      <c r="FP84" s="2893"/>
      <c r="FQ84" s="2893"/>
      <c r="FR84" s="2893"/>
      <c r="FS84" s="2893"/>
      <c r="FT84" s="2893"/>
      <c r="FU84" s="2893"/>
      <c r="FV84" s="2893"/>
      <c r="FW84" s="2893"/>
      <c r="FX84" s="2893"/>
      <c r="FY84" s="2893"/>
      <c r="FZ84" s="155"/>
      <c r="GA84" s="155"/>
      <c r="GB84" s="155"/>
      <c r="GC84" s="155"/>
      <c r="GD84" s="155"/>
      <c r="GE84" s="155"/>
      <c r="GF84" s="155"/>
      <c r="GG84" s="155"/>
      <c r="GH84" s="155"/>
      <c r="GI84" s="155"/>
      <c r="GJ84" s="155"/>
      <c r="GK84" s="155"/>
    </row>
    <row r="85" spans="2:193" ht="18.75" customHeight="1" x14ac:dyDescent="0.3">
      <c r="B85" s="2892"/>
      <c r="C85" s="2892"/>
      <c r="D85" s="2892"/>
      <c r="E85" s="2893"/>
      <c r="F85" s="2893"/>
      <c r="G85" s="2893"/>
      <c r="H85" s="2893"/>
      <c r="I85" s="2893"/>
      <c r="J85" s="2893"/>
      <c r="K85" s="2893"/>
      <c r="L85" s="2893"/>
      <c r="M85" s="2893"/>
      <c r="N85" s="2893"/>
      <c r="O85" s="2893"/>
      <c r="P85" s="2893"/>
      <c r="Q85" s="2893"/>
      <c r="R85" s="2893"/>
      <c r="S85" s="2893"/>
      <c r="T85" s="2893"/>
      <c r="U85" s="2893"/>
      <c r="V85" s="2893"/>
      <c r="W85" s="2893"/>
      <c r="X85" s="2893"/>
      <c r="Y85" s="2893"/>
      <c r="Z85" s="2893"/>
      <c r="AA85" s="2893"/>
      <c r="AB85" s="2893"/>
      <c r="AC85" s="2893"/>
      <c r="AD85" s="2893"/>
      <c r="AE85" s="2893"/>
      <c r="AF85" s="2893"/>
      <c r="AG85" s="2893"/>
      <c r="AH85" s="2893"/>
      <c r="AI85" s="2893"/>
      <c r="AJ85" s="2893"/>
      <c r="AK85" s="2893"/>
      <c r="AL85" s="2893"/>
      <c r="AM85" s="2893"/>
      <c r="AN85" s="2893"/>
      <c r="AO85" s="2616"/>
      <c r="AP85" s="2616"/>
      <c r="AQ85" s="2616"/>
      <c r="AR85" s="2616"/>
      <c r="AS85" s="2616"/>
      <c r="AT85" s="2616"/>
      <c r="AU85" s="2616"/>
      <c r="AV85" s="2616"/>
      <c r="AW85" s="2616"/>
      <c r="AX85" s="2616"/>
      <c r="AY85" s="2616"/>
      <c r="AZ85" s="2616"/>
      <c r="BA85" s="2616"/>
      <c r="BB85" s="2616"/>
      <c r="BC85" s="2616"/>
      <c r="BD85" s="2616"/>
      <c r="BE85" s="2616"/>
      <c r="BF85" s="2616"/>
      <c r="BG85" s="2616"/>
      <c r="BH85" s="2616"/>
      <c r="BI85" s="2616"/>
      <c r="BJ85" s="2616"/>
      <c r="BK85" s="2616"/>
      <c r="BL85" s="2616"/>
      <c r="BM85" s="2616"/>
      <c r="BN85" s="2616"/>
      <c r="BO85" s="2616"/>
      <c r="BP85" s="2616"/>
      <c r="BQ85" s="2616"/>
      <c r="BR85" s="2616"/>
      <c r="BS85" s="2616"/>
      <c r="BT85" s="2616"/>
      <c r="BU85" s="2616"/>
      <c r="BV85" s="2616"/>
      <c r="BW85" s="2616"/>
      <c r="BX85" s="2616"/>
      <c r="BY85" s="2616"/>
      <c r="BZ85" s="2616"/>
      <c r="CA85" s="2616"/>
      <c r="CB85" s="2616"/>
      <c r="CC85" s="2616"/>
      <c r="CD85" s="2616"/>
      <c r="CE85" s="2616"/>
      <c r="CF85" s="2616"/>
      <c r="CG85" s="2616"/>
      <c r="CH85" s="2616"/>
      <c r="CI85" s="2616"/>
      <c r="CJ85" s="2616"/>
      <c r="CK85" s="2616"/>
      <c r="CL85" s="2616"/>
      <c r="CM85" s="2616"/>
      <c r="CN85" s="2616"/>
      <c r="CO85" s="2616"/>
      <c r="CP85" s="2616"/>
      <c r="CQ85" s="2616"/>
      <c r="CR85" s="2616"/>
      <c r="CS85" s="2616"/>
      <c r="CT85" s="2616"/>
      <c r="CU85" s="2616"/>
      <c r="CV85" s="2616"/>
      <c r="CW85" s="2616"/>
      <c r="CX85" s="2616"/>
      <c r="CY85" s="2616"/>
      <c r="CZ85" s="2616"/>
      <c r="DA85" s="2616"/>
      <c r="DB85" s="2616"/>
      <c r="DC85" s="2616"/>
      <c r="DD85" s="2616"/>
      <c r="DE85" s="2616"/>
      <c r="DF85" s="2616"/>
      <c r="DG85" s="2616"/>
      <c r="DH85" s="2616"/>
      <c r="DI85" s="2616"/>
      <c r="DJ85" s="2616"/>
      <c r="DK85" s="2616"/>
      <c r="DL85" s="2616"/>
      <c r="DM85" s="2616"/>
      <c r="DN85" s="2616"/>
      <c r="DO85" s="2616"/>
      <c r="DP85" s="2616"/>
      <c r="DQ85" s="2616"/>
      <c r="DR85" s="2616"/>
      <c r="DS85" s="2616"/>
      <c r="DT85" s="2616"/>
      <c r="DU85" s="2616"/>
      <c r="DV85" s="2616"/>
      <c r="DW85" s="2616"/>
      <c r="DX85" s="2616"/>
      <c r="DY85" s="2616"/>
      <c r="DZ85" s="2616"/>
      <c r="EA85" s="2616"/>
      <c r="EB85" s="2616"/>
      <c r="EC85" s="2616"/>
      <c r="ED85" s="2616"/>
      <c r="EE85" s="2616"/>
      <c r="EF85" s="2616"/>
      <c r="EG85" s="2616"/>
      <c r="EH85" s="2616"/>
      <c r="EI85" s="2616"/>
      <c r="EJ85" s="2616"/>
      <c r="EK85" s="2616"/>
      <c r="EL85" s="2616"/>
      <c r="EM85" s="2616"/>
      <c r="EN85" s="2616"/>
      <c r="EO85" s="2616"/>
      <c r="EP85" s="2616"/>
      <c r="EQ85" s="2616"/>
      <c r="ER85" s="2616"/>
      <c r="ES85" s="2616"/>
      <c r="ET85" s="2616"/>
      <c r="EU85" s="2616"/>
      <c r="EV85" s="2616"/>
      <c r="EW85" s="2616"/>
      <c r="EX85" s="2616"/>
      <c r="EY85" s="2616"/>
      <c r="EZ85" s="2616"/>
      <c r="FA85" s="2616"/>
      <c r="FB85" s="2616"/>
      <c r="FC85" s="2616"/>
      <c r="FD85" s="2616"/>
      <c r="FE85" s="2616"/>
      <c r="FF85" s="2616"/>
      <c r="FG85" s="2616"/>
      <c r="FH85" s="2616"/>
      <c r="FI85" s="2616"/>
      <c r="FJ85" s="2616"/>
      <c r="FK85" s="2616"/>
      <c r="FL85" s="2616"/>
      <c r="FM85" s="2616"/>
      <c r="FN85" s="2893"/>
      <c r="FO85" s="2893"/>
      <c r="FP85" s="2893"/>
      <c r="FQ85" s="2893"/>
      <c r="FR85" s="2893"/>
      <c r="FS85" s="2893"/>
      <c r="FT85" s="2893"/>
      <c r="FU85" s="2893"/>
      <c r="FV85" s="2893"/>
      <c r="FW85" s="2893"/>
      <c r="FX85" s="2893"/>
      <c r="FY85" s="2893"/>
      <c r="FZ85" s="155"/>
      <c r="GA85" s="155"/>
      <c r="GB85" s="155"/>
      <c r="GC85" s="155"/>
      <c r="GD85" s="155"/>
      <c r="GE85" s="155"/>
      <c r="GF85" s="155"/>
      <c r="GG85" s="155"/>
      <c r="GH85" s="155"/>
      <c r="GI85" s="155"/>
      <c r="GJ85" s="155"/>
      <c r="GK85" s="155"/>
    </row>
    <row r="86" spans="2:193" ht="18.75" customHeight="1" x14ac:dyDescent="0.3">
      <c r="B86" s="2892"/>
      <c r="C86" s="2892"/>
      <c r="D86" s="2892"/>
      <c r="E86" s="2893"/>
      <c r="F86" s="2893"/>
      <c r="G86" s="2893"/>
      <c r="H86" s="2893"/>
      <c r="I86" s="2893"/>
      <c r="J86" s="2893"/>
      <c r="K86" s="2893"/>
      <c r="L86" s="2893"/>
      <c r="M86" s="2893"/>
      <c r="N86" s="2893"/>
      <c r="O86" s="2893"/>
      <c r="P86" s="2893"/>
      <c r="Q86" s="2893"/>
      <c r="R86" s="2893"/>
      <c r="S86" s="2893"/>
      <c r="T86" s="2893"/>
      <c r="U86" s="2893"/>
      <c r="V86" s="2893"/>
      <c r="W86" s="2893"/>
      <c r="X86" s="2893"/>
      <c r="Y86" s="2893"/>
      <c r="Z86" s="2893"/>
      <c r="AA86" s="2893"/>
      <c r="AB86" s="2893"/>
      <c r="AC86" s="2893"/>
      <c r="AD86" s="2893"/>
      <c r="AE86" s="2893"/>
      <c r="AF86" s="2893"/>
      <c r="AG86" s="2893"/>
      <c r="AH86" s="2893"/>
      <c r="AI86" s="2893"/>
      <c r="AJ86" s="2893"/>
      <c r="AK86" s="2893"/>
      <c r="AL86" s="2893"/>
      <c r="AM86" s="2893"/>
      <c r="AN86" s="2893"/>
      <c r="AO86" s="2616"/>
      <c r="AP86" s="2616"/>
      <c r="AQ86" s="2616"/>
      <c r="AR86" s="2616"/>
      <c r="AS86" s="2616"/>
      <c r="AT86" s="2616"/>
      <c r="AU86" s="2616"/>
      <c r="AV86" s="2616"/>
      <c r="AW86" s="2616"/>
      <c r="AX86" s="2616"/>
      <c r="AY86" s="2616"/>
      <c r="AZ86" s="2616"/>
      <c r="BA86" s="2616"/>
      <c r="BB86" s="2616"/>
      <c r="BC86" s="2616"/>
      <c r="BD86" s="2616"/>
      <c r="BE86" s="2616"/>
      <c r="BF86" s="2616"/>
      <c r="BG86" s="2616"/>
      <c r="BH86" s="2616"/>
      <c r="BI86" s="2616"/>
      <c r="BJ86" s="2616"/>
      <c r="BK86" s="2616"/>
      <c r="BL86" s="2616"/>
      <c r="BM86" s="2616"/>
      <c r="BN86" s="2616"/>
      <c r="BO86" s="2616"/>
      <c r="BP86" s="2616"/>
      <c r="BQ86" s="2616"/>
      <c r="BR86" s="2616"/>
      <c r="BS86" s="2616"/>
      <c r="BT86" s="2616"/>
      <c r="BU86" s="2616"/>
      <c r="BV86" s="2616"/>
      <c r="BW86" s="2616"/>
      <c r="BX86" s="2616"/>
      <c r="BY86" s="2616"/>
      <c r="BZ86" s="2616"/>
      <c r="CA86" s="2616"/>
      <c r="CB86" s="2616"/>
      <c r="CC86" s="2616"/>
      <c r="CD86" s="2616"/>
      <c r="CE86" s="2616"/>
      <c r="CF86" s="2616"/>
      <c r="CG86" s="2616"/>
      <c r="CH86" s="2616"/>
      <c r="CI86" s="2616"/>
      <c r="CJ86" s="2616"/>
      <c r="CK86" s="2616"/>
      <c r="CL86" s="2616"/>
      <c r="CM86" s="2616"/>
      <c r="CN86" s="2616"/>
      <c r="CO86" s="2616"/>
      <c r="CP86" s="2616"/>
      <c r="CQ86" s="2616"/>
      <c r="CR86" s="2616"/>
      <c r="CS86" s="2616"/>
      <c r="CT86" s="2616"/>
      <c r="CU86" s="2616"/>
      <c r="CV86" s="2616"/>
      <c r="CW86" s="2616"/>
      <c r="CX86" s="2616"/>
      <c r="CY86" s="2616"/>
      <c r="CZ86" s="2616"/>
      <c r="DA86" s="2616"/>
      <c r="DB86" s="2616"/>
      <c r="DC86" s="2616"/>
      <c r="DD86" s="2616"/>
      <c r="DE86" s="2616"/>
      <c r="DF86" s="2616"/>
      <c r="DG86" s="2616"/>
      <c r="DH86" s="2616"/>
      <c r="DI86" s="2616"/>
      <c r="DJ86" s="2616"/>
      <c r="DK86" s="2616"/>
      <c r="DL86" s="2616"/>
      <c r="DM86" s="2616"/>
      <c r="DN86" s="2616"/>
      <c r="DO86" s="2616"/>
      <c r="DP86" s="2616"/>
      <c r="DQ86" s="2616"/>
      <c r="DR86" s="2616"/>
      <c r="DS86" s="2616"/>
      <c r="DT86" s="2616"/>
      <c r="DU86" s="2616"/>
      <c r="DV86" s="2616"/>
      <c r="DW86" s="2616"/>
      <c r="DX86" s="2616"/>
      <c r="DY86" s="2616"/>
      <c r="DZ86" s="2616"/>
      <c r="EA86" s="2616"/>
      <c r="EB86" s="2616"/>
      <c r="EC86" s="2616"/>
      <c r="ED86" s="2616"/>
      <c r="EE86" s="2616"/>
      <c r="EF86" s="2616"/>
      <c r="EG86" s="2616"/>
      <c r="EH86" s="2616"/>
      <c r="EI86" s="2616"/>
      <c r="EJ86" s="2616"/>
      <c r="EK86" s="2616"/>
      <c r="EL86" s="2616"/>
      <c r="EM86" s="2616"/>
      <c r="EN86" s="2616"/>
      <c r="EO86" s="2616"/>
      <c r="EP86" s="2616"/>
      <c r="EQ86" s="2616"/>
      <c r="ER86" s="2616"/>
      <c r="ES86" s="2616"/>
      <c r="ET86" s="2616"/>
      <c r="EU86" s="2616"/>
      <c r="EV86" s="2616"/>
      <c r="EW86" s="2616"/>
      <c r="EX86" s="2616"/>
      <c r="EY86" s="2616"/>
      <c r="EZ86" s="2616"/>
      <c r="FA86" s="2616"/>
      <c r="FB86" s="2616"/>
      <c r="FC86" s="2616"/>
      <c r="FD86" s="2616"/>
      <c r="FE86" s="2616"/>
      <c r="FF86" s="2616"/>
      <c r="FG86" s="2616"/>
      <c r="FH86" s="2616"/>
      <c r="FI86" s="2616"/>
      <c r="FJ86" s="2616"/>
      <c r="FK86" s="2616"/>
      <c r="FL86" s="2616"/>
      <c r="FM86" s="2616"/>
      <c r="FN86" s="2893"/>
      <c r="FO86" s="2893"/>
      <c r="FP86" s="2893"/>
      <c r="FQ86" s="2893"/>
      <c r="FR86" s="2893"/>
      <c r="FS86" s="2893"/>
      <c r="FT86" s="2893"/>
      <c r="FU86" s="2893"/>
      <c r="FV86" s="2893"/>
      <c r="FW86" s="2893"/>
      <c r="FX86" s="2893"/>
      <c r="FY86" s="2893"/>
      <c r="FZ86" s="155"/>
      <c r="GA86" s="155"/>
      <c r="GB86" s="155"/>
      <c r="GC86" s="155"/>
      <c r="GD86" s="155"/>
      <c r="GE86" s="155"/>
      <c r="GF86" s="155"/>
      <c r="GG86" s="155"/>
      <c r="GH86" s="155"/>
      <c r="GI86" s="155"/>
      <c r="GJ86" s="155"/>
      <c r="GK86" s="155"/>
    </row>
    <row r="87" spans="2:193" ht="18.75" customHeight="1" x14ac:dyDescent="0.3">
      <c r="B87" s="2892"/>
      <c r="C87" s="2892"/>
      <c r="D87" s="2892"/>
      <c r="E87" s="2893"/>
      <c r="F87" s="2893"/>
      <c r="G87" s="2893"/>
      <c r="H87" s="2893"/>
      <c r="I87" s="2893"/>
      <c r="J87" s="2893"/>
      <c r="K87" s="2893"/>
      <c r="L87" s="2893"/>
      <c r="M87" s="2893"/>
      <c r="N87" s="2893"/>
      <c r="O87" s="2893"/>
      <c r="P87" s="2893"/>
      <c r="Q87" s="2893"/>
      <c r="R87" s="2893"/>
      <c r="S87" s="2893"/>
      <c r="T87" s="2893"/>
      <c r="U87" s="2893"/>
      <c r="V87" s="2893"/>
      <c r="W87" s="2893"/>
      <c r="X87" s="2893"/>
      <c r="Y87" s="2893"/>
      <c r="Z87" s="2893"/>
      <c r="AA87" s="2893"/>
      <c r="AB87" s="2893"/>
      <c r="AC87" s="2893"/>
      <c r="AD87" s="2893"/>
      <c r="AE87" s="2893"/>
      <c r="AF87" s="2893"/>
      <c r="AG87" s="2893"/>
      <c r="AH87" s="2893"/>
      <c r="AI87" s="2893"/>
      <c r="AJ87" s="2893"/>
      <c r="AK87" s="2893"/>
      <c r="AL87" s="2893"/>
      <c r="AM87" s="2893"/>
      <c r="AN87" s="2893"/>
      <c r="AO87" s="2616"/>
      <c r="AP87" s="2616"/>
      <c r="AQ87" s="2616"/>
      <c r="AR87" s="2616"/>
      <c r="AS87" s="2616"/>
      <c r="AT87" s="2616"/>
      <c r="AU87" s="2616"/>
      <c r="AV87" s="2616"/>
      <c r="AW87" s="2616"/>
      <c r="AX87" s="2616"/>
      <c r="AY87" s="2616"/>
      <c r="AZ87" s="2616"/>
      <c r="BA87" s="2616"/>
      <c r="BB87" s="2616"/>
      <c r="BC87" s="2616"/>
      <c r="BD87" s="2616"/>
      <c r="BE87" s="2616"/>
      <c r="BF87" s="2616"/>
      <c r="BG87" s="2616"/>
      <c r="BH87" s="2616"/>
      <c r="BI87" s="2616"/>
      <c r="BJ87" s="2616"/>
      <c r="BK87" s="2616"/>
      <c r="BL87" s="2616"/>
      <c r="BM87" s="2616"/>
      <c r="BN87" s="2616"/>
      <c r="BO87" s="2616"/>
      <c r="BP87" s="2616"/>
      <c r="BQ87" s="2616"/>
      <c r="BR87" s="2616"/>
      <c r="BS87" s="2616"/>
      <c r="BT87" s="2616"/>
      <c r="BU87" s="2616"/>
      <c r="BV87" s="2616"/>
      <c r="BW87" s="2616"/>
      <c r="BX87" s="2616"/>
      <c r="BY87" s="2616"/>
      <c r="BZ87" s="2616"/>
      <c r="CA87" s="2616"/>
      <c r="CB87" s="2616"/>
      <c r="CC87" s="2616"/>
      <c r="CD87" s="2616"/>
      <c r="CE87" s="2616"/>
      <c r="CF87" s="2616"/>
      <c r="CG87" s="2616"/>
      <c r="CH87" s="2616"/>
      <c r="CI87" s="2616"/>
      <c r="CJ87" s="2616"/>
      <c r="CK87" s="2616"/>
      <c r="CL87" s="2616"/>
      <c r="CM87" s="2616"/>
      <c r="CN87" s="2616"/>
      <c r="CO87" s="2616"/>
      <c r="CP87" s="2616"/>
      <c r="CQ87" s="2616"/>
      <c r="CR87" s="2616"/>
      <c r="CS87" s="2616"/>
      <c r="CT87" s="2616"/>
      <c r="CU87" s="2616"/>
      <c r="CV87" s="2616"/>
      <c r="CW87" s="2616"/>
      <c r="CX87" s="2616"/>
      <c r="CY87" s="2616"/>
      <c r="CZ87" s="2616"/>
      <c r="DA87" s="2616"/>
      <c r="DB87" s="2616"/>
      <c r="DC87" s="2616"/>
      <c r="DD87" s="2616"/>
      <c r="DE87" s="2616"/>
      <c r="DF87" s="2616"/>
      <c r="DG87" s="2616"/>
      <c r="DH87" s="2616"/>
      <c r="DI87" s="2616"/>
      <c r="DJ87" s="2616"/>
      <c r="DK87" s="2616"/>
      <c r="DL87" s="2616"/>
      <c r="DM87" s="2616"/>
      <c r="DN87" s="2616"/>
      <c r="DO87" s="2616"/>
      <c r="DP87" s="2616"/>
      <c r="DQ87" s="2616"/>
      <c r="DR87" s="2616"/>
      <c r="DS87" s="2616"/>
      <c r="DT87" s="2616"/>
      <c r="DU87" s="2616"/>
      <c r="DV87" s="2616"/>
      <c r="DW87" s="2616"/>
      <c r="DX87" s="2616"/>
      <c r="DY87" s="2616"/>
      <c r="DZ87" s="2616"/>
      <c r="EA87" s="2616"/>
      <c r="EB87" s="2616"/>
      <c r="EC87" s="2616"/>
      <c r="ED87" s="2616"/>
      <c r="EE87" s="2616"/>
      <c r="EF87" s="2616"/>
      <c r="EG87" s="2616"/>
      <c r="EH87" s="2616"/>
      <c r="EI87" s="2616"/>
      <c r="EJ87" s="2616"/>
      <c r="EK87" s="2616"/>
      <c r="EL87" s="2616"/>
      <c r="EM87" s="2616"/>
      <c r="EN87" s="2616"/>
      <c r="EO87" s="2616"/>
      <c r="EP87" s="2616"/>
      <c r="EQ87" s="2616"/>
      <c r="ER87" s="2616"/>
      <c r="ES87" s="2616"/>
      <c r="ET87" s="2616"/>
      <c r="EU87" s="2616"/>
      <c r="EV87" s="2616"/>
      <c r="EW87" s="2616"/>
      <c r="EX87" s="2616"/>
      <c r="EY87" s="2616"/>
      <c r="EZ87" s="2616"/>
      <c r="FA87" s="2616"/>
      <c r="FB87" s="2616"/>
      <c r="FC87" s="2616"/>
      <c r="FD87" s="2616"/>
      <c r="FE87" s="2616"/>
      <c r="FF87" s="2616"/>
      <c r="FG87" s="2616"/>
      <c r="FH87" s="2616"/>
      <c r="FI87" s="2616"/>
      <c r="FJ87" s="2616"/>
      <c r="FK87" s="2616"/>
      <c r="FL87" s="2616"/>
      <c r="FM87" s="2616"/>
      <c r="FN87" s="2893"/>
      <c r="FO87" s="2893"/>
      <c r="FP87" s="2893"/>
      <c r="FQ87" s="2893"/>
      <c r="FR87" s="2893"/>
      <c r="FS87" s="2893"/>
      <c r="FT87" s="2893"/>
      <c r="FU87" s="2893"/>
      <c r="FV87" s="2893"/>
      <c r="FW87" s="2893"/>
      <c r="FX87" s="2893"/>
      <c r="FY87" s="2893"/>
      <c r="FZ87" s="155"/>
      <c r="GA87" s="155"/>
      <c r="GB87" s="155"/>
      <c r="GC87" s="155"/>
      <c r="GD87" s="155"/>
      <c r="GE87" s="155"/>
      <c r="GF87" s="155"/>
      <c r="GG87" s="155"/>
      <c r="GH87" s="155"/>
      <c r="GI87" s="155"/>
      <c r="GJ87" s="155"/>
      <c r="GK87" s="155"/>
    </row>
    <row r="88" spans="2:193" ht="18.75" customHeight="1" x14ac:dyDescent="0.3">
      <c r="B88" s="2893"/>
      <c r="C88" s="2893"/>
      <c r="D88" s="2893"/>
      <c r="E88" s="2893"/>
      <c r="F88" s="2893"/>
      <c r="G88" s="2893"/>
      <c r="H88" s="2893"/>
      <c r="I88" s="2893"/>
      <c r="J88" s="2893"/>
      <c r="K88" s="2893"/>
      <c r="L88" s="2893"/>
      <c r="M88" s="2893"/>
      <c r="N88" s="2893"/>
      <c r="O88" s="2893"/>
      <c r="P88" s="2893"/>
      <c r="Q88" s="2893"/>
      <c r="R88" s="2893"/>
      <c r="S88" s="2893"/>
      <c r="T88" s="2893"/>
      <c r="U88" s="2893"/>
      <c r="V88" s="2893"/>
      <c r="W88" s="2893"/>
      <c r="X88" s="2893"/>
      <c r="Y88" s="2893"/>
      <c r="Z88" s="2893"/>
      <c r="AA88" s="2893"/>
      <c r="AB88" s="2893"/>
      <c r="AC88" s="2893"/>
      <c r="AD88" s="2893"/>
      <c r="AE88" s="2893"/>
      <c r="AF88" s="2893"/>
      <c r="AG88" s="2893"/>
      <c r="AH88" s="2893"/>
      <c r="AI88" s="2893"/>
      <c r="AJ88" s="2893"/>
      <c r="AK88" s="2893"/>
      <c r="AL88" s="2893"/>
      <c r="AM88" s="2893"/>
      <c r="AN88" s="2893"/>
      <c r="AO88" s="2616"/>
      <c r="AP88" s="2616"/>
      <c r="AQ88" s="2616"/>
      <c r="AR88" s="2616"/>
      <c r="AS88" s="2616"/>
      <c r="AT88" s="2616"/>
      <c r="AU88" s="2616"/>
      <c r="AV88" s="2616"/>
      <c r="AW88" s="2616"/>
      <c r="AX88" s="2616"/>
      <c r="AY88" s="2616"/>
      <c r="AZ88" s="2616"/>
      <c r="BA88" s="2616"/>
      <c r="BB88" s="2616"/>
      <c r="BC88" s="2616"/>
      <c r="BD88" s="2616"/>
      <c r="BE88" s="2616"/>
      <c r="BF88" s="2616"/>
      <c r="BG88" s="2616"/>
      <c r="BH88" s="2616"/>
      <c r="BI88" s="2616"/>
      <c r="BJ88" s="2616"/>
      <c r="BK88" s="2616"/>
      <c r="BL88" s="2616"/>
      <c r="BM88" s="2616"/>
      <c r="BN88" s="2616"/>
      <c r="BO88" s="2616"/>
      <c r="BP88" s="2616"/>
      <c r="BQ88" s="2616"/>
      <c r="BR88" s="2616"/>
      <c r="BS88" s="2616"/>
      <c r="BT88" s="2616"/>
      <c r="BU88" s="2616"/>
      <c r="BV88" s="2616"/>
      <c r="BW88" s="2616"/>
      <c r="BX88" s="2616"/>
      <c r="BY88" s="2616"/>
      <c r="BZ88" s="2616"/>
      <c r="CA88" s="2616"/>
      <c r="CB88" s="2616"/>
      <c r="CC88" s="2616"/>
      <c r="CD88" s="2616"/>
      <c r="CE88" s="2616"/>
      <c r="CF88" s="2616"/>
      <c r="CG88" s="2616"/>
      <c r="CH88" s="2616"/>
      <c r="CI88" s="2616"/>
      <c r="CJ88" s="2616"/>
      <c r="CK88" s="2616"/>
      <c r="CL88" s="2616"/>
      <c r="CM88" s="2616"/>
      <c r="CN88" s="2616"/>
      <c r="CO88" s="2616"/>
      <c r="CP88" s="2616"/>
      <c r="CQ88" s="2616"/>
      <c r="CR88" s="2616"/>
      <c r="CS88" s="2616"/>
      <c r="CT88" s="2616"/>
      <c r="CU88" s="2616"/>
      <c r="CV88" s="2616"/>
      <c r="CW88" s="2616"/>
      <c r="CX88" s="2616"/>
      <c r="CY88" s="2616"/>
      <c r="CZ88" s="2616"/>
      <c r="DA88" s="2616"/>
      <c r="DB88" s="2616"/>
      <c r="DC88" s="2616"/>
      <c r="DD88" s="2616"/>
      <c r="DE88" s="2616"/>
      <c r="DF88" s="2616"/>
      <c r="DG88" s="2616"/>
      <c r="DH88" s="2616"/>
      <c r="DI88" s="2616"/>
      <c r="DJ88" s="2616"/>
      <c r="DK88" s="2616"/>
      <c r="DL88" s="2616"/>
      <c r="DM88" s="2616"/>
      <c r="DN88" s="2616"/>
      <c r="DO88" s="2616"/>
      <c r="DP88" s="2616"/>
      <c r="DQ88" s="2616"/>
      <c r="DR88" s="2616"/>
      <c r="DS88" s="2616"/>
      <c r="DT88" s="2616"/>
      <c r="DU88" s="2616"/>
      <c r="DV88" s="2616"/>
      <c r="DW88" s="2616"/>
      <c r="DX88" s="2616"/>
      <c r="DY88" s="2616"/>
      <c r="DZ88" s="2616"/>
      <c r="EA88" s="2616"/>
      <c r="EB88" s="2616"/>
      <c r="EC88" s="2616"/>
      <c r="ED88" s="2616"/>
      <c r="EE88" s="2616"/>
      <c r="EF88" s="2616"/>
      <c r="EG88" s="2616"/>
      <c r="EH88" s="2616"/>
      <c r="EI88" s="2616"/>
      <c r="EJ88" s="2616"/>
      <c r="EK88" s="2616"/>
      <c r="EL88" s="2616"/>
      <c r="EM88" s="2616"/>
      <c r="EN88" s="2616"/>
      <c r="EO88" s="2616"/>
      <c r="EP88" s="2616"/>
      <c r="EQ88" s="2616"/>
      <c r="ER88" s="2616"/>
      <c r="ES88" s="2616"/>
      <c r="ET88" s="2616"/>
      <c r="EU88" s="2616"/>
      <c r="EV88" s="2616"/>
      <c r="EW88" s="2616"/>
      <c r="EX88" s="2616"/>
      <c r="EY88" s="2616"/>
      <c r="EZ88" s="2616"/>
      <c r="FA88" s="2616"/>
      <c r="FB88" s="2616"/>
      <c r="FC88" s="2616"/>
      <c r="FD88" s="2616"/>
      <c r="FE88" s="2616"/>
      <c r="FF88" s="2616"/>
      <c r="FG88" s="2616"/>
      <c r="FH88" s="2616"/>
      <c r="FI88" s="2616"/>
      <c r="FJ88" s="2616"/>
      <c r="FK88" s="2616"/>
      <c r="FL88" s="2616"/>
      <c r="FM88" s="2616"/>
      <c r="FN88" s="2893"/>
      <c r="FO88" s="2893"/>
      <c r="FP88" s="2893"/>
      <c r="FQ88" s="2893"/>
      <c r="FR88" s="2893"/>
      <c r="FS88" s="2893"/>
      <c r="FT88" s="2893"/>
      <c r="FU88" s="2893"/>
      <c r="FV88" s="2893"/>
      <c r="FW88" s="2893"/>
      <c r="FX88" s="2893"/>
      <c r="FY88" s="2893"/>
      <c r="FZ88" s="155"/>
      <c r="GA88" s="155"/>
      <c r="GB88" s="155"/>
      <c r="GC88" s="155"/>
      <c r="GD88" s="155"/>
      <c r="GE88" s="155"/>
      <c r="GF88" s="155"/>
      <c r="GG88" s="155"/>
      <c r="GH88" s="155"/>
      <c r="GI88" s="155"/>
      <c r="GJ88" s="155"/>
      <c r="GK88" s="155"/>
    </row>
    <row r="89" spans="2:193" ht="18.75" customHeight="1" x14ac:dyDescent="0.3">
      <c r="B89" s="2893"/>
      <c r="C89" s="2893"/>
      <c r="D89" s="2893"/>
      <c r="E89" s="2893"/>
      <c r="F89" s="2893"/>
      <c r="G89" s="2893"/>
      <c r="H89" s="2893"/>
      <c r="I89" s="2893"/>
      <c r="J89" s="2893"/>
      <c r="K89" s="2893"/>
      <c r="L89" s="2893"/>
      <c r="M89" s="2893"/>
      <c r="N89" s="2893"/>
      <c r="O89" s="2893"/>
      <c r="P89" s="2893"/>
      <c r="Q89" s="2893"/>
      <c r="R89" s="2893"/>
      <c r="S89" s="2893"/>
      <c r="T89" s="2893"/>
      <c r="U89" s="2893"/>
      <c r="V89" s="2893"/>
      <c r="W89" s="2893"/>
      <c r="X89" s="2893"/>
      <c r="Y89" s="2893"/>
      <c r="Z89" s="2893"/>
      <c r="AA89" s="2893"/>
      <c r="AB89" s="2893"/>
      <c r="AC89" s="2893"/>
      <c r="AD89" s="2893"/>
      <c r="AE89" s="2893"/>
      <c r="AF89" s="2893"/>
      <c r="AG89" s="2893"/>
      <c r="AH89" s="2893"/>
      <c r="AI89" s="2893"/>
      <c r="AJ89" s="2893"/>
      <c r="AK89" s="2893"/>
      <c r="AL89" s="2893"/>
      <c r="AM89" s="2893"/>
      <c r="AN89" s="2893"/>
      <c r="AO89" s="2616"/>
      <c r="AP89" s="2616"/>
      <c r="AQ89" s="2616"/>
      <c r="AR89" s="2616"/>
      <c r="AS89" s="2616"/>
      <c r="AT89" s="2616"/>
      <c r="AU89" s="2616"/>
      <c r="AV89" s="2616"/>
      <c r="AW89" s="2616"/>
      <c r="AX89" s="2616"/>
      <c r="AY89" s="2616"/>
      <c r="AZ89" s="2616"/>
      <c r="BA89" s="2616"/>
      <c r="BB89" s="2616"/>
      <c r="BC89" s="2616"/>
      <c r="BD89" s="2616"/>
      <c r="BE89" s="2616"/>
      <c r="BF89" s="2616"/>
      <c r="BG89" s="2616"/>
      <c r="BH89" s="2616"/>
      <c r="BI89" s="2616"/>
      <c r="BJ89" s="2616"/>
      <c r="BK89" s="2616"/>
      <c r="BL89" s="2616"/>
      <c r="BM89" s="2616"/>
      <c r="BN89" s="2616"/>
      <c r="BO89" s="2616"/>
      <c r="BP89" s="2616"/>
      <c r="BQ89" s="2616"/>
      <c r="BR89" s="2616"/>
      <c r="BS89" s="2616"/>
      <c r="BT89" s="2616"/>
      <c r="BU89" s="2616"/>
      <c r="BV89" s="2616"/>
      <c r="BW89" s="2616"/>
      <c r="BX89" s="2616"/>
      <c r="BY89" s="2616"/>
      <c r="BZ89" s="2616"/>
      <c r="CA89" s="2616"/>
      <c r="CB89" s="2616"/>
      <c r="CC89" s="2616"/>
      <c r="CD89" s="2616"/>
      <c r="CE89" s="2616"/>
      <c r="CF89" s="2616"/>
      <c r="CG89" s="2616"/>
      <c r="CH89" s="2616"/>
      <c r="CI89" s="2616"/>
      <c r="CJ89" s="2616"/>
      <c r="CK89" s="2616"/>
      <c r="CL89" s="2616"/>
      <c r="CM89" s="2616"/>
      <c r="CN89" s="2616"/>
      <c r="CO89" s="2616"/>
      <c r="CP89" s="2616"/>
      <c r="CQ89" s="2616"/>
      <c r="CR89" s="2616"/>
      <c r="CS89" s="2616"/>
      <c r="CT89" s="2616"/>
      <c r="CU89" s="2616"/>
      <c r="CV89" s="2616"/>
      <c r="CW89" s="2616"/>
      <c r="CX89" s="2616"/>
      <c r="CY89" s="2616"/>
      <c r="CZ89" s="2616"/>
      <c r="DA89" s="2616"/>
      <c r="DB89" s="2616"/>
      <c r="DC89" s="2616"/>
      <c r="DD89" s="2616"/>
      <c r="DE89" s="2616"/>
      <c r="DF89" s="2616"/>
      <c r="DG89" s="2616"/>
      <c r="DH89" s="2616"/>
      <c r="DI89" s="2616"/>
      <c r="DJ89" s="2616"/>
      <c r="DK89" s="2616"/>
      <c r="DL89" s="2616"/>
      <c r="DM89" s="2616"/>
      <c r="DN89" s="2616"/>
      <c r="DO89" s="2616"/>
      <c r="DP89" s="2616"/>
      <c r="DQ89" s="2616"/>
      <c r="DR89" s="2616"/>
      <c r="DS89" s="2616"/>
      <c r="DT89" s="2616"/>
      <c r="DU89" s="2616"/>
      <c r="DV89" s="2616"/>
      <c r="DW89" s="2616"/>
      <c r="DX89" s="2616"/>
      <c r="DY89" s="2616"/>
      <c r="DZ89" s="2616"/>
      <c r="EA89" s="2616"/>
      <c r="EB89" s="2616"/>
      <c r="EC89" s="2616"/>
      <c r="ED89" s="2616"/>
      <c r="EE89" s="2616"/>
      <c r="EF89" s="2616"/>
      <c r="EG89" s="2616"/>
      <c r="EH89" s="2616"/>
      <c r="EI89" s="2616"/>
      <c r="EJ89" s="2616"/>
      <c r="EK89" s="2616"/>
      <c r="EL89" s="2616"/>
      <c r="EM89" s="2616"/>
      <c r="EN89" s="2616"/>
      <c r="EO89" s="2616"/>
      <c r="EP89" s="2616"/>
      <c r="EQ89" s="2616"/>
      <c r="ER89" s="2616"/>
      <c r="ES89" s="2616"/>
      <c r="ET89" s="2616"/>
      <c r="EU89" s="2616"/>
      <c r="EV89" s="2616"/>
      <c r="EW89" s="2616"/>
      <c r="EX89" s="2616"/>
      <c r="EY89" s="2616"/>
      <c r="EZ89" s="2616"/>
      <c r="FA89" s="2616"/>
      <c r="FB89" s="2616"/>
      <c r="FC89" s="2616"/>
      <c r="FD89" s="2616"/>
      <c r="FE89" s="2616"/>
      <c r="FF89" s="2616"/>
      <c r="FG89" s="2616"/>
      <c r="FH89" s="2616"/>
      <c r="FI89" s="2616"/>
      <c r="FJ89" s="2616"/>
      <c r="FK89" s="2616"/>
      <c r="FL89" s="2616"/>
      <c r="FM89" s="2616"/>
      <c r="FN89" s="2893"/>
      <c r="FO89" s="2893"/>
      <c r="FP89" s="2893"/>
      <c r="FQ89" s="2893"/>
      <c r="FR89" s="2893"/>
      <c r="FS89" s="2893"/>
      <c r="FT89" s="2893"/>
      <c r="FU89" s="2893"/>
      <c r="FV89" s="2893"/>
      <c r="FW89" s="2893"/>
      <c r="FX89" s="2893"/>
      <c r="FY89" s="2893"/>
      <c r="FZ89" s="155"/>
      <c r="GA89" s="155"/>
      <c r="GB89" s="155"/>
      <c r="GC89" s="155"/>
      <c r="GD89" s="155"/>
      <c r="GE89" s="155"/>
      <c r="GF89" s="155"/>
      <c r="GG89" s="155"/>
      <c r="GH89" s="155"/>
      <c r="GI89" s="155"/>
      <c r="GJ89" s="155"/>
      <c r="GK89" s="155"/>
    </row>
    <row r="90" spans="2:193" ht="18.75" customHeight="1" x14ac:dyDescent="0.3">
      <c r="B90" s="2893"/>
      <c r="C90" s="2893"/>
      <c r="D90" s="2893"/>
      <c r="E90" s="2893"/>
      <c r="F90" s="2893"/>
      <c r="G90" s="2893"/>
      <c r="H90" s="2893"/>
      <c r="I90" s="2893"/>
      <c r="J90" s="2893"/>
      <c r="K90" s="2893"/>
      <c r="L90" s="2893"/>
      <c r="M90" s="2893"/>
      <c r="N90" s="2893"/>
      <c r="O90" s="2893"/>
      <c r="P90" s="2893"/>
      <c r="Q90" s="2893"/>
      <c r="R90" s="2893"/>
      <c r="S90" s="2893"/>
      <c r="T90" s="2893"/>
      <c r="U90" s="2893"/>
      <c r="V90" s="2893"/>
      <c r="W90" s="2893"/>
      <c r="X90" s="2893"/>
      <c r="Y90" s="2893"/>
      <c r="Z90" s="2893"/>
      <c r="AA90" s="2893"/>
      <c r="AB90" s="2893"/>
      <c r="AC90" s="2893"/>
      <c r="AD90" s="2893"/>
      <c r="AE90" s="2893"/>
      <c r="AF90" s="2893"/>
      <c r="AG90" s="2893"/>
      <c r="AH90" s="2893"/>
      <c r="AI90" s="2893"/>
      <c r="AJ90" s="2893"/>
      <c r="AK90" s="2893"/>
      <c r="AL90" s="2893"/>
      <c r="AM90" s="2893"/>
      <c r="AN90" s="2893"/>
      <c r="AO90" s="2616"/>
      <c r="AP90" s="2616"/>
      <c r="AQ90" s="2616"/>
      <c r="AR90" s="2616"/>
      <c r="AS90" s="2616"/>
      <c r="AT90" s="2616"/>
      <c r="AU90" s="2616"/>
      <c r="AV90" s="2616"/>
      <c r="AW90" s="2616"/>
      <c r="AX90" s="2616"/>
      <c r="AY90" s="2616"/>
      <c r="AZ90" s="2616"/>
      <c r="BA90" s="2616"/>
      <c r="BB90" s="2616"/>
      <c r="BC90" s="2616"/>
      <c r="BD90" s="2616"/>
      <c r="BE90" s="2616"/>
      <c r="BF90" s="2616"/>
      <c r="BG90" s="2616"/>
      <c r="BH90" s="2616"/>
      <c r="BI90" s="2616"/>
      <c r="BJ90" s="2616"/>
      <c r="BK90" s="2616"/>
      <c r="BL90" s="2616"/>
      <c r="BM90" s="2616"/>
      <c r="BN90" s="2616"/>
      <c r="BO90" s="2616"/>
      <c r="BP90" s="2616"/>
      <c r="BQ90" s="2616"/>
      <c r="BR90" s="2616"/>
      <c r="BS90" s="2616"/>
      <c r="BT90" s="2616"/>
      <c r="BU90" s="2616"/>
      <c r="BV90" s="2616"/>
      <c r="BW90" s="2616"/>
      <c r="BX90" s="2616"/>
      <c r="BY90" s="2616"/>
      <c r="BZ90" s="2616"/>
      <c r="CA90" s="2616"/>
      <c r="CB90" s="2616"/>
      <c r="CC90" s="2616"/>
      <c r="CD90" s="2616"/>
      <c r="CE90" s="2616"/>
      <c r="CF90" s="2616"/>
      <c r="CG90" s="2616"/>
      <c r="CH90" s="2616"/>
      <c r="CI90" s="2616"/>
      <c r="CJ90" s="2616"/>
      <c r="CK90" s="2616"/>
      <c r="CL90" s="2616"/>
      <c r="CM90" s="2616"/>
      <c r="CN90" s="2616"/>
      <c r="CO90" s="2616"/>
      <c r="CP90" s="2616"/>
      <c r="CQ90" s="2616"/>
      <c r="CR90" s="2616"/>
      <c r="CS90" s="2616"/>
      <c r="CT90" s="2616"/>
      <c r="CU90" s="2616"/>
      <c r="CV90" s="2616"/>
      <c r="CW90" s="2616"/>
      <c r="CX90" s="2616"/>
      <c r="CY90" s="2616"/>
      <c r="CZ90" s="2616"/>
      <c r="DA90" s="2616"/>
      <c r="DB90" s="2616"/>
      <c r="DC90" s="2616"/>
      <c r="DD90" s="2616"/>
      <c r="DE90" s="2616"/>
      <c r="DF90" s="2616"/>
      <c r="DG90" s="2616"/>
      <c r="DH90" s="2616"/>
      <c r="DI90" s="2616"/>
      <c r="DJ90" s="2616"/>
      <c r="DK90" s="2616"/>
      <c r="DL90" s="2616"/>
      <c r="DM90" s="2616"/>
      <c r="DN90" s="2616"/>
      <c r="DO90" s="2616"/>
      <c r="DP90" s="2616"/>
      <c r="DQ90" s="2616"/>
      <c r="DR90" s="2616"/>
      <c r="DS90" s="2616"/>
      <c r="DT90" s="2616"/>
      <c r="DU90" s="2616"/>
      <c r="DV90" s="2616"/>
      <c r="DW90" s="2616"/>
      <c r="DX90" s="2616"/>
      <c r="DY90" s="2616"/>
      <c r="DZ90" s="2616"/>
      <c r="EA90" s="2616"/>
      <c r="EB90" s="2616"/>
      <c r="EC90" s="2616"/>
      <c r="ED90" s="2616"/>
      <c r="EE90" s="2616"/>
      <c r="EF90" s="2616"/>
      <c r="EG90" s="2616"/>
      <c r="EH90" s="2616"/>
      <c r="EI90" s="2616"/>
      <c r="EJ90" s="2616"/>
      <c r="EK90" s="2616"/>
      <c r="EL90" s="2616"/>
      <c r="EM90" s="2616"/>
      <c r="EN90" s="2616"/>
      <c r="EO90" s="2616"/>
      <c r="EP90" s="2616"/>
      <c r="EQ90" s="2616"/>
      <c r="ER90" s="2616"/>
      <c r="ES90" s="2616"/>
      <c r="ET90" s="2616"/>
      <c r="EU90" s="2616"/>
      <c r="EV90" s="2616"/>
      <c r="EW90" s="2616"/>
      <c r="EX90" s="2616"/>
      <c r="EY90" s="2616"/>
      <c r="EZ90" s="2616"/>
      <c r="FA90" s="2616"/>
      <c r="FB90" s="2616"/>
      <c r="FC90" s="2616"/>
      <c r="FD90" s="2616"/>
      <c r="FE90" s="2616"/>
      <c r="FF90" s="2616"/>
      <c r="FG90" s="2616"/>
      <c r="FH90" s="2616"/>
      <c r="FI90" s="2616"/>
      <c r="FJ90" s="2616"/>
      <c r="FK90" s="2616"/>
      <c r="FL90" s="2616"/>
      <c r="FM90" s="2616"/>
      <c r="FN90" s="2893"/>
      <c r="FO90" s="2893"/>
      <c r="FP90" s="2893"/>
      <c r="FQ90" s="2893"/>
      <c r="FR90" s="2893"/>
      <c r="FS90" s="2893"/>
      <c r="FT90" s="2893"/>
      <c r="FU90" s="2893"/>
      <c r="FV90" s="2893"/>
      <c r="FW90" s="2893"/>
      <c r="FX90" s="2893"/>
      <c r="FY90" s="2893"/>
      <c r="FZ90" s="155"/>
      <c r="GA90" s="155"/>
      <c r="GB90" s="155"/>
      <c r="GC90" s="155"/>
      <c r="GD90" s="155"/>
      <c r="GE90" s="155"/>
      <c r="GF90" s="155"/>
      <c r="GG90" s="155"/>
      <c r="GH90" s="155"/>
      <c r="GI90" s="155"/>
      <c r="GJ90" s="155"/>
      <c r="GK90" s="155"/>
    </row>
    <row r="91" spans="2:193" ht="18.75" customHeight="1" x14ac:dyDescent="0.3">
      <c r="B91" s="2893"/>
      <c r="C91" s="2893"/>
      <c r="D91" s="2893"/>
      <c r="E91" s="2893"/>
      <c r="F91" s="2893"/>
      <c r="G91" s="2893"/>
      <c r="H91" s="2893"/>
      <c r="I91" s="2893"/>
      <c r="J91" s="2893"/>
      <c r="K91" s="2893"/>
      <c r="L91" s="2893"/>
      <c r="M91" s="2893"/>
      <c r="N91" s="2893"/>
      <c r="O91" s="2893"/>
      <c r="P91" s="2893"/>
      <c r="Q91" s="2893"/>
      <c r="R91" s="2893"/>
      <c r="S91" s="2893"/>
      <c r="T91" s="2893"/>
      <c r="U91" s="2893"/>
      <c r="V91" s="2893"/>
      <c r="W91" s="2893"/>
      <c r="X91" s="2893"/>
      <c r="Y91" s="2893"/>
      <c r="Z91" s="2893"/>
      <c r="AA91" s="2893"/>
      <c r="AB91" s="2893"/>
      <c r="AC91" s="2893"/>
      <c r="AD91" s="2893"/>
      <c r="AE91" s="2893"/>
      <c r="AF91" s="2893"/>
      <c r="AG91" s="2893"/>
      <c r="AH91" s="2893"/>
      <c r="AI91" s="2893"/>
      <c r="AJ91" s="2893"/>
      <c r="AK91" s="2893"/>
      <c r="AL91" s="2893"/>
      <c r="AM91" s="2893"/>
      <c r="AN91" s="2893"/>
      <c r="AO91" s="2616"/>
      <c r="AP91" s="2616"/>
      <c r="AQ91" s="2616"/>
      <c r="AR91" s="2616"/>
      <c r="AS91" s="2616"/>
      <c r="AT91" s="2616"/>
      <c r="AU91" s="2616"/>
      <c r="AV91" s="2616"/>
      <c r="AW91" s="2616"/>
      <c r="AX91" s="2616"/>
      <c r="AY91" s="2616"/>
      <c r="AZ91" s="2616"/>
      <c r="BA91" s="2616"/>
      <c r="BB91" s="2616"/>
      <c r="BC91" s="2616"/>
      <c r="BD91" s="2616"/>
      <c r="BE91" s="2616"/>
      <c r="BF91" s="2616"/>
      <c r="BG91" s="2616"/>
      <c r="BH91" s="2616"/>
      <c r="BI91" s="2616"/>
      <c r="BJ91" s="2616"/>
      <c r="BK91" s="2616"/>
      <c r="BL91" s="2616"/>
      <c r="BM91" s="2616"/>
      <c r="BN91" s="2616"/>
      <c r="BO91" s="2616"/>
      <c r="BP91" s="2616"/>
      <c r="BQ91" s="2616"/>
      <c r="BR91" s="2616"/>
      <c r="BS91" s="2616"/>
      <c r="BT91" s="2616"/>
      <c r="BU91" s="2616"/>
      <c r="BV91" s="2616"/>
      <c r="BW91" s="2616"/>
      <c r="BX91" s="2616"/>
      <c r="BY91" s="2616"/>
      <c r="BZ91" s="2616"/>
      <c r="CA91" s="2616"/>
      <c r="CB91" s="2616"/>
      <c r="CC91" s="2616"/>
      <c r="CD91" s="2616"/>
      <c r="CE91" s="2616"/>
      <c r="CF91" s="2616"/>
      <c r="CG91" s="2616"/>
      <c r="CH91" s="2616"/>
      <c r="CI91" s="2616"/>
      <c r="CJ91" s="2616"/>
      <c r="CK91" s="2616"/>
      <c r="CL91" s="2616"/>
      <c r="CM91" s="2616"/>
      <c r="CN91" s="2616"/>
      <c r="CO91" s="2616"/>
      <c r="CP91" s="2616"/>
      <c r="CQ91" s="2616"/>
      <c r="CR91" s="2616"/>
      <c r="CS91" s="2616"/>
      <c r="CT91" s="2616"/>
      <c r="CU91" s="2616"/>
      <c r="CV91" s="2616"/>
      <c r="CW91" s="2616"/>
      <c r="CX91" s="2616"/>
      <c r="CY91" s="2616"/>
      <c r="CZ91" s="2616"/>
      <c r="DA91" s="2616"/>
      <c r="DB91" s="2616"/>
      <c r="DC91" s="2616"/>
      <c r="DD91" s="2616"/>
      <c r="DE91" s="2616"/>
      <c r="DF91" s="2616"/>
      <c r="DG91" s="2616"/>
      <c r="DH91" s="2616"/>
      <c r="DI91" s="2616"/>
      <c r="DJ91" s="2616"/>
      <c r="DK91" s="2616"/>
      <c r="DL91" s="2616"/>
      <c r="DM91" s="2616"/>
      <c r="DN91" s="2616"/>
      <c r="DO91" s="2616"/>
      <c r="DP91" s="2616"/>
      <c r="DQ91" s="2616"/>
      <c r="DR91" s="2616"/>
      <c r="DS91" s="2616"/>
      <c r="DT91" s="2616"/>
      <c r="DU91" s="2616"/>
      <c r="DV91" s="2616"/>
      <c r="DW91" s="2616"/>
      <c r="DX91" s="2616"/>
      <c r="DY91" s="2616"/>
      <c r="DZ91" s="2616"/>
      <c r="EA91" s="2616"/>
      <c r="EB91" s="2616"/>
      <c r="EC91" s="2616"/>
      <c r="ED91" s="2616"/>
      <c r="EE91" s="2616"/>
      <c r="EF91" s="2616"/>
      <c r="EG91" s="2616"/>
      <c r="EH91" s="2616"/>
      <c r="EI91" s="2616"/>
      <c r="EJ91" s="2616"/>
      <c r="EK91" s="2616"/>
      <c r="EL91" s="2616"/>
      <c r="EM91" s="2616"/>
      <c r="EN91" s="2616"/>
      <c r="EO91" s="2616"/>
      <c r="EP91" s="2616"/>
      <c r="EQ91" s="2616"/>
      <c r="ER91" s="2616"/>
      <c r="ES91" s="2616"/>
      <c r="ET91" s="2616"/>
      <c r="EU91" s="2616"/>
      <c r="EV91" s="2616"/>
      <c r="EW91" s="2616"/>
      <c r="EX91" s="2616"/>
      <c r="EY91" s="2616"/>
      <c r="EZ91" s="2616"/>
      <c r="FA91" s="2616"/>
      <c r="FB91" s="2616"/>
      <c r="FC91" s="2616"/>
      <c r="FD91" s="2616"/>
      <c r="FE91" s="2616"/>
      <c r="FF91" s="2616"/>
      <c r="FG91" s="2616"/>
      <c r="FH91" s="2616"/>
      <c r="FI91" s="2616"/>
      <c r="FJ91" s="2616"/>
      <c r="FK91" s="2616"/>
      <c r="FL91" s="2616"/>
      <c r="FM91" s="2616"/>
      <c r="FN91" s="2893"/>
      <c r="FO91" s="2893"/>
      <c r="FP91" s="2893"/>
      <c r="FQ91" s="2893"/>
      <c r="FR91" s="2893"/>
      <c r="FS91" s="2893"/>
      <c r="FT91" s="2893"/>
      <c r="FU91" s="2893"/>
      <c r="FV91" s="2893"/>
      <c r="FW91" s="2893"/>
      <c r="FX91" s="2893"/>
      <c r="FY91" s="2893"/>
      <c r="FZ91" s="155"/>
      <c r="GA91" s="155"/>
      <c r="GB91" s="155"/>
      <c r="GC91" s="155"/>
      <c r="GD91" s="155"/>
      <c r="GE91" s="155"/>
      <c r="GF91" s="155"/>
      <c r="GG91" s="155"/>
      <c r="GH91" s="155"/>
      <c r="GI91" s="155"/>
      <c r="GJ91" s="155"/>
      <c r="GK91" s="155"/>
    </row>
    <row r="92" spans="2:193" ht="18.75" customHeight="1" x14ac:dyDescent="0.3">
      <c r="B92" s="2893"/>
      <c r="C92" s="2893"/>
      <c r="D92" s="2893"/>
      <c r="E92" s="2893"/>
      <c r="F92" s="2893"/>
      <c r="G92" s="2893"/>
      <c r="H92" s="2893"/>
      <c r="I92" s="2893"/>
      <c r="J92" s="2893"/>
      <c r="K92" s="2893"/>
      <c r="L92" s="2893"/>
      <c r="M92" s="2893"/>
      <c r="N92" s="2893"/>
      <c r="O92" s="2893"/>
      <c r="P92" s="2893"/>
      <c r="Q92" s="2893"/>
      <c r="R92" s="2893"/>
      <c r="S92" s="2893"/>
      <c r="T92" s="2893"/>
      <c r="U92" s="2893"/>
      <c r="V92" s="2893"/>
      <c r="W92" s="2893"/>
      <c r="X92" s="2893"/>
      <c r="Y92" s="2893"/>
      <c r="Z92" s="2893"/>
      <c r="AA92" s="2893"/>
      <c r="AB92" s="2893"/>
      <c r="AC92" s="2893"/>
      <c r="AD92" s="2893"/>
      <c r="AE92" s="2893"/>
      <c r="AF92" s="2893"/>
      <c r="AG92" s="2893"/>
      <c r="AH92" s="2893"/>
      <c r="AI92" s="2893"/>
      <c r="AJ92" s="2893"/>
      <c r="AK92" s="2893"/>
      <c r="AL92" s="2893"/>
      <c r="AM92" s="2893"/>
      <c r="AN92" s="2893"/>
      <c r="AO92" s="2616"/>
      <c r="AP92" s="2616"/>
      <c r="AQ92" s="2616"/>
      <c r="AR92" s="2616"/>
      <c r="AS92" s="2616"/>
      <c r="AT92" s="2616"/>
      <c r="AU92" s="2616"/>
      <c r="AV92" s="2616"/>
      <c r="AW92" s="2616"/>
      <c r="AX92" s="2616"/>
      <c r="AY92" s="2616"/>
      <c r="AZ92" s="2616"/>
      <c r="BA92" s="2616"/>
      <c r="BB92" s="2616"/>
      <c r="BC92" s="2616"/>
      <c r="BD92" s="2616"/>
      <c r="BE92" s="2616"/>
      <c r="BF92" s="2616"/>
      <c r="BG92" s="2616"/>
      <c r="BH92" s="2616"/>
      <c r="BI92" s="2616"/>
      <c r="BJ92" s="2616"/>
      <c r="BK92" s="2616"/>
      <c r="BL92" s="2616"/>
      <c r="BM92" s="2616"/>
      <c r="BN92" s="2616"/>
      <c r="BO92" s="2616"/>
      <c r="BP92" s="2616"/>
      <c r="BQ92" s="2616"/>
      <c r="BR92" s="2616"/>
      <c r="BS92" s="2616"/>
      <c r="BT92" s="2616"/>
      <c r="BU92" s="2616"/>
      <c r="BV92" s="2616"/>
      <c r="BW92" s="2616"/>
      <c r="BX92" s="2616"/>
      <c r="BY92" s="2616"/>
      <c r="BZ92" s="2616"/>
      <c r="CA92" s="2616"/>
      <c r="CB92" s="2616"/>
      <c r="CC92" s="2616"/>
      <c r="CD92" s="2616"/>
      <c r="CE92" s="2616"/>
      <c r="CF92" s="2616"/>
      <c r="CG92" s="2616"/>
      <c r="CH92" s="2616"/>
      <c r="CI92" s="2616"/>
      <c r="CJ92" s="2616"/>
      <c r="CK92" s="2616"/>
      <c r="CL92" s="2616"/>
      <c r="CM92" s="2616"/>
      <c r="CN92" s="2616"/>
      <c r="CO92" s="2616"/>
      <c r="CP92" s="2616"/>
      <c r="CQ92" s="2616"/>
      <c r="CR92" s="2616"/>
      <c r="CS92" s="2616"/>
      <c r="CT92" s="2616"/>
      <c r="CU92" s="2616"/>
      <c r="CV92" s="2616"/>
      <c r="CW92" s="2616"/>
      <c r="CX92" s="2616"/>
      <c r="CY92" s="2616"/>
      <c r="CZ92" s="2616"/>
      <c r="DA92" s="2616"/>
      <c r="DB92" s="2616"/>
      <c r="DC92" s="2616"/>
      <c r="DD92" s="2616"/>
      <c r="DE92" s="2616"/>
      <c r="DF92" s="2616"/>
      <c r="DG92" s="2616"/>
      <c r="DH92" s="2616"/>
      <c r="DI92" s="2616"/>
      <c r="DJ92" s="2616"/>
      <c r="DK92" s="2616"/>
      <c r="DL92" s="2616"/>
      <c r="DM92" s="2616"/>
      <c r="DN92" s="2616"/>
      <c r="DO92" s="2616"/>
      <c r="DP92" s="2616"/>
      <c r="DQ92" s="2616"/>
      <c r="DR92" s="2616"/>
      <c r="DS92" s="2616"/>
      <c r="DT92" s="2616"/>
      <c r="DU92" s="2616"/>
      <c r="DV92" s="2616"/>
      <c r="DW92" s="2616"/>
      <c r="DX92" s="2616"/>
      <c r="DY92" s="2616"/>
      <c r="DZ92" s="2616"/>
      <c r="EA92" s="2616"/>
      <c r="EB92" s="2616"/>
      <c r="EC92" s="2616"/>
      <c r="ED92" s="2616"/>
      <c r="EE92" s="2616"/>
      <c r="EF92" s="2616"/>
      <c r="EG92" s="2616"/>
      <c r="EH92" s="2616"/>
      <c r="EI92" s="2616"/>
      <c r="EJ92" s="2616"/>
      <c r="EK92" s="2616"/>
      <c r="EL92" s="2616"/>
      <c r="EM92" s="2616"/>
      <c r="EN92" s="2616"/>
      <c r="EO92" s="2616"/>
      <c r="EP92" s="2616"/>
      <c r="EQ92" s="2616"/>
      <c r="ER92" s="2616"/>
      <c r="ES92" s="2616"/>
      <c r="ET92" s="2616"/>
      <c r="EU92" s="2616"/>
      <c r="EV92" s="2616"/>
      <c r="EW92" s="2616"/>
      <c r="EX92" s="2616"/>
      <c r="EY92" s="2616"/>
      <c r="EZ92" s="2616"/>
      <c r="FA92" s="2616"/>
      <c r="FB92" s="2616"/>
      <c r="FC92" s="2616"/>
      <c r="FD92" s="2616"/>
      <c r="FE92" s="2616"/>
      <c r="FF92" s="2616"/>
      <c r="FG92" s="2616"/>
      <c r="FH92" s="2616"/>
      <c r="FI92" s="2616"/>
      <c r="FJ92" s="2616"/>
      <c r="FK92" s="2616"/>
      <c r="FL92" s="2616"/>
      <c r="FM92" s="2616"/>
      <c r="FN92" s="2893"/>
      <c r="FO92" s="2893"/>
      <c r="FP92" s="2893"/>
      <c r="FQ92" s="2893"/>
      <c r="FR92" s="2893"/>
      <c r="FS92" s="2893"/>
      <c r="FT92" s="2893"/>
      <c r="FU92" s="2893"/>
      <c r="FV92" s="2893"/>
      <c r="FW92" s="2893"/>
      <c r="FX92" s="2893"/>
      <c r="FY92" s="2893"/>
      <c r="FZ92" s="155"/>
      <c r="GA92" s="155"/>
      <c r="GB92" s="155"/>
      <c r="GC92" s="155"/>
      <c r="GD92" s="155"/>
      <c r="GE92" s="155"/>
      <c r="GF92" s="155"/>
      <c r="GG92" s="155"/>
      <c r="GH92" s="155"/>
      <c r="GI92" s="155"/>
      <c r="GJ92" s="155"/>
      <c r="GK92" s="155"/>
    </row>
    <row r="93" spans="2:193" ht="18.75" customHeight="1" x14ac:dyDescent="0.3">
      <c r="B93" s="2893"/>
      <c r="C93" s="2893"/>
      <c r="D93" s="2893"/>
      <c r="E93" s="2893"/>
      <c r="F93" s="2893"/>
      <c r="G93" s="2893"/>
      <c r="H93" s="2893"/>
      <c r="I93" s="2893"/>
      <c r="J93" s="2893"/>
      <c r="K93" s="2893"/>
      <c r="L93" s="2893"/>
      <c r="M93" s="2893"/>
      <c r="N93" s="2893"/>
      <c r="O93" s="2893"/>
      <c r="P93" s="2893"/>
      <c r="Q93" s="2893"/>
      <c r="R93" s="2893"/>
      <c r="S93" s="2893"/>
      <c r="T93" s="2893"/>
      <c r="U93" s="2893"/>
      <c r="V93" s="2893"/>
      <c r="W93" s="2893"/>
      <c r="X93" s="2893"/>
      <c r="Y93" s="2893"/>
      <c r="Z93" s="2893"/>
      <c r="AA93" s="2893"/>
      <c r="AB93" s="2893"/>
      <c r="AC93" s="2893"/>
      <c r="AD93" s="2893"/>
      <c r="AE93" s="2893"/>
      <c r="AF93" s="2893"/>
      <c r="AG93" s="2893"/>
      <c r="AH93" s="2893"/>
      <c r="AI93" s="2893"/>
      <c r="AJ93" s="2893"/>
      <c r="AK93" s="2893"/>
      <c r="AL93" s="2893"/>
      <c r="AM93" s="2893"/>
      <c r="AN93" s="2893"/>
      <c r="AO93" s="2616"/>
      <c r="AP93" s="2616"/>
      <c r="AQ93" s="2616"/>
      <c r="AR93" s="2616"/>
      <c r="AS93" s="2616"/>
      <c r="AT93" s="2616"/>
      <c r="AU93" s="2616"/>
      <c r="AV93" s="2616"/>
      <c r="AW93" s="2616"/>
      <c r="AX93" s="2616"/>
      <c r="AY93" s="2616"/>
      <c r="AZ93" s="2616"/>
      <c r="BA93" s="2616"/>
      <c r="BB93" s="2616"/>
      <c r="BC93" s="2616"/>
      <c r="BD93" s="2616"/>
      <c r="BE93" s="2616"/>
      <c r="BF93" s="2616"/>
      <c r="BG93" s="2616"/>
      <c r="BH93" s="2616"/>
      <c r="BI93" s="2616"/>
      <c r="BJ93" s="2616"/>
      <c r="BK93" s="2616"/>
      <c r="BL93" s="2616"/>
      <c r="BM93" s="2616"/>
      <c r="BN93" s="2616"/>
      <c r="BO93" s="2616"/>
      <c r="BP93" s="2616"/>
      <c r="BQ93" s="2616"/>
      <c r="BR93" s="2616"/>
      <c r="BS93" s="2616"/>
      <c r="BT93" s="2616"/>
      <c r="BU93" s="2616"/>
      <c r="BV93" s="2616"/>
      <c r="BW93" s="2616"/>
      <c r="BX93" s="2616"/>
      <c r="BY93" s="2616"/>
      <c r="BZ93" s="2616"/>
      <c r="CA93" s="2616"/>
      <c r="CB93" s="2616"/>
      <c r="CC93" s="2616"/>
      <c r="CD93" s="2616"/>
      <c r="CE93" s="2616"/>
      <c r="CF93" s="2616"/>
      <c r="CG93" s="2616"/>
      <c r="CH93" s="2616"/>
      <c r="CI93" s="2616"/>
      <c r="CJ93" s="2616"/>
      <c r="CK93" s="2616"/>
      <c r="CL93" s="2616"/>
      <c r="CM93" s="2616"/>
      <c r="CN93" s="2616"/>
      <c r="CO93" s="2616"/>
      <c r="CP93" s="2616"/>
      <c r="CQ93" s="2616"/>
      <c r="CR93" s="2616"/>
      <c r="CS93" s="2616"/>
      <c r="CT93" s="2616"/>
      <c r="CU93" s="2616"/>
      <c r="CV93" s="2616"/>
      <c r="CW93" s="2616"/>
      <c r="CX93" s="2616"/>
      <c r="CY93" s="2616"/>
      <c r="CZ93" s="2616"/>
      <c r="DA93" s="2616"/>
      <c r="DB93" s="2616"/>
      <c r="DC93" s="2616"/>
      <c r="DD93" s="2616"/>
      <c r="DE93" s="2616"/>
      <c r="DF93" s="2616"/>
      <c r="DG93" s="2616"/>
      <c r="DH93" s="2616"/>
      <c r="DI93" s="2616"/>
      <c r="DJ93" s="2616"/>
      <c r="DK93" s="2616"/>
      <c r="DL93" s="2616"/>
      <c r="DM93" s="2616"/>
      <c r="DN93" s="2616"/>
      <c r="DO93" s="2616"/>
      <c r="DP93" s="2616"/>
      <c r="DQ93" s="2616"/>
      <c r="DR93" s="2616"/>
      <c r="DS93" s="2616"/>
      <c r="DT93" s="2616"/>
      <c r="DU93" s="2616"/>
      <c r="DV93" s="2616"/>
      <c r="DW93" s="2616"/>
      <c r="DX93" s="2616"/>
      <c r="DY93" s="2616"/>
      <c r="DZ93" s="2616"/>
      <c r="EA93" s="2616"/>
      <c r="EB93" s="2616"/>
      <c r="EC93" s="2616"/>
      <c r="ED93" s="2616"/>
      <c r="EE93" s="2616"/>
      <c r="EF93" s="2616"/>
      <c r="EG93" s="2616"/>
      <c r="EH93" s="2616"/>
      <c r="EI93" s="2616"/>
      <c r="EJ93" s="2616"/>
      <c r="EK93" s="2616"/>
      <c r="EL93" s="2616"/>
      <c r="EM93" s="2616"/>
      <c r="EN93" s="2616"/>
      <c r="EO93" s="2616"/>
      <c r="EP93" s="2616"/>
      <c r="EQ93" s="2616"/>
      <c r="ER93" s="2616"/>
      <c r="ES93" s="2616"/>
      <c r="ET93" s="2616"/>
      <c r="EU93" s="2616"/>
      <c r="EV93" s="2616"/>
      <c r="EW93" s="2616"/>
      <c r="EX93" s="2616"/>
      <c r="EY93" s="2616"/>
      <c r="EZ93" s="2616"/>
      <c r="FA93" s="2616"/>
      <c r="FB93" s="2616"/>
      <c r="FC93" s="2616"/>
      <c r="FD93" s="2616"/>
      <c r="FE93" s="2616"/>
      <c r="FF93" s="2616"/>
      <c r="FG93" s="2616"/>
      <c r="FH93" s="2616"/>
      <c r="FI93" s="2616"/>
      <c r="FJ93" s="2616"/>
      <c r="FK93" s="2616"/>
      <c r="FL93" s="2616"/>
      <c r="FM93" s="2616"/>
      <c r="FN93" s="2893"/>
      <c r="FO93" s="2893"/>
      <c r="FP93" s="2893"/>
      <c r="FQ93" s="2893"/>
      <c r="FR93" s="2893"/>
      <c r="FS93" s="2893"/>
      <c r="FT93" s="2893"/>
      <c r="FU93" s="2893"/>
      <c r="FV93" s="2893"/>
      <c r="FW93" s="2893"/>
      <c r="FX93" s="2893"/>
      <c r="FY93" s="2893"/>
      <c r="FZ93" s="155"/>
      <c r="GA93" s="155"/>
      <c r="GB93" s="155"/>
      <c r="GC93" s="155"/>
      <c r="GD93" s="155"/>
      <c r="GE93" s="155"/>
      <c r="GF93" s="155"/>
      <c r="GG93" s="155"/>
      <c r="GH93" s="155"/>
      <c r="GI93" s="155"/>
      <c r="GJ93" s="155"/>
      <c r="GK93" s="155"/>
    </row>
    <row r="94" spans="2:193" ht="18.75" customHeight="1" x14ac:dyDescent="0.3">
      <c r="B94" s="2893"/>
      <c r="C94" s="2893"/>
      <c r="D94" s="2893"/>
      <c r="E94" s="2893"/>
      <c r="F94" s="2893"/>
      <c r="G94" s="2893"/>
      <c r="H94" s="2893"/>
      <c r="I94" s="2893"/>
      <c r="J94" s="2893"/>
      <c r="K94" s="2893"/>
      <c r="L94" s="2893"/>
      <c r="M94" s="2893"/>
      <c r="N94" s="2893"/>
      <c r="O94" s="2893"/>
      <c r="P94" s="2893"/>
      <c r="Q94" s="2893"/>
      <c r="R94" s="2893"/>
      <c r="S94" s="2893"/>
      <c r="T94" s="2893"/>
      <c r="U94" s="2893"/>
      <c r="V94" s="2893"/>
      <c r="W94" s="2893"/>
      <c r="X94" s="2893"/>
      <c r="Y94" s="2893"/>
      <c r="Z94" s="2893"/>
      <c r="AA94" s="2893"/>
      <c r="AB94" s="2893"/>
      <c r="AC94" s="2893"/>
      <c r="AD94" s="2893"/>
      <c r="AE94" s="2893"/>
      <c r="AF94" s="2893"/>
      <c r="AG94" s="2893"/>
      <c r="AH94" s="2893"/>
      <c r="AI94" s="2893"/>
      <c r="AJ94" s="2893"/>
      <c r="AK94" s="2893"/>
      <c r="AL94" s="2893"/>
      <c r="AM94" s="2893"/>
      <c r="AN94" s="2893"/>
      <c r="AO94" s="2616"/>
      <c r="AP94" s="2616"/>
      <c r="AQ94" s="2616"/>
      <c r="AR94" s="2616"/>
      <c r="AS94" s="2616"/>
      <c r="AT94" s="2616"/>
      <c r="AU94" s="2616"/>
      <c r="AV94" s="2616"/>
      <c r="AW94" s="2616"/>
      <c r="AX94" s="2616"/>
      <c r="AY94" s="2616"/>
      <c r="AZ94" s="2616"/>
      <c r="BA94" s="2616"/>
      <c r="BB94" s="2616"/>
      <c r="BC94" s="2616"/>
      <c r="BD94" s="2616"/>
      <c r="BE94" s="2616"/>
      <c r="BF94" s="2616"/>
      <c r="BG94" s="2616"/>
      <c r="BH94" s="2616"/>
      <c r="BI94" s="2616"/>
      <c r="BJ94" s="2616"/>
      <c r="BK94" s="2616"/>
      <c r="BL94" s="2616"/>
      <c r="BM94" s="2616"/>
      <c r="BN94" s="2616"/>
      <c r="BO94" s="2616"/>
      <c r="BP94" s="2616"/>
      <c r="BQ94" s="2616"/>
      <c r="BR94" s="2616"/>
      <c r="BS94" s="2616"/>
      <c r="BT94" s="2616"/>
      <c r="BU94" s="2616"/>
      <c r="BV94" s="2616"/>
      <c r="BW94" s="2616"/>
      <c r="BX94" s="2616"/>
      <c r="BY94" s="2616"/>
      <c r="BZ94" s="2616"/>
      <c r="CA94" s="2616"/>
      <c r="CB94" s="2616"/>
      <c r="CC94" s="2616"/>
      <c r="CD94" s="2616"/>
      <c r="CE94" s="2616"/>
      <c r="CF94" s="2616"/>
      <c r="CG94" s="2616"/>
      <c r="CH94" s="2616"/>
      <c r="CI94" s="2616"/>
      <c r="CJ94" s="2616"/>
      <c r="CK94" s="2616"/>
      <c r="CL94" s="2616"/>
      <c r="CM94" s="2616"/>
      <c r="CN94" s="2616"/>
      <c r="CO94" s="2616"/>
      <c r="CP94" s="2616"/>
      <c r="CQ94" s="2616"/>
      <c r="CR94" s="2616"/>
      <c r="CS94" s="2616"/>
      <c r="CT94" s="2616"/>
      <c r="CU94" s="2616"/>
      <c r="CV94" s="2616"/>
      <c r="CW94" s="2616"/>
      <c r="CX94" s="2616"/>
      <c r="CY94" s="2616"/>
      <c r="CZ94" s="2616"/>
      <c r="DA94" s="2616"/>
      <c r="DB94" s="2616"/>
      <c r="DC94" s="2616"/>
      <c r="DD94" s="2616"/>
      <c r="DE94" s="2616"/>
      <c r="DF94" s="2616"/>
      <c r="DG94" s="2616"/>
      <c r="DH94" s="2616"/>
      <c r="DI94" s="2616"/>
      <c r="DJ94" s="2616"/>
      <c r="DK94" s="2616"/>
      <c r="DL94" s="2616"/>
      <c r="DM94" s="2616"/>
      <c r="DN94" s="2616"/>
      <c r="DO94" s="2616"/>
      <c r="DP94" s="2616"/>
      <c r="DQ94" s="2616"/>
      <c r="DR94" s="2616"/>
      <c r="DS94" s="2616"/>
      <c r="DT94" s="2616"/>
      <c r="DU94" s="2616"/>
      <c r="DV94" s="2616"/>
      <c r="DW94" s="2616"/>
      <c r="DX94" s="2616"/>
      <c r="DY94" s="2616"/>
      <c r="DZ94" s="2616"/>
      <c r="EA94" s="2616"/>
      <c r="EB94" s="2616"/>
      <c r="EC94" s="2616"/>
      <c r="ED94" s="2616"/>
      <c r="EE94" s="2616"/>
      <c r="EF94" s="2616"/>
      <c r="EG94" s="2616"/>
      <c r="EH94" s="2616"/>
      <c r="EI94" s="2616"/>
      <c r="EJ94" s="2616"/>
      <c r="EK94" s="2616"/>
      <c r="EL94" s="2616"/>
      <c r="EM94" s="2616"/>
      <c r="EN94" s="2616"/>
      <c r="EO94" s="2616"/>
      <c r="EP94" s="2616"/>
      <c r="EQ94" s="2616"/>
      <c r="ER94" s="2616"/>
      <c r="ES94" s="2616"/>
      <c r="ET94" s="2616"/>
      <c r="EU94" s="2616"/>
      <c r="EV94" s="2616"/>
      <c r="EW94" s="2616"/>
      <c r="EX94" s="2616"/>
      <c r="EY94" s="2616"/>
      <c r="EZ94" s="2616"/>
      <c r="FA94" s="2616"/>
      <c r="FB94" s="2616"/>
      <c r="FC94" s="2616"/>
      <c r="FD94" s="2616"/>
      <c r="FE94" s="2616"/>
      <c r="FF94" s="2616"/>
      <c r="FG94" s="2616"/>
      <c r="FH94" s="2616"/>
      <c r="FI94" s="2616"/>
      <c r="FJ94" s="2616"/>
      <c r="FK94" s="2616"/>
      <c r="FL94" s="2616"/>
      <c r="FM94" s="2616"/>
      <c r="FN94" s="2893"/>
      <c r="FO94" s="2893"/>
      <c r="FP94" s="2893"/>
      <c r="FQ94" s="2893"/>
      <c r="FR94" s="2893"/>
      <c r="FS94" s="2893"/>
      <c r="FT94" s="2893"/>
      <c r="FU94" s="2893"/>
      <c r="FV94" s="2893"/>
      <c r="FW94" s="2893"/>
      <c r="FX94" s="2893"/>
      <c r="FY94" s="2893"/>
      <c r="FZ94" s="155"/>
      <c r="GA94" s="155"/>
      <c r="GB94" s="155"/>
      <c r="GC94" s="155"/>
      <c r="GD94" s="155"/>
      <c r="GE94" s="155"/>
      <c r="GF94" s="155"/>
      <c r="GG94" s="155"/>
      <c r="GH94" s="155"/>
      <c r="GI94" s="155"/>
      <c r="GJ94" s="155"/>
      <c r="GK94" s="155"/>
    </row>
    <row r="95" spans="2:193" ht="18.75" customHeight="1" x14ac:dyDescent="0.3">
      <c r="B95" s="2893"/>
      <c r="C95" s="2893"/>
      <c r="D95" s="2893"/>
      <c r="E95" s="2893"/>
      <c r="F95" s="2893"/>
      <c r="G95" s="2893"/>
      <c r="H95" s="2893"/>
      <c r="I95" s="2893"/>
      <c r="J95" s="2893"/>
      <c r="K95" s="2893"/>
      <c r="L95" s="2893"/>
      <c r="M95" s="2893"/>
      <c r="N95" s="2893"/>
      <c r="O95" s="2893"/>
      <c r="P95" s="2893"/>
      <c r="Q95" s="2893"/>
      <c r="R95" s="2893"/>
      <c r="S95" s="2893"/>
      <c r="T95" s="2893"/>
      <c r="U95" s="2893"/>
      <c r="V95" s="2893"/>
      <c r="W95" s="2893"/>
      <c r="X95" s="2893"/>
      <c r="Y95" s="2893"/>
      <c r="Z95" s="2893"/>
      <c r="AA95" s="2893"/>
      <c r="AB95" s="2893"/>
      <c r="AC95" s="2893"/>
      <c r="AD95" s="2893"/>
      <c r="AE95" s="2893"/>
      <c r="AF95" s="2893"/>
      <c r="AG95" s="2893"/>
      <c r="AH95" s="2893"/>
      <c r="AI95" s="2893"/>
      <c r="AJ95" s="2893"/>
      <c r="AK95" s="2893"/>
      <c r="AL95" s="2893"/>
      <c r="AM95" s="2893"/>
      <c r="AN95" s="2893"/>
      <c r="AO95" s="2616"/>
      <c r="AP95" s="2616"/>
      <c r="AQ95" s="2616"/>
      <c r="AR95" s="2616"/>
      <c r="AS95" s="2616"/>
      <c r="AT95" s="2616"/>
      <c r="AU95" s="2616"/>
      <c r="AV95" s="2616"/>
      <c r="AW95" s="2616"/>
      <c r="AX95" s="2616"/>
      <c r="AY95" s="2616"/>
      <c r="AZ95" s="2616"/>
      <c r="BA95" s="2616"/>
      <c r="BB95" s="2616"/>
      <c r="BC95" s="2616"/>
      <c r="BD95" s="2616"/>
      <c r="BE95" s="2616"/>
      <c r="BF95" s="2616"/>
      <c r="BG95" s="2616"/>
      <c r="BH95" s="2616"/>
      <c r="BI95" s="2616"/>
      <c r="BJ95" s="2616"/>
      <c r="BK95" s="2616"/>
      <c r="BL95" s="2616"/>
      <c r="BM95" s="2616"/>
      <c r="BN95" s="2616"/>
      <c r="BO95" s="2616"/>
      <c r="BP95" s="2616"/>
      <c r="BQ95" s="2616"/>
      <c r="BR95" s="2616"/>
      <c r="BS95" s="2616"/>
      <c r="BT95" s="2616"/>
      <c r="BU95" s="2616"/>
      <c r="BV95" s="2616"/>
      <c r="BW95" s="2616"/>
      <c r="BX95" s="2616"/>
      <c r="BY95" s="2616"/>
      <c r="BZ95" s="2616"/>
      <c r="CA95" s="2616"/>
      <c r="CB95" s="2616"/>
      <c r="CC95" s="2616"/>
      <c r="CD95" s="2616"/>
      <c r="CE95" s="2616"/>
      <c r="CF95" s="2616"/>
      <c r="CG95" s="2616"/>
      <c r="CH95" s="2616"/>
      <c r="CI95" s="2616"/>
      <c r="CJ95" s="2616"/>
      <c r="CK95" s="2616"/>
      <c r="CL95" s="2616"/>
      <c r="CM95" s="2616"/>
      <c r="CN95" s="2616"/>
      <c r="CO95" s="2616"/>
      <c r="CP95" s="2616"/>
      <c r="CQ95" s="2616"/>
      <c r="CR95" s="2616"/>
      <c r="CS95" s="2616"/>
      <c r="CT95" s="2616"/>
      <c r="CU95" s="2616"/>
      <c r="CV95" s="2616"/>
      <c r="CW95" s="2616"/>
      <c r="CX95" s="2616"/>
      <c r="CY95" s="2616"/>
      <c r="CZ95" s="2616"/>
      <c r="DA95" s="2616"/>
      <c r="DB95" s="2616"/>
      <c r="DC95" s="2616"/>
      <c r="DD95" s="2616"/>
      <c r="DE95" s="2616"/>
      <c r="DF95" s="2616"/>
      <c r="DG95" s="2616"/>
      <c r="DH95" s="2616"/>
      <c r="DI95" s="2616"/>
      <c r="DJ95" s="2616"/>
      <c r="DK95" s="2616"/>
      <c r="DL95" s="2616"/>
      <c r="DM95" s="2616"/>
      <c r="DN95" s="2616"/>
      <c r="DO95" s="2616"/>
      <c r="DP95" s="2616"/>
      <c r="DQ95" s="2616"/>
      <c r="DR95" s="2616"/>
      <c r="DS95" s="2616"/>
      <c r="DT95" s="2616"/>
      <c r="DU95" s="2616"/>
      <c r="DV95" s="2616"/>
      <c r="DW95" s="2616"/>
      <c r="DX95" s="2616"/>
      <c r="DY95" s="2616"/>
      <c r="DZ95" s="2616"/>
      <c r="EA95" s="2616"/>
      <c r="EB95" s="2616"/>
      <c r="EC95" s="2616"/>
      <c r="ED95" s="2616"/>
      <c r="EE95" s="2616"/>
      <c r="EF95" s="2616"/>
      <c r="EG95" s="2616"/>
      <c r="EH95" s="2616"/>
      <c r="EI95" s="2616"/>
      <c r="EJ95" s="2616"/>
      <c r="EK95" s="2616"/>
      <c r="EL95" s="2616"/>
      <c r="EM95" s="2616"/>
      <c r="EN95" s="2616"/>
      <c r="EO95" s="2616"/>
      <c r="EP95" s="2616"/>
      <c r="EQ95" s="2616"/>
      <c r="ER95" s="2616"/>
      <c r="ES95" s="2616"/>
      <c r="ET95" s="2616"/>
      <c r="EU95" s="2616"/>
      <c r="EV95" s="2616"/>
      <c r="EW95" s="2616"/>
      <c r="EX95" s="2616"/>
      <c r="EY95" s="2616"/>
      <c r="EZ95" s="2616"/>
      <c r="FA95" s="2616"/>
      <c r="FB95" s="2616"/>
      <c r="FC95" s="2616"/>
      <c r="FD95" s="2616"/>
      <c r="FE95" s="2616"/>
      <c r="FF95" s="2616"/>
      <c r="FG95" s="2616"/>
      <c r="FH95" s="2616"/>
      <c r="FI95" s="2616"/>
      <c r="FJ95" s="2616"/>
      <c r="FK95" s="2616"/>
      <c r="FL95" s="2616"/>
      <c r="FM95" s="2616"/>
      <c r="FN95" s="2893"/>
      <c r="FO95" s="2893"/>
      <c r="FP95" s="2893"/>
      <c r="FQ95" s="2893"/>
      <c r="FR95" s="2893"/>
      <c r="FS95" s="2893"/>
      <c r="FT95" s="2893"/>
      <c r="FU95" s="2893"/>
      <c r="FV95" s="2893"/>
      <c r="FW95" s="2893"/>
      <c r="FX95" s="2893"/>
      <c r="FY95" s="2893"/>
      <c r="FZ95" s="155"/>
      <c r="GA95" s="155"/>
      <c r="GB95" s="155"/>
      <c r="GC95" s="155"/>
      <c r="GD95" s="155"/>
      <c r="GE95" s="155"/>
      <c r="GF95" s="155"/>
      <c r="GG95" s="155"/>
      <c r="GH95" s="155"/>
      <c r="GI95" s="155"/>
      <c r="GJ95" s="155"/>
      <c r="GK95" s="155"/>
    </row>
    <row r="96" spans="2:193" ht="18.75" customHeight="1" x14ac:dyDescent="0.3">
      <c r="B96" s="2893"/>
      <c r="C96" s="2893"/>
      <c r="D96" s="2893"/>
      <c r="E96" s="2893"/>
      <c r="F96" s="2893"/>
      <c r="G96" s="2893"/>
      <c r="H96" s="2893"/>
      <c r="I96" s="2893"/>
      <c r="J96" s="2893"/>
      <c r="K96" s="2893"/>
      <c r="L96" s="2893"/>
      <c r="M96" s="2893"/>
      <c r="N96" s="2893"/>
      <c r="O96" s="2893"/>
      <c r="P96" s="2893"/>
      <c r="Q96" s="2893"/>
      <c r="R96" s="2893"/>
      <c r="S96" s="2893"/>
      <c r="T96" s="2893"/>
      <c r="U96" s="2893"/>
      <c r="V96" s="2893"/>
      <c r="W96" s="2893"/>
      <c r="X96" s="2893"/>
      <c r="Y96" s="2893"/>
      <c r="Z96" s="2893"/>
      <c r="AA96" s="2893"/>
      <c r="AB96" s="2893"/>
      <c r="AC96" s="2893"/>
      <c r="AD96" s="2893"/>
      <c r="AE96" s="2893"/>
      <c r="AF96" s="2893"/>
      <c r="AG96" s="2893"/>
      <c r="AH96" s="2893"/>
      <c r="AI96" s="2893"/>
      <c r="AJ96" s="2893"/>
      <c r="AK96" s="2893"/>
      <c r="AL96" s="2893"/>
      <c r="AM96" s="2893"/>
      <c r="AN96" s="2893"/>
      <c r="AO96" s="2616"/>
      <c r="AP96" s="2616"/>
      <c r="AQ96" s="2616"/>
      <c r="AR96" s="2616"/>
      <c r="AS96" s="2616"/>
      <c r="AT96" s="2616"/>
      <c r="AU96" s="2616"/>
      <c r="AV96" s="2616"/>
      <c r="AW96" s="2616"/>
      <c r="AX96" s="2616"/>
      <c r="AY96" s="2616"/>
      <c r="AZ96" s="2616"/>
      <c r="BA96" s="2616"/>
      <c r="BB96" s="2616"/>
      <c r="BC96" s="2616"/>
      <c r="BD96" s="2616"/>
      <c r="BE96" s="2616"/>
      <c r="BF96" s="2616"/>
      <c r="BG96" s="2616"/>
      <c r="BH96" s="2616"/>
      <c r="BI96" s="2616"/>
      <c r="BJ96" s="2616"/>
      <c r="BK96" s="2616"/>
      <c r="BL96" s="2616"/>
      <c r="BM96" s="2616"/>
      <c r="BN96" s="2616"/>
      <c r="BO96" s="2616"/>
      <c r="BP96" s="2616"/>
      <c r="BQ96" s="2616"/>
      <c r="BR96" s="2616"/>
      <c r="BS96" s="2616"/>
      <c r="BT96" s="2616"/>
      <c r="BU96" s="2616"/>
      <c r="BV96" s="2616"/>
      <c r="BW96" s="2616"/>
      <c r="BX96" s="2616"/>
      <c r="BY96" s="2616"/>
      <c r="BZ96" s="2616"/>
      <c r="CA96" s="2616"/>
      <c r="CB96" s="2616"/>
      <c r="CC96" s="2616"/>
      <c r="CD96" s="2616"/>
      <c r="CE96" s="2616"/>
      <c r="CF96" s="2616"/>
      <c r="CG96" s="2616"/>
      <c r="CH96" s="2616"/>
      <c r="CI96" s="2616"/>
      <c r="CJ96" s="2616"/>
      <c r="CK96" s="2616"/>
      <c r="CL96" s="2616"/>
      <c r="CM96" s="2616"/>
      <c r="CN96" s="2616"/>
      <c r="CO96" s="2616"/>
      <c r="CP96" s="2616"/>
      <c r="CQ96" s="2616"/>
      <c r="CR96" s="2616"/>
      <c r="CS96" s="2616"/>
      <c r="CT96" s="2616"/>
      <c r="CU96" s="2616"/>
      <c r="CV96" s="2616"/>
      <c r="CW96" s="2616"/>
      <c r="CX96" s="2616"/>
      <c r="CY96" s="2616"/>
      <c r="CZ96" s="2616"/>
      <c r="DA96" s="2616"/>
      <c r="DB96" s="2616"/>
      <c r="DC96" s="2616"/>
      <c r="DD96" s="2616"/>
      <c r="DE96" s="2616"/>
      <c r="DF96" s="2616"/>
      <c r="DG96" s="2616"/>
      <c r="DH96" s="2616"/>
      <c r="DI96" s="2616"/>
      <c r="DJ96" s="2616"/>
      <c r="DK96" s="2616"/>
      <c r="DL96" s="2616"/>
      <c r="DM96" s="2616"/>
      <c r="DN96" s="2616"/>
      <c r="DO96" s="2616"/>
      <c r="DP96" s="2616"/>
      <c r="DQ96" s="2616"/>
      <c r="DR96" s="2616"/>
      <c r="DS96" s="2616"/>
      <c r="DT96" s="2616"/>
      <c r="DU96" s="2616"/>
      <c r="DV96" s="2616"/>
      <c r="DW96" s="2616"/>
      <c r="DX96" s="2616"/>
      <c r="DY96" s="2616"/>
      <c r="DZ96" s="2616"/>
      <c r="EA96" s="2616"/>
      <c r="EB96" s="2616"/>
      <c r="EC96" s="2616"/>
      <c r="ED96" s="2616"/>
      <c r="EE96" s="2616"/>
      <c r="EF96" s="2616"/>
      <c r="EG96" s="2616"/>
      <c r="EH96" s="2616"/>
      <c r="EI96" s="2616"/>
      <c r="EJ96" s="2616"/>
      <c r="EK96" s="2616"/>
      <c r="EL96" s="2616"/>
      <c r="EM96" s="2616"/>
      <c r="EN96" s="2616"/>
      <c r="EO96" s="2616"/>
      <c r="EP96" s="2616"/>
      <c r="EQ96" s="2616"/>
      <c r="ER96" s="2616"/>
      <c r="ES96" s="2616"/>
      <c r="ET96" s="2616"/>
      <c r="EU96" s="2616"/>
      <c r="EV96" s="2616"/>
      <c r="EW96" s="2616"/>
      <c r="EX96" s="2616"/>
      <c r="EY96" s="2616"/>
      <c r="EZ96" s="2616"/>
      <c r="FA96" s="2616"/>
      <c r="FB96" s="2616"/>
      <c r="FC96" s="2616"/>
      <c r="FD96" s="2616"/>
      <c r="FE96" s="2616"/>
      <c r="FF96" s="2616"/>
      <c r="FG96" s="2616"/>
      <c r="FH96" s="2616"/>
      <c r="FI96" s="2616"/>
      <c r="FJ96" s="2616"/>
      <c r="FK96" s="2616"/>
      <c r="FL96" s="2616"/>
      <c r="FM96" s="2616"/>
      <c r="FN96" s="2893"/>
      <c r="FO96" s="2893"/>
      <c r="FP96" s="2893"/>
      <c r="FQ96" s="2893"/>
      <c r="FR96" s="2893"/>
      <c r="FS96" s="2893"/>
      <c r="FT96" s="2893"/>
      <c r="FU96" s="2893"/>
      <c r="FV96" s="2893"/>
      <c r="FW96" s="2893"/>
      <c r="FX96" s="2893"/>
      <c r="FY96" s="2893"/>
      <c r="FZ96" s="155"/>
      <c r="GA96" s="155"/>
      <c r="GB96" s="155"/>
      <c r="GC96" s="155"/>
      <c r="GD96" s="155"/>
      <c r="GE96" s="155"/>
      <c r="GF96" s="155"/>
      <c r="GG96" s="155"/>
      <c r="GH96" s="155"/>
      <c r="GI96" s="155"/>
      <c r="GJ96" s="155"/>
      <c r="GK96" s="155"/>
    </row>
    <row r="97" spans="2:193" ht="18.75" customHeight="1" x14ac:dyDescent="0.3">
      <c r="B97" s="2893"/>
      <c r="C97" s="2893"/>
      <c r="D97" s="2893"/>
      <c r="E97" s="2893"/>
      <c r="F97" s="2893"/>
      <c r="G97" s="2893"/>
      <c r="H97" s="2893"/>
      <c r="I97" s="2893"/>
      <c r="J97" s="2893"/>
      <c r="K97" s="2893"/>
      <c r="L97" s="2893"/>
      <c r="M97" s="2893"/>
      <c r="N97" s="2893"/>
      <c r="O97" s="2893"/>
      <c r="P97" s="2893"/>
      <c r="Q97" s="2893"/>
      <c r="R97" s="2893"/>
      <c r="S97" s="2893"/>
      <c r="T97" s="2893"/>
      <c r="U97" s="2893"/>
      <c r="V97" s="2893"/>
      <c r="W97" s="2893"/>
      <c r="X97" s="2893"/>
      <c r="Y97" s="2893"/>
      <c r="Z97" s="2893"/>
      <c r="AA97" s="2893"/>
      <c r="AB97" s="2893"/>
      <c r="AC97" s="2893"/>
      <c r="AD97" s="2893"/>
      <c r="AE97" s="2893"/>
      <c r="AF97" s="2893"/>
      <c r="AG97" s="2893"/>
      <c r="AH97" s="2893"/>
      <c r="AI97" s="2893"/>
      <c r="AJ97" s="2893"/>
      <c r="AK97" s="2893"/>
      <c r="AL97" s="2893"/>
      <c r="AM97" s="2893"/>
      <c r="AN97" s="2893"/>
      <c r="AO97" s="2616"/>
      <c r="AP97" s="2616"/>
      <c r="AQ97" s="2616"/>
      <c r="AR97" s="2616"/>
      <c r="AS97" s="2616"/>
      <c r="AT97" s="2616"/>
      <c r="AU97" s="2616"/>
      <c r="AV97" s="2616"/>
      <c r="AW97" s="2616"/>
      <c r="AX97" s="2616"/>
      <c r="AY97" s="2616"/>
      <c r="AZ97" s="2616"/>
      <c r="BA97" s="2616"/>
      <c r="BB97" s="2616"/>
      <c r="BC97" s="2616"/>
      <c r="BD97" s="2616"/>
      <c r="BE97" s="2616"/>
      <c r="BF97" s="2616"/>
      <c r="BG97" s="2616"/>
      <c r="BH97" s="2616"/>
      <c r="BI97" s="2616"/>
      <c r="BJ97" s="2616"/>
      <c r="BK97" s="2616"/>
      <c r="BL97" s="2616"/>
      <c r="BM97" s="2616"/>
      <c r="BN97" s="2616"/>
      <c r="BO97" s="2616"/>
      <c r="BP97" s="2616"/>
      <c r="BQ97" s="2616"/>
      <c r="BR97" s="2616"/>
      <c r="BS97" s="2616"/>
      <c r="BT97" s="2616"/>
      <c r="BU97" s="2616"/>
      <c r="BV97" s="2616"/>
      <c r="BW97" s="2616"/>
      <c r="BX97" s="2616"/>
      <c r="BY97" s="2616"/>
      <c r="BZ97" s="2616"/>
      <c r="CA97" s="2616"/>
      <c r="CB97" s="2616"/>
      <c r="CC97" s="2616"/>
      <c r="CD97" s="2616"/>
      <c r="CE97" s="2616"/>
      <c r="CF97" s="2616"/>
      <c r="CG97" s="2616"/>
      <c r="CH97" s="2616"/>
      <c r="CI97" s="2616"/>
      <c r="CJ97" s="2616"/>
      <c r="CK97" s="2616"/>
      <c r="CL97" s="2616"/>
      <c r="CM97" s="2616"/>
      <c r="CN97" s="2616"/>
      <c r="CO97" s="2616"/>
      <c r="CP97" s="2616"/>
      <c r="CQ97" s="2616"/>
      <c r="CR97" s="2616"/>
      <c r="CS97" s="2616"/>
      <c r="CT97" s="2616"/>
      <c r="CU97" s="2616"/>
      <c r="CV97" s="2616"/>
      <c r="CW97" s="2616"/>
      <c r="CX97" s="2616"/>
      <c r="CY97" s="2616"/>
      <c r="CZ97" s="2616"/>
      <c r="DA97" s="2616"/>
      <c r="DB97" s="2616"/>
      <c r="DC97" s="2616"/>
      <c r="DD97" s="2616"/>
      <c r="DE97" s="2616"/>
      <c r="DF97" s="2616"/>
      <c r="DG97" s="2616"/>
      <c r="DH97" s="2616"/>
      <c r="DI97" s="2616"/>
      <c r="DJ97" s="2616"/>
      <c r="DK97" s="2616"/>
      <c r="DL97" s="2616"/>
      <c r="DM97" s="2616"/>
      <c r="DN97" s="2616"/>
      <c r="DO97" s="2616"/>
      <c r="DP97" s="2616"/>
      <c r="DQ97" s="2616"/>
      <c r="DR97" s="2616"/>
      <c r="DS97" s="2616"/>
      <c r="DT97" s="2616"/>
      <c r="DU97" s="2616"/>
      <c r="DV97" s="2616"/>
      <c r="DW97" s="2616"/>
      <c r="DX97" s="2616"/>
      <c r="DY97" s="2616"/>
      <c r="DZ97" s="2616"/>
      <c r="EA97" s="2616"/>
      <c r="EB97" s="2616"/>
      <c r="EC97" s="2616"/>
      <c r="ED97" s="2616"/>
      <c r="EE97" s="2616"/>
      <c r="EF97" s="2616"/>
      <c r="EG97" s="2616"/>
      <c r="EH97" s="2616"/>
      <c r="EI97" s="2616"/>
      <c r="EJ97" s="2616"/>
      <c r="EK97" s="2616"/>
      <c r="EL97" s="2616"/>
      <c r="EM97" s="2616"/>
      <c r="EN97" s="2616"/>
      <c r="EO97" s="2616"/>
      <c r="EP97" s="2616"/>
      <c r="EQ97" s="2616"/>
      <c r="ER97" s="2616"/>
      <c r="ES97" s="2616"/>
      <c r="ET97" s="2616"/>
      <c r="EU97" s="2616"/>
      <c r="EV97" s="2616"/>
      <c r="EW97" s="2616"/>
      <c r="EX97" s="2616"/>
      <c r="EY97" s="2616"/>
      <c r="EZ97" s="2616"/>
      <c r="FA97" s="2616"/>
      <c r="FB97" s="2616"/>
      <c r="FC97" s="2616"/>
      <c r="FD97" s="2616"/>
      <c r="FE97" s="2616"/>
      <c r="FF97" s="2616"/>
      <c r="FG97" s="2616"/>
      <c r="FH97" s="2616"/>
      <c r="FI97" s="2616"/>
      <c r="FJ97" s="2616"/>
      <c r="FK97" s="2616"/>
      <c r="FL97" s="2616"/>
      <c r="FM97" s="2616"/>
      <c r="FN97" s="2893"/>
      <c r="FO97" s="2893"/>
      <c r="FP97" s="2893"/>
      <c r="FQ97" s="2893"/>
      <c r="FR97" s="2893"/>
      <c r="FS97" s="2893"/>
      <c r="FT97" s="2893"/>
      <c r="FU97" s="2893"/>
      <c r="FV97" s="2893"/>
      <c r="FW97" s="2893"/>
      <c r="FX97" s="2893"/>
      <c r="FY97" s="2893"/>
      <c r="FZ97" s="155"/>
      <c r="GA97" s="155"/>
      <c r="GB97" s="155"/>
      <c r="GC97" s="155"/>
      <c r="GD97" s="155"/>
      <c r="GE97" s="155"/>
      <c r="GF97" s="155"/>
      <c r="GG97" s="155"/>
      <c r="GH97" s="155"/>
      <c r="GI97" s="155"/>
      <c r="GJ97" s="155"/>
      <c r="GK97" s="155"/>
    </row>
    <row r="98" spans="2:193" ht="18.75" customHeight="1" x14ac:dyDescent="0.3">
      <c r="B98" s="2893"/>
      <c r="C98" s="2893"/>
      <c r="D98" s="2893"/>
      <c r="E98" s="2893"/>
      <c r="F98" s="2893"/>
      <c r="G98" s="2893"/>
      <c r="H98" s="2893"/>
      <c r="I98" s="2893"/>
      <c r="J98" s="2893"/>
      <c r="K98" s="2893"/>
      <c r="L98" s="2893"/>
      <c r="M98" s="2893"/>
      <c r="N98" s="2893"/>
      <c r="O98" s="2893"/>
      <c r="P98" s="2893"/>
      <c r="Q98" s="2893"/>
      <c r="R98" s="2893"/>
      <c r="S98" s="2893"/>
      <c r="T98" s="2893"/>
      <c r="U98" s="2893"/>
      <c r="V98" s="2893"/>
      <c r="W98" s="2893"/>
      <c r="X98" s="2893"/>
      <c r="Y98" s="2893"/>
      <c r="Z98" s="2893"/>
      <c r="AA98" s="2893"/>
      <c r="AB98" s="2893"/>
      <c r="AC98" s="2893"/>
      <c r="AD98" s="2893"/>
      <c r="AE98" s="2893"/>
      <c r="AF98" s="2893"/>
      <c r="AG98" s="2893"/>
      <c r="AH98" s="2893"/>
      <c r="AI98" s="2893"/>
      <c r="AJ98" s="2893"/>
      <c r="AK98" s="2893"/>
      <c r="AL98" s="2893"/>
      <c r="AM98" s="2893"/>
      <c r="AN98" s="2893"/>
      <c r="AO98" s="2616"/>
      <c r="AP98" s="2616"/>
      <c r="AQ98" s="2616"/>
      <c r="AR98" s="2616"/>
      <c r="AS98" s="2616"/>
      <c r="AT98" s="2616"/>
      <c r="AU98" s="2616"/>
      <c r="AV98" s="2616"/>
      <c r="AW98" s="2616"/>
      <c r="AX98" s="2616"/>
      <c r="AY98" s="2616"/>
      <c r="AZ98" s="2616"/>
      <c r="BA98" s="2616"/>
      <c r="BB98" s="2616"/>
      <c r="BC98" s="2616"/>
      <c r="BD98" s="2616"/>
      <c r="BE98" s="2616"/>
      <c r="BF98" s="2616"/>
      <c r="BG98" s="2616"/>
      <c r="BH98" s="2616"/>
      <c r="BI98" s="2616"/>
      <c r="BJ98" s="2616"/>
      <c r="BK98" s="2616"/>
      <c r="BL98" s="2616"/>
      <c r="BM98" s="2616"/>
      <c r="BN98" s="2616"/>
      <c r="BO98" s="2616"/>
      <c r="BP98" s="2616"/>
      <c r="BQ98" s="2616"/>
      <c r="BR98" s="2616"/>
      <c r="BS98" s="2616"/>
      <c r="BT98" s="2616"/>
      <c r="BU98" s="2616"/>
      <c r="BV98" s="2616"/>
      <c r="BW98" s="2616"/>
      <c r="BX98" s="2616"/>
      <c r="BY98" s="2616"/>
      <c r="BZ98" s="2616"/>
      <c r="CA98" s="2616"/>
      <c r="CB98" s="2616"/>
      <c r="CC98" s="2616"/>
      <c r="CD98" s="2616"/>
      <c r="CE98" s="2616"/>
      <c r="CF98" s="2616"/>
      <c r="CG98" s="2616"/>
      <c r="CH98" s="2616"/>
      <c r="CI98" s="2616"/>
      <c r="CJ98" s="2616"/>
      <c r="CK98" s="2616"/>
      <c r="CL98" s="2616"/>
      <c r="CM98" s="2616"/>
      <c r="CN98" s="2616"/>
      <c r="CO98" s="2616"/>
      <c r="CP98" s="2616"/>
      <c r="CQ98" s="2616"/>
      <c r="CR98" s="2616"/>
      <c r="CS98" s="2616"/>
      <c r="CT98" s="2616"/>
      <c r="CU98" s="2616"/>
      <c r="CV98" s="2616"/>
      <c r="CW98" s="2616"/>
      <c r="CX98" s="2616"/>
      <c r="CY98" s="2616"/>
      <c r="CZ98" s="2616"/>
      <c r="DA98" s="2616"/>
      <c r="DB98" s="2616"/>
      <c r="DC98" s="2616"/>
      <c r="DD98" s="2616"/>
      <c r="DE98" s="2616"/>
      <c r="DF98" s="2616"/>
      <c r="DG98" s="2616"/>
      <c r="DH98" s="2616"/>
      <c r="DI98" s="2616"/>
      <c r="DJ98" s="2616"/>
      <c r="DK98" s="2616"/>
      <c r="DL98" s="2616"/>
      <c r="DM98" s="2616"/>
      <c r="DN98" s="2616"/>
      <c r="DO98" s="2616"/>
      <c r="DP98" s="2616"/>
      <c r="DQ98" s="2616"/>
      <c r="DR98" s="2616"/>
      <c r="DS98" s="2616"/>
      <c r="DT98" s="2616"/>
      <c r="DU98" s="2616"/>
      <c r="DV98" s="2616"/>
      <c r="DW98" s="2616"/>
      <c r="DX98" s="2616"/>
      <c r="DY98" s="2616"/>
      <c r="DZ98" s="2616"/>
      <c r="EA98" s="2616"/>
      <c r="EB98" s="2616"/>
      <c r="EC98" s="2616"/>
      <c r="ED98" s="2616"/>
      <c r="EE98" s="2616"/>
      <c r="EF98" s="2616"/>
      <c r="EG98" s="2616"/>
      <c r="EH98" s="2616"/>
      <c r="EI98" s="2616"/>
      <c r="EJ98" s="2616"/>
      <c r="EK98" s="2616"/>
      <c r="EL98" s="2616"/>
      <c r="EM98" s="2616"/>
      <c r="EN98" s="2616"/>
      <c r="EO98" s="2616"/>
      <c r="EP98" s="2616"/>
      <c r="EQ98" s="2616"/>
      <c r="ER98" s="2616"/>
      <c r="ES98" s="2616"/>
      <c r="ET98" s="2616"/>
      <c r="EU98" s="2616"/>
      <c r="EV98" s="2616"/>
      <c r="EW98" s="2616"/>
      <c r="EX98" s="2616"/>
      <c r="EY98" s="2616"/>
      <c r="EZ98" s="2616"/>
      <c r="FA98" s="2616"/>
      <c r="FB98" s="2616"/>
      <c r="FC98" s="2616"/>
      <c r="FD98" s="2616"/>
      <c r="FE98" s="2616"/>
      <c r="FF98" s="2616"/>
      <c r="FG98" s="2616"/>
      <c r="FH98" s="2616"/>
      <c r="FI98" s="2616"/>
      <c r="FJ98" s="2616"/>
      <c r="FK98" s="2616"/>
      <c r="FL98" s="2616"/>
      <c r="FM98" s="2616"/>
      <c r="FN98" s="2893"/>
      <c r="FO98" s="2893"/>
      <c r="FP98" s="2893"/>
      <c r="FQ98" s="2893"/>
      <c r="FR98" s="2893"/>
      <c r="FS98" s="2893"/>
      <c r="FT98" s="2893"/>
      <c r="FU98" s="2893"/>
      <c r="FV98" s="2893"/>
      <c r="FW98" s="2893"/>
      <c r="FX98" s="2893"/>
      <c r="FY98" s="2893"/>
      <c r="FZ98" s="155"/>
      <c r="GA98" s="155"/>
      <c r="GB98" s="155"/>
      <c r="GC98" s="155"/>
      <c r="GD98" s="155"/>
      <c r="GE98" s="155"/>
      <c r="GF98" s="155"/>
      <c r="GG98" s="155"/>
      <c r="GH98" s="155"/>
      <c r="GI98" s="155"/>
      <c r="GJ98" s="155"/>
      <c r="GK98" s="155"/>
    </row>
    <row r="99" spans="2:193" ht="18.75" customHeight="1" x14ac:dyDescent="0.3">
      <c r="B99" s="2893"/>
      <c r="C99" s="2893"/>
      <c r="D99" s="2893"/>
      <c r="E99" s="2893"/>
      <c r="F99" s="2893"/>
      <c r="G99" s="2893"/>
      <c r="H99" s="2893"/>
      <c r="I99" s="2893"/>
      <c r="J99" s="2893"/>
      <c r="K99" s="2893"/>
      <c r="L99" s="2893"/>
      <c r="M99" s="2893"/>
      <c r="N99" s="2893"/>
      <c r="O99" s="2893"/>
      <c r="P99" s="2893"/>
      <c r="Q99" s="2893"/>
      <c r="R99" s="2893"/>
      <c r="S99" s="2893"/>
      <c r="T99" s="2893"/>
      <c r="U99" s="2893"/>
      <c r="V99" s="2893"/>
      <c r="W99" s="2893"/>
      <c r="X99" s="2893"/>
      <c r="Y99" s="2893"/>
      <c r="Z99" s="2893"/>
      <c r="AA99" s="2893"/>
      <c r="AB99" s="2893"/>
      <c r="AC99" s="2893"/>
      <c r="AD99" s="2893"/>
      <c r="AE99" s="2893"/>
      <c r="AF99" s="2893"/>
      <c r="AG99" s="2893"/>
      <c r="AH99" s="2893"/>
      <c r="AI99" s="2893"/>
      <c r="AJ99" s="2893"/>
      <c r="AK99" s="2893"/>
      <c r="AL99" s="2893"/>
      <c r="AM99" s="2893"/>
      <c r="AN99" s="2893"/>
      <c r="AO99" s="2616"/>
      <c r="AP99" s="2616"/>
      <c r="AQ99" s="2616"/>
      <c r="AR99" s="2616"/>
      <c r="AS99" s="2616"/>
      <c r="AT99" s="2616"/>
      <c r="AU99" s="2616"/>
      <c r="AV99" s="2616"/>
      <c r="AW99" s="2616"/>
      <c r="AX99" s="2616"/>
      <c r="AY99" s="2616"/>
      <c r="AZ99" s="2616"/>
      <c r="BA99" s="2616"/>
      <c r="BB99" s="2616"/>
      <c r="BC99" s="2616"/>
      <c r="BD99" s="2616"/>
      <c r="BE99" s="2616"/>
      <c r="BF99" s="2616"/>
      <c r="BG99" s="2616"/>
      <c r="BH99" s="2616"/>
      <c r="BI99" s="2616"/>
      <c r="BJ99" s="2616"/>
      <c r="BK99" s="2616"/>
      <c r="BL99" s="2616"/>
      <c r="BM99" s="2616"/>
      <c r="BN99" s="2616"/>
      <c r="BO99" s="2616"/>
      <c r="BP99" s="2616"/>
      <c r="BQ99" s="2616"/>
      <c r="BR99" s="2616"/>
      <c r="BS99" s="2616"/>
      <c r="BT99" s="2616"/>
      <c r="BU99" s="2616"/>
      <c r="BV99" s="2616"/>
      <c r="BW99" s="2616"/>
      <c r="BX99" s="2616"/>
      <c r="BY99" s="2616"/>
      <c r="BZ99" s="2616"/>
      <c r="CA99" s="2616"/>
      <c r="CB99" s="2616"/>
      <c r="CC99" s="2616"/>
      <c r="CD99" s="2616"/>
      <c r="CE99" s="2616"/>
      <c r="CF99" s="2616"/>
      <c r="CG99" s="2616"/>
      <c r="CH99" s="2616"/>
      <c r="CI99" s="2616"/>
      <c r="CJ99" s="2616"/>
      <c r="CK99" s="2616"/>
      <c r="CL99" s="2616"/>
      <c r="CM99" s="2616"/>
      <c r="CN99" s="2616"/>
      <c r="CO99" s="2616"/>
      <c r="CP99" s="2616"/>
      <c r="CQ99" s="2616"/>
      <c r="CR99" s="2616"/>
      <c r="CS99" s="2616"/>
      <c r="CT99" s="2616"/>
      <c r="CU99" s="2616"/>
      <c r="CV99" s="2616"/>
      <c r="CW99" s="2616"/>
      <c r="CX99" s="2616"/>
      <c r="CY99" s="2616"/>
      <c r="CZ99" s="2616"/>
      <c r="DA99" s="2616"/>
      <c r="DB99" s="2616"/>
      <c r="DC99" s="2616"/>
      <c r="DD99" s="2616"/>
      <c r="DE99" s="2616"/>
      <c r="DF99" s="2616"/>
      <c r="DG99" s="2616"/>
      <c r="DH99" s="2616"/>
      <c r="DI99" s="2616"/>
      <c r="DJ99" s="2616"/>
      <c r="DK99" s="2616"/>
      <c r="DL99" s="2616"/>
      <c r="DM99" s="2616"/>
      <c r="DN99" s="2616"/>
      <c r="DO99" s="2616"/>
      <c r="DP99" s="2616"/>
      <c r="DQ99" s="2616"/>
      <c r="DR99" s="2616"/>
      <c r="DS99" s="2616"/>
      <c r="DT99" s="2616"/>
      <c r="DU99" s="2616"/>
      <c r="DV99" s="2616"/>
      <c r="DW99" s="2616"/>
      <c r="DX99" s="2616"/>
      <c r="DY99" s="2616"/>
      <c r="DZ99" s="2616"/>
      <c r="EA99" s="2616"/>
      <c r="EB99" s="2616"/>
      <c r="EC99" s="2616"/>
      <c r="ED99" s="2616"/>
      <c r="EE99" s="2616"/>
      <c r="EF99" s="2616"/>
      <c r="EG99" s="2616"/>
      <c r="EH99" s="2616"/>
      <c r="EI99" s="2616"/>
      <c r="EJ99" s="2616"/>
      <c r="EK99" s="2616"/>
      <c r="EL99" s="2616"/>
      <c r="EM99" s="2616"/>
      <c r="EN99" s="2616"/>
      <c r="EO99" s="2616"/>
      <c r="EP99" s="2616"/>
      <c r="EQ99" s="2616"/>
      <c r="ER99" s="2616"/>
      <c r="ES99" s="2616"/>
      <c r="ET99" s="2616"/>
      <c r="EU99" s="2616"/>
      <c r="EV99" s="2616"/>
      <c r="EW99" s="2616"/>
      <c r="EX99" s="2616"/>
      <c r="EY99" s="2616"/>
      <c r="EZ99" s="2616"/>
      <c r="FA99" s="2616"/>
      <c r="FB99" s="2616"/>
      <c r="FC99" s="2616"/>
      <c r="FD99" s="2616"/>
      <c r="FE99" s="2616"/>
      <c r="FF99" s="2616"/>
      <c r="FG99" s="2616"/>
      <c r="FH99" s="2616"/>
      <c r="FI99" s="2616"/>
      <c r="FJ99" s="2616"/>
      <c r="FK99" s="2616"/>
      <c r="FL99" s="2616"/>
      <c r="FM99" s="2616"/>
      <c r="FN99" s="2893"/>
      <c r="FO99" s="2893"/>
      <c r="FP99" s="2893"/>
      <c r="FQ99" s="2893"/>
      <c r="FR99" s="2893"/>
      <c r="FS99" s="2893"/>
      <c r="FT99" s="2893"/>
      <c r="FU99" s="2893"/>
      <c r="FV99" s="2893"/>
      <c r="FW99" s="2893"/>
      <c r="FX99" s="2893"/>
      <c r="FY99" s="2893"/>
      <c r="FZ99" s="155"/>
      <c r="GA99" s="155"/>
      <c r="GB99" s="155"/>
      <c r="GC99" s="155"/>
      <c r="GD99" s="155"/>
      <c r="GE99" s="155"/>
      <c r="GF99" s="155"/>
      <c r="GG99" s="155"/>
      <c r="GH99" s="155"/>
      <c r="GI99" s="155"/>
      <c r="GJ99" s="155"/>
      <c r="GK99" s="155"/>
    </row>
    <row r="100" spans="2:193" ht="18.75" customHeight="1" x14ac:dyDescent="0.3">
      <c r="B100" s="2893"/>
      <c r="C100" s="2893"/>
      <c r="D100" s="2893"/>
      <c r="E100" s="2893"/>
      <c r="F100" s="2893"/>
      <c r="G100" s="2893"/>
      <c r="H100" s="2893"/>
      <c r="I100" s="2893"/>
      <c r="J100" s="2893"/>
      <c r="K100" s="2893"/>
      <c r="L100" s="2893"/>
      <c r="M100" s="2893"/>
      <c r="N100" s="2893"/>
      <c r="O100" s="2893"/>
      <c r="P100" s="2893"/>
      <c r="Q100" s="2893"/>
      <c r="R100" s="2893"/>
      <c r="S100" s="2893"/>
      <c r="T100" s="2893"/>
      <c r="U100" s="2893"/>
      <c r="V100" s="2893"/>
      <c r="W100" s="2893"/>
      <c r="X100" s="2893"/>
      <c r="Y100" s="2893"/>
      <c r="Z100" s="2893"/>
      <c r="AA100" s="2893"/>
      <c r="AB100" s="2893"/>
      <c r="AC100" s="2893"/>
      <c r="AD100" s="2893"/>
      <c r="AE100" s="2893"/>
      <c r="AF100" s="2893"/>
      <c r="AG100" s="2893"/>
      <c r="AH100" s="2893"/>
      <c r="AI100" s="2893"/>
      <c r="AJ100" s="2893"/>
      <c r="AK100" s="2893"/>
      <c r="AL100" s="2893"/>
      <c r="AM100" s="2893"/>
      <c r="AN100" s="2893"/>
      <c r="AO100" s="2616"/>
      <c r="AP100" s="2616"/>
      <c r="AQ100" s="2616"/>
      <c r="AR100" s="2616"/>
      <c r="AS100" s="2616"/>
      <c r="AT100" s="2616"/>
      <c r="AU100" s="2616"/>
      <c r="AV100" s="2616"/>
      <c r="AW100" s="2616"/>
      <c r="AX100" s="2616"/>
      <c r="AY100" s="2616"/>
      <c r="AZ100" s="2616"/>
      <c r="BA100" s="2616"/>
      <c r="BB100" s="2616"/>
      <c r="BC100" s="2616"/>
      <c r="BD100" s="2616"/>
      <c r="BE100" s="2616"/>
      <c r="BF100" s="2616"/>
      <c r="BG100" s="2616"/>
      <c r="BH100" s="2616"/>
      <c r="BI100" s="2616"/>
      <c r="BJ100" s="2616"/>
      <c r="BK100" s="2616"/>
      <c r="BL100" s="2616"/>
      <c r="BM100" s="2616"/>
      <c r="BN100" s="2616"/>
      <c r="BO100" s="2616"/>
      <c r="BP100" s="2616"/>
      <c r="BQ100" s="2616"/>
      <c r="BR100" s="2616"/>
      <c r="BS100" s="2616"/>
      <c r="BT100" s="2616"/>
      <c r="BU100" s="2616"/>
      <c r="BV100" s="2616"/>
      <c r="BW100" s="2616"/>
      <c r="BX100" s="2616"/>
      <c r="BY100" s="2616"/>
      <c r="BZ100" s="2616"/>
      <c r="CA100" s="2616"/>
      <c r="CB100" s="2616"/>
      <c r="CC100" s="2616"/>
      <c r="CD100" s="2616"/>
      <c r="CE100" s="2616"/>
      <c r="CF100" s="2616"/>
      <c r="CG100" s="2616"/>
      <c r="CH100" s="2616"/>
      <c r="CI100" s="2616"/>
      <c r="CJ100" s="2616"/>
      <c r="CK100" s="2616"/>
      <c r="CL100" s="2616"/>
      <c r="CM100" s="2616"/>
      <c r="CN100" s="2616"/>
      <c r="CO100" s="2616"/>
      <c r="CP100" s="2616"/>
      <c r="CQ100" s="2616"/>
      <c r="CR100" s="2616"/>
      <c r="CS100" s="2616"/>
      <c r="CT100" s="2616"/>
      <c r="CU100" s="2616"/>
      <c r="CV100" s="2616"/>
      <c r="CW100" s="2616"/>
      <c r="CX100" s="2616"/>
      <c r="CY100" s="2616"/>
      <c r="CZ100" s="2616"/>
      <c r="DA100" s="2616"/>
      <c r="DB100" s="2616"/>
      <c r="DC100" s="2616"/>
      <c r="DD100" s="2616"/>
      <c r="DE100" s="2616"/>
      <c r="DF100" s="2616"/>
      <c r="DG100" s="2616"/>
      <c r="DH100" s="2616"/>
      <c r="DI100" s="2616"/>
      <c r="DJ100" s="2616"/>
      <c r="DK100" s="2616"/>
      <c r="DL100" s="2616"/>
      <c r="DM100" s="2616"/>
      <c r="DN100" s="2616"/>
      <c r="DO100" s="2616"/>
      <c r="DP100" s="2616"/>
      <c r="DQ100" s="2616"/>
      <c r="DR100" s="2616"/>
      <c r="DS100" s="2616"/>
      <c r="DT100" s="2616"/>
      <c r="DU100" s="2616"/>
      <c r="DV100" s="2616"/>
      <c r="DW100" s="2616"/>
      <c r="DX100" s="2616"/>
      <c r="DY100" s="2616"/>
      <c r="DZ100" s="2616"/>
      <c r="EA100" s="2616"/>
      <c r="EB100" s="2616"/>
      <c r="EC100" s="2616"/>
      <c r="ED100" s="2616"/>
      <c r="EE100" s="2616"/>
      <c r="EF100" s="2616"/>
      <c r="EG100" s="2616"/>
      <c r="EH100" s="2616"/>
      <c r="EI100" s="2616"/>
      <c r="EJ100" s="2616"/>
      <c r="EK100" s="2616"/>
      <c r="EL100" s="2616"/>
      <c r="EM100" s="2616"/>
      <c r="EN100" s="2616"/>
      <c r="EO100" s="2616"/>
      <c r="EP100" s="2616"/>
      <c r="EQ100" s="2616"/>
      <c r="ER100" s="2616"/>
      <c r="ES100" s="2616"/>
      <c r="ET100" s="2616"/>
      <c r="EU100" s="2616"/>
      <c r="EV100" s="2616"/>
      <c r="EW100" s="2616"/>
      <c r="EX100" s="2616"/>
      <c r="EY100" s="2616"/>
      <c r="EZ100" s="2616"/>
      <c r="FA100" s="2616"/>
      <c r="FB100" s="2616"/>
      <c r="FC100" s="2616"/>
      <c r="FD100" s="2616"/>
      <c r="FE100" s="2616"/>
      <c r="FF100" s="2616"/>
      <c r="FG100" s="2616"/>
      <c r="FH100" s="2616"/>
      <c r="FI100" s="2616"/>
      <c r="FJ100" s="2616"/>
      <c r="FK100" s="2616"/>
      <c r="FL100" s="2616"/>
      <c r="FM100" s="2616"/>
      <c r="FN100" s="2893"/>
      <c r="FO100" s="2893"/>
      <c r="FP100" s="2893"/>
      <c r="FQ100" s="2893"/>
      <c r="FR100" s="2893"/>
      <c r="FS100" s="2893"/>
      <c r="FT100" s="2893"/>
      <c r="FU100" s="2893"/>
      <c r="FV100" s="2893"/>
      <c r="FW100" s="2893"/>
      <c r="FX100" s="2893"/>
      <c r="FY100" s="2893"/>
      <c r="FZ100" s="155"/>
      <c r="GA100" s="155"/>
      <c r="GB100" s="155"/>
      <c r="GC100" s="155"/>
      <c r="GD100" s="155"/>
      <c r="GE100" s="155"/>
      <c r="GF100" s="155"/>
      <c r="GG100" s="155"/>
      <c r="GH100" s="155"/>
      <c r="GI100" s="155"/>
      <c r="GJ100" s="155"/>
      <c r="GK100" s="155"/>
    </row>
    <row r="101" spans="2:193" ht="18.75" customHeight="1" x14ac:dyDescent="0.3">
      <c r="B101" s="2893"/>
      <c r="C101" s="2893"/>
      <c r="D101" s="2893"/>
      <c r="E101" s="2893"/>
      <c r="F101" s="2893"/>
      <c r="G101" s="2893"/>
      <c r="H101" s="2893"/>
      <c r="I101" s="2893"/>
      <c r="J101" s="2893"/>
      <c r="K101" s="2893"/>
      <c r="L101" s="2893"/>
      <c r="M101" s="2893"/>
      <c r="N101" s="2893"/>
      <c r="O101" s="2893"/>
      <c r="P101" s="2893"/>
      <c r="Q101" s="2893"/>
      <c r="R101" s="2893"/>
      <c r="S101" s="2893"/>
      <c r="T101" s="2893"/>
      <c r="U101" s="2893"/>
      <c r="V101" s="2893"/>
      <c r="W101" s="2893"/>
      <c r="X101" s="2893"/>
      <c r="Y101" s="2893"/>
      <c r="Z101" s="2893"/>
      <c r="AA101" s="2893"/>
      <c r="AB101" s="2893"/>
      <c r="AC101" s="2893"/>
      <c r="AD101" s="2893"/>
      <c r="AE101" s="2893"/>
      <c r="AF101" s="2893"/>
      <c r="AG101" s="2893"/>
      <c r="AH101" s="2893"/>
      <c r="AI101" s="2893"/>
      <c r="AJ101" s="2893"/>
      <c r="AK101" s="2893"/>
      <c r="AL101" s="2893"/>
      <c r="AM101" s="2893"/>
      <c r="AN101" s="2893"/>
      <c r="AO101" s="2616"/>
      <c r="AP101" s="2616"/>
      <c r="AQ101" s="2616"/>
      <c r="AR101" s="2616"/>
      <c r="AS101" s="2616"/>
      <c r="AT101" s="2616"/>
      <c r="AU101" s="2616"/>
      <c r="AV101" s="2616"/>
      <c r="AW101" s="2616"/>
      <c r="AX101" s="2616"/>
      <c r="AY101" s="2616"/>
      <c r="AZ101" s="2616"/>
      <c r="BA101" s="2616"/>
      <c r="BB101" s="2616"/>
      <c r="BC101" s="2616"/>
      <c r="BD101" s="2616"/>
      <c r="BE101" s="2616"/>
      <c r="BF101" s="2616"/>
      <c r="BG101" s="2616"/>
      <c r="BH101" s="2616"/>
      <c r="BI101" s="2616"/>
      <c r="BJ101" s="2616"/>
      <c r="BK101" s="2616"/>
      <c r="BL101" s="2616"/>
      <c r="BM101" s="2616"/>
      <c r="BN101" s="2616"/>
      <c r="BO101" s="2616"/>
      <c r="BP101" s="2616"/>
      <c r="BQ101" s="2616"/>
      <c r="BR101" s="2616"/>
      <c r="BS101" s="2616"/>
      <c r="BT101" s="2616"/>
      <c r="BU101" s="2616"/>
      <c r="BV101" s="2616"/>
      <c r="BW101" s="2616"/>
      <c r="BX101" s="2616"/>
      <c r="BY101" s="2616"/>
      <c r="BZ101" s="2616"/>
      <c r="CA101" s="2616"/>
      <c r="CB101" s="2616"/>
      <c r="CC101" s="2616"/>
      <c r="CD101" s="2616"/>
      <c r="CE101" s="2616"/>
      <c r="CF101" s="2616"/>
      <c r="CG101" s="2616"/>
      <c r="CH101" s="2616"/>
      <c r="CI101" s="2616"/>
      <c r="CJ101" s="2616"/>
      <c r="CK101" s="2616"/>
      <c r="CL101" s="2616"/>
      <c r="CM101" s="2616"/>
      <c r="CN101" s="2616"/>
      <c r="CO101" s="2616"/>
      <c r="CP101" s="2616"/>
      <c r="CQ101" s="2616"/>
      <c r="CR101" s="2616"/>
      <c r="CS101" s="2616"/>
      <c r="CT101" s="2616"/>
      <c r="CU101" s="2616"/>
      <c r="CV101" s="2616"/>
      <c r="CW101" s="2616"/>
      <c r="CX101" s="2616"/>
      <c r="CY101" s="2616"/>
      <c r="CZ101" s="2616"/>
      <c r="DA101" s="2616"/>
      <c r="DB101" s="2616"/>
      <c r="DC101" s="2616"/>
      <c r="DD101" s="2616"/>
      <c r="DE101" s="2616"/>
      <c r="DF101" s="2616"/>
      <c r="DG101" s="2616"/>
      <c r="DH101" s="2616"/>
      <c r="DI101" s="2616"/>
      <c r="DJ101" s="2616"/>
      <c r="DK101" s="2616"/>
      <c r="DL101" s="2616"/>
      <c r="DM101" s="2616"/>
      <c r="DN101" s="2616"/>
      <c r="DO101" s="2616"/>
      <c r="DP101" s="2616"/>
      <c r="DQ101" s="2616"/>
      <c r="DR101" s="2616"/>
      <c r="DS101" s="2616"/>
      <c r="DT101" s="2616"/>
      <c r="DU101" s="2616"/>
      <c r="DV101" s="2616"/>
      <c r="DW101" s="2616"/>
      <c r="DX101" s="2616"/>
      <c r="DY101" s="2616"/>
      <c r="DZ101" s="2616"/>
      <c r="EA101" s="2616"/>
      <c r="EB101" s="2616"/>
      <c r="EC101" s="2616"/>
      <c r="ED101" s="2616"/>
      <c r="EE101" s="2616"/>
      <c r="EF101" s="2616"/>
      <c r="EG101" s="2616"/>
      <c r="EH101" s="2616"/>
      <c r="EI101" s="2616"/>
      <c r="EJ101" s="2616"/>
      <c r="EK101" s="2616"/>
      <c r="EL101" s="2616"/>
      <c r="EM101" s="2616"/>
      <c r="EN101" s="2616"/>
      <c r="EO101" s="2616"/>
      <c r="EP101" s="2616"/>
      <c r="EQ101" s="2616"/>
      <c r="ER101" s="2616"/>
      <c r="ES101" s="2616"/>
      <c r="ET101" s="2616"/>
      <c r="EU101" s="2616"/>
      <c r="EV101" s="2616"/>
      <c r="EW101" s="2616"/>
      <c r="EX101" s="2616"/>
      <c r="EY101" s="2616"/>
      <c r="EZ101" s="2616"/>
      <c r="FA101" s="2616"/>
      <c r="FB101" s="2616"/>
      <c r="FC101" s="2616"/>
      <c r="FD101" s="2616"/>
      <c r="FE101" s="2616"/>
      <c r="FF101" s="2616"/>
      <c r="FG101" s="2616"/>
      <c r="FH101" s="2616"/>
      <c r="FI101" s="2616"/>
      <c r="FJ101" s="2616"/>
      <c r="FK101" s="2616"/>
      <c r="FL101" s="2616"/>
      <c r="FM101" s="2616"/>
      <c r="FN101" s="2893"/>
      <c r="FO101" s="2893"/>
      <c r="FP101" s="2893"/>
      <c r="FQ101" s="2893"/>
      <c r="FR101" s="2893"/>
      <c r="FS101" s="2893"/>
      <c r="FT101" s="2893"/>
      <c r="FU101" s="2893"/>
      <c r="FV101" s="2893"/>
      <c r="FW101" s="2893"/>
      <c r="FX101" s="2893"/>
      <c r="FY101" s="2893"/>
      <c r="FZ101" s="155"/>
      <c r="GA101" s="155"/>
      <c r="GB101" s="155"/>
      <c r="GC101" s="155"/>
      <c r="GD101" s="155"/>
      <c r="GE101" s="155"/>
      <c r="GF101" s="155"/>
      <c r="GG101" s="155"/>
      <c r="GH101" s="155"/>
      <c r="GI101" s="155"/>
      <c r="GJ101" s="155"/>
      <c r="GK101" s="155"/>
    </row>
    <row r="102" spans="2:193" ht="18.75" customHeight="1" x14ac:dyDescent="0.3">
      <c r="B102" s="2893"/>
      <c r="C102" s="2893"/>
      <c r="D102" s="2893"/>
      <c r="E102" s="2893"/>
      <c r="F102" s="2893"/>
      <c r="G102" s="2893"/>
      <c r="H102" s="2893"/>
      <c r="I102" s="2893"/>
      <c r="J102" s="2893"/>
      <c r="K102" s="2893"/>
      <c r="L102" s="2893"/>
      <c r="M102" s="2893"/>
      <c r="N102" s="2893"/>
      <c r="O102" s="2893"/>
      <c r="P102" s="2893"/>
      <c r="Q102" s="2893"/>
      <c r="R102" s="2893"/>
      <c r="S102" s="2893"/>
      <c r="T102" s="2893"/>
      <c r="U102" s="2893"/>
      <c r="V102" s="2893"/>
      <c r="W102" s="2893"/>
      <c r="X102" s="2893"/>
      <c r="Y102" s="2893"/>
      <c r="Z102" s="2893"/>
      <c r="AA102" s="2893"/>
      <c r="AB102" s="2893"/>
      <c r="AC102" s="2893"/>
      <c r="AD102" s="2893"/>
      <c r="AE102" s="2893"/>
      <c r="AF102" s="2893"/>
      <c r="AG102" s="2893"/>
      <c r="AH102" s="2893"/>
      <c r="AI102" s="2893"/>
      <c r="AJ102" s="2893"/>
      <c r="AK102" s="2893"/>
      <c r="AL102" s="2893"/>
      <c r="AM102" s="2893"/>
      <c r="AN102" s="2893"/>
      <c r="AO102" s="2616"/>
      <c r="AP102" s="2616"/>
      <c r="AQ102" s="2616"/>
      <c r="AR102" s="2616"/>
      <c r="AS102" s="2616"/>
      <c r="AT102" s="2616"/>
      <c r="AU102" s="2616"/>
      <c r="AV102" s="2616"/>
      <c r="AW102" s="2616"/>
      <c r="AX102" s="2616"/>
      <c r="AY102" s="2616"/>
      <c r="AZ102" s="2616"/>
      <c r="BA102" s="2616"/>
      <c r="BB102" s="2616"/>
      <c r="BC102" s="2616"/>
      <c r="BD102" s="2616"/>
      <c r="BE102" s="2616"/>
      <c r="BF102" s="2616"/>
      <c r="BG102" s="2616"/>
      <c r="BH102" s="2616"/>
      <c r="BI102" s="2616"/>
      <c r="BJ102" s="2616"/>
      <c r="BK102" s="2616"/>
      <c r="BL102" s="2616"/>
      <c r="BM102" s="2616"/>
      <c r="BN102" s="2616"/>
      <c r="BO102" s="2616"/>
      <c r="BP102" s="2616"/>
      <c r="BQ102" s="2616"/>
      <c r="BR102" s="2616"/>
      <c r="BS102" s="2616"/>
      <c r="BT102" s="2616"/>
      <c r="BU102" s="2616"/>
      <c r="BV102" s="2616"/>
      <c r="BW102" s="2616"/>
      <c r="BX102" s="2616"/>
      <c r="BY102" s="2616"/>
      <c r="BZ102" s="2616"/>
      <c r="CA102" s="2616"/>
      <c r="CB102" s="2616"/>
      <c r="CC102" s="2616"/>
      <c r="CD102" s="2616"/>
      <c r="CE102" s="2616"/>
      <c r="CF102" s="2616"/>
      <c r="CG102" s="2616"/>
      <c r="CH102" s="2616"/>
      <c r="CI102" s="2616"/>
      <c r="CJ102" s="2616"/>
      <c r="CK102" s="2616"/>
      <c r="CL102" s="2616"/>
      <c r="CM102" s="2616"/>
      <c r="CN102" s="2616"/>
      <c r="CO102" s="2616"/>
      <c r="CP102" s="2616"/>
      <c r="CQ102" s="2616"/>
      <c r="CR102" s="2616"/>
      <c r="CS102" s="2616"/>
      <c r="CT102" s="2616"/>
      <c r="CU102" s="2616"/>
      <c r="CV102" s="2616"/>
      <c r="CW102" s="2616"/>
      <c r="CX102" s="2616"/>
      <c r="CY102" s="2616"/>
      <c r="CZ102" s="2616"/>
      <c r="DA102" s="2616"/>
      <c r="DB102" s="2616"/>
      <c r="DC102" s="2616"/>
      <c r="DD102" s="2616"/>
      <c r="DE102" s="2616"/>
      <c r="DF102" s="2616"/>
      <c r="DG102" s="2616"/>
      <c r="DH102" s="2616"/>
      <c r="DI102" s="2616"/>
      <c r="DJ102" s="2616"/>
      <c r="DK102" s="2616"/>
      <c r="DL102" s="2616"/>
      <c r="DM102" s="2616"/>
      <c r="DN102" s="2616"/>
      <c r="DO102" s="2616"/>
      <c r="DP102" s="2616"/>
      <c r="DQ102" s="2616"/>
      <c r="DR102" s="2616"/>
      <c r="DS102" s="2616"/>
      <c r="DT102" s="2616"/>
      <c r="DU102" s="2616"/>
      <c r="DV102" s="2616"/>
      <c r="DW102" s="2616"/>
      <c r="DX102" s="2616"/>
      <c r="DY102" s="2616"/>
      <c r="DZ102" s="2616"/>
      <c r="EA102" s="2616"/>
      <c r="EB102" s="2616"/>
      <c r="EC102" s="2616"/>
      <c r="ED102" s="2616"/>
      <c r="EE102" s="2616"/>
      <c r="EF102" s="2616"/>
      <c r="EG102" s="2616"/>
      <c r="EH102" s="2616"/>
      <c r="EI102" s="2616"/>
      <c r="EJ102" s="2616"/>
      <c r="EK102" s="2616"/>
      <c r="EL102" s="2616"/>
      <c r="EM102" s="2616"/>
      <c r="EN102" s="2616"/>
      <c r="EO102" s="2616"/>
      <c r="EP102" s="2616"/>
      <c r="EQ102" s="2616"/>
      <c r="ER102" s="2616"/>
      <c r="ES102" s="2616"/>
      <c r="ET102" s="2616"/>
      <c r="EU102" s="2616"/>
      <c r="EV102" s="2616"/>
      <c r="EW102" s="2616"/>
      <c r="EX102" s="2616"/>
      <c r="EY102" s="2616"/>
      <c r="EZ102" s="2616"/>
      <c r="FA102" s="2616"/>
      <c r="FB102" s="2616"/>
      <c r="FC102" s="2616"/>
      <c r="FD102" s="2616"/>
      <c r="FE102" s="2616"/>
      <c r="FF102" s="2616"/>
      <c r="FG102" s="2616"/>
      <c r="FH102" s="2616"/>
      <c r="FI102" s="2616"/>
      <c r="FJ102" s="2616"/>
      <c r="FK102" s="2616"/>
      <c r="FL102" s="2616"/>
      <c r="FM102" s="2616"/>
      <c r="FN102" s="2893"/>
      <c r="FO102" s="2893"/>
      <c r="FP102" s="2893"/>
      <c r="FQ102" s="2893"/>
      <c r="FR102" s="2893"/>
      <c r="FS102" s="2893"/>
      <c r="FT102" s="2893"/>
      <c r="FU102" s="2893"/>
      <c r="FV102" s="2893"/>
      <c r="FW102" s="2893"/>
      <c r="FX102" s="2893"/>
      <c r="FY102" s="2893"/>
      <c r="FZ102" s="155"/>
      <c r="GA102" s="155"/>
      <c r="GB102" s="155"/>
      <c r="GC102" s="155"/>
      <c r="GD102" s="155"/>
      <c r="GE102" s="155"/>
      <c r="GF102" s="155"/>
      <c r="GG102" s="155"/>
      <c r="GH102" s="155"/>
      <c r="GI102" s="155"/>
      <c r="GJ102" s="155"/>
      <c r="GK102" s="155"/>
    </row>
    <row r="103" spans="2:193" ht="18.75" customHeight="1" x14ac:dyDescent="0.3"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2894"/>
      <c r="AP103" s="2894"/>
      <c r="AQ103" s="2894"/>
      <c r="AR103" s="2894"/>
      <c r="AS103" s="2894"/>
      <c r="AT103" s="2894"/>
      <c r="AU103" s="2894"/>
      <c r="AV103" s="2894"/>
      <c r="AW103" s="2894"/>
      <c r="AX103" s="2894"/>
      <c r="AY103" s="2894"/>
      <c r="AZ103" s="2894"/>
      <c r="BA103" s="2894"/>
      <c r="BB103" s="2894"/>
      <c r="BC103" s="2894"/>
      <c r="BD103" s="2894"/>
      <c r="BE103" s="2894"/>
      <c r="BF103" s="2894"/>
      <c r="BG103" s="2894"/>
      <c r="BH103" s="2894"/>
      <c r="BI103" s="2894"/>
      <c r="BJ103" s="2894"/>
      <c r="BK103" s="2894"/>
      <c r="BL103" s="2894"/>
      <c r="BM103" s="2894"/>
      <c r="BN103" s="2894"/>
      <c r="BO103" s="2894"/>
      <c r="BP103" s="2894"/>
      <c r="BQ103" s="2894"/>
      <c r="BR103" s="2894"/>
      <c r="BS103" s="2894"/>
      <c r="BT103" s="2894"/>
      <c r="BU103" s="2894"/>
      <c r="BV103" s="2894"/>
      <c r="BW103" s="2894"/>
      <c r="BX103" s="2894"/>
      <c r="BY103" s="2894"/>
      <c r="BZ103" s="2894"/>
      <c r="CA103" s="2894"/>
      <c r="CB103" s="2894"/>
      <c r="CC103" s="2894"/>
      <c r="CD103" s="2894"/>
      <c r="CE103" s="2894"/>
      <c r="CF103" s="2894"/>
      <c r="CG103" s="2894"/>
      <c r="CH103" s="2894"/>
      <c r="CI103" s="2894"/>
      <c r="CJ103" s="2894"/>
      <c r="CK103" s="2894"/>
      <c r="CL103" s="2894"/>
      <c r="CM103" s="2894"/>
      <c r="CN103" s="2894"/>
      <c r="CO103" s="2894"/>
      <c r="CP103" s="2894"/>
      <c r="CQ103" s="2894"/>
      <c r="CR103" s="2894"/>
      <c r="CS103" s="2894"/>
      <c r="CT103" s="2894"/>
      <c r="CU103" s="2894"/>
      <c r="CV103" s="2894"/>
      <c r="CW103" s="2894"/>
      <c r="CX103" s="2894"/>
      <c r="CY103" s="2894"/>
      <c r="CZ103" s="2894"/>
      <c r="DA103" s="2894"/>
      <c r="DB103" s="2894"/>
      <c r="DC103" s="2894"/>
      <c r="DD103" s="2894"/>
      <c r="DE103" s="2894"/>
      <c r="DF103" s="2894"/>
      <c r="DG103" s="2894"/>
      <c r="DH103" s="2894"/>
      <c r="DI103" s="2894"/>
      <c r="DJ103" s="2894"/>
      <c r="DK103" s="2894"/>
      <c r="DL103" s="2894"/>
      <c r="DM103" s="2894"/>
      <c r="DN103" s="2894"/>
      <c r="DO103" s="2894"/>
      <c r="DP103" s="2894"/>
      <c r="DQ103" s="2894"/>
      <c r="DR103" s="2894"/>
      <c r="DS103" s="2894"/>
      <c r="DT103" s="2894"/>
      <c r="DU103" s="2894"/>
      <c r="DV103" s="2894"/>
      <c r="DW103" s="2894"/>
      <c r="DX103" s="2894"/>
      <c r="DY103" s="2894"/>
      <c r="DZ103" s="2894"/>
      <c r="EA103" s="2894"/>
      <c r="EB103" s="2894"/>
      <c r="EC103" s="2894"/>
      <c r="ED103" s="2894"/>
      <c r="EE103" s="2894"/>
      <c r="EF103" s="2894"/>
      <c r="EG103" s="2894"/>
      <c r="EH103" s="2894"/>
      <c r="EI103" s="2894"/>
      <c r="EJ103" s="2894"/>
      <c r="EK103" s="2894"/>
      <c r="EL103" s="2894"/>
      <c r="EM103" s="2894"/>
      <c r="EN103" s="2894"/>
      <c r="EO103" s="2894"/>
      <c r="EP103" s="2894"/>
      <c r="EQ103" s="2894"/>
      <c r="ER103" s="2894"/>
      <c r="ES103" s="2894"/>
      <c r="ET103" s="2894"/>
      <c r="EU103" s="2894"/>
      <c r="EV103" s="2894"/>
      <c r="EW103" s="2894"/>
      <c r="EX103" s="2894"/>
      <c r="EY103" s="2894"/>
      <c r="EZ103" s="2894"/>
      <c r="FA103" s="2894"/>
      <c r="FB103" s="2894"/>
      <c r="FC103" s="2894"/>
      <c r="FD103" s="2894"/>
      <c r="FE103" s="2894"/>
      <c r="FF103" s="2894"/>
      <c r="FG103" s="2894"/>
      <c r="FH103" s="2894"/>
      <c r="FI103" s="2894"/>
      <c r="FJ103" s="2894"/>
      <c r="FK103" s="2894"/>
      <c r="FL103" s="2894"/>
      <c r="FM103" s="2894"/>
      <c r="FN103" s="155"/>
      <c r="FO103" s="155"/>
      <c r="FP103" s="155"/>
      <c r="FQ103" s="155"/>
      <c r="FR103" s="155"/>
      <c r="FS103" s="155"/>
      <c r="FT103" s="155"/>
      <c r="FU103" s="155"/>
      <c r="FV103" s="155"/>
      <c r="FW103" s="155"/>
      <c r="FX103" s="155"/>
      <c r="FY103" s="155"/>
      <c r="FZ103" s="155"/>
      <c r="GA103" s="155"/>
      <c r="GB103" s="155"/>
      <c r="GC103" s="155"/>
      <c r="GD103" s="155"/>
      <c r="GE103" s="155"/>
      <c r="GF103" s="155"/>
      <c r="GG103" s="155"/>
      <c r="GH103" s="155"/>
      <c r="GI103" s="155"/>
      <c r="GJ103" s="155"/>
      <c r="GK103" s="155"/>
    </row>
    <row r="104" spans="2:193" ht="18.75" customHeight="1" x14ac:dyDescent="0.3"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2894"/>
      <c r="AP104" s="2894"/>
      <c r="AQ104" s="2894"/>
      <c r="AR104" s="2894"/>
      <c r="AS104" s="2894"/>
      <c r="AT104" s="2894"/>
      <c r="AU104" s="2894"/>
      <c r="AV104" s="2894"/>
      <c r="AW104" s="2894"/>
      <c r="AX104" s="2894"/>
      <c r="AY104" s="2894"/>
      <c r="AZ104" s="2894"/>
      <c r="BA104" s="2894"/>
      <c r="BB104" s="2894"/>
      <c r="BC104" s="2894"/>
      <c r="BD104" s="2894"/>
      <c r="BE104" s="2894"/>
      <c r="BF104" s="2894"/>
      <c r="BG104" s="2894"/>
      <c r="BH104" s="2894"/>
      <c r="BI104" s="2894"/>
      <c r="BJ104" s="2894"/>
      <c r="BK104" s="2894"/>
      <c r="BL104" s="2894"/>
      <c r="BM104" s="2894"/>
      <c r="BN104" s="2894"/>
      <c r="BO104" s="2894"/>
      <c r="BP104" s="2894"/>
      <c r="BQ104" s="2894"/>
      <c r="BR104" s="2894"/>
      <c r="BS104" s="2894"/>
      <c r="BT104" s="2894"/>
      <c r="BU104" s="2894"/>
      <c r="BV104" s="2894"/>
      <c r="BW104" s="2894"/>
      <c r="BX104" s="2894"/>
      <c r="BY104" s="2894"/>
      <c r="BZ104" s="2894"/>
      <c r="CA104" s="2894"/>
      <c r="CB104" s="2894"/>
      <c r="CC104" s="2894"/>
      <c r="CD104" s="2894"/>
      <c r="CE104" s="2894"/>
      <c r="CF104" s="2894"/>
      <c r="CG104" s="2894"/>
      <c r="CH104" s="2894"/>
      <c r="CI104" s="2894"/>
      <c r="CJ104" s="2894"/>
      <c r="CK104" s="2894"/>
      <c r="CL104" s="2894"/>
      <c r="CM104" s="2894"/>
      <c r="CN104" s="2894"/>
      <c r="CO104" s="2894"/>
      <c r="CP104" s="2894"/>
      <c r="CQ104" s="2894"/>
      <c r="CR104" s="2894"/>
      <c r="CS104" s="2894"/>
      <c r="CT104" s="2894"/>
      <c r="CU104" s="2894"/>
      <c r="CV104" s="2894"/>
      <c r="CW104" s="2894"/>
      <c r="CX104" s="2894"/>
      <c r="CY104" s="2894"/>
      <c r="CZ104" s="2894"/>
      <c r="DA104" s="2894"/>
      <c r="DB104" s="2894"/>
      <c r="DC104" s="2894"/>
      <c r="DD104" s="2894"/>
      <c r="DE104" s="2894"/>
      <c r="DF104" s="2894"/>
      <c r="DG104" s="2894"/>
      <c r="DH104" s="2894"/>
      <c r="DI104" s="2894"/>
      <c r="DJ104" s="2894"/>
      <c r="DK104" s="2894"/>
      <c r="DL104" s="2894"/>
      <c r="DM104" s="2894"/>
      <c r="DN104" s="2894"/>
      <c r="DO104" s="2894"/>
      <c r="DP104" s="2894"/>
      <c r="DQ104" s="2894"/>
      <c r="DR104" s="2894"/>
      <c r="DS104" s="2894"/>
      <c r="DT104" s="2894"/>
      <c r="DU104" s="2894"/>
      <c r="DV104" s="2894"/>
      <c r="DW104" s="2894"/>
      <c r="DX104" s="2894"/>
      <c r="DY104" s="2894"/>
      <c r="DZ104" s="2894"/>
      <c r="EA104" s="2894"/>
      <c r="EB104" s="2894"/>
      <c r="EC104" s="2894"/>
      <c r="ED104" s="2894"/>
      <c r="EE104" s="2894"/>
      <c r="EF104" s="2894"/>
      <c r="EG104" s="2894"/>
      <c r="EH104" s="2894"/>
      <c r="EI104" s="2894"/>
      <c r="EJ104" s="2894"/>
      <c r="EK104" s="2894"/>
      <c r="EL104" s="2894"/>
      <c r="EM104" s="2894"/>
      <c r="EN104" s="2894"/>
      <c r="EO104" s="2894"/>
      <c r="EP104" s="2894"/>
      <c r="EQ104" s="2894"/>
      <c r="ER104" s="2894"/>
      <c r="ES104" s="2894"/>
      <c r="ET104" s="2894"/>
      <c r="EU104" s="2894"/>
      <c r="EV104" s="2894"/>
      <c r="EW104" s="2894"/>
      <c r="EX104" s="2894"/>
      <c r="EY104" s="2894"/>
      <c r="EZ104" s="2894"/>
      <c r="FA104" s="2894"/>
      <c r="FB104" s="2894"/>
      <c r="FC104" s="2894"/>
      <c r="FD104" s="2894"/>
      <c r="FE104" s="2894"/>
      <c r="FF104" s="2894"/>
      <c r="FG104" s="2894"/>
      <c r="FH104" s="2894"/>
      <c r="FI104" s="2894"/>
      <c r="FJ104" s="2894"/>
      <c r="FK104" s="2894"/>
      <c r="FL104" s="2894"/>
      <c r="FM104" s="2894"/>
      <c r="FN104" s="155"/>
      <c r="FO104" s="155"/>
      <c r="FP104" s="155"/>
      <c r="FQ104" s="155"/>
      <c r="FR104" s="155"/>
      <c r="FS104" s="155"/>
      <c r="FT104" s="155"/>
      <c r="FU104" s="155"/>
      <c r="FV104" s="155"/>
      <c r="FW104" s="155"/>
      <c r="FX104" s="155"/>
      <c r="FY104" s="155"/>
      <c r="FZ104" s="155"/>
      <c r="GA104" s="155"/>
      <c r="GB104" s="155"/>
      <c r="GC104" s="155"/>
      <c r="GD104" s="155"/>
      <c r="GE104" s="155"/>
      <c r="GF104" s="155"/>
      <c r="GG104" s="155"/>
      <c r="GH104" s="155"/>
      <c r="GI104" s="155"/>
      <c r="GJ104" s="155"/>
      <c r="GK104" s="155"/>
    </row>
    <row r="105" spans="2:193" ht="18.75" customHeight="1" x14ac:dyDescent="0.3"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2894"/>
      <c r="AP105" s="2894"/>
      <c r="AQ105" s="2894"/>
      <c r="AR105" s="2894"/>
      <c r="AS105" s="2894"/>
      <c r="AT105" s="2894"/>
      <c r="AU105" s="2894"/>
      <c r="AV105" s="2894"/>
      <c r="AW105" s="2894"/>
      <c r="AX105" s="2894"/>
      <c r="AY105" s="2894"/>
      <c r="AZ105" s="2894"/>
      <c r="BA105" s="2894"/>
      <c r="BB105" s="2894"/>
      <c r="BC105" s="2894"/>
      <c r="BD105" s="2894"/>
      <c r="BE105" s="2894"/>
      <c r="BF105" s="2894"/>
      <c r="BG105" s="2894"/>
      <c r="BH105" s="2894"/>
      <c r="BI105" s="2894"/>
      <c r="BJ105" s="2894"/>
      <c r="BK105" s="2894"/>
      <c r="BL105" s="2894"/>
      <c r="BM105" s="2894"/>
      <c r="BN105" s="2894"/>
      <c r="BO105" s="2894"/>
      <c r="BP105" s="2894"/>
      <c r="BQ105" s="2894"/>
      <c r="BR105" s="2894"/>
      <c r="BS105" s="2894"/>
      <c r="BT105" s="2894"/>
      <c r="BU105" s="2894"/>
      <c r="BV105" s="2894"/>
      <c r="BW105" s="2894"/>
      <c r="BX105" s="2894"/>
      <c r="BY105" s="2894"/>
      <c r="BZ105" s="2894"/>
      <c r="CA105" s="2894"/>
      <c r="CB105" s="2894"/>
      <c r="CC105" s="2894"/>
      <c r="CD105" s="2894"/>
      <c r="CE105" s="2894"/>
      <c r="CF105" s="2894"/>
      <c r="CG105" s="2894"/>
      <c r="CH105" s="2894"/>
      <c r="CI105" s="2894"/>
      <c r="CJ105" s="2894"/>
      <c r="CK105" s="2894"/>
      <c r="CL105" s="2894"/>
      <c r="CM105" s="2894"/>
      <c r="CN105" s="2894"/>
      <c r="CO105" s="2894"/>
      <c r="CP105" s="2894"/>
      <c r="CQ105" s="2894"/>
      <c r="CR105" s="2894"/>
      <c r="CS105" s="2894"/>
      <c r="CT105" s="2894"/>
      <c r="CU105" s="2894"/>
      <c r="CV105" s="2894"/>
      <c r="CW105" s="2894"/>
      <c r="CX105" s="2894"/>
      <c r="CY105" s="2894"/>
      <c r="CZ105" s="2894"/>
      <c r="DA105" s="2894"/>
      <c r="DB105" s="2894"/>
      <c r="DC105" s="2894"/>
      <c r="DD105" s="2894"/>
      <c r="DE105" s="2894"/>
      <c r="DF105" s="2894"/>
      <c r="DG105" s="2894"/>
      <c r="DH105" s="2894"/>
      <c r="DI105" s="2894"/>
      <c r="DJ105" s="2894"/>
      <c r="DK105" s="2894"/>
      <c r="DL105" s="2894"/>
      <c r="DM105" s="2894"/>
      <c r="DN105" s="2894"/>
      <c r="DO105" s="2894"/>
      <c r="DP105" s="2894"/>
      <c r="DQ105" s="2894"/>
      <c r="DR105" s="2894"/>
      <c r="DS105" s="2894"/>
      <c r="DT105" s="2894"/>
      <c r="DU105" s="2894"/>
      <c r="DV105" s="2894"/>
      <c r="DW105" s="2894"/>
      <c r="DX105" s="2894"/>
      <c r="DY105" s="2894"/>
      <c r="DZ105" s="2894"/>
      <c r="EA105" s="2894"/>
      <c r="EB105" s="2894"/>
      <c r="EC105" s="2894"/>
      <c r="ED105" s="2894"/>
      <c r="EE105" s="2894"/>
      <c r="EF105" s="2894"/>
      <c r="EG105" s="2894"/>
      <c r="EH105" s="2894"/>
      <c r="EI105" s="2894"/>
      <c r="EJ105" s="2894"/>
      <c r="EK105" s="2894"/>
      <c r="EL105" s="2894"/>
      <c r="EM105" s="2894"/>
      <c r="EN105" s="2894"/>
      <c r="EO105" s="2894"/>
      <c r="EP105" s="2894"/>
      <c r="EQ105" s="2894"/>
      <c r="ER105" s="2894"/>
      <c r="ES105" s="2894"/>
      <c r="ET105" s="2894"/>
      <c r="EU105" s="2894"/>
      <c r="EV105" s="2894"/>
      <c r="EW105" s="2894"/>
      <c r="EX105" s="2894"/>
      <c r="EY105" s="2894"/>
      <c r="EZ105" s="2894"/>
      <c r="FA105" s="2894"/>
      <c r="FB105" s="2894"/>
      <c r="FC105" s="2894"/>
      <c r="FD105" s="2894"/>
      <c r="FE105" s="2894"/>
      <c r="FF105" s="2894"/>
      <c r="FG105" s="2894"/>
      <c r="FH105" s="2894"/>
      <c r="FI105" s="2894"/>
      <c r="FJ105" s="2894"/>
      <c r="FK105" s="2894"/>
      <c r="FL105" s="2894"/>
      <c r="FM105" s="2894"/>
      <c r="FN105" s="155"/>
      <c r="FO105" s="155"/>
      <c r="FP105" s="155"/>
      <c r="FQ105" s="155"/>
      <c r="FR105" s="155"/>
      <c r="FS105" s="155"/>
      <c r="FT105" s="155"/>
      <c r="FU105" s="155"/>
      <c r="FV105" s="155"/>
      <c r="FW105" s="155"/>
      <c r="FX105" s="155"/>
      <c r="FY105" s="155"/>
      <c r="FZ105" s="155"/>
      <c r="GA105" s="155"/>
      <c r="GB105" s="155"/>
      <c r="GC105" s="155"/>
      <c r="GD105" s="155"/>
      <c r="GE105" s="155"/>
      <c r="GF105" s="155"/>
      <c r="GG105" s="155"/>
      <c r="GH105" s="155"/>
      <c r="GI105" s="155"/>
      <c r="GJ105" s="155"/>
      <c r="GK105" s="155"/>
    </row>
    <row r="106" spans="2:193" ht="18.75" customHeight="1" x14ac:dyDescent="0.3"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2894"/>
      <c r="AP106" s="2894"/>
      <c r="AQ106" s="2894"/>
      <c r="AR106" s="2894"/>
      <c r="AS106" s="2894"/>
      <c r="AT106" s="2894"/>
      <c r="AU106" s="2894"/>
      <c r="AV106" s="2894"/>
      <c r="AW106" s="2894"/>
      <c r="AX106" s="2894"/>
      <c r="AY106" s="2894"/>
      <c r="AZ106" s="2894"/>
      <c r="BA106" s="2894"/>
      <c r="BB106" s="2894"/>
      <c r="BC106" s="2894"/>
      <c r="BD106" s="2894"/>
      <c r="BE106" s="2894"/>
      <c r="BF106" s="2894"/>
      <c r="BG106" s="2894"/>
      <c r="BH106" s="2894"/>
      <c r="BI106" s="2894"/>
      <c r="BJ106" s="2894"/>
      <c r="BK106" s="2894"/>
      <c r="BL106" s="2894"/>
      <c r="BM106" s="2894"/>
      <c r="BN106" s="2894"/>
      <c r="BO106" s="2894"/>
      <c r="BP106" s="2894"/>
      <c r="BQ106" s="2894"/>
      <c r="BR106" s="2894"/>
      <c r="BS106" s="2894"/>
      <c r="BT106" s="2894"/>
      <c r="BU106" s="2894"/>
      <c r="BV106" s="2894"/>
      <c r="BW106" s="2894"/>
      <c r="BX106" s="2894"/>
      <c r="BY106" s="2894"/>
      <c r="BZ106" s="2894"/>
      <c r="CA106" s="2894"/>
      <c r="CB106" s="2894"/>
      <c r="CC106" s="2894"/>
      <c r="CD106" s="2894"/>
      <c r="CE106" s="2894"/>
      <c r="CF106" s="2894"/>
      <c r="CG106" s="2894"/>
      <c r="CH106" s="2894"/>
      <c r="CI106" s="2894"/>
      <c r="CJ106" s="2894"/>
      <c r="CK106" s="2894"/>
      <c r="CL106" s="2894"/>
      <c r="CM106" s="2894"/>
      <c r="CN106" s="2894"/>
      <c r="CO106" s="2894"/>
      <c r="CP106" s="2894"/>
      <c r="CQ106" s="2894"/>
      <c r="CR106" s="2894"/>
      <c r="CS106" s="2894"/>
      <c r="CT106" s="2894"/>
      <c r="CU106" s="2894"/>
      <c r="CV106" s="2894"/>
      <c r="CW106" s="2894"/>
      <c r="CX106" s="2894"/>
      <c r="CY106" s="2894"/>
      <c r="CZ106" s="2894"/>
      <c r="DA106" s="2894"/>
      <c r="DB106" s="2894"/>
      <c r="DC106" s="2894"/>
      <c r="DD106" s="2894"/>
      <c r="DE106" s="2894"/>
      <c r="DF106" s="2894"/>
      <c r="DG106" s="2894"/>
      <c r="DH106" s="2894"/>
      <c r="DI106" s="2894"/>
      <c r="DJ106" s="2894"/>
      <c r="DK106" s="2894"/>
      <c r="DL106" s="2894"/>
      <c r="DM106" s="2894"/>
      <c r="DN106" s="2894"/>
      <c r="DO106" s="2894"/>
      <c r="DP106" s="2894"/>
      <c r="DQ106" s="2894"/>
      <c r="DR106" s="2894"/>
      <c r="DS106" s="2894"/>
      <c r="DT106" s="2894"/>
      <c r="DU106" s="2894"/>
      <c r="DV106" s="2894"/>
      <c r="DW106" s="2894"/>
      <c r="DX106" s="2894"/>
      <c r="DY106" s="2894"/>
      <c r="DZ106" s="2894"/>
      <c r="EA106" s="2894"/>
      <c r="EB106" s="2894"/>
      <c r="EC106" s="2894"/>
      <c r="ED106" s="2894"/>
      <c r="EE106" s="2894"/>
      <c r="EF106" s="2894"/>
      <c r="EG106" s="2894"/>
      <c r="EH106" s="2894"/>
      <c r="EI106" s="2894"/>
      <c r="EJ106" s="2894"/>
      <c r="EK106" s="2894"/>
      <c r="EL106" s="2894"/>
      <c r="EM106" s="2894"/>
      <c r="EN106" s="2894"/>
      <c r="EO106" s="2894"/>
      <c r="EP106" s="2894"/>
      <c r="EQ106" s="2894"/>
      <c r="ER106" s="2894"/>
      <c r="ES106" s="2894"/>
      <c r="ET106" s="2894"/>
      <c r="EU106" s="2894"/>
      <c r="EV106" s="2894"/>
      <c r="EW106" s="2894"/>
      <c r="EX106" s="2894"/>
      <c r="EY106" s="2894"/>
      <c r="EZ106" s="2894"/>
      <c r="FA106" s="2894"/>
      <c r="FB106" s="2894"/>
      <c r="FC106" s="2894"/>
      <c r="FD106" s="2894"/>
      <c r="FE106" s="2894"/>
      <c r="FF106" s="2894"/>
      <c r="FG106" s="2894"/>
      <c r="FH106" s="2894"/>
      <c r="FI106" s="2894"/>
      <c r="FJ106" s="2894"/>
      <c r="FK106" s="2894"/>
      <c r="FL106" s="2894"/>
      <c r="FM106" s="2894"/>
      <c r="FN106" s="155"/>
      <c r="FO106" s="155"/>
      <c r="FP106" s="155"/>
      <c r="FQ106" s="155"/>
      <c r="FR106" s="155"/>
      <c r="FS106" s="155"/>
      <c r="FT106" s="155"/>
      <c r="FU106" s="155"/>
      <c r="FV106" s="155"/>
      <c r="FW106" s="155"/>
      <c r="FX106" s="155"/>
      <c r="FY106" s="155"/>
      <c r="FZ106" s="155"/>
      <c r="GA106" s="155"/>
      <c r="GB106" s="155"/>
      <c r="GC106" s="155"/>
      <c r="GD106" s="155"/>
      <c r="GE106" s="155"/>
      <c r="GF106" s="155"/>
      <c r="GG106" s="155"/>
      <c r="GH106" s="155"/>
      <c r="GI106" s="155"/>
      <c r="GJ106" s="155"/>
      <c r="GK106" s="155"/>
    </row>
    <row r="107" spans="2:193" ht="18.75" customHeight="1" x14ac:dyDescent="0.3"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2894"/>
      <c r="AP107" s="2894"/>
      <c r="AQ107" s="2894"/>
      <c r="AR107" s="2894"/>
      <c r="AS107" s="2894"/>
      <c r="AT107" s="2894"/>
      <c r="AU107" s="2894"/>
      <c r="AV107" s="2894"/>
      <c r="AW107" s="2894"/>
      <c r="AX107" s="2894"/>
      <c r="AY107" s="2894"/>
      <c r="AZ107" s="2894"/>
      <c r="BA107" s="2894"/>
      <c r="BB107" s="2894"/>
      <c r="BC107" s="2894"/>
      <c r="BD107" s="2894"/>
      <c r="BE107" s="2894"/>
      <c r="BF107" s="2894"/>
      <c r="BG107" s="2894"/>
      <c r="BH107" s="2894"/>
      <c r="BI107" s="2894"/>
      <c r="BJ107" s="2894"/>
      <c r="BK107" s="2894"/>
      <c r="BL107" s="2894"/>
      <c r="BM107" s="2894"/>
      <c r="BN107" s="2894"/>
      <c r="BO107" s="2894"/>
      <c r="BP107" s="2894"/>
      <c r="BQ107" s="2894"/>
      <c r="BR107" s="2894"/>
      <c r="BS107" s="2894"/>
      <c r="BT107" s="2894"/>
      <c r="BU107" s="2894"/>
      <c r="BV107" s="2894"/>
      <c r="BW107" s="2894"/>
      <c r="BX107" s="2894"/>
      <c r="BY107" s="2894"/>
      <c r="BZ107" s="2894"/>
      <c r="CA107" s="2894"/>
      <c r="CB107" s="2894"/>
      <c r="CC107" s="2894"/>
      <c r="CD107" s="2894"/>
      <c r="CE107" s="2894"/>
      <c r="CF107" s="2894"/>
      <c r="CG107" s="2894"/>
      <c r="CH107" s="2894"/>
      <c r="CI107" s="2894"/>
      <c r="CJ107" s="2894"/>
      <c r="CK107" s="2894"/>
      <c r="CL107" s="2894"/>
      <c r="CM107" s="2894"/>
      <c r="CN107" s="2894"/>
      <c r="CO107" s="2894"/>
      <c r="CP107" s="2894"/>
      <c r="CQ107" s="2894"/>
      <c r="CR107" s="2894"/>
      <c r="CS107" s="2894"/>
      <c r="CT107" s="2894"/>
      <c r="CU107" s="2894"/>
      <c r="CV107" s="2894"/>
      <c r="CW107" s="2894"/>
      <c r="CX107" s="2894"/>
      <c r="CY107" s="2894"/>
      <c r="CZ107" s="2894"/>
      <c r="DA107" s="2894"/>
      <c r="DB107" s="2894"/>
      <c r="DC107" s="2894"/>
      <c r="DD107" s="2894"/>
      <c r="DE107" s="2894"/>
      <c r="DF107" s="2894"/>
      <c r="DG107" s="2894"/>
      <c r="DH107" s="2894"/>
      <c r="DI107" s="2894"/>
      <c r="DJ107" s="2894"/>
      <c r="DK107" s="2894"/>
      <c r="DL107" s="2894"/>
      <c r="DM107" s="2894"/>
      <c r="DN107" s="2894"/>
      <c r="DO107" s="2894"/>
      <c r="DP107" s="2894"/>
      <c r="DQ107" s="2894"/>
      <c r="DR107" s="2894"/>
      <c r="DS107" s="2894"/>
      <c r="DT107" s="2894"/>
      <c r="DU107" s="2894"/>
      <c r="DV107" s="2894"/>
      <c r="DW107" s="2894"/>
      <c r="DX107" s="2894"/>
      <c r="DY107" s="2894"/>
      <c r="DZ107" s="2894"/>
      <c r="EA107" s="2894"/>
      <c r="EB107" s="2894"/>
      <c r="EC107" s="2894"/>
      <c r="ED107" s="2894"/>
      <c r="EE107" s="2894"/>
      <c r="EF107" s="2894"/>
      <c r="EG107" s="2894"/>
      <c r="EH107" s="2894"/>
      <c r="EI107" s="2894"/>
      <c r="EJ107" s="2894"/>
      <c r="EK107" s="2894"/>
      <c r="EL107" s="2894"/>
      <c r="EM107" s="2894"/>
      <c r="EN107" s="2894"/>
      <c r="EO107" s="2894"/>
      <c r="EP107" s="2894"/>
      <c r="EQ107" s="2894"/>
      <c r="ER107" s="2894"/>
      <c r="ES107" s="2894"/>
      <c r="ET107" s="2894"/>
      <c r="EU107" s="2894"/>
      <c r="EV107" s="2894"/>
      <c r="EW107" s="2894"/>
      <c r="EX107" s="2894"/>
      <c r="EY107" s="2894"/>
      <c r="EZ107" s="2894"/>
      <c r="FA107" s="2894"/>
      <c r="FB107" s="2894"/>
      <c r="FC107" s="2894"/>
      <c r="FD107" s="2894"/>
      <c r="FE107" s="2894"/>
      <c r="FF107" s="2894"/>
      <c r="FG107" s="2894"/>
      <c r="FH107" s="2894"/>
      <c r="FI107" s="2894"/>
      <c r="FJ107" s="2894"/>
      <c r="FK107" s="2894"/>
      <c r="FL107" s="2894"/>
      <c r="FM107" s="2894"/>
      <c r="FN107" s="155"/>
      <c r="FO107" s="155"/>
      <c r="FP107" s="155"/>
      <c r="FQ107" s="155"/>
      <c r="FR107" s="155"/>
      <c r="FS107" s="155"/>
      <c r="FT107" s="155"/>
      <c r="FU107" s="155"/>
      <c r="FV107" s="155"/>
      <c r="FW107" s="155"/>
      <c r="FX107" s="155"/>
      <c r="FY107" s="155"/>
      <c r="FZ107" s="155"/>
      <c r="GA107" s="155"/>
      <c r="GB107" s="155"/>
      <c r="GC107" s="155"/>
      <c r="GD107" s="155"/>
      <c r="GE107" s="155"/>
      <c r="GF107" s="155"/>
      <c r="GG107" s="155"/>
      <c r="GH107" s="155"/>
      <c r="GI107" s="155"/>
      <c r="GJ107" s="155"/>
      <c r="GK107" s="155"/>
    </row>
    <row r="108" spans="2:193" ht="18.75" customHeight="1" x14ac:dyDescent="0.3"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2894"/>
      <c r="AP108" s="2894"/>
      <c r="AQ108" s="2894"/>
      <c r="AR108" s="2894"/>
      <c r="AS108" s="2894"/>
      <c r="AT108" s="2894"/>
      <c r="AU108" s="2894"/>
      <c r="AV108" s="2894"/>
      <c r="AW108" s="2894"/>
      <c r="AX108" s="2894"/>
      <c r="AY108" s="2894"/>
      <c r="AZ108" s="2894"/>
      <c r="BA108" s="2894"/>
      <c r="BB108" s="2894"/>
      <c r="BC108" s="2894"/>
      <c r="BD108" s="2894"/>
      <c r="BE108" s="2894"/>
      <c r="BF108" s="2894"/>
      <c r="BG108" s="2894"/>
      <c r="BH108" s="2894"/>
      <c r="BI108" s="2894"/>
      <c r="BJ108" s="2894"/>
      <c r="BK108" s="2894"/>
      <c r="BL108" s="2894"/>
      <c r="BM108" s="2894"/>
      <c r="BN108" s="2894"/>
      <c r="BO108" s="2894"/>
      <c r="BP108" s="2894"/>
      <c r="BQ108" s="2894"/>
      <c r="BR108" s="2894"/>
      <c r="BS108" s="2894"/>
      <c r="BT108" s="2894"/>
      <c r="BU108" s="2894"/>
      <c r="BV108" s="2894"/>
      <c r="BW108" s="2894"/>
      <c r="BX108" s="2894"/>
      <c r="BY108" s="2894"/>
      <c r="BZ108" s="2894"/>
      <c r="CA108" s="2894"/>
      <c r="CB108" s="2894"/>
      <c r="CC108" s="2894"/>
      <c r="CD108" s="2894"/>
      <c r="CE108" s="2894"/>
      <c r="CF108" s="2894"/>
      <c r="CG108" s="2894"/>
      <c r="CH108" s="2894"/>
      <c r="CI108" s="2894"/>
      <c r="CJ108" s="2894"/>
      <c r="CK108" s="2894"/>
      <c r="CL108" s="2894"/>
      <c r="CM108" s="2894"/>
      <c r="CN108" s="2894"/>
      <c r="CO108" s="2894"/>
      <c r="CP108" s="2894"/>
      <c r="CQ108" s="2894"/>
      <c r="CR108" s="2894"/>
      <c r="CS108" s="2894"/>
      <c r="CT108" s="2894"/>
      <c r="CU108" s="2894"/>
      <c r="CV108" s="2894"/>
      <c r="CW108" s="2894"/>
      <c r="CX108" s="2894"/>
      <c r="CY108" s="2894"/>
      <c r="CZ108" s="2894"/>
      <c r="DA108" s="2894"/>
      <c r="DB108" s="2894"/>
      <c r="DC108" s="2894"/>
      <c r="DD108" s="2894"/>
      <c r="DE108" s="2894"/>
      <c r="DF108" s="2894"/>
      <c r="DG108" s="2894"/>
      <c r="DH108" s="2894"/>
      <c r="DI108" s="2894"/>
      <c r="DJ108" s="2894"/>
      <c r="DK108" s="2894"/>
      <c r="DL108" s="2894"/>
      <c r="DM108" s="2894"/>
      <c r="DN108" s="2894"/>
      <c r="DO108" s="2894"/>
      <c r="DP108" s="2894"/>
      <c r="DQ108" s="2894"/>
      <c r="DR108" s="2894"/>
      <c r="DS108" s="2894"/>
      <c r="DT108" s="2894"/>
      <c r="DU108" s="2894"/>
      <c r="DV108" s="2894"/>
      <c r="DW108" s="2894"/>
      <c r="DX108" s="2894"/>
      <c r="DY108" s="2894"/>
      <c r="DZ108" s="2894"/>
      <c r="EA108" s="2894"/>
      <c r="EB108" s="2894"/>
      <c r="EC108" s="2894"/>
      <c r="ED108" s="2894"/>
      <c r="EE108" s="2894"/>
      <c r="EF108" s="2894"/>
      <c r="EG108" s="2894"/>
      <c r="EH108" s="2894"/>
      <c r="EI108" s="2894"/>
      <c r="EJ108" s="2894"/>
      <c r="EK108" s="2894"/>
      <c r="EL108" s="2894"/>
      <c r="EM108" s="2894"/>
      <c r="EN108" s="2894"/>
      <c r="EO108" s="2894"/>
      <c r="EP108" s="2894"/>
      <c r="EQ108" s="2894"/>
      <c r="ER108" s="2894"/>
      <c r="ES108" s="2894"/>
      <c r="ET108" s="2894"/>
      <c r="EU108" s="2894"/>
      <c r="EV108" s="2894"/>
      <c r="EW108" s="2894"/>
      <c r="EX108" s="2894"/>
      <c r="EY108" s="2894"/>
      <c r="EZ108" s="2894"/>
      <c r="FA108" s="2894"/>
      <c r="FB108" s="2894"/>
      <c r="FC108" s="2894"/>
      <c r="FD108" s="2894"/>
      <c r="FE108" s="2894"/>
      <c r="FF108" s="2894"/>
      <c r="FG108" s="2894"/>
      <c r="FH108" s="2894"/>
      <c r="FI108" s="2894"/>
      <c r="FJ108" s="2894"/>
      <c r="FK108" s="2894"/>
      <c r="FL108" s="2894"/>
      <c r="FM108" s="2894"/>
      <c r="FN108" s="155"/>
      <c r="FO108" s="155"/>
      <c r="FP108" s="155"/>
      <c r="FQ108" s="155"/>
      <c r="FR108" s="155"/>
      <c r="FS108" s="155"/>
      <c r="FT108" s="155"/>
      <c r="FU108" s="155"/>
      <c r="FV108" s="155"/>
      <c r="FW108" s="155"/>
      <c r="FX108" s="155"/>
      <c r="FY108" s="155"/>
      <c r="FZ108" s="155"/>
      <c r="GA108" s="155"/>
      <c r="GB108" s="155"/>
      <c r="GC108" s="155"/>
      <c r="GD108" s="155"/>
      <c r="GE108" s="155"/>
      <c r="GF108" s="155"/>
      <c r="GG108" s="155"/>
      <c r="GH108" s="155"/>
      <c r="GI108" s="155"/>
      <c r="GJ108" s="155"/>
      <c r="GK108" s="155"/>
    </row>
    <row r="109" spans="2:193" ht="18.75" customHeight="1" x14ac:dyDescent="0.3"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2894"/>
      <c r="AP109" s="2894"/>
      <c r="AQ109" s="2894"/>
      <c r="AR109" s="2894"/>
      <c r="AS109" s="2894"/>
      <c r="AT109" s="2894"/>
      <c r="AU109" s="2894"/>
      <c r="AV109" s="2894"/>
      <c r="AW109" s="2894"/>
      <c r="AX109" s="2894"/>
      <c r="AY109" s="2894"/>
      <c r="AZ109" s="2894"/>
      <c r="BA109" s="2894"/>
      <c r="BB109" s="2894"/>
      <c r="BC109" s="2894"/>
      <c r="BD109" s="2894"/>
      <c r="BE109" s="2894"/>
      <c r="BF109" s="2894"/>
      <c r="BG109" s="2894"/>
      <c r="BH109" s="2894"/>
      <c r="BI109" s="2894"/>
      <c r="BJ109" s="2894"/>
      <c r="BK109" s="2894"/>
      <c r="BL109" s="2894"/>
      <c r="BM109" s="2894"/>
      <c r="BN109" s="2894"/>
      <c r="BO109" s="2894"/>
      <c r="BP109" s="2894"/>
      <c r="BQ109" s="2894"/>
      <c r="BR109" s="2894"/>
      <c r="BS109" s="2894"/>
      <c r="BT109" s="2894"/>
      <c r="BU109" s="2894"/>
      <c r="BV109" s="2894"/>
      <c r="BW109" s="2894"/>
      <c r="BX109" s="2894"/>
      <c r="BY109" s="2894"/>
      <c r="BZ109" s="2894"/>
      <c r="CA109" s="2894"/>
      <c r="CB109" s="2894"/>
      <c r="CC109" s="2894"/>
      <c r="CD109" s="2894"/>
      <c r="CE109" s="2894"/>
      <c r="CF109" s="2894"/>
      <c r="CG109" s="2894"/>
      <c r="CH109" s="2894"/>
      <c r="CI109" s="2894"/>
      <c r="CJ109" s="2894"/>
      <c r="CK109" s="2894"/>
      <c r="CL109" s="2894"/>
      <c r="CM109" s="2894"/>
      <c r="CN109" s="2894"/>
      <c r="CO109" s="2894"/>
      <c r="CP109" s="2894"/>
      <c r="CQ109" s="2894"/>
      <c r="CR109" s="2894"/>
      <c r="CS109" s="2894"/>
      <c r="CT109" s="2894"/>
      <c r="CU109" s="2894"/>
      <c r="CV109" s="2894"/>
      <c r="CW109" s="2894"/>
      <c r="CX109" s="2894"/>
      <c r="CY109" s="2894"/>
      <c r="CZ109" s="2894"/>
      <c r="DA109" s="2894"/>
      <c r="DB109" s="2894"/>
      <c r="DC109" s="2894"/>
      <c r="DD109" s="2894"/>
      <c r="DE109" s="2894"/>
      <c r="DF109" s="2894"/>
      <c r="DG109" s="2894"/>
      <c r="DH109" s="2894"/>
      <c r="DI109" s="2894"/>
      <c r="DJ109" s="2894"/>
      <c r="DK109" s="2894"/>
      <c r="DL109" s="2894"/>
      <c r="DM109" s="2894"/>
      <c r="DN109" s="2894"/>
      <c r="DO109" s="2894"/>
      <c r="DP109" s="2894"/>
      <c r="DQ109" s="2894"/>
      <c r="DR109" s="2894"/>
      <c r="DS109" s="2894"/>
      <c r="DT109" s="2894"/>
      <c r="DU109" s="2894"/>
      <c r="DV109" s="2894"/>
      <c r="DW109" s="2894"/>
      <c r="DX109" s="2894"/>
      <c r="DY109" s="2894"/>
      <c r="DZ109" s="2894"/>
      <c r="EA109" s="2894"/>
      <c r="EB109" s="2894"/>
      <c r="EC109" s="2894"/>
      <c r="ED109" s="2894"/>
      <c r="EE109" s="2894"/>
      <c r="EF109" s="2894"/>
      <c r="EG109" s="2894"/>
      <c r="EH109" s="2894"/>
      <c r="EI109" s="2894"/>
      <c r="EJ109" s="2894"/>
      <c r="EK109" s="2894"/>
      <c r="EL109" s="2894"/>
      <c r="EM109" s="2894"/>
      <c r="EN109" s="2894"/>
      <c r="EO109" s="2894"/>
      <c r="EP109" s="2894"/>
      <c r="EQ109" s="2894"/>
      <c r="ER109" s="2894"/>
      <c r="ES109" s="2894"/>
      <c r="ET109" s="2894"/>
      <c r="EU109" s="2894"/>
      <c r="EV109" s="2894"/>
      <c r="EW109" s="2894"/>
      <c r="EX109" s="2894"/>
      <c r="EY109" s="2894"/>
      <c r="EZ109" s="2894"/>
      <c r="FA109" s="2894"/>
      <c r="FB109" s="2894"/>
      <c r="FC109" s="2894"/>
      <c r="FD109" s="2894"/>
      <c r="FE109" s="2894"/>
      <c r="FF109" s="2894"/>
      <c r="FG109" s="2894"/>
      <c r="FH109" s="2894"/>
      <c r="FI109" s="2894"/>
      <c r="FJ109" s="2894"/>
      <c r="FK109" s="2894"/>
      <c r="FL109" s="2894"/>
      <c r="FM109" s="2894"/>
      <c r="FN109" s="155"/>
      <c r="FO109" s="155"/>
      <c r="FP109" s="155"/>
      <c r="FQ109" s="155"/>
      <c r="FR109" s="155"/>
      <c r="FS109" s="155"/>
      <c r="FT109" s="155"/>
      <c r="FU109" s="155"/>
      <c r="FV109" s="155"/>
      <c r="FW109" s="155"/>
      <c r="FX109" s="155"/>
      <c r="FY109" s="155"/>
      <c r="FZ109" s="155"/>
      <c r="GA109" s="155"/>
      <c r="GB109" s="155"/>
      <c r="GC109" s="155"/>
      <c r="GD109" s="155"/>
      <c r="GE109" s="155"/>
      <c r="GF109" s="155"/>
      <c r="GG109" s="155"/>
      <c r="GH109" s="155"/>
      <c r="GI109" s="155"/>
      <c r="GJ109" s="155"/>
      <c r="GK109" s="155"/>
    </row>
    <row r="110" spans="2:193" ht="18.75" customHeight="1" x14ac:dyDescent="0.3"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2894"/>
      <c r="AP110" s="2894"/>
      <c r="AQ110" s="2894"/>
      <c r="AR110" s="2894"/>
      <c r="AS110" s="2894"/>
      <c r="AT110" s="2894"/>
      <c r="AU110" s="2894"/>
      <c r="AV110" s="2894"/>
      <c r="AW110" s="2894"/>
      <c r="AX110" s="2894"/>
      <c r="AY110" s="2894"/>
      <c r="AZ110" s="2894"/>
      <c r="BA110" s="2894"/>
      <c r="BB110" s="2894"/>
      <c r="BC110" s="2894"/>
      <c r="BD110" s="2894"/>
      <c r="BE110" s="2894"/>
      <c r="BF110" s="2894"/>
      <c r="BG110" s="2894"/>
      <c r="BH110" s="2894"/>
      <c r="BI110" s="2894"/>
      <c r="BJ110" s="2894"/>
      <c r="BK110" s="2894"/>
      <c r="BL110" s="2894"/>
      <c r="BM110" s="2894"/>
      <c r="BN110" s="2894"/>
      <c r="BO110" s="2894"/>
      <c r="BP110" s="2894"/>
      <c r="BQ110" s="2894"/>
      <c r="BR110" s="2894"/>
      <c r="BS110" s="2894"/>
      <c r="BT110" s="2894"/>
      <c r="BU110" s="2894"/>
      <c r="BV110" s="2894"/>
      <c r="BW110" s="2894"/>
      <c r="BX110" s="2894"/>
      <c r="BY110" s="2894"/>
      <c r="BZ110" s="2894"/>
      <c r="CA110" s="2894"/>
      <c r="CB110" s="2894"/>
      <c r="CC110" s="2894"/>
      <c r="CD110" s="2894"/>
      <c r="CE110" s="2894"/>
      <c r="CF110" s="2894"/>
      <c r="CG110" s="2894"/>
      <c r="CH110" s="2894"/>
      <c r="CI110" s="2894"/>
      <c r="CJ110" s="2894"/>
      <c r="CK110" s="2894"/>
      <c r="CL110" s="2894"/>
      <c r="CM110" s="2894"/>
      <c r="CN110" s="2894"/>
      <c r="CO110" s="2894"/>
      <c r="CP110" s="2894"/>
      <c r="CQ110" s="2894"/>
      <c r="CR110" s="2894"/>
      <c r="CS110" s="2894"/>
      <c r="CT110" s="2894"/>
      <c r="CU110" s="2894"/>
      <c r="CV110" s="2894"/>
      <c r="CW110" s="2894"/>
      <c r="CX110" s="2894"/>
      <c r="CY110" s="2894"/>
      <c r="CZ110" s="2894"/>
      <c r="DA110" s="2894"/>
      <c r="DB110" s="2894"/>
      <c r="DC110" s="2894"/>
      <c r="DD110" s="2894"/>
      <c r="DE110" s="2894"/>
      <c r="DF110" s="2894"/>
      <c r="DG110" s="2894"/>
      <c r="DH110" s="2894"/>
      <c r="DI110" s="2894"/>
      <c r="DJ110" s="2894"/>
      <c r="DK110" s="2894"/>
      <c r="DL110" s="2894"/>
      <c r="DM110" s="2894"/>
      <c r="DN110" s="2894"/>
      <c r="DO110" s="2894"/>
      <c r="DP110" s="2894"/>
      <c r="DQ110" s="2894"/>
      <c r="DR110" s="2894"/>
      <c r="DS110" s="2894"/>
      <c r="DT110" s="2894"/>
      <c r="DU110" s="2894"/>
      <c r="DV110" s="2894"/>
      <c r="DW110" s="2894"/>
      <c r="DX110" s="2894"/>
      <c r="DY110" s="2894"/>
      <c r="DZ110" s="2894"/>
      <c r="EA110" s="2894"/>
      <c r="EB110" s="2894"/>
      <c r="EC110" s="2894"/>
      <c r="ED110" s="2894"/>
      <c r="EE110" s="2894"/>
      <c r="EF110" s="2894"/>
      <c r="EG110" s="2894"/>
      <c r="EH110" s="2894"/>
      <c r="EI110" s="2894"/>
      <c r="EJ110" s="2894"/>
      <c r="EK110" s="2894"/>
      <c r="EL110" s="2894"/>
      <c r="EM110" s="2894"/>
      <c r="EN110" s="2894"/>
      <c r="EO110" s="2894"/>
      <c r="EP110" s="2894"/>
      <c r="EQ110" s="2894"/>
      <c r="ER110" s="2894"/>
      <c r="ES110" s="2894"/>
      <c r="ET110" s="2894"/>
      <c r="EU110" s="2894"/>
      <c r="EV110" s="2894"/>
      <c r="EW110" s="2894"/>
      <c r="EX110" s="2894"/>
      <c r="EY110" s="2894"/>
      <c r="EZ110" s="2894"/>
      <c r="FA110" s="2894"/>
      <c r="FB110" s="2894"/>
      <c r="FC110" s="2894"/>
      <c r="FD110" s="2894"/>
      <c r="FE110" s="2894"/>
      <c r="FF110" s="2894"/>
      <c r="FG110" s="2894"/>
      <c r="FH110" s="2894"/>
      <c r="FI110" s="2894"/>
      <c r="FJ110" s="2894"/>
      <c r="FK110" s="2894"/>
      <c r="FL110" s="2894"/>
      <c r="FM110" s="2894"/>
      <c r="FN110" s="155"/>
      <c r="FO110" s="155"/>
      <c r="FP110" s="155"/>
      <c r="FQ110" s="155"/>
      <c r="FR110" s="155"/>
      <c r="FS110" s="155"/>
      <c r="FT110" s="155"/>
      <c r="FU110" s="155"/>
      <c r="FV110" s="155"/>
      <c r="FW110" s="155"/>
      <c r="FX110" s="155"/>
      <c r="FY110" s="155"/>
      <c r="FZ110" s="155"/>
      <c r="GA110" s="155"/>
      <c r="GB110" s="155"/>
      <c r="GC110" s="155"/>
      <c r="GD110" s="155"/>
      <c r="GE110" s="155"/>
      <c r="GF110" s="155"/>
      <c r="GG110" s="155"/>
      <c r="GH110" s="155"/>
      <c r="GI110" s="155"/>
      <c r="GJ110" s="155"/>
      <c r="GK110" s="155"/>
    </row>
    <row r="111" spans="2:193" ht="18.75" customHeight="1" x14ac:dyDescent="0.3"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2894"/>
      <c r="AP111" s="2894"/>
      <c r="AQ111" s="2894"/>
      <c r="AR111" s="2894"/>
      <c r="AS111" s="2894"/>
      <c r="AT111" s="2894"/>
      <c r="AU111" s="2894"/>
      <c r="AV111" s="2894"/>
      <c r="AW111" s="2894"/>
      <c r="AX111" s="2894"/>
      <c r="AY111" s="2894"/>
      <c r="AZ111" s="2894"/>
      <c r="BA111" s="2894"/>
      <c r="BB111" s="2894"/>
      <c r="BC111" s="2894"/>
      <c r="BD111" s="2894"/>
      <c r="BE111" s="2894"/>
      <c r="BF111" s="2894"/>
      <c r="BG111" s="2894"/>
      <c r="BH111" s="2894"/>
      <c r="BI111" s="2894"/>
      <c r="BJ111" s="2894"/>
      <c r="BK111" s="2894"/>
      <c r="BL111" s="2894"/>
      <c r="BM111" s="2894"/>
      <c r="BN111" s="2894"/>
      <c r="BO111" s="2894"/>
      <c r="BP111" s="2894"/>
      <c r="BQ111" s="2894"/>
      <c r="BR111" s="2894"/>
      <c r="BS111" s="2894"/>
      <c r="BT111" s="2894"/>
      <c r="BU111" s="2894"/>
      <c r="BV111" s="2894"/>
      <c r="BW111" s="2894"/>
      <c r="BX111" s="2894"/>
      <c r="BY111" s="2894"/>
      <c r="BZ111" s="2894"/>
      <c r="CA111" s="2894"/>
      <c r="CB111" s="2894"/>
      <c r="CC111" s="2894"/>
      <c r="CD111" s="2894"/>
      <c r="CE111" s="2894"/>
      <c r="CF111" s="2894"/>
      <c r="CG111" s="2894"/>
      <c r="CH111" s="2894"/>
      <c r="CI111" s="2894"/>
      <c r="CJ111" s="2894"/>
      <c r="CK111" s="2894"/>
      <c r="CL111" s="2894"/>
      <c r="CM111" s="2894"/>
      <c r="CN111" s="2894"/>
      <c r="CO111" s="2894"/>
      <c r="CP111" s="2894"/>
      <c r="CQ111" s="2894"/>
      <c r="CR111" s="2894"/>
      <c r="CS111" s="2894"/>
      <c r="CT111" s="2894"/>
      <c r="CU111" s="2894"/>
      <c r="CV111" s="2894"/>
      <c r="CW111" s="2894"/>
      <c r="CX111" s="2894"/>
      <c r="CY111" s="2894"/>
      <c r="CZ111" s="2894"/>
      <c r="DA111" s="2894"/>
      <c r="DB111" s="2894"/>
      <c r="DC111" s="2894"/>
      <c r="DD111" s="2894"/>
      <c r="DE111" s="2894"/>
      <c r="DF111" s="2894"/>
      <c r="DG111" s="2894"/>
      <c r="DH111" s="2894"/>
      <c r="DI111" s="2894"/>
      <c r="DJ111" s="2894"/>
      <c r="DK111" s="2894"/>
      <c r="DL111" s="2894"/>
      <c r="DM111" s="2894"/>
      <c r="DN111" s="2894"/>
      <c r="DO111" s="2894"/>
      <c r="DP111" s="2894"/>
      <c r="DQ111" s="2894"/>
      <c r="DR111" s="2894"/>
      <c r="DS111" s="2894"/>
      <c r="DT111" s="2894"/>
      <c r="DU111" s="2894"/>
      <c r="DV111" s="2894"/>
      <c r="DW111" s="2894"/>
      <c r="DX111" s="2894"/>
      <c r="DY111" s="2894"/>
      <c r="DZ111" s="2894"/>
      <c r="EA111" s="2894"/>
      <c r="EB111" s="2894"/>
      <c r="EC111" s="2894"/>
      <c r="ED111" s="2894"/>
      <c r="EE111" s="2894"/>
      <c r="EF111" s="2894"/>
      <c r="EG111" s="2894"/>
      <c r="EH111" s="2894"/>
      <c r="EI111" s="2894"/>
      <c r="EJ111" s="2894"/>
      <c r="EK111" s="2894"/>
      <c r="EL111" s="2894"/>
      <c r="EM111" s="2894"/>
      <c r="EN111" s="2894"/>
      <c r="EO111" s="2894"/>
      <c r="EP111" s="2894"/>
      <c r="EQ111" s="2894"/>
      <c r="ER111" s="2894"/>
      <c r="ES111" s="2894"/>
      <c r="ET111" s="2894"/>
      <c r="EU111" s="2894"/>
      <c r="EV111" s="2894"/>
      <c r="EW111" s="2894"/>
      <c r="EX111" s="2894"/>
      <c r="EY111" s="2894"/>
      <c r="EZ111" s="2894"/>
      <c r="FA111" s="2894"/>
      <c r="FB111" s="2894"/>
      <c r="FC111" s="2894"/>
      <c r="FD111" s="2894"/>
      <c r="FE111" s="2894"/>
      <c r="FF111" s="2894"/>
      <c r="FG111" s="2894"/>
      <c r="FH111" s="2894"/>
      <c r="FI111" s="2894"/>
      <c r="FJ111" s="2894"/>
      <c r="FK111" s="2894"/>
      <c r="FL111" s="2894"/>
      <c r="FM111" s="2894"/>
      <c r="FN111" s="155"/>
      <c r="FO111" s="155"/>
      <c r="FP111" s="155"/>
      <c r="FQ111" s="155"/>
      <c r="FR111" s="155"/>
      <c r="FS111" s="155"/>
      <c r="FT111" s="155"/>
      <c r="FU111" s="155"/>
      <c r="FV111" s="155"/>
      <c r="FW111" s="155"/>
      <c r="FX111" s="155"/>
      <c r="FY111" s="155"/>
      <c r="FZ111" s="155"/>
      <c r="GA111" s="155"/>
      <c r="GB111" s="155"/>
      <c r="GC111" s="155"/>
      <c r="GD111" s="155"/>
      <c r="GE111" s="155"/>
      <c r="GF111" s="155"/>
      <c r="GG111" s="155"/>
      <c r="GH111" s="155"/>
      <c r="GI111" s="155"/>
      <c r="GJ111" s="155"/>
      <c r="GK111" s="155"/>
    </row>
    <row r="112" spans="2:193" ht="18.75" customHeight="1" x14ac:dyDescent="0.3"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2894"/>
      <c r="AP112" s="2894"/>
      <c r="AQ112" s="2894"/>
      <c r="AR112" s="2894"/>
      <c r="AS112" s="2894"/>
      <c r="AT112" s="2894"/>
      <c r="AU112" s="2894"/>
      <c r="AV112" s="2894"/>
      <c r="AW112" s="2894"/>
      <c r="AX112" s="2894"/>
      <c r="AY112" s="2894"/>
      <c r="AZ112" s="2894"/>
      <c r="BA112" s="2894"/>
      <c r="BB112" s="2894"/>
      <c r="BC112" s="2894"/>
      <c r="BD112" s="2894"/>
      <c r="BE112" s="2894"/>
      <c r="BF112" s="2894"/>
      <c r="BG112" s="2894"/>
      <c r="BH112" s="2894"/>
      <c r="BI112" s="2894"/>
      <c r="BJ112" s="2894"/>
      <c r="BK112" s="2894"/>
      <c r="BL112" s="2894"/>
      <c r="BM112" s="2894"/>
      <c r="BN112" s="2894"/>
      <c r="BO112" s="2894"/>
      <c r="BP112" s="2894"/>
      <c r="BQ112" s="2894"/>
      <c r="BR112" s="2894"/>
      <c r="BS112" s="2894"/>
      <c r="BT112" s="2894"/>
      <c r="BU112" s="2894"/>
      <c r="BV112" s="2894"/>
      <c r="BW112" s="2894"/>
      <c r="BX112" s="2894"/>
      <c r="BY112" s="2894"/>
      <c r="BZ112" s="2894"/>
      <c r="CA112" s="2894"/>
      <c r="CB112" s="2894"/>
      <c r="CC112" s="2894"/>
      <c r="CD112" s="2894"/>
      <c r="CE112" s="2894"/>
      <c r="CF112" s="2894"/>
      <c r="CG112" s="2894"/>
      <c r="CH112" s="2894"/>
      <c r="CI112" s="2894"/>
      <c r="CJ112" s="2894"/>
      <c r="CK112" s="2894"/>
      <c r="CL112" s="2894"/>
      <c r="CM112" s="2894"/>
      <c r="CN112" s="2894"/>
      <c r="CO112" s="2894"/>
      <c r="CP112" s="2894"/>
      <c r="CQ112" s="2894"/>
      <c r="CR112" s="2894"/>
      <c r="CS112" s="2894"/>
      <c r="CT112" s="2894"/>
      <c r="CU112" s="2894"/>
      <c r="CV112" s="2894"/>
      <c r="CW112" s="2894"/>
      <c r="CX112" s="2894"/>
      <c r="CY112" s="2894"/>
      <c r="CZ112" s="2894"/>
      <c r="DA112" s="2894"/>
      <c r="DB112" s="2894"/>
      <c r="DC112" s="2894"/>
      <c r="DD112" s="2894"/>
      <c r="DE112" s="2894"/>
      <c r="DF112" s="2894"/>
      <c r="DG112" s="2894"/>
      <c r="DH112" s="2894"/>
      <c r="DI112" s="2894"/>
      <c r="DJ112" s="2894"/>
      <c r="DK112" s="2894"/>
      <c r="DL112" s="2894"/>
      <c r="DM112" s="2894"/>
      <c r="DN112" s="2894"/>
      <c r="DO112" s="2894"/>
      <c r="DP112" s="2894"/>
      <c r="DQ112" s="2894"/>
      <c r="DR112" s="2894"/>
      <c r="DS112" s="2894"/>
      <c r="DT112" s="2894"/>
      <c r="DU112" s="2894"/>
      <c r="DV112" s="2894"/>
      <c r="DW112" s="2894"/>
      <c r="DX112" s="2894"/>
      <c r="DY112" s="2894"/>
      <c r="DZ112" s="2894"/>
      <c r="EA112" s="2894"/>
      <c r="EB112" s="2894"/>
      <c r="EC112" s="2894"/>
      <c r="ED112" s="2894"/>
      <c r="EE112" s="2894"/>
      <c r="EF112" s="2894"/>
      <c r="EG112" s="2894"/>
      <c r="EH112" s="2894"/>
      <c r="EI112" s="2894"/>
      <c r="EJ112" s="2894"/>
      <c r="EK112" s="2894"/>
      <c r="EL112" s="2894"/>
      <c r="EM112" s="2894"/>
      <c r="EN112" s="2894"/>
      <c r="EO112" s="2894"/>
      <c r="EP112" s="2894"/>
      <c r="EQ112" s="2894"/>
      <c r="ER112" s="2894"/>
      <c r="ES112" s="2894"/>
      <c r="ET112" s="2894"/>
      <c r="EU112" s="2894"/>
      <c r="EV112" s="2894"/>
      <c r="EW112" s="2894"/>
      <c r="EX112" s="2894"/>
      <c r="EY112" s="2894"/>
      <c r="EZ112" s="2894"/>
      <c r="FA112" s="2894"/>
      <c r="FB112" s="2894"/>
      <c r="FC112" s="2894"/>
      <c r="FD112" s="2894"/>
      <c r="FE112" s="2894"/>
      <c r="FF112" s="2894"/>
      <c r="FG112" s="2894"/>
      <c r="FH112" s="2894"/>
      <c r="FI112" s="2894"/>
      <c r="FJ112" s="2894"/>
      <c r="FK112" s="2894"/>
      <c r="FL112" s="2894"/>
      <c r="FM112" s="2894"/>
      <c r="FN112" s="155"/>
      <c r="FO112" s="155"/>
      <c r="FP112" s="155"/>
      <c r="FQ112" s="155"/>
      <c r="FR112" s="155"/>
      <c r="FS112" s="155"/>
      <c r="FT112" s="155"/>
      <c r="FU112" s="155"/>
      <c r="FV112" s="155"/>
      <c r="FW112" s="155"/>
      <c r="FX112" s="155"/>
      <c r="FY112" s="155"/>
      <c r="FZ112" s="155"/>
      <c r="GA112" s="155"/>
      <c r="GB112" s="155"/>
      <c r="GC112" s="155"/>
      <c r="GD112" s="155"/>
      <c r="GE112" s="155"/>
      <c r="GF112" s="155"/>
      <c r="GG112" s="155"/>
      <c r="GH112" s="155"/>
      <c r="GI112" s="155"/>
      <c r="GJ112" s="155"/>
      <c r="GK112" s="155"/>
    </row>
    <row r="113" spans="2:193" ht="18.75" customHeight="1" x14ac:dyDescent="0.3"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2894"/>
      <c r="AP113" s="2894"/>
      <c r="AQ113" s="2894"/>
      <c r="AR113" s="2894"/>
      <c r="AS113" s="2894"/>
      <c r="AT113" s="2894"/>
      <c r="AU113" s="2894"/>
      <c r="AV113" s="2894"/>
      <c r="AW113" s="2894"/>
      <c r="AX113" s="2894"/>
      <c r="AY113" s="2894"/>
      <c r="AZ113" s="2894"/>
      <c r="BA113" s="2894"/>
      <c r="BB113" s="2894"/>
      <c r="BC113" s="2894"/>
      <c r="BD113" s="2894"/>
      <c r="BE113" s="2894"/>
      <c r="BF113" s="2894"/>
      <c r="BG113" s="2894"/>
      <c r="BH113" s="2894"/>
      <c r="BI113" s="2894"/>
      <c r="BJ113" s="2894"/>
      <c r="BK113" s="2894"/>
      <c r="BL113" s="2894"/>
      <c r="BM113" s="2894"/>
      <c r="BN113" s="2894"/>
      <c r="BO113" s="2894"/>
      <c r="BP113" s="2894"/>
      <c r="BQ113" s="2894"/>
      <c r="BR113" s="2894"/>
      <c r="BS113" s="2894"/>
      <c r="BT113" s="2894"/>
      <c r="BU113" s="2894"/>
      <c r="BV113" s="2894"/>
      <c r="BW113" s="2894"/>
      <c r="BX113" s="2894"/>
      <c r="BY113" s="2894"/>
      <c r="BZ113" s="2894"/>
      <c r="CA113" s="2894"/>
      <c r="CB113" s="2894"/>
      <c r="CC113" s="2894"/>
      <c r="CD113" s="2894"/>
      <c r="CE113" s="2894"/>
      <c r="CF113" s="2894"/>
      <c r="CG113" s="2894"/>
      <c r="CH113" s="2894"/>
      <c r="CI113" s="2894"/>
      <c r="CJ113" s="2894"/>
      <c r="CK113" s="2894"/>
      <c r="CL113" s="2894"/>
      <c r="CM113" s="2894"/>
      <c r="CN113" s="2894"/>
      <c r="CO113" s="2894"/>
      <c r="CP113" s="2894"/>
      <c r="CQ113" s="2894"/>
      <c r="CR113" s="2894"/>
      <c r="CS113" s="2894"/>
      <c r="CT113" s="2894"/>
      <c r="CU113" s="2894"/>
      <c r="CV113" s="2894"/>
      <c r="CW113" s="2894"/>
      <c r="CX113" s="2894"/>
      <c r="CY113" s="2894"/>
      <c r="CZ113" s="2894"/>
      <c r="DA113" s="2894"/>
      <c r="DB113" s="2894"/>
      <c r="DC113" s="2894"/>
      <c r="DD113" s="2894"/>
      <c r="DE113" s="2894"/>
      <c r="DF113" s="2894"/>
      <c r="DG113" s="2894"/>
      <c r="DH113" s="2894"/>
      <c r="DI113" s="2894"/>
      <c r="DJ113" s="2894"/>
      <c r="DK113" s="2894"/>
      <c r="DL113" s="2894"/>
      <c r="DM113" s="2894"/>
      <c r="DN113" s="2894"/>
      <c r="DO113" s="2894"/>
      <c r="DP113" s="2894"/>
      <c r="DQ113" s="2894"/>
      <c r="DR113" s="2894"/>
      <c r="DS113" s="2894"/>
      <c r="DT113" s="2894"/>
      <c r="DU113" s="2894"/>
      <c r="DV113" s="2894"/>
      <c r="DW113" s="2894"/>
      <c r="DX113" s="2894"/>
      <c r="DY113" s="2894"/>
      <c r="DZ113" s="2894"/>
      <c r="EA113" s="2894"/>
      <c r="EB113" s="2894"/>
      <c r="EC113" s="2894"/>
      <c r="ED113" s="2894"/>
      <c r="EE113" s="2894"/>
      <c r="EF113" s="2894"/>
      <c r="EG113" s="2894"/>
      <c r="EH113" s="2894"/>
      <c r="EI113" s="2894"/>
      <c r="EJ113" s="2894"/>
      <c r="EK113" s="2894"/>
      <c r="EL113" s="2894"/>
      <c r="EM113" s="2894"/>
      <c r="EN113" s="2894"/>
      <c r="EO113" s="2894"/>
      <c r="EP113" s="2894"/>
      <c r="EQ113" s="2894"/>
      <c r="ER113" s="2894"/>
      <c r="ES113" s="2894"/>
      <c r="ET113" s="2894"/>
      <c r="EU113" s="2894"/>
      <c r="EV113" s="2894"/>
      <c r="EW113" s="2894"/>
      <c r="EX113" s="2894"/>
      <c r="EY113" s="2894"/>
      <c r="EZ113" s="2894"/>
      <c r="FA113" s="2894"/>
      <c r="FB113" s="2894"/>
      <c r="FC113" s="2894"/>
      <c r="FD113" s="2894"/>
      <c r="FE113" s="2894"/>
      <c r="FF113" s="2894"/>
      <c r="FG113" s="2894"/>
      <c r="FH113" s="2894"/>
      <c r="FI113" s="2894"/>
      <c r="FJ113" s="2894"/>
      <c r="FK113" s="2894"/>
      <c r="FL113" s="2894"/>
      <c r="FM113" s="2894"/>
      <c r="FN113" s="155"/>
      <c r="FO113" s="155"/>
      <c r="FP113" s="155"/>
      <c r="FQ113" s="155"/>
      <c r="FR113" s="155"/>
      <c r="FS113" s="155"/>
      <c r="FT113" s="155"/>
      <c r="FU113" s="155"/>
      <c r="FV113" s="155"/>
      <c r="FW113" s="155"/>
      <c r="FX113" s="155"/>
      <c r="FY113" s="155"/>
      <c r="FZ113" s="155"/>
      <c r="GA113" s="155"/>
      <c r="GB113" s="155"/>
      <c r="GC113" s="155"/>
      <c r="GD113" s="155"/>
      <c r="GE113" s="155"/>
      <c r="GF113" s="155"/>
      <c r="GG113" s="155"/>
      <c r="GH113" s="155"/>
      <c r="GI113" s="155"/>
      <c r="GJ113" s="155"/>
      <c r="GK113" s="155"/>
    </row>
    <row r="114" spans="2:193" ht="18.75" customHeight="1" x14ac:dyDescent="0.3"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2894"/>
      <c r="AP114" s="2894"/>
      <c r="AQ114" s="2894"/>
      <c r="AR114" s="2894"/>
      <c r="AS114" s="2894"/>
      <c r="AT114" s="2894"/>
      <c r="AU114" s="2894"/>
      <c r="AV114" s="2894"/>
      <c r="AW114" s="2894"/>
      <c r="AX114" s="2894"/>
      <c r="AY114" s="2894"/>
      <c r="AZ114" s="2894"/>
      <c r="BA114" s="2894"/>
      <c r="BB114" s="2894"/>
      <c r="BC114" s="2894"/>
      <c r="BD114" s="2894"/>
      <c r="BE114" s="2894"/>
      <c r="BF114" s="2894"/>
      <c r="BG114" s="2894"/>
      <c r="BH114" s="2894"/>
      <c r="BI114" s="2894"/>
      <c r="BJ114" s="2894"/>
      <c r="BK114" s="2894"/>
      <c r="BL114" s="2894"/>
      <c r="BM114" s="2894"/>
      <c r="BN114" s="2894"/>
      <c r="BO114" s="2894"/>
      <c r="BP114" s="2894"/>
      <c r="BQ114" s="2894"/>
      <c r="BR114" s="2894"/>
      <c r="BS114" s="2894"/>
      <c r="BT114" s="2894"/>
      <c r="BU114" s="2894"/>
      <c r="BV114" s="2894"/>
      <c r="BW114" s="2894"/>
      <c r="BX114" s="2894"/>
      <c r="BY114" s="2894"/>
      <c r="BZ114" s="2894"/>
      <c r="CA114" s="2894"/>
      <c r="CB114" s="2894"/>
      <c r="CC114" s="2894"/>
      <c r="CD114" s="2894"/>
      <c r="CE114" s="2894"/>
      <c r="CF114" s="2894"/>
      <c r="CG114" s="2894"/>
      <c r="CH114" s="2894"/>
      <c r="CI114" s="2894"/>
      <c r="CJ114" s="2894"/>
      <c r="CK114" s="2894"/>
      <c r="CL114" s="2894"/>
      <c r="CM114" s="2894"/>
      <c r="CN114" s="2894"/>
      <c r="CO114" s="2894"/>
      <c r="CP114" s="2894"/>
      <c r="CQ114" s="2894"/>
      <c r="CR114" s="2894"/>
      <c r="CS114" s="2894"/>
      <c r="CT114" s="2894"/>
      <c r="CU114" s="2894"/>
      <c r="CV114" s="2894"/>
      <c r="CW114" s="2894"/>
      <c r="CX114" s="2894"/>
      <c r="CY114" s="2894"/>
      <c r="CZ114" s="2894"/>
      <c r="DA114" s="2894"/>
      <c r="DB114" s="2894"/>
      <c r="DC114" s="2894"/>
      <c r="DD114" s="2894"/>
      <c r="DE114" s="2894"/>
      <c r="DF114" s="2894"/>
      <c r="DG114" s="2894"/>
      <c r="DH114" s="2894"/>
      <c r="DI114" s="2894"/>
      <c r="DJ114" s="2894"/>
      <c r="DK114" s="2894"/>
      <c r="DL114" s="2894"/>
      <c r="DM114" s="2894"/>
      <c r="DN114" s="2894"/>
      <c r="DO114" s="2894"/>
      <c r="DP114" s="2894"/>
      <c r="DQ114" s="2894"/>
      <c r="DR114" s="2894"/>
      <c r="DS114" s="2894"/>
      <c r="DT114" s="2894"/>
      <c r="DU114" s="2894"/>
      <c r="DV114" s="2894"/>
      <c r="DW114" s="2894"/>
      <c r="DX114" s="2894"/>
      <c r="DY114" s="2894"/>
      <c r="DZ114" s="2894"/>
      <c r="EA114" s="2894"/>
      <c r="EB114" s="2894"/>
      <c r="EC114" s="2894"/>
      <c r="ED114" s="2894"/>
      <c r="EE114" s="2894"/>
      <c r="EF114" s="2894"/>
      <c r="EG114" s="2894"/>
      <c r="EH114" s="2894"/>
      <c r="EI114" s="2894"/>
      <c r="EJ114" s="2894"/>
      <c r="EK114" s="2894"/>
      <c r="EL114" s="2894"/>
      <c r="EM114" s="2894"/>
      <c r="EN114" s="2894"/>
      <c r="EO114" s="2894"/>
      <c r="EP114" s="2894"/>
      <c r="EQ114" s="2894"/>
      <c r="ER114" s="2894"/>
      <c r="ES114" s="2894"/>
      <c r="ET114" s="2894"/>
      <c r="EU114" s="2894"/>
      <c r="EV114" s="2894"/>
      <c r="EW114" s="2894"/>
      <c r="EX114" s="2894"/>
      <c r="EY114" s="2894"/>
      <c r="EZ114" s="2894"/>
      <c r="FA114" s="2894"/>
      <c r="FB114" s="2894"/>
      <c r="FC114" s="2894"/>
      <c r="FD114" s="2894"/>
      <c r="FE114" s="2894"/>
      <c r="FF114" s="2894"/>
      <c r="FG114" s="2894"/>
      <c r="FH114" s="2894"/>
      <c r="FI114" s="2894"/>
      <c r="FJ114" s="2894"/>
      <c r="FK114" s="2894"/>
      <c r="FL114" s="2894"/>
      <c r="FM114" s="2894"/>
      <c r="FN114" s="155"/>
      <c r="FO114" s="155"/>
      <c r="FP114" s="155"/>
      <c r="FQ114" s="155"/>
      <c r="FR114" s="155"/>
      <c r="FS114" s="155"/>
      <c r="FT114" s="155"/>
      <c r="FU114" s="155"/>
      <c r="FV114" s="155"/>
      <c r="FW114" s="155"/>
      <c r="FX114" s="155"/>
      <c r="FY114" s="155"/>
      <c r="FZ114" s="155"/>
      <c r="GA114" s="155"/>
      <c r="GB114" s="155"/>
      <c r="GC114" s="155"/>
      <c r="GD114" s="155"/>
      <c r="GE114" s="155"/>
      <c r="GF114" s="155"/>
      <c r="GG114" s="155"/>
      <c r="GH114" s="155"/>
      <c r="GI114" s="155"/>
      <c r="GJ114" s="155"/>
      <c r="GK114" s="155"/>
    </row>
    <row r="115" spans="2:193" ht="18.75" customHeight="1" x14ac:dyDescent="0.3"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2894"/>
      <c r="AP115" s="2894"/>
      <c r="AQ115" s="2894"/>
      <c r="AR115" s="2894"/>
      <c r="AS115" s="2894"/>
      <c r="AT115" s="2894"/>
      <c r="AU115" s="2894"/>
      <c r="AV115" s="2894"/>
      <c r="AW115" s="2894"/>
      <c r="AX115" s="2894"/>
      <c r="AY115" s="2894"/>
      <c r="AZ115" s="2894"/>
      <c r="BA115" s="2894"/>
      <c r="BB115" s="2894"/>
      <c r="BC115" s="2894"/>
      <c r="BD115" s="2894"/>
      <c r="BE115" s="2894"/>
      <c r="BF115" s="2894"/>
      <c r="BG115" s="2894"/>
      <c r="BH115" s="2894"/>
      <c r="BI115" s="2894"/>
      <c r="BJ115" s="2894"/>
      <c r="BK115" s="2894"/>
      <c r="BL115" s="2894"/>
      <c r="BM115" s="2894"/>
      <c r="BN115" s="2894"/>
      <c r="BO115" s="2894"/>
      <c r="BP115" s="2894"/>
      <c r="BQ115" s="2894"/>
      <c r="BR115" s="2894"/>
      <c r="BS115" s="2894"/>
      <c r="BT115" s="2894"/>
      <c r="BU115" s="2894"/>
      <c r="BV115" s="2894"/>
      <c r="BW115" s="2894"/>
      <c r="BX115" s="2894"/>
      <c r="BY115" s="2894"/>
      <c r="BZ115" s="2894"/>
      <c r="CA115" s="2894"/>
      <c r="CB115" s="2894"/>
      <c r="CC115" s="2894"/>
      <c r="CD115" s="2894"/>
      <c r="CE115" s="2894"/>
      <c r="CF115" s="2894"/>
      <c r="CG115" s="2894"/>
      <c r="CH115" s="2894"/>
      <c r="CI115" s="2894"/>
      <c r="CJ115" s="2894"/>
      <c r="CK115" s="2894"/>
      <c r="CL115" s="2894"/>
      <c r="CM115" s="2894"/>
      <c r="CN115" s="2894"/>
      <c r="CO115" s="2894"/>
      <c r="CP115" s="2894"/>
      <c r="CQ115" s="2894"/>
      <c r="CR115" s="2894"/>
      <c r="CS115" s="2894"/>
      <c r="CT115" s="2894"/>
      <c r="CU115" s="2894"/>
      <c r="CV115" s="2894"/>
      <c r="CW115" s="2894"/>
      <c r="CX115" s="2894"/>
      <c r="CY115" s="2894"/>
      <c r="CZ115" s="2894"/>
      <c r="DA115" s="2894"/>
      <c r="DB115" s="2894"/>
      <c r="DC115" s="2894"/>
      <c r="DD115" s="2894"/>
      <c r="DE115" s="2894"/>
      <c r="DF115" s="2894"/>
      <c r="DG115" s="2894"/>
      <c r="DH115" s="2894"/>
      <c r="DI115" s="2894"/>
      <c r="DJ115" s="2894"/>
      <c r="DK115" s="2894"/>
      <c r="DL115" s="2894"/>
      <c r="DM115" s="2894"/>
      <c r="DN115" s="2894"/>
      <c r="DO115" s="2894"/>
      <c r="DP115" s="2894"/>
      <c r="DQ115" s="2894"/>
      <c r="DR115" s="2894"/>
      <c r="DS115" s="2894"/>
      <c r="DT115" s="2894"/>
      <c r="DU115" s="2894"/>
      <c r="DV115" s="2894"/>
      <c r="DW115" s="2894"/>
      <c r="DX115" s="2894"/>
      <c r="DY115" s="2894"/>
      <c r="DZ115" s="2894"/>
      <c r="EA115" s="2894"/>
      <c r="EB115" s="2894"/>
      <c r="EC115" s="2894"/>
      <c r="ED115" s="2894"/>
      <c r="EE115" s="2894"/>
      <c r="EF115" s="2894"/>
      <c r="EG115" s="2894"/>
      <c r="EH115" s="2894"/>
      <c r="EI115" s="2894"/>
      <c r="EJ115" s="2894"/>
      <c r="EK115" s="2894"/>
      <c r="EL115" s="2894"/>
      <c r="EM115" s="2894"/>
      <c r="EN115" s="2894"/>
      <c r="EO115" s="2894"/>
      <c r="EP115" s="2894"/>
      <c r="EQ115" s="2894"/>
      <c r="ER115" s="2894"/>
      <c r="ES115" s="2894"/>
      <c r="ET115" s="2894"/>
      <c r="EU115" s="2894"/>
      <c r="EV115" s="2894"/>
      <c r="EW115" s="2894"/>
      <c r="EX115" s="2894"/>
      <c r="EY115" s="2894"/>
      <c r="EZ115" s="2894"/>
      <c r="FA115" s="2894"/>
      <c r="FB115" s="2894"/>
      <c r="FC115" s="2894"/>
      <c r="FD115" s="2894"/>
      <c r="FE115" s="2894"/>
      <c r="FF115" s="2894"/>
      <c r="FG115" s="2894"/>
      <c r="FH115" s="2894"/>
      <c r="FI115" s="2894"/>
      <c r="FJ115" s="2894"/>
      <c r="FK115" s="2894"/>
      <c r="FL115" s="2894"/>
      <c r="FM115" s="2894"/>
      <c r="FN115" s="155"/>
      <c r="FO115" s="155"/>
      <c r="FP115" s="155"/>
      <c r="FQ115" s="155"/>
      <c r="FR115" s="155"/>
      <c r="FS115" s="155"/>
      <c r="FT115" s="155"/>
      <c r="FU115" s="155"/>
      <c r="FV115" s="155"/>
      <c r="FW115" s="155"/>
      <c r="FX115" s="155"/>
      <c r="FY115" s="155"/>
      <c r="FZ115" s="155"/>
      <c r="GA115" s="155"/>
      <c r="GB115" s="155"/>
      <c r="GC115" s="155"/>
      <c r="GD115" s="155"/>
      <c r="GE115" s="155"/>
      <c r="GF115" s="155"/>
      <c r="GG115" s="155"/>
      <c r="GH115" s="155"/>
      <c r="GI115" s="155"/>
      <c r="GJ115" s="155"/>
      <c r="GK115" s="155"/>
    </row>
    <row r="116" spans="2:193" ht="18.75" customHeight="1" x14ac:dyDescent="0.3"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2894"/>
      <c r="AP116" s="2894"/>
      <c r="AQ116" s="2894"/>
      <c r="AR116" s="2894"/>
      <c r="AS116" s="2894"/>
      <c r="AT116" s="2894"/>
      <c r="AU116" s="2894"/>
      <c r="AV116" s="2894"/>
      <c r="AW116" s="2894"/>
      <c r="AX116" s="2894"/>
      <c r="AY116" s="2894"/>
      <c r="AZ116" s="2894"/>
      <c r="BA116" s="2894"/>
      <c r="BB116" s="2894"/>
      <c r="BC116" s="2894"/>
      <c r="BD116" s="2894"/>
      <c r="BE116" s="2894"/>
      <c r="BF116" s="2894"/>
      <c r="BG116" s="2894"/>
      <c r="BH116" s="2894"/>
      <c r="BI116" s="2894"/>
      <c r="BJ116" s="2894"/>
      <c r="BK116" s="2894"/>
      <c r="BL116" s="2894"/>
      <c r="BM116" s="2894"/>
      <c r="BN116" s="2894"/>
      <c r="BO116" s="2894"/>
      <c r="BP116" s="2894"/>
      <c r="BQ116" s="2894"/>
      <c r="BR116" s="2894"/>
      <c r="BS116" s="2894"/>
      <c r="BT116" s="2894"/>
      <c r="BU116" s="2894"/>
      <c r="BV116" s="2894"/>
      <c r="BW116" s="2894"/>
      <c r="BX116" s="2894"/>
      <c r="BY116" s="2894"/>
      <c r="BZ116" s="2894"/>
      <c r="CA116" s="2894"/>
      <c r="CB116" s="2894"/>
      <c r="CC116" s="2894"/>
      <c r="CD116" s="2894"/>
      <c r="CE116" s="2894"/>
      <c r="CF116" s="2894"/>
      <c r="CG116" s="2894"/>
      <c r="CH116" s="2894"/>
      <c r="CI116" s="2894"/>
      <c r="CJ116" s="2894"/>
      <c r="CK116" s="2894"/>
      <c r="CL116" s="2894"/>
      <c r="CM116" s="2894"/>
      <c r="CN116" s="2894"/>
      <c r="CO116" s="2894"/>
      <c r="CP116" s="2894"/>
      <c r="CQ116" s="2894"/>
      <c r="CR116" s="2894"/>
      <c r="CS116" s="2894"/>
      <c r="CT116" s="2894"/>
      <c r="CU116" s="2894"/>
      <c r="CV116" s="2894"/>
      <c r="CW116" s="2894"/>
      <c r="CX116" s="2894"/>
      <c r="CY116" s="2894"/>
      <c r="CZ116" s="2894"/>
      <c r="DA116" s="2894"/>
      <c r="DB116" s="2894"/>
      <c r="DC116" s="2894"/>
      <c r="DD116" s="2894"/>
      <c r="DE116" s="2894"/>
      <c r="DF116" s="2894"/>
      <c r="DG116" s="2894"/>
      <c r="DH116" s="2894"/>
      <c r="DI116" s="2894"/>
      <c r="DJ116" s="2894"/>
      <c r="DK116" s="2894"/>
      <c r="DL116" s="2894"/>
      <c r="DM116" s="2894"/>
      <c r="DN116" s="2894"/>
      <c r="DO116" s="2894"/>
      <c r="DP116" s="2894"/>
      <c r="DQ116" s="2894"/>
      <c r="DR116" s="2894"/>
      <c r="DS116" s="2894"/>
      <c r="DT116" s="2894"/>
      <c r="DU116" s="2894"/>
      <c r="DV116" s="2894"/>
      <c r="DW116" s="2894"/>
      <c r="DX116" s="2894"/>
      <c r="DY116" s="2894"/>
      <c r="DZ116" s="2894"/>
      <c r="EA116" s="2894"/>
      <c r="EB116" s="2894"/>
      <c r="EC116" s="2894"/>
      <c r="ED116" s="2894"/>
      <c r="EE116" s="2894"/>
      <c r="EF116" s="2894"/>
      <c r="EG116" s="2894"/>
      <c r="EH116" s="2894"/>
      <c r="EI116" s="2894"/>
      <c r="EJ116" s="2894"/>
      <c r="EK116" s="2894"/>
      <c r="EL116" s="2894"/>
      <c r="EM116" s="2894"/>
      <c r="EN116" s="2894"/>
      <c r="EO116" s="2894"/>
      <c r="EP116" s="2894"/>
      <c r="EQ116" s="2894"/>
      <c r="ER116" s="2894"/>
      <c r="ES116" s="2894"/>
      <c r="ET116" s="2894"/>
      <c r="EU116" s="2894"/>
      <c r="EV116" s="2894"/>
      <c r="EW116" s="2894"/>
      <c r="EX116" s="2894"/>
      <c r="EY116" s="2894"/>
      <c r="EZ116" s="2894"/>
      <c r="FA116" s="2894"/>
      <c r="FB116" s="2894"/>
      <c r="FC116" s="2894"/>
      <c r="FD116" s="2894"/>
      <c r="FE116" s="2894"/>
      <c r="FF116" s="2894"/>
      <c r="FG116" s="2894"/>
      <c r="FH116" s="2894"/>
      <c r="FI116" s="2894"/>
      <c r="FJ116" s="2894"/>
      <c r="FK116" s="2894"/>
      <c r="FL116" s="2894"/>
      <c r="FM116" s="2894"/>
      <c r="FN116" s="155"/>
      <c r="FO116" s="155"/>
      <c r="FP116" s="155"/>
      <c r="FQ116" s="155"/>
      <c r="FR116" s="155"/>
      <c r="FS116" s="155"/>
      <c r="FT116" s="155"/>
      <c r="FU116" s="155"/>
      <c r="FV116" s="155"/>
      <c r="FW116" s="155"/>
      <c r="FX116" s="155"/>
      <c r="FY116" s="155"/>
      <c r="FZ116" s="155"/>
      <c r="GA116" s="155"/>
      <c r="GB116" s="155"/>
      <c r="GC116" s="155"/>
      <c r="GD116" s="155"/>
      <c r="GE116" s="155"/>
      <c r="GF116" s="155"/>
      <c r="GG116" s="155"/>
      <c r="GH116" s="155"/>
      <c r="GI116" s="155"/>
      <c r="GJ116" s="155"/>
      <c r="GK116" s="155"/>
    </row>
    <row r="117" spans="2:193" ht="18.75" customHeight="1" x14ac:dyDescent="0.3"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2894"/>
      <c r="AP117" s="2894"/>
      <c r="AQ117" s="2894"/>
      <c r="AR117" s="2894"/>
      <c r="AS117" s="2894"/>
      <c r="AT117" s="2894"/>
      <c r="AU117" s="2894"/>
      <c r="AV117" s="2894"/>
      <c r="AW117" s="2894"/>
      <c r="AX117" s="2894"/>
      <c r="AY117" s="2894"/>
      <c r="AZ117" s="2894"/>
      <c r="BA117" s="2894"/>
      <c r="BB117" s="2894"/>
      <c r="BC117" s="2894"/>
      <c r="BD117" s="2894"/>
      <c r="BE117" s="2894"/>
      <c r="BF117" s="2894"/>
      <c r="BG117" s="2894"/>
      <c r="BH117" s="2894"/>
      <c r="BI117" s="2894"/>
      <c r="BJ117" s="2894"/>
      <c r="BK117" s="2894"/>
      <c r="BL117" s="2894"/>
      <c r="BM117" s="2894"/>
      <c r="BN117" s="2894"/>
      <c r="BO117" s="2894"/>
      <c r="BP117" s="2894"/>
      <c r="BQ117" s="2894"/>
      <c r="BR117" s="2894"/>
      <c r="BS117" s="2894"/>
      <c r="BT117" s="2894"/>
      <c r="BU117" s="2894"/>
      <c r="BV117" s="2894"/>
      <c r="BW117" s="2894"/>
      <c r="BX117" s="2894"/>
      <c r="BY117" s="2894"/>
      <c r="BZ117" s="2894"/>
      <c r="CA117" s="2894"/>
      <c r="CB117" s="2894"/>
      <c r="CC117" s="2894"/>
      <c r="CD117" s="2894"/>
      <c r="CE117" s="2894"/>
      <c r="CF117" s="2894"/>
      <c r="CG117" s="2894"/>
      <c r="CH117" s="2894"/>
      <c r="CI117" s="2894"/>
      <c r="CJ117" s="2894"/>
      <c r="CK117" s="2894"/>
      <c r="CL117" s="2894"/>
      <c r="CM117" s="2894"/>
      <c r="CN117" s="2894"/>
      <c r="CO117" s="2894"/>
      <c r="CP117" s="2894"/>
      <c r="CQ117" s="2894"/>
      <c r="CR117" s="2894"/>
      <c r="CS117" s="2894"/>
      <c r="CT117" s="2894"/>
      <c r="CU117" s="2894"/>
      <c r="CV117" s="2894"/>
      <c r="CW117" s="2894"/>
      <c r="CX117" s="2894"/>
      <c r="CY117" s="2894"/>
      <c r="CZ117" s="2894"/>
      <c r="DA117" s="2894"/>
      <c r="DB117" s="2894"/>
      <c r="DC117" s="2894"/>
      <c r="DD117" s="2894"/>
      <c r="DE117" s="2894"/>
      <c r="DF117" s="2894"/>
      <c r="DG117" s="2894"/>
      <c r="DH117" s="2894"/>
      <c r="DI117" s="2894"/>
      <c r="DJ117" s="2894"/>
      <c r="DK117" s="2894"/>
      <c r="DL117" s="2894"/>
      <c r="DM117" s="2894"/>
      <c r="DN117" s="2894"/>
      <c r="DO117" s="2894"/>
      <c r="DP117" s="2894"/>
      <c r="DQ117" s="2894"/>
      <c r="DR117" s="2894"/>
      <c r="DS117" s="2894"/>
      <c r="DT117" s="2894"/>
      <c r="DU117" s="2894"/>
      <c r="DV117" s="2894"/>
      <c r="DW117" s="2894"/>
      <c r="DX117" s="2894"/>
      <c r="DY117" s="2894"/>
      <c r="DZ117" s="2894"/>
      <c r="EA117" s="2894"/>
      <c r="EB117" s="2894"/>
      <c r="EC117" s="2894"/>
      <c r="ED117" s="2894"/>
      <c r="EE117" s="2894"/>
      <c r="EF117" s="2894"/>
      <c r="EG117" s="2894"/>
      <c r="EH117" s="2894"/>
      <c r="EI117" s="2894"/>
      <c r="EJ117" s="2894"/>
      <c r="EK117" s="2894"/>
      <c r="EL117" s="2894"/>
      <c r="EM117" s="2894"/>
      <c r="EN117" s="2894"/>
      <c r="EO117" s="2894"/>
      <c r="EP117" s="2894"/>
      <c r="EQ117" s="2894"/>
      <c r="ER117" s="2894"/>
      <c r="ES117" s="2894"/>
      <c r="ET117" s="2894"/>
      <c r="EU117" s="2894"/>
      <c r="EV117" s="2894"/>
      <c r="EW117" s="2894"/>
      <c r="EX117" s="2894"/>
      <c r="EY117" s="2894"/>
      <c r="EZ117" s="2894"/>
      <c r="FA117" s="2894"/>
      <c r="FB117" s="2894"/>
      <c r="FC117" s="2894"/>
      <c r="FD117" s="2894"/>
      <c r="FE117" s="2894"/>
      <c r="FF117" s="2894"/>
      <c r="FG117" s="2894"/>
      <c r="FH117" s="2894"/>
      <c r="FI117" s="2894"/>
      <c r="FJ117" s="2894"/>
      <c r="FK117" s="2894"/>
      <c r="FL117" s="2894"/>
      <c r="FM117" s="2894"/>
      <c r="FN117" s="155"/>
      <c r="FO117" s="155"/>
      <c r="FP117" s="155"/>
      <c r="FQ117" s="155"/>
      <c r="FR117" s="155"/>
      <c r="FS117" s="155"/>
      <c r="FT117" s="155"/>
      <c r="FU117" s="155"/>
      <c r="FV117" s="155"/>
      <c r="FW117" s="155"/>
      <c r="FX117" s="155"/>
      <c r="FY117" s="155"/>
      <c r="FZ117" s="155"/>
      <c r="GA117" s="155"/>
      <c r="GB117" s="155"/>
      <c r="GC117" s="155"/>
      <c r="GD117" s="155"/>
      <c r="GE117" s="155"/>
      <c r="GF117" s="155"/>
      <c r="GG117" s="155"/>
      <c r="GH117" s="155"/>
      <c r="GI117" s="155"/>
      <c r="GJ117" s="155"/>
      <c r="GK117" s="155"/>
    </row>
    <row r="118" spans="2:193" ht="18.75" customHeight="1" x14ac:dyDescent="0.3"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2894"/>
      <c r="AP118" s="2894"/>
      <c r="AQ118" s="2894"/>
      <c r="AR118" s="2894"/>
      <c r="AS118" s="2894"/>
      <c r="AT118" s="2894"/>
      <c r="AU118" s="2894"/>
      <c r="AV118" s="2894"/>
      <c r="AW118" s="2894"/>
      <c r="AX118" s="2894"/>
      <c r="AY118" s="2894"/>
      <c r="AZ118" s="2894"/>
      <c r="BA118" s="2894"/>
      <c r="BB118" s="2894"/>
      <c r="BC118" s="2894"/>
      <c r="BD118" s="2894"/>
      <c r="BE118" s="2894"/>
      <c r="BF118" s="2894"/>
      <c r="BG118" s="2894"/>
      <c r="BH118" s="2894"/>
      <c r="BI118" s="2894"/>
      <c r="BJ118" s="2894"/>
      <c r="BK118" s="2894"/>
      <c r="BL118" s="2894"/>
      <c r="BM118" s="2894"/>
      <c r="BN118" s="2894"/>
      <c r="BO118" s="2894"/>
      <c r="BP118" s="2894"/>
      <c r="BQ118" s="2894"/>
      <c r="BR118" s="2894"/>
      <c r="BS118" s="2894"/>
      <c r="BT118" s="2894"/>
      <c r="BU118" s="2894"/>
      <c r="BV118" s="2894"/>
      <c r="BW118" s="2894"/>
      <c r="BX118" s="2894"/>
      <c r="BY118" s="2894"/>
      <c r="BZ118" s="2894"/>
      <c r="CA118" s="2894"/>
      <c r="CB118" s="2894"/>
      <c r="CC118" s="2894"/>
      <c r="CD118" s="2894"/>
      <c r="CE118" s="2894"/>
      <c r="CF118" s="2894"/>
      <c r="CG118" s="2894"/>
      <c r="CH118" s="2894"/>
      <c r="CI118" s="2894"/>
      <c r="CJ118" s="2894"/>
      <c r="CK118" s="2894"/>
      <c r="CL118" s="2894"/>
      <c r="CM118" s="2894"/>
      <c r="CN118" s="2894"/>
      <c r="CO118" s="2894"/>
      <c r="CP118" s="2894"/>
      <c r="CQ118" s="2894"/>
      <c r="CR118" s="2894"/>
      <c r="CS118" s="2894"/>
      <c r="CT118" s="2894"/>
      <c r="CU118" s="2894"/>
      <c r="CV118" s="2894"/>
      <c r="CW118" s="2894"/>
      <c r="CX118" s="2894"/>
      <c r="CY118" s="2894"/>
      <c r="CZ118" s="2894"/>
      <c r="DA118" s="2894"/>
      <c r="DB118" s="2894"/>
      <c r="DC118" s="2894"/>
      <c r="DD118" s="2894"/>
      <c r="DE118" s="2894"/>
      <c r="DF118" s="2894"/>
      <c r="DG118" s="2894"/>
      <c r="DH118" s="2894"/>
      <c r="DI118" s="2894"/>
      <c r="DJ118" s="2894"/>
      <c r="DK118" s="2894"/>
      <c r="DL118" s="2894"/>
      <c r="DM118" s="2894"/>
      <c r="DN118" s="2894"/>
      <c r="DO118" s="2894"/>
      <c r="DP118" s="2894"/>
      <c r="DQ118" s="2894"/>
      <c r="DR118" s="2894"/>
      <c r="DS118" s="2894"/>
      <c r="DT118" s="2894"/>
      <c r="DU118" s="2894"/>
      <c r="DV118" s="2894"/>
      <c r="DW118" s="2894"/>
      <c r="DX118" s="2894"/>
      <c r="DY118" s="2894"/>
      <c r="DZ118" s="2894"/>
      <c r="EA118" s="2894"/>
      <c r="EB118" s="2894"/>
      <c r="EC118" s="2894"/>
      <c r="ED118" s="2894"/>
      <c r="EE118" s="2894"/>
      <c r="EF118" s="2894"/>
      <c r="EG118" s="2894"/>
      <c r="EH118" s="2894"/>
      <c r="EI118" s="2894"/>
      <c r="EJ118" s="2894"/>
      <c r="EK118" s="2894"/>
      <c r="EL118" s="2894"/>
      <c r="EM118" s="2894"/>
      <c r="EN118" s="2894"/>
      <c r="EO118" s="2894"/>
      <c r="EP118" s="2894"/>
      <c r="EQ118" s="2894"/>
      <c r="ER118" s="2894"/>
      <c r="ES118" s="2894"/>
      <c r="ET118" s="2894"/>
      <c r="EU118" s="2894"/>
      <c r="EV118" s="2894"/>
      <c r="EW118" s="2894"/>
      <c r="EX118" s="2894"/>
      <c r="EY118" s="2894"/>
      <c r="EZ118" s="2894"/>
      <c r="FA118" s="2894"/>
      <c r="FB118" s="2894"/>
      <c r="FC118" s="2894"/>
      <c r="FD118" s="2894"/>
      <c r="FE118" s="2894"/>
      <c r="FF118" s="2894"/>
      <c r="FG118" s="2894"/>
      <c r="FH118" s="2894"/>
      <c r="FI118" s="2894"/>
      <c r="FJ118" s="2894"/>
      <c r="FK118" s="2894"/>
      <c r="FL118" s="2894"/>
      <c r="FM118" s="2894"/>
      <c r="FN118" s="155"/>
      <c r="FO118" s="155"/>
      <c r="FP118" s="155"/>
      <c r="FQ118" s="155"/>
      <c r="FR118" s="155"/>
      <c r="FS118" s="155"/>
      <c r="FT118" s="155"/>
      <c r="FU118" s="155"/>
      <c r="FV118" s="155"/>
      <c r="FW118" s="155"/>
      <c r="FX118" s="155"/>
      <c r="FY118" s="155"/>
      <c r="FZ118" s="155"/>
      <c r="GA118" s="155"/>
      <c r="GB118" s="155"/>
      <c r="GC118" s="155"/>
      <c r="GD118" s="155"/>
      <c r="GE118" s="155"/>
      <c r="GF118" s="155"/>
      <c r="GG118" s="155"/>
      <c r="GH118" s="155"/>
      <c r="GI118" s="155"/>
      <c r="GJ118" s="155"/>
      <c r="GK118" s="155"/>
    </row>
    <row r="119" spans="2:193" ht="18.75" customHeight="1" x14ac:dyDescent="0.3"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2894"/>
      <c r="AP119" s="2894"/>
      <c r="AQ119" s="2894"/>
      <c r="AR119" s="2894"/>
      <c r="AS119" s="2894"/>
      <c r="AT119" s="2894"/>
      <c r="AU119" s="2894"/>
      <c r="AV119" s="2894"/>
      <c r="AW119" s="2894"/>
      <c r="AX119" s="2894"/>
      <c r="AY119" s="2894"/>
      <c r="AZ119" s="2894"/>
      <c r="BA119" s="2894"/>
      <c r="BB119" s="2894"/>
      <c r="BC119" s="2894"/>
      <c r="BD119" s="2894"/>
      <c r="BE119" s="2894"/>
      <c r="BF119" s="2894"/>
      <c r="BG119" s="2894"/>
      <c r="BH119" s="2894"/>
      <c r="BI119" s="2894"/>
      <c r="BJ119" s="2894"/>
      <c r="BK119" s="2894"/>
      <c r="BL119" s="2894"/>
      <c r="BM119" s="2894"/>
      <c r="BN119" s="2894"/>
      <c r="BO119" s="2894"/>
      <c r="BP119" s="2894"/>
      <c r="BQ119" s="2894"/>
      <c r="BR119" s="2894"/>
      <c r="BS119" s="2894"/>
      <c r="BT119" s="2894"/>
      <c r="BU119" s="2894"/>
      <c r="BV119" s="2894"/>
      <c r="BW119" s="2894"/>
      <c r="BX119" s="2894"/>
      <c r="BY119" s="2894"/>
      <c r="BZ119" s="2894"/>
      <c r="CA119" s="2894"/>
      <c r="CB119" s="2894"/>
      <c r="CC119" s="2894"/>
      <c r="CD119" s="2894"/>
      <c r="CE119" s="2894"/>
      <c r="CF119" s="2894"/>
      <c r="CG119" s="2894"/>
      <c r="CH119" s="2894"/>
      <c r="CI119" s="2894"/>
      <c r="CJ119" s="2894"/>
      <c r="CK119" s="2894"/>
      <c r="CL119" s="2894"/>
      <c r="CM119" s="2894"/>
      <c r="CN119" s="2894"/>
      <c r="CO119" s="2894"/>
      <c r="CP119" s="2894"/>
      <c r="CQ119" s="2894"/>
      <c r="CR119" s="2894"/>
      <c r="CS119" s="2894"/>
      <c r="CT119" s="2894"/>
      <c r="CU119" s="2894"/>
      <c r="CV119" s="2894"/>
      <c r="CW119" s="2894"/>
      <c r="CX119" s="2894"/>
      <c r="CY119" s="2894"/>
      <c r="CZ119" s="2894"/>
      <c r="DA119" s="2894"/>
      <c r="DB119" s="2894"/>
      <c r="DC119" s="2894"/>
      <c r="DD119" s="2894"/>
      <c r="DE119" s="2894"/>
      <c r="DF119" s="2894"/>
      <c r="DG119" s="2894"/>
      <c r="DH119" s="2894"/>
      <c r="DI119" s="2894"/>
      <c r="DJ119" s="2894"/>
      <c r="DK119" s="2894"/>
      <c r="DL119" s="2894"/>
      <c r="DM119" s="2894"/>
      <c r="DN119" s="2894"/>
      <c r="DO119" s="2894"/>
      <c r="DP119" s="2894"/>
      <c r="DQ119" s="2894"/>
      <c r="DR119" s="2894"/>
      <c r="DS119" s="2894"/>
      <c r="DT119" s="2894"/>
      <c r="DU119" s="2894"/>
      <c r="DV119" s="2894"/>
      <c r="DW119" s="2894"/>
      <c r="DX119" s="2894"/>
      <c r="DY119" s="2894"/>
      <c r="DZ119" s="2894"/>
      <c r="EA119" s="2894"/>
      <c r="EB119" s="2894"/>
      <c r="EC119" s="2894"/>
      <c r="ED119" s="2894"/>
      <c r="EE119" s="2894"/>
      <c r="EF119" s="2894"/>
      <c r="EG119" s="2894"/>
      <c r="EH119" s="2894"/>
      <c r="EI119" s="2894"/>
      <c r="EJ119" s="2894"/>
      <c r="EK119" s="2894"/>
      <c r="EL119" s="2894"/>
      <c r="EM119" s="2894"/>
      <c r="EN119" s="2894"/>
      <c r="EO119" s="2894"/>
      <c r="EP119" s="2894"/>
      <c r="EQ119" s="2894"/>
      <c r="ER119" s="2894"/>
      <c r="ES119" s="2894"/>
      <c r="ET119" s="2894"/>
      <c r="EU119" s="2894"/>
      <c r="EV119" s="2894"/>
      <c r="EW119" s="2894"/>
      <c r="EX119" s="2894"/>
      <c r="EY119" s="2894"/>
      <c r="EZ119" s="2894"/>
      <c r="FA119" s="2894"/>
      <c r="FB119" s="2894"/>
      <c r="FC119" s="2894"/>
      <c r="FD119" s="2894"/>
      <c r="FE119" s="2894"/>
      <c r="FF119" s="2894"/>
      <c r="FG119" s="2894"/>
      <c r="FH119" s="2894"/>
      <c r="FI119" s="2894"/>
      <c r="FJ119" s="2894"/>
      <c r="FK119" s="2894"/>
      <c r="FL119" s="2894"/>
      <c r="FM119" s="2894"/>
      <c r="FN119" s="155"/>
      <c r="FO119" s="155"/>
      <c r="FP119" s="155"/>
      <c r="FQ119" s="155"/>
      <c r="FR119" s="155"/>
      <c r="FS119" s="155"/>
      <c r="FT119" s="155"/>
      <c r="FU119" s="155"/>
      <c r="FV119" s="155"/>
      <c r="FW119" s="155"/>
      <c r="FX119" s="155"/>
      <c r="FY119" s="155"/>
      <c r="FZ119" s="155"/>
      <c r="GA119" s="155"/>
      <c r="GB119" s="155"/>
      <c r="GC119" s="155"/>
      <c r="GD119" s="155"/>
      <c r="GE119" s="155"/>
      <c r="GF119" s="155"/>
      <c r="GG119" s="155"/>
      <c r="GH119" s="155"/>
      <c r="GI119" s="155"/>
      <c r="GJ119" s="155"/>
      <c r="GK119" s="155"/>
    </row>
    <row r="120" spans="2:193" ht="18.75" customHeight="1" x14ac:dyDescent="0.3"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2894"/>
      <c r="AP120" s="2894"/>
      <c r="AQ120" s="2894"/>
      <c r="AR120" s="2894"/>
      <c r="AS120" s="2894"/>
      <c r="AT120" s="2894"/>
      <c r="AU120" s="2894"/>
      <c r="AV120" s="2894"/>
      <c r="AW120" s="2894"/>
      <c r="AX120" s="2894"/>
      <c r="AY120" s="2894"/>
      <c r="AZ120" s="2894"/>
      <c r="BA120" s="2894"/>
      <c r="BB120" s="2894"/>
      <c r="BC120" s="2894"/>
      <c r="BD120" s="2894"/>
      <c r="BE120" s="2894"/>
      <c r="BF120" s="2894"/>
      <c r="BG120" s="2894"/>
      <c r="BH120" s="2894"/>
      <c r="BI120" s="2894"/>
      <c r="BJ120" s="2894"/>
      <c r="BK120" s="2894"/>
      <c r="BL120" s="2894"/>
      <c r="BM120" s="2894"/>
      <c r="BN120" s="2894"/>
      <c r="BO120" s="2894"/>
      <c r="BP120" s="2894"/>
      <c r="BQ120" s="2894"/>
      <c r="BR120" s="2894"/>
      <c r="BS120" s="2894"/>
      <c r="BT120" s="2894"/>
      <c r="BU120" s="2894"/>
      <c r="BV120" s="2894"/>
      <c r="BW120" s="2894"/>
      <c r="BX120" s="2894"/>
      <c r="BY120" s="2894"/>
      <c r="BZ120" s="2894"/>
      <c r="CA120" s="2894"/>
      <c r="CB120" s="2894"/>
      <c r="CC120" s="2894"/>
      <c r="CD120" s="2894"/>
      <c r="CE120" s="2894"/>
      <c r="CF120" s="2894"/>
      <c r="CG120" s="2894"/>
      <c r="CH120" s="2894"/>
      <c r="CI120" s="2894"/>
      <c r="CJ120" s="2894"/>
      <c r="CK120" s="2894"/>
      <c r="CL120" s="2894"/>
      <c r="CM120" s="2894"/>
      <c r="CN120" s="2894"/>
      <c r="CO120" s="2894"/>
      <c r="CP120" s="2894"/>
      <c r="CQ120" s="2894"/>
      <c r="CR120" s="2894"/>
      <c r="CS120" s="2894"/>
      <c r="CT120" s="2894"/>
      <c r="CU120" s="2894"/>
      <c r="CV120" s="2894"/>
      <c r="CW120" s="2894"/>
      <c r="CX120" s="2894"/>
      <c r="CY120" s="2894"/>
      <c r="CZ120" s="2894"/>
      <c r="DA120" s="2894"/>
      <c r="DB120" s="2894"/>
      <c r="DC120" s="2894"/>
      <c r="DD120" s="2894"/>
      <c r="DE120" s="2894"/>
      <c r="DF120" s="2894"/>
      <c r="DG120" s="2894"/>
      <c r="DH120" s="2894"/>
      <c r="DI120" s="2894"/>
      <c r="DJ120" s="2894"/>
      <c r="DK120" s="2894"/>
      <c r="DL120" s="2894"/>
      <c r="DM120" s="2894"/>
      <c r="DN120" s="2894"/>
      <c r="DO120" s="2894"/>
      <c r="DP120" s="2894"/>
      <c r="DQ120" s="2894"/>
      <c r="DR120" s="2894"/>
      <c r="DS120" s="2894"/>
      <c r="DT120" s="2894"/>
      <c r="DU120" s="2894"/>
      <c r="DV120" s="2894"/>
      <c r="DW120" s="2894"/>
      <c r="DX120" s="2894"/>
      <c r="DY120" s="2894"/>
      <c r="DZ120" s="2894"/>
      <c r="EA120" s="2894"/>
      <c r="EB120" s="2894"/>
      <c r="EC120" s="2894"/>
      <c r="ED120" s="2894"/>
      <c r="EE120" s="2894"/>
      <c r="EF120" s="2894"/>
      <c r="EG120" s="2894"/>
      <c r="EH120" s="2894"/>
      <c r="EI120" s="2894"/>
      <c r="EJ120" s="2894"/>
      <c r="EK120" s="2894"/>
      <c r="EL120" s="2894"/>
      <c r="EM120" s="2894"/>
      <c r="EN120" s="2894"/>
      <c r="EO120" s="2894"/>
      <c r="EP120" s="2894"/>
      <c r="EQ120" s="2894"/>
      <c r="ER120" s="2894"/>
      <c r="ES120" s="2894"/>
      <c r="ET120" s="2894"/>
      <c r="EU120" s="2894"/>
      <c r="EV120" s="2894"/>
      <c r="EW120" s="2894"/>
      <c r="EX120" s="2894"/>
      <c r="EY120" s="2894"/>
      <c r="EZ120" s="2894"/>
      <c r="FA120" s="2894"/>
      <c r="FB120" s="2894"/>
      <c r="FC120" s="2894"/>
      <c r="FD120" s="2894"/>
      <c r="FE120" s="2894"/>
      <c r="FF120" s="2894"/>
      <c r="FG120" s="2894"/>
      <c r="FH120" s="2894"/>
      <c r="FI120" s="2894"/>
      <c r="FJ120" s="2894"/>
      <c r="FK120" s="2894"/>
      <c r="FL120" s="2894"/>
      <c r="FM120" s="2894"/>
      <c r="FN120" s="155"/>
      <c r="FO120" s="155"/>
      <c r="FP120" s="155"/>
      <c r="FQ120" s="155"/>
      <c r="FR120" s="155"/>
      <c r="FS120" s="155"/>
      <c r="FT120" s="155"/>
      <c r="FU120" s="155"/>
      <c r="FV120" s="155"/>
      <c r="FW120" s="155"/>
      <c r="FX120" s="155"/>
      <c r="FY120" s="155"/>
      <c r="FZ120" s="155"/>
      <c r="GA120" s="155"/>
      <c r="GB120" s="155"/>
      <c r="GC120" s="155"/>
      <c r="GD120" s="155"/>
      <c r="GE120" s="155"/>
      <c r="GF120" s="155"/>
      <c r="GG120" s="155"/>
      <c r="GH120" s="155"/>
      <c r="GI120" s="155"/>
      <c r="GJ120" s="155"/>
      <c r="GK120" s="155"/>
    </row>
    <row r="121" spans="2:193" ht="18.75" customHeight="1" x14ac:dyDescent="0.3"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2894"/>
      <c r="AP121" s="2894"/>
      <c r="AQ121" s="2894"/>
      <c r="AR121" s="2894"/>
      <c r="AS121" s="2894"/>
      <c r="AT121" s="2894"/>
      <c r="AU121" s="2894"/>
      <c r="AV121" s="2894"/>
      <c r="AW121" s="2894"/>
      <c r="AX121" s="2894"/>
      <c r="AY121" s="2894"/>
      <c r="AZ121" s="2894"/>
      <c r="BA121" s="2894"/>
      <c r="BB121" s="2894"/>
      <c r="BC121" s="2894"/>
      <c r="BD121" s="2894"/>
      <c r="BE121" s="2894"/>
      <c r="BF121" s="2894"/>
      <c r="BG121" s="2894"/>
      <c r="BH121" s="2894"/>
      <c r="BI121" s="2894"/>
      <c r="BJ121" s="2894"/>
      <c r="BK121" s="2894"/>
      <c r="BL121" s="2894"/>
      <c r="BM121" s="2894"/>
      <c r="BN121" s="2894"/>
      <c r="BO121" s="2894"/>
      <c r="BP121" s="2894"/>
      <c r="BQ121" s="2894"/>
      <c r="BR121" s="2894"/>
      <c r="BS121" s="2894"/>
      <c r="BT121" s="2894"/>
      <c r="BU121" s="2894"/>
      <c r="BV121" s="2894"/>
      <c r="BW121" s="2894"/>
      <c r="BX121" s="2894"/>
      <c r="BY121" s="2894"/>
      <c r="BZ121" s="2894"/>
      <c r="CA121" s="2894"/>
      <c r="CB121" s="2894"/>
      <c r="CC121" s="2894"/>
      <c r="CD121" s="2894"/>
      <c r="CE121" s="2894"/>
      <c r="CF121" s="2894"/>
      <c r="CG121" s="2894"/>
      <c r="CH121" s="2894"/>
      <c r="CI121" s="2894"/>
      <c r="CJ121" s="2894"/>
      <c r="CK121" s="2894"/>
      <c r="CL121" s="2894"/>
      <c r="CM121" s="2894"/>
      <c r="CN121" s="2894"/>
      <c r="CO121" s="2894"/>
      <c r="CP121" s="2894"/>
      <c r="CQ121" s="2894"/>
      <c r="CR121" s="2894"/>
      <c r="CS121" s="2894"/>
      <c r="CT121" s="2894"/>
      <c r="CU121" s="2894"/>
      <c r="CV121" s="2894"/>
      <c r="CW121" s="2894"/>
      <c r="CX121" s="2894"/>
      <c r="CY121" s="2894"/>
      <c r="CZ121" s="2894"/>
      <c r="DA121" s="2894"/>
      <c r="DB121" s="2894"/>
      <c r="DC121" s="2894"/>
      <c r="DD121" s="2894"/>
      <c r="DE121" s="2894"/>
      <c r="DF121" s="2894"/>
      <c r="DG121" s="2894"/>
      <c r="DH121" s="2894"/>
      <c r="DI121" s="2894"/>
      <c r="DJ121" s="2894"/>
      <c r="DK121" s="2894"/>
      <c r="DL121" s="2894"/>
      <c r="DM121" s="2894"/>
      <c r="DN121" s="2894"/>
      <c r="DO121" s="2894"/>
      <c r="DP121" s="2894"/>
      <c r="DQ121" s="2894"/>
      <c r="DR121" s="2894"/>
      <c r="DS121" s="2894"/>
      <c r="DT121" s="2894"/>
      <c r="DU121" s="2894"/>
      <c r="DV121" s="2894"/>
      <c r="DW121" s="2894"/>
      <c r="DX121" s="2894"/>
      <c r="DY121" s="2894"/>
      <c r="DZ121" s="2894"/>
      <c r="EA121" s="2894"/>
      <c r="EB121" s="2894"/>
      <c r="EC121" s="2894"/>
      <c r="ED121" s="2894"/>
      <c r="EE121" s="2894"/>
      <c r="EF121" s="2894"/>
      <c r="EG121" s="2894"/>
      <c r="EH121" s="2894"/>
      <c r="EI121" s="2894"/>
      <c r="EJ121" s="2894"/>
      <c r="EK121" s="2894"/>
      <c r="EL121" s="2894"/>
      <c r="EM121" s="2894"/>
      <c r="EN121" s="2894"/>
      <c r="EO121" s="2894"/>
      <c r="EP121" s="2894"/>
      <c r="EQ121" s="2894"/>
      <c r="ER121" s="2894"/>
      <c r="ES121" s="2894"/>
      <c r="ET121" s="2894"/>
      <c r="EU121" s="2894"/>
      <c r="EV121" s="2894"/>
      <c r="EW121" s="2894"/>
      <c r="EX121" s="2894"/>
      <c r="EY121" s="2894"/>
      <c r="EZ121" s="2894"/>
      <c r="FA121" s="2894"/>
      <c r="FB121" s="2894"/>
      <c r="FC121" s="2894"/>
      <c r="FD121" s="2894"/>
      <c r="FE121" s="2894"/>
      <c r="FF121" s="2894"/>
      <c r="FG121" s="2894"/>
      <c r="FH121" s="2894"/>
      <c r="FI121" s="2894"/>
      <c r="FJ121" s="2894"/>
      <c r="FK121" s="2894"/>
      <c r="FL121" s="2894"/>
      <c r="FM121" s="2894"/>
      <c r="FN121" s="155"/>
      <c r="FO121" s="155"/>
      <c r="FP121" s="155"/>
      <c r="FQ121" s="155"/>
      <c r="FR121" s="155"/>
      <c r="FS121" s="155"/>
      <c r="FT121" s="155"/>
      <c r="FU121" s="155"/>
      <c r="FV121" s="155"/>
      <c r="FW121" s="155"/>
      <c r="FX121" s="155"/>
      <c r="FY121" s="155"/>
      <c r="FZ121" s="155"/>
      <c r="GA121" s="155"/>
      <c r="GB121" s="155"/>
      <c r="GC121" s="155"/>
      <c r="GD121" s="155"/>
      <c r="GE121" s="155"/>
      <c r="GF121" s="155"/>
      <c r="GG121" s="155"/>
      <c r="GH121" s="155"/>
      <c r="GI121" s="155"/>
      <c r="GJ121" s="155"/>
      <c r="GK121" s="155"/>
    </row>
    <row r="122" spans="2:193" ht="18.75" customHeight="1" x14ac:dyDescent="0.3"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2894"/>
      <c r="AP122" s="2894"/>
      <c r="AQ122" s="2894"/>
      <c r="AR122" s="2894"/>
      <c r="AS122" s="2894"/>
      <c r="AT122" s="2894"/>
      <c r="AU122" s="2894"/>
      <c r="AV122" s="2894"/>
      <c r="AW122" s="2894"/>
      <c r="AX122" s="2894"/>
      <c r="AY122" s="2894"/>
      <c r="AZ122" s="2894"/>
      <c r="BA122" s="2894"/>
      <c r="BB122" s="2894"/>
      <c r="BC122" s="2894"/>
      <c r="BD122" s="2894"/>
      <c r="BE122" s="2894"/>
      <c r="BF122" s="2894"/>
      <c r="BG122" s="2894"/>
      <c r="BH122" s="2894"/>
      <c r="BI122" s="2894"/>
      <c r="BJ122" s="2894"/>
      <c r="BK122" s="2894"/>
      <c r="BL122" s="2894"/>
      <c r="BM122" s="2894"/>
      <c r="BN122" s="2894"/>
      <c r="BO122" s="2894"/>
      <c r="BP122" s="2894"/>
      <c r="BQ122" s="2894"/>
      <c r="BR122" s="2894"/>
      <c r="BS122" s="2894"/>
      <c r="BT122" s="2894"/>
      <c r="BU122" s="2894"/>
      <c r="BV122" s="2894"/>
      <c r="BW122" s="2894"/>
      <c r="BX122" s="2894"/>
      <c r="BY122" s="2894"/>
      <c r="BZ122" s="2894"/>
      <c r="CA122" s="2894"/>
      <c r="CB122" s="2894"/>
      <c r="CC122" s="2894"/>
      <c r="CD122" s="2894"/>
      <c r="CE122" s="2894"/>
      <c r="CF122" s="2894"/>
      <c r="CG122" s="2894"/>
      <c r="CH122" s="2894"/>
      <c r="CI122" s="2894"/>
      <c r="CJ122" s="2894"/>
      <c r="CK122" s="2894"/>
      <c r="CL122" s="2894"/>
      <c r="CM122" s="2894"/>
      <c r="CN122" s="2894"/>
      <c r="CO122" s="2894"/>
      <c r="CP122" s="2894"/>
      <c r="CQ122" s="2894"/>
      <c r="CR122" s="2894"/>
      <c r="CS122" s="2894"/>
      <c r="CT122" s="2894"/>
      <c r="CU122" s="2894"/>
      <c r="CV122" s="2894"/>
      <c r="CW122" s="2894"/>
      <c r="CX122" s="2894"/>
      <c r="CY122" s="2894"/>
      <c r="CZ122" s="2894"/>
      <c r="DA122" s="2894"/>
      <c r="DB122" s="2894"/>
      <c r="DC122" s="2894"/>
      <c r="DD122" s="2894"/>
      <c r="DE122" s="2894"/>
      <c r="DF122" s="2894"/>
      <c r="DG122" s="2894"/>
      <c r="DH122" s="2894"/>
      <c r="DI122" s="2894"/>
      <c r="DJ122" s="2894"/>
      <c r="DK122" s="2894"/>
      <c r="DL122" s="2894"/>
      <c r="DM122" s="2894"/>
      <c r="DN122" s="2894"/>
      <c r="DO122" s="2894"/>
      <c r="DP122" s="2894"/>
      <c r="DQ122" s="2894"/>
      <c r="DR122" s="2894"/>
      <c r="DS122" s="2894"/>
      <c r="DT122" s="2894"/>
      <c r="DU122" s="2894"/>
      <c r="DV122" s="2894"/>
      <c r="DW122" s="2894"/>
      <c r="DX122" s="2894"/>
      <c r="DY122" s="2894"/>
      <c r="DZ122" s="2894"/>
      <c r="EA122" s="2894"/>
      <c r="EB122" s="2894"/>
      <c r="EC122" s="2894"/>
      <c r="ED122" s="2894"/>
      <c r="EE122" s="2894"/>
      <c r="EF122" s="2894"/>
      <c r="EG122" s="2894"/>
      <c r="EH122" s="2894"/>
      <c r="EI122" s="2894"/>
      <c r="EJ122" s="2894"/>
      <c r="EK122" s="2894"/>
      <c r="EL122" s="2894"/>
      <c r="EM122" s="2894"/>
      <c r="EN122" s="2894"/>
      <c r="EO122" s="2894"/>
      <c r="EP122" s="2894"/>
      <c r="EQ122" s="2894"/>
      <c r="ER122" s="2894"/>
      <c r="ES122" s="2894"/>
      <c r="ET122" s="2894"/>
      <c r="EU122" s="2894"/>
      <c r="EV122" s="2894"/>
      <c r="EW122" s="2894"/>
      <c r="EX122" s="2894"/>
      <c r="EY122" s="2894"/>
      <c r="EZ122" s="2894"/>
      <c r="FA122" s="2894"/>
      <c r="FB122" s="2894"/>
      <c r="FC122" s="2894"/>
      <c r="FD122" s="2894"/>
      <c r="FE122" s="2894"/>
      <c r="FF122" s="2894"/>
      <c r="FG122" s="2894"/>
      <c r="FH122" s="2894"/>
      <c r="FI122" s="2894"/>
      <c r="FJ122" s="2894"/>
      <c r="FK122" s="2894"/>
      <c r="FL122" s="2894"/>
      <c r="FM122" s="2894"/>
      <c r="FN122" s="155"/>
      <c r="FO122" s="155"/>
      <c r="FP122" s="155"/>
      <c r="FQ122" s="155"/>
      <c r="FR122" s="155"/>
      <c r="FS122" s="155"/>
      <c r="FT122" s="155"/>
      <c r="FU122" s="155"/>
      <c r="FV122" s="155"/>
      <c r="FW122" s="155"/>
      <c r="FX122" s="155"/>
      <c r="FY122" s="155"/>
      <c r="FZ122" s="155"/>
      <c r="GA122" s="155"/>
      <c r="GB122" s="155"/>
      <c r="GC122" s="155"/>
      <c r="GD122" s="155"/>
      <c r="GE122" s="155"/>
      <c r="GF122" s="155"/>
      <c r="GG122" s="155"/>
      <c r="GH122" s="155"/>
      <c r="GI122" s="155"/>
      <c r="GJ122" s="155"/>
      <c r="GK122" s="155"/>
    </row>
    <row r="123" spans="2:193" ht="18.75" customHeight="1" x14ac:dyDescent="0.3"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2894"/>
      <c r="AP123" s="2894"/>
      <c r="AQ123" s="2894"/>
      <c r="AR123" s="2894"/>
      <c r="AS123" s="2894"/>
      <c r="AT123" s="2894"/>
      <c r="AU123" s="2894"/>
      <c r="AV123" s="2894"/>
      <c r="AW123" s="2894"/>
      <c r="AX123" s="2894"/>
      <c r="AY123" s="2894"/>
      <c r="AZ123" s="2894"/>
      <c r="BA123" s="2894"/>
      <c r="BB123" s="2894"/>
      <c r="BC123" s="2894"/>
      <c r="BD123" s="2894"/>
      <c r="BE123" s="2894"/>
      <c r="BF123" s="2894"/>
      <c r="BG123" s="2894"/>
      <c r="BH123" s="2894"/>
      <c r="BI123" s="2894"/>
      <c r="BJ123" s="2894"/>
      <c r="BK123" s="2894"/>
      <c r="BL123" s="2894"/>
      <c r="BM123" s="2894"/>
      <c r="BN123" s="2894"/>
      <c r="BO123" s="2894"/>
      <c r="BP123" s="2894"/>
      <c r="BQ123" s="2894"/>
      <c r="BR123" s="2894"/>
      <c r="BS123" s="2894"/>
      <c r="BT123" s="2894"/>
      <c r="BU123" s="2894"/>
      <c r="BV123" s="2894"/>
      <c r="BW123" s="2894"/>
      <c r="BX123" s="2894"/>
      <c r="BY123" s="2894"/>
      <c r="BZ123" s="2894"/>
      <c r="CA123" s="2894"/>
      <c r="CB123" s="2894"/>
      <c r="CC123" s="2894"/>
      <c r="CD123" s="2894"/>
      <c r="CE123" s="2894"/>
      <c r="CF123" s="2894"/>
      <c r="CG123" s="2894"/>
      <c r="CH123" s="2894"/>
      <c r="CI123" s="2894"/>
      <c r="CJ123" s="2894"/>
      <c r="CK123" s="2894"/>
      <c r="CL123" s="2894"/>
      <c r="CM123" s="2894"/>
      <c r="CN123" s="2894"/>
      <c r="CO123" s="2894"/>
      <c r="CP123" s="2894"/>
      <c r="CQ123" s="2894"/>
      <c r="CR123" s="2894"/>
      <c r="CS123" s="2894"/>
      <c r="CT123" s="2894"/>
      <c r="CU123" s="2894"/>
      <c r="CV123" s="2894"/>
      <c r="CW123" s="2894"/>
      <c r="CX123" s="2894"/>
      <c r="CY123" s="2894"/>
      <c r="CZ123" s="2894"/>
      <c r="DA123" s="2894"/>
      <c r="DB123" s="2894"/>
      <c r="DC123" s="2894"/>
      <c r="DD123" s="2894"/>
      <c r="DE123" s="2894"/>
      <c r="DF123" s="2894"/>
      <c r="DG123" s="2894"/>
      <c r="DH123" s="2894"/>
      <c r="DI123" s="2894"/>
      <c r="DJ123" s="2894"/>
      <c r="DK123" s="2894"/>
      <c r="DL123" s="2894"/>
      <c r="DM123" s="2894"/>
      <c r="DN123" s="2894"/>
      <c r="DO123" s="2894"/>
      <c r="DP123" s="2894"/>
      <c r="DQ123" s="2894"/>
      <c r="DR123" s="2894"/>
      <c r="DS123" s="2894"/>
      <c r="DT123" s="2894"/>
      <c r="DU123" s="2894"/>
      <c r="DV123" s="2894"/>
      <c r="DW123" s="2894"/>
      <c r="DX123" s="2894"/>
      <c r="DY123" s="2894"/>
      <c r="DZ123" s="2894"/>
      <c r="EA123" s="2894"/>
      <c r="EB123" s="2894"/>
      <c r="EC123" s="2894"/>
      <c r="ED123" s="2894"/>
      <c r="EE123" s="2894"/>
      <c r="EF123" s="2894"/>
      <c r="EG123" s="2894"/>
      <c r="EH123" s="2894"/>
      <c r="EI123" s="2894"/>
      <c r="EJ123" s="2894"/>
      <c r="EK123" s="2894"/>
      <c r="EL123" s="2894"/>
      <c r="EM123" s="2894"/>
      <c r="EN123" s="2894"/>
      <c r="EO123" s="2894"/>
      <c r="EP123" s="2894"/>
      <c r="EQ123" s="2894"/>
      <c r="ER123" s="2894"/>
      <c r="ES123" s="2894"/>
      <c r="ET123" s="2894"/>
      <c r="EU123" s="2894"/>
      <c r="EV123" s="2894"/>
      <c r="EW123" s="2894"/>
      <c r="EX123" s="2894"/>
      <c r="EY123" s="2894"/>
      <c r="EZ123" s="2894"/>
      <c r="FA123" s="2894"/>
      <c r="FB123" s="2894"/>
      <c r="FC123" s="2894"/>
      <c r="FD123" s="2894"/>
      <c r="FE123" s="2894"/>
      <c r="FF123" s="2894"/>
      <c r="FG123" s="2894"/>
      <c r="FH123" s="2894"/>
      <c r="FI123" s="2894"/>
      <c r="FJ123" s="2894"/>
      <c r="FK123" s="2894"/>
      <c r="FL123" s="2894"/>
      <c r="FM123" s="2894"/>
      <c r="FN123" s="155"/>
      <c r="FO123" s="155"/>
      <c r="FP123" s="155"/>
      <c r="FQ123" s="155"/>
      <c r="FR123" s="155"/>
      <c r="FS123" s="155"/>
      <c r="FT123" s="155"/>
      <c r="FU123" s="155"/>
      <c r="FV123" s="155"/>
      <c r="FW123" s="155"/>
      <c r="FX123" s="155"/>
      <c r="FY123" s="155"/>
      <c r="FZ123" s="155"/>
      <c r="GA123" s="155"/>
      <c r="GB123" s="155"/>
      <c r="GC123" s="155"/>
      <c r="GD123" s="155"/>
      <c r="GE123" s="155"/>
      <c r="GF123" s="155"/>
      <c r="GG123" s="155"/>
      <c r="GH123" s="155"/>
      <c r="GI123" s="155"/>
      <c r="GJ123" s="155"/>
      <c r="GK123" s="155"/>
    </row>
    <row r="124" spans="2:193" ht="18.75" customHeight="1" x14ac:dyDescent="0.3"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2894"/>
      <c r="AP124" s="2894"/>
      <c r="AQ124" s="2894"/>
      <c r="AR124" s="2894"/>
      <c r="AS124" s="2894"/>
      <c r="AT124" s="2894"/>
      <c r="AU124" s="2894"/>
      <c r="AV124" s="2894"/>
      <c r="AW124" s="2894"/>
      <c r="AX124" s="2894"/>
      <c r="AY124" s="2894"/>
      <c r="AZ124" s="2894"/>
      <c r="BA124" s="2894"/>
      <c r="BB124" s="2894"/>
      <c r="BC124" s="2894"/>
      <c r="BD124" s="2894"/>
      <c r="BE124" s="2894"/>
      <c r="BF124" s="2894"/>
      <c r="BG124" s="2894"/>
      <c r="BH124" s="2894"/>
      <c r="BI124" s="2894"/>
      <c r="BJ124" s="2894"/>
      <c r="BK124" s="2894"/>
      <c r="BL124" s="2894"/>
      <c r="BM124" s="2894"/>
      <c r="BN124" s="2894"/>
      <c r="BO124" s="2894"/>
      <c r="BP124" s="2894"/>
      <c r="BQ124" s="2894"/>
      <c r="BR124" s="2894"/>
      <c r="BS124" s="2894"/>
      <c r="BT124" s="2894"/>
      <c r="BU124" s="2894"/>
      <c r="BV124" s="2894"/>
      <c r="BW124" s="2894"/>
      <c r="BX124" s="2894"/>
      <c r="BY124" s="2894"/>
      <c r="BZ124" s="2894"/>
      <c r="CA124" s="2894"/>
      <c r="CB124" s="2894"/>
      <c r="CC124" s="2894"/>
      <c r="CD124" s="2894"/>
      <c r="CE124" s="2894"/>
      <c r="CF124" s="2894"/>
      <c r="CG124" s="2894"/>
      <c r="CH124" s="2894"/>
      <c r="CI124" s="2894"/>
      <c r="CJ124" s="2894"/>
      <c r="CK124" s="2894"/>
      <c r="CL124" s="2894"/>
      <c r="CM124" s="2894"/>
      <c r="CN124" s="2894"/>
      <c r="CO124" s="2894"/>
      <c r="CP124" s="2894"/>
      <c r="CQ124" s="2894"/>
      <c r="CR124" s="2894"/>
      <c r="CS124" s="2894"/>
      <c r="CT124" s="2894"/>
      <c r="CU124" s="2894"/>
      <c r="CV124" s="2894"/>
      <c r="CW124" s="2894"/>
      <c r="CX124" s="2894"/>
      <c r="CY124" s="2894"/>
      <c r="CZ124" s="2894"/>
      <c r="DA124" s="2894"/>
      <c r="DB124" s="2894"/>
      <c r="DC124" s="2894"/>
      <c r="DD124" s="2894"/>
      <c r="DE124" s="2894"/>
      <c r="DF124" s="2894"/>
      <c r="DG124" s="2894"/>
      <c r="DH124" s="2894"/>
      <c r="DI124" s="2894"/>
      <c r="DJ124" s="2894"/>
      <c r="DK124" s="2894"/>
      <c r="DL124" s="2894"/>
      <c r="DM124" s="2894"/>
      <c r="DN124" s="2894"/>
      <c r="DO124" s="2894"/>
      <c r="DP124" s="2894"/>
      <c r="DQ124" s="2894"/>
      <c r="DR124" s="2894"/>
      <c r="DS124" s="2894"/>
      <c r="DT124" s="2894"/>
      <c r="DU124" s="2894"/>
      <c r="DV124" s="2894"/>
      <c r="DW124" s="2894"/>
      <c r="DX124" s="2894"/>
      <c r="DY124" s="2894"/>
      <c r="DZ124" s="2894"/>
      <c r="EA124" s="2894"/>
      <c r="EB124" s="2894"/>
      <c r="EC124" s="2894"/>
      <c r="ED124" s="2894"/>
      <c r="EE124" s="2894"/>
      <c r="EF124" s="2894"/>
      <c r="EG124" s="2894"/>
      <c r="EH124" s="2894"/>
      <c r="EI124" s="2894"/>
      <c r="EJ124" s="2894"/>
      <c r="EK124" s="2894"/>
      <c r="EL124" s="2894"/>
      <c r="EM124" s="2894"/>
      <c r="EN124" s="2894"/>
      <c r="EO124" s="2894"/>
      <c r="EP124" s="2894"/>
      <c r="EQ124" s="2894"/>
      <c r="ER124" s="2894"/>
      <c r="ES124" s="2894"/>
      <c r="ET124" s="2894"/>
      <c r="EU124" s="2894"/>
      <c r="EV124" s="2894"/>
      <c r="EW124" s="2894"/>
      <c r="EX124" s="2894"/>
      <c r="EY124" s="2894"/>
      <c r="EZ124" s="2894"/>
      <c r="FA124" s="2894"/>
      <c r="FB124" s="2894"/>
      <c r="FC124" s="2894"/>
      <c r="FD124" s="2894"/>
      <c r="FE124" s="2894"/>
      <c r="FF124" s="2894"/>
      <c r="FG124" s="2894"/>
      <c r="FH124" s="2894"/>
      <c r="FI124" s="2894"/>
      <c r="FJ124" s="2894"/>
      <c r="FK124" s="2894"/>
      <c r="FL124" s="2894"/>
      <c r="FM124" s="2894"/>
      <c r="FN124" s="155"/>
      <c r="FO124" s="155"/>
      <c r="FP124" s="155"/>
      <c r="FQ124" s="155"/>
      <c r="FR124" s="155"/>
      <c r="FS124" s="155"/>
      <c r="FT124" s="155"/>
      <c r="FU124" s="155"/>
      <c r="FV124" s="155"/>
      <c r="FW124" s="155"/>
      <c r="FX124" s="155"/>
      <c r="FY124" s="155"/>
      <c r="FZ124" s="155"/>
      <c r="GA124" s="155"/>
      <c r="GB124" s="155"/>
      <c r="GC124" s="155"/>
      <c r="GD124" s="155"/>
      <c r="GE124" s="155"/>
      <c r="GF124" s="155"/>
      <c r="GG124" s="155"/>
      <c r="GH124" s="155"/>
      <c r="GI124" s="155"/>
      <c r="GJ124" s="155"/>
      <c r="GK124" s="155"/>
    </row>
    <row r="125" spans="2:193" ht="18.75" customHeight="1" x14ac:dyDescent="0.3"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2894"/>
      <c r="AP125" s="2894"/>
      <c r="AQ125" s="2894"/>
      <c r="AR125" s="2894"/>
      <c r="AS125" s="2894"/>
      <c r="AT125" s="2894"/>
      <c r="AU125" s="2894"/>
      <c r="AV125" s="2894"/>
      <c r="AW125" s="2894"/>
      <c r="AX125" s="2894"/>
      <c r="AY125" s="2894"/>
      <c r="AZ125" s="2894"/>
      <c r="BA125" s="2894"/>
      <c r="BB125" s="2894"/>
      <c r="BC125" s="2894"/>
      <c r="BD125" s="2894"/>
      <c r="BE125" s="2894"/>
      <c r="BF125" s="2894"/>
      <c r="BG125" s="2894"/>
      <c r="BH125" s="2894"/>
      <c r="BI125" s="2894"/>
      <c r="BJ125" s="2894"/>
      <c r="BK125" s="2894"/>
      <c r="BL125" s="2894"/>
      <c r="BM125" s="2894"/>
      <c r="BN125" s="2894"/>
      <c r="BO125" s="2894"/>
      <c r="BP125" s="2894"/>
      <c r="BQ125" s="2894"/>
      <c r="BR125" s="2894"/>
      <c r="BS125" s="2894"/>
      <c r="BT125" s="2894"/>
      <c r="BU125" s="2894"/>
      <c r="BV125" s="2894"/>
      <c r="BW125" s="2894"/>
      <c r="BX125" s="2894"/>
      <c r="BY125" s="2894"/>
      <c r="BZ125" s="2894"/>
      <c r="CA125" s="2894"/>
      <c r="CB125" s="2894"/>
      <c r="CC125" s="2894"/>
      <c r="CD125" s="2894"/>
      <c r="CE125" s="2894"/>
      <c r="CF125" s="2894"/>
      <c r="CG125" s="2894"/>
      <c r="CH125" s="2894"/>
      <c r="CI125" s="2894"/>
      <c r="CJ125" s="2894"/>
      <c r="CK125" s="2894"/>
      <c r="CL125" s="2894"/>
      <c r="CM125" s="2894"/>
      <c r="CN125" s="2894"/>
      <c r="CO125" s="2894"/>
      <c r="CP125" s="2894"/>
      <c r="CQ125" s="2894"/>
      <c r="CR125" s="2894"/>
      <c r="CS125" s="2894"/>
      <c r="CT125" s="2894"/>
      <c r="CU125" s="2894"/>
      <c r="CV125" s="2894"/>
      <c r="CW125" s="2894"/>
      <c r="CX125" s="2894"/>
      <c r="CY125" s="2894"/>
      <c r="CZ125" s="2894"/>
      <c r="DA125" s="2894"/>
      <c r="DB125" s="2894"/>
      <c r="DC125" s="2894"/>
      <c r="DD125" s="2894"/>
      <c r="DE125" s="2894"/>
      <c r="DF125" s="2894"/>
      <c r="DG125" s="2894"/>
      <c r="DH125" s="2894"/>
      <c r="DI125" s="2894"/>
      <c r="DJ125" s="2894"/>
      <c r="DK125" s="2894"/>
      <c r="DL125" s="2894"/>
      <c r="DM125" s="2894"/>
      <c r="DN125" s="2894"/>
      <c r="DO125" s="2894"/>
      <c r="DP125" s="2894"/>
      <c r="DQ125" s="2894"/>
      <c r="DR125" s="2894"/>
      <c r="DS125" s="2894"/>
      <c r="DT125" s="2894"/>
      <c r="DU125" s="2894"/>
      <c r="DV125" s="2894"/>
      <c r="DW125" s="2894"/>
      <c r="DX125" s="2894"/>
      <c r="DY125" s="2894"/>
      <c r="DZ125" s="2894"/>
      <c r="EA125" s="2894"/>
      <c r="EB125" s="2894"/>
      <c r="EC125" s="2894"/>
      <c r="ED125" s="2894"/>
      <c r="EE125" s="2894"/>
      <c r="EF125" s="2894"/>
      <c r="EG125" s="2894"/>
      <c r="EH125" s="2894"/>
      <c r="EI125" s="2894"/>
      <c r="EJ125" s="2894"/>
      <c r="EK125" s="2894"/>
      <c r="EL125" s="2894"/>
      <c r="EM125" s="2894"/>
      <c r="EN125" s="2894"/>
      <c r="EO125" s="2894"/>
      <c r="EP125" s="2894"/>
      <c r="EQ125" s="2894"/>
      <c r="ER125" s="2894"/>
      <c r="ES125" s="2894"/>
      <c r="ET125" s="2894"/>
      <c r="EU125" s="2894"/>
      <c r="EV125" s="2894"/>
      <c r="EW125" s="2894"/>
      <c r="EX125" s="2894"/>
      <c r="EY125" s="2894"/>
      <c r="EZ125" s="2894"/>
      <c r="FA125" s="2894"/>
      <c r="FB125" s="2894"/>
      <c r="FC125" s="2894"/>
      <c r="FD125" s="2894"/>
      <c r="FE125" s="2894"/>
      <c r="FF125" s="2894"/>
      <c r="FG125" s="2894"/>
      <c r="FH125" s="2894"/>
      <c r="FI125" s="2894"/>
      <c r="FJ125" s="2894"/>
      <c r="FK125" s="2894"/>
      <c r="FL125" s="2894"/>
      <c r="FM125" s="2894"/>
      <c r="FN125" s="155"/>
      <c r="FO125" s="155"/>
      <c r="FP125" s="155"/>
      <c r="FQ125" s="155"/>
      <c r="FR125" s="155"/>
      <c r="FS125" s="155"/>
      <c r="FT125" s="155"/>
      <c r="FU125" s="155"/>
      <c r="FV125" s="155"/>
      <c r="FW125" s="155"/>
      <c r="FX125" s="155"/>
      <c r="FY125" s="155"/>
      <c r="FZ125" s="155"/>
      <c r="GA125" s="155"/>
      <c r="GB125" s="155"/>
      <c r="GC125" s="155"/>
      <c r="GD125" s="155"/>
      <c r="GE125" s="155"/>
      <c r="GF125" s="155"/>
      <c r="GG125" s="155"/>
      <c r="GH125" s="155"/>
      <c r="GI125" s="155"/>
      <c r="GJ125" s="155"/>
      <c r="GK125" s="155"/>
    </row>
    <row r="126" spans="2:193" ht="18.75" customHeight="1" x14ac:dyDescent="0.3"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2894"/>
      <c r="AP126" s="2894"/>
      <c r="AQ126" s="2894"/>
      <c r="AR126" s="2894"/>
      <c r="AS126" s="2894"/>
      <c r="AT126" s="2894"/>
      <c r="AU126" s="2894"/>
      <c r="AV126" s="2894"/>
      <c r="AW126" s="2894"/>
      <c r="AX126" s="2894"/>
      <c r="AY126" s="2894"/>
      <c r="AZ126" s="2894"/>
      <c r="BA126" s="2894"/>
      <c r="BB126" s="2894"/>
      <c r="BC126" s="2894"/>
      <c r="BD126" s="2894"/>
      <c r="BE126" s="2894"/>
      <c r="BF126" s="2894"/>
      <c r="BG126" s="2894"/>
      <c r="BH126" s="2894"/>
      <c r="BI126" s="2894"/>
      <c r="BJ126" s="2894"/>
      <c r="BK126" s="2894"/>
      <c r="BL126" s="2894"/>
      <c r="BM126" s="2894"/>
      <c r="BN126" s="2894"/>
      <c r="BO126" s="2894"/>
      <c r="BP126" s="2894"/>
      <c r="BQ126" s="2894"/>
      <c r="BR126" s="2894"/>
      <c r="BS126" s="2894"/>
      <c r="BT126" s="2894"/>
      <c r="BU126" s="2894"/>
      <c r="BV126" s="2894"/>
      <c r="BW126" s="2894"/>
      <c r="BX126" s="2894"/>
      <c r="BY126" s="2894"/>
      <c r="BZ126" s="2894"/>
      <c r="CA126" s="2894"/>
      <c r="CB126" s="2894"/>
      <c r="CC126" s="2894"/>
      <c r="CD126" s="2894"/>
      <c r="CE126" s="2894"/>
      <c r="CF126" s="2894"/>
      <c r="CG126" s="2894"/>
      <c r="CH126" s="2894"/>
      <c r="CI126" s="2894"/>
      <c r="CJ126" s="2894"/>
      <c r="CK126" s="2894"/>
      <c r="CL126" s="2894"/>
      <c r="CM126" s="2894"/>
      <c r="CN126" s="2894"/>
      <c r="CO126" s="2894"/>
      <c r="CP126" s="2894"/>
      <c r="CQ126" s="2894"/>
      <c r="CR126" s="2894"/>
      <c r="CS126" s="2894"/>
      <c r="CT126" s="2894"/>
      <c r="CU126" s="2894"/>
      <c r="CV126" s="2894"/>
      <c r="CW126" s="2894"/>
      <c r="CX126" s="2894"/>
      <c r="CY126" s="2894"/>
      <c r="CZ126" s="2894"/>
      <c r="DA126" s="2894"/>
      <c r="DB126" s="2894"/>
      <c r="DC126" s="2894"/>
      <c r="DD126" s="2894"/>
      <c r="DE126" s="2894"/>
      <c r="DF126" s="2894"/>
      <c r="DG126" s="2894"/>
      <c r="DH126" s="2894"/>
      <c r="DI126" s="2894"/>
      <c r="DJ126" s="2894"/>
      <c r="DK126" s="2894"/>
      <c r="DL126" s="2894"/>
      <c r="DM126" s="2894"/>
      <c r="DN126" s="2894"/>
      <c r="DO126" s="2894"/>
      <c r="DP126" s="2894"/>
      <c r="DQ126" s="2894"/>
      <c r="DR126" s="2894"/>
      <c r="DS126" s="2894"/>
      <c r="DT126" s="2894"/>
      <c r="DU126" s="2894"/>
      <c r="DV126" s="2894"/>
      <c r="DW126" s="2894"/>
      <c r="DX126" s="2894"/>
      <c r="DY126" s="2894"/>
      <c r="DZ126" s="2894"/>
      <c r="EA126" s="2894"/>
      <c r="EB126" s="2894"/>
      <c r="EC126" s="2894"/>
      <c r="ED126" s="2894"/>
      <c r="EE126" s="2894"/>
      <c r="EF126" s="2894"/>
      <c r="EG126" s="2894"/>
      <c r="EH126" s="2894"/>
      <c r="EI126" s="2894"/>
      <c r="EJ126" s="2894"/>
      <c r="EK126" s="2894"/>
      <c r="EL126" s="2894"/>
      <c r="EM126" s="2894"/>
      <c r="EN126" s="2894"/>
      <c r="EO126" s="2894"/>
      <c r="EP126" s="2894"/>
      <c r="EQ126" s="2894"/>
      <c r="ER126" s="2894"/>
      <c r="ES126" s="2894"/>
      <c r="ET126" s="2894"/>
      <c r="EU126" s="2894"/>
      <c r="EV126" s="2894"/>
      <c r="EW126" s="2894"/>
      <c r="EX126" s="2894"/>
      <c r="EY126" s="2894"/>
      <c r="EZ126" s="2894"/>
      <c r="FA126" s="2894"/>
      <c r="FB126" s="2894"/>
      <c r="FC126" s="2894"/>
      <c r="FD126" s="2894"/>
      <c r="FE126" s="2894"/>
      <c r="FF126" s="2894"/>
      <c r="FG126" s="2894"/>
      <c r="FH126" s="2894"/>
      <c r="FI126" s="2894"/>
      <c r="FJ126" s="2894"/>
      <c r="FK126" s="2894"/>
      <c r="FL126" s="2894"/>
      <c r="FM126" s="2894"/>
      <c r="FN126" s="155"/>
      <c r="FO126" s="155"/>
      <c r="FP126" s="155"/>
      <c r="FQ126" s="155"/>
      <c r="FR126" s="155"/>
      <c r="FS126" s="155"/>
      <c r="FT126" s="155"/>
      <c r="FU126" s="155"/>
      <c r="FV126" s="155"/>
      <c r="FW126" s="155"/>
      <c r="FX126" s="155"/>
      <c r="FY126" s="155"/>
      <c r="FZ126" s="155"/>
      <c r="GA126" s="155"/>
      <c r="GB126" s="155"/>
      <c r="GC126" s="155"/>
      <c r="GD126" s="155"/>
      <c r="GE126" s="155"/>
      <c r="GF126" s="155"/>
      <c r="GG126" s="155"/>
      <c r="GH126" s="155"/>
      <c r="GI126" s="155"/>
      <c r="GJ126" s="155"/>
      <c r="GK126" s="155"/>
    </row>
    <row r="127" spans="2:193" ht="18.75" customHeight="1" x14ac:dyDescent="0.3"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2894"/>
      <c r="AP127" s="2894"/>
      <c r="AQ127" s="2894"/>
      <c r="AR127" s="2894"/>
      <c r="AS127" s="2894"/>
      <c r="AT127" s="2894"/>
      <c r="AU127" s="2894"/>
      <c r="AV127" s="2894"/>
      <c r="AW127" s="2894"/>
      <c r="AX127" s="2894"/>
      <c r="AY127" s="2894"/>
      <c r="AZ127" s="2894"/>
      <c r="BA127" s="2894"/>
      <c r="BB127" s="2894"/>
      <c r="BC127" s="2894"/>
      <c r="BD127" s="2894"/>
      <c r="BE127" s="2894"/>
      <c r="BF127" s="2894"/>
      <c r="BG127" s="2894"/>
      <c r="BH127" s="2894"/>
      <c r="BI127" s="2894"/>
      <c r="BJ127" s="2894"/>
      <c r="BK127" s="2894"/>
      <c r="BL127" s="2894"/>
      <c r="BM127" s="2894"/>
      <c r="BN127" s="2894"/>
      <c r="BO127" s="2894"/>
      <c r="BP127" s="2894"/>
      <c r="BQ127" s="2894"/>
      <c r="BR127" s="2894"/>
      <c r="BS127" s="2894"/>
      <c r="BT127" s="2894"/>
      <c r="BU127" s="2894"/>
      <c r="BV127" s="2894"/>
      <c r="BW127" s="2894"/>
      <c r="BX127" s="2894"/>
      <c r="BY127" s="2894"/>
      <c r="BZ127" s="2894"/>
      <c r="CA127" s="2894"/>
      <c r="CB127" s="2894"/>
      <c r="CC127" s="2894"/>
      <c r="CD127" s="2894"/>
      <c r="CE127" s="2894"/>
      <c r="CF127" s="2894"/>
      <c r="CG127" s="2894"/>
      <c r="CH127" s="2894"/>
      <c r="CI127" s="2894"/>
      <c r="CJ127" s="2894"/>
      <c r="CK127" s="2894"/>
      <c r="CL127" s="2894"/>
      <c r="CM127" s="2894"/>
      <c r="CN127" s="2894"/>
      <c r="CO127" s="2894"/>
      <c r="CP127" s="2894"/>
      <c r="CQ127" s="2894"/>
      <c r="CR127" s="2894"/>
      <c r="CS127" s="2894"/>
      <c r="CT127" s="2894"/>
      <c r="CU127" s="2894"/>
      <c r="CV127" s="2894"/>
      <c r="CW127" s="2894"/>
      <c r="CX127" s="2894"/>
      <c r="CY127" s="2894"/>
      <c r="CZ127" s="2894"/>
      <c r="DA127" s="2894"/>
      <c r="DB127" s="2894"/>
      <c r="DC127" s="2894"/>
      <c r="DD127" s="2894"/>
      <c r="DE127" s="2894"/>
      <c r="DF127" s="2894"/>
      <c r="DG127" s="2894"/>
      <c r="DH127" s="2894"/>
      <c r="DI127" s="2894"/>
      <c r="DJ127" s="2894"/>
      <c r="DK127" s="2894"/>
      <c r="DL127" s="2894"/>
      <c r="DM127" s="2894"/>
      <c r="DN127" s="2894"/>
      <c r="DO127" s="2894"/>
      <c r="DP127" s="2894"/>
      <c r="DQ127" s="2894"/>
      <c r="DR127" s="2894"/>
      <c r="DS127" s="2894"/>
      <c r="DT127" s="2894"/>
      <c r="DU127" s="2894"/>
      <c r="DV127" s="2894"/>
      <c r="DW127" s="2894"/>
      <c r="DX127" s="2894"/>
      <c r="DY127" s="2894"/>
      <c r="DZ127" s="2894"/>
      <c r="EA127" s="2894"/>
      <c r="EB127" s="2894"/>
      <c r="EC127" s="2894"/>
      <c r="ED127" s="2894"/>
      <c r="EE127" s="2894"/>
      <c r="EF127" s="2894"/>
      <c r="EG127" s="2894"/>
      <c r="EH127" s="2894"/>
      <c r="EI127" s="2894"/>
      <c r="EJ127" s="2894"/>
      <c r="EK127" s="2894"/>
      <c r="EL127" s="2894"/>
      <c r="EM127" s="2894"/>
      <c r="EN127" s="2894"/>
      <c r="EO127" s="2894"/>
      <c r="EP127" s="2894"/>
      <c r="EQ127" s="2894"/>
      <c r="ER127" s="2894"/>
      <c r="ES127" s="2894"/>
      <c r="ET127" s="2894"/>
      <c r="EU127" s="2894"/>
      <c r="EV127" s="2894"/>
      <c r="EW127" s="2894"/>
      <c r="EX127" s="2894"/>
      <c r="EY127" s="2894"/>
      <c r="EZ127" s="2894"/>
      <c r="FA127" s="2894"/>
      <c r="FB127" s="2894"/>
      <c r="FC127" s="2894"/>
      <c r="FD127" s="2894"/>
      <c r="FE127" s="2894"/>
      <c r="FF127" s="2894"/>
      <c r="FG127" s="2894"/>
      <c r="FH127" s="2894"/>
      <c r="FI127" s="2894"/>
      <c r="FJ127" s="2894"/>
      <c r="FK127" s="2894"/>
      <c r="FL127" s="2894"/>
      <c r="FM127" s="2894"/>
      <c r="FN127" s="155"/>
      <c r="FO127" s="155"/>
      <c r="FP127" s="155"/>
      <c r="FQ127" s="155"/>
      <c r="FR127" s="155"/>
      <c r="FS127" s="155"/>
      <c r="FT127" s="155"/>
      <c r="FU127" s="155"/>
      <c r="FV127" s="155"/>
      <c r="FW127" s="155"/>
      <c r="FX127" s="155"/>
      <c r="FY127" s="155"/>
      <c r="FZ127" s="155"/>
      <c r="GA127" s="155"/>
      <c r="GB127" s="155"/>
      <c r="GC127" s="155"/>
      <c r="GD127" s="155"/>
      <c r="GE127" s="155"/>
      <c r="GF127" s="155"/>
      <c r="GG127" s="155"/>
      <c r="GH127" s="155"/>
      <c r="GI127" s="155"/>
      <c r="GJ127" s="155"/>
      <c r="GK127" s="155"/>
    </row>
    <row r="128" spans="2:193" ht="18.75" customHeight="1" x14ac:dyDescent="0.3"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2894"/>
      <c r="AP128" s="2894"/>
      <c r="AQ128" s="2894"/>
      <c r="AR128" s="2894"/>
      <c r="AS128" s="2894"/>
      <c r="AT128" s="2894"/>
      <c r="AU128" s="2894"/>
      <c r="AV128" s="2894"/>
      <c r="AW128" s="2894"/>
      <c r="AX128" s="2894"/>
      <c r="AY128" s="2894"/>
      <c r="AZ128" s="2894"/>
      <c r="BA128" s="2894"/>
      <c r="BB128" s="2894"/>
      <c r="BC128" s="2894"/>
      <c r="BD128" s="2894"/>
      <c r="BE128" s="2894"/>
      <c r="BF128" s="2894"/>
      <c r="BG128" s="2894"/>
      <c r="BH128" s="2894"/>
      <c r="BI128" s="2894"/>
      <c r="BJ128" s="2894"/>
      <c r="BK128" s="2894"/>
      <c r="BL128" s="2894"/>
      <c r="BM128" s="2894"/>
      <c r="BN128" s="2894"/>
      <c r="BO128" s="2894"/>
      <c r="BP128" s="2894"/>
      <c r="BQ128" s="2894"/>
      <c r="BR128" s="2894"/>
      <c r="BS128" s="2894"/>
      <c r="BT128" s="2894"/>
      <c r="BU128" s="2894"/>
      <c r="BV128" s="2894"/>
      <c r="BW128" s="2894"/>
      <c r="BX128" s="2894"/>
      <c r="BY128" s="2894"/>
      <c r="BZ128" s="2894"/>
      <c r="CA128" s="2894"/>
      <c r="CB128" s="2894"/>
      <c r="CC128" s="2894"/>
      <c r="CD128" s="2894"/>
      <c r="CE128" s="2894"/>
      <c r="CF128" s="2894"/>
      <c r="CG128" s="2894"/>
      <c r="CH128" s="2894"/>
      <c r="CI128" s="2894"/>
      <c r="CJ128" s="2894"/>
      <c r="CK128" s="2894"/>
      <c r="CL128" s="2894"/>
      <c r="CM128" s="2894"/>
      <c r="CN128" s="2894"/>
      <c r="CO128" s="2894"/>
      <c r="CP128" s="2894"/>
      <c r="CQ128" s="2894"/>
      <c r="CR128" s="2894"/>
      <c r="CS128" s="2894"/>
      <c r="CT128" s="2894"/>
      <c r="CU128" s="2894"/>
      <c r="CV128" s="2894"/>
      <c r="CW128" s="2894"/>
      <c r="CX128" s="2894"/>
      <c r="CY128" s="2894"/>
      <c r="CZ128" s="2894"/>
      <c r="DA128" s="2894"/>
      <c r="DB128" s="2894"/>
      <c r="DC128" s="2894"/>
      <c r="DD128" s="2894"/>
      <c r="DE128" s="2894"/>
      <c r="DF128" s="2894"/>
      <c r="DG128" s="2894"/>
      <c r="DH128" s="2894"/>
      <c r="DI128" s="2894"/>
      <c r="DJ128" s="2894"/>
      <c r="DK128" s="2894"/>
      <c r="DL128" s="2894"/>
      <c r="DM128" s="2894"/>
      <c r="DN128" s="2894"/>
      <c r="DO128" s="2894"/>
      <c r="DP128" s="2894"/>
      <c r="DQ128" s="2894"/>
      <c r="DR128" s="2894"/>
      <c r="DS128" s="2894"/>
      <c r="DT128" s="2894"/>
      <c r="DU128" s="2894"/>
      <c r="DV128" s="2894"/>
      <c r="DW128" s="2894"/>
      <c r="DX128" s="2894"/>
      <c r="DY128" s="2894"/>
      <c r="DZ128" s="2894"/>
      <c r="EA128" s="2894"/>
      <c r="EB128" s="2894"/>
      <c r="EC128" s="2894"/>
      <c r="ED128" s="2894"/>
      <c r="EE128" s="2894"/>
      <c r="EF128" s="2894"/>
      <c r="EG128" s="2894"/>
      <c r="EH128" s="2894"/>
      <c r="EI128" s="2894"/>
      <c r="EJ128" s="2894"/>
      <c r="EK128" s="2894"/>
      <c r="EL128" s="2894"/>
      <c r="EM128" s="2894"/>
      <c r="EN128" s="2894"/>
      <c r="EO128" s="2894"/>
      <c r="EP128" s="2894"/>
      <c r="EQ128" s="2894"/>
      <c r="ER128" s="2894"/>
      <c r="ES128" s="2894"/>
      <c r="ET128" s="2894"/>
      <c r="EU128" s="2894"/>
      <c r="EV128" s="2894"/>
      <c r="EW128" s="2894"/>
      <c r="EX128" s="2894"/>
      <c r="EY128" s="2894"/>
      <c r="EZ128" s="2894"/>
      <c r="FA128" s="2894"/>
      <c r="FB128" s="2894"/>
      <c r="FC128" s="2894"/>
      <c r="FD128" s="2894"/>
      <c r="FE128" s="2894"/>
      <c r="FF128" s="2894"/>
      <c r="FG128" s="2894"/>
      <c r="FH128" s="2894"/>
      <c r="FI128" s="2894"/>
      <c r="FJ128" s="2894"/>
      <c r="FK128" s="2894"/>
      <c r="FL128" s="2894"/>
      <c r="FM128" s="2894"/>
      <c r="FN128" s="155"/>
      <c r="FO128" s="155"/>
      <c r="FP128" s="155"/>
      <c r="FQ128" s="155"/>
      <c r="FR128" s="155"/>
      <c r="FS128" s="155"/>
      <c r="FT128" s="155"/>
      <c r="FU128" s="155"/>
      <c r="FV128" s="155"/>
      <c r="FW128" s="155"/>
      <c r="FX128" s="155"/>
      <c r="FY128" s="155"/>
      <c r="FZ128" s="155"/>
      <c r="GA128" s="155"/>
      <c r="GB128" s="155"/>
      <c r="GC128" s="155"/>
      <c r="GD128" s="155"/>
      <c r="GE128" s="155"/>
      <c r="GF128" s="155"/>
      <c r="GG128" s="155"/>
      <c r="GH128" s="155"/>
      <c r="GI128" s="155"/>
      <c r="GJ128" s="155"/>
      <c r="GK128" s="155"/>
    </row>
    <row r="129" spans="2:193" ht="18.75" customHeight="1" x14ac:dyDescent="0.3"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2894"/>
      <c r="AP129" s="2894"/>
      <c r="AQ129" s="2894"/>
      <c r="AR129" s="2894"/>
      <c r="AS129" s="2894"/>
      <c r="AT129" s="2894"/>
      <c r="AU129" s="2894"/>
      <c r="AV129" s="2894"/>
      <c r="AW129" s="2894"/>
      <c r="AX129" s="2894"/>
      <c r="AY129" s="2894"/>
      <c r="AZ129" s="2894"/>
      <c r="BA129" s="2894"/>
      <c r="BB129" s="2894"/>
      <c r="BC129" s="2894"/>
      <c r="BD129" s="2894"/>
      <c r="BE129" s="2894"/>
      <c r="BF129" s="2894"/>
      <c r="BG129" s="2894"/>
      <c r="BH129" s="2894"/>
      <c r="BI129" s="2894"/>
      <c r="BJ129" s="2894"/>
      <c r="BK129" s="2894"/>
      <c r="BL129" s="2894"/>
      <c r="BM129" s="2894"/>
      <c r="BN129" s="2894"/>
      <c r="BO129" s="2894"/>
      <c r="BP129" s="2894"/>
      <c r="BQ129" s="2894"/>
      <c r="BR129" s="2894"/>
      <c r="BS129" s="2894"/>
      <c r="BT129" s="2894"/>
      <c r="BU129" s="2894"/>
      <c r="BV129" s="2894"/>
      <c r="BW129" s="2894"/>
      <c r="BX129" s="2894"/>
      <c r="BY129" s="2894"/>
      <c r="BZ129" s="2894"/>
      <c r="CA129" s="2894"/>
      <c r="CB129" s="2894"/>
      <c r="CC129" s="2894"/>
      <c r="CD129" s="2894"/>
      <c r="CE129" s="2894"/>
      <c r="CF129" s="2894"/>
      <c r="CG129" s="2894"/>
      <c r="CH129" s="2894"/>
      <c r="CI129" s="2894"/>
      <c r="CJ129" s="2894"/>
      <c r="CK129" s="2894"/>
      <c r="CL129" s="2894"/>
      <c r="CM129" s="2894"/>
      <c r="CN129" s="2894"/>
      <c r="CO129" s="2894"/>
      <c r="CP129" s="2894"/>
      <c r="CQ129" s="2894"/>
      <c r="CR129" s="2894"/>
      <c r="CS129" s="2894"/>
      <c r="CT129" s="2894"/>
      <c r="CU129" s="2894"/>
      <c r="CV129" s="2894"/>
      <c r="CW129" s="2894"/>
      <c r="CX129" s="2894"/>
      <c r="CY129" s="2894"/>
      <c r="CZ129" s="2894"/>
      <c r="DA129" s="2894"/>
      <c r="DB129" s="2894"/>
      <c r="DC129" s="2894"/>
      <c r="DD129" s="2894"/>
      <c r="DE129" s="2894"/>
      <c r="DF129" s="2894"/>
      <c r="DG129" s="2894"/>
      <c r="DH129" s="2894"/>
      <c r="DI129" s="2894"/>
      <c r="DJ129" s="2894"/>
      <c r="DK129" s="2894"/>
      <c r="DL129" s="2894"/>
      <c r="DM129" s="2894"/>
      <c r="DN129" s="2894"/>
      <c r="DO129" s="2894"/>
      <c r="DP129" s="2894"/>
      <c r="DQ129" s="2894"/>
      <c r="DR129" s="2894"/>
      <c r="DS129" s="2894"/>
      <c r="DT129" s="2894"/>
      <c r="DU129" s="2894"/>
      <c r="DV129" s="2894"/>
      <c r="DW129" s="2894"/>
      <c r="DX129" s="2894"/>
      <c r="DY129" s="2894"/>
      <c r="DZ129" s="2894"/>
      <c r="EA129" s="2894"/>
      <c r="EB129" s="2894"/>
      <c r="EC129" s="2894"/>
      <c r="ED129" s="2894"/>
      <c r="EE129" s="2894"/>
      <c r="EF129" s="2894"/>
      <c r="EG129" s="2894"/>
      <c r="EH129" s="2894"/>
      <c r="EI129" s="2894"/>
      <c r="EJ129" s="2894"/>
      <c r="EK129" s="2894"/>
      <c r="EL129" s="2894"/>
      <c r="EM129" s="2894"/>
      <c r="EN129" s="2894"/>
      <c r="EO129" s="2894"/>
      <c r="EP129" s="2894"/>
      <c r="EQ129" s="2894"/>
      <c r="ER129" s="2894"/>
      <c r="ES129" s="2894"/>
      <c r="ET129" s="2894"/>
      <c r="EU129" s="2894"/>
      <c r="EV129" s="2894"/>
      <c r="EW129" s="2894"/>
      <c r="EX129" s="2894"/>
      <c r="EY129" s="2894"/>
      <c r="EZ129" s="2894"/>
      <c r="FA129" s="2894"/>
      <c r="FB129" s="2894"/>
      <c r="FC129" s="2894"/>
      <c r="FD129" s="2894"/>
      <c r="FE129" s="2894"/>
      <c r="FF129" s="2894"/>
      <c r="FG129" s="2894"/>
      <c r="FH129" s="2894"/>
      <c r="FI129" s="2894"/>
      <c r="FJ129" s="2894"/>
      <c r="FK129" s="2894"/>
      <c r="FL129" s="2894"/>
      <c r="FM129" s="2894"/>
      <c r="FN129" s="155"/>
      <c r="FO129" s="155"/>
      <c r="FP129" s="155"/>
      <c r="FQ129" s="155"/>
      <c r="FR129" s="155"/>
      <c r="FS129" s="155"/>
      <c r="FT129" s="155"/>
      <c r="FU129" s="155"/>
      <c r="FV129" s="155"/>
      <c r="FW129" s="155"/>
      <c r="FX129" s="155"/>
      <c r="FY129" s="155"/>
      <c r="FZ129" s="155"/>
      <c r="GA129" s="155"/>
      <c r="GB129" s="155"/>
      <c r="GC129" s="155"/>
      <c r="GD129" s="155"/>
      <c r="GE129" s="155"/>
      <c r="GF129" s="155"/>
      <c r="GG129" s="155"/>
      <c r="GH129" s="155"/>
      <c r="GI129" s="155"/>
      <c r="GJ129" s="155"/>
      <c r="GK129" s="155"/>
    </row>
    <row r="130" spans="2:193" ht="18.75" customHeight="1" x14ac:dyDescent="0.3"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2894"/>
      <c r="AP130" s="2894"/>
      <c r="AQ130" s="2894"/>
      <c r="AR130" s="2894"/>
      <c r="AS130" s="2894"/>
      <c r="AT130" s="2894"/>
      <c r="AU130" s="2894"/>
      <c r="AV130" s="2894"/>
      <c r="AW130" s="2894"/>
      <c r="AX130" s="2894"/>
      <c r="AY130" s="2894"/>
      <c r="AZ130" s="2894"/>
      <c r="BA130" s="2894"/>
      <c r="BB130" s="2894"/>
      <c r="BC130" s="2894"/>
      <c r="BD130" s="2894"/>
      <c r="BE130" s="2894"/>
      <c r="BF130" s="2894"/>
      <c r="BG130" s="2894"/>
      <c r="BH130" s="2894"/>
      <c r="BI130" s="2894"/>
      <c r="BJ130" s="2894"/>
      <c r="BK130" s="2894"/>
      <c r="BL130" s="2894"/>
      <c r="BM130" s="2894"/>
      <c r="BN130" s="2894"/>
      <c r="BO130" s="2894"/>
      <c r="BP130" s="2894"/>
      <c r="BQ130" s="2894"/>
      <c r="BR130" s="2894"/>
      <c r="BS130" s="2894"/>
      <c r="BT130" s="2894"/>
      <c r="BU130" s="2894"/>
      <c r="BV130" s="2894"/>
      <c r="BW130" s="2894"/>
      <c r="BX130" s="2894"/>
      <c r="BY130" s="2894"/>
      <c r="BZ130" s="2894"/>
      <c r="CA130" s="2894"/>
      <c r="CB130" s="2894"/>
      <c r="CC130" s="2894"/>
      <c r="CD130" s="2894"/>
      <c r="CE130" s="2894"/>
      <c r="CF130" s="2894"/>
      <c r="CG130" s="2894"/>
      <c r="CH130" s="2894"/>
      <c r="CI130" s="2894"/>
      <c r="CJ130" s="2894"/>
      <c r="CK130" s="2894"/>
      <c r="CL130" s="2894"/>
      <c r="CM130" s="2894"/>
      <c r="CN130" s="2894"/>
      <c r="CO130" s="2894"/>
      <c r="CP130" s="2894"/>
      <c r="CQ130" s="2894"/>
      <c r="CR130" s="2894"/>
      <c r="CS130" s="2894"/>
      <c r="CT130" s="2894"/>
      <c r="CU130" s="2894"/>
      <c r="CV130" s="2894"/>
      <c r="CW130" s="2894"/>
      <c r="CX130" s="2894"/>
      <c r="CY130" s="2894"/>
      <c r="CZ130" s="2894"/>
      <c r="DA130" s="2894"/>
      <c r="DB130" s="2894"/>
      <c r="DC130" s="2894"/>
      <c r="DD130" s="2894"/>
      <c r="DE130" s="2894"/>
      <c r="DF130" s="2894"/>
      <c r="DG130" s="2894"/>
      <c r="DH130" s="2894"/>
      <c r="DI130" s="2894"/>
      <c r="DJ130" s="2894"/>
      <c r="DK130" s="2894"/>
      <c r="DL130" s="2894"/>
      <c r="DM130" s="2894"/>
      <c r="DN130" s="2894"/>
      <c r="DO130" s="2894"/>
      <c r="DP130" s="2894"/>
      <c r="DQ130" s="2894"/>
      <c r="DR130" s="2894"/>
      <c r="DS130" s="2894"/>
      <c r="DT130" s="2894"/>
      <c r="DU130" s="2894"/>
      <c r="DV130" s="2894"/>
      <c r="DW130" s="2894"/>
      <c r="DX130" s="2894"/>
      <c r="DY130" s="2894"/>
      <c r="DZ130" s="2894"/>
      <c r="EA130" s="2894"/>
      <c r="EB130" s="2894"/>
      <c r="EC130" s="2894"/>
      <c r="ED130" s="2894"/>
      <c r="EE130" s="2894"/>
      <c r="EF130" s="2894"/>
      <c r="EG130" s="2894"/>
      <c r="EH130" s="2894"/>
      <c r="EI130" s="2894"/>
      <c r="EJ130" s="2894"/>
      <c r="EK130" s="2894"/>
      <c r="EL130" s="2894"/>
      <c r="EM130" s="2894"/>
      <c r="EN130" s="2894"/>
      <c r="EO130" s="2894"/>
      <c r="EP130" s="2894"/>
      <c r="EQ130" s="2894"/>
      <c r="ER130" s="2894"/>
      <c r="ES130" s="2894"/>
      <c r="ET130" s="2894"/>
      <c r="EU130" s="2894"/>
      <c r="EV130" s="2894"/>
      <c r="EW130" s="2894"/>
      <c r="EX130" s="2894"/>
      <c r="EY130" s="2894"/>
      <c r="EZ130" s="2894"/>
      <c r="FA130" s="2894"/>
      <c r="FB130" s="2894"/>
      <c r="FC130" s="2894"/>
      <c r="FD130" s="2894"/>
      <c r="FE130" s="2894"/>
      <c r="FF130" s="2894"/>
      <c r="FG130" s="2894"/>
      <c r="FH130" s="2894"/>
      <c r="FI130" s="2894"/>
      <c r="FJ130" s="2894"/>
      <c r="FK130" s="2894"/>
      <c r="FL130" s="2894"/>
      <c r="FM130" s="2894"/>
      <c r="FN130" s="155"/>
      <c r="FO130" s="155"/>
      <c r="FP130" s="155"/>
      <c r="FQ130" s="155"/>
      <c r="FR130" s="155"/>
      <c r="FS130" s="155"/>
      <c r="FT130" s="155"/>
      <c r="FU130" s="155"/>
      <c r="FV130" s="155"/>
      <c r="FW130" s="155"/>
      <c r="FX130" s="155"/>
      <c r="FY130" s="155"/>
      <c r="FZ130" s="155"/>
      <c r="GA130" s="155"/>
      <c r="GB130" s="155"/>
      <c r="GC130" s="155"/>
      <c r="GD130" s="155"/>
      <c r="GE130" s="155"/>
      <c r="GF130" s="155"/>
      <c r="GG130" s="155"/>
      <c r="GH130" s="155"/>
      <c r="GI130" s="155"/>
      <c r="GJ130" s="155"/>
      <c r="GK130" s="155"/>
    </row>
    <row r="131" spans="2:193" ht="18.75" customHeight="1" x14ac:dyDescent="0.3"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2894"/>
      <c r="AP131" s="2894"/>
      <c r="AQ131" s="2894"/>
      <c r="AR131" s="2894"/>
      <c r="AS131" s="2894"/>
      <c r="AT131" s="2894"/>
      <c r="AU131" s="2894"/>
      <c r="AV131" s="2894"/>
      <c r="AW131" s="2894"/>
      <c r="AX131" s="2894"/>
      <c r="AY131" s="2894"/>
      <c r="AZ131" s="2894"/>
      <c r="BA131" s="2894"/>
      <c r="BB131" s="2894"/>
      <c r="BC131" s="2894"/>
      <c r="BD131" s="2894"/>
      <c r="BE131" s="2894"/>
      <c r="BF131" s="2894"/>
      <c r="BG131" s="2894"/>
      <c r="BH131" s="2894"/>
      <c r="BI131" s="2894"/>
      <c r="BJ131" s="2894"/>
      <c r="BK131" s="2894"/>
      <c r="BL131" s="2894"/>
      <c r="BM131" s="2894"/>
      <c r="BN131" s="2894"/>
      <c r="BO131" s="2894"/>
      <c r="BP131" s="2894"/>
      <c r="BQ131" s="2894"/>
      <c r="BR131" s="2894"/>
      <c r="BS131" s="2894"/>
      <c r="BT131" s="2894"/>
      <c r="BU131" s="2894"/>
      <c r="BV131" s="2894"/>
      <c r="BW131" s="2894"/>
      <c r="BX131" s="2894"/>
      <c r="BY131" s="2894"/>
      <c r="BZ131" s="2894"/>
      <c r="CA131" s="2894"/>
      <c r="CB131" s="2894"/>
      <c r="CC131" s="2894"/>
      <c r="CD131" s="2894"/>
      <c r="CE131" s="2894"/>
      <c r="CF131" s="2894"/>
      <c r="CG131" s="2894"/>
      <c r="CH131" s="2894"/>
      <c r="CI131" s="2894"/>
      <c r="CJ131" s="2894"/>
      <c r="CK131" s="2894"/>
      <c r="CL131" s="2894"/>
      <c r="CM131" s="2894"/>
      <c r="CN131" s="2894"/>
      <c r="CO131" s="2894"/>
      <c r="CP131" s="2894"/>
      <c r="CQ131" s="2894"/>
      <c r="CR131" s="2894"/>
      <c r="CS131" s="2894"/>
      <c r="CT131" s="2894"/>
      <c r="CU131" s="2894"/>
      <c r="CV131" s="2894"/>
      <c r="CW131" s="2894"/>
      <c r="CX131" s="2894"/>
      <c r="CY131" s="2894"/>
      <c r="CZ131" s="2894"/>
      <c r="DA131" s="2894"/>
      <c r="DB131" s="2894"/>
      <c r="DC131" s="2894"/>
      <c r="DD131" s="2894"/>
      <c r="DE131" s="2894"/>
      <c r="DF131" s="2894"/>
      <c r="DG131" s="2894"/>
      <c r="DH131" s="2894"/>
      <c r="DI131" s="2894"/>
      <c r="DJ131" s="2894"/>
      <c r="DK131" s="2894"/>
      <c r="DL131" s="2894"/>
      <c r="DM131" s="2894"/>
      <c r="DN131" s="2894"/>
      <c r="DO131" s="2894"/>
      <c r="DP131" s="2894"/>
      <c r="DQ131" s="2894"/>
      <c r="DR131" s="2894"/>
      <c r="DS131" s="2894"/>
      <c r="DT131" s="2894"/>
      <c r="DU131" s="2894"/>
      <c r="DV131" s="2894"/>
      <c r="DW131" s="2894"/>
      <c r="DX131" s="2894"/>
      <c r="DY131" s="2894"/>
      <c r="DZ131" s="2894"/>
      <c r="EA131" s="2894"/>
      <c r="EB131" s="2894"/>
      <c r="EC131" s="2894"/>
      <c r="ED131" s="2894"/>
      <c r="EE131" s="2894"/>
      <c r="EF131" s="2894"/>
      <c r="EG131" s="2894"/>
      <c r="EH131" s="2894"/>
      <c r="EI131" s="2894"/>
      <c r="EJ131" s="2894"/>
      <c r="EK131" s="2894"/>
      <c r="EL131" s="2894"/>
      <c r="EM131" s="2894"/>
      <c r="EN131" s="2894"/>
      <c r="EO131" s="2894"/>
      <c r="EP131" s="2894"/>
      <c r="EQ131" s="2894"/>
      <c r="ER131" s="2894"/>
      <c r="ES131" s="2894"/>
      <c r="ET131" s="2894"/>
      <c r="EU131" s="2894"/>
      <c r="EV131" s="2894"/>
      <c r="EW131" s="2894"/>
      <c r="EX131" s="2894"/>
      <c r="EY131" s="2894"/>
      <c r="EZ131" s="2894"/>
      <c r="FA131" s="2894"/>
      <c r="FB131" s="2894"/>
      <c r="FC131" s="2894"/>
      <c r="FD131" s="2894"/>
      <c r="FE131" s="2894"/>
      <c r="FF131" s="2894"/>
      <c r="FG131" s="2894"/>
      <c r="FH131" s="2894"/>
      <c r="FI131" s="2894"/>
      <c r="FJ131" s="2894"/>
      <c r="FK131" s="2894"/>
      <c r="FL131" s="2894"/>
      <c r="FM131" s="2894"/>
      <c r="FN131" s="155"/>
      <c r="FO131" s="155"/>
      <c r="FP131" s="155"/>
      <c r="FQ131" s="155"/>
      <c r="FR131" s="155"/>
      <c r="FS131" s="155"/>
      <c r="FT131" s="155"/>
      <c r="FU131" s="155"/>
      <c r="FV131" s="155"/>
      <c r="FW131" s="155"/>
      <c r="FX131" s="155"/>
      <c r="FY131" s="155"/>
      <c r="FZ131" s="155"/>
      <c r="GA131" s="155"/>
      <c r="GB131" s="155"/>
      <c r="GC131" s="155"/>
      <c r="GD131" s="155"/>
      <c r="GE131" s="155"/>
      <c r="GF131" s="155"/>
      <c r="GG131" s="155"/>
      <c r="GH131" s="155"/>
      <c r="GI131" s="155"/>
      <c r="GJ131" s="155"/>
      <c r="GK131" s="155"/>
    </row>
    <row r="132" spans="2:193" ht="18.75" customHeight="1" x14ac:dyDescent="0.3"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2894"/>
      <c r="AP132" s="2894"/>
      <c r="AQ132" s="2894"/>
      <c r="AR132" s="2894"/>
      <c r="AS132" s="2894"/>
      <c r="AT132" s="2894"/>
      <c r="AU132" s="2894"/>
      <c r="AV132" s="2894"/>
      <c r="AW132" s="2894"/>
      <c r="AX132" s="2894"/>
      <c r="AY132" s="2894"/>
      <c r="AZ132" s="2894"/>
      <c r="BA132" s="2894"/>
      <c r="BB132" s="2894"/>
      <c r="BC132" s="2894"/>
      <c r="BD132" s="2894"/>
      <c r="BE132" s="2894"/>
      <c r="BF132" s="2894"/>
      <c r="BG132" s="2894"/>
      <c r="BH132" s="2894"/>
      <c r="BI132" s="2894"/>
      <c r="BJ132" s="2894"/>
      <c r="BK132" s="2894"/>
      <c r="BL132" s="2894"/>
      <c r="BM132" s="2894"/>
      <c r="BN132" s="2894"/>
      <c r="BO132" s="2894"/>
      <c r="BP132" s="2894"/>
      <c r="BQ132" s="2894"/>
      <c r="BR132" s="2894"/>
      <c r="BS132" s="2894"/>
      <c r="BT132" s="2894"/>
      <c r="BU132" s="2894"/>
      <c r="BV132" s="2894"/>
      <c r="BW132" s="2894"/>
      <c r="BX132" s="2894"/>
      <c r="BY132" s="2894"/>
      <c r="BZ132" s="2894"/>
      <c r="CA132" s="2894"/>
      <c r="CB132" s="2894"/>
      <c r="CC132" s="2894"/>
      <c r="CD132" s="2894"/>
      <c r="CE132" s="2894"/>
      <c r="CF132" s="2894"/>
      <c r="CG132" s="2894"/>
      <c r="CH132" s="2894"/>
      <c r="CI132" s="2894"/>
      <c r="CJ132" s="2894"/>
      <c r="CK132" s="2894"/>
      <c r="CL132" s="2894"/>
      <c r="CM132" s="2894"/>
      <c r="CN132" s="2894"/>
      <c r="CO132" s="2894"/>
      <c r="CP132" s="2894"/>
      <c r="CQ132" s="2894"/>
      <c r="CR132" s="2894"/>
      <c r="CS132" s="2894"/>
      <c r="CT132" s="2894"/>
      <c r="CU132" s="2894"/>
      <c r="CV132" s="2894"/>
      <c r="CW132" s="2894"/>
      <c r="CX132" s="2894"/>
      <c r="CY132" s="2894"/>
      <c r="CZ132" s="2894"/>
      <c r="DA132" s="2894"/>
      <c r="DB132" s="2894"/>
      <c r="DC132" s="2894"/>
      <c r="DD132" s="2894"/>
      <c r="DE132" s="2894"/>
      <c r="DF132" s="2894"/>
      <c r="DG132" s="2894"/>
      <c r="DH132" s="2894"/>
      <c r="DI132" s="2894"/>
      <c r="DJ132" s="2894"/>
      <c r="DK132" s="2894"/>
      <c r="DL132" s="2894"/>
      <c r="DM132" s="2894"/>
      <c r="DN132" s="2894"/>
      <c r="DO132" s="2894"/>
      <c r="DP132" s="2894"/>
      <c r="DQ132" s="2894"/>
      <c r="DR132" s="2894"/>
      <c r="DS132" s="2894"/>
      <c r="DT132" s="2894"/>
      <c r="DU132" s="2894"/>
      <c r="DV132" s="2894"/>
      <c r="DW132" s="2894"/>
      <c r="DX132" s="2894"/>
      <c r="DY132" s="2894"/>
      <c r="DZ132" s="2894"/>
      <c r="EA132" s="2894"/>
      <c r="EB132" s="2894"/>
      <c r="EC132" s="2894"/>
      <c r="ED132" s="2894"/>
      <c r="EE132" s="2894"/>
      <c r="EF132" s="2894"/>
      <c r="EG132" s="2894"/>
      <c r="EH132" s="2894"/>
      <c r="EI132" s="2894"/>
      <c r="EJ132" s="2894"/>
      <c r="EK132" s="2894"/>
      <c r="EL132" s="2894"/>
      <c r="EM132" s="2894"/>
      <c r="EN132" s="2894"/>
      <c r="EO132" s="2894"/>
      <c r="EP132" s="2894"/>
      <c r="EQ132" s="2894"/>
      <c r="ER132" s="2894"/>
      <c r="ES132" s="2894"/>
      <c r="ET132" s="2894"/>
      <c r="EU132" s="2894"/>
      <c r="EV132" s="2894"/>
      <c r="EW132" s="2894"/>
      <c r="EX132" s="2894"/>
      <c r="EY132" s="2894"/>
      <c r="EZ132" s="2894"/>
      <c r="FA132" s="2894"/>
      <c r="FB132" s="2894"/>
      <c r="FC132" s="2894"/>
      <c r="FD132" s="2894"/>
      <c r="FE132" s="2894"/>
      <c r="FF132" s="2894"/>
      <c r="FG132" s="2894"/>
      <c r="FH132" s="2894"/>
      <c r="FI132" s="2894"/>
      <c r="FJ132" s="2894"/>
      <c r="FK132" s="2894"/>
      <c r="FL132" s="2894"/>
      <c r="FM132" s="2894"/>
      <c r="FN132" s="155"/>
      <c r="FO132" s="155"/>
      <c r="FP132" s="155"/>
      <c r="FQ132" s="155"/>
      <c r="FR132" s="155"/>
      <c r="FS132" s="155"/>
      <c r="FT132" s="155"/>
      <c r="FU132" s="155"/>
      <c r="FV132" s="155"/>
      <c r="FW132" s="155"/>
      <c r="FX132" s="155"/>
      <c r="FY132" s="155"/>
      <c r="FZ132" s="155"/>
      <c r="GA132" s="155"/>
      <c r="GB132" s="155"/>
      <c r="GC132" s="155"/>
      <c r="GD132" s="155"/>
      <c r="GE132" s="155"/>
      <c r="GF132" s="155"/>
      <c r="GG132" s="155"/>
      <c r="GH132" s="155"/>
      <c r="GI132" s="155"/>
      <c r="GJ132" s="155"/>
      <c r="GK132" s="155"/>
    </row>
    <row r="133" spans="2:193" ht="18.75" customHeight="1" x14ac:dyDescent="0.3"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2894"/>
      <c r="AP133" s="2894"/>
      <c r="AQ133" s="2894"/>
      <c r="AR133" s="2894"/>
      <c r="AS133" s="2894"/>
      <c r="AT133" s="2894"/>
      <c r="AU133" s="2894"/>
      <c r="AV133" s="2894"/>
      <c r="AW133" s="2894"/>
      <c r="AX133" s="2894"/>
      <c r="AY133" s="2894"/>
      <c r="AZ133" s="2894"/>
      <c r="BA133" s="2894"/>
      <c r="BB133" s="2894"/>
      <c r="BC133" s="2894"/>
      <c r="BD133" s="2894"/>
      <c r="BE133" s="2894"/>
      <c r="BF133" s="2894"/>
      <c r="BG133" s="2894"/>
      <c r="BH133" s="2894"/>
      <c r="BI133" s="2894"/>
      <c r="BJ133" s="2894"/>
      <c r="BK133" s="2894"/>
      <c r="BL133" s="2894"/>
      <c r="BM133" s="2894"/>
      <c r="BN133" s="2894"/>
      <c r="BO133" s="2894"/>
      <c r="BP133" s="2894"/>
      <c r="BQ133" s="2894"/>
      <c r="BR133" s="2894"/>
      <c r="BS133" s="2894"/>
      <c r="BT133" s="2894"/>
      <c r="BU133" s="2894"/>
      <c r="BV133" s="2894"/>
      <c r="BW133" s="2894"/>
      <c r="BX133" s="2894"/>
      <c r="BY133" s="2894"/>
      <c r="BZ133" s="2894"/>
      <c r="CA133" s="2894"/>
      <c r="CB133" s="2894"/>
      <c r="CC133" s="2894"/>
      <c r="CD133" s="2894"/>
      <c r="CE133" s="2894"/>
      <c r="CF133" s="2894"/>
      <c r="CG133" s="2894"/>
      <c r="CH133" s="2894"/>
      <c r="CI133" s="2894"/>
      <c r="CJ133" s="2894"/>
      <c r="CK133" s="2894"/>
      <c r="CL133" s="2894"/>
      <c r="CM133" s="2894"/>
      <c r="CN133" s="2894"/>
      <c r="CO133" s="2894"/>
      <c r="CP133" s="2894"/>
      <c r="CQ133" s="2894"/>
      <c r="CR133" s="2894"/>
      <c r="CS133" s="2894"/>
      <c r="CT133" s="2894"/>
      <c r="CU133" s="2894"/>
      <c r="CV133" s="2894"/>
      <c r="CW133" s="2894"/>
      <c r="CX133" s="2894"/>
      <c r="CY133" s="2894"/>
      <c r="CZ133" s="2894"/>
      <c r="DA133" s="2894"/>
      <c r="DB133" s="2894"/>
      <c r="DC133" s="2894"/>
      <c r="DD133" s="2894"/>
      <c r="DE133" s="2894"/>
      <c r="DF133" s="2894"/>
      <c r="DG133" s="2894"/>
      <c r="DH133" s="2894"/>
      <c r="DI133" s="2894"/>
      <c r="DJ133" s="2894"/>
      <c r="DK133" s="2894"/>
      <c r="DL133" s="2894"/>
      <c r="DM133" s="2894"/>
      <c r="DN133" s="2894"/>
      <c r="DO133" s="2894"/>
      <c r="DP133" s="2894"/>
      <c r="DQ133" s="2894"/>
      <c r="DR133" s="2894"/>
      <c r="DS133" s="2894"/>
      <c r="DT133" s="2894"/>
      <c r="DU133" s="2894"/>
      <c r="DV133" s="2894"/>
      <c r="DW133" s="2894"/>
      <c r="DX133" s="2894"/>
      <c r="DY133" s="2894"/>
      <c r="DZ133" s="2894"/>
      <c r="EA133" s="2894"/>
      <c r="EB133" s="2894"/>
      <c r="EC133" s="2894"/>
      <c r="ED133" s="2894"/>
      <c r="EE133" s="2894"/>
      <c r="EF133" s="2894"/>
      <c r="EG133" s="2894"/>
      <c r="EH133" s="2894"/>
      <c r="EI133" s="2894"/>
      <c r="EJ133" s="2894"/>
      <c r="EK133" s="2894"/>
      <c r="EL133" s="2894"/>
      <c r="EM133" s="2894"/>
      <c r="EN133" s="2894"/>
      <c r="EO133" s="2894"/>
      <c r="EP133" s="2894"/>
      <c r="EQ133" s="2894"/>
      <c r="ER133" s="2894"/>
      <c r="ES133" s="2894"/>
      <c r="ET133" s="2894"/>
      <c r="EU133" s="2894"/>
      <c r="EV133" s="2894"/>
      <c r="EW133" s="2894"/>
      <c r="EX133" s="2894"/>
      <c r="EY133" s="2894"/>
      <c r="EZ133" s="2894"/>
      <c r="FA133" s="2894"/>
      <c r="FB133" s="2894"/>
      <c r="FC133" s="2894"/>
      <c r="FD133" s="2894"/>
      <c r="FE133" s="2894"/>
      <c r="FF133" s="2894"/>
      <c r="FG133" s="2894"/>
      <c r="FH133" s="2894"/>
      <c r="FI133" s="2894"/>
      <c r="FJ133" s="2894"/>
      <c r="FK133" s="2894"/>
      <c r="FL133" s="2894"/>
      <c r="FM133" s="2894"/>
      <c r="FN133" s="155"/>
      <c r="FO133" s="155"/>
      <c r="FP133" s="155"/>
      <c r="FQ133" s="155"/>
      <c r="FR133" s="155"/>
      <c r="FS133" s="155"/>
      <c r="FT133" s="155"/>
      <c r="FU133" s="155"/>
      <c r="FV133" s="155"/>
      <c r="FW133" s="155"/>
      <c r="FX133" s="155"/>
      <c r="FY133" s="155"/>
      <c r="FZ133" s="155"/>
      <c r="GA133" s="155"/>
      <c r="GB133" s="155"/>
      <c r="GC133" s="155"/>
      <c r="GD133" s="155"/>
      <c r="GE133" s="155"/>
      <c r="GF133" s="155"/>
      <c r="GG133" s="155"/>
      <c r="GH133" s="155"/>
      <c r="GI133" s="155"/>
      <c r="GJ133" s="155"/>
      <c r="GK133" s="155"/>
    </row>
    <row r="134" spans="2:193" ht="18.75" customHeight="1" x14ac:dyDescent="0.3"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2894"/>
      <c r="AP134" s="2894"/>
      <c r="AQ134" s="2894"/>
      <c r="AR134" s="2894"/>
      <c r="AS134" s="2894"/>
      <c r="AT134" s="2894"/>
      <c r="AU134" s="2894"/>
      <c r="AV134" s="2894"/>
      <c r="AW134" s="2894"/>
      <c r="AX134" s="2894"/>
      <c r="AY134" s="2894"/>
      <c r="AZ134" s="2894"/>
      <c r="BA134" s="2894"/>
      <c r="BB134" s="2894"/>
      <c r="BC134" s="2894"/>
      <c r="BD134" s="2894"/>
      <c r="BE134" s="2894"/>
      <c r="BF134" s="2894"/>
      <c r="BG134" s="2894"/>
      <c r="BH134" s="2894"/>
      <c r="BI134" s="2894"/>
      <c r="BJ134" s="2894"/>
      <c r="BK134" s="2894"/>
      <c r="BL134" s="2894"/>
      <c r="BM134" s="2894"/>
      <c r="BN134" s="2894"/>
      <c r="BO134" s="2894"/>
      <c r="BP134" s="2894"/>
      <c r="BQ134" s="2894"/>
      <c r="BR134" s="2894"/>
      <c r="BS134" s="2894"/>
      <c r="BT134" s="2894"/>
      <c r="BU134" s="2894"/>
      <c r="BV134" s="2894"/>
      <c r="BW134" s="2894"/>
      <c r="BX134" s="2894"/>
      <c r="BY134" s="2894"/>
      <c r="BZ134" s="2894"/>
      <c r="CA134" s="2894"/>
      <c r="CB134" s="2894"/>
      <c r="CC134" s="2894"/>
      <c r="CD134" s="2894"/>
      <c r="CE134" s="2894"/>
      <c r="CF134" s="2894"/>
      <c r="CG134" s="2894"/>
      <c r="CH134" s="2894"/>
      <c r="CI134" s="2894"/>
      <c r="CJ134" s="2894"/>
      <c r="CK134" s="2894"/>
      <c r="CL134" s="2894"/>
      <c r="CM134" s="2894"/>
      <c r="CN134" s="2894"/>
      <c r="CO134" s="2894"/>
      <c r="CP134" s="2894"/>
      <c r="CQ134" s="2894"/>
      <c r="CR134" s="2894"/>
      <c r="CS134" s="2894"/>
      <c r="CT134" s="2894"/>
      <c r="CU134" s="2894"/>
      <c r="CV134" s="2894"/>
      <c r="CW134" s="2894"/>
      <c r="CX134" s="2894"/>
      <c r="CY134" s="2894"/>
      <c r="CZ134" s="2894"/>
      <c r="DA134" s="2894"/>
      <c r="DB134" s="2894"/>
      <c r="DC134" s="2894"/>
      <c r="DD134" s="2894"/>
      <c r="DE134" s="2894"/>
      <c r="DF134" s="2894"/>
      <c r="DG134" s="2894"/>
      <c r="DH134" s="2894"/>
      <c r="DI134" s="2894"/>
      <c r="DJ134" s="2894"/>
      <c r="DK134" s="2894"/>
      <c r="DL134" s="2894"/>
      <c r="DM134" s="2894"/>
      <c r="DN134" s="2894"/>
      <c r="DO134" s="2894"/>
      <c r="DP134" s="2894"/>
      <c r="DQ134" s="2894"/>
      <c r="DR134" s="2894"/>
      <c r="DS134" s="2894"/>
      <c r="DT134" s="2894"/>
      <c r="DU134" s="2894"/>
      <c r="DV134" s="2894"/>
      <c r="DW134" s="2894"/>
      <c r="DX134" s="2894"/>
      <c r="DY134" s="2894"/>
      <c r="DZ134" s="2894"/>
      <c r="EA134" s="2894"/>
      <c r="EB134" s="2894"/>
      <c r="EC134" s="2894"/>
      <c r="ED134" s="2894"/>
      <c r="EE134" s="2894"/>
      <c r="EF134" s="2894"/>
      <c r="EG134" s="2894"/>
      <c r="EH134" s="2894"/>
      <c r="EI134" s="2894"/>
      <c r="EJ134" s="2894"/>
      <c r="EK134" s="2894"/>
      <c r="EL134" s="2894"/>
      <c r="EM134" s="2894"/>
      <c r="EN134" s="2894"/>
      <c r="EO134" s="2894"/>
      <c r="EP134" s="2894"/>
      <c r="EQ134" s="2894"/>
      <c r="ER134" s="2894"/>
      <c r="ES134" s="2894"/>
      <c r="ET134" s="2894"/>
      <c r="EU134" s="2894"/>
      <c r="EV134" s="2894"/>
      <c r="EW134" s="2894"/>
      <c r="EX134" s="2894"/>
      <c r="EY134" s="2894"/>
      <c r="EZ134" s="2894"/>
      <c r="FA134" s="2894"/>
      <c r="FB134" s="2894"/>
      <c r="FC134" s="2894"/>
      <c r="FD134" s="2894"/>
      <c r="FE134" s="2894"/>
      <c r="FF134" s="2894"/>
      <c r="FG134" s="2894"/>
      <c r="FH134" s="2894"/>
      <c r="FI134" s="2894"/>
      <c r="FJ134" s="2894"/>
      <c r="FK134" s="2894"/>
      <c r="FL134" s="2894"/>
      <c r="FM134" s="2894"/>
      <c r="FN134" s="155"/>
      <c r="FO134" s="155"/>
      <c r="FP134" s="155"/>
      <c r="FQ134" s="155"/>
      <c r="FR134" s="155"/>
      <c r="FS134" s="155"/>
      <c r="FT134" s="155"/>
      <c r="FU134" s="155"/>
      <c r="FV134" s="155"/>
      <c r="FW134" s="155"/>
      <c r="FX134" s="155"/>
      <c r="FY134" s="155"/>
      <c r="FZ134" s="155"/>
      <c r="GA134" s="155"/>
      <c r="GB134" s="155"/>
      <c r="GC134" s="155"/>
      <c r="GD134" s="155"/>
      <c r="GE134" s="155"/>
      <c r="GF134" s="155"/>
      <c r="GG134" s="155"/>
      <c r="GH134" s="155"/>
      <c r="GI134" s="155"/>
      <c r="GJ134" s="155"/>
      <c r="GK134" s="155"/>
    </row>
    <row r="135" spans="2:193" ht="18.75" customHeight="1" x14ac:dyDescent="0.3"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2894"/>
      <c r="AP135" s="2894"/>
      <c r="AQ135" s="2894"/>
      <c r="AR135" s="2894"/>
      <c r="AS135" s="2894"/>
      <c r="AT135" s="2894"/>
      <c r="AU135" s="2894"/>
      <c r="AV135" s="2894"/>
      <c r="AW135" s="2894"/>
      <c r="AX135" s="2894"/>
      <c r="AY135" s="2894"/>
      <c r="AZ135" s="2894"/>
      <c r="BA135" s="2894"/>
      <c r="BB135" s="2894"/>
      <c r="BC135" s="2894"/>
      <c r="BD135" s="2894"/>
      <c r="BE135" s="2894"/>
      <c r="BF135" s="2894"/>
      <c r="BG135" s="2894"/>
      <c r="BH135" s="2894"/>
      <c r="BI135" s="2894"/>
      <c r="BJ135" s="2894"/>
      <c r="BK135" s="2894"/>
      <c r="BL135" s="2894"/>
      <c r="BM135" s="2894"/>
      <c r="BN135" s="2894"/>
      <c r="BO135" s="2894"/>
      <c r="BP135" s="2894"/>
      <c r="BQ135" s="2894"/>
      <c r="BR135" s="2894"/>
      <c r="BS135" s="2894"/>
      <c r="BT135" s="2894"/>
      <c r="BU135" s="2894"/>
      <c r="BV135" s="2894"/>
      <c r="BW135" s="2894"/>
      <c r="BX135" s="2894"/>
      <c r="BY135" s="2894"/>
      <c r="BZ135" s="2894"/>
      <c r="CA135" s="2894"/>
      <c r="CB135" s="2894"/>
      <c r="CC135" s="2894"/>
      <c r="CD135" s="2894"/>
      <c r="CE135" s="2894"/>
      <c r="CF135" s="2894"/>
      <c r="CG135" s="2894"/>
      <c r="CH135" s="2894"/>
      <c r="CI135" s="2894"/>
      <c r="CJ135" s="2894"/>
      <c r="CK135" s="2894"/>
      <c r="CL135" s="2894"/>
      <c r="CM135" s="2894"/>
      <c r="CN135" s="2894"/>
      <c r="CO135" s="2894"/>
      <c r="CP135" s="2894"/>
      <c r="CQ135" s="2894"/>
      <c r="CR135" s="2894"/>
      <c r="CS135" s="2894"/>
      <c r="CT135" s="2894"/>
      <c r="CU135" s="2894"/>
      <c r="CV135" s="2894"/>
      <c r="CW135" s="2894"/>
      <c r="CX135" s="2894"/>
      <c r="CY135" s="2894"/>
      <c r="CZ135" s="2894"/>
      <c r="DA135" s="2894"/>
      <c r="DB135" s="2894"/>
      <c r="DC135" s="2894"/>
      <c r="DD135" s="2894"/>
      <c r="DE135" s="2894"/>
      <c r="DF135" s="2894"/>
      <c r="DG135" s="2894"/>
      <c r="DH135" s="2894"/>
      <c r="DI135" s="2894"/>
      <c r="DJ135" s="2894"/>
      <c r="DK135" s="2894"/>
      <c r="DL135" s="2894"/>
      <c r="DM135" s="2894"/>
      <c r="DN135" s="2894"/>
      <c r="DO135" s="2894"/>
      <c r="DP135" s="2894"/>
      <c r="DQ135" s="2894"/>
      <c r="DR135" s="2894"/>
      <c r="DS135" s="2894"/>
      <c r="DT135" s="2894"/>
      <c r="DU135" s="2894"/>
      <c r="DV135" s="2894"/>
      <c r="DW135" s="2894"/>
      <c r="DX135" s="2894"/>
      <c r="DY135" s="2894"/>
      <c r="DZ135" s="2894"/>
      <c r="EA135" s="2894"/>
      <c r="EB135" s="2894"/>
      <c r="EC135" s="2894"/>
      <c r="ED135" s="2894"/>
      <c r="EE135" s="2894"/>
      <c r="EF135" s="2894"/>
      <c r="EG135" s="2894"/>
      <c r="EH135" s="2894"/>
      <c r="EI135" s="2894"/>
      <c r="EJ135" s="2894"/>
      <c r="EK135" s="2894"/>
      <c r="EL135" s="2894"/>
      <c r="EM135" s="2894"/>
      <c r="EN135" s="2894"/>
      <c r="EO135" s="2894"/>
      <c r="EP135" s="2894"/>
      <c r="EQ135" s="2894"/>
      <c r="ER135" s="2894"/>
      <c r="ES135" s="2894"/>
      <c r="ET135" s="2894"/>
      <c r="EU135" s="2894"/>
      <c r="EV135" s="2894"/>
      <c r="EW135" s="2894"/>
      <c r="EX135" s="2894"/>
      <c r="EY135" s="2894"/>
      <c r="EZ135" s="2894"/>
      <c r="FA135" s="2894"/>
      <c r="FB135" s="2894"/>
      <c r="FC135" s="2894"/>
      <c r="FD135" s="2894"/>
      <c r="FE135" s="2894"/>
      <c r="FF135" s="2894"/>
      <c r="FG135" s="2894"/>
      <c r="FH135" s="2894"/>
      <c r="FI135" s="2894"/>
      <c r="FJ135" s="2894"/>
      <c r="FK135" s="2894"/>
      <c r="FL135" s="2894"/>
      <c r="FM135" s="2894"/>
      <c r="FN135" s="155"/>
      <c r="FO135" s="155"/>
      <c r="FP135" s="155"/>
      <c r="FQ135" s="155"/>
      <c r="FR135" s="155"/>
      <c r="FS135" s="155"/>
      <c r="FT135" s="155"/>
      <c r="FU135" s="155"/>
      <c r="FV135" s="155"/>
      <c r="FW135" s="155"/>
      <c r="FX135" s="155"/>
      <c r="FY135" s="155"/>
      <c r="FZ135" s="155"/>
      <c r="GA135" s="155"/>
      <c r="GB135" s="155"/>
      <c r="GC135" s="155"/>
      <c r="GD135" s="155"/>
      <c r="GE135" s="155"/>
      <c r="GF135" s="155"/>
      <c r="GG135" s="155"/>
      <c r="GH135" s="155"/>
      <c r="GI135" s="155"/>
      <c r="GJ135" s="155"/>
      <c r="GK135" s="155"/>
    </row>
    <row r="136" spans="2:193" ht="18.75" customHeight="1" x14ac:dyDescent="0.3"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2894"/>
      <c r="AP136" s="2894"/>
      <c r="AQ136" s="2894"/>
      <c r="AR136" s="2894"/>
      <c r="AS136" s="2894"/>
      <c r="AT136" s="2894"/>
      <c r="AU136" s="2894"/>
      <c r="AV136" s="2894"/>
      <c r="AW136" s="2894"/>
      <c r="AX136" s="2894"/>
      <c r="AY136" s="2894"/>
      <c r="AZ136" s="2894"/>
      <c r="BA136" s="2894"/>
      <c r="BB136" s="2894"/>
      <c r="BC136" s="2894"/>
      <c r="BD136" s="2894"/>
      <c r="BE136" s="2894"/>
      <c r="BF136" s="2894"/>
      <c r="BG136" s="2894"/>
      <c r="BH136" s="2894"/>
      <c r="BI136" s="2894"/>
      <c r="BJ136" s="2894"/>
      <c r="BK136" s="2894"/>
      <c r="BL136" s="2894"/>
      <c r="BM136" s="2894"/>
      <c r="BN136" s="2894"/>
      <c r="BO136" s="2894"/>
      <c r="BP136" s="2894"/>
      <c r="BQ136" s="2894"/>
      <c r="BR136" s="2894"/>
      <c r="BS136" s="2894"/>
      <c r="BT136" s="2894"/>
      <c r="BU136" s="2894"/>
      <c r="BV136" s="2894"/>
      <c r="BW136" s="2894"/>
      <c r="BX136" s="2894"/>
      <c r="BY136" s="2894"/>
      <c r="BZ136" s="2894"/>
      <c r="CA136" s="2894"/>
      <c r="CB136" s="2894"/>
      <c r="CC136" s="2894"/>
      <c r="CD136" s="2894"/>
      <c r="CE136" s="2894"/>
      <c r="CF136" s="2894"/>
      <c r="CG136" s="2894"/>
      <c r="CH136" s="2894"/>
      <c r="CI136" s="2894"/>
      <c r="CJ136" s="2894"/>
      <c r="CK136" s="2894"/>
      <c r="CL136" s="2894"/>
      <c r="CM136" s="2894"/>
      <c r="CN136" s="2894"/>
      <c r="CO136" s="2894"/>
      <c r="CP136" s="2894"/>
      <c r="CQ136" s="2894"/>
      <c r="CR136" s="2894"/>
      <c r="CS136" s="2894"/>
      <c r="CT136" s="2894"/>
      <c r="CU136" s="2894"/>
      <c r="CV136" s="2894"/>
      <c r="CW136" s="2894"/>
      <c r="CX136" s="2894"/>
      <c r="CY136" s="2894"/>
      <c r="CZ136" s="2894"/>
      <c r="DA136" s="2894"/>
      <c r="DB136" s="2894"/>
      <c r="DC136" s="2894"/>
      <c r="DD136" s="2894"/>
      <c r="DE136" s="2894"/>
      <c r="DF136" s="2894"/>
      <c r="DG136" s="2894"/>
      <c r="DH136" s="2894"/>
      <c r="DI136" s="2894"/>
      <c r="DJ136" s="2894"/>
      <c r="DK136" s="2894"/>
      <c r="DL136" s="2894"/>
      <c r="DM136" s="2894"/>
      <c r="DN136" s="2894"/>
      <c r="DO136" s="2894"/>
      <c r="DP136" s="2894"/>
      <c r="DQ136" s="2894"/>
      <c r="DR136" s="2894"/>
      <c r="DS136" s="2894"/>
      <c r="DT136" s="2894"/>
      <c r="DU136" s="2894"/>
      <c r="DV136" s="2894"/>
      <c r="DW136" s="2894"/>
      <c r="DX136" s="2894"/>
      <c r="DY136" s="2894"/>
      <c r="DZ136" s="2894"/>
      <c r="EA136" s="2894"/>
      <c r="EB136" s="2894"/>
      <c r="EC136" s="2894"/>
      <c r="ED136" s="2894"/>
      <c r="EE136" s="2894"/>
      <c r="EF136" s="2894"/>
      <c r="EG136" s="2894"/>
      <c r="EH136" s="2894"/>
      <c r="EI136" s="2894"/>
      <c r="EJ136" s="2894"/>
      <c r="EK136" s="2894"/>
      <c r="EL136" s="2894"/>
      <c r="EM136" s="2894"/>
      <c r="EN136" s="2894"/>
      <c r="EO136" s="2894"/>
      <c r="EP136" s="2894"/>
      <c r="EQ136" s="2894"/>
      <c r="ER136" s="2894"/>
      <c r="ES136" s="2894"/>
      <c r="ET136" s="2894"/>
      <c r="EU136" s="2894"/>
      <c r="EV136" s="2894"/>
      <c r="EW136" s="2894"/>
      <c r="EX136" s="2894"/>
      <c r="EY136" s="2894"/>
      <c r="EZ136" s="2894"/>
      <c r="FA136" s="2894"/>
      <c r="FB136" s="2894"/>
      <c r="FC136" s="2894"/>
      <c r="FD136" s="2894"/>
      <c r="FE136" s="2894"/>
      <c r="FF136" s="2894"/>
      <c r="FG136" s="2894"/>
      <c r="FH136" s="2894"/>
      <c r="FI136" s="2894"/>
      <c r="FJ136" s="2894"/>
      <c r="FK136" s="2894"/>
      <c r="FL136" s="2894"/>
      <c r="FM136" s="2894"/>
      <c r="FN136" s="155"/>
      <c r="FO136" s="155"/>
      <c r="FP136" s="155"/>
      <c r="FQ136" s="155"/>
      <c r="FR136" s="155"/>
      <c r="FS136" s="155"/>
      <c r="FT136" s="155"/>
      <c r="FU136" s="155"/>
      <c r="FV136" s="155"/>
      <c r="FW136" s="155"/>
      <c r="FX136" s="155"/>
      <c r="FY136" s="155"/>
      <c r="FZ136" s="155"/>
      <c r="GA136" s="155"/>
      <c r="GB136" s="155"/>
      <c r="GC136" s="155"/>
      <c r="GD136" s="155"/>
      <c r="GE136" s="155"/>
      <c r="GF136" s="155"/>
      <c r="GG136" s="155"/>
      <c r="GH136" s="155"/>
      <c r="GI136" s="155"/>
      <c r="GJ136" s="155"/>
      <c r="GK136" s="155"/>
    </row>
    <row r="137" spans="2:193" ht="18.75" customHeight="1" x14ac:dyDescent="0.3"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2894"/>
      <c r="AP137" s="2894"/>
      <c r="AQ137" s="2894"/>
      <c r="AR137" s="2894"/>
      <c r="AS137" s="2894"/>
      <c r="AT137" s="2894"/>
      <c r="AU137" s="2894"/>
      <c r="AV137" s="2894"/>
      <c r="AW137" s="2894"/>
      <c r="AX137" s="2894"/>
      <c r="AY137" s="2894"/>
      <c r="AZ137" s="2894"/>
      <c r="BA137" s="2894"/>
      <c r="BB137" s="2894"/>
      <c r="BC137" s="2894"/>
      <c r="BD137" s="2894"/>
      <c r="BE137" s="2894"/>
      <c r="BF137" s="2894"/>
      <c r="BG137" s="2894"/>
      <c r="BH137" s="2894"/>
      <c r="BI137" s="2894"/>
      <c r="BJ137" s="2894"/>
      <c r="BK137" s="2894"/>
      <c r="BL137" s="2894"/>
      <c r="BM137" s="2894"/>
      <c r="BN137" s="2894"/>
      <c r="BO137" s="2894"/>
      <c r="BP137" s="2894"/>
      <c r="BQ137" s="2894"/>
      <c r="BR137" s="2894"/>
      <c r="BS137" s="2894"/>
      <c r="BT137" s="2894"/>
      <c r="BU137" s="2894"/>
      <c r="BV137" s="2894"/>
      <c r="BW137" s="2894"/>
      <c r="BX137" s="2894"/>
      <c r="BY137" s="2894"/>
      <c r="BZ137" s="2894"/>
      <c r="CA137" s="2894"/>
      <c r="CB137" s="2894"/>
      <c r="CC137" s="2894"/>
      <c r="CD137" s="2894"/>
      <c r="CE137" s="2894"/>
      <c r="CF137" s="2894"/>
      <c r="CG137" s="2894"/>
      <c r="CH137" s="2894"/>
      <c r="CI137" s="2894"/>
      <c r="CJ137" s="2894"/>
      <c r="CK137" s="2894"/>
      <c r="CL137" s="2894"/>
      <c r="CM137" s="2894"/>
      <c r="CN137" s="2894"/>
      <c r="CO137" s="2894"/>
      <c r="CP137" s="2894"/>
      <c r="CQ137" s="2894"/>
      <c r="CR137" s="2894"/>
      <c r="CS137" s="2894"/>
      <c r="CT137" s="2894"/>
      <c r="CU137" s="2894"/>
      <c r="CV137" s="2894"/>
      <c r="CW137" s="2894"/>
      <c r="CX137" s="2894"/>
      <c r="CY137" s="2894"/>
      <c r="CZ137" s="2894"/>
      <c r="DA137" s="2894"/>
      <c r="DB137" s="2894"/>
      <c r="DC137" s="2894"/>
      <c r="DD137" s="2894"/>
      <c r="DE137" s="2894"/>
      <c r="DF137" s="2894"/>
      <c r="DG137" s="2894"/>
      <c r="DH137" s="2894"/>
      <c r="DI137" s="2894"/>
      <c r="DJ137" s="2894"/>
      <c r="DK137" s="2894"/>
      <c r="DL137" s="2894"/>
      <c r="DM137" s="2894"/>
      <c r="DN137" s="2894"/>
      <c r="DO137" s="2894"/>
      <c r="DP137" s="2894"/>
      <c r="DQ137" s="2894"/>
      <c r="DR137" s="2894"/>
      <c r="DS137" s="2894"/>
      <c r="DT137" s="2894"/>
      <c r="DU137" s="2894"/>
      <c r="DV137" s="2894"/>
      <c r="DW137" s="2894"/>
      <c r="DX137" s="2894"/>
      <c r="DY137" s="2894"/>
      <c r="DZ137" s="2894"/>
      <c r="EA137" s="2894"/>
      <c r="EB137" s="2894"/>
      <c r="EC137" s="2894"/>
      <c r="ED137" s="2894"/>
      <c r="EE137" s="2894"/>
      <c r="EF137" s="2894"/>
      <c r="EG137" s="2894"/>
      <c r="EH137" s="2894"/>
      <c r="EI137" s="2894"/>
      <c r="EJ137" s="2894"/>
      <c r="EK137" s="2894"/>
      <c r="EL137" s="2894"/>
      <c r="EM137" s="2894"/>
      <c r="EN137" s="2894"/>
      <c r="EO137" s="2894"/>
      <c r="EP137" s="2894"/>
      <c r="EQ137" s="2894"/>
      <c r="ER137" s="2894"/>
      <c r="ES137" s="2894"/>
      <c r="ET137" s="2894"/>
      <c r="EU137" s="2894"/>
      <c r="EV137" s="2894"/>
      <c r="EW137" s="2894"/>
      <c r="EX137" s="2894"/>
      <c r="EY137" s="2894"/>
      <c r="EZ137" s="2894"/>
      <c r="FA137" s="2894"/>
      <c r="FB137" s="2894"/>
      <c r="FC137" s="2894"/>
      <c r="FD137" s="2894"/>
      <c r="FE137" s="2894"/>
      <c r="FF137" s="2894"/>
      <c r="FG137" s="2894"/>
      <c r="FH137" s="2894"/>
      <c r="FI137" s="2894"/>
      <c r="FJ137" s="2894"/>
      <c r="FK137" s="2894"/>
      <c r="FL137" s="2894"/>
      <c r="FM137" s="2894"/>
      <c r="FN137" s="155"/>
      <c r="FO137" s="155"/>
      <c r="FP137" s="155"/>
      <c r="FQ137" s="155"/>
      <c r="FR137" s="155"/>
      <c r="FS137" s="155"/>
      <c r="FT137" s="155"/>
      <c r="FU137" s="155"/>
      <c r="FV137" s="155"/>
      <c r="FW137" s="155"/>
      <c r="FX137" s="155"/>
      <c r="FY137" s="155"/>
      <c r="FZ137" s="155"/>
      <c r="GA137" s="155"/>
      <c r="GB137" s="155"/>
      <c r="GC137" s="155"/>
      <c r="GD137" s="155"/>
      <c r="GE137" s="155"/>
      <c r="GF137" s="155"/>
      <c r="GG137" s="155"/>
      <c r="GH137" s="155"/>
      <c r="GI137" s="155"/>
      <c r="GJ137" s="155"/>
      <c r="GK137" s="155"/>
    </row>
    <row r="138" spans="2:193" ht="18.75" customHeight="1" x14ac:dyDescent="0.3"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2894"/>
      <c r="AP138" s="2894"/>
      <c r="AQ138" s="2894"/>
      <c r="AR138" s="2894"/>
      <c r="AS138" s="2894"/>
      <c r="AT138" s="2894"/>
      <c r="AU138" s="2894"/>
      <c r="AV138" s="2894"/>
      <c r="AW138" s="2894"/>
      <c r="AX138" s="2894"/>
      <c r="AY138" s="2894"/>
      <c r="AZ138" s="2894"/>
      <c r="BA138" s="2894"/>
      <c r="BB138" s="2894"/>
      <c r="BC138" s="2894"/>
      <c r="BD138" s="2894"/>
      <c r="BE138" s="2894"/>
      <c r="BF138" s="2894"/>
      <c r="BG138" s="2894"/>
      <c r="BH138" s="2894"/>
      <c r="BI138" s="2894"/>
      <c r="BJ138" s="2894"/>
      <c r="BK138" s="2894"/>
      <c r="BL138" s="2894"/>
      <c r="BM138" s="2894"/>
      <c r="BN138" s="2894"/>
      <c r="BO138" s="2894"/>
      <c r="BP138" s="2894"/>
      <c r="BQ138" s="2894"/>
      <c r="BR138" s="2894"/>
      <c r="BS138" s="2894"/>
      <c r="BT138" s="2894"/>
      <c r="BU138" s="2894"/>
      <c r="BV138" s="2894"/>
      <c r="BW138" s="2894"/>
      <c r="BX138" s="2894"/>
      <c r="BY138" s="2894"/>
      <c r="BZ138" s="2894"/>
      <c r="CA138" s="2894"/>
      <c r="CB138" s="2894"/>
      <c r="CC138" s="2894"/>
      <c r="CD138" s="2894"/>
      <c r="CE138" s="2894"/>
      <c r="CF138" s="2894"/>
      <c r="CG138" s="2894"/>
      <c r="CH138" s="2894"/>
      <c r="CI138" s="2894"/>
      <c r="CJ138" s="2894"/>
      <c r="CK138" s="2894"/>
      <c r="CL138" s="2894"/>
      <c r="CM138" s="2894"/>
      <c r="CN138" s="2894"/>
      <c r="CO138" s="2894"/>
      <c r="CP138" s="2894"/>
      <c r="CQ138" s="2894"/>
      <c r="CR138" s="2894"/>
      <c r="CS138" s="2894"/>
      <c r="CT138" s="2894"/>
      <c r="CU138" s="2894"/>
      <c r="CV138" s="2894"/>
      <c r="CW138" s="2894"/>
      <c r="CX138" s="2894"/>
      <c r="CY138" s="2894"/>
      <c r="CZ138" s="2894"/>
      <c r="DA138" s="2894"/>
      <c r="DB138" s="2894"/>
      <c r="DC138" s="2894"/>
      <c r="DD138" s="2894"/>
      <c r="DE138" s="2894"/>
      <c r="DF138" s="2894"/>
      <c r="DG138" s="2894"/>
      <c r="DH138" s="2894"/>
      <c r="DI138" s="2894"/>
      <c r="DJ138" s="2894"/>
      <c r="DK138" s="2894"/>
      <c r="DL138" s="2894"/>
      <c r="DM138" s="2894"/>
      <c r="DN138" s="2894"/>
      <c r="DO138" s="2894"/>
      <c r="DP138" s="2894"/>
      <c r="DQ138" s="2894"/>
      <c r="DR138" s="2894"/>
      <c r="DS138" s="2894"/>
      <c r="DT138" s="2894"/>
      <c r="DU138" s="2894"/>
      <c r="DV138" s="2894"/>
      <c r="DW138" s="2894"/>
      <c r="DX138" s="2894"/>
      <c r="DY138" s="2894"/>
      <c r="DZ138" s="2894"/>
      <c r="EA138" s="2894"/>
      <c r="EB138" s="2894"/>
      <c r="EC138" s="2894"/>
      <c r="ED138" s="2894"/>
      <c r="EE138" s="2894"/>
      <c r="EF138" s="2894"/>
      <c r="EG138" s="2894"/>
      <c r="EH138" s="2894"/>
      <c r="EI138" s="2894"/>
      <c r="EJ138" s="2894"/>
      <c r="EK138" s="2894"/>
      <c r="EL138" s="2894"/>
      <c r="EM138" s="2894"/>
      <c r="EN138" s="2894"/>
      <c r="EO138" s="2894"/>
      <c r="EP138" s="2894"/>
      <c r="EQ138" s="2894"/>
      <c r="ER138" s="2894"/>
      <c r="ES138" s="2894"/>
      <c r="ET138" s="2894"/>
      <c r="EU138" s="2894"/>
      <c r="EV138" s="2894"/>
      <c r="EW138" s="2894"/>
      <c r="EX138" s="2894"/>
      <c r="EY138" s="2894"/>
      <c r="EZ138" s="2894"/>
      <c r="FA138" s="2894"/>
      <c r="FB138" s="2894"/>
      <c r="FC138" s="2894"/>
      <c r="FD138" s="2894"/>
      <c r="FE138" s="2894"/>
      <c r="FF138" s="2894"/>
      <c r="FG138" s="2894"/>
      <c r="FH138" s="2894"/>
      <c r="FI138" s="2894"/>
      <c r="FJ138" s="2894"/>
      <c r="FK138" s="2894"/>
      <c r="FL138" s="2894"/>
      <c r="FM138" s="2894"/>
      <c r="FN138" s="155"/>
      <c r="FO138" s="155"/>
      <c r="FP138" s="155"/>
      <c r="FQ138" s="155"/>
      <c r="FR138" s="155"/>
      <c r="FS138" s="155"/>
      <c r="FT138" s="155"/>
      <c r="FU138" s="155"/>
      <c r="FV138" s="155"/>
      <c r="FW138" s="155"/>
      <c r="FX138" s="155"/>
      <c r="FY138" s="155"/>
      <c r="FZ138" s="155"/>
      <c r="GA138" s="155"/>
      <c r="GB138" s="155"/>
      <c r="GC138" s="155"/>
      <c r="GD138" s="155"/>
      <c r="GE138" s="155"/>
      <c r="GF138" s="155"/>
      <c r="GG138" s="155"/>
      <c r="GH138" s="155"/>
      <c r="GI138" s="155"/>
      <c r="GJ138" s="155"/>
      <c r="GK138" s="155"/>
    </row>
    <row r="139" spans="2:193" ht="18.75" customHeight="1" x14ac:dyDescent="0.3"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2894"/>
      <c r="AP139" s="2894"/>
      <c r="AQ139" s="2894"/>
      <c r="AR139" s="2894"/>
      <c r="AS139" s="2894"/>
      <c r="AT139" s="2894"/>
      <c r="AU139" s="2894"/>
      <c r="AV139" s="2894"/>
      <c r="AW139" s="2894"/>
      <c r="AX139" s="2894"/>
      <c r="AY139" s="2894"/>
      <c r="AZ139" s="2894"/>
      <c r="BA139" s="2894"/>
      <c r="BB139" s="2894"/>
      <c r="BC139" s="2894"/>
      <c r="BD139" s="2894"/>
      <c r="BE139" s="2894"/>
      <c r="BF139" s="2894"/>
      <c r="BG139" s="2894"/>
      <c r="BH139" s="2894"/>
      <c r="BI139" s="2894"/>
      <c r="BJ139" s="2894"/>
      <c r="BK139" s="2894"/>
      <c r="BL139" s="2894"/>
      <c r="BM139" s="2894"/>
      <c r="BN139" s="2894"/>
      <c r="BO139" s="2894"/>
      <c r="BP139" s="2894"/>
      <c r="BQ139" s="2894"/>
      <c r="BR139" s="2894"/>
      <c r="BS139" s="2894"/>
      <c r="BT139" s="2894"/>
      <c r="BU139" s="2894"/>
      <c r="BV139" s="2894"/>
      <c r="BW139" s="2894"/>
      <c r="BX139" s="2894"/>
      <c r="BY139" s="2894"/>
      <c r="BZ139" s="2894"/>
      <c r="CA139" s="2894"/>
      <c r="CB139" s="2894"/>
      <c r="CC139" s="2894"/>
      <c r="CD139" s="2894"/>
      <c r="CE139" s="2894"/>
      <c r="CF139" s="2894"/>
      <c r="CG139" s="2894"/>
      <c r="CH139" s="2894"/>
      <c r="CI139" s="2894"/>
      <c r="CJ139" s="2894"/>
      <c r="CK139" s="2894"/>
      <c r="CL139" s="2894"/>
      <c r="CM139" s="2894"/>
      <c r="CN139" s="2894"/>
      <c r="CO139" s="2894"/>
      <c r="CP139" s="2894"/>
      <c r="CQ139" s="2894"/>
      <c r="CR139" s="2894"/>
      <c r="CS139" s="2894"/>
      <c r="CT139" s="2894"/>
      <c r="CU139" s="2894"/>
      <c r="CV139" s="2894"/>
      <c r="CW139" s="2894"/>
      <c r="CX139" s="2894"/>
      <c r="CY139" s="2894"/>
      <c r="CZ139" s="2894"/>
      <c r="DA139" s="2894"/>
      <c r="DB139" s="2894"/>
      <c r="DC139" s="2894"/>
      <c r="DD139" s="2894"/>
      <c r="DE139" s="2894"/>
      <c r="DF139" s="2894"/>
      <c r="DG139" s="2894"/>
      <c r="DH139" s="2894"/>
      <c r="DI139" s="2894"/>
      <c r="DJ139" s="2894"/>
      <c r="DK139" s="2894"/>
      <c r="DL139" s="2894"/>
      <c r="DM139" s="2894"/>
      <c r="DN139" s="2894"/>
      <c r="DO139" s="2894"/>
      <c r="DP139" s="2894"/>
      <c r="DQ139" s="2894"/>
      <c r="DR139" s="2894"/>
      <c r="DS139" s="2894"/>
      <c r="DT139" s="2894"/>
      <c r="DU139" s="2894"/>
      <c r="DV139" s="2894"/>
      <c r="DW139" s="2894"/>
      <c r="DX139" s="2894"/>
      <c r="DY139" s="2894"/>
      <c r="DZ139" s="2894"/>
      <c r="EA139" s="2894"/>
      <c r="EB139" s="2894"/>
      <c r="EC139" s="2894"/>
      <c r="ED139" s="2894"/>
      <c r="EE139" s="2894"/>
      <c r="EF139" s="2894"/>
      <c r="EG139" s="2894"/>
      <c r="EH139" s="2894"/>
      <c r="EI139" s="2894"/>
      <c r="EJ139" s="2894"/>
      <c r="EK139" s="2894"/>
      <c r="EL139" s="2894"/>
      <c r="EM139" s="2894"/>
      <c r="EN139" s="2894"/>
      <c r="EO139" s="2894"/>
      <c r="EP139" s="2894"/>
      <c r="EQ139" s="2894"/>
      <c r="ER139" s="2894"/>
      <c r="ES139" s="2894"/>
      <c r="ET139" s="2894"/>
      <c r="EU139" s="2894"/>
      <c r="EV139" s="2894"/>
      <c r="EW139" s="2894"/>
      <c r="EX139" s="2894"/>
      <c r="EY139" s="2894"/>
      <c r="EZ139" s="2894"/>
      <c r="FA139" s="2894"/>
      <c r="FB139" s="2894"/>
      <c r="FC139" s="2894"/>
      <c r="FD139" s="2894"/>
      <c r="FE139" s="2894"/>
      <c r="FF139" s="2894"/>
      <c r="FG139" s="2894"/>
      <c r="FH139" s="2894"/>
      <c r="FI139" s="2894"/>
      <c r="FJ139" s="2894"/>
      <c r="FK139" s="2894"/>
      <c r="FL139" s="2894"/>
      <c r="FM139" s="2894"/>
      <c r="FN139" s="155"/>
      <c r="FO139" s="155"/>
      <c r="FP139" s="155"/>
      <c r="FQ139" s="155"/>
      <c r="FR139" s="155"/>
      <c r="FS139" s="155"/>
      <c r="FT139" s="155"/>
      <c r="FU139" s="155"/>
      <c r="FV139" s="155"/>
      <c r="FW139" s="155"/>
      <c r="FX139" s="155"/>
      <c r="FY139" s="155"/>
      <c r="FZ139" s="155"/>
      <c r="GA139" s="155"/>
      <c r="GB139" s="155"/>
      <c r="GC139" s="155"/>
      <c r="GD139" s="155"/>
      <c r="GE139" s="155"/>
      <c r="GF139" s="155"/>
      <c r="GG139" s="155"/>
      <c r="GH139" s="155"/>
      <c r="GI139" s="155"/>
      <c r="GJ139" s="155"/>
      <c r="GK139" s="155"/>
    </row>
    <row r="140" spans="2:193" ht="18.75" customHeight="1" x14ac:dyDescent="0.3"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2894"/>
      <c r="AP140" s="2894"/>
      <c r="AQ140" s="2894"/>
      <c r="AR140" s="2894"/>
      <c r="AS140" s="2894"/>
      <c r="AT140" s="2894"/>
      <c r="AU140" s="2894"/>
      <c r="AV140" s="2894"/>
      <c r="AW140" s="2894"/>
      <c r="AX140" s="2894"/>
      <c r="AY140" s="2894"/>
      <c r="AZ140" s="2894"/>
      <c r="BA140" s="2894"/>
      <c r="BB140" s="2894"/>
      <c r="BC140" s="2894"/>
      <c r="BD140" s="2894"/>
      <c r="BE140" s="2894"/>
      <c r="BF140" s="2894"/>
      <c r="BG140" s="2894"/>
      <c r="BH140" s="2894"/>
      <c r="BI140" s="2894"/>
      <c r="BJ140" s="2894"/>
      <c r="BK140" s="2894"/>
      <c r="BL140" s="2894"/>
      <c r="BM140" s="2894"/>
      <c r="BN140" s="2894"/>
      <c r="BO140" s="2894"/>
      <c r="BP140" s="2894"/>
      <c r="BQ140" s="2894"/>
      <c r="BR140" s="2894"/>
      <c r="BS140" s="2894"/>
      <c r="BT140" s="2894"/>
      <c r="BU140" s="2894"/>
      <c r="BV140" s="2894"/>
      <c r="BW140" s="2894"/>
      <c r="BX140" s="2894"/>
      <c r="BY140" s="2894"/>
      <c r="BZ140" s="2894"/>
      <c r="CA140" s="2894"/>
      <c r="CB140" s="2894"/>
      <c r="CC140" s="2894"/>
      <c r="CD140" s="2894"/>
      <c r="CE140" s="2894"/>
      <c r="CF140" s="2894"/>
      <c r="CG140" s="2894"/>
      <c r="CH140" s="2894"/>
      <c r="CI140" s="2894"/>
      <c r="CJ140" s="2894"/>
      <c r="CK140" s="2894"/>
      <c r="CL140" s="2894"/>
      <c r="CM140" s="2894"/>
      <c r="CN140" s="2894"/>
      <c r="CO140" s="2894"/>
      <c r="CP140" s="2894"/>
      <c r="CQ140" s="2894"/>
      <c r="CR140" s="2894"/>
      <c r="CS140" s="2894"/>
      <c r="CT140" s="2894"/>
      <c r="CU140" s="2894"/>
      <c r="CV140" s="2894"/>
      <c r="CW140" s="2894"/>
      <c r="CX140" s="2894"/>
      <c r="CY140" s="2894"/>
      <c r="CZ140" s="2894"/>
      <c r="DA140" s="2894"/>
      <c r="DB140" s="2894"/>
      <c r="DC140" s="2894"/>
      <c r="DD140" s="2894"/>
      <c r="DE140" s="2894"/>
      <c r="DF140" s="2894"/>
      <c r="DG140" s="2894"/>
      <c r="DH140" s="2894"/>
      <c r="DI140" s="2894"/>
      <c r="DJ140" s="2894"/>
      <c r="DK140" s="2894"/>
      <c r="DL140" s="2894"/>
      <c r="DM140" s="2894"/>
      <c r="DN140" s="2894"/>
      <c r="DO140" s="2894"/>
      <c r="DP140" s="2894"/>
      <c r="DQ140" s="2894"/>
      <c r="DR140" s="2894"/>
      <c r="DS140" s="2894"/>
      <c r="DT140" s="2894"/>
      <c r="DU140" s="2894"/>
      <c r="DV140" s="2894"/>
      <c r="DW140" s="2894"/>
      <c r="DX140" s="2894"/>
      <c r="DY140" s="2894"/>
      <c r="DZ140" s="2894"/>
      <c r="EA140" s="2894"/>
      <c r="EB140" s="2894"/>
      <c r="EC140" s="2894"/>
      <c r="ED140" s="2894"/>
      <c r="EE140" s="2894"/>
      <c r="EF140" s="2894"/>
      <c r="EG140" s="2894"/>
      <c r="EH140" s="2894"/>
      <c r="EI140" s="2894"/>
      <c r="EJ140" s="2894"/>
      <c r="EK140" s="2894"/>
      <c r="EL140" s="2894"/>
      <c r="EM140" s="2894"/>
      <c r="EN140" s="2894"/>
      <c r="EO140" s="2894"/>
      <c r="EP140" s="2894"/>
      <c r="EQ140" s="2894"/>
      <c r="ER140" s="2894"/>
      <c r="ES140" s="2894"/>
      <c r="ET140" s="2894"/>
      <c r="EU140" s="2894"/>
      <c r="EV140" s="2894"/>
      <c r="EW140" s="2894"/>
      <c r="EX140" s="2894"/>
      <c r="EY140" s="2894"/>
      <c r="EZ140" s="2894"/>
      <c r="FA140" s="2894"/>
      <c r="FB140" s="2894"/>
      <c r="FC140" s="2894"/>
      <c r="FD140" s="2894"/>
      <c r="FE140" s="2894"/>
      <c r="FF140" s="2894"/>
      <c r="FG140" s="2894"/>
      <c r="FH140" s="2894"/>
      <c r="FI140" s="2894"/>
      <c r="FJ140" s="2894"/>
      <c r="FK140" s="2894"/>
      <c r="FL140" s="2894"/>
      <c r="FM140" s="2894"/>
      <c r="FN140" s="155"/>
      <c r="FO140" s="155"/>
      <c r="FP140" s="155"/>
      <c r="FQ140" s="155"/>
      <c r="FR140" s="155"/>
      <c r="FS140" s="155"/>
      <c r="FT140" s="155"/>
      <c r="FU140" s="155"/>
      <c r="FV140" s="155"/>
      <c r="FW140" s="155"/>
      <c r="FX140" s="155"/>
      <c r="FY140" s="155"/>
      <c r="FZ140" s="155"/>
      <c r="GA140" s="155"/>
      <c r="GB140" s="155"/>
      <c r="GC140" s="155"/>
      <c r="GD140" s="155"/>
      <c r="GE140" s="155"/>
      <c r="GF140" s="155"/>
      <c r="GG140" s="155"/>
      <c r="GH140" s="155"/>
      <c r="GI140" s="155"/>
      <c r="GJ140" s="155"/>
      <c r="GK140" s="155"/>
    </row>
    <row r="141" spans="2:193" ht="18.75" customHeight="1" x14ac:dyDescent="0.3"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2894"/>
      <c r="AP141" s="2894"/>
      <c r="AQ141" s="2894"/>
      <c r="AR141" s="2894"/>
      <c r="AS141" s="2894"/>
      <c r="AT141" s="2894"/>
      <c r="AU141" s="2894"/>
      <c r="AV141" s="2894"/>
      <c r="AW141" s="2894"/>
      <c r="AX141" s="2894"/>
      <c r="AY141" s="2894"/>
      <c r="AZ141" s="2894"/>
      <c r="BA141" s="2894"/>
      <c r="BB141" s="2894"/>
      <c r="BC141" s="2894"/>
      <c r="BD141" s="2894"/>
      <c r="BE141" s="2894"/>
      <c r="BF141" s="2894"/>
      <c r="BG141" s="2894"/>
      <c r="BH141" s="2894"/>
      <c r="BI141" s="2894"/>
      <c r="BJ141" s="2894"/>
      <c r="BK141" s="2894"/>
      <c r="BL141" s="2894"/>
      <c r="BM141" s="2894"/>
      <c r="BN141" s="2894"/>
      <c r="BO141" s="2894"/>
      <c r="BP141" s="2894"/>
      <c r="BQ141" s="2894"/>
      <c r="BR141" s="2894"/>
      <c r="BS141" s="2894"/>
      <c r="BT141" s="2894"/>
      <c r="BU141" s="2894"/>
      <c r="BV141" s="2894"/>
      <c r="BW141" s="2894"/>
      <c r="BX141" s="2894"/>
      <c r="BY141" s="2894"/>
      <c r="BZ141" s="2894"/>
      <c r="CA141" s="2894"/>
      <c r="CB141" s="2894"/>
      <c r="CC141" s="2894"/>
      <c r="CD141" s="2894"/>
      <c r="CE141" s="2894"/>
      <c r="CF141" s="2894"/>
      <c r="CG141" s="2894"/>
      <c r="CH141" s="2894"/>
      <c r="CI141" s="2894"/>
      <c r="CJ141" s="2894"/>
      <c r="CK141" s="2894"/>
      <c r="CL141" s="2894"/>
      <c r="CM141" s="2894"/>
      <c r="CN141" s="2894"/>
      <c r="CO141" s="2894"/>
      <c r="CP141" s="2894"/>
      <c r="CQ141" s="2894"/>
      <c r="CR141" s="2894"/>
      <c r="CS141" s="2894"/>
      <c r="CT141" s="2894"/>
      <c r="CU141" s="2894"/>
      <c r="CV141" s="2894"/>
      <c r="CW141" s="2894"/>
      <c r="CX141" s="2894"/>
      <c r="CY141" s="2894"/>
      <c r="CZ141" s="2894"/>
      <c r="DA141" s="2894"/>
      <c r="DB141" s="2894"/>
      <c r="DC141" s="2894"/>
      <c r="DD141" s="2894"/>
      <c r="DE141" s="2894"/>
      <c r="DF141" s="2894"/>
      <c r="DG141" s="2894"/>
      <c r="DH141" s="2894"/>
      <c r="DI141" s="2894"/>
      <c r="DJ141" s="2894"/>
      <c r="DK141" s="2894"/>
      <c r="DL141" s="2894"/>
      <c r="DM141" s="2894"/>
      <c r="DN141" s="2894"/>
      <c r="DO141" s="2894"/>
      <c r="DP141" s="2894"/>
      <c r="DQ141" s="2894"/>
      <c r="DR141" s="2894"/>
      <c r="DS141" s="2894"/>
      <c r="DT141" s="2894"/>
      <c r="DU141" s="2894"/>
      <c r="DV141" s="2894"/>
      <c r="DW141" s="2894"/>
      <c r="DX141" s="2894"/>
      <c r="DY141" s="2894"/>
      <c r="DZ141" s="2894"/>
      <c r="EA141" s="2894"/>
      <c r="EB141" s="2894"/>
      <c r="EC141" s="2894"/>
      <c r="ED141" s="2894"/>
      <c r="EE141" s="2894"/>
      <c r="EF141" s="2894"/>
      <c r="EG141" s="2894"/>
      <c r="EH141" s="2894"/>
      <c r="EI141" s="2894"/>
      <c r="EJ141" s="2894"/>
      <c r="EK141" s="2894"/>
      <c r="EL141" s="2894"/>
      <c r="EM141" s="2894"/>
      <c r="EN141" s="2894"/>
      <c r="EO141" s="2894"/>
      <c r="EP141" s="2894"/>
      <c r="EQ141" s="2894"/>
      <c r="ER141" s="2894"/>
      <c r="ES141" s="2894"/>
      <c r="ET141" s="2894"/>
      <c r="EU141" s="2894"/>
      <c r="EV141" s="2894"/>
      <c r="EW141" s="2894"/>
      <c r="EX141" s="2894"/>
      <c r="EY141" s="2894"/>
      <c r="EZ141" s="2894"/>
      <c r="FA141" s="2894"/>
      <c r="FB141" s="2894"/>
      <c r="FC141" s="2894"/>
      <c r="FD141" s="2894"/>
      <c r="FE141" s="2894"/>
      <c r="FF141" s="2894"/>
      <c r="FG141" s="2894"/>
      <c r="FH141" s="2894"/>
      <c r="FI141" s="2894"/>
      <c r="FJ141" s="2894"/>
      <c r="FK141" s="2894"/>
      <c r="FL141" s="2894"/>
      <c r="FM141" s="2894"/>
      <c r="FN141" s="155"/>
      <c r="FO141" s="155"/>
      <c r="FP141" s="155"/>
      <c r="FQ141" s="155"/>
      <c r="FR141" s="155"/>
      <c r="FS141" s="155"/>
      <c r="FT141" s="155"/>
      <c r="FU141" s="155"/>
      <c r="FV141" s="155"/>
      <c r="FW141" s="155"/>
      <c r="FX141" s="155"/>
      <c r="FY141" s="155"/>
      <c r="FZ141" s="155"/>
      <c r="GA141" s="155"/>
      <c r="GB141" s="155"/>
      <c r="GC141" s="155"/>
      <c r="GD141" s="155"/>
      <c r="GE141" s="155"/>
      <c r="GF141" s="155"/>
      <c r="GG141" s="155"/>
      <c r="GH141" s="155"/>
      <c r="GI141" s="155"/>
      <c r="GJ141" s="155"/>
      <c r="GK141" s="155"/>
    </row>
    <row r="142" spans="2:193" ht="18.75" customHeight="1" x14ac:dyDescent="0.3"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2894"/>
      <c r="AP142" s="2894"/>
      <c r="AQ142" s="2894"/>
      <c r="AR142" s="2894"/>
      <c r="AS142" s="2894"/>
      <c r="AT142" s="2894"/>
      <c r="AU142" s="2894"/>
      <c r="AV142" s="2894"/>
      <c r="AW142" s="2894"/>
      <c r="AX142" s="2894"/>
      <c r="AY142" s="2894"/>
      <c r="AZ142" s="2894"/>
      <c r="BA142" s="2894"/>
      <c r="BB142" s="2894"/>
      <c r="BC142" s="2894"/>
      <c r="BD142" s="2894"/>
      <c r="BE142" s="2894"/>
      <c r="BF142" s="2894"/>
      <c r="BG142" s="2894"/>
      <c r="BH142" s="2894"/>
      <c r="BI142" s="2894"/>
      <c r="BJ142" s="2894"/>
      <c r="BK142" s="2894"/>
      <c r="BL142" s="2894"/>
      <c r="BM142" s="2894"/>
      <c r="BN142" s="2894"/>
      <c r="BO142" s="2894"/>
      <c r="BP142" s="2894"/>
      <c r="BQ142" s="2894"/>
      <c r="BR142" s="2894"/>
      <c r="BS142" s="2894"/>
      <c r="BT142" s="2894"/>
      <c r="BU142" s="2894"/>
      <c r="BV142" s="2894"/>
      <c r="BW142" s="2894"/>
      <c r="BX142" s="2894"/>
      <c r="BY142" s="2894"/>
      <c r="BZ142" s="2894"/>
      <c r="CA142" s="2894"/>
      <c r="CB142" s="2894"/>
      <c r="CC142" s="2894"/>
      <c r="CD142" s="2894"/>
      <c r="CE142" s="2894"/>
      <c r="CF142" s="2894"/>
      <c r="CG142" s="2894"/>
      <c r="CH142" s="2894"/>
      <c r="CI142" s="2894"/>
      <c r="CJ142" s="2894"/>
      <c r="CK142" s="2894"/>
      <c r="CL142" s="2894"/>
      <c r="CM142" s="2894"/>
      <c r="CN142" s="2894"/>
      <c r="CO142" s="2894"/>
      <c r="CP142" s="2894"/>
      <c r="CQ142" s="2894"/>
      <c r="CR142" s="2894"/>
      <c r="CS142" s="2894"/>
      <c r="CT142" s="2894"/>
      <c r="CU142" s="2894"/>
      <c r="CV142" s="2894"/>
      <c r="CW142" s="2894"/>
      <c r="CX142" s="2894"/>
      <c r="CY142" s="2894"/>
      <c r="CZ142" s="2894"/>
      <c r="DA142" s="2894"/>
      <c r="DB142" s="2894"/>
      <c r="DC142" s="2894"/>
      <c r="DD142" s="2894"/>
      <c r="DE142" s="2894"/>
      <c r="DF142" s="2894"/>
      <c r="DG142" s="2894"/>
      <c r="DH142" s="2894"/>
      <c r="DI142" s="2894"/>
      <c r="DJ142" s="2894"/>
      <c r="DK142" s="2894"/>
      <c r="DL142" s="2894"/>
      <c r="DM142" s="2894"/>
      <c r="DN142" s="2894"/>
      <c r="DO142" s="2894"/>
      <c r="DP142" s="2894"/>
      <c r="DQ142" s="2894"/>
      <c r="DR142" s="2894"/>
      <c r="DS142" s="2894"/>
      <c r="DT142" s="2894"/>
      <c r="DU142" s="2894"/>
      <c r="DV142" s="2894"/>
      <c r="DW142" s="2894"/>
      <c r="DX142" s="2894"/>
      <c r="DY142" s="2894"/>
      <c r="DZ142" s="2894"/>
      <c r="EA142" s="2894"/>
      <c r="EB142" s="2894"/>
      <c r="EC142" s="2894"/>
      <c r="ED142" s="2894"/>
      <c r="EE142" s="2894"/>
      <c r="EF142" s="2894"/>
      <c r="EG142" s="2894"/>
      <c r="EH142" s="2894"/>
      <c r="EI142" s="2894"/>
      <c r="EJ142" s="2894"/>
      <c r="EK142" s="2894"/>
      <c r="EL142" s="2894"/>
      <c r="EM142" s="2894"/>
      <c r="EN142" s="2894"/>
      <c r="EO142" s="2894"/>
      <c r="EP142" s="2894"/>
      <c r="EQ142" s="2894"/>
      <c r="ER142" s="2894"/>
      <c r="ES142" s="2894"/>
      <c r="ET142" s="2894"/>
      <c r="EU142" s="2894"/>
      <c r="EV142" s="2894"/>
      <c r="EW142" s="2894"/>
      <c r="EX142" s="2894"/>
      <c r="EY142" s="2894"/>
      <c r="EZ142" s="2894"/>
      <c r="FA142" s="2894"/>
      <c r="FB142" s="2894"/>
      <c r="FC142" s="2894"/>
      <c r="FD142" s="2894"/>
      <c r="FE142" s="2894"/>
      <c r="FF142" s="2894"/>
      <c r="FG142" s="2894"/>
      <c r="FH142" s="2894"/>
      <c r="FI142" s="2894"/>
      <c r="FJ142" s="2894"/>
      <c r="FK142" s="2894"/>
      <c r="FL142" s="2894"/>
      <c r="FM142" s="2894"/>
      <c r="FN142" s="155"/>
      <c r="FO142" s="155"/>
      <c r="FP142" s="155"/>
      <c r="FQ142" s="155"/>
      <c r="FR142" s="155"/>
      <c r="FS142" s="155"/>
      <c r="FT142" s="155"/>
      <c r="FU142" s="155"/>
      <c r="FV142" s="155"/>
      <c r="FW142" s="155"/>
      <c r="FX142" s="155"/>
      <c r="FY142" s="155"/>
      <c r="FZ142" s="155"/>
      <c r="GA142" s="155"/>
      <c r="GB142" s="155"/>
      <c r="GC142" s="155"/>
      <c r="GD142" s="155"/>
      <c r="GE142" s="155"/>
      <c r="GF142" s="155"/>
      <c r="GG142" s="155"/>
      <c r="GH142" s="155"/>
      <c r="GI142" s="155"/>
      <c r="GJ142" s="155"/>
      <c r="GK142" s="155"/>
    </row>
    <row r="143" spans="2:193" ht="18.75" customHeight="1" x14ac:dyDescent="0.3"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2894"/>
      <c r="AP143" s="2894"/>
      <c r="AQ143" s="2894"/>
      <c r="AR143" s="2894"/>
      <c r="AS143" s="2894"/>
      <c r="AT143" s="2894"/>
      <c r="AU143" s="2894"/>
      <c r="AV143" s="2894"/>
      <c r="AW143" s="2894"/>
      <c r="AX143" s="2894"/>
      <c r="AY143" s="2894"/>
      <c r="AZ143" s="2894"/>
      <c r="BA143" s="2894"/>
      <c r="BB143" s="2894"/>
      <c r="BC143" s="2894"/>
      <c r="BD143" s="2894"/>
      <c r="BE143" s="2894"/>
      <c r="BF143" s="2894"/>
      <c r="BG143" s="2894"/>
      <c r="BH143" s="2894"/>
      <c r="BI143" s="2894"/>
      <c r="BJ143" s="2894"/>
      <c r="BK143" s="2894"/>
      <c r="BL143" s="2894"/>
      <c r="BM143" s="2894"/>
      <c r="BN143" s="2894"/>
      <c r="BO143" s="2894"/>
      <c r="BP143" s="2894"/>
      <c r="BQ143" s="2894"/>
      <c r="BR143" s="2894"/>
      <c r="BS143" s="2894"/>
      <c r="BT143" s="2894"/>
      <c r="BU143" s="2894"/>
      <c r="BV143" s="2894"/>
      <c r="BW143" s="2894"/>
      <c r="BX143" s="2894"/>
      <c r="BY143" s="2894"/>
      <c r="BZ143" s="2894"/>
      <c r="CA143" s="2894"/>
      <c r="CB143" s="2894"/>
      <c r="CC143" s="2894"/>
      <c r="CD143" s="2894"/>
      <c r="CE143" s="2894"/>
      <c r="CF143" s="2894"/>
      <c r="CG143" s="2894"/>
      <c r="CH143" s="2894"/>
      <c r="CI143" s="2894"/>
      <c r="CJ143" s="2894"/>
      <c r="CK143" s="2894"/>
      <c r="CL143" s="2894"/>
      <c r="CM143" s="2894"/>
      <c r="CN143" s="2894"/>
      <c r="CO143" s="2894"/>
      <c r="CP143" s="2894"/>
      <c r="CQ143" s="2894"/>
      <c r="CR143" s="2894"/>
      <c r="CS143" s="2894"/>
      <c r="CT143" s="2894"/>
      <c r="CU143" s="2894"/>
      <c r="CV143" s="2894"/>
      <c r="CW143" s="2894"/>
      <c r="CX143" s="2894"/>
      <c r="CY143" s="2894"/>
      <c r="CZ143" s="2894"/>
      <c r="DA143" s="2894"/>
      <c r="DB143" s="2894"/>
      <c r="DC143" s="2894"/>
      <c r="DD143" s="2894"/>
      <c r="DE143" s="2894"/>
      <c r="DF143" s="2894"/>
      <c r="DG143" s="2894"/>
      <c r="DH143" s="2894"/>
      <c r="DI143" s="2894"/>
      <c r="DJ143" s="2894"/>
      <c r="DK143" s="2894"/>
      <c r="DL143" s="2894"/>
      <c r="DM143" s="2894"/>
      <c r="DN143" s="2894"/>
      <c r="DO143" s="2894"/>
      <c r="DP143" s="2894"/>
      <c r="DQ143" s="2894"/>
      <c r="DR143" s="2894"/>
      <c r="DS143" s="2894"/>
      <c r="DT143" s="2894"/>
      <c r="DU143" s="2894"/>
      <c r="DV143" s="2894"/>
      <c r="DW143" s="2894"/>
      <c r="DX143" s="2894"/>
      <c r="DY143" s="2894"/>
      <c r="DZ143" s="2894"/>
      <c r="EA143" s="2894"/>
      <c r="EB143" s="2894"/>
      <c r="EC143" s="2894"/>
      <c r="ED143" s="2894"/>
      <c r="EE143" s="2894"/>
      <c r="EF143" s="2894"/>
      <c r="EG143" s="2894"/>
      <c r="EH143" s="2894"/>
      <c r="EI143" s="2894"/>
      <c r="EJ143" s="2894"/>
      <c r="EK143" s="2894"/>
      <c r="EL143" s="2894"/>
      <c r="EM143" s="2894"/>
      <c r="EN143" s="2894"/>
      <c r="EO143" s="2894"/>
      <c r="EP143" s="2894"/>
      <c r="EQ143" s="2894"/>
      <c r="ER143" s="2894"/>
      <c r="ES143" s="2894"/>
      <c r="ET143" s="2894"/>
      <c r="EU143" s="2894"/>
      <c r="EV143" s="2894"/>
      <c r="EW143" s="2894"/>
      <c r="EX143" s="2894"/>
      <c r="EY143" s="2894"/>
      <c r="EZ143" s="2894"/>
      <c r="FA143" s="2894"/>
      <c r="FB143" s="2894"/>
      <c r="FC143" s="2894"/>
      <c r="FD143" s="2894"/>
      <c r="FE143" s="2894"/>
      <c r="FF143" s="2894"/>
      <c r="FG143" s="2894"/>
      <c r="FH143" s="2894"/>
      <c r="FI143" s="2894"/>
      <c r="FJ143" s="2894"/>
      <c r="FK143" s="2894"/>
      <c r="FL143" s="2894"/>
      <c r="FM143" s="2894"/>
      <c r="FN143" s="155"/>
      <c r="FO143" s="155"/>
      <c r="FP143" s="155"/>
      <c r="FQ143" s="155"/>
      <c r="FR143" s="155"/>
      <c r="FS143" s="155"/>
      <c r="FT143" s="155"/>
      <c r="FU143" s="155"/>
      <c r="FV143" s="155"/>
      <c r="FW143" s="155"/>
      <c r="FX143" s="155"/>
      <c r="FY143" s="155"/>
      <c r="FZ143" s="155"/>
      <c r="GA143" s="155"/>
      <c r="GB143" s="155"/>
      <c r="GC143" s="155"/>
      <c r="GD143" s="155"/>
      <c r="GE143" s="155"/>
      <c r="GF143" s="155"/>
      <c r="GG143" s="155"/>
      <c r="GH143" s="155"/>
      <c r="GI143" s="155"/>
      <c r="GJ143" s="155"/>
      <c r="GK143" s="155"/>
    </row>
    <row r="144" spans="2:193" ht="18.75" customHeight="1" x14ac:dyDescent="0.3"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2894"/>
      <c r="AP144" s="2894"/>
      <c r="AQ144" s="2894"/>
      <c r="AR144" s="2894"/>
      <c r="AS144" s="2894"/>
      <c r="AT144" s="2894"/>
      <c r="AU144" s="2894"/>
      <c r="AV144" s="2894"/>
      <c r="AW144" s="2894"/>
      <c r="AX144" s="2894"/>
      <c r="AY144" s="2894"/>
      <c r="AZ144" s="2894"/>
      <c r="BA144" s="2894"/>
      <c r="BB144" s="2894"/>
      <c r="BC144" s="2894"/>
      <c r="BD144" s="2894"/>
      <c r="BE144" s="2894"/>
      <c r="BF144" s="2894"/>
      <c r="BG144" s="2894"/>
      <c r="BH144" s="2894"/>
      <c r="BI144" s="2894"/>
      <c r="BJ144" s="2894"/>
      <c r="BK144" s="2894"/>
      <c r="BL144" s="2894"/>
      <c r="BM144" s="2894"/>
      <c r="BN144" s="2894"/>
      <c r="BO144" s="2894"/>
      <c r="BP144" s="2894"/>
      <c r="BQ144" s="2894"/>
      <c r="BR144" s="2894"/>
      <c r="BS144" s="2894"/>
      <c r="BT144" s="2894"/>
      <c r="BU144" s="2894"/>
      <c r="BV144" s="2894"/>
      <c r="BW144" s="2894"/>
      <c r="BX144" s="2894"/>
      <c r="BY144" s="2894"/>
      <c r="BZ144" s="2894"/>
      <c r="CA144" s="2894"/>
      <c r="CB144" s="2894"/>
      <c r="CC144" s="2894"/>
      <c r="CD144" s="2894"/>
      <c r="CE144" s="2894"/>
      <c r="CF144" s="2894"/>
      <c r="CG144" s="2894"/>
      <c r="CH144" s="2894"/>
      <c r="CI144" s="2894"/>
      <c r="CJ144" s="2894"/>
      <c r="CK144" s="2894"/>
      <c r="CL144" s="2894"/>
      <c r="CM144" s="2894"/>
      <c r="CN144" s="2894"/>
      <c r="CO144" s="2894"/>
      <c r="CP144" s="2894"/>
      <c r="CQ144" s="2894"/>
      <c r="CR144" s="2894"/>
      <c r="CS144" s="2894"/>
      <c r="CT144" s="2894"/>
      <c r="CU144" s="2894"/>
      <c r="CV144" s="2894"/>
      <c r="CW144" s="2894"/>
      <c r="CX144" s="2894"/>
      <c r="CY144" s="2894"/>
      <c r="CZ144" s="2894"/>
      <c r="DA144" s="2894"/>
      <c r="DB144" s="2894"/>
      <c r="DC144" s="2894"/>
      <c r="DD144" s="2894"/>
      <c r="DE144" s="2894"/>
      <c r="DF144" s="2894"/>
      <c r="DG144" s="2894"/>
      <c r="DH144" s="2894"/>
      <c r="DI144" s="2894"/>
      <c r="DJ144" s="2894"/>
      <c r="DK144" s="2894"/>
      <c r="DL144" s="2894"/>
      <c r="DM144" s="2894"/>
      <c r="DN144" s="2894"/>
      <c r="DO144" s="2894"/>
      <c r="DP144" s="2894"/>
      <c r="DQ144" s="2894"/>
      <c r="DR144" s="2894"/>
      <c r="DS144" s="2894"/>
      <c r="DT144" s="2894"/>
      <c r="DU144" s="2894"/>
      <c r="DV144" s="2894"/>
      <c r="DW144" s="2894"/>
      <c r="DX144" s="2894"/>
      <c r="DY144" s="2894"/>
      <c r="DZ144" s="2894"/>
      <c r="EA144" s="2894"/>
      <c r="EB144" s="2894"/>
      <c r="EC144" s="2894"/>
      <c r="ED144" s="2894"/>
      <c r="EE144" s="2894"/>
      <c r="EF144" s="2894"/>
      <c r="EG144" s="2894"/>
      <c r="EH144" s="2894"/>
      <c r="EI144" s="2894"/>
      <c r="EJ144" s="2894"/>
      <c r="EK144" s="2894"/>
      <c r="EL144" s="2894"/>
      <c r="EM144" s="2894"/>
      <c r="EN144" s="2894"/>
      <c r="EO144" s="2894"/>
      <c r="EP144" s="2894"/>
      <c r="EQ144" s="2894"/>
      <c r="ER144" s="2894"/>
      <c r="ES144" s="2894"/>
      <c r="ET144" s="2894"/>
      <c r="EU144" s="2894"/>
      <c r="EV144" s="2894"/>
      <c r="EW144" s="2894"/>
      <c r="EX144" s="2894"/>
      <c r="EY144" s="2894"/>
      <c r="EZ144" s="2894"/>
      <c r="FA144" s="2894"/>
      <c r="FB144" s="2894"/>
      <c r="FC144" s="2894"/>
      <c r="FD144" s="2894"/>
      <c r="FE144" s="2894"/>
      <c r="FF144" s="2894"/>
      <c r="FG144" s="2894"/>
      <c r="FH144" s="2894"/>
      <c r="FI144" s="2894"/>
      <c r="FJ144" s="2894"/>
      <c r="FK144" s="2894"/>
      <c r="FL144" s="2894"/>
      <c r="FM144" s="2894"/>
      <c r="FN144" s="155"/>
      <c r="FO144" s="155"/>
      <c r="FP144" s="155"/>
      <c r="FQ144" s="155"/>
      <c r="FR144" s="155"/>
      <c r="FS144" s="155"/>
      <c r="FT144" s="155"/>
      <c r="FU144" s="155"/>
      <c r="FV144" s="155"/>
      <c r="FW144" s="155"/>
      <c r="FX144" s="155"/>
      <c r="FY144" s="155"/>
      <c r="FZ144" s="155"/>
      <c r="GA144" s="155"/>
      <c r="GB144" s="155"/>
      <c r="GC144" s="155"/>
      <c r="GD144" s="155"/>
      <c r="GE144" s="155"/>
      <c r="GF144" s="155"/>
      <c r="GG144" s="155"/>
      <c r="GH144" s="155"/>
      <c r="GI144" s="155"/>
      <c r="GJ144" s="155"/>
      <c r="GK144" s="155"/>
    </row>
    <row r="145" spans="2:193" ht="18.75" customHeight="1" x14ac:dyDescent="0.3"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  <c r="AC145" s="155"/>
      <c r="AD145" s="155"/>
      <c r="AE145" s="155"/>
      <c r="AF145" s="155"/>
      <c r="AG145" s="155"/>
      <c r="AH145" s="155"/>
      <c r="AI145" s="155"/>
      <c r="AJ145" s="155"/>
      <c r="AK145" s="155"/>
      <c r="AL145" s="155"/>
      <c r="AM145" s="155"/>
      <c r="AN145" s="155"/>
      <c r="AO145" s="2894"/>
      <c r="AP145" s="2894"/>
      <c r="AQ145" s="2894"/>
      <c r="AR145" s="2894"/>
      <c r="AS145" s="2894"/>
      <c r="AT145" s="2894"/>
      <c r="AU145" s="2894"/>
      <c r="AV145" s="2894"/>
      <c r="AW145" s="2894"/>
      <c r="AX145" s="2894"/>
      <c r="AY145" s="2894"/>
      <c r="AZ145" s="2894"/>
      <c r="BA145" s="2894"/>
      <c r="BB145" s="2894"/>
      <c r="BC145" s="2894"/>
      <c r="BD145" s="2894"/>
      <c r="BE145" s="2894"/>
      <c r="BF145" s="2894"/>
      <c r="BG145" s="2894"/>
      <c r="BH145" s="2894"/>
      <c r="BI145" s="2894"/>
      <c r="BJ145" s="2894"/>
      <c r="BK145" s="2894"/>
      <c r="BL145" s="2894"/>
      <c r="BM145" s="2894"/>
      <c r="BN145" s="2894"/>
      <c r="BO145" s="2894"/>
      <c r="BP145" s="2894"/>
      <c r="BQ145" s="2894"/>
      <c r="BR145" s="2894"/>
      <c r="BS145" s="2894"/>
      <c r="BT145" s="2894"/>
      <c r="BU145" s="2894"/>
      <c r="BV145" s="2894"/>
      <c r="BW145" s="2894"/>
      <c r="BX145" s="2894"/>
      <c r="BY145" s="2894"/>
      <c r="BZ145" s="2894"/>
      <c r="CA145" s="2894"/>
      <c r="CB145" s="2894"/>
      <c r="CC145" s="2894"/>
      <c r="CD145" s="2894"/>
      <c r="CE145" s="2894"/>
      <c r="CF145" s="2894"/>
      <c r="CG145" s="2894"/>
      <c r="CH145" s="2894"/>
      <c r="CI145" s="2894"/>
      <c r="CJ145" s="2894"/>
      <c r="CK145" s="2894"/>
      <c r="CL145" s="2894"/>
      <c r="CM145" s="2894"/>
      <c r="CN145" s="2894"/>
      <c r="CO145" s="2894"/>
      <c r="CP145" s="2894"/>
      <c r="CQ145" s="2894"/>
      <c r="CR145" s="2894"/>
      <c r="CS145" s="2894"/>
      <c r="CT145" s="2894"/>
      <c r="CU145" s="2894"/>
      <c r="CV145" s="2894"/>
      <c r="CW145" s="2894"/>
      <c r="CX145" s="2894"/>
      <c r="CY145" s="2894"/>
      <c r="CZ145" s="2894"/>
      <c r="DA145" s="2894"/>
      <c r="DB145" s="2894"/>
      <c r="DC145" s="2894"/>
      <c r="DD145" s="2894"/>
      <c r="DE145" s="2894"/>
      <c r="DF145" s="2894"/>
      <c r="DG145" s="2894"/>
      <c r="DH145" s="2894"/>
      <c r="DI145" s="2894"/>
      <c r="DJ145" s="2894"/>
      <c r="DK145" s="2894"/>
      <c r="DL145" s="2894"/>
      <c r="DM145" s="2894"/>
      <c r="DN145" s="2894"/>
      <c r="DO145" s="2894"/>
      <c r="DP145" s="2894"/>
      <c r="DQ145" s="2894"/>
      <c r="DR145" s="2894"/>
      <c r="DS145" s="2894"/>
      <c r="DT145" s="2894"/>
      <c r="DU145" s="2894"/>
      <c r="DV145" s="2894"/>
      <c r="DW145" s="2894"/>
      <c r="DX145" s="2894"/>
      <c r="DY145" s="2894"/>
      <c r="DZ145" s="2894"/>
      <c r="EA145" s="2894"/>
      <c r="EB145" s="2894"/>
      <c r="EC145" s="2894"/>
      <c r="ED145" s="2894"/>
      <c r="EE145" s="2894"/>
      <c r="EF145" s="2894"/>
      <c r="EG145" s="2894"/>
      <c r="EH145" s="2894"/>
      <c r="EI145" s="2894"/>
      <c r="EJ145" s="2894"/>
      <c r="EK145" s="2894"/>
      <c r="EL145" s="2894"/>
      <c r="EM145" s="2894"/>
      <c r="EN145" s="2894"/>
      <c r="EO145" s="2894"/>
      <c r="EP145" s="2894"/>
      <c r="EQ145" s="2894"/>
      <c r="ER145" s="2894"/>
      <c r="ES145" s="2894"/>
      <c r="ET145" s="2894"/>
      <c r="EU145" s="2894"/>
      <c r="EV145" s="2894"/>
      <c r="EW145" s="2894"/>
      <c r="EX145" s="2894"/>
      <c r="EY145" s="2894"/>
      <c r="EZ145" s="2894"/>
      <c r="FA145" s="2894"/>
      <c r="FB145" s="2894"/>
      <c r="FC145" s="2894"/>
      <c r="FD145" s="2894"/>
      <c r="FE145" s="2894"/>
      <c r="FF145" s="2894"/>
      <c r="FG145" s="2894"/>
      <c r="FH145" s="2894"/>
      <c r="FI145" s="2894"/>
      <c r="FJ145" s="2894"/>
      <c r="FK145" s="2894"/>
      <c r="FL145" s="2894"/>
      <c r="FM145" s="2894"/>
      <c r="FN145" s="155"/>
      <c r="FO145" s="155"/>
      <c r="FP145" s="155"/>
      <c r="FQ145" s="155"/>
      <c r="FR145" s="155"/>
      <c r="FS145" s="155"/>
      <c r="FT145" s="155"/>
      <c r="FU145" s="155"/>
      <c r="FV145" s="155"/>
      <c r="FW145" s="155"/>
      <c r="FX145" s="155"/>
      <c r="FY145" s="155"/>
      <c r="FZ145" s="155"/>
      <c r="GA145" s="155"/>
      <c r="GB145" s="155"/>
      <c r="GC145" s="155"/>
      <c r="GD145" s="155"/>
      <c r="GE145" s="155"/>
      <c r="GF145" s="155"/>
      <c r="GG145" s="155"/>
      <c r="GH145" s="155"/>
      <c r="GI145" s="155"/>
      <c r="GJ145" s="155"/>
      <c r="GK145" s="155"/>
    </row>
    <row r="146" spans="2:193" ht="18.75" customHeight="1" x14ac:dyDescent="0.3">
      <c r="AO146" s="389"/>
      <c r="AP146" s="389"/>
      <c r="AQ146" s="389"/>
      <c r="AR146" s="389"/>
      <c r="AS146" s="389"/>
      <c r="AT146" s="389"/>
      <c r="AU146" s="389"/>
      <c r="AV146" s="389"/>
      <c r="AW146" s="389"/>
      <c r="AX146" s="389"/>
      <c r="AY146" s="389"/>
      <c r="AZ146" s="389"/>
      <c r="BA146" s="389"/>
      <c r="BB146" s="389"/>
      <c r="BC146" s="389"/>
      <c r="BD146" s="389"/>
      <c r="BE146" s="389"/>
      <c r="BF146" s="389"/>
      <c r="BG146" s="389"/>
      <c r="BH146" s="389"/>
      <c r="BI146" s="389"/>
      <c r="BJ146" s="389"/>
      <c r="BK146" s="389"/>
      <c r="BL146" s="389"/>
      <c r="BM146" s="389"/>
      <c r="BN146" s="389"/>
      <c r="BO146" s="389"/>
      <c r="BP146" s="389"/>
      <c r="BQ146" s="389"/>
      <c r="BR146" s="389"/>
      <c r="BS146" s="389"/>
      <c r="BT146" s="389"/>
      <c r="BU146" s="389"/>
      <c r="BV146" s="389"/>
      <c r="BW146" s="389"/>
      <c r="BX146" s="389"/>
      <c r="BY146" s="389"/>
      <c r="BZ146" s="389"/>
      <c r="CA146" s="389"/>
      <c r="CB146" s="389"/>
      <c r="CC146" s="389"/>
      <c r="CD146" s="389"/>
      <c r="CE146" s="389"/>
      <c r="CF146" s="389"/>
      <c r="CG146" s="389"/>
      <c r="CH146" s="389"/>
      <c r="CI146" s="389"/>
      <c r="CJ146" s="389"/>
      <c r="CK146" s="389"/>
      <c r="CL146" s="389"/>
      <c r="CM146" s="389"/>
      <c r="CN146" s="389"/>
      <c r="CO146" s="389"/>
      <c r="CP146" s="389"/>
      <c r="CQ146" s="389"/>
      <c r="CR146" s="389"/>
      <c r="CS146" s="389"/>
      <c r="CT146" s="389"/>
      <c r="CU146" s="389"/>
      <c r="CV146" s="389"/>
      <c r="CW146" s="389"/>
      <c r="CX146" s="389"/>
      <c r="CY146" s="389"/>
      <c r="CZ146" s="389"/>
      <c r="DA146" s="389"/>
      <c r="DB146" s="389"/>
      <c r="DC146" s="389"/>
      <c r="DD146" s="389"/>
      <c r="DE146" s="389"/>
      <c r="DF146" s="389"/>
      <c r="DG146" s="389"/>
      <c r="DH146" s="389"/>
      <c r="DI146" s="389"/>
      <c r="DJ146" s="389"/>
      <c r="DK146" s="389"/>
      <c r="DL146" s="389"/>
      <c r="DM146" s="389"/>
      <c r="DN146" s="389"/>
      <c r="DO146" s="389"/>
      <c r="DP146" s="389"/>
      <c r="DQ146" s="389"/>
      <c r="DR146" s="389"/>
      <c r="DS146" s="389"/>
      <c r="DT146" s="389"/>
      <c r="DU146" s="389"/>
      <c r="DV146" s="389"/>
      <c r="DW146" s="389"/>
      <c r="DX146" s="389"/>
      <c r="DY146" s="389"/>
      <c r="DZ146" s="389"/>
      <c r="EA146" s="389"/>
      <c r="EB146" s="389"/>
      <c r="EC146" s="389"/>
      <c r="ED146" s="389"/>
      <c r="EE146" s="389"/>
      <c r="EF146" s="389"/>
      <c r="EG146" s="389"/>
      <c r="EH146" s="389"/>
      <c r="EI146" s="389"/>
      <c r="EJ146" s="389"/>
      <c r="EK146" s="389"/>
      <c r="EL146" s="389"/>
      <c r="EM146" s="389"/>
      <c r="EN146" s="389"/>
      <c r="EO146" s="389"/>
      <c r="EP146" s="389"/>
      <c r="EQ146" s="389"/>
      <c r="ER146" s="389"/>
      <c r="ES146" s="389"/>
      <c r="ET146" s="389"/>
      <c r="EU146" s="389"/>
      <c r="EV146" s="389"/>
      <c r="EW146" s="389"/>
      <c r="EX146" s="389"/>
      <c r="EY146" s="389"/>
      <c r="EZ146" s="389"/>
      <c r="FA146" s="389"/>
      <c r="FB146" s="389"/>
      <c r="FC146" s="389"/>
      <c r="FD146" s="389"/>
      <c r="FE146" s="389"/>
      <c r="FF146" s="389"/>
      <c r="FG146" s="389"/>
      <c r="FH146" s="389"/>
      <c r="FI146" s="389"/>
      <c r="FJ146" s="389"/>
      <c r="FK146" s="389"/>
      <c r="FL146" s="389"/>
      <c r="FM146" s="389"/>
    </row>
    <row r="147" spans="2:193" ht="18.75" customHeight="1" x14ac:dyDescent="0.3">
      <c r="AO147" s="389"/>
      <c r="AP147" s="389"/>
      <c r="AQ147" s="389"/>
      <c r="AR147" s="389"/>
      <c r="AS147" s="389"/>
      <c r="AT147" s="389"/>
      <c r="AU147" s="389"/>
      <c r="AV147" s="389"/>
      <c r="AW147" s="389"/>
      <c r="AX147" s="389"/>
      <c r="AY147" s="389"/>
      <c r="AZ147" s="389"/>
      <c r="BA147" s="389"/>
      <c r="BB147" s="389"/>
      <c r="BC147" s="389"/>
      <c r="BD147" s="389"/>
      <c r="BE147" s="389"/>
      <c r="BF147" s="389"/>
      <c r="BG147" s="389"/>
      <c r="BH147" s="389"/>
      <c r="BI147" s="389"/>
      <c r="BJ147" s="389"/>
      <c r="BK147" s="389"/>
      <c r="BL147" s="389"/>
      <c r="BM147" s="389"/>
      <c r="BN147" s="389"/>
      <c r="BO147" s="389"/>
      <c r="BP147" s="389"/>
      <c r="BQ147" s="389"/>
      <c r="BR147" s="389"/>
      <c r="BS147" s="389"/>
      <c r="BT147" s="389"/>
      <c r="BU147" s="389"/>
      <c r="BV147" s="389"/>
      <c r="BW147" s="389"/>
      <c r="BX147" s="389"/>
      <c r="BY147" s="389"/>
      <c r="BZ147" s="389"/>
      <c r="CA147" s="389"/>
      <c r="CB147" s="389"/>
      <c r="CC147" s="389"/>
      <c r="CD147" s="389"/>
      <c r="CE147" s="389"/>
      <c r="CF147" s="389"/>
      <c r="CG147" s="389"/>
      <c r="CH147" s="389"/>
      <c r="CI147" s="389"/>
      <c r="CJ147" s="389"/>
      <c r="CK147" s="389"/>
      <c r="CL147" s="389"/>
      <c r="CM147" s="389"/>
      <c r="CN147" s="389"/>
      <c r="CO147" s="389"/>
      <c r="CP147" s="389"/>
      <c r="CQ147" s="389"/>
      <c r="CR147" s="389"/>
      <c r="CS147" s="389"/>
      <c r="CT147" s="389"/>
      <c r="CU147" s="389"/>
      <c r="CV147" s="389"/>
      <c r="CW147" s="389"/>
      <c r="CX147" s="389"/>
      <c r="CY147" s="389"/>
      <c r="CZ147" s="389"/>
      <c r="DA147" s="389"/>
      <c r="DB147" s="389"/>
      <c r="DC147" s="389"/>
      <c r="DD147" s="389"/>
      <c r="DE147" s="389"/>
      <c r="DF147" s="389"/>
      <c r="DG147" s="389"/>
      <c r="DH147" s="389"/>
      <c r="DI147" s="389"/>
      <c r="DJ147" s="389"/>
      <c r="DK147" s="389"/>
      <c r="DL147" s="389"/>
      <c r="DM147" s="389"/>
      <c r="DN147" s="389"/>
      <c r="DO147" s="389"/>
      <c r="DP147" s="389"/>
      <c r="DQ147" s="389"/>
      <c r="DR147" s="389"/>
      <c r="DS147" s="389"/>
      <c r="DT147" s="389"/>
      <c r="DU147" s="389"/>
      <c r="DV147" s="389"/>
      <c r="DW147" s="389"/>
      <c r="DX147" s="389"/>
      <c r="DY147" s="389"/>
      <c r="DZ147" s="389"/>
      <c r="EA147" s="389"/>
      <c r="EB147" s="389"/>
      <c r="EC147" s="389"/>
      <c r="ED147" s="389"/>
      <c r="EE147" s="389"/>
      <c r="EF147" s="389"/>
      <c r="EG147" s="389"/>
      <c r="EH147" s="389"/>
      <c r="EI147" s="389"/>
      <c r="EJ147" s="389"/>
      <c r="EK147" s="389"/>
      <c r="EL147" s="389"/>
      <c r="EM147" s="389"/>
      <c r="EN147" s="389"/>
      <c r="EO147" s="389"/>
      <c r="EP147" s="389"/>
      <c r="EQ147" s="389"/>
      <c r="ER147" s="389"/>
      <c r="ES147" s="389"/>
      <c r="ET147" s="389"/>
      <c r="EU147" s="389"/>
      <c r="EV147" s="389"/>
      <c r="EW147" s="389"/>
      <c r="EX147" s="389"/>
      <c r="EY147" s="389"/>
      <c r="EZ147" s="389"/>
      <c r="FA147" s="389"/>
      <c r="FB147" s="389"/>
      <c r="FC147" s="389"/>
      <c r="FD147" s="389"/>
      <c r="FE147" s="389"/>
      <c r="FF147" s="389"/>
      <c r="FG147" s="389"/>
      <c r="FH147" s="389"/>
      <c r="FI147" s="389"/>
      <c r="FJ147" s="389"/>
      <c r="FK147" s="389"/>
      <c r="FL147" s="389"/>
      <c r="FM147" s="389"/>
    </row>
    <row r="148" spans="2:193" ht="18.75" customHeight="1" x14ac:dyDescent="0.3">
      <c r="AO148" s="389"/>
      <c r="AP148" s="389"/>
      <c r="AQ148" s="389"/>
      <c r="AR148" s="389"/>
      <c r="AS148" s="389"/>
      <c r="AT148" s="389"/>
      <c r="AU148" s="389"/>
      <c r="AV148" s="389"/>
      <c r="AW148" s="389"/>
      <c r="AX148" s="389"/>
      <c r="AY148" s="389"/>
      <c r="AZ148" s="389"/>
      <c r="BA148" s="389"/>
      <c r="BB148" s="389"/>
      <c r="BC148" s="389"/>
      <c r="BD148" s="389"/>
      <c r="BE148" s="389"/>
      <c r="BF148" s="389"/>
      <c r="BG148" s="389"/>
      <c r="BH148" s="389"/>
      <c r="BI148" s="389"/>
      <c r="BJ148" s="389"/>
      <c r="BK148" s="389"/>
      <c r="BL148" s="389"/>
      <c r="BM148" s="389"/>
      <c r="BN148" s="389"/>
      <c r="BO148" s="389"/>
      <c r="BP148" s="389"/>
      <c r="BQ148" s="389"/>
      <c r="BR148" s="389"/>
      <c r="BS148" s="389"/>
      <c r="BT148" s="389"/>
      <c r="BU148" s="389"/>
      <c r="BV148" s="389"/>
      <c r="BW148" s="389"/>
      <c r="BX148" s="389"/>
      <c r="BY148" s="389"/>
      <c r="BZ148" s="389"/>
      <c r="CA148" s="389"/>
      <c r="CB148" s="389"/>
      <c r="CC148" s="389"/>
      <c r="CD148" s="389"/>
      <c r="CE148" s="389"/>
      <c r="CF148" s="389"/>
      <c r="CG148" s="389"/>
      <c r="CH148" s="389"/>
      <c r="CI148" s="389"/>
      <c r="CJ148" s="389"/>
      <c r="CK148" s="389"/>
      <c r="CL148" s="389"/>
      <c r="CM148" s="389"/>
      <c r="CN148" s="389"/>
      <c r="CO148" s="389"/>
      <c r="CP148" s="389"/>
      <c r="CQ148" s="389"/>
      <c r="CR148" s="389"/>
      <c r="CS148" s="389"/>
      <c r="CT148" s="389"/>
      <c r="CU148" s="389"/>
      <c r="CV148" s="389"/>
      <c r="CW148" s="389"/>
      <c r="CX148" s="389"/>
      <c r="CY148" s="389"/>
      <c r="CZ148" s="389"/>
      <c r="DA148" s="389"/>
      <c r="DB148" s="389"/>
      <c r="DC148" s="389"/>
      <c r="DD148" s="389"/>
      <c r="DE148" s="389"/>
      <c r="DF148" s="389"/>
      <c r="DG148" s="389"/>
      <c r="DH148" s="389"/>
      <c r="DI148" s="389"/>
      <c r="DJ148" s="389"/>
      <c r="DK148" s="389"/>
      <c r="DL148" s="389"/>
      <c r="DM148" s="389"/>
      <c r="DN148" s="389"/>
      <c r="DO148" s="389"/>
      <c r="DP148" s="389"/>
      <c r="DQ148" s="389"/>
      <c r="DR148" s="389"/>
      <c r="DS148" s="389"/>
      <c r="DT148" s="389"/>
      <c r="DU148" s="389"/>
      <c r="DV148" s="389"/>
      <c r="DW148" s="389"/>
      <c r="DX148" s="389"/>
      <c r="DY148" s="389"/>
      <c r="DZ148" s="389"/>
      <c r="EA148" s="389"/>
      <c r="EB148" s="389"/>
      <c r="EC148" s="389"/>
      <c r="ED148" s="389"/>
      <c r="EE148" s="389"/>
      <c r="EF148" s="389"/>
      <c r="EG148" s="389"/>
      <c r="EH148" s="389"/>
      <c r="EI148" s="389"/>
      <c r="EJ148" s="389"/>
      <c r="EK148" s="389"/>
      <c r="EL148" s="389"/>
      <c r="EM148" s="389"/>
      <c r="EN148" s="389"/>
      <c r="EO148" s="389"/>
      <c r="EP148" s="389"/>
      <c r="EQ148" s="389"/>
      <c r="ER148" s="389"/>
      <c r="ES148" s="389"/>
      <c r="ET148" s="389"/>
      <c r="EU148" s="389"/>
      <c r="EV148" s="389"/>
      <c r="EW148" s="389"/>
      <c r="EX148" s="389"/>
      <c r="EY148" s="389"/>
      <c r="EZ148" s="389"/>
      <c r="FA148" s="389"/>
      <c r="FB148" s="389"/>
      <c r="FC148" s="389"/>
      <c r="FD148" s="389"/>
      <c r="FE148" s="389"/>
      <c r="FF148" s="389"/>
      <c r="FG148" s="389"/>
      <c r="FH148" s="389"/>
      <c r="FI148" s="389"/>
      <c r="FJ148" s="389"/>
      <c r="FK148" s="389"/>
      <c r="FL148" s="389"/>
      <c r="FM148" s="389"/>
    </row>
    <row r="149" spans="2:193" ht="18.75" customHeight="1" x14ac:dyDescent="0.3">
      <c r="AO149" s="389"/>
      <c r="AP149" s="389"/>
      <c r="AQ149" s="389"/>
      <c r="AR149" s="389"/>
      <c r="AS149" s="389"/>
      <c r="AT149" s="389"/>
      <c r="AU149" s="389"/>
      <c r="AV149" s="389"/>
      <c r="AW149" s="389"/>
      <c r="AX149" s="389"/>
      <c r="AY149" s="389"/>
      <c r="AZ149" s="389"/>
      <c r="BA149" s="389"/>
      <c r="BB149" s="389"/>
      <c r="BC149" s="389"/>
      <c r="BD149" s="389"/>
      <c r="BE149" s="389"/>
      <c r="BF149" s="389"/>
      <c r="BG149" s="389"/>
      <c r="BH149" s="389"/>
      <c r="BI149" s="389"/>
      <c r="BJ149" s="389"/>
      <c r="BK149" s="389"/>
      <c r="BL149" s="389"/>
      <c r="BM149" s="389"/>
      <c r="BN149" s="389"/>
      <c r="BO149" s="389"/>
      <c r="BP149" s="389"/>
      <c r="BQ149" s="389"/>
      <c r="BR149" s="389"/>
      <c r="BS149" s="389"/>
      <c r="BT149" s="389"/>
      <c r="BU149" s="389"/>
      <c r="BV149" s="389"/>
      <c r="BW149" s="389"/>
      <c r="BX149" s="389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89"/>
      <c r="CN149" s="389"/>
      <c r="CO149" s="389"/>
      <c r="CP149" s="389"/>
      <c r="CQ149" s="389"/>
      <c r="CR149" s="389"/>
      <c r="CS149" s="389"/>
      <c r="CT149" s="389"/>
      <c r="CU149" s="389"/>
      <c r="CV149" s="389"/>
      <c r="CW149" s="389"/>
      <c r="CX149" s="389"/>
      <c r="CY149" s="389"/>
      <c r="CZ149" s="389"/>
      <c r="DA149" s="389"/>
      <c r="DB149" s="389"/>
      <c r="DC149" s="389"/>
      <c r="DD149" s="389"/>
      <c r="DE149" s="389"/>
      <c r="DF149" s="389"/>
      <c r="DG149" s="389"/>
      <c r="DH149" s="389"/>
      <c r="DI149" s="389"/>
      <c r="DJ149" s="389"/>
      <c r="DK149" s="389"/>
      <c r="DL149" s="389"/>
      <c r="DM149" s="389"/>
      <c r="DN149" s="389"/>
      <c r="DO149" s="389"/>
      <c r="DP149" s="389"/>
      <c r="DQ149" s="389"/>
      <c r="DR149" s="389"/>
      <c r="DS149" s="389"/>
      <c r="DT149" s="389"/>
      <c r="DU149" s="389"/>
      <c r="DV149" s="389"/>
      <c r="DW149" s="389"/>
      <c r="DX149" s="389"/>
      <c r="DY149" s="389"/>
      <c r="DZ149" s="389"/>
      <c r="EA149" s="389"/>
      <c r="EB149" s="389"/>
      <c r="EC149" s="389"/>
      <c r="ED149" s="389"/>
      <c r="EE149" s="389"/>
      <c r="EF149" s="389"/>
      <c r="EG149" s="389"/>
      <c r="EH149" s="389"/>
      <c r="EI149" s="389"/>
      <c r="EJ149" s="389"/>
      <c r="EK149" s="389"/>
      <c r="EL149" s="389"/>
      <c r="EM149" s="389"/>
      <c r="EN149" s="389"/>
      <c r="EO149" s="389"/>
      <c r="EP149" s="389"/>
      <c r="EQ149" s="389"/>
      <c r="ER149" s="389"/>
      <c r="ES149" s="389"/>
      <c r="ET149" s="389"/>
      <c r="EU149" s="389"/>
      <c r="EV149" s="389"/>
      <c r="EW149" s="389"/>
      <c r="EX149" s="389"/>
      <c r="EY149" s="389"/>
      <c r="EZ149" s="389"/>
      <c r="FA149" s="389"/>
      <c r="FB149" s="389"/>
      <c r="FC149" s="389"/>
      <c r="FD149" s="389"/>
      <c r="FE149" s="389"/>
      <c r="FF149" s="389"/>
      <c r="FG149" s="389"/>
      <c r="FH149" s="389"/>
      <c r="FI149" s="389"/>
      <c r="FJ149" s="389"/>
      <c r="FK149" s="389"/>
      <c r="FL149" s="389"/>
      <c r="FM149" s="389"/>
    </row>
    <row r="150" spans="2:193" ht="18.75" customHeight="1" x14ac:dyDescent="0.3">
      <c r="AO150" s="389"/>
      <c r="AP150" s="389"/>
      <c r="AQ150" s="389"/>
      <c r="AR150" s="389"/>
      <c r="AS150" s="389"/>
      <c r="AT150" s="389"/>
      <c r="AU150" s="389"/>
      <c r="AV150" s="389"/>
      <c r="AW150" s="389"/>
      <c r="AX150" s="389"/>
      <c r="AY150" s="389"/>
      <c r="AZ150" s="389"/>
      <c r="BA150" s="389"/>
      <c r="BB150" s="389"/>
      <c r="BC150" s="389"/>
      <c r="BD150" s="389"/>
      <c r="BE150" s="389"/>
      <c r="BF150" s="389"/>
      <c r="BG150" s="389"/>
      <c r="BH150" s="389"/>
      <c r="BI150" s="389"/>
      <c r="BJ150" s="389"/>
      <c r="BK150" s="389"/>
      <c r="BL150" s="389"/>
      <c r="BM150" s="389"/>
      <c r="BN150" s="389"/>
      <c r="BO150" s="389"/>
      <c r="BP150" s="389"/>
      <c r="BQ150" s="389"/>
      <c r="BR150" s="389"/>
      <c r="BS150" s="389"/>
      <c r="BT150" s="389"/>
      <c r="BU150" s="389"/>
      <c r="BV150" s="389"/>
      <c r="BW150" s="389"/>
      <c r="BX150" s="389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389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389"/>
      <c r="DP150" s="389"/>
      <c r="DQ150" s="389"/>
      <c r="DR150" s="389"/>
      <c r="DS150" s="389"/>
      <c r="DT150" s="389"/>
      <c r="DU150" s="389"/>
      <c r="DV150" s="389"/>
      <c r="DW150" s="389"/>
      <c r="DX150" s="389"/>
      <c r="DY150" s="389"/>
      <c r="DZ150" s="389"/>
      <c r="EA150" s="389"/>
      <c r="EB150" s="389"/>
      <c r="EC150" s="389"/>
      <c r="ED150" s="389"/>
      <c r="EE150" s="389"/>
      <c r="EF150" s="389"/>
      <c r="EG150" s="389"/>
      <c r="EH150" s="389"/>
      <c r="EI150" s="389"/>
      <c r="EJ150" s="389"/>
      <c r="EK150" s="389"/>
      <c r="EL150" s="389"/>
      <c r="EM150" s="389"/>
      <c r="EN150" s="389"/>
      <c r="EO150" s="389"/>
      <c r="EP150" s="389"/>
      <c r="EQ150" s="389"/>
      <c r="ER150" s="389"/>
      <c r="ES150" s="389"/>
      <c r="ET150" s="389"/>
      <c r="EU150" s="389"/>
      <c r="EV150" s="389"/>
      <c r="EW150" s="389"/>
      <c r="EX150" s="389"/>
      <c r="EY150" s="389"/>
      <c r="EZ150" s="389"/>
      <c r="FA150" s="389"/>
      <c r="FB150" s="389"/>
      <c r="FC150" s="389"/>
      <c r="FD150" s="389"/>
      <c r="FE150" s="389"/>
      <c r="FF150" s="389"/>
      <c r="FG150" s="389"/>
      <c r="FH150" s="389"/>
      <c r="FI150" s="389"/>
      <c r="FJ150" s="389"/>
      <c r="FK150" s="389"/>
      <c r="FL150" s="389"/>
      <c r="FM150" s="389"/>
    </row>
    <row r="151" spans="2:193" ht="18.75" customHeight="1" x14ac:dyDescent="0.3">
      <c r="AO151" s="389"/>
      <c r="AP151" s="389"/>
      <c r="AQ151" s="389"/>
      <c r="AR151" s="389"/>
      <c r="AS151" s="389"/>
      <c r="AT151" s="389"/>
      <c r="AU151" s="389"/>
      <c r="AV151" s="389"/>
      <c r="AW151" s="389"/>
      <c r="AX151" s="389"/>
      <c r="AY151" s="389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389"/>
      <c r="BK151" s="389"/>
      <c r="BL151" s="389"/>
      <c r="BM151" s="389"/>
      <c r="BN151" s="389"/>
      <c r="BO151" s="389"/>
      <c r="BP151" s="389"/>
      <c r="BQ151" s="389"/>
      <c r="BR151" s="389"/>
      <c r="BS151" s="389"/>
      <c r="BT151" s="389"/>
      <c r="BU151" s="389"/>
      <c r="BV151" s="389"/>
      <c r="BW151" s="389"/>
      <c r="BX151" s="389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389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389"/>
      <c r="DM151" s="389"/>
      <c r="DN151" s="389"/>
      <c r="DO151" s="389"/>
      <c r="DP151" s="389"/>
      <c r="DQ151" s="389"/>
      <c r="DR151" s="389"/>
      <c r="DS151" s="389"/>
      <c r="DT151" s="389"/>
      <c r="DU151" s="389"/>
      <c r="DV151" s="389"/>
      <c r="DW151" s="389"/>
      <c r="DX151" s="389"/>
      <c r="DY151" s="389"/>
      <c r="DZ151" s="389"/>
      <c r="EA151" s="389"/>
      <c r="EB151" s="389"/>
      <c r="EC151" s="389"/>
      <c r="ED151" s="389"/>
      <c r="EE151" s="389"/>
      <c r="EF151" s="389"/>
      <c r="EG151" s="389"/>
      <c r="EH151" s="389"/>
      <c r="EI151" s="389"/>
      <c r="EJ151" s="389"/>
      <c r="EK151" s="389"/>
      <c r="EL151" s="389"/>
      <c r="EM151" s="389"/>
      <c r="EN151" s="389"/>
      <c r="EO151" s="389"/>
      <c r="EP151" s="389"/>
      <c r="EQ151" s="389"/>
      <c r="ER151" s="389"/>
      <c r="ES151" s="389"/>
      <c r="ET151" s="389"/>
      <c r="EU151" s="389"/>
      <c r="EV151" s="389"/>
      <c r="EW151" s="389"/>
      <c r="EX151" s="389"/>
      <c r="EY151" s="389"/>
      <c r="EZ151" s="389"/>
      <c r="FA151" s="389"/>
      <c r="FB151" s="389"/>
      <c r="FC151" s="389"/>
      <c r="FD151" s="389"/>
      <c r="FE151" s="389"/>
      <c r="FF151" s="389"/>
      <c r="FG151" s="389"/>
      <c r="FH151" s="389"/>
      <c r="FI151" s="389"/>
      <c r="FJ151" s="389"/>
      <c r="FK151" s="389"/>
      <c r="FL151" s="389"/>
      <c r="FM151" s="389"/>
    </row>
    <row r="152" spans="2:193" ht="18.75" customHeight="1" x14ac:dyDescent="0.3">
      <c r="AO152" s="389"/>
      <c r="AP152" s="389"/>
      <c r="AQ152" s="389"/>
      <c r="AR152" s="389"/>
      <c r="AS152" s="389"/>
      <c r="AT152" s="389"/>
      <c r="AU152" s="389"/>
      <c r="AV152" s="389"/>
      <c r="AW152" s="389"/>
      <c r="AX152" s="389"/>
      <c r="AY152" s="389"/>
      <c r="AZ152" s="389"/>
      <c r="BA152" s="389"/>
      <c r="BB152" s="389"/>
      <c r="BC152" s="389"/>
      <c r="BD152" s="389"/>
      <c r="BE152" s="389"/>
      <c r="BF152" s="389"/>
      <c r="BG152" s="389"/>
      <c r="BH152" s="389"/>
      <c r="BI152" s="389"/>
      <c r="BJ152" s="389"/>
      <c r="BK152" s="389"/>
      <c r="BL152" s="389"/>
      <c r="BM152" s="389"/>
      <c r="BN152" s="389"/>
      <c r="BO152" s="389"/>
      <c r="BP152" s="389"/>
      <c r="BQ152" s="389"/>
      <c r="BR152" s="389"/>
      <c r="BS152" s="389"/>
      <c r="BT152" s="389"/>
      <c r="BU152" s="389"/>
      <c r="BV152" s="389"/>
      <c r="BW152" s="389"/>
      <c r="BX152" s="389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389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389"/>
      <c r="DM152" s="389"/>
      <c r="DN152" s="389"/>
      <c r="DO152" s="389"/>
      <c r="DP152" s="389"/>
      <c r="DQ152" s="389"/>
      <c r="DR152" s="389"/>
      <c r="DS152" s="389"/>
      <c r="DT152" s="389"/>
      <c r="DU152" s="389"/>
      <c r="DV152" s="389"/>
      <c r="DW152" s="389"/>
      <c r="DX152" s="389"/>
      <c r="DY152" s="389"/>
      <c r="DZ152" s="389"/>
      <c r="EA152" s="389"/>
      <c r="EB152" s="389"/>
      <c r="EC152" s="389"/>
      <c r="ED152" s="389"/>
      <c r="EE152" s="389"/>
      <c r="EF152" s="389"/>
      <c r="EG152" s="389"/>
      <c r="EH152" s="389"/>
      <c r="EI152" s="389"/>
      <c r="EJ152" s="389"/>
      <c r="EK152" s="389"/>
      <c r="EL152" s="389"/>
      <c r="EM152" s="389"/>
      <c r="EN152" s="389"/>
      <c r="EO152" s="389"/>
      <c r="EP152" s="389"/>
      <c r="EQ152" s="389"/>
      <c r="ER152" s="389"/>
      <c r="ES152" s="389"/>
      <c r="ET152" s="389"/>
      <c r="EU152" s="389"/>
      <c r="EV152" s="389"/>
      <c r="EW152" s="389"/>
      <c r="EX152" s="389"/>
      <c r="EY152" s="389"/>
      <c r="EZ152" s="389"/>
      <c r="FA152" s="389"/>
      <c r="FB152" s="389"/>
      <c r="FC152" s="389"/>
      <c r="FD152" s="389"/>
      <c r="FE152" s="389"/>
      <c r="FF152" s="389"/>
      <c r="FG152" s="389"/>
      <c r="FH152" s="389"/>
      <c r="FI152" s="389"/>
      <c r="FJ152" s="389"/>
      <c r="FK152" s="389"/>
      <c r="FL152" s="389"/>
      <c r="FM152" s="389"/>
    </row>
    <row r="153" spans="2:193" ht="18.75" customHeight="1" x14ac:dyDescent="0.3">
      <c r="AO153" s="389"/>
      <c r="AP153" s="389"/>
      <c r="AQ153" s="389"/>
      <c r="AR153" s="389"/>
      <c r="AS153" s="389"/>
      <c r="AT153" s="389"/>
      <c r="AU153" s="389"/>
      <c r="AV153" s="389"/>
      <c r="AW153" s="389"/>
      <c r="AX153" s="389"/>
      <c r="AY153" s="389"/>
      <c r="AZ153" s="389"/>
      <c r="BA153" s="389"/>
      <c r="BB153" s="389"/>
      <c r="BC153" s="389"/>
      <c r="BD153" s="389"/>
      <c r="BE153" s="389"/>
      <c r="BF153" s="389"/>
      <c r="BG153" s="389"/>
      <c r="BH153" s="389"/>
      <c r="BI153" s="389"/>
      <c r="BJ153" s="389"/>
      <c r="BK153" s="389"/>
      <c r="BL153" s="389"/>
      <c r="BM153" s="389"/>
      <c r="BN153" s="389"/>
      <c r="BO153" s="389"/>
      <c r="BP153" s="389"/>
      <c r="BQ153" s="389"/>
      <c r="BR153" s="389"/>
      <c r="BS153" s="389"/>
      <c r="BT153" s="389"/>
      <c r="BU153" s="389"/>
      <c r="BV153" s="389"/>
      <c r="BW153" s="389"/>
      <c r="BX153" s="389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389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389"/>
      <c r="DM153" s="389"/>
      <c r="DN153" s="389"/>
      <c r="DO153" s="389"/>
      <c r="DP153" s="389"/>
      <c r="DQ153" s="389"/>
      <c r="DR153" s="389"/>
      <c r="DS153" s="389"/>
      <c r="DT153" s="389"/>
      <c r="DU153" s="389"/>
      <c r="DV153" s="389"/>
      <c r="DW153" s="389"/>
      <c r="DX153" s="389"/>
      <c r="DY153" s="389"/>
      <c r="DZ153" s="389"/>
      <c r="EA153" s="389"/>
      <c r="EB153" s="389"/>
      <c r="EC153" s="389"/>
      <c r="ED153" s="389"/>
      <c r="EE153" s="389"/>
      <c r="EF153" s="389"/>
      <c r="EG153" s="389"/>
      <c r="EH153" s="389"/>
      <c r="EI153" s="389"/>
      <c r="EJ153" s="389"/>
      <c r="EK153" s="389"/>
      <c r="EL153" s="389"/>
      <c r="EM153" s="389"/>
      <c r="EN153" s="389"/>
      <c r="EO153" s="389"/>
      <c r="EP153" s="389"/>
      <c r="EQ153" s="389"/>
      <c r="ER153" s="389"/>
      <c r="ES153" s="389"/>
      <c r="ET153" s="389"/>
      <c r="EU153" s="389"/>
      <c r="EV153" s="389"/>
      <c r="EW153" s="389"/>
      <c r="EX153" s="389"/>
      <c r="EY153" s="389"/>
      <c r="EZ153" s="389"/>
      <c r="FA153" s="389"/>
      <c r="FB153" s="389"/>
      <c r="FC153" s="389"/>
      <c r="FD153" s="389"/>
      <c r="FE153" s="389"/>
      <c r="FF153" s="389"/>
      <c r="FG153" s="389"/>
      <c r="FH153" s="389"/>
      <c r="FI153" s="389"/>
      <c r="FJ153" s="389"/>
      <c r="FK153" s="389"/>
      <c r="FL153" s="389"/>
      <c r="FM153" s="389"/>
    </row>
    <row r="154" spans="2:193" ht="18.75" customHeight="1" x14ac:dyDescent="0.3">
      <c r="AO154" s="389"/>
      <c r="AP154" s="389"/>
      <c r="AQ154" s="389"/>
      <c r="AR154" s="389"/>
      <c r="AS154" s="389"/>
      <c r="AT154" s="389"/>
      <c r="AU154" s="389"/>
      <c r="AV154" s="389"/>
      <c r="AW154" s="389"/>
      <c r="AX154" s="389"/>
      <c r="AY154" s="389"/>
      <c r="AZ154" s="389"/>
      <c r="BA154" s="389"/>
      <c r="BB154" s="389"/>
      <c r="BC154" s="389"/>
      <c r="BD154" s="389"/>
      <c r="BE154" s="389"/>
      <c r="BF154" s="389"/>
      <c r="BG154" s="389"/>
      <c r="BH154" s="389"/>
      <c r="BI154" s="389"/>
      <c r="BJ154" s="389"/>
      <c r="BK154" s="389"/>
      <c r="BL154" s="389"/>
      <c r="BM154" s="389"/>
      <c r="BN154" s="389"/>
      <c r="BO154" s="389"/>
      <c r="BP154" s="389"/>
      <c r="BQ154" s="389"/>
      <c r="BR154" s="389"/>
      <c r="BS154" s="389"/>
      <c r="BT154" s="389"/>
      <c r="BU154" s="389"/>
      <c r="BV154" s="389"/>
      <c r="BW154" s="389"/>
      <c r="BX154" s="389"/>
      <c r="BY154" s="389"/>
      <c r="BZ154" s="389"/>
      <c r="CA154" s="389"/>
      <c r="CB154" s="389"/>
      <c r="CC154" s="389"/>
      <c r="CD154" s="389"/>
      <c r="CE154" s="389"/>
      <c r="CF154" s="389"/>
      <c r="CG154" s="389"/>
      <c r="CH154" s="389"/>
      <c r="CI154" s="389"/>
      <c r="CJ154" s="389"/>
      <c r="CK154" s="389"/>
      <c r="CL154" s="389"/>
      <c r="CM154" s="389"/>
      <c r="CN154" s="389"/>
      <c r="CO154" s="389"/>
      <c r="CP154" s="389"/>
      <c r="CQ154" s="389"/>
      <c r="CR154" s="389"/>
      <c r="CS154" s="389"/>
      <c r="CT154" s="389"/>
      <c r="CU154" s="389"/>
      <c r="CV154" s="389"/>
      <c r="CW154" s="389"/>
      <c r="CX154" s="389"/>
      <c r="CY154" s="389"/>
      <c r="CZ154" s="389"/>
      <c r="DA154" s="389"/>
      <c r="DB154" s="389"/>
      <c r="DC154" s="389"/>
      <c r="DD154" s="389"/>
      <c r="DE154" s="389"/>
      <c r="DF154" s="389"/>
      <c r="DG154" s="389"/>
      <c r="DH154" s="389"/>
      <c r="DI154" s="389"/>
      <c r="DJ154" s="389"/>
      <c r="DK154" s="389"/>
      <c r="DL154" s="389"/>
      <c r="DM154" s="389"/>
      <c r="DN154" s="389"/>
      <c r="DO154" s="389"/>
      <c r="DP154" s="389"/>
      <c r="DQ154" s="389"/>
      <c r="DR154" s="389"/>
      <c r="DS154" s="389"/>
      <c r="DT154" s="389"/>
      <c r="DU154" s="389"/>
      <c r="DV154" s="389"/>
      <c r="DW154" s="389"/>
      <c r="DX154" s="389"/>
      <c r="DY154" s="389"/>
      <c r="DZ154" s="389"/>
      <c r="EA154" s="389"/>
      <c r="EB154" s="389"/>
      <c r="EC154" s="389"/>
      <c r="ED154" s="389"/>
      <c r="EE154" s="389"/>
      <c r="EF154" s="389"/>
      <c r="EG154" s="389"/>
      <c r="EH154" s="389"/>
      <c r="EI154" s="389"/>
      <c r="EJ154" s="389"/>
      <c r="EK154" s="389"/>
      <c r="EL154" s="389"/>
      <c r="EM154" s="389"/>
      <c r="EN154" s="389"/>
      <c r="EO154" s="389"/>
      <c r="EP154" s="389"/>
      <c r="EQ154" s="389"/>
      <c r="ER154" s="389"/>
      <c r="ES154" s="389"/>
      <c r="ET154" s="389"/>
      <c r="EU154" s="389"/>
      <c r="EV154" s="389"/>
      <c r="EW154" s="389"/>
      <c r="EX154" s="389"/>
      <c r="EY154" s="389"/>
      <c r="EZ154" s="389"/>
      <c r="FA154" s="389"/>
      <c r="FB154" s="389"/>
      <c r="FC154" s="389"/>
      <c r="FD154" s="389"/>
      <c r="FE154" s="389"/>
      <c r="FF154" s="389"/>
      <c r="FG154" s="389"/>
      <c r="FH154" s="389"/>
      <c r="FI154" s="389"/>
      <c r="FJ154" s="389"/>
      <c r="FK154" s="389"/>
      <c r="FL154" s="389"/>
      <c r="FM154" s="389"/>
    </row>
    <row r="155" spans="2:193" ht="18.75" customHeight="1" x14ac:dyDescent="0.3">
      <c r="AO155" s="389"/>
      <c r="AP155" s="389"/>
      <c r="AQ155" s="389"/>
      <c r="AR155" s="389"/>
      <c r="AS155" s="389"/>
      <c r="AT155" s="389"/>
      <c r="AU155" s="389"/>
      <c r="AV155" s="389"/>
      <c r="AW155" s="389"/>
      <c r="AX155" s="389"/>
      <c r="AY155" s="389"/>
      <c r="AZ155" s="389"/>
      <c r="BA155" s="389"/>
      <c r="BB155" s="389"/>
      <c r="BC155" s="389"/>
      <c r="BD155" s="389"/>
      <c r="BE155" s="389"/>
      <c r="BF155" s="389"/>
      <c r="BG155" s="389"/>
      <c r="BH155" s="389"/>
      <c r="BI155" s="389"/>
      <c r="BJ155" s="389"/>
      <c r="BK155" s="389"/>
      <c r="BL155" s="389"/>
      <c r="BM155" s="389"/>
      <c r="BN155" s="389"/>
      <c r="BO155" s="389"/>
      <c r="BP155" s="389"/>
      <c r="BQ155" s="389"/>
      <c r="BR155" s="389"/>
      <c r="BS155" s="389"/>
      <c r="BT155" s="389"/>
      <c r="BU155" s="389"/>
      <c r="BV155" s="389"/>
      <c r="BW155" s="389"/>
      <c r="BX155" s="389"/>
      <c r="BY155" s="389"/>
      <c r="BZ155" s="389"/>
      <c r="CA155" s="389"/>
      <c r="CB155" s="389"/>
      <c r="CC155" s="389"/>
      <c r="CD155" s="389"/>
      <c r="CE155" s="389"/>
      <c r="CF155" s="389"/>
      <c r="CG155" s="389"/>
      <c r="CH155" s="389"/>
      <c r="CI155" s="389"/>
      <c r="CJ155" s="389"/>
      <c r="CK155" s="389"/>
      <c r="CL155" s="389"/>
      <c r="CM155" s="389"/>
      <c r="CN155" s="389"/>
      <c r="CO155" s="389"/>
      <c r="CP155" s="389"/>
      <c r="CQ155" s="389"/>
      <c r="CR155" s="389"/>
      <c r="CS155" s="389"/>
      <c r="CT155" s="389"/>
      <c r="CU155" s="389"/>
      <c r="CV155" s="389"/>
      <c r="CW155" s="389"/>
      <c r="CX155" s="389"/>
      <c r="CY155" s="389"/>
      <c r="CZ155" s="389"/>
      <c r="DA155" s="389"/>
      <c r="DB155" s="389"/>
      <c r="DC155" s="389"/>
      <c r="DD155" s="389"/>
      <c r="DE155" s="389"/>
      <c r="DF155" s="389"/>
      <c r="DG155" s="389"/>
      <c r="DH155" s="389"/>
      <c r="DI155" s="389"/>
      <c r="DJ155" s="389"/>
      <c r="DK155" s="389"/>
      <c r="DL155" s="389"/>
      <c r="DM155" s="389"/>
      <c r="DN155" s="389"/>
      <c r="DO155" s="389"/>
      <c r="DP155" s="389"/>
      <c r="DQ155" s="389"/>
      <c r="DR155" s="389"/>
      <c r="DS155" s="389"/>
      <c r="DT155" s="389"/>
      <c r="DU155" s="389"/>
      <c r="DV155" s="389"/>
      <c r="DW155" s="389"/>
      <c r="DX155" s="389"/>
      <c r="DY155" s="389"/>
      <c r="DZ155" s="389"/>
      <c r="EA155" s="389"/>
      <c r="EB155" s="389"/>
      <c r="EC155" s="389"/>
      <c r="ED155" s="389"/>
      <c r="EE155" s="389"/>
      <c r="EF155" s="389"/>
      <c r="EG155" s="389"/>
      <c r="EH155" s="389"/>
      <c r="EI155" s="389"/>
      <c r="EJ155" s="389"/>
      <c r="EK155" s="389"/>
      <c r="EL155" s="389"/>
      <c r="EM155" s="389"/>
      <c r="EN155" s="389"/>
      <c r="EO155" s="389"/>
      <c r="EP155" s="389"/>
      <c r="EQ155" s="389"/>
      <c r="ER155" s="389"/>
      <c r="ES155" s="389"/>
      <c r="ET155" s="389"/>
      <c r="EU155" s="389"/>
      <c r="EV155" s="389"/>
      <c r="EW155" s="389"/>
      <c r="EX155" s="389"/>
      <c r="EY155" s="389"/>
      <c r="EZ155" s="389"/>
      <c r="FA155" s="389"/>
      <c r="FB155" s="389"/>
      <c r="FC155" s="389"/>
      <c r="FD155" s="389"/>
      <c r="FE155" s="389"/>
      <c r="FF155" s="389"/>
      <c r="FG155" s="389"/>
      <c r="FH155" s="389"/>
      <c r="FI155" s="389"/>
      <c r="FJ155" s="389"/>
      <c r="FK155" s="389"/>
      <c r="FL155" s="389"/>
      <c r="FM155" s="389"/>
    </row>
    <row r="156" spans="2:193" ht="18.75" customHeight="1" x14ac:dyDescent="0.3">
      <c r="AO156" s="389"/>
      <c r="AP156" s="389"/>
      <c r="AQ156" s="389"/>
      <c r="AR156" s="389"/>
      <c r="AS156" s="389"/>
      <c r="AT156" s="389"/>
      <c r="AU156" s="389"/>
      <c r="AV156" s="389"/>
      <c r="AW156" s="389"/>
      <c r="AX156" s="389"/>
      <c r="AY156" s="389"/>
      <c r="AZ156" s="389"/>
      <c r="BA156" s="389"/>
      <c r="BB156" s="389"/>
      <c r="BC156" s="389"/>
      <c r="BD156" s="389"/>
      <c r="BE156" s="389"/>
      <c r="BF156" s="389"/>
      <c r="BG156" s="389"/>
      <c r="BH156" s="389"/>
      <c r="BI156" s="389"/>
      <c r="BJ156" s="389"/>
      <c r="BK156" s="389"/>
      <c r="BL156" s="389"/>
      <c r="BM156" s="389"/>
      <c r="BN156" s="389"/>
      <c r="BO156" s="389"/>
      <c r="BP156" s="389"/>
      <c r="BQ156" s="389"/>
      <c r="BR156" s="389"/>
      <c r="BS156" s="389"/>
      <c r="BT156" s="389"/>
      <c r="BU156" s="389"/>
      <c r="BV156" s="389"/>
      <c r="BW156" s="389"/>
      <c r="BX156" s="389"/>
      <c r="BY156" s="389"/>
      <c r="BZ156" s="389"/>
      <c r="CA156" s="389"/>
      <c r="CB156" s="389"/>
      <c r="CC156" s="389"/>
      <c r="CD156" s="389"/>
      <c r="CE156" s="389"/>
      <c r="CF156" s="389"/>
      <c r="CG156" s="389"/>
      <c r="CH156" s="389"/>
      <c r="CI156" s="389"/>
      <c r="CJ156" s="389"/>
      <c r="CK156" s="389"/>
      <c r="CL156" s="389"/>
      <c r="CM156" s="389"/>
      <c r="CN156" s="389"/>
      <c r="CO156" s="389"/>
      <c r="CP156" s="389"/>
      <c r="CQ156" s="389"/>
      <c r="CR156" s="389"/>
      <c r="CS156" s="389"/>
      <c r="CT156" s="389"/>
      <c r="CU156" s="389"/>
      <c r="CV156" s="389"/>
      <c r="CW156" s="389"/>
      <c r="CX156" s="389"/>
      <c r="CY156" s="389"/>
      <c r="CZ156" s="389"/>
      <c r="DA156" s="389"/>
      <c r="DB156" s="389"/>
      <c r="DC156" s="389"/>
      <c r="DD156" s="389"/>
      <c r="DE156" s="389"/>
      <c r="DF156" s="389"/>
      <c r="DG156" s="389"/>
      <c r="DH156" s="389"/>
      <c r="DI156" s="389"/>
      <c r="DJ156" s="389"/>
      <c r="DK156" s="389"/>
      <c r="DL156" s="389"/>
      <c r="DM156" s="389"/>
      <c r="DN156" s="389"/>
      <c r="DO156" s="389"/>
      <c r="DP156" s="389"/>
      <c r="DQ156" s="389"/>
      <c r="DR156" s="389"/>
      <c r="DS156" s="389"/>
      <c r="DT156" s="389"/>
      <c r="DU156" s="389"/>
      <c r="DV156" s="389"/>
      <c r="DW156" s="389"/>
      <c r="DX156" s="389"/>
      <c r="DY156" s="389"/>
      <c r="DZ156" s="389"/>
      <c r="EA156" s="389"/>
      <c r="EB156" s="389"/>
      <c r="EC156" s="389"/>
      <c r="ED156" s="389"/>
      <c r="EE156" s="389"/>
      <c r="EF156" s="389"/>
      <c r="EG156" s="389"/>
      <c r="EH156" s="389"/>
      <c r="EI156" s="389"/>
      <c r="EJ156" s="389"/>
      <c r="EK156" s="389"/>
      <c r="EL156" s="389"/>
      <c r="EM156" s="389"/>
      <c r="EN156" s="389"/>
      <c r="EO156" s="389"/>
      <c r="EP156" s="389"/>
      <c r="EQ156" s="389"/>
      <c r="ER156" s="389"/>
      <c r="ES156" s="389"/>
      <c r="ET156" s="389"/>
      <c r="EU156" s="389"/>
      <c r="EV156" s="389"/>
      <c r="EW156" s="389"/>
      <c r="EX156" s="389"/>
      <c r="EY156" s="389"/>
      <c r="EZ156" s="389"/>
      <c r="FA156" s="389"/>
      <c r="FB156" s="389"/>
      <c r="FC156" s="389"/>
      <c r="FD156" s="389"/>
      <c r="FE156" s="389"/>
      <c r="FF156" s="389"/>
      <c r="FG156" s="389"/>
      <c r="FH156" s="389"/>
      <c r="FI156" s="389"/>
      <c r="FJ156" s="389"/>
      <c r="FK156" s="389"/>
      <c r="FL156" s="389"/>
      <c r="FM156" s="389"/>
    </row>
    <row r="157" spans="2:193" ht="18.75" customHeight="1" x14ac:dyDescent="0.3">
      <c r="AO157" s="389"/>
      <c r="AP157" s="389"/>
      <c r="AQ157" s="389"/>
      <c r="AR157" s="389"/>
      <c r="AS157" s="389"/>
      <c r="AT157" s="389"/>
      <c r="AU157" s="389"/>
      <c r="AV157" s="389"/>
      <c r="AW157" s="389"/>
      <c r="AX157" s="389"/>
      <c r="AY157" s="389"/>
      <c r="AZ157" s="389"/>
      <c r="BA157" s="389"/>
      <c r="BB157" s="389"/>
      <c r="BC157" s="389"/>
      <c r="BD157" s="389"/>
      <c r="BE157" s="389"/>
      <c r="BF157" s="389"/>
      <c r="BG157" s="389"/>
      <c r="BH157" s="389"/>
      <c r="BI157" s="389"/>
      <c r="BJ157" s="389"/>
      <c r="BK157" s="389"/>
      <c r="BL157" s="389"/>
      <c r="BM157" s="389"/>
      <c r="BN157" s="389"/>
      <c r="BO157" s="389"/>
      <c r="BP157" s="389"/>
      <c r="BQ157" s="389"/>
      <c r="BR157" s="389"/>
      <c r="BS157" s="389"/>
      <c r="BT157" s="389"/>
      <c r="BU157" s="389"/>
      <c r="BV157" s="389"/>
      <c r="BW157" s="389"/>
      <c r="BX157" s="389"/>
      <c r="BY157" s="389"/>
      <c r="BZ157" s="389"/>
      <c r="CA157" s="389"/>
      <c r="CB157" s="389"/>
      <c r="CC157" s="389"/>
      <c r="CD157" s="389"/>
      <c r="CE157" s="389"/>
      <c r="CF157" s="389"/>
      <c r="CG157" s="389"/>
      <c r="CH157" s="389"/>
      <c r="CI157" s="389"/>
      <c r="CJ157" s="389"/>
      <c r="CK157" s="389"/>
      <c r="CL157" s="389"/>
      <c r="CM157" s="389"/>
      <c r="CN157" s="389"/>
      <c r="CO157" s="389"/>
      <c r="CP157" s="389"/>
      <c r="CQ157" s="389"/>
      <c r="CR157" s="389"/>
      <c r="CS157" s="389"/>
      <c r="CT157" s="389"/>
      <c r="CU157" s="389"/>
      <c r="CV157" s="389"/>
      <c r="CW157" s="389"/>
      <c r="CX157" s="389"/>
      <c r="CY157" s="389"/>
      <c r="CZ157" s="389"/>
      <c r="DA157" s="389"/>
      <c r="DB157" s="389"/>
      <c r="DC157" s="389"/>
      <c r="DD157" s="389"/>
      <c r="DE157" s="389"/>
      <c r="DF157" s="389"/>
      <c r="DG157" s="389"/>
      <c r="DH157" s="389"/>
      <c r="DI157" s="389"/>
      <c r="DJ157" s="389"/>
      <c r="DK157" s="389"/>
      <c r="DL157" s="389"/>
      <c r="DM157" s="389"/>
      <c r="DN157" s="389"/>
      <c r="DO157" s="389"/>
      <c r="DP157" s="389"/>
      <c r="DQ157" s="389"/>
      <c r="DR157" s="389"/>
      <c r="DS157" s="389"/>
      <c r="DT157" s="389"/>
      <c r="DU157" s="389"/>
      <c r="DV157" s="389"/>
      <c r="DW157" s="389"/>
      <c r="DX157" s="389"/>
      <c r="DY157" s="389"/>
      <c r="DZ157" s="389"/>
      <c r="EA157" s="389"/>
      <c r="EB157" s="389"/>
      <c r="EC157" s="389"/>
      <c r="ED157" s="389"/>
      <c r="EE157" s="389"/>
      <c r="EF157" s="389"/>
      <c r="EG157" s="389"/>
      <c r="EH157" s="389"/>
      <c r="EI157" s="389"/>
      <c r="EJ157" s="389"/>
      <c r="EK157" s="389"/>
      <c r="EL157" s="389"/>
      <c r="EM157" s="389"/>
      <c r="EN157" s="389"/>
      <c r="EO157" s="389"/>
      <c r="EP157" s="389"/>
      <c r="EQ157" s="389"/>
      <c r="ER157" s="389"/>
      <c r="ES157" s="389"/>
      <c r="ET157" s="389"/>
      <c r="EU157" s="389"/>
      <c r="EV157" s="389"/>
      <c r="EW157" s="389"/>
      <c r="EX157" s="389"/>
      <c r="EY157" s="389"/>
      <c r="EZ157" s="389"/>
      <c r="FA157" s="389"/>
      <c r="FB157" s="389"/>
      <c r="FC157" s="389"/>
      <c r="FD157" s="389"/>
      <c r="FE157" s="389"/>
      <c r="FF157" s="389"/>
      <c r="FG157" s="389"/>
      <c r="FH157" s="389"/>
      <c r="FI157" s="389"/>
      <c r="FJ157" s="389"/>
      <c r="FK157" s="389"/>
      <c r="FL157" s="389"/>
      <c r="FM157" s="389"/>
    </row>
    <row r="158" spans="2:193" ht="18.75" customHeight="1" x14ac:dyDescent="0.3">
      <c r="AO158" s="389"/>
      <c r="AP158" s="389"/>
      <c r="AQ158" s="389"/>
      <c r="AR158" s="389"/>
      <c r="AS158" s="389"/>
      <c r="AT158" s="389"/>
      <c r="AU158" s="389"/>
      <c r="AV158" s="389"/>
      <c r="AW158" s="389"/>
      <c r="AX158" s="389"/>
      <c r="AY158" s="389"/>
      <c r="AZ158" s="389"/>
      <c r="BA158" s="389"/>
      <c r="BB158" s="389"/>
      <c r="BC158" s="389"/>
      <c r="BD158" s="389"/>
      <c r="BE158" s="389"/>
      <c r="BF158" s="389"/>
      <c r="BG158" s="389"/>
      <c r="BH158" s="389"/>
      <c r="BI158" s="389"/>
      <c r="BJ158" s="389"/>
      <c r="BK158" s="389"/>
      <c r="BL158" s="389"/>
      <c r="BM158" s="389"/>
      <c r="BN158" s="389"/>
      <c r="BO158" s="389"/>
      <c r="BP158" s="389"/>
      <c r="BQ158" s="389"/>
      <c r="BR158" s="389"/>
      <c r="BS158" s="389"/>
      <c r="BT158" s="389"/>
      <c r="BU158" s="389"/>
      <c r="BV158" s="389"/>
      <c r="BW158" s="389"/>
      <c r="BX158" s="389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389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389"/>
      <c r="DP158" s="389"/>
      <c r="DQ158" s="389"/>
      <c r="DR158" s="389"/>
      <c r="DS158" s="389"/>
      <c r="DT158" s="389"/>
      <c r="DU158" s="389"/>
      <c r="DV158" s="389"/>
      <c r="DW158" s="389"/>
      <c r="DX158" s="389"/>
      <c r="DY158" s="389"/>
      <c r="DZ158" s="389"/>
      <c r="EA158" s="389"/>
      <c r="EB158" s="389"/>
      <c r="EC158" s="389"/>
      <c r="ED158" s="389"/>
      <c r="EE158" s="389"/>
      <c r="EF158" s="389"/>
      <c r="EG158" s="389"/>
      <c r="EH158" s="389"/>
      <c r="EI158" s="389"/>
      <c r="EJ158" s="389"/>
      <c r="EK158" s="389"/>
      <c r="EL158" s="389"/>
      <c r="EM158" s="389"/>
      <c r="EN158" s="389"/>
      <c r="EO158" s="389"/>
      <c r="EP158" s="389"/>
      <c r="EQ158" s="389"/>
      <c r="ER158" s="389"/>
      <c r="ES158" s="389"/>
      <c r="ET158" s="389"/>
      <c r="EU158" s="389"/>
      <c r="EV158" s="389"/>
      <c r="EW158" s="389"/>
      <c r="EX158" s="389"/>
      <c r="EY158" s="389"/>
      <c r="EZ158" s="389"/>
      <c r="FA158" s="389"/>
      <c r="FB158" s="389"/>
      <c r="FC158" s="389"/>
      <c r="FD158" s="389"/>
      <c r="FE158" s="389"/>
      <c r="FF158" s="389"/>
      <c r="FG158" s="389"/>
      <c r="FH158" s="389"/>
      <c r="FI158" s="389"/>
      <c r="FJ158" s="389"/>
      <c r="FK158" s="389"/>
      <c r="FL158" s="389"/>
      <c r="FM158" s="389"/>
    </row>
    <row r="159" spans="2:193" ht="18.75" customHeight="1" x14ac:dyDescent="0.3">
      <c r="AO159" s="389"/>
      <c r="AP159" s="389"/>
      <c r="AQ159" s="389"/>
      <c r="AR159" s="389"/>
      <c r="AS159" s="389"/>
      <c r="AT159" s="389"/>
      <c r="AU159" s="389"/>
      <c r="AV159" s="389"/>
      <c r="AW159" s="389"/>
      <c r="AX159" s="389"/>
      <c r="AY159" s="389"/>
      <c r="AZ159" s="389"/>
      <c r="BA159" s="389"/>
      <c r="BB159" s="389"/>
      <c r="BC159" s="389"/>
      <c r="BD159" s="389"/>
      <c r="BE159" s="389"/>
      <c r="BF159" s="389"/>
      <c r="BG159" s="389"/>
      <c r="BH159" s="389"/>
      <c r="BI159" s="389"/>
      <c r="BJ159" s="389"/>
      <c r="BK159" s="389"/>
      <c r="BL159" s="389"/>
      <c r="BM159" s="389"/>
      <c r="BN159" s="389"/>
      <c r="BO159" s="389"/>
      <c r="BP159" s="389"/>
      <c r="BQ159" s="389"/>
      <c r="BR159" s="389"/>
      <c r="BS159" s="389"/>
      <c r="BT159" s="389"/>
      <c r="BU159" s="389"/>
      <c r="BV159" s="389"/>
      <c r="BW159" s="389"/>
      <c r="BX159" s="389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389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389"/>
      <c r="DP159" s="389"/>
      <c r="DQ159" s="389"/>
      <c r="DR159" s="389"/>
      <c r="DS159" s="389"/>
      <c r="DT159" s="389"/>
      <c r="DU159" s="389"/>
      <c r="DV159" s="389"/>
      <c r="DW159" s="389"/>
      <c r="DX159" s="389"/>
      <c r="DY159" s="389"/>
      <c r="DZ159" s="389"/>
      <c r="EA159" s="389"/>
      <c r="EB159" s="389"/>
      <c r="EC159" s="389"/>
      <c r="ED159" s="389"/>
      <c r="EE159" s="389"/>
      <c r="EF159" s="389"/>
      <c r="EG159" s="389"/>
      <c r="EH159" s="389"/>
      <c r="EI159" s="389"/>
      <c r="EJ159" s="389"/>
      <c r="EK159" s="389"/>
      <c r="EL159" s="389"/>
      <c r="EM159" s="389"/>
      <c r="EN159" s="389"/>
      <c r="EO159" s="389"/>
      <c r="EP159" s="389"/>
      <c r="EQ159" s="389"/>
      <c r="ER159" s="389"/>
      <c r="ES159" s="389"/>
      <c r="ET159" s="389"/>
      <c r="EU159" s="389"/>
      <c r="EV159" s="389"/>
      <c r="EW159" s="389"/>
      <c r="EX159" s="389"/>
      <c r="EY159" s="389"/>
      <c r="EZ159" s="389"/>
      <c r="FA159" s="389"/>
      <c r="FB159" s="389"/>
      <c r="FC159" s="389"/>
      <c r="FD159" s="389"/>
      <c r="FE159" s="389"/>
      <c r="FF159" s="389"/>
      <c r="FG159" s="389"/>
      <c r="FH159" s="389"/>
      <c r="FI159" s="389"/>
      <c r="FJ159" s="389"/>
      <c r="FK159" s="389"/>
      <c r="FL159" s="389"/>
      <c r="FM159" s="389"/>
    </row>
    <row r="160" spans="2:193" ht="18.75" customHeight="1" x14ac:dyDescent="0.3">
      <c r="AO160" s="389"/>
      <c r="AP160" s="389"/>
      <c r="AQ160" s="389"/>
      <c r="AR160" s="389"/>
      <c r="AS160" s="389"/>
      <c r="AT160" s="389"/>
      <c r="AU160" s="389"/>
      <c r="AV160" s="389"/>
      <c r="AW160" s="389"/>
      <c r="AX160" s="389"/>
      <c r="AY160" s="389"/>
      <c r="AZ160" s="389"/>
      <c r="BA160" s="389"/>
      <c r="BB160" s="389"/>
      <c r="BC160" s="389"/>
      <c r="BD160" s="389"/>
      <c r="BE160" s="389"/>
      <c r="BF160" s="389"/>
      <c r="BG160" s="389"/>
      <c r="BH160" s="389"/>
      <c r="BI160" s="389"/>
      <c r="BJ160" s="389"/>
      <c r="BK160" s="389"/>
      <c r="BL160" s="389"/>
      <c r="BM160" s="389"/>
      <c r="BN160" s="389"/>
      <c r="BO160" s="389"/>
      <c r="BP160" s="389"/>
      <c r="BQ160" s="389"/>
      <c r="BR160" s="389"/>
      <c r="BS160" s="389"/>
      <c r="BT160" s="389"/>
      <c r="BU160" s="389"/>
      <c r="BV160" s="389"/>
      <c r="BW160" s="389"/>
      <c r="BX160" s="389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389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389"/>
      <c r="DP160" s="389"/>
      <c r="DQ160" s="389"/>
      <c r="DR160" s="389"/>
      <c r="DS160" s="389"/>
      <c r="DT160" s="389"/>
      <c r="DU160" s="389"/>
      <c r="DV160" s="389"/>
      <c r="DW160" s="389"/>
      <c r="DX160" s="389"/>
      <c r="DY160" s="389"/>
      <c r="DZ160" s="389"/>
      <c r="EA160" s="389"/>
      <c r="EB160" s="389"/>
      <c r="EC160" s="389"/>
      <c r="ED160" s="389"/>
      <c r="EE160" s="389"/>
      <c r="EF160" s="389"/>
      <c r="EG160" s="389"/>
      <c r="EH160" s="389"/>
      <c r="EI160" s="389"/>
      <c r="EJ160" s="389"/>
      <c r="EK160" s="389"/>
      <c r="EL160" s="389"/>
      <c r="EM160" s="389"/>
      <c r="EN160" s="389"/>
      <c r="EO160" s="389"/>
      <c r="EP160" s="389"/>
      <c r="EQ160" s="389"/>
      <c r="ER160" s="389"/>
      <c r="ES160" s="389"/>
      <c r="ET160" s="389"/>
      <c r="EU160" s="389"/>
      <c r="EV160" s="389"/>
      <c r="EW160" s="389"/>
      <c r="EX160" s="389"/>
      <c r="EY160" s="389"/>
      <c r="EZ160" s="389"/>
      <c r="FA160" s="389"/>
      <c r="FB160" s="389"/>
      <c r="FC160" s="389"/>
      <c r="FD160" s="389"/>
      <c r="FE160" s="389"/>
      <c r="FF160" s="389"/>
      <c r="FG160" s="389"/>
      <c r="FH160" s="389"/>
      <c r="FI160" s="389"/>
      <c r="FJ160" s="389"/>
      <c r="FK160" s="389"/>
      <c r="FL160" s="389"/>
      <c r="FM160" s="389"/>
    </row>
    <row r="161" spans="41:169" ht="18.75" customHeight="1" x14ac:dyDescent="0.3">
      <c r="AO161" s="389"/>
      <c r="AP161" s="389"/>
      <c r="AQ161" s="389"/>
      <c r="AR161" s="389"/>
      <c r="AS161" s="389"/>
      <c r="AT161" s="389"/>
      <c r="AU161" s="389"/>
      <c r="AV161" s="389"/>
      <c r="AW161" s="389"/>
      <c r="AX161" s="389"/>
      <c r="AY161" s="389"/>
      <c r="AZ161" s="389"/>
      <c r="BA161" s="389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</row>
    <row r="162" spans="41:169" ht="18.75" customHeight="1" x14ac:dyDescent="0.3">
      <c r="AO162" s="389"/>
      <c r="AP162" s="389"/>
      <c r="AQ162" s="389"/>
      <c r="AR162" s="389"/>
      <c r="AS162" s="389"/>
      <c r="AT162" s="389"/>
      <c r="AU162" s="389"/>
      <c r="AV162" s="389"/>
      <c r="AW162" s="389"/>
      <c r="AX162" s="389"/>
      <c r="AY162" s="389"/>
      <c r="AZ162" s="389"/>
      <c r="BA162" s="389"/>
      <c r="BB162" s="389"/>
      <c r="BC162" s="389"/>
      <c r="BD162" s="389"/>
      <c r="BE162" s="389"/>
      <c r="BF162" s="389"/>
      <c r="BG162" s="389"/>
      <c r="BH162" s="389"/>
      <c r="BI162" s="389"/>
      <c r="BJ162" s="389"/>
      <c r="BK162" s="389"/>
      <c r="BL162" s="389"/>
      <c r="BM162" s="389"/>
      <c r="BN162" s="389"/>
      <c r="BO162" s="389"/>
      <c r="BP162" s="389"/>
      <c r="BQ162" s="389"/>
      <c r="BR162" s="389"/>
      <c r="BS162" s="389"/>
      <c r="BT162" s="389"/>
      <c r="BU162" s="389"/>
      <c r="BV162" s="389"/>
      <c r="BW162" s="389"/>
      <c r="BX162" s="389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389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389"/>
      <c r="DP162" s="389"/>
      <c r="DQ162" s="389"/>
      <c r="DR162" s="389"/>
      <c r="DS162" s="389"/>
      <c r="DT162" s="389"/>
      <c r="DU162" s="389"/>
      <c r="DV162" s="389"/>
      <c r="DW162" s="389"/>
      <c r="DX162" s="389"/>
      <c r="DY162" s="389"/>
      <c r="DZ162" s="389"/>
      <c r="EA162" s="389"/>
      <c r="EB162" s="389"/>
      <c r="EC162" s="389"/>
      <c r="ED162" s="389"/>
      <c r="EE162" s="389"/>
      <c r="EF162" s="389"/>
      <c r="EG162" s="389"/>
      <c r="EH162" s="389"/>
      <c r="EI162" s="389"/>
      <c r="EJ162" s="389"/>
      <c r="EK162" s="389"/>
      <c r="EL162" s="389"/>
      <c r="EM162" s="389"/>
      <c r="EN162" s="389"/>
      <c r="EO162" s="389"/>
      <c r="EP162" s="389"/>
      <c r="EQ162" s="389"/>
      <c r="ER162" s="389"/>
      <c r="ES162" s="389"/>
      <c r="ET162" s="389"/>
      <c r="EU162" s="389"/>
      <c r="EV162" s="389"/>
      <c r="EW162" s="389"/>
      <c r="EX162" s="389"/>
      <c r="EY162" s="389"/>
      <c r="EZ162" s="389"/>
      <c r="FA162" s="389"/>
      <c r="FB162" s="389"/>
      <c r="FC162" s="389"/>
      <c r="FD162" s="389"/>
      <c r="FE162" s="389"/>
      <c r="FF162" s="389"/>
      <c r="FG162" s="389"/>
      <c r="FH162" s="389"/>
      <c r="FI162" s="389"/>
      <c r="FJ162" s="389"/>
      <c r="FK162" s="389"/>
      <c r="FL162" s="389"/>
      <c r="FM162" s="389"/>
    </row>
    <row r="163" spans="41:169" ht="18.75" customHeight="1" x14ac:dyDescent="0.3">
      <c r="AO163" s="389"/>
      <c r="AP163" s="389"/>
      <c r="AQ163" s="389"/>
      <c r="AR163" s="389"/>
      <c r="AS163" s="389"/>
      <c r="AT163" s="389"/>
      <c r="AU163" s="389"/>
      <c r="AV163" s="389"/>
      <c r="AW163" s="389"/>
      <c r="AX163" s="389"/>
      <c r="AY163" s="389"/>
      <c r="AZ163" s="389"/>
      <c r="BA163" s="389"/>
      <c r="BB163" s="389"/>
      <c r="BC163" s="389"/>
      <c r="BD163" s="389"/>
      <c r="BE163" s="389"/>
      <c r="BF163" s="389"/>
      <c r="BG163" s="389"/>
      <c r="BH163" s="389"/>
      <c r="BI163" s="389"/>
      <c r="BJ163" s="389"/>
      <c r="BK163" s="389"/>
      <c r="BL163" s="389"/>
      <c r="BM163" s="389"/>
      <c r="BN163" s="389"/>
      <c r="BO163" s="389"/>
      <c r="BP163" s="389"/>
      <c r="BQ163" s="389"/>
      <c r="BR163" s="389"/>
      <c r="BS163" s="389"/>
      <c r="BT163" s="389"/>
      <c r="BU163" s="389"/>
      <c r="BV163" s="389"/>
      <c r="BW163" s="389"/>
      <c r="BX163" s="389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389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389"/>
      <c r="DP163" s="389"/>
      <c r="DQ163" s="389"/>
      <c r="DR163" s="389"/>
      <c r="DS163" s="389"/>
      <c r="DT163" s="389"/>
      <c r="DU163" s="389"/>
      <c r="DV163" s="389"/>
      <c r="DW163" s="389"/>
      <c r="DX163" s="389"/>
      <c r="DY163" s="389"/>
      <c r="DZ163" s="389"/>
      <c r="EA163" s="389"/>
      <c r="EB163" s="389"/>
      <c r="EC163" s="389"/>
      <c r="ED163" s="389"/>
      <c r="EE163" s="389"/>
      <c r="EF163" s="389"/>
      <c r="EG163" s="389"/>
      <c r="EH163" s="389"/>
      <c r="EI163" s="389"/>
      <c r="EJ163" s="389"/>
      <c r="EK163" s="389"/>
      <c r="EL163" s="389"/>
      <c r="EM163" s="389"/>
      <c r="EN163" s="389"/>
      <c r="EO163" s="389"/>
      <c r="EP163" s="389"/>
      <c r="EQ163" s="389"/>
      <c r="ER163" s="389"/>
      <c r="ES163" s="389"/>
      <c r="ET163" s="389"/>
      <c r="EU163" s="389"/>
      <c r="EV163" s="389"/>
      <c r="EW163" s="389"/>
      <c r="EX163" s="389"/>
      <c r="EY163" s="389"/>
      <c r="EZ163" s="389"/>
      <c r="FA163" s="389"/>
      <c r="FB163" s="389"/>
      <c r="FC163" s="389"/>
      <c r="FD163" s="389"/>
      <c r="FE163" s="389"/>
      <c r="FF163" s="389"/>
      <c r="FG163" s="389"/>
      <c r="FH163" s="389"/>
      <c r="FI163" s="389"/>
      <c r="FJ163" s="389"/>
      <c r="FK163" s="389"/>
      <c r="FL163" s="389"/>
      <c r="FM163" s="389"/>
    </row>
    <row r="164" spans="41:169" ht="18.75" customHeight="1" x14ac:dyDescent="0.3">
      <c r="AO164" s="389"/>
      <c r="AP164" s="389"/>
      <c r="AQ164" s="389"/>
      <c r="AR164" s="389"/>
      <c r="AS164" s="389"/>
      <c r="AT164" s="389"/>
      <c r="AU164" s="389"/>
      <c r="AV164" s="389"/>
      <c r="AW164" s="389"/>
      <c r="AX164" s="389"/>
      <c r="AY164" s="389"/>
      <c r="AZ164" s="389"/>
      <c r="BA164" s="389"/>
      <c r="BB164" s="389"/>
      <c r="BC164" s="389"/>
      <c r="BD164" s="389"/>
      <c r="BE164" s="389"/>
      <c r="BF164" s="389"/>
      <c r="BG164" s="389"/>
      <c r="BH164" s="389"/>
      <c r="BI164" s="389"/>
      <c r="BJ164" s="389"/>
      <c r="BK164" s="389"/>
      <c r="BL164" s="389"/>
      <c r="BM164" s="389"/>
      <c r="BN164" s="389"/>
      <c r="BO164" s="389"/>
      <c r="BP164" s="389"/>
      <c r="BQ164" s="389"/>
      <c r="BR164" s="389"/>
      <c r="BS164" s="389"/>
      <c r="BT164" s="389"/>
      <c r="BU164" s="389"/>
      <c r="BV164" s="389"/>
      <c r="BW164" s="389"/>
      <c r="BX164" s="389"/>
      <c r="BY164" s="389"/>
      <c r="BZ164" s="389"/>
      <c r="CA164" s="389"/>
      <c r="CB164" s="389"/>
      <c r="CC164" s="389"/>
      <c r="CD164" s="389"/>
      <c r="CE164" s="389"/>
      <c r="CF164" s="389"/>
      <c r="CG164" s="389"/>
      <c r="CH164" s="389"/>
      <c r="CI164" s="389"/>
      <c r="CJ164" s="389"/>
      <c r="CK164" s="389"/>
      <c r="CL164" s="389"/>
      <c r="CM164" s="389"/>
      <c r="CN164" s="389"/>
      <c r="CO164" s="389"/>
      <c r="CP164" s="389"/>
      <c r="CQ164" s="389"/>
      <c r="CR164" s="389"/>
      <c r="CS164" s="389"/>
      <c r="CT164" s="389"/>
      <c r="CU164" s="389"/>
      <c r="CV164" s="389"/>
      <c r="CW164" s="389"/>
      <c r="CX164" s="389"/>
      <c r="CY164" s="389"/>
      <c r="CZ164" s="389"/>
      <c r="DA164" s="389"/>
      <c r="DB164" s="389"/>
      <c r="DC164" s="389"/>
      <c r="DD164" s="389"/>
      <c r="DE164" s="389"/>
      <c r="DF164" s="389"/>
      <c r="DG164" s="389"/>
      <c r="DH164" s="389"/>
      <c r="DI164" s="389"/>
      <c r="DJ164" s="389"/>
      <c r="DK164" s="389"/>
      <c r="DL164" s="389"/>
      <c r="DM164" s="389"/>
      <c r="DN164" s="389"/>
      <c r="DO164" s="389"/>
      <c r="DP164" s="389"/>
      <c r="DQ164" s="389"/>
      <c r="DR164" s="389"/>
      <c r="DS164" s="389"/>
      <c r="DT164" s="389"/>
      <c r="DU164" s="389"/>
      <c r="DV164" s="389"/>
      <c r="DW164" s="389"/>
      <c r="DX164" s="389"/>
      <c r="DY164" s="389"/>
      <c r="DZ164" s="389"/>
      <c r="EA164" s="389"/>
      <c r="EB164" s="389"/>
      <c r="EC164" s="389"/>
      <c r="ED164" s="389"/>
      <c r="EE164" s="389"/>
      <c r="EF164" s="389"/>
      <c r="EG164" s="389"/>
      <c r="EH164" s="389"/>
      <c r="EI164" s="389"/>
      <c r="EJ164" s="389"/>
      <c r="EK164" s="389"/>
      <c r="EL164" s="389"/>
      <c r="EM164" s="389"/>
      <c r="EN164" s="389"/>
      <c r="EO164" s="389"/>
      <c r="EP164" s="389"/>
      <c r="EQ164" s="389"/>
      <c r="ER164" s="389"/>
      <c r="ES164" s="389"/>
      <c r="ET164" s="389"/>
      <c r="EU164" s="389"/>
      <c r="EV164" s="389"/>
      <c r="EW164" s="389"/>
      <c r="EX164" s="389"/>
      <c r="EY164" s="389"/>
      <c r="EZ164" s="389"/>
      <c r="FA164" s="389"/>
      <c r="FB164" s="389"/>
      <c r="FC164" s="389"/>
      <c r="FD164" s="389"/>
      <c r="FE164" s="389"/>
      <c r="FF164" s="389"/>
      <c r="FG164" s="389"/>
      <c r="FH164" s="389"/>
      <c r="FI164" s="389"/>
      <c r="FJ164" s="389"/>
      <c r="FK164" s="389"/>
      <c r="FL164" s="389"/>
      <c r="FM164" s="389"/>
    </row>
    <row r="165" spans="41:169" ht="18.75" customHeight="1" x14ac:dyDescent="0.3">
      <c r="AO165" s="389"/>
      <c r="AP165" s="389"/>
      <c r="AQ165" s="389"/>
      <c r="AR165" s="389"/>
      <c r="AS165" s="389"/>
      <c r="AT165" s="389"/>
      <c r="AU165" s="389"/>
      <c r="AV165" s="389"/>
      <c r="AW165" s="389"/>
      <c r="AX165" s="389"/>
      <c r="AY165" s="389"/>
      <c r="AZ165" s="389"/>
      <c r="BA165" s="389"/>
      <c r="BB165" s="389"/>
      <c r="BC165" s="389"/>
      <c r="BD165" s="389"/>
      <c r="BE165" s="389"/>
      <c r="BF165" s="389"/>
      <c r="BG165" s="389"/>
      <c r="BH165" s="389"/>
      <c r="BI165" s="389"/>
      <c r="BJ165" s="389"/>
      <c r="BK165" s="389"/>
      <c r="BL165" s="389"/>
      <c r="BM165" s="389"/>
      <c r="BN165" s="389"/>
      <c r="BO165" s="389"/>
      <c r="BP165" s="389"/>
      <c r="BQ165" s="389"/>
      <c r="BR165" s="389"/>
      <c r="BS165" s="389"/>
      <c r="BT165" s="389"/>
      <c r="BU165" s="389"/>
      <c r="BV165" s="389"/>
      <c r="BW165" s="389"/>
      <c r="BX165" s="389"/>
      <c r="BY165" s="389"/>
      <c r="BZ165" s="389"/>
      <c r="CA165" s="389"/>
      <c r="CB165" s="389"/>
      <c r="CC165" s="389"/>
      <c r="CD165" s="389"/>
      <c r="CE165" s="389"/>
      <c r="CF165" s="389"/>
      <c r="CG165" s="389"/>
      <c r="CH165" s="389"/>
      <c r="CI165" s="389"/>
      <c r="CJ165" s="389"/>
      <c r="CK165" s="389"/>
      <c r="CL165" s="389"/>
      <c r="CM165" s="389"/>
      <c r="CN165" s="389"/>
      <c r="CO165" s="389"/>
      <c r="CP165" s="389"/>
      <c r="CQ165" s="389"/>
      <c r="CR165" s="389"/>
      <c r="CS165" s="389"/>
      <c r="CT165" s="389"/>
      <c r="CU165" s="389"/>
      <c r="CV165" s="389"/>
      <c r="CW165" s="389"/>
      <c r="CX165" s="389"/>
      <c r="CY165" s="389"/>
      <c r="CZ165" s="389"/>
      <c r="DA165" s="389"/>
      <c r="DB165" s="389"/>
      <c r="DC165" s="389"/>
      <c r="DD165" s="389"/>
      <c r="DE165" s="389"/>
      <c r="DF165" s="389"/>
      <c r="DG165" s="389"/>
      <c r="DH165" s="389"/>
      <c r="DI165" s="389"/>
      <c r="DJ165" s="389"/>
      <c r="DK165" s="389"/>
      <c r="DL165" s="389"/>
      <c r="DM165" s="389"/>
      <c r="DN165" s="389"/>
      <c r="DO165" s="389"/>
      <c r="DP165" s="389"/>
      <c r="DQ165" s="389"/>
      <c r="DR165" s="389"/>
      <c r="DS165" s="389"/>
      <c r="DT165" s="389"/>
      <c r="DU165" s="389"/>
      <c r="DV165" s="389"/>
      <c r="DW165" s="389"/>
      <c r="DX165" s="389"/>
      <c r="DY165" s="389"/>
      <c r="DZ165" s="389"/>
      <c r="EA165" s="389"/>
      <c r="EB165" s="389"/>
      <c r="EC165" s="389"/>
      <c r="ED165" s="389"/>
      <c r="EE165" s="389"/>
      <c r="EF165" s="389"/>
      <c r="EG165" s="389"/>
      <c r="EH165" s="389"/>
      <c r="EI165" s="389"/>
      <c r="EJ165" s="389"/>
      <c r="EK165" s="389"/>
      <c r="EL165" s="389"/>
      <c r="EM165" s="389"/>
      <c r="EN165" s="389"/>
      <c r="EO165" s="389"/>
      <c r="EP165" s="389"/>
      <c r="EQ165" s="389"/>
      <c r="ER165" s="389"/>
      <c r="ES165" s="389"/>
      <c r="ET165" s="389"/>
      <c r="EU165" s="389"/>
      <c r="EV165" s="389"/>
      <c r="EW165" s="389"/>
      <c r="EX165" s="389"/>
      <c r="EY165" s="389"/>
      <c r="EZ165" s="389"/>
      <c r="FA165" s="389"/>
      <c r="FB165" s="389"/>
      <c r="FC165" s="389"/>
      <c r="FD165" s="389"/>
      <c r="FE165" s="389"/>
      <c r="FF165" s="389"/>
      <c r="FG165" s="389"/>
      <c r="FH165" s="389"/>
      <c r="FI165" s="389"/>
      <c r="FJ165" s="389"/>
      <c r="FK165" s="389"/>
      <c r="FL165" s="389"/>
      <c r="FM165" s="389"/>
    </row>
    <row r="166" spans="41:169" ht="18.75" customHeight="1" x14ac:dyDescent="0.3">
      <c r="AO166" s="389"/>
      <c r="AP166" s="389"/>
      <c r="AQ166" s="389"/>
      <c r="AR166" s="389"/>
      <c r="AS166" s="389"/>
      <c r="AT166" s="389"/>
      <c r="AU166" s="389"/>
      <c r="AV166" s="389"/>
      <c r="AW166" s="389"/>
      <c r="AX166" s="389"/>
      <c r="AY166" s="389"/>
      <c r="AZ166" s="389"/>
      <c r="BA166" s="389"/>
      <c r="BB166" s="389"/>
      <c r="BC166" s="389"/>
      <c r="BD166" s="389"/>
      <c r="BE166" s="389"/>
      <c r="BF166" s="389"/>
      <c r="BG166" s="389"/>
      <c r="BH166" s="389"/>
      <c r="BI166" s="389"/>
      <c r="BJ166" s="389"/>
      <c r="BK166" s="389"/>
      <c r="BL166" s="389"/>
      <c r="BM166" s="389"/>
      <c r="BN166" s="389"/>
      <c r="BO166" s="389"/>
      <c r="BP166" s="389"/>
      <c r="BQ166" s="389"/>
      <c r="BR166" s="389"/>
      <c r="BS166" s="389"/>
      <c r="BT166" s="389"/>
      <c r="BU166" s="389"/>
      <c r="BV166" s="389"/>
      <c r="BW166" s="389"/>
      <c r="BX166" s="389"/>
      <c r="BY166" s="389"/>
      <c r="BZ166" s="389"/>
      <c r="CA166" s="389"/>
      <c r="CB166" s="389"/>
      <c r="CC166" s="389"/>
      <c r="CD166" s="389"/>
      <c r="CE166" s="389"/>
      <c r="CF166" s="389"/>
      <c r="CG166" s="389"/>
      <c r="CH166" s="389"/>
      <c r="CI166" s="389"/>
      <c r="CJ166" s="389"/>
      <c r="CK166" s="389"/>
      <c r="CL166" s="389"/>
      <c r="CM166" s="389"/>
      <c r="CN166" s="389"/>
      <c r="CO166" s="389"/>
      <c r="CP166" s="389"/>
      <c r="CQ166" s="389"/>
      <c r="CR166" s="389"/>
      <c r="CS166" s="389"/>
      <c r="CT166" s="389"/>
      <c r="CU166" s="389"/>
      <c r="CV166" s="389"/>
      <c r="CW166" s="389"/>
      <c r="CX166" s="389"/>
      <c r="CY166" s="389"/>
      <c r="CZ166" s="389"/>
      <c r="DA166" s="389"/>
      <c r="DB166" s="389"/>
      <c r="DC166" s="389"/>
      <c r="DD166" s="389"/>
      <c r="DE166" s="389"/>
      <c r="DF166" s="389"/>
      <c r="DG166" s="389"/>
      <c r="DH166" s="389"/>
      <c r="DI166" s="389"/>
      <c r="DJ166" s="389"/>
      <c r="DK166" s="389"/>
      <c r="DL166" s="389"/>
      <c r="DM166" s="389"/>
      <c r="DN166" s="389"/>
      <c r="DO166" s="389"/>
      <c r="DP166" s="389"/>
      <c r="DQ166" s="389"/>
      <c r="DR166" s="389"/>
      <c r="DS166" s="389"/>
      <c r="DT166" s="389"/>
      <c r="DU166" s="389"/>
      <c r="DV166" s="389"/>
      <c r="DW166" s="389"/>
      <c r="DX166" s="389"/>
      <c r="DY166" s="389"/>
      <c r="DZ166" s="389"/>
      <c r="EA166" s="389"/>
      <c r="EB166" s="389"/>
      <c r="EC166" s="389"/>
      <c r="ED166" s="389"/>
      <c r="EE166" s="389"/>
      <c r="EF166" s="389"/>
      <c r="EG166" s="389"/>
      <c r="EH166" s="389"/>
      <c r="EI166" s="389"/>
      <c r="EJ166" s="389"/>
      <c r="EK166" s="389"/>
      <c r="EL166" s="389"/>
      <c r="EM166" s="389"/>
      <c r="EN166" s="389"/>
      <c r="EO166" s="389"/>
      <c r="EP166" s="389"/>
      <c r="EQ166" s="389"/>
      <c r="ER166" s="389"/>
      <c r="ES166" s="389"/>
      <c r="ET166" s="389"/>
      <c r="EU166" s="389"/>
      <c r="EV166" s="389"/>
      <c r="EW166" s="389"/>
      <c r="EX166" s="389"/>
      <c r="EY166" s="389"/>
      <c r="EZ166" s="389"/>
      <c r="FA166" s="389"/>
      <c r="FB166" s="389"/>
      <c r="FC166" s="389"/>
      <c r="FD166" s="389"/>
      <c r="FE166" s="389"/>
      <c r="FF166" s="389"/>
      <c r="FG166" s="389"/>
      <c r="FH166" s="389"/>
      <c r="FI166" s="389"/>
      <c r="FJ166" s="389"/>
      <c r="FK166" s="389"/>
      <c r="FL166" s="389"/>
      <c r="FM166" s="389"/>
    </row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</sheetData>
  <mergeCells count="573">
    <mergeCell ref="GI76:GK76"/>
    <mergeCell ref="FQ76:FS76"/>
    <mergeCell ref="FT76:FV76"/>
    <mergeCell ref="FW76:FY76"/>
    <mergeCell ref="FZ76:GB76"/>
    <mergeCell ref="GC76:GE76"/>
    <mergeCell ref="GF76:GH76"/>
    <mergeCell ref="EY76:FA76"/>
    <mergeCell ref="FB76:FD76"/>
    <mergeCell ref="FE76:FG76"/>
    <mergeCell ref="FH76:FJ76"/>
    <mergeCell ref="FK76:FM76"/>
    <mergeCell ref="FN76:FP76"/>
    <mergeCell ref="EG76:EI76"/>
    <mergeCell ref="EJ76:EL76"/>
    <mergeCell ref="EM76:EO76"/>
    <mergeCell ref="EP76:ER76"/>
    <mergeCell ref="ES76:EU76"/>
    <mergeCell ref="EV76:EX76"/>
    <mergeCell ref="DO76:DQ76"/>
    <mergeCell ref="DR76:DT76"/>
    <mergeCell ref="DU76:DW76"/>
    <mergeCell ref="DX76:DZ76"/>
    <mergeCell ref="EA76:EC76"/>
    <mergeCell ref="ED76:EF76"/>
    <mergeCell ref="CW76:CY76"/>
    <mergeCell ref="CZ76:DB76"/>
    <mergeCell ref="DC76:DE76"/>
    <mergeCell ref="DF76:DH76"/>
    <mergeCell ref="DI76:DK76"/>
    <mergeCell ref="DL76:DN76"/>
    <mergeCell ref="CE76:CG76"/>
    <mergeCell ref="CH76:CJ76"/>
    <mergeCell ref="CK76:CM76"/>
    <mergeCell ref="CN76:CP76"/>
    <mergeCell ref="CQ76:CS76"/>
    <mergeCell ref="CT76:CV76"/>
    <mergeCell ref="BM76:BO76"/>
    <mergeCell ref="BP76:BR76"/>
    <mergeCell ref="BS76:BU76"/>
    <mergeCell ref="BV76:BX76"/>
    <mergeCell ref="BY76:CA76"/>
    <mergeCell ref="CB76:CD76"/>
    <mergeCell ref="AU76:AW76"/>
    <mergeCell ref="AX76:AZ76"/>
    <mergeCell ref="BA76:BC76"/>
    <mergeCell ref="BD76:BF76"/>
    <mergeCell ref="BG76:BI76"/>
    <mergeCell ref="BJ76:BL76"/>
    <mergeCell ref="AC76:AE76"/>
    <mergeCell ref="AF76:AH76"/>
    <mergeCell ref="AI76:AK76"/>
    <mergeCell ref="AL76:AN76"/>
    <mergeCell ref="AO76:AQ76"/>
    <mergeCell ref="AR76:AT76"/>
    <mergeCell ref="GI75:GK75"/>
    <mergeCell ref="B76:D76"/>
    <mergeCell ref="E76:G76"/>
    <mergeCell ref="H76:J76"/>
    <mergeCell ref="K76:M76"/>
    <mergeCell ref="N76:P76"/>
    <mergeCell ref="Q76:S76"/>
    <mergeCell ref="T76:V76"/>
    <mergeCell ref="W76:Y76"/>
    <mergeCell ref="Z76:AB76"/>
    <mergeCell ref="FQ75:FS75"/>
    <mergeCell ref="FT75:FV75"/>
    <mergeCell ref="FW75:FY75"/>
    <mergeCell ref="FZ75:GB75"/>
    <mergeCell ref="GC75:GE75"/>
    <mergeCell ref="GF75:GH75"/>
    <mergeCell ref="EY75:FA75"/>
    <mergeCell ref="FB75:FD75"/>
    <mergeCell ref="FE75:FG75"/>
    <mergeCell ref="FH75:FJ75"/>
    <mergeCell ref="FK75:FM75"/>
    <mergeCell ref="FN75:FP75"/>
    <mergeCell ref="EG75:EI75"/>
    <mergeCell ref="EJ75:EL75"/>
    <mergeCell ref="EM75:EO75"/>
    <mergeCell ref="EP75:ER75"/>
    <mergeCell ref="ES75:EU75"/>
    <mergeCell ref="EV75:EX75"/>
    <mergeCell ref="DO75:DQ75"/>
    <mergeCell ref="DR75:DT75"/>
    <mergeCell ref="DU75:DW75"/>
    <mergeCell ref="DX75:DZ75"/>
    <mergeCell ref="EA75:EC75"/>
    <mergeCell ref="ED75:EF75"/>
    <mergeCell ref="CW75:CY75"/>
    <mergeCell ref="CZ75:DB75"/>
    <mergeCell ref="DC75:DE75"/>
    <mergeCell ref="DF75:DH75"/>
    <mergeCell ref="DI75:DK75"/>
    <mergeCell ref="DL75:DN75"/>
    <mergeCell ref="CE75:CG75"/>
    <mergeCell ref="CH75:CJ75"/>
    <mergeCell ref="CK75:CM75"/>
    <mergeCell ref="CN75:CP75"/>
    <mergeCell ref="CQ75:CS75"/>
    <mergeCell ref="CT75:CV75"/>
    <mergeCell ref="BM75:BO75"/>
    <mergeCell ref="BP75:BR75"/>
    <mergeCell ref="BS75:BU75"/>
    <mergeCell ref="BV75:BX75"/>
    <mergeCell ref="BY75:CA75"/>
    <mergeCell ref="CB75:CD75"/>
    <mergeCell ref="AU75:AW75"/>
    <mergeCell ref="AX75:AZ75"/>
    <mergeCell ref="BA75:BC75"/>
    <mergeCell ref="BD75:BF75"/>
    <mergeCell ref="BG75:BI75"/>
    <mergeCell ref="BJ75:BL75"/>
    <mergeCell ref="AC75:AE75"/>
    <mergeCell ref="AF75:AH75"/>
    <mergeCell ref="AI75:AK75"/>
    <mergeCell ref="AL75:AN75"/>
    <mergeCell ref="AO75:AQ75"/>
    <mergeCell ref="AR75:AT75"/>
    <mergeCell ref="GI74:GK74"/>
    <mergeCell ref="B75:D75"/>
    <mergeCell ref="E75:G75"/>
    <mergeCell ref="H75:J75"/>
    <mergeCell ref="K75:M75"/>
    <mergeCell ref="N75:P75"/>
    <mergeCell ref="Q75:S75"/>
    <mergeCell ref="T75:V75"/>
    <mergeCell ref="W75:Y75"/>
    <mergeCell ref="Z75:AB75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FE74:FG74"/>
    <mergeCell ref="FH74:FJ74"/>
    <mergeCell ref="FK74:FM74"/>
    <mergeCell ref="FN74:FP74"/>
    <mergeCell ref="EG74:EI74"/>
    <mergeCell ref="EJ74:EL74"/>
    <mergeCell ref="EM74:EO74"/>
    <mergeCell ref="EP74:ER74"/>
    <mergeCell ref="ES74:EU74"/>
    <mergeCell ref="EV74:EX74"/>
    <mergeCell ref="DO74:DQ74"/>
    <mergeCell ref="DR74:DT74"/>
    <mergeCell ref="DU74:DW74"/>
    <mergeCell ref="DX74:DZ74"/>
    <mergeCell ref="EA74:EC74"/>
    <mergeCell ref="ED74:EF74"/>
    <mergeCell ref="CW74:CY74"/>
    <mergeCell ref="CZ74:DB74"/>
    <mergeCell ref="DC74:DE74"/>
    <mergeCell ref="DF74:DH74"/>
    <mergeCell ref="DI74:DK74"/>
    <mergeCell ref="DL74:DN74"/>
    <mergeCell ref="CE74:CG74"/>
    <mergeCell ref="CH74:CJ74"/>
    <mergeCell ref="CK74:CM74"/>
    <mergeCell ref="CN74:CP74"/>
    <mergeCell ref="CQ74:CS74"/>
    <mergeCell ref="CT74:CV74"/>
    <mergeCell ref="BM74:BO74"/>
    <mergeCell ref="BP74:BR74"/>
    <mergeCell ref="BS74:BU74"/>
    <mergeCell ref="BV74:BX74"/>
    <mergeCell ref="BY74:CA74"/>
    <mergeCell ref="CB74:CD74"/>
    <mergeCell ref="AU74:AW74"/>
    <mergeCell ref="AX74:AZ74"/>
    <mergeCell ref="BA74:BC74"/>
    <mergeCell ref="BD74:BF74"/>
    <mergeCell ref="BG74:BI74"/>
    <mergeCell ref="BJ74:BL74"/>
    <mergeCell ref="AC74:AE74"/>
    <mergeCell ref="AF74:AH74"/>
    <mergeCell ref="AI74:AK74"/>
    <mergeCell ref="AL74:AN74"/>
    <mergeCell ref="AO74:AQ74"/>
    <mergeCell ref="AR74:AT74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FE73:FG73"/>
    <mergeCell ref="FH73:FJ73"/>
    <mergeCell ref="FK73:FM73"/>
    <mergeCell ref="FN73:FP73"/>
    <mergeCell ref="EG73:EI73"/>
    <mergeCell ref="EJ73:EL73"/>
    <mergeCell ref="EM73:EO73"/>
    <mergeCell ref="EP73:ER73"/>
    <mergeCell ref="ES73:EU73"/>
    <mergeCell ref="EV73:EX73"/>
    <mergeCell ref="DO73:DQ73"/>
    <mergeCell ref="DR73:DT73"/>
    <mergeCell ref="DU73:DW73"/>
    <mergeCell ref="DX73:DZ73"/>
    <mergeCell ref="EA73:EC73"/>
    <mergeCell ref="ED73:EF73"/>
    <mergeCell ref="CW73:CY73"/>
    <mergeCell ref="CZ73:DB73"/>
    <mergeCell ref="DC73:DE73"/>
    <mergeCell ref="DF73:DH73"/>
    <mergeCell ref="DI73:DK73"/>
    <mergeCell ref="DL73:DN73"/>
    <mergeCell ref="CE73:CG73"/>
    <mergeCell ref="CH73:CJ73"/>
    <mergeCell ref="CK73:CM73"/>
    <mergeCell ref="CN73:CP73"/>
    <mergeCell ref="CQ73:CS73"/>
    <mergeCell ref="CT73:CV73"/>
    <mergeCell ref="BM73:BO73"/>
    <mergeCell ref="BP73:BR73"/>
    <mergeCell ref="BS73:BU73"/>
    <mergeCell ref="BV73:BX73"/>
    <mergeCell ref="BY73:CA73"/>
    <mergeCell ref="CB73:CD73"/>
    <mergeCell ref="AU73:AW73"/>
    <mergeCell ref="AX73:AZ73"/>
    <mergeCell ref="BA73:BC73"/>
    <mergeCell ref="BD73:BF73"/>
    <mergeCell ref="BG73:BI73"/>
    <mergeCell ref="BJ73:BL73"/>
    <mergeCell ref="AC73:AE73"/>
    <mergeCell ref="AF73:AH73"/>
    <mergeCell ref="AI73:AK73"/>
    <mergeCell ref="AL73:AN73"/>
    <mergeCell ref="AO73:AQ73"/>
    <mergeCell ref="AR73:AT73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FE72:FG72"/>
    <mergeCell ref="FH72:FJ72"/>
    <mergeCell ref="FK72:FM72"/>
    <mergeCell ref="FN72:FP72"/>
    <mergeCell ref="EG72:EI72"/>
    <mergeCell ref="EJ72:EL72"/>
    <mergeCell ref="EM72:EO72"/>
    <mergeCell ref="EP72:ER72"/>
    <mergeCell ref="ES72:EU72"/>
    <mergeCell ref="EV72:EX72"/>
    <mergeCell ref="DO72:DQ72"/>
    <mergeCell ref="DR72:DT72"/>
    <mergeCell ref="DU72:DW72"/>
    <mergeCell ref="DX72:DZ72"/>
    <mergeCell ref="EA72:EC72"/>
    <mergeCell ref="ED72:EF72"/>
    <mergeCell ref="CW72:CY72"/>
    <mergeCell ref="CZ72:DB72"/>
    <mergeCell ref="DC72:DE72"/>
    <mergeCell ref="DF72:DH72"/>
    <mergeCell ref="DI72:DK72"/>
    <mergeCell ref="DL72:DN72"/>
    <mergeCell ref="CE72:CG72"/>
    <mergeCell ref="CH72:CJ72"/>
    <mergeCell ref="CK72:CM72"/>
    <mergeCell ref="CN72:CP72"/>
    <mergeCell ref="CQ72:CS72"/>
    <mergeCell ref="CT72:CV72"/>
    <mergeCell ref="BM72:BO72"/>
    <mergeCell ref="BP72:BR72"/>
    <mergeCell ref="BS72:BU72"/>
    <mergeCell ref="BV72:BX72"/>
    <mergeCell ref="BY72:CA72"/>
    <mergeCell ref="CB72:CD72"/>
    <mergeCell ref="AU72:AW72"/>
    <mergeCell ref="AX72:AZ72"/>
    <mergeCell ref="BA72:BC72"/>
    <mergeCell ref="BD72:BF72"/>
    <mergeCell ref="BG72:BI72"/>
    <mergeCell ref="BJ72:BL72"/>
    <mergeCell ref="AC72:AE72"/>
    <mergeCell ref="AF72:AH72"/>
    <mergeCell ref="AI72:AK72"/>
    <mergeCell ref="AL72:AN72"/>
    <mergeCell ref="AO72:AQ72"/>
    <mergeCell ref="AR72:AT72"/>
    <mergeCell ref="GI33:GK33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18">
    <tabColor rgb="FFFF33CC"/>
    <pageSetUpPr fitToPage="1"/>
  </sheetPr>
  <dimension ref="A1:CN548"/>
  <sheetViews>
    <sheetView zoomScale="80" zoomScaleNormal="80" zoomScalePageLayoutView="90" workbookViewId="0">
      <pane xSplit="1" ySplit="7" topLeftCell="AO8" activePane="bottomRight" state="frozen"/>
      <selection pane="topRight" activeCell="B1" sqref="B1"/>
      <selection pane="bottomLeft" activeCell="A8" sqref="A8"/>
      <selection pane="bottomRight" activeCell="AT11" sqref="AT11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4" width="13.7109375" customWidth="1"/>
    <col min="45" max="45" width="15.14062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80" width="15.5703125" customWidth="1"/>
    <col min="81" max="81" width="15.14062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90" ht="23.25" x14ac:dyDescent="0.35">
      <c r="A1" s="2792" t="s">
        <v>4235</v>
      </c>
      <c r="BG1" s="2857"/>
      <c r="BH1" s="2857"/>
      <c r="BI1" s="2857"/>
    </row>
    <row r="2" spans="1:90" ht="23.25" x14ac:dyDescent="0.35">
      <c r="A2" s="2792" t="s">
        <v>3676</v>
      </c>
      <c r="BG2" s="2857"/>
      <c r="BH2" s="2857"/>
      <c r="BI2" s="2857"/>
      <c r="CC2" s="1250"/>
    </row>
    <row r="3" spans="1:90" ht="19.5" customHeight="1" x14ac:dyDescent="0.35">
      <c r="A3" s="2858"/>
      <c r="B3" s="2858"/>
      <c r="C3" s="2858"/>
      <c r="D3" s="2858"/>
      <c r="E3" s="2858"/>
      <c r="F3" s="2858"/>
      <c r="G3" s="2858"/>
      <c r="H3" s="2858"/>
      <c r="I3" s="2858"/>
      <c r="J3" s="2858"/>
      <c r="K3" s="2859"/>
      <c r="L3" s="2859"/>
      <c r="M3" s="2859"/>
      <c r="N3" s="2859"/>
      <c r="O3" s="2859"/>
      <c r="P3" s="2859"/>
      <c r="Q3" s="2859"/>
      <c r="R3" s="2859"/>
      <c r="S3" s="2859"/>
      <c r="T3" s="2859"/>
      <c r="U3" s="2859"/>
      <c r="V3" s="2859"/>
      <c r="W3" s="2859"/>
      <c r="X3" s="2859"/>
      <c r="Y3" s="2859"/>
      <c r="Z3" s="2859"/>
      <c r="AA3" s="2859"/>
      <c r="AB3" s="2859"/>
      <c r="AC3" s="2859"/>
      <c r="AD3" s="2859"/>
      <c r="AE3" s="2859"/>
      <c r="AF3" s="2859"/>
      <c r="AG3" s="2859"/>
      <c r="AH3" s="2859"/>
      <c r="AI3" s="2859"/>
      <c r="AJ3" s="2859"/>
      <c r="AK3" s="2859"/>
      <c r="AL3" s="2859"/>
      <c r="AM3" s="2859"/>
      <c r="AN3" s="2859"/>
      <c r="AO3" s="2859"/>
      <c r="AP3" s="2859"/>
      <c r="AQ3" s="2859"/>
      <c r="AR3" s="2859"/>
      <c r="AS3" s="2859"/>
      <c r="AT3" s="2859"/>
      <c r="AU3" s="2859"/>
      <c r="AV3" s="2859"/>
      <c r="AW3" s="2859"/>
      <c r="AX3" s="2859"/>
      <c r="AY3" s="2859"/>
      <c r="AZ3" s="2859"/>
      <c r="BA3" s="2859"/>
      <c r="BB3" s="2859"/>
      <c r="BC3" s="2859"/>
      <c r="BD3" s="2859"/>
      <c r="BE3" s="2859"/>
      <c r="BF3" s="2859"/>
      <c r="BG3" s="2859"/>
      <c r="BH3" s="2859"/>
      <c r="BI3" s="2859"/>
      <c r="BJ3" s="2859"/>
      <c r="BK3" s="2859"/>
      <c r="BL3" s="2859"/>
      <c r="BM3" s="2859"/>
      <c r="BN3" s="2859"/>
      <c r="BO3" s="2859"/>
      <c r="BP3" s="2859"/>
      <c r="BQ3" s="2859"/>
      <c r="BR3" s="2859"/>
      <c r="BS3" s="2859"/>
      <c r="BT3" s="2859"/>
      <c r="BU3" s="2859"/>
    </row>
    <row r="4" spans="1:90" ht="18.75" customHeight="1" x14ac:dyDescent="0.2">
      <c r="A4" s="4426" t="s">
        <v>3752</v>
      </c>
      <c r="B4" s="4427"/>
      <c r="C4" s="4427"/>
      <c r="D4" s="4427"/>
      <c r="E4" s="4427"/>
      <c r="F4" s="4427"/>
      <c r="G4" s="4427"/>
      <c r="H4" s="4427"/>
      <c r="I4" s="4427"/>
      <c r="J4" s="4427"/>
      <c r="K4" s="4428"/>
      <c r="L4" s="4428"/>
      <c r="M4" s="4428"/>
      <c r="N4" s="4428"/>
      <c r="O4" s="4428"/>
      <c r="P4" s="4428"/>
      <c r="Q4" s="4428"/>
      <c r="R4" s="4428"/>
      <c r="S4" s="4428"/>
      <c r="T4" s="4428"/>
      <c r="U4" s="4428"/>
      <c r="V4" s="4428"/>
      <c r="W4" s="4428"/>
      <c r="X4" s="4428"/>
      <c r="Y4" s="4428"/>
      <c r="Z4" s="4428"/>
      <c r="AA4" s="4428"/>
      <c r="AB4" s="4428"/>
      <c r="AC4" s="4428"/>
      <c r="AD4" s="4428"/>
      <c r="AE4" s="4428"/>
      <c r="AF4" s="4428"/>
      <c r="AG4" s="4428"/>
      <c r="AH4" s="4428"/>
      <c r="AI4" s="4428"/>
      <c r="AJ4" s="4428"/>
      <c r="AK4" s="4428"/>
      <c r="AL4" s="4428"/>
      <c r="AM4" s="4428"/>
      <c r="AN4" s="4428"/>
      <c r="AO4" s="4428"/>
      <c r="AP4" s="4428"/>
      <c r="AQ4" s="4428"/>
      <c r="AR4" s="4428"/>
      <c r="AS4" s="4428"/>
      <c r="AT4" s="4428"/>
      <c r="AU4" s="4428"/>
      <c r="AV4" s="4428"/>
      <c r="AW4" s="4428"/>
      <c r="AX4" s="4428"/>
      <c r="AY4" s="4428"/>
      <c r="AZ4" s="4428"/>
      <c r="BA4" s="4428"/>
      <c r="BB4" s="4428"/>
      <c r="BC4" s="4428"/>
      <c r="BD4" s="4428"/>
      <c r="BE4" s="4428"/>
      <c r="BF4" s="4428"/>
      <c r="BG4" s="4428"/>
      <c r="BH4" s="4428"/>
      <c r="BI4" s="4428"/>
      <c r="BJ4" s="4428"/>
      <c r="BK4" s="4428"/>
      <c r="BL4" s="4428"/>
      <c r="BM4" s="4428"/>
      <c r="BN4" s="4428"/>
      <c r="BO4" s="4428"/>
      <c r="BP4" s="4428"/>
      <c r="BQ4" s="4428"/>
      <c r="BR4" s="4428"/>
      <c r="BS4" s="4428"/>
      <c r="BT4" s="4428"/>
      <c r="BU4" s="4428"/>
      <c r="BV4" s="4429"/>
      <c r="BW4" s="4429"/>
      <c r="BX4" s="4429"/>
      <c r="BY4" s="4429"/>
      <c r="BZ4" s="4429"/>
      <c r="CA4" s="4429"/>
      <c r="CB4" s="4429"/>
      <c r="CC4" s="4429"/>
      <c r="CD4" s="4429"/>
      <c r="CE4" s="4429"/>
      <c r="CF4" s="4429"/>
      <c r="CG4" s="4429"/>
      <c r="CH4" s="4429"/>
      <c r="CI4" s="4429"/>
      <c r="CJ4" s="4430"/>
    </row>
    <row r="5" spans="1:90" ht="18.75" customHeight="1" x14ac:dyDescent="0.2">
      <c r="A5" s="5323" t="s">
        <v>525</v>
      </c>
      <c r="B5" s="5305" t="s">
        <v>3678</v>
      </c>
      <c r="C5" s="5306"/>
      <c r="D5" s="5306"/>
      <c r="E5" s="5306"/>
      <c r="F5" s="5306"/>
      <c r="G5" s="5306"/>
      <c r="H5" s="5306"/>
      <c r="I5" s="5306"/>
      <c r="J5" s="5306"/>
      <c r="K5" s="5306"/>
      <c r="L5" s="5306"/>
      <c r="M5" s="5306"/>
      <c r="N5" s="5306"/>
      <c r="O5" s="5306"/>
      <c r="P5" s="5307"/>
      <c r="Q5" s="5296" t="s">
        <v>3679</v>
      </c>
      <c r="R5" s="5297"/>
      <c r="S5" s="5297"/>
      <c r="T5" s="5297"/>
      <c r="U5" s="5297"/>
      <c r="V5" s="5297"/>
      <c r="W5" s="5297"/>
      <c r="X5" s="5297"/>
      <c r="Y5" s="5297"/>
      <c r="Z5" s="5297"/>
      <c r="AA5" s="5297"/>
      <c r="AB5" s="5297"/>
      <c r="AC5" s="5297"/>
      <c r="AD5" s="5308"/>
      <c r="AE5" s="5309"/>
      <c r="AF5" s="5292" t="s">
        <v>3680</v>
      </c>
      <c r="AG5" s="5293"/>
      <c r="AH5" s="5293"/>
      <c r="AI5" s="5293"/>
      <c r="AJ5" s="5293"/>
      <c r="AK5" s="5293"/>
      <c r="AL5" s="5293"/>
      <c r="AM5" s="5310"/>
      <c r="AN5" s="5311"/>
      <c r="AO5" s="5305" t="s">
        <v>3681</v>
      </c>
      <c r="AP5" s="5306"/>
      <c r="AQ5" s="5306"/>
      <c r="AR5" s="5306"/>
      <c r="AS5" s="5306"/>
      <c r="AT5" s="5306"/>
      <c r="AU5" s="5306"/>
      <c r="AV5" s="5306"/>
      <c r="AW5" s="5306"/>
      <c r="AX5" s="5306"/>
      <c r="AY5" s="5306"/>
      <c r="AZ5" s="5306"/>
      <c r="BA5" s="5306"/>
      <c r="BB5" s="5310"/>
      <c r="BC5" s="5311"/>
      <c r="BD5" s="5292" t="s">
        <v>3682</v>
      </c>
      <c r="BE5" s="5293"/>
      <c r="BF5" s="5293"/>
      <c r="BG5" s="5293"/>
      <c r="BH5" s="5293"/>
      <c r="BI5" s="5293"/>
      <c r="BJ5" s="5293"/>
      <c r="BK5" s="5310"/>
      <c r="BL5" s="5311"/>
      <c r="BM5" s="5305" t="s">
        <v>3683</v>
      </c>
      <c r="BN5" s="5306"/>
      <c r="BO5" s="5306"/>
      <c r="BP5" s="5306"/>
      <c r="BQ5" s="5306"/>
      <c r="BR5" s="5306"/>
      <c r="BS5" s="5306"/>
      <c r="BT5" s="5306"/>
      <c r="BU5" s="5306"/>
      <c r="BV5" s="5306"/>
      <c r="BW5" s="5306"/>
      <c r="BX5" s="5306"/>
      <c r="BY5" s="5306"/>
      <c r="BZ5" s="5310"/>
      <c r="CA5" s="5310"/>
      <c r="CB5" s="5292" t="s">
        <v>1991</v>
      </c>
      <c r="CC5" s="5293"/>
      <c r="CD5" s="5293"/>
      <c r="CE5" s="5293"/>
      <c r="CF5" s="5293"/>
      <c r="CG5" s="5293"/>
      <c r="CH5" s="5293"/>
      <c r="CI5" s="5294"/>
      <c r="CJ5" s="5295"/>
    </row>
    <row r="6" spans="1:90" ht="25.5" customHeight="1" x14ac:dyDescent="0.2">
      <c r="A6" s="5324"/>
      <c r="B6" s="5296" t="s">
        <v>3550</v>
      </c>
      <c r="C6" s="5297"/>
      <c r="D6" s="5298"/>
      <c r="E6" s="5299" t="s">
        <v>569</v>
      </c>
      <c r="F6" s="5300"/>
      <c r="G6" s="5301"/>
      <c r="H6" s="5299" t="s">
        <v>570</v>
      </c>
      <c r="I6" s="5300"/>
      <c r="J6" s="5301"/>
      <c r="K6" s="5299" t="s">
        <v>571</v>
      </c>
      <c r="L6" s="5300"/>
      <c r="M6" s="5301"/>
      <c r="N6" s="5296" t="s">
        <v>1674</v>
      </c>
      <c r="O6" s="5297"/>
      <c r="P6" s="5298"/>
      <c r="Q6" s="5296" t="s">
        <v>3550</v>
      </c>
      <c r="R6" s="5297"/>
      <c r="S6" s="5298"/>
      <c r="T6" s="5302" t="s">
        <v>3684</v>
      </c>
      <c r="U6" s="5303"/>
      <c r="V6" s="5304"/>
      <c r="W6" s="5302" t="s">
        <v>573</v>
      </c>
      <c r="X6" s="5303"/>
      <c r="Y6" s="5304"/>
      <c r="Z6" s="5302" t="s">
        <v>574</v>
      </c>
      <c r="AA6" s="5303"/>
      <c r="AB6" s="5304"/>
      <c r="AC6" s="5296" t="s">
        <v>1674</v>
      </c>
      <c r="AD6" s="5297"/>
      <c r="AE6" s="5298"/>
      <c r="AF6" s="5312" t="s">
        <v>3550</v>
      </c>
      <c r="AG6" s="5313"/>
      <c r="AH6" s="5314"/>
      <c r="AI6" s="5312" t="s">
        <v>1674</v>
      </c>
      <c r="AJ6" s="5313"/>
      <c r="AK6" s="5314"/>
      <c r="AL6" s="5312" t="s">
        <v>3685</v>
      </c>
      <c r="AM6" s="5313"/>
      <c r="AN6" s="5314"/>
      <c r="AO6" s="5328" t="s">
        <v>3550</v>
      </c>
      <c r="AP6" s="5329"/>
      <c r="AQ6" s="5330"/>
      <c r="AR6" s="5331" t="s">
        <v>575</v>
      </c>
      <c r="AS6" s="5332"/>
      <c r="AT6" s="5333"/>
      <c r="AU6" s="5331" t="s">
        <v>576</v>
      </c>
      <c r="AV6" s="5332"/>
      <c r="AW6" s="5333"/>
      <c r="AX6" s="5331" t="s">
        <v>577</v>
      </c>
      <c r="AY6" s="5332"/>
      <c r="AZ6" s="5333"/>
      <c r="BA6" s="5328" t="s">
        <v>1674</v>
      </c>
      <c r="BB6" s="5329"/>
      <c r="BC6" s="5330"/>
      <c r="BD6" s="5325" t="s">
        <v>3550</v>
      </c>
      <c r="BE6" s="5326"/>
      <c r="BF6" s="5327"/>
      <c r="BG6" s="5325" t="s">
        <v>1674</v>
      </c>
      <c r="BH6" s="5326"/>
      <c r="BI6" s="5327"/>
      <c r="BJ6" s="5325" t="s">
        <v>3685</v>
      </c>
      <c r="BK6" s="5326"/>
      <c r="BL6" s="5327"/>
      <c r="BM6" s="5315" t="s">
        <v>3550</v>
      </c>
      <c r="BN6" s="5316"/>
      <c r="BO6" s="5317"/>
      <c r="BP6" s="5315" t="s">
        <v>578</v>
      </c>
      <c r="BQ6" s="5316"/>
      <c r="BR6" s="5317"/>
      <c r="BS6" s="5315" t="s">
        <v>579</v>
      </c>
      <c r="BT6" s="5316"/>
      <c r="BU6" s="5317"/>
      <c r="BV6" s="5315" t="s">
        <v>580</v>
      </c>
      <c r="BW6" s="5316"/>
      <c r="BX6" s="5317"/>
      <c r="BY6" s="5315" t="s">
        <v>1674</v>
      </c>
      <c r="BZ6" s="5316"/>
      <c r="CA6" s="5316"/>
      <c r="CB6" s="5318" t="s">
        <v>3550</v>
      </c>
      <c r="CC6" s="5319"/>
      <c r="CD6" s="5320"/>
      <c r="CE6" s="5318" t="s">
        <v>1674</v>
      </c>
      <c r="CF6" s="5319"/>
      <c r="CG6" s="5320"/>
      <c r="CH6" s="5318" t="s">
        <v>3685</v>
      </c>
      <c r="CI6" s="5321"/>
      <c r="CJ6" s="5322"/>
    </row>
    <row r="7" spans="1:90" ht="25.5" customHeight="1" x14ac:dyDescent="0.2">
      <c r="A7" s="5324"/>
      <c r="B7" s="4374" t="s">
        <v>614</v>
      </c>
      <c r="C7" s="4374" t="s">
        <v>3753</v>
      </c>
      <c r="D7" s="4374" t="s">
        <v>3754</v>
      </c>
      <c r="E7" s="4374" t="s">
        <v>614</v>
      </c>
      <c r="F7" s="4374" t="s">
        <v>3753</v>
      </c>
      <c r="G7" s="4374" t="s">
        <v>3754</v>
      </c>
      <c r="H7" s="4374" t="s">
        <v>614</v>
      </c>
      <c r="I7" s="4374" t="s">
        <v>3753</v>
      </c>
      <c r="J7" s="4374" t="s">
        <v>3754</v>
      </c>
      <c r="K7" s="4374" t="s">
        <v>614</v>
      </c>
      <c r="L7" s="4374" t="s">
        <v>3753</v>
      </c>
      <c r="M7" s="4374" t="s">
        <v>3754</v>
      </c>
      <c r="N7" s="4374" t="s">
        <v>614</v>
      </c>
      <c r="O7" s="4374" t="s">
        <v>3753</v>
      </c>
      <c r="P7" s="4374" t="s">
        <v>3754</v>
      </c>
      <c r="Q7" s="4374" t="s">
        <v>614</v>
      </c>
      <c r="R7" s="4374" t="s">
        <v>3753</v>
      </c>
      <c r="S7" s="4374" t="s">
        <v>3754</v>
      </c>
      <c r="T7" s="4374" t="s">
        <v>614</v>
      </c>
      <c r="U7" s="4374" t="s">
        <v>3753</v>
      </c>
      <c r="V7" s="4374" t="s">
        <v>3754</v>
      </c>
      <c r="W7" s="4374" t="s">
        <v>614</v>
      </c>
      <c r="X7" s="4374" t="s">
        <v>3753</v>
      </c>
      <c r="Y7" s="4374" t="s">
        <v>3754</v>
      </c>
      <c r="Z7" s="4374" t="s">
        <v>614</v>
      </c>
      <c r="AA7" s="4374" t="s">
        <v>3753</v>
      </c>
      <c r="AB7" s="4374" t="s">
        <v>3754</v>
      </c>
      <c r="AC7" s="4374" t="s">
        <v>614</v>
      </c>
      <c r="AD7" s="4374" t="s">
        <v>3753</v>
      </c>
      <c r="AE7" s="4374" t="s">
        <v>3754</v>
      </c>
      <c r="AF7" s="4375" t="s">
        <v>614</v>
      </c>
      <c r="AG7" s="4375" t="s">
        <v>3753</v>
      </c>
      <c r="AH7" s="4375" t="s">
        <v>3754</v>
      </c>
      <c r="AI7" s="4375" t="s">
        <v>614</v>
      </c>
      <c r="AJ7" s="4375" t="s">
        <v>3753</v>
      </c>
      <c r="AK7" s="4375" t="s">
        <v>3754</v>
      </c>
      <c r="AL7" s="4375" t="s">
        <v>614</v>
      </c>
      <c r="AM7" s="4375" t="s">
        <v>3753</v>
      </c>
      <c r="AN7" s="4375" t="s">
        <v>3754</v>
      </c>
      <c r="AO7" s="4374" t="s">
        <v>614</v>
      </c>
      <c r="AP7" s="4374" t="s">
        <v>3753</v>
      </c>
      <c r="AQ7" s="4374" t="s">
        <v>3754</v>
      </c>
      <c r="AR7" s="4374" t="s">
        <v>614</v>
      </c>
      <c r="AS7" s="4374" t="s">
        <v>3753</v>
      </c>
      <c r="AT7" s="4374" t="s">
        <v>3754</v>
      </c>
      <c r="AU7" s="4374" t="s">
        <v>614</v>
      </c>
      <c r="AV7" s="4374" t="s">
        <v>3753</v>
      </c>
      <c r="AW7" s="4374" t="s">
        <v>3754</v>
      </c>
      <c r="AX7" s="4374" t="s">
        <v>614</v>
      </c>
      <c r="AY7" s="4374" t="s">
        <v>3753</v>
      </c>
      <c r="AZ7" s="4374" t="s">
        <v>3754</v>
      </c>
      <c r="BA7" s="4374" t="s">
        <v>614</v>
      </c>
      <c r="BB7" s="4374" t="s">
        <v>3753</v>
      </c>
      <c r="BC7" s="4374" t="s">
        <v>3754</v>
      </c>
      <c r="BD7" s="4375" t="s">
        <v>614</v>
      </c>
      <c r="BE7" s="4375" t="s">
        <v>3753</v>
      </c>
      <c r="BF7" s="4375" t="s">
        <v>3754</v>
      </c>
      <c r="BG7" s="4375" t="s">
        <v>614</v>
      </c>
      <c r="BH7" s="4375" t="s">
        <v>3753</v>
      </c>
      <c r="BI7" s="4375" t="s">
        <v>3754</v>
      </c>
      <c r="BJ7" s="4375" t="s">
        <v>614</v>
      </c>
      <c r="BK7" s="4375" t="s">
        <v>3753</v>
      </c>
      <c r="BL7" s="4375" t="s">
        <v>3754</v>
      </c>
      <c r="BM7" s="4374" t="s">
        <v>614</v>
      </c>
      <c r="BN7" s="4374" t="s">
        <v>3753</v>
      </c>
      <c r="BO7" s="4374" t="s">
        <v>3754</v>
      </c>
      <c r="BP7" s="4374" t="s">
        <v>614</v>
      </c>
      <c r="BQ7" s="4374" t="s">
        <v>3753</v>
      </c>
      <c r="BR7" s="4374" t="s">
        <v>3754</v>
      </c>
      <c r="BS7" s="4374" t="s">
        <v>614</v>
      </c>
      <c r="BT7" s="4374" t="s">
        <v>3753</v>
      </c>
      <c r="BU7" s="4374" t="s">
        <v>3754</v>
      </c>
      <c r="BV7" s="4374" t="s">
        <v>614</v>
      </c>
      <c r="BW7" s="4374" t="s">
        <v>3753</v>
      </c>
      <c r="BX7" s="4374" t="s">
        <v>3754</v>
      </c>
      <c r="BY7" s="4374" t="s">
        <v>614</v>
      </c>
      <c r="BZ7" s="4374" t="s">
        <v>3753</v>
      </c>
      <c r="CA7" s="4374" t="s">
        <v>3754</v>
      </c>
      <c r="CB7" s="4375" t="s">
        <v>614</v>
      </c>
      <c r="CC7" s="4375" t="s">
        <v>3753</v>
      </c>
      <c r="CD7" s="4375" t="s">
        <v>3754</v>
      </c>
      <c r="CE7" s="4375" t="s">
        <v>614</v>
      </c>
      <c r="CF7" s="4375" t="s">
        <v>3753</v>
      </c>
      <c r="CG7" s="4375" t="s">
        <v>3754</v>
      </c>
      <c r="CH7" s="4375" t="s">
        <v>614</v>
      </c>
      <c r="CI7" s="4375" t="s">
        <v>3753</v>
      </c>
      <c r="CJ7" s="4375" t="s">
        <v>3754</v>
      </c>
    </row>
    <row r="8" spans="1:90" ht="25.5" customHeight="1" x14ac:dyDescent="0.2">
      <c r="A8" s="4431" t="s">
        <v>3755</v>
      </c>
      <c r="B8" s="4377">
        <f>SUM(C8:D8)</f>
        <v>768.56306212265406</v>
      </c>
      <c r="C8" s="4377">
        <f>SUM(CC8/4)</f>
        <v>764.75724428647504</v>
      </c>
      <c r="D8" s="4377">
        <f>SUM(CD8/4)</f>
        <v>3.8058178361790249</v>
      </c>
      <c r="E8" s="4377">
        <f>SUM(F8:G8)</f>
        <v>421.51</v>
      </c>
      <c r="F8" s="4378">
        <v>420.80874999999997</v>
      </c>
      <c r="G8" s="4378">
        <v>0.70125000000000004</v>
      </c>
      <c r="H8" s="4377">
        <f>SUM(I8:J8)</f>
        <v>376.33</v>
      </c>
      <c r="I8" s="4378">
        <v>375.86975000000001</v>
      </c>
      <c r="J8" s="4378">
        <v>0.46024999999999999</v>
      </c>
      <c r="K8" s="4377">
        <f>SUM(L8:M8)</f>
        <v>477.91</v>
      </c>
      <c r="L8" s="4432">
        <v>475.49250000000001</v>
      </c>
      <c r="M8" s="4378">
        <v>2.4175</v>
      </c>
      <c r="N8" s="4377">
        <f>SUM(O8:P8)</f>
        <v>1275.75</v>
      </c>
      <c r="O8" s="4377">
        <f>SUM(F8+I8+L8)</f>
        <v>1272.171</v>
      </c>
      <c r="P8" s="4377">
        <f>SUM(G8+J8+M8)</f>
        <v>3.5789999999999997</v>
      </c>
      <c r="Q8" s="4377">
        <f>SUM(R8:S8)</f>
        <v>768.56306212265406</v>
      </c>
      <c r="R8" s="4377">
        <f>SUM(CC8/4)</f>
        <v>764.75724428647504</v>
      </c>
      <c r="S8" s="4377">
        <f>SUM(CD8/4)</f>
        <v>3.8058178361790249</v>
      </c>
      <c r="T8" s="4377">
        <f>SUM(U8:V8)</f>
        <v>552.43000000000006</v>
      </c>
      <c r="U8" s="4378">
        <v>551.97</v>
      </c>
      <c r="V8" s="4378">
        <v>0.46</v>
      </c>
      <c r="W8" s="4387">
        <f>SUM(X8:Y8)</f>
        <v>525.72</v>
      </c>
      <c r="X8" s="4432">
        <v>524.97125000000005</v>
      </c>
      <c r="Y8" s="4378">
        <v>0.74875000000000003</v>
      </c>
      <c r="Z8" s="4387">
        <f>SUM(AA8:AB8)</f>
        <v>412.99</v>
      </c>
      <c r="AA8" s="4432">
        <v>410.39875000000001</v>
      </c>
      <c r="AB8" s="4378">
        <v>2.5912500000000001</v>
      </c>
      <c r="AC8" s="4387">
        <f>SUM(AD8:AE8)</f>
        <v>1491.14</v>
      </c>
      <c r="AD8" s="4387">
        <f>SUM(U8+X8+AA8)</f>
        <v>1487.3400000000001</v>
      </c>
      <c r="AE8" s="4387">
        <f>SUM(V8+Y8+AB8)</f>
        <v>3.8</v>
      </c>
      <c r="AF8" s="4379">
        <f>SUM(AG8:AH8)</f>
        <v>1537.1261242453081</v>
      </c>
      <c r="AG8" s="4379">
        <f>SUM(C8+R8)</f>
        <v>1529.5144885729501</v>
      </c>
      <c r="AH8" s="4379">
        <f>SUM(D8+S8)</f>
        <v>7.6116356723580498</v>
      </c>
      <c r="AI8" s="4379">
        <f>SUM(AJ8:AK8)</f>
        <v>2766.8900000000003</v>
      </c>
      <c r="AJ8" s="4379">
        <f>SUM(O8+AD8)</f>
        <v>2759.5110000000004</v>
      </c>
      <c r="AK8" s="4379">
        <f>SUM(P8+AE8)</f>
        <v>7.3789999999999996</v>
      </c>
      <c r="AL8" s="4433">
        <f>SUM(AM8:AN8)</f>
        <v>1229.7638757546922</v>
      </c>
      <c r="AM8" s="4433">
        <f t="shared" ref="AM8:AN16" si="0">SUM(AJ8-AG8)</f>
        <v>1229.9965114270503</v>
      </c>
      <c r="AN8" s="4433">
        <f t="shared" si="0"/>
        <v>-0.23263567235805027</v>
      </c>
      <c r="AO8" s="4377">
        <f>SUM(AP8:AQ8)</f>
        <v>768.56306212265406</v>
      </c>
      <c r="AP8" s="4377">
        <f>SUM(CC8/4)</f>
        <v>764.75724428647504</v>
      </c>
      <c r="AQ8" s="4377">
        <f>SUM(CD8/4)</f>
        <v>3.8058178361790249</v>
      </c>
      <c r="AR8" s="4387">
        <f>SUM(AS8:AT8)</f>
        <v>445.82</v>
      </c>
      <c r="AS8" s="4892">
        <v>445.27749999999997</v>
      </c>
      <c r="AT8" s="4892">
        <v>0.54249999999999998</v>
      </c>
      <c r="AU8" s="4387">
        <f>SUM(AV8:AW8)</f>
        <v>0</v>
      </c>
      <c r="AV8" s="4432"/>
      <c r="AW8" s="4378"/>
      <c r="AX8" s="4387">
        <f>SUM(AY8:AZ8)</f>
        <v>0</v>
      </c>
      <c r="AY8" s="4432"/>
      <c r="AZ8" s="4378"/>
      <c r="BA8" s="4387">
        <f>SUM(BB8:BC8)</f>
        <v>445.82</v>
      </c>
      <c r="BB8" s="4387">
        <f>SUM(AS8+AV8+AY8)</f>
        <v>445.27749999999997</v>
      </c>
      <c r="BC8" s="4387">
        <f>SUM(AT8+AW8+AZ8)</f>
        <v>0.54249999999999998</v>
      </c>
      <c r="BD8" s="4379">
        <f>SUM(BE8:BF8)</f>
        <v>2305.6891863679625</v>
      </c>
      <c r="BE8" s="4379">
        <f>SUM(AG8+AP8)</f>
        <v>2294.2717328594254</v>
      </c>
      <c r="BF8" s="4379">
        <f>SUM(AH8+AQ8)</f>
        <v>11.417453508537076</v>
      </c>
      <c r="BG8" s="4433">
        <f>SUM(BH8:BI8)</f>
        <v>3212.7100000000005</v>
      </c>
      <c r="BH8" s="4433">
        <f>SUM(AJ8+BB8)</f>
        <v>3204.7885000000006</v>
      </c>
      <c r="BI8" s="4433">
        <f>SUM(AK8+BC8)</f>
        <v>7.9215</v>
      </c>
      <c r="BJ8" s="4433">
        <f>SUM(BK8:BL8)</f>
        <v>907.02081363203808</v>
      </c>
      <c r="BK8" s="4433">
        <f t="shared" ref="BK8:BL16" si="1">SUM(BH8-BE8)</f>
        <v>910.51676714057521</v>
      </c>
      <c r="BL8" s="4433">
        <f t="shared" si="1"/>
        <v>-3.4959535085370756</v>
      </c>
      <c r="BM8" s="4377">
        <f>SUM(BN8:BO8)</f>
        <v>768.56306212265406</v>
      </c>
      <c r="BN8" s="4377">
        <f>SUM(CC8/4)</f>
        <v>764.75724428647504</v>
      </c>
      <c r="BO8" s="4377">
        <f>SUM(CD8/4)</f>
        <v>3.8058178361790249</v>
      </c>
      <c r="BP8" s="4387">
        <f>SUM(BQ8:BR8)</f>
        <v>0</v>
      </c>
      <c r="BQ8" s="4432"/>
      <c r="BR8" s="4378"/>
      <c r="BS8" s="4387">
        <f>SUM(BT8:BU8)</f>
        <v>0</v>
      </c>
      <c r="BT8" s="4432"/>
      <c r="BU8" s="4378"/>
      <c r="BV8" s="4387">
        <f>SUM(BW8:BX8)</f>
        <v>0</v>
      </c>
      <c r="BW8" s="4432"/>
      <c r="BX8" s="4378"/>
      <c r="BY8" s="4387">
        <f>SUM(BZ8:CA8)</f>
        <v>0</v>
      </c>
      <c r="BZ8" s="4387">
        <f>SUM(BQ8+BT8+BW8)</f>
        <v>0</v>
      </c>
      <c r="CA8" s="4387">
        <f>SUM(BR8+BU8+BX8)</f>
        <v>0</v>
      </c>
      <c r="CB8" s="4380">
        <f>SUM(CC8:CD8)</f>
        <v>3074.2522484906162</v>
      </c>
      <c r="CC8" s="4380">
        <f>SUM(CC9)</f>
        <v>3059.0289771459002</v>
      </c>
      <c r="CD8" s="4380">
        <f>SUM(CD9)</f>
        <v>15.2232713447161</v>
      </c>
      <c r="CE8" s="4379">
        <f>SUM(CF8:CG8)</f>
        <v>3212.7100000000005</v>
      </c>
      <c r="CF8" s="4433">
        <f>SUM(BH8+BZ8)</f>
        <v>3204.7885000000006</v>
      </c>
      <c r="CG8" s="4433">
        <f>SUM(BI8+CA8)</f>
        <v>7.9215</v>
      </c>
      <c r="CH8" s="4433">
        <f>SUM(CI8:CJ8)</f>
        <v>138.45775150938431</v>
      </c>
      <c r="CI8" s="4433">
        <f t="shared" ref="CI8:CJ16" si="2">SUM(CF8-CC8)</f>
        <v>145.7595228541004</v>
      </c>
      <c r="CJ8" s="4433">
        <f t="shared" si="2"/>
        <v>-7.3017713447160997</v>
      </c>
      <c r="CK8" s="2759"/>
      <c r="CL8" s="3576">
        <f>SUM(B8+Q8+AO8+BM8)</f>
        <v>3074.2522484906162</v>
      </c>
    </row>
    <row r="9" spans="1:90" ht="18.75" customHeight="1" x14ac:dyDescent="0.2">
      <c r="A9" s="4403" t="s">
        <v>3756</v>
      </c>
      <c r="B9" s="4377">
        <f t="shared" ref="B9:B12" si="3">SUM(C9:D9)</f>
        <v>768.56306212265406</v>
      </c>
      <c r="C9" s="4377">
        <f t="shared" ref="C9:D12" si="4">SUM(CC9/4)</f>
        <v>764.75724428647504</v>
      </c>
      <c r="D9" s="4377">
        <f t="shared" si="4"/>
        <v>3.8058178361790249</v>
      </c>
      <c r="E9" s="4377">
        <f t="shared" ref="E9:E16" si="5">SUM(F9:G9)</f>
        <v>257.414513</v>
      </c>
      <c r="F9" s="4377">
        <f>SUM(F10:F12)</f>
        <v>256.71326299999998</v>
      </c>
      <c r="G9" s="4377">
        <f>SUM(G10:G12)</f>
        <v>0.70125000000000004</v>
      </c>
      <c r="H9" s="4377">
        <f t="shared" ref="H9:H16" si="6">SUM(I9:J9)</f>
        <v>268.54267499999997</v>
      </c>
      <c r="I9" s="4387">
        <f>SUM(I10:I12)</f>
        <v>268.082425</v>
      </c>
      <c r="J9" s="4377">
        <f>SUM(J10:J12)</f>
        <v>0.46024999999999999</v>
      </c>
      <c r="K9" s="4377">
        <f t="shared" ref="K9:K16" si="7">SUM(L9:M9)</f>
        <v>259.48193000000003</v>
      </c>
      <c r="L9" s="4387">
        <f>SUM(L10:L12)</f>
        <v>257.06443000000002</v>
      </c>
      <c r="M9" s="4387">
        <f>SUM(M10:M12)</f>
        <v>2.4175</v>
      </c>
      <c r="N9" s="4377">
        <f t="shared" ref="N9:N16" si="8">SUM(O9:P9)</f>
        <v>785.43911799999989</v>
      </c>
      <c r="O9" s="4377">
        <f t="shared" ref="O9:P16" si="9">SUM(F9+I9+L9)</f>
        <v>781.86011799999994</v>
      </c>
      <c r="P9" s="4377">
        <f t="shared" si="9"/>
        <v>3.5789999999999997</v>
      </c>
      <c r="Q9" s="4377">
        <f t="shared" ref="Q9:Q16" si="10">SUM(R9:S9)</f>
        <v>768.56306212265406</v>
      </c>
      <c r="R9" s="4377">
        <f t="shared" ref="R9:R16" si="11">SUM(CC9/4)</f>
        <v>764.75724428647504</v>
      </c>
      <c r="S9" s="4377">
        <f t="shared" ref="S9:S16" si="12">SUM(CD9/4)</f>
        <v>3.8058178361790249</v>
      </c>
      <c r="T9" s="4377">
        <f t="shared" ref="T9:T16" si="13">SUM(U9:V9)</f>
        <v>263.32413399999996</v>
      </c>
      <c r="U9" s="4377">
        <f>SUM(U10:U12)</f>
        <v>262.86413399999998</v>
      </c>
      <c r="V9" s="4387">
        <f>SUM(V10:V12)</f>
        <v>0.46</v>
      </c>
      <c r="W9" s="4387">
        <f t="shared" ref="W9:W16" si="14">SUM(X9:Y9)</f>
        <v>263.52684599999998</v>
      </c>
      <c r="X9" s="4387">
        <f>SUM(X10:X12)</f>
        <v>262.77809600000001</v>
      </c>
      <c r="Y9" s="4387">
        <f>SUM(Y10:Y12)</f>
        <v>0.74875000000000003</v>
      </c>
      <c r="Z9" s="4387">
        <f t="shared" ref="Z9:Z16" si="15">SUM(AA9:AB9)</f>
        <v>257.661947</v>
      </c>
      <c r="AA9" s="4387">
        <f>SUM(AA10:AA12)</f>
        <v>255.070697</v>
      </c>
      <c r="AB9" s="4387">
        <f>SUM(AB10:AB12)</f>
        <v>2.5912500000000001</v>
      </c>
      <c r="AC9" s="4387">
        <f t="shared" ref="AC9:AC16" si="16">SUM(AD9:AE9)</f>
        <v>784.51292699999988</v>
      </c>
      <c r="AD9" s="4387">
        <f t="shared" ref="AD9:AE16" si="17">SUM(U9+X9+AA9)</f>
        <v>780.71292699999992</v>
      </c>
      <c r="AE9" s="4387">
        <f t="shared" si="17"/>
        <v>3.8</v>
      </c>
      <c r="AF9" s="4379">
        <f t="shared" ref="AF9:AF16" si="18">SUM(AG9:AH9)</f>
        <v>1537.1261242453081</v>
      </c>
      <c r="AG9" s="4379">
        <f t="shared" ref="AG9:AH16" si="19">SUM(C9+R9)</f>
        <v>1529.5144885729501</v>
      </c>
      <c r="AH9" s="4379">
        <f t="shared" si="19"/>
        <v>7.6116356723580498</v>
      </c>
      <c r="AI9" s="4379">
        <f t="shared" ref="AI9:AI16" si="20">SUM(AJ9:AK9)</f>
        <v>1569.9520449999998</v>
      </c>
      <c r="AJ9" s="4379">
        <f t="shared" ref="AJ9:AK16" si="21">SUM(O9+AD9)</f>
        <v>1562.5730449999999</v>
      </c>
      <c r="AK9" s="4379">
        <f t="shared" si="21"/>
        <v>7.3789999999999996</v>
      </c>
      <c r="AL9" s="4433">
        <f t="shared" ref="AL9:AL16" si="22">SUM(AM9:AN9)</f>
        <v>32.82592075469173</v>
      </c>
      <c r="AM9" s="4433">
        <f t="shared" si="0"/>
        <v>33.05855642704978</v>
      </c>
      <c r="AN9" s="4433">
        <f t="shared" si="0"/>
        <v>-0.23263567235805027</v>
      </c>
      <c r="AO9" s="4377">
        <f t="shared" ref="AO9:AO12" si="23">SUM(AP9:AQ9)</f>
        <v>768.56306212265406</v>
      </c>
      <c r="AP9" s="4377">
        <f t="shared" ref="AP9:AQ12" si="24">SUM(CC9/4)</f>
        <v>764.75724428647504</v>
      </c>
      <c r="AQ9" s="4377">
        <f t="shared" si="24"/>
        <v>3.8058178361790249</v>
      </c>
      <c r="AR9" s="4387">
        <f t="shared" ref="AR9:AR16" si="25">SUM(AS9:AT9)</f>
        <v>226.11733899999999</v>
      </c>
      <c r="AS9" s="4893">
        <f>SUM(AS10:AS12)</f>
        <v>225.574839</v>
      </c>
      <c r="AT9" s="4893">
        <f>SUM(AT10:AT12)</f>
        <v>0.54249999999999998</v>
      </c>
      <c r="AU9" s="4387">
        <f t="shared" ref="AU9:AU16" si="26">SUM(AV9:AW9)</f>
        <v>0</v>
      </c>
      <c r="AV9" s="4387">
        <f>SUM(AV10:AV12)</f>
        <v>0</v>
      </c>
      <c r="AW9" s="4387">
        <f>SUM(AW10:AW12)</f>
        <v>0</v>
      </c>
      <c r="AX9" s="4387">
        <f t="shared" ref="AX9:AX16" si="27">SUM(AY9:AZ9)</f>
        <v>0</v>
      </c>
      <c r="AY9" s="4387">
        <f>SUM(AY10:AY12)</f>
        <v>0</v>
      </c>
      <c r="AZ9" s="4387">
        <f>SUM(AZ10:AZ12)</f>
        <v>0</v>
      </c>
      <c r="BA9" s="4387">
        <f t="shared" ref="BA9:BA16" si="28">SUM(BB9:BC9)</f>
        <v>226.11733899999999</v>
      </c>
      <c r="BB9" s="4387">
        <f t="shared" ref="BB9:BC16" si="29">SUM(AS9+AV9+AY9)</f>
        <v>225.574839</v>
      </c>
      <c r="BC9" s="4387">
        <f t="shared" si="29"/>
        <v>0.54249999999999998</v>
      </c>
      <c r="BD9" s="4379">
        <f t="shared" ref="BD9:BD16" si="30">SUM(BE9:BF9)</f>
        <v>2305.6891863679625</v>
      </c>
      <c r="BE9" s="4379">
        <f t="shared" ref="BE9:BF16" si="31">SUM(AG9+AP9)</f>
        <v>2294.2717328594254</v>
      </c>
      <c r="BF9" s="4379">
        <f t="shared" si="31"/>
        <v>11.417453508537076</v>
      </c>
      <c r="BG9" s="4433">
        <f t="shared" ref="BG9:BG16" si="32">SUM(BH9:BI9)</f>
        <v>1796.0693839999999</v>
      </c>
      <c r="BH9" s="4433">
        <f t="shared" ref="BH9:BI16" si="33">SUM(AJ9+BB9)</f>
        <v>1788.147884</v>
      </c>
      <c r="BI9" s="4433">
        <f t="shared" si="33"/>
        <v>7.9215</v>
      </c>
      <c r="BJ9" s="4433">
        <f t="shared" ref="BJ9:BJ16" si="34">SUM(BK9:BL9)</f>
        <v>-509.61980236796245</v>
      </c>
      <c r="BK9" s="4433">
        <f t="shared" si="1"/>
        <v>-506.12384885942538</v>
      </c>
      <c r="BL9" s="4433">
        <f t="shared" si="1"/>
        <v>-3.4959535085370756</v>
      </c>
      <c r="BM9" s="4377">
        <f t="shared" ref="BM9:BM12" si="35">SUM(BN9:BO9)</f>
        <v>768.56306212265406</v>
      </c>
      <c r="BN9" s="4377">
        <f t="shared" ref="BN9:BO12" si="36">SUM(CC9/4)</f>
        <v>764.75724428647504</v>
      </c>
      <c r="BO9" s="4377">
        <f t="shared" si="36"/>
        <v>3.8058178361790249</v>
      </c>
      <c r="BP9" s="4387">
        <f t="shared" ref="BP9:BP16" si="37">SUM(BQ9:BR9)</f>
        <v>0</v>
      </c>
      <c r="BQ9" s="4387">
        <f>SUM(BQ10:BQ12)</f>
        <v>0</v>
      </c>
      <c r="BR9" s="4387">
        <f>SUM(BR10:BR12)</f>
        <v>0</v>
      </c>
      <c r="BS9" s="4387">
        <f t="shared" ref="BS9:BS16" si="38">SUM(BT9:BU9)</f>
        <v>0</v>
      </c>
      <c r="BT9" s="4387">
        <f>SUM(BT10:BT12)</f>
        <v>0</v>
      </c>
      <c r="BU9" s="4387">
        <f>SUM(BU10:BU12)</f>
        <v>0</v>
      </c>
      <c r="BV9" s="4387">
        <f t="shared" ref="BV9:BV16" si="39">SUM(BW9:BX9)</f>
        <v>0</v>
      </c>
      <c r="BW9" s="4387">
        <f>SUM(BW10:BW12)</f>
        <v>0</v>
      </c>
      <c r="BX9" s="4387">
        <f>SUM(BX10:BX12)</f>
        <v>0</v>
      </c>
      <c r="BY9" s="4387">
        <f t="shared" ref="BY9:BY16" si="40">SUM(BZ9:CA9)</f>
        <v>0</v>
      </c>
      <c r="BZ9" s="4387">
        <f t="shared" ref="BZ9:CA16" si="41">SUM(BQ9+BT9+BW9)</f>
        <v>0</v>
      </c>
      <c r="CA9" s="4387">
        <f t="shared" si="41"/>
        <v>0</v>
      </c>
      <c r="CB9" s="4380">
        <f t="shared" ref="CB9:CB16" si="42">SUM(CC9:CD9)</f>
        <v>3074.2522484906162</v>
      </c>
      <c r="CC9" s="4455">
        <f>SUM(CC10:CC12)</f>
        <v>3059.0289771459002</v>
      </c>
      <c r="CD9" s="4455">
        <f>SUM(CD10:CD12)</f>
        <v>15.2232713447161</v>
      </c>
      <c r="CE9" s="4433">
        <f t="shared" ref="CE9:CE13" si="43">SUM(CF9:CG9)</f>
        <v>1796.0693839999999</v>
      </c>
      <c r="CF9" s="4433">
        <f t="shared" ref="CF9:CG16" si="44">SUM(BH9+BZ9)</f>
        <v>1788.147884</v>
      </c>
      <c r="CG9" s="4433">
        <f t="shared" si="44"/>
        <v>7.9215</v>
      </c>
      <c r="CH9" s="4433">
        <f t="shared" ref="CH9:CH16" si="45">SUM(CI9:CJ9)</f>
        <v>-1278.1828644906163</v>
      </c>
      <c r="CI9" s="4433">
        <f t="shared" si="2"/>
        <v>-1270.8810931459002</v>
      </c>
      <c r="CJ9" s="4433">
        <f t="shared" si="2"/>
        <v>-7.3017713447160997</v>
      </c>
      <c r="CK9" s="2759"/>
      <c r="CL9" s="3576">
        <f t="shared" ref="CL9:CL16" si="46">SUM(B9+Q9+AO9+BM9)</f>
        <v>3074.2522484906162</v>
      </c>
    </row>
    <row r="10" spans="1:90" ht="18.75" customHeight="1" x14ac:dyDescent="0.2">
      <c r="A10" s="4396" t="s">
        <v>253</v>
      </c>
      <c r="B10" s="4385">
        <f t="shared" si="3"/>
        <v>592.17988042297497</v>
      </c>
      <c r="C10" s="4385">
        <f t="shared" si="4"/>
        <v>592.17988042297497</v>
      </c>
      <c r="D10" s="4385">
        <f t="shared" si="4"/>
        <v>0</v>
      </c>
      <c r="E10" s="4382">
        <f t="shared" si="5"/>
        <v>203.136651</v>
      </c>
      <c r="F10" s="4383">
        <v>203.136651</v>
      </c>
      <c r="G10" s="4383">
        <v>0</v>
      </c>
      <c r="H10" s="4382">
        <f t="shared" si="6"/>
        <v>207.06859499999999</v>
      </c>
      <c r="I10" s="4383">
        <v>207.06859499999999</v>
      </c>
      <c r="J10" s="4383">
        <v>0</v>
      </c>
      <c r="K10" s="4382">
        <f t="shared" si="7"/>
        <v>199.56375600000001</v>
      </c>
      <c r="L10" s="4383">
        <v>199.56375600000001</v>
      </c>
      <c r="M10" s="4383">
        <v>0</v>
      </c>
      <c r="N10" s="4385">
        <f t="shared" si="8"/>
        <v>609.769002</v>
      </c>
      <c r="O10" s="4385">
        <f t="shared" si="9"/>
        <v>609.769002</v>
      </c>
      <c r="P10" s="4385">
        <f t="shared" si="9"/>
        <v>0</v>
      </c>
      <c r="Q10" s="4385">
        <f t="shared" si="10"/>
        <v>592.17988042297497</v>
      </c>
      <c r="R10" s="4385">
        <f t="shared" si="11"/>
        <v>592.17988042297497</v>
      </c>
      <c r="S10" s="4385">
        <f t="shared" si="12"/>
        <v>0</v>
      </c>
      <c r="T10" s="4385">
        <f t="shared" si="13"/>
        <v>204.270996</v>
      </c>
      <c r="U10" s="4388">
        <v>204.270996</v>
      </c>
      <c r="V10" s="4383">
        <v>0</v>
      </c>
      <c r="W10" s="4382">
        <f t="shared" si="14"/>
        <v>210.60340099999999</v>
      </c>
      <c r="X10" s="4383">
        <v>210.60340099999999</v>
      </c>
      <c r="Y10" s="4383">
        <v>0</v>
      </c>
      <c r="Z10" s="4382">
        <f t="shared" si="15"/>
        <v>200.97697199999999</v>
      </c>
      <c r="AA10" s="4383">
        <v>200.97697199999999</v>
      </c>
      <c r="AB10" s="4383">
        <v>0</v>
      </c>
      <c r="AC10" s="4382">
        <f t="shared" si="16"/>
        <v>615.85136899999998</v>
      </c>
      <c r="AD10" s="4382">
        <f t="shared" si="17"/>
        <v>615.85136899999998</v>
      </c>
      <c r="AE10" s="4382">
        <f t="shared" si="17"/>
        <v>0</v>
      </c>
      <c r="AF10" s="4384">
        <f t="shared" si="18"/>
        <v>1184.3597608459499</v>
      </c>
      <c r="AG10" s="4384">
        <f t="shared" si="19"/>
        <v>1184.3597608459499</v>
      </c>
      <c r="AH10" s="4384">
        <f t="shared" si="19"/>
        <v>0</v>
      </c>
      <c r="AI10" s="4384">
        <f t="shared" si="20"/>
        <v>1225.620371</v>
      </c>
      <c r="AJ10" s="4384">
        <f t="shared" si="21"/>
        <v>1225.620371</v>
      </c>
      <c r="AK10" s="4384">
        <f t="shared" si="21"/>
        <v>0</v>
      </c>
      <c r="AL10" s="4434">
        <f t="shared" si="22"/>
        <v>41.260610154050028</v>
      </c>
      <c r="AM10" s="4434">
        <f t="shared" si="0"/>
        <v>41.260610154050028</v>
      </c>
      <c r="AN10" s="4434">
        <f t="shared" si="0"/>
        <v>0</v>
      </c>
      <c r="AO10" s="4385">
        <f t="shared" si="23"/>
        <v>592.17988042297497</v>
      </c>
      <c r="AP10" s="4385">
        <f t="shared" si="24"/>
        <v>592.17988042297497</v>
      </c>
      <c r="AQ10" s="4385">
        <f t="shared" si="24"/>
        <v>0</v>
      </c>
      <c r="AR10" s="4382">
        <f t="shared" si="25"/>
        <v>182.92413400000001</v>
      </c>
      <c r="AS10" s="4894">
        <v>182.92413400000001</v>
      </c>
      <c r="AT10" s="4894"/>
      <c r="AU10" s="4382">
        <f t="shared" si="26"/>
        <v>0</v>
      </c>
      <c r="AV10" s="4383"/>
      <c r="AW10" s="4383"/>
      <c r="AX10" s="4382">
        <f t="shared" si="27"/>
        <v>0</v>
      </c>
      <c r="AY10" s="4383"/>
      <c r="AZ10" s="4383"/>
      <c r="BA10" s="4382">
        <f t="shared" si="28"/>
        <v>182.92413400000001</v>
      </c>
      <c r="BB10" s="4382">
        <f t="shared" si="29"/>
        <v>182.92413400000001</v>
      </c>
      <c r="BC10" s="4382">
        <f t="shared" si="29"/>
        <v>0</v>
      </c>
      <c r="BD10" s="4384">
        <f t="shared" si="30"/>
        <v>1776.5396412689249</v>
      </c>
      <c r="BE10" s="4384">
        <f t="shared" si="31"/>
        <v>1776.5396412689249</v>
      </c>
      <c r="BF10" s="4384">
        <f t="shared" si="31"/>
        <v>0</v>
      </c>
      <c r="BG10" s="4434">
        <f t="shared" si="32"/>
        <v>1408.5445050000001</v>
      </c>
      <c r="BH10" s="4434">
        <f t="shared" si="33"/>
        <v>1408.5445050000001</v>
      </c>
      <c r="BI10" s="4434">
        <f t="shared" si="33"/>
        <v>0</v>
      </c>
      <c r="BJ10" s="4434">
        <f t="shared" si="34"/>
        <v>-367.99513626892485</v>
      </c>
      <c r="BK10" s="4434">
        <f t="shared" si="1"/>
        <v>-367.99513626892485</v>
      </c>
      <c r="BL10" s="4434">
        <f t="shared" si="1"/>
        <v>0</v>
      </c>
      <c r="BM10" s="4385">
        <f t="shared" si="35"/>
        <v>592.17988042297497</v>
      </c>
      <c r="BN10" s="4385">
        <f t="shared" si="36"/>
        <v>592.17988042297497</v>
      </c>
      <c r="BO10" s="4385">
        <f t="shared" si="36"/>
        <v>0</v>
      </c>
      <c r="BP10" s="4382">
        <f t="shared" si="37"/>
        <v>0</v>
      </c>
      <c r="BQ10" s="4383"/>
      <c r="BR10" s="4383"/>
      <c r="BS10" s="4382">
        <f t="shared" si="38"/>
        <v>0</v>
      </c>
      <c r="BT10" s="4383"/>
      <c r="BU10" s="4383"/>
      <c r="BV10" s="4382">
        <f t="shared" si="39"/>
        <v>0</v>
      </c>
      <c r="BW10" s="4383"/>
      <c r="BX10" s="4383"/>
      <c r="BY10" s="4382">
        <f t="shared" si="40"/>
        <v>0</v>
      </c>
      <c r="BZ10" s="4382">
        <f t="shared" si="41"/>
        <v>0</v>
      </c>
      <c r="CA10" s="4382">
        <f t="shared" si="41"/>
        <v>0</v>
      </c>
      <c r="CB10" s="4551">
        <f t="shared" si="42"/>
        <v>2368.7195216918999</v>
      </c>
      <c r="CC10" s="4446">
        <f>SUM('объемы ВС и ВО 2023'!CI64)</f>
        <v>2368.7195216918999</v>
      </c>
      <c r="CD10" s="4446"/>
      <c r="CE10" s="4434">
        <f t="shared" si="43"/>
        <v>1408.5445050000001</v>
      </c>
      <c r="CF10" s="4434">
        <f t="shared" si="44"/>
        <v>1408.5445050000001</v>
      </c>
      <c r="CG10" s="4434">
        <f t="shared" si="44"/>
        <v>0</v>
      </c>
      <c r="CH10" s="4434">
        <f t="shared" si="45"/>
        <v>-960.17501669189983</v>
      </c>
      <c r="CI10" s="4434">
        <f t="shared" si="2"/>
        <v>-960.17501669189983</v>
      </c>
      <c r="CJ10" s="4434">
        <f t="shared" si="2"/>
        <v>0</v>
      </c>
      <c r="CK10" s="2759"/>
      <c r="CL10" s="3576">
        <f t="shared" si="46"/>
        <v>2368.7195216918999</v>
      </c>
    </row>
    <row r="11" spans="1:90" ht="18.75" customHeight="1" x14ac:dyDescent="0.2">
      <c r="A11" s="4396" t="s">
        <v>3757</v>
      </c>
      <c r="B11" s="4385">
        <f t="shared" si="3"/>
        <v>3.8058178361790249</v>
      </c>
      <c r="C11" s="4385">
        <f t="shared" si="4"/>
        <v>0</v>
      </c>
      <c r="D11" s="4385">
        <f t="shared" si="4"/>
        <v>3.8058178361790249</v>
      </c>
      <c r="E11" s="4382">
        <f t="shared" si="5"/>
        <v>0.70125000000000004</v>
      </c>
      <c r="F11" s="4382">
        <v>0</v>
      </c>
      <c r="G11" s="4388">
        <v>0.70125000000000004</v>
      </c>
      <c r="H11" s="4382">
        <f t="shared" si="6"/>
        <v>0.46024999999999999</v>
      </c>
      <c r="I11" s="4382">
        <v>0</v>
      </c>
      <c r="J11" s="4388">
        <v>0.46024999999999999</v>
      </c>
      <c r="K11" s="4382">
        <f t="shared" si="7"/>
        <v>2.4175</v>
      </c>
      <c r="L11" s="4382">
        <v>0</v>
      </c>
      <c r="M11" s="4388">
        <v>2.4175</v>
      </c>
      <c r="N11" s="4385">
        <f t="shared" si="8"/>
        <v>3.5789999999999997</v>
      </c>
      <c r="O11" s="4385">
        <f t="shared" si="9"/>
        <v>0</v>
      </c>
      <c r="P11" s="4385">
        <f t="shared" si="9"/>
        <v>3.5789999999999997</v>
      </c>
      <c r="Q11" s="4385">
        <f t="shared" si="10"/>
        <v>3.8058178361790249</v>
      </c>
      <c r="R11" s="4385">
        <f t="shared" si="11"/>
        <v>0</v>
      </c>
      <c r="S11" s="4385">
        <f t="shared" si="12"/>
        <v>3.8058178361790249</v>
      </c>
      <c r="T11" s="4385">
        <f t="shared" si="13"/>
        <v>0.46</v>
      </c>
      <c r="U11" s="4385">
        <v>0</v>
      </c>
      <c r="V11" s="4388">
        <v>0.46</v>
      </c>
      <c r="W11" s="4382">
        <f t="shared" si="14"/>
        <v>0.74875000000000003</v>
      </c>
      <c r="X11" s="4382">
        <v>0</v>
      </c>
      <c r="Y11" s="4388">
        <v>0.74875000000000003</v>
      </c>
      <c r="Z11" s="4382">
        <f t="shared" si="15"/>
        <v>2.5912500000000001</v>
      </c>
      <c r="AA11" s="4382">
        <v>0</v>
      </c>
      <c r="AB11" s="4388">
        <v>2.5912500000000001</v>
      </c>
      <c r="AC11" s="4382">
        <f t="shared" si="16"/>
        <v>3.8</v>
      </c>
      <c r="AD11" s="4382">
        <f t="shared" si="17"/>
        <v>0</v>
      </c>
      <c r="AE11" s="4382">
        <f t="shared" si="17"/>
        <v>3.8</v>
      </c>
      <c r="AF11" s="4384">
        <f t="shared" si="18"/>
        <v>7.6116356723580498</v>
      </c>
      <c r="AG11" s="4384">
        <f t="shared" si="19"/>
        <v>0</v>
      </c>
      <c r="AH11" s="4384">
        <f t="shared" si="19"/>
        <v>7.6116356723580498</v>
      </c>
      <c r="AI11" s="4384">
        <f t="shared" si="20"/>
        <v>7.3789999999999996</v>
      </c>
      <c r="AJ11" s="4384">
        <f t="shared" si="21"/>
        <v>0</v>
      </c>
      <c r="AK11" s="4384">
        <f t="shared" si="21"/>
        <v>7.3789999999999996</v>
      </c>
      <c r="AL11" s="4434">
        <f t="shared" si="22"/>
        <v>-0.23263567235805027</v>
      </c>
      <c r="AM11" s="4434">
        <f t="shared" si="0"/>
        <v>0</v>
      </c>
      <c r="AN11" s="4434">
        <f t="shared" si="0"/>
        <v>-0.23263567235805027</v>
      </c>
      <c r="AO11" s="4385">
        <f t="shared" si="23"/>
        <v>3.8058178361790249</v>
      </c>
      <c r="AP11" s="4385">
        <f t="shared" si="24"/>
        <v>0</v>
      </c>
      <c r="AQ11" s="4385">
        <f t="shared" si="24"/>
        <v>3.8058178361790249</v>
      </c>
      <c r="AR11" s="4382">
        <f t="shared" si="25"/>
        <v>0.54249999999999998</v>
      </c>
      <c r="AS11" s="4895">
        <v>0</v>
      </c>
      <c r="AT11" s="4894">
        <v>0.54249999999999998</v>
      </c>
      <c r="AU11" s="4382">
        <f t="shared" si="26"/>
        <v>0</v>
      </c>
      <c r="AV11" s="4382">
        <v>0</v>
      </c>
      <c r="AW11" s="4388"/>
      <c r="AX11" s="4382">
        <f t="shared" si="27"/>
        <v>0</v>
      </c>
      <c r="AY11" s="4382">
        <v>0</v>
      </c>
      <c r="AZ11" s="4388"/>
      <c r="BA11" s="4382">
        <f t="shared" si="28"/>
        <v>0.54249999999999998</v>
      </c>
      <c r="BB11" s="4382">
        <f t="shared" si="29"/>
        <v>0</v>
      </c>
      <c r="BC11" s="4382">
        <f t="shared" si="29"/>
        <v>0.54249999999999998</v>
      </c>
      <c r="BD11" s="4384">
        <f t="shared" si="30"/>
        <v>11.417453508537076</v>
      </c>
      <c r="BE11" s="4384">
        <f t="shared" si="31"/>
        <v>0</v>
      </c>
      <c r="BF11" s="4384">
        <f t="shared" si="31"/>
        <v>11.417453508537076</v>
      </c>
      <c r="BG11" s="4434">
        <f t="shared" si="32"/>
        <v>7.9215</v>
      </c>
      <c r="BH11" s="4434">
        <f t="shared" si="33"/>
        <v>0</v>
      </c>
      <c r="BI11" s="4434">
        <f t="shared" si="33"/>
        <v>7.9215</v>
      </c>
      <c r="BJ11" s="4434">
        <f t="shared" si="34"/>
        <v>-3.4959535085370756</v>
      </c>
      <c r="BK11" s="4434">
        <f t="shared" si="1"/>
        <v>0</v>
      </c>
      <c r="BL11" s="4434">
        <f t="shared" si="1"/>
        <v>-3.4959535085370756</v>
      </c>
      <c r="BM11" s="4385">
        <f t="shared" si="35"/>
        <v>3.8058178361790249</v>
      </c>
      <c r="BN11" s="4385">
        <f t="shared" si="36"/>
        <v>0</v>
      </c>
      <c r="BO11" s="4385">
        <f t="shared" si="36"/>
        <v>3.8058178361790249</v>
      </c>
      <c r="BP11" s="4382">
        <f t="shared" si="37"/>
        <v>0</v>
      </c>
      <c r="BQ11" s="4382">
        <v>0</v>
      </c>
      <c r="BR11" s="4388"/>
      <c r="BS11" s="4382">
        <f t="shared" si="38"/>
        <v>0</v>
      </c>
      <c r="BT11" s="4382">
        <v>0</v>
      </c>
      <c r="BU11" s="4388"/>
      <c r="BV11" s="4382">
        <f t="shared" si="39"/>
        <v>0</v>
      </c>
      <c r="BW11" s="4382">
        <v>0</v>
      </c>
      <c r="BX11" s="4388"/>
      <c r="BY11" s="4382">
        <f t="shared" si="40"/>
        <v>0</v>
      </c>
      <c r="BZ11" s="4382">
        <f t="shared" si="41"/>
        <v>0</v>
      </c>
      <c r="CA11" s="4382">
        <f t="shared" si="41"/>
        <v>0</v>
      </c>
      <c r="CB11" s="4551">
        <f t="shared" si="42"/>
        <v>15.2232713447161</v>
      </c>
      <c r="CC11" s="4446"/>
      <c r="CD11" s="4446">
        <f>SUM('объемы ВС и ВО 2023'!CJ63)</f>
        <v>15.2232713447161</v>
      </c>
      <c r="CE11" s="4434">
        <f t="shared" si="43"/>
        <v>7.9215</v>
      </c>
      <c r="CF11" s="4434">
        <f t="shared" si="44"/>
        <v>0</v>
      </c>
      <c r="CG11" s="4434">
        <f t="shared" si="44"/>
        <v>7.9215</v>
      </c>
      <c r="CH11" s="4434">
        <f t="shared" si="45"/>
        <v>-7.3017713447160997</v>
      </c>
      <c r="CI11" s="4434">
        <f t="shared" si="2"/>
        <v>0</v>
      </c>
      <c r="CJ11" s="4434">
        <f t="shared" si="2"/>
        <v>-7.3017713447160997</v>
      </c>
      <c r="CK11" s="2759"/>
      <c r="CL11" s="3576">
        <f t="shared" si="46"/>
        <v>15.2232713447161</v>
      </c>
    </row>
    <row r="12" spans="1:90" ht="18.75" customHeight="1" x14ac:dyDescent="0.2">
      <c r="A12" s="4396" t="s">
        <v>3773</v>
      </c>
      <c r="B12" s="4385">
        <f t="shared" si="3"/>
        <v>172.57736386350001</v>
      </c>
      <c r="C12" s="4385">
        <f t="shared" si="4"/>
        <v>172.57736386350001</v>
      </c>
      <c r="D12" s="4385">
        <f t="shared" si="4"/>
        <v>0</v>
      </c>
      <c r="E12" s="4382">
        <f t="shared" si="5"/>
        <v>53.576611999999997</v>
      </c>
      <c r="F12" s="4383">
        <v>53.576611999999997</v>
      </c>
      <c r="G12" s="4383">
        <v>0</v>
      </c>
      <c r="H12" s="4382">
        <f t="shared" si="6"/>
        <v>61.013829999999999</v>
      </c>
      <c r="I12" s="4388">
        <v>61.013829999999999</v>
      </c>
      <c r="J12" s="4383">
        <v>0</v>
      </c>
      <c r="K12" s="4382">
        <f t="shared" si="7"/>
        <v>57.500673999999997</v>
      </c>
      <c r="L12" s="4383">
        <v>57.500673999999997</v>
      </c>
      <c r="M12" s="4383">
        <v>0</v>
      </c>
      <c r="N12" s="4385">
        <f t="shared" si="8"/>
        <v>172.091116</v>
      </c>
      <c r="O12" s="4385">
        <f t="shared" si="9"/>
        <v>172.091116</v>
      </c>
      <c r="P12" s="4385">
        <f t="shared" si="9"/>
        <v>0</v>
      </c>
      <c r="Q12" s="4385">
        <f t="shared" si="10"/>
        <v>172.57736386350001</v>
      </c>
      <c r="R12" s="4385">
        <f t="shared" si="11"/>
        <v>172.57736386350001</v>
      </c>
      <c r="S12" s="4385">
        <f t="shared" si="12"/>
        <v>0</v>
      </c>
      <c r="T12" s="4385">
        <f t="shared" si="13"/>
        <v>58.593138000000003</v>
      </c>
      <c r="U12" s="4388">
        <v>58.593138000000003</v>
      </c>
      <c r="V12" s="4383">
        <v>0</v>
      </c>
      <c r="W12" s="4382">
        <f t="shared" si="14"/>
        <v>52.174695</v>
      </c>
      <c r="X12" s="4383">
        <v>52.174695</v>
      </c>
      <c r="Y12" s="4383">
        <v>0</v>
      </c>
      <c r="Z12" s="4382">
        <f t="shared" si="15"/>
        <v>54.093724999999999</v>
      </c>
      <c r="AA12" s="4383">
        <v>54.093724999999999</v>
      </c>
      <c r="AB12" s="4383">
        <v>0</v>
      </c>
      <c r="AC12" s="4382">
        <f t="shared" si="16"/>
        <v>164.861558</v>
      </c>
      <c r="AD12" s="4382">
        <f t="shared" si="17"/>
        <v>164.861558</v>
      </c>
      <c r="AE12" s="4382">
        <f t="shared" si="17"/>
        <v>0</v>
      </c>
      <c r="AF12" s="4384">
        <f t="shared" si="18"/>
        <v>345.15472772700002</v>
      </c>
      <c r="AG12" s="4384">
        <f t="shared" si="19"/>
        <v>345.15472772700002</v>
      </c>
      <c r="AH12" s="4384">
        <f t="shared" si="19"/>
        <v>0</v>
      </c>
      <c r="AI12" s="4384">
        <f t="shared" si="20"/>
        <v>336.952674</v>
      </c>
      <c r="AJ12" s="4384">
        <f t="shared" si="21"/>
        <v>336.952674</v>
      </c>
      <c r="AK12" s="4384">
        <f t="shared" si="21"/>
        <v>0</v>
      </c>
      <c r="AL12" s="4434">
        <f t="shared" si="22"/>
        <v>-8.2020537270000204</v>
      </c>
      <c r="AM12" s="4434">
        <f t="shared" si="0"/>
        <v>-8.2020537270000204</v>
      </c>
      <c r="AN12" s="4434">
        <f t="shared" si="0"/>
        <v>0</v>
      </c>
      <c r="AO12" s="4385">
        <f t="shared" si="23"/>
        <v>172.57736386350001</v>
      </c>
      <c r="AP12" s="4385">
        <f t="shared" si="24"/>
        <v>172.57736386350001</v>
      </c>
      <c r="AQ12" s="4385">
        <f t="shared" si="24"/>
        <v>0</v>
      </c>
      <c r="AR12" s="4382">
        <f t="shared" si="25"/>
        <v>42.650705000000002</v>
      </c>
      <c r="AS12" s="4894">
        <v>42.650705000000002</v>
      </c>
      <c r="AT12" s="4894"/>
      <c r="AU12" s="4382">
        <f t="shared" si="26"/>
        <v>0</v>
      </c>
      <c r="AV12" s="4383"/>
      <c r="AW12" s="4383"/>
      <c r="AX12" s="4382">
        <f t="shared" si="27"/>
        <v>0</v>
      </c>
      <c r="AY12" s="4383"/>
      <c r="AZ12" s="4383"/>
      <c r="BA12" s="4382">
        <f t="shared" si="28"/>
        <v>42.650705000000002</v>
      </c>
      <c r="BB12" s="4382">
        <f t="shared" si="29"/>
        <v>42.650705000000002</v>
      </c>
      <c r="BC12" s="4382">
        <f t="shared" si="29"/>
        <v>0</v>
      </c>
      <c r="BD12" s="4384">
        <f t="shared" si="30"/>
        <v>517.73209159049998</v>
      </c>
      <c r="BE12" s="4384">
        <f t="shared" si="31"/>
        <v>517.73209159049998</v>
      </c>
      <c r="BF12" s="4384">
        <f t="shared" si="31"/>
        <v>0</v>
      </c>
      <c r="BG12" s="4434">
        <f t="shared" si="32"/>
        <v>379.60337900000002</v>
      </c>
      <c r="BH12" s="4434">
        <f t="shared" si="33"/>
        <v>379.60337900000002</v>
      </c>
      <c r="BI12" s="4434">
        <f t="shared" si="33"/>
        <v>0</v>
      </c>
      <c r="BJ12" s="4434">
        <f t="shared" si="34"/>
        <v>-138.12871259049996</v>
      </c>
      <c r="BK12" s="4434">
        <f t="shared" si="1"/>
        <v>-138.12871259049996</v>
      </c>
      <c r="BL12" s="4434">
        <f t="shared" si="1"/>
        <v>0</v>
      </c>
      <c r="BM12" s="4385">
        <f t="shared" si="35"/>
        <v>172.57736386350001</v>
      </c>
      <c r="BN12" s="4385">
        <f t="shared" si="36"/>
        <v>172.57736386350001</v>
      </c>
      <c r="BO12" s="4385">
        <f t="shared" si="36"/>
        <v>0</v>
      </c>
      <c r="BP12" s="4382">
        <f t="shared" si="37"/>
        <v>0</v>
      </c>
      <c r="BQ12" s="4383"/>
      <c r="BR12" s="4383"/>
      <c r="BS12" s="4382">
        <f t="shared" si="38"/>
        <v>0</v>
      </c>
      <c r="BT12" s="4383"/>
      <c r="BU12" s="4383"/>
      <c r="BV12" s="4382">
        <f t="shared" si="39"/>
        <v>0</v>
      </c>
      <c r="BW12" s="4383"/>
      <c r="BX12" s="4383"/>
      <c r="BY12" s="4382">
        <f t="shared" si="40"/>
        <v>0</v>
      </c>
      <c r="BZ12" s="4382">
        <f t="shared" si="41"/>
        <v>0</v>
      </c>
      <c r="CA12" s="4382">
        <f t="shared" si="41"/>
        <v>0</v>
      </c>
      <c r="CB12" s="4551">
        <f t="shared" si="42"/>
        <v>690.30945545400004</v>
      </c>
      <c r="CC12" s="4446">
        <f>SUM('объемы ВС и ВО 2023'!CI65)</f>
        <v>690.30945545400004</v>
      </c>
      <c r="CD12" s="4446"/>
      <c r="CE12" s="4434">
        <f t="shared" si="43"/>
        <v>379.60337900000002</v>
      </c>
      <c r="CF12" s="4384">
        <f t="shared" si="44"/>
        <v>379.60337900000002</v>
      </c>
      <c r="CG12" s="4434">
        <f t="shared" si="44"/>
        <v>0</v>
      </c>
      <c r="CH12" s="4434">
        <f t="shared" si="45"/>
        <v>-310.70607645400003</v>
      </c>
      <c r="CI12" s="4434">
        <f t="shared" si="2"/>
        <v>-310.70607645400003</v>
      </c>
      <c r="CJ12" s="4434">
        <f t="shared" si="2"/>
        <v>0</v>
      </c>
      <c r="CK12" s="2759"/>
      <c r="CL12" s="3576">
        <f t="shared" si="46"/>
        <v>690.30945545400004</v>
      </c>
    </row>
    <row r="13" spans="1:90" ht="18.75" customHeight="1" x14ac:dyDescent="0.2">
      <c r="A13" s="4386" t="s">
        <v>3644</v>
      </c>
      <c r="B13" s="4391">
        <f t="shared" ref="B13:B16" si="47">SUM(C13:D13)</f>
        <v>74.360610535086494</v>
      </c>
      <c r="C13" s="4391">
        <f t="shared" ref="C13:C16" si="48">SUM(CC13/4)</f>
        <v>74.360610535086494</v>
      </c>
      <c r="D13" s="4391">
        <f t="shared" ref="D13:D16" si="49">SUM(CD13/4)</f>
        <v>0</v>
      </c>
      <c r="E13" s="4394">
        <f t="shared" si="5"/>
        <v>24.507874000000001</v>
      </c>
      <c r="F13" s="4394">
        <f>SUM(F14:F16)</f>
        <v>24.507874000000001</v>
      </c>
      <c r="G13" s="4395">
        <v>0</v>
      </c>
      <c r="H13" s="4394">
        <f t="shared" si="6"/>
        <v>28.501264999999997</v>
      </c>
      <c r="I13" s="4391">
        <f>SUM(I14:I16)</f>
        <v>28.501264999999997</v>
      </c>
      <c r="J13" s="4395">
        <v>0</v>
      </c>
      <c r="K13" s="4394">
        <f t="shared" si="7"/>
        <v>24.637121</v>
      </c>
      <c r="L13" s="4394">
        <f>SUM(L14:L16)</f>
        <v>24.637121</v>
      </c>
      <c r="M13" s="4395">
        <v>0</v>
      </c>
      <c r="N13" s="4391">
        <f t="shared" si="8"/>
        <v>77.646259999999998</v>
      </c>
      <c r="O13" s="4391">
        <f t="shared" si="9"/>
        <v>77.646259999999998</v>
      </c>
      <c r="P13" s="4391">
        <f t="shared" si="9"/>
        <v>0</v>
      </c>
      <c r="Q13" s="4391">
        <f t="shared" si="10"/>
        <v>74.360610535086494</v>
      </c>
      <c r="R13" s="4391">
        <f t="shared" si="11"/>
        <v>74.360610535086494</v>
      </c>
      <c r="S13" s="4391">
        <f t="shared" si="12"/>
        <v>0</v>
      </c>
      <c r="T13" s="4391">
        <f t="shared" si="13"/>
        <v>26.101188999999998</v>
      </c>
      <c r="U13" s="4391">
        <f>SUM(U14:U16)</f>
        <v>26.101188999999998</v>
      </c>
      <c r="V13" s="4395">
        <v>0</v>
      </c>
      <c r="W13" s="4394">
        <f t="shared" si="14"/>
        <v>22.193646000000001</v>
      </c>
      <c r="X13" s="4394">
        <f>SUM(X14:X16)</f>
        <v>22.193646000000001</v>
      </c>
      <c r="Y13" s="4395">
        <v>0</v>
      </c>
      <c r="Z13" s="4394">
        <f t="shared" si="15"/>
        <v>21.841826000000001</v>
      </c>
      <c r="AA13" s="4394">
        <f>SUM(AA14:AA16)</f>
        <v>21.841826000000001</v>
      </c>
      <c r="AB13" s="4395">
        <v>0</v>
      </c>
      <c r="AC13" s="4394">
        <f t="shared" si="16"/>
        <v>70.136661000000004</v>
      </c>
      <c r="AD13" s="4394">
        <f t="shared" si="17"/>
        <v>70.136661000000004</v>
      </c>
      <c r="AE13" s="4394">
        <f t="shared" si="17"/>
        <v>0</v>
      </c>
      <c r="AF13" s="4371">
        <f t="shared" si="18"/>
        <v>148.72122107017299</v>
      </c>
      <c r="AG13" s="4371">
        <f t="shared" si="19"/>
        <v>148.72122107017299</v>
      </c>
      <c r="AH13" s="4371">
        <f t="shared" si="19"/>
        <v>0</v>
      </c>
      <c r="AI13" s="4371">
        <f t="shared" si="20"/>
        <v>147.78292099999999</v>
      </c>
      <c r="AJ13" s="4371">
        <f t="shared" si="21"/>
        <v>147.78292099999999</v>
      </c>
      <c r="AK13" s="4371">
        <f t="shared" si="21"/>
        <v>0</v>
      </c>
      <c r="AL13" s="4435">
        <f t="shared" si="22"/>
        <v>-0.93830007017299977</v>
      </c>
      <c r="AM13" s="4435">
        <f t="shared" si="0"/>
        <v>-0.93830007017299977</v>
      </c>
      <c r="AN13" s="4435">
        <f t="shared" si="0"/>
        <v>0</v>
      </c>
      <c r="AO13" s="4391">
        <f t="shared" ref="AO13:AO16" si="50">SUM(AP13:AQ13)</f>
        <v>74.360610535086494</v>
      </c>
      <c r="AP13" s="4391">
        <f t="shared" ref="AP13:AQ16" si="51">SUM(CC13/4)</f>
        <v>74.360610535086494</v>
      </c>
      <c r="AQ13" s="4391">
        <f t="shared" si="51"/>
        <v>0</v>
      </c>
      <c r="AR13" s="4394">
        <f t="shared" si="25"/>
        <v>16.222892000000002</v>
      </c>
      <c r="AS13" s="4896">
        <f>SUM(AS14:AS16)</f>
        <v>16.222892000000002</v>
      </c>
      <c r="AT13" s="4897"/>
      <c r="AU13" s="4394">
        <f t="shared" si="26"/>
        <v>0</v>
      </c>
      <c r="AV13" s="4394">
        <f>SUM(AV14:AV16)</f>
        <v>0</v>
      </c>
      <c r="AW13" s="4395"/>
      <c r="AX13" s="4394">
        <f t="shared" si="27"/>
        <v>0</v>
      </c>
      <c r="AY13" s="4394">
        <f>SUM(AY14:AY16)</f>
        <v>0</v>
      </c>
      <c r="AZ13" s="4395"/>
      <c r="BA13" s="4394">
        <f t="shared" si="28"/>
        <v>16.222892000000002</v>
      </c>
      <c r="BB13" s="4394">
        <f t="shared" si="29"/>
        <v>16.222892000000002</v>
      </c>
      <c r="BC13" s="4394">
        <f t="shared" si="29"/>
        <v>0</v>
      </c>
      <c r="BD13" s="4371">
        <f t="shared" si="30"/>
        <v>223.08183160525948</v>
      </c>
      <c r="BE13" s="4371">
        <f t="shared" si="31"/>
        <v>223.08183160525948</v>
      </c>
      <c r="BF13" s="4371">
        <f t="shared" si="31"/>
        <v>0</v>
      </c>
      <c r="BG13" s="4435">
        <f t="shared" si="32"/>
        <v>164.00581299999999</v>
      </c>
      <c r="BH13" s="4435">
        <f t="shared" si="33"/>
        <v>164.00581299999999</v>
      </c>
      <c r="BI13" s="4435">
        <f t="shared" si="33"/>
        <v>0</v>
      </c>
      <c r="BJ13" s="4435">
        <f t="shared" si="34"/>
        <v>-59.076018605259492</v>
      </c>
      <c r="BK13" s="4435">
        <f t="shared" si="1"/>
        <v>-59.076018605259492</v>
      </c>
      <c r="BL13" s="4435">
        <f t="shared" si="1"/>
        <v>0</v>
      </c>
      <c r="BM13" s="4391">
        <f t="shared" ref="BM13:BM16" si="52">SUM(BN13:BO13)</f>
        <v>74.360610535086494</v>
      </c>
      <c r="BN13" s="4391">
        <f t="shared" ref="BN13:BO16" si="53">SUM(CC13/4)</f>
        <v>74.360610535086494</v>
      </c>
      <c r="BO13" s="4391">
        <f t="shared" si="53"/>
        <v>0</v>
      </c>
      <c r="BP13" s="4394">
        <f t="shared" si="37"/>
        <v>0</v>
      </c>
      <c r="BQ13" s="4394">
        <f>SUM(BQ14:BQ16)</f>
        <v>0</v>
      </c>
      <c r="BR13" s="4395"/>
      <c r="BS13" s="4394">
        <f t="shared" si="38"/>
        <v>0</v>
      </c>
      <c r="BT13" s="4394">
        <f>SUM(BT14:BT16)</f>
        <v>0</v>
      </c>
      <c r="BU13" s="4395"/>
      <c r="BV13" s="4394">
        <f t="shared" si="39"/>
        <v>0</v>
      </c>
      <c r="BW13" s="4394">
        <f>SUM(BW14:BW16)</f>
        <v>0</v>
      </c>
      <c r="BX13" s="4395"/>
      <c r="BY13" s="4394">
        <f t="shared" si="40"/>
        <v>0</v>
      </c>
      <c r="BZ13" s="4394">
        <f t="shared" si="41"/>
        <v>0</v>
      </c>
      <c r="CA13" s="4394">
        <f t="shared" si="41"/>
        <v>0</v>
      </c>
      <c r="CB13" s="4552">
        <f t="shared" si="42"/>
        <v>297.44244214034597</v>
      </c>
      <c r="CC13" s="4449">
        <f>SUM('объемы ВС и ВО 2023'!CI66)</f>
        <v>297.44244214034597</v>
      </c>
      <c r="CD13" s="4449"/>
      <c r="CE13" s="4435">
        <f t="shared" si="43"/>
        <v>164.00581299999999</v>
      </c>
      <c r="CF13" s="4371">
        <f t="shared" si="44"/>
        <v>164.00581299999999</v>
      </c>
      <c r="CG13" s="4435">
        <f t="shared" si="44"/>
        <v>0</v>
      </c>
      <c r="CH13" s="4435">
        <f t="shared" si="45"/>
        <v>-133.43662914034599</v>
      </c>
      <c r="CI13" s="4435">
        <f t="shared" si="2"/>
        <v>-133.43662914034599</v>
      </c>
      <c r="CJ13" s="4435">
        <f t="shared" si="2"/>
        <v>0</v>
      </c>
      <c r="CK13" s="2759"/>
      <c r="CL13" s="3576">
        <f t="shared" si="46"/>
        <v>297.44244214034597</v>
      </c>
    </row>
    <row r="14" spans="1:90" ht="18.75" customHeight="1" x14ac:dyDescent="0.2">
      <c r="A14" s="4436" t="s">
        <v>3646</v>
      </c>
      <c r="B14" s="4391">
        <f t="shared" si="47"/>
        <v>27.290344066376747</v>
      </c>
      <c r="C14" s="4391">
        <f t="shared" si="48"/>
        <v>27.290344066376747</v>
      </c>
      <c r="D14" s="4391">
        <f t="shared" si="49"/>
        <v>0</v>
      </c>
      <c r="E14" s="4394">
        <f t="shared" si="5"/>
        <v>8.0636550000000007</v>
      </c>
      <c r="F14" s="4395">
        <v>8.0636550000000007</v>
      </c>
      <c r="G14" s="4395">
        <v>0</v>
      </c>
      <c r="H14" s="4394">
        <f t="shared" si="6"/>
        <v>10.427747</v>
      </c>
      <c r="I14" s="4392">
        <v>10.427747</v>
      </c>
      <c r="J14" s="4395">
        <v>0</v>
      </c>
      <c r="K14" s="4394">
        <f t="shared" si="7"/>
        <v>8.6376749999999998</v>
      </c>
      <c r="L14" s="4395">
        <v>8.6376749999999998</v>
      </c>
      <c r="M14" s="4395">
        <v>0</v>
      </c>
      <c r="N14" s="4391">
        <f t="shared" si="8"/>
        <v>27.129077000000002</v>
      </c>
      <c r="O14" s="4391">
        <f t="shared" si="9"/>
        <v>27.129077000000002</v>
      </c>
      <c r="P14" s="4391">
        <f t="shared" si="9"/>
        <v>0</v>
      </c>
      <c r="Q14" s="4391">
        <f t="shared" si="10"/>
        <v>27.290344066376747</v>
      </c>
      <c r="R14" s="4391">
        <f t="shared" si="11"/>
        <v>27.290344066376747</v>
      </c>
      <c r="S14" s="4391">
        <f t="shared" si="12"/>
        <v>0</v>
      </c>
      <c r="T14" s="4391">
        <f t="shared" si="13"/>
        <v>7.4618869999999999</v>
      </c>
      <c r="U14" s="4392">
        <v>7.4618869999999999</v>
      </c>
      <c r="V14" s="4395">
        <v>0</v>
      </c>
      <c r="W14" s="4394">
        <f t="shared" si="14"/>
        <v>6.4517470000000001</v>
      </c>
      <c r="X14" s="4395">
        <v>6.4517470000000001</v>
      </c>
      <c r="Y14" s="4395">
        <v>0</v>
      </c>
      <c r="Z14" s="4394">
        <f t="shared" si="15"/>
        <v>7.5663410000000004</v>
      </c>
      <c r="AA14" s="4395">
        <v>7.5663410000000004</v>
      </c>
      <c r="AB14" s="4395">
        <v>0</v>
      </c>
      <c r="AC14" s="4394">
        <f t="shared" si="16"/>
        <v>21.479975</v>
      </c>
      <c r="AD14" s="4394">
        <f t="shared" si="17"/>
        <v>21.479975</v>
      </c>
      <c r="AE14" s="4394">
        <f t="shared" si="17"/>
        <v>0</v>
      </c>
      <c r="AF14" s="4371">
        <f t="shared" si="18"/>
        <v>54.580688132753494</v>
      </c>
      <c r="AG14" s="4371">
        <f t="shared" si="19"/>
        <v>54.580688132753494</v>
      </c>
      <c r="AH14" s="4371">
        <f t="shared" si="19"/>
        <v>0</v>
      </c>
      <c r="AI14" s="4371">
        <f t="shared" si="20"/>
        <v>48.609052000000005</v>
      </c>
      <c r="AJ14" s="4371">
        <f t="shared" si="21"/>
        <v>48.609052000000005</v>
      </c>
      <c r="AK14" s="4371">
        <f t="shared" si="21"/>
        <v>0</v>
      </c>
      <c r="AL14" s="4435">
        <f t="shared" si="22"/>
        <v>-5.9716361327534884</v>
      </c>
      <c r="AM14" s="4435">
        <f t="shared" si="0"/>
        <v>-5.9716361327534884</v>
      </c>
      <c r="AN14" s="4435">
        <f t="shared" si="0"/>
        <v>0</v>
      </c>
      <c r="AO14" s="4391">
        <f t="shared" si="50"/>
        <v>27.290344066376747</v>
      </c>
      <c r="AP14" s="4391">
        <f t="shared" si="51"/>
        <v>27.290344066376747</v>
      </c>
      <c r="AQ14" s="4391">
        <f t="shared" si="51"/>
        <v>0</v>
      </c>
      <c r="AR14" s="4394">
        <f t="shared" si="25"/>
        <v>7.3152470000000003</v>
      </c>
      <c r="AS14" s="4897">
        <v>7.3152470000000003</v>
      </c>
      <c r="AT14" s="4897"/>
      <c r="AU14" s="4394">
        <f t="shared" si="26"/>
        <v>0</v>
      </c>
      <c r="AV14" s="4395"/>
      <c r="AW14" s="4395"/>
      <c r="AX14" s="4394">
        <f t="shared" si="27"/>
        <v>0</v>
      </c>
      <c r="AY14" s="4395"/>
      <c r="AZ14" s="4395"/>
      <c r="BA14" s="4394">
        <f t="shared" si="28"/>
        <v>7.3152470000000003</v>
      </c>
      <c r="BB14" s="4394">
        <f t="shared" si="29"/>
        <v>7.3152470000000003</v>
      </c>
      <c r="BC14" s="4394">
        <f t="shared" si="29"/>
        <v>0</v>
      </c>
      <c r="BD14" s="4371">
        <f t="shared" si="30"/>
        <v>81.871032199130241</v>
      </c>
      <c r="BE14" s="4371">
        <f t="shared" si="31"/>
        <v>81.871032199130241</v>
      </c>
      <c r="BF14" s="4371">
        <f t="shared" si="31"/>
        <v>0</v>
      </c>
      <c r="BG14" s="4435">
        <f t="shared" si="32"/>
        <v>55.924299000000005</v>
      </c>
      <c r="BH14" s="4371">
        <f t="shared" si="33"/>
        <v>55.924299000000005</v>
      </c>
      <c r="BI14" s="4435">
        <f t="shared" si="33"/>
        <v>0</v>
      </c>
      <c r="BJ14" s="4435">
        <f t="shared" si="34"/>
        <v>-25.946733199130236</v>
      </c>
      <c r="BK14" s="4435">
        <f t="shared" si="1"/>
        <v>-25.946733199130236</v>
      </c>
      <c r="BL14" s="4435">
        <f t="shared" si="1"/>
        <v>0</v>
      </c>
      <c r="BM14" s="4391">
        <f t="shared" si="52"/>
        <v>27.290344066376747</v>
      </c>
      <c r="BN14" s="4391">
        <f t="shared" si="53"/>
        <v>27.290344066376747</v>
      </c>
      <c r="BO14" s="4391">
        <f t="shared" si="53"/>
        <v>0</v>
      </c>
      <c r="BP14" s="4394">
        <f t="shared" si="37"/>
        <v>0</v>
      </c>
      <c r="BQ14" s="4395"/>
      <c r="BR14" s="4395"/>
      <c r="BS14" s="4394">
        <f t="shared" si="38"/>
        <v>0</v>
      </c>
      <c r="BT14" s="4395"/>
      <c r="BU14" s="4395"/>
      <c r="BV14" s="4394">
        <f t="shared" si="39"/>
        <v>0</v>
      </c>
      <c r="BW14" s="4395"/>
      <c r="BX14" s="4395"/>
      <c r="BY14" s="4394">
        <f t="shared" si="40"/>
        <v>0</v>
      </c>
      <c r="BZ14" s="4394">
        <f t="shared" si="41"/>
        <v>0</v>
      </c>
      <c r="CA14" s="4394">
        <f t="shared" si="41"/>
        <v>0</v>
      </c>
      <c r="CB14" s="4552">
        <f t="shared" si="42"/>
        <v>109.16137626550699</v>
      </c>
      <c r="CC14" s="4449">
        <f>SUM(CC13*36.7%)</f>
        <v>109.16137626550699</v>
      </c>
      <c r="CD14" s="4449"/>
      <c r="CE14" s="4435">
        <f t="shared" ref="CE14:CE16" si="54">SUM(CF14:CG14)</f>
        <v>55.924299000000005</v>
      </c>
      <c r="CF14" s="4371">
        <f t="shared" si="44"/>
        <v>55.924299000000005</v>
      </c>
      <c r="CG14" s="4435">
        <f t="shared" si="44"/>
        <v>0</v>
      </c>
      <c r="CH14" s="4435">
        <f t="shared" si="45"/>
        <v>-53.237077265506983</v>
      </c>
      <c r="CI14" s="4435">
        <f t="shared" si="2"/>
        <v>-53.237077265506983</v>
      </c>
      <c r="CJ14" s="4435">
        <f t="shared" si="2"/>
        <v>0</v>
      </c>
      <c r="CK14" s="2759"/>
      <c r="CL14" s="3576">
        <f t="shared" si="46"/>
        <v>109.16137626550699</v>
      </c>
    </row>
    <row r="15" spans="1:90" ht="18.75" customHeight="1" x14ac:dyDescent="0.2">
      <c r="A15" s="4436" t="s">
        <v>3645</v>
      </c>
      <c r="B15" s="4391">
        <f t="shared" si="47"/>
        <v>21.19277400249965</v>
      </c>
      <c r="C15" s="4391">
        <f t="shared" si="48"/>
        <v>21.19277400249965</v>
      </c>
      <c r="D15" s="4391">
        <f t="shared" si="49"/>
        <v>0</v>
      </c>
      <c r="E15" s="4394">
        <f t="shared" si="5"/>
        <v>7.6390000000000002</v>
      </c>
      <c r="F15" s="4395">
        <v>7.6390000000000002</v>
      </c>
      <c r="G15" s="4395">
        <v>0</v>
      </c>
      <c r="H15" s="4394">
        <f t="shared" si="6"/>
        <v>7.2450799999999997</v>
      </c>
      <c r="I15" s="4392">
        <v>7.2450799999999997</v>
      </c>
      <c r="J15" s="4395">
        <v>0</v>
      </c>
      <c r="K15" s="4394">
        <f t="shared" si="7"/>
        <v>6.821091</v>
      </c>
      <c r="L15" s="4395">
        <v>6.821091</v>
      </c>
      <c r="M15" s="4395">
        <v>0</v>
      </c>
      <c r="N15" s="4391">
        <f t="shared" si="8"/>
        <v>21.705171</v>
      </c>
      <c r="O15" s="4391">
        <f t="shared" si="9"/>
        <v>21.705171</v>
      </c>
      <c r="P15" s="4391">
        <f t="shared" si="9"/>
        <v>0</v>
      </c>
      <c r="Q15" s="4391">
        <f t="shared" si="10"/>
        <v>21.19277400249965</v>
      </c>
      <c r="R15" s="4391">
        <f t="shared" si="11"/>
        <v>21.19277400249965</v>
      </c>
      <c r="S15" s="4391">
        <f t="shared" si="12"/>
        <v>0</v>
      </c>
      <c r="T15" s="4391">
        <f t="shared" si="13"/>
        <v>7.8571350000000004</v>
      </c>
      <c r="U15" s="4392">
        <v>7.8571350000000004</v>
      </c>
      <c r="V15" s="4395">
        <v>0</v>
      </c>
      <c r="W15" s="4394">
        <f t="shared" si="14"/>
        <v>7.3830030000000004</v>
      </c>
      <c r="X15" s="4395">
        <v>7.3830030000000004</v>
      </c>
      <c r="Y15" s="4395">
        <v>0</v>
      </c>
      <c r="Z15" s="4394">
        <f t="shared" si="15"/>
        <v>7.4423180000000002</v>
      </c>
      <c r="AA15" s="4395">
        <v>7.4423180000000002</v>
      </c>
      <c r="AB15" s="4395">
        <v>0</v>
      </c>
      <c r="AC15" s="4394">
        <f t="shared" si="16"/>
        <v>22.682456000000002</v>
      </c>
      <c r="AD15" s="4394">
        <f t="shared" si="17"/>
        <v>22.682456000000002</v>
      </c>
      <c r="AE15" s="4394">
        <f t="shared" si="17"/>
        <v>0</v>
      </c>
      <c r="AF15" s="4371">
        <f t="shared" si="18"/>
        <v>42.385548004999301</v>
      </c>
      <c r="AG15" s="4371">
        <f t="shared" si="19"/>
        <v>42.385548004999301</v>
      </c>
      <c r="AH15" s="4371">
        <f t="shared" si="19"/>
        <v>0</v>
      </c>
      <c r="AI15" s="4371">
        <f t="shared" si="20"/>
        <v>44.387627000000002</v>
      </c>
      <c r="AJ15" s="4371">
        <f t="shared" si="21"/>
        <v>44.387627000000002</v>
      </c>
      <c r="AK15" s="4371">
        <f t="shared" si="21"/>
        <v>0</v>
      </c>
      <c r="AL15" s="4435">
        <f t="shared" si="22"/>
        <v>2.0020789950007014</v>
      </c>
      <c r="AM15" s="4435">
        <f t="shared" si="0"/>
        <v>2.0020789950007014</v>
      </c>
      <c r="AN15" s="4435">
        <f t="shared" si="0"/>
        <v>0</v>
      </c>
      <c r="AO15" s="4391">
        <f t="shared" si="50"/>
        <v>21.19277400249965</v>
      </c>
      <c r="AP15" s="4391">
        <f t="shared" si="51"/>
        <v>21.19277400249965</v>
      </c>
      <c r="AQ15" s="4391">
        <f t="shared" si="51"/>
        <v>0</v>
      </c>
      <c r="AR15" s="4394">
        <f t="shared" si="25"/>
        <v>5.26938</v>
      </c>
      <c r="AS15" s="4897">
        <v>5.26938</v>
      </c>
      <c r="AT15" s="4897"/>
      <c r="AU15" s="4394">
        <f t="shared" si="26"/>
        <v>0</v>
      </c>
      <c r="AV15" s="4395"/>
      <c r="AW15" s="4395"/>
      <c r="AX15" s="4394">
        <f t="shared" si="27"/>
        <v>0</v>
      </c>
      <c r="AY15" s="4395"/>
      <c r="AZ15" s="4395"/>
      <c r="BA15" s="4394">
        <f t="shared" si="28"/>
        <v>5.26938</v>
      </c>
      <c r="BB15" s="4394">
        <f t="shared" si="29"/>
        <v>5.26938</v>
      </c>
      <c r="BC15" s="4394">
        <f t="shared" si="29"/>
        <v>0</v>
      </c>
      <c r="BD15" s="4371">
        <f t="shared" si="30"/>
        <v>63.578322007498954</v>
      </c>
      <c r="BE15" s="4371">
        <f t="shared" si="31"/>
        <v>63.578322007498954</v>
      </c>
      <c r="BF15" s="4371">
        <f t="shared" si="31"/>
        <v>0</v>
      </c>
      <c r="BG15" s="4435">
        <f t="shared" si="32"/>
        <v>49.657007</v>
      </c>
      <c r="BH15" s="4371">
        <f t="shared" si="33"/>
        <v>49.657007</v>
      </c>
      <c r="BI15" s="4435">
        <f t="shared" si="33"/>
        <v>0</v>
      </c>
      <c r="BJ15" s="4435">
        <f t="shared" si="34"/>
        <v>-13.921315007498954</v>
      </c>
      <c r="BK15" s="4435">
        <f t="shared" si="1"/>
        <v>-13.921315007498954</v>
      </c>
      <c r="BL15" s="4435">
        <f t="shared" si="1"/>
        <v>0</v>
      </c>
      <c r="BM15" s="4391">
        <f t="shared" si="52"/>
        <v>21.19277400249965</v>
      </c>
      <c r="BN15" s="4391">
        <f t="shared" si="53"/>
        <v>21.19277400249965</v>
      </c>
      <c r="BO15" s="4391">
        <f t="shared" si="53"/>
        <v>0</v>
      </c>
      <c r="BP15" s="4394">
        <f t="shared" si="37"/>
        <v>0</v>
      </c>
      <c r="BQ15" s="4395"/>
      <c r="BR15" s="4395"/>
      <c r="BS15" s="4394">
        <f t="shared" si="38"/>
        <v>0</v>
      </c>
      <c r="BT15" s="4395"/>
      <c r="BU15" s="4395"/>
      <c r="BV15" s="4394">
        <f t="shared" si="39"/>
        <v>0</v>
      </c>
      <c r="BW15" s="4395"/>
      <c r="BX15" s="4395"/>
      <c r="BY15" s="4394">
        <f t="shared" si="40"/>
        <v>0</v>
      </c>
      <c r="BZ15" s="4394">
        <f t="shared" si="41"/>
        <v>0</v>
      </c>
      <c r="CA15" s="4394">
        <f t="shared" si="41"/>
        <v>0</v>
      </c>
      <c r="CB15" s="4552">
        <f t="shared" si="42"/>
        <v>84.771096009998601</v>
      </c>
      <c r="CC15" s="4449">
        <f>SUM(CC13*28.5%)</f>
        <v>84.771096009998601</v>
      </c>
      <c r="CD15" s="4449"/>
      <c r="CE15" s="4435">
        <f t="shared" si="54"/>
        <v>49.657007</v>
      </c>
      <c r="CF15" s="4371">
        <f t="shared" si="44"/>
        <v>49.657007</v>
      </c>
      <c r="CG15" s="4435">
        <f t="shared" si="44"/>
        <v>0</v>
      </c>
      <c r="CH15" s="4435">
        <f t="shared" si="45"/>
        <v>-35.114089009998601</v>
      </c>
      <c r="CI15" s="4435">
        <f t="shared" si="2"/>
        <v>-35.114089009998601</v>
      </c>
      <c r="CJ15" s="4435">
        <f t="shared" si="2"/>
        <v>0</v>
      </c>
      <c r="CK15" s="2759"/>
      <c r="CL15" s="3576">
        <f t="shared" si="46"/>
        <v>84.771096009998601</v>
      </c>
    </row>
    <row r="16" spans="1:90" ht="18.75" customHeight="1" x14ac:dyDescent="0.2">
      <c r="A16" s="4436" t="s">
        <v>3647</v>
      </c>
      <c r="B16" s="4391">
        <f t="shared" si="47"/>
        <v>25.877492466210096</v>
      </c>
      <c r="C16" s="4391">
        <f t="shared" si="48"/>
        <v>25.877492466210096</v>
      </c>
      <c r="D16" s="4391">
        <f t="shared" si="49"/>
        <v>0</v>
      </c>
      <c r="E16" s="4394">
        <f t="shared" si="5"/>
        <v>8.8052189999999992</v>
      </c>
      <c r="F16" s="4395">
        <v>8.8052189999999992</v>
      </c>
      <c r="G16" s="4395">
        <v>0</v>
      </c>
      <c r="H16" s="4394">
        <f t="shared" si="6"/>
        <v>10.828438</v>
      </c>
      <c r="I16" s="4392">
        <v>10.828438</v>
      </c>
      <c r="J16" s="4395">
        <v>0</v>
      </c>
      <c r="K16" s="4394">
        <f t="shared" si="7"/>
        <v>9.1783549999999998</v>
      </c>
      <c r="L16" s="4395">
        <v>9.1783549999999998</v>
      </c>
      <c r="M16" s="4395">
        <v>0</v>
      </c>
      <c r="N16" s="4391">
        <f t="shared" si="8"/>
        <v>28.812011999999999</v>
      </c>
      <c r="O16" s="4391">
        <f t="shared" si="9"/>
        <v>28.812011999999999</v>
      </c>
      <c r="P16" s="4391">
        <f t="shared" si="9"/>
        <v>0</v>
      </c>
      <c r="Q16" s="4391">
        <f t="shared" si="10"/>
        <v>25.877492466210096</v>
      </c>
      <c r="R16" s="4391">
        <f t="shared" si="11"/>
        <v>25.877492466210096</v>
      </c>
      <c r="S16" s="4391">
        <f t="shared" si="12"/>
        <v>0</v>
      </c>
      <c r="T16" s="4391">
        <f t="shared" si="13"/>
        <v>10.782166999999999</v>
      </c>
      <c r="U16" s="4392">
        <v>10.782166999999999</v>
      </c>
      <c r="V16" s="4395">
        <v>0</v>
      </c>
      <c r="W16" s="4394">
        <f t="shared" si="14"/>
        <v>8.3588959999999997</v>
      </c>
      <c r="X16" s="4395">
        <v>8.3588959999999997</v>
      </c>
      <c r="Y16" s="4395">
        <v>0</v>
      </c>
      <c r="Z16" s="4394">
        <f t="shared" si="15"/>
        <v>6.8331670000000004</v>
      </c>
      <c r="AA16" s="4395">
        <v>6.8331670000000004</v>
      </c>
      <c r="AB16" s="4395">
        <v>0</v>
      </c>
      <c r="AC16" s="4394">
        <f t="shared" si="16"/>
        <v>25.974229999999999</v>
      </c>
      <c r="AD16" s="4394">
        <f t="shared" si="17"/>
        <v>25.974229999999999</v>
      </c>
      <c r="AE16" s="4394">
        <f t="shared" si="17"/>
        <v>0</v>
      </c>
      <c r="AF16" s="4371">
        <f t="shared" si="18"/>
        <v>51.754984932420193</v>
      </c>
      <c r="AG16" s="4371">
        <f t="shared" si="19"/>
        <v>51.754984932420193</v>
      </c>
      <c r="AH16" s="4371">
        <f t="shared" si="19"/>
        <v>0</v>
      </c>
      <c r="AI16" s="4371">
        <f t="shared" si="20"/>
        <v>54.786242000000001</v>
      </c>
      <c r="AJ16" s="4371">
        <f t="shared" si="21"/>
        <v>54.786242000000001</v>
      </c>
      <c r="AK16" s="4371">
        <f t="shared" si="21"/>
        <v>0</v>
      </c>
      <c r="AL16" s="4435">
        <f t="shared" si="22"/>
        <v>3.0312570675798085</v>
      </c>
      <c r="AM16" s="4435">
        <f t="shared" si="0"/>
        <v>3.0312570675798085</v>
      </c>
      <c r="AN16" s="4435">
        <f t="shared" si="0"/>
        <v>0</v>
      </c>
      <c r="AO16" s="4391">
        <f t="shared" si="50"/>
        <v>25.877492466210096</v>
      </c>
      <c r="AP16" s="4391">
        <f t="shared" si="51"/>
        <v>25.877492466210096</v>
      </c>
      <c r="AQ16" s="4391">
        <f t="shared" si="51"/>
        <v>0</v>
      </c>
      <c r="AR16" s="4394">
        <f t="shared" si="25"/>
        <v>3.6382650000000001</v>
      </c>
      <c r="AS16" s="4897">
        <v>3.6382650000000001</v>
      </c>
      <c r="AT16" s="4897"/>
      <c r="AU16" s="4394">
        <f t="shared" si="26"/>
        <v>0</v>
      </c>
      <c r="AV16" s="4395"/>
      <c r="AW16" s="4395"/>
      <c r="AX16" s="4394">
        <f t="shared" si="27"/>
        <v>0</v>
      </c>
      <c r="AY16" s="4395"/>
      <c r="AZ16" s="4395"/>
      <c r="BA16" s="4394">
        <f t="shared" si="28"/>
        <v>3.6382650000000001</v>
      </c>
      <c r="BB16" s="4394">
        <f t="shared" si="29"/>
        <v>3.6382650000000001</v>
      </c>
      <c r="BC16" s="4394">
        <f t="shared" si="29"/>
        <v>0</v>
      </c>
      <c r="BD16" s="4371">
        <f t="shared" si="30"/>
        <v>77.632477398630286</v>
      </c>
      <c r="BE16" s="4371">
        <f t="shared" si="31"/>
        <v>77.632477398630286</v>
      </c>
      <c r="BF16" s="4371">
        <f t="shared" si="31"/>
        <v>0</v>
      </c>
      <c r="BG16" s="4435">
        <f t="shared" si="32"/>
        <v>58.424506999999998</v>
      </c>
      <c r="BH16" s="4371">
        <f t="shared" si="33"/>
        <v>58.424506999999998</v>
      </c>
      <c r="BI16" s="4435">
        <f t="shared" si="33"/>
        <v>0</v>
      </c>
      <c r="BJ16" s="4435">
        <f t="shared" si="34"/>
        <v>-19.207970398630287</v>
      </c>
      <c r="BK16" s="4435">
        <f t="shared" si="1"/>
        <v>-19.207970398630287</v>
      </c>
      <c r="BL16" s="4435">
        <f t="shared" si="1"/>
        <v>0</v>
      </c>
      <c r="BM16" s="4391">
        <f t="shared" si="52"/>
        <v>25.877492466210096</v>
      </c>
      <c r="BN16" s="4391">
        <f t="shared" si="53"/>
        <v>25.877492466210096</v>
      </c>
      <c r="BO16" s="4391">
        <f t="shared" si="53"/>
        <v>0</v>
      </c>
      <c r="BP16" s="4394">
        <f t="shared" si="37"/>
        <v>0</v>
      </c>
      <c r="BQ16" s="4395"/>
      <c r="BR16" s="4395"/>
      <c r="BS16" s="4394">
        <f t="shared" si="38"/>
        <v>0</v>
      </c>
      <c r="BT16" s="4395"/>
      <c r="BU16" s="4395"/>
      <c r="BV16" s="4394">
        <f t="shared" si="39"/>
        <v>0</v>
      </c>
      <c r="BW16" s="4395"/>
      <c r="BX16" s="4395"/>
      <c r="BY16" s="4394">
        <f t="shared" si="40"/>
        <v>0</v>
      </c>
      <c r="BZ16" s="4394">
        <f t="shared" si="41"/>
        <v>0</v>
      </c>
      <c r="CA16" s="4394">
        <f t="shared" si="41"/>
        <v>0</v>
      </c>
      <c r="CB16" s="4552">
        <f t="shared" si="42"/>
        <v>103.50996986484039</v>
      </c>
      <c r="CC16" s="4449">
        <f>SUM(CC13*34.8%)</f>
        <v>103.50996986484039</v>
      </c>
      <c r="CD16" s="4449"/>
      <c r="CE16" s="4435">
        <f t="shared" si="54"/>
        <v>58.424506999999998</v>
      </c>
      <c r="CF16" s="4371">
        <f t="shared" si="44"/>
        <v>58.424506999999998</v>
      </c>
      <c r="CG16" s="4435">
        <f t="shared" si="44"/>
        <v>0</v>
      </c>
      <c r="CH16" s="4435">
        <f t="shared" si="45"/>
        <v>-45.085462864840387</v>
      </c>
      <c r="CI16" s="4435">
        <f t="shared" si="2"/>
        <v>-45.085462864840387</v>
      </c>
      <c r="CJ16" s="4435">
        <f t="shared" si="2"/>
        <v>0</v>
      </c>
      <c r="CK16" s="2759"/>
      <c r="CL16" s="3576">
        <f t="shared" si="46"/>
        <v>103.50996986484039</v>
      </c>
    </row>
    <row r="17" spans="1:91" ht="18.75" customHeight="1" x14ac:dyDescent="0.3">
      <c r="A17" s="4372" t="s">
        <v>3691</v>
      </c>
      <c r="B17" s="4437"/>
      <c r="C17" s="4437"/>
      <c r="D17" s="4437"/>
      <c r="E17" s="4437"/>
      <c r="F17" s="4437"/>
      <c r="G17" s="4437"/>
      <c r="H17" s="4438"/>
      <c r="I17" s="4438"/>
      <c r="J17" s="4438"/>
      <c r="K17" s="4438"/>
      <c r="L17" s="4438"/>
      <c r="M17" s="4438"/>
      <c r="N17" s="4438"/>
      <c r="O17" s="4438"/>
      <c r="P17" s="4438"/>
      <c r="Q17" s="4438"/>
      <c r="R17" s="4438"/>
      <c r="S17" s="4438"/>
      <c r="T17" s="4438"/>
      <c r="U17" s="4438"/>
      <c r="V17" s="4438"/>
      <c r="W17" s="4438"/>
      <c r="X17" s="4438"/>
      <c r="Y17" s="4438"/>
      <c r="Z17" s="4438"/>
      <c r="AA17" s="4438"/>
      <c r="AB17" s="4438"/>
      <c r="AC17" s="4438"/>
      <c r="AD17" s="4438"/>
      <c r="AE17" s="4438"/>
      <c r="AF17" s="4438"/>
      <c r="AG17" s="4438"/>
      <c r="AH17" s="4438"/>
      <c r="AI17" s="4438"/>
      <c r="AJ17" s="4438"/>
      <c r="AK17" s="4438"/>
      <c r="AL17" s="4438"/>
      <c r="AM17" s="4438"/>
      <c r="AN17" s="4438"/>
      <c r="AO17" s="4438"/>
      <c r="AP17" s="4438"/>
      <c r="AQ17" s="4438"/>
      <c r="AR17" s="4438"/>
      <c r="AS17" s="4438"/>
      <c r="AT17" s="4438"/>
      <c r="AU17" s="4438"/>
      <c r="AV17" s="4438"/>
      <c r="AW17" s="4438"/>
      <c r="AX17" s="4438"/>
      <c r="AY17" s="4438"/>
      <c r="AZ17" s="4438"/>
      <c r="BA17" s="4438"/>
      <c r="BB17" s="4438"/>
      <c r="BC17" s="4438"/>
      <c r="BD17" s="4438"/>
      <c r="BE17" s="4438"/>
      <c r="BF17" s="4438"/>
      <c r="BG17" s="4438"/>
      <c r="BH17" s="4438"/>
      <c r="BI17" s="4438"/>
      <c r="BJ17" s="4438"/>
      <c r="BK17" s="4438"/>
      <c r="BL17" s="4438"/>
      <c r="BM17" s="4438"/>
      <c r="BN17" s="4438"/>
      <c r="BO17" s="4438"/>
      <c r="BP17" s="4438"/>
      <c r="BQ17" s="4438"/>
      <c r="BR17" s="4438"/>
      <c r="BS17" s="4438"/>
      <c r="BT17" s="4438"/>
      <c r="BU17" s="4438"/>
      <c r="BV17" s="4439"/>
      <c r="BW17" s="4439"/>
      <c r="BX17" s="4439"/>
      <c r="BY17" s="4439"/>
      <c r="BZ17" s="4439"/>
      <c r="CA17" s="4439"/>
      <c r="CB17" s="4439"/>
      <c r="CC17" s="4439"/>
      <c r="CD17" s="4439"/>
      <c r="CE17" s="4439"/>
      <c r="CF17" s="4439"/>
      <c r="CG17" s="4439"/>
      <c r="CH17" s="4439"/>
      <c r="CI17" s="4439"/>
      <c r="CJ17" s="4440"/>
    </row>
    <row r="18" spans="1:91" ht="18.75" customHeight="1" x14ac:dyDescent="0.2">
      <c r="A18" s="5323" t="s">
        <v>525</v>
      </c>
      <c r="B18" s="5305" t="s">
        <v>3678</v>
      </c>
      <c r="C18" s="5306"/>
      <c r="D18" s="5306"/>
      <c r="E18" s="5306"/>
      <c r="F18" s="5306"/>
      <c r="G18" s="5306"/>
      <c r="H18" s="5306"/>
      <c r="I18" s="5306"/>
      <c r="J18" s="5306"/>
      <c r="K18" s="5306"/>
      <c r="L18" s="5306"/>
      <c r="M18" s="5306"/>
      <c r="N18" s="5306"/>
      <c r="O18" s="5306"/>
      <c r="P18" s="5307"/>
      <c r="Q18" s="5296" t="s">
        <v>3679</v>
      </c>
      <c r="R18" s="5297"/>
      <c r="S18" s="5297"/>
      <c r="T18" s="5297"/>
      <c r="U18" s="5297"/>
      <c r="V18" s="5297"/>
      <c r="W18" s="5297"/>
      <c r="X18" s="5297"/>
      <c r="Y18" s="5297"/>
      <c r="Z18" s="5297"/>
      <c r="AA18" s="5297"/>
      <c r="AB18" s="5297"/>
      <c r="AC18" s="5297"/>
      <c r="AD18" s="5308"/>
      <c r="AE18" s="5309"/>
      <c r="AF18" s="5292" t="s">
        <v>3680</v>
      </c>
      <c r="AG18" s="5293"/>
      <c r="AH18" s="5293"/>
      <c r="AI18" s="5293"/>
      <c r="AJ18" s="5293"/>
      <c r="AK18" s="5293"/>
      <c r="AL18" s="5293"/>
      <c r="AM18" s="5310"/>
      <c r="AN18" s="5311"/>
      <c r="AO18" s="5305" t="s">
        <v>3681</v>
      </c>
      <c r="AP18" s="5306"/>
      <c r="AQ18" s="5306"/>
      <c r="AR18" s="5306"/>
      <c r="AS18" s="5306"/>
      <c r="AT18" s="5306"/>
      <c r="AU18" s="5306"/>
      <c r="AV18" s="5306"/>
      <c r="AW18" s="5306"/>
      <c r="AX18" s="5306"/>
      <c r="AY18" s="5306"/>
      <c r="AZ18" s="5306"/>
      <c r="BA18" s="5306"/>
      <c r="BB18" s="5310"/>
      <c r="BC18" s="5311"/>
      <c r="BD18" s="5292" t="s">
        <v>3682</v>
      </c>
      <c r="BE18" s="5293"/>
      <c r="BF18" s="5293"/>
      <c r="BG18" s="5293"/>
      <c r="BH18" s="5293"/>
      <c r="BI18" s="5293"/>
      <c r="BJ18" s="5293"/>
      <c r="BK18" s="5310"/>
      <c r="BL18" s="5311"/>
      <c r="BM18" s="5305" t="s">
        <v>3683</v>
      </c>
      <c r="BN18" s="5306"/>
      <c r="BO18" s="5306"/>
      <c r="BP18" s="5306"/>
      <c r="BQ18" s="5306"/>
      <c r="BR18" s="5306"/>
      <c r="BS18" s="5306"/>
      <c r="BT18" s="5306"/>
      <c r="BU18" s="5306"/>
      <c r="BV18" s="5306"/>
      <c r="BW18" s="5306"/>
      <c r="BX18" s="5306"/>
      <c r="BY18" s="5306"/>
      <c r="BZ18" s="5310"/>
      <c r="CA18" s="5310"/>
      <c r="CB18" s="5292" t="s">
        <v>1991</v>
      </c>
      <c r="CC18" s="5293"/>
      <c r="CD18" s="5293"/>
      <c r="CE18" s="5293"/>
      <c r="CF18" s="5293"/>
      <c r="CG18" s="5293"/>
      <c r="CH18" s="5293"/>
      <c r="CI18" s="5294"/>
      <c r="CJ18" s="5295"/>
    </row>
    <row r="19" spans="1:91" ht="25.5" customHeight="1" x14ac:dyDescent="0.2">
      <c r="A19" s="5324"/>
      <c r="B19" s="5296" t="s">
        <v>3550</v>
      </c>
      <c r="C19" s="5297"/>
      <c r="D19" s="5298"/>
      <c r="E19" s="5299" t="s">
        <v>569</v>
      </c>
      <c r="F19" s="5300"/>
      <c r="G19" s="5301"/>
      <c r="H19" s="5299" t="s">
        <v>570</v>
      </c>
      <c r="I19" s="5300"/>
      <c r="J19" s="5301"/>
      <c r="K19" s="5299" t="s">
        <v>571</v>
      </c>
      <c r="L19" s="5300"/>
      <c r="M19" s="5301"/>
      <c r="N19" s="5296" t="s">
        <v>1674</v>
      </c>
      <c r="O19" s="5297"/>
      <c r="P19" s="5298"/>
      <c r="Q19" s="5296" t="s">
        <v>3550</v>
      </c>
      <c r="R19" s="5297"/>
      <c r="S19" s="5298"/>
      <c r="T19" s="5302" t="s">
        <v>3684</v>
      </c>
      <c r="U19" s="5303"/>
      <c r="V19" s="5304"/>
      <c r="W19" s="5302" t="s">
        <v>573</v>
      </c>
      <c r="X19" s="5303"/>
      <c r="Y19" s="5304"/>
      <c r="Z19" s="5302" t="s">
        <v>574</v>
      </c>
      <c r="AA19" s="5303"/>
      <c r="AB19" s="5304"/>
      <c r="AC19" s="5296" t="s">
        <v>1674</v>
      </c>
      <c r="AD19" s="5297"/>
      <c r="AE19" s="5298"/>
      <c r="AF19" s="5312" t="s">
        <v>3550</v>
      </c>
      <c r="AG19" s="5313"/>
      <c r="AH19" s="5314"/>
      <c r="AI19" s="5312" t="s">
        <v>1674</v>
      </c>
      <c r="AJ19" s="5313"/>
      <c r="AK19" s="5314"/>
      <c r="AL19" s="5312" t="s">
        <v>3685</v>
      </c>
      <c r="AM19" s="5313"/>
      <c r="AN19" s="5314"/>
      <c r="AO19" s="5328" t="s">
        <v>3550</v>
      </c>
      <c r="AP19" s="5329"/>
      <c r="AQ19" s="5330"/>
      <c r="AR19" s="5331" t="s">
        <v>575</v>
      </c>
      <c r="AS19" s="5332"/>
      <c r="AT19" s="5333"/>
      <c r="AU19" s="5331" t="s">
        <v>576</v>
      </c>
      <c r="AV19" s="5332"/>
      <c r="AW19" s="5333"/>
      <c r="AX19" s="5331" t="s">
        <v>577</v>
      </c>
      <c r="AY19" s="5332"/>
      <c r="AZ19" s="5333"/>
      <c r="BA19" s="5328" t="s">
        <v>1674</v>
      </c>
      <c r="BB19" s="5329"/>
      <c r="BC19" s="5330"/>
      <c r="BD19" s="5325" t="s">
        <v>3550</v>
      </c>
      <c r="BE19" s="5326"/>
      <c r="BF19" s="5327"/>
      <c r="BG19" s="5325" t="s">
        <v>1674</v>
      </c>
      <c r="BH19" s="5326"/>
      <c r="BI19" s="5327"/>
      <c r="BJ19" s="5325" t="s">
        <v>3685</v>
      </c>
      <c r="BK19" s="5326"/>
      <c r="BL19" s="5327"/>
      <c r="BM19" s="5315" t="s">
        <v>3550</v>
      </c>
      <c r="BN19" s="5316"/>
      <c r="BO19" s="5317"/>
      <c r="BP19" s="5315" t="s">
        <v>578</v>
      </c>
      <c r="BQ19" s="5316"/>
      <c r="BR19" s="5317"/>
      <c r="BS19" s="5315" t="s">
        <v>579</v>
      </c>
      <c r="BT19" s="5316"/>
      <c r="BU19" s="5317"/>
      <c r="BV19" s="5315" t="s">
        <v>580</v>
      </c>
      <c r="BW19" s="5316"/>
      <c r="BX19" s="5317"/>
      <c r="BY19" s="5315" t="s">
        <v>1674</v>
      </c>
      <c r="BZ19" s="5316"/>
      <c r="CA19" s="5316"/>
      <c r="CB19" s="5318" t="s">
        <v>3550</v>
      </c>
      <c r="CC19" s="5319"/>
      <c r="CD19" s="5320"/>
      <c r="CE19" s="5318" t="s">
        <v>1674</v>
      </c>
      <c r="CF19" s="5319"/>
      <c r="CG19" s="5320"/>
      <c r="CH19" s="5318" t="s">
        <v>3685</v>
      </c>
      <c r="CI19" s="5321"/>
      <c r="CJ19" s="5322"/>
    </row>
    <row r="20" spans="1:91" ht="25.5" customHeight="1" x14ac:dyDescent="0.2">
      <c r="A20" s="5324"/>
      <c r="B20" s="4374" t="s">
        <v>614</v>
      </c>
      <c r="C20" s="4374" t="s">
        <v>3753</v>
      </c>
      <c r="D20" s="4374" t="s">
        <v>3754</v>
      </c>
      <c r="E20" s="4374" t="s">
        <v>614</v>
      </c>
      <c r="F20" s="4374" t="s">
        <v>3753</v>
      </c>
      <c r="G20" s="4374" t="s">
        <v>3754</v>
      </c>
      <c r="H20" s="4374" t="s">
        <v>614</v>
      </c>
      <c r="I20" s="4374" t="s">
        <v>3753</v>
      </c>
      <c r="J20" s="4374" t="s">
        <v>3754</v>
      </c>
      <c r="K20" s="4374" t="s">
        <v>614</v>
      </c>
      <c r="L20" s="4374" t="s">
        <v>3753</v>
      </c>
      <c r="M20" s="4374" t="s">
        <v>3754</v>
      </c>
      <c r="N20" s="4374" t="s">
        <v>614</v>
      </c>
      <c r="O20" s="4374" t="s">
        <v>3753</v>
      </c>
      <c r="P20" s="4374" t="s">
        <v>3754</v>
      </c>
      <c r="Q20" s="4374" t="s">
        <v>614</v>
      </c>
      <c r="R20" s="4374" t="s">
        <v>3753</v>
      </c>
      <c r="S20" s="4374" t="s">
        <v>3754</v>
      </c>
      <c r="T20" s="4374" t="s">
        <v>614</v>
      </c>
      <c r="U20" s="4374" t="s">
        <v>3753</v>
      </c>
      <c r="V20" s="4374" t="s">
        <v>3754</v>
      </c>
      <c r="W20" s="4374" t="s">
        <v>614</v>
      </c>
      <c r="X20" s="4374" t="s">
        <v>3753</v>
      </c>
      <c r="Y20" s="4374" t="s">
        <v>3754</v>
      </c>
      <c r="Z20" s="4374" t="s">
        <v>614</v>
      </c>
      <c r="AA20" s="4374" t="s">
        <v>3753</v>
      </c>
      <c r="AB20" s="4374" t="s">
        <v>3754</v>
      </c>
      <c r="AC20" s="4374" t="s">
        <v>614</v>
      </c>
      <c r="AD20" s="4374" t="s">
        <v>3753</v>
      </c>
      <c r="AE20" s="4374" t="s">
        <v>3754</v>
      </c>
      <c r="AF20" s="4375" t="s">
        <v>614</v>
      </c>
      <c r="AG20" s="4375" t="s">
        <v>3753</v>
      </c>
      <c r="AH20" s="4375" t="s">
        <v>3754</v>
      </c>
      <c r="AI20" s="4375" t="s">
        <v>614</v>
      </c>
      <c r="AJ20" s="4375" t="s">
        <v>3753</v>
      </c>
      <c r="AK20" s="4375" t="s">
        <v>3754</v>
      </c>
      <c r="AL20" s="4375" t="s">
        <v>614</v>
      </c>
      <c r="AM20" s="4375" t="s">
        <v>3753</v>
      </c>
      <c r="AN20" s="4375" t="s">
        <v>3754</v>
      </c>
      <c r="AO20" s="4374" t="s">
        <v>614</v>
      </c>
      <c r="AP20" s="4374" t="s">
        <v>3753</v>
      </c>
      <c r="AQ20" s="4374" t="s">
        <v>3754</v>
      </c>
      <c r="AR20" s="4374" t="s">
        <v>614</v>
      </c>
      <c r="AS20" s="4374" t="s">
        <v>3753</v>
      </c>
      <c r="AT20" s="4374" t="s">
        <v>3754</v>
      </c>
      <c r="AU20" s="4374" t="s">
        <v>614</v>
      </c>
      <c r="AV20" s="4374" t="s">
        <v>3753</v>
      </c>
      <c r="AW20" s="4374" t="s">
        <v>3754</v>
      </c>
      <c r="AX20" s="4374" t="s">
        <v>614</v>
      </c>
      <c r="AY20" s="4374" t="s">
        <v>3753</v>
      </c>
      <c r="AZ20" s="4374" t="s">
        <v>3754</v>
      </c>
      <c r="BA20" s="4374" t="s">
        <v>614</v>
      </c>
      <c r="BB20" s="4374" t="s">
        <v>3753</v>
      </c>
      <c r="BC20" s="4374" t="s">
        <v>3754</v>
      </c>
      <c r="BD20" s="4375" t="s">
        <v>614</v>
      </c>
      <c r="BE20" s="4375" t="s">
        <v>3753</v>
      </c>
      <c r="BF20" s="4375" t="s">
        <v>3754</v>
      </c>
      <c r="BG20" s="4375" t="s">
        <v>614</v>
      </c>
      <c r="BH20" s="4375" t="s">
        <v>3753</v>
      </c>
      <c r="BI20" s="4375" t="s">
        <v>3754</v>
      </c>
      <c r="BJ20" s="4375" t="s">
        <v>614</v>
      </c>
      <c r="BK20" s="4375" t="s">
        <v>3753</v>
      </c>
      <c r="BL20" s="4375" t="s">
        <v>3754</v>
      </c>
      <c r="BM20" s="4374" t="s">
        <v>614</v>
      </c>
      <c r="BN20" s="4374" t="s">
        <v>3753</v>
      </c>
      <c r="BO20" s="4374" t="s">
        <v>3754</v>
      </c>
      <c r="BP20" s="4374" t="s">
        <v>614</v>
      </c>
      <c r="BQ20" s="4374" t="s">
        <v>3753</v>
      </c>
      <c r="BR20" s="4374" t="s">
        <v>3754</v>
      </c>
      <c r="BS20" s="4374" t="s">
        <v>614</v>
      </c>
      <c r="BT20" s="4374" t="s">
        <v>3753</v>
      </c>
      <c r="BU20" s="4374" t="s">
        <v>3754</v>
      </c>
      <c r="BV20" s="4374" t="s">
        <v>614</v>
      </c>
      <c r="BW20" s="4374" t="s">
        <v>3753</v>
      </c>
      <c r="BX20" s="4374" t="s">
        <v>3754</v>
      </c>
      <c r="BY20" s="4374" t="s">
        <v>614</v>
      </c>
      <c r="BZ20" s="4374" t="s">
        <v>3753</v>
      </c>
      <c r="CA20" s="4374" t="s">
        <v>3754</v>
      </c>
      <c r="CB20" s="4375" t="s">
        <v>614</v>
      </c>
      <c r="CC20" s="4375" t="s">
        <v>3753</v>
      </c>
      <c r="CD20" s="4375" t="s">
        <v>3754</v>
      </c>
      <c r="CE20" s="4375" t="s">
        <v>614</v>
      </c>
      <c r="CF20" s="4375" t="s">
        <v>3753</v>
      </c>
      <c r="CG20" s="4375" t="s">
        <v>3754</v>
      </c>
      <c r="CH20" s="4375" t="s">
        <v>614</v>
      </c>
      <c r="CI20" s="4375" t="s">
        <v>3753</v>
      </c>
      <c r="CJ20" s="4375" t="s">
        <v>3754</v>
      </c>
    </row>
    <row r="21" spans="1:91" ht="18.75" customHeight="1" x14ac:dyDescent="0.3">
      <c r="A21" s="4376" t="s">
        <v>0</v>
      </c>
      <c r="B21" s="4414">
        <f>SUM(C21:D21)</f>
        <v>5035.5926385997609</v>
      </c>
      <c r="C21" s="4414">
        <f t="shared" ref="C21:D21" si="55">SUM(C22:C27)+C29</f>
        <v>5035.5926385997609</v>
      </c>
      <c r="D21" s="4414">
        <f t="shared" si="55"/>
        <v>0</v>
      </c>
      <c r="E21" s="4415">
        <f>SUM(F21:G21)</f>
        <v>1904.4650000000001</v>
      </c>
      <c r="F21" s="4415">
        <f>SUM(F22:F27)+F29</f>
        <v>1904.4650000000001</v>
      </c>
      <c r="G21" s="4415">
        <f t="shared" ref="G21" si="56">SUM(G22:G27)+G29</f>
        <v>0</v>
      </c>
      <c r="H21" s="4415">
        <f>SUM(I21:J21)</f>
        <v>1587.4839199999999</v>
      </c>
      <c r="I21" s="4415">
        <f t="shared" ref="I21:J21" si="57">SUM(I22:I27)+I29</f>
        <v>1587.4839199999999</v>
      </c>
      <c r="J21" s="4415">
        <f t="shared" si="57"/>
        <v>0</v>
      </c>
      <c r="K21" s="4415">
        <f>SUM(L21:M21)</f>
        <v>1482.8035</v>
      </c>
      <c r="L21" s="4415">
        <f t="shared" ref="L21:M21" si="58">SUM(L22:L27)+L29</f>
        <v>1482.8035</v>
      </c>
      <c r="M21" s="4415">
        <f t="shared" si="58"/>
        <v>0</v>
      </c>
      <c r="N21" s="4415">
        <f>SUM(O21:P21)</f>
        <v>4974.7524199999998</v>
      </c>
      <c r="O21" s="4415">
        <f t="shared" ref="O21:P21" si="59">SUM(O22:O27)+O29</f>
        <v>4974.7524199999998</v>
      </c>
      <c r="P21" s="4415">
        <f t="shared" si="59"/>
        <v>0</v>
      </c>
      <c r="Q21" s="4414">
        <f>SUM(R21:S21)</f>
        <v>5035.5926385997609</v>
      </c>
      <c r="R21" s="4414">
        <f t="shared" ref="R21:S21" si="60">SUM(R22:R27)+R29</f>
        <v>5035.5926385997609</v>
      </c>
      <c r="S21" s="4414">
        <f t="shared" si="60"/>
        <v>0</v>
      </c>
      <c r="T21" s="4415">
        <f>SUM(U21:V21)</f>
        <v>1576.2182999999998</v>
      </c>
      <c r="U21" s="4415">
        <f t="shared" ref="U21:V21" si="61">SUM(U22:U27)+U29</f>
        <v>1576.2182999999998</v>
      </c>
      <c r="V21" s="4415">
        <f t="shared" si="61"/>
        <v>0</v>
      </c>
      <c r="W21" s="4415">
        <f>SUM(X21:Y21)</f>
        <v>1578.38</v>
      </c>
      <c r="X21" s="4415">
        <f>SUM(X22:X27)+X29</f>
        <v>1578.38</v>
      </c>
      <c r="Y21" s="4415">
        <f t="shared" ref="Y21" si="62">SUM(Y22:Y27)+Y29</f>
        <v>0</v>
      </c>
      <c r="Z21" s="4415">
        <f>SUM(AA21:AB21)</f>
        <v>1859.752</v>
      </c>
      <c r="AA21" s="4415">
        <f t="shared" ref="AA21:AB21" si="63">SUM(AA22:AA27)+AA29</f>
        <v>1859.752</v>
      </c>
      <c r="AB21" s="4415">
        <f t="shared" si="63"/>
        <v>0</v>
      </c>
      <c r="AC21" s="4415">
        <f>SUM(AD21:AE21)</f>
        <v>5014.3503000000001</v>
      </c>
      <c r="AD21" s="4415">
        <f t="shared" ref="AD21:AE21" si="64">SUM(AD22:AD27)+AD29</f>
        <v>5014.3503000000001</v>
      </c>
      <c r="AE21" s="4415">
        <f t="shared" si="64"/>
        <v>0</v>
      </c>
      <c r="AF21" s="4379">
        <f t="shared" ref="AF21" si="65">SUM(AG21:AH21)</f>
        <v>10071.185277199522</v>
      </c>
      <c r="AG21" s="4379">
        <f t="shared" ref="AG21" si="66">SUM(C21+R21)</f>
        <v>10071.185277199522</v>
      </c>
      <c r="AH21" s="4379">
        <f t="shared" ref="AH21:AH27" si="67">SUM(D21+S21)</f>
        <v>0</v>
      </c>
      <c r="AI21" s="4441">
        <f t="shared" ref="AI21:AK27" si="68">SUM(AC21+N21)</f>
        <v>9989.102719999999</v>
      </c>
      <c r="AJ21" s="4441">
        <f t="shared" si="68"/>
        <v>9989.102719999999</v>
      </c>
      <c r="AK21" s="4441">
        <f t="shared" si="68"/>
        <v>0</v>
      </c>
      <c r="AL21" s="4441">
        <f t="shared" ref="AL21:AN36" si="69">SUM(AI21-AF21)</f>
        <v>-82.082557199522853</v>
      </c>
      <c r="AM21" s="4441">
        <f t="shared" si="69"/>
        <v>-82.082557199522853</v>
      </c>
      <c r="AN21" s="4441">
        <f t="shared" si="69"/>
        <v>0</v>
      </c>
      <c r="AO21" s="4414">
        <f>SUM(AP21:AQ21)</f>
        <v>5035.5926385997609</v>
      </c>
      <c r="AP21" s="4414">
        <f t="shared" ref="AP21" si="70">SUM(AP22:AP27)+AP29</f>
        <v>5035.5926385997609</v>
      </c>
      <c r="AQ21" s="4414">
        <f t="shared" ref="AQ21" si="71">SUM(AQ22:AQ27)+AQ29</f>
        <v>0</v>
      </c>
      <c r="AR21" s="4415">
        <f>SUM(AS21:AT21)</f>
        <v>2126.5520000000001</v>
      </c>
      <c r="AS21" s="4415">
        <f t="shared" ref="AS21:AT21" si="72">SUM(AS22:AS27)+AS29</f>
        <v>2126.5520000000001</v>
      </c>
      <c r="AT21" s="4415">
        <f t="shared" si="72"/>
        <v>0</v>
      </c>
      <c r="AU21" s="4415">
        <f>SUM(AV21:AW21)</f>
        <v>0</v>
      </c>
      <c r="AV21" s="4415">
        <f t="shared" ref="AV21:AW21" si="73">SUM(AV22:AV27)+AV29</f>
        <v>0</v>
      </c>
      <c r="AW21" s="4415">
        <f t="shared" si="73"/>
        <v>0</v>
      </c>
      <c r="AX21" s="4415">
        <f>SUM(AY21:AZ21)</f>
        <v>0</v>
      </c>
      <c r="AY21" s="4415">
        <f t="shared" ref="AY21:AZ21" si="74">SUM(AY22:AY27)+AY29</f>
        <v>0</v>
      </c>
      <c r="AZ21" s="4415">
        <f t="shared" si="74"/>
        <v>0</v>
      </c>
      <c r="BA21" s="4415">
        <f>SUM(BB21:BC21)</f>
        <v>2126.5520000000001</v>
      </c>
      <c r="BB21" s="4415">
        <f t="shared" ref="BB21:BC21" si="75">SUM(BB22:BB27)+BB29</f>
        <v>2126.5520000000001</v>
      </c>
      <c r="BC21" s="4415">
        <f t="shared" si="75"/>
        <v>0</v>
      </c>
      <c r="BD21" s="4379">
        <f t="shared" ref="BD21" si="76">SUM(BE21:BF21)</f>
        <v>15106.777915799283</v>
      </c>
      <c r="BE21" s="4379">
        <f t="shared" ref="BE21" si="77">SUM(AG21+AP21)</f>
        <v>15106.777915799283</v>
      </c>
      <c r="BF21" s="4379">
        <f t="shared" ref="BF21" si="78">SUM(AH21+AQ21)</f>
        <v>0</v>
      </c>
      <c r="BG21" s="4441">
        <f t="shared" ref="BG21:BI27" si="79">SUM(AI21+BA21)</f>
        <v>12115.654719999999</v>
      </c>
      <c r="BH21" s="4441">
        <f t="shared" si="79"/>
        <v>12115.654719999999</v>
      </c>
      <c r="BI21" s="4441">
        <f t="shared" si="79"/>
        <v>0</v>
      </c>
      <c r="BJ21" s="4441">
        <f t="shared" ref="BJ21:BL36" si="80">SUM(BG21-BD21)</f>
        <v>-2991.1231957992841</v>
      </c>
      <c r="BK21" s="4441">
        <f t="shared" si="80"/>
        <v>-2991.1231957992841</v>
      </c>
      <c r="BL21" s="4441">
        <f t="shared" si="80"/>
        <v>0</v>
      </c>
      <c r="BM21" s="4414">
        <f>SUM(BN21:BO21)</f>
        <v>5035.5926385997609</v>
      </c>
      <c r="BN21" s="4414">
        <f t="shared" ref="BN21" si="81">SUM(BN22:BN27)+BN29</f>
        <v>5035.5926385997609</v>
      </c>
      <c r="BO21" s="4414">
        <f t="shared" ref="BO21" si="82">SUM(BO22:BO27)+BO29</f>
        <v>0</v>
      </c>
      <c r="BP21" s="4415">
        <f>SUM(BQ21:BR21)</f>
        <v>0</v>
      </c>
      <c r="BQ21" s="4415">
        <f t="shared" ref="BQ21:BR21" si="83">SUM(BQ22:BQ27)+BQ29</f>
        <v>0</v>
      </c>
      <c r="BR21" s="4415">
        <f t="shared" si="83"/>
        <v>0</v>
      </c>
      <c r="BS21" s="4415">
        <f>SUM(BT21:BU21)</f>
        <v>0</v>
      </c>
      <c r="BT21" s="4415">
        <f t="shared" ref="BT21:BU21" si="84">SUM(BT22:BT27)+BT29</f>
        <v>0</v>
      </c>
      <c r="BU21" s="4415">
        <f t="shared" si="84"/>
        <v>0</v>
      </c>
      <c r="BV21" s="4415">
        <f>SUM(BW21:BX21)</f>
        <v>0</v>
      </c>
      <c r="BW21" s="4415">
        <f t="shared" ref="BW21:BX21" si="85">SUM(BW22:BW27)+BW29</f>
        <v>0</v>
      </c>
      <c r="BX21" s="4415">
        <f t="shared" si="85"/>
        <v>0</v>
      </c>
      <c r="BY21" s="4415">
        <f>SUM(BZ21:CA21)</f>
        <v>0</v>
      </c>
      <c r="BZ21" s="4415">
        <f t="shared" ref="BZ21:CA21" si="86">SUM(BZ22:BZ27)+BZ29</f>
        <v>0</v>
      </c>
      <c r="CA21" s="4415">
        <f t="shared" si="86"/>
        <v>0</v>
      </c>
      <c r="CB21" s="4379">
        <f>SUM(CC21:CD21)</f>
        <v>20142.370554734862</v>
      </c>
      <c r="CC21" s="4446">
        <f>SUM(стоки!EK8)+стоки!EK51</f>
        <v>20142.370554734862</v>
      </c>
      <c r="CD21" s="4446">
        <f>SUM(стоки!EL8)+стоки!EL51</f>
        <v>0</v>
      </c>
      <c r="CE21" s="4441">
        <f t="shared" ref="CE21:CG27" si="87">SUM(BY21+BG21)</f>
        <v>12115.654719999999</v>
      </c>
      <c r="CF21" s="4441">
        <f t="shared" si="87"/>
        <v>12115.654719999999</v>
      </c>
      <c r="CG21" s="4441">
        <f t="shared" si="87"/>
        <v>0</v>
      </c>
      <c r="CH21" s="4441">
        <f t="shared" ref="CH21:CJ39" si="88">SUM(CE21-CB21)</f>
        <v>-8026.7158347348632</v>
      </c>
      <c r="CI21" s="4441">
        <f t="shared" si="88"/>
        <v>-8026.7158347348632</v>
      </c>
      <c r="CJ21" s="4441">
        <f t="shared" si="88"/>
        <v>0</v>
      </c>
      <c r="CK21" s="2860"/>
      <c r="CL21" s="3576">
        <f t="shared" ref="CL21:CL84" si="89">SUM(B21+Q21+AO21+BM21)</f>
        <v>20142.370554399044</v>
      </c>
      <c r="CM21" s="2860">
        <f>SUM(CC22:CC27)+CC29</f>
        <v>20142.370554734862</v>
      </c>
    </row>
    <row r="22" spans="1:91" ht="18.75" customHeight="1" x14ac:dyDescent="0.3">
      <c r="A22" s="4381" t="s">
        <v>1</v>
      </c>
      <c r="B22" s="4385">
        <f t="shared" ref="B22:B23" si="90">SUM(C22:D22)</f>
        <v>609.42459708085551</v>
      </c>
      <c r="C22" s="4385">
        <f t="shared" ref="C22" si="91">SUM(CC22/4)</f>
        <v>609.42459708085551</v>
      </c>
      <c r="D22" s="4385">
        <f t="shared" ref="D22" si="92">SUM(CD22/4)</f>
        <v>0</v>
      </c>
      <c r="E22" s="4442">
        <f t="shared" ref="E22:E47" si="93">SUM(F22:G22)</f>
        <v>188.542</v>
      </c>
      <c r="F22" s="4407">
        <v>188.542</v>
      </c>
      <c r="G22" s="4407"/>
      <c r="H22" s="4442">
        <f t="shared" ref="H22:H27" si="94">SUM(I22:J22)</f>
        <v>168.78299999999999</v>
      </c>
      <c r="I22" s="4407">
        <v>168.78299999999999</v>
      </c>
      <c r="J22" s="4407"/>
      <c r="K22" s="4442">
        <f t="shared" ref="K22:K27" si="95">SUM(L22:M22)</f>
        <v>183.072</v>
      </c>
      <c r="L22" s="4407">
        <v>183.072</v>
      </c>
      <c r="M22" s="4407"/>
      <c r="N22" s="4442">
        <f>SUM(O22:P22)</f>
        <v>540.39699999999993</v>
      </c>
      <c r="O22" s="4442">
        <f>SUM(F22+I22+L22)</f>
        <v>540.39699999999993</v>
      </c>
      <c r="P22" s="4442">
        <f>SUM(G22+J22+M22)</f>
        <v>0</v>
      </c>
      <c r="Q22" s="4385">
        <f t="shared" ref="Q22" si="96">SUM(R22:S22)</f>
        <v>609.42459708085551</v>
      </c>
      <c r="R22" s="4385">
        <f t="shared" ref="R22:S27" si="97">SUM(C22)</f>
        <v>609.42459708085551</v>
      </c>
      <c r="S22" s="4385">
        <f t="shared" si="97"/>
        <v>0</v>
      </c>
      <c r="T22" s="4442">
        <f t="shared" ref="T22:T27" si="98">SUM(U22:V22)</f>
        <v>184.05699999999999</v>
      </c>
      <c r="U22" s="4407">
        <v>184.05699999999999</v>
      </c>
      <c r="V22" s="4407"/>
      <c r="W22" s="4442">
        <f t="shared" ref="W22:W27" si="99">SUM(X22:Y22)</f>
        <v>178.917</v>
      </c>
      <c r="X22" s="4407">
        <v>178.917</v>
      </c>
      <c r="Y22" s="4407"/>
      <c r="Z22" s="4442">
        <f t="shared" ref="Z22:Z27" si="100">SUM(AA22:AB22)</f>
        <v>159.28200000000001</v>
      </c>
      <c r="AA22" s="4407">
        <v>159.28200000000001</v>
      </c>
      <c r="AB22" s="4407"/>
      <c r="AC22" s="4442">
        <f>SUM(AD22:AE22)</f>
        <v>522.25599999999997</v>
      </c>
      <c r="AD22" s="4442">
        <f>SUM(U22+X22+AA22)</f>
        <v>522.25599999999997</v>
      </c>
      <c r="AE22" s="4442">
        <f>SUM(V22+Y22+AB22)</f>
        <v>0</v>
      </c>
      <c r="AF22" s="4384">
        <f t="shared" ref="AF22" si="101">SUM(AG22:AH22)</f>
        <v>1218.849194161711</v>
      </c>
      <c r="AG22" s="4384">
        <f t="shared" ref="AG22:AG27" si="102">SUM(C22+R22)</f>
        <v>1218.849194161711</v>
      </c>
      <c r="AH22" s="4384">
        <f t="shared" si="67"/>
        <v>0</v>
      </c>
      <c r="AI22" s="4443">
        <f t="shared" si="68"/>
        <v>1062.6529999999998</v>
      </c>
      <c r="AJ22" s="4443">
        <f t="shared" si="68"/>
        <v>1062.6529999999998</v>
      </c>
      <c r="AK22" s="4443">
        <f t="shared" si="68"/>
        <v>0</v>
      </c>
      <c r="AL22" s="4443">
        <f t="shared" si="69"/>
        <v>-156.19619416171122</v>
      </c>
      <c r="AM22" s="4443">
        <f t="shared" si="69"/>
        <v>-156.19619416171122</v>
      </c>
      <c r="AN22" s="4443">
        <f t="shared" si="69"/>
        <v>0</v>
      </c>
      <c r="AO22" s="4385">
        <f t="shared" ref="AO22:AO27" si="103">SUM(AP22:AQ22)</f>
        <v>609.42459708085551</v>
      </c>
      <c r="AP22" s="4385">
        <f t="shared" ref="AP22:AQ27" si="104">SUM(CC22-AG22)/2</f>
        <v>609.42459708085551</v>
      </c>
      <c r="AQ22" s="4385">
        <f t="shared" si="104"/>
        <v>0</v>
      </c>
      <c r="AR22" s="4442">
        <f t="shared" ref="AR22:AR27" si="105">SUM(AS22:AT22)</f>
        <v>154.12700000000001</v>
      </c>
      <c r="AS22" s="4407">
        <v>154.12700000000001</v>
      </c>
      <c r="AT22" s="4407"/>
      <c r="AU22" s="4442">
        <f t="shared" ref="AU22:AU27" si="106">SUM(AV22:AW22)</f>
        <v>0</v>
      </c>
      <c r="AV22" s="4407"/>
      <c r="AW22" s="4407"/>
      <c r="AX22" s="4442">
        <f t="shared" ref="AX22:AX27" si="107">SUM(AY22:AZ22)</f>
        <v>0</v>
      </c>
      <c r="AY22" s="4407"/>
      <c r="AZ22" s="4407"/>
      <c r="BA22" s="4442">
        <f>SUM(BB22:BC22)</f>
        <v>154.12700000000001</v>
      </c>
      <c r="BB22" s="4442">
        <f>SUM(AS22+AV22+AY22)</f>
        <v>154.12700000000001</v>
      </c>
      <c r="BC22" s="4442">
        <f>SUM(AT22+AW22+AZ22)</f>
        <v>0</v>
      </c>
      <c r="BD22" s="4384">
        <f t="shared" ref="BD22" si="108">SUM(BE22:BF22)</f>
        <v>1828.2737912425664</v>
      </c>
      <c r="BE22" s="4384">
        <f t="shared" ref="BE22:BF27" si="109">SUM(AG22+AP22)</f>
        <v>1828.2737912425664</v>
      </c>
      <c r="BF22" s="4384">
        <f t="shared" si="109"/>
        <v>0</v>
      </c>
      <c r="BG22" s="4443">
        <f t="shared" si="79"/>
        <v>1216.7799999999997</v>
      </c>
      <c r="BH22" s="4443">
        <f t="shared" si="79"/>
        <v>1216.7799999999997</v>
      </c>
      <c r="BI22" s="4443">
        <f t="shared" si="79"/>
        <v>0</v>
      </c>
      <c r="BJ22" s="4443">
        <f t="shared" si="80"/>
        <v>-611.49379124256666</v>
      </c>
      <c r="BK22" s="4443">
        <f t="shared" si="80"/>
        <v>-611.49379124256666</v>
      </c>
      <c r="BL22" s="4443">
        <f t="shared" si="80"/>
        <v>0</v>
      </c>
      <c r="BM22" s="4385">
        <f t="shared" ref="BM22:BM23" si="110">SUM(BN22:BO22)</f>
        <v>609.42459708085551</v>
      </c>
      <c r="BN22" s="4385">
        <f t="shared" ref="BN22:BO27" si="111">SUM(AP22)</f>
        <v>609.42459708085551</v>
      </c>
      <c r="BO22" s="4385">
        <f t="shared" si="111"/>
        <v>0</v>
      </c>
      <c r="BP22" s="4442">
        <f>SUM(BQ22:BR22)</f>
        <v>0</v>
      </c>
      <c r="BQ22" s="4407"/>
      <c r="BR22" s="4407"/>
      <c r="BS22" s="4442">
        <f>SUM(BT22:BU22)</f>
        <v>0</v>
      </c>
      <c r="BT22" s="4407"/>
      <c r="BU22" s="4407"/>
      <c r="BV22" s="4442">
        <f>SUM(BW22:BX22)</f>
        <v>0</v>
      </c>
      <c r="BW22" s="4407"/>
      <c r="BX22" s="4407"/>
      <c r="BY22" s="4442">
        <f>SUM(BZ22:CA22)</f>
        <v>0</v>
      </c>
      <c r="BZ22" s="4442">
        <f>SUM(BQ22+BT22+BW22)</f>
        <v>0</v>
      </c>
      <c r="CA22" s="4442">
        <f>SUM(BR22+BU22+BX22)</f>
        <v>0</v>
      </c>
      <c r="CB22" s="4384">
        <f t="shared" ref="CB22:CB85" si="112">SUM(CC22:CD22)</f>
        <v>2437.698388323422</v>
      </c>
      <c r="CC22" s="4446">
        <f>SUM(стоки!EK9)</f>
        <v>2437.698388323422</v>
      </c>
      <c r="CD22" s="4446">
        <f>SUM(стоки!EL9)</f>
        <v>0</v>
      </c>
      <c r="CE22" s="4443">
        <f t="shared" si="87"/>
        <v>1216.7799999999997</v>
      </c>
      <c r="CF22" s="4443">
        <f t="shared" si="87"/>
        <v>1216.7799999999997</v>
      </c>
      <c r="CG22" s="4443">
        <f t="shared" si="87"/>
        <v>0</v>
      </c>
      <c r="CH22" s="4443">
        <f t="shared" si="88"/>
        <v>-1220.9183883234223</v>
      </c>
      <c r="CI22" s="4443">
        <f t="shared" si="88"/>
        <v>-1220.9183883234223</v>
      </c>
      <c r="CJ22" s="4443">
        <f t="shared" si="88"/>
        <v>0</v>
      </c>
      <c r="CK22" s="2774"/>
      <c r="CL22" s="3576">
        <f t="shared" si="89"/>
        <v>2437.698388323422</v>
      </c>
      <c r="CM22" s="2774"/>
    </row>
    <row r="23" spans="1:91" ht="18.75" customHeight="1" x14ac:dyDescent="0.3">
      <c r="A23" s="4381" t="s">
        <v>2</v>
      </c>
      <c r="B23" s="4385">
        <f t="shared" si="90"/>
        <v>89.402705859511485</v>
      </c>
      <c r="C23" s="4385">
        <f t="shared" ref="C23:D23" si="113">SUM(CC23/4)</f>
        <v>89.402705859511485</v>
      </c>
      <c r="D23" s="4385">
        <f t="shared" si="113"/>
        <v>0</v>
      </c>
      <c r="E23" s="4442">
        <f t="shared" si="93"/>
        <v>29.553000000000001</v>
      </c>
      <c r="F23" s="4407">
        <v>29.553000000000001</v>
      </c>
      <c r="G23" s="4407"/>
      <c r="H23" s="4442">
        <f t="shared" si="94"/>
        <v>29.552</v>
      </c>
      <c r="I23" s="4407">
        <v>29.552</v>
      </c>
      <c r="J23" s="4407"/>
      <c r="K23" s="4442">
        <f t="shared" si="95"/>
        <v>29.552</v>
      </c>
      <c r="L23" s="4407">
        <v>29.552</v>
      </c>
      <c r="M23" s="4407"/>
      <c r="N23" s="4442">
        <f t="shared" ref="N23:N27" si="114">SUM(O23:P23)</f>
        <v>88.657000000000011</v>
      </c>
      <c r="O23" s="4442">
        <f t="shared" ref="O23:P27" si="115">SUM(F23+I23+L23)</f>
        <v>88.657000000000011</v>
      </c>
      <c r="P23" s="4442">
        <f t="shared" si="115"/>
        <v>0</v>
      </c>
      <c r="Q23" s="4385">
        <f t="shared" ref="Q23:Q27" si="116">SUM(R23:S23)</f>
        <v>89.402705859511485</v>
      </c>
      <c r="R23" s="4385">
        <f t="shared" si="97"/>
        <v>89.402705859511485</v>
      </c>
      <c r="S23" s="4385">
        <f t="shared" si="97"/>
        <v>0</v>
      </c>
      <c r="T23" s="4442">
        <f t="shared" si="98"/>
        <v>37.847999999999999</v>
      </c>
      <c r="U23" s="4407">
        <f>29.552+8.296</f>
        <v>37.847999999999999</v>
      </c>
      <c r="V23" s="4407"/>
      <c r="W23" s="4442">
        <f t="shared" si="99"/>
        <v>37.155999999999999</v>
      </c>
      <c r="X23" s="4407">
        <f>28.86+8.296</f>
        <v>37.155999999999999</v>
      </c>
      <c r="Y23" s="4407"/>
      <c r="Z23" s="4442">
        <f t="shared" si="100"/>
        <v>37.155999999999999</v>
      </c>
      <c r="AA23" s="4407">
        <f>28.86+8.296</f>
        <v>37.155999999999999</v>
      </c>
      <c r="AB23" s="4407"/>
      <c r="AC23" s="4442">
        <f t="shared" ref="AC23:AC47" si="117">SUM(AD23:AE23)</f>
        <v>112.16</v>
      </c>
      <c r="AD23" s="4442">
        <f t="shared" ref="AD23:AE27" si="118">SUM(U23+X23+AA23)</f>
        <v>112.16</v>
      </c>
      <c r="AE23" s="4442">
        <f t="shared" si="118"/>
        <v>0</v>
      </c>
      <c r="AF23" s="4384">
        <f t="shared" ref="AF23:AF27" si="119">SUM(AG23:AH23)</f>
        <v>178.80541171902297</v>
      </c>
      <c r="AG23" s="4384">
        <f t="shared" si="102"/>
        <v>178.80541171902297</v>
      </c>
      <c r="AH23" s="4384">
        <f t="shared" si="67"/>
        <v>0</v>
      </c>
      <c r="AI23" s="4443">
        <f t="shared" si="68"/>
        <v>200.81700000000001</v>
      </c>
      <c r="AJ23" s="4443">
        <f t="shared" si="68"/>
        <v>200.81700000000001</v>
      </c>
      <c r="AK23" s="4443">
        <f t="shared" si="68"/>
        <v>0</v>
      </c>
      <c r="AL23" s="4443">
        <f t="shared" si="69"/>
        <v>22.011588280977037</v>
      </c>
      <c r="AM23" s="4443">
        <f t="shared" si="69"/>
        <v>22.011588280977037</v>
      </c>
      <c r="AN23" s="4443">
        <f t="shared" si="69"/>
        <v>0</v>
      </c>
      <c r="AO23" s="4385">
        <f t="shared" si="103"/>
        <v>89.402705859511485</v>
      </c>
      <c r="AP23" s="4385">
        <f t="shared" si="104"/>
        <v>89.402705859511485</v>
      </c>
      <c r="AQ23" s="4385">
        <f t="shared" si="104"/>
        <v>0</v>
      </c>
      <c r="AR23" s="4442">
        <f t="shared" si="105"/>
        <v>37.156999999999996</v>
      </c>
      <c r="AS23" s="4407">
        <f>28.861+8.296</f>
        <v>37.156999999999996</v>
      </c>
      <c r="AT23" s="4407"/>
      <c r="AU23" s="4442">
        <f t="shared" si="106"/>
        <v>0</v>
      </c>
      <c r="AV23" s="4407"/>
      <c r="AW23" s="4407"/>
      <c r="AX23" s="4442">
        <f t="shared" si="107"/>
        <v>0</v>
      </c>
      <c r="AY23" s="4407"/>
      <c r="AZ23" s="4407"/>
      <c r="BA23" s="4442">
        <f t="shared" ref="BA23:BA27" si="120">SUM(BB23:BC23)</f>
        <v>37.156999999999996</v>
      </c>
      <c r="BB23" s="4442">
        <f t="shared" ref="BB23:BC27" si="121">SUM(AS23+AV23+AY23)</f>
        <v>37.156999999999996</v>
      </c>
      <c r="BC23" s="4442">
        <f t="shared" si="121"/>
        <v>0</v>
      </c>
      <c r="BD23" s="4384">
        <f t="shared" ref="BD23:BD27" si="122">SUM(BE23:BF23)</f>
        <v>268.20811757853448</v>
      </c>
      <c r="BE23" s="4384">
        <f t="shared" si="109"/>
        <v>268.20811757853448</v>
      </c>
      <c r="BF23" s="4384">
        <f t="shared" si="109"/>
        <v>0</v>
      </c>
      <c r="BG23" s="4443">
        <f t="shared" si="79"/>
        <v>237.97399999999999</v>
      </c>
      <c r="BH23" s="4443">
        <f t="shared" si="79"/>
        <v>237.97399999999999</v>
      </c>
      <c r="BI23" s="4443">
        <f t="shared" si="79"/>
        <v>0</v>
      </c>
      <c r="BJ23" s="4443">
        <f t="shared" si="80"/>
        <v>-30.234117578534494</v>
      </c>
      <c r="BK23" s="4443">
        <f t="shared" si="80"/>
        <v>-30.234117578534494</v>
      </c>
      <c r="BL23" s="4443">
        <f t="shared" si="80"/>
        <v>0</v>
      </c>
      <c r="BM23" s="4385">
        <f t="shared" si="110"/>
        <v>89.402705859511485</v>
      </c>
      <c r="BN23" s="4385">
        <f t="shared" si="111"/>
        <v>89.402705859511485</v>
      </c>
      <c r="BO23" s="4385">
        <f t="shared" si="111"/>
        <v>0</v>
      </c>
      <c r="BP23" s="4442">
        <f t="shared" ref="BP23:BP27" si="123">SUM(BQ23:BR23)</f>
        <v>0</v>
      </c>
      <c r="BQ23" s="4407"/>
      <c r="BR23" s="4407"/>
      <c r="BS23" s="4442">
        <f t="shared" ref="BS23:BS27" si="124">SUM(BT23:BU23)</f>
        <v>0</v>
      </c>
      <c r="BT23" s="4407"/>
      <c r="BU23" s="4407"/>
      <c r="BV23" s="4442">
        <f t="shared" ref="BV23:BV27" si="125">SUM(BW23:BX23)</f>
        <v>0</v>
      </c>
      <c r="BW23" s="4407"/>
      <c r="BX23" s="4407"/>
      <c r="BY23" s="4442">
        <f t="shared" ref="BY23:BY27" si="126">SUM(BZ23:CA23)</f>
        <v>0</v>
      </c>
      <c r="BZ23" s="4442">
        <f t="shared" ref="BZ23:CA27" si="127">SUM(BQ23+BT23+BW23)</f>
        <v>0</v>
      </c>
      <c r="CA23" s="4442">
        <f t="shared" si="127"/>
        <v>0</v>
      </c>
      <c r="CB23" s="4384">
        <f t="shared" si="112"/>
        <v>357.61082343804594</v>
      </c>
      <c r="CC23" s="4446">
        <f>SUM(стоки!EK10)</f>
        <v>357.61082343804594</v>
      </c>
      <c r="CD23" s="4446">
        <f>SUM(стоки!EL10)</f>
        <v>0</v>
      </c>
      <c r="CE23" s="4443">
        <f t="shared" si="87"/>
        <v>237.97399999999999</v>
      </c>
      <c r="CF23" s="4443">
        <f t="shared" si="87"/>
        <v>237.97399999999999</v>
      </c>
      <c r="CG23" s="4443">
        <f t="shared" si="87"/>
        <v>0</v>
      </c>
      <c r="CH23" s="4443">
        <f t="shared" si="88"/>
        <v>-119.63682343804595</v>
      </c>
      <c r="CI23" s="4443">
        <f t="shared" si="88"/>
        <v>-119.63682343804595</v>
      </c>
      <c r="CJ23" s="4443">
        <f t="shared" si="88"/>
        <v>0</v>
      </c>
      <c r="CK23" s="2774"/>
      <c r="CL23" s="3576">
        <f t="shared" si="89"/>
        <v>357.61082343804594</v>
      </c>
      <c r="CM23" s="2774"/>
    </row>
    <row r="24" spans="1:91" ht="18.75" customHeight="1" x14ac:dyDescent="0.3">
      <c r="A24" s="4396" t="s">
        <v>3692</v>
      </c>
      <c r="B24" s="4385">
        <f t="shared" ref="B24:B29" si="128">SUM(C24:D24)</f>
        <v>0</v>
      </c>
      <c r="C24" s="4385">
        <f t="shared" ref="C24:C27" si="129">SUM(CC24/4)</f>
        <v>0</v>
      </c>
      <c r="D24" s="4385">
        <f t="shared" ref="D24:D27" si="130">SUM(CD24/4)</f>
        <v>0</v>
      </c>
      <c r="E24" s="4442">
        <f t="shared" si="93"/>
        <v>7.6539999999999999</v>
      </c>
      <c r="F24" s="4407">
        <v>7.6539999999999999</v>
      </c>
      <c r="G24" s="4407"/>
      <c r="H24" s="4442">
        <f t="shared" si="94"/>
        <v>3.093</v>
      </c>
      <c r="I24" s="4407">
        <v>3.093</v>
      </c>
      <c r="J24" s="4407"/>
      <c r="K24" s="4442">
        <f t="shared" si="95"/>
        <v>3.093</v>
      </c>
      <c r="L24" s="4407">
        <v>3.093</v>
      </c>
      <c r="M24" s="4407"/>
      <c r="N24" s="4442">
        <f t="shared" si="114"/>
        <v>13.84</v>
      </c>
      <c r="O24" s="4442">
        <f t="shared" si="115"/>
        <v>13.84</v>
      </c>
      <c r="P24" s="4442">
        <f t="shared" si="115"/>
        <v>0</v>
      </c>
      <c r="Q24" s="4385">
        <f t="shared" si="116"/>
        <v>0</v>
      </c>
      <c r="R24" s="4385">
        <f t="shared" si="97"/>
        <v>0</v>
      </c>
      <c r="S24" s="4385">
        <f t="shared" si="97"/>
        <v>0</v>
      </c>
      <c r="T24" s="4442">
        <f t="shared" si="98"/>
        <v>3.093</v>
      </c>
      <c r="U24" s="4407">
        <v>3.093</v>
      </c>
      <c r="V24" s="4407"/>
      <c r="W24" s="4442">
        <f t="shared" si="99"/>
        <v>3.093</v>
      </c>
      <c r="X24" s="4407">
        <v>3.093</v>
      </c>
      <c r="Y24" s="4407"/>
      <c r="Z24" s="4442">
        <f t="shared" si="100"/>
        <v>3.093</v>
      </c>
      <c r="AA24" s="4407">
        <v>3.093</v>
      </c>
      <c r="AB24" s="4407"/>
      <c r="AC24" s="4442">
        <f t="shared" si="117"/>
        <v>9.2789999999999999</v>
      </c>
      <c r="AD24" s="4442">
        <f t="shared" si="118"/>
        <v>9.2789999999999999</v>
      </c>
      <c r="AE24" s="4442">
        <f t="shared" si="118"/>
        <v>0</v>
      </c>
      <c r="AF24" s="4384">
        <f t="shared" si="119"/>
        <v>0</v>
      </c>
      <c r="AG24" s="4384">
        <f t="shared" si="102"/>
        <v>0</v>
      </c>
      <c r="AH24" s="4384">
        <f t="shared" si="67"/>
        <v>0</v>
      </c>
      <c r="AI24" s="4443">
        <f t="shared" si="68"/>
        <v>23.119</v>
      </c>
      <c r="AJ24" s="4443">
        <f t="shared" si="68"/>
        <v>23.119</v>
      </c>
      <c r="AK24" s="4443">
        <f t="shared" si="68"/>
        <v>0</v>
      </c>
      <c r="AL24" s="4443">
        <f t="shared" si="69"/>
        <v>23.119</v>
      </c>
      <c r="AM24" s="4443">
        <f t="shared" si="69"/>
        <v>23.119</v>
      </c>
      <c r="AN24" s="4443">
        <f t="shared" si="69"/>
        <v>0</v>
      </c>
      <c r="AO24" s="4385">
        <f t="shared" si="103"/>
        <v>0</v>
      </c>
      <c r="AP24" s="4385">
        <f t="shared" si="104"/>
        <v>0</v>
      </c>
      <c r="AQ24" s="4385">
        <f t="shared" si="104"/>
        <v>0</v>
      </c>
      <c r="AR24" s="4442">
        <f t="shared" si="105"/>
        <v>7.6539999999999999</v>
      </c>
      <c r="AS24" s="4407">
        <v>7.6539999999999999</v>
      </c>
      <c r="AT24" s="4407"/>
      <c r="AU24" s="4442">
        <f t="shared" si="106"/>
        <v>0</v>
      </c>
      <c r="AV24" s="4407"/>
      <c r="AW24" s="4407"/>
      <c r="AX24" s="4442">
        <f t="shared" si="107"/>
        <v>0</v>
      </c>
      <c r="AY24" s="4407"/>
      <c r="AZ24" s="4407"/>
      <c r="BA24" s="4442">
        <f t="shared" si="120"/>
        <v>7.6539999999999999</v>
      </c>
      <c r="BB24" s="4442">
        <f t="shared" si="121"/>
        <v>7.6539999999999999</v>
      </c>
      <c r="BC24" s="4442">
        <f t="shared" si="121"/>
        <v>0</v>
      </c>
      <c r="BD24" s="4384">
        <f t="shared" si="122"/>
        <v>0</v>
      </c>
      <c r="BE24" s="4384">
        <f t="shared" si="109"/>
        <v>0</v>
      </c>
      <c r="BF24" s="4384">
        <f t="shared" si="109"/>
        <v>0</v>
      </c>
      <c r="BG24" s="4443">
        <f t="shared" si="79"/>
        <v>30.773</v>
      </c>
      <c r="BH24" s="4443">
        <f t="shared" si="79"/>
        <v>30.773</v>
      </c>
      <c r="BI24" s="4443">
        <f t="shared" si="79"/>
        <v>0</v>
      </c>
      <c r="BJ24" s="4443">
        <f t="shared" si="80"/>
        <v>30.773</v>
      </c>
      <c r="BK24" s="4443">
        <f t="shared" si="80"/>
        <v>30.773</v>
      </c>
      <c r="BL24" s="4443">
        <f t="shared" si="80"/>
        <v>0</v>
      </c>
      <c r="BM24" s="4385">
        <f t="shared" ref="BM24:BM27" si="131">SUM(BN24:BO24)</f>
        <v>0</v>
      </c>
      <c r="BN24" s="4385">
        <f t="shared" si="111"/>
        <v>0</v>
      </c>
      <c r="BO24" s="4385">
        <f t="shared" si="111"/>
        <v>0</v>
      </c>
      <c r="BP24" s="4442">
        <f t="shared" si="123"/>
        <v>0</v>
      </c>
      <c r="BQ24" s="4407"/>
      <c r="BR24" s="4407"/>
      <c r="BS24" s="4442">
        <f t="shared" si="124"/>
        <v>0</v>
      </c>
      <c r="BT24" s="4407"/>
      <c r="BU24" s="4407"/>
      <c r="BV24" s="4442">
        <f t="shared" si="125"/>
        <v>0</v>
      </c>
      <c r="BW24" s="4407"/>
      <c r="BX24" s="4407"/>
      <c r="BY24" s="4442">
        <f t="shared" si="126"/>
        <v>0</v>
      </c>
      <c r="BZ24" s="4442">
        <f t="shared" si="127"/>
        <v>0</v>
      </c>
      <c r="CA24" s="4442">
        <f t="shared" si="127"/>
        <v>0</v>
      </c>
      <c r="CB24" s="4384">
        <f t="shared" si="112"/>
        <v>0</v>
      </c>
      <c r="CC24" s="4446">
        <f>SUM(стоки!EK11)</f>
        <v>0</v>
      </c>
      <c r="CD24" s="4446">
        <f>SUM(стоки!EL11)</f>
        <v>0</v>
      </c>
      <c r="CE24" s="4443">
        <f t="shared" si="87"/>
        <v>30.773</v>
      </c>
      <c r="CF24" s="4443">
        <f t="shared" si="87"/>
        <v>30.773</v>
      </c>
      <c r="CG24" s="4443">
        <f t="shared" si="87"/>
        <v>0</v>
      </c>
      <c r="CH24" s="4443">
        <f t="shared" si="88"/>
        <v>30.773</v>
      </c>
      <c r="CI24" s="4443">
        <f t="shared" si="88"/>
        <v>30.773</v>
      </c>
      <c r="CJ24" s="4443">
        <f t="shared" si="88"/>
        <v>0</v>
      </c>
      <c r="CK24" s="2774"/>
      <c r="CL24" s="3576">
        <f t="shared" si="89"/>
        <v>0</v>
      </c>
      <c r="CM24" s="2774"/>
    </row>
    <row r="25" spans="1:91" ht="18.75" customHeight="1" x14ac:dyDescent="0.3">
      <c r="A25" s="4381" t="s">
        <v>3</v>
      </c>
      <c r="B25" s="4385">
        <f t="shared" si="128"/>
        <v>0</v>
      </c>
      <c r="C25" s="4385">
        <f t="shared" si="129"/>
        <v>0</v>
      </c>
      <c r="D25" s="4385">
        <f t="shared" si="130"/>
        <v>0</v>
      </c>
      <c r="E25" s="4442">
        <f t="shared" si="93"/>
        <v>23.997</v>
      </c>
      <c r="F25" s="4407">
        <v>23.997</v>
      </c>
      <c r="G25" s="4407"/>
      <c r="H25" s="4442">
        <f t="shared" si="94"/>
        <v>6.5149999999999997</v>
      </c>
      <c r="I25" s="4407">
        <v>6.5149999999999997</v>
      </c>
      <c r="J25" s="4407"/>
      <c r="K25" s="4442">
        <f t="shared" si="95"/>
        <v>9.1389999999999993</v>
      </c>
      <c r="L25" s="4407">
        <v>9.1389999999999993</v>
      </c>
      <c r="M25" s="4407"/>
      <c r="N25" s="4442">
        <f t="shared" si="114"/>
        <v>39.650999999999996</v>
      </c>
      <c r="O25" s="4442">
        <f t="shared" si="115"/>
        <v>39.650999999999996</v>
      </c>
      <c r="P25" s="4442">
        <f t="shared" si="115"/>
        <v>0</v>
      </c>
      <c r="Q25" s="4385">
        <f t="shared" si="116"/>
        <v>0</v>
      </c>
      <c r="R25" s="4385">
        <f t="shared" si="97"/>
        <v>0</v>
      </c>
      <c r="S25" s="4385">
        <f t="shared" si="97"/>
        <v>0</v>
      </c>
      <c r="T25" s="4442">
        <f t="shared" si="98"/>
        <v>11.474</v>
      </c>
      <c r="U25" s="4407">
        <f>11.474</f>
        <v>11.474</v>
      </c>
      <c r="V25" s="4407"/>
      <c r="W25" s="4442">
        <f t="shared" si="99"/>
        <v>35.637999999999998</v>
      </c>
      <c r="X25" s="4407">
        <v>35.637999999999998</v>
      </c>
      <c r="Y25" s="4407"/>
      <c r="Z25" s="4442">
        <f t="shared" si="100"/>
        <v>369.32600000000002</v>
      </c>
      <c r="AA25" s="4407">
        <f>369.326</f>
        <v>369.32600000000002</v>
      </c>
      <c r="AB25" s="4407"/>
      <c r="AC25" s="4442">
        <f t="shared" si="117"/>
        <v>416.43799999999999</v>
      </c>
      <c r="AD25" s="4442">
        <f t="shared" si="118"/>
        <v>416.43799999999999</v>
      </c>
      <c r="AE25" s="4442">
        <f t="shared" si="118"/>
        <v>0</v>
      </c>
      <c r="AF25" s="4384">
        <f t="shared" si="119"/>
        <v>0</v>
      </c>
      <c r="AG25" s="4384">
        <f t="shared" si="102"/>
        <v>0</v>
      </c>
      <c r="AH25" s="4384">
        <f t="shared" si="67"/>
        <v>0</v>
      </c>
      <c r="AI25" s="4443">
        <f t="shared" si="68"/>
        <v>456.089</v>
      </c>
      <c r="AJ25" s="4443">
        <f t="shared" si="68"/>
        <v>456.089</v>
      </c>
      <c r="AK25" s="4443">
        <f t="shared" si="68"/>
        <v>0</v>
      </c>
      <c r="AL25" s="4443">
        <f t="shared" si="69"/>
        <v>456.089</v>
      </c>
      <c r="AM25" s="4443">
        <f t="shared" si="69"/>
        <v>456.089</v>
      </c>
      <c r="AN25" s="4443">
        <f t="shared" si="69"/>
        <v>0</v>
      </c>
      <c r="AO25" s="4385">
        <f t="shared" si="103"/>
        <v>0</v>
      </c>
      <c r="AP25" s="4385">
        <f t="shared" si="104"/>
        <v>0</v>
      </c>
      <c r="AQ25" s="4385">
        <f t="shared" si="104"/>
        <v>0</v>
      </c>
      <c r="AR25" s="4442">
        <f t="shared" si="105"/>
        <v>495.46800000000002</v>
      </c>
      <c r="AS25" s="4407">
        <v>495.46800000000002</v>
      </c>
      <c r="AT25" s="4407"/>
      <c r="AU25" s="4442">
        <f t="shared" si="106"/>
        <v>0</v>
      </c>
      <c r="AV25" s="4407"/>
      <c r="AW25" s="4407"/>
      <c r="AX25" s="4442">
        <f t="shared" si="107"/>
        <v>0</v>
      </c>
      <c r="AY25" s="4407"/>
      <c r="AZ25" s="4407"/>
      <c r="BA25" s="4442">
        <f t="shared" si="120"/>
        <v>495.46800000000002</v>
      </c>
      <c r="BB25" s="4442">
        <f t="shared" si="121"/>
        <v>495.46800000000002</v>
      </c>
      <c r="BC25" s="4442">
        <f t="shared" si="121"/>
        <v>0</v>
      </c>
      <c r="BD25" s="4384">
        <f t="shared" si="122"/>
        <v>0</v>
      </c>
      <c r="BE25" s="4384">
        <f t="shared" si="109"/>
        <v>0</v>
      </c>
      <c r="BF25" s="4384">
        <f t="shared" si="109"/>
        <v>0</v>
      </c>
      <c r="BG25" s="4443">
        <f t="shared" si="79"/>
        <v>951.55700000000002</v>
      </c>
      <c r="BH25" s="4443">
        <f t="shared" si="79"/>
        <v>951.55700000000002</v>
      </c>
      <c r="BI25" s="4443">
        <f t="shared" si="79"/>
        <v>0</v>
      </c>
      <c r="BJ25" s="4443">
        <f t="shared" si="80"/>
        <v>951.55700000000002</v>
      </c>
      <c r="BK25" s="4443">
        <f t="shared" si="80"/>
        <v>951.55700000000002</v>
      </c>
      <c r="BL25" s="4443">
        <f t="shared" si="80"/>
        <v>0</v>
      </c>
      <c r="BM25" s="4385">
        <f t="shared" si="131"/>
        <v>0</v>
      </c>
      <c r="BN25" s="4385">
        <f t="shared" si="111"/>
        <v>0</v>
      </c>
      <c r="BO25" s="4385">
        <f t="shared" si="111"/>
        <v>0</v>
      </c>
      <c r="BP25" s="4442">
        <f t="shared" si="123"/>
        <v>0</v>
      </c>
      <c r="BQ25" s="4407"/>
      <c r="BR25" s="4407"/>
      <c r="BS25" s="4442">
        <f t="shared" si="124"/>
        <v>0</v>
      </c>
      <c r="BT25" s="4407"/>
      <c r="BU25" s="4407"/>
      <c r="BV25" s="4442">
        <f t="shared" si="125"/>
        <v>0</v>
      </c>
      <c r="BW25" s="4407"/>
      <c r="BX25" s="4407"/>
      <c r="BY25" s="4442">
        <f t="shared" si="126"/>
        <v>0</v>
      </c>
      <c r="BZ25" s="4442">
        <f t="shared" si="127"/>
        <v>0</v>
      </c>
      <c r="CA25" s="4442">
        <f t="shared" si="127"/>
        <v>0</v>
      </c>
      <c r="CB25" s="4384">
        <f t="shared" si="112"/>
        <v>0</v>
      </c>
      <c r="CC25" s="4446">
        <f>SUM(стоки!EK12)</f>
        <v>0</v>
      </c>
      <c r="CD25" s="4446">
        <f>SUM(стоки!EL12)</f>
        <v>0</v>
      </c>
      <c r="CE25" s="4443">
        <f t="shared" si="87"/>
        <v>951.55700000000002</v>
      </c>
      <c r="CF25" s="4443">
        <f t="shared" si="87"/>
        <v>951.55700000000002</v>
      </c>
      <c r="CG25" s="4443">
        <f t="shared" si="87"/>
        <v>0</v>
      </c>
      <c r="CH25" s="4443">
        <f t="shared" si="88"/>
        <v>951.55700000000002</v>
      </c>
      <c r="CI25" s="4443">
        <f t="shared" si="88"/>
        <v>951.55700000000002</v>
      </c>
      <c r="CJ25" s="4443">
        <f t="shared" si="88"/>
        <v>0</v>
      </c>
      <c r="CK25" s="2774"/>
      <c r="CL25" s="3576">
        <f t="shared" si="89"/>
        <v>0</v>
      </c>
      <c r="CM25" s="2774"/>
    </row>
    <row r="26" spans="1:91" ht="18.75" customHeight="1" x14ac:dyDescent="0.3">
      <c r="A26" s="4381" t="s">
        <v>4</v>
      </c>
      <c r="B26" s="4385">
        <f t="shared" si="128"/>
        <v>3194.96153408284</v>
      </c>
      <c r="C26" s="4385">
        <f t="shared" si="129"/>
        <v>3194.96153408284</v>
      </c>
      <c r="D26" s="4385">
        <f t="shared" si="130"/>
        <v>0</v>
      </c>
      <c r="E26" s="4442">
        <f t="shared" si="93"/>
        <v>1241.4349999999999</v>
      </c>
      <c r="F26" s="4407">
        <v>1241.4349999999999</v>
      </c>
      <c r="G26" s="4407"/>
      <c r="H26" s="4442">
        <f t="shared" si="94"/>
        <v>1032.7286799999999</v>
      </c>
      <c r="I26" s="4407">
        <v>1032.7286799999999</v>
      </c>
      <c r="J26" s="4407"/>
      <c r="K26" s="4442">
        <f t="shared" si="95"/>
        <v>942.36500000000001</v>
      </c>
      <c r="L26" s="4407">
        <v>942.36500000000001</v>
      </c>
      <c r="M26" s="4407"/>
      <c r="N26" s="4442">
        <f t="shared" si="114"/>
        <v>3216.5286799999994</v>
      </c>
      <c r="O26" s="4442">
        <f t="shared" si="115"/>
        <v>3216.5286799999994</v>
      </c>
      <c r="P26" s="4442">
        <f t="shared" si="115"/>
        <v>0</v>
      </c>
      <c r="Q26" s="4385">
        <f t="shared" si="116"/>
        <v>3194.96153408284</v>
      </c>
      <c r="R26" s="4385">
        <f t="shared" si="97"/>
        <v>3194.96153408284</v>
      </c>
      <c r="S26" s="4385">
        <f t="shared" si="97"/>
        <v>0</v>
      </c>
      <c r="T26" s="4442">
        <f t="shared" si="98"/>
        <v>1002.63</v>
      </c>
      <c r="U26" s="4407">
        <v>1002.63</v>
      </c>
      <c r="V26" s="4407"/>
      <c r="W26" s="4442">
        <f t="shared" si="99"/>
        <v>966.56600000000003</v>
      </c>
      <c r="X26" s="4407">
        <v>966.56600000000003</v>
      </c>
      <c r="Y26" s="4407"/>
      <c r="Z26" s="4442">
        <f t="shared" si="100"/>
        <v>968.41399999999999</v>
      </c>
      <c r="AA26" s="4407">
        <v>968.41399999999999</v>
      </c>
      <c r="AB26" s="4407"/>
      <c r="AC26" s="4442">
        <f t="shared" si="117"/>
        <v>2937.6099999999997</v>
      </c>
      <c r="AD26" s="4442">
        <f t="shared" si="118"/>
        <v>2937.6099999999997</v>
      </c>
      <c r="AE26" s="4442">
        <f t="shared" si="118"/>
        <v>0</v>
      </c>
      <c r="AF26" s="4384">
        <f t="shared" si="119"/>
        <v>6389.92306816568</v>
      </c>
      <c r="AG26" s="4384">
        <f t="shared" si="102"/>
        <v>6389.92306816568</v>
      </c>
      <c r="AH26" s="4384">
        <f t="shared" si="67"/>
        <v>0</v>
      </c>
      <c r="AI26" s="4443">
        <f t="shared" si="68"/>
        <v>6154.1386799999991</v>
      </c>
      <c r="AJ26" s="4443">
        <f t="shared" si="68"/>
        <v>6154.1386799999991</v>
      </c>
      <c r="AK26" s="4443">
        <f t="shared" si="68"/>
        <v>0</v>
      </c>
      <c r="AL26" s="4443">
        <f t="shared" si="69"/>
        <v>-235.78438816568087</v>
      </c>
      <c r="AM26" s="4443">
        <f t="shared" si="69"/>
        <v>-235.78438816568087</v>
      </c>
      <c r="AN26" s="4443">
        <f t="shared" si="69"/>
        <v>0</v>
      </c>
      <c r="AO26" s="4385">
        <f t="shared" si="103"/>
        <v>3194.96153408284</v>
      </c>
      <c r="AP26" s="4385">
        <f t="shared" si="104"/>
        <v>3194.96153408284</v>
      </c>
      <c r="AQ26" s="4385">
        <f t="shared" si="104"/>
        <v>0</v>
      </c>
      <c r="AR26" s="4442">
        <f t="shared" si="105"/>
        <v>1008.802</v>
      </c>
      <c r="AS26" s="4407">
        <v>1008.802</v>
      </c>
      <c r="AT26" s="4407"/>
      <c r="AU26" s="4442">
        <f t="shared" si="106"/>
        <v>0</v>
      </c>
      <c r="AV26" s="4407"/>
      <c r="AW26" s="4407"/>
      <c r="AX26" s="4442">
        <f t="shared" si="107"/>
        <v>0</v>
      </c>
      <c r="AY26" s="4407"/>
      <c r="AZ26" s="4407"/>
      <c r="BA26" s="4442">
        <f t="shared" si="120"/>
        <v>1008.802</v>
      </c>
      <c r="BB26" s="4442">
        <f t="shared" si="121"/>
        <v>1008.802</v>
      </c>
      <c r="BC26" s="4442">
        <f t="shared" si="121"/>
        <v>0</v>
      </c>
      <c r="BD26" s="4384">
        <f t="shared" si="122"/>
        <v>9584.8846022485195</v>
      </c>
      <c r="BE26" s="4384">
        <f t="shared" si="109"/>
        <v>9584.8846022485195</v>
      </c>
      <c r="BF26" s="4384">
        <f t="shared" si="109"/>
        <v>0</v>
      </c>
      <c r="BG26" s="4443">
        <f t="shared" si="79"/>
        <v>7162.9406799999988</v>
      </c>
      <c r="BH26" s="4443">
        <f t="shared" si="79"/>
        <v>7162.9406799999988</v>
      </c>
      <c r="BI26" s="4443">
        <f t="shared" si="79"/>
        <v>0</v>
      </c>
      <c r="BJ26" s="4443">
        <f t="shared" si="80"/>
        <v>-2421.9439222485207</v>
      </c>
      <c r="BK26" s="4443">
        <f t="shared" si="80"/>
        <v>-2421.9439222485207</v>
      </c>
      <c r="BL26" s="4443">
        <f t="shared" si="80"/>
        <v>0</v>
      </c>
      <c r="BM26" s="4385">
        <f t="shared" si="131"/>
        <v>3194.96153408284</v>
      </c>
      <c r="BN26" s="4385">
        <f t="shared" si="111"/>
        <v>3194.96153408284</v>
      </c>
      <c r="BO26" s="4385">
        <f t="shared" si="111"/>
        <v>0</v>
      </c>
      <c r="BP26" s="4442">
        <f t="shared" si="123"/>
        <v>0</v>
      </c>
      <c r="BQ26" s="4407"/>
      <c r="BR26" s="4407"/>
      <c r="BS26" s="4442">
        <f t="shared" si="124"/>
        <v>0</v>
      </c>
      <c r="BT26" s="4407"/>
      <c r="BU26" s="4407"/>
      <c r="BV26" s="4442">
        <f t="shared" si="125"/>
        <v>0</v>
      </c>
      <c r="BW26" s="4407"/>
      <c r="BX26" s="4407"/>
      <c r="BY26" s="4442">
        <f t="shared" si="126"/>
        <v>0</v>
      </c>
      <c r="BZ26" s="4442">
        <f t="shared" si="127"/>
        <v>0</v>
      </c>
      <c r="CA26" s="4442">
        <f t="shared" si="127"/>
        <v>0</v>
      </c>
      <c r="CB26" s="4384">
        <f t="shared" si="112"/>
        <v>12779.84613633136</v>
      </c>
      <c r="CC26" s="4446">
        <f>SUM(стоки!EK13)</f>
        <v>12779.84613633136</v>
      </c>
      <c r="CD26" s="4446">
        <f>SUM(стоки!EL13)</f>
        <v>0</v>
      </c>
      <c r="CE26" s="4443">
        <f t="shared" si="87"/>
        <v>7162.9406799999988</v>
      </c>
      <c r="CF26" s="4443">
        <f t="shared" si="87"/>
        <v>7162.9406799999988</v>
      </c>
      <c r="CG26" s="4443">
        <f t="shared" si="87"/>
        <v>0</v>
      </c>
      <c r="CH26" s="4443">
        <f t="shared" si="88"/>
        <v>-5616.9054563313612</v>
      </c>
      <c r="CI26" s="4443">
        <f t="shared" si="88"/>
        <v>-5616.9054563313612</v>
      </c>
      <c r="CJ26" s="4443">
        <f t="shared" si="88"/>
        <v>0</v>
      </c>
      <c r="CK26" s="2774"/>
      <c r="CL26" s="3576">
        <f t="shared" si="89"/>
        <v>12779.84613633136</v>
      </c>
      <c r="CM26" s="2774"/>
    </row>
    <row r="27" spans="1:91" ht="18.75" customHeight="1" x14ac:dyDescent="0.3">
      <c r="A27" s="4381" t="s">
        <v>113</v>
      </c>
      <c r="B27" s="4385">
        <f t="shared" si="128"/>
        <v>963.82852982655504</v>
      </c>
      <c r="C27" s="4385">
        <f t="shared" si="129"/>
        <v>963.82852982655504</v>
      </c>
      <c r="D27" s="4385">
        <f t="shared" si="130"/>
        <v>0</v>
      </c>
      <c r="E27" s="4442">
        <f t="shared" si="93"/>
        <v>369.31400000000002</v>
      </c>
      <c r="F27" s="4452">
        <f>2.446+366.868</f>
        <v>369.31400000000002</v>
      </c>
      <c r="G27" s="4407"/>
      <c r="H27" s="4442">
        <f t="shared" si="94"/>
        <v>316.70424000000003</v>
      </c>
      <c r="I27" s="4407">
        <f>2.09737+314.60687</f>
        <v>316.70424000000003</v>
      </c>
      <c r="J27" s="4407"/>
      <c r="K27" s="4442">
        <f t="shared" si="95"/>
        <v>287.80950000000001</v>
      </c>
      <c r="L27" s="4407">
        <f>1.906+285.9035</f>
        <v>287.80950000000001</v>
      </c>
      <c r="M27" s="4407"/>
      <c r="N27" s="4442">
        <f t="shared" si="114"/>
        <v>973.82774000000018</v>
      </c>
      <c r="O27" s="4442">
        <f t="shared" si="115"/>
        <v>973.82774000000018</v>
      </c>
      <c r="P27" s="4442">
        <f t="shared" si="115"/>
        <v>0</v>
      </c>
      <c r="Q27" s="4385">
        <f t="shared" si="116"/>
        <v>963.82852982655504</v>
      </c>
      <c r="R27" s="4385">
        <f t="shared" si="97"/>
        <v>963.82852982655504</v>
      </c>
      <c r="S27" s="4385">
        <f t="shared" si="97"/>
        <v>0</v>
      </c>
      <c r="T27" s="4442">
        <f t="shared" si="98"/>
        <v>310.62600000000003</v>
      </c>
      <c r="U27" s="4407">
        <f>2.057+308.569</f>
        <v>310.62600000000003</v>
      </c>
      <c r="V27" s="4407"/>
      <c r="W27" s="4442">
        <f t="shared" si="99"/>
        <v>313.608</v>
      </c>
      <c r="X27" s="4407">
        <f>2.077+311.531</f>
        <v>313.608</v>
      </c>
      <c r="Y27" s="4407"/>
      <c r="Z27" s="4442">
        <f t="shared" si="100"/>
        <v>296.39800000000002</v>
      </c>
      <c r="AA27" s="4407">
        <f>1.963+294.435</f>
        <v>296.39800000000002</v>
      </c>
      <c r="AB27" s="4407"/>
      <c r="AC27" s="4442">
        <f t="shared" si="117"/>
        <v>920.63200000000006</v>
      </c>
      <c r="AD27" s="4442">
        <f t="shared" si="118"/>
        <v>920.63200000000006</v>
      </c>
      <c r="AE27" s="4442">
        <f t="shared" si="118"/>
        <v>0</v>
      </c>
      <c r="AF27" s="4384">
        <f t="shared" si="119"/>
        <v>1927.6570596531101</v>
      </c>
      <c r="AG27" s="4384">
        <f t="shared" si="102"/>
        <v>1927.6570596531101</v>
      </c>
      <c r="AH27" s="4384">
        <f t="shared" si="67"/>
        <v>0</v>
      </c>
      <c r="AI27" s="4443">
        <f t="shared" si="68"/>
        <v>1894.4597400000002</v>
      </c>
      <c r="AJ27" s="4443">
        <f t="shared" si="68"/>
        <v>1894.4597400000002</v>
      </c>
      <c r="AK27" s="4443">
        <f t="shared" si="68"/>
        <v>0</v>
      </c>
      <c r="AL27" s="4443">
        <f t="shared" si="69"/>
        <v>-33.197319653109844</v>
      </c>
      <c r="AM27" s="4443">
        <f t="shared" si="69"/>
        <v>-33.197319653109844</v>
      </c>
      <c r="AN27" s="4443">
        <f t="shared" si="69"/>
        <v>0</v>
      </c>
      <c r="AO27" s="4385">
        <f t="shared" si="103"/>
        <v>963.82852982655504</v>
      </c>
      <c r="AP27" s="4385">
        <f t="shared" si="104"/>
        <v>963.82852982655504</v>
      </c>
      <c r="AQ27" s="4385">
        <f t="shared" si="104"/>
        <v>0</v>
      </c>
      <c r="AR27" s="4442">
        <f t="shared" si="105"/>
        <v>302.24700000000001</v>
      </c>
      <c r="AS27" s="4407">
        <v>302.24700000000001</v>
      </c>
      <c r="AT27" s="4407"/>
      <c r="AU27" s="4442">
        <f t="shared" si="106"/>
        <v>0</v>
      </c>
      <c r="AV27" s="4407"/>
      <c r="AW27" s="4407"/>
      <c r="AX27" s="4442">
        <f t="shared" si="107"/>
        <v>0</v>
      </c>
      <c r="AY27" s="4407"/>
      <c r="AZ27" s="4407"/>
      <c r="BA27" s="4442">
        <f t="shared" si="120"/>
        <v>302.24700000000001</v>
      </c>
      <c r="BB27" s="4442">
        <f t="shared" si="121"/>
        <v>302.24700000000001</v>
      </c>
      <c r="BC27" s="4442">
        <f t="shared" si="121"/>
        <v>0</v>
      </c>
      <c r="BD27" s="4384">
        <f t="shared" si="122"/>
        <v>2891.4855894796651</v>
      </c>
      <c r="BE27" s="4384">
        <f t="shared" si="109"/>
        <v>2891.4855894796651</v>
      </c>
      <c r="BF27" s="4384">
        <f t="shared" si="109"/>
        <v>0</v>
      </c>
      <c r="BG27" s="4443">
        <f t="shared" si="79"/>
        <v>2196.7067400000001</v>
      </c>
      <c r="BH27" s="4443">
        <f t="shared" si="79"/>
        <v>2196.7067400000001</v>
      </c>
      <c r="BI27" s="4443">
        <f t="shared" si="79"/>
        <v>0</v>
      </c>
      <c r="BJ27" s="4443">
        <f t="shared" si="80"/>
        <v>-694.77884947966504</v>
      </c>
      <c r="BK27" s="4443">
        <f t="shared" si="80"/>
        <v>-694.77884947966504</v>
      </c>
      <c r="BL27" s="4443">
        <f t="shared" si="80"/>
        <v>0</v>
      </c>
      <c r="BM27" s="4385">
        <f t="shared" si="131"/>
        <v>963.82852982655504</v>
      </c>
      <c r="BN27" s="4385">
        <f t="shared" si="111"/>
        <v>963.82852982655504</v>
      </c>
      <c r="BO27" s="4385">
        <f t="shared" si="111"/>
        <v>0</v>
      </c>
      <c r="BP27" s="4442">
        <f t="shared" si="123"/>
        <v>0</v>
      </c>
      <c r="BQ27" s="4407"/>
      <c r="BR27" s="4407"/>
      <c r="BS27" s="4442">
        <f t="shared" si="124"/>
        <v>0</v>
      </c>
      <c r="BT27" s="4407"/>
      <c r="BU27" s="4407"/>
      <c r="BV27" s="4442">
        <f t="shared" si="125"/>
        <v>0</v>
      </c>
      <c r="BW27" s="4407"/>
      <c r="BX27" s="4407"/>
      <c r="BY27" s="4442">
        <f t="shared" si="126"/>
        <v>0</v>
      </c>
      <c r="BZ27" s="4442">
        <f t="shared" si="127"/>
        <v>0</v>
      </c>
      <c r="CA27" s="4442">
        <f t="shared" si="127"/>
        <v>0</v>
      </c>
      <c r="CB27" s="4384">
        <f t="shared" si="112"/>
        <v>3855.3141193062202</v>
      </c>
      <c r="CC27" s="4446">
        <f>SUM(стоки!EK14)</f>
        <v>3855.3141193062202</v>
      </c>
      <c r="CD27" s="4446">
        <f>SUM(стоки!EL14)</f>
        <v>0</v>
      </c>
      <c r="CE27" s="4443">
        <f t="shared" si="87"/>
        <v>2196.7067400000001</v>
      </c>
      <c r="CF27" s="4443">
        <f t="shared" si="87"/>
        <v>2196.7067400000001</v>
      </c>
      <c r="CG27" s="4443">
        <f t="shared" si="87"/>
        <v>0</v>
      </c>
      <c r="CH27" s="4443">
        <f t="shared" si="88"/>
        <v>-1658.6073793062201</v>
      </c>
      <c r="CI27" s="4443">
        <f t="shared" si="88"/>
        <v>-1658.6073793062201</v>
      </c>
      <c r="CJ27" s="4443">
        <f t="shared" si="88"/>
        <v>0</v>
      </c>
      <c r="CK27" s="2774"/>
      <c r="CL27" s="3576">
        <f t="shared" si="89"/>
        <v>3855.3141193062202</v>
      </c>
      <c r="CM27" s="2774"/>
    </row>
    <row r="28" spans="1:91" ht="18.75" customHeight="1" x14ac:dyDescent="0.3">
      <c r="A28" s="4386" t="s">
        <v>308</v>
      </c>
      <c r="B28" s="4409">
        <f t="shared" ref="B28:D28" si="132">SUM(B27/B26)</f>
        <v>0.30167140340963011</v>
      </c>
      <c r="C28" s="4409">
        <f t="shared" si="132"/>
        <v>0.30167140340963011</v>
      </c>
      <c r="D28" s="4409" t="e">
        <f t="shared" si="132"/>
        <v>#DIV/0!</v>
      </c>
      <c r="E28" s="4409">
        <f>SUM(E27/E26)</f>
        <v>0.2974895987305014</v>
      </c>
      <c r="F28" s="4409">
        <f>SUM(F27/F26)</f>
        <v>0.2974895987305014</v>
      </c>
      <c r="G28" s="4409" t="e">
        <f t="shared" ref="G28:S28" si="133">SUM(G27/G26)</f>
        <v>#DIV/0!</v>
      </c>
      <c r="H28" s="4409">
        <f t="shared" si="133"/>
        <v>0.30666742013981835</v>
      </c>
      <c r="I28" s="4409">
        <f t="shared" si="133"/>
        <v>0.30666742013981835</v>
      </c>
      <c r="J28" s="4409" t="e">
        <f t="shared" si="133"/>
        <v>#DIV/0!</v>
      </c>
      <c r="K28" s="4409">
        <f t="shared" si="133"/>
        <v>0.30541191576512289</v>
      </c>
      <c r="L28" s="4409">
        <f t="shared" si="133"/>
        <v>0.30541191576512289</v>
      </c>
      <c r="M28" s="4409" t="e">
        <f t="shared" si="133"/>
        <v>#DIV/0!</v>
      </c>
      <c r="N28" s="4409">
        <f t="shared" si="133"/>
        <v>0.30275736263604536</v>
      </c>
      <c r="O28" s="4409">
        <f t="shared" si="133"/>
        <v>0.30275736263604536</v>
      </c>
      <c r="P28" s="4409" t="e">
        <f t="shared" si="133"/>
        <v>#DIV/0!</v>
      </c>
      <c r="Q28" s="4409">
        <f t="shared" si="133"/>
        <v>0.30167140340963011</v>
      </c>
      <c r="R28" s="4409">
        <f t="shared" si="133"/>
        <v>0.30167140340963011</v>
      </c>
      <c r="S28" s="4409" t="e">
        <f t="shared" si="133"/>
        <v>#DIV/0!</v>
      </c>
      <c r="T28" s="4409">
        <f>SUM(T27/T26)</f>
        <v>0.30981119655306549</v>
      </c>
      <c r="U28" s="4409">
        <f t="shared" ref="U28:AK28" si="134">SUM(U27/U26)</f>
        <v>0.30981119655306549</v>
      </c>
      <c r="V28" s="4409" t="e">
        <f t="shared" si="134"/>
        <v>#DIV/0!</v>
      </c>
      <c r="W28" s="4409">
        <f t="shared" si="134"/>
        <v>0.32445585712719049</v>
      </c>
      <c r="X28" s="4409">
        <f t="shared" si="134"/>
        <v>0.32445585712719049</v>
      </c>
      <c r="Y28" s="4409" t="e">
        <f t="shared" si="134"/>
        <v>#DIV/0!</v>
      </c>
      <c r="Z28" s="4409">
        <f t="shared" si="134"/>
        <v>0.3060653811283191</v>
      </c>
      <c r="AA28" s="4409">
        <f t="shared" si="134"/>
        <v>0.3060653811283191</v>
      </c>
      <c r="AB28" s="4409" t="e">
        <f t="shared" si="134"/>
        <v>#DIV/0!</v>
      </c>
      <c r="AC28" s="4409">
        <f t="shared" si="134"/>
        <v>0.3133949026589643</v>
      </c>
      <c r="AD28" s="4409">
        <f t="shared" si="134"/>
        <v>0.3133949026589643</v>
      </c>
      <c r="AE28" s="4409" t="e">
        <f t="shared" si="134"/>
        <v>#DIV/0!</v>
      </c>
      <c r="AF28" s="4410">
        <f t="shared" si="134"/>
        <v>0.30167140340963011</v>
      </c>
      <c r="AG28" s="4410">
        <f t="shared" si="134"/>
        <v>0.30167140340963011</v>
      </c>
      <c r="AH28" s="4410" t="e">
        <f t="shared" si="134"/>
        <v>#DIV/0!</v>
      </c>
      <c r="AI28" s="4410">
        <f t="shared" si="134"/>
        <v>0.30783507465580878</v>
      </c>
      <c r="AJ28" s="4410">
        <f t="shared" si="134"/>
        <v>0.30783507465580878</v>
      </c>
      <c r="AK28" s="4410" t="e">
        <f t="shared" si="134"/>
        <v>#DIV/0!</v>
      </c>
      <c r="AL28" s="4444">
        <f t="shared" si="69"/>
        <v>6.1636712461786702E-3</v>
      </c>
      <c r="AM28" s="4444">
        <f t="shared" si="69"/>
        <v>6.1636712461786702E-3</v>
      </c>
      <c r="AN28" s="4444" t="e">
        <f t="shared" si="69"/>
        <v>#DIV/0!</v>
      </c>
      <c r="AO28" s="4409">
        <f t="shared" ref="AO28:AQ28" si="135">SUM(AO27/AO26)</f>
        <v>0.30167140340963011</v>
      </c>
      <c r="AP28" s="4409">
        <f t="shared" si="135"/>
        <v>0.30167140340963011</v>
      </c>
      <c r="AQ28" s="4409" t="e">
        <f t="shared" si="135"/>
        <v>#DIV/0!</v>
      </c>
      <c r="AR28" s="4409">
        <f>SUM(AR27/AR26)</f>
        <v>0.29960983423902809</v>
      </c>
      <c r="AS28" s="4409">
        <f t="shared" ref="AS28:BC28" si="136">SUM(AS27/AS26)</f>
        <v>0.29960983423902809</v>
      </c>
      <c r="AT28" s="4409" t="e">
        <f t="shared" si="136"/>
        <v>#DIV/0!</v>
      </c>
      <c r="AU28" s="4409" t="e">
        <f t="shared" si="136"/>
        <v>#DIV/0!</v>
      </c>
      <c r="AV28" s="4409" t="e">
        <f t="shared" si="136"/>
        <v>#DIV/0!</v>
      </c>
      <c r="AW28" s="4409" t="e">
        <f t="shared" si="136"/>
        <v>#DIV/0!</v>
      </c>
      <c r="AX28" s="4409" t="e">
        <f t="shared" si="136"/>
        <v>#DIV/0!</v>
      </c>
      <c r="AY28" s="4409" t="e">
        <f t="shared" si="136"/>
        <v>#DIV/0!</v>
      </c>
      <c r="AZ28" s="4409" t="e">
        <f t="shared" si="136"/>
        <v>#DIV/0!</v>
      </c>
      <c r="BA28" s="4409">
        <f t="shared" si="136"/>
        <v>0.29960983423902809</v>
      </c>
      <c r="BB28" s="4409">
        <f t="shared" si="136"/>
        <v>0.29960983423902809</v>
      </c>
      <c r="BC28" s="4409" t="e">
        <f t="shared" si="136"/>
        <v>#DIV/0!</v>
      </c>
      <c r="BD28" s="4410">
        <f>SUM(BD27/BD26)</f>
        <v>0.30167140340963011</v>
      </c>
      <c r="BE28" s="4410">
        <f t="shared" ref="BE28:BF28" si="137">SUM(BE27/BE26)</f>
        <v>0.30167140340963011</v>
      </c>
      <c r="BF28" s="4410" t="e">
        <f t="shared" si="137"/>
        <v>#DIV/0!</v>
      </c>
      <c r="BG28" s="4410">
        <f>SUM(BG27/BG26)</f>
        <v>0.30667666230065727</v>
      </c>
      <c r="BH28" s="4410">
        <f t="shared" ref="BH28:BI28" si="138">SUM(BH27/BH26)</f>
        <v>0.30667666230065727</v>
      </c>
      <c r="BI28" s="4410" t="e">
        <f t="shared" si="138"/>
        <v>#DIV/0!</v>
      </c>
      <c r="BJ28" s="4444">
        <f t="shared" si="80"/>
        <v>5.0052588910271534E-3</v>
      </c>
      <c r="BK28" s="4444">
        <f t="shared" si="80"/>
        <v>5.0052588910271534E-3</v>
      </c>
      <c r="BL28" s="4444" t="e">
        <f t="shared" si="80"/>
        <v>#DIV/0!</v>
      </c>
      <c r="BM28" s="4409">
        <f t="shared" ref="BM28:BO28" si="139">SUM(BM27/BM26)</f>
        <v>0.30167140340963011</v>
      </c>
      <c r="BN28" s="4409">
        <f t="shared" si="139"/>
        <v>0.30167140340963011</v>
      </c>
      <c r="BO28" s="4409" t="e">
        <f t="shared" si="139"/>
        <v>#DIV/0!</v>
      </c>
      <c r="BP28" s="4409" t="e">
        <f>SUM(BP27/BP26)</f>
        <v>#DIV/0!</v>
      </c>
      <c r="BQ28" s="4409" t="e">
        <f t="shared" ref="BQ28:CG28" si="140">SUM(BQ27/BQ26)</f>
        <v>#DIV/0!</v>
      </c>
      <c r="BR28" s="4409" t="e">
        <f t="shared" si="140"/>
        <v>#DIV/0!</v>
      </c>
      <c r="BS28" s="4409" t="e">
        <f t="shared" si="140"/>
        <v>#DIV/0!</v>
      </c>
      <c r="BT28" s="4409" t="e">
        <f t="shared" si="140"/>
        <v>#DIV/0!</v>
      </c>
      <c r="BU28" s="4409" t="e">
        <f t="shared" si="140"/>
        <v>#DIV/0!</v>
      </c>
      <c r="BV28" s="4409" t="e">
        <f t="shared" si="140"/>
        <v>#DIV/0!</v>
      </c>
      <c r="BW28" s="4409" t="e">
        <f t="shared" si="140"/>
        <v>#DIV/0!</v>
      </c>
      <c r="BX28" s="4409" t="e">
        <f t="shared" si="140"/>
        <v>#DIV/0!</v>
      </c>
      <c r="BY28" s="4409" t="e">
        <f t="shared" si="140"/>
        <v>#DIV/0!</v>
      </c>
      <c r="BZ28" s="4409" t="e">
        <f t="shared" si="140"/>
        <v>#DIV/0!</v>
      </c>
      <c r="CA28" s="4409" t="e">
        <f t="shared" si="140"/>
        <v>#DIV/0!</v>
      </c>
      <c r="CB28" s="4410">
        <f t="shared" si="140"/>
        <v>0.30167140340963011</v>
      </c>
      <c r="CC28" s="4410">
        <f t="shared" si="140"/>
        <v>0.30167140340963011</v>
      </c>
      <c r="CD28" s="4410" t="e">
        <f t="shared" si="140"/>
        <v>#DIV/0!</v>
      </c>
      <c r="CE28" s="4410">
        <f t="shared" si="140"/>
        <v>0.30667666230065727</v>
      </c>
      <c r="CF28" s="4410">
        <f t="shared" si="140"/>
        <v>0.30667666230065727</v>
      </c>
      <c r="CG28" s="4410" t="e">
        <f t="shared" si="140"/>
        <v>#DIV/0!</v>
      </c>
      <c r="CH28" s="4444">
        <f t="shared" si="88"/>
        <v>5.0052588910271534E-3</v>
      </c>
      <c r="CI28" s="4444">
        <f t="shared" si="88"/>
        <v>5.0052588910271534E-3</v>
      </c>
      <c r="CJ28" s="4444" t="e">
        <f t="shared" si="88"/>
        <v>#DIV/0!</v>
      </c>
      <c r="CK28" s="2774"/>
      <c r="CL28" s="3576">
        <f t="shared" si="89"/>
        <v>1.2066856136385204</v>
      </c>
      <c r="CM28" s="2774"/>
    </row>
    <row r="29" spans="1:91" ht="18.75" customHeight="1" x14ac:dyDescent="0.3">
      <c r="A29" s="4418" t="s">
        <v>3693</v>
      </c>
      <c r="B29" s="4377">
        <f t="shared" si="128"/>
        <v>177.97527174999999</v>
      </c>
      <c r="C29" s="4414">
        <f t="shared" ref="C29:D29" si="141">SUM(C30:C35)+C38</f>
        <v>177.97527174999999</v>
      </c>
      <c r="D29" s="4414">
        <f t="shared" si="141"/>
        <v>0</v>
      </c>
      <c r="E29" s="4415">
        <f t="shared" si="93"/>
        <v>43.970000000000006</v>
      </c>
      <c r="F29" s="4415">
        <f>SUM(F30:F35)+F38</f>
        <v>43.970000000000006</v>
      </c>
      <c r="G29" s="4415">
        <f t="shared" ref="G29" si="142">SUM(G30:G35)+G38</f>
        <v>0</v>
      </c>
      <c r="H29" s="4415">
        <f t="shared" ref="H29:H34" si="143">SUM(I29:J29)</f>
        <v>30.108000000000001</v>
      </c>
      <c r="I29" s="4415">
        <f t="shared" ref="I29:J29" si="144">SUM(I30:I35)+I38</f>
        <v>30.108000000000001</v>
      </c>
      <c r="J29" s="4415">
        <f t="shared" si="144"/>
        <v>0</v>
      </c>
      <c r="K29" s="4415">
        <f t="shared" ref="K29:K34" si="145">SUM(L29:M29)</f>
        <v>27.773</v>
      </c>
      <c r="L29" s="4415">
        <f t="shared" ref="L29:M29" si="146">SUM(L30:L35)+L38</f>
        <v>27.773</v>
      </c>
      <c r="M29" s="4415">
        <f t="shared" si="146"/>
        <v>0</v>
      </c>
      <c r="N29" s="4415">
        <f t="shared" ref="N29" si="147">SUM(O29:P29)</f>
        <v>101.85100000000001</v>
      </c>
      <c r="O29" s="4415">
        <f t="shared" ref="O29:P29" si="148">SUM(O30:O35)+O38</f>
        <v>101.85100000000001</v>
      </c>
      <c r="P29" s="4415">
        <f t="shared" si="148"/>
        <v>0</v>
      </c>
      <c r="Q29" s="4377">
        <f t="shared" ref="Q29:Q34" si="149">SUM(R29:S29)</f>
        <v>177.97527174999999</v>
      </c>
      <c r="R29" s="4414">
        <f t="shared" ref="R29:S29" si="150">SUM(R30:R35)+R38</f>
        <v>177.97527174999999</v>
      </c>
      <c r="S29" s="4414">
        <f t="shared" si="150"/>
        <v>0</v>
      </c>
      <c r="T29" s="4415">
        <f t="shared" ref="T29:T34" si="151">SUM(U29:V29)</f>
        <v>26.490300000000001</v>
      </c>
      <c r="U29" s="4415">
        <f t="shared" ref="U29:V29" si="152">SUM(U30:U35)+U38</f>
        <v>26.490300000000001</v>
      </c>
      <c r="V29" s="4415">
        <f t="shared" si="152"/>
        <v>0</v>
      </c>
      <c r="W29" s="4415">
        <f t="shared" ref="W29:W34" si="153">SUM(X29:Y29)</f>
        <v>43.402000000000001</v>
      </c>
      <c r="X29" s="4415">
        <f>SUM(X30:X35)+X38</f>
        <v>43.402000000000001</v>
      </c>
      <c r="Y29" s="4415">
        <f t="shared" ref="Y29" si="154">SUM(Y30:Y35)+Y38</f>
        <v>0</v>
      </c>
      <c r="Z29" s="4415">
        <f t="shared" ref="Z29:Z34" si="155">SUM(AA29:AB29)</f>
        <v>26.083000000000002</v>
      </c>
      <c r="AA29" s="4415">
        <f t="shared" ref="AA29:AB29" si="156">SUM(AA30:AA35)+AA38</f>
        <v>26.083000000000002</v>
      </c>
      <c r="AB29" s="4415">
        <f t="shared" si="156"/>
        <v>0</v>
      </c>
      <c r="AC29" s="4415">
        <f t="shared" ref="AC29" si="157">SUM(AD29:AE29)</f>
        <v>95.97529999999999</v>
      </c>
      <c r="AD29" s="4415">
        <f t="shared" ref="AD29:AE29" si="158">SUM(AD30:AD35)+AD38</f>
        <v>95.97529999999999</v>
      </c>
      <c r="AE29" s="4415">
        <f t="shared" si="158"/>
        <v>0</v>
      </c>
      <c r="AF29" s="4379">
        <f t="shared" ref="AF29:AF92" si="159">SUM(AG29:AH29)</f>
        <v>355.95054349999998</v>
      </c>
      <c r="AG29" s="4379">
        <f t="shared" ref="AG29:AG92" si="160">SUM(C29+R29)</f>
        <v>355.95054349999998</v>
      </c>
      <c r="AH29" s="4379">
        <f t="shared" ref="AH29:AH92" si="161">SUM(D29+S29)</f>
        <v>0</v>
      </c>
      <c r="AI29" s="4441">
        <f t="shared" ref="AI29:AK44" si="162">SUM(AC29+N29)</f>
        <v>197.8263</v>
      </c>
      <c r="AJ29" s="4441">
        <f t="shared" si="162"/>
        <v>197.8263</v>
      </c>
      <c r="AK29" s="4441">
        <f t="shared" si="162"/>
        <v>0</v>
      </c>
      <c r="AL29" s="4441">
        <f t="shared" si="69"/>
        <v>-158.12424349999998</v>
      </c>
      <c r="AM29" s="4441">
        <f t="shared" si="69"/>
        <v>-158.12424349999998</v>
      </c>
      <c r="AN29" s="4441">
        <f t="shared" si="69"/>
        <v>0</v>
      </c>
      <c r="AO29" s="4377">
        <f t="shared" ref="AO29" si="163">SUM(AP29:AQ29)</f>
        <v>177.97527174999999</v>
      </c>
      <c r="AP29" s="4414">
        <f t="shared" ref="AP29" si="164">SUM(AP30:AP35)+AP38</f>
        <v>177.97527174999999</v>
      </c>
      <c r="AQ29" s="4414">
        <f t="shared" ref="AQ29" si="165">SUM(AQ30:AQ35)+AQ38</f>
        <v>0</v>
      </c>
      <c r="AR29" s="4415">
        <f t="shared" ref="AR29:AR34" si="166">SUM(AS29:AT29)</f>
        <v>121.09699999999999</v>
      </c>
      <c r="AS29" s="4415">
        <f t="shared" ref="AS29:AT29" si="167">SUM(AS30:AS35)+AS38</f>
        <v>121.09699999999999</v>
      </c>
      <c r="AT29" s="4415">
        <f t="shared" si="167"/>
        <v>0</v>
      </c>
      <c r="AU29" s="4415">
        <f t="shared" ref="AU29:AU34" si="168">SUM(AV29:AW29)</f>
        <v>0</v>
      </c>
      <c r="AV29" s="4415">
        <f t="shared" ref="AV29:AW29" si="169">SUM(AV30:AV35)+AV38</f>
        <v>0</v>
      </c>
      <c r="AW29" s="4415">
        <f t="shared" si="169"/>
        <v>0</v>
      </c>
      <c r="AX29" s="4415">
        <f t="shared" ref="AX29:AX34" si="170">SUM(AY29:AZ29)</f>
        <v>0</v>
      </c>
      <c r="AY29" s="4415">
        <f t="shared" ref="AY29:AZ29" si="171">SUM(AY30:AY35)+AY38</f>
        <v>0</v>
      </c>
      <c r="AZ29" s="4415">
        <f t="shared" si="171"/>
        <v>0</v>
      </c>
      <c r="BA29" s="4415">
        <f t="shared" ref="BA29" si="172">SUM(BB29:BC29)</f>
        <v>121.09699999999999</v>
      </c>
      <c r="BB29" s="4415">
        <f t="shared" ref="BB29:BC29" si="173">SUM(BB30:BB35)+BB38</f>
        <v>121.09699999999999</v>
      </c>
      <c r="BC29" s="4415">
        <f t="shared" si="173"/>
        <v>0</v>
      </c>
      <c r="BD29" s="4379">
        <f t="shared" ref="BD29:BD92" si="174">SUM(BE29:BF29)</f>
        <v>533.92581524999991</v>
      </c>
      <c r="BE29" s="4379">
        <f t="shared" ref="BE29:BE92" si="175">SUM(AG29+AP29)</f>
        <v>533.92581524999991</v>
      </c>
      <c r="BF29" s="4379">
        <f t="shared" ref="BF29:BF92" si="176">SUM(AH29+AQ29)</f>
        <v>0</v>
      </c>
      <c r="BG29" s="4441">
        <f t="shared" ref="BG29:BI44" si="177">SUM(AI29+BA29)</f>
        <v>318.92329999999998</v>
      </c>
      <c r="BH29" s="4441">
        <f t="shared" si="177"/>
        <v>318.92329999999998</v>
      </c>
      <c r="BI29" s="4441">
        <f t="shared" si="177"/>
        <v>0</v>
      </c>
      <c r="BJ29" s="4441">
        <f t="shared" si="80"/>
        <v>-215.00251524999993</v>
      </c>
      <c r="BK29" s="4441">
        <f t="shared" si="80"/>
        <v>-215.00251524999993</v>
      </c>
      <c r="BL29" s="4441">
        <f t="shared" si="80"/>
        <v>0</v>
      </c>
      <c r="BM29" s="4377">
        <f t="shared" ref="BM29" si="178">SUM(BN29:BO29)</f>
        <v>177.97527174999999</v>
      </c>
      <c r="BN29" s="4414">
        <f t="shared" ref="BN29" si="179">SUM(BN30:BN35)+BN38</f>
        <v>177.97527174999999</v>
      </c>
      <c r="BO29" s="4414">
        <f t="shared" ref="BO29" si="180">SUM(BO30:BO35)+BO38</f>
        <v>0</v>
      </c>
      <c r="BP29" s="4415">
        <f t="shared" ref="BP29:BP34" si="181">SUM(BQ29:BR29)</f>
        <v>0</v>
      </c>
      <c r="BQ29" s="4415">
        <f t="shared" ref="BQ29:BR29" si="182">SUM(BQ30:BQ35)+BQ38</f>
        <v>0</v>
      </c>
      <c r="BR29" s="4415">
        <f t="shared" si="182"/>
        <v>0</v>
      </c>
      <c r="BS29" s="4415">
        <f t="shared" ref="BS29:BS34" si="183">SUM(BT29:BU29)</f>
        <v>0</v>
      </c>
      <c r="BT29" s="4415">
        <f t="shared" ref="BT29:BU29" si="184">SUM(BT30:BT35)+BT38</f>
        <v>0</v>
      </c>
      <c r="BU29" s="4415">
        <f t="shared" si="184"/>
        <v>0</v>
      </c>
      <c r="BV29" s="4415">
        <f t="shared" ref="BV29:BV34" si="185">SUM(BW29:BX29)</f>
        <v>0</v>
      </c>
      <c r="BW29" s="4415">
        <f t="shared" ref="BW29:BX29" si="186">SUM(BW30:BW35)+BW38</f>
        <v>0</v>
      </c>
      <c r="BX29" s="4415">
        <f t="shared" si="186"/>
        <v>0</v>
      </c>
      <c r="BY29" s="4415">
        <f t="shared" ref="BY29" si="187">SUM(BZ29:CA29)</f>
        <v>0</v>
      </c>
      <c r="BZ29" s="4415">
        <f t="shared" ref="BZ29:CA29" si="188">SUM(BZ30:BZ35)+BZ38</f>
        <v>0</v>
      </c>
      <c r="CA29" s="4415">
        <f t="shared" si="188"/>
        <v>0</v>
      </c>
      <c r="CB29" s="4379">
        <f t="shared" si="112"/>
        <v>711.90108733581508</v>
      </c>
      <c r="CC29" s="4455">
        <f>SUM(стоки!EK16)+CC34</f>
        <v>711.90108733581508</v>
      </c>
      <c r="CD29" s="4455">
        <f>SUM(стоки!EL16)</f>
        <v>0</v>
      </c>
      <c r="CE29" s="4441">
        <f t="shared" ref="CE29:CE47" si="189">SUM(BY29+BG29)</f>
        <v>318.92329999999998</v>
      </c>
      <c r="CF29" s="4441">
        <f t="shared" ref="CF29:CG44" si="190">SUM(BZ29+BH29)</f>
        <v>318.92329999999998</v>
      </c>
      <c r="CG29" s="4441">
        <f t="shared" si="190"/>
        <v>0</v>
      </c>
      <c r="CH29" s="4441">
        <f t="shared" si="88"/>
        <v>-392.97778733581509</v>
      </c>
      <c r="CI29" s="4441">
        <f t="shared" si="88"/>
        <v>-392.97778733581509</v>
      </c>
      <c r="CJ29" s="4441">
        <f t="shared" si="88"/>
        <v>0</v>
      </c>
      <c r="CK29" s="2861"/>
      <c r="CL29" s="3576">
        <f t="shared" si="89"/>
        <v>711.90108699999996</v>
      </c>
      <c r="CM29" s="2861"/>
    </row>
    <row r="30" spans="1:91" ht="18.75" customHeight="1" x14ac:dyDescent="0.3">
      <c r="A30" s="4445" t="s">
        <v>70</v>
      </c>
      <c r="B30" s="4385">
        <f t="shared" ref="B30:B34" si="191">SUM(C30:D30)</f>
        <v>0</v>
      </c>
      <c r="C30" s="4385">
        <f t="shared" ref="C30:D34" si="192">SUM(CC30/4)</f>
        <v>0</v>
      </c>
      <c r="D30" s="4385">
        <f t="shared" si="192"/>
        <v>0</v>
      </c>
      <c r="E30" s="4442">
        <f t="shared" si="93"/>
        <v>0</v>
      </c>
      <c r="F30" s="4407"/>
      <c r="G30" s="4407"/>
      <c r="H30" s="4442">
        <f t="shared" si="143"/>
        <v>0</v>
      </c>
      <c r="I30" s="4407"/>
      <c r="J30" s="4407"/>
      <c r="K30" s="4442">
        <f t="shared" si="145"/>
        <v>0</v>
      </c>
      <c r="L30" s="4407"/>
      <c r="M30" s="4407"/>
      <c r="N30" s="4442">
        <f t="shared" ref="N30:N47" si="193">SUM(O30:P30)</f>
        <v>0</v>
      </c>
      <c r="O30" s="4442">
        <f t="shared" ref="O30:P39" si="194">SUM(F30+I30+L30)</f>
        <v>0</v>
      </c>
      <c r="P30" s="4442">
        <f t="shared" si="194"/>
        <v>0</v>
      </c>
      <c r="Q30" s="4385">
        <f t="shared" si="149"/>
        <v>0</v>
      </c>
      <c r="R30" s="4385">
        <f t="shared" ref="R30:S34" si="195">SUM(C30)</f>
        <v>0</v>
      </c>
      <c r="S30" s="4385">
        <f t="shared" si="195"/>
        <v>0</v>
      </c>
      <c r="T30" s="4442">
        <f t="shared" si="151"/>
        <v>0</v>
      </c>
      <c r="U30" s="4407"/>
      <c r="V30" s="4407"/>
      <c r="W30" s="4442">
        <f t="shared" si="153"/>
        <v>0</v>
      </c>
      <c r="X30" s="4407"/>
      <c r="Y30" s="4407"/>
      <c r="Z30" s="4442">
        <f t="shared" si="155"/>
        <v>0</v>
      </c>
      <c r="AA30" s="4407"/>
      <c r="AB30" s="4407"/>
      <c r="AC30" s="4442">
        <f t="shared" si="117"/>
        <v>0</v>
      </c>
      <c r="AD30" s="4442">
        <f t="shared" ref="AD30:AE39" si="196">SUM(U30+X30+AA30)</f>
        <v>0</v>
      </c>
      <c r="AE30" s="4442">
        <f t="shared" si="196"/>
        <v>0</v>
      </c>
      <c r="AF30" s="4384">
        <f t="shared" si="159"/>
        <v>0</v>
      </c>
      <c r="AG30" s="4384">
        <f t="shared" si="160"/>
        <v>0</v>
      </c>
      <c r="AH30" s="4384">
        <f t="shared" si="161"/>
        <v>0</v>
      </c>
      <c r="AI30" s="4443">
        <f t="shared" si="162"/>
        <v>0</v>
      </c>
      <c r="AJ30" s="4443">
        <f t="shared" si="162"/>
        <v>0</v>
      </c>
      <c r="AK30" s="4443">
        <f t="shared" si="162"/>
        <v>0</v>
      </c>
      <c r="AL30" s="4443">
        <f t="shared" si="69"/>
        <v>0</v>
      </c>
      <c r="AM30" s="4443">
        <f t="shared" si="69"/>
        <v>0</v>
      </c>
      <c r="AN30" s="4443">
        <f t="shared" si="69"/>
        <v>0</v>
      </c>
      <c r="AO30" s="4385">
        <f t="shared" ref="AO30:AO34" si="197">SUM(AP30:AQ30)</f>
        <v>0</v>
      </c>
      <c r="AP30" s="4385">
        <f t="shared" ref="AP30:AP34" si="198">SUM(CC30-AG30)/2</f>
        <v>0</v>
      </c>
      <c r="AQ30" s="4385">
        <f t="shared" ref="AQ30:AQ34" si="199">SUM(CD30-AH30)/2</f>
        <v>0</v>
      </c>
      <c r="AR30" s="4442">
        <f t="shared" si="166"/>
        <v>0</v>
      </c>
      <c r="AS30" s="4407"/>
      <c r="AT30" s="4407"/>
      <c r="AU30" s="4442">
        <f t="shared" si="168"/>
        <v>0</v>
      </c>
      <c r="AV30" s="4407"/>
      <c r="AW30" s="4407"/>
      <c r="AX30" s="4442">
        <f t="shared" si="170"/>
        <v>0</v>
      </c>
      <c r="AY30" s="4407"/>
      <c r="AZ30" s="4407"/>
      <c r="BA30" s="4442">
        <f t="shared" ref="BA30:BA39" si="200">SUM(BB30:BC30)</f>
        <v>0</v>
      </c>
      <c r="BB30" s="4442">
        <f t="shared" ref="BB30:BC39" si="201">SUM(AS30+AV30+AY30)</f>
        <v>0</v>
      </c>
      <c r="BC30" s="4442">
        <f t="shared" si="201"/>
        <v>0</v>
      </c>
      <c r="BD30" s="4384">
        <f t="shared" si="174"/>
        <v>0</v>
      </c>
      <c r="BE30" s="4384">
        <f t="shared" si="175"/>
        <v>0</v>
      </c>
      <c r="BF30" s="4384">
        <f t="shared" si="176"/>
        <v>0</v>
      </c>
      <c r="BG30" s="4443">
        <f t="shared" si="177"/>
        <v>0</v>
      </c>
      <c r="BH30" s="4443">
        <f t="shared" si="177"/>
        <v>0</v>
      </c>
      <c r="BI30" s="4443">
        <f t="shared" si="177"/>
        <v>0</v>
      </c>
      <c r="BJ30" s="4443">
        <f t="shared" si="80"/>
        <v>0</v>
      </c>
      <c r="BK30" s="4443">
        <f t="shared" si="80"/>
        <v>0</v>
      </c>
      <c r="BL30" s="4443">
        <f t="shared" si="80"/>
        <v>0</v>
      </c>
      <c r="BM30" s="4385">
        <f t="shared" ref="BM30:BM34" si="202">SUM(BN30:BO30)</f>
        <v>0</v>
      </c>
      <c r="BN30" s="4385">
        <f t="shared" ref="BN30:BN34" si="203">SUM(AP30)</f>
        <v>0</v>
      </c>
      <c r="BO30" s="4385">
        <f t="shared" ref="BO30:BO34" si="204">SUM(AQ30)</f>
        <v>0</v>
      </c>
      <c r="BP30" s="4442">
        <f t="shared" si="181"/>
        <v>0</v>
      </c>
      <c r="BQ30" s="4407"/>
      <c r="BR30" s="4407"/>
      <c r="BS30" s="4442">
        <f t="shared" si="183"/>
        <v>0</v>
      </c>
      <c r="BT30" s="4407"/>
      <c r="BU30" s="4407"/>
      <c r="BV30" s="4442">
        <f t="shared" si="185"/>
        <v>0</v>
      </c>
      <c r="BW30" s="4407"/>
      <c r="BX30" s="4407"/>
      <c r="BY30" s="4442">
        <f t="shared" ref="BY30:BY47" si="205">SUM(BZ30:CA30)</f>
        <v>0</v>
      </c>
      <c r="BZ30" s="4442">
        <f t="shared" ref="BZ30:CA39" si="206">SUM(BQ30+BT30+BW30)</f>
        <v>0</v>
      </c>
      <c r="CA30" s="4442">
        <f t="shared" si="206"/>
        <v>0</v>
      </c>
      <c r="CB30" s="4384">
        <f t="shared" si="112"/>
        <v>0</v>
      </c>
      <c r="CC30" s="4446">
        <v>0</v>
      </c>
      <c r="CD30" s="4446">
        <v>0</v>
      </c>
      <c r="CE30" s="4443">
        <f t="shared" si="189"/>
        <v>0</v>
      </c>
      <c r="CF30" s="4443">
        <f t="shared" si="190"/>
        <v>0</v>
      </c>
      <c r="CG30" s="4443">
        <f t="shared" si="190"/>
        <v>0</v>
      </c>
      <c r="CH30" s="4443">
        <f t="shared" si="88"/>
        <v>0</v>
      </c>
      <c r="CI30" s="4443">
        <f t="shared" si="88"/>
        <v>0</v>
      </c>
      <c r="CJ30" s="4443">
        <f t="shared" si="88"/>
        <v>0</v>
      </c>
      <c r="CK30" s="2774"/>
      <c r="CL30" s="3576">
        <f t="shared" si="89"/>
        <v>0</v>
      </c>
      <c r="CM30" s="2860">
        <f>SUM(CC32:CC39)-CC35-CC38</f>
        <v>711.90108699999996</v>
      </c>
    </row>
    <row r="31" spans="1:91" ht="18.75" customHeight="1" x14ac:dyDescent="0.3">
      <c r="A31" s="4445" t="s">
        <v>113</v>
      </c>
      <c r="B31" s="4385">
        <f t="shared" si="191"/>
        <v>0</v>
      </c>
      <c r="C31" s="4385">
        <f t="shared" si="192"/>
        <v>0</v>
      </c>
      <c r="D31" s="4385">
        <f t="shared" si="192"/>
        <v>0</v>
      </c>
      <c r="E31" s="4442">
        <f t="shared" si="93"/>
        <v>0</v>
      </c>
      <c r="F31" s="4407"/>
      <c r="G31" s="4407"/>
      <c r="H31" s="4442">
        <f t="shared" si="143"/>
        <v>0</v>
      </c>
      <c r="I31" s="4407"/>
      <c r="J31" s="4407"/>
      <c r="K31" s="4442">
        <f t="shared" si="145"/>
        <v>0</v>
      </c>
      <c r="L31" s="4407"/>
      <c r="M31" s="4407"/>
      <c r="N31" s="4442">
        <f t="shared" si="193"/>
        <v>0</v>
      </c>
      <c r="O31" s="4442">
        <f t="shared" si="194"/>
        <v>0</v>
      </c>
      <c r="P31" s="4442">
        <f t="shared" si="194"/>
        <v>0</v>
      </c>
      <c r="Q31" s="4385">
        <f t="shared" si="149"/>
        <v>0</v>
      </c>
      <c r="R31" s="4385">
        <f t="shared" si="195"/>
        <v>0</v>
      </c>
      <c r="S31" s="4385">
        <f t="shared" si="195"/>
        <v>0</v>
      </c>
      <c r="T31" s="4442">
        <f t="shared" si="151"/>
        <v>0</v>
      </c>
      <c r="U31" s="4407"/>
      <c r="V31" s="4407"/>
      <c r="W31" s="4442">
        <f t="shared" si="153"/>
        <v>0</v>
      </c>
      <c r="X31" s="4407"/>
      <c r="Y31" s="4407"/>
      <c r="Z31" s="4442">
        <f t="shared" si="155"/>
        <v>0</v>
      </c>
      <c r="AA31" s="4407"/>
      <c r="AB31" s="4407"/>
      <c r="AC31" s="4442">
        <f t="shared" si="117"/>
        <v>0</v>
      </c>
      <c r="AD31" s="4442">
        <f t="shared" si="196"/>
        <v>0</v>
      </c>
      <c r="AE31" s="4442">
        <f t="shared" si="196"/>
        <v>0</v>
      </c>
      <c r="AF31" s="4384">
        <f t="shared" si="159"/>
        <v>0</v>
      </c>
      <c r="AG31" s="4384">
        <f t="shared" si="160"/>
        <v>0</v>
      </c>
      <c r="AH31" s="4384">
        <f t="shared" si="161"/>
        <v>0</v>
      </c>
      <c r="AI31" s="4443">
        <f t="shared" si="162"/>
        <v>0</v>
      </c>
      <c r="AJ31" s="4443">
        <f t="shared" si="162"/>
        <v>0</v>
      </c>
      <c r="AK31" s="4443">
        <f t="shared" si="162"/>
        <v>0</v>
      </c>
      <c r="AL31" s="4443">
        <f t="shared" si="69"/>
        <v>0</v>
      </c>
      <c r="AM31" s="4443">
        <f t="shared" si="69"/>
        <v>0</v>
      </c>
      <c r="AN31" s="4443">
        <f t="shared" si="69"/>
        <v>0</v>
      </c>
      <c r="AO31" s="4385">
        <f t="shared" si="197"/>
        <v>0</v>
      </c>
      <c r="AP31" s="4385">
        <f t="shared" si="198"/>
        <v>0</v>
      </c>
      <c r="AQ31" s="4385">
        <f t="shared" si="199"/>
        <v>0</v>
      </c>
      <c r="AR31" s="4442">
        <f t="shared" si="166"/>
        <v>0</v>
      </c>
      <c r="AS31" s="4407"/>
      <c r="AT31" s="4407"/>
      <c r="AU31" s="4442">
        <f t="shared" si="168"/>
        <v>0</v>
      </c>
      <c r="AV31" s="4407"/>
      <c r="AW31" s="4407"/>
      <c r="AX31" s="4442">
        <f t="shared" si="170"/>
        <v>0</v>
      </c>
      <c r="AY31" s="4407"/>
      <c r="AZ31" s="4407"/>
      <c r="BA31" s="4442">
        <f t="shared" si="200"/>
        <v>0</v>
      </c>
      <c r="BB31" s="4442">
        <f t="shared" si="201"/>
        <v>0</v>
      </c>
      <c r="BC31" s="4442">
        <f t="shared" si="201"/>
        <v>0</v>
      </c>
      <c r="BD31" s="4384">
        <f t="shared" si="174"/>
        <v>0</v>
      </c>
      <c r="BE31" s="4384">
        <f t="shared" si="175"/>
        <v>0</v>
      </c>
      <c r="BF31" s="4384">
        <f t="shared" si="176"/>
        <v>0</v>
      </c>
      <c r="BG31" s="4443">
        <f t="shared" si="177"/>
        <v>0</v>
      </c>
      <c r="BH31" s="4443">
        <f t="shared" si="177"/>
        <v>0</v>
      </c>
      <c r="BI31" s="4443">
        <f t="shared" si="177"/>
        <v>0</v>
      </c>
      <c r="BJ31" s="4443">
        <f t="shared" si="80"/>
        <v>0</v>
      </c>
      <c r="BK31" s="4443">
        <f t="shared" si="80"/>
        <v>0</v>
      </c>
      <c r="BL31" s="4443">
        <f t="shared" si="80"/>
        <v>0</v>
      </c>
      <c r="BM31" s="4385">
        <f t="shared" si="202"/>
        <v>0</v>
      </c>
      <c r="BN31" s="4385">
        <f t="shared" si="203"/>
        <v>0</v>
      </c>
      <c r="BO31" s="4385">
        <f t="shared" si="204"/>
        <v>0</v>
      </c>
      <c r="BP31" s="4442">
        <f t="shared" si="181"/>
        <v>0</v>
      </c>
      <c r="BQ31" s="4407"/>
      <c r="BR31" s="4407"/>
      <c r="BS31" s="4442">
        <f t="shared" si="183"/>
        <v>0</v>
      </c>
      <c r="BT31" s="4407"/>
      <c r="BU31" s="4407"/>
      <c r="BV31" s="4442">
        <f t="shared" si="185"/>
        <v>0</v>
      </c>
      <c r="BW31" s="4407"/>
      <c r="BX31" s="4407"/>
      <c r="BY31" s="4442">
        <f t="shared" si="205"/>
        <v>0</v>
      </c>
      <c r="BZ31" s="4442">
        <f t="shared" si="206"/>
        <v>0</v>
      </c>
      <c r="CA31" s="4442">
        <f t="shared" si="206"/>
        <v>0</v>
      </c>
      <c r="CB31" s="4384">
        <f t="shared" si="112"/>
        <v>0</v>
      </c>
      <c r="CC31" s="4446">
        <v>0</v>
      </c>
      <c r="CD31" s="4446">
        <v>0</v>
      </c>
      <c r="CE31" s="4443">
        <f t="shared" si="189"/>
        <v>0</v>
      </c>
      <c r="CF31" s="4443">
        <f t="shared" si="190"/>
        <v>0</v>
      </c>
      <c r="CG31" s="4443">
        <f t="shared" si="190"/>
        <v>0</v>
      </c>
      <c r="CH31" s="4443">
        <f t="shared" si="88"/>
        <v>0</v>
      </c>
      <c r="CI31" s="4443">
        <f t="shared" si="88"/>
        <v>0</v>
      </c>
      <c r="CJ31" s="4443">
        <f t="shared" si="88"/>
        <v>0</v>
      </c>
      <c r="CK31" s="2774"/>
      <c r="CL31" s="3576">
        <f t="shared" si="89"/>
        <v>0</v>
      </c>
      <c r="CM31" s="2860"/>
    </row>
    <row r="32" spans="1:91" ht="18.75" customHeight="1" x14ac:dyDescent="0.3">
      <c r="A32" s="4445" t="s">
        <v>52</v>
      </c>
      <c r="B32" s="4385">
        <f t="shared" si="191"/>
        <v>28.681249999999999</v>
      </c>
      <c r="C32" s="4385">
        <f t="shared" si="192"/>
        <v>28.681249999999999</v>
      </c>
      <c r="D32" s="4385">
        <f t="shared" si="192"/>
        <v>0</v>
      </c>
      <c r="E32" s="4442">
        <f t="shared" si="93"/>
        <v>6.68</v>
      </c>
      <c r="F32" s="4407">
        <v>6.68</v>
      </c>
      <c r="G32" s="4407"/>
      <c r="H32" s="4442">
        <f t="shared" si="143"/>
        <v>7.2</v>
      </c>
      <c r="I32" s="4407">
        <v>7.2</v>
      </c>
      <c r="J32" s="4407"/>
      <c r="K32" s="4442">
        <f t="shared" si="145"/>
        <v>6.7880000000000003</v>
      </c>
      <c r="L32" s="4407">
        <v>6.7880000000000003</v>
      </c>
      <c r="M32" s="4407"/>
      <c r="N32" s="4442">
        <f t="shared" si="193"/>
        <v>20.667999999999999</v>
      </c>
      <c r="O32" s="4442">
        <f t="shared" si="194"/>
        <v>20.667999999999999</v>
      </c>
      <c r="P32" s="4442">
        <f t="shared" si="194"/>
        <v>0</v>
      </c>
      <c r="Q32" s="4385">
        <f t="shared" si="149"/>
        <v>28.681249999999999</v>
      </c>
      <c r="R32" s="4385">
        <f t="shared" si="195"/>
        <v>28.681249999999999</v>
      </c>
      <c r="S32" s="4385">
        <f t="shared" si="195"/>
        <v>0</v>
      </c>
      <c r="T32" s="4442">
        <f t="shared" si="151"/>
        <v>6.8390000000000004</v>
      </c>
      <c r="U32" s="4407">
        <v>6.8390000000000004</v>
      </c>
      <c r="V32" s="4407"/>
      <c r="W32" s="4442">
        <f t="shared" si="153"/>
        <v>7.0750000000000002</v>
      </c>
      <c r="X32" s="4407">
        <v>7.0750000000000002</v>
      </c>
      <c r="Y32" s="4407"/>
      <c r="Z32" s="4442">
        <f t="shared" si="155"/>
        <v>7.1890000000000001</v>
      </c>
      <c r="AA32" s="4407">
        <v>7.1890000000000001</v>
      </c>
      <c r="AB32" s="4407"/>
      <c r="AC32" s="4442">
        <f t="shared" si="117"/>
        <v>21.103000000000002</v>
      </c>
      <c r="AD32" s="4442">
        <f t="shared" si="196"/>
        <v>21.103000000000002</v>
      </c>
      <c r="AE32" s="4442">
        <f t="shared" si="196"/>
        <v>0</v>
      </c>
      <c r="AF32" s="4384">
        <f t="shared" si="159"/>
        <v>57.362499999999997</v>
      </c>
      <c r="AG32" s="4384">
        <f t="shared" si="160"/>
        <v>57.362499999999997</v>
      </c>
      <c r="AH32" s="4384">
        <f t="shared" si="161"/>
        <v>0</v>
      </c>
      <c r="AI32" s="4443">
        <f t="shared" si="162"/>
        <v>41.771000000000001</v>
      </c>
      <c r="AJ32" s="4443">
        <f t="shared" si="162"/>
        <v>41.771000000000001</v>
      </c>
      <c r="AK32" s="4443">
        <f t="shared" si="162"/>
        <v>0</v>
      </c>
      <c r="AL32" s="4443">
        <f t="shared" si="69"/>
        <v>-15.591499999999996</v>
      </c>
      <c r="AM32" s="4443">
        <f t="shared" si="69"/>
        <v>-15.591499999999996</v>
      </c>
      <c r="AN32" s="4443">
        <f t="shared" si="69"/>
        <v>0</v>
      </c>
      <c r="AO32" s="4385">
        <f t="shared" si="197"/>
        <v>28.681249999999999</v>
      </c>
      <c r="AP32" s="4385">
        <f t="shared" si="198"/>
        <v>28.681249999999999</v>
      </c>
      <c r="AQ32" s="4385">
        <f t="shared" si="199"/>
        <v>0</v>
      </c>
      <c r="AR32" s="4442">
        <f t="shared" si="166"/>
        <v>6.7</v>
      </c>
      <c r="AS32" s="4407">
        <v>6.7</v>
      </c>
      <c r="AT32" s="4407"/>
      <c r="AU32" s="4442">
        <f t="shared" si="168"/>
        <v>0</v>
      </c>
      <c r="AV32" s="4407"/>
      <c r="AW32" s="4407"/>
      <c r="AX32" s="4442">
        <f t="shared" si="170"/>
        <v>0</v>
      </c>
      <c r="AY32" s="4407"/>
      <c r="AZ32" s="4407"/>
      <c r="BA32" s="4442">
        <f t="shared" si="200"/>
        <v>6.7</v>
      </c>
      <c r="BB32" s="4442">
        <f t="shared" si="201"/>
        <v>6.7</v>
      </c>
      <c r="BC32" s="4442">
        <f t="shared" si="201"/>
        <v>0</v>
      </c>
      <c r="BD32" s="4384">
        <f t="shared" si="174"/>
        <v>86.043749999999989</v>
      </c>
      <c r="BE32" s="4384">
        <f t="shared" si="175"/>
        <v>86.043749999999989</v>
      </c>
      <c r="BF32" s="4384">
        <f t="shared" si="176"/>
        <v>0</v>
      </c>
      <c r="BG32" s="4443">
        <f t="shared" si="177"/>
        <v>48.471000000000004</v>
      </c>
      <c r="BH32" s="4443">
        <f t="shared" si="177"/>
        <v>48.471000000000004</v>
      </c>
      <c r="BI32" s="4443">
        <f t="shared" si="177"/>
        <v>0</v>
      </c>
      <c r="BJ32" s="4443">
        <f t="shared" si="80"/>
        <v>-37.572749999999985</v>
      </c>
      <c r="BK32" s="4443">
        <f t="shared" si="80"/>
        <v>-37.572749999999985</v>
      </c>
      <c r="BL32" s="4443">
        <f t="shared" si="80"/>
        <v>0</v>
      </c>
      <c r="BM32" s="4385">
        <f t="shared" si="202"/>
        <v>28.681249999999999</v>
      </c>
      <c r="BN32" s="4385">
        <f t="shared" si="203"/>
        <v>28.681249999999999</v>
      </c>
      <c r="BO32" s="4385">
        <f t="shared" si="204"/>
        <v>0</v>
      </c>
      <c r="BP32" s="4442">
        <f t="shared" si="181"/>
        <v>0</v>
      </c>
      <c r="BQ32" s="4407"/>
      <c r="BR32" s="4407"/>
      <c r="BS32" s="4442">
        <f t="shared" si="183"/>
        <v>0</v>
      </c>
      <c r="BT32" s="4407"/>
      <c r="BU32" s="4407"/>
      <c r="BV32" s="4442">
        <f t="shared" si="185"/>
        <v>0</v>
      </c>
      <c r="BW32" s="4407"/>
      <c r="BX32" s="4407"/>
      <c r="BY32" s="4442">
        <f t="shared" si="205"/>
        <v>0</v>
      </c>
      <c r="BZ32" s="4442">
        <f t="shared" si="206"/>
        <v>0</v>
      </c>
      <c r="CA32" s="4442">
        <f t="shared" si="206"/>
        <v>0</v>
      </c>
      <c r="CB32" s="4384">
        <f t="shared" si="112"/>
        <v>114.72499999999999</v>
      </c>
      <c r="CC32" s="4446">
        <v>114.72499999999999</v>
      </c>
      <c r="CD32" s="4446">
        <v>0</v>
      </c>
      <c r="CE32" s="4443">
        <f t="shared" si="189"/>
        <v>48.471000000000004</v>
      </c>
      <c r="CF32" s="4443">
        <f t="shared" si="190"/>
        <v>48.471000000000004</v>
      </c>
      <c r="CG32" s="4443">
        <f t="shared" si="190"/>
        <v>0</v>
      </c>
      <c r="CH32" s="4443">
        <f t="shared" si="88"/>
        <v>-66.253999999999991</v>
      </c>
      <c r="CI32" s="4443">
        <f t="shared" si="88"/>
        <v>-66.253999999999991</v>
      </c>
      <c r="CJ32" s="4443">
        <f t="shared" si="88"/>
        <v>0</v>
      </c>
      <c r="CK32" s="2774"/>
      <c r="CL32" s="3576">
        <f t="shared" si="89"/>
        <v>114.72499999999999</v>
      </c>
      <c r="CM32" s="2860"/>
    </row>
    <row r="33" spans="1:92" ht="18.75" customHeight="1" x14ac:dyDescent="0.3">
      <c r="A33" s="4445" t="s">
        <v>588</v>
      </c>
      <c r="B33" s="4385">
        <f t="shared" si="191"/>
        <v>59.374250000000004</v>
      </c>
      <c r="C33" s="4385">
        <f t="shared" si="192"/>
        <v>59.374250000000004</v>
      </c>
      <c r="D33" s="4385">
        <f t="shared" si="192"/>
        <v>0</v>
      </c>
      <c r="E33" s="4442">
        <f t="shared" si="93"/>
        <v>0.433</v>
      </c>
      <c r="F33" s="4407">
        <v>0.433</v>
      </c>
      <c r="G33" s="4407"/>
      <c r="H33" s="4442">
        <f t="shared" si="143"/>
        <v>0.46</v>
      </c>
      <c r="I33" s="4407">
        <v>0.46</v>
      </c>
      <c r="J33" s="4407"/>
      <c r="K33" s="4442">
        <f t="shared" si="145"/>
        <v>0.55600000000000005</v>
      </c>
      <c r="L33" s="4407">
        <v>0.55600000000000005</v>
      </c>
      <c r="M33" s="4407"/>
      <c r="N33" s="4442">
        <f t="shared" si="193"/>
        <v>1.4490000000000001</v>
      </c>
      <c r="O33" s="4442">
        <f t="shared" si="194"/>
        <v>1.4490000000000001</v>
      </c>
      <c r="P33" s="4442">
        <f t="shared" si="194"/>
        <v>0</v>
      </c>
      <c r="Q33" s="4385">
        <f t="shared" si="149"/>
        <v>59.374250000000004</v>
      </c>
      <c r="R33" s="4385">
        <f t="shared" si="195"/>
        <v>59.374250000000004</v>
      </c>
      <c r="S33" s="4385">
        <f t="shared" si="195"/>
        <v>0</v>
      </c>
      <c r="T33" s="4442">
        <f t="shared" si="151"/>
        <v>0.54500000000000004</v>
      </c>
      <c r="U33" s="4407">
        <v>0.54500000000000004</v>
      </c>
      <c r="V33" s="4407"/>
      <c r="W33" s="4442">
        <f t="shared" si="153"/>
        <v>11.997</v>
      </c>
      <c r="X33" s="4407">
        <v>11.997</v>
      </c>
      <c r="Y33" s="4407"/>
      <c r="Z33" s="4442">
        <f>SUM(AA33:AB33)</f>
        <v>0.79400000000000004</v>
      </c>
      <c r="AA33" s="4407">
        <v>0.79400000000000004</v>
      </c>
      <c r="AB33" s="4407"/>
      <c r="AC33" s="4442">
        <f t="shared" si="117"/>
        <v>13.336</v>
      </c>
      <c r="AD33" s="4442">
        <f>SUM(U33+X33+AA33)</f>
        <v>13.336</v>
      </c>
      <c r="AE33" s="4442">
        <f t="shared" si="196"/>
        <v>0</v>
      </c>
      <c r="AF33" s="4384">
        <f t="shared" si="159"/>
        <v>118.74850000000001</v>
      </c>
      <c r="AG33" s="4384">
        <f t="shared" si="160"/>
        <v>118.74850000000001</v>
      </c>
      <c r="AH33" s="4384">
        <f t="shared" si="161"/>
        <v>0</v>
      </c>
      <c r="AI33" s="4443">
        <f t="shared" si="162"/>
        <v>14.785</v>
      </c>
      <c r="AJ33" s="4443">
        <f t="shared" si="162"/>
        <v>14.785</v>
      </c>
      <c r="AK33" s="4443">
        <f t="shared" si="162"/>
        <v>0</v>
      </c>
      <c r="AL33" s="4443">
        <f t="shared" si="69"/>
        <v>-103.96350000000001</v>
      </c>
      <c r="AM33" s="4443">
        <f t="shared" si="69"/>
        <v>-103.96350000000001</v>
      </c>
      <c r="AN33" s="4443">
        <f t="shared" si="69"/>
        <v>0</v>
      </c>
      <c r="AO33" s="4385">
        <f t="shared" si="197"/>
        <v>59.374250000000004</v>
      </c>
      <c r="AP33" s="4385">
        <f t="shared" si="198"/>
        <v>59.374250000000004</v>
      </c>
      <c r="AQ33" s="4385">
        <f t="shared" si="199"/>
        <v>0</v>
      </c>
      <c r="AR33" s="4442">
        <f t="shared" si="166"/>
        <v>0.45100000000000001</v>
      </c>
      <c r="AS33" s="4407">
        <v>0.45100000000000001</v>
      </c>
      <c r="AT33" s="4407"/>
      <c r="AU33" s="4442">
        <f t="shared" si="168"/>
        <v>0</v>
      </c>
      <c r="AV33" s="4407"/>
      <c r="AW33" s="4407"/>
      <c r="AX33" s="4442">
        <f t="shared" si="170"/>
        <v>0</v>
      </c>
      <c r="AY33" s="4407"/>
      <c r="AZ33" s="4407"/>
      <c r="BA33" s="4442">
        <f t="shared" si="200"/>
        <v>0.45100000000000001</v>
      </c>
      <c r="BB33" s="4442">
        <f t="shared" si="201"/>
        <v>0.45100000000000001</v>
      </c>
      <c r="BC33" s="4442">
        <f t="shared" si="201"/>
        <v>0</v>
      </c>
      <c r="BD33" s="4384">
        <f t="shared" si="174"/>
        <v>178.12275</v>
      </c>
      <c r="BE33" s="4384">
        <f t="shared" si="175"/>
        <v>178.12275</v>
      </c>
      <c r="BF33" s="4384">
        <f t="shared" si="176"/>
        <v>0</v>
      </c>
      <c r="BG33" s="4443">
        <f t="shared" si="177"/>
        <v>15.236000000000001</v>
      </c>
      <c r="BH33" s="4443">
        <f t="shared" si="177"/>
        <v>15.236000000000001</v>
      </c>
      <c r="BI33" s="4443">
        <f t="shared" si="177"/>
        <v>0</v>
      </c>
      <c r="BJ33" s="4443">
        <f t="shared" si="80"/>
        <v>-162.88675000000001</v>
      </c>
      <c r="BK33" s="4443">
        <f t="shared" si="80"/>
        <v>-162.88675000000001</v>
      </c>
      <c r="BL33" s="4443">
        <f t="shared" si="80"/>
        <v>0</v>
      </c>
      <c r="BM33" s="4385">
        <f t="shared" si="202"/>
        <v>59.374250000000004</v>
      </c>
      <c r="BN33" s="4385">
        <f t="shared" si="203"/>
        <v>59.374250000000004</v>
      </c>
      <c r="BO33" s="4385">
        <f t="shared" si="204"/>
        <v>0</v>
      </c>
      <c r="BP33" s="4442">
        <f t="shared" si="181"/>
        <v>0</v>
      </c>
      <c r="BQ33" s="4407"/>
      <c r="BR33" s="4407"/>
      <c r="BS33" s="4442">
        <f t="shared" si="183"/>
        <v>0</v>
      </c>
      <c r="BT33" s="4407"/>
      <c r="BU33" s="4407"/>
      <c r="BV33" s="4442">
        <f t="shared" si="185"/>
        <v>0</v>
      </c>
      <c r="BW33" s="4407"/>
      <c r="BX33" s="4407"/>
      <c r="BY33" s="4442">
        <f t="shared" si="205"/>
        <v>0</v>
      </c>
      <c r="BZ33" s="4442">
        <f t="shared" si="206"/>
        <v>0</v>
      </c>
      <c r="CA33" s="4442">
        <f t="shared" si="206"/>
        <v>0</v>
      </c>
      <c r="CB33" s="4384">
        <f t="shared" si="112"/>
        <v>237.49700000000001</v>
      </c>
      <c r="CC33" s="4446">
        <v>237.49700000000001</v>
      </c>
      <c r="CD33" s="4446">
        <v>0</v>
      </c>
      <c r="CE33" s="4443">
        <f t="shared" si="189"/>
        <v>15.236000000000001</v>
      </c>
      <c r="CF33" s="4443">
        <f t="shared" si="190"/>
        <v>15.236000000000001</v>
      </c>
      <c r="CG33" s="4443">
        <f t="shared" si="190"/>
        <v>0</v>
      </c>
      <c r="CH33" s="4443">
        <f t="shared" si="88"/>
        <v>-222.26100000000002</v>
      </c>
      <c r="CI33" s="4443">
        <f t="shared" si="88"/>
        <v>-222.26100000000002</v>
      </c>
      <c r="CJ33" s="4443">
        <f t="shared" si="88"/>
        <v>0</v>
      </c>
      <c r="CK33" s="2774"/>
      <c r="CL33" s="3576">
        <f t="shared" si="89"/>
        <v>237.49700000000001</v>
      </c>
      <c r="CM33" s="2860"/>
    </row>
    <row r="34" spans="1:92" ht="18.75" customHeight="1" x14ac:dyDescent="0.3">
      <c r="A34" s="4445" t="s">
        <v>3759</v>
      </c>
      <c r="B34" s="4385">
        <f t="shared" si="191"/>
        <v>51.982349999999997</v>
      </c>
      <c r="C34" s="4385">
        <f t="shared" si="192"/>
        <v>51.982349999999997</v>
      </c>
      <c r="D34" s="4385">
        <f t="shared" si="192"/>
        <v>0</v>
      </c>
      <c r="E34" s="4442">
        <f t="shared" si="93"/>
        <v>36.584000000000003</v>
      </c>
      <c r="F34" s="4407">
        <v>36.584000000000003</v>
      </c>
      <c r="G34" s="4407"/>
      <c r="H34" s="4442">
        <f t="shared" si="143"/>
        <v>19.655999999999999</v>
      </c>
      <c r="I34" s="4407">
        <v>19.655999999999999</v>
      </c>
      <c r="J34" s="4407"/>
      <c r="K34" s="4442">
        <f t="shared" si="145"/>
        <v>19</v>
      </c>
      <c r="L34" s="4407">
        <v>19</v>
      </c>
      <c r="M34" s="4407"/>
      <c r="N34" s="4442">
        <f t="shared" si="193"/>
        <v>75.240000000000009</v>
      </c>
      <c r="O34" s="4442">
        <f t="shared" si="194"/>
        <v>75.240000000000009</v>
      </c>
      <c r="P34" s="4442">
        <f t="shared" si="194"/>
        <v>0</v>
      </c>
      <c r="Q34" s="4385">
        <f t="shared" si="149"/>
        <v>51.982349999999997</v>
      </c>
      <c r="R34" s="4385">
        <f t="shared" si="195"/>
        <v>51.982349999999997</v>
      </c>
      <c r="S34" s="4385">
        <f t="shared" si="195"/>
        <v>0</v>
      </c>
      <c r="T34" s="4442">
        <f t="shared" si="151"/>
        <v>19.026</v>
      </c>
      <c r="U34" s="4407">
        <v>19.026</v>
      </c>
      <c r="V34" s="4407"/>
      <c r="W34" s="4442">
        <f t="shared" si="153"/>
        <v>18.477</v>
      </c>
      <c r="X34" s="4407">
        <v>18.477</v>
      </c>
      <c r="Y34" s="4407"/>
      <c r="Z34" s="4442">
        <f t="shared" si="155"/>
        <v>17.837</v>
      </c>
      <c r="AA34" s="4407">
        <v>17.837</v>
      </c>
      <c r="AB34" s="4407"/>
      <c r="AC34" s="4442">
        <f t="shared" si="117"/>
        <v>55.34</v>
      </c>
      <c r="AD34" s="4442">
        <f t="shared" si="196"/>
        <v>55.34</v>
      </c>
      <c r="AE34" s="4442">
        <f t="shared" si="196"/>
        <v>0</v>
      </c>
      <c r="AF34" s="4384">
        <f t="shared" si="159"/>
        <v>103.96469999999999</v>
      </c>
      <c r="AG34" s="4384">
        <f t="shared" si="160"/>
        <v>103.96469999999999</v>
      </c>
      <c r="AH34" s="4384">
        <f t="shared" si="161"/>
        <v>0</v>
      </c>
      <c r="AI34" s="4443">
        <f t="shared" si="162"/>
        <v>130.58000000000001</v>
      </c>
      <c r="AJ34" s="4443">
        <f t="shared" si="162"/>
        <v>130.58000000000001</v>
      </c>
      <c r="AK34" s="4443">
        <f t="shared" si="162"/>
        <v>0</v>
      </c>
      <c r="AL34" s="4443">
        <f t="shared" si="69"/>
        <v>26.615300000000019</v>
      </c>
      <c r="AM34" s="4443">
        <f t="shared" si="69"/>
        <v>26.615300000000019</v>
      </c>
      <c r="AN34" s="4443">
        <f t="shared" si="69"/>
        <v>0</v>
      </c>
      <c r="AO34" s="4385">
        <f t="shared" si="197"/>
        <v>51.982349999999997</v>
      </c>
      <c r="AP34" s="4385">
        <f t="shared" si="198"/>
        <v>51.982349999999997</v>
      </c>
      <c r="AQ34" s="4385">
        <f t="shared" si="199"/>
        <v>0</v>
      </c>
      <c r="AR34" s="4442">
        <f t="shared" si="166"/>
        <v>14.409000000000001</v>
      </c>
      <c r="AS34" s="4407">
        <v>14.409000000000001</v>
      </c>
      <c r="AT34" s="4407"/>
      <c r="AU34" s="4442">
        <f t="shared" si="168"/>
        <v>0</v>
      </c>
      <c r="AV34" s="4407"/>
      <c r="AW34" s="4407"/>
      <c r="AX34" s="4442">
        <f t="shared" si="170"/>
        <v>0</v>
      </c>
      <c r="AY34" s="4407"/>
      <c r="AZ34" s="4407"/>
      <c r="BA34" s="4442">
        <f t="shared" si="200"/>
        <v>14.409000000000001</v>
      </c>
      <c r="BB34" s="4442">
        <f t="shared" si="201"/>
        <v>14.409000000000001</v>
      </c>
      <c r="BC34" s="4442">
        <f t="shared" si="201"/>
        <v>0</v>
      </c>
      <c r="BD34" s="4384">
        <f t="shared" si="174"/>
        <v>155.94704999999999</v>
      </c>
      <c r="BE34" s="4384">
        <f t="shared" si="175"/>
        <v>155.94704999999999</v>
      </c>
      <c r="BF34" s="4384">
        <f t="shared" si="176"/>
        <v>0</v>
      </c>
      <c r="BG34" s="4443">
        <f t="shared" si="177"/>
        <v>144.989</v>
      </c>
      <c r="BH34" s="4443">
        <f t="shared" si="177"/>
        <v>144.989</v>
      </c>
      <c r="BI34" s="4443">
        <f t="shared" si="177"/>
        <v>0</v>
      </c>
      <c r="BJ34" s="4443">
        <f t="shared" si="80"/>
        <v>-10.958049999999986</v>
      </c>
      <c r="BK34" s="4443">
        <f t="shared" si="80"/>
        <v>-10.958049999999986</v>
      </c>
      <c r="BL34" s="4443">
        <f t="shared" si="80"/>
        <v>0</v>
      </c>
      <c r="BM34" s="4385">
        <f t="shared" si="202"/>
        <v>51.982349999999997</v>
      </c>
      <c r="BN34" s="4385">
        <f t="shared" si="203"/>
        <v>51.982349999999997</v>
      </c>
      <c r="BO34" s="4385">
        <f t="shared" si="204"/>
        <v>0</v>
      </c>
      <c r="BP34" s="4442">
        <f t="shared" si="181"/>
        <v>0</v>
      </c>
      <c r="BQ34" s="4407"/>
      <c r="BR34" s="4407"/>
      <c r="BS34" s="4442">
        <f t="shared" si="183"/>
        <v>0</v>
      </c>
      <c r="BT34" s="4407"/>
      <c r="BU34" s="4407"/>
      <c r="BV34" s="4442">
        <f t="shared" si="185"/>
        <v>0</v>
      </c>
      <c r="BW34" s="4407"/>
      <c r="BX34" s="4407"/>
      <c r="BY34" s="4442">
        <f t="shared" si="205"/>
        <v>0</v>
      </c>
      <c r="BZ34" s="4442">
        <f t="shared" si="206"/>
        <v>0</v>
      </c>
      <c r="CA34" s="4442">
        <f t="shared" si="206"/>
        <v>0</v>
      </c>
      <c r="CB34" s="4384">
        <f t="shared" si="112"/>
        <v>207.92939999999999</v>
      </c>
      <c r="CC34" s="4446">
        <f>SUM('Транспортировка КЭМЗ'!U12)</f>
        <v>207.92939999999999</v>
      </c>
      <c r="CD34" s="4446">
        <v>0</v>
      </c>
      <c r="CE34" s="4443">
        <f t="shared" si="189"/>
        <v>144.989</v>
      </c>
      <c r="CF34" s="4443">
        <f t="shared" si="190"/>
        <v>144.989</v>
      </c>
      <c r="CG34" s="4443">
        <f t="shared" si="190"/>
        <v>0</v>
      </c>
      <c r="CH34" s="4443">
        <f t="shared" si="88"/>
        <v>-62.940399999999983</v>
      </c>
      <c r="CI34" s="4443">
        <f t="shared" si="88"/>
        <v>-62.940399999999983</v>
      </c>
      <c r="CJ34" s="4443">
        <f t="shared" si="88"/>
        <v>0</v>
      </c>
      <c r="CK34" s="2774"/>
      <c r="CL34" s="3576">
        <f t="shared" si="89"/>
        <v>207.92939999999999</v>
      </c>
      <c r="CM34" s="2860"/>
    </row>
    <row r="35" spans="1:92" ht="18.75" customHeight="1" x14ac:dyDescent="0.3">
      <c r="A35" s="4445" t="s">
        <v>589</v>
      </c>
      <c r="B35" s="4447">
        <f>SUM(C35:D35)</f>
        <v>19.32167175</v>
      </c>
      <c r="C35" s="4447">
        <f t="shared" ref="C35:D35" si="207">SUM(C36:C37)</f>
        <v>19.32167175</v>
      </c>
      <c r="D35" s="4447">
        <f t="shared" si="207"/>
        <v>0</v>
      </c>
      <c r="E35" s="4442">
        <f>SUM(E36:E37)</f>
        <v>0.27300000000000002</v>
      </c>
      <c r="F35" s="4442">
        <f t="shared" ref="F35:G35" si="208">SUM(F36:F37)</f>
        <v>0.27300000000000002</v>
      </c>
      <c r="G35" s="4442">
        <f t="shared" si="208"/>
        <v>0</v>
      </c>
      <c r="H35" s="4442">
        <f>SUM(H36:H37)</f>
        <v>2.7920000000000003</v>
      </c>
      <c r="I35" s="4442">
        <f t="shared" ref="I35:J35" si="209">SUM(I36:I37)</f>
        <v>2.7920000000000003</v>
      </c>
      <c r="J35" s="4442">
        <f t="shared" si="209"/>
        <v>0</v>
      </c>
      <c r="K35" s="4442">
        <f>SUM(K36:K37)</f>
        <v>1.429</v>
      </c>
      <c r="L35" s="4442">
        <f t="shared" ref="L35:M35" si="210">SUM(L36:L37)</f>
        <v>1.429</v>
      </c>
      <c r="M35" s="4442">
        <f t="shared" si="210"/>
        <v>0</v>
      </c>
      <c r="N35" s="4442">
        <f t="shared" si="193"/>
        <v>4.4940000000000007</v>
      </c>
      <c r="O35" s="4442">
        <f t="shared" si="194"/>
        <v>4.4940000000000007</v>
      </c>
      <c r="P35" s="4442">
        <f t="shared" si="194"/>
        <v>0</v>
      </c>
      <c r="Q35" s="4447">
        <f>SUM(R35:S35)</f>
        <v>19.32167175</v>
      </c>
      <c r="R35" s="4447">
        <f t="shared" ref="R35:S35" si="211">SUM(R36:R37)</f>
        <v>19.32167175</v>
      </c>
      <c r="S35" s="4447">
        <f t="shared" si="211"/>
        <v>0</v>
      </c>
      <c r="T35" s="4442">
        <f>SUM(T36:T37)</f>
        <v>8.0299999999999996E-2</v>
      </c>
      <c r="U35" s="4442">
        <f t="shared" ref="U35:V35" si="212">SUM(U36:U37)</f>
        <v>8.0299999999999996E-2</v>
      </c>
      <c r="V35" s="4442">
        <f t="shared" si="212"/>
        <v>0</v>
      </c>
      <c r="W35" s="4442">
        <f>SUM(W36:W37)</f>
        <v>5.8529999999999998</v>
      </c>
      <c r="X35" s="4442">
        <f>SUM(X36:X37)</f>
        <v>5.8529999999999998</v>
      </c>
      <c r="Y35" s="4442">
        <f t="shared" ref="Y35" si="213">SUM(Y36:Y37)</f>
        <v>0</v>
      </c>
      <c r="Z35" s="4442">
        <f>SUM(Z36:Z37)</f>
        <v>0.26300000000000001</v>
      </c>
      <c r="AA35" s="4442">
        <f t="shared" ref="AA35:AB35" si="214">SUM(AA36:AA37)</f>
        <v>0.26300000000000001</v>
      </c>
      <c r="AB35" s="4442">
        <f t="shared" si="214"/>
        <v>0</v>
      </c>
      <c r="AC35" s="4442">
        <f t="shared" si="117"/>
        <v>6.1962999999999999</v>
      </c>
      <c r="AD35" s="4442">
        <f t="shared" si="196"/>
        <v>6.1962999999999999</v>
      </c>
      <c r="AE35" s="4442">
        <f t="shared" si="196"/>
        <v>0</v>
      </c>
      <c r="AF35" s="4384">
        <f t="shared" si="159"/>
        <v>38.6433435</v>
      </c>
      <c r="AG35" s="4384">
        <f t="shared" si="160"/>
        <v>38.6433435</v>
      </c>
      <c r="AH35" s="4384">
        <f t="shared" si="161"/>
        <v>0</v>
      </c>
      <c r="AI35" s="4443">
        <f t="shared" si="162"/>
        <v>10.690300000000001</v>
      </c>
      <c r="AJ35" s="4443">
        <f t="shared" si="162"/>
        <v>10.690300000000001</v>
      </c>
      <c r="AK35" s="4443">
        <f t="shared" si="162"/>
        <v>0</v>
      </c>
      <c r="AL35" s="4443">
        <f t="shared" si="69"/>
        <v>-27.9530435</v>
      </c>
      <c r="AM35" s="4443">
        <f t="shared" si="69"/>
        <v>-27.9530435</v>
      </c>
      <c r="AN35" s="4443">
        <f t="shared" si="69"/>
        <v>0</v>
      </c>
      <c r="AO35" s="4447">
        <f>SUM(AP35:AQ35)</f>
        <v>19.32167175</v>
      </c>
      <c r="AP35" s="4447">
        <f t="shared" ref="AP35:AQ35" si="215">SUM(AP36:AP37)</f>
        <v>19.32167175</v>
      </c>
      <c r="AQ35" s="4447">
        <f t="shared" si="215"/>
        <v>0</v>
      </c>
      <c r="AR35" s="4442">
        <f>SUM(AR36:AR37)</f>
        <v>4.83</v>
      </c>
      <c r="AS35" s="4442">
        <f t="shared" ref="AS35:AT35" si="216">SUM(AS36:AS37)</f>
        <v>4.83</v>
      </c>
      <c r="AT35" s="4442">
        <f t="shared" si="216"/>
        <v>0</v>
      </c>
      <c r="AU35" s="4442">
        <f>SUM(AU36:AU37)</f>
        <v>0</v>
      </c>
      <c r="AV35" s="4442">
        <f t="shared" ref="AV35:AW35" si="217">SUM(AV36:AV37)</f>
        <v>0</v>
      </c>
      <c r="AW35" s="4442">
        <f t="shared" si="217"/>
        <v>0</v>
      </c>
      <c r="AX35" s="4442">
        <f>SUM(AX36:AX37)</f>
        <v>0</v>
      </c>
      <c r="AY35" s="4442">
        <f t="shared" ref="AY35:AZ35" si="218">SUM(AY36:AY37)</f>
        <v>0</v>
      </c>
      <c r="AZ35" s="4442">
        <f t="shared" si="218"/>
        <v>0</v>
      </c>
      <c r="BA35" s="4442">
        <f t="shared" si="200"/>
        <v>4.83</v>
      </c>
      <c r="BB35" s="4442">
        <f t="shared" si="201"/>
        <v>4.83</v>
      </c>
      <c r="BC35" s="4442">
        <f t="shared" si="201"/>
        <v>0</v>
      </c>
      <c r="BD35" s="4384">
        <f t="shared" si="174"/>
        <v>57.96501525</v>
      </c>
      <c r="BE35" s="4384">
        <f t="shared" si="175"/>
        <v>57.96501525</v>
      </c>
      <c r="BF35" s="4384">
        <f t="shared" si="176"/>
        <v>0</v>
      </c>
      <c r="BG35" s="4443">
        <f t="shared" si="177"/>
        <v>15.520300000000001</v>
      </c>
      <c r="BH35" s="4443">
        <f t="shared" si="177"/>
        <v>15.520300000000001</v>
      </c>
      <c r="BI35" s="4443">
        <f t="shared" si="177"/>
        <v>0</v>
      </c>
      <c r="BJ35" s="4443">
        <f t="shared" si="80"/>
        <v>-42.444715250000002</v>
      </c>
      <c r="BK35" s="4443">
        <f t="shared" si="80"/>
        <v>-42.444715250000002</v>
      </c>
      <c r="BL35" s="4443">
        <f t="shared" si="80"/>
        <v>0</v>
      </c>
      <c r="BM35" s="4447">
        <f>SUM(BN35:BO35)</f>
        <v>19.32167175</v>
      </c>
      <c r="BN35" s="4447">
        <f t="shared" ref="BN35:BO35" si="219">SUM(BN36:BN37)</f>
        <v>19.32167175</v>
      </c>
      <c r="BO35" s="4447">
        <f t="shared" si="219"/>
        <v>0</v>
      </c>
      <c r="BP35" s="4442">
        <f>SUM(BP36:BP37)</f>
        <v>0</v>
      </c>
      <c r="BQ35" s="4442">
        <f t="shared" ref="BQ35:BR35" si="220">SUM(BQ36:BQ37)</f>
        <v>0</v>
      </c>
      <c r="BR35" s="4442">
        <f t="shared" si="220"/>
        <v>0</v>
      </c>
      <c r="BS35" s="4442">
        <f>SUM(BS36:BS37)</f>
        <v>0</v>
      </c>
      <c r="BT35" s="4442">
        <f t="shared" ref="BT35:BU35" si="221">SUM(BT36:BT37)</f>
        <v>0</v>
      </c>
      <c r="BU35" s="4442">
        <f t="shared" si="221"/>
        <v>0</v>
      </c>
      <c r="BV35" s="4442">
        <f>SUM(BV36:BV37)</f>
        <v>0</v>
      </c>
      <c r="BW35" s="4442">
        <f t="shared" ref="BW35:BX35" si="222">SUM(BW36:BW37)</f>
        <v>0</v>
      </c>
      <c r="BX35" s="4442">
        <f t="shared" si="222"/>
        <v>0</v>
      </c>
      <c r="BY35" s="4442">
        <f t="shared" si="205"/>
        <v>0</v>
      </c>
      <c r="BZ35" s="4442">
        <f t="shared" si="206"/>
        <v>0</v>
      </c>
      <c r="CA35" s="4442">
        <f t="shared" si="206"/>
        <v>0</v>
      </c>
      <c r="CB35" s="4384">
        <f t="shared" si="112"/>
        <v>77.286687000000001</v>
      </c>
      <c r="CC35" s="4448">
        <f t="shared" ref="CC35:CD35" si="223">SUM(CC36:CC37)</f>
        <v>77.286687000000001</v>
      </c>
      <c r="CD35" s="4448">
        <f t="shared" si="223"/>
        <v>0</v>
      </c>
      <c r="CE35" s="4443">
        <f t="shared" si="189"/>
        <v>15.520300000000001</v>
      </c>
      <c r="CF35" s="4443">
        <f t="shared" si="190"/>
        <v>15.520300000000001</v>
      </c>
      <c r="CG35" s="4443">
        <f t="shared" si="190"/>
        <v>0</v>
      </c>
      <c r="CH35" s="4443">
        <f t="shared" si="88"/>
        <v>-61.766387000000002</v>
      </c>
      <c r="CI35" s="4443">
        <f t="shared" si="88"/>
        <v>-61.766387000000002</v>
      </c>
      <c r="CJ35" s="4443">
        <f t="shared" si="88"/>
        <v>0</v>
      </c>
      <c r="CK35" s="2774"/>
      <c r="CL35" s="3576">
        <f t="shared" si="89"/>
        <v>77.286687000000001</v>
      </c>
      <c r="CM35" s="2860"/>
    </row>
    <row r="36" spans="1:92" ht="18.75" customHeight="1" x14ac:dyDescent="0.3">
      <c r="A36" s="4412" t="s">
        <v>546</v>
      </c>
      <c r="B36" s="4391">
        <f t="shared" ref="B36:B37" si="224">SUM(C36:D36)</f>
        <v>17.856921750000001</v>
      </c>
      <c r="C36" s="4391">
        <f t="shared" ref="C36:C37" si="225">SUM(CC36/4)</f>
        <v>17.856921750000001</v>
      </c>
      <c r="D36" s="4391">
        <f t="shared" ref="D36:D37" si="226">SUM(CD36/4)</f>
        <v>0</v>
      </c>
      <c r="E36" s="4420">
        <f t="shared" si="93"/>
        <v>0.27300000000000002</v>
      </c>
      <c r="F36" s="4411">
        <v>0.27300000000000002</v>
      </c>
      <c r="G36" s="4411"/>
      <c r="H36" s="4420">
        <f t="shared" ref="H36:H37" si="227">SUM(I36:J36)</f>
        <v>2.7920000000000003</v>
      </c>
      <c r="I36" s="4411">
        <f>0.314+2.478</f>
        <v>2.7920000000000003</v>
      </c>
      <c r="J36" s="4411"/>
      <c r="K36" s="4420">
        <f t="shared" ref="K36:K37" si="228">SUM(L36:M36)</f>
        <v>1.429</v>
      </c>
      <c r="L36" s="4411">
        <v>1.429</v>
      </c>
      <c r="M36" s="4411"/>
      <c r="N36" s="4420">
        <f t="shared" si="193"/>
        <v>4.4940000000000007</v>
      </c>
      <c r="O36" s="4420">
        <f t="shared" si="194"/>
        <v>4.4940000000000007</v>
      </c>
      <c r="P36" s="4420">
        <f t="shared" si="194"/>
        <v>0</v>
      </c>
      <c r="Q36" s="4391">
        <f t="shared" ref="Q36:Q37" si="229">SUM(R36:S36)</f>
        <v>17.856921750000001</v>
      </c>
      <c r="R36" s="4391">
        <f t="shared" ref="R36:R37" si="230">SUM(C36)</f>
        <v>17.856921750000001</v>
      </c>
      <c r="S36" s="4391">
        <f t="shared" ref="S36:S37" si="231">SUM(D36)</f>
        <v>0</v>
      </c>
      <c r="T36" s="4420">
        <f t="shared" ref="T36:T37" si="232">SUM(U36:V36)</f>
        <v>8.0299999999999996E-2</v>
      </c>
      <c r="U36" s="4411">
        <v>8.0299999999999996E-2</v>
      </c>
      <c r="V36" s="4411"/>
      <c r="W36" s="4420">
        <f t="shared" ref="W36:W37" si="233">SUM(X36:Y36)</f>
        <v>5.8529999999999998</v>
      </c>
      <c r="X36" s="4411">
        <v>5.8529999999999998</v>
      </c>
      <c r="Y36" s="4411"/>
      <c r="Z36" s="4420">
        <f t="shared" ref="Z36:Z37" si="234">SUM(AA36:AB36)</f>
        <v>0.26300000000000001</v>
      </c>
      <c r="AA36" s="4411">
        <v>0.26300000000000001</v>
      </c>
      <c r="AB36" s="4411"/>
      <c r="AC36" s="4420">
        <f t="shared" si="117"/>
        <v>6.1962999999999999</v>
      </c>
      <c r="AD36" s="4420">
        <f t="shared" si="196"/>
        <v>6.1962999999999999</v>
      </c>
      <c r="AE36" s="4420">
        <f t="shared" si="196"/>
        <v>0</v>
      </c>
      <c r="AF36" s="4371">
        <f t="shared" si="159"/>
        <v>35.713843500000003</v>
      </c>
      <c r="AG36" s="4371">
        <f t="shared" si="160"/>
        <v>35.713843500000003</v>
      </c>
      <c r="AH36" s="4371">
        <f t="shared" si="161"/>
        <v>0</v>
      </c>
      <c r="AI36" s="4444">
        <f t="shared" si="162"/>
        <v>10.690300000000001</v>
      </c>
      <c r="AJ36" s="4444">
        <f t="shared" si="162"/>
        <v>10.690300000000001</v>
      </c>
      <c r="AK36" s="4444">
        <f t="shared" si="162"/>
        <v>0</v>
      </c>
      <c r="AL36" s="4444">
        <f t="shared" si="69"/>
        <v>-25.023543500000002</v>
      </c>
      <c r="AM36" s="4444">
        <f t="shared" si="69"/>
        <v>-25.023543500000002</v>
      </c>
      <c r="AN36" s="4444">
        <f t="shared" si="69"/>
        <v>0</v>
      </c>
      <c r="AO36" s="4391">
        <f t="shared" ref="AO36:AO37" si="235">SUM(AP36:AQ36)</f>
        <v>17.856921750000001</v>
      </c>
      <c r="AP36" s="4391">
        <f t="shared" ref="AP36:AP37" si="236">SUM(CC36-AG36)/2</f>
        <v>17.856921750000001</v>
      </c>
      <c r="AQ36" s="4391">
        <f t="shared" ref="AQ36:AQ37" si="237">SUM(CD36-AH36)/2</f>
        <v>0</v>
      </c>
      <c r="AR36" s="4420">
        <f t="shared" ref="AR36:AR37" si="238">SUM(AS36:AT36)</f>
        <v>4.83</v>
      </c>
      <c r="AS36" s="4411">
        <v>4.83</v>
      </c>
      <c r="AT36" s="4411"/>
      <c r="AU36" s="4420">
        <f t="shared" ref="AU36:AU37" si="239">SUM(AV36:AW36)</f>
        <v>0</v>
      </c>
      <c r="AV36" s="4411"/>
      <c r="AW36" s="4411"/>
      <c r="AX36" s="4420">
        <f t="shared" ref="AX36:AX37" si="240">SUM(AY36:AZ36)</f>
        <v>0</v>
      </c>
      <c r="AY36" s="4411"/>
      <c r="AZ36" s="4411"/>
      <c r="BA36" s="4420">
        <f t="shared" si="200"/>
        <v>4.83</v>
      </c>
      <c r="BB36" s="4420">
        <f t="shared" si="201"/>
        <v>4.83</v>
      </c>
      <c r="BC36" s="4420">
        <f t="shared" si="201"/>
        <v>0</v>
      </c>
      <c r="BD36" s="4371">
        <f t="shared" si="174"/>
        <v>53.570765250000008</v>
      </c>
      <c r="BE36" s="4371">
        <f t="shared" si="175"/>
        <v>53.570765250000008</v>
      </c>
      <c r="BF36" s="4371">
        <f t="shared" si="176"/>
        <v>0</v>
      </c>
      <c r="BG36" s="4444">
        <f t="shared" si="177"/>
        <v>15.520300000000001</v>
      </c>
      <c r="BH36" s="4444">
        <f t="shared" si="177"/>
        <v>15.520300000000001</v>
      </c>
      <c r="BI36" s="4444">
        <f t="shared" si="177"/>
        <v>0</v>
      </c>
      <c r="BJ36" s="4444">
        <f t="shared" si="80"/>
        <v>-38.050465250000009</v>
      </c>
      <c r="BK36" s="4444">
        <f t="shared" si="80"/>
        <v>-38.050465250000009</v>
      </c>
      <c r="BL36" s="4444">
        <f t="shared" si="80"/>
        <v>0</v>
      </c>
      <c r="BM36" s="4391">
        <f t="shared" ref="BM36:BM37" si="241">SUM(BN36:BO36)</f>
        <v>17.856921750000001</v>
      </c>
      <c r="BN36" s="4391">
        <f t="shared" ref="BN36:BN37" si="242">SUM(AP36)</f>
        <v>17.856921750000001</v>
      </c>
      <c r="BO36" s="4391">
        <f t="shared" ref="BO36:BO37" si="243">SUM(AQ36)</f>
        <v>0</v>
      </c>
      <c r="BP36" s="4420">
        <f t="shared" ref="BP36:BP37" si="244">SUM(BQ36:BR36)</f>
        <v>0</v>
      </c>
      <c r="BQ36" s="4411"/>
      <c r="BR36" s="4411"/>
      <c r="BS36" s="4420">
        <f t="shared" ref="BS36:BS37" si="245">SUM(BT36:BU36)</f>
        <v>0</v>
      </c>
      <c r="BT36" s="4411"/>
      <c r="BU36" s="4411"/>
      <c r="BV36" s="4420">
        <f t="shared" ref="BV36:BV37" si="246">SUM(BW36:BX36)</f>
        <v>0</v>
      </c>
      <c r="BW36" s="4411"/>
      <c r="BX36" s="4411"/>
      <c r="BY36" s="4420">
        <f t="shared" si="205"/>
        <v>0</v>
      </c>
      <c r="BZ36" s="4420">
        <f t="shared" si="206"/>
        <v>0</v>
      </c>
      <c r="CA36" s="4420">
        <f t="shared" si="206"/>
        <v>0</v>
      </c>
      <c r="CB36" s="4371">
        <f t="shared" si="112"/>
        <v>71.427687000000006</v>
      </c>
      <c r="CC36" s="4449">
        <v>71.427687000000006</v>
      </c>
      <c r="CD36" s="4449">
        <v>0</v>
      </c>
      <c r="CE36" s="4444">
        <f t="shared" si="189"/>
        <v>15.520300000000001</v>
      </c>
      <c r="CF36" s="4444">
        <f t="shared" si="190"/>
        <v>15.520300000000001</v>
      </c>
      <c r="CG36" s="4444">
        <f t="shared" si="190"/>
        <v>0</v>
      </c>
      <c r="CH36" s="4444">
        <f t="shared" si="88"/>
        <v>-55.907387000000007</v>
      </c>
      <c r="CI36" s="4444">
        <f t="shared" si="88"/>
        <v>-55.907387000000007</v>
      </c>
      <c r="CJ36" s="4444">
        <f t="shared" si="88"/>
        <v>0</v>
      </c>
      <c r="CK36" s="2774"/>
      <c r="CL36" s="3576">
        <f t="shared" si="89"/>
        <v>71.427687000000006</v>
      </c>
      <c r="CM36" s="2860"/>
    </row>
    <row r="37" spans="1:92" ht="18.75" customHeight="1" x14ac:dyDescent="0.3">
      <c r="A37" s="4412" t="s">
        <v>547</v>
      </c>
      <c r="B37" s="4391">
        <f t="shared" si="224"/>
        <v>1.46475</v>
      </c>
      <c r="C37" s="4391">
        <f t="shared" si="225"/>
        <v>1.46475</v>
      </c>
      <c r="D37" s="4391">
        <f t="shared" si="226"/>
        <v>0</v>
      </c>
      <c r="E37" s="4420">
        <f t="shared" si="93"/>
        <v>0</v>
      </c>
      <c r="F37" s="4411"/>
      <c r="G37" s="4411"/>
      <c r="H37" s="4420">
        <f t="shared" si="227"/>
        <v>0</v>
      </c>
      <c r="I37" s="4411"/>
      <c r="J37" s="4411"/>
      <c r="K37" s="4420">
        <f t="shared" si="228"/>
        <v>0</v>
      </c>
      <c r="L37" s="4411"/>
      <c r="M37" s="4411"/>
      <c r="N37" s="4420">
        <f t="shared" si="193"/>
        <v>0</v>
      </c>
      <c r="O37" s="4420">
        <f t="shared" si="194"/>
        <v>0</v>
      </c>
      <c r="P37" s="4420">
        <f t="shared" si="194"/>
        <v>0</v>
      </c>
      <c r="Q37" s="4391">
        <f t="shared" si="229"/>
        <v>1.46475</v>
      </c>
      <c r="R37" s="4391">
        <f t="shared" si="230"/>
        <v>1.46475</v>
      </c>
      <c r="S37" s="4391">
        <f t="shared" si="231"/>
        <v>0</v>
      </c>
      <c r="T37" s="4420">
        <f t="shared" si="232"/>
        <v>0</v>
      </c>
      <c r="U37" s="4411"/>
      <c r="V37" s="4411"/>
      <c r="W37" s="4420">
        <f t="shared" si="233"/>
        <v>0</v>
      </c>
      <c r="X37" s="4411"/>
      <c r="Y37" s="4411"/>
      <c r="Z37" s="4420">
        <f t="shared" si="234"/>
        <v>0</v>
      </c>
      <c r="AA37" s="4411"/>
      <c r="AB37" s="4411"/>
      <c r="AC37" s="4420">
        <f t="shared" si="117"/>
        <v>0</v>
      </c>
      <c r="AD37" s="4420">
        <f t="shared" si="196"/>
        <v>0</v>
      </c>
      <c r="AE37" s="4420">
        <f t="shared" si="196"/>
        <v>0</v>
      </c>
      <c r="AF37" s="4371">
        <f t="shared" si="159"/>
        <v>2.9295</v>
      </c>
      <c r="AG37" s="4371">
        <f t="shared" si="160"/>
        <v>2.9295</v>
      </c>
      <c r="AH37" s="4371">
        <f t="shared" si="161"/>
        <v>0</v>
      </c>
      <c r="AI37" s="4444">
        <f t="shared" si="162"/>
        <v>0</v>
      </c>
      <c r="AJ37" s="4444">
        <f t="shared" si="162"/>
        <v>0</v>
      </c>
      <c r="AK37" s="4444">
        <f t="shared" si="162"/>
        <v>0</v>
      </c>
      <c r="AL37" s="4444">
        <f t="shared" ref="AL37:AN52" si="247">SUM(AI37-AF37)</f>
        <v>-2.9295</v>
      </c>
      <c r="AM37" s="4444">
        <f t="shared" si="247"/>
        <v>-2.9295</v>
      </c>
      <c r="AN37" s="4444">
        <f t="shared" si="247"/>
        <v>0</v>
      </c>
      <c r="AO37" s="4391">
        <f t="shared" si="235"/>
        <v>1.46475</v>
      </c>
      <c r="AP37" s="4391">
        <f t="shared" si="236"/>
        <v>1.46475</v>
      </c>
      <c r="AQ37" s="4391">
        <f t="shared" si="237"/>
        <v>0</v>
      </c>
      <c r="AR37" s="4420">
        <f t="shared" si="238"/>
        <v>0</v>
      </c>
      <c r="AS37" s="4411"/>
      <c r="AT37" s="4411"/>
      <c r="AU37" s="4420">
        <f t="shared" si="239"/>
        <v>0</v>
      </c>
      <c r="AV37" s="4411"/>
      <c r="AW37" s="4411"/>
      <c r="AX37" s="4420">
        <f t="shared" si="240"/>
        <v>0</v>
      </c>
      <c r="AY37" s="4411"/>
      <c r="AZ37" s="4411"/>
      <c r="BA37" s="4420">
        <f t="shared" si="200"/>
        <v>0</v>
      </c>
      <c r="BB37" s="4420">
        <f t="shared" si="201"/>
        <v>0</v>
      </c>
      <c r="BC37" s="4420">
        <f t="shared" si="201"/>
        <v>0</v>
      </c>
      <c r="BD37" s="4371">
        <f t="shared" si="174"/>
        <v>4.3942499999999995</v>
      </c>
      <c r="BE37" s="4371">
        <f t="shared" si="175"/>
        <v>4.3942499999999995</v>
      </c>
      <c r="BF37" s="4371">
        <f t="shared" si="176"/>
        <v>0</v>
      </c>
      <c r="BG37" s="4444">
        <f t="shared" si="177"/>
        <v>0</v>
      </c>
      <c r="BH37" s="4444">
        <f t="shared" si="177"/>
        <v>0</v>
      </c>
      <c r="BI37" s="4444">
        <f t="shared" si="177"/>
        <v>0</v>
      </c>
      <c r="BJ37" s="4444">
        <f t="shared" ref="BJ37:BL52" si="248">SUM(BG37-BD37)</f>
        <v>-4.3942499999999995</v>
      </c>
      <c r="BK37" s="4444">
        <f t="shared" si="248"/>
        <v>-4.3942499999999995</v>
      </c>
      <c r="BL37" s="4444">
        <f t="shared" si="248"/>
        <v>0</v>
      </c>
      <c r="BM37" s="4391">
        <f t="shared" si="241"/>
        <v>1.46475</v>
      </c>
      <c r="BN37" s="4391">
        <f t="shared" si="242"/>
        <v>1.46475</v>
      </c>
      <c r="BO37" s="4391">
        <f t="shared" si="243"/>
        <v>0</v>
      </c>
      <c r="BP37" s="4420">
        <f t="shared" si="244"/>
        <v>0</v>
      </c>
      <c r="BQ37" s="4411"/>
      <c r="BR37" s="4411"/>
      <c r="BS37" s="4420">
        <f t="shared" si="245"/>
        <v>0</v>
      </c>
      <c r="BT37" s="4411"/>
      <c r="BU37" s="4411"/>
      <c r="BV37" s="4420">
        <f t="shared" si="246"/>
        <v>0</v>
      </c>
      <c r="BW37" s="4411"/>
      <c r="BX37" s="4411"/>
      <c r="BY37" s="4420">
        <f t="shared" si="205"/>
        <v>0</v>
      </c>
      <c r="BZ37" s="4420">
        <f t="shared" si="206"/>
        <v>0</v>
      </c>
      <c r="CA37" s="4420">
        <f t="shared" si="206"/>
        <v>0</v>
      </c>
      <c r="CB37" s="4371">
        <f t="shared" si="112"/>
        <v>5.859</v>
      </c>
      <c r="CC37" s="4449">
        <v>5.859</v>
      </c>
      <c r="CD37" s="4449">
        <v>0</v>
      </c>
      <c r="CE37" s="4444">
        <f t="shared" si="189"/>
        <v>0</v>
      </c>
      <c r="CF37" s="4444">
        <f t="shared" si="190"/>
        <v>0</v>
      </c>
      <c r="CG37" s="4444">
        <f t="shared" si="190"/>
        <v>0</v>
      </c>
      <c r="CH37" s="4444">
        <f t="shared" si="88"/>
        <v>-5.859</v>
      </c>
      <c r="CI37" s="4444">
        <f t="shared" si="88"/>
        <v>-5.859</v>
      </c>
      <c r="CJ37" s="4444">
        <f t="shared" si="88"/>
        <v>0</v>
      </c>
      <c r="CK37" s="2774"/>
      <c r="CL37" s="3576">
        <f t="shared" si="89"/>
        <v>5.859</v>
      </c>
      <c r="CM37" s="2860"/>
    </row>
    <row r="38" spans="1:92" ht="18.75" customHeight="1" x14ac:dyDescent="0.3">
      <c r="A38" s="4445" t="s">
        <v>592</v>
      </c>
      <c r="B38" s="4447">
        <f>SUM(C38:D38)</f>
        <v>18.615749999999998</v>
      </c>
      <c r="C38" s="4447">
        <f t="shared" ref="C38:D38" si="249">SUM(C39)</f>
        <v>18.615749999999998</v>
      </c>
      <c r="D38" s="4447">
        <f t="shared" si="249"/>
        <v>0</v>
      </c>
      <c r="E38" s="4442">
        <f>SUM(E39)</f>
        <v>0</v>
      </c>
      <c r="F38" s="4442">
        <f t="shared" ref="F38:G38" si="250">SUM(F39)</f>
        <v>0</v>
      </c>
      <c r="G38" s="4442">
        <f t="shared" si="250"/>
        <v>0</v>
      </c>
      <c r="H38" s="4442">
        <f>SUM(H39)</f>
        <v>0</v>
      </c>
      <c r="I38" s="4442">
        <f t="shared" ref="I38:J38" si="251">SUM(I39)</f>
        <v>0</v>
      </c>
      <c r="J38" s="4442">
        <f t="shared" si="251"/>
        <v>0</v>
      </c>
      <c r="K38" s="4442">
        <f>SUM(K39)</f>
        <v>0</v>
      </c>
      <c r="L38" s="4442">
        <f t="shared" ref="L38:M38" si="252">SUM(L39)</f>
        <v>0</v>
      </c>
      <c r="M38" s="4442">
        <f t="shared" si="252"/>
        <v>0</v>
      </c>
      <c r="N38" s="4442">
        <f t="shared" si="193"/>
        <v>0</v>
      </c>
      <c r="O38" s="4442">
        <f t="shared" si="194"/>
        <v>0</v>
      </c>
      <c r="P38" s="4442">
        <f t="shared" si="194"/>
        <v>0</v>
      </c>
      <c r="Q38" s="4447">
        <f>SUM(R38:S38)</f>
        <v>18.615749999999998</v>
      </c>
      <c r="R38" s="4447">
        <f t="shared" ref="R38" si="253">SUM(R39)</f>
        <v>18.615749999999998</v>
      </c>
      <c r="S38" s="4447">
        <f t="shared" ref="S38" si="254">SUM(S39)</f>
        <v>0</v>
      </c>
      <c r="T38" s="4442">
        <f>SUM(T39)</f>
        <v>0</v>
      </c>
      <c r="U38" s="4442">
        <f t="shared" ref="U38:V38" si="255">SUM(U39)</f>
        <v>0</v>
      </c>
      <c r="V38" s="4442">
        <f t="shared" si="255"/>
        <v>0</v>
      </c>
      <c r="W38" s="4442">
        <f>SUM(W39)</f>
        <v>0</v>
      </c>
      <c r="X38" s="4442">
        <f t="shared" ref="X38:Y38" si="256">SUM(X39)</f>
        <v>0</v>
      </c>
      <c r="Y38" s="4442">
        <f t="shared" si="256"/>
        <v>0</v>
      </c>
      <c r="Z38" s="4442">
        <f>SUM(Z39)</f>
        <v>0</v>
      </c>
      <c r="AA38" s="4442">
        <f t="shared" ref="AA38:AB38" si="257">SUM(AA39)</f>
        <v>0</v>
      </c>
      <c r="AB38" s="4442">
        <f t="shared" si="257"/>
        <v>0</v>
      </c>
      <c r="AC38" s="4442">
        <f t="shared" si="117"/>
        <v>0</v>
      </c>
      <c r="AD38" s="4442">
        <f t="shared" si="196"/>
        <v>0</v>
      </c>
      <c r="AE38" s="4442">
        <f t="shared" si="196"/>
        <v>0</v>
      </c>
      <c r="AF38" s="4384">
        <f t="shared" si="159"/>
        <v>37.231499999999997</v>
      </c>
      <c r="AG38" s="4384">
        <f t="shared" si="160"/>
        <v>37.231499999999997</v>
      </c>
      <c r="AH38" s="4384">
        <f t="shared" si="161"/>
        <v>0</v>
      </c>
      <c r="AI38" s="4443">
        <f t="shared" si="162"/>
        <v>0</v>
      </c>
      <c r="AJ38" s="4443">
        <f t="shared" si="162"/>
        <v>0</v>
      </c>
      <c r="AK38" s="4443">
        <f t="shared" si="162"/>
        <v>0</v>
      </c>
      <c r="AL38" s="4443">
        <f t="shared" si="247"/>
        <v>-37.231499999999997</v>
      </c>
      <c r="AM38" s="4443">
        <f t="shared" si="247"/>
        <v>-37.231499999999997</v>
      </c>
      <c r="AN38" s="4443">
        <f t="shared" si="247"/>
        <v>0</v>
      </c>
      <c r="AO38" s="4447">
        <f>SUM(AP38:AQ38)</f>
        <v>18.615749999999998</v>
      </c>
      <c r="AP38" s="4447">
        <f t="shared" ref="AP38" si="258">SUM(AP39)</f>
        <v>18.615749999999998</v>
      </c>
      <c r="AQ38" s="4447">
        <f t="shared" ref="AQ38" si="259">SUM(AQ39)</f>
        <v>0</v>
      </c>
      <c r="AR38" s="4442">
        <f>SUM(AR39)</f>
        <v>94.706999999999994</v>
      </c>
      <c r="AS38" s="4442">
        <f t="shared" ref="AS38:AT38" si="260">SUM(AS39)</f>
        <v>94.706999999999994</v>
      </c>
      <c r="AT38" s="4442">
        <f t="shared" si="260"/>
        <v>0</v>
      </c>
      <c r="AU38" s="4442">
        <f>SUM(AU39)</f>
        <v>0</v>
      </c>
      <c r="AV38" s="4442">
        <f t="shared" ref="AV38:AW38" si="261">SUM(AV39)</f>
        <v>0</v>
      </c>
      <c r="AW38" s="4442">
        <f t="shared" si="261"/>
        <v>0</v>
      </c>
      <c r="AX38" s="4442">
        <f>SUM(AX39)</f>
        <v>0</v>
      </c>
      <c r="AY38" s="4442">
        <f t="shared" ref="AY38:AZ38" si="262">SUM(AY39)</f>
        <v>0</v>
      </c>
      <c r="AZ38" s="4442">
        <f t="shared" si="262"/>
        <v>0</v>
      </c>
      <c r="BA38" s="4442">
        <f t="shared" si="200"/>
        <v>94.706999999999994</v>
      </c>
      <c r="BB38" s="4442">
        <f t="shared" si="201"/>
        <v>94.706999999999994</v>
      </c>
      <c r="BC38" s="4442">
        <f t="shared" si="201"/>
        <v>0</v>
      </c>
      <c r="BD38" s="4384">
        <f t="shared" si="174"/>
        <v>55.847249999999995</v>
      </c>
      <c r="BE38" s="4384">
        <f t="shared" si="175"/>
        <v>55.847249999999995</v>
      </c>
      <c r="BF38" s="4384">
        <f t="shared" si="176"/>
        <v>0</v>
      </c>
      <c r="BG38" s="4443">
        <f t="shared" si="177"/>
        <v>94.706999999999994</v>
      </c>
      <c r="BH38" s="4443">
        <f t="shared" si="177"/>
        <v>94.706999999999994</v>
      </c>
      <c r="BI38" s="4443">
        <f t="shared" si="177"/>
        <v>0</v>
      </c>
      <c r="BJ38" s="4443">
        <f t="shared" si="248"/>
        <v>38.859749999999998</v>
      </c>
      <c r="BK38" s="4443">
        <f t="shared" si="248"/>
        <v>38.859749999999998</v>
      </c>
      <c r="BL38" s="4443">
        <f t="shared" si="248"/>
        <v>0</v>
      </c>
      <c r="BM38" s="4447">
        <f>SUM(BN38:BO38)</f>
        <v>18.615749999999998</v>
      </c>
      <c r="BN38" s="4447">
        <f t="shared" ref="BN38" si="263">SUM(BN39)</f>
        <v>18.615749999999998</v>
      </c>
      <c r="BO38" s="4447">
        <f t="shared" ref="BO38" si="264">SUM(BO39)</f>
        <v>0</v>
      </c>
      <c r="BP38" s="4442">
        <f>SUM(BP39)</f>
        <v>0</v>
      </c>
      <c r="BQ38" s="4442">
        <f t="shared" ref="BQ38:BR38" si="265">SUM(BQ39)</f>
        <v>0</v>
      </c>
      <c r="BR38" s="4442">
        <f t="shared" si="265"/>
        <v>0</v>
      </c>
      <c r="BS38" s="4442">
        <f>SUM(BS39)</f>
        <v>0</v>
      </c>
      <c r="BT38" s="4442">
        <f t="shared" ref="BT38:BU38" si="266">SUM(BT39)</f>
        <v>0</v>
      </c>
      <c r="BU38" s="4442">
        <f t="shared" si="266"/>
        <v>0</v>
      </c>
      <c r="BV38" s="4442">
        <f>SUM(BV39)</f>
        <v>0</v>
      </c>
      <c r="BW38" s="4442">
        <f t="shared" ref="BW38:BX38" si="267">SUM(BW39)</f>
        <v>0</v>
      </c>
      <c r="BX38" s="4442">
        <f t="shared" si="267"/>
        <v>0</v>
      </c>
      <c r="BY38" s="4442">
        <f t="shared" si="205"/>
        <v>0</v>
      </c>
      <c r="BZ38" s="4442">
        <f t="shared" si="206"/>
        <v>0</v>
      </c>
      <c r="CA38" s="4442">
        <f t="shared" si="206"/>
        <v>0</v>
      </c>
      <c r="CB38" s="4384">
        <f t="shared" si="112"/>
        <v>74.462999999999994</v>
      </c>
      <c r="CC38" s="4448">
        <f t="shared" ref="CC38:CD38" si="268">SUM(CC39)</f>
        <v>74.462999999999994</v>
      </c>
      <c r="CD38" s="4448">
        <f t="shared" si="268"/>
        <v>0</v>
      </c>
      <c r="CE38" s="4443">
        <f t="shared" si="189"/>
        <v>94.706999999999994</v>
      </c>
      <c r="CF38" s="4443">
        <f t="shared" si="190"/>
        <v>94.706999999999994</v>
      </c>
      <c r="CG38" s="4443">
        <f t="shared" si="190"/>
        <v>0</v>
      </c>
      <c r="CH38" s="4443">
        <f t="shared" si="88"/>
        <v>20.244</v>
      </c>
      <c r="CI38" s="4443">
        <f t="shared" si="88"/>
        <v>20.244</v>
      </c>
      <c r="CJ38" s="4443">
        <f t="shared" si="88"/>
        <v>0</v>
      </c>
      <c r="CK38" s="2774"/>
      <c r="CL38" s="3576">
        <f t="shared" si="89"/>
        <v>74.462999999999994</v>
      </c>
      <c r="CM38" s="2860"/>
    </row>
    <row r="39" spans="1:92" ht="18.75" customHeight="1" x14ac:dyDescent="0.3">
      <c r="A39" s="4412" t="s">
        <v>532</v>
      </c>
      <c r="B39" s="4391">
        <f t="shared" ref="B39:B49" si="269">SUM(C39:D39)</f>
        <v>18.615749999999998</v>
      </c>
      <c r="C39" s="4391">
        <f t="shared" ref="C39" si="270">SUM(CC39/4)</f>
        <v>18.615749999999998</v>
      </c>
      <c r="D39" s="4391">
        <f t="shared" ref="D39" si="271">SUM(CD39/4)</f>
        <v>0</v>
      </c>
      <c r="E39" s="4420">
        <f t="shared" si="93"/>
        <v>0</v>
      </c>
      <c r="F39" s="4411"/>
      <c r="G39" s="4411"/>
      <c r="H39" s="4420">
        <f t="shared" ref="H39" si="272">SUM(I39:J39)</f>
        <v>0</v>
      </c>
      <c r="I39" s="4411"/>
      <c r="J39" s="4411"/>
      <c r="K39" s="4420">
        <f t="shared" ref="K39" si="273">SUM(L39:M39)</f>
        <v>0</v>
      </c>
      <c r="L39" s="4411"/>
      <c r="M39" s="4411"/>
      <c r="N39" s="4420">
        <f t="shared" si="193"/>
        <v>0</v>
      </c>
      <c r="O39" s="4420">
        <f t="shared" si="194"/>
        <v>0</v>
      </c>
      <c r="P39" s="4420">
        <f t="shared" si="194"/>
        <v>0</v>
      </c>
      <c r="Q39" s="4391">
        <f t="shared" ref="Q39:Q41" si="274">SUM(R39:S39)</f>
        <v>18.615749999999998</v>
      </c>
      <c r="R39" s="4391">
        <f t="shared" ref="R39" si="275">SUM(C39)</f>
        <v>18.615749999999998</v>
      </c>
      <c r="S39" s="4391">
        <f t="shared" ref="S39" si="276">SUM(D39)</f>
        <v>0</v>
      </c>
      <c r="T39" s="4420">
        <f t="shared" ref="T39" si="277">SUM(U39:V39)</f>
        <v>0</v>
      </c>
      <c r="U39" s="4411"/>
      <c r="V39" s="4411"/>
      <c r="W39" s="4420">
        <f t="shared" ref="W39" si="278">SUM(X39:Y39)</f>
        <v>0</v>
      </c>
      <c r="X39" s="4411"/>
      <c r="Y39" s="4411"/>
      <c r="Z39" s="4420">
        <f t="shared" ref="Z39" si="279">SUM(AA39:AB39)</f>
        <v>0</v>
      </c>
      <c r="AA39" s="4411"/>
      <c r="AB39" s="4411"/>
      <c r="AC39" s="4420">
        <f t="shared" si="117"/>
        <v>0</v>
      </c>
      <c r="AD39" s="4420">
        <f t="shared" si="196"/>
        <v>0</v>
      </c>
      <c r="AE39" s="4420">
        <f t="shared" si="196"/>
        <v>0</v>
      </c>
      <c r="AF39" s="4371">
        <f t="shared" si="159"/>
        <v>37.231499999999997</v>
      </c>
      <c r="AG39" s="4371">
        <f t="shared" si="160"/>
        <v>37.231499999999997</v>
      </c>
      <c r="AH39" s="4371">
        <f t="shared" si="161"/>
        <v>0</v>
      </c>
      <c r="AI39" s="4444">
        <f t="shared" si="162"/>
        <v>0</v>
      </c>
      <c r="AJ39" s="4444">
        <f t="shared" si="162"/>
        <v>0</v>
      </c>
      <c r="AK39" s="4444">
        <f t="shared" si="162"/>
        <v>0</v>
      </c>
      <c r="AL39" s="4444">
        <f t="shared" si="247"/>
        <v>-37.231499999999997</v>
      </c>
      <c r="AM39" s="4444">
        <f t="shared" si="247"/>
        <v>-37.231499999999997</v>
      </c>
      <c r="AN39" s="4444">
        <f t="shared" si="247"/>
        <v>0</v>
      </c>
      <c r="AO39" s="4391">
        <f t="shared" ref="AO39:AO40" si="280">SUM(AP39:AQ39)</f>
        <v>18.615749999999998</v>
      </c>
      <c r="AP39" s="4391">
        <f t="shared" ref="AP39:AQ39" si="281">SUM(CC39-AG39)/2</f>
        <v>18.615749999999998</v>
      </c>
      <c r="AQ39" s="4391">
        <f t="shared" si="281"/>
        <v>0</v>
      </c>
      <c r="AR39" s="4420">
        <f t="shared" ref="AR39" si="282">SUM(AS39:AT39)</f>
        <v>94.706999999999994</v>
      </c>
      <c r="AS39" s="4411">
        <v>94.706999999999994</v>
      </c>
      <c r="AT39" s="4411"/>
      <c r="AU39" s="4420">
        <f t="shared" ref="AU39" si="283">SUM(AV39:AW39)</f>
        <v>0</v>
      </c>
      <c r="AV39" s="4411"/>
      <c r="AW39" s="4411"/>
      <c r="AX39" s="4420">
        <f t="shared" ref="AX39" si="284">SUM(AY39:AZ39)</f>
        <v>0</v>
      </c>
      <c r="AY39" s="4411"/>
      <c r="AZ39" s="4411"/>
      <c r="BA39" s="4420">
        <f t="shared" si="200"/>
        <v>94.706999999999994</v>
      </c>
      <c r="BB39" s="4420">
        <f t="shared" si="201"/>
        <v>94.706999999999994</v>
      </c>
      <c r="BC39" s="4420">
        <f t="shared" si="201"/>
        <v>0</v>
      </c>
      <c r="BD39" s="4371">
        <f t="shared" si="174"/>
        <v>55.847249999999995</v>
      </c>
      <c r="BE39" s="4371">
        <f t="shared" si="175"/>
        <v>55.847249999999995</v>
      </c>
      <c r="BF39" s="4371">
        <f t="shared" si="176"/>
        <v>0</v>
      </c>
      <c r="BG39" s="4444">
        <f t="shared" si="177"/>
        <v>94.706999999999994</v>
      </c>
      <c r="BH39" s="4444">
        <f t="shared" si="177"/>
        <v>94.706999999999994</v>
      </c>
      <c r="BI39" s="4444">
        <f t="shared" si="177"/>
        <v>0</v>
      </c>
      <c r="BJ39" s="4444">
        <f t="shared" si="248"/>
        <v>38.859749999999998</v>
      </c>
      <c r="BK39" s="4444">
        <f t="shared" si="248"/>
        <v>38.859749999999998</v>
      </c>
      <c r="BL39" s="4444">
        <f t="shared" si="248"/>
        <v>0</v>
      </c>
      <c r="BM39" s="4391">
        <f t="shared" ref="BM39:BM41" si="285">SUM(BN39:BO39)</f>
        <v>18.615749999999998</v>
      </c>
      <c r="BN39" s="4391">
        <f t="shared" ref="BN39" si="286">SUM(AP39)</f>
        <v>18.615749999999998</v>
      </c>
      <c r="BO39" s="4391">
        <f t="shared" ref="BO39" si="287">SUM(AQ39)</f>
        <v>0</v>
      </c>
      <c r="BP39" s="4420">
        <f t="shared" ref="BP39" si="288">SUM(BQ39:BR39)</f>
        <v>0</v>
      </c>
      <c r="BQ39" s="4411"/>
      <c r="BR39" s="4411"/>
      <c r="BS39" s="4420">
        <f t="shared" ref="BS39" si="289">SUM(BT39:BU39)</f>
        <v>0</v>
      </c>
      <c r="BT39" s="4411"/>
      <c r="BU39" s="4411"/>
      <c r="BV39" s="4420">
        <f t="shared" ref="BV39" si="290">SUM(BW39:BX39)</f>
        <v>0</v>
      </c>
      <c r="BW39" s="4411"/>
      <c r="BX39" s="4411"/>
      <c r="BY39" s="4420">
        <f t="shared" si="205"/>
        <v>0</v>
      </c>
      <c r="BZ39" s="4420">
        <f t="shared" si="206"/>
        <v>0</v>
      </c>
      <c r="CA39" s="4420">
        <f t="shared" si="206"/>
        <v>0</v>
      </c>
      <c r="CB39" s="4371">
        <f t="shared" si="112"/>
        <v>74.462999999999994</v>
      </c>
      <c r="CC39" s="4449">
        <v>74.462999999999994</v>
      </c>
      <c r="CD39" s="4449">
        <v>0</v>
      </c>
      <c r="CE39" s="4444">
        <f t="shared" si="189"/>
        <v>94.706999999999994</v>
      </c>
      <c r="CF39" s="4444">
        <f t="shared" si="190"/>
        <v>94.706999999999994</v>
      </c>
      <c r="CG39" s="4444">
        <f t="shared" si="190"/>
        <v>0</v>
      </c>
      <c r="CH39" s="4444">
        <f t="shared" si="88"/>
        <v>20.244</v>
      </c>
      <c r="CI39" s="4444">
        <f t="shared" si="88"/>
        <v>20.244</v>
      </c>
      <c r="CJ39" s="4444">
        <f t="shared" si="88"/>
        <v>0</v>
      </c>
      <c r="CK39" s="2774"/>
      <c r="CL39" s="3576">
        <f t="shared" si="89"/>
        <v>74.462999999999994</v>
      </c>
      <c r="CM39" s="2860"/>
    </row>
    <row r="40" spans="1:92" ht="18.75" customHeight="1" x14ac:dyDescent="0.3">
      <c r="A40" s="4376" t="s">
        <v>7</v>
      </c>
      <c r="B40" s="4377">
        <f t="shared" si="269"/>
        <v>14480.136705667846</v>
      </c>
      <c r="C40" s="4414">
        <f t="shared" ref="C40:D40" si="291">SUM(C41:C47)+C49</f>
        <v>14421.359303908283</v>
      </c>
      <c r="D40" s="4414">
        <f t="shared" si="291"/>
        <v>58.777401759564583</v>
      </c>
      <c r="E40" s="4415">
        <f>SUM(F40:G40)</f>
        <v>5423.8974900000003</v>
      </c>
      <c r="F40" s="4415">
        <f>SUM(F41:F47)+F49</f>
        <v>5404.4870000000001</v>
      </c>
      <c r="G40" s="4414">
        <f t="shared" ref="G40:P40" si="292">SUM(G41:G47)+G49</f>
        <v>19.410489999999999</v>
      </c>
      <c r="H40" s="4415">
        <f>SUM(I40:J40)</f>
        <v>4990.0897199999999</v>
      </c>
      <c r="I40" s="4415">
        <f t="shared" ref="I40:J40" si="293">SUM(I41:I47)+I49</f>
        <v>4973.9200099999998</v>
      </c>
      <c r="J40" s="4415">
        <f t="shared" si="293"/>
        <v>16.169710000000002</v>
      </c>
      <c r="K40" s="4415">
        <f>SUM(L40:M40)</f>
        <v>5276.7049000000006</v>
      </c>
      <c r="L40" s="4415">
        <f t="shared" ref="L40:M40" si="294">SUM(L41:L47)+L49</f>
        <v>5253.5838000000003</v>
      </c>
      <c r="M40" s="4415">
        <f t="shared" si="294"/>
        <v>23.121100000000002</v>
      </c>
      <c r="N40" s="4415">
        <f t="shared" si="193"/>
        <v>15690.69211</v>
      </c>
      <c r="O40" s="4415">
        <f t="shared" si="292"/>
        <v>15631.990809999999</v>
      </c>
      <c r="P40" s="4415">
        <f t="shared" si="292"/>
        <v>58.701300000000003</v>
      </c>
      <c r="Q40" s="4377">
        <f t="shared" si="274"/>
        <v>14480.136705667846</v>
      </c>
      <c r="R40" s="4414">
        <f t="shared" ref="R40:S40" si="295">SUM(R41:R47)+R49</f>
        <v>14421.359303908283</v>
      </c>
      <c r="S40" s="4414">
        <f t="shared" si="295"/>
        <v>58.777401759564583</v>
      </c>
      <c r="T40" s="4415">
        <f>SUM(U40:V40)</f>
        <v>5359.0749999999998</v>
      </c>
      <c r="U40" s="4415">
        <f t="shared" ref="U40:V40" si="296">SUM(U41:U47)+U49</f>
        <v>5346.9459999999999</v>
      </c>
      <c r="V40" s="4415">
        <f t="shared" si="296"/>
        <v>12.129</v>
      </c>
      <c r="W40" s="4415">
        <f>SUM(X40:Y40)</f>
        <v>6613.4294899999995</v>
      </c>
      <c r="X40" s="4415">
        <f>SUM(X41:X47)+X49</f>
        <v>6595.5869999999995</v>
      </c>
      <c r="Y40" s="4415">
        <f t="shared" ref="Y40" si="297">SUM(Y41:Y47)+Y49</f>
        <v>17.842489999999998</v>
      </c>
      <c r="Z40" s="4415">
        <f>SUM(AA40:AB40)</f>
        <v>5458.01332</v>
      </c>
      <c r="AA40" s="4415">
        <f t="shared" ref="AA40:AB40" si="298">SUM(AA41:AA47)+AA49</f>
        <v>5434.7133999999996</v>
      </c>
      <c r="AB40" s="4415">
        <f t="shared" si="298"/>
        <v>23.29992</v>
      </c>
      <c r="AC40" s="4415">
        <f t="shared" si="117"/>
        <v>17430.517810000001</v>
      </c>
      <c r="AD40" s="4415">
        <f t="shared" ref="AD40:AE40" si="299">SUM(AD41:AD47)+AD49</f>
        <v>17377.2464</v>
      </c>
      <c r="AE40" s="4415">
        <f t="shared" si="299"/>
        <v>53.271410000000003</v>
      </c>
      <c r="AF40" s="4379">
        <f t="shared" si="159"/>
        <v>28960.273411335693</v>
      </c>
      <c r="AG40" s="4379">
        <f t="shared" si="160"/>
        <v>28842.718607816565</v>
      </c>
      <c r="AH40" s="4379">
        <f t="shared" si="161"/>
        <v>117.55480351912917</v>
      </c>
      <c r="AI40" s="4441">
        <f t="shared" si="162"/>
        <v>33121.209920000001</v>
      </c>
      <c r="AJ40" s="4441">
        <f t="shared" si="162"/>
        <v>33009.237209999999</v>
      </c>
      <c r="AK40" s="4441">
        <f t="shared" si="162"/>
        <v>111.97271000000001</v>
      </c>
      <c r="AL40" s="4441">
        <f t="shared" si="247"/>
        <v>4160.9365086643083</v>
      </c>
      <c r="AM40" s="4441">
        <f t="shared" si="247"/>
        <v>4166.5186021834343</v>
      </c>
      <c r="AN40" s="4441">
        <f t="shared" si="247"/>
        <v>-5.5820935191291596</v>
      </c>
      <c r="AO40" s="4377">
        <f t="shared" si="280"/>
        <v>14480.136705667846</v>
      </c>
      <c r="AP40" s="4414">
        <f t="shared" ref="AP40:AQ40" si="300">SUM(AP41:AP47)+AP49</f>
        <v>14421.359303908283</v>
      </c>
      <c r="AQ40" s="4414">
        <f t="shared" si="300"/>
        <v>58.777401759564583</v>
      </c>
      <c r="AR40" s="4415">
        <f>SUM(AS40:AT40)</f>
        <v>5095.7495399999998</v>
      </c>
      <c r="AS40" s="4415">
        <f t="shared" ref="AS40:AT40" si="301">SUM(AS41:AS47)+AS49</f>
        <v>5084.9809999999998</v>
      </c>
      <c r="AT40" s="4415">
        <f t="shared" si="301"/>
        <v>10.76854</v>
      </c>
      <c r="AU40" s="4415">
        <f>SUM(AV40:AW40)</f>
        <v>0</v>
      </c>
      <c r="AV40" s="4415">
        <f t="shared" ref="AV40:AW40" si="302">SUM(AV41:AV47)+AV49</f>
        <v>0</v>
      </c>
      <c r="AW40" s="4415">
        <f t="shared" si="302"/>
        <v>0</v>
      </c>
      <c r="AX40" s="4415">
        <f>SUM(AY40:AZ40)</f>
        <v>0</v>
      </c>
      <c r="AY40" s="4415">
        <f t="shared" ref="AY40:AZ40" si="303">SUM(AY41:AY47)+AY49</f>
        <v>0</v>
      </c>
      <c r="AZ40" s="4415">
        <f t="shared" si="303"/>
        <v>0</v>
      </c>
      <c r="BA40" s="4415">
        <f t="shared" ref="BA40:BA47" si="304">SUM(BB40:BC40)</f>
        <v>5095.7495399999998</v>
      </c>
      <c r="BB40" s="4415">
        <f t="shared" ref="BB40:BC40" si="305">SUM(BB41:BB47)+BB49</f>
        <v>5084.9809999999998</v>
      </c>
      <c r="BC40" s="4415">
        <f t="shared" si="305"/>
        <v>10.76854</v>
      </c>
      <c r="BD40" s="4379">
        <f t="shared" si="174"/>
        <v>43440.410117003543</v>
      </c>
      <c r="BE40" s="4379">
        <f t="shared" si="175"/>
        <v>43264.077911724846</v>
      </c>
      <c r="BF40" s="4379">
        <f t="shared" si="176"/>
        <v>176.33220527869375</v>
      </c>
      <c r="BG40" s="4441">
        <f t="shared" ref="BG40:BG47" si="306">SUM(AI40+BA40)</f>
        <v>38216.959459999998</v>
      </c>
      <c r="BH40" s="4441">
        <f t="shared" si="177"/>
        <v>38094.218209999999</v>
      </c>
      <c r="BI40" s="4441">
        <f t="shared" si="177"/>
        <v>122.74125000000001</v>
      </c>
      <c r="BJ40" s="4441">
        <f t="shared" si="248"/>
        <v>-5223.4506570035446</v>
      </c>
      <c r="BK40" s="4441">
        <f t="shared" si="248"/>
        <v>-5169.8597017248467</v>
      </c>
      <c r="BL40" s="4441">
        <f t="shared" si="248"/>
        <v>-53.590955278693741</v>
      </c>
      <c r="BM40" s="4377">
        <f t="shared" si="285"/>
        <v>14480.136705667846</v>
      </c>
      <c r="BN40" s="4414">
        <f t="shared" ref="BN40:BO40" si="307">SUM(BN41:BN47)+BN49</f>
        <v>14421.359303908283</v>
      </c>
      <c r="BO40" s="4414">
        <f t="shared" si="307"/>
        <v>58.777401759564583</v>
      </c>
      <c r="BP40" s="4415">
        <f>SUM(BQ40:BR40)</f>
        <v>0</v>
      </c>
      <c r="BQ40" s="4415">
        <f t="shared" ref="BQ40:BR40" si="308">SUM(BQ41:BQ47)+BQ49</f>
        <v>0</v>
      </c>
      <c r="BR40" s="4415">
        <f t="shared" si="308"/>
        <v>0</v>
      </c>
      <c r="BS40" s="4415">
        <f>SUM(BT40:BU40)</f>
        <v>0</v>
      </c>
      <c r="BT40" s="4415">
        <f t="shared" ref="BT40:BU40" si="309">SUM(BT41:BT47)+BT49</f>
        <v>0</v>
      </c>
      <c r="BU40" s="4415">
        <f t="shared" si="309"/>
        <v>0</v>
      </c>
      <c r="BV40" s="4415">
        <f>SUM(BW40:BX40)</f>
        <v>0</v>
      </c>
      <c r="BW40" s="4415">
        <f t="shared" ref="BW40:BX40" si="310">SUM(BW41:BW47)+BW49</f>
        <v>0</v>
      </c>
      <c r="BX40" s="4415">
        <f t="shared" si="310"/>
        <v>0</v>
      </c>
      <c r="BY40" s="4415">
        <f t="shared" si="205"/>
        <v>0</v>
      </c>
      <c r="BZ40" s="4415">
        <f t="shared" ref="BZ40:CA40" si="311">SUM(BZ41:BZ47)+BZ49</f>
        <v>0</v>
      </c>
      <c r="CA40" s="4415">
        <f t="shared" si="311"/>
        <v>0</v>
      </c>
      <c r="CB40" s="4379">
        <f t="shared" si="112"/>
        <v>57920.546850069564</v>
      </c>
      <c r="CC40" s="4455">
        <f>SUM(стоки!EK17)</f>
        <v>57685.437243031309</v>
      </c>
      <c r="CD40" s="4455">
        <f>SUM(стоки!EL17)</f>
        <v>235.10960703825833</v>
      </c>
      <c r="CE40" s="4441">
        <f t="shared" si="189"/>
        <v>38216.959459999998</v>
      </c>
      <c r="CF40" s="4441">
        <f t="shared" si="190"/>
        <v>38094.218209999999</v>
      </c>
      <c r="CG40" s="4441">
        <f t="shared" si="190"/>
        <v>122.74125000000001</v>
      </c>
      <c r="CH40" s="4441">
        <f t="shared" ref="CH40:CJ48" si="312">SUM(CE40-CB40)</f>
        <v>-19703.587390069566</v>
      </c>
      <c r="CI40" s="4441">
        <f t="shared" si="312"/>
        <v>-19591.21903303131</v>
      </c>
      <c r="CJ40" s="4441">
        <f t="shared" si="312"/>
        <v>-112.36835703825832</v>
      </c>
      <c r="CK40" s="2860"/>
      <c r="CL40" s="3576">
        <f t="shared" si="89"/>
        <v>57920.546822671386</v>
      </c>
      <c r="CM40" s="2860">
        <f t="shared" ref="CM40:CN40" si="313">SUM(CC41:CC47)+CC49</f>
        <v>57685.437243031309</v>
      </c>
      <c r="CN40" s="2860">
        <f t="shared" si="313"/>
        <v>235.10960703825833</v>
      </c>
    </row>
    <row r="41" spans="1:92" ht="18.75" customHeight="1" x14ac:dyDescent="0.3">
      <c r="A41" s="4381" t="s">
        <v>1</v>
      </c>
      <c r="B41" s="4385">
        <f t="shared" si="269"/>
        <v>1926.0251813608581</v>
      </c>
      <c r="C41" s="4385">
        <f t="shared" ref="C41:D41" si="314">SUM(CC41/4)</f>
        <v>1913.4699852226529</v>
      </c>
      <c r="D41" s="4385">
        <f t="shared" si="314"/>
        <v>12.555196138205357</v>
      </c>
      <c r="E41" s="4442">
        <f t="shared" si="93"/>
        <v>811.35641999999996</v>
      </c>
      <c r="F41" s="4407">
        <v>809.71199999999999</v>
      </c>
      <c r="G41" s="4407">
        <v>1.64442</v>
      </c>
      <c r="H41" s="4442">
        <f t="shared" ref="H41:H47" si="315">SUM(I41:J41)</f>
        <v>791.63441999999998</v>
      </c>
      <c r="I41" s="4407">
        <v>790.54300000000001</v>
      </c>
      <c r="J41" s="4407">
        <v>1.0914200000000001</v>
      </c>
      <c r="K41" s="4442">
        <f t="shared" ref="K41:K47" si="316">SUM(L41:M41)</f>
        <v>1008.11676</v>
      </c>
      <c r="L41" s="4407">
        <v>1002.481</v>
      </c>
      <c r="M41" s="4407">
        <v>5.6357600000000003</v>
      </c>
      <c r="N41" s="4442">
        <f t="shared" si="193"/>
        <v>2611.1075999999998</v>
      </c>
      <c r="O41" s="4442">
        <f t="shared" ref="O41:O47" si="317">SUM(F41+I41+L41)</f>
        <v>2602.7359999999999</v>
      </c>
      <c r="P41" s="4442">
        <f t="shared" ref="P41:P47" si="318">SUM(G41+J41+M41)</f>
        <v>8.3716000000000008</v>
      </c>
      <c r="Q41" s="4385">
        <f t="shared" si="274"/>
        <v>1926.0251813608581</v>
      </c>
      <c r="R41" s="4385">
        <f t="shared" ref="R41:S47" si="319">SUM(C41)</f>
        <v>1913.4699852226529</v>
      </c>
      <c r="S41" s="4385">
        <f t="shared" si="319"/>
        <v>12.555196138205357</v>
      </c>
      <c r="T41" s="4442">
        <f t="shared" ref="T41:T47" si="320">SUM(U41:V41)</f>
        <v>823.28199999999993</v>
      </c>
      <c r="U41" s="4407">
        <v>822.29</v>
      </c>
      <c r="V41" s="4407">
        <v>0.99199999999999999</v>
      </c>
      <c r="W41" s="4442">
        <f t="shared" ref="W41:W47" si="321">SUM(X41:Y41)</f>
        <v>846.54558000000009</v>
      </c>
      <c r="X41" s="4407">
        <v>844.81100000000004</v>
      </c>
      <c r="Y41" s="4407">
        <v>1.73458</v>
      </c>
      <c r="Z41" s="4442">
        <f t="shared" ref="Z41:Z47" si="322">SUM(AA41:AB41)</f>
        <v>771.46582999999998</v>
      </c>
      <c r="AA41" s="4407">
        <v>765.69200000000001</v>
      </c>
      <c r="AB41" s="4407">
        <v>5.7738300000000002</v>
      </c>
      <c r="AC41" s="4442">
        <f t="shared" si="117"/>
        <v>2441.2934100000002</v>
      </c>
      <c r="AD41" s="4442">
        <f t="shared" ref="AD41:AE47" si="323">SUM(U41+X41+AA41)</f>
        <v>2432.7930000000001</v>
      </c>
      <c r="AE41" s="4442">
        <f t="shared" si="323"/>
        <v>8.5004100000000005</v>
      </c>
      <c r="AF41" s="4384">
        <f t="shared" si="159"/>
        <v>3852.0503627217163</v>
      </c>
      <c r="AG41" s="4384">
        <f t="shared" si="160"/>
        <v>3826.9399704453058</v>
      </c>
      <c r="AH41" s="4384">
        <f t="shared" si="161"/>
        <v>25.110392276410714</v>
      </c>
      <c r="AI41" s="4443">
        <f t="shared" si="162"/>
        <v>5052.4010099999996</v>
      </c>
      <c r="AJ41" s="4443">
        <f t="shared" si="162"/>
        <v>5035.5290000000005</v>
      </c>
      <c r="AK41" s="4443">
        <f t="shared" si="162"/>
        <v>16.872010000000003</v>
      </c>
      <c r="AL41" s="4443">
        <f t="shared" si="247"/>
        <v>1200.3506472782833</v>
      </c>
      <c r="AM41" s="4443">
        <f t="shared" si="247"/>
        <v>1208.5890295546947</v>
      </c>
      <c r="AN41" s="4443">
        <f t="shared" si="247"/>
        <v>-8.2383822764107109</v>
      </c>
      <c r="AO41" s="4385">
        <f t="shared" ref="AO41:AO65" si="324">SUM(AP41:AQ41)</f>
        <v>1926.0251813608581</v>
      </c>
      <c r="AP41" s="4385">
        <f t="shared" ref="AP41:AP47" si="325">SUM(CC41-AG41)/2</f>
        <v>1913.4699852226529</v>
      </c>
      <c r="AQ41" s="4385">
        <f t="shared" ref="AQ41:AQ47" si="326">SUM(CD41-AH41)/2</f>
        <v>12.555196138205357</v>
      </c>
      <c r="AR41" s="4442">
        <f t="shared" ref="AR41:AR47" si="327">SUM(AS41:AT41)</f>
        <v>809.24625000000003</v>
      </c>
      <c r="AS41" s="4407">
        <v>808.00400000000002</v>
      </c>
      <c r="AT41" s="4407">
        <v>1.2422500000000001</v>
      </c>
      <c r="AU41" s="4442">
        <f t="shared" ref="AU41:AU47" si="328">SUM(AV41:AW41)</f>
        <v>0</v>
      </c>
      <c r="AV41" s="4407"/>
      <c r="AW41" s="4407"/>
      <c r="AX41" s="4442">
        <f t="shared" ref="AX41:AX47" si="329">SUM(AY41:AZ41)</f>
        <v>0</v>
      </c>
      <c r="AY41" s="4407"/>
      <c r="AZ41" s="4407"/>
      <c r="BA41" s="4442">
        <f t="shared" si="304"/>
        <v>809.24625000000003</v>
      </c>
      <c r="BB41" s="4442">
        <f t="shared" ref="BB41:BC47" si="330">SUM(AS41+AV41+AY41)</f>
        <v>808.00400000000002</v>
      </c>
      <c r="BC41" s="4442">
        <f t="shared" si="330"/>
        <v>1.2422500000000001</v>
      </c>
      <c r="BD41" s="4384">
        <f t="shared" si="174"/>
        <v>5778.0755440825742</v>
      </c>
      <c r="BE41" s="4384">
        <f t="shared" si="175"/>
        <v>5740.4099556679585</v>
      </c>
      <c r="BF41" s="4384">
        <f t="shared" si="176"/>
        <v>37.665588414616067</v>
      </c>
      <c r="BG41" s="4443">
        <f t="shared" si="306"/>
        <v>5861.6472599999997</v>
      </c>
      <c r="BH41" s="4443">
        <f t="shared" si="177"/>
        <v>5843.5330000000004</v>
      </c>
      <c r="BI41" s="4443">
        <f t="shared" si="177"/>
        <v>18.114260000000002</v>
      </c>
      <c r="BJ41" s="4443">
        <f t="shared" si="248"/>
        <v>83.571715917425536</v>
      </c>
      <c r="BK41" s="4443">
        <f t="shared" si="248"/>
        <v>103.1230443320419</v>
      </c>
      <c r="BL41" s="4443">
        <f t="shared" si="248"/>
        <v>-19.551328414616066</v>
      </c>
      <c r="BM41" s="4385">
        <f t="shared" si="285"/>
        <v>1926.0251813608581</v>
      </c>
      <c r="BN41" s="4385">
        <f t="shared" ref="BN41:BO47" si="331">SUM(AP41)</f>
        <v>1913.4699852226529</v>
      </c>
      <c r="BO41" s="4385">
        <f t="shared" si="331"/>
        <v>12.555196138205357</v>
      </c>
      <c r="BP41" s="4442">
        <f t="shared" ref="BP41:BP47" si="332">SUM(BQ41:BR41)</f>
        <v>0</v>
      </c>
      <c r="BQ41" s="4407"/>
      <c r="BR41" s="4407"/>
      <c r="BS41" s="4442">
        <f t="shared" ref="BS41:BS47" si="333">SUM(BT41:BU41)</f>
        <v>0</v>
      </c>
      <c r="BT41" s="4407"/>
      <c r="BU41" s="4407"/>
      <c r="BV41" s="4442">
        <f t="shared" ref="BV41:BV47" si="334">SUM(BW41:BX41)</f>
        <v>0</v>
      </c>
      <c r="BW41" s="4407"/>
      <c r="BX41" s="4407"/>
      <c r="BY41" s="4442">
        <f t="shared" si="205"/>
        <v>0</v>
      </c>
      <c r="BZ41" s="4442">
        <f t="shared" ref="BZ41:CA47" si="335">SUM(BQ41+BT41+BW41)</f>
        <v>0</v>
      </c>
      <c r="CA41" s="4442">
        <f t="shared" si="335"/>
        <v>0</v>
      </c>
      <c r="CB41" s="4384">
        <f t="shared" si="112"/>
        <v>7704.1007254434326</v>
      </c>
      <c r="CC41" s="4446">
        <f>SUM(стоки!EK18)</f>
        <v>7653.8799408906116</v>
      </c>
      <c r="CD41" s="4446">
        <f>SUM(стоки!EL18)</f>
        <v>50.220784552821428</v>
      </c>
      <c r="CE41" s="4443">
        <f t="shared" si="189"/>
        <v>5861.6472599999997</v>
      </c>
      <c r="CF41" s="4443">
        <f t="shared" si="190"/>
        <v>5843.5330000000004</v>
      </c>
      <c r="CG41" s="4443">
        <f t="shared" si="190"/>
        <v>18.114260000000002</v>
      </c>
      <c r="CH41" s="4443">
        <f t="shared" si="312"/>
        <v>-1842.4534654434328</v>
      </c>
      <c r="CI41" s="4443">
        <f t="shared" si="312"/>
        <v>-1810.3469408906112</v>
      </c>
      <c r="CJ41" s="4443">
        <f t="shared" si="312"/>
        <v>-32.106524552821426</v>
      </c>
      <c r="CK41" s="2774"/>
      <c r="CL41" s="3581">
        <f t="shared" si="89"/>
        <v>7704.1007254434326</v>
      </c>
      <c r="CM41" s="2774"/>
    </row>
    <row r="42" spans="1:92" ht="18.75" customHeight="1" x14ac:dyDescent="0.3">
      <c r="A42" s="4381" t="s">
        <v>8</v>
      </c>
      <c r="B42" s="4385">
        <f t="shared" si="269"/>
        <v>361.42113698684176</v>
      </c>
      <c r="C42" s="4385">
        <f t="shared" ref="C42:C47" si="336">SUM(CC42/4)</f>
        <v>361.42113698684176</v>
      </c>
      <c r="D42" s="4385">
        <f t="shared" ref="D42:D47" si="337">SUM(CD42/4)</f>
        <v>0</v>
      </c>
      <c r="E42" s="4442">
        <f t="shared" si="93"/>
        <v>74.254999999999995</v>
      </c>
      <c r="F42" s="4407">
        <v>74.254999999999995</v>
      </c>
      <c r="G42" s="4407"/>
      <c r="H42" s="4442">
        <f t="shared" si="315"/>
        <v>53.947000000000003</v>
      </c>
      <c r="I42" s="4407">
        <v>53.947000000000003</v>
      </c>
      <c r="J42" s="4407"/>
      <c r="K42" s="4442">
        <f t="shared" si="316"/>
        <v>33.078000000000003</v>
      </c>
      <c r="L42" s="4407">
        <v>33.078000000000003</v>
      </c>
      <c r="M42" s="4407"/>
      <c r="N42" s="4442">
        <f t="shared" si="193"/>
        <v>161.28</v>
      </c>
      <c r="O42" s="4442">
        <f t="shared" si="317"/>
        <v>161.28</v>
      </c>
      <c r="P42" s="4442">
        <f t="shared" si="318"/>
        <v>0</v>
      </c>
      <c r="Q42" s="4385">
        <f t="shared" ref="Q42:Q65" si="338">SUM(R42:S42)</f>
        <v>361.42113698684176</v>
      </c>
      <c r="R42" s="4385">
        <f t="shared" si="319"/>
        <v>361.42113698684176</v>
      </c>
      <c r="S42" s="4385">
        <f t="shared" si="319"/>
        <v>0</v>
      </c>
      <c r="T42" s="4442">
        <f t="shared" si="320"/>
        <v>49.168999999999997</v>
      </c>
      <c r="U42" s="4407">
        <v>49.168999999999997</v>
      </c>
      <c r="V42" s="4407"/>
      <c r="W42" s="4442">
        <f t="shared" si="321"/>
        <v>60.244</v>
      </c>
      <c r="X42" s="4407">
        <v>60.244</v>
      </c>
      <c r="Y42" s="4407"/>
      <c r="Z42" s="4442">
        <f t="shared" si="322"/>
        <v>51.582999999999998</v>
      </c>
      <c r="AA42" s="4407">
        <v>51.582999999999998</v>
      </c>
      <c r="AB42" s="4407"/>
      <c r="AC42" s="4442">
        <f t="shared" si="117"/>
        <v>160.99599999999998</v>
      </c>
      <c r="AD42" s="4442">
        <f t="shared" si="323"/>
        <v>160.99599999999998</v>
      </c>
      <c r="AE42" s="4442">
        <f t="shared" si="323"/>
        <v>0</v>
      </c>
      <c r="AF42" s="4384">
        <f t="shared" si="159"/>
        <v>722.84227397368352</v>
      </c>
      <c r="AG42" s="4384">
        <f t="shared" si="160"/>
        <v>722.84227397368352</v>
      </c>
      <c r="AH42" s="4384">
        <f t="shared" si="161"/>
        <v>0</v>
      </c>
      <c r="AI42" s="4443">
        <f t="shared" si="162"/>
        <v>322.27599999999995</v>
      </c>
      <c r="AJ42" s="4443">
        <f t="shared" si="162"/>
        <v>322.27599999999995</v>
      </c>
      <c r="AK42" s="4443">
        <f t="shared" si="162"/>
        <v>0</v>
      </c>
      <c r="AL42" s="4443">
        <f t="shared" si="247"/>
        <v>-400.56627397368356</v>
      </c>
      <c r="AM42" s="4443">
        <f t="shared" si="247"/>
        <v>-400.56627397368356</v>
      </c>
      <c r="AN42" s="4443">
        <f t="shared" si="247"/>
        <v>0</v>
      </c>
      <c r="AO42" s="4385">
        <f t="shared" si="324"/>
        <v>361.42113698684176</v>
      </c>
      <c r="AP42" s="4385">
        <f t="shared" si="325"/>
        <v>361.42113698684176</v>
      </c>
      <c r="AQ42" s="4385">
        <f t="shared" si="326"/>
        <v>0</v>
      </c>
      <c r="AR42" s="4442">
        <f t="shared" si="327"/>
        <v>47.826000000000001</v>
      </c>
      <c r="AS42" s="4407">
        <v>47.826000000000001</v>
      </c>
      <c r="AT42" s="4407"/>
      <c r="AU42" s="4442">
        <f t="shared" si="328"/>
        <v>0</v>
      </c>
      <c r="AV42" s="4407"/>
      <c r="AW42" s="4407"/>
      <c r="AX42" s="4442">
        <f t="shared" si="329"/>
        <v>0</v>
      </c>
      <c r="AY42" s="4407"/>
      <c r="AZ42" s="4407"/>
      <c r="BA42" s="4442">
        <f t="shared" si="304"/>
        <v>47.826000000000001</v>
      </c>
      <c r="BB42" s="4442">
        <f t="shared" si="330"/>
        <v>47.826000000000001</v>
      </c>
      <c r="BC42" s="4442">
        <f t="shared" si="330"/>
        <v>0</v>
      </c>
      <c r="BD42" s="4384">
        <f t="shared" si="174"/>
        <v>1084.2634109605253</v>
      </c>
      <c r="BE42" s="4384">
        <f t="shared" si="175"/>
        <v>1084.2634109605253</v>
      </c>
      <c r="BF42" s="4384">
        <f t="shared" si="176"/>
        <v>0</v>
      </c>
      <c r="BG42" s="4443">
        <f t="shared" si="306"/>
        <v>370.10199999999998</v>
      </c>
      <c r="BH42" s="4443">
        <f t="shared" si="177"/>
        <v>370.10199999999998</v>
      </c>
      <c r="BI42" s="4443">
        <f t="shared" si="177"/>
        <v>0</v>
      </c>
      <c r="BJ42" s="4443">
        <f t="shared" si="248"/>
        <v>-714.16141096052536</v>
      </c>
      <c r="BK42" s="4443">
        <f t="shared" si="248"/>
        <v>-714.16141096052536</v>
      </c>
      <c r="BL42" s="4443">
        <f t="shared" si="248"/>
        <v>0</v>
      </c>
      <c r="BM42" s="4385">
        <f t="shared" ref="BM42:BM49" si="339">SUM(BN42:BO42)</f>
        <v>361.42113698684176</v>
      </c>
      <c r="BN42" s="4385">
        <f t="shared" si="331"/>
        <v>361.42113698684176</v>
      </c>
      <c r="BO42" s="4385">
        <f t="shared" si="331"/>
        <v>0</v>
      </c>
      <c r="BP42" s="4442">
        <f t="shared" si="332"/>
        <v>0</v>
      </c>
      <c r="BQ42" s="4407"/>
      <c r="BR42" s="4407"/>
      <c r="BS42" s="4442">
        <f t="shared" si="333"/>
        <v>0</v>
      </c>
      <c r="BT42" s="4407"/>
      <c r="BU42" s="4407"/>
      <c r="BV42" s="4442">
        <f t="shared" si="334"/>
        <v>0</v>
      </c>
      <c r="BW42" s="4407"/>
      <c r="BX42" s="4407"/>
      <c r="BY42" s="4442">
        <f t="shared" si="205"/>
        <v>0</v>
      </c>
      <c r="BZ42" s="4442">
        <f t="shared" si="335"/>
        <v>0</v>
      </c>
      <c r="CA42" s="4442">
        <f t="shared" si="335"/>
        <v>0</v>
      </c>
      <c r="CB42" s="4384">
        <f t="shared" si="112"/>
        <v>1445.684547947367</v>
      </c>
      <c r="CC42" s="4446">
        <f>SUM(стоки!EK19)</f>
        <v>1445.684547947367</v>
      </c>
      <c r="CD42" s="4446">
        <f>SUM(стоки!EL19)</f>
        <v>0</v>
      </c>
      <c r="CE42" s="4443">
        <f t="shared" si="189"/>
        <v>370.10199999999998</v>
      </c>
      <c r="CF42" s="4443">
        <f t="shared" si="190"/>
        <v>370.10199999999998</v>
      </c>
      <c r="CG42" s="4443">
        <f t="shared" si="190"/>
        <v>0</v>
      </c>
      <c r="CH42" s="4443">
        <f t="shared" si="312"/>
        <v>-1075.5825479473669</v>
      </c>
      <c r="CI42" s="4443">
        <f t="shared" si="312"/>
        <v>-1075.5825479473669</v>
      </c>
      <c r="CJ42" s="4443">
        <f t="shared" si="312"/>
        <v>0</v>
      </c>
      <c r="CK42" s="2774"/>
      <c r="CL42" s="3581">
        <f t="shared" si="89"/>
        <v>1445.684547947367</v>
      </c>
      <c r="CM42" s="2774"/>
    </row>
    <row r="43" spans="1:92" ht="18.75" customHeight="1" x14ac:dyDescent="0.3">
      <c r="A43" s="4381" t="s">
        <v>2</v>
      </c>
      <c r="B43" s="4385">
        <f t="shared" si="269"/>
        <v>113.94094265944926</v>
      </c>
      <c r="C43" s="4385">
        <f t="shared" si="336"/>
        <v>113.94094265944926</v>
      </c>
      <c r="D43" s="4385">
        <f t="shared" si="337"/>
        <v>0</v>
      </c>
      <c r="E43" s="4442">
        <f t="shared" si="93"/>
        <v>98.03</v>
      </c>
      <c r="F43" s="4407">
        <v>98.03</v>
      </c>
      <c r="G43" s="4407"/>
      <c r="H43" s="4442">
        <f t="shared" si="315"/>
        <v>97.816999999999993</v>
      </c>
      <c r="I43" s="4407">
        <v>97.816999999999993</v>
      </c>
      <c r="J43" s="4407"/>
      <c r="K43" s="4442">
        <f t="shared" si="316"/>
        <v>241.666</v>
      </c>
      <c r="L43" s="4407">
        <v>241.666</v>
      </c>
      <c r="M43" s="4407"/>
      <c r="N43" s="4442">
        <f t="shared" si="193"/>
        <v>437.51299999999998</v>
      </c>
      <c r="O43" s="4442">
        <f t="shared" si="317"/>
        <v>437.51299999999998</v>
      </c>
      <c r="P43" s="4442">
        <f t="shared" si="318"/>
        <v>0</v>
      </c>
      <c r="Q43" s="4385">
        <f t="shared" si="338"/>
        <v>113.94094265944926</v>
      </c>
      <c r="R43" s="4385">
        <f t="shared" si="319"/>
        <v>113.94094265944926</v>
      </c>
      <c r="S43" s="4385">
        <f t="shared" si="319"/>
        <v>0</v>
      </c>
      <c r="T43" s="4442">
        <f t="shared" si="320"/>
        <v>241.38800000000001</v>
      </c>
      <c r="U43" s="4407">
        <v>241.38800000000001</v>
      </c>
      <c r="V43" s="4407"/>
      <c r="W43" s="4442">
        <f t="shared" si="321"/>
        <v>241.68299999999999</v>
      </c>
      <c r="X43" s="4407">
        <v>241.68299999999999</v>
      </c>
      <c r="Y43" s="4407"/>
      <c r="Z43" s="4442">
        <f t="shared" si="322"/>
        <v>241.62799999999999</v>
      </c>
      <c r="AA43" s="4407">
        <v>241.62799999999999</v>
      </c>
      <c r="AB43" s="4407"/>
      <c r="AC43" s="4442">
        <f t="shared" si="117"/>
        <v>724.69900000000007</v>
      </c>
      <c r="AD43" s="4442">
        <f t="shared" si="323"/>
        <v>724.69900000000007</v>
      </c>
      <c r="AE43" s="4442">
        <f t="shared" si="323"/>
        <v>0</v>
      </c>
      <c r="AF43" s="4384">
        <f t="shared" si="159"/>
        <v>227.88188531889853</v>
      </c>
      <c r="AG43" s="4384">
        <f t="shared" si="160"/>
        <v>227.88188531889853</v>
      </c>
      <c r="AH43" s="4384">
        <f t="shared" si="161"/>
        <v>0</v>
      </c>
      <c r="AI43" s="4443">
        <f t="shared" si="162"/>
        <v>1162.212</v>
      </c>
      <c r="AJ43" s="4443">
        <f t="shared" si="162"/>
        <v>1162.212</v>
      </c>
      <c r="AK43" s="4443">
        <f t="shared" si="162"/>
        <v>0</v>
      </c>
      <c r="AL43" s="4443">
        <f t="shared" si="247"/>
        <v>934.33011468110146</v>
      </c>
      <c r="AM43" s="4443">
        <f t="shared" si="247"/>
        <v>934.33011468110146</v>
      </c>
      <c r="AN43" s="4443">
        <f t="shared" si="247"/>
        <v>0</v>
      </c>
      <c r="AO43" s="4385">
        <f t="shared" si="324"/>
        <v>113.94094265944926</v>
      </c>
      <c r="AP43" s="4385">
        <f t="shared" si="325"/>
        <v>113.94094265944926</v>
      </c>
      <c r="AQ43" s="4385">
        <f t="shared" si="326"/>
        <v>0</v>
      </c>
      <c r="AR43" s="4442">
        <f t="shared" si="327"/>
        <v>245.56</v>
      </c>
      <c r="AS43" s="4407">
        <v>245.56</v>
      </c>
      <c r="AT43" s="4407"/>
      <c r="AU43" s="4442">
        <f t="shared" si="328"/>
        <v>0</v>
      </c>
      <c r="AV43" s="4407"/>
      <c r="AW43" s="4407"/>
      <c r="AX43" s="4442">
        <f t="shared" si="329"/>
        <v>0</v>
      </c>
      <c r="AY43" s="4407"/>
      <c r="AZ43" s="4407"/>
      <c r="BA43" s="4442">
        <f t="shared" si="304"/>
        <v>245.56</v>
      </c>
      <c r="BB43" s="4442">
        <f t="shared" si="330"/>
        <v>245.56</v>
      </c>
      <c r="BC43" s="4442">
        <f t="shared" si="330"/>
        <v>0</v>
      </c>
      <c r="BD43" s="4384">
        <f t="shared" si="174"/>
        <v>341.82282797834779</v>
      </c>
      <c r="BE43" s="4384">
        <f t="shared" si="175"/>
        <v>341.82282797834779</v>
      </c>
      <c r="BF43" s="4384">
        <f t="shared" si="176"/>
        <v>0</v>
      </c>
      <c r="BG43" s="4443">
        <f t="shared" si="306"/>
        <v>1407.7719999999999</v>
      </c>
      <c r="BH43" s="4443">
        <f t="shared" si="177"/>
        <v>1407.7719999999999</v>
      </c>
      <c r="BI43" s="4443">
        <f t="shared" si="177"/>
        <v>0</v>
      </c>
      <c r="BJ43" s="4443">
        <f t="shared" si="248"/>
        <v>1065.9491720216522</v>
      </c>
      <c r="BK43" s="4443">
        <f t="shared" si="248"/>
        <v>1065.9491720216522</v>
      </c>
      <c r="BL43" s="4443">
        <f t="shared" si="248"/>
        <v>0</v>
      </c>
      <c r="BM43" s="4385">
        <f t="shared" si="339"/>
        <v>113.94094265944926</v>
      </c>
      <c r="BN43" s="4385">
        <f t="shared" si="331"/>
        <v>113.94094265944926</v>
      </c>
      <c r="BO43" s="4385">
        <f t="shared" si="331"/>
        <v>0</v>
      </c>
      <c r="BP43" s="4442">
        <f t="shared" si="332"/>
        <v>0</v>
      </c>
      <c r="BQ43" s="4407"/>
      <c r="BR43" s="4407"/>
      <c r="BS43" s="4442">
        <f t="shared" si="333"/>
        <v>0</v>
      </c>
      <c r="BT43" s="4407"/>
      <c r="BU43" s="4407"/>
      <c r="BV43" s="4442">
        <f t="shared" si="334"/>
        <v>0</v>
      </c>
      <c r="BW43" s="4407"/>
      <c r="BX43" s="4407"/>
      <c r="BY43" s="4442">
        <f t="shared" si="205"/>
        <v>0</v>
      </c>
      <c r="BZ43" s="4442">
        <f t="shared" si="335"/>
        <v>0</v>
      </c>
      <c r="CA43" s="4442">
        <f t="shared" si="335"/>
        <v>0</v>
      </c>
      <c r="CB43" s="4384">
        <f t="shared" si="112"/>
        <v>455.76377063779705</v>
      </c>
      <c r="CC43" s="4446">
        <f>SUM(стоки!EK20)</f>
        <v>455.76377063779705</v>
      </c>
      <c r="CD43" s="4446">
        <f>SUM(стоки!EL20)</f>
        <v>0</v>
      </c>
      <c r="CE43" s="4443">
        <f t="shared" si="189"/>
        <v>1407.7719999999999</v>
      </c>
      <c r="CF43" s="4443">
        <f t="shared" si="190"/>
        <v>1407.7719999999999</v>
      </c>
      <c r="CG43" s="4443">
        <f t="shared" si="190"/>
        <v>0</v>
      </c>
      <c r="CH43" s="4443">
        <f t="shared" si="312"/>
        <v>952.00822936220288</v>
      </c>
      <c r="CI43" s="4443">
        <f t="shared" si="312"/>
        <v>952.00822936220288</v>
      </c>
      <c r="CJ43" s="4443">
        <f t="shared" si="312"/>
        <v>0</v>
      </c>
      <c r="CK43" s="2774"/>
      <c r="CL43" s="3581">
        <f t="shared" si="89"/>
        <v>455.76377063779705</v>
      </c>
      <c r="CM43" s="2774"/>
    </row>
    <row r="44" spans="1:92" ht="18.75" customHeight="1" x14ac:dyDescent="0.3">
      <c r="A44" s="4396" t="s">
        <v>3692</v>
      </c>
      <c r="B44" s="4385">
        <f t="shared" si="269"/>
        <v>0</v>
      </c>
      <c r="C44" s="4385">
        <f t="shared" si="336"/>
        <v>0</v>
      </c>
      <c r="D44" s="4385">
        <f t="shared" si="337"/>
        <v>0</v>
      </c>
      <c r="E44" s="4442">
        <f t="shared" si="93"/>
        <v>0</v>
      </c>
      <c r="F44" s="4407"/>
      <c r="G44" s="4407"/>
      <c r="H44" s="4442">
        <f t="shared" si="315"/>
        <v>0</v>
      </c>
      <c r="I44" s="4407"/>
      <c r="J44" s="4407"/>
      <c r="K44" s="4442">
        <f t="shared" si="316"/>
        <v>0</v>
      </c>
      <c r="L44" s="4407"/>
      <c r="M44" s="4407"/>
      <c r="N44" s="4442">
        <f t="shared" si="193"/>
        <v>0</v>
      </c>
      <c r="O44" s="4442">
        <f t="shared" si="317"/>
        <v>0</v>
      </c>
      <c r="P44" s="4442">
        <f t="shared" si="318"/>
        <v>0</v>
      </c>
      <c r="Q44" s="4385">
        <f t="shared" si="338"/>
        <v>0</v>
      </c>
      <c r="R44" s="4385">
        <f t="shared" si="319"/>
        <v>0</v>
      </c>
      <c r="S44" s="4385">
        <f t="shared" si="319"/>
        <v>0</v>
      </c>
      <c r="T44" s="4442">
        <f t="shared" si="320"/>
        <v>117.249</v>
      </c>
      <c r="U44" s="4407">
        <f>105.749+11.5</f>
        <v>117.249</v>
      </c>
      <c r="V44" s="4407"/>
      <c r="W44" s="4442">
        <f t="shared" si="321"/>
        <v>8.3330000000000002</v>
      </c>
      <c r="X44" s="4407">
        <v>8.3330000000000002</v>
      </c>
      <c r="Y44" s="4407"/>
      <c r="Z44" s="4442">
        <f t="shared" si="322"/>
        <v>60.432499999999997</v>
      </c>
      <c r="AA44" s="4407">
        <v>60.432499999999997</v>
      </c>
      <c r="AB44" s="4407"/>
      <c r="AC44" s="4442">
        <f t="shared" si="117"/>
        <v>186.0145</v>
      </c>
      <c r="AD44" s="4442">
        <f t="shared" si="323"/>
        <v>186.0145</v>
      </c>
      <c r="AE44" s="4442">
        <f t="shared" si="323"/>
        <v>0</v>
      </c>
      <c r="AF44" s="4384">
        <f t="shared" si="159"/>
        <v>0</v>
      </c>
      <c r="AG44" s="4384">
        <f t="shared" si="160"/>
        <v>0</v>
      </c>
      <c r="AH44" s="4384">
        <f t="shared" si="161"/>
        <v>0</v>
      </c>
      <c r="AI44" s="4443">
        <f t="shared" si="162"/>
        <v>186.0145</v>
      </c>
      <c r="AJ44" s="4443">
        <f t="shared" si="162"/>
        <v>186.0145</v>
      </c>
      <c r="AK44" s="4443">
        <f t="shared" si="162"/>
        <v>0</v>
      </c>
      <c r="AL44" s="4443">
        <f t="shared" si="247"/>
        <v>186.0145</v>
      </c>
      <c r="AM44" s="4443">
        <f t="shared" si="247"/>
        <v>186.0145</v>
      </c>
      <c r="AN44" s="4443">
        <f t="shared" si="247"/>
        <v>0</v>
      </c>
      <c r="AO44" s="4385">
        <f t="shared" si="324"/>
        <v>0</v>
      </c>
      <c r="AP44" s="4385">
        <f t="shared" si="325"/>
        <v>0</v>
      </c>
      <c r="AQ44" s="4385">
        <f t="shared" si="326"/>
        <v>0</v>
      </c>
      <c r="AR44" s="4442">
        <f t="shared" si="327"/>
        <v>0</v>
      </c>
      <c r="AS44" s="4407"/>
      <c r="AT44" s="4407"/>
      <c r="AU44" s="4442">
        <f t="shared" si="328"/>
        <v>0</v>
      </c>
      <c r="AV44" s="4407"/>
      <c r="AW44" s="4407"/>
      <c r="AX44" s="4442">
        <f t="shared" si="329"/>
        <v>0</v>
      </c>
      <c r="AY44" s="4407"/>
      <c r="AZ44" s="4407"/>
      <c r="BA44" s="4442">
        <f t="shared" si="304"/>
        <v>0</v>
      </c>
      <c r="BB44" s="4442">
        <f t="shared" si="330"/>
        <v>0</v>
      </c>
      <c r="BC44" s="4442">
        <f t="shared" si="330"/>
        <v>0</v>
      </c>
      <c r="BD44" s="4384">
        <f t="shared" si="174"/>
        <v>0</v>
      </c>
      <c r="BE44" s="4384">
        <f t="shared" si="175"/>
        <v>0</v>
      </c>
      <c r="BF44" s="4384">
        <f t="shared" si="176"/>
        <v>0</v>
      </c>
      <c r="BG44" s="4443">
        <f t="shared" si="306"/>
        <v>186.0145</v>
      </c>
      <c r="BH44" s="4443">
        <f t="shared" si="177"/>
        <v>186.0145</v>
      </c>
      <c r="BI44" s="4443">
        <f t="shared" si="177"/>
        <v>0</v>
      </c>
      <c r="BJ44" s="4443">
        <f t="shared" si="248"/>
        <v>186.0145</v>
      </c>
      <c r="BK44" s="4443">
        <f t="shared" si="248"/>
        <v>186.0145</v>
      </c>
      <c r="BL44" s="4443">
        <f t="shared" si="248"/>
        <v>0</v>
      </c>
      <c r="BM44" s="4385">
        <f t="shared" si="339"/>
        <v>0</v>
      </c>
      <c r="BN44" s="4385">
        <f t="shared" si="331"/>
        <v>0</v>
      </c>
      <c r="BO44" s="4385">
        <f t="shared" si="331"/>
        <v>0</v>
      </c>
      <c r="BP44" s="4442">
        <f t="shared" si="332"/>
        <v>0</v>
      </c>
      <c r="BQ44" s="4407"/>
      <c r="BR44" s="4407"/>
      <c r="BS44" s="4442">
        <f t="shared" si="333"/>
        <v>0</v>
      </c>
      <c r="BT44" s="4407"/>
      <c r="BU44" s="4407"/>
      <c r="BV44" s="4442">
        <f t="shared" si="334"/>
        <v>0</v>
      </c>
      <c r="BW44" s="4407"/>
      <c r="BX44" s="4407"/>
      <c r="BY44" s="4442">
        <f t="shared" si="205"/>
        <v>0</v>
      </c>
      <c r="BZ44" s="4442">
        <f t="shared" si="335"/>
        <v>0</v>
      </c>
      <c r="CA44" s="4442">
        <f t="shared" si="335"/>
        <v>0</v>
      </c>
      <c r="CB44" s="4384">
        <f t="shared" si="112"/>
        <v>0</v>
      </c>
      <c r="CC44" s="4446">
        <f>SUM(стоки!EK21)</f>
        <v>0</v>
      </c>
      <c r="CD44" s="4446">
        <f>SUM(стоки!EL21)</f>
        <v>0</v>
      </c>
      <c r="CE44" s="4443">
        <f t="shared" si="189"/>
        <v>186.0145</v>
      </c>
      <c r="CF44" s="4443">
        <f t="shared" si="190"/>
        <v>186.0145</v>
      </c>
      <c r="CG44" s="4443">
        <f t="shared" si="190"/>
        <v>0</v>
      </c>
      <c r="CH44" s="4443">
        <f t="shared" si="312"/>
        <v>186.0145</v>
      </c>
      <c r="CI44" s="4443">
        <f t="shared" si="312"/>
        <v>186.0145</v>
      </c>
      <c r="CJ44" s="4443">
        <f t="shared" si="312"/>
        <v>0</v>
      </c>
      <c r="CK44" s="2774"/>
      <c r="CL44" s="3581">
        <f t="shared" si="89"/>
        <v>0</v>
      </c>
      <c r="CM44" s="2774"/>
    </row>
    <row r="45" spans="1:92" ht="18.75" customHeight="1" x14ac:dyDescent="0.3">
      <c r="A45" s="4381" t="s">
        <v>3</v>
      </c>
      <c r="B45" s="4385">
        <f t="shared" si="269"/>
        <v>0</v>
      </c>
      <c r="C45" s="4385">
        <f t="shared" si="336"/>
        <v>0</v>
      </c>
      <c r="D45" s="4385">
        <f t="shared" si="337"/>
        <v>0</v>
      </c>
      <c r="E45" s="4442">
        <f t="shared" si="93"/>
        <v>17.195</v>
      </c>
      <c r="F45" s="4407">
        <v>17.195</v>
      </c>
      <c r="G45" s="4407"/>
      <c r="H45" s="4442">
        <f t="shared" si="315"/>
        <v>75.671000000000006</v>
      </c>
      <c r="I45" s="4407">
        <v>75.671000000000006</v>
      </c>
      <c r="J45" s="4407"/>
      <c r="K45" s="4442">
        <f t="shared" si="316"/>
        <v>193.03700000000001</v>
      </c>
      <c r="L45" s="4407">
        <v>193.03700000000001</v>
      </c>
      <c r="M45" s="4407"/>
      <c r="N45" s="4442">
        <f t="shared" si="193"/>
        <v>285.90300000000002</v>
      </c>
      <c r="O45" s="4442">
        <f t="shared" si="317"/>
        <v>285.90300000000002</v>
      </c>
      <c r="P45" s="4442">
        <f t="shared" si="318"/>
        <v>0</v>
      </c>
      <c r="Q45" s="4385">
        <f t="shared" si="338"/>
        <v>0</v>
      </c>
      <c r="R45" s="4385">
        <f t="shared" si="319"/>
        <v>0</v>
      </c>
      <c r="S45" s="4385">
        <f t="shared" si="319"/>
        <v>0</v>
      </c>
      <c r="T45" s="4442">
        <f t="shared" si="320"/>
        <v>160.25200000000001</v>
      </c>
      <c r="U45" s="4407">
        <f>160.252</f>
        <v>160.25200000000001</v>
      </c>
      <c r="V45" s="4407"/>
      <c r="W45" s="4442">
        <f t="shared" si="321"/>
        <v>200.42599999999999</v>
      </c>
      <c r="X45" s="4407">
        <v>200.42599999999999</v>
      </c>
      <c r="Y45" s="4407"/>
      <c r="Z45" s="4442">
        <f t="shared" si="322"/>
        <v>254.542</v>
      </c>
      <c r="AA45" s="4407">
        <v>254.542</v>
      </c>
      <c r="AB45" s="4407"/>
      <c r="AC45" s="4442">
        <f t="shared" si="117"/>
        <v>615.22</v>
      </c>
      <c r="AD45" s="4442">
        <f t="shared" si="323"/>
        <v>615.22</v>
      </c>
      <c r="AE45" s="4442">
        <f t="shared" si="323"/>
        <v>0</v>
      </c>
      <c r="AF45" s="4384">
        <f t="shared" si="159"/>
        <v>0</v>
      </c>
      <c r="AG45" s="4384">
        <f t="shared" si="160"/>
        <v>0</v>
      </c>
      <c r="AH45" s="4384">
        <f t="shared" si="161"/>
        <v>0</v>
      </c>
      <c r="AI45" s="4443">
        <f t="shared" ref="AI45:AK47" si="340">SUM(AC45+N45)</f>
        <v>901.12300000000005</v>
      </c>
      <c r="AJ45" s="4443">
        <f t="shared" si="340"/>
        <v>901.12300000000005</v>
      </c>
      <c r="AK45" s="4443">
        <f t="shared" si="340"/>
        <v>0</v>
      </c>
      <c r="AL45" s="4443">
        <f t="shared" si="247"/>
        <v>901.12300000000005</v>
      </c>
      <c r="AM45" s="4443">
        <f t="shared" si="247"/>
        <v>901.12300000000005</v>
      </c>
      <c r="AN45" s="4443">
        <f t="shared" si="247"/>
        <v>0</v>
      </c>
      <c r="AO45" s="4385">
        <f t="shared" si="324"/>
        <v>0</v>
      </c>
      <c r="AP45" s="4385">
        <f t="shared" si="325"/>
        <v>0</v>
      </c>
      <c r="AQ45" s="4385">
        <f t="shared" si="326"/>
        <v>0</v>
      </c>
      <c r="AR45" s="4442">
        <f t="shared" si="327"/>
        <v>284.39999999999998</v>
      </c>
      <c r="AS45" s="4407">
        <v>284.39999999999998</v>
      </c>
      <c r="AT45" s="4407"/>
      <c r="AU45" s="4442">
        <f t="shared" si="328"/>
        <v>0</v>
      </c>
      <c r="AV45" s="4407"/>
      <c r="AW45" s="4407"/>
      <c r="AX45" s="4442">
        <f t="shared" si="329"/>
        <v>0</v>
      </c>
      <c r="AY45" s="4407"/>
      <c r="AZ45" s="4407"/>
      <c r="BA45" s="4442">
        <f t="shared" si="304"/>
        <v>284.39999999999998</v>
      </c>
      <c r="BB45" s="4442">
        <f t="shared" si="330"/>
        <v>284.39999999999998</v>
      </c>
      <c r="BC45" s="4442">
        <f t="shared" si="330"/>
        <v>0</v>
      </c>
      <c r="BD45" s="4384">
        <f t="shared" si="174"/>
        <v>0</v>
      </c>
      <c r="BE45" s="4384">
        <f t="shared" si="175"/>
        <v>0</v>
      </c>
      <c r="BF45" s="4384">
        <f t="shared" si="176"/>
        <v>0</v>
      </c>
      <c r="BG45" s="4443">
        <f t="shared" si="306"/>
        <v>1185.5230000000001</v>
      </c>
      <c r="BH45" s="4443">
        <f t="shared" ref="BH45:BI47" si="341">SUM(AJ45+BB45)</f>
        <v>1185.5230000000001</v>
      </c>
      <c r="BI45" s="4443">
        <f t="shared" si="341"/>
        <v>0</v>
      </c>
      <c r="BJ45" s="4443">
        <f t="shared" si="248"/>
        <v>1185.5230000000001</v>
      </c>
      <c r="BK45" s="4443">
        <f t="shared" si="248"/>
        <v>1185.5230000000001</v>
      </c>
      <c r="BL45" s="4443">
        <f t="shared" si="248"/>
        <v>0</v>
      </c>
      <c r="BM45" s="4385">
        <f t="shared" si="339"/>
        <v>0</v>
      </c>
      <c r="BN45" s="4385">
        <f t="shared" si="331"/>
        <v>0</v>
      </c>
      <c r="BO45" s="4385">
        <f t="shared" si="331"/>
        <v>0</v>
      </c>
      <c r="BP45" s="4442">
        <f t="shared" si="332"/>
        <v>0</v>
      </c>
      <c r="BQ45" s="4407"/>
      <c r="BR45" s="4407"/>
      <c r="BS45" s="4442">
        <f t="shared" si="333"/>
        <v>0</v>
      </c>
      <c r="BT45" s="4407"/>
      <c r="BU45" s="4407"/>
      <c r="BV45" s="4442">
        <f t="shared" si="334"/>
        <v>0</v>
      </c>
      <c r="BW45" s="4407"/>
      <c r="BX45" s="4407"/>
      <c r="BY45" s="4442">
        <f t="shared" si="205"/>
        <v>0</v>
      </c>
      <c r="BZ45" s="4442">
        <f t="shared" si="335"/>
        <v>0</v>
      </c>
      <c r="CA45" s="4442">
        <f t="shared" si="335"/>
        <v>0</v>
      </c>
      <c r="CB45" s="4384">
        <f t="shared" si="112"/>
        <v>0</v>
      </c>
      <c r="CC45" s="4446">
        <f>SUM(стоки!EK22)</f>
        <v>0</v>
      </c>
      <c r="CD45" s="4446">
        <f>SUM(стоки!EL22)</f>
        <v>0</v>
      </c>
      <c r="CE45" s="4443">
        <f t="shared" si="189"/>
        <v>1185.5230000000001</v>
      </c>
      <c r="CF45" s="4443">
        <f t="shared" ref="CF45:CG47" si="342">SUM(BZ45+BH45)</f>
        <v>1185.5230000000001</v>
      </c>
      <c r="CG45" s="4443">
        <f t="shared" si="342"/>
        <v>0</v>
      </c>
      <c r="CH45" s="4443">
        <f t="shared" si="312"/>
        <v>1185.5230000000001</v>
      </c>
      <c r="CI45" s="4443">
        <f t="shared" si="312"/>
        <v>1185.5230000000001</v>
      </c>
      <c r="CJ45" s="4443">
        <f t="shared" si="312"/>
        <v>0</v>
      </c>
      <c r="CK45" s="2774"/>
      <c r="CL45" s="3581">
        <f t="shared" si="89"/>
        <v>0</v>
      </c>
      <c r="CM45" s="2774"/>
    </row>
    <row r="46" spans="1:92" ht="18.75" customHeight="1" x14ac:dyDescent="0.3">
      <c r="A46" s="4381" t="s">
        <v>4</v>
      </c>
      <c r="B46" s="4385">
        <f t="shared" si="269"/>
        <v>6558.5460384191319</v>
      </c>
      <c r="C46" s="4385">
        <f t="shared" si="336"/>
        <v>6523.0464654191319</v>
      </c>
      <c r="D46" s="4385">
        <f t="shared" si="337"/>
        <v>35.499573000000005</v>
      </c>
      <c r="E46" s="4442">
        <f t="shared" si="93"/>
        <v>2347.7472199999997</v>
      </c>
      <c r="F46" s="4407">
        <v>2334.1019999999999</v>
      </c>
      <c r="G46" s="4407">
        <v>13.64522</v>
      </c>
      <c r="H46" s="4442">
        <f t="shared" si="315"/>
        <v>2010.6062999999999</v>
      </c>
      <c r="I46" s="4407">
        <v>1999.0254299999999</v>
      </c>
      <c r="J46" s="4407">
        <v>11.580870000000001</v>
      </c>
      <c r="K46" s="4442">
        <f t="shared" si="316"/>
        <v>1887.4643900000001</v>
      </c>
      <c r="L46" s="4407">
        <v>1874.403</v>
      </c>
      <c r="M46" s="4407">
        <v>13.061389999999999</v>
      </c>
      <c r="N46" s="4442">
        <f t="shared" si="193"/>
        <v>6245.8179099999998</v>
      </c>
      <c r="O46" s="4442">
        <f t="shared" si="317"/>
        <v>6207.5304299999998</v>
      </c>
      <c r="P46" s="4442">
        <f t="shared" si="318"/>
        <v>38.287480000000002</v>
      </c>
      <c r="Q46" s="4385">
        <f t="shared" si="338"/>
        <v>6558.5460384191319</v>
      </c>
      <c r="R46" s="4385">
        <f t="shared" si="319"/>
        <v>6523.0464654191319</v>
      </c>
      <c r="S46" s="4385">
        <f t="shared" si="319"/>
        <v>35.499573000000005</v>
      </c>
      <c r="T46" s="4442">
        <f t="shared" si="320"/>
        <v>1875.3910000000001</v>
      </c>
      <c r="U46" s="4407">
        <v>1866.837</v>
      </c>
      <c r="V46" s="4407">
        <v>8.5540000000000003</v>
      </c>
      <c r="W46" s="4442">
        <f t="shared" si="321"/>
        <v>2030.5026700000001</v>
      </c>
      <c r="X46" s="4407">
        <v>2018.1310000000001</v>
      </c>
      <c r="Y46" s="4407">
        <v>12.37167</v>
      </c>
      <c r="Z46" s="4442">
        <f t="shared" si="322"/>
        <v>1937.7819</v>
      </c>
      <c r="AA46" s="4407">
        <v>1924.3209999999999</v>
      </c>
      <c r="AB46" s="4407">
        <v>13.460900000000001</v>
      </c>
      <c r="AC46" s="4442">
        <f t="shared" si="117"/>
        <v>5843.6755699999994</v>
      </c>
      <c r="AD46" s="4442">
        <f t="shared" si="323"/>
        <v>5809.2889999999998</v>
      </c>
      <c r="AE46" s="4442">
        <f t="shared" si="323"/>
        <v>34.386569999999999</v>
      </c>
      <c r="AF46" s="4384">
        <f t="shared" si="159"/>
        <v>13117.092076838264</v>
      </c>
      <c r="AG46" s="4384">
        <f t="shared" si="160"/>
        <v>13046.092930838264</v>
      </c>
      <c r="AH46" s="4384">
        <f t="shared" si="161"/>
        <v>70.99914600000001</v>
      </c>
      <c r="AI46" s="4443">
        <f t="shared" si="340"/>
        <v>12089.493479999999</v>
      </c>
      <c r="AJ46" s="4443">
        <f t="shared" si="340"/>
        <v>12016.81943</v>
      </c>
      <c r="AK46" s="4443">
        <f t="shared" si="340"/>
        <v>72.674049999999994</v>
      </c>
      <c r="AL46" s="4443">
        <f t="shared" si="247"/>
        <v>-1027.5985968382647</v>
      </c>
      <c r="AM46" s="4443">
        <f t="shared" si="247"/>
        <v>-1029.2735008382642</v>
      </c>
      <c r="AN46" s="4443">
        <f t="shared" si="247"/>
        <v>1.6749039999999837</v>
      </c>
      <c r="AO46" s="4385">
        <f t="shared" si="324"/>
        <v>6558.5460384191319</v>
      </c>
      <c r="AP46" s="4385">
        <f t="shared" si="325"/>
        <v>6523.0464654191319</v>
      </c>
      <c r="AQ46" s="4385">
        <f t="shared" si="326"/>
        <v>35.499573000000005</v>
      </c>
      <c r="AR46" s="4442">
        <f t="shared" si="327"/>
        <v>1785.62312</v>
      </c>
      <c r="AS46" s="4407">
        <v>1778.463</v>
      </c>
      <c r="AT46" s="4407">
        <v>7.16012</v>
      </c>
      <c r="AU46" s="4442">
        <f t="shared" si="328"/>
        <v>0</v>
      </c>
      <c r="AV46" s="4407"/>
      <c r="AW46" s="4407"/>
      <c r="AX46" s="4442">
        <f t="shared" si="329"/>
        <v>0</v>
      </c>
      <c r="AY46" s="4407"/>
      <c r="AZ46" s="4407"/>
      <c r="BA46" s="4442">
        <f t="shared" si="304"/>
        <v>1785.62312</v>
      </c>
      <c r="BB46" s="4442">
        <f t="shared" si="330"/>
        <v>1778.463</v>
      </c>
      <c r="BC46" s="4442">
        <f t="shared" si="330"/>
        <v>7.16012</v>
      </c>
      <c r="BD46" s="4384">
        <f t="shared" si="174"/>
        <v>19675.638115257396</v>
      </c>
      <c r="BE46" s="4384">
        <f t="shared" si="175"/>
        <v>19569.139396257397</v>
      </c>
      <c r="BF46" s="4384">
        <f t="shared" si="176"/>
        <v>106.49871900000002</v>
      </c>
      <c r="BG46" s="4443">
        <f t="shared" si="306"/>
        <v>13875.116599999999</v>
      </c>
      <c r="BH46" s="4443">
        <f t="shared" si="341"/>
        <v>13795.282429999999</v>
      </c>
      <c r="BI46" s="4443">
        <f t="shared" si="341"/>
        <v>79.83417</v>
      </c>
      <c r="BJ46" s="4443">
        <f t="shared" si="248"/>
        <v>-5800.5215152573965</v>
      </c>
      <c r="BK46" s="4443">
        <f t="shared" si="248"/>
        <v>-5773.8569662573973</v>
      </c>
      <c r="BL46" s="4443">
        <f t="shared" si="248"/>
        <v>-26.664549000000022</v>
      </c>
      <c r="BM46" s="4385">
        <f t="shared" si="339"/>
        <v>6558.5460384191319</v>
      </c>
      <c r="BN46" s="4385">
        <f t="shared" si="331"/>
        <v>6523.0464654191319</v>
      </c>
      <c r="BO46" s="4385">
        <f t="shared" si="331"/>
        <v>35.499573000000005</v>
      </c>
      <c r="BP46" s="4442">
        <f t="shared" si="332"/>
        <v>0</v>
      </c>
      <c r="BQ46" s="4407"/>
      <c r="BR46" s="4407"/>
      <c r="BS46" s="4442">
        <f t="shared" si="333"/>
        <v>0</v>
      </c>
      <c r="BT46" s="4407"/>
      <c r="BU46" s="4407"/>
      <c r="BV46" s="4442">
        <f t="shared" si="334"/>
        <v>0</v>
      </c>
      <c r="BW46" s="4407"/>
      <c r="BX46" s="4407"/>
      <c r="BY46" s="4442">
        <f t="shared" si="205"/>
        <v>0</v>
      </c>
      <c r="BZ46" s="4442">
        <f t="shared" si="335"/>
        <v>0</v>
      </c>
      <c r="CA46" s="4442">
        <f t="shared" si="335"/>
        <v>0</v>
      </c>
      <c r="CB46" s="4384">
        <f t="shared" si="112"/>
        <v>26234.184153676528</v>
      </c>
      <c r="CC46" s="4446">
        <f>SUM(стоки!EK23)</f>
        <v>26092.185861676528</v>
      </c>
      <c r="CD46" s="4446">
        <f>SUM(стоки!EL23)</f>
        <v>141.99829200000002</v>
      </c>
      <c r="CE46" s="4443">
        <f t="shared" si="189"/>
        <v>13875.116599999999</v>
      </c>
      <c r="CF46" s="4443">
        <f t="shared" si="342"/>
        <v>13795.282429999999</v>
      </c>
      <c r="CG46" s="4443">
        <f t="shared" si="342"/>
        <v>79.83417</v>
      </c>
      <c r="CH46" s="4443">
        <f t="shared" si="312"/>
        <v>-12359.067553676528</v>
      </c>
      <c r="CI46" s="4443">
        <f t="shared" si="312"/>
        <v>-12296.903431676528</v>
      </c>
      <c r="CJ46" s="4443">
        <f t="shared" si="312"/>
        <v>-62.16412200000002</v>
      </c>
      <c r="CK46" s="2774"/>
      <c r="CL46" s="3581">
        <f t="shared" si="89"/>
        <v>26234.184153676528</v>
      </c>
      <c r="CM46" s="2774"/>
    </row>
    <row r="47" spans="1:92" ht="18.75" customHeight="1" x14ac:dyDescent="0.3">
      <c r="A47" s="4381" t="s">
        <v>113</v>
      </c>
      <c r="B47" s="4385">
        <f t="shared" si="269"/>
        <v>1984.5015818931342</v>
      </c>
      <c r="C47" s="4385">
        <f t="shared" si="336"/>
        <v>1973.778949271775</v>
      </c>
      <c r="D47" s="4385">
        <f t="shared" si="337"/>
        <v>10.722632621359224</v>
      </c>
      <c r="E47" s="4442">
        <f t="shared" si="93"/>
        <v>705.53385000000003</v>
      </c>
      <c r="F47" s="4407">
        <f>4.659+696.754</f>
        <v>701.41300000000001</v>
      </c>
      <c r="G47" s="4407">
        <f>0.02729+4.09356</f>
        <v>4.1208499999999999</v>
      </c>
      <c r="H47" s="4442">
        <f t="shared" si="315"/>
        <v>616.10883999999999</v>
      </c>
      <c r="I47" s="4407">
        <f>4.08278+608.52864</f>
        <v>612.61141999999995</v>
      </c>
      <c r="J47" s="4407">
        <f>0.02316+3.47426</f>
        <v>3.49742</v>
      </c>
      <c r="K47" s="4442">
        <f t="shared" si="316"/>
        <v>616.39195000000007</v>
      </c>
      <c r="L47" s="4407">
        <f>3.989+607.979</f>
        <v>611.96800000000007</v>
      </c>
      <c r="M47" s="4407">
        <f>0.0293+4.39465</f>
        <v>4.4239500000000005</v>
      </c>
      <c r="N47" s="4442">
        <f t="shared" si="193"/>
        <v>1938.0346400000001</v>
      </c>
      <c r="O47" s="4442">
        <f t="shared" si="317"/>
        <v>1925.99242</v>
      </c>
      <c r="P47" s="4442">
        <f t="shared" si="318"/>
        <v>12.04222</v>
      </c>
      <c r="Q47" s="4385">
        <f t="shared" si="338"/>
        <v>1984.5015818931342</v>
      </c>
      <c r="R47" s="4385">
        <f t="shared" si="319"/>
        <v>1973.778949271775</v>
      </c>
      <c r="S47" s="4385">
        <f t="shared" si="319"/>
        <v>10.722632621359224</v>
      </c>
      <c r="T47" s="4442">
        <f t="shared" si="320"/>
        <v>586.33999999999992</v>
      </c>
      <c r="U47" s="4407">
        <f>3.872+579.885</f>
        <v>583.75699999999995</v>
      </c>
      <c r="V47" s="4407">
        <v>2.5830000000000002</v>
      </c>
      <c r="W47" s="4442">
        <f t="shared" si="321"/>
        <v>619.05023999999992</v>
      </c>
      <c r="X47" s="4407">
        <f>4.078+611.236</f>
        <v>615.31399999999996</v>
      </c>
      <c r="Y47" s="4407">
        <f>0.02475+3.71149</f>
        <v>3.73624</v>
      </c>
      <c r="Z47" s="4442">
        <f t="shared" si="322"/>
        <v>593.29019000000005</v>
      </c>
      <c r="AA47" s="4407">
        <f>3.898+585.327</f>
        <v>589.22500000000002</v>
      </c>
      <c r="AB47" s="4407">
        <v>4.0651900000000003</v>
      </c>
      <c r="AC47" s="4442">
        <f t="shared" si="117"/>
        <v>1798.6804299999999</v>
      </c>
      <c r="AD47" s="4442">
        <f t="shared" si="323"/>
        <v>1788.2959999999998</v>
      </c>
      <c r="AE47" s="4442">
        <f t="shared" si="323"/>
        <v>10.384430000000002</v>
      </c>
      <c r="AF47" s="4384">
        <f t="shared" si="159"/>
        <v>3969.0031637862685</v>
      </c>
      <c r="AG47" s="4384">
        <f t="shared" si="160"/>
        <v>3947.55789854355</v>
      </c>
      <c r="AH47" s="4384">
        <f t="shared" si="161"/>
        <v>21.445265242718449</v>
      </c>
      <c r="AI47" s="4443">
        <f t="shared" si="340"/>
        <v>3736.7150700000002</v>
      </c>
      <c r="AJ47" s="4443">
        <f t="shared" si="340"/>
        <v>3714.2884199999999</v>
      </c>
      <c r="AK47" s="4443">
        <f t="shared" si="340"/>
        <v>22.426650000000002</v>
      </c>
      <c r="AL47" s="4443">
        <f t="shared" si="247"/>
        <v>-232.28809378626829</v>
      </c>
      <c r="AM47" s="4443">
        <f t="shared" si="247"/>
        <v>-233.26947854355012</v>
      </c>
      <c r="AN47" s="4443">
        <f t="shared" si="247"/>
        <v>0.98138475728155328</v>
      </c>
      <c r="AO47" s="4385">
        <f t="shared" si="324"/>
        <v>1984.5015818931342</v>
      </c>
      <c r="AP47" s="4385">
        <f t="shared" si="325"/>
        <v>1973.778949271775</v>
      </c>
      <c r="AQ47" s="4385">
        <f t="shared" si="326"/>
        <v>10.722632621359224</v>
      </c>
      <c r="AR47" s="4442">
        <f t="shared" si="327"/>
        <v>559.91917000000001</v>
      </c>
      <c r="AS47" s="4407">
        <f>553.855+3.698</f>
        <v>557.553</v>
      </c>
      <c r="AT47" s="4407">
        <v>2.3661699999999999</v>
      </c>
      <c r="AU47" s="4442">
        <f t="shared" si="328"/>
        <v>0</v>
      </c>
      <c r="AV47" s="4407"/>
      <c r="AW47" s="4407"/>
      <c r="AX47" s="4442">
        <f t="shared" si="329"/>
        <v>0</v>
      </c>
      <c r="AY47" s="4407"/>
      <c r="AZ47" s="4407"/>
      <c r="BA47" s="4442">
        <f t="shared" si="304"/>
        <v>559.91917000000001</v>
      </c>
      <c r="BB47" s="4442">
        <f t="shared" si="330"/>
        <v>557.553</v>
      </c>
      <c r="BC47" s="4442">
        <f t="shared" si="330"/>
        <v>2.3661699999999999</v>
      </c>
      <c r="BD47" s="4384">
        <f t="shared" si="174"/>
        <v>5953.5047456794027</v>
      </c>
      <c r="BE47" s="4384">
        <f t="shared" si="175"/>
        <v>5921.3368478153252</v>
      </c>
      <c r="BF47" s="4384">
        <f t="shared" si="176"/>
        <v>32.167897864077673</v>
      </c>
      <c r="BG47" s="4443">
        <f t="shared" si="306"/>
        <v>4296.6342400000003</v>
      </c>
      <c r="BH47" s="4443">
        <f t="shared" si="341"/>
        <v>4271.8414199999997</v>
      </c>
      <c r="BI47" s="4443">
        <f t="shared" si="341"/>
        <v>24.792820000000003</v>
      </c>
      <c r="BJ47" s="4443">
        <f t="shared" si="248"/>
        <v>-1656.8705056794024</v>
      </c>
      <c r="BK47" s="4443">
        <f t="shared" si="248"/>
        <v>-1649.4954278153255</v>
      </c>
      <c r="BL47" s="4443">
        <f t="shared" si="248"/>
        <v>-7.3750778640776709</v>
      </c>
      <c r="BM47" s="4385">
        <f t="shared" si="339"/>
        <v>1984.5015818931342</v>
      </c>
      <c r="BN47" s="4385">
        <f t="shared" si="331"/>
        <v>1973.778949271775</v>
      </c>
      <c r="BO47" s="4385">
        <f t="shared" si="331"/>
        <v>10.722632621359224</v>
      </c>
      <c r="BP47" s="4442">
        <f t="shared" si="332"/>
        <v>0</v>
      </c>
      <c r="BQ47" s="4407"/>
      <c r="BR47" s="4407"/>
      <c r="BS47" s="4442">
        <f t="shared" si="333"/>
        <v>0</v>
      </c>
      <c r="BT47" s="4407"/>
      <c r="BU47" s="4407"/>
      <c r="BV47" s="4442">
        <f t="shared" si="334"/>
        <v>0</v>
      </c>
      <c r="BW47" s="4407"/>
      <c r="BX47" s="4407"/>
      <c r="BY47" s="4442">
        <f t="shared" si="205"/>
        <v>0</v>
      </c>
      <c r="BZ47" s="4442">
        <f t="shared" si="335"/>
        <v>0</v>
      </c>
      <c r="CA47" s="4442">
        <f t="shared" si="335"/>
        <v>0</v>
      </c>
      <c r="CB47" s="4384">
        <f t="shared" si="112"/>
        <v>7938.006327572537</v>
      </c>
      <c r="CC47" s="4446">
        <f>SUM(стоки!EK24)</f>
        <v>7895.1157970871</v>
      </c>
      <c r="CD47" s="4446">
        <f>SUM(стоки!EL24)</f>
        <v>42.890530485436898</v>
      </c>
      <c r="CE47" s="4443">
        <f t="shared" si="189"/>
        <v>4296.6342400000003</v>
      </c>
      <c r="CF47" s="4443">
        <f t="shared" si="342"/>
        <v>4271.8414199999997</v>
      </c>
      <c r="CG47" s="4443">
        <f t="shared" si="342"/>
        <v>24.792820000000003</v>
      </c>
      <c r="CH47" s="4443">
        <f t="shared" si="312"/>
        <v>-3641.3720875725367</v>
      </c>
      <c r="CI47" s="4443">
        <f t="shared" si="312"/>
        <v>-3623.2743770871002</v>
      </c>
      <c r="CJ47" s="4443">
        <f t="shared" si="312"/>
        <v>-18.097710485436895</v>
      </c>
      <c r="CK47" s="2774"/>
      <c r="CL47" s="3581">
        <f t="shared" si="89"/>
        <v>7938.006327572537</v>
      </c>
      <c r="CM47" s="2774"/>
    </row>
    <row r="48" spans="1:92" ht="18.75" customHeight="1" x14ac:dyDescent="0.3">
      <c r="A48" s="4386" t="str">
        <f>A28</f>
        <v>то же в %</v>
      </c>
      <c r="B48" s="4409">
        <f t="shared" ref="B48:D48" si="343">SUM(B47/B46)</f>
        <v>0.30258254958769448</v>
      </c>
      <c r="C48" s="4409">
        <f t="shared" si="343"/>
        <v>0.30258544987153513</v>
      </c>
      <c r="D48" s="4409">
        <f t="shared" si="343"/>
        <v>0.30204962243797195</v>
      </c>
      <c r="E48" s="4409">
        <f>SUM(E47/E46)</f>
        <v>0.30051525308589233</v>
      </c>
      <c r="F48" s="4409">
        <f t="shared" ref="F48:G48" si="344">SUM(F47/F46)</f>
        <v>0.30050657597654262</v>
      </c>
      <c r="G48" s="4409">
        <f t="shared" si="344"/>
        <v>0.30199952803985569</v>
      </c>
      <c r="H48" s="4409">
        <f>SUM(H47/H46)</f>
        <v>0.30642937903855172</v>
      </c>
      <c r="I48" s="4409">
        <f t="shared" ref="I48:J48" si="345">SUM(I47/I46)</f>
        <v>0.30645504094462667</v>
      </c>
      <c r="J48" s="4409">
        <f t="shared" si="345"/>
        <v>0.30199976340292223</v>
      </c>
      <c r="K48" s="4409">
        <f>SUM(K47/K46)</f>
        <v>0.32657143269336064</v>
      </c>
      <c r="L48" s="4409">
        <f t="shared" ref="L48:S48" si="346">SUM(L47/L46)</f>
        <v>0.32648688675807713</v>
      </c>
      <c r="M48" s="4409">
        <f t="shared" si="346"/>
        <v>0.33870437985543655</v>
      </c>
      <c r="N48" s="4409">
        <f t="shared" si="346"/>
        <v>0.31029317023428882</v>
      </c>
      <c r="O48" s="4409">
        <f t="shared" si="346"/>
        <v>0.31026709280263648</v>
      </c>
      <c r="P48" s="4409">
        <f t="shared" si="346"/>
        <v>0.31452109148995966</v>
      </c>
      <c r="Q48" s="4409">
        <f t="shared" si="346"/>
        <v>0.30258254958769448</v>
      </c>
      <c r="R48" s="4409">
        <f t="shared" si="346"/>
        <v>0.30258544987153513</v>
      </c>
      <c r="S48" s="4409">
        <f t="shared" si="346"/>
        <v>0.30204962243797195</v>
      </c>
      <c r="T48" s="4409">
        <f>SUM(T47/T46)</f>
        <v>0.31264946883076644</v>
      </c>
      <c r="U48" s="4409">
        <f t="shared" ref="U48:V48" si="347">SUM(U47/U46)</f>
        <v>0.31269843055392621</v>
      </c>
      <c r="V48" s="4409">
        <f t="shared" si="347"/>
        <v>0.30196399345335517</v>
      </c>
      <c r="W48" s="4409">
        <f>SUM(W47/W46)</f>
        <v>0.30487536369504004</v>
      </c>
      <c r="X48" s="4409">
        <f t="shared" ref="X48:Y48" si="348">SUM(X47/X46)</f>
        <v>0.30489299257580404</v>
      </c>
      <c r="Y48" s="4409">
        <f t="shared" si="348"/>
        <v>0.30199964919853178</v>
      </c>
      <c r="Z48" s="4409">
        <f>SUM(Z47/Z46)</f>
        <v>0.30616974490266424</v>
      </c>
      <c r="AA48" s="4409">
        <f t="shared" ref="AA48:AK48" si="349">SUM(AA47/AA46)</f>
        <v>0.30619891379868536</v>
      </c>
      <c r="AB48" s="4409">
        <f t="shared" si="349"/>
        <v>0.30199986627937214</v>
      </c>
      <c r="AC48" s="4409">
        <f t="shared" si="349"/>
        <v>0.30779950194942118</v>
      </c>
      <c r="AD48" s="4409">
        <f t="shared" si="349"/>
        <v>0.30783388466299405</v>
      </c>
      <c r="AE48" s="4409">
        <f t="shared" si="349"/>
        <v>0.301990864456676</v>
      </c>
      <c r="AF48" s="4410">
        <f t="shared" si="349"/>
        <v>0.30258254958769448</v>
      </c>
      <c r="AG48" s="4410">
        <f t="shared" si="349"/>
        <v>0.30258544987153513</v>
      </c>
      <c r="AH48" s="4410">
        <f t="shared" si="349"/>
        <v>0.30204962243797195</v>
      </c>
      <c r="AI48" s="4410">
        <f t="shared" si="349"/>
        <v>0.30908781051759998</v>
      </c>
      <c r="AJ48" s="4410">
        <f t="shared" si="349"/>
        <v>0.30909080740010753</v>
      </c>
      <c r="AK48" s="4410">
        <f t="shared" si="349"/>
        <v>0.30859226917998933</v>
      </c>
      <c r="AL48" s="4444">
        <f t="shared" si="247"/>
        <v>6.5052609299054986E-3</v>
      </c>
      <c r="AM48" s="4444">
        <f t="shared" si="247"/>
        <v>6.5053575285723975E-3</v>
      </c>
      <c r="AN48" s="4444">
        <f t="shared" si="247"/>
        <v>6.5426467420173773E-3</v>
      </c>
      <c r="AO48" s="4409">
        <f t="shared" ref="AO48:AQ48" si="350">SUM(AO47/AO46)</f>
        <v>0.30258254958769448</v>
      </c>
      <c r="AP48" s="4409">
        <f t="shared" si="350"/>
        <v>0.30258544987153513</v>
      </c>
      <c r="AQ48" s="4409">
        <f t="shared" si="350"/>
        <v>0.30204962243797195</v>
      </c>
      <c r="AR48" s="4409">
        <f>SUM(AR47/AR46)</f>
        <v>0.31357074386447237</v>
      </c>
      <c r="AS48" s="4409">
        <f t="shared" ref="AS48:AT48" si="351">SUM(AS47/AS46)</f>
        <v>0.31350272679274183</v>
      </c>
      <c r="AT48" s="4409">
        <f t="shared" si="351"/>
        <v>0.33046513186929827</v>
      </c>
      <c r="AU48" s="4409" t="e">
        <f>SUM(AU47/AU46)</f>
        <v>#DIV/0!</v>
      </c>
      <c r="AV48" s="4409" t="e">
        <f t="shared" ref="AV48:AW48" si="352">SUM(AV47/AV46)</f>
        <v>#DIV/0!</v>
      </c>
      <c r="AW48" s="4409" t="e">
        <f t="shared" si="352"/>
        <v>#DIV/0!</v>
      </c>
      <c r="AX48" s="4409" t="e">
        <f>SUM(AX47/AX46)</f>
        <v>#DIV/0!</v>
      </c>
      <c r="AY48" s="4409" t="e">
        <f t="shared" ref="AY48:BF48" si="353">SUM(AY47/AY46)</f>
        <v>#DIV/0!</v>
      </c>
      <c r="AZ48" s="4409" t="e">
        <f t="shared" si="353"/>
        <v>#DIV/0!</v>
      </c>
      <c r="BA48" s="4409">
        <f t="shared" si="353"/>
        <v>0.31357074386447237</v>
      </c>
      <c r="BB48" s="4409">
        <f t="shared" si="353"/>
        <v>0.31350272679274183</v>
      </c>
      <c r="BC48" s="4409">
        <f t="shared" si="353"/>
        <v>0.33046513186929827</v>
      </c>
      <c r="BD48" s="4410">
        <f t="shared" si="353"/>
        <v>0.30258254958769448</v>
      </c>
      <c r="BE48" s="4410">
        <f t="shared" si="353"/>
        <v>0.30258544987153513</v>
      </c>
      <c r="BF48" s="4410">
        <f t="shared" si="353"/>
        <v>0.3020496224379719</v>
      </c>
      <c r="BG48" s="4410">
        <f>SUM(BG47/BG46)</f>
        <v>0.30966473031296909</v>
      </c>
      <c r="BH48" s="4410">
        <f t="shared" ref="BH48:BI48" si="354">SUM(BH47/BH46)</f>
        <v>0.30965958411334971</v>
      </c>
      <c r="BI48" s="4410">
        <f t="shared" si="354"/>
        <v>0.31055398960119462</v>
      </c>
      <c r="BJ48" s="4444">
        <f t="shared" si="248"/>
        <v>7.0821807252746116E-3</v>
      </c>
      <c r="BK48" s="4444">
        <f t="shared" si="248"/>
        <v>7.0741342418145781E-3</v>
      </c>
      <c r="BL48" s="4444">
        <f t="shared" si="248"/>
        <v>8.5043671632227258E-3</v>
      </c>
      <c r="BM48" s="4409">
        <f t="shared" ref="BM48:BO48" si="355">SUM(BM47/BM46)</f>
        <v>0.30258254958769448</v>
      </c>
      <c r="BN48" s="4409">
        <f t="shared" si="355"/>
        <v>0.30258544987153513</v>
      </c>
      <c r="BO48" s="4409">
        <f t="shared" si="355"/>
        <v>0.30204962243797195</v>
      </c>
      <c r="BP48" s="4409" t="e">
        <f>SUM(BP47/BP46)</f>
        <v>#DIV/0!</v>
      </c>
      <c r="BQ48" s="4409" t="e">
        <f t="shared" ref="BQ48:BR48" si="356">SUM(BQ47/BQ46)</f>
        <v>#DIV/0!</v>
      </c>
      <c r="BR48" s="4409" t="e">
        <f t="shared" si="356"/>
        <v>#DIV/0!</v>
      </c>
      <c r="BS48" s="4409" t="e">
        <f>SUM(BS47/BS46)</f>
        <v>#DIV/0!</v>
      </c>
      <c r="BT48" s="4409" t="e">
        <f t="shared" ref="BT48:BU48" si="357">SUM(BT47/BT46)</f>
        <v>#DIV/0!</v>
      </c>
      <c r="BU48" s="4409" t="e">
        <f t="shared" si="357"/>
        <v>#DIV/0!</v>
      </c>
      <c r="BV48" s="4409" t="e">
        <f>SUM(BV47/BV46)</f>
        <v>#DIV/0!</v>
      </c>
      <c r="BW48" s="4409" t="e">
        <f t="shared" ref="BW48:CG48" si="358">SUM(BW47/BW46)</f>
        <v>#DIV/0!</v>
      </c>
      <c r="BX48" s="4409" t="e">
        <f t="shared" si="358"/>
        <v>#DIV/0!</v>
      </c>
      <c r="BY48" s="4409" t="e">
        <f t="shared" si="358"/>
        <v>#DIV/0!</v>
      </c>
      <c r="BZ48" s="4409" t="e">
        <f t="shared" si="358"/>
        <v>#DIV/0!</v>
      </c>
      <c r="CA48" s="4409" t="e">
        <f t="shared" si="358"/>
        <v>#DIV/0!</v>
      </c>
      <c r="CB48" s="4410">
        <f t="shared" si="358"/>
        <v>0.30258254958769448</v>
      </c>
      <c r="CC48" s="4410">
        <f t="shared" si="358"/>
        <v>0.30258544987153513</v>
      </c>
      <c r="CD48" s="4410">
        <f t="shared" si="358"/>
        <v>0.30204962243797195</v>
      </c>
      <c r="CE48" s="4410">
        <f t="shared" si="358"/>
        <v>0.30966473031296909</v>
      </c>
      <c r="CF48" s="4410">
        <f t="shared" si="358"/>
        <v>0.30965958411334971</v>
      </c>
      <c r="CG48" s="4410">
        <f t="shared" si="358"/>
        <v>0.31055398960119462</v>
      </c>
      <c r="CH48" s="4444">
        <f t="shared" si="312"/>
        <v>7.0821807252746116E-3</v>
      </c>
      <c r="CI48" s="4444">
        <f t="shared" si="312"/>
        <v>7.0741342418145781E-3</v>
      </c>
      <c r="CJ48" s="4444">
        <f t="shared" si="312"/>
        <v>8.5043671632226703E-3</v>
      </c>
      <c r="CK48" s="2774"/>
      <c r="CL48" s="3576"/>
      <c r="CM48" s="2774"/>
    </row>
    <row r="49" spans="1:92" ht="18.75" customHeight="1" x14ac:dyDescent="0.3">
      <c r="A49" s="4418" t="s">
        <v>3693</v>
      </c>
      <c r="B49" s="4377">
        <f t="shared" si="269"/>
        <v>3535.7018243484322</v>
      </c>
      <c r="C49" s="4414">
        <f t="shared" ref="C49:D49" si="359">SUM(C50:C65)+C70</f>
        <v>3535.7018243484322</v>
      </c>
      <c r="D49" s="4414">
        <f t="shared" si="359"/>
        <v>0</v>
      </c>
      <c r="E49" s="4415">
        <f t="shared" ref="E49:E112" si="360">SUM(F49:G49)</f>
        <v>1369.7800000000002</v>
      </c>
      <c r="F49" s="4415">
        <f>SUM(F50:F65)+F70</f>
        <v>1369.7800000000002</v>
      </c>
      <c r="G49" s="4415">
        <f t="shared" ref="G49" si="361">SUM(G50:G65)+G70</f>
        <v>0</v>
      </c>
      <c r="H49" s="4415">
        <f t="shared" ref="H49:H64" si="362">SUM(I49:J49)</f>
        <v>1344.3051599999999</v>
      </c>
      <c r="I49" s="4415">
        <f t="shared" ref="I49:J49" si="363">SUM(I50:I65)+I70</f>
        <v>1344.3051599999999</v>
      </c>
      <c r="J49" s="4415">
        <f t="shared" si="363"/>
        <v>0</v>
      </c>
      <c r="K49" s="4415">
        <f t="shared" ref="K49:K64" si="364">SUM(L49:M49)</f>
        <v>1296.9508000000001</v>
      </c>
      <c r="L49" s="4415">
        <f t="shared" ref="L49:M49" si="365">SUM(L50:L65)+L70</f>
        <v>1296.9508000000001</v>
      </c>
      <c r="M49" s="4415">
        <f t="shared" si="365"/>
        <v>0</v>
      </c>
      <c r="N49" s="4415">
        <f t="shared" ref="N49:N74" si="366">SUM(O49:P49)</f>
        <v>4011.0359600000002</v>
      </c>
      <c r="O49" s="4415">
        <f t="shared" ref="O49:P74" si="367">SUM(F49+I49+L49)</f>
        <v>4011.0359600000002</v>
      </c>
      <c r="P49" s="4415">
        <f t="shared" si="367"/>
        <v>0</v>
      </c>
      <c r="Q49" s="4377">
        <f t="shared" si="338"/>
        <v>3535.7018243484322</v>
      </c>
      <c r="R49" s="4414">
        <f t="shared" ref="R49:S49" si="368">SUM(R50:R65)+R70</f>
        <v>3535.7018243484322</v>
      </c>
      <c r="S49" s="4414">
        <f t="shared" si="368"/>
        <v>0</v>
      </c>
      <c r="T49" s="4415">
        <f t="shared" ref="T49:T64" si="369">SUM(U49:V49)</f>
        <v>1506.0040000000001</v>
      </c>
      <c r="U49" s="4415">
        <f t="shared" ref="U49:V49" si="370">SUM(U50:U65)+U70</f>
        <v>1506.0040000000001</v>
      </c>
      <c r="V49" s="4415">
        <f t="shared" si="370"/>
        <v>0</v>
      </c>
      <c r="W49" s="4415">
        <f t="shared" ref="W49:W64" si="371">SUM(X49:Y49)</f>
        <v>2606.6449999999995</v>
      </c>
      <c r="X49" s="4415">
        <f>SUM(X50:X65)+X70</f>
        <v>2606.6449999999995</v>
      </c>
      <c r="Y49" s="4415">
        <f t="shared" ref="Y49" si="372">SUM(Y50:Y65)+Y70</f>
        <v>0</v>
      </c>
      <c r="Z49" s="4415">
        <f t="shared" ref="Z49:Z64" si="373">SUM(AA49:AB49)</f>
        <v>1547.2899</v>
      </c>
      <c r="AA49" s="4415">
        <f t="shared" ref="AA49:AB49" si="374">SUM(AA50:AA65)+AA70</f>
        <v>1547.2899</v>
      </c>
      <c r="AB49" s="4415">
        <f t="shared" si="374"/>
        <v>0</v>
      </c>
      <c r="AC49" s="4415">
        <f t="shared" ref="AC49:AC111" si="375">SUM(AD49:AE49)</f>
        <v>5659.9388999999992</v>
      </c>
      <c r="AD49" s="4415">
        <f t="shared" ref="AD49:AE93" si="376">SUM(U49+X49+AA49)</f>
        <v>5659.9388999999992</v>
      </c>
      <c r="AE49" s="4415">
        <f t="shared" si="376"/>
        <v>0</v>
      </c>
      <c r="AF49" s="4379">
        <f t="shared" si="159"/>
        <v>7071.4036486968644</v>
      </c>
      <c r="AG49" s="4379">
        <f t="shared" si="160"/>
        <v>7071.4036486968644</v>
      </c>
      <c r="AH49" s="4379">
        <f t="shared" si="161"/>
        <v>0</v>
      </c>
      <c r="AI49" s="4441">
        <f t="shared" ref="AI49:AK74" si="377">SUM(AC49+N49)</f>
        <v>9670.9748599999984</v>
      </c>
      <c r="AJ49" s="4441">
        <f t="shared" si="377"/>
        <v>9670.9748599999984</v>
      </c>
      <c r="AK49" s="4441">
        <f t="shared" si="377"/>
        <v>0</v>
      </c>
      <c r="AL49" s="4441">
        <f t="shared" si="247"/>
        <v>2599.5712113031341</v>
      </c>
      <c r="AM49" s="4441">
        <f t="shared" si="247"/>
        <v>2599.5712113031341</v>
      </c>
      <c r="AN49" s="4441">
        <f t="shared" si="247"/>
        <v>0</v>
      </c>
      <c r="AO49" s="4377">
        <f t="shared" si="324"/>
        <v>3535.7018243484322</v>
      </c>
      <c r="AP49" s="4414">
        <f t="shared" ref="AP49:AQ49" si="378">SUM(AP50:AP65)+AP70</f>
        <v>3535.7018243484322</v>
      </c>
      <c r="AQ49" s="4414">
        <f t="shared" si="378"/>
        <v>0</v>
      </c>
      <c r="AR49" s="4415">
        <f t="shared" ref="AR49:AR64" si="379">SUM(AS49:AT49)</f>
        <v>1363.1750000000002</v>
      </c>
      <c r="AS49" s="4415">
        <f t="shared" ref="AS49:AT49" si="380">SUM(AS50:AS65)+AS70</f>
        <v>1363.1750000000002</v>
      </c>
      <c r="AT49" s="4415">
        <f t="shared" si="380"/>
        <v>0</v>
      </c>
      <c r="AU49" s="4415">
        <f t="shared" ref="AU49:AU64" si="381">SUM(AV49:AW49)</f>
        <v>0</v>
      </c>
      <c r="AV49" s="4415">
        <f t="shared" ref="AV49:AW49" si="382">SUM(AV50:AV65)+AV70</f>
        <v>0</v>
      </c>
      <c r="AW49" s="4415">
        <f t="shared" si="382"/>
        <v>0</v>
      </c>
      <c r="AX49" s="4415">
        <f t="shared" ref="AX49:AX64" si="383">SUM(AY49:AZ49)</f>
        <v>0</v>
      </c>
      <c r="AY49" s="4415">
        <f t="shared" ref="AY49:AZ49" si="384">SUM(AY50:AY65)+AY70</f>
        <v>0</v>
      </c>
      <c r="AZ49" s="4415">
        <f t="shared" si="384"/>
        <v>0</v>
      </c>
      <c r="BA49" s="4415">
        <f t="shared" ref="BA49:BA110" si="385">SUM(BB49:BC49)</f>
        <v>1363.1750000000002</v>
      </c>
      <c r="BB49" s="4415">
        <f t="shared" ref="BB49:BC93" si="386">SUM(AS49+AV49+AY49)</f>
        <v>1363.1750000000002</v>
      </c>
      <c r="BC49" s="4415">
        <f t="shared" si="386"/>
        <v>0</v>
      </c>
      <c r="BD49" s="4379">
        <f t="shared" si="174"/>
        <v>10607.105473045296</v>
      </c>
      <c r="BE49" s="4379">
        <f t="shared" si="175"/>
        <v>10607.105473045296</v>
      </c>
      <c r="BF49" s="4379">
        <f t="shared" si="176"/>
        <v>0</v>
      </c>
      <c r="BG49" s="4441">
        <f t="shared" ref="BG49:BI74" si="387">SUM(AI49+BA49)</f>
        <v>11034.149859999998</v>
      </c>
      <c r="BH49" s="4441">
        <f t="shared" si="387"/>
        <v>11034.149859999998</v>
      </c>
      <c r="BI49" s="4441">
        <f t="shared" si="387"/>
        <v>0</v>
      </c>
      <c r="BJ49" s="4441">
        <f t="shared" si="248"/>
        <v>427.04438695470162</v>
      </c>
      <c r="BK49" s="4441">
        <f t="shared" si="248"/>
        <v>427.04438695470162</v>
      </c>
      <c r="BL49" s="4441">
        <f t="shared" si="248"/>
        <v>0</v>
      </c>
      <c r="BM49" s="4377">
        <f t="shared" si="339"/>
        <v>3535.7018243484322</v>
      </c>
      <c r="BN49" s="4414">
        <f t="shared" ref="BN49:BO49" si="388">SUM(BN50:BN65)+BN70</f>
        <v>3535.7018243484322</v>
      </c>
      <c r="BO49" s="4414">
        <f t="shared" si="388"/>
        <v>0</v>
      </c>
      <c r="BP49" s="4415">
        <f t="shared" ref="BP49:BP64" si="389">SUM(BQ49:BR49)</f>
        <v>0</v>
      </c>
      <c r="BQ49" s="4415">
        <f t="shared" ref="BQ49:BR49" si="390">SUM(BQ50:BQ65)+BQ70</f>
        <v>0</v>
      </c>
      <c r="BR49" s="4415">
        <f t="shared" si="390"/>
        <v>0</v>
      </c>
      <c r="BS49" s="4415">
        <f t="shared" ref="BS49:BS64" si="391">SUM(BT49:BU49)</f>
        <v>0</v>
      </c>
      <c r="BT49" s="4415">
        <f t="shared" ref="BT49:BU49" si="392">SUM(BT50:BT65)+BT70</f>
        <v>0</v>
      </c>
      <c r="BU49" s="4415">
        <f t="shared" si="392"/>
        <v>0</v>
      </c>
      <c r="BV49" s="4415">
        <f t="shared" ref="BV49:BV64" si="393">SUM(BW49:BX49)</f>
        <v>0</v>
      </c>
      <c r="BW49" s="4415">
        <f t="shared" ref="BW49:BX49" si="394">SUM(BW50:BW65)+BW70</f>
        <v>0</v>
      </c>
      <c r="BX49" s="4415">
        <f t="shared" si="394"/>
        <v>0</v>
      </c>
      <c r="BY49" s="4415">
        <f t="shared" ref="BY49:BY110" si="395">SUM(BZ49:CA49)</f>
        <v>0</v>
      </c>
      <c r="BZ49" s="4415">
        <f t="shared" ref="BZ49:CA93" si="396">SUM(BQ49+BT49+BW49)</f>
        <v>0</v>
      </c>
      <c r="CA49" s="4415">
        <f t="shared" si="396"/>
        <v>0</v>
      </c>
      <c r="CB49" s="4379">
        <f t="shared" si="112"/>
        <v>14142.807324791911</v>
      </c>
      <c r="CC49" s="4455">
        <f>SUM(стоки!EK26)</f>
        <v>14142.807324791911</v>
      </c>
      <c r="CD49" s="4455">
        <f>SUM(стоки!EL26)</f>
        <v>0</v>
      </c>
      <c r="CE49" s="4441">
        <f t="shared" ref="CE49" si="397">SUM(BY49+BG49)</f>
        <v>11034.149859999998</v>
      </c>
      <c r="CF49" s="4441">
        <f>SUM(CF50:CF65)+CF70</f>
        <v>11034.149860000001</v>
      </c>
      <c r="CG49" s="4441">
        <f>SUM(CG50:CG65)+CG70</f>
        <v>0</v>
      </c>
      <c r="CH49" s="4441">
        <f t="shared" ref="CH49:CH74" si="398">SUM(CE49-CB49)</f>
        <v>-3108.6574647919133</v>
      </c>
      <c r="CI49" s="4441">
        <f t="shared" ref="CI49:CJ74" si="399">SUM(CF49-CC49)</f>
        <v>-3108.6574647919097</v>
      </c>
      <c r="CJ49" s="4441">
        <f t="shared" si="399"/>
        <v>0</v>
      </c>
      <c r="CK49" s="2860"/>
      <c r="CL49" s="3576">
        <f t="shared" si="89"/>
        <v>14142.807297393729</v>
      </c>
      <c r="CM49" s="2860">
        <f t="shared" ref="CM49:CN49" si="400">SUM(CC50:CC74)-CC65-CC70</f>
        <v>14142.807297393725</v>
      </c>
      <c r="CN49" s="2860">
        <f t="shared" si="400"/>
        <v>0</v>
      </c>
    </row>
    <row r="50" spans="1:92" ht="18.75" customHeight="1" x14ac:dyDescent="0.3">
      <c r="A50" s="4445" t="s">
        <v>70</v>
      </c>
      <c r="B50" s="4385">
        <f t="shared" ref="B50:B65" si="401">SUM(C50:D50)</f>
        <v>1434.6338849350307</v>
      </c>
      <c r="C50" s="4385">
        <f t="shared" ref="C50:D64" si="402">SUM(CC50/4)</f>
        <v>1434.6338849350307</v>
      </c>
      <c r="D50" s="4385">
        <f t="shared" si="402"/>
        <v>0</v>
      </c>
      <c r="E50" s="4442">
        <f t="shared" si="360"/>
        <v>565.21100000000001</v>
      </c>
      <c r="F50" s="4407">
        <v>565.21100000000001</v>
      </c>
      <c r="G50" s="4407"/>
      <c r="H50" s="4442">
        <f t="shared" si="362"/>
        <v>451.71363000000002</v>
      </c>
      <c r="I50" s="4407">
        <v>451.71363000000002</v>
      </c>
      <c r="J50" s="4407"/>
      <c r="K50" s="4442">
        <f t="shared" si="364"/>
        <v>530.88300000000004</v>
      </c>
      <c r="L50" s="4407">
        <v>530.88300000000004</v>
      </c>
      <c r="M50" s="4407"/>
      <c r="N50" s="4442">
        <f t="shared" si="366"/>
        <v>1547.80763</v>
      </c>
      <c r="O50" s="4442">
        <f t="shared" si="367"/>
        <v>1547.80763</v>
      </c>
      <c r="P50" s="4442">
        <f t="shared" si="367"/>
        <v>0</v>
      </c>
      <c r="Q50" s="4385">
        <f t="shared" si="338"/>
        <v>1434.6338849350307</v>
      </c>
      <c r="R50" s="4385">
        <f t="shared" ref="R50:R64" si="403">SUM(C50)</f>
        <v>1434.6338849350307</v>
      </c>
      <c r="S50" s="4385">
        <f t="shared" ref="S50:S64" si="404">SUM(D50)</f>
        <v>0</v>
      </c>
      <c r="T50" s="4442">
        <f t="shared" si="369"/>
        <v>461.31299999999999</v>
      </c>
      <c r="U50" s="4407">
        <v>461.31299999999999</v>
      </c>
      <c r="V50" s="4407"/>
      <c r="W50" s="4442">
        <f t="shared" si="371"/>
        <v>658.69299999999998</v>
      </c>
      <c r="X50" s="4407">
        <v>658.69299999999998</v>
      </c>
      <c r="Y50" s="4407"/>
      <c r="Z50" s="4442">
        <f t="shared" si="373"/>
        <v>423.30900000000003</v>
      </c>
      <c r="AA50" s="4407">
        <v>423.30900000000003</v>
      </c>
      <c r="AB50" s="4407"/>
      <c r="AC50" s="4442">
        <f t="shared" si="375"/>
        <v>1543.3149999999998</v>
      </c>
      <c r="AD50" s="4442">
        <f t="shared" si="376"/>
        <v>1543.3149999999998</v>
      </c>
      <c r="AE50" s="4442">
        <f t="shared" si="376"/>
        <v>0</v>
      </c>
      <c r="AF50" s="4384">
        <f t="shared" si="159"/>
        <v>2869.2677698700613</v>
      </c>
      <c r="AG50" s="4384">
        <f t="shared" si="160"/>
        <v>2869.2677698700613</v>
      </c>
      <c r="AH50" s="4384">
        <f t="shared" si="161"/>
        <v>0</v>
      </c>
      <c r="AI50" s="4443">
        <f t="shared" si="377"/>
        <v>3091.1226299999998</v>
      </c>
      <c r="AJ50" s="4443">
        <f t="shared" si="377"/>
        <v>3091.1226299999998</v>
      </c>
      <c r="AK50" s="4443">
        <f t="shared" si="377"/>
        <v>0</v>
      </c>
      <c r="AL50" s="4443">
        <f t="shared" si="247"/>
        <v>221.85486012993852</v>
      </c>
      <c r="AM50" s="4443">
        <f t="shared" si="247"/>
        <v>221.85486012993852</v>
      </c>
      <c r="AN50" s="4443">
        <f t="shared" si="247"/>
        <v>0</v>
      </c>
      <c r="AO50" s="4385">
        <f t="shared" si="324"/>
        <v>1434.6338849350307</v>
      </c>
      <c r="AP50" s="4385">
        <f t="shared" ref="AP50:AP64" si="405">SUM(CC50-AG50)/2</f>
        <v>1434.6338849350307</v>
      </c>
      <c r="AQ50" s="4385">
        <f t="shared" ref="AQ50:AQ64" si="406">SUM(CD50-AH50)/2</f>
        <v>0</v>
      </c>
      <c r="AR50" s="4442">
        <f t="shared" si="379"/>
        <v>605.68499999999995</v>
      </c>
      <c r="AS50" s="4407">
        <v>605.68499999999995</v>
      </c>
      <c r="AT50" s="4407"/>
      <c r="AU50" s="4442">
        <f t="shared" si="381"/>
        <v>0</v>
      </c>
      <c r="AV50" s="4407"/>
      <c r="AW50" s="4407"/>
      <c r="AX50" s="4442">
        <f t="shared" si="383"/>
        <v>0</v>
      </c>
      <c r="AY50" s="4407"/>
      <c r="AZ50" s="4407"/>
      <c r="BA50" s="4442">
        <f t="shared" si="385"/>
        <v>605.68499999999995</v>
      </c>
      <c r="BB50" s="4442">
        <f t="shared" si="386"/>
        <v>605.68499999999995</v>
      </c>
      <c r="BC50" s="4442">
        <f t="shared" si="386"/>
        <v>0</v>
      </c>
      <c r="BD50" s="4384">
        <f t="shared" si="174"/>
        <v>4303.9016548050922</v>
      </c>
      <c r="BE50" s="4384">
        <f t="shared" si="175"/>
        <v>4303.9016548050922</v>
      </c>
      <c r="BF50" s="4384">
        <f t="shared" si="176"/>
        <v>0</v>
      </c>
      <c r="BG50" s="4443">
        <f t="shared" si="387"/>
        <v>3696.8076299999998</v>
      </c>
      <c r="BH50" s="4443">
        <f t="shared" si="387"/>
        <v>3696.8076299999998</v>
      </c>
      <c r="BI50" s="4443">
        <f t="shared" si="387"/>
        <v>0</v>
      </c>
      <c r="BJ50" s="4443">
        <f t="shared" si="248"/>
        <v>-607.09402480509243</v>
      </c>
      <c r="BK50" s="4443">
        <f t="shared" si="248"/>
        <v>-607.09402480509243</v>
      </c>
      <c r="BL50" s="4443">
        <f t="shared" si="248"/>
        <v>0</v>
      </c>
      <c r="BM50" s="4385">
        <f t="shared" ref="BM50:BM65" si="407">SUM(BN50:BO50)</f>
        <v>1434.6338849350307</v>
      </c>
      <c r="BN50" s="4385">
        <f t="shared" ref="BN50:BN64" si="408">SUM(AP50)</f>
        <v>1434.6338849350307</v>
      </c>
      <c r="BO50" s="4385">
        <f t="shared" ref="BO50:BO64" si="409">SUM(AQ50)</f>
        <v>0</v>
      </c>
      <c r="BP50" s="4442">
        <f t="shared" si="389"/>
        <v>0</v>
      </c>
      <c r="BQ50" s="4407"/>
      <c r="BR50" s="4407"/>
      <c r="BS50" s="4442">
        <f t="shared" si="391"/>
        <v>0</v>
      </c>
      <c r="BT50" s="4407"/>
      <c r="BU50" s="4407"/>
      <c r="BV50" s="4442">
        <f t="shared" si="393"/>
        <v>0</v>
      </c>
      <c r="BW50" s="4407"/>
      <c r="BX50" s="4407"/>
      <c r="BY50" s="4442">
        <f t="shared" si="395"/>
        <v>0</v>
      </c>
      <c r="BZ50" s="4442">
        <f t="shared" si="396"/>
        <v>0</v>
      </c>
      <c r="CA50" s="4442">
        <f t="shared" si="396"/>
        <v>0</v>
      </c>
      <c r="CB50" s="4384">
        <f t="shared" si="112"/>
        <v>5738.5355397401227</v>
      </c>
      <c r="CC50" s="4384">
        <f>4974.644*1.15355702634</f>
        <v>5738.5355397401227</v>
      </c>
      <c r="CD50" s="4384">
        <v>0</v>
      </c>
      <c r="CE50" s="4443">
        <f t="shared" ref="CE50:CG74" si="410">SUM(BY50+BG50)</f>
        <v>3696.8076299999998</v>
      </c>
      <c r="CF50" s="4443">
        <f t="shared" si="410"/>
        <v>3696.8076299999998</v>
      </c>
      <c r="CG50" s="4443">
        <f t="shared" si="410"/>
        <v>0</v>
      </c>
      <c r="CH50" s="4443">
        <f t="shared" si="398"/>
        <v>-2041.7279097401229</v>
      </c>
      <c r="CI50" s="4443">
        <f t="shared" si="399"/>
        <v>-2041.7279097401229</v>
      </c>
      <c r="CJ50" s="4443">
        <f t="shared" si="399"/>
        <v>0</v>
      </c>
      <c r="CK50" s="2774"/>
      <c r="CL50" s="3576">
        <f t="shared" si="89"/>
        <v>5738.5355397401227</v>
      </c>
      <c r="CM50" s="2774"/>
    </row>
    <row r="51" spans="1:92" ht="18.75" customHeight="1" x14ac:dyDescent="0.3">
      <c r="A51" s="4445" t="s">
        <v>113</v>
      </c>
      <c r="B51" s="4385">
        <f t="shared" si="401"/>
        <v>430.38981941340131</v>
      </c>
      <c r="C51" s="4385">
        <f t="shared" si="402"/>
        <v>430.38981941340131</v>
      </c>
      <c r="D51" s="4385">
        <f t="shared" si="402"/>
        <v>0</v>
      </c>
      <c r="E51" s="4442">
        <f t="shared" si="360"/>
        <v>168.464</v>
      </c>
      <c r="F51" s="4407">
        <f>0.987+167.477</f>
        <v>168.464</v>
      </c>
      <c r="G51" s="4407"/>
      <c r="H51" s="4442">
        <f t="shared" si="362"/>
        <v>134.99652999999998</v>
      </c>
      <c r="I51" s="4407">
        <f>0.81309+134.18344</f>
        <v>134.99652999999998</v>
      </c>
      <c r="J51" s="4407"/>
      <c r="K51" s="4442">
        <f t="shared" si="364"/>
        <v>155.3142</v>
      </c>
      <c r="L51" s="4407">
        <f>0.9366+154.3776</f>
        <v>155.3142</v>
      </c>
      <c r="M51" s="4407"/>
      <c r="N51" s="4442">
        <f t="shared" si="366"/>
        <v>458.77472999999998</v>
      </c>
      <c r="O51" s="4442">
        <f t="shared" si="367"/>
        <v>458.77472999999998</v>
      </c>
      <c r="P51" s="4442">
        <f t="shared" si="367"/>
        <v>0</v>
      </c>
      <c r="Q51" s="4385">
        <f t="shared" si="338"/>
        <v>430.38981941340131</v>
      </c>
      <c r="R51" s="4385">
        <f t="shared" si="403"/>
        <v>430.38981941340131</v>
      </c>
      <c r="S51" s="4385">
        <f t="shared" si="404"/>
        <v>0</v>
      </c>
      <c r="T51" s="4442">
        <f t="shared" si="369"/>
        <v>137.22200000000001</v>
      </c>
      <c r="U51" s="4407">
        <f>0.792+136.43</f>
        <v>137.22200000000001</v>
      </c>
      <c r="V51" s="4407"/>
      <c r="W51" s="4442">
        <f t="shared" si="371"/>
        <v>192.01</v>
      </c>
      <c r="X51" s="4407">
        <f>1.182+190.828</f>
        <v>192.01</v>
      </c>
      <c r="Y51" s="4407"/>
      <c r="Z51" s="4442">
        <f t="shared" si="373"/>
        <v>148.249</v>
      </c>
      <c r="AA51" s="4407">
        <f>0.834+147.415</f>
        <v>148.249</v>
      </c>
      <c r="AB51" s="4407"/>
      <c r="AC51" s="4442">
        <f t="shared" si="375"/>
        <v>477.48099999999999</v>
      </c>
      <c r="AD51" s="4442">
        <f t="shared" si="376"/>
        <v>477.48099999999999</v>
      </c>
      <c r="AE51" s="4442">
        <f t="shared" si="376"/>
        <v>0</v>
      </c>
      <c r="AF51" s="4384">
        <f t="shared" si="159"/>
        <v>860.77963882680262</v>
      </c>
      <c r="AG51" s="4384">
        <f t="shared" si="160"/>
        <v>860.77963882680262</v>
      </c>
      <c r="AH51" s="4384">
        <f t="shared" si="161"/>
        <v>0</v>
      </c>
      <c r="AI51" s="4443">
        <f t="shared" si="377"/>
        <v>936.25572999999997</v>
      </c>
      <c r="AJ51" s="4443">
        <f t="shared" si="377"/>
        <v>936.25572999999997</v>
      </c>
      <c r="AK51" s="4443">
        <f t="shared" si="377"/>
        <v>0</v>
      </c>
      <c r="AL51" s="4443">
        <f t="shared" si="247"/>
        <v>75.476091173197347</v>
      </c>
      <c r="AM51" s="4443">
        <f t="shared" si="247"/>
        <v>75.476091173197347</v>
      </c>
      <c r="AN51" s="4443">
        <f t="shared" si="247"/>
        <v>0</v>
      </c>
      <c r="AO51" s="4385">
        <f t="shared" si="324"/>
        <v>430.38981941340131</v>
      </c>
      <c r="AP51" s="4385">
        <f t="shared" si="405"/>
        <v>430.38981941340131</v>
      </c>
      <c r="AQ51" s="4385">
        <f t="shared" si="406"/>
        <v>0</v>
      </c>
      <c r="AR51" s="4442">
        <f t="shared" si="379"/>
        <v>183.79900000000001</v>
      </c>
      <c r="AS51" s="4407">
        <v>183.79900000000001</v>
      </c>
      <c r="AT51" s="4407"/>
      <c r="AU51" s="4442">
        <f t="shared" si="381"/>
        <v>0</v>
      </c>
      <c r="AV51" s="4407"/>
      <c r="AW51" s="4407"/>
      <c r="AX51" s="4442">
        <f t="shared" si="383"/>
        <v>0</v>
      </c>
      <c r="AY51" s="4407"/>
      <c r="AZ51" s="4407"/>
      <c r="BA51" s="4442">
        <f t="shared" si="385"/>
        <v>183.79900000000001</v>
      </c>
      <c r="BB51" s="4442">
        <f t="shared" si="386"/>
        <v>183.79900000000001</v>
      </c>
      <c r="BC51" s="4442">
        <f t="shared" si="386"/>
        <v>0</v>
      </c>
      <c r="BD51" s="4384">
        <f t="shared" si="174"/>
        <v>1291.169458240204</v>
      </c>
      <c r="BE51" s="4384">
        <f t="shared" si="175"/>
        <v>1291.169458240204</v>
      </c>
      <c r="BF51" s="4384">
        <f t="shared" si="176"/>
        <v>0</v>
      </c>
      <c r="BG51" s="4443">
        <f t="shared" si="387"/>
        <v>1120.0547300000001</v>
      </c>
      <c r="BH51" s="4443">
        <f t="shared" si="387"/>
        <v>1120.0547300000001</v>
      </c>
      <c r="BI51" s="4443">
        <f t="shared" si="387"/>
        <v>0</v>
      </c>
      <c r="BJ51" s="4443">
        <f t="shared" si="248"/>
        <v>-171.11472824020393</v>
      </c>
      <c r="BK51" s="4443">
        <f t="shared" si="248"/>
        <v>-171.11472824020393</v>
      </c>
      <c r="BL51" s="4443">
        <f t="shared" si="248"/>
        <v>0</v>
      </c>
      <c r="BM51" s="4385">
        <f t="shared" si="407"/>
        <v>430.38981941340131</v>
      </c>
      <c r="BN51" s="4385">
        <f t="shared" si="408"/>
        <v>430.38981941340131</v>
      </c>
      <c r="BO51" s="4385">
        <f t="shared" si="409"/>
        <v>0</v>
      </c>
      <c r="BP51" s="4442">
        <f t="shared" si="389"/>
        <v>0</v>
      </c>
      <c r="BQ51" s="4407"/>
      <c r="BR51" s="4407"/>
      <c r="BS51" s="4442">
        <f t="shared" si="391"/>
        <v>0</v>
      </c>
      <c r="BT51" s="4407"/>
      <c r="BU51" s="4407"/>
      <c r="BV51" s="4442">
        <f t="shared" si="393"/>
        <v>0</v>
      </c>
      <c r="BW51" s="4407"/>
      <c r="BX51" s="4407"/>
      <c r="BY51" s="4442">
        <f t="shared" si="395"/>
        <v>0</v>
      </c>
      <c r="BZ51" s="4442">
        <f t="shared" si="396"/>
        <v>0</v>
      </c>
      <c r="CA51" s="4442">
        <f t="shared" si="396"/>
        <v>0</v>
      </c>
      <c r="CB51" s="4384">
        <f t="shared" si="112"/>
        <v>1721.5592776536052</v>
      </c>
      <c r="CC51" s="4384">
        <f>1492.392*1.15355702634</f>
        <v>1721.5592776536052</v>
      </c>
      <c r="CD51" s="4384">
        <v>0</v>
      </c>
      <c r="CE51" s="4443">
        <f t="shared" si="410"/>
        <v>1120.0547300000001</v>
      </c>
      <c r="CF51" s="4443">
        <f t="shared" si="410"/>
        <v>1120.0547300000001</v>
      </c>
      <c r="CG51" s="4443">
        <f t="shared" si="410"/>
        <v>0</v>
      </c>
      <c r="CH51" s="4443">
        <f t="shared" si="398"/>
        <v>-601.50454765360519</v>
      </c>
      <c r="CI51" s="4443">
        <f t="shared" si="399"/>
        <v>-601.50454765360519</v>
      </c>
      <c r="CJ51" s="4443">
        <f t="shared" si="399"/>
        <v>0</v>
      </c>
      <c r="CK51" s="2774"/>
      <c r="CL51" s="3576">
        <f t="shared" si="89"/>
        <v>1721.5592776536052</v>
      </c>
      <c r="CM51" s="2774"/>
    </row>
    <row r="52" spans="1:92" ht="18.75" customHeight="1" x14ac:dyDescent="0.3">
      <c r="A52" s="4445" t="s">
        <v>52</v>
      </c>
      <c r="B52" s="4385">
        <f t="shared" si="401"/>
        <v>23.799250000000001</v>
      </c>
      <c r="C52" s="4385">
        <f t="shared" si="402"/>
        <v>23.799250000000001</v>
      </c>
      <c r="D52" s="4385">
        <f t="shared" si="402"/>
        <v>0</v>
      </c>
      <c r="E52" s="4442">
        <f t="shared" si="360"/>
        <v>7.4340000000000002</v>
      </c>
      <c r="F52" s="4407">
        <v>7.4340000000000002</v>
      </c>
      <c r="G52" s="4407"/>
      <c r="H52" s="4442">
        <f t="shared" si="362"/>
        <v>7.4470000000000001</v>
      </c>
      <c r="I52" s="4407">
        <v>7.4470000000000001</v>
      </c>
      <c r="J52" s="4407"/>
      <c r="K52" s="4442">
        <f t="shared" si="364"/>
        <v>7.4450000000000003</v>
      </c>
      <c r="L52" s="4407">
        <v>7.4450000000000003</v>
      </c>
      <c r="M52" s="4407"/>
      <c r="N52" s="4442">
        <f t="shared" si="366"/>
        <v>22.326000000000001</v>
      </c>
      <c r="O52" s="4442">
        <f t="shared" si="367"/>
        <v>22.326000000000001</v>
      </c>
      <c r="P52" s="4442">
        <f t="shared" si="367"/>
        <v>0</v>
      </c>
      <c r="Q52" s="4385">
        <f t="shared" si="338"/>
        <v>23.799250000000001</v>
      </c>
      <c r="R52" s="4385">
        <f t="shared" si="403"/>
        <v>23.799250000000001</v>
      </c>
      <c r="S52" s="4385">
        <f t="shared" si="404"/>
        <v>0</v>
      </c>
      <c r="T52" s="4442">
        <f t="shared" si="369"/>
        <v>7.4829999999999997</v>
      </c>
      <c r="U52" s="4407">
        <v>7.4829999999999997</v>
      </c>
      <c r="V52" s="4407"/>
      <c r="W52" s="4442">
        <f t="shared" si="371"/>
        <v>7.4390000000000001</v>
      </c>
      <c r="X52" s="4407">
        <v>7.4390000000000001</v>
      </c>
      <c r="Y52" s="4407"/>
      <c r="Z52" s="4442">
        <f t="shared" si="373"/>
        <v>7.4329999999999998</v>
      </c>
      <c r="AA52" s="4407">
        <v>7.4329999999999998</v>
      </c>
      <c r="AB52" s="4407"/>
      <c r="AC52" s="4442">
        <f t="shared" si="375"/>
        <v>22.355</v>
      </c>
      <c r="AD52" s="4442">
        <f t="shared" si="376"/>
        <v>22.355</v>
      </c>
      <c r="AE52" s="4442">
        <f t="shared" si="376"/>
        <v>0</v>
      </c>
      <c r="AF52" s="4384">
        <f t="shared" si="159"/>
        <v>47.598500000000001</v>
      </c>
      <c r="AG52" s="4384">
        <f t="shared" si="160"/>
        <v>47.598500000000001</v>
      </c>
      <c r="AH52" s="4384">
        <f t="shared" si="161"/>
        <v>0</v>
      </c>
      <c r="AI52" s="4443">
        <f t="shared" si="377"/>
        <v>44.680999999999997</v>
      </c>
      <c r="AJ52" s="4443">
        <f t="shared" si="377"/>
        <v>44.680999999999997</v>
      </c>
      <c r="AK52" s="4443">
        <f t="shared" si="377"/>
        <v>0</v>
      </c>
      <c r="AL52" s="4443">
        <f t="shared" si="247"/>
        <v>-2.917500000000004</v>
      </c>
      <c r="AM52" s="4443">
        <f t="shared" si="247"/>
        <v>-2.917500000000004</v>
      </c>
      <c r="AN52" s="4443">
        <f t="shared" si="247"/>
        <v>0</v>
      </c>
      <c r="AO52" s="4385">
        <f t="shared" si="324"/>
        <v>23.799250000000001</v>
      </c>
      <c r="AP52" s="4385">
        <f t="shared" si="405"/>
        <v>23.799250000000001</v>
      </c>
      <c r="AQ52" s="4385">
        <f t="shared" si="406"/>
        <v>0</v>
      </c>
      <c r="AR52" s="4442">
        <f t="shared" si="379"/>
        <v>7.4409999999999998</v>
      </c>
      <c r="AS52" s="4407">
        <v>7.4409999999999998</v>
      </c>
      <c r="AT52" s="4407"/>
      <c r="AU52" s="4442">
        <f t="shared" si="381"/>
        <v>0</v>
      </c>
      <c r="AV52" s="4407"/>
      <c r="AW52" s="4407"/>
      <c r="AX52" s="4442">
        <f t="shared" si="383"/>
        <v>0</v>
      </c>
      <c r="AY52" s="4407"/>
      <c r="AZ52" s="4407"/>
      <c r="BA52" s="4442">
        <f t="shared" si="385"/>
        <v>7.4409999999999998</v>
      </c>
      <c r="BB52" s="4442">
        <f t="shared" si="386"/>
        <v>7.4409999999999998</v>
      </c>
      <c r="BC52" s="4442">
        <f t="shared" si="386"/>
        <v>0</v>
      </c>
      <c r="BD52" s="4384">
        <f t="shared" si="174"/>
        <v>71.397750000000002</v>
      </c>
      <c r="BE52" s="4384">
        <f t="shared" si="175"/>
        <v>71.397750000000002</v>
      </c>
      <c r="BF52" s="4384">
        <f t="shared" si="176"/>
        <v>0</v>
      </c>
      <c r="BG52" s="4443">
        <f t="shared" si="387"/>
        <v>52.122</v>
      </c>
      <c r="BH52" s="4443">
        <f t="shared" si="387"/>
        <v>52.122</v>
      </c>
      <c r="BI52" s="4443">
        <f t="shared" si="387"/>
        <v>0</v>
      </c>
      <c r="BJ52" s="4443">
        <f t="shared" si="248"/>
        <v>-19.275750000000002</v>
      </c>
      <c r="BK52" s="4443">
        <f t="shared" si="248"/>
        <v>-19.275750000000002</v>
      </c>
      <c r="BL52" s="4443">
        <f t="shared" si="248"/>
        <v>0</v>
      </c>
      <c r="BM52" s="4385">
        <f t="shared" si="407"/>
        <v>23.799250000000001</v>
      </c>
      <c r="BN52" s="4385">
        <f t="shared" si="408"/>
        <v>23.799250000000001</v>
      </c>
      <c r="BO52" s="4385">
        <f t="shared" si="409"/>
        <v>0</v>
      </c>
      <c r="BP52" s="4442">
        <f t="shared" si="389"/>
        <v>0</v>
      </c>
      <c r="BQ52" s="4407"/>
      <c r="BR52" s="4407"/>
      <c r="BS52" s="4442">
        <f t="shared" si="391"/>
        <v>0</v>
      </c>
      <c r="BT52" s="4407"/>
      <c r="BU52" s="4407"/>
      <c r="BV52" s="4442">
        <f t="shared" si="393"/>
        <v>0</v>
      </c>
      <c r="BW52" s="4407"/>
      <c r="BX52" s="4407"/>
      <c r="BY52" s="4442">
        <f t="shared" si="395"/>
        <v>0</v>
      </c>
      <c r="BZ52" s="4442">
        <f t="shared" si="396"/>
        <v>0</v>
      </c>
      <c r="CA52" s="4442">
        <f t="shared" si="396"/>
        <v>0</v>
      </c>
      <c r="CB52" s="4384">
        <f t="shared" si="112"/>
        <v>95.197000000000003</v>
      </c>
      <c r="CC52" s="4384">
        <v>95.197000000000003</v>
      </c>
      <c r="CD52" s="4384">
        <v>0</v>
      </c>
      <c r="CE52" s="4443">
        <f t="shared" si="410"/>
        <v>52.122</v>
      </c>
      <c r="CF52" s="4443">
        <f t="shared" si="410"/>
        <v>52.122</v>
      </c>
      <c r="CG52" s="4443">
        <f t="shared" si="410"/>
        <v>0</v>
      </c>
      <c r="CH52" s="4443">
        <f t="shared" si="398"/>
        <v>-43.075000000000003</v>
      </c>
      <c r="CI52" s="4443">
        <f t="shared" si="399"/>
        <v>-43.075000000000003</v>
      </c>
      <c r="CJ52" s="4443">
        <f t="shared" si="399"/>
        <v>0</v>
      </c>
      <c r="CK52" s="2774"/>
      <c r="CL52" s="3576">
        <f t="shared" si="89"/>
        <v>95.197000000000003</v>
      </c>
      <c r="CM52" s="2774"/>
    </row>
    <row r="53" spans="1:92" ht="18.75" customHeight="1" x14ac:dyDescent="0.3">
      <c r="A53" s="4445" t="s">
        <v>620</v>
      </c>
      <c r="B53" s="4385">
        <f t="shared" si="401"/>
        <v>0</v>
      </c>
      <c r="C53" s="4385">
        <f t="shared" si="402"/>
        <v>0</v>
      </c>
      <c r="D53" s="4385">
        <f t="shared" si="402"/>
        <v>0</v>
      </c>
      <c r="E53" s="4442">
        <f t="shared" si="360"/>
        <v>0</v>
      </c>
      <c r="F53" s="4407"/>
      <c r="G53" s="4407"/>
      <c r="H53" s="4442">
        <f t="shared" si="362"/>
        <v>0</v>
      </c>
      <c r="I53" s="4407"/>
      <c r="J53" s="4407"/>
      <c r="K53" s="4442">
        <f t="shared" si="364"/>
        <v>0</v>
      </c>
      <c r="L53" s="4407"/>
      <c r="M53" s="4407"/>
      <c r="N53" s="4442">
        <f t="shared" si="366"/>
        <v>0</v>
      </c>
      <c r="O53" s="4442">
        <f t="shared" si="367"/>
        <v>0</v>
      </c>
      <c r="P53" s="4442">
        <f t="shared" si="367"/>
        <v>0</v>
      </c>
      <c r="Q53" s="4385">
        <f t="shared" si="338"/>
        <v>0</v>
      </c>
      <c r="R53" s="4385">
        <f t="shared" si="403"/>
        <v>0</v>
      </c>
      <c r="S53" s="4385">
        <f t="shared" si="404"/>
        <v>0</v>
      </c>
      <c r="T53" s="4442">
        <f t="shared" si="369"/>
        <v>0</v>
      </c>
      <c r="U53" s="4407"/>
      <c r="V53" s="4407"/>
      <c r="W53" s="4442">
        <f t="shared" si="371"/>
        <v>0</v>
      </c>
      <c r="X53" s="4407"/>
      <c r="Y53" s="4407"/>
      <c r="Z53" s="4442">
        <f t="shared" si="373"/>
        <v>0</v>
      </c>
      <c r="AA53" s="4407"/>
      <c r="AB53" s="4407"/>
      <c r="AC53" s="4442">
        <f t="shared" si="375"/>
        <v>0</v>
      </c>
      <c r="AD53" s="4442">
        <f t="shared" si="376"/>
        <v>0</v>
      </c>
      <c r="AE53" s="4442">
        <f t="shared" si="376"/>
        <v>0</v>
      </c>
      <c r="AF53" s="4384">
        <f t="shared" si="159"/>
        <v>0</v>
      </c>
      <c r="AG53" s="4384">
        <f t="shared" si="160"/>
        <v>0</v>
      </c>
      <c r="AH53" s="4384">
        <f t="shared" si="161"/>
        <v>0</v>
      </c>
      <c r="AI53" s="4443">
        <f t="shared" si="377"/>
        <v>0</v>
      </c>
      <c r="AJ53" s="4443">
        <f t="shared" si="377"/>
        <v>0</v>
      </c>
      <c r="AK53" s="4443">
        <f t="shared" si="377"/>
        <v>0</v>
      </c>
      <c r="AL53" s="4443">
        <f t="shared" ref="AL53:AN78" si="411">SUM(AI53-AF53)</f>
        <v>0</v>
      </c>
      <c r="AM53" s="4443">
        <f t="shared" si="411"/>
        <v>0</v>
      </c>
      <c r="AN53" s="4443">
        <f t="shared" si="411"/>
        <v>0</v>
      </c>
      <c r="AO53" s="4385">
        <f t="shared" si="324"/>
        <v>0</v>
      </c>
      <c r="AP53" s="4385">
        <f t="shared" si="405"/>
        <v>0</v>
      </c>
      <c r="AQ53" s="4385">
        <f t="shared" si="406"/>
        <v>0</v>
      </c>
      <c r="AR53" s="4442">
        <f t="shared" si="379"/>
        <v>0</v>
      </c>
      <c r="AS53" s="4407"/>
      <c r="AT53" s="4407"/>
      <c r="AU53" s="4442">
        <f t="shared" si="381"/>
        <v>0</v>
      </c>
      <c r="AV53" s="4407"/>
      <c r="AW53" s="4407"/>
      <c r="AX53" s="4442">
        <f t="shared" si="383"/>
        <v>0</v>
      </c>
      <c r="AY53" s="4407"/>
      <c r="AZ53" s="4407"/>
      <c r="BA53" s="4442">
        <f t="shared" si="385"/>
        <v>0</v>
      </c>
      <c r="BB53" s="4442">
        <f t="shared" si="386"/>
        <v>0</v>
      </c>
      <c r="BC53" s="4442">
        <f t="shared" si="386"/>
        <v>0</v>
      </c>
      <c r="BD53" s="4384">
        <f t="shared" si="174"/>
        <v>0</v>
      </c>
      <c r="BE53" s="4384">
        <f t="shared" si="175"/>
        <v>0</v>
      </c>
      <c r="BF53" s="4384">
        <f t="shared" si="176"/>
        <v>0</v>
      </c>
      <c r="BG53" s="4443">
        <f t="shared" si="387"/>
        <v>0</v>
      </c>
      <c r="BH53" s="4443">
        <f t="shared" si="387"/>
        <v>0</v>
      </c>
      <c r="BI53" s="4443">
        <f t="shared" si="387"/>
        <v>0</v>
      </c>
      <c r="BJ53" s="4443">
        <f t="shared" ref="BJ53:BL78" si="412">SUM(BG53-BD53)</f>
        <v>0</v>
      </c>
      <c r="BK53" s="4443">
        <f t="shared" si="412"/>
        <v>0</v>
      </c>
      <c r="BL53" s="4443">
        <f t="shared" si="412"/>
        <v>0</v>
      </c>
      <c r="BM53" s="4385">
        <f t="shared" si="407"/>
        <v>0</v>
      </c>
      <c r="BN53" s="4385">
        <f t="shared" si="408"/>
        <v>0</v>
      </c>
      <c r="BO53" s="4385">
        <f t="shared" si="409"/>
        <v>0</v>
      </c>
      <c r="BP53" s="4442">
        <f t="shared" si="389"/>
        <v>0</v>
      </c>
      <c r="BQ53" s="4407"/>
      <c r="BR53" s="4407"/>
      <c r="BS53" s="4442">
        <f t="shared" si="391"/>
        <v>0</v>
      </c>
      <c r="BT53" s="4407"/>
      <c r="BU53" s="4407"/>
      <c r="BV53" s="4442">
        <f t="shared" si="393"/>
        <v>0</v>
      </c>
      <c r="BW53" s="4407"/>
      <c r="BX53" s="4407"/>
      <c r="BY53" s="4442">
        <f t="shared" si="395"/>
        <v>0</v>
      </c>
      <c r="BZ53" s="4442">
        <f t="shared" si="396"/>
        <v>0</v>
      </c>
      <c r="CA53" s="4442">
        <f t="shared" si="396"/>
        <v>0</v>
      </c>
      <c r="CB53" s="4384">
        <f t="shared" si="112"/>
        <v>0</v>
      </c>
      <c r="CC53" s="4384">
        <v>0</v>
      </c>
      <c r="CD53" s="4384">
        <v>0</v>
      </c>
      <c r="CE53" s="4443">
        <f t="shared" si="410"/>
        <v>0</v>
      </c>
      <c r="CF53" s="4443">
        <f t="shared" si="410"/>
        <v>0</v>
      </c>
      <c r="CG53" s="4443">
        <f t="shared" si="410"/>
        <v>0</v>
      </c>
      <c r="CH53" s="4443">
        <f t="shared" si="398"/>
        <v>0</v>
      </c>
      <c r="CI53" s="4443">
        <f t="shared" si="399"/>
        <v>0</v>
      </c>
      <c r="CJ53" s="4443">
        <f t="shared" si="399"/>
        <v>0</v>
      </c>
      <c r="CK53" s="2774"/>
      <c r="CL53" s="3576">
        <f t="shared" si="89"/>
        <v>0</v>
      </c>
      <c r="CM53" s="2774"/>
    </row>
    <row r="54" spans="1:92" ht="18.75" customHeight="1" x14ac:dyDescent="0.3">
      <c r="A54" s="4445" t="s">
        <v>622</v>
      </c>
      <c r="B54" s="4385">
        <f t="shared" si="401"/>
        <v>6.6527500000000002</v>
      </c>
      <c r="C54" s="4385">
        <f t="shared" si="402"/>
        <v>6.6527500000000002</v>
      </c>
      <c r="D54" s="4385">
        <f t="shared" si="402"/>
        <v>0</v>
      </c>
      <c r="E54" s="4442">
        <f t="shared" si="360"/>
        <v>1.6950000000000001</v>
      </c>
      <c r="F54" s="4407">
        <v>1.6950000000000001</v>
      </c>
      <c r="G54" s="4407"/>
      <c r="H54" s="4442">
        <f t="shared" si="362"/>
        <v>1.6950000000000001</v>
      </c>
      <c r="I54" s="4407">
        <v>1.6950000000000001</v>
      </c>
      <c r="J54" s="4407"/>
      <c r="K54" s="4442">
        <f t="shared" si="364"/>
        <v>1.6950000000000001</v>
      </c>
      <c r="L54" s="4407">
        <v>1.6950000000000001</v>
      </c>
      <c r="M54" s="4407"/>
      <c r="N54" s="4442">
        <f t="shared" si="366"/>
        <v>5.085</v>
      </c>
      <c r="O54" s="4442">
        <f t="shared" si="367"/>
        <v>5.085</v>
      </c>
      <c r="P54" s="4442">
        <f t="shared" si="367"/>
        <v>0</v>
      </c>
      <c r="Q54" s="4385">
        <f t="shared" si="338"/>
        <v>6.6527500000000002</v>
      </c>
      <c r="R54" s="4385">
        <f t="shared" si="403"/>
        <v>6.6527500000000002</v>
      </c>
      <c r="S54" s="4385">
        <f t="shared" si="404"/>
        <v>0</v>
      </c>
      <c r="T54" s="4442">
        <f t="shared" si="369"/>
        <v>1.6950000000000001</v>
      </c>
      <c r="U54" s="4407">
        <v>1.6950000000000001</v>
      </c>
      <c r="V54" s="4407"/>
      <c r="W54" s="4442">
        <f t="shared" si="371"/>
        <v>1.67</v>
      </c>
      <c r="X54" s="4407">
        <v>1.67</v>
      </c>
      <c r="Y54" s="4407"/>
      <c r="Z54" s="4442">
        <f t="shared" si="373"/>
        <v>1.5389999999999999</v>
      </c>
      <c r="AA54" s="4407">
        <v>1.5389999999999999</v>
      </c>
      <c r="AB54" s="4407"/>
      <c r="AC54" s="4442">
        <f t="shared" si="375"/>
        <v>4.9039999999999999</v>
      </c>
      <c r="AD54" s="4442">
        <f t="shared" si="376"/>
        <v>4.9039999999999999</v>
      </c>
      <c r="AE54" s="4442">
        <f t="shared" si="376"/>
        <v>0</v>
      </c>
      <c r="AF54" s="4384">
        <f t="shared" si="159"/>
        <v>13.3055</v>
      </c>
      <c r="AG54" s="4384">
        <f t="shared" si="160"/>
        <v>13.3055</v>
      </c>
      <c r="AH54" s="4384">
        <f t="shared" si="161"/>
        <v>0</v>
      </c>
      <c r="AI54" s="4443">
        <f t="shared" si="377"/>
        <v>9.9890000000000008</v>
      </c>
      <c r="AJ54" s="4443">
        <f t="shared" si="377"/>
        <v>9.9890000000000008</v>
      </c>
      <c r="AK54" s="4443">
        <f t="shared" si="377"/>
        <v>0</v>
      </c>
      <c r="AL54" s="4443">
        <f t="shared" si="411"/>
        <v>-3.3164999999999996</v>
      </c>
      <c r="AM54" s="4443">
        <f t="shared" si="411"/>
        <v>-3.3164999999999996</v>
      </c>
      <c r="AN54" s="4443">
        <f t="shared" si="411"/>
        <v>0</v>
      </c>
      <c r="AO54" s="4385">
        <f t="shared" si="324"/>
        <v>6.6527500000000002</v>
      </c>
      <c r="AP54" s="4385">
        <f t="shared" si="405"/>
        <v>6.6527500000000002</v>
      </c>
      <c r="AQ54" s="4385">
        <f t="shared" si="406"/>
        <v>0</v>
      </c>
      <c r="AR54" s="4442">
        <f t="shared" si="379"/>
        <v>1.5389999999999999</v>
      </c>
      <c r="AS54" s="4407">
        <v>1.5389999999999999</v>
      </c>
      <c r="AT54" s="4407"/>
      <c r="AU54" s="4442">
        <f t="shared" si="381"/>
        <v>0</v>
      </c>
      <c r="AV54" s="4407"/>
      <c r="AW54" s="4407"/>
      <c r="AX54" s="4442">
        <f t="shared" si="383"/>
        <v>0</v>
      </c>
      <c r="AY54" s="4407"/>
      <c r="AZ54" s="4407"/>
      <c r="BA54" s="4442">
        <f t="shared" si="385"/>
        <v>1.5389999999999999</v>
      </c>
      <c r="BB54" s="4442">
        <f t="shared" si="386"/>
        <v>1.5389999999999999</v>
      </c>
      <c r="BC54" s="4442">
        <f t="shared" si="386"/>
        <v>0</v>
      </c>
      <c r="BD54" s="4384">
        <f t="shared" si="174"/>
        <v>19.95825</v>
      </c>
      <c r="BE54" s="4384">
        <f t="shared" si="175"/>
        <v>19.95825</v>
      </c>
      <c r="BF54" s="4384">
        <f t="shared" si="176"/>
        <v>0</v>
      </c>
      <c r="BG54" s="4443">
        <f t="shared" si="387"/>
        <v>11.528</v>
      </c>
      <c r="BH54" s="4443">
        <f t="shared" si="387"/>
        <v>11.528</v>
      </c>
      <c r="BI54" s="4443">
        <f t="shared" si="387"/>
        <v>0</v>
      </c>
      <c r="BJ54" s="4443">
        <f t="shared" si="412"/>
        <v>-8.4302499999999991</v>
      </c>
      <c r="BK54" s="4443">
        <f t="shared" si="412"/>
        <v>-8.4302499999999991</v>
      </c>
      <c r="BL54" s="4443">
        <f t="shared" si="412"/>
        <v>0</v>
      </c>
      <c r="BM54" s="4385">
        <f t="shared" si="407"/>
        <v>6.6527500000000002</v>
      </c>
      <c r="BN54" s="4385">
        <f t="shared" si="408"/>
        <v>6.6527500000000002</v>
      </c>
      <c r="BO54" s="4385">
        <f t="shared" si="409"/>
        <v>0</v>
      </c>
      <c r="BP54" s="4442">
        <f t="shared" si="389"/>
        <v>0</v>
      </c>
      <c r="BQ54" s="4407"/>
      <c r="BR54" s="4407"/>
      <c r="BS54" s="4442">
        <f t="shared" si="391"/>
        <v>0</v>
      </c>
      <c r="BT54" s="4407"/>
      <c r="BU54" s="4407"/>
      <c r="BV54" s="4442">
        <f t="shared" si="393"/>
        <v>0</v>
      </c>
      <c r="BW54" s="4407"/>
      <c r="BX54" s="4407"/>
      <c r="BY54" s="4442">
        <f t="shared" si="395"/>
        <v>0</v>
      </c>
      <c r="BZ54" s="4442">
        <f t="shared" si="396"/>
        <v>0</v>
      </c>
      <c r="CA54" s="4442">
        <f t="shared" si="396"/>
        <v>0</v>
      </c>
      <c r="CB54" s="4384">
        <f t="shared" si="112"/>
        <v>26.611000000000001</v>
      </c>
      <c r="CC54" s="4384">
        <v>26.611000000000001</v>
      </c>
      <c r="CD54" s="4384">
        <v>0</v>
      </c>
      <c r="CE54" s="4443">
        <f t="shared" si="410"/>
        <v>11.528</v>
      </c>
      <c r="CF54" s="4443">
        <f t="shared" si="410"/>
        <v>11.528</v>
      </c>
      <c r="CG54" s="4443">
        <f t="shared" si="410"/>
        <v>0</v>
      </c>
      <c r="CH54" s="4443">
        <f t="shared" si="398"/>
        <v>-15.083</v>
      </c>
      <c r="CI54" s="4443">
        <f t="shared" si="399"/>
        <v>-15.083</v>
      </c>
      <c r="CJ54" s="4443">
        <f t="shared" si="399"/>
        <v>0</v>
      </c>
      <c r="CK54" s="2774"/>
      <c r="CL54" s="3576">
        <f t="shared" si="89"/>
        <v>26.611000000000001</v>
      </c>
      <c r="CM54" s="2774"/>
    </row>
    <row r="55" spans="1:92" ht="18.75" customHeight="1" x14ac:dyDescent="0.3">
      <c r="A55" s="4445" t="s">
        <v>588</v>
      </c>
      <c r="B55" s="4385">
        <f t="shared" si="401"/>
        <v>211.89449999999999</v>
      </c>
      <c r="C55" s="4385">
        <f t="shared" si="402"/>
        <v>211.89449999999999</v>
      </c>
      <c r="D55" s="4385">
        <f t="shared" si="402"/>
        <v>0</v>
      </c>
      <c r="E55" s="4442">
        <f t="shared" si="360"/>
        <v>28.370999999999999</v>
      </c>
      <c r="F55" s="4407">
        <v>28.370999999999999</v>
      </c>
      <c r="G55" s="4407"/>
      <c r="H55" s="4442">
        <f t="shared" si="362"/>
        <v>24.45</v>
      </c>
      <c r="I55" s="4407">
        <v>24.45</v>
      </c>
      <c r="J55" s="4407"/>
      <c r="K55" s="4442">
        <f t="shared" si="364"/>
        <v>16.254000000000001</v>
      </c>
      <c r="L55" s="4407">
        <v>16.254000000000001</v>
      </c>
      <c r="M55" s="4407"/>
      <c r="N55" s="4442">
        <f t="shared" si="366"/>
        <v>69.075000000000003</v>
      </c>
      <c r="O55" s="4442">
        <f t="shared" si="367"/>
        <v>69.075000000000003</v>
      </c>
      <c r="P55" s="4442">
        <f t="shared" si="367"/>
        <v>0</v>
      </c>
      <c r="Q55" s="4385">
        <f t="shared" si="338"/>
        <v>211.89449999999999</v>
      </c>
      <c r="R55" s="4385">
        <f t="shared" si="403"/>
        <v>211.89449999999999</v>
      </c>
      <c r="S55" s="4385">
        <f t="shared" si="404"/>
        <v>0</v>
      </c>
      <c r="T55" s="4442">
        <f t="shared" si="369"/>
        <v>21.602</v>
      </c>
      <c r="U55" s="4407">
        <v>21.602</v>
      </c>
      <c r="V55" s="4407"/>
      <c r="W55" s="4442">
        <f t="shared" si="371"/>
        <v>238.90700000000001</v>
      </c>
      <c r="X55" s="4407">
        <v>238.90700000000001</v>
      </c>
      <c r="Y55" s="4407"/>
      <c r="Z55" s="4442">
        <f t="shared" si="373"/>
        <v>14.275</v>
      </c>
      <c r="AA55" s="4407">
        <v>14.275</v>
      </c>
      <c r="AB55" s="4407"/>
      <c r="AC55" s="4442">
        <f t="shared" si="375"/>
        <v>274.78399999999999</v>
      </c>
      <c r="AD55" s="4442">
        <f>SUM(U55+X55+AA55)</f>
        <v>274.78399999999999</v>
      </c>
      <c r="AE55" s="4442">
        <f t="shared" si="376"/>
        <v>0</v>
      </c>
      <c r="AF55" s="4384">
        <f t="shared" si="159"/>
        <v>423.78899999999999</v>
      </c>
      <c r="AG55" s="4384">
        <f t="shared" si="160"/>
        <v>423.78899999999999</v>
      </c>
      <c r="AH55" s="4384">
        <f t="shared" si="161"/>
        <v>0</v>
      </c>
      <c r="AI55" s="4443">
        <f t="shared" si="377"/>
        <v>343.85899999999998</v>
      </c>
      <c r="AJ55" s="4443">
        <f t="shared" si="377"/>
        <v>343.85899999999998</v>
      </c>
      <c r="AK55" s="4443">
        <f t="shared" si="377"/>
        <v>0</v>
      </c>
      <c r="AL55" s="4443">
        <f t="shared" si="411"/>
        <v>-79.930000000000007</v>
      </c>
      <c r="AM55" s="4443">
        <f t="shared" si="411"/>
        <v>-79.930000000000007</v>
      </c>
      <c r="AN55" s="4443">
        <f t="shared" si="411"/>
        <v>0</v>
      </c>
      <c r="AO55" s="4385">
        <f t="shared" si="324"/>
        <v>211.89449999999999</v>
      </c>
      <c r="AP55" s="4385">
        <f t="shared" si="405"/>
        <v>211.89449999999999</v>
      </c>
      <c r="AQ55" s="4385">
        <f t="shared" si="406"/>
        <v>0</v>
      </c>
      <c r="AR55" s="4442">
        <f t="shared" si="379"/>
        <v>16.536000000000001</v>
      </c>
      <c r="AS55" s="4407">
        <v>16.536000000000001</v>
      </c>
      <c r="AT55" s="4407"/>
      <c r="AU55" s="4442">
        <f t="shared" si="381"/>
        <v>0</v>
      </c>
      <c r="AV55" s="4407"/>
      <c r="AW55" s="4407"/>
      <c r="AX55" s="4442">
        <f t="shared" si="383"/>
        <v>0</v>
      </c>
      <c r="AY55" s="4407"/>
      <c r="AZ55" s="4407"/>
      <c r="BA55" s="4442">
        <f t="shared" si="385"/>
        <v>16.536000000000001</v>
      </c>
      <c r="BB55" s="4442">
        <f t="shared" si="386"/>
        <v>16.536000000000001</v>
      </c>
      <c r="BC55" s="4442">
        <f t="shared" si="386"/>
        <v>0</v>
      </c>
      <c r="BD55" s="4384">
        <f t="shared" si="174"/>
        <v>635.68349999999998</v>
      </c>
      <c r="BE55" s="4384">
        <f t="shared" si="175"/>
        <v>635.68349999999998</v>
      </c>
      <c r="BF55" s="4384">
        <f t="shared" si="176"/>
        <v>0</v>
      </c>
      <c r="BG55" s="4443">
        <f t="shared" si="387"/>
        <v>360.39499999999998</v>
      </c>
      <c r="BH55" s="4443">
        <f t="shared" si="387"/>
        <v>360.39499999999998</v>
      </c>
      <c r="BI55" s="4443">
        <f t="shared" si="387"/>
        <v>0</v>
      </c>
      <c r="BJ55" s="4443">
        <f t="shared" si="412"/>
        <v>-275.2885</v>
      </c>
      <c r="BK55" s="4443">
        <f t="shared" si="412"/>
        <v>-275.2885</v>
      </c>
      <c r="BL55" s="4443">
        <f t="shared" si="412"/>
        <v>0</v>
      </c>
      <c r="BM55" s="4385">
        <f t="shared" si="407"/>
        <v>211.89449999999999</v>
      </c>
      <c r="BN55" s="4385">
        <f t="shared" si="408"/>
        <v>211.89449999999999</v>
      </c>
      <c r="BO55" s="4385">
        <f t="shared" si="409"/>
        <v>0</v>
      </c>
      <c r="BP55" s="4442">
        <f t="shared" si="389"/>
        <v>0</v>
      </c>
      <c r="BQ55" s="4407"/>
      <c r="BR55" s="4407"/>
      <c r="BS55" s="4442">
        <f t="shared" si="391"/>
        <v>0</v>
      </c>
      <c r="BT55" s="4407"/>
      <c r="BU55" s="4407"/>
      <c r="BV55" s="4442">
        <f t="shared" si="393"/>
        <v>0</v>
      </c>
      <c r="BW55" s="4407"/>
      <c r="BX55" s="4407"/>
      <c r="BY55" s="4442">
        <f t="shared" si="395"/>
        <v>0</v>
      </c>
      <c r="BZ55" s="4442">
        <f t="shared" si="396"/>
        <v>0</v>
      </c>
      <c r="CA55" s="4442">
        <f t="shared" si="396"/>
        <v>0</v>
      </c>
      <c r="CB55" s="4384">
        <f t="shared" si="112"/>
        <v>847.57799999999997</v>
      </c>
      <c r="CC55" s="4384">
        <v>847.57799999999997</v>
      </c>
      <c r="CD55" s="4384">
        <v>0</v>
      </c>
      <c r="CE55" s="4443">
        <f t="shared" si="410"/>
        <v>360.39499999999998</v>
      </c>
      <c r="CF55" s="4443">
        <f t="shared" si="410"/>
        <v>360.39499999999998</v>
      </c>
      <c r="CG55" s="4443">
        <f t="shared" si="410"/>
        <v>0</v>
      </c>
      <c r="CH55" s="4443">
        <f t="shared" si="398"/>
        <v>-487.18299999999999</v>
      </c>
      <c r="CI55" s="4443">
        <f t="shared" si="399"/>
        <v>-487.18299999999999</v>
      </c>
      <c r="CJ55" s="4443">
        <f t="shared" si="399"/>
        <v>0</v>
      </c>
      <c r="CK55" s="2774"/>
      <c r="CL55" s="3576">
        <f t="shared" si="89"/>
        <v>847.57799999999997</v>
      </c>
      <c r="CM55" s="2774"/>
    </row>
    <row r="56" spans="1:92" ht="18.75" customHeight="1" x14ac:dyDescent="0.3">
      <c r="A56" s="4445" t="s">
        <v>42</v>
      </c>
      <c r="B56" s="4385">
        <f t="shared" si="401"/>
        <v>34.209000000000003</v>
      </c>
      <c r="C56" s="4385">
        <f t="shared" si="402"/>
        <v>34.209000000000003</v>
      </c>
      <c r="D56" s="4385">
        <f t="shared" si="402"/>
        <v>0</v>
      </c>
      <c r="E56" s="4442">
        <f t="shared" si="360"/>
        <v>0</v>
      </c>
      <c r="F56" s="4407"/>
      <c r="G56" s="4407"/>
      <c r="H56" s="4442">
        <f t="shared" si="362"/>
        <v>0</v>
      </c>
      <c r="I56" s="4407"/>
      <c r="J56" s="4407"/>
      <c r="K56" s="4442">
        <f t="shared" si="364"/>
        <v>8.3350000000000009</v>
      </c>
      <c r="L56" s="4407">
        <f>1.464+6.871</f>
        <v>8.3350000000000009</v>
      </c>
      <c r="M56" s="4407"/>
      <c r="N56" s="4442">
        <f t="shared" si="366"/>
        <v>8.3350000000000009</v>
      </c>
      <c r="O56" s="4442">
        <f t="shared" si="367"/>
        <v>8.3350000000000009</v>
      </c>
      <c r="P56" s="4442">
        <f t="shared" si="367"/>
        <v>0</v>
      </c>
      <c r="Q56" s="4385">
        <f t="shared" si="338"/>
        <v>34.209000000000003</v>
      </c>
      <c r="R56" s="4385">
        <f t="shared" si="403"/>
        <v>34.209000000000003</v>
      </c>
      <c r="S56" s="4385">
        <f t="shared" si="404"/>
        <v>0</v>
      </c>
      <c r="T56" s="4442">
        <f t="shared" si="369"/>
        <v>0</v>
      </c>
      <c r="U56" s="4407"/>
      <c r="V56" s="4407"/>
      <c r="W56" s="4442">
        <f t="shared" si="371"/>
        <v>0</v>
      </c>
      <c r="X56" s="4407"/>
      <c r="Y56" s="4407"/>
      <c r="Z56" s="4442">
        <f t="shared" si="373"/>
        <v>14.858000000000001</v>
      </c>
      <c r="AA56" s="4407">
        <f>8.239+6.619</f>
        <v>14.858000000000001</v>
      </c>
      <c r="AB56" s="4407"/>
      <c r="AC56" s="4442">
        <f t="shared" si="375"/>
        <v>14.858000000000001</v>
      </c>
      <c r="AD56" s="4442">
        <f t="shared" si="376"/>
        <v>14.858000000000001</v>
      </c>
      <c r="AE56" s="4442">
        <f t="shared" si="376"/>
        <v>0</v>
      </c>
      <c r="AF56" s="4384">
        <f t="shared" si="159"/>
        <v>68.418000000000006</v>
      </c>
      <c r="AG56" s="4384">
        <f t="shared" si="160"/>
        <v>68.418000000000006</v>
      </c>
      <c r="AH56" s="4384">
        <f t="shared" si="161"/>
        <v>0</v>
      </c>
      <c r="AI56" s="4443">
        <f t="shared" si="377"/>
        <v>23.193000000000001</v>
      </c>
      <c r="AJ56" s="4443">
        <f t="shared" si="377"/>
        <v>23.193000000000001</v>
      </c>
      <c r="AK56" s="4443">
        <f t="shared" si="377"/>
        <v>0</v>
      </c>
      <c r="AL56" s="4443">
        <f t="shared" si="411"/>
        <v>-45.225000000000009</v>
      </c>
      <c r="AM56" s="4443">
        <f t="shared" si="411"/>
        <v>-45.225000000000009</v>
      </c>
      <c r="AN56" s="4443">
        <f t="shared" si="411"/>
        <v>0</v>
      </c>
      <c r="AO56" s="4385">
        <f t="shared" si="324"/>
        <v>34.209000000000003</v>
      </c>
      <c r="AP56" s="4385">
        <f t="shared" si="405"/>
        <v>34.209000000000003</v>
      </c>
      <c r="AQ56" s="4385">
        <f t="shared" si="406"/>
        <v>0</v>
      </c>
      <c r="AR56" s="4442">
        <f t="shared" si="379"/>
        <v>0</v>
      </c>
      <c r="AS56" s="4407"/>
      <c r="AT56" s="4407"/>
      <c r="AU56" s="4442">
        <f t="shared" si="381"/>
        <v>0</v>
      </c>
      <c r="AV56" s="4407"/>
      <c r="AW56" s="4407"/>
      <c r="AX56" s="4442">
        <f t="shared" si="383"/>
        <v>0</v>
      </c>
      <c r="AY56" s="4407"/>
      <c r="AZ56" s="4407"/>
      <c r="BA56" s="4442">
        <f t="shared" si="385"/>
        <v>0</v>
      </c>
      <c r="BB56" s="4442">
        <f t="shared" si="386"/>
        <v>0</v>
      </c>
      <c r="BC56" s="4442">
        <f t="shared" si="386"/>
        <v>0</v>
      </c>
      <c r="BD56" s="4384">
        <f t="shared" si="174"/>
        <v>102.62700000000001</v>
      </c>
      <c r="BE56" s="4384">
        <f t="shared" si="175"/>
        <v>102.62700000000001</v>
      </c>
      <c r="BF56" s="4384">
        <f t="shared" si="176"/>
        <v>0</v>
      </c>
      <c r="BG56" s="4443">
        <f t="shared" si="387"/>
        <v>23.193000000000001</v>
      </c>
      <c r="BH56" s="4443">
        <f t="shared" si="387"/>
        <v>23.193000000000001</v>
      </c>
      <c r="BI56" s="4443">
        <f t="shared" si="387"/>
        <v>0</v>
      </c>
      <c r="BJ56" s="4443">
        <f t="shared" si="412"/>
        <v>-79.434000000000012</v>
      </c>
      <c r="BK56" s="4443">
        <f t="shared" si="412"/>
        <v>-79.434000000000012</v>
      </c>
      <c r="BL56" s="4443">
        <f t="shared" si="412"/>
        <v>0</v>
      </c>
      <c r="BM56" s="4385">
        <f t="shared" si="407"/>
        <v>34.209000000000003</v>
      </c>
      <c r="BN56" s="4385">
        <f t="shared" si="408"/>
        <v>34.209000000000003</v>
      </c>
      <c r="BO56" s="4385">
        <f t="shared" si="409"/>
        <v>0</v>
      </c>
      <c r="BP56" s="4442">
        <f t="shared" si="389"/>
        <v>0</v>
      </c>
      <c r="BQ56" s="4407"/>
      <c r="BR56" s="4407"/>
      <c r="BS56" s="4442">
        <f t="shared" si="391"/>
        <v>0</v>
      </c>
      <c r="BT56" s="4407"/>
      <c r="BU56" s="4407"/>
      <c r="BV56" s="4442">
        <f t="shared" si="393"/>
        <v>0</v>
      </c>
      <c r="BW56" s="4407"/>
      <c r="BX56" s="4407"/>
      <c r="BY56" s="4442">
        <f t="shared" si="395"/>
        <v>0</v>
      </c>
      <c r="BZ56" s="4442">
        <f t="shared" si="396"/>
        <v>0</v>
      </c>
      <c r="CA56" s="4442">
        <f t="shared" si="396"/>
        <v>0</v>
      </c>
      <c r="CB56" s="4384">
        <f t="shared" si="112"/>
        <v>136.83600000000001</v>
      </c>
      <c r="CC56" s="4384">
        <v>136.83600000000001</v>
      </c>
      <c r="CD56" s="4384">
        <v>0</v>
      </c>
      <c r="CE56" s="4443">
        <f t="shared" si="410"/>
        <v>23.193000000000001</v>
      </c>
      <c r="CF56" s="4443">
        <f t="shared" si="410"/>
        <v>23.193000000000001</v>
      </c>
      <c r="CG56" s="4443">
        <f t="shared" si="410"/>
        <v>0</v>
      </c>
      <c r="CH56" s="4443">
        <f t="shared" si="398"/>
        <v>-113.64300000000001</v>
      </c>
      <c r="CI56" s="4443">
        <f t="shared" si="399"/>
        <v>-113.64300000000001</v>
      </c>
      <c r="CJ56" s="4443">
        <f t="shared" si="399"/>
        <v>0</v>
      </c>
      <c r="CK56" s="2774"/>
      <c r="CL56" s="3576">
        <f t="shared" si="89"/>
        <v>136.83600000000001</v>
      </c>
      <c r="CM56" s="2774"/>
    </row>
    <row r="57" spans="1:92" ht="18.75" customHeight="1" x14ac:dyDescent="0.3">
      <c r="A57" s="4445" t="s">
        <v>38</v>
      </c>
      <c r="B57" s="4385">
        <f t="shared" si="401"/>
        <v>7.7374999999999998</v>
      </c>
      <c r="C57" s="4385">
        <f t="shared" si="402"/>
        <v>7.7374999999999998</v>
      </c>
      <c r="D57" s="4385">
        <f t="shared" si="402"/>
        <v>0</v>
      </c>
      <c r="E57" s="4442">
        <f t="shared" si="360"/>
        <v>0</v>
      </c>
      <c r="F57" s="4407"/>
      <c r="G57" s="4407"/>
      <c r="H57" s="4442">
        <f t="shared" si="362"/>
        <v>5.9</v>
      </c>
      <c r="I57" s="4407">
        <v>5.9</v>
      </c>
      <c r="J57" s="4407"/>
      <c r="K57" s="4442">
        <f t="shared" si="364"/>
        <v>0</v>
      </c>
      <c r="L57" s="4407"/>
      <c r="M57" s="4407"/>
      <c r="N57" s="4442">
        <f t="shared" si="366"/>
        <v>5.9</v>
      </c>
      <c r="O57" s="4442">
        <f t="shared" si="367"/>
        <v>5.9</v>
      </c>
      <c r="P57" s="4442">
        <f t="shared" si="367"/>
        <v>0</v>
      </c>
      <c r="Q57" s="4385">
        <f t="shared" si="338"/>
        <v>7.7374999999999998</v>
      </c>
      <c r="R57" s="4385">
        <f t="shared" si="403"/>
        <v>7.7374999999999998</v>
      </c>
      <c r="S57" s="4385">
        <f t="shared" si="404"/>
        <v>0</v>
      </c>
      <c r="T57" s="4442">
        <f t="shared" si="369"/>
        <v>0</v>
      </c>
      <c r="U57" s="4407"/>
      <c r="V57" s="4407"/>
      <c r="W57" s="4442">
        <f t="shared" si="371"/>
        <v>31.36</v>
      </c>
      <c r="X57" s="4407">
        <f>13.44+14.42+0.42+3.08</f>
        <v>31.36</v>
      </c>
      <c r="Y57" s="4407"/>
      <c r="Z57" s="4442">
        <f t="shared" si="373"/>
        <v>22.18</v>
      </c>
      <c r="AA57" s="4407">
        <f>5.32+1.26+15.6</f>
        <v>22.18</v>
      </c>
      <c r="AB57" s="4407"/>
      <c r="AC57" s="4442">
        <f t="shared" si="375"/>
        <v>53.54</v>
      </c>
      <c r="AD57" s="4442">
        <f t="shared" si="376"/>
        <v>53.54</v>
      </c>
      <c r="AE57" s="4442">
        <f t="shared" si="376"/>
        <v>0</v>
      </c>
      <c r="AF57" s="4384">
        <f t="shared" si="159"/>
        <v>15.475</v>
      </c>
      <c r="AG57" s="4384">
        <f t="shared" si="160"/>
        <v>15.475</v>
      </c>
      <c r="AH57" s="4384">
        <f t="shared" si="161"/>
        <v>0</v>
      </c>
      <c r="AI57" s="4443">
        <f t="shared" si="377"/>
        <v>59.44</v>
      </c>
      <c r="AJ57" s="4443">
        <f t="shared" si="377"/>
        <v>59.44</v>
      </c>
      <c r="AK57" s="4443">
        <f t="shared" si="377"/>
        <v>0</v>
      </c>
      <c r="AL57" s="4443">
        <f t="shared" si="411"/>
        <v>43.964999999999996</v>
      </c>
      <c r="AM57" s="4443">
        <f t="shared" si="411"/>
        <v>43.964999999999996</v>
      </c>
      <c r="AN57" s="4443">
        <f t="shared" si="411"/>
        <v>0</v>
      </c>
      <c r="AO57" s="4385">
        <f t="shared" si="324"/>
        <v>7.7374999999999998</v>
      </c>
      <c r="AP57" s="4385">
        <f t="shared" si="405"/>
        <v>7.7374999999999998</v>
      </c>
      <c r="AQ57" s="4385">
        <f t="shared" si="406"/>
        <v>0</v>
      </c>
      <c r="AR57" s="4442">
        <f t="shared" si="379"/>
        <v>16.940000000000001</v>
      </c>
      <c r="AS57" s="4407">
        <v>16.940000000000001</v>
      </c>
      <c r="AT57" s="4407"/>
      <c r="AU57" s="4442">
        <f t="shared" si="381"/>
        <v>0</v>
      </c>
      <c r="AV57" s="4407"/>
      <c r="AW57" s="4407"/>
      <c r="AX57" s="4442">
        <f t="shared" si="383"/>
        <v>0</v>
      </c>
      <c r="AY57" s="4407"/>
      <c r="AZ57" s="4407"/>
      <c r="BA57" s="4442">
        <f t="shared" si="385"/>
        <v>16.940000000000001</v>
      </c>
      <c r="BB57" s="4442">
        <f t="shared" si="386"/>
        <v>16.940000000000001</v>
      </c>
      <c r="BC57" s="4442">
        <f t="shared" si="386"/>
        <v>0</v>
      </c>
      <c r="BD57" s="4384">
        <f t="shared" si="174"/>
        <v>23.212499999999999</v>
      </c>
      <c r="BE57" s="4384">
        <f t="shared" si="175"/>
        <v>23.212499999999999</v>
      </c>
      <c r="BF57" s="4384">
        <f t="shared" si="176"/>
        <v>0</v>
      </c>
      <c r="BG57" s="4443">
        <f t="shared" si="387"/>
        <v>76.38</v>
      </c>
      <c r="BH57" s="4443">
        <f t="shared" si="387"/>
        <v>76.38</v>
      </c>
      <c r="BI57" s="4443">
        <f t="shared" si="387"/>
        <v>0</v>
      </c>
      <c r="BJ57" s="4443">
        <f t="shared" si="412"/>
        <v>53.167499999999997</v>
      </c>
      <c r="BK57" s="4443">
        <f t="shared" si="412"/>
        <v>53.167499999999997</v>
      </c>
      <c r="BL57" s="4443">
        <f t="shared" si="412"/>
        <v>0</v>
      </c>
      <c r="BM57" s="4385">
        <f t="shared" si="407"/>
        <v>7.7374999999999998</v>
      </c>
      <c r="BN57" s="4385">
        <f t="shared" si="408"/>
        <v>7.7374999999999998</v>
      </c>
      <c r="BO57" s="4385">
        <f t="shared" si="409"/>
        <v>0</v>
      </c>
      <c r="BP57" s="4442">
        <f t="shared" si="389"/>
        <v>0</v>
      </c>
      <c r="BQ57" s="4407"/>
      <c r="BR57" s="4407"/>
      <c r="BS57" s="4442">
        <f t="shared" si="391"/>
        <v>0</v>
      </c>
      <c r="BT57" s="4407"/>
      <c r="BU57" s="4407"/>
      <c r="BV57" s="4442">
        <f t="shared" si="393"/>
        <v>0</v>
      </c>
      <c r="BW57" s="4407"/>
      <c r="BX57" s="4407"/>
      <c r="BY57" s="4442">
        <f t="shared" si="395"/>
        <v>0</v>
      </c>
      <c r="BZ57" s="4442">
        <f t="shared" si="396"/>
        <v>0</v>
      </c>
      <c r="CA57" s="4442">
        <f t="shared" si="396"/>
        <v>0</v>
      </c>
      <c r="CB57" s="4384">
        <f t="shared" si="112"/>
        <v>30.95</v>
      </c>
      <c r="CC57" s="4384">
        <v>30.95</v>
      </c>
      <c r="CD57" s="4384">
        <v>0</v>
      </c>
      <c r="CE57" s="4443">
        <f t="shared" si="410"/>
        <v>76.38</v>
      </c>
      <c r="CF57" s="4443">
        <f t="shared" si="410"/>
        <v>76.38</v>
      </c>
      <c r="CG57" s="4443">
        <f t="shared" si="410"/>
        <v>0</v>
      </c>
      <c r="CH57" s="4443">
        <f t="shared" si="398"/>
        <v>45.429999999999993</v>
      </c>
      <c r="CI57" s="4443">
        <f t="shared" si="399"/>
        <v>45.429999999999993</v>
      </c>
      <c r="CJ57" s="4443">
        <f t="shared" si="399"/>
        <v>0</v>
      </c>
      <c r="CK57" s="2774"/>
      <c r="CL57" s="3576">
        <f t="shared" si="89"/>
        <v>30.95</v>
      </c>
      <c r="CM57" s="2774"/>
    </row>
    <row r="58" spans="1:92" ht="18.75" customHeight="1" x14ac:dyDescent="0.3">
      <c r="A58" s="4445" t="s">
        <v>590</v>
      </c>
      <c r="B58" s="4385">
        <f t="shared" si="401"/>
        <v>0</v>
      </c>
      <c r="C58" s="4385">
        <f t="shared" si="402"/>
        <v>0</v>
      </c>
      <c r="D58" s="4385">
        <f t="shared" si="402"/>
        <v>0</v>
      </c>
      <c r="E58" s="4442">
        <f t="shared" si="360"/>
        <v>0</v>
      </c>
      <c r="F58" s="4407"/>
      <c r="G58" s="4407"/>
      <c r="H58" s="4442">
        <f t="shared" si="362"/>
        <v>0</v>
      </c>
      <c r="I58" s="4407"/>
      <c r="J58" s="4407"/>
      <c r="K58" s="4442">
        <f t="shared" si="364"/>
        <v>0</v>
      </c>
      <c r="L58" s="4407"/>
      <c r="M58" s="4407"/>
      <c r="N58" s="4442">
        <f t="shared" si="366"/>
        <v>0</v>
      </c>
      <c r="O58" s="4442">
        <f t="shared" si="367"/>
        <v>0</v>
      </c>
      <c r="P58" s="4442">
        <f t="shared" si="367"/>
        <v>0</v>
      </c>
      <c r="Q58" s="4385">
        <f t="shared" si="338"/>
        <v>0</v>
      </c>
      <c r="R58" s="4385">
        <f t="shared" si="403"/>
        <v>0</v>
      </c>
      <c r="S58" s="4385">
        <f t="shared" si="404"/>
        <v>0</v>
      </c>
      <c r="T58" s="4442">
        <f t="shared" si="369"/>
        <v>0</v>
      </c>
      <c r="U58" s="4407"/>
      <c r="V58" s="4407"/>
      <c r="W58" s="4442">
        <f t="shared" si="371"/>
        <v>0</v>
      </c>
      <c r="X58" s="4407"/>
      <c r="Y58" s="4407"/>
      <c r="Z58" s="4442">
        <f t="shared" si="373"/>
        <v>0</v>
      </c>
      <c r="AA58" s="4407"/>
      <c r="AB58" s="4407"/>
      <c r="AC58" s="4442">
        <f t="shared" si="375"/>
        <v>0</v>
      </c>
      <c r="AD58" s="4442">
        <f t="shared" si="376"/>
        <v>0</v>
      </c>
      <c r="AE58" s="4442">
        <f t="shared" si="376"/>
        <v>0</v>
      </c>
      <c r="AF58" s="4384">
        <f t="shared" si="159"/>
        <v>0</v>
      </c>
      <c r="AG58" s="4384">
        <f t="shared" si="160"/>
        <v>0</v>
      </c>
      <c r="AH58" s="4384">
        <f t="shared" si="161"/>
        <v>0</v>
      </c>
      <c r="AI58" s="4443">
        <f t="shared" si="377"/>
        <v>0</v>
      </c>
      <c r="AJ58" s="4443">
        <f t="shared" si="377"/>
        <v>0</v>
      </c>
      <c r="AK58" s="4443">
        <f t="shared" si="377"/>
        <v>0</v>
      </c>
      <c r="AL58" s="4443">
        <f t="shared" si="411"/>
        <v>0</v>
      </c>
      <c r="AM58" s="4443">
        <f t="shared" si="411"/>
        <v>0</v>
      </c>
      <c r="AN58" s="4443">
        <f t="shared" si="411"/>
        <v>0</v>
      </c>
      <c r="AO58" s="4385">
        <f t="shared" si="324"/>
        <v>0</v>
      </c>
      <c r="AP58" s="4385">
        <f t="shared" si="405"/>
        <v>0</v>
      </c>
      <c r="AQ58" s="4385">
        <f t="shared" si="406"/>
        <v>0</v>
      </c>
      <c r="AR58" s="4442">
        <f t="shared" si="379"/>
        <v>0</v>
      </c>
      <c r="AS58" s="4407"/>
      <c r="AT58" s="4407"/>
      <c r="AU58" s="4442">
        <f t="shared" si="381"/>
        <v>0</v>
      </c>
      <c r="AV58" s="4407"/>
      <c r="AW58" s="4407"/>
      <c r="AX58" s="4442">
        <f t="shared" si="383"/>
        <v>0</v>
      </c>
      <c r="AY58" s="4407"/>
      <c r="AZ58" s="4407"/>
      <c r="BA58" s="4442">
        <f t="shared" si="385"/>
        <v>0</v>
      </c>
      <c r="BB58" s="4442">
        <f t="shared" si="386"/>
        <v>0</v>
      </c>
      <c r="BC58" s="4442">
        <f t="shared" si="386"/>
        <v>0</v>
      </c>
      <c r="BD58" s="4384">
        <f t="shared" si="174"/>
        <v>0</v>
      </c>
      <c r="BE58" s="4384">
        <f t="shared" si="175"/>
        <v>0</v>
      </c>
      <c r="BF58" s="4384">
        <f t="shared" si="176"/>
        <v>0</v>
      </c>
      <c r="BG58" s="4443">
        <f t="shared" si="387"/>
        <v>0</v>
      </c>
      <c r="BH58" s="4443">
        <f t="shared" si="387"/>
        <v>0</v>
      </c>
      <c r="BI58" s="4443">
        <f t="shared" si="387"/>
        <v>0</v>
      </c>
      <c r="BJ58" s="4443">
        <f t="shared" si="412"/>
        <v>0</v>
      </c>
      <c r="BK58" s="4443">
        <f t="shared" si="412"/>
        <v>0</v>
      </c>
      <c r="BL58" s="4443">
        <f t="shared" si="412"/>
        <v>0</v>
      </c>
      <c r="BM58" s="4385">
        <f t="shared" si="407"/>
        <v>0</v>
      </c>
      <c r="BN58" s="4385">
        <f t="shared" si="408"/>
        <v>0</v>
      </c>
      <c r="BO58" s="4385">
        <f t="shared" si="409"/>
        <v>0</v>
      </c>
      <c r="BP58" s="4442">
        <f t="shared" si="389"/>
        <v>0</v>
      </c>
      <c r="BQ58" s="4407"/>
      <c r="BR58" s="4407"/>
      <c r="BS58" s="4442">
        <f t="shared" si="391"/>
        <v>0</v>
      </c>
      <c r="BT58" s="4407"/>
      <c r="BU58" s="4407"/>
      <c r="BV58" s="4442">
        <f t="shared" si="393"/>
        <v>0</v>
      </c>
      <c r="BW58" s="4407"/>
      <c r="BX58" s="4407"/>
      <c r="BY58" s="4442">
        <f t="shared" si="395"/>
        <v>0</v>
      </c>
      <c r="BZ58" s="4442">
        <f t="shared" si="396"/>
        <v>0</v>
      </c>
      <c r="CA58" s="4442">
        <f t="shared" si="396"/>
        <v>0</v>
      </c>
      <c r="CB58" s="4384">
        <f t="shared" si="112"/>
        <v>0</v>
      </c>
      <c r="CC58" s="4384">
        <v>0</v>
      </c>
      <c r="CD58" s="4384">
        <v>0</v>
      </c>
      <c r="CE58" s="4443">
        <f t="shared" si="410"/>
        <v>0</v>
      </c>
      <c r="CF58" s="4443">
        <f t="shared" si="410"/>
        <v>0</v>
      </c>
      <c r="CG58" s="4443">
        <f t="shared" si="410"/>
        <v>0</v>
      </c>
      <c r="CH58" s="4443">
        <f t="shared" si="398"/>
        <v>0</v>
      </c>
      <c r="CI58" s="4443">
        <f t="shared" si="399"/>
        <v>0</v>
      </c>
      <c r="CJ58" s="4443">
        <f t="shared" si="399"/>
        <v>0</v>
      </c>
      <c r="CK58" s="2774"/>
      <c r="CL58" s="3576">
        <f t="shared" si="89"/>
        <v>0</v>
      </c>
      <c r="CM58" s="2774"/>
    </row>
    <row r="59" spans="1:92" ht="18.75" customHeight="1" x14ac:dyDescent="0.3">
      <c r="A59" s="4445" t="s">
        <v>94</v>
      </c>
      <c r="B59" s="4385">
        <f t="shared" si="401"/>
        <v>15.110250000000001</v>
      </c>
      <c r="C59" s="4385">
        <f t="shared" si="402"/>
        <v>15.110250000000001</v>
      </c>
      <c r="D59" s="4385">
        <f t="shared" si="402"/>
        <v>0</v>
      </c>
      <c r="E59" s="4442">
        <f t="shared" si="360"/>
        <v>0</v>
      </c>
      <c r="F59" s="4407"/>
      <c r="G59" s="4407"/>
      <c r="H59" s="4442">
        <f t="shared" si="362"/>
        <v>0</v>
      </c>
      <c r="I59" s="4407"/>
      <c r="J59" s="4407"/>
      <c r="K59" s="4442">
        <f t="shared" si="364"/>
        <v>14.266999999999999</v>
      </c>
      <c r="L59" s="4407">
        <v>14.266999999999999</v>
      </c>
      <c r="M59" s="4407"/>
      <c r="N59" s="4442">
        <f t="shared" si="366"/>
        <v>14.266999999999999</v>
      </c>
      <c r="O59" s="4442">
        <f t="shared" si="367"/>
        <v>14.266999999999999</v>
      </c>
      <c r="P59" s="4442">
        <f t="shared" si="367"/>
        <v>0</v>
      </c>
      <c r="Q59" s="4385">
        <f t="shared" si="338"/>
        <v>15.110250000000001</v>
      </c>
      <c r="R59" s="4385">
        <f t="shared" si="403"/>
        <v>15.110250000000001</v>
      </c>
      <c r="S59" s="4385">
        <f t="shared" si="404"/>
        <v>0</v>
      </c>
      <c r="T59" s="4442">
        <f t="shared" si="369"/>
        <v>0</v>
      </c>
      <c r="U59" s="4407"/>
      <c r="V59" s="4407"/>
      <c r="W59" s="4442">
        <f t="shared" si="371"/>
        <v>0</v>
      </c>
      <c r="X59" s="4407"/>
      <c r="Y59" s="4407"/>
      <c r="Z59" s="4442">
        <f t="shared" si="373"/>
        <v>14.426</v>
      </c>
      <c r="AA59" s="4407">
        <v>14.426</v>
      </c>
      <c r="AB59" s="4407"/>
      <c r="AC59" s="4442">
        <f t="shared" si="375"/>
        <v>14.426</v>
      </c>
      <c r="AD59" s="4442">
        <f t="shared" si="376"/>
        <v>14.426</v>
      </c>
      <c r="AE59" s="4442">
        <f t="shared" si="376"/>
        <v>0</v>
      </c>
      <c r="AF59" s="4384">
        <f t="shared" si="159"/>
        <v>30.220500000000001</v>
      </c>
      <c r="AG59" s="4384">
        <f t="shared" si="160"/>
        <v>30.220500000000001</v>
      </c>
      <c r="AH59" s="4384">
        <f t="shared" si="161"/>
        <v>0</v>
      </c>
      <c r="AI59" s="4443">
        <f t="shared" si="377"/>
        <v>28.692999999999998</v>
      </c>
      <c r="AJ59" s="4443">
        <f t="shared" si="377"/>
        <v>28.692999999999998</v>
      </c>
      <c r="AK59" s="4443">
        <f t="shared" si="377"/>
        <v>0</v>
      </c>
      <c r="AL59" s="4443">
        <f t="shared" si="411"/>
        <v>-1.5275000000000034</v>
      </c>
      <c r="AM59" s="4443">
        <f t="shared" si="411"/>
        <v>-1.5275000000000034</v>
      </c>
      <c r="AN59" s="4443">
        <f t="shared" si="411"/>
        <v>0</v>
      </c>
      <c r="AO59" s="4385">
        <f t="shared" si="324"/>
        <v>15.110250000000001</v>
      </c>
      <c r="AP59" s="4385">
        <f t="shared" si="405"/>
        <v>15.110250000000001</v>
      </c>
      <c r="AQ59" s="4385">
        <f t="shared" si="406"/>
        <v>0</v>
      </c>
      <c r="AR59" s="4442">
        <f t="shared" si="379"/>
        <v>0</v>
      </c>
      <c r="AS59" s="4407"/>
      <c r="AT59" s="4407"/>
      <c r="AU59" s="4442">
        <f t="shared" si="381"/>
        <v>0</v>
      </c>
      <c r="AV59" s="4407"/>
      <c r="AW59" s="4407"/>
      <c r="AX59" s="4442">
        <f t="shared" si="383"/>
        <v>0</v>
      </c>
      <c r="AY59" s="4407"/>
      <c r="AZ59" s="4407"/>
      <c r="BA59" s="4442">
        <f t="shared" si="385"/>
        <v>0</v>
      </c>
      <c r="BB59" s="4442">
        <f t="shared" si="386"/>
        <v>0</v>
      </c>
      <c r="BC59" s="4442">
        <f t="shared" si="386"/>
        <v>0</v>
      </c>
      <c r="BD59" s="4384">
        <f t="shared" si="174"/>
        <v>45.330750000000002</v>
      </c>
      <c r="BE59" s="4384">
        <f t="shared" si="175"/>
        <v>45.330750000000002</v>
      </c>
      <c r="BF59" s="4384">
        <f t="shared" si="176"/>
        <v>0</v>
      </c>
      <c r="BG59" s="4443">
        <f t="shared" si="387"/>
        <v>28.692999999999998</v>
      </c>
      <c r="BH59" s="4443">
        <f t="shared" si="387"/>
        <v>28.692999999999998</v>
      </c>
      <c r="BI59" s="4443">
        <f t="shared" si="387"/>
        <v>0</v>
      </c>
      <c r="BJ59" s="4443">
        <f t="shared" si="412"/>
        <v>-16.637750000000004</v>
      </c>
      <c r="BK59" s="4443">
        <f t="shared" si="412"/>
        <v>-16.637750000000004</v>
      </c>
      <c r="BL59" s="4443">
        <f t="shared" si="412"/>
        <v>0</v>
      </c>
      <c r="BM59" s="4385">
        <f t="shared" si="407"/>
        <v>15.110250000000001</v>
      </c>
      <c r="BN59" s="4385">
        <f t="shared" si="408"/>
        <v>15.110250000000001</v>
      </c>
      <c r="BO59" s="4385">
        <f t="shared" si="409"/>
        <v>0</v>
      </c>
      <c r="BP59" s="4442">
        <f t="shared" si="389"/>
        <v>0</v>
      </c>
      <c r="BQ59" s="4407"/>
      <c r="BR59" s="4407"/>
      <c r="BS59" s="4442">
        <f t="shared" si="391"/>
        <v>0</v>
      </c>
      <c r="BT59" s="4407"/>
      <c r="BU59" s="4407"/>
      <c r="BV59" s="4442">
        <f t="shared" si="393"/>
        <v>0</v>
      </c>
      <c r="BW59" s="4407"/>
      <c r="BX59" s="4407"/>
      <c r="BY59" s="4442">
        <f t="shared" si="395"/>
        <v>0</v>
      </c>
      <c r="BZ59" s="4442">
        <f t="shared" si="396"/>
        <v>0</v>
      </c>
      <c r="CA59" s="4442">
        <f t="shared" si="396"/>
        <v>0</v>
      </c>
      <c r="CB59" s="4384">
        <f t="shared" si="112"/>
        <v>60.441000000000003</v>
      </c>
      <c r="CC59" s="4384">
        <v>60.441000000000003</v>
      </c>
      <c r="CD59" s="4384">
        <v>0</v>
      </c>
      <c r="CE59" s="4443">
        <f t="shared" si="410"/>
        <v>28.692999999999998</v>
      </c>
      <c r="CF59" s="4443">
        <f t="shared" si="410"/>
        <v>28.692999999999998</v>
      </c>
      <c r="CG59" s="4443">
        <f t="shared" si="410"/>
        <v>0</v>
      </c>
      <c r="CH59" s="4443">
        <f t="shared" si="398"/>
        <v>-31.748000000000005</v>
      </c>
      <c r="CI59" s="4443">
        <f t="shared" si="399"/>
        <v>-31.748000000000005</v>
      </c>
      <c r="CJ59" s="4443">
        <f t="shared" si="399"/>
        <v>0</v>
      </c>
      <c r="CK59" s="2774"/>
      <c r="CL59" s="3576">
        <f t="shared" si="89"/>
        <v>60.441000000000003</v>
      </c>
      <c r="CM59" s="2774"/>
    </row>
    <row r="60" spans="1:92" ht="18.75" customHeight="1" x14ac:dyDescent="0.3">
      <c r="A60" s="4445" t="s">
        <v>591</v>
      </c>
      <c r="B60" s="4385">
        <f t="shared" si="401"/>
        <v>32.622999999999998</v>
      </c>
      <c r="C60" s="4385">
        <f t="shared" si="402"/>
        <v>32.622999999999998</v>
      </c>
      <c r="D60" s="4385">
        <f t="shared" si="402"/>
        <v>0</v>
      </c>
      <c r="E60" s="4442">
        <f t="shared" si="360"/>
        <v>0</v>
      </c>
      <c r="F60" s="4407"/>
      <c r="G60" s="4407"/>
      <c r="H60" s="4442">
        <f t="shared" si="362"/>
        <v>0</v>
      </c>
      <c r="I60" s="4407"/>
      <c r="J60" s="4407"/>
      <c r="K60" s="4442">
        <f t="shared" si="364"/>
        <v>3.25</v>
      </c>
      <c r="L60" s="4407">
        <v>3.25</v>
      </c>
      <c r="M60" s="4407"/>
      <c r="N60" s="4442">
        <f t="shared" si="366"/>
        <v>3.25</v>
      </c>
      <c r="O60" s="4442">
        <f t="shared" si="367"/>
        <v>3.25</v>
      </c>
      <c r="P60" s="4442">
        <f t="shared" si="367"/>
        <v>0</v>
      </c>
      <c r="Q60" s="4385">
        <f t="shared" si="338"/>
        <v>32.622999999999998</v>
      </c>
      <c r="R60" s="4385">
        <f t="shared" si="403"/>
        <v>32.622999999999998</v>
      </c>
      <c r="S60" s="4385">
        <f t="shared" si="404"/>
        <v>0</v>
      </c>
      <c r="T60" s="4442">
        <f t="shared" si="369"/>
        <v>0</v>
      </c>
      <c r="U60" s="4407"/>
      <c r="V60" s="4407"/>
      <c r="W60" s="4442">
        <f t="shared" si="371"/>
        <v>14.074</v>
      </c>
      <c r="X60" s="4407">
        <v>14.074</v>
      </c>
      <c r="Y60" s="4407"/>
      <c r="Z60" s="4442">
        <f t="shared" si="373"/>
        <v>4.5049999999999999</v>
      </c>
      <c r="AA60" s="4407">
        <v>4.5049999999999999</v>
      </c>
      <c r="AB60" s="4407"/>
      <c r="AC60" s="4442">
        <f t="shared" si="375"/>
        <v>18.579000000000001</v>
      </c>
      <c r="AD60" s="4442">
        <f t="shared" si="376"/>
        <v>18.579000000000001</v>
      </c>
      <c r="AE60" s="4442">
        <f t="shared" si="376"/>
        <v>0</v>
      </c>
      <c r="AF60" s="4384">
        <f t="shared" si="159"/>
        <v>65.245999999999995</v>
      </c>
      <c r="AG60" s="4384">
        <f t="shared" si="160"/>
        <v>65.245999999999995</v>
      </c>
      <c r="AH60" s="4384">
        <f t="shared" si="161"/>
        <v>0</v>
      </c>
      <c r="AI60" s="4443">
        <f t="shared" si="377"/>
        <v>21.829000000000001</v>
      </c>
      <c r="AJ60" s="4443">
        <f t="shared" si="377"/>
        <v>21.829000000000001</v>
      </c>
      <c r="AK60" s="4443">
        <f t="shared" si="377"/>
        <v>0</v>
      </c>
      <c r="AL60" s="4443">
        <f t="shared" si="411"/>
        <v>-43.416999999999994</v>
      </c>
      <c r="AM60" s="4443">
        <f t="shared" si="411"/>
        <v>-43.416999999999994</v>
      </c>
      <c r="AN60" s="4443">
        <f t="shared" si="411"/>
        <v>0</v>
      </c>
      <c r="AO60" s="4385">
        <f t="shared" si="324"/>
        <v>32.622999999999998</v>
      </c>
      <c r="AP60" s="4385">
        <f t="shared" si="405"/>
        <v>32.622999999999998</v>
      </c>
      <c r="AQ60" s="4385">
        <f t="shared" si="406"/>
        <v>0</v>
      </c>
      <c r="AR60" s="4442">
        <f t="shared" si="379"/>
        <v>0</v>
      </c>
      <c r="AS60" s="4407"/>
      <c r="AT60" s="4407"/>
      <c r="AU60" s="4442">
        <f t="shared" si="381"/>
        <v>0</v>
      </c>
      <c r="AV60" s="4407"/>
      <c r="AW60" s="4407"/>
      <c r="AX60" s="4442">
        <f t="shared" si="383"/>
        <v>0</v>
      </c>
      <c r="AY60" s="4407"/>
      <c r="AZ60" s="4407"/>
      <c r="BA60" s="4442">
        <f t="shared" si="385"/>
        <v>0</v>
      </c>
      <c r="BB60" s="4442">
        <f t="shared" si="386"/>
        <v>0</v>
      </c>
      <c r="BC60" s="4442">
        <f t="shared" si="386"/>
        <v>0</v>
      </c>
      <c r="BD60" s="4384">
        <f t="shared" si="174"/>
        <v>97.869</v>
      </c>
      <c r="BE60" s="4384">
        <f t="shared" si="175"/>
        <v>97.869</v>
      </c>
      <c r="BF60" s="4384">
        <f t="shared" si="176"/>
        <v>0</v>
      </c>
      <c r="BG60" s="4443">
        <f t="shared" si="387"/>
        <v>21.829000000000001</v>
      </c>
      <c r="BH60" s="4443">
        <f t="shared" si="387"/>
        <v>21.829000000000001</v>
      </c>
      <c r="BI60" s="4443">
        <f t="shared" si="387"/>
        <v>0</v>
      </c>
      <c r="BJ60" s="4443">
        <f t="shared" si="412"/>
        <v>-76.039999999999992</v>
      </c>
      <c r="BK60" s="4443">
        <f t="shared" si="412"/>
        <v>-76.039999999999992</v>
      </c>
      <c r="BL60" s="4443">
        <f t="shared" si="412"/>
        <v>0</v>
      </c>
      <c r="BM60" s="4385">
        <f t="shared" si="407"/>
        <v>32.622999999999998</v>
      </c>
      <c r="BN60" s="4385">
        <f t="shared" si="408"/>
        <v>32.622999999999998</v>
      </c>
      <c r="BO60" s="4385">
        <f t="shared" si="409"/>
        <v>0</v>
      </c>
      <c r="BP60" s="4442">
        <f t="shared" si="389"/>
        <v>0</v>
      </c>
      <c r="BQ60" s="4407"/>
      <c r="BR60" s="4407"/>
      <c r="BS60" s="4442">
        <f t="shared" si="391"/>
        <v>0</v>
      </c>
      <c r="BT60" s="4407"/>
      <c r="BU60" s="4407"/>
      <c r="BV60" s="4442">
        <f t="shared" si="393"/>
        <v>0</v>
      </c>
      <c r="BW60" s="4407"/>
      <c r="BX60" s="4407"/>
      <c r="BY60" s="4442">
        <f t="shared" si="395"/>
        <v>0</v>
      </c>
      <c r="BZ60" s="4442">
        <f t="shared" si="396"/>
        <v>0</v>
      </c>
      <c r="CA60" s="4442">
        <f t="shared" si="396"/>
        <v>0</v>
      </c>
      <c r="CB60" s="4384">
        <f t="shared" si="112"/>
        <v>130.49199999999999</v>
      </c>
      <c r="CC60" s="4384">
        <v>130.49199999999999</v>
      </c>
      <c r="CD60" s="4384">
        <v>0</v>
      </c>
      <c r="CE60" s="4443">
        <f t="shared" si="410"/>
        <v>21.829000000000001</v>
      </c>
      <c r="CF60" s="4443">
        <f t="shared" si="410"/>
        <v>21.829000000000001</v>
      </c>
      <c r="CG60" s="4443">
        <f t="shared" si="410"/>
        <v>0</v>
      </c>
      <c r="CH60" s="4443">
        <f t="shared" si="398"/>
        <v>-108.66299999999998</v>
      </c>
      <c r="CI60" s="4443">
        <f t="shared" si="399"/>
        <v>-108.66299999999998</v>
      </c>
      <c r="CJ60" s="4443">
        <f t="shared" si="399"/>
        <v>0</v>
      </c>
      <c r="CK60" s="2774"/>
      <c r="CL60" s="3576">
        <f t="shared" si="89"/>
        <v>130.49199999999999</v>
      </c>
      <c r="CM60" s="2774"/>
    </row>
    <row r="61" spans="1:92" ht="18.75" customHeight="1" x14ac:dyDescent="0.3">
      <c r="A61" s="4445" t="s">
        <v>3760</v>
      </c>
      <c r="B61" s="4385">
        <f t="shared" si="401"/>
        <v>185.9845</v>
      </c>
      <c r="C61" s="4385">
        <f t="shared" si="402"/>
        <v>185.9845</v>
      </c>
      <c r="D61" s="4385">
        <f t="shared" si="402"/>
        <v>0</v>
      </c>
      <c r="E61" s="4442">
        <f t="shared" si="360"/>
        <v>0</v>
      </c>
      <c r="F61" s="4407"/>
      <c r="G61" s="4407"/>
      <c r="H61" s="4442">
        <f t="shared" si="362"/>
        <v>28.440999999999999</v>
      </c>
      <c r="I61" s="4407">
        <v>28.440999999999999</v>
      </c>
      <c r="J61" s="4407"/>
      <c r="K61" s="4442">
        <f t="shared" si="364"/>
        <v>56.881999999999998</v>
      </c>
      <c r="L61" s="4407">
        <v>56.881999999999998</v>
      </c>
      <c r="M61" s="4407"/>
      <c r="N61" s="4442">
        <f t="shared" si="366"/>
        <v>85.322999999999993</v>
      </c>
      <c r="O61" s="4442">
        <f t="shared" si="367"/>
        <v>85.322999999999993</v>
      </c>
      <c r="P61" s="4442">
        <f t="shared" si="367"/>
        <v>0</v>
      </c>
      <c r="Q61" s="4385">
        <f t="shared" si="338"/>
        <v>185.9845</v>
      </c>
      <c r="R61" s="4385">
        <f t="shared" si="403"/>
        <v>185.9845</v>
      </c>
      <c r="S61" s="4385">
        <f t="shared" si="404"/>
        <v>0</v>
      </c>
      <c r="T61" s="4442">
        <f t="shared" si="369"/>
        <v>96.162999999999997</v>
      </c>
      <c r="U61" s="4407">
        <f>67.722+28.441</f>
        <v>96.162999999999997</v>
      </c>
      <c r="V61" s="4407"/>
      <c r="W61" s="4442">
        <f t="shared" si="371"/>
        <v>0</v>
      </c>
      <c r="X61" s="4407"/>
      <c r="Y61" s="4407"/>
      <c r="Z61" s="4442">
        <f t="shared" si="373"/>
        <v>28.440999999999999</v>
      </c>
      <c r="AA61" s="4407">
        <v>28.440999999999999</v>
      </c>
      <c r="AB61" s="4407"/>
      <c r="AC61" s="4442">
        <f t="shared" si="375"/>
        <v>124.604</v>
      </c>
      <c r="AD61" s="4442">
        <f t="shared" si="376"/>
        <v>124.604</v>
      </c>
      <c r="AE61" s="4442">
        <f t="shared" si="376"/>
        <v>0</v>
      </c>
      <c r="AF61" s="4384">
        <f t="shared" si="159"/>
        <v>371.96899999999999</v>
      </c>
      <c r="AG61" s="4384">
        <f t="shared" si="160"/>
        <v>371.96899999999999</v>
      </c>
      <c r="AH61" s="4384">
        <f t="shared" si="161"/>
        <v>0</v>
      </c>
      <c r="AI61" s="4443">
        <f t="shared" si="377"/>
        <v>209.92699999999999</v>
      </c>
      <c r="AJ61" s="4443">
        <f t="shared" si="377"/>
        <v>209.92699999999999</v>
      </c>
      <c r="AK61" s="4443">
        <f t="shared" si="377"/>
        <v>0</v>
      </c>
      <c r="AL61" s="4443">
        <f t="shared" si="411"/>
        <v>-162.042</v>
      </c>
      <c r="AM61" s="4443">
        <f t="shared" si="411"/>
        <v>-162.042</v>
      </c>
      <c r="AN61" s="4443">
        <f t="shared" si="411"/>
        <v>0</v>
      </c>
      <c r="AO61" s="4385">
        <f t="shared" si="324"/>
        <v>185.9845</v>
      </c>
      <c r="AP61" s="4385">
        <f t="shared" si="405"/>
        <v>185.9845</v>
      </c>
      <c r="AQ61" s="4385">
        <f t="shared" si="406"/>
        <v>0</v>
      </c>
      <c r="AR61" s="4442">
        <f t="shared" si="379"/>
        <v>118.874</v>
      </c>
      <c r="AS61" s="4407">
        <v>118.874</v>
      </c>
      <c r="AT61" s="4407"/>
      <c r="AU61" s="4442">
        <f t="shared" si="381"/>
        <v>0</v>
      </c>
      <c r="AV61" s="4407"/>
      <c r="AW61" s="4407"/>
      <c r="AX61" s="4442">
        <f t="shared" si="383"/>
        <v>0</v>
      </c>
      <c r="AY61" s="4407"/>
      <c r="AZ61" s="4407"/>
      <c r="BA61" s="4442">
        <f t="shared" si="385"/>
        <v>118.874</v>
      </c>
      <c r="BB61" s="4442">
        <f t="shared" si="386"/>
        <v>118.874</v>
      </c>
      <c r="BC61" s="4442">
        <f t="shared" si="386"/>
        <v>0</v>
      </c>
      <c r="BD61" s="4384">
        <f t="shared" si="174"/>
        <v>557.95349999999996</v>
      </c>
      <c r="BE61" s="4384">
        <f t="shared" si="175"/>
        <v>557.95349999999996</v>
      </c>
      <c r="BF61" s="4384">
        <f t="shared" si="176"/>
        <v>0</v>
      </c>
      <c r="BG61" s="4443">
        <f t="shared" si="387"/>
        <v>328.80099999999999</v>
      </c>
      <c r="BH61" s="4443">
        <f t="shared" si="387"/>
        <v>328.80099999999999</v>
      </c>
      <c r="BI61" s="4443">
        <f t="shared" si="387"/>
        <v>0</v>
      </c>
      <c r="BJ61" s="4443">
        <f t="shared" si="412"/>
        <v>-229.15249999999997</v>
      </c>
      <c r="BK61" s="4443">
        <f t="shared" si="412"/>
        <v>-229.15249999999997</v>
      </c>
      <c r="BL61" s="4443">
        <f t="shared" si="412"/>
        <v>0</v>
      </c>
      <c r="BM61" s="4385">
        <f t="shared" si="407"/>
        <v>185.9845</v>
      </c>
      <c r="BN61" s="4385">
        <f t="shared" si="408"/>
        <v>185.9845</v>
      </c>
      <c r="BO61" s="4385">
        <f t="shared" si="409"/>
        <v>0</v>
      </c>
      <c r="BP61" s="4442">
        <f t="shared" si="389"/>
        <v>0</v>
      </c>
      <c r="BQ61" s="4407"/>
      <c r="BR61" s="4407"/>
      <c r="BS61" s="4442">
        <f t="shared" si="391"/>
        <v>0</v>
      </c>
      <c r="BT61" s="4407"/>
      <c r="BU61" s="4407"/>
      <c r="BV61" s="4442">
        <f t="shared" si="393"/>
        <v>0</v>
      </c>
      <c r="BW61" s="4407"/>
      <c r="BX61" s="4407"/>
      <c r="BY61" s="4442">
        <f t="shared" si="395"/>
        <v>0</v>
      </c>
      <c r="BZ61" s="4442">
        <f t="shared" si="396"/>
        <v>0</v>
      </c>
      <c r="CA61" s="4442">
        <f t="shared" si="396"/>
        <v>0</v>
      </c>
      <c r="CB61" s="4384">
        <f t="shared" si="112"/>
        <v>743.93799999999999</v>
      </c>
      <c r="CC61" s="4384">
        <v>743.93799999999999</v>
      </c>
      <c r="CD61" s="4384">
        <v>0</v>
      </c>
      <c r="CE61" s="4443">
        <f t="shared" si="410"/>
        <v>328.80099999999999</v>
      </c>
      <c r="CF61" s="4443">
        <f t="shared" si="410"/>
        <v>328.80099999999999</v>
      </c>
      <c r="CG61" s="4443">
        <f t="shared" si="410"/>
        <v>0</v>
      </c>
      <c r="CH61" s="4443">
        <f t="shared" si="398"/>
        <v>-415.137</v>
      </c>
      <c r="CI61" s="4443">
        <f t="shared" si="399"/>
        <v>-415.137</v>
      </c>
      <c r="CJ61" s="4443">
        <f t="shared" si="399"/>
        <v>0</v>
      </c>
      <c r="CK61" s="2774"/>
      <c r="CL61" s="3576">
        <f t="shared" si="89"/>
        <v>743.93799999999999</v>
      </c>
      <c r="CM61" s="2774"/>
    </row>
    <row r="62" spans="1:92" ht="18.75" customHeight="1" x14ac:dyDescent="0.3">
      <c r="A62" s="4445" t="s">
        <v>598</v>
      </c>
      <c r="B62" s="4385">
        <f t="shared" si="401"/>
        <v>0</v>
      </c>
      <c r="C62" s="4385">
        <f t="shared" si="402"/>
        <v>0</v>
      </c>
      <c r="D62" s="4385">
        <f t="shared" si="402"/>
        <v>0</v>
      </c>
      <c r="E62" s="4442">
        <f t="shared" si="360"/>
        <v>234.13200000000001</v>
      </c>
      <c r="F62" s="4407">
        <v>234.13200000000001</v>
      </c>
      <c r="G62" s="4407"/>
      <c r="H62" s="4442">
        <f t="shared" si="362"/>
        <v>221.52699999999999</v>
      </c>
      <c r="I62" s="4407">
        <v>221.52699999999999</v>
      </c>
      <c r="J62" s="4407"/>
      <c r="K62" s="4442">
        <f t="shared" si="364"/>
        <v>229.15</v>
      </c>
      <c r="L62" s="4407">
        <v>229.15</v>
      </c>
      <c r="M62" s="4407"/>
      <c r="N62" s="4442">
        <f t="shared" si="366"/>
        <v>684.80899999999997</v>
      </c>
      <c r="O62" s="4442">
        <f t="shared" si="367"/>
        <v>684.80899999999997</v>
      </c>
      <c r="P62" s="4442">
        <f t="shared" si="367"/>
        <v>0</v>
      </c>
      <c r="Q62" s="4385">
        <f t="shared" si="338"/>
        <v>0</v>
      </c>
      <c r="R62" s="4385">
        <f t="shared" si="403"/>
        <v>0</v>
      </c>
      <c r="S62" s="4385">
        <f t="shared" si="404"/>
        <v>0</v>
      </c>
      <c r="T62" s="4442">
        <f t="shared" si="369"/>
        <v>265.61799999999999</v>
      </c>
      <c r="U62" s="4407">
        <v>265.61799999999999</v>
      </c>
      <c r="V62" s="4407"/>
      <c r="W62" s="4442">
        <f t="shared" si="371"/>
        <v>228.43600000000001</v>
      </c>
      <c r="X62" s="4407">
        <v>228.43600000000001</v>
      </c>
      <c r="Y62" s="4407"/>
      <c r="Z62" s="4442">
        <f t="shared" si="373"/>
        <v>218.32</v>
      </c>
      <c r="AA62" s="4407">
        <v>218.32</v>
      </c>
      <c r="AB62" s="4407"/>
      <c r="AC62" s="4442">
        <f t="shared" si="375"/>
        <v>712.37400000000002</v>
      </c>
      <c r="AD62" s="4442">
        <f t="shared" si="376"/>
        <v>712.37400000000002</v>
      </c>
      <c r="AE62" s="4442">
        <f t="shared" si="376"/>
        <v>0</v>
      </c>
      <c r="AF62" s="4384">
        <f t="shared" si="159"/>
        <v>0</v>
      </c>
      <c r="AG62" s="4384">
        <f t="shared" si="160"/>
        <v>0</v>
      </c>
      <c r="AH62" s="4384">
        <f t="shared" si="161"/>
        <v>0</v>
      </c>
      <c r="AI62" s="4443">
        <f t="shared" si="377"/>
        <v>1397.183</v>
      </c>
      <c r="AJ62" s="4443">
        <f t="shared" si="377"/>
        <v>1397.183</v>
      </c>
      <c r="AK62" s="4443">
        <f t="shared" si="377"/>
        <v>0</v>
      </c>
      <c r="AL62" s="4443">
        <f t="shared" si="411"/>
        <v>1397.183</v>
      </c>
      <c r="AM62" s="4443">
        <f t="shared" si="411"/>
        <v>1397.183</v>
      </c>
      <c r="AN62" s="4443">
        <f t="shared" si="411"/>
        <v>0</v>
      </c>
      <c r="AO62" s="4385">
        <f t="shared" si="324"/>
        <v>0</v>
      </c>
      <c r="AP62" s="4385">
        <f t="shared" si="405"/>
        <v>0</v>
      </c>
      <c r="AQ62" s="4385">
        <f t="shared" si="406"/>
        <v>0</v>
      </c>
      <c r="AR62" s="4442">
        <f t="shared" si="379"/>
        <v>219.86500000000001</v>
      </c>
      <c r="AS62" s="4407">
        <v>219.86500000000001</v>
      </c>
      <c r="AT62" s="4407"/>
      <c r="AU62" s="4442">
        <f t="shared" si="381"/>
        <v>0</v>
      </c>
      <c r="AV62" s="4407"/>
      <c r="AW62" s="4407"/>
      <c r="AX62" s="4442">
        <f t="shared" si="383"/>
        <v>0</v>
      </c>
      <c r="AY62" s="4407"/>
      <c r="AZ62" s="4407"/>
      <c r="BA62" s="4442">
        <f t="shared" si="385"/>
        <v>219.86500000000001</v>
      </c>
      <c r="BB62" s="4442">
        <f t="shared" si="386"/>
        <v>219.86500000000001</v>
      </c>
      <c r="BC62" s="4442">
        <f t="shared" si="386"/>
        <v>0</v>
      </c>
      <c r="BD62" s="4384">
        <f t="shared" si="174"/>
        <v>0</v>
      </c>
      <c r="BE62" s="4384">
        <f t="shared" si="175"/>
        <v>0</v>
      </c>
      <c r="BF62" s="4384">
        <f t="shared" si="176"/>
        <v>0</v>
      </c>
      <c r="BG62" s="4443">
        <f t="shared" si="387"/>
        <v>1617.048</v>
      </c>
      <c r="BH62" s="4443">
        <f t="shared" si="387"/>
        <v>1617.048</v>
      </c>
      <c r="BI62" s="4443">
        <f t="shared" si="387"/>
        <v>0</v>
      </c>
      <c r="BJ62" s="4443">
        <f t="shared" si="412"/>
        <v>1617.048</v>
      </c>
      <c r="BK62" s="4443">
        <f t="shared" si="412"/>
        <v>1617.048</v>
      </c>
      <c r="BL62" s="4443">
        <f t="shared" si="412"/>
        <v>0</v>
      </c>
      <c r="BM62" s="4385">
        <f t="shared" si="407"/>
        <v>0</v>
      </c>
      <c r="BN62" s="4385">
        <f t="shared" si="408"/>
        <v>0</v>
      </c>
      <c r="BO62" s="4385">
        <f t="shared" si="409"/>
        <v>0</v>
      </c>
      <c r="BP62" s="4442">
        <f t="shared" si="389"/>
        <v>0</v>
      </c>
      <c r="BQ62" s="4407"/>
      <c r="BR62" s="4407"/>
      <c r="BS62" s="4442">
        <f t="shared" si="391"/>
        <v>0</v>
      </c>
      <c r="BT62" s="4407"/>
      <c r="BU62" s="4407"/>
      <c r="BV62" s="4442">
        <f t="shared" si="393"/>
        <v>0</v>
      </c>
      <c r="BW62" s="4407"/>
      <c r="BX62" s="4407"/>
      <c r="BY62" s="4442">
        <f t="shared" si="395"/>
        <v>0</v>
      </c>
      <c r="BZ62" s="4442">
        <f t="shared" si="396"/>
        <v>0</v>
      </c>
      <c r="CA62" s="4442">
        <f t="shared" si="396"/>
        <v>0</v>
      </c>
      <c r="CB62" s="4384">
        <f t="shared" si="112"/>
        <v>0</v>
      </c>
      <c r="CC62" s="4384">
        <v>0</v>
      </c>
      <c r="CD62" s="4384">
        <v>0</v>
      </c>
      <c r="CE62" s="4443">
        <f t="shared" si="410"/>
        <v>1617.048</v>
      </c>
      <c r="CF62" s="4443">
        <f t="shared" si="410"/>
        <v>1617.048</v>
      </c>
      <c r="CG62" s="4443">
        <f t="shared" si="410"/>
        <v>0</v>
      </c>
      <c r="CH62" s="4443">
        <f t="shared" si="398"/>
        <v>1617.048</v>
      </c>
      <c r="CI62" s="4443">
        <f t="shared" si="399"/>
        <v>1617.048</v>
      </c>
      <c r="CJ62" s="4443">
        <f t="shared" si="399"/>
        <v>0</v>
      </c>
      <c r="CK62" s="2774"/>
      <c r="CL62" s="3576">
        <f t="shared" si="89"/>
        <v>0</v>
      </c>
      <c r="CM62" s="2774"/>
    </row>
    <row r="63" spans="1:92" ht="18.75" customHeight="1" x14ac:dyDescent="0.3">
      <c r="A63" s="4445" t="s">
        <v>595</v>
      </c>
      <c r="B63" s="4385">
        <f t="shared" si="401"/>
        <v>0</v>
      </c>
      <c r="C63" s="4385">
        <f t="shared" si="402"/>
        <v>0</v>
      </c>
      <c r="D63" s="4385">
        <f t="shared" si="402"/>
        <v>0</v>
      </c>
      <c r="E63" s="4442">
        <f t="shared" si="360"/>
        <v>0</v>
      </c>
      <c r="F63" s="4407"/>
      <c r="G63" s="4407"/>
      <c r="H63" s="4442">
        <f t="shared" si="362"/>
        <v>0</v>
      </c>
      <c r="I63" s="4407"/>
      <c r="J63" s="4407"/>
      <c r="K63" s="4442">
        <f t="shared" si="364"/>
        <v>0</v>
      </c>
      <c r="L63" s="4407"/>
      <c r="M63" s="4407"/>
      <c r="N63" s="4442">
        <f t="shared" si="366"/>
        <v>0</v>
      </c>
      <c r="O63" s="4442">
        <f t="shared" si="367"/>
        <v>0</v>
      </c>
      <c r="P63" s="4442">
        <f t="shared" si="367"/>
        <v>0</v>
      </c>
      <c r="Q63" s="4385">
        <f t="shared" si="338"/>
        <v>0</v>
      </c>
      <c r="R63" s="4385">
        <f t="shared" si="403"/>
        <v>0</v>
      </c>
      <c r="S63" s="4385">
        <f t="shared" si="404"/>
        <v>0</v>
      </c>
      <c r="T63" s="4442">
        <f t="shared" si="369"/>
        <v>0</v>
      </c>
      <c r="U63" s="4407"/>
      <c r="V63" s="4407"/>
      <c r="W63" s="4442">
        <f t="shared" si="371"/>
        <v>0</v>
      </c>
      <c r="X63" s="4407"/>
      <c r="Y63" s="4407"/>
      <c r="Z63" s="4442">
        <f t="shared" si="373"/>
        <v>0</v>
      </c>
      <c r="AA63" s="4407"/>
      <c r="AB63" s="4407"/>
      <c r="AC63" s="4442">
        <f t="shared" si="375"/>
        <v>0</v>
      </c>
      <c r="AD63" s="4442">
        <f t="shared" si="376"/>
        <v>0</v>
      </c>
      <c r="AE63" s="4442">
        <f t="shared" si="376"/>
        <v>0</v>
      </c>
      <c r="AF63" s="4384">
        <f t="shared" si="159"/>
        <v>0</v>
      </c>
      <c r="AG63" s="4384">
        <f t="shared" si="160"/>
        <v>0</v>
      </c>
      <c r="AH63" s="4384">
        <f t="shared" si="161"/>
        <v>0</v>
      </c>
      <c r="AI63" s="4443">
        <f t="shared" si="377"/>
        <v>0</v>
      </c>
      <c r="AJ63" s="4443">
        <f t="shared" si="377"/>
        <v>0</v>
      </c>
      <c r="AK63" s="4443">
        <f t="shared" si="377"/>
        <v>0</v>
      </c>
      <c r="AL63" s="4443">
        <f t="shared" si="411"/>
        <v>0</v>
      </c>
      <c r="AM63" s="4443">
        <f t="shared" si="411"/>
        <v>0</v>
      </c>
      <c r="AN63" s="4443">
        <f t="shared" si="411"/>
        <v>0</v>
      </c>
      <c r="AO63" s="4385">
        <f t="shared" si="324"/>
        <v>0</v>
      </c>
      <c r="AP63" s="4385">
        <f t="shared" si="405"/>
        <v>0</v>
      </c>
      <c r="AQ63" s="4385">
        <f t="shared" si="406"/>
        <v>0</v>
      </c>
      <c r="AR63" s="4442">
        <f t="shared" si="379"/>
        <v>0</v>
      </c>
      <c r="AS63" s="4407"/>
      <c r="AT63" s="4407"/>
      <c r="AU63" s="4442">
        <f t="shared" si="381"/>
        <v>0</v>
      </c>
      <c r="AV63" s="4407"/>
      <c r="AW63" s="4407"/>
      <c r="AX63" s="4442">
        <f t="shared" si="383"/>
        <v>0</v>
      </c>
      <c r="AY63" s="4407"/>
      <c r="AZ63" s="4407"/>
      <c r="BA63" s="4442">
        <f t="shared" si="385"/>
        <v>0</v>
      </c>
      <c r="BB63" s="4442">
        <f t="shared" si="386"/>
        <v>0</v>
      </c>
      <c r="BC63" s="4442">
        <f t="shared" si="386"/>
        <v>0</v>
      </c>
      <c r="BD63" s="4384">
        <f t="shared" si="174"/>
        <v>0</v>
      </c>
      <c r="BE63" s="4384">
        <f t="shared" si="175"/>
        <v>0</v>
      </c>
      <c r="BF63" s="4384">
        <f t="shared" si="176"/>
        <v>0</v>
      </c>
      <c r="BG63" s="4443">
        <f t="shared" si="387"/>
        <v>0</v>
      </c>
      <c r="BH63" s="4443">
        <f t="shared" si="387"/>
        <v>0</v>
      </c>
      <c r="BI63" s="4443">
        <f t="shared" si="387"/>
        <v>0</v>
      </c>
      <c r="BJ63" s="4443">
        <f t="shared" si="412"/>
        <v>0</v>
      </c>
      <c r="BK63" s="4443">
        <f t="shared" si="412"/>
        <v>0</v>
      </c>
      <c r="BL63" s="4443">
        <f t="shared" si="412"/>
        <v>0</v>
      </c>
      <c r="BM63" s="4385">
        <f t="shared" si="407"/>
        <v>0</v>
      </c>
      <c r="BN63" s="4385">
        <f t="shared" si="408"/>
        <v>0</v>
      </c>
      <c r="BO63" s="4385">
        <f t="shared" si="409"/>
        <v>0</v>
      </c>
      <c r="BP63" s="4442">
        <f t="shared" si="389"/>
        <v>0</v>
      </c>
      <c r="BQ63" s="4407"/>
      <c r="BR63" s="4407"/>
      <c r="BS63" s="4442">
        <f t="shared" si="391"/>
        <v>0</v>
      </c>
      <c r="BT63" s="4407"/>
      <c r="BU63" s="4407"/>
      <c r="BV63" s="4442">
        <f t="shared" si="393"/>
        <v>0</v>
      </c>
      <c r="BW63" s="4407"/>
      <c r="BX63" s="4407"/>
      <c r="BY63" s="4442">
        <f t="shared" si="395"/>
        <v>0</v>
      </c>
      <c r="BZ63" s="4442">
        <f t="shared" si="396"/>
        <v>0</v>
      </c>
      <c r="CA63" s="4442">
        <f t="shared" si="396"/>
        <v>0</v>
      </c>
      <c r="CB63" s="4384">
        <f t="shared" si="112"/>
        <v>0</v>
      </c>
      <c r="CC63" s="4384">
        <v>0</v>
      </c>
      <c r="CD63" s="4384">
        <v>0</v>
      </c>
      <c r="CE63" s="4443">
        <f t="shared" si="410"/>
        <v>0</v>
      </c>
      <c r="CF63" s="4443">
        <f t="shared" si="410"/>
        <v>0</v>
      </c>
      <c r="CG63" s="4443">
        <f t="shared" si="410"/>
        <v>0</v>
      </c>
      <c r="CH63" s="4443">
        <f t="shared" si="398"/>
        <v>0</v>
      </c>
      <c r="CI63" s="4443">
        <f t="shared" si="399"/>
        <v>0</v>
      </c>
      <c r="CJ63" s="4443">
        <f t="shared" si="399"/>
        <v>0</v>
      </c>
      <c r="CK63" s="2774"/>
      <c r="CL63" s="3576">
        <f t="shared" si="89"/>
        <v>0</v>
      </c>
      <c r="CM63" s="2774"/>
    </row>
    <row r="64" spans="1:92" ht="18.75" customHeight="1" x14ac:dyDescent="0.3">
      <c r="A64" s="4445" t="s">
        <v>32</v>
      </c>
      <c r="B64" s="4385">
        <f t="shared" si="401"/>
        <v>79.145619999999994</v>
      </c>
      <c r="C64" s="4385">
        <f t="shared" si="402"/>
        <v>79.145619999999994</v>
      </c>
      <c r="D64" s="4385">
        <f t="shared" si="402"/>
        <v>0</v>
      </c>
      <c r="E64" s="4442">
        <f t="shared" si="360"/>
        <v>255.333</v>
      </c>
      <c r="F64" s="4407">
        <f>5.333+250</f>
        <v>255.333</v>
      </c>
      <c r="G64" s="4407"/>
      <c r="H64" s="4442">
        <f t="shared" si="362"/>
        <v>253.667</v>
      </c>
      <c r="I64" s="4407">
        <f>3.667+250</f>
        <v>253.667</v>
      </c>
      <c r="J64" s="4407"/>
      <c r="K64" s="4442">
        <f t="shared" si="364"/>
        <v>128.66659999999999</v>
      </c>
      <c r="L64" s="4407">
        <f>3.6666+125</f>
        <v>128.66659999999999</v>
      </c>
      <c r="M64" s="4407"/>
      <c r="N64" s="4442">
        <f t="shared" si="366"/>
        <v>637.66660000000002</v>
      </c>
      <c r="O64" s="4442">
        <f t="shared" si="367"/>
        <v>637.66660000000002</v>
      </c>
      <c r="P64" s="4442">
        <f t="shared" si="367"/>
        <v>0</v>
      </c>
      <c r="Q64" s="4385">
        <f t="shared" si="338"/>
        <v>79.145619999999994</v>
      </c>
      <c r="R64" s="4385">
        <f t="shared" si="403"/>
        <v>79.145619999999994</v>
      </c>
      <c r="S64" s="4385">
        <f t="shared" si="404"/>
        <v>0</v>
      </c>
      <c r="T64" s="4442">
        <f t="shared" si="369"/>
        <v>350.14099999999996</v>
      </c>
      <c r="U64" s="4407">
        <f>3.667+346.474</f>
        <v>350.14099999999996</v>
      </c>
      <c r="V64" s="4407"/>
      <c r="W64" s="4442">
        <f t="shared" si="371"/>
        <v>1111.4479999999999</v>
      </c>
      <c r="X64" s="4407">
        <f>3.667+1107.781</f>
        <v>1111.4479999999999</v>
      </c>
      <c r="Y64" s="4407"/>
      <c r="Z64" s="4442">
        <f t="shared" si="373"/>
        <v>516.16700000000003</v>
      </c>
      <c r="AA64" s="4407">
        <f>3.667+512.5</f>
        <v>516.16700000000003</v>
      </c>
      <c r="AB64" s="4407"/>
      <c r="AC64" s="4442">
        <f t="shared" si="375"/>
        <v>1977.7559999999999</v>
      </c>
      <c r="AD64" s="4442">
        <f t="shared" si="376"/>
        <v>1977.7559999999999</v>
      </c>
      <c r="AE64" s="4442">
        <f t="shared" si="376"/>
        <v>0</v>
      </c>
      <c r="AF64" s="4384">
        <f t="shared" si="159"/>
        <v>158.29123999999999</v>
      </c>
      <c r="AG64" s="4384">
        <f t="shared" si="160"/>
        <v>158.29123999999999</v>
      </c>
      <c r="AH64" s="4384">
        <f t="shared" si="161"/>
        <v>0</v>
      </c>
      <c r="AI64" s="4443">
        <f t="shared" si="377"/>
        <v>2615.4225999999999</v>
      </c>
      <c r="AJ64" s="4443">
        <f t="shared" si="377"/>
        <v>2615.4225999999999</v>
      </c>
      <c r="AK64" s="4443">
        <f t="shared" si="377"/>
        <v>0</v>
      </c>
      <c r="AL64" s="4443">
        <f t="shared" si="411"/>
        <v>2457.1313599999999</v>
      </c>
      <c r="AM64" s="4443">
        <f t="shared" si="411"/>
        <v>2457.1313599999999</v>
      </c>
      <c r="AN64" s="4443">
        <f t="shared" si="411"/>
        <v>0</v>
      </c>
      <c r="AO64" s="4385">
        <f t="shared" si="324"/>
        <v>79.145619999999994</v>
      </c>
      <c r="AP64" s="4385">
        <f t="shared" si="405"/>
        <v>79.145619999999994</v>
      </c>
      <c r="AQ64" s="4385">
        <f t="shared" si="406"/>
        <v>0</v>
      </c>
      <c r="AR64" s="4442">
        <f t="shared" si="379"/>
        <v>100.017</v>
      </c>
      <c r="AS64" s="4407">
        <f>3.667+6.35+90</f>
        <v>100.017</v>
      </c>
      <c r="AT64" s="4407"/>
      <c r="AU64" s="4442">
        <f t="shared" si="381"/>
        <v>0</v>
      </c>
      <c r="AV64" s="4407"/>
      <c r="AW64" s="4407"/>
      <c r="AX64" s="4442">
        <f t="shared" si="383"/>
        <v>0</v>
      </c>
      <c r="AY64" s="4407"/>
      <c r="AZ64" s="4407"/>
      <c r="BA64" s="4442">
        <f t="shared" si="385"/>
        <v>100.017</v>
      </c>
      <c r="BB64" s="4442">
        <f t="shared" si="386"/>
        <v>100.017</v>
      </c>
      <c r="BC64" s="4442">
        <f t="shared" si="386"/>
        <v>0</v>
      </c>
      <c r="BD64" s="4384">
        <f t="shared" si="174"/>
        <v>237.43685999999997</v>
      </c>
      <c r="BE64" s="4384">
        <f t="shared" si="175"/>
        <v>237.43685999999997</v>
      </c>
      <c r="BF64" s="4384">
        <f t="shared" si="176"/>
        <v>0</v>
      </c>
      <c r="BG64" s="4443">
        <f t="shared" si="387"/>
        <v>2715.4395999999997</v>
      </c>
      <c r="BH64" s="4443">
        <f t="shared" si="387"/>
        <v>2715.4395999999997</v>
      </c>
      <c r="BI64" s="4443">
        <f t="shared" si="387"/>
        <v>0</v>
      </c>
      <c r="BJ64" s="4443">
        <f t="shared" si="412"/>
        <v>2478.0027399999999</v>
      </c>
      <c r="BK64" s="4443">
        <f t="shared" si="412"/>
        <v>2478.0027399999999</v>
      </c>
      <c r="BL64" s="4443">
        <f t="shared" si="412"/>
        <v>0</v>
      </c>
      <c r="BM64" s="4385">
        <f t="shared" si="407"/>
        <v>79.145619999999994</v>
      </c>
      <c r="BN64" s="4385">
        <f t="shared" si="408"/>
        <v>79.145619999999994</v>
      </c>
      <c r="BO64" s="4385">
        <f t="shared" si="409"/>
        <v>0</v>
      </c>
      <c r="BP64" s="4442">
        <f t="shared" si="389"/>
        <v>0</v>
      </c>
      <c r="BQ64" s="4407"/>
      <c r="BR64" s="4407"/>
      <c r="BS64" s="4442">
        <f t="shared" si="391"/>
        <v>0</v>
      </c>
      <c r="BT64" s="4407"/>
      <c r="BU64" s="4407"/>
      <c r="BV64" s="4442">
        <f t="shared" si="393"/>
        <v>0</v>
      </c>
      <c r="BW64" s="4407"/>
      <c r="BX64" s="4407"/>
      <c r="BY64" s="4442">
        <f t="shared" si="395"/>
        <v>0</v>
      </c>
      <c r="BZ64" s="4442">
        <f t="shared" si="396"/>
        <v>0</v>
      </c>
      <c r="CA64" s="4442">
        <f t="shared" si="396"/>
        <v>0</v>
      </c>
      <c r="CB64" s="4384">
        <f t="shared" si="112"/>
        <v>316.58247999999998</v>
      </c>
      <c r="CC64" s="4553">
        <v>316.58247999999998</v>
      </c>
      <c r="CD64" s="4384">
        <v>0</v>
      </c>
      <c r="CE64" s="4443">
        <f t="shared" si="410"/>
        <v>2715.4395999999997</v>
      </c>
      <c r="CF64" s="4443">
        <f t="shared" si="410"/>
        <v>2715.4395999999997</v>
      </c>
      <c r="CG64" s="4443">
        <f t="shared" si="410"/>
        <v>0</v>
      </c>
      <c r="CH64" s="4443">
        <f t="shared" si="398"/>
        <v>2398.8571199999997</v>
      </c>
      <c r="CI64" s="4443">
        <f t="shared" si="399"/>
        <v>2398.8571199999997</v>
      </c>
      <c r="CJ64" s="4443">
        <f t="shared" si="399"/>
        <v>0</v>
      </c>
      <c r="CK64" s="2774"/>
      <c r="CL64" s="3576">
        <f t="shared" si="89"/>
        <v>316.58247999999998</v>
      </c>
      <c r="CM64" s="2774"/>
    </row>
    <row r="65" spans="1:92" ht="18.75" customHeight="1" x14ac:dyDescent="0.3">
      <c r="A65" s="4445" t="s">
        <v>589</v>
      </c>
      <c r="B65" s="4385">
        <f t="shared" si="401"/>
        <v>602.49174999999991</v>
      </c>
      <c r="C65" s="4447">
        <f t="shared" ref="C65:D65" si="413">SUM(C66:C69)</f>
        <v>602.49174999999991</v>
      </c>
      <c r="D65" s="4447">
        <f t="shared" si="413"/>
        <v>0</v>
      </c>
      <c r="E65" s="4442">
        <f>SUM(E66:E69)</f>
        <v>102.67</v>
      </c>
      <c r="F65" s="4442">
        <f>SUM(F66:F69)</f>
        <v>102.67</v>
      </c>
      <c r="G65" s="4442">
        <f t="shared" ref="G65" si="414">SUM(G66:G69)</f>
        <v>0</v>
      </c>
      <c r="H65" s="4442">
        <f>SUM(H66:H69)</f>
        <v>177.89600000000002</v>
      </c>
      <c r="I65" s="4442">
        <f t="shared" ref="I65:J65" si="415">SUM(I66:I69)</f>
        <v>177.89600000000002</v>
      </c>
      <c r="J65" s="4442">
        <f t="shared" si="415"/>
        <v>0</v>
      </c>
      <c r="K65" s="4442">
        <f>SUM(K66:K69)</f>
        <v>117.339</v>
      </c>
      <c r="L65" s="4442">
        <f t="shared" ref="L65:M65" si="416">SUM(L66:L69)</f>
        <v>117.339</v>
      </c>
      <c r="M65" s="4442">
        <f t="shared" si="416"/>
        <v>0</v>
      </c>
      <c r="N65" s="4442">
        <f t="shared" si="366"/>
        <v>397.90500000000003</v>
      </c>
      <c r="O65" s="4442">
        <f t="shared" si="367"/>
        <v>397.90500000000003</v>
      </c>
      <c r="P65" s="4442">
        <f t="shared" si="367"/>
        <v>0</v>
      </c>
      <c r="Q65" s="4385">
        <f t="shared" si="338"/>
        <v>602.49174999999991</v>
      </c>
      <c r="R65" s="4447">
        <f t="shared" ref="R65:S65" si="417">SUM(R66:R69)</f>
        <v>602.49174999999991</v>
      </c>
      <c r="S65" s="4447">
        <f t="shared" si="417"/>
        <v>0</v>
      </c>
      <c r="T65" s="4442">
        <f>SUM(T66:T69)</f>
        <v>114.53700000000001</v>
      </c>
      <c r="U65" s="4442">
        <f t="shared" ref="U65:V65" si="418">SUM(U66:U69)</f>
        <v>114.53700000000001</v>
      </c>
      <c r="V65" s="4442">
        <f t="shared" si="418"/>
        <v>0</v>
      </c>
      <c r="W65" s="4442">
        <f>SUM(W66:W69)</f>
        <v>46.097000000000001</v>
      </c>
      <c r="X65" s="4442">
        <f>SUM(X66:X69)</f>
        <v>46.097000000000001</v>
      </c>
      <c r="Y65" s="4442">
        <f t="shared" ref="Y65" si="419">SUM(Y66:Y69)</f>
        <v>0</v>
      </c>
      <c r="Z65" s="4442">
        <f>SUM(Z66:Z69)</f>
        <v>31.697000000000003</v>
      </c>
      <c r="AA65" s="4442">
        <f t="shared" ref="AA65:AB65" si="420">SUM(AA66:AA69)</f>
        <v>31.697000000000003</v>
      </c>
      <c r="AB65" s="4442">
        <f t="shared" si="420"/>
        <v>0</v>
      </c>
      <c r="AC65" s="4442">
        <f t="shared" si="375"/>
        <v>192.33100000000002</v>
      </c>
      <c r="AD65" s="4442">
        <f t="shared" si="376"/>
        <v>192.33100000000002</v>
      </c>
      <c r="AE65" s="4442">
        <f t="shared" si="376"/>
        <v>0</v>
      </c>
      <c r="AF65" s="4384">
        <f t="shared" si="159"/>
        <v>1204.9834999999998</v>
      </c>
      <c r="AG65" s="4384">
        <f t="shared" si="160"/>
        <v>1204.9834999999998</v>
      </c>
      <c r="AH65" s="4384">
        <f t="shared" si="161"/>
        <v>0</v>
      </c>
      <c r="AI65" s="4443">
        <f t="shared" si="377"/>
        <v>590.2360000000001</v>
      </c>
      <c r="AJ65" s="4443">
        <f t="shared" si="377"/>
        <v>590.2360000000001</v>
      </c>
      <c r="AK65" s="4443">
        <f t="shared" si="377"/>
        <v>0</v>
      </c>
      <c r="AL65" s="4443">
        <f t="shared" si="411"/>
        <v>-614.74749999999972</v>
      </c>
      <c r="AM65" s="4443">
        <f t="shared" si="411"/>
        <v>-614.74749999999972</v>
      </c>
      <c r="AN65" s="4443">
        <f t="shared" si="411"/>
        <v>0</v>
      </c>
      <c r="AO65" s="4385">
        <f t="shared" si="324"/>
        <v>602.49174999999991</v>
      </c>
      <c r="AP65" s="4447">
        <f t="shared" ref="AP65:AQ65" si="421">SUM(AP66:AP69)</f>
        <v>602.49174999999991</v>
      </c>
      <c r="AQ65" s="4447">
        <f t="shared" si="421"/>
        <v>0</v>
      </c>
      <c r="AR65" s="4442">
        <f>SUM(AR66:AR69)</f>
        <v>8.19</v>
      </c>
      <c r="AS65" s="4442">
        <f t="shared" ref="AS65:AT65" si="422">SUM(AS66:AS69)</f>
        <v>8.19</v>
      </c>
      <c r="AT65" s="4442">
        <f t="shared" si="422"/>
        <v>0</v>
      </c>
      <c r="AU65" s="4442">
        <f>SUM(AU66:AU69)</f>
        <v>0</v>
      </c>
      <c r="AV65" s="4442">
        <f t="shared" ref="AV65:AW65" si="423">SUM(AV66:AV69)</f>
        <v>0</v>
      </c>
      <c r="AW65" s="4442">
        <f t="shared" si="423"/>
        <v>0</v>
      </c>
      <c r="AX65" s="4442">
        <f>SUM(AX66:AX69)</f>
        <v>0</v>
      </c>
      <c r="AY65" s="4442">
        <f t="shared" ref="AY65:AZ65" si="424">SUM(AY66:AY69)</f>
        <v>0</v>
      </c>
      <c r="AZ65" s="4442">
        <f t="shared" si="424"/>
        <v>0</v>
      </c>
      <c r="BA65" s="4442">
        <f t="shared" si="385"/>
        <v>8.19</v>
      </c>
      <c r="BB65" s="4442">
        <f t="shared" si="386"/>
        <v>8.19</v>
      </c>
      <c r="BC65" s="4442">
        <f t="shared" si="386"/>
        <v>0</v>
      </c>
      <c r="BD65" s="4384">
        <f t="shared" si="174"/>
        <v>1807.4752499999997</v>
      </c>
      <c r="BE65" s="4384">
        <f t="shared" si="175"/>
        <v>1807.4752499999997</v>
      </c>
      <c r="BF65" s="4384">
        <f t="shared" si="176"/>
        <v>0</v>
      </c>
      <c r="BG65" s="4443">
        <f t="shared" si="387"/>
        <v>598.42600000000016</v>
      </c>
      <c r="BH65" s="4443">
        <f t="shared" si="387"/>
        <v>598.42600000000016</v>
      </c>
      <c r="BI65" s="4443">
        <f t="shared" si="387"/>
        <v>0</v>
      </c>
      <c r="BJ65" s="4443">
        <f t="shared" si="412"/>
        <v>-1209.0492499999996</v>
      </c>
      <c r="BK65" s="4443">
        <f t="shared" si="412"/>
        <v>-1209.0492499999996</v>
      </c>
      <c r="BL65" s="4443">
        <f t="shared" si="412"/>
        <v>0</v>
      </c>
      <c r="BM65" s="4385">
        <f t="shared" si="407"/>
        <v>602.49174999999991</v>
      </c>
      <c r="BN65" s="4447">
        <f t="shared" ref="BN65:BO65" si="425">SUM(BN66:BN69)</f>
        <v>602.49174999999991</v>
      </c>
      <c r="BO65" s="4447">
        <f t="shared" si="425"/>
        <v>0</v>
      </c>
      <c r="BP65" s="4442">
        <f>SUM(BP66:BP69)</f>
        <v>0</v>
      </c>
      <c r="BQ65" s="4442">
        <f t="shared" ref="BQ65:BR65" si="426">SUM(BQ66:BQ69)</f>
        <v>0</v>
      </c>
      <c r="BR65" s="4442">
        <f t="shared" si="426"/>
        <v>0</v>
      </c>
      <c r="BS65" s="4442">
        <f>SUM(BS66:BS69)</f>
        <v>0</v>
      </c>
      <c r="BT65" s="4442">
        <f t="shared" ref="BT65:BU65" si="427">SUM(BT66:BT69)</f>
        <v>0</v>
      </c>
      <c r="BU65" s="4442">
        <f t="shared" si="427"/>
        <v>0</v>
      </c>
      <c r="BV65" s="4442">
        <f>SUM(BV66:BV69)</f>
        <v>0</v>
      </c>
      <c r="BW65" s="4442">
        <f t="shared" ref="BW65:BX65" si="428">SUM(BW66:BW69)</f>
        <v>0</v>
      </c>
      <c r="BX65" s="4442">
        <f t="shared" si="428"/>
        <v>0</v>
      </c>
      <c r="BY65" s="4442">
        <f t="shared" si="395"/>
        <v>0</v>
      </c>
      <c r="BZ65" s="4442">
        <f t="shared" si="396"/>
        <v>0</v>
      </c>
      <c r="CA65" s="4442">
        <f t="shared" si="396"/>
        <v>0</v>
      </c>
      <c r="CB65" s="4384">
        <f t="shared" si="112"/>
        <v>2409.9669999999996</v>
      </c>
      <c r="CC65" s="4448">
        <f t="shared" ref="CC65:CD65" si="429">SUM(CC66:CC69)</f>
        <v>2409.9669999999996</v>
      </c>
      <c r="CD65" s="4448">
        <f t="shared" si="429"/>
        <v>0</v>
      </c>
      <c r="CE65" s="4443">
        <f t="shared" si="410"/>
        <v>598.42600000000016</v>
      </c>
      <c r="CF65" s="4443">
        <f t="shared" si="410"/>
        <v>598.42600000000016</v>
      </c>
      <c r="CG65" s="4443">
        <f t="shared" si="410"/>
        <v>0</v>
      </c>
      <c r="CH65" s="4443">
        <f t="shared" si="398"/>
        <v>-1811.5409999999995</v>
      </c>
      <c r="CI65" s="4443">
        <f t="shared" si="399"/>
        <v>-1811.5409999999995</v>
      </c>
      <c r="CJ65" s="4443">
        <f t="shared" si="399"/>
        <v>0</v>
      </c>
      <c r="CK65" s="2774"/>
      <c r="CL65" s="3576">
        <f t="shared" si="89"/>
        <v>2409.9669999999996</v>
      </c>
      <c r="CM65" s="2774"/>
    </row>
    <row r="66" spans="1:92" ht="18.75" customHeight="1" x14ac:dyDescent="0.3">
      <c r="A66" s="4412" t="s">
        <v>634</v>
      </c>
      <c r="B66" s="4391">
        <f t="shared" ref="B66:B75" si="430">SUM(C66:D66)</f>
        <v>134.37899999999999</v>
      </c>
      <c r="C66" s="4391">
        <f t="shared" ref="C66:C69" si="431">SUM(CC66/4)</f>
        <v>134.37899999999999</v>
      </c>
      <c r="D66" s="4391">
        <f t="shared" ref="D66:D69" si="432">SUM(CD66/4)</f>
        <v>0</v>
      </c>
      <c r="E66" s="4420">
        <f t="shared" si="360"/>
        <v>90.649000000000001</v>
      </c>
      <c r="F66" s="4411">
        <f>10.915+79.734</f>
        <v>90.649000000000001</v>
      </c>
      <c r="G66" s="4411"/>
      <c r="H66" s="4420">
        <f t="shared" ref="H66:H69" si="433">SUM(I66:J66)</f>
        <v>79.498000000000005</v>
      </c>
      <c r="I66" s="4411">
        <f>10.357+69.141</f>
        <v>79.498000000000005</v>
      </c>
      <c r="J66" s="4411"/>
      <c r="K66" s="4420">
        <f t="shared" ref="K66:K69" si="434">SUM(L66:M66)</f>
        <v>61.95</v>
      </c>
      <c r="L66" s="4411">
        <f>8.121+53.829</f>
        <v>61.95</v>
      </c>
      <c r="M66" s="4411"/>
      <c r="N66" s="4420">
        <f t="shared" si="366"/>
        <v>232.09699999999998</v>
      </c>
      <c r="O66" s="4420">
        <f t="shared" si="367"/>
        <v>232.09699999999998</v>
      </c>
      <c r="P66" s="4420">
        <f t="shared" si="367"/>
        <v>0</v>
      </c>
      <c r="Q66" s="4391">
        <f t="shared" ref="Q66:Q78" si="435">SUM(R66:S66)</f>
        <v>134.37899999999999</v>
      </c>
      <c r="R66" s="4391">
        <f t="shared" ref="R66:R69" si="436">SUM(C66)</f>
        <v>134.37899999999999</v>
      </c>
      <c r="S66" s="4391">
        <f t="shared" ref="S66:S69" si="437">SUM(D66)</f>
        <v>0</v>
      </c>
      <c r="T66" s="4420">
        <f t="shared" ref="T66:T69" si="438">SUM(U66:V66)</f>
        <v>56.69</v>
      </c>
      <c r="U66" s="4411">
        <f>7.552+49.138</f>
        <v>56.69</v>
      </c>
      <c r="V66" s="4411"/>
      <c r="W66" s="4420">
        <f t="shared" ref="W66:W69" si="439">SUM(X66:Y66)</f>
        <v>30.893999999999998</v>
      </c>
      <c r="X66" s="4411">
        <f>4.206+26.688</f>
        <v>30.893999999999998</v>
      </c>
      <c r="Y66" s="4411"/>
      <c r="Z66" s="4420">
        <f t="shared" ref="Z66:Z69" si="440">SUM(AA66:AB66)</f>
        <v>0.76400000000000001</v>
      </c>
      <c r="AA66" s="4411">
        <f>0.381+0.383</f>
        <v>0.76400000000000001</v>
      </c>
      <c r="AB66" s="4411"/>
      <c r="AC66" s="4420">
        <f t="shared" si="375"/>
        <v>88.347999999999999</v>
      </c>
      <c r="AD66" s="4420">
        <f t="shared" si="376"/>
        <v>88.347999999999999</v>
      </c>
      <c r="AE66" s="4420">
        <f t="shared" si="376"/>
        <v>0</v>
      </c>
      <c r="AF66" s="4371">
        <f t="shared" si="159"/>
        <v>268.75799999999998</v>
      </c>
      <c r="AG66" s="4371">
        <f t="shared" si="160"/>
        <v>268.75799999999998</v>
      </c>
      <c r="AH66" s="4371">
        <f t="shared" si="161"/>
        <v>0</v>
      </c>
      <c r="AI66" s="4444">
        <f t="shared" si="377"/>
        <v>320.44499999999999</v>
      </c>
      <c r="AJ66" s="4444">
        <f t="shared" si="377"/>
        <v>320.44499999999999</v>
      </c>
      <c r="AK66" s="4444">
        <f t="shared" si="377"/>
        <v>0</v>
      </c>
      <c r="AL66" s="4444">
        <f t="shared" si="411"/>
        <v>51.687000000000012</v>
      </c>
      <c r="AM66" s="4444">
        <f t="shared" si="411"/>
        <v>51.687000000000012</v>
      </c>
      <c r="AN66" s="4444">
        <f t="shared" si="411"/>
        <v>0</v>
      </c>
      <c r="AO66" s="4391">
        <f t="shared" ref="AO66:AO75" si="441">SUM(AP66:AQ66)</f>
        <v>134.37899999999999</v>
      </c>
      <c r="AP66" s="4391">
        <f t="shared" ref="AP66:AQ69" si="442">SUM(CC66-AG66)/2</f>
        <v>134.37899999999999</v>
      </c>
      <c r="AQ66" s="4391">
        <f t="shared" si="442"/>
        <v>0</v>
      </c>
      <c r="AR66" s="4420">
        <f t="shared" ref="AR66:AR69" si="443">SUM(AS66:AT66)</f>
        <v>0.76600000000000001</v>
      </c>
      <c r="AS66" s="4411">
        <f>0.374+0.392</f>
        <v>0.76600000000000001</v>
      </c>
      <c r="AT66" s="4411"/>
      <c r="AU66" s="4420">
        <f t="shared" ref="AU66:AU69" si="444">SUM(AV66:AW66)</f>
        <v>0</v>
      </c>
      <c r="AV66" s="4411"/>
      <c r="AW66" s="4411"/>
      <c r="AX66" s="4420">
        <f t="shared" ref="AX66:AX69" si="445">SUM(AY66:AZ66)</f>
        <v>0</v>
      </c>
      <c r="AY66" s="4411"/>
      <c r="AZ66" s="4411"/>
      <c r="BA66" s="4420">
        <f t="shared" si="385"/>
        <v>0.76600000000000001</v>
      </c>
      <c r="BB66" s="4420">
        <f t="shared" si="386"/>
        <v>0.76600000000000001</v>
      </c>
      <c r="BC66" s="4420">
        <f t="shared" si="386"/>
        <v>0</v>
      </c>
      <c r="BD66" s="4371">
        <f t="shared" si="174"/>
        <v>403.13699999999994</v>
      </c>
      <c r="BE66" s="4371">
        <f t="shared" si="175"/>
        <v>403.13699999999994</v>
      </c>
      <c r="BF66" s="4371">
        <f t="shared" si="176"/>
        <v>0</v>
      </c>
      <c r="BG66" s="4444">
        <f t="shared" si="387"/>
        <v>321.21100000000001</v>
      </c>
      <c r="BH66" s="4444">
        <f t="shared" si="387"/>
        <v>321.21100000000001</v>
      </c>
      <c r="BI66" s="4444">
        <f t="shared" si="387"/>
        <v>0</v>
      </c>
      <c r="BJ66" s="4444">
        <f t="shared" si="412"/>
        <v>-81.925999999999931</v>
      </c>
      <c r="BK66" s="4444">
        <f t="shared" si="412"/>
        <v>-81.925999999999931</v>
      </c>
      <c r="BL66" s="4444">
        <f t="shared" si="412"/>
        <v>0</v>
      </c>
      <c r="BM66" s="4391">
        <f t="shared" ref="BM66:BM75" si="446">SUM(BN66:BO66)</f>
        <v>134.37899999999999</v>
      </c>
      <c r="BN66" s="4391">
        <f t="shared" ref="BN66:BN69" si="447">SUM(AP66)</f>
        <v>134.37899999999999</v>
      </c>
      <c r="BO66" s="4391">
        <f t="shared" ref="BO66:BO69" si="448">SUM(AQ66)</f>
        <v>0</v>
      </c>
      <c r="BP66" s="4420">
        <f t="shared" ref="BP66:BP69" si="449">SUM(BQ66:BR66)</f>
        <v>0</v>
      </c>
      <c r="BQ66" s="4411"/>
      <c r="BR66" s="4411"/>
      <c r="BS66" s="4420">
        <f t="shared" ref="BS66:BS69" si="450">SUM(BT66:BU66)</f>
        <v>0</v>
      </c>
      <c r="BT66" s="4411"/>
      <c r="BU66" s="4411"/>
      <c r="BV66" s="4420">
        <f t="shared" ref="BV66:BV69" si="451">SUM(BW66:BX66)</f>
        <v>0</v>
      </c>
      <c r="BW66" s="4411"/>
      <c r="BX66" s="4411"/>
      <c r="BY66" s="4420">
        <f t="shared" si="395"/>
        <v>0</v>
      </c>
      <c r="BZ66" s="4420">
        <f t="shared" si="396"/>
        <v>0</v>
      </c>
      <c r="CA66" s="4420">
        <f t="shared" si="396"/>
        <v>0</v>
      </c>
      <c r="CB66" s="4371">
        <f t="shared" si="112"/>
        <v>537.51599999999996</v>
      </c>
      <c r="CC66" s="4371">
        <v>537.51599999999996</v>
      </c>
      <c r="CD66" s="4371">
        <v>0</v>
      </c>
      <c r="CE66" s="4444">
        <f t="shared" si="410"/>
        <v>321.21100000000001</v>
      </c>
      <c r="CF66" s="4444">
        <f t="shared" si="410"/>
        <v>321.21100000000001</v>
      </c>
      <c r="CG66" s="4444">
        <f t="shared" si="410"/>
        <v>0</v>
      </c>
      <c r="CH66" s="4444">
        <f t="shared" si="398"/>
        <v>-216.30499999999995</v>
      </c>
      <c r="CI66" s="4444">
        <f t="shared" si="399"/>
        <v>-216.30499999999995</v>
      </c>
      <c r="CJ66" s="4444">
        <f t="shared" si="399"/>
        <v>0</v>
      </c>
      <c r="CK66" s="2774"/>
      <c r="CL66" s="3576">
        <f t="shared" si="89"/>
        <v>537.51599999999996</v>
      </c>
      <c r="CM66" s="2774"/>
    </row>
    <row r="67" spans="1:92" ht="18.75" customHeight="1" x14ac:dyDescent="0.3">
      <c r="A67" s="4412" t="s">
        <v>546</v>
      </c>
      <c r="B67" s="4391">
        <f t="shared" si="430"/>
        <v>244.41024999999999</v>
      </c>
      <c r="C67" s="4391">
        <f t="shared" si="431"/>
        <v>244.41024999999999</v>
      </c>
      <c r="D67" s="4391">
        <f t="shared" si="432"/>
        <v>0</v>
      </c>
      <c r="E67" s="4420">
        <f t="shared" si="360"/>
        <v>1.3009999999999999</v>
      </c>
      <c r="F67" s="4411">
        <v>1.3009999999999999</v>
      </c>
      <c r="G67" s="4411"/>
      <c r="H67" s="4420">
        <f t="shared" si="433"/>
        <v>12.678000000000001</v>
      </c>
      <c r="I67" s="4411">
        <f>6.32+6.358</f>
        <v>12.678000000000001</v>
      </c>
      <c r="J67" s="4411"/>
      <c r="K67" s="4420">
        <f t="shared" si="434"/>
        <v>2.3090000000000002</v>
      </c>
      <c r="L67" s="4411">
        <v>2.3090000000000002</v>
      </c>
      <c r="M67" s="4411"/>
      <c r="N67" s="4420">
        <f t="shared" si="366"/>
        <v>16.288</v>
      </c>
      <c r="O67" s="4420">
        <f t="shared" si="367"/>
        <v>16.288</v>
      </c>
      <c r="P67" s="4420">
        <f t="shared" si="367"/>
        <v>0</v>
      </c>
      <c r="Q67" s="4391">
        <f t="shared" si="435"/>
        <v>244.41024999999999</v>
      </c>
      <c r="R67" s="4391">
        <f t="shared" si="436"/>
        <v>244.41024999999999</v>
      </c>
      <c r="S67" s="4391">
        <f t="shared" si="437"/>
        <v>0</v>
      </c>
      <c r="T67" s="4420">
        <f t="shared" si="438"/>
        <v>2.2469999999999999</v>
      </c>
      <c r="U67" s="4411">
        <v>2.2469999999999999</v>
      </c>
      <c r="V67" s="4411"/>
      <c r="W67" s="4420">
        <f t="shared" si="439"/>
        <v>10.603</v>
      </c>
      <c r="X67" s="4411">
        <v>10.603</v>
      </c>
      <c r="Y67" s="4411"/>
      <c r="Z67" s="4420">
        <f t="shared" si="440"/>
        <v>20.533000000000001</v>
      </c>
      <c r="AA67" s="4411">
        <f>3.773+16.76</f>
        <v>20.533000000000001</v>
      </c>
      <c r="AB67" s="4411"/>
      <c r="AC67" s="4420">
        <f t="shared" si="375"/>
        <v>33.383000000000003</v>
      </c>
      <c r="AD67" s="4420">
        <f t="shared" si="376"/>
        <v>33.383000000000003</v>
      </c>
      <c r="AE67" s="4420">
        <f t="shared" si="376"/>
        <v>0</v>
      </c>
      <c r="AF67" s="4371">
        <f t="shared" si="159"/>
        <v>488.82049999999998</v>
      </c>
      <c r="AG67" s="4371">
        <f t="shared" si="160"/>
        <v>488.82049999999998</v>
      </c>
      <c r="AH67" s="4371">
        <f t="shared" si="161"/>
        <v>0</v>
      </c>
      <c r="AI67" s="4444">
        <f t="shared" si="377"/>
        <v>49.671000000000006</v>
      </c>
      <c r="AJ67" s="4444">
        <f t="shared" si="377"/>
        <v>49.671000000000006</v>
      </c>
      <c r="AK67" s="4444">
        <f t="shared" si="377"/>
        <v>0</v>
      </c>
      <c r="AL67" s="4444">
        <f t="shared" si="411"/>
        <v>-439.14949999999999</v>
      </c>
      <c r="AM67" s="4444">
        <f t="shared" si="411"/>
        <v>-439.14949999999999</v>
      </c>
      <c r="AN67" s="4444">
        <f t="shared" si="411"/>
        <v>0</v>
      </c>
      <c r="AO67" s="4391">
        <f t="shared" si="441"/>
        <v>244.41024999999999</v>
      </c>
      <c r="AP67" s="4391">
        <f t="shared" si="442"/>
        <v>244.41024999999999</v>
      </c>
      <c r="AQ67" s="4391">
        <f t="shared" si="442"/>
        <v>0</v>
      </c>
      <c r="AR67" s="4420">
        <f t="shared" si="443"/>
        <v>1.464</v>
      </c>
      <c r="AS67" s="4411">
        <v>1.464</v>
      </c>
      <c r="AT67" s="4411"/>
      <c r="AU67" s="4420">
        <f t="shared" si="444"/>
        <v>0</v>
      </c>
      <c r="AV67" s="4411"/>
      <c r="AW67" s="4411"/>
      <c r="AX67" s="4420">
        <f t="shared" si="445"/>
        <v>0</v>
      </c>
      <c r="AY67" s="4411"/>
      <c r="AZ67" s="4411"/>
      <c r="BA67" s="4420">
        <f t="shared" si="385"/>
        <v>1.464</v>
      </c>
      <c r="BB67" s="4420">
        <f t="shared" si="386"/>
        <v>1.464</v>
      </c>
      <c r="BC67" s="4420">
        <f t="shared" si="386"/>
        <v>0</v>
      </c>
      <c r="BD67" s="4371">
        <f t="shared" si="174"/>
        <v>733.23074999999994</v>
      </c>
      <c r="BE67" s="4371">
        <f t="shared" si="175"/>
        <v>733.23074999999994</v>
      </c>
      <c r="BF67" s="4371">
        <f t="shared" si="176"/>
        <v>0</v>
      </c>
      <c r="BG67" s="4444">
        <f t="shared" si="387"/>
        <v>51.135000000000005</v>
      </c>
      <c r="BH67" s="4444">
        <f t="shared" si="387"/>
        <v>51.135000000000005</v>
      </c>
      <c r="BI67" s="4444">
        <f t="shared" si="387"/>
        <v>0</v>
      </c>
      <c r="BJ67" s="4444">
        <f t="shared" si="412"/>
        <v>-682.09574999999995</v>
      </c>
      <c r="BK67" s="4444">
        <f t="shared" si="412"/>
        <v>-682.09574999999995</v>
      </c>
      <c r="BL67" s="4444">
        <f t="shared" si="412"/>
        <v>0</v>
      </c>
      <c r="BM67" s="4391">
        <f t="shared" si="446"/>
        <v>244.41024999999999</v>
      </c>
      <c r="BN67" s="4391">
        <f t="shared" si="447"/>
        <v>244.41024999999999</v>
      </c>
      <c r="BO67" s="4391">
        <f t="shared" si="448"/>
        <v>0</v>
      </c>
      <c r="BP67" s="4420">
        <f t="shared" si="449"/>
        <v>0</v>
      </c>
      <c r="BQ67" s="4411"/>
      <c r="BR67" s="4411"/>
      <c r="BS67" s="4420">
        <f t="shared" si="450"/>
        <v>0</v>
      </c>
      <c r="BT67" s="4411"/>
      <c r="BU67" s="4411"/>
      <c r="BV67" s="4420">
        <f t="shared" si="451"/>
        <v>0</v>
      </c>
      <c r="BW67" s="4411"/>
      <c r="BX67" s="4411"/>
      <c r="BY67" s="4420">
        <f t="shared" si="395"/>
        <v>0</v>
      </c>
      <c r="BZ67" s="4420">
        <f t="shared" si="396"/>
        <v>0</v>
      </c>
      <c r="CA67" s="4420">
        <f t="shared" si="396"/>
        <v>0</v>
      </c>
      <c r="CB67" s="4371">
        <f t="shared" si="112"/>
        <v>977.64099999999996</v>
      </c>
      <c r="CC67" s="4371">
        <v>977.64099999999996</v>
      </c>
      <c r="CD67" s="4371">
        <v>0</v>
      </c>
      <c r="CE67" s="4444">
        <f t="shared" si="410"/>
        <v>51.135000000000005</v>
      </c>
      <c r="CF67" s="4444">
        <f t="shared" si="410"/>
        <v>51.135000000000005</v>
      </c>
      <c r="CG67" s="4444">
        <f t="shared" si="410"/>
        <v>0</v>
      </c>
      <c r="CH67" s="4444">
        <f t="shared" si="398"/>
        <v>-926.50599999999997</v>
      </c>
      <c r="CI67" s="4444">
        <f t="shared" si="399"/>
        <v>-926.50599999999997</v>
      </c>
      <c r="CJ67" s="4444">
        <f t="shared" si="399"/>
        <v>0</v>
      </c>
      <c r="CK67" s="2774"/>
      <c r="CL67" s="3576">
        <f t="shared" si="89"/>
        <v>977.64099999999996</v>
      </c>
      <c r="CM67" s="2774"/>
    </row>
    <row r="68" spans="1:92" ht="18.75" customHeight="1" x14ac:dyDescent="0.3">
      <c r="A68" s="4412" t="s">
        <v>545</v>
      </c>
      <c r="B68" s="4391">
        <f t="shared" si="430"/>
        <v>0</v>
      </c>
      <c r="C68" s="4391">
        <f t="shared" si="431"/>
        <v>0</v>
      </c>
      <c r="D68" s="4391">
        <f t="shared" si="432"/>
        <v>0</v>
      </c>
      <c r="E68" s="4420">
        <f t="shared" si="360"/>
        <v>0</v>
      </c>
      <c r="F68" s="4411"/>
      <c r="G68" s="4411"/>
      <c r="H68" s="4420">
        <f t="shared" si="433"/>
        <v>0</v>
      </c>
      <c r="I68" s="4411"/>
      <c r="J68" s="4411"/>
      <c r="K68" s="4420">
        <f t="shared" si="434"/>
        <v>0</v>
      </c>
      <c r="L68" s="4411"/>
      <c r="M68" s="4411"/>
      <c r="N68" s="4420">
        <f t="shared" si="366"/>
        <v>0</v>
      </c>
      <c r="O68" s="4420">
        <f t="shared" si="367"/>
        <v>0</v>
      </c>
      <c r="P68" s="4420">
        <f t="shared" si="367"/>
        <v>0</v>
      </c>
      <c r="Q68" s="4391">
        <f t="shared" si="435"/>
        <v>0</v>
      </c>
      <c r="R68" s="4391">
        <f t="shared" si="436"/>
        <v>0</v>
      </c>
      <c r="S68" s="4391">
        <f t="shared" si="437"/>
        <v>0</v>
      </c>
      <c r="T68" s="4420">
        <f t="shared" si="438"/>
        <v>0</v>
      </c>
      <c r="U68" s="4411"/>
      <c r="V68" s="4411"/>
      <c r="W68" s="4420">
        <f t="shared" si="439"/>
        <v>0</v>
      </c>
      <c r="X68" s="4411"/>
      <c r="Y68" s="4411"/>
      <c r="Z68" s="4420">
        <f t="shared" si="440"/>
        <v>0</v>
      </c>
      <c r="AA68" s="4411"/>
      <c r="AB68" s="4411"/>
      <c r="AC68" s="4420">
        <f t="shared" si="375"/>
        <v>0</v>
      </c>
      <c r="AD68" s="4420">
        <f t="shared" si="376"/>
        <v>0</v>
      </c>
      <c r="AE68" s="4420">
        <f t="shared" si="376"/>
        <v>0</v>
      </c>
      <c r="AF68" s="4371">
        <f t="shared" si="159"/>
        <v>0</v>
      </c>
      <c r="AG68" s="4371">
        <f t="shared" si="160"/>
        <v>0</v>
      </c>
      <c r="AH68" s="4371">
        <f t="shared" si="161"/>
        <v>0</v>
      </c>
      <c r="AI68" s="4444">
        <f t="shared" si="377"/>
        <v>0</v>
      </c>
      <c r="AJ68" s="4444">
        <f t="shared" si="377"/>
        <v>0</v>
      </c>
      <c r="AK68" s="4444">
        <f t="shared" si="377"/>
        <v>0</v>
      </c>
      <c r="AL68" s="4444">
        <f t="shared" si="411"/>
        <v>0</v>
      </c>
      <c r="AM68" s="4444">
        <f t="shared" si="411"/>
        <v>0</v>
      </c>
      <c r="AN68" s="4444">
        <f t="shared" si="411"/>
        <v>0</v>
      </c>
      <c r="AO68" s="4391">
        <f t="shared" si="441"/>
        <v>0</v>
      </c>
      <c r="AP68" s="4391">
        <f t="shared" si="442"/>
        <v>0</v>
      </c>
      <c r="AQ68" s="4391">
        <f t="shared" si="442"/>
        <v>0</v>
      </c>
      <c r="AR68" s="4420">
        <f t="shared" si="443"/>
        <v>0</v>
      </c>
      <c r="AS68" s="4411"/>
      <c r="AT68" s="4411"/>
      <c r="AU68" s="4420">
        <f t="shared" si="444"/>
        <v>0</v>
      </c>
      <c r="AV68" s="4411"/>
      <c r="AW68" s="4411"/>
      <c r="AX68" s="4420">
        <f t="shared" si="445"/>
        <v>0</v>
      </c>
      <c r="AY68" s="4411"/>
      <c r="AZ68" s="4411"/>
      <c r="BA68" s="4420">
        <f t="shared" si="385"/>
        <v>0</v>
      </c>
      <c r="BB68" s="4420">
        <f t="shared" si="386"/>
        <v>0</v>
      </c>
      <c r="BC68" s="4420">
        <f t="shared" si="386"/>
        <v>0</v>
      </c>
      <c r="BD68" s="4371">
        <f t="shared" si="174"/>
        <v>0</v>
      </c>
      <c r="BE68" s="4371">
        <f t="shared" si="175"/>
        <v>0</v>
      </c>
      <c r="BF68" s="4371">
        <f t="shared" si="176"/>
        <v>0</v>
      </c>
      <c r="BG68" s="4444">
        <f t="shared" si="387"/>
        <v>0</v>
      </c>
      <c r="BH68" s="4444">
        <f t="shared" si="387"/>
        <v>0</v>
      </c>
      <c r="BI68" s="4444">
        <f t="shared" si="387"/>
        <v>0</v>
      </c>
      <c r="BJ68" s="4444">
        <f t="shared" si="412"/>
        <v>0</v>
      </c>
      <c r="BK68" s="4444">
        <f t="shared" si="412"/>
        <v>0</v>
      </c>
      <c r="BL68" s="4444">
        <f t="shared" si="412"/>
        <v>0</v>
      </c>
      <c r="BM68" s="4391">
        <f t="shared" si="446"/>
        <v>0</v>
      </c>
      <c r="BN68" s="4391">
        <f t="shared" si="447"/>
        <v>0</v>
      </c>
      <c r="BO68" s="4391">
        <f t="shared" si="448"/>
        <v>0</v>
      </c>
      <c r="BP68" s="4420">
        <f t="shared" si="449"/>
        <v>0</v>
      </c>
      <c r="BQ68" s="4411"/>
      <c r="BR68" s="4411"/>
      <c r="BS68" s="4420">
        <f t="shared" si="450"/>
        <v>0</v>
      </c>
      <c r="BT68" s="4411"/>
      <c r="BU68" s="4411"/>
      <c r="BV68" s="4420">
        <f t="shared" si="451"/>
        <v>0</v>
      </c>
      <c r="BW68" s="4411"/>
      <c r="BX68" s="4411"/>
      <c r="BY68" s="4420">
        <f t="shared" si="395"/>
        <v>0</v>
      </c>
      <c r="BZ68" s="4420">
        <f t="shared" si="396"/>
        <v>0</v>
      </c>
      <c r="CA68" s="4420">
        <f t="shared" si="396"/>
        <v>0</v>
      </c>
      <c r="CB68" s="4371">
        <f t="shared" si="112"/>
        <v>0</v>
      </c>
      <c r="CC68" s="4371">
        <f>0*2.1811858765</f>
        <v>0</v>
      </c>
      <c r="CD68" s="4371">
        <v>0</v>
      </c>
      <c r="CE68" s="4444">
        <f t="shared" si="410"/>
        <v>0</v>
      </c>
      <c r="CF68" s="4444">
        <f t="shared" si="410"/>
        <v>0</v>
      </c>
      <c r="CG68" s="4444">
        <f t="shared" si="410"/>
        <v>0</v>
      </c>
      <c r="CH68" s="4444">
        <f t="shared" si="398"/>
        <v>0</v>
      </c>
      <c r="CI68" s="4444">
        <f t="shared" si="399"/>
        <v>0</v>
      </c>
      <c r="CJ68" s="4444">
        <f t="shared" si="399"/>
        <v>0</v>
      </c>
      <c r="CK68" s="2774"/>
      <c r="CL68" s="3576">
        <f t="shared" si="89"/>
        <v>0</v>
      </c>
      <c r="CM68" s="2774"/>
    </row>
    <row r="69" spans="1:92" ht="18.75" customHeight="1" x14ac:dyDescent="0.3">
      <c r="A69" s="4412" t="s">
        <v>3842</v>
      </c>
      <c r="B69" s="4391">
        <f t="shared" si="430"/>
        <v>223.70249999999999</v>
      </c>
      <c r="C69" s="4391">
        <f t="shared" si="431"/>
        <v>223.70249999999999</v>
      </c>
      <c r="D69" s="4391">
        <f t="shared" si="432"/>
        <v>0</v>
      </c>
      <c r="E69" s="4420">
        <f t="shared" si="360"/>
        <v>10.72</v>
      </c>
      <c r="F69" s="4411">
        <v>10.72</v>
      </c>
      <c r="G69" s="4411"/>
      <c r="H69" s="4420">
        <f t="shared" si="433"/>
        <v>85.72</v>
      </c>
      <c r="I69" s="4411">
        <v>85.72</v>
      </c>
      <c r="J69" s="4411"/>
      <c r="K69" s="4420">
        <f t="shared" si="434"/>
        <v>53.08</v>
      </c>
      <c r="L69" s="4411">
        <v>53.08</v>
      </c>
      <c r="M69" s="4411"/>
      <c r="N69" s="4420">
        <f t="shared" si="366"/>
        <v>149.51999999999998</v>
      </c>
      <c r="O69" s="4420">
        <f t="shared" si="367"/>
        <v>149.51999999999998</v>
      </c>
      <c r="P69" s="4420">
        <f t="shared" si="367"/>
        <v>0</v>
      </c>
      <c r="Q69" s="4391">
        <f t="shared" si="435"/>
        <v>223.70249999999999</v>
      </c>
      <c r="R69" s="4391">
        <f t="shared" si="436"/>
        <v>223.70249999999999</v>
      </c>
      <c r="S69" s="4391">
        <f t="shared" si="437"/>
        <v>0</v>
      </c>
      <c r="T69" s="4420">
        <f t="shared" si="438"/>
        <v>55.6</v>
      </c>
      <c r="U69" s="4411">
        <v>55.6</v>
      </c>
      <c r="V69" s="4411"/>
      <c r="W69" s="4420">
        <f t="shared" si="439"/>
        <v>4.5999999999999996</v>
      </c>
      <c r="X69" s="4411">
        <v>4.5999999999999996</v>
      </c>
      <c r="Y69" s="4411"/>
      <c r="Z69" s="4420">
        <f t="shared" si="440"/>
        <v>10.4</v>
      </c>
      <c r="AA69" s="4411">
        <v>10.4</v>
      </c>
      <c r="AB69" s="4411"/>
      <c r="AC69" s="4420">
        <f t="shared" si="375"/>
        <v>70.600000000000009</v>
      </c>
      <c r="AD69" s="4420">
        <f t="shared" si="376"/>
        <v>70.600000000000009</v>
      </c>
      <c r="AE69" s="4420">
        <f t="shared" si="376"/>
        <v>0</v>
      </c>
      <c r="AF69" s="4371">
        <f t="shared" si="159"/>
        <v>447.40499999999997</v>
      </c>
      <c r="AG69" s="4371">
        <f t="shared" si="160"/>
        <v>447.40499999999997</v>
      </c>
      <c r="AH69" s="4371">
        <f t="shared" si="161"/>
        <v>0</v>
      </c>
      <c r="AI69" s="4444">
        <f t="shared" si="377"/>
        <v>220.12</v>
      </c>
      <c r="AJ69" s="4444">
        <f t="shared" si="377"/>
        <v>220.12</v>
      </c>
      <c r="AK69" s="4444">
        <f t="shared" si="377"/>
        <v>0</v>
      </c>
      <c r="AL69" s="4444">
        <f t="shared" si="411"/>
        <v>-227.28499999999997</v>
      </c>
      <c r="AM69" s="4444">
        <f t="shared" si="411"/>
        <v>-227.28499999999997</v>
      </c>
      <c r="AN69" s="4444">
        <f t="shared" si="411"/>
        <v>0</v>
      </c>
      <c r="AO69" s="4391">
        <f t="shared" si="441"/>
        <v>223.70249999999999</v>
      </c>
      <c r="AP69" s="4391">
        <f t="shared" si="442"/>
        <v>223.70249999999999</v>
      </c>
      <c r="AQ69" s="4391">
        <f t="shared" si="442"/>
        <v>0</v>
      </c>
      <c r="AR69" s="4420">
        <f t="shared" si="443"/>
        <v>5.96</v>
      </c>
      <c r="AS69" s="4411">
        <v>5.96</v>
      </c>
      <c r="AT69" s="4411"/>
      <c r="AU69" s="4420">
        <f t="shared" si="444"/>
        <v>0</v>
      </c>
      <c r="AV69" s="4411"/>
      <c r="AW69" s="4411"/>
      <c r="AX69" s="4420">
        <f t="shared" si="445"/>
        <v>0</v>
      </c>
      <c r="AY69" s="4411"/>
      <c r="AZ69" s="4411"/>
      <c r="BA69" s="4420">
        <f t="shared" si="385"/>
        <v>5.96</v>
      </c>
      <c r="BB69" s="4420">
        <f t="shared" si="386"/>
        <v>5.96</v>
      </c>
      <c r="BC69" s="4420">
        <f t="shared" si="386"/>
        <v>0</v>
      </c>
      <c r="BD69" s="4371">
        <f t="shared" si="174"/>
        <v>671.10749999999996</v>
      </c>
      <c r="BE69" s="4371">
        <f t="shared" si="175"/>
        <v>671.10749999999996</v>
      </c>
      <c r="BF69" s="4371">
        <f t="shared" si="176"/>
        <v>0</v>
      </c>
      <c r="BG69" s="4444">
        <f t="shared" si="387"/>
        <v>226.08</v>
      </c>
      <c r="BH69" s="4444">
        <f t="shared" si="387"/>
        <v>226.08</v>
      </c>
      <c r="BI69" s="4444">
        <f t="shared" si="387"/>
        <v>0</v>
      </c>
      <c r="BJ69" s="4444">
        <f t="shared" si="412"/>
        <v>-445.02749999999992</v>
      </c>
      <c r="BK69" s="4444">
        <f t="shared" si="412"/>
        <v>-445.02749999999992</v>
      </c>
      <c r="BL69" s="4444">
        <f t="shared" si="412"/>
        <v>0</v>
      </c>
      <c r="BM69" s="4391">
        <f t="shared" si="446"/>
        <v>223.70249999999999</v>
      </c>
      <c r="BN69" s="4391">
        <f t="shared" si="447"/>
        <v>223.70249999999999</v>
      </c>
      <c r="BO69" s="4391">
        <f t="shared" si="448"/>
        <v>0</v>
      </c>
      <c r="BP69" s="4420">
        <f t="shared" si="449"/>
        <v>0</v>
      </c>
      <c r="BQ69" s="4411"/>
      <c r="BR69" s="4411"/>
      <c r="BS69" s="4420">
        <f t="shared" si="450"/>
        <v>0</v>
      </c>
      <c r="BT69" s="4411"/>
      <c r="BU69" s="4411"/>
      <c r="BV69" s="4420">
        <f t="shared" si="451"/>
        <v>0</v>
      </c>
      <c r="BW69" s="4411"/>
      <c r="BX69" s="4411"/>
      <c r="BY69" s="4420">
        <f t="shared" si="395"/>
        <v>0</v>
      </c>
      <c r="BZ69" s="4420">
        <f t="shared" si="396"/>
        <v>0</v>
      </c>
      <c r="CA69" s="4420">
        <f t="shared" si="396"/>
        <v>0</v>
      </c>
      <c r="CB69" s="4371">
        <f t="shared" si="112"/>
        <v>894.81</v>
      </c>
      <c r="CC69" s="4371">
        <v>894.81</v>
      </c>
      <c r="CD69" s="4371">
        <v>0</v>
      </c>
      <c r="CE69" s="4444">
        <f t="shared" si="410"/>
        <v>226.08</v>
      </c>
      <c r="CF69" s="4444">
        <f t="shared" si="410"/>
        <v>226.08</v>
      </c>
      <c r="CG69" s="4444">
        <f t="shared" si="410"/>
        <v>0</v>
      </c>
      <c r="CH69" s="4444">
        <f t="shared" si="398"/>
        <v>-668.7299999999999</v>
      </c>
      <c r="CI69" s="4444">
        <f t="shared" si="399"/>
        <v>-668.7299999999999</v>
      </c>
      <c r="CJ69" s="4444">
        <f t="shared" si="399"/>
        <v>0</v>
      </c>
      <c r="CK69" s="2774"/>
      <c r="CL69" s="3576">
        <f t="shared" si="89"/>
        <v>894.81</v>
      </c>
      <c r="CM69" s="2774"/>
    </row>
    <row r="70" spans="1:92" ht="18.75" customHeight="1" x14ac:dyDescent="0.3">
      <c r="A70" s="4445" t="s">
        <v>592</v>
      </c>
      <c r="B70" s="4385">
        <f t="shared" si="430"/>
        <v>471.03000000000003</v>
      </c>
      <c r="C70" s="4447">
        <f t="shared" ref="C70:D70" si="452">SUM(C71:C74)</f>
        <v>471.03000000000003</v>
      </c>
      <c r="D70" s="4447">
        <f t="shared" si="452"/>
        <v>0</v>
      </c>
      <c r="E70" s="4442">
        <f>SUM(E71:E74)</f>
        <v>6.47</v>
      </c>
      <c r="F70" s="4442">
        <f t="shared" ref="F70:G70" si="453">SUM(F71:F74)</f>
        <v>6.47</v>
      </c>
      <c r="G70" s="4442">
        <f t="shared" si="453"/>
        <v>0</v>
      </c>
      <c r="H70" s="4442">
        <f>SUM(H71:H74)</f>
        <v>36.572000000000003</v>
      </c>
      <c r="I70" s="4442">
        <f t="shared" ref="I70:J70" si="454">SUM(I71:I74)</f>
        <v>36.572000000000003</v>
      </c>
      <c r="J70" s="4442">
        <f t="shared" si="454"/>
        <v>0</v>
      </c>
      <c r="K70" s="4442">
        <f>SUM(K71:K74)</f>
        <v>27.47</v>
      </c>
      <c r="L70" s="4442">
        <f t="shared" ref="L70:M70" si="455">SUM(L71:L74)</f>
        <v>27.47</v>
      </c>
      <c r="M70" s="4442">
        <f t="shared" si="455"/>
        <v>0</v>
      </c>
      <c r="N70" s="4442">
        <f t="shared" si="366"/>
        <v>70.512</v>
      </c>
      <c r="O70" s="4442">
        <f t="shared" si="367"/>
        <v>70.512</v>
      </c>
      <c r="P70" s="4442">
        <f t="shared" si="367"/>
        <v>0</v>
      </c>
      <c r="Q70" s="4385">
        <f t="shared" si="435"/>
        <v>471.03000000000003</v>
      </c>
      <c r="R70" s="4447">
        <f t="shared" ref="R70:S70" si="456">SUM(R71:R74)</f>
        <v>471.03000000000003</v>
      </c>
      <c r="S70" s="4447">
        <f t="shared" si="456"/>
        <v>0</v>
      </c>
      <c r="T70" s="4442">
        <f>SUM(T71:T74)</f>
        <v>50.23</v>
      </c>
      <c r="U70" s="4442">
        <f t="shared" ref="U70:V70" si="457">SUM(U71:U74)</f>
        <v>50.23</v>
      </c>
      <c r="V70" s="4442">
        <f t="shared" si="457"/>
        <v>0</v>
      </c>
      <c r="W70" s="4442">
        <f>SUM(W71:W74)</f>
        <v>76.510999999999996</v>
      </c>
      <c r="X70" s="4442">
        <f>SUM(X71:X74)</f>
        <v>76.510999999999996</v>
      </c>
      <c r="Y70" s="4442">
        <f t="shared" ref="Y70" si="458">SUM(Y71:Y74)</f>
        <v>0</v>
      </c>
      <c r="Z70" s="4442">
        <f>SUM(Z71:Z74)</f>
        <v>101.8909</v>
      </c>
      <c r="AA70" s="4442">
        <f t="shared" ref="AA70:AB70" si="459">SUM(AA71:AA74)</f>
        <v>101.8909</v>
      </c>
      <c r="AB70" s="4442">
        <f t="shared" si="459"/>
        <v>0</v>
      </c>
      <c r="AC70" s="4442">
        <f t="shared" si="375"/>
        <v>228.63189999999997</v>
      </c>
      <c r="AD70" s="4442">
        <f t="shared" si="376"/>
        <v>228.63189999999997</v>
      </c>
      <c r="AE70" s="4442">
        <f t="shared" si="376"/>
        <v>0</v>
      </c>
      <c r="AF70" s="4384">
        <f t="shared" si="159"/>
        <v>942.06000000000006</v>
      </c>
      <c r="AG70" s="4384">
        <f t="shared" si="160"/>
        <v>942.06000000000006</v>
      </c>
      <c r="AH70" s="4384">
        <f t="shared" si="161"/>
        <v>0</v>
      </c>
      <c r="AI70" s="4443">
        <f t="shared" si="377"/>
        <v>299.14389999999997</v>
      </c>
      <c r="AJ70" s="4443">
        <f t="shared" si="377"/>
        <v>299.14389999999997</v>
      </c>
      <c r="AK70" s="4443">
        <f t="shared" si="377"/>
        <v>0</v>
      </c>
      <c r="AL70" s="4443">
        <f t="shared" si="411"/>
        <v>-642.91610000000014</v>
      </c>
      <c r="AM70" s="4443">
        <f t="shared" si="411"/>
        <v>-642.91610000000014</v>
      </c>
      <c r="AN70" s="4443">
        <f t="shared" si="411"/>
        <v>0</v>
      </c>
      <c r="AO70" s="4385">
        <f t="shared" si="441"/>
        <v>471.03000000000003</v>
      </c>
      <c r="AP70" s="4447">
        <f t="shared" ref="AP70:AQ70" si="460">SUM(AP71:AP74)</f>
        <v>471.03000000000003</v>
      </c>
      <c r="AQ70" s="4447">
        <f t="shared" si="460"/>
        <v>0</v>
      </c>
      <c r="AR70" s="4442">
        <f>SUM(AR71:AR74)</f>
        <v>84.289000000000001</v>
      </c>
      <c r="AS70" s="4442">
        <f t="shared" ref="AS70:AT70" si="461">SUM(AS71:AS74)</f>
        <v>84.289000000000001</v>
      </c>
      <c r="AT70" s="4442">
        <f t="shared" si="461"/>
        <v>0</v>
      </c>
      <c r="AU70" s="4442">
        <f>SUM(AU71:AU74)</f>
        <v>0</v>
      </c>
      <c r="AV70" s="4442">
        <f t="shared" ref="AV70:AW70" si="462">SUM(AV71:AV74)</f>
        <v>0</v>
      </c>
      <c r="AW70" s="4442">
        <f t="shared" si="462"/>
        <v>0</v>
      </c>
      <c r="AX70" s="4442">
        <f>SUM(AX71:AX74)</f>
        <v>0</v>
      </c>
      <c r="AY70" s="4442">
        <f t="shared" ref="AY70:AZ70" si="463">SUM(AY71:AY74)</f>
        <v>0</v>
      </c>
      <c r="AZ70" s="4442">
        <f t="shared" si="463"/>
        <v>0</v>
      </c>
      <c r="BA70" s="4442">
        <f t="shared" si="385"/>
        <v>84.289000000000001</v>
      </c>
      <c r="BB70" s="4442">
        <f t="shared" si="386"/>
        <v>84.289000000000001</v>
      </c>
      <c r="BC70" s="4442">
        <f t="shared" si="386"/>
        <v>0</v>
      </c>
      <c r="BD70" s="4384">
        <f t="shared" si="174"/>
        <v>1413.0900000000001</v>
      </c>
      <c r="BE70" s="4384">
        <f t="shared" si="175"/>
        <v>1413.0900000000001</v>
      </c>
      <c r="BF70" s="4384">
        <f t="shared" si="176"/>
        <v>0</v>
      </c>
      <c r="BG70" s="4443">
        <f t="shared" si="387"/>
        <v>383.43289999999996</v>
      </c>
      <c r="BH70" s="4443">
        <f t="shared" si="387"/>
        <v>383.43289999999996</v>
      </c>
      <c r="BI70" s="4443">
        <f t="shared" si="387"/>
        <v>0</v>
      </c>
      <c r="BJ70" s="4443">
        <f t="shared" si="412"/>
        <v>-1029.6571000000001</v>
      </c>
      <c r="BK70" s="4443">
        <f t="shared" si="412"/>
        <v>-1029.6571000000001</v>
      </c>
      <c r="BL70" s="4443">
        <f t="shared" si="412"/>
        <v>0</v>
      </c>
      <c r="BM70" s="4385">
        <f t="shared" si="446"/>
        <v>471.03000000000003</v>
      </c>
      <c r="BN70" s="4447">
        <f t="shared" ref="BN70:BO70" si="464">SUM(BN71:BN74)</f>
        <v>471.03000000000003</v>
      </c>
      <c r="BO70" s="4447">
        <f t="shared" si="464"/>
        <v>0</v>
      </c>
      <c r="BP70" s="4442">
        <f>SUM(BP71:BP74)</f>
        <v>0</v>
      </c>
      <c r="BQ70" s="4442">
        <f t="shared" ref="BQ70:BR70" si="465">SUM(BQ71:BQ74)</f>
        <v>0</v>
      </c>
      <c r="BR70" s="4442">
        <f t="shared" si="465"/>
        <v>0</v>
      </c>
      <c r="BS70" s="4442">
        <f>SUM(BS71:BS74)</f>
        <v>0</v>
      </c>
      <c r="BT70" s="4442">
        <f t="shared" ref="BT70:BU70" si="466">SUM(BT71:BT74)</f>
        <v>0</v>
      </c>
      <c r="BU70" s="4442">
        <f t="shared" si="466"/>
        <v>0</v>
      </c>
      <c r="BV70" s="4442">
        <f>SUM(BV71:BV74)</f>
        <v>0</v>
      </c>
      <c r="BW70" s="4442">
        <f t="shared" ref="BW70:BX70" si="467">SUM(BW71:BW74)</f>
        <v>0</v>
      </c>
      <c r="BX70" s="4442">
        <f t="shared" si="467"/>
        <v>0</v>
      </c>
      <c r="BY70" s="4442">
        <f t="shared" si="395"/>
        <v>0</v>
      </c>
      <c r="BZ70" s="4442">
        <f t="shared" si="396"/>
        <v>0</v>
      </c>
      <c r="CA70" s="4442">
        <f t="shared" si="396"/>
        <v>0</v>
      </c>
      <c r="CB70" s="4384">
        <f t="shared" si="112"/>
        <v>1884.1200000000001</v>
      </c>
      <c r="CC70" s="4448">
        <f t="shared" ref="CC70:CD70" si="468">SUM(CC71:CC74)</f>
        <v>1884.1200000000001</v>
      </c>
      <c r="CD70" s="4448">
        <f t="shared" si="468"/>
        <v>0</v>
      </c>
      <c r="CE70" s="4443">
        <f t="shared" si="410"/>
        <v>383.43289999999996</v>
      </c>
      <c r="CF70" s="4443">
        <f t="shared" si="410"/>
        <v>383.43289999999996</v>
      </c>
      <c r="CG70" s="4443">
        <f t="shared" si="410"/>
        <v>0</v>
      </c>
      <c r="CH70" s="4443">
        <f t="shared" si="398"/>
        <v>-1500.6871000000001</v>
      </c>
      <c r="CI70" s="4443">
        <f t="shared" si="399"/>
        <v>-1500.6871000000001</v>
      </c>
      <c r="CJ70" s="4443">
        <f t="shared" si="399"/>
        <v>0</v>
      </c>
      <c r="CK70" s="2774"/>
      <c r="CL70" s="3576">
        <f t="shared" si="89"/>
        <v>1884.1200000000001</v>
      </c>
      <c r="CM70" s="2774"/>
    </row>
    <row r="71" spans="1:92" ht="18.75" customHeight="1" x14ac:dyDescent="0.3">
      <c r="A71" s="4412" t="s">
        <v>532</v>
      </c>
      <c r="B71" s="4391">
        <f t="shared" si="430"/>
        <v>146.9725</v>
      </c>
      <c r="C71" s="4391">
        <f t="shared" ref="C71:C74" si="469">SUM(CC71/4)</f>
        <v>146.9725</v>
      </c>
      <c r="D71" s="4391">
        <f t="shared" ref="D71:D74" si="470">SUM(CD71/4)</f>
        <v>0</v>
      </c>
      <c r="E71" s="4420">
        <f t="shared" si="360"/>
        <v>0</v>
      </c>
      <c r="F71" s="4411"/>
      <c r="G71" s="4411"/>
      <c r="H71" s="4420">
        <f t="shared" ref="H71:H74" si="471">SUM(I71:J71)</f>
        <v>0</v>
      </c>
      <c r="I71" s="4411"/>
      <c r="J71" s="4411"/>
      <c r="K71" s="4420">
        <f t="shared" ref="K71:K74" si="472">SUM(L71:M71)</f>
        <v>0</v>
      </c>
      <c r="L71" s="4411"/>
      <c r="M71" s="4411"/>
      <c r="N71" s="4420">
        <f t="shared" si="366"/>
        <v>0</v>
      </c>
      <c r="O71" s="4420">
        <f t="shared" si="367"/>
        <v>0</v>
      </c>
      <c r="P71" s="4420">
        <f t="shared" si="367"/>
        <v>0</v>
      </c>
      <c r="Q71" s="4391">
        <f t="shared" si="435"/>
        <v>146.9725</v>
      </c>
      <c r="R71" s="4391">
        <f t="shared" ref="R71:R74" si="473">SUM(C71)</f>
        <v>146.9725</v>
      </c>
      <c r="S71" s="4391">
        <f t="shared" ref="S71:S74" si="474">SUM(D71)</f>
        <v>0</v>
      </c>
      <c r="T71" s="4420">
        <f t="shared" ref="T71:T78" si="475">SUM(U71:V71)</f>
        <v>6.1229999999999993</v>
      </c>
      <c r="U71" s="4411">
        <f>3.957+2.166</f>
        <v>6.1229999999999993</v>
      </c>
      <c r="V71" s="4411"/>
      <c r="W71" s="4420">
        <f t="shared" ref="W71:W74" si="476">SUM(X71:Y71)</f>
        <v>35.314</v>
      </c>
      <c r="X71" s="4411">
        <v>35.314</v>
      </c>
      <c r="Y71" s="4411"/>
      <c r="Z71" s="4420">
        <f t="shared" ref="Z71:Z74" si="477">SUM(AA71:AB71)</f>
        <v>77.884</v>
      </c>
      <c r="AA71" s="4411">
        <f>53.9126+23.9714</f>
        <v>77.884</v>
      </c>
      <c r="AB71" s="4411"/>
      <c r="AC71" s="4420">
        <f t="shared" si="375"/>
        <v>119.321</v>
      </c>
      <c r="AD71" s="4420">
        <f t="shared" si="376"/>
        <v>119.321</v>
      </c>
      <c r="AE71" s="4420">
        <f t="shared" si="376"/>
        <v>0</v>
      </c>
      <c r="AF71" s="4371">
        <f t="shared" si="159"/>
        <v>293.94499999999999</v>
      </c>
      <c r="AG71" s="4371">
        <f t="shared" si="160"/>
        <v>293.94499999999999</v>
      </c>
      <c r="AH71" s="4371">
        <f t="shared" si="161"/>
        <v>0</v>
      </c>
      <c r="AI71" s="4444">
        <f t="shared" si="377"/>
        <v>119.321</v>
      </c>
      <c r="AJ71" s="4444">
        <f t="shared" si="377"/>
        <v>119.321</v>
      </c>
      <c r="AK71" s="4444">
        <f t="shared" si="377"/>
        <v>0</v>
      </c>
      <c r="AL71" s="4444">
        <f t="shared" si="411"/>
        <v>-174.624</v>
      </c>
      <c r="AM71" s="4444">
        <f t="shared" si="411"/>
        <v>-174.624</v>
      </c>
      <c r="AN71" s="4444">
        <f t="shared" si="411"/>
        <v>0</v>
      </c>
      <c r="AO71" s="4391">
        <f t="shared" si="441"/>
        <v>146.9725</v>
      </c>
      <c r="AP71" s="4391">
        <f t="shared" ref="AP71:AQ74" si="478">SUM(CC71-AG71)/2</f>
        <v>146.9725</v>
      </c>
      <c r="AQ71" s="4391">
        <f t="shared" si="478"/>
        <v>0</v>
      </c>
      <c r="AR71" s="4420">
        <f t="shared" ref="AR71:AR78" si="479">SUM(AS71:AT71)</f>
        <v>49.472000000000001</v>
      </c>
      <c r="AS71" s="4411">
        <v>49.472000000000001</v>
      </c>
      <c r="AT71" s="4411"/>
      <c r="AU71" s="4420">
        <f t="shared" ref="AU71:AU74" si="480">SUM(AV71:AW71)</f>
        <v>0</v>
      </c>
      <c r="AV71" s="4411"/>
      <c r="AW71" s="4411"/>
      <c r="AX71" s="4420">
        <f t="shared" ref="AX71:AX74" si="481">SUM(AY71:AZ71)</f>
        <v>0</v>
      </c>
      <c r="AY71" s="4411"/>
      <c r="AZ71" s="4411"/>
      <c r="BA71" s="4420">
        <f t="shared" si="385"/>
        <v>49.472000000000001</v>
      </c>
      <c r="BB71" s="4420">
        <f t="shared" si="386"/>
        <v>49.472000000000001</v>
      </c>
      <c r="BC71" s="4420">
        <f t="shared" si="386"/>
        <v>0</v>
      </c>
      <c r="BD71" s="4371">
        <f t="shared" si="174"/>
        <v>440.91750000000002</v>
      </c>
      <c r="BE71" s="4371">
        <f t="shared" si="175"/>
        <v>440.91750000000002</v>
      </c>
      <c r="BF71" s="4371">
        <f t="shared" si="176"/>
        <v>0</v>
      </c>
      <c r="BG71" s="4444">
        <f t="shared" si="387"/>
        <v>168.79300000000001</v>
      </c>
      <c r="BH71" s="4444">
        <f t="shared" si="387"/>
        <v>168.79300000000001</v>
      </c>
      <c r="BI71" s="4444">
        <f t="shared" si="387"/>
        <v>0</v>
      </c>
      <c r="BJ71" s="4444">
        <f t="shared" si="412"/>
        <v>-272.12450000000001</v>
      </c>
      <c r="BK71" s="4444">
        <f t="shared" si="412"/>
        <v>-272.12450000000001</v>
      </c>
      <c r="BL71" s="4444">
        <f t="shared" si="412"/>
        <v>0</v>
      </c>
      <c r="BM71" s="4391">
        <f t="shared" si="446"/>
        <v>146.9725</v>
      </c>
      <c r="BN71" s="4391">
        <f t="shared" ref="BN71:BN74" si="482">SUM(AP71)</f>
        <v>146.9725</v>
      </c>
      <c r="BO71" s="4391">
        <f t="shared" ref="BO71:BO74" si="483">SUM(AQ71)</f>
        <v>0</v>
      </c>
      <c r="BP71" s="4420">
        <f t="shared" ref="BP71:BP78" si="484">SUM(BQ71:BR71)</f>
        <v>0</v>
      </c>
      <c r="BQ71" s="4411"/>
      <c r="BR71" s="4411"/>
      <c r="BS71" s="4420">
        <f t="shared" ref="BS71:BS74" si="485">SUM(BT71:BU71)</f>
        <v>0</v>
      </c>
      <c r="BT71" s="4411"/>
      <c r="BU71" s="4411"/>
      <c r="BV71" s="4420">
        <f t="shared" ref="BV71:BV74" si="486">SUM(BW71:BX71)</f>
        <v>0</v>
      </c>
      <c r="BW71" s="4411"/>
      <c r="BX71" s="4411"/>
      <c r="BY71" s="4420">
        <f t="shared" si="395"/>
        <v>0</v>
      </c>
      <c r="BZ71" s="4420">
        <f t="shared" si="396"/>
        <v>0</v>
      </c>
      <c r="CA71" s="4420">
        <f t="shared" si="396"/>
        <v>0</v>
      </c>
      <c r="CB71" s="4371">
        <f t="shared" si="112"/>
        <v>587.89</v>
      </c>
      <c r="CC71" s="4384">
        <v>587.89</v>
      </c>
      <c r="CD71" s="4371">
        <v>0</v>
      </c>
      <c r="CE71" s="4444">
        <f t="shared" si="410"/>
        <v>168.79300000000001</v>
      </c>
      <c r="CF71" s="4444">
        <f t="shared" si="410"/>
        <v>168.79300000000001</v>
      </c>
      <c r="CG71" s="4444">
        <f t="shared" si="410"/>
        <v>0</v>
      </c>
      <c r="CH71" s="4444">
        <f t="shared" si="398"/>
        <v>-419.09699999999998</v>
      </c>
      <c r="CI71" s="4444">
        <f t="shared" si="399"/>
        <v>-419.09699999999998</v>
      </c>
      <c r="CJ71" s="4444">
        <f t="shared" si="399"/>
        <v>0</v>
      </c>
      <c r="CK71" s="2774"/>
      <c r="CL71" s="3576">
        <f t="shared" si="89"/>
        <v>587.89</v>
      </c>
      <c r="CM71" s="2774"/>
    </row>
    <row r="72" spans="1:92" ht="18.75" customHeight="1" x14ac:dyDescent="0.3">
      <c r="A72" s="4412" t="s">
        <v>626</v>
      </c>
      <c r="B72" s="4391">
        <f t="shared" si="430"/>
        <v>312.03500000000003</v>
      </c>
      <c r="C72" s="4391">
        <f t="shared" si="469"/>
        <v>312.03500000000003</v>
      </c>
      <c r="D72" s="4391">
        <f t="shared" si="470"/>
        <v>0</v>
      </c>
      <c r="E72" s="4420">
        <f t="shared" si="360"/>
        <v>6.47</v>
      </c>
      <c r="F72" s="4411">
        <f>5+1.47</f>
        <v>6.47</v>
      </c>
      <c r="G72" s="4411"/>
      <c r="H72" s="4420">
        <f t="shared" si="471"/>
        <v>36.572000000000003</v>
      </c>
      <c r="I72" s="4411">
        <f>8.072+16.5+12</f>
        <v>36.572000000000003</v>
      </c>
      <c r="J72" s="4411"/>
      <c r="K72" s="4420">
        <f t="shared" si="472"/>
        <v>9.17</v>
      </c>
      <c r="L72" s="4411">
        <f>5+1+2.5+0.67</f>
        <v>9.17</v>
      </c>
      <c r="M72" s="4411"/>
      <c r="N72" s="4420">
        <f t="shared" si="366"/>
        <v>52.212000000000003</v>
      </c>
      <c r="O72" s="4420">
        <f t="shared" si="367"/>
        <v>52.212000000000003</v>
      </c>
      <c r="P72" s="4420">
        <f t="shared" si="367"/>
        <v>0</v>
      </c>
      <c r="Q72" s="4391">
        <f t="shared" si="435"/>
        <v>312.03500000000003</v>
      </c>
      <c r="R72" s="4391">
        <f t="shared" si="473"/>
        <v>312.03500000000003</v>
      </c>
      <c r="S72" s="4391">
        <f t="shared" si="474"/>
        <v>0</v>
      </c>
      <c r="T72" s="4420">
        <f t="shared" si="475"/>
        <v>8.2759999999999998</v>
      </c>
      <c r="U72" s="4411">
        <f>5+0.776+2.5</f>
        <v>8.2759999999999998</v>
      </c>
      <c r="V72" s="4411"/>
      <c r="W72" s="4420">
        <f t="shared" si="476"/>
        <v>35.546999999999997</v>
      </c>
      <c r="X72" s="4411">
        <f>5.125+0.125+3.172+8.125+19</f>
        <v>35.546999999999997</v>
      </c>
      <c r="Y72" s="4411"/>
      <c r="Z72" s="4420">
        <f t="shared" si="477"/>
        <v>24.006900000000002</v>
      </c>
      <c r="AA72" s="4411">
        <f>18.69048+5.31642</f>
        <v>24.006900000000002</v>
      </c>
      <c r="AB72" s="4411"/>
      <c r="AC72" s="4420">
        <f t="shared" si="375"/>
        <v>67.829899999999995</v>
      </c>
      <c r="AD72" s="4420">
        <f t="shared" si="376"/>
        <v>67.829899999999995</v>
      </c>
      <c r="AE72" s="4420">
        <f t="shared" si="376"/>
        <v>0</v>
      </c>
      <c r="AF72" s="4371">
        <f t="shared" si="159"/>
        <v>624.07000000000005</v>
      </c>
      <c r="AG72" s="4371">
        <f t="shared" si="160"/>
        <v>624.07000000000005</v>
      </c>
      <c r="AH72" s="4371">
        <f t="shared" si="161"/>
        <v>0</v>
      </c>
      <c r="AI72" s="4444">
        <f t="shared" si="377"/>
        <v>120.0419</v>
      </c>
      <c r="AJ72" s="4444">
        <f t="shared" si="377"/>
        <v>120.0419</v>
      </c>
      <c r="AK72" s="4444">
        <f t="shared" si="377"/>
        <v>0</v>
      </c>
      <c r="AL72" s="4444">
        <f t="shared" si="411"/>
        <v>-504.02810000000005</v>
      </c>
      <c r="AM72" s="4444">
        <f t="shared" si="411"/>
        <v>-504.02810000000005</v>
      </c>
      <c r="AN72" s="4444">
        <f t="shared" si="411"/>
        <v>0</v>
      </c>
      <c r="AO72" s="4391">
        <f t="shared" si="441"/>
        <v>312.03500000000003</v>
      </c>
      <c r="AP72" s="4391">
        <f t="shared" si="478"/>
        <v>312.03500000000003</v>
      </c>
      <c r="AQ72" s="4391">
        <f t="shared" si="478"/>
        <v>0</v>
      </c>
      <c r="AR72" s="4420">
        <f t="shared" si="479"/>
        <v>7.5</v>
      </c>
      <c r="AS72" s="4411">
        <f>5+2.5</f>
        <v>7.5</v>
      </c>
      <c r="AT72" s="4411"/>
      <c r="AU72" s="4420">
        <f t="shared" si="480"/>
        <v>0</v>
      </c>
      <c r="AV72" s="4411"/>
      <c r="AW72" s="4411"/>
      <c r="AX72" s="4420">
        <f t="shared" si="481"/>
        <v>0</v>
      </c>
      <c r="AY72" s="4411"/>
      <c r="AZ72" s="4411"/>
      <c r="BA72" s="4420">
        <f t="shared" si="385"/>
        <v>7.5</v>
      </c>
      <c r="BB72" s="4420">
        <f t="shared" si="386"/>
        <v>7.5</v>
      </c>
      <c r="BC72" s="4420">
        <f t="shared" si="386"/>
        <v>0</v>
      </c>
      <c r="BD72" s="4371">
        <f t="shared" si="174"/>
        <v>936.10500000000002</v>
      </c>
      <c r="BE72" s="4371">
        <f t="shared" si="175"/>
        <v>936.10500000000002</v>
      </c>
      <c r="BF72" s="4371">
        <f t="shared" si="176"/>
        <v>0</v>
      </c>
      <c r="BG72" s="4444">
        <f t="shared" si="387"/>
        <v>127.5419</v>
      </c>
      <c r="BH72" s="4444">
        <f t="shared" si="387"/>
        <v>127.5419</v>
      </c>
      <c r="BI72" s="4444">
        <f t="shared" si="387"/>
        <v>0</v>
      </c>
      <c r="BJ72" s="4444">
        <f t="shared" si="412"/>
        <v>-808.56310000000008</v>
      </c>
      <c r="BK72" s="4444">
        <f t="shared" si="412"/>
        <v>-808.56310000000008</v>
      </c>
      <c r="BL72" s="4444">
        <f t="shared" si="412"/>
        <v>0</v>
      </c>
      <c r="BM72" s="4391">
        <f t="shared" si="446"/>
        <v>312.03500000000003</v>
      </c>
      <c r="BN72" s="4391">
        <f t="shared" si="482"/>
        <v>312.03500000000003</v>
      </c>
      <c r="BO72" s="4391">
        <f t="shared" si="483"/>
        <v>0</v>
      </c>
      <c r="BP72" s="4420">
        <f t="shared" si="484"/>
        <v>0</v>
      </c>
      <c r="BQ72" s="4411"/>
      <c r="BR72" s="4411"/>
      <c r="BS72" s="4420">
        <f t="shared" si="485"/>
        <v>0</v>
      </c>
      <c r="BT72" s="4411"/>
      <c r="BU72" s="4411"/>
      <c r="BV72" s="4420">
        <f t="shared" si="486"/>
        <v>0</v>
      </c>
      <c r="BW72" s="4411"/>
      <c r="BX72" s="4411"/>
      <c r="BY72" s="4420">
        <f t="shared" si="395"/>
        <v>0</v>
      </c>
      <c r="BZ72" s="4420">
        <f t="shared" si="396"/>
        <v>0</v>
      </c>
      <c r="CA72" s="4420">
        <f t="shared" si="396"/>
        <v>0</v>
      </c>
      <c r="CB72" s="4371">
        <f t="shared" si="112"/>
        <v>1248.1400000000001</v>
      </c>
      <c r="CC72" s="4384">
        <v>1248.1400000000001</v>
      </c>
      <c r="CD72" s="4371">
        <v>0</v>
      </c>
      <c r="CE72" s="4444">
        <f t="shared" si="410"/>
        <v>127.5419</v>
      </c>
      <c r="CF72" s="4444">
        <f t="shared" si="410"/>
        <v>127.5419</v>
      </c>
      <c r="CG72" s="4444">
        <f t="shared" si="410"/>
        <v>0</v>
      </c>
      <c r="CH72" s="4444">
        <f t="shared" si="398"/>
        <v>-1120.5981000000002</v>
      </c>
      <c r="CI72" s="4444">
        <f t="shared" si="399"/>
        <v>-1120.5981000000002</v>
      </c>
      <c r="CJ72" s="4444">
        <f t="shared" si="399"/>
        <v>0</v>
      </c>
      <c r="CK72" s="2774"/>
      <c r="CL72" s="3576">
        <f t="shared" si="89"/>
        <v>1248.1400000000001</v>
      </c>
      <c r="CM72" s="2774"/>
    </row>
    <row r="73" spans="1:92" ht="18.75" customHeight="1" x14ac:dyDescent="0.3">
      <c r="A73" s="4412" t="s">
        <v>541</v>
      </c>
      <c r="B73" s="4391">
        <f t="shared" si="430"/>
        <v>11.943250000000001</v>
      </c>
      <c r="C73" s="4391">
        <f t="shared" si="469"/>
        <v>11.943250000000001</v>
      </c>
      <c r="D73" s="4391">
        <f t="shared" si="470"/>
        <v>0</v>
      </c>
      <c r="E73" s="4420">
        <f t="shared" si="360"/>
        <v>0</v>
      </c>
      <c r="F73" s="4411"/>
      <c r="G73" s="4411"/>
      <c r="H73" s="4420">
        <f t="shared" si="471"/>
        <v>0</v>
      </c>
      <c r="I73" s="4411"/>
      <c r="J73" s="4411"/>
      <c r="K73" s="4420">
        <f t="shared" si="472"/>
        <v>18.3</v>
      </c>
      <c r="L73" s="4411">
        <f>0.8+14.7+2.8</f>
        <v>18.3</v>
      </c>
      <c r="M73" s="4411"/>
      <c r="N73" s="4420">
        <f t="shared" si="366"/>
        <v>18.3</v>
      </c>
      <c r="O73" s="4420">
        <f t="shared" si="367"/>
        <v>18.3</v>
      </c>
      <c r="P73" s="4420">
        <f t="shared" si="367"/>
        <v>0</v>
      </c>
      <c r="Q73" s="4391">
        <f t="shared" si="435"/>
        <v>11.943250000000001</v>
      </c>
      <c r="R73" s="4391">
        <f t="shared" si="473"/>
        <v>11.943250000000001</v>
      </c>
      <c r="S73" s="4391">
        <f t="shared" si="474"/>
        <v>0</v>
      </c>
      <c r="T73" s="4420">
        <f t="shared" si="475"/>
        <v>35.830999999999996</v>
      </c>
      <c r="U73" s="4411">
        <f>6.241+23.29+6.3</f>
        <v>35.830999999999996</v>
      </c>
      <c r="V73" s="4411"/>
      <c r="W73" s="4420">
        <f t="shared" si="476"/>
        <v>5.65</v>
      </c>
      <c r="X73" s="4411">
        <f>4.25+1.4</f>
        <v>5.65</v>
      </c>
      <c r="Y73" s="4411"/>
      <c r="Z73" s="4420">
        <f t="shared" si="477"/>
        <v>0</v>
      </c>
      <c r="AA73" s="4411"/>
      <c r="AB73" s="4411"/>
      <c r="AC73" s="4420">
        <f t="shared" si="375"/>
        <v>41.480999999999995</v>
      </c>
      <c r="AD73" s="4420">
        <f t="shared" si="376"/>
        <v>41.480999999999995</v>
      </c>
      <c r="AE73" s="4420">
        <f t="shared" si="376"/>
        <v>0</v>
      </c>
      <c r="AF73" s="4371">
        <f t="shared" si="159"/>
        <v>23.886500000000002</v>
      </c>
      <c r="AG73" s="4371">
        <f t="shared" si="160"/>
        <v>23.886500000000002</v>
      </c>
      <c r="AH73" s="4371">
        <f t="shared" si="161"/>
        <v>0</v>
      </c>
      <c r="AI73" s="4444">
        <f t="shared" si="377"/>
        <v>59.780999999999992</v>
      </c>
      <c r="AJ73" s="4444">
        <f t="shared" si="377"/>
        <v>59.780999999999992</v>
      </c>
      <c r="AK73" s="4444">
        <f t="shared" si="377"/>
        <v>0</v>
      </c>
      <c r="AL73" s="4444">
        <f t="shared" si="411"/>
        <v>35.894499999999994</v>
      </c>
      <c r="AM73" s="4444">
        <f t="shared" si="411"/>
        <v>35.894499999999994</v>
      </c>
      <c r="AN73" s="4444">
        <f t="shared" si="411"/>
        <v>0</v>
      </c>
      <c r="AO73" s="4391">
        <f t="shared" si="441"/>
        <v>11.943250000000001</v>
      </c>
      <c r="AP73" s="4391">
        <f t="shared" si="478"/>
        <v>11.943250000000001</v>
      </c>
      <c r="AQ73" s="4391">
        <f t="shared" si="478"/>
        <v>0</v>
      </c>
      <c r="AR73" s="4420">
        <f t="shared" si="479"/>
        <v>27.317</v>
      </c>
      <c r="AS73" s="4411">
        <v>27.317</v>
      </c>
      <c r="AT73" s="4411"/>
      <c r="AU73" s="4420">
        <f t="shared" si="480"/>
        <v>0</v>
      </c>
      <c r="AV73" s="4411"/>
      <c r="AW73" s="4411"/>
      <c r="AX73" s="4420">
        <f t="shared" si="481"/>
        <v>0</v>
      </c>
      <c r="AY73" s="4411"/>
      <c r="AZ73" s="4411"/>
      <c r="BA73" s="4420">
        <f t="shared" si="385"/>
        <v>27.317</v>
      </c>
      <c r="BB73" s="4420">
        <f t="shared" si="386"/>
        <v>27.317</v>
      </c>
      <c r="BC73" s="4420">
        <f t="shared" si="386"/>
        <v>0</v>
      </c>
      <c r="BD73" s="4371">
        <f t="shared" si="174"/>
        <v>35.829750000000004</v>
      </c>
      <c r="BE73" s="4371">
        <f t="shared" si="175"/>
        <v>35.829750000000004</v>
      </c>
      <c r="BF73" s="4371">
        <f t="shared" si="176"/>
        <v>0</v>
      </c>
      <c r="BG73" s="4444">
        <f t="shared" si="387"/>
        <v>87.097999999999985</v>
      </c>
      <c r="BH73" s="4444">
        <f t="shared" si="387"/>
        <v>87.097999999999985</v>
      </c>
      <c r="BI73" s="4444">
        <f t="shared" si="387"/>
        <v>0</v>
      </c>
      <c r="BJ73" s="4444">
        <f t="shared" si="412"/>
        <v>51.268249999999981</v>
      </c>
      <c r="BK73" s="4444">
        <f t="shared" si="412"/>
        <v>51.268249999999981</v>
      </c>
      <c r="BL73" s="4444">
        <f t="shared" si="412"/>
        <v>0</v>
      </c>
      <c r="BM73" s="4391">
        <f t="shared" si="446"/>
        <v>11.943250000000001</v>
      </c>
      <c r="BN73" s="4391">
        <f t="shared" si="482"/>
        <v>11.943250000000001</v>
      </c>
      <c r="BO73" s="4391">
        <f t="shared" si="483"/>
        <v>0</v>
      </c>
      <c r="BP73" s="4420">
        <f t="shared" si="484"/>
        <v>0</v>
      </c>
      <c r="BQ73" s="4411"/>
      <c r="BR73" s="4411"/>
      <c r="BS73" s="4420">
        <f t="shared" si="485"/>
        <v>0</v>
      </c>
      <c r="BT73" s="4411"/>
      <c r="BU73" s="4411"/>
      <c r="BV73" s="4420">
        <f t="shared" si="486"/>
        <v>0</v>
      </c>
      <c r="BW73" s="4411"/>
      <c r="BX73" s="4411"/>
      <c r="BY73" s="4420">
        <f t="shared" si="395"/>
        <v>0</v>
      </c>
      <c r="BZ73" s="4420">
        <f t="shared" si="396"/>
        <v>0</v>
      </c>
      <c r="CA73" s="4420">
        <f t="shared" si="396"/>
        <v>0</v>
      </c>
      <c r="CB73" s="4371">
        <f t="shared" si="112"/>
        <v>47.773000000000003</v>
      </c>
      <c r="CC73" s="4371">
        <v>47.773000000000003</v>
      </c>
      <c r="CD73" s="4371">
        <v>0</v>
      </c>
      <c r="CE73" s="4444">
        <f t="shared" si="410"/>
        <v>87.097999999999985</v>
      </c>
      <c r="CF73" s="4444">
        <f t="shared" si="410"/>
        <v>87.097999999999985</v>
      </c>
      <c r="CG73" s="4444">
        <f t="shared" si="410"/>
        <v>0</v>
      </c>
      <c r="CH73" s="4444">
        <f t="shared" si="398"/>
        <v>39.324999999999982</v>
      </c>
      <c r="CI73" s="4444">
        <f t="shared" si="399"/>
        <v>39.324999999999982</v>
      </c>
      <c r="CJ73" s="4444">
        <f t="shared" si="399"/>
        <v>0</v>
      </c>
      <c r="CK73" s="2774"/>
      <c r="CL73" s="3576">
        <f t="shared" si="89"/>
        <v>47.773000000000003</v>
      </c>
      <c r="CM73" s="2774"/>
    </row>
    <row r="74" spans="1:92" ht="18.75" customHeight="1" x14ac:dyDescent="0.3">
      <c r="A74" s="4412" t="s">
        <v>596</v>
      </c>
      <c r="B74" s="4391">
        <f t="shared" si="430"/>
        <v>7.9250000000000001E-2</v>
      </c>
      <c r="C74" s="4391">
        <f t="shared" si="469"/>
        <v>7.9250000000000001E-2</v>
      </c>
      <c r="D74" s="4391">
        <f t="shared" si="470"/>
        <v>0</v>
      </c>
      <c r="E74" s="4420">
        <f t="shared" si="360"/>
        <v>0</v>
      </c>
      <c r="F74" s="4411"/>
      <c r="G74" s="4411"/>
      <c r="H74" s="4420">
        <f t="shared" si="471"/>
        <v>0</v>
      </c>
      <c r="I74" s="4411"/>
      <c r="J74" s="4411"/>
      <c r="K74" s="4420">
        <f t="shared" si="472"/>
        <v>0</v>
      </c>
      <c r="L74" s="4411"/>
      <c r="M74" s="4411"/>
      <c r="N74" s="4420">
        <f t="shared" si="366"/>
        <v>0</v>
      </c>
      <c r="O74" s="4420">
        <f t="shared" si="367"/>
        <v>0</v>
      </c>
      <c r="P74" s="4420">
        <f t="shared" si="367"/>
        <v>0</v>
      </c>
      <c r="Q74" s="4391">
        <f t="shared" si="435"/>
        <v>7.9250000000000001E-2</v>
      </c>
      <c r="R74" s="4391">
        <f t="shared" si="473"/>
        <v>7.9250000000000001E-2</v>
      </c>
      <c r="S74" s="4391">
        <f t="shared" si="474"/>
        <v>0</v>
      </c>
      <c r="T74" s="4420">
        <f t="shared" si="475"/>
        <v>0</v>
      </c>
      <c r="U74" s="4411"/>
      <c r="V74" s="4411"/>
      <c r="W74" s="4420">
        <f t="shared" si="476"/>
        <v>0</v>
      </c>
      <c r="X74" s="4411"/>
      <c r="Y74" s="4411"/>
      <c r="Z74" s="4420">
        <f t="shared" si="477"/>
        <v>0</v>
      </c>
      <c r="AA74" s="4411"/>
      <c r="AB74" s="4411"/>
      <c r="AC74" s="4420">
        <f t="shared" si="375"/>
        <v>0</v>
      </c>
      <c r="AD74" s="4420">
        <f t="shared" si="376"/>
        <v>0</v>
      </c>
      <c r="AE74" s="4420">
        <f t="shared" si="376"/>
        <v>0</v>
      </c>
      <c r="AF74" s="4371">
        <f t="shared" si="159"/>
        <v>0.1585</v>
      </c>
      <c r="AG74" s="4371">
        <f t="shared" si="160"/>
        <v>0.1585</v>
      </c>
      <c r="AH74" s="4371">
        <f t="shared" si="161"/>
        <v>0</v>
      </c>
      <c r="AI74" s="4444">
        <f t="shared" si="377"/>
        <v>0</v>
      </c>
      <c r="AJ74" s="4444">
        <f t="shared" si="377"/>
        <v>0</v>
      </c>
      <c r="AK74" s="4444">
        <f t="shared" si="377"/>
        <v>0</v>
      </c>
      <c r="AL74" s="4444">
        <f t="shared" si="411"/>
        <v>-0.1585</v>
      </c>
      <c r="AM74" s="4444">
        <f t="shared" si="411"/>
        <v>-0.1585</v>
      </c>
      <c r="AN74" s="4444">
        <f t="shared" si="411"/>
        <v>0</v>
      </c>
      <c r="AO74" s="4391">
        <f t="shared" si="441"/>
        <v>7.9250000000000001E-2</v>
      </c>
      <c r="AP74" s="4391">
        <f t="shared" si="478"/>
        <v>7.9250000000000001E-2</v>
      </c>
      <c r="AQ74" s="4391">
        <f t="shared" si="478"/>
        <v>0</v>
      </c>
      <c r="AR74" s="4420">
        <f t="shared" si="479"/>
        <v>0</v>
      </c>
      <c r="AS74" s="4411"/>
      <c r="AT74" s="4411"/>
      <c r="AU74" s="4420">
        <f t="shared" si="480"/>
        <v>0</v>
      </c>
      <c r="AV74" s="4411"/>
      <c r="AW74" s="4411"/>
      <c r="AX74" s="4420">
        <f t="shared" si="481"/>
        <v>0</v>
      </c>
      <c r="AY74" s="4411"/>
      <c r="AZ74" s="4411"/>
      <c r="BA74" s="4420">
        <f t="shared" si="385"/>
        <v>0</v>
      </c>
      <c r="BB74" s="4420">
        <f t="shared" si="386"/>
        <v>0</v>
      </c>
      <c r="BC74" s="4420">
        <f t="shared" si="386"/>
        <v>0</v>
      </c>
      <c r="BD74" s="4371">
        <f t="shared" si="174"/>
        <v>0.23775000000000002</v>
      </c>
      <c r="BE74" s="4371">
        <f t="shared" si="175"/>
        <v>0.23775000000000002</v>
      </c>
      <c r="BF74" s="4371">
        <f t="shared" si="176"/>
        <v>0</v>
      </c>
      <c r="BG74" s="4444">
        <f t="shared" si="387"/>
        <v>0</v>
      </c>
      <c r="BH74" s="4444">
        <f t="shared" si="387"/>
        <v>0</v>
      </c>
      <c r="BI74" s="4444">
        <f t="shared" si="387"/>
        <v>0</v>
      </c>
      <c r="BJ74" s="4444">
        <f t="shared" si="412"/>
        <v>-0.23775000000000002</v>
      </c>
      <c r="BK74" s="4444">
        <f t="shared" si="412"/>
        <v>-0.23775000000000002</v>
      </c>
      <c r="BL74" s="4444">
        <f t="shared" si="412"/>
        <v>0</v>
      </c>
      <c r="BM74" s="4391">
        <f t="shared" si="446"/>
        <v>7.9250000000000001E-2</v>
      </c>
      <c r="BN74" s="4391">
        <f t="shared" si="482"/>
        <v>7.9250000000000001E-2</v>
      </c>
      <c r="BO74" s="4391">
        <f t="shared" si="483"/>
        <v>0</v>
      </c>
      <c r="BP74" s="4420">
        <f t="shared" si="484"/>
        <v>0</v>
      </c>
      <c r="BQ74" s="4411"/>
      <c r="BR74" s="4411"/>
      <c r="BS74" s="4420">
        <f t="shared" si="485"/>
        <v>0</v>
      </c>
      <c r="BT74" s="4411"/>
      <c r="BU74" s="4411"/>
      <c r="BV74" s="4420">
        <f t="shared" si="486"/>
        <v>0</v>
      </c>
      <c r="BW74" s="4411"/>
      <c r="BX74" s="4411"/>
      <c r="BY74" s="4420">
        <f t="shared" si="395"/>
        <v>0</v>
      </c>
      <c r="BZ74" s="4420">
        <f t="shared" si="396"/>
        <v>0</v>
      </c>
      <c r="CA74" s="4420">
        <f t="shared" si="396"/>
        <v>0</v>
      </c>
      <c r="CB74" s="4371">
        <f t="shared" si="112"/>
        <v>0.317</v>
      </c>
      <c r="CC74" s="4371">
        <v>0.317</v>
      </c>
      <c r="CD74" s="4371">
        <v>0</v>
      </c>
      <c r="CE74" s="4444">
        <f t="shared" si="410"/>
        <v>0</v>
      </c>
      <c r="CF74" s="4444">
        <f t="shared" si="410"/>
        <v>0</v>
      </c>
      <c r="CG74" s="4444">
        <f t="shared" si="410"/>
        <v>0</v>
      </c>
      <c r="CH74" s="4444">
        <f t="shared" si="398"/>
        <v>-0.317</v>
      </c>
      <c r="CI74" s="4444">
        <f t="shared" si="399"/>
        <v>-0.317</v>
      </c>
      <c r="CJ74" s="4444">
        <f t="shared" si="399"/>
        <v>0</v>
      </c>
      <c r="CK74" s="2774"/>
      <c r="CL74" s="3576">
        <f t="shared" si="89"/>
        <v>0.317</v>
      </c>
      <c r="CM74" s="2774"/>
    </row>
    <row r="75" spans="1:92" ht="18.75" customHeight="1" x14ac:dyDescent="0.3">
      <c r="A75" s="4376" t="s">
        <v>529</v>
      </c>
      <c r="B75" s="4377">
        <f t="shared" si="430"/>
        <v>1929.8786969905439</v>
      </c>
      <c r="C75" s="4414">
        <f t="shared" ref="C75:G75" si="487">SUM(C76+C77+C78+C80+C81)</f>
        <v>1929.8786969905439</v>
      </c>
      <c r="D75" s="4414">
        <f t="shared" si="487"/>
        <v>0</v>
      </c>
      <c r="E75" s="4415">
        <f t="shared" si="360"/>
        <v>606.75900000000001</v>
      </c>
      <c r="F75" s="4415">
        <f>SUM(F76+F77+F78+F80+F81)</f>
        <v>606.75900000000001</v>
      </c>
      <c r="G75" s="4415">
        <f t="shared" si="487"/>
        <v>0</v>
      </c>
      <c r="H75" s="4415">
        <f t="shared" ref="H75:H78" si="488">SUM(I75:J75)</f>
        <v>614.16034000000002</v>
      </c>
      <c r="I75" s="4415">
        <f t="shared" ref="I75:J75" si="489">SUM(I76+I77+I78+I80+I81)</f>
        <v>614.16034000000002</v>
      </c>
      <c r="J75" s="4415">
        <f t="shared" si="489"/>
        <v>0</v>
      </c>
      <c r="K75" s="4415">
        <f t="shared" ref="K75:K78" si="490">SUM(L75:M75)</f>
        <v>903.92965000000004</v>
      </c>
      <c r="L75" s="4415">
        <f t="shared" ref="L75:M75" si="491">SUM(L76+L77+L78+L80+L81)</f>
        <v>903.92965000000004</v>
      </c>
      <c r="M75" s="4415">
        <f t="shared" si="491"/>
        <v>0</v>
      </c>
      <c r="N75" s="4415">
        <f t="shared" ref="N75:N93" si="492">SUM(O75:P75)</f>
        <v>2124.84899</v>
      </c>
      <c r="O75" s="4415">
        <f t="shared" ref="O75:P93" si="493">SUM(F75+I75+L75)</f>
        <v>2124.84899</v>
      </c>
      <c r="P75" s="4415">
        <f t="shared" si="493"/>
        <v>0</v>
      </c>
      <c r="Q75" s="4377">
        <f t="shared" si="435"/>
        <v>1929.8786969905439</v>
      </c>
      <c r="R75" s="4414">
        <f t="shared" ref="R75:S75" si="494">SUM(R76+R77+R78+R80+R81)</f>
        <v>1929.8786969905439</v>
      </c>
      <c r="S75" s="4414">
        <f t="shared" si="494"/>
        <v>0</v>
      </c>
      <c r="T75" s="4415">
        <f t="shared" si="475"/>
        <v>764.24659999999994</v>
      </c>
      <c r="U75" s="4415">
        <f t="shared" ref="U75:V75" si="495">SUM(U76+U77+U78+U80+U81)</f>
        <v>764.24659999999994</v>
      </c>
      <c r="V75" s="4415">
        <f t="shared" si="495"/>
        <v>0</v>
      </c>
      <c r="W75" s="4415">
        <f t="shared" ref="W75:W78" si="496">SUM(X75:Y75)</f>
        <v>824.03599999999994</v>
      </c>
      <c r="X75" s="4415">
        <f>SUM(X76+X77+X78+X80+X81)</f>
        <v>824.03599999999994</v>
      </c>
      <c r="Y75" s="4415">
        <f t="shared" ref="Y75" si="497">SUM(Y76+Y77+Y78+Y80+Y81)</f>
        <v>0</v>
      </c>
      <c r="Z75" s="4415">
        <f t="shared" ref="Z75:Z78" si="498">SUM(AA75:AB75)</f>
        <v>707.13733000000002</v>
      </c>
      <c r="AA75" s="4415">
        <f t="shared" ref="AA75:AB75" si="499">SUM(AA76+AA77+AA78+AA80+AA81)</f>
        <v>707.13733000000002</v>
      </c>
      <c r="AB75" s="4415">
        <f t="shared" si="499"/>
        <v>0</v>
      </c>
      <c r="AC75" s="4415">
        <f t="shared" si="375"/>
        <v>2295.41993</v>
      </c>
      <c r="AD75" s="4415">
        <f t="shared" si="376"/>
        <v>2295.41993</v>
      </c>
      <c r="AE75" s="4415">
        <f t="shared" si="376"/>
        <v>0</v>
      </c>
      <c r="AF75" s="4379">
        <f t="shared" si="159"/>
        <v>3859.7573939810877</v>
      </c>
      <c r="AG75" s="4379">
        <f t="shared" si="160"/>
        <v>3859.7573939810877</v>
      </c>
      <c r="AH75" s="4379">
        <f t="shared" si="161"/>
        <v>0</v>
      </c>
      <c r="AI75" s="4441">
        <f t="shared" ref="AI75:AK78" si="500">SUM(AC75+N75)</f>
        <v>4420.2689200000004</v>
      </c>
      <c r="AJ75" s="4441">
        <f t="shared" si="500"/>
        <v>4420.2689200000004</v>
      </c>
      <c r="AK75" s="4441">
        <f t="shared" si="500"/>
        <v>0</v>
      </c>
      <c r="AL75" s="4441">
        <f t="shared" si="411"/>
        <v>560.51152601891272</v>
      </c>
      <c r="AM75" s="4441">
        <f t="shared" si="411"/>
        <v>560.51152601891272</v>
      </c>
      <c r="AN75" s="4441">
        <f t="shared" si="411"/>
        <v>0</v>
      </c>
      <c r="AO75" s="4377">
        <f t="shared" si="441"/>
        <v>1929.8786969905439</v>
      </c>
      <c r="AP75" s="4414">
        <f t="shared" ref="AP75:AQ75" si="501">SUM(AP76+AP77+AP78+AP80+AP81)</f>
        <v>1929.8786969905439</v>
      </c>
      <c r="AQ75" s="4414">
        <f t="shared" si="501"/>
        <v>0</v>
      </c>
      <c r="AR75" s="4415">
        <f t="shared" si="479"/>
        <v>832.17552999999998</v>
      </c>
      <c r="AS75" s="4415">
        <f t="shared" ref="AS75:AT75" si="502">SUM(AS76+AS77+AS78+AS80+AS81)</f>
        <v>832.17552999999998</v>
      </c>
      <c r="AT75" s="4415">
        <f t="shared" si="502"/>
        <v>0</v>
      </c>
      <c r="AU75" s="4415">
        <f t="shared" ref="AU75:AU78" si="503">SUM(AV75:AW75)</f>
        <v>0</v>
      </c>
      <c r="AV75" s="4415">
        <f t="shared" ref="AV75:AW75" si="504">SUM(AV76+AV77+AV78+AV80+AV81)</f>
        <v>0</v>
      </c>
      <c r="AW75" s="4415">
        <f t="shared" si="504"/>
        <v>0</v>
      </c>
      <c r="AX75" s="4415">
        <f t="shared" ref="AX75:AX78" si="505">SUM(AY75:AZ75)</f>
        <v>0</v>
      </c>
      <c r="AY75" s="4415">
        <f t="shared" ref="AY75:AZ75" si="506">SUM(AY76+AY77+AY78+AY80+AY81)</f>
        <v>0</v>
      </c>
      <c r="AZ75" s="4415">
        <f t="shared" si="506"/>
        <v>0</v>
      </c>
      <c r="BA75" s="4415">
        <f t="shared" si="385"/>
        <v>832.17552999999998</v>
      </c>
      <c r="BB75" s="4415">
        <f t="shared" si="386"/>
        <v>832.17552999999998</v>
      </c>
      <c r="BC75" s="4415">
        <f t="shared" si="386"/>
        <v>0</v>
      </c>
      <c r="BD75" s="4379">
        <f t="shared" si="174"/>
        <v>5789.6360909716313</v>
      </c>
      <c r="BE75" s="4379">
        <f t="shared" si="175"/>
        <v>5789.6360909716313</v>
      </c>
      <c r="BF75" s="4379">
        <f t="shared" si="176"/>
        <v>0</v>
      </c>
      <c r="BG75" s="4441">
        <f t="shared" ref="BG75:BI93" si="507">SUM(AI75+BA75)</f>
        <v>5252.4444500000009</v>
      </c>
      <c r="BH75" s="4441">
        <f t="shared" si="507"/>
        <v>5252.4444500000009</v>
      </c>
      <c r="BI75" s="4441">
        <f t="shared" si="507"/>
        <v>0</v>
      </c>
      <c r="BJ75" s="4441">
        <f t="shared" si="412"/>
        <v>-537.19164097163048</v>
      </c>
      <c r="BK75" s="4441">
        <f t="shared" si="412"/>
        <v>-537.19164097163048</v>
      </c>
      <c r="BL75" s="4441">
        <f t="shared" si="412"/>
        <v>0</v>
      </c>
      <c r="BM75" s="4377">
        <f t="shared" si="446"/>
        <v>1929.8786969905439</v>
      </c>
      <c r="BN75" s="4414">
        <f t="shared" ref="BN75:BO75" si="508">SUM(BN76+BN77+BN78+BN80+BN81)</f>
        <v>1929.8786969905439</v>
      </c>
      <c r="BO75" s="4414">
        <f t="shared" si="508"/>
        <v>0</v>
      </c>
      <c r="BP75" s="4415">
        <f t="shared" si="484"/>
        <v>0</v>
      </c>
      <c r="BQ75" s="4415">
        <f t="shared" ref="BQ75:BR75" si="509">SUM(BQ76+BQ77+BQ78+BQ80+BQ81)</f>
        <v>0</v>
      </c>
      <c r="BR75" s="4415">
        <f t="shared" si="509"/>
        <v>0</v>
      </c>
      <c r="BS75" s="4415">
        <f t="shared" ref="BS75:BS78" si="510">SUM(BT75:BU75)</f>
        <v>0</v>
      </c>
      <c r="BT75" s="4415">
        <f t="shared" ref="BT75:BU75" si="511">SUM(BT76+BT77+BT78+BT80+BT81)</f>
        <v>0</v>
      </c>
      <c r="BU75" s="4415">
        <f t="shared" si="511"/>
        <v>0</v>
      </c>
      <c r="BV75" s="4415">
        <f t="shared" ref="BV75:BV78" si="512">SUM(BW75:BX75)</f>
        <v>0</v>
      </c>
      <c r="BW75" s="4415">
        <f t="shared" ref="BW75:BX75" si="513">SUM(BW76+BW77+BW78+BW80+BW81)</f>
        <v>0</v>
      </c>
      <c r="BX75" s="4415">
        <f t="shared" si="513"/>
        <v>0</v>
      </c>
      <c r="BY75" s="4415">
        <f t="shared" si="395"/>
        <v>0</v>
      </c>
      <c r="BZ75" s="4415">
        <f t="shared" si="396"/>
        <v>0</v>
      </c>
      <c r="CA75" s="4415">
        <f t="shared" si="396"/>
        <v>0</v>
      </c>
      <c r="CB75" s="4379">
        <f t="shared" si="112"/>
        <v>7719.5148397220164</v>
      </c>
      <c r="CC75" s="4455">
        <f>SUM(стоки!EK27)</f>
        <v>7719.5148397220164</v>
      </c>
      <c r="CD75" s="4455">
        <f>SUM(стоки!EL27)</f>
        <v>0</v>
      </c>
      <c r="CE75" s="4441">
        <f t="shared" ref="CE75:CG78" si="514">SUM(BY75+BG75)</f>
        <v>5252.4444500000009</v>
      </c>
      <c r="CF75" s="4441">
        <f t="shared" si="514"/>
        <v>5252.4444500000009</v>
      </c>
      <c r="CG75" s="4441">
        <f t="shared" si="514"/>
        <v>0</v>
      </c>
      <c r="CH75" s="4441">
        <f t="shared" ref="CH75:CJ93" si="515">SUM(CE75-CB75)</f>
        <v>-2467.0703897220155</v>
      </c>
      <c r="CI75" s="4441">
        <f t="shared" si="515"/>
        <v>-2467.0703897220155</v>
      </c>
      <c r="CJ75" s="4441">
        <f t="shared" si="515"/>
        <v>0</v>
      </c>
      <c r="CK75" s="2860"/>
      <c r="CL75" s="3576">
        <f t="shared" si="89"/>
        <v>7719.5147879621754</v>
      </c>
      <c r="CM75" s="2860">
        <f t="shared" ref="CM75:CN75" si="516">SUM(CC76:CC78)+CC80+CC81</f>
        <v>7719.5148397220164</v>
      </c>
      <c r="CN75" s="2860">
        <f t="shared" si="516"/>
        <v>0</v>
      </c>
    </row>
    <row r="76" spans="1:92" ht="18.75" customHeight="1" x14ac:dyDescent="0.3">
      <c r="A76" s="4381" t="s">
        <v>3</v>
      </c>
      <c r="B76" s="4385">
        <f t="shared" ref="B76:B78" si="517">SUM(C76:D76)</f>
        <v>328.53707037416905</v>
      </c>
      <c r="C76" s="4385">
        <f t="shared" ref="C76:D78" si="518">SUM(CC76/4)</f>
        <v>328.53707037416905</v>
      </c>
      <c r="D76" s="4385">
        <f t="shared" si="518"/>
        <v>0</v>
      </c>
      <c r="E76" s="4442">
        <f t="shared" si="360"/>
        <v>55.774000000000001</v>
      </c>
      <c r="F76" s="4407">
        <v>55.774000000000001</v>
      </c>
      <c r="G76" s="4407"/>
      <c r="H76" s="4442">
        <f t="shared" si="488"/>
        <v>124.25700000000001</v>
      </c>
      <c r="I76" s="4407">
        <v>124.25700000000001</v>
      </c>
      <c r="J76" s="4407"/>
      <c r="K76" s="4442">
        <f t="shared" si="490"/>
        <v>156.09700000000001</v>
      </c>
      <c r="L76" s="4407">
        <f>145.347+10.75</f>
        <v>156.09700000000001</v>
      </c>
      <c r="M76" s="4407"/>
      <c r="N76" s="4442">
        <f t="shared" si="492"/>
        <v>336.12800000000004</v>
      </c>
      <c r="O76" s="4442">
        <f t="shared" si="493"/>
        <v>336.12800000000004</v>
      </c>
      <c r="P76" s="4442">
        <f t="shared" si="493"/>
        <v>0</v>
      </c>
      <c r="Q76" s="4385">
        <f t="shared" si="435"/>
        <v>328.53707037416905</v>
      </c>
      <c r="R76" s="4385">
        <f t="shared" ref="R76:R78" si="519">SUM(C76)</f>
        <v>328.53707037416905</v>
      </c>
      <c r="S76" s="4385">
        <f t="shared" ref="S76:S78" si="520">SUM(D76)</f>
        <v>0</v>
      </c>
      <c r="T76" s="4442">
        <f t="shared" si="475"/>
        <v>38.808999999999997</v>
      </c>
      <c r="U76" s="4407">
        <f>38.809</f>
        <v>38.808999999999997</v>
      </c>
      <c r="V76" s="4407"/>
      <c r="W76" s="4442">
        <f t="shared" si="496"/>
        <v>142.94</v>
      </c>
      <c r="X76" s="4407">
        <v>142.94</v>
      </c>
      <c r="Y76" s="4407"/>
      <c r="Z76" s="4442">
        <f t="shared" si="498"/>
        <v>35.427</v>
      </c>
      <c r="AA76" s="4407">
        <v>35.427</v>
      </c>
      <c r="AB76" s="4407"/>
      <c r="AC76" s="4442">
        <f t="shared" si="375"/>
        <v>217.17599999999999</v>
      </c>
      <c r="AD76" s="4442">
        <f t="shared" si="376"/>
        <v>217.17599999999999</v>
      </c>
      <c r="AE76" s="4442">
        <f t="shared" si="376"/>
        <v>0</v>
      </c>
      <c r="AF76" s="4384">
        <f t="shared" si="159"/>
        <v>657.0741407483381</v>
      </c>
      <c r="AG76" s="4384">
        <f t="shared" si="160"/>
        <v>657.0741407483381</v>
      </c>
      <c r="AH76" s="4384">
        <f t="shared" si="161"/>
        <v>0</v>
      </c>
      <c r="AI76" s="4443">
        <f t="shared" si="500"/>
        <v>553.30400000000009</v>
      </c>
      <c r="AJ76" s="4443">
        <f t="shared" si="500"/>
        <v>553.30400000000009</v>
      </c>
      <c r="AK76" s="4443">
        <f t="shared" si="500"/>
        <v>0</v>
      </c>
      <c r="AL76" s="4443">
        <f t="shared" si="411"/>
        <v>-103.77014074833801</v>
      </c>
      <c r="AM76" s="4443">
        <f t="shared" si="411"/>
        <v>-103.77014074833801</v>
      </c>
      <c r="AN76" s="4443">
        <f t="shared" si="411"/>
        <v>0</v>
      </c>
      <c r="AO76" s="4385">
        <f t="shared" ref="AO76:AO78" si="521">SUM(AP76:AQ76)</f>
        <v>328.53707037416905</v>
      </c>
      <c r="AP76" s="4385">
        <f t="shared" ref="AP76:AP78" si="522">SUM(CC76-AG76)/2</f>
        <v>328.53707037416905</v>
      </c>
      <c r="AQ76" s="4385">
        <f t="shared" ref="AQ76:AQ78" si="523">SUM(CD76-AH76)/2</f>
        <v>0</v>
      </c>
      <c r="AR76" s="4442">
        <f t="shared" si="479"/>
        <v>229.68899999999999</v>
      </c>
      <c r="AS76" s="4407">
        <v>229.68899999999999</v>
      </c>
      <c r="AT76" s="4407"/>
      <c r="AU76" s="4442">
        <f t="shared" si="503"/>
        <v>0</v>
      </c>
      <c r="AV76" s="4407"/>
      <c r="AW76" s="4407"/>
      <c r="AX76" s="4442">
        <f t="shared" si="505"/>
        <v>0</v>
      </c>
      <c r="AY76" s="4407"/>
      <c r="AZ76" s="4407"/>
      <c r="BA76" s="4442">
        <f t="shared" si="385"/>
        <v>229.68899999999999</v>
      </c>
      <c r="BB76" s="4442">
        <f t="shared" si="386"/>
        <v>229.68899999999999</v>
      </c>
      <c r="BC76" s="4442">
        <f t="shared" si="386"/>
        <v>0</v>
      </c>
      <c r="BD76" s="4384">
        <f t="shared" si="174"/>
        <v>985.61121112250714</v>
      </c>
      <c r="BE76" s="4384">
        <f t="shared" si="175"/>
        <v>985.61121112250714</v>
      </c>
      <c r="BF76" s="4384">
        <f t="shared" si="176"/>
        <v>0</v>
      </c>
      <c r="BG76" s="4443">
        <f t="shared" si="507"/>
        <v>782.99300000000005</v>
      </c>
      <c r="BH76" s="4443">
        <f t="shared" si="507"/>
        <v>782.99300000000005</v>
      </c>
      <c r="BI76" s="4443">
        <f t="shared" si="507"/>
        <v>0</v>
      </c>
      <c r="BJ76" s="4443">
        <f t="shared" si="412"/>
        <v>-202.61821112250709</v>
      </c>
      <c r="BK76" s="4443">
        <f t="shared" si="412"/>
        <v>-202.61821112250709</v>
      </c>
      <c r="BL76" s="4443">
        <f t="shared" si="412"/>
        <v>0</v>
      </c>
      <c r="BM76" s="4385">
        <f t="shared" ref="BM76:BM78" si="524">SUM(BN76:BO76)</f>
        <v>328.53707037416905</v>
      </c>
      <c r="BN76" s="4385">
        <f t="shared" ref="BN76:BN78" si="525">SUM(AP76)</f>
        <v>328.53707037416905</v>
      </c>
      <c r="BO76" s="4385">
        <f t="shared" ref="BO76:BO78" si="526">SUM(AQ76)</f>
        <v>0</v>
      </c>
      <c r="BP76" s="4442">
        <f t="shared" si="484"/>
        <v>0</v>
      </c>
      <c r="BQ76" s="4407"/>
      <c r="BR76" s="4407"/>
      <c r="BS76" s="4442">
        <f t="shared" si="510"/>
        <v>0</v>
      </c>
      <c r="BT76" s="4407"/>
      <c r="BU76" s="4407"/>
      <c r="BV76" s="4442">
        <f t="shared" si="512"/>
        <v>0</v>
      </c>
      <c r="BW76" s="4407"/>
      <c r="BX76" s="4407"/>
      <c r="BY76" s="4442">
        <f t="shared" si="395"/>
        <v>0</v>
      </c>
      <c r="BZ76" s="4442">
        <f t="shared" si="396"/>
        <v>0</v>
      </c>
      <c r="CA76" s="4442">
        <f t="shared" si="396"/>
        <v>0</v>
      </c>
      <c r="CB76" s="4384">
        <f t="shared" si="112"/>
        <v>1314.1482814966762</v>
      </c>
      <c r="CC76" s="4446">
        <f>SUM(стоки!EK28)</f>
        <v>1314.1482814966762</v>
      </c>
      <c r="CD76" s="4446">
        <f>SUM(стоки!EL28)</f>
        <v>0</v>
      </c>
      <c r="CE76" s="4443">
        <f t="shared" si="514"/>
        <v>782.99300000000005</v>
      </c>
      <c r="CF76" s="4443">
        <f t="shared" si="514"/>
        <v>782.99300000000005</v>
      </c>
      <c r="CG76" s="4443">
        <f t="shared" si="514"/>
        <v>0</v>
      </c>
      <c r="CH76" s="4443">
        <f t="shared" si="515"/>
        <v>-531.15528149667614</v>
      </c>
      <c r="CI76" s="4443">
        <f t="shared" si="515"/>
        <v>-531.15528149667614</v>
      </c>
      <c r="CJ76" s="4443">
        <f t="shared" si="515"/>
        <v>0</v>
      </c>
      <c r="CK76" s="2774"/>
      <c r="CL76" s="3576">
        <f t="shared" si="89"/>
        <v>1314.1482814966762</v>
      </c>
      <c r="CM76" s="2774"/>
    </row>
    <row r="77" spans="1:92" ht="18.75" customHeight="1" x14ac:dyDescent="0.3">
      <c r="A77" s="4381" t="s">
        <v>4</v>
      </c>
      <c r="B77" s="4385">
        <f t="shared" si="517"/>
        <v>532.49358901380663</v>
      </c>
      <c r="C77" s="4385">
        <f t="shared" si="518"/>
        <v>532.49358901380663</v>
      </c>
      <c r="D77" s="4385">
        <f t="shared" si="518"/>
        <v>0</v>
      </c>
      <c r="E77" s="4442">
        <f t="shared" si="360"/>
        <v>254.95400000000001</v>
      </c>
      <c r="F77" s="4407">
        <v>254.95400000000001</v>
      </c>
      <c r="G77" s="4407"/>
      <c r="H77" s="4442">
        <f t="shared" si="488"/>
        <v>228.97579999999999</v>
      </c>
      <c r="I77" s="4407">
        <v>228.97579999999999</v>
      </c>
      <c r="J77" s="4407"/>
      <c r="K77" s="4442">
        <f t="shared" si="490"/>
        <v>213.69200000000001</v>
      </c>
      <c r="L77" s="4407">
        <v>213.69200000000001</v>
      </c>
      <c r="M77" s="4407"/>
      <c r="N77" s="4442">
        <f t="shared" si="492"/>
        <v>697.62180000000001</v>
      </c>
      <c r="O77" s="4442">
        <f t="shared" si="493"/>
        <v>697.62180000000001</v>
      </c>
      <c r="P77" s="4442">
        <f t="shared" si="493"/>
        <v>0</v>
      </c>
      <c r="Q77" s="4385">
        <f t="shared" si="435"/>
        <v>532.49358901380663</v>
      </c>
      <c r="R77" s="4385">
        <f t="shared" si="519"/>
        <v>532.49358901380663</v>
      </c>
      <c r="S77" s="4385">
        <f t="shared" si="520"/>
        <v>0</v>
      </c>
      <c r="T77" s="4442">
        <f t="shared" si="475"/>
        <v>0</v>
      </c>
      <c r="U77" s="4407"/>
      <c r="V77" s="4407"/>
      <c r="W77" s="4442">
        <f t="shared" si="496"/>
        <v>208.529</v>
      </c>
      <c r="X77" s="4407">
        <v>208.529</v>
      </c>
      <c r="Y77" s="4407"/>
      <c r="Z77" s="4442">
        <f t="shared" si="498"/>
        <v>226.15549999999999</v>
      </c>
      <c r="AA77" s="4407">
        <v>226.15549999999999</v>
      </c>
      <c r="AB77" s="4407"/>
      <c r="AC77" s="4442">
        <f t="shared" si="375"/>
        <v>434.68449999999996</v>
      </c>
      <c r="AD77" s="4442">
        <f t="shared" si="376"/>
        <v>434.68449999999996</v>
      </c>
      <c r="AE77" s="4442">
        <f t="shared" si="376"/>
        <v>0</v>
      </c>
      <c r="AF77" s="4384">
        <f t="shared" si="159"/>
        <v>1064.9871780276133</v>
      </c>
      <c r="AG77" s="4384">
        <f t="shared" si="160"/>
        <v>1064.9871780276133</v>
      </c>
      <c r="AH77" s="4384">
        <f t="shared" si="161"/>
        <v>0</v>
      </c>
      <c r="AI77" s="4443">
        <f t="shared" si="500"/>
        <v>1132.3063</v>
      </c>
      <c r="AJ77" s="4443">
        <f t="shared" si="500"/>
        <v>1132.3063</v>
      </c>
      <c r="AK77" s="4443">
        <f t="shared" si="500"/>
        <v>0</v>
      </c>
      <c r="AL77" s="4443">
        <f t="shared" si="411"/>
        <v>67.319121972386711</v>
      </c>
      <c r="AM77" s="4443">
        <f t="shared" si="411"/>
        <v>67.319121972386711</v>
      </c>
      <c r="AN77" s="4443">
        <f t="shared" si="411"/>
        <v>0</v>
      </c>
      <c r="AO77" s="4385">
        <f t="shared" si="521"/>
        <v>532.49358901380663</v>
      </c>
      <c r="AP77" s="4385">
        <f t="shared" si="522"/>
        <v>532.49358901380663</v>
      </c>
      <c r="AQ77" s="4385">
        <f t="shared" si="523"/>
        <v>0</v>
      </c>
      <c r="AR77" s="4442">
        <f t="shared" si="479"/>
        <v>173.33099999999999</v>
      </c>
      <c r="AS77" s="4407">
        <v>173.33099999999999</v>
      </c>
      <c r="AT77" s="4407"/>
      <c r="AU77" s="4442">
        <f t="shared" si="503"/>
        <v>0</v>
      </c>
      <c r="AV77" s="4407"/>
      <c r="AW77" s="4407"/>
      <c r="AX77" s="4442">
        <f t="shared" si="505"/>
        <v>0</v>
      </c>
      <c r="AY77" s="4407"/>
      <c r="AZ77" s="4407"/>
      <c r="BA77" s="4442">
        <f t="shared" si="385"/>
        <v>173.33099999999999</v>
      </c>
      <c r="BB77" s="4442">
        <f t="shared" si="386"/>
        <v>173.33099999999999</v>
      </c>
      <c r="BC77" s="4442">
        <f t="shared" si="386"/>
        <v>0</v>
      </c>
      <c r="BD77" s="4384">
        <f t="shared" si="174"/>
        <v>1597.4807670414198</v>
      </c>
      <c r="BE77" s="4384">
        <f t="shared" si="175"/>
        <v>1597.4807670414198</v>
      </c>
      <c r="BF77" s="4384">
        <f t="shared" si="176"/>
        <v>0</v>
      </c>
      <c r="BG77" s="4443">
        <f t="shared" si="507"/>
        <v>1305.6372999999999</v>
      </c>
      <c r="BH77" s="4443">
        <f t="shared" si="507"/>
        <v>1305.6372999999999</v>
      </c>
      <c r="BI77" s="4443">
        <f t="shared" si="507"/>
        <v>0</v>
      </c>
      <c r="BJ77" s="4443">
        <f t="shared" si="412"/>
        <v>-291.8434670414199</v>
      </c>
      <c r="BK77" s="4443">
        <f t="shared" si="412"/>
        <v>-291.8434670414199</v>
      </c>
      <c r="BL77" s="4443">
        <f t="shared" si="412"/>
        <v>0</v>
      </c>
      <c r="BM77" s="4385">
        <f t="shared" si="524"/>
        <v>532.49358901380663</v>
      </c>
      <c r="BN77" s="4385">
        <f t="shared" si="525"/>
        <v>532.49358901380663</v>
      </c>
      <c r="BO77" s="4385">
        <f t="shared" si="526"/>
        <v>0</v>
      </c>
      <c r="BP77" s="4442">
        <f t="shared" si="484"/>
        <v>0</v>
      </c>
      <c r="BQ77" s="4407"/>
      <c r="BR77" s="4407"/>
      <c r="BS77" s="4442">
        <f t="shared" si="510"/>
        <v>0</v>
      </c>
      <c r="BT77" s="4407"/>
      <c r="BU77" s="4407"/>
      <c r="BV77" s="4442">
        <f t="shared" si="512"/>
        <v>0</v>
      </c>
      <c r="BW77" s="4407"/>
      <c r="BX77" s="4407"/>
      <c r="BY77" s="4442">
        <f t="shared" si="395"/>
        <v>0</v>
      </c>
      <c r="BZ77" s="4442">
        <f t="shared" si="396"/>
        <v>0</v>
      </c>
      <c r="CA77" s="4442">
        <f t="shared" si="396"/>
        <v>0</v>
      </c>
      <c r="CB77" s="4384">
        <f t="shared" si="112"/>
        <v>2129.9743560552265</v>
      </c>
      <c r="CC77" s="4446">
        <f>SUM(стоки!EK29)</f>
        <v>2129.9743560552265</v>
      </c>
      <c r="CD77" s="4446">
        <f>SUM(стоки!EL29)</f>
        <v>0</v>
      </c>
      <c r="CE77" s="4443">
        <f t="shared" si="514"/>
        <v>1305.6372999999999</v>
      </c>
      <c r="CF77" s="4443">
        <f t="shared" si="514"/>
        <v>1305.6372999999999</v>
      </c>
      <c r="CG77" s="4443">
        <f t="shared" si="514"/>
        <v>0</v>
      </c>
      <c r="CH77" s="4443">
        <f t="shared" si="515"/>
        <v>-824.33705605522664</v>
      </c>
      <c r="CI77" s="4443">
        <f t="shared" si="515"/>
        <v>-824.33705605522664</v>
      </c>
      <c r="CJ77" s="4443">
        <f t="shared" si="515"/>
        <v>0</v>
      </c>
      <c r="CK77" s="2774"/>
      <c r="CL77" s="3576">
        <f t="shared" si="89"/>
        <v>2129.9743560552265</v>
      </c>
      <c r="CM77" s="2774"/>
    </row>
    <row r="78" spans="1:92" ht="18.75" customHeight="1" x14ac:dyDescent="0.3">
      <c r="A78" s="4381" t="s">
        <v>113</v>
      </c>
      <c r="B78" s="4385">
        <f t="shared" si="517"/>
        <v>163.66023861781451</v>
      </c>
      <c r="C78" s="4385">
        <f t="shared" si="518"/>
        <v>163.66023861781451</v>
      </c>
      <c r="D78" s="4385">
        <f t="shared" si="518"/>
        <v>0</v>
      </c>
      <c r="E78" s="4442">
        <f t="shared" si="360"/>
        <v>76.327999999999989</v>
      </c>
      <c r="F78" s="4407">
        <f>0.493+75.835</f>
        <v>76.327999999999989</v>
      </c>
      <c r="G78" s="4407"/>
      <c r="H78" s="4442">
        <f t="shared" si="488"/>
        <v>67.359539999999996</v>
      </c>
      <c r="I78" s="4407">
        <f>0.42074+66.9388</f>
        <v>67.359539999999996</v>
      </c>
      <c r="J78" s="4407"/>
      <c r="K78" s="4442">
        <f t="shared" si="490"/>
        <v>66.140460000000004</v>
      </c>
      <c r="L78" s="4407">
        <f>0.41266+65.7278</f>
        <v>66.140460000000004</v>
      </c>
      <c r="M78" s="4407"/>
      <c r="N78" s="4442">
        <f t="shared" si="492"/>
        <v>209.82799999999997</v>
      </c>
      <c r="O78" s="4442">
        <f t="shared" si="493"/>
        <v>209.82799999999997</v>
      </c>
      <c r="P78" s="4442">
        <f t="shared" si="493"/>
        <v>0</v>
      </c>
      <c r="Q78" s="4385">
        <f t="shared" si="435"/>
        <v>163.66023861781451</v>
      </c>
      <c r="R78" s="4385">
        <f t="shared" si="519"/>
        <v>163.66023861781451</v>
      </c>
      <c r="S78" s="4385">
        <f t="shared" si="520"/>
        <v>0</v>
      </c>
      <c r="T78" s="4442">
        <f t="shared" si="475"/>
        <v>0</v>
      </c>
      <c r="U78" s="4407"/>
      <c r="V78" s="4407"/>
      <c r="W78" s="4442">
        <f t="shared" si="496"/>
        <v>61.067</v>
      </c>
      <c r="X78" s="4407">
        <f>0.379+60.688</f>
        <v>61.067</v>
      </c>
      <c r="Y78" s="4407"/>
      <c r="Z78" s="4442">
        <f t="shared" si="498"/>
        <v>69.678889999999996</v>
      </c>
      <c r="AA78" s="4407">
        <f>0.42345+69.25544</f>
        <v>69.678889999999996</v>
      </c>
      <c r="AB78" s="4407"/>
      <c r="AC78" s="4442">
        <f t="shared" si="375"/>
        <v>130.74589</v>
      </c>
      <c r="AD78" s="4442">
        <f t="shared" si="376"/>
        <v>130.74589</v>
      </c>
      <c r="AE78" s="4442">
        <f t="shared" si="376"/>
        <v>0</v>
      </c>
      <c r="AF78" s="4384">
        <f t="shared" si="159"/>
        <v>327.32047723562903</v>
      </c>
      <c r="AG78" s="4384">
        <f t="shared" si="160"/>
        <v>327.32047723562903</v>
      </c>
      <c r="AH78" s="4384">
        <f t="shared" si="161"/>
        <v>0</v>
      </c>
      <c r="AI78" s="4443">
        <f t="shared" si="500"/>
        <v>340.57389000000001</v>
      </c>
      <c r="AJ78" s="4443">
        <f t="shared" si="500"/>
        <v>340.57389000000001</v>
      </c>
      <c r="AK78" s="4443">
        <f t="shared" si="500"/>
        <v>0</v>
      </c>
      <c r="AL78" s="4443">
        <f t="shared" si="411"/>
        <v>13.253412764370978</v>
      </c>
      <c r="AM78" s="4443">
        <f t="shared" si="411"/>
        <v>13.253412764370978</v>
      </c>
      <c r="AN78" s="4443">
        <f t="shared" si="411"/>
        <v>0</v>
      </c>
      <c r="AO78" s="4385">
        <f t="shared" si="521"/>
        <v>163.66023861781451</v>
      </c>
      <c r="AP78" s="4385">
        <f t="shared" si="522"/>
        <v>163.66023861781451</v>
      </c>
      <c r="AQ78" s="4385">
        <f t="shared" si="523"/>
        <v>0</v>
      </c>
      <c r="AR78" s="4442">
        <f t="shared" si="479"/>
        <v>48.747</v>
      </c>
      <c r="AS78" s="4407">
        <v>48.747</v>
      </c>
      <c r="AT78" s="4407"/>
      <c r="AU78" s="4442">
        <f t="shared" si="503"/>
        <v>0</v>
      </c>
      <c r="AV78" s="4407"/>
      <c r="AW78" s="4407"/>
      <c r="AX78" s="4442">
        <f t="shared" si="505"/>
        <v>0</v>
      </c>
      <c r="AY78" s="4407"/>
      <c r="AZ78" s="4407"/>
      <c r="BA78" s="4442">
        <f t="shared" si="385"/>
        <v>48.747</v>
      </c>
      <c r="BB78" s="4442">
        <f t="shared" si="386"/>
        <v>48.747</v>
      </c>
      <c r="BC78" s="4442">
        <f t="shared" si="386"/>
        <v>0</v>
      </c>
      <c r="BD78" s="4384">
        <f t="shared" si="174"/>
        <v>490.98071585344354</v>
      </c>
      <c r="BE78" s="4384">
        <f t="shared" si="175"/>
        <v>490.98071585344354</v>
      </c>
      <c r="BF78" s="4384">
        <f t="shared" si="176"/>
        <v>0</v>
      </c>
      <c r="BG78" s="4443">
        <f t="shared" si="507"/>
        <v>389.32089000000002</v>
      </c>
      <c r="BH78" s="4443">
        <f t="shared" si="507"/>
        <v>389.32089000000002</v>
      </c>
      <c r="BI78" s="4443">
        <f t="shared" si="507"/>
        <v>0</v>
      </c>
      <c r="BJ78" s="4443">
        <f t="shared" si="412"/>
        <v>-101.65982585344352</v>
      </c>
      <c r="BK78" s="4443">
        <f t="shared" si="412"/>
        <v>-101.65982585344352</v>
      </c>
      <c r="BL78" s="4443">
        <f t="shared" si="412"/>
        <v>0</v>
      </c>
      <c r="BM78" s="4385">
        <f t="shared" si="524"/>
        <v>163.66023861781451</v>
      </c>
      <c r="BN78" s="4385">
        <f t="shared" si="525"/>
        <v>163.66023861781451</v>
      </c>
      <c r="BO78" s="4385">
        <f t="shared" si="526"/>
        <v>0</v>
      </c>
      <c r="BP78" s="4442">
        <f t="shared" si="484"/>
        <v>0</v>
      </c>
      <c r="BQ78" s="4407"/>
      <c r="BR78" s="4407"/>
      <c r="BS78" s="4442">
        <f t="shared" si="510"/>
        <v>0</v>
      </c>
      <c r="BT78" s="4407"/>
      <c r="BU78" s="4407"/>
      <c r="BV78" s="4442">
        <f t="shared" si="512"/>
        <v>0</v>
      </c>
      <c r="BW78" s="4407"/>
      <c r="BX78" s="4407"/>
      <c r="BY78" s="4442">
        <f t="shared" si="395"/>
        <v>0</v>
      </c>
      <c r="BZ78" s="4442">
        <f t="shared" si="396"/>
        <v>0</v>
      </c>
      <c r="CA78" s="4442">
        <f t="shared" si="396"/>
        <v>0</v>
      </c>
      <c r="CB78" s="4384">
        <f t="shared" si="112"/>
        <v>654.64095447125806</v>
      </c>
      <c r="CC78" s="4446">
        <f>SUM(стоки!EK30)</f>
        <v>654.64095447125806</v>
      </c>
      <c r="CD78" s="4446">
        <f>SUM(стоки!EL30)</f>
        <v>0</v>
      </c>
      <c r="CE78" s="4443">
        <f t="shared" si="514"/>
        <v>389.32089000000002</v>
      </c>
      <c r="CF78" s="4443">
        <f t="shared" si="514"/>
        <v>389.32089000000002</v>
      </c>
      <c r="CG78" s="4443">
        <f t="shared" si="514"/>
        <v>0</v>
      </c>
      <c r="CH78" s="4443">
        <f t="shared" si="515"/>
        <v>-265.32006447125804</v>
      </c>
      <c r="CI78" s="4443">
        <f t="shared" si="515"/>
        <v>-265.32006447125804</v>
      </c>
      <c r="CJ78" s="4443">
        <f t="shared" si="515"/>
        <v>0</v>
      </c>
      <c r="CK78" s="2774"/>
      <c r="CL78" s="3576">
        <f t="shared" si="89"/>
        <v>654.64095447125806</v>
      </c>
      <c r="CM78" s="2774"/>
    </row>
    <row r="79" spans="1:92" ht="18.75" customHeight="1" x14ac:dyDescent="0.3">
      <c r="A79" s="4386" t="str">
        <f>A48</f>
        <v>то же в %</v>
      </c>
      <c r="B79" s="4409">
        <f t="shared" ref="B79:D79" si="527">SUM(B78/B77)</f>
        <v>0.30734687138847616</v>
      </c>
      <c r="C79" s="4409">
        <f t="shared" si="527"/>
        <v>0.30734687138847616</v>
      </c>
      <c r="D79" s="4409" t="e">
        <f t="shared" si="527"/>
        <v>#DIV/0!</v>
      </c>
      <c r="E79" s="4409">
        <f>SUM(E78/E77)</f>
        <v>0.29937949590906587</v>
      </c>
      <c r="F79" s="4409">
        <f t="shared" ref="F79:G79" si="528">SUM(F78/F77)</f>
        <v>0.29937949590906587</v>
      </c>
      <c r="G79" s="4409" t="e">
        <f t="shared" si="528"/>
        <v>#DIV/0!</v>
      </c>
      <c r="H79" s="4409">
        <f>SUM(H78/H77)</f>
        <v>0.29417755064072271</v>
      </c>
      <c r="I79" s="4409">
        <f t="shared" ref="I79:J79" si="529">SUM(I78/I77)</f>
        <v>0.29417755064072271</v>
      </c>
      <c r="J79" s="4409" t="e">
        <f t="shared" si="529"/>
        <v>#DIV/0!</v>
      </c>
      <c r="K79" s="4409">
        <f>SUM(K78/K77)</f>
        <v>0.30951303745577746</v>
      </c>
      <c r="L79" s="4409">
        <f t="shared" ref="L79:M79" si="530">SUM(L78/L77)</f>
        <v>0.30951303745577746</v>
      </c>
      <c r="M79" s="4409" t="e">
        <f t="shared" si="530"/>
        <v>#DIV/0!</v>
      </c>
      <c r="N79" s="4450" t="e">
        <f t="shared" si="492"/>
        <v>#DIV/0!</v>
      </c>
      <c r="O79" s="4450">
        <f t="shared" si="493"/>
        <v>0.9030700840055661</v>
      </c>
      <c r="P79" s="4450" t="e">
        <f t="shared" si="493"/>
        <v>#DIV/0!</v>
      </c>
      <c r="Q79" s="4409">
        <f t="shared" ref="Q79:S79" si="531">SUM(Q78/Q77)</f>
        <v>0.30734687138847616</v>
      </c>
      <c r="R79" s="4409">
        <f t="shared" si="531"/>
        <v>0.30734687138847616</v>
      </c>
      <c r="S79" s="4409" t="e">
        <f t="shared" si="531"/>
        <v>#DIV/0!</v>
      </c>
      <c r="T79" s="4409" t="e">
        <f>SUM(T78/T77)</f>
        <v>#DIV/0!</v>
      </c>
      <c r="U79" s="4409" t="e">
        <f t="shared" ref="U79:V79" si="532">SUM(U78/U77)</f>
        <v>#DIV/0!</v>
      </c>
      <c r="V79" s="4409" t="e">
        <f t="shared" si="532"/>
        <v>#DIV/0!</v>
      </c>
      <c r="W79" s="4409">
        <f>SUM(W78/W77)</f>
        <v>0.29284655851224528</v>
      </c>
      <c r="X79" s="4409">
        <f t="shared" ref="X79:Y79" si="533">SUM(X78/X77)</f>
        <v>0.29284655851224528</v>
      </c>
      <c r="Y79" s="4409" t="e">
        <f t="shared" si="533"/>
        <v>#DIV/0!</v>
      </c>
      <c r="Z79" s="4409">
        <f>SUM(Z78/Z77)</f>
        <v>0.3081016822496026</v>
      </c>
      <c r="AA79" s="4409">
        <f t="shared" ref="AA79:AB79" si="534">SUM(AA78/AA77)</f>
        <v>0.3081016822496026</v>
      </c>
      <c r="AB79" s="4409" t="e">
        <f t="shared" si="534"/>
        <v>#DIV/0!</v>
      </c>
      <c r="AC79" s="4409" t="e">
        <f t="shared" si="375"/>
        <v>#DIV/0!</v>
      </c>
      <c r="AD79" s="4409" t="e">
        <f t="shared" si="376"/>
        <v>#DIV/0!</v>
      </c>
      <c r="AE79" s="4409" t="e">
        <f t="shared" si="376"/>
        <v>#DIV/0!</v>
      </c>
      <c r="AF79" s="4410">
        <f t="shared" ref="AF79:AK79" si="535">SUM(AF78/AF77)</f>
        <v>0.30734687138847616</v>
      </c>
      <c r="AG79" s="4410">
        <f t="shared" si="535"/>
        <v>0.30734687138847616</v>
      </c>
      <c r="AH79" s="4410" t="e">
        <f t="shared" si="535"/>
        <v>#DIV/0!</v>
      </c>
      <c r="AI79" s="4410">
        <f t="shared" si="535"/>
        <v>0.3007789411751926</v>
      </c>
      <c r="AJ79" s="4410">
        <f t="shared" si="535"/>
        <v>0.3007789411751926</v>
      </c>
      <c r="AK79" s="4410" t="e">
        <f t="shared" si="535"/>
        <v>#DIV/0!</v>
      </c>
      <c r="AL79" s="4444">
        <f t="shared" ref="AL79:AN97" si="536">SUM(AI79-AF79)</f>
        <v>-6.5679302132835571E-3</v>
      </c>
      <c r="AM79" s="4444">
        <f t="shared" si="536"/>
        <v>-6.5679302132835571E-3</v>
      </c>
      <c r="AN79" s="4444" t="e">
        <f t="shared" si="536"/>
        <v>#DIV/0!</v>
      </c>
      <c r="AO79" s="4409">
        <f t="shared" ref="AO79:AQ79" si="537">SUM(AO78/AO77)</f>
        <v>0.30734687138847616</v>
      </c>
      <c r="AP79" s="4409">
        <f t="shared" si="537"/>
        <v>0.30734687138847616</v>
      </c>
      <c r="AQ79" s="4409" t="e">
        <f t="shared" si="537"/>
        <v>#DIV/0!</v>
      </c>
      <c r="AR79" s="4409">
        <f>SUM(AR78/AR77)</f>
        <v>0.28123647818336017</v>
      </c>
      <c r="AS79" s="4409">
        <f t="shared" ref="AS79:AT79" si="538">SUM(AS78/AS77)</f>
        <v>0.28123647818336017</v>
      </c>
      <c r="AT79" s="4409" t="e">
        <f t="shared" si="538"/>
        <v>#DIV/0!</v>
      </c>
      <c r="AU79" s="4409" t="e">
        <f>SUM(AU78/AU77)</f>
        <v>#DIV/0!</v>
      </c>
      <c r="AV79" s="4409" t="e">
        <f t="shared" ref="AV79:AW79" si="539">SUM(AV78/AV77)</f>
        <v>#DIV/0!</v>
      </c>
      <c r="AW79" s="4409" t="e">
        <f t="shared" si="539"/>
        <v>#DIV/0!</v>
      </c>
      <c r="AX79" s="4409" t="e">
        <f>SUM(AX78/AX77)</f>
        <v>#DIV/0!</v>
      </c>
      <c r="AY79" s="4409" t="e">
        <f t="shared" ref="AY79:AZ79" si="540">SUM(AY78/AY77)</f>
        <v>#DIV/0!</v>
      </c>
      <c r="AZ79" s="4409" t="e">
        <f t="shared" si="540"/>
        <v>#DIV/0!</v>
      </c>
      <c r="BA79" s="4450" t="e">
        <f t="shared" si="385"/>
        <v>#DIV/0!</v>
      </c>
      <c r="BB79" s="4450" t="e">
        <f t="shared" si="386"/>
        <v>#DIV/0!</v>
      </c>
      <c r="BC79" s="4450" t="e">
        <f t="shared" si="386"/>
        <v>#DIV/0!</v>
      </c>
      <c r="BD79" s="4410">
        <f t="shared" ref="BD79:BI79" si="541">SUM(BD78/BD77)</f>
        <v>0.30734687138847622</v>
      </c>
      <c r="BE79" s="4410">
        <f t="shared" si="541"/>
        <v>0.30734687138847622</v>
      </c>
      <c r="BF79" s="4410" t="e">
        <f t="shared" si="541"/>
        <v>#DIV/0!</v>
      </c>
      <c r="BG79" s="4410">
        <f t="shared" si="541"/>
        <v>0.29818456473325328</v>
      </c>
      <c r="BH79" s="4410">
        <f t="shared" si="541"/>
        <v>0.29818456473325328</v>
      </c>
      <c r="BI79" s="4410" t="e">
        <f t="shared" si="541"/>
        <v>#DIV/0!</v>
      </c>
      <c r="BJ79" s="4444">
        <f t="shared" ref="BJ79:BL97" si="542">SUM(BG79-BD79)</f>
        <v>-9.1623066552229404E-3</v>
      </c>
      <c r="BK79" s="4444">
        <f t="shared" si="542"/>
        <v>-9.1623066552229404E-3</v>
      </c>
      <c r="BL79" s="4444" t="e">
        <f t="shared" si="542"/>
        <v>#DIV/0!</v>
      </c>
      <c r="BM79" s="4409">
        <f t="shared" ref="BM79:BO79" si="543">SUM(BM78/BM77)</f>
        <v>0.30734687138847616</v>
      </c>
      <c r="BN79" s="4409">
        <f t="shared" si="543"/>
        <v>0.30734687138847616</v>
      </c>
      <c r="BO79" s="4409" t="e">
        <f t="shared" si="543"/>
        <v>#DIV/0!</v>
      </c>
      <c r="BP79" s="4409" t="e">
        <f>SUM(BP78/BP77)</f>
        <v>#DIV/0!</v>
      </c>
      <c r="BQ79" s="4409" t="e">
        <f>SUM(BQ78/BQ77)</f>
        <v>#DIV/0!</v>
      </c>
      <c r="BR79" s="4409" t="e">
        <f t="shared" ref="BR79" si="544">SUM(BR78/BR77)</f>
        <v>#DIV/0!</v>
      </c>
      <c r="BS79" s="4409" t="e">
        <f>SUM(BS78/BS77)</f>
        <v>#DIV/0!</v>
      </c>
      <c r="BT79" s="4409" t="e">
        <f t="shared" ref="BT79:BU79" si="545">SUM(BT78/BT77)</f>
        <v>#DIV/0!</v>
      </c>
      <c r="BU79" s="4409" t="e">
        <f t="shared" si="545"/>
        <v>#DIV/0!</v>
      </c>
      <c r="BV79" s="4409" t="e">
        <f>SUM(BV78/BV77)</f>
        <v>#DIV/0!</v>
      </c>
      <c r="BW79" s="4409" t="e">
        <f t="shared" ref="BW79:BX79" si="546">SUM(BW78/BW77)</f>
        <v>#DIV/0!</v>
      </c>
      <c r="BX79" s="4409" t="e">
        <f t="shared" si="546"/>
        <v>#DIV/0!</v>
      </c>
      <c r="BY79" s="4409" t="e">
        <f t="shared" si="395"/>
        <v>#DIV/0!</v>
      </c>
      <c r="BZ79" s="4409" t="e">
        <f t="shared" si="396"/>
        <v>#DIV/0!</v>
      </c>
      <c r="CA79" s="4409" t="e">
        <f t="shared" si="396"/>
        <v>#DIV/0!</v>
      </c>
      <c r="CB79" s="4410">
        <f t="shared" ref="CB79:CG79" si="547">SUM(CB78/CB77)</f>
        <v>0.30734687138847616</v>
      </c>
      <c r="CC79" s="4410">
        <f t="shared" si="547"/>
        <v>0.30734687138847616</v>
      </c>
      <c r="CD79" s="4410" t="e">
        <f t="shared" si="547"/>
        <v>#DIV/0!</v>
      </c>
      <c r="CE79" s="4410">
        <f t="shared" si="547"/>
        <v>0.29818456473325328</v>
      </c>
      <c r="CF79" s="4410">
        <f t="shared" si="547"/>
        <v>0.29818456473325328</v>
      </c>
      <c r="CG79" s="4410" t="e">
        <f t="shared" si="547"/>
        <v>#DIV/0!</v>
      </c>
      <c r="CH79" s="4444">
        <f t="shared" si="515"/>
        <v>-9.1623066552228849E-3</v>
      </c>
      <c r="CI79" s="4443">
        <f t="shared" si="515"/>
        <v>-9.1623066552228849E-3</v>
      </c>
      <c r="CJ79" s="4443" t="e">
        <f t="shared" si="515"/>
        <v>#DIV/0!</v>
      </c>
      <c r="CK79" s="2774"/>
      <c r="CL79" s="3576">
        <f t="shared" si="89"/>
        <v>1.2293874855539046</v>
      </c>
      <c r="CM79" s="2774"/>
    </row>
    <row r="80" spans="1:92" ht="18.75" customHeight="1" x14ac:dyDescent="0.3">
      <c r="A80" s="4381" t="s">
        <v>2</v>
      </c>
      <c r="B80" s="4385">
        <f t="shared" ref="B80:B81" si="548">SUM(C80:D80)</f>
        <v>91.948949484753769</v>
      </c>
      <c r="C80" s="4385">
        <f t="shared" ref="C80:D80" si="549">SUM(CC80/4)</f>
        <v>91.948949484753769</v>
      </c>
      <c r="D80" s="4385">
        <f t="shared" si="549"/>
        <v>0</v>
      </c>
      <c r="E80" s="4442">
        <f t="shared" si="360"/>
        <v>29.024000000000001</v>
      </c>
      <c r="F80" s="4407">
        <v>29.024000000000001</v>
      </c>
      <c r="G80" s="4407"/>
      <c r="H80" s="4442">
        <f t="shared" ref="H80:H99" si="550">SUM(I80:J80)</f>
        <v>29.024000000000001</v>
      </c>
      <c r="I80" s="4407">
        <v>29.024000000000001</v>
      </c>
      <c r="J80" s="4407"/>
      <c r="K80" s="4442">
        <f t="shared" ref="K80:K99" si="551">SUM(L80:M80)</f>
        <v>29.024000000000001</v>
      </c>
      <c r="L80" s="4407">
        <v>29.024000000000001</v>
      </c>
      <c r="M80" s="4407"/>
      <c r="N80" s="4442">
        <f t="shared" si="492"/>
        <v>87.072000000000003</v>
      </c>
      <c r="O80" s="4442">
        <f t="shared" si="493"/>
        <v>87.072000000000003</v>
      </c>
      <c r="P80" s="4442">
        <f t="shared" si="493"/>
        <v>0</v>
      </c>
      <c r="Q80" s="4385">
        <f t="shared" ref="Q80:Q81" si="552">SUM(R80:S80)</f>
        <v>91.948949484753769</v>
      </c>
      <c r="R80" s="4385">
        <f t="shared" ref="R80" si="553">SUM(C80)</f>
        <v>91.948949484753769</v>
      </c>
      <c r="S80" s="4385">
        <f t="shared" ref="S80" si="554">SUM(D80)</f>
        <v>0</v>
      </c>
      <c r="T80" s="4442">
        <f t="shared" ref="T80" si="555">SUM(U80:V80)</f>
        <v>231.85599999999999</v>
      </c>
      <c r="U80" s="4407">
        <v>231.85599999999999</v>
      </c>
      <c r="V80" s="4407"/>
      <c r="W80" s="4442">
        <f t="shared" ref="W80" si="556">SUM(X80:Y80)</f>
        <v>223.523</v>
      </c>
      <c r="X80" s="4407">
        <v>223.523</v>
      </c>
      <c r="Y80" s="4407"/>
      <c r="Z80" s="4442">
        <f t="shared" ref="Z80" si="557">SUM(AA80:AB80)</f>
        <v>223.523</v>
      </c>
      <c r="AA80" s="4407">
        <v>223.523</v>
      </c>
      <c r="AB80" s="4407"/>
      <c r="AC80" s="4442">
        <f t="shared" si="375"/>
        <v>678.90200000000004</v>
      </c>
      <c r="AD80" s="4442">
        <f t="shared" si="376"/>
        <v>678.90200000000004</v>
      </c>
      <c r="AE80" s="4442">
        <f t="shared" si="376"/>
        <v>0</v>
      </c>
      <c r="AF80" s="4384">
        <f t="shared" si="159"/>
        <v>183.89789896950754</v>
      </c>
      <c r="AG80" s="4384">
        <f t="shared" si="160"/>
        <v>183.89789896950754</v>
      </c>
      <c r="AH80" s="4384">
        <f t="shared" si="161"/>
        <v>0</v>
      </c>
      <c r="AI80" s="4443">
        <f t="shared" ref="AI80:AK93" si="558">SUM(AC80+N80)</f>
        <v>765.97400000000005</v>
      </c>
      <c r="AJ80" s="4443">
        <f t="shared" si="558"/>
        <v>765.97400000000005</v>
      </c>
      <c r="AK80" s="4443">
        <f t="shared" si="558"/>
        <v>0</v>
      </c>
      <c r="AL80" s="4443">
        <f t="shared" si="536"/>
        <v>582.07610103049251</v>
      </c>
      <c r="AM80" s="4443">
        <f t="shared" si="536"/>
        <v>582.07610103049251</v>
      </c>
      <c r="AN80" s="4443">
        <f t="shared" si="536"/>
        <v>0</v>
      </c>
      <c r="AO80" s="4385">
        <f t="shared" ref="AO80:AO81" si="559">SUM(AP80:AQ80)</f>
        <v>91.948949484753769</v>
      </c>
      <c r="AP80" s="4385">
        <f t="shared" ref="AP80:AQ80" si="560">SUM(CC80-AG80)/2</f>
        <v>91.948949484753769</v>
      </c>
      <c r="AQ80" s="4385">
        <f t="shared" si="560"/>
        <v>0</v>
      </c>
      <c r="AR80" s="4442">
        <f t="shared" ref="AR80" si="561">SUM(AS80:AT80)</f>
        <v>223.523</v>
      </c>
      <c r="AS80" s="4407">
        <v>223.523</v>
      </c>
      <c r="AT80" s="4407"/>
      <c r="AU80" s="4442">
        <f t="shared" ref="AU80" si="562">SUM(AV80:AW80)</f>
        <v>0</v>
      </c>
      <c r="AV80" s="4407"/>
      <c r="AW80" s="4407"/>
      <c r="AX80" s="4442">
        <f t="shared" ref="AX80" si="563">SUM(AY80:AZ80)</f>
        <v>0</v>
      </c>
      <c r="AY80" s="4407"/>
      <c r="AZ80" s="4407"/>
      <c r="BA80" s="4442">
        <f t="shared" si="385"/>
        <v>223.523</v>
      </c>
      <c r="BB80" s="4442">
        <f t="shared" si="386"/>
        <v>223.523</v>
      </c>
      <c r="BC80" s="4442">
        <f t="shared" si="386"/>
        <v>0</v>
      </c>
      <c r="BD80" s="4384">
        <f t="shared" si="174"/>
        <v>275.84684845426131</v>
      </c>
      <c r="BE80" s="4384">
        <f t="shared" si="175"/>
        <v>275.84684845426131</v>
      </c>
      <c r="BF80" s="4384">
        <f t="shared" si="176"/>
        <v>0</v>
      </c>
      <c r="BG80" s="4443">
        <f t="shared" si="507"/>
        <v>989.49700000000007</v>
      </c>
      <c r="BH80" s="4443">
        <f t="shared" si="507"/>
        <v>989.49700000000007</v>
      </c>
      <c r="BI80" s="4443">
        <f t="shared" si="507"/>
        <v>0</v>
      </c>
      <c r="BJ80" s="4443">
        <f t="shared" si="542"/>
        <v>713.65015154573871</v>
      </c>
      <c r="BK80" s="4443">
        <f t="shared" si="542"/>
        <v>713.65015154573871</v>
      </c>
      <c r="BL80" s="4443">
        <f t="shared" si="542"/>
        <v>0</v>
      </c>
      <c r="BM80" s="4385">
        <f t="shared" ref="BM80:BM90" si="564">SUM(BN80:BO80)</f>
        <v>91.948949484753769</v>
      </c>
      <c r="BN80" s="4385">
        <f t="shared" ref="BN80" si="565">SUM(AP80)</f>
        <v>91.948949484753769</v>
      </c>
      <c r="BO80" s="4385">
        <f t="shared" ref="BO80" si="566">SUM(AQ80)</f>
        <v>0</v>
      </c>
      <c r="BP80" s="4442">
        <f t="shared" ref="BP80" si="567">SUM(BQ80:BR80)</f>
        <v>0</v>
      </c>
      <c r="BQ80" s="4407"/>
      <c r="BR80" s="4407"/>
      <c r="BS80" s="4442">
        <f t="shared" ref="BS80" si="568">SUM(BT80:BU80)</f>
        <v>0</v>
      </c>
      <c r="BT80" s="4407"/>
      <c r="BU80" s="4407"/>
      <c r="BV80" s="4442">
        <f t="shared" ref="BV80" si="569">SUM(BW80:BX80)</f>
        <v>0</v>
      </c>
      <c r="BW80" s="4407"/>
      <c r="BX80" s="4407"/>
      <c r="BY80" s="4442">
        <f t="shared" si="395"/>
        <v>0</v>
      </c>
      <c r="BZ80" s="4442">
        <f t="shared" si="396"/>
        <v>0</v>
      </c>
      <c r="CA80" s="4442">
        <f t="shared" si="396"/>
        <v>0</v>
      </c>
      <c r="CB80" s="4384">
        <f t="shared" si="112"/>
        <v>367.79579793901507</v>
      </c>
      <c r="CC80" s="4446">
        <f>SUM(стоки!EK32)</f>
        <v>367.79579793901507</v>
      </c>
      <c r="CD80" s="4446">
        <f>SUM(стоки!EL32)</f>
        <v>0</v>
      </c>
      <c r="CE80" s="4443">
        <f t="shared" ref="CE80:CG93" si="570">SUM(BY80+BG80)</f>
        <v>989.49700000000007</v>
      </c>
      <c r="CF80" s="4443">
        <f t="shared" si="570"/>
        <v>989.49700000000007</v>
      </c>
      <c r="CG80" s="4443">
        <f t="shared" si="570"/>
        <v>0</v>
      </c>
      <c r="CH80" s="4444">
        <f t="shared" si="515"/>
        <v>621.701202060985</v>
      </c>
      <c r="CI80" s="4443">
        <f t="shared" si="515"/>
        <v>621.701202060985</v>
      </c>
      <c r="CJ80" s="4443">
        <f t="shared" si="515"/>
        <v>0</v>
      </c>
      <c r="CK80" s="2774"/>
      <c r="CL80" s="3576">
        <f t="shared" si="89"/>
        <v>367.79579793901507</v>
      </c>
      <c r="CM80" s="2774"/>
    </row>
    <row r="81" spans="1:91" ht="18.75" customHeight="1" x14ac:dyDescent="0.3">
      <c r="A81" s="4418" t="s">
        <v>3693</v>
      </c>
      <c r="B81" s="4377">
        <f t="shared" si="548"/>
        <v>813.23884950000001</v>
      </c>
      <c r="C81" s="4414">
        <f t="shared" ref="C81:D81" si="571">SUM(C82:C90)+C92</f>
        <v>813.23884950000001</v>
      </c>
      <c r="D81" s="4414">
        <f t="shared" si="571"/>
        <v>0</v>
      </c>
      <c r="E81" s="4415">
        <f t="shared" si="360"/>
        <v>190.67899999999997</v>
      </c>
      <c r="F81" s="4415">
        <f>SUM(F82:F90)+F92</f>
        <v>190.67899999999997</v>
      </c>
      <c r="G81" s="4415">
        <f t="shared" ref="G81" si="572">SUM(G82:G90)+G92</f>
        <v>0</v>
      </c>
      <c r="H81" s="4415">
        <f t="shared" si="550"/>
        <v>164.54400000000001</v>
      </c>
      <c r="I81" s="4415">
        <f t="shared" ref="I81:J81" si="573">SUM(I82:I90)+I92</f>
        <v>164.54400000000001</v>
      </c>
      <c r="J81" s="4415">
        <f t="shared" si="573"/>
        <v>0</v>
      </c>
      <c r="K81" s="4415">
        <f t="shared" si="551"/>
        <v>438.97619000000003</v>
      </c>
      <c r="L81" s="4415">
        <f t="shared" ref="L81:M81" si="574">SUM(L82:L90)+L92</f>
        <v>438.97619000000003</v>
      </c>
      <c r="M81" s="4415">
        <f t="shared" si="574"/>
        <v>0</v>
      </c>
      <c r="N81" s="4415">
        <f t="shared" si="492"/>
        <v>794.19919000000004</v>
      </c>
      <c r="O81" s="4415">
        <f t="shared" si="493"/>
        <v>794.19919000000004</v>
      </c>
      <c r="P81" s="4415">
        <f t="shared" si="493"/>
        <v>0</v>
      </c>
      <c r="Q81" s="4377">
        <f t="shared" si="552"/>
        <v>813.23884950000001</v>
      </c>
      <c r="R81" s="4414">
        <f t="shared" ref="R81:S81" si="575">SUM(R82:R90)+R92</f>
        <v>813.23884950000001</v>
      </c>
      <c r="S81" s="4414">
        <f t="shared" si="575"/>
        <v>0</v>
      </c>
      <c r="T81" s="4415">
        <f>SUM(T82:T90)+T92</f>
        <v>493.58159999999998</v>
      </c>
      <c r="U81" s="4415">
        <f t="shared" ref="U81" si="576">SUM(U82:U90)+U92</f>
        <v>493.58159999999998</v>
      </c>
      <c r="V81" s="4415">
        <f t="shared" ref="V81" si="577">SUM(V82:V90)+V92</f>
        <v>0</v>
      </c>
      <c r="W81" s="4415">
        <f>SUM(W82:W90)+W92</f>
        <v>187.97699999999998</v>
      </c>
      <c r="X81" s="4415">
        <f>SUM(X82:X90)+X92</f>
        <v>187.97699999999998</v>
      </c>
      <c r="Y81" s="4415">
        <f t="shared" ref="Y81" si="578">SUM(Y82:Y90)+Y92</f>
        <v>0</v>
      </c>
      <c r="Z81" s="4415">
        <f>SUM(Z82:Z90)+Z92</f>
        <v>152.35293999999999</v>
      </c>
      <c r="AA81" s="4415">
        <f t="shared" ref="AA81" si="579">SUM(AA82:AA90)+AA92</f>
        <v>152.35293999999999</v>
      </c>
      <c r="AB81" s="4415">
        <f t="shared" ref="AB81" si="580">SUM(AB82:AB90)+AB92</f>
        <v>0</v>
      </c>
      <c r="AC81" s="4415">
        <f t="shared" si="375"/>
        <v>833.91153999999995</v>
      </c>
      <c r="AD81" s="4415">
        <f t="shared" si="376"/>
        <v>833.91153999999995</v>
      </c>
      <c r="AE81" s="4415">
        <f t="shared" si="376"/>
        <v>0</v>
      </c>
      <c r="AF81" s="4379">
        <f t="shared" si="159"/>
        <v>1626.477699</v>
      </c>
      <c r="AG81" s="4379">
        <f t="shared" si="160"/>
        <v>1626.477699</v>
      </c>
      <c r="AH81" s="4379">
        <f t="shared" si="161"/>
        <v>0</v>
      </c>
      <c r="AI81" s="4441">
        <f t="shared" si="558"/>
        <v>1628.1107299999999</v>
      </c>
      <c r="AJ81" s="4441">
        <f t="shared" si="558"/>
        <v>1628.1107299999999</v>
      </c>
      <c r="AK81" s="4441">
        <f t="shared" si="558"/>
        <v>0</v>
      </c>
      <c r="AL81" s="4441">
        <f t="shared" si="536"/>
        <v>1.6330309999998462</v>
      </c>
      <c r="AM81" s="4441">
        <f t="shared" si="536"/>
        <v>1.6330309999998462</v>
      </c>
      <c r="AN81" s="4441">
        <f t="shared" si="536"/>
        <v>0</v>
      </c>
      <c r="AO81" s="4377">
        <f t="shared" si="559"/>
        <v>813.23884950000001</v>
      </c>
      <c r="AP81" s="4414">
        <f t="shared" ref="AP81:AQ81" si="581">SUM(AP82:AP90)+AP92</f>
        <v>813.23884950000001</v>
      </c>
      <c r="AQ81" s="4414">
        <f t="shared" si="581"/>
        <v>0</v>
      </c>
      <c r="AR81" s="4415">
        <f>SUM(AR82:AR90)+AR92</f>
        <v>156.88553000000005</v>
      </c>
      <c r="AS81" s="4415">
        <f t="shared" ref="AS81" si="582">SUM(AS82:AS90)+AS92</f>
        <v>156.88553000000005</v>
      </c>
      <c r="AT81" s="4415">
        <f t="shared" ref="AT81" si="583">SUM(AT82:AT90)+AT92</f>
        <v>0</v>
      </c>
      <c r="AU81" s="4415">
        <f>SUM(AU82:AU90)+AU92</f>
        <v>0</v>
      </c>
      <c r="AV81" s="4415">
        <f t="shared" ref="AV81" si="584">SUM(AV82:AV90)+AV92</f>
        <v>0</v>
      </c>
      <c r="AW81" s="4415">
        <f t="shared" ref="AW81" si="585">SUM(AW82:AW90)+AW92</f>
        <v>0</v>
      </c>
      <c r="AX81" s="4415">
        <f>SUM(AX82:AX90)+AX92</f>
        <v>0</v>
      </c>
      <c r="AY81" s="4415">
        <f t="shared" ref="AY81" si="586">SUM(AY82:AY90)+AY92</f>
        <v>0</v>
      </c>
      <c r="AZ81" s="4415">
        <f t="shared" ref="AZ81" si="587">SUM(AZ82:AZ90)+AZ92</f>
        <v>0</v>
      </c>
      <c r="BA81" s="4415">
        <f t="shared" si="385"/>
        <v>156.88553000000005</v>
      </c>
      <c r="BB81" s="4415">
        <f t="shared" si="386"/>
        <v>156.88553000000005</v>
      </c>
      <c r="BC81" s="4415">
        <f t="shared" si="386"/>
        <v>0</v>
      </c>
      <c r="BD81" s="4379">
        <f t="shared" si="174"/>
        <v>2439.7165485</v>
      </c>
      <c r="BE81" s="4379">
        <f t="shared" si="175"/>
        <v>2439.7165485</v>
      </c>
      <c r="BF81" s="4379">
        <f t="shared" si="176"/>
        <v>0</v>
      </c>
      <c r="BG81" s="4441">
        <f t="shared" si="507"/>
        <v>1784.9962599999999</v>
      </c>
      <c r="BH81" s="4441">
        <f t="shared" si="507"/>
        <v>1784.9962599999999</v>
      </c>
      <c r="BI81" s="4441">
        <f t="shared" si="507"/>
        <v>0</v>
      </c>
      <c r="BJ81" s="4441">
        <f t="shared" si="542"/>
        <v>-654.72028850000015</v>
      </c>
      <c r="BK81" s="4441">
        <f t="shared" si="542"/>
        <v>-654.72028850000015</v>
      </c>
      <c r="BL81" s="4441">
        <f t="shared" si="542"/>
        <v>0</v>
      </c>
      <c r="BM81" s="4377">
        <f t="shared" si="564"/>
        <v>813.23884950000001</v>
      </c>
      <c r="BN81" s="4414">
        <f t="shared" ref="BN81:BO81" si="588">SUM(BN82:BN90)+BN92</f>
        <v>813.23884950000001</v>
      </c>
      <c r="BO81" s="4414">
        <f t="shared" si="588"/>
        <v>0</v>
      </c>
      <c r="BP81" s="4415">
        <f>SUM(BP82:BP90)+BP92</f>
        <v>0</v>
      </c>
      <c r="BQ81" s="4415">
        <f t="shared" ref="BQ81" si="589">SUM(BQ82:BQ90)+BQ92</f>
        <v>0</v>
      </c>
      <c r="BR81" s="4415">
        <f t="shared" ref="BR81" si="590">SUM(BR82:BR90)+BR92</f>
        <v>0</v>
      </c>
      <c r="BS81" s="4415">
        <f>SUM(BS82:BS90)+BS92</f>
        <v>0</v>
      </c>
      <c r="BT81" s="4415">
        <f t="shared" ref="BT81" si="591">SUM(BT82:BT90)+BT92</f>
        <v>0</v>
      </c>
      <c r="BU81" s="4415">
        <f t="shared" ref="BU81" si="592">SUM(BU82:BU90)+BU92</f>
        <v>0</v>
      </c>
      <c r="BV81" s="4415">
        <f>SUM(BV82:BV90)+BV92</f>
        <v>0</v>
      </c>
      <c r="BW81" s="4415">
        <f t="shared" ref="BW81" si="593">SUM(BW82:BW90)+BW92</f>
        <v>0</v>
      </c>
      <c r="BX81" s="4415">
        <f t="shared" ref="BX81" si="594">SUM(BX82:BX90)+BX92</f>
        <v>0</v>
      </c>
      <c r="BY81" s="4415">
        <f t="shared" si="395"/>
        <v>0</v>
      </c>
      <c r="BZ81" s="4415">
        <f t="shared" si="396"/>
        <v>0</v>
      </c>
      <c r="CA81" s="4415">
        <f t="shared" si="396"/>
        <v>0</v>
      </c>
      <c r="CB81" s="4379">
        <f t="shared" si="112"/>
        <v>3252.955449759841</v>
      </c>
      <c r="CC81" s="4455">
        <f>SUM(стоки!EK33)</f>
        <v>3252.955449759841</v>
      </c>
      <c r="CD81" s="4455">
        <f>SUM(стоки!EL33)</f>
        <v>0</v>
      </c>
      <c r="CE81" s="4441">
        <f t="shared" si="570"/>
        <v>1784.9962599999999</v>
      </c>
      <c r="CF81" s="4441">
        <f t="shared" si="570"/>
        <v>1784.9962599999999</v>
      </c>
      <c r="CG81" s="4441">
        <f t="shared" si="570"/>
        <v>0</v>
      </c>
      <c r="CH81" s="4441">
        <f t="shared" si="515"/>
        <v>-1467.9591897598411</v>
      </c>
      <c r="CI81" s="4441">
        <f t="shared" si="515"/>
        <v>-1467.9591897598411</v>
      </c>
      <c r="CJ81" s="4441">
        <f t="shared" si="515"/>
        <v>0</v>
      </c>
      <c r="CK81" s="2780"/>
      <c r="CL81" s="3576">
        <f t="shared" si="89"/>
        <v>3252.9553980000001</v>
      </c>
      <c r="CM81" s="3582">
        <f>SUM(CC82:CC93)-CC90-CC92</f>
        <v>3252.9553980000001</v>
      </c>
    </row>
    <row r="82" spans="1:91" ht="18.75" customHeight="1" x14ac:dyDescent="0.3">
      <c r="A82" s="4445" t="s">
        <v>70</v>
      </c>
      <c r="B82" s="4385">
        <f t="shared" ref="B82:B90" si="595">SUM(C82:D82)</f>
        <v>163.21975</v>
      </c>
      <c r="C82" s="4385">
        <f t="shared" ref="C82:C89" si="596">SUM(CC82/4)</f>
        <v>163.21975</v>
      </c>
      <c r="D82" s="4385">
        <f t="shared" ref="D82:D89" si="597">SUM(CD82/4)</f>
        <v>0</v>
      </c>
      <c r="E82" s="4442">
        <f t="shared" si="360"/>
        <v>0</v>
      </c>
      <c r="F82" s="4407"/>
      <c r="G82" s="4407"/>
      <c r="H82" s="4442">
        <f t="shared" si="550"/>
        <v>0</v>
      </c>
      <c r="I82" s="4407"/>
      <c r="J82" s="4407"/>
      <c r="K82" s="4442">
        <f t="shared" si="551"/>
        <v>184.85900000000001</v>
      </c>
      <c r="L82" s="4407">
        <v>184.85900000000001</v>
      </c>
      <c r="M82" s="4407"/>
      <c r="N82" s="4442">
        <f t="shared" si="492"/>
        <v>184.85900000000001</v>
      </c>
      <c r="O82" s="4442">
        <f t="shared" si="493"/>
        <v>184.85900000000001</v>
      </c>
      <c r="P82" s="4442">
        <f t="shared" si="493"/>
        <v>0</v>
      </c>
      <c r="Q82" s="4385">
        <f t="shared" ref="Q82:Q90" si="598">SUM(R82:S82)</f>
        <v>163.21975</v>
      </c>
      <c r="R82" s="4385">
        <f t="shared" ref="R82:R89" si="599">SUM(C82)</f>
        <v>163.21975</v>
      </c>
      <c r="S82" s="4385">
        <f t="shared" ref="S82:S89" si="600">SUM(D82)</f>
        <v>0</v>
      </c>
      <c r="T82" s="4442">
        <f t="shared" ref="T82:T89" si="601">SUM(U82:V82)</f>
        <v>203.904</v>
      </c>
      <c r="U82" s="4407">
        <v>203.904</v>
      </c>
      <c r="V82" s="4407"/>
      <c r="W82" s="4442">
        <f t="shared" ref="W82:W89" si="602">SUM(X82:Y82)</f>
        <v>0</v>
      </c>
      <c r="X82" s="4407"/>
      <c r="Y82" s="4407"/>
      <c r="Z82" s="4442">
        <f t="shared" ref="Z82:Z89" si="603">SUM(AA82:AB82)</f>
        <v>0</v>
      </c>
      <c r="AA82" s="4407"/>
      <c r="AB82" s="4407"/>
      <c r="AC82" s="4442">
        <f t="shared" si="375"/>
        <v>203.904</v>
      </c>
      <c r="AD82" s="4442">
        <f t="shared" si="376"/>
        <v>203.904</v>
      </c>
      <c r="AE82" s="4442">
        <f t="shared" si="376"/>
        <v>0</v>
      </c>
      <c r="AF82" s="4384">
        <f t="shared" si="159"/>
        <v>326.43950000000001</v>
      </c>
      <c r="AG82" s="4384">
        <f t="shared" si="160"/>
        <v>326.43950000000001</v>
      </c>
      <c r="AH82" s="4384">
        <f t="shared" si="161"/>
        <v>0</v>
      </c>
      <c r="AI82" s="4443">
        <f t="shared" si="558"/>
        <v>388.76300000000003</v>
      </c>
      <c r="AJ82" s="4443">
        <f t="shared" si="558"/>
        <v>388.76300000000003</v>
      </c>
      <c r="AK82" s="4443">
        <f t="shared" si="558"/>
        <v>0</v>
      </c>
      <c r="AL82" s="4443">
        <f t="shared" si="536"/>
        <v>62.323500000000024</v>
      </c>
      <c r="AM82" s="4443">
        <f t="shared" si="536"/>
        <v>62.323500000000024</v>
      </c>
      <c r="AN82" s="4443">
        <f t="shared" si="536"/>
        <v>0</v>
      </c>
      <c r="AO82" s="4385">
        <f t="shared" ref="AO82:AO92" si="604">SUM(AP82:AQ82)</f>
        <v>163.21975</v>
      </c>
      <c r="AP82" s="4385">
        <f t="shared" ref="AP82:AP89" si="605">SUM(CC82-AG82)/2</f>
        <v>163.21975</v>
      </c>
      <c r="AQ82" s="4385">
        <f t="shared" ref="AQ82:AQ89" si="606">SUM(CD82-AH82)/2</f>
        <v>0</v>
      </c>
      <c r="AR82" s="4442">
        <f t="shared" ref="AR82:AR89" si="607">SUM(AS82:AT82)</f>
        <v>0</v>
      </c>
      <c r="AS82" s="4407"/>
      <c r="AT82" s="4407"/>
      <c r="AU82" s="4442">
        <f t="shared" ref="AU82:AU89" si="608">SUM(AV82:AW82)</f>
        <v>0</v>
      </c>
      <c r="AV82" s="4407"/>
      <c r="AW82" s="4407"/>
      <c r="AX82" s="4442">
        <f t="shared" ref="AX82:AX89" si="609">SUM(AY82:AZ82)</f>
        <v>0</v>
      </c>
      <c r="AY82" s="4407"/>
      <c r="AZ82" s="4407"/>
      <c r="BA82" s="4442">
        <f t="shared" si="385"/>
        <v>0</v>
      </c>
      <c r="BB82" s="4442">
        <f t="shared" si="386"/>
        <v>0</v>
      </c>
      <c r="BC82" s="4442">
        <f t="shared" si="386"/>
        <v>0</v>
      </c>
      <c r="BD82" s="4384">
        <f t="shared" si="174"/>
        <v>489.65925000000004</v>
      </c>
      <c r="BE82" s="4384">
        <f t="shared" si="175"/>
        <v>489.65925000000004</v>
      </c>
      <c r="BF82" s="4384">
        <f t="shared" si="176"/>
        <v>0</v>
      </c>
      <c r="BG82" s="4443">
        <f t="shared" si="507"/>
        <v>388.76300000000003</v>
      </c>
      <c r="BH82" s="4443">
        <f t="shared" si="507"/>
        <v>388.76300000000003</v>
      </c>
      <c r="BI82" s="4443">
        <f t="shared" si="507"/>
        <v>0</v>
      </c>
      <c r="BJ82" s="4443">
        <f t="shared" si="542"/>
        <v>-100.89625000000001</v>
      </c>
      <c r="BK82" s="4443">
        <f t="shared" si="542"/>
        <v>-100.89625000000001</v>
      </c>
      <c r="BL82" s="4443">
        <f t="shared" si="542"/>
        <v>0</v>
      </c>
      <c r="BM82" s="4385">
        <f t="shared" si="564"/>
        <v>163.21975</v>
      </c>
      <c r="BN82" s="4385">
        <f t="shared" ref="BN82:BN89" si="610">SUM(AP82)</f>
        <v>163.21975</v>
      </c>
      <c r="BO82" s="4385">
        <f t="shared" ref="BO82:BO89" si="611">SUM(AQ82)</f>
        <v>0</v>
      </c>
      <c r="BP82" s="4442">
        <f t="shared" ref="BP82:BP89" si="612">SUM(BQ82:BR82)</f>
        <v>0</v>
      </c>
      <c r="BQ82" s="4407"/>
      <c r="BR82" s="4407"/>
      <c r="BS82" s="4442">
        <f t="shared" ref="BS82:BS89" si="613">SUM(BT82:BU82)</f>
        <v>0</v>
      </c>
      <c r="BT82" s="4407"/>
      <c r="BU82" s="4407"/>
      <c r="BV82" s="4442">
        <f t="shared" ref="BV82:BV89" si="614">SUM(BW82:BX82)</f>
        <v>0</v>
      </c>
      <c r="BW82" s="4407"/>
      <c r="BX82" s="4407"/>
      <c r="BY82" s="4442">
        <f t="shared" si="395"/>
        <v>0</v>
      </c>
      <c r="BZ82" s="4442">
        <f t="shared" si="396"/>
        <v>0</v>
      </c>
      <c r="CA82" s="4442">
        <f t="shared" si="396"/>
        <v>0</v>
      </c>
      <c r="CB82" s="4384">
        <f t="shared" si="112"/>
        <v>652.87900000000002</v>
      </c>
      <c r="CC82" s="4446">
        <v>652.87900000000002</v>
      </c>
      <c r="CD82" s="4446">
        <v>0</v>
      </c>
      <c r="CE82" s="4443">
        <f t="shared" si="570"/>
        <v>388.76300000000003</v>
      </c>
      <c r="CF82" s="4443">
        <f t="shared" si="570"/>
        <v>388.76300000000003</v>
      </c>
      <c r="CG82" s="4443">
        <f t="shared" si="570"/>
        <v>0</v>
      </c>
      <c r="CH82" s="4443">
        <f t="shared" si="515"/>
        <v>-264.11599999999999</v>
      </c>
      <c r="CI82" s="4443">
        <f t="shared" si="515"/>
        <v>-264.11599999999999</v>
      </c>
      <c r="CJ82" s="4443">
        <f t="shared" si="515"/>
        <v>0</v>
      </c>
      <c r="CK82" s="2774"/>
      <c r="CL82" s="3576">
        <f t="shared" si="89"/>
        <v>652.87900000000002</v>
      </c>
      <c r="CM82" s="2774"/>
    </row>
    <row r="83" spans="1:91" ht="18.75" customHeight="1" x14ac:dyDescent="0.3">
      <c r="A83" s="4445" t="s">
        <v>113</v>
      </c>
      <c r="B83" s="4385">
        <f t="shared" si="595"/>
        <v>49.292364499999998</v>
      </c>
      <c r="C83" s="4385">
        <f t="shared" si="596"/>
        <v>49.292364499999998</v>
      </c>
      <c r="D83" s="4385">
        <f t="shared" si="597"/>
        <v>0</v>
      </c>
      <c r="E83" s="4442">
        <f t="shared" si="360"/>
        <v>0</v>
      </c>
      <c r="F83" s="4407"/>
      <c r="G83" s="4407"/>
      <c r="H83" s="4442">
        <f t="shared" si="550"/>
        <v>0</v>
      </c>
      <c r="I83" s="4407"/>
      <c r="J83" s="4407"/>
      <c r="K83" s="4442">
        <f t="shared" si="551"/>
        <v>58.067689999999999</v>
      </c>
      <c r="L83" s="4407">
        <f>0.36499+57.7027</f>
        <v>58.067689999999999</v>
      </c>
      <c r="M83" s="4407"/>
      <c r="N83" s="4442">
        <f t="shared" si="492"/>
        <v>58.067689999999999</v>
      </c>
      <c r="O83" s="4442">
        <f t="shared" si="493"/>
        <v>58.067689999999999</v>
      </c>
      <c r="P83" s="4442">
        <f t="shared" si="493"/>
        <v>0</v>
      </c>
      <c r="Q83" s="4385">
        <f t="shared" si="598"/>
        <v>49.292364499999998</v>
      </c>
      <c r="R83" s="4385">
        <f t="shared" si="599"/>
        <v>49.292364499999998</v>
      </c>
      <c r="S83" s="4385">
        <f t="shared" si="600"/>
        <v>0</v>
      </c>
      <c r="T83" s="4442">
        <f t="shared" si="601"/>
        <v>59.818999999999996</v>
      </c>
      <c r="U83" s="4407">
        <f>0.382+59.437</f>
        <v>59.818999999999996</v>
      </c>
      <c r="V83" s="4407"/>
      <c r="W83" s="4442">
        <f t="shared" si="602"/>
        <v>0</v>
      </c>
      <c r="X83" s="4407"/>
      <c r="Y83" s="4407"/>
      <c r="Z83" s="4442">
        <f t="shared" si="603"/>
        <v>0</v>
      </c>
      <c r="AA83" s="4407"/>
      <c r="AB83" s="4407"/>
      <c r="AC83" s="4442">
        <f t="shared" si="375"/>
        <v>59.818999999999996</v>
      </c>
      <c r="AD83" s="4442">
        <f t="shared" si="376"/>
        <v>59.818999999999996</v>
      </c>
      <c r="AE83" s="4442">
        <f t="shared" si="376"/>
        <v>0</v>
      </c>
      <c r="AF83" s="4384">
        <f t="shared" si="159"/>
        <v>98.584728999999996</v>
      </c>
      <c r="AG83" s="4384">
        <f t="shared" si="160"/>
        <v>98.584728999999996</v>
      </c>
      <c r="AH83" s="4384">
        <f t="shared" si="161"/>
        <v>0</v>
      </c>
      <c r="AI83" s="4443">
        <f t="shared" si="558"/>
        <v>117.88668999999999</v>
      </c>
      <c r="AJ83" s="4443">
        <f t="shared" si="558"/>
        <v>117.88668999999999</v>
      </c>
      <c r="AK83" s="4443">
        <f t="shared" si="558"/>
        <v>0</v>
      </c>
      <c r="AL83" s="4443">
        <f t="shared" si="536"/>
        <v>19.301960999999991</v>
      </c>
      <c r="AM83" s="4443">
        <f t="shared" si="536"/>
        <v>19.301960999999991</v>
      </c>
      <c r="AN83" s="4443">
        <f t="shared" si="536"/>
        <v>0</v>
      </c>
      <c r="AO83" s="4385">
        <f t="shared" si="604"/>
        <v>49.292364499999998</v>
      </c>
      <c r="AP83" s="4385">
        <f t="shared" si="605"/>
        <v>49.292364499999998</v>
      </c>
      <c r="AQ83" s="4385">
        <f t="shared" si="606"/>
        <v>0</v>
      </c>
      <c r="AR83" s="4442">
        <f t="shared" si="607"/>
        <v>0</v>
      </c>
      <c r="AS83" s="4407"/>
      <c r="AT83" s="4407"/>
      <c r="AU83" s="4442">
        <f t="shared" si="608"/>
        <v>0</v>
      </c>
      <c r="AV83" s="4407"/>
      <c r="AW83" s="4407"/>
      <c r="AX83" s="4442">
        <f t="shared" si="609"/>
        <v>0</v>
      </c>
      <c r="AY83" s="4407"/>
      <c r="AZ83" s="4407"/>
      <c r="BA83" s="4442">
        <f t="shared" si="385"/>
        <v>0</v>
      </c>
      <c r="BB83" s="4442">
        <f t="shared" si="386"/>
        <v>0</v>
      </c>
      <c r="BC83" s="4442">
        <f t="shared" si="386"/>
        <v>0</v>
      </c>
      <c r="BD83" s="4384">
        <f t="shared" si="174"/>
        <v>147.8770935</v>
      </c>
      <c r="BE83" s="4384">
        <f t="shared" si="175"/>
        <v>147.8770935</v>
      </c>
      <c r="BF83" s="4384">
        <f t="shared" si="176"/>
        <v>0</v>
      </c>
      <c r="BG83" s="4443">
        <f t="shared" si="507"/>
        <v>117.88668999999999</v>
      </c>
      <c r="BH83" s="4443">
        <f t="shared" si="507"/>
        <v>117.88668999999999</v>
      </c>
      <c r="BI83" s="4443">
        <f t="shared" si="507"/>
        <v>0</v>
      </c>
      <c r="BJ83" s="4443">
        <f t="shared" si="542"/>
        <v>-29.990403500000014</v>
      </c>
      <c r="BK83" s="4443">
        <f t="shared" si="542"/>
        <v>-29.990403500000014</v>
      </c>
      <c r="BL83" s="4443">
        <f t="shared" si="542"/>
        <v>0</v>
      </c>
      <c r="BM83" s="4385">
        <f t="shared" si="564"/>
        <v>49.292364499999998</v>
      </c>
      <c r="BN83" s="4385">
        <f t="shared" si="610"/>
        <v>49.292364499999998</v>
      </c>
      <c r="BO83" s="4385">
        <f t="shared" si="611"/>
        <v>0</v>
      </c>
      <c r="BP83" s="4442">
        <f t="shared" si="612"/>
        <v>0</v>
      </c>
      <c r="BQ83" s="4407"/>
      <c r="BR83" s="4407"/>
      <c r="BS83" s="4442">
        <f t="shared" si="613"/>
        <v>0</v>
      </c>
      <c r="BT83" s="4407"/>
      <c r="BU83" s="4407"/>
      <c r="BV83" s="4442">
        <f t="shared" si="614"/>
        <v>0</v>
      </c>
      <c r="BW83" s="4407"/>
      <c r="BX83" s="4407"/>
      <c r="BY83" s="4442">
        <f t="shared" si="395"/>
        <v>0</v>
      </c>
      <c r="BZ83" s="4442">
        <f t="shared" si="396"/>
        <v>0</v>
      </c>
      <c r="CA83" s="4442">
        <f t="shared" si="396"/>
        <v>0</v>
      </c>
      <c r="CB83" s="4384">
        <f t="shared" si="112"/>
        <v>197.16945799999999</v>
      </c>
      <c r="CC83" s="4446">
        <v>197.16945799999999</v>
      </c>
      <c r="CD83" s="4446">
        <v>0</v>
      </c>
      <c r="CE83" s="4443">
        <f t="shared" si="570"/>
        <v>117.88668999999999</v>
      </c>
      <c r="CF83" s="4443">
        <f t="shared" si="570"/>
        <v>117.88668999999999</v>
      </c>
      <c r="CG83" s="4443">
        <f t="shared" si="570"/>
        <v>0</v>
      </c>
      <c r="CH83" s="4443">
        <f t="shared" si="515"/>
        <v>-79.282768000000004</v>
      </c>
      <c r="CI83" s="4443">
        <f t="shared" si="515"/>
        <v>-79.282768000000004</v>
      </c>
      <c r="CJ83" s="4443">
        <f t="shared" si="515"/>
        <v>0</v>
      </c>
      <c r="CK83" s="2774"/>
      <c r="CL83" s="3576">
        <f t="shared" si="89"/>
        <v>197.16945799999999</v>
      </c>
      <c r="CM83" s="2774"/>
    </row>
    <row r="84" spans="1:91" ht="18.75" customHeight="1" x14ac:dyDescent="0.3">
      <c r="A84" s="4445" t="s">
        <v>52</v>
      </c>
      <c r="B84" s="4385">
        <f t="shared" si="595"/>
        <v>1.1609849999999999</v>
      </c>
      <c r="C84" s="4385">
        <f t="shared" si="596"/>
        <v>1.1609849999999999</v>
      </c>
      <c r="D84" s="4385">
        <f t="shared" si="597"/>
        <v>0</v>
      </c>
      <c r="E84" s="4442">
        <f t="shared" si="360"/>
        <v>0.60199999999999998</v>
      </c>
      <c r="F84" s="4407">
        <v>0.60199999999999998</v>
      </c>
      <c r="G84" s="4407"/>
      <c r="H84" s="4442">
        <f t="shared" si="550"/>
        <v>0.59799999999999998</v>
      </c>
      <c r="I84" s="4407">
        <v>0.59799999999999998</v>
      </c>
      <c r="J84" s="4407"/>
      <c r="K84" s="4442">
        <f t="shared" si="551"/>
        <v>0.60599999999999998</v>
      </c>
      <c r="L84" s="4407">
        <v>0.60599999999999998</v>
      </c>
      <c r="M84" s="4407"/>
      <c r="N84" s="4442">
        <f t="shared" si="492"/>
        <v>1.806</v>
      </c>
      <c r="O84" s="4442">
        <f t="shared" si="493"/>
        <v>1.806</v>
      </c>
      <c r="P84" s="4442">
        <f t="shared" si="493"/>
        <v>0</v>
      </c>
      <c r="Q84" s="4385">
        <f t="shared" si="598"/>
        <v>1.1609849999999999</v>
      </c>
      <c r="R84" s="4385">
        <f t="shared" si="599"/>
        <v>1.1609849999999999</v>
      </c>
      <c r="S84" s="4385">
        <f t="shared" si="600"/>
        <v>0</v>
      </c>
      <c r="T84" s="4442">
        <f t="shared" si="601"/>
        <v>0.65700000000000003</v>
      </c>
      <c r="U84" s="4407">
        <v>0.65700000000000003</v>
      </c>
      <c r="V84" s="4407"/>
      <c r="W84" s="4442">
        <f t="shared" si="602"/>
        <v>0.60699999999999998</v>
      </c>
      <c r="X84" s="4407">
        <v>0.60699999999999998</v>
      </c>
      <c r="Y84" s="4407"/>
      <c r="Z84" s="4442">
        <f t="shared" si="603"/>
        <v>0.65900000000000003</v>
      </c>
      <c r="AA84" s="4407">
        <v>0.65900000000000003</v>
      </c>
      <c r="AB84" s="4407"/>
      <c r="AC84" s="4442">
        <f t="shared" si="375"/>
        <v>1.923</v>
      </c>
      <c r="AD84" s="4442">
        <f t="shared" si="376"/>
        <v>1.923</v>
      </c>
      <c r="AE84" s="4442">
        <f t="shared" si="376"/>
        <v>0</v>
      </c>
      <c r="AF84" s="4384">
        <f t="shared" si="159"/>
        <v>2.3219699999999999</v>
      </c>
      <c r="AG84" s="4384">
        <f t="shared" si="160"/>
        <v>2.3219699999999999</v>
      </c>
      <c r="AH84" s="4384">
        <f t="shared" si="161"/>
        <v>0</v>
      </c>
      <c r="AI84" s="4443">
        <f t="shared" si="558"/>
        <v>3.7290000000000001</v>
      </c>
      <c r="AJ84" s="4443">
        <f t="shared" si="558"/>
        <v>3.7290000000000001</v>
      </c>
      <c r="AK84" s="4443">
        <f t="shared" si="558"/>
        <v>0</v>
      </c>
      <c r="AL84" s="4443">
        <f t="shared" si="536"/>
        <v>1.4070300000000002</v>
      </c>
      <c r="AM84" s="4443">
        <f t="shared" si="536"/>
        <v>1.4070300000000002</v>
      </c>
      <c r="AN84" s="4443">
        <f t="shared" si="536"/>
        <v>0</v>
      </c>
      <c r="AO84" s="4385">
        <f t="shared" si="604"/>
        <v>1.1609849999999999</v>
      </c>
      <c r="AP84" s="4385">
        <f t="shared" si="605"/>
        <v>1.1609849999999999</v>
      </c>
      <c r="AQ84" s="4385">
        <f t="shared" si="606"/>
        <v>0</v>
      </c>
      <c r="AR84" s="4442">
        <f t="shared" si="607"/>
        <v>0.60799999999999998</v>
      </c>
      <c r="AS84" s="4407">
        <v>0.60799999999999998</v>
      </c>
      <c r="AT84" s="4407"/>
      <c r="AU84" s="4442">
        <f t="shared" si="608"/>
        <v>0</v>
      </c>
      <c r="AV84" s="4407"/>
      <c r="AW84" s="4407"/>
      <c r="AX84" s="4442">
        <f t="shared" si="609"/>
        <v>0</v>
      </c>
      <c r="AY84" s="4407"/>
      <c r="AZ84" s="4407"/>
      <c r="BA84" s="4442">
        <f t="shared" si="385"/>
        <v>0.60799999999999998</v>
      </c>
      <c r="BB84" s="4442">
        <f t="shared" si="386"/>
        <v>0.60799999999999998</v>
      </c>
      <c r="BC84" s="4442">
        <f t="shared" si="386"/>
        <v>0</v>
      </c>
      <c r="BD84" s="4384">
        <f t="shared" si="174"/>
        <v>3.4829549999999996</v>
      </c>
      <c r="BE84" s="4384">
        <f t="shared" si="175"/>
        <v>3.4829549999999996</v>
      </c>
      <c r="BF84" s="4384">
        <f t="shared" si="176"/>
        <v>0</v>
      </c>
      <c r="BG84" s="4443">
        <f t="shared" si="507"/>
        <v>4.3369999999999997</v>
      </c>
      <c r="BH84" s="4443">
        <f t="shared" si="507"/>
        <v>4.3369999999999997</v>
      </c>
      <c r="BI84" s="4443">
        <f t="shared" si="507"/>
        <v>0</v>
      </c>
      <c r="BJ84" s="4443">
        <f t="shared" si="542"/>
        <v>0.85404500000000017</v>
      </c>
      <c r="BK84" s="4443">
        <f t="shared" si="542"/>
        <v>0.85404500000000017</v>
      </c>
      <c r="BL84" s="4443">
        <f t="shared" si="542"/>
        <v>0</v>
      </c>
      <c r="BM84" s="4385">
        <f t="shared" si="564"/>
        <v>1.1609849999999999</v>
      </c>
      <c r="BN84" s="4385">
        <f t="shared" si="610"/>
        <v>1.1609849999999999</v>
      </c>
      <c r="BO84" s="4385">
        <f t="shared" si="611"/>
        <v>0</v>
      </c>
      <c r="BP84" s="4442">
        <f t="shared" si="612"/>
        <v>0</v>
      </c>
      <c r="BQ84" s="4407"/>
      <c r="BR84" s="4407"/>
      <c r="BS84" s="4442">
        <f t="shared" si="613"/>
        <v>0</v>
      </c>
      <c r="BT84" s="4407"/>
      <c r="BU84" s="4407"/>
      <c r="BV84" s="4442">
        <f t="shared" si="614"/>
        <v>0</v>
      </c>
      <c r="BW84" s="4407"/>
      <c r="BX84" s="4407"/>
      <c r="BY84" s="4442">
        <f t="shared" si="395"/>
        <v>0</v>
      </c>
      <c r="BZ84" s="4442">
        <f t="shared" si="396"/>
        <v>0</v>
      </c>
      <c r="CA84" s="4442">
        <f t="shared" si="396"/>
        <v>0</v>
      </c>
      <c r="CB84" s="4384">
        <f t="shared" si="112"/>
        <v>4.6439399999999997</v>
      </c>
      <c r="CC84" s="4446">
        <v>4.6439399999999997</v>
      </c>
      <c r="CD84" s="4446">
        <v>0</v>
      </c>
      <c r="CE84" s="4443">
        <f t="shared" si="570"/>
        <v>4.3369999999999997</v>
      </c>
      <c r="CF84" s="4443">
        <f t="shared" si="570"/>
        <v>4.3369999999999997</v>
      </c>
      <c r="CG84" s="4443">
        <f t="shared" si="570"/>
        <v>0</v>
      </c>
      <c r="CH84" s="4443">
        <f t="shared" si="515"/>
        <v>-0.30693999999999999</v>
      </c>
      <c r="CI84" s="4443">
        <f t="shared" si="515"/>
        <v>-0.30693999999999999</v>
      </c>
      <c r="CJ84" s="4443">
        <f t="shared" si="515"/>
        <v>0</v>
      </c>
      <c r="CK84" s="2774"/>
      <c r="CL84" s="3576">
        <f t="shared" si="89"/>
        <v>4.6439399999999997</v>
      </c>
      <c r="CM84" s="2774"/>
    </row>
    <row r="85" spans="1:91" ht="18.75" customHeight="1" x14ac:dyDescent="0.3">
      <c r="A85" s="4445" t="s">
        <v>586</v>
      </c>
      <c r="B85" s="4385">
        <f t="shared" si="595"/>
        <v>538.77949999999998</v>
      </c>
      <c r="C85" s="4385">
        <f t="shared" si="596"/>
        <v>538.77949999999998</v>
      </c>
      <c r="D85" s="4385">
        <f t="shared" si="597"/>
        <v>0</v>
      </c>
      <c r="E85" s="4442">
        <f t="shared" si="360"/>
        <v>163.87099999999998</v>
      </c>
      <c r="F85" s="4407">
        <f>1.789+162.082</f>
        <v>163.87099999999998</v>
      </c>
      <c r="G85" s="4407"/>
      <c r="H85" s="4442">
        <f t="shared" si="550"/>
        <v>149.08500000000001</v>
      </c>
      <c r="I85" s="4407">
        <f>0.58+148.505</f>
        <v>149.08500000000001</v>
      </c>
      <c r="J85" s="4407"/>
      <c r="K85" s="4442">
        <f t="shared" si="551"/>
        <v>178.60550000000001</v>
      </c>
      <c r="L85" s="4407">
        <f>0.5695+178.036</f>
        <v>178.60550000000001</v>
      </c>
      <c r="M85" s="4407"/>
      <c r="N85" s="4442">
        <f t="shared" si="492"/>
        <v>491.56150000000002</v>
      </c>
      <c r="O85" s="4442">
        <f t="shared" si="493"/>
        <v>491.56150000000002</v>
      </c>
      <c r="P85" s="4442">
        <f t="shared" si="493"/>
        <v>0</v>
      </c>
      <c r="Q85" s="4385">
        <f t="shared" si="598"/>
        <v>538.77949999999998</v>
      </c>
      <c r="R85" s="4385">
        <f t="shared" si="599"/>
        <v>538.77949999999998</v>
      </c>
      <c r="S85" s="4385">
        <f t="shared" si="600"/>
        <v>0</v>
      </c>
      <c r="T85" s="4442">
        <f t="shared" si="601"/>
        <v>165.43560000000002</v>
      </c>
      <c r="U85" s="4407">
        <f>0.5645+164.8711</f>
        <v>165.43560000000002</v>
      </c>
      <c r="V85" s="4407"/>
      <c r="W85" s="4442">
        <f t="shared" si="602"/>
        <v>139.57299999999998</v>
      </c>
      <c r="X85" s="4407">
        <f>0.561+0.372+138.64</f>
        <v>139.57299999999998</v>
      </c>
      <c r="Y85" s="4407"/>
      <c r="Z85" s="4442">
        <f t="shared" si="603"/>
        <v>120.88624999999999</v>
      </c>
      <c r="AA85" s="4407">
        <f>0.55989+0.37236+119.954</f>
        <v>120.88624999999999</v>
      </c>
      <c r="AB85" s="4407"/>
      <c r="AC85" s="4442">
        <f t="shared" si="375"/>
        <v>425.89485000000002</v>
      </c>
      <c r="AD85" s="4442">
        <f t="shared" si="376"/>
        <v>425.89485000000002</v>
      </c>
      <c r="AE85" s="4442">
        <f t="shared" si="376"/>
        <v>0</v>
      </c>
      <c r="AF85" s="4384">
        <f t="shared" si="159"/>
        <v>1077.559</v>
      </c>
      <c r="AG85" s="4384">
        <f t="shared" si="160"/>
        <v>1077.559</v>
      </c>
      <c r="AH85" s="4384">
        <f t="shared" si="161"/>
        <v>0</v>
      </c>
      <c r="AI85" s="4443">
        <f t="shared" si="558"/>
        <v>917.45635000000004</v>
      </c>
      <c r="AJ85" s="4443">
        <f t="shared" si="558"/>
        <v>917.45635000000004</v>
      </c>
      <c r="AK85" s="4443">
        <f t="shared" si="558"/>
        <v>0</v>
      </c>
      <c r="AL85" s="4443">
        <f t="shared" si="536"/>
        <v>-160.10264999999993</v>
      </c>
      <c r="AM85" s="4443">
        <f t="shared" si="536"/>
        <v>-160.10264999999993</v>
      </c>
      <c r="AN85" s="4443">
        <f t="shared" si="536"/>
        <v>0</v>
      </c>
      <c r="AO85" s="4385">
        <f t="shared" si="604"/>
        <v>538.77949999999998</v>
      </c>
      <c r="AP85" s="4385">
        <f t="shared" si="605"/>
        <v>538.77949999999998</v>
      </c>
      <c r="AQ85" s="4385">
        <f t="shared" si="606"/>
        <v>0</v>
      </c>
      <c r="AR85" s="4442">
        <f t="shared" si="607"/>
        <v>136.34700000000001</v>
      </c>
      <c r="AS85" s="4407">
        <f>0.559+135.788</f>
        <v>136.34700000000001</v>
      </c>
      <c r="AT85" s="4407"/>
      <c r="AU85" s="4442">
        <f t="shared" si="608"/>
        <v>0</v>
      </c>
      <c r="AV85" s="4407"/>
      <c r="AW85" s="4407"/>
      <c r="AX85" s="4442">
        <f t="shared" si="609"/>
        <v>0</v>
      </c>
      <c r="AY85" s="4407"/>
      <c r="AZ85" s="4407"/>
      <c r="BA85" s="4442">
        <f t="shared" si="385"/>
        <v>136.34700000000001</v>
      </c>
      <c r="BB85" s="4442">
        <f t="shared" si="386"/>
        <v>136.34700000000001</v>
      </c>
      <c r="BC85" s="4442">
        <f t="shared" si="386"/>
        <v>0</v>
      </c>
      <c r="BD85" s="4384">
        <f t="shared" si="174"/>
        <v>1616.3384999999998</v>
      </c>
      <c r="BE85" s="4384">
        <f t="shared" si="175"/>
        <v>1616.3384999999998</v>
      </c>
      <c r="BF85" s="4384">
        <f t="shared" si="176"/>
        <v>0</v>
      </c>
      <c r="BG85" s="4443">
        <f t="shared" si="507"/>
        <v>1053.8033500000001</v>
      </c>
      <c r="BH85" s="4443">
        <f t="shared" si="507"/>
        <v>1053.8033500000001</v>
      </c>
      <c r="BI85" s="4443">
        <f t="shared" si="507"/>
        <v>0</v>
      </c>
      <c r="BJ85" s="4443">
        <f t="shared" si="542"/>
        <v>-562.5351499999997</v>
      </c>
      <c r="BK85" s="4443">
        <f t="shared" si="542"/>
        <v>-562.5351499999997</v>
      </c>
      <c r="BL85" s="4443">
        <f t="shared" si="542"/>
        <v>0</v>
      </c>
      <c r="BM85" s="4385">
        <f t="shared" si="564"/>
        <v>538.77949999999998</v>
      </c>
      <c r="BN85" s="4385">
        <f t="shared" si="610"/>
        <v>538.77949999999998</v>
      </c>
      <c r="BO85" s="4385">
        <f t="shared" si="611"/>
        <v>0</v>
      </c>
      <c r="BP85" s="4442">
        <f t="shared" si="612"/>
        <v>0</v>
      </c>
      <c r="BQ85" s="4407"/>
      <c r="BR85" s="4407"/>
      <c r="BS85" s="4442">
        <f t="shared" si="613"/>
        <v>0</v>
      </c>
      <c r="BT85" s="4407"/>
      <c r="BU85" s="4407"/>
      <c r="BV85" s="4442">
        <f t="shared" si="614"/>
        <v>0</v>
      </c>
      <c r="BW85" s="4407"/>
      <c r="BX85" s="4407"/>
      <c r="BY85" s="4442">
        <f t="shared" si="395"/>
        <v>0</v>
      </c>
      <c r="BZ85" s="4442">
        <f t="shared" si="396"/>
        <v>0</v>
      </c>
      <c r="CA85" s="4442">
        <f t="shared" si="396"/>
        <v>0</v>
      </c>
      <c r="CB85" s="4384">
        <f t="shared" si="112"/>
        <v>2155.1179999999999</v>
      </c>
      <c r="CC85" s="4446">
        <v>2155.1179999999999</v>
      </c>
      <c r="CD85" s="4446">
        <v>0</v>
      </c>
      <c r="CE85" s="4443">
        <f t="shared" si="570"/>
        <v>1053.8033500000001</v>
      </c>
      <c r="CF85" s="4443">
        <f t="shared" si="570"/>
        <v>1053.8033500000001</v>
      </c>
      <c r="CG85" s="4443">
        <f t="shared" si="570"/>
        <v>0</v>
      </c>
      <c r="CH85" s="4443">
        <f t="shared" si="515"/>
        <v>-1101.3146499999998</v>
      </c>
      <c r="CI85" s="4443">
        <f t="shared" si="515"/>
        <v>-1101.3146499999998</v>
      </c>
      <c r="CJ85" s="4443">
        <f t="shared" si="515"/>
        <v>0</v>
      </c>
      <c r="CK85" s="2774"/>
      <c r="CL85" s="3576">
        <f t="shared" ref="CL85:CL127" si="615">SUM(B85+Q85+AO85+BM85)</f>
        <v>2155.1179999999999</v>
      </c>
      <c r="CM85" s="2774"/>
    </row>
    <row r="86" spans="1:91" ht="18.75" customHeight="1" x14ac:dyDescent="0.3">
      <c r="A86" s="4445" t="s">
        <v>588</v>
      </c>
      <c r="B86" s="4385">
        <f t="shared" si="595"/>
        <v>23.996749999999999</v>
      </c>
      <c r="C86" s="4385">
        <f t="shared" si="596"/>
        <v>23.996749999999999</v>
      </c>
      <c r="D86" s="4385">
        <f t="shared" si="597"/>
        <v>0</v>
      </c>
      <c r="E86" s="4442">
        <f t="shared" si="360"/>
        <v>7.69</v>
      </c>
      <c r="F86" s="4407">
        <v>7.69</v>
      </c>
      <c r="G86" s="4407"/>
      <c r="H86" s="4442">
        <f t="shared" si="550"/>
        <v>3.75</v>
      </c>
      <c r="I86" s="4407">
        <v>3.75</v>
      </c>
      <c r="J86" s="4407"/>
      <c r="K86" s="4442">
        <f t="shared" si="551"/>
        <v>3.3940000000000001</v>
      </c>
      <c r="L86" s="4407">
        <v>3.3940000000000001</v>
      </c>
      <c r="M86" s="4407"/>
      <c r="N86" s="4442">
        <f t="shared" si="492"/>
        <v>14.834000000000001</v>
      </c>
      <c r="O86" s="4442">
        <f t="shared" si="493"/>
        <v>14.834000000000001</v>
      </c>
      <c r="P86" s="4442">
        <f t="shared" si="493"/>
        <v>0</v>
      </c>
      <c r="Q86" s="4385">
        <f t="shared" si="598"/>
        <v>23.996749999999999</v>
      </c>
      <c r="R86" s="4385">
        <f t="shared" si="599"/>
        <v>23.996749999999999</v>
      </c>
      <c r="S86" s="4385">
        <f t="shared" si="600"/>
        <v>0</v>
      </c>
      <c r="T86" s="4442">
        <f t="shared" si="601"/>
        <v>4.3170000000000002</v>
      </c>
      <c r="U86" s="4407">
        <v>4.3170000000000002</v>
      </c>
      <c r="V86" s="4407"/>
      <c r="W86" s="4442">
        <f t="shared" si="602"/>
        <v>16.274000000000001</v>
      </c>
      <c r="X86" s="4407">
        <v>16.274000000000001</v>
      </c>
      <c r="Y86" s="4407"/>
      <c r="Z86" s="4442">
        <f t="shared" si="603"/>
        <v>4.3556900000000001</v>
      </c>
      <c r="AA86" s="4407">
        <v>4.3556900000000001</v>
      </c>
      <c r="AB86" s="4407"/>
      <c r="AC86" s="4442">
        <f t="shared" si="375"/>
        <v>24.94669</v>
      </c>
      <c r="AD86" s="4442">
        <f t="shared" si="376"/>
        <v>24.94669</v>
      </c>
      <c r="AE86" s="4442">
        <f t="shared" si="376"/>
        <v>0</v>
      </c>
      <c r="AF86" s="4384">
        <f t="shared" si="159"/>
        <v>47.993499999999997</v>
      </c>
      <c r="AG86" s="4384">
        <f t="shared" si="160"/>
        <v>47.993499999999997</v>
      </c>
      <c r="AH86" s="4384">
        <f t="shared" si="161"/>
        <v>0</v>
      </c>
      <c r="AI86" s="4443">
        <f t="shared" si="558"/>
        <v>39.78069</v>
      </c>
      <c r="AJ86" s="4443">
        <f t="shared" si="558"/>
        <v>39.78069</v>
      </c>
      <c r="AK86" s="4443">
        <f t="shared" si="558"/>
        <v>0</v>
      </c>
      <c r="AL86" s="4443">
        <f t="shared" si="536"/>
        <v>-8.2128099999999975</v>
      </c>
      <c r="AM86" s="4443">
        <f t="shared" si="536"/>
        <v>-8.2128099999999975</v>
      </c>
      <c r="AN86" s="4443">
        <f t="shared" si="536"/>
        <v>0</v>
      </c>
      <c r="AO86" s="4385">
        <f t="shared" si="604"/>
        <v>23.996749999999999</v>
      </c>
      <c r="AP86" s="4385">
        <f t="shared" si="605"/>
        <v>23.996749999999999</v>
      </c>
      <c r="AQ86" s="4385">
        <f t="shared" si="606"/>
        <v>0</v>
      </c>
      <c r="AR86" s="4442">
        <f t="shared" si="607"/>
        <v>2.8460000000000001</v>
      </c>
      <c r="AS86" s="4407">
        <v>2.8460000000000001</v>
      </c>
      <c r="AT86" s="4407"/>
      <c r="AU86" s="4442">
        <f t="shared" si="608"/>
        <v>0</v>
      </c>
      <c r="AV86" s="4407"/>
      <c r="AW86" s="4407"/>
      <c r="AX86" s="4442">
        <f t="shared" si="609"/>
        <v>0</v>
      </c>
      <c r="AY86" s="4407"/>
      <c r="AZ86" s="4407"/>
      <c r="BA86" s="4442">
        <f t="shared" si="385"/>
        <v>2.8460000000000001</v>
      </c>
      <c r="BB86" s="4442">
        <f t="shared" si="386"/>
        <v>2.8460000000000001</v>
      </c>
      <c r="BC86" s="4442">
        <f t="shared" si="386"/>
        <v>0</v>
      </c>
      <c r="BD86" s="4384">
        <f t="shared" si="174"/>
        <v>71.990250000000003</v>
      </c>
      <c r="BE86" s="4384">
        <f t="shared" si="175"/>
        <v>71.990250000000003</v>
      </c>
      <c r="BF86" s="4384">
        <f t="shared" si="176"/>
        <v>0</v>
      </c>
      <c r="BG86" s="4443">
        <f t="shared" si="507"/>
        <v>42.626689999999996</v>
      </c>
      <c r="BH86" s="4443">
        <f t="shared" si="507"/>
        <v>42.626689999999996</v>
      </c>
      <c r="BI86" s="4443">
        <f t="shared" si="507"/>
        <v>0</v>
      </c>
      <c r="BJ86" s="4443">
        <f t="shared" si="542"/>
        <v>-29.363560000000007</v>
      </c>
      <c r="BK86" s="4443">
        <f t="shared" si="542"/>
        <v>-29.363560000000007</v>
      </c>
      <c r="BL86" s="4443">
        <f t="shared" si="542"/>
        <v>0</v>
      </c>
      <c r="BM86" s="4385">
        <f t="shared" si="564"/>
        <v>23.996749999999999</v>
      </c>
      <c r="BN86" s="4385">
        <f t="shared" si="610"/>
        <v>23.996749999999999</v>
      </c>
      <c r="BO86" s="4385">
        <f t="shared" si="611"/>
        <v>0</v>
      </c>
      <c r="BP86" s="4442">
        <f t="shared" si="612"/>
        <v>0</v>
      </c>
      <c r="BQ86" s="4407"/>
      <c r="BR86" s="4407"/>
      <c r="BS86" s="4442">
        <f t="shared" si="613"/>
        <v>0</v>
      </c>
      <c r="BT86" s="4407"/>
      <c r="BU86" s="4407"/>
      <c r="BV86" s="4442">
        <f t="shared" si="614"/>
        <v>0</v>
      </c>
      <c r="BW86" s="4407"/>
      <c r="BX86" s="4407"/>
      <c r="BY86" s="4442">
        <f t="shared" si="395"/>
        <v>0</v>
      </c>
      <c r="BZ86" s="4442">
        <f t="shared" si="396"/>
        <v>0</v>
      </c>
      <c r="CA86" s="4442">
        <f t="shared" si="396"/>
        <v>0</v>
      </c>
      <c r="CB86" s="4384">
        <f t="shared" ref="CB86:CB127" si="616">SUM(CC86:CD86)</f>
        <v>95.986999999999995</v>
      </c>
      <c r="CC86" s="4446">
        <v>95.986999999999995</v>
      </c>
      <c r="CD86" s="4446">
        <v>0</v>
      </c>
      <c r="CE86" s="4443">
        <f t="shared" si="570"/>
        <v>42.626689999999996</v>
      </c>
      <c r="CF86" s="4443">
        <f t="shared" si="570"/>
        <v>42.626689999999996</v>
      </c>
      <c r="CG86" s="4443">
        <f t="shared" si="570"/>
        <v>0</v>
      </c>
      <c r="CH86" s="4443">
        <f t="shared" si="515"/>
        <v>-53.360309999999998</v>
      </c>
      <c r="CI86" s="4443">
        <f t="shared" si="515"/>
        <v>-53.360309999999998</v>
      </c>
      <c r="CJ86" s="4443">
        <f t="shared" si="515"/>
        <v>0</v>
      </c>
      <c r="CK86" s="2780"/>
      <c r="CL86" s="3576">
        <f t="shared" si="615"/>
        <v>95.986999999999995</v>
      </c>
      <c r="CM86" s="2780"/>
    </row>
    <row r="87" spans="1:91" ht="18.75" customHeight="1" x14ac:dyDescent="0.3">
      <c r="A87" s="4445" t="s">
        <v>587</v>
      </c>
      <c r="B87" s="4385">
        <f t="shared" si="595"/>
        <v>18.2165</v>
      </c>
      <c r="C87" s="4385">
        <f t="shared" si="596"/>
        <v>18.2165</v>
      </c>
      <c r="D87" s="4385">
        <f t="shared" si="597"/>
        <v>0</v>
      </c>
      <c r="E87" s="4442">
        <f t="shared" si="360"/>
        <v>10.032999999999999</v>
      </c>
      <c r="F87" s="4407">
        <v>10.032999999999999</v>
      </c>
      <c r="G87" s="4407"/>
      <c r="H87" s="4442">
        <f t="shared" si="550"/>
        <v>10.611000000000001</v>
      </c>
      <c r="I87" s="4407">
        <v>10.611000000000001</v>
      </c>
      <c r="J87" s="4407"/>
      <c r="K87" s="4442">
        <f t="shared" si="551"/>
        <v>13.091000000000001</v>
      </c>
      <c r="L87" s="4407">
        <f>2.268+10.823</f>
        <v>13.091000000000001</v>
      </c>
      <c r="M87" s="4407"/>
      <c r="N87" s="4442">
        <f t="shared" si="492"/>
        <v>33.734999999999999</v>
      </c>
      <c r="O87" s="4442">
        <f t="shared" si="493"/>
        <v>33.734999999999999</v>
      </c>
      <c r="P87" s="4442">
        <f t="shared" si="493"/>
        <v>0</v>
      </c>
      <c r="Q87" s="4385">
        <f t="shared" si="598"/>
        <v>18.2165</v>
      </c>
      <c r="R87" s="4385">
        <f t="shared" si="599"/>
        <v>18.2165</v>
      </c>
      <c r="S87" s="4385">
        <f t="shared" si="600"/>
        <v>0</v>
      </c>
      <c r="T87" s="4442">
        <f t="shared" si="601"/>
        <v>16.181000000000001</v>
      </c>
      <c r="U87" s="4407">
        <f>2.268+13.913</f>
        <v>16.181000000000001</v>
      </c>
      <c r="V87" s="4407"/>
      <c r="W87" s="4442">
        <f t="shared" si="602"/>
        <v>17.146999999999998</v>
      </c>
      <c r="X87" s="4407">
        <f>2.268+14.879</f>
        <v>17.146999999999998</v>
      </c>
      <c r="Y87" s="4407"/>
      <c r="Z87" s="4442">
        <f t="shared" si="603"/>
        <v>17.001999999999999</v>
      </c>
      <c r="AA87" s="4407">
        <f>14.734+2.268</f>
        <v>17.001999999999999</v>
      </c>
      <c r="AB87" s="4407"/>
      <c r="AC87" s="4442">
        <f t="shared" si="375"/>
        <v>50.33</v>
      </c>
      <c r="AD87" s="4442">
        <f t="shared" si="376"/>
        <v>50.33</v>
      </c>
      <c r="AE87" s="4442">
        <f t="shared" si="376"/>
        <v>0</v>
      </c>
      <c r="AF87" s="4384">
        <f t="shared" si="159"/>
        <v>36.433</v>
      </c>
      <c r="AG87" s="4384">
        <f t="shared" si="160"/>
        <v>36.433</v>
      </c>
      <c r="AH87" s="4384">
        <f t="shared" si="161"/>
        <v>0</v>
      </c>
      <c r="AI87" s="4443">
        <f t="shared" si="558"/>
        <v>84.064999999999998</v>
      </c>
      <c r="AJ87" s="4443">
        <f t="shared" si="558"/>
        <v>84.064999999999998</v>
      </c>
      <c r="AK87" s="4443">
        <f t="shared" si="558"/>
        <v>0</v>
      </c>
      <c r="AL87" s="4443">
        <f t="shared" si="536"/>
        <v>47.631999999999998</v>
      </c>
      <c r="AM87" s="4443">
        <f t="shared" si="536"/>
        <v>47.631999999999998</v>
      </c>
      <c r="AN87" s="4443">
        <f t="shared" si="536"/>
        <v>0</v>
      </c>
      <c r="AO87" s="4385">
        <f t="shared" si="604"/>
        <v>18.2165</v>
      </c>
      <c r="AP87" s="4385">
        <f t="shared" si="605"/>
        <v>18.2165</v>
      </c>
      <c r="AQ87" s="4385">
        <f t="shared" si="606"/>
        <v>0</v>
      </c>
      <c r="AR87" s="4442">
        <f t="shared" si="607"/>
        <v>17.039000000000001</v>
      </c>
      <c r="AS87" s="4407">
        <f>2.268+14.771</f>
        <v>17.039000000000001</v>
      </c>
      <c r="AT87" s="4407"/>
      <c r="AU87" s="4442">
        <f t="shared" si="608"/>
        <v>0</v>
      </c>
      <c r="AV87" s="4407"/>
      <c r="AW87" s="4407"/>
      <c r="AX87" s="4442">
        <f t="shared" si="609"/>
        <v>0</v>
      </c>
      <c r="AY87" s="4407"/>
      <c r="AZ87" s="4407"/>
      <c r="BA87" s="4442">
        <f t="shared" si="385"/>
        <v>17.039000000000001</v>
      </c>
      <c r="BB87" s="4442">
        <f t="shared" si="386"/>
        <v>17.039000000000001</v>
      </c>
      <c r="BC87" s="4442">
        <f t="shared" si="386"/>
        <v>0</v>
      </c>
      <c r="BD87" s="4384">
        <f t="shared" si="174"/>
        <v>54.649500000000003</v>
      </c>
      <c r="BE87" s="4384">
        <f t="shared" si="175"/>
        <v>54.649500000000003</v>
      </c>
      <c r="BF87" s="4384">
        <f t="shared" si="176"/>
        <v>0</v>
      </c>
      <c r="BG87" s="4443">
        <f t="shared" si="507"/>
        <v>101.104</v>
      </c>
      <c r="BH87" s="4443">
        <f t="shared" si="507"/>
        <v>101.104</v>
      </c>
      <c r="BI87" s="4443">
        <f t="shared" si="507"/>
        <v>0</v>
      </c>
      <c r="BJ87" s="4443">
        <f t="shared" si="542"/>
        <v>46.454499999999996</v>
      </c>
      <c r="BK87" s="4443">
        <f t="shared" si="542"/>
        <v>46.454499999999996</v>
      </c>
      <c r="BL87" s="4443">
        <f t="shared" si="542"/>
        <v>0</v>
      </c>
      <c r="BM87" s="4385">
        <f t="shared" si="564"/>
        <v>18.2165</v>
      </c>
      <c r="BN87" s="4385">
        <f t="shared" si="610"/>
        <v>18.2165</v>
      </c>
      <c r="BO87" s="4385">
        <f t="shared" si="611"/>
        <v>0</v>
      </c>
      <c r="BP87" s="4442">
        <f t="shared" si="612"/>
        <v>0</v>
      </c>
      <c r="BQ87" s="4407"/>
      <c r="BR87" s="4407"/>
      <c r="BS87" s="4442">
        <f t="shared" si="613"/>
        <v>0</v>
      </c>
      <c r="BT87" s="4407"/>
      <c r="BU87" s="4407"/>
      <c r="BV87" s="4442">
        <f t="shared" si="614"/>
        <v>0</v>
      </c>
      <c r="BW87" s="4407"/>
      <c r="BX87" s="4407"/>
      <c r="BY87" s="4442">
        <f t="shared" si="395"/>
        <v>0</v>
      </c>
      <c r="BZ87" s="4442">
        <f t="shared" si="396"/>
        <v>0</v>
      </c>
      <c r="CA87" s="4442">
        <f t="shared" si="396"/>
        <v>0</v>
      </c>
      <c r="CB87" s="4384">
        <f t="shared" si="616"/>
        <v>72.866</v>
      </c>
      <c r="CC87" s="4446">
        <v>72.866</v>
      </c>
      <c r="CD87" s="4446">
        <v>0</v>
      </c>
      <c r="CE87" s="4443">
        <f t="shared" si="570"/>
        <v>101.104</v>
      </c>
      <c r="CF87" s="4443">
        <f t="shared" si="570"/>
        <v>101.104</v>
      </c>
      <c r="CG87" s="4443">
        <f t="shared" si="570"/>
        <v>0</v>
      </c>
      <c r="CH87" s="4443">
        <f t="shared" si="515"/>
        <v>28.238</v>
      </c>
      <c r="CI87" s="4443">
        <f t="shared" si="515"/>
        <v>28.238</v>
      </c>
      <c r="CJ87" s="4443">
        <f t="shared" si="515"/>
        <v>0</v>
      </c>
      <c r="CK87" s="2774"/>
      <c r="CL87" s="3576">
        <f t="shared" si="615"/>
        <v>72.866</v>
      </c>
      <c r="CM87" s="2774"/>
    </row>
    <row r="88" spans="1:91" ht="18.75" customHeight="1" x14ac:dyDescent="0.3">
      <c r="A88" s="4445" t="s">
        <v>597</v>
      </c>
      <c r="B88" s="4385">
        <f t="shared" si="595"/>
        <v>5.2277500000000003</v>
      </c>
      <c r="C88" s="4385">
        <f t="shared" si="596"/>
        <v>5.2277500000000003</v>
      </c>
      <c r="D88" s="4385">
        <f t="shared" si="597"/>
        <v>0</v>
      </c>
      <c r="E88" s="4442">
        <f t="shared" si="360"/>
        <v>0</v>
      </c>
      <c r="F88" s="4407"/>
      <c r="G88" s="4407"/>
      <c r="H88" s="4442">
        <f t="shared" si="550"/>
        <v>0</v>
      </c>
      <c r="I88" s="4407"/>
      <c r="J88" s="4407"/>
      <c r="K88" s="4442">
        <f t="shared" si="551"/>
        <v>0</v>
      </c>
      <c r="L88" s="4407"/>
      <c r="M88" s="4407"/>
      <c r="N88" s="4442">
        <f t="shared" si="492"/>
        <v>0</v>
      </c>
      <c r="O88" s="4442">
        <f t="shared" si="493"/>
        <v>0</v>
      </c>
      <c r="P88" s="4442">
        <f t="shared" si="493"/>
        <v>0</v>
      </c>
      <c r="Q88" s="4385">
        <f t="shared" si="598"/>
        <v>5.2277500000000003</v>
      </c>
      <c r="R88" s="4385">
        <f t="shared" si="599"/>
        <v>5.2277500000000003</v>
      </c>
      <c r="S88" s="4385">
        <f t="shared" si="600"/>
        <v>0</v>
      </c>
      <c r="T88" s="4442">
        <f t="shared" si="601"/>
        <v>0</v>
      </c>
      <c r="U88" s="4407"/>
      <c r="V88" s="4407"/>
      <c r="W88" s="4442">
        <f t="shared" si="602"/>
        <v>0.99</v>
      </c>
      <c r="X88" s="4407">
        <v>0.99</v>
      </c>
      <c r="Y88" s="4407"/>
      <c r="Z88" s="4442">
        <f t="shared" si="603"/>
        <v>0</v>
      </c>
      <c r="AA88" s="4407"/>
      <c r="AB88" s="4407"/>
      <c r="AC88" s="4442">
        <f t="shared" si="375"/>
        <v>0.99</v>
      </c>
      <c r="AD88" s="4442">
        <f t="shared" si="376"/>
        <v>0.99</v>
      </c>
      <c r="AE88" s="4442">
        <f t="shared" si="376"/>
        <v>0</v>
      </c>
      <c r="AF88" s="4384">
        <f t="shared" si="159"/>
        <v>10.455500000000001</v>
      </c>
      <c r="AG88" s="4384">
        <f t="shared" si="160"/>
        <v>10.455500000000001</v>
      </c>
      <c r="AH88" s="4384">
        <f t="shared" si="161"/>
        <v>0</v>
      </c>
      <c r="AI88" s="4443">
        <f t="shared" si="558"/>
        <v>0.99</v>
      </c>
      <c r="AJ88" s="4443">
        <f t="shared" si="558"/>
        <v>0.99</v>
      </c>
      <c r="AK88" s="4443">
        <f t="shared" si="558"/>
        <v>0</v>
      </c>
      <c r="AL88" s="4443">
        <f t="shared" si="536"/>
        <v>-9.4655000000000005</v>
      </c>
      <c r="AM88" s="4443">
        <f t="shared" si="536"/>
        <v>-9.4655000000000005</v>
      </c>
      <c r="AN88" s="4443">
        <f t="shared" si="536"/>
        <v>0</v>
      </c>
      <c r="AO88" s="4385">
        <f t="shared" si="604"/>
        <v>5.2277500000000003</v>
      </c>
      <c r="AP88" s="4385">
        <f t="shared" si="605"/>
        <v>5.2277500000000003</v>
      </c>
      <c r="AQ88" s="4385">
        <f t="shared" si="606"/>
        <v>0</v>
      </c>
      <c r="AR88" s="4442">
        <f t="shared" si="607"/>
        <v>0</v>
      </c>
      <c r="AS88" s="4407"/>
      <c r="AT88" s="4407"/>
      <c r="AU88" s="4442">
        <f t="shared" si="608"/>
        <v>0</v>
      </c>
      <c r="AV88" s="4407"/>
      <c r="AW88" s="4407"/>
      <c r="AX88" s="4442">
        <f t="shared" si="609"/>
        <v>0</v>
      </c>
      <c r="AY88" s="4407"/>
      <c r="AZ88" s="4407"/>
      <c r="BA88" s="4442">
        <f t="shared" si="385"/>
        <v>0</v>
      </c>
      <c r="BB88" s="4442">
        <f t="shared" si="386"/>
        <v>0</v>
      </c>
      <c r="BC88" s="4442">
        <f t="shared" si="386"/>
        <v>0</v>
      </c>
      <c r="BD88" s="4384">
        <f t="shared" si="174"/>
        <v>15.683250000000001</v>
      </c>
      <c r="BE88" s="4384">
        <f t="shared" si="175"/>
        <v>15.683250000000001</v>
      </c>
      <c r="BF88" s="4384">
        <f t="shared" si="176"/>
        <v>0</v>
      </c>
      <c r="BG88" s="4443">
        <f t="shared" si="507"/>
        <v>0.99</v>
      </c>
      <c r="BH88" s="4443">
        <f t="shared" si="507"/>
        <v>0.99</v>
      </c>
      <c r="BI88" s="4443">
        <f t="shared" si="507"/>
        <v>0</v>
      </c>
      <c r="BJ88" s="4443">
        <f t="shared" si="542"/>
        <v>-14.693250000000001</v>
      </c>
      <c r="BK88" s="4443">
        <f t="shared" si="542"/>
        <v>-14.693250000000001</v>
      </c>
      <c r="BL88" s="4443">
        <f t="shared" si="542"/>
        <v>0</v>
      </c>
      <c r="BM88" s="4385">
        <f t="shared" si="564"/>
        <v>5.2277500000000003</v>
      </c>
      <c r="BN88" s="4385">
        <f t="shared" si="610"/>
        <v>5.2277500000000003</v>
      </c>
      <c r="BO88" s="4385">
        <f t="shared" si="611"/>
        <v>0</v>
      </c>
      <c r="BP88" s="4442">
        <f t="shared" si="612"/>
        <v>0</v>
      </c>
      <c r="BQ88" s="4407"/>
      <c r="BR88" s="4407"/>
      <c r="BS88" s="4442">
        <f t="shared" si="613"/>
        <v>0</v>
      </c>
      <c r="BT88" s="4407"/>
      <c r="BU88" s="4407"/>
      <c r="BV88" s="4442">
        <f t="shared" si="614"/>
        <v>0</v>
      </c>
      <c r="BW88" s="4407"/>
      <c r="BX88" s="4407"/>
      <c r="BY88" s="4442">
        <f t="shared" si="395"/>
        <v>0</v>
      </c>
      <c r="BZ88" s="4442">
        <f t="shared" si="396"/>
        <v>0</v>
      </c>
      <c r="CA88" s="4442">
        <f t="shared" si="396"/>
        <v>0</v>
      </c>
      <c r="CB88" s="4384">
        <f t="shared" si="616"/>
        <v>20.911000000000001</v>
      </c>
      <c r="CC88" s="4446">
        <v>20.911000000000001</v>
      </c>
      <c r="CD88" s="4446">
        <v>0</v>
      </c>
      <c r="CE88" s="4443">
        <f t="shared" si="570"/>
        <v>0.99</v>
      </c>
      <c r="CF88" s="4443">
        <f t="shared" si="570"/>
        <v>0.99</v>
      </c>
      <c r="CG88" s="4443">
        <f t="shared" si="570"/>
        <v>0</v>
      </c>
      <c r="CH88" s="4443">
        <f t="shared" si="515"/>
        <v>-19.921000000000003</v>
      </c>
      <c r="CI88" s="4443">
        <f t="shared" si="515"/>
        <v>-19.921000000000003</v>
      </c>
      <c r="CJ88" s="4443">
        <f t="shared" si="515"/>
        <v>0</v>
      </c>
      <c r="CK88" s="2774"/>
      <c r="CL88" s="3576">
        <f t="shared" si="615"/>
        <v>20.911000000000001</v>
      </c>
      <c r="CM88" s="2774"/>
    </row>
    <row r="89" spans="1:91" ht="18.75" customHeight="1" x14ac:dyDescent="0.3">
      <c r="A89" s="4445" t="s">
        <v>32</v>
      </c>
      <c r="B89" s="4385">
        <f t="shared" si="595"/>
        <v>8.6875</v>
      </c>
      <c r="C89" s="4385">
        <f t="shared" si="596"/>
        <v>8.6875</v>
      </c>
      <c r="D89" s="4385">
        <f t="shared" si="597"/>
        <v>0</v>
      </c>
      <c r="E89" s="4442">
        <f t="shared" si="360"/>
        <v>8.4</v>
      </c>
      <c r="F89" s="4407">
        <v>8.4</v>
      </c>
      <c r="G89" s="4407"/>
      <c r="H89" s="4442">
        <f t="shared" si="550"/>
        <v>0</v>
      </c>
      <c r="I89" s="4407"/>
      <c r="J89" s="4407"/>
      <c r="K89" s="4442">
        <f t="shared" si="551"/>
        <v>0</v>
      </c>
      <c r="L89" s="4407"/>
      <c r="M89" s="4407"/>
      <c r="N89" s="4442">
        <f t="shared" si="492"/>
        <v>8.4</v>
      </c>
      <c r="O89" s="4442">
        <f t="shared" si="493"/>
        <v>8.4</v>
      </c>
      <c r="P89" s="4442">
        <f t="shared" si="493"/>
        <v>0</v>
      </c>
      <c r="Q89" s="4385">
        <f t="shared" si="598"/>
        <v>8.6875</v>
      </c>
      <c r="R89" s="4385">
        <f t="shared" si="599"/>
        <v>8.6875</v>
      </c>
      <c r="S89" s="4385">
        <f t="shared" si="600"/>
        <v>0</v>
      </c>
      <c r="T89" s="4442">
        <f t="shared" si="601"/>
        <v>37.017000000000003</v>
      </c>
      <c r="U89" s="4407">
        <v>37.017000000000003</v>
      </c>
      <c r="V89" s="4407"/>
      <c r="W89" s="4442">
        <f t="shared" si="602"/>
        <v>0</v>
      </c>
      <c r="X89" s="4407"/>
      <c r="Y89" s="4407"/>
      <c r="Z89" s="4442">
        <f t="shared" si="603"/>
        <v>9.4499999999999993</v>
      </c>
      <c r="AA89" s="4407">
        <v>9.4499999999999993</v>
      </c>
      <c r="AB89" s="4407"/>
      <c r="AC89" s="4442">
        <f t="shared" si="375"/>
        <v>46.466999999999999</v>
      </c>
      <c r="AD89" s="4442">
        <f t="shared" si="376"/>
        <v>46.466999999999999</v>
      </c>
      <c r="AE89" s="4442">
        <f t="shared" si="376"/>
        <v>0</v>
      </c>
      <c r="AF89" s="4384">
        <f t="shared" si="159"/>
        <v>17.375</v>
      </c>
      <c r="AG89" s="4384">
        <f t="shared" si="160"/>
        <v>17.375</v>
      </c>
      <c r="AH89" s="4384">
        <f t="shared" si="161"/>
        <v>0</v>
      </c>
      <c r="AI89" s="4443">
        <f t="shared" si="558"/>
        <v>54.866999999999997</v>
      </c>
      <c r="AJ89" s="4443">
        <f t="shared" si="558"/>
        <v>54.866999999999997</v>
      </c>
      <c r="AK89" s="4443">
        <f t="shared" si="558"/>
        <v>0</v>
      </c>
      <c r="AL89" s="4443">
        <f t="shared" si="536"/>
        <v>37.491999999999997</v>
      </c>
      <c r="AM89" s="4443">
        <f t="shared" si="536"/>
        <v>37.491999999999997</v>
      </c>
      <c r="AN89" s="4443">
        <f t="shared" si="536"/>
        <v>0</v>
      </c>
      <c r="AO89" s="4385">
        <f t="shared" si="604"/>
        <v>8.6875</v>
      </c>
      <c r="AP89" s="4385">
        <f t="shared" si="605"/>
        <v>8.6875</v>
      </c>
      <c r="AQ89" s="4385">
        <f t="shared" si="606"/>
        <v>0</v>
      </c>
      <c r="AR89" s="4442">
        <f t="shared" si="607"/>
        <v>0</v>
      </c>
      <c r="AS89" s="4407"/>
      <c r="AT89" s="4407"/>
      <c r="AU89" s="4442">
        <f t="shared" si="608"/>
        <v>0</v>
      </c>
      <c r="AV89" s="4407"/>
      <c r="AW89" s="4407"/>
      <c r="AX89" s="4442">
        <f t="shared" si="609"/>
        <v>0</v>
      </c>
      <c r="AY89" s="4407"/>
      <c r="AZ89" s="4407"/>
      <c r="BA89" s="4442">
        <f t="shared" si="385"/>
        <v>0</v>
      </c>
      <c r="BB89" s="4442">
        <f t="shared" si="386"/>
        <v>0</v>
      </c>
      <c r="BC89" s="4442">
        <f t="shared" si="386"/>
        <v>0</v>
      </c>
      <c r="BD89" s="4384">
        <f t="shared" si="174"/>
        <v>26.0625</v>
      </c>
      <c r="BE89" s="4384">
        <f t="shared" si="175"/>
        <v>26.0625</v>
      </c>
      <c r="BF89" s="4384">
        <f t="shared" si="176"/>
        <v>0</v>
      </c>
      <c r="BG89" s="4443">
        <f t="shared" si="507"/>
        <v>54.866999999999997</v>
      </c>
      <c r="BH89" s="4443">
        <f t="shared" si="507"/>
        <v>54.866999999999997</v>
      </c>
      <c r="BI89" s="4443">
        <f t="shared" si="507"/>
        <v>0</v>
      </c>
      <c r="BJ89" s="4443">
        <f t="shared" si="542"/>
        <v>28.804499999999997</v>
      </c>
      <c r="BK89" s="4443">
        <f t="shared" si="542"/>
        <v>28.804499999999997</v>
      </c>
      <c r="BL89" s="4443">
        <f t="shared" si="542"/>
        <v>0</v>
      </c>
      <c r="BM89" s="4385">
        <f t="shared" si="564"/>
        <v>8.6875</v>
      </c>
      <c r="BN89" s="4385">
        <f t="shared" si="610"/>
        <v>8.6875</v>
      </c>
      <c r="BO89" s="4385">
        <f t="shared" si="611"/>
        <v>0</v>
      </c>
      <c r="BP89" s="4442">
        <f t="shared" si="612"/>
        <v>0</v>
      </c>
      <c r="BQ89" s="4407"/>
      <c r="BR89" s="4407"/>
      <c r="BS89" s="4442">
        <f t="shared" si="613"/>
        <v>0</v>
      </c>
      <c r="BT89" s="4407"/>
      <c r="BU89" s="4407"/>
      <c r="BV89" s="4442">
        <f t="shared" si="614"/>
        <v>0</v>
      </c>
      <c r="BW89" s="4407"/>
      <c r="BX89" s="4407"/>
      <c r="BY89" s="4442">
        <f t="shared" si="395"/>
        <v>0</v>
      </c>
      <c r="BZ89" s="4442">
        <f t="shared" si="396"/>
        <v>0</v>
      </c>
      <c r="CA89" s="4442">
        <f t="shared" si="396"/>
        <v>0</v>
      </c>
      <c r="CB89" s="4384">
        <f t="shared" si="616"/>
        <v>34.75</v>
      </c>
      <c r="CC89" s="4446">
        <v>34.75</v>
      </c>
      <c r="CD89" s="4446">
        <v>0</v>
      </c>
      <c r="CE89" s="4443">
        <f t="shared" si="570"/>
        <v>54.866999999999997</v>
      </c>
      <c r="CF89" s="4443">
        <f t="shared" si="570"/>
        <v>54.866999999999997</v>
      </c>
      <c r="CG89" s="4443">
        <f t="shared" si="570"/>
        <v>0</v>
      </c>
      <c r="CH89" s="4443">
        <f t="shared" si="515"/>
        <v>20.116999999999997</v>
      </c>
      <c r="CI89" s="4443">
        <f t="shared" si="515"/>
        <v>20.116999999999997</v>
      </c>
      <c r="CJ89" s="4443">
        <f t="shared" si="515"/>
        <v>0</v>
      </c>
      <c r="CK89" s="2774"/>
      <c r="CL89" s="3576">
        <f t="shared" si="615"/>
        <v>34.75</v>
      </c>
      <c r="CM89" s="2774"/>
    </row>
    <row r="90" spans="1:91" ht="18.75" customHeight="1" x14ac:dyDescent="0.3">
      <c r="A90" s="4445" t="s">
        <v>589</v>
      </c>
      <c r="B90" s="4385">
        <f t="shared" si="595"/>
        <v>4.5540000000000003</v>
      </c>
      <c r="C90" s="4447">
        <f t="shared" ref="C90:D90" si="617">SUM(C91)</f>
        <v>4.5540000000000003</v>
      </c>
      <c r="D90" s="4447">
        <f t="shared" si="617"/>
        <v>0</v>
      </c>
      <c r="E90" s="4442">
        <f t="shared" si="360"/>
        <v>8.3000000000000004E-2</v>
      </c>
      <c r="F90" s="4442">
        <f t="shared" ref="F90:G90" si="618">SUM(F91)</f>
        <v>8.3000000000000004E-2</v>
      </c>
      <c r="G90" s="4442">
        <f t="shared" si="618"/>
        <v>0</v>
      </c>
      <c r="H90" s="4442">
        <f t="shared" si="550"/>
        <v>0.5</v>
      </c>
      <c r="I90" s="4442">
        <f t="shared" ref="I90:J90" si="619">SUM(I91)</f>
        <v>0.5</v>
      </c>
      <c r="J90" s="4442">
        <f t="shared" si="619"/>
        <v>0</v>
      </c>
      <c r="K90" s="4442">
        <f t="shared" si="551"/>
        <v>0.35299999999999998</v>
      </c>
      <c r="L90" s="4442">
        <f t="shared" ref="L90:M90" si="620">SUM(L91)</f>
        <v>0.35299999999999998</v>
      </c>
      <c r="M90" s="4442">
        <f t="shared" si="620"/>
        <v>0</v>
      </c>
      <c r="N90" s="4442">
        <f t="shared" si="492"/>
        <v>0.93599999999999994</v>
      </c>
      <c r="O90" s="4442">
        <f t="shared" si="493"/>
        <v>0.93599999999999994</v>
      </c>
      <c r="P90" s="4442">
        <f t="shared" si="493"/>
        <v>0</v>
      </c>
      <c r="Q90" s="4385">
        <f t="shared" si="598"/>
        <v>4.5540000000000003</v>
      </c>
      <c r="R90" s="4447">
        <f t="shared" ref="R90:S90" si="621">SUM(R91)</f>
        <v>4.5540000000000003</v>
      </c>
      <c r="S90" s="4447">
        <f t="shared" si="621"/>
        <v>0</v>
      </c>
      <c r="T90" s="4442">
        <f>SUM(T91)</f>
        <v>6.2510000000000003</v>
      </c>
      <c r="U90" s="4442">
        <f t="shared" ref="U90:V90" si="622">SUM(U91)</f>
        <v>6.2510000000000003</v>
      </c>
      <c r="V90" s="4442">
        <f t="shared" si="622"/>
        <v>0</v>
      </c>
      <c r="W90" s="4442">
        <f>SUM(W91)</f>
        <v>13.385999999999999</v>
      </c>
      <c r="X90" s="4442">
        <f t="shared" ref="X90:Y90" si="623">SUM(X91)</f>
        <v>13.385999999999999</v>
      </c>
      <c r="Y90" s="4442">
        <f t="shared" si="623"/>
        <v>0</v>
      </c>
      <c r="Z90" s="4442">
        <f>SUM(Z91)</f>
        <v>0</v>
      </c>
      <c r="AA90" s="4442">
        <f t="shared" ref="AA90:AB90" si="624">SUM(AA91)</f>
        <v>0</v>
      </c>
      <c r="AB90" s="4442">
        <f t="shared" si="624"/>
        <v>0</v>
      </c>
      <c r="AC90" s="4442">
        <f t="shared" si="375"/>
        <v>19.637</v>
      </c>
      <c r="AD90" s="4442">
        <f t="shared" si="376"/>
        <v>19.637</v>
      </c>
      <c r="AE90" s="4442">
        <f t="shared" si="376"/>
        <v>0</v>
      </c>
      <c r="AF90" s="4384">
        <f t="shared" si="159"/>
        <v>9.1080000000000005</v>
      </c>
      <c r="AG90" s="4384">
        <f t="shared" si="160"/>
        <v>9.1080000000000005</v>
      </c>
      <c r="AH90" s="4384">
        <f t="shared" si="161"/>
        <v>0</v>
      </c>
      <c r="AI90" s="4443">
        <f t="shared" si="558"/>
        <v>20.573</v>
      </c>
      <c r="AJ90" s="4443">
        <f t="shared" si="558"/>
        <v>20.573</v>
      </c>
      <c r="AK90" s="4443">
        <f t="shared" si="558"/>
        <v>0</v>
      </c>
      <c r="AL90" s="4443">
        <f t="shared" si="536"/>
        <v>11.465</v>
      </c>
      <c r="AM90" s="4443">
        <f t="shared" si="536"/>
        <v>11.465</v>
      </c>
      <c r="AN90" s="4443">
        <f t="shared" si="536"/>
        <v>0</v>
      </c>
      <c r="AO90" s="4385">
        <f t="shared" si="604"/>
        <v>4.5540000000000003</v>
      </c>
      <c r="AP90" s="4447">
        <f t="shared" ref="AP90:AQ90" si="625">SUM(AP91)</f>
        <v>4.5540000000000003</v>
      </c>
      <c r="AQ90" s="4447">
        <f t="shared" si="625"/>
        <v>0</v>
      </c>
      <c r="AR90" s="4442">
        <f>SUM(AR91)</f>
        <v>4.5530000000000001E-2</v>
      </c>
      <c r="AS90" s="4442">
        <f t="shared" ref="AS90:AT90" si="626">SUM(AS91)</f>
        <v>4.5530000000000001E-2</v>
      </c>
      <c r="AT90" s="4442">
        <f t="shared" si="626"/>
        <v>0</v>
      </c>
      <c r="AU90" s="4442">
        <f>SUM(AU91)</f>
        <v>0</v>
      </c>
      <c r="AV90" s="4442">
        <f t="shared" ref="AV90:AW90" si="627">SUM(AV91)</f>
        <v>0</v>
      </c>
      <c r="AW90" s="4442">
        <f t="shared" si="627"/>
        <v>0</v>
      </c>
      <c r="AX90" s="4442">
        <f>SUM(AX91)</f>
        <v>0</v>
      </c>
      <c r="AY90" s="4442">
        <f t="shared" ref="AY90:AZ90" si="628">SUM(AY91)</f>
        <v>0</v>
      </c>
      <c r="AZ90" s="4442">
        <f t="shared" si="628"/>
        <v>0</v>
      </c>
      <c r="BA90" s="4442">
        <f t="shared" si="385"/>
        <v>4.5530000000000001E-2</v>
      </c>
      <c r="BB90" s="4442">
        <f t="shared" si="386"/>
        <v>4.5530000000000001E-2</v>
      </c>
      <c r="BC90" s="4442">
        <f t="shared" si="386"/>
        <v>0</v>
      </c>
      <c r="BD90" s="4384">
        <f t="shared" si="174"/>
        <v>13.662000000000001</v>
      </c>
      <c r="BE90" s="4384">
        <f t="shared" si="175"/>
        <v>13.662000000000001</v>
      </c>
      <c r="BF90" s="4384">
        <f t="shared" si="176"/>
        <v>0</v>
      </c>
      <c r="BG90" s="4443">
        <f t="shared" si="507"/>
        <v>20.61853</v>
      </c>
      <c r="BH90" s="4443">
        <f t="shared" si="507"/>
        <v>20.61853</v>
      </c>
      <c r="BI90" s="4443">
        <f t="shared" si="507"/>
        <v>0</v>
      </c>
      <c r="BJ90" s="4443">
        <f t="shared" si="542"/>
        <v>6.956529999999999</v>
      </c>
      <c r="BK90" s="4443">
        <f t="shared" si="542"/>
        <v>6.956529999999999</v>
      </c>
      <c r="BL90" s="4443">
        <f t="shared" si="542"/>
        <v>0</v>
      </c>
      <c r="BM90" s="4385">
        <f t="shared" si="564"/>
        <v>4.5540000000000003</v>
      </c>
      <c r="BN90" s="4447">
        <f t="shared" ref="BN90:BO90" si="629">SUM(BN91)</f>
        <v>4.5540000000000003</v>
      </c>
      <c r="BO90" s="4447">
        <f t="shared" si="629"/>
        <v>0</v>
      </c>
      <c r="BP90" s="4442">
        <f>SUM(BP91)</f>
        <v>0</v>
      </c>
      <c r="BQ90" s="4442">
        <f t="shared" ref="BQ90:BR90" si="630">SUM(BQ91)</f>
        <v>0</v>
      </c>
      <c r="BR90" s="4442">
        <f t="shared" si="630"/>
        <v>0</v>
      </c>
      <c r="BS90" s="4442">
        <f>SUM(BS91)</f>
        <v>0</v>
      </c>
      <c r="BT90" s="4442">
        <f t="shared" ref="BT90:BU90" si="631">SUM(BT91)</f>
        <v>0</v>
      </c>
      <c r="BU90" s="4442">
        <f t="shared" si="631"/>
        <v>0</v>
      </c>
      <c r="BV90" s="4442">
        <f>SUM(BV91)</f>
        <v>0</v>
      </c>
      <c r="BW90" s="4442">
        <f t="shared" ref="BW90:BX90" si="632">SUM(BW91)</f>
        <v>0</v>
      </c>
      <c r="BX90" s="4442">
        <f t="shared" si="632"/>
        <v>0</v>
      </c>
      <c r="BY90" s="4442">
        <f t="shared" si="395"/>
        <v>0</v>
      </c>
      <c r="BZ90" s="4442">
        <f t="shared" si="396"/>
        <v>0</v>
      </c>
      <c r="CA90" s="4442">
        <f t="shared" si="396"/>
        <v>0</v>
      </c>
      <c r="CB90" s="4384">
        <f t="shared" si="616"/>
        <v>18.216000000000001</v>
      </c>
      <c r="CC90" s="4448">
        <f t="shared" ref="CC90:CD90" si="633">SUM(CC91)</f>
        <v>18.216000000000001</v>
      </c>
      <c r="CD90" s="4448">
        <f t="shared" si="633"/>
        <v>0</v>
      </c>
      <c r="CE90" s="4443">
        <f t="shared" si="570"/>
        <v>20.61853</v>
      </c>
      <c r="CF90" s="4443">
        <f t="shared" si="570"/>
        <v>20.61853</v>
      </c>
      <c r="CG90" s="4443">
        <f t="shared" si="570"/>
        <v>0</v>
      </c>
      <c r="CH90" s="4443">
        <f t="shared" si="515"/>
        <v>2.4025299999999987</v>
      </c>
      <c r="CI90" s="4443">
        <f t="shared" si="515"/>
        <v>2.4025299999999987</v>
      </c>
      <c r="CJ90" s="4443">
        <f t="shared" si="515"/>
        <v>0</v>
      </c>
      <c r="CK90" s="2774"/>
      <c r="CL90" s="3576">
        <f t="shared" si="615"/>
        <v>18.216000000000001</v>
      </c>
      <c r="CM90" s="2774"/>
    </row>
    <row r="91" spans="1:91" ht="18.75" customHeight="1" x14ac:dyDescent="0.3">
      <c r="A91" s="4412" t="s">
        <v>546</v>
      </c>
      <c r="B91" s="4391">
        <f t="shared" ref="B91:B94" si="634">SUM(C91:D91)</f>
        <v>4.5540000000000003</v>
      </c>
      <c r="C91" s="4391">
        <f t="shared" ref="C91" si="635">SUM(CC91/4)</f>
        <v>4.5540000000000003</v>
      </c>
      <c r="D91" s="4391">
        <f t="shared" ref="D91" si="636">SUM(CD91/4)</f>
        <v>0</v>
      </c>
      <c r="E91" s="4420">
        <f t="shared" si="360"/>
        <v>8.3000000000000004E-2</v>
      </c>
      <c r="F91" s="4411">
        <v>8.3000000000000004E-2</v>
      </c>
      <c r="G91" s="4411"/>
      <c r="H91" s="4420">
        <f t="shared" si="550"/>
        <v>0.5</v>
      </c>
      <c r="I91" s="4411">
        <v>0.5</v>
      </c>
      <c r="J91" s="4411"/>
      <c r="K91" s="4420">
        <f t="shared" si="551"/>
        <v>0.35299999999999998</v>
      </c>
      <c r="L91" s="4411">
        <v>0.35299999999999998</v>
      </c>
      <c r="M91" s="4411"/>
      <c r="N91" s="4420">
        <f t="shared" si="492"/>
        <v>0.93599999999999994</v>
      </c>
      <c r="O91" s="4420">
        <f t="shared" si="493"/>
        <v>0.93599999999999994</v>
      </c>
      <c r="P91" s="4420">
        <f t="shared" si="493"/>
        <v>0</v>
      </c>
      <c r="Q91" s="4391">
        <f t="shared" ref="Q91:Q101" si="637">SUM(R91:S91)</f>
        <v>4.5540000000000003</v>
      </c>
      <c r="R91" s="4391">
        <f t="shared" ref="R91" si="638">SUM(C91)</f>
        <v>4.5540000000000003</v>
      </c>
      <c r="S91" s="4391">
        <f t="shared" ref="S91" si="639">SUM(D91)</f>
        <v>0</v>
      </c>
      <c r="T91" s="4420">
        <f t="shared" ref="T91" si="640">SUM(U91:V91)</f>
        <v>6.2510000000000003</v>
      </c>
      <c r="U91" s="4411">
        <v>6.2510000000000003</v>
      </c>
      <c r="V91" s="4411"/>
      <c r="W91" s="4420">
        <f t="shared" ref="W91" si="641">SUM(X91:Y91)</f>
        <v>13.385999999999999</v>
      </c>
      <c r="X91" s="4411">
        <v>13.385999999999999</v>
      </c>
      <c r="Y91" s="4411"/>
      <c r="Z91" s="4420">
        <f t="shared" ref="Z91" si="642">SUM(AA91:AB91)</f>
        <v>0</v>
      </c>
      <c r="AA91" s="4411"/>
      <c r="AB91" s="4411"/>
      <c r="AC91" s="4420">
        <f t="shared" si="375"/>
        <v>19.637</v>
      </c>
      <c r="AD91" s="4420">
        <f t="shared" si="376"/>
        <v>19.637</v>
      </c>
      <c r="AE91" s="4420">
        <f t="shared" si="376"/>
        <v>0</v>
      </c>
      <c r="AF91" s="4371">
        <f t="shared" si="159"/>
        <v>9.1080000000000005</v>
      </c>
      <c r="AG91" s="4371">
        <f t="shared" si="160"/>
        <v>9.1080000000000005</v>
      </c>
      <c r="AH91" s="4371">
        <f t="shared" si="161"/>
        <v>0</v>
      </c>
      <c r="AI91" s="4444">
        <f t="shared" si="558"/>
        <v>20.573</v>
      </c>
      <c r="AJ91" s="4444">
        <f t="shared" si="558"/>
        <v>20.573</v>
      </c>
      <c r="AK91" s="4444">
        <f t="shared" si="558"/>
        <v>0</v>
      </c>
      <c r="AL91" s="4444">
        <f t="shared" si="536"/>
        <v>11.465</v>
      </c>
      <c r="AM91" s="4444">
        <f t="shared" si="536"/>
        <v>11.465</v>
      </c>
      <c r="AN91" s="4444">
        <f t="shared" si="536"/>
        <v>0</v>
      </c>
      <c r="AO91" s="4391">
        <f t="shared" ref="AO91" si="643">SUM(AP91:AQ91)</f>
        <v>4.5540000000000003</v>
      </c>
      <c r="AP91" s="4391">
        <f t="shared" ref="AP91" si="644">SUM(CC91-AG91)/2</f>
        <v>4.5540000000000003</v>
      </c>
      <c r="AQ91" s="4391">
        <f t="shared" ref="AQ91" si="645">SUM(CD91-AH91)/2</f>
        <v>0</v>
      </c>
      <c r="AR91" s="4420">
        <f t="shared" ref="AR91" si="646">SUM(AS91:AT91)</f>
        <v>4.5530000000000001E-2</v>
      </c>
      <c r="AS91" s="4411">
        <v>4.5530000000000001E-2</v>
      </c>
      <c r="AT91" s="4411"/>
      <c r="AU91" s="4420">
        <f t="shared" ref="AU91" si="647">SUM(AV91:AW91)</f>
        <v>0</v>
      </c>
      <c r="AV91" s="4411"/>
      <c r="AW91" s="4411"/>
      <c r="AX91" s="4420">
        <f t="shared" ref="AX91" si="648">SUM(AY91:AZ91)</f>
        <v>0</v>
      </c>
      <c r="AY91" s="4411"/>
      <c r="AZ91" s="4411"/>
      <c r="BA91" s="4420">
        <f t="shared" si="385"/>
        <v>4.5530000000000001E-2</v>
      </c>
      <c r="BB91" s="4420">
        <f t="shared" si="386"/>
        <v>4.5530000000000001E-2</v>
      </c>
      <c r="BC91" s="4420">
        <f t="shared" si="386"/>
        <v>0</v>
      </c>
      <c r="BD91" s="4371">
        <f t="shared" si="174"/>
        <v>13.662000000000001</v>
      </c>
      <c r="BE91" s="4371">
        <f t="shared" si="175"/>
        <v>13.662000000000001</v>
      </c>
      <c r="BF91" s="4371">
        <f t="shared" si="176"/>
        <v>0</v>
      </c>
      <c r="BG91" s="4444">
        <f t="shared" si="507"/>
        <v>20.61853</v>
      </c>
      <c r="BH91" s="4444">
        <f t="shared" si="507"/>
        <v>20.61853</v>
      </c>
      <c r="BI91" s="4444">
        <f t="shared" si="507"/>
        <v>0</v>
      </c>
      <c r="BJ91" s="4444">
        <f t="shared" si="542"/>
        <v>6.956529999999999</v>
      </c>
      <c r="BK91" s="4444">
        <f t="shared" si="542"/>
        <v>6.956529999999999</v>
      </c>
      <c r="BL91" s="4444">
        <f t="shared" si="542"/>
        <v>0</v>
      </c>
      <c r="BM91" s="4391">
        <f t="shared" ref="BM91:BM94" si="649">SUM(BN91:BO91)</f>
        <v>4.5540000000000003</v>
      </c>
      <c r="BN91" s="4391">
        <f t="shared" ref="BN91" si="650">SUM(AP91)</f>
        <v>4.5540000000000003</v>
      </c>
      <c r="BO91" s="4391">
        <f t="shared" ref="BO91" si="651">SUM(AQ91)</f>
        <v>0</v>
      </c>
      <c r="BP91" s="4420">
        <f t="shared" ref="BP91" si="652">SUM(BQ91:BR91)</f>
        <v>0</v>
      </c>
      <c r="BQ91" s="4411"/>
      <c r="BR91" s="4411"/>
      <c r="BS91" s="4420">
        <f t="shared" ref="BS91" si="653">SUM(BT91:BU91)</f>
        <v>0</v>
      </c>
      <c r="BT91" s="4411"/>
      <c r="BU91" s="4411"/>
      <c r="BV91" s="4420">
        <f t="shared" ref="BV91" si="654">SUM(BW91:BX91)</f>
        <v>0</v>
      </c>
      <c r="BW91" s="4411"/>
      <c r="BX91" s="4411"/>
      <c r="BY91" s="4420">
        <f t="shared" si="395"/>
        <v>0</v>
      </c>
      <c r="BZ91" s="4420">
        <f t="shared" si="396"/>
        <v>0</v>
      </c>
      <c r="CA91" s="4420">
        <f t="shared" si="396"/>
        <v>0</v>
      </c>
      <c r="CB91" s="4371">
        <f t="shared" si="616"/>
        <v>18.216000000000001</v>
      </c>
      <c r="CC91" s="4449">
        <v>18.216000000000001</v>
      </c>
      <c r="CD91" s="4449">
        <v>0</v>
      </c>
      <c r="CE91" s="4444">
        <f t="shared" si="570"/>
        <v>20.61853</v>
      </c>
      <c r="CF91" s="4444">
        <f t="shared" si="570"/>
        <v>20.61853</v>
      </c>
      <c r="CG91" s="4444">
        <f t="shared" si="570"/>
        <v>0</v>
      </c>
      <c r="CH91" s="4444">
        <f t="shared" si="515"/>
        <v>2.4025299999999987</v>
      </c>
      <c r="CI91" s="4444">
        <f t="shared" si="515"/>
        <v>2.4025299999999987</v>
      </c>
      <c r="CJ91" s="4444">
        <f t="shared" si="515"/>
        <v>0</v>
      </c>
      <c r="CK91" s="2774"/>
      <c r="CL91" s="3576">
        <f t="shared" si="615"/>
        <v>18.216000000000001</v>
      </c>
      <c r="CM91" s="2774"/>
    </row>
    <row r="92" spans="1:91" ht="18.75" customHeight="1" x14ac:dyDescent="0.3">
      <c r="A92" s="4445" t="s">
        <v>592</v>
      </c>
      <c r="B92" s="4385">
        <f t="shared" si="634"/>
        <v>0.10375</v>
      </c>
      <c r="C92" s="4447">
        <f t="shared" ref="C92:D92" si="655">SUM(C93)</f>
        <v>0.10375</v>
      </c>
      <c r="D92" s="4447">
        <f t="shared" si="655"/>
        <v>0</v>
      </c>
      <c r="E92" s="4442">
        <f t="shared" si="360"/>
        <v>0</v>
      </c>
      <c r="F92" s="4442">
        <f t="shared" ref="F92:G92" si="656">SUM(F93)</f>
        <v>0</v>
      </c>
      <c r="G92" s="4442">
        <f t="shared" si="656"/>
        <v>0</v>
      </c>
      <c r="H92" s="4442">
        <f t="shared" si="550"/>
        <v>0</v>
      </c>
      <c r="I92" s="4442">
        <f t="shared" ref="I92:J92" si="657">SUM(I93)</f>
        <v>0</v>
      </c>
      <c r="J92" s="4442">
        <f t="shared" si="657"/>
        <v>0</v>
      </c>
      <c r="K92" s="4442">
        <f t="shared" si="551"/>
        <v>0</v>
      </c>
      <c r="L92" s="4442">
        <f t="shared" ref="L92:M92" si="658">SUM(L93)</f>
        <v>0</v>
      </c>
      <c r="M92" s="4442">
        <f t="shared" si="658"/>
        <v>0</v>
      </c>
      <c r="N92" s="4442">
        <f t="shared" si="492"/>
        <v>0</v>
      </c>
      <c r="O92" s="4442">
        <f t="shared" si="493"/>
        <v>0</v>
      </c>
      <c r="P92" s="4442">
        <f t="shared" si="493"/>
        <v>0</v>
      </c>
      <c r="Q92" s="4385">
        <f t="shared" si="637"/>
        <v>0.10375</v>
      </c>
      <c r="R92" s="4447">
        <f t="shared" ref="R92:S92" si="659">SUM(R93)</f>
        <v>0.10375</v>
      </c>
      <c r="S92" s="4447">
        <f t="shared" si="659"/>
        <v>0</v>
      </c>
      <c r="T92" s="4442">
        <f>SUM(T93)</f>
        <v>0</v>
      </c>
      <c r="U92" s="4442">
        <f t="shared" ref="U92:V92" si="660">SUM(U93)</f>
        <v>0</v>
      </c>
      <c r="V92" s="4442">
        <f t="shared" si="660"/>
        <v>0</v>
      </c>
      <c r="W92" s="4442">
        <f>SUM(W93)</f>
        <v>0</v>
      </c>
      <c r="X92" s="4442">
        <f t="shared" ref="X92:Y92" si="661">SUM(X93)</f>
        <v>0</v>
      </c>
      <c r="Y92" s="4442">
        <f t="shared" si="661"/>
        <v>0</v>
      </c>
      <c r="Z92" s="4442">
        <f>SUM(Z93)</f>
        <v>0</v>
      </c>
      <c r="AA92" s="4442">
        <f t="shared" ref="AA92:AB92" si="662">SUM(AA93)</f>
        <v>0</v>
      </c>
      <c r="AB92" s="4442">
        <f t="shared" si="662"/>
        <v>0</v>
      </c>
      <c r="AC92" s="4442">
        <f t="shared" si="375"/>
        <v>0</v>
      </c>
      <c r="AD92" s="4442">
        <f t="shared" si="376"/>
        <v>0</v>
      </c>
      <c r="AE92" s="4442">
        <f t="shared" si="376"/>
        <v>0</v>
      </c>
      <c r="AF92" s="4384">
        <f t="shared" si="159"/>
        <v>0.20749999999999999</v>
      </c>
      <c r="AG92" s="4384">
        <f t="shared" si="160"/>
        <v>0.20749999999999999</v>
      </c>
      <c r="AH92" s="4384">
        <f t="shared" si="161"/>
        <v>0</v>
      </c>
      <c r="AI92" s="4443">
        <f t="shared" si="558"/>
        <v>0</v>
      </c>
      <c r="AJ92" s="4443">
        <f t="shared" si="558"/>
        <v>0</v>
      </c>
      <c r="AK92" s="4443">
        <f t="shared" si="558"/>
        <v>0</v>
      </c>
      <c r="AL92" s="4443">
        <f t="shared" si="536"/>
        <v>-0.20749999999999999</v>
      </c>
      <c r="AM92" s="4443">
        <f t="shared" si="536"/>
        <v>-0.20749999999999999</v>
      </c>
      <c r="AN92" s="4443">
        <f t="shared" si="536"/>
        <v>0</v>
      </c>
      <c r="AO92" s="4385">
        <f t="shared" si="604"/>
        <v>0.10375</v>
      </c>
      <c r="AP92" s="4447">
        <f t="shared" ref="AP92:AQ92" si="663">SUM(AP93)</f>
        <v>0.10375</v>
      </c>
      <c r="AQ92" s="4447">
        <f t="shared" si="663"/>
        <v>0</v>
      </c>
      <c r="AR92" s="4442">
        <f>SUM(AR93)</f>
        <v>0</v>
      </c>
      <c r="AS92" s="4442">
        <f t="shared" ref="AS92:AT92" si="664">SUM(AS93)</f>
        <v>0</v>
      </c>
      <c r="AT92" s="4442">
        <f t="shared" si="664"/>
        <v>0</v>
      </c>
      <c r="AU92" s="4442">
        <f>SUM(AU93)</f>
        <v>0</v>
      </c>
      <c r="AV92" s="4442">
        <f t="shared" ref="AV92:AW92" si="665">SUM(AV93)</f>
        <v>0</v>
      </c>
      <c r="AW92" s="4442">
        <f t="shared" si="665"/>
        <v>0</v>
      </c>
      <c r="AX92" s="4442">
        <f>SUM(AX93)</f>
        <v>0</v>
      </c>
      <c r="AY92" s="4442">
        <f t="shared" ref="AY92:AZ92" si="666">SUM(AY93)</f>
        <v>0</v>
      </c>
      <c r="AZ92" s="4442">
        <f t="shared" si="666"/>
        <v>0</v>
      </c>
      <c r="BA92" s="4442">
        <f t="shared" si="385"/>
        <v>0</v>
      </c>
      <c r="BB92" s="4442">
        <f t="shared" si="386"/>
        <v>0</v>
      </c>
      <c r="BC92" s="4442">
        <f t="shared" si="386"/>
        <v>0</v>
      </c>
      <c r="BD92" s="4384">
        <f t="shared" si="174"/>
        <v>0.31124999999999997</v>
      </c>
      <c r="BE92" s="4384">
        <f t="shared" si="175"/>
        <v>0.31124999999999997</v>
      </c>
      <c r="BF92" s="4384">
        <f t="shared" si="176"/>
        <v>0</v>
      </c>
      <c r="BG92" s="4443">
        <f t="shared" si="507"/>
        <v>0</v>
      </c>
      <c r="BH92" s="4443">
        <f t="shared" si="507"/>
        <v>0</v>
      </c>
      <c r="BI92" s="4443">
        <f t="shared" si="507"/>
        <v>0</v>
      </c>
      <c r="BJ92" s="4443">
        <f t="shared" si="542"/>
        <v>-0.31124999999999997</v>
      </c>
      <c r="BK92" s="4443">
        <f t="shared" si="542"/>
        <v>-0.31124999999999997</v>
      </c>
      <c r="BL92" s="4443">
        <f t="shared" si="542"/>
        <v>0</v>
      </c>
      <c r="BM92" s="4385">
        <f t="shared" si="649"/>
        <v>0.10375</v>
      </c>
      <c r="BN92" s="4447">
        <f t="shared" ref="BN92:BO92" si="667">SUM(BN93)</f>
        <v>0.10375</v>
      </c>
      <c r="BO92" s="4447">
        <f t="shared" si="667"/>
        <v>0</v>
      </c>
      <c r="BP92" s="4442">
        <f>SUM(BP93)</f>
        <v>0</v>
      </c>
      <c r="BQ92" s="4442">
        <f t="shared" ref="BQ92:BR92" si="668">SUM(BQ93)</f>
        <v>0</v>
      </c>
      <c r="BR92" s="4442">
        <f t="shared" si="668"/>
        <v>0</v>
      </c>
      <c r="BS92" s="4442">
        <f>SUM(BS93)</f>
        <v>0</v>
      </c>
      <c r="BT92" s="4442">
        <f t="shared" ref="BT92:BU92" si="669">SUM(BT93)</f>
        <v>0</v>
      </c>
      <c r="BU92" s="4442">
        <f t="shared" si="669"/>
        <v>0</v>
      </c>
      <c r="BV92" s="4442">
        <f>SUM(BV93)</f>
        <v>0</v>
      </c>
      <c r="BW92" s="4442">
        <f t="shared" ref="BW92:BX92" si="670">SUM(BW93)</f>
        <v>0</v>
      </c>
      <c r="BX92" s="4442">
        <f t="shared" si="670"/>
        <v>0</v>
      </c>
      <c r="BY92" s="4442">
        <f t="shared" si="395"/>
        <v>0</v>
      </c>
      <c r="BZ92" s="4442">
        <f t="shared" si="396"/>
        <v>0</v>
      </c>
      <c r="CA92" s="4442">
        <f t="shared" si="396"/>
        <v>0</v>
      </c>
      <c r="CB92" s="4384">
        <f t="shared" si="616"/>
        <v>0.41499999999999998</v>
      </c>
      <c r="CC92" s="4448">
        <f t="shared" ref="CC92:CD92" si="671">SUM(CC93)</f>
        <v>0.41499999999999998</v>
      </c>
      <c r="CD92" s="4448">
        <f t="shared" si="671"/>
        <v>0</v>
      </c>
      <c r="CE92" s="4443">
        <f t="shared" si="570"/>
        <v>0</v>
      </c>
      <c r="CF92" s="4443">
        <f t="shared" si="570"/>
        <v>0</v>
      </c>
      <c r="CG92" s="4443">
        <f t="shared" si="570"/>
        <v>0</v>
      </c>
      <c r="CH92" s="4443">
        <f t="shared" si="515"/>
        <v>-0.41499999999999998</v>
      </c>
      <c r="CI92" s="4443">
        <f t="shared" si="515"/>
        <v>-0.41499999999999998</v>
      </c>
      <c r="CJ92" s="4443">
        <f t="shared" si="515"/>
        <v>0</v>
      </c>
      <c r="CK92" s="2774"/>
      <c r="CL92" s="3576">
        <f t="shared" si="615"/>
        <v>0.41499999999999998</v>
      </c>
      <c r="CM92" s="2774"/>
    </row>
    <row r="93" spans="1:91" ht="18.75" customHeight="1" x14ac:dyDescent="0.3">
      <c r="A93" s="4412" t="s">
        <v>596</v>
      </c>
      <c r="B93" s="4391">
        <f t="shared" si="634"/>
        <v>0.10375</v>
      </c>
      <c r="C93" s="4391">
        <f t="shared" ref="C93" si="672">SUM(CC93/4)</f>
        <v>0.10375</v>
      </c>
      <c r="D93" s="4391">
        <f t="shared" ref="D93" si="673">SUM(CD93/4)</f>
        <v>0</v>
      </c>
      <c r="E93" s="4420">
        <f t="shared" si="360"/>
        <v>0</v>
      </c>
      <c r="F93" s="4411"/>
      <c r="G93" s="4411"/>
      <c r="H93" s="4420">
        <f t="shared" si="550"/>
        <v>0</v>
      </c>
      <c r="I93" s="4411"/>
      <c r="J93" s="4411"/>
      <c r="K93" s="4420">
        <f t="shared" si="551"/>
        <v>0</v>
      </c>
      <c r="L93" s="4411"/>
      <c r="M93" s="4411"/>
      <c r="N93" s="4420">
        <f t="shared" si="492"/>
        <v>0</v>
      </c>
      <c r="O93" s="4420">
        <f t="shared" si="493"/>
        <v>0</v>
      </c>
      <c r="P93" s="4420">
        <f t="shared" si="493"/>
        <v>0</v>
      </c>
      <c r="Q93" s="4391">
        <f t="shared" si="637"/>
        <v>0.10375</v>
      </c>
      <c r="R93" s="4391">
        <f t="shared" ref="R93" si="674">SUM(C93)</f>
        <v>0.10375</v>
      </c>
      <c r="S93" s="4391">
        <f t="shared" ref="S93" si="675">SUM(D93)</f>
        <v>0</v>
      </c>
      <c r="T93" s="4420">
        <f t="shared" ref="T93:T99" si="676">SUM(U93:V93)</f>
        <v>0</v>
      </c>
      <c r="U93" s="4411"/>
      <c r="V93" s="4411"/>
      <c r="W93" s="4420">
        <f t="shared" ref="W93:W99" si="677">SUM(X93:Y93)</f>
        <v>0</v>
      </c>
      <c r="X93" s="4411"/>
      <c r="Y93" s="4411"/>
      <c r="Z93" s="4420">
        <f t="shared" ref="Z93:Z99" si="678">SUM(AA93:AB93)</f>
        <v>0</v>
      </c>
      <c r="AA93" s="4411"/>
      <c r="AB93" s="4411"/>
      <c r="AC93" s="4420">
        <f t="shared" si="375"/>
        <v>0</v>
      </c>
      <c r="AD93" s="4420">
        <f t="shared" si="376"/>
        <v>0</v>
      </c>
      <c r="AE93" s="4420">
        <f t="shared" si="376"/>
        <v>0</v>
      </c>
      <c r="AF93" s="4371">
        <f t="shared" ref="AF93:AF103" si="679">SUM(AG93:AH93)</f>
        <v>0.20749999999999999</v>
      </c>
      <c r="AG93" s="4371">
        <f t="shared" ref="AG93:AH108" si="680">SUM(C93+R93)</f>
        <v>0.20749999999999999</v>
      </c>
      <c r="AH93" s="4371">
        <f t="shared" si="680"/>
        <v>0</v>
      </c>
      <c r="AI93" s="4444">
        <f t="shared" si="558"/>
        <v>0</v>
      </c>
      <c r="AJ93" s="4444">
        <f t="shared" si="558"/>
        <v>0</v>
      </c>
      <c r="AK93" s="4444">
        <f t="shared" si="558"/>
        <v>0</v>
      </c>
      <c r="AL93" s="4444">
        <f t="shared" si="536"/>
        <v>-0.20749999999999999</v>
      </c>
      <c r="AM93" s="4444">
        <f t="shared" si="536"/>
        <v>-0.20749999999999999</v>
      </c>
      <c r="AN93" s="4444">
        <f t="shared" si="536"/>
        <v>0</v>
      </c>
      <c r="AO93" s="4391">
        <f t="shared" ref="AO93:AO94" si="681">SUM(AP93:AQ93)</f>
        <v>0.10375</v>
      </c>
      <c r="AP93" s="4391">
        <f t="shared" ref="AP93:AQ93" si="682">SUM(CC93-AG93)/2</f>
        <v>0.10375</v>
      </c>
      <c r="AQ93" s="4391">
        <f t="shared" si="682"/>
        <v>0</v>
      </c>
      <c r="AR93" s="4420">
        <f t="shared" ref="AR93:AR99" si="683">SUM(AS93:AT93)</f>
        <v>0</v>
      </c>
      <c r="AS93" s="4411"/>
      <c r="AT93" s="4411"/>
      <c r="AU93" s="4420">
        <f t="shared" ref="AU93:AU99" si="684">SUM(AV93:AW93)</f>
        <v>0</v>
      </c>
      <c r="AV93" s="4411"/>
      <c r="AW93" s="4411"/>
      <c r="AX93" s="4420">
        <f t="shared" ref="AX93:AX99" si="685">SUM(AY93:AZ93)</f>
        <v>0</v>
      </c>
      <c r="AY93" s="4411"/>
      <c r="AZ93" s="4411"/>
      <c r="BA93" s="4420">
        <f t="shared" si="385"/>
        <v>0</v>
      </c>
      <c r="BB93" s="4420">
        <f t="shared" si="386"/>
        <v>0</v>
      </c>
      <c r="BC93" s="4420">
        <f t="shared" si="386"/>
        <v>0</v>
      </c>
      <c r="BD93" s="4371">
        <f t="shared" ref="BD93:BD127" si="686">SUM(BE93:BF93)</f>
        <v>0.31124999999999997</v>
      </c>
      <c r="BE93" s="4371">
        <f t="shared" ref="BE93:BF127" si="687">SUM(AG93+AP93)</f>
        <v>0.31124999999999997</v>
      </c>
      <c r="BF93" s="4371">
        <f t="shared" si="687"/>
        <v>0</v>
      </c>
      <c r="BG93" s="4444">
        <f t="shared" si="507"/>
        <v>0</v>
      </c>
      <c r="BH93" s="4444">
        <f t="shared" si="507"/>
        <v>0</v>
      </c>
      <c r="BI93" s="4444">
        <f t="shared" si="507"/>
        <v>0</v>
      </c>
      <c r="BJ93" s="4444">
        <f t="shared" si="542"/>
        <v>-0.31124999999999997</v>
      </c>
      <c r="BK93" s="4444">
        <f t="shared" si="542"/>
        <v>-0.31124999999999997</v>
      </c>
      <c r="BL93" s="4444">
        <f t="shared" si="542"/>
        <v>0</v>
      </c>
      <c r="BM93" s="4391">
        <f t="shared" si="649"/>
        <v>0.10375</v>
      </c>
      <c r="BN93" s="4391">
        <f t="shared" ref="BN93:BO93" si="688">SUM(AP93)</f>
        <v>0.10375</v>
      </c>
      <c r="BO93" s="4391">
        <f t="shared" si="688"/>
        <v>0</v>
      </c>
      <c r="BP93" s="4420">
        <f t="shared" ref="BP93:BP99" si="689">SUM(BQ93:BR93)</f>
        <v>0</v>
      </c>
      <c r="BQ93" s="4411"/>
      <c r="BR93" s="4411"/>
      <c r="BS93" s="4420">
        <f t="shared" ref="BS93:BS99" si="690">SUM(BT93:BU93)</f>
        <v>0</v>
      </c>
      <c r="BT93" s="4411"/>
      <c r="BU93" s="4411"/>
      <c r="BV93" s="4420">
        <f t="shared" ref="BV93:BV99" si="691">SUM(BW93:BX93)</f>
        <v>0</v>
      </c>
      <c r="BW93" s="4411"/>
      <c r="BX93" s="4411"/>
      <c r="BY93" s="4420">
        <f t="shared" si="395"/>
        <v>0</v>
      </c>
      <c r="BZ93" s="4420">
        <f t="shared" si="396"/>
        <v>0</v>
      </c>
      <c r="CA93" s="4420">
        <f t="shared" si="396"/>
        <v>0</v>
      </c>
      <c r="CB93" s="4371">
        <f t="shared" si="616"/>
        <v>0.41499999999999998</v>
      </c>
      <c r="CC93" s="4449">
        <v>0.41499999999999998</v>
      </c>
      <c r="CD93" s="4449">
        <v>0</v>
      </c>
      <c r="CE93" s="4444">
        <f t="shared" si="570"/>
        <v>0</v>
      </c>
      <c r="CF93" s="4444">
        <f t="shared" si="570"/>
        <v>0</v>
      </c>
      <c r="CG93" s="4444">
        <f t="shared" si="570"/>
        <v>0</v>
      </c>
      <c r="CH93" s="4444">
        <f t="shared" si="515"/>
        <v>-0.41499999999999998</v>
      </c>
      <c r="CI93" s="4444">
        <f t="shared" si="515"/>
        <v>-0.41499999999999998</v>
      </c>
      <c r="CJ93" s="4444">
        <f t="shared" si="515"/>
        <v>0</v>
      </c>
      <c r="CK93" s="2774"/>
      <c r="CL93" s="3576">
        <f t="shared" si="615"/>
        <v>0.41499999999999998</v>
      </c>
      <c r="CM93" s="2774"/>
    </row>
    <row r="94" spans="1:91" ht="18.75" customHeight="1" x14ac:dyDescent="0.3">
      <c r="A94" s="4376" t="s">
        <v>521</v>
      </c>
      <c r="B94" s="4377">
        <f t="shared" si="634"/>
        <v>5255.7883760994791</v>
      </c>
      <c r="C94" s="4414">
        <f t="shared" ref="C94:D94" si="692">SUM(C95:C99)+C101</f>
        <v>5255.7883760994791</v>
      </c>
      <c r="D94" s="4414">
        <f t="shared" si="692"/>
        <v>0</v>
      </c>
      <c r="E94" s="4415">
        <f t="shared" si="360"/>
        <v>2229.9660000000003</v>
      </c>
      <c r="F94" s="4415">
        <f>SUM(F95:F99)+F101</f>
        <v>2229.9660000000003</v>
      </c>
      <c r="G94" s="4415">
        <f t="shared" ref="G94" si="693">SUM(G95:G99)+G101</f>
        <v>0</v>
      </c>
      <c r="H94" s="4415">
        <f t="shared" si="550"/>
        <v>1737.59566</v>
      </c>
      <c r="I94" s="4415">
        <f t="shared" ref="I94:J94" si="694">SUM(I95:I99)+I101</f>
        <v>1737.59566</v>
      </c>
      <c r="J94" s="4415">
        <f t="shared" si="694"/>
        <v>0</v>
      </c>
      <c r="K94" s="4415">
        <f t="shared" si="551"/>
        <v>1502.5450000000001</v>
      </c>
      <c r="L94" s="4415">
        <f t="shared" ref="L94:M94" si="695">SUM(L95:L99)+L101</f>
        <v>1502.5450000000001</v>
      </c>
      <c r="M94" s="4415">
        <f t="shared" si="695"/>
        <v>0</v>
      </c>
      <c r="N94" s="4415">
        <f t="shared" ref="N94:N99" si="696">SUM(O94:P94)</f>
        <v>5470.1066600000004</v>
      </c>
      <c r="O94" s="4415">
        <f t="shared" ref="O94:P99" si="697">SUM(F94+I94+L94)</f>
        <v>5470.1066600000004</v>
      </c>
      <c r="P94" s="4415">
        <f t="shared" si="697"/>
        <v>0</v>
      </c>
      <c r="Q94" s="4377">
        <f t="shared" si="637"/>
        <v>5255.7883760994791</v>
      </c>
      <c r="R94" s="4414">
        <f t="shared" ref="R94:S94" si="698">SUM(R95:R99)+R101</f>
        <v>5255.7883760994791</v>
      </c>
      <c r="S94" s="4414">
        <f t="shared" si="698"/>
        <v>0</v>
      </c>
      <c r="T94" s="4415">
        <f t="shared" si="676"/>
        <v>2565.0229999999997</v>
      </c>
      <c r="U94" s="4415">
        <f t="shared" ref="U94" si="699">SUM(U95:U99)+U101</f>
        <v>2565.0229999999997</v>
      </c>
      <c r="V94" s="4415">
        <f t="shared" ref="V94" si="700">SUM(V95:V99)+V101</f>
        <v>0</v>
      </c>
      <c r="W94" s="4415">
        <f t="shared" si="677"/>
        <v>1880.626</v>
      </c>
      <c r="X94" s="4415">
        <f>SUM(X95:X99)+X101</f>
        <v>1880.626</v>
      </c>
      <c r="Y94" s="4415">
        <f t="shared" ref="Y94" si="701">SUM(Y95:Y99)+Y101</f>
        <v>0</v>
      </c>
      <c r="Z94" s="4415">
        <f t="shared" si="678"/>
        <v>1658.1999500000002</v>
      </c>
      <c r="AA94" s="4415">
        <f t="shared" ref="AA94:AB94" si="702">SUM(AA95:AA99)+AA101</f>
        <v>1658.1999500000002</v>
      </c>
      <c r="AB94" s="4415">
        <f t="shared" si="702"/>
        <v>0</v>
      </c>
      <c r="AC94" s="4415">
        <f t="shared" si="375"/>
        <v>6103.8489499999996</v>
      </c>
      <c r="AD94" s="4415">
        <f t="shared" ref="AD94:AE111" si="703">SUM(U94+X94+AA94)</f>
        <v>6103.8489499999996</v>
      </c>
      <c r="AE94" s="4415">
        <f t="shared" si="703"/>
        <v>0</v>
      </c>
      <c r="AF94" s="4379">
        <f t="shared" si="679"/>
        <v>10511.576752198958</v>
      </c>
      <c r="AG94" s="4379">
        <f t="shared" si="680"/>
        <v>10511.576752198958</v>
      </c>
      <c r="AH94" s="4379">
        <f t="shared" si="680"/>
        <v>0</v>
      </c>
      <c r="AI94" s="4441">
        <f t="shared" ref="AI94:AK99" si="704">SUM(AC94+N94)</f>
        <v>11573.955610000001</v>
      </c>
      <c r="AJ94" s="4441">
        <f t="shared" si="704"/>
        <v>11573.955610000001</v>
      </c>
      <c r="AK94" s="4441">
        <f t="shared" si="704"/>
        <v>0</v>
      </c>
      <c r="AL94" s="4441">
        <f t="shared" si="536"/>
        <v>1062.3788578010426</v>
      </c>
      <c r="AM94" s="4441">
        <f t="shared" si="536"/>
        <v>1062.3788578010426</v>
      </c>
      <c r="AN94" s="4441">
        <f t="shared" si="536"/>
        <v>0</v>
      </c>
      <c r="AO94" s="4377">
        <f t="shared" si="681"/>
        <v>5255.7883760994791</v>
      </c>
      <c r="AP94" s="4414">
        <f t="shared" ref="AP94:AQ94" si="705">SUM(AP95:AP99)+AP101</f>
        <v>5255.7883760994791</v>
      </c>
      <c r="AQ94" s="4414">
        <f t="shared" si="705"/>
        <v>0</v>
      </c>
      <c r="AR94" s="4415">
        <f t="shared" si="683"/>
        <v>1659.076</v>
      </c>
      <c r="AS94" s="4415">
        <f t="shared" ref="AS94" si="706">SUM(AS95:AS99)+AS101</f>
        <v>1659.076</v>
      </c>
      <c r="AT94" s="4415">
        <f t="shared" ref="AT94" si="707">SUM(AT95:AT99)+AT101</f>
        <v>0</v>
      </c>
      <c r="AU94" s="4415">
        <f t="shared" si="684"/>
        <v>0</v>
      </c>
      <c r="AV94" s="4415">
        <f t="shared" ref="AV94:AW94" si="708">SUM(AV95:AV99)+AV101</f>
        <v>0</v>
      </c>
      <c r="AW94" s="4415">
        <f t="shared" si="708"/>
        <v>0</v>
      </c>
      <c r="AX94" s="4415">
        <f t="shared" si="685"/>
        <v>0</v>
      </c>
      <c r="AY94" s="4415">
        <f t="shared" ref="AY94:AZ94" si="709">SUM(AY95:AY99)+AY101</f>
        <v>0</v>
      </c>
      <c r="AZ94" s="4415">
        <f t="shared" si="709"/>
        <v>0</v>
      </c>
      <c r="BA94" s="4415">
        <f t="shared" si="385"/>
        <v>1659.076</v>
      </c>
      <c r="BB94" s="4415">
        <f t="shared" ref="BB94:BC110" si="710">SUM(AS94+AV94+AY94)</f>
        <v>1659.076</v>
      </c>
      <c r="BC94" s="4415">
        <f t="shared" si="710"/>
        <v>0</v>
      </c>
      <c r="BD94" s="4379">
        <f t="shared" si="686"/>
        <v>15767.365128298437</v>
      </c>
      <c r="BE94" s="4379">
        <f t="shared" si="687"/>
        <v>15767.365128298437</v>
      </c>
      <c r="BF94" s="4379">
        <f t="shared" si="687"/>
        <v>0</v>
      </c>
      <c r="BG94" s="4441">
        <f t="shared" ref="BG94:BI99" si="711">SUM(AI94+BA94)</f>
        <v>13233.031610000002</v>
      </c>
      <c r="BH94" s="4441">
        <f t="shared" si="711"/>
        <v>13233.031610000002</v>
      </c>
      <c r="BI94" s="4441">
        <f t="shared" si="711"/>
        <v>0</v>
      </c>
      <c r="BJ94" s="4441">
        <f t="shared" si="542"/>
        <v>-2534.3335182984356</v>
      </c>
      <c r="BK94" s="4441">
        <f t="shared" si="542"/>
        <v>-2534.3335182984356</v>
      </c>
      <c r="BL94" s="4441">
        <f t="shared" si="542"/>
        <v>0</v>
      </c>
      <c r="BM94" s="4377">
        <f t="shared" si="649"/>
        <v>5255.7883760994791</v>
      </c>
      <c r="BN94" s="4414">
        <f t="shared" ref="BN94:BO94" si="712">SUM(BN95:BN99)+BN101</f>
        <v>5255.7883760994791</v>
      </c>
      <c r="BO94" s="4414">
        <f t="shared" si="712"/>
        <v>0</v>
      </c>
      <c r="BP94" s="4415">
        <f t="shared" si="689"/>
        <v>0</v>
      </c>
      <c r="BQ94" s="4415">
        <f t="shared" ref="BQ94" si="713">SUM(BQ95:BQ99)+BQ101</f>
        <v>0</v>
      </c>
      <c r="BR94" s="4415">
        <f t="shared" ref="BR94" si="714">SUM(BR95:BR99)+BR101</f>
        <v>0</v>
      </c>
      <c r="BS94" s="4415">
        <f t="shared" si="690"/>
        <v>0</v>
      </c>
      <c r="BT94" s="4415">
        <f t="shared" ref="BT94:BU94" si="715">SUM(BT95:BT99)+BT101</f>
        <v>0</v>
      </c>
      <c r="BU94" s="4415">
        <f t="shared" si="715"/>
        <v>0</v>
      </c>
      <c r="BV94" s="4415">
        <f t="shared" si="691"/>
        <v>0</v>
      </c>
      <c r="BW94" s="4415">
        <f t="shared" ref="BW94:BX94" si="716">SUM(BW95:BW99)+BW101</f>
        <v>0</v>
      </c>
      <c r="BX94" s="4415">
        <f t="shared" si="716"/>
        <v>0</v>
      </c>
      <c r="BY94" s="4415">
        <f t="shared" si="395"/>
        <v>0</v>
      </c>
      <c r="BZ94" s="4415">
        <f t="shared" ref="BZ94:CA110" si="717">SUM(BQ94+BT94+BW94)</f>
        <v>0</v>
      </c>
      <c r="CA94" s="4415">
        <f t="shared" si="717"/>
        <v>0</v>
      </c>
      <c r="CB94" s="4379">
        <f t="shared" si="616"/>
        <v>21023.153509299606</v>
      </c>
      <c r="CC94" s="4455">
        <f>SUM(стоки!EK34)</f>
        <v>21023.153509299606</v>
      </c>
      <c r="CD94" s="4455">
        <f>SUM(стоки!EL34)</f>
        <v>0</v>
      </c>
      <c r="CE94" s="4441">
        <f t="shared" ref="CE94:CG99" si="718">SUM(BY94+BG94)</f>
        <v>13233.031610000002</v>
      </c>
      <c r="CF94" s="4441">
        <f t="shared" si="718"/>
        <v>13233.031610000002</v>
      </c>
      <c r="CG94" s="4441">
        <f t="shared" si="718"/>
        <v>0</v>
      </c>
      <c r="CH94" s="4441">
        <f t="shared" ref="CH94:CJ110" si="719">SUM(CE94-CB94)</f>
        <v>-7790.1218992996037</v>
      </c>
      <c r="CI94" s="4441">
        <f t="shared" si="719"/>
        <v>-7790.1218992996037</v>
      </c>
      <c r="CJ94" s="4441">
        <f t="shared" si="719"/>
        <v>0</v>
      </c>
      <c r="CK94" s="2860"/>
      <c r="CL94" s="3576">
        <f t="shared" si="615"/>
        <v>21023.153504397917</v>
      </c>
      <c r="CM94" s="2860">
        <f>SUM(CC95:CC99)+CC101</f>
        <v>21023.153509299606</v>
      </c>
    </row>
    <row r="95" spans="1:91" ht="18.75" customHeight="1" x14ac:dyDescent="0.3">
      <c r="A95" s="4381" t="s">
        <v>2</v>
      </c>
      <c r="B95" s="4385">
        <f t="shared" ref="B95:B106" si="720">SUM(C95:D95)</f>
        <v>1077.3949019962854</v>
      </c>
      <c r="C95" s="4385">
        <f t="shared" ref="C95:D99" si="721">SUM(CC95/4)</f>
        <v>1077.3949019962854</v>
      </c>
      <c r="D95" s="4385">
        <f t="shared" si="721"/>
        <v>0</v>
      </c>
      <c r="E95" s="4442">
        <f t="shared" si="360"/>
        <v>412.64600000000002</v>
      </c>
      <c r="F95" s="4407">
        <v>412.64600000000002</v>
      </c>
      <c r="G95" s="4407"/>
      <c r="H95" s="4442">
        <f t="shared" si="550"/>
        <v>417.202</v>
      </c>
      <c r="I95" s="4407">
        <v>417.202</v>
      </c>
      <c r="J95" s="4407"/>
      <c r="K95" s="4442">
        <f t="shared" si="551"/>
        <v>417.202</v>
      </c>
      <c r="L95" s="4407">
        <v>417.202</v>
      </c>
      <c r="M95" s="4407"/>
      <c r="N95" s="4442">
        <f t="shared" si="696"/>
        <v>1247.05</v>
      </c>
      <c r="O95" s="4442">
        <f t="shared" si="697"/>
        <v>1247.05</v>
      </c>
      <c r="P95" s="4442">
        <f t="shared" si="697"/>
        <v>0</v>
      </c>
      <c r="Q95" s="4385">
        <f t="shared" si="637"/>
        <v>1077.3949019962854</v>
      </c>
      <c r="R95" s="4385">
        <f t="shared" ref="R95:R99" si="722">SUM(C95)</f>
        <v>1077.3949019962854</v>
      </c>
      <c r="S95" s="4385">
        <f t="shared" ref="S95:S99" si="723">SUM(D95)</f>
        <v>0</v>
      </c>
      <c r="T95" s="4442">
        <f t="shared" si="676"/>
        <v>417.202</v>
      </c>
      <c r="U95" s="4407">
        <v>417.202</v>
      </c>
      <c r="V95" s="4407"/>
      <c r="W95" s="4442">
        <f t="shared" si="677"/>
        <v>406.98899999999998</v>
      </c>
      <c r="X95" s="4407">
        <v>406.98899999999998</v>
      </c>
      <c r="Y95" s="4407"/>
      <c r="Z95" s="4442">
        <f t="shared" si="678"/>
        <v>406.98777999999999</v>
      </c>
      <c r="AA95" s="4407">
        <v>406.98777999999999</v>
      </c>
      <c r="AB95" s="4407"/>
      <c r="AC95" s="4442">
        <f t="shared" si="375"/>
        <v>1231.17878</v>
      </c>
      <c r="AD95" s="4442">
        <f t="shared" si="703"/>
        <v>1231.17878</v>
      </c>
      <c r="AE95" s="4442">
        <f t="shared" si="703"/>
        <v>0</v>
      </c>
      <c r="AF95" s="4384">
        <f t="shared" si="679"/>
        <v>2154.7898039925708</v>
      </c>
      <c r="AG95" s="4384">
        <f t="shared" si="680"/>
        <v>2154.7898039925708</v>
      </c>
      <c r="AH95" s="4384">
        <f t="shared" si="680"/>
        <v>0</v>
      </c>
      <c r="AI95" s="4443">
        <f t="shared" si="704"/>
        <v>2478.2287799999999</v>
      </c>
      <c r="AJ95" s="4443">
        <f t="shared" si="704"/>
        <v>2478.2287799999999</v>
      </c>
      <c r="AK95" s="4443">
        <f t="shared" si="704"/>
        <v>0</v>
      </c>
      <c r="AL95" s="4443">
        <f t="shared" si="536"/>
        <v>323.43897600742912</v>
      </c>
      <c r="AM95" s="4443">
        <f t="shared" si="536"/>
        <v>323.43897600742912</v>
      </c>
      <c r="AN95" s="4443">
        <f t="shared" si="536"/>
        <v>0</v>
      </c>
      <c r="AO95" s="4385">
        <f t="shared" ref="AO95:AO109" si="724">SUM(AP95:AQ95)</f>
        <v>1077.3949019962854</v>
      </c>
      <c r="AP95" s="4385">
        <f t="shared" ref="AP95:AP99" si="725">SUM(CC95-AG95)/2</f>
        <v>1077.3949019962854</v>
      </c>
      <c r="AQ95" s="4385">
        <f t="shared" ref="AQ95:AQ99" si="726">SUM(CD95-AH95)/2</f>
        <v>0</v>
      </c>
      <c r="AR95" s="4442">
        <f t="shared" si="683"/>
        <v>402.51299999999998</v>
      </c>
      <c r="AS95" s="4407">
        <v>402.51299999999998</v>
      </c>
      <c r="AT95" s="4407"/>
      <c r="AU95" s="4442">
        <f t="shared" si="684"/>
        <v>0</v>
      </c>
      <c r="AV95" s="4407"/>
      <c r="AW95" s="4407"/>
      <c r="AX95" s="4442">
        <f t="shared" si="685"/>
        <v>0</v>
      </c>
      <c r="AY95" s="4407"/>
      <c r="AZ95" s="4407"/>
      <c r="BA95" s="4442">
        <f t="shared" si="385"/>
        <v>402.51299999999998</v>
      </c>
      <c r="BB95" s="4442">
        <f t="shared" si="710"/>
        <v>402.51299999999998</v>
      </c>
      <c r="BC95" s="4442">
        <f t="shared" si="710"/>
        <v>0</v>
      </c>
      <c r="BD95" s="4384">
        <f t="shared" si="686"/>
        <v>3232.184705988856</v>
      </c>
      <c r="BE95" s="4384">
        <f t="shared" si="687"/>
        <v>3232.184705988856</v>
      </c>
      <c r="BF95" s="4384">
        <f t="shared" si="687"/>
        <v>0</v>
      </c>
      <c r="BG95" s="4443">
        <f t="shared" si="711"/>
        <v>2880.7417799999998</v>
      </c>
      <c r="BH95" s="4443">
        <f t="shared" si="711"/>
        <v>2880.7417799999998</v>
      </c>
      <c r="BI95" s="4443">
        <f t="shared" si="711"/>
        <v>0</v>
      </c>
      <c r="BJ95" s="4443">
        <f t="shared" si="542"/>
        <v>-351.44292598885613</v>
      </c>
      <c r="BK95" s="4443">
        <f t="shared" si="542"/>
        <v>-351.44292598885613</v>
      </c>
      <c r="BL95" s="4443">
        <f t="shared" si="542"/>
        <v>0</v>
      </c>
      <c r="BM95" s="4385">
        <f t="shared" ref="BM95" si="727">SUM(BN95:BO95)</f>
        <v>1077.3949019962854</v>
      </c>
      <c r="BN95" s="4385">
        <f t="shared" ref="BN95:BN99" si="728">SUM(AP95)</f>
        <v>1077.3949019962854</v>
      </c>
      <c r="BO95" s="4385">
        <f t="shared" ref="BO95:BO99" si="729">SUM(AQ95)</f>
        <v>0</v>
      </c>
      <c r="BP95" s="4442">
        <f t="shared" si="689"/>
        <v>0</v>
      </c>
      <c r="BQ95" s="4407"/>
      <c r="BR95" s="4407"/>
      <c r="BS95" s="4442">
        <f t="shared" si="690"/>
        <v>0</v>
      </c>
      <c r="BT95" s="4407"/>
      <c r="BU95" s="4407"/>
      <c r="BV95" s="4442">
        <f t="shared" si="691"/>
        <v>0</v>
      </c>
      <c r="BW95" s="4407"/>
      <c r="BX95" s="4407"/>
      <c r="BY95" s="4442">
        <f t="shared" si="395"/>
        <v>0</v>
      </c>
      <c r="BZ95" s="4442">
        <f t="shared" si="717"/>
        <v>0</v>
      </c>
      <c r="CA95" s="4442">
        <f t="shared" si="717"/>
        <v>0</v>
      </c>
      <c r="CB95" s="4384">
        <f t="shared" si="616"/>
        <v>4309.5796079851416</v>
      </c>
      <c r="CC95" s="4446">
        <f>SUM(стоки!EK35)</f>
        <v>4309.5796079851416</v>
      </c>
      <c r="CD95" s="4446">
        <f>SUM(стоки!EL35)</f>
        <v>0</v>
      </c>
      <c r="CE95" s="4443">
        <f t="shared" si="718"/>
        <v>2880.7417799999998</v>
      </c>
      <c r="CF95" s="4443">
        <f t="shared" si="718"/>
        <v>2880.7417799999998</v>
      </c>
      <c r="CG95" s="4443">
        <f t="shared" si="718"/>
        <v>0</v>
      </c>
      <c r="CH95" s="4443">
        <f t="shared" si="719"/>
        <v>-1428.8378279851418</v>
      </c>
      <c r="CI95" s="4443">
        <f t="shared" si="719"/>
        <v>-1428.8378279851418</v>
      </c>
      <c r="CJ95" s="4443">
        <f t="shared" si="719"/>
        <v>0</v>
      </c>
      <c r="CK95" s="2774"/>
      <c r="CL95" s="3576">
        <f t="shared" si="615"/>
        <v>4309.5796079851416</v>
      </c>
      <c r="CM95" s="2774"/>
    </row>
    <row r="96" spans="1:91" ht="18.75" customHeight="1" x14ac:dyDescent="0.3">
      <c r="A96" s="4396" t="s">
        <v>3692</v>
      </c>
      <c r="B96" s="4385">
        <f t="shared" si="720"/>
        <v>0</v>
      </c>
      <c r="C96" s="4385">
        <f t="shared" si="721"/>
        <v>0</v>
      </c>
      <c r="D96" s="4385">
        <f t="shared" si="721"/>
        <v>0</v>
      </c>
      <c r="E96" s="4442">
        <f t="shared" si="360"/>
        <v>159.75</v>
      </c>
      <c r="F96" s="4407">
        <v>159.75</v>
      </c>
      <c r="G96" s="4407"/>
      <c r="H96" s="4442">
        <f t="shared" si="550"/>
        <v>0</v>
      </c>
      <c r="I96" s="4407"/>
      <c r="J96" s="4407"/>
      <c r="K96" s="4442">
        <f t="shared" si="551"/>
        <v>0</v>
      </c>
      <c r="L96" s="4407"/>
      <c r="M96" s="4407"/>
      <c r="N96" s="4442">
        <f t="shared" si="696"/>
        <v>159.75</v>
      </c>
      <c r="O96" s="4442">
        <f t="shared" si="697"/>
        <v>159.75</v>
      </c>
      <c r="P96" s="4442">
        <f t="shared" si="697"/>
        <v>0</v>
      </c>
      <c r="Q96" s="4385">
        <f t="shared" si="637"/>
        <v>0</v>
      </c>
      <c r="R96" s="4385">
        <f t="shared" si="722"/>
        <v>0</v>
      </c>
      <c r="S96" s="4385">
        <f t="shared" si="723"/>
        <v>0</v>
      </c>
      <c r="T96" s="4442">
        <f t="shared" si="676"/>
        <v>0</v>
      </c>
      <c r="U96" s="4407"/>
      <c r="V96" s="4407"/>
      <c r="W96" s="4442">
        <f t="shared" si="677"/>
        <v>0</v>
      </c>
      <c r="X96" s="4407"/>
      <c r="Y96" s="4407"/>
      <c r="Z96" s="4442">
        <f t="shared" si="678"/>
        <v>0</v>
      </c>
      <c r="AA96" s="4407"/>
      <c r="AB96" s="4407"/>
      <c r="AC96" s="4442">
        <f t="shared" si="375"/>
        <v>0</v>
      </c>
      <c r="AD96" s="4442">
        <f t="shared" si="703"/>
        <v>0</v>
      </c>
      <c r="AE96" s="4442">
        <f t="shared" si="703"/>
        <v>0</v>
      </c>
      <c r="AF96" s="4384">
        <f t="shared" si="679"/>
        <v>0</v>
      </c>
      <c r="AG96" s="4384">
        <f t="shared" si="680"/>
        <v>0</v>
      </c>
      <c r="AH96" s="4384">
        <f t="shared" si="680"/>
        <v>0</v>
      </c>
      <c r="AI96" s="4443">
        <f t="shared" si="704"/>
        <v>159.75</v>
      </c>
      <c r="AJ96" s="4443">
        <f t="shared" si="704"/>
        <v>159.75</v>
      </c>
      <c r="AK96" s="4443">
        <f t="shared" si="704"/>
        <v>0</v>
      </c>
      <c r="AL96" s="4443">
        <f t="shared" si="536"/>
        <v>159.75</v>
      </c>
      <c r="AM96" s="4443">
        <f t="shared" si="536"/>
        <v>159.75</v>
      </c>
      <c r="AN96" s="4443">
        <f t="shared" si="536"/>
        <v>0</v>
      </c>
      <c r="AO96" s="4385">
        <f t="shared" si="724"/>
        <v>0</v>
      </c>
      <c r="AP96" s="4385">
        <f t="shared" si="725"/>
        <v>0</v>
      </c>
      <c r="AQ96" s="4385">
        <f t="shared" si="726"/>
        <v>0</v>
      </c>
      <c r="AR96" s="4442">
        <f t="shared" si="683"/>
        <v>0</v>
      </c>
      <c r="AS96" s="4407"/>
      <c r="AT96" s="4407"/>
      <c r="AU96" s="4442">
        <f t="shared" si="684"/>
        <v>0</v>
      </c>
      <c r="AV96" s="4407"/>
      <c r="AW96" s="4407"/>
      <c r="AX96" s="4442">
        <f t="shared" si="685"/>
        <v>0</v>
      </c>
      <c r="AY96" s="4407"/>
      <c r="AZ96" s="4407"/>
      <c r="BA96" s="4442">
        <f t="shared" si="385"/>
        <v>0</v>
      </c>
      <c r="BB96" s="4442">
        <f t="shared" si="710"/>
        <v>0</v>
      </c>
      <c r="BC96" s="4442">
        <f t="shared" si="710"/>
        <v>0</v>
      </c>
      <c r="BD96" s="4384">
        <f t="shared" si="686"/>
        <v>0</v>
      </c>
      <c r="BE96" s="4384">
        <f t="shared" si="687"/>
        <v>0</v>
      </c>
      <c r="BF96" s="4384">
        <f t="shared" si="687"/>
        <v>0</v>
      </c>
      <c r="BG96" s="4443">
        <f t="shared" si="711"/>
        <v>159.75</v>
      </c>
      <c r="BH96" s="4443">
        <f t="shared" si="711"/>
        <v>159.75</v>
      </c>
      <c r="BI96" s="4443">
        <f t="shared" si="711"/>
        <v>0</v>
      </c>
      <c r="BJ96" s="4443">
        <f t="shared" si="542"/>
        <v>159.75</v>
      </c>
      <c r="BK96" s="4443">
        <f t="shared" si="542"/>
        <v>159.75</v>
      </c>
      <c r="BL96" s="4443">
        <f t="shared" si="542"/>
        <v>0</v>
      </c>
      <c r="BM96" s="4385">
        <f t="shared" ref="BM96:BM101" si="730">SUM(BN96:BO96)</f>
        <v>0</v>
      </c>
      <c r="BN96" s="4385">
        <f t="shared" si="728"/>
        <v>0</v>
      </c>
      <c r="BO96" s="4385">
        <f t="shared" si="729"/>
        <v>0</v>
      </c>
      <c r="BP96" s="4442">
        <f t="shared" si="689"/>
        <v>0</v>
      </c>
      <c r="BQ96" s="4407"/>
      <c r="BR96" s="4407"/>
      <c r="BS96" s="4442">
        <f t="shared" si="690"/>
        <v>0</v>
      </c>
      <c r="BT96" s="4407"/>
      <c r="BU96" s="4407"/>
      <c r="BV96" s="4442">
        <f t="shared" si="691"/>
        <v>0</v>
      </c>
      <c r="BW96" s="4407"/>
      <c r="BX96" s="4407"/>
      <c r="BY96" s="4442">
        <f t="shared" si="395"/>
        <v>0</v>
      </c>
      <c r="BZ96" s="4442">
        <f t="shared" si="717"/>
        <v>0</v>
      </c>
      <c r="CA96" s="4442">
        <f t="shared" si="717"/>
        <v>0</v>
      </c>
      <c r="CB96" s="4384">
        <f t="shared" si="616"/>
        <v>0</v>
      </c>
      <c r="CC96" s="4446">
        <f>SUM(стоки!EK36)</f>
        <v>0</v>
      </c>
      <c r="CD96" s="4446">
        <f>SUM(стоки!EL36)</f>
        <v>0</v>
      </c>
      <c r="CE96" s="4443">
        <f t="shared" si="718"/>
        <v>159.75</v>
      </c>
      <c r="CF96" s="4443">
        <f t="shared" si="718"/>
        <v>159.75</v>
      </c>
      <c r="CG96" s="4443">
        <f t="shared" si="718"/>
        <v>0</v>
      </c>
      <c r="CH96" s="4443">
        <f t="shared" si="719"/>
        <v>159.75</v>
      </c>
      <c r="CI96" s="4443">
        <f t="shared" si="719"/>
        <v>159.75</v>
      </c>
      <c r="CJ96" s="4443">
        <f t="shared" si="719"/>
        <v>0</v>
      </c>
      <c r="CK96" s="2774"/>
      <c r="CL96" s="3576">
        <f t="shared" si="615"/>
        <v>0</v>
      </c>
      <c r="CM96" s="2774"/>
    </row>
    <row r="97" spans="1:91" ht="18.75" customHeight="1" x14ac:dyDescent="0.3">
      <c r="A97" s="4381" t="s">
        <v>3</v>
      </c>
      <c r="B97" s="4385">
        <f t="shared" si="720"/>
        <v>240.82623124175353</v>
      </c>
      <c r="C97" s="4385">
        <f t="shared" si="721"/>
        <v>240.82623124175353</v>
      </c>
      <c r="D97" s="4385">
        <f t="shared" si="721"/>
        <v>0</v>
      </c>
      <c r="E97" s="4442">
        <f t="shared" si="360"/>
        <v>6.883</v>
      </c>
      <c r="F97" s="4407">
        <v>6.883</v>
      </c>
      <c r="G97" s="4407"/>
      <c r="H97" s="4442">
        <f t="shared" si="550"/>
        <v>65.102999999999994</v>
      </c>
      <c r="I97" s="4407">
        <v>65.102999999999994</v>
      </c>
      <c r="J97" s="4407"/>
      <c r="K97" s="4442">
        <f t="shared" si="551"/>
        <v>178.09399999999999</v>
      </c>
      <c r="L97" s="4407">
        <f>168+10.094</f>
        <v>178.09399999999999</v>
      </c>
      <c r="M97" s="4407"/>
      <c r="N97" s="4442">
        <f t="shared" si="696"/>
        <v>250.07999999999998</v>
      </c>
      <c r="O97" s="4442">
        <f t="shared" si="697"/>
        <v>250.07999999999998</v>
      </c>
      <c r="P97" s="4442">
        <f t="shared" si="697"/>
        <v>0</v>
      </c>
      <c r="Q97" s="4385">
        <f t="shared" si="637"/>
        <v>240.82623124175353</v>
      </c>
      <c r="R97" s="4385">
        <f t="shared" si="722"/>
        <v>240.82623124175353</v>
      </c>
      <c r="S97" s="4385">
        <f t="shared" si="723"/>
        <v>0</v>
      </c>
      <c r="T97" s="4442">
        <f t="shared" si="676"/>
        <v>1006.05</v>
      </c>
      <c r="U97" s="4407">
        <f>615+391.05</f>
        <v>1006.05</v>
      </c>
      <c r="V97" s="4407"/>
      <c r="W97" s="4442">
        <f t="shared" si="677"/>
        <v>13.834</v>
      </c>
      <c r="X97" s="4407">
        <f>13.834</f>
        <v>13.834</v>
      </c>
      <c r="Y97" s="4407"/>
      <c r="Z97" s="4442">
        <f t="shared" si="678"/>
        <v>161.935</v>
      </c>
      <c r="AA97" s="4407">
        <f>95+66.935</f>
        <v>161.935</v>
      </c>
      <c r="AB97" s="4407"/>
      <c r="AC97" s="4442">
        <f t="shared" si="375"/>
        <v>1181.819</v>
      </c>
      <c r="AD97" s="4442">
        <f t="shared" si="703"/>
        <v>1181.819</v>
      </c>
      <c r="AE97" s="4442">
        <f t="shared" si="703"/>
        <v>0</v>
      </c>
      <c r="AF97" s="4384">
        <f t="shared" si="679"/>
        <v>481.65246248350707</v>
      </c>
      <c r="AG97" s="4384">
        <f t="shared" si="680"/>
        <v>481.65246248350707</v>
      </c>
      <c r="AH97" s="4384">
        <f t="shared" si="680"/>
        <v>0</v>
      </c>
      <c r="AI97" s="4443">
        <f t="shared" si="704"/>
        <v>1431.8989999999999</v>
      </c>
      <c r="AJ97" s="4443">
        <f t="shared" si="704"/>
        <v>1431.8989999999999</v>
      </c>
      <c r="AK97" s="4443">
        <f t="shared" si="704"/>
        <v>0</v>
      </c>
      <c r="AL97" s="4443">
        <f t="shared" si="536"/>
        <v>950.24653751649282</v>
      </c>
      <c r="AM97" s="4443">
        <f t="shared" si="536"/>
        <v>950.24653751649282</v>
      </c>
      <c r="AN97" s="4443">
        <f t="shared" si="536"/>
        <v>0</v>
      </c>
      <c r="AO97" s="4385">
        <f t="shared" si="724"/>
        <v>240.82623124175353</v>
      </c>
      <c r="AP97" s="4385">
        <f t="shared" si="725"/>
        <v>240.82623124175353</v>
      </c>
      <c r="AQ97" s="4385">
        <f t="shared" si="726"/>
        <v>0</v>
      </c>
      <c r="AR97" s="4442">
        <f t="shared" si="683"/>
        <v>47.9</v>
      </c>
      <c r="AS97" s="4407">
        <v>47.9</v>
      </c>
      <c r="AT97" s="4407"/>
      <c r="AU97" s="4442">
        <f t="shared" si="684"/>
        <v>0</v>
      </c>
      <c r="AV97" s="4407"/>
      <c r="AW97" s="4407"/>
      <c r="AX97" s="4442">
        <f t="shared" si="685"/>
        <v>0</v>
      </c>
      <c r="AY97" s="4407"/>
      <c r="AZ97" s="4407"/>
      <c r="BA97" s="4442">
        <f t="shared" si="385"/>
        <v>47.9</v>
      </c>
      <c r="BB97" s="4442">
        <f t="shared" si="710"/>
        <v>47.9</v>
      </c>
      <c r="BC97" s="4442">
        <f t="shared" si="710"/>
        <v>0</v>
      </c>
      <c r="BD97" s="4384">
        <f t="shared" si="686"/>
        <v>722.47869372526065</v>
      </c>
      <c r="BE97" s="4384">
        <f t="shared" si="687"/>
        <v>722.47869372526065</v>
      </c>
      <c r="BF97" s="4384">
        <f t="shared" si="687"/>
        <v>0</v>
      </c>
      <c r="BG97" s="4443">
        <f t="shared" si="711"/>
        <v>1479.799</v>
      </c>
      <c r="BH97" s="4443">
        <f t="shared" si="711"/>
        <v>1479.799</v>
      </c>
      <c r="BI97" s="4443">
        <f t="shared" si="711"/>
        <v>0</v>
      </c>
      <c r="BJ97" s="4443">
        <f t="shared" si="542"/>
        <v>757.32030627473932</v>
      </c>
      <c r="BK97" s="4443">
        <f t="shared" si="542"/>
        <v>757.32030627473932</v>
      </c>
      <c r="BL97" s="4443">
        <f t="shared" si="542"/>
        <v>0</v>
      </c>
      <c r="BM97" s="4385">
        <f t="shared" si="730"/>
        <v>240.82623124175353</v>
      </c>
      <c r="BN97" s="4385">
        <f t="shared" si="728"/>
        <v>240.82623124175353</v>
      </c>
      <c r="BO97" s="4385">
        <f t="shared" si="729"/>
        <v>0</v>
      </c>
      <c r="BP97" s="4442">
        <f t="shared" si="689"/>
        <v>0</v>
      </c>
      <c r="BQ97" s="4407"/>
      <c r="BR97" s="4407"/>
      <c r="BS97" s="4442">
        <f t="shared" si="690"/>
        <v>0</v>
      </c>
      <c r="BT97" s="4407"/>
      <c r="BU97" s="4407"/>
      <c r="BV97" s="4442">
        <f t="shared" si="691"/>
        <v>0</v>
      </c>
      <c r="BW97" s="4407"/>
      <c r="BX97" s="4407"/>
      <c r="BY97" s="4442">
        <f t="shared" si="395"/>
        <v>0</v>
      </c>
      <c r="BZ97" s="4442">
        <f t="shared" si="717"/>
        <v>0</v>
      </c>
      <c r="CA97" s="4442">
        <f t="shared" si="717"/>
        <v>0</v>
      </c>
      <c r="CB97" s="4384">
        <f t="shared" si="616"/>
        <v>963.30492496701413</v>
      </c>
      <c r="CC97" s="4446">
        <f>SUM(стоки!EK37)</f>
        <v>963.30492496701413</v>
      </c>
      <c r="CD97" s="4446">
        <f>SUM(стоки!EL37)</f>
        <v>0</v>
      </c>
      <c r="CE97" s="4443">
        <f t="shared" si="718"/>
        <v>1479.799</v>
      </c>
      <c r="CF97" s="4443">
        <f t="shared" si="718"/>
        <v>1479.799</v>
      </c>
      <c r="CG97" s="4443">
        <f t="shared" si="718"/>
        <v>0</v>
      </c>
      <c r="CH97" s="4443">
        <f t="shared" si="719"/>
        <v>516.49407503298585</v>
      </c>
      <c r="CI97" s="4443">
        <f t="shared" si="719"/>
        <v>516.49407503298585</v>
      </c>
      <c r="CJ97" s="4443">
        <f t="shared" si="719"/>
        <v>0</v>
      </c>
      <c r="CK97" s="2774"/>
      <c r="CL97" s="3576">
        <f t="shared" si="615"/>
        <v>963.30492496701413</v>
      </c>
      <c r="CM97" s="2774"/>
    </row>
    <row r="98" spans="1:91" ht="18.75" customHeight="1" x14ac:dyDescent="0.3">
      <c r="A98" s="4381" t="s">
        <v>4</v>
      </c>
      <c r="B98" s="4385">
        <f t="shared" si="720"/>
        <v>1774.9786300460221</v>
      </c>
      <c r="C98" s="4385">
        <f t="shared" si="721"/>
        <v>1774.9786300460221</v>
      </c>
      <c r="D98" s="4385">
        <f t="shared" si="721"/>
        <v>0</v>
      </c>
      <c r="E98" s="4442">
        <f t="shared" si="360"/>
        <v>864.70600000000002</v>
      </c>
      <c r="F98" s="4407">
        <v>864.70600000000002</v>
      </c>
      <c r="G98" s="4407"/>
      <c r="H98" s="4442">
        <f t="shared" si="550"/>
        <v>676.28616</v>
      </c>
      <c r="I98" s="4407">
        <v>676.28616</v>
      </c>
      <c r="J98" s="4407"/>
      <c r="K98" s="4442">
        <f t="shared" si="551"/>
        <v>654.34900000000005</v>
      </c>
      <c r="L98" s="4407">
        <v>654.34900000000005</v>
      </c>
      <c r="M98" s="4407"/>
      <c r="N98" s="4442">
        <f t="shared" si="696"/>
        <v>2195.3411599999999</v>
      </c>
      <c r="O98" s="4442">
        <f t="shared" si="697"/>
        <v>2195.3411599999999</v>
      </c>
      <c r="P98" s="4442">
        <f t="shared" si="697"/>
        <v>0</v>
      </c>
      <c r="Q98" s="4385">
        <f t="shared" si="637"/>
        <v>1774.9786300460221</v>
      </c>
      <c r="R98" s="4385">
        <f t="shared" si="722"/>
        <v>1774.9786300460221</v>
      </c>
      <c r="S98" s="4385">
        <f t="shared" si="723"/>
        <v>0</v>
      </c>
      <c r="T98" s="4442">
        <f t="shared" si="676"/>
        <v>656.375</v>
      </c>
      <c r="U98" s="4407">
        <v>656.375</v>
      </c>
      <c r="V98" s="4407"/>
      <c r="W98" s="4442">
        <f t="shared" si="677"/>
        <v>822.43299999999999</v>
      </c>
      <c r="X98" s="4407">
        <v>822.43299999999999</v>
      </c>
      <c r="Y98" s="4407"/>
      <c r="Z98" s="4442">
        <f t="shared" si="678"/>
        <v>544.81100000000004</v>
      </c>
      <c r="AA98" s="4407">
        <v>544.81100000000004</v>
      </c>
      <c r="AB98" s="4407"/>
      <c r="AC98" s="4442">
        <f t="shared" si="375"/>
        <v>2023.6190000000001</v>
      </c>
      <c r="AD98" s="4442">
        <f t="shared" si="703"/>
        <v>2023.6190000000001</v>
      </c>
      <c r="AE98" s="4442">
        <f t="shared" si="703"/>
        <v>0</v>
      </c>
      <c r="AF98" s="4384">
        <f t="shared" si="679"/>
        <v>3549.9572600920442</v>
      </c>
      <c r="AG98" s="4384">
        <f t="shared" si="680"/>
        <v>3549.9572600920442</v>
      </c>
      <c r="AH98" s="4384">
        <f t="shared" si="680"/>
        <v>0</v>
      </c>
      <c r="AI98" s="4443">
        <f t="shared" si="704"/>
        <v>4218.9601600000005</v>
      </c>
      <c r="AJ98" s="4443">
        <f t="shared" si="704"/>
        <v>4218.9601600000005</v>
      </c>
      <c r="AK98" s="4443">
        <f t="shared" si="704"/>
        <v>0</v>
      </c>
      <c r="AL98" s="4443">
        <f t="shared" ref="AL98:AN114" si="731">SUM(AI98-AF98)</f>
        <v>669.00289990795636</v>
      </c>
      <c r="AM98" s="4443">
        <f t="shared" si="731"/>
        <v>669.00289990795636</v>
      </c>
      <c r="AN98" s="4443">
        <f t="shared" si="731"/>
        <v>0</v>
      </c>
      <c r="AO98" s="4385">
        <f t="shared" si="724"/>
        <v>1774.9786300460221</v>
      </c>
      <c r="AP98" s="4385">
        <f t="shared" si="725"/>
        <v>1774.9786300460221</v>
      </c>
      <c r="AQ98" s="4385">
        <f t="shared" si="726"/>
        <v>0</v>
      </c>
      <c r="AR98" s="4442">
        <f t="shared" si="683"/>
        <v>643.827</v>
      </c>
      <c r="AS98" s="4407">
        <v>643.827</v>
      </c>
      <c r="AT98" s="4407"/>
      <c r="AU98" s="4442">
        <f t="shared" si="684"/>
        <v>0</v>
      </c>
      <c r="AV98" s="4407"/>
      <c r="AW98" s="4407"/>
      <c r="AX98" s="4442">
        <f t="shared" si="685"/>
        <v>0</v>
      </c>
      <c r="AY98" s="4407"/>
      <c r="AZ98" s="4407"/>
      <c r="BA98" s="4442">
        <f t="shared" si="385"/>
        <v>643.827</v>
      </c>
      <c r="BB98" s="4442">
        <f t="shared" si="710"/>
        <v>643.827</v>
      </c>
      <c r="BC98" s="4442">
        <f t="shared" si="710"/>
        <v>0</v>
      </c>
      <c r="BD98" s="4384">
        <f t="shared" si="686"/>
        <v>5324.9358901380665</v>
      </c>
      <c r="BE98" s="4384">
        <f t="shared" si="687"/>
        <v>5324.9358901380665</v>
      </c>
      <c r="BF98" s="4384">
        <f t="shared" si="687"/>
        <v>0</v>
      </c>
      <c r="BG98" s="4443">
        <f t="shared" si="711"/>
        <v>4862.7871600000008</v>
      </c>
      <c r="BH98" s="4443">
        <f t="shared" si="711"/>
        <v>4862.7871600000008</v>
      </c>
      <c r="BI98" s="4443">
        <f t="shared" si="711"/>
        <v>0</v>
      </c>
      <c r="BJ98" s="4443">
        <f t="shared" ref="BJ98:BL114" si="732">SUM(BG98-BD98)</f>
        <v>-462.14873013806573</v>
      </c>
      <c r="BK98" s="4443">
        <f t="shared" si="732"/>
        <v>-462.14873013806573</v>
      </c>
      <c r="BL98" s="4443">
        <f t="shared" si="732"/>
        <v>0</v>
      </c>
      <c r="BM98" s="4385">
        <f t="shared" si="730"/>
        <v>1774.9786300460221</v>
      </c>
      <c r="BN98" s="4385">
        <f t="shared" si="728"/>
        <v>1774.9786300460221</v>
      </c>
      <c r="BO98" s="4385">
        <f t="shared" si="729"/>
        <v>0</v>
      </c>
      <c r="BP98" s="4442">
        <f t="shared" si="689"/>
        <v>0</v>
      </c>
      <c r="BQ98" s="4407"/>
      <c r="BR98" s="4407"/>
      <c r="BS98" s="4442">
        <f t="shared" si="690"/>
        <v>0</v>
      </c>
      <c r="BT98" s="4407"/>
      <c r="BU98" s="4407"/>
      <c r="BV98" s="4442">
        <f t="shared" si="691"/>
        <v>0</v>
      </c>
      <c r="BW98" s="4407"/>
      <c r="BX98" s="4407"/>
      <c r="BY98" s="4442">
        <f t="shared" si="395"/>
        <v>0</v>
      </c>
      <c r="BZ98" s="4442">
        <f t="shared" si="717"/>
        <v>0</v>
      </c>
      <c r="CA98" s="4442">
        <f t="shared" si="717"/>
        <v>0</v>
      </c>
      <c r="CB98" s="4384">
        <f t="shared" si="616"/>
        <v>7099.9145201840884</v>
      </c>
      <c r="CC98" s="4446">
        <f>SUM(стоки!EK38)</f>
        <v>7099.9145201840884</v>
      </c>
      <c r="CD98" s="4446">
        <f>SUM(стоки!EL38)</f>
        <v>0</v>
      </c>
      <c r="CE98" s="4443">
        <f t="shared" si="718"/>
        <v>4862.7871600000008</v>
      </c>
      <c r="CF98" s="4443">
        <f t="shared" si="718"/>
        <v>4862.7871600000008</v>
      </c>
      <c r="CG98" s="4443">
        <f t="shared" si="718"/>
        <v>0</v>
      </c>
      <c r="CH98" s="4443">
        <f t="shared" si="719"/>
        <v>-2237.1273601840876</v>
      </c>
      <c r="CI98" s="4443">
        <f t="shared" si="719"/>
        <v>-2237.1273601840876</v>
      </c>
      <c r="CJ98" s="4443">
        <f t="shared" si="719"/>
        <v>0</v>
      </c>
      <c r="CK98" s="2774"/>
      <c r="CL98" s="3576">
        <f t="shared" si="615"/>
        <v>7099.9145201840884</v>
      </c>
      <c r="CM98" s="2774"/>
    </row>
    <row r="99" spans="1:91" ht="18.75" customHeight="1" x14ac:dyDescent="0.3">
      <c r="A99" s="4381" t="s">
        <v>113</v>
      </c>
      <c r="B99" s="4385">
        <f t="shared" si="720"/>
        <v>537.42775556541756</v>
      </c>
      <c r="C99" s="4385">
        <f t="shared" si="721"/>
        <v>537.42775556541756</v>
      </c>
      <c r="D99" s="4385">
        <f t="shared" si="721"/>
        <v>0</v>
      </c>
      <c r="E99" s="4442">
        <f t="shared" si="360"/>
        <v>259.40299999999996</v>
      </c>
      <c r="F99" s="4407">
        <f>1.657+257.746</f>
        <v>259.40299999999996</v>
      </c>
      <c r="G99" s="4407"/>
      <c r="H99" s="4442">
        <f t="shared" si="550"/>
        <v>223.14021</v>
      </c>
      <c r="I99" s="4407">
        <f>1.42936+221.71085</f>
        <v>223.14021</v>
      </c>
      <c r="J99" s="4407"/>
      <c r="K99" s="4442">
        <f t="shared" si="551"/>
        <v>209.161</v>
      </c>
      <c r="L99" s="4407">
        <f>1.335+207.826</f>
        <v>209.161</v>
      </c>
      <c r="M99" s="4407"/>
      <c r="N99" s="4442">
        <f t="shared" si="696"/>
        <v>691.70420999999988</v>
      </c>
      <c r="O99" s="4442">
        <f t="shared" si="697"/>
        <v>691.70420999999988</v>
      </c>
      <c r="P99" s="4442">
        <f t="shared" si="697"/>
        <v>0</v>
      </c>
      <c r="Q99" s="4385">
        <f t="shared" si="637"/>
        <v>537.42775556541756</v>
      </c>
      <c r="R99" s="4385">
        <f t="shared" si="722"/>
        <v>537.42775556541756</v>
      </c>
      <c r="S99" s="4385">
        <f t="shared" si="723"/>
        <v>0</v>
      </c>
      <c r="T99" s="4442">
        <f t="shared" si="676"/>
        <v>200.7</v>
      </c>
      <c r="U99" s="4407">
        <f>1.303+199.397</f>
        <v>200.7</v>
      </c>
      <c r="V99" s="4407"/>
      <c r="W99" s="4442">
        <f t="shared" si="677"/>
        <v>263.43100000000004</v>
      </c>
      <c r="X99" s="4407">
        <f>1.699+261.732</f>
        <v>263.43100000000004</v>
      </c>
      <c r="Y99" s="4407"/>
      <c r="Z99" s="4442">
        <f t="shared" si="678"/>
        <v>173.85940000000002</v>
      </c>
      <c r="AA99" s="4407">
        <f>1.14088+172.71852</f>
        <v>173.85940000000002</v>
      </c>
      <c r="AB99" s="4407"/>
      <c r="AC99" s="4442">
        <f t="shared" si="375"/>
        <v>637.99040000000002</v>
      </c>
      <c r="AD99" s="4442">
        <f t="shared" si="703"/>
        <v>637.99040000000002</v>
      </c>
      <c r="AE99" s="4442">
        <f t="shared" si="703"/>
        <v>0</v>
      </c>
      <c r="AF99" s="4384">
        <f t="shared" si="679"/>
        <v>1074.8555111308351</v>
      </c>
      <c r="AG99" s="4384">
        <f t="shared" si="680"/>
        <v>1074.8555111308351</v>
      </c>
      <c r="AH99" s="4384">
        <f t="shared" si="680"/>
        <v>0</v>
      </c>
      <c r="AI99" s="4443">
        <f t="shared" si="704"/>
        <v>1329.69461</v>
      </c>
      <c r="AJ99" s="4443">
        <f t="shared" si="704"/>
        <v>1329.69461</v>
      </c>
      <c r="AK99" s="4443">
        <f t="shared" si="704"/>
        <v>0</v>
      </c>
      <c r="AL99" s="4443">
        <f t="shared" si="731"/>
        <v>254.8390988691649</v>
      </c>
      <c r="AM99" s="4443">
        <f t="shared" si="731"/>
        <v>254.8390988691649</v>
      </c>
      <c r="AN99" s="4443">
        <f t="shared" si="731"/>
        <v>0</v>
      </c>
      <c r="AO99" s="4385">
        <f t="shared" si="724"/>
        <v>537.42775556541756</v>
      </c>
      <c r="AP99" s="4385">
        <f t="shared" si="725"/>
        <v>537.42775556541756</v>
      </c>
      <c r="AQ99" s="4385">
        <f t="shared" si="726"/>
        <v>0</v>
      </c>
      <c r="AR99" s="4442">
        <f t="shared" si="683"/>
        <v>203.654</v>
      </c>
      <c r="AS99" s="4407">
        <v>203.654</v>
      </c>
      <c r="AT99" s="4407"/>
      <c r="AU99" s="4442">
        <f t="shared" si="684"/>
        <v>0</v>
      </c>
      <c r="AV99" s="4407"/>
      <c r="AW99" s="4407"/>
      <c r="AX99" s="4442">
        <f t="shared" si="685"/>
        <v>0</v>
      </c>
      <c r="AY99" s="4407"/>
      <c r="AZ99" s="4407"/>
      <c r="BA99" s="4442">
        <f t="shared" si="385"/>
        <v>203.654</v>
      </c>
      <c r="BB99" s="4442">
        <f t="shared" si="710"/>
        <v>203.654</v>
      </c>
      <c r="BC99" s="4442">
        <f t="shared" si="710"/>
        <v>0</v>
      </c>
      <c r="BD99" s="4384">
        <f t="shared" si="686"/>
        <v>1612.2832666962527</v>
      </c>
      <c r="BE99" s="4384">
        <f t="shared" si="687"/>
        <v>1612.2832666962527</v>
      </c>
      <c r="BF99" s="4384">
        <f t="shared" si="687"/>
        <v>0</v>
      </c>
      <c r="BG99" s="4443">
        <f t="shared" si="711"/>
        <v>1533.34861</v>
      </c>
      <c r="BH99" s="4443">
        <f t="shared" si="711"/>
        <v>1533.34861</v>
      </c>
      <c r="BI99" s="4443">
        <f t="shared" si="711"/>
        <v>0</v>
      </c>
      <c r="BJ99" s="4443">
        <f t="shared" si="732"/>
        <v>-78.934656696252659</v>
      </c>
      <c r="BK99" s="4443">
        <f t="shared" si="732"/>
        <v>-78.934656696252659</v>
      </c>
      <c r="BL99" s="4443">
        <f t="shared" si="732"/>
        <v>0</v>
      </c>
      <c r="BM99" s="4385">
        <f t="shared" si="730"/>
        <v>537.42775556541756</v>
      </c>
      <c r="BN99" s="4385">
        <f t="shared" si="728"/>
        <v>537.42775556541756</v>
      </c>
      <c r="BO99" s="4385">
        <f t="shared" si="729"/>
        <v>0</v>
      </c>
      <c r="BP99" s="4442">
        <f t="shared" si="689"/>
        <v>0</v>
      </c>
      <c r="BQ99" s="4407"/>
      <c r="BR99" s="4407"/>
      <c r="BS99" s="4442">
        <f t="shared" si="690"/>
        <v>0</v>
      </c>
      <c r="BT99" s="4407"/>
      <c r="BU99" s="4407"/>
      <c r="BV99" s="4442">
        <f t="shared" si="691"/>
        <v>0</v>
      </c>
      <c r="BW99" s="4407"/>
      <c r="BX99" s="4407"/>
      <c r="BY99" s="4442">
        <f t="shared" si="395"/>
        <v>0</v>
      </c>
      <c r="BZ99" s="4442">
        <f t="shared" si="717"/>
        <v>0</v>
      </c>
      <c r="CA99" s="4442">
        <f t="shared" si="717"/>
        <v>0</v>
      </c>
      <c r="CB99" s="4384">
        <f t="shared" si="616"/>
        <v>2149.7110222616702</v>
      </c>
      <c r="CC99" s="4446">
        <f>SUM(стоки!EK39)</f>
        <v>2149.7110222616702</v>
      </c>
      <c r="CD99" s="4446">
        <f>SUM(стоки!EL39)</f>
        <v>0</v>
      </c>
      <c r="CE99" s="4443">
        <f t="shared" si="718"/>
        <v>1533.34861</v>
      </c>
      <c r="CF99" s="4443">
        <f t="shared" si="718"/>
        <v>1533.34861</v>
      </c>
      <c r="CG99" s="4443">
        <f t="shared" si="718"/>
        <v>0</v>
      </c>
      <c r="CH99" s="4443">
        <f t="shared" si="719"/>
        <v>-616.36241226167022</v>
      </c>
      <c r="CI99" s="4443">
        <f t="shared" si="719"/>
        <v>-616.36241226167022</v>
      </c>
      <c r="CJ99" s="4443">
        <f t="shared" si="719"/>
        <v>0</v>
      </c>
      <c r="CK99" s="2774"/>
      <c r="CL99" s="3576">
        <f t="shared" si="615"/>
        <v>2149.7110222616702</v>
      </c>
      <c r="CM99" s="2774"/>
    </row>
    <row r="100" spans="1:91" ht="18.75" customHeight="1" x14ac:dyDescent="0.3">
      <c r="A100" s="4386" t="str">
        <f>A79</f>
        <v>то же в %</v>
      </c>
      <c r="B100" s="4409">
        <f t="shared" ref="B100:D100" si="733">SUM(B99/B98)</f>
        <v>0.30277984560945559</v>
      </c>
      <c r="C100" s="4409">
        <f t="shared" si="733"/>
        <v>0.30277984560945559</v>
      </c>
      <c r="D100" s="4409" t="e">
        <f t="shared" si="733"/>
        <v>#DIV/0!</v>
      </c>
      <c r="E100" s="4409">
        <f>SUM(E99/E98)</f>
        <v>0.29998982313063627</v>
      </c>
      <c r="F100" s="4409">
        <f t="shared" ref="F100:S100" si="734">SUM(F99/F98)</f>
        <v>0.29998982313063627</v>
      </c>
      <c r="G100" s="4409" t="e">
        <f t="shared" si="734"/>
        <v>#DIV/0!</v>
      </c>
      <c r="H100" s="4409">
        <f>SUM(H99/H98)</f>
        <v>0.32994939597758438</v>
      </c>
      <c r="I100" s="4409">
        <f t="shared" ref="I100:J100" si="735">SUM(I99/I98)</f>
        <v>0.32994939597758438</v>
      </c>
      <c r="J100" s="4409" t="e">
        <f t="shared" si="735"/>
        <v>#DIV/0!</v>
      </c>
      <c r="K100" s="4409">
        <f>SUM(K99/K98)</f>
        <v>0.31964746641318315</v>
      </c>
      <c r="L100" s="4409">
        <f t="shared" ref="L100:M100" si="736">SUM(L99/L98)</f>
        <v>0.31964746641318315</v>
      </c>
      <c r="M100" s="4409" t="e">
        <f t="shared" si="736"/>
        <v>#DIV/0!</v>
      </c>
      <c r="N100" s="4409">
        <f t="shared" si="734"/>
        <v>0.31507823139434049</v>
      </c>
      <c r="O100" s="4409">
        <f t="shared" si="734"/>
        <v>0.31507823139434049</v>
      </c>
      <c r="P100" s="4409" t="e">
        <f t="shared" si="734"/>
        <v>#DIV/0!</v>
      </c>
      <c r="Q100" s="4409">
        <f t="shared" si="734"/>
        <v>0.30277984560945559</v>
      </c>
      <c r="R100" s="4409">
        <f t="shared" si="734"/>
        <v>0.30277984560945559</v>
      </c>
      <c r="S100" s="4409" t="e">
        <f t="shared" si="734"/>
        <v>#DIV/0!</v>
      </c>
      <c r="T100" s="4409">
        <f>SUM(T99/T98)</f>
        <v>0.30577032946105503</v>
      </c>
      <c r="U100" s="4409">
        <f t="shared" ref="U100:V100" si="737">SUM(U99/U98)</f>
        <v>0.30577032946105503</v>
      </c>
      <c r="V100" s="4409" t="e">
        <f t="shared" si="737"/>
        <v>#DIV/0!</v>
      </c>
      <c r="W100" s="4409">
        <f>SUM(W99/W98)</f>
        <v>0.32030694293638512</v>
      </c>
      <c r="X100" s="4409">
        <f t="shared" ref="X100:Y100" si="738">SUM(X99/X98)</f>
        <v>0.32030694293638512</v>
      </c>
      <c r="Y100" s="4409" t="e">
        <f t="shared" si="738"/>
        <v>#DIV/0!</v>
      </c>
      <c r="Z100" s="4409">
        <f>SUM(Z99/Z98)</f>
        <v>0.31911874026038389</v>
      </c>
      <c r="AA100" s="4409">
        <f t="shared" ref="AA100:AB100" si="739">SUM(AA99/AA98)</f>
        <v>0.31911874026038389</v>
      </c>
      <c r="AB100" s="4409" t="e">
        <f t="shared" si="739"/>
        <v>#DIV/0!</v>
      </c>
      <c r="AC100" s="4409" t="e">
        <f t="shared" si="375"/>
        <v>#DIV/0!</v>
      </c>
      <c r="AD100" s="4409">
        <f t="shared" si="703"/>
        <v>0.94519601265782405</v>
      </c>
      <c r="AE100" s="4409" t="e">
        <f t="shared" si="703"/>
        <v>#DIV/0!</v>
      </c>
      <c r="AF100" s="4410">
        <f t="shared" ref="AF100:AK100" si="740">SUM(AF99/AF98)</f>
        <v>0.30277984560945559</v>
      </c>
      <c r="AG100" s="4410">
        <f t="shared" si="740"/>
        <v>0.30277984560945559</v>
      </c>
      <c r="AH100" s="4410" t="e">
        <f t="shared" si="740"/>
        <v>#DIV/0!</v>
      </c>
      <c r="AI100" s="4410">
        <f t="shared" si="740"/>
        <v>0.31517117004489559</v>
      </c>
      <c r="AJ100" s="4410">
        <f t="shared" si="740"/>
        <v>0.31517117004489559</v>
      </c>
      <c r="AK100" s="4410" t="e">
        <f t="shared" si="740"/>
        <v>#DIV/0!</v>
      </c>
      <c r="AL100" s="4444">
        <f t="shared" si="731"/>
        <v>1.2391324435439999E-2</v>
      </c>
      <c r="AM100" s="4444">
        <f t="shared" si="731"/>
        <v>1.2391324435439999E-2</v>
      </c>
      <c r="AN100" s="4444" t="e">
        <f t="shared" si="731"/>
        <v>#DIV/0!</v>
      </c>
      <c r="AO100" s="4409">
        <f t="shared" ref="AO100:AQ100" si="741">SUM(AO99/AO98)</f>
        <v>0.30277984560945559</v>
      </c>
      <c r="AP100" s="4409">
        <f t="shared" si="741"/>
        <v>0.30277984560945559</v>
      </c>
      <c r="AQ100" s="4409" t="e">
        <f t="shared" si="741"/>
        <v>#DIV/0!</v>
      </c>
      <c r="AR100" s="4409">
        <f>SUM(AR99/AR98)</f>
        <v>0.31631789285009793</v>
      </c>
      <c r="AS100" s="4409">
        <f t="shared" ref="AS100:AT100" si="742">SUM(AS99/AS98)</f>
        <v>0.31631789285009793</v>
      </c>
      <c r="AT100" s="4409" t="e">
        <f t="shared" si="742"/>
        <v>#DIV/0!</v>
      </c>
      <c r="AU100" s="4409" t="e">
        <f>SUM(AU99/AU98)</f>
        <v>#DIV/0!</v>
      </c>
      <c r="AV100" s="4409" t="e">
        <f t="shared" ref="AV100:AW100" si="743">SUM(AV99/AV98)</f>
        <v>#DIV/0!</v>
      </c>
      <c r="AW100" s="4409" t="e">
        <f t="shared" si="743"/>
        <v>#DIV/0!</v>
      </c>
      <c r="AX100" s="4409" t="e">
        <f>SUM(AX99/AX98)</f>
        <v>#DIV/0!</v>
      </c>
      <c r="AY100" s="4409" t="e">
        <f t="shared" ref="AY100:AZ100" si="744">SUM(AY99/AY98)</f>
        <v>#DIV/0!</v>
      </c>
      <c r="AZ100" s="4409" t="e">
        <f t="shared" si="744"/>
        <v>#DIV/0!</v>
      </c>
      <c r="BA100" s="4409" t="e">
        <f t="shared" si="385"/>
        <v>#DIV/0!</v>
      </c>
      <c r="BB100" s="4409" t="e">
        <f t="shared" si="710"/>
        <v>#DIV/0!</v>
      </c>
      <c r="BC100" s="4409" t="e">
        <f t="shared" si="710"/>
        <v>#DIV/0!</v>
      </c>
      <c r="BD100" s="4410">
        <f t="shared" ref="BD100:BF100" si="745">SUM(BD99/BD98)</f>
        <v>0.30277984560945559</v>
      </c>
      <c r="BE100" s="4410">
        <f t="shared" si="745"/>
        <v>0.30277984560945559</v>
      </c>
      <c r="BF100" s="4410" t="e">
        <f t="shared" si="745"/>
        <v>#DIV/0!</v>
      </c>
      <c r="BG100" s="4410">
        <f>SUM(BG99/BG98)</f>
        <v>0.31532299472469605</v>
      </c>
      <c r="BH100" s="4410">
        <f t="shared" ref="BH100:BI100" si="746">SUM(BH99/BH98)</f>
        <v>0.31532299472469605</v>
      </c>
      <c r="BI100" s="4410" t="e">
        <f t="shared" si="746"/>
        <v>#DIV/0!</v>
      </c>
      <c r="BJ100" s="4444">
        <f t="shared" si="732"/>
        <v>1.254314911524046E-2</v>
      </c>
      <c r="BK100" s="4444">
        <f t="shared" si="732"/>
        <v>1.254314911524046E-2</v>
      </c>
      <c r="BL100" s="4444" t="e">
        <f t="shared" si="732"/>
        <v>#DIV/0!</v>
      </c>
      <c r="BM100" s="4409">
        <f t="shared" ref="BM100:BO100" si="747">SUM(BM99/BM98)</f>
        <v>0.30277984560945559</v>
      </c>
      <c r="BN100" s="4409">
        <f t="shared" si="747"/>
        <v>0.30277984560945559</v>
      </c>
      <c r="BO100" s="4409" t="e">
        <f t="shared" si="747"/>
        <v>#DIV/0!</v>
      </c>
      <c r="BP100" s="4409" t="e">
        <f>SUM(BP99/BP98)</f>
        <v>#DIV/0!</v>
      </c>
      <c r="BQ100" s="4409" t="e">
        <f t="shared" ref="BQ100:BR100" si="748">SUM(BQ99/BQ98)</f>
        <v>#DIV/0!</v>
      </c>
      <c r="BR100" s="4409" t="e">
        <f t="shared" si="748"/>
        <v>#DIV/0!</v>
      </c>
      <c r="BS100" s="4409" t="e">
        <f>SUM(BS99/BS98)</f>
        <v>#DIV/0!</v>
      </c>
      <c r="BT100" s="4409" t="e">
        <f t="shared" ref="BT100:BU100" si="749">SUM(BT99/BT98)</f>
        <v>#DIV/0!</v>
      </c>
      <c r="BU100" s="4409" t="e">
        <f t="shared" si="749"/>
        <v>#DIV/0!</v>
      </c>
      <c r="BV100" s="4409" t="e">
        <f>SUM(BV99/BV98)</f>
        <v>#DIV/0!</v>
      </c>
      <c r="BW100" s="4409" t="e">
        <f t="shared" ref="BW100:BX100" si="750">SUM(BW99/BW98)</f>
        <v>#DIV/0!</v>
      </c>
      <c r="BX100" s="4409" t="e">
        <f t="shared" si="750"/>
        <v>#DIV/0!</v>
      </c>
      <c r="BY100" s="4409" t="e">
        <f t="shared" si="395"/>
        <v>#DIV/0!</v>
      </c>
      <c r="BZ100" s="4409" t="e">
        <f t="shared" si="717"/>
        <v>#DIV/0!</v>
      </c>
      <c r="CA100" s="4409" t="e">
        <f t="shared" si="717"/>
        <v>#DIV/0!</v>
      </c>
      <c r="CB100" s="4410">
        <f t="shared" ref="CB100:CG100" si="751">SUM(CB99/CB98)</f>
        <v>0.30277984560945559</v>
      </c>
      <c r="CC100" s="4410">
        <f t="shared" si="751"/>
        <v>0.30277984560945559</v>
      </c>
      <c r="CD100" s="4410" t="e">
        <f t="shared" si="751"/>
        <v>#DIV/0!</v>
      </c>
      <c r="CE100" s="4410">
        <f t="shared" si="751"/>
        <v>0.31532299472469605</v>
      </c>
      <c r="CF100" s="4410">
        <f t="shared" si="751"/>
        <v>0.31532299472469605</v>
      </c>
      <c r="CG100" s="4410" t="e">
        <f t="shared" si="751"/>
        <v>#DIV/0!</v>
      </c>
      <c r="CH100" s="4444">
        <f t="shared" si="719"/>
        <v>1.254314911524046E-2</v>
      </c>
      <c r="CI100" s="4444">
        <f t="shared" si="719"/>
        <v>1.254314911524046E-2</v>
      </c>
      <c r="CJ100" s="4444" t="e">
        <f t="shared" si="719"/>
        <v>#DIV/0!</v>
      </c>
      <c r="CK100" s="2774"/>
      <c r="CL100" s="3576">
        <f t="shared" si="615"/>
        <v>1.2111193824378224</v>
      </c>
      <c r="CM100" s="2774"/>
    </row>
    <row r="101" spans="1:91" ht="18.75" customHeight="1" x14ac:dyDescent="0.3">
      <c r="A101" s="4418" t="s">
        <v>3693</v>
      </c>
      <c r="B101" s="4377">
        <f t="shared" si="720"/>
        <v>1625.1608572500002</v>
      </c>
      <c r="C101" s="4414">
        <f t="shared" ref="C101:D101" si="752">SUM(C102:C106)+C108</f>
        <v>1625.1608572500002</v>
      </c>
      <c r="D101" s="4414">
        <f t="shared" si="752"/>
        <v>0</v>
      </c>
      <c r="E101" s="4415">
        <f t="shared" si="360"/>
        <v>526.57799999999997</v>
      </c>
      <c r="F101" s="4415">
        <f>SUM(F102:F106)+F108</f>
        <v>526.57799999999997</v>
      </c>
      <c r="G101" s="4415">
        <f t="shared" ref="G101" si="753">SUM(G102:G106)+G108</f>
        <v>0</v>
      </c>
      <c r="H101" s="4415">
        <f t="shared" ref="H101:H123" si="754">SUM(I101:J101)</f>
        <v>355.86429000000004</v>
      </c>
      <c r="I101" s="4415">
        <f t="shared" ref="I101:J101" si="755">SUM(I102:I106)+I108</f>
        <v>355.86429000000004</v>
      </c>
      <c r="J101" s="4415">
        <f t="shared" si="755"/>
        <v>0</v>
      </c>
      <c r="K101" s="4415">
        <f t="shared" ref="K101:K123" si="756">SUM(L101:M101)</f>
        <v>43.738999999999997</v>
      </c>
      <c r="L101" s="4415">
        <f t="shared" ref="L101:M101" si="757">SUM(L102:L106)+L108</f>
        <v>43.738999999999997</v>
      </c>
      <c r="M101" s="4415">
        <f t="shared" si="757"/>
        <v>0</v>
      </c>
      <c r="N101" s="4415">
        <f t="shared" ref="N101:N110" si="758">SUM(O101:P101)</f>
        <v>926.18128999999999</v>
      </c>
      <c r="O101" s="4415">
        <f t="shared" ref="O101:P116" si="759">SUM(F101+I101+L101)</f>
        <v>926.18128999999999</v>
      </c>
      <c r="P101" s="4415">
        <f t="shared" si="759"/>
        <v>0</v>
      </c>
      <c r="Q101" s="4377">
        <f t="shared" si="637"/>
        <v>1625.1608572500002</v>
      </c>
      <c r="R101" s="4414">
        <f t="shared" ref="R101:S101" si="760">SUM(R102:R106)+R108</f>
        <v>1625.1608572500002</v>
      </c>
      <c r="S101" s="4414">
        <f t="shared" si="760"/>
        <v>0</v>
      </c>
      <c r="T101" s="4415">
        <f t="shared" ref="T101:T123" si="761">SUM(U101:V101)</f>
        <v>284.69599999999997</v>
      </c>
      <c r="U101" s="4415">
        <f t="shared" ref="U101:V101" si="762">SUM(U102:U106)+U108</f>
        <v>284.69599999999997</v>
      </c>
      <c r="V101" s="4415">
        <f t="shared" si="762"/>
        <v>0</v>
      </c>
      <c r="W101" s="4415">
        <f t="shared" ref="W101:W123" si="763">SUM(X101:Y101)</f>
        <v>373.93900000000008</v>
      </c>
      <c r="X101" s="4415">
        <f>SUM(X102:X106)+X108</f>
        <v>373.93900000000008</v>
      </c>
      <c r="Y101" s="4415">
        <f t="shared" ref="Y101" si="764">SUM(Y102:Y106)+Y108</f>
        <v>0</v>
      </c>
      <c r="Z101" s="4415">
        <f t="shared" ref="Z101:Z123" si="765">SUM(AA101:AB101)</f>
        <v>370.60676999999998</v>
      </c>
      <c r="AA101" s="4415">
        <f t="shared" ref="AA101:AB101" si="766">SUM(AA102:AA106)+AA108</f>
        <v>370.60676999999998</v>
      </c>
      <c r="AB101" s="4415">
        <f t="shared" si="766"/>
        <v>0</v>
      </c>
      <c r="AC101" s="4415">
        <f t="shared" si="375"/>
        <v>1029.2417700000001</v>
      </c>
      <c r="AD101" s="4415">
        <f t="shared" si="703"/>
        <v>1029.2417700000001</v>
      </c>
      <c r="AE101" s="4415">
        <f t="shared" si="703"/>
        <v>0</v>
      </c>
      <c r="AF101" s="4379">
        <f t="shared" si="679"/>
        <v>3250.3217145000003</v>
      </c>
      <c r="AG101" s="4379">
        <f t="shared" si="680"/>
        <v>3250.3217145000003</v>
      </c>
      <c r="AH101" s="4379">
        <f t="shared" si="680"/>
        <v>0</v>
      </c>
      <c r="AI101" s="4441">
        <f t="shared" ref="AI101:AI110" si="767">SUM(AC101+N101)</f>
        <v>1955.4230600000001</v>
      </c>
      <c r="AJ101" s="4441">
        <f t="shared" ref="AJ101:AK116" si="768">SUM(AD101+O101)</f>
        <v>1955.4230600000001</v>
      </c>
      <c r="AK101" s="4441">
        <f t="shared" si="768"/>
        <v>0</v>
      </c>
      <c r="AL101" s="4441">
        <f t="shared" si="731"/>
        <v>-1294.8986545000002</v>
      </c>
      <c r="AM101" s="4441">
        <f t="shared" si="731"/>
        <v>-1294.8986545000002</v>
      </c>
      <c r="AN101" s="4441">
        <f t="shared" si="731"/>
        <v>0</v>
      </c>
      <c r="AO101" s="4377">
        <f t="shared" si="724"/>
        <v>1625.1608572500002</v>
      </c>
      <c r="AP101" s="4414">
        <f t="shared" ref="AP101:AQ101" si="769">SUM(AP102:AP106)+AP108</f>
        <v>1625.1608572500002</v>
      </c>
      <c r="AQ101" s="4414">
        <f t="shared" si="769"/>
        <v>0</v>
      </c>
      <c r="AR101" s="4415">
        <f t="shared" ref="AR101:AR123" si="770">SUM(AS101:AT101)</f>
        <v>361.18199999999996</v>
      </c>
      <c r="AS101" s="4415">
        <f t="shared" ref="AS101:AT101" si="771">SUM(AS102:AS106)+AS108</f>
        <v>361.18199999999996</v>
      </c>
      <c r="AT101" s="4415">
        <f t="shared" si="771"/>
        <v>0</v>
      </c>
      <c r="AU101" s="4415">
        <f t="shared" ref="AU101:AU123" si="772">SUM(AV101:AW101)</f>
        <v>0</v>
      </c>
      <c r="AV101" s="4415">
        <f t="shared" ref="AV101:AW101" si="773">SUM(AV102:AV106)+AV108</f>
        <v>0</v>
      </c>
      <c r="AW101" s="4415">
        <f t="shared" si="773"/>
        <v>0</v>
      </c>
      <c r="AX101" s="4415">
        <f t="shared" ref="AX101:AX123" si="774">SUM(AY101:AZ101)</f>
        <v>0</v>
      </c>
      <c r="AY101" s="4415">
        <f t="shared" ref="AY101:AZ101" si="775">SUM(AY102:AY106)+AY108</f>
        <v>0</v>
      </c>
      <c r="AZ101" s="4415">
        <f t="shared" si="775"/>
        <v>0</v>
      </c>
      <c r="BA101" s="4415">
        <f t="shared" si="385"/>
        <v>361.18199999999996</v>
      </c>
      <c r="BB101" s="4415">
        <f t="shared" si="710"/>
        <v>361.18199999999996</v>
      </c>
      <c r="BC101" s="4415">
        <f t="shared" si="710"/>
        <v>0</v>
      </c>
      <c r="BD101" s="4379">
        <f t="shared" si="686"/>
        <v>4875.4825717500007</v>
      </c>
      <c r="BE101" s="4379">
        <f t="shared" si="687"/>
        <v>4875.4825717500007</v>
      </c>
      <c r="BF101" s="4379">
        <f t="shared" si="687"/>
        <v>0</v>
      </c>
      <c r="BG101" s="4441">
        <f t="shared" ref="BG101:BG110" si="776">SUM(AI101+BA101)</f>
        <v>2316.6050599999999</v>
      </c>
      <c r="BH101" s="4441">
        <f t="shared" ref="BH101:BI116" si="777">SUM(AJ101+BB101)</f>
        <v>2316.6050599999999</v>
      </c>
      <c r="BI101" s="4441">
        <f t="shared" si="777"/>
        <v>0</v>
      </c>
      <c r="BJ101" s="4441">
        <f t="shared" si="732"/>
        <v>-2558.8775117500008</v>
      </c>
      <c r="BK101" s="4441">
        <f t="shared" si="732"/>
        <v>-2558.8775117500008</v>
      </c>
      <c r="BL101" s="4441">
        <f t="shared" si="732"/>
        <v>0</v>
      </c>
      <c r="BM101" s="4377">
        <f t="shared" si="730"/>
        <v>1625.1608572500002</v>
      </c>
      <c r="BN101" s="4414">
        <f t="shared" ref="BN101:BO101" si="778">SUM(BN102:BN106)+BN108</f>
        <v>1625.1608572500002</v>
      </c>
      <c r="BO101" s="4414">
        <f t="shared" si="778"/>
        <v>0</v>
      </c>
      <c r="BP101" s="4415">
        <f t="shared" ref="BP101:BP123" si="779">SUM(BQ101:BR101)</f>
        <v>0</v>
      </c>
      <c r="BQ101" s="4415">
        <f t="shared" ref="BQ101:BR101" si="780">SUM(BQ102:BQ106)+BQ108</f>
        <v>0</v>
      </c>
      <c r="BR101" s="4415">
        <f t="shared" si="780"/>
        <v>0</v>
      </c>
      <c r="BS101" s="4415">
        <f t="shared" ref="BS101:BS123" si="781">SUM(BT101:BU101)</f>
        <v>0</v>
      </c>
      <c r="BT101" s="4415">
        <f t="shared" ref="BT101:BU101" si="782">SUM(BT102:BT106)+BT108</f>
        <v>0</v>
      </c>
      <c r="BU101" s="4415">
        <f t="shared" si="782"/>
        <v>0</v>
      </c>
      <c r="BV101" s="4415">
        <f t="shared" ref="BV101:BV123" si="783">SUM(BW101:BX101)</f>
        <v>0</v>
      </c>
      <c r="BW101" s="4415">
        <f t="shared" ref="BW101:BX101" si="784">SUM(BW102:BW106)+BW108</f>
        <v>0</v>
      </c>
      <c r="BX101" s="4415">
        <f t="shared" si="784"/>
        <v>0</v>
      </c>
      <c r="BY101" s="4415">
        <f t="shared" si="395"/>
        <v>0</v>
      </c>
      <c r="BZ101" s="4415">
        <f t="shared" si="717"/>
        <v>0</v>
      </c>
      <c r="CA101" s="4415">
        <f t="shared" si="717"/>
        <v>0</v>
      </c>
      <c r="CB101" s="4379">
        <f t="shared" si="616"/>
        <v>6500.6434339016896</v>
      </c>
      <c r="CC101" s="4455">
        <f>SUM(стоки!EK41)</f>
        <v>6500.6434339016896</v>
      </c>
      <c r="CD101" s="4455">
        <f>SUM(стоки!EL41)</f>
        <v>0</v>
      </c>
      <c r="CE101" s="4441">
        <f t="shared" ref="CE101:CE110" si="785">SUM(BY101+BG101)</f>
        <v>2316.6050599999999</v>
      </c>
      <c r="CF101" s="4441">
        <f t="shared" ref="CF101:CG116" si="786">SUM(BZ101+BH101)</f>
        <v>2316.6050599999999</v>
      </c>
      <c r="CG101" s="4441">
        <f t="shared" si="786"/>
        <v>0</v>
      </c>
      <c r="CH101" s="4441">
        <f t="shared" si="719"/>
        <v>-4184.0383739016897</v>
      </c>
      <c r="CI101" s="4441">
        <f t="shared" si="719"/>
        <v>-4184.0383739016897</v>
      </c>
      <c r="CJ101" s="4441">
        <f t="shared" si="719"/>
        <v>0</v>
      </c>
      <c r="CK101" s="2860"/>
      <c r="CL101" s="3576">
        <f t="shared" si="615"/>
        <v>6500.6434290000007</v>
      </c>
      <c r="CM101" s="2860">
        <f>SUM(CC102:CC110)-CC106-CC108</f>
        <v>6500.6434289999997</v>
      </c>
    </row>
    <row r="102" spans="1:91" ht="18.75" customHeight="1" x14ac:dyDescent="0.3">
      <c r="A102" s="4445" t="s">
        <v>70</v>
      </c>
      <c r="B102" s="4385">
        <f t="shared" si="720"/>
        <v>804.95949474999998</v>
      </c>
      <c r="C102" s="4385">
        <f t="shared" ref="C102:D105" si="787">SUM(CC102/4)</f>
        <v>804.95949474999998</v>
      </c>
      <c r="D102" s="4385">
        <f t="shared" si="787"/>
        <v>0</v>
      </c>
      <c r="E102" s="4442">
        <f t="shared" si="360"/>
        <v>270.83600000000001</v>
      </c>
      <c r="F102" s="4407">
        <v>270.83600000000001</v>
      </c>
      <c r="G102" s="4407"/>
      <c r="H102" s="4442">
        <f t="shared" si="754"/>
        <v>198.14872</v>
      </c>
      <c r="I102" s="4407">
        <v>198.14872</v>
      </c>
      <c r="J102" s="4407"/>
      <c r="K102" s="4442">
        <f t="shared" si="756"/>
        <v>0</v>
      </c>
      <c r="L102" s="4407"/>
      <c r="M102" s="4407"/>
      <c r="N102" s="4442">
        <f t="shared" si="758"/>
        <v>468.98472000000004</v>
      </c>
      <c r="O102" s="4442">
        <f t="shared" si="759"/>
        <v>468.98472000000004</v>
      </c>
      <c r="P102" s="4442">
        <f t="shared" si="759"/>
        <v>0</v>
      </c>
      <c r="Q102" s="4385">
        <f t="shared" ref="Q102:Q121" si="788">SUM(R102:S102)</f>
        <v>804.95949474999998</v>
      </c>
      <c r="R102" s="4385">
        <f t="shared" ref="R102:R105" si="789">SUM(C102)</f>
        <v>804.95949474999998</v>
      </c>
      <c r="S102" s="4385">
        <f t="shared" ref="S102:S105" si="790">SUM(D102)</f>
        <v>0</v>
      </c>
      <c r="T102" s="4442">
        <f t="shared" si="761"/>
        <v>208.126</v>
      </c>
      <c r="U102" s="4407">
        <v>208.126</v>
      </c>
      <c r="V102" s="4407"/>
      <c r="W102" s="4442">
        <f t="shared" si="763"/>
        <v>259.02100000000002</v>
      </c>
      <c r="X102" s="4407">
        <v>259.02100000000002</v>
      </c>
      <c r="Y102" s="4407"/>
      <c r="Z102" s="4442">
        <f t="shared" si="765"/>
        <v>253.15199999999999</v>
      </c>
      <c r="AA102" s="4407">
        <v>253.15199999999999</v>
      </c>
      <c r="AB102" s="4407"/>
      <c r="AC102" s="4442">
        <f t="shared" si="375"/>
        <v>720.29899999999998</v>
      </c>
      <c r="AD102" s="4442">
        <f t="shared" si="703"/>
        <v>720.29899999999998</v>
      </c>
      <c r="AE102" s="4442">
        <f t="shared" si="703"/>
        <v>0</v>
      </c>
      <c r="AF102" s="4384">
        <f t="shared" si="679"/>
        <v>1609.9189895</v>
      </c>
      <c r="AG102" s="4384">
        <f t="shared" si="680"/>
        <v>1609.9189895</v>
      </c>
      <c r="AH102" s="4384">
        <f t="shared" si="680"/>
        <v>0</v>
      </c>
      <c r="AI102" s="4443">
        <f t="shared" si="767"/>
        <v>1189.2837199999999</v>
      </c>
      <c r="AJ102" s="4443">
        <f t="shared" si="768"/>
        <v>1189.2837199999999</v>
      </c>
      <c r="AK102" s="4443">
        <f t="shared" si="768"/>
        <v>0</v>
      </c>
      <c r="AL102" s="4443">
        <f t="shared" si="731"/>
        <v>-420.63526950000005</v>
      </c>
      <c r="AM102" s="4443">
        <f t="shared" si="731"/>
        <v>-420.63526950000005</v>
      </c>
      <c r="AN102" s="4443">
        <f t="shared" si="731"/>
        <v>0</v>
      </c>
      <c r="AO102" s="4385">
        <f t="shared" si="724"/>
        <v>804.95949474999998</v>
      </c>
      <c r="AP102" s="4385">
        <f t="shared" ref="AP102:AP105" si="791">SUM(CC102-AG102)/2</f>
        <v>804.95949474999998</v>
      </c>
      <c r="AQ102" s="4385">
        <f t="shared" ref="AQ102:AQ105" si="792">SUM(CD102-AH102)/2</f>
        <v>0</v>
      </c>
      <c r="AR102" s="4442">
        <f t="shared" si="770"/>
        <v>239.155</v>
      </c>
      <c r="AS102" s="4407">
        <v>239.155</v>
      </c>
      <c r="AT102" s="4407"/>
      <c r="AU102" s="4442">
        <f t="shared" si="772"/>
        <v>0</v>
      </c>
      <c r="AV102" s="4407"/>
      <c r="AW102" s="4407"/>
      <c r="AX102" s="4442">
        <f t="shared" si="774"/>
        <v>0</v>
      </c>
      <c r="AY102" s="4407"/>
      <c r="AZ102" s="4407"/>
      <c r="BA102" s="4442">
        <f t="shared" si="385"/>
        <v>239.155</v>
      </c>
      <c r="BB102" s="4442">
        <f t="shared" si="710"/>
        <v>239.155</v>
      </c>
      <c r="BC102" s="4442">
        <f t="shared" si="710"/>
        <v>0</v>
      </c>
      <c r="BD102" s="4384">
        <f t="shared" si="686"/>
        <v>2414.8784842499999</v>
      </c>
      <c r="BE102" s="4384">
        <f t="shared" si="687"/>
        <v>2414.8784842499999</v>
      </c>
      <c r="BF102" s="4384">
        <f t="shared" si="687"/>
        <v>0</v>
      </c>
      <c r="BG102" s="4443">
        <f t="shared" si="776"/>
        <v>1428.4387199999999</v>
      </c>
      <c r="BH102" s="4443">
        <f t="shared" si="777"/>
        <v>1428.4387199999999</v>
      </c>
      <c r="BI102" s="4443">
        <f t="shared" si="777"/>
        <v>0</v>
      </c>
      <c r="BJ102" s="4443">
        <f t="shared" si="732"/>
        <v>-986.43976425000005</v>
      </c>
      <c r="BK102" s="4443">
        <f t="shared" si="732"/>
        <v>-986.43976425000005</v>
      </c>
      <c r="BL102" s="4443">
        <f t="shared" si="732"/>
        <v>0</v>
      </c>
      <c r="BM102" s="4385">
        <f t="shared" ref="BM102:BM106" si="793">SUM(BN102:BO102)</f>
        <v>804.95949474999998</v>
      </c>
      <c r="BN102" s="4385">
        <f t="shared" ref="BN102:BN105" si="794">SUM(AP102)</f>
        <v>804.95949474999998</v>
      </c>
      <c r="BO102" s="4385">
        <f t="shared" ref="BO102:BO105" si="795">SUM(AQ102)</f>
        <v>0</v>
      </c>
      <c r="BP102" s="4442">
        <f t="shared" si="779"/>
        <v>0</v>
      </c>
      <c r="BQ102" s="4407"/>
      <c r="BR102" s="4407"/>
      <c r="BS102" s="4442">
        <f t="shared" si="781"/>
        <v>0</v>
      </c>
      <c r="BT102" s="4407"/>
      <c r="BU102" s="4407"/>
      <c r="BV102" s="4442">
        <f t="shared" si="783"/>
        <v>0</v>
      </c>
      <c r="BW102" s="4407"/>
      <c r="BX102" s="4407"/>
      <c r="BY102" s="4442">
        <f t="shared" si="395"/>
        <v>0</v>
      </c>
      <c r="BZ102" s="4442">
        <f t="shared" si="717"/>
        <v>0</v>
      </c>
      <c r="CA102" s="4442">
        <f t="shared" si="717"/>
        <v>0</v>
      </c>
      <c r="CB102" s="4384">
        <f t="shared" si="616"/>
        <v>3219.8379789999999</v>
      </c>
      <c r="CC102" s="4384">
        <v>3219.8379789999999</v>
      </c>
      <c r="CD102" s="4446">
        <v>0</v>
      </c>
      <c r="CE102" s="4443">
        <f t="shared" si="785"/>
        <v>1428.4387199999999</v>
      </c>
      <c r="CF102" s="4443">
        <f t="shared" si="786"/>
        <v>1428.4387199999999</v>
      </c>
      <c r="CG102" s="4443">
        <f t="shared" si="786"/>
        <v>0</v>
      </c>
      <c r="CH102" s="4443">
        <f t="shared" si="719"/>
        <v>-1791.399259</v>
      </c>
      <c r="CI102" s="4443">
        <f t="shared" si="719"/>
        <v>-1791.399259</v>
      </c>
      <c r="CJ102" s="4443">
        <f t="shared" si="719"/>
        <v>0</v>
      </c>
      <c r="CK102" s="2774"/>
      <c r="CL102" s="3576">
        <f t="shared" si="615"/>
        <v>3219.8379789999999</v>
      </c>
      <c r="CM102" s="2774"/>
    </row>
    <row r="103" spans="1:91" ht="18.75" customHeight="1" x14ac:dyDescent="0.3">
      <c r="A103" s="4445" t="s">
        <v>113</v>
      </c>
      <c r="B103" s="4385">
        <f t="shared" si="720"/>
        <v>243.09774999999999</v>
      </c>
      <c r="C103" s="4385">
        <f t="shared" si="787"/>
        <v>243.09774999999999</v>
      </c>
      <c r="D103" s="4385">
        <f t="shared" si="787"/>
        <v>0</v>
      </c>
      <c r="E103" s="4442">
        <f t="shared" si="360"/>
        <v>78.795000000000002</v>
      </c>
      <c r="F103" s="4407">
        <f>0.452+78.343</f>
        <v>78.795000000000002</v>
      </c>
      <c r="G103" s="4407"/>
      <c r="H103" s="4442">
        <f t="shared" si="754"/>
        <v>59.824749999999995</v>
      </c>
      <c r="I103" s="4407">
        <f>0.38012+59.44463</f>
        <v>59.824749999999995</v>
      </c>
      <c r="J103" s="4407"/>
      <c r="K103" s="4442">
        <f t="shared" si="756"/>
        <v>0</v>
      </c>
      <c r="L103" s="4407"/>
      <c r="M103" s="4407"/>
      <c r="N103" s="4442">
        <f t="shared" si="758"/>
        <v>138.61975000000001</v>
      </c>
      <c r="O103" s="4442">
        <f t="shared" si="759"/>
        <v>138.61975000000001</v>
      </c>
      <c r="P103" s="4442">
        <f t="shared" si="759"/>
        <v>0</v>
      </c>
      <c r="Q103" s="4385">
        <f t="shared" si="788"/>
        <v>243.09774999999999</v>
      </c>
      <c r="R103" s="4385">
        <f t="shared" si="789"/>
        <v>243.09774999999999</v>
      </c>
      <c r="S103" s="4385">
        <f t="shared" si="790"/>
        <v>0</v>
      </c>
      <c r="T103" s="4442">
        <f t="shared" si="761"/>
        <v>59.701000000000001</v>
      </c>
      <c r="U103" s="4407">
        <f>0.38+59.321</f>
        <v>59.701000000000001</v>
      </c>
      <c r="V103" s="4407"/>
      <c r="W103" s="4442">
        <f t="shared" si="763"/>
        <v>74.403000000000006</v>
      </c>
      <c r="X103" s="4407">
        <f>0.491+73.912</f>
        <v>74.403000000000006</v>
      </c>
      <c r="Y103" s="4407"/>
      <c r="Z103" s="4442">
        <f t="shared" si="765"/>
        <v>79.681730000000002</v>
      </c>
      <c r="AA103" s="4407">
        <f>0.49968+79.18205</f>
        <v>79.681730000000002</v>
      </c>
      <c r="AB103" s="4407"/>
      <c r="AC103" s="4442">
        <f t="shared" si="375"/>
        <v>213.78573</v>
      </c>
      <c r="AD103" s="4442">
        <f t="shared" si="703"/>
        <v>213.78573</v>
      </c>
      <c r="AE103" s="4442">
        <f t="shared" si="703"/>
        <v>0</v>
      </c>
      <c r="AF103" s="4384">
        <f t="shared" si="679"/>
        <v>486.19549999999998</v>
      </c>
      <c r="AG103" s="4384">
        <f t="shared" si="680"/>
        <v>486.19549999999998</v>
      </c>
      <c r="AH103" s="4384">
        <f t="shared" si="680"/>
        <v>0</v>
      </c>
      <c r="AI103" s="4443">
        <f t="shared" si="767"/>
        <v>352.40548000000001</v>
      </c>
      <c r="AJ103" s="4443">
        <f t="shared" si="768"/>
        <v>352.40548000000001</v>
      </c>
      <c r="AK103" s="4443">
        <f t="shared" si="768"/>
        <v>0</v>
      </c>
      <c r="AL103" s="4443">
        <f t="shared" si="731"/>
        <v>-133.79001999999997</v>
      </c>
      <c r="AM103" s="4443">
        <f t="shared" si="731"/>
        <v>-133.79001999999997</v>
      </c>
      <c r="AN103" s="4443">
        <f t="shared" si="731"/>
        <v>0</v>
      </c>
      <c r="AO103" s="4385">
        <f t="shared" si="724"/>
        <v>243.09774999999999</v>
      </c>
      <c r="AP103" s="4385">
        <f t="shared" si="791"/>
        <v>243.09774999999999</v>
      </c>
      <c r="AQ103" s="4385">
        <f t="shared" si="792"/>
        <v>0</v>
      </c>
      <c r="AR103" s="4442">
        <f t="shared" si="770"/>
        <v>77.5</v>
      </c>
      <c r="AS103" s="4407">
        <v>77.5</v>
      </c>
      <c r="AT103" s="4407"/>
      <c r="AU103" s="4442">
        <f t="shared" si="772"/>
        <v>0</v>
      </c>
      <c r="AV103" s="4407"/>
      <c r="AW103" s="4407"/>
      <c r="AX103" s="4442">
        <f t="shared" si="774"/>
        <v>0</v>
      </c>
      <c r="AY103" s="4407"/>
      <c r="AZ103" s="4407"/>
      <c r="BA103" s="4442">
        <f t="shared" si="385"/>
        <v>77.5</v>
      </c>
      <c r="BB103" s="4442">
        <f t="shared" si="710"/>
        <v>77.5</v>
      </c>
      <c r="BC103" s="4442">
        <f t="shared" si="710"/>
        <v>0</v>
      </c>
      <c r="BD103" s="4384">
        <f t="shared" si="686"/>
        <v>729.29324999999994</v>
      </c>
      <c r="BE103" s="4384">
        <f t="shared" si="687"/>
        <v>729.29324999999994</v>
      </c>
      <c r="BF103" s="4384">
        <f t="shared" si="687"/>
        <v>0</v>
      </c>
      <c r="BG103" s="4443">
        <f t="shared" si="776"/>
        <v>429.90548000000001</v>
      </c>
      <c r="BH103" s="4443">
        <f t="shared" si="777"/>
        <v>429.90548000000001</v>
      </c>
      <c r="BI103" s="4443">
        <f t="shared" si="777"/>
        <v>0</v>
      </c>
      <c r="BJ103" s="4443">
        <f t="shared" si="732"/>
        <v>-299.38776999999993</v>
      </c>
      <c r="BK103" s="4443">
        <f t="shared" si="732"/>
        <v>-299.38776999999993</v>
      </c>
      <c r="BL103" s="4443">
        <f t="shared" si="732"/>
        <v>0</v>
      </c>
      <c r="BM103" s="4385">
        <f t="shared" si="793"/>
        <v>243.09774999999999</v>
      </c>
      <c r="BN103" s="4385">
        <f t="shared" si="794"/>
        <v>243.09774999999999</v>
      </c>
      <c r="BO103" s="4385">
        <f t="shared" si="795"/>
        <v>0</v>
      </c>
      <c r="BP103" s="4442">
        <f t="shared" si="779"/>
        <v>0</v>
      </c>
      <c r="BQ103" s="4407"/>
      <c r="BR103" s="4407"/>
      <c r="BS103" s="4442">
        <f t="shared" si="781"/>
        <v>0</v>
      </c>
      <c r="BT103" s="4407"/>
      <c r="BU103" s="4407"/>
      <c r="BV103" s="4442">
        <f t="shared" si="783"/>
        <v>0</v>
      </c>
      <c r="BW103" s="4407"/>
      <c r="BX103" s="4407"/>
      <c r="BY103" s="4442">
        <f t="shared" si="395"/>
        <v>0</v>
      </c>
      <c r="BZ103" s="4442">
        <f t="shared" si="717"/>
        <v>0</v>
      </c>
      <c r="CA103" s="4442">
        <f t="shared" si="717"/>
        <v>0</v>
      </c>
      <c r="CB103" s="4384">
        <f t="shared" si="616"/>
        <v>972.39099999999996</v>
      </c>
      <c r="CC103" s="4384">
        <v>972.39099999999996</v>
      </c>
      <c r="CD103" s="4446">
        <v>0</v>
      </c>
      <c r="CE103" s="4443">
        <f t="shared" si="785"/>
        <v>429.90548000000001</v>
      </c>
      <c r="CF103" s="4443">
        <f t="shared" si="786"/>
        <v>429.90548000000001</v>
      </c>
      <c r="CG103" s="4443">
        <f t="shared" si="786"/>
        <v>0</v>
      </c>
      <c r="CH103" s="4443">
        <f t="shared" si="719"/>
        <v>-542.48551999999995</v>
      </c>
      <c r="CI103" s="4443">
        <f t="shared" si="719"/>
        <v>-542.48551999999995</v>
      </c>
      <c r="CJ103" s="4443">
        <f t="shared" si="719"/>
        <v>0</v>
      </c>
      <c r="CK103" s="2774"/>
      <c r="CL103" s="3576">
        <f t="shared" si="615"/>
        <v>972.39099999999996</v>
      </c>
      <c r="CM103" s="2774"/>
    </row>
    <row r="104" spans="1:91" ht="18.75" customHeight="1" x14ac:dyDescent="0.3">
      <c r="A104" s="4445" t="s">
        <v>52</v>
      </c>
      <c r="B104" s="4385">
        <f t="shared" si="720"/>
        <v>7.9361125000000001</v>
      </c>
      <c r="C104" s="4385">
        <f t="shared" si="787"/>
        <v>7.9361125000000001</v>
      </c>
      <c r="D104" s="4385">
        <f t="shared" si="787"/>
        <v>0</v>
      </c>
      <c r="E104" s="4442">
        <f t="shared" si="360"/>
        <v>0.85099999999999998</v>
      </c>
      <c r="F104" s="4407">
        <v>0.85099999999999998</v>
      </c>
      <c r="G104" s="4407"/>
      <c r="H104" s="4442">
        <f t="shared" si="754"/>
        <v>1.0149999999999999</v>
      </c>
      <c r="I104" s="4407">
        <v>1.0149999999999999</v>
      </c>
      <c r="J104" s="4407"/>
      <c r="K104" s="4442">
        <f t="shared" si="756"/>
        <v>0.89300000000000002</v>
      </c>
      <c r="L104" s="4407">
        <v>0.89300000000000002</v>
      </c>
      <c r="M104" s="4407"/>
      <c r="N104" s="4442">
        <f t="shared" si="758"/>
        <v>2.7589999999999999</v>
      </c>
      <c r="O104" s="4442">
        <f t="shared" si="759"/>
        <v>2.7589999999999999</v>
      </c>
      <c r="P104" s="4442">
        <f t="shared" si="759"/>
        <v>0</v>
      </c>
      <c r="Q104" s="4385">
        <f t="shared" si="788"/>
        <v>7.9361125000000001</v>
      </c>
      <c r="R104" s="4385">
        <f t="shared" si="789"/>
        <v>7.9361125000000001</v>
      </c>
      <c r="S104" s="4385">
        <f t="shared" si="790"/>
        <v>0</v>
      </c>
      <c r="T104" s="4442">
        <f t="shared" si="761"/>
        <v>1.1639999999999999</v>
      </c>
      <c r="U104" s="4407">
        <v>1.1639999999999999</v>
      </c>
      <c r="V104" s="4407"/>
      <c r="W104" s="4442">
        <f t="shared" si="763"/>
        <v>0.99199999999999999</v>
      </c>
      <c r="X104" s="4407">
        <v>0.99199999999999999</v>
      </c>
      <c r="Y104" s="4407"/>
      <c r="Z104" s="4442">
        <f t="shared" si="765"/>
        <v>0.87997000000000003</v>
      </c>
      <c r="AA104" s="4407">
        <v>0.87997000000000003</v>
      </c>
      <c r="AB104" s="4407"/>
      <c r="AC104" s="4442">
        <f t="shared" si="375"/>
        <v>3.0359699999999998</v>
      </c>
      <c r="AD104" s="4442">
        <f t="shared" si="703"/>
        <v>3.0359699999999998</v>
      </c>
      <c r="AE104" s="4442">
        <f t="shared" si="703"/>
        <v>0</v>
      </c>
      <c r="AF104" s="4384">
        <f t="shared" ref="AF104:AF127" si="796">SUM(AG104:AH104)</f>
        <v>15.872225</v>
      </c>
      <c r="AG104" s="4384">
        <f t="shared" si="680"/>
        <v>15.872225</v>
      </c>
      <c r="AH104" s="4384">
        <f t="shared" si="680"/>
        <v>0</v>
      </c>
      <c r="AI104" s="4443">
        <f t="shared" si="767"/>
        <v>5.7949699999999993</v>
      </c>
      <c r="AJ104" s="4443">
        <f t="shared" si="768"/>
        <v>5.7949699999999993</v>
      </c>
      <c r="AK104" s="4443">
        <f t="shared" si="768"/>
        <v>0</v>
      </c>
      <c r="AL104" s="4443">
        <f t="shared" si="731"/>
        <v>-10.077255000000001</v>
      </c>
      <c r="AM104" s="4443">
        <f t="shared" si="731"/>
        <v>-10.077255000000001</v>
      </c>
      <c r="AN104" s="4443">
        <f t="shared" si="731"/>
        <v>0</v>
      </c>
      <c r="AO104" s="4385">
        <f t="shared" si="724"/>
        <v>7.9361125000000001</v>
      </c>
      <c r="AP104" s="4385">
        <f t="shared" si="791"/>
        <v>7.9361125000000001</v>
      </c>
      <c r="AQ104" s="4385">
        <f t="shared" si="792"/>
        <v>0</v>
      </c>
      <c r="AR104" s="4442">
        <f t="shared" si="770"/>
        <v>1.1459999999999999</v>
      </c>
      <c r="AS104" s="4407">
        <v>1.1459999999999999</v>
      </c>
      <c r="AT104" s="4407"/>
      <c r="AU104" s="4442">
        <f t="shared" si="772"/>
        <v>0</v>
      </c>
      <c r="AV104" s="4407"/>
      <c r="AW104" s="4407"/>
      <c r="AX104" s="4442">
        <f t="shared" si="774"/>
        <v>0</v>
      </c>
      <c r="AY104" s="4407"/>
      <c r="AZ104" s="4407"/>
      <c r="BA104" s="4442">
        <f t="shared" si="385"/>
        <v>1.1459999999999999</v>
      </c>
      <c r="BB104" s="4442">
        <f t="shared" si="710"/>
        <v>1.1459999999999999</v>
      </c>
      <c r="BC104" s="4442">
        <f t="shared" si="710"/>
        <v>0</v>
      </c>
      <c r="BD104" s="4384">
        <f t="shared" si="686"/>
        <v>23.8083375</v>
      </c>
      <c r="BE104" s="4384">
        <f t="shared" si="687"/>
        <v>23.8083375</v>
      </c>
      <c r="BF104" s="4384">
        <f t="shared" si="687"/>
        <v>0</v>
      </c>
      <c r="BG104" s="4443">
        <f t="shared" si="776"/>
        <v>6.9409699999999992</v>
      </c>
      <c r="BH104" s="4443">
        <f t="shared" si="777"/>
        <v>6.9409699999999992</v>
      </c>
      <c r="BI104" s="4443">
        <f t="shared" si="777"/>
        <v>0</v>
      </c>
      <c r="BJ104" s="4443">
        <f t="shared" si="732"/>
        <v>-16.8673675</v>
      </c>
      <c r="BK104" s="4443">
        <f t="shared" si="732"/>
        <v>-16.8673675</v>
      </c>
      <c r="BL104" s="4443">
        <f t="shared" si="732"/>
        <v>0</v>
      </c>
      <c r="BM104" s="4385">
        <f t="shared" si="793"/>
        <v>7.9361125000000001</v>
      </c>
      <c r="BN104" s="4385">
        <f t="shared" si="794"/>
        <v>7.9361125000000001</v>
      </c>
      <c r="BO104" s="4385">
        <f t="shared" si="795"/>
        <v>0</v>
      </c>
      <c r="BP104" s="4442">
        <f t="shared" si="779"/>
        <v>0</v>
      </c>
      <c r="BQ104" s="4407"/>
      <c r="BR104" s="4407"/>
      <c r="BS104" s="4442">
        <f t="shared" si="781"/>
        <v>0</v>
      </c>
      <c r="BT104" s="4407"/>
      <c r="BU104" s="4407"/>
      <c r="BV104" s="4442">
        <f t="shared" si="783"/>
        <v>0</v>
      </c>
      <c r="BW104" s="4407"/>
      <c r="BX104" s="4407"/>
      <c r="BY104" s="4442">
        <f t="shared" si="395"/>
        <v>0</v>
      </c>
      <c r="BZ104" s="4442">
        <f t="shared" si="717"/>
        <v>0</v>
      </c>
      <c r="CA104" s="4442">
        <f t="shared" si="717"/>
        <v>0</v>
      </c>
      <c r="CB104" s="4384">
        <f t="shared" si="616"/>
        <v>31.744450000000001</v>
      </c>
      <c r="CC104" s="4446">
        <v>31.744450000000001</v>
      </c>
      <c r="CD104" s="4446">
        <v>0</v>
      </c>
      <c r="CE104" s="4443">
        <f t="shared" si="785"/>
        <v>6.9409699999999992</v>
      </c>
      <c r="CF104" s="4443">
        <f t="shared" si="786"/>
        <v>6.9409699999999992</v>
      </c>
      <c r="CG104" s="4443">
        <f t="shared" si="786"/>
        <v>0</v>
      </c>
      <c r="CH104" s="4443">
        <f t="shared" si="719"/>
        <v>-24.80348</v>
      </c>
      <c r="CI104" s="4443">
        <f t="shared" si="719"/>
        <v>-24.80348</v>
      </c>
      <c r="CJ104" s="4443">
        <f t="shared" si="719"/>
        <v>0</v>
      </c>
      <c r="CK104" s="2774"/>
      <c r="CL104" s="3576">
        <f t="shared" si="615"/>
        <v>31.744450000000001</v>
      </c>
      <c r="CM104" s="2774"/>
    </row>
    <row r="105" spans="1:91" ht="18.75" customHeight="1" x14ac:dyDescent="0.3">
      <c r="A105" s="4445" t="s">
        <v>588</v>
      </c>
      <c r="B105" s="4385">
        <f t="shared" si="720"/>
        <v>270.04525000000001</v>
      </c>
      <c r="C105" s="4385">
        <f t="shared" si="787"/>
        <v>270.04525000000001</v>
      </c>
      <c r="D105" s="4385">
        <f t="shared" si="787"/>
        <v>0</v>
      </c>
      <c r="E105" s="4442">
        <f t="shared" si="360"/>
        <v>146.464</v>
      </c>
      <c r="F105" s="4407">
        <v>146.464</v>
      </c>
      <c r="G105" s="4407"/>
      <c r="H105" s="4442">
        <f t="shared" si="754"/>
        <v>60.264000000000003</v>
      </c>
      <c r="I105" s="4407">
        <v>60.264000000000003</v>
      </c>
      <c r="J105" s="4407"/>
      <c r="K105" s="4442">
        <f t="shared" si="756"/>
        <v>33.884999999999998</v>
      </c>
      <c r="L105" s="4407">
        <v>33.884999999999998</v>
      </c>
      <c r="M105" s="4407"/>
      <c r="N105" s="4442">
        <f t="shared" si="758"/>
        <v>240.613</v>
      </c>
      <c r="O105" s="4442">
        <f t="shared" si="759"/>
        <v>240.613</v>
      </c>
      <c r="P105" s="4442">
        <f t="shared" si="759"/>
        <v>0</v>
      </c>
      <c r="Q105" s="4385">
        <f t="shared" si="788"/>
        <v>270.04525000000001</v>
      </c>
      <c r="R105" s="4385">
        <f t="shared" si="789"/>
        <v>270.04525000000001</v>
      </c>
      <c r="S105" s="4385">
        <f t="shared" si="790"/>
        <v>0</v>
      </c>
      <c r="T105" s="4442">
        <f t="shared" si="761"/>
        <v>12.686999999999999</v>
      </c>
      <c r="U105" s="4407">
        <v>12.686999999999999</v>
      </c>
      <c r="V105" s="4407"/>
      <c r="W105" s="4442">
        <f t="shared" si="763"/>
        <v>36.722999999999999</v>
      </c>
      <c r="X105" s="4407">
        <v>36.722999999999999</v>
      </c>
      <c r="Y105" s="4407"/>
      <c r="Z105" s="4442">
        <f t="shared" si="765"/>
        <v>15.895</v>
      </c>
      <c r="AA105" s="4407">
        <v>15.895</v>
      </c>
      <c r="AB105" s="4407"/>
      <c r="AC105" s="4442">
        <f t="shared" si="375"/>
        <v>65.304999999999993</v>
      </c>
      <c r="AD105" s="4442">
        <f t="shared" si="703"/>
        <v>65.304999999999993</v>
      </c>
      <c r="AE105" s="4442">
        <f t="shared" si="703"/>
        <v>0</v>
      </c>
      <c r="AF105" s="4384">
        <f t="shared" si="796"/>
        <v>540.09050000000002</v>
      </c>
      <c r="AG105" s="4384">
        <f t="shared" si="680"/>
        <v>540.09050000000002</v>
      </c>
      <c r="AH105" s="4384">
        <f t="shared" si="680"/>
        <v>0</v>
      </c>
      <c r="AI105" s="4443">
        <f t="shared" si="767"/>
        <v>305.91800000000001</v>
      </c>
      <c r="AJ105" s="4443">
        <f t="shared" si="768"/>
        <v>305.91800000000001</v>
      </c>
      <c r="AK105" s="4443">
        <f t="shared" si="768"/>
        <v>0</v>
      </c>
      <c r="AL105" s="4443">
        <f t="shared" si="731"/>
        <v>-234.17250000000001</v>
      </c>
      <c r="AM105" s="4443">
        <f t="shared" si="731"/>
        <v>-234.17250000000001</v>
      </c>
      <c r="AN105" s="4443">
        <f t="shared" si="731"/>
        <v>0</v>
      </c>
      <c r="AO105" s="4385">
        <f t="shared" si="724"/>
        <v>270.04525000000001</v>
      </c>
      <c r="AP105" s="4385">
        <f t="shared" si="791"/>
        <v>270.04525000000001</v>
      </c>
      <c r="AQ105" s="4385">
        <f t="shared" si="792"/>
        <v>0</v>
      </c>
      <c r="AR105" s="4442">
        <f t="shared" si="770"/>
        <v>20.239000000000001</v>
      </c>
      <c r="AS105" s="4407">
        <v>20.239000000000001</v>
      </c>
      <c r="AT105" s="4407"/>
      <c r="AU105" s="4442">
        <f t="shared" si="772"/>
        <v>0</v>
      </c>
      <c r="AV105" s="4407"/>
      <c r="AW105" s="4407"/>
      <c r="AX105" s="4442">
        <f t="shared" si="774"/>
        <v>0</v>
      </c>
      <c r="AY105" s="4407"/>
      <c r="AZ105" s="4407"/>
      <c r="BA105" s="4442">
        <f t="shared" si="385"/>
        <v>20.239000000000001</v>
      </c>
      <c r="BB105" s="4442">
        <f t="shared" si="710"/>
        <v>20.239000000000001</v>
      </c>
      <c r="BC105" s="4442">
        <f t="shared" si="710"/>
        <v>0</v>
      </c>
      <c r="BD105" s="4384">
        <f t="shared" si="686"/>
        <v>810.13575000000003</v>
      </c>
      <c r="BE105" s="4384">
        <f t="shared" si="687"/>
        <v>810.13575000000003</v>
      </c>
      <c r="BF105" s="4384">
        <f t="shared" si="687"/>
        <v>0</v>
      </c>
      <c r="BG105" s="4443">
        <f t="shared" si="776"/>
        <v>326.15699999999998</v>
      </c>
      <c r="BH105" s="4443">
        <f t="shared" si="777"/>
        <v>326.15699999999998</v>
      </c>
      <c r="BI105" s="4443">
        <f t="shared" si="777"/>
        <v>0</v>
      </c>
      <c r="BJ105" s="4443">
        <f t="shared" si="732"/>
        <v>-483.97875000000005</v>
      </c>
      <c r="BK105" s="4443">
        <f t="shared" si="732"/>
        <v>-483.97875000000005</v>
      </c>
      <c r="BL105" s="4443">
        <f t="shared" si="732"/>
        <v>0</v>
      </c>
      <c r="BM105" s="4385">
        <f t="shared" si="793"/>
        <v>270.04525000000001</v>
      </c>
      <c r="BN105" s="4385">
        <f t="shared" si="794"/>
        <v>270.04525000000001</v>
      </c>
      <c r="BO105" s="4385">
        <f t="shared" si="795"/>
        <v>0</v>
      </c>
      <c r="BP105" s="4442">
        <f t="shared" si="779"/>
        <v>0</v>
      </c>
      <c r="BQ105" s="4407"/>
      <c r="BR105" s="4407"/>
      <c r="BS105" s="4442">
        <f t="shared" si="781"/>
        <v>0</v>
      </c>
      <c r="BT105" s="4407"/>
      <c r="BU105" s="4407"/>
      <c r="BV105" s="4442">
        <f t="shared" si="783"/>
        <v>0</v>
      </c>
      <c r="BW105" s="4407"/>
      <c r="BX105" s="4407"/>
      <c r="BY105" s="4442">
        <f t="shared" si="395"/>
        <v>0</v>
      </c>
      <c r="BZ105" s="4442">
        <f t="shared" si="717"/>
        <v>0</v>
      </c>
      <c r="CA105" s="4442">
        <f t="shared" si="717"/>
        <v>0</v>
      </c>
      <c r="CB105" s="4384">
        <f t="shared" si="616"/>
        <v>1080.181</v>
      </c>
      <c r="CC105" s="4446">
        <v>1080.181</v>
      </c>
      <c r="CD105" s="4446">
        <v>0</v>
      </c>
      <c r="CE105" s="4443">
        <f t="shared" si="785"/>
        <v>326.15699999999998</v>
      </c>
      <c r="CF105" s="4443">
        <f t="shared" si="786"/>
        <v>326.15699999999998</v>
      </c>
      <c r="CG105" s="4443">
        <f t="shared" si="786"/>
        <v>0</v>
      </c>
      <c r="CH105" s="4443">
        <f t="shared" si="719"/>
        <v>-754.02400000000011</v>
      </c>
      <c r="CI105" s="4443">
        <f t="shared" si="719"/>
        <v>-754.02400000000011</v>
      </c>
      <c r="CJ105" s="4443">
        <f t="shared" si="719"/>
        <v>0</v>
      </c>
      <c r="CK105" s="2774"/>
      <c r="CL105" s="3576">
        <f t="shared" si="615"/>
        <v>1080.181</v>
      </c>
      <c r="CM105" s="2774"/>
    </row>
    <row r="106" spans="1:91" ht="18.75" customHeight="1" x14ac:dyDescent="0.3">
      <c r="A106" s="4445" t="s">
        <v>589</v>
      </c>
      <c r="B106" s="4385">
        <f t="shared" si="720"/>
        <v>195.7525</v>
      </c>
      <c r="C106" s="4447">
        <f t="shared" ref="C106:D106" si="797">SUM(C107)</f>
        <v>195.7525</v>
      </c>
      <c r="D106" s="4447">
        <f t="shared" si="797"/>
        <v>0</v>
      </c>
      <c r="E106" s="4442">
        <f t="shared" si="360"/>
        <v>1.4590000000000001</v>
      </c>
      <c r="F106" s="4442">
        <f t="shared" ref="F106:G106" si="798">SUM(F107)</f>
        <v>1.4590000000000001</v>
      </c>
      <c r="G106" s="4442">
        <f t="shared" si="798"/>
        <v>0</v>
      </c>
      <c r="H106" s="4442">
        <f t="shared" si="754"/>
        <v>36.611820000000002</v>
      </c>
      <c r="I106" s="4442">
        <f t="shared" ref="I106:J106" si="799">SUM(I107)</f>
        <v>36.611820000000002</v>
      </c>
      <c r="J106" s="4442">
        <f t="shared" si="799"/>
        <v>0</v>
      </c>
      <c r="K106" s="4442">
        <f t="shared" si="756"/>
        <v>8.9610000000000003</v>
      </c>
      <c r="L106" s="4442">
        <f t="shared" ref="L106:M106" si="800">SUM(L107)</f>
        <v>8.9610000000000003</v>
      </c>
      <c r="M106" s="4442">
        <f t="shared" si="800"/>
        <v>0</v>
      </c>
      <c r="N106" s="4442">
        <f t="shared" si="758"/>
        <v>47.031820000000003</v>
      </c>
      <c r="O106" s="4442">
        <f t="shared" si="759"/>
        <v>47.031820000000003</v>
      </c>
      <c r="P106" s="4442">
        <f t="shared" si="759"/>
        <v>0</v>
      </c>
      <c r="Q106" s="4385">
        <f t="shared" si="788"/>
        <v>195.7525</v>
      </c>
      <c r="R106" s="4447">
        <f t="shared" ref="R106:S106" si="801">SUM(R107)</f>
        <v>195.7525</v>
      </c>
      <c r="S106" s="4447">
        <f t="shared" si="801"/>
        <v>0</v>
      </c>
      <c r="T106" s="4442">
        <f t="shared" si="761"/>
        <v>3.0179999999999998</v>
      </c>
      <c r="U106" s="4442">
        <f t="shared" ref="U106:V106" si="802">SUM(U107)</f>
        <v>3.0179999999999998</v>
      </c>
      <c r="V106" s="4442">
        <f t="shared" si="802"/>
        <v>0</v>
      </c>
      <c r="W106" s="4442">
        <f t="shared" si="763"/>
        <v>2.8</v>
      </c>
      <c r="X106" s="4442">
        <f t="shared" ref="X106:Y106" si="803">SUM(X107)</f>
        <v>2.8</v>
      </c>
      <c r="Y106" s="4442">
        <f t="shared" si="803"/>
        <v>0</v>
      </c>
      <c r="Z106" s="4442">
        <f t="shared" si="765"/>
        <v>20.998069999999998</v>
      </c>
      <c r="AA106" s="4442">
        <f t="shared" ref="AA106:AB106" si="804">SUM(AA107)</f>
        <v>20.998069999999998</v>
      </c>
      <c r="AB106" s="4442">
        <f t="shared" si="804"/>
        <v>0</v>
      </c>
      <c r="AC106" s="4442">
        <f t="shared" si="375"/>
        <v>26.816069999999996</v>
      </c>
      <c r="AD106" s="4442">
        <f t="shared" si="703"/>
        <v>26.816069999999996</v>
      </c>
      <c r="AE106" s="4442">
        <f t="shared" si="703"/>
        <v>0</v>
      </c>
      <c r="AF106" s="4384">
        <f t="shared" si="796"/>
        <v>391.505</v>
      </c>
      <c r="AG106" s="4384">
        <f t="shared" si="680"/>
        <v>391.505</v>
      </c>
      <c r="AH106" s="4384">
        <f t="shared" si="680"/>
        <v>0</v>
      </c>
      <c r="AI106" s="4443">
        <f t="shared" si="767"/>
        <v>73.847890000000007</v>
      </c>
      <c r="AJ106" s="4443">
        <f t="shared" si="768"/>
        <v>73.847890000000007</v>
      </c>
      <c r="AK106" s="4443">
        <f t="shared" si="768"/>
        <v>0</v>
      </c>
      <c r="AL106" s="4443">
        <f t="shared" si="731"/>
        <v>-317.65710999999999</v>
      </c>
      <c r="AM106" s="4443">
        <f t="shared" si="731"/>
        <v>-317.65710999999999</v>
      </c>
      <c r="AN106" s="4443">
        <f t="shared" si="731"/>
        <v>0</v>
      </c>
      <c r="AO106" s="4385">
        <f t="shared" si="724"/>
        <v>195.7525</v>
      </c>
      <c r="AP106" s="4447">
        <f t="shared" ref="AP106:AQ106" si="805">SUM(AP107)</f>
        <v>195.7525</v>
      </c>
      <c r="AQ106" s="4447">
        <f t="shared" si="805"/>
        <v>0</v>
      </c>
      <c r="AR106" s="4442">
        <f t="shared" si="770"/>
        <v>9.2530000000000001</v>
      </c>
      <c r="AS106" s="4442">
        <f t="shared" ref="AS106:AT106" si="806">SUM(AS107)</f>
        <v>9.2530000000000001</v>
      </c>
      <c r="AT106" s="4442">
        <f t="shared" si="806"/>
        <v>0</v>
      </c>
      <c r="AU106" s="4442">
        <f t="shared" si="772"/>
        <v>0</v>
      </c>
      <c r="AV106" s="4442">
        <f t="shared" ref="AV106:AW106" si="807">SUM(AV107)</f>
        <v>0</v>
      </c>
      <c r="AW106" s="4442">
        <f t="shared" si="807"/>
        <v>0</v>
      </c>
      <c r="AX106" s="4442">
        <f t="shared" si="774"/>
        <v>0</v>
      </c>
      <c r="AY106" s="4442">
        <f t="shared" ref="AY106:AZ106" si="808">SUM(AY107)</f>
        <v>0</v>
      </c>
      <c r="AZ106" s="4442">
        <f t="shared" si="808"/>
        <v>0</v>
      </c>
      <c r="BA106" s="4442">
        <f t="shared" si="385"/>
        <v>9.2530000000000001</v>
      </c>
      <c r="BB106" s="4442">
        <f t="shared" si="710"/>
        <v>9.2530000000000001</v>
      </c>
      <c r="BC106" s="4442">
        <f t="shared" si="710"/>
        <v>0</v>
      </c>
      <c r="BD106" s="4384">
        <f t="shared" si="686"/>
        <v>587.25749999999994</v>
      </c>
      <c r="BE106" s="4384">
        <f t="shared" si="687"/>
        <v>587.25749999999994</v>
      </c>
      <c r="BF106" s="4384">
        <f t="shared" si="687"/>
        <v>0</v>
      </c>
      <c r="BG106" s="4443">
        <f t="shared" si="776"/>
        <v>83.100890000000007</v>
      </c>
      <c r="BH106" s="4443">
        <f t="shared" si="777"/>
        <v>83.100890000000007</v>
      </c>
      <c r="BI106" s="4443">
        <f t="shared" si="777"/>
        <v>0</v>
      </c>
      <c r="BJ106" s="4443">
        <f t="shared" si="732"/>
        <v>-504.15660999999994</v>
      </c>
      <c r="BK106" s="4443">
        <f t="shared" si="732"/>
        <v>-504.15660999999994</v>
      </c>
      <c r="BL106" s="4443">
        <f t="shared" si="732"/>
        <v>0</v>
      </c>
      <c r="BM106" s="4385">
        <f t="shared" si="793"/>
        <v>195.7525</v>
      </c>
      <c r="BN106" s="4447">
        <f t="shared" ref="BN106:BO106" si="809">SUM(BN107)</f>
        <v>195.7525</v>
      </c>
      <c r="BO106" s="4447">
        <f t="shared" si="809"/>
        <v>0</v>
      </c>
      <c r="BP106" s="4442">
        <f t="shared" si="779"/>
        <v>0</v>
      </c>
      <c r="BQ106" s="4442">
        <f t="shared" ref="BQ106:BR106" si="810">SUM(BQ107)</f>
        <v>0</v>
      </c>
      <c r="BR106" s="4442">
        <f t="shared" si="810"/>
        <v>0</v>
      </c>
      <c r="BS106" s="4442">
        <f t="shared" si="781"/>
        <v>0</v>
      </c>
      <c r="BT106" s="4442">
        <f t="shared" ref="BT106:BU106" si="811">SUM(BT107)</f>
        <v>0</v>
      </c>
      <c r="BU106" s="4442">
        <f t="shared" si="811"/>
        <v>0</v>
      </c>
      <c r="BV106" s="4442">
        <f t="shared" si="783"/>
        <v>0</v>
      </c>
      <c r="BW106" s="4442">
        <f t="shared" ref="BW106:BX106" si="812">SUM(BW107)</f>
        <v>0</v>
      </c>
      <c r="BX106" s="4442">
        <f t="shared" si="812"/>
        <v>0</v>
      </c>
      <c r="BY106" s="4442">
        <f t="shared" si="395"/>
        <v>0</v>
      </c>
      <c r="BZ106" s="4442">
        <f t="shared" si="717"/>
        <v>0</v>
      </c>
      <c r="CA106" s="4442">
        <f t="shared" si="717"/>
        <v>0</v>
      </c>
      <c r="CB106" s="4384">
        <f t="shared" si="616"/>
        <v>783.01</v>
      </c>
      <c r="CC106" s="4448">
        <f t="shared" ref="CC106:CD106" si="813">SUM(CC107)</f>
        <v>783.01</v>
      </c>
      <c r="CD106" s="4448">
        <f t="shared" si="813"/>
        <v>0</v>
      </c>
      <c r="CE106" s="4443">
        <f t="shared" si="785"/>
        <v>83.100890000000007</v>
      </c>
      <c r="CF106" s="4443">
        <f t="shared" si="786"/>
        <v>83.100890000000007</v>
      </c>
      <c r="CG106" s="4443">
        <f t="shared" si="786"/>
        <v>0</v>
      </c>
      <c r="CH106" s="4443">
        <f t="shared" si="719"/>
        <v>-699.90910999999994</v>
      </c>
      <c r="CI106" s="4443">
        <f t="shared" si="719"/>
        <v>-699.90910999999994</v>
      </c>
      <c r="CJ106" s="4443">
        <f t="shared" si="719"/>
        <v>0</v>
      </c>
      <c r="CK106" s="2774"/>
      <c r="CL106" s="3576">
        <f t="shared" si="615"/>
        <v>783.01</v>
      </c>
      <c r="CM106" s="2774"/>
    </row>
    <row r="107" spans="1:91" ht="18.75" customHeight="1" x14ac:dyDescent="0.3">
      <c r="A107" s="4412" t="s">
        <v>546</v>
      </c>
      <c r="B107" s="4391">
        <f t="shared" ref="B107:B111" si="814">SUM(C107:D107)</f>
        <v>195.7525</v>
      </c>
      <c r="C107" s="4391">
        <f t="shared" ref="C107:D107" si="815">SUM(CC107/4)</f>
        <v>195.7525</v>
      </c>
      <c r="D107" s="4391">
        <f t="shared" si="815"/>
        <v>0</v>
      </c>
      <c r="E107" s="4420">
        <f t="shared" si="360"/>
        <v>1.4590000000000001</v>
      </c>
      <c r="F107" s="4411">
        <v>1.4590000000000001</v>
      </c>
      <c r="G107" s="4411"/>
      <c r="H107" s="4420">
        <f t="shared" si="754"/>
        <v>36.611820000000002</v>
      </c>
      <c r="I107" s="4411">
        <v>36.611820000000002</v>
      </c>
      <c r="J107" s="4411"/>
      <c r="K107" s="4420">
        <f t="shared" si="756"/>
        <v>8.9610000000000003</v>
      </c>
      <c r="L107" s="4411">
        <v>8.9610000000000003</v>
      </c>
      <c r="M107" s="4411"/>
      <c r="N107" s="4420">
        <f t="shared" si="758"/>
        <v>47.031820000000003</v>
      </c>
      <c r="O107" s="4420">
        <f t="shared" si="759"/>
        <v>47.031820000000003</v>
      </c>
      <c r="P107" s="4420">
        <f t="shared" si="759"/>
        <v>0</v>
      </c>
      <c r="Q107" s="4391">
        <f t="shared" ref="Q107" si="816">SUM(R107:S107)</f>
        <v>195.7525</v>
      </c>
      <c r="R107" s="4391">
        <f t="shared" ref="R107" si="817">SUM(C107)</f>
        <v>195.7525</v>
      </c>
      <c r="S107" s="4391">
        <f t="shared" ref="S107" si="818">SUM(D107)</f>
        <v>0</v>
      </c>
      <c r="T107" s="4420">
        <f t="shared" si="761"/>
        <v>3.0179999999999998</v>
      </c>
      <c r="U107" s="4411">
        <v>3.0179999999999998</v>
      </c>
      <c r="V107" s="4411"/>
      <c r="W107" s="4420">
        <f t="shared" si="763"/>
        <v>2.8</v>
      </c>
      <c r="X107" s="4411">
        <v>2.8</v>
      </c>
      <c r="Y107" s="4411"/>
      <c r="Z107" s="4420">
        <f t="shared" si="765"/>
        <v>20.998069999999998</v>
      </c>
      <c r="AA107" s="4411">
        <v>20.998069999999998</v>
      </c>
      <c r="AB107" s="4411"/>
      <c r="AC107" s="4420">
        <f t="shared" si="375"/>
        <v>26.816069999999996</v>
      </c>
      <c r="AD107" s="4420">
        <f t="shared" si="703"/>
        <v>26.816069999999996</v>
      </c>
      <c r="AE107" s="4420">
        <f t="shared" si="703"/>
        <v>0</v>
      </c>
      <c r="AF107" s="4371">
        <f t="shared" si="796"/>
        <v>391.505</v>
      </c>
      <c r="AG107" s="4371">
        <f t="shared" si="680"/>
        <v>391.505</v>
      </c>
      <c r="AH107" s="4371">
        <f t="shared" si="680"/>
        <v>0</v>
      </c>
      <c r="AI107" s="4444">
        <f t="shared" si="767"/>
        <v>73.847890000000007</v>
      </c>
      <c r="AJ107" s="4444">
        <f t="shared" si="768"/>
        <v>73.847890000000007</v>
      </c>
      <c r="AK107" s="4444">
        <f t="shared" si="768"/>
        <v>0</v>
      </c>
      <c r="AL107" s="4444">
        <f t="shared" si="731"/>
        <v>-317.65710999999999</v>
      </c>
      <c r="AM107" s="4444">
        <f t="shared" si="731"/>
        <v>-317.65710999999999</v>
      </c>
      <c r="AN107" s="4444">
        <f t="shared" si="731"/>
        <v>0</v>
      </c>
      <c r="AO107" s="4391">
        <f t="shared" ref="AO107" si="819">SUM(AP107:AQ107)</f>
        <v>195.7525</v>
      </c>
      <c r="AP107" s="4391">
        <f t="shared" ref="AP107:AQ107" si="820">SUM(CC107-AG107)/2</f>
        <v>195.7525</v>
      </c>
      <c r="AQ107" s="4391">
        <f t="shared" si="820"/>
        <v>0</v>
      </c>
      <c r="AR107" s="4420">
        <f t="shared" si="770"/>
        <v>9.2530000000000001</v>
      </c>
      <c r="AS107" s="4411">
        <v>9.2530000000000001</v>
      </c>
      <c r="AT107" s="4411"/>
      <c r="AU107" s="4420">
        <f t="shared" si="772"/>
        <v>0</v>
      </c>
      <c r="AV107" s="4411"/>
      <c r="AW107" s="4411"/>
      <c r="AX107" s="4420">
        <f t="shared" si="774"/>
        <v>0</v>
      </c>
      <c r="AY107" s="4411"/>
      <c r="AZ107" s="4411"/>
      <c r="BA107" s="4420">
        <f t="shared" si="385"/>
        <v>9.2530000000000001</v>
      </c>
      <c r="BB107" s="4420">
        <f t="shared" si="710"/>
        <v>9.2530000000000001</v>
      </c>
      <c r="BC107" s="4420">
        <f t="shared" si="710"/>
        <v>0</v>
      </c>
      <c r="BD107" s="4371">
        <f t="shared" si="686"/>
        <v>587.25749999999994</v>
      </c>
      <c r="BE107" s="4371">
        <f t="shared" si="687"/>
        <v>587.25749999999994</v>
      </c>
      <c r="BF107" s="4371">
        <f t="shared" si="687"/>
        <v>0</v>
      </c>
      <c r="BG107" s="4444">
        <f t="shared" si="776"/>
        <v>83.100890000000007</v>
      </c>
      <c r="BH107" s="4444">
        <f t="shared" si="777"/>
        <v>83.100890000000007</v>
      </c>
      <c r="BI107" s="4444">
        <f t="shared" si="777"/>
        <v>0</v>
      </c>
      <c r="BJ107" s="4444">
        <f t="shared" si="732"/>
        <v>-504.15660999999994</v>
      </c>
      <c r="BK107" s="4444">
        <f t="shared" si="732"/>
        <v>-504.15660999999994</v>
      </c>
      <c r="BL107" s="4444">
        <f t="shared" si="732"/>
        <v>0</v>
      </c>
      <c r="BM107" s="4391">
        <f t="shared" ref="BM107:BM111" si="821">SUM(BN107:BO107)</f>
        <v>195.7525</v>
      </c>
      <c r="BN107" s="4391">
        <f t="shared" ref="BN107" si="822">SUM(AP107)</f>
        <v>195.7525</v>
      </c>
      <c r="BO107" s="4391">
        <f t="shared" ref="BO107" si="823">SUM(AQ107)</f>
        <v>0</v>
      </c>
      <c r="BP107" s="4420">
        <f t="shared" si="779"/>
        <v>0</v>
      </c>
      <c r="BQ107" s="4411"/>
      <c r="BR107" s="4411"/>
      <c r="BS107" s="4420">
        <f t="shared" si="781"/>
        <v>0</v>
      </c>
      <c r="BT107" s="4411"/>
      <c r="BU107" s="4411"/>
      <c r="BV107" s="4420">
        <f t="shared" si="783"/>
        <v>0</v>
      </c>
      <c r="BW107" s="4411"/>
      <c r="BX107" s="4411"/>
      <c r="BY107" s="4420">
        <f t="shared" si="395"/>
        <v>0</v>
      </c>
      <c r="BZ107" s="4420">
        <f t="shared" si="717"/>
        <v>0</v>
      </c>
      <c r="CA107" s="4420">
        <f t="shared" si="717"/>
        <v>0</v>
      </c>
      <c r="CB107" s="4371">
        <f t="shared" si="616"/>
        <v>783.01</v>
      </c>
      <c r="CC107" s="4449">
        <v>783.01</v>
      </c>
      <c r="CD107" s="4449">
        <v>0</v>
      </c>
      <c r="CE107" s="4444">
        <f t="shared" si="785"/>
        <v>83.100890000000007</v>
      </c>
      <c r="CF107" s="4444">
        <f t="shared" si="786"/>
        <v>83.100890000000007</v>
      </c>
      <c r="CG107" s="4444">
        <f t="shared" si="786"/>
        <v>0</v>
      </c>
      <c r="CH107" s="4444">
        <f t="shared" si="719"/>
        <v>-699.90910999999994</v>
      </c>
      <c r="CI107" s="4444">
        <f t="shared" si="719"/>
        <v>-699.90910999999994</v>
      </c>
      <c r="CJ107" s="4444">
        <f t="shared" si="719"/>
        <v>0</v>
      </c>
      <c r="CK107" s="2774"/>
      <c r="CL107" s="3576">
        <f t="shared" si="615"/>
        <v>783.01</v>
      </c>
      <c r="CM107" s="2774"/>
    </row>
    <row r="108" spans="1:91" ht="18.75" customHeight="1" x14ac:dyDescent="0.3">
      <c r="A108" s="4445" t="s">
        <v>592</v>
      </c>
      <c r="B108" s="4385">
        <f t="shared" si="814"/>
        <v>103.36975</v>
      </c>
      <c r="C108" s="4447">
        <f t="shared" ref="C108:D108" si="824">SUM(C109:C110)</f>
        <v>103.36975</v>
      </c>
      <c r="D108" s="4447">
        <f t="shared" si="824"/>
        <v>0</v>
      </c>
      <c r="E108" s="4442">
        <f t="shared" si="360"/>
        <v>28.172999999999998</v>
      </c>
      <c r="F108" s="4442">
        <f t="shared" ref="F108:G108" si="825">SUM(F109:F110)</f>
        <v>28.172999999999998</v>
      </c>
      <c r="G108" s="4442">
        <f t="shared" si="825"/>
        <v>0</v>
      </c>
      <c r="H108" s="4442">
        <f t="shared" si="754"/>
        <v>0</v>
      </c>
      <c r="I108" s="4442">
        <f t="shared" ref="I108:J108" si="826">SUM(I109:I110)</f>
        <v>0</v>
      </c>
      <c r="J108" s="4442">
        <f t="shared" si="826"/>
        <v>0</v>
      </c>
      <c r="K108" s="4442">
        <f t="shared" si="756"/>
        <v>0</v>
      </c>
      <c r="L108" s="4442">
        <f t="shared" ref="L108:M108" si="827">SUM(L109:L110)</f>
        <v>0</v>
      </c>
      <c r="M108" s="4442">
        <f t="shared" si="827"/>
        <v>0</v>
      </c>
      <c r="N108" s="4442">
        <f t="shared" si="758"/>
        <v>28.172999999999998</v>
      </c>
      <c r="O108" s="4442">
        <f t="shared" si="759"/>
        <v>28.172999999999998</v>
      </c>
      <c r="P108" s="4442">
        <f t="shared" si="759"/>
        <v>0</v>
      </c>
      <c r="Q108" s="4385">
        <f t="shared" si="788"/>
        <v>103.36975</v>
      </c>
      <c r="R108" s="4447">
        <f t="shared" ref="R108:S108" si="828">SUM(R109:R110)</f>
        <v>103.36975</v>
      </c>
      <c r="S108" s="4447">
        <f t="shared" si="828"/>
        <v>0</v>
      </c>
      <c r="T108" s="4442">
        <f t="shared" si="761"/>
        <v>0</v>
      </c>
      <c r="U108" s="4442">
        <f t="shared" ref="U108:V108" si="829">SUM(U109:U110)</f>
        <v>0</v>
      </c>
      <c r="V108" s="4442">
        <f t="shared" si="829"/>
        <v>0</v>
      </c>
      <c r="W108" s="4442">
        <f t="shared" si="763"/>
        <v>0</v>
      </c>
      <c r="X108" s="4442">
        <f t="shared" ref="X108:Y108" si="830">SUM(X109:X110)</f>
        <v>0</v>
      </c>
      <c r="Y108" s="4442">
        <f t="shared" si="830"/>
        <v>0</v>
      </c>
      <c r="Z108" s="4442">
        <f t="shared" si="765"/>
        <v>0</v>
      </c>
      <c r="AA108" s="4442">
        <f t="shared" ref="AA108:AB108" si="831">SUM(AA109:AA110)</f>
        <v>0</v>
      </c>
      <c r="AB108" s="4442">
        <f t="shared" si="831"/>
        <v>0</v>
      </c>
      <c r="AC108" s="4442">
        <f t="shared" si="375"/>
        <v>0</v>
      </c>
      <c r="AD108" s="4442">
        <f t="shared" si="703"/>
        <v>0</v>
      </c>
      <c r="AE108" s="4442">
        <f t="shared" si="703"/>
        <v>0</v>
      </c>
      <c r="AF108" s="4384">
        <f t="shared" si="796"/>
        <v>206.73949999999999</v>
      </c>
      <c r="AG108" s="4384">
        <f t="shared" si="680"/>
        <v>206.73949999999999</v>
      </c>
      <c r="AH108" s="4384">
        <f t="shared" si="680"/>
        <v>0</v>
      </c>
      <c r="AI108" s="4443">
        <f t="shared" si="767"/>
        <v>28.172999999999998</v>
      </c>
      <c r="AJ108" s="4443">
        <f t="shared" si="768"/>
        <v>28.172999999999998</v>
      </c>
      <c r="AK108" s="4443">
        <f t="shared" si="768"/>
        <v>0</v>
      </c>
      <c r="AL108" s="4443">
        <f t="shared" si="731"/>
        <v>-178.56649999999999</v>
      </c>
      <c r="AM108" s="4443">
        <f t="shared" si="731"/>
        <v>-178.56649999999999</v>
      </c>
      <c r="AN108" s="4443">
        <f t="shared" si="731"/>
        <v>0</v>
      </c>
      <c r="AO108" s="4385">
        <f t="shared" si="724"/>
        <v>103.36975</v>
      </c>
      <c r="AP108" s="4447">
        <f t="shared" ref="AP108:AQ108" si="832">SUM(AP109:AP110)</f>
        <v>103.36975</v>
      </c>
      <c r="AQ108" s="4447">
        <f t="shared" si="832"/>
        <v>0</v>
      </c>
      <c r="AR108" s="4442">
        <f t="shared" si="770"/>
        <v>13.888999999999999</v>
      </c>
      <c r="AS108" s="4442">
        <f t="shared" ref="AS108:AT108" si="833">SUM(AS109:AS110)</f>
        <v>13.888999999999999</v>
      </c>
      <c r="AT108" s="4442">
        <f t="shared" si="833"/>
        <v>0</v>
      </c>
      <c r="AU108" s="4442">
        <f t="shared" si="772"/>
        <v>0</v>
      </c>
      <c r="AV108" s="4442">
        <f t="shared" ref="AV108:AW108" si="834">SUM(AV109:AV110)</f>
        <v>0</v>
      </c>
      <c r="AW108" s="4442">
        <f t="shared" si="834"/>
        <v>0</v>
      </c>
      <c r="AX108" s="4442">
        <f t="shared" si="774"/>
        <v>0</v>
      </c>
      <c r="AY108" s="4442">
        <f t="shared" ref="AY108:AZ108" si="835">SUM(AY109:AY110)</f>
        <v>0</v>
      </c>
      <c r="AZ108" s="4442">
        <f t="shared" si="835"/>
        <v>0</v>
      </c>
      <c r="BA108" s="4442">
        <f t="shared" si="385"/>
        <v>13.888999999999999</v>
      </c>
      <c r="BB108" s="4442">
        <f t="shared" si="710"/>
        <v>13.888999999999999</v>
      </c>
      <c r="BC108" s="4442">
        <f t="shared" si="710"/>
        <v>0</v>
      </c>
      <c r="BD108" s="4384">
        <f t="shared" si="686"/>
        <v>310.10924999999997</v>
      </c>
      <c r="BE108" s="4384">
        <f t="shared" si="687"/>
        <v>310.10924999999997</v>
      </c>
      <c r="BF108" s="4384">
        <f t="shared" si="687"/>
        <v>0</v>
      </c>
      <c r="BG108" s="4443">
        <f t="shared" si="776"/>
        <v>42.061999999999998</v>
      </c>
      <c r="BH108" s="4443">
        <f t="shared" si="777"/>
        <v>42.061999999999998</v>
      </c>
      <c r="BI108" s="4443">
        <f t="shared" si="777"/>
        <v>0</v>
      </c>
      <c r="BJ108" s="4443">
        <f t="shared" si="732"/>
        <v>-268.04724999999996</v>
      </c>
      <c r="BK108" s="4443">
        <f t="shared" si="732"/>
        <v>-268.04724999999996</v>
      </c>
      <c r="BL108" s="4443">
        <f t="shared" si="732"/>
        <v>0</v>
      </c>
      <c r="BM108" s="4385">
        <f t="shared" si="821"/>
        <v>103.36975</v>
      </c>
      <c r="BN108" s="4447">
        <f t="shared" ref="BN108:BO108" si="836">SUM(BN109:BN110)</f>
        <v>103.36975</v>
      </c>
      <c r="BO108" s="4447">
        <f t="shared" si="836"/>
        <v>0</v>
      </c>
      <c r="BP108" s="4442">
        <f t="shared" si="779"/>
        <v>0</v>
      </c>
      <c r="BQ108" s="4442">
        <f t="shared" ref="BQ108:BR108" si="837">SUM(BQ109:BQ110)</f>
        <v>0</v>
      </c>
      <c r="BR108" s="4442">
        <f t="shared" si="837"/>
        <v>0</v>
      </c>
      <c r="BS108" s="4442">
        <f t="shared" si="781"/>
        <v>0</v>
      </c>
      <c r="BT108" s="4442">
        <f t="shared" ref="BT108:BU108" si="838">SUM(BT109:BT110)</f>
        <v>0</v>
      </c>
      <c r="BU108" s="4442">
        <f t="shared" si="838"/>
        <v>0</v>
      </c>
      <c r="BV108" s="4442">
        <f t="shared" si="783"/>
        <v>0</v>
      </c>
      <c r="BW108" s="4442">
        <f t="shared" ref="BW108:BX108" si="839">SUM(BW109:BW110)</f>
        <v>0</v>
      </c>
      <c r="BX108" s="4442">
        <f t="shared" si="839"/>
        <v>0</v>
      </c>
      <c r="BY108" s="4442">
        <f t="shared" si="395"/>
        <v>0</v>
      </c>
      <c r="BZ108" s="4442">
        <f t="shared" si="717"/>
        <v>0</v>
      </c>
      <c r="CA108" s="4442">
        <f t="shared" si="717"/>
        <v>0</v>
      </c>
      <c r="CB108" s="4384">
        <f t="shared" si="616"/>
        <v>413.47899999999998</v>
      </c>
      <c r="CC108" s="4448">
        <f t="shared" ref="CC108:CD108" si="840">SUM(CC109:CC110)</f>
        <v>413.47899999999998</v>
      </c>
      <c r="CD108" s="4448">
        <f t="shared" si="840"/>
        <v>0</v>
      </c>
      <c r="CE108" s="4443">
        <f t="shared" si="785"/>
        <v>42.061999999999998</v>
      </c>
      <c r="CF108" s="4443">
        <f t="shared" si="786"/>
        <v>42.061999999999998</v>
      </c>
      <c r="CG108" s="4443">
        <f t="shared" si="786"/>
        <v>0</v>
      </c>
      <c r="CH108" s="4443">
        <f t="shared" si="719"/>
        <v>-371.41699999999997</v>
      </c>
      <c r="CI108" s="4443">
        <f t="shared" si="719"/>
        <v>-371.41699999999997</v>
      </c>
      <c r="CJ108" s="4443">
        <f t="shared" si="719"/>
        <v>0</v>
      </c>
      <c r="CK108" s="2774"/>
      <c r="CL108" s="3576">
        <f t="shared" si="615"/>
        <v>413.47899999999998</v>
      </c>
      <c r="CM108" s="2774"/>
    </row>
    <row r="109" spans="1:91" ht="18.75" customHeight="1" x14ac:dyDescent="0.3">
      <c r="A109" s="4412" t="s">
        <v>532</v>
      </c>
      <c r="B109" s="4391">
        <f t="shared" si="814"/>
        <v>102.58775</v>
      </c>
      <c r="C109" s="4391">
        <f t="shared" ref="C109:C110" si="841">SUM(CC109/4)</f>
        <v>102.58775</v>
      </c>
      <c r="D109" s="4391">
        <f t="shared" ref="D109:D110" si="842">SUM(CD109/4)</f>
        <v>0</v>
      </c>
      <c r="E109" s="4420">
        <f t="shared" si="360"/>
        <v>28.172999999999998</v>
      </c>
      <c r="F109" s="4411">
        <v>28.172999999999998</v>
      </c>
      <c r="G109" s="4411"/>
      <c r="H109" s="4420">
        <f t="shared" si="754"/>
        <v>0</v>
      </c>
      <c r="I109" s="4411"/>
      <c r="J109" s="4411"/>
      <c r="K109" s="4420">
        <f t="shared" si="756"/>
        <v>0</v>
      </c>
      <c r="L109" s="4411"/>
      <c r="M109" s="4411"/>
      <c r="N109" s="4420">
        <f t="shared" si="758"/>
        <v>28.172999999999998</v>
      </c>
      <c r="O109" s="4420">
        <f t="shared" si="759"/>
        <v>28.172999999999998</v>
      </c>
      <c r="P109" s="4420">
        <f t="shared" si="759"/>
        <v>0</v>
      </c>
      <c r="Q109" s="4391">
        <f t="shared" si="788"/>
        <v>102.58775</v>
      </c>
      <c r="R109" s="4391">
        <f t="shared" ref="R109:R110" si="843">SUM(C109)</f>
        <v>102.58775</v>
      </c>
      <c r="S109" s="4391">
        <f t="shared" ref="S109:S110" si="844">SUM(D109)</f>
        <v>0</v>
      </c>
      <c r="T109" s="4420">
        <f t="shared" si="761"/>
        <v>0</v>
      </c>
      <c r="U109" s="4411"/>
      <c r="V109" s="4411"/>
      <c r="W109" s="4420">
        <f t="shared" si="763"/>
        <v>0</v>
      </c>
      <c r="X109" s="4411"/>
      <c r="Y109" s="4411"/>
      <c r="Z109" s="4420">
        <f t="shared" si="765"/>
        <v>0</v>
      </c>
      <c r="AA109" s="4411"/>
      <c r="AB109" s="4411"/>
      <c r="AC109" s="4420">
        <f t="shared" si="375"/>
        <v>0</v>
      </c>
      <c r="AD109" s="4420">
        <f t="shared" si="703"/>
        <v>0</v>
      </c>
      <c r="AE109" s="4420">
        <f t="shared" si="703"/>
        <v>0</v>
      </c>
      <c r="AF109" s="4371">
        <f t="shared" si="796"/>
        <v>205.1755</v>
      </c>
      <c r="AG109" s="4371">
        <f t="shared" ref="AG109:AH127" si="845">SUM(C109+R109)</f>
        <v>205.1755</v>
      </c>
      <c r="AH109" s="4371">
        <f t="shared" si="845"/>
        <v>0</v>
      </c>
      <c r="AI109" s="4444">
        <f t="shared" si="767"/>
        <v>28.172999999999998</v>
      </c>
      <c r="AJ109" s="4444">
        <f t="shared" si="768"/>
        <v>28.172999999999998</v>
      </c>
      <c r="AK109" s="4444">
        <f t="shared" si="768"/>
        <v>0</v>
      </c>
      <c r="AL109" s="4444">
        <f t="shared" si="731"/>
        <v>-177.0025</v>
      </c>
      <c r="AM109" s="4444">
        <f t="shared" si="731"/>
        <v>-177.0025</v>
      </c>
      <c r="AN109" s="4444">
        <f t="shared" si="731"/>
        <v>0</v>
      </c>
      <c r="AO109" s="4391">
        <f t="shared" si="724"/>
        <v>102.58775</v>
      </c>
      <c r="AP109" s="4391">
        <f t="shared" ref="AP109" si="846">SUM(CC109-AG109)/2</f>
        <v>102.58775</v>
      </c>
      <c r="AQ109" s="4391">
        <f t="shared" ref="AQ109:AQ110" si="847">SUM(CD109-AH109)/2</f>
        <v>0</v>
      </c>
      <c r="AR109" s="4420">
        <f t="shared" si="770"/>
        <v>13.888999999999999</v>
      </c>
      <c r="AS109" s="4411">
        <v>13.888999999999999</v>
      </c>
      <c r="AT109" s="4411"/>
      <c r="AU109" s="4420">
        <f t="shared" si="772"/>
        <v>0</v>
      </c>
      <c r="AV109" s="4411"/>
      <c r="AW109" s="4411"/>
      <c r="AX109" s="4420">
        <f t="shared" si="774"/>
        <v>0</v>
      </c>
      <c r="AY109" s="4411"/>
      <c r="AZ109" s="4411"/>
      <c r="BA109" s="4420">
        <f t="shared" si="385"/>
        <v>13.888999999999999</v>
      </c>
      <c r="BB109" s="4420">
        <f t="shared" si="710"/>
        <v>13.888999999999999</v>
      </c>
      <c r="BC109" s="4420">
        <f t="shared" si="710"/>
        <v>0</v>
      </c>
      <c r="BD109" s="4371">
        <f t="shared" si="686"/>
        <v>307.76324999999997</v>
      </c>
      <c r="BE109" s="4371">
        <f t="shared" si="687"/>
        <v>307.76324999999997</v>
      </c>
      <c r="BF109" s="4371">
        <f t="shared" si="687"/>
        <v>0</v>
      </c>
      <c r="BG109" s="4444">
        <f t="shared" si="776"/>
        <v>42.061999999999998</v>
      </c>
      <c r="BH109" s="4444">
        <f t="shared" si="777"/>
        <v>42.061999999999998</v>
      </c>
      <c r="BI109" s="4444">
        <f t="shared" si="777"/>
        <v>0</v>
      </c>
      <c r="BJ109" s="4444">
        <f t="shared" si="732"/>
        <v>-265.70124999999996</v>
      </c>
      <c r="BK109" s="4444">
        <f t="shared" si="732"/>
        <v>-265.70124999999996</v>
      </c>
      <c r="BL109" s="4444">
        <f t="shared" si="732"/>
        <v>0</v>
      </c>
      <c r="BM109" s="4391">
        <f t="shared" si="821"/>
        <v>102.58775</v>
      </c>
      <c r="BN109" s="4391">
        <f t="shared" ref="BN109:BO110" si="848">SUM(AP109)</f>
        <v>102.58775</v>
      </c>
      <c r="BO109" s="4391">
        <f t="shared" si="848"/>
        <v>0</v>
      </c>
      <c r="BP109" s="4420">
        <f t="shared" si="779"/>
        <v>0</v>
      </c>
      <c r="BQ109" s="4411"/>
      <c r="BR109" s="4411"/>
      <c r="BS109" s="4420">
        <f t="shared" si="781"/>
        <v>0</v>
      </c>
      <c r="BT109" s="4411"/>
      <c r="BU109" s="4411"/>
      <c r="BV109" s="4420">
        <f t="shared" si="783"/>
        <v>0</v>
      </c>
      <c r="BW109" s="4411"/>
      <c r="BX109" s="4411"/>
      <c r="BY109" s="4420">
        <f t="shared" si="395"/>
        <v>0</v>
      </c>
      <c r="BZ109" s="4420">
        <f t="shared" si="717"/>
        <v>0</v>
      </c>
      <c r="CA109" s="4420">
        <f t="shared" si="717"/>
        <v>0</v>
      </c>
      <c r="CB109" s="4371">
        <f t="shared" si="616"/>
        <v>410.351</v>
      </c>
      <c r="CC109" s="4449">
        <v>410.351</v>
      </c>
      <c r="CD109" s="4449">
        <v>0</v>
      </c>
      <c r="CE109" s="4444">
        <f t="shared" si="785"/>
        <v>42.061999999999998</v>
      </c>
      <c r="CF109" s="4444">
        <f t="shared" si="786"/>
        <v>42.061999999999998</v>
      </c>
      <c r="CG109" s="4444">
        <f t="shared" si="786"/>
        <v>0</v>
      </c>
      <c r="CH109" s="4444">
        <f t="shared" si="719"/>
        <v>-368.28899999999999</v>
      </c>
      <c r="CI109" s="4444">
        <f t="shared" si="719"/>
        <v>-368.28899999999999</v>
      </c>
      <c r="CJ109" s="4444">
        <f t="shared" si="719"/>
        <v>0</v>
      </c>
      <c r="CK109" s="2774"/>
      <c r="CL109" s="3576">
        <f t="shared" si="615"/>
        <v>410.351</v>
      </c>
      <c r="CM109" s="2774"/>
    </row>
    <row r="110" spans="1:91" ht="18.75" customHeight="1" x14ac:dyDescent="0.3">
      <c r="A110" s="4412" t="s">
        <v>596</v>
      </c>
      <c r="B110" s="4391">
        <f t="shared" si="814"/>
        <v>0.78200000000000003</v>
      </c>
      <c r="C110" s="4391">
        <f t="shared" si="841"/>
        <v>0.78200000000000003</v>
      </c>
      <c r="D110" s="4391">
        <f t="shared" si="842"/>
        <v>0</v>
      </c>
      <c r="E110" s="4420">
        <f t="shared" si="360"/>
        <v>0</v>
      </c>
      <c r="F110" s="4411"/>
      <c r="G110" s="4411"/>
      <c r="H110" s="4420">
        <f t="shared" si="754"/>
        <v>0</v>
      </c>
      <c r="I110" s="4411"/>
      <c r="J110" s="4411"/>
      <c r="K110" s="4420">
        <f t="shared" si="756"/>
        <v>0</v>
      </c>
      <c r="L110" s="4411"/>
      <c r="M110" s="4411"/>
      <c r="N110" s="4420">
        <f t="shared" si="758"/>
        <v>0</v>
      </c>
      <c r="O110" s="4420">
        <f t="shared" si="759"/>
        <v>0</v>
      </c>
      <c r="P110" s="4420">
        <f t="shared" si="759"/>
        <v>0</v>
      </c>
      <c r="Q110" s="4391">
        <f t="shared" si="788"/>
        <v>0.78200000000000003</v>
      </c>
      <c r="R110" s="4391">
        <f t="shared" si="843"/>
        <v>0.78200000000000003</v>
      </c>
      <c r="S110" s="4391">
        <f t="shared" si="844"/>
        <v>0</v>
      </c>
      <c r="T110" s="4420">
        <f t="shared" si="761"/>
        <v>0</v>
      </c>
      <c r="U110" s="4411"/>
      <c r="V110" s="4411"/>
      <c r="W110" s="4420">
        <f t="shared" si="763"/>
        <v>0</v>
      </c>
      <c r="X110" s="4411"/>
      <c r="Y110" s="4411"/>
      <c r="Z110" s="4420">
        <f t="shared" si="765"/>
        <v>0</v>
      </c>
      <c r="AA110" s="4411"/>
      <c r="AB110" s="4411"/>
      <c r="AC110" s="4420">
        <f t="shared" si="375"/>
        <v>0</v>
      </c>
      <c r="AD110" s="4420">
        <f t="shared" si="703"/>
        <v>0</v>
      </c>
      <c r="AE110" s="4420">
        <f t="shared" si="703"/>
        <v>0</v>
      </c>
      <c r="AF110" s="4371">
        <f t="shared" si="796"/>
        <v>1.5640000000000001</v>
      </c>
      <c r="AG110" s="4371">
        <f t="shared" si="845"/>
        <v>1.5640000000000001</v>
      </c>
      <c r="AH110" s="4371">
        <f t="shared" si="845"/>
        <v>0</v>
      </c>
      <c r="AI110" s="4444">
        <f t="shared" si="767"/>
        <v>0</v>
      </c>
      <c r="AJ110" s="4444">
        <f t="shared" si="768"/>
        <v>0</v>
      </c>
      <c r="AK110" s="4444">
        <f t="shared" si="768"/>
        <v>0</v>
      </c>
      <c r="AL110" s="4444">
        <f t="shared" si="731"/>
        <v>-1.5640000000000001</v>
      </c>
      <c r="AM110" s="4444">
        <f t="shared" si="731"/>
        <v>-1.5640000000000001</v>
      </c>
      <c r="AN110" s="4444">
        <f t="shared" si="731"/>
        <v>0</v>
      </c>
      <c r="AO110" s="4391">
        <f t="shared" ref="AO110:AO111" si="849">SUM(AP110:AQ110)</f>
        <v>0.78200000000000003</v>
      </c>
      <c r="AP110" s="4391">
        <f t="shared" ref="AP110" si="850">SUM(CC110-AG110)/2</f>
        <v>0.78200000000000003</v>
      </c>
      <c r="AQ110" s="4391">
        <f t="shared" si="847"/>
        <v>0</v>
      </c>
      <c r="AR110" s="4420">
        <f t="shared" si="770"/>
        <v>0</v>
      </c>
      <c r="AS110" s="4411"/>
      <c r="AT110" s="4411"/>
      <c r="AU110" s="4420">
        <f t="shared" si="772"/>
        <v>0</v>
      </c>
      <c r="AV110" s="4411"/>
      <c r="AW110" s="4411"/>
      <c r="AX110" s="4420">
        <f t="shared" si="774"/>
        <v>0</v>
      </c>
      <c r="AY110" s="4411"/>
      <c r="AZ110" s="4411"/>
      <c r="BA110" s="4420">
        <f t="shared" si="385"/>
        <v>0</v>
      </c>
      <c r="BB110" s="4420">
        <f t="shared" si="710"/>
        <v>0</v>
      </c>
      <c r="BC110" s="4420">
        <f t="shared" si="710"/>
        <v>0</v>
      </c>
      <c r="BD110" s="4371">
        <f t="shared" si="686"/>
        <v>2.3460000000000001</v>
      </c>
      <c r="BE110" s="4371">
        <f t="shared" si="687"/>
        <v>2.3460000000000001</v>
      </c>
      <c r="BF110" s="4371">
        <f t="shared" si="687"/>
        <v>0</v>
      </c>
      <c r="BG110" s="4444">
        <f t="shared" si="776"/>
        <v>0</v>
      </c>
      <c r="BH110" s="4444">
        <f t="shared" si="777"/>
        <v>0</v>
      </c>
      <c r="BI110" s="4444">
        <f t="shared" si="777"/>
        <v>0</v>
      </c>
      <c r="BJ110" s="4444">
        <f t="shared" si="732"/>
        <v>-2.3460000000000001</v>
      </c>
      <c r="BK110" s="4444">
        <f t="shared" si="732"/>
        <v>-2.3460000000000001</v>
      </c>
      <c r="BL110" s="4444">
        <f t="shared" si="732"/>
        <v>0</v>
      </c>
      <c r="BM110" s="4391">
        <f t="shared" si="821"/>
        <v>0.78200000000000003</v>
      </c>
      <c r="BN110" s="4391">
        <f t="shared" si="848"/>
        <v>0.78200000000000003</v>
      </c>
      <c r="BO110" s="4391">
        <f t="shared" si="848"/>
        <v>0</v>
      </c>
      <c r="BP110" s="4420">
        <f t="shared" si="779"/>
        <v>0</v>
      </c>
      <c r="BQ110" s="4411"/>
      <c r="BR110" s="4411"/>
      <c r="BS110" s="4420">
        <f t="shared" si="781"/>
        <v>0</v>
      </c>
      <c r="BT110" s="4411"/>
      <c r="BU110" s="4411"/>
      <c r="BV110" s="4420">
        <f t="shared" si="783"/>
        <v>0</v>
      </c>
      <c r="BW110" s="4411"/>
      <c r="BX110" s="4411"/>
      <c r="BY110" s="4420">
        <f t="shared" si="395"/>
        <v>0</v>
      </c>
      <c r="BZ110" s="4420">
        <f t="shared" si="717"/>
        <v>0</v>
      </c>
      <c r="CA110" s="4420">
        <f t="shared" si="717"/>
        <v>0</v>
      </c>
      <c r="CB110" s="4371">
        <f t="shared" si="616"/>
        <v>3.1280000000000001</v>
      </c>
      <c r="CC110" s="4449">
        <f>3.128</f>
        <v>3.1280000000000001</v>
      </c>
      <c r="CD110" s="4449">
        <v>0</v>
      </c>
      <c r="CE110" s="4444">
        <f t="shared" si="785"/>
        <v>0</v>
      </c>
      <c r="CF110" s="4444">
        <f t="shared" si="786"/>
        <v>0</v>
      </c>
      <c r="CG110" s="4444">
        <f t="shared" si="786"/>
        <v>0</v>
      </c>
      <c r="CH110" s="4444">
        <f t="shared" si="719"/>
        <v>-3.1280000000000001</v>
      </c>
      <c r="CI110" s="4444">
        <f t="shared" si="719"/>
        <v>-3.1280000000000001</v>
      </c>
      <c r="CJ110" s="4444">
        <f t="shared" si="719"/>
        <v>0</v>
      </c>
      <c r="CK110" s="2774"/>
      <c r="CL110" s="3576">
        <f t="shared" si="615"/>
        <v>3.1280000000000001</v>
      </c>
      <c r="CM110" s="2774"/>
    </row>
    <row r="111" spans="1:91" ht="18.75" customHeight="1" x14ac:dyDescent="0.3">
      <c r="A111" s="4418" t="s">
        <v>3703</v>
      </c>
      <c r="B111" s="4377">
        <f t="shared" si="814"/>
        <v>814.10092500000007</v>
      </c>
      <c r="C111" s="4414">
        <f t="shared" ref="C111:D111" si="851">SUM(C112:C114)</f>
        <v>814.10092500000007</v>
      </c>
      <c r="D111" s="4414">
        <f t="shared" si="851"/>
        <v>0</v>
      </c>
      <c r="E111" s="4415">
        <f t="shared" si="360"/>
        <v>0</v>
      </c>
      <c r="F111" s="4415">
        <f t="shared" ref="F111:G111" si="852">SUM(F112:F114)</f>
        <v>0</v>
      </c>
      <c r="G111" s="4415">
        <f t="shared" si="852"/>
        <v>0</v>
      </c>
      <c r="H111" s="4415">
        <f t="shared" si="754"/>
        <v>0</v>
      </c>
      <c r="I111" s="4415">
        <f t="shared" ref="I111:J111" si="853">SUM(I112:I114)</f>
        <v>0</v>
      </c>
      <c r="J111" s="4415">
        <f t="shared" si="853"/>
        <v>0</v>
      </c>
      <c r="K111" s="4415">
        <f t="shared" si="756"/>
        <v>381.01799999999997</v>
      </c>
      <c r="L111" s="4415">
        <f t="shared" ref="L111:M111" si="854">SUM(L112:L114)</f>
        <v>381.01799999999997</v>
      </c>
      <c r="M111" s="4415">
        <f t="shared" si="854"/>
        <v>0</v>
      </c>
      <c r="N111" s="4415">
        <f t="shared" ref="N111:N123" si="855">SUM(O111:P111)</f>
        <v>381.01799999999997</v>
      </c>
      <c r="O111" s="4415">
        <f t="shared" si="759"/>
        <v>381.01799999999997</v>
      </c>
      <c r="P111" s="4415">
        <f t="shared" si="759"/>
        <v>0</v>
      </c>
      <c r="Q111" s="4377">
        <f t="shared" si="788"/>
        <v>814.10092500000007</v>
      </c>
      <c r="R111" s="4414">
        <f t="shared" ref="R111:S111" si="856">SUM(R112:R114)</f>
        <v>814.10092500000007</v>
      </c>
      <c r="S111" s="4414">
        <f t="shared" si="856"/>
        <v>0</v>
      </c>
      <c r="T111" s="4415">
        <f t="shared" si="761"/>
        <v>0</v>
      </c>
      <c r="U111" s="4415">
        <f t="shared" ref="U111:V111" si="857">SUM(U112:U114)</f>
        <v>0</v>
      </c>
      <c r="V111" s="4415">
        <f t="shared" si="857"/>
        <v>0</v>
      </c>
      <c r="W111" s="4415">
        <f t="shared" si="763"/>
        <v>0</v>
      </c>
      <c r="X111" s="4415">
        <f t="shared" ref="X111:Y111" si="858">SUM(X112:X114)</f>
        <v>0</v>
      </c>
      <c r="Y111" s="4415">
        <f t="shared" si="858"/>
        <v>0</v>
      </c>
      <c r="Z111" s="4415">
        <f t="shared" si="765"/>
        <v>381.01799999999997</v>
      </c>
      <c r="AA111" s="4415">
        <f t="shared" ref="AA111:AB111" si="859">SUM(AA112:AA114)</f>
        <v>381.01799999999997</v>
      </c>
      <c r="AB111" s="4415">
        <f t="shared" si="859"/>
        <v>0</v>
      </c>
      <c r="AC111" s="4415">
        <f t="shared" si="375"/>
        <v>381.01799999999997</v>
      </c>
      <c r="AD111" s="4415">
        <f t="shared" si="703"/>
        <v>381.01799999999997</v>
      </c>
      <c r="AE111" s="4415">
        <f t="shared" si="703"/>
        <v>0</v>
      </c>
      <c r="AF111" s="4379">
        <f t="shared" si="796"/>
        <v>1628.2018500000001</v>
      </c>
      <c r="AG111" s="4379">
        <f t="shared" si="845"/>
        <v>1628.2018500000001</v>
      </c>
      <c r="AH111" s="4379">
        <f t="shared" si="845"/>
        <v>0</v>
      </c>
      <c r="AI111" s="4441">
        <f t="shared" ref="AI111:AK127" si="860">SUM(AC111+N111)</f>
        <v>762.03599999999994</v>
      </c>
      <c r="AJ111" s="4441">
        <f t="shared" si="768"/>
        <v>762.03599999999994</v>
      </c>
      <c r="AK111" s="4441">
        <f t="shared" si="768"/>
        <v>0</v>
      </c>
      <c r="AL111" s="4441">
        <f t="shared" si="731"/>
        <v>-866.16585000000021</v>
      </c>
      <c r="AM111" s="4441">
        <f t="shared" si="731"/>
        <v>-866.16585000000021</v>
      </c>
      <c r="AN111" s="4441">
        <f t="shared" si="731"/>
        <v>0</v>
      </c>
      <c r="AO111" s="4377">
        <f t="shared" si="849"/>
        <v>814.10092500000007</v>
      </c>
      <c r="AP111" s="4414">
        <f t="shared" ref="AP111:AQ111" si="861">SUM(AP112:AP114)</f>
        <v>814.10092500000007</v>
      </c>
      <c r="AQ111" s="4414">
        <f t="shared" si="861"/>
        <v>0</v>
      </c>
      <c r="AR111" s="4415">
        <f t="shared" si="770"/>
        <v>0</v>
      </c>
      <c r="AS111" s="4415">
        <f t="shared" ref="AS111:AT111" si="862">SUM(AS112:AS114)</f>
        <v>0</v>
      </c>
      <c r="AT111" s="4415">
        <f t="shared" si="862"/>
        <v>0</v>
      </c>
      <c r="AU111" s="4415">
        <f t="shared" si="772"/>
        <v>0</v>
      </c>
      <c r="AV111" s="4415">
        <f t="shared" ref="AV111:AW111" si="863">SUM(AV112:AV114)</f>
        <v>0</v>
      </c>
      <c r="AW111" s="4415">
        <f t="shared" si="863"/>
        <v>0</v>
      </c>
      <c r="AX111" s="4415">
        <f t="shared" si="774"/>
        <v>0</v>
      </c>
      <c r="AY111" s="4415">
        <f t="shared" ref="AY111:AZ111" si="864">SUM(AY112:AY114)</f>
        <v>0</v>
      </c>
      <c r="AZ111" s="4415">
        <f t="shared" si="864"/>
        <v>0</v>
      </c>
      <c r="BA111" s="4415">
        <f t="shared" ref="BA111:BA127" si="865">SUM(BB111:BC111)</f>
        <v>0</v>
      </c>
      <c r="BB111" s="4415">
        <f t="shared" ref="BB111:BC127" si="866">SUM(AS111+AV111+AY111)</f>
        <v>0</v>
      </c>
      <c r="BC111" s="4415">
        <f t="shared" si="866"/>
        <v>0</v>
      </c>
      <c r="BD111" s="4379">
        <f t="shared" si="686"/>
        <v>2442.3027750000001</v>
      </c>
      <c r="BE111" s="4379">
        <f t="shared" si="687"/>
        <v>2442.3027750000001</v>
      </c>
      <c r="BF111" s="4379">
        <f t="shared" si="687"/>
        <v>0</v>
      </c>
      <c r="BG111" s="4441">
        <f t="shared" ref="BG111:BI127" si="867">SUM(AI111+BA111)</f>
        <v>762.03599999999994</v>
      </c>
      <c r="BH111" s="4441">
        <f t="shared" si="777"/>
        <v>762.03599999999994</v>
      </c>
      <c r="BI111" s="4441">
        <f t="shared" si="777"/>
        <v>0</v>
      </c>
      <c r="BJ111" s="4441">
        <f t="shared" si="732"/>
        <v>-1680.2667750000001</v>
      </c>
      <c r="BK111" s="4441">
        <f t="shared" si="732"/>
        <v>-1680.2667750000001</v>
      </c>
      <c r="BL111" s="4441">
        <f t="shared" si="732"/>
        <v>0</v>
      </c>
      <c r="BM111" s="4377">
        <f t="shared" si="821"/>
        <v>814.10092500000007</v>
      </c>
      <c r="BN111" s="4414">
        <f t="shared" ref="BN111:BO111" si="868">SUM(BN112:BN114)</f>
        <v>814.10092500000007</v>
      </c>
      <c r="BO111" s="4414">
        <f t="shared" si="868"/>
        <v>0</v>
      </c>
      <c r="BP111" s="4415">
        <f t="shared" si="779"/>
        <v>0</v>
      </c>
      <c r="BQ111" s="4415">
        <f t="shared" ref="BQ111:BR111" si="869">SUM(BQ112:BQ114)</f>
        <v>0</v>
      </c>
      <c r="BR111" s="4415">
        <f t="shared" si="869"/>
        <v>0</v>
      </c>
      <c r="BS111" s="4415">
        <f t="shared" si="781"/>
        <v>0</v>
      </c>
      <c r="BT111" s="4415">
        <f t="shared" ref="BT111:BU111" si="870">SUM(BT112:BT114)</f>
        <v>0</v>
      </c>
      <c r="BU111" s="4415">
        <f t="shared" si="870"/>
        <v>0</v>
      </c>
      <c r="BV111" s="4415">
        <f t="shared" si="783"/>
        <v>0</v>
      </c>
      <c r="BW111" s="4415">
        <f t="shared" ref="BW111:BX111" si="871">SUM(BW112:BW114)</f>
        <v>0</v>
      </c>
      <c r="BX111" s="4415">
        <f t="shared" si="871"/>
        <v>0</v>
      </c>
      <c r="BY111" s="4415">
        <f t="shared" ref="BY111:BY127" si="872">SUM(BZ111:CA111)</f>
        <v>0</v>
      </c>
      <c r="BZ111" s="4415">
        <f t="shared" ref="BZ111:CA127" si="873">SUM(BQ111+BT111+BW111)</f>
        <v>0</v>
      </c>
      <c r="CA111" s="4415">
        <f t="shared" si="873"/>
        <v>0</v>
      </c>
      <c r="CB111" s="4379">
        <f t="shared" si="616"/>
        <v>3256.4037000000003</v>
      </c>
      <c r="CC111" s="4455">
        <f>SUM(стоки!EK42)</f>
        <v>3256.4037000000003</v>
      </c>
      <c r="CD111" s="4455">
        <f>SUM(стоки!EL42)</f>
        <v>0</v>
      </c>
      <c r="CE111" s="4441">
        <f t="shared" ref="CE111:CG127" si="874">SUM(BY111+BG111)</f>
        <v>762.03599999999994</v>
      </c>
      <c r="CF111" s="4441">
        <f t="shared" si="786"/>
        <v>762.03599999999994</v>
      </c>
      <c r="CG111" s="4441">
        <f t="shared" si="786"/>
        <v>0</v>
      </c>
      <c r="CH111" s="4441">
        <f t="shared" ref="CH111:CJ128" si="875">SUM(CE111-CB111)</f>
        <v>-2494.3677000000002</v>
      </c>
      <c r="CI111" s="4441">
        <f t="shared" si="875"/>
        <v>-2494.3677000000002</v>
      </c>
      <c r="CJ111" s="4441">
        <f t="shared" si="875"/>
        <v>0</v>
      </c>
      <c r="CK111" s="2860"/>
      <c r="CL111" s="3576">
        <f t="shared" si="615"/>
        <v>3256.4037000000003</v>
      </c>
      <c r="CM111" s="2860"/>
    </row>
    <row r="112" spans="1:91" ht="43.5" customHeight="1" x14ac:dyDescent="0.3">
      <c r="A112" s="4386" t="s">
        <v>3761</v>
      </c>
      <c r="B112" s="4391">
        <f t="shared" ref="B112:B121" si="876">SUM(C112:D112)</f>
        <v>278.033525</v>
      </c>
      <c r="C112" s="4391">
        <f t="shared" ref="C112:D114" si="877">SUM(CC112/4)</f>
        <v>278.033525</v>
      </c>
      <c r="D112" s="4391">
        <f t="shared" si="877"/>
        <v>0</v>
      </c>
      <c r="E112" s="4420">
        <f t="shared" si="360"/>
        <v>0</v>
      </c>
      <c r="F112" s="4402"/>
      <c r="G112" s="4402"/>
      <c r="H112" s="4420">
        <f t="shared" si="754"/>
        <v>0</v>
      </c>
      <c r="I112" s="4402"/>
      <c r="J112" s="4402"/>
      <c r="K112" s="4420">
        <f t="shared" si="756"/>
        <v>366.529</v>
      </c>
      <c r="L112" s="4402">
        <v>366.529</v>
      </c>
      <c r="M112" s="4402"/>
      <c r="N112" s="4420">
        <f t="shared" si="855"/>
        <v>366.529</v>
      </c>
      <c r="O112" s="4420">
        <f t="shared" si="759"/>
        <v>366.529</v>
      </c>
      <c r="P112" s="4420">
        <f t="shared" si="759"/>
        <v>0</v>
      </c>
      <c r="Q112" s="4391">
        <f t="shared" si="788"/>
        <v>278.033525</v>
      </c>
      <c r="R112" s="4391">
        <f t="shared" ref="R112:R114" si="878">SUM(C112)</f>
        <v>278.033525</v>
      </c>
      <c r="S112" s="4391">
        <f t="shared" ref="S112:S114" si="879">SUM(D112)</f>
        <v>0</v>
      </c>
      <c r="T112" s="4420">
        <f t="shared" si="761"/>
        <v>0</v>
      </c>
      <c r="U112" s="4402"/>
      <c r="V112" s="4402"/>
      <c r="W112" s="4420">
        <f t="shared" si="763"/>
        <v>0</v>
      </c>
      <c r="X112" s="4402"/>
      <c r="Y112" s="4402"/>
      <c r="Z112" s="4420">
        <f t="shared" si="765"/>
        <v>366.529</v>
      </c>
      <c r="AA112" s="4402">
        <v>366.529</v>
      </c>
      <c r="AB112" s="4402"/>
      <c r="AC112" s="4420">
        <f t="shared" ref="AC112:AC127" si="880">SUM(AD112:AE112)</f>
        <v>366.529</v>
      </c>
      <c r="AD112" s="4420">
        <f t="shared" ref="AD112:AE127" si="881">SUM(U112+X112+AA112)</f>
        <v>366.529</v>
      </c>
      <c r="AE112" s="4420">
        <f t="shared" si="881"/>
        <v>0</v>
      </c>
      <c r="AF112" s="4371">
        <f t="shared" si="796"/>
        <v>556.06704999999999</v>
      </c>
      <c r="AG112" s="4371">
        <f t="shared" si="845"/>
        <v>556.06704999999999</v>
      </c>
      <c r="AH112" s="4371">
        <f t="shared" si="845"/>
        <v>0</v>
      </c>
      <c r="AI112" s="4444">
        <f t="shared" si="860"/>
        <v>733.05799999999999</v>
      </c>
      <c r="AJ112" s="4444">
        <f t="shared" si="768"/>
        <v>733.05799999999999</v>
      </c>
      <c r="AK112" s="4444">
        <f t="shared" si="768"/>
        <v>0</v>
      </c>
      <c r="AL112" s="4444">
        <f t="shared" si="731"/>
        <v>176.99095</v>
      </c>
      <c r="AM112" s="4444">
        <f t="shared" si="731"/>
        <v>176.99095</v>
      </c>
      <c r="AN112" s="4444">
        <f t="shared" si="731"/>
        <v>0</v>
      </c>
      <c r="AO112" s="4391">
        <f t="shared" ref="AO112:AO120" si="882">SUM(AP112:AQ112)</f>
        <v>278.033525</v>
      </c>
      <c r="AP112" s="4391">
        <f t="shared" ref="AP112:AP114" si="883">SUM(CC112-AG112)/2</f>
        <v>278.033525</v>
      </c>
      <c r="AQ112" s="4391">
        <f t="shared" ref="AQ112:AQ114" si="884">SUM(CD112-AH112)/2</f>
        <v>0</v>
      </c>
      <c r="AR112" s="4420">
        <f t="shared" si="770"/>
        <v>0</v>
      </c>
      <c r="AS112" s="4402"/>
      <c r="AT112" s="4402"/>
      <c r="AU112" s="4420">
        <f t="shared" si="772"/>
        <v>0</v>
      </c>
      <c r="AV112" s="4402"/>
      <c r="AW112" s="4402"/>
      <c r="AX112" s="4420">
        <f t="shared" si="774"/>
        <v>0</v>
      </c>
      <c r="AY112" s="4402"/>
      <c r="AZ112" s="4402"/>
      <c r="BA112" s="4420">
        <f t="shared" si="865"/>
        <v>0</v>
      </c>
      <c r="BB112" s="4420">
        <f t="shared" si="866"/>
        <v>0</v>
      </c>
      <c r="BC112" s="4420">
        <f t="shared" si="866"/>
        <v>0</v>
      </c>
      <c r="BD112" s="4371">
        <f t="shared" si="686"/>
        <v>834.10057499999994</v>
      </c>
      <c r="BE112" s="4371">
        <f t="shared" si="687"/>
        <v>834.10057499999994</v>
      </c>
      <c r="BF112" s="4371">
        <f t="shared" si="687"/>
        <v>0</v>
      </c>
      <c r="BG112" s="4444">
        <f t="shared" si="867"/>
        <v>733.05799999999999</v>
      </c>
      <c r="BH112" s="4444">
        <f t="shared" si="777"/>
        <v>733.05799999999999</v>
      </c>
      <c r="BI112" s="4444">
        <f t="shared" si="777"/>
        <v>0</v>
      </c>
      <c r="BJ112" s="4444">
        <f t="shared" si="732"/>
        <v>-101.04257499999994</v>
      </c>
      <c r="BK112" s="4444">
        <f t="shared" si="732"/>
        <v>-101.04257499999994</v>
      </c>
      <c r="BL112" s="4444">
        <f t="shared" si="732"/>
        <v>0</v>
      </c>
      <c r="BM112" s="4391">
        <f t="shared" ref="BM112:BM115" si="885">SUM(BN112:BO112)</f>
        <v>278.033525</v>
      </c>
      <c r="BN112" s="4391">
        <f t="shared" ref="BN112:BN114" si="886">SUM(AP112)</f>
        <v>278.033525</v>
      </c>
      <c r="BO112" s="4391">
        <f t="shared" ref="BO112:BO114" si="887">SUM(AQ112)</f>
        <v>0</v>
      </c>
      <c r="BP112" s="4420">
        <f t="shared" si="779"/>
        <v>0</v>
      </c>
      <c r="BQ112" s="4402"/>
      <c r="BR112" s="4402"/>
      <c r="BS112" s="4420">
        <f t="shared" si="781"/>
        <v>0</v>
      </c>
      <c r="BT112" s="4402"/>
      <c r="BU112" s="4402"/>
      <c r="BV112" s="4420">
        <f t="shared" si="783"/>
        <v>0</v>
      </c>
      <c r="BW112" s="4402"/>
      <c r="BX112" s="4402"/>
      <c r="BY112" s="4420">
        <f t="shared" si="872"/>
        <v>0</v>
      </c>
      <c r="BZ112" s="4420">
        <f t="shared" si="873"/>
        <v>0</v>
      </c>
      <c r="CA112" s="4420">
        <f t="shared" si="873"/>
        <v>0</v>
      </c>
      <c r="CB112" s="4371">
        <f t="shared" si="616"/>
        <v>1112.1341</v>
      </c>
      <c r="CC112" s="4449">
        <f>SUM(стоки!EK43)</f>
        <v>1112.1341</v>
      </c>
      <c r="CD112" s="4449">
        <f>SUM(стоки!EL43)</f>
        <v>0</v>
      </c>
      <c r="CE112" s="4444">
        <f t="shared" si="874"/>
        <v>733.05799999999999</v>
      </c>
      <c r="CF112" s="4444">
        <f t="shared" si="786"/>
        <v>733.05799999999999</v>
      </c>
      <c r="CG112" s="4444">
        <f t="shared" si="786"/>
        <v>0</v>
      </c>
      <c r="CH112" s="4444">
        <f t="shared" si="875"/>
        <v>-379.0761</v>
      </c>
      <c r="CI112" s="4444">
        <f t="shared" si="875"/>
        <v>-379.0761</v>
      </c>
      <c r="CJ112" s="4444">
        <f t="shared" si="875"/>
        <v>0</v>
      </c>
      <c r="CK112" s="2774"/>
      <c r="CL112" s="3576">
        <f t="shared" si="615"/>
        <v>1112.1341</v>
      </c>
      <c r="CM112" s="2774"/>
    </row>
    <row r="113" spans="1:92" ht="18.75" customHeight="1" x14ac:dyDescent="0.3">
      <c r="A113" s="4386" t="s">
        <v>522</v>
      </c>
      <c r="B113" s="4391">
        <f t="shared" si="876"/>
        <v>14.487500000000001</v>
      </c>
      <c r="C113" s="4391">
        <f t="shared" si="877"/>
        <v>14.487500000000001</v>
      </c>
      <c r="D113" s="4391">
        <f t="shared" si="877"/>
        <v>0</v>
      </c>
      <c r="E113" s="4420">
        <f t="shared" ref="E113:E126" si="888">SUM(F113:G113)</f>
        <v>0</v>
      </c>
      <c r="F113" s="4402"/>
      <c r="G113" s="4402"/>
      <c r="H113" s="4420">
        <f t="shared" si="754"/>
        <v>0</v>
      </c>
      <c r="I113" s="4402"/>
      <c r="J113" s="4402"/>
      <c r="K113" s="4420">
        <f t="shared" si="756"/>
        <v>14.489000000000001</v>
      </c>
      <c r="L113" s="4402">
        <v>14.489000000000001</v>
      </c>
      <c r="M113" s="4402"/>
      <c r="N113" s="4420">
        <f t="shared" si="855"/>
        <v>14.489000000000001</v>
      </c>
      <c r="O113" s="4420">
        <f t="shared" si="759"/>
        <v>14.489000000000001</v>
      </c>
      <c r="P113" s="4420">
        <f t="shared" si="759"/>
        <v>0</v>
      </c>
      <c r="Q113" s="4391">
        <f t="shared" si="788"/>
        <v>14.487500000000001</v>
      </c>
      <c r="R113" s="4391">
        <f t="shared" si="878"/>
        <v>14.487500000000001</v>
      </c>
      <c r="S113" s="4391">
        <f t="shared" si="879"/>
        <v>0</v>
      </c>
      <c r="T113" s="4420">
        <f t="shared" si="761"/>
        <v>0</v>
      </c>
      <c r="U113" s="4402"/>
      <c r="V113" s="4402"/>
      <c r="W113" s="4420">
        <f t="shared" si="763"/>
        <v>0</v>
      </c>
      <c r="X113" s="4402"/>
      <c r="Y113" s="4402"/>
      <c r="Z113" s="4420">
        <f t="shared" si="765"/>
        <v>14.489000000000001</v>
      </c>
      <c r="AA113" s="4402">
        <v>14.489000000000001</v>
      </c>
      <c r="AB113" s="4402"/>
      <c r="AC113" s="4420">
        <f t="shared" si="880"/>
        <v>14.489000000000001</v>
      </c>
      <c r="AD113" s="4420">
        <f t="shared" si="881"/>
        <v>14.489000000000001</v>
      </c>
      <c r="AE113" s="4420">
        <f t="shared" si="881"/>
        <v>0</v>
      </c>
      <c r="AF113" s="4371">
        <f t="shared" si="796"/>
        <v>28.975000000000001</v>
      </c>
      <c r="AG113" s="4371">
        <f t="shared" si="845"/>
        <v>28.975000000000001</v>
      </c>
      <c r="AH113" s="4371">
        <f t="shared" si="845"/>
        <v>0</v>
      </c>
      <c r="AI113" s="4444">
        <f t="shared" si="860"/>
        <v>28.978000000000002</v>
      </c>
      <c r="AJ113" s="4444">
        <f t="shared" si="768"/>
        <v>28.978000000000002</v>
      </c>
      <c r="AK113" s="4444">
        <f t="shared" si="768"/>
        <v>0</v>
      </c>
      <c r="AL113" s="4444">
        <f t="shared" si="731"/>
        <v>3.0000000000001137E-3</v>
      </c>
      <c r="AM113" s="4444">
        <f t="shared" si="731"/>
        <v>3.0000000000001137E-3</v>
      </c>
      <c r="AN113" s="4444">
        <f t="shared" si="731"/>
        <v>0</v>
      </c>
      <c r="AO113" s="4391">
        <f t="shared" si="882"/>
        <v>14.487500000000001</v>
      </c>
      <c r="AP113" s="4391">
        <f t="shared" si="883"/>
        <v>14.487500000000001</v>
      </c>
      <c r="AQ113" s="4391">
        <f t="shared" si="884"/>
        <v>0</v>
      </c>
      <c r="AR113" s="4420">
        <f t="shared" si="770"/>
        <v>0</v>
      </c>
      <c r="AS113" s="4402"/>
      <c r="AT113" s="4402"/>
      <c r="AU113" s="4420">
        <f t="shared" si="772"/>
        <v>0</v>
      </c>
      <c r="AV113" s="4402"/>
      <c r="AW113" s="4402"/>
      <c r="AX113" s="4420">
        <f t="shared" si="774"/>
        <v>0</v>
      </c>
      <c r="AY113" s="4402"/>
      <c r="AZ113" s="4402"/>
      <c r="BA113" s="4420">
        <f t="shared" si="865"/>
        <v>0</v>
      </c>
      <c r="BB113" s="4420">
        <f t="shared" si="866"/>
        <v>0</v>
      </c>
      <c r="BC113" s="4420">
        <f t="shared" si="866"/>
        <v>0</v>
      </c>
      <c r="BD113" s="4371">
        <f t="shared" si="686"/>
        <v>43.462500000000006</v>
      </c>
      <c r="BE113" s="4371">
        <f t="shared" si="687"/>
        <v>43.462500000000006</v>
      </c>
      <c r="BF113" s="4371">
        <f t="shared" si="687"/>
        <v>0</v>
      </c>
      <c r="BG113" s="4444">
        <f t="shared" si="867"/>
        <v>28.978000000000002</v>
      </c>
      <c r="BH113" s="4444">
        <f t="shared" si="777"/>
        <v>28.978000000000002</v>
      </c>
      <c r="BI113" s="4444">
        <f t="shared" si="777"/>
        <v>0</v>
      </c>
      <c r="BJ113" s="4444">
        <f t="shared" si="732"/>
        <v>-14.484500000000004</v>
      </c>
      <c r="BK113" s="4444">
        <f t="shared" si="732"/>
        <v>-14.484500000000004</v>
      </c>
      <c r="BL113" s="4444">
        <f t="shared" si="732"/>
        <v>0</v>
      </c>
      <c r="BM113" s="4391">
        <f t="shared" si="885"/>
        <v>14.487500000000001</v>
      </c>
      <c r="BN113" s="4391">
        <f t="shared" si="886"/>
        <v>14.487500000000001</v>
      </c>
      <c r="BO113" s="4391">
        <f t="shared" si="887"/>
        <v>0</v>
      </c>
      <c r="BP113" s="4420">
        <f t="shared" si="779"/>
        <v>0</v>
      </c>
      <c r="BQ113" s="4402"/>
      <c r="BR113" s="4402"/>
      <c r="BS113" s="4420">
        <f t="shared" si="781"/>
        <v>0</v>
      </c>
      <c r="BT113" s="4402"/>
      <c r="BU113" s="4402"/>
      <c r="BV113" s="4420">
        <f t="shared" si="783"/>
        <v>0</v>
      </c>
      <c r="BW113" s="4402"/>
      <c r="BX113" s="4402"/>
      <c r="BY113" s="4420">
        <f t="shared" si="872"/>
        <v>0</v>
      </c>
      <c r="BZ113" s="4420">
        <f t="shared" si="873"/>
        <v>0</v>
      </c>
      <c r="CA113" s="4420">
        <f t="shared" si="873"/>
        <v>0</v>
      </c>
      <c r="CB113" s="4371">
        <f t="shared" si="616"/>
        <v>57.95</v>
      </c>
      <c r="CC113" s="4449">
        <f>SUM(стоки!EK44)</f>
        <v>57.95</v>
      </c>
      <c r="CD113" s="4449">
        <f>SUM(стоки!EL44)</f>
        <v>0</v>
      </c>
      <c r="CE113" s="4444">
        <f t="shared" si="874"/>
        <v>28.978000000000002</v>
      </c>
      <c r="CF113" s="4444">
        <f t="shared" si="786"/>
        <v>28.978000000000002</v>
      </c>
      <c r="CG113" s="4444">
        <f t="shared" si="786"/>
        <v>0</v>
      </c>
      <c r="CH113" s="4444">
        <f t="shared" si="875"/>
        <v>-28.972000000000001</v>
      </c>
      <c r="CI113" s="4444">
        <f t="shared" si="875"/>
        <v>-28.972000000000001</v>
      </c>
      <c r="CJ113" s="4444">
        <f t="shared" si="875"/>
        <v>0</v>
      </c>
      <c r="CK113" s="2774"/>
      <c r="CL113" s="3576">
        <f t="shared" si="615"/>
        <v>57.95</v>
      </c>
      <c r="CM113" s="2774"/>
    </row>
    <row r="114" spans="1:92" ht="18.75" customHeight="1" x14ac:dyDescent="0.3">
      <c r="A114" s="4386" t="s">
        <v>524</v>
      </c>
      <c r="B114" s="4391">
        <f t="shared" si="876"/>
        <v>521.57990000000007</v>
      </c>
      <c r="C114" s="4391">
        <f t="shared" si="877"/>
        <v>521.57990000000007</v>
      </c>
      <c r="D114" s="4391">
        <f t="shared" si="877"/>
        <v>0</v>
      </c>
      <c r="E114" s="4420">
        <f t="shared" si="888"/>
        <v>0</v>
      </c>
      <c r="F114" s="4402"/>
      <c r="G114" s="4402"/>
      <c r="H114" s="4420">
        <f t="shared" si="754"/>
        <v>0</v>
      </c>
      <c r="I114" s="4402"/>
      <c r="J114" s="4402"/>
      <c r="K114" s="4420">
        <f t="shared" si="756"/>
        <v>0</v>
      </c>
      <c r="L114" s="4402"/>
      <c r="M114" s="4402"/>
      <c r="N114" s="4420">
        <f t="shared" si="855"/>
        <v>0</v>
      </c>
      <c r="O114" s="4420">
        <f t="shared" si="759"/>
        <v>0</v>
      </c>
      <c r="P114" s="4420">
        <f t="shared" si="759"/>
        <v>0</v>
      </c>
      <c r="Q114" s="4391">
        <f t="shared" si="788"/>
        <v>521.57990000000007</v>
      </c>
      <c r="R114" s="4391">
        <f t="shared" si="878"/>
        <v>521.57990000000007</v>
      </c>
      <c r="S114" s="4391">
        <f t="shared" si="879"/>
        <v>0</v>
      </c>
      <c r="T114" s="4420">
        <f t="shared" si="761"/>
        <v>0</v>
      </c>
      <c r="U114" s="4402"/>
      <c r="V114" s="4402"/>
      <c r="W114" s="4420">
        <f t="shared" si="763"/>
        <v>0</v>
      </c>
      <c r="X114" s="4402"/>
      <c r="Y114" s="4402"/>
      <c r="Z114" s="4420">
        <f t="shared" si="765"/>
        <v>0</v>
      </c>
      <c r="AA114" s="4402"/>
      <c r="AB114" s="4402"/>
      <c r="AC114" s="4420">
        <f t="shared" si="880"/>
        <v>0</v>
      </c>
      <c r="AD114" s="4420">
        <f t="shared" si="881"/>
        <v>0</v>
      </c>
      <c r="AE114" s="4420">
        <f t="shared" si="881"/>
        <v>0</v>
      </c>
      <c r="AF114" s="4371">
        <f t="shared" si="796"/>
        <v>1043.1598000000001</v>
      </c>
      <c r="AG114" s="4371">
        <f t="shared" si="845"/>
        <v>1043.1598000000001</v>
      </c>
      <c r="AH114" s="4371">
        <f t="shared" si="845"/>
        <v>0</v>
      </c>
      <c r="AI114" s="4444">
        <f t="shared" si="860"/>
        <v>0</v>
      </c>
      <c r="AJ114" s="4444">
        <f t="shared" si="768"/>
        <v>0</v>
      </c>
      <c r="AK114" s="4444">
        <f t="shared" si="768"/>
        <v>0</v>
      </c>
      <c r="AL114" s="4444">
        <f t="shared" si="731"/>
        <v>-1043.1598000000001</v>
      </c>
      <c r="AM114" s="4444">
        <f t="shared" si="731"/>
        <v>-1043.1598000000001</v>
      </c>
      <c r="AN114" s="4444">
        <f t="shared" si="731"/>
        <v>0</v>
      </c>
      <c r="AO114" s="4391">
        <f t="shared" si="882"/>
        <v>521.57990000000007</v>
      </c>
      <c r="AP114" s="4391">
        <f t="shared" si="883"/>
        <v>521.57990000000007</v>
      </c>
      <c r="AQ114" s="4391">
        <f t="shared" si="884"/>
        <v>0</v>
      </c>
      <c r="AR114" s="4420">
        <f t="shared" si="770"/>
        <v>0</v>
      </c>
      <c r="AS114" s="4402"/>
      <c r="AT114" s="4402"/>
      <c r="AU114" s="4420">
        <f t="shared" si="772"/>
        <v>0</v>
      </c>
      <c r="AV114" s="4402"/>
      <c r="AW114" s="4402"/>
      <c r="AX114" s="4420">
        <f t="shared" si="774"/>
        <v>0</v>
      </c>
      <c r="AY114" s="4402"/>
      <c r="AZ114" s="4402"/>
      <c r="BA114" s="4420">
        <f t="shared" si="865"/>
        <v>0</v>
      </c>
      <c r="BB114" s="4420">
        <f t="shared" si="866"/>
        <v>0</v>
      </c>
      <c r="BC114" s="4420">
        <f t="shared" si="866"/>
        <v>0</v>
      </c>
      <c r="BD114" s="4371">
        <f t="shared" si="686"/>
        <v>1564.7397000000001</v>
      </c>
      <c r="BE114" s="4371">
        <f t="shared" si="687"/>
        <v>1564.7397000000001</v>
      </c>
      <c r="BF114" s="4371">
        <f t="shared" si="687"/>
        <v>0</v>
      </c>
      <c r="BG114" s="4444">
        <f t="shared" si="867"/>
        <v>0</v>
      </c>
      <c r="BH114" s="4444">
        <f t="shared" si="777"/>
        <v>0</v>
      </c>
      <c r="BI114" s="4444">
        <f t="shared" si="777"/>
        <v>0</v>
      </c>
      <c r="BJ114" s="4444">
        <f t="shared" si="732"/>
        <v>-1564.7397000000001</v>
      </c>
      <c r="BK114" s="4444">
        <f t="shared" si="732"/>
        <v>-1564.7397000000001</v>
      </c>
      <c r="BL114" s="4444">
        <f t="shared" si="732"/>
        <v>0</v>
      </c>
      <c r="BM114" s="4391">
        <f t="shared" si="885"/>
        <v>521.57990000000007</v>
      </c>
      <c r="BN114" s="4391">
        <f t="shared" si="886"/>
        <v>521.57990000000007</v>
      </c>
      <c r="BO114" s="4391">
        <f t="shared" si="887"/>
        <v>0</v>
      </c>
      <c r="BP114" s="4420">
        <f t="shared" si="779"/>
        <v>0</v>
      </c>
      <c r="BQ114" s="4402"/>
      <c r="BR114" s="4402"/>
      <c r="BS114" s="4420">
        <f t="shared" si="781"/>
        <v>0</v>
      </c>
      <c r="BT114" s="4402"/>
      <c r="BU114" s="4402"/>
      <c r="BV114" s="4420">
        <f t="shared" si="783"/>
        <v>0</v>
      </c>
      <c r="BW114" s="4402"/>
      <c r="BX114" s="4402"/>
      <c r="BY114" s="4420">
        <f t="shared" si="872"/>
        <v>0</v>
      </c>
      <c r="BZ114" s="4420">
        <f t="shared" si="873"/>
        <v>0</v>
      </c>
      <c r="CA114" s="4420">
        <f t="shared" si="873"/>
        <v>0</v>
      </c>
      <c r="CB114" s="4371">
        <f t="shared" si="616"/>
        <v>2086.3196000000003</v>
      </c>
      <c r="CC114" s="4449">
        <f>SUM(стоки!EK46)</f>
        <v>2086.3196000000003</v>
      </c>
      <c r="CD114" s="4449">
        <f>SUM(стоки!EL46)</f>
        <v>0</v>
      </c>
      <c r="CE114" s="4444">
        <f t="shared" si="874"/>
        <v>0</v>
      </c>
      <c r="CF114" s="4444">
        <f t="shared" si="786"/>
        <v>0</v>
      </c>
      <c r="CG114" s="4444">
        <f t="shared" si="786"/>
        <v>0</v>
      </c>
      <c r="CH114" s="4444">
        <f t="shared" si="875"/>
        <v>-2086.3196000000003</v>
      </c>
      <c r="CI114" s="4444">
        <f t="shared" si="875"/>
        <v>-2086.3196000000003</v>
      </c>
      <c r="CJ114" s="4444">
        <f t="shared" si="875"/>
        <v>0</v>
      </c>
      <c r="CK114" s="2774"/>
      <c r="CL114" s="3576">
        <f t="shared" si="615"/>
        <v>2086.3196000000003</v>
      </c>
      <c r="CM114" s="2774"/>
    </row>
    <row r="115" spans="1:92" ht="18.75" customHeight="1" x14ac:dyDescent="0.3">
      <c r="A115" s="4418" t="s">
        <v>3706</v>
      </c>
      <c r="B115" s="4377">
        <f t="shared" si="876"/>
        <v>3100.8452169399848</v>
      </c>
      <c r="C115" s="4414">
        <f>SUM(C116:C121)</f>
        <v>3078.8982169399846</v>
      </c>
      <c r="D115" s="4414">
        <f>SUM(D116:D121)</f>
        <v>21.947000000000003</v>
      </c>
      <c r="E115" s="4415">
        <f t="shared" si="888"/>
        <v>1424.5455899999999</v>
      </c>
      <c r="F115" s="4414">
        <f t="shared" ref="F115:G115" si="889">SUM(F116:F121)</f>
        <v>1421.04</v>
      </c>
      <c r="G115" s="4414">
        <f t="shared" si="889"/>
        <v>3.5055899999999998</v>
      </c>
      <c r="H115" s="4415">
        <f t="shared" si="754"/>
        <v>1431.4598700000001</v>
      </c>
      <c r="I115" s="4414">
        <f t="shared" ref="I115:J115" si="890">SUM(I116:I121)</f>
        <v>1427.8548300000002</v>
      </c>
      <c r="J115" s="4414">
        <f t="shared" si="890"/>
        <v>3.6050399999999998</v>
      </c>
      <c r="K115" s="4415">
        <f t="shared" si="756"/>
        <v>1579.8714100000002</v>
      </c>
      <c r="L115" s="4414">
        <f t="shared" ref="L115:M115" si="891">SUM(L116:L121)</f>
        <v>1575.1960000000001</v>
      </c>
      <c r="M115" s="4414">
        <f t="shared" si="891"/>
        <v>4.6754100000000003</v>
      </c>
      <c r="N115" s="4415">
        <f t="shared" si="855"/>
        <v>4435.8768700000001</v>
      </c>
      <c r="O115" s="4415">
        <f t="shared" si="759"/>
        <v>4424.0908300000001</v>
      </c>
      <c r="P115" s="4415">
        <f t="shared" si="759"/>
        <v>11.78604</v>
      </c>
      <c r="Q115" s="4377">
        <f t="shared" si="788"/>
        <v>3100.8452169399848</v>
      </c>
      <c r="R115" s="4414">
        <f t="shared" ref="R115:S115" si="892">SUM(R116:R121)</f>
        <v>3078.8982169399846</v>
      </c>
      <c r="S115" s="4414">
        <f t="shared" si="892"/>
        <v>21.947000000000003</v>
      </c>
      <c r="T115" s="4415">
        <f t="shared" si="761"/>
        <v>1843.58959</v>
      </c>
      <c r="U115" s="4414">
        <f>SUM(U116:U121)</f>
        <v>1840.01181</v>
      </c>
      <c r="V115" s="4414">
        <f t="shared" ref="V115" si="893">SUM(V116:V121)</f>
        <v>3.5777800000000006</v>
      </c>
      <c r="W115" s="4415">
        <f t="shared" si="763"/>
        <v>1522.1466200000002</v>
      </c>
      <c r="X115" s="4451">
        <f>SUM(X116:X121)</f>
        <v>1518.3390000000002</v>
      </c>
      <c r="Y115" s="4414">
        <f t="shared" ref="Y115" si="894">SUM(Y116:Y121)</f>
        <v>3.80762</v>
      </c>
      <c r="Z115" s="4415">
        <f t="shared" si="765"/>
        <v>1526.30601</v>
      </c>
      <c r="AA115" s="4414">
        <f t="shared" ref="AA115:AB115" si="895">SUM(AA116:AA121)</f>
        <v>1521.5868499999999</v>
      </c>
      <c r="AB115" s="4414">
        <f t="shared" si="895"/>
        <v>4.7191600000000005</v>
      </c>
      <c r="AC115" s="4415">
        <f t="shared" si="880"/>
        <v>4892.0422199999994</v>
      </c>
      <c r="AD115" s="4415">
        <f t="shared" si="881"/>
        <v>4879.9376599999996</v>
      </c>
      <c r="AE115" s="4415">
        <f t="shared" si="881"/>
        <v>12.104560000000001</v>
      </c>
      <c r="AF115" s="4379">
        <f t="shared" si="796"/>
        <v>6201.6904338799695</v>
      </c>
      <c r="AG115" s="4379">
        <f t="shared" si="845"/>
        <v>6157.7964338799693</v>
      </c>
      <c r="AH115" s="4379">
        <f t="shared" si="845"/>
        <v>43.894000000000005</v>
      </c>
      <c r="AI115" s="4441">
        <f t="shared" si="860"/>
        <v>9327.9190899999994</v>
      </c>
      <c r="AJ115" s="4441">
        <f t="shared" si="768"/>
        <v>9304.0284900000006</v>
      </c>
      <c r="AK115" s="4441">
        <f t="shared" si="768"/>
        <v>23.890599999999999</v>
      </c>
      <c r="AL115" s="4441">
        <f t="shared" ref="AL115:AN128" si="896">SUM(AI115-AF115)</f>
        <v>3126.2286561200299</v>
      </c>
      <c r="AM115" s="4441">
        <f t="shared" si="896"/>
        <v>3146.2320561200313</v>
      </c>
      <c r="AN115" s="4441">
        <f t="shared" si="896"/>
        <v>-20.003400000000006</v>
      </c>
      <c r="AO115" s="4377">
        <f t="shared" si="882"/>
        <v>3100.8452169399848</v>
      </c>
      <c r="AP115" s="4414">
        <f t="shared" ref="AP115:AQ115" si="897">SUM(AP116:AP121)</f>
        <v>3078.8982169399846</v>
      </c>
      <c r="AQ115" s="4414">
        <f t="shared" si="897"/>
        <v>21.947000000000003</v>
      </c>
      <c r="AR115" s="4415">
        <f t="shared" si="770"/>
        <v>1389.5819899999999</v>
      </c>
      <c r="AS115" s="4414">
        <f t="shared" ref="AS115:AT115" si="898">SUM(AS116:AS121)</f>
        <v>1387.3493599999999</v>
      </c>
      <c r="AT115" s="4414">
        <f t="shared" si="898"/>
        <v>2.2326299999999999</v>
      </c>
      <c r="AU115" s="4415">
        <f t="shared" si="772"/>
        <v>0</v>
      </c>
      <c r="AV115" s="4415">
        <f t="shared" ref="AV115:AW115" si="899">SUM(AV116:AV121)</f>
        <v>0</v>
      </c>
      <c r="AW115" s="4451">
        <f t="shared" si="899"/>
        <v>0</v>
      </c>
      <c r="AX115" s="4415">
        <f t="shared" si="774"/>
        <v>0</v>
      </c>
      <c r="AY115" s="4415">
        <f t="shared" ref="AY115:AZ115" si="900">SUM(AY116:AY121)</f>
        <v>0</v>
      </c>
      <c r="AZ115" s="4415">
        <f t="shared" si="900"/>
        <v>0</v>
      </c>
      <c r="BA115" s="4415">
        <f t="shared" si="865"/>
        <v>1389.5819899999999</v>
      </c>
      <c r="BB115" s="4415">
        <f t="shared" si="866"/>
        <v>1387.3493599999999</v>
      </c>
      <c r="BC115" s="4415">
        <f t="shared" si="866"/>
        <v>2.2326299999999999</v>
      </c>
      <c r="BD115" s="4379">
        <f t="shared" si="686"/>
        <v>9302.5356508199548</v>
      </c>
      <c r="BE115" s="4379">
        <f t="shared" si="687"/>
        <v>9236.6946508199544</v>
      </c>
      <c r="BF115" s="4379">
        <f t="shared" si="687"/>
        <v>65.841000000000008</v>
      </c>
      <c r="BG115" s="4441">
        <f t="shared" si="867"/>
        <v>10717.50108</v>
      </c>
      <c r="BH115" s="4441">
        <f t="shared" si="777"/>
        <v>10691.377850000001</v>
      </c>
      <c r="BI115" s="4441">
        <f t="shared" si="777"/>
        <v>26.12323</v>
      </c>
      <c r="BJ115" s="4441">
        <f t="shared" ref="BJ115:BL128" si="901">SUM(BG115-BD115)</f>
        <v>1414.9654291800452</v>
      </c>
      <c r="BK115" s="4441">
        <f t="shared" si="901"/>
        <v>1454.6831991800464</v>
      </c>
      <c r="BL115" s="4441">
        <f t="shared" si="901"/>
        <v>-39.717770000000009</v>
      </c>
      <c r="BM115" s="4377">
        <f t="shared" si="885"/>
        <v>3100.8452169399848</v>
      </c>
      <c r="BN115" s="4414">
        <f t="shared" ref="BN115:BO115" si="902">SUM(BN116:BN121)</f>
        <v>3078.8982169399846</v>
      </c>
      <c r="BO115" s="4414">
        <f t="shared" si="902"/>
        <v>21.947000000000003</v>
      </c>
      <c r="BP115" s="4415">
        <f t="shared" si="779"/>
        <v>0</v>
      </c>
      <c r="BQ115" s="4415">
        <f t="shared" ref="BQ115:BR115" si="903">SUM(BQ116:BQ121)</f>
        <v>0</v>
      </c>
      <c r="BR115" s="4414">
        <f t="shared" si="903"/>
        <v>0</v>
      </c>
      <c r="BS115" s="4415">
        <f t="shared" si="781"/>
        <v>0</v>
      </c>
      <c r="BT115" s="4415">
        <f t="shared" ref="BT115:BU115" si="904">SUM(BT116:BT121)</f>
        <v>0</v>
      </c>
      <c r="BU115" s="4415">
        <f t="shared" si="904"/>
        <v>0</v>
      </c>
      <c r="BV115" s="4415">
        <f t="shared" si="783"/>
        <v>0</v>
      </c>
      <c r="BW115" s="4415">
        <f t="shared" ref="BW115:BX115" si="905">SUM(BW116:BW121)</f>
        <v>0</v>
      </c>
      <c r="BX115" s="4415">
        <f t="shared" si="905"/>
        <v>0</v>
      </c>
      <c r="BY115" s="4415">
        <f t="shared" si="872"/>
        <v>0</v>
      </c>
      <c r="BZ115" s="4415">
        <f t="shared" si="873"/>
        <v>0</v>
      </c>
      <c r="CA115" s="4415">
        <f t="shared" si="873"/>
        <v>0</v>
      </c>
      <c r="CB115" s="4379">
        <f t="shared" si="616"/>
        <v>12403.380867759941</v>
      </c>
      <c r="CC115" s="4455">
        <f>SUM(стоки!EK47)</f>
        <v>12315.59286775994</v>
      </c>
      <c r="CD115" s="4455">
        <f>SUM(стоки!EL47)</f>
        <v>87.787999999999997</v>
      </c>
      <c r="CE115" s="4441">
        <f t="shared" si="874"/>
        <v>10717.50108</v>
      </c>
      <c r="CF115" s="4441">
        <f t="shared" si="786"/>
        <v>10691.377850000001</v>
      </c>
      <c r="CG115" s="4441">
        <f t="shared" si="786"/>
        <v>26.12323</v>
      </c>
      <c r="CH115" s="4441">
        <f t="shared" si="875"/>
        <v>-1685.8797877599409</v>
      </c>
      <c r="CI115" s="4441">
        <f t="shared" si="875"/>
        <v>-1624.2150177599397</v>
      </c>
      <c r="CJ115" s="4441">
        <f t="shared" si="875"/>
        <v>-61.664769999999997</v>
      </c>
      <c r="CK115" s="2780"/>
      <c r="CL115" s="3576">
        <f t="shared" si="615"/>
        <v>12403.380867759939</v>
      </c>
      <c r="CM115" s="2780">
        <f t="shared" ref="CM115:CN115" si="906">SUM(CC116:CC121)</f>
        <v>12315.592867759939</v>
      </c>
      <c r="CN115" s="2780">
        <f t="shared" si="906"/>
        <v>87.788000000000011</v>
      </c>
    </row>
    <row r="116" spans="1:92" ht="18.75" customHeight="1" x14ac:dyDescent="0.3">
      <c r="A116" s="4412" t="s">
        <v>3707</v>
      </c>
      <c r="B116" s="4391">
        <f t="shared" si="876"/>
        <v>1994.5342433185417</v>
      </c>
      <c r="C116" s="4391">
        <f t="shared" ref="C116:C121" si="907">SUM(CC116/4)</f>
        <v>1988.5374933185417</v>
      </c>
      <c r="D116" s="4391">
        <f t="shared" ref="D116:D121" si="908">SUM(CD116/4)</f>
        <v>5.9967499999999996</v>
      </c>
      <c r="E116" s="4420">
        <f t="shared" si="888"/>
        <v>836.08449000000007</v>
      </c>
      <c r="F116" s="4413">
        <v>834.02700000000004</v>
      </c>
      <c r="G116" s="4413">
        <v>2.05749</v>
      </c>
      <c r="H116" s="4420">
        <f t="shared" si="754"/>
        <v>868.45947000000001</v>
      </c>
      <c r="I116" s="4411">
        <v>866.27232000000004</v>
      </c>
      <c r="J116" s="4413">
        <v>2.1871499999999999</v>
      </c>
      <c r="K116" s="4420">
        <f t="shared" si="756"/>
        <v>927.29919999999993</v>
      </c>
      <c r="L116" s="4411">
        <v>924.55499999999995</v>
      </c>
      <c r="M116" s="4413">
        <v>2.7442000000000002</v>
      </c>
      <c r="N116" s="4420">
        <f t="shared" si="855"/>
        <v>2631.8431599999999</v>
      </c>
      <c r="O116" s="4420">
        <f t="shared" si="759"/>
        <v>2624.8543199999999</v>
      </c>
      <c r="P116" s="4420">
        <f t="shared" si="759"/>
        <v>6.9888400000000006</v>
      </c>
      <c r="Q116" s="4391">
        <f t="shared" si="788"/>
        <v>1994.5342433185417</v>
      </c>
      <c r="R116" s="4391">
        <f t="shared" ref="R116:R123" si="909">SUM(C116)</f>
        <v>1988.5374933185417</v>
      </c>
      <c r="S116" s="4391">
        <f t="shared" ref="S116:S123" si="910">SUM(D116)</f>
        <v>5.9967499999999996</v>
      </c>
      <c r="T116" s="4420">
        <f t="shared" si="761"/>
        <v>1166.72325</v>
      </c>
      <c r="U116" s="4411">
        <v>1164.4590000000001</v>
      </c>
      <c r="V116" s="4413">
        <v>2.2642500000000001</v>
      </c>
      <c r="W116" s="4420">
        <f t="shared" si="763"/>
        <v>856.80127000000005</v>
      </c>
      <c r="X116" s="4411">
        <v>854.65800000000002</v>
      </c>
      <c r="Y116" s="4413">
        <v>2.1432699999999998</v>
      </c>
      <c r="Z116" s="4420">
        <f t="shared" si="765"/>
        <v>881.0711</v>
      </c>
      <c r="AA116" s="4411">
        <v>878.34693000000004</v>
      </c>
      <c r="AB116" s="4413">
        <v>2.72417</v>
      </c>
      <c r="AC116" s="4420">
        <f t="shared" si="880"/>
        <v>2904.5956200000005</v>
      </c>
      <c r="AD116" s="4420">
        <f t="shared" si="881"/>
        <v>2897.4639300000003</v>
      </c>
      <c r="AE116" s="4420">
        <f t="shared" si="881"/>
        <v>7.1316899999999999</v>
      </c>
      <c r="AF116" s="4371">
        <f t="shared" si="796"/>
        <v>3989.0684866370834</v>
      </c>
      <c r="AG116" s="4371">
        <f t="shared" si="845"/>
        <v>3977.0749866370834</v>
      </c>
      <c r="AH116" s="4371">
        <f t="shared" si="845"/>
        <v>11.993499999999999</v>
      </c>
      <c r="AI116" s="4444">
        <f t="shared" si="860"/>
        <v>5536.4387800000004</v>
      </c>
      <c r="AJ116" s="4444">
        <f t="shared" si="768"/>
        <v>5522.3182500000003</v>
      </c>
      <c r="AK116" s="4444">
        <f t="shared" si="768"/>
        <v>14.12053</v>
      </c>
      <c r="AL116" s="4444">
        <f t="shared" si="896"/>
        <v>1547.370293362917</v>
      </c>
      <c r="AM116" s="4444">
        <f t="shared" si="896"/>
        <v>1545.2432633629169</v>
      </c>
      <c r="AN116" s="4444">
        <f t="shared" si="896"/>
        <v>2.1270300000000013</v>
      </c>
      <c r="AO116" s="4391">
        <f t="shared" si="882"/>
        <v>1994.5342433185417</v>
      </c>
      <c r="AP116" s="4391">
        <f t="shared" ref="AP116:AQ123" si="911">SUM(CC116-AG116)/2</f>
        <v>1988.5374933185417</v>
      </c>
      <c r="AQ116" s="4391">
        <f t="shared" si="911"/>
        <v>5.9967499999999996</v>
      </c>
      <c r="AR116" s="4420">
        <f t="shared" si="770"/>
        <v>805.53470000000004</v>
      </c>
      <c r="AS116" s="4411">
        <v>804.24045000000001</v>
      </c>
      <c r="AT116" s="4411">
        <v>1.2942499999999999</v>
      </c>
      <c r="AU116" s="4420">
        <f t="shared" si="772"/>
        <v>0</v>
      </c>
      <c r="AV116" s="4411"/>
      <c r="AW116" s="4411"/>
      <c r="AX116" s="4420">
        <f t="shared" si="774"/>
        <v>0</v>
      </c>
      <c r="AY116" s="4411"/>
      <c r="AZ116" s="4411"/>
      <c r="BA116" s="4420">
        <f t="shared" si="865"/>
        <v>805.53470000000004</v>
      </c>
      <c r="BB116" s="4420">
        <f t="shared" si="866"/>
        <v>804.24045000000001</v>
      </c>
      <c r="BC116" s="4420">
        <f t="shared" si="866"/>
        <v>1.2942499999999999</v>
      </c>
      <c r="BD116" s="4371">
        <f t="shared" si="686"/>
        <v>5983.6027299556254</v>
      </c>
      <c r="BE116" s="4371">
        <f t="shared" si="687"/>
        <v>5965.6124799556255</v>
      </c>
      <c r="BF116" s="4371">
        <f t="shared" si="687"/>
        <v>17.99025</v>
      </c>
      <c r="BG116" s="4444">
        <f t="shared" si="867"/>
        <v>6341.9734800000006</v>
      </c>
      <c r="BH116" s="4444">
        <f t="shared" si="777"/>
        <v>6326.5587000000005</v>
      </c>
      <c r="BI116" s="4444">
        <f t="shared" si="777"/>
        <v>15.41478</v>
      </c>
      <c r="BJ116" s="4444">
        <f t="shared" si="901"/>
        <v>358.3707500443752</v>
      </c>
      <c r="BK116" s="4444">
        <f t="shared" si="901"/>
        <v>360.94622004437497</v>
      </c>
      <c r="BL116" s="4444">
        <f t="shared" si="901"/>
        <v>-2.5754699999999993</v>
      </c>
      <c r="BM116" s="4391">
        <f t="shared" ref="BM116:BM123" si="912">SUM(BN116:BO116)</f>
        <v>1994.5342433185417</v>
      </c>
      <c r="BN116" s="4391">
        <f t="shared" ref="BN116:BN125" si="913">SUM(AP116)</f>
        <v>1988.5374933185417</v>
      </c>
      <c r="BO116" s="4391">
        <f t="shared" ref="BO116:BO125" si="914">SUM(AQ116)</f>
        <v>5.9967499999999996</v>
      </c>
      <c r="BP116" s="4420">
        <f t="shared" si="779"/>
        <v>0</v>
      </c>
      <c r="BQ116" s="4411"/>
      <c r="BR116" s="4411"/>
      <c r="BS116" s="4420">
        <f t="shared" si="781"/>
        <v>0</v>
      </c>
      <c r="BT116" s="4411"/>
      <c r="BU116" s="4411"/>
      <c r="BV116" s="4420">
        <f t="shared" si="783"/>
        <v>0</v>
      </c>
      <c r="BW116" s="4411"/>
      <c r="BX116" s="4411"/>
      <c r="BY116" s="4420">
        <f t="shared" si="872"/>
        <v>0</v>
      </c>
      <c r="BZ116" s="4420">
        <f t="shared" si="873"/>
        <v>0</v>
      </c>
      <c r="CA116" s="4420">
        <f t="shared" si="873"/>
        <v>0</v>
      </c>
      <c r="CB116" s="4371">
        <f t="shared" ref="CB116:CB121" si="915">SUM(CC116:CD116)</f>
        <v>7978.1369732741668</v>
      </c>
      <c r="CC116" s="4371">
        <f>SUM('ОХР '!FN10-23.987)</f>
        <v>7954.1499732741668</v>
      </c>
      <c r="CD116" s="4371">
        <v>23.986999999999998</v>
      </c>
      <c r="CE116" s="4444">
        <f t="shared" si="874"/>
        <v>6341.9734800000006</v>
      </c>
      <c r="CF116" s="4444">
        <f t="shared" si="786"/>
        <v>6326.5587000000005</v>
      </c>
      <c r="CG116" s="4444">
        <f t="shared" si="786"/>
        <v>15.41478</v>
      </c>
      <c r="CH116" s="4444">
        <f t="shared" si="875"/>
        <v>-1636.1634932741663</v>
      </c>
      <c r="CI116" s="4444">
        <f t="shared" si="875"/>
        <v>-1627.5912732741663</v>
      </c>
      <c r="CJ116" s="4444">
        <f t="shared" si="875"/>
        <v>-8.572219999999998</v>
      </c>
      <c r="CK116" s="2774"/>
      <c r="CL116" s="3576">
        <f t="shared" si="615"/>
        <v>7978.1369732741668</v>
      </c>
      <c r="CM116" s="2774"/>
    </row>
    <row r="117" spans="1:92" ht="18.75" customHeight="1" x14ac:dyDescent="0.3">
      <c r="A117" s="4412" t="s">
        <v>3708</v>
      </c>
      <c r="B117" s="4391">
        <f t="shared" si="876"/>
        <v>598.36027299556247</v>
      </c>
      <c r="C117" s="4391">
        <f t="shared" si="907"/>
        <v>596.56127299556249</v>
      </c>
      <c r="D117" s="4391">
        <f t="shared" si="908"/>
        <v>1.7989999999999999</v>
      </c>
      <c r="E117" s="4420">
        <f t="shared" si="888"/>
        <v>254.72283999999999</v>
      </c>
      <c r="F117" s="4413">
        <f>1.683+252.413</f>
        <v>254.096</v>
      </c>
      <c r="G117" s="4413">
        <f>0.00415+0.62269</f>
        <v>0.62683999999999995</v>
      </c>
      <c r="H117" s="4420">
        <f t="shared" si="754"/>
        <v>270.47374000000002</v>
      </c>
      <c r="I117" s="4411">
        <f>1.7867+268.00587</f>
        <v>269.79257000000001</v>
      </c>
      <c r="J117" s="4413">
        <f>0.00451+0.67666</f>
        <v>0.68117000000000005</v>
      </c>
      <c r="K117" s="4420">
        <f t="shared" si="756"/>
        <v>280.66157000000004</v>
      </c>
      <c r="L117" s="4411">
        <f>1.853+277.978</f>
        <v>279.83100000000002</v>
      </c>
      <c r="M117" s="4413">
        <f>0.0055+0.82507</f>
        <v>0.83056999999999992</v>
      </c>
      <c r="N117" s="4420">
        <f t="shared" si="855"/>
        <v>805.85815000000014</v>
      </c>
      <c r="O117" s="4420">
        <f t="shared" ref="O117:P127" si="916">SUM(F117+I117+L117)</f>
        <v>803.71957000000009</v>
      </c>
      <c r="P117" s="4420">
        <f t="shared" si="916"/>
        <v>2.1385799999999997</v>
      </c>
      <c r="Q117" s="4391">
        <f t="shared" si="788"/>
        <v>598.36027299556247</v>
      </c>
      <c r="R117" s="4391">
        <f t="shared" si="909"/>
        <v>596.56127299556249</v>
      </c>
      <c r="S117" s="4391">
        <f t="shared" si="910"/>
        <v>1.7989999999999999</v>
      </c>
      <c r="T117" s="4420">
        <f t="shared" si="761"/>
        <v>347.70818999999995</v>
      </c>
      <c r="U117" s="4411">
        <v>347.03339999999997</v>
      </c>
      <c r="V117" s="4413">
        <v>0.67479</v>
      </c>
      <c r="W117" s="4420">
        <f t="shared" si="763"/>
        <v>255.09286</v>
      </c>
      <c r="X117" s="4411">
        <v>254.45400000000001</v>
      </c>
      <c r="Y117" s="4413">
        <v>0.63885999999999998</v>
      </c>
      <c r="Z117" s="4420">
        <f t="shared" si="765"/>
        <v>266.11548999999997</v>
      </c>
      <c r="AA117" s="4411">
        <f>1.72663+263.56606</f>
        <v>265.29268999999999</v>
      </c>
      <c r="AB117" s="4413">
        <f>0.00536+0.81744</f>
        <v>0.82280000000000009</v>
      </c>
      <c r="AC117" s="4420">
        <f t="shared" si="880"/>
        <v>868.91653999999994</v>
      </c>
      <c r="AD117" s="4420">
        <f t="shared" si="881"/>
        <v>866.78008999999997</v>
      </c>
      <c r="AE117" s="4420">
        <f t="shared" si="881"/>
        <v>2.13645</v>
      </c>
      <c r="AF117" s="4371">
        <f t="shared" si="796"/>
        <v>1196.7205459911249</v>
      </c>
      <c r="AG117" s="4371">
        <f t="shared" si="845"/>
        <v>1193.122545991125</v>
      </c>
      <c r="AH117" s="4371">
        <f t="shared" si="845"/>
        <v>3.5979999999999999</v>
      </c>
      <c r="AI117" s="4444">
        <f t="shared" si="860"/>
        <v>1674.7746900000002</v>
      </c>
      <c r="AJ117" s="4444">
        <f t="shared" si="860"/>
        <v>1670.4996599999999</v>
      </c>
      <c r="AK117" s="4444">
        <f t="shared" si="860"/>
        <v>4.2750299999999992</v>
      </c>
      <c r="AL117" s="4444">
        <f t="shared" si="896"/>
        <v>478.05414400887526</v>
      </c>
      <c r="AM117" s="4444">
        <f t="shared" si="896"/>
        <v>477.37711400887497</v>
      </c>
      <c r="AN117" s="4444">
        <f t="shared" si="896"/>
        <v>0.67702999999999935</v>
      </c>
      <c r="AO117" s="4391">
        <f t="shared" si="882"/>
        <v>598.36027299556247</v>
      </c>
      <c r="AP117" s="4391">
        <f t="shared" si="911"/>
        <v>596.56127299556249</v>
      </c>
      <c r="AQ117" s="4391">
        <f t="shared" si="911"/>
        <v>1.7989999999999999</v>
      </c>
      <c r="AR117" s="4420">
        <f t="shared" si="770"/>
        <v>241.50426000000002</v>
      </c>
      <c r="AS117" s="4411">
        <v>241.11624</v>
      </c>
      <c r="AT117" s="4411">
        <v>0.38801999999999998</v>
      </c>
      <c r="AU117" s="4420">
        <f t="shared" si="772"/>
        <v>0</v>
      </c>
      <c r="AV117" s="4411"/>
      <c r="AW117" s="4411"/>
      <c r="AX117" s="4420">
        <f t="shared" si="774"/>
        <v>0</v>
      </c>
      <c r="AY117" s="4411"/>
      <c r="AZ117" s="4411"/>
      <c r="BA117" s="4420">
        <f t="shared" si="865"/>
        <v>241.50426000000002</v>
      </c>
      <c r="BB117" s="4420">
        <f t="shared" si="866"/>
        <v>241.11624</v>
      </c>
      <c r="BC117" s="4420">
        <f t="shared" si="866"/>
        <v>0.38801999999999998</v>
      </c>
      <c r="BD117" s="4371">
        <f t="shared" si="686"/>
        <v>1795.0808189866875</v>
      </c>
      <c r="BE117" s="4371">
        <f t="shared" si="687"/>
        <v>1789.6838189866876</v>
      </c>
      <c r="BF117" s="4371">
        <f t="shared" si="687"/>
        <v>5.3970000000000002</v>
      </c>
      <c r="BG117" s="4444">
        <f t="shared" si="867"/>
        <v>1916.2789500000001</v>
      </c>
      <c r="BH117" s="4444">
        <f t="shared" si="867"/>
        <v>1911.6159</v>
      </c>
      <c r="BI117" s="4444">
        <f t="shared" si="867"/>
        <v>4.6630499999999993</v>
      </c>
      <c r="BJ117" s="4444">
        <f t="shared" si="901"/>
        <v>121.1981310133126</v>
      </c>
      <c r="BK117" s="4444">
        <f t="shared" si="901"/>
        <v>121.93208101331243</v>
      </c>
      <c r="BL117" s="4444">
        <f t="shared" si="901"/>
        <v>-0.73395000000000099</v>
      </c>
      <c r="BM117" s="4391">
        <f t="shared" si="912"/>
        <v>598.36027299556247</v>
      </c>
      <c r="BN117" s="4391">
        <f t="shared" si="913"/>
        <v>596.56127299556249</v>
      </c>
      <c r="BO117" s="4391">
        <f t="shared" si="914"/>
        <v>1.7989999999999999</v>
      </c>
      <c r="BP117" s="4420">
        <f t="shared" si="779"/>
        <v>0</v>
      </c>
      <c r="BQ117" s="4411"/>
      <c r="BR117" s="4411"/>
      <c r="BS117" s="4420">
        <f t="shared" si="781"/>
        <v>0</v>
      </c>
      <c r="BT117" s="4411"/>
      <c r="BU117" s="4411"/>
      <c r="BV117" s="4420">
        <f t="shared" si="783"/>
        <v>0</v>
      </c>
      <c r="BW117" s="4411"/>
      <c r="BX117" s="4411"/>
      <c r="BY117" s="4420">
        <f t="shared" si="872"/>
        <v>0</v>
      </c>
      <c r="BZ117" s="4420">
        <f t="shared" si="873"/>
        <v>0</v>
      </c>
      <c r="CA117" s="4420">
        <f t="shared" si="873"/>
        <v>0</v>
      </c>
      <c r="CB117" s="4371">
        <f t="shared" si="915"/>
        <v>2393.4410919822499</v>
      </c>
      <c r="CC117" s="4371">
        <f>SUM('ОХР '!FN11-7.196)</f>
        <v>2386.24509198225</v>
      </c>
      <c r="CD117" s="4371">
        <v>7.1959999999999997</v>
      </c>
      <c r="CE117" s="4444">
        <f t="shared" si="874"/>
        <v>1916.2789500000001</v>
      </c>
      <c r="CF117" s="4444">
        <f t="shared" si="874"/>
        <v>1911.6159</v>
      </c>
      <c r="CG117" s="4444">
        <f t="shared" si="874"/>
        <v>4.6630499999999993</v>
      </c>
      <c r="CH117" s="4444">
        <f t="shared" si="875"/>
        <v>-477.16214198224975</v>
      </c>
      <c r="CI117" s="4444">
        <f t="shared" si="875"/>
        <v>-474.62919198224995</v>
      </c>
      <c r="CJ117" s="4444">
        <f t="shared" si="875"/>
        <v>-2.5329500000000005</v>
      </c>
      <c r="CK117" s="2774"/>
      <c r="CL117" s="3576">
        <f t="shared" si="615"/>
        <v>2393.4410919822499</v>
      </c>
      <c r="CM117" s="2774"/>
    </row>
    <row r="118" spans="1:92" ht="18.75" customHeight="1" x14ac:dyDescent="0.3">
      <c r="A118" s="4412" t="s">
        <v>272</v>
      </c>
      <c r="B118" s="4391">
        <f t="shared" si="876"/>
        <v>3.223227850611778</v>
      </c>
      <c r="C118" s="4391">
        <f t="shared" si="907"/>
        <v>3.1699778506117782</v>
      </c>
      <c r="D118" s="4391">
        <f t="shared" si="908"/>
        <v>5.3249999999999999E-2</v>
      </c>
      <c r="E118" s="4420">
        <f t="shared" si="888"/>
        <v>0</v>
      </c>
      <c r="F118" s="4413">
        <v>0</v>
      </c>
      <c r="G118" s="4413">
        <v>0</v>
      </c>
      <c r="H118" s="4420">
        <f t="shared" si="754"/>
        <v>10.130459999999999</v>
      </c>
      <c r="I118" s="4411">
        <v>10.104939999999999</v>
      </c>
      <c r="J118" s="4413">
        <v>2.5520000000000001E-2</v>
      </c>
      <c r="K118" s="4420">
        <f t="shared" si="756"/>
        <v>4.7711199999999998</v>
      </c>
      <c r="L118" s="4411">
        <v>4.7569999999999997</v>
      </c>
      <c r="M118" s="4413">
        <v>1.4120000000000001E-2</v>
      </c>
      <c r="N118" s="4420">
        <f t="shared" si="855"/>
        <v>14.901579999999999</v>
      </c>
      <c r="O118" s="4420">
        <f t="shared" si="916"/>
        <v>14.861939999999999</v>
      </c>
      <c r="P118" s="4420">
        <f t="shared" si="916"/>
        <v>3.9640000000000002E-2</v>
      </c>
      <c r="Q118" s="4391">
        <f t="shared" si="788"/>
        <v>3.223227850611778</v>
      </c>
      <c r="R118" s="4391">
        <f t="shared" si="909"/>
        <v>3.1699778506117782</v>
      </c>
      <c r="S118" s="4391">
        <f t="shared" si="910"/>
        <v>5.3249999999999999E-2</v>
      </c>
      <c r="T118" s="4420">
        <f t="shared" si="761"/>
        <v>4.2068099999999999</v>
      </c>
      <c r="U118" s="4411">
        <v>4.1986499999999998</v>
      </c>
      <c r="V118" s="4413">
        <v>8.1600000000000006E-3</v>
      </c>
      <c r="W118" s="4420">
        <f t="shared" si="763"/>
        <v>5.4817099999999996</v>
      </c>
      <c r="X118" s="4411">
        <v>5.468</v>
      </c>
      <c r="Y118" s="4413">
        <v>1.371E-2</v>
      </c>
      <c r="Z118" s="4420">
        <f t="shared" si="765"/>
        <v>4.0857700000000001</v>
      </c>
      <c r="AA118" s="4411">
        <v>4.0731400000000004</v>
      </c>
      <c r="AB118" s="4413">
        <v>1.2630000000000001E-2</v>
      </c>
      <c r="AC118" s="4420">
        <f t="shared" si="880"/>
        <v>13.774290000000001</v>
      </c>
      <c r="AD118" s="4420">
        <f t="shared" si="881"/>
        <v>13.739790000000001</v>
      </c>
      <c r="AE118" s="4420">
        <f t="shared" si="881"/>
        <v>3.4500000000000003E-2</v>
      </c>
      <c r="AF118" s="4371">
        <f t="shared" si="796"/>
        <v>6.4464557012235559</v>
      </c>
      <c r="AG118" s="4371">
        <f t="shared" si="845"/>
        <v>6.3399557012235563</v>
      </c>
      <c r="AH118" s="4371">
        <f t="shared" si="845"/>
        <v>0.1065</v>
      </c>
      <c r="AI118" s="4444">
        <f t="shared" si="860"/>
        <v>28.67587</v>
      </c>
      <c r="AJ118" s="4444">
        <f t="shared" si="860"/>
        <v>28.60173</v>
      </c>
      <c r="AK118" s="4444">
        <f t="shared" si="860"/>
        <v>7.4140000000000011E-2</v>
      </c>
      <c r="AL118" s="4444">
        <f t="shared" si="896"/>
        <v>22.229414298776444</v>
      </c>
      <c r="AM118" s="4444">
        <f t="shared" si="896"/>
        <v>22.261774298776444</v>
      </c>
      <c r="AN118" s="4444">
        <f t="shared" si="896"/>
        <v>-3.2359999999999986E-2</v>
      </c>
      <c r="AO118" s="4391">
        <f t="shared" si="882"/>
        <v>3.223227850611778</v>
      </c>
      <c r="AP118" s="4391">
        <f t="shared" si="911"/>
        <v>3.1699778506117782</v>
      </c>
      <c r="AQ118" s="4391">
        <f t="shared" si="911"/>
        <v>5.3249999999999999E-2</v>
      </c>
      <c r="AR118" s="4420">
        <f t="shared" si="770"/>
        <v>5.3123100000000001</v>
      </c>
      <c r="AS118" s="4411">
        <v>5.3037799999999997</v>
      </c>
      <c r="AT118" s="4411">
        <v>8.5299999999999994E-3</v>
      </c>
      <c r="AU118" s="4420">
        <f t="shared" si="772"/>
        <v>0</v>
      </c>
      <c r="AV118" s="4411"/>
      <c r="AW118" s="4411"/>
      <c r="AX118" s="4420">
        <f t="shared" si="774"/>
        <v>0</v>
      </c>
      <c r="AY118" s="4411"/>
      <c r="AZ118" s="4411"/>
      <c r="BA118" s="4420">
        <f t="shared" si="865"/>
        <v>5.3123100000000001</v>
      </c>
      <c r="BB118" s="4420">
        <f t="shared" si="866"/>
        <v>5.3037799999999997</v>
      </c>
      <c r="BC118" s="4420">
        <f t="shared" si="866"/>
        <v>8.5299999999999994E-3</v>
      </c>
      <c r="BD118" s="4371">
        <f t="shared" si="686"/>
        <v>9.6696835518353357</v>
      </c>
      <c r="BE118" s="4371">
        <f t="shared" si="687"/>
        <v>9.509933551835335</v>
      </c>
      <c r="BF118" s="4371">
        <f t="shared" si="687"/>
        <v>0.15975</v>
      </c>
      <c r="BG118" s="4444">
        <f t="shared" si="867"/>
        <v>33.98818</v>
      </c>
      <c r="BH118" s="4444">
        <f t="shared" si="867"/>
        <v>33.90551</v>
      </c>
      <c r="BI118" s="4444">
        <f t="shared" si="867"/>
        <v>8.2670000000000007E-2</v>
      </c>
      <c r="BJ118" s="4444">
        <f t="shared" si="901"/>
        <v>24.318496448164666</v>
      </c>
      <c r="BK118" s="4444">
        <f t="shared" si="901"/>
        <v>24.395576448164665</v>
      </c>
      <c r="BL118" s="4444">
        <f t="shared" si="901"/>
        <v>-7.7079999999999996E-2</v>
      </c>
      <c r="BM118" s="4391">
        <f t="shared" si="912"/>
        <v>3.223227850611778</v>
      </c>
      <c r="BN118" s="4391">
        <f t="shared" si="913"/>
        <v>3.1699778506117782</v>
      </c>
      <c r="BO118" s="4391">
        <f t="shared" si="914"/>
        <v>5.3249999999999999E-2</v>
      </c>
      <c r="BP118" s="4420">
        <f t="shared" si="779"/>
        <v>0</v>
      </c>
      <c r="BQ118" s="4411"/>
      <c r="BR118" s="4411"/>
      <c r="BS118" s="4420">
        <f t="shared" si="781"/>
        <v>0</v>
      </c>
      <c r="BT118" s="4411"/>
      <c r="BU118" s="4411"/>
      <c r="BV118" s="4420">
        <f t="shared" si="783"/>
        <v>0</v>
      </c>
      <c r="BW118" s="4411"/>
      <c r="BX118" s="4411"/>
      <c r="BY118" s="4420">
        <f t="shared" si="872"/>
        <v>0</v>
      </c>
      <c r="BZ118" s="4420">
        <f t="shared" si="873"/>
        <v>0</v>
      </c>
      <c r="CA118" s="4420">
        <f t="shared" si="873"/>
        <v>0</v>
      </c>
      <c r="CB118" s="4371">
        <f t="shared" si="915"/>
        <v>12.892911402447112</v>
      </c>
      <c r="CC118" s="4371">
        <f>SUM('ОХР '!FN21)-0.213</f>
        <v>12.679911402447113</v>
      </c>
      <c r="CD118" s="4371">
        <v>0.21299999999999999</v>
      </c>
      <c r="CE118" s="4444">
        <f t="shared" si="874"/>
        <v>33.98818</v>
      </c>
      <c r="CF118" s="4444">
        <f t="shared" si="874"/>
        <v>33.90551</v>
      </c>
      <c r="CG118" s="4444">
        <f t="shared" si="874"/>
        <v>8.2670000000000007E-2</v>
      </c>
      <c r="CH118" s="4444">
        <f t="shared" si="875"/>
        <v>21.095268597552888</v>
      </c>
      <c r="CI118" s="4444">
        <f t="shared" si="875"/>
        <v>21.225598597552889</v>
      </c>
      <c r="CJ118" s="4444">
        <f t="shared" si="875"/>
        <v>-0.13033</v>
      </c>
      <c r="CK118" s="2774"/>
      <c r="CL118" s="3576">
        <f t="shared" si="615"/>
        <v>12.892911402447112</v>
      </c>
      <c r="CM118" s="2774"/>
    </row>
    <row r="119" spans="1:92" ht="18.75" customHeight="1" x14ac:dyDescent="0.3">
      <c r="A119" s="4412" t="s">
        <v>1543</v>
      </c>
      <c r="B119" s="4391">
        <f t="shared" si="876"/>
        <v>13.381774560723821</v>
      </c>
      <c r="C119" s="4391">
        <f t="shared" si="907"/>
        <v>13.332274560723821</v>
      </c>
      <c r="D119" s="4391">
        <f t="shared" si="908"/>
        <v>4.9500000000000002E-2</v>
      </c>
      <c r="E119" s="4420">
        <f t="shared" si="888"/>
        <v>0</v>
      </c>
      <c r="F119" s="4413">
        <v>0</v>
      </c>
      <c r="G119" s="4413">
        <v>0</v>
      </c>
      <c r="H119" s="4420">
        <f t="shared" si="754"/>
        <v>0</v>
      </c>
      <c r="I119" s="4411">
        <v>0</v>
      </c>
      <c r="J119" s="4413">
        <v>0</v>
      </c>
      <c r="K119" s="4420">
        <f t="shared" si="756"/>
        <v>0</v>
      </c>
      <c r="L119" s="4411">
        <v>0</v>
      </c>
      <c r="M119" s="4413">
        <v>0</v>
      </c>
      <c r="N119" s="4420">
        <f t="shared" si="855"/>
        <v>0</v>
      </c>
      <c r="O119" s="4420">
        <f t="shared" si="916"/>
        <v>0</v>
      </c>
      <c r="P119" s="4420">
        <f t="shared" si="916"/>
        <v>0</v>
      </c>
      <c r="Q119" s="4391">
        <f t="shared" si="788"/>
        <v>13.381774560723821</v>
      </c>
      <c r="R119" s="4391">
        <f t="shared" si="909"/>
        <v>13.332274560723821</v>
      </c>
      <c r="S119" s="4391">
        <f t="shared" si="910"/>
        <v>4.9500000000000002E-2</v>
      </c>
      <c r="T119" s="4420">
        <f t="shared" si="761"/>
        <v>0</v>
      </c>
      <c r="U119" s="4411">
        <v>0</v>
      </c>
      <c r="V119" s="4413">
        <v>0</v>
      </c>
      <c r="W119" s="4420">
        <f t="shared" si="763"/>
        <v>0</v>
      </c>
      <c r="X119" s="4411">
        <v>0</v>
      </c>
      <c r="Y119" s="4413">
        <v>0</v>
      </c>
      <c r="Z119" s="4420">
        <f t="shared" si="765"/>
        <v>0</v>
      </c>
      <c r="AA119" s="4411">
        <v>0</v>
      </c>
      <c r="AB119" s="4413">
        <v>0</v>
      </c>
      <c r="AC119" s="4420">
        <f t="shared" si="880"/>
        <v>0</v>
      </c>
      <c r="AD119" s="4420">
        <f t="shared" si="881"/>
        <v>0</v>
      </c>
      <c r="AE119" s="4420">
        <f t="shared" si="881"/>
        <v>0</v>
      </c>
      <c r="AF119" s="4371">
        <f t="shared" si="796"/>
        <v>26.763549121447642</v>
      </c>
      <c r="AG119" s="4371">
        <f t="shared" si="845"/>
        <v>26.664549121447642</v>
      </c>
      <c r="AH119" s="4371">
        <f t="shared" si="845"/>
        <v>9.9000000000000005E-2</v>
      </c>
      <c r="AI119" s="4444">
        <f t="shared" si="860"/>
        <v>0</v>
      </c>
      <c r="AJ119" s="4444">
        <f t="shared" si="860"/>
        <v>0</v>
      </c>
      <c r="AK119" s="4444">
        <f t="shared" si="860"/>
        <v>0</v>
      </c>
      <c r="AL119" s="4444">
        <f t="shared" si="896"/>
        <v>-26.763549121447642</v>
      </c>
      <c r="AM119" s="4444">
        <f t="shared" si="896"/>
        <v>-26.664549121447642</v>
      </c>
      <c r="AN119" s="4444">
        <f t="shared" si="896"/>
        <v>-9.9000000000000005E-2</v>
      </c>
      <c r="AO119" s="4391">
        <f t="shared" si="882"/>
        <v>13.381774560723821</v>
      </c>
      <c r="AP119" s="4391">
        <f t="shared" si="911"/>
        <v>13.332274560723821</v>
      </c>
      <c r="AQ119" s="4391">
        <f t="shared" si="911"/>
        <v>4.9500000000000002E-2</v>
      </c>
      <c r="AR119" s="4420">
        <f t="shared" si="770"/>
        <v>0</v>
      </c>
      <c r="AS119" s="4411">
        <v>0</v>
      </c>
      <c r="AT119" s="4411">
        <v>0</v>
      </c>
      <c r="AU119" s="4420">
        <f t="shared" si="772"/>
        <v>0</v>
      </c>
      <c r="AV119" s="4411"/>
      <c r="AW119" s="4411"/>
      <c r="AX119" s="4420">
        <f t="shared" si="774"/>
        <v>0</v>
      </c>
      <c r="AY119" s="4411"/>
      <c r="AZ119" s="4413"/>
      <c r="BA119" s="4420">
        <f t="shared" si="865"/>
        <v>0</v>
      </c>
      <c r="BB119" s="4420">
        <f t="shared" si="866"/>
        <v>0</v>
      </c>
      <c r="BC119" s="4420">
        <f t="shared" si="866"/>
        <v>0</v>
      </c>
      <c r="BD119" s="4371">
        <f t="shared" si="686"/>
        <v>40.145323682171465</v>
      </c>
      <c r="BE119" s="4371">
        <f t="shared" si="687"/>
        <v>39.996823682171467</v>
      </c>
      <c r="BF119" s="4371">
        <f t="shared" si="687"/>
        <v>0.14850000000000002</v>
      </c>
      <c r="BG119" s="4444">
        <f t="shared" si="867"/>
        <v>0</v>
      </c>
      <c r="BH119" s="4444">
        <f t="shared" si="867"/>
        <v>0</v>
      </c>
      <c r="BI119" s="4444">
        <f t="shared" si="867"/>
        <v>0</v>
      </c>
      <c r="BJ119" s="4444">
        <f t="shared" si="901"/>
        <v>-40.145323682171465</v>
      </c>
      <c r="BK119" s="4444">
        <f t="shared" si="901"/>
        <v>-39.996823682171467</v>
      </c>
      <c r="BL119" s="4444">
        <f t="shared" si="901"/>
        <v>-0.14850000000000002</v>
      </c>
      <c r="BM119" s="4391">
        <f t="shared" si="912"/>
        <v>13.381774560723821</v>
      </c>
      <c r="BN119" s="4391">
        <f t="shared" si="913"/>
        <v>13.332274560723821</v>
      </c>
      <c r="BO119" s="4391">
        <f t="shared" si="914"/>
        <v>4.9500000000000002E-2</v>
      </c>
      <c r="BP119" s="4420">
        <f t="shared" si="779"/>
        <v>0</v>
      </c>
      <c r="BQ119" s="4411"/>
      <c r="BR119" s="4411"/>
      <c r="BS119" s="4420">
        <f t="shared" si="781"/>
        <v>0</v>
      </c>
      <c r="BT119" s="4411"/>
      <c r="BU119" s="4411"/>
      <c r="BV119" s="4420">
        <f t="shared" si="783"/>
        <v>0</v>
      </c>
      <c r="BW119" s="4411"/>
      <c r="BX119" s="4411"/>
      <c r="BY119" s="4420">
        <f t="shared" si="872"/>
        <v>0</v>
      </c>
      <c r="BZ119" s="4420">
        <f t="shared" si="873"/>
        <v>0</v>
      </c>
      <c r="CA119" s="4420">
        <f t="shared" si="873"/>
        <v>0</v>
      </c>
      <c r="CB119" s="4371">
        <f t="shared" si="915"/>
        <v>53.527098242895285</v>
      </c>
      <c r="CC119" s="4371">
        <f>SUM('ОХР '!FN17)-0.198</f>
        <v>53.329098242895284</v>
      </c>
      <c r="CD119" s="4371">
        <v>0.19800000000000001</v>
      </c>
      <c r="CE119" s="4444">
        <f t="shared" si="874"/>
        <v>0</v>
      </c>
      <c r="CF119" s="4444">
        <f t="shared" si="874"/>
        <v>0</v>
      </c>
      <c r="CG119" s="4444">
        <f t="shared" si="874"/>
        <v>0</v>
      </c>
      <c r="CH119" s="4444">
        <f t="shared" si="875"/>
        <v>-53.527098242895285</v>
      </c>
      <c r="CI119" s="4444">
        <f t="shared" si="875"/>
        <v>-53.329098242895284</v>
      </c>
      <c r="CJ119" s="4444">
        <f t="shared" si="875"/>
        <v>-0.19800000000000001</v>
      </c>
      <c r="CK119" s="2774"/>
      <c r="CL119" s="3576">
        <f t="shared" si="615"/>
        <v>53.527098242895285</v>
      </c>
      <c r="CM119" s="2774"/>
    </row>
    <row r="120" spans="1:92" ht="18.75" customHeight="1" x14ac:dyDescent="0.3">
      <c r="A120" s="4412" t="s">
        <v>273</v>
      </c>
      <c r="B120" s="4391">
        <f t="shared" si="876"/>
        <v>15.807406487149116</v>
      </c>
      <c r="C120" s="4391">
        <f t="shared" si="907"/>
        <v>15.765156487149117</v>
      </c>
      <c r="D120" s="4391">
        <f t="shared" si="908"/>
        <v>4.2250000000000003E-2</v>
      </c>
      <c r="E120" s="4420">
        <f t="shared" si="888"/>
        <v>2.0329999999999999</v>
      </c>
      <c r="F120" s="4413">
        <v>2.028</v>
      </c>
      <c r="G120" s="4413">
        <v>5.0000000000000001E-3</v>
      </c>
      <c r="H120" s="4420">
        <f t="shared" si="754"/>
        <v>2.1257000000000001</v>
      </c>
      <c r="I120" s="4411">
        <v>2.1257000000000001</v>
      </c>
      <c r="J120" s="4413">
        <v>0</v>
      </c>
      <c r="K120" s="4420">
        <f t="shared" si="756"/>
        <v>2.0691200000000003</v>
      </c>
      <c r="L120" s="4411">
        <v>2.0630000000000002</v>
      </c>
      <c r="M120" s="4413">
        <v>6.1199999999999996E-3</v>
      </c>
      <c r="N120" s="4420">
        <f t="shared" si="855"/>
        <v>6.2278200000000012</v>
      </c>
      <c r="O120" s="4420">
        <f t="shared" si="916"/>
        <v>6.2167000000000012</v>
      </c>
      <c r="P120" s="4420">
        <f t="shared" si="916"/>
        <v>1.112E-2</v>
      </c>
      <c r="Q120" s="4391">
        <f t="shared" si="788"/>
        <v>15.807406487149116</v>
      </c>
      <c r="R120" s="4391">
        <f t="shared" si="909"/>
        <v>15.765156487149117</v>
      </c>
      <c r="S120" s="4391">
        <f t="shared" si="910"/>
        <v>4.2250000000000003E-2</v>
      </c>
      <c r="T120" s="4420">
        <f t="shared" si="761"/>
        <v>1.9377599999999999</v>
      </c>
      <c r="U120" s="4411">
        <v>1.9339999999999999</v>
      </c>
      <c r="V120" s="4413">
        <v>3.7599999999999999E-3</v>
      </c>
      <c r="W120" s="4420">
        <f t="shared" si="763"/>
        <v>2.1173000000000002</v>
      </c>
      <c r="X120" s="4411">
        <v>2.1120000000000001</v>
      </c>
      <c r="Y120" s="4413">
        <v>5.3E-3</v>
      </c>
      <c r="Z120" s="4420">
        <f t="shared" si="765"/>
        <v>5.0655099999999997</v>
      </c>
      <c r="AA120" s="4411">
        <v>5.0498500000000002</v>
      </c>
      <c r="AB120" s="4413">
        <v>1.566E-2</v>
      </c>
      <c r="AC120" s="4420">
        <f t="shared" si="880"/>
        <v>9.1205700000000007</v>
      </c>
      <c r="AD120" s="4420">
        <f t="shared" si="881"/>
        <v>9.0958500000000004</v>
      </c>
      <c r="AE120" s="4420">
        <f t="shared" si="881"/>
        <v>2.4719999999999999E-2</v>
      </c>
      <c r="AF120" s="4371">
        <f t="shared" si="796"/>
        <v>31.614812974298232</v>
      </c>
      <c r="AG120" s="4371">
        <f t="shared" si="845"/>
        <v>31.530312974298234</v>
      </c>
      <c r="AH120" s="4371">
        <f t="shared" si="845"/>
        <v>8.4500000000000006E-2</v>
      </c>
      <c r="AI120" s="4444">
        <f t="shared" si="860"/>
        <v>15.348390000000002</v>
      </c>
      <c r="AJ120" s="4444">
        <f t="shared" si="860"/>
        <v>15.312550000000002</v>
      </c>
      <c r="AK120" s="4444">
        <f t="shared" si="860"/>
        <v>3.5839999999999997E-2</v>
      </c>
      <c r="AL120" s="4444">
        <f t="shared" si="896"/>
        <v>-16.26642297429823</v>
      </c>
      <c r="AM120" s="4444">
        <f t="shared" si="896"/>
        <v>-16.217762974298232</v>
      </c>
      <c r="AN120" s="4444">
        <f t="shared" si="896"/>
        <v>-4.8660000000000009E-2</v>
      </c>
      <c r="AO120" s="4391">
        <f t="shared" si="882"/>
        <v>15.807406487149116</v>
      </c>
      <c r="AP120" s="4391">
        <f t="shared" si="911"/>
        <v>15.765156487149117</v>
      </c>
      <c r="AQ120" s="4391">
        <f t="shared" si="911"/>
        <v>4.2250000000000003E-2</v>
      </c>
      <c r="AR120" s="4420">
        <f t="shared" si="770"/>
        <v>5.22628</v>
      </c>
      <c r="AS120" s="4411">
        <v>5.2178899999999997</v>
      </c>
      <c r="AT120" s="4411">
        <v>8.3899999999999999E-3</v>
      </c>
      <c r="AU120" s="4420">
        <f t="shared" si="772"/>
        <v>0</v>
      </c>
      <c r="AV120" s="4411"/>
      <c r="AW120" s="4411"/>
      <c r="AX120" s="4420">
        <f t="shared" si="774"/>
        <v>0</v>
      </c>
      <c r="AY120" s="4411"/>
      <c r="AZ120" s="4411"/>
      <c r="BA120" s="4420">
        <f t="shared" si="865"/>
        <v>5.22628</v>
      </c>
      <c r="BB120" s="4420">
        <f t="shared" si="866"/>
        <v>5.2178899999999997</v>
      </c>
      <c r="BC120" s="4420">
        <f t="shared" si="866"/>
        <v>8.3899999999999999E-3</v>
      </c>
      <c r="BD120" s="4371">
        <f t="shared" si="686"/>
        <v>47.422219461447355</v>
      </c>
      <c r="BE120" s="4371">
        <f t="shared" si="687"/>
        <v>47.295469461447354</v>
      </c>
      <c r="BF120" s="4371">
        <f t="shared" si="687"/>
        <v>0.12675</v>
      </c>
      <c r="BG120" s="4444">
        <f t="shared" si="867"/>
        <v>20.574670000000001</v>
      </c>
      <c r="BH120" s="4444">
        <f t="shared" si="867"/>
        <v>20.530440000000002</v>
      </c>
      <c r="BI120" s="4444">
        <f t="shared" si="867"/>
        <v>4.4229999999999998E-2</v>
      </c>
      <c r="BJ120" s="4444">
        <f t="shared" si="901"/>
        <v>-26.847549461447354</v>
      </c>
      <c r="BK120" s="4444">
        <f t="shared" si="901"/>
        <v>-26.765029461447352</v>
      </c>
      <c r="BL120" s="4444">
        <f t="shared" si="901"/>
        <v>-8.252000000000001E-2</v>
      </c>
      <c r="BM120" s="4391">
        <f t="shared" si="912"/>
        <v>15.807406487149116</v>
      </c>
      <c r="BN120" s="4391">
        <f t="shared" si="913"/>
        <v>15.765156487149117</v>
      </c>
      <c r="BO120" s="4391">
        <f t="shared" si="914"/>
        <v>4.2250000000000003E-2</v>
      </c>
      <c r="BP120" s="4420">
        <f t="shared" si="779"/>
        <v>0</v>
      </c>
      <c r="BQ120" s="4411"/>
      <c r="BR120" s="4411"/>
      <c r="BS120" s="4420">
        <f t="shared" si="781"/>
        <v>0</v>
      </c>
      <c r="BT120" s="4411"/>
      <c r="BU120" s="4411"/>
      <c r="BV120" s="4420">
        <f t="shared" si="783"/>
        <v>0</v>
      </c>
      <c r="BW120" s="4411"/>
      <c r="BX120" s="4411"/>
      <c r="BY120" s="4420">
        <f t="shared" si="872"/>
        <v>0</v>
      </c>
      <c r="BZ120" s="4420">
        <f t="shared" si="873"/>
        <v>0</v>
      </c>
      <c r="CA120" s="4420">
        <f t="shared" si="873"/>
        <v>0</v>
      </c>
      <c r="CB120" s="4371">
        <f t="shared" si="915"/>
        <v>63.229625948596464</v>
      </c>
      <c r="CC120" s="4371">
        <f>SUM('ОХР '!FN24)-0.169</f>
        <v>63.060625948596467</v>
      </c>
      <c r="CD120" s="4371">
        <v>0.16900000000000001</v>
      </c>
      <c r="CE120" s="4444">
        <f t="shared" si="874"/>
        <v>20.574670000000001</v>
      </c>
      <c r="CF120" s="4444">
        <f t="shared" si="874"/>
        <v>20.530440000000002</v>
      </c>
      <c r="CG120" s="4444">
        <f t="shared" si="874"/>
        <v>4.4229999999999998E-2</v>
      </c>
      <c r="CH120" s="4444">
        <f t="shared" si="875"/>
        <v>-42.654955948596466</v>
      </c>
      <c r="CI120" s="4444">
        <f t="shared" si="875"/>
        <v>-42.530185948596468</v>
      </c>
      <c r="CJ120" s="4444">
        <f t="shared" si="875"/>
        <v>-0.12477000000000002</v>
      </c>
      <c r="CK120" s="2774"/>
      <c r="CL120" s="3576">
        <f t="shared" si="615"/>
        <v>63.229625948596464</v>
      </c>
      <c r="CM120" s="2774"/>
    </row>
    <row r="121" spans="1:92" ht="18.75" customHeight="1" x14ac:dyDescent="0.3">
      <c r="A121" s="4412" t="s">
        <v>3709</v>
      </c>
      <c r="B121" s="4391">
        <f t="shared" si="876"/>
        <v>475.53829172739626</v>
      </c>
      <c r="C121" s="4391">
        <f t="shared" si="907"/>
        <v>461.53204172739623</v>
      </c>
      <c r="D121" s="4391">
        <f t="shared" si="908"/>
        <v>14.006250000000001</v>
      </c>
      <c r="E121" s="4420">
        <f t="shared" si="888"/>
        <v>331.70526000000001</v>
      </c>
      <c r="F121" s="4413">
        <v>330.88900000000001</v>
      </c>
      <c r="G121" s="4413">
        <v>0.81625999999999999</v>
      </c>
      <c r="H121" s="4420">
        <f t="shared" si="754"/>
        <v>280.27050000000003</v>
      </c>
      <c r="I121" s="4890">
        <v>279.55930000000001</v>
      </c>
      <c r="J121" s="4413">
        <v>0.71120000000000005</v>
      </c>
      <c r="K121" s="4420">
        <f t="shared" si="756"/>
        <v>365.07040000000001</v>
      </c>
      <c r="L121" s="4411">
        <v>363.99</v>
      </c>
      <c r="M121" s="4413">
        <v>1.0804</v>
      </c>
      <c r="N121" s="4420">
        <f t="shared" si="855"/>
        <v>977.04615999999999</v>
      </c>
      <c r="O121" s="4420">
        <f t="shared" si="916"/>
        <v>974.43830000000003</v>
      </c>
      <c r="P121" s="4420">
        <f t="shared" si="916"/>
        <v>2.6078600000000001</v>
      </c>
      <c r="Q121" s="4391">
        <f t="shared" si="788"/>
        <v>475.53829172739626</v>
      </c>
      <c r="R121" s="4391">
        <f t="shared" si="909"/>
        <v>461.53204172739623</v>
      </c>
      <c r="S121" s="4391">
        <f t="shared" si="910"/>
        <v>14.006250000000001</v>
      </c>
      <c r="T121" s="4420">
        <f t="shared" si="761"/>
        <v>323.01357999999999</v>
      </c>
      <c r="U121" s="4411">
        <v>322.38675999999998</v>
      </c>
      <c r="V121" s="4413">
        <v>0.62682000000000004</v>
      </c>
      <c r="W121" s="4420">
        <f t="shared" si="763"/>
        <v>402.65348</v>
      </c>
      <c r="X121" s="4411">
        <v>401.64699999999999</v>
      </c>
      <c r="Y121" s="4413">
        <v>1.00648</v>
      </c>
      <c r="Z121" s="4420">
        <f t="shared" si="765"/>
        <v>369.96813999999995</v>
      </c>
      <c r="AA121" s="4411">
        <v>368.82423999999997</v>
      </c>
      <c r="AB121" s="4413">
        <v>1.1438999999999999</v>
      </c>
      <c r="AC121" s="4420">
        <f t="shared" si="880"/>
        <v>1095.6351999999999</v>
      </c>
      <c r="AD121" s="4420">
        <f t="shared" si="881"/>
        <v>1092.8579999999999</v>
      </c>
      <c r="AE121" s="4420">
        <f t="shared" si="881"/>
        <v>2.7772000000000001</v>
      </c>
      <c r="AF121" s="4371">
        <f t="shared" si="796"/>
        <v>951.07658345479251</v>
      </c>
      <c r="AG121" s="4371">
        <f t="shared" si="845"/>
        <v>923.06408345479247</v>
      </c>
      <c r="AH121" s="4371">
        <f t="shared" si="845"/>
        <v>28.012500000000003</v>
      </c>
      <c r="AI121" s="4444">
        <f t="shared" si="860"/>
        <v>2072.68136</v>
      </c>
      <c r="AJ121" s="4444">
        <f t="shared" si="860"/>
        <v>2067.2963</v>
      </c>
      <c r="AK121" s="4444">
        <f t="shared" si="860"/>
        <v>5.3850600000000002</v>
      </c>
      <c r="AL121" s="4444">
        <f t="shared" si="896"/>
        <v>1121.6047765452076</v>
      </c>
      <c r="AM121" s="4444">
        <f t="shared" si="896"/>
        <v>1144.2322165452074</v>
      </c>
      <c r="AN121" s="4444">
        <f t="shared" si="896"/>
        <v>-22.627440000000004</v>
      </c>
      <c r="AO121" s="4391">
        <f t="shared" ref="AO121" si="917">SUM(AP121:AQ121)</f>
        <v>475.53829172739626</v>
      </c>
      <c r="AP121" s="4391">
        <f t="shared" si="911"/>
        <v>461.53204172739623</v>
      </c>
      <c r="AQ121" s="4391">
        <f t="shared" si="911"/>
        <v>14.006250000000001</v>
      </c>
      <c r="AR121" s="4420">
        <f t="shared" si="770"/>
        <v>332.00443999999999</v>
      </c>
      <c r="AS121" s="4411">
        <v>331.471</v>
      </c>
      <c r="AT121" s="4411">
        <v>0.53344000000000003</v>
      </c>
      <c r="AU121" s="4420">
        <f t="shared" si="772"/>
        <v>0</v>
      </c>
      <c r="AV121" s="4411"/>
      <c r="AW121" s="4411"/>
      <c r="AX121" s="4420">
        <f t="shared" si="774"/>
        <v>0</v>
      </c>
      <c r="AY121" s="4411"/>
      <c r="AZ121" s="4411"/>
      <c r="BA121" s="4420">
        <f t="shared" si="865"/>
        <v>332.00443999999999</v>
      </c>
      <c r="BB121" s="4420">
        <f t="shared" si="866"/>
        <v>331.471</v>
      </c>
      <c r="BC121" s="4420">
        <f t="shared" si="866"/>
        <v>0.53344000000000003</v>
      </c>
      <c r="BD121" s="4371">
        <f t="shared" si="686"/>
        <v>1426.6148751821886</v>
      </c>
      <c r="BE121" s="4371">
        <f t="shared" si="687"/>
        <v>1384.5961251821886</v>
      </c>
      <c r="BF121" s="4371">
        <f t="shared" si="687"/>
        <v>42.018750000000004</v>
      </c>
      <c r="BG121" s="4444">
        <f t="shared" si="867"/>
        <v>2404.6858000000002</v>
      </c>
      <c r="BH121" s="4444">
        <f t="shared" si="867"/>
        <v>2398.7673</v>
      </c>
      <c r="BI121" s="4444">
        <f t="shared" si="867"/>
        <v>5.9184999999999999</v>
      </c>
      <c r="BJ121" s="4444">
        <f t="shared" si="901"/>
        <v>978.0709248178116</v>
      </c>
      <c r="BK121" s="4444">
        <f t="shared" si="901"/>
        <v>1014.1711748178113</v>
      </c>
      <c r="BL121" s="4444">
        <f t="shared" si="901"/>
        <v>-36.100250000000003</v>
      </c>
      <c r="BM121" s="4391">
        <f t="shared" si="912"/>
        <v>475.53829172739626</v>
      </c>
      <c r="BN121" s="4391">
        <f t="shared" si="913"/>
        <v>461.53204172739623</v>
      </c>
      <c r="BO121" s="4391">
        <f t="shared" si="914"/>
        <v>14.006250000000001</v>
      </c>
      <c r="BP121" s="4420">
        <f t="shared" si="779"/>
        <v>0</v>
      </c>
      <c r="BQ121" s="4411"/>
      <c r="BR121" s="4411"/>
      <c r="BS121" s="4420">
        <f t="shared" si="781"/>
        <v>0</v>
      </c>
      <c r="BT121" s="4411"/>
      <c r="BU121" s="4411"/>
      <c r="BV121" s="4420">
        <f t="shared" si="783"/>
        <v>0</v>
      </c>
      <c r="BW121" s="4411"/>
      <c r="BX121" s="4411"/>
      <c r="BY121" s="4420">
        <f t="shared" si="872"/>
        <v>0</v>
      </c>
      <c r="BZ121" s="4420">
        <f t="shared" si="873"/>
        <v>0</v>
      </c>
      <c r="CA121" s="4420">
        <f t="shared" si="873"/>
        <v>0</v>
      </c>
      <c r="CB121" s="4371">
        <f t="shared" si="915"/>
        <v>1902.153166909585</v>
      </c>
      <c r="CC121" s="4371">
        <f>SUM(CC115-CC116-CC117-CC118-CC119-CC120)</f>
        <v>1846.1281669095849</v>
      </c>
      <c r="CD121" s="4371">
        <f>SUM(CD115-CD116-CD117-CD118-CD119-CD120)</f>
        <v>56.025000000000006</v>
      </c>
      <c r="CE121" s="4444">
        <f t="shared" si="874"/>
        <v>2404.6858000000002</v>
      </c>
      <c r="CF121" s="4444">
        <f t="shared" si="874"/>
        <v>2398.7673</v>
      </c>
      <c r="CG121" s="4444">
        <f t="shared" si="874"/>
        <v>5.9184999999999999</v>
      </c>
      <c r="CH121" s="4444">
        <f t="shared" si="875"/>
        <v>502.53263309041517</v>
      </c>
      <c r="CI121" s="4444">
        <f t="shared" si="875"/>
        <v>552.63913309041504</v>
      </c>
      <c r="CJ121" s="4444">
        <f t="shared" si="875"/>
        <v>-50.106500000000004</v>
      </c>
      <c r="CK121" s="2774"/>
      <c r="CL121" s="3576">
        <f t="shared" si="615"/>
        <v>1902.153166909585</v>
      </c>
      <c r="CM121" s="2774"/>
    </row>
    <row r="122" spans="1:92" ht="18.75" customHeight="1" x14ac:dyDescent="0.3">
      <c r="A122" s="4381" t="s">
        <v>3762</v>
      </c>
      <c r="B122" s="4385">
        <f t="shared" ref="B122" si="918">SUM(C122:D122)</f>
        <v>0</v>
      </c>
      <c r="C122" s="4385">
        <f t="shared" ref="C122:D122" si="919">SUM(CC122/4)</f>
        <v>0</v>
      </c>
      <c r="D122" s="4385">
        <f t="shared" si="919"/>
        <v>0</v>
      </c>
      <c r="E122" s="4442">
        <f t="shared" si="888"/>
        <v>0</v>
      </c>
      <c r="F122" s="4399"/>
      <c r="G122" s="4399"/>
      <c r="H122" s="4442">
        <f t="shared" si="754"/>
        <v>0</v>
      </c>
      <c r="I122" s="4399"/>
      <c r="J122" s="4399"/>
      <c r="K122" s="4442">
        <f t="shared" si="756"/>
        <v>0</v>
      </c>
      <c r="L122" s="4399"/>
      <c r="M122" s="4399"/>
      <c r="N122" s="4442">
        <f t="shared" si="855"/>
        <v>0</v>
      </c>
      <c r="O122" s="4442">
        <f t="shared" si="916"/>
        <v>0</v>
      </c>
      <c r="P122" s="4442">
        <f t="shared" si="916"/>
        <v>0</v>
      </c>
      <c r="Q122" s="4385">
        <f t="shared" ref="Q122:Q126" si="920">SUM(R122:S122)</f>
        <v>0</v>
      </c>
      <c r="R122" s="4385">
        <f t="shared" si="909"/>
        <v>0</v>
      </c>
      <c r="S122" s="4385">
        <f t="shared" si="910"/>
        <v>0</v>
      </c>
      <c r="T122" s="4442">
        <f t="shared" si="761"/>
        <v>0</v>
      </c>
      <c r="U122" s="4399"/>
      <c r="V122" s="4400"/>
      <c r="W122" s="4442">
        <f t="shared" si="763"/>
        <v>0</v>
      </c>
      <c r="X122" s="4399"/>
      <c r="Y122" s="4399"/>
      <c r="Z122" s="4442">
        <f t="shared" si="765"/>
        <v>0</v>
      </c>
      <c r="AA122" s="4399"/>
      <c r="AB122" s="4399"/>
      <c r="AC122" s="4442">
        <f t="shared" si="880"/>
        <v>0</v>
      </c>
      <c r="AD122" s="4442">
        <f t="shared" si="881"/>
        <v>0</v>
      </c>
      <c r="AE122" s="4442">
        <f t="shared" si="881"/>
        <v>0</v>
      </c>
      <c r="AF122" s="4384">
        <f t="shared" si="796"/>
        <v>0</v>
      </c>
      <c r="AG122" s="4384">
        <f t="shared" si="845"/>
        <v>0</v>
      </c>
      <c r="AH122" s="4384">
        <f t="shared" si="845"/>
        <v>0</v>
      </c>
      <c r="AI122" s="4443">
        <f t="shared" si="860"/>
        <v>0</v>
      </c>
      <c r="AJ122" s="4443">
        <f t="shared" si="860"/>
        <v>0</v>
      </c>
      <c r="AK122" s="4443">
        <f t="shared" si="860"/>
        <v>0</v>
      </c>
      <c r="AL122" s="4443">
        <f t="shared" si="896"/>
        <v>0</v>
      </c>
      <c r="AM122" s="4443">
        <f t="shared" si="896"/>
        <v>0</v>
      </c>
      <c r="AN122" s="4443">
        <f t="shared" si="896"/>
        <v>0</v>
      </c>
      <c r="AO122" s="4385">
        <f t="shared" ref="AO122:AO123" si="921">SUM(AP122:AQ122)</f>
        <v>0</v>
      </c>
      <c r="AP122" s="4385">
        <f t="shared" si="911"/>
        <v>0</v>
      </c>
      <c r="AQ122" s="4385">
        <f t="shared" si="911"/>
        <v>0</v>
      </c>
      <c r="AR122" s="4442">
        <f t="shared" si="770"/>
        <v>0</v>
      </c>
      <c r="AS122" s="4399"/>
      <c r="AT122" s="4399"/>
      <c r="AU122" s="4442">
        <f t="shared" si="772"/>
        <v>0</v>
      </c>
      <c r="AV122" s="4399"/>
      <c r="AW122" s="4399"/>
      <c r="AX122" s="4442">
        <f t="shared" si="774"/>
        <v>0</v>
      </c>
      <c r="AY122" s="4399"/>
      <c r="AZ122" s="4399"/>
      <c r="BA122" s="4442">
        <f t="shared" si="865"/>
        <v>0</v>
      </c>
      <c r="BB122" s="4442">
        <f t="shared" si="866"/>
        <v>0</v>
      </c>
      <c r="BC122" s="4442">
        <f t="shared" si="866"/>
        <v>0</v>
      </c>
      <c r="BD122" s="4384">
        <f t="shared" si="686"/>
        <v>0</v>
      </c>
      <c r="BE122" s="4384">
        <f t="shared" si="687"/>
        <v>0</v>
      </c>
      <c r="BF122" s="4384">
        <f t="shared" si="687"/>
        <v>0</v>
      </c>
      <c r="BG122" s="4443">
        <f t="shared" si="867"/>
        <v>0</v>
      </c>
      <c r="BH122" s="4443">
        <f t="shared" si="867"/>
        <v>0</v>
      </c>
      <c r="BI122" s="4443">
        <f t="shared" si="867"/>
        <v>0</v>
      </c>
      <c r="BJ122" s="4443">
        <f t="shared" si="901"/>
        <v>0</v>
      </c>
      <c r="BK122" s="4443">
        <f t="shared" si="901"/>
        <v>0</v>
      </c>
      <c r="BL122" s="4443">
        <f t="shared" si="901"/>
        <v>0</v>
      </c>
      <c r="BM122" s="4385">
        <f t="shared" si="912"/>
        <v>0</v>
      </c>
      <c r="BN122" s="4385">
        <f t="shared" si="913"/>
        <v>0</v>
      </c>
      <c r="BO122" s="4385">
        <f t="shared" si="914"/>
        <v>0</v>
      </c>
      <c r="BP122" s="4442">
        <f t="shared" si="779"/>
        <v>0</v>
      </c>
      <c r="BQ122" s="4399"/>
      <c r="BR122" s="4399"/>
      <c r="BS122" s="4442">
        <f t="shared" si="781"/>
        <v>0</v>
      </c>
      <c r="BT122" s="4399"/>
      <c r="BU122" s="4399"/>
      <c r="BV122" s="4442">
        <f t="shared" si="783"/>
        <v>0</v>
      </c>
      <c r="BW122" s="4399"/>
      <c r="BX122" s="4399"/>
      <c r="BY122" s="4442">
        <f t="shared" si="872"/>
        <v>0</v>
      </c>
      <c r="BZ122" s="4442">
        <f t="shared" si="873"/>
        <v>0</v>
      </c>
      <c r="CA122" s="4442">
        <f t="shared" si="873"/>
        <v>0</v>
      </c>
      <c r="CB122" s="4384">
        <f t="shared" si="616"/>
        <v>0</v>
      </c>
      <c r="CC122" s="4446">
        <v>0</v>
      </c>
      <c r="CD122" s="4446">
        <v>0</v>
      </c>
      <c r="CE122" s="4443">
        <f t="shared" si="874"/>
        <v>0</v>
      </c>
      <c r="CF122" s="4443">
        <f t="shared" si="874"/>
        <v>0</v>
      </c>
      <c r="CG122" s="4443">
        <f t="shared" si="874"/>
        <v>0</v>
      </c>
      <c r="CH122" s="4443">
        <f t="shared" si="875"/>
        <v>0</v>
      </c>
      <c r="CI122" s="4443">
        <f t="shared" si="875"/>
        <v>0</v>
      </c>
      <c r="CJ122" s="4443">
        <f t="shared" si="875"/>
        <v>0</v>
      </c>
      <c r="CK122" s="2774"/>
      <c r="CL122" s="3576">
        <f t="shared" si="615"/>
        <v>0</v>
      </c>
      <c r="CM122" s="2774"/>
    </row>
    <row r="123" spans="1:92" ht="18.75" customHeight="1" x14ac:dyDescent="0.3">
      <c r="A123" s="4381" t="s">
        <v>3711</v>
      </c>
      <c r="B123" s="4385">
        <f t="shared" ref="B123:B126" si="922">SUM(C123:D123)</f>
        <v>0</v>
      </c>
      <c r="C123" s="4385">
        <f t="shared" ref="C123:C125" si="923">SUM(CC123/4)</f>
        <v>0</v>
      </c>
      <c r="D123" s="4385">
        <f t="shared" ref="D123:D125" si="924">SUM(CD123/4)</f>
        <v>0</v>
      </c>
      <c r="E123" s="4442">
        <f t="shared" si="888"/>
        <v>0</v>
      </c>
      <c r="F123" s="4407"/>
      <c r="G123" s="4407"/>
      <c r="H123" s="4442">
        <f t="shared" si="754"/>
        <v>0</v>
      </c>
      <c r="I123" s="4407"/>
      <c r="J123" s="4407"/>
      <c r="K123" s="4442">
        <f t="shared" si="756"/>
        <v>0</v>
      </c>
      <c r="L123" s="4407"/>
      <c r="M123" s="4407"/>
      <c r="N123" s="4442">
        <f t="shared" si="855"/>
        <v>0</v>
      </c>
      <c r="O123" s="4442">
        <f t="shared" si="916"/>
        <v>0</v>
      </c>
      <c r="P123" s="4442">
        <f t="shared" si="916"/>
        <v>0</v>
      </c>
      <c r="Q123" s="4385">
        <f t="shared" si="920"/>
        <v>0</v>
      </c>
      <c r="R123" s="4385">
        <f t="shared" si="909"/>
        <v>0</v>
      </c>
      <c r="S123" s="4385">
        <f t="shared" si="910"/>
        <v>0</v>
      </c>
      <c r="T123" s="4442">
        <f t="shared" si="761"/>
        <v>0</v>
      </c>
      <c r="U123" s="4407"/>
      <c r="V123" s="4452"/>
      <c r="W123" s="4442">
        <f t="shared" si="763"/>
        <v>0</v>
      </c>
      <c r="X123" s="4407"/>
      <c r="Y123" s="4407"/>
      <c r="Z123" s="4442">
        <f t="shared" si="765"/>
        <v>0</v>
      </c>
      <c r="AA123" s="4407"/>
      <c r="AB123" s="4407"/>
      <c r="AC123" s="4442">
        <f t="shared" si="880"/>
        <v>0</v>
      </c>
      <c r="AD123" s="4442">
        <f t="shared" si="881"/>
        <v>0</v>
      </c>
      <c r="AE123" s="4442">
        <f t="shared" si="881"/>
        <v>0</v>
      </c>
      <c r="AF123" s="4384">
        <f t="shared" si="796"/>
        <v>0</v>
      </c>
      <c r="AG123" s="4384">
        <f t="shared" si="845"/>
        <v>0</v>
      </c>
      <c r="AH123" s="4384">
        <f t="shared" si="845"/>
        <v>0</v>
      </c>
      <c r="AI123" s="4443">
        <f t="shared" si="860"/>
        <v>0</v>
      </c>
      <c r="AJ123" s="4443">
        <f t="shared" si="860"/>
        <v>0</v>
      </c>
      <c r="AK123" s="4443">
        <f t="shared" si="860"/>
        <v>0</v>
      </c>
      <c r="AL123" s="4443">
        <f t="shared" si="896"/>
        <v>0</v>
      </c>
      <c r="AM123" s="4443">
        <f t="shared" si="896"/>
        <v>0</v>
      </c>
      <c r="AN123" s="4443">
        <f t="shared" si="896"/>
        <v>0</v>
      </c>
      <c r="AO123" s="4385">
        <f t="shared" si="921"/>
        <v>0</v>
      </c>
      <c r="AP123" s="4385">
        <f t="shared" si="911"/>
        <v>0</v>
      </c>
      <c r="AQ123" s="4385">
        <f t="shared" si="911"/>
        <v>0</v>
      </c>
      <c r="AR123" s="4442">
        <f t="shared" si="770"/>
        <v>0</v>
      </c>
      <c r="AS123" s="4407"/>
      <c r="AT123" s="4407"/>
      <c r="AU123" s="4442">
        <f t="shared" si="772"/>
        <v>0</v>
      </c>
      <c r="AV123" s="4407"/>
      <c r="AW123" s="4407"/>
      <c r="AX123" s="4442">
        <f t="shared" si="774"/>
        <v>0</v>
      </c>
      <c r="AY123" s="4407"/>
      <c r="AZ123" s="4407"/>
      <c r="BA123" s="4442">
        <f t="shared" si="865"/>
        <v>0</v>
      </c>
      <c r="BB123" s="4442">
        <f t="shared" si="866"/>
        <v>0</v>
      </c>
      <c r="BC123" s="4442">
        <f t="shared" si="866"/>
        <v>0</v>
      </c>
      <c r="BD123" s="4384">
        <f t="shared" si="686"/>
        <v>0</v>
      </c>
      <c r="BE123" s="4384">
        <f t="shared" si="687"/>
        <v>0</v>
      </c>
      <c r="BF123" s="4384">
        <f t="shared" si="687"/>
        <v>0</v>
      </c>
      <c r="BG123" s="4443">
        <f t="shared" si="867"/>
        <v>0</v>
      </c>
      <c r="BH123" s="4443">
        <f t="shared" si="867"/>
        <v>0</v>
      </c>
      <c r="BI123" s="4443">
        <f t="shared" si="867"/>
        <v>0</v>
      </c>
      <c r="BJ123" s="4443">
        <f t="shared" si="901"/>
        <v>0</v>
      </c>
      <c r="BK123" s="4443">
        <f t="shared" si="901"/>
        <v>0</v>
      </c>
      <c r="BL123" s="4443">
        <f t="shared" si="901"/>
        <v>0</v>
      </c>
      <c r="BM123" s="4385">
        <f t="shared" si="912"/>
        <v>0</v>
      </c>
      <c r="BN123" s="4385">
        <f t="shared" si="913"/>
        <v>0</v>
      </c>
      <c r="BO123" s="4385">
        <f t="shared" si="914"/>
        <v>0</v>
      </c>
      <c r="BP123" s="4442">
        <f t="shared" si="779"/>
        <v>0</v>
      </c>
      <c r="BQ123" s="4407"/>
      <c r="BR123" s="4407"/>
      <c r="BS123" s="4442">
        <f t="shared" si="781"/>
        <v>0</v>
      </c>
      <c r="BT123" s="4407"/>
      <c r="BU123" s="4407"/>
      <c r="BV123" s="4442">
        <f t="shared" si="783"/>
        <v>0</v>
      </c>
      <c r="BW123" s="4407"/>
      <c r="BX123" s="4407"/>
      <c r="BY123" s="4442">
        <f t="shared" si="872"/>
        <v>0</v>
      </c>
      <c r="BZ123" s="4442">
        <f t="shared" si="873"/>
        <v>0</v>
      </c>
      <c r="CA123" s="4442">
        <f t="shared" si="873"/>
        <v>0</v>
      </c>
      <c r="CB123" s="4384">
        <f t="shared" si="616"/>
        <v>0</v>
      </c>
      <c r="CC123" s="4446">
        <f>SUM(стоки!EK48)</f>
        <v>0</v>
      </c>
      <c r="CD123" s="4446">
        <f>SUM(стоки!EL48)</f>
        <v>0</v>
      </c>
      <c r="CE123" s="4443">
        <f t="shared" si="874"/>
        <v>0</v>
      </c>
      <c r="CF123" s="4443">
        <f t="shared" si="874"/>
        <v>0</v>
      </c>
      <c r="CG123" s="4443">
        <f t="shared" si="874"/>
        <v>0</v>
      </c>
      <c r="CH123" s="4443">
        <f t="shared" si="875"/>
        <v>0</v>
      </c>
      <c r="CI123" s="4443">
        <f t="shared" si="875"/>
        <v>0</v>
      </c>
      <c r="CJ123" s="4443">
        <f t="shared" si="875"/>
        <v>0</v>
      </c>
      <c r="CK123" s="2774"/>
      <c r="CL123" s="3576">
        <f t="shared" si="615"/>
        <v>0</v>
      </c>
      <c r="CM123" s="2774"/>
    </row>
    <row r="124" spans="1:92" ht="18.75" customHeight="1" x14ac:dyDescent="0.3">
      <c r="A124" s="4389" t="s">
        <v>3920</v>
      </c>
      <c r="B124" s="4385">
        <f t="shared" si="922"/>
        <v>103.39</v>
      </c>
      <c r="C124" s="4385">
        <f t="shared" si="923"/>
        <v>103.39</v>
      </c>
      <c r="D124" s="4385">
        <f t="shared" si="924"/>
        <v>0</v>
      </c>
      <c r="E124" s="4442">
        <f t="shared" si="888"/>
        <v>0</v>
      </c>
      <c r="F124" s="4407"/>
      <c r="G124" s="4407"/>
      <c r="H124" s="4442">
        <f t="shared" ref="H124:H125" si="925">SUM(I124:J124)</f>
        <v>0</v>
      </c>
      <c r="I124" s="4407"/>
      <c r="J124" s="4407"/>
      <c r="K124" s="4442">
        <f t="shared" ref="K124:K125" si="926">SUM(L124:M124)</f>
        <v>0</v>
      </c>
      <c r="L124" s="4407"/>
      <c r="M124" s="4407"/>
      <c r="N124" s="4442">
        <f t="shared" ref="N124:N125" si="927">SUM(O124:P124)</f>
        <v>0</v>
      </c>
      <c r="O124" s="4442">
        <f t="shared" si="916"/>
        <v>0</v>
      </c>
      <c r="P124" s="4442">
        <f t="shared" si="916"/>
        <v>0</v>
      </c>
      <c r="Q124" s="4385">
        <f t="shared" si="920"/>
        <v>103.39</v>
      </c>
      <c r="R124" s="4385">
        <f t="shared" ref="R124:S124" si="928">SUM(C124)</f>
        <v>103.39</v>
      </c>
      <c r="S124" s="4385">
        <f t="shared" si="928"/>
        <v>0</v>
      </c>
      <c r="T124" s="4442">
        <f t="shared" ref="T124:T125" si="929">SUM(U124:V124)</f>
        <v>0</v>
      </c>
      <c r="U124" s="4407"/>
      <c r="V124" s="4452"/>
      <c r="W124" s="4442">
        <f t="shared" ref="W124:W125" si="930">SUM(X124:Y124)</f>
        <v>0</v>
      </c>
      <c r="X124" s="4407"/>
      <c r="Y124" s="4407"/>
      <c r="Z124" s="4442">
        <f t="shared" ref="Z124:Z125" si="931">SUM(AA124:AB124)</f>
        <v>0</v>
      </c>
      <c r="AA124" s="4407"/>
      <c r="AB124" s="4407"/>
      <c r="AC124" s="4442">
        <f t="shared" si="880"/>
        <v>0</v>
      </c>
      <c r="AD124" s="4442">
        <f t="shared" si="881"/>
        <v>0</v>
      </c>
      <c r="AE124" s="4442">
        <f t="shared" si="881"/>
        <v>0</v>
      </c>
      <c r="AF124" s="4384">
        <f t="shared" si="796"/>
        <v>206.78</v>
      </c>
      <c r="AG124" s="4384">
        <f t="shared" ref="AG124:AH125" si="932">SUM(C124+R124)</f>
        <v>206.78</v>
      </c>
      <c r="AH124" s="4384">
        <f t="shared" si="932"/>
        <v>0</v>
      </c>
      <c r="AI124" s="4443">
        <f t="shared" ref="AI124:AK125" si="933">SUM(AC124+N124)</f>
        <v>0</v>
      </c>
      <c r="AJ124" s="4443">
        <f t="shared" si="933"/>
        <v>0</v>
      </c>
      <c r="AK124" s="4443">
        <f t="shared" si="933"/>
        <v>0</v>
      </c>
      <c r="AL124" s="4443">
        <f t="shared" ref="AL124:AN125" si="934">SUM(AI124-AF124)</f>
        <v>-206.78</v>
      </c>
      <c r="AM124" s="4443">
        <f t="shared" si="934"/>
        <v>-206.78</v>
      </c>
      <c r="AN124" s="4443">
        <f t="shared" si="934"/>
        <v>0</v>
      </c>
      <c r="AO124" s="4385">
        <f t="shared" ref="AO124:AO126" si="935">SUM(AP124:AQ124)</f>
        <v>103.39</v>
      </c>
      <c r="AP124" s="4385">
        <f t="shared" ref="AP124:AP125" si="936">SUM(CC124-AG124)/2</f>
        <v>103.39</v>
      </c>
      <c r="AQ124" s="4385">
        <f t="shared" ref="AQ124:AQ125" si="937">SUM(CD124-AH124)/2</f>
        <v>0</v>
      </c>
      <c r="AR124" s="4442">
        <f t="shared" ref="AR124:AR125" si="938">SUM(AS124:AT124)</f>
        <v>0</v>
      </c>
      <c r="AS124" s="4407"/>
      <c r="AT124" s="4407"/>
      <c r="AU124" s="4442">
        <f t="shared" ref="AU124:AU125" si="939">SUM(AV124:AW124)</f>
        <v>0</v>
      </c>
      <c r="AV124" s="4407"/>
      <c r="AW124" s="4407"/>
      <c r="AX124" s="4442">
        <f t="shared" ref="AX124:AX125" si="940">SUM(AY124:AZ124)</f>
        <v>0</v>
      </c>
      <c r="AY124" s="4407"/>
      <c r="AZ124" s="4407"/>
      <c r="BA124" s="4442">
        <f t="shared" ref="BA124" si="941">SUM(BB124:BC124)</f>
        <v>0</v>
      </c>
      <c r="BB124" s="4442">
        <f t="shared" si="866"/>
        <v>0</v>
      </c>
      <c r="BC124" s="4442">
        <f t="shared" si="866"/>
        <v>0</v>
      </c>
      <c r="BD124" s="4384">
        <f t="shared" ref="BD124:BD125" si="942">SUM(BE124:BF124)</f>
        <v>310.17</v>
      </c>
      <c r="BE124" s="4384">
        <f t="shared" ref="BE124:BF125" si="943">SUM(AG124+AP124)</f>
        <v>310.17</v>
      </c>
      <c r="BF124" s="4384">
        <f t="shared" si="943"/>
        <v>0</v>
      </c>
      <c r="BG124" s="4443">
        <f t="shared" si="867"/>
        <v>0</v>
      </c>
      <c r="BH124" s="4443">
        <f t="shared" si="867"/>
        <v>0</v>
      </c>
      <c r="BI124" s="4443">
        <f t="shared" si="867"/>
        <v>0</v>
      </c>
      <c r="BJ124" s="4443">
        <f t="shared" ref="BJ124:BL125" si="944">SUM(BG124-BD124)</f>
        <v>-310.17</v>
      </c>
      <c r="BK124" s="4443">
        <f t="shared" si="944"/>
        <v>-310.17</v>
      </c>
      <c r="BL124" s="4443">
        <f t="shared" si="944"/>
        <v>0</v>
      </c>
      <c r="BM124" s="4385">
        <f t="shared" ref="BM124:BM125" si="945">SUM(BN124:BO124)</f>
        <v>103.39</v>
      </c>
      <c r="BN124" s="4385">
        <f t="shared" si="913"/>
        <v>103.39</v>
      </c>
      <c r="BO124" s="4385">
        <f t="shared" si="914"/>
        <v>0</v>
      </c>
      <c r="BP124" s="4442">
        <f t="shared" ref="BP124:BP125" si="946">SUM(BQ124:BR124)</f>
        <v>0</v>
      </c>
      <c r="BQ124" s="4407"/>
      <c r="BR124" s="4407"/>
      <c r="BS124" s="4442">
        <f t="shared" ref="BS124:BS126" si="947">SUM(BT124:BU124)</f>
        <v>0</v>
      </c>
      <c r="BT124" s="4407"/>
      <c r="BU124" s="4407"/>
      <c r="BV124" s="4442">
        <f t="shared" ref="BV124:BV125" si="948">SUM(BW124:BX124)</f>
        <v>0</v>
      </c>
      <c r="BW124" s="4407"/>
      <c r="BX124" s="4407"/>
      <c r="BY124" s="4442">
        <f t="shared" si="872"/>
        <v>0</v>
      </c>
      <c r="BZ124" s="4442">
        <f t="shared" si="873"/>
        <v>0</v>
      </c>
      <c r="CA124" s="4442">
        <f t="shared" si="873"/>
        <v>0</v>
      </c>
      <c r="CB124" s="4384">
        <f t="shared" si="616"/>
        <v>413.56</v>
      </c>
      <c r="CC124" s="4446">
        <f>SUM(стоки!EK54)</f>
        <v>413.56</v>
      </c>
      <c r="CD124" s="4446">
        <f>SUM(стоки!EL54)</f>
        <v>0</v>
      </c>
      <c r="CE124" s="4443">
        <f t="shared" si="874"/>
        <v>0</v>
      </c>
      <c r="CF124" s="4443">
        <f t="shared" si="874"/>
        <v>0</v>
      </c>
      <c r="CG124" s="4443">
        <f t="shared" si="874"/>
        <v>0</v>
      </c>
      <c r="CH124" s="4443">
        <f t="shared" si="875"/>
        <v>-413.56</v>
      </c>
      <c r="CI124" s="4443">
        <f t="shared" si="875"/>
        <v>-413.56</v>
      </c>
      <c r="CJ124" s="4443">
        <f t="shared" si="875"/>
        <v>0</v>
      </c>
      <c r="CK124" s="2774"/>
      <c r="CL124" s="3576">
        <f t="shared" si="615"/>
        <v>413.56</v>
      </c>
      <c r="CM124" s="2774"/>
    </row>
    <row r="125" spans="1:92" ht="18.75" customHeight="1" x14ac:dyDescent="0.3">
      <c r="A125" s="4389" t="s">
        <v>4236</v>
      </c>
      <c r="B125" s="4385">
        <f t="shared" si="922"/>
        <v>564.95009321399891</v>
      </c>
      <c r="C125" s="4385">
        <f t="shared" si="923"/>
        <v>564.95009321399891</v>
      </c>
      <c r="D125" s="4385">
        <f t="shared" si="924"/>
        <v>0</v>
      </c>
      <c r="E125" s="4442">
        <f t="shared" si="888"/>
        <v>0</v>
      </c>
      <c r="F125" s="4407"/>
      <c r="G125" s="4407"/>
      <c r="H125" s="4442">
        <f t="shared" si="925"/>
        <v>0</v>
      </c>
      <c r="I125" s="4407"/>
      <c r="J125" s="4407"/>
      <c r="K125" s="4442">
        <f t="shared" si="926"/>
        <v>0</v>
      </c>
      <c r="L125" s="4407"/>
      <c r="M125" s="4407"/>
      <c r="N125" s="4442">
        <f t="shared" si="927"/>
        <v>0</v>
      </c>
      <c r="O125" s="4442">
        <f t="shared" ref="O125" si="949">SUM(F125+I125+L125)</f>
        <v>0</v>
      </c>
      <c r="P125" s="4442">
        <f t="shared" ref="P125" si="950">SUM(G125+J125+M125)</f>
        <v>0</v>
      </c>
      <c r="Q125" s="4385">
        <f t="shared" si="920"/>
        <v>564.95009321399891</v>
      </c>
      <c r="R125" s="4385">
        <f t="shared" ref="R125" si="951">SUM(C125)</f>
        <v>564.95009321399891</v>
      </c>
      <c r="S125" s="4385">
        <f t="shared" ref="S125" si="952">SUM(D125)</f>
        <v>0</v>
      </c>
      <c r="T125" s="4442">
        <f t="shared" si="929"/>
        <v>0</v>
      </c>
      <c r="U125" s="4407"/>
      <c r="V125" s="4452"/>
      <c r="W125" s="4442">
        <f t="shared" si="930"/>
        <v>0</v>
      </c>
      <c r="X125" s="4407"/>
      <c r="Y125" s="4407"/>
      <c r="Z125" s="4442">
        <f t="shared" si="931"/>
        <v>0</v>
      </c>
      <c r="AA125" s="4407"/>
      <c r="AB125" s="4407"/>
      <c r="AC125" s="4442">
        <f t="shared" si="880"/>
        <v>0</v>
      </c>
      <c r="AD125" s="4442">
        <f t="shared" ref="AD125:AE125" si="953">SUM(U125+X125+AA125)</f>
        <v>0</v>
      </c>
      <c r="AE125" s="4442">
        <f t="shared" si="953"/>
        <v>0</v>
      </c>
      <c r="AF125" s="4384">
        <f t="shared" si="796"/>
        <v>1129.9001864279978</v>
      </c>
      <c r="AG125" s="4384">
        <f t="shared" si="932"/>
        <v>1129.9001864279978</v>
      </c>
      <c r="AH125" s="4384">
        <f t="shared" si="932"/>
        <v>0</v>
      </c>
      <c r="AI125" s="4443">
        <f t="shared" si="933"/>
        <v>0</v>
      </c>
      <c r="AJ125" s="4443">
        <f t="shared" si="933"/>
        <v>0</v>
      </c>
      <c r="AK125" s="4443">
        <f t="shared" si="933"/>
        <v>0</v>
      </c>
      <c r="AL125" s="4443">
        <f t="shared" si="934"/>
        <v>-1129.9001864279978</v>
      </c>
      <c r="AM125" s="4443">
        <f t="shared" si="934"/>
        <v>-1129.9001864279978</v>
      </c>
      <c r="AN125" s="4443">
        <f t="shared" si="934"/>
        <v>0</v>
      </c>
      <c r="AO125" s="4385">
        <f t="shared" si="935"/>
        <v>564.95009321399891</v>
      </c>
      <c r="AP125" s="4385">
        <f t="shared" si="936"/>
        <v>564.95009321399891</v>
      </c>
      <c r="AQ125" s="4385">
        <f t="shared" si="937"/>
        <v>0</v>
      </c>
      <c r="AR125" s="4442">
        <f t="shared" si="938"/>
        <v>0</v>
      </c>
      <c r="AS125" s="4407"/>
      <c r="AT125" s="4407"/>
      <c r="AU125" s="4442">
        <f t="shared" si="939"/>
        <v>0</v>
      </c>
      <c r="AV125" s="4407"/>
      <c r="AW125" s="4407"/>
      <c r="AX125" s="4442">
        <f t="shared" si="940"/>
        <v>0</v>
      </c>
      <c r="AY125" s="4407"/>
      <c r="AZ125" s="4407"/>
      <c r="BA125" s="4442">
        <f t="shared" ref="BA125" si="954">SUM(BB125:BC125)</f>
        <v>0</v>
      </c>
      <c r="BB125" s="4442">
        <f t="shared" ref="BB125:BC125" si="955">SUM(AS125+AV125+AY125)</f>
        <v>0</v>
      </c>
      <c r="BC125" s="4442">
        <f t="shared" si="955"/>
        <v>0</v>
      </c>
      <c r="BD125" s="4384">
        <f t="shared" si="942"/>
        <v>1694.8502796419966</v>
      </c>
      <c r="BE125" s="4384">
        <f t="shared" si="943"/>
        <v>1694.8502796419966</v>
      </c>
      <c r="BF125" s="4384">
        <f t="shared" si="943"/>
        <v>0</v>
      </c>
      <c r="BG125" s="4443">
        <f t="shared" si="867"/>
        <v>0</v>
      </c>
      <c r="BH125" s="4443">
        <f t="shared" si="867"/>
        <v>0</v>
      </c>
      <c r="BI125" s="4443">
        <f t="shared" si="867"/>
        <v>0</v>
      </c>
      <c r="BJ125" s="4443">
        <f t="shared" si="944"/>
        <v>-1694.8502796419966</v>
      </c>
      <c r="BK125" s="4443">
        <f t="shared" si="944"/>
        <v>-1694.8502796419966</v>
      </c>
      <c r="BL125" s="4443">
        <f t="shared" si="944"/>
        <v>0</v>
      </c>
      <c r="BM125" s="4385">
        <f t="shared" si="945"/>
        <v>564.95009321399891</v>
      </c>
      <c r="BN125" s="4385">
        <f t="shared" si="913"/>
        <v>564.95009321399891</v>
      </c>
      <c r="BO125" s="4385">
        <f t="shared" si="914"/>
        <v>0</v>
      </c>
      <c r="BP125" s="4442">
        <f t="shared" si="946"/>
        <v>0</v>
      </c>
      <c r="BQ125" s="4407"/>
      <c r="BR125" s="4407"/>
      <c r="BS125" s="4442">
        <f t="shared" si="947"/>
        <v>0</v>
      </c>
      <c r="BT125" s="4407"/>
      <c r="BU125" s="4407"/>
      <c r="BV125" s="4442">
        <f t="shared" si="948"/>
        <v>0</v>
      </c>
      <c r="BW125" s="4407"/>
      <c r="BX125" s="4407"/>
      <c r="BY125" s="4442">
        <f t="shared" si="872"/>
        <v>0</v>
      </c>
      <c r="BZ125" s="4442">
        <f t="shared" ref="BZ125:CA125" si="956">SUM(BQ125+BT125+BW125)</f>
        <v>0</v>
      </c>
      <c r="CA125" s="4442">
        <f t="shared" si="956"/>
        <v>0</v>
      </c>
      <c r="CB125" s="4384">
        <f t="shared" si="616"/>
        <v>2259.8003728559956</v>
      </c>
      <c r="CC125" s="4446">
        <f>SUM(стоки!EK58)</f>
        <v>2259.8003728559956</v>
      </c>
      <c r="CD125" s="4446">
        <f>SUM(стоки!EL58)</f>
        <v>0</v>
      </c>
      <c r="CE125" s="4443">
        <f t="shared" si="874"/>
        <v>0</v>
      </c>
      <c r="CF125" s="4443">
        <f t="shared" si="874"/>
        <v>0</v>
      </c>
      <c r="CG125" s="4443">
        <f t="shared" si="874"/>
        <v>0</v>
      </c>
      <c r="CH125" s="4443">
        <f t="shared" si="875"/>
        <v>-2259.8003728559956</v>
      </c>
      <c r="CI125" s="4443">
        <f t="shared" si="875"/>
        <v>-2259.8003728559956</v>
      </c>
      <c r="CJ125" s="4443">
        <f t="shared" si="875"/>
        <v>0</v>
      </c>
      <c r="CK125" s="2774"/>
      <c r="CL125" s="3576">
        <f t="shared" si="615"/>
        <v>2259.8003728559956</v>
      </c>
      <c r="CM125" s="2774"/>
    </row>
    <row r="126" spans="1:92" ht="18.75" customHeight="1" x14ac:dyDescent="0.3">
      <c r="A126" s="4376" t="s">
        <v>12</v>
      </c>
      <c r="B126" s="4377">
        <f t="shared" si="922"/>
        <v>31284.682652511616</v>
      </c>
      <c r="C126" s="4414">
        <f>SUM(C21+C40+C75+C94+C111+C115+C122+C123+C124+C125)</f>
        <v>31203.95825075205</v>
      </c>
      <c r="D126" s="4414">
        <f>SUM(D21+D40+D75+D94+D111+D115+D122+D123+D124+D125)</f>
        <v>80.724401759564586</v>
      </c>
      <c r="E126" s="4377">
        <f t="shared" si="888"/>
        <v>11589.633080000001</v>
      </c>
      <c r="F126" s="4414">
        <f>SUM(F21+F40+F75+F94+F111+F115+F122+F123+F124)</f>
        <v>11566.717000000001</v>
      </c>
      <c r="G126" s="4414">
        <f>SUM(G21+G40+G75+G94+G111+G115+G122+G123+G124)</f>
        <v>22.916080000000001</v>
      </c>
      <c r="H126" s="4377">
        <f t="shared" ref="H126" si="957">SUM(I126:J126)</f>
        <v>10360.789510000001</v>
      </c>
      <c r="I126" s="4414">
        <f>SUM(I21+I40+I75+I94+I111+I115+I122+I123+I124+I125)</f>
        <v>10341.01476</v>
      </c>
      <c r="J126" s="4414">
        <f>SUM(J21+J40+J75+J94+J111+J115+J122+J123+J124+J125)</f>
        <v>19.774750000000001</v>
      </c>
      <c r="K126" s="4377">
        <f t="shared" ref="K126" si="958">SUM(L126:M126)</f>
        <v>11126.872460000001</v>
      </c>
      <c r="L126" s="4414">
        <f>SUM(L21+L40+L75+L94+L111+L115+L122+L123+L124+L125)</f>
        <v>11099.07595</v>
      </c>
      <c r="M126" s="4414">
        <f>SUM(M21+M40+M75+M94+M111+M115+M122+M123+M124+M125)</f>
        <v>27.796510000000001</v>
      </c>
      <c r="N126" s="4414">
        <f t="shared" ref="N126:N127" si="959">SUM(O126:P126)</f>
        <v>33077.295050000001</v>
      </c>
      <c r="O126" s="4414">
        <f t="shared" si="916"/>
        <v>33006.807710000001</v>
      </c>
      <c r="P126" s="4414">
        <f t="shared" si="916"/>
        <v>70.487340000000003</v>
      </c>
      <c r="Q126" s="4377">
        <f t="shared" si="920"/>
        <v>31284.682652511616</v>
      </c>
      <c r="R126" s="4414">
        <f>SUM(R21+R40+R75+R94+R111+R115+R122+R123+R124+R125)</f>
        <v>31203.95825075205</v>
      </c>
      <c r="S126" s="4414">
        <f>SUM(S21+S40+S75+S94+S111+S115+S122+S123+S124+S125)</f>
        <v>80.724401759564586</v>
      </c>
      <c r="T126" s="4377">
        <f t="shared" ref="T126" si="960">SUM(U126:V126)</f>
        <v>12108.152489999999</v>
      </c>
      <c r="U126" s="4414">
        <f>SUM(U21+U40+U75+U94+U111+U115+U122+U123+U124+U125)</f>
        <v>12092.445709999998</v>
      </c>
      <c r="V126" s="4414">
        <f>SUM(V21+V40+V75+V94+V111+V115+V122+V123+V124+V125)</f>
        <v>15.70678</v>
      </c>
      <c r="W126" s="4377">
        <f t="shared" ref="W126" si="961">SUM(X126:Y126)</f>
        <v>12418.618109999999</v>
      </c>
      <c r="X126" s="4414">
        <f>SUM(X21+X40+X75+X94+X111+X115+X122+X123+X124+X125)</f>
        <v>12396.967999999999</v>
      </c>
      <c r="Y126" s="4414">
        <f>SUM(Y21+Y40+Y75+Y94+Y111+Y115+Y122+Y123+Y124+Y125)</f>
        <v>21.650109999999998</v>
      </c>
      <c r="Z126" s="4377">
        <f t="shared" ref="Z126" si="962">SUM(AA126:AB126)</f>
        <v>11590.426609999999</v>
      </c>
      <c r="AA126" s="4414">
        <f>SUM(AA21+AA40+AA75+AA94+AA111+AA115+AA122+AA123+AA124+AA125)</f>
        <v>11562.407529999999</v>
      </c>
      <c r="AB126" s="4414">
        <f>SUM(AB21+AB40+AB75+AB94+AB111+AB115+AB122+AB123+AB124+AB125)</f>
        <v>28.019080000000002</v>
      </c>
      <c r="AC126" s="4414">
        <f t="shared" ref="AC126" si="963">SUM(AD126:AE126)</f>
        <v>36117.197209999998</v>
      </c>
      <c r="AD126" s="4414">
        <f t="shared" si="881"/>
        <v>36051.821239999997</v>
      </c>
      <c r="AE126" s="4414">
        <f t="shared" si="881"/>
        <v>65.375969999999995</v>
      </c>
      <c r="AF126" s="4379">
        <f t="shared" si="796"/>
        <v>62569.365305023231</v>
      </c>
      <c r="AG126" s="4379">
        <f t="shared" si="845"/>
        <v>62407.9165015041</v>
      </c>
      <c r="AH126" s="4379">
        <f t="shared" si="845"/>
        <v>161.44880351912917</v>
      </c>
      <c r="AI126" s="4441">
        <f t="shared" si="860"/>
        <v>69194.492259999999</v>
      </c>
      <c r="AJ126" s="4441">
        <f t="shared" si="860"/>
        <v>69058.628949999998</v>
      </c>
      <c r="AK126" s="4441">
        <f t="shared" si="860"/>
        <v>135.86331000000001</v>
      </c>
      <c r="AL126" s="4441">
        <f t="shared" si="896"/>
        <v>6625.1269549767676</v>
      </c>
      <c r="AM126" s="4441">
        <f t="shared" si="896"/>
        <v>6650.7124484958986</v>
      </c>
      <c r="AN126" s="4441">
        <f t="shared" si="896"/>
        <v>-25.585493519129159</v>
      </c>
      <c r="AO126" s="4377">
        <f t="shared" si="935"/>
        <v>31284.682652511616</v>
      </c>
      <c r="AP126" s="4414">
        <f>SUM(AP21+AP40+AP75+AP94+AP111+AP115+AP122+AP123+AP124+AP125)</f>
        <v>31203.95825075205</v>
      </c>
      <c r="AQ126" s="4414">
        <f>SUM(AQ21+AQ40+AQ75+AQ94+AQ111+AQ115+AQ122+AQ123+AQ124+AQ125)</f>
        <v>80.724401759564586</v>
      </c>
      <c r="AR126" s="4377">
        <f t="shared" ref="AR126" si="964">SUM(AS126:AT126)</f>
        <v>11103.135060000001</v>
      </c>
      <c r="AS126" s="4414">
        <f>SUM(AS21+AS40+AS75+AS94+AS111+AS115+AS122+AS123+AS124+AS125)</f>
        <v>11090.133890000001</v>
      </c>
      <c r="AT126" s="4414">
        <f>SUM(AT21+AT40+AT75+AT94+AT111+AT115+AT122+AT123+AT124+AT125)</f>
        <v>13.00117</v>
      </c>
      <c r="AU126" s="4377">
        <f t="shared" ref="AU126" si="965">SUM(AV126:AW126)</f>
        <v>0</v>
      </c>
      <c r="AV126" s="4414">
        <f>SUM(AV21+AV40+AV75+AV94+AV111+AV115+AV122+AV123+AV124+AV125)</f>
        <v>0</v>
      </c>
      <c r="AW126" s="4414">
        <f>SUM(AW21+AW40+AW75+AW94+AW111+AW115+AW122+AW123+AW124+AW125)</f>
        <v>0</v>
      </c>
      <c r="AX126" s="4377">
        <f t="shared" ref="AX126" si="966">SUM(AY126:AZ126)</f>
        <v>0</v>
      </c>
      <c r="AY126" s="4414">
        <f>SUM(AY21+AY40+AY75+AY94+AY111+AY115+AY122+AY123+AY124+AY125)</f>
        <v>0</v>
      </c>
      <c r="AZ126" s="4414">
        <f>SUM(AZ21+AZ40+AZ75+AZ94+AZ111+AZ115+AZ122+AZ123+AZ124+AZ125)</f>
        <v>0</v>
      </c>
      <c r="BA126" s="4414">
        <f t="shared" ref="BA126" si="967">SUM(BB126:BC126)</f>
        <v>11103.135060000001</v>
      </c>
      <c r="BB126" s="4414">
        <f t="shared" si="866"/>
        <v>11090.133890000001</v>
      </c>
      <c r="BC126" s="4414">
        <f t="shared" si="866"/>
        <v>13.00117</v>
      </c>
      <c r="BD126" s="4379">
        <f t="shared" si="686"/>
        <v>93854.047957534844</v>
      </c>
      <c r="BE126" s="4379">
        <f t="shared" si="687"/>
        <v>93611.874752256146</v>
      </c>
      <c r="BF126" s="4379">
        <f t="shared" si="687"/>
        <v>242.17320527869376</v>
      </c>
      <c r="BG126" s="4441">
        <f t="shared" si="867"/>
        <v>80297.62732</v>
      </c>
      <c r="BH126" s="4441">
        <f t="shared" si="867"/>
        <v>80148.762839999996</v>
      </c>
      <c r="BI126" s="4441">
        <f t="shared" si="867"/>
        <v>148.86448000000001</v>
      </c>
      <c r="BJ126" s="4441">
        <f t="shared" si="901"/>
        <v>-13556.420637534844</v>
      </c>
      <c r="BK126" s="4441">
        <f t="shared" si="901"/>
        <v>-13463.11191225615</v>
      </c>
      <c r="BL126" s="4441">
        <f t="shared" si="901"/>
        <v>-93.308725278693743</v>
      </c>
      <c r="BM126" s="4377">
        <f t="shared" ref="BM126" si="968">SUM(BN126:BO126)</f>
        <v>31284.682652511616</v>
      </c>
      <c r="BN126" s="4414">
        <f>SUM(BN21+BN40+BN75+BN94+BN111+BN115+BN122+BN123+BN124+BN125)</f>
        <v>31203.95825075205</v>
      </c>
      <c r="BO126" s="4414">
        <f>SUM(BO21+BO40+BO75+BO94+BO111+BO115+BO122+BO123+BO124+BO125)</f>
        <v>80.724401759564586</v>
      </c>
      <c r="BP126" s="4377">
        <f t="shared" ref="BP126" si="969">SUM(BQ126:BR126)</f>
        <v>0</v>
      </c>
      <c r="BQ126" s="4414">
        <f>SUM(BQ21+BQ40+BQ75+BQ94+BQ111+BQ115+BQ122+BQ123+BQ124+BQ125)</f>
        <v>0</v>
      </c>
      <c r="BR126" s="4414">
        <f>SUM(BR21+BR40+BR75+BR94+BR111+BR115+BR122+BR123+BR124+BR125)</f>
        <v>0</v>
      </c>
      <c r="BS126" s="4377">
        <f t="shared" si="947"/>
        <v>0</v>
      </c>
      <c r="BT126" s="4414">
        <f>SUM(BT21+BT40+BT75+BT94+BT111+BT115+BT122+BT123+BT124+BT125)</f>
        <v>0</v>
      </c>
      <c r="BU126" s="4414">
        <f>SUM(BU21+BU40+BU75+BU94+BU111+BU115+BU122+BU123+BU124+BU125)</f>
        <v>0</v>
      </c>
      <c r="BV126" s="4377">
        <f t="shared" ref="BV126" si="970">SUM(BW126:BX126)</f>
        <v>0</v>
      </c>
      <c r="BW126" s="4414">
        <f>SUM(BW21+BW40+BW75+BW94+BW111+BW115+BW122+BW123+BW124+BW125)</f>
        <v>0</v>
      </c>
      <c r="BX126" s="4414">
        <f>SUM(BX21+BX40+BX75+BX94+BX111+BX115+BX122+BX123+BX124+BX125)</f>
        <v>0</v>
      </c>
      <c r="BY126" s="4414">
        <f t="shared" ref="BY126" si="971">SUM(BZ126:CA126)</f>
        <v>0</v>
      </c>
      <c r="BZ126" s="4414">
        <f t="shared" si="873"/>
        <v>0</v>
      </c>
      <c r="CA126" s="4414">
        <f t="shared" si="873"/>
        <v>0</v>
      </c>
      <c r="CB126" s="4416">
        <f>SUM(CB21+CB40+CB75+CB94+CB111+CB115+CB122+CB123+CB124+CB125)</f>
        <v>125138.73069444198</v>
      </c>
      <c r="CC126" s="4416">
        <f>SUM(CC21+CC40+CC75+CC94+CC111+CC115+CC122+CC123+CC124+CC125)</f>
        <v>124815.83308740373</v>
      </c>
      <c r="CD126" s="4416">
        <f>SUM(CD21+CD40+CD75+CD94+CD111+CD115+CD122+CD123+CD124+CD125)</f>
        <v>322.89760703825834</v>
      </c>
      <c r="CE126" s="4441">
        <f t="shared" si="874"/>
        <v>80297.62732</v>
      </c>
      <c r="CF126" s="4441">
        <f t="shared" si="874"/>
        <v>80148.762839999996</v>
      </c>
      <c r="CG126" s="4441">
        <f t="shared" si="874"/>
        <v>148.86448000000001</v>
      </c>
      <c r="CH126" s="4441">
        <f t="shared" si="875"/>
        <v>-44841.103374441984</v>
      </c>
      <c r="CI126" s="4441">
        <f t="shared" si="875"/>
        <v>-44667.070247403739</v>
      </c>
      <c r="CJ126" s="4441">
        <f t="shared" si="875"/>
        <v>-174.03312703825833</v>
      </c>
      <c r="CK126" s="2774"/>
      <c r="CL126" s="3576">
        <f t="shared" si="615"/>
        <v>125138.73061004646</v>
      </c>
      <c r="CM126" s="2774"/>
    </row>
    <row r="127" spans="1:92" ht="18.75" customHeight="1" x14ac:dyDescent="0.3">
      <c r="A127" s="4376" t="s">
        <v>13</v>
      </c>
      <c r="B127" s="4414">
        <f>SUM(B9)</f>
        <v>768.56306212265406</v>
      </c>
      <c r="C127" s="4414">
        <f t="shared" ref="C127:D127" si="972">SUM(C9)</f>
        <v>764.75724428647504</v>
      </c>
      <c r="D127" s="4414">
        <f t="shared" si="972"/>
        <v>3.8058178361790249</v>
      </c>
      <c r="E127" s="4415">
        <f>SUM(E9)</f>
        <v>257.414513</v>
      </c>
      <c r="F127" s="4415">
        <f t="shared" ref="F127:G127" si="973">SUM(F9)</f>
        <v>256.71326299999998</v>
      </c>
      <c r="G127" s="4415">
        <f t="shared" si="973"/>
        <v>0.70125000000000004</v>
      </c>
      <c r="H127" s="4414">
        <f>SUM(H9)</f>
        <v>268.54267499999997</v>
      </c>
      <c r="I127" s="4414">
        <f t="shared" ref="I127:J127" si="974">SUM(I9)</f>
        <v>268.082425</v>
      </c>
      <c r="J127" s="4414">
        <f t="shared" si="974"/>
        <v>0.46024999999999999</v>
      </c>
      <c r="K127" s="4415">
        <f>SUM(K9)</f>
        <v>259.48193000000003</v>
      </c>
      <c r="L127" s="4415">
        <f t="shared" ref="L127:M127" si="975">SUM(L9)</f>
        <v>257.06443000000002</v>
      </c>
      <c r="M127" s="4415">
        <f t="shared" si="975"/>
        <v>2.4175</v>
      </c>
      <c r="N127" s="4414">
        <f t="shared" si="959"/>
        <v>785.43911799999989</v>
      </c>
      <c r="O127" s="4414">
        <f t="shared" si="916"/>
        <v>781.86011799999994</v>
      </c>
      <c r="P127" s="4414">
        <f t="shared" si="916"/>
        <v>3.5789999999999997</v>
      </c>
      <c r="Q127" s="4414">
        <f>SUM(Q9)</f>
        <v>768.56306212265406</v>
      </c>
      <c r="R127" s="4414">
        <f t="shared" ref="R127:S127" si="976">SUM(R9)</f>
        <v>764.75724428647504</v>
      </c>
      <c r="S127" s="4414">
        <f t="shared" si="976"/>
        <v>3.8058178361790249</v>
      </c>
      <c r="T127" s="4415">
        <f>SUM(T9)</f>
        <v>263.32413399999996</v>
      </c>
      <c r="U127" s="4415">
        <f t="shared" ref="U127:V127" si="977">SUM(U9)</f>
        <v>262.86413399999998</v>
      </c>
      <c r="V127" s="4415">
        <f t="shared" si="977"/>
        <v>0.46</v>
      </c>
      <c r="W127" s="4415">
        <f>SUM(W9)</f>
        <v>263.52684599999998</v>
      </c>
      <c r="X127" s="4415">
        <f t="shared" ref="X127:Y127" si="978">SUM(X9)</f>
        <v>262.77809600000001</v>
      </c>
      <c r="Y127" s="4415">
        <f t="shared" si="978"/>
        <v>0.74875000000000003</v>
      </c>
      <c r="Z127" s="4415">
        <f>SUM(Z9)</f>
        <v>257.661947</v>
      </c>
      <c r="AA127" s="4415">
        <f t="shared" ref="AA127:AB127" si="979">SUM(AA9)</f>
        <v>255.070697</v>
      </c>
      <c r="AB127" s="4415">
        <f t="shared" si="979"/>
        <v>2.5912500000000001</v>
      </c>
      <c r="AC127" s="4415">
        <f t="shared" si="880"/>
        <v>784.51292699999988</v>
      </c>
      <c r="AD127" s="4415">
        <f t="shared" si="881"/>
        <v>780.71292699999992</v>
      </c>
      <c r="AE127" s="4415">
        <f t="shared" si="881"/>
        <v>3.8</v>
      </c>
      <c r="AF127" s="4379">
        <f t="shared" si="796"/>
        <v>1537.1261242453081</v>
      </c>
      <c r="AG127" s="4379">
        <f t="shared" si="845"/>
        <v>1529.5144885729501</v>
      </c>
      <c r="AH127" s="4379">
        <f t="shared" si="845"/>
        <v>7.6116356723580498</v>
      </c>
      <c r="AI127" s="4441">
        <f t="shared" si="860"/>
        <v>1569.9520449999998</v>
      </c>
      <c r="AJ127" s="4441">
        <f t="shared" si="860"/>
        <v>1562.5730449999999</v>
      </c>
      <c r="AK127" s="4441">
        <f t="shared" si="860"/>
        <v>7.3789999999999996</v>
      </c>
      <c r="AL127" s="4441">
        <f t="shared" si="896"/>
        <v>32.825920754691651</v>
      </c>
      <c r="AM127" s="4441">
        <f t="shared" si="896"/>
        <v>33.05855642704978</v>
      </c>
      <c r="AN127" s="4441">
        <f t="shared" si="896"/>
        <v>-0.23263567235805027</v>
      </c>
      <c r="AO127" s="4414">
        <f>SUM(AO9)</f>
        <v>768.56306212265406</v>
      </c>
      <c r="AP127" s="4414">
        <f t="shared" ref="AP127:AQ127" si="980">SUM(AP9)</f>
        <v>764.75724428647504</v>
      </c>
      <c r="AQ127" s="4414">
        <f t="shared" si="980"/>
        <v>3.8058178361790249</v>
      </c>
      <c r="AR127" s="4415">
        <f>SUM(AR9)</f>
        <v>226.11733899999999</v>
      </c>
      <c r="AS127" s="4415">
        <f t="shared" ref="AS127:AT127" si="981">SUM(AS9)</f>
        <v>225.574839</v>
      </c>
      <c r="AT127" s="4415">
        <f t="shared" si="981"/>
        <v>0.54249999999999998</v>
      </c>
      <c r="AU127" s="4415">
        <f>SUM(AU9)</f>
        <v>0</v>
      </c>
      <c r="AV127" s="4415">
        <f t="shared" ref="AV127:AW127" si="982">SUM(AV9)</f>
        <v>0</v>
      </c>
      <c r="AW127" s="4415">
        <f t="shared" si="982"/>
        <v>0</v>
      </c>
      <c r="AX127" s="4415">
        <f>SUM(AX9)</f>
        <v>0</v>
      </c>
      <c r="AY127" s="4415">
        <f t="shared" ref="AY127:AZ127" si="983">SUM(AY9)</f>
        <v>0</v>
      </c>
      <c r="AZ127" s="4415">
        <f t="shared" si="983"/>
        <v>0</v>
      </c>
      <c r="BA127" s="4415">
        <f t="shared" si="865"/>
        <v>226.11733899999999</v>
      </c>
      <c r="BB127" s="4415">
        <f t="shared" si="866"/>
        <v>225.574839</v>
      </c>
      <c r="BC127" s="4415">
        <f t="shared" si="866"/>
        <v>0.54249999999999998</v>
      </c>
      <c r="BD127" s="4379">
        <f t="shared" si="686"/>
        <v>2305.6891863679625</v>
      </c>
      <c r="BE127" s="4379">
        <f t="shared" si="687"/>
        <v>2294.2717328594254</v>
      </c>
      <c r="BF127" s="4379">
        <f t="shared" si="687"/>
        <v>11.417453508537076</v>
      </c>
      <c r="BG127" s="4441">
        <f t="shared" si="867"/>
        <v>1796.0693839999997</v>
      </c>
      <c r="BH127" s="4441">
        <f t="shared" si="867"/>
        <v>1788.147884</v>
      </c>
      <c r="BI127" s="4441">
        <f t="shared" si="867"/>
        <v>7.9215</v>
      </c>
      <c r="BJ127" s="4441">
        <f t="shared" si="901"/>
        <v>-509.61980236796285</v>
      </c>
      <c r="BK127" s="4441">
        <f t="shared" si="901"/>
        <v>-506.12384885942538</v>
      </c>
      <c r="BL127" s="4441">
        <f t="shared" si="901"/>
        <v>-3.4959535085370756</v>
      </c>
      <c r="BM127" s="4414">
        <f>SUM(BM9)</f>
        <v>768.56306212265406</v>
      </c>
      <c r="BN127" s="4414">
        <f t="shared" ref="BN127:BO127" si="984">SUM(BN9)</f>
        <v>764.75724428647504</v>
      </c>
      <c r="BO127" s="4414">
        <f t="shared" si="984"/>
        <v>3.8058178361790249</v>
      </c>
      <c r="BP127" s="4415">
        <f>SUM(BP9)</f>
        <v>0</v>
      </c>
      <c r="BQ127" s="4415">
        <f t="shared" ref="BQ127:BR127" si="985">SUM(BQ9)</f>
        <v>0</v>
      </c>
      <c r="BR127" s="4415">
        <f t="shared" si="985"/>
        <v>0</v>
      </c>
      <c r="BS127" s="4415">
        <f>SUM(BS9)</f>
        <v>0</v>
      </c>
      <c r="BT127" s="4415">
        <f t="shared" ref="BT127:BU127" si="986">SUM(BT9)</f>
        <v>0</v>
      </c>
      <c r="BU127" s="4415">
        <f t="shared" si="986"/>
        <v>0</v>
      </c>
      <c r="BV127" s="4415">
        <f>SUM(BV9)</f>
        <v>0</v>
      </c>
      <c r="BW127" s="4415">
        <f t="shared" ref="BW127:BX127" si="987">SUM(BW9)</f>
        <v>0</v>
      </c>
      <c r="BX127" s="4415">
        <f t="shared" si="987"/>
        <v>0</v>
      </c>
      <c r="BY127" s="4415">
        <f t="shared" si="872"/>
        <v>0</v>
      </c>
      <c r="BZ127" s="4415">
        <f t="shared" si="873"/>
        <v>0</v>
      </c>
      <c r="CA127" s="4415">
        <f t="shared" si="873"/>
        <v>0</v>
      </c>
      <c r="CB127" s="4379">
        <f t="shared" si="616"/>
        <v>3074.2522484906162</v>
      </c>
      <c r="CC127" s="4416">
        <f t="shared" ref="CC127:CD127" si="988">SUM(CC9)</f>
        <v>3059.0289771459002</v>
      </c>
      <c r="CD127" s="4416">
        <f t="shared" si="988"/>
        <v>15.2232713447161</v>
      </c>
      <c r="CE127" s="4441">
        <f t="shared" si="874"/>
        <v>1796.0693839999997</v>
      </c>
      <c r="CF127" s="4441">
        <f t="shared" si="874"/>
        <v>1788.147884</v>
      </c>
      <c r="CG127" s="4441">
        <f t="shared" si="874"/>
        <v>7.9215</v>
      </c>
      <c r="CH127" s="4441">
        <f t="shared" si="875"/>
        <v>-1278.1828644906166</v>
      </c>
      <c r="CI127" s="4441">
        <f t="shared" si="875"/>
        <v>-1270.8810931459002</v>
      </c>
      <c r="CJ127" s="4441">
        <f t="shared" si="875"/>
        <v>-7.3017713447160997</v>
      </c>
      <c r="CK127" s="2774"/>
      <c r="CL127" s="3576">
        <f t="shared" si="615"/>
        <v>3074.2522484906162</v>
      </c>
      <c r="CM127" s="2774"/>
    </row>
    <row r="128" spans="1:92" ht="18.75" customHeight="1" x14ac:dyDescent="0.3">
      <c r="A128" s="4376" t="s">
        <v>14</v>
      </c>
      <c r="B128" s="4414">
        <f t="shared" ref="B128:AK128" si="989">SUM(B126/B127)</f>
        <v>40.705420536485441</v>
      </c>
      <c r="C128" s="4414">
        <f t="shared" si="989"/>
        <v>40.802435653768285</v>
      </c>
      <c r="D128" s="4414">
        <f t="shared" si="989"/>
        <v>21.210789699963801</v>
      </c>
      <c r="E128" s="4415">
        <f t="shared" si="989"/>
        <v>45.023230993972753</v>
      </c>
      <c r="F128" s="4415">
        <f t="shared" si="989"/>
        <v>45.056951342634761</v>
      </c>
      <c r="G128" s="4415">
        <f t="shared" si="989"/>
        <v>32.678901960784316</v>
      </c>
      <c r="H128" s="4415">
        <f t="shared" si="989"/>
        <v>38.581538334642723</v>
      </c>
      <c r="I128" s="4415">
        <f t="shared" si="989"/>
        <v>38.574012302373049</v>
      </c>
      <c r="J128" s="4415">
        <f t="shared" si="989"/>
        <v>42.96523628462792</v>
      </c>
      <c r="K128" s="4415">
        <f t="shared" si="989"/>
        <v>42.881107212359638</v>
      </c>
      <c r="L128" s="4415">
        <f t="shared" si="989"/>
        <v>43.176241652724961</v>
      </c>
      <c r="M128" s="4415">
        <f t="shared" si="989"/>
        <v>11.498039296794209</v>
      </c>
      <c r="N128" s="4415">
        <f t="shared" si="989"/>
        <v>42.11312410085489</v>
      </c>
      <c r="O128" s="4415">
        <f t="shared" si="989"/>
        <v>42.215745438495439</v>
      </c>
      <c r="P128" s="4415">
        <f t="shared" si="989"/>
        <v>19.694702430846608</v>
      </c>
      <c r="Q128" s="4414">
        <f t="shared" si="989"/>
        <v>40.705420536485441</v>
      </c>
      <c r="R128" s="4414">
        <f t="shared" si="989"/>
        <v>40.802435653768285</v>
      </c>
      <c r="S128" s="4414">
        <f t="shared" si="989"/>
        <v>21.210789699963801</v>
      </c>
      <c r="T128" s="4415">
        <f t="shared" si="989"/>
        <v>45.981932252362405</v>
      </c>
      <c r="U128" s="4415">
        <f t="shared" si="989"/>
        <v>46.002646028537306</v>
      </c>
      <c r="V128" s="4415">
        <f t="shared" si="989"/>
        <v>34.145173913043479</v>
      </c>
      <c r="W128" s="4415">
        <f t="shared" si="989"/>
        <v>47.124679320147898</v>
      </c>
      <c r="X128" s="4415">
        <f t="shared" si="989"/>
        <v>47.176565279626651</v>
      </c>
      <c r="Y128" s="4415">
        <f t="shared" si="989"/>
        <v>28.91500500834724</v>
      </c>
      <c r="Z128" s="4415">
        <f t="shared" si="989"/>
        <v>44.983074702916838</v>
      </c>
      <c r="AA128" s="4415">
        <f t="shared" si="989"/>
        <v>45.330207138611449</v>
      </c>
      <c r="AB128" s="4415">
        <f t="shared" si="989"/>
        <v>10.812958996623252</v>
      </c>
      <c r="AC128" s="4415">
        <f t="shared" si="989"/>
        <v>46.037733690524647</v>
      </c>
      <c r="AD128" s="4415">
        <f t="shared" si="989"/>
        <v>46.178076464718252</v>
      </c>
      <c r="AE128" s="4415">
        <f t="shared" si="989"/>
        <v>17.204202631578948</v>
      </c>
      <c r="AF128" s="4416">
        <f t="shared" si="989"/>
        <v>40.705420536485441</v>
      </c>
      <c r="AG128" s="4416">
        <f t="shared" si="989"/>
        <v>40.802435653768285</v>
      </c>
      <c r="AH128" s="4416">
        <f t="shared" si="989"/>
        <v>21.210789699963801</v>
      </c>
      <c r="AI128" s="4417">
        <f t="shared" si="989"/>
        <v>44.074271236737047</v>
      </c>
      <c r="AJ128" s="4417">
        <f t="shared" si="989"/>
        <v>44.195456443445821</v>
      </c>
      <c r="AK128" s="4417">
        <f t="shared" si="989"/>
        <v>18.412157473912458</v>
      </c>
      <c r="AL128" s="4441">
        <f t="shared" si="896"/>
        <v>3.3688507002516062</v>
      </c>
      <c r="AM128" s="4441">
        <f t="shared" si="896"/>
        <v>3.3930207896775357</v>
      </c>
      <c r="AN128" s="4441">
        <f t="shared" si="896"/>
        <v>-2.7986322260513425</v>
      </c>
      <c r="AO128" s="4414">
        <f t="shared" ref="AO128:BI128" si="990">SUM(AO126/AO127)</f>
        <v>40.705420536485441</v>
      </c>
      <c r="AP128" s="4414">
        <f t="shared" si="990"/>
        <v>40.802435653768285</v>
      </c>
      <c r="AQ128" s="4414">
        <f t="shared" si="990"/>
        <v>21.210789699963801</v>
      </c>
      <c r="AR128" s="4415">
        <f t="shared" si="990"/>
        <v>49.103421741576398</v>
      </c>
      <c r="AS128" s="4415">
        <f t="shared" si="990"/>
        <v>49.163878113196837</v>
      </c>
      <c r="AT128" s="4415">
        <f t="shared" si="990"/>
        <v>23.965290322580646</v>
      </c>
      <c r="AU128" s="4415" t="e">
        <f t="shared" si="990"/>
        <v>#DIV/0!</v>
      </c>
      <c r="AV128" s="4415" t="e">
        <f t="shared" si="990"/>
        <v>#DIV/0!</v>
      </c>
      <c r="AW128" s="4415" t="e">
        <f t="shared" si="990"/>
        <v>#DIV/0!</v>
      </c>
      <c r="AX128" s="4415" t="e">
        <f t="shared" si="990"/>
        <v>#DIV/0!</v>
      </c>
      <c r="AY128" s="4415" t="e">
        <f t="shared" si="990"/>
        <v>#DIV/0!</v>
      </c>
      <c r="AZ128" s="4415" t="e">
        <f t="shared" si="990"/>
        <v>#DIV/0!</v>
      </c>
      <c r="BA128" s="4415">
        <f t="shared" si="990"/>
        <v>49.103421741576398</v>
      </c>
      <c r="BB128" s="4415">
        <f t="shared" si="990"/>
        <v>49.163878113196837</v>
      </c>
      <c r="BC128" s="4415">
        <f t="shared" si="990"/>
        <v>23.965290322580646</v>
      </c>
      <c r="BD128" s="4416">
        <f t="shared" si="990"/>
        <v>40.705420536485427</v>
      </c>
      <c r="BE128" s="4416">
        <f t="shared" si="990"/>
        <v>40.802435653768278</v>
      </c>
      <c r="BF128" s="4416">
        <f t="shared" si="990"/>
        <v>21.210789699963801</v>
      </c>
      <c r="BG128" s="4417">
        <f t="shared" si="990"/>
        <v>44.707419454570477</v>
      </c>
      <c r="BH128" s="4417">
        <f t="shared" si="990"/>
        <v>44.822222791054116</v>
      </c>
      <c r="BI128" s="4417">
        <f t="shared" si="990"/>
        <v>18.792461023796001</v>
      </c>
      <c r="BJ128" s="4441">
        <f t="shared" si="901"/>
        <v>4.0019989180850501</v>
      </c>
      <c r="BK128" s="4441">
        <f t="shared" si="901"/>
        <v>4.0197871372858387</v>
      </c>
      <c r="BL128" s="4441">
        <f t="shared" si="901"/>
        <v>-2.4183286761677998</v>
      </c>
      <c r="BM128" s="4414">
        <f t="shared" ref="BM128:CG128" si="991">SUM(BM126/BM127)</f>
        <v>40.705420536485441</v>
      </c>
      <c r="BN128" s="4414">
        <f t="shared" si="991"/>
        <v>40.802435653768285</v>
      </c>
      <c r="BO128" s="4414">
        <f t="shared" si="991"/>
        <v>21.210789699963801</v>
      </c>
      <c r="BP128" s="4415" t="e">
        <f t="shared" si="991"/>
        <v>#DIV/0!</v>
      </c>
      <c r="BQ128" s="4415" t="e">
        <f t="shared" si="991"/>
        <v>#DIV/0!</v>
      </c>
      <c r="BR128" s="4415" t="e">
        <f t="shared" si="991"/>
        <v>#DIV/0!</v>
      </c>
      <c r="BS128" s="4415" t="e">
        <f t="shared" si="991"/>
        <v>#DIV/0!</v>
      </c>
      <c r="BT128" s="4415" t="e">
        <f t="shared" si="991"/>
        <v>#DIV/0!</v>
      </c>
      <c r="BU128" s="4415" t="e">
        <f t="shared" si="991"/>
        <v>#DIV/0!</v>
      </c>
      <c r="BV128" s="4415" t="e">
        <f t="shared" si="991"/>
        <v>#DIV/0!</v>
      </c>
      <c r="BW128" s="4415" t="e">
        <f t="shared" si="991"/>
        <v>#DIV/0!</v>
      </c>
      <c r="BX128" s="4415" t="e">
        <f t="shared" si="991"/>
        <v>#DIV/0!</v>
      </c>
      <c r="BY128" s="4415" t="e">
        <f t="shared" si="991"/>
        <v>#DIV/0!</v>
      </c>
      <c r="BZ128" s="4415" t="e">
        <f t="shared" si="991"/>
        <v>#DIV/0!</v>
      </c>
      <c r="CA128" s="4415" t="e">
        <f t="shared" si="991"/>
        <v>#DIV/0!</v>
      </c>
      <c r="CB128" s="4416">
        <f t="shared" si="991"/>
        <v>40.705420563937814</v>
      </c>
      <c r="CC128" s="4416">
        <f t="shared" si="991"/>
        <v>40.802435681357281</v>
      </c>
      <c r="CD128" s="4416">
        <f t="shared" si="991"/>
        <v>21.210789699963801</v>
      </c>
      <c r="CE128" s="4417">
        <f t="shared" si="991"/>
        <v>44.707419454570477</v>
      </c>
      <c r="CF128" s="4417">
        <f t="shared" si="991"/>
        <v>44.822222791054116</v>
      </c>
      <c r="CG128" s="4417">
        <f t="shared" si="991"/>
        <v>18.792461023796001</v>
      </c>
      <c r="CH128" s="4441">
        <f t="shared" si="875"/>
        <v>4.0019988906326631</v>
      </c>
      <c r="CI128" s="4441">
        <f t="shared" si="875"/>
        <v>4.0197871096968356</v>
      </c>
      <c r="CJ128" s="4441">
        <f t="shared" si="875"/>
        <v>-2.4183286761677998</v>
      </c>
      <c r="CK128" s="2774"/>
      <c r="CL128" s="2774"/>
      <c r="CM128" s="2774"/>
    </row>
    <row r="129" spans="1:91" ht="36" customHeight="1" x14ac:dyDescent="0.2">
      <c r="A129" s="4376" t="s">
        <v>3763</v>
      </c>
      <c r="B129" s="5334">
        <f>SUM(B130:B132)</f>
        <v>1766.7055</v>
      </c>
      <c r="C129" s="5335"/>
      <c r="D129" s="5336"/>
      <c r="E129" s="5337">
        <f>SUM(E130:E132)</f>
        <v>1000.718</v>
      </c>
      <c r="F129" s="5338"/>
      <c r="G129" s="5339"/>
      <c r="H129" s="5337">
        <f>SUM(H130:H132)</f>
        <v>654.16490999999996</v>
      </c>
      <c r="I129" s="5338"/>
      <c r="J129" s="5339"/>
      <c r="K129" s="5337">
        <f>SUM(K130:K132)</f>
        <v>692.85199</v>
      </c>
      <c r="L129" s="5338"/>
      <c r="M129" s="5339"/>
      <c r="N129" s="5337">
        <f>SUM(N130:N132)</f>
        <v>2347.7348999999999</v>
      </c>
      <c r="O129" s="5338"/>
      <c r="P129" s="5339"/>
      <c r="Q129" s="5334">
        <f>SUM(Q130:Q132)</f>
        <v>1766.7055</v>
      </c>
      <c r="R129" s="5335"/>
      <c r="S129" s="5336"/>
      <c r="T129" s="5337">
        <f>SUM(T130:T132)</f>
        <v>821.60599000000002</v>
      </c>
      <c r="U129" s="5338"/>
      <c r="V129" s="5339"/>
      <c r="W129" s="5337">
        <f>SUM(W130:W132)</f>
        <v>602.53557999999998</v>
      </c>
      <c r="X129" s="5338"/>
      <c r="Y129" s="5339"/>
      <c r="Z129" s="5337">
        <f>SUM(Z130:Z132)</f>
        <v>807.19454999999994</v>
      </c>
      <c r="AA129" s="5338"/>
      <c r="AB129" s="5339"/>
      <c r="AC129" s="5337">
        <f>SUM(AC130:AC132)</f>
        <v>2231.3361199999999</v>
      </c>
      <c r="AD129" s="5338"/>
      <c r="AE129" s="5339"/>
      <c r="AF129" s="5343">
        <f>SUM(B129+Q129)</f>
        <v>3533.4110000000001</v>
      </c>
      <c r="AG129" s="5344"/>
      <c r="AH129" s="5345"/>
      <c r="AI129" s="5340">
        <f>SUM(N129+AC129)</f>
        <v>4579.0710199999994</v>
      </c>
      <c r="AJ129" s="5341"/>
      <c r="AK129" s="5342"/>
      <c r="AL129" s="5340">
        <f>SUM(AI129-AF129)</f>
        <v>1045.6600199999993</v>
      </c>
      <c r="AM129" s="5341"/>
      <c r="AN129" s="5342"/>
      <c r="AO129" s="5334">
        <f>SUM(AO130:AO132)</f>
        <v>1766.7055</v>
      </c>
      <c r="AP129" s="5335"/>
      <c r="AQ129" s="5336"/>
      <c r="AR129" s="5337">
        <f>SUM(AR130:AR132)</f>
        <v>683.30016999999998</v>
      </c>
      <c r="AS129" s="5338"/>
      <c r="AT129" s="5339"/>
      <c r="AU129" s="5337">
        <f>SUM(AU130:AU132)</f>
        <v>0</v>
      </c>
      <c r="AV129" s="5338"/>
      <c r="AW129" s="5339"/>
      <c r="AX129" s="5337">
        <f>SUM(AX130:AX132)</f>
        <v>0</v>
      </c>
      <c r="AY129" s="5338"/>
      <c r="AZ129" s="5339"/>
      <c r="BA129" s="5337">
        <f>SUM(BA130:BA132)</f>
        <v>683.30016999999998</v>
      </c>
      <c r="BB129" s="5338"/>
      <c r="BC129" s="5339"/>
      <c r="BD129" s="5343">
        <f t="shared" ref="BD129:BD133" si="992">SUM(AF129+AO129)</f>
        <v>5300.1165000000001</v>
      </c>
      <c r="BE129" s="5344"/>
      <c r="BF129" s="5345"/>
      <c r="BG129" s="5340">
        <f>SUM(BA129+AI129)</f>
        <v>5262.3711899999998</v>
      </c>
      <c r="BH129" s="5341"/>
      <c r="BI129" s="5342"/>
      <c r="BJ129" s="5340">
        <f>SUM(BG129-BD129)</f>
        <v>-37.745310000000245</v>
      </c>
      <c r="BK129" s="5341"/>
      <c r="BL129" s="5342"/>
      <c r="BM129" s="5334">
        <f>SUM(BM130:BM132)</f>
        <v>1766.7055</v>
      </c>
      <c r="BN129" s="5335"/>
      <c r="BO129" s="5336"/>
      <c r="BP129" s="5337">
        <f>SUM(BP130:BP132)</f>
        <v>0</v>
      </c>
      <c r="BQ129" s="5338"/>
      <c r="BR129" s="5339"/>
      <c r="BS129" s="5337">
        <f>SUM(BS130:BS132)</f>
        <v>0</v>
      </c>
      <c r="BT129" s="5338"/>
      <c r="BU129" s="5339"/>
      <c r="BV129" s="5337">
        <f>SUM(BV130:BV132)</f>
        <v>0</v>
      </c>
      <c r="BW129" s="5338"/>
      <c r="BX129" s="5339"/>
      <c r="BY129" s="5337">
        <f>SUM(BY130:BY132)</f>
        <v>0</v>
      </c>
      <c r="BZ129" s="5338"/>
      <c r="CA129" s="5339"/>
      <c r="CB129" s="5343">
        <f t="shared" ref="CB129:CB133" si="993">SUM(BM129+BD129)</f>
        <v>7066.8220000000001</v>
      </c>
      <c r="CC129" s="5344"/>
      <c r="CD129" s="5345"/>
      <c r="CE129" s="5340">
        <f>SUM(BY129+BG129)</f>
        <v>5262.3711899999998</v>
      </c>
      <c r="CF129" s="5341"/>
      <c r="CG129" s="5342"/>
      <c r="CH129" s="5340">
        <f>SUM(CE129-CB129)</f>
        <v>-1804.4508100000003</v>
      </c>
      <c r="CI129" s="5341"/>
      <c r="CJ129" s="5342"/>
      <c r="CK129" s="2774"/>
      <c r="CL129" s="2774"/>
      <c r="CM129" s="2774"/>
    </row>
    <row r="130" spans="1:91" ht="40.5" customHeight="1" x14ac:dyDescent="0.2">
      <c r="A130" s="4421" t="s">
        <v>3764</v>
      </c>
      <c r="B130" s="5352">
        <f>5772.822/4</f>
        <v>1443.2055</v>
      </c>
      <c r="C130" s="5353"/>
      <c r="D130" s="5354"/>
      <c r="E130" s="5283">
        <v>975.32799999999997</v>
      </c>
      <c r="F130" s="5284"/>
      <c r="G130" s="5285"/>
      <c r="H130" s="5283">
        <v>616.23424999999997</v>
      </c>
      <c r="I130" s="5284"/>
      <c r="J130" s="5285"/>
      <c r="K130" s="5283">
        <v>688.89152000000001</v>
      </c>
      <c r="L130" s="5284"/>
      <c r="M130" s="5285"/>
      <c r="N130" s="5274">
        <f>SUM(E130+H130+K130)</f>
        <v>2280.4537700000001</v>
      </c>
      <c r="O130" s="5275"/>
      <c r="P130" s="5276"/>
      <c r="Q130" s="5352">
        <f>SUM(B130)</f>
        <v>1443.2055</v>
      </c>
      <c r="R130" s="5353"/>
      <c r="S130" s="5354"/>
      <c r="T130" s="5283">
        <v>801.24153999999999</v>
      </c>
      <c r="U130" s="5284"/>
      <c r="V130" s="5285"/>
      <c r="W130" s="5283">
        <v>599.63535999999999</v>
      </c>
      <c r="X130" s="5284"/>
      <c r="Y130" s="5285"/>
      <c r="Z130" s="5283">
        <v>801.12261999999998</v>
      </c>
      <c r="AA130" s="5284"/>
      <c r="AB130" s="5285"/>
      <c r="AC130" s="5274">
        <f>SUM(T130+W130+Z130)</f>
        <v>2201.9995199999998</v>
      </c>
      <c r="AD130" s="5275"/>
      <c r="AE130" s="5276"/>
      <c r="AF130" s="5346">
        <f>SUM(B130+Q130)</f>
        <v>2886.4110000000001</v>
      </c>
      <c r="AG130" s="5347"/>
      <c r="AH130" s="5348"/>
      <c r="AI130" s="5349">
        <f t="shared" ref="AI130:AI133" si="994">SUM(N130+AC130)</f>
        <v>4482.4532899999995</v>
      </c>
      <c r="AJ130" s="5350"/>
      <c r="AK130" s="5351"/>
      <c r="AL130" s="5349">
        <f t="shared" ref="AL130:AL133" si="995">SUM(AI130-AF130)</f>
        <v>1596.0422899999994</v>
      </c>
      <c r="AM130" s="5350"/>
      <c r="AN130" s="5351"/>
      <c r="AO130" s="5352">
        <f>SUM(Q130)</f>
        <v>1443.2055</v>
      </c>
      <c r="AP130" s="5353"/>
      <c r="AQ130" s="5354"/>
      <c r="AR130" s="5283">
        <v>663.92764999999997</v>
      </c>
      <c r="AS130" s="5284"/>
      <c r="AT130" s="5285"/>
      <c r="AU130" s="5283"/>
      <c r="AV130" s="5284"/>
      <c r="AW130" s="5285"/>
      <c r="AX130" s="5283"/>
      <c r="AY130" s="5284"/>
      <c r="AZ130" s="5285"/>
      <c r="BA130" s="5274">
        <f>SUM(AR130+AU130+AX130)</f>
        <v>663.92764999999997</v>
      </c>
      <c r="BB130" s="5275"/>
      <c r="BC130" s="5276"/>
      <c r="BD130" s="5346">
        <f>SUM(AF130+AO130)</f>
        <v>4329.6165000000001</v>
      </c>
      <c r="BE130" s="5347"/>
      <c r="BF130" s="5348"/>
      <c r="BG130" s="5349">
        <f t="shared" ref="BG130:BG133" si="996">SUM(BA130+AI130)</f>
        <v>5146.3809399999991</v>
      </c>
      <c r="BH130" s="5350"/>
      <c r="BI130" s="5351"/>
      <c r="BJ130" s="5349">
        <f>SUM(BG130-BD130)</f>
        <v>816.76443999999901</v>
      </c>
      <c r="BK130" s="5350"/>
      <c r="BL130" s="5351"/>
      <c r="BM130" s="5352">
        <f>SUM(AO130)</f>
        <v>1443.2055</v>
      </c>
      <c r="BN130" s="5353"/>
      <c r="BO130" s="5354"/>
      <c r="BP130" s="5283"/>
      <c r="BQ130" s="5284"/>
      <c r="BR130" s="5285"/>
      <c r="BS130" s="5283"/>
      <c r="BT130" s="5284"/>
      <c r="BU130" s="5285"/>
      <c r="BV130" s="5283"/>
      <c r="BW130" s="5284"/>
      <c r="BX130" s="5285"/>
      <c r="BY130" s="5274">
        <f>SUM(BP130+BS130+BV130)</f>
        <v>0</v>
      </c>
      <c r="BZ130" s="5275"/>
      <c r="CA130" s="5276"/>
      <c r="CB130" s="5346">
        <f t="shared" si="993"/>
        <v>5772.8220000000001</v>
      </c>
      <c r="CC130" s="5347"/>
      <c r="CD130" s="5348"/>
      <c r="CE130" s="5349">
        <f t="shared" ref="CE130:CE133" si="997">SUM(BY130+BG130)</f>
        <v>5146.3809399999991</v>
      </c>
      <c r="CF130" s="5350"/>
      <c r="CG130" s="5351"/>
      <c r="CH130" s="5349">
        <f>SUM(CE130-CB130)</f>
        <v>-626.44106000000102</v>
      </c>
      <c r="CI130" s="5350"/>
      <c r="CJ130" s="5351"/>
      <c r="CK130" s="2774"/>
      <c r="CL130" s="2774"/>
      <c r="CM130" s="2774"/>
    </row>
    <row r="131" spans="1:91" ht="36" customHeight="1" x14ac:dyDescent="0.2">
      <c r="A131" s="4386" t="s">
        <v>3765</v>
      </c>
      <c r="B131" s="5352">
        <f>270/4</f>
        <v>67.5</v>
      </c>
      <c r="C131" s="5353"/>
      <c r="D131" s="5354"/>
      <c r="E131" s="5283">
        <v>0</v>
      </c>
      <c r="F131" s="5284"/>
      <c r="G131" s="5285"/>
      <c r="H131" s="5283">
        <v>0</v>
      </c>
      <c r="I131" s="5284"/>
      <c r="J131" s="5285"/>
      <c r="K131" s="5283">
        <v>0</v>
      </c>
      <c r="L131" s="5284"/>
      <c r="M131" s="5285"/>
      <c r="N131" s="5274">
        <f>SUM(E131+H131+K131)</f>
        <v>0</v>
      </c>
      <c r="O131" s="5275"/>
      <c r="P131" s="5276"/>
      <c r="Q131" s="5352">
        <f>SUM(B131)</f>
        <v>67.5</v>
      </c>
      <c r="R131" s="5353"/>
      <c r="S131" s="5354"/>
      <c r="T131" s="5283">
        <v>0</v>
      </c>
      <c r="U131" s="5284"/>
      <c r="V131" s="5285"/>
      <c r="W131" s="5283">
        <v>0</v>
      </c>
      <c r="X131" s="5284"/>
      <c r="Y131" s="5285"/>
      <c r="Z131" s="5283">
        <v>0</v>
      </c>
      <c r="AA131" s="5284"/>
      <c r="AB131" s="5285"/>
      <c r="AC131" s="5274">
        <f>SUM(T131+W131+Z131)</f>
        <v>0</v>
      </c>
      <c r="AD131" s="5275"/>
      <c r="AE131" s="5276"/>
      <c r="AF131" s="5346">
        <f>SUM(B131+Q131)</f>
        <v>135</v>
      </c>
      <c r="AG131" s="5347"/>
      <c r="AH131" s="5348"/>
      <c r="AI131" s="5349">
        <f t="shared" si="994"/>
        <v>0</v>
      </c>
      <c r="AJ131" s="5350"/>
      <c r="AK131" s="5351"/>
      <c r="AL131" s="5349">
        <f t="shared" si="995"/>
        <v>-135</v>
      </c>
      <c r="AM131" s="5350"/>
      <c r="AN131" s="5351"/>
      <c r="AO131" s="5352">
        <f>SUM(Q131)</f>
        <v>67.5</v>
      </c>
      <c r="AP131" s="5353"/>
      <c r="AQ131" s="5354"/>
      <c r="AR131" s="5283">
        <v>0</v>
      </c>
      <c r="AS131" s="5284"/>
      <c r="AT131" s="5285"/>
      <c r="AU131" s="5283"/>
      <c r="AV131" s="5284"/>
      <c r="AW131" s="5285"/>
      <c r="AX131" s="5283"/>
      <c r="AY131" s="5284"/>
      <c r="AZ131" s="5285"/>
      <c r="BA131" s="5274">
        <f>SUM(AR131+AU131+AX131)</f>
        <v>0</v>
      </c>
      <c r="BB131" s="5275"/>
      <c r="BC131" s="5276"/>
      <c r="BD131" s="5346">
        <f>SUM(AF131+AO131)</f>
        <v>202.5</v>
      </c>
      <c r="BE131" s="5347"/>
      <c r="BF131" s="5348"/>
      <c r="BG131" s="5349">
        <f t="shared" si="996"/>
        <v>0</v>
      </c>
      <c r="BH131" s="5350"/>
      <c r="BI131" s="5351"/>
      <c r="BJ131" s="5349">
        <f>SUM(BG131-BD131)</f>
        <v>-202.5</v>
      </c>
      <c r="BK131" s="5350"/>
      <c r="BL131" s="5351"/>
      <c r="BM131" s="5352">
        <f>SUM(AO131)</f>
        <v>67.5</v>
      </c>
      <c r="BN131" s="5353"/>
      <c r="BO131" s="5354"/>
      <c r="BP131" s="5283"/>
      <c r="BQ131" s="5284"/>
      <c r="BR131" s="5285"/>
      <c r="BS131" s="5283"/>
      <c r="BT131" s="5284"/>
      <c r="BU131" s="5285"/>
      <c r="BV131" s="5283"/>
      <c r="BW131" s="5284"/>
      <c r="BX131" s="5285"/>
      <c r="BY131" s="5274">
        <f>SUM(BP131+BS131+BV131)</f>
        <v>0</v>
      </c>
      <c r="BZ131" s="5275"/>
      <c r="CA131" s="5276"/>
      <c r="CB131" s="5346">
        <f t="shared" si="993"/>
        <v>270</v>
      </c>
      <c r="CC131" s="5347"/>
      <c r="CD131" s="5348"/>
      <c r="CE131" s="5349">
        <f t="shared" si="997"/>
        <v>0</v>
      </c>
      <c r="CF131" s="5350"/>
      <c r="CG131" s="5351"/>
      <c r="CH131" s="5349">
        <f>SUM(CE131-CB131)</f>
        <v>-270</v>
      </c>
      <c r="CI131" s="5350"/>
      <c r="CJ131" s="5351"/>
      <c r="CK131" s="2774"/>
      <c r="CL131" s="2774"/>
      <c r="CM131" s="2774"/>
    </row>
    <row r="132" spans="1:91" ht="35.25" customHeight="1" x14ac:dyDescent="0.2">
      <c r="A132" s="4386" t="s">
        <v>3715</v>
      </c>
      <c r="B132" s="5352">
        <f>1024/4</f>
        <v>256</v>
      </c>
      <c r="C132" s="5353"/>
      <c r="D132" s="5354"/>
      <c r="E132" s="5283">
        <v>25.39</v>
      </c>
      <c r="F132" s="5284"/>
      <c r="G132" s="5285"/>
      <c r="H132" s="5283">
        <v>37.930660000000003</v>
      </c>
      <c r="I132" s="5284"/>
      <c r="J132" s="5285"/>
      <c r="K132" s="5283">
        <v>3.9604699999999999</v>
      </c>
      <c r="L132" s="5284"/>
      <c r="M132" s="5285"/>
      <c r="N132" s="5274">
        <f>SUM(E132+H132+K132)</f>
        <v>67.281130000000005</v>
      </c>
      <c r="O132" s="5275"/>
      <c r="P132" s="5276"/>
      <c r="Q132" s="5352">
        <f>SUM(B132)</f>
        <v>256</v>
      </c>
      <c r="R132" s="5353"/>
      <c r="S132" s="5354"/>
      <c r="T132" s="5283">
        <v>20.364450000000001</v>
      </c>
      <c r="U132" s="5284"/>
      <c r="V132" s="5285"/>
      <c r="W132" s="5283">
        <v>2.90022</v>
      </c>
      <c r="X132" s="5284"/>
      <c r="Y132" s="5285"/>
      <c r="Z132" s="5283">
        <v>6.07193</v>
      </c>
      <c r="AA132" s="5284"/>
      <c r="AB132" s="5285"/>
      <c r="AC132" s="5274">
        <f>SUM(T132+W132+Z132)</f>
        <v>29.336600000000004</v>
      </c>
      <c r="AD132" s="5275"/>
      <c r="AE132" s="5276"/>
      <c r="AF132" s="5346">
        <f>SUM(B132+Q132)</f>
        <v>512</v>
      </c>
      <c r="AG132" s="5347"/>
      <c r="AH132" s="5348"/>
      <c r="AI132" s="5349">
        <f t="shared" si="994"/>
        <v>96.617730000000009</v>
      </c>
      <c r="AJ132" s="5350"/>
      <c r="AK132" s="5351"/>
      <c r="AL132" s="5349">
        <f t="shared" si="995"/>
        <v>-415.38227000000001</v>
      </c>
      <c r="AM132" s="5350"/>
      <c r="AN132" s="5351"/>
      <c r="AO132" s="5352">
        <f>SUM(Q132)</f>
        <v>256</v>
      </c>
      <c r="AP132" s="5353"/>
      <c r="AQ132" s="5354"/>
      <c r="AR132" s="5283">
        <v>19.372520000000002</v>
      </c>
      <c r="AS132" s="5284"/>
      <c r="AT132" s="5285"/>
      <c r="AU132" s="5283"/>
      <c r="AV132" s="5284"/>
      <c r="AW132" s="5285"/>
      <c r="AX132" s="5283"/>
      <c r="AY132" s="5284"/>
      <c r="AZ132" s="5285"/>
      <c r="BA132" s="5274">
        <f>SUM(AR132+AU132+AX132)</f>
        <v>19.372520000000002</v>
      </c>
      <c r="BB132" s="5275"/>
      <c r="BC132" s="5276"/>
      <c r="BD132" s="5346">
        <f>SUM(AF132+AO132)</f>
        <v>768</v>
      </c>
      <c r="BE132" s="5347"/>
      <c r="BF132" s="5348"/>
      <c r="BG132" s="5349">
        <f t="shared" si="996"/>
        <v>115.99025</v>
      </c>
      <c r="BH132" s="5350"/>
      <c r="BI132" s="5351"/>
      <c r="BJ132" s="5349">
        <f>SUM(BG132-BD132)</f>
        <v>-652.00974999999994</v>
      </c>
      <c r="BK132" s="5350"/>
      <c r="BL132" s="5351"/>
      <c r="BM132" s="5352">
        <f>SUM(AO132)</f>
        <v>256</v>
      </c>
      <c r="BN132" s="5353"/>
      <c r="BO132" s="5354"/>
      <c r="BP132" s="5283"/>
      <c r="BQ132" s="5284"/>
      <c r="BR132" s="5285"/>
      <c r="BS132" s="5283"/>
      <c r="BT132" s="5284"/>
      <c r="BU132" s="5285"/>
      <c r="BV132" s="5283"/>
      <c r="BW132" s="5284"/>
      <c r="BX132" s="5285"/>
      <c r="BY132" s="5274">
        <f>SUM(BP132+BS132+BV132)</f>
        <v>0</v>
      </c>
      <c r="BZ132" s="5275"/>
      <c r="CA132" s="5276"/>
      <c r="CB132" s="5346">
        <f t="shared" si="993"/>
        <v>1024</v>
      </c>
      <c r="CC132" s="5347"/>
      <c r="CD132" s="5348"/>
      <c r="CE132" s="5349">
        <f t="shared" si="997"/>
        <v>115.99025</v>
      </c>
      <c r="CF132" s="5350"/>
      <c r="CG132" s="5351"/>
      <c r="CH132" s="5349">
        <f>SUM(CE132-CB132)</f>
        <v>-908.00974999999994</v>
      </c>
      <c r="CI132" s="5350"/>
      <c r="CJ132" s="5351"/>
      <c r="CK132" s="2774"/>
      <c r="CL132" s="2774"/>
      <c r="CM132" s="2774"/>
    </row>
    <row r="133" spans="1:91" ht="18.75" customHeight="1" x14ac:dyDescent="0.2">
      <c r="A133" s="4376" t="s">
        <v>3716</v>
      </c>
      <c r="B133" s="5334">
        <f>SUM(B126+B129)</f>
        <v>33051.388152511616</v>
      </c>
      <c r="C133" s="5335"/>
      <c r="D133" s="5336"/>
      <c r="E133" s="5337">
        <f>SUM(E126+E129)</f>
        <v>12590.351080000002</v>
      </c>
      <c r="F133" s="5338"/>
      <c r="G133" s="5339"/>
      <c r="H133" s="5337">
        <f t="shared" ref="H133" si="998">SUM(H126+H129)</f>
        <v>11014.95442</v>
      </c>
      <c r="I133" s="5338"/>
      <c r="J133" s="5339"/>
      <c r="K133" s="5337">
        <f t="shared" ref="K133" si="999">SUM(K126+K129)</f>
        <v>11819.72445</v>
      </c>
      <c r="L133" s="5338"/>
      <c r="M133" s="5339"/>
      <c r="N133" s="5337">
        <f t="shared" ref="N133" si="1000">SUM(N126+N129)</f>
        <v>35425.029950000004</v>
      </c>
      <c r="O133" s="5338"/>
      <c r="P133" s="5339"/>
      <c r="Q133" s="5334">
        <f>SUM(Q126+Q129)</f>
        <v>33051.388152511616</v>
      </c>
      <c r="R133" s="5335"/>
      <c r="S133" s="5336"/>
      <c r="T133" s="5337">
        <f>SUM(T126+T129)</f>
        <v>12929.758479999999</v>
      </c>
      <c r="U133" s="5338"/>
      <c r="V133" s="5339"/>
      <c r="W133" s="5337">
        <f t="shared" ref="W133" si="1001">SUM(W126+W129)</f>
        <v>13021.153689999999</v>
      </c>
      <c r="X133" s="5338"/>
      <c r="Y133" s="5339"/>
      <c r="Z133" s="5337">
        <f t="shared" ref="Z133" si="1002">SUM(Z126+Z129)</f>
        <v>12397.621159999999</v>
      </c>
      <c r="AA133" s="5338"/>
      <c r="AB133" s="5339"/>
      <c r="AC133" s="5337">
        <f t="shared" ref="AC133" si="1003">SUM(AC126+AC129)</f>
        <v>38348.533329999998</v>
      </c>
      <c r="AD133" s="5338"/>
      <c r="AE133" s="5339"/>
      <c r="AF133" s="5343">
        <f>SUM(B133+Q133)</f>
        <v>66102.776305023232</v>
      </c>
      <c r="AG133" s="5344"/>
      <c r="AH133" s="5345"/>
      <c r="AI133" s="5340">
        <f t="shared" si="994"/>
        <v>73773.563280000002</v>
      </c>
      <c r="AJ133" s="5341"/>
      <c r="AK133" s="5342"/>
      <c r="AL133" s="5340">
        <f t="shared" si="995"/>
        <v>7670.7869749767706</v>
      </c>
      <c r="AM133" s="5341"/>
      <c r="AN133" s="5342"/>
      <c r="AO133" s="5334">
        <f>SUM(AO126+AO129)</f>
        <v>33051.388152511616</v>
      </c>
      <c r="AP133" s="5335"/>
      <c r="AQ133" s="5336"/>
      <c r="AR133" s="5337">
        <f>SUM(AR126+AR129)</f>
        <v>11786.435230000001</v>
      </c>
      <c r="AS133" s="5338"/>
      <c r="AT133" s="5339"/>
      <c r="AU133" s="5337">
        <f t="shared" ref="AU133" si="1004">SUM(AU126+AU129)</f>
        <v>0</v>
      </c>
      <c r="AV133" s="5338"/>
      <c r="AW133" s="5339"/>
      <c r="AX133" s="5337">
        <f t="shared" ref="AX133" si="1005">SUM(AX126+AX129)</f>
        <v>0</v>
      </c>
      <c r="AY133" s="5338"/>
      <c r="AZ133" s="5339"/>
      <c r="BA133" s="5337">
        <f t="shared" ref="BA133" si="1006">SUM(BA126+BA129)</f>
        <v>11786.435230000001</v>
      </c>
      <c r="BB133" s="5338"/>
      <c r="BC133" s="5339"/>
      <c r="BD133" s="5343">
        <f t="shared" si="992"/>
        <v>99154.164457534847</v>
      </c>
      <c r="BE133" s="5344"/>
      <c r="BF133" s="5345"/>
      <c r="BG133" s="5340">
        <f t="shared" si="996"/>
        <v>85559.998510000005</v>
      </c>
      <c r="BH133" s="5341"/>
      <c r="BI133" s="5342"/>
      <c r="BJ133" s="5340">
        <f>SUM(BG133-BD133)</f>
        <v>-13594.165947534842</v>
      </c>
      <c r="BK133" s="5341"/>
      <c r="BL133" s="5342"/>
      <c r="BM133" s="5334">
        <f>SUM(BM126+BM129)</f>
        <v>33051.388152511616</v>
      </c>
      <c r="BN133" s="5335"/>
      <c r="BO133" s="5336"/>
      <c r="BP133" s="5337">
        <f>SUM(BP126+BP129)</f>
        <v>0</v>
      </c>
      <c r="BQ133" s="5338"/>
      <c r="BR133" s="5339"/>
      <c r="BS133" s="5337">
        <f t="shared" ref="BS133" si="1007">SUM(BS126+BS129)</f>
        <v>0</v>
      </c>
      <c r="BT133" s="5338"/>
      <c r="BU133" s="5339"/>
      <c r="BV133" s="5337">
        <f t="shared" ref="BV133" si="1008">SUM(BV126+BV129)</f>
        <v>0</v>
      </c>
      <c r="BW133" s="5338"/>
      <c r="BX133" s="5339"/>
      <c r="BY133" s="5337">
        <f t="shared" ref="BY133" si="1009">SUM(BY126+BY129)</f>
        <v>0</v>
      </c>
      <c r="BZ133" s="5338"/>
      <c r="CA133" s="5339"/>
      <c r="CB133" s="5343">
        <f t="shared" si="993"/>
        <v>132205.55261004646</v>
      </c>
      <c r="CC133" s="5344"/>
      <c r="CD133" s="5345"/>
      <c r="CE133" s="5340">
        <f t="shared" si="997"/>
        <v>85559.998510000005</v>
      </c>
      <c r="CF133" s="5341"/>
      <c r="CG133" s="5342"/>
      <c r="CH133" s="5340">
        <f>SUM(CE133-CB133)</f>
        <v>-46645.554100046458</v>
      </c>
      <c r="CI133" s="5341"/>
      <c r="CJ133" s="5342"/>
      <c r="CK133" s="2774"/>
      <c r="CL133" s="2774"/>
      <c r="CM133" s="2774"/>
    </row>
    <row r="134" spans="1:91" ht="18.75" customHeight="1" x14ac:dyDescent="0.2">
      <c r="A134" s="2864"/>
      <c r="B134" s="523"/>
      <c r="C134" s="523"/>
      <c r="D134" s="523"/>
      <c r="E134" s="523"/>
      <c r="F134" s="523"/>
      <c r="G134" s="523"/>
      <c r="H134" s="523"/>
      <c r="I134" s="523"/>
      <c r="J134" s="523"/>
      <c r="K134" s="523"/>
      <c r="L134" s="523"/>
      <c r="M134" s="523"/>
      <c r="N134" s="523"/>
      <c r="O134" s="523"/>
      <c r="P134" s="523"/>
      <c r="Q134" s="523"/>
      <c r="R134" s="523"/>
      <c r="S134" s="523"/>
      <c r="T134" s="523"/>
      <c r="U134" s="523"/>
      <c r="V134" s="523"/>
      <c r="W134" s="523"/>
      <c r="X134" s="523"/>
      <c r="Y134" s="523"/>
      <c r="Z134" s="523"/>
      <c r="AA134" s="523"/>
      <c r="AB134" s="523"/>
      <c r="AC134" s="523"/>
      <c r="AD134" s="523"/>
      <c r="AE134" s="523"/>
      <c r="AF134" s="523"/>
      <c r="AG134" s="523"/>
      <c r="AH134" s="523"/>
      <c r="AI134" s="523"/>
      <c r="AJ134" s="523"/>
      <c r="AK134" s="523"/>
      <c r="AL134" s="523"/>
      <c r="AM134" s="523"/>
      <c r="AN134" s="523"/>
      <c r="AO134" s="523"/>
      <c r="AP134" s="523"/>
      <c r="AQ134" s="523"/>
      <c r="AR134" s="523"/>
      <c r="AS134" s="523"/>
      <c r="AT134" s="523"/>
      <c r="AU134" s="523"/>
      <c r="AV134" s="523"/>
      <c r="AW134" s="523"/>
      <c r="AX134" s="523"/>
      <c r="AY134" s="523"/>
      <c r="AZ134" s="523"/>
      <c r="BA134" s="523"/>
      <c r="BB134" s="523"/>
      <c r="BC134" s="523"/>
      <c r="BD134" s="523"/>
      <c r="BE134" s="523"/>
      <c r="BF134" s="523"/>
      <c r="BG134" s="523"/>
      <c r="BH134" s="523"/>
      <c r="BI134" s="523"/>
      <c r="BJ134" s="523"/>
      <c r="BK134" s="523"/>
      <c r="BL134" s="523"/>
      <c r="BM134" s="523"/>
      <c r="BN134" s="523"/>
      <c r="BO134" s="523"/>
      <c r="BP134" s="523"/>
      <c r="BQ134" s="523"/>
      <c r="BR134" s="523"/>
      <c r="BS134" s="523"/>
      <c r="BT134" s="523"/>
      <c r="BU134" s="523"/>
      <c r="BV134" s="523"/>
      <c r="BW134" s="523"/>
      <c r="BX134" s="523"/>
      <c r="BY134" s="523"/>
      <c r="BZ134" s="523"/>
      <c r="CA134" s="523"/>
      <c r="CB134" s="523"/>
      <c r="CC134" s="523"/>
      <c r="CD134" s="523"/>
      <c r="CK134" s="2774"/>
      <c r="CL134" s="2774"/>
      <c r="CM134" s="2774"/>
    </row>
    <row r="135" spans="1:91" ht="18.75" customHeight="1" x14ac:dyDescent="0.2">
      <c r="A135" s="2865"/>
      <c r="B135" s="523"/>
      <c r="C135" s="523"/>
      <c r="D135" s="523"/>
      <c r="E135" s="523"/>
      <c r="F135" s="523"/>
      <c r="G135" s="523"/>
      <c r="H135" s="523"/>
      <c r="I135" s="523"/>
      <c r="J135" s="523"/>
      <c r="K135" s="523"/>
      <c r="L135" s="523"/>
      <c r="M135" s="523"/>
      <c r="N135" s="523"/>
      <c r="O135" s="523"/>
      <c r="P135" s="523"/>
      <c r="Q135" s="523"/>
      <c r="R135" s="523"/>
      <c r="S135" s="523"/>
      <c r="T135" s="523"/>
      <c r="U135" s="523"/>
      <c r="V135" s="523"/>
      <c r="W135" s="523"/>
      <c r="X135" s="523"/>
      <c r="Y135" s="523"/>
      <c r="Z135" s="523"/>
      <c r="AA135" s="523"/>
      <c r="AB135" s="523"/>
      <c r="AC135" s="523"/>
      <c r="AD135" s="523"/>
      <c r="AE135" s="523"/>
      <c r="AF135" s="523"/>
      <c r="AG135" s="523"/>
      <c r="AH135" s="523"/>
      <c r="AI135" s="523"/>
      <c r="AJ135" s="523"/>
      <c r="AK135" s="523"/>
      <c r="AL135" s="523"/>
      <c r="AM135" s="523"/>
      <c r="AN135" s="523"/>
      <c r="AO135" s="523"/>
      <c r="AP135" s="523"/>
      <c r="AQ135" s="523"/>
      <c r="AR135" s="523"/>
      <c r="AS135" s="523"/>
      <c r="AT135" s="523"/>
      <c r="AU135" s="523"/>
      <c r="AV135" s="523"/>
      <c r="AW135" s="523"/>
      <c r="AX135" s="523"/>
      <c r="AY135" s="523"/>
      <c r="AZ135" s="523"/>
      <c r="BA135" s="523"/>
      <c r="BB135" s="523"/>
      <c r="BC135" s="523"/>
      <c r="BD135" s="523"/>
      <c r="BE135" s="523"/>
      <c r="BF135" s="523"/>
      <c r="BG135" s="523"/>
      <c r="BH135" s="523"/>
      <c r="BI135" s="523"/>
      <c r="BJ135" s="523"/>
      <c r="BK135" s="523"/>
      <c r="BL135" s="523"/>
      <c r="BM135" s="523"/>
      <c r="BN135" s="523"/>
      <c r="BO135" s="523"/>
      <c r="BP135" s="523"/>
      <c r="BQ135" s="523"/>
      <c r="BR135" s="523"/>
      <c r="BS135" s="523"/>
      <c r="BT135" s="523"/>
      <c r="BU135" s="523"/>
      <c r="BV135" s="523"/>
      <c r="BW135" s="523"/>
      <c r="BX135" s="523"/>
      <c r="BY135" s="523"/>
      <c r="BZ135" s="523"/>
      <c r="CA135" s="523"/>
      <c r="CB135" s="523"/>
      <c r="CC135" s="523"/>
      <c r="CD135" s="523"/>
      <c r="CK135" s="2774"/>
      <c r="CL135" s="2774"/>
      <c r="CM135" s="2774"/>
    </row>
    <row r="136" spans="1:91" ht="18.75" customHeight="1" x14ac:dyDescent="0.2">
      <c r="A136" s="2865"/>
      <c r="B136" s="523"/>
      <c r="C136" s="523"/>
      <c r="D136" s="523"/>
      <c r="E136" s="523"/>
      <c r="F136" s="523"/>
      <c r="G136" s="523"/>
      <c r="H136" s="523"/>
      <c r="I136" s="523"/>
      <c r="J136" s="523"/>
      <c r="K136" s="523"/>
      <c r="L136" s="523"/>
      <c r="M136" s="523"/>
      <c r="N136" s="523"/>
      <c r="O136" s="523"/>
      <c r="P136" s="523"/>
      <c r="Q136" s="523"/>
      <c r="R136" s="523"/>
      <c r="S136" s="523"/>
      <c r="T136" s="523"/>
      <c r="U136" s="523"/>
      <c r="V136" s="523"/>
      <c r="W136" s="523"/>
      <c r="X136" s="523"/>
      <c r="Y136" s="523"/>
      <c r="Z136" s="523"/>
      <c r="AA136" s="523"/>
      <c r="AB136" s="523"/>
      <c r="AC136" s="523"/>
      <c r="AD136" s="523"/>
      <c r="AE136" s="523"/>
      <c r="AF136" s="523"/>
      <c r="AG136" s="523"/>
      <c r="AH136" s="523"/>
      <c r="AI136" s="523"/>
      <c r="AJ136" s="523"/>
      <c r="AK136" s="523"/>
      <c r="AL136" s="523"/>
      <c r="AM136" s="523"/>
      <c r="AN136" s="523"/>
      <c r="AO136" s="523"/>
      <c r="AP136" s="523"/>
      <c r="AQ136" s="523"/>
      <c r="AR136" s="523"/>
      <c r="AS136" s="523"/>
      <c r="AT136" s="523"/>
      <c r="AU136" s="523"/>
      <c r="AV136" s="523"/>
      <c r="AW136" s="523"/>
      <c r="AX136" s="523"/>
      <c r="AY136" s="523"/>
      <c r="AZ136" s="523"/>
      <c r="BA136" s="523"/>
      <c r="BB136" s="523"/>
      <c r="BC136" s="523"/>
      <c r="BD136" s="523"/>
      <c r="BE136" s="523"/>
      <c r="BF136" s="523"/>
      <c r="BG136" s="523"/>
      <c r="BH136" s="523"/>
      <c r="BI136" s="523"/>
      <c r="BJ136" s="523"/>
      <c r="BK136" s="523"/>
      <c r="BL136" s="523"/>
      <c r="BM136" s="523"/>
      <c r="BN136" s="523"/>
      <c r="BO136" s="523"/>
      <c r="BP136" s="523"/>
      <c r="BQ136" s="523"/>
      <c r="BR136" s="523"/>
      <c r="BS136" s="523"/>
      <c r="BT136" s="523"/>
      <c r="BU136" s="523"/>
      <c r="BV136" s="523"/>
      <c r="BW136" s="523"/>
      <c r="BX136" s="523"/>
      <c r="BY136" s="523"/>
      <c r="BZ136" s="523"/>
      <c r="CA136" s="523"/>
      <c r="CB136" s="523"/>
      <c r="CC136" s="523"/>
      <c r="CD136" s="523"/>
      <c r="CK136" s="2774"/>
      <c r="CL136" s="2774"/>
      <c r="CM136" s="2774"/>
    </row>
    <row r="137" spans="1:91" ht="18.75" customHeight="1" x14ac:dyDescent="0.2">
      <c r="CK137" s="2774"/>
      <c r="CL137" s="2774"/>
      <c r="CM137" s="2774"/>
    </row>
    <row r="138" spans="1:91" ht="18.75" customHeight="1" x14ac:dyDescent="0.3">
      <c r="A138" s="2792" t="s">
        <v>4235</v>
      </c>
      <c r="CK138" s="2774"/>
      <c r="CL138" s="2774"/>
      <c r="CM138" s="2774"/>
    </row>
    <row r="139" spans="1:91" ht="18.75" customHeight="1" x14ac:dyDescent="0.3">
      <c r="A139" s="2792" t="s">
        <v>3717</v>
      </c>
      <c r="CK139" s="2774"/>
      <c r="CL139" s="2774"/>
      <c r="CM139" s="2774"/>
    </row>
    <row r="140" spans="1:91" ht="18.75" customHeight="1" x14ac:dyDescent="0.2">
      <c r="CK140" s="2774"/>
      <c r="CL140" s="2774"/>
      <c r="CM140" s="2774"/>
    </row>
    <row r="141" spans="1:91" ht="18.75" customHeight="1" x14ac:dyDescent="0.2">
      <c r="A141" s="4426" t="s">
        <v>3752</v>
      </c>
      <c r="B141" s="4427"/>
      <c r="C141" s="4427"/>
      <c r="D141" s="4427"/>
      <c r="E141" s="4427"/>
      <c r="F141" s="4427"/>
      <c r="G141" s="4427"/>
      <c r="H141" s="4427"/>
      <c r="I141" s="4427"/>
      <c r="J141" s="4427"/>
      <c r="K141" s="4428"/>
      <c r="L141" s="4428"/>
      <c r="M141" s="4428"/>
      <c r="N141" s="4428"/>
      <c r="O141" s="4428"/>
      <c r="P141" s="4428"/>
      <c r="Q141" s="4428"/>
      <c r="R141" s="4428"/>
      <c r="S141" s="4428"/>
      <c r="T141" s="4428"/>
      <c r="U141" s="4428"/>
      <c r="V141" s="4428"/>
      <c r="W141" s="4428"/>
      <c r="X141" s="4428"/>
      <c r="Y141" s="4428"/>
      <c r="Z141" s="4428"/>
      <c r="AA141" s="4428"/>
      <c r="AB141" s="4428"/>
      <c r="AC141" s="4428"/>
      <c r="AD141" s="4428"/>
      <c r="AE141" s="4428"/>
      <c r="AF141" s="4428"/>
      <c r="AG141" s="4428"/>
      <c r="AH141" s="4428"/>
      <c r="AI141" s="4428"/>
      <c r="AJ141" s="4428"/>
      <c r="AK141" s="4428"/>
      <c r="AL141" s="4428"/>
      <c r="AM141" s="4428"/>
      <c r="AN141" s="4428"/>
      <c r="AO141" s="4428"/>
      <c r="AP141" s="4428"/>
      <c r="AQ141" s="4428"/>
      <c r="AR141" s="4428"/>
      <c r="AS141" s="4428"/>
      <c r="AT141" s="4428"/>
      <c r="AU141" s="4428"/>
      <c r="AV141" s="4428"/>
      <c r="AW141" s="4428"/>
      <c r="AX141" s="4428"/>
      <c r="AY141" s="4428"/>
      <c r="AZ141" s="4428"/>
      <c r="BA141" s="4428"/>
      <c r="BB141" s="4428"/>
      <c r="BC141" s="4428"/>
      <c r="BD141" s="4428"/>
      <c r="BE141" s="4428"/>
      <c r="BF141" s="4428"/>
      <c r="BG141" s="4428"/>
      <c r="BH141" s="4428"/>
      <c r="BI141" s="4428"/>
      <c r="BJ141" s="4428"/>
      <c r="BK141" s="4428"/>
      <c r="BL141" s="4428"/>
      <c r="BM141" s="4428"/>
      <c r="BN141" s="4428"/>
      <c r="BO141" s="4428"/>
      <c r="BP141" s="4428"/>
      <c r="BQ141" s="4428"/>
      <c r="BR141" s="4428"/>
      <c r="BS141" s="4428"/>
      <c r="BT141" s="4428"/>
      <c r="BU141" s="4428"/>
      <c r="BV141" s="4429"/>
      <c r="BW141" s="4429"/>
      <c r="BX141" s="4429"/>
      <c r="BY141" s="4429"/>
      <c r="BZ141" s="4429"/>
      <c r="CA141" s="4429"/>
      <c r="CB141" s="4429"/>
      <c r="CC141" s="4429"/>
      <c r="CD141" s="4429"/>
      <c r="CE141" s="4429"/>
      <c r="CF141" s="4429"/>
      <c r="CG141" s="4429"/>
      <c r="CH141" s="4429"/>
      <c r="CI141" s="4429"/>
      <c r="CJ141" s="4430"/>
      <c r="CK141" s="2774"/>
      <c r="CL141" s="2774"/>
      <c r="CM141" s="2774"/>
    </row>
    <row r="142" spans="1:91" ht="25.5" customHeight="1" x14ac:dyDescent="0.2">
      <c r="A142" s="5323" t="s">
        <v>525</v>
      </c>
      <c r="B142" s="5305" t="s">
        <v>3678</v>
      </c>
      <c r="C142" s="5306"/>
      <c r="D142" s="5306"/>
      <c r="E142" s="5306"/>
      <c r="F142" s="5306"/>
      <c r="G142" s="5306"/>
      <c r="H142" s="5306"/>
      <c r="I142" s="5306"/>
      <c r="J142" s="5306"/>
      <c r="K142" s="5306"/>
      <c r="L142" s="5306"/>
      <c r="M142" s="5306"/>
      <c r="N142" s="5306"/>
      <c r="O142" s="5306"/>
      <c r="P142" s="5307"/>
      <c r="Q142" s="5296" t="s">
        <v>3679</v>
      </c>
      <c r="R142" s="5297"/>
      <c r="S142" s="5297"/>
      <c r="T142" s="5297"/>
      <c r="U142" s="5297"/>
      <c r="V142" s="5297"/>
      <c r="W142" s="5297"/>
      <c r="X142" s="5297"/>
      <c r="Y142" s="5297"/>
      <c r="Z142" s="5297"/>
      <c r="AA142" s="5297"/>
      <c r="AB142" s="5297"/>
      <c r="AC142" s="5297"/>
      <c r="AD142" s="5308"/>
      <c r="AE142" s="5309"/>
      <c r="AF142" s="5292" t="s">
        <v>3680</v>
      </c>
      <c r="AG142" s="5293"/>
      <c r="AH142" s="5293"/>
      <c r="AI142" s="5293"/>
      <c r="AJ142" s="5293"/>
      <c r="AK142" s="5293"/>
      <c r="AL142" s="5293"/>
      <c r="AM142" s="5310"/>
      <c r="AN142" s="5311"/>
      <c r="AO142" s="5305" t="s">
        <v>3681</v>
      </c>
      <c r="AP142" s="5306"/>
      <c r="AQ142" s="5306"/>
      <c r="AR142" s="5306"/>
      <c r="AS142" s="5306"/>
      <c r="AT142" s="5306"/>
      <c r="AU142" s="5306"/>
      <c r="AV142" s="5306"/>
      <c r="AW142" s="5306"/>
      <c r="AX142" s="5306"/>
      <c r="AY142" s="5306"/>
      <c r="AZ142" s="5306"/>
      <c r="BA142" s="5306"/>
      <c r="BB142" s="5310"/>
      <c r="BC142" s="5311"/>
      <c r="BD142" s="5292" t="s">
        <v>3682</v>
      </c>
      <c r="BE142" s="5293"/>
      <c r="BF142" s="5293"/>
      <c r="BG142" s="5293"/>
      <c r="BH142" s="5293"/>
      <c r="BI142" s="5293"/>
      <c r="BJ142" s="5293"/>
      <c r="BK142" s="5310"/>
      <c r="BL142" s="5311"/>
      <c r="BM142" s="5305" t="s">
        <v>3683</v>
      </c>
      <c r="BN142" s="5306"/>
      <c r="BO142" s="5306"/>
      <c r="BP142" s="5306"/>
      <c r="BQ142" s="5306"/>
      <c r="BR142" s="5306"/>
      <c r="BS142" s="5306"/>
      <c r="BT142" s="5306"/>
      <c r="BU142" s="5306"/>
      <c r="BV142" s="5306"/>
      <c r="BW142" s="5306"/>
      <c r="BX142" s="5306"/>
      <c r="BY142" s="5306"/>
      <c r="BZ142" s="5310"/>
      <c r="CA142" s="5310"/>
      <c r="CB142" s="5292" t="s">
        <v>1991</v>
      </c>
      <c r="CC142" s="5293"/>
      <c r="CD142" s="5293"/>
      <c r="CE142" s="5293"/>
      <c r="CF142" s="5293"/>
      <c r="CG142" s="5293"/>
      <c r="CH142" s="5293"/>
      <c r="CI142" s="5294"/>
      <c r="CJ142" s="5295"/>
      <c r="CK142" s="2774"/>
      <c r="CL142" s="2774"/>
      <c r="CM142" s="2774"/>
    </row>
    <row r="143" spans="1:91" ht="25.5" customHeight="1" x14ac:dyDescent="0.2">
      <c r="A143" s="5324"/>
      <c r="B143" s="5296" t="s">
        <v>3550</v>
      </c>
      <c r="C143" s="5297"/>
      <c r="D143" s="5298"/>
      <c r="E143" s="5299" t="s">
        <v>569</v>
      </c>
      <c r="F143" s="5300"/>
      <c r="G143" s="5301"/>
      <c r="H143" s="5299" t="s">
        <v>570</v>
      </c>
      <c r="I143" s="5300"/>
      <c r="J143" s="5301"/>
      <c r="K143" s="5299" t="s">
        <v>571</v>
      </c>
      <c r="L143" s="5300"/>
      <c r="M143" s="5301"/>
      <c r="N143" s="5296" t="s">
        <v>1674</v>
      </c>
      <c r="O143" s="5297"/>
      <c r="P143" s="5298"/>
      <c r="Q143" s="5296" t="s">
        <v>3550</v>
      </c>
      <c r="R143" s="5297"/>
      <c r="S143" s="5298"/>
      <c r="T143" s="5302" t="s">
        <v>3684</v>
      </c>
      <c r="U143" s="5303"/>
      <c r="V143" s="5304"/>
      <c r="W143" s="5302" t="s">
        <v>573</v>
      </c>
      <c r="X143" s="5303"/>
      <c r="Y143" s="5304"/>
      <c r="Z143" s="5302" t="s">
        <v>574</v>
      </c>
      <c r="AA143" s="5303"/>
      <c r="AB143" s="5304"/>
      <c r="AC143" s="5296" t="s">
        <v>1674</v>
      </c>
      <c r="AD143" s="5297"/>
      <c r="AE143" s="5298"/>
      <c r="AF143" s="5312" t="s">
        <v>3550</v>
      </c>
      <c r="AG143" s="5313"/>
      <c r="AH143" s="5314"/>
      <c r="AI143" s="5312" t="s">
        <v>1674</v>
      </c>
      <c r="AJ143" s="5313"/>
      <c r="AK143" s="5314"/>
      <c r="AL143" s="5312" t="s">
        <v>3685</v>
      </c>
      <c r="AM143" s="5313"/>
      <c r="AN143" s="5314"/>
      <c r="AO143" s="5328" t="s">
        <v>3550</v>
      </c>
      <c r="AP143" s="5329"/>
      <c r="AQ143" s="5330"/>
      <c r="AR143" s="5331" t="s">
        <v>575</v>
      </c>
      <c r="AS143" s="5332"/>
      <c r="AT143" s="5333"/>
      <c r="AU143" s="5331" t="s">
        <v>576</v>
      </c>
      <c r="AV143" s="5332"/>
      <c r="AW143" s="5333"/>
      <c r="AX143" s="5331" t="s">
        <v>577</v>
      </c>
      <c r="AY143" s="5332"/>
      <c r="AZ143" s="5333"/>
      <c r="BA143" s="5328" t="s">
        <v>1674</v>
      </c>
      <c r="BB143" s="5329"/>
      <c r="BC143" s="5330"/>
      <c r="BD143" s="5325" t="s">
        <v>3550</v>
      </c>
      <c r="BE143" s="5326"/>
      <c r="BF143" s="5327"/>
      <c r="BG143" s="5325" t="s">
        <v>1674</v>
      </c>
      <c r="BH143" s="5326"/>
      <c r="BI143" s="5327"/>
      <c r="BJ143" s="5325" t="s">
        <v>3685</v>
      </c>
      <c r="BK143" s="5326"/>
      <c r="BL143" s="5327"/>
      <c r="BM143" s="5315" t="s">
        <v>3550</v>
      </c>
      <c r="BN143" s="5316"/>
      <c r="BO143" s="5317"/>
      <c r="BP143" s="5315" t="s">
        <v>578</v>
      </c>
      <c r="BQ143" s="5316"/>
      <c r="BR143" s="5317"/>
      <c r="BS143" s="5315" t="s">
        <v>579</v>
      </c>
      <c r="BT143" s="5316"/>
      <c r="BU143" s="5317"/>
      <c r="BV143" s="5315" t="s">
        <v>580</v>
      </c>
      <c r="BW143" s="5316"/>
      <c r="BX143" s="5317"/>
      <c r="BY143" s="5315" t="s">
        <v>1674</v>
      </c>
      <c r="BZ143" s="5316"/>
      <c r="CA143" s="5316"/>
      <c r="CB143" s="5318" t="s">
        <v>3550</v>
      </c>
      <c r="CC143" s="5319"/>
      <c r="CD143" s="5320"/>
      <c r="CE143" s="5318" t="s">
        <v>1674</v>
      </c>
      <c r="CF143" s="5319"/>
      <c r="CG143" s="5320"/>
      <c r="CH143" s="5318" t="s">
        <v>3685</v>
      </c>
      <c r="CI143" s="5321"/>
      <c r="CJ143" s="5322"/>
      <c r="CK143" s="2774"/>
      <c r="CL143" s="2774"/>
      <c r="CM143" s="2774"/>
    </row>
    <row r="144" spans="1:91" ht="18.75" customHeight="1" x14ac:dyDescent="0.2">
      <c r="A144" s="5324"/>
      <c r="B144" s="4374" t="s">
        <v>614</v>
      </c>
      <c r="C144" s="4374" t="s">
        <v>3753</v>
      </c>
      <c r="D144" s="4374" t="s">
        <v>3754</v>
      </c>
      <c r="E144" s="4374" t="s">
        <v>614</v>
      </c>
      <c r="F144" s="4374" t="s">
        <v>3753</v>
      </c>
      <c r="G144" s="4374" t="s">
        <v>3754</v>
      </c>
      <c r="H144" s="4374" t="s">
        <v>614</v>
      </c>
      <c r="I144" s="4374" t="s">
        <v>3753</v>
      </c>
      <c r="J144" s="4374" t="s">
        <v>3754</v>
      </c>
      <c r="K144" s="4374" t="s">
        <v>614</v>
      </c>
      <c r="L144" s="4374" t="s">
        <v>3753</v>
      </c>
      <c r="M144" s="4374" t="s">
        <v>3754</v>
      </c>
      <c r="N144" s="4374" t="s">
        <v>614</v>
      </c>
      <c r="O144" s="4374" t="s">
        <v>3753</v>
      </c>
      <c r="P144" s="4374" t="s">
        <v>3754</v>
      </c>
      <c r="Q144" s="4374" t="s">
        <v>614</v>
      </c>
      <c r="R144" s="4374" t="s">
        <v>3753</v>
      </c>
      <c r="S144" s="4374" t="s">
        <v>3754</v>
      </c>
      <c r="T144" s="4374" t="s">
        <v>614</v>
      </c>
      <c r="U144" s="4374" t="s">
        <v>3753</v>
      </c>
      <c r="V144" s="4374" t="s">
        <v>3754</v>
      </c>
      <c r="W144" s="4374" t="s">
        <v>614</v>
      </c>
      <c r="X144" s="4374" t="s">
        <v>3753</v>
      </c>
      <c r="Y144" s="4374" t="s">
        <v>3754</v>
      </c>
      <c r="Z144" s="4374" t="s">
        <v>614</v>
      </c>
      <c r="AA144" s="4374" t="s">
        <v>3753</v>
      </c>
      <c r="AB144" s="4374" t="s">
        <v>3754</v>
      </c>
      <c r="AC144" s="4374" t="s">
        <v>614</v>
      </c>
      <c r="AD144" s="4374" t="s">
        <v>3753</v>
      </c>
      <c r="AE144" s="4374" t="s">
        <v>3754</v>
      </c>
      <c r="AF144" s="4375" t="s">
        <v>614</v>
      </c>
      <c r="AG144" s="4375" t="s">
        <v>3753</v>
      </c>
      <c r="AH144" s="4375" t="s">
        <v>3754</v>
      </c>
      <c r="AI144" s="4375" t="s">
        <v>614</v>
      </c>
      <c r="AJ144" s="4375" t="s">
        <v>3753</v>
      </c>
      <c r="AK144" s="4375" t="s">
        <v>3754</v>
      </c>
      <c r="AL144" s="4375" t="s">
        <v>614</v>
      </c>
      <c r="AM144" s="4375" t="s">
        <v>3753</v>
      </c>
      <c r="AN144" s="4375" t="s">
        <v>3754</v>
      </c>
      <c r="AO144" s="4374" t="s">
        <v>614</v>
      </c>
      <c r="AP144" s="4374" t="s">
        <v>3753</v>
      </c>
      <c r="AQ144" s="4374" t="s">
        <v>3754</v>
      </c>
      <c r="AR144" s="4374" t="s">
        <v>614</v>
      </c>
      <c r="AS144" s="4374" t="s">
        <v>3753</v>
      </c>
      <c r="AT144" s="4374" t="s">
        <v>3754</v>
      </c>
      <c r="AU144" s="4374" t="s">
        <v>614</v>
      </c>
      <c r="AV144" s="4374" t="s">
        <v>3753</v>
      </c>
      <c r="AW144" s="4374" t="s">
        <v>3754</v>
      </c>
      <c r="AX144" s="4374" t="s">
        <v>614</v>
      </c>
      <c r="AY144" s="4374" t="s">
        <v>3753</v>
      </c>
      <c r="AZ144" s="4374" t="s">
        <v>3754</v>
      </c>
      <c r="BA144" s="4374" t="s">
        <v>614</v>
      </c>
      <c r="BB144" s="4374" t="s">
        <v>3753</v>
      </c>
      <c r="BC144" s="4374" t="s">
        <v>3754</v>
      </c>
      <c r="BD144" s="4375" t="s">
        <v>614</v>
      </c>
      <c r="BE144" s="4375" t="s">
        <v>3753</v>
      </c>
      <c r="BF144" s="4375" t="s">
        <v>3754</v>
      </c>
      <c r="BG144" s="4375" t="s">
        <v>614</v>
      </c>
      <c r="BH144" s="4375" t="s">
        <v>3753</v>
      </c>
      <c r="BI144" s="4375" t="s">
        <v>3754</v>
      </c>
      <c r="BJ144" s="4375" t="s">
        <v>614</v>
      </c>
      <c r="BK144" s="4375" t="s">
        <v>3753</v>
      </c>
      <c r="BL144" s="4375" t="s">
        <v>3754</v>
      </c>
      <c r="BM144" s="4374" t="s">
        <v>614</v>
      </c>
      <c r="BN144" s="4374" t="s">
        <v>3753</v>
      </c>
      <c r="BO144" s="4374" t="s">
        <v>3754</v>
      </c>
      <c r="BP144" s="4374" t="s">
        <v>614</v>
      </c>
      <c r="BQ144" s="4374" t="s">
        <v>3753</v>
      </c>
      <c r="BR144" s="4374" t="s">
        <v>3754</v>
      </c>
      <c r="BS144" s="4374" t="s">
        <v>614</v>
      </c>
      <c r="BT144" s="4374" t="s">
        <v>3753</v>
      </c>
      <c r="BU144" s="4374" t="s">
        <v>3754</v>
      </c>
      <c r="BV144" s="4374" t="s">
        <v>614</v>
      </c>
      <c r="BW144" s="4374" t="s">
        <v>3753</v>
      </c>
      <c r="BX144" s="4374" t="s">
        <v>3754</v>
      </c>
      <c r="BY144" s="4374" t="s">
        <v>614</v>
      </c>
      <c r="BZ144" s="4374" t="s">
        <v>3753</v>
      </c>
      <c r="CA144" s="4374" t="s">
        <v>3754</v>
      </c>
      <c r="CB144" s="4375" t="s">
        <v>614</v>
      </c>
      <c r="CC144" s="4375" t="s">
        <v>3753</v>
      </c>
      <c r="CD144" s="4375" t="s">
        <v>3754</v>
      </c>
      <c r="CE144" s="4375" t="s">
        <v>614</v>
      </c>
      <c r="CF144" s="4375" t="s">
        <v>3753</v>
      </c>
      <c r="CG144" s="4375" t="s">
        <v>3754</v>
      </c>
      <c r="CH144" s="4375" t="s">
        <v>614</v>
      </c>
      <c r="CI144" s="4375" t="s">
        <v>3753</v>
      </c>
      <c r="CJ144" s="4375" t="s">
        <v>3754</v>
      </c>
      <c r="CK144" s="2774"/>
      <c r="CL144" s="2774"/>
      <c r="CM144" s="2774"/>
    </row>
    <row r="145" spans="1:91" ht="18.75" customHeight="1" x14ac:dyDescent="0.2">
      <c r="A145" s="4403" t="s">
        <v>3766</v>
      </c>
      <c r="B145" s="4453">
        <f t="shared" ref="B145:AE148" si="1010">SUM(B9)</f>
        <v>768.56306212265406</v>
      </c>
      <c r="C145" s="4453">
        <f t="shared" si="1010"/>
        <v>764.75724428647504</v>
      </c>
      <c r="D145" s="4453">
        <f t="shared" si="1010"/>
        <v>3.8058178361790249</v>
      </c>
      <c r="E145" s="4454">
        <f t="shared" si="1010"/>
        <v>257.414513</v>
      </c>
      <c r="F145" s="4454">
        <f t="shared" si="1010"/>
        <v>256.71326299999998</v>
      </c>
      <c r="G145" s="4454">
        <f t="shared" si="1010"/>
        <v>0.70125000000000004</v>
      </c>
      <c r="H145" s="4454">
        <f t="shared" si="1010"/>
        <v>268.54267499999997</v>
      </c>
      <c r="I145" s="4454">
        <f t="shared" si="1010"/>
        <v>268.082425</v>
      </c>
      <c r="J145" s="4454">
        <f t="shared" si="1010"/>
        <v>0.46024999999999999</v>
      </c>
      <c r="K145" s="4454">
        <f t="shared" si="1010"/>
        <v>259.48193000000003</v>
      </c>
      <c r="L145" s="4454">
        <f t="shared" si="1010"/>
        <v>257.06443000000002</v>
      </c>
      <c r="M145" s="4454">
        <f t="shared" si="1010"/>
        <v>2.4175</v>
      </c>
      <c r="N145" s="4454">
        <f t="shared" si="1010"/>
        <v>785.43911799999989</v>
      </c>
      <c r="O145" s="4454">
        <f t="shared" si="1010"/>
        <v>781.86011799999994</v>
      </c>
      <c r="P145" s="4454">
        <f t="shared" si="1010"/>
        <v>3.5789999999999997</v>
      </c>
      <c r="Q145" s="4453">
        <f t="shared" si="1010"/>
        <v>768.56306212265406</v>
      </c>
      <c r="R145" s="4453">
        <f t="shared" si="1010"/>
        <v>764.75724428647504</v>
      </c>
      <c r="S145" s="4453">
        <f t="shared" si="1010"/>
        <v>3.8058178361790249</v>
      </c>
      <c r="T145" s="4454">
        <f t="shared" si="1010"/>
        <v>263.32413399999996</v>
      </c>
      <c r="U145" s="4454">
        <f t="shared" si="1010"/>
        <v>262.86413399999998</v>
      </c>
      <c r="V145" s="4454">
        <f t="shared" si="1010"/>
        <v>0.46</v>
      </c>
      <c r="W145" s="4454">
        <f t="shared" si="1010"/>
        <v>263.52684599999998</v>
      </c>
      <c r="X145" s="4454">
        <f t="shared" si="1010"/>
        <v>262.77809600000001</v>
      </c>
      <c r="Y145" s="4454">
        <f t="shared" si="1010"/>
        <v>0.74875000000000003</v>
      </c>
      <c r="Z145" s="4454">
        <f t="shared" si="1010"/>
        <v>257.661947</v>
      </c>
      <c r="AA145" s="4454">
        <f t="shared" si="1010"/>
        <v>255.070697</v>
      </c>
      <c r="AB145" s="4454">
        <f t="shared" si="1010"/>
        <v>2.5912500000000001</v>
      </c>
      <c r="AC145" s="4454">
        <f t="shared" si="1010"/>
        <v>784.51292699999988</v>
      </c>
      <c r="AD145" s="4454">
        <f t="shared" si="1010"/>
        <v>780.71292699999992</v>
      </c>
      <c r="AE145" s="4454">
        <f t="shared" si="1010"/>
        <v>3.8</v>
      </c>
      <c r="AF145" s="4455">
        <f t="shared" ref="AF145:AH148" si="1011">SUM(Q145+B145)</f>
        <v>1537.1261242453081</v>
      </c>
      <c r="AG145" s="4455">
        <f t="shared" si="1011"/>
        <v>1529.5144885729501</v>
      </c>
      <c r="AH145" s="4455">
        <f t="shared" si="1011"/>
        <v>7.6116356723580498</v>
      </c>
      <c r="AI145" s="4379">
        <f t="shared" ref="AI145:AI148" si="1012">SUM(AJ145:AK145)</f>
        <v>1569.9520449999998</v>
      </c>
      <c r="AJ145" s="4379">
        <f t="shared" ref="AJ145:AK148" si="1013">SUM(O145+AD145)</f>
        <v>1562.5730449999999</v>
      </c>
      <c r="AK145" s="4379">
        <f t="shared" si="1013"/>
        <v>7.3789999999999996</v>
      </c>
      <c r="AL145" s="4441">
        <f t="shared" ref="AL145:AN148" si="1014">SUM(AI145-AF145)</f>
        <v>32.825920754691651</v>
      </c>
      <c r="AM145" s="4441">
        <f t="shared" si="1014"/>
        <v>33.05855642704978</v>
      </c>
      <c r="AN145" s="4441">
        <f t="shared" si="1014"/>
        <v>-0.23263567235805027</v>
      </c>
      <c r="AO145" s="4453">
        <f t="shared" ref="AO145:BC148" si="1015">SUM(AO9)</f>
        <v>768.56306212265406</v>
      </c>
      <c r="AP145" s="4453">
        <f t="shared" si="1015"/>
        <v>764.75724428647504</v>
      </c>
      <c r="AQ145" s="4453">
        <f t="shared" si="1015"/>
        <v>3.8058178361790249</v>
      </c>
      <c r="AR145" s="4454">
        <f t="shared" si="1015"/>
        <v>226.11733899999999</v>
      </c>
      <c r="AS145" s="4454">
        <f t="shared" si="1015"/>
        <v>225.574839</v>
      </c>
      <c r="AT145" s="4454">
        <f t="shared" si="1015"/>
        <v>0.54249999999999998</v>
      </c>
      <c r="AU145" s="4454">
        <f t="shared" si="1015"/>
        <v>0</v>
      </c>
      <c r="AV145" s="4454">
        <f t="shared" si="1015"/>
        <v>0</v>
      </c>
      <c r="AW145" s="4454">
        <f t="shared" si="1015"/>
        <v>0</v>
      </c>
      <c r="AX145" s="4454">
        <f t="shared" si="1015"/>
        <v>0</v>
      </c>
      <c r="AY145" s="4454">
        <f t="shared" si="1015"/>
        <v>0</v>
      </c>
      <c r="AZ145" s="4454">
        <f t="shared" si="1015"/>
        <v>0</v>
      </c>
      <c r="BA145" s="4454">
        <f t="shared" si="1015"/>
        <v>226.11733899999999</v>
      </c>
      <c r="BB145" s="4454">
        <f t="shared" si="1015"/>
        <v>225.574839</v>
      </c>
      <c r="BC145" s="4454">
        <f t="shared" si="1015"/>
        <v>0.54249999999999998</v>
      </c>
      <c r="BD145" s="4455">
        <f t="shared" ref="BD145:BF148" si="1016">SUM(AF145+AO145)</f>
        <v>2305.6891863679621</v>
      </c>
      <c r="BE145" s="4455">
        <f t="shared" si="1016"/>
        <v>2294.2717328594254</v>
      </c>
      <c r="BF145" s="4455">
        <f t="shared" si="1016"/>
        <v>11.417453508537076</v>
      </c>
      <c r="BG145" s="4433">
        <f t="shared" ref="BG145:BG148" si="1017">SUM(BH145:BI145)</f>
        <v>1796.0693839999999</v>
      </c>
      <c r="BH145" s="4433">
        <f t="shared" ref="BH145:BI148" si="1018">SUM(AJ145+BB145)</f>
        <v>1788.147884</v>
      </c>
      <c r="BI145" s="4433">
        <f t="shared" si="1018"/>
        <v>7.9215</v>
      </c>
      <c r="BJ145" s="4441">
        <f t="shared" ref="BJ145:BL148" si="1019">SUM(BG145-BD145)</f>
        <v>-509.61980236796217</v>
      </c>
      <c r="BK145" s="4441">
        <f t="shared" si="1019"/>
        <v>-506.12384885942538</v>
      </c>
      <c r="BL145" s="4441">
        <f t="shared" si="1019"/>
        <v>-3.4959535085370756</v>
      </c>
      <c r="BM145" s="4453">
        <f t="shared" ref="BM145:CA148" si="1020">SUM(BM9)</f>
        <v>768.56306212265406</v>
      </c>
      <c r="BN145" s="4453">
        <f t="shared" si="1020"/>
        <v>764.75724428647504</v>
      </c>
      <c r="BO145" s="4453">
        <f t="shared" si="1020"/>
        <v>3.8058178361790249</v>
      </c>
      <c r="BP145" s="4454">
        <f t="shared" si="1020"/>
        <v>0</v>
      </c>
      <c r="BQ145" s="4454">
        <f t="shared" si="1020"/>
        <v>0</v>
      </c>
      <c r="BR145" s="4454">
        <f t="shared" si="1020"/>
        <v>0</v>
      </c>
      <c r="BS145" s="4454">
        <f t="shared" si="1020"/>
        <v>0</v>
      </c>
      <c r="BT145" s="4454">
        <f t="shared" si="1020"/>
        <v>0</v>
      </c>
      <c r="BU145" s="4454">
        <f t="shared" si="1020"/>
        <v>0</v>
      </c>
      <c r="BV145" s="4454">
        <f t="shared" si="1020"/>
        <v>0</v>
      </c>
      <c r="BW145" s="4454">
        <f t="shared" si="1020"/>
        <v>0</v>
      </c>
      <c r="BX145" s="4454">
        <f t="shared" si="1020"/>
        <v>0</v>
      </c>
      <c r="BY145" s="4454">
        <f t="shared" si="1020"/>
        <v>0</v>
      </c>
      <c r="BZ145" s="4454">
        <f t="shared" si="1020"/>
        <v>0</v>
      </c>
      <c r="CA145" s="4454">
        <f t="shared" si="1020"/>
        <v>0</v>
      </c>
      <c r="CB145" s="4455">
        <f t="shared" ref="CB145:CD148" si="1021">SUM(BM145+BD145)</f>
        <v>3074.2522484906162</v>
      </c>
      <c r="CC145" s="4455">
        <f t="shared" si="1021"/>
        <v>3059.0289771459002</v>
      </c>
      <c r="CD145" s="4455">
        <f t="shared" si="1021"/>
        <v>15.2232713447161</v>
      </c>
      <c r="CE145" s="4433">
        <f t="shared" ref="CE145:CE148" si="1022">SUM(CF145:CG145)</f>
        <v>1796.0693839999999</v>
      </c>
      <c r="CF145" s="4433">
        <f t="shared" ref="CF145:CG148" si="1023">SUM(BH145+BZ145)</f>
        <v>1788.147884</v>
      </c>
      <c r="CG145" s="4433">
        <f t="shared" si="1023"/>
        <v>7.9215</v>
      </c>
      <c r="CH145" s="4441">
        <f t="shared" ref="CH145:CJ148" si="1024">SUM(CE145-CB145)</f>
        <v>-1278.1828644906163</v>
      </c>
      <c r="CI145" s="4441">
        <f t="shared" si="1024"/>
        <v>-1270.8810931459002</v>
      </c>
      <c r="CJ145" s="4441">
        <f t="shared" si="1024"/>
        <v>-7.3017713447160997</v>
      </c>
      <c r="CK145" s="2774"/>
      <c r="CL145" s="2774"/>
      <c r="CM145" s="2774"/>
    </row>
    <row r="146" spans="1:91" ht="18.75" customHeight="1" x14ac:dyDescent="0.2">
      <c r="A146" s="4396" t="s">
        <v>253</v>
      </c>
      <c r="B146" s="4456">
        <f t="shared" si="1010"/>
        <v>592.17988042297497</v>
      </c>
      <c r="C146" s="4456">
        <f t="shared" si="1010"/>
        <v>592.17988042297497</v>
      </c>
      <c r="D146" s="4456">
        <f t="shared" si="1010"/>
        <v>0</v>
      </c>
      <c r="E146" s="4457">
        <f t="shared" si="1010"/>
        <v>203.136651</v>
      </c>
      <c r="F146" s="4457">
        <f t="shared" si="1010"/>
        <v>203.136651</v>
      </c>
      <c r="G146" s="4457">
        <f t="shared" si="1010"/>
        <v>0</v>
      </c>
      <c r="H146" s="4457">
        <f t="shared" si="1010"/>
        <v>207.06859499999999</v>
      </c>
      <c r="I146" s="4457">
        <f t="shared" si="1010"/>
        <v>207.06859499999999</v>
      </c>
      <c r="J146" s="4457">
        <f t="shared" si="1010"/>
        <v>0</v>
      </c>
      <c r="K146" s="4457">
        <f t="shared" si="1010"/>
        <v>199.56375600000001</v>
      </c>
      <c r="L146" s="4457">
        <f t="shared" si="1010"/>
        <v>199.56375600000001</v>
      </c>
      <c r="M146" s="4457">
        <f t="shared" si="1010"/>
        <v>0</v>
      </c>
      <c r="N146" s="4457">
        <f t="shared" si="1010"/>
        <v>609.769002</v>
      </c>
      <c r="O146" s="4457">
        <f t="shared" si="1010"/>
        <v>609.769002</v>
      </c>
      <c r="P146" s="4457">
        <f t="shared" si="1010"/>
        <v>0</v>
      </c>
      <c r="Q146" s="4456">
        <f t="shared" si="1010"/>
        <v>592.17988042297497</v>
      </c>
      <c r="R146" s="4456">
        <f t="shared" si="1010"/>
        <v>592.17988042297497</v>
      </c>
      <c r="S146" s="4456">
        <f t="shared" si="1010"/>
        <v>0</v>
      </c>
      <c r="T146" s="4457">
        <f t="shared" si="1010"/>
        <v>204.270996</v>
      </c>
      <c r="U146" s="4457">
        <f t="shared" si="1010"/>
        <v>204.270996</v>
      </c>
      <c r="V146" s="4457">
        <f t="shared" si="1010"/>
        <v>0</v>
      </c>
      <c r="W146" s="4457">
        <f t="shared" si="1010"/>
        <v>210.60340099999999</v>
      </c>
      <c r="X146" s="4457">
        <f t="shared" si="1010"/>
        <v>210.60340099999999</v>
      </c>
      <c r="Y146" s="4457">
        <f t="shared" si="1010"/>
        <v>0</v>
      </c>
      <c r="Z146" s="4457">
        <f t="shared" si="1010"/>
        <v>200.97697199999999</v>
      </c>
      <c r="AA146" s="4457">
        <f t="shared" si="1010"/>
        <v>200.97697199999999</v>
      </c>
      <c r="AB146" s="4457">
        <f t="shared" si="1010"/>
        <v>0</v>
      </c>
      <c r="AC146" s="4457">
        <f t="shared" si="1010"/>
        <v>615.85136899999998</v>
      </c>
      <c r="AD146" s="4457">
        <f t="shared" si="1010"/>
        <v>615.85136899999998</v>
      </c>
      <c r="AE146" s="4457">
        <f t="shared" si="1010"/>
        <v>0</v>
      </c>
      <c r="AF146" s="4446">
        <f t="shared" si="1011"/>
        <v>1184.3597608459499</v>
      </c>
      <c r="AG146" s="4446">
        <f t="shared" si="1011"/>
        <v>1184.3597608459499</v>
      </c>
      <c r="AH146" s="4446">
        <f t="shared" si="1011"/>
        <v>0</v>
      </c>
      <c r="AI146" s="4384">
        <f t="shared" si="1012"/>
        <v>1225.620371</v>
      </c>
      <c r="AJ146" s="4384">
        <f t="shared" si="1013"/>
        <v>1225.620371</v>
      </c>
      <c r="AK146" s="4384">
        <f t="shared" si="1013"/>
        <v>0</v>
      </c>
      <c r="AL146" s="4443">
        <f t="shared" si="1014"/>
        <v>41.260610154050028</v>
      </c>
      <c r="AM146" s="4443">
        <f t="shared" si="1014"/>
        <v>41.260610154050028</v>
      </c>
      <c r="AN146" s="4443">
        <f t="shared" si="1014"/>
        <v>0</v>
      </c>
      <c r="AO146" s="4456">
        <f t="shared" si="1015"/>
        <v>592.17988042297497</v>
      </c>
      <c r="AP146" s="4456">
        <f t="shared" si="1015"/>
        <v>592.17988042297497</v>
      </c>
      <c r="AQ146" s="4456">
        <f t="shared" si="1015"/>
        <v>0</v>
      </c>
      <c r="AR146" s="4457">
        <f t="shared" si="1015"/>
        <v>182.92413400000001</v>
      </c>
      <c r="AS146" s="4457">
        <f t="shared" si="1015"/>
        <v>182.92413400000001</v>
      </c>
      <c r="AT146" s="4457">
        <f t="shared" si="1015"/>
        <v>0</v>
      </c>
      <c r="AU146" s="4457">
        <f t="shared" si="1015"/>
        <v>0</v>
      </c>
      <c r="AV146" s="4457">
        <f t="shared" si="1015"/>
        <v>0</v>
      </c>
      <c r="AW146" s="4457">
        <f t="shared" si="1015"/>
        <v>0</v>
      </c>
      <c r="AX146" s="4457">
        <f t="shared" si="1015"/>
        <v>0</v>
      </c>
      <c r="AY146" s="4457">
        <f t="shared" si="1015"/>
        <v>0</v>
      </c>
      <c r="AZ146" s="4457">
        <f t="shared" si="1015"/>
        <v>0</v>
      </c>
      <c r="BA146" s="4457">
        <f t="shared" si="1015"/>
        <v>182.92413400000001</v>
      </c>
      <c r="BB146" s="4457">
        <f t="shared" si="1015"/>
        <v>182.92413400000001</v>
      </c>
      <c r="BC146" s="4457">
        <f t="shared" si="1015"/>
        <v>0</v>
      </c>
      <c r="BD146" s="4446">
        <f t="shared" si="1016"/>
        <v>1776.5396412689249</v>
      </c>
      <c r="BE146" s="4446">
        <f t="shared" si="1016"/>
        <v>1776.5396412689249</v>
      </c>
      <c r="BF146" s="4446">
        <f t="shared" si="1016"/>
        <v>0</v>
      </c>
      <c r="BG146" s="4434">
        <f t="shared" si="1017"/>
        <v>1408.5445050000001</v>
      </c>
      <c r="BH146" s="4434">
        <f t="shared" si="1018"/>
        <v>1408.5445050000001</v>
      </c>
      <c r="BI146" s="4434">
        <f t="shared" si="1018"/>
        <v>0</v>
      </c>
      <c r="BJ146" s="4443">
        <f t="shared" si="1019"/>
        <v>-367.99513626892485</v>
      </c>
      <c r="BK146" s="4443">
        <f t="shared" si="1019"/>
        <v>-367.99513626892485</v>
      </c>
      <c r="BL146" s="4443">
        <f t="shared" si="1019"/>
        <v>0</v>
      </c>
      <c r="BM146" s="4456">
        <f t="shared" si="1020"/>
        <v>592.17988042297497</v>
      </c>
      <c r="BN146" s="4456">
        <f t="shared" si="1020"/>
        <v>592.17988042297497</v>
      </c>
      <c r="BO146" s="4456">
        <f t="shared" si="1020"/>
        <v>0</v>
      </c>
      <c r="BP146" s="4457">
        <f t="shared" si="1020"/>
        <v>0</v>
      </c>
      <c r="BQ146" s="4457">
        <f t="shared" si="1020"/>
        <v>0</v>
      </c>
      <c r="BR146" s="4457">
        <f t="shared" si="1020"/>
        <v>0</v>
      </c>
      <c r="BS146" s="4457">
        <f t="shared" si="1020"/>
        <v>0</v>
      </c>
      <c r="BT146" s="4457">
        <f t="shared" si="1020"/>
        <v>0</v>
      </c>
      <c r="BU146" s="4457">
        <f t="shared" si="1020"/>
        <v>0</v>
      </c>
      <c r="BV146" s="4457">
        <f t="shared" si="1020"/>
        <v>0</v>
      </c>
      <c r="BW146" s="4457">
        <f t="shared" si="1020"/>
        <v>0</v>
      </c>
      <c r="BX146" s="4457">
        <f t="shared" si="1020"/>
        <v>0</v>
      </c>
      <c r="BY146" s="4457">
        <f t="shared" si="1020"/>
        <v>0</v>
      </c>
      <c r="BZ146" s="4457">
        <f t="shared" si="1020"/>
        <v>0</v>
      </c>
      <c r="CA146" s="4457">
        <f t="shared" si="1020"/>
        <v>0</v>
      </c>
      <c r="CB146" s="4446">
        <f t="shared" si="1021"/>
        <v>2368.7195216918999</v>
      </c>
      <c r="CC146" s="4446">
        <f t="shared" si="1021"/>
        <v>2368.7195216918999</v>
      </c>
      <c r="CD146" s="4446">
        <f t="shared" si="1021"/>
        <v>0</v>
      </c>
      <c r="CE146" s="4434">
        <f t="shared" si="1022"/>
        <v>1408.5445050000001</v>
      </c>
      <c r="CF146" s="4434">
        <f t="shared" si="1023"/>
        <v>1408.5445050000001</v>
      </c>
      <c r="CG146" s="4434">
        <f t="shared" si="1023"/>
        <v>0</v>
      </c>
      <c r="CH146" s="4443">
        <f t="shared" si="1024"/>
        <v>-960.17501669189983</v>
      </c>
      <c r="CI146" s="4443">
        <f t="shared" si="1024"/>
        <v>-960.17501669189983</v>
      </c>
      <c r="CJ146" s="4443">
        <f t="shared" si="1024"/>
        <v>0</v>
      </c>
      <c r="CK146" s="2774"/>
      <c r="CL146" s="2774"/>
      <c r="CM146" s="2774"/>
    </row>
    <row r="147" spans="1:91" ht="18.75" customHeight="1" x14ac:dyDescent="0.2">
      <c r="A147" s="4396" t="s">
        <v>3767</v>
      </c>
      <c r="B147" s="4456">
        <f t="shared" si="1010"/>
        <v>3.8058178361790249</v>
      </c>
      <c r="C147" s="4456">
        <f t="shared" si="1010"/>
        <v>0</v>
      </c>
      <c r="D147" s="4456">
        <f t="shared" si="1010"/>
        <v>3.8058178361790249</v>
      </c>
      <c r="E147" s="4457">
        <f t="shared" si="1010"/>
        <v>0.70125000000000004</v>
      </c>
      <c r="F147" s="4457">
        <f t="shared" si="1010"/>
        <v>0</v>
      </c>
      <c r="G147" s="4457">
        <f t="shared" si="1010"/>
        <v>0.70125000000000004</v>
      </c>
      <c r="H147" s="4457">
        <f t="shared" si="1010"/>
        <v>0.46024999999999999</v>
      </c>
      <c r="I147" s="4457">
        <f t="shared" si="1010"/>
        <v>0</v>
      </c>
      <c r="J147" s="4457">
        <f t="shared" si="1010"/>
        <v>0.46024999999999999</v>
      </c>
      <c r="K147" s="4457">
        <f t="shared" si="1010"/>
        <v>2.4175</v>
      </c>
      <c r="L147" s="4457">
        <f t="shared" si="1010"/>
        <v>0</v>
      </c>
      <c r="M147" s="4457">
        <f t="shared" si="1010"/>
        <v>2.4175</v>
      </c>
      <c r="N147" s="4457">
        <f t="shared" si="1010"/>
        <v>3.5789999999999997</v>
      </c>
      <c r="O147" s="4457">
        <f t="shared" si="1010"/>
        <v>0</v>
      </c>
      <c r="P147" s="4457">
        <f t="shared" si="1010"/>
        <v>3.5789999999999997</v>
      </c>
      <c r="Q147" s="4456">
        <f t="shared" si="1010"/>
        <v>3.8058178361790249</v>
      </c>
      <c r="R147" s="4456">
        <f t="shared" si="1010"/>
        <v>0</v>
      </c>
      <c r="S147" s="4456">
        <f t="shared" si="1010"/>
        <v>3.8058178361790249</v>
      </c>
      <c r="T147" s="4457">
        <f t="shared" si="1010"/>
        <v>0.46</v>
      </c>
      <c r="U147" s="4457">
        <f t="shared" si="1010"/>
        <v>0</v>
      </c>
      <c r="V147" s="4457">
        <f t="shared" si="1010"/>
        <v>0.46</v>
      </c>
      <c r="W147" s="4457">
        <f t="shared" si="1010"/>
        <v>0.74875000000000003</v>
      </c>
      <c r="X147" s="4457">
        <f t="shared" si="1010"/>
        <v>0</v>
      </c>
      <c r="Y147" s="4457">
        <f t="shared" si="1010"/>
        <v>0.74875000000000003</v>
      </c>
      <c r="Z147" s="4457">
        <f t="shared" si="1010"/>
        <v>2.5912500000000001</v>
      </c>
      <c r="AA147" s="4457">
        <f t="shared" si="1010"/>
        <v>0</v>
      </c>
      <c r="AB147" s="4457">
        <f t="shared" si="1010"/>
        <v>2.5912500000000001</v>
      </c>
      <c r="AC147" s="4457">
        <f t="shared" si="1010"/>
        <v>3.8</v>
      </c>
      <c r="AD147" s="4457">
        <f t="shared" si="1010"/>
        <v>0</v>
      </c>
      <c r="AE147" s="4457">
        <f t="shared" si="1010"/>
        <v>3.8</v>
      </c>
      <c r="AF147" s="4446">
        <f t="shared" si="1011"/>
        <v>7.6116356723580498</v>
      </c>
      <c r="AG147" s="4446">
        <f t="shared" si="1011"/>
        <v>0</v>
      </c>
      <c r="AH147" s="4446">
        <f t="shared" si="1011"/>
        <v>7.6116356723580498</v>
      </c>
      <c r="AI147" s="4384">
        <f t="shared" si="1012"/>
        <v>7.3789999999999996</v>
      </c>
      <c r="AJ147" s="4384">
        <f t="shared" si="1013"/>
        <v>0</v>
      </c>
      <c r="AK147" s="4384">
        <f t="shared" si="1013"/>
        <v>7.3789999999999996</v>
      </c>
      <c r="AL147" s="4443">
        <f t="shared" si="1014"/>
        <v>-0.23263567235805027</v>
      </c>
      <c r="AM147" s="4443">
        <f t="shared" si="1014"/>
        <v>0</v>
      </c>
      <c r="AN147" s="4443">
        <f t="shared" si="1014"/>
        <v>-0.23263567235805027</v>
      </c>
      <c r="AO147" s="4456">
        <f t="shared" si="1015"/>
        <v>3.8058178361790249</v>
      </c>
      <c r="AP147" s="4456">
        <f t="shared" si="1015"/>
        <v>0</v>
      </c>
      <c r="AQ147" s="4456">
        <f t="shared" si="1015"/>
        <v>3.8058178361790249</v>
      </c>
      <c r="AR147" s="4457">
        <f t="shared" si="1015"/>
        <v>0.54249999999999998</v>
      </c>
      <c r="AS147" s="4457">
        <f t="shared" si="1015"/>
        <v>0</v>
      </c>
      <c r="AT147" s="4457">
        <f t="shared" si="1015"/>
        <v>0.54249999999999998</v>
      </c>
      <c r="AU147" s="4457">
        <f t="shared" si="1015"/>
        <v>0</v>
      </c>
      <c r="AV147" s="4457">
        <f t="shared" si="1015"/>
        <v>0</v>
      </c>
      <c r="AW147" s="4457">
        <f t="shared" si="1015"/>
        <v>0</v>
      </c>
      <c r="AX147" s="4457">
        <f t="shared" si="1015"/>
        <v>0</v>
      </c>
      <c r="AY147" s="4457">
        <f t="shared" si="1015"/>
        <v>0</v>
      </c>
      <c r="AZ147" s="4457">
        <f t="shared" si="1015"/>
        <v>0</v>
      </c>
      <c r="BA147" s="4457">
        <f t="shared" si="1015"/>
        <v>0.54249999999999998</v>
      </c>
      <c r="BB147" s="4457">
        <f t="shared" si="1015"/>
        <v>0</v>
      </c>
      <c r="BC147" s="4457">
        <f t="shared" si="1015"/>
        <v>0.54249999999999998</v>
      </c>
      <c r="BD147" s="4446">
        <f t="shared" si="1016"/>
        <v>11.417453508537076</v>
      </c>
      <c r="BE147" s="4446">
        <f t="shared" si="1016"/>
        <v>0</v>
      </c>
      <c r="BF147" s="4446">
        <f t="shared" si="1016"/>
        <v>11.417453508537076</v>
      </c>
      <c r="BG147" s="4434">
        <f t="shared" si="1017"/>
        <v>7.9215</v>
      </c>
      <c r="BH147" s="4434">
        <f t="shared" si="1018"/>
        <v>0</v>
      </c>
      <c r="BI147" s="4434">
        <f t="shared" si="1018"/>
        <v>7.9215</v>
      </c>
      <c r="BJ147" s="4443">
        <f t="shared" si="1019"/>
        <v>-3.4959535085370756</v>
      </c>
      <c r="BK147" s="4443">
        <f t="shared" si="1019"/>
        <v>0</v>
      </c>
      <c r="BL147" s="4443">
        <f t="shared" si="1019"/>
        <v>-3.4959535085370756</v>
      </c>
      <c r="BM147" s="4456">
        <f t="shared" si="1020"/>
        <v>3.8058178361790249</v>
      </c>
      <c r="BN147" s="4456">
        <f t="shared" si="1020"/>
        <v>0</v>
      </c>
      <c r="BO147" s="4456">
        <f t="shared" si="1020"/>
        <v>3.8058178361790249</v>
      </c>
      <c r="BP147" s="4457">
        <f t="shared" si="1020"/>
        <v>0</v>
      </c>
      <c r="BQ147" s="4457">
        <f t="shared" si="1020"/>
        <v>0</v>
      </c>
      <c r="BR147" s="4457">
        <f t="shared" si="1020"/>
        <v>0</v>
      </c>
      <c r="BS147" s="4457">
        <f t="shared" si="1020"/>
        <v>0</v>
      </c>
      <c r="BT147" s="4457">
        <f t="shared" si="1020"/>
        <v>0</v>
      </c>
      <c r="BU147" s="4457">
        <f t="shared" si="1020"/>
        <v>0</v>
      </c>
      <c r="BV147" s="4457">
        <f t="shared" si="1020"/>
        <v>0</v>
      </c>
      <c r="BW147" s="4457">
        <f t="shared" si="1020"/>
        <v>0</v>
      </c>
      <c r="BX147" s="4457">
        <f t="shared" si="1020"/>
        <v>0</v>
      </c>
      <c r="BY147" s="4457">
        <f t="shared" si="1020"/>
        <v>0</v>
      </c>
      <c r="BZ147" s="4457">
        <f t="shared" si="1020"/>
        <v>0</v>
      </c>
      <c r="CA147" s="4457">
        <f t="shared" si="1020"/>
        <v>0</v>
      </c>
      <c r="CB147" s="4446">
        <f t="shared" si="1021"/>
        <v>15.2232713447161</v>
      </c>
      <c r="CC147" s="4446">
        <f t="shared" si="1021"/>
        <v>0</v>
      </c>
      <c r="CD147" s="4446">
        <f t="shared" si="1021"/>
        <v>15.2232713447161</v>
      </c>
      <c r="CE147" s="4434">
        <f t="shared" si="1022"/>
        <v>7.9215</v>
      </c>
      <c r="CF147" s="4434">
        <f t="shared" si="1023"/>
        <v>0</v>
      </c>
      <c r="CG147" s="4434">
        <f t="shared" si="1023"/>
        <v>7.9215</v>
      </c>
      <c r="CH147" s="4443">
        <f t="shared" si="1024"/>
        <v>-7.3017713447160997</v>
      </c>
      <c r="CI147" s="4443">
        <f t="shared" si="1024"/>
        <v>0</v>
      </c>
      <c r="CJ147" s="4443">
        <f t="shared" si="1024"/>
        <v>-7.3017713447160997</v>
      </c>
      <c r="CK147" s="2774"/>
      <c r="CL147" s="2774"/>
      <c r="CM147" s="2774"/>
    </row>
    <row r="148" spans="1:91" ht="18.75" customHeight="1" x14ac:dyDescent="0.2">
      <c r="A148" s="4396" t="s">
        <v>3758</v>
      </c>
      <c r="B148" s="4456">
        <f t="shared" si="1010"/>
        <v>172.57736386350001</v>
      </c>
      <c r="C148" s="4456">
        <f t="shared" si="1010"/>
        <v>172.57736386350001</v>
      </c>
      <c r="D148" s="4456">
        <f t="shared" si="1010"/>
        <v>0</v>
      </c>
      <c r="E148" s="4457">
        <f t="shared" si="1010"/>
        <v>53.576611999999997</v>
      </c>
      <c r="F148" s="4457">
        <f t="shared" si="1010"/>
        <v>53.576611999999997</v>
      </c>
      <c r="G148" s="4457">
        <f t="shared" si="1010"/>
        <v>0</v>
      </c>
      <c r="H148" s="4457">
        <f t="shared" si="1010"/>
        <v>61.013829999999999</v>
      </c>
      <c r="I148" s="4457">
        <f t="shared" si="1010"/>
        <v>61.013829999999999</v>
      </c>
      <c r="J148" s="4457">
        <f t="shared" si="1010"/>
        <v>0</v>
      </c>
      <c r="K148" s="4457">
        <f t="shared" si="1010"/>
        <v>57.500673999999997</v>
      </c>
      <c r="L148" s="4457">
        <f t="shared" si="1010"/>
        <v>57.500673999999997</v>
      </c>
      <c r="M148" s="4457">
        <f t="shared" si="1010"/>
        <v>0</v>
      </c>
      <c r="N148" s="4457">
        <f t="shared" si="1010"/>
        <v>172.091116</v>
      </c>
      <c r="O148" s="4457">
        <f t="shared" si="1010"/>
        <v>172.091116</v>
      </c>
      <c r="P148" s="4457">
        <f t="shared" si="1010"/>
        <v>0</v>
      </c>
      <c r="Q148" s="4456">
        <f t="shared" si="1010"/>
        <v>172.57736386350001</v>
      </c>
      <c r="R148" s="4456">
        <f t="shared" si="1010"/>
        <v>172.57736386350001</v>
      </c>
      <c r="S148" s="4456">
        <f t="shared" si="1010"/>
        <v>0</v>
      </c>
      <c r="T148" s="4457">
        <f t="shared" si="1010"/>
        <v>58.593138000000003</v>
      </c>
      <c r="U148" s="4457">
        <f t="shared" si="1010"/>
        <v>58.593138000000003</v>
      </c>
      <c r="V148" s="4457">
        <f t="shared" si="1010"/>
        <v>0</v>
      </c>
      <c r="W148" s="4457">
        <f t="shared" si="1010"/>
        <v>52.174695</v>
      </c>
      <c r="X148" s="4457">
        <f t="shared" si="1010"/>
        <v>52.174695</v>
      </c>
      <c r="Y148" s="4457">
        <f t="shared" si="1010"/>
        <v>0</v>
      </c>
      <c r="Z148" s="4457">
        <f t="shared" si="1010"/>
        <v>54.093724999999999</v>
      </c>
      <c r="AA148" s="4457">
        <f t="shared" si="1010"/>
        <v>54.093724999999999</v>
      </c>
      <c r="AB148" s="4457">
        <f t="shared" si="1010"/>
        <v>0</v>
      </c>
      <c r="AC148" s="4457">
        <f t="shared" si="1010"/>
        <v>164.861558</v>
      </c>
      <c r="AD148" s="4457">
        <f t="shared" si="1010"/>
        <v>164.861558</v>
      </c>
      <c r="AE148" s="4457">
        <f t="shared" si="1010"/>
        <v>0</v>
      </c>
      <c r="AF148" s="4446">
        <f t="shared" si="1011"/>
        <v>345.15472772700002</v>
      </c>
      <c r="AG148" s="4446">
        <f t="shared" si="1011"/>
        <v>345.15472772700002</v>
      </c>
      <c r="AH148" s="4446">
        <f t="shared" si="1011"/>
        <v>0</v>
      </c>
      <c r="AI148" s="4384">
        <f t="shared" si="1012"/>
        <v>336.952674</v>
      </c>
      <c r="AJ148" s="4384">
        <f t="shared" si="1013"/>
        <v>336.952674</v>
      </c>
      <c r="AK148" s="4384">
        <f t="shared" si="1013"/>
        <v>0</v>
      </c>
      <c r="AL148" s="4443">
        <f t="shared" si="1014"/>
        <v>-8.2020537270000204</v>
      </c>
      <c r="AM148" s="4443">
        <f t="shared" si="1014"/>
        <v>-8.2020537270000204</v>
      </c>
      <c r="AN148" s="4443">
        <f t="shared" si="1014"/>
        <v>0</v>
      </c>
      <c r="AO148" s="4456">
        <f t="shared" si="1015"/>
        <v>172.57736386350001</v>
      </c>
      <c r="AP148" s="4456">
        <f t="shared" si="1015"/>
        <v>172.57736386350001</v>
      </c>
      <c r="AQ148" s="4456">
        <f t="shared" si="1015"/>
        <v>0</v>
      </c>
      <c r="AR148" s="4457">
        <f t="shared" si="1015"/>
        <v>42.650705000000002</v>
      </c>
      <c r="AS148" s="4457">
        <f t="shared" si="1015"/>
        <v>42.650705000000002</v>
      </c>
      <c r="AT148" s="4457">
        <f t="shared" si="1015"/>
        <v>0</v>
      </c>
      <c r="AU148" s="4457">
        <f t="shared" si="1015"/>
        <v>0</v>
      </c>
      <c r="AV148" s="4457">
        <f t="shared" si="1015"/>
        <v>0</v>
      </c>
      <c r="AW148" s="4457">
        <f t="shared" si="1015"/>
        <v>0</v>
      </c>
      <c r="AX148" s="4457">
        <f t="shared" si="1015"/>
        <v>0</v>
      </c>
      <c r="AY148" s="4457">
        <f t="shared" si="1015"/>
        <v>0</v>
      </c>
      <c r="AZ148" s="4457">
        <f t="shared" si="1015"/>
        <v>0</v>
      </c>
      <c r="BA148" s="4457">
        <f t="shared" si="1015"/>
        <v>42.650705000000002</v>
      </c>
      <c r="BB148" s="4457">
        <f t="shared" si="1015"/>
        <v>42.650705000000002</v>
      </c>
      <c r="BC148" s="4457">
        <f t="shared" si="1015"/>
        <v>0</v>
      </c>
      <c r="BD148" s="4446">
        <f t="shared" si="1016"/>
        <v>517.73209159049998</v>
      </c>
      <c r="BE148" s="4446">
        <f t="shared" si="1016"/>
        <v>517.73209159049998</v>
      </c>
      <c r="BF148" s="4446">
        <f t="shared" si="1016"/>
        <v>0</v>
      </c>
      <c r="BG148" s="4434">
        <f t="shared" si="1017"/>
        <v>379.60337900000002</v>
      </c>
      <c r="BH148" s="4434">
        <f t="shared" si="1018"/>
        <v>379.60337900000002</v>
      </c>
      <c r="BI148" s="4434">
        <f t="shared" si="1018"/>
        <v>0</v>
      </c>
      <c r="BJ148" s="4443">
        <f t="shared" si="1019"/>
        <v>-138.12871259049996</v>
      </c>
      <c r="BK148" s="4443">
        <f t="shared" si="1019"/>
        <v>-138.12871259049996</v>
      </c>
      <c r="BL148" s="4443">
        <f t="shared" si="1019"/>
        <v>0</v>
      </c>
      <c r="BM148" s="4456">
        <f t="shared" si="1020"/>
        <v>172.57736386350001</v>
      </c>
      <c r="BN148" s="4456">
        <f t="shared" si="1020"/>
        <v>172.57736386350001</v>
      </c>
      <c r="BO148" s="4456">
        <f t="shared" si="1020"/>
        <v>0</v>
      </c>
      <c r="BP148" s="4457">
        <f t="shared" si="1020"/>
        <v>0</v>
      </c>
      <c r="BQ148" s="4457">
        <f t="shared" si="1020"/>
        <v>0</v>
      </c>
      <c r="BR148" s="4457">
        <f t="shared" si="1020"/>
        <v>0</v>
      </c>
      <c r="BS148" s="4457">
        <f t="shared" si="1020"/>
        <v>0</v>
      </c>
      <c r="BT148" s="4457">
        <f t="shared" si="1020"/>
        <v>0</v>
      </c>
      <c r="BU148" s="4457">
        <f t="shared" si="1020"/>
        <v>0</v>
      </c>
      <c r="BV148" s="4457">
        <f t="shared" si="1020"/>
        <v>0</v>
      </c>
      <c r="BW148" s="4457">
        <f t="shared" si="1020"/>
        <v>0</v>
      </c>
      <c r="BX148" s="4457">
        <f t="shared" si="1020"/>
        <v>0</v>
      </c>
      <c r="BY148" s="4457">
        <f t="shared" si="1020"/>
        <v>0</v>
      </c>
      <c r="BZ148" s="4457">
        <f t="shared" si="1020"/>
        <v>0</v>
      </c>
      <c r="CA148" s="4457">
        <f t="shared" si="1020"/>
        <v>0</v>
      </c>
      <c r="CB148" s="4446">
        <f t="shared" si="1021"/>
        <v>690.30945545400004</v>
      </c>
      <c r="CC148" s="4446">
        <f t="shared" si="1021"/>
        <v>690.30945545400004</v>
      </c>
      <c r="CD148" s="4446">
        <f t="shared" si="1021"/>
        <v>0</v>
      </c>
      <c r="CE148" s="4434">
        <f t="shared" si="1022"/>
        <v>379.60337900000002</v>
      </c>
      <c r="CF148" s="4434">
        <f t="shared" si="1023"/>
        <v>379.60337900000002</v>
      </c>
      <c r="CG148" s="4434">
        <f t="shared" si="1023"/>
        <v>0</v>
      </c>
      <c r="CH148" s="4458">
        <f t="shared" si="1024"/>
        <v>-310.70607645400003</v>
      </c>
      <c r="CI148" s="4458">
        <f t="shared" si="1024"/>
        <v>-310.70607645400003</v>
      </c>
      <c r="CJ148" s="4458">
        <f t="shared" si="1024"/>
        <v>0</v>
      </c>
      <c r="CK148" s="2774"/>
      <c r="CL148" s="2774"/>
      <c r="CM148" s="2774"/>
    </row>
    <row r="149" spans="1:91" ht="18.75" customHeight="1" x14ac:dyDescent="0.2">
      <c r="A149" s="4426" t="s">
        <v>3691</v>
      </c>
      <c r="B149" s="4427"/>
      <c r="C149" s="4427"/>
      <c r="D149" s="4427"/>
      <c r="E149" s="4427"/>
      <c r="F149" s="4427"/>
      <c r="G149" s="4427"/>
      <c r="H149" s="4427"/>
      <c r="I149" s="4427"/>
      <c r="J149" s="4427"/>
      <c r="K149" s="4428"/>
      <c r="L149" s="4428"/>
      <c r="M149" s="4428"/>
      <c r="N149" s="4428"/>
      <c r="O149" s="4428"/>
      <c r="P149" s="4428"/>
      <c r="Q149" s="4428"/>
      <c r="R149" s="4428"/>
      <c r="S149" s="4428"/>
      <c r="T149" s="4428"/>
      <c r="U149" s="4428"/>
      <c r="V149" s="4428"/>
      <c r="W149" s="4428"/>
      <c r="X149" s="4428"/>
      <c r="Y149" s="4428"/>
      <c r="Z149" s="4428"/>
      <c r="AA149" s="4428"/>
      <c r="AB149" s="4428"/>
      <c r="AC149" s="4428"/>
      <c r="AD149" s="4428"/>
      <c r="AE149" s="4428"/>
      <c r="AF149" s="4428"/>
      <c r="AG149" s="4428"/>
      <c r="AH149" s="4428"/>
      <c r="AI149" s="4428"/>
      <c r="AJ149" s="4428"/>
      <c r="AK149" s="4428"/>
      <c r="AL149" s="4428"/>
      <c r="AM149" s="4428"/>
      <c r="AN149" s="4428"/>
      <c r="AO149" s="4428"/>
      <c r="AP149" s="4428"/>
      <c r="AQ149" s="4428"/>
      <c r="AR149" s="4428"/>
      <c r="AS149" s="4428"/>
      <c r="AT149" s="4428"/>
      <c r="AU149" s="4428"/>
      <c r="AV149" s="4428"/>
      <c r="AW149" s="4428"/>
      <c r="AX149" s="4428"/>
      <c r="AY149" s="4428"/>
      <c r="AZ149" s="4428"/>
      <c r="BA149" s="4428"/>
      <c r="BB149" s="4428"/>
      <c r="BC149" s="4428"/>
      <c r="BD149" s="4428"/>
      <c r="BE149" s="4428"/>
      <c r="BF149" s="4428"/>
      <c r="BG149" s="4428"/>
      <c r="BH149" s="4428"/>
      <c r="BI149" s="4428"/>
      <c r="BJ149" s="4428"/>
      <c r="BK149" s="4428"/>
      <c r="BL149" s="4428"/>
      <c r="BM149" s="4428"/>
      <c r="BN149" s="4428"/>
      <c r="BO149" s="4428"/>
      <c r="BP149" s="4428"/>
      <c r="BQ149" s="4428"/>
      <c r="BR149" s="4428"/>
      <c r="BS149" s="4428"/>
      <c r="BT149" s="4428"/>
      <c r="BU149" s="4428"/>
      <c r="BV149" s="4429"/>
      <c r="BW149" s="4429"/>
      <c r="BX149" s="4429"/>
      <c r="BY149" s="4429"/>
      <c r="BZ149" s="4429"/>
      <c r="CA149" s="4429"/>
      <c r="CB149" s="4429"/>
      <c r="CC149" s="4429"/>
      <c r="CD149" s="4429"/>
      <c r="CE149" s="4429"/>
      <c r="CF149" s="4429"/>
      <c r="CG149" s="4429"/>
      <c r="CH149" s="4429"/>
      <c r="CI149" s="4429"/>
      <c r="CJ149" s="4430"/>
      <c r="CK149" s="2774"/>
      <c r="CL149" s="2774"/>
      <c r="CM149" s="2774"/>
    </row>
    <row r="150" spans="1:91" ht="25.5" customHeight="1" x14ac:dyDescent="0.2">
      <c r="A150" s="5323" t="s">
        <v>525</v>
      </c>
      <c r="B150" s="5305" t="s">
        <v>3678</v>
      </c>
      <c r="C150" s="5306"/>
      <c r="D150" s="5306"/>
      <c r="E150" s="5306"/>
      <c r="F150" s="5306"/>
      <c r="G150" s="5306"/>
      <c r="H150" s="5306"/>
      <c r="I150" s="5306"/>
      <c r="J150" s="5306"/>
      <c r="K150" s="5306"/>
      <c r="L150" s="5306"/>
      <c r="M150" s="5306"/>
      <c r="N150" s="5306"/>
      <c r="O150" s="5306"/>
      <c r="P150" s="5307"/>
      <c r="Q150" s="5296" t="s">
        <v>3679</v>
      </c>
      <c r="R150" s="5297"/>
      <c r="S150" s="5297"/>
      <c r="T150" s="5297"/>
      <c r="U150" s="5297"/>
      <c r="V150" s="5297"/>
      <c r="W150" s="5297"/>
      <c r="X150" s="5297"/>
      <c r="Y150" s="5297"/>
      <c r="Z150" s="5297"/>
      <c r="AA150" s="5297"/>
      <c r="AB150" s="5297"/>
      <c r="AC150" s="5297"/>
      <c r="AD150" s="5308"/>
      <c r="AE150" s="5309"/>
      <c r="AF150" s="5292" t="s">
        <v>3680</v>
      </c>
      <c r="AG150" s="5293"/>
      <c r="AH150" s="5293"/>
      <c r="AI150" s="5293"/>
      <c r="AJ150" s="5293"/>
      <c r="AK150" s="5293"/>
      <c r="AL150" s="5293"/>
      <c r="AM150" s="5310"/>
      <c r="AN150" s="5311"/>
      <c r="AO150" s="5305" t="s">
        <v>3681</v>
      </c>
      <c r="AP150" s="5306"/>
      <c r="AQ150" s="5306"/>
      <c r="AR150" s="5306"/>
      <c r="AS150" s="5306"/>
      <c r="AT150" s="5306"/>
      <c r="AU150" s="5306"/>
      <c r="AV150" s="5306"/>
      <c r="AW150" s="5306"/>
      <c r="AX150" s="5306"/>
      <c r="AY150" s="5306"/>
      <c r="AZ150" s="5306"/>
      <c r="BA150" s="5306"/>
      <c r="BB150" s="5310"/>
      <c r="BC150" s="5311"/>
      <c r="BD150" s="5292" t="s">
        <v>3682</v>
      </c>
      <c r="BE150" s="5293"/>
      <c r="BF150" s="5293"/>
      <c r="BG150" s="5293"/>
      <c r="BH150" s="5293"/>
      <c r="BI150" s="5293"/>
      <c r="BJ150" s="5293"/>
      <c r="BK150" s="5310"/>
      <c r="BL150" s="5311"/>
      <c r="BM150" s="5305" t="s">
        <v>3683</v>
      </c>
      <c r="BN150" s="5306"/>
      <c r="BO150" s="5306"/>
      <c r="BP150" s="5306"/>
      <c r="BQ150" s="5306"/>
      <c r="BR150" s="5306"/>
      <c r="BS150" s="5306"/>
      <c r="BT150" s="5306"/>
      <c r="BU150" s="5306"/>
      <c r="BV150" s="5306"/>
      <c r="BW150" s="5306"/>
      <c r="BX150" s="5306"/>
      <c r="BY150" s="5306"/>
      <c r="BZ150" s="5310"/>
      <c r="CA150" s="5310"/>
      <c r="CB150" s="5292" t="s">
        <v>1991</v>
      </c>
      <c r="CC150" s="5293"/>
      <c r="CD150" s="5293"/>
      <c r="CE150" s="5293"/>
      <c r="CF150" s="5293"/>
      <c r="CG150" s="5293"/>
      <c r="CH150" s="5293"/>
      <c r="CI150" s="5294"/>
      <c r="CJ150" s="5295"/>
      <c r="CK150" s="2774"/>
      <c r="CL150" s="2774"/>
      <c r="CM150" s="2774"/>
    </row>
    <row r="151" spans="1:91" ht="25.5" customHeight="1" x14ac:dyDescent="0.2">
      <c r="A151" s="5324"/>
      <c r="B151" s="5296" t="s">
        <v>3550</v>
      </c>
      <c r="C151" s="5297"/>
      <c r="D151" s="5298"/>
      <c r="E151" s="5299" t="s">
        <v>569</v>
      </c>
      <c r="F151" s="5300"/>
      <c r="G151" s="5301"/>
      <c r="H151" s="5299" t="s">
        <v>570</v>
      </c>
      <c r="I151" s="5300"/>
      <c r="J151" s="5301"/>
      <c r="K151" s="5299" t="s">
        <v>571</v>
      </c>
      <c r="L151" s="5300"/>
      <c r="M151" s="5301"/>
      <c r="N151" s="5296" t="s">
        <v>1674</v>
      </c>
      <c r="O151" s="5297"/>
      <c r="P151" s="5298"/>
      <c r="Q151" s="5296" t="s">
        <v>3550</v>
      </c>
      <c r="R151" s="5297"/>
      <c r="S151" s="5298"/>
      <c r="T151" s="5302" t="s">
        <v>3684</v>
      </c>
      <c r="U151" s="5303"/>
      <c r="V151" s="5304"/>
      <c r="W151" s="5302" t="s">
        <v>573</v>
      </c>
      <c r="X151" s="5303"/>
      <c r="Y151" s="5304"/>
      <c r="Z151" s="5302" t="s">
        <v>574</v>
      </c>
      <c r="AA151" s="5303"/>
      <c r="AB151" s="5304"/>
      <c r="AC151" s="5296" t="s">
        <v>1674</v>
      </c>
      <c r="AD151" s="5297"/>
      <c r="AE151" s="5298"/>
      <c r="AF151" s="5312" t="s">
        <v>3550</v>
      </c>
      <c r="AG151" s="5313"/>
      <c r="AH151" s="5314"/>
      <c r="AI151" s="5312" t="s">
        <v>1674</v>
      </c>
      <c r="AJ151" s="5313"/>
      <c r="AK151" s="5314"/>
      <c r="AL151" s="5312" t="s">
        <v>3685</v>
      </c>
      <c r="AM151" s="5313"/>
      <c r="AN151" s="5314"/>
      <c r="AO151" s="5328" t="s">
        <v>3550</v>
      </c>
      <c r="AP151" s="5329"/>
      <c r="AQ151" s="5330"/>
      <c r="AR151" s="5331" t="s">
        <v>575</v>
      </c>
      <c r="AS151" s="5332"/>
      <c r="AT151" s="5333"/>
      <c r="AU151" s="5331" t="s">
        <v>576</v>
      </c>
      <c r="AV151" s="5332"/>
      <c r="AW151" s="5333"/>
      <c r="AX151" s="5331" t="s">
        <v>577</v>
      </c>
      <c r="AY151" s="5332"/>
      <c r="AZ151" s="5333"/>
      <c r="BA151" s="5328" t="s">
        <v>1674</v>
      </c>
      <c r="BB151" s="5329"/>
      <c r="BC151" s="5330"/>
      <c r="BD151" s="5325" t="s">
        <v>3550</v>
      </c>
      <c r="BE151" s="5326"/>
      <c r="BF151" s="5327"/>
      <c r="BG151" s="5325" t="s">
        <v>1674</v>
      </c>
      <c r="BH151" s="5326"/>
      <c r="BI151" s="5327"/>
      <c r="BJ151" s="5325" t="s">
        <v>3685</v>
      </c>
      <c r="BK151" s="5326"/>
      <c r="BL151" s="5327"/>
      <c r="BM151" s="5315" t="s">
        <v>3550</v>
      </c>
      <c r="BN151" s="5316"/>
      <c r="BO151" s="5317"/>
      <c r="BP151" s="5315" t="s">
        <v>578</v>
      </c>
      <c r="BQ151" s="5316"/>
      <c r="BR151" s="5317"/>
      <c r="BS151" s="5315" t="s">
        <v>579</v>
      </c>
      <c r="BT151" s="5316"/>
      <c r="BU151" s="5317"/>
      <c r="BV151" s="5315" t="s">
        <v>580</v>
      </c>
      <c r="BW151" s="5316"/>
      <c r="BX151" s="5317"/>
      <c r="BY151" s="5315" t="s">
        <v>1674</v>
      </c>
      <c r="BZ151" s="5316"/>
      <c r="CA151" s="5316"/>
      <c r="CB151" s="5318" t="s">
        <v>3550</v>
      </c>
      <c r="CC151" s="5319"/>
      <c r="CD151" s="5320"/>
      <c r="CE151" s="5318" t="s">
        <v>1674</v>
      </c>
      <c r="CF151" s="5319"/>
      <c r="CG151" s="5320"/>
      <c r="CH151" s="5318" t="s">
        <v>3685</v>
      </c>
      <c r="CI151" s="5321"/>
      <c r="CJ151" s="5322"/>
    </row>
    <row r="152" spans="1:91" ht="18.75" customHeight="1" x14ac:dyDescent="0.2">
      <c r="A152" s="5324"/>
      <c r="B152" s="4374" t="s">
        <v>614</v>
      </c>
      <c r="C152" s="4374" t="s">
        <v>3753</v>
      </c>
      <c r="D152" s="4374" t="s">
        <v>3754</v>
      </c>
      <c r="E152" s="4374" t="s">
        <v>614</v>
      </c>
      <c r="F152" s="4374" t="s">
        <v>3753</v>
      </c>
      <c r="G152" s="4374" t="s">
        <v>3754</v>
      </c>
      <c r="H152" s="4374" t="s">
        <v>614</v>
      </c>
      <c r="I152" s="4374" t="s">
        <v>3753</v>
      </c>
      <c r="J152" s="4374" t="s">
        <v>3754</v>
      </c>
      <c r="K152" s="4374" t="s">
        <v>614</v>
      </c>
      <c r="L152" s="4374" t="s">
        <v>3753</v>
      </c>
      <c r="M152" s="4374" t="s">
        <v>3754</v>
      </c>
      <c r="N152" s="4374" t="s">
        <v>614</v>
      </c>
      <c r="O152" s="4374" t="s">
        <v>3753</v>
      </c>
      <c r="P152" s="4374" t="s">
        <v>3754</v>
      </c>
      <c r="Q152" s="4374" t="s">
        <v>614</v>
      </c>
      <c r="R152" s="4374" t="s">
        <v>3753</v>
      </c>
      <c r="S152" s="4374" t="s">
        <v>3754</v>
      </c>
      <c r="T152" s="4374" t="s">
        <v>614</v>
      </c>
      <c r="U152" s="4374" t="s">
        <v>3753</v>
      </c>
      <c r="V152" s="4374" t="s">
        <v>3754</v>
      </c>
      <c r="W152" s="4374" t="s">
        <v>614</v>
      </c>
      <c r="X152" s="4374" t="s">
        <v>3753</v>
      </c>
      <c r="Y152" s="4374" t="s">
        <v>3754</v>
      </c>
      <c r="Z152" s="4374" t="s">
        <v>614</v>
      </c>
      <c r="AA152" s="4374" t="s">
        <v>3753</v>
      </c>
      <c r="AB152" s="4374" t="s">
        <v>3754</v>
      </c>
      <c r="AC152" s="4374" t="s">
        <v>614</v>
      </c>
      <c r="AD152" s="4374" t="s">
        <v>3753</v>
      </c>
      <c r="AE152" s="4374" t="s">
        <v>3754</v>
      </c>
      <c r="AF152" s="4375" t="s">
        <v>614</v>
      </c>
      <c r="AG152" s="4375" t="s">
        <v>3753</v>
      </c>
      <c r="AH152" s="4375" t="s">
        <v>3754</v>
      </c>
      <c r="AI152" s="4375" t="s">
        <v>614</v>
      </c>
      <c r="AJ152" s="4375" t="s">
        <v>3753</v>
      </c>
      <c r="AK152" s="4375" t="s">
        <v>3754</v>
      </c>
      <c r="AL152" s="4375" t="s">
        <v>614</v>
      </c>
      <c r="AM152" s="4375" t="s">
        <v>3753</v>
      </c>
      <c r="AN152" s="4375" t="s">
        <v>3754</v>
      </c>
      <c r="AO152" s="4374" t="s">
        <v>614</v>
      </c>
      <c r="AP152" s="4374" t="s">
        <v>3753</v>
      </c>
      <c r="AQ152" s="4374" t="s">
        <v>3754</v>
      </c>
      <c r="AR152" s="4374" t="s">
        <v>614</v>
      </c>
      <c r="AS152" s="4374" t="s">
        <v>3753</v>
      </c>
      <c r="AT152" s="4374" t="s">
        <v>3754</v>
      </c>
      <c r="AU152" s="4374" t="s">
        <v>614</v>
      </c>
      <c r="AV152" s="4374" t="s">
        <v>3753</v>
      </c>
      <c r="AW152" s="4374" t="s">
        <v>3754</v>
      </c>
      <c r="AX152" s="4374" t="s">
        <v>614</v>
      </c>
      <c r="AY152" s="4374" t="s">
        <v>3753</v>
      </c>
      <c r="AZ152" s="4374" t="s">
        <v>3754</v>
      </c>
      <c r="BA152" s="4374" t="s">
        <v>614</v>
      </c>
      <c r="BB152" s="4374" t="s">
        <v>3753</v>
      </c>
      <c r="BC152" s="4374" t="s">
        <v>3754</v>
      </c>
      <c r="BD152" s="4375" t="s">
        <v>614</v>
      </c>
      <c r="BE152" s="4375" t="s">
        <v>3753</v>
      </c>
      <c r="BF152" s="4375" t="s">
        <v>3754</v>
      </c>
      <c r="BG152" s="4375" t="s">
        <v>614</v>
      </c>
      <c r="BH152" s="4375" t="s">
        <v>3753</v>
      </c>
      <c r="BI152" s="4375" t="s">
        <v>3754</v>
      </c>
      <c r="BJ152" s="4375" t="s">
        <v>614</v>
      </c>
      <c r="BK152" s="4375" t="s">
        <v>3753</v>
      </c>
      <c r="BL152" s="4375" t="s">
        <v>3754</v>
      </c>
      <c r="BM152" s="4374" t="s">
        <v>614</v>
      </c>
      <c r="BN152" s="4374" t="s">
        <v>3753</v>
      </c>
      <c r="BO152" s="4374" t="s">
        <v>3754</v>
      </c>
      <c r="BP152" s="4374" t="s">
        <v>614</v>
      </c>
      <c r="BQ152" s="4374" t="s">
        <v>3753</v>
      </c>
      <c r="BR152" s="4374" t="s">
        <v>3754</v>
      </c>
      <c r="BS152" s="4374" t="s">
        <v>614</v>
      </c>
      <c r="BT152" s="4374" t="s">
        <v>3753</v>
      </c>
      <c r="BU152" s="4374" t="s">
        <v>3754</v>
      </c>
      <c r="BV152" s="4374" t="s">
        <v>614</v>
      </c>
      <c r="BW152" s="4374" t="s">
        <v>3753</v>
      </c>
      <c r="BX152" s="4374" t="s">
        <v>3754</v>
      </c>
      <c r="BY152" s="4374" t="s">
        <v>614</v>
      </c>
      <c r="BZ152" s="4374" t="s">
        <v>3753</v>
      </c>
      <c r="CA152" s="4374" t="s">
        <v>3754</v>
      </c>
      <c r="CB152" s="4375" t="s">
        <v>614</v>
      </c>
      <c r="CC152" s="4375" t="s">
        <v>3753</v>
      </c>
      <c r="CD152" s="4375" t="s">
        <v>3754</v>
      </c>
      <c r="CE152" s="4375" t="s">
        <v>614</v>
      </c>
      <c r="CF152" s="4375" t="s">
        <v>3753</v>
      </c>
      <c r="CG152" s="4375" t="s">
        <v>3754</v>
      </c>
      <c r="CH152" s="4375" t="s">
        <v>614</v>
      </c>
      <c r="CI152" s="4375" t="s">
        <v>3753</v>
      </c>
      <c r="CJ152" s="4375" t="s">
        <v>3754</v>
      </c>
    </row>
    <row r="153" spans="1:91" ht="18.75" customHeight="1" x14ac:dyDescent="0.3">
      <c r="A153" s="4396" t="s">
        <v>1</v>
      </c>
      <c r="B153" s="4447">
        <f t="shared" ref="B153:CB153" si="1025">SUM(B22+B41)</f>
        <v>2535.4497784417135</v>
      </c>
      <c r="C153" s="4447">
        <f t="shared" si="1025"/>
        <v>2522.8945823035083</v>
      </c>
      <c r="D153" s="4447">
        <f t="shared" si="1025"/>
        <v>12.555196138205357</v>
      </c>
      <c r="E153" s="4447">
        <f t="shared" si="1025"/>
        <v>999.89841999999999</v>
      </c>
      <c r="F153" s="4442">
        <f t="shared" si="1025"/>
        <v>998.25400000000002</v>
      </c>
      <c r="G153" s="4442">
        <f t="shared" si="1025"/>
        <v>1.64442</v>
      </c>
      <c r="H153" s="4442">
        <f t="shared" si="1025"/>
        <v>960.41741999999999</v>
      </c>
      <c r="I153" s="4442">
        <f t="shared" si="1025"/>
        <v>959.32600000000002</v>
      </c>
      <c r="J153" s="4442">
        <f t="shared" si="1025"/>
        <v>1.0914200000000001</v>
      </c>
      <c r="K153" s="4442">
        <f t="shared" si="1025"/>
        <v>1191.18876</v>
      </c>
      <c r="L153" s="4442">
        <f t="shared" si="1025"/>
        <v>1185.5529999999999</v>
      </c>
      <c r="M153" s="4442">
        <f t="shared" si="1025"/>
        <v>5.6357600000000003</v>
      </c>
      <c r="N153" s="4442">
        <f t="shared" si="1025"/>
        <v>3151.5045999999998</v>
      </c>
      <c r="O153" s="4442">
        <f t="shared" si="1025"/>
        <v>3143.1329999999998</v>
      </c>
      <c r="P153" s="4442">
        <f t="shared" si="1025"/>
        <v>8.3716000000000008</v>
      </c>
      <c r="Q153" s="4447">
        <f t="shared" si="1025"/>
        <v>2535.4497784417135</v>
      </c>
      <c r="R153" s="4447">
        <f t="shared" si="1025"/>
        <v>2522.8945823035083</v>
      </c>
      <c r="S153" s="4447">
        <f t="shared" si="1025"/>
        <v>12.555196138205357</v>
      </c>
      <c r="T153" s="4442">
        <f t="shared" si="1025"/>
        <v>1007.3389999999999</v>
      </c>
      <c r="U153" s="4442">
        <f t="shared" si="1025"/>
        <v>1006.347</v>
      </c>
      <c r="V153" s="4442">
        <f t="shared" si="1025"/>
        <v>0.99199999999999999</v>
      </c>
      <c r="W153" s="4442">
        <f t="shared" si="1025"/>
        <v>1025.4625800000001</v>
      </c>
      <c r="X153" s="4442">
        <f t="shared" si="1025"/>
        <v>1023.7280000000001</v>
      </c>
      <c r="Y153" s="4442">
        <f t="shared" si="1025"/>
        <v>1.73458</v>
      </c>
      <c r="Z153" s="4442">
        <f t="shared" si="1025"/>
        <v>930.74783000000002</v>
      </c>
      <c r="AA153" s="4442">
        <f t="shared" si="1025"/>
        <v>924.97400000000005</v>
      </c>
      <c r="AB153" s="4442">
        <f t="shared" si="1025"/>
        <v>5.7738300000000002</v>
      </c>
      <c r="AC153" s="4442">
        <f t="shared" si="1025"/>
        <v>2963.5494100000001</v>
      </c>
      <c r="AD153" s="4442">
        <f t="shared" si="1025"/>
        <v>2955.049</v>
      </c>
      <c r="AE153" s="4442">
        <f t="shared" si="1025"/>
        <v>8.5004100000000005</v>
      </c>
      <c r="AF153" s="4448">
        <f t="shared" si="1025"/>
        <v>5070.8995568834271</v>
      </c>
      <c r="AG153" s="4448">
        <f t="shared" si="1025"/>
        <v>5045.7891646070166</v>
      </c>
      <c r="AH153" s="4448">
        <f t="shared" si="1025"/>
        <v>25.110392276410714</v>
      </c>
      <c r="AI153" s="4459">
        <f t="shared" si="1025"/>
        <v>6115.0540099999998</v>
      </c>
      <c r="AJ153" s="4459">
        <f t="shared" si="1025"/>
        <v>6098.1820000000007</v>
      </c>
      <c r="AK153" s="4459">
        <f t="shared" si="1025"/>
        <v>16.872010000000003</v>
      </c>
      <c r="AL153" s="4434">
        <f t="shared" ref="AL153:AN168" si="1026">SUM(AI153-AF153)</f>
        <v>1044.1544531165728</v>
      </c>
      <c r="AM153" s="4434">
        <f t="shared" si="1026"/>
        <v>1052.3928353929841</v>
      </c>
      <c r="AN153" s="4434">
        <f t="shared" si="1026"/>
        <v>-8.2383822764107109</v>
      </c>
      <c r="AO153" s="4447">
        <f t="shared" si="1025"/>
        <v>2535.4497784417135</v>
      </c>
      <c r="AP153" s="4447">
        <f t="shared" si="1025"/>
        <v>2522.8945823035083</v>
      </c>
      <c r="AQ153" s="4447">
        <f t="shared" si="1025"/>
        <v>12.555196138205357</v>
      </c>
      <c r="AR153" s="4442">
        <f t="shared" si="1025"/>
        <v>963.3732500000001</v>
      </c>
      <c r="AS153" s="4442">
        <f t="shared" si="1025"/>
        <v>962.13100000000009</v>
      </c>
      <c r="AT153" s="4442">
        <f t="shared" si="1025"/>
        <v>1.2422500000000001</v>
      </c>
      <c r="AU153" s="4442">
        <f t="shared" si="1025"/>
        <v>0</v>
      </c>
      <c r="AV153" s="4442">
        <f t="shared" si="1025"/>
        <v>0</v>
      </c>
      <c r="AW153" s="4442">
        <f t="shared" si="1025"/>
        <v>0</v>
      </c>
      <c r="AX153" s="4442">
        <f t="shared" si="1025"/>
        <v>0</v>
      </c>
      <c r="AY153" s="4442">
        <f t="shared" si="1025"/>
        <v>0</v>
      </c>
      <c r="AZ153" s="4442">
        <f t="shared" si="1025"/>
        <v>0</v>
      </c>
      <c r="BA153" s="4442">
        <f t="shared" si="1025"/>
        <v>963.3732500000001</v>
      </c>
      <c r="BB153" s="4442">
        <f t="shared" si="1025"/>
        <v>962.13100000000009</v>
      </c>
      <c r="BC153" s="4442">
        <f t="shared" si="1025"/>
        <v>1.2422500000000001</v>
      </c>
      <c r="BD153" s="4448">
        <f t="shared" si="1025"/>
        <v>7606.3493353251406</v>
      </c>
      <c r="BE153" s="4448">
        <f t="shared" si="1025"/>
        <v>7568.6837469105249</v>
      </c>
      <c r="BF153" s="4448">
        <f t="shared" si="1025"/>
        <v>37.665588414616067</v>
      </c>
      <c r="BG153" s="4459">
        <f t="shared" si="1025"/>
        <v>7078.4272599999995</v>
      </c>
      <c r="BH153" s="4459">
        <f t="shared" si="1025"/>
        <v>7060.3130000000001</v>
      </c>
      <c r="BI153" s="4459">
        <f t="shared" si="1025"/>
        <v>18.114260000000002</v>
      </c>
      <c r="BJ153" s="4434">
        <f t="shared" ref="BJ153:BL183" si="1027">SUM(BG153-BD153)</f>
        <v>-527.92207532514112</v>
      </c>
      <c r="BK153" s="4434">
        <f t="shared" si="1027"/>
        <v>-508.37074691052476</v>
      </c>
      <c r="BL153" s="4434">
        <f t="shared" si="1027"/>
        <v>-19.551328414616066</v>
      </c>
      <c r="BM153" s="4447">
        <f t="shared" si="1025"/>
        <v>2535.4497784417135</v>
      </c>
      <c r="BN153" s="4447">
        <f t="shared" si="1025"/>
        <v>2522.8945823035083</v>
      </c>
      <c r="BO153" s="4447">
        <f t="shared" si="1025"/>
        <v>12.555196138205357</v>
      </c>
      <c r="BP153" s="4442">
        <f t="shared" si="1025"/>
        <v>0</v>
      </c>
      <c r="BQ153" s="4442">
        <f t="shared" si="1025"/>
        <v>0</v>
      </c>
      <c r="BR153" s="4442">
        <f t="shared" si="1025"/>
        <v>0</v>
      </c>
      <c r="BS153" s="4442">
        <f t="shared" si="1025"/>
        <v>0</v>
      </c>
      <c r="BT153" s="4442">
        <f t="shared" si="1025"/>
        <v>0</v>
      </c>
      <c r="BU153" s="4442">
        <f t="shared" si="1025"/>
        <v>0</v>
      </c>
      <c r="BV153" s="4442">
        <f t="shared" si="1025"/>
        <v>0</v>
      </c>
      <c r="BW153" s="4442">
        <f t="shared" si="1025"/>
        <v>0</v>
      </c>
      <c r="BX153" s="4442">
        <f t="shared" si="1025"/>
        <v>0</v>
      </c>
      <c r="BY153" s="4442">
        <f t="shared" si="1025"/>
        <v>0</v>
      </c>
      <c r="BZ153" s="4442">
        <f t="shared" si="1025"/>
        <v>0</v>
      </c>
      <c r="CA153" s="4442">
        <f t="shared" si="1025"/>
        <v>0</v>
      </c>
      <c r="CB153" s="4448">
        <f t="shared" si="1025"/>
        <v>10141.799113766854</v>
      </c>
      <c r="CC153" s="4448">
        <f t="shared" ref="CC153:CG153" si="1028">SUM(CC22+CC41)</f>
        <v>10091.578329214033</v>
      </c>
      <c r="CD153" s="4448">
        <f t="shared" si="1028"/>
        <v>50.220784552821428</v>
      </c>
      <c r="CE153" s="4459">
        <f t="shared" si="1028"/>
        <v>7078.4272599999995</v>
      </c>
      <c r="CF153" s="4459">
        <f t="shared" si="1028"/>
        <v>7060.3130000000001</v>
      </c>
      <c r="CG153" s="4459">
        <f t="shared" si="1028"/>
        <v>18.114260000000002</v>
      </c>
      <c r="CH153" s="4434">
        <f t="shared" ref="CH153:CJ183" si="1029">SUM(CE153-CB153)</f>
        <v>-3063.3718537668547</v>
      </c>
      <c r="CI153" s="4434">
        <f t="shared" si="1029"/>
        <v>-3031.265329214033</v>
      </c>
      <c r="CJ153" s="4434">
        <f t="shared" si="1029"/>
        <v>-32.106524552821426</v>
      </c>
    </row>
    <row r="154" spans="1:91" ht="18.75" customHeight="1" x14ac:dyDescent="0.3">
      <c r="A154" s="4396" t="s">
        <v>2</v>
      </c>
      <c r="B154" s="4447">
        <f t="shared" ref="B154:CB154" si="1030">SUM(B23+B43+B80+B95)</f>
        <v>1372.6875</v>
      </c>
      <c r="C154" s="4447">
        <f t="shared" si="1030"/>
        <v>1372.6875</v>
      </c>
      <c r="D154" s="4447">
        <f t="shared" si="1030"/>
        <v>0</v>
      </c>
      <c r="E154" s="4447">
        <f t="shared" si="1030"/>
        <v>569.25300000000004</v>
      </c>
      <c r="F154" s="4442">
        <f t="shared" si="1030"/>
        <v>569.25300000000004</v>
      </c>
      <c r="G154" s="4442">
        <f t="shared" si="1030"/>
        <v>0</v>
      </c>
      <c r="H154" s="4442">
        <f t="shared" si="1030"/>
        <v>573.59500000000003</v>
      </c>
      <c r="I154" s="4442">
        <f t="shared" si="1030"/>
        <v>573.59500000000003</v>
      </c>
      <c r="J154" s="4442">
        <f t="shared" si="1030"/>
        <v>0</v>
      </c>
      <c r="K154" s="4442">
        <f t="shared" si="1030"/>
        <v>717.44399999999996</v>
      </c>
      <c r="L154" s="4442">
        <f t="shared" si="1030"/>
        <v>717.44399999999996</v>
      </c>
      <c r="M154" s="4442">
        <f t="shared" si="1030"/>
        <v>0</v>
      </c>
      <c r="N154" s="4442">
        <f t="shared" si="1030"/>
        <v>1860.2919999999999</v>
      </c>
      <c r="O154" s="4442">
        <f t="shared" si="1030"/>
        <v>1860.2919999999999</v>
      </c>
      <c r="P154" s="4442">
        <f t="shared" si="1030"/>
        <v>0</v>
      </c>
      <c r="Q154" s="4447">
        <f t="shared" si="1030"/>
        <v>1372.6875</v>
      </c>
      <c r="R154" s="4447">
        <f t="shared" si="1030"/>
        <v>1372.6875</v>
      </c>
      <c r="S154" s="4447">
        <f t="shared" si="1030"/>
        <v>0</v>
      </c>
      <c r="T154" s="4442">
        <f t="shared" si="1030"/>
        <v>928.29399999999998</v>
      </c>
      <c r="U154" s="4442">
        <f t="shared" si="1030"/>
        <v>928.29399999999998</v>
      </c>
      <c r="V154" s="4442">
        <f t="shared" si="1030"/>
        <v>0</v>
      </c>
      <c r="W154" s="4442">
        <f t="shared" si="1030"/>
        <v>909.35099999999989</v>
      </c>
      <c r="X154" s="4442">
        <f t="shared" si="1030"/>
        <v>909.35099999999989</v>
      </c>
      <c r="Y154" s="4442">
        <f t="shared" si="1030"/>
        <v>0</v>
      </c>
      <c r="Z154" s="4442">
        <f t="shared" si="1030"/>
        <v>909.29477999999995</v>
      </c>
      <c r="AA154" s="4442">
        <f t="shared" si="1030"/>
        <v>909.29477999999995</v>
      </c>
      <c r="AB154" s="4442">
        <f t="shared" si="1030"/>
        <v>0</v>
      </c>
      <c r="AC154" s="4442">
        <f t="shared" si="1030"/>
        <v>2746.9397799999997</v>
      </c>
      <c r="AD154" s="4442">
        <f t="shared" si="1030"/>
        <v>2746.9397799999997</v>
      </c>
      <c r="AE154" s="4442">
        <f t="shared" si="1030"/>
        <v>0</v>
      </c>
      <c r="AF154" s="4448">
        <f t="shared" si="1030"/>
        <v>2745.375</v>
      </c>
      <c r="AG154" s="4448">
        <f t="shared" si="1030"/>
        <v>2745.375</v>
      </c>
      <c r="AH154" s="4448">
        <f t="shared" si="1030"/>
        <v>0</v>
      </c>
      <c r="AI154" s="4459">
        <f t="shared" si="1030"/>
        <v>4607.2317800000001</v>
      </c>
      <c r="AJ154" s="4459">
        <f t="shared" si="1030"/>
        <v>4607.2317800000001</v>
      </c>
      <c r="AK154" s="4459">
        <f t="shared" si="1030"/>
        <v>0</v>
      </c>
      <c r="AL154" s="4434">
        <f t="shared" ref="AL154:AN183" si="1031">SUM(AI154-AF154)</f>
        <v>1861.8567800000001</v>
      </c>
      <c r="AM154" s="4434">
        <f t="shared" si="1026"/>
        <v>1861.8567800000001</v>
      </c>
      <c r="AN154" s="4434">
        <f t="shared" si="1026"/>
        <v>0</v>
      </c>
      <c r="AO154" s="4447">
        <f t="shared" si="1030"/>
        <v>1372.6875</v>
      </c>
      <c r="AP154" s="4447">
        <f t="shared" si="1030"/>
        <v>1372.6875</v>
      </c>
      <c r="AQ154" s="4447">
        <f t="shared" si="1030"/>
        <v>0</v>
      </c>
      <c r="AR154" s="4442">
        <f t="shared" si="1030"/>
        <v>908.75299999999993</v>
      </c>
      <c r="AS154" s="4442">
        <f t="shared" si="1030"/>
        <v>908.75299999999993</v>
      </c>
      <c r="AT154" s="4442">
        <f t="shared" si="1030"/>
        <v>0</v>
      </c>
      <c r="AU154" s="4442">
        <f t="shared" si="1030"/>
        <v>0</v>
      </c>
      <c r="AV154" s="4442">
        <f t="shared" si="1030"/>
        <v>0</v>
      </c>
      <c r="AW154" s="4442">
        <f t="shared" si="1030"/>
        <v>0</v>
      </c>
      <c r="AX154" s="4442">
        <f t="shared" si="1030"/>
        <v>0</v>
      </c>
      <c r="AY154" s="4442">
        <f t="shared" si="1030"/>
        <v>0</v>
      </c>
      <c r="AZ154" s="4442">
        <f t="shared" si="1030"/>
        <v>0</v>
      </c>
      <c r="BA154" s="4442">
        <f t="shared" si="1030"/>
        <v>908.75299999999993</v>
      </c>
      <c r="BB154" s="4442">
        <f t="shared" si="1030"/>
        <v>908.75299999999993</v>
      </c>
      <c r="BC154" s="4442">
        <f t="shared" si="1030"/>
        <v>0</v>
      </c>
      <c r="BD154" s="4448">
        <f t="shared" si="1030"/>
        <v>4118.0625</v>
      </c>
      <c r="BE154" s="4448">
        <f t="shared" si="1030"/>
        <v>4118.0625</v>
      </c>
      <c r="BF154" s="4448">
        <f t="shared" si="1030"/>
        <v>0</v>
      </c>
      <c r="BG154" s="4459">
        <f t="shared" si="1030"/>
        <v>5515.9847799999998</v>
      </c>
      <c r="BH154" s="4459">
        <f t="shared" si="1030"/>
        <v>5515.9847799999998</v>
      </c>
      <c r="BI154" s="4459">
        <f t="shared" si="1030"/>
        <v>0</v>
      </c>
      <c r="BJ154" s="4434">
        <f t="shared" si="1027"/>
        <v>1397.9222799999998</v>
      </c>
      <c r="BK154" s="4434">
        <f t="shared" si="1027"/>
        <v>1397.9222799999998</v>
      </c>
      <c r="BL154" s="4434">
        <f t="shared" si="1027"/>
        <v>0</v>
      </c>
      <c r="BM154" s="4447">
        <f t="shared" si="1030"/>
        <v>1372.6875</v>
      </c>
      <c r="BN154" s="4447">
        <f t="shared" si="1030"/>
        <v>1372.6875</v>
      </c>
      <c r="BO154" s="4447">
        <f t="shared" si="1030"/>
        <v>0</v>
      </c>
      <c r="BP154" s="4442">
        <f t="shared" si="1030"/>
        <v>0</v>
      </c>
      <c r="BQ154" s="4442">
        <f t="shared" si="1030"/>
        <v>0</v>
      </c>
      <c r="BR154" s="4442">
        <f t="shared" si="1030"/>
        <v>0</v>
      </c>
      <c r="BS154" s="4442">
        <f t="shared" si="1030"/>
        <v>0</v>
      </c>
      <c r="BT154" s="4442">
        <f t="shared" si="1030"/>
        <v>0</v>
      </c>
      <c r="BU154" s="4442">
        <f t="shared" si="1030"/>
        <v>0</v>
      </c>
      <c r="BV154" s="4442">
        <f t="shared" si="1030"/>
        <v>0</v>
      </c>
      <c r="BW154" s="4442">
        <f t="shared" si="1030"/>
        <v>0</v>
      </c>
      <c r="BX154" s="4442">
        <f t="shared" si="1030"/>
        <v>0</v>
      </c>
      <c r="BY154" s="4442">
        <f t="shared" si="1030"/>
        <v>0</v>
      </c>
      <c r="BZ154" s="4442">
        <f t="shared" si="1030"/>
        <v>0</v>
      </c>
      <c r="CA154" s="4442">
        <f t="shared" si="1030"/>
        <v>0</v>
      </c>
      <c r="CB154" s="4448">
        <f t="shared" si="1030"/>
        <v>5490.75</v>
      </c>
      <c r="CC154" s="4448">
        <f t="shared" ref="CC154:CG154" si="1032">SUM(CC23+CC43+CC80+CC95)</f>
        <v>5490.75</v>
      </c>
      <c r="CD154" s="4448">
        <f t="shared" si="1032"/>
        <v>0</v>
      </c>
      <c r="CE154" s="4459">
        <f t="shared" si="1032"/>
        <v>5515.9847799999998</v>
      </c>
      <c r="CF154" s="4459">
        <f t="shared" si="1032"/>
        <v>5515.9847799999998</v>
      </c>
      <c r="CG154" s="4459">
        <f t="shared" si="1032"/>
        <v>0</v>
      </c>
      <c r="CH154" s="4434">
        <f t="shared" si="1029"/>
        <v>25.234779999999773</v>
      </c>
      <c r="CI154" s="4434">
        <f t="shared" si="1029"/>
        <v>25.234779999999773</v>
      </c>
      <c r="CJ154" s="4434">
        <f t="shared" si="1029"/>
        <v>0</v>
      </c>
    </row>
    <row r="155" spans="1:91" ht="18.75" customHeight="1" x14ac:dyDescent="0.3">
      <c r="A155" s="4396" t="s">
        <v>209</v>
      </c>
      <c r="B155" s="4447">
        <f t="shared" ref="B155:CB155" si="1033">SUM(B24+B44+B96)</f>
        <v>0</v>
      </c>
      <c r="C155" s="4447">
        <f t="shared" ref="C155:AE155" si="1034">SUM(C24+C44+C96)</f>
        <v>0</v>
      </c>
      <c r="D155" s="4447">
        <f t="shared" si="1034"/>
        <v>0</v>
      </c>
      <c r="E155" s="4447">
        <f t="shared" si="1034"/>
        <v>167.404</v>
      </c>
      <c r="F155" s="4442">
        <f t="shared" si="1034"/>
        <v>167.404</v>
      </c>
      <c r="G155" s="4442">
        <f t="shared" si="1034"/>
        <v>0</v>
      </c>
      <c r="H155" s="4442">
        <f t="shared" si="1034"/>
        <v>3.093</v>
      </c>
      <c r="I155" s="4442">
        <f t="shared" si="1034"/>
        <v>3.093</v>
      </c>
      <c r="J155" s="4442">
        <f t="shared" si="1034"/>
        <v>0</v>
      </c>
      <c r="K155" s="4442">
        <f t="shared" si="1034"/>
        <v>3.093</v>
      </c>
      <c r="L155" s="4442">
        <f t="shared" si="1034"/>
        <v>3.093</v>
      </c>
      <c r="M155" s="4442">
        <f t="shared" si="1034"/>
        <v>0</v>
      </c>
      <c r="N155" s="4442">
        <f t="shared" si="1034"/>
        <v>173.59</v>
      </c>
      <c r="O155" s="4442">
        <f t="shared" si="1034"/>
        <v>173.59</v>
      </c>
      <c r="P155" s="4442">
        <f t="shared" si="1034"/>
        <v>0</v>
      </c>
      <c r="Q155" s="4447">
        <f t="shared" si="1034"/>
        <v>0</v>
      </c>
      <c r="R155" s="4447">
        <f t="shared" si="1034"/>
        <v>0</v>
      </c>
      <c r="S155" s="4447">
        <f t="shared" si="1034"/>
        <v>0</v>
      </c>
      <c r="T155" s="4442">
        <f t="shared" si="1034"/>
        <v>120.342</v>
      </c>
      <c r="U155" s="4442">
        <f t="shared" si="1034"/>
        <v>120.342</v>
      </c>
      <c r="V155" s="4442">
        <f t="shared" si="1034"/>
        <v>0</v>
      </c>
      <c r="W155" s="4442">
        <f t="shared" si="1034"/>
        <v>11.426</v>
      </c>
      <c r="X155" s="4442">
        <f t="shared" si="1034"/>
        <v>11.426</v>
      </c>
      <c r="Y155" s="4442">
        <f t="shared" si="1034"/>
        <v>0</v>
      </c>
      <c r="Z155" s="4442">
        <f t="shared" si="1034"/>
        <v>63.525499999999994</v>
      </c>
      <c r="AA155" s="4442">
        <f t="shared" si="1034"/>
        <v>63.525499999999994</v>
      </c>
      <c r="AB155" s="4442">
        <f t="shared" si="1034"/>
        <v>0</v>
      </c>
      <c r="AC155" s="4442">
        <f t="shared" si="1034"/>
        <v>195.29349999999999</v>
      </c>
      <c r="AD155" s="4442">
        <f t="shared" si="1034"/>
        <v>195.29349999999999</v>
      </c>
      <c r="AE155" s="4442">
        <f t="shared" si="1034"/>
        <v>0</v>
      </c>
      <c r="AF155" s="4448">
        <f t="shared" si="1033"/>
        <v>0</v>
      </c>
      <c r="AG155" s="4448">
        <f t="shared" ref="AG155:AK155" si="1035">SUM(AG24+AG44+AG96)</f>
        <v>0</v>
      </c>
      <c r="AH155" s="4448">
        <f t="shared" si="1035"/>
        <v>0</v>
      </c>
      <c r="AI155" s="4459">
        <f t="shared" si="1035"/>
        <v>368.88350000000003</v>
      </c>
      <c r="AJ155" s="4459">
        <f t="shared" si="1035"/>
        <v>368.88350000000003</v>
      </c>
      <c r="AK155" s="4459">
        <f t="shared" si="1035"/>
        <v>0</v>
      </c>
      <c r="AL155" s="4434">
        <f t="shared" si="1031"/>
        <v>368.88350000000003</v>
      </c>
      <c r="AM155" s="4434">
        <f t="shared" si="1026"/>
        <v>368.88350000000003</v>
      </c>
      <c r="AN155" s="4434">
        <f t="shared" si="1026"/>
        <v>0</v>
      </c>
      <c r="AO155" s="4447">
        <f t="shared" si="1033"/>
        <v>0</v>
      </c>
      <c r="AP155" s="4447">
        <f t="shared" ref="AP155:BC155" si="1036">SUM(AP24+AP44+AP96)</f>
        <v>0</v>
      </c>
      <c r="AQ155" s="4447">
        <f t="shared" si="1036"/>
        <v>0</v>
      </c>
      <c r="AR155" s="4442">
        <f t="shared" si="1036"/>
        <v>7.6539999999999999</v>
      </c>
      <c r="AS155" s="4442">
        <f t="shared" si="1036"/>
        <v>7.6539999999999999</v>
      </c>
      <c r="AT155" s="4442">
        <f t="shared" si="1036"/>
        <v>0</v>
      </c>
      <c r="AU155" s="4442">
        <f t="shared" si="1036"/>
        <v>0</v>
      </c>
      <c r="AV155" s="4442">
        <f t="shared" si="1036"/>
        <v>0</v>
      </c>
      <c r="AW155" s="4442">
        <f t="shared" si="1036"/>
        <v>0</v>
      </c>
      <c r="AX155" s="4442">
        <f t="shared" si="1036"/>
        <v>0</v>
      </c>
      <c r="AY155" s="4442">
        <f t="shared" si="1036"/>
        <v>0</v>
      </c>
      <c r="AZ155" s="4442">
        <f t="shared" si="1036"/>
        <v>0</v>
      </c>
      <c r="BA155" s="4442">
        <f t="shared" si="1036"/>
        <v>7.6539999999999999</v>
      </c>
      <c r="BB155" s="4442">
        <f t="shared" si="1036"/>
        <v>7.6539999999999999</v>
      </c>
      <c r="BC155" s="4442">
        <f t="shared" si="1036"/>
        <v>0</v>
      </c>
      <c r="BD155" s="4448">
        <f t="shared" si="1033"/>
        <v>0</v>
      </c>
      <c r="BE155" s="4448">
        <f t="shared" ref="BE155:BI155" si="1037">SUM(BE24+BE44+BE96)</f>
        <v>0</v>
      </c>
      <c r="BF155" s="4448">
        <f t="shared" si="1037"/>
        <v>0</v>
      </c>
      <c r="BG155" s="4459">
        <f t="shared" si="1037"/>
        <v>376.53750000000002</v>
      </c>
      <c r="BH155" s="4459">
        <f t="shared" si="1037"/>
        <v>376.53750000000002</v>
      </c>
      <c r="BI155" s="4459">
        <f t="shared" si="1037"/>
        <v>0</v>
      </c>
      <c r="BJ155" s="4434">
        <f t="shared" si="1027"/>
        <v>376.53750000000002</v>
      </c>
      <c r="BK155" s="4434">
        <f t="shared" si="1027"/>
        <v>376.53750000000002</v>
      </c>
      <c r="BL155" s="4434">
        <f t="shared" si="1027"/>
        <v>0</v>
      </c>
      <c r="BM155" s="4447">
        <f t="shared" si="1033"/>
        <v>0</v>
      </c>
      <c r="BN155" s="4447">
        <f t="shared" ref="BN155:CA155" si="1038">SUM(BN24+BN44+BN96)</f>
        <v>0</v>
      </c>
      <c r="BO155" s="4447">
        <f t="shared" si="1038"/>
        <v>0</v>
      </c>
      <c r="BP155" s="4442">
        <f t="shared" si="1038"/>
        <v>0</v>
      </c>
      <c r="BQ155" s="4442">
        <f t="shared" si="1038"/>
        <v>0</v>
      </c>
      <c r="BR155" s="4442">
        <f t="shared" si="1038"/>
        <v>0</v>
      </c>
      <c r="BS155" s="4442">
        <f t="shared" si="1038"/>
        <v>0</v>
      </c>
      <c r="BT155" s="4442">
        <f t="shared" si="1038"/>
        <v>0</v>
      </c>
      <c r="BU155" s="4442">
        <f t="shared" si="1038"/>
        <v>0</v>
      </c>
      <c r="BV155" s="4442">
        <f t="shared" si="1038"/>
        <v>0</v>
      </c>
      <c r="BW155" s="4442">
        <f t="shared" si="1038"/>
        <v>0</v>
      </c>
      <c r="BX155" s="4442">
        <f t="shared" si="1038"/>
        <v>0</v>
      </c>
      <c r="BY155" s="4442">
        <f t="shared" si="1038"/>
        <v>0</v>
      </c>
      <c r="BZ155" s="4442">
        <f t="shared" si="1038"/>
        <v>0</v>
      </c>
      <c r="CA155" s="4442">
        <f t="shared" si="1038"/>
        <v>0</v>
      </c>
      <c r="CB155" s="4448">
        <f t="shared" si="1033"/>
        <v>0</v>
      </c>
      <c r="CC155" s="4448">
        <f t="shared" ref="CC155:CG155" si="1039">SUM(CC24+CC44+CC96)</f>
        <v>0</v>
      </c>
      <c r="CD155" s="4448">
        <f t="shared" si="1039"/>
        <v>0</v>
      </c>
      <c r="CE155" s="4459">
        <f t="shared" si="1039"/>
        <v>376.53750000000002</v>
      </c>
      <c r="CF155" s="4459">
        <f t="shared" si="1039"/>
        <v>376.53750000000002</v>
      </c>
      <c r="CG155" s="4459">
        <f t="shared" si="1039"/>
        <v>0</v>
      </c>
      <c r="CH155" s="4434">
        <f t="shared" si="1029"/>
        <v>376.53750000000002</v>
      </c>
      <c r="CI155" s="4434">
        <f t="shared" si="1029"/>
        <v>376.53750000000002</v>
      </c>
      <c r="CJ155" s="4434">
        <f t="shared" si="1029"/>
        <v>0</v>
      </c>
    </row>
    <row r="156" spans="1:91" ht="18.75" customHeight="1" x14ac:dyDescent="0.3">
      <c r="A156" s="4396" t="s">
        <v>8</v>
      </c>
      <c r="B156" s="4447">
        <f>SUM(B42)</f>
        <v>361.42113698684176</v>
      </c>
      <c r="C156" s="4447">
        <f t="shared" ref="C156:BN156" si="1040">SUM(C42)</f>
        <v>361.42113698684176</v>
      </c>
      <c r="D156" s="4447">
        <f t="shared" si="1040"/>
        <v>0</v>
      </c>
      <c r="E156" s="4447">
        <f t="shared" si="1040"/>
        <v>74.254999999999995</v>
      </c>
      <c r="F156" s="4442">
        <f t="shared" si="1040"/>
        <v>74.254999999999995</v>
      </c>
      <c r="G156" s="4442">
        <f t="shared" si="1040"/>
        <v>0</v>
      </c>
      <c r="H156" s="4442">
        <f t="shared" si="1040"/>
        <v>53.947000000000003</v>
      </c>
      <c r="I156" s="4442">
        <f t="shared" si="1040"/>
        <v>53.947000000000003</v>
      </c>
      <c r="J156" s="4442">
        <f t="shared" si="1040"/>
        <v>0</v>
      </c>
      <c r="K156" s="4442">
        <f t="shared" si="1040"/>
        <v>33.078000000000003</v>
      </c>
      <c r="L156" s="4442">
        <f t="shared" si="1040"/>
        <v>33.078000000000003</v>
      </c>
      <c r="M156" s="4442">
        <f t="shared" si="1040"/>
        <v>0</v>
      </c>
      <c r="N156" s="4442">
        <f t="shared" si="1040"/>
        <v>161.28</v>
      </c>
      <c r="O156" s="4442">
        <f t="shared" si="1040"/>
        <v>161.28</v>
      </c>
      <c r="P156" s="4442">
        <f t="shared" si="1040"/>
        <v>0</v>
      </c>
      <c r="Q156" s="4447">
        <f t="shared" si="1040"/>
        <v>361.42113698684176</v>
      </c>
      <c r="R156" s="4447">
        <f t="shared" si="1040"/>
        <v>361.42113698684176</v>
      </c>
      <c r="S156" s="4447">
        <f t="shared" si="1040"/>
        <v>0</v>
      </c>
      <c r="T156" s="4442">
        <f t="shared" si="1040"/>
        <v>49.168999999999997</v>
      </c>
      <c r="U156" s="4442">
        <f t="shared" si="1040"/>
        <v>49.168999999999997</v>
      </c>
      <c r="V156" s="4442">
        <f t="shared" si="1040"/>
        <v>0</v>
      </c>
      <c r="W156" s="4442">
        <f t="shared" si="1040"/>
        <v>60.244</v>
      </c>
      <c r="X156" s="4442">
        <f t="shared" si="1040"/>
        <v>60.244</v>
      </c>
      <c r="Y156" s="4442">
        <f t="shared" si="1040"/>
        <v>0</v>
      </c>
      <c r="Z156" s="4442">
        <f t="shared" si="1040"/>
        <v>51.582999999999998</v>
      </c>
      <c r="AA156" s="4442">
        <f t="shared" si="1040"/>
        <v>51.582999999999998</v>
      </c>
      <c r="AB156" s="4442">
        <f t="shared" si="1040"/>
        <v>0</v>
      </c>
      <c r="AC156" s="4442">
        <f t="shared" si="1040"/>
        <v>160.99599999999998</v>
      </c>
      <c r="AD156" s="4442">
        <f t="shared" si="1040"/>
        <v>160.99599999999998</v>
      </c>
      <c r="AE156" s="4442">
        <f t="shared" si="1040"/>
        <v>0</v>
      </c>
      <c r="AF156" s="4448">
        <f t="shared" si="1040"/>
        <v>722.84227397368352</v>
      </c>
      <c r="AG156" s="4448">
        <f t="shared" si="1040"/>
        <v>722.84227397368352</v>
      </c>
      <c r="AH156" s="4448">
        <f t="shared" si="1040"/>
        <v>0</v>
      </c>
      <c r="AI156" s="4459">
        <f t="shared" si="1040"/>
        <v>322.27599999999995</v>
      </c>
      <c r="AJ156" s="4459">
        <f t="shared" si="1040"/>
        <v>322.27599999999995</v>
      </c>
      <c r="AK156" s="4459">
        <f t="shared" si="1040"/>
        <v>0</v>
      </c>
      <c r="AL156" s="4434">
        <f t="shared" si="1031"/>
        <v>-400.56627397368356</v>
      </c>
      <c r="AM156" s="4434">
        <f t="shared" si="1026"/>
        <v>-400.56627397368356</v>
      </c>
      <c r="AN156" s="4434">
        <f t="shared" si="1026"/>
        <v>0</v>
      </c>
      <c r="AO156" s="4447">
        <f t="shared" si="1040"/>
        <v>361.42113698684176</v>
      </c>
      <c r="AP156" s="4447">
        <f t="shared" si="1040"/>
        <v>361.42113698684176</v>
      </c>
      <c r="AQ156" s="4447">
        <f t="shared" si="1040"/>
        <v>0</v>
      </c>
      <c r="AR156" s="4442">
        <f t="shared" si="1040"/>
        <v>47.826000000000001</v>
      </c>
      <c r="AS156" s="4442">
        <f t="shared" si="1040"/>
        <v>47.826000000000001</v>
      </c>
      <c r="AT156" s="4442">
        <f t="shared" si="1040"/>
        <v>0</v>
      </c>
      <c r="AU156" s="4442">
        <f t="shared" si="1040"/>
        <v>0</v>
      </c>
      <c r="AV156" s="4442">
        <f t="shared" si="1040"/>
        <v>0</v>
      </c>
      <c r="AW156" s="4442">
        <f t="shared" si="1040"/>
        <v>0</v>
      </c>
      <c r="AX156" s="4442">
        <f t="shared" si="1040"/>
        <v>0</v>
      </c>
      <c r="AY156" s="4442">
        <f t="shared" si="1040"/>
        <v>0</v>
      </c>
      <c r="AZ156" s="4442">
        <f t="shared" si="1040"/>
        <v>0</v>
      </c>
      <c r="BA156" s="4442">
        <f t="shared" si="1040"/>
        <v>47.826000000000001</v>
      </c>
      <c r="BB156" s="4442">
        <f t="shared" si="1040"/>
        <v>47.826000000000001</v>
      </c>
      <c r="BC156" s="4442">
        <f t="shared" si="1040"/>
        <v>0</v>
      </c>
      <c r="BD156" s="4448">
        <f t="shared" si="1040"/>
        <v>1084.2634109605253</v>
      </c>
      <c r="BE156" s="4448">
        <f t="shared" si="1040"/>
        <v>1084.2634109605253</v>
      </c>
      <c r="BF156" s="4448">
        <f t="shared" si="1040"/>
        <v>0</v>
      </c>
      <c r="BG156" s="4459">
        <f t="shared" si="1040"/>
        <v>370.10199999999998</v>
      </c>
      <c r="BH156" s="4459">
        <f t="shared" si="1040"/>
        <v>370.10199999999998</v>
      </c>
      <c r="BI156" s="4459">
        <f t="shared" si="1040"/>
        <v>0</v>
      </c>
      <c r="BJ156" s="4434">
        <f t="shared" si="1027"/>
        <v>-714.16141096052536</v>
      </c>
      <c r="BK156" s="4434">
        <f t="shared" si="1027"/>
        <v>-714.16141096052536</v>
      </c>
      <c r="BL156" s="4434">
        <f t="shared" si="1027"/>
        <v>0</v>
      </c>
      <c r="BM156" s="4447">
        <f t="shared" si="1040"/>
        <v>361.42113698684176</v>
      </c>
      <c r="BN156" s="4447">
        <f t="shared" si="1040"/>
        <v>361.42113698684176</v>
      </c>
      <c r="BO156" s="4447">
        <f t="shared" ref="BO156:CG156" si="1041">SUM(BO42)</f>
        <v>0</v>
      </c>
      <c r="BP156" s="4442">
        <f t="shared" si="1041"/>
        <v>0</v>
      </c>
      <c r="BQ156" s="4442">
        <f t="shared" si="1041"/>
        <v>0</v>
      </c>
      <c r="BR156" s="4442">
        <f t="shared" si="1041"/>
        <v>0</v>
      </c>
      <c r="BS156" s="4442">
        <f t="shared" si="1041"/>
        <v>0</v>
      </c>
      <c r="BT156" s="4442">
        <f t="shared" si="1041"/>
        <v>0</v>
      </c>
      <c r="BU156" s="4442">
        <f t="shared" si="1041"/>
        <v>0</v>
      </c>
      <c r="BV156" s="4442">
        <f t="shared" si="1041"/>
        <v>0</v>
      </c>
      <c r="BW156" s="4442">
        <f t="shared" si="1041"/>
        <v>0</v>
      </c>
      <c r="BX156" s="4442">
        <f t="shared" si="1041"/>
        <v>0</v>
      </c>
      <c r="BY156" s="4442">
        <f t="shared" si="1041"/>
        <v>0</v>
      </c>
      <c r="BZ156" s="4442">
        <f t="shared" si="1041"/>
        <v>0</v>
      </c>
      <c r="CA156" s="4442">
        <f t="shared" si="1041"/>
        <v>0</v>
      </c>
      <c r="CB156" s="4448">
        <f t="shared" si="1041"/>
        <v>1445.684547947367</v>
      </c>
      <c r="CC156" s="4448">
        <f t="shared" si="1041"/>
        <v>1445.684547947367</v>
      </c>
      <c r="CD156" s="4448">
        <f t="shared" si="1041"/>
        <v>0</v>
      </c>
      <c r="CE156" s="4459">
        <f t="shared" si="1041"/>
        <v>370.10199999999998</v>
      </c>
      <c r="CF156" s="4459">
        <f t="shared" si="1041"/>
        <v>370.10199999999998</v>
      </c>
      <c r="CG156" s="4459">
        <f t="shared" si="1041"/>
        <v>0</v>
      </c>
      <c r="CH156" s="4434">
        <f t="shared" si="1029"/>
        <v>-1075.5825479473669</v>
      </c>
      <c r="CI156" s="4434">
        <f t="shared" si="1029"/>
        <v>-1075.5825479473669</v>
      </c>
      <c r="CJ156" s="4434">
        <f t="shared" si="1029"/>
        <v>0</v>
      </c>
    </row>
    <row r="157" spans="1:91" ht="18.75" customHeight="1" x14ac:dyDescent="0.3">
      <c r="A157" s="4396" t="s">
        <v>3</v>
      </c>
      <c r="B157" s="4447">
        <f t="shared" ref="B157:AK159" si="1042">SUM(B25+B45+B76+B97)</f>
        <v>569.36330161592264</v>
      </c>
      <c r="C157" s="4447">
        <f t="shared" si="1042"/>
        <v>569.36330161592264</v>
      </c>
      <c r="D157" s="4447">
        <f t="shared" si="1042"/>
        <v>0</v>
      </c>
      <c r="E157" s="4447">
        <f t="shared" si="1042"/>
        <v>103.849</v>
      </c>
      <c r="F157" s="4442">
        <f t="shared" si="1042"/>
        <v>103.849</v>
      </c>
      <c r="G157" s="4442">
        <f t="shared" si="1042"/>
        <v>0</v>
      </c>
      <c r="H157" s="4442">
        <f t="shared" si="1042"/>
        <v>271.54599999999999</v>
      </c>
      <c r="I157" s="4442">
        <f t="shared" si="1042"/>
        <v>271.54599999999999</v>
      </c>
      <c r="J157" s="4442">
        <f t="shared" si="1042"/>
        <v>0</v>
      </c>
      <c r="K157" s="4442">
        <f t="shared" si="1042"/>
        <v>536.36699999999996</v>
      </c>
      <c r="L157" s="4442">
        <f t="shared" si="1042"/>
        <v>536.36699999999996</v>
      </c>
      <c r="M157" s="4442">
        <f t="shared" si="1042"/>
        <v>0</v>
      </c>
      <c r="N157" s="4442">
        <f t="shared" si="1042"/>
        <v>911.76199999999994</v>
      </c>
      <c r="O157" s="4442">
        <f t="shared" si="1042"/>
        <v>911.76199999999994</v>
      </c>
      <c r="P157" s="4442">
        <f t="shared" si="1042"/>
        <v>0</v>
      </c>
      <c r="Q157" s="4447">
        <f t="shared" si="1042"/>
        <v>569.36330161592264</v>
      </c>
      <c r="R157" s="4447">
        <f t="shared" si="1042"/>
        <v>569.36330161592264</v>
      </c>
      <c r="S157" s="4447">
        <f t="shared" si="1042"/>
        <v>0</v>
      </c>
      <c r="T157" s="4442">
        <f t="shared" si="1042"/>
        <v>1216.585</v>
      </c>
      <c r="U157" s="4442">
        <f t="shared" si="1042"/>
        <v>1216.585</v>
      </c>
      <c r="V157" s="4442">
        <f t="shared" si="1042"/>
        <v>0</v>
      </c>
      <c r="W157" s="4442">
        <f t="shared" si="1042"/>
        <v>392.83800000000002</v>
      </c>
      <c r="X157" s="4442">
        <f t="shared" si="1042"/>
        <v>392.83800000000002</v>
      </c>
      <c r="Y157" s="4442">
        <f t="shared" si="1042"/>
        <v>0</v>
      </c>
      <c r="Z157" s="4442">
        <f t="shared" si="1042"/>
        <v>821.23</v>
      </c>
      <c r="AA157" s="4442">
        <f t="shared" si="1042"/>
        <v>821.23</v>
      </c>
      <c r="AB157" s="4442">
        <f t="shared" si="1042"/>
        <v>0</v>
      </c>
      <c r="AC157" s="4442">
        <f t="shared" si="1042"/>
        <v>2430.6529999999998</v>
      </c>
      <c r="AD157" s="4442">
        <f t="shared" si="1042"/>
        <v>2430.6529999999998</v>
      </c>
      <c r="AE157" s="4442">
        <f t="shared" si="1042"/>
        <v>0</v>
      </c>
      <c r="AF157" s="4448">
        <f t="shared" si="1042"/>
        <v>1138.7266032318453</v>
      </c>
      <c r="AG157" s="4448">
        <f t="shared" si="1042"/>
        <v>1138.7266032318453</v>
      </c>
      <c r="AH157" s="4448">
        <f t="shared" si="1042"/>
        <v>0</v>
      </c>
      <c r="AI157" s="4459">
        <f t="shared" si="1042"/>
        <v>3342.415</v>
      </c>
      <c r="AJ157" s="4459">
        <f t="shared" si="1042"/>
        <v>3342.415</v>
      </c>
      <c r="AK157" s="4459">
        <f t="shared" si="1042"/>
        <v>0</v>
      </c>
      <c r="AL157" s="4434">
        <f t="shared" si="1031"/>
        <v>2203.6883967681547</v>
      </c>
      <c r="AM157" s="4434">
        <f t="shared" si="1026"/>
        <v>2203.6883967681547</v>
      </c>
      <c r="AN157" s="4434">
        <f t="shared" si="1026"/>
        <v>0</v>
      </c>
      <c r="AO157" s="4447">
        <f t="shared" ref="AO157:BI159" si="1043">SUM(AO25+AO45+AO76+AO97)</f>
        <v>569.36330161592264</v>
      </c>
      <c r="AP157" s="4447">
        <f t="shared" si="1043"/>
        <v>569.36330161592264</v>
      </c>
      <c r="AQ157" s="4447">
        <f t="shared" si="1043"/>
        <v>0</v>
      </c>
      <c r="AR157" s="4442">
        <f t="shared" si="1043"/>
        <v>1057.4569999999999</v>
      </c>
      <c r="AS157" s="4442">
        <f t="shared" si="1043"/>
        <v>1057.4569999999999</v>
      </c>
      <c r="AT157" s="4442">
        <f t="shared" si="1043"/>
        <v>0</v>
      </c>
      <c r="AU157" s="4442">
        <f t="shared" si="1043"/>
        <v>0</v>
      </c>
      <c r="AV157" s="4442">
        <f t="shared" si="1043"/>
        <v>0</v>
      </c>
      <c r="AW157" s="4442">
        <f t="shared" si="1043"/>
        <v>0</v>
      </c>
      <c r="AX157" s="4442">
        <f t="shared" si="1043"/>
        <v>0</v>
      </c>
      <c r="AY157" s="4442">
        <f t="shared" si="1043"/>
        <v>0</v>
      </c>
      <c r="AZ157" s="4442">
        <f t="shared" si="1043"/>
        <v>0</v>
      </c>
      <c r="BA157" s="4442">
        <f t="shared" si="1043"/>
        <v>1057.4569999999999</v>
      </c>
      <c r="BB157" s="4442">
        <f t="shared" si="1043"/>
        <v>1057.4569999999999</v>
      </c>
      <c r="BC157" s="4442">
        <f t="shared" si="1043"/>
        <v>0</v>
      </c>
      <c r="BD157" s="4448">
        <f t="shared" si="1043"/>
        <v>1708.0899048477677</v>
      </c>
      <c r="BE157" s="4448">
        <f t="shared" si="1043"/>
        <v>1708.0899048477677</v>
      </c>
      <c r="BF157" s="4448">
        <f t="shared" si="1043"/>
        <v>0</v>
      </c>
      <c r="BG157" s="4459">
        <f t="shared" si="1043"/>
        <v>4399.8719999999994</v>
      </c>
      <c r="BH157" s="4459">
        <f t="shared" si="1043"/>
        <v>4399.8719999999994</v>
      </c>
      <c r="BI157" s="4459">
        <f t="shared" si="1043"/>
        <v>0</v>
      </c>
      <c r="BJ157" s="4434">
        <f t="shared" si="1027"/>
        <v>2691.7820951522317</v>
      </c>
      <c r="BK157" s="4434">
        <f t="shared" si="1027"/>
        <v>2691.7820951522317</v>
      </c>
      <c r="BL157" s="4434">
        <f t="shared" si="1027"/>
        <v>0</v>
      </c>
      <c r="BM157" s="4447">
        <f t="shared" ref="BM157:CG159" si="1044">SUM(BM25+BM45+BM76+BM97)</f>
        <v>569.36330161592264</v>
      </c>
      <c r="BN157" s="4447">
        <f t="shared" si="1044"/>
        <v>569.36330161592264</v>
      </c>
      <c r="BO157" s="4447">
        <f t="shared" si="1044"/>
        <v>0</v>
      </c>
      <c r="BP157" s="4442">
        <f t="shared" si="1044"/>
        <v>0</v>
      </c>
      <c r="BQ157" s="4442">
        <f t="shared" si="1044"/>
        <v>0</v>
      </c>
      <c r="BR157" s="4442">
        <f t="shared" si="1044"/>
        <v>0</v>
      </c>
      <c r="BS157" s="4442">
        <f t="shared" si="1044"/>
        <v>0</v>
      </c>
      <c r="BT157" s="4442">
        <f t="shared" si="1044"/>
        <v>0</v>
      </c>
      <c r="BU157" s="4442">
        <f t="shared" si="1044"/>
        <v>0</v>
      </c>
      <c r="BV157" s="4442">
        <f t="shared" si="1044"/>
        <v>0</v>
      </c>
      <c r="BW157" s="4442">
        <f t="shared" si="1044"/>
        <v>0</v>
      </c>
      <c r="BX157" s="4442">
        <f t="shared" si="1044"/>
        <v>0</v>
      </c>
      <c r="BY157" s="4442">
        <f t="shared" si="1044"/>
        <v>0</v>
      </c>
      <c r="BZ157" s="4442">
        <f t="shared" si="1044"/>
        <v>0</v>
      </c>
      <c r="CA157" s="4442">
        <f t="shared" si="1044"/>
        <v>0</v>
      </c>
      <c r="CB157" s="4448">
        <f t="shared" si="1044"/>
        <v>2277.4532064636905</v>
      </c>
      <c r="CC157" s="4448">
        <f t="shared" si="1044"/>
        <v>2277.4532064636905</v>
      </c>
      <c r="CD157" s="4448">
        <f t="shared" si="1044"/>
        <v>0</v>
      </c>
      <c r="CE157" s="4459">
        <f t="shared" si="1044"/>
        <v>4399.8719999999994</v>
      </c>
      <c r="CF157" s="4459">
        <f t="shared" si="1044"/>
        <v>4399.8719999999994</v>
      </c>
      <c r="CG157" s="4459">
        <f t="shared" si="1044"/>
        <v>0</v>
      </c>
      <c r="CH157" s="4434">
        <f t="shared" si="1029"/>
        <v>2122.4187935363088</v>
      </c>
      <c r="CI157" s="4434">
        <f t="shared" si="1029"/>
        <v>2122.4187935363088</v>
      </c>
      <c r="CJ157" s="4434">
        <f t="shared" si="1029"/>
        <v>0</v>
      </c>
    </row>
    <row r="158" spans="1:91" ht="18.75" customHeight="1" x14ac:dyDescent="0.3">
      <c r="A158" s="4396" t="s">
        <v>4</v>
      </c>
      <c r="B158" s="4447">
        <f t="shared" si="1042"/>
        <v>12060.9797915618</v>
      </c>
      <c r="C158" s="4447">
        <f t="shared" si="1042"/>
        <v>12025.480218561799</v>
      </c>
      <c r="D158" s="4447">
        <f t="shared" si="1042"/>
        <v>35.499573000000005</v>
      </c>
      <c r="E158" s="4447">
        <f t="shared" si="1042"/>
        <v>4708.8422199999995</v>
      </c>
      <c r="F158" s="4442">
        <f t="shared" si="1042"/>
        <v>4695.1970000000001</v>
      </c>
      <c r="G158" s="4442">
        <f t="shared" si="1042"/>
        <v>13.64522</v>
      </c>
      <c r="H158" s="4442">
        <f t="shared" si="1042"/>
        <v>3948.5969399999999</v>
      </c>
      <c r="I158" s="4442">
        <f t="shared" si="1042"/>
        <v>3937.0160700000001</v>
      </c>
      <c r="J158" s="4442">
        <f t="shared" si="1042"/>
        <v>11.580870000000001</v>
      </c>
      <c r="K158" s="4442">
        <f t="shared" si="1042"/>
        <v>3697.87039</v>
      </c>
      <c r="L158" s="4442">
        <f t="shared" si="1042"/>
        <v>3684.8090000000002</v>
      </c>
      <c r="M158" s="4442">
        <f t="shared" si="1042"/>
        <v>13.061389999999999</v>
      </c>
      <c r="N158" s="4442">
        <f t="shared" si="1042"/>
        <v>12355.30955</v>
      </c>
      <c r="O158" s="4442">
        <f t="shared" si="1042"/>
        <v>12317.022069999999</v>
      </c>
      <c r="P158" s="4442">
        <f t="shared" si="1042"/>
        <v>38.287480000000002</v>
      </c>
      <c r="Q158" s="4447">
        <f t="shared" si="1042"/>
        <v>12060.9797915618</v>
      </c>
      <c r="R158" s="4447">
        <f t="shared" si="1042"/>
        <v>12025.480218561799</v>
      </c>
      <c r="S158" s="4447">
        <f t="shared" si="1042"/>
        <v>35.499573000000005</v>
      </c>
      <c r="T158" s="4442">
        <f t="shared" si="1042"/>
        <v>3534.3960000000002</v>
      </c>
      <c r="U158" s="4442">
        <f t="shared" si="1042"/>
        <v>3525.8420000000001</v>
      </c>
      <c r="V158" s="4442">
        <f t="shared" si="1042"/>
        <v>8.5540000000000003</v>
      </c>
      <c r="W158" s="4442">
        <f t="shared" si="1042"/>
        <v>4028.0306700000001</v>
      </c>
      <c r="X158" s="4442">
        <f t="shared" si="1042"/>
        <v>4015.6590000000001</v>
      </c>
      <c r="Y158" s="4442">
        <f t="shared" si="1042"/>
        <v>12.37167</v>
      </c>
      <c r="Z158" s="4442">
        <f t="shared" si="1042"/>
        <v>3677.1623999999997</v>
      </c>
      <c r="AA158" s="4442">
        <f t="shared" si="1042"/>
        <v>3663.7014999999997</v>
      </c>
      <c r="AB158" s="4442">
        <f t="shared" si="1042"/>
        <v>13.460900000000001</v>
      </c>
      <c r="AC158" s="4442">
        <f t="shared" si="1042"/>
        <v>11239.58907</v>
      </c>
      <c r="AD158" s="4442">
        <f t="shared" si="1042"/>
        <v>11205.202499999999</v>
      </c>
      <c r="AE158" s="4442">
        <f t="shared" si="1042"/>
        <v>34.386569999999999</v>
      </c>
      <c r="AF158" s="4448">
        <f t="shared" si="1042"/>
        <v>24121.9595831236</v>
      </c>
      <c r="AG158" s="4448">
        <f t="shared" si="1042"/>
        <v>24050.960437123598</v>
      </c>
      <c r="AH158" s="4448">
        <f t="shared" si="1042"/>
        <v>70.99914600000001</v>
      </c>
      <c r="AI158" s="4459">
        <f t="shared" si="1042"/>
        <v>23594.89862</v>
      </c>
      <c r="AJ158" s="4459">
        <f t="shared" si="1042"/>
        <v>23522.224569999998</v>
      </c>
      <c r="AK158" s="4459">
        <f t="shared" si="1042"/>
        <v>72.674049999999994</v>
      </c>
      <c r="AL158" s="4434">
        <f t="shared" si="1031"/>
        <v>-527.06096312360023</v>
      </c>
      <c r="AM158" s="4434">
        <f t="shared" si="1026"/>
        <v>-528.73586712359975</v>
      </c>
      <c r="AN158" s="4434">
        <f t="shared" si="1026"/>
        <v>1.6749039999999837</v>
      </c>
      <c r="AO158" s="4447">
        <f t="shared" si="1043"/>
        <v>12060.9797915618</v>
      </c>
      <c r="AP158" s="4447">
        <f t="shared" si="1043"/>
        <v>12025.480218561799</v>
      </c>
      <c r="AQ158" s="4447">
        <f t="shared" si="1043"/>
        <v>35.499573000000005</v>
      </c>
      <c r="AR158" s="4442">
        <f t="shared" si="1043"/>
        <v>3611.5831200000002</v>
      </c>
      <c r="AS158" s="4442">
        <f t="shared" si="1043"/>
        <v>3604.4229999999998</v>
      </c>
      <c r="AT158" s="4442">
        <f t="shared" si="1043"/>
        <v>7.16012</v>
      </c>
      <c r="AU158" s="4442">
        <f t="shared" si="1043"/>
        <v>0</v>
      </c>
      <c r="AV158" s="4442">
        <f t="shared" si="1043"/>
        <v>0</v>
      </c>
      <c r="AW158" s="4442">
        <f t="shared" si="1043"/>
        <v>0</v>
      </c>
      <c r="AX158" s="4442">
        <f t="shared" si="1043"/>
        <v>0</v>
      </c>
      <c r="AY158" s="4442">
        <f t="shared" si="1043"/>
        <v>0</v>
      </c>
      <c r="AZ158" s="4442">
        <f t="shared" si="1043"/>
        <v>0</v>
      </c>
      <c r="BA158" s="4442">
        <f t="shared" si="1043"/>
        <v>3611.5831200000002</v>
      </c>
      <c r="BB158" s="4442">
        <f t="shared" si="1043"/>
        <v>3604.4229999999998</v>
      </c>
      <c r="BC158" s="4442">
        <f t="shared" si="1043"/>
        <v>7.16012</v>
      </c>
      <c r="BD158" s="4448">
        <f t="shared" si="1043"/>
        <v>36182.939374685404</v>
      </c>
      <c r="BE158" s="4448">
        <f t="shared" si="1043"/>
        <v>36076.440655685401</v>
      </c>
      <c r="BF158" s="4448">
        <f t="shared" si="1043"/>
        <v>106.49871900000002</v>
      </c>
      <c r="BG158" s="4459">
        <f t="shared" si="1043"/>
        <v>27206.481739999996</v>
      </c>
      <c r="BH158" s="4459">
        <f t="shared" si="1043"/>
        <v>27126.647569999997</v>
      </c>
      <c r="BI158" s="4459">
        <f t="shared" si="1043"/>
        <v>79.83417</v>
      </c>
      <c r="BJ158" s="4434">
        <f t="shared" si="1027"/>
        <v>-8976.4576346854083</v>
      </c>
      <c r="BK158" s="4434">
        <f t="shared" si="1027"/>
        <v>-8949.7930856854036</v>
      </c>
      <c r="BL158" s="4434">
        <f t="shared" si="1027"/>
        <v>-26.664549000000022</v>
      </c>
      <c r="BM158" s="4447">
        <f t="shared" si="1044"/>
        <v>12060.9797915618</v>
      </c>
      <c r="BN158" s="4447">
        <f t="shared" si="1044"/>
        <v>12025.480218561799</v>
      </c>
      <c r="BO158" s="4447">
        <f t="shared" si="1044"/>
        <v>35.499573000000005</v>
      </c>
      <c r="BP158" s="4442">
        <f t="shared" si="1044"/>
        <v>0</v>
      </c>
      <c r="BQ158" s="4442">
        <f t="shared" si="1044"/>
        <v>0</v>
      </c>
      <c r="BR158" s="4442">
        <f t="shared" si="1044"/>
        <v>0</v>
      </c>
      <c r="BS158" s="4442">
        <f t="shared" si="1044"/>
        <v>0</v>
      </c>
      <c r="BT158" s="4442">
        <f t="shared" si="1044"/>
        <v>0</v>
      </c>
      <c r="BU158" s="4442">
        <f t="shared" si="1044"/>
        <v>0</v>
      </c>
      <c r="BV158" s="4442">
        <f t="shared" si="1044"/>
        <v>0</v>
      </c>
      <c r="BW158" s="4442">
        <f t="shared" si="1044"/>
        <v>0</v>
      </c>
      <c r="BX158" s="4442">
        <f t="shared" si="1044"/>
        <v>0</v>
      </c>
      <c r="BY158" s="4442">
        <f t="shared" si="1044"/>
        <v>0</v>
      </c>
      <c r="BZ158" s="4442">
        <f t="shared" si="1044"/>
        <v>0</v>
      </c>
      <c r="CA158" s="4442">
        <f t="shared" si="1044"/>
        <v>0</v>
      </c>
      <c r="CB158" s="4448">
        <f t="shared" si="1044"/>
        <v>48243.9191662472</v>
      </c>
      <c r="CC158" s="4448">
        <f t="shared" si="1044"/>
        <v>48101.920874247196</v>
      </c>
      <c r="CD158" s="4448">
        <f t="shared" si="1044"/>
        <v>141.99829200000002</v>
      </c>
      <c r="CE158" s="4459">
        <f t="shared" si="1044"/>
        <v>27206.481739999996</v>
      </c>
      <c r="CF158" s="4459">
        <f t="shared" si="1044"/>
        <v>27126.647569999997</v>
      </c>
      <c r="CG158" s="4459">
        <f t="shared" si="1044"/>
        <v>79.83417</v>
      </c>
      <c r="CH158" s="4434">
        <f t="shared" si="1029"/>
        <v>-21037.437426247205</v>
      </c>
      <c r="CI158" s="4434">
        <f t="shared" si="1029"/>
        <v>-20975.273304247199</v>
      </c>
      <c r="CJ158" s="4434">
        <f t="shared" si="1029"/>
        <v>-62.16412200000002</v>
      </c>
    </row>
    <row r="159" spans="1:91" ht="18.75" customHeight="1" x14ac:dyDescent="0.3">
      <c r="A159" s="4396" t="s">
        <v>113</v>
      </c>
      <c r="B159" s="4447">
        <f t="shared" si="1042"/>
        <v>3649.4181059029215</v>
      </c>
      <c r="C159" s="4447">
        <f t="shared" si="1042"/>
        <v>3638.6954732815625</v>
      </c>
      <c r="D159" s="4447">
        <f t="shared" si="1042"/>
        <v>10.722632621359224</v>
      </c>
      <c r="E159" s="4447">
        <f t="shared" si="1042"/>
        <v>1410.5788500000001</v>
      </c>
      <c r="F159" s="4442">
        <f t="shared" si="1042"/>
        <v>1406.4580000000001</v>
      </c>
      <c r="G159" s="4442">
        <f t="shared" si="1042"/>
        <v>4.1208499999999999</v>
      </c>
      <c r="H159" s="4442">
        <f t="shared" si="1042"/>
        <v>1223.3128300000001</v>
      </c>
      <c r="I159" s="4442">
        <f t="shared" si="1042"/>
        <v>1219.8154099999999</v>
      </c>
      <c r="J159" s="4442">
        <f t="shared" si="1042"/>
        <v>3.49742</v>
      </c>
      <c r="K159" s="4442">
        <f t="shared" si="1042"/>
        <v>1179.5029099999999</v>
      </c>
      <c r="L159" s="4442">
        <f t="shared" si="1042"/>
        <v>1175.0789600000001</v>
      </c>
      <c r="M159" s="4442">
        <f t="shared" si="1042"/>
        <v>4.4239500000000005</v>
      </c>
      <c r="N159" s="4442">
        <f t="shared" si="1042"/>
        <v>3813.3945900000003</v>
      </c>
      <c r="O159" s="4442">
        <f t="shared" si="1042"/>
        <v>3801.3523700000001</v>
      </c>
      <c r="P159" s="4442">
        <f t="shared" si="1042"/>
        <v>12.04222</v>
      </c>
      <c r="Q159" s="4447">
        <f t="shared" si="1042"/>
        <v>3649.4181059029215</v>
      </c>
      <c r="R159" s="4447">
        <f t="shared" si="1042"/>
        <v>3638.6954732815625</v>
      </c>
      <c r="S159" s="4447">
        <f t="shared" si="1042"/>
        <v>10.722632621359224</v>
      </c>
      <c r="T159" s="4442">
        <f t="shared" si="1042"/>
        <v>1097.6659999999999</v>
      </c>
      <c r="U159" s="4442">
        <f t="shared" si="1042"/>
        <v>1095.0830000000001</v>
      </c>
      <c r="V159" s="4442">
        <f t="shared" si="1042"/>
        <v>2.5830000000000002</v>
      </c>
      <c r="W159" s="4442">
        <f t="shared" si="1042"/>
        <v>1257.15624</v>
      </c>
      <c r="X159" s="4442">
        <f t="shared" si="1042"/>
        <v>1253.42</v>
      </c>
      <c r="Y159" s="4442">
        <f t="shared" si="1042"/>
        <v>3.73624</v>
      </c>
      <c r="Z159" s="4442">
        <f t="shared" si="1042"/>
        <v>1133.22648</v>
      </c>
      <c r="AA159" s="4442">
        <f t="shared" si="1042"/>
        <v>1129.16129</v>
      </c>
      <c r="AB159" s="4442">
        <f t="shared" si="1042"/>
        <v>4.0651900000000003</v>
      </c>
      <c r="AC159" s="4442">
        <f t="shared" si="1042"/>
        <v>3488.0487200000002</v>
      </c>
      <c r="AD159" s="4442">
        <f t="shared" si="1042"/>
        <v>3477.6642900000002</v>
      </c>
      <c r="AE159" s="4442">
        <f t="shared" si="1042"/>
        <v>10.384430000000002</v>
      </c>
      <c r="AF159" s="4448">
        <f t="shared" si="1042"/>
        <v>7298.836211805843</v>
      </c>
      <c r="AG159" s="4448">
        <f t="shared" si="1042"/>
        <v>7277.390946563125</v>
      </c>
      <c r="AH159" s="4448">
        <f t="shared" si="1042"/>
        <v>21.445265242718449</v>
      </c>
      <c r="AI159" s="4459">
        <f t="shared" si="1042"/>
        <v>7301.4433100000006</v>
      </c>
      <c r="AJ159" s="4459">
        <f t="shared" si="1042"/>
        <v>7279.0166599999993</v>
      </c>
      <c r="AK159" s="4459">
        <f t="shared" si="1042"/>
        <v>22.426650000000002</v>
      </c>
      <c r="AL159" s="4434">
        <f t="shared" si="1031"/>
        <v>2.6070981941575155</v>
      </c>
      <c r="AM159" s="4434">
        <f t="shared" si="1026"/>
        <v>1.6257134368743209</v>
      </c>
      <c r="AN159" s="4434">
        <f t="shared" si="1026"/>
        <v>0.98138475728155328</v>
      </c>
      <c r="AO159" s="4447">
        <f t="shared" si="1043"/>
        <v>3649.4181059029215</v>
      </c>
      <c r="AP159" s="4447">
        <f t="shared" si="1043"/>
        <v>3638.6954732815625</v>
      </c>
      <c r="AQ159" s="4447">
        <f t="shared" si="1043"/>
        <v>10.722632621359224</v>
      </c>
      <c r="AR159" s="4442">
        <f t="shared" si="1043"/>
        <v>1114.5671699999998</v>
      </c>
      <c r="AS159" s="4442">
        <f t="shared" si="1043"/>
        <v>1112.201</v>
      </c>
      <c r="AT159" s="4442">
        <f t="shared" si="1043"/>
        <v>2.3661699999999999</v>
      </c>
      <c r="AU159" s="4442">
        <f t="shared" si="1043"/>
        <v>0</v>
      </c>
      <c r="AV159" s="4442">
        <f t="shared" si="1043"/>
        <v>0</v>
      </c>
      <c r="AW159" s="4442">
        <f t="shared" si="1043"/>
        <v>0</v>
      </c>
      <c r="AX159" s="4442">
        <f t="shared" si="1043"/>
        <v>0</v>
      </c>
      <c r="AY159" s="4442">
        <f t="shared" si="1043"/>
        <v>0</v>
      </c>
      <c r="AZ159" s="4442">
        <f t="shared" si="1043"/>
        <v>0</v>
      </c>
      <c r="BA159" s="4442">
        <f t="shared" si="1043"/>
        <v>1114.5671699999998</v>
      </c>
      <c r="BB159" s="4442">
        <f t="shared" si="1043"/>
        <v>1112.201</v>
      </c>
      <c r="BC159" s="4442">
        <f t="shared" si="1043"/>
        <v>2.3661699999999999</v>
      </c>
      <c r="BD159" s="4448">
        <f t="shared" si="1043"/>
        <v>10948.254317708765</v>
      </c>
      <c r="BE159" s="4448">
        <f t="shared" si="1043"/>
        <v>10916.086419844687</v>
      </c>
      <c r="BF159" s="4448">
        <f t="shared" si="1043"/>
        <v>32.167897864077673</v>
      </c>
      <c r="BG159" s="4459">
        <f t="shared" si="1043"/>
        <v>8416.0104800000008</v>
      </c>
      <c r="BH159" s="4459">
        <f t="shared" si="1043"/>
        <v>8391.2176600000003</v>
      </c>
      <c r="BI159" s="4459">
        <f t="shared" si="1043"/>
        <v>24.792820000000003</v>
      </c>
      <c r="BJ159" s="4434">
        <f t="shared" si="1027"/>
        <v>-2532.2438377087637</v>
      </c>
      <c r="BK159" s="4434">
        <f t="shared" si="1027"/>
        <v>-2524.8687598446868</v>
      </c>
      <c r="BL159" s="4434">
        <f t="shared" si="1027"/>
        <v>-7.3750778640776709</v>
      </c>
      <c r="BM159" s="4447">
        <f t="shared" si="1044"/>
        <v>3649.4181059029215</v>
      </c>
      <c r="BN159" s="4447">
        <f t="shared" si="1044"/>
        <v>3638.6954732815625</v>
      </c>
      <c r="BO159" s="4447">
        <f t="shared" si="1044"/>
        <v>10.722632621359224</v>
      </c>
      <c r="BP159" s="4442">
        <f t="shared" si="1044"/>
        <v>0</v>
      </c>
      <c r="BQ159" s="4442">
        <f t="shared" si="1044"/>
        <v>0</v>
      </c>
      <c r="BR159" s="4442">
        <f t="shared" si="1044"/>
        <v>0</v>
      </c>
      <c r="BS159" s="4442">
        <f t="shared" si="1044"/>
        <v>0</v>
      </c>
      <c r="BT159" s="4442">
        <f t="shared" si="1044"/>
        <v>0</v>
      </c>
      <c r="BU159" s="4442">
        <f t="shared" si="1044"/>
        <v>0</v>
      </c>
      <c r="BV159" s="4442">
        <f t="shared" si="1044"/>
        <v>0</v>
      </c>
      <c r="BW159" s="4442">
        <f t="shared" si="1044"/>
        <v>0</v>
      </c>
      <c r="BX159" s="4442">
        <f t="shared" si="1044"/>
        <v>0</v>
      </c>
      <c r="BY159" s="4442">
        <f t="shared" si="1044"/>
        <v>0</v>
      </c>
      <c r="BZ159" s="4442">
        <f t="shared" si="1044"/>
        <v>0</v>
      </c>
      <c r="CA159" s="4442">
        <f t="shared" si="1044"/>
        <v>0</v>
      </c>
      <c r="CB159" s="4448">
        <f t="shared" si="1044"/>
        <v>14597.672423611686</v>
      </c>
      <c r="CC159" s="4448">
        <f t="shared" si="1044"/>
        <v>14554.78189312625</v>
      </c>
      <c r="CD159" s="4448">
        <f t="shared" si="1044"/>
        <v>42.890530485436898</v>
      </c>
      <c r="CE159" s="4459">
        <f t="shared" si="1044"/>
        <v>8416.0104800000008</v>
      </c>
      <c r="CF159" s="4459">
        <f t="shared" si="1044"/>
        <v>8391.2176600000003</v>
      </c>
      <c r="CG159" s="4459">
        <f t="shared" si="1044"/>
        <v>24.792820000000003</v>
      </c>
      <c r="CH159" s="4434">
        <f t="shared" si="1029"/>
        <v>-6181.6619436116853</v>
      </c>
      <c r="CI159" s="4434">
        <f t="shared" si="1029"/>
        <v>-6163.5642331262497</v>
      </c>
      <c r="CJ159" s="4434">
        <f t="shared" si="1029"/>
        <v>-18.097710485436895</v>
      </c>
    </row>
    <row r="160" spans="1:91" ht="18.75" customHeight="1" x14ac:dyDescent="0.3">
      <c r="A160" s="4401" t="s">
        <v>308</v>
      </c>
      <c r="B160" s="4409">
        <f>SUM(B159/B158)</f>
        <v>0.30258056716554294</v>
      </c>
      <c r="C160" s="4409">
        <f t="shared" ref="C160:BN160" si="1045">SUM(C159/C158)</f>
        <v>0.30258213453007005</v>
      </c>
      <c r="D160" s="4409">
        <f t="shared" si="1045"/>
        <v>0.30204962243797195</v>
      </c>
      <c r="E160" s="4419">
        <f t="shared" si="1045"/>
        <v>0.29955959110475361</v>
      </c>
      <c r="F160" s="4409">
        <f t="shared" si="1045"/>
        <v>0.29955250014003676</v>
      </c>
      <c r="G160" s="4409">
        <f t="shared" si="1045"/>
        <v>0.30199952803985569</v>
      </c>
      <c r="H160" s="4409">
        <f t="shared" si="1045"/>
        <v>0.30980949653473622</v>
      </c>
      <c r="I160" s="4409">
        <f t="shared" si="1045"/>
        <v>0.30983246913696239</v>
      </c>
      <c r="J160" s="4409">
        <f t="shared" si="1045"/>
        <v>0.30199976340292223</v>
      </c>
      <c r="K160" s="4409">
        <f t="shared" si="1045"/>
        <v>0.31896815885967272</v>
      </c>
      <c r="L160" s="4409">
        <f t="shared" si="1045"/>
        <v>0.318898200693713</v>
      </c>
      <c r="M160" s="4409">
        <f t="shared" si="1045"/>
        <v>0.33870437985543655</v>
      </c>
      <c r="N160" s="4409">
        <f t="shared" si="1045"/>
        <v>0.30864419661585901</v>
      </c>
      <c r="O160" s="4409">
        <f t="shared" si="1045"/>
        <v>0.30862592828008145</v>
      </c>
      <c r="P160" s="4409">
        <f t="shared" si="1045"/>
        <v>0.31452109148995966</v>
      </c>
      <c r="Q160" s="4409">
        <f t="shared" si="1045"/>
        <v>0.30258056716554294</v>
      </c>
      <c r="R160" s="4409">
        <f t="shared" si="1045"/>
        <v>0.30258213453007005</v>
      </c>
      <c r="S160" s="4409">
        <f t="shared" si="1045"/>
        <v>0.30204962243797195</v>
      </c>
      <c r="T160" s="4409">
        <f t="shared" si="1045"/>
        <v>0.31056678425394324</v>
      </c>
      <c r="U160" s="4409">
        <f t="shared" si="1045"/>
        <v>0.31058765537423405</v>
      </c>
      <c r="V160" s="4409">
        <f t="shared" si="1045"/>
        <v>0.30196399345335517</v>
      </c>
      <c r="W160" s="4409">
        <f t="shared" si="1045"/>
        <v>0.31210195328527623</v>
      </c>
      <c r="X160" s="4409">
        <f t="shared" si="1045"/>
        <v>0.3121330770366707</v>
      </c>
      <c r="Y160" s="4409">
        <f t="shared" si="1045"/>
        <v>0.30199964919853178</v>
      </c>
      <c r="Z160" s="4409">
        <f t="shared" si="1045"/>
        <v>0.30817961153959372</v>
      </c>
      <c r="AA160" s="4409">
        <f t="shared" si="1045"/>
        <v>0.30820231670074655</v>
      </c>
      <c r="AB160" s="4409">
        <f t="shared" si="1045"/>
        <v>0.30199986627937214</v>
      </c>
      <c r="AC160" s="4409">
        <f t="shared" si="1045"/>
        <v>0.31033596497847765</v>
      </c>
      <c r="AD160" s="4409">
        <f t="shared" si="1045"/>
        <v>0.31036157445615109</v>
      </c>
      <c r="AE160" s="4409">
        <f t="shared" si="1045"/>
        <v>0.301990864456676</v>
      </c>
      <c r="AF160" s="4410">
        <f t="shared" si="1045"/>
        <v>0.30258056716554294</v>
      </c>
      <c r="AG160" s="4410">
        <f t="shared" si="1045"/>
        <v>0.30258213453007005</v>
      </c>
      <c r="AH160" s="4410">
        <f t="shared" si="1045"/>
        <v>0.30204962243797195</v>
      </c>
      <c r="AI160" s="4410">
        <f t="shared" si="1045"/>
        <v>0.3094500818838441</v>
      </c>
      <c r="AJ160" s="4410">
        <f t="shared" si="1045"/>
        <v>0.30945273217413211</v>
      </c>
      <c r="AK160" s="4410">
        <f t="shared" si="1045"/>
        <v>0.30859226917998933</v>
      </c>
      <c r="AL160" s="4435">
        <f t="shared" si="1031"/>
        <v>6.8695147183011618E-3</v>
      </c>
      <c r="AM160" s="4435">
        <f t="shared" si="1026"/>
        <v>6.8705976440620598E-3</v>
      </c>
      <c r="AN160" s="4435">
        <f t="shared" si="1026"/>
        <v>6.5426467420173773E-3</v>
      </c>
      <c r="AO160" s="4409">
        <f t="shared" si="1045"/>
        <v>0.30258056716554294</v>
      </c>
      <c r="AP160" s="4409">
        <f t="shared" si="1045"/>
        <v>0.30258213453007005</v>
      </c>
      <c r="AQ160" s="4409">
        <f t="shared" si="1045"/>
        <v>0.30204962243797195</v>
      </c>
      <c r="AR160" s="4409">
        <f t="shared" si="1045"/>
        <v>0.30860903181981858</v>
      </c>
      <c r="AS160" s="4409">
        <f t="shared" si="1045"/>
        <v>0.3085656150790293</v>
      </c>
      <c r="AT160" s="4409">
        <f t="shared" si="1045"/>
        <v>0.33046513186929827</v>
      </c>
      <c r="AU160" s="4409" t="e">
        <f t="shared" si="1045"/>
        <v>#DIV/0!</v>
      </c>
      <c r="AV160" s="4409" t="e">
        <f t="shared" si="1045"/>
        <v>#DIV/0!</v>
      </c>
      <c r="AW160" s="4409" t="e">
        <f t="shared" si="1045"/>
        <v>#DIV/0!</v>
      </c>
      <c r="AX160" s="4409" t="e">
        <f t="shared" si="1045"/>
        <v>#DIV/0!</v>
      </c>
      <c r="AY160" s="4409" t="e">
        <f t="shared" si="1045"/>
        <v>#DIV/0!</v>
      </c>
      <c r="AZ160" s="4409" t="e">
        <f t="shared" si="1045"/>
        <v>#DIV/0!</v>
      </c>
      <c r="BA160" s="4409">
        <f t="shared" si="1045"/>
        <v>0.30860903181981858</v>
      </c>
      <c r="BB160" s="4409">
        <f t="shared" si="1045"/>
        <v>0.3085656150790293</v>
      </c>
      <c r="BC160" s="4409">
        <f t="shared" si="1045"/>
        <v>0.33046513186929827</v>
      </c>
      <c r="BD160" s="4410">
        <f t="shared" si="1045"/>
        <v>0.30258056716554294</v>
      </c>
      <c r="BE160" s="4410">
        <f t="shared" si="1045"/>
        <v>0.30258213453006999</v>
      </c>
      <c r="BF160" s="4410">
        <f t="shared" si="1045"/>
        <v>0.3020496224379719</v>
      </c>
      <c r="BG160" s="4410">
        <f t="shared" si="1045"/>
        <v>0.30933843487842327</v>
      </c>
      <c r="BH160" s="4410">
        <f t="shared" si="1045"/>
        <v>0.30933485748087969</v>
      </c>
      <c r="BI160" s="4410">
        <f t="shared" si="1045"/>
        <v>0.31055398960119462</v>
      </c>
      <c r="BJ160" s="4435">
        <f t="shared" si="1027"/>
        <v>6.7578677128803388E-3</v>
      </c>
      <c r="BK160" s="4435">
        <f t="shared" si="1027"/>
        <v>6.7527229508096975E-3</v>
      </c>
      <c r="BL160" s="4435">
        <f t="shared" si="1027"/>
        <v>8.5043671632227258E-3</v>
      </c>
      <c r="BM160" s="4409">
        <f t="shared" si="1045"/>
        <v>0.30258056716554294</v>
      </c>
      <c r="BN160" s="4409">
        <f t="shared" si="1045"/>
        <v>0.30258213453007005</v>
      </c>
      <c r="BO160" s="4409">
        <f t="shared" ref="BO160:CG160" si="1046">SUM(BO159/BO158)</f>
        <v>0.30204962243797195</v>
      </c>
      <c r="BP160" s="4409" t="e">
        <f t="shared" si="1046"/>
        <v>#DIV/0!</v>
      </c>
      <c r="BQ160" s="4409" t="e">
        <f t="shared" si="1046"/>
        <v>#DIV/0!</v>
      </c>
      <c r="BR160" s="4409" t="e">
        <f t="shared" si="1046"/>
        <v>#DIV/0!</v>
      </c>
      <c r="BS160" s="4409" t="e">
        <f t="shared" si="1046"/>
        <v>#DIV/0!</v>
      </c>
      <c r="BT160" s="4409" t="e">
        <f t="shared" si="1046"/>
        <v>#DIV/0!</v>
      </c>
      <c r="BU160" s="4409" t="e">
        <f t="shared" si="1046"/>
        <v>#DIV/0!</v>
      </c>
      <c r="BV160" s="4409" t="e">
        <f t="shared" si="1046"/>
        <v>#DIV/0!</v>
      </c>
      <c r="BW160" s="4409" t="e">
        <f t="shared" si="1046"/>
        <v>#DIV/0!</v>
      </c>
      <c r="BX160" s="4409" t="e">
        <f t="shared" si="1046"/>
        <v>#DIV/0!</v>
      </c>
      <c r="BY160" s="4409" t="e">
        <f t="shared" si="1046"/>
        <v>#DIV/0!</v>
      </c>
      <c r="BZ160" s="4409" t="e">
        <f t="shared" si="1046"/>
        <v>#DIV/0!</v>
      </c>
      <c r="CA160" s="4409" t="e">
        <f t="shared" si="1046"/>
        <v>#DIV/0!</v>
      </c>
      <c r="CB160" s="4410">
        <f t="shared" si="1046"/>
        <v>0.30258056716554294</v>
      </c>
      <c r="CC160" s="4410">
        <f t="shared" si="1046"/>
        <v>0.30258213453007005</v>
      </c>
      <c r="CD160" s="4410">
        <f t="shared" si="1046"/>
        <v>0.30204962243797195</v>
      </c>
      <c r="CE160" s="4410">
        <f t="shared" si="1046"/>
        <v>0.30933843487842327</v>
      </c>
      <c r="CF160" s="4410">
        <f t="shared" si="1046"/>
        <v>0.30933485748087969</v>
      </c>
      <c r="CG160" s="4410">
        <f t="shared" si="1046"/>
        <v>0.31055398960119462</v>
      </c>
      <c r="CH160" s="4435">
        <f t="shared" si="1029"/>
        <v>6.7578677128803388E-3</v>
      </c>
      <c r="CI160" s="4435">
        <f t="shared" si="1029"/>
        <v>6.752722950809642E-3</v>
      </c>
      <c r="CJ160" s="4435">
        <f t="shared" si="1029"/>
        <v>8.5043671632226703E-3</v>
      </c>
    </row>
    <row r="161" spans="1:88" ht="18.75" customHeight="1" x14ac:dyDescent="0.3">
      <c r="A161" s="4406" t="s">
        <v>3718</v>
      </c>
      <c r="B161" s="4447">
        <f t="shared" ref="B161:AK163" si="1047">SUM(B29+B49+B81+B101)</f>
        <v>6152.0768028484317</v>
      </c>
      <c r="C161" s="4447">
        <f t="shared" si="1047"/>
        <v>6152.0768028484317</v>
      </c>
      <c r="D161" s="4447">
        <f t="shared" si="1047"/>
        <v>0</v>
      </c>
      <c r="E161" s="4447">
        <f t="shared" si="1047"/>
        <v>2131.0070000000001</v>
      </c>
      <c r="F161" s="4442">
        <f t="shared" si="1047"/>
        <v>2131.0070000000001</v>
      </c>
      <c r="G161" s="4442">
        <f t="shared" si="1047"/>
        <v>0</v>
      </c>
      <c r="H161" s="4442">
        <f t="shared" si="1047"/>
        <v>1894.8214499999999</v>
      </c>
      <c r="I161" s="4442">
        <f t="shared" si="1047"/>
        <v>1894.8214499999999</v>
      </c>
      <c r="J161" s="4442">
        <f t="shared" si="1047"/>
        <v>0</v>
      </c>
      <c r="K161" s="4442">
        <f t="shared" si="1047"/>
        <v>1807.4389900000001</v>
      </c>
      <c r="L161" s="4442">
        <f t="shared" si="1047"/>
        <v>1807.4389900000001</v>
      </c>
      <c r="M161" s="4442">
        <f t="shared" si="1047"/>
        <v>0</v>
      </c>
      <c r="N161" s="4442">
        <f t="shared" si="1047"/>
        <v>5833.2674399999996</v>
      </c>
      <c r="O161" s="4442">
        <f t="shared" si="1047"/>
        <v>5833.2674399999996</v>
      </c>
      <c r="P161" s="4442">
        <f t="shared" si="1047"/>
        <v>0</v>
      </c>
      <c r="Q161" s="4447">
        <f t="shared" si="1047"/>
        <v>6152.0768028484317</v>
      </c>
      <c r="R161" s="4447">
        <f t="shared" si="1047"/>
        <v>6152.0768028484317</v>
      </c>
      <c r="S161" s="4447">
        <f t="shared" si="1047"/>
        <v>0</v>
      </c>
      <c r="T161" s="4442">
        <f t="shared" si="1047"/>
        <v>2310.7719000000002</v>
      </c>
      <c r="U161" s="4442">
        <f t="shared" si="1047"/>
        <v>2310.7719000000002</v>
      </c>
      <c r="V161" s="4442">
        <f t="shared" si="1047"/>
        <v>0</v>
      </c>
      <c r="W161" s="4442">
        <f t="shared" si="1047"/>
        <v>3211.9629999999997</v>
      </c>
      <c r="X161" s="4442">
        <f t="shared" si="1047"/>
        <v>3211.9629999999997</v>
      </c>
      <c r="Y161" s="4442">
        <f t="shared" si="1047"/>
        <v>0</v>
      </c>
      <c r="Z161" s="4442">
        <f t="shared" si="1047"/>
        <v>2096.3326099999999</v>
      </c>
      <c r="AA161" s="4442">
        <f t="shared" si="1047"/>
        <v>2096.3326099999999</v>
      </c>
      <c r="AB161" s="4442">
        <f t="shared" si="1047"/>
        <v>0</v>
      </c>
      <c r="AC161" s="4442">
        <f t="shared" si="1047"/>
        <v>7619.0675099999989</v>
      </c>
      <c r="AD161" s="4442">
        <f t="shared" si="1047"/>
        <v>7619.0675099999989</v>
      </c>
      <c r="AE161" s="4442">
        <f t="shared" si="1047"/>
        <v>0</v>
      </c>
      <c r="AF161" s="4448">
        <f t="shared" si="1047"/>
        <v>12304.153605696863</v>
      </c>
      <c r="AG161" s="4448">
        <f t="shared" si="1047"/>
        <v>12304.153605696863</v>
      </c>
      <c r="AH161" s="4448">
        <f t="shared" si="1047"/>
        <v>0</v>
      </c>
      <c r="AI161" s="4459">
        <f t="shared" si="1047"/>
        <v>13452.33495</v>
      </c>
      <c r="AJ161" s="4459">
        <f t="shared" si="1047"/>
        <v>13452.33495</v>
      </c>
      <c r="AK161" s="4459">
        <f t="shared" si="1047"/>
        <v>0</v>
      </c>
      <c r="AL161" s="4435">
        <f t="shared" si="1031"/>
        <v>1148.1813443031369</v>
      </c>
      <c r="AM161" s="4435">
        <f t="shared" si="1026"/>
        <v>1148.1813443031369</v>
      </c>
      <c r="AN161" s="4435">
        <f t="shared" si="1026"/>
        <v>0</v>
      </c>
      <c r="AO161" s="4447">
        <f t="shared" ref="AO161:BI163" si="1048">SUM(AO29+AO49+AO81+AO101)</f>
        <v>6152.0768028484317</v>
      </c>
      <c r="AP161" s="4447">
        <f t="shared" si="1048"/>
        <v>6152.0768028484317</v>
      </c>
      <c r="AQ161" s="4447">
        <f t="shared" si="1048"/>
        <v>0</v>
      </c>
      <c r="AR161" s="4442">
        <f t="shared" si="1048"/>
        <v>2002.3395300000002</v>
      </c>
      <c r="AS161" s="4442">
        <f t="shared" si="1048"/>
        <v>2002.3395300000002</v>
      </c>
      <c r="AT161" s="4442">
        <f t="shared" si="1048"/>
        <v>0</v>
      </c>
      <c r="AU161" s="4442">
        <f t="shared" si="1048"/>
        <v>0</v>
      </c>
      <c r="AV161" s="4442">
        <f t="shared" si="1048"/>
        <v>0</v>
      </c>
      <c r="AW161" s="4442">
        <f t="shared" si="1048"/>
        <v>0</v>
      </c>
      <c r="AX161" s="4442">
        <f t="shared" si="1048"/>
        <v>0</v>
      </c>
      <c r="AY161" s="4442">
        <f t="shared" si="1048"/>
        <v>0</v>
      </c>
      <c r="AZ161" s="4442">
        <f t="shared" si="1048"/>
        <v>0</v>
      </c>
      <c r="BA161" s="4442">
        <f t="shared" si="1048"/>
        <v>2002.3395300000002</v>
      </c>
      <c r="BB161" s="4442">
        <f t="shared" si="1048"/>
        <v>2002.3395300000002</v>
      </c>
      <c r="BC161" s="4442">
        <f t="shared" si="1048"/>
        <v>0</v>
      </c>
      <c r="BD161" s="4448">
        <f t="shared" si="1048"/>
        <v>18456.2304085453</v>
      </c>
      <c r="BE161" s="4448">
        <f t="shared" si="1048"/>
        <v>18456.2304085453</v>
      </c>
      <c r="BF161" s="4448">
        <f t="shared" si="1048"/>
        <v>0</v>
      </c>
      <c r="BG161" s="4459">
        <f t="shared" si="1048"/>
        <v>15454.674479999998</v>
      </c>
      <c r="BH161" s="4459">
        <f t="shared" si="1048"/>
        <v>15454.674479999998</v>
      </c>
      <c r="BI161" s="4459">
        <f t="shared" si="1048"/>
        <v>0</v>
      </c>
      <c r="BJ161" s="4435">
        <f t="shared" si="1027"/>
        <v>-3001.5559285453019</v>
      </c>
      <c r="BK161" s="4435">
        <f t="shared" si="1027"/>
        <v>-3001.5559285453019</v>
      </c>
      <c r="BL161" s="4435">
        <f t="shared" si="1027"/>
        <v>0</v>
      </c>
      <c r="BM161" s="4447">
        <f t="shared" ref="BM161:CG163" si="1049">SUM(BM29+BM49+BM81+BM101)</f>
        <v>6152.0768028484317</v>
      </c>
      <c r="BN161" s="4447">
        <f t="shared" si="1049"/>
        <v>6152.0768028484317</v>
      </c>
      <c r="BO161" s="4447">
        <f t="shared" si="1049"/>
        <v>0</v>
      </c>
      <c r="BP161" s="4442">
        <f t="shared" si="1049"/>
        <v>0</v>
      </c>
      <c r="BQ161" s="4442">
        <f t="shared" si="1049"/>
        <v>0</v>
      </c>
      <c r="BR161" s="4442">
        <f t="shared" si="1049"/>
        <v>0</v>
      </c>
      <c r="BS161" s="4442">
        <f t="shared" si="1049"/>
        <v>0</v>
      </c>
      <c r="BT161" s="4442">
        <f t="shared" si="1049"/>
        <v>0</v>
      </c>
      <c r="BU161" s="4442">
        <f t="shared" si="1049"/>
        <v>0</v>
      </c>
      <c r="BV161" s="4442">
        <f t="shared" si="1049"/>
        <v>0</v>
      </c>
      <c r="BW161" s="4442">
        <f t="shared" si="1049"/>
        <v>0</v>
      </c>
      <c r="BX161" s="4442">
        <f t="shared" si="1049"/>
        <v>0</v>
      </c>
      <c r="BY161" s="4442">
        <f t="shared" si="1049"/>
        <v>0</v>
      </c>
      <c r="BZ161" s="4442">
        <f t="shared" si="1049"/>
        <v>0</v>
      </c>
      <c r="CA161" s="4442">
        <f t="shared" si="1049"/>
        <v>0</v>
      </c>
      <c r="CB161" s="4448">
        <f t="shared" si="1049"/>
        <v>24608.307295789255</v>
      </c>
      <c r="CC161" s="4448">
        <f t="shared" si="1049"/>
        <v>24608.307295789255</v>
      </c>
      <c r="CD161" s="4448">
        <f t="shared" si="1049"/>
        <v>0</v>
      </c>
      <c r="CE161" s="4459">
        <f t="shared" si="1049"/>
        <v>15454.674479999998</v>
      </c>
      <c r="CF161" s="4459">
        <f t="shared" si="1049"/>
        <v>15454.674480000001</v>
      </c>
      <c r="CG161" s="4459">
        <f t="shared" si="1049"/>
        <v>0</v>
      </c>
      <c r="CH161" s="4435">
        <f t="shared" si="1029"/>
        <v>-9153.6328157892567</v>
      </c>
      <c r="CI161" s="4435">
        <f t="shared" si="1029"/>
        <v>-9153.6328157892531</v>
      </c>
      <c r="CJ161" s="4435">
        <f t="shared" si="1029"/>
        <v>0</v>
      </c>
    </row>
    <row r="162" spans="1:88" ht="18.75" customHeight="1" x14ac:dyDescent="0.3">
      <c r="A162" s="4408" t="s">
        <v>3719</v>
      </c>
      <c r="B162" s="4419">
        <f t="shared" si="1047"/>
        <v>2402.8131296850306</v>
      </c>
      <c r="C162" s="4419">
        <f t="shared" si="1047"/>
        <v>2402.8131296850306</v>
      </c>
      <c r="D162" s="4419">
        <f t="shared" si="1047"/>
        <v>0</v>
      </c>
      <c r="E162" s="4419">
        <f t="shared" si="1047"/>
        <v>836.04700000000003</v>
      </c>
      <c r="F162" s="4420">
        <f t="shared" si="1047"/>
        <v>836.04700000000003</v>
      </c>
      <c r="G162" s="4420">
        <f t="shared" si="1047"/>
        <v>0</v>
      </c>
      <c r="H162" s="4420">
        <f t="shared" si="1047"/>
        <v>649.86234999999999</v>
      </c>
      <c r="I162" s="4420">
        <f t="shared" si="1047"/>
        <v>649.86234999999999</v>
      </c>
      <c r="J162" s="4420">
        <f t="shared" si="1047"/>
        <v>0</v>
      </c>
      <c r="K162" s="4420">
        <f t="shared" si="1047"/>
        <v>715.74200000000008</v>
      </c>
      <c r="L162" s="4420">
        <f t="shared" si="1047"/>
        <v>715.74200000000008</v>
      </c>
      <c r="M162" s="4420">
        <f t="shared" si="1047"/>
        <v>0</v>
      </c>
      <c r="N162" s="4420">
        <f t="shared" si="1047"/>
        <v>2201.6513500000001</v>
      </c>
      <c r="O162" s="4420">
        <f t="shared" si="1047"/>
        <v>2201.6513500000001</v>
      </c>
      <c r="P162" s="4420">
        <f t="shared" si="1047"/>
        <v>0</v>
      </c>
      <c r="Q162" s="4419">
        <f t="shared" si="1047"/>
        <v>2402.8131296850306</v>
      </c>
      <c r="R162" s="4419">
        <f t="shared" si="1047"/>
        <v>2402.8131296850306</v>
      </c>
      <c r="S162" s="4419">
        <f t="shared" si="1047"/>
        <v>0</v>
      </c>
      <c r="T162" s="4420">
        <f t="shared" si="1047"/>
        <v>873.34299999999996</v>
      </c>
      <c r="U162" s="4420">
        <f t="shared" si="1047"/>
        <v>873.34299999999996</v>
      </c>
      <c r="V162" s="4420">
        <f t="shared" si="1047"/>
        <v>0</v>
      </c>
      <c r="W162" s="4420">
        <f t="shared" si="1047"/>
        <v>917.71399999999994</v>
      </c>
      <c r="X162" s="4420">
        <f t="shared" si="1047"/>
        <v>917.71399999999994</v>
      </c>
      <c r="Y162" s="4420">
        <f t="shared" si="1047"/>
        <v>0</v>
      </c>
      <c r="Z162" s="4420">
        <f t="shared" si="1047"/>
        <v>676.46100000000001</v>
      </c>
      <c r="AA162" s="4420">
        <f t="shared" si="1047"/>
        <v>676.46100000000001</v>
      </c>
      <c r="AB162" s="4420">
        <f t="shared" si="1047"/>
        <v>0</v>
      </c>
      <c r="AC162" s="4420">
        <f t="shared" si="1047"/>
        <v>2467.518</v>
      </c>
      <c r="AD162" s="4420">
        <f t="shared" si="1047"/>
        <v>2467.518</v>
      </c>
      <c r="AE162" s="4420">
        <f t="shared" si="1047"/>
        <v>0</v>
      </c>
      <c r="AF162" s="4460">
        <f t="shared" si="1047"/>
        <v>4805.6262593700612</v>
      </c>
      <c r="AG162" s="4460">
        <f t="shared" si="1047"/>
        <v>4805.6262593700612</v>
      </c>
      <c r="AH162" s="4460">
        <f t="shared" si="1047"/>
        <v>0</v>
      </c>
      <c r="AI162" s="4461">
        <f t="shared" si="1047"/>
        <v>4669.1693500000001</v>
      </c>
      <c r="AJ162" s="4461">
        <f t="shared" si="1047"/>
        <v>4669.1693500000001</v>
      </c>
      <c r="AK162" s="4461">
        <f t="shared" si="1047"/>
        <v>0</v>
      </c>
      <c r="AL162" s="4435">
        <f t="shared" si="1031"/>
        <v>-136.45690937006111</v>
      </c>
      <c r="AM162" s="4435">
        <f t="shared" si="1026"/>
        <v>-136.45690937006111</v>
      </c>
      <c r="AN162" s="4435">
        <f t="shared" si="1026"/>
        <v>0</v>
      </c>
      <c r="AO162" s="4419">
        <f t="shared" si="1048"/>
        <v>2402.8131296850306</v>
      </c>
      <c r="AP162" s="4419">
        <f t="shared" si="1048"/>
        <v>2402.8131296850306</v>
      </c>
      <c r="AQ162" s="4419">
        <f t="shared" si="1048"/>
        <v>0</v>
      </c>
      <c r="AR162" s="4420">
        <f t="shared" si="1048"/>
        <v>844.83999999999992</v>
      </c>
      <c r="AS162" s="4420">
        <f t="shared" si="1048"/>
        <v>844.83999999999992</v>
      </c>
      <c r="AT162" s="4420">
        <f t="shared" si="1048"/>
        <v>0</v>
      </c>
      <c r="AU162" s="4420">
        <f t="shared" si="1048"/>
        <v>0</v>
      </c>
      <c r="AV162" s="4420">
        <f t="shared" si="1048"/>
        <v>0</v>
      </c>
      <c r="AW162" s="4420">
        <f t="shared" si="1048"/>
        <v>0</v>
      </c>
      <c r="AX162" s="4420">
        <f t="shared" si="1048"/>
        <v>0</v>
      </c>
      <c r="AY162" s="4420">
        <f t="shared" si="1048"/>
        <v>0</v>
      </c>
      <c r="AZ162" s="4420">
        <f t="shared" si="1048"/>
        <v>0</v>
      </c>
      <c r="BA162" s="4420">
        <f t="shared" si="1048"/>
        <v>844.83999999999992</v>
      </c>
      <c r="BB162" s="4420">
        <f t="shared" si="1048"/>
        <v>844.83999999999992</v>
      </c>
      <c r="BC162" s="4420">
        <f t="shared" si="1048"/>
        <v>0</v>
      </c>
      <c r="BD162" s="4460">
        <f t="shared" si="1048"/>
        <v>7208.4393890550919</v>
      </c>
      <c r="BE162" s="4460">
        <f t="shared" si="1048"/>
        <v>7208.4393890550919</v>
      </c>
      <c r="BF162" s="4460">
        <f t="shared" si="1048"/>
        <v>0</v>
      </c>
      <c r="BG162" s="4461">
        <f t="shared" si="1048"/>
        <v>5514.0093499999994</v>
      </c>
      <c r="BH162" s="4461">
        <f t="shared" si="1048"/>
        <v>5514.0093499999994</v>
      </c>
      <c r="BI162" s="4461">
        <f t="shared" si="1048"/>
        <v>0</v>
      </c>
      <c r="BJ162" s="4435">
        <f t="shared" si="1027"/>
        <v>-1694.4300390550925</v>
      </c>
      <c r="BK162" s="4435">
        <f t="shared" si="1027"/>
        <v>-1694.4300390550925</v>
      </c>
      <c r="BL162" s="4435">
        <f t="shared" si="1027"/>
        <v>0</v>
      </c>
      <c r="BM162" s="4419">
        <f t="shared" si="1049"/>
        <v>2402.8131296850306</v>
      </c>
      <c r="BN162" s="4419">
        <f t="shared" si="1049"/>
        <v>2402.8131296850306</v>
      </c>
      <c r="BO162" s="4419">
        <f t="shared" si="1049"/>
        <v>0</v>
      </c>
      <c r="BP162" s="4420">
        <f t="shared" si="1049"/>
        <v>0</v>
      </c>
      <c r="BQ162" s="4420">
        <f t="shared" si="1049"/>
        <v>0</v>
      </c>
      <c r="BR162" s="4420">
        <f t="shared" si="1049"/>
        <v>0</v>
      </c>
      <c r="BS162" s="4420">
        <f t="shared" si="1049"/>
        <v>0</v>
      </c>
      <c r="BT162" s="4420">
        <f t="shared" si="1049"/>
        <v>0</v>
      </c>
      <c r="BU162" s="4420">
        <f t="shared" si="1049"/>
        <v>0</v>
      </c>
      <c r="BV162" s="4420">
        <f t="shared" si="1049"/>
        <v>0</v>
      </c>
      <c r="BW162" s="4420">
        <f t="shared" si="1049"/>
        <v>0</v>
      </c>
      <c r="BX162" s="4420">
        <f t="shared" si="1049"/>
        <v>0</v>
      </c>
      <c r="BY162" s="4420">
        <f t="shared" si="1049"/>
        <v>0</v>
      </c>
      <c r="BZ162" s="4420">
        <f t="shared" si="1049"/>
        <v>0</v>
      </c>
      <c r="CA162" s="4420">
        <f t="shared" si="1049"/>
        <v>0</v>
      </c>
      <c r="CB162" s="4460">
        <f t="shared" si="1049"/>
        <v>9611.2525187401225</v>
      </c>
      <c r="CC162" s="4460">
        <f t="shared" si="1049"/>
        <v>9611.2525187401225</v>
      </c>
      <c r="CD162" s="4460">
        <f t="shared" si="1049"/>
        <v>0</v>
      </c>
      <c r="CE162" s="4461">
        <f t="shared" si="1049"/>
        <v>5514.0093499999994</v>
      </c>
      <c r="CF162" s="4461">
        <f t="shared" si="1049"/>
        <v>5514.0093499999994</v>
      </c>
      <c r="CG162" s="4461">
        <f t="shared" si="1049"/>
        <v>0</v>
      </c>
      <c r="CH162" s="4435">
        <f t="shared" si="1029"/>
        <v>-4097.2431687401231</v>
      </c>
      <c r="CI162" s="4435">
        <f t="shared" si="1029"/>
        <v>-4097.2431687401231</v>
      </c>
      <c r="CJ162" s="4435">
        <f t="shared" si="1029"/>
        <v>0</v>
      </c>
    </row>
    <row r="163" spans="1:88" ht="18.75" customHeight="1" x14ac:dyDescent="0.3">
      <c r="A163" s="4408" t="s">
        <v>3720</v>
      </c>
      <c r="B163" s="4419">
        <f t="shared" si="1047"/>
        <v>722.77993391340135</v>
      </c>
      <c r="C163" s="4419">
        <f t="shared" si="1047"/>
        <v>722.77993391340135</v>
      </c>
      <c r="D163" s="4419">
        <f t="shared" si="1047"/>
        <v>0</v>
      </c>
      <c r="E163" s="4419">
        <f t="shared" si="1047"/>
        <v>247.25900000000001</v>
      </c>
      <c r="F163" s="4420">
        <f t="shared" si="1047"/>
        <v>247.25900000000001</v>
      </c>
      <c r="G163" s="4420">
        <f t="shared" si="1047"/>
        <v>0</v>
      </c>
      <c r="H163" s="4420">
        <f t="shared" si="1047"/>
        <v>194.82127999999997</v>
      </c>
      <c r="I163" s="4420">
        <f t="shared" si="1047"/>
        <v>194.82127999999997</v>
      </c>
      <c r="J163" s="4420">
        <f t="shared" si="1047"/>
        <v>0</v>
      </c>
      <c r="K163" s="4420">
        <f t="shared" si="1047"/>
        <v>213.38189</v>
      </c>
      <c r="L163" s="4420">
        <f t="shared" si="1047"/>
        <v>213.38189</v>
      </c>
      <c r="M163" s="4420">
        <f t="shared" si="1047"/>
        <v>0</v>
      </c>
      <c r="N163" s="4420">
        <f t="shared" si="1047"/>
        <v>655.46217000000001</v>
      </c>
      <c r="O163" s="4420">
        <f t="shared" si="1047"/>
        <v>655.46217000000001</v>
      </c>
      <c r="P163" s="4420">
        <f t="shared" si="1047"/>
        <v>0</v>
      </c>
      <c r="Q163" s="4419">
        <f t="shared" si="1047"/>
        <v>722.77993391340135</v>
      </c>
      <c r="R163" s="4419">
        <f t="shared" si="1047"/>
        <v>722.77993391340135</v>
      </c>
      <c r="S163" s="4419">
        <f t="shared" si="1047"/>
        <v>0</v>
      </c>
      <c r="T163" s="4420">
        <f t="shared" si="1047"/>
        <v>256.74200000000002</v>
      </c>
      <c r="U163" s="4420">
        <f t="shared" si="1047"/>
        <v>256.74200000000002</v>
      </c>
      <c r="V163" s="4420">
        <f t="shared" si="1047"/>
        <v>0</v>
      </c>
      <c r="W163" s="4420">
        <f t="shared" si="1047"/>
        <v>266.41300000000001</v>
      </c>
      <c r="X163" s="4420">
        <f t="shared" si="1047"/>
        <v>266.41300000000001</v>
      </c>
      <c r="Y163" s="4420">
        <f t="shared" si="1047"/>
        <v>0</v>
      </c>
      <c r="Z163" s="4420">
        <f t="shared" si="1047"/>
        <v>227.93072999999998</v>
      </c>
      <c r="AA163" s="4420">
        <f t="shared" si="1047"/>
        <v>227.93072999999998</v>
      </c>
      <c r="AB163" s="4420">
        <f t="shared" si="1047"/>
        <v>0</v>
      </c>
      <c r="AC163" s="4420">
        <f t="shared" si="1047"/>
        <v>751.08573000000001</v>
      </c>
      <c r="AD163" s="4420">
        <f t="shared" si="1047"/>
        <v>751.08573000000001</v>
      </c>
      <c r="AE163" s="4420">
        <f t="shared" si="1047"/>
        <v>0</v>
      </c>
      <c r="AF163" s="4460">
        <f t="shared" si="1047"/>
        <v>1445.5598678268027</v>
      </c>
      <c r="AG163" s="4460">
        <f t="shared" si="1047"/>
        <v>1445.5598678268027</v>
      </c>
      <c r="AH163" s="4460">
        <f t="shared" si="1047"/>
        <v>0</v>
      </c>
      <c r="AI163" s="4461">
        <f t="shared" si="1047"/>
        <v>1406.5479</v>
      </c>
      <c r="AJ163" s="4461">
        <f t="shared" si="1047"/>
        <v>1406.5479</v>
      </c>
      <c r="AK163" s="4461">
        <f t="shared" si="1047"/>
        <v>0</v>
      </c>
      <c r="AL163" s="4435">
        <f t="shared" si="1031"/>
        <v>-39.011967826802675</v>
      </c>
      <c r="AM163" s="4435">
        <f t="shared" si="1026"/>
        <v>-39.011967826802675</v>
      </c>
      <c r="AN163" s="4435">
        <f t="shared" si="1026"/>
        <v>0</v>
      </c>
      <c r="AO163" s="4419">
        <f t="shared" si="1048"/>
        <v>722.77993391340135</v>
      </c>
      <c r="AP163" s="4419">
        <f t="shared" si="1048"/>
        <v>722.77993391340135</v>
      </c>
      <c r="AQ163" s="4419">
        <f t="shared" si="1048"/>
        <v>0</v>
      </c>
      <c r="AR163" s="4420">
        <f t="shared" si="1048"/>
        <v>261.29899999999998</v>
      </c>
      <c r="AS163" s="4420">
        <f t="shared" si="1048"/>
        <v>261.29899999999998</v>
      </c>
      <c r="AT163" s="4420">
        <f t="shared" si="1048"/>
        <v>0</v>
      </c>
      <c r="AU163" s="4420">
        <f t="shared" si="1048"/>
        <v>0</v>
      </c>
      <c r="AV163" s="4420">
        <f t="shared" si="1048"/>
        <v>0</v>
      </c>
      <c r="AW163" s="4420">
        <f t="shared" si="1048"/>
        <v>0</v>
      </c>
      <c r="AX163" s="4420">
        <f t="shared" si="1048"/>
        <v>0</v>
      </c>
      <c r="AY163" s="4420">
        <f t="shared" si="1048"/>
        <v>0</v>
      </c>
      <c r="AZ163" s="4420">
        <f t="shared" si="1048"/>
        <v>0</v>
      </c>
      <c r="BA163" s="4420">
        <f t="shared" si="1048"/>
        <v>261.29899999999998</v>
      </c>
      <c r="BB163" s="4420">
        <f t="shared" si="1048"/>
        <v>261.29899999999998</v>
      </c>
      <c r="BC163" s="4420">
        <f t="shared" si="1048"/>
        <v>0</v>
      </c>
      <c r="BD163" s="4460">
        <f t="shared" si="1048"/>
        <v>2168.3398017402042</v>
      </c>
      <c r="BE163" s="4460">
        <f t="shared" si="1048"/>
        <v>2168.3398017402042</v>
      </c>
      <c r="BF163" s="4460">
        <f t="shared" si="1048"/>
        <v>0</v>
      </c>
      <c r="BG163" s="4461">
        <f t="shared" si="1048"/>
        <v>1667.8469</v>
      </c>
      <c r="BH163" s="4461">
        <f t="shared" si="1048"/>
        <v>1667.8469</v>
      </c>
      <c r="BI163" s="4461">
        <f t="shared" si="1048"/>
        <v>0</v>
      </c>
      <c r="BJ163" s="4435">
        <f t="shared" si="1027"/>
        <v>-500.49290174020416</v>
      </c>
      <c r="BK163" s="4435">
        <f t="shared" si="1027"/>
        <v>-500.49290174020416</v>
      </c>
      <c r="BL163" s="4435">
        <f t="shared" si="1027"/>
        <v>0</v>
      </c>
      <c r="BM163" s="4419">
        <f t="shared" si="1049"/>
        <v>722.77993391340135</v>
      </c>
      <c r="BN163" s="4419">
        <f t="shared" si="1049"/>
        <v>722.77993391340135</v>
      </c>
      <c r="BO163" s="4419">
        <f t="shared" si="1049"/>
        <v>0</v>
      </c>
      <c r="BP163" s="4420">
        <f t="shared" si="1049"/>
        <v>0</v>
      </c>
      <c r="BQ163" s="4420">
        <f t="shared" si="1049"/>
        <v>0</v>
      </c>
      <c r="BR163" s="4420">
        <f t="shared" si="1049"/>
        <v>0</v>
      </c>
      <c r="BS163" s="4420">
        <f t="shared" si="1049"/>
        <v>0</v>
      </c>
      <c r="BT163" s="4420">
        <f t="shared" si="1049"/>
        <v>0</v>
      </c>
      <c r="BU163" s="4420">
        <f t="shared" si="1049"/>
        <v>0</v>
      </c>
      <c r="BV163" s="4420">
        <f t="shared" si="1049"/>
        <v>0</v>
      </c>
      <c r="BW163" s="4420">
        <f t="shared" si="1049"/>
        <v>0</v>
      </c>
      <c r="BX163" s="4420">
        <f t="shared" si="1049"/>
        <v>0</v>
      </c>
      <c r="BY163" s="4420">
        <f t="shared" si="1049"/>
        <v>0</v>
      </c>
      <c r="BZ163" s="4420">
        <f t="shared" si="1049"/>
        <v>0</v>
      </c>
      <c r="CA163" s="4420">
        <f t="shared" si="1049"/>
        <v>0</v>
      </c>
      <c r="CB163" s="4460">
        <f t="shared" si="1049"/>
        <v>2891.1197356536054</v>
      </c>
      <c r="CC163" s="4460">
        <f t="shared" si="1049"/>
        <v>2891.1197356536054</v>
      </c>
      <c r="CD163" s="4460">
        <f t="shared" si="1049"/>
        <v>0</v>
      </c>
      <c r="CE163" s="4461">
        <f t="shared" si="1049"/>
        <v>1667.8469</v>
      </c>
      <c r="CF163" s="4461">
        <f t="shared" si="1049"/>
        <v>1667.8469</v>
      </c>
      <c r="CG163" s="4461">
        <f t="shared" si="1049"/>
        <v>0</v>
      </c>
      <c r="CH163" s="4435">
        <f t="shared" si="1029"/>
        <v>-1223.2728356536054</v>
      </c>
      <c r="CI163" s="4435">
        <f t="shared" si="1029"/>
        <v>-1223.2728356536054</v>
      </c>
      <c r="CJ163" s="4435">
        <f t="shared" si="1029"/>
        <v>0</v>
      </c>
    </row>
    <row r="164" spans="1:88" ht="18.75" customHeight="1" x14ac:dyDescent="0.3">
      <c r="A164" s="4408" t="s">
        <v>31</v>
      </c>
      <c r="B164" s="4419">
        <f>SUM(B85)</f>
        <v>538.77949999999998</v>
      </c>
      <c r="C164" s="4419">
        <f t="shared" ref="C164:BN164" si="1050">SUM(C85)</f>
        <v>538.77949999999998</v>
      </c>
      <c r="D164" s="4419">
        <f t="shared" si="1050"/>
        <v>0</v>
      </c>
      <c r="E164" s="4419">
        <f t="shared" si="1050"/>
        <v>163.87099999999998</v>
      </c>
      <c r="F164" s="4420">
        <f t="shared" si="1050"/>
        <v>163.87099999999998</v>
      </c>
      <c r="G164" s="4420">
        <f t="shared" si="1050"/>
        <v>0</v>
      </c>
      <c r="H164" s="4420">
        <f t="shared" si="1050"/>
        <v>149.08500000000001</v>
      </c>
      <c r="I164" s="4420">
        <f t="shared" si="1050"/>
        <v>149.08500000000001</v>
      </c>
      <c r="J164" s="4420">
        <f t="shared" si="1050"/>
        <v>0</v>
      </c>
      <c r="K164" s="4420">
        <f t="shared" si="1050"/>
        <v>178.60550000000001</v>
      </c>
      <c r="L164" s="4420">
        <f t="shared" si="1050"/>
        <v>178.60550000000001</v>
      </c>
      <c r="M164" s="4420">
        <f t="shared" si="1050"/>
        <v>0</v>
      </c>
      <c r="N164" s="4420">
        <f t="shared" si="1050"/>
        <v>491.56150000000002</v>
      </c>
      <c r="O164" s="4420">
        <f t="shared" si="1050"/>
        <v>491.56150000000002</v>
      </c>
      <c r="P164" s="4420">
        <f t="shared" si="1050"/>
        <v>0</v>
      </c>
      <c r="Q164" s="4419">
        <f t="shared" si="1050"/>
        <v>538.77949999999998</v>
      </c>
      <c r="R164" s="4419">
        <f t="shared" si="1050"/>
        <v>538.77949999999998</v>
      </c>
      <c r="S164" s="4419">
        <f t="shared" si="1050"/>
        <v>0</v>
      </c>
      <c r="T164" s="4420">
        <f t="shared" si="1050"/>
        <v>165.43560000000002</v>
      </c>
      <c r="U164" s="4420">
        <f t="shared" si="1050"/>
        <v>165.43560000000002</v>
      </c>
      <c r="V164" s="4420">
        <f t="shared" si="1050"/>
        <v>0</v>
      </c>
      <c r="W164" s="4420">
        <f t="shared" si="1050"/>
        <v>139.57299999999998</v>
      </c>
      <c r="X164" s="4420">
        <f t="shared" si="1050"/>
        <v>139.57299999999998</v>
      </c>
      <c r="Y164" s="4420">
        <f t="shared" si="1050"/>
        <v>0</v>
      </c>
      <c r="Z164" s="4420">
        <f t="shared" si="1050"/>
        <v>120.88624999999999</v>
      </c>
      <c r="AA164" s="4420">
        <f t="shared" si="1050"/>
        <v>120.88624999999999</v>
      </c>
      <c r="AB164" s="4420">
        <f t="shared" si="1050"/>
        <v>0</v>
      </c>
      <c r="AC164" s="4420">
        <f t="shared" si="1050"/>
        <v>425.89485000000002</v>
      </c>
      <c r="AD164" s="4420">
        <f t="shared" si="1050"/>
        <v>425.89485000000002</v>
      </c>
      <c r="AE164" s="4420">
        <f t="shared" si="1050"/>
        <v>0</v>
      </c>
      <c r="AF164" s="4460">
        <f t="shared" si="1050"/>
        <v>1077.559</v>
      </c>
      <c r="AG164" s="4460">
        <f t="shared" si="1050"/>
        <v>1077.559</v>
      </c>
      <c r="AH164" s="4460">
        <f t="shared" si="1050"/>
        <v>0</v>
      </c>
      <c r="AI164" s="4461">
        <f t="shared" si="1050"/>
        <v>917.45635000000004</v>
      </c>
      <c r="AJ164" s="4461">
        <f t="shared" si="1050"/>
        <v>917.45635000000004</v>
      </c>
      <c r="AK164" s="4461">
        <f t="shared" si="1050"/>
        <v>0</v>
      </c>
      <c r="AL164" s="4435">
        <f t="shared" si="1031"/>
        <v>-160.10264999999993</v>
      </c>
      <c r="AM164" s="4435">
        <f t="shared" si="1026"/>
        <v>-160.10264999999993</v>
      </c>
      <c r="AN164" s="4435">
        <f t="shared" si="1026"/>
        <v>0</v>
      </c>
      <c r="AO164" s="4419">
        <f t="shared" si="1050"/>
        <v>538.77949999999998</v>
      </c>
      <c r="AP164" s="4419">
        <f t="shared" si="1050"/>
        <v>538.77949999999998</v>
      </c>
      <c r="AQ164" s="4419">
        <f t="shared" si="1050"/>
        <v>0</v>
      </c>
      <c r="AR164" s="4420">
        <f t="shared" si="1050"/>
        <v>136.34700000000001</v>
      </c>
      <c r="AS164" s="4420">
        <f t="shared" si="1050"/>
        <v>136.34700000000001</v>
      </c>
      <c r="AT164" s="4420">
        <f t="shared" si="1050"/>
        <v>0</v>
      </c>
      <c r="AU164" s="4420">
        <f t="shared" si="1050"/>
        <v>0</v>
      </c>
      <c r="AV164" s="4420">
        <f t="shared" si="1050"/>
        <v>0</v>
      </c>
      <c r="AW164" s="4420">
        <f t="shared" si="1050"/>
        <v>0</v>
      </c>
      <c r="AX164" s="4420">
        <f t="shared" si="1050"/>
        <v>0</v>
      </c>
      <c r="AY164" s="4420">
        <f t="shared" si="1050"/>
        <v>0</v>
      </c>
      <c r="AZ164" s="4420">
        <f t="shared" si="1050"/>
        <v>0</v>
      </c>
      <c r="BA164" s="4420">
        <f t="shared" si="1050"/>
        <v>136.34700000000001</v>
      </c>
      <c r="BB164" s="4420">
        <f t="shared" si="1050"/>
        <v>136.34700000000001</v>
      </c>
      <c r="BC164" s="4420">
        <f t="shared" si="1050"/>
        <v>0</v>
      </c>
      <c r="BD164" s="4460">
        <f t="shared" si="1050"/>
        <v>1616.3384999999998</v>
      </c>
      <c r="BE164" s="4460">
        <f t="shared" si="1050"/>
        <v>1616.3384999999998</v>
      </c>
      <c r="BF164" s="4460">
        <f t="shared" si="1050"/>
        <v>0</v>
      </c>
      <c r="BG164" s="4461">
        <f t="shared" si="1050"/>
        <v>1053.8033500000001</v>
      </c>
      <c r="BH164" s="4461">
        <f t="shared" si="1050"/>
        <v>1053.8033500000001</v>
      </c>
      <c r="BI164" s="4461">
        <f t="shared" si="1050"/>
        <v>0</v>
      </c>
      <c r="BJ164" s="4435">
        <f t="shared" si="1027"/>
        <v>-562.5351499999997</v>
      </c>
      <c r="BK164" s="4435">
        <f t="shared" si="1027"/>
        <v>-562.5351499999997</v>
      </c>
      <c r="BL164" s="4435">
        <f t="shared" si="1027"/>
        <v>0</v>
      </c>
      <c r="BM164" s="4419">
        <f t="shared" si="1050"/>
        <v>538.77949999999998</v>
      </c>
      <c r="BN164" s="4419">
        <f t="shared" si="1050"/>
        <v>538.77949999999998</v>
      </c>
      <c r="BO164" s="4419">
        <f t="shared" ref="BO164:CG164" si="1051">SUM(BO85)</f>
        <v>0</v>
      </c>
      <c r="BP164" s="4420">
        <f t="shared" si="1051"/>
        <v>0</v>
      </c>
      <c r="BQ164" s="4420">
        <f t="shared" si="1051"/>
        <v>0</v>
      </c>
      <c r="BR164" s="4420">
        <f t="shared" si="1051"/>
        <v>0</v>
      </c>
      <c r="BS164" s="4420">
        <f t="shared" si="1051"/>
        <v>0</v>
      </c>
      <c r="BT164" s="4420">
        <f t="shared" si="1051"/>
        <v>0</v>
      </c>
      <c r="BU164" s="4420">
        <f t="shared" si="1051"/>
        <v>0</v>
      </c>
      <c r="BV164" s="4420">
        <f t="shared" si="1051"/>
        <v>0</v>
      </c>
      <c r="BW164" s="4420">
        <f t="shared" si="1051"/>
        <v>0</v>
      </c>
      <c r="BX164" s="4420">
        <f t="shared" si="1051"/>
        <v>0</v>
      </c>
      <c r="BY164" s="4420">
        <f t="shared" si="1051"/>
        <v>0</v>
      </c>
      <c r="BZ164" s="4420">
        <f t="shared" si="1051"/>
        <v>0</v>
      </c>
      <c r="CA164" s="4420">
        <f t="shared" si="1051"/>
        <v>0</v>
      </c>
      <c r="CB164" s="4460">
        <f t="shared" si="1051"/>
        <v>2155.1179999999999</v>
      </c>
      <c r="CC164" s="4460">
        <f t="shared" si="1051"/>
        <v>2155.1179999999999</v>
      </c>
      <c r="CD164" s="4460">
        <f t="shared" si="1051"/>
        <v>0</v>
      </c>
      <c r="CE164" s="4461">
        <f t="shared" si="1051"/>
        <v>1053.8033500000001</v>
      </c>
      <c r="CF164" s="4461">
        <f t="shared" si="1051"/>
        <v>1053.8033500000001</v>
      </c>
      <c r="CG164" s="4461">
        <f t="shared" si="1051"/>
        <v>0</v>
      </c>
      <c r="CH164" s="4435">
        <f t="shared" si="1029"/>
        <v>-1101.3146499999998</v>
      </c>
      <c r="CI164" s="4435">
        <f t="shared" si="1029"/>
        <v>-1101.3146499999998</v>
      </c>
      <c r="CJ164" s="4435">
        <f t="shared" si="1029"/>
        <v>0</v>
      </c>
    </row>
    <row r="165" spans="1:88" ht="18.75" customHeight="1" x14ac:dyDescent="0.3">
      <c r="A165" s="4408" t="s">
        <v>287</v>
      </c>
      <c r="B165" s="4419">
        <f>SUM(B161-B162-B163-B164)</f>
        <v>2487.7042392499998</v>
      </c>
      <c r="C165" s="4419">
        <f t="shared" ref="C165:BN165" si="1052">SUM(C161-C162-C163-C164)</f>
        <v>2487.7042392499998</v>
      </c>
      <c r="D165" s="4419">
        <f t="shared" si="1052"/>
        <v>0</v>
      </c>
      <c r="E165" s="4419">
        <f t="shared" si="1052"/>
        <v>883.83</v>
      </c>
      <c r="F165" s="4420">
        <f t="shared" si="1052"/>
        <v>883.83</v>
      </c>
      <c r="G165" s="4420">
        <f t="shared" si="1052"/>
        <v>0</v>
      </c>
      <c r="H165" s="4420">
        <f t="shared" si="1052"/>
        <v>901.05282000000011</v>
      </c>
      <c r="I165" s="4420">
        <f t="shared" si="1052"/>
        <v>901.05282000000011</v>
      </c>
      <c r="J165" s="4420">
        <f t="shared" si="1052"/>
        <v>0</v>
      </c>
      <c r="K165" s="4420">
        <f t="shared" si="1052"/>
        <v>699.70959999999991</v>
      </c>
      <c r="L165" s="4420">
        <f t="shared" si="1052"/>
        <v>699.70959999999991</v>
      </c>
      <c r="M165" s="4420">
        <f t="shared" si="1052"/>
        <v>0</v>
      </c>
      <c r="N165" s="4420">
        <f t="shared" si="1052"/>
        <v>2484.5924199999999</v>
      </c>
      <c r="O165" s="4420">
        <f t="shared" si="1052"/>
        <v>2484.5924199999999</v>
      </c>
      <c r="P165" s="4420">
        <f t="shared" si="1052"/>
        <v>0</v>
      </c>
      <c r="Q165" s="4419">
        <f t="shared" si="1052"/>
        <v>2487.7042392499998</v>
      </c>
      <c r="R165" s="4419">
        <f t="shared" si="1052"/>
        <v>2487.7042392499998</v>
      </c>
      <c r="S165" s="4419">
        <f t="shared" si="1052"/>
        <v>0</v>
      </c>
      <c r="T165" s="4420">
        <f t="shared" si="1052"/>
        <v>1015.2513000000004</v>
      </c>
      <c r="U165" s="4420">
        <f t="shared" si="1052"/>
        <v>1015.2513000000004</v>
      </c>
      <c r="V165" s="4420">
        <f t="shared" si="1052"/>
        <v>0</v>
      </c>
      <c r="W165" s="4420">
        <f t="shared" si="1052"/>
        <v>1888.2629999999999</v>
      </c>
      <c r="X165" s="4420">
        <f t="shared" si="1052"/>
        <v>1888.2629999999999</v>
      </c>
      <c r="Y165" s="4420">
        <f t="shared" si="1052"/>
        <v>0</v>
      </c>
      <c r="Z165" s="4420">
        <f t="shared" si="1052"/>
        <v>1071.0546299999999</v>
      </c>
      <c r="AA165" s="4420">
        <f t="shared" si="1052"/>
        <v>1071.0546299999999</v>
      </c>
      <c r="AB165" s="4420">
        <f t="shared" si="1052"/>
        <v>0</v>
      </c>
      <c r="AC165" s="4420">
        <f t="shared" si="1052"/>
        <v>3974.568929999999</v>
      </c>
      <c r="AD165" s="4420">
        <f t="shared" si="1052"/>
        <v>3974.568929999999</v>
      </c>
      <c r="AE165" s="4420">
        <f t="shared" si="1052"/>
        <v>0</v>
      </c>
      <c r="AF165" s="4460">
        <f t="shared" si="1052"/>
        <v>4975.4084784999995</v>
      </c>
      <c r="AG165" s="4460">
        <f t="shared" si="1052"/>
        <v>4975.4084784999995</v>
      </c>
      <c r="AH165" s="4460">
        <f t="shared" si="1052"/>
        <v>0</v>
      </c>
      <c r="AI165" s="4461">
        <f t="shared" si="1052"/>
        <v>6459.1613500000003</v>
      </c>
      <c r="AJ165" s="4461">
        <f t="shared" si="1052"/>
        <v>6459.1613500000003</v>
      </c>
      <c r="AK165" s="4461">
        <f t="shared" si="1052"/>
        <v>0</v>
      </c>
      <c r="AL165" s="4435">
        <f t="shared" si="1031"/>
        <v>1483.7528715000008</v>
      </c>
      <c r="AM165" s="4435">
        <f t="shared" si="1026"/>
        <v>1483.7528715000008</v>
      </c>
      <c r="AN165" s="4435">
        <f t="shared" si="1026"/>
        <v>0</v>
      </c>
      <c r="AO165" s="4419">
        <f t="shared" si="1052"/>
        <v>2487.7042392499998</v>
      </c>
      <c r="AP165" s="4419">
        <f t="shared" si="1052"/>
        <v>2487.7042392499998</v>
      </c>
      <c r="AQ165" s="4419">
        <f t="shared" si="1052"/>
        <v>0</v>
      </c>
      <c r="AR165" s="4420">
        <f t="shared" si="1052"/>
        <v>759.85353000000032</v>
      </c>
      <c r="AS165" s="4420">
        <f t="shared" si="1052"/>
        <v>759.85353000000032</v>
      </c>
      <c r="AT165" s="4420">
        <f t="shared" si="1052"/>
        <v>0</v>
      </c>
      <c r="AU165" s="4420">
        <f t="shared" si="1052"/>
        <v>0</v>
      </c>
      <c r="AV165" s="4420">
        <f t="shared" si="1052"/>
        <v>0</v>
      </c>
      <c r="AW165" s="4420">
        <f t="shared" si="1052"/>
        <v>0</v>
      </c>
      <c r="AX165" s="4420">
        <f t="shared" si="1052"/>
        <v>0</v>
      </c>
      <c r="AY165" s="4420">
        <f t="shared" si="1052"/>
        <v>0</v>
      </c>
      <c r="AZ165" s="4420">
        <f t="shared" si="1052"/>
        <v>0</v>
      </c>
      <c r="BA165" s="4420">
        <f t="shared" si="1052"/>
        <v>759.85353000000032</v>
      </c>
      <c r="BB165" s="4420">
        <f t="shared" si="1052"/>
        <v>759.85353000000032</v>
      </c>
      <c r="BC165" s="4420">
        <f t="shared" si="1052"/>
        <v>0</v>
      </c>
      <c r="BD165" s="4460">
        <f t="shared" si="1052"/>
        <v>7463.1127177500039</v>
      </c>
      <c r="BE165" s="4460">
        <f t="shared" si="1052"/>
        <v>7463.1127177500039</v>
      </c>
      <c r="BF165" s="4460">
        <f t="shared" si="1052"/>
        <v>0</v>
      </c>
      <c r="BG165" s="4461">
        <f t="shared" si="1052"/>
        <v>7219.014879999997</v>
      </c>
      <c r="BH165" s="4461">
        <f t="shared" si="1052"/>
        <v>7219.014879999997</v>
      </c>
      <c r="BI165" s="4461">
        <f t="shared" si="1052"/>
        <v>0</v>
      </c>
      <c r="BJ165" s="4435">
        <f t="shared" si="1027"/>
        <v>-244.09783775000687</v>
      </c>
      <c r="BK165" s="4435">
        <f t="shared" si="1027"/>
        <v>-244.09783775000687</v>
      </c>
      <c r="BL165" s="4435">
        <f t="shared" si="1027"/>
        <v>0</v>
      </c>
      <c r="BM165" s="4419">
        <f t="shared" si="1052"/>
        <v>2487.7042392499998</v>
      </c>
      <c r="BN165" s="4419">
        <f t="shared" si="1052"/>
        <v>2487.7042392499998</v>
      </c>
      <c r="BO165" s="4419">
        <f t="shared" ref="BO165:CG165" si="1053">SUM(BO161-BO162-BO163-BO164)</f>
        <v>0</v>
      </c>
      <c r="BP165" s="4420">
        <f t="shared" si="1053"/>
        <v>0</v>
      </c>
      <c r="BQ165" s="4420">
        <f t="shared" si="1053"/>
        <v>0</v>
      </c>
      <c r="BR165" s="4420">
        <f t="shared" si="1053"/>
        <v>0</v>
      </c>
      <c r="BS165" s="4420">
        <f t="shared" si="1053"/>
        <v>0</v>
      </c>
      <c r="BT165" s="4420">
        <f t="shared" si="1053"/>
        <v>0</v>
      </c>
      <c r="BU165" s="4420">
        <f t="shared" si="1053"/>
        <v>0</v>
      </c>
      <c r="BV165" s="4420">
        <f t="shared" si="1053"/>
        <v>0</v>
      </c>
      <c r="BW165" s="4420">
        <f t="shared" si="1053"/>
        <v>0</v>
      </c>
      <c r="BX165" s="4420">
        <f t="shared" si="1053"/>
        <v>0</v>
      </c>
      <c r="BY165" s="4420">
        <f t="shared" si="1053"/>
        <v>0</v>
      </c>
      <c r="BZ165" s="4420">
        <f t="shared" si="1053"/>
        <v>0</v>
      </c>
      <c r="CA165" s="4420">
        <f t="shared" si="1053"/>
        <v>0</v>
      </c>
      <c r="CB165" s="4460">
        <f t="shared" si="1053"/>
        <v>9950.8170413955268</v>
      </c>
      <c r="CC165" s="4460">
        <f t="shared" si="1053"/>
        <v>9950.8170413955268</v>
      </c>
      <c r="CD165" s="4460">
        <f t="shared" si="1053"/>
        <v>0</v>
      </c>
      <c r="CE165" s="4461">
        <f t="shared" si="1053"/>
        <v>7219.014879999997</v>
      </c>
      <c r="CF165" s="4461">
        <f t="shared" si="1053"/>
        <v>7219.0148800000006</v>
      </c>
      <c r="CG165" s="4461">
        <f t="shared" si="1053"/>
        <v>0</v>
      </c>
      <c r="CH165" s="4435">
        <f t="shared" si="1029"/>
        <v>-2731.8021613955298</v>
      </c>
      <c r="CI165" s="4435">
        <f t="shared" si="1029"/>
        <v>-2731.8021613955261</v>
      </c>
      <c r="CJ165" s="4435">
        <f t="shared" si="1029"/>
        <v>0</v>
      </c>
    </row>
    <row r="166" spans="1:88" ht="18.75" customHeight="1" x14ac:dyDescent="0.3">
      <c r="A166" s="4406" t="s">
        <v>3703</v>
      </c>
      <c r="B166" s="4447">
        <f t="shared" ref="B166:CB166" si="1054">SUM(B111)</f>
        <v>814.10092500000007</v>
      </c>
      <c r="C166" s="4447">
        <f t="shared" ref="C166:AE166" si="1055">SUM(C111)</f>
        <v>814.10092500000007</v>
      </c>
      <c r="D166" s="4447">
        <f t="shared" si="1055"/>
        <v>0</v>
      </c>
      <c r="E166" s="4447">
        <f t="shared" si="1055"/>
        <v>0</v>
      </c>
      <c r="F166" s="4442">
        <f t="shared" si="1055"/>
        <v>0</v>
      </c>
      <c r="G166" s="4442">
        <f t="shared" si="1055"/>
        <v>0</v>
      </c>
      <c r="H166" s="4442">
        <f t="shared" si="1055"/>
        <v>0</v>
      </c>
      <c r="I166" s="4442">
        <f t="shared" si="1055"/>
        <v>0</v>
      </c>
      <c r="J166" s="4442">
        <f t="shared" si="1055"/>
        <v>0</v>
      </c>
      <c r="K166" s="4442">
        <f t="shared" si="1055"/>
        <v>381.01799999999997</v>
      </c>
      <c r="L166" s="4442">
        <f t="shared" si="1055"/>
        <v>381.01799999999997</v>
      </c>
      <c r="M166" s="4442">
        <f t="shared" si="1055"/>
        <v>0</v>
      </c>
      <c r="N166" s="4442">
        <f t="shared" si="1055"/>
        <v>381.01799999999997</v>
      </c>
      <c r="O166" s="4442">
        <f t="shared" si="1055"/>
        <v>381.01799999999997</v>
      </c>
      <c r="P166" s="4442">
        <f t="shared" si="1055"/>
        <v>0</v>
      </c>
      <c r="Q166" s="4447">
        <f t="shared" si="1055"/>
        <v>814.10092500000007</v>
      </c>
      <c r="R166" s="4447">
        <f t="shared" si="1055"/>
        <v>814.10092500000007</v>
      </c>
      <c r="S166" s="4447">
        <f t="shared" si="1055"/>
        <v>0</v>
      </c>
      <c r="T166" s="4442">
        <f t="shared" si="1055"/>
        <v>0</v>
      </c>
      <c r="U166" s="4442">
        <f t="shared" si="1055"/>
        <v>0</v>
      </c>
      <c r="V166" s="4442">
        <f t="shared" si="1055"/>
        <v>0</v>
      </c>
      <c r="W166" s="4442">
        <f t="shared" si="1055"/>
        <v>0</v>
      </c>
      <c r="X166" s="4442">
        <f t="shared" si="1055"/>
        <v>0</v>
      </c>
      <c r="Y166" s="4442">
        <f t="shared" si="1055"/>
        <v>0</v>
      </c>
      <c r="Z166" s="4442">
        <f t="shared" si="1055"/>
        <v>381.01799999999997</v>
      </c>
      <c r="AA166" s="4442">
        <f t="shared" si="1055"/>
        <v>381.01799999999997</v>
      </c>
      <c r="AB166" s="4442">
        <f t="shared" si="1055"/>
        <v>0</v>
      </c>
      <c r="AC166" s="4442">
        <f t="shared" si="1055"/>
        <v>381.01799999999997</v>
      </c>
      <c r="AD166" s="4442">
        <f t="shared" si="1055"/>
        <v>381.01799999999997</v>
      </c>
      <c r="AE166" s="4442">
        <f t="shared" si="1055"/>
        <v>0</v>
      </c>
      <c r="AF166" s="4448">
        <f t="shared" si="1054"/>
        <v>1628.2018500000001</v>
      </c>
      <c r="AG166" s="4448">
        <f t="shared" ref="AG166:AK166" si="1056">SUM(AG111)</f>
        <v>1628.2018500000001</v>
      </c>
      <c r="AH166" s="4448">
        <f t="shared" si="1056"/>
        <v>0</v>
      </c>
      <c r="AI166" s="4459">
        <f t="shared" si="1056"/>
        <v>762.03599999999994</v>
      </c>
      <c r="AJ166" s="4459">
        <f t="shared" si="1056"/>
        <v>762.03599999999994</v>
      </c>
      <c r="AK166" s="4459">
        <f t="shared" si="1056"/>
        <v>0</v>
      </c>
      <c r="AL166" s="4434">
        <f t="shared" si="1031"/>
        <v>-866.16585000000021</v>
      </c>
      <c r="AM166" s="4434">
        <f t="shared" si="1026"/>
        <v>-866.16585000000021</v>
      </c>
      <c r="AN166" s="4434">
        <f t="shared" si="1026"/>
        <v>0</v>
      </c>
      <c r="AO166" s="4447">
        <f t="shared" si="1054"/>
        <v>814.10092500000007</v>
      </c>
      <c r="AP166" s="4447">
        <f t="shared" ref="AP166:BD180" si="1057">SUM(AP111)</f>
        <v>814.10092500000007</v>
      </c>
      <c r="AQ166" s="4447">
        <f t="shared" si="1057"/>
        <v>0</v>
      </c>
      <c r="AR166" s="4442">
        <f t="shared" si="1057"/>
        <v>0</v>
      </c>
      <c r="AS166" s="4442">
        <f t="shared" si="1057"/>
        <v>0</v>
      </c>
      <c r="AT166" s="4442">
        <f t="shared" si="1057"/>
        <v>0</v>
      </c>
      <c r="AU166" s="4442">
        <f t="shared" si="1057"/>
        <v>0</v>
      </c>
      <c r="AV166" s="4442">
        <f t="shared" si="1057"/>
        <v>0</v>
      </c>
      <c r="AW166" s="4442">
        <f t="shared" si="1057"/>
        <v>0</v>
      </c>
      <c r="AX166" s="4442">
        <f t="shared" si="1057"/>
        <v>0</v>
      </c>
      <c r="AY166" s="4442">
        <f t="shared" si="1057"/>
        <v>0</v>
      </c>
      <c r="AZ166" s="4442">
        <f t="shared" si="1057"/>
        <v>0</v>
      </c>
      <c r="BA166" s="4442">
        <f t="shared" si="1057"/>
        <v>0</v>
      </c>
      <c r="BB166" s="4442">
        <f t="shared" si="1057"/>
        <v>0</v>
      </c>
      <c r="BC166" s="4442">
        <f t="shared" si="1057"/>
        <v>0</v>
      </c>
      <c r="BD166" s="4448">
        <f t="shared" si="1054"/>
        <v>2442.3027750000001</v>
      </c>
      <c r="BE166" s="4448">
        <f t="shared" ref="BE166:BI180" si="1058">SUM(BE111)</f>
        <v>2442.3027750000001</v>
      </c>
      <c r="BF166" s="4448">
        <f t="shared" si="1058"/>
        <v>0</v>
      </c>
      <c r="BG166" s="4459">
        <f t="shared" si="1058"/>
        <v>762.03599999999994</v>
      </c>
      <c r="BH166" s="4459">
        <f t="shared" si="1058"/>
        <v>762.03599999999994</v>
      </c>
      <c r="BI166" s="4459">
        <f t="shared" si="1058"/>
        <v>0</v>
      </c>
      <c r="BJ166" s="4434">
        <f t="shared" si="1027"/>
        <v>-1680.2667750000001</v>
      </c>
      <c r="BK166" s="4434">
        <f t="shared" si="1027"/>
        <v>-1680.2667750000001</v>
      </c>
      <c r="BL166" s="4434">
        <f t="shared" si="1027"/>
        <v>0</v>
      </c>
      <c r="BM166" s="4447">
        <f t="shared" si="1054"/>
        <v>814.10092500000007</v>
      </c>
      <c r="BN166" s="4447">
        <f t="shared" ref="BN166:CA166" si="1059">SUM(BN111)</f>
        <v>814.10092500000007</v>
      </c>
      <c r="BO166" s="4447">
        <f t="shared" si="1059"/>
        <v>0</v>
      </c>
      <c r="BP166" s="4442">
        <f t="shared" si="1059"/>
        <v>0</v>
      </c>
      <c r="BQ166" s="4442">
        <f t="shared" si="1059"/>
        <v>0</v>
      </c>
      <c r="BR166" s="4442">
        <f t="shared" si="1059"/>
        <v>0</v>
      </c>
      <c r="BS166" s="4442">
        <f t="shared" si="1059"/>
        <v>0</v>
      </c>
      <c r="BT166" s="4442">
        <f t="shared" si="1059"/>
        <v>0</v>
      </c>
      <c r="BU166" s="4442">
        <f t="shared" si="1059"/>
        <v>0</v>
      </c>
      <c r="BV166" s="4442">
        <f t="shared" si="1059"/>
        <v>0</v>
      </c>
      <c r="BW166" s="4442">
        <f t="shared" si="1059"/>
        <v>0</v>
      </c>
      <c r="BX166" s="4442">
        <f t="shared" si="1059"/>
        <v>0</v>
      </c>
      <c r="BY166" s="4442">
        <f t="shared" si="1059"/>
        <v>0</v>
      </c>
      <c r="BZ166" s="4442">
        <f t="shared" si="1059"/>
        <v>0</v>
      </c>
      <c r="CA166" s="4442">
        <f t="shared" si="1059"/>
        <v>0</v>
      </c>
      <c r="CB166" s="4448">
        <f t="shared" si="1054"/>
        <v>3256.4037000000003</v>
      </c>
      <c r="CC166" s="4448">
        <f t="shared" ref="CC166:CG166" si="1060">SUM(CC111)</f>
        <v>3256.4037000000003</v>
      </c>
      <c r="CD166" s="4448">
        <f t="shared" si="1060"/>
        <v>0</v>
      </c>
      <c r="CE166" s="4459">
        <f t="shared" si="1060"/>
        <v>762.03599999999994</v>
      </c>
      <c r="CF166" s="4459">
        <f t="shared" si="1060"/>
        <v>762.03599999999994</v>
      </c>
      <c r="CG166" s="4459">
        <f t="shared" si="1060"/>
        <v>0</v>
      </c>
      <c r="CH166" s="4434">
        <f t="shared" si="1029"/>
        <v>-2494.3677000000002</v>
      </c>
      <c r="CI166" s="4434">
        <f t="shared" si="1029"/>
        <v>-2494.3677000000002</v>
      </c>
      <c r="CJ166" s="4434">
        <f t="shared" si="1029"/>
        <v>0</v>
      </c>
    </row>
    <row r="167" spans="1:88" ht="18.75" customHeight="1" x14ac:dyDescent="0.3">
      <c r="A167" s="4401" t="s">
        <v>3761</v>
      </c>
      <c r="B167" s="4419">
        <f t="shared" ref="B167:AK174" si="1061">SUM(B112)</f>
        <v>278.033525</v>
      </c>
      <c r="C167" s="4419">
        <f t="shared" si="1061"/>
        <v>278.033525</v>
      </c>
      <c r="D167" s="4419">
        <f t="shared" si="1061"/>
        <v>0</v>
      </c>
      <c r="E167" s="4419">
        <f t="shared" si="1061"/>
        <v>0</v>
      </c>
      <c r="F167" s="4420">
        <f t="shared" si="1061"/>
        <v>0</v>
      </c>
      <c r="G167" s="4420">
        <f t="shared" si="1061"/>
        <v>0</v>
      </c>
      <c r="H167" s="4420">
        <f t="shared" si="1061"/>
        <v>0</v>
      </c>
      <c r="I167" s="4420">
        <f t="shared" si="1061"/>
        <v>0</v>
      </c>
      <c r="J167" s="4420">
        <f t="shared" si="1061"/>
        <v>0</v>
      </c>
      <c r="K167" s="4420">
        <f t="shared" si="1061"/>
        <v>366.529</v>
      </c>
      <c r="L167" s="4420">
        <f t="shared" si="1061"/>
        <v>366.529</v>
      </c>
      <c r="M167" s="4420">
        <f t="shared" si="1061"/>
        <v>0</v>
      </c>
      <c r="N167" s="4420">
        <f t="shared" si="1061"/>
        <v>366.529</v>
      </c>
      <c r="O167" s="4420">
        <f t="shared" si="1061"/>
        <v>366.529</v>
      </c>
      <c r="P167" s="4420">
        <f t="shared" si="1061"/>
        <v>0</v>
      </c>
      <c r="Q167" s="4419">
        <f t="shared" si="1061"/>
        <v>278.033525</v>
      </c>
      <c r="R167" s="4419">
        <f t="shared" si="1061"/>
        <v>278.033525</v>
      </c>
      <c r="S167" s="4419">
        <f t="shared" si="1061"/>
        <v>0</v>
      </c>
      <c r="T167" s="4420">
        <f t="shared" si="1061"/>
        <v>0</v>
      </c>
      <c r="U167" s="4420">
        <f t="shared" si="1061"/>
        <v>0</v>
      </c>
      <c r="V167" s="4420">
        <f t="shared" si="1061"/>
        <v>0</v>
      </c>
      <c r="W167" s="4420">
        <f t="shared" si="1061"/>
        <v>0</v>
      </c>
      <c r="X167" s="4420">
        <f t="shared" si="1061"/>
        <v>0</v>
      </c>
      <c r="Y167" s="4420">
        <f t="shared" si="1061"/>
        <v>0</v>
      </c>
      <c r="Z167" s="4420">
        <f t="shared" si="1061"/>
        <v>366.529</v>
      </c>
      <c r="AA167" s="4420">
        <f t="shared" si="1061"/>
        <v>366.529</v>
      </c>
      <c r="AB167" s="4420">
        <f t="shared" si="1061"/>
        <v>0</v>
      </c>
      <c r="AC167" s="4420">
        <f t="shared" si="1061"/>
        <v>366.529</v>
      </c>
      <c r="AD167" s="4420">
        <f t="shared" si="1061"/>
        <v>366.529</v>
      </c>
      <c r="AE167" s="4420">
        <f t="shared" si="1061"/>
        <v>0</v>
      </c>
      <c r="AF167" s="4460">
        <f t="shared" si="1061"/>
        <v>556.06704999999999</v>
      </c>
      <c r="AG167" s="4460">
        <f t="shared" si="1061"/>
        <v>556.06704999999999</v>
      </c>
      <c r="AH167" s="4460">
        <f t="shared" si="1061"/>
        <v>0</v>
      </c>
      <c r="AI167" s="4461">
        <f t="shared" si="1061"/>
        <v>733.05799999999999</v>
      </c>
      <c r="AJ167" s="4461">
        <f t="shared" si="1061"/>
        <v>733.05799999999999</v>
      </c>
      <c r="AK167" s="4461">
        <f t="shared" si="1061"/>
        <v>0</v>
      </c>
      <c r="AL167" s="4435">
        <f t="shared" si="1031"/>
        <v>176.99095</v>
      </c>
      <c r="AM167" s="4435">
        <f t="shared" si="1026"/>
        <v>176.99095</v>
      </c>
      <c r="AN167" s="4435">
        <f t="shared" si="1026"/>
        <v>0</v>
      </c>
      <c r="AO167" s="4419">
        <f t="shared" ref="AO167:AO180" si="1062">SUM(AO112)</f>
        <v>278.033525</v>
      </c>
      <c r="AP167" s="4419">
        <f t="shared" si="1057"/>
        <v>278.033525</v>
      </c>
      <c r="AQ167" s="4419">
        <f t="shared" si="1057"/>
        <v>0</v>
      </c>
      <c r="AR167" s="4420">
        <f t="shared" si="1057"/>
        <v>0</v>
      </c>
      <c r="AS167" s="4420">
        <f t="shared" si="1057"/>
        <v>0</v>
      </c>
      <c r="AT167" s="4420">
        <f t="shared" si="1057"/>
        <v>0</v>
      </c>
      <c r="AU167" s="4420">
        <f t="shared" si="1057"/>
        <v>0</v>
      </c>
      <c r="AV167" s="4420">
        <f t="shared" si="1057"/>
        <v>0</v>
      </c>
      <c r="AW167" s="4420">
        <f t="shared" si="1057"/>
        <v>0</v>
      </c>
      <c r="AX167" s="4420">
        <f t="shared" si="1057"/>
        <v>0</v>
      </c>
      <c r="AY167" s="4420">
        <f t="shared" si="1057"/>
        <v>0</v>
      </c>
      <c r="AZ167" s="4420">
        <f t="shared" si="1057"/>
        <v>0</v>
      </c>
      <c r="BA167" s="4420">
        <f t="shared" si="1057"/>
        <v>0</v>
      </c>
      <c r="BB167" s="4420">
        <f t="shared" si="1057"/>
        <v>0</v>
      </c>
      <c r="BC167" s="4420">
        <f t="shared" si="1057"/>
        <v>0</v>
      </c>
      <c r="BD167" s="4460">
        <f t="shared" si="1057"/>
        <v>834.10057499999994</v>
      </c>
      <c r="BE167" s="4460">
        <f t="shared" si="1058"/>
        <v>834.10057499999994</v>
      </c>
      <c r="BF167" s="4460">
        <f t="shared" si="1058"/>
        <v>0</v>
      </c>
      <c r="BG167" s="4461">
        <f t="shared" si="1058"/>
        <v>733.05799999999999</v>
      </c>
      <c r="BH167" s="4461">
        <f t="shared" si="1058"/>
        <v>733.05799999999999</v>
      </c>
      <c r="BI167" s="4461">
        <f t="shared" si="1058"/>
        <v>0</v>
      </c>
      <c r="BJ167" s="4435">
        <f t="shared" si="1027"/>
        <v>-101.04257499999994</v>
      </c>
      <c r="BK167" s="4435">
        <f t="shared" si="1027"/>
        <v>-101.04257499999994</v>
      </c>
      <c r="BL167" s="4435">
        <f t="shared" si="1027"/>
        <v>0</v>
      </c>
      <c r="BM167" s="4419">
        <f t="shared" ref="BM167:CG179" si="1063">SUM(BM112)</f>
        <v>278.033525</v>
      </c>
      <c r="BN167" s="4419">
        <f t="shared" si="1063"/>
        <v>278.033525</v>
      </c>
      <c r="BO167" s="4419">
        <f t="shared" si="1063"/>
        <v>0</v>
      </c>
      <c r="BP167" s="4420">
        <f t="shared" si="1063"/>
        <v>0</v>
      </c>
      <c r="BQ167" s="4420">
        <f t="shared" si="1063"/>
        <v>0</v>
      </c>
      <c r="BR167" s="4420">
        <f t="shared" si="1063"/>
        <v>0</v>
      </c>
      <c r="BS167" s="4420">
        <f t="shared" si="1063"/>
        <v>0</v>
      </c>
      <c r="BT167" s="4420">
        <f t="shared" si="1063"/>
        <v>0</v>
      </c>
      <c r="BU167" s="4420">
        <f t="shared" si="1063"/>
        <v>0</v>
      </c>
      <c r="BV167" s="4420">
        <f t="shared" si="1063"/>
        <v>0</v>
      </c>
      <c r="BW167" s="4420">
        <f t="shared" si="1063"/>
        <v>0</v>
      </c>
      <c r="BX167" s="4420">
        <f t="shared" si="1063"/>
        <v>0</v>
      </c>
      <c r="BY167" s="4420">
        <f t="shared" si="1063"/>
        <v>0</v>
      </c>
      <c r="BZ167" s="4420">
        <f t="shared" si="1063"/>
        <v>0</v>
      </c>
      <c r="CA167" s="4420">
        <f t="shared" si="1063"/>
        <v>0</v>
      </c>
      <c r="CB167" s="4460">
        <f t="shared" si="1063"/>
        <v>1112.1341</v>
      </c>
      <c r="CC167" s="4460">
        <f t="shared" si="1063"/>
        <v>1112.1341</v>
      </c>
      <c r="CD167" s="4460">
        <f t="shared" si="1063"/>
        <v>0</v>
      </c>
      <c r="CE167" s="4461">
        <f t="shared" si="1063"/>
        <v>733.05799999999999</v>
      </c>
      <c r="CF167" s="4461">
        <f t="shared" si="1063"/>
        <v>733.05799999999999</v>
      </c>
      <c r="CG167" s="4461">
        <f t="shared" si="1063"/>
        <v>0</v>
      </c>
      <c r="CH167" s="4435">
        <f t="shared" si="1029"/>
        <v>-379.0761</v>
      </c>
      <c r="CI167" s="4435">
        <f t="shared" si="1029"/>
        <v>-379.0761</v>
      </c>
      <c r="CJ167" s="4435">
        <f t="shared" si="1029"/>
        <v>0</v>
      </c>
    </row>
    <row r="168" spans="1:88" ht="18.75" customHeight="1" x14ac:dyDescent="0.3">
      <c r="A168" s="4401" t="s">
        <v>522</v>
      </c>
      <c r="B168" s="4419">
        <f t="shared" si="1061"/>
        <v>14.487500000000001</v>
      </c>
      <c r="C168" s="4419">
        <f t="shared" si="1061"/>
        <v>14.487500000000001</v>
      </c>
      <c r="D168" s="4419">
        <f t="shared" si="1061"/>
        <v>0</v>
      </c>
      <c r="E168" s="4419">
        <f t="shared" si="1061"/>
        <v>0</v>
      </c>
      <c r="F168" s="4420">
        <f t="shared" si="1061"/>
        <v>0</v>
      </c>
      <c r="G168" s="4420">
        <f t="shared" si="1061"/>
        <v>0</v>
      </c>
      <c r="H168" s="4420">
        <f t="shared" si="1061"/>
        <v>0</v>
      </c>
      <c r="I168" s="4420">
        <f t="shared" si="1061"/>
        <v>0</v>
      </c>
      <c r="J168" s="4420">
        <f t="shared" si="1061"/>
        <v>0</v>
      </c>
      <c r="K168" s="4420">
        <f t="shared" si="1061"/>
        <v>14.489000000000001</v>
      </c>
      <c r="L168" s="4420">
        <f t="shared" si="1061"/>
        <v>14.489000000000001</v>
      </c>
      <c r="M168" s="4420">
        <f t="shared" si="1061"/>
        <v>0</v>
      </c>
      <c r="N168" s="4420">
        <f t="shared" si="1061"/>
        <v>14.489000000000001</v>
      </c>
      <c r="O168" s="4420">
        <f t="shared" si="1061"/>
        <v>14.489000000000001</v>
      </c>
      <c r="P168" s="4420">
        <f t="shared" si="1061"/>
        <v>0</v>
      </c>
      <c r="Q168" s="4419">
        <f t="shared" si="1061"/>
        <v>14.487500000000001</v>
      </c>
      <c r="R168" s="4419">
        <f t="shared" si="1061"/>
        <v>14.487500000000001</v>
      </c>
      <c r="S168" s="4419">
        <f t="shared" si="1061"/>
        <v>0</v>
      </c>
      <c r="T168" s="4420">
        <f t="shared" si="1061"/>
        <v>0</v>
      </c>
      <c r="U168" s="4420">
        <f t="shared" si="1061"/>
        <v>0</v>
      </c>
      <c r="V168" s="4420">
        <f t="shared" si="1061"/>
        <v>0</v>
      </c>
      <c r="W168" s="4420">
        <f t="shared" si="1061"/>
        <v>0</v>
      </c>
      <c r="X168" s="4420">
        <f t="shared" si="1061"/>
        <v>0</v>
      </c>
      <c r="Y168" s="4420">
        <f t="shared" si="1061"/>
        <v>0</v>
      </c>
      <c r="Z168" s="4420">
        <f t="shared" si="1061"/>
        <v>14.489000000000001</v>
      </c>
      <c r="AA168" s="4420">
        <f t="shared" si="1061"/>
        <v>14.489000000000001</v>
      </c>
      <c r="AB168" s="4420">
        <f t="shared" si="1061"/>
        <v>0</v>
      </c>
      <c r="AC168" s="4420">
        <f t="shared" si="1061"/>
        <v>14.489000000000001</v>
      </c>
      <c r="AD168" s="4420">
        <f t="shared" si="1061"/>
        <v>14.489000000000001</v>
      </c>
      <c r="AE168" s="4420">
        <f t="shared" si="1061"/>
        <v>0</v>
      </c>
      <c r="AF168" s="4460">
        <f t="shared" si="1061"/>
        <v>28.975000000000001</v>
      </c>
      <c r="AG168" s="4460">
        <f t="shared" si="1061"/>
        <v>28.975000000000001</v>
      </c>
      <c r="AH168" s="4460">
        <f t="shared" si="1061"/>
        <v>0</v>
      </c>
      <c r="AI168" s="4461">
        <f t="shared" si="1061"/>
        <v>28.978000000000002</v>
      </c>
      <c r="AJ168" s="4461">
        <f t="shared" si="1061"/>
        <v>28.978000000000002</v>
      </c>
      <c r="AK168" s="4461">
        <f t="shared" si="1061"/>
        <v>0</v>
      </c>
      <c r="AL168" s="4435">
        <f t="shared" si="1031"/>
        <v>3.0000000000001137E-3</v>
      </c>
      <c r="AM168" s="4435">
        <f t="shared" si="1026"/>
        <v>3.0000000000001137E-3</v>
      </c>
      <c r="AN168" s="4435">
        <f t="shared" si="1026"/>
        <v>0</v>
      </c>
      <c r="AO168" s="4419">
        <f t="shared" si="1062"/>
        <v>14.487500000000001</v>
      </c>
      <c r="AP168" s="4419">
        <f t="shared" si="1057"/>
        <v>14.487500000000001</v>
      </c>
      <c r="AQ168" s="4419">
        <f t="shared" si="1057"/>
        <v>0</v>
      </c>
      <c r="AR168" s="4420">
        <f t="shared" si="1057"/>
        <v>0</v>
      </c>
      <c r="AS168" s="4420">
        <f t="shared" si="1057"/>
        <v>0</v>
      </c>
      <c r="AT168" s="4420">
        <f t="shared" si="1057"/>
        <v>0</v>
      </c>
      <c r="AU168" s="4420">
        <f t="shared" si="1057"/>
        <v>0</v>
      </c>
      <c r="AV168" s="4420">
        <f t="shared" si="1057"/>
        <v>0</v>
      </c>
      <c r="AW168" s="4420">
        <f t="shared" si="1057"/>
        <v>0</v>
      </c>
      <c r="AX168" s="4420">
        <f t="shared" si="1057"/>
        <v>0</v>
      </c>
      <c r="AY168" s="4420">
        <f t="shared" si="1057"/>
        <v>0</v>
      </c>
      <c r="AZ168" s="4420">
        <f t="shared" si="1057"/>
        <v>0</v>
      </c>
      <c r="BA168" s="4420">
        <f t="shared" si="1057"/>
        <v>0</v>
      </c>
      <c r="BB168" s="4420">
        <f t="shared" si="1057"/>
        <v>0</v>
      </c>
      <c r="BC168" s="4420">
        <f t="shared" si="1057"/>
        <v>0</v>
      </c>
      <c r="BD168" s="4460">
        <f t="shared" si="1057"/>
        <v>43.462500000000006</v>
      </c>
      <c r="BE168" s="4460">
        <f t="shared" si="1058"/>
        <v>43.462500000000006</v>
      </c>
      <c r="BF168" s="4460">
        <f t="shared" si="1058"/>
        <v>0</v>
      </c>
      <c r="BG168" s="4461">
        <f t="shared" si="1058"/>
        <v>28.978000000000002</v>
      </c>
      <c r="BH168" s="4461">
        <f t="shared" si="1058"/>
        <v>28.978000000000002</v>
      </c>
      <c r="BI168" s="4461">
        <f t="shared" si="1058"/>
        <v>0</v>
      </c>
      <c r="BJ168" s="4435">
        <f t="shared" si="1027"/>
        <v>-14.484500000000004</v>
      </c>
      <c r="BK168" s="4435">
        <f t="shared" si="1027"/>
        <v>-14.484500000000004</v>
      </c>
      <c r="BL168" s="4435">
        <f t="shared" si="1027"/>
        <v>0</v>
      </c>
      <c r="BM168" s="4419">
        <f t="shared" si="1063"/>
        <v>14.487500000000001</v>
      </c>
      <c r="BN168" s="4419">
        <f t="shared" si="1063"/>
        <v>14.487500000000001</v>
      </c>
      <c r="BO168" s="4419">
        <f t="shared" si="1063"/>
        <v>0</v>
      </c>
      <c r="BP168" s="4420">
        <f t="shared" si="1063"/>
        <v>0</v>
      </c>
      <c r="BQ168" s="4420">
        <f t="shared" si="1063"/>
        <v>0</v>
      </c>
      <c r="BR168" s="4420">
        <f t="shared" si="1063"/>
        <v>0</v>
      </c>
      <c r="BS168" s="4420">
        <f t="shared" si="1063"/>
        <v>0</v>
      </c>
      <c r="BT168" s="4420">
        <f t="shared" si="1063"/>
        <v>0</v>
      </c>
      <c r="BU168" s="4420">
        <f t="shared" si="1063"/>
        <v>0</v>
      </c>
      <c r="BV168" s="4420">
        <f t="shared" si="1063"/>
        <v>0</v>
      </c>
      <c r="BW168" s="4420">
        <f t="shared" si="1063"/>
        <v>0</v>
      </c>
      <c r="BX168" s="4420">
        <f t="shared" si="1063"/>
        <v>0</v>
      </c>
      <c r="BY168" s="4420">
        <f t="shared" si="1063"/>
        <v>0</v>
      </c>
      <c r="BZ168" s="4420">
        <f t="shared" si="1063"/>
        <v>0</v>
      </c>
      <c r="CA168" s="4420">
        <f t="shared" si="1063"/>
        <v>0</v>
      </c>
      <c r="CB168" s="4460">
        <f t="shared" si="1063"/>
        <v>57.95</v>
      </c>
      <c r="CC168" s="4460">
        <f t="shared" si="1063"/>
        <v>57.95</v>
      </c>
      <c r="CD168" s="4460">
        <f t="shared" si="1063"/>
        <v>0</v>
      </c>
      <c r="CE168" s="4461">
        <f t="shared" si="1063"/>
        <v>28.978000000000002</v>
      </c>
      <c r="CF168" s="4461">
        <f t="shared" si="1063"/>
        <v>28.978000000000002</v>
      </c>
      <c r="CG168" s="4461">
        <f t="shared" si="1063"/>
        <v>0</v>
      </c>
      <c r="CH168" s="4435">
        <f t="shared" si="1029"/>
        <v>-28.972000000000001</v>
      </c>
      <c r="CI168" s="4435">
        <f t="shared" si="1029"/>
        <v>-28.972000000000001</v>
      </c>
      <c r="CJ168" s="4435">
        <f t="shared" si="1029"/>
        <v>0</v>
      </c>
    </row>
    <row r="169" spans="1:88" ht="18.75" customHeight="1" x14ac:dyDescent="0.3">
      <c r="A169" s="4401" t="s">
        <v>524</v>
      </c>
      <c r="B169" s="4419">
        <f t="shared" si="1061"/>
        <v>521.57990000000007</v>
      </c>
      <c r="C169" s="4419">
        <f t="shared" si="1061"/>
        <v>521.57990000000007</v>
      </c>
      <c r="D169" s="4419">
        <f t="shared" si="1061"/>
        <v>0</v>
      </c>
      <c r="E169" s="4419">
        <f t="shared" si="1061"/>
        <v>0</v>
      </c>
      <c r="F169" s="4420">
        <f t="shared" si="1061"/>
        <v>0</v>
      </c>
      <c r="G169" s="4420">
        <f t="shared" si="1061"/>
        <v>0</v>
      </c>
      <c r="H169" s="4420">
        <f t="shared" si="1061"/>
        <v>0</v>
      </c>
      <c r="I169" s="4420">
        <f t="shared" si="1061"/>
        <v>0</v>
      </c>
      <c r="J169" s="4420">
        <f t="shared" si="1061"/>
        <v>0</v>
      </c>
      <c r="K169" s="4420">
        <f t="shared" si="1061"/>
        <v>0</v>
      </c>
      <c r="L169" s="4420">
        <f t="shared" si="1061"/>
        <v>0</v>
      </c>
      <c r="M169" s="4420">
        <f t="shared" si="1061"/>
        <v>0</v>
      </c>
      <c r="N169" s="4420">
        <f t="shared" si="1061"/>
        <v>0</v>
      </c>
      <c r="O169" s="4420">
        <f t="shared" si="1061"/>
        <v>0</v>
      </c>
      <c r="P169" s="4420">
        <f t="shared" si="1061"/>
        <v>0</v>
      </c>
      <c r="Q169" s="4419">
        <f t="shared" si="1061"/>
        <v>521.57990000000007</v>
      </c>
      <c r="R169" s="4419">
        <f t="shared" si="1061"/>
        <v>521.57990000000007</v>
      </c>
      <c r="S169" s="4419">
        <f t="shared" si="1061"/>
        <v>0</v>
      </c>
      <c r="T169" s="4420">
        <f t="shared" si="1061"/>
        <v>0</v>
      </c>
      <c r="U169" s="4420">
        <f t="shared" si="1061"/>
        <v>0</v>
      </c>
      <c r="V169" s="4420">
        <f t="shared" si="1061"/>
        <v>0</v>
      </c>
      <c r="W169" s="4420">
        <f t="shared" si="1061"/>
        <v>0</v>
      </c>
      <c r="X169" s="4420">
        <f t="shared" si="1061"/>
        <v>0</v>
      </c>
      <c r="Y169" s="4420">
        <f t="shared" si="1061"/>
        <v>0</v>
      </c>
      <c r="Z169" s="4420">
        <f t="shared" si="1061"/>
        <v>0</v>
      </c>
      <c r="AA169" s="4420">
        <f t="shared" si="1061"/>
        <v>0</v>
      </c>
      <c r="AB169" s="4420">
        <f t="shared" si="1061"/>
        <v>0</v>
      </c>
      <c r="AC169" s="4420">
        <f t="shared" si="1061"/>
        <v>0</v>
      </c>
      <c r="AD169" s="4420">
        <f t="shared" si="1061"/>
        <v>0</v>
      </c>
      <c r="AE169" s="4420">
        <f t="shared" si="1061"/>
        <v>0</v>
      </c>
      <c r="AF169" s="4460">
        <f t="shared" si="1061"/>
        <v>1043.1598000000001</v>
      </c>
      <c r="AG169" s="4460">
        <f t="shared" si="1061"/>
        <v>1043.1598000000001</v>
      </c>
      <c r="AH169" s="4460">
        <f t="shared" si="1061"/>
        <v>0</v>
      </c>
      <c r="AI169" s="4461">
        <f t="shared" si="1061"/>
        <v>0</v>
      </c>
      <c r="AJ169" s="4461">
        <f t="shared" si="1061"/>
        <v>0</v>
      </c>
      <c r="AK169" s="4461">
        <f t="shared" si="1061"/>
        <v>0</v>
      </c>
      <c r="AL169" s="4435">
        <f t="shared" si="1031"/>
        <v>-1043.1598000000001</v>
      </c>
      <c r="AM169" s="4435">
        <f t="shared" si="1031"/>
        <v>-1043.1598000000001</v>
      </c>
      <c r="AN169" s="4435">
        <f t="shared" si="1031"/>
        <v>0</v>
      </c>
      <c r="AO169" s="4419">
        <f t="shared" si="1062"/>
        <v>521.57990000000007</v>
      </c>
      <c r="AP169" s="4419">
        <f t="shared" si="1057"/>
        <v>521.57990000000007</v>
      </c>
      <c r="AQ169" s="4419">
        <f t="shared" si="1057"/>
        <v>0</v>
      </c>
      <c r="AR169" s="4420">
        <f t="shared" si="1057"/>
        <v>0</v>
      </c>
      <c r="AS169" s="4420">
        <f t="shared" si="1057"/>
        <v>0</v>
      </c>
      <c r="AT169" s="4420">
        <f t="shared" si="1057"/>
        <v>0</v>
      </c>
      <c r="AU169" s="4420">
        <f t="shared" si="1057"/>
        <v>0</v>
      </c>
      <c r="AV169" s="4420">
        <f t="shared" si="1057"/>
        <v>0</v>
      </c>
      <c r="AW169" s="4420">
        <f t="shared" si="1057"/>
        <v>0</v>
      </c>
      <c r="AX169" s="4420">
        <f t="shared" si="1057"/>
        <v>0</v>
      </c>
      <c r="AY169" s="4420">
        <f t="shared" si="1057"/>
        <v>0</v>
      </c>
      <c r="AZ169" s="4420">
        <f t="shared" si="1057"/>
        <v>0</v>
      </c>
      <c r="BA169" s="4420">
        <f t="shared" si="1057"/>
        <v>0</v>
      </c>
      <c r="BB169" s="4420">
        <f t="shared" si="1057"/>
        <v>0</v>
      </c>
      <c r="BC169" s="4420">
        <f t="shared" si="1057"/>
        <v>0</v>
      </c>
      <c r="BD169" s="4460">
        <f t="shared" si="1057"/>
        <v>1564.7397000000001</v>
      </c>
      <c r="BE169" s="4460">
        <f t="shared" si="1058"/>
        <v>1564.7397000000001</v>
      </c>
      <c r="BF169" s="4460">
        <f t="shared" si="1058"/>
        <v>0</v>
      </c>
      <c r="BG169" s="4461">
        <f t="shared" si="1058"/>
        <v>0</v>
      </c>
      <c r="BH169" s="4461">
        <f t="shared" si="1058"/>
        <v>0</v>
      </c>
      <c r="BI169" s="4461">
        <f t="shared" si="1058"/>
        <v>0</v>
      </c>
      <c r="BJ169" s="4435">
        <f t="shared" si="1027"/>
        <v>-1564.7397000000001</v>
      </c>
      <c r="BK169" s="4435">
        <f t="shared" si="1027"/>
        <v>-1564.7397000000001</v>
      </c>
      <c r="BL169" s="4435">
        <f t="shared" si="1027"/>
        <v>0</v>
      </c>
      <c r="BM169" s="4419">
        <f t="shared" si="1063"/>
        <v>521.57990000000007</v>
      </c>
      <c r="BN169" s="4419">
        <f t="shared" si="1063"/>
        <v>521.57990000000007</v>
      </c>
      <c r="BO169" s="4419">
        <f t="shared" si="1063"/>
        <v>0</v>
      </c>
      <c r="BP169" s="4420">
        <f t="shared" si="1063"/>
        <v>0</v>
      </c>
      <c r="BQ169" s="4420">
        <f t="shared" si="1063"/>
        <v>0</v>
      </c>
      <c r="BR169" s="4420">
        <f t="shared" si="1063"/>
        <v>0</v>
      </c>
      <c r="BS169" s="4420">
        <f t="shared" si="1063"/>
        <v>0</v>
      </c>
      <c r="BT169" s="4420">
        <f t="shared" si="1063"/>
        <v>0</v>
      </c>
      <c r="BU169" s="4420">
        <f t="shared" si="1063"/>
        <v>0</v>
      </c>
      <c r="BV169" s="4420">
        <f t="shared" si="1063"/>
        <v>0</v>
      </c>
      <c r="BW169" s="4420">
        <f t="shared" si="1063"/>
        <v>0</v>
      </c>
      <c r="BX169" s="4420">
        <f t="shared" si="1063"/>
        <v>0</v>
      </c>
      <c r="BY169" s="4420">
        <f t="shared" si="1063"/>
        <v>0</v>
      </c>
      <c r="BZ169" s="4420">
        <f t="shared" si="1063"/>
        <v>0</v>
      </c>
      <c r="CA169" s="4420">
        <f t="shared" si="1063"/>
        <v>0</v>
      </c>
      <c r="CB169" s="4460">
        <f t="shared" si="1063"/>
        <v>2086.3196000000003</v>
      </c>
      <c r="CC169" s="4460">
        <f t="shared" si="1063"/>
        <v>2086.3196000000003</v>
      </c>
      <c r="CD169" s="4460">
        <f t="shared" si="1063"/>
        <v>0</v>
      </c>
      <c r="CE169" s="4461">
        <f t="shared" si="1063"/>
        <v>0</v>
      </c>
      <c r="CF169" s="4461">
        <f t="shared" si="1063"/>
        <v>0</v>
      </c>
      <c r="CG169" s="4461">
        <f t="shared" si="1063"/>
        <v>0</v>
      </c>
      <c r="CH169" s="4435">
        <f t="shared" si="1029"/>
        <v>-2086.3196000000003</v>
      </c>
      <c r="CI169" s="4435">
        <f t="shared" si="1029"/>
        <v>-2086.3196000000003</v>
      </c>
      <c r="CJ169" s="4435">
        <f t="shared" si="1029"/>
        <v>0</v>
      </c>
    </row>
    <row r="170" spans="1:88" ht="18.75" customHeight="1" x14ac:dyDescent="0.3">
      <c r="A170" s="4406" t="s">
        <v>3721</v>
      </c>
      <c r="B170" s="4447">
        <f t="shared" si="1061"/>
        <v>3100.8452169399848</v>
      </c>
      <c r="C170" s="4447">
        <f t="shared" si="1061"/>
        <v>3078.8982169399846</v>
      </c>
      <c r="D170" s="4447">
        <f t="shared" si="1061"/>
        <v>21.947000000000003</v>
      </c>
      <c r="E170" s="4447">
        <f t="shared" si="1061"/>
        <v>1424.5455899999999</v>
      </c>
      <c r="F170" s="4442">
        <f t="shared" si="1061"/>
        <v>1421.04</v>
      </c>
      <c r="G170" s="4442">
        <f t="shared" si="1061"/>
        <v>3.5055899999999998</v>
      </c>
      <c r="H170" s="4442">
        <f t="shared" si="1061"/>
        <v>1431.4598700000001</v>
      </c>
      <c r="I170" s="4442">
        <f t="shared" si="1061"/>
        <v>1427.8548300000002</v>
      </c>
      <c r="J170" s="4442">
        <f t="shared" si="1061"/>
        <v>3.6050399999999998</v>
      </c>
      <c r="K170" s="4442">
        <f t="shared" si="1061"/>
        <v>1579.8714100000002</v>
      </c>
      <c r="L170" s="4442">
        <f t="shared" si="1061"/>
        <v>1575.1960000000001</v>
      </c>
      <c r="M170" s="4442">
        <f t="shared" si="1061"/>
        <v>4.6754100000000003</v>
      </c>
      <c r="N170" s="4442">
        <f t="shared" si="1061"/>
        <v>4435.8768700000001</v>
      </c>
      <c r="O170" s="4442">
        <f t="shared" si="1061"/>
        <v>4424.0908300000001</v>
      </c>
      <c r="P170" s="4442">
        <f t="shared" si="1061"/>
        <v>11.78604</v>
      </c>
      <c r="Q170" s="4447">
        <f t="shared" si="1061"/>
        <v>3100.8452169399848</v>
      </c>
      <c r="R170" s="4447">
        <f t="shared" si="1061"/>
        <v>3078.8982169399846</v>
      </c>
      <c r="S170" s="4447">
        <f t="shared" si="1061"/>
        <v>21.947000000000003</v>
      </c>
      <c r="T170" s="4442">
        <f t="shared" si="1061"/>
        <v>1843.58959</v>
      </c>
      <c r="U170" s="4442">
        <f t="shared" si="1061"/>
        <v>1840.01181</v>
      </c>
      <c r="V170" s="4442">
        <f t="shared" si="1061"/>
        <v>3.5777800000000006</v>
      </c>
      <c r="W170" s="4442">
        <f t="shared" si="1061"/>
        <v>1522.1466200000002</v>
      </c>
      <c r="X170" s="4442">
        <f t="shared" si="1061"/>
        <v>1518.3390000000002</v>
      </c>
      <c r="Y170" s="4442">
        <f t="shared" si="1061"/>
        <v>3.80762</v>
      </c>
      <c r="Z170" s="4442">
        <f t="shared" si="1061"/>
        <v>1526.30601</v>
      </c>
      <c r="AA170" s="4442">
        <f t="shared" si="1061"/>
        <v>1521.5868499999999</v>
      </c>
      <c r="AB170" s="4442">
        <f t="shared" si="1061"/>
        <v>4.7191600000000005</v>
      </c>
      <c r="AC170" s="4442">
        <f t="shared" si="1061"/>
        <v>4892.0422199999994</v>
      </c>
      <c r="AD170" s="4442">
        <f t="shared" si="1061"/>
        <v>4879.9376599999996</v>
      </c>
      <c r="AE170" s="4442">
        <f t="shared" si="1061"/>
        <v>12.104560000000001</v>
      </c>
      <c r="AF170" s="4448">
        <f t="shared" si="1061"/>
        <v>6201.6904338799695</v>
      </c>
      <c r="AG170" s="4448">
        <f t="shared" si="1061"/>
        <v>6157.7964338799693</v>
      </c>
      <c r="AH170" s="4448">
        <f t="shared" si="1061"/>
        <v>43.894000000000005</v>
      </c>
      <c r="AI170" s="4459">
        <f t="shared" si="1061"/>
        <v>9327.9190899999994</v>
      </c>
      <c r="AJ170" s="4459">
        <f t="shared" si="1061"/>
        <v>9304.0284900000006</v>
      </c>
      <c r="AK170" s="4459">
        <f t="shared" si="1061"/>
        <v>23.890599999999999</v>
      </c>
      <c r="AL170" s="4434">
        <f t="shared" si="1031"/>
        <v>3126.2286561200299</v>
      </c>
      <c r="AM170" s="4434">
        <f t="shared" si="1031"/>
        <v>3146.2320561200313</v>
      </c>
      <c r="AN170" s="4434">
        <f t="shared" si="1031"/>
        <v>-20.003400000000006</v>
      </c>
      <c r="AO170" s="4447">
        <f t="shared" si="1062"/>
        <v>3100.8452169399848</v>
      </c>
      <c r="AP170" s="4447">
        <f t="shared" si="1057"/>
        <v>3078.8982169399846</v>
      </c>
      <c r="AQ170" s="4447">
        <f t="shared" si="1057"/>
        <v>21.947000000000003</v>
      </c>
      <c r="AR170" s="4442">
        <f t="shared" si="1057"/>
        <v>1389.5819899999999</v>
      </c>
      <c r="AS170" s="4442">
        <f t="shared" si="1057"/>
        <v>1387.3493599999999</v>
      </c>
      <c r="AT170" s="4442">
        <f t="shared" si="1057"/>
        <v>2.2326299999999999</v>
      </c>
      <c r="AU170" s="4442">
        <f t="shared" si="1057"/>
        <v>0</v>
      </c>
      <c r="AV170" s="4442">
        <f t="shared" si="1057"/>
        <v>0</v>
      </c>
      <c r="AW170" s="4442">
        <f t="shared" si="1057"/>
        <v>0</v>
      </c>
      <c r="AX170" s="4442">
        <f t="shared" si="1057"/>
        <v>0</v>
      </c>
      <c r="AY170" s="4442">
        <f t="shared" si="1057"/>
        <v>0</v>
      </c>
      <c r="AZ170" s="4442">
        <f t="shared" si="1057"/>
        <v>0</v>
      </c>
      <c r="BA170" s="4442">
        <f t="shared" si="1057"/>
        <v>1389.5819899999999</v>
      </c>
      <c r="BB170" s="4442">
        <f t="shared" si="1057"/>
        <v>1387.3493599999999</v>
      </c>
      <c r="BC170" s="4442">
        <f t="shared" si="1057"/>
        <v>2.2326299999999999</v>
      </c>
      <c r="BD170" s="4448">
        <f t="shared" si="1057"/>
        <v>9302.5356508199548</v>
      </c>
      <c r="BE170" s="4448">
        <f t="shared" si="1058"/>
        <v>9236.6946508199544</v>
      </c>
      <c r="BF170" s="4448">
        <f t="shared" si="1058"/>
        <v>65.841000000000008</v>
      </c>
      <c r="BG170" s="4459">
        <f t="shared" si="1058"/>
        <v>10717.50108</v>
      </c>
      <c r="BH170" s="4459">
        <f t="shared" si="1058"/>
        <v>10691.377850000001</v>
      </c>
      <c r="BI170" s="4459">
        <f t="shared" si="1058"/>
        <v>26.12323</v>
      </c>
      <c r="BJ170" s="4434">
        <f t="shared" si="1027"/>
        <v>1414.9654291800452</v>
      </c>
      <c r="BK170" s="4434">
        <f t="shared" si="1027"/>
        <v>1454.6831991800464</v>
      </c>
      <c r="BL170" s="4434">
        <f t="shared" si="1027"/>
        <v>-39.717770000000009</v>
      </c>
      <c r="BM170" s="4447">
        <f t="shared" si="1063"/>
        <v>3100.8452169399848</v>
      </c>
      <c r="BN170" s="4447">
        <f t="shared" si="1063"/>
        <v>3078.8982169399846</v>
      </c>
      <c r="BO170" s="4447">
        <f t="shared" si="1063"/>
        <v>21.947000000000003</v>
      </c>
      <c r="BP170" s="4442">
        <f t="shared" si="1063"/>
        <v>0</v>
      </c>
      <c r="BQ170" s="4442">
        <f t="shared" si="1063"/>
        <v>0</v>
      </c>
      <c r="BR170" s="4442">
        <f t="shared" si="1063"/>
        <v>0</v>
      </c>
      <c r="BS170" s="4442">
        <f t="shared" si="1063"/>
        <v>0</v>
      </c>
      <c r="BT170" s="4442">
        <f t="shared" si="1063"/>
        <v>0</v>
      </c>
      <c r="BU170" s="4442">
        <f t="shared" si="1063"/>
        <v>0</v>
      </c>
      <c r="BV170" s="4442">
        <f t="shared" si="1063"/>
        <v>0</v>
      </c>
      <c r="BW170" s="4442">
        <f t="shared" si="1063"/>
        <v>0</v>
      </c>
      <c r="BX170" s="4442">
        <f t="shared" si="1063"/>
        <v>0</v>
      </c>
      <c r="BY170" s="4442">
        <f t="shared" si="1063"/>
        <v>0</v>
      </c>
      <c r="BZ170" s="4442">
        <f t="shared" si="1063"/>
        <v>0</v>
      </c>
      <c r="CA170" s="4442">
        <f t="shared" si="1063"/>
        <v>0</v>
      </c>
      <c r="CB170" s="4448">
        <f t="shared" si="1063"/>
        <v>12403.380867759941</v>
      </c>
      <c r="CC170" s="4448">
        <f t="shared" si="1063"/>
        <v>12315.59286775994</v>
      </c>
      <c r="CD170" s="4448">
        <f t="shared" si="1063"/>
        <v>87.787999999999997</v>
      </c>
      <c r="CE170" s="4459">
        <f t="shared" si="1063"/>
        <v>10717.50108</v>
      </c>
      <c r="CF170" s="4459">
        <f t="shared" si="1063"/>
        <v>10691.377850000001</v>
      </c>
      <c r="CG170" s="4459">
        <f t="shared" si="1063"/>
        <v>26.12323</v>
      </c>
      <c r="CH170" s="4434">
        <f t="shared" si="1029"/>
        <v>-1685.8797877599409</v>
      </c>
      <c r="CI170" s="4434">
        <f t="shared" si="1029"/>
        <v>-1624.2150177599397</v>
      </c>
      <c r="CJ170" s="4434">
        <f t="shared" si="1029"/>
        <v>-61.664769999999997</v>
      </c>
    </row>
    <row r="171" spans="1:88" ht="18.75" customHeight="1" x14ac:dyDescent="0.3">
      <c r="A171" s="4412" t="s">
        <v>3707</v>
      </c>
      <c r="B171" s="4419">
        <f t="shared" si="1061"/>
        <v>1994.5342433185417</v>
      </c>
      <c r="C171" s="4419">
        <f t="shared" si="1061"/>
        <v>1988.5374933185417</v>
      </c>
      <c r="D171" s="4419">
        <f t="shared" si="1061"/>
        <v>5.9967499999999996</v>
      </c>
      <c r="E171" s="4419">
        <f t="shared" si="1061"/>
        <v>836.08449000000007</v>
      </c>
      <c r="F171" s="4420">
        <f t="shared" si="1061"/>
        <v>834.02700000000004</v>
      </c>
      <c r="G171" s="4420">
        <f t="shared" si="1061"/>
        <v>2.05749</v>
      </c>
      <c r="H171" s="4420">
        <f t="shared" si="1061"/>
        <v>868.45947000000001</v>
      </c>
      <c r="I171" s="4420">
        <f t="shared" si="1061"/>
        <v>866.27232000000004</v>
      </c>
      <c r="J171" s="4420">
        <f t="shared" si="1061"/>
        <v>2.1871499999999999</v>
      </c>
      <c r="K171" s="4420">
        <f t="shared" si="1061"/>
        <v>927.29919999999993</v>
      </c>
      <c r="L171" s="4420">
        <f t="shared" si="1061"/>
        <v>924.55499999999995</v>
      </c>
      <c r="M171" s="4420">
        <f t="shared" si="1061"/>
        <v>2.7442000000000002</v>
      </c>
      <c r="N171" s="4420">
        <f t="shared" si="1061"/>
        <v>2631.8431599999999</v>
      </c>
      <c r="O171" s="4420">
        <f t="shared" si="1061"/>
        <v>2624.8543199999999</v>
      </c>
      <c r="P171" s="4420">
        <f t="shared" si="1061"/>
        <v>6.9888400000000006</v>
      </c>
      <c r="Q171" s="4419">
        <f t="shared" si="1061"/>
        <v>1994.5342433185417</v>
      </c>
      <c r="R171" s="4419">
        <f t="shared" si="1061"/>
        <v>1988.5374933185417</v>
      </c>
      <c r="S171" s="4419">
        <f t="shared" si="1061"/>
        <v>5.9967499999999996</v>
      </c>
      <c r="T171" s="4420">
        <f t="shared" si="1061"/>
        <v>1166.72325</v>
      </c>
      <c r="U171" s="4420">
        <f t="shared" si="1061"/>
        <v>1164.4590000000001</v>
      </c>
      <c r="V171" s="4420">
        <f t="shared" si="1061"/>
        <v>2.2642500000000001</v>
      </c>
      <c r="W171" s="4420">
        <f t="shared" si="1061"/>
        <v>856.80127000000005</v>
      </c>
      <c r="X171" s="4420">
        <f t="shared" si="1061"/>
        <v>854.65800000000002</v>
      </c>
      <c r="Y171" s="4420">
        <f t="shared" si="1061"/>
        <v>2.1432699999999998</v>
      </c>
      <c r="Z171" s="4420">
        <f t="shared" si="1061"/>
        <v>881.0711</v>
      </c>
      <c r="AA171" s="4420">
        <f t="shared" si="1061"/>
        <v>878.34693000000004</v>
      </c>
      <c r="AB171" s="4420">
        <f t="shared" si="1061"/>
        <v>2.72417</v>
      </c>
      <c r="AC171" s="4420">
        <f t="shared" si="1061"/>
        <v>2904.5956200000005</v>
      </c>
      <c r="AD171" s="4420">
        <f t="shared" si="1061"/>
        <v>2897.4639300000003</v>
      </c>
      <c r="AE171" s="4420">
        <f t="shared" si="1061"/>
        <v>7.1316899999999999</v>
      </c>
      <c r="AF171" s="4460">
        <f t="shared" si="1061"/>
        <v>3989.0684866370834</v>
      </c>
      <c r="AG171" s="4460">
        <f t="shared" si="1061"/>
        <v>3977.0749866370834</v>
      </c>
      <c r="AH171" s="4460">
        <f t="shared" si="1061"/>
        <v>11.993499999999999</v>
      </c>
      <c r="AI171" s="4461">
        <f t="shared" si="1061"/>
        <v>5536.4387800000004</v>
      </c>
      <c r="AJ171" s="4461">
        <f t="shared" si="1061"/>
        <v>5522.3182500000003</v>
      </c>
      <c r="AK171" s="4461">
        <f t="shared" si="1061"/>
        <v>14.12053</v>
      </c>
      <c r="AL171" s="4435">
        <f t="shared" si="1031"/>
        <v>1547.370293362917</v>
      </c>
      <c r="AM171" s="4435">
        <f t="shared" si="1031"/>
        <v>1545.2432633629169</v>
      </c>
      <c r="AN171" s="4435">
        <f t="shared" si="1031"/>
        <v>2.1270300000000013</v>
      </c>
      <c r="AO171" s="4419">
        <f t="shared" si="1062"/>
        <v>1994.5342433185417</v>
      </c>
      <c r="AP171" s="4419">
        <f t="shared" si="1057"/>
        <v>1988.5374933185417</v>
      </c>
      <c r="AQ171" s="4419">
        <f t="shared" si="1057"/>
        <v>5.9967499999999996</v>
      </c>
      <c r="AR171" s="4420">
        <f t="shared" si="1057"/>
        <v>805.53470000000004</v>
      </c>
      <c r="AS171" s="4420">
        <f t="shared" si="1057"/>
        <v>804.24045000000001</v>
      </c>
      <c r="AT171" s="4420">
        <f t="shared" si="1057"/>
        <v>1.2942499999999999</v>
      </c>
      <c r="AU171" s="4420">
        <f t="shared" si="1057"/>
        <v>0</v>
      </c>
      <c r="AV171" s="4420">
        <f t="shared" si="1057"/>
        <v>0</v>
      </c>
      <c r="AW171" s="4420">
        <f t="shared" si="1057"/>
        <v>0</v>
      </c>
      <c r="AX171" s="4420">
        <f t="shared" si="1057"/>
        <v>0</v>
      </c>
      <c r="AY171" s="4420">
        <f t="shared" si="1057"/>
        <v>0</v>
      </c>
      <c r="AZ171" s="4420">
        <f t="shared" si="1057"/>
        <v>0</v>
      </c>
      <c r="BA171" s="4420">
        <f t="shared" si="1057"/>
        <v>805.53470000000004</v>
      </c>
      <c r="BB171" s="4420">
        <f t="shared" si="1057"/>
        <v>804.24045000000001</v>
      </c>
      <c r="BC171" s="4420">
        <f t="shared" si="1057"/>
        <v>1.2942499999999999</v>
      </c>
      <c r="BD171" s="4460">
        <f t="shared" si="1057"/>
        <v>5983.6027299556254</v>
      </c>
      <c r="BE171" s="4460">
        <f t="shared" si="1058"/>
        <v>5965.6124799556255</v>
      </c>
      <c r="BF171" s="4460">
        <f t="shared" si="1058"/>
        <v>17.99025</v>
      </c>
      <c r="BG171" s="4461">
        <f t="shared" si="1058"/>
        <v>6341.9734800000006</v>
      </c>
      <c r="BH171" s="4461">
        <f t="shared" si="1058"/>
        <v>6326.5587000000005</v>
      </c>
      <c r="BI171" s="4461">
        <f t="shared" si="1058"/>
        <v>15.41478</v>
      </c>
      <c r="BJ171" s="4435">
        <f t="shared" si="1027"/>
        <v>358.3707500443752</v>
      </c>
      <c r="BK171" s="4435">
        <f t="shared" si="1027"/>
        <v>360.94622004437497</v>
      </c>
      <c r="BL171" s="4435">
        <f t="shared" si="1027"/>
        <v>-2.5754699999999993</v>
      </c>
      <c r="BM171" s="4419">
        <f t="shared" si="1063"/>
        <v>1994.5342433185417</v>
      </c>
      <c r="BN171" s="4419">
        <f t="shared" si="1063"/>
        <v>1988.5374933185417</v>
      </c>
      <c r="BO171" s="4419">
        <f t="shared" si="1063"/>
        <v>5.9967499999999996</v>
      </c>
      <c r="BP171" s="4420">
        <f t="shared" si="1063"/>
        <v>0</v>
      </c>
      <c r="BQ171" s="4420">
        <f t="shared" si="1063"/>
        <v>0</v>
      </c>
      <c r="BR171" s="4420">
        <f t="shared" si="1063"/>
        <v>0</v>
      </c>
      <c r="BS171" s="4420">
        <f t="shared" si="1063"/>
        <v>0</v>
      </c>
      <c r="BT171" s="4420">
        <f t="shared" si="1063"/>
        <v>0</v>
      </c>
      <c r="BU171" s="4420">
        <f t="shared" si="1063"/>
        <v>0</v>
      </c>
      <c r="BV171" s="4420">
        <f t="shared" si="1063"/>
        <v>0</v>
      </c>
      <c r="BW171" s="4420">
        <f t="shared" si="1063"/>
        <v>0</v>
      </c>
      <c r="BX171" s="4420">
        <f t="shared" si="1063"/>
        <v>0</v>
      </c>
      <c r="BY171" s="4420">
        <f t="shared" si="1063"/>
        <v>0</v>
      </c>
      <c r="BZ171" s="4420">
        <f t="shared" si="1063"/>
        <v>0</v>
      </c>
      <c r="CA171" s="4420">
        <f t="shared" si="1063"/>
        <v>0</v>
      </c>
      <c r="CB171" s="4460">
        <f t="shared" si="1063"/>
        <v>7978.1369732741668</v>
      </c>
      <c r="CC171" s="4460">
        <f t="shared" si="1063"/>
        <v>7954.1499732741668</v>
      </c>
      <c r="CD171" s="4460">
        <f t="shared" si="1063"/>
        <v>23.986999999999998</v>
      </c>
      <c r="CE171" s="4461">
        <f t="shared" si="1063"/>
        <v>6341.9734800000006</v>
      </c>
      <c r="CF171" s="4461">
        <f t="shared" si="1063"/>
        <v>6326.5587000000005</v>
      </c>
      <c r="CG171" s="4461">
        <f t="shared" si="1063"/>
        <v>15.41478</v>
      </c>
      <c r="CH171" s="4435">
        <f t="shared" si="1029"/>
        <v>-1636.1634932741663</v>
      </c>
      <c r="CI171" s="4435">
        <f t="shared" si="1029"/>
        <v>-1627.5912732741663</v>
      </c>
      <c r="CJ171" s="4435">
        <f t="shared" si="1029"/>
        <v>-8.572219999999998</v>
      </c>
    </row>
    <row r="172" spans="1:88" ht="18.75" customHeight="1" x14ac:dyDescent="0.3">
      <c r="A172" s="4412" t="s">
        <v>3708</v>
      </c>
      <c r="B172" s="4419">
        <f t="shared" si="1061"/>
        <v>598.36027299556247</v>
      </c>
      <c r="C172" s="4419">
        <f t="shared" si="1061"/>
        <v>596.56127299556249</v>
      </c>
      <c r="D172" s="4419">
        <f t="shared" si="1061"/>
        <v>1.7989999999999999</v>
      </c>
      <c r="E172" s="4419">
        <f t="shared" si="1061"/>
        <v>254.72283999999999</v>
      </c>
      <c r="F172" s="4420">
        <f t="shared" si="1061"/>
        <v>254.096</v>
      </c>
      <c r="G172" s="4420">
        <f t="shared" si="1061"/>
        <v>0.62683999999999995</v>
      </c>
      <c r="H172" s="4420">
        <f t="shared" si="1061"/>
        <v>270.47374000000002</v>
      </c>
      <c r="I172" s="4420">
        <f t="shared" si="1061"/>
        <v>269.79257000000001</v>
      </c>
      <c r="J172" s="4420">
        <f t="shared" si="1061"/>
        <v>0.68117000000000005</v>
      </c>
      <c r="K172" s="4420">
        <f t="shared" si="1061"/>
        <v>280.66157000000004</v>
      </c>
      <c r="L172" s="4420">
        <f t="shared" si="1061"/>
        <v>279.83100000000002</v>
      </c>
      <c r="M172" s="4420">
        <f t="shared" si="1061"/>
        <v>0.83056999999999992</v>
      </c>
      <c r="N172" s="4420">
        <f t="shared" si="1061"/>
        <v>805.85815000000014</v>
      </c>
      <c r="O172" s="4420">
        <f t="shared" si="1061"/>
        <v>803.71957000000009</v>
      </c>
      <c r="P172" s="4420">
        <f t="shared" si="1061"/>
        <v>2.1385799999999997</v>
      </c>
      <c r="Q172" s="4419">
        <f t="shared" si="1061"/>
        <v>598.36027299556247</v>
      </c>
      <c r="R172" s="4419">
        <f t="shared" si="1061"/>
        <v>596.56127299556249</v>
      </c>
      <c r="S172" s="4419">
        <f t="shared" si="1061"/>
        <v>1.7989999999999999</v>
      </c>
      <c r="T172" s="4420">
        <f t="shared" si="1061"/>
        <v>347.70818999999995</v>
      </c>
      <c r="U172" s="4420">
        <f t="shared" si="1061"/>
        <v>347.03339999999997</v>
      </c>
      <c r="V172" s="4420">
        <f t="shared" si="1061"/>
        <v>0.67479</v>
      </c>
      <c r="W172" s="4420">
        <f t="shared" si="1061"/>
        <v>255.09286</v>
      </c>
      <c r="X172" s="4420">
        <f t="shared" si="1061"/>
        <v>254.45400000000001</v>
      </c>
      <c r="Y172" s="4420">
        <f t="shared" si="1061"/>
        <v>0.63885999999999998</v>
      </c>
      <c r="Z172" s="4420">
        <f t="shared" si="1061"/>
        <v>266.11548999999997</v>
      </c>
      <c r="AA172" s="4420">
        <f t="shared" si="1061"/>
        <v>265.29268999999999</v>
      </c>
      <c r="AB172" s="4420">
        <f t="shared" si="1061"/>
        <v>0.82280000000000009</v>
      </c>
      <c r="AC172" s="4420">
        <f t="shared" si="1061"/>
        <v>868.91653999999994</v>
      </c>
      <c r="AD172" s="4420">
        <f t="shared" si="1061"/>
        <v>866.78008999999997</v>
      </c>
      <c r="AE172" s="4420">
        <f t="shared" si="1061"/>
        <v>2.13645</v>
      </c>
      <c r="AF172" s="4460">
        <f t="shared" si="1061"/>
        <v>1196.7205459911249</v>
      </c>
      <c r="AG172" s="4460">
        <f t="shared" si="1061"/>
        <v>1193.122545991125</v>
      </c>
      <c r="AH172" s="4460">
        <f t="shared" si="1061"/>
        <v>3.5979999999999999</v>
      </c>
      <c r="AI172" s="4461">
        <f t="shared" si="1061"/>
        <v>1674.7746900000002</v>
      </c>
      <c r="AJ172" s="4461">
        <f t="shared" si="1061"/>
        <v>1670.4996599999999</v>
      </c>
      <c r="AK172" s="4461">
        <f t="shared" si="1061"/>
        <v>4.2750299999999992</v>
      </c>
      <c r="AL172" s="4435">
        <f t="shared" si="1031"/>
        <v>478.05414400887526</v>
      </c>
      <c r="AM172" s="4435">
        <f t="shared" si="1031"/>
        <v>477.37711400887497</v>
      </c>
      <c r="AN172" s="4435">
        <f t="shared" si="1031"/>
        <v>0.67702999999999935</v>
      </c>
      <c r="AO172" s="4419">
        <f t="shared" si="1062"/>
        <v>598.36027299556247</v>
      </c>
      <c r="AP172" s="4419">
        <f t="shared" si="1057"/>
        <v>596.56127299556249</v>
      </c>
      <c r="AQ172" s="4419">
        <f t="shared" si="1057"/>
        <v>1.7989999999999999</v>
      </c>
      <c r="AR172" s="4420">
        <f t="shared" si="1057"/>
        <v>241.50426000000002</v>
      </c>
      <c r="AS172" s="4420">
        <f t="shared" si="1057"/>
        <v>241.11624</v>
      </c>
      <c r="AT172" s="4420">
        <f t="shared" si="1057"/>
        <v>0.38801999999999998</v>
      </c>
      <c r="AU172" s="4420">
        <f t="shared" si="1057"/>
        <v>0</v>
      </c>
      <c r="AV172" s="4420">
        <f t="shared" si="1057"/>
        <v>0</v>
      </c>
      <c r="AW172" s="4420">
        <f t="shared" si="1057"/>
        <v>0</v>
      </c>
      <c r="AX172" s="4420">
        <f t="shared" si="1057"/>
        <v>0</v>
      </c>
      <c r="AY172" s="4420">
        <f t="shared" si="1057"/>
        <v>0</v>
      </c>
      <c r="AZ172" s="4420">
        <f t="shared" si="1057"/>
        <v>0</v>
      </c>
      <c r="BA172" s="4420">
        <f t="shared" si="1057"/>
        <v>241.50426000000002</v>
      </c>
      <c r="BB172" s="4420">
        <f t="shared" si="1057"/>
        <v>241.11624</v>
      </c>
      <c r="BC172" s="4420">
        <f t="shared" si="1057"/>
        <v>0.38801999999999998</v>
      </c>
      <c r="BD172" s="4460">
        <f t="shared" si="1057"/>
        <v>1795.0808189866875</v>
      </c>
      <c r="BE172" s="4460">
        <f t="shared" si="1058"/>
        <v>1789.6838189866876</v>
      </c>
      <c r="BF172" s="4460">
        <f t="shared" si="1058"/>
        <v>5.3970000000000002</v>
      </c>
      <c r="BG172" s="4461">
        <f t="shared" si="1058"/>
        <v>1916.2789500000001</v>
      </c>
      <c r="BH172" s="4461">
        <f t="shared" si="1058"/>
        <v>1911.6159</v>
      </c>
      <c r="BI172" s="4461">
        <f t="shared" si="1058"/>
        <v>4.6630499999999993</v>
      </c>
      <c r="BJ172" s="4435">
        <f t="shared" si="1027"/>
        <v>121.1981310133126</v>
      </c>
      <c r="BK172" s="4435">
        <f t="shared" si="1027"/>
        <v>121.93208101331243</v>
      </c>
      <c r="BL172" s="4435">
        <f t="shared" si="1027"/>
        <v>-0.73395000000000099</v>
      </c>
      <c r="BM172" s="4419">
        <f t="shared" si="1063"/>
        <v>598.36027299556247</v>
      </c>
      <c r="BN172" s="4419">
        <f t="shared" si="1063"/>
        <v>596.56127299556249</v>
      </c>
      <c r="BO172" s="4419">
        <f t="shared" si="1063"/>
        <v>1.7989999999999999</v>
      </c>
      <c r="BP172" s="4420">
        <f t="shared" si="1063"/>
        <v>0</v>
      </c>
      <c r="BQ172" s="4420">
        <f t="shared" si="1063"/>
        <v>0</v>
      </c>
      <c r="BR172" s="4420">
        <f t="shared" si="1063"/>
        <v>0</v>
      </c>
      <c r="BS172" s="4420">
        <f t="shared" si="1063"/>
        <v>0</v>
      </c>
      <c r="BT172" s="4420">
        <f t="shared" si="1063"/>
        <v>0</v>
      </c>
      <c r="BU172" s="4420">
        <f t="shared" si="1063"/>
        <v>0</v>
      </c>
      <c r="BV172" s="4420">
        <f t="shared" si="1063"/>
        <v>0</v>
      </c>
      <c r="BW172" s="4420">
        <f t="shared" si="1063"/>
        <v>0</v>
      </c>
      <c r="BX172" s="4420">
        <f t="shared" si="1063"/>
        <v>0</v>
      </c>
      <c r="BY172" s="4420">
        <f t="shared" si="1063"/>
        <v>0</v>
      </c>
      <c r="BZ172" s="4420">
        <f t="shared" si="1063"/>
        <v>0</v>
      </c>
      <c r="CA172" s="4420">
        <f t="shared" si="1063"/>
        <v>0</v>
      </c>
      <c r="CB172" s="4460">
        <f t="shared" si="1063"/>
        <v>2393.4410919822499</v>
      </c>
      <c r="CC172" s="4460">
        <f t="shared" si="1063"/>
        <v>2386.24509198225</v>
      </c>
      <c r="CD172" s="4460">
        <f t="shared" si="1063"/>
        <v>7.1959999999999997</v>
      </c>
      <c r="CE172" s="4461">
        <f t="shared" si="1063"/>
        <v>1916.2789500000001</v>
      </c>
      <c r="CF172" s="4461">
        <f t="shared" si="1063"/>
        <v>1911.6159</v>
      </c>
      <c r="CG172" s="4461">
        <f t="shared" si="1063"/>
        <v>4.6630499999999993</v>
      </c>
      <c r="CH172" s="4435">
        <f t="shared" si="1029"/>
        <v>-477.16214198224975</v>
      </c>
      <c r="CI172" s="4435">
        <f t="shared" si="1029"/>
        <v>-474.62919198224995</v>
      </c>
      <c r="CJ172" s="4435">
        <f t="shared" si="1029"/>
        <v>-2.5329500000000005</v>
      </c>
    </row>
    <row r="173" spans="1:88" ht="18.75" customHeight="1" x14ac:dyDescent="0.3">
      <c r="A173" s="4412" t="s">
        <v>272</v>
      </c>
      <c r="B173" s="4419">
        <f t="shared" si="1061"/>
        <v>3.223227850611778</v>
      </c>
      <c r="C173" s="4419">
        <f t="shared" si="1061"/>
        <v>3.1699778506117782</v>
      </c>
      <c r="D173" s="4419">
        <f t="shared" si="1061"/>
        <v>5.3249999999999999E-2</v>
      </c>
      <c r="E173" s="4419">
        <f t="shared" si="1061"/>
        <v>0</v>
      </c>
      <c r="F173" s="4420">
        <f t="shared" si="1061"/>
        <v>0</v>
      </c>
      <c r="G173" s="4420">
        <f t="shared" si="1061"/>
        <v>0</v>
      </c>
      <c r="H173" s="4420">
        <f t="shared" si="1061"/>
        <v>10.130459999999999</v>
      </c>
      <c r="I173" s="4420">
        <f t="shared" si="1061"/>
        <v>10.104939999999999</v>
      </c>
      <c r="J173" s="4420">
        <f t="shared" si="1061"/>
        <v>2.5520000000000001E-2</v>
      </c>
      <c r="K173" s="4420">
        <f t="shared" si="1061"/>
        <v>4.7711199999999998</v>
      </c>
      <c r="L173" s="4420">
        <f t="shared" si="1061"/>
        <v>4.7569999999999997</v>
      </c>
      <c r="M173" s="4420">
        <f t="shared" si="1061"/>
        <v>1.4120000000000001E-2</v>
      </c>
      <c r="N173" s="4420">
        <f t="shared" si="1061"/>
        <v>14.901579999999999</v>
      </c>
      <c r="O173" s="4420">
        <f t="shared" si="1061"/>
        <v>14.861939999999999</v>
      </c>
      <c r="P173" s="4420">
        <f t="shared" si="1061"/>
        <v>3.9640000000000002E-2</v>
      </c>
      <c r="Q173" s="4419">
        <f t="shared" si="1061"/>
        <v>3.223227850611778</v>
      </c>
      <c r="R173" s="4419">
        <f t="shared" si="1061"/>
        <v>3.1699778506117782</v>
      </c>
      <c r="S173" s="4419">
        <f t="shared" si="1061"/>
        <v>5.3249999999999999E-2</v>
      </c>
      <c r="T173" s="4420">
        <f t="shared" si="1061"/>
        <v>4.2068099999999999</v>
      </c>
      <c r="U173" s="4420">
        <f t="shared" si="1061"/>
        <v>4.1986499999999998</v>
      </c>
      <c r="V173" s="4420">
        <f t="shared" si="1061"/>
        <v>8.1600000000000006E-3</v>
      </c>
      <c r="W173" s="4420">
        <f t="shared" si="1061"/>
        <v>5.4817099999999996</v>
      </c>
      <c r="X173" s="4420">
        <f t="shared" si="1061"/>
        <v>5.468</v>
      </c>
      <c r="Y173" s="4420">
        <f t="shared" si="1061"/>
        <v>1.371E-2</v>
      </c>
      <c r="Z173" s="4420">
        <f t="shared" si="1061"/>
        <v>4.0857700000000001</v>
      </c>
      <c r="AA173" s="4420">
        <f t="shared" si="1061"/>
        <v>4.0731400000000004</v>
      </c>
      <c r="AB173" s="4420">
        <f t="shared" si="1061"/>
        <v>1.2630000000000001E-2</v>
      </c>
      <c r="AC173" s="4420">
        <f t="shared" si="1061"/>
        <v>13.774290000000001</v>
      </c>
      <c r="AD173" s="4420">
        <f t="shared" si="1061"/>
        <v>13.739790000000001</v>
      </c>
      <c r="AE173" s="4420">
        <f t="shared" si="1061"/>
        <v>3.4500000000000003E-2</v>
      </c>
      <c r="AF173" s="4460">
        <f t="shared" si="1061"/>
        <v>6.4464557012235559</v>
      </c>
      <c r="AG173" s="4460">
        <f t="shared" si="1061"/>
        <v>6.3399557012235563</v>
      </c>
      <c r="AH173" s="4460">
        <f t="shared" si="1061"/>
        <v>0.1065</v>
      </c>
      <c r="AI173" s="4461">
        <f t="shared" si="1061"/>
        <v>28.67587</v>
      </c>
      <c r="AJ173" s="4461">
        <f t="shared" si="1061"/>
        <v>28.60173</v>
      </c>
      <c r="AK173" s="4461">
        <f t="shared" si="1061"/>
        <v>7.4140000000000011E-2</v>
      </c>
      <c r="AL173" s="4435">
        <f t="shared" si="1031"/>
        <v>22.229414298776444</v>
      </c>
      <c r="AM173" s="4435">
        <f t="shared" si="1031"/>
        <v>22.261774298776444</v>
      </c>
      <c r="AN173" s="4435">
        <f t="shared" si="1031"/>
        <v>-3.2359999999999986E-2</v>
      </c>
      <c r="AO173" s="4419">
        <f t="shared" si="1062"/>
        <v>3.223227850611778</v>
      </c>
      <c r="AP173" s="4419">
        <f t="shared" si="1057"/>
        <v>3.1699778506117782</v>
      </c>
      <c r="AQ173" s="4419">
        <f t="shared" si="1057"/>
        <v>5.3249999999999999E-2</v>
      </c>
      <c r="AR173" s="4420">
        <f t="shared" si="1057"/>
        <v>5.3123100000000001</v>
      </c>
      <c r="AS173" s="4420">
        <f t="shared" si="1057"/>
        <v>5.3037799999999997</v>
      </c>
      <c r="AT173" s="4420">
        <f t="shared" si="1057"/>
        <v>8.5299999999999994E-3</v>
      </c>
      <c r="AU173" s="4420">
        <f t="shared" si="1057"/>
        <v>0</v>
      </c>
      <c r="AV173" s="4420">
        <f t="shared" si="1057"/>
        <v>0</v>
      </c>
      <c r="AW173" s="4420">
        <f t="shared" si="1057"/>
        <v>0</v>
      </c>
      <c r="AX173" s="4420">
        <f t="shared" si="1057"/>
        <v>0</v>
      </c>
      <c r="AY173" s="4420">
        <f t="shared" si="1057"/>
        <v>0</v>
      </c>
      <c r="AZ173" s="4420">
        <f t="shared" si="1057"/>
        <v>0</v>
      </c>
      <c r="BA173" s="4420">
        <f t="shared" si="1057"/>
        <v>5.3123100000000001</v>
      </c>
      <c r="BB173" s="4420">
        <f t="shared" si="1057"/>
        <v>5.3037799999999997</v>
      </c>
      <c r="BC173" s="4420">
        <f t="shared" si="1057"/>
        <v>8.5299999999999994E-3</v>
      </c>
      <c r="BD173" s="4460">
        <f t="shared" si="1057"/>
        <v>9.6696835518353357</v>
      </c>
      <c r="BE173" s="4460">
        <f t="shared" si="1058"/>
        <v>9.509933551835335</v>
      </c>
      <c r="BF173" s="4460">
        <f t="shared" si="1058"/>
        <v>0.15975</v>
      </c>
      <c r="BG173" s="4461">
        <f t="shared" si="1058"/>
        <v>33.98818</v>
      </c>
      <c r="BH173" s="4461">
        <f t="shared" si="1058"/>
        <v>33.90551</v>
      </c>
      <c r="BI173" s="4461">
        <f t="shared" si="1058"/>
        <v>8.2670000000000007E-2</v>
      </c>
      <c r="BJ173" s="4435">
        <f t="shared" si="1027"/>
        <v>24.318496448164666</v>
      </c>
      <c r="BK173" s="4435">
        <f t="shared" si="1027"/>
        <v>24.395576448164665</v>
      </c>
      <c r="BL173" s="4435">
        <f t="shared" si="1027"/>
        <v>-7.7079999999999996E-2</v>
      </c>
      <c r="BM173" s="4419">
        <f t="shared" si="1063"/>
        <v>3.223227850611778</v>
      </c>
      <c r="BN173" s="4419">
        <f t="shared" si="1063"/>
        <v>3.1699778506117782</v>
      </c>
      <c r="BO173" s="4419">
        <f t="shared" si="1063"/>
        <v>5.3249999999999999E-2</v>
      </c>
      <c r="BP173" s="4420">
        <f t="shared" si="1063"/>
        <v>0</v>
      </c>
      <c r="BQ173" s="4420">
        <f t="shared" si="1063"/>
        <v>0</v>
      </c>
      <c r="BR173" s="4420">
        <f t="shared" si="1063"/>
        <v>0</v>
      </c>
      <c r="BS173" s="4420">
        <f t="shared" si="1063"/>
        <v>0</v>
      </c>
      <c r="BT173" s="4420">
        <f t="shared" si="1063"/>
        <v>0</v>
      </c>
      <c r="BU173" s="4420">
        <f t="shared" si="1063"/>
        <v>0</v>
      </c>
      <c r="BV173" s="4420">
        <f t="shared" si="1063"/>
        <v>0</v>
      </c>
      <c r="BW173" s="4420">
        <f t="shared" si="1063"/>
        <v>0</v>
      </c>
      <c r="BX173" s="4420">
        <f t="shared" si="1063"/>
        <v>0</v>
      </c>
      <c r="BY173" s="4420">
        <f t="shared" si="1063"/>
        <v>0</v>
      </c>
      <c r="BZ173" s="4420">
        <f t="shared" si="1063"/>
        <v>0</v>
      </c>
      <c r="CA173" s="4420">
        <f t="shared" si="1063"/>
        <v>0</v>
      </c>
      <c r="CB173" s="4460">
        <f t="shared" si="1063"/>
        <v>12.892911402447112</v>
      </c>
      <c r="CC173" s="4460">
        <f t="shared" si="1063"/>
        <v>12.679911402447113</v>
      </c>
      <c r="CD173" s="4460">
        <f t="shared" si="1063"/>
        <v>0.21299999999999999</v>
      </c>
      <c r="CE173" s="4461">
        <f t="shared" si="1063"/>
        <v>33.98818</v>
      </c>
      <c r="CF173" s="4461">
        <f t="shared" si="1063"/>
        <v>33.90551</v>
      </c>
      <c r="CG173" s="4461">
        <f t="shared" si="1063"/>
        <v>8.2670000000000007E-2</v>
      </c>
      <c r="CH173" s="4435">
        <f t="shared" si="1029"/>
        <v>21.095268597552888</v>
      </c>
      <c r="CI173" s="4435">
        <f t="shared" si="1029"/>
        <v>21.225598597552889</v>
      </c>
      <c r="CJ173" s="4435">
        <f t="shared" si="1029"/>
        <v>-0.13033</v>
      </c>
    </row>
    <row r="174" spans="1:88" ht="18.75" customHeight="1" x14ac:dyDescent="0.3">
      <c r="A174" s="4412" t="s">
        <v>1543</v>
      </c>
      <c r="B174" s="4419">
        <f t="shared" si="1061"/>
        <v>13.381774560723821</v>
      </c>
      <c r="C174" s="4419">
        <f t="shared" si="1061"/>
        <v>13.332274560723821</v>
      </c>
      <c r="D174" s="4419">
        <f t="shared" si="1061"/>
        <v>4.9500000000000002E-2</v>
      </c>
      <c r="E174" s="4419">
        <f t="shared" ref="E174:AK174" si="1064">SUM(E119)</f>
        <v>0</v>
      </c>
      <c r="F174" s="4420">
        <f t="shared" si="1064"/>
        <v>0</v>
      </c>
      <c r="G174" s="4420">
        <f t="shared" si="1064"/>
        <v>0</v>
      </c>
      <c r="H174" s="4420">
        <f t="shared" si="1064"/>
        <v>0</v>
      </c>
      <c r="I174" s="4420">
        <f t="shared" si="1064"/>
        <v>0</v>
      </c>
      <c r="J174" s="4420">
        <f t="shared" si="1064"/>
        <v>0</v>
      </c>
      <c r="K174" s="4420">
        <f t="shared" si="1064"/>
        <v>0</v>
      </c>
      <c r="L174" s="4420">
        <f t="shared" si="1064"/>
        <v>0</v>
      </c>
      <c r="M174" s="4420">
        <f t="shared" si="1064"/>
        <v>0</v>
      </c>
      <c r="N174" s="4420">
        <f t="shared" si="1064"/>
        <v>0</v>
      </c>
      <c r="O174" s="4420">
        <f t="shared" si="1064"/>
        <v>0</v>
      </c>
      <c r="P174" s="4420">
        <f t="shared" si="1064"/>
        <v>0</v>
      </c>
      <c r="Q174" s="4419">
        <f t="shared" si="1064"/>
        <v>13.381774560723821</v>
      </c>
      <c r="R174" s="4419">
        <f t="shared" si="1064"/>
        <v>13.332274560723821</v>
      </c>
      <c r="S174" s="4419">
        <f t="shared" si="1064"/>
        <v>4.9500000000000002E-2</v>
      </c>
      <c r="T174" s="4420">
        <f t="shared" si="1064"/>
        <v>0</v>
      </c>
      <c r="U174" s="4420">
        <f t="shared" si="1064"/>
        <v>0</v>
      </c>
      <c r="V174" s="4420">
        <f t="shared" si="1064"/>
        <v>0</v>
      </c>
      <c r="W174" s="4420">
        <f t="shared" si="1064"/>
        <v>0</v>
      </c>
      <c r="X174" s="4420">
        <f t="shared" si="1064"/>
        <v>0</v>
      </c>
      <c r="Y174" s="4420">
        <f t="shared" si="1064"/>
        <v>0</v>
      </c>
      <c r="Z174" s="4420">
        <f t="shared" si="1064"/>
        <v>0</v>
      </c>
      <c r="AA174" s="4420">
        <f t="shared" si="1064"/>
        <v>0</v>
      </c>
      <c r="AB174" s="4420">
        <f t="shared" si="1064"/>
        <v>0</v>
      </c>
      <c r="AC174" s="4420">
        <f t="shared" si="1064"/>
        <v>0</v>
      </c>
      <c r="AD174" s="4420">
        <f t="shared" si="1064"/>
        <v>0</v>
      </c>
      <c r="AE174" s="4420">
        <f t="shared" si="1064"/>
        <v>0</v>
      </c>
      <c r="AF174" s="4460">
        <f t="shared" si="1064"/>
        <v>26.763549121447642</v>
      </c>
      <c r="AG174" s="4460">
        <f t="shared" si="1064"/>
        <v>26.664549121447642</v>
      </c>
      <c r="AH174" s="4460">
        <f t="shared" si="1064"/>
        <v>9.9000000000000005E-2</v>
      </c>
      <c r="AI174" s="4461">
        <f t="shared" si="1064"/>
        <v>0</v>
      </c>
      <c r="AJ174" s="4461">
        <f t="shared" si="1064"/>
        <v>0</v>
      </c>
      <c r="AK174" s="4461">
        <f t="shared" si="1064"/>
        <v>0</v>
      </c>
      <c r="AL174" s="4435">
        <f t="shared" si="1031"/>
        <v>-26.763549121447642</v>
      </c>
      <c r="AM174" s="4435">
        <f t="shared" si="1031"/>
        <v>-26.664549121447642</v>
      </c>
      <c r="AN174" s="4435">
        <f t="shared" si="1031"/>
        <v>-9.9000000000000005E-2</v>
      </c>
      <c r="AO174" s="4419">
        <f t="shared" si="1062"/>
        <v>13.381774560723821</v>
      </c>
      <c r="AP174" s="4419">
        <f t="shared" si="1057"/>
        <v>13.332274560723821</v>
      </c>
      <c r="AQ174" s="4419">
        <f t="shared" si="1057"/>
        <v>4.9500000000000002E-2</v>
      </c>
      <c r="AR174" s="4420">
        <f t="shared" si="1057"/>
        <v>0</v>
      </c>
      <c r="AS174" s="4420">
        <f t="shared" si="1057"/>
        <v>0</v>
      </c>
      <c r="AT174" s="4420">
        <f t="shared" si="1057"/>
        <v>0</v>
      </c>
      <c r="AU174" s="4420">
        <f t="shared" si="1057"/>
        <v>0</v>
      </c>
      <c r="AV174" s="4420">
        <f t="shared" si="1057"/>
        <v>0</v>
      </c>
      <c r="AW174" s="4420">
        <f t="shared" si="1057"/>
        <v>0</v>
      </c>
      <c r="AX174" s="4420">
        <f t="shared" si="1057"/>
        <v>0</v>
      </c>
      <c r="AY174" s="4420">
        <f t="shared" si="1057"/>
        <v>0</v>
      </c>
      <c r="AZ174" s="4420">
        <f t="shared" si="1057"/>
        <v>0</v>
      </c>
      <c r="BA174" s="4420">
        <f t="shared" si="1057"/>
        <v>0</v>
      </c>
      <c r="BB174" s="4420">
        <f t="shared" si="1057"/>
        <v>0</v>
      </c>
      <c r="BC174" s="4420">
        <f t="shared" si="1057"/>
        <v>0</v>
      </c>
      <c r="BD174" s="4460">
        <f t="shared" si="1057"/>
        <v>40.145323682171465</v>
      </c>
      <c r="BE174" s="4460">
        <f t="shared" si="1058"/>
        <v>39.996823682171467</v>
      </c>
      <c r="BF174" s="4460">
        <f t="shared" si="1058"/>
        <v>0.14850000000000002</v>
      </c>
      <c r="BG174" s="4461">
        <f t="shared" si="1058"/>
        <v>0</v>
      </c>
      <c r="BH174" s="4461">
        <f t="shared" si="1058"/>
        <v>0</v>
      </c>
      <c r="BI174" s="4461">
        <f t="shared" si="1058"/>
        <v>0</v>
      </c>
      <c r="BJ174" s="4435">
        <f t="shared" si="1027"/>
        <v>-40.145323682171465</v>
      </c>
      <c r="BK174" s="4435">
        <f t="shared" si="1027"/>
        <v>-39.996823682171467</v>
      </c>
      <c r="BL174" s="4435">
        <f t="shared" si="1027"/>
        <v>-0.14850000000000002</v>
      </c>
      <c r="BM174" s="4419">
        <f t="shared" si="1063"/>
        <v>13.381774560723821</v>
      </c>
      <c r="BN174" s="4419">
        <f t="shared" si="1063"/>
        <v>13.332274560723821</v>
      </c>
      <c r="BO174" s="4419">
        <f t="shared" si="1063"/>
        <v>4.9500000000000002E-2</v>
      </c>
      <c r="BP174" s="4420">
        <f t="shared" si="1063"/>
        <v>0</v>
      </c>
      <c r="BQ174" s="4420">
        <f t="shared" si="1063"/>
        <v>0</v>
      </c>
      <c r="BR174" s="4420">
        <f t="shared" si="1063"/>
        <v>0</v>
      </c>
      <c r="BS174" s="4420">
        <f t="shared" si="1063"/>
        <v>0</v>
      </c>
      <c r="BT174" s="4420">
        <f t="shared" si="1063"/>
        <v>0</v>
      </c>
      <c r="BU174" s="4420">
        <f t="shared" si="1063"/>
        <v>0</v>
      </c>
      <c r="BV174" s="4420">
        <f t="shared" si="1063"/>
        <v>0</v>
      </c>
      <c r="BW174" s="4420">
        <f t="shared" si="1063"/>
        <v>0</v>
      </c>
      <c r="BX174" s="4420">
        <f t="shared" si="1063"/>
        <v>0</v>
      </c>
      <c r="BY174" s="4420">
        <f t="shared" si="1063"/>
        <v>0</v>
      </c>
      <c r="BZ174" s="4420">
        <f t="shared" si="1063"/>
        <v>0</v>
      </c>
      <c r="CA174" s="4420">
        <f t="shared" si="1063"/>
        <v>0</v>
      </c>
      <c r="CB174" s="4460">
        <f t="shared" si="1063"/>
        <v>53.527098242895285</v>
      </c>
      <c r="CC174" s="4460">
        <f t="shared" si="1063"/>
        <v>53.329098242895284</v>
      </c>
      <c r="CD174" s="4460">
        <f t="shared" si="1063"/>
        <v>0.19800000000000001</v>
      </c>
      <c r="CE174" s="4461">
        <f t="shared" si="1063"/>
        <v>0</v>
      </c>
      <c r="CF174" s="4461">
        <f t="shared" si="1063"/>
        <v>0</v>
      </c>
      <c r="CG174" s="4461">
        <f t="shared" si="1063"/>
        <v>0</v>
      </c>
      <c r="CH174" s="4435">
        <f t="shared" si="1029"/>
        <v>-53.527098242895285</v>
      </c>
      <c r="CI174" s="4435">
        <f t="shared" si="1029"/>
        <v>-53.329098242895284</v>
      </c>
      <c r="CJ174" s="4435">
        <f t="shared" si="1029"/>
        <v>-0.19800000000000001</v>
      </c>
    </row>
    <row r="175" spans="1:88" ht="18.75" customHeight="1" x14ac:dyDescent="0.3">
      <c r="A175" s="4412" t="s">
        <v>273</v>
      </c>
      <c r="B175" s="4419">
        <f t="shared" ref="B175:AK180" si="1065">SUM(B120)</f>
        <v>15.807406487149116</v>
      </c>
      <c r="C175" s="4419">
        <f t="shared" si="1065"/>
        <v>15.765156487149117</v>
      </c>
      <c r="D175" s="4419">
        <f t="shared" si="1065"/>
        <v>4.2250000000000003E-2</v>
      </c>
      <c r="E175" s="4419">
        <f t="shared" si="1065"/>
        <v>2.0329999999999999</v>
      </c>
      <c r="F175" s="4420">
        <f t="shared" si="1065"/>
        <v>2.028</v>
      </c>
      <c r="G175" s="4420">
        <f t="shared" si="1065"/>
        <v>5.0000000000000001E-3</v>
      </c>
      <c r="H175" s="4420">
        <f t="shared" si="1065"/>
        <v>2.1257000000000001</v>
      </c>
      <c r="I175" s="4420">
        <f t="shared" si="1065"/>
        <v>2.1257000000000001</v>
      </c>
      <c r="J175" s="4420">
        <f t="shared" si="1065"/>
        <v>0</v>
      </c>
      <c r="K175" s="4420">
        <f t="shared" si="1065"/>
        <v>2.0691200000000003</v>
      </c>
      <c r="L175" s="4420">
        <f t="shared" si="1065"/>
        <v>2.0630000000000002</v>
      </c>
      <c r="M175" s="4420">
        <f t="shared" si="1065"/>
        <v>6.1199999999999996E-3</v>
      </c>
      <c r="N175" s="4420">
        <f t="shared" si="1065"/>
        <v>6.2278200000000012</v>
      </c>
      <c r="O175" s="4420">
        <f t="shared" si="1065"/>
        <v>6.2167000000000012</v>
      </c>
      <c r="P175" s="4420">
        <f t="shared" si="1065"/>
        <v>1.112E-2</v>
      </c>
      <c r="Q175" s="4419">
        <f t="shared" si="1065"/>
        <v>15.807406487149116</v>
      </c>
      <c r="R175" s="4419">
        <f t="shared" si="1065"/>
        <v>15.765156487149117</v>
      </c>
      <c r="S175" s="4419">
        <f t="shared" si="1065"/>
        <v>4.2250000000000003E-2</v>
      </c>
      <c r="T175" s="4420">
        <f t="shared" si="1065"/>
        <v>1.9377599999999999</v>
      </c>
      <c r="U175" s="4420">
        <f t="shared" si="1065"/>
        <v>1.9339999999999999</v>
      </c>
      <c r="V175" s="4420">
        <f t="shared" si="1065"/>
        <v>3.7599999999999999E-3</v>
      </c>
      <c r="W175" s="4420">
        <f t="shared" si="1065"/>
        <v>2.1173000000000002</v>
      </c>
      <c r="X175" s="4420">
        <f t="shared" si="1065"/>
        <v>2.1120000000000001</v>
      </c>
      <c r="Y175" s="4420">
        <f t="shared" si="1065"/>
        <v>5.3E-3</v>
      </c>
      <c r="Z175" s="4420">
        <f t="shared" si="1065"/>
        <v>5.0655099999999997</v>
      </c>
      <c r="AA175" s="4420">
        <f t="shared" si="1065"/>
        <v>5.0498500000000002</v>
      </c>
      <c r="AB175" s="4420">
        <f t="shared" si="1065"/>
        <v>1.566E-2</v>
      </c>
      <c r="AC175" s="4420">
        <f t="shared" si="1065"/>
        <v>9.1205700000000007</v>
      </c>
      <c r="AD175" s="4420">
        <f t="shared" si="1065"/>
        <v>9.0958500000000004</v>
      </c>
      <c r="AE175" s="4420">
        <f t="shared" si="1065"/>
        <v>2.4719999999999999E-2</v>
      </c>
      <c r="AF175" s="4460">
        <f t="shared" si="1065"/>
        <v>31.614812974298232</v>
      </c>
      <c r="AG175" s="4460">
        <f t="shared" si="1065"/>
        <v>31.530312974298234</v>
      </c>
      <c r="AH175" s="4460">
        <f t="shared" si="1065"/>
        <v>8.4500000000000006E-2</v>
      </c>
      <c r="AI175" s="4461">
        <f t="shared" si="1065"/>
        <v>15.348390000000002</v>
      </c>
      <c r="AJ175" s="4461">
        <f t="shared" si="1065"/>
        <v>15.312550000000002</v>
      </c>
      <c r="AK175" s="4461">
        <f t="shared" si="1065"/>
        <v>3.5839999999999997E-2</v>
      </c>
      <c r="AL175" s="4435">
        <f t="shared" si="1031"/>
        <v>-16.26642297429823</v>
      </c>
      <c r="AM175" s="4435">
        <f t="shared" si="1031"/>
        <v>-16.217762974298232</v>
      </c>
      <c r="AN175" s="4435">
        <f t="shared" si="1031"/>
        <v>-4.8660000000000009E-2</v>
      </c>
      <c r="AO175" s="4419">
        <f t="shared" si="1062"/>
        <v>15.807406487149116</v>
      </c>
      <c r="AP175" s="4419">
        <f t="shared" si="1057"/>
        <v>15.765156487149117</v>
      </c>
      <c r="AQ175" s="4419">
        <f t="shared" si="1057"/>
        <v>4.2250000000000003E-2</v>
      </c>
      <c r="AR175" s="4420">
        <f t="shared" si="1057"/>
        <v>5.22628</v>
      </c>
      <c r="AS175" s="4420">
        <f t="shared" si="1057"/>
        <v>5.2178899999999997</v>
      </c>
      <c r="AT175" s="4420">
        <f t="shared" si="1057"/>
        <v>8.3899999999999999E-3</v>
      </c>
      <c r="AU175" s="4420">
        <f t="shared" si="1057"/>
        <v>0</v>
      </c>
      <c r="AV175" s="4420">
        <f t="shared" si="1057"/>
        <v>0</v>
      </c>
      <c r="AW175" s="4420">
        <f t="shared" si="1057"/>
        <v>0</v>
      </c>
      <c r="AX175" s="4420">
        <f t="shared" si="1057"/>
        <v>0</v>
      </c>
      <c r="AY175" s="4420">
        <f t="shared" si="1057"/>
        <v>0</v>
      </c>
      <c r="AZ175" s="4420">
        <f t="shared" si="1057"/>
        <v>0</v>
      </c>
      <c r="BA175" s="4420">
        <f t="shared" si="1057"/>
        <v>5.22628</v>
      </c>
      <c r="BB175" s="4420">
        <f t="shared" si="1057"/>
        <v>5.2178899999999997</v>
      </c>
      <c r="BC175" s="4420">
        <f t="shared" si="1057"/>
        <v>8.3899999999999999E-3</v>
      </c>
      <c r="BD175" s="4460">
        <f t="shared" si="1057"/>
        <v>47.422219461447355</v>
      </c>
      <c r="BE175" s="4460">
        <f t="shared" si="1058"/>
        <v>47.295469461447354</v>
      </c>
      <c r="BF175" s="4460">
        <f t="shared" si="1058"/>
        <v>0.12675</v>
      </c>
      <c r="BG175" s="4461">
        <f t="shared" si="1058"/>
        <v>20.574670000000001</v>
      </c>
      <c r="BH175" s="4461">
        <f t="shared" si="1058"/>
        <v>20.530440000000002</v>
      </c>
      <c r="BI175" s="4461">
        <f t="shared" si="1058"/>
        <v>4.4229999999999998E-2</v>
      </c>
      <c r="BJ175" s="4435">
        <f t="shared" si="1027"/>
        <v>-26.847549461447354</v>
      </c>
      <c r="BK175" s="4435">
        <f t="shared" si="1027"/>
        <v>-26.765029461447352</v>
      </c>
      <c r="BL175" s="4435">
        <f t="shared" si="1027"/>
        <v>-8.252000000000001E-2</v>
      </c>
      <c r="BM175" s="4419">
        <f t="shared" si="1063"/>
        <v>15.807406487149116</v>
      </c>
      <c r="BN175" s="4419">
        <f t="shared" si="1063"/>
        <v>15.765156487149117</v>
      </c>
      <c r="BO175" s="4419">
        <f t="shared" si="1063"/>
        <v>4.2250000000000003E-2</v>
      </c>
      <c r="BP175" s="4420">
        <f t="shared" si="1063"/>
        <v>0</v>
      </c>
      <c r="BQ175" s="4420">
        <f t="shared" si="1063"/>
        <v>0</v>
      </c>
      <c r="BR175" s="4420">
        <f t="shared" si="1063"/>
        <v>0</v>
      </c>
      <c r="BS175" s="4420">
        <f t="shared" si="1063"/>
        <v>0</v>
      </c>
      <c r="BT175" s="4420">
        <f t="shared" si="1063"/>
        <v>0</v>
      </c>
      <c r="BU175" s="4420">
        <f t="shared" si="1063"/>
        <v>0</v>
      </c>
      <c r="BV175" s="4420">
        <f t="shared" si="1063"/>
        <v>0</v>
      </c>
      <c r="BW175" s="4420">
        <f t="shared" si="1063"/>
        <v>0</v>
      </c>
      <c r="BX175" s="4420">
        <f t="shared" si="1063"/>
        <v>0</v>
      </c>
      <c r="BY175" s="4420">
        <f t="shared" si="1063"/>
        <v>0</v>
      </c>
      <c r="BZ175" s="4420">
        <f t="shared" si="1063"/>
        <v>0</v>
      </c>
      <c r="CA175" s="4420">
        <f t="shared" si="1063"/>
        <v>0</v>
      </c>
      <c r="CB175" s="4460">
        <f t="shared" si="1063"/>
        <v>63.229625948596464</v>
      </c>
      <c r="CC175" s="4460">
        <f t="shared" si="1063"/>
        <v>63.060625948596467</v>
      </c>
      <c r="CD175" s="4460">
        <f t="shared" si="1063"/>
        <v>0.16900000000000001</v>
      </c>
      <c r="CE175" s="4461">
        <f t="shared" si="1063"/>
        <v>20.574670000000001</v>
      </c>
      <c r="CF175" s="4461">
        <f t="shared" si="1063"/>
        <v>20.530440000000002</v>
      </c>
      <c r="CG175" s="4461">
        <f t="shared" si="1063"/>
        <v>4.4229999999999998E-2</v>
      </c>
      <c r="CH175" s="4435">
        <f t="shared" si="1029"/>
        <v>-42.654955948596466</v>
      </c>
      <c r="CI175" s="4435">
        <f t="shared" si="1029"/>
        <v>-42.530185948596468</v>
      </c>
      <c r="CJ175" s="4435">
        <f t="shared" si="1029"/>
        <v>-0.12477000000000002</v>
      </c>
    </row>
    <row r="176" spans="1:88" ht="18.75" customHeight="1" x14ac:dyDescent="0.3">
      <c r="A176" s="4408" t="s">
        <v>3709</v>
      </c>
      <c r="B176" s="4419">
        <f t="shared" si="1065"/>
        <v>475.53829172739626</v>
      </c>
      <c r="C176" s="4419">
        <f t="shared" si="1065"/>
        <v>461.53204172739623</v>
      </c>
      <c r="D176" s="4419">
        <f t="shared" si="1065"/>
        <v>14.006250000000001</v>
      </c>
      <c r="E176" s="4419">
        <f t="shared" si="1065"/>
        <v>331.70526000000001</v>
      </c>
      <c r="F176" s="4420">
        <f t="shared" si="1065"/>
        <v>330.88900000000001</v>
      </c>
      <c r="G176" s="4420">
        <f t="shared" si="1065"/>
        <v>0.81625999999999999</v>
      </c>
      <c r="H176" s="4420">
        <f t="shared" si="1065"/>
        <v>280.27050000000003</v>
      </c>
      <c r="I176" s="4420">
        <f t="shared" si="1065"/>
        <v>279.55930000000001</v>
      </c>
      <c r="J176" s="4420">
        <f t="shared" si="1065"/>
        <v>0.71120000000000005</v>
      </c>
      <c r="K176" s="4420">
        <f t="shared" si="1065"/>
        <v>365.07040000000001</v>
      </c>
      <c r="L176" s="4420">
        <f t="shared" si="1065"/>
        <v>363.99</v>
      </c>
      <c r="M176" s="4420">
        <f t="shared" si="1065"/>
        <v>1.0804</v>
      </c>
      <c r="N176" s="4420">
        <f t="shared" si="1065"/>
        <v>977.04615999999999</v>
      </c>
      <c r="O176" s="4420">
        <f t="shared" si="1065"/>
        <v>974.43830000000003</v>
      </c>
      <c r="P176" s="4420">
        <f t="shared" si="1065"/>
        <v>2.6078600000000001</v>
      </c>
      <c r="Q176" s="4419">
        <f t="shared" si="1065"/>
        <v>475.53829172739626</v>
      </c>
      <c r="R176" s="4419">
        <f t="shared" si="1065"/>
        <v>461.53204172739623</v>
      </c>
      <c r="S176" s="4419">
        <f t="shared" si="1065"/>
        <v>14.006250000000001</v>
      </c>
      <c r="T176" s="4420">
        <f t="shared" si="1065"/>
        <v>323.01357999999999</v>
      </c>
      <c r="U176" s="4420">
        <f t="shared" si="1065"/>
        <v>322.38675999999998</v>
      </c>
      <c r="V176" s="4420">
        <f t="shared" si="1065"/>
        <v>0.62682000000000004</v>
      </c>
      <c r="W176" s="4420">
        <f t="shared" si="1065"/>
        <v>402.65348</v>
      </c>
      <c r="X176" s="4420">
        <f t="shared" si="1065"/>
        <v>401.64699999999999</v>
      </c>
      <c r="Y176" s="4420">
        <f t="shared" si="1065"/>
        <v>1.00648</v>
      </c>
      <c r="Z176" s="4420">
        <f t="shared" si="1065"/>
        <v>369.96813999999995</v>
      </c>
      <c r="AA176" s="4420">
        <f t="shared" si="1065"/>
        <v>368.82423999999997</v>
      </c>
      <c r="AB176" s="4420">
        <f t="shared" si="1065"/>
        <v>1.1438999999999999</v>
      </c>
      <c r="AC176" s="4420">
        <f t="shared" si="1065"/>
        <v>1095.6351999999999</v>
      </c>
      <c r="AD176" s="4420">
        <f t="shared" si="1065"/>
        <v>1092.8579999999999</v>
      </c>
      <c r="AE176" s="4420">
        <f t="shared" si="1065"/>
        <v>2.7772000000000001</v>
      </c>
      <c r="AF176" s="4460">
        <f t="shared" si="1065"/>
        <v>951.07658345479251</v>
      </c>
      <c r="AG176" s="4460">
        <f t="shared" si="1065"/>
        <v>923.06408345479247</v>
      </c>
      <c r="AH176" s="4460">
        <f t="shared" si="1065"/>
        <v>28.012500000000003</v>
      </c>
      <c r="AI176" s="4461">
        <f t="shared" si="1065"/>
        <v>2072.68136</v>
      </c>
      <c r="AJ176" s="4461">
        <f t="shared" si="1065"/>
        <v>2067.2963</v>
      </c>
      <c r="AK176" s="4461">
        <f t="shared" si="1065"/>
        <v>5.3850600000000002</v>
      </c>
      <c r="AL176" s="4435">
        <f t="shared" si="1031"/>
        <v>1121.6047765452076</v>
      </c>
      <c r="AM176" s="4435">
        <f t="shared" si="1031"/>
        <v>1144.2322165452074</v>
      </c>
      <c r="AN176" s="4435">
        <f t="shared" si="1031"/>
        <v>-22.627440000000004</v>
      </c>
      <c r="AO176" s="4419">
        <f t="shared" si="1062"/>
        <v>475.53829172739626</v>
      </c>
      <c r="AP176" s="4419">
        <f t="shared" si="1057"/>
        <v>461.53204172739623</v>
      </c>
      <c r="AQ176" s="4419">
        <f t="shared" si="1057"/>
        <v>14.006250000000001</v>
      </c>
      <c r="AR176" s="4420">
        <f t="shared" si="1057"/>
        <v>332.00443999999999</v>
      </c>
      <c r="AS176" s="4420">
        <f t="shared" si="1057"/>
        <v>331.471</v>
      </c>
      <c r="AT176" s="4420">
        <f t="shared" si="1057"/>
        <v>0.53344000000000003</v>
      </c>
      <c r="AU176" s="4420">
        <f t="shared" si="1057"/>
        <v>0</v>
      </c>
      <c r="AV176" s="4420">
        <f t="shared" si="1057"/>
        <v>0</v>
      </c>
      <c r="AW176" s="4420">
        <f t="shared" si="1057"/>
        <v>0</v>
      </c>
      <c r="AX176" s="4420">
        <f t="shared" si="1057"/>
        <v>0</v>
      </c>
      <c r="AY176" s="4420">
        <f t="shared" si="1057"/>
        <v>0</v>
      </c>
      <c r="AZ176" s="4420">
        <f t="shared" si="1057"/>
        <v>0</v>
      </c>
      <c r="BA176" s="4420">
        <f t="shared" si="1057"/>
        <v>332.00443999999999</v>
      </c>
      <c r="BB176" s="4420">
        <f t="shared" si="1057"/>
        <v>331.471</v>
      </c>
      <c r="BC176" s="4420">
        <f t="shared" si="1057"/>
        <v>0.53344000000000003</v>
      </c>
      <c r="BD176" s="4460">
        <f t="shared" si="1057"/>
        <v>1426.6148751821886</v>
      </c>
      <c r="BE176" s="4460">
        <f t="shared" si="1058"/>
        <v>1384.5961251821886</v>
      </c>
      <c r="BF176" s="4460">
        <f t="shared" si="1058"/>
        <v>42.018750000000004</v>
      </c>
      <c r="BG176" s="4461">
        <f t="shared" si="1058"/>
        <v>2404.6858000000002</v>
      </c>
      <c r="BH176" s="4461">
        <f t="shared" si="1058"/>
        <v>2398.7673</v>
      </c>
      <c r="BI176" s="4461">
        <f t="shared" si="1058"/>
        <v>5.9184999999999999</v>
      </c>
      <c r="BJ176" s="4435">
        <f t="shared" si="1027"/>
        <v>978.0709248178116</v>
      </c>
      <c r="BK176" s="4435">
        <f t="shared" si="1027"/>
        <v>1014.1711748178113</v>
      </c>
      <c r="BL176" s="4435">
        <f t="shared" si="1027"/>
        <v>-36.100250000000003</v>
      </c>
      <c r="BM176" s="4419">
        <f t="shared" si="1063"/>
        <v>475.53829172739626</v>
      </c>
      <c r="BN176" s="4419">
        <f t="shared" si="1063"/>
        <v>461.53204172739623</v>
      </c>
      <c r="BO176" s="4419">
        <f t="shared" si="1063"/>
        <v>14.006250000000001</v>
      </c>
      <c r="BP176" s="4420">
        <f t="shared" si="1063"/>
        <v>0</v>
      </c>
      <c r="BQ176" s="4420">
        <f t="shared" si="1063"/>
        <v>0</v>
      </c>
      <c r="BR176" s="4420">
        <f t="shared" si="1063"/>
        <v>0</v>
      </c>
      <c r="BS176" s="4420">
        <f t="shared" si="1063"/>
        <v>0</v>
      </c>
      <c r="BT176" s="4420">
        <f t="shared" si="1063"/>
        <v>0</v>
      </c>
      <c r="BU176" s="4420">
        <f t="shared" si="1063"/>
        <v>0</v>
      </c>
      <c r="BV176" s="4420">
        <f t="shared" si="1063"/>
        <v>0</v>
      </c>
      <c r="BW176" s="4420">
        <f t="shared" si="1063"/>
        <v>0</v>
      </c>
      <c r="BX176" s="4420">
        <f t="shared" si="1063"/>
        <v>0</v>
      </c>
      <c r="BY176" s="4420">
        <f t="shared" si="1063"/>
        <v>0</v>
      </c>
      <c r="BZ176" s="4420">
        <f t="shared" si="1063"/>
        <v>0</v>
      </c>
      <c r="CA176" s="4420">
        <f t="shared" si="1063"/>
        <v>0</v>
      </c>
      <c r="CB176" s="4460">
        <f t="shared" si="1063"/>
        <v>1902.153166909585</v>
      </c>
      <c r="CC176" s="4460">
        <f t="shared" si="1063"/>
        <v>1846.1281669095849</v>
      </c>
      <c r="CD176" s="4460">
        <f t="shared" si="1063"/>
        <v>56.025000000000006</v>
      </c>
      <c r="CE176" s="4461">
        <f t="shared" si="1063"/>
        <v>2404.6858000000002</v>
      </c>
      <c r="CF176" s="4461">
        <f t="shared" si="1063"/>
        <v>2398.7673</v>
      </c>
      <c r="CG176" s="4461">
        <f t="shared" si="1063"/>
        <v>5.9184999999999999</v>
      </c>
      <c r="CH176" s="4435">
        <f t="shared" si="1029"/>
        <v>502.53263309041517</v>
      </c>
      <c r="CI176" s="4435">
        <f t="shared" si="1029"/>
        <v>552.63913309041504</v>
      </c>
      <c r="CJ176" s="4435">
        <f t="shared" si="1029"/>
        <v>-50.106500000000004</v>
      </c>
    </row>
    <row r="177" spans="1:90" ht="18.75" customHeight="1" x14ac:dyDescent="0.3">
      <c r="A177" s="4396" t="s">
        <v>504</v>
      </c>
      <c r="B177" s="4419">
        <f t="shared" si="1065"/>
        <v>0</v>
      </c>
      <c r="C177" s="4419">
        <f t="shared" si="1065"/>
        <v>0</v>
      </c>
      <c r="D177" s="4419">
        <f t="shared" si="1065"/>
        <v>0</v>
      </c>
      <c r="E177" s="4419">
        <f t="shared" si="1065"/>
        <v>0</v>
      </c>
      <c r="F177" s="4420">
        <f t="shared" si="1065"/>
        <v>0</v>
      </c>
      <c r="G177" s="4420">
        <f t="shared" si="1065"/>
        <v>0</v>
      </c>
      <c r="H177" s="4420">
        <f t="shared" si="1065"/>
        <v>0</v>
      </c>
      <c r="I177" s="4420">
        <f t="shared" si="1065"/>
        <v>0</v>
      </c>
      <c r="J177" s="4420">
        <f t="shared" si="1065"/>
        <v>0</v>
      </c>
      <c r="K177" s="4420">
        <f t="shared" si="1065"/>
        <v>0</v>
      </c>
      <c r="L177" s="4420">
        <f t="shared" si="1065"/>
        <v>0</v>
      </c>
      <c r="M177" s="4420">
        <f t="shared" si="1065"/>
        <v>0</v>
      </c>
      <c r="N177" s="4420">
        <f t="shared" si="1065"/>
        <v>0</v>
      </c>
      <c r="O177" s="4420">
        <f t="shared" si="1065"/>
        <v>0</v>
      </c>
      <c r="P177" s="4420">
        <f t="shared" si="1065"/>
        <v>0</v>
      </c>
      <c r="Q177" s="4419">
        <f t="shared" si="1065"/>
        <v>0</v>
      </c>
      <c r="R177" s="4419">
        <f t="shared" si="1065"/>
        <v>0</v>
      </c>
      <c r="S177" s="4419">
        <f t="shared" si="1065"/>
        <v>0</v>
      </c>
      <c r="T177" s="4420">
        <f t="shared" si="1065"/>
        <v>0</v>
      </c>
      <c r="U177" s="4420">
        <f t="shared" si="1065"/>
        <v>0</v>
      </c>
      <c r="V177" s="4420">
        <f t="shared" si="1065"/>
        <v>0</v>
      </c>
      <c r="W177" s="4420">
        <f t="shared" si="1065"/>
        <v>0</v>
      </c>
      <c r="X177" s="4420">
        <f t="shared" si="1065"/>
        <v>0</v>
      </c>
      <c r="Y177" s="4420">
        <f t="shared" si="1065"/>
        <v>0</v>
      </c>
      <c r="Z177" s="4420">
        <f t="shared" si="1065"/>
        <v>0</v>
      </c>
      <c r="AA177" s="4420">
        <f t="shared" si="1065"/>
        <v>0</v>
      </c>
      <c r="AB177" s="4420">
        <f t="shared" si="1065"/>
        <v>0</v>
      </c>
      <c r="AC177" s="4420">
        <f t="shared" si="1065"/>
        <v>0</v>
      </c>
      <c r="AD177" s="4420">
        <f t="shared" si="1065"/>
        <v>0</v>
      </c>
      <c r="AE177" s="4420">
        <f t="shared" si="1065"/>
        <v>0</v>
      </c>
      <c r="AF177" s="4460">
        <f t="shared" si="1065"/>
        <v>0</v>
      </c>
      <c r="AG177" s="4460">
        <f t="shared" si="1065"/>
        <v>0</v>
      </c>
      <c r="AH177" s="4460">
        <f t="shared" si="1065"/>
        <v>0</v>
      </c>
      <c r="AI177" s="4461">
        <f t="shared" si="1065"/>
        <v>0</v>
      </c>
      <c r="AJ177" s="4461">
        <f t="shared" si="1065"/>
        <v>0</v>
      </c>
      <c r="AK177" s="4461">
        <f t="shared" si="1065"/>
        <v>0</v>
      </c>
      <c r="AL177" s="4434">
        <f t="shared" si="1031"/>
        <v>0</v>
      </c>
      <c r="AM177" s="4434">
        <f t="shared" si="1031"/>
        <v>0</v>
      </c>
      <c r="AN177" s="4434">
        <f t="shared" si="1031"/>
        <v>0</v>
      </c>
      <c r="AO177" s="4419">
        <f t="shared" si="1062"/>
        <v>0</v>
      </c>
      <c r="AP177" s="4419">
        <f t="shared" si="1057"/>
        <v>0</v>
      </c>
      <c r="AQ177" s="4419">
        <f t="shared" si="1057"/>
        <v>0</v>
      </c>
      <c r="AR177" s="4420">
        <f t="shared" si="1057"/>
        <v>0</v>
      </c>
      <c r="AS177" s="4420">
        <f t="shared" si="1057"/>
        <v>0</v>
      </c>
      <c r="AT177" s="4420">
        <f t="shared" si="1057"/>
        <v>0</v>
      </c>
      <c r="AU177" s="4420">
        <f t="shared" si="1057"/>
        <v>0</v>
      </c>
      <c r="AV177" s="4420">
        <f t="shared" si="1057"/>
        <v>0</v>
      </c>
      <c r="AW177" s="4420">
        <f t="shared" si="1057"/>
        <v>0</v>
      </c>
      <c r="AX177" s="4420">
        <f t="shared" si="1057"/>
        <v>0</v>
      </c>
      <c r="AY177" s="4420">
        <f t="shared" si="1057"/>
        <v>0</v>
      </c>
      <c r="AZ177" s="4420">
        <f t="shared" si="1057"/>
        <v>0</v>
      </c>
      <c r="BA177" s="4420">
        <f t="shared" si="1057"/>
        <v>0</v>
      </c>
      <c r="BB177" s="4420">
        <f t="shared" si="1057"/>
        <v>0</v>
      </c>
      <c r="BC177" s="4420">
        <f t="shared" si="1057"/>
        <v>0</v>
      </c>
      <c r="BD177" s="4460">
        <f t="shared" si="1057"/>
        <v>0</v>
      </c>
      <c r="BE177" s="4460">
        <f t="shared" si="1058"/>
        <v>0</v>
      </c>
      <c r="BF177" s="4460">
        <f t="shared" si="1058"/>
        <v>0</v>
      </c>
      <c r="BG177" s="4461">
        <f t="shared" si="1058"/>
        <v>0</v>
      </c>
      <c r="BH177" s="4461">
        <f t="shared" si="1058"/>
        <v>0</v>
      </c>
      <c r="BI177" s="4461">
        <f t="shared" si="1058"/>
        <v>0</v>
      </c>
      <c r="BJ177" s="4434">
        <f t="shared" si="1027"/>
        <v>0</v>
      </c>
      <c r="BK177" s="4434">
        <f t="shared" si="1027"/>
        <v>0</v>
      </c>
      <c r="BL177" s="4434">
        <f t="shared" si="1027"/>
        <v>0</v>
      </c>
      <c r="BM177" s="4419">
        <f t="shared" si="1063"/>
        <v>0</v>
      </c>
      <c r="BN177" s="4419">
        <f t="shared" si="1063"/>
        <v>0</v>
      </c>
      <c r="BO177" s="4419">
        <f t="shared" si="1063"/>
        <v>0</v>
      </c>
      <c r="BP177" s="4420">
        <f t="shared" si="1063"/>
        <v>0</v>
      </c>
      <c r="BQ177" s="4420">
        <f t="shared" si="1063"/>
        <v>0</v>
      </c>
      <c r="BR177" s="4420">
        <f t="shared" si="1063"/>
        <v>0</v>
      </c>
      <c r="BS177" s="4420">
        <f t="shared" si="1063"/>
        <v>0</v>
      </c>
      <c r="BT177" s="4420">
        <f t="shared" si="1063"/>
        <v>0</v>
      </c>
      <c r="BU177" s="4420">
        <f t="shared" si="1063"/>
        <v>0</v>
      </c>
      <c r="BV177" s="4420">
        <f t="shared" si="1063"/>
        <v>0</v>
      </c>
      <c r="BW177" s="4420">
        <f t="shared" si="1063"/>
        <v>0</v>
      </c>
      <c r="BX177" s="4420">
        <f t="shared" si="1063"/>
        <v>0</v>
      </c>
      <c r="BY177" s="4420">
        <f t="shared" si="1063"/>
        <v>0</v>
      </c>
      <c r="BZ177" s="4420">
        <f t="shared" si="1063"/>
        <v>0</v>
      </c>
      <c r="CA177" s="4420">
        <f t="shared" si="1063"/>
        <v>0</v>
      </c>
      <c r="CB177" s="4460">
        <f t="shared" si="1063"/>
        <v>0</v>
      </c>
      <c r="CC177" s="4460">
        <f t="shared" si="1063"/>
        <v>0</v>
      </c>
      <c r="CD177" s="4460">
        <f t="shared" si="1063"/>
        <v>0</v>
      </c>
      <c r="CE177" s="4461">
        <f t="shared" si="1063"/>
        <v>0</v>
      </c>
      <c r="CF177" s="4461">
        <f t="shared" si="1063"/>
        <v>0</v>
      </c>
      <c r="CG177" s="4461">
        <f t="shared" si="1063"/>
        <v>0</v>
      </c>
      <c r="CH177" s="4434">
        <f t="shared" si="1029"/>
        <v>0</v>
      </c>
      <c r="CI177" s="4434">
        <f t="shared" si="1029"/>
        <v>0</v>
      </c>
      <c r="CJ177" s="4434">
        <f t="shared" si="1029"/>
        <v>0</v>
      </c>
    </row>
    <row r="178" spans="1:90" ht="18.75" customHeight="1" x14ac:dyDescent="0.3">
      <c r="A178" s="4381" t="s">
        <v>3711</v>
      </c>
      <c r="B178" s="4447">
        <f t="shared" si="1065"/>
        <v>0</v>
      </c>
      <c r="C178" s="4447">
        <f t="shared" si="1065"/>
        <v>0</v>
      </c>
      <c r="D178" s="4447">
        <f t="shared" si="1065"/>
        <v>0</v>
      </c>
      <c r="E178" s="4447">
        <f t="shared" si="1065"/>
        <v>0</v>
      </c>
      <c r="F178" s="4442">
        <f t="shared" si="1065"/>
        <v>0</v>
      </c>
      <c r="G178" s="4442">
        <f t="shared" si="1065"/>
        <v>0</v>
      </c>
      <c r="H178" s="4442">
        <f t="shared" si="1065"/>
        <v>0</v>
      </c>
      <c r="I178" s="4442">
        <f t="shared" si="1065"/>
        <v>0</v>
      </c>
      <c r="J178" s="4442">
        <f t="shared" si="1065"/>
        <v>0</v>
      </c>
      <c r="K178" s="4442">
        <f t="shared" si="1065"/>
        <v>0</v>
      </c>
      <c r="L178" s="4442">
        <f t="shared" si="1065"/>
        <v>0</v>
      </c>
      <c r="M178" s="4442">
        <f t="shared" si="1065"/>
        <v>0</v>
      </c>
      <c r="N178" s="4442">
        <f t="shared" si="1065"/>
        <v>0</v>
      </c>
      <c r="O178" s="4442">
        <f t="shared" si="1065"/>
        <v>0</v>
      </c>
      <c r="P178" s="4442">
        <f t="shared" si="1065"/>
        <v>0</v>
      </c>
      <c r="Q178" s="4447">
        <f t="shared" si="1065"/>
        <v>0</v>
      </c>
      <c r="R178" s="4447">
        <f t="shared" si="1065"/>
        <v>0</v>
      </c>
      <c r="S178" s="4447">
        <f t="shared" si="1065"/>
        <v>0</v>
      </c>
      <c r="T178" s="4442">
        <f t="shared" si="1065"/>
        <v>0</v>
      </c>
      <c r="U178" s="4442">
        <f t="shared" si="1065"/>
        <v>0</v>
      </c>
      <c r="V178" s="4442">
        <f t="shared" si="1065"/>
        <v>0</v>
      </c>
      <c r="W178" s="4442">
        <f t="shared" si="1065"/>
        <v>0</v>
      </c>
      <c r="X178" s="4442">
        <f t="shared" si="1065"/>
        <v>0</v>
      </c>
      <c r="Y178" s="4442">
        <f t="shared" si="1065"/>
        <v>0</v>
      </c>
      <c r="Z178" s="4442">
        <f t="shared" si="1065"/>
        <v>0</v>
      </c>
      <c r="AA178" s="4442">
        <f t="shared" si="1065"/>
        <v>0</v>
      </c>
      <c r="AB178" s="4442">
        <f t="shared" si="1065"/>
        <v>0</v>
      </c>
      <c r="AC178" s="4442">
        <f t="shared" si="1065"/>
        <v>0</v>
      </c>
      <c r="AD178" s="4442">
        <f t="shared" si="1065"/>
        <v>0</v>
      </c>
      <c r="AE178" s="4442">
        <f t="shared" si="1065"/>
        <v>0</v>
      </c>
      <c r="AF178" s="4448">
        <f t="shared" si="1065"/>
        <v>0</v>
      </c>
      <c r="AG178" s="4448">
        <f t="shared" si="1065"/>
        <v>0</v>
      </c>
      <c r="AH178" s="4448">
        <f t="shared" si="1065"/>
        <v>0</v>
      </c>
      <c r="AI178" s="4459">
        <f t="shared" si="1065"/>
        <v>0</v>
      </c>
      <c r="AJ178" s="4459">
        <f t="shared" si="1065"/>
        <v>0</v>
      </c>
      <c r="AK178" s="4459">
        <f t="shared" si="1065"/>
        <v>0</v>
      </c>
      <c r="AL178" s="4434">
        <f t="shared" si="1031"/>
        <v>0</v>
      </c>
      <c r="AM178" s="4434">
        <f t="shared" si="1031"/>
        <v>0</v>
      </c>
      <c r="AN178" s="4434">
        <f t="shared" si="1031"/>
        <v>0</v>
      </c>
      <c r="AO178" s="4447">
        <f t="shared" si="1062"/>
        <v>0</v>
      </c>
      <c r="AP178" s="4447">
        <f t="shared" si="1057"/>
        <v>0</v>
      </c>
      <c r="AQ178" s="4447">
        <f t="shared" si="1057"/>
        <v>0</v>
      </c>
      <c r="AR178" s="4442">
        <f t="shared" si="1057"/>
        <v>0</v>
      </c>
      <c r="AS178" s="4442">
        <f t="shared" si="1057"/>
        <v>0</v>
      </c>
      <c r="AT178" s="4442">
        <f t="shared" si="1057"/>
        <v>0</v>
      </c>
      <c r="AU178" s="4442">
        <f t="shared" si="1057"/>
        <v>0</v>
      </c>
      <c r="AV178" s="4442">
        <f t="shared" si="1057"/>
        <v>0</v>
      </c>
      <c r="AW178" s="4442">
        <f t="shared" si="1057"/>
        <v>0</v>
      </c>
      <c r="AX178" s="4442">
        <f t="shared" si="1057"/>
        <v>0</v>
      </c>
      <c r="AY178" s="4442">
        <f t="shared" si="1057"/>
        <v>0</v>
      </c>
      <c r="AZ178" s="4442">
        <f t="shared" si="1057"/>
        <v>0</v>
      </c>
      <c r="BA178" s="4442">
        <f t="shared" si="1057"/>
        <v>0</v>
      </c>
      <c r="BB178" s="4442">
        <f t="shared" si="1057"/>
        <v>0</v>
      </c>
      <c r="BC178" s="4442">
        <f t="shared" si="1057"/>
        <v>0</v>
      </c>
      <c r="BD178" s="4448">
        <f t="shared" si="1057"/>
        <v>0</v>
      </c>
      <c r="BE178" s="4448">
        <f t="shared" si="1058"/>
        <v>0</v>
      </c>
      <c r="BF178" s="4448">
        <f t="shared" si="1058"/>
        <v>0</v>
      </c>
      <c r="BG178" s="4459">
        <f t="shared" si="1058"/>
        <v>0</v>
      </c>
      <c r="BH178" s="4459">
        <f t="shared" si="1058"/>
        <v>0</v>
      </c>
      <c r="BI178" s="4459">
        <f t="shared" si="1058"/>
        <v>0</v>
      </c>
      <c r="BJ178" s="4434">
        <f t="shared" si="1027"/>
        <v>0</v>
      </c>
      <c r="BK178" s="4434">
        <f t="shared" si="1027"/>
        <v>0</v>
      </c>
      <c r="BL178" s="4434">
        <f t="shared" si="1027"/>
        <v>0</v>
      </c>
      <c r="BM178" s="4447">
        <f t="shared" si="1063"/>
        <v>0</v>
      </c>
      <c r="BN178" s="4447">
        <f t="shared" si="1063"/>
        <v>0</v>
      </c>
      <c r="BO178" s="4447">
        <f t="shared" si="1063"/>
        <v>0</v>
      </c>
      <c r="BP178" s="4442">
        <f t="shared" si="1063"/>
        <v>0</v>
      </c>
      <c r="BQ178" s="4442">
        <f t="shared" si="1063"/>
        <v>0</v>
      </c>
      <c r="BR178" s="4442">
        <f t="shared" si="1063"/>
        <v>0</v>
      </c>
      <c r="BS178" s="4442">
        <f t="shared" si="1063"/>
        <v>0</v>
      </c>
      <c r="BT178" s="4442">
        <f t="shared" si="1063"/>
        <v>0</v>
      </c>
      <c r="BU178" s="4442">
        <f t="shared" si="1063"/>
        <v>0</v>
      </c>
      <c r="BV178" s="4442">
        <f t="shared" si="1063"/>
        <v>0</v>
      </c>
      <c r="BW178" s="4442">
        <f t="shared" si="1063"/>
        <v>0</v>
      </c>
      <c r="BX178" s="4442">
        <f t="shared" si="1063"/>
        <v>0</v>
      </c>
      <c r="BY178" s="4442">
        <f t="shared" si="1063"/>
        <v>0</v>
      </c>
      <c r="BZ178" s="4442">
        <f t="shared" si="1063"/>
        <v>0</v>
      </c>
      <c r="CA178" s="4442">
        <f t="shared" si="1063"/>
        <v>0</v>
      </c>
      <c r="CB178" s="4448">
        <f t="shared" si="1063"/>
        <v>0</v>
      </c>
      <c r="CC178" s="4448">
        <f t="shared" si="1063"/>
        <v>0</v>
      </c>
      <c r="CD178" s="4448">
        <f t="shared" si="1063"/>
        <v>0</v>
      </c>
      <c r="CE178" s="4459">
        <f t="shared" si="1063"/>
        <v>0</v>
      </c>
      <c r="CF178" s="4459">
        <f t="shared" si="1063"/>
        <v>0</v>
      </c>
      <c r="CG178" s="4459">
        <f t="shared" si="1063"/>
        <v>0</v>
      </c>
      <c r="CH178" s="4434">
        <f t="shared" si="1029"/>
        <v>0</v>
      </c>
      <c r="CI178" s="4434">
        <f t="shared" si="1029"/>
        <v>0</v>
      </c>
      <c r="CJ178" s="4434">
        <f t="shared" si="1029"/>
        <v>0</v>
      </c>
    </row>
    <row r="179" spans="1:90" ht="18.75" customHeight="1" x14ac:dyDescent="0.3">
      <c r="A179" s="4389" t="s">
        <v>3920</v>
      </c>
      <c r="B179" s="4447">
        <f t="shared" si="1065"/>
        <v>103.39</v>
      </c>
      <c r="C179" s="4447">
        <f t="shared" si="1065"/>
        <v>103.39</v>
      </c>
      <c r="D179" s="4447">
        <f t="shared" si="1065"/>
        <v>0</v>
      </c>
      <c r="E179" s="4447">
        <f t="shared" si="1065"/>
        <v>0</v>
      </c>
      <c r="F179" s="4442">
        <f t="shared" si="1065"/>
        <v>0</v>
      </c>
      <c r="G179" s="4442">
        <f t="shared" si="1065"/>
        <v>0</v>
      </c>
      <c r="H179" s="4442">
        <f t="shared" si="1065"/>
        <v>0</v>
      </c>
      <c r="I179" s="4442">
        <f t="shared" si="1065"/>
        <v>0</v>
      </c>
      <c r="J179" s="4442">
        <f t="shared" si="1065"/>
        <v>0</v>
      </c>
      <c r="K179" s="4442">
        <f t="shared" si="1065"/>
        <v>0</v>
      </c>
      <c r="L179" s="4442">
        <f t="shared" si="1065"/>
        <v>0</v>
      </c>
      <c r="M179" s="4442">
        <f t="shared" si="1065"/>
        <v>0</v>
      </c>
      <c r="N179" s="4442">
        <f t="shared" si="1065"/>
        <v>0</v>
      </c>
      <c r="O179" s="4442">
        <f t="shared" si="1065"/>
        <v>0</v>
      </c>
      <c r="P179" s="4442">
        <f t="shared" si="1065"/>
        <v>0</v>
      </c>
      <c r="Q179" s="4447">
        <f t="shared" si="1065"/>
        <v>103.39</v>
      </c>
      <c r="R179" s="4447">
        <f t="shared" si="1065"/>
        <v>103.39</v>
      </c>
      <c r="S179" s="4447">
        <f t="shared" si="1065"/>
        <v>0</v>
      </c>
      <c r="T179" s="4442">
        <f t="shared" si="1065"/>
        <v>0</v>
      </c>
      <c r="U179" s="4442">
        <f t="shared" si="1065"/>
        <v>0</v>
      </c>
      <c r="V179" s="4442">
        <f t="shared" si="1065"/>
        <v>0</v>
      </c>
      <c r="W179" s="4442">
        <f t="shared" si="1065"/>
        <v>0</v>
      </c>
      <c r="X179" s="4442">
        <f t="shared" si="1065"/>
        <v>0</v>
      </c>
      <c r="Y179" s="4442">
        <f t="shared" si="1065"/>
        <v>0</v>
      </c>
      <c r="Z179" s="4442">
        <f t="shared" si="1065"/>
        <v>0</v>
      </c>
      <c r="AA179" s="4442">
        <f t="shared" si="1065"/>
        <v>0</v>
      </c>
      <c r="AB179" s="4442">
        <f t="shared" si="1065"/>
        <v>0</v>
      </c>
      <c r="AC179" s="4442">
        <f t="shared" si="1065"/>
        <v>0</v>
      </c>
      <c r="AD179" s="4442">
        <f t="shared" si="1065"/>
        <v>0</v>
      </c>
      <c r="AE179" s="4442">
        <f t="shared" si="1065"/>
        <v>0</v>
      </c>
      <c r="AF179" s="4448">
        <f t="shared" si="1065"/>
        <v>206.78</v>
      </c>
      <c r="AG179" s="4448">
        <f t="shared" si="1065"/>
        <v>206.78</v>
      </c>
      <c r="AH179" s="4448">
        <f t="shared" si="1065"/>
        <v>0</v>
      </c>
      <c r="AI179" s="4459">
        <f t="shared" si="1065"/>
        <v>0</v>
      </c>
      <c r="AJ179" s="4459">
        <f t="shared" si="1065"/>
        <v>0</v>
      </c>
      <c r="AK179" s="4459">
        <f t="shared" si="1065"/>
        <v>0</v>
      </c>
      <c r="AL179" s="4434">
        <f t="shared" ref="AL179:AN180" si="1066">SUM(AI179-AF179)</f>
        <v>-206.78</v>
      </c>
      <c r="AM179" s="4434">
        <f t="shared" si="1066"/>
        <v>-206.78</v>
      </c>
      <c r="AN179" s="4434">
        <f t="shared" si="1066"/>
        <v>0</v>
      </c>
      <c r="AO179" s="4447">
        <f t="shared" si="1062"/>
        <v>103.39</v>
      </c>
      <c r="AP179" s="4447">
        <f t="shared" si="1057"/>
        <v>103.39</v>
      </c>
      <c r="AQ179" s="4447">
        <f t="shared" si="1057"/>
        <v>0</v>
      </c>
      <c r="AR179" s="4442">
        <f t="shared" si="1057"/>
        <v>0</v>
      </c>
      <c r="AS179" s="4442">
        <f t="shared" si="1057"/>
        <v>0</v>
      </c>
      <c r="AT179" s="4442">
        <f t="shared" si="1057"/>
        <v>0</v>
      </c>
      <c r="AU179" s="4442">
        <f t="shared" si="1057"/>
        <v>0</v>
      </c>
      <c r="AV179" s="4442">
        <f t="shared" si="1057"/>
        <v>0</v>
      </c>
      <c r="AW179" s="4442">
        <f t="shared" si="1057"/>
        <v>0</v>
      </c>
      <c r="AX179" s="4442">
        <f t="shared" si="1057"/>
        <v>0</v>
      </c>
      <c r="AY179" s="4442">
        <f t="shared" si="1057"/>
        <v>0</v>
      </c>
      <c r="AZ179" s="4442">
        <f t="shared" si="1057"/>
        <v>0</v>
      </c>
      <c r="BA179" s="4442">
        <f t="shared" si="1057"/>
        <v>0</v>
      </c>
      <c r="BB179" s="4442">
        <f t="shared" si="1057"/>
        <v>0</v>
      </c>
      <c r="BC179" s="4442">
        <f t="shared" si="1057"/>
        <v>0</v>
      </c>
      <c r="BD179" s="4448">
        <f t="shared" si="1057"/>
        <v>310.17</v>
      </c>
      <c r="BE179" s="4448">
        <f t="shared" si="1058"/>
        <v>310.17</v>
      </c>
      <c r="BF179" s="4448">
        <f t="shared" si="1058"/>
        <v>0</v>
      </c>
      <c r="BG179" s="4459">
        <f t="shared" si="1058"/>
        <v>0</v>
      </c>
      <c r="BH179" s="4459">
        <f t="shared" si="1058"/>
        <v>0</v>
      </c>
      <c r="BI179" s="4459">
        <f t="shared" si="1058"/>
        <v>0</v>
      </c>
      <c r="BJ179" s="4434">
        <f t="shared" si="1027"/>
        <v>-310.17</v>
      </c>
      <c r="BK179" s="4434">
        <f t="shared" si="1027"/>
        <v>-310.17</v>
      </c>
      <c r="BL179" s="4434">
        <f t="shared" si="1027"/>
        <v>0</v>
      </c>
      <c r="BM179" s="4447">
        <f t="shared" si="1063"/>
        <v>103.39</v>
      </c>
      <c r="BN179" s="4447">
        <f t="shared" si="1063"/>
        <v>103.39</v>
      </c>
      <c r="BO179" s="4447">
        <f t="shared" si="1063"/>
        <v>0</v>
      </c>
      <c r="BP179" s="4442">
        <f t="shared" ref="BP179:CG180" si="1067">SUM(BP124)</f>
        <v>0</v>
      </c>
      <c r="BQ179" s="4442">
        <f t="shared" si="1067"/>
        <v>0</v>
      </c>
      <c r="BR179" s="4442">
        <f t="shared" si="1067"/>
        <v>0</v>
      </c>
      <c r="BS179" s="4442">
        <f t="shared" si="1067"/>
        <v>0</v>
      </c>
      <c r="BT179" s="4442">
        <f t="shared" si="1067"/>
        <v>0</v>
      </c>
      <c r="BU179" s="4442">
        <f t="shared" si="1067"/>
        <v>0</v>
      </c>
      <c r="BV179" s="4442">
        <f t="shared" si="1067"/>
        <v>0</v>
      </c>
      <c r="BW179" s="4442">
        <f t="shared" si="1067"/>
        <v>0</v>
      </c>
      <c r="BX179" s="4442">
        <f t="shared" si="1067"/>
        <v>0</v>
      </c>
      <c r="BY179" s="4442">
        <f t="shared" si="1067"/>
        <v>0</v>
      </c>
      <c r="BZ179" s="4442">
        <f t="shared" si="1067"/>
        <v>0</v>
      </c>
      <c r="CA179" s="4442">
        <f t="shared" si="1067"/>
        <v>0</v>
      </c>
      <c r="CB179" s="4448">
        <f t="shared" si="1067"/>
        <v>413.56</v>
      </c>
      <c r="CC179" s="4448">
        <f t="shared" si="1067"/>
        <v>413.56</v>
      </c>
      <c r="CD179" s="4448">
        <f t="shared" si="1067"/>
        <v>0</v>
      </c>
      <c r="CE179" s="4459">
        <f t="shared" si="1067"/>
        <v>0</v>
      </c>
      <c r="CF179" s="4459">
        <f t="shared" si="1067"/>
        <v>0</v>
      </c>
      <c r="CG179" s="4459">
        <f t="shared" si="1067"/>
        <v>0</v>
      </c>
      <c r="CH179" s="4434">
        <f t="shared" si="1029"/>
        <v>-413.56</v>
      </c>
      <c r="CI179" s="4434">
        <f t="shared" si="1029"/>
        <v>-413.56</v>
      </c>
      <c r="CJ179" s="4434">
        <f t="shared" si="1029"/>
        <v>0</v>
      </c>
    </row>
    <row r="180" spans="1:90" ht="18.75" customHeight="1" x14ac:dyDescent="0.3">
      <c r="A180" s="4389" t="s">
        <v>4236</v>
      </c>
      <c r="B180" s="4447">
        <f t="shared" si="1065"/>
        <v>564.95009321399891</v>
      </c>
      <c r="C180" s="4447">
        <f t="shared" si="1065"/>
        <v>564.95009321399891</v>
      </c>
      <c r="D180" s="4447">
        <f t="shared" si="1065"/>
        <v>0</v>
      </c>
      <c r="E180" s="4447">
        <f t="shared" si="1065"/>
        <v>0</v>
      </c>
      <c r="F180" s="4442">
        <f t="shared" si="1065"/>
        <v>0</v>
      </c>
      <c r="G180" s="4442">
        <f t="shared" si="1065"/>
        <v>0</v>
      </c>
      <c r="H180" s="4442">
        <f t="shared" si="1065"/>
        <v>0</v>
      </c>
      <c r="I180" s="4442">
        <f t="shared" si="1065"/>
        <v>0</v>
      </c>
      <c r="J180" s="4442">
        <f t="shared" si="1065"/>
        <v>0</v>
      </c>
      <c r="K180" s="4442">
        <f t="shared" si="1065"/>
        <v>0</v>
      </c>
      <c r="L180" s="4442">
        <f t="shared" si="1065"/>
        <v>0</v>
      </c>
      <c r="M180" s="4442">
        <f t="shared" si="1065"/>
        <v>0</v>
      </c>
      <c r="N180" s="4442">
        <f t="shared" si="1065"/>
        <v>0</v>
      </c>
      <c r="O180" s="4442">
        <f t="shared" si="1065"/>
        <v>0</v>
      </c>
      <c r="P180" s="4442">
        <f t="shared" si="1065"/>
        <v>0</v>
      </c>
      <c r="Q180" s="4447">
        <f t="shared" si="1065"/>
        <v>564.95009321399891</v>
      </c>
      <c r="R180" s="4447">
        <f t="shared" si="1065"/>
        <v>564.95009321399891</v>
      </c>
      <c r="S180" s="4447">
        <f t="shared" si="1065"/>
        <v>0</v>
      </c>
      <c r="T180" s="4442">
        <f t="shared" si="1065"/>
        <v>0</v>
      </c>
      <c r="U180" s="4442">
        <f t="shared" si="1065"/>
        <v>0</v>
      </c>
      <c r="V180" s="4442">
        <f t="shared" si="1065"/>
        <v>0</v>
      </c>
      <c r="W180" s="4442">
        <f t="shared" si="1065"/>
        <v>0</v>
      </c>
      <c r="X180" s="4442">
        <f t="shared" si="1065"/>
        <v>0</v>
      </c>
      <c r="Y180" s="4442">
        <f t="shared" si="1065"/>
        <v>0</v>
      </c>
      <c r="Z180" s="4442">
        <f t="shared" si="1065"/>
        <v>0</v>
      </c>
      <c r="AA180" s="4442">
        <f t="shared" si="1065"/>
        <v>0</v>
      </c>
      <c r="AB180" s="4442">
        <f t="shared" si="1065"/>
        <v>0</v>
      </c>
      <c r="AC180" s="4442">
        <f t="shared" si="1065"/>
        <v>0</v>
      </c>
      <c r="AD180" s="4442">
        <f t="shared" si="1065"/>
        <v>0</v>
      </c>
      <c r="AE180" s="4442">
        <f t="shared" si="1065"/>
        <v>0</v>
      </c>
      <c r="AF180" s="4448">
        <f t="shared" si="1065"/>
        <v>1129.9001864279978</v>
      </c>
      <c r="AG180" s="4448">
        <f t="shared" si="1065"/>
        <v>1129.9001864279978</v>
      </c>
      <c r="AH180" s="4448">
        <f t="shared" si="1065"/>
        <v>0</v>
      </c>
      <c r="AI180" s="4459">
        <f t="shared" si="1065"/>
        <v>0</v>
      </c>
      <c r="AJ180" s="4459">
        <f t="shared" si="1065"/>
        <v>0</v>
      </c>
      <c r="AK180" s="4459">
        <f t="shared" si="1065"/>
        <v>0</v>
      </c>
      <c r="AL180" s="4434">
        <f t="shared" si="1066"/>
        <v>-1129.9001864279978</v>
      </c>
      <c r="AM180" s="4434">
        <f t="shared" si="1066"/>
        <v>-1129.9001864279978</v>
      </c>
      <c r="AN180" s="4434">
        <f t="shared" si="1066"/>
        <v>0</v>
      </c>
      <c r="AO180" s="4447">
        <f t="shared" si="1062"/>
        <v>564.95009321399891</v>
      </c>
      <c r="AP180" s="4447">
        <f t="shared" si="1057"/>
        <v>564.95009321399891</v>
      </c>
      <c r="AQ180" s="4447">
        <f t="shared" si="1057"/>
        <v>0</v>
      </c>
      <c r="AR180" s="4442">
        <f t="shared" si="1057"/>
        <v>0</v>
      </c>
      <c r="AS180" s="4442">
        <f t="shared" si="1057"/>
        <v>0</v>
      </c>
      <c r="AT180" s="4442">
        <f t="shared" si="1057"/>
        <v>0</v>
      </c>
      <c r="AU180" s="4442">
        <f t="shared" si="1057"/>
        <v>0</v>
      </c>
      <c r="AV180" s="4442">
        <f t="shared" si="1057"/>
        <v>0</v>
      </c>
      <c r="AW180" s="4442">
        <f t="shared" si="1057"/>
        <v>0</v>
      </c>
      <c r="AX180" s="4442">
        <f t="shared" si="1057"/>
        <v>0</v>
      </c>
      <c r="AY180" s="4442">
        <f t="shared" si="1057"/>
        <v>0</v>
      </c>
      <c r="AZ180" s="4442">
        <f t="shared" si="1057"/>
        <v>0</v>
      </c>
      <c r="BA180" s="4442">
        <f t="shared" si="1057"/>
        <v>0</v>
      </c>
      <c r="BB180" s="4442">
        <f t="shared" si="1057"/>
        <v>0</v>
      </c>
      <c r="BC180" s="4442">
        <f t="shared" si="1057"/>
        <v>0</v>
      </c>
      <c r="BD180" s="4448">
        <f t="shared" si="1057"/>
        <v>1694.8502796419966</v>
      </c>
      <c r="BE180" s="4448">
        <f t="shared" si="1058"/>
        <v>1694.8502796419966</v>
      </c>
      <c r="BF180" s="4448">
        <f t="shared" si="1058"/>
        <v>0</v>
      </c>
      <c r="BG180" s="4459">
        <f t="shared" si="1058"/>
        <v>0</v>
      </c>
      <c r="BH180" s="4459">
        <f t="shared" si="1058"/>
        <v>0</v>
      </c>
      <c r="BI180" s="4459">
        <f t="shared" si="1058"/>
        <v>0</v>
      </c>
      <c r="BJ180" s="4434">
        <f t="shared" ref="BJ180:BL180" si="1068">SUM(BG180-BD180)</f>
        <v>-1694.8502796419966</v>
      </c>
      <c r="BK180" s="4434">
        <f t="shared" si="1068"/>
        <v>-1694.8502796419966</v>
      </c>
      <c r="BL180" s="4434">
        <f t="shared" si="1068"/>
        <v>0</v>
      </c>
      <c r="BM180" s="4447">
        <f t="shared" ref="BM180:BO180" si="1069">SUM(BM125)</f>
        <v>564.95009321399891</v>
      </c>
      <c r="BN180" s="4447">
        <f t="shared" si="1069"/>
        <v>564.95009321399891</v>
      </c>
      <c r="BO180" s="4447">
        <f t="shared" si="1069"/>
        <v>0</v>
      </c>
      <c r="BP180" s="4442">
        <f t="shared" si="1067"/>
        <v>0</v>
      </c>
      <c r="BQ180" s="4442">
        <f t="shared" si="1067"/>
        <v>0</v>
      </c>
      <c r="BR180" s="4442">
        <f t="shared" si="1067"/>
        <v>0</v>
      </c>
      <c r="BS180" s="4442">
        <f t="shared" si="1067"/>
        <v>0</v>
      </c>
      <c r="BT180" s="4442">
        <f t="shared" si="1067"/>
        <v>0</v>
      </c>
      <c r="BU180" s="4442">
        <f t="shared" si="1067"/>
        <v>0</v>
      </c>
      <c r="BV180" s="4442">
        <f t="shared" si="1067"/>
        <v>0</v>
      </c>
      <c r="BW180" s="4442">
        <f t="shared" si="1067"/>
        <v>0</v>
      </c>
      <c r="BX180" s="4442">
        <f t="shared" si="1067"/>
        <v>0</v>
      </c>
      <c r="BY180" s="4442">
        <f t="shared" si="1067"/>
        <v>0</v>
      </c>
      <c r="BZ180" s="4442">
        <f t="shared" si="1067"/>
        <v>0</v>
      </c>
      <c r="CA180" s="4442">
        <f t="shared" si="1067"/>
        <v>0</v>
      </c>
      <c r="CB180" s="4448">
        <f t="shared" si="1067"/>
        <v>2259.8003728559956</v>
      </c>
      <c r="CC180" s="4448">
        <f t="shared" si="1067"/>
        <v>2259.8003728559956</v>
      </c>
      <c r="CD180" s="4448">
        <f t="shared" si="1067"/>
        <v>0</v>
      </c>
      <c r="CE180" s="4459">
        <f t="shared" si="1067"/>
        <v>0</v>
      </c>
      <c r="CF180" s="4459">
        <f t="shared" si="1067"/>
        <v>0</v>
      </c>
      <c r="CG180" s="4459">
        <f t="shared" si="1067"/>
        <v>0</v>
      </c>
      <c r="CH180" s="4434">
        <f t="shared" ref="CH180:CJ180" si="1070">SUM(CE180-CB180)</f>
        <v>-2259.8003728559956</v>
      </c>
      <c r="CI180" s="4434">
        <f t="shared" si="1070"/>
        <v>-2259.8003728559956</v>
      </c>
      <c r="CJ180" s="4434">
        <f t="shared" si="1070"/>
        <v>0</v>
      </c>
    </row>
    <row r="181" spans="1:90" ht="18.75" customHeight="1" x14ac:dyDescent="0.3">
      <c r="A181" s="4403" t="s">
        <v>12</v>
      </c>
      <c r="B181" s="4414">
        <f>SUM(B153+B154+B155+B156+B157+B158+B159+B161+B166+B170+B177+B178+B179+B180)</f>
        <v>31284.682652511616</v>
      </c>
      <c r="C181" s="4414">
        <f t="shared" ref="C181:AE181" si="1071">SUM(C153+C154+C155+C156+C157+C158+C159+C161+C166+C170+C177+C178+C179+C180)</f>
        <v>31203.958250752046</v>
      </c>
      <c r="D181" s="4414">
        <f t="shared" si="1071"/>
        <v>80.724401759564586</v>
      </c>
      <c r="E181" s="4414">
        <f t="shared" si="1071"/>
        <v>11589.63308</v>
      </c>
      <c r="F181" s="4414">
        <f t="shared" si="1071"/>
        <v>11566.717000000001</v>
      </c>
      <c r="G181" s="4414">
        <f t="shared" si="1071"/>
        <v>22.916080000000001</v>
      </c>
      <c r="H181" s="4414">
        <f t="shared" si="1071"/>
        <v>10360.789510000001</v>
      </c>
      <c r="I181" s="4414">
        <f t="shared" si="1071"/>
        <v>10341.01476</v>
      </c>
      <c r="J181" s="4414">
        <f t="shared" si="1071"/>
        <v>19.774750000000001</v>
      </c>
      <c r="K181" s="4414">
        <f t="shared" si="1071"/>
        <v>11126.872460000001</v>
      </c>
      <c r="L181" s="4414">
        <f t="shared" si="1071"/>
        <v>11099.07595</v>
      </c>
      <c r="M181" s="4414">
        <f t="shared" si="1071"/>
        <v>27.796510000000001</v>
      </c>
      <c r="N181" s="4414">
        <f t="shared" si="1071"/>
        <v>33077.295050000001</v>
      </c>
      <c r="O181" s="4414">
        <f t="shared" si="1071"/>
        <v>33006.807710000001</v>
      </c>
      <c r="P181" s="4414">
        <f t="shared" si="1071"/>
        <v>70.487340000000003</v>
      </c>
      <c r="Q181" s="4414">
        <f t="shared" si="1071"/>
        <v>31284.682652511616</v>
      </c>
      <c r="R181" s="4414">
        <f t="shared" si="1071"/>
        <v>31203.958250752046</v>
      </c>
      <c r="S181" s="4414">
        <f t="shared" si="1071"/>
        <v>80.724401759564586</v>
      </c>
      <c r="T181" s="4414">
        <f t="shared" si="1071"/>
        <v>12108.15249</v>
      </c>
      <c r="U181" s="4414">
        <f t="shared" si="1071"/>
        <v>12092.44571</v>
      </c>
      <c r="V181" s="4414">
        <f t="shared" si="1071"/>
        <v>15.70678</v>
      </c>
      <c r="W181" s="4414">
        <f t="shared" si="1071"/>
        <v>12418.618109999999</v>
      </c>
      <c r="X181" s="4414">
        <f t="shared" si="1071"/>
        <v>12396.968000000001</v>
      </c>
      <c r="Y181" s="4414">
        <f t="shared" si="1071"/>
        <v>21.650109999999998</v>
      </c>
      <c r="Z181" s="4414">
        <f t="shared" si="1071"/>
        <v>11590.42661</v>
      </c>
      <c r="AA181" s="4414">
        <f t="shared" si="1071"/>
        <v>11562.407529999999</v>
      </c>
      <c r="AB181" s="4414">
        <f t="shared" si="1071"/>
        <v>28.019080000000002</v>
      </c>
      <c r="AC181" s="4414">
        <f t="shared" si="1071"/>
        <v>36117.197209999998</v>
      </c>
      <c r="AD181" s="4414">
        <f t="shared" si="1071"/>
        <v>36051.821239999997</v>
      </c>
      <c r="AE181" s="4414">
        <f t="shared" si="1071"/>
        <v>65.375970000000009</v>
      </c>
      <c r="AF181" s="4416">
        <f>SUM(AF153+AF154+AF155+AF156+AF157+AF158+AF159+AF161+AF166+AF170+AF177+AF178+AF179+AF180)</f>
        <v>62569.365305023231</v>
      </c>
      <c r="AG181" s="4416">
        <f t="shared" ref="AG181:AK181" si="1072">SUM(AG153+AG154+AG155+AG156+AG157+AG158+AG159+AG161+AG166+AG170+AG177+AG178+AG179+AG180)</f>
        <v>62407.916501504093</v>
      </c>
      <c r="AH181" s="4416">
        <f t="shared" si="1072"/>
        <v>161.44880351912917</v>
      </c>
      <c r="AI181" s="4416">
        <f t="shared" si="1072"/>
        <v>69194.492260000014</v>
      </c>
      <c r="AJ181" s="4416">
        <f t="shared" si="1072"/>
        <v>69058.628949999998</v>
      </c>
      <c r="AK181" s="4416">
        <f t="shared" si="1072"/>
        <v>135.86331000000001</v>
      </c>
      <c r="AL181" s="4433">
        <f t="shared" si="1031"/>
        <v>6625.1269549767821</v>
      </c>
      <c r="AM181" s="4433">
        <f t="shared" si="1031"/>
        <v>6650.7124484959058</v>
      </c>
      <c r="AN181" s="4433">
        <f t="shared" si="1031"/>
        <v>-25.585493519129159</v>
      </c>
      <c r="AO181" s="4414">
        <f t="shared" ref="AO181:BC181" si="1073">SUM(AO153+AO154+AO155+AO156+AO157+AO158+AO159+AO161+AO166+AO170+AO177+AO178+AO179+AO180)</f>
        <v>31284.682652511616</v>
      </c>
      <c r="AP181" s="4414">
        <f t="shared" si="1073"/>
        <v>31203.958250752046</v>
      </c>
      <c r="AQ181" s="4414">
        <f t="shared" si="1073"/>
        <v>80.724401759564586</v>
      </c>
      <c r="AR181" s="4414">
        <f t="shared" si="1073"/>
        <v>11103.135060000002</v>
      </c>
      <c r="AS181" s="4414">
        <f t="shared" si="1073"/>
        <v>11090.133890000001</v>
      </c>
      <c r="AT181" s="4414">
        <f t="shared" si="1073"/>
        <v>13.00117</v>
      </c>
      <c r="AU181" s="4414">
        <f t="shared" si="1073"/>
        <v>0</v>
      </c>
      <c r="AV181" s="4414">
        <f t="shared" si="1073"/>
        <v>0</v>
      </c>
      <c r="AW181" s="4414">
        <f t="shared" si="1073"/>
        <v>0</v>
      </c>
      <c r="AX181" s="4414">
        <f t="shared" si="1073"/>
        <v>0</v>
      </c>
      <c r="AY181" s="4414">
        <f t="shared" si="1073"/>
        <v>0</v>
      </c>
      <c r="AZ181" s="4414">
        <f t="shared" si="1073"/>
        <v>0</v>
      </c>
      <c r="BA181" s="4414">
        <f t="shared" si="1073"/>
        <v>11103.135060000002</v>
      </c>
      <c r="BB181" s="4414">
        <f t="shared" si="1073"/>
        <v>11090.133890000001</v>
      </c>
      <c r="BC181" s="4414">
        <f t="shared" si="1073"/>
        <v>13.00117</v>
      </c>
      <c r="BD181" s="4416">
        <f>SUM(BD153+BD154+BD155+BD156+BD157+BD158+BD159+BD161+BD166+BD170+BD177+BD178+BD179+BD180)</f>
        <v>93854.047957534844</v>
      </c>
      <c r="BE181" s="4416">
        <f t="shared" ref="BE181:BI181" si="1074">SUM(BE153+BE154+BE155+BE156+BE157+BE158+BE159+BE161+BE166+BE170+BE177+BE178+BE179+BE180)</f>
        <v>93611.874752256146</v>
      </c>
      <c r="BF181" s="4416">
        <f t="shared" si="1074"/>
        <v>242.17320527869376</v>
      </c>
      <c r="BG181" s="4416">
        <f t="shared" si="1074"/>
        <v>80297.627319999985</v>
      </c>
      <c r="BH181" s="4416">
        <f t="shared" si="1074"/>
        <v>80148.762839999996</v>
      </c>
      <c r="BI181" s="4416">
        <f t="shared" si="1074"/>
        <v>148.86448000000001</v>
      </c>
      <c r="BJ181" s="4433">
        <f t="shared" si="1027"/>
        <v>-13556.420637534859</v>
      </c>
      <c r="BK181" s="4433">
        <f t="shared" si="1027"/>
        <v>-13463.11191225615</v>
      </c>
      <c r="BL181" s="4433">
        <f t="shared" si="1027"/>
        <v>-93.308725278693743</v>
      </c>
      <c r="BM181" s="4414">
        <f t="shared" ref="BM181:CA181" si="1075">SUM(BM153+BM154+BM155+BM156+BM157+BM158+BM159+BM161+BM166+BM170+BM177+BM178+BM179+BM180)</f>
        <v>31284.682652511616</v>
      </c>
      <c r="BN181" s="4414">
        <f t="shared" si="1075"/>
        <v>31203.958250752046</v>
      </c>
      <c r="BO181" s="4414">
        <f t="shared" si="1075"/>
        <v>80.724401759564586</v>
      </c>
      <c r="BP181" s="4414">
        <f t="shared" si="1075"/>
        <v>0</v>
      </c>
      <c r="BQ181" s="4414">
        <f t="shared" si="1075"/>
        <v>0</v>
      </c>
      <c r="BR181" s="4414">
        <f t="shared" si="1075"/>
        <v>0</v>
      </c>
      <c r="BS181" s="4414">
        <f t="shared" si="1075"/>
        <v>0</v>
      </c>
      <c r="BT181" s="4414">
        <f t="shared" si="1075"/>
        <v>0</v>
      </c>
      <c r="BU181" s="4414">
        <f t="shared" si="1075"/>
        <v>0</v>
      </c>
      <c r="BV181" s="4414">
        <f t="shared" si="1075"/>
        <v>0</v>
      </c>
      <c r="BW181" s="4414">
        <f t="shared" si="1075"/>
        <v>0</v>
      </c>
      <c r="BX181" s="4414">
        <f t="shared" si="1075"/>
        <v>0</v>
      </c>
      <c r="BY181" s="4414">
        <f t="shared" si="1075"/>
        <v>0</v>
      </c>
      <c r="BZ181" s="4414">
        <f t="shared" si="1075"/>
        <v>0</v>
      </c>
      <c r="CA181" s="4414">
        <f t="shared" si="1075"/>
        <v>0</v>
      </c>
      <c r="CB181" s="4416">
        <f>SUM(CB153+CB154+CB155+CB156+CB157+CB158+CB159+CB161+CB166+CB170+CB177+CB178+CB179+CB180)</f>
        <v>125138.730694442</v>
      </c>
      <c r="CC181" s="4416">
        <f t="shared" ref="CC181:CG181" si="1076">SUM(CC153+CC154+CC155+CC156+CC157+CC158+CC159+CC161+CC166+CC170+CC177+CC178+CC179+CC180)</f>
        <v>124815.83308740372</v>
      </c>
      <c r="CD181" s="4416">
        <f t="shared" si="1076"/>
        <v>322.89760703825834</v>
      </c>
      <c r="CE181" s="4416">
        <f t="shared" si="1076"/>
        <v>80297.627319999985</v>
      </c>
      <c r="CF181" s="4416">
        <f t="shared" si="1076"/>
        <v>80148.762839999996</v>
      </c>
      <c r="CG181" s="4416">
        <f t="shared" si="1076"/>
        <v>148.86448000000001</v>
      </c>
      <c r="CH181" s="4433">
        <f t="shared" si="1029"/>
        <v>-44841.103374442013</v>
      </c>
      <c r="CI181" s="4433">
        <f t="shared" si="1029"/>
        <v>-44667.070247403724</v>
      </c>
      <c r="CJ181" s="4433">
        <f t="shared" si="1029"/>
        <v>-174.03312703825833</v>
      </c>
    </row>
    <row r="182" spans="1:90" ht="18.75" customHeight="1" x14ac:dyDescent="0.3">
      <c r="A182" s="4403" t="s">
        <v>13</v>
      </c>
      <c r="B182" s="4414">
        <f>SUM(B145)</f>
        <v>768.56306212265406</v>
      </c>
      <c r="C182" s="4414">
        <f t="shared" ref="C182:BN182" si="1077">SUM(C145)</f>
        <v>764.75724428647504</v>
      </c>
      <c r="D182" s="4414">
        <f t="shared" si="1077"/>
        <v>3.8058178361790249</v>
      </c>
      <c r="E182" s="4415">
        <f t="shared" si="1077"/>
        <v>257.414513</v>
      </c>
      <c r="F182" s="4415">
        <f t="shared" si="1077"/>
        <v>256.71326299999998</v>
      </c>
      <c r="G182" s="4415">
        <f t="shared" si="1077"/>
        <v>0.70125000000000004</v>
      </c>
      <c r="H182" s="4415">
        <f t="shared" si="1077"/>
        <v>268.54267499999997</v>
      </c>
      <c r="I182" s="4415">
        <f t="shared" si="1077"/>
        <v>268.082425</v>
      </c>
      <c r="J182" s="4415">
        <f t="shared" si="1077"/>
        <v>0.46024999999999999</v>
      </c>
      <c r="K182" s="4415">
        <f t="shared" si="1077"/>
        <v>259.48193000000003</v>
      </c>
      <c r="L182" s="4415">
        <f t="shared" si="1077"/>
        <v>257.06443000000002</v>
      </c>
      <c r="M182" s="4415">
        <f t="shared" si="1077"/>
        <v>2.4175</v>
      </c>
      <c r="N182" s="4415">
        <f t="shared" si="1077"/>
        <v>785.43911799999989</v>
      </c>
      <c r="O182" s="4415">
        <f t="shared" si="1077"/>
        <v>781.86011799999994</v>
      </c>
      <c r="P182" s="4415">
        <f t="shared" si="1077"/>
        <v>3.5789999999999997</v>
      </c>
      <c r="Q182" s="4414">
        <f t="shared" si="1077"/>
        <v>768.56306212265406</v>
      </c>
      <c r="R182" s="4414">
        <f t="shared" si="1077"/>
        <v>764.75724428647504</v>
      </c>
      <c r="S182" s="4414">
        <f t="shared" si="1077"/>
        <v>3.8058178361790249</v>
      </c>
      <c r="T182" s="4415">
        <f t="shared" si="1077"/>
        <v>263.32413399999996</v>
      </c>
      <c r="U182" s="4415">
        <f t="shared" si="1077"/>
        <v>262.86413399999998</v>
      </c>
      <c r="V182" s="4415">
        <f t="shared" si="1077"/>
        <v>0.46</v>
      </c>
      <c r="W182" s="4415">
        <f t="shared" si="1077"/>
        <v>263.52684599999998</v>
      </c>
      <c r="X182" s="4415">
        <f t="shared" si="1077"/>
        <v>262.77809600000001</v>
      </c>
      <c r="Y182" s="4415">
        <f t="shared" si="1077"/>
        <v>0.74875000000000003</v>
      </c>
      <c r="Z182" s="4415">
        <f t="shared" si="1077"/>
        <v>257.661947</v>
      </c>
      <c r="AA182" s="4415">
        <f t="shared" si="1077"/>
        <v>255.070697</v>
      </c>
      <c r="AB182" s="4415">
        <f t="shared" si="1077"/>
        <v>2.5912500000000001</v>
      </c>
      <c r="AC182" s="4415">
        <f t="shared" si="1077"/>
        <v>784.51292699999988</v>
      </c>
      <c r="AD182" s="4415">
        <f t="shared" si="1077"/>
        <v>780.71292699999992</v>
      </c>
      <c r="AE182" s="4415">
        <f t="shared" si="1077"/>
        <v>3.8</v>
      </c>
      <c r="AF182" s="4416">
        <f t="shared" si="1077"/>
        <v>1537.1261242453081</v>
      </c>
      <c r="AG182" s="4416">
        <f t="shared" si="1077"/>
        <v>1529.5144885729501</v>
      </c>
      <c r="AH182" s="4416">
        <f t="shared" si="1077"/>
        <v>7.6116356723580498</v>
      </c>
      <c r="AI182" s="4417">
        <f t="shared" si="1077"/>
        <v>1569.9520449999998</v>
      </c>
      <c r="AJ182" s="4417">
        <f t="shared" si="1077"/>
        <v>1562.5730449999999</v>
      </c>
      <c r="AK182" s="4417">
        <f t="shared" si="1077"/>
        <v>7.3789999999999996</v>
      </c>
      <c r="AL182" s="4433">
        <f t="shared" si="1031"/>
        <v>32.825920754691651</v>
      </c>
      <c r="AM182" s="4433">
        <f t="shared" si="1031"/>
        <v>33.05855642704978</v>
      </c>
      <c r="AN182" s="4433">
        <f t="shared" si="1031"/>
        <v>-0.23263567235805027</v>
      </c>
      <c r="AO182" s="4414">
        <f t="shared" si="1077"/>
        <v>768.56306212265406</v>
      </c>
      <c r="AP182" s="4414">
        <f t="shared" si="1077"/>
        <v>764.75724428647504</v>
      </c>
      <c r="AQ182" s="4414">
        <f t="shared" si="1077"/>
        <v>3.8058178361790249</v>
      </c>
      <c r="AR182" s="4415">
        <f t="shared" si="1077"/>
        <v>226.11733899999999</v>
      </c>
      <c r="AS182" s="4415">
        <f t="shared" si="1077"/>
        <v>225.574839</v>
      </c>
      <c r="AT182" s="4415">
        <f t="shared" si="1077"/>
        <v>0.54249999999999998</v>
      </c>
      <c r="AU182" s="4415">
        <f t="shared" si="1077"/>
        <v>0</v>
      </c>
      <c r="AV182" s="4415">
        <f t="shared" si="1077"/>
        <v>0</v>
      </c>
      <c r="AW182" s="4415">
        <f t="shared" si="1077"/>
        <v>0</v>
      </c>
      <c r="AX182" s="4415">
        <f t="shared" si="1077"/>
        <v>0</v>
      </c>
      <c r="AY182" s="4415">
        <f t="shared" si="1077"/>
        <v>0</v>
      </c>
      <c r="AZ182" s="4415">
        <f t="shared" si="1077"/>
        <v>0</v>
      </c>
      <c r="BA182" s="4415">
        <f t="shared" si="1077"/>
        <v>226.11733899999999</v>
      </c>
      <c r="BB182" s="4415">
        <f t="shared" si="1077"/>
        <v>225.574839</v>
      </c>
      <c r="BC182" s="4415">
        <f t="shared" si="1077"/>
        <v>0.54249999999999998</v>
      </c>
      <c r="BD182" s="4416">
        <f t="shared" si="1077"/>
        <v>2305.6891863679621</v>
      </c>
      <c r="BE182" s="4416">
        <f t="shared" si="1077"/>
        <v>2294.2717328594254</v>
      </c>
      <c r="BF182" s="4416">
        <f t="shared" si="1077"/>
        <v>11.417453508537076</v>
      </c>
      <c r="BG182" s="4417">
        <f t="shared" si="1077"/>
        <v>1796.0693839999999</v>
      </c>
      <c r="BH182" s="4417">
        <f t="shared" si="1077"/>
        <v>1788.147884</v>
      </c>
      <c r="BI182" s="4417">
        <f t="shared" si="1077"/>
        <v>7.9215</v>
      </c>
      <c r="BJ182" s="4433">
        <f t="shared" si="1027"/>
        <v>-509.61980236796217</v>
      </c>
      <c r="BK182" s="4433">
        <f t="shared" si="1027"/>
        <v>-506.12384885942538</v>
      </c>
      <c r="BL182" s="4433">
        <f t="shared" si="1027"/>
        <v>-3.4959535085370756</v>
      </c>
      <c r="BM182" s="4414">
        <f t="shared" si="1077"/>
        <v>768.56306212265406</v>
      </c>
      <c r="BN182" s="4414">
        <f t="shared" si="1077"/>
        <v>764.75724428647504</v>
      </c>
      <c r="BO182" s="4414">
        <f t="shared" ref="BO182:CG182" si="1078">SUM(BO145)</f>
        <v>3.8058178361790249</v>
      </c>
      <c r="BP182" s="4415">
        <f t="shared" si="1078"/>
        <v>0</v>
      </c>
      <c r="BQ182" s="4415">
        <f t="shared" si="1078"/>
        <v>0</v>
      </c>
      <c r="BR182" s="4415">
        <f t="shared" si="1078"/>
        <v>0</v>
      </c>
      <c r="BS182" s="4415">
        <f t="shared" si="1078"/>
        <v>0</v>
      </c>
      <c r="BT182" s="4415">
        <f t="shared" si="1078"/>
        <v>0</v>
      </c>
      <c r="BU182" s="4415">
        <f t="shared" si="1078"/>
        <v>0</v>
      </c>
      <c r="BV182" s="4415">
        <f t="shared" si="1078"/>
        <v>0</v>
      </c>
      <c r="BW182" s="4415">
        <f t="shared" si="1078"/>
        <v>0</v>
      </c>
      <c r="BX182" s="4415">
        <f t="shared" si="1078"/>
        <v>0</v>
      </c>
      <c r="BY182" s="4415">
        <f t="shared" si="1078"/>
        <v>0</v>
      </c>
      <c r="BZ182" s="4415">
        <f t="shared" si="1078"/>
        <v>0</v>
      </c>
      <c r="CA182" s="4415">
        <f t="shared" si="1078"/>
        <v>0</v>
      </c>
      <c r="CB182" s="4416">
        <f t="shared" si="1078"/>
        <v>3074.2522484906162</v>
      </c>
      <c r="CC182" s="4416">
        <f t="shared" si="1078"/>
        <v>3059.0289771459002</v>
      </c>
      <c r="CD182" s="4416">
        <f t="shared" si="1078"/>
        <v>15.2232713447161</v>
      </c>
      <c r="CE182" s="4417">
        <f t="shared" si="1078"/>
        <v>1796.0693839999999</v>
      </c>
      <c r="CF182" s="4417">
        <f t="shared" si="1078"/>
        <v>1788.147884</v>
      </c>
      <c r="CG182" s="4417">
        <f t="shared" si="1078"/>
        <v>7.9215</v>
      </c>
      <c r="CH182" s="4433">
        <f t="shared" si="1029"/>
        <v>-1278.1828644906163</v>
      </c>
      <c r="CI182" s="4433">
        <f t="shared" si="1029"/>
        <v>-1270.8810931459002</v>
      </c>
      <c r="CJ182" s="4433">
        <f t="shared" si="1029"/>
        <v>-7.3017713447160997</v>
      </c>
    </row>
    <row r="183" spans="1:90" ht="18.75" customHeight="1" x14ac:dyDescent="0.2">
      <c r="A183" s="4403" t="s">
        <v>14</v>
      </c>
      <c r="B183" s="4393">
        <f>SUM(B181/B182)</f>
        <v>40.705420536485441</v>
      </c>
      <c r="C183" s="4393">
        <f t="shared" ref="C183:BN183" si="1079">SUM(C181/C182)</f>
        <v>40.802435653768278</v>
      </c>
      <c r="D183" s="4393">
        <f t="shared" si="1079"/>
        <v>21.210789699963801</v>
      </c>
      <c r="E183" s="4404">
        <f t="shared" si="1079"/>
        <v>45.023230993972746</v>
      </c>
      <c r="F183" s="4404">
        <f t="shared" si="1079"/>
        <v>45.056951342634761</v>
      </c>
      <c r="G183" s="4404">
        <f t="shared" si="1079"/>
        <v>32.678901960784316</v>
      </c>
      <c r="H183" s="4404">
        <f t="shared" si="1079"/>
        <v>38.581538334642723</v>
      </c>
      <c r="I183" s="4404">
        <f t="shared" si="1079"/>
        <v>38.574012302373049</v>
      </c>
      <c r="J183" s="4404">
        <f t="shared" si="1079"/>
        <v>42.96523628462792</v>
      </c>
      <c r="K183" s="4404">
        <f t="shared" si="1079"/>
        <v>42.881107212359638</v>
      </c>
      <c r="L183" s="4404">
        <f t="shared" si="1079"/>
        <v>43.176241652724961</v>
      </c>
      <c r="M183" s="4404">
        <f t="shared" si="1079"/>
        <v>11.498039296794209</v>
      </c>
      <c r="N183" s="4404">
        <f t="shared" si="1079"/>
        <v>42.11312410085489</v>
      </c>
      <c r="O183" s="4404">
        <f t="shared" si="1079"/>
        <v>42.215745438495439</v>
      </c>
      <c r="P183" s="4404">
        <f t="shared" si="1079"/>
        <v>19.694702430846608</v>
      </c>
      <c r="Q183" s="4393">
        <f t="shared" si="1079"/>
        <v>40.705420536485441</v>
      </c>
      <c r="R183" s="4393">
        <f t="shared" si="1079"/>
        <v>40.802435653768278</v>
      </c>
      <c r="S183" s="4393">
        <f t="shared" si="1079"/>
        <v>21.210789699963801</v>
      </c>
      <c r="T183" s="4404">
        <f t="shared" si="1079"/>
        <v>45.981932252362412</v>
      </c>
      <c r="U183" s="4404">
        <f t="shared" si="1079"/>
        <v>46.002646028537313</v>
      </c>
      <c r="V183" s="4404">
        <f t="shared" si="1079"/>
        <v>34.145173913043479</v>
      </c>
      <c r="W183" s="4404">
        <f t="shared" si="1079"/>
        <v>47.124679320147898</v>
      </c>
      <c r="X183" s="4404">
        <f t="shared" si="1079"/>
        <v>47.176565279626658</v>
      </c>
      <c r="Y183" s="4404">
        <f t="shared" si="1079"/>
        <v>28.91500500834724</v>
      </c>
      <c r="Z183" s="4404">
        <f t="shared" si="1079"/>
        <v>44.983074702916845</v>
      </c>
      <c r="AA183" s="4404">
        <f t="shared" si="1079"/>
        <v>45.330207138611449</v>
      </c>
      <c r="AB183" s="4404">
        <f t="shared" si="1079"/>
        <v>10.812958996623252</v>
      </c>
      <c r="AC183" s="4404">
        <f t="shared" si="1079"/>
        <v>46.037733690524647</v>
      </c>
      <c r="AD183" s="4404">
        <f t="shared" si="1079"/>
        <v>46.178076464718252</v>
      </c>
      <c r="AE183" s="4404">
        <f t="shared" si="1079"/>
        <v>17.204202631578951</v>
      </c>
      <c r="AF183" s="4380">
        <f t="shared" si="1079"/>
        <v>40.705420536485441</v>
      </c>
      <c r="AG183" s="4380">
        <f t="shared" si="1079"/>
        <v>40.802435653768278</v>
      </c>
      <c r="AH183" s="4380">
        <f t="shared" si="1079"/>
        <v>21.210789699963801</v>
      </c>
      <c r="AI183" s="4405">
        <f t="shared" si="1079"/>
        <v>44.074271236737061</v>
      </c>
      <c r="AJ183" s="4405">
        <f t="shared" si="1079"/>
        <v>44.195456443445821</v>
      </c>
      <c r="AK183" s="4405">
        <f t="shared" si="1079"/>
        <v>18.412157473912458</v>
      </c>
      <c r="AL183" s="4433">
        <f t="shared" si="1031"/>
        <v>3.3688507002516204</v>
      </c>
      <c r="AM183" s="4433">
        <f t="shared" si="1031"/>
        <v>3.3930207896775428</v>
      </c>
      <c r="AN183" s="4433">
        <f t="shared" si="1031"/>
        <v>-2.7986322260513425</v>
      </c>
      <c r="AO183" s="4393">
        <f t="shared" si="1079"/>
        <v>40.705420536485441</v>
      </c>
      <c r="AP183" s="4393">
        <f t="shared" si="1079"/>
        <v>40.802435653768278</v>
      </c>
      <c r="AQ183" s="4393">
        <f t="shared" si="1079"/>
        <v>21.210789699963801</v>
      </c>
      <c r="AR183" s="4404">
        <f t="shared" si="1079"/>
        <v>49.103421741576405</v>
      </c>
      <c r="AS183" s="4404">
        <f t="shared" si="1079"/>
        <v>49.163878113196837</v>
      </c>
      <c r="AT183" s="4404">
        <f t="shared" si="1079"/>
        <v>23.965290322580646</v>
      </c>
      <c r="AU183" s="4404" t="e">
        <f t="shared" si="1079"/>
        <v>#DIV/0!</v>
      </c>
      <c r="AV183" s="4404" t="e">
        <f t="shared" si="1079"/>
        <v>#DIV/0!</v>
      </c>
      <c r="AW183" s="4404" t="e">
        <f t="shared" si="1079"/>
        <v>#DIV/0!</v>
      </c>
      <c r="AX183" s="4404" t="e">
        <f t="shared" si="1079"/>
        <v>#DIV/0!</v>
      </c>
      <c r="AY183" s="4404" t="e">
        <f t="shared" si="1079"/>
        <v>#DIV/0!</v>
      </c>
      <c r="AZ183" s="4404" t="e">
        <f t="shared" si="1079"/>
        <v>#DIV/0!</v>
      </c>
      <c r="BA183" s="4404">
        <f t="shared" si="1079"/>
        <v>49.103421741576405</v>
      </c>
      <c r="BB183" s="4404">
        <f t="shared" si="1079"/>
        <v>49.163878113196837</v>
      </c>
      <c r="BC183" s="4404">
        <f t="shared" si="1079"/>
        <v>23.965290322580646</v>
      </c>
      <c r="BD183" s="4380">
        <f t="shared" si="1079"/>
        <v>40.705420536485441</v>
      </c>
      <c r="BE183" s="4380">
        <f t="shared" si="1079"/>
        <v>40.802435653768278</v>
      </c>
      <c r="BF183" s="4380">
        <f t="shared" si="1079"/>
        <v>21.210789699963801</v>
      </c>
      <c r="BG183" s="4405">
        <f t="shared" si="1079"/>
        <v>44.707419454570463</v>
      </c>
      <c r="BH183" s="4405">
        <f t="shared" si="1079"/>
        <v>44.822222791054116</v>
      </c>
      <c r="BI183" s="4405">
        <f t="shared" si="1079"/>
        <v>18.792461023796001</v>
      </c>
      <c r="BJ183" s="4433">
        <f t="shared" si="1027"/>
        <v>4.0019989180850217</v>
      </c>
      <c r="BK183" s="4433">
        <f t="shared" si="1027"/>
        <v>4.0197871372858387</v>
      </c>
      <c r="BL183" s="4433">
        <f t="shared" si="1027"/>
        <v>-2.4183286761677998</v>
      </c>
      <c r="BM183" s="4393">
        <f t="shared" si="1079"/>
        <v>40.705420536485441</v>
      </c>
      <c r="BN183" s="4393">
        <f t="shared" si="1079"/>
        <v>40.802435653768278</v>
      </c>
      <c r="BO183" s="4393">
        <f t="shared" ref="BO183:CG183" si="1080">SUM(BO181/BO182)</f>
        <v>21.210789699963801</v>
      </c>
      <c r="BP183" s="4404" t="e">
        <f t="shared" si="1080"/>
        <v>#DIV/0!</v>
      </c>
      <c r="BQ183" s="4404" t="e">
        <f t="shared" si="1080"/>
        <v>#DIV/0!</v>
      </c>
      <c r="BR183" s="4404" t="e">
        <f t="shared" si="1080"/>
        <v>#DIV/0!</v>
      </c>
      <c r="BS183" s="4404" t="e">
        <f t="shared" si="1080"/>
        <v>#DIV/0!</v>
      </c>
      <c r="BT183" s="4404" t="e">
        <f t="shared" si="1080"/>
        <v>#DIV/0!</v>
      </c>
      <c r="BU183" s="4404" t="e">
        <f t="shared" si="1080"/>
        <v>#DIV/0!</v>
      </c>
      <c r="BV183" s="4404" t="e">
        <f t="shared" si="1080"/>
        <v>#DIV/0!</v>
      </c>
      <c r="BW183" s="4404" t="e">
        <f t="shared" si="1080"/>
        <v>#DIV/0!</v>
      </c>
      <c r="BX183" s="4404" t="e">
        <f t="shared" si="1080"/>
        <v>#DIV/0!</v>
      </c>
      <c r="BY183" s="4404" t="e">
        <f t="shared" si="1080"/>
        <v>#DIV/0!</v>
      </c>
      <c r="BZ183" s="4404" t="e">
        <f t="shared" si="1080"/>
        <v>#DIV/0!</v>
      </c>
      <c r="CA183" s="4404" t="e">
        <f t="shared" si="1080"/>
        <v>#DIV/0!</v>
      </c>
      <c r="CB183" s="4380">
        <f t="shared" si="1080"/>
        <v>40.705420563937814</v>
      </c>
      <c r="CC183" s="4380">
        <f t="shared" si="1080"/>
        <v>40.802435681357274</v>
      </c>
      <c r="CD183" s="4380">
        <f t="shared" si="1080"/>
        <v>21.210789699963801</v>
      </c>
      <c r="CE183" s="4405">
        <f t="shared" si="1080"/>
        <v>44.707419454570463</v>
      </c>
      <c r="CF183" s="4405">
        <f t="shared" si="1080"/>
        <v>44.822222791054116</v>
      </c>
      <c r="CG183" s="4405">
        <f t="shared" si="1080"/>
        <v>18.792461023796001</v>
      </c>
      <c r="CH183" s="4433">
        <f t="shared" si="1029"/>
        <v>4.0019988906326489</v>
      </c>
      <c r="CI183" s="4433">
        <f t="shared" si="1029"/>
        <v>4.0197871096968427</v>
      </c>
      <c r="CJ183" s="4433">
        <f t="shared" si="1029"/>
        <v>-2.4183286761677998</v>
      </c>
    </row>
    <row r="184" spans="1:90" ht="18.75" customHeight="1" x14ac:dyDescent="0.2">
      <c r="A184" s="4376" t="s">
        <v>3763</v>
      </c>
      <c r="B184" s="5334">
        <f>SUM(B185:B187)</f>
        <v>1766.7055</v>
      </c>
      <c r="C184" s="5335"/>
      <c r="D184" s="5336"/>
      <c r="E184" s="5334">
        <f t="shared" ref="E184" si="1081">SUM(E185:E187)</f>
        <v>1000.718</v>
      </c>
      <c r="F184" s="5335"/>
      <c r="G184" s="5336"/>
      <c r="H184" s="5334">
        <f t="shared" ref="H184" si="1082">SUM(H185:H187)</f>
        <v>654.16490999999996</v>
      </c>
      <c r="I184" s="5335"/>
      <c r="J184" s="5336"/>
      <c r="K184" s="5334">
        <f t="shared" ref="K184" si="1083">SUM(K185:K187)</f>
        <v>692.85199</v>
      </c>
      <c r="L184" s="5335"/>
      <c r="M184" s="5336"/>
      <c r="N184" s="5337">
        <f>SUM(N185:N187)</f>
        <v>2347.7348999999999</v>
      </c>
      <c r="O184" s="5338"/>
      <c r="P184" s="5339"/>
      <c r="Q184" s="5334">
        <f>SUM(Q185:Q187)</f>
        <v>1766.7055</v>
      </c>
      <c r="R184" s="5335"/>
      <c r="S184" s="5336"/>
      <c r="T184" s="5337">
        <f>SUM(T185:T187)</f>
        <v>821.60599000000002</v>
      </c>
      <c r="U184" s="5338"/>
      <c r="V184" s="5339"/>
      <c r="W184" s="5337">
        <f>SUM(W185:W187)</f>
        <v>602.53557999999998</v>
      </c>
      <c r="X184" s="5338"/>
      <c r="Y184" s="5339"/>
      <c r="Z184" s="5337">
        <f>SUM(Z185:Z187)</f>
        <v>807.19454999999994</v>
      </c>
      <c r="AA184" s="5338"/>
      <c r="AB184" s="5339"/>
      <c r="AC184" s="5337">
        <f>SUM(AC185:AC187)</f>
        <v>2231.3361199999999</v>
      </c>
      <c r="AD184" s="5338"/>
      <c r="AE184" s="5339"/>
      <c r="AF184" s="5343">
        <f>SUM(B184+Q184)</f>
        <v>3533.4110000000001</v>
      </c>
      <c r="AG184" s="5344"/>
      <c r="AH184" s="5345"/>
      <c r="AI184" s="5340">
        <f>SUM(N184+AC184)</f>
        <v>4579.0710199999994</v>
      </c>
      <c r="AJ184" s="5341"/>
      <c r="AK184" s="5342"/>
      <c r="AL184" s="5340">
        <f>SUM(AI184-AF184)</f>
        <v>1045.6600199999993</v>
      </c>
      <c r="AM184" s="5341"/>
      <c r="AN184" s="5342"/>
      <c r="AO184" s="5334">
        <f>SUM(AO185:AO187)</f>
        <v>1766.7055</v>
      </c>
      <c r="AP184" s="5335"/>
      <c r="AQ184" s="5336"/>
      <c r="AR184" s="5337">
        <f>SUM(AR185:AR187)</f>
        <v>683.30016999999998</v>
      </c>
      <c r="AS184" s="5338"/>
      <c r="AT184" s="5339"/>
      <c r="AU184" s="5337">
        <f>SUM(AU185:AU187)</f>
        <v>0</v>
      </c>
      <c r="AV184" s="5338"/>
      <c r="AW184" s="5339"/>
      <c r="AX184" s="5337">
        <f>SUM(AX185:AX187)</f>
        <v>0</v>
      </c>
      <c r="AY184" s="5338"/>
      <c r="AZ184" s="5339"/>
      <c r="BA184" s="5337">
        <f>SUM(BA185:BA187)</f>
        <v>683.30016999999998</v>
      </c>
      <c r="BB184" s="5338"/>
      <c r="BC184" s="5339"/>
      <c r="BD184" s="5343">
        <f t="shared" ref="BD184" si="1084">SUM(AF184+AO184)</f>
        <v>5300.1165000000001</v>
      </c>
      <c r="BE184" s="5344"/>
      <c r="BF184" s="5345"/>
      <c r="BG184" s="5340">
        <f>SUM(BA184+AI184)</f>
        <v>5262.3711899999998</v>
      </c>
      <c r="BH184" s="5341"/>
      <c r="BI184" s="5342"/>
      <c r="BJ184" s="5340">
        <f>SUM(BG184-BD184)</f>
        <v>-37.745310000000245</v>
      </c>
      <c r="BK184" s="5341"/>
      <c r="BL184" s="5342"/>
      <c r="BM184" s="5334">
        <f>SUM(BM185:BM187)</f>
        <v>1766.7055</v>
      </c>
      <c r="BN184" s="5335"/>
      <c r="BO184" s="5336"/>
      <c r="BP184" s="5337">
        <f>SUM(BP185:BP187)</f>
        <v>0</v>
      </c>
      <c r="BQ184" s="5338"/>
      <c r="BR184" s="5339"/>
      <c r="BS184" s="5337">
        <f>SUM(BS185:BS187)</f>
        <v>0</v>
      </c>
      <c r="BT184" s="5338"/>
      <c r="BU184" s="5339"/>
      <c r="BV184" s="5337">
        <f>SUM(BV185:BV187)</f>
        <v>0</v>
      </c>
      <c r="BW184" s="5338"/>
      <c r="BX184" s="5339"/>
      <c r="BY184" s="5337">
        <f>SUM(BY185:BY187)</f>
        <v>0</v>
      </c>
      <c r="BZ184" s="5338"/>
      <c r="CA184" s="5339"/>
      <c r="CB184" s="5343">
        <f t="shared" ref="CB184:CB188" si="1085">SUM(BM184+BD184)</f>
        <v>7066.8220000000001</v>
      </c>
      <c r="CC184" s="5344"/>
      <c r="CD184" s="5345"/>
      <c r="CE184" s="5340">
        <f>SUM(BY184+BG184)</f>
        <v>5262.3711899999998</v>
      </c>
      <c r="CF184" s="5341"/>
      <c r="CG184" s="5342"/>
      <c r="CH184" s="5340">
        <f>SUM(CE184-CB184)</f>
        <v>-1804.4508100000003</v>
      </c>
      <c r="CI184" s="5341"/>
      <c r="CJ184" s="5342"/>
    </row>
    <row r="185" spans="1:90" ht="35.25" customHeight="1" x14ac:dyDescent="0.2">
      <c r="A185" s="4421" t="s">
        <v>3764</v>
      </c>
      <c r="B185" s="5352">
        <f>SUM(B130)</f>
        <v>1443.2055</v>
      </c>
      <c r="C185" s="5353"/>
      <c r="D185" s="5354"/>
      <c r="E185" s="5352">
        <f>SUM(E130)</f>
        <v>975.32799999999997</v>
      </c>
      <c r="F185" s="5353"/>
      <c r="G185" s="5354"/>
      <c r="H185" s="5352">
        <f>SUM(H130)</f>
        <v>616.23424999999997</v>
      </c>
      <c r="I185" s="5353"/>
      <c r="J185" s="5354"/>
      <c r="K185" s="5352">
        <f>SUM(K130)</f>
        <v>688.89152000000001</v>
      </c>
      <c r="L185" s="5353"/>
      <c r="M185" s="5354"/>
      <c r="N185" s="5274">
        <f>SUM(E185+H185+K185)</f>
        <v>2280.4537700000001</v>
      </c>
      <c r="O185" s="5275"/>
      <c r="P185" s="5276"/>
      <c r="Q185" s="5352">
        <f>SUM(Q130)</f>
        <v>1443.2055</v>
      </c>
      <c r="R185" s="5353"/>
      <c r="S185" s="5354"/>
      <c r="T185" s="5352">
        <f>SUM(T130)</f>
        <v>801.24153999999999</v>
      </c>
      <c r="U185" s="5353"/>
      <c r="V185" s="5354"/>
      <c r="W185" s="5352">
        <f>SUM(W130)</f>
        <v>599.63535999999999</v>
      </c>
      <c r="X185" s="5353"/>
      <c r="Y185" s="5354"/>
      <c r="Z185" s="5352">
        <f>SUM(Z130)</f>
        <v>801.12261999999998</v>
      </c>
      <c r="AA185" s="5353"/>
      <c r="AB185" s="5354"/>
      <c r="AC185" s="5274">
        <f>SUM(T185+W185+Z185)</f>
        <v>2201.9995199999998</v>
      </c>
      <c r="AD185" s="5275"/>
      <c r="AE185" s="5276"/>
      <c r="AF185" s="5346">
        <f>SUM(B185+Q185)</f>
        <v>2886.4110000000001</v>
      </c>
      <c r="AG185" s="5347"/>
      <c r="AH185" s="5348"/>
      <c r="AI185" s="5349">
        <f t="shared" ref="AI185:AI188" si="1086">SUM(N185+AC185)</f>
        <v>4482.4532899999995</v>
      </c>
      <c r="AJ185" s="5350"/>
      <c r="AK185" s="5351"/>
      <c r="AL185" s="5349">
        <f t="shared" ref="AL185:AL188" si="1087">SUM(AI185-AF185)</f>
        <v>1596.0422899999994</v>
      </c>
      <c r="AM185" s="5350"/>
      <c r="AN185" s="5351"/>
      <c r="AO185" s="5352">
        <f>SUM(AO130)</f>
        <v>1443.2055</v>
      </c>
      <c r="AP185" s="5353"/>
      <c r="AQ185" s="5354"/>
      <c r="AR185" s="5352">
        <f>SUM(AR130)</f>
        <v>663.92764999999997</v>
      </c>
      <c r="AS185" s="5353"/>
      <c r="AT185" s="5354"/>
      <c r="AU185" s="5352">
        <f>SUM(AU130)</f>
        <v>0</v>
      </c>
      <c r="AV185" s="5353"/>
      <c r="AW185" s="5354"/>
      <c r="AX185" s="5352">
        <f>SUM(AX130)</f>
        <v>0</v>
      </c>
      <c r="AY185" s="5353"/>
      <c r="AZ185" s="5354"/>
      <c r="BA185" s="5274">
        <f>SUM(AR185+AU185+AX185)</f>
        <v>663.92764999999997</v>
      </c>
      <c r="BB185" s="5275"/>
      <c r="BC185" s="5276"/>
      <c r="BD185" s="5346">
        <f>SUM(AF185+AO185)</f>
        <v>4329.6165000000001</v>
      </c>
      <c r="BE185" s="5347"/>
      <c r="BF185" s="5348"/>
      <c r="BG185" s="5349">
        <f t="shared" ref="BG185:BG188" si="1088">SUM(BA185+AI185)</f>
        <v>5146.3809399999991</v>
      </c>
      <c r="BH185" s="5350"/>
      <c r="BI185" s="5351"/>
      <c r="BJ185" s="5349">
        <f>SUM(BG185-BD185)</f>
        <v>816.76443999999901</v>
      </c>
      <c r="BK185" s="5350"/>
      <c r="BL185" s="5351"/>
      <c r="BM185" s="5352">
        <f>SUM(BM130)</f>
        <v>1443.2055</v>
      </c>
      <c r="BN185" s="5353"/>
      <c r="BO185" s="5354"/>
      <c r="BP185" s="5352">
        <f>SUM(BP130)</f>
        <v>0</v>
      </c>
      <c r="BQ185" s="5353"/>
      <c r="BR185" s="5354"/>
      <c r="BS185" s="5352">
        <f>SUM(BS130)</f>
        <v>0</v>
      </c>
      <c r="BT185" s="5353"/>
      <c r="BU185" s="5354"/>
      <c r="BV185" s="5352">
        <f>SUM(BV130)</f>
        <v>0</v>
      </c>
      <c r="BW185" s="5353"/>
      <c r="BX185" s="5354"/>
      <c r="BY185" s="5274">
        <f>SUM(BP185+BS185+BV185)</f>
        <v>0</v>
      </c>
      <c r="BZ185" s="5275"/>
      <c r="CA185" s="5276"/>
      <c r="CB185" s="5346">
        <f t="shared" si="1085"/>
        <v>5772.8220000000001</v>
      </c>
      <c r="CC185" s="5347"/>
      <c r="CD185" s="5348"/>
      <c r="CE185" s="5349">
        <f t="shared" ref="CE185:CE188" si="1089">SUM(BY185+BG185)</f>
        <v>5146.3809399999991</v>
      </c>
      <c r="CF185" s="5350"/>
      <c r="CG185" s="5351"/>
      <c r="CH185" s="5349">
        <f>SUM(CE185-CB185)</f>
        <v>-626.44106000000102</v>
      </c>
      <c r="CI185" s="5350"/>
      <c r="CJ185" s="5351"/>
    </row>
    <row r="186" spans="1:90" ht="18.75" customHeight="1" x14ac:dyDescent="0.2">
      <c r="A186" s="4386" t="s">
        <v>3765</v>
      </c>
      <c r="B186" s="5352">
        <f>SUM(B131)</f>
        <v>67.5</v>
      </c>
      <c r="C186" s="5353"/>
      <c r="D186" s="5354"/>
      <c r="E186" s="5352">
        <f>SUM(E131)</f>
        <v>0</v>
      </c>
      <c r="F186" s="5353"/>
      <c r="G186" s="5354"/>
      <c r="H186" s="5352">
        <f>SUM(H131)</f>
        <v>0</v>
      </c>
      <c r="I186" s="5353"/>
      <c r="J186" s="5354"/>
      <c r="K186" s="5352">
        <f>SUM(K131)</f>
        <v>0</v>
      </c>
      <c r="L186" s="5353"/>
      <c r="M186" s="5354"/>
      <c r="N186" s="5274">
        <f>SUM(E186+H186+K186)</f>
        <v>0</v>
      </c>
      <c r="O186" s="5275"/>
      <c r="P186" s="5276"/>
      <c r="Q186" s="5352">
        <f>SUM(Q131)</f>
        <v>67.5</v>
      </c>
      <c r="R186" s="5353"/>
      <c r="S186" s="5354"/>
      <c r="T186" s="5352">
        <f>SUM(T131)</f>
        <v>0</v>
      </c>
      <c r="U186" s="5353"/>
      <c r="V186" s="5354"/>
      <c r="W186" s="5352">
        <f>SUM(W131)</f>
        <v>0</v>
      </c>
      <c r="X186" s="5353"/>
      <c r="Y186" s="5354"/>
      <c r="Z186" s="5352">
        <f>SUM(Z131)</f>
        <v>0</v>
      </c>
      <c r="AA186" s="5353"/>
      <c r="AB186" s="5354"/>
      <c r="AC186" s="5274">
        <f>SUM(T186+W186+Z186)</f>
        <v>0</v>
      </c>
      <c r="AD186" s="5275"/>
      <c r="AE186" s="5276"/>
      <c r="AF186" s="5346">
        <f>SUM(B186+Q186)</f>
        <v>135</v>
      </c>
      <c r="AG186" s="5347"/>
      <c r="AH186" s="5348"/>
      <c r="AI186" s="5349">
        <f t="shared" si="1086"/>
        <v>0</v>
      </c>
      <c r="AJ186" s="5350"/>
      <c r="AK186" s="5351"/>
      <c r="AL186" s="5349">
        <f t="shared" si="1087"/>
        <v>-135</v>
      </c>
      <c r="AM186" s="5350"/>
      <c r="AN186" s="5351"/>
      <c r="AO186" s="5352">
        <f>SUM(AO131)</f>
        <v>67.5</v>
      </c>
      <c r="AP186" s="5353"/>
      <c r="AQ186" s="5354"/>
      <c r="AR186" s="5352">
        <f>SUM(AR131)</f>
        <v>0</v>
      </c>
      <c r="AS186" s="5353"/>
      <c r="AT186" s="5354"/>
      <c r="AU186" s="5352">
        <f>SUM(AU131)</f>
        <v>0</v>
      </c>
      <c r="AV186" s="5353"/>
      <c r="AW186" s="5354"/>
      <c r="AX186" s="5352">
        <f>SUM(AX131)</f>
        <v>0</v>
      </c>
      <c r="AY186" s="5353"/>
      <c r="AZ186" s="5354"/>
      <c r="BA186" s="5274">
        <f>SUM(AR186+AU186+AX186)</f>
        <v>0</v>
      </c>
      <c r="BB186" s="5275"/>
      <c r="BC186" s="5276"/>
      <c r="BD186" s="5346">
        <f>SUM(AF186+AO186)</f>
        <v>202.5</v>
      </c>
      <c r="BE186" s="5347"/>
      <c r="BF186" s="5348"/>
      <c r="BG186" s="5349">
        <f t="shared" si="1088"/>
        <v>0</v>
      </c>
      <c r="BH186" s="5350"/>
      <c r="BI186" s="5351"/>
      <c r="BJ186" s="5349">
        <f>SUM(BG186-BD186)</f>
        <v>-202.5</v>
      </c>
      <c r="BK186" s="5350"/>
      <c r="BL186" s="5351"/>
      <c r="BM186" s="5352">
        <f>SUM(BM131)</f>
        <v>67.5</v>
      </c>
      <c r="BN186" s="5353"/>
      <c r="BO186" s="5354"/>
      <c r="BP186" s="5352">
        <f>SUM(BP131)</f>
        <v>0</v>
      </c>
      <c r="BQ186" s="5353"/>
      <c r="BR186" s="5354"/>
      <c r="BS186" s="5352">
        <f>SUM(BS131)</f>
        <v>0</v>
      </c>
      <c r="BT186" s="5353"/>
      <c r="BU186" s="5354"/>
      <c r="BV186" s="5352">
        <f>SUM(BV131)</f>
        <v>0</v>
      </c>
      <c r="BW186" s="5353"/>
      <c r="BX186" s="5354"/>
      <c r="BY186" s="5274">
        <f>SUM(BP186+BS186+BV186)</f>
        <v>0</v>
      </c>
      <c r="BZ186" s="5275"/>
      <c r="CA186" s="5276"/>
      <c r="CB186" s="5346">
        <f t="shared" si="1085"/>
        <v>270</v>
      </c>
      <c r="CC186" s="5347"/>
      <c r="CD186" s="5348"/>
      <c r="CE186" s="5349">
        <f t="shared" si="1089"/>
        <v>0</v>
      </c>
      <c r="CF186" s="5350"/>
      <c r="CG186" s="5351"/>
      <c r="CH186" s="5349">
        <f>SUM(CE186-CB186)</f>
        <v>-270</v>
      </c>
      <c r="CI186" s="5350"/>
      <c r="CJ186" s="5351"/>
    </row>
    <row r="187" spans="1:90" ht="18.75" customHeight="1" x14ac:dyDescent="0.2">
      <c r="A187" s="4386" t="s">
        <v>3715</v>
      </c>
      <c r="B187" s="5352">
        <f>SUM(B132)</f>
        <v>256</v>
      </c>
      <c r="C187" s="5353"/>
      <c r="D187" s="5354"/>
      <c r="E187" s="5352">
        <f>SUM(E132)</f>
        <v>25.39</v>
      </c>
      <c r="F187" s="5353"/>
      <c r="G187" s="5354"/>
      <c r="H187" s="5352">
        <f>SUM(H132)</f>
        <v>37.930660000000003</v>
      </c>
      <c r="I187" s="5353"/>
      <c r="J187" s="5354"/>
      <c r="K187" s="5352">
        <f>SUM(K132)</f>
        <v>3.9604699999999999</v>
      </c>
      <c r="L187" s="5353"/>
      <c r="M187" s="5354"/>
      <c r="N187" s="5274">
        <f>SUM(E187+H187+K187)</f>
        <v>67.281130000000005</v>
      </c>
      <c r="O187" s="5275"/>
      <c r="P187" s="5276"/>
      <c r="Q187" s="5352">
        <f>SUM(Q132)</f>
        <v>256</v>
      </c>
      <c r="R187" s="5353"/>
      <c r="S187" s="5354"/>
      <c r="T187" s="5352">
        <f>SUM(T132)</f>
        <v>20.364450000000001</v>
      </c>
      <c r="U187" s="5353"/>
      <c r="V187" s="5354"/>
      <c r="W187" s="5352">
        <f>SUM(W132)</f>
        <v>2.90022</v>
      </c>
      <c r="X187" s="5353"/>
      <c r="Y187" s="5354"/>
      <c r="Z187" s="5352">
        <f>SUM(Z132)</f>
        <v>6.07193</v>
      </c>
      <c r="AA187" s="5353"/>
      <c r="AB187" s="5354"/>
      <c r="AC187" s="5274">
        <f>SUM(T187+W187+Z187)</f>
        <v>29.336600000000004</v>
      </c>
      <c r="AD187" s="5275"/>
      <c r="AE187" s="5276"/>
      <c r="AF187" s="5346">
        <f>SUM(B187+Q187)</f>
        <v>512</v>
      </c>
      <c r="AG187" s="5347"/>
      <c r="AH187" s="5348"/>
      <c r="AI187" s="5349">
        <f t="shared" si="1086"/>
        <v>96.617730000000009</v>
      </c>
      <c r="AJ187" s="5350"/>
      <c r="AK187" s="5351"/>
      <c r="AL187" s="5349">
        <f t="shared" si="1087"/>
        <v>-415.38227000000001</v>
      </c>
      <c r="AM187" s="5350"/>
      <c r="AN187" s="5351"/>
      <c r="AO187" s="5352">
        <f>SUM(AO132)</f>
        <v>256</v>
      </c>
      <c r="AP187" s="5353"/>
      <c r="AQ187" s="5354"/>
      <c r="AR187" s="5352">
        <f>SUM(AR132)</f>
        <v>19.372520000000002</v>
      </c>
      <c r="AS187" s="5353"/>
      <c r="AT187" s="5354"/>
      <c r="AU187" s="5352">
        <f>SUM(AU132)</f>
        <v>0</v>
      </c>
      <c r="AV187" s="5353"/>
      <c r="AW187" s="5354"/>
      <c r="AX187" s="5352">
        <f>SUM(AX132)</f>
        <v>0</v>
      </c>
      <c r="AY187" s="5353"/>
      <c r="AZ187" s="5354"/>
      <c r="BA187" s="5274">
        <f>SUM(AR187+AU187+AX187)</f>
        <v>19.372520000000002</v>
      </c>
      <c r="BB187" s="5275"/>
      <c r="BC187" s="5276"/>
      <c r="BD187" s="5346">
        <f>SUM(AF187+AO187)</f>
        <v>768</v>
      </c>
      <c r="BE187" s="5347"/>
      <c r="BF187" s="5348"/>
      <c r="BG187" s="5349">
        <f t="shared" si="1088"/>
        <v>115.99025</v>
      </c>
      <c r="BH187" s="5350"/>
      <c r="BI187" s="5351"/>
      <c r="BJ187" s="5349">
        <f>SUM(BG187-BD187)</f>
        <v>-652.00974999999994</v>
      </c>
      <c r="BK187" s="5350"/>
      <c r="BL187" s="5351"/>
      <c r="BM187" s="5352">
        <f>SUM(BM132)</f>
        <v>256</v>
      </c>
      <c r="BN187" s="5353"/>
      <c r="BO187" s="5354"/>
      <c r="BP187" s="5352">
        <f>SUM(BP132)</f>
        <v>0</v>
      </c>
      <c r="BQ187" s="5353"/>
      <c r="BR187" s="5354"/>
      <c r="BS187" s="5352">
        <f>SUM(BS132)</f>
        <v>0</v>
      </c>
      <c r="BT187" s="5353"/>
      <c r="BU187" s="5354"/>
      <c r="BV187" s="5352">
        <f>SUM(BV132)</f>
        <v>0</v>
      </c>
      <c r="BW187" s="5353"/>
      <c r="BX187" s="5354"/>
      <c r="BY187" s="5274">
        <f>SUM(BP187+BS187+BV187)</f>
        <v>0</v>
      </c>
      <c r="BZ187" s="5275"/>
      <c r="CA187" s="5276"/>
      <c r="CB187" s="5346">
        <f t="shared" si="1085"/>
        <v>1024</v>
      </c>
      <c r="CC187" s="5347"/>
      <c r="CD187" s="5348"/>
      <c r="CE187" s="5349">
        <f t="shared" si="1089"/>
        <v>115.99025</v>
      </c>
      <c r="CF187" s="5350"/>
      <c r="CG187" s="5351"/>
      <c r="CH187" s="5349">
        <f>SUM(CE187-CB187)</f>
        <v>-908.00974999999994</v>
      </c>
      <c r="CI187" s="5350"/>
      <c r="CJ187" s="5351"/>
    </row>
    <row r="188" spans="1:90" ht="18.75" customHeight="1" x14ac:dyDescent="0.3">
      <c r="A188" s="4376" t="s">
        <v>3716</v>
      </c>
      <c r="B188" s="5355">
        <f>SUM(B181+B184)</f>
        <v>33051.388152511616</v>
      </c>
      <c r="C188" s="5356"/>
      <c r="D188" s="5357"/>
      <c r="E188" s="5265">
        <f>SUM(E181+E184)</f>
        <v>12590.35108</v>
      </c>
      <c r="F188" s="5266"/>
      <c r="G188" s="5267"/>
      <c r="H188" s="5265">
        <f t="shared" ref="H188" si="1090">SUM(H181+H184)</f>
        <v>11014.95442</v>
      </c>
      <c r="I188" s="5266"/>
      <c r="J188" s="5267"/>
      <c r="K188" s="5265">
        <f t="shared" ref="K188" si="1091">SUM(K181+K184)</f>
        <v>11819.72445</v>
      </c>
      <c r="L188" s="5266"/>
      <c r="M188" s="5267"/>
      <c r="N188" s="5265">
        <f t="shared" ref="N188" si="1092">SUM(N181+N184)</f>
        <v>35425.029950000004</v>
      </c>
      <c r="O188" s="5266"/>
      <c r="P188" s="5267"/>
      <c r="Q188" s="5355">
        <f>SUM(Q181+Q184)</f>
        <v>33051.388152511616</v>
      </c>
      <c r="R188" s="5356"/>
      <c r="S188" s="5357"/>
      <c r="T188" s="5265">
        <f>SUM(T181+T184)</f>
        <v>12929.75848</v>
      </c>
      <c r="U188" s="5266"/>
      <c r="V188" s="5267"/>
      <c r="W188" s="5265">
        <f t="shared" ref="W188" si="1093">SUM(W181+W184)</f>
        <v>13021.153689999999</v>
      </c>
      <c r="X188" s="5266"/>
      <c r="Y188" s="5267"/>
      <c r="Z188" s="5265">
        <f t="shared" ref="Z188" si="1094">SUM(Z181+Z184)</f>
        <v>12397.621160000001</v>
      </c>
      <c r="AA188" s="5266"/>
      <c r="AB188" s="5267"/>
      <c r="AC188" s="5265">
        <f t="shared" ref="AC188" si="1095">SUM(AC181+AC184)</f>
        <v>38348.533329999998</v>
      </c>
      <c r="AD188" s="5266"/>
      <c r="AE188" s="5267"/>
      <c r="AF188" s="5343">
        <f>SUM(B188+Q188)</f>
        <v>66102.776305023232</v>
      </c>
      <c r="AG188" s="5344"/>
      <c r="AH188" s="5345"/>
      <c r="AI188" s="5340">
        <f t="shared" si="1086"/>
        <v>73773.563280000002</v>
      </c>
      <c r="AJ188" s="5341"/>
      <c r="AK188" s="5342"/>
      <c r="AL188" s="5340">
        <f t="shared" si="1087"/>
        <v>7670.7869749767706</v>
      </c>
      <c r="AM188" s="5341"/>
      <c r="AN188" s="5342"/>
      <c r="AO188" s="5355">
        <f>SUM(AO181+AO184)</f>
        <v>33051.388152511616</v>
      </c>
      <c r="AP188" s="5356"/>
      <c r="AQ188" s="5357"/>
      <c r="AR188" s="5265">
        <f>SUM(AR181+AR184)</f>
        <v>11786.435230000003</v>
      </c>
      <c r="AS188" s="5266"/>
      <c r="AT188" s="5267"/>
      <c r="AU188" s="5265">
        <f t="shared" ref="AU188" si="1096">SUM(AU181+AU184)</f>
        <v>0</v>
      </c>
      <c r="AV188" s="5266"/>
      <c r="AW188" s="5267"/>
      <c r="AX188" s="5265">
        <f t="shared" ref="AX188" si="1097">SUM(AX181+AX184)</f>
        <v>0</v>
      </c>
      <c r="AY188" s="5266"/>
      <c r="AZ188" s="5267"/>
      <c r="BA188" s="5265">
        <f t="shared" ref="BA188" si="1098">SUM(BA181+BA184)</f>
        <v>11786.435230000003</v>
      </c>
      <c r="BB188" s="5266"/>
      <c r="BC188" s="5267"/>
      <c r="BD188" s="5343">
        <f t="shared" ref="BD188" si="1099">SUM(AF188+AO188)</f>
        <v>99154.164457534847</v>
      </c>
      <c r="BE188" s="5344"/>
      <c r="BF188" s="5345"/>
      <c r="BG188" s="5340">
        <f t="shared" si="1088"/>
        <v>85559.998510000005</v>
      </c>
      <c r="BH188" s="5341"/>
      <c r="BI188" s="5342"/>
      <c r="BJ188" s="5340">
        <f>SUM(BG188-BD188)</f>
        <v>-13594.165947534842</v>
      </c>
      <c r="BK188" s="5341"/>
      <c r="BL188" s="5342"/>
      <c r="BM188" s="5355">
        <f>SUM(BM181+BM184)</f>
        <v>33051.388152511616</v>
      </c>
      <c r="BN188" s="5356"/>
      <c r="BO188" s="5357"/>
      <c r="BP188" s="5265">
        <f>SUM(BP181+BP184)</f>
        <v>0</v>
      </c>
      <c r="BQ188" s="5266"/>
      <c r="BR188" s="5267"/>
      <c r="BS188" s="5265">
        <f t="shared" ref="BS188" si="1100">SUM(BS181+BS184)</f>
        <v>0</v>
      </c>
      <c r="BT188" s="5266"/>
      <c r="BU188" s="5267"/>
      <c r="BV188" s="5265">
        <f t="shared" ref="BV188" si="1101">SUM(BV181+BV184)</f>
        <v>0</v>
      </c>
      <c r="BW188" s="5266"/>
      <c r="BX188" s="5267"/>
      <c r="BY188" s="5265">
        <f t="shared" ref="BY188" si="1102">SUM(BY181+BY184)</f>
        <v>0</v>
      </c>
      <c r="BZ188" s="5266"/>
      <c r="CA188" s="5267"/>
      <c r="CB188" s="5343">
        <f t="shared" si="1085"/>
        <v>132205.55261004646</v>
      </c>
      <c r="CC188" s="5344"/>
      <c r="CD188" s="5345"/>
      <c r="CE188" s="5340">
        <f t="shared" si="1089"/>
        <v>85559.998510000005</v>
      </c>
      <c r="CF188" s="5341"/>
      <c r="CG188" s="5342"/>
      <c r="CH188" s="5340">
        <f>SUM(CE188-CB188)</f>
        <v>-46645.554100046458</v>
      </c>
      <c r="CI188" s="5341"/>
      <c r="CJ188" s="5342"/>
    </row>
    <row r="189" spans="1:90" ht="18.75" customHeight="1" x14ac:dyDescent="0.2"/>
    <row r="190" spans="1:90" ht="18.75" customHeight="1" x14ac:dyDescent="0.2">
      <c r="A190" s="2865"/>
    </row>
    <row r="191" spans="1:90" ht="18.75" customHeight="1" x14ac:dyDescent="0.2">
      <c r="A191" s="2865"/>
      <c r="CK191" s="5"/>
      <c r="CL191" s="5"/>
    </row>
    <row r="192" spans="1:90" ht="18.75" customHeight="1" x14ac:dyDescent="0.2">
      <c r="CK192" s="5"/>
      <c r="CL192" s="5"/>
    </row>
    <row r="193" spans="1:90" ht="18.75" customHeight="1" x14ac:dyDescent="0.3">
      <c r="A193" s="2792" t="s">
        <v>4237</v>
      </c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</row>
    <row r="194" spans="1:90" ht="25.5" customHeight="1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</row>
    <row r="195" spans="1:90" ht="25.5" customHeight="1" x14ac:dyDescent="0.2">
      <c r="A195" s="5323" t="s">
        <v>525</v>
      </c>
      <c r="B195" s="5305" t="s">
        <v>3678</v>
      </c>
      <c r="C195" s="5306"/>
      <c r="D195" s="5306"/>
      <c r="E195" s="5306"/>
      <c r="F195" s="5306"/>
      <c r="G195" s="5306"/>
      <c r="H195" s="5306"/>
      <c r="I195" s="5306"/>
      <c r="J195" s="5306"/>
      <c r="K195" s="5306"/>
      <c r="L195" s="5306"/>
      <c r="M195" s="5306"/>
      <c r="N195" s="5306"/>
      <c r="O195" s="5306"/>
      <c r="P195" s="5307"/>
      <c r="Q195" s="5296" t="s">
        <v>3679</v>
      </c>
      <c r="R195" s="5297"/>
      <c r="S195" s="5297"/>
      <c r="T195" s="5297"/>
      <c r="U195" s="5297"/>
      <c r="V195" s="5297"/>
      <c r="W195" s="5297"/>
      <c r="X195" s="5297"/>
      <c r="Y195" s="5297"/>
      <c r="Z195" s="5297"/>
      <c r="AA195" s="5297"/>
      <c r="AB195" s="5297"/>
      <c r="AC195" s="5297"/>
      <c r="AD195" s="5308"/>
      <c r="AE195" s="5309"/>
      <c r="AF195" s="5292" t="s">
        <v>3680</v>
      </c>
      <c r="AG195" s="5293"/>
      <c r="AH195" s="5293"/>
      <c r="AI195" s="5293"/>
      <c r="AJ195" s="5293"/>
      <c r="AK195" s="5293"/>
      <c r="AL195" s="5293"/>
      <c r="AM195" s="5310"/>
      <c r="AN195" s="5311"/>
      <c r="AO195" s="5305" t="s">
        <v>3681</v>
      </c>
      <c r="AP195" s="5306"/>
      <c r="AQ195" s="5306"/>
      <c r="AR195" s="5306"/>
      <c r="AS195" s="5306"/>
      <c r="AT195" s="5306"/>
      <c r="AU195" s="5306"/>
      <c r="AV195" s="5306"/>
      <c r="AW195" s="5306"/>
      <c r="AX195" s="5306"/>
      <c r="AY195" s="5306"/>
      <c r="AZ195" s="5306"/>
      <c r="BA195" s="5306"/>
      <c r="BB195" s="5310"/>
      <c r="BC195" s="5311"/>
      <c r="BD195" s="5292" t="s">
        <v>3682</v>
      </c>
      <c r="BE195" s="5293"/>
      <c r="BF195" s="5293"/>
      <c r="BG195" s="5293"/>
      <c r="BH195" s="5293"/>
      <c r="BI195" s="5293"/>
      <c r="BJ195" s="5293"/>
      <c r="BK195" s="5310"/>
      <c r="BL195" s="5311"/>
      <c r="BM195" s="5305" t="s">
        <v>3683</v>
      </c>
      <c r="BN195" s="5306"/>
      <c r="BO195" s="5306"/>
      <c r="BP195" s="5306"/>
      <c r="BQ195" s="5306"/>
      <c r="BR195" s="5306"/>
      <c r="BS195" s="5306"/>
      <c r="BT195" s="5306"/>
      <c r="BU195" s="5306"/>
      <c r="BV195" s="5306"/>
      <c r="BW195" s="5306"/>
      <c r="BX195" s="5306"/>
      <c r="BY195" s="5306"/>
      <c r="BZ195" s="5310"/>
      <c r="CA195" s="5310"/>
      <c r="CB195" s="5292" t="s">
        <v>1991</v>
      </c>
      <c r="CC195" s="5293"/>
      <c r="CD195" s="5293"/>
      <c r="CE195" s="5293"/>
      <c r="CF195" s="5293"/>
      <c r="CG195" s="5293"/>
      <c r="CH195" s="5293"/>
      <c r="CI195" s="5294"/>
      <c r="CJ195" s="5295"/>
      <c r="CK195" s="5"/>
      <c r="CL195" s="5"/>
    </row>
    <row r="196" spans="1:90" ht="18.75" customHeight="1" x14ac:dyDescent="0.3">
      <c r="A196" s="5324"/>
      <c r="B196" s="5296" t="s">
        <v>3550</v>
      </c>
      <c r="C196" s="5297"/>
      <c r="D196" s="5298"/>
      <c r="E196" s="5299" t="s">
        <v>569</v>
      </c>
      <c r="F196" s="5300"/>
      <c r="G196" s="5301"/>
      <c r="H196" s="5299" t="s">
        <v>570</v>
      </c>
      <c r="I196" s="5300"/>
      <c r="J196" s="5301"/>
      <c r="K196" s="5299" t="s">
        <v>571</v>
      </c>
      <c r="L196" s="5300"/>
      <c r="M196" s="5301"/>
      <c r="N196" s="5296" t="s">
        <v>1674</v>
      </c>
      <c r="O196" s="5297"/>
      <c r="P196" s="5298"/>
      <c r="Q196" s="5296" t="s">
        <v>3550</v>
      </c>
      <c r="R196" s="5297"/>
      <c r="S196" s="5298"/>
      <c r="T196" s="5302" t="s">
        <v>3684</v>
      </c>
      <c r="U196" s="5303"/>
      <c r="V196" s="5304"/>
      <c r="W196" s="5302" t="s">
        <v>573</v>
      </c>
      <c r="X196" s="5303"/>
      <c r="Y196" s="5304"/>
      <c r="Z196" s="5302" t="s">
        <v>574</v>
      </c>
      <c r="AA196" s="5303"/>
      <c r="AB196" s="5304"/>
      <c r="AC196" s="5296" t="s">
        <v>1674</v>
      </c>
      <c r="AD196" s="5297"/>
      <c r="AE196" s="5298"/>
      <c r="AF196" s="5312" t="s">
        <v>3550</v>
      </c>
      <c r="AG196" s="5313"/>
      <c r="AH196" s="5314"/>
      <c r="AI196" s="5312" t="s">
        <v>1674</v>
      </c>
      <c r="AJ196" s="5313"/>
      <c r="AK196" s="5314"/>
      <c r="AL196" s="5312" t="s">
        <v>3685</v>
      </c>
      <c r="AM196" s="5313"/>
      <c r="AN196" s="5314"/>
      <c r="AO196" s="5328" t="s">
        <v>3550</v>
      </c>
      <c r="AP196" s="5329"/>
      <c r="AQ196" s="5330"/>
      <c r="AR196" s="5331" t="s">
        <v>575</v>
      </c>
      <c r="AS196" s="5332"/>
      <c r="AT196" s="5333"/>
      <c r="AU196" s="5331" t="s">
        <v>576</v>
      </c>
      <c r="AV196" s="5332"/>
      <c r="AW196" s="5333"/>
      <c r="AX196" s="5331" t="s">
        <v>577</v>
      </c>
      <c r="AY196" s="5332"/>
      <c r="AZ196" s="5333"/>
      <c r="BA196" s="5328" t="s">
        <v>1674</v>
      </c>
      <c r="BB196" s="5329"/>
      <c r="BC196" s="5330"/>
      <c r="BD196" s="5325" t="s">
        <v>3550</v>
      </c>
      <c r="BE196" s="5326"/>
      <c r="BF196" s="5327"/>
      <c r="BG196" s="5325" t="s">
        <v>1674</v>
      </c>
      <c r="BH196" s="5326"/>
      <c r="BI196" s="5327"/>
      <c r="BJ196" s="5325" t="s">
        <v>3685</v>
      </c>
      <c r="BK196" s="5326"/>
      <c r="BL196" s="5327"/>
      <c r="BM196" s="5315" t="s">
        <v>3550</v>
      </c>
      <c r="BN196" s="5316"/>
      <c r="BO196" s="5317"/>
      <c r="BP196" s="5315" t="s">
        <v>578</v>
      </c>
      <c r="BQ196" s="5316"/>
      <c r="BR196" s="5317"/>
      <c r="BS196" s="5315" t="s">
        <v>579</v>
      </c>
      <c r="BT196" s="5316"/>
      <c r="BU196" s="5317"/>
      <c r="BV196" s="5315" t="s">
        <v>580</v>
      </c>
      <c r="BW196" s="5316"/>
      <c r="BX196" s="5317"/>
      <c r="BY196" s="5315" t="s">
        <v>1674</v>
      </c>
      <c r="BZ196" s="5316"/>
      <c r="CA196" s="5316"/>
      <c r="CB196" s="5318" t="s">
        <v>3550</v>
      </c>
      <c r="CC196" s="5319"/>
      <c r="CD196" s="5320"/>
      <c r="CE196" s="5318" t="s">
        <v>1674</v>
      </c>
      <c r="CF196" s="5319"/>
      <c r="CG196" s="5320"/>
      <c r="CH196" s="5318" t="s">
        <v>3685</v>
      </c>
      <c r="CI196" s="5321"/>
      <c r="CJ196" s="5322"/>
      <c r="CK196" s="389"/>
      <c r="CL196" s="5"/>
    </row>
    <row r="197" spans="1:90" ht="18.75" customHeight="1" x14ac:dyDescent="0.3">
      <c r="A197" s="5324"/>
      <c r="B197" s="4374" t="s">
        <v>614</v>
      </c>
      <c r="C197" s="4374" t="s">
        <v>3753</v>
      </c>
      <c r="D197" s="4374" t="s">
        <v>3754</v>
      </c>
      <c r="E197" s="4374" t="s">
        <v>614</v>
      </c>
      <c r="F197" s="4374" t="s">
        <v>3753</v>
      </c>
      <c r="G197" s="4374" t="s">
        <v>3754</v>
      </c>
      <c r="H197" s="4374" t="s">
        <v>614</v>
      </c>
      <c r="I197" s="4374" t="s">
        <v>3753</v>
      </c>
      <c r="J197" s="4374" t="s">
        <v>3754</v>
      </c>
      <c r="K197" s="4374" t="s">
        <v>614</v>
      </c>
      <c r="L197" s="4374" t="s">
        <v>3753</v>
      </c>
      <c r="M197" s="4374" t="s">
        <v>3754</v>
      </c>
      <c r="N197" s="4374" t="s">
        <v>614</v>
      </c>
      <c r="O197" s="4374" t="s">
        <v>3753</v>
      </c>
      <c r="P197" s="4374" t="s">
        <v>3754</v>
      </c>
      <c r="Q197" s="4374" t="s">
        <v>614</v>
      </c>
      <c r="R197" s="4374" t="s">
        <v>3753</v>
      </c>
      <c r="S197" s="4374" t="s">
        <v>3754</v>
      </c>
      <c r="T197" s="4374" t="s">
        <v>614</v>
      </c>
      <c r="U197" s="4374" t="s">
        <v>3753</v>
      </c>
      <c r="V197" s="4374" t="s">
        <v>3754</v>
      </c>
      <c r="W197" s="4374" t="s">
        <v>614</v>
      </c>
      <c r="X197" s="4374" t="s">
        <v>3753</v>
      </c>
      <c r="Y197" s="4374" t="s">
        <v>3754</v>
      </c>
      <c r="Z197" s="4374" t="s">
        <v>614</v>
      </c>
      <c r="AA197" s="4374" t="s">
        <v>3753</v>
      </c>
      <c r="AB197" s="4374" t="s">
        <v>3754</v>
      </c>
      <c r="AC197" s="4374" t="s">
        <v>614</v>
      </c>
      <c r="AD197" s="4374" t="s">
        <v>3753</v>
      </c>
      <c r="AE197" s="4374" t="s">
        <v>3754</v>
      </c>
      <c r="AF197" s="4375" t="s">
        <v>614</v>
      </c>
      <c r="AG197" s="4375" t="s">
        <v>3753</v>
      </c>
      <c r="AH197" s="4375" t="s">
        <v>3754</v>
      </c>
      <c r="AI197" s="4375" t="s">
        <v>614</v>
      </c>
      <c r="AJ197" s="4375" t="s">
        <v>3753</v>
      </c>
      <c r="AK197" s="4375" t="s">
        <v>3754</v>
      </c>
      <c r="AL197" s="4375" t="s">
        <v>614</v>
      </c>
      <c r="AM197" s="4375" t="s">
        <v>3753</v>
      </c>
      <c r="AN197" s="4375" t="s">
        <v>3754</v>
      </c>
      <c r="AO197" s="4374" t="s">
        <v>614</v>
      </c>
      <c r="AP197" s="4374" t="s">
        <v>3753</v>
      </c>
      <c r="AQ197" s="4374" t="s">
        <v>3754</v>
      </c>
      <c r="AR197" s="4374" t="s">
        <v>614</v>
      </c>
      <c r="AS197" s="4374" t="s">
        <v>3753</v>
      </c>
      <c r="AT197" s="4374" t="s">
        <v>3754</v>
      </c>
      <c r="AU197" s="4374" t="s">
        <v>614</v>
      </c>
      <c r="AV197" s="4374" t="s">
        <v>3753</v>
      </c>
      <c r="AW197" s="4374" t="s">
        <v>3754</v>
      </c>
      <c r="AX197" s="4374" t="s">
        <v>614</v>
      </c>
      <c r="AY197" s="4374" t="s">
        <v>3753</v>
      </c>
      <c r="AZ197" s="4374" t="s">
        <v>3754</v>
      </c>
      <c r="BA197" s="4374" t="s">
        <v>614</v>
      </c>
      <c r="BB197" s="4374" t="s">
        <v>3753</v>
      </c>
      <c r="BC197" s="4374" t="s">
        <v>3754</v>
      </c>
      <c r="BD197" s="4375" t="s">
        <v>614</v>
      </c>
      <c r="BE197" s="4375" t="s">
        <v>3753</v>
      </c>
      <c r="BF197" s="4375" t="s">
        <v>3754</v>
      </c>
      <c r="BG197" s="4375" t="s">
        <v>614</v>
      </c>
      <c r="BH197" s="4375" t="s">
        <v>3753</v>
      </c>
      <c r="BI197" s="4375" t="s">
        <v>3754</v>
      </c>
      <c r="BJ197" s="4375" t="s">
        <v>614</v>
      </c>
      <c r="BK197" s="4375" t="s">
        <v>3753</v>
      </c>
      <c r="BL197" s="4375" t="s">
        <v>3754</v>
      </c>
      <c r="BM197" s="4374" t="s">
        <v>614</v>
      </c>
      <c r="BN197" s="4374" t="s">
        <v>3753</v>
      </c>
      <c r="BO197" s="4374" t="s">
        <v>3754</v>
      </c>
      <c r="BP197" s="4374" t="s">
        <v>614</v>
      </c>
      <c r="BQ197" s="4374" t="s">
        <v>3753</v>
      </c>
      <c r="BR197" s="4374" t="s">
        <v>3754</v>
      </c>
      <c r="BS197" s="4374" t="s">
        <v>614</v>
      </c>
      <c r="BT197" s="4374" t="s">
        <v>3753</v>
      </c>
      <c r="BU197" s="4374" t="s">
        <v>3754</v>
      </c>
      <c r="BV197" s="4374" t="s">
        <v>614</v>
      </c>
      <c r="BW197" s="4374" t="s">
        <v>3753</v>
      </c>
      <c r="BX197" s="4374" t="s">
        <v>3754</v>
      </c>
      <c r="BY197" s="4374" t="s">
        <v>614</v>
      </c>
      <c r="BZ197" s="4374" t="s">
        <v>3753</v>
      </c>
      <c r="CA197" s="4374" t="s">
        <v>3754</v>
      </c>
      <c r="CB197" s="4375" t="s">
        <v>614</v>
      </c>
      <c r="CC197" s="4375" t="s">
        <v>3753</v>
      </c>
      <c r="CD197" s="4375" t="s">
        <v>3754</v>
      </c>
      <c r="CE197" s="4375" t="s">
        <v>614</v>
      </c>
      <c r="CF197" s="4375" t="s">
        <v>3753</v>
      </c>
      <c r="CG197" s="4375" t="s">
        <v>3754</v>
      </c>
      <c r="CH197" s="4375" t="s">
        <v>614</v>
      </c>
      <c r="CI197" s="4375" t="s">
        <v>3753</v>
      </c>
      <c r="CJ197" s="4375" t="s">
        <v>3754</v>
      </c>
      <c r="CK197" s="389"/>
      <c r="CL197" s="5"/>
    </row>
    <row r="198" spans="1:90" ht="18.75" customHeight="1" x14ac:dyDescent="0.3">
      <c r="A198" s="4445" t="s">
        <v>70</v>
      </c>
      <c r="B198" s="4462">
        <f t="shared" ref="B198" si="1103">SUM(B30+B50+B82+B102)</f>
        <v>2402.8131296850306</v>
      </c>
      <c r="C198" s="4462">
        <f t="shared" ref="C198:AE200" si="1104">SUM(C30+C50+C82+C102)</f>
        <v>2402.8131296850306</v>
      </c>
      <c r="D198" s="4462">
        <f t="shared" si="1104"/>
        <v>0</v>
      </c>
      <c r="E198" s="4463">
        <f t="shared" si="1104"/>
        <v>836.04700000000003</v>
      </c>
      <c r="F198" s="4463">
        <f t="shared" si="1104"/>
        <v>836.04700000000003</v>
      </c>
      <c r="G198" s="4463">
        <f t="shared" si="1104"/>
        <v>0</v>
      </c>
      <c r="H198" s="4463">
        <f t="shared" si="1104"/>
        <v>649.86234999999999</v>
      </c>
      <c r="I198" s="4463">
        <f t="shared" si="1104"/>
        <v>649.86234999999999</v>
      </c>
      <c r="J198" s="4463">
        <f t="shared" si="1104"/>
        <v>0</v>
      </c>
      <c r="K198" s="4463">
        <f t="shared" si="1104"/>
        <v>715.74200000000008</v>
      </c>
      <c r="L198" s="4463">
        <f t="shared" si="1104"/>
        <v>715.74200000000008</v>
      </c>
      <c r="M198" s="4463">
        <f t="shared" si="1104"/>
        <v>0</v>
      </c>
      <c r="N198" s="4463">
        <f t="shared" si="1104"/>
        <v>2201.6513500000001</v>
      </c>
      <c r="O198" s="4463">
        <f t="shared" si="1104"/>
        <v>2201.6513500000001</v>
      </c>
      <c r="P198" s="4463">
        <f t="shared" si="1104"/>
        <v>0</v>
      </c>
      <c r="Q198" s="4462">
        <f t="shared" si="1104"/>
        <v>2402.8131296850306</v>
      </c>
      <c r="R198" s="4462">
        <f t="shared" si="1104"/>
        <v>2402.8131296850306</v>
      </c>
      <c r="S198" s="4462">
        <f t="shared" si="1104"/>
        <v>0</v>
      </c>
      <c r="T198" s="4463">
        <f t="shared" si="1104"/>
        <v>873.34299999999996</v>
      </c>
      <c r="U198" s="4463">
        <f t="shared" si="1104"/>
        <v>873.34299999999996</v>
      </c>
      <c r="V198" s="4463">
        <f t="shared" si="1104"/>
        <v>0</v>
      </c>
      <c r="W198" s="4463">
        <f t="shared" si="1104"/>
        <v>917.71399999999994</v>
      </c>
      <c r="X198" s="4463">
        <f t="shared" si="1104"/>
        <v>917.71399999999994</v>
      </c>
      <c r="Y198" s="4463">
        <f t="shared" si="1104"/>
        <v>0</v>
      </c>
      <c r="Z198" s="4463">
        <f t="shared" si="1104"/>
        <v>676.46100000000001</v>
      </c>
      <c r="AA198" s="4463">
        <f t="shared" si="1104"/>
        <v>676.46100000000001</v>
      </c>
      <c r="AB198" s="4463">
        <f t="shared" si="1104"/>
        <v>0</v>
      </c>
      <c r="AC198" s="4463">
        <f t="shared" si="1104"/>
        <v>2467.518</v>
      </c>
      <c r="AD198" s="4463">
        <f t="shared" si="1104"/>
        <v>2467.518</v>
      </c>
      <c r="AE198" s="4463">
        <f t="shared" si="1104"/>
        <v>0</v>
      </c>
      <c r="AF198" s="4446">
        <f t="shared" ref="AF198:AG227" si="1105">SUM(Q198+B198)</f>
        <v>4805.6262593700612</v>
      </c>
      <c r="AG198" s="4446">
        <f t="shared" ref="AG198:AH215" si="1106">SUM(R198+C198)</f>
        <v>4805.6262593700612</v>
      </c>
      <c r="AH198" s="4446">
        <f t="shared" si="1106"/>
        <v>0</v>
      </c>
      <c r="AI198" s="4464">
        <f>SUM(AC198+N198)</f>
        <v>4669.1693500000001</v>
      </c>
      <c r="AJ198" s="4464">
        <f>SUM(AD198+O198)</f>
        <v>4669.1693500000001</v>
      </c>
      <c r="AK198" s="4464">
        <f>SUM(AE198+P198)</f>
        <v>0</v>
      </c>
      <c r="AL198" s="4464">
        <f t="shared" ref="AL198:AN227" si="1107">SUM(AI198-AF198)</f>
        <v>-136.45690937006111</v>
      </c>
      <c r="AM198" s="4464">
        <f t="shared" si="1107"/>
        <v>-136.45690937006111</v>
      </c>
      <c r="AN198" s="4464">
        <f t="shared" si="1107"/>
        <v>0</v>
      </c>
      <c r="AO198" s="4462">
        <f t="shared" ref="AO198:BC200" si="1108">SUM(AO30+AO50+AO82+AO102)</f>
        <v>2402.8131296850306</v>
      </c>
      <c r="AP198" s="4462">
        <f t="shared" si="1108"/>
        <v>2402.8131296850306</v>
      </c>
      <c r="AQ198" s="4462">
        <f t="shared" si="1108"/>
        <v>0</v>
      </c>
      <c r="AR198" s="4463">
        <f t="shared" si="1108"/>
        <v>844.83999999999992</v>
      </c>
      <c r="AS198" s="4463">
        <f t="shared" si="1108"/>
        <v>844.83999999999992</v>
      </c>
      <c r="AT198" s="4463">
        <f t="shared" si="1108"/>
        <v>0</v>
      </c>
      <c r="AU198" s="4463">
        <f t="shared" si="1108"/>
        <v>0</v>
      </c>
      <c r="AV198" s="4463">
        <f t="shared" si="1108"/>
        <v>0</v>
      </c>
      <c r="AW198" s="4463">
        <f t="shared" si="1108"/>
        <v>0</v>
      </c>
      <c r="AX198" s="4463">
        <f t="shared" si="1108"/>
        <v>0</v>
      </c>
      <c r="AY198" s="4463">
        <f t="shared" si="1108"/>
        <v>0</v>
      </c>
      <c r="AZ198" s="4463">
        <f t="shared" si="1108"/>
        <v>0</v>
      </c>
      <c r="BA198" s="4463">
        <f t="shared" si="1108"/>
        <v>844.83999999999992</v>
      </c>
      <c r="BB198" s="4463">
        <f t="shared" si="1108"/>
        <v>844.83999999999992</v>
      </c>
      <c r="BC198" s="4463">
        <f t="shared" si="1108"/>
        <v>0</v>
      </c>
      <c r="BD198" s="4446">
        <f t="shared" ref="BD198:BE227" si="1109">SUM(AF198+AO198)</f>
        <v>7208.4393890550919</v>
      </c>
      <c r="BE198" s="4446">
        <f t="shared" ref="BE198:BF213" si="1110">SUM(AG198+AP198)</f>
        <v>7208.4393890550919</v>
      </c>
      <c r="BF198" s="4446">
        <f t="shared" si="1110"/>
        <v>0</v>
      </c>
      <c r="BG198" s="4464">
        <f>SUM(AI198+BA198)</f>
        <v>5514.0093500000003</v>
      </c>
      <c r="BH198" s="4464">
        <f t="shared" ref="BH198:BI213" si="1111">SUM(AJ198+BB198)</f>
        <v>5514.0093500000003</v>
      </c>
      <c r="BI198" s="4464">
        <f t="shared" si="1111"/>
        <v>0</v>
      </c>
      <c r="BJ198" s="4464">
        <f t="shared" ref="BJ198:BL227" si="1112">SUM(BG198-BD198)</f>
        <v>-1694.4300390550916</v>
      </c>
      <c r="BK198" s="4464">
        <f t="shared" si="1112"/>
        <v>-1694.4300390550916</v>
      </c>
      <c r="BL198" s="4464">
        <f t="shared" si="1112"/>
        <v>0</v>
      </c>
      <c r="BM198" s="4462">
        <f t="shared" ref="BM198:CA200" si="1113">SUM(BM30+BM50+BM82+BM102)</f>
        <v>2402.8131296850306</v>
      </c>
      <c r="BN198" s="4462">
        <f t="shared" si="1113"/>
        <v>2402.8131296850306</v>
      </c>
      <c r="BO198" s="4462">
        <f t="shared" si="1113"/>
        <v>0</v>
      </c>
      <c r="BP198" s="4463">
        <f t="shared" si="1113"/>
        <v>0</v>
      </c>
      <c r="BQ198" s="4463">
        <f t="shared" si="1113"/>
        <v>0</v>
      </c>
      <c r="BR198" s="4463">
        <f t="shared" si="1113"/>
        <v>0</v>
      </c>
      <c r="BS198" s="4463">
        <f t="shared" si="1113"/>
        <v>0</v>
      </c>
      <c r="BT198" s="4463">
        <f t="shared" si="1113"/>
        <v>0</v>
      </c>
      <c r="BU198" s="4463">
        <f t="shared" si="1113"/>
        <v>0</v>
      </c>
      <c r="BV198" s="4463">
        <f t="shared" si="1113"/>
        <v>0</v>
      </c>
      <c r="BW198" s="4463">
        <f t="shared" si="1113"/>
        <v>0</v>
      </c>
      <c r="BX198" s="4463">
        <f t="shared" si="1113"/>
        <v>0</v>
      </c>
      <c r="BY198" s="4463">
        <f t="shared" si="1113"/>
        <v>0</v>
      </c>
      <c r="BZ198" s="4463">
        <f t="shared" si="1113"/>
        <v>0</v>
      </c>
      <c r="CA198" s="4463">
        <f t="shared" si="1113"/>
        <v>0</v>
      </c>
      <c r="CB198" s="4446">
        <f t="shared" ref="CB198:CC227" si="1114">SUM(BM198+BD198)</f>
        <v>9611.2525187401225</v>
      </c>
      <c r="CC198" s="4446">
        <f t="shared" ref="CC198:CD213" si="1115">SUM(BN198+BE198)</f>
        <v>9611.2525187401225</v>
      </c>
      <c r="CD198" s="4446">
        <f t="shared" si="1115"/>
        <v>0</v>
      </c>
      <c r="CE198" s="4464">
        <f>SUM(BY198+BG198)</f>
        <v>5514.0093500000003</v>
      </c>
      <c r="CF198" s="4464">
        <f t="shared" ref="CF198:CG213" si="1116">SUM(BZ198+BH198)</f>
        <v>5514.0093500000003</v>
      </c>
      <c r="CG198" s="4464">
        <f t="shared" si="1116"/>
        <v>0</v>
      </c>
      <c r="CH198" s="4464">
        <f t="shared" ref="CH198:CJ227" si="1117">SUM(CE198-CB198)</f>
        <v>-4097.2431687401222</v>
      </c>
      <c r="CI198" s="4464">
        <f t="shared" si="1117"/>
        <v>-4097.2431687401222</v>
      </c>
      <c r="CJ198" s="4464">
        <f t="shared" si="1117"/>
        <v>0</v>
      </c>
      <c r="CK198" s="389"/>
      <c r="CL198" s="5"/>
    </row>
    <row r="199" spans="1:90" ht="18.75" customHeight="1" x14ac:dyDescent="0.3">
      <c r="A199" s="4445" t="s">
        <v>113</v>
      </c>
      <c r="B199" s="4462">
        <f>SUM(B31+B51+B83+B103)</f>
        <v>722.77993391340135</v>
      </c>
      <c r="C199" s="4462">
        <f t="shared" si="1104"/>
        <v>722.77993391340135</v>
      </c>
      <c r="D199" s="4462">
        <f t="shared" si="1104"/>
        <v>0</v>
      </c>
      <c r="E199" s="4463">
        <f t="shared" si="1104"/>
        <v>247.25900000000001</v>
      </c>
      <c r="F199" s="4463">
        <f t="shared" si="1104"/>
        <v>247.25900000000001</v>
      </c>
      <c r="G199" s="4463">
        <f t="shared" si="1104"/>
        <v>0</v>
      </c>
      <c r="H199" s="4463">
        <f t="shared" si="1104"/>
        <v>194.82127999999997</v>
      </c>
      <c r="I199" s="4463">
        <f t="shared" si="1104"/>
        <v>194.82127999999997</v>
      </c>
      <c r="J199" s="4463">
        <f t="shared" si="1104"/>
        <v>0</v>
      </c>
      <c r="K199" s="4463">
        <f t="shared" si="1104"/>
        <v>213.38189</v>
      </c>
      <c r="L199" s="4463">
        <f t="shared" si="1104"/>
        <v>213.38189</v>
      </c>
      <c r="M199" s="4463">
        <f t="shared" si="1104"/>
        <v>0</v>
      </c>
      <c r="N199" s="4463">
        <f t="shared" si="1104"/>
        <v>655.46217000000001</v>
      </c>
      <c r="O199" s="4463">
        <f t="shared" si="1104"/>
        <v>655.46217000000001</v>
      </c>
      <c r="P199" s="4463">
        <f t="shared" si="1104"/>
        <v>0</v>
      </c>
      <c r="Q199" s="4462">
        <f t="shared" si="1104"/>
        <v>722.77993391340135</v>
      </c>
      <c r="R199" s="4462">
        <f t="shared" si="1104"/>
        <v>722.77993391340135</v>
      </c>
      <c r="S199" s="4462">
        <f t="shared" si="1104"/>
        <v>0</v>
      </c>
      <c r="T199" s="4463">
        <f t="shared" si="1104"/>
        <v>256.74200000000002</v>
      </c>
      <c r="U199" s="4463">
        <f t="shared" si="1104"/>
        <v>256.74200000000002</v>
      </c>
      <c r="V199" s="4463">
        <f t="shared" si="1104"/>
        <v>0</v>
      </c>
      <c r="W199" s="4463">
        <f t="shared" si="1104"/>
        <v>266.41300000000001</v>
      </c>
      <c r="X199" s="4463">
        <f t="shared" si="1104"/>
        <v>266.41300000000001</v>
      </c>
      <c r="Y199" s="4463">
        <f t="shared" si="1104"/>
        <v>0</v>
      </c>
      <c r="Z199" s="4463">
        <f t="shared" si="1104"/>
        <v>227.93072999999998</v>
      </c>
      <c r="AA199" s="4463">
        <f t="shared" si="1104"/>
        <v>227.93072999999998</v>
      </c>
      <c r="AB199" s="4463">
        <f t="shared" si="1104"/>
        <v>0</v>
      </c>
      <c r="AC199" s="4463">
        <f t="shared" si="1104"/>
        <v>751.08573000000001</v>
      </c>
      <c r="AD199" s="4463">
        <f t="shared" si="1104"/>
        <v>751.08573000000001</v>
      </c>
      <c r="AE199" s="4463">
        <f t="shared" si="1104"/>
        <v>0</v>
      </c>
      <c r="AF199" s="4446">
        <f t="shared" si="1105"/>
        <v>1445.5598678268027</v>
      </c>
      <c r="AG199" s="4446">
        <f t="shared" si="1106"/>
        <v>1445.5598678268027</v>
      </c>
      <c r="AH199" s="4446">
        <f t="shared" si="1106"/>
        <v>0</v>
      </c>
      <c r="AI199" s="4464">
        <f t="shared" ref="AI199:AI227" si="1118">SUM(AC199+N199)</f>
        <v>1406.5479</v>
      </c>
      <c r="AJ199" s="4464">
        <f t="shared" ref="AJ199:AK227" si="1119">SUM(AD199+O199)</f>
        <v>1406.5479</v>
      </c>
      <c r="AK199" s="4464">
        <f t="shared" si="1119"/>
        <v>0</v>
      </c>
      <c r="AL199" s="4464">
        <f t="shared" si="1107"/>
        <v>-39.011967826802675</v>
      </c>
      <c r="AM199" s="4464">
        <f t="shared" si="1107"/>
        <v>-39.011967826802675</v>
      </c>
      <c r="AN199" s="4464">
        <f t="shared" si="1107"/>
        <v>0</v>
      </c>
      <c r="AO199" s="4462">
        <f t="shared" si="1108"/>
        <v>722.77993391340135</v>
      </c>
      <c r="AP199" s="4462">
        <f t="shared" si="1108"/>
        <v>722.77993391340135</v>
      </c>
      <c r="AQ199" s="4462">
        <f t="shared" si="1108"/>
        <v>0</v>
      </c>
      <c r="AR199" s="4463">
        <f t="shared" si="1108"/>
        <v>261.29899999999998</v>
      </c>
      <c r="AS199" s="4463">
        <f t="shared" si="1108"/>
        <v>261.29899999999998</v>
      </c>
      <c r="AT199" s="4463">
        <f t="shared" si="1108"/>
        <v>0</v>
      </c>
      <c r="AU199" s="4463">
        <f t="shared" si="1108"/>
        <v>0</v>
      </c>
      <c r="AV199" s="4463">
        <f t="shared" si="1108"/>
        <v>0</v>
      </c>
      <c r="AW199" s="4463">
        <f t="shared" si="1108"/>
        <v>0</v>
      </c>
      <c r="AX199" s="4463">
        <f t="shared" si="1108"/>
        <v>0</v>
      </c>
      <c r="AY199" s="4463">
        <f t="shared" si="1108"/>
        <v>0</v>
      </c>
      <c r="AZ199" s="4463">
        <f t="shared" si="1108"/>
        <v>0</v>
      </c>
      <c r="BA199" s="4463">
        <f t="shared" si="1108"/>
        <v>261.29899999999998</v>
      </c>
      <c r="BB199" s="4463">
        <f t="shared" si="1108"/>
        <v>261.29899999999998</v>
      </c>
      <c r="BC199" s="4463">
        <f t="shared" si="1108"/>
        <v>0</v>
      </c>
      <c r="BD199" s="4446">
        <f t="shared" si="1109"/>
        <v>2168.3398017402042</v>
      </c>
      <c r="BE199" s="4446">
        <f t="shared" si="1110"/>
        <v>2168.3398017402042</v>
      </c>
      <c r="BF199" s="4446">
        <f t="shared" si="1110"/>
        <v>0</v>
      </c>
      <c r="BG199" s="4464">
        <f t="shared" ref="BG199:BG227" si="1120">SUM(AI199+BA199)</f>
        <v>1667.8469</v>
      </c>
      <c r="BH199" s="4464">
        <f t="shared" si="1111"/>
        <v>1667.8469</v>
      </c>
      <c r="BI199" s="4464">
        <f t="shared" si="1111"/>
        <v>0</v>
      </c>
      <c r="BJ199" s="4464">
        <f t="shared" si="1112"/>
        <v>-500.49290174020416</v>
      </c>
      <c r="BK199" s="4464">
        <f t="shared" si="1112"/>
        <v>-500.49290174020416</v>
      </c>
      <c r="BL199" s="4464">
        <f t="shared" si="1112"/>
        <v>0</v>
      </c>
      <c r="BM199" s="4462">
        <f t="shared" si="1113"/>
        <v>722.77993391340135</v>
      </c>
      <c r="BN199" s="4462">
        <f t="shared" si="1113"/>
        <v>722.77993391340135</v>
      </c>
      <c r="BO199" s="4462">
        <f t="shared" si="1113"/>
        <v>0</v>
      </c>
      <c r="BP199" s="4463">
        <f t="shared" si="1113"/>
        <v>0</v>
      </c>
      <c r="BQ199" s="4463">
        <f t="shared" si="1113"/>
        <v>0</v>
      </c>
      <c r="BR199" s="4463">
        <f t="shared" si="1113"/>
        <v>0</v>
      </c>
      <c r="BS199" s="4463">
        <f t="shared" si="1113"/>
        <v>0</v>
      </c>
      <c r="BT199" s="4463">
        <f t="shared" si="1113"/>
        <v>0</v>
      </c>
      <c r="BU199" s="4463">
        <f t="shared" si="1113"/>
        <v>0</v>
      </c>
      <c r="BV199" s="4463">
        <f t="shared" si="1113"/>
        <v>0</v>
      </c>
      <c r="BW199" s="4463">
        <f t="shared" si="1113"/>
        <v>0</v>
      </c>
      <c r="BX199" s="4463">
        <f t="shared" si="1113"/>
        <v>0</v>
      </c>
      <c r="BY199" s="4463">
        <f t="shared" si="1113"/>
        <v>0</v>
      </c>
      <c r="BZ199" s="4463">
        <f t="shared" si="1113"/>
        <v>0</v>
      </c>
      <c r="CA199" s="4463">
        <f t="shared" si="1113"/>
        <v>0</v>
      </c>
      <c r="CB199" s="4446">
        <f t="shared" si="1114"/>
        <v>2891.1197356536054</v>
      </c>
      <c r="CC199" s="4446">
        <f t="shared" si="1115"/>
        <v>2891.1197356536054</v>
      </c>
      <c r="CD199" s="4446">
        <f t="shared" si="1115"/>
        <v>0</v>
      </c>
      <c r="CE199" s="4464">
        <f t="shared" ref="CE199:CE227" si="1121">SUM(BY199+BG199)</f>
        <v>1667.8469</v>
      </c>
      <c r="CF199" s="4464">
        <f t="shared" si="1116"/>
        <v>1667.8469</v>
      </c>
      <c r="CG199" s="4464">
        <f t="shared" si="1116"/>
        <v>0</v>
      </c>
      <c r="CH199" s="4464">
        <f t="shared" si="1117"/>
        <v>-1223.2728356536054</v>
      </c>
      <c r="CI199" s="4464">
        <f t="shared" si="1117"/>
        <v>-1223.2728356536054</v>
      </c>
      <c r="CJ199" s="4464">
        <f t="shared" si="1117"/>
        <v>0</v>
      </c>
      <c r="CK199" s="389"/>
      <c r="CL199" s="5"/>
    </row>
    <row r="200" spans="1:90" ht="18.75" customHeight="1" x14ac:dyDescent="0.3">
      <c r="A200" s="4445" t="s">
        <v>52</v>
      </c>
      <c r="B200" s="4462">
        <f>SUM(B32+B52+B84+B104)</f>
        <v>61.577597499999996</v>
      </c>
      <c r="C200" s="4462">
        <f t="shared" si="1104"/>
        <v>61.577597499999996</v>
      </c>
      <c r="D200" s="4462">
        <f t="shared" si="1104"/>
        <v>0</v>
      </c>
      <c r="E200" s="4463">
        <f t="shared" si="1104"/>
        <v>15.567</v>
      </c>
      <c r="F200" s="4463">
        <f t="shared" si="1104"/>
        <v>15.567</v>
      </c>
      <c r="G200" s="4463">
        <f t="shared" si="1104"/>
        <v>0</v>
      </c>
      <c r="H200" s="4463">
        <f t="shared" si="1104"/>
        <v>16.260000000000002</v>
      </c>
      <c r="I200" s="4463">
        <f t="shared" si="1104"/>
        <v>16.260000000000002</v>
      </c>
      <c r="J200" s="4463">
        <f t="shared" si="1104"/>
        <v>0</v>
      </c>
      <c r="K200" s="4463">
        <f t="shared" si="1104"/>
        <v>15.732000000000001</v>
      </c>
      <c r="L200" s="4463">
        <f t="shared" si="1104"/>
        <v>15.732000000000001</v>
      </c>
      <c r="M200" s="4463">
        <f t="shared" si="1104"/>
        <v>0</v>
      </c>
      <c r="N200" s="4463">
        <f t="shared" si="1104"/>
        <v>47.558999999999997</v>
      </c>
      <c r="O200" s="4463">
        <f t="shared" si="1104"/>
        <v>47.558999999999997</v>
      </c>
      <c r="P200" s="4463">
        <f t="shared" si="1104"/>
        <v>0</v>
      </c>
      <c r="Q200" s="4462">
        <f t="shared" si="1104"/>
        <v>61.577597499999996</v>
      </c>
      <c r="R200" s="4462">
        <f t="shared" si="1104"/>
        <v>61.577597499999996</v>
      </c>
      <c r="S200" s="4462">
        <f t="shared" si="1104"/>
        <v>0</v>
      </c>
      <c r="T200" s="4463">
        <f t="shared" si="1104"/>
        <v>16.143000000000001</v>
      </c>
      <c r="U200" s="4463">
        <f t="shared" si="1104"/>
        <v>16.143000000000001</v>
      </c>
      <c r="V200" s="4463">
        <f t="shared" si="1104"/>
        <v>0</v>
      </c>
      <c r="W200" s="4463">
        <f t="shared" si="1104"/>
        <v>16.113</v>
      </c>
      <c r="X200" s="4463">
        <f t="shared" si="1104"/>
        <v>16.113</v>
      </c>
      <c r="Y200" s="4463">
        <f t="shared" si="1104"/>
        <v>0</v>
      </c>
      <c r="Z200" s="4463">
        <f t="shared" si="1104"/>
        <v>16.160969999999999</v>
      </c>
      <c r="AA200" s="4463">
        <f t="shared" si="1104"/>
        <v>16.160969999999999</v>
      </c>
      <c r="AB200" s="4463">
        <f t="shared" si="1104"/>
        <v>0</v>
      </c>
      <c r="AC200" s="4463">
        <f t="shared" si="1104"/>
        <v>48.416969999999999</v>
      </c>
      <c r="AD200" s="4463">
        <f t="shared" si="1104"/>
        <v>48.416969999999999</v>
      </c>
      <c r="AE200" s="4463">
        <f t="shared" si="1104"/>
        <v>0</v>
      </c>
      <c r="AF200" s="4446">
        <f t="shared" si="1105"/>
        <v>123.15519499999999</v>
      </c>
      <c r="AG200" s="4446">
        <f t="shared" si="1106"/>
        <v>123.15519499999999</v>
      </c>
      <c r="AH200" s="4446">
        <f t="shared" si="1106"/>
        <v>0</v>
      </c>
      <c r="AI200" s="4464">
        <f t="shared" si="1118"/>
        <v>95.97596999999999</v>
      </c>
      <c r="AJ200" s="4464">
        <f t="shared" si="1119"/>
        <v>95.97596999999999</v>
      </c>
      <c r="AK200" s="4464">
        <f t="shared" si="1119"/>
        <v>0</v>
      </c>
      <c r="AL200" s="4464">
        <f t="shared" si="1107"/>
        <v>-27.179225000000002</v>
      </c>
      <c r="AM200" s="4464">
        <f t="shared" si="1107"/>
        <v>-27.179225000000002</v>
      </c>
      <c r="AN200" s="4464">
        <f t="shared" si="1107"/>
        <v>0</v>
      </c>
      <c r="AO200" s="4462">
        <f t="shared" si="1108"/>
        <v>61.577597499999996</v>
      </c>
      <c r="AP200" s="4462">
        <f t="shared" si="1108"/>
        <v>61.577597499999996</v>
      </c>
      <c r="AQ200" s="4462">
        <f t="shared" si="1108"/>
        <v>0</v>
      </c>
      <c r="AR200" s="4463">
        <f t="shared" si="1108"/>
        <v>15.895</v>
      </c>
      <c r="AS200" s="4463">
        <f t="shared" si="1108"/>
        <v>15.895</v>
      </c>
      <c r="AT200" s="4463">
        <f t="shared" si="1108"/>
        <v>0</v>
      </c>
      <c r="AU200" s="4463">
        <f t="shared" si="1108"/>
        <v>0</v>
      </c>
      <c r="AV200" s="4463">
        <f t="shared" si="1108"/>
        <v>0</v>
      </c>
      <c r="AW200" s="4463">
        <f t="shared" si="1108"/>
        <v>0</v>
      </c>
      <c r="AX200" s="4463">
        <f t="shared" si="1108"/>
        <v>0</v>
      </c>
      <c r="AY200" s="4463">
        <f t="shared" si="1108"/>
        <v>0</v>
      </c>
      <c r="AZ200" s="4463">
        <f t="shared" si="1108"/>
        <v>0</v>
      </c>
      <c r="BA200" s="4463">
        <f t="shared" si="1108"/>
        <v>15.895</v>
      </c>
      <c r="BB200" s="4463">
        <f t="shared" si="1108"/>
        <v>15.895</v>
      </c>
      <c r="BC200" s="4463">
        <f t="shared" si="1108"/>
        <v>0</v>
      </c>
      <c r="BD200" s="4446">
        <f t="shared" si="1109"/>
        <v>184.73279249999999</v>
      </c>
      <c r="BE200" s="4446">
        <f t="shared" si="1110"/>
        <v>184.73279249999999</v>
      </c>
      <c r="BF200" s="4446">
        <f t="shared" si="1110"/>
        <v>0</v>
      </c>
      <c r="BG200" s="4464">
        <f t="shared" si="1120"/>
        <v>111.87096999999999</v>
      </c>
      <c r="BH200" s="4464">
        <f t="shared" si="1111"/>
        <v>111.87096999999999</v>
      </c>
      <c r="BI200" s="4464">
        <f t="shared" si="1111"/>
        <v>0</v>
      </c>
      <c r="BJ200" s="4464">
        <f t="shared" si="1112"/>
        <v>-72.861822500000002</v>
      </c>
      <c r="BK200" s="4464">
        <f t="shared" si="1112"/>
        <v>-72.861822500000002</v>
      </c>
      <c r="BL200" s="4464">
        <f t="shared" si="1112"/>
        <v>0</v>
      </c>
      <c r="BM200" s="4462">
        <f t="shared" si="1113"/>
        <v>61.577597499999996</v>
      </c>
      <c r="BN200" s="4462">
        <f t="shared" si="1113"/>
        <v>61.577597499999996</v>
      </c>
      <c r="BO200" s="4462">
        <f t="shared" si="1113"/>
        <v>0</v>
      </c>
      <c r="BP200" s="4463">
        <f t="shared" si="1113"/>
        <v>0</v>
      </c>
      <c r="BQ200" s="4463">
        <f t="shared" si="1113"/>
        <v>0</v>
      </c>
      <c r="BR200" s="4463">
        <f t="shared" si="1113"/>
        <v>0</v>
      </c>
      <c r="BS200" s="4463">
        <f t="shared" si="1113"/>
        <v>0</v>
      </c>
      <c r="BT200" s="4463">
        <f t="shared" si="1113"/>
        <v>0</v>
      </c>
      <c r="BU200" s="4463">
        <f t="shared" si="1113"/>
        <v>0</v>
      </c>
      <c r="BV200" s="4463">
        <f t="shared" si="1113"/>
        <v>0</v>
      </c>
      <c r="BW200" s="4463">
        <f t="shared" si="1113"/>
        <v>0</v>
      </c>
      <c r="BX200" s="4463">
        <f t="shared" si="1113"/>
        <v>0</v>
      </c>
      <c r="BY200" s="4463">
        <f t="shared" si="1113"/>
        <v>0</v>
      </c>
      <c r="BZ200" s="4463">
        <f t="shared" si="1113"/>
        <v>0</v>
      </c>
      <c r="CA200" s="4463">
        <f t="shared" si="1113"/>
        <v>0</v>
      </c>
      <c r="CB200" s="4446">
        <f t="shared" si="1114"/>
        <v>246.31038999999998</v>
      </c>
      <c r="CC200" s="4446">
        <f t="shared" si="1115"/>
        <v>246.31038999999998</v>
      </c>
      <c r="CD200" s="4446">
        <f t="shared" si="1115"/>
        <v>0</v>
      </c>
      <c r="CE200" s="4464">
        <f t="shared" si="1121"/>
        <v>111.87096999999999</v>
      </c>
      <c r="CF200" s="4464">
        <f t="shared" si="1116"/>
        <v>111.87096999999999</v>
      </c>
      <c r="CG200" s="4464">
        <f t="shared" si="1116"/>
        <v>0</v>
      </c>
      <c r="CH200" s="4464">
        <f t="shared" si="1117"/>
        <v>-134.43941999999998</v>
      </c>
      <c r="CI200" s="4464">
        <f t="shared" si="1117"/>
        <v>-134.43941999999998</v>
      </c>
      <c r="CJ200" s="4464">
        <f t="shared" si="1117"/>
        <v>0</v>
      </c>
      <c r="CK200" s="389"/>
      <c r="CL200" s="5"/>
    </row>
    <row r="201" spans="1:90" ht="18.75" customHeight="1" x14ac:dyDescent="0.3">
      <c r="A201" s="4445" t="s">
        <v>588</v>
      </c>
      <c r="B201" s="4462">
        <f t="shared" ref="B201:AE201" si="1122">SUM(B33+B55+B86+B105)</f>
        <v>565.3107500000001</v>
      </c>
      <c r="C201" s="4462">
        <f t="shared" si="1122"/>
        <v>565.3107500000001</v>
      </c>
      <c r="D201" s="4462">
        <f t="shared" si="1122"/>
        <v>0</v>
      </c>
      <c r="E201" s="4463">
        <f t="shared" si="1122"/>
        <v>182.958</v>
      </c>
      <c r="F201" s="4463">
        <f t="shared" si="1122"/>
        <v>182.958</v>
      </c>
      <c r="G201" s="4463">
        <f t="shared" si="1122"/>
        <v>0</v>
      </c>
      <c r="H201" s="4463">
        <f t="shared" si="1122"/>
        <v>88.924000000000007</v>
      </c>
      <c r="I201" s="4463">
        <f t="shared" si="1122"/>
        <v>88.924000000000007</v>
      </c>
      <c r="J201" s="4463">
        <f t="shared" si="1122"/>
        <v>0</v>
      </c>
      <c r="K201" s="4463">
        <f t="shared" si="1122"/>
        <v>54.088999999999999</v>
      </c>
      <c r="L201" s="4463">
        <f t="shared" si="1122"/>
        <v>54.088999999999999</v>
      </c>
      <c r="M201" s="4463">
        <f t="shared" si="1122"/>
        <v>0</v>
      </c>
      <c r="N201" s="4463">
        <f t="shared" si="1122"/>
        <v>325.971</v>
      </c>
      <c r="O201" s="4463">
        <f t="shared" si="1122"/>
        <v>325.971</v>
      </c>
      <c r="P201" s="4463">
        <f t="shared" si="1122"/>
        <v>0</v>
      </c>
      <c r="Q201" s="4462">
        <f t="shared" si="1122"/>
        <v>565.3107500000001</v>
      </c>
      <c r="R201" s="4462">
        <f t="shared" si="1122"/>
        <v>565.3107500000001</v>
      </c>
      <c r="S201" s="4462">
        <f t="shared" si="1122"/>
        <v>0</v>
      </c>
      <c r="T201" s="4463">
        <f t="shared" si="1122"/>
        <v>39.151000000000003</v>
      </c>
      <c r="U201" s="4463">
        <f t="shared" si="1122"/>
        <v>39.151000000000003</v>
      </c>
      <c r="V201" s="4463">
        <f t="shared" si="1122"/>
        <v>0</v>
      </c>
      <c r="W201" s="4463">
        <f t="shared" si="1122"/>
        <v>303.90100000000001</v>
      </c>
      <c r="X201" s="4463">
        <f t="shared" si="1122"/>
        <v>303.90100000000001</v>
      </c>
      <c r="Y201" s="4463">
        <f t="shared" si="1122"/>
        <v>0</v>
      </c>
      <c r="Z201" s="4463">
        <f t="shared" si="1122"/>
        <v>35.319690000000001</v>
      </c>
      <c r="AA201" s="4463">
        <f>SUM(AA33+AA55+AA86+AA105)</f>
        <v>35.319690000000001</v>
      </c>
      <c r="AB201" s="4463">
        <f t="shared" si="1122"/>
        <v>0</v>
      </c>
      <c r="AC201" s="4463">
        <f t="shared" si="1122"/>
        <v>378.37169</v>
      </c>
      <c r="AD201" s="4463">
        <f t="shared" si="1122"/>
        <v>378.37169</v>
      </c>
      <c r="AE201" s="4463">
        <f t="shared" si="1122"/>
        <v>0</v>
      </c>
      <c r="AF201" s="4446">
        <f t="shared" si="1105"/>
        <v>1130.6215000000002</v>
      </c>
      <c r="AG201" s="4446">
        <f t="shared" si="1106"/>
        <v>1130.6215000000002</v>
      </c>
      <c r="AH201" s="4446">
        <f t="shared" si="1106"/>
        <v>0</v>
      </c>
      <c r="AI201" s="4464">
        <f t="shared" si="1118"/>
        <v>704.34268999999995</v>
      </c>
      <c r="AJ201" s="4464">
        <f t="shared" si="1119"/>
        <v>704.34268999999995</v>
      </c>
      <c r="AK201" s="4464">
        <f t="shared" si="1119"/>
        <v>0</v>
      </c>
      <c r="AL201" s="4464">
        <f t="shared" si="1107"/>
        <v>-426.27881000000025</v>
      </c>
      <c r="AM201" s="4464">
        <f t="shared" si="1107"/>
        <v>-426.27881000000025</v>
      </c>
      <c r="AN201" s="4464">
        <f t="shared" si="1107"/>
        <v>0</v>
      </c>
      <c r="AO201" s="4462">
        <f>SUM(AO33+AO55+AO86+AO105)</f>
        <v>565.3107500000001</v>
      </c>
      <c r="AP201" s="4462">
        <f t="shared" ref="AP201:BC201" si="1123">SUM(AP33+AP55+AP86+AP105)</f>
        <v>565.3107500000001</v>
      </c>
      <c r="AQ201" s="4462">
        <f t="shared" si="1123"/>
        <v>0</v>
      </c>
      <c r="AR201" s="4463">
        <f t="shared" si="1123"/>
        <v>40.072000000000003</v>
      </c>
      <c r="AS201" s="4463">
        <f t="shared" si="1123"/>
        <v>40.072000000000003</v>
      </c>
      <c r="AT201" s="4463">
        <f t="shared" si="1123"/>
        <v>0</v>
      </c>
      <c r="AU201" s="4463">
        <f t="shared" si="1123"/>
        <v>0</v>
      </c>
      <c r="AV201" s="4463">
        <f t="shared" si="1123"/>
        <v>0</v>
      </c>
      <c r="AW201" s="4463">
        <f t="shared" si="1123"/>
        <v>0</v>
      </c>
      <c r="AX201" s="4463">
        <f t="shared" si="1123"/>
        <v>0</v>
      </c>
      <c r="AY201" s="4463">
        <f t="shared" si="1123"/>
        <v>0</v>
      </c>
      <c r="AZ201" s="4463">
        <f t="shared" si="1123"/>
        <v>0</v>
      </c>
      <c r="BA201" s="4463">
        <f t="shared" si="1123"/>
        <v>40.072000000000003</v>
      </c>
      <c r="BB201" s="4463">
        <f t="shared" si="1123"/>
        <v>40.072000000000003</v>
      </c>
      <c r="BC201" s="4463">
        <f t="shared" si="1123"/>
        <v>0</v>
      </c>
      <c r="BD201" s="4446">
        <f t="shared" si="1109"/>
        <v>1695.9322500000003</v>
      </c>
      <c r="BE201" s="4446">
        <f t="shared" si="1110"/>
        <v>1695.9322500000003</v>
      </c>
      <c r="BF201" s="4446">
        <f t="shared" si="1110"/>
        <v>0</v>
      </c>
      <c r="BG201" s="4464">
        <f t="shared" si="1120"/>
        <v>744.41468999999995</v>
      </c>
      <c r="BH201" s="4464">
        <f t="shared" si="1111"/>
        <v>744.41468999999995</v>
      </c>
      <c r="BI201" s="4464">
        <f t="shared" si="1111"/>
        <v>0</v>
      </c>
      <c r="BJ201" s="4464">
        <f t="shared" si="1112"/>
        <v>-951.51756000000034</v>
      </c>
      <c r="BK201" s="4464">
        <f t="shared" si="1112"/>
        <v>-951.51756000000034</v>
      </c>
      <c r="BL201" s="4464">
        <f t="shared" si="1112"/>
        <v>0</v>
      </c>
      <c r="BM201" s="4462">
        <f>SUM(BM33+BM55+BM86+BM105)</f>
        <v>565.3107500000001</v>
      </c>
      <c r="BN201" s="4462">
        <f t="shared" ref="BN201:CA201" si="1124">SUM(BN33+BN55+BN86+BN105)</f>
        <v>565.3107500000001</v>
      </c>
      <c r="BO201" s="4462">
        <f t="shared" si="1124"/>
        <v>0</v>
      </c>
      <c r="BP201" s="4463">
        <f t="shared" si="1124"/>
        <v>0</v>
      </c>
      <c r="BQ201" s="4463">
        <f t="shared" si="1124"/>
        <v>0</v>
      </c>
      <c r="BR201" s="4463">
        <f t="shared" si="1124"/>
        <v>0</v>
      </c>
      <c r="BS201" s="4463">
        <f t="shared" si="1124"/>
        <v>0</v>
      </c>
      <c r="BT201" s="4463">
        <f t="shared" si="1124"/>
        <v>0</v>
      </c>
      <c r="BU201" s="4463">
        <f t="shared" si="1124"/>
        <v>0</v>
      </c>
      <c r="BV201" s="4463">
        <f t="shared" si="1124"/>
        <v>0</v>
      </c>
      <c r="BW201" s="4463">
        <f t="shared" si="1124"/>
        <v>0</v>
      </c>
      <c r="BX201" s="4463">
        <f t="shared" si="1124"/>
        <v>0</v>
      </c>
      <c r="BY201" s="4463">
        <f t="shared" si="1124"/>
        <v>0</v>
      </c>
      <c r="BZ201" s="4463">
        <f t="shared" si="1124"/>
        <v>0</v>
      </c>
      <c r="CA201" s="4463">
        <f t="shared" si="1124"/>
        <v>0</v>
      </c>
      <c r="CB201" s="4446">
        <f t="shared" si="1114"/>
        <v>2261.2430000000004</v>
      </c>
      <c r="CC201" s="4446">
        <f t="shared" si="1115"/>
        <v>2261.2430000000004</v>
      </c>
      <c r="CD201" s="4446">
        <f t="shared" si="1115"/>
        <v>0</v>
      </c>
      <c r="CE201" s="4464">
        <f t="shared" si="1121"/>
        <v>744.41468999999995</v>
      </c>
      <c r="CF201" s="4464">
        <f t="shared" si="1116"/>
        <v>744.41468999999995</v>
      </c>
      <c r="CG201" s="4464">
        <f t="shared" si="1116"/>
        <v>0</v>
      </c>
      <c r="CH201" s="4464">
        <f t="shared" si="1117"/>
        <v>-1516.8283100000003</v>
      </c>
      <c r="CI201" s="4464">
        <f t="shared" si="1117"/>
        <v>-1516.8283100000003</v>
      </c>
      <c r="CJ201" s="4464">
        <f t="shared" si="1117"/>
        <v>0</v>
      </c>
      <c r="CK201" s="389"/>
      <c r="CL201" s="5"/>
    </row>
    <row r="202" spans="1:90" ht="18.75" customHeight="1" x14ac:dyDescent="0.3">
      <c r="A202" s="4445" t="s">
        <v>620</v>
      </c>
      <c r="B202" s="4462">
        <f t="shared" ref="B202:AE202" si="1125">SUM(B53)</f>
        <v>0</v>
      </c>
      <c r="C202" s="4462">
        <f t="shared" si="1125"/>
        <v>0</v>
      </c>
      <c r="D202" s="4462">
        <f t="shared" si="1125"/>
        <v>0</v>
      </c>
      <c r="E202" s="4463">
        <f t="shared" si="1125"/>
        <v>0</v>
      </c>
      <c r="F202" s="4463">
        <f t="shared" si="1125"/>
        <v>0</v>
      </c>
      <c r="G202" s="4463">
        <f t="shared" si="1125"/>
        <v>0</v>
      </c>
      <c r="H202" s="4463">
        <f t="shared" si="1125"/>
        <v>0</v>
      </c>
      <c r="I202" s="4463">
        <f t="shared" si="1125"/>
        <v>0</v>
      </c>
      <c r="J202" s="4463">
        <f t="shared" si="1125"/>
        <v>0</v>
      </c>
      <c r="K202" s="4463">
        <f t="shared" si="1125"/>
        <v>0</v>
      </c>
      <c r="L202" s="4463">
        <f t="shared" si="1125"/>
        <v>0</v>
      </c>
      <c r="M202" s="4463">
        <f t="shared" si="1125"/>
        <v>0</v>
      </c>
      <c r="N202" s="4463">
        <f t="shared" si="1125"/>
        <v>0</v>
      </c>
      <c r="O202" s="4463">
        <f t="shared" si="1125"/>
        <v>0</v>
      </c>
      <c r="P202" s="4463">
        <f t="shared" si="1125"/>
        <v>0</v>
      </c>
      <c r="Q202" s="4462">
        <f t="shared" si="1125"/>
        <v>0</v>
      </c>
      <c r="R202" s="4462">
        <f t="shared" si="1125"/>
        <v>0</v>
      </c>
      <c r="S202" s="4462">
        <f t="shared" si="1125"/>
        <v>0</v>
      </c>
      <c r="T202" s="4463">
        <f t="shared" si="1125"/>
        <v>0</v>
      </c>
      <c r="U202" s="4463">
        <f t="shared" si="1125"/>
        <v>0</v>
      </c>
      <c r="V202" s="4463">
        <f t="shared" si="1125"/>
        <v>0</v>
      </c>
      <c r="W202" s="4463">
        <f t="shared" si="1125"/>
        <v>0</v>
      </c>
      <c r="X202" s="4463">
        <f t="shared" si="1125"/>
        <v>0</v>
      </c>
      <c r="Y202" s="4463">
        <f t="shared" si="1125"/>
        <v>0</v>
      </c>
      <c r="Z202" s="4463">
        <f t="shared" si="1125"/>
        <v>0</v>
      </c>
      <c r="AA202" s="4463">
        <f t="shared" si="1125"/>
        <v>0</v>
      </c>
      <c r="AB202" s="4463">
        <f t="shared" si="1125"/>
        <v>0</v>
      </c>
      <c r="AC202" s="4463">
        <f t="shared" si="1125"/>
        <v>0</v>
      </c>
      <c r="AD202" s="4463">
        <f t="shared" si="1125"/>
        <v>0</v>
      </c>
      <c r="AE202" s="4463">
        <f t="shared" si="1125"/>
        <v>0</v>
      </c>
      <c r="AF202" s="4446">
        <f t="shared" si="1105"/>
        <v>0</v>
      </c>
      <c r="AG202" s="4446">
        <f t="shared" si="1106"/>
        <v>0</v>
      </c>
      <c r="AH202" s="4446">
        <f t="shared" si="1106"/>
        <v>0</v>
      </c>
      <c r="AI202" s="4464">
        <f t="shared" si="1118"/>
        <v>0</v>
      </c>
      <c r="AJ202" s="4464">
        <f t="shared" si="1119"/>
        <v>0</v>
      </c>
      <c r="AK202" s="4464">
        <f t="shared" si="1119"/>
        <v>0</v>
      </c>
      <c r="AL202" s="4464">
        <f t="shared" si="1107"/>
        <v>0</v>
      </c>
      <c r="AM202" s="4464">
        <f t="shared" si="1107"/>
        <v>0</v>
      </c>
      <c r="AN202" s="4464">
        <f t="shared" si="1107"/>
        <v>0</v>
      </c>
      <c r="AO202" s="4462">
        <f t="shared" ref="AO202:BC203" si="1126">SUM(AO53)</f>
        <v>0</v>
      </c>
      <c r="AP202" s="4462">
        <f t="shared" si="1126"/>
        <v>0</v>
      </c>
      <c r="AQ202" s="4462">
        <f t="shared" si="1126"/>
        <v>0</v>
      </c>
      <c r="AR202" s="4463">
        <f t="shared" si="1126"/>
        <v>0</v>
      </c>
      <c r="AS202" s="4463">
        <f t="shared" si="1126"/>
        <v>0</v>
      </c>
      <c r="AT202" s="4463">
        <f t="shared" si="1126"/>
        <v>0</v>
      </c>
      <c r="AU202" s="4463">
        <f t="shared" si="1126"/>
        <v>0</v>
      </c>
      <c r="AV202" s="4463">
        <f t="shared" si="1126"/>
        <v>0</v>
      </c>
      <c r="AW202" s="4463">
        <f t="shared" si="1126"/>
        <v>0</v>
      </c>
      <c r="AX202" s="4463">
        <f t="shared" si="1126"/>
        <v>0</v>
      </c>
      <c r="AY202" s="4463">
        <f t="shared" si="1126"/>
        <v>0</v>
      </c>
      <c r="AZ202" s="4463">
        <f t="shared" si="1126"/>
        <v>0</v>
      </c>
      <c r="BA202" s="4463">
        <f t="shared" si="1126"/>
        <v>0</v>
      </c>
      <c r="BB202" s="4463">
        <f t="shared" si="1126"/>
        <v>0</v>
      </c>
      <c r="BC202" s="4463">
        <f t="shared" si="1126"/>
        <v>0</v>
      </c>
      <c r="BD202" s="4446">
        <f t="shared" si="1109"/>
        <v>0</v>
      </c>
      <c r="BE202" s="4446">
        <f t="shared" si="1110"/>
        <v>0</v>
      </c>
      <c r="BF202" s="4446">
        <f t="shared" si="1110"/>
        <v>0</v>
      </c>
      <c r="BG202" s="4464">
        <f t="shared" si="1120"/>
        <v>0</v>
      </c>
      <c r="BH202" s="4464">
        <f t="shared" si="1111"/>
        <v>0</v>
      </c>
      <c r="BI202" s="4464">
        <f t="shared" si="1111"/>
        <v>0</v>
      </c>
      <c r="BJ202" s="4464">
        <f t="shared" si="1112"/>
        <v>0</v>
      </c>
      <c r="BK202" s="4464">
        <f t="shared" si="1112"/>
        <v>0</v>
      </c>
      <c r="BL202" s="4464">
        <f t="shared" si="1112"/>
        <v>0</v>
      </c>
      <c r="BM202" s="4462">
        <f t="shared" ref="BM202:CA203" si="1127">SUM(BM53)</f>
        <v>0</v>
      </c>
      <c r="BN202" s="4462">
        <f t="shared" si="1127"/>
        <v>0</v>
      </c>
      <c r="BO202" s="4462">
        <f t="shared" si="1127"/>
        <v>0</v>
      </c>
      <c r="BP202" s="4463">
        <f t="shared" si="1127"/>
        <v>0</v>
      </c>
      <c r="BQ202" s="4463">
        <f t="shared" si="1127"/>
        <v>0</v>
      </c>
      <c r="BR202" s="4463">
        <f t="shared" si="1127"/>
        <v>0</v>
      </c>
      <c r="BS202" s="4463">
        <f t="shared" si="1127"/>
        <v>0</v>
      </c>
      <c r="BT202" s="4463">
        <f t="shared" si="1127"/>
        <v>0</v>
      </c>
      <c r="BU202" s="4463">
        <f t="shared" si="1127"/>
        <v>0</v>
      </c>
      <c r="BV202" s="4463">
        <f t="shared" si="1127"/>
        <v>0</v>
      </c>
      <c r="BW202" s="4463">
        <f t="shared" si="1127"/>
        <v>0</v>
      </c>
      <c r="BX202" s="4463">
        <f t="shared" si="1127"/>
        <v>0</v>
      </c>
      <c r="BY202" s="4463">
        <f t="shared" si="1127"/>
        <v>0</v>
      </c>
      <c r="BZ202" s="4463">
        <f t="shared" si="1127"/>
        <v>0</v>
      </c>
      <c r="CA202" s="4463">
        <f t="shared" si="1127"/>
        <v>0</v>
      </c>
      <c r="CB202" s="4446">
        <f t="shared" si="1114"/>
        <v>0</v>
      </c>
      <c r="CC202" s="4446">
        <f t="shared" si="1115"/>
        <v>0</v>
      </c>
      <c r="CD202" s="4446">
        <f t="shared" si="1115"/>
        <v>0</v>
      </c>
      <c r="CE202" s="4464">
        <f t="shared" si="1121"/>
        <v>0</v>
      </c>
      <c r="CF202" s="4464">
        <f t="shared" si="1116"/>
        <v>0</v>
      </c>
      <c r="CG202" s="4464">
        <f t="shared" si="1116"/>
        <v>0</v>
      </c>
      <c r="CH202" s="4464">
        <f t="shared" si="1117"/>
        <v>0</v>
      </c>
      <c r="CI202" s="4464">
        <f t="shared" si="1117"/>
        <v>0</v>
      </c>
      <c r="CJ202" s="4464">
        <f t="shared" si="1117"/>
        <v>0</v>
      </c>
      <c r="CK202" s="389"/>
      <c r="CL202" s="5"/>
    </row>
    <row r="203" spans="1:90" ht="18.75" customHeight="1" x14ac:dyDescent="0.3">
      <c r="A203" s="4445" t="s">
        <v>622</v>
      </c>
      <c r="B203" s="4462">
        <f t="shared" ref="B203:AE203" si="1128">SUM(B54)</f>
        <v>6.6527500000000002</v>
      </c>
      <c r="C203" s="4462">
        <f t="shared" si="1128"/>
        <v>6.6527500000000002</v>
      </c>
      <c r="D203" s="4462">
        <f t="shared" si="1128"/>
        <v>0</v>
      </c>
      <c r="E203" s="4463">
        <f t="shared" si="1128"/>
        <v>1.6950000000000001</v>
      </c>
      <c r="F203" s="4463">
        <f t="shared" si="1128"/>
        <v>1.6950000000000001</v>
      </c>
      <c r="G203" s="4463">
        <f t="shared" si="1128"/>
        <v>0</v>
      </c>
      <c r="H203" s="4463">
        <f t="shared" si="1128"/>
        <v>1.6950000000000001</v>
      </c>
      <c r="I203" s="4463">
        <f t="shared" si="1128"/>
        <v>1.6950000000000001</v>
      </c>
      <c r="J203" s="4463">
        <f t="shared" si="1128"/>
        <v>0</v>
      </c>
      <c r="K203" s="4463">
        <f t="shared" si="1128"/>
        <v>1.6950000000000001</v>
      </c>
      <c r="L203" s="4463">
        <f t="shared" si="1128"/>
        <v>1.6950000000000001</v>
      </c>
      <c r="M203" s="4463">
        <f t="shared" si="1128"/>
        <v>0</v>
      </c>
      <c r="N203" s="4463">
        <f t="shared" si="1128"/>
        <v>5.085</v>
      </c>
      <c r="O203" s="4463">
        <f t="shared" si="1128"/>
        <v>5.085</v>
      </c>
      <c r="P203" s="4463">
        <f t="shared" si="1128"/>
        <v>0</v>
      </c>
      <c r="Q203" s="4462">
        <f t="shared" si="1128"/>
        <v>6.6527500000000002</v>
      </c>
      <c r="R203" s="4462">
        <f t="shared" si="1128"/>
        <v>6.6527500000000002</v>
      </c>
      <c r="S203" s="4462">
        <f t="shared" si="1128"/>
        <v>0</v>
      </c>
      <c r="T203" s="4463">
        <f t="shared" si="1128"/>
        <v>1.6950000000000001</v>
      </c>
      <c r="U203" s="4463">
        <f t="shared" si="1128"/>
        <v>1.6950000000000001</v>
      </c>
      <c r="V203" s="4463">
        <f t="shared" si="1128"/>
        <v>0</v>
      </c>
      <c r="W203" s="4463">
        <f t="shared" si="1128"/>
        <v>1.67</v>
      </c>
      <c r="X203" s="4463">
        <f t="shared" si="1128"/>
        <v>1.67</v>
      </c>
      <c r="Y203" s="4463">
        <f t="shared" si="1128"/>
        <v>0</v>
      </c>
      <c r="Z203" s="4463">
        <f t="shared" si="1128"/>
        <v>1.5389999999999999</v>
      </c>
      <c r="AA203" s="4463">
        <f t="shared" si="1128"/>
        <v>1.5389999999999999</v>
      </c>
      <c r="AB203" s="4463">
        <f t="shared" si="1128"/>
        <v>0</v>
      </c>
      <c r="AC203" s="4463">
        <f t="shared" si="1128"/>
        <v>4.9039999999999999</v>
      </c>
      <c r="AD203" s="4463">
        <f t="shared" si="1128"/>
        <v>4.9039999999999999</v>
      </c>
      <c r="AE203" s="4463">
        <f t="shared" si="1128"/>
        <v>0</v>
      </c>
      <c r="AF203" s="4446">
        <f t="shared" si="1105"/>
        <v>13.3055</v>
      </c>
      <c r="AG203" s="4446">
        <f t="shared" si="1106"/>
        <v>13.3055</v>
      </c>
      <c r="AH203" s="4446">
        <f t="shared" si="1106"/>
        <v>0</v>
      </c>
      <c r="AI203" s="4464">
        <f t="shared" si="1118"/>
        <v>9.9890000000000008</v>
      </c>
      <c r="AJ203" s="4464">
        <f t="shared" si="1119"/>
        <v>9.9890000000000008</v>
      </c>
      <c r="AK203" s="4464">
        <f t="shared" si="1119"/>
        <v>0</v>
      </c>
      <c r="AL203" s="4464">
        <f t="shared" si="1107"/>
        <v>-3.3164999999999996</v>
      </c>
      <c r="AM203" s="4464">
        <f t="shared" si="1107"/>
        <v>-3.3164999999999996</v>
      </c>
      <c r="AN203" s="4464">
        <f t="shared" si="1107"/>
        <v>0</v>
      </c>
      <c r="AO203" s="4462">
        <f t="shared" si="1126"/>
        <v>6.6527500000000002</v>
      </c>
      <c r="AP203" s="4462">
        <f t="shared" si="1126"/>
        <v>6.6527500000000002</v>
      </c>
      <c r="AQ203" s="4462">
        <f t="shared" si="1126"/>
        <v>0</v>
      </c>
      <c r="AR203" s="4463">
        <f t="shared" si="1126"/>
        <v>1.5389999999999999</v>
      </c>
      <c r="AS203" s="4463">
        <f t="shared" si="1126"/>
        <v>1.5389999999999999</v>
      </c>
      <c r="AT203" s="4463">
        <f t="shared" si="1126"/>
        <v>0</v>
      </c>
      <c r="AU203" s="4463">
        <f t="shared" si="1126"/>
        <v>0</v>
      </c>
      <c r="AV203" s="4463">
        <f t="shared" si="1126"/>
        <v>0</v>
      </c>
      <c r="AW203" s="4463">
        <f t="shared" si="1126"/>
        <v>0</v>
      </c>
      <c r="AX203" s="4463">
        <f t="shared" si="1126"/>
        <v>0</v>
      </c>
      <c r="AY203" s="4463">
        <f t="shared" si="1126"/>
        <v>0</v>
      </c>
      <c r="AZ203" s="4463">
        <f t="shared" si="1126"/>
        <v>0</v>
      </c>
      <c r="BA203" s="4463">
        <f t="shared" si="1126"/>
        <v>1.5389999999999999</v>
      </c>
      <c r="BB203" s="4463">
        <f t="shared" si="1126"/>
        <v>1.5389999999999999</v>
      </c>
      <c r="BC203" s="4463">
        <f t="shared" si="1126"/>
        <v>0</v>
      </c>
      <c r="BD203" s="4446">
        <f t="shared" si="1109"/>
        <v>19.95825</v>
      </c>
      <c r="BE203" s="4446">
        <f t="shared" si="1110"/>
        <v>19.95825</v>
      </c>
      <c r="BF203" s="4446">
        <f t="shared" si="1110"/>
        <v>0</v>
      </c>
      <c r="BG203" s="4464">
        <f t="shared" si="1120"/>
        <v>11.528</v>
      </c>
      <c r="BH203" s="4464">
        <f t="shared" si="1111"/>
        <v>11.528</v>
      </c>
      <c r="BI203" s="4464">
        <f t="shared" si="1111"/>
        <v>0</v>
      </c>
      <c r="BJ203" s="4464">
        <f t="shared" si="1112"/>
        <v>-8.4302499999999991</v>
      </c>
      <c r="BK203" s="4464">
        <f t="shared" si="1112"/>
        <v>-8.4302499999999991</v>
      </c>
      <c r="BL203" s="4464">
        <f t="shared" si="1112"/>
        <v>0</v>
      </c>
      <c r="BM203" s="4462">
        <f t="shared" si="1127"/>
        <v>6.6527500000000002</v>
      </c>
      <c r="BN203" s="4462">
        <f t="shared" si="1127"/>
        <v>6.6527500000000002</v>
      </c>
      <c r="BO203" s="4462">
        <f t="shared" si="1127"/>
        <v>0</v>
      </c>
      <c r="BP203" s="4463">
        <f t="shared" si="1127"/>
        <v>0</v>
      </c>
      <c r="BQ203" s="4463">
        <f t="shared" si="1127"/>
        <v>0</v>
      </c>
      <c r="BR203" s="4463">
        <f t="shared" si="1127"/>
        <v>0</v>
      </c>
      <c r="BS203" s="4463">
        <f t="shared" si="1127"/>
        <v>0</v>
      </c>
      <c r="BT203" s="4463">
        <f t="shared" si="1127"/>
        <v>0</v>
      </c>
      <c r="BU203" s="4463">
        <f t="shared" si="1127"/>
        <v>0</v>
      </c>
      <c r="BV203" s="4463">
        <f t="shared" si="1127"/>
        <v>0</v>
      </c>
      <c r="BW203" s="4463">
        <f t="shared" si="1127"/>
        <v>0</v>
      </c>
      <c r="BX203" s="4463">
        <f t="shared" si="1127"/>
        <v>0</v>
      </c>
      <c r="BY203" s="4463">
        <f t="shared" si="1127"/>
        <v>0</v>
      </c>
      <c r="BZ203" s="4463">
        <f t="shared" si="1127"/>
        <v>0</v>
      </c>
      <c r="CA203" s="4463">
        <f t="shared" si="1127"/>
        <v>0</v>
      </c>
      <c r="CB203" s="4446">
        <f t="shared" si="1114"/>
        <v>26.611000000000001</v>
      </c>
      <c r="CC203" s="4446">
        <f t="shared" si="1115"/>
        <v>26.611000000000001</v>
      </c>
      <c r="CD203" s="4446">
        <f t="shared" si="1115"/>
        <v>0</v>
      </c>
      <c r="CE203" s="4464">
        <f t="shared" si="1121"/>
        <v>11.528</v>
      </c>
      <c r="CF203" s="4464">
        <f t="shared" si="1116"/>
        <v>11.528</v>
      </c>
      <c r="CG203" s="4464">
        <f t="shared" si="1116"/>
        <v>0</v>
      </c>
      <c r="CH203" s="4464">
        <f t="shared" si="1117"/>
        <v>-15.083</v>
      </c>
      <c r="CI203" s="4464">
        <f t="shared" si="1117"/>
        <v>-15.083</v>
      </c>
      <c r="CJ203" s="4464">
        <f t="shared" si="1117"/>
        <v>0</v>
      </c>
      <c r="CK203" s="389"/>
      <c r="CL203" s="5"/>
    </row>
    <row r="204" spans="1:90" ht="18.75" customHeight="1" x14ac:dyDescent="0.3">
      <c r="A204" s="4445" t="s">
        <v>42</v>
      </c>
      <c r="B204" s="4462">
        <f t="shared" ref="B204:AE211" si="1129">SUM(B56)</f>
        <v>34.209000000000003</v>
      </c>
      <c r="C204" s="4462">
        <f t="shared" si="1129"/>
        <v>34.209000000000003</v>
      </c>
      <c r="D204" s="4462">
        <f t="shared" si="1129"/>
        <v>0</v>
      </c>
      <c r="E204" s="4463">
        <f t="shared" si="1129"/>
        <v>0</v>
      </c>
      <c r="F204" s="4463">
        <f t="shared" si="1129"/>
        <v>0</v>
      </c>
      <c r="G204" s="4463">
        <f t="shared" si="1129"/>
        <v>0</v>
      </c>
      <c r="H204" s="4463">
        <f t="shared" si="1129"/>
        <v>0</v>
      </c>
      <c r="I204" s="4463">
        <f t="shared" si="1129"/>
        <v>0</v>
      </c>
      <c r="J204" s="4463">
        <f t="shared" si="1129"/>
        <v>0</v>
      </c>
      <c r="K204" s="4463">
        <f t="shared" si="1129"/>
        <v>8.3350000000000009</v>
      </c>
      <c r="L204" s="4463">
        <f t="shared" si="1129"/>
        <v>8.3350000000000009</v>
      </c>
      <c r="M204" s="4463">
        <f t="shared" si="1129"/>
        <v>0</v>
      </c>
      <c r="N204" s="4463">
        <f t="shared" si="1129"/>
        <v>8.3350000000000009</v>
      </c>
      <c r="O204" s="4463">
        <f t="shared" si="1129"/>
        <v>8.3350000000000009</v>
      </c>
      <c r="P204" s="4463">
        <f t="shared" si="1129"/>
        <v>0</v>
      </c>
      <c r="Q204" s="4462">
        <f t="shared" si="1129"/>
        <v>34.209000000000003</v>
      </c>
      <c r="R204" s="4462">
        <f t="shared" si="1129"/>
        <v>34.209000000000003</v>
      </c>
      <c r="S204" s="4462">
        <f t="shared" si="1129"/>
        <v>0</v>
      </c>
      <c r="T204" s="4463">
        <f t="shared" si="1129"/>
        <v>0</v>
      </c>
      <c r="U204" s="4463">
        <f t="shared" si="1129"/>
        <v>0</v>
      </c>
      <c r="V204" s="4463">
        <f t="shared" si="1129"/>
        <v>0</v>
      </c>
      <c r="W204" s="4463">
        <f t="shared" si="1129"/>
        <v>0</v>
      </c>
      <c r="X204" s="4463">
        <f t="shared" si="1129"/>
        <v>0</v>
      </c>
      <c r="Y204" s="4463">
        <f t="shared" si="1129"/>
        <v>0</v>
      </c>
      <c r="Z204" s="4463">
        <f t="shared" si="1129"/>
        <v>14.858000000000001</v>
      </c>
      <c r="AA204" s="4463">
        <f t="shared" si="1129"/>
        <v>14.858000000000001</v>
      </c>
      <c r="AB204" s="4463">
        <f t="shared" si="1129"/>
        <v>0</v>
      </c>
      <c r="AC204" s="4463">
        <f t="shared" si="1129"/>
        <v>14.858000000000001</v>
      </c>
      <c r="AD204" s="4463">
        <f t="shared" si="1129"/>
        <v>14.858000000000001</v>
      </c>
      <c r="AE204" s="4463">
        <f t="shared" si="1129"/>
        <v>0</v>
      </c>
      <c r="AF204" s="4446">
        <f t="shared" si="1105"/>
        <v>68.418000000000006</v>
      </c>
      <c r="AG204" s="4446">
        <f t="shared" si="1106"/>
        <v>68.418000000000006</v>
      </c>
      <c r="AH204" s="4446">
        <f t="shared" si="1106"/>
        <v>0</v>
      </c>
      <c r="AI204" s="4464">
        <f t="shared" si="1118"/>
        <v>23.193000000000001</v>
      </c>
      <c r="AJ204" s="4464">
        <f t="shared" si="1119"/>
        <v>23.193000000000001</v>
      </c>
      <c r="AK204" s="4464">
        <f t="shared" si="1119"/>
        <v>0</v>
      </c>
      <c r="AL204" s="4464">
        <f t="shared" si="1107"/>
        <v>-45.225000000000009</v>
      </c>
      <c r="AM204" s="4464">
        <f t="shared" si="1107"/>
        <v>-45.225000000000009</v>
      </c>
      <c r="AN204" s="4464">
        <f t="shared" si="1107"/>
        <v>0</v>
      </c>
      <c r="AO204" s="4462">
        <f t="shared" ref="AO204:BC211" si="1130">SUM(AO56)</f>
        <v>34.209000000000003</v>
      </c>
      <c r="AP204" s="4462">
        <f t="shared" si="1130"/>
        <v>34.209000000000003</v>
      </c>
      <c r="AQ204" s="4462">
        <f t="shared" si="1130"/>
        <v>0</v>
      </c>
      <c r="AR204" s="4463">
        <f t="shared" si="1130"/>
        <v>0</v>
      </c>
      <c r="AS204" s="4463">
        <f t="shared" si="1130"/>
        <v>0</v>
      </c>
      <c r="AT204" s="4463">
        <f t="shared" si="1130"/>
        <v>0</v>
      </c>
      <c r="AU204" s="4463">
        <f t="shared" si="1130"/>
        <v>0</v>
      </c>
      <c r="AV204" s="4463">
        <f t="shared" si="1130"/>
        <v>0</v>
      </c>
      <c r="AW204" s="4463">
        <f t="shared" si="1130"/>
        <v>0</v>
      </c>
      <c r="AX204" s="4463">
        <f t="shared" si="1130"/>
        <v>0</v>
      </c>
      <c r="AY204" s="4463">
        <f t="shared" si="1130"/>
        <v>0</v>
      </c>
      <c r="AZ204" s="4463">
        <f t="shared" si="1130"/>
        <v>0</v>
      </c>
      <c r="BA204" s="4463">
        <f t="shared" si="1130"/>
        <v>0</v>
      </c>
      <c r="BB204" s="4463">
        <f t="shared" si="1130"/>
        <v>0</v>
      </c>
      <c r="BC204" s="4463">
        <f t="shared" si="1130"/>
        <v>0</v>
      </c>
      <c r="BD204" s="4446">
        <f t="shared" si="1109"/>
        <v>102.62700000000001</v>
      </c>
      <c r="BE204" s="4446">
        <f t="shared" si="1110"/>
        <v>102.62700000000001</v>
      </c>
      <c r="BF204" s="4446">
        <f t="shared" si="1110"/>
        <v>0</v>
      </c>
      <c r="BG204" s="4464">
        <f t="shared" si="1120"/>
        <v>23.193000000000001</v>
      </c>
      <c r="BH204" s="4464">
        <f t="shared" si="1111"/>
        <v>23.193000000000001</v>
      </c>
      <c r="BI204" s="4464">
        <f t="shared" si="1111"/>
        <v>0</v>
      </c>
      <c r="BJ204" s="4464">
        <f t="shared" si="1112"/>
        <v>-79.434000000000012</v>
      </c>
      <c r="BK204" s="4464">
        <f t="shared" si="1112"/>
        <v>-79.434000000000012</v>
      </c>
      <c r="BL204" s="4464">
        <f t="shared" si="1112"/>
        <v>0</v>
      </c>
      <c r="BM204" s="4462">
        <f t="shared" ref="BM204:CA211" si="1131">SUM(BM56)</f>
        <v>34.209000000000003</v>
      </c>
      <c r="BN204" s="4462">
        <f t="shared" si="1131"/>
        <v>34.209000000000003</v>
      </c>
      <c r="BO204" s="4462">
        <f t="shared" si="1131"/>
        <v>0</v>
      </c>
      <c r="BP204" s="4463">
        <f t="shared" si="1131"/>
        <v>0</v>
      </c>
      <c r="BQ204" s="4463">
        <f t="shared" si="1131"/>
        <v>0</v>
      </c>
      <c r="BR204" s="4463">
        <f t="shared" si="1131"/>
        <v>0</v>
      </c>
      <c r="BS204" s="4463">
        <f t="shared" si="1131"/>
        <v>0</v>
      </c>
      <c r="BT204" s="4463">
        <f t="shared" si="1131"/>
        <v>0</v>
      </c>
      <c r="BU204" s="4463">
        <f t="shared" si="1131"/>
        <v>0</v>
      </c>
      <c r="BV204" s="4463">
        <f t="shared" si="1131"/>
        <v>0</v>
      </c>
      <c r="BW204" s="4463">
        <f t="shared" si="1131"/>
        <v>0</v>
      </c>
      <c r="BX204" s="4463">
        <f t="shared" si="1131"/>
        <v>0</v>
      </c>
      <c r="BY204" s="4463">
        <f t="shared" si="1131"/>
        <v>0</v>
      </c>
      <c r="BZ204" s="4463">
        <f t="shared" si="1131"/>
        <v>0</v>
      </c>
      <c r="CA204" s="4463">
        <f t="shared" si="1131"/>
        <v>0</v>
      </c>
      <c r="CB204" s="4446">
        <f t="shared" si="1114"/>
        <v>136.83600000000001</v>
      </c>
      <c r="CC204" s="4446">
        <f t="shared" si="1115"/>
        <v>136.83600000000001</v>
      </c>
      <c r="CD204" s="4446">
        <f t="shared" si="1115"/>
        <v>0</v>
      </c>
      <c r="CE204" s="4464">
        <f t="shared" si="1121"/>
        <v>23.193000000000001</v>
      </c>
      <c r="CF204" s="4464">
        <f t="shared" si="1116"/>
        <v>23.193000000000001</v>
      </c>
      <c r="CG204" s="4464">
        <f t="shared" si="1116"/>
        <v>0</v>
      </c>
      <c r="CH204" s="4464">
        <f t="shared" si="1117"/>
        <v>-113.64300000000001</v>
      </c>
      <c r="CI204" s="4464">
        <f t="shared" si="1117"/>
        <v>-113.64300000000001</v>
      </c>
      <c r="CJ204" s="4464">
        <f t="shared" si="1117"/>
        <v>0</v>
      </c>
      <c r="CK204" s="389"/>
      <c r="CL204" s="5"/>
    </row>
    <row r="205" spans="1:90" ht="18.75" customHeight="1" x14ac:dyDescent="0.3">
      <c r="A205" s="4445" t="s">
        <v>38</v>
      </c>
      <c r="B205" s="4462">
        <f t="shared" si="1129"/>
        <v>7.7374999999999998</v>
      </c>
      <c r="C205" s="4462">
        <f t="shared" si="1129"/>
        <v>7.7374999999999998</v>
      </c>
      <c r="D205" s="4462">
        <f t="shared" si="1129"/>
        <v>0</v>
      </c>
      <c r="E205" s="4463">
        <f t="shared" si="1129"/>
        <v>0</v>
      </c>
      <c r="F205" s="4463">
        <f t="shared" si="1129"/>
        <v>0</v>
      </c>
      <c r="G205" s="4463">
        <f t="shared" si="1129"/>
        <v>0</v>
      </c>
      <c r="H205" s="4463">
        <f t="shared" si="1129"/>
        <v>5.9</v>
      </c>
      <c r="I205" s="4463">
        <f t="shared" si="1129"/>
        <v>5.9</v>
      </c>
      <c r="J205" s="4463">
        <f t="shared" si="1129"/>
        <v>0</v>
      </c>
      <c r="K205" s="4463">
        <f t="shared" si="1129"/>
        <v>0</v>
      </c>
      <c r="L205" s="4463">
        <f t="shared" si="1129"/>
        <v>0</v>
      </c>
      <c r="M205" s="4463">
        <f t="shared" si="1129"/>
        <v>0</v>
      </c>
      <c r="N205" s="4463">
        <f t="shared" si="1129"/>
        <v>5.9</v>
      </c>
      <c r="O205" s="4463">
        <f t="shared" si="1129"/>
        <v>5.9</v>
      </c>
      <c r="P205" s="4463">
        <f t="shared" si="1129"/>
        <v>0</v>
      </c>
      <c r="Q205" s="4462">
        <f t="shared" si="1129"/>
        <v>7.7374999999999998</v>
      </c>
      <c r="R205" s="4462">
        <f t="shared" si="1129"/>
        <v>7.7374999999999998</v>
      </c>
      <c r="S205" s="4462">
        <f t="shared" si="1129"/>
        <v>0</v>
      </c>
      <c r="T205" s="4463">
        <f t="shared" si="1129"/>
        <v>0</v>
      </c>
      <c r="U205" s="4463">
        <f t="shared" si="1129"/>
        <v>0</v>
      </c>
      <c r="V205" s="4463">
        <f t="shared" si="1129"/>
        <v>0</v>
      </c>
      <c r="W205" s="4463">
        <f t="shared" si="1129"/>
        <v>31.36</v>
      </c>
      <c r="X205" s="4463">
        <f t="shared" si="1129"/>
        <v>31.36</v>
      </c>
      <c r="Y205" s="4463">
        <f t="shared" si="1129"/>
        <v>0</v>
      </c>
      <c r="Z205" s="4463">
        <f t="shared" si="1129"/>
        <v>22.18</v>
      </c>
      <c r="AA205" s="4463">
        <f t="shared" si="1129"/>
        <v>22.18</v>
      </c>
      <c r="AB205" s="4463">
        <f t="shared" si="1129"/>
        <v>0</v>
      </c>
      <c r="AC205" s="4463">
        <f t="shared" si="1129"/>
        <v>53.54</v>
      </c>
      <c r="AD205" s="4463">
        <f t="shared" si="1129"/>
        <v>53.54</v>
      </c>
      <c r="AE205" s="4463">
        <f t="shared" si="1129"/>
        <v>0</v>
      </c>
      <c r="AF205" s="4446">
        <f t="shared" si="1105"/>
        <v>15.475</v>
      </c>
      <c r="AG205" s="4446">
        <f t="shared" si="1106"/>
        <v>15.475</v>
      </c>
      <c r="AH205" s="4446">
        <f t="shared" si="1106"/>
        <v>0</v>
      </c>
      <c r="AI205" s="4464">
        <f t="shared" si="1118"/>
        <v>59.44</v>
      </c>
      <c r="AJ205" s="4464">
        <f t="shared" si="1119"/>
        <v>59.44</v>
      </c>
      <c r="AK205" s="4464">
        <f t="shared" si="1119"/>
        <v>0</v>
      </c>
      <c r="AL205" s="4464">
        <f t="shared" si="1107"/>
        <v>43.964999999999996</v>
      </c>
      <c r="AM205" s="4464">
        <f t="shared" si="1107"/>
        <v>43.964999999999996</v>
      </c>
      <c r="AN205" s="4464">
        <f t="shared" si="1107"/>
        <v>0</v>
      </c>
      <c r="AO205" s="4462">
        <f t="shared" si="1130"/>
        <v>7.7374999999999998</v>
      </c>
      <c r="AP205" s="4462">
        <f t="shared" si="1130"/>
        <v>7.7374999999999998</v>
      </c>
      <c r="AQ205" s="4462">
        <f t="shared" si="1130"/>
        <v>0</v>
      </c>
      <c r="AR205" s="4463">
        <f t="shared" si="1130"/>
        <v>16.940000000000001</v>
      </c>
      <c r="AS205" s="4463">
        <f t="shared" si="1130"/>
        <v>16.940000000000001</v>
      </c>
      <c r="AT205" s="4463">
        <f t="shared" si="1130"/>
        <v>0</v>
      </c>
      <c r="AU205" s="4463">
        <f t="shared" si="1130"/>
        <v>0</v>
      </c>
      <c r="AV205" s="4463">
        <f t="shared" si="1130"/>
        <v>0</v>
      </c>
      <c r="AW205" s="4463">
        <f t="shared" si="1130"/>
        <v>0</v>
      </c>
      <c r="AX205" s="4463">
        <f t="shared" si="1130"/>
        <v>0</v>
      </c>
      <c r="AY205" s="4463">
        <f t="shared" si="1130"/>
        <v>0</v>
      </c>
      <c r="AZ205" s="4463">
        <f t="shared" si="1130"/>
        <v>0</v>
      </c>
      <c r="BA205" s="4463">
        <f t="shared" si="1130"/>
        <v>16.940000000000001</v>
      </c>
      <c r="BB205" s="4463">
        <f t="shared" si="1130"/>
        <v>16.940000000000001</v>
      </c>
      <c r="BC205" s="4463">
        <f t="shared" si="1130"/>
        <v>0</v>
      </c>
      <c r="BD205" s="4446">
        <f t="shared" si="1109"/>
        <v>23.212499999999999</v>
      </c>
      <c r="BE205" s="4446">
        <f t="shared" si="1110"/>
        <v>23.212499999999999</v>
      </c>
      <c r="BF205" s="4446">
        <f t="shared" si="1110"/>
        <v>0</v>
      </c>
      <c r="BG205" s="4464">
        <f t="shared" si="1120"/>
        <v>76.38</v>
      </c>
      <c r="BH205" s="4464">
        <f t="shared" si="1111"/>
        <v>76.38</v>
      </c>
      <c r="BI205" s="4464">
        <f t="shared" si="1111"/>
        <v>0</v>
      </c>
      <c r="BJ205" s="4464">
        <f t="shared" si="1112"/>
        <v>53.167499999999997</v>
      </c>
      <c r="BK205" s="4464">
        <f t="shared" si="1112"/>
        <v>53.167499999999997</v>
      </c>
      <c r="BL205" s="4464">
        <f t="shared" si="1112"/>
        <v>0</v>
      </c>
      <c r="BM205" s="4462">
        <f t="shared" si="1131"/>
        <v>7.7374999999999998</v>
      </c>
      <c r="BN205" s="4462">
        <f t="shared" si="1131"/>
        <v>7.7374999999999998</v>
      </c>
      <c r="BO205" s="4462">
        <f t="shared" si="1131"/>
        <v>0</v>
      </c>
      <c r="BP205" s="4463">
        <f t="shared" si="1131"/>
        <v>0</v>
      </c>
      <c r="BQ205" s="4463">
        <f t="shared" si="1131"/>
        <v>0</v>
      </c>
      <c r="BR205" s="4463">
        <f t="shared" si="1131"/>
        <v>0</v>
      </c>
      <c r="BS205" s="4463">
        <f t="shared" si="1131"/>
        <v>0</v>
      </c>
      <c r="BT205" s="4463">
        <f t="shared" si="1131"/>
        <v>0</v>
      </c>
      <c r="BU205" s="4463">
        <f t="shared" si="1131"/>
        <v>0</v>
      </c>
      <c r="BV205" s="4463">
        <f t="shared" si="1131"/>
        <v>0</v>
      </c>
      <c r="BW205" s="4463">
        <f t="shared" si="1131"/>
        <v>0</v>
      </c>
      <c r="BX205" s="4463">
        <f t="shared" si="1131"/>
        <v>0</v>
      </c>
      <c r="BY205" s="4463">
        <f t="shared" si="1131"/>
        <v>0</v>
      </c>
      <c r="BZ205" s="4463">
        <f t="shared" si="1131"/>
        <v>0</v>
      </c>
      <c r="CA205" s="4463">
        <f t="shared" si="1131"/>
        <v>0</v>
      </c>
      <c r="CB205" s="4446">
        <f t="shared" si="1114"/>
        <v>30.95</v>
      </c>
      <c r="CC205" s="4446">
        <f t="shared" si="1115"/>
        <v>30.95</v>
      </c>
      <c r="CD205" s="4446">
        <f t="shared" si="1115"/>
        <v>0</v>
      </c>
      <c r="CE205" s="4464">
        <f t="shared" si="1121"/>
        <v>76.38</v>
      </c>
      <c r="CF205" s="4464">
        <f t="shared" si="1116"/>
        <v>76.38</v>
      </c>
      <c r="CG205" s="4464">
        <f t="shared" si="1116"/>
        <v>0</v>
      </c>
      <c r="CH205" s="4464">
        <f t="shared" si="1117"/>
        <v>45.429999999999993</v>
      </c>
      <c r="CI205" s="4464">
        <f t="shared" si="1117"/>
        <v>45.429999999999993</v>
      </c>
      <c r="CJ205" s="4464">
        <f t="shared" si="1117"/>
        <v>0</v>
      </c>
      <c r="CK205" s="389"/>
      <c r="CL205" s="5"/>
    </row>
    <row r="206" spans="1:90" ht="18.75" customHeight="1" x14ac:dyDescent="0.3">
      <c r="A206" s="4445" t="s">
        <v>590</v>
      </c>
      <c r="B206" s="4462">
        <f t="shared" si="1129"/>
        <v>0</v>
      </c>
      <c r="C206" s="4462">
        <f t="shared" si="1129"/>
        <v>0</v>
      </c>
      <c r="D206" s="4462">
        <f t="shared" si="1129"/>
        <v>0</v>
      </c>
      <c r="E206" s="4463">
        <f t="shared" si="1129"/>
        <v>0</v>
      </c>
      <c r="F206" s="4463">
        <f t="shared" si="1129"/>
        <v>0</v>
      </c>
      <c r="G206" s="4463">
        <f t="shared" si="1129"/>
        <v>0</v>
      </c>
      <c r="H206" s="4463">
        <f t="shared" si="1129"/>
        <v>0</v>
      </c>
      <c r="I206" s="4463">
        <f t="shared" si="1129"/>
        <v>0</v>
      </c>
      <c r="J206" s="4463">
        <f t="shared" si="1129"/>
        <v>0</v>
      </c>
      <c r="K206" s="4463">
        <f t="shared" si="1129"/>
        <v>0</v>
      </c>
      <c r="L206" s="4463">
        <f t="shared" si="1129"/>
        <v>0</v>
      </c>
      <c r="M206" s="4463">
        <f t="shared" si="1129"/>
        <v>0</v>
      </c>
      <c r="N206" s="4463">
        <f t="shared" si="1129"/>
        <v>0</v>
      </c>
      <c r="O206" s="4463">
        <f t="shared" si="1129"/>
        <v>0</v>
      </c>
      <c r="P206" s="4463">
        <f t="shared" si="1129"/>
        <v>0</v>
      </c>
      <c r="Q206" s="4462">
        <f t="shared" si="1129"/>
        <v>0</v>
      </c>
      <c r="R206" s="4462">
        <f t="shared" si="1129"/>
        <v>0</v>
      </c>
      <c r="S206" s="4462">
        <f t="shared" si="1129"/>
        <v>0</v>
      </c>
      <c r="T206" s="4463">
        <f t="shared" si="1129"/>
        <v>0</v>
      </c>
      <c r="U206" s="4463">
        <f t="shared" si="1129"/>
        <v>0</v>
      </c>
      <c r="V206" s="4463">
        <f t="shared" si="1129"/>
        <v>0</v>
      </c>
      <c r="W206" s="4463">
        <f t="shared" si="1129"/>
        <v>0</v>
      </c>
      <c r="X206" s="4463">
        <f t="shared" si="1129"/>
        <v>0</v>
      </c>
      <c r="Y206" s="4463">
        <f t="shared" si="1129"/>
        <v>0</v>
      </c>
      <c r="Z206" s="4463">
        <f t="shared" si="1129"/>
        <v>0</v>
      </c>
      <c r="AA206" s="4463">
        <f t="shared" si="1129"/>
        <v>0</v>
      </c>
      <c r="AB206" s="4463">
        <f t="shared" si="1129"/>
        <v>0</v>
      </c>
      <c r="AC206" s="4463">
        <f t="shared" si="1129"/>
        <v>0</v>
      </c>
      <c r="AD206" s="4463">
        <f t="shared" si="1129"/>
        <v>0</v>
      </c>
      <c r="AE206" s="4463">
        <f t="shared" si="1129"/>
        <v>0</v>
      </c>
      <c r="AF206" s="4446">
        <f t="shared" si="1105"/>
        <v>0</v>
      </c>
      <c r="AG206" s="4446">
        <f t="shared" si="1106"/>
        <v>0</v>
      </c>
      <c r="AH206" s="4446">
        <f t="shared" si="1106"/>
        <v>0</v>
      </c>
      <c r="AI206" s="4464">
        <f t="shared" si="1118"/>
        <v>0</v>
      </c>
      <c r="AJ206" s="4464">
        <f t="shared" si="1119"/>
        <v>0</v>
      </c>
      <c r="AK206" s="4464">
        <f t="shared" si="1119"/>
        <v>0</v>
      </c>
      <c r="AL206" s="4464">
        <f t="shared" si="1107"/>
        <v>0</v>
      </c>
      <c r="AM206" s="4464">
        <f t="shared" si="1107"/>
        <v>0</v>
      </c>
      <c r="AN206" s="4464">
        <f t="shared" si="1107"/>
        <v>0</v>
      </c>
      <c r="AO206" s="4462">
        <f t="shared" si="1130"/>
        <v>0</v>
      </c>
      <c r="AP206" s="4462">
        <f t="shared" si="1130"/>
        <v>0</v>
      </c>
      <c r="AQ206" s="4462">
        <f t="shared" si="1130"/>
        <v>0</v>
      </c>
      <c r="AR206" s="4463">
        <f t="shared" si="1130"/>
        <v>0</v>
      </c>
      <c r="AS206" s="4463">
        <f t="shared" si="1130"/>
        <v>0</v>
      </c>
      <c r="AT206" s="4463">
        <f t="shared" si="1130"/>
        <v>0</v>
      </c>
      <c r="AU206" s="4463">
        <f t="shared" si="1130"/>
        <v>0</v>
      </c>
      <c r="AV206" s="4463">
        <f t="shared" si="1130"/>
        <v>0</v>
      </c>
      <c r="AW206" s="4463">
        <f t="shared" si="1130"/>
        <v>0</v>
      </c>
      <c r="AX206" s="4463">
        <f t="shared" si="1130"/>
        <v>0</v>
      </c>
      <c r="AY206" s="4463">
        <f t="shared" si="1130"/>
        <v>0</v>
      </c>
      <c r="AZ206" s="4463">
        <f t="shared" si="1130"/>
        <v>0</v>
      </c>
      <c r="BA206" s="4463">
        <f t="shared" si="1130"/>
        <v>0</v>
      </c>
      <c r="BB206" s="4463">
        <f t="shared" si="1130"/>
        <v>0</v>
      </c>
      <c r="BC206" s="4463">
        <f t="shared" si="1130"/>
        <v>0</v>
      </c>
      <c r="BD206" s="4446">
        <f t="shared" si="1109"/>
        <v>0</v>
      </c>
      <c r="BE206" s="4446">
        <f t="shared" si="1110"/>
        <v>0</v>
      </c>
      <c r="BF206" s="4446">
        <f t="shared" si="1110"/>
        <v>0</v>
      </c>
      <c r="BG206" s="4464">
        <f t="shared" si="1120"/>
        <v>0</v>
      </c>
      <c r="BH206" s="4464">
        <f t="shared" si="1111"/>
        <v>0</v>
      </c>
      <c r="BI206" s="4464">
        <f t="shared" si="1111"/>
        <v>0</v>
      </c>
      <c r="BJ206" s="4464">
        <f t="shared" si="1112"/>
        <v>0</v>
      </c>
      <c r="BK206" s="4464">
        <f t="shared" si="1112"/>
        <v>0</v>
      </c>
      <c r="BL206" s="4464">
        <f t="shared" si="1112"/>
        <v>0</v>
      </c>
      <c r="BM206" s="4462">
        <f t="shared" si="1131"/>
        <v>0</v>
      </c>
      <c r="BN206" s="4462">
        <f t="shared" si="1131"/>
        <v>0</v>
      </c>
      <c r="BO206" s="4462">
        <f t="shared" si="1131"/>
        <v>0</v>
      </c>
      <c r="BP206" s="4463">
        <f t="shared" si="1131"/>
        <v>0</v>
      </c>
      <c r="BQ206" s="4463">
        <f t="shared" si="1131"/>
        <v>0</v>
      </c>
      <c r="BR206" s="4463">
        <f t="shared" si="1131"/>
        <v>0</v>
      </c>
      <c r="BS206" s="4463">
        <f t="shared" si="1131"/>
        <v>0</v>
      </c>
      <c r="BT206" s="4463">
        <f t="shared" si="1131"/>
        <v>0</v>
      </c>
      <c r="BU206" s="4463">
        <f t="shared" si="1131"/>
        <v>0</v>
      </c>
      <c r="BV206" s="4463">
        <f t="shared" si="1131"/>
        <v>0</v>
      </c>
      <c r="BW206" s="4463">
        <f t="shared" si="1131"/>
        <v>0</v>
      </c>
      <c r="BX206" s="4463">
        <f t="shared" si="1131"/>
        <v>0</v>
      </c>
      <c r="BY206" s="4463">
        <f t="shared" si="1131"/>
        <v>0</v>
      </c>
      <c r="BZ206" s="4463">
        <f t="shared" si="1131"/>
        <v>0</v>
      </c>
      <c r="CA206" s="4463">
        <f t="shared" si="1131"/>
        <v>0</v>
      </c>
      <c r="CB206" s="4446">
        <f t="shared" si="1114"/>
        <v>0</v>
      </c>
      <c r="CC206" s="4446">
        <f t="shared" si="1115"/>
        <v>0</v>
      </c>
      <c r="CD206" s="4446">
        <f t="shared" si="1115"/>
        <v>0</v>
      </c>
      <c r="CE206" s="4464">
        <f t="shared" si="1121"/>
        <v>0</v>
      </c>
      <c r="CF206" s="4464">
        <f t="shared" si="1116"/>
        <v>0</v>
      </c>
      <c r="CG206" s="4464">
        <f t="shared" si="1116"/>
        <v>0</v>
      </c>
      <c r="CH206" s="4464">
        <f t="shared" si="1117"/>
        <v>0</v>
      </c>
      <c r="CI206" s="4464">
        <f t="shared" si="1117"/>
        <v>0</v>
      </c>
      <c r="CJ206" s="4464">
        <f t="shared" si="1117"/>
        <v>0</v>
      </c>
      <c r="CK206" s="389"/>
      <c r="CL206" s="5"/>
    </row>
    <row r="207" spans="1:90" ht="18.75" customHeight="1" x14ac:dyDescent="0.3">
      <c r="A207" s="4445" t="s">
        <v>94</v>
      </c>
      <c r="B207" s="4462">
        <f t="shared" si="1129"/>
        <v>15.110250000000001</v>
      </c>
      <c r="C207" s="4462">
        <f t="shared" si="1129"/>
        <v>15.110250000000001</v>
      </c>
      <c r="D207" s="4462">
        <f t="shared" si="1129"/>
        <v>0</v>
      </c>
      <c r="E207" s="4463">
        <f t="shared" si="1129"/>
        <v>0</v>
      </c>
      <c r="F207" s="4463">
        <f t="shared" si="1129"/>
        <v>0</v>
      </c>
      <c r="G207" s="4463">
        <f t="shared" si="1129"/>
        <v>0</v>
      </c>
      <c r="H207" s="4463">
        <f t="shared" si="1129"/>
        <v>0</v>
      </c>
      <c r="I207" s="4463">
        <f t="shared" si="1129"/>
        <v>0</v>
      </c>
      <c r="J207" s="4463">
        <f t="shared" si="1129"/>
        <v>0</v>
      </c>
      <c r="K207" s="4463">
        <f t="shared" si="1129"/>
        <v>14.266999999999999</v>
      </c>
      <c r="L207" s="4463">
        <f t="shared" si="1129"/>
        <v>14.266999999999999</v>
      </c>
      <c r="M207" s="4463">
        <f t="shared" si="1129"/>
        <v>0</v>
      </c>
      <c r="N207" s="4463">
        <f t="shared" si="1129"/>
        <v>14.266999999999999</v>
      </c>
      <c r="O207" s="4463">
        <f t="shared" si="1129"/>
        <v>14.266999999999999</v>
      </c>
      <c r="P207" s="4463">
        <f t="shared" si="1129"/>
        <v>0</v>
      </c>
      <c r="Q207" s="4462">
        <f t="shared" si="1129"/>
        <v>15.110250000000001</v>
      </c>
      <c r="R207" s="4462">
        <f t="shared" si="1129"/>
        <v>15.110250000000001</v>
      </c>
      <c r="S207" s="4462">
        <f t="shared" si="1129"/>
        <v>0</v>
      </c>
      <c r="T207" s="4463">
        <f t="shared" si="1129"/>
        <v>0</v>
      </c>
      <c r="U207" s="4463">
        <f t="shared" si="1129"/>
        <v>0</v>
      </c>
      <c r="V207" s="4463">
        <f t="shared" si="1129"/>
        <v>0</v>
      </c>
      <c r="W207" s="4463">
        <f t="shared" si="1129"/>
        <v>0</v>
      </c>
      <c r="X207" s="4463">
        <f t="shared" si="1129"/>
        <v>0</v>
      </c>
      <c r="Y207" s="4463">
        <f t="shared" si="1129"/>
        <v>0</v>
      </c>
      <c r="Z207" s="4463">
        <f t="shared" si="1129"/>
        <v>14.426</v>
      </c>
      <c r="AA207" s="4463">
        <f t="shared" si="1129"/>
        <v>14.426</v>
      </c>
      <c r="AB207" s="4463">
        <f t="shared" si="1129"/>
        <v>0</v>
      </c>
      <c r="AC207" s="4463">
        <f t="shared" si="1129"/>
        <v>14.426</v>
      </c>
      <c r="AD207" s="4463">
        <f t="shared" si="1129"/>
        <v>14.426</v>
      </c>
      <c r="AE207" s="4463">
        <f t="shared" si="1129"/>
        <v>0</v>
      </c>
      <c r="AF207" s="4446">
        <f t="shared" si="1105"/>
        <v>30.220500000000001</v>
      </c>
      <c r="AG207" s="4446">
        <f t="shared" si="1106"/>
        <v>30.220500000000001</v>
      </c>
      <c r="AH207" s="4446">
        <f t="shared" si="1106"/>
        <v>0</v>
      </c>
      <c r="AI207" s="4464">
        <f t="shared" si="1118"/>
        <v>28.692999999999998</v>
      </c>
      <c r="AJ207" s="4464">
        <f t="shared" si="1119"/>
        <v>28.692999999999998</v>
      </c>
      <c r="AK207" s="4464">
        <f t="shared" si="1119"/>
        <v>0</v>
      </c>
      <c r="AL207" s="4464">
        <f t="shared" si="1107"/>
        <v>-1.5275000000000034</v>
      </c>
      <c r="AM207" s="4464">
        <f t="shared" si="1107"/>
        <v>-1.5275000000000034</v>
      </c>
      <c r="AN207" s="4464">
        <f t="shared" si="1107"/>
        <v>0</v>
      </c>
      <c r="AO207" s="4462">
        <f t="shared" si="1130"/>
        <v>15.110250000000001</v>
      </c>
      <c r="AP207" s="4462">
        <f t="shared" si="1130"/>
        <v>15.110250000000001</v>
      </c>
      <c r="AQ207" s="4462">
        <f t="shared" si="1130"/>
        <v>0</v>
      </c>
      <c r="AR207" s="4463">
        <f t="shared" si="1130"/>
        <v>0</v>
      </c>
      <c r="AS207" s="4463">
        <f t="shared" si="1130"/>
        <v>0</v>
      </c>
      <c r="AT207" s="4463">
        <f t="shared" si="1130"/>
        <v>0</v>
      </c>
      <c r="AU207" s="4463">
        <f t="shared" si="1130"/>
        <v>0</v>
      </c>
      <c r="AV207" s="4463">
        <f t="shared" si="1130"/>
        <v>0</v>
      </c>
      <c r="AW207" s="4463">
        <f t="shared" si="1130"/>
        <v>0</v>
      </c>
      <c r="AX207" s="4463">
        <f t="shared" si="1130"/>
        <v>0</v>
      </c>
      <c r="AY207" s="4463">
        <f t="shared" si="1130"/>
        <v>0</v>
      </c>
      <c r="AZ207" s="4463">
        <f t="shared" si="1130"/>
        <v>0</v>
      </c>
      <c r="BA207" s="4463">
        <f t="shared" si="1130"/>
        <v>0</v>
      </c>
      <c r="BB207" s="4463">
        <f t="shared" si="1130"/>
        <v>0</v>
      </c>
      <c r="BC207" s="4463">
        <f t="shared" si="1130"/>
        <v>0</v>
      </c>
      <c r="BD207" s="4446">
        <f t="shared" si="1109"/>
        <v>45.330750000000002</v>
      </c>
      <c r="BE207" s="4446">
        <f t="shared" si="1110"/>
        <v>45.330750000000002</v>
      </c>
      <c r="BF207" s="4446">
        <f t="shared" si="1110"/>
        <v>0</v>
      </c>
      <c r="BG207" s="4464">
        <f t="shared" si="1120"/>
        <v>28.692999999999998</v>
      </c>
      <c r="BH207" s="4464">
        <f t="shared" si="1111"/>
        <v>28.692999999999998</v>
      </c>
      <c r="BI207" s="4464">
        <f t="shared" si="1111"/>
        <v>0</v>
      </c>
      <c r="BJ207" s="4464">
        <f t="shared" si="1112"/>
        <v>-16.637750000000004</v>
      </c>
      <c r="BK207" s="4464">
        <f t="shared" si="1112"/>
        <v>-16.637750000000004</v>
      </c>
      <c r="BL207" s="4464">
        <f t="shared" si="1112"/>
        <v>0</v>
      </c>
      <c r="BM207" s="4462">
        <f t="shared" si="1131"/>
        <v>15.110250000000001</v>
      </c>
      <c r="BN207" s="4462">
        <f t="shared" si="1131"/>
        <v>15.110250000000001</v>
      </c>
      <c r="BO207" s="4462">
        <f t="shared" si="1131"/>
        <v>0</v>
      </c>
      <c r="BP207" s="4463">
        <f t="shared" si="1131"/>
        <v>0</v>
      </c>
      <c r="BQ207" s="4463">
        <f t="shared" si="1131"/>
        <v>0</v>
      </c>
      <c r="BR207" s="4463">
        <f t="shared" si="1131"/>
        <v>0</v>
      </c>
      <c r="BS207" s="4463">
        <f t="shared" si="1131"/>
        <v>0</v>
      </c>
      <c r="BT207" s="4463">
        <f t="shared" si="1131"/>
        <v>0</v>
      </c>
      <c r="BU207" s="4463">
        <f t="shared" si="1131"/>
        <v>0</v>
      </c>
      <c r="BV207" s="4463">
        <f t="shared" si="1131"/>
        <v>0</v>
      </c>
      <c r="BW207" s="4463">
        <f t="shared" si="1131"/>
        <v>0</v>
      </c>
      <c r="BX207" s="4463">
        <f t="shared" si="1131"/>
        <v>0</v>
      </c>
      <c r="BY207" s="4463">
        <f t="shared" si="1131"/>
        <v>0</v>
      </c>
      <c r="BZ207" s="4463">
        <f t="shared" si="1131"/>
        <v>0</v>
      </c>
      <c r="CA207" s="4463">
        <f t="shared" si="1131"/>
        <v>0</v>
      </c>
      <c r="CB207" s="4446">
        <f t="shared" si="1114"/>
        <v>60.441000000000003</v>
      </c>
      <c r="CC207" s="4446">
        <f t="shared" si="1115"/>
        <v>60.441000000000003</v>
      </c>
      <c r="CD207" s="4446">
        <f t="shared" si="1115"/>
        <v>0</v>
      </c>
      <c r="CE207" s="4464">
        <f t="shared" si="1121"/>
        <v>28.692999999999998</v>
      </c>
      <c r="CF207" s="4464">
        <f t="shared" si="1116"/>
        <v>28.692999999999998</v>
      </c>
      <c r="CG207" s="4464">
        <f t="shared" si="1116"/>
        <v>0</v>
      </c>
      <c r="CH207" s="4464">
        <f t="shared" si="1117"/>
        <v>-31.748000000000005</v>
      </c>
      <c r="CI207" s="4464">
        <f t="shared" si="1117"/>
        <v>-31.748000000000005</v>
      </c>
      <c r="CJ207" s="4464">
        <f t="shared" si="1117"/>
        <v>0</v>
      </c>
      <c r="CK207" s="389"/>
      <c r="CL207" s="5"/>
    </row>
    <row r="208" spans="1:90" ht="18.75" customHeight="1" x14ac:dyDescent="0.3">
      <c r="A208" s="4445" t="s">
        <v>591</v>
      </c>
      <c r="B208" s="4462">
        <f t="shared" si="1129"/>
        <v>32.622999999999998</v>
      </c>
      <c r="C208" s="4462">
        <f t="shared" si="1129"/>
        <v>32.622999999999998</v>
      </c>
      <c r="D208" s="4462">
        <f t="shared" si="1129"/>
        <v>0</v>
      </c>
      <c r="E208" s="4463">
        <f t="shared" si="1129"/>
        <v>0</v>
      </c>
      <c r="F208" s="4463">
        <f t="shared" si="1129"/>
        <v>0</v>
      </c>
      <c r="G208" s="4463">
        <f t="shared" si="1129"/>
        <v>0</v>
      </c>
      <c r="H208" s="4463">
        <f t="shared" si="1129"/>
        <v>0</v>
      </c>
      <c r="I208" s="4463">
        <f t="shared" si="1129"/>
        <v>0</v>
      </c>
      <c r="J208" s="4463">
        <f t="shared" si="1129"/>
        <v>0</v>
      </c>
      <c r="K208" s="4463">
        <f t="shared" si="1129"/>
        <v>3.25</v>
      </c>
      <c r="L208" s="4463">
        <f t="shared" si="1129"/>
        <v>3.25</v>
      </c>
      <c r="M208" s="4463">
        <f t="shared" si="1129"/>
        <v>0</v>
      </c>
      <c r="N208" s="4463">
        <f t="shared" si="1129"/>
        <v>3.25</v>
      </c>
      <c r="O208" s="4463">
        <f t="shared" si="1129"/>
        <v>3.25</v>
      </c>
      <c r="P208" s="4463">
        <f t="shared" si="1129"/>
        <v>0</v>
      </c>
      <c r="Q208" s="4462">
        <f t="shared" si="1129"/>
        <v>32.622999999999998</v>
      </c>
      <c r="R208" s="4462">
        <f t="shared" si="1129"/>
        <v>32.622999999999998</v>
      </c>
      <c r="S208" s="4462">
        <f t="shared" si="1129"/>
        <v>0</v>
      </c>
      <c r="T208" s="4463">
        <f t="shared" si="1129"/>
        <v>0</v>
      </c>
      <c r="U208" s="4463">
        <f t="shared" si="1129"/>
        <v>0</v>
      </c>
      <c r="V208" s="4463">
        <f t="shared" si="1129"/>
        <v>0</v>
      </c>
      <c r="W208" s="4463">
        <f t="shared" si="1129"/>
        <v>14.074</v>
      </c>
      <c r="X208" s="4463">
        <f t="shared" si="1129"/>
        <v>14.074</v>
      </c>
      <c r="Y208" s="4463">
        <f t="shared" si="1129"/>
        <v>0</v>
      </c>
      <c r="Z208" s="4463">
        <f t="shared" si="1129"/>
        <v>4.5049999999999999</v>
      </c>
      <c r="AA208" s="4463">
        <f t="shared" si="1129"/>
        <v>4.5049999999999999</v>
      </c>
      <c r="AB208" s="4463">
        <f t="shared" si="1129"/>
        <v>0</v>
      </c>
      <c r="AC208" s="4463">
        <f t="shared" si="1129"/>
        <v>18.579000000000001</v>
      </c>
      <c r="AD208" s="4463">
        <f t="shared" si="1129"/>
        <v>18.579000000000001</v>
      </c>
      <c r="AE208" s="4463">
        <f t="shared" si="1129"/>
        <v>0</v>
      </c>
      <c r="AF208" s="4446">
        <f t="shared" si="1105"/>
        <v>65.245999999999995</v>
      </c>
      <c r="AG208" s="4446">
        <f t="shared" si="1106"/>
        <v>65.245999999999995</v>
      </c>
      <c r="AH208" s="4446">
        <f t="shared" si="1106"/>
        <v>0</v>
      </c>
      <c r="AI208" s="4464">
        <f t="shared" si="1118"/>
        <v>21.829000000000001</v>
      </c>
      <c r="AJ208" s="4464">
        <f t="shared" si="1119"/>
        <v>21.829000000000001</v>
      </c>
      <c r="AK208" s="4464">
        <f t="shared" si="1119"/>
        <v>0</v>
      </c>
      <c r="AL208" s="4464">
        <f t="shared" si="1107"/>
        <v>-43.416999999999994</v>
      </c>
      <c r="AM208" s="4464">
        <f t="shared" si="1107"/>
        <v>-43.416999999999994</v>
      </c>
      <c r="AN208" s="4464">
        <f t="shared" si="1107"/>
        <v>0</v>
      </c>
      <c r="AO208" s="4462">
        <f t="shared" si="1130"/>
        <v>32.622999999999998</v>
      </c>
      <c r="AP208" s="4462">
        <f t="shared" si="1130"/>
        <v>32.622999999999998</v>
      </c>
      <c r="AQ208" s="4462">
        <f t="shared" si="1130"/>
        <v>0</v>
      </c>
      <c r="AR208" s="4463">
        <f t="shared" si="1130"/>
        <v>0</v>
      </c>
      <c r="AS208" s="4463">
        <f t="shared" si="1130"/>
        <v>0</v>
      </c>
      <c r="AT208" s="4463">
        <f t="shared" si="1130"/>
        <v>0</v>
      </c>
      <c r="AU208" s="4463">
        <f t="shared" si="1130"/>
        <v>0</v>
      </c>
      <c r="AV208" s="4463">
        <f t="shared" si="1130"/>
        <v>0</v>
      </c>
      <c r="AW208" s="4463">
        <f t="shared" si="1130"/>
        <v>0</v>
      </c>
      <c r="AX208" s="4463">
        <f t="shared" si="1130"/>
        <v>0</v>
      </c>
      <c r="AY208" s="4463">
        <f t="shared" si="1130"/>
        <v>0</v>
      </c>
      <c r="AZ208" s="4463">
        <f t="shared" si="1130"/>
        <v>0</v>
      </c>
      <c r="BA208" s="4463">
        <f t="shared" si="1130"/>
        <v>0</v>
      </c>
      <c r="BB208" s="4463">
        <f t="shared" si="1130"/>
        <v>0</v>
      </c>
      <c r="BC208" s="4463">
        <f t="shared" si="1130"/>
        <v>0</v>
      </c>
      <c r="BD208" s="4446">
        <f t="shared" si="1109"/>
        <v>97.869</v>
      </c>
      <c r="BE208" s="4446">
        <f t="shared" si="1110"/>
        <v>97.869</v>
      </c>
      <c r="BF208" s="4446">
        <f t="shared" si="1110"/>
        <v>0</v>
      </c>
      <c r="BG208" s="4464">
        <f t="shared" si="1120"/>
        <v>21.829000000000001</v>
      </c>
      <c r="BH208" s="4464">
        <f t="shared" si="1111"/>
        <v>21.829000000000001</v>
      </c>
      <c r="BI208" s="4464">
        <f t="shared" si="1111"/>
        <v>0</v>
      </c>
      <c r="BJ208" s="4464">
        <f t="shared" si="1112"/>
        <v>-76.039999999999992</v>
      </c>
      <c r="BK208" s="4464">
        <f t="shared" si="1112"/>
        <v>-76.039999999999992</v>
      </c>
      <c r="BL208" s="4464">
        <f t="shared" si="1112"/>
        <v>0</v>
      </c>
      <c r="BM208" s="4462">
        <f t="shared" si="1131"/>
        <v>32.622999999999998</v>
      </c>
      <c r="BN208" s="4462">
        <f t="shared" si="1131"/>
        <v>32.622999999999998</v>
      </c>
      <c r="BO208" s="4462">
        <f t="shared" si="1131"/>
        <v>0</v>
      </c>
      <c r="BP208" s="4463">
        <f t="shared" si="1131"/>
        <v>0</v>
      </c>
      <c r="BQ208" s="4463">
        <f t="shared" si="1131"/>
        <v>0</v>
      </c>
      <c r="BR208" s="4463">
        <f t="shared" si="1131"/>
        <v>0</v>
      </c>
      <c r="BS208" s="4463">
        <f t="shared" si="1131"/>
        <v>0</v>
      </c>
      <c r="BT208" s="4463">
        <f t="shared" si="1131"/>
        <v>0</v>
      </c>
      <c r="BU208" s="4463">
        <f t="shared" si="1131"/>
        <v>0</v>
      </c>
      <c r="BV208" s="4463">
        <f t="shared" si="1131"/>
        <v>0</v>
      </c>
      <c r="BW208" s="4463">
        <f t="shared" si="1131"/>
        <v>0</v>
      </c>
      <c r="BX208" s="4463">
        <f t="shared" si="1131"/>
        <v>0</v>
      </c>
      <c r="BY208" s="4463">
        <f t="shared" si="1131"/>
        <v>0</v>
      </c>
      <c r="BZ208" s="4463">
        <f t="shared" si="1131"/>
        <v>0</v>
      </c>
      <c r="CA208" s="4463">
        <f t="shared" si="1131"/>
        <v>0</v>
      </c>
      <c r="CB208" s="4446">
        <f t="shared" si="1114"/>
        <v>130.49199999999999</v>
      </c>
      <c r="CC208" s="4446">
        <f t="shared" si="1115"/>
        <v>130.49199999999999</v>
      </c>
      <c r="CD208" s="4446">
        <f t="shared" si="1115"/>
        <v>0</v>
      </c>
      <c r="CE208" s="4464">
        <f t="shared" si="1121"/>
        <v>21.829000000000001</v>
      </c>
      <c r="CF208" s="4464">
        <f t="shared" si="1116"/>
        <v>21.829000000000001</v>
      </c>
      <c r="CG208" s="4464">
        <f t="shared" si="1116"/>
        <v>0</v>
      </c>
      <c r="CH208" s="4464">
        <f t="shared" si="1117"/>
        <v>-108.66299999999998</v>
      </c>
      <c r="CI208" s="4464">
        <f t="shared" si="1117"/>
        <v>-108.66299999999998</v>
      </c>
      <c r="CJ208" s="4464">
        <f t="shared" si="1117"/>
        <v>0</v>
      </c>
      <c r="CK208" s="389"/>
      <c r="CL208" s="5"/>
    </row>
    <row r="209" spans="1:90" ht="18.75" customHeight="1" x14ac:dyDescent="0.3">
      <c r="A209" s="4445" t="s">
        <v>594</v>
      </c>
      <c r="B209" s="4462">
        <f t="shared" si="1129"/>
        <v>185.9845</v>
      </c>
      <c r="C209" s="4462">
        <f t="shared" si="1129"/>
        <v>185.9845</v>
      </c>
      <c r="D209" s="4462">
        <f t="shared" si="1129"/>
        <v>0</v>
      </c>
      <c r="E209" s="4463">
        <f t="shared" si="1129"/>
        <v>0</v>
      </c>
      <c r="F209" s="4463">
        <f t="shared" si="1129"/>
        <v>0</v>
      </c>
      <c r="G209" s="4463">
        <f t="shared" si="1129"/>
        <v>0</v>
      </c>
      <c r="H209" s="4463">
        <f t="shared" si="1129"/>
        <v>28.440999999999999</v>
      </c>
      <c r="I209" s="4463">
        <f t="shared" si="1129"/>
        <v>28.440999999999999</v>
      </c>
      <c r="J209" s="4463">
        <f t="shared" si="1129"/>
        <v>0</v>
      </c>
      <c r="K209" s="4463">
        <f t="shared" si="1129"/>
        <v>56.881999999999998</v>
      </c>
      <c r="L209" s="4463">
        <f t="shared" si="1129"/>
        <v>56.881999999999998</v>
      </c>
      <c r="M209" s="4463">
        <f t="shared" si="1129"/>
        <v>0</v>
      </c>
      <c r="N209" s="4463">
        <f t="shared" si="1129"/>
        <v>85.322999999999993</v>
      </c>
      <c r="O209" s="4463">
        <f t="shared" si="1129"/>
        <v>85.322999999999993</v>
      </c>
      <c r="P209" s="4463">
        <f t="shared" si="1129"/>
        <v>0</v>
      </c>
      <c r="Q209" s="4462">
        <f t="shared" si="1129"/>
        <v>185.9845</v>
      </c>
      <c r="R209" s="4462">
        <f t="shared" si="1129"/>
        <v>185.9845</v>
      </c>
      <c r="S209" s="4462">
        <f t="shared" si="1129"/>
        <v>0</v>
      </c>
      <c r="T209" s="4463">
        <f t="shared" si="1129"/>
        <v>96.162999999999997</v>
      </c>
      <c r="U209" s="4463">
        <f t="shared" si="1129"/>
        <v>96.162999999999997</v>
      </c>
      <c r="V209" s="4463">
        <f t="shared" si="1129"/>
        <v>0</v>
      </c>
      <c r="W209" s="4463">
        <f t="shared" si="1129"/>
        <v>0</v>
      </c>
      <c r="X209" s="4463">
        <f t="shared" si="1129"/>
        <v>0</v>
      </c>
      <c r="Y209" s="4463">
        <f t="shared" si="1129"/>
        <v>0</v>
      </c>
      <c r="Z209" s="4463">
        <f t="shared" si="1129"/>
        <v>28.440999999999999</v>
      </c>
      <c r="AA209" s="4463">
        <f t="shared" si="1129"/>
        <v>28.440999999999999</v>
      </c>
      <c r="AB209" s="4463">
        <f t="shared" si="1129"/>
        <v>0</v>
      </c>
      <c r="AC209" s="4463">
        <f t="shared" si="1129"/>
        <v>124.604</v>
      </c>
      <c r="AD209" s="4463">
        <f t="shared" si="1129"/>
        <v>124.604</v>
      </c>
      <c r="AE209" s="4463">
        <f t="shared" si="1129"/>
        <v>0</v>
      </c>
      <c r="AF209" s="4446">
        <f t="shared" si="1105"/>
        <v>371.96899999999999</v>
      </c>
      <c r="AG209" s="4446">
        <f t="shared" si="1106"/>
        <v>371.96899999999999</v>
      </c>
      <c r="AH209" s="4446">
        <f t="shared" si="1106"/>
        <v>0</v>
      </c>
      <c r="AI209" s="4464">
        <f t="shared" si="1118"/>
        <v>209.92699999999999</v>
      </c>
      <c r="AJ209" s="4464">
        <f t="shared" si="1119"/>
        <v>209.92699999999999</v>
      </c>
      <c r="AK209" s="4464">
        <f t="shared" si="1119"/>
        <v>0</v>
      </c>
      <c r="AL209" s="4464">
        <f t="shared" si="1107"/>
        <v>-162.042</v>
      </c>
      <c r="AM209" s="4464">
        <f t="shared" si="1107"/>
        <v>-162.042</v>
      </c>
      <c r="AN209" s="4464">
        <f t="shared" si="1107"/>
        <v>0</v>
      </c>
      <c r="AO209" s="4462">
        <f t="shared" si="1130"/>
        <v>185.9845</v>
      </c>
      <c r="AP209" s="4462">
        <f t="shared" si="1130"/>
        <v>185.9845</v>
      </c>
      <c r="AQ209" s="4462">
        <f t="shared" si="1130"/>
        <v>0</v>
      </c>
      <c r="AR209" s="4463">
        <f t="shared" si="1130"/>
        <v>118.874</v>
      </c>
      <c r="AS209" s="4463">
        <f t="shared" si="1130"/>
        <v>118.874</v>
      </c>
      <c r="AT209" s="4463">
        <f t="shared" si="1130"/>
        <v>0</v>
      </c>
      <c r="AU209" s="4463">
        <f t="shared" si="1130"/>
        <v>0</v>
      </c>
      <c r="AV209" s="4463">
        <f t="shared" si="1130"/>
        <v>0</v>
      </c>
      <c r="AW209" s="4463">
        <f t="shared" si="1130"/>
        <v>0</v>
      </c>
      <c r="AX209" s="4463">
        <f t="shared" si="1130"/>
        <v>0</v>
      </c>
      <c r="AY209" s="4463">
        <f t="shared" si="1130"/>
        <v>0</v>
      </c>
      <c r="AZ209" s="4463">
        <f t="shared" si="1130"/>
        <v>0</v>
      </c>
      <c r="BA209" s="4463">
        <f t="shared" si="1130"/>
        <v>118.874</v>
      </c>
      <c r="BB209" s="4463">
        <f t="shared" si="1130"/>
        <v>118.874</v>
      </c>
      <c r="BC209" s="4463">
        <f t="shared" si="1130"/>
        <v>0</v>
      </c>
      <c r="BD209" s="4446">
        <f t="shared" si="1109"/>
        <v>557.95349999999996</v>
      </c>
      <c r="BE209" s="4446">
        <f t="shared" si="1110"/>
        <v>557.95349999999996</v>
      </c>
      <c r="BF209" s="4446">
        <f t="shared" si="1110"/>
        <v>0</v>
      </c>
      <c r="BG209" s="4464">
        <f t="shared" si="1120"/>
        <v>328.80099999999999</v>
      </c>
      <c r="BH209" s="4464">
        <f t="shared" si="1111"/>
        <v>328.80099999999999</v>
      </c>
      <c r="BI209" s="4464">
        <f t="shared" si="1111"/>
        <v>0</v>
      </c>
      <c r="BJ209" s="4464">
        <f t="shared" si="1112"/>
        <v>-229.15249999999997</v>
      </c>
      <c r="BK209" s="4464">
        <f t="shared" si="1112"/>
        <v>-229.15249999999997</v>
      </c>
      <c r="BL209" s="4464">
        <f t="shared" si="1112"/>
        <v>0</v>
      </c>
      <c r="BM209" s="4462">
        <f t="shared" si="1131"/>
        <v>185.9845</v>
      </c>
      <c r="BN209" s="4462">
        <f t="shared" si="1131"/>
        <v>185.9845</v>
      </c>
      <c r="BO209" s="4462">
        <f t="shared" si="1131"/>
        <v>0</v>
      </c>
      <c r="BP209" s="4463">
        <f t="shared" si="1131"/>
        <v>0</v>
      </c>
      <c r="BQ209" s="4463">
        <f t="shared" si="1131"/>
        <v>0</v>
      </c>
      <c r="BR209" s="4463">
        <f t="shared" si="1131"/>
        <v>0</v>
      </c>
      <c r="BS209" s="4463">
        <f t="shared" si="1131"/>
        <v>0</v>
      </c>
      <c r="BT209" s="4463">
        <f t="shared" si="1131"/>
        <v>0</v>
      </c>
      <c r="BU209" s="4463">
        <f t="shared" si="1131"/>
        <v>0</v>
      </c>
      <c r="BV209" s="4463">
        <f t="shared" si="1131"/>
        <v>0</v>
      </c>
      <c r="BW209" s="4463">
        <f t="shared" si="1131"/>
        <v>0</v>
      </c>
      <c r="BX209" s="4463">
        <f t="shared" si="1131"/>
        <v>0</v>
      </c>
      <c r="BY209" s="4463">
        <f t="shared" si="1131"/>
        <v>0</v>
      </c>
      <c r="BZ209" s="4463">
        <f t="shared" si="1131"/>
        <v>0</v>
      </c>
      <c r="CA209" s="4463">
        <f t="shared" si="1131"/>
        <v>0</v>
      </c>
      <c r="CB209" s="4446">
        <f t="shared" si="1114"/>
        <v>743.93799999999999</v>
      </c>
      <c r="CC209" s="4446">
        <f t="shared" si="1115"/>
        <v>743.93799999999999</v>
      </c>
      <c r="CD209" s="4446">
        <f t="shared" si="1115"/>
        <v>0</v>
      </c>
      <c r="CE209" s="4464">
        <f t="shared" si="1121"/>
        <v>328.80099999999999</v>
      </c>
      <c r="CF209" s="4464">
        <f t="shared" si="1116"/>
        <v>328.80099999999999</v>
      </c>
      <c r="CG209" s="4464">
        <f t="shared" si="1116"/>
        <v>0</v>
      </c>
      <c r="CH209" s="4464">
        <f t="shared" si="1117"/>
        <v>-415.137</v>
      </c>
      <c r="CI209" s="4464">
        <f t="shared" si="1117"/>
        <v>-415.137</v>
      </c>
      <c r="CJ209" s="4464">
        <f t="shared" si="1117"/>
        <v>0</v>
      </c>
      <c r="CK209" s="389"/>
      <c r="CL209" s="5"/>
    </row>
    <row r="210" spans="1:90" ht="18.75" customHeight="1" x14ac:dyDescent="0.3">
      <c r="A210" s="4445" t="s">
        <v>598</v>
      </c>
      <c r="B210" s="4462">
        <f t="shared" si="1129"/>
        <v>0</v>
      </c>
      <c r="C210" s="4462">
        <f t="shared" si="1129"/>
        <v>0</v>
      </c>
      <c r="D210" s="4462">
        <f t="shared" si="1129"/>
        <v>0</v>
      </c>
      <c r="E210" s="4463">
        <f t="shared" si="1129"/>
        <v>234.13200000000001</v>
      </c>
      <c r="F210" s="4463">
        <f t="shared" si="1129"/>
        <v>234.13200000000001</v>
      </c>
      <c r="G210" s="4463">
        <f t="shared" si="1129"/>
        <v>0</v>
      </c>
      <c r="H210" s="4463">
        <f t="shared" si="1129"/>
        <v>221.52699999999999</v>
      </c>
      <c r="I210" s="4463">
        <f t="shared" si="1129"/>
        <v>221.52699999999999</v>
      </c>
      <c r="J210" s="4463">
        <f t="shared" si="1129"/>
        <v>0</v>
      </c>
      <c r="K210" s="4463">
        <f t="shared" si="1129"/>
        <v>229.15</v>
      </c>
      <c r="L210" s="4463">
        <f t="shared" si="1129"/>
        <v>229.15</v>
      </c>
      <c r="M210" s="4463">
        <f t="shared" si="1129"/>
        <v>0</v>
      </c>
      <c r="N210" s="4463">
        <f t="shared" si="1129"/>
        <v>684.80899999999997</v>
      </c>
      <c r="O210" s="4463">
        <f t="shared" si="1129"/>
        <v>684.80899999999997</v>
      </c>
      <c r="P210" s="4463">
        <f t="shared" si="1129"/>
        <v>0</v>
      </c>
      <c r="Q210" s="4462">
        <f t="shared" si="1129"/>
        <v>0</v>
      </c>
      <c r="R210" s="4462">
        <f t="shared" si="1129"/>
        <v>0</v>
      </c>
      <c r="S210" s="4462">
        <f t="shared" si="1129"/>
        <v>0</v>
      </c>
      <c r="T210" s="4463">
        <f t="shared" si="1129"/>
        <v>265.61799999999999</v>
      </c>
      <c r="U210" s="4463">
        <f t="shared" si="1129"/>
        <v>265.61799999999999</v>
      </c>
      <c r="V210" s="4463">
        <f t="shared" si="1129"/>
        <v>0</v>
      </c>
      <c r="W210" s="4463">
        <f t="shared" si="1129"/>
        <v>228.43600000000001</v>
      </c>
      <c r="X210" s="4463">
        <f t="shared" si="1129"/>
        <v>228.43600000000001</v>
      </c>
      <c r="Y210" s="4463">
        <f t="shared" si="1129"/>
        <v>0</v>
      </c>
      <c r="Z210" s="4463">
        <f t="shared" si="1129"/>
        <v>218.32</v>
      </c>
      <c r="AA210" s="4463">
        <f t="shared" si="1129"/>
        <v>218.32</v>
      </c>
      <c r="AB210" s="4463">
        <f t="shared" si="1129"/>
        <v>0</v>
      </c>
      <c r="AC210" s="4463">
        <f t="shared" si="1129"/>
        <v>712.37400000000002</v>
      </c>
      <c r="AD210" s="4463">
        <f t="shared" si="1129"/>
        <v>712.37400000000002</v>
      </c>
      <c r="AE210" s="4463">
        <f t="shared" si="1129"/>
        <v>0</v>
      </c>
      <c r="AF210" s="4446">
        <f t="shared" si="1105"/>
        <v>0</v>
      </c>
      <c r="AG210" s="4446">
        <f t="shared" si="1106"/>
        <v>0</v>
      </c>
      <c r="AH210" s="4446">
        <f t="shared" si="1106"/>
        <v>0</v>
      </c>
      <c r="AI210" s="4464">
        <f t="shared" si="1118"/>
        <v>1397.183</v>
      </c>
      <c r="AJ210" s="4464">
        <f t="shared" si="1119"/>
        <v>1397.183</v>
      </c>
      <c r="AK210" s="4464">
        <f t="shared" si="1119"/>
        <v>0</v>
      </c>
      <c r="AL210" s="4464">
        <f t="shared" si="1107"/>
        <v>1397.183</v>
      </c>
      <c r="AM210" s="4464">
        <f t="shared" si="1107"/>
        <v>1397.183</v>
      </c>
      <c r="AN210" s="4464">
        <f t="shared" si="1107"/>
        <v>0</v>
      </c>
      <c r="AO210" s="4462">
        <f t="shared" si="1130"/>
        <v>0</v>
      </c>
      <c r="AP210" s="4462">
        <f t="shared" si="1130"/>
        <v>0</v>
      </c>
      <c r="AQ210" s="4462">
        <f t="shared" si="1130"/>
        <v>0</v>
      </c>
      <c r="AR210" s="4463">
        <f t="shared" si="1130"/>
        <v>219.86500000000001</v>
      </c>
      <c r="AS210" s="4463">
        <f t="shared" si="1130"/>
        <v>219.86500000000001</v>
      </c>
      <c r="AT210" s="4463">
        <f t="shared" si="1130"/>
        <v>0</v>
      </c>
      <c r="AU210" s="4463">
        <f t="shared" si="1130"/>
        <v>0</v>
      </c>
      <c r="AV210" s="4463">
        <f t="shared" si="1130"/>
        <v>0</v>
      </c>
      <c r="AW210" s="4463">
        <f t="shared" si="1130"/>
        <v>0</v>
      </c>
      <c r="AX210" s="4463">
        <f t="shared" si="1130"/>
        <v>0</v>
      </c>
      <c r="AY210" s="4463">
        <f t="shared" si="1130"/>
        <v>0</v>
      </c>
      <c r="AZ210" s="4463">
        <f t="shared" si="1130"/>
        <v>0</v>
      </c>
      <c r="BA210" s="4463">
        <f t="shared" si="1130"/>
        <v>219.86500000000001</v>
      </c>
      <c r="BB210" s="4463">
        <f t="shared" si="1130"/>
        <v>219.86500000000001</v>
      </c>
      <c r="BC210" s="4463">
        <f t="shared" si="1130"/>
        <v>0</v>
      </c>
      <c r="BD210" s="4446">
        <f t="shared" si="1109"/>
        <v>0</v>
      </c>
      <c r="BE210" s="4446">
        <f t="shared" si="1110"/>
        <v>0</v>
      </c>
      <c r="BF210" s="4446">
        <f t="shared" si="1110"/>
        <v>0</v>
      </c>
      <c r="BG210" s="4464">
        <f t="shared" si="1120"/>
        <v>1617.048</v>
      </c>
      <c r="BH210" s="4464">
        <f t="shared" si="1111"/>
        <v>1617.048</v>
      </c>
      <c r="BI210" s="4464">
        <f t="shared" si="1111"/>
        <v>0</v>
      </c>
      <c r="BJ210" s="4464">
        <f t="shared" si="1112"/>
        <v>1617.048</v>
      </c>
      <c r="BK210" s="4464">
        <f t="shared" si="1112"/>
        <v>1617.048</v>
      </c>
      <c r="BL210" s="4464">
        <f t="shared" si="1112"/>
        <v>0</v>
      </c>
      <c r="BM210" s="4462">
        <f t="shared" si="1131"/>
        <v>0</v>
      </c>
      <c r="BN210" s="4462">
        <f t="shared" si="1131"/>
        <v>0</v>
      </c>
      <c r="BO210" s="4462">
        <f t="shared" si="1131"/>
        <v>0</v>
      </c>
      <c r="BP210" s="4463">
        <f t="shared" si="1131"/>
        <v>0</v>
      </c>
      <c r="BQ210" s="4463">
        <f t="shared" si="1131"/>
        <v>0</v>
      </c>
      <c r="BR210" s="4463">
        <f t="shared" si="1131"/>
        <v>0</v>
      </c>
      <c r="BS210" s="4463">
        <f t="shared" si="1131"/>
        <v>0</v>
      </c>
      <c r="BT210" s="4463">
        <f t="shared" si="1131"/>
        <v>0</v>
      </c>
      <c r="BU210" s="4463">
        <f t="shared" si="1131"/>
        <v>0</v>
      </c>
      <c r="BV210" s="4463">
        <f t="shared" si="1131"/>
        <v>0</v>
      </c>
      <c r="BW210" s="4463">
        <f t="shared" si="1131"/>
        <v>0</v>
      </c>
      <c r="BX210" s="4463">
        <f t="shared" si="1131"/>
        <v>0</v>
      </c>
      <c r="BY210" s="4463">
        <f t="shared" si="1131"/>
        <v>0</v>
      </c>
      <c r="BZ210" s="4463">
        <f t="shared" si="1131"/>
        <v>0</v>
      </c>
      <c r="CA210" s="4463">
        <f t="shared" si="1131"/>
        <v>0</v>
      </c>
      <c r="CB210" s="4446">
        <f t="shared" si="1114"/>
        <v>0</v>
      </c>
      <c r="CC210" s="4446">
        <f t="shared" si="1115"/>
        <v>0</v>
      </c>
      <c r="CD210" s="4446">
        <f t="shared" si="1115"/>
        <v>0</v>
      </c>
      <c r="CE210" s="4464">
        <f t="shared" si="1121"/>
        <v>1617.048</v>
      </c>
      <c r="CF210" s="4464">
        <f t="shared" si="1116"/>
        <v>1617.048</v>
      </c>
      <c r="CG210" s="4464">
        <f t="shared" si="1116"/>
        <v>0</v>
      </c>
      <c r="CH210" s="4464">
        <f t="shared" si="1117"/>
        <v>1617.048</v>
      </c>
      <c r="CI210" s="4464">
        <f t="shared" si="1117"/>
        <v>1617.048</v>
      </c>
      <c r="CJ210" s="4464">
        <f t="shared" si="1117"/>
        <v>0</v>
      </c>
      <c r="CK210" s="389"/>
      <c r="CL210" s="5"/>
    </row>
    <row r="211" spans="1:90" ht="18.75" customHeight="1" x14ac:dyDescent="0.3">
      <c r="A211" s="4445" t="s">
        <v>595</v>
      </c>
      <c r="B211" s="4462">
        <f t="shared" si="1129"/>
        <v>0</v>
      </c>
      <c r="C211" s="4462">
        <f t="shared" si="1129"/>
        <v>0</v>
      </c>
      <c r="D211" s="4462">
        <f t="shared" si="1129"/>
        <v>0</v>
      </c>
      <c r="E211" s="4463">
        <f t="shared" si="1129"/>
        <v>0</v>
      </c>
      <c r="F211" s="4463">
        <f t="shared" si="1129"/>
        <v>0</v>
      </c>
      <c r="G211" s="4463">
        <f t="shared" si="1129"/>
        <v>0</v>
      </c>
      <c r="H211" s="4463">
        <f t="shared" si="1129"/>
        <v>0</v>
      </c>
      <c r="I211" s="4463">
        <f t="shared" si="1129"/>
        <v>0</v>
      </c>
      <c r="J211" s="4463">
        <f t="shared" si="1129"/>
        <v>0</v>
      </c>
      <c r="K211" s="4463">
        <f t="shared" si="1129"/>
        <v>0</v>
      </c>
      <c r="L211" s="4463">
        <f t="shared" si="1129"/>
        <v>0</v>
      </c>
      <c r="M211" s="4463">
        <f t="shared" si="1129"/>
        <v>0</v>
      </c>
      <c r="N211" s="4463">
        <f t="shared" si="1129"/>
        <v>0</v>
      </c>
      <c r="O211" s="4463">
        <f t="shared" si="1129"/>
        <v>0</v>
      </c>
      <c r="P211" s="4463">
        <f t="shared" si="1129"/>
        <v>0</v>
      </c>
      <c r="Q211" s="4462">
        <f t="shared" si="1129"/>
        <v>0</v>
      </c>
      <c r="R211" s="4462">
        <f t="shared" si="1129"/>
        <v>0</v>
      </c>
      <c r="S211" s="4462">
        <f t="shared" si="1129"/>
        <v>0</v>
      </c>
      <c r="T211" s="4463">
        <f t="shared" si="1129"/>
        <v>0</v>
      </c>
      <c r="U211" s="4463">
        <f t="shared" si="1129"/>
        <v>0</v>
      </c>
      <c r="V211" s="4463">
        <f t="shared" si="1129"/>
        <v>0</v>
      </c>
      <c r="W211" s="4463">
        <f t="shared" si="1129"/>
        <v>0</v>
      </c>
      <c r="X211" s="4463">
        <f t="shared" si="1129"/>
        <v>0</v>
      </c>
      <c r="Y211" s="4463">
        <f t="shared" si="1129"/>
        <v>0</v>
      </c>
      <c r="Z211" s="4463">
        <f t="shared" si="1129"/>
        <v>0</v>
      </c>
      <c r="AA211" s="4463">
        <f t="shared" si="1129"/>
        <v>0</v>
      </c>
      <c r="AB211" s="4463">
        <f t="shared" si="1129"/>
        <v>0</v>
      </c>
      <c r="AC211" s="4463">
        <f t="shared" si="1129"/>
        <v>0</v>
      </c>
      <c r="AD211" s="4463">
        <f t="shared" si="1129"/>
        <v>0</v>
      </c>
      <c r="AE211" s="4463">
        <f t="shared" si="1129"/>
        <v>0</v>
      </c>
      <c r="AF211" s="4446">
        <f t="shared" si="1105"/>
        <v>0</v>
      </c>
      <c r="AG211" s="4446">
        <f t="shared" si="1106"/>
        <v>0</v>
      </c>
      <c r="AH211" s="4446">
        <f t="shared" si="1106"/>
        <v>0</v>
      </c>
      <c r="AI211" s="4464">
        <f t="shared" si="1118"/>
        <v>0</v>
      </c>
      <c r="AJ211" s="4464">
        <f t="shared" si="1119"/>
        <v>0</v>
      </c>
      <c r="AK211" s="4464">
        <f t="shared" si="1119"/>
        <v>0</v>
      </c>
      <c r="AL211" s="4464">
        <f t="shared" si="1107"/>
        <v>0</v>
      </c>
      <c r="AM211" s="4464">
        <f t="shared" si="1107"/>
        <v>0</v>
      </c>
      <c r="AN211" s="4464">
        <f t="shared" si="1107"/>
        <v>0</v>
      </c>
      <c r="AO211" s="4462">
        <f t="shared" si="1130"/>
        <v>0</v>
      </c>
      <c r="AP211" s="4462">
        <f t="shared" si="1130"/>
        <v>0</v>
      </c>
      <c r="AQ211" s="4462">
        <f t="shared" si="1130"/>
        <v>0</v>
      </c>
      <c r="AR211" s="4463">
        <f t="shared" si="1130"/>
        <v>0</v>
      </c>
      <c r="AS211" s="4463">
        <f t="shared" si="1130"/>
        <v>0</v>
      </c>
      <c r="AT211" s="4463">
        <f t="shared" si="1130"/>
        <v>0</v>
      </c>
      <c r="AU211" s="4463">
        <f t="shared" si="1130"/>
        <v>0</v>
      </c>
      <c r="AV211" s="4463">
        <f t="shared" si="1130"/>
        <v>0</v>
      </c>
      <c r="AW211" s="4463">
        <f t="shared" si="1130"/>
        <v>0</v>
      </c>
      <c r="AX211" s="4463">
        <f t="shared" si="1130"/>
        <v>0</v>
      </c>
      <c r="AY211" s="4463">
        <f t="shared" si="1130"/>
        <v>0</v>
      </c>
      <c r="AZ211" s="4463">
        <f t="shared" si="1130"/>
        <v>0</v>
      </c>
      <c r="BA211" s="4463">
        <f t="shared" si="1130"/>
        <v>0</v>
      </c>
      <c r="BB211" s="4463">
        <f t="shared" si="1130"/>
        <v>0</v>
      </c>
      <c r="BC211" s="4463">
        <f t="shared" si="1130"/>
        <v>0</v>
      </c>
      <c r="BD211" s="4446">
        <f t="shared" si="1109"/>
        <v>0</v>
      </c>
      <c r="BE211" s="4446">
        <f t="shared" si="1110"/>
        <v>0</v>
      </c>
      <c r="BF211" s="4446">
        <f t="shared" si="1110"/>
        <v>0</v>
      </c>
      <c r="BG211" s="4464">
        <f t="shared" si="1120"/>
        <v>0</v>
      </c>
      <c r="BH211" s="4464">
        <f t="shared" si="1111"/>
        <v>0</v>
      </c>
      <c r="BI211" s="4464">
        <f t="shared" si="1111"/>
        <v>0</v>
      </c>
      <c r="BJ211" s="4464">
        <f t="shared" si="1112"/>
        <v>0</v>
      </c>
      <c r="BK211" s="4464">
        <f t="shared" si="1112"/>
        <v>0</v>
      </c>
      <c r="BL211" s="4464">
        <f t="shared" si="1112"/>
        <v>0</v>
      </c>
      <c r="BM211" s="4462">
        <f t="shared" si="1131"/>
        <v>0</v>
      </c>
      <c r="BN211" s="4462">
        <f t="shared" si="1131"/>
        <v>0</v>
      </c>
      <c r="BO211" s="4462">
        <f t="shared" si="1131"/>
        <v>0</v>
      </c>
      <c r="BP211" s="4463">
        <f t="shared" si="1131"/>
        <v>0</v>
      </c>
      <c r="BQ211" s="4463">
        <f t="shared" si="1131"/>
        <v>0</v>
      </c>
      <c r="BR211" s="4463">
        <f t="shared" si="1131"/>
        <v>0</v>
      </c>
      <c r="BS211" s="4463">
        <f t="shared" si="1131"/>
        <v>0</v>
      </c>
      <c r="BT211" s="4463">
        <f t="shared" si="1131"/>
        <v>0</v>
      </c>
      <c r="BU211" s="4463">
        <f t="shared" si="1131"/>
        <v>0</v>
      </c>
      <c r="BV211" s="4463">
        <f t="shared" si="1131"/>
        <v>0</v>
      </c>
      <c r="BW211" s="4463">
        <f t="shared" si="1131"/>
        <v>0</v>
      </c>
      <c r="BX211" s="4463">
        <f t="shared" si="1131"/>
        <v>0</v>
      </c>
      <c r="BY211" s="4463">
        <f t="shared" si="1131"/>
        <v>0</v>
      </c>
      <c r="BZ211" s="4463">
        <f t="shared" si="1131"/>
        <v>0</v>
      </c>
      <c r="CA211" s="4463">
        <f t="shared" si="1131"/>
        <v>0</v>
      </c>
      <c r="CB211" s="4446">
        <f t="shared" si="1114"/>
        <v>0</v>
      </c>
      <c r="CC211" s="4446">
        <f t="shared" si="1115"/>
        <v>0</v>
      </c>
      <c r="CD211" s="4446">
        <f t="shared" si="1115"/>
        <v>0</v>
      </c>
      <c r="CE211" s="4464">
        <f t="shared" si="1121"/>
        <v>0</v>
      </c>
      <c r="CF211" s="4464">
        <f t="shared" si="1116"/>
        <v>0</v>
      </c>
      <c r="CG211" s="4464">
        <f t="shared" si="1116"/>
        <v>0</v>
      </c>
      <c r="CH211" s="4464">
        <f t="shared" si="1117"/>
        <v>0</v>
      </c>
      <c r="CI211" s="4464">
        <f t="shared" si="1117"/>
        <v>0</v>
      </c>
      <c r="CJ211" s="4464">
        <f t="shared" si="1117"/>
        <v>0</v>
      </c>
      <c r="CK211" s="389"/>
      <c r="CL211" s="5"/>
    </row>
    <row r="212" spans="1:90" ht="18.75" customHeight="1" x14ac:dyDescent="0.3">
      <c r="A212" s="4445" t="s">
        <v>32</v>
      </c>
      <c r="B212" s="4462">
        <f>SUM(B64+B89)</f>
        <v>87.833119999999994</v>
      </c>
      <c r="C212" s="4462">
        <f t="shared" ref="C212:AE212" si="1132">SUM(C64+C89)</f>
        <v>87.833119999999994</v>
      </c>
      <c r="D212" s="4462">
        <f t="shared" si="1132"/>
        <v>0</v>
      </c>
      <c r="E212" s="4463">
        <f t="shared" si="1132"/>
        <v>263.733</v>
      </c>
      <c r="F212" s="4463">
        <f t="shared" si="1132"/>
        <v>263.733</v>
      </c>
      <c r="G212" s="4463">
        <f t="shared" si="1132"/>
        <v>0</v>
      </c>
      <c r="H212" s="4463">
        <f t="shared" si="1132"/>
        <v>253.667</v>
      </c>
      <c r="I212" s="4463">
        <f t="shared" si="1132"/>
        <v>253.667</v>
      </c>
      <c r="J212" s="4463">
        <f t="shared" si="1132"/>
        <v>0</v>
      </c>
      <c r="K212" s="4463">
        <f t="shared" si="1132"/>
        <v>128.66659999999999</v>
      </c>
      <c r="L212" s="4463">
        <f t="shared" si="1132"/>
        <v>128.66659999999999</v>
      </c>
      <c r="M212" s="4463">
        <f t="shared" si="1132"/>
        <v>0</v>
      </c>
      <c r="N212" s="4463">
        <f t="shared" si="1132"/>
        <v>646.06659999999999</v>
      </c>
      <c r="O212" s="4463">
        <f t="shared" si="1132"/>
        <v>646.06659999999999</v>
      </c>
      <c r="P212" s="4463">
        <f t="shared" si="1132"/>
        <v>0</v>
      </c>
      <c r="Q212" s="4462">
        <f t="shared" si="1132"/>
        <v>87.833119999999994</v>
      </c>
      <c r="R212" s="4462">
        <f t="shared" si="1132"/>
        <v>87.833119999999994</v>
      </c>
      <c r="S212" s="4462">
        <f t="shared" si="1132"/>
        <v>0</v>
      </c>
      <c r="T212" s="4463">
        <f t="shared" si="1132"/>
        <v>387.15799999999996</v>
      </c>
      <c r="U212" s="4463">
        <f t="shared" si="1132"/>
        <v>387.15799999999996</v>
      </c>
      <c r="V212" s="4463">
        <f t="shared" si="1132"/>
        <v>0</v>
      </c>
      <c r="W212" s="4463">
        <f t="shared" si="1132"/>
        <v>1111.4479999999999</v>
      </c>
      <c r="X212" s="4463">
        <f t="shared" si="1132"/>
        <v>1111.4479999999999</v>
      </c>
      <c r="Y212" s="4463">
        <f t="shared" si="1132"/>
        <v>0</v>
      </c>
      <c r="Z212" s="4463">
        <f t="shared" si="1132"/>
        <v>525.61700000000008</v>
      </c>
      <c r="AA212" s="4463">
        <f t="shared" si="1132"/>
        <v>525.61700000000008</v>
      </c>
      <c r="AB212" s="4463">
        <f t="shared" si="1132"/>
        <v>0</v>
      </c>
      <c r="AC212" s="4463">
        <f t="shared" si="1132"/>
        <v>2024.223</v>
      </c>
      <c r="AD212" s="4463">
        <f t="shared" si="1132"/>
        <v>2024.223</v>
      </c>
      <c r="AE212" s="4463">
        <f t="shared" si="1132"/>
        <v>0</v>
      </c>
      <c r="AF212" s="4446">
        <f t="shared" si="1105"/>
        <v>175.66623999999999</v>
      </c>
      <c r="AG212" s="4446">
        <f t="shared" si="1106"/>
        <v>175.66623999999999</v>
      </c>
      <c r="AH212" s="4446">
        <f t="shared" si="1106"/>
        <v>0</v>
      </c>
      <c r="AI212" s="4464">
        <f t="shared" si="1118"/>
        <v>2670.2896000000001</v>
      </c>
      <c r="AJ212" s="4464">
        <f t="shared" si="1119"/>
        <v>2670.2896000000001</v>
      </c>
      <c r="AK212" s="4464">
        <f t="shared" si="1119"/>
        <v>0</v>
      </c>
      <c r="AL212" s="4464">
        <f t="shared" si="1107"/>
        <v>2494.62336</v>
      </c>
      <c r="AM212" s="4464">
        <f t="shared" si="1107"/>
        <v>2494.62336</v>
      </c>
      <c r="AN212" s="4464">
        <f t="shared" si="1107"/>
        <v>0</v>
      </c>
      <c r="AO212" s="4462">
        <f t="shared" ref="AO212:BC212" si="1133">SUM(AO64+AO89)</f>
        <v>87.833119999999994</v>
      </c>
      <c r="AP212" s="4462">
        <f t="shared" si="1133"/>
        <v>87.833119999999994</v>
      </c>
      <c r="AQ212" s="4462">
        <f t="shared" si="1133"/>
        <v>0</v>
      </c>
      <c r="AR212" s="4463">
        <f t="shared" si="1133"/>
        <v>100.017</v>
      </c>
      <c r="AS212" s="4463">
        <f t="shared" si="1133"/>
        <v>100.017</v>
      </c>
      <c r="AT212" s="4463">
        <f t="shared" si="1133"/>
        <v>0</v>
      </c>
      <c r="AU212" s="4463">
        <f t="shared" si="1133"/>
        <v>0</v>
      </c>
      <c r="AV212" s="4463">
        <f t="shared" si="1133"/>
        <v>0</v>
      </c>
      <c r="AW212" s="4463">
        <f t="shared" si="1133"/>
        <v>0</v>
      </c>
      <c r="AX212" s="4463">
        <f t="shared" si="1133"/>
        <v>0</v>
      </c>
      <c r="AY212" s="4463">
        <f t="shared" si="1133"/>
        <v>0</v>
      </c>
      <c r="AZ212" s="4463">
        <f t="shared" si="1133"/>
        <v>0</v>
      </c>
      <c r="BA212" s="4463">
        <f t="shared" si="1133"/>
        <v>100.017</v>
      </c>
      <c r="BB212" s="4463">
        <f t="shared" si="1133"/>
        <v>100.017</v>
      </c>
      <c r="BC212" s="4463">
        <f t="shared" si="1133"/>
        <v>0</v>
      </c>
      <c r="BD212" s="4446">
        <f t="shared" si="1109"/>
        <v>263.49935999999997</v>
      </c>
      <c r="BE212" s="4446">
        <f t="shared" si="1110"/>
        <v>263.49935999999997</v>
      </c>
      <c r="BF212" s="4446">
        <f t="shared" si="1110"/>
        <v>0</v>
      </c>
      <c r="BG212" s="4464">
        <f t="shared" si="1120"/>
        <v>2770.3065999999999</v>
      </c>
      <c r="BH212" s="4464">
        <f t="shared" si="1111"/>
        <v>2770.3065999999999</v>
      </c>
      <c r="BI212" s="4464">
        <f t="shared" si="1111"/>
        <v>0</v>
      </c>
      <c r="BJ212" s="4464">
        <f t="shared" si="1112"/>
        <v>2506.8072400000001</v>
      </c>
      <c r="BK212" s="4464">
        <f t="shared" si="1112"/>
        <v>2506.8072400000001</v>
      </c>
      <c r="BL212" s="4464">
        <f t="shared" si="1112"/>
        <v>0</v>
      </c>
      <c r="BM212" s="4462">
        <f t="shared" ref="BM212:CA212" si="1134">SUM(BM64+BM89)</f>
        <v>87.833119999999994</v>
      </c>
      <c r="BN212" s="4462">
        <f t="shared" si="1134"/>
        <v>87.833119999999994</v>
      </c>
      <c r="BO212" s="4462">
        <f t="shared" si="1134"/>
        <v>0</v>
      </c>
      <c r="BP212" s="4463">
        <f t="shared" si="1134"/>
        <v>0</v>
      </c>
      <c r="BQ212" s="4463">
        <f t="shared" si="1134"/>
        <v>0</v>
      </c>
      <c r="BR212" s="4463">
        <f t="shared" si="1134"/>
        <v>0</v>
      </c>
      <c r="BS212" s="4463">
        <f t="shared" si="1134"/>
        <v>0</v>
      </c>
      <c r="BT212" s="4463">
        <f t="shared" si="1134"/>
        <v>0</v>
      </c>
      <c r="BU212" s="4463">
        <f t="shared" si="1134"/>
        <v>0</v>
      </c>
      <c r="BV212" s="4463">
        <f t="shared" si="1134"/>
        <v>0</v>
      </c>
      <c r="BW212" s="4463">
        <f t="shared" si="1134"/>
        <v>0</v>
      </c>
      <c r="BX212" s="4463">
        <f t="shared" si="1134"/>
        <v>0</v>
      </c>
      <c r="BY212" s="4463">
        <f t="shared" si="1134"/>
        <v>0</v>
      </c>
      <c r="BZ212" s="4463">
        <f t="shared" si="1134"/>
        <v>0</v>
      </c>
      <c r="CA212" s="4463">
        <f t="shared" si="1134"/>
        <v>0</v>
      </c>
      <c r="CB212" s="4446">
        <f t="shared" si="1114"/>
        <v>351.33247999999998</v>
      </c>
      <c r="CC212" s="4446">
        <f t="shared" si="1115"/>
        <v>351.33247999999998</v>
      </c>
      <c r="CD212" s="4446">
        <f t="shared" si="1115"/>
        <v>0</v>
      </c>
      <c r="CE212" s="4464">
        <f t="shared" si="1121"/>
        <v>2770.3065999999999</v>
      </c>
      <c r="CF212" s="4464">
        <f t="shared" si="1116"/>
        <v>2770.3065999999999</v>
      </c>
      <c r="CG212" s="4464">
        <f t="shared" si="1116"/>
        <v>0</v>
      </c>
      <c r="CH212" s="4464">
        <f t="shared" si="1117"/>
        <v>2418.9741199999999</v>
      </c>
      <c r="CI212" s="4464">
        <f t="shared" si="1117"/>
        <v>2418.9741199999999</v>
      </c>
      <c r="CJ212" s="4464">
        <f t="shared" si="1117"/>
        <v>0</v>
      </c>
      <c r="CK212" s="389"/>
      <c r="CL212" s="5"/>
    </row>
    <row r="213" spans="1:90" ht="18.75" customHeight="1" x14ac:dyDescent="0.3">
      <c r="A213" s="4397" t="s">
        <v>586</v>
      </c>
      <c r="B213" s="4400">
        <f>SUM(B85)</f>
        <v>538.77949999999998</v>
      </c>
      <c r="C213" s="4400">
        <f t="shared" ref="C213:AE213" si="1135">SUM(C85)</f>
        <v>538.77949999999998</v>
      </c>
      <c r="D213" s="4400">
        <f t="shared" si="1135"/>
        <v>0</v>
      </c>
      <c r="E213" s="4399">
        <f t="shared" si="1135"/>
        <v>163.87099999999998</v>
      </c>
      <c r="F213" s="4399">
        <f t="shared" si="1135"/>
        <v>163.87099999999998</v>
      </c>
      <c r="G213" s="4399">
        <f t="shared" si="1135"/>
        <v>0</v>
      </c>
      <c r="H213" s="4399">
        <f t="shared" si="1135"/>
        <v>149.08500000000001</v>
      </c>
      <c r="I213" s="4399">
        <f t="shared" si="1135"/>
        <v>149.08500000000001</v>
      </c>
      <c r="J213" s="4399">
        <f t="shared" si="1135"/>
        <v>0</v>
      </c>
      <c r="K213" s="4399">
        <f t="shared" si="1135"/>
        <v>178.60550000000001</v>
      </c>
      <c r="L213" s="4399">
        <f t="shared" si="1135"/>
        <v>178.60550000000001</v>
      </c>
      <c r="M213" s="4399">
        <f t="shared" si="1135"/>
        <v>0</v>
      </c>
      <c r="N213" s="4399">
        <f t="shared" si="1135"/>
        <v>491.56150000000002</v>
      </c>
      <c r="O213" s="4399">
        <f t="shared" si="1135"/>
        <v>491.56150000000002</v>
      </c>
      <c r="P213" s="4399">
        <f t="shared" si="1135"/>
        <v>0</v>
      </c>
      <c r="Q213" s="4400">
        <f t="shared" si="1135"/>
        <v>538.77949999999998</v>
      </c>
      <c r="R213" s="4400">
        <f t="shared" si="1135"/>
        <v>538.77949999999998</v>
      </c>
      <c r="S213" s="4400">
        <f t="shared" si="1135"/>
        <v>0</v>
      </c>
      <c r="T213" s="4399">
        <f t="shared" si="1135"/>
        <v>165.43560000000002</v>
      </c>
      <c r="U213" s="4399">
        <f t="shared" si="1135"/>
        <v>165.43560000000002</v>
      </c>
      <c r="V213" s="4399">
        <f t="shared" si="1135"/>
        <v>0</v>
      </c>
      <c r="W213" s="4399">
        <f t="shared" si="1135"/>
        <v>139.57299999999998</v>
      </c>
      <c r="X213" s="4399">
        <f t="shared" si="1135"/>
        <v>139.57299999999998</v>
      </c>
      <c r="Y213" s="4399">
        <f t="shared" si="1135"/>
        <v>0</v>
      </c>
      <c r="Z213" s="4399">
        <f t="shared" si="1135"/>
        <v>120.88624999999999</v>
      </c>
      <c r="AA213" s="4399">
        <f t="shared" si="1135"/>
        <v>120.88624999999999</v>
      </c>
      <c r="AB213" s="4399">
        <f t="shared" si="1135"/>
        <v>0</v>
      </c>
      <c r="AC213" s="4399">
        <f t="shared" si="1135"/>
        <v>425.89485000000002</v>
      </c>
      <c r="AD213" s="4399">
        <f t="shared" si="1135"/>
        <v>425.89485000000002</v>
      </c>
      <c r="AE213" s="4399">
        <f t="shared" si="1135"/>
        <v>0</v>
      </c>
      <c r="AF213" s="4446">
        <f t="shared" si="1105"/>
        <v>1077.559</v>
      </c>
      <c r="AG213" s="4446">
        <f t="shared" si="1106"/>
        <v>1077.559</v>
      </c>
      <c r="AH213" s="4446">
        <f t="shared" si="1106"/>
        <v>0</v>
      </c>
      <c r="AI213" s="4464">
        <f t="shared" si="1118"/>
        <v>917.45635000000004</v>
      </c>
      <c r="AJ213" s="4464">
        <f t="shared" si="1119"/>
        <v>917.45635000000004</v>
      </c>
      <c r="AK213" s="4464">
        <f t="shared" si="1119"/>
        <v>0</v>
      </c>
      <c r="AL213" s="4464">
        <f t="shared" si="1107"/>
        <v>-160.10264999999993</v>
      </c>
      <c r="AM213" s="4464">
        <f t="shared" si="1107"/>
        <v>-160.10264999999993</v>
      </c>
      <c r="AN213" s="4464">
        <f t="shared" si="1107"/>
        <v>0</v>
      </c>
      <c r="AO213" s="4400">
        <f t="shared" ref="AO213:BC213" si="1136">SUM(AO85)</f>
        <v>538.77949999999998</v>
      </c>
      <c r="AP213" s="4400">
        <f t="shared" si="1136"/>
        <v>538.77949999999998</v>
      </c>
      <c r="AQ213" s="4400">
        <f t="shared" si="1136"/>
        <v>0</v>
      </c>
      <c r="AR213" s="4399">
        <f t="shared" si="1136"/>
        <v>136.34700000000001</v>
      </c>
      <c r="AS213" s="4399">
        <f t="shared" si="1136"/>
        <v>136.34700000000001</v>
      </c>
      <c r="AT213" s="4399">
        <f t="shared" si="1136"/>
        <v>0</v>
      </c>
      <c r="AU213" s="4399">
        <f t="shared" si="1136"/>
        <v>0</v>
      </c>
      <c r="AV213" s="4399">
        <f t="shared" si="1136"/>
        <v>0</v>
      </c>
      <c r="AW213" s="4399">
        <f t="shared" si="1136"/>
        <v>0</v>
      </c>
      <c r="AX213" s="4399">
        <f t="shared" si="1136"/>
        <v>0</v>
      </c>
      <c r="AY213" s="4399">
        <f t="shared" si="1136"/>
        <v>0</v>
      </c>
      <c r="AZ213" s="4399">
        <f t="shared" si="1136"/>
        <v>0</v>
      </c>
      <c r="BA213" s="4399">
        <f t="shared" si="1136"/>
        <v>136.34700000000001</v>
      </c>
      <c r="BB213" s="4399">
        <f t="shared" si="1136"/>
        <v>136.34700000000001</v>
      </c>
      <c r="BC213" s="4399">
        <f t="shared" si="1136"/>
        <v>0</v>
      </c>
      <c r="BD213" s="4446">
        <f t="shared" si="1109"/>
        <v>1616.3384999999998</v>
      </c>
      <c r="BE213" s="4446">
        <f t="shared" si="1110"/>
        <v>1616.3384999999998</v>
      </c>
      <c r="BF213" s="4446">
        <f t="shared" si="1110"/>
        <v>0</v>
      </c>
      <c r="BG213" s="4464">
        <f t="shared" si="1120"/>
        <v>1053.8033500000001</v>
      </c>
      <c r="BH213" s="4464">
        <f t="shared" si="1111"/>
        <v>1053.8033500000001</v>
      </c>
      <c r="BI213" s="4464">
        <f t="shared" si="1111"/>
        <v>0</v>
      </c>
      <c r="BJ213" s="4464">
        <f t="shared" si="1112"/>
        <v>-562.5351499999997</v>
      </c>
      <c r="BK213" s="4464">
        <f t="shared" si="1112"/>
        <v>-562.5351499999997</v>
      </c>
      <c r="BL213" s="4464">
        <f t="shared" si="1112"/>
        <v>0</v>
      </c>
      <c r="BM213" s="4400">
        <f t="shared" ref="BM213:CA213" si="1137">SUM(BM85)</f>
        <v>538.77949999999998</v>
      </c>
      <c r="BN213" s="4400">
        <f t="shared" si="1137"/>
        <v>538.77949999999998</v>
      </c>
      <c r="BO213" s="4400">
        <f t="shared" si="1137"/>
        <v>0</v>
      </c>
      <c r="BP213" s="4399">
        <f t="shared" si="1137"/>
        <v>0</v>
      </c>
      <c r="BQ213" s="4399">
        <f t="shared" si="1137"/>
        <v>0</v>
      </c>
      <c r="BR213" s="4399">
        <f t="shared" si="1137"/>
        <v>0</v>
      </c>
      <c r="BS213" s="4399">
        <f t="shared" si="1137"/>
        <v>0</v>
      </c>
      <c r="BT213" s="4399">
        <f t="shared" si="1137"/>
        <v>0</v>
      </c>
      <c r="BU213" s="4399">
        <f t="shared" si="1137"/>
        <v>0</v>
      </c>
      <c r="BV213" s="4399">
        <f t="shared" si="1137"/>
        <v>0</v>
      </c>
      <c r="BW213" s="4399">
        <f t="shared" si="1137"/>
        <v>0</v>
      </c>
      <c r="BX213" s="4399">
        <f t="shared" si="1137"/>
        <v>0</v>
      </c>
      <c r="BY213" s="4399">
        <f t="shared" si="1137"/>
        <v>0</v>
      </c>
      <c r="BZ213" s="4399">
        <f t="shared" si="1137"/>
        <v>0</v>
      </c>
      <c r="CA213" s="4399">
        <f t="shared" si="1137"/>
        <v>0</v>
      </c>
      <c r="CB213" s="4446">
        <f t="shared" si="1114"/>
        <v>2155.1179999999999</v>
      </c>
      <c r="CC213" s="4446">
        <f t="shared" si="1115"/>
        <v>2155.1179999999999</v>
      </c>
      <c r="CD213" s="4446">
        <f t="shared" si="1115"/>
        <v>0</v>
      </c>
      <c r="CE213" s="4464">
        <f t="shared" si="1121"/>
        <v>1053.8033500000001</v>
      </c>
      <c r="CF213" s="4464">
        <f t="shared" si="1116"/>
        <v>1053.8033500000001</v>
      </c>
      <c r="CG213" s="4464">
        <f t="shared" si="1116"/>
        <v>0</v>
      </c>
      <c r="CH213" s="4464">
        <f t="shared" si="1117"/>
        <v>-1101.3146499999998</v>
      </c>
      <c r="CI213" s="4464">
        <f t="shared" si="1117"/>
        <v>-1101.3146499999998</v>
      </c>
      <c r="CJ213" s="4464">
        <f t="shared" si="1117"/>
        <v>0</v>
      </c>
      <c r="CK213" s="389"/>
      <c r="CL213" s="5"/>
    </row>
    <row r="214" spans="1:90" ht="18.75" customHeight="1" x14ac:dyDescent="0.3">
      <c r="A214" s="4445" t="s">
        <v>587</v>
      </c>
      <c r="B214" s="4462">
        <f t="shared" ref="B214:AE215" si="1138">SUM(B87)</f>
        <v>18.2165</v>
      </c>
      <c r="C214" s="4462">
        <f t="shared" si="1138"/>
        <v>18.2165</v>
      </c>
      <c r="D214" s="4462">
        <f t="shared" si="1138"/>
        <v>0</v>
      </c>
      <c r="E214" s="4463">
        <f t="shared" si="1138"/>
        <v>10.032999999999999</v>
      </c>
      <c r="F214" s="4463">
        <f t="shared" si="1138"/>
        <v>10.032999999999999</v>
      </c>
      <c r="G214" s="4463">
        <f t="shared" si="1138"/>
        <v>0</v>
      </c>
      <c r="H214" s="4463">
        <f t="shared" si="1138"/>
        <v>10.611000000000001</v>
      </c>
      <c r="I214" s="4463">
        <f t="shared" si="1138"/>
        <v>10.611000000000001</v>
      </c>
      <c r="J214" s="4463">
        <f t="shared" si="1138"/>
        <v>0</v>
      </c>
      <c r="K214" s="4463">
        <f t="shared" si="1138"/>
        <v>13.091000000000001</v>
      </c>
      <c r="L214" s="4463">
        <f t="shared" si="1138"/>
        <v>13.091000000000001</v>
      </c>
      <c r="M214" s="4463">
        <f t="shared" si="1138"/>
        <v>0</v>
      </c>
      <c r="N214" s="4463">
        <f t="shared" si="1138"/>
        <v>33.734999999999999</v>
      </c>
      <c r="O214" s="4463">
        <f t="shared" si="1138"/>
        <v>33.734999999999999</v>
      </c>
      <c r="P214" s="4463">
        <f t="shared" si="1138"/>
        <v>0</v>
      </c>
      <c r="Q214" s="4462">
        <f t="shared" si="1138"/>
        <v>18.2165</v>
      </c>
      <c r="R214" s="4462">
        <f t="shared" si="1138"/>
        <v>18.2165</v>
      </c>
      <c r="S214" s="4462">
        <f t="shared" si="1138"/>
        <v>0</v>
      </c>
      <c r="T214" s="4463">
        <f t="shared" si="1138"/>
        <v>16.181000000000001</v>
      </c>
      <c r="U214" s="4463">
        <f t="shared" si="1138"/>
        <v>16.181000000000001</v>
      </c>
      <c r="V214" s="4463">
        <f t="shared" si="1138"/>
        <v>0</v>
      </c>
      <c r="W214" s="4463">
        <f t="shared" si="1138"/>
        <v>17.146999999999998</v>
      </c>
      <c r="X214" s="4463">
        <f t="shared" si="1138"/>
        <v>17.146999999999998</v>
      </c>
      <c r="Y214" s="4463">
        <f t="shared" si="1138"/>
        <v>0</v>
      </c>
      <c r="Z214" s="4463">
        <f t="shared" si="1138"/>
        <v>17.001999999999999</v>
      </c>
      <c r="AA214" s="4463">
        <f t="shared" si="1138"/>
        <v>17.001999999999999</v>
      </c>
      <c r="AB214" s="4463">
        <f t="shared" si="1138"/>
        <v>0</v>
      </c>
      <c r="AC214" s="4463">
        <f t="shared" si="1138"/>
        <v>50.33</v>
      </c>
      <c r="AD214" s="4463">
        <f t="shared" si="1138"/>
        <v>50.33</v>
      </c>
      <c r="AE214" s="4463">
        <f t="shared" si="1138"/>
        <v>0</v>
      </c>
      <c r="AF214" s="4446">
        <f t="shared" si="1105"/>
        <v>36.433</v>
      </c>
      <c r="AG214" s="4446">
        <f t="shared" si="1106"/>
        <v>36.433</v>
      </c>
      <c r="AH214" s="4446">
        <f t="shared" si="1106"/>
        <v>0</v>
      </c>
      <c r="AI214" s="4464">
        <f t="shared" si="1118"/>
        <v>84.064999999999998</v>
      </c>
      <c r="AJ214" s="4464">
        <f t="shared" si="1119"/>
        <v>84.064999999999998</v>
      </c>
      <c r="AK214" s="4464">
        <f t="shared" si="1119"/>
        <v>0</v>
      </c>
      <c r="AL214" s="4464">
        <f t="shared" si="1107"/>
        <v>47.631999999999998</v>
      </c>
      <c r="AM214" s="4464">
        <f t="shared" si="1107"/>
        <v>47.631999999999998</v>
      </c>
      <c r="AN214" s="4464">
        <f t="shared" si="1107"/>
        <v>0</v>
      </c>
      <c r="AO214" s="4462">
        <f t="shared" ref="AO214:BC215" si="1139">SUM(AO87)</f>
        <v>18.2165</v>
      </c>
      <c r="AP214" s="4462">
        <f t="shared" si="1139"/>
        <v>18.2165</v>
      </c>
      <c r="AQ214" s="4462">
        <f t="shared" si="1139"/>
        <v>0</v>
      </c>
      <c r="AR214" s="4463">
        <f t="shared" si="1139"/>
        <v>17.039000000000001</v>
      </c>
      <c r="AS214" s="4463">
        <f t="shared" si="1139"/>
        <v>17.039000000000001</v>
      </c>
      <c r="AT214" s="4463">
        <f t="shared" si="1139"/>
        <v>0</v>
      </c>
      <c r="AU214" s="4463">
        <f t="shared" si="1139"/>
        <v>0</v>
      </c>
      <c r="AV214" s="4463">
        <f t="shared" si="1139"/>
        <v>0</v>
      </c>
      <c r="AW214" s="4463">
        <f t="shared" si="1139"/>
        <v>0</v>
      </c>
      <c r="AX214" s="4463">
        <f t="shared" si="1139"/>
        <v>0</v>
      </c>
      <c r="AY214" s="4463">
        <f t="shared" si="1139"/>
        <v>0</v>
      </c>
      <c r="AZ214" s="4463">
        <f t="shared" si="1139"/>
        <v>0</v>
      </c>
      <c r="BA214" s="4463">
        <f t="shared" si="1139"/>
        <v>17.039000000000001</v>
      </c>
      <c r="BB214" s="4463">
        <f t="shared" si="1139"/>
        <v>17.039000000000001</v>
      </c>
      <c r="BC214" s="4463">
        <f t="shared" si="1139"/>
        <v>0</v>
      </c>
      <c r="BD214" s="4446">
        <f t="shared" si="1109"/>
        <v>54.649500000000003</v>
      </c>
      <c r="BE214" s="4446">
        <f t="shared" ref="BE214:BF227" si="1140">SUM(AG214+AP214)</f>
        <v>54.649500000000003</v>
      </c>
      <c r="BF214" s="4446">
        <f t="shared" si="1140"/>
        <v>0</v>
      </c>
      <c r="BG214" s="4464">
        <f t="shared" si="1120"/>
        <v>101.104</v>
      </c>
      <c r="BH214" s="4464">
        <f t="shared" ref="BH214:BI227" si="1141">SUM(AJ214+BB214)</f>
        <v>101.104</v>
      </c>
      <c r="BI214" s="4464">
        <f t="shared" si="1141"/>
        <v>0</v>
      </c>
      <c r="BJ214" s="4464">
        <f t="shared" si="1112"/>
        <v>46.454499999999996</v>
      </c>
      <c r="BK214" s="4464">
        <f t="shared" si="1112"/>
        <v>46.454499999999996</v>
      </c>
      <c r="BL214" s="4464">
        <f t="shared" si="1112"/>
        <v>0</v>
      </c>
      <c r="BM214" s="4462">
        <f t="shared" ref="BM214:CA215" si="1142">SUM(BM87)</f>
        <v>18.2165</v>
      </c>
      <c r="BN214" s="4462">
        <f t="shared" si="1142"/>
        <v>18.2165</v>
      </c>
      <c r="BO214" s="4462">
        <f t="shared" si="1142"/>
        <v>0</v>
      </c>
      <c r="BP214" s="4463">
        <f t="shared" si="1142"/>
        <v>0</v>
      </c>
      <c r="BQ214" s="4463">
        <f t="shared" si="1142"/>
        <v>0</v>
      </c>
      <c r="BR214" s="4463">
        <f t="shared" si="1142"/>
        <v>0</v>
      </c>
      <c r="BS214" s="4463">
        <f t="shared" si="1142"/>
        <v>0</v>
      </c>
      <c r="BT214" s="4463">
        <f t="shared" si="1142"/>
        <v>0</v>
      </c>
      <c r="BU214" s="4463">
        <f t="shared" si="1142"/>
        <v>0</v>
      </c>
      <c r="BV214" s="4463">
        <f t="shared" si="1142"/>
        <v>0</v>
      </c>
      <c r="BW214" s="4463">
        <f t="shared" si="1142"/>
        <v>0</v>
      </c>
      <c r="BX214" s="4463">
        <f t="shared" si="1142"/>
        <v>0</v>
      </c>
      <c r="BY214" s="4463">
        <f t="shared" si="1142"/>
        <v>0</v>
      </c>
      <c r="BZ214" s="4463">
        <f t="shared" si="1142"/>
        <v>0</v>
      </c>
      <c r="CA214" s="4463">
        <f t="shared" si="1142"/>
        <v>0</v>
      </c>
      <c r="CB214" s="4446">
        <f t="shared" si="1114"/>
        <v>72.866</v>
      </c>
      <c r="CC214" s="4446">
        <f t="shared" ref="CC214:CD227" si="1143">SUM(BN214+BE214)</f>
        <v>72.866</v>
      </c>
      <c r="CD214" s="4446">
        <f t="shared" si="1143"/>
        <v>0</v>
      </c>
      <c r="CE214" s="4464">
        <f t="shared" si="1121"/>
        <v>101.104</v>
      </c>
      <c r="CF214" s="4464">
        <f t="shared" ref="CF214:CG227" si="1144">SUM(BZ214+BH214)</f>
        <v>101.104</v>
      </c>
      <c r="CG214" s="4464">
        <f t="shared" si="1144"/>
        <v>0</v>
      </c>
      <c r="CH214" s="4464">
        <f t="shared" si="1117"/>
        <v>28.238</v>
      </c>
      <c r="CI214" s="4464">
        <f t="shared" si="1117"/>
        <v>28.238</v>
      </c>
      <c r="CJ214" s="4464">
        <f t="shared" si="1117"/>
        <v>0</v>
      </c>
      <c r="CK214" s="389"/>
      <c r="CL214" s="5"/>
    </row>
    <row r="215" spans="1:90" ht="18.75" customHeight="1" x14ac:dyDescent="0.3">
      <c r="A215" s="4445" t="s">
        <v>597</v>
      </c>
      <c r="B215" s="4462">
        <f t="shared" si="1138"/>
        <v>5.2277500000000003</v>
      </c>
      <c r="C215" s="4462">
        <f t="shared" si="1138"/>
        <v>5.2277500000000003</v>
      </c>
      <c r="D215" s="4462">
        <f t="shared" si="1138"/>
        <v>0</v>
      </c>
      <c r="E215" s="4463">
        <f t="shared" si="1138"/>
        <v>0</v>
      </c>
      <c r="F215" s="4463">
        <f t="shared" si="1138"/>
        <v>0</v>
      </c>
      <c r="G215" s="4463">
        <f t="shared" si="1138"/>
        <v>0</v>
      </c>
      <c r="H215" s="4463">
        <f t="shared" si="1138"/>
        <v>0</v>
      </c>
      <c r="I215" s="4463">
        <f t="shared" si="1138"/>
        <v>0</v>
      </c>
      <c r="J215" s="4463">
        <f t="shared" si="1138"/>
        <v>0</v>
      </c>
      <c r="K215" s="4463">
        <f t="shared" si="1138"/>
        <v>0</v>
      </c>
      <c r="L215" s="4463">
        <f t="shared" si="1138"/>
        <v>0</v>
      </c>
      <c r="M215" s="4463">
        <f t="shared" si="1138"/>
        <v>0</v>
      </c>
      <c r="N215" s="4463">
        <f t="shared" si="1138"/>
        <v>0</v>
      </c>
      <c r="O215" s="4463">
        <f t="shared" si="1138"/>
        <v>0</v>
      </c>
      <c r="P215" s="4463">
        <f t="shared" si="1138"/>
        <v>0</v>
      </c>
      <c r="Q215" s="4462">
        <f t="shared" si="1138"/>
        <v>5.2277500000000003</v>
      </c>
      <c r="R215" s="4462">
        <f t="shared" si="1138"/>
        <v>5.2277500000000003</v>
      </c>
      <c r="S215" s="4462">
        <f t="shared" si="1138"/>
        <v>0</v>
      </c>
      <c r="T215" s="4463">
        <f t="shared" si="1138"/>
        <v>0</v>
      </c>
      <c r="U215" s="4463">
        <f t="shared" si="1138"/>
        <v>0</v>
      </c>
      <c r="V215" s="4463">
        <f t="shared" si="1138"/>
        <v>0</v>
      </c>
      <c r="W215" s="4463">
        <f t="shared" si="1138"/>
        <v>0.99</v>
      </c>
      <c r="X215" s="4463">
        <f t="shared" si="1138"/>
        <v>0.99</v>
      </c>
      <c r="Y215" s="4463">
        <f t="shared" si="1138"/>
        <v>0</v>
      </c>
      <c r="Z215" s="4463">
        <f t="shared" si="1138"/>
        <v>0</v>
      </c>
      <c r="AA215" s="4463">
        <f t="shared" si="1138"/>
        <v>0</v>
      </c>
      <c r="AB215" s="4463">
        <f t="shared" si="1138"/>
        <v>0</v>
      </c>
      <c r="AC215" s="4463">
        <f t="shared" si="1138"/>
        <v>0.99</v>
      </c>
      <c r="AD215" s="4463">
        <f t="shared" si="1138"/>
        <v>0.99</v>
      </c>
      <c r="AE215" s="4463">
        <f t="shared" si="1138"/>
        <v>0</v>
      </c>
      <c r="AF215" s="4446">
        <f t="shared" si="1105"/>
        <v>10.455500000000001</v>
      </c>
      <c r="AG215" s="4446">
        <f t="shared" si="1106"/>
        <v>10.455500000000001</v>
      </c>
      <c r="AH215" s="4446">
        <f t="shared" si="1106"/>
        <v>0</v>
      </c>
      <c r="AI215" s="4464">
        <f t="shared" si="1118"/>
        <v>0.99</v>
      </c>
      <c r="AJ215" s="4464">
        <f t="shared" si="1119"/>
        <v>0.99</v>
      </c>
      <c r="AK215" s="4464">
        <f t="shared" si="1119"/>
        <v>0</v>
      </c>
      <c r="AL215" s="4464">
        <f t="shared" si="1107"/>
        <v>-9.4655000000000005</v>
      </c>
      <c r="AM215" s="4464">
        <f t="shared" si="1107"/>
        <v>-9.4655000000000005</v>
      </c>
      <c r="AN215" s="4464">
        <f t="shared" si="1107"/>
        <v>0</v>
      </c>
      <c r="AO215" s="4462">
        <f t="shared" si="1139"/>
        <v>5.2277500000000003</v>
      </c>
      <c r="AP215" s="4462">
        <f t="shared" si="1139"/>
        <v>5.2277500000000003</v>
      </c>
      <c r="AQ215" s="4462">
        <f t="shared" si="1139"/>
        <v>0</v>
      </c>
      <c r="AR215" s="4463">
        <f t="shared" si="1139"/>
        <v>0</v>
      </c>
      <c r="AS215" s="4463">
        <f t="shared" si="1139"/>
        <v>0</v>
      </c>
      <c r="AT215" s="4463">
        <f t="shared" si="1139"/>
        <v>0</v>
      </c>
      <c r="AU215" s="4463">
        <f t="shared" si="1139"/>
        <v>0</v>
      </c>
      <c r="AV215" s="4463">
        <f t="shared" si="1139"/>
        <v>0</v>
      </c>
      <c r="AW215" s="4463">
        <f t="shared" si="1139"/>
        <v>0</v>
      </c>
      <c r="AX215" s="4463">
        <f t="shared" si="1139"/>
        <v>0</v>
      </c>
      <c r="AY215" s="4463">
        <f t="shared" si="1139"/>
        <v>0</v>
      </c>
      <c r="AZ215" s="4463">
        <f t="shared" si="1139"/>
        <v>0</v>
      </c>
      <c r="BA215" s="4463">
        <f t="shared" si="1139"/>
        <v>0</v>
      </c>
      <c r="BB215" s="4463">
        <f t="shared" si="1139"/>
        <v>0</v>
      </c>
      <c r="BC215" s="4463">
        <f t="shared" si="1139"/>
        <v>0</v>
      </c>
      <c r="BD215" s="4446">
        <f t="shared" si="1109"/>
        <v>15.683250000000001</v>
      </c>
      <c r="BE215" s="4446">
        <f t="shared" si="1140"/>
        <v>15.683250000000001</v>
      </c>
      <c r="BF215" s="4446">
        <f t="shared" si="1140"/>
        <v>0</v>
      </c>
      <c r="BG215" s="4464">
        <f t="shared" si="1120"/>
        <v>0.99</v>
      </c>
      <c r="BH215" s="4464">
        <f t="shared" si="1141"/>
        <v>0.99</v>
      </c>
      <c r="BI215" s="4464">
        <f t="shared" si="1141"/>
        <v>0</v>
      </c>
      <c r="BJ215" s="4464">
        <f t="shared" si="1112"/>
        <v>-14.693250000000001</v>
      </c>
      <c r="BK215" s="4464">
        <f t="shared" si="1112"/>
        <v>-14.693250000000001</v>
      </c>
      <c r="BL215" s="4464">
        <f t="shared" si="1112"/>
        <v>0</v>
      </c>
      <c r="BM215" s="4462">
        <f t="shared" si="1142"/>
        <v>5.2277500000000003</v>
      </c>
      <c r="BN215" s="4462">
        <f t="shared" si="1142"/>
        <v>5.2277500000000003</v>
      </c>
      <c r="BO215" s="4462">
        <f t="shared" si="1142"/>
        <v>0</v>
      </c>
      <c r="BP215" s="4463">
        <f t="shared" si="1142"/>
        <v>0</v>
      </c>
      <c r="BQ215" s="4463">
        <f t="shared" si="1142"/>
        <v>0</v>
      </c>
      <c r="BR215" s="4463">
        <f t="shared" si="1142"/>
        <v>0</v>
      </c>
      <c r="BS215" s="4463">
        <f t="shared" si="1142"/>
        <v>0</v>
      </c>
      <c r="BT215" s="4463">
        <f t="shared" si="1142"/>
        <v>0</v>
      </c>
      <c r="BU215" s="4463">
        <f t="shared" si="1142"/>
        <v>0</v>
      </c>
      <c r="BV215" s="4463">
        <f t="shared" si="1142"/>
        <v>0</v>
      </c>
      <c r="BW215" s="4463">
        <f t="shared" si="1142"/>
        <v>0</v>
      </c>
      <c r="BX215" s="4463">
        <f t="shared" si="1142"/>
        <v>0</v>
      </c>
      <c r="BY215" s="4463">
        <f t="shared" si="1142"/>
        <v>0</v>
      </c>
      <c r="BZ215" s="4463">
        <f t="shared" si="1142"/>
        <v>0</v>
      </c>
      <c r="CA215" s="4463">
        <f t="shared" si="1142"/>
        <v>0</v>
      </c>
      <c r="CB215" s="4446">
        <f t="shared" si="1114"/>
        <v>20.911000000000001</v>
      </c>
      <c r="CC215" s="4446">
        <f t="shared" si="1143"/>
        <v>20.911000000000001</v>
      </c>
      <c r="CD215" s="4446">
        <f t="shared" si="1143"/>
        <v>0</v>
      </c>
      <c r="CE215" s="4464">
        <f t="shared" si="1121"/>
        <v>0.99</v>
      </c>
      <c r="CF215" s="4464">
        <f t="shared" si="1144"/>
        <v>0.99</v>
      </c>
      <c r="CG215" s="4464">
        <f t="shared" si="1144"/>
        <v>0</v>
      </c>
      <c r="CH215" s="4464">
        <f t="shared" si="1117"/>
        <v>-19.921000000000003</v>
      </c>
      <c r="CI215" s="4464">
        <f t="shared" si="1117"/>
        <v>-19.921000000000003</v>
      </c>
      <c r="CJ215" s="4464">
        <f t="shared" si="1117"/>
        <v>0</v>
      </c>
      <c r="CK215" s="389"/>
      <c r="CL215" s="5"/>
    </row>
    <row r="216" spans="1:90" ht="18.75" customHeight="1" x14ac:dyDescent="0.3">
      <c r="A216" s="4445" t="s">
        <v>3759</v>
      </c>
      <c r="B216" s="4462">
        <f>SUM(B34)</f>
        <v>51.982349999999997</v>
      </c>
      <c r="C216" s="4462">
        <f t="shared" ref="C216:AE216" si="1145">SUM(C34)</f>
        <v>51.982349999999997</v>
      </c>
      <c r="D216" s="4462">
        <f t="shared" si="1145"/>
        <v>0</v>
      </c>
      <c r="E216" s="4463">
        <f t="shared" si="1145"/>
        <v>36.584000000000003</v>
      </c>
      <c r="F216" s="4463">
        <f t="shared" si="1145"/>
        <v>36.584000000000003</v>
      </c>
      <c r="G216" s="4463">
        <f t="shared" si="1145"/>
        <v>0</v>
      </c>
      <c r="H216" s="4463">
        <f t="shared" si="1145"/>
        <v>19.655999999999999</v>
      </c>
      <c r="I216" s="4463">
        <f t="shared" si="1145"/>
        <v>19.655999999999999</v>
      </c>
      <c r="J216" s="4463">
        <f t="shared" si="1145"/>
        <v>0</v>
      </c>
      <c r="K216" s="4463">
        <f t="shared" si="1145"/>
        <v>19</v>
      </c>
      <c r="L216" s="4463">
        <f t="shared" si="1145"/>
        <v>19</v>
      </c>
      <c r="M216" s="4463">
        <f t="shared" si="1145"/>
        <v>0</v>
      </c>
      <c r="N216" s="4463">
        <f t="shared" si="1145"/>
        <v>75.240000000000009</v>
      </c>
      <c r="O216" s="4463">
        <f t="shared" si="1145"/>
        <v>75.240000000000009</v>
      </c>
      <c r="P216" s="4463">
        <f t="shared" si="1145"/>
        <v>0</v>
      </c>
      <c r="Q216" s="4462">
        <f t="shared" si="1145"/>
        <v>51.982349999999997</v>
      </c>
      <c r="R216" s="4462">
        <f t="shared" si="1145"/>
        <v>51.982349999999997</v>
      </c>
      <c r="S216" s="4462">
        <f t="shared" si="1145"/>
        <v>0</v>
      </c>
      <c r="T216" s="4463">
        <f t="shared" si="1145"/>
        <v>19.026</v>
      </c>
      <c r="U216" s="4463">
        <f t="shared" si="1145"/>
        <v>19.026</v>
      </c>
      <c r="V216" s="4463">
        <f t="shared" si="1145"/>
        <v>0</v>
      </c>
      <c r="W216" s="4463">
        <f t="shared" si="1145"/>
        <v>18.477</v>
      </c>
      <c r="X216" s="4463">
        <f t="shared" si="1145"/>
        <v>18.477</v>
      </c>
      <c r="Y216" s="4463">
        <f t="shared" si="1145"/>
        <v>0</v>
      </c>
      <c r="Z216" s="4463">
        <f t="shared" si="1145"/>
        <v>17.837</v>
      </c>
      <c r="AA216" s="4463">
        <f t="shared" si="1145"/>
        <v>17.837</v>
      </c>
      <c r="AB216" s="4463">
        <f t="shared" si="1145"/>
        <v>0</v>
      </c>
      <c r="AC216" s="4463">
        <f t="shared" si="1145"/>
        <v>55.34</v>
      </c>
      <c r="AD216" s="4463">
        <f t="shared" si="1145"/>
        <v>55.34</v>
      </c>
      <c r="AE216" s="4463">
        <f t="shared" si="1145"/>
        <v>0</v>
      </c>
      <c r="AF216" s="4446">
        <f t="shared" ref="AF216:AH227" si="1146">SUM(Q216+B216)</f>
        <v>103.96469999999999</v>
      </c>
      <c r="AG216" s="4446">
        <f t="shared" si="1146"/>
        <v>103.96469999999999</v>
      </c>
      <c r="AH216" s="4446">
        <f t="shared" si="1146"/>
        <v>0</v>
      </c>
      <c r="AI216" s="4464">
        <f t="shared" si="1118"/>
        <v>130.58000000000001</v>
      </c>
      <c r="AJ216" s="4464">
        <f t="shared" si="1119"/>
        <v>130.58000000000001</v>
      </c>
      <c r="AK216" s="4464">
        <f t="shared" si="1119"/>
        <v>0</v>
      </c>
      <c r="AL216" s="4464">
        <f t="shared" si="1107"/>
        <v>26.615300000000019</v>
      </c>
      <c r="AM216" s="4464">
        <f t="shared" si="1107"/>
        <v>26.615300000000019</v>
      </c>
      <c r="AN216" s="4464">
        <f t="shared" si="1107"/>
        <v>0</v>
      </c>
      <c r="AO216" s="4462">
        <f t="shared" ref="AO216:BC216" si="1147">SUM(AO34)</f>
        <v>51.982349999999997</v>
      </c>
      <c r="AP216" s="4462">
        <f t="shared" si="1147"/>
        <v>51.982349999999997</v>
      </c>
      <c r="AQ216" s="4462">
        <f t="shared" si="1147"/>
        <v>0</v>
      </c>
      <c r="AR216" s="4463">
        <f t="shared" si="1147"/>
        <v>14.409000000000001</v>
      </c>
      <c r="AS216" s="4463">
        <f t="shared" si="1147"/>
        <v>14.409000000000001</v>
      </c>
      <c r="AT216" s="4463">
        <f t="shared" si="1147"/>
        <v>0</v>
      </c>
      <c r="AU216" s="4463">
        <f t="shared" si="1147"/>
        <v>0</v>
      </c>
      <c r="AV216" s="4463">
        <f t="shared" si="1147"/>
        <v>0</v>
      </c>
      <c r="AW216" s="4463">
        <f t="shared" si="1147"/>
        <v>0</v>
      </c>
      <c r="AX216" s="4463">
        <f t="shared" si="1147"/>
        <v>0</v>
      </c>
      <c r="AY216" s="4463">
        <f t="shared" si="1147"/>
        <v>0</v>
      </c>
      <c r="AZ216" s="4463">
        <f t="shared" si="1147"/>
        <v>0</v>
      </c>
      <c r="BA216" s="4463">
        <f t="shared" si="1147"/>
        <v>14.409000000000001</v>
      </c>
      <c r="BB216" s="4463">
        <f t="shared" si="1147"/>
        <v>14.409000000000001</v>
      </c>
      <c r="BC216" s="4463">
        <f t="shared" si="1147"/>
        <v>0</v>
      </c>
      <c r="BD216" s="4446">
        <f t="shared" ref="BD216" si="1148">SUM(AF216+AO216)</f>
        <v>155.94704999999999</v>
      </c>
      <c r="BE216" s="4446">
        <f t="shared" si="1140"/>
        <v>155.94704999999999</v>
      </c>
      <c r="BF216" s="4446">
        <f t="shared" si="1140"/>
        <v>0</v>
      </c>
      <c r="BG216" s="4464">
        <f t="shared" si="1120"/>
        <v>144.989</v>
      </c>
      <c r="BH216" s="4464">
        <f t="shared" si="1141"/>
        <v>144.989</v>
      </c>
      <c r="BI216" s="4464">
        <f t="shared" si="1141"/>
        <v>0</v>
      </c>
      <c r="BJ216" s="4464">
        <f t="shared" si="1112"/>
        <v>-10.958049999999986</v>
      </c>
      <c r="BK216" s="4464">
        <f t="shared" si="1112"/>
        <v>-10.958049999999986</v>
      </c>
      <c r="BL216" s="4464">
        <f t="shared" si="1112"/>
        <v>0</v>
      </c>
      <c r="BM216" s="4462">
        <f t="shared" ref="BM216:CA216" si="1149">SUM(BM34)</f>
        <v>51.982349999999997</v>
      </c>
      <c r="BN216" s="4462">
        <f t="shared" si="1149"/>
        <v>51.982349999999997</v>
      </c>
      <c r="BO216" s="4462">
        <f t="shared" si="1149"/>
        <v>0</v>
      </c>
      <c r="BP216" s="4463">
        <f t="shared" si="1149"/>
        <v>0</v>
      </c>
      <c r="BQ216" s="4463">
        <f t="shared" si="1149"/>
        <v>0</v>
      </c>
      <c r="BR216" s="4463">
        <f t="shared" si="1149"/>
        <v>0</v>
      </c>
      <c r="BS216" s="4463">
        <f t="shared" si="1149"/>
        <v>0</v>
      </c>
      <c r="BT216" s="4463">
        <f t="shared" si="1149"/>
        <v>0</v>
      </c>
      <c r="BU216" s="4463">
        <f t="shared" si="1149"/>
        <v>0</v>
      </c>
      <c r="BV216" s="4463">
        <f t="shared" si="1149"/>
        <v>0</v>
      </c>
      <c r="BW216" s="4463">
        <f t="shared" si="1149"/>
        <v>0</v>
      </c>
      <c r="BX216" s="4463">
        <f t="shared" si="1149"/>
        <v>0</v>
      </c>
      <c r="BY216" s="4463">
        <f t="shared" si="1149"/>
        <v>0</v>
      </c>
      <c r="BZ216" s="4463">
        <f t="shared" si="1149"/>
        <v>0</v>
      </c>
      <c r="CA216" s="4463">
        <f t="shared" si="1149"/>
        <v>0</v>
      </c>
      <c r="CB216" s="4446">
        <f t="shared" ref="CB216" si="1150">SUM(BM216+BD216)</f>
        <v>207.92939999999999</v>
      </c>
      <c r="CC216" s="4446">
        <f t="shared" si="1143"/>
        <v>207.92939999999999</v>
      </c>
      <c r="CD216" s="4446">
        <f t="shared" si="1143"/>
        <v>0</v>
      </c>
      <c r="CE216" s="4464">
        <f t="shared" si="1121"/>
        <v>144.989</v>
      </c>
      <c r="CF216" s="4464">
        <f t="shared" si="1144"/>
        <v>144.989</v>
      </c>
      <c r="CG216" s="4464">
        <f t="shared" si="1144"/>
        <v>0</v>
      </c>
      <c r="CH216" s="4464">
        <f t="shared" si="1117"/>
        <v>-62.940399999999983</v>
      </c>
      <c r="CI216" s="4464">
        <f t="shared" si="1117"/>
        <v>-62.940399999999983</v>
      </c>
      <c r="CJ216" s="4464">
        <f t="shared" si="1117"/>
        <v>0</v>
      </c>
      <c r="CK216" s="389"/>
      <c r="CL216" s="5"/>
    </row>
    <row r="217" spans="1:90" ht="18.75" customHeight="1" x14ac:dyDescent="0.3">
      <c r="A217" s="4418" t="s">
        <v>589</v>
      </c>
      <c r="B217" s="4465">
        <f>SUM(B35+B65+B90+B106)</f>
        <v>822.11992174999978</v>
      </c>
      <c r="C217" s="4465">
        <f t="shared" ref="C217:AE217" si="1151">SUM(C35+C65+C90+C106)</f>
        <v>822.11992174999978</v>
      </c>
      <c r="D217" s="4465">
        <f t="shared" si="1151"/>
        <v>0</v>
      </c>
      <c r="E217" s="4466">
        <f t="shared" si="1151"/>
        <v>104.485</v>
      </c>
      <c r="F217" s="4466">
        <f t="shared" si="1151"/>
        <v>104.485</v>
      </c>
      <c r="G217" s="4466">
        <f t="shared" si="1151"/>
        <v>0</v>
      </c>
      <c r="H217" s="4466">
        <f t="shared" si="1151"/>
        <v>217.79982000000001</v>
      </c>
      <c r="I217" s="4466">
        <f t="shared" si="1151"/>
        <v>217.79982000000001</v>
      </c>
      <c r="J217" s="4466">
        <f t="shared" si="1151"/>
        <v>0</v>
      </c>
      <c r="K217" s="4466">
        <f t="shared" si="1151"/>
        <v>128.08199999999999</v>
      </c>
      <c r="L217" s="4466">
        <f t="shared" si="1151"/>
        <v>128.08199999999999</v>
      </c>
      <c r="M217" s="4466">
        <f t="shared" si="1151"/>
        <v>0</v>
      </c>
      <c r="N217" s="4466">
        <f t="shared" si="1151"/>
        <v>450.36682000000002</v>
      </c>
      <c r="O217" s="4466">
        <f t="shared" si="1151"/>
        <v>450.36682000000002</v>
      </c>
      <c r="P217" s="4466">
        <f t="shared" si="1151"/>
        <v>0</v>
      </c>
      <c r="Q217" s="4465">
        <f t="shared" si="1151"/>
        <v>822.11992174999978</v>
      </c>
      <c r="R217" s="4465">
        <f t="shared" si="1151"/>
        <v>822.11992174999978</v>
      </c>
      <c r="S217" s="4465">
        <f t="shared" si="1151"/>
        <v>0</v>
      </c>
      <c r="T217" s="4466">
        <f t="shared" si="1151"/>
        <v>123.88630000000001</v>
      </c>
      <c r="U217" s="4466">
        <f t="shared" si="1151"/>
        <v>123.88630000000001</v>
      </c>
      <c r="V217" s="4466">
        <f t="shared" si="1151"/>
        <v>0</v>
      </c>
      <c r="W217" s="4466">
        <f t="shared" si="1151"/>
        <v>68.135999999999996</v>
      </c>
      <c r="X217" s="4466">
        <f t="shared" si="1151"/>
        <v>68.135999999999996</v>
      </c>
      <c r="Y217" s="4466">
        <f t="shared" si="1151"/>
        <v>0</v>
      </c>
      <c r="Z217" s="4466">
        <f t="shared" si="1151"/>
        <v>52.958070000000006</v>
      </c>
      <c r="AA217" s="4466">
        <f t="shared" si="1151"/>
        <v>52.958070000000006</v>
      </c>
      <c r="AB217" s="4466">
        <f t="shared" si="1151"/>
        <v>0</v>
      </c>
      <c r="AC217" s="4466">
        <f t="shared" si="1151"/>
        <v>244.98037000000002</v>
      </c>
      <c r="AD217" s="4466">
        <f t="shared" si="1151"/>
        <v>244.98037000000002</v>
      </c>
      <c r="AE217" s="4466">
        <f t="shared" si="1151"/>
        <v>0</v>
      </c>
      <c r="AF217" s="4455">
        <f t="shared" si="1105"/>
        <v>1644.2398434999996</v>
      </c>
      <c r="AG217" s="4455">
        <f t="shared" si="1105"/>
        <v>1644.2398434999996</v>
      </c>
      <c r="AH217" s="4455">
        <f t="shared" si="1146"/>
        <v>0</v>
      </c>
      <c r="AI217" s="4467">
        <f t="shared" si="1118"/>
        <v>695.34719000000007</v>
      </c>
      <c r="AJ217" s="4467">
        <f t="shared" si="1119"/>
        <v>695.34719000000007</v>
      </c>
      <c r="AK217" s="4467">
        <f t="shared" si="1119"/>
        <v>0</v>
      </c>
      <c r="AL217" s="4467">
        <f t="shared" si="1107"/>
        <v>-948.89265349999948</v>
      </c>
      <c r="AM217" s="4467">
        <f t="shared" si="1107"/>
        <v>-948.89265349999948</v>
      </c>
      <c r="AN217" s="4467">
        <f t="shared" si="1107"/>
        <v>0</v>
      </c>
      <c r="AO217" s="4465">
        <f t="shared" ref="AO217:BC217" si="1152">SUM(AO35+AO65+AO90+AO106)</f>
        <v>822.11992174999978</v>
      </c>
      <c r="AP217" s="4465">
        <f t="shared" si="1152"/>
        <v>822.11992174999978</v>
      </c>
      <c r="AQ217" s="4465">
        <f t="shared" si="1152"/>
        <v>0</v>
      </c>
      <c r="AR217" s="4466">
        <f t="shared" si="1152"/>
        <v>22.318529999999999</v>
      </c>
      <c r="AS217" s="4466">
        <f t="shared" si="1152"/>
        <v>22.318529999999999</v>
      </c>
      <c r="AT217" s="4466">
        <f t="shared" si="1152"/>
        <v>0</v>
      </c>
      <c r="AU217" s="4466">
        <f t="shared" si="1152"/>
        <v>0</v>
      </c>
      <c r="AV217" s="4466">
        <f t="shared" si="1152"/>
        <v>0</v>
      </c>
      <c r="AW217" s="4466">
        <f t="shared" si="1152"/>
        <v>0</v>
      </c>
      <c r="AX217" s="4466">
        <f t="shared" si="1152"/>
        <v>0</v>
      </c>
      <c r="AY217" s="4466">
        <f t="shared" si="1152"/>
        <v>0</v>
      </c>
      <c r="AZ217" s="4466">
        <f t="shared" si="1152"/>
        <v>0</v>
      </c>
      <c r="BA217" s="4466">
        <f t="shared" si="1152"/>
        <v>22.318529999999999</v>
      </c>
      <c r="BB217" s="4466">
        <f t="shared" si="1152"/>
        <v>22.318529999999999</v>
      </c>
      <c r="BC217" s="4466">
        <f t="shared" si="1152"/>
        <v>0</v>
      </c>
      <c r="BD217" s="4455">
        <f t="shared" si="1109"/>
        <v>2466.3597652499993</v>
      </c>
      <c r="BE217" s="4455">
        <f t="shared" si="1109"/>
        <v>2466.3597652499993</v>
      </c>
      <c r="BF217" s="4455">
        <f t="shared" si="1140"/>
        <v>0</v>
      </c>
      <c r="BG217" s="4467">
        <f t="shared" si="1120"/>
        <v>717.66572000000008</v>
      </c>
      <c r="BH217" s="4467">
        <f t="shared" si="1141"/>
        <v>717.66572000000008</v>
      </c>
      <c r="BI217" s="4467">
        <f t="shared" si="1141"/>
        <v>0</v>
      </c>
      <c r="BJ217" s="4467">
        <f t="shared" si="1112"/>
        <v>-1748.6940452499994</v>
      </c>
      <c r="BK217" s="4467">
        <f t="shared" si="1112"/>
        <v>-1748.6940452499994</v>
      </c>
      <c r="BL217" s="4467">
        <f t="shared" si="1112"/>
        <v>0</v>
      </c>
      <c r="BM217" s="4465">
        <f t="shared" ref="BM217:CA217" si="1153">SUM(BM35+BM65+BM90+BM106)</f>
        <v>822.11992174999978</v>
      </c>
      <c r="BN217" s="4465">
        <f t="shared" si="1153"/>
        <v>822.11992174999978</v>
      </c>
      <c r="BO217" s="4465">
        <f t="shared" si="1153"/>
        <v>0</v>
      </c>
      <c r="BP217" s="4466">
        <f t="shared" si="1153"/>
        <v>0</v>
      </c>
      <c r="BQ217" s="4466">
        <f t="shared" si="1153"/>
        <v>0</v>
      </c>
      <c r="BR217" s="4466">
        <f t="shared" si="1153"/>
        <v>0</v>
      </c>
      <c r="BS217" s="4466">
        <f t="shared" si="1153"/>
        <v>0</v>
      </c>
      <c r="BT217" s="4466">
        <f t="shared" si="1153"/>
        <v>0</v>
      </c>
      <c r="BU217" s="4466">
        <f t="shared" si="1153"/>
        <v>0</v>
      </c>
      <c r="BV217" s="4466">
        <f t="shared" si="1153"/>
        <v>0</v>
      </c>
      <c r="BW217" s="4466">
        <f t="shared" si="1153"/>
        <v>0</v>
      </c>
      <c r="BX217" s="4466">
        <f t="shared" si="1153"/>
        <v>0</v>
      </c>
      <c r="BY217" s="4466">
        <f t="shared" si="1153"/>
        <v>0</v>
      </c>
      <c r="BZ217" s="4466">
        <f t="shared" si="1153"/>
        <v>0</v>
      </c>
      <c r="CA217" s="4466">
        <f t="shared" si="1153"/>
        <v>0</v>
      </c>
      <c r="CB217" s="4455">
        <f t="shared" si="1114"/>
        <v>3288.4796869999991</v>
      </c>
      <c r="CC217" s="4455">
        <f t="shared" si="1114"/>
        <v>3288.4796869999991</v>
      </c>
      <c r="CD217" s="4455">
        <f t="shared" si="1143"/>
        <v>0</v>
      </c>
      <c r="CE217" s="4467">
        <f t="shared" si="1121"/>
        <v>717.66572000000008</v>
      </c>
      <c r="CF217" s="4467">
        <f t="shared" si="1144"/>
        <v>717.66572000000008</v>
      </c>
      <c r="CG217" s="4467">
        <f t="shared" si="1144"/>
        <v>0</v>
      </c>
      <c r="CH217" s="4467">
        <f t="shared" si="1117"/>
        <v>-2570.8139669999991</v>
      </c>
      <c r="CI217" s="4467">
        <f t="shared" si="1117"/>
        <v>-2570.8139669999991</v>
      </c>
      <c r="CJ217" s="4467">
        <f t="shared" si="1117"/>
        <v>0</v>
      </c>
      <c r="CK217" s="389"/>
      <c r="CL217" s="5"/>
    </row>
    <row r="218" spans="1:90" ht="18.75" customHeight="1" x14ac:dyDescent="0.3">
      <c r="A218" s="4412" t="s">
        <v>634</v>
      </c>
      <c r="B218" s="4468">
        <f>SUM(B66)</f>
        <v>134.37899999999999</v>
      </c>
      <c r="C218" s="4468">
        <f t="shared" ref="C218:AE218" si="1154">SUM(C66)</f>
        <v>134.37899999999999</v>
      </c>
      <c r="D218" s="4468">
        <f t="shared" si="1154"/>
        <v>0</v>
      </c>
      <c r="E218" s="4469">
        <f t="shared" si="1154"/>
        <v>90.649000000000001</v>
      </c>
      <c r="F218" s="4469">
        <f t="shared" si="1154"/>
        <v>90.649000000000001</v>
      </c>
      <c r="G218" s="4469">
        <f t="shared" si="1154"/>
        <v>0</v>
      </c>
      <c r="H218" s="4469">
        <f t="shared" si="1154"/>
        <v>79.498000000000005</v>
      </c>
      <c r="I218" s="4469">
        <f t="shared" si="1154"/>
        <v>79.498000000000005</v>
      </c>
      <c r="J218" s="4469">
        <f t="shared" si="1154"/>
        <v>0</v>
      </c>
      <c r="K218" s="4469">
        <f t="shared" si="1154"/>
        <v>61.95</v>
      </c>
      <c r="L218" s="4469">
        <f t="shared" si="1154"/>
        <v>61.95</v>
      </c>
      <c r="M218" s="4469">
        <f t="shared" si="1154"/>
        <v>0</v>
      </c>
      <c r="N218" s="4469">
        <f t="shared" si="1154"/>
        <v>232.09699999999998</v>
      </c>
      <c r="O218" s="4469">
        <f t="shared" si="1154"/>
        <v>232.09699999999998</v>
      </c>
      <c r="P218" s="4469">
        <f t="shared" si="1154"/>
        <v>0</v>
      </c>
      <c r="Q218" s="4468">
        <f t="shared" si="1154"/>
        <v>134.37899999999999</v>
      </c>
      <c r="R218" s="4468">
        <f t="shared" si="1154"/>
        <v>134.37899999999999</v>
      </c>
      <c r="S218" s="4468">
        <f t="shared" si="1154"/>
        <v>0</v>
      </c>
      <c r="T218" s="4469">
        <f t="shared" si="1154"/>
        <v>56.69</v>
      </c>
      <c r="U218" s="4469">
        <f t="shared" si="1154"/>
        <v>56.69</v>
      </c>
      <c r="V218" s="4469">
        <f t="shared" si="1154"/>
        <v>0</v>
      </c>
      <c r="W218" s="4469">
        <f t="shared" si="1154"/>
        <v>30.893999999999998</v>
      </c>
      <c r="X218" s="4469">
        <f t="shared" si="1154"/>
        <v>30.893999999999998</v>
      </c>
      <c r="Y218" s="4469">
        <f t="shared" si="1154"/>
        <v>0</v>
      </c>
      <c r="Z218" s="4469">
        <f t="shared" si="1154"/>
        <v>0.76400000000000001</v>
      </c>
      <c r="AA218" s="4469">
        <f t="shared" si="1154"/>
        <v>0.76400000000000001</v>
      </c>
      <c r="AB218" s="4469">
        <f t="shared" si="1154"/>
        <v>0</v>
      </c>
      <c r="AC218" s="4469">
        <f t="shared" si="1154"/>
        <v>88.347999999999999</v>
      </c>
      <c r="AD218" s="4469">
        <f t="shared" si="1154"/>
        <v>88.347999999999999</v>
      </c>
      <c r="AE218" s="4469">
        <f t="shared" si="1154"/>
        <v>0</v>
      </c>
      <c r="AF218" s="4449">
        <f t="shared" si="1105"/>
        <v>268.75799999999998</v>
      </c>
      <c r="AG218" s="4449">
        <f t="shared" si="1105"/>
        <v>268.75799999999998</v>
      </c>
      <c r="AH218" s="4449">
        <f t="shared" si="1146"/>
        <v>0</v>
      </c>
      <c r="AI218" s="4464">
        <f t="shared" si="1118"/>
        <v>320.44499999999999</v>
      </c>
      <c r="AJ218" s="4464">
        <f t="shared" si="1119"/>
        <v>320.44499999999999</v>
      </c>
      <c r="AK218" s="4464">
        <f t="shared" si="1119"/>
        <v>0</v>
      </c>
      <c r="AL218" s="4470">
        <f t="shared" si="1107"/>
        <v>51.687000000000012</v>
      </c>
      <c r="AM218" s="4470">
        <f t="shared" si="1107"/>
        <v>51.687000000000012</v>
      </c>
      <c r="AN218" s="4470">
        <f t="shared" si="1107"/>
        <v>0</v>
      </c>
      <c r="AO218" s="4468">
        <f t="shared" ref="AO218:BC218" si="1155">SUM(AO66)</f>
        <v>134.37899999999999</v>
      </c>
      <c r="AP218" s="4468">
        <f t="shared" si="1155"/>
        <v>134.37899999999999</v>
      </c>
      <c r="AQ218" s="4468">
        <f t="shared" si="1155"/>
        <v>0</v>
      </c>
      <c r="AR218" s="4469">
        <f t="shared" si="1155"/>
        <v>0.76600000000000001</v>
      </c>
      <c r="AS218" s="4469">
        <f t="shared" si="1155"/>
        <v>0.76600000000000001</v>
      </c>
      <c r="AT218" s="4469">
        <f t="shared" si="1155"/>
        <v>0</v>
      </c>
      <c r="AU218" s="4469">
        <f t="shared" si="1155"/>
        <v>0</v>
      </c>
      <c r="AV218" s="4469">
        <f t="shared" si="1155"/>
        <v>0</v>
      </c>
      <c r="AW218" s="4469">
        <f t="shared" si="1155"/>
        <v>0</v>
      </c>
      <c r="AX218" s="4469">
        <f t="shared" si="1155"/>
        <v>0</v>
      </c>
      <c r="AY218" s="4469">
        <f t="shared" si="1155"/>
        <v>0</v>
      </c>
      <c r="AZ218" s="4469">
        <f t="shared" si="1155"/>
        <v>0</v>
      </c>
      <c r="BA218" s="4469">
        <f t="shared" si="1155"/>
        <v>0.76600000000000001</v>
      </c>
      <c r="BB218" s="4469">
        <f t="shared" si="1155"/>
        <v>0.76600000000000001</v>
      </c>
      <c r="BC218" s="4469">
        <f t="shared" si="1155"/>
        <v>0</v>
      </c>
      <c r="BD218" s="4449">
        <f t="shared" si="1109"/>
        <v>403.13699999999994</v>
      </c>
      <c r="BE218" s="4449">
        <f t="shared" si="1109"/>
        <v>403.13699999999994</v>
      </c>
      <c r="BF218" s="4449">
        <f t="shared" si="1140"/>
        <v>0</v>
      </c>
      <c r="BG218" s="4464">
        <f t="shared" si="1120"/>
        <v>321.21100000000001</v>
      </c>
      <c r="BH218" s="4464">
        <f t="shared" si="1141"/>
        <v>321.21100000000001</v>
      </c>
      <c r="BI218" s="4464">
        <f t="shared" si="1141"/>
        <v>0</v>
      </c>
      <c r="BJ218" s="4470">
        <f t="shared" si="1112"/>
        <v>-81.925999999999931</v>
      </c>
      <c r="BK218" s="4470">
        <f t="shared" si="1112"/>
        <v>-81.925999999999931</v>
      </c>
      <c r="BL218" s="4470">
        <f t="shared" si="1112"/>
        <v>0</v>
      </c>
      <c r="BM218" s="4468">
        <f t="shared" ref="BM218:CA218" si="1156">SUM(BM66)</f>
        <v>134.37899999999999</v>
      </c>
      <c r="BN218" s="4468">
        <f t="shared" si="1156"/>
        <v>134.37899999999999</v>
      </c>
      <c r="BO218" s="4468">
        <f t="shared" si="1156"/>
        <v>0</v>
      </c>
      <c r="BP218" s="4469">
        <f t="shared" si="1156"/>
        <v>0</v>
      </c>
      <c r="BQ218" s="4469">
        <f t="shared" si="1156"/>
        <v>0</v>
      </c>
      <c r="BR218" s="4469">
        <f t="shared" si="1156"/>
        <v>0</v>
      </c>
      <c r="BS218" s="4469">
        <f t="shared" si="1156"/>
        <v>0</v>
      </c>
      <c r="BT218" s="4469">
        <f t="shared" si="1156"/>
        <v>0</v>
      </c>
      <c r="BU218" s="4469">
        <f t="shared" si="1156"/>
        <v>0</v>
      </c>
      <c r="BV218" s="4469">
        <f t="shared" si="1156"/>
        <v>0</v>
      </c>
      <c r="BW218" s="4469">
        <f t="shared" si="1156"/>
        <v>0</v>
      </c>
      <c r="BX218" s="4469">
        <f t="shared" si="1156"/>
        <v>0</v>
      </c>
      <c r="BY218" s="4469">
        <f t="shared" si="1156"/>
        <v>0</v>
      </c>
      <c r="BZ218" s="4469">
        <f t="shared" si="1156"/>
        <v>0</v>
      </c>
      <c r="CA218" s="4469">
        <f t="shared" si="1156"/>
        <v>0</v>
      </c>
      <c r="CB218" s="4449">
        <f t="shared" si="1114"/>
        <v>537.51599999999996</v>
      </c>
      <c r="CC218" s="4449">
        <f t="shared" si="1114"/>
        <v>537.51599999999996</v>
      </c>
      <c r="CD218" s="4449">
        <f t="shared" si="1143"/>
        <v>0</v>
      </c>
      <c r="CE218" s="4464">
        <f t="shared" si="1121"/>
        <v>321.21100000000001</v>
      </c>
      <c r="CF218" s="4464">
        <f t="shared" si="1144"/>
        <v>321.21100000000001</v>
      </c>
      <c r="CG218" s="4464">
        <f t="shared" si="1144"/>
        <v>0</v>
      </c>
      <c r="CH218" s="4470">
        <f t="shared" si="1117"/>
        <v>-216.30499999999995</v>
      </c>
      <c r="CI218" s="4470">
        <f t="shared" si="1117"/>
        <v>-216.30499999999995</v>
      </c>
      <c r="CJ218" s="4470">
        <f t="shared" si="1117"/>
        <v>0</v>
      </c>
      <c r="CK218" s="389"/>
      <c r="CL218" s="5"/>
    </row>
    <row r="219" spans="1:90" ht="18.75" customHeight="1" x14ac:dyDescent="0.3">
      <c r="A219" s="4412" t="s">
        <v>546</v>
      </c>
      <c r="B219" s="4468">
        <f>SUM(B36+B67+B91+B107)</f>
        <v>462.57367174999996</v>
      </c>
      <c r="C219" s="4468">
        <f t="shared" ref="C219:AE219" si="1157">SUM(C36+C67+C91+C107)</f>
        <v>462.57367174999996</v>
      </c>
      <c r="D219" s="4468">
        <f t="shared" si="1157"/>
        <v>0</v>
      </c>
      <c r="E219" s="4469">
        <f t="shared" si="1157"/>
        <v>3.1159999999999997</v>
      </c>
      <c r="F219" s="4469">
        <f t="shared" si="1157"/>
        <v>3.1159999999999997</v>
      </c>
      <c r="G219" s="4469">
        <f t="shared" si="1157"/>
        <v>0</v>
      </c>
      <c r="H219" s="4469">
        <f t="shared" si="1157"/>
        <v>52.58182</v>
      </c>
      <c r="I219" s="4469">
        <f t="shared" si="1157"/>
        <v>52.58182</v>
      </c>
      <c r="J219" s="4469">
        <f t="shared" si="1157"/>
        <v>0</v>
      </c>
      <c r="K219" s="4469">
        <f t="shared" si="1157"/>
        <v>13.052</v>
      </c>
      <c r="L219" s="4469">
        <f t="shared" si="1157"/>
        <v>13.052</v>
      </c>
      <c r="M219" s="4469">
        <f t="shared" si="1157"/>
        <v>0</v>
      </c>
      <c r="N219" s="4469">
        <f t="shared" si="1157"/>
        <v>68.74982</v>
      </c>
      <c r="O219" s="4469">
        <f t="shared" si="1157"/>
        <v>68.74982</v>
      </c>
      <c r="P219" s="4469">
        <f t="shared" si="1157"/>
        <v>0</v>
      </c>
      <c r="Q219" s="4468">
        <f t="shared" si="1157"/>
        <v>462.57367174999996</v>
      </c>
      <c r="R219" s="4468">
        <f t="shared" si="1157"/>
        <v>462.57367174999996</v>
      </c>
      <c r="S219" s="4468">
        <f t="shared" si="1157"/>
        <v>0</v>
      </c>
      <c r="T219" s="4469">
        <f t="shared" si="1157"/>
        <v>11.596299999999999</v>
      </c>
      <c r="U219" s="4469">
        <f t="shared" si="1157"/>
        <v>11.596299999999999</v>
      </c>
      <c r="V219" s="4469">
        <f t="shared" si="1157"/>
        <v>0</v>
      </c>
      <c r="W219" s="4469">
        <f t="shared" si="1157"/>
        <v>32.641999999999996</v>
      </c>
      <c r="X219" s="4469">
        <f t="shared" si="1157"/>
        <v>32.641999999999996</v>
      </c>
      <c r="Y219" s="4469">
        <f t="shared" si="1157"/>
        <v>0</v>
      </c>
      <c r="Z219" s="4469">
        <f t="shared" si="1157"/>
        <v>41.794070000000005</v>
      </c>
      <c r="AA219" s="4469">
        <f t="shared" si="1157"/>
        <v>41.794070000000005</v>
      </c>
      <c r="AB219" s="4469">
        <f t="shared" si="1157"/>
        <v>0</v>
      </c>
      <c r="AC219" s="4469">
        <f t="shared" si="1157"/>
        <v>86.03237</v>
      </c>
      <c r="AD219" s="4469">
        <f t="shared" si="1157"/>
        <v>86.03237</v>
      </c>
      <c r="AE219" s="4469">
        <f t="shared" si="1157"/>
        <v>0</v>
      </c>
      <c r="AF219" s="4449">
        <f t="shared" si="1105"/>
        <v>925.14734349999992</v>
      </c>
      <c r="AG219" s="4449">
        <f t="shared" si="1105"/>
        <v>925.14734349999992</v>
      </c>
      <c r="AH219" s="4449">
        <f t="shared" si="1146"/>
        <v>0</v>
      </c>
      <c r="AI219" s="4464">
        <f t="shared" si="1118"/>
        <v>154.78219000000001</v>
      </c>
      <c r="AJ219" s="4464">
        <f t="shared" si="1119"/>
        <v>154.78219000000001</v>
      </c>
      <c r="AK219" s="4464">
        <f t="shared" si="1119"/>
        <v>0</v>
      </c>
      <c r="AL219" s="4470">
        <f t="shared" si="1107"/>
        <v>-770.36515349999991</v>
      </c>
      <c r="AM219" s="4470">
        <f t="shared" si="1107"/>
        <v>-770.36515349999991</v>
      </c>
      <c r="AN219" s="4470">
        <f t="shared" si="1107"/>
        <v>0</v>
      </c>
      <c r="AO219" s="4468">
        <f t="shared" ref="AO219:BC219" si="1158">SUM(AO36+AO67+AO91+AO107)</f>
        <v>462.57367174999996</v>
      </c>
      <c r="AP219" s="4468">
        <f t="shared" si="1158"/>
        <v>462.57367174999996</v>
      </c>
      <c r="AQ219" s="4468">
        <f t="shared" si="1158"/>
        <v>0</v>
      </c>
      <c r="AR219" s="4469">
        <f t="shared" si="1158"/>
        <v>15.59253</v>
      </c>
      <c r="AS219" s="4469">
        <f t="shared" si="1158"/>
        <v>15.59253</v>
      </c>
      <c r="AT219" s="4469">
        <f t="shared" si="1158"/>
        <v>0</v>
      </c>
      <c r="AU219" s="4469">
        <f t="shared" si="1158"/>
        <v>0</v>
      </c>
      <c r="AV219" s="4469">
        <f t="shared" si="1158"/>
        <v>0</v>
      </c>
      <c r="AW219" s="4469">
        <f t="shared" si="1158"/>
        <v>0</v>
      </c>
      <c r="AX219" s="4469">
        <f t="shared" si="1158"/>
        <v>0</v>
      </c>
      <c r="AY219" s="4469">
        <f t="shared" si="1158"/>
        <v>0</v>
      </c>
      <c r="AZ219" s="4469">
        <f t="shared" si="1158"/>
        <v>0</v>
      </c>
      <c r="BA219" s="4469">
        <f t="shared" si="1158"/>
        <v>15.59253</v>
      </c>
      <c r="BB219" s="4469">
        <f t="shared" si="1158"/>
        <v>15.59253</v>
      </c>
      <c r="BC219" s="4469">
        <f t="shared" si="1158"/>
        <v>0</v>
      </c>
      <c r="BD219" s="4449">
        <f t="shared" si="1109"/>
        <v>1387.7210152499999</v>
      </c>
      <c r="BE219" s="4449">
        <f t="shared" si="1109"/>
        <v>1387.7210152499999</v>
      </c>
      <c r="BF219" s="4449">
        <f t="shared" si="1140"/>
        <v>0</v>
      </c>
      <c r="BG219" s="4464">
        <f t="shared" si="1120"/>
        <v>170.37472000000002</v>
      </c>
      <c r="BH219" s="4464">
        <f t="shared" si="1141"/>
        <v>170.37472000000002</v>
      </c>
      <c r="BI219" s="4464">
        <f t="shared" si="1141"/>
        <v>0</v>
      </c>
      <c r="BJ219" s="4470">
        <f t="shared" si="1112"/>
        <v>-1217.3462952499999</v>
      </c>
      <c r="BK219" s="4470">
        <f t="shared" si="1112"/>
        <v>-1217.3462952499999</v>
      </c>
      <c r="BL219" s="4470">
        <f t="shared" si="1112"/>
        <v>0</v>
      </c>
      <c r="BM219" s="4468">
        <f t="shared" ref="BM219:CA219" si="1159">SUM(BM36+BM67+BM91+BM107)</f>
        <v>462.57367174999996</v>
      </c>
      <c r="BN219" s="4468">
        <f t="shared" si="1159"/>
        <v>462.57367174999996</v>
      </c>
      <c r="BO219" s="4468">
        <f t="shared" si="1159"/>
        <v>0</v>
      </c>
      <c r="BP219" s="4469">
        <f t="shared" si="1159"/>
        <v>0</v>
      </c>
      <c r="BQ219" s="4469">
        <f t="shared" si="1159"/>
        <v>0</v>
      </c>
      <c r="BR219" s="4469">
        <f t="shared" si="1159"/>
        <v>0</v>
      </c>
      <c r="BS219" s="4469">
        <f t="shared" si="1159"/>
        <v>0</v>
      </c>
      <c r="BT219" s="4469">
        <f t="shared" si="1159"/>
        <v>0</v>
      </c>
      <c r="BU219" s="4469">
        <f t="shared" si="1159"/>
        <v>0</v>
      </c>
      <c r="BV219" s="4469">
        <f t="shared" si="1159"/>
        <v>0</v>
      </c>
      <c r="BW219" s="4469">
        <f t="shared" si="1159"/>
        <v>0</v>
      </c>
      <c r="BX219" s="4469">
        <f t="shared" si="1159"/>
        <v>0</v>
      </c>
      <c r="BY219" s="4469">
        <f t="shared" si="1159"/>
        <v>0</v>
      </c>
      <c r="BZ219" s="4469">
        <f t="shared" si="1159"/>
        <v>0</v>
      </c>
      <c r="CA219" s="4469">
        <f t="shared" si="1159"/>
        <v>0</v>
      </c>
      <c r="CB219" s="4449">
        <f t="shared" si="1114"/>
        <v>1850.2946869999998</v>
      </c>
      <c r="CC219" s="4449">
        <f t="shared" si="1114"/>
        <v>1850.2946869999998</v>
      </c>
      <c r="CD219" s="4449">
        <f t="shared" si="1143"/>
        <v>0</v>
      </c>
      <c r="CE219" s="4464">
        <f t="shared" si="1121"/>
        <v>170.37472000000002</v>
      </c>
      <c r="CF219" s="4464">
        <f t="shared" si="1144"/>
        <v>170.37472000000002</v>
      </c>
      <c r="CG219" s="4464">
        <f t="shared" si="1144"/>
        <v>0</v>
      </c>
      <c r="CH219" s="4470">
        <f t="shared" si="1117"/>
        <v>-1679.9199669999998</v>
      </c>
      <c r="CI219" s="4470">
        <f t="shared" si="1117"/>
        <v>-1679.9199669999998</v>
      </c>
      <c r="CJ219" s="4470">
        <f t="shared" si="1117"/>
        <v>0</v>
      </c>
      <c r="CK219" s="389"/>
      <c r="CL219" s="5"/>
    </row>
    <row r="220" spans="1:90" ht="18.75" customHeight="1" x14ac:dyDescent="0.3">
      <c r="A220" s="4412" t="s">
        <v>545</v>
      </c>
      <c r="B220" s="4468">
        <f>SUM(B68)</f>
        <v>0</v>
      </c>
      <c r="C220" s="4468">
        <f t="shared" ref="C220:AE220" si="1160">SUM(C68)</f>
        <v>0</v>
      </c>
      <c r="D220" s="4468">
        <f t="shared" si="1160"/>
        <v>0</v>
      </c>
      <c r="E220" s="4469">
        <f t="shared" si="1160"/>
        <v>0</v>
      </c>
      <c r="F220" s="4469">
        <f t="shared" si="1160"/>
        <v>0</v>
      </c>
      <c r="G220" s="4469">
        <f t="shared" si="1160"/>
        <v>0</v>
      </c>
      <c r="H220" s="4469">
        <f t="shared" si="1160"/>
        <v>0</v>
      </c>
      <c r="I220" s="4469">
        <f t="shared" si="1160"/>
        <v>0</v>
      </c>
      <c r="J220" s="4469">
        <f t="shared" si="1160"/>
        <v>0</v>
      </c>
      <c r="K220" s="4469">
        <f t="shared" si="1160"/>
        <v>0</v>
      </c>
      <c r="L220" s="4469">
        <f t="shared" si="1160"/>
        <v>0</v>
      </c>
      <c r="M220" s="4469">
        <f t="shared" si="1160"/>
        <v>0</v>
      </c>
      <c r="N220" s="4469">
        <f t="shared" si="1160"/>
        <v>0</v>
      </c>
      <c r="O220" s="4469">
        <f t="shared" si="1160"/>
        <v>0</v>
      </c>
      <c r="P220" s="4469">
        <f t="shared" si="1160"/>
        <v>0</v>
      </c>
      <c r="Q220" s="4468">
        <f t="shared" si="1160"/>
        <v>0</v>
      </c>
      <c r="R220" s="4468">
        <f t="shared" si="1160"/>
        <v>0</v>
      </c>
      <c r="S220" s="4468">
        <f t="shared" si="1160"/>
        <v>0</v>
      </c>
      <c r="T220" s="4469">
        <f t="shared" si="1160"/>
        <v>0</v>
      </c>
      <c r="U220" s="4469">
        <f t="shared" si="1160"/>
        <v>0</v>
      </c>
      <c r="V220" s="4469">
        <f t="shared" si="1160"/>
        <v>0</v>
      </c>
      <c r="W220" s="4469">
        <f t="shared" si="1160"/>
        <v>0</v>
      </c>
      <c r="X220" s="4469">
        <f t="shared" si="1160"/>
        <v>0</v>
      </c>
      <c r="Y220" s="4469">
        <f t="shared" si="1160"/>
        <v>0</v>
      </c>
      <c r="Z220" s="4469">
        <f t="shared" si="1160"/>
        <v>0</v>
      </c>
      <c r="AA220" s="4469">
        <f t="shared" si="1160"/>
        <v>0</v>
      </c>
      <c r="AB220" s="4469">
        <f t="shared" si="1160"/>
        <v>0</v>
      </c>
      <c r="AC220" s="4469">
        <f t="shared" si="1160"/>
        <v>0</v>
      </c>
      <c r="AD220" s="4469">
        <f t="shared" si="1160"/>
        <v>0</v>
      </c>
      <c r="AE220" s="4469">
        <f t="shared" si="1160"/>
        <v>0</v>
      </c>
      <c r="AF220" s="4449">
        <f t="shared" si="1105"/>
        <v>0</v>
      </c>
      <c r="AG220" s="4449">
        <f t="shared" si="1105"/>
        <v>0</v>
      </c>
      <c r="AH220" s="4449">
        <f t="shared" si="1146"/>
        <v>0</v>
      </c>
      <c r="AI220" s="4464">
        <f t="shared" si="1118"/>
        <v>0</v>
      </c>
      <c r="AJ220" s="4464">
        <f t="shared" si="1119"/>
        <v>0</v>
      </c>
      <c r="AK220" s="4464">
        <f t="shared" si="1119"/>
        <v>0</v>
      </c>
      <c r="AL220" s="4470">
        <f t="shared" si="1107"/>
        <v>0</v>
      </c>
      <c r="AM220" s="4470">
        <f t="shared" si="1107"/>
        <v>0</v>
      </c>
      <c r="AN220" s="4470">
        <f t="shared" si="1107"/>
        <v>0</v>
      </c>
      <c r="AO220" s="4468">
        <f t="shared" ref="AO220:BC220" si="1161">SUM(AO68)</f>
        <v>0</v>
      </c>
      <c r="AP220" s="4468">
        <f t="shared" si="1161"/>
        <v>0</v>
      </c>
      <c r="AQ220" s="4468">
        <f t="shared" si="1161"/>
        <v>0</v>
      </c>
      <c r="AR220" s="4469">
        <f t="shared" si="1161"/>
        <v>0</v>
      </c>
      <c r="AS220" s="4469">
        <f t="shared" si="1161"/>
        <v>0</v>
      </c>
      <c r="AT220" s="4469">
        <f t="shared" si="1161"/>
        <v>0</v>
      </c>
      <c r="AU220" s="4469">
        <f t="shared" si="1161"/>
        <v>0</v>
      </c>
      <c r="AV220" s="4469">
        <f t="shared" si="1161"/>
        <v>0</v>
      </c>
      <c r="AW220" s="4469">
        <f t="shared" si="1161"/>
        <v>0</v>
      </c>
      <c r="AX220" s="4469">
        <f t="shared" si="1161"/>
        <v>0</v>
      </c>
      <c r="AY220" s="4469">
        <f t="shared" si="1161"/>
        <v>0</v>
      </c>
      <c r="AZ220" s="4469">
        <f t="shared" si="1161"/>
        <v>0</v>
      </c>
      <c r="BA220" s="4469">
        <f t="shared" si="1161"/>
        <v>0</v>
      </c>
      <c r="BB220" s="4469">
        <f t="shared" si="1161"/>
        <v>0</v>
      </c>
      <c r="BC220" s="4469">
        <f t="shared" si="1161"/>
        <v>0</v>
      </c>
      <c r="BD220" s="4449">
        <f t="shared" si="1109"/>
        <v>0</v>
      </c>
      <c r="BE220" s="4449">
        <f t="shared" si="1109"/>
        <v>0</v>
      </c>
      <c r="BF220" s="4449">
        <f t="shared" si="1140"/>
        <v>0</v>
      </c>
      <c r="BG220" s="4464">
        <f t="shared" si="1120"/>
        <v>0</v>
      </c>
      <c r="BH220" s="4464">
        <f t="shared" si="1141"/>
        <v>0</v>
      </c>
      <c r="BI220" s="4464">
        <f t="shared" si="1141"/>
        <v>0</v>
      </c>
      <c r="BJ220" s="4470">
        <f t="shared" si="1112"/>
        <v>0</v>
      </c>
      <c r="BK220" s="4470">
        <f t="shared" si="1112"/>
        <v>0</v>
      </c>
      <c r="BL220" s="4470">
        <f t="shared" si="1112"/>
        <v>0</v>
      </c>
      <c r="BM220" s="4468">
        <f t="shared" ref="BM220:CA220" si="1162">SUM(BM68)</f>
        <v>0</v>
      </c>
      <c r="BN220" s="4468">
        <f t="shared" si="1162"/>
        <v>0</v>
      </c>
      <c r="BO220" s="4468">
        <f t="shared" si="1162"/>
        <v>0</v>
      </c>
      <c r="BP220" s="4469">
        <f t="shared" si="1162"/>
        <v>0</v>
      </c>
      <c r="BQ220" s="4469">
        <f t="shared" si="1162"/>
        <v>0</v>
      </c>
      <c r="BR220" s="4469">
        <f t="shared" si="1162"/>
        <v>0</v>
      </c>
      <c r="BS220" s="4469">
        <f t="shared" si="1162"/>
        <v>0</v>
      </c>
      <c r="BT220" s="4469">
        <f t="shared" si="1162"/>
        <v>0</v>
      </c>
      <c r="BU220" s="4469">
        <f t="shared" si="1162"/>
        <v>0</v>
      </c>
      <c r="BV220" s="4469">
        <f t="shared" si="1162"/>
        <v>0</v>
      </c>
      <c r="BW220" s="4469">
        <f t="shared" si="1162"/>
        <v>0</v>
      </c>
      <c r="BX220" s="4469">
        <f t="shared" si="1162"/>
        <v>0</v>
      </c>
      <c r="BY220" s="4469">
        <f t="shared" si="1162"/>
        <v>0</v>
      </c>
      <c r="BZ220" s="4469">
        <f t="shared" si="1162"/>
        <v>0</v>
      </c>
      <c r="CA220" s="4469">
        <f t="shared" si="1162"/>
        <v>0</v>
      </c>
      <c r="CB220" s="4449">
        <f t="shared" si="1114"/>
        <v>0</v>
      </c>
      <c r="CC220" s="4449">
        <f t="shared" si="1114"/>
        <v>0</v>
      </c>
      <c r="CD220" s="4449">
        <f t="shared" si="1143"/>
        <v>0</v>
      </c>
      <c r="CE220" s="4464">
        <f t="shared" si="1121"/>
        <v>0</v>
      </c>
      <c r="CF220" s="4464">
        <f t="shared" si="1144"/>
        <v>0</v>
      </c>
      <c r="CG220" s="4464">
        <f t="shared" si="1144"/>
        <v>0</v>
      </c>
      <c r="CH220" s="4470">
        <f t="shared" si="1117"/>
        <v>0</v>
      </c>
      <c r="CI220" s="4470">
        <f t="shared" si="1117"/>
        <v>0</v>
      </c>
      <c r="CJ220" s="4470">
        <f t="shared" si="1117"/>
        <v>0</v>
      </c>
      <c r="CK220" s="389"/>
      <c r="CL220" s="5"/>
    </row>
    <row r="221" spans="1:90" ht="18.75" customHeight="1" x14ac:dyDescent="0.3">
      <c r="A221" s="4412" t="s">
        <v>547</v>
      </c>
      <c r="B221" s="4468">
        <f>SUM(B37+B69)</f>
        <v>225.16725</v>
      </c>
      <c r="C221" s="4468">
        <f t="shared" ref="C221:AE221" si="1163">SUM(C37+C69)</f>
        <v>225.16725</v>
      </c>
      <c r="D221" s="4468">
        <f t="shared" si="1163"/>
        <v>0</v>
      </c>
      <c r="E221" s="4469">
        <f t="shared" si="1163"/>
        <v>10.72</v>
      </c>
      <c r="F221" s="4469">
        <f t="shared" si="1163"/>
        <v>10.72</v>
      </c>
      <c r="G221" s="4469">
        <f t="shared" si="1163"/>
        <v>0</v>
      </c>
      <c r="H221" s="4469">
        <f t="shared" si="1163"/>
        <v>85.72</v>
      </c>
      <c r="I221" s="4469">
        <f t="shared" si="1163"/>
        <v>85.72</v>
      </c>
      <c r="J221" s="4469">
        <f t="shared" si="1163"/>
        <v>0</v>
      </c>
      <c r="K221" s="4469">
        <f t="shared" si="1163"/>
        <v>53.08</v>
      </c>
      <c r="L221" s="4469">
        <f t="shared" si="1163"/>
        <v>53.08</v>
      </c>
      <c r="M221" s="4469">
        <f t="shared" si="1163"/>
        <v>0</v>
      </c>
      <c r="N221" s="4469">
        <f t="shared" si="1163"/>
        <v>149.51999999999998</v>
      </c>
      <c r="O221" s="4469">
        <f t="shared" si="1163"/>
        <v>149.51999999999998</v>
      </c>
      <c r="P221" s="4469">
        <f t="shared" si="1163"/>
        <v>0</v>
      </c>
      <c r="Q221" s="4468">
        <f t="shared" si="1163"/>
        <v>225.16725</v>
      </c>
      <c r="R221" s="4468">
        <f t="shared" si="1163"/>
        <v>225.16725</v>
      </c>
      <c r="S221" s="4468">
        <f t="shared" si="1163"/>
        <v>0</v>
      </c>
      <c r="T221" s="4469">
        <f t="shared" si="1163"/>
        <v>55.6</v>
      </c>
      <c r="U221" s="4469">
        <f t="shared" si="1163"/>
        <v>55.6</v>
      </c>
      <c r="V221" s="4469">
        <f t="shared" si="1163"/>
        <v>0</v>
      </c>
      <c r="W221" s="4469">
        <f t="shared" si="1163"/>
        <v>4.5999999999999996</v>
      </c>
      <c r="X221" s="4469">
        <f t="shared" si="1163"/>
        <v>4.5999999999999996</v>
      </c>
      <c r="Y221" s="4469">
        <f t="shared" si="1163"/>
        <v>0</v>
      </c>
      <c r="Z221" s="4469">
        <f t="shared" si="1163"/>
        <v>10.4</v>
      </c>
      <c r="AA221" s="4469">
        <f t="shared" si="1163"/>
        <v>10.4</v>
      </c>
      <c r="AB221" s="4469">
        <f t="shared" si="1163"/>
        <v>0</v>
      </c>
      <c r="AC221" s="4469">
        <f t="shared" si="1163"/>
        <v>70.600000000000009</v>
      </c>
      <c r="AD221" s="4469">
        <f t="shared" si="1163"/>
        <v>70.600000000000009</v>
      </c>
      <c r="AE221" s="4469">
        <f t="shared" si="1163"/>
        <v>0</v>
      </c>
      <c r="AF221" s="4449">
        <f t="shared" si="1105"/>
        <v>450.33449999999999</v>
      </c>
      <c r="AG221" s="4449">
        <f t="shared" si="1105"/>
        <v>450.33449999999999</v>
      </c>
      <c r="AH221" s="4449">
        <f t="shared" si="1146"/>
        <v>0</v>
      </c>
      <c r="AI221" s="4464">
        <f t="shared" si="1118"/>
        <v>220.12</v>
      </c>
      <c r="AJ221" s="4464">
        <f t="shared" si="1119"/>
        <v>220.12</v>
      </c>
      <c r="AK221" s="4464">
        <f t="shared" si="1119"/>
        <v>0</v>
      </c>
      <c r="AL221" s="4470">
        <f t="shared" si="1107"/>
        <v>-230.21449999999999</v>
      </c>
      <c r="AM221" s="4470">
        <f t="shared" si="1107"/>
        <v>-230.21449999999999</v>
      </c>
      <c r="AN221" s="4470">
        <f t="shared" si="1107"/>
        <v>0</v>
      </c>
      <c r="AO221" s="4468">
        <f t="shared" ref="AO221:BC221" si="1164">SUM(AO37+AO69)</f>
        <v>225.16725</v>
      </c>
      <c r="AP221" s="4468">
        <f t="shared" si="1164"/>
        <v>225.16725</v>
      </c>
      <c r="AQ221" s="4468">
        <f t="shared" si="1164"/>
        <v>0</v>
      </c>
      <c r="AR221" s="4469">
        <f t="shared" si="1164"/>
        <v>5.96</v>
      </c>
      <c r="AS221" s="4469">
        <f t="shared" si="1164"/>
        <v>5.96</v>
      </c>
      <c r="AT221" s="4469">
        <f t="shared" si="1164"/>
        <v>0</v>
      </c>
      <c r="AU221" s="4469">
        <f t="shared" si="1164"/>
        <v>0</v>
      </c>
      <c r="AV221" s="4469">
        <f t="shared" si="1164"/>
        <v>0</v>
      </c>
      <c r="AW221" s="4469">
        <f t="shared" si="1164"/>
        <v>0</v>
      </c>
      <c r="AX221" s="4469">
        <f t="shared" si="1164"/>
        <v>0</v>
      </c>
      <c r="AY221" s="4469">
        <f t="shared" si="1164"/>
        <v>0</v>
      </c>
      <c r="AZ221" s="4469">
        <f t="shared" si="1164"/>
        <v>0</v>
      </c>
      <c r="BA221" s="4469">
        <f t="shared" si="1164"/>
        <v>5.96</v>
      </c>
      <c r="BB221" s="4469">
        <f t="shared" si="1164"/>
        <v>5.96</v>
      </c>
      <c r="BC221" s="4469">
        <f t="shared" si="1164"/>
        <v>0</v>
      </c>
      <c r="BD221" s="4449">
        <f t="shared" si="1109"/>
        <v>675.50175000000002</v>
      </c>
      <c r="BE221" s="4449">
        <f t="shared" si="1109"/>
        <v>675.50175000000002</v>
      </c>
      <c r="BF221" s="4449">
        <f t="shared" si="1140"/>
        <v>0</v>
      </c>
      <c r="BG221" s="4464">
        <f t="shared" si="1120"/>
        <v>226.08</v>
      </c>
      <c r="BH221" s="4464">
        <f t="shared" si="1141"/>
        <v>226.08</v>
      </c>
      <c r="BI221" s="4464">
        <f t="shared" si="1141"/>
        <v>0</v>
      </c>
      <c r="BJ221" s="4470">
        <f t="shared" si="1112"/>
        <v>-449.42174999999997</v>
      </c>
      <c r="BK221" s="4470">
        <f t="shared" si="1112"/>
        <v>-449.42174999999997</v>
      </c>
      <c r="BL221" s="4470">
        <f t="shared" si="1112"/>
        <v>0</v>
      </c>
      <c r="BM221" s="4468">
        <f t="shared" ref="BM221:CA221" si="1165">SUM(BM37+BM69)</f>
        <v>225.16725</v>
      </c>
      <c r="BN221" s="4468">
        <f t="shared" si="1165"/>
        <v>225.16725</v>
      </c>
      <c r="BO221" s="4468">
        <f t="shared" si="1165"/>
        <v>0</v>
      </c>
      <c r="BP221" s="4469">
        <f t="shared" si="1165"/>
        <v>0</v>
      </c>
      <c r="BQ221" s="4469">
        <f t="shared" si="1165"/>
        <v>0</v>
      </c>
      <c r="BR221" s="4469">
        <f t="shared" si="1165"/>
        <v>0</v>
      </c>
      <c r="BS221" s="4469">
        <f t="shared" si="1165"/>
        <v>0</v>
      </c>
      <c r="BT221" s="4469">
        <f t="shared" si="1165"/>
        <v>0</v>
      </c>
      <c r="BU221" s="4469">
        <f t="shared" si="1165"/>
        <v>0</v>
      </c>
      <c r="BV221" s="4469">
        <f t="shared" si="1165"/>
        <v>0</v>
      </c>
      <c r="BW221" s="4469">
        <f t="shared" si="1165"/>
        <v>0</v>
      </c>
      <c r="BX221" s="4469">
        <f t="shared" si="1165"/>
        <v>0</v>
      </c>
      <c r="BY221" s="4469">
        <f t="shared" si="1165"/>
        <v>0</v>
      </c>
      <c r="BZ221" s="4469">
        <f t="shared" si="1165"/>
        <v>0</v>
      </c>
      <c r="CA221" s="4469">
        <f t="shared" si="1165"/>
        <v>0</v>
      </c>
      <c r="CB221" s="4449">
        <f t="shared" si="1114"/>
        <v>900.66899999999998</v>
      </c>
      <c r="CC221" s="4449">
        <f t="shared" si="1114"/>
        <v>900.66899999999998</v>
      </c>
      <c r="CD221" s="4449">
        <f t="shared" si="1143"/>
        <v>0</v>
      </c>
      <c r="CE221" s="4464">
        <f t="shared" si="1121"/>
        <v>226.08</v>
      </c>
      <c r="CF221" s="4464">
        <f t="shared" si="1144"/>
        <v>226.08</v>
      </c>
      <c r="CG221" s="4464">
        <f t="shared" si="1144"/>
        <v>0</v>
      </c>
      <c r="CH221" s="4470">
        <f t="shared" si="1117"/>
        <v>-674.58899999999994</v>
      </c>
      <c r="CI221" s="4470">
        <f t="shared" si="1117"/>
        <v>-674.58899999999994</v>
      </c>
      <c r="CJ221" s="4470">
        <f t="shared" si="1117"/>
        <v>0</v>
      </c>
      <c r="CK221" s="389"/>
      <c r="CL221" s="5"/>
    </row>
    <row r="222" spans="1:90" ht="18.75" customHeight="1" x14ac:dyDescent="0.3">
      <c r="A222" s="4418" t="s">
        <v>592</v>
      </c>
      <c r="B222" s="4465">
        <f>SUM(B38+B70+B92+B108)</f>
        <v>593.11924999999997</v>
      </c>
      <c r="C222" s="4465">
        <f t="shared" ref="C222:AE222" si="1166">SUM(C38+C70+C92+C108)</f>
        <v>593.11924999999997</v>
      </c>
      <c r="D222" s="4465">
        <f t="shared" si="1166"/>
        <v>0</v>
      </c>
      <c r="E222" s="4471">
        <f t="shared" si="1166"/>
        <v>34.643000000000001</v>
      </c>
      <c r="F222" s="4471">
        <f t="shared" si="1166"/>
        <v>34.643000000000001</v>
      </c>
      <c r="G222" s="4471">
        <f t="shared" si="1166"/>
        <v>0</v>
      </c>
      <c r="H222" s="4471">
        <f t="shared" si="1166"/>
        <v>36.572000000000003</v>
      </c>
      <c r="I222" s="4471">
        <f t="shared" si="1166"/>
        <v>36.572000000000003</v>
      </c>
      <c r="J222" s="4471">
        <f t="shared" si="1166"/>
        <v>0</v>
      </c>
      <c r="K222" s="4471">
        <f t="shared" si="1166"/>
        <v>27.47</v>
      </c>
      <c r="L222" s="4471">
        <f t="shared" si="1166"/>
        <v>27.47</v>
      </c>
      <c r="M222" s="4471">
        <f t="shared" si="1166"/>
        <v>0</v>
      </c>
      <c r="N222" s="4471">
        <f t="shared" si="1166"/>
        <v>98.685000000000002</v>
      </c>
      <c r="O222" s="4471">
        <f t="shared" si="1166"/>
        <v>98.685000000000002</v>
      </c>
      <c r="P222" s="4471">
        <f t="shared" si="1166"/>
        <v>0</v>
      </c>
      <c r="Q222" s="4465">
        <f t="shared" si="1166"/>
        <v>593.11924999999997</v>
      </c>
      <c r="R222" s="4465">
        <f t="shared" si="1166"/>
        <v>593.11924999999997</v>
      </c>
      <c r="S222" s="4465">
        <f t="shared" si="1166"/>
        <v>0</v>
      </c>
      <c r="T222" s="4471">
        <f t="shared" si="1166"/>
        <v>50.23</v>
      </c>
      <c r="U222" s="4471">
        <f t="shared" si="1166"/>
        <v>50.23</v>
      </c>
      <c r="V222" s="4471">
        <f t="shared" si="1166"/>
        <v>0</v>
      </c>
      <c r="W222" s="4471">
        <f t="shared" si="1166"/>
        <v>76.510999999999996</v>
      </c>
      <c r="X222" s="4471">
        <f t="shared" si="1166"/>
        <v>76.510999999999996</v>
      </c>
      <c r="Y222" s="4471">
        <f t="shared" si="1166"/>
        <v>0</v>
      </c>
      <c r="Z222" s="4471">
        <f t="shared" si="1166"/>
        <v>101.8909</v>
      </c>
      <c r="AA222" s="4471">
        <f t="shared" si="1166"/>
        <v>101.8909</v>
      </c>
      <c r="AB222" s="4471">
        <f t="shared" si="1166"/>
        <v>0</v>
      </c>
      <c r="AC222" s="4471">
        <f t="shared" si="1166"/>
        <v>228.63189999999997</v>
      </c>
      <c r="AD222" s="4471">
        <f t="shared" si="1166"/>
        <v>228.63189999999997</v>
      </c>
      <c r="AE222" s="4471">
        <f t="shared" si="1166"/>
        <v>0</v>
      </c>
      <c r="AF222" s="4455">
        <f t="shared" si="1105"/>
        <v>1186.2384999999999</v>
      </c>
      <c r="AG222" s="4455">
        <f t="shared" si="1105"/>
        <v>1186.2384999999999</v>
      </c>
      <c r="AH222" s="4455">
        <f t="shared" si="1146"/>
        <v>0</v>
      </c>
      <c r="AI222" s="4467">
        <f t="shared" si="1118"/>
        <v>327.31689999999998</v>
      </c>
      <c r="AJ222" s="4467">
        <f t="shared" si="1119"/>
        <v>327.31689999999998</v>
      </c>
      <c r="AK222" s="4467">
        <f t="shared" si="1119"/>
        <v>0</v>
      </c>
      <c r="AL222" s="4467">
        <f t="shared" si="1107"/>
        <v>-858.9215999999999</v>
      </c>
      <c r="AM222" s="4467">
        <f t="shared" si="1107"/>
        <v>-858.9215999999999</v>
      </c>
      <c r="AN222" s="4467">
        <f t="shared" si="1107"/>
        <v>0</v>
      </c>
      <c r="AO222" s="4465">
        <f t="shared" ref="AO222:BC222" si="1167">SUM(AO38+AO70+AO92+AO108)</f>
        <v>593.11924999999997</v>
      </c>
      <c r="AP222" s="4465">
        <f t="shared" si="1167"/>
        <v>593.11924999999997</v>
      </c>
      <c r="AQ222" s="4465">
        <f t="shared" si="1167"/>
        <v>0</v>
      </c>
      <c r="AR222" s="4471">
        <f t="shared" si="1167"/>
        <v>192.88499999999999</v>
      </c>
      <c r="AS222" s="4471">
        <f t="shared" si="1167"/>
        <v>192.88499999999999</v>
      </c>
      <c r="AT222" s="4471">
        <f t="shared" si="1167"/>
        <v>0</v>
      </c>
      <c r="AU222" s="4471">
        <f t="shared" si="1167"/>
        <v>0</v>
      </c>
      <c r="AV222" s="4471">
        <f t="shared" si="1167"/>
        <v>0</v>
      </c>
      <c r="AW222" s="4471">
        <f t="shared" si="1167"/>
        <v>0</v>
      </c>
      <c r="AX222" s="4471">
        <f t="shared" si="1167"/>
        <v>0</v>
      </c>
      <c r="AY222" s="4471">
        <f t="shared" si="1167"/>
        <v>0</v>
      </c>
      <c r="AZ222" s="4471">
        <f t="shared" si="1167"/>
        <v>0</v>
      </c>
      <c r="BA222" s="4471">
        <f t="shared" si="1167"/>
        <v>192.88499999999999</v>
      </c>
      <c r="BB222" s="4471">
        <f t="shared" si="1167"/>
        <v>192.88499999999999</v>
      </c>
      <c r="BC222" s="4471">
        <f t="shared" si="1167"/>
        <v>0</v>
      </c>
      <c r="BD222" s="4455">
        <f t="shared" si="1109"/>
        <v>1779.3577499999999</v>
      </c>
      <c r="BE222" s="4455">
        <f t="shared" si="1109"/>
        <v>1779.3577499999999</v>
      </c>
      <c r="BF222" s="4455">
        <f t="shared" si="1140"/>
        <v>0</v>
      </c>
      <c r="BG222" s="4467">
        <f t="shared" si="1120"/>
        <v>520.20190000000002</v>
      </c>
      <c r="BH222" s="4467">
        <f t="shared" si="1141"/>
        <v>520.20190000000002</v>
      </c>
      <c r="BI222" s="4467">
        <f t="shared" si="1141"/>
        <v>0</v>
      </c>
      <c r="BJ222" s="4467">
        <f t="shared" si="1112"/>
        <v>-1259.1558499999999</v>
      </c>
      <c r="BK222" s="4467">
        <f t="shared" si="1112"/>
        <v>-1259.1558499999999</v>
      </c>
      <c r="BL222" s="4467">
        <f t="shared" si="1112"/>
        <v>0</v>
      </c>
      <c r="BM222" s="4465">
        <f t="shared" ref="BM222:CA222" si="1168">SUM(BM38+BM70+BM92+BM108)</f>
        <v>593.11924999999997</v>
      </c>
      <c r="BN222" s="4465">
        <f t="shared" si="1168"/>
        <v>593.11924999999997</v>
      </c>
      <c r="BO222" s="4465">
        <f t="shared" si="1168"/>
        <v>0</v>
      </c>
      <c r="BP222" s="4471">
        <f t="shared" si="1168"/>
        <v>0</v>
      </c>
      <c r="BQ222" s="4471">
        <f t="shared" si="1168"/>
        <v>0</v>
      </c>
      <c r="BR222" s="4471">
        <f t="shared" si="1168"/>
        <v>0</v>
      </c>
      <c r="BS222" s="4471">
        <f t="shared" si="1168"/>
        <v>0</v>
      </c>
      <c r="BT222" s="4471">
        <f t="shared" si="1168"/>
        <v>0</v>
      </c>
      <c r="BU222" s="4471">
        <f t="shared" si="1168"/>
        <v>0</v>
      </c>
      <c r="BV222" s="4471">
        <f t="shared" si="1168"/>
        <v>0</v>
      </c>
      <c r="BW222" s="4471">
        <f t="shared" si="1168"/>
        <v>0</v>
      </c>
      <c r="BX222" s="4471">
        <f t="shared" si="1168"/>
        <v>0</v>
      </c>
      <c r="BY222" s="4471">
        <f t="shared" si="1168"/>
        <v>0</v>
      </c>
      <c r="BZ222" s="4471">
        <f t="shared" si="1168"/>
        <v>0</v>
      </c>
      <c r="CA222" s="4471">
        <f t="shared" si="1168"/>
        <v>0</v>
      </c>
      <c r="CB222" s="4455">
        <f t="shared" si="1114"/>
        <v>2372.4769999999999</v>
      </c>
      <c r="CC222" s="4455">
        <f t="shared" si="1114"/>
        <v>2372.4769999999999</v>
      </c>
      <c r="CD222" s="4455">
        <f t="shared" si="1143"/>
        <v>0</v>
      </c>
      <c r="CE222" s="4467">
        <f t="shared" si="1121"/>
        <v>520.20190000000002</v>
      </c>
      <c r="CF222" s="4467">
        <f t="shared" si="1144"/>
        <v>520.20190000000002</v>
      </c>
      <c r="CG222" s="4467">
        <f t="shared" si="1144"/>
        <v>0</v>
      </c>
      <c r="CH222" s="4467">
        <f t="shared" si="1117"/>
        <v>-1852.2750999999998</v>
      </c>
      <c r="CI222" s="4467">
        <f t="shared" si="1117"/>
        <v>-1852.2750999999998</v>
      </c>
      <c r="CJ222" s="4467">
        <f t="shared" si="1117"/>
        <v>0</v>
      </c>
      <c r="CK222" s="389"/>
      <c r="CL222" s="5"/>
    </row>
    <row r="223" spans="1:90" ht="18.75" customHeight="1" x14ac:dyDescent="0.3">
      <c r="A223" s="4412" t="s">
        <v>532</v>
      </c>
      <c r="B223" s="4468">
        <f>SUM(B39+B71+B109)</f>
        <v>268.17599999999999</v>
      </c>
      <c r="C223" s="4468">
        <f t="shared" ref="C223:AE223" si="1169">SUM(C39+C71+C109)</f>
        <v>268.17599999999999</v>
      </c>
      <c r="D223" s="4468">
        <f t="shared" si="1169"/>
        <v>0</v>
      </c>
      <c r="E223" s="4469">
        <f t="shared" si="1169"/>
        <v>28.172999999999998</v>
      </c>
      <c r="F223" s="4469">
        <f t="shared" si="1169"/>
        <v>28.172999999999998</v>
      </c>
      <c r="G223" s="4469">
        <f t="shared" si="1169"/>
        <v>0</v>
      </c>
      <c r="H223" s="4469">
        <f t="shared" si="1169"/>
        <v>0</v>
      </c>
      <c r="I223" s="4469">
        <f t="shared" si="1169"/>
        <v>0</v>
      </c>
      <c r="J223" s="4469">
        <f t="shared" si="1169"/>
        <v>0</v>
      </c>
      <c r="K223" s="4469">
        <f t="shared" si="1169"/>
        <v>0</v>
      </c>
      <c r="L223" s="4469">
        <f t="shared" si="1169"/>
        <v>0</v>
      </c>
      <c r="M223" s="4469">
        <f t="shared" si="1169"/>
        <v>0</v>
      </c>
      <c r="N223" s="4469">
        <f t="shared" si="1169"/>
        <v>28.172999999999998</v>
      </c>
      <c r="O223" s="4469">
        <f t="shared" si="1169"/>
        <v>28.172999999999998</v>
      </c>
      <c r="P223" s="4469">
        <f t="shared" si="1169"/>
        <v>0</v>
      </c>
      <c r="Q223" s="4468">
        <f t="shared" si="1169"/>
        <v>268.17599999999999</v>
      </c>
      <c r="R223" s="4468">
        <f t="shared" si="1169"/>
        <v>268.17599999999999</v>
      </c>
      <c r="S223" s="4468">
        <f t="shared" si="1169"/>
        <v>0</v>
      </c>
      <c r="T223" s="4469">
        <f t="shared" si="1169"/>
        <v>6.1229999999999993</v>
      </c>
      <c r="U223" s="4469">
        <f t="shared" si="1169"/>
        <v>6.1229999999999993</v>
      </c>
      <c r="V223" s="4469">
        <f t="shared" si="1169"/>
        <v>0</v>
      </c>
      <c r="W223" s="4469">
        <f t="shared" si="1169"/>
        <v>35.314</v>
      </c>
      <c r="X223" s="4469">
        <f t="shared" si="1169"/>
        <v>35.314</v>
      </c>
      <c r="Y223" s="4469">
        <f t="shared" si="1169"/>
        <v>0</v>
      </c>
      <c r="Z223" s="4469">
        <f t="shared" si="1169"/>
        <v>77.884</v>
      </c>
      <c r="AA223" s="4469">
        <f t="shared" si="1169"/>
        <v>77.884</v>
      </c>
      <c r="AB223" s="4469">
        <f t="shared" si="1169"/>
        <v>0</v>
      </c>
      <c r="AC223" s="4469">
        <f t="shared" si="1169"/>
        <v>119.321</v>
      </c>
      <c r="AD223" s="4469">
        <f t="shared" si="1169"/>
        <v>119.321</v>
      </c>
      <c r="AE223" s="4469">
        <f t="shared" si="1169"/>
        <v>0</v>
      </c>
      <c r="AF223" s="4449">
        <f t="shared" si="1105"/>
        <v>536.35199999999998</v>
      </c>
      <c r="AG223" s="4449">
        <f t="shared" si="1105"/>
        <v>536.35199999999998</v>
      </c>
      <c r="AH223" s="4449">
        <f t="shared" si="1146"/>
        <v>0</v>
      </c>
      <c r="AI223" s="4464">
        <f t="shared" si="1118"/>
        <v>147.494</v>
      </c>
      <c r="AJ223" s="4464">
        <f t="shared" si="1119"/>
        <v>147.494</v>
      </c>
      <c r="AK223" s="4464">
        <f t="shared" si="1119"/>
        <v>0</v>
      </c>
      <c r="AL223" s="4470">
        <f t="shared" si="1107"/>
        <v>-388.85799999999995</v>
      </c>
      <c r="AM223" s="4470">
        <f t="shared" si="1107"/>
        <v>-388.85799999999995</v>
      </c>
      <c r="AN223" s="4470">
        <f t="shared" si="1107"/>
        <v>0</v>
      </c>
      <c r="AO223" s="4468">
        <f t="shared" ref="AO223:BC223" si="1170">SUM(AO39+AO71+AO109)</f>
        <v>268.17599999999999</v>
      </c>
      <c r="AP223" s="4468">
        <f t="shared" si="1170"/>
        <v>268.17599999999999</v>
      </c>
      <c r="AQ223" s="4468">
        <f t="shared" si="1170"/>
        <v>0</v>
      </c>
      <c r="AR223" s="4469">
        <f t="shared" si="1170"/>
        <v>158.06800000000001</v>
      </c>
      <c r="AS223" s="4469">
        <f t="shared" si="1170"/>
        <v>158.06800000000001</v>
      </c>
      <c r="AT223" s="4469">
        <f t="shared" si="1170"/>
        <v>0</v>
      </c>
      <c r="AU223" s="4469">
        <f t="shared" si="1170"/>
        <v>0</v>
      </c>
      <c r="AV223" s="4469">
        <f t="shared" si="1170"/>
        <v>0</v>
      </c>
      <c r="AW223" s="4469">
        <f t="shared" si="1170"/>
        <v>0</v>
      </c>
      <c r="AX223" s="4469">
        <f t="shared" si="1170"/>
        <v>0</v>
      </c>
      <c r="AY223" s="4469">
        <f t="shared" si="1170"/>
        <v>0</v>
      </c>
      <c r="AZ223" s="4469">
        <f t="shared" si="1170"/>
        <v>0</v>
      </c>
      <c r="BA223" s="4469">
        <f t="shared" si="1170"/>
        <v>158.06800000000001</v>
      </c>
      <c r="BB223" s="4469">
        <f t="shared" si="1170"/>
        <v>158.06800000000001</v>
      </c>
      <c r="BC223" s="4469">
        <f t="shared" si="1170"/>
        <v>0</v>
      </c>
      <c r="BD223" s="4449">
        <f t="shared" si="1109"/>
        <v>804.52800000000002</v>
      </c>
      <c r="BE223" s="4449">
        <f t="shared" si="1109"/>
        <v>804.52800000000002</v>
      </c>
      <c r="BF223" s="4449">
        <f t="shared" si="1140"/>
        <v>0</v>
      </c>
      <c r="BG223" s="4464">
        <f t="shared" si="1120"/>
        <v>305.56200000000001</v>
      </c>
      <c r="BH223" s="4464">
        <f t="shared" si="1141"/>
        <v>305.56200000000001</v>
      </c>
      <c r="BI223" s="4464">
        <f t="shared" si="1141"/>
        <v>0</v>
      </c>
      <c r="BJ223" s="4470">
        <f t="shared" si="1112"/>
        <v>-498.96600000000001</v>
      </c>
      <c r="BK223" s="4470">
        <f t="shared" si="1112"/>
        <v>-498.96600000000001</v>
      </c>
      <c r="BL223" s="4470">
        <f t="shared" si="1112"/>
        <v>0</v>
      </c>
      <c r="BM223" s="4468">
        <f t="shared" ref="BM223:CA223" si="1171">SUM(BM39+BM71+BM109)</f>
        <v>268.17599999999999</v>
      </c>
      <c r="BN223" s="4468">
        <f t="shared" si="1171"/>
        <v>268.17599999999999</v>
      </c>
      <c r="BO223" s="4468">
        <f t="shared" si="1171"/>
        <v>0</v>
      </c>
      <c r="BP223" s="4469">
        <f t="shared" si="1171"/>
        <v>0</v>
      </c>
      <c r="BQ223" s="4469">
        <f t="shared" si="1171"/>
        <v>0</v>
      </c>
      <c r="BR223" s="4469">
        <f t="shared" si="1171"/>
        <v>0</v>
      </c>
      <c r="BS223" s="4469">
        <f t="shared" si="1171"/>
        <v>0</v>
      </c>
      <c r="BT223" s="4469">
        <f t="shared" si="1171"/>
        <v>0</v>
      </c>
      <c r="BU223" s="4469">
        <f t="shared" si="1171"/>
        <v>0</v>
      </c>
      <c r="BV223" s="4469">
        <f t="shared" si="1171"/>
        <v>0</v>
      </c>
      <c r="BW223" s="4469">
        <f t="shared" si="1171"/>
        <v>0</v>
      </c>
      <c r="BX223" s="4469">
        <f t="shared" si="1171"/>
        <v>0</v>
      </c>
      <c r="BY223" s="4469">
        <f t="shared" si="1171"/>
        <v>0</v>
      </c>
      <c r="BZ223" s="4469">
        <f t="shared" si="1171"/>
        <v>0</v>
      </c>
      <c r="CA223" s="4469">
        <f t="shared" si="1171"/>
        <v>0</v>
      </c>
      <c r="CB223" s="4449">
        <f t="shared" si="1114"/>
        <v>1072.704</v>
      </c>
      <c r="CC223" s="4449">
        <f t="shared" si="1114"/>
        <v>1072.704</v>
      </c>
      <c r="CD223" s="4449">
        <f t="shared" si="1143"/>
        <v>0</v>
      </c>
      <c r="CE223" s="4464">
        <f t="shared" si="1121"/>
        <v>305.56200000000001</v>
      </c>
      <c r="CF223" s="4464">
        <f t="shared" si="1144"/>
        <v>305.56200000000001</v>
      </c>
      <c r="CG223" s="4464">
        <f t="shared" si="1144"/>
        <v>0</v>
      </c>
      <c r="CH223" s="4470">
        <f t="shared" si="1117"/>
        <v>-767.14199999999994</v>
      </c>
      <c r="CI223" s="4470">
        <f t="shared" si="1117"/>
        <v>-767.14199999999994</v>
      </c>
      <c r="CJ223" s="4470">
        <f t="shared" si="1117"/>
        <v>0</v>
      </c>
      <c r="CK223" s="389"/>
      <c r="CL223" s="5"/>
    </row>
    <row r="224" spans="1:90" ht="18.75" customHeight="1" x14ac:dyDescent="0.3">
      <c r="A224" s="4412" t="s">
        <v>626</v>
      </c>
      <c r="B224" s="4468">
        <f t="shared" ref="B224:AE224" si="1172">SUM(B72)</f>
        <v>312.03500000000003</v>
      </c>
      <c r="C224" s="4468">
        <f t="shared" si="1172"/>
        <v>312.03500000000003</v>
      </c>
      <c r="D224" s="4468">
        <f t="shared" si="1172"/>
        <v>0</v>
      </c>
      <c r="E224" s="4469">
        <f t="shared" si="1172"/>
        <v>6.47</v>
      </c>
      <c r="F224" s="4469">
        <f t="shared" si="1172"/>
        <v>6.47</v>
      </c>
      <c r="G224" s="4469">
        <f t="shared" si="1172"/>
        <v>0</v>
      </c>
      <c r="H224" s="4469">
        <f t="shared" si="1172"/>
        <v>36.572000000000003</v>
      </c>
      <c r="I224" s="4469">
        <f t="shared" si="1172"/>
        <v>36.572000000000003</v>
      </c>
      <c r="J224" s="4469">
        <f t="shared" si="1172"/>
        <v>0</v>
      </c>
      <c r="K224" s="4469">
        <f t="shared" si="1172"/>
        <v>9.17</v>
      </c>
      <c r="L224" s="4469">
        <f t="shared" si="1172"/>
        <v>9.17</v>
      </c>
      <c r="M224" s="4469">
        <f t="shared" si="1172"/>
        <v>0</v>
      </c>
      <c r="N224" s="4469">
        <f t="shared" si="1172"/>
        <v>52.212000000000003</v>
      </c>
      <c r="O224" s="4469">
        <f t="shared" si="1172"/>
        <v>52.212000000000003</v>
      </c>
      <c r="P224" s="4469">
        <f t="shared" si="1172"/>
        <v>0</v>
      </c>
      <c r="Q224" s="4468">
        <f t="shared" si="1172"/>
        <v>312.03500000000003</v>
      </c>
      <c r="R224" s="4468">
        <f t="shared" si="1172"/>
        <v>312.03500000000003</v>
      </c>
      <c r="S224" s="4468">
        <f t="shared" si="1172"/>
        <v>0</v>
      </c>
      <c r="T224" s="4469">
        <f t="shared" si="1172"/>
        <v>8.2759999999999998</v>
      </c>
      <c r="U224" s="4469">
        <f t="shared" si="1172"/>
        <v>8.2759999999999998</v>
      </c>
      <c r="V224" s="4469">
        <f t="shared" si="1172"/>
        <v>0</v>
      </c>
      <c r="W224" s="4469">
        <f t="shared" si="1172"/>
        <v>35.546999999999997</v>
      </c>
      <c r="X224" s="4469">
        <f t="shared" si="1172"/>
        <v>35.546999999999997</v>
      </c>
      <c r="Y224" s="4469">
        <f t="shared" si="1172"/>
        <v>0</v>
      </c>
      <c r="Z224" s="4469">
        <f t="shared" si="1172"/>
        <v>24.006900000000002</v>
      </c>
      <c r="AA224" s="4469">
        <f t="shared" si="1172"/>
        <v>24.006900000000002</v>
      </c>
      <c r="AB224" s="4469">
        <f t="shared" si="1172"/>
        <v>0</v>
      </c>
      <c r="AC224" s="4469">
        <f t="shared" si="1172"/>
        <v>67.829899999999995</v>
      </c>
      <c r="AD224" s="4469">
        <f t="shared" si="1172"/>
        <v>67.829899999999995</v>
      </c>
      <c r="AE224" s="4469">
        <f t="shared" si="1172"/>
        <v>0</v>
      </c>
      <c r="AF224" s="4449">
        <f t="shared" si="1105"/>
        <v>624.07000000000005</v>
      </c>
      <c r="AG224" s="4449">
        <f t="shared" si="1105"/>
        <v>624.07000000000005</v>
      </c>
      <c r="AH224" s="4449">
        <f t="shared" si="1146"/>
        <v>0</v>
      </c>
      <c r="AI224" s="4464">
        <f t="shared" si="1118"/>
        <v>120.0419</v>
      </c>
      <c r="AJ224" s="4464">
        <f t="shared" si="1119"/>
        <v>120.0419</v>
      </c>
      <c r="AK224" s="4464">
        <f t="shared" si="1119"/>
        <v>0</v>
      </c>
      <c r="AL224" s="4470">
        <f t="shared" si="1107"/>
        <v>-504.02810000000005</v>
      </c>
      <c r="AM224" s="4470">
        <f t="shared" si="1107"/>
        <v>-504.02810000000005</v>
      </c>
      <c r="AN224" s="4470">
        <f t="shared" si="1107"/>
        <v>0</v>
      </c>
      <c r="AO224" s="4468">
        <f t="shared" ref="AO224:BC225" si="1173">SUM(AO72)</f>
        <v>312.03500000000003</v>
      </c>
      <c r="AP224" s="4468">
        <f t="shared" si="1173"/>
        <v>312.03500000000003</v>
      </c>
      <c r="AQ224" s="4468">
        <f t="shared" si="1173"/>
        <v>0</v>
      </c>
      <c r="AR224" s="4469">
        <f t="shared" si="1173"/>
        <v>7.5</v>
      </c>
      <c r="AS224" s="4469">
        <f t="shared" si="1173"/>
        <v>7.5</v>
      </c>
      <c r="AT224" s="4469">
        <f t="shared" si="1173"/>
        <v>0</v>
      </c>
      <c r="AU224" s="4469">
        <f t="shared" si="1173"/>
        <v>0</v>
      </c>
      <c r="AV224" s="4469">
        <f t="shared" si="1173"/>
        <v>0</v>
      </c>
      <c r="AW224" s="4469">
        <f t="shared" si="1173"/>
        <v>0</v>
      </c>
      <c r="AX224" s="4469">
        <f t="shared" si="1173"/>
        <v>0</v>
      </c>
      <c r="AY224" s="4469">
        <f t="shared" si="1173"/>
        <v>0</v>
      </c>
      <c r="AZ224" s="4469">
        <f t="shared" si="1173"/>
        <v>0</v>
      </c>
      <c r="BA224" s="4469">
        <f t="shared" si="1173"/>
        <v>7.5</v>
      </c>
      <c r="BB224" s="4469">
        <f t="shared" si="1173"/>
        <v>7.5</v>
      </c>
      <c r="BC224" s="4469">
        <f t="shared" si="1173"/>
        <v>0</v>
      </c>
      <c r="BD224" s="4449">
        <f t="shared" si="1109"/>
        <v>936.10500000000002</v>
      </c>
      <c r="BE224" s="4449">
        <f t="shared" si="1109"/>
        <v>936.10500000000002</v>
      </c>
      <c r="BF224" s="4449">
        <f t="shared" si="1140"/>
        <v>0</v>
      </c>
      <c r="BG224" s="4464">
        <f t="shared" si="1120"/>
        <v>127.5419</v>
      </c>
      <c r="BH224" s="4464">
        <f t="shared" si="1141"/>
        <v>127.5419</v>
      </c>
      <c r="BI224" s="4464">
        <f t="shared" si="1141"/>
        <v>0</v>
      </c>
      <c r="BJ224" s="4470">
        <f t="shared" si="1112"/>
        <v>-808.56310000000008</v>
      </c>
      <c r="BK224" s="4470">
        <f t="shared" si="1112"/>
        <v>-808.56310000000008</v>
      </c>
      <c r="BL224" s="4470">
        <f t="shared" si="1112"/>
        <v>0</v>
      </c>
      <c r="BM224" s="4468">
        <f t="shared" ref="BM224:CA225" si="1174">SUM(BM72)</f>
        <v>312.03500000000003</v>
      </c>
      <c r="BN224" s="4468">
        <f t="shared" si="1174"/>
        <v>312.03500000000003</v>
      </c>
      <c r="BO224" s="4468">
        <f t="shared" si="1174"/>
        <v>0</v>
      </c>
      <c r="BP224" s="4469">
        <f t="shared" si="1174"/>
        <v>0</v>
      </c>
      <c r="BQ224" s="4469">
        <f t="shared" si="1174"/>
        <v>0</v>
      </c>
      <c r="BR224" s="4469">
        <f t="shared" si="1174"/>
        <v>0</v>
      </c>
      <c r="BS224" s="4469">
        <f t="shared" si="1174"/>
        <v>0</v>
      </c>
      <c r="BT224" s="4469">
        <f t="shared" si="1174"/>
        <v>0</v>
      </c>
      <c r="BU224" s="4469">
        <f t="shared" si="1174"/>
        <v>0</v>
      </c>
      <c r="BV224" s="4469">
        <f t="shared" si="1174"/>
        <v>0</v>
      </c>
      <c r="BW224" s="4469">
        <f t="shared" si="1174"/>
        <v>0</v>
      </c>
      <c r="BX224" s="4469">
        <f t="shared" si="1174"/>
        <v>0</v>
      </c>
      <c r="BY224" s="4469">
        <f t="shared" si="1174"/>
        <v>0</v>
      </c>
      <c r="BZ224" s="4469">
        <f t="shared" si="1174"/>
        <v>0</v>
      </c>
      <c r="CA224" s="4469">
        <f t="shared" si="1174"/>
        <v>0</v>
      </c>
      <c r="CB224" s="4449">
        <f t="shared" si="1114"/>
        <v>1248.1400000000001</v>
      </c>
      <c r="CC224" s="4449">
        <f t="shared" si="1114"/>
        <v>1248.1400000000001</v>
      </c>
      <c r="CD224" s="4449">
        <f t="shared" si="1143"/>
        <v>0</v>
      </c>
      <c r="CE224" s="4464">
        <f t="shared" si="1121"/>
        <v>127.5419</v>
      </c>
      <c r="CF224" s="4464">
        <f t="shared" si="1144"/>
        <v>127.5419</v>
      </c>
      <c r="CG224" s="4464">
        <f t="shared" si="1144"/>
        <v>0</v>
      </c>
      <c r="CH224" s="4470">
        <f t="shared" si="1117"/>
        <v>-1120.5981000000002</v>
      </c>
      <c r="CI224" s="4470">
        <f t="shared" si="1117"/>
        <v>-1120.5981000000002</v>
      </c>
      <c r="CJ224" s="4470">
        <f t="shared" si="1117"/>
        <v>0</v>
      </c>
      <c r="CK224" s="389"/>
      <c r="CL224" s="5"/>
    </row>
    <row r="225" spans="1:90" ht="18.75" customHeight="1" x14ac:dyDescent="0.3">
      <c r="A225" s="4412" t="s">
        <v>541</v>
      </c>
      <c r="B225" s="4468">
        <f t="shared" ref="B225:AE225" si="1175">SUM(B73)</f>
        <v>11.943250000000001</v>
      </c>
      <c r="C225" s="4468">
        <f t="shared" si="1175"/>
        <v>11.943250000000001</v>
      </c>
      <c r="D225" s="4468">
        <f t="shared" si="1175"/>
        <v>0</v>
      </c>
      <c r="E225" s="4469">
        <f t="shared" si="1175"/>
        <v>0</v>
      </c>
      <c r="F225" s="4469">
        <f t="shared" si="1175"/>
        <v>0</v>
      </c>
      <c r="G225" s="4469">
        <f t="shared" si="1175"/>
        <v>0</v>
      </c>
      <c r="H225" s="4469">
        <f t="shared" si="1175"/>
        <v>0</v>
      </c>
      <c r="I225" s="4469">
        <f t="shared" si="1175"/>
        <v>0</v>
      </c>
      <c r="J225" s="4469">
        <f t="shared" si="1175"/>
        <v>0</v>
      </c>
      <c r="K225" s="4469">
        <f t="shared" si="1175"/>
        <v>18.3</v>
      </c>
      <c r="L225" s="4469">
        <f t="shared" si="1175"/>
        <v>18.3</v>
      </c>
      <c r="M225" s="4469">
        <f t="shared" si="1175"/>
        <v>0</v>
      </c>
      <c r="N225" s="4469">
        <f t="shared" si="1175"/>
        <v>18.3</v>
      </c>
      <c r="O225" s="4469">
        <f t="shared" si="1175"/>
        <v>18.3</v>
      </c>
      <c r="P225" s="4469">
        <f t="shared" si="1175"/>
        <v>0</v>
      </c>
      <c r="Q225" s="4468">
        <f t="shared" si="1175"/>
        <v>11.943250000000001</v>
      </c>
      <c r="R225" s="4468">
        <f t="shared" si="1175"/>
        <v>11.943250000000001</v>
      </c>
      <c r="S225" s="4468">
        <f t="shared" si="1175"/>
        <v>0</v>
      </c>
      <c r="T225" s="4469">
        <f t="shared" si="1175"/>
        <v>35.830999999999996</v>
      </c>
      <c r="U225" s="4469">
        <f t="shared" si="1175"/>
        <v>35.830999999999996</v>
      </c>
      <c r="V225" s="4469">
        <f t="shared" si="1175"/>
        <v>0</v>
      </c>
      <c r="W225" s="4469">
        <f t="shared" si="1175"/>
        <v>5.65</v>
      </c>
      <c r="X225" s="4469">
        <f t="shared" si="1175"/>
        <v>5.65</v>
      </c>
      <c r="Y225" s="4469">
        <f t="shared" si="1175"/>
        <v>0</v>
      </c>
      <c r="Z225" s="4469">
        <f t="shared" si="1175"/>
        <v>0</v>
      </c>
      <c r="AA225" s="4469">
        <f t="shared" si="1175"/>
        <v>0</v>
      </c>
      <c r="AB225" s="4469">
        <f t="shared" si="1175"/>
        <v>0</v>
      </c>
      <c r="AC225" s="4469">
        <f t="shared" si="1175"/>
        <v>41.480999999999995</v>
      </c>
      <c r="AD225" s="4469">
        <f t="shared" si="1175"/>
        <v>41.480999999999995</v>
      </c>
      <c r="AE225" s="4469">
        <f t="shared" si="1175"/>
        <v>0</v>
      </c>
      <c r="AF225" s="4449">
        <f t="shared" si="1105"/>
        <v>23.886500000000002</v>
      </c>
      <c r="AG225" s="4449">
        <f t="shared" si="1105"/>
        <v>23.886500000000002</v>
      </c>
      <c r="AH225" s="4449">
        <f t="shared" si="1146"/>
        <v>0</v>
      </c>
      <c r="AI225" s="4464">
        <f t="shared" si="1118"/>
        <v>59.780999999999992</v>
      </c>
      <c r="AJ225" s="4464">
        <f t="shared" si="1119"/>
        <v>59.780999999999992</v>
      </c>
      <c r="AK225" s="4464">
        <f t="shared" si="1119"/>
        <v>0</v>
      </c>
      <c r="AL225" s="4470">
        <f t="shared" si="1107"/>
        <v>35.894499999999994</v>
      </c>
      <c r="AM225" s="4470">
        <f t="shared" si="1107"/>
        <v>35.894499999999994</v>
      </c>
      <c r="AN225" s="4470">
        <f t="shared" si="1107"/>
        <v>0</v>
      </c>
      <c r="AO225" s="4468">
        <f t="shared" si="1173"/>
        <v>11.943250000000001</v>
      </c>
      <c r="AP225" s="4468">
        <f t="shared" si="1173"/>
        <v>11.943250000000001</v>
      </c>
      <c r="AQ225" s="4468">
        <f t="shared" si="1173"/>
        <v>0</v>
      </c>
      <c r="AR225" s="4469">
        <f t="shared" si="1173"/>
        <v>27.317</v>
      </c>
      <c r="AS225" s="4469">
        <f t="shared" si="1173"/>
        <v>27.317</v>
      </c>
      <c r="AT225" s="4469">
        <f t="shared" si="1173"/>
        <v>0</v>
      </c>
      <c r="AU225" s="4469">
        <f t="shared" si="1173"/>
        <v>0</v>
      </c>
      <c r="AV225" s="4469">
        <f t="shared" si="1173"/>
        <v>0</v>
      </c>
      <c r="AW225" s="4469">
        <f t="shared" si="1173"/>
        <v>0</v>
      </c>
      <c r="AX225" s="4469">
        <f t="shared" si="1173"/>
        <v>0</v>
      </c>
      <c r="AY225" s="4469">
        <f t="shared" si="1173"/>
        <v>0</v>
      </c>
      <c r="AZ225" s="4469">
        <f t="shared" si="1173"/>
        <v>0</v>
      </c>
      <c r="BA225" s="4469">
        <f t="shared" si="1173"/>
        <v>27.317</v>
      </c>
      <c r="BB225" s="4469">
        <f t="shared" si="1173"/>
        <v>27.317</v>
      </c>
      <c r="BC225" s="4469">
        <f t="shared" si="1173"/>
        <v>0</v>
      </c>
      <c r="BD225" s="4449">
        <f t="shared" si="1109"/>
        <v>35.829750000000004</v>
      </c>
      <c r="BE225" s="4449">
        <f t="shared" si="1109"/>
        <v>35.829750000000004</v>
      </c>
      <c r="BF225" s="4449">
        <f t="shared" si="1140"/>
        <v>0</v>
      </c>
      <c r="BG225" s="4464">
        <f t="shared" si="1120"/>
        <v>87.097999999999985</v>
      </c>
      <c r="BH225" s="4464">
        <f t="shared" si="1141"/>
        <v>87.097999999999985</v>
      </c>
      <c r="BI225" s="4464">
        <f t="shared" si="1141"/>
        <v>0</v>
      </c>
      <c r="BJ225" s="4470">
        <f t="shared" si="1112"/>
        <v>51.268249999999981</v>
      </c>
      <c r="BK225" s="4470">
        <f t="shared" si="1112"/>
        <v>51.268249999999981</v>
      </c>
      <c r="BL225" s="4470">
        <f t="shared" si="1112"/>
        <v>0</v>
      </c>
      <c r="BM225" s="4468">
        <f t="shared" si="1174"/>
        <v>11.943250000000001</v>
      </c>
      <c r="BN225" s="4468">
        <f t="shared" si="1174"/>
        <v>11.943250000000001</v>
      </c>
      <c r="BO225" s="4468">
        <f t="shared" si="1174"/>
        <v>0</v>
      </c>
      <c r="BP225" s="4469">
        <f t="shared" si="1174"/>
        <v>0</v>
      </c>
      <c r="BQ225" s="4469">
        <f t="shared" si="1174"/>
        <v>0</v>
      </c>
      <c r="BR225" s="4469">
        <f t="shared" si="1174"/>
        <v>0</v>
      </c>
      <c r="BS225" s="4469">
        <f t="shared" si="1174"/>
        <v>0</v>
      </c>
      <c r="BT225" s="4469">
        <f t="shared" si="1174"/>
        <v>0</v>
      </c>
      <c r="BU225" s="4469">
        <f t="shared" si="1174"/>
        <v>0</v>
      </c>
      <c r="BV225" s="4469">
        <f t="shared" si="1174"/>
        <v>0</v>
      </c>
      <c r="BW225" s="4469">
        <f t="shared" si="1174"/>
        <v>0</v>
      </c>
      <c r="BX225" s="4469">
        <f t="shared" si="1174"/>
        <v>0</v>
      </c>
      <c r="BY225" s="4469">
        <f t="shared" si="1174"/>
        <v>0</v>
      </c>
      <c r="BZ225" s="4469">
        <f t="shared" si="1174"/>
        <v>0</v>
      </c>
      <c r="CA225" s="4469">
        <f t="shared" si="1174"/>
        <v>0</v>
      </c>
      <c r="CB225" s="4449">
        <f t="shared" si="1114"/>
        <v>47.773000000000003</v>
      </c>
      <c r="CC225" s="4449">
        <f t="shared" si="1114"/>
        <v>47.773000000000003</v>
      </c>
      <c r="CD225" s="4449">
        <f t="shared" si="1143"/>
        <v>0</v>
      </c>
      <c r="CE225" s="4464">
        <f t="shared" si="1121"/>
        <v>87.097999999999985</v>
      </c>
      <c r="CF225" s="4464">
        <f t="shared" si="1144"/>
        <v>87.097999999999985</v>
      </c>
      <c r="CG225" s="4464">
        <f t="shared" si="1144"/>
        <v>0</v>
      </c>
      <c r="CH225" s="4470">
        <f t="shared" si="1117"/>
        <v>39.324999999999982</v>
      </c>
      <c r="CI225" s="4470">
        <f t="shared" si="1117"/>
        <v>39.324999999999982</v>
      </c>
      <c r="CJ225" s="4470">
        <f t="shared" si="1117"/>
        <v>0</v>
      </c>
      <c r="CK225" s="389"/>
      <c r="CL225" s="5"/>
    </row>
    <row r="226" spans="1:90" ht="18.75" customHeight="1" x14ac:dyDescent="0.3">
      <c r="A226" s="4412" t="s">
        <v>596</v>
      </c>
      <c r="B226" s="4468">
        <f>SUM(B74+B93+B110)</f>
        <v>0.96500000000000008</v>
      </c>
      <c r="C226" s="4468">
        <f t="shared" ref="C226:AE226" si="1176">SUM(C74+C93+C110)</f>
        <v>0.96500000000000008</v>
      </c>
      <c r="D226" s="4468">
        <f t="shared" si="1176"/>
        <v>0</v>
      </c>
      <c r="E226" s="4469">
        <f t="shared" si="1176"/>
        <v>0</v>
      </c>
      <c r="F226" s="4469">
        <f t="shared" si="1176"/>
        <v>0</v>
      </c>
      <c r="G226" s="4469">
        <f t="shared" si="1176"/>
        <v>0</v>
      </c>
      <c r="H226" s="4469">
        <f t="shared" si="1176"/>
        <v>0</v>
      </c>
      <c r="I226" s="4469">
        <f t="shared" si="1176"/>
        <v>0</v>
      </c>
      <c r="J226" s="4469">
        <f t="shared" si="1176"/>
        <v>0</v>
      </c>
      <c r="K226" s="4469">
        <f t="shared" si="1176"/>
        <v>0</v>
      </c>
      <c r="L226" s="4469">
        <f t="shared" si="1176"/>
        <v>0</v>
      </c>
      <c r="M226" s="4469">
        <f t="shared" si="1176"/>
        <v>0</v>
      </c>
      <c r="N226" s="4469">
        <f t="shared" si="1176"/>
        <v>0</v>
      </c>
      <c r="O226" s="4469">
        <f t="shared" si="1176"/>
        <v>0</v>
      </c>
      <c r="P226" s="4469">
        <f t="shared" si="1176"/>
        <v>0</v>
      </c>
      <c r="Q226" s="4468">
        <f t="shared" si="1176"/>
        <v>0.96500000000000008</v>
      </c>
      <c r="R226" s="4468">
        <f t="shared" si="1176"/>
        <v>0.96500000000000008</v>
      </c>
      <c r="S226" s="4468">
        <f t="shared" si="1176"/>
        <v>0</v>
      </c>
      <c r="T226" s="4469">
        <f t="shared" si="1176"/>
        <v>0</v>
      </c>
      <c r="U226" s="4469">
        <f t="shared" si="1176"/>
        <v>0</v>
      </c>
      <c r="V226" s="4469">
        <f t="shared" si="1176"/>
        <v>0</v>
      </c>
      <c r="W226" s="4469">
        <f t="shared" si="1176"/>
        <v>0</v>
      </c>
      <c r="X226" s="4469">
        <f t="shared" si="1176"/>
        <v>0</v>
      </c>
      <c r="Y226" s="4469">
        <f t="shared" si="1176"/>
        <v>0</v>
      </c>
      <c r="Z226" s="4469">
        <f t="shared" si="1176"/>
        <v>0</v>
      </c>
      <c r="AA226" s="4469">
        <f t="shared" si="1176"/>
        <v>0</v>
      </c>
      <c r="AB226" s="4469">
        <f t="shared" si="1176"/>
        <v>0</v>
      </c>
      <c r="AC226" s="4469">
        <f t="shared" si="1176"/>
        <v>0</v>
      </c>
      <c r="AD226" s="4469">
        <f t="shared" si="1176"/>
        <v>0</v>
      </c>
      <c r="AE226" s="4469">
        <f t="shared" si="1176"/>
        <v>0</v>
      </c>
      <c r="AF226" s="4449">
        <f t="shared" si="1105"/>
        <v>1.9300000000000002</v>
      </c>
      <c r="AG226" s="4449">
        <f t="shared" si="1105"/>
        <v>1.9300000000000002</v>
      </c>
      <c r="AH226" s="4449">
        <f t="shared" si="1146"/>
        <v>0</v>
      </c>
      <c r="AI226" s="4464">
        <f t="shared" si="1118"/>
        <v>0</v>
      </c>
      <c r="AJ226" s="4464">
        <f t="shared" si="1119"/>
        <v>0</v>
      </c>
      <c r="AK226" s="4464">
        <f t="shared" si="1119"/>
        <v>0</v>
      </c>
      <c r="AL226" s="4470">
        <f t="shared" si="1107"/>
        <v>-1.9300000000000002</v>
      </c>
      <c r="AM226" s="4470">
        <f t="shared" si="1107"/>
        <v>-1.9300000000000002</v>
      </c>
      <c r="AN226" s="4470">
        <f t="shared" si="1107"/>
        <v>0</v>
      </c>
      <c r="AO226" s="4468">
        <f t="shared" ref="AO226:BC226" si="1177">SUM(AO74+AO93+AO110)</f>
        <v>0.96500000000000008</v>
      </c>
      <c r="AP226" s="4468">
        <f t="shared" si="1177"/>
        <v>0.96500000000000008</v>
      </c>
      <c r="AQ226" s="4468">
        <f t="shared" si="1177"/>
        <v>0</v>
      </c>
      <c r="AR226" s="4469">
        <f t="shared" si="1177"/>
        <v>0</v>
      </c>
      <c r="AS226" s="4469">
        <f t="shared" si="1177"/>
        <v>0</v>
      </c>
      <c r="AT226" s="4469">
        <f t="shared" si="1177"/>
        <v>0</v>
      </c>
      <c r="AU226" s="4469">
        <f t="shared" si="1177"/>
        <v>0</v>
      </c>
      <c r="AV226" s="4469">
        <f t="shared" si="1177"/>
        <v>0</v>
      </c>
      <c r="AW226" s="4469">
        <f t="shared" si="1177"/>
        <v>0</v>
      </c>
      <c r="AX226" s="4469">
        <f t="shared" si="1177"/>
        <v>0</v>
      </c>
      <c r="AY226" s="4469">
        <f t="shared" si="1177"/>
        <v>0</v>
      </c>
      <c r="AZ226" s="4469">
        <f t="shared" si="1177"/>
        <v>0</v>
      </c>
      <c r="BA226" s="4469">
        <f t="shared" si="1177"/>
        <v>0</v>
      </c>
      <c r="BB226" s="4469">
        <f t="shared" si="1177"/>
        <v>0</v>
      </c>
      <c r="BC226" s="4469">
        <f t="shared" si="1177"/>
        <v>0</v>
      </c>
      <c r="BD226" s="4449">
        <f t="shared" si="1109"/>
        <v>2.8950000000000005</v>
      </c>
      <c r="BE226" s="4449">
        <f t="shared" si="1109"/>
        <v>2.8950000000000005</v>
      </c>
      <c r="BF226" s="4449">
        <f t="shared" si="1140"/>
        <v>0</v>
      </c>
      <c r="BG226" s="4464">
        <f t="shared" si="1120"/>
        <v>0</v>
      </c>
      <c r="BH226" s="4464">
        <f t="shared" si="1141"/>
        <v>0</v>
      </c>
      <c r="BI226" s="4464">
        <f t="shared" si="1141"/>
        <v>0</v>
      </c>
      <c r="BJ226" s="4470">
        <f t="shared" si="1112"/>
        <v>-2.8950000000000005</v>
      </c>
      <c r="BK226" s="4470">
        <f t="shared" si="1112"/>
        <v>-2.8950000000000005</v>
      </c>
      <c r="BL226" s="4470">
        <f t="shared" si="1112"/>
        <v>0</v>
      </c>
      <c r="BM226" s="4468">
        <f t="shared" ref="BM226:CA226" si="1178">SUM(BM74+BM93+BM110)</f>
        <v>0.96500000000000008</v>
      </c>
      <c r="BN226" s="4468">
        <f t="shared" si="1178"/>
        <v>0.96500000000000008</v>
      </c>
      <c r="BO226" s="4468">
        <f t="shared" si="1178"/>
        <v>0</v>
      </c>
      <c r="BP226" s="4469">
        <f t="shared" si="1178"/>
        <v>0</v>
      </c>
      <c r="BQ226" s="4469">
        <f t="shared" si="1178"/>
        <v>0</v>
      </c>
      <c r="BR226" s="4469">
        <f t="shared" si="1178"/>
        <v>0</v>
      </c>
      <c r="BS226" s="4469">
        <f t="shared" si="1178"/>
        <v>0</v>
      </c>
      <c r="BT226" s="4469">
        <f t="shared" si="1178"/>
        <v>0</v>
      </c>
      <c r="BU226" s="4469">
        <f t="shared" si="1178"/>
        <v>0</v>
      </c>
      <c r="BV226" s="4469">
        <f t="shared" si="1178"/>
        <v>0</v>
      </c>
      <c r="BW226" s="4469">
        <f t="shared" si="1178"/>
        <v>0</v>
      </c>
      <c r="BX226" s="4469">
        <f t="shared" si="1178"/>
        <v>0</v>
      </c>
      <c r="BY226" s="4469">
        <f t="shared" si="1178"/>
        <v>0</v>
      </c>
      <c r="BZ226" s="4469">
        <f t="shared" si="1178"/>
        <v>0</v>
      </c>
      <c r="CA226" s="4469">
        <f t="shared" si="1178"/>
        <v>0</v>
      </c>
      <c r="CB226" s="4449">
        <f t="shared" si="1114"/>
        <v>3.8600000000000003</v>
      </c>
      <c r="CC226" s="4449">
        <f t="shared" si="1114"/>
        <v>3.8600000000000003</v>
      </c>
      <c r="CD226" s="4449">
        <f t="shared" si="1143"/>
        <v>0</v>
      </c>
      <c r="CE226" s="4464">
        <f t="shared" si="1121"/>
        <v>0</v>
      </c>
      <c r="CF226" s="4464">
        <f t="shared" si="1144"/>
        <v>0</v>
      </c>
      <c r="CG226" s="4464">
        <f t="shared" si="1144"/>
        <v>0</v>
      </c>
      <c r="CH226" s="4470">
        <f t="shared" si="1117"/>
        <v>-3.8600000000000003</v>
      </c>
      <c r="CI226" s="4470">
        <f t="shared" si="1117"/>
        <v>-3.8600000000000003</v>
      </c>
      <c r="CJ226" s="4470">
        <f t="shared" si="1117"/>
        <v>0</v>
      </c>
      <c r="CK226" s="5"/>
      <c r="CL226" s="5"/>
    </row>
    <row r="227" spans="1:90" ht="18.75" customHeight="1" x14ac:dyDescent="0.3">
      <c r="A227" s="4472" t="s">
        <v>280</v>
      </c>
      <c r="B227" s="4465">
        <f>SUM(B198:B217)+B222</f>
        <v>6152.0768028484326</v>
      </c>
      <c r="C227" s="4465">
        <f t="shared" ref="C227:D227" si="1179">SUM(C198:C217)+C222</f>
        <v>6152.0768028484326</v>
      </c>
      <c r="D227" s="4465">
        <f t="shared" si="1179"/>
        <v>0</v>
      </c>
      <c r="E227" s="4471">
        <f t="shared" ref="E227:AE227" si="1180">SUM(E198:E217)+E222</f>
        <v>2131.0070000000001</v>
      </c>
      <c r="F227" s="4471">
        <f t="shared" si="1180"/>
        <v>2131.0070000000001</v>
      </c>
      <c r="G227" s="4471">
        <f t="shared" si="1180"/>
        <v>0</v>
      </c>
      <c r="H227" s="4471">
        <f t="shared" si="1180"/>
        <v>1894.8214499999999</v>
      </c>
      <c r="I227" s="4471">
        <f t="shared" si="1180"/>
        <v>1894.8214499999999</v>
      </c>
      <c r="J227" s="4471">
        <f t="shared" si="1180"/>
        <v>0</v>
      </c>
      <c r="K227" s="4471">
        <f t="shared" si="1180"/>
        <v>1807.4389900000003</v>
      </c>
      <c r="L227" s="4471">
        <f t="shared" si="1180"/>
        <v>1807.4389900000003</v>
      </c>
      <c r="M227" s="4471">
        <f t="shared" si="1180"/>
        <v>0</v>
      </c>
      <c r="N227" s="4471">
        <f t="shared" si="1180"/>
        <v>5833.2674399999996</v>
      </c>
      <c r="O227" s="4471">
        <f t="shared" si="1180"/>
        <v>5833.2674399999996</v>
      </c>
      <c r="P227" s="4471">
        <f t="shared" si="1180"/>
        <v>0</v>
      </c>
      <c r="Q227" s="4465">
        <f t="shared" si="1180"/>
        <v>6152.0768028484326</v>
      </c>
      <c r="R227" s="4465">
        <f t="shared" si="1180"/>
        <v>6152.0768028484326</v>
      </c>
      <c r="S227" s="4465">
        <f t="shared" si="1180"/>
        <v>0</v>
      </c>
      <c r="T227" s="4471">
        <f t="shared" si="1180"/>
        <v>2310.7718999999997</v>
      </c>
      <c r="U227" s="4471">
        <f t="shared" si="1180"/>
        <v>2310.7718999999997</v>
      </c>
      <c r="V227" s="4471">
        <f t="shared" si="1180"/>
        <v>0</v>
      </c>
      <c r="W227" s="4471">
        <f t="shared" si="1180"/>
        <v>3211.9629999999993</v>
      </c>
      <c r="X227" s="4471">
        <f t="shared" si="1180"/>
        <v>3211.9629999999993</v>
      </c>
      <c r="Y227" s="4471">
        <f t="shared" si="1180"/>
        <v>0</v>
      </c>
      <c r="Z227" s="4471">
        <f t="shared" si="1180"/>
        <v>2096.3326099999999</v>
      </c>
      <c r="AA227" s="4471">
        <f t="shared" si="1180"/>
        <v>2096.3326099999999</v>
      </c>
      <c r="AB227" s="4471">
        <f t="shared" si="1180"/>
        <v>0</v>
      </c>
      <c r="AC227" s="4471">
        <f t="shared" si="1180"/>
        <v>7619.0675099999999</v>
      </c>
      <c r="AD227" s="4471">
        <f t="shared" si="1180"/>
        <v>7619.0675099999999</v>
      </c>
      <c r="AE227" s="4471">
        <f t="shared" si="1180"/>
        <v>0</v>
      </c>
      <c r="AF227" s="4455">
        <f t="shared" si="1105"/>
        <v>12304.153605696865</v>
      </c>
      <c r="AG227" s="4455">
        <f t="shared" si="1105"/>
        <v>12304.153605696865</v>
      </c>
      <c r="AH227" s="4455">
        <f t="shared" si="1146"/>
        <v>0</v>
      </c>
      <c r="AI227" s="4467">
        <f t="shared" si="1118"/>
        <v>13452.33495</v>
      </c>
      <c r="AJ227" s="4467">
        <f t="shared" si="1119"/>
        <v>13452.33495</v>
      </c>
      <c r="AK227" s="4467">
        <f t="shared" si="1119"/>
        <v>0</v>
      </c>
      <c r="AL227" s="4467">
        <f t="shared" si="1107"/>
        <v>1148.1813443031351</v>
      </c>
      <c r="AM227" s="4467">
        <f t="shared" si="1107"/>
        <v>1148.1813443031351</v>
      </c>
      <c r="AN227" s="4467">
        <f t="shared" si="1107"/>
        <v>0</v>
      </c>
      <c r="AO227" s="4465">
        <f t="shared" ref="AO227:BC227" si="1181">SUM(AO198:AO217)+AO222</f>
        <v>6152.0768028484326</v>
      </c>
      <c r="AP227" s="4465">
        <f t="shared" si="1181"/>
        <v>6152.0768028484326</v>
      </c>
      <c r="AQ227" s="4465">
        <f t="shared" si="1181"/>
        <v>0</v>
      </c>
      <c r="AR227" s="4471">
        <f t="shared" si="1181"/>
        <v>2002.33953</v>
      </c>
      <c r="AS227" s="4471">
        <f t="shared" si="1181"/>
        <v>2002.33953</v>
      </c>
      <c r="AT227" s="4471">
        <f t="shared" si="1181"/>
        <v>0</v>
      </c>
      <c r="AU227" s="4471">
        <f t="shared" si="1181"/>
        <v>0</v>
      </c>
      <c r="AV227" s="4471">
        <f t="shared" si="1181"/>
        <v>0</v>
      </c>
      <c r="AW227" s="4471">
        <f t="shared" si="1181"/>
        <v>0</v>
      </c>
      <c r="AX227" s="4471">
        <f t="shared" si="1181"/>
        <v>0</v>
      </c>
      <c r="AY227" s="4471">
        <f t="shared" si="1181"/>
        <v>0</v>
      </c>
      <c r="AZ227" s="4471">
        <f t="shared" si="1181"/>
        <v>0</v>
      </c>
      <c r="BA227" s="4471">
        <f t="shared" si="1181"/>
        <v>2002.33953</v>
      </c>
      <c r="BB227" s="4471">
        <f t="shared" si="1181"/>
        <v>2002.33953</v>
      </c>
      <c r="BC227" s="4471">
        <f t="shared" si="1181"/>
        <v>0</v>
      </c>
      <c r="BD227" s="4455">
        <f t="shared" si="1109"/>
        <v>18456.2304085453</v>
      </c>
      <c r="BE227" s="4455">
        <f t="shared" si="1109"/>
        <v>18456.2304085453</v>
      </c>
      <c r="BF227" s="4455">
        <f t="shared" si="1140"/>
        <v>0</v>
      </c>
      <c r="BG227" s="4467">
        <f t="shared" si="1120"/>
        <v>15454.67448</v>
      </c>
      <c r="BH227" s="4467">
        <f t="shared" si="1141"/>
        <v>15454.67448</v>
      </c>
      <c r="BI227" s="4467">
        <f t="shared" si="1141"/>
        <v>0</v>
      </c>
      <c r="BJ227" s="4467">
        <f t="shared" si="1112"/>
        <v>-3001.5559285453</v>
      </c>
      <c r="BK227" s="4467">
        <f t="shared" si="1112"/>
        <v>-3001.5559285453</v>
      </c>
      <c r="BL227" s="4467">
        <f t="shared" si="1112"/>
        <v>0</v>
      </c>
      <c r="BM227" s="4465">
        <f t="shared" ref="BM227:CA227" si="1182">SUM(BM198:BM217)+BM222</f>
        <v>6152.0768028484326</v>
      </c>
      <c r="BN227" s="4465">
        <f t="shared" si="1182"/>
        <v>6152.0768028484326</v>
      </c>
      <c r="BO227" s="4465">
        <f t="shared" si="1182"/>
        <v>0</v>
      </c>
      <c r="BP227" s="4471">
        <f t="shared" si="1182"/>
        <v>0</v>
      </c>
      <c r="BQ227" s="4471">
        <f t="shared" si="1182"/>
        <v>0</v>
      </c>
      <c r="BR227" s="4471">
        <f t="shared" si="1182"/>
        <v>0</v>
      </c>
      <c r="BS227" s="4471">
        <f t="shared" si="1182"/>
        <v>0</v>
      </c>
      <c r="BT227" s="4471">
        <f t="shared" si="1182"/>
        <v>0</v>
      </c>
      <c r="BU227" s="4471">
        <f t="shared" si="1182"/>
        <v>0</v>
      </c>
      <c r="BV227" s="4471">
        <f t="shared" si="1182"/>
        <v>0</v>
      </c>
      <c r="BW227" s="4471">
        <f t="shared" si="1182"/>
        <v>0</v>
      </c>
      <c r="BX227" s="4471">
        <f t="shared" si="1182"/>
        <v>0</v>
      </c>
      <c r="BY227" s="4471">
        <f t="shared" si="1182"/>
        <v>0</v>
      </c>
      <c r="BZ227" s="4471">
        <f t="shared" si="1182"/>
        <v>0</v>
      </c>
      <c r="CA227" s="4471">
        <f t="shared" si="1182"/>
        <v>0</v>
      </c>
      <c r="CB227" s="4455">
        <f t="shared" si="1114"/>
        <v>24608.307211393731</v>
      </c>
      <c r="CC227" s="4455">
        <f t="shared" si="1114"/>
        <v>24608.307211393731</v>
      </c>
      <c r="CD227" s="4455">
        <f t="shared" si="1143"/>
        <v>0</v>
      </c>
      <c r="CE227" s="4467">
        <f t="shared" si="1121"/>
        <v>15454.67448</v>
      </c>
      <c r="CF227" s="4467">
        <f t="shared" si="1144"/>
        <v>15454.67448</v>
      </c>
      <c r="CG227" s="4467">
        <f t="shared" si="1144"/>
        <v>0</v>
      </c>
      <c r="CH227" s="4467">
        <f t="shared" si="1117"/>
        <v>-9153.6327313937309</v>
      </c>
      <c r="CI227" s="4467">
        <f t="shared" si="1117"/>
        <v>-9153.6327313937309</v>
      </c>
      <c r="CJ227" s="4467">
        <f t="shared" si="1117"/>
        <v>0</v>
      </c>
      <c r="CK227" s="5"/>
      <c r="CL227" s="5"/>
    </row>
    <row r="228" spans="1:90" ht="18.75" customHeight="1" x14ac:dyDescent="0.2">
      <c r="A228" s="286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</row>
    <row r="540" spans="1:90" ht="18.75" customHeight="1" x14ac:dyDescent="0.2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</row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  <row r="547" ht="18.75" customHeight="1" x14ac:dyDescent="0.2"/>
    <row r="548" ht="18.75" customHeight="1" x14ac:dyDescent="0.2"/>
  </sheetData>
  <mergeCells count="475">
    <mergeCell ref="CE196:CG196"/>
    <mergeCell ref="CH196:CJ196"/>
    <mergeCell ref="BD196:BF196"/>
    <mergeCell ref="BG196:BI196"/>
    <mergeCell ref="BJ196:BL196"/>
    <mergeCell ref="BM196:BO196"/>
    <mergeCell ref="BP196:BR196"/>
    <mergeCell ref="BS196:BU196"/>
    <mergeCell ref="BV196:BX196"/>
    <mergeCell ref="BY196:CA196"/>
    <mergeCell ref="CB196:CD196"/>
    <mergeCell ref="AC196:AE196"/>
    <mergeCell ref="AF196:AH196"/>
    <mergeCell ref="AI196:AK196"/>
    <mergeCell ref="AL196:AN196"/>
    <mergeCell ref="AO196:AQ196"/>
    <mergeCell ref="AR196:AT196"/>
    <mergeCell ref="AU196:AW196"/>
    <mergeCell ref="AX196:AZ196"/>
    <mergeCell ref="BA196:BC196"/>
    <mergeCell ref="BP188:BR188"/>
    <mergeCell ref="BS188:BU188"/>
    <mergeCell ref="BV188:BX188"/>
    <mergeCell ref="BY188:CA188"/>
    <mergeCell ref="CB188:CD188"/>
    <mergeCell ref="CE188:CG188"/>
    <mergeCell ref="CH188:CJ188"/>
    <mergeCell ref="A195:A197"/>
    <mergeCell ref="B195:P195"/>
    <mergeCell ref="Q195:AE195"/>
    <mergeCell ref="AF195:AN195"/>
    <mergeCell ref="AO195:BC195"/>
    <mergeCell ref="BD195:BL195"/>
    <mergeCell ref="BM195:CA195"/>
    <mergeCell ref="CB195:CJ195"/>
    <mergeCell ref="B196:D196"/>
    <mergeCell ref="E196:G196"/>
    <mergeCell ref="H196:J196"/>
    <mergeCell ref="K196:M196"/>
    <mergeCell ref="N196:P196"/>
    <mergeCell ref="Q196:S196"/>
    <mergeCell ref="T196:V196"/>
    <mergeCell ref="W196:Y196"/>
    <mergeCell ref="Z196:AB196"/>
    <mergeCell ref="CE187:CG187"/>
    <mergeCell ref="CH187:CJ187"/>
    <mergeCell ref="B188:D188"/>
    <mergeCell ref="E188:G188"/>
    <mergeCell ref="H188:J188"/>
    <mergeCell ref="K188:M188"/>
    <mergeCell ref="N188:P188"/>
    <mergeCell ref="Q188:S188"/>
    <mergeCell ref="T188:V188"/>
    <mergeCell ref="W188:Y188"/>
    <mergeCell ref="Z188:AB188"/>
    <mergeCell ref="AC188:AE188"/>
    <mergeCell ref="AF188:AH188"/>
    <mergeCell ref="AI188:AK188"/>
    <mergeCell ref="AL188:AN188"/>
    <mergeCell ref="AO188:AQ188"/>
    <mergeCell ref="AR188:AT188"/>
    <mergeCell ref="AU188:AW188"/>
    <mergeCell ref="AX188:AZ188"/>
    <mergeCell ref="BA188:BC188"/>
    <mergeCell ref="BD188:BF188"/>
    <mergeCell ref="BG188:BI188"/>
    <mergeCell ref="BJ188:BL188"/>
    <mergeCell ref="BM188:BO188"/>
    <mergeCell ref="BD187:BF187"/>
    <mergeCell ref="BG187:BI187"/>
    <mergeCell ref="BJ187:BL187"/>
    <mergeCell ref="BM187:BO187"/>
    <mergeCell ref="BP187:BR187"/>
    <mergeCell ref="BS187:BU187"/>
    <mergeCell ref="BV187:BX187"/>
    <mergeCell ref="BY187:CA187"/>
    <mergeCell ref="CB187:CD187"/>
    <mergeCell ref="BS151:BU151"/>
    <mergeCell ref="BV151:BX151"/>
    <mergeCell ref="BY151:CA151"/>
    <mergeCell ref="CB151:CD151"/>
    <mergeCell ref="CE151:CG151"/>
    <mergeCell ref="CH151:CJ151"/>
    <mergeCell ref="B187:D187"/>
    <mergeCell ref="E187:G187"/>
    <mergeCell ref="H187:J187"/>
    <mergeCell ref="K187:M187"/>
    <mergeCell ref="N187:P187"/>
    <mergeCell ref="Q187:S187"/>
    <mergeCell ref="T187:V187"/>
    <mergeCell ref="W187:Y187"/>
    <mergeCell ref="Z187:AB187"/>
    <mergeCell ref="AC187:AE187"/>
    <mergeCell ref="AF187:AH187"/>
    <mergeCell ref="AI187:AK187"/>
    <mergeCell ref="AL187:AN187"/>
    <mergeCell ref="AO187:AQ187"/>
    <mergeCell ref="AR187:AT187"/>
    <mergeCell ref="AU187:AW187"/>
    <mergeCell ref="AX187:AZ187"/>
    <mergeCell ref="BA187:BC187"/>
    <mergeCell ref="BY143:CA143"/>
    <mergeCell ref="CB143:CD143"/>
    <mergeCell ref="CE143:CG143"/>
    <mergeCell ref="CH143:CJ143"/>
    <mergeCell ref="A150:A152"/>
    <mergeCell ref="B150:P150"/>
    <mergeCell ref="Q150:AE150"/>
    <mergeCell ref="AF150:AN150"/>
    <mergeCell ref="AO150:BC150"/>
    <mergeCell ref="BD150:BL150"/>
    <mergeCell ref="BM150:CA150"/>
    <mergeCell ref="CB150:CJ150"/>
    <mergeCell ref="B151:D151"/>
    <mergeCell ref="E151:G151"/>
    <mergeCell ref="H151:J151"/>
    <mergeCell ref="K151:M151"/>
    <mergeCell ref="N151:P151"/>
    <mergeCell ref="Q151:S151"/>
    <mergeCell ref="T151:V151"/>
    <mergeCell ref="W151:Y151"/>
    <mergeCell ref="Z151:AB151"/>
    <mergeCell ref="AC151:AE151"/>
    <mergeCell ref="AF151:AH151"/>
    <mergeCell ref="AI151:AK151"/>
    <mergeCell ref="AX143:AZ143"/>
    <mergeCell ref="BA143:BC143"/>
    <mergeCell ref="BD143:BF143"/>
    <mergeCell ref="BG143:BI143"/>
    <mergeCell ref="BJ143:BL143"/>
    <mergeCell ref="BM143:BO143"/>
    <mergeCell ref="BP143:BR143"/>
    <mergeCell ref="BS143:BU143"/>
    <mergeCell ref="BV143:BX143"/>
    <mergeCell ref="CE133:CG133"/>
    <mergeCell ref="CH133:CJ133"/>
    <mergeCell ref="A142:A144"/>
    <mergeCell ref="B142:P142"/>
    <mergeCell ref="Q142:AE142"/>
    <mergeCell ref="AF142:AN142"/>
    <mergeCell ref="AO142:BC142"/>
    <mergeCell ref="BD142:BL142"/>
    <mergeCell ref="BM142:CA142"/>
    <mergeCell ref="CB142:CJ142"/>
    <mergeCell ref="B143:D143"/>
    <mergeCell ref="E143:G143"/>
    <mergeCell ref="H143:J143"/>
    <mergeCell ref="K143:M143"/>
    <mergeCell ref="N143:P143"/>
    <mergeCell ref="Q143:S143"/>
    <mergeCell ref="T143:V143"/>
    <mergeCell ref="W143:Y143"/>
    <mergeCell ref="Z143:AB143"/>
    <mergeCell ref="AC143:AE143"/>
    <mergeCell ref="AF143:AH143"/>
    <mergeCell ref="AI143:AK143"/>
    <mergeCell ref="AL143:AN143"/>
    <mergeCell ref="AO143:AQ143"/>
    <mergeCell ref="AC133:AE133"/>
    <mergeCell ref="AF133:AH133"/>
    <mergeCell ref="AI133:AK133"/>
    <mergeCell ref="AL133:AN133"/>
    <mergeCell ref="AO133:AQ133"/>
    <mergeCell ref="AR133:AT133"/>
    <mergeCell ref="AU133:AW133"/>
    <mergeCell ref="AX133:AZ133"/>
    <mergeCell ref="BA133:BC133"/>
    <mergeCell ref="B133:D133"/>
    <mergeCell ref="E133:G133"/>
    <mergeCell ref="H133:J133"/>
    <mergeCell ref="K133:M133"/>
    <mergeCell ref="N133:P133"/>
    <mergeCell ref="Q133:S133"/>
    <mergeCell ref="T133:V133"/>
    <mergeCell ref="W133:Y133"/>
    <mergeCell ref="Z133:AB133"/>
    <mergeCell ref="CE186:CG186"/>
    <mergeCell ref="CH186:CJ186"/>
    <mergeCell ref="BA186:BC186"/>
    <mergeCell ref="BD186:BF186"/>
    <mergeCell ref="BG186:BI186"/>
    <mergeCell ref="BJ186:BL186"/>
    <mergeCell ref="BM186:BO186"/>
    <mergeCell ref="BP186:BR186"/>
    <mergeCell ref="T186:V186"/>
    <mergeCell ref="W186:Y186"/>
    <mergeCell ref="Z186:AB186"/>
    <mergeCell ref="AC186:AE186"/>
    <mergeCell ref="AF186:AH186"/>
    <mergeCell ref="BS186:BU186"/>
    <mergeCell ref="BV186:BX186"/>
    <mergeCell ref="BY186:CA186"/>
    <mergeCell ref="CB186:CD186"/>
    <mergeCell ref="B186:D186"/>
    <mergeCell ref="E186:G186"/>
    <mergeCell ref="H186:J186"/>
    <mergeCell ref="K186:M186"/>
    <mergeCell ref="N186:P186"/>
    <mergeCell ref="BD185:BF185"/>
    <mergeCell ref="BG185:BI185"/>
    <mergeCell ref="BJ185:BL185"/>
    <mergeCell ref="BM185:BO185"/>
    <mergeCell ref="AL185:AN185"/>
    <mergeCell ref="AO185:AQ185"/>
    <mergeCell ref="AR185:AT185"/>
    <mergeCell ref="AU185:AW185"/>
    <mergeCell ref="AX185:AZ185"/>
    <mergeCell ref="BA185:BC185"/>
    <mergeCell ref="T185:V185"/>
    <mergeCell ref="W185:Y185"/>
    <mergeCell ref="AI186:AK186"/>
    <mergeCell ref="AL186:AN186"/>
    <mergeCell ref="AO186:AQ186"/>
    <mergeCell ref="AR186:AT186"/>
    <mergeCell ref="AU186:AW186"/>
    <mergeCell ref="AX186:AZ186"/>
    <mergeCell ref="Q186:S186"/>
    <mergeCell ref="Z185:AB185"/>
    <mergeCell ref="AC185:AE185"/>
    <mergeCell ref="AF185:AH185"/>
    <mergeCell ref="AI185:AK185"/>
    <mergeCell ref="CE185:CG185"/>
    <mergeCell ref="CH185:CJ185"/>
    <mergeCell ref="B185:D185"/>
    <mergeCell ref="E185:G185"/>
    <mergeCell ref="H185:J185"/>
    <mergeCell ref="K185:M185"/>
    <mergeCell ref="N185:P185"/>
    <mergeCell ref="Q185:S185"/>
    <mergeCell ref="BV185:BX185"/>
    <mergeCell ref="BY185:CA185"/>
    <mergeCell ref="CB185:CD185"/>
    <mergeCell ref="BP185:BR185"/>
    <mergeCell ref="BS185:BU185"/>
    <mergeCell ref="BS184:BU184"/>
    <mergeCell ref="BV184:BX184"/>
    <mergeCell ref="BY184:CA184"/>
    <mergeCell ref="CB184:CD184"/>
    <mergeCell ref="AU184:AW184"/>
    <mergeCell ref="AX184:AZ184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B184:D184"/>
    <mergeCell ref="E184:G184"/>
    <mergeCell ref="H184:J184"/>
    <mergeCell ref="K184:M184"/>
    <mergeCell ref="N184:P184"/>
    <mergeCell ref="AI184:AK184"/>
    <mergeCell ref="AL184:AN184"/>
    <mergeCell ref="AO184:AQ184"/>
    <mergeCell ref="AR184:AT184"/>
    <mergeCell ref="Q184:S184"/>
    <mergeCell ref="T184:V184"/>
    <mergeCell ref="W184:Y184"/>
    <mergeCell ref="Z184:AB184"/>
    <mergeCell ref="AC184:AE184"/>
    <mergeCell ref="AF184:AH184"/>
    <mergeCell ref="AL151:AN151"/>
    <mergeCell ref="AO151:AQ151"/>
    <mergeCell ref="AR151:AT151"/>
    <mergeCell ref="AU151:AW151"/>
    <mergeCell ref="AX151:AZ151"/>
    <mergeCell ref="BA151:BC151"/>
    <mergeCell ref="BD151:BF151"/>
    <mergeCell ref="BG151:BI151"/>
    <mergeCell ref="BJ151:BL151"/>
    <mergeCell ref="BM151:BO151"/>
    <mergeCell ref="BP151:BR151"/>
    <mergeCell ref="AR143:AT143"/>
    <mergeCell ref="AU143:AW143"/>
    <mergeCell ref="BV132:BX132"/>
    <mergeCell ref="BY132:CA132"/>
    <mergeCell ref="CB132:CD132"/>
    <mergeCell ref="CE132:CG132"/>
    <mergeCell ref="CH132:CJ132"/>
    <mergeCell ref="BD132:BF132"/>
    <mergeCell ref="BG132:BI132"/>
    <mergeCell ref="BJ132:BL132"/>
    <mergeCell ref="BM132:BO132"/>
    <mergeCell ref="BP132:BR132"/>
    <mergeCell ref="BS132:BU132"/>
    <mergeCell ref="BD133:BF133"/>
    <mergeCell ref="BG133:BI133"/>
    <mergeCell ref="BJ133:BL133"/>
    <mergeCell ref="BM133:BO133"/>
    <mergeCell ref="BP133:BR133"/>
    <mergeCell ref="BS133:BU133"/>
    <mergeCell ref="BV133:BX133"/>
    <mergeCell ref="BY133:CA133"/>
    <mergeCell ref="CB133:CD133"/>
    <mergeCell ref="AU132:AW132"/>
    <mergeCell ref="AX132:AZ132"/>
    <mergeCell ref="BA132:BC132"/>
    <mergeCell ref="T132:V132"/>
    <mergeCell ref="W132:Y132"/>
    <mergeCell ref="Z132:AB132"/>
    <mergeCell ref="AC132:AE132"/>
    <mergeCell ref="AF132:AH132"/>
    <mergeCell ref="AI132:AK132"/>
    <mergeCell ref="B132:D132"/>
    <mergeCell ref="E132:G132"/>
    <mergeCell ref="H132:J132"/>
    <mergeCell ref="K132:M132"/>
    <mergeCell ref="N132:P132"/>
    <mergeCell ref="Q132:S132"/>
    <mergeCell ref="BS131:BU131"/>
    <mergeCell ref="BV131:BX131"/>
    <mergeCell ref="BY131:CA131"/>
    <mergeCell ref="AI131:AK131"/>
    <mergeCell ref="AL131:AN131"/>
    <mergeCell ref="AO131:AQ131"/>
    <mergeCell ref="AR131:AT131"/>
    <mergeCell ref="AU131:AW131"/>
    <mergeCell ref="AX131:AZ131"/>
    <mergeCell ref="Q131:S131"/>
    <mergeCell ref="T131:V131"/>
    <mergeCell ref="W131:Y131"/>
    <mergeCell ref="Z131:AB131"/>
    <mergeCell ref="AC131:AE131"/>
    <mergeCell ref="AF131:AH131"/>
    <mergeCell ref="AL132:AN132"/>
    <mergeCell ref="AO132:AQ132"/>
    <mergeCell ref="AR132:AT132"/>
    <mergeCell ref="CB131:CD131"/>
    <mergeCell ref="CE131:CG131"/>
    <mergeCell ref="CH131:CJ131"/>
    <mergeCell ref="BA131:BC131"/>
    <mergeCell ref="BD131:BF131"/>
    <mergeCell ref="BG131:BI131"/>
    <mergeCell ref="BJ131:BL131"/>
    <mergeCell ref="BM131:BO131"/>
    <mergeCell ref="BP131:BR131"/>
    <mergeCell ref="BV130:BX130"/>
    <mergeCell ref="BY130:CA130"/>
    <mergeCell ref="CB130:CD130"/>
    <mergeCell ref="CE130:CG130"/>
    <mergeCell ref="CH130:CJ130"/>
    <mergeCell ref="B131:D131"/>
    <mergeCell ref="E131:G131"/>
    <mergeCell ref="H131:J131"/>
    <mergeCell ref="K131:M131"/>
    <mergeCell ref="N131:P131"/>
    <mergeCell ref="BD130:BF130"/>
    <mergeCell ref="BG130:BI130"/>
    <mergeCell ref="BJ130:BL130"/>
    <mergeCell ref="BM130:BO130"/>
    <mergeCell ref="BP130:BR130"/>
    <mergeCell ref="BS130:BU130"/>
    <mergeCell ref="AL130:AN130"/>
    <mergeCell ref="AO130:AQ130"/>
    <mergeCell ref="AR130:AT130"/>
    <mergeCell ref="AU130:AW130"/>
    <mergeCell ref="AX130:AZ130"/>
    <mergeCell ref="BA130:BC130"/>
    <mergeCell ref="T130:V130"/>
    <mergeCell ref="W130:Y130"/>
    <mergeCell ref="Z130:AB130"/>
    <mergeCell ref="AC130:AE130"/>
    <mergeCell ref="AF130:AH130"/>
    <mergeCell ref="AI130:AK130"/>
    <mergeCell ref="B130:D130"/>
    <mergeCell ref="E130:G130"/>
    <mergeCell ref="H130:J130"/>
    <mergeCell ref="K130:M130"/>
    <mergeCell ref="N130:P130"/>
    <mergeCell ref="Q130:S130"/>
    <mergeCell ref="BY129:CA129"/>
    <mergeCell ref="CB129:CD129"/>
    <mergeCell ref="CE129:CG129"/>
    <mergeCell ref="CH129:CJ129"/>
    <mergeCell ref="BA129:BC129"/>
    <mergeCell ref="BD129:BF129"/>
    <mergeCell ref="BG129:BI129"/>
    <mergeCell ref="BJ129:BL129"/>
    <mergeCell ref="BM129:BO129"/>
    <mergeCell ref="BP129:BR129"/>
    <mergeCell ref="AX129:AZ129"/>
    <mergeCell ref="Q129:S129"/>
    <mergeCell ref="T129:V129"/>
    <mergeCell ref="W129:Y129"/>
    <mergeCell ref="Z129:AB129"/>
    <mergeCell ref="AC129:AE129"/>
    <mergeCell ref="AF129:AH129"/>
    <mergeCell ref="BS129:BU129"/>
    <mergeCell ref="BV129:BX129"/>
    <mergeCell ref="B129:D129"/>
    <mergeCell ref="E129:G129"/>
    <mergeCell ref="H129:J129"/>
    <mergeCell ref="K129:M129"/>
    <mergeCell ref="N129:P129"/>
    <mergeCell ref="BY19:CA19"/>
    <mergeCell ref="CB19:CD19"/>
    <mergeCell ref="CE19:CG19"/>
    <mergeCell ref="CH19:CJ19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AI129:AK129"/>
    <mergeCell ref="AL129:AN129"/>
    <mergeCell ref="AO129:AQ129"/>
    <mergeCell ref="AR129:AT129"/>
    <mergeCell ref="AU129:AW129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19">
    <tabColor theme="1"/>
    <pageSetUpPr fitToPage="1"/>
  </sheetPr>
  <dimension ref="A1:GM102"/>
  <sheetViews>
    <sheetView zoomScale="72" zoomScaleNormal="72" workbookViewId="0">
      <pane xSplit="1" ySplit="7" topLeftCell="CB81" activePane="bottomRight" state="frozen"/>
      <selection pane="topRight" activeCell="B1" sqref="B1"/>
      <selection pane="bottomLeft" activeCell="A8" sqref="A8"/>
      <selection pane="bottomRight" activeCell="CE84" sqref="CE84"/>
    </sheetView>
  </sheetViews>
  <sheetFormatPr defaultRowHeight="12.75" x14ac:dyDescent="0.2"/>
  <cols>
    <col min="1" max="1" width="54.28515625" customWidth="1"/>
    <col min="2" max="79" width="14.28515625" hidden="1" customWidth="1"/>
    <col min="80" max="80" width="14.42578125" customWidth="1"/>
    <col min="81" max="81" width="14.28515625" customWidth="1"/>
    <col min="82" max="82" width="15.28515625" customWidth="1"/>
    <col min="83" max="84" width="14.28515625" customWidth="1"/>
    <col min="85" max="85" width="15.140625" customWidth="1"/>
    <col min="86" max="91" width="14.28515625" customWidth="1"/>
    <col min="92" max="130" width="14.28515625" hidden="1" customWidth="1"/>
    <col min="131" max="132" width="16.140625" hidden="1" customWidth="1"/>
    <col min="133" max="133" width="14.28515625" hidden="1" customWidth="1"/>
    <col min="134" max="134" width="15.28515625" hidden="1" customWidth="1"/>
    <col min="135" max="135" width="15.42578125" hidden="1" customWidth="1"/>
    <col min="136" max="137" width="14.28515625" hidden="1" customWidth="1"/>
    <col min="138" max="138" width="15.28515625" hidden="1" customWidth="1"/>
    <col min="139" max="139" width="14.28515625" hidden="1" customWidth="1"/>
    <col min="140" max="140" width="14.85546875" hidden="1" customWidth="1"/>
    <col min="141" max="141" width="14.42578125" hidden="1" customWidth="1"/>
    <col min="142" max="181" width="14.28515625" hidden="1" customWidth="1"/>
    <col min="182" max="182" width="15.7109375" hidden="1" customWidth="1"/>
    <col min="183" max="183" width="15.42578125" hidden="1" customWidth="1"/>
    <col min="184" max="188" width="14.28515625" hidden="1" customWidth="1"/>
    <col min="189" max="189" width="15.42578125" hidden="1" customWidth="1"/>
    <col min="190" max="190" width="14.28515625" hidden="1" customWidth="1"/>
    <col min="191" max="192" width="14.7109375" hidden="1" customWidth="1"/>
    <col min="193" max="193" width="14.28515625" hidden="1" customWidth="1"/>
    <col min="194" max="194" width="0" hidden="1" customWidth="1"/>
    <col min="195" max="195" width="12.140625" hidden="1" customWidth="1"/>
  </cols>
  <sheetData>
    <row r="1" spans="1:195" ht="20.25" x14ac:dyDescent="0.3">
      <c r="A1" s="2791" t="s">
        <v>3725</v>
      </c>
    </row>
    <row r="2" spans="1:195" ht="20.25" x14ac:dyDescent="0.3">
      <c r="A2" s="2791" t="s">
        <v>4234</v>
      </c>
    </row>
    <row r="3" spans="1:195" ht="20.25" x14ac:dyDescent="0.3">
      <c r="A3" s="2792"/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5"/>
      <c r="AP3" s="565"/>
      <c r="AQ3" s="565"/>
      <c r="AR3" s="565"/>
      <c r="AS3" s="565"/>
      <c r="AT3" s="565"/>
      <c r="AU3" s="565"/>
      <c r="AV3" s="565"/>
      <c r="AW3" s="565"/>
      <c r="AX3" s="565"/>
      <c r="AY3" s="565"/>
      <c r="AZ3" s="565"/>
      <c r="BA3" s="565"/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  <c r="DJ3" s="565"/>
      <c r="DK3" s="565"/>
      <c r="DL3" s="565"/>
      <c r="DM3" s="565"/>
      <c r="DN3" s="565"/>
      <c r="DO3" s="565"/>
      <c r="DP3" s="565"/>
      <c r="DQ3" s="565"/>
      <c r="DR3" s="565"/>
      <c r="DS3" s="565"/>
      <c r="DT3" s="565"/>
      <c r="DU3" s="565"/>
      <c r="DV3" s="565"/>
      <c r="DW3" s="565"/>
      <c r="DX3" s="565"/>
      <c r="DY3" s="565"/>
      <c r="DZ3" s="365"/>
      <c r="EA3" s="565"/>
      <c r="EB3" s="565"/>
      <c r="EC3" s="565"/>
      <c r="ED3" s="565"/>
      <c r="EE3" s="565"/>
      <c r="EF3" s="565"/>
      <c r="EG3" s="565"/>
      <c r="EH3" s="565"/>
      <c r="EI3" s="365"/>
      <c r="EJ3" s="565"/>
      <c r="EK3" s="565"/>
      <c r="EL3" s="365"/>
      <c r="EM3" s="565"/>
      <c r="EN3" s="565"/>
      <c r="EO3" s="565"/>
      <c r="EP3" s="565"/>
      <c r="EQ3" s="565"/>
      <c r="ER3" s="565"/>
      <c r="ES3" s="565"/>
      <c r="ET3" s="565"/>
      <c r="EU3" s="565"/>
      <c r="EV3" s="565"/>
      <c r="EW3" s="565"/>
      <c r="EX3" s="565"/>
      <c r="EY3" s="565"/>
      <c r="EZ3" s="565"/>
      <c r="FA3" s="565"/>
      <c r="FB3" s="565"/>
      <c r="FC3" s="565"/>
      <c r="FD3" s="565"/>
      <c r="FE3" s="565"/>
      <c r="FF3" s="565"/>
      <c r="FG3" s="565"/>
      <c r="FH3" s="565"/>
      <c r="FI3" s="565"/>
      <c r="FJ3" s="565"/>
      <c r="FK3" s="565"/>
      <c r="FL3" s="565"/>
      <c r="FM3" s="365"/>
      <c r="FN3" s="565"/>
      <c r="FO3" s="565"/>
      <c r="FP3" s="565"/>
      <c r="FQ3" s="565"/>
      <c r="FR3" s="565"/>
      <c r="FS3" s="565"/>
      <c r="FT3" s="565"/>
      <c r="FU3" s="565"/>
      <c r="FV3" s="365"/>
      <c r="FW3" s="565"/>
      <c r="FX3" s="565"/>
      <c r="FY3" s="365"/>
      <c r="FZ3" s="565"/>
      <c r="GA3" s="565"/>
      <c r="GB3" s="565"/>
      <c r="GC3" s="565"/>
      <c r="GD3" s="565"/>
      <c r="GE3" s="365"/>
      <c r="GF3" s="565"/>
      <c r="GG3" s="565"/>
      <c r="GH3" s="565"/>
      <c r="GI3" s="565"/>
      <c r="GJ3" s="565"/>
      <c r="GK3" s="565"/>
      <c r="GL3" s="565"/>
    </row>
    <row r="4" spans="1:195" ht="18.75" x14ac:dyDescent="0.3">
      <c r="A4" s="2793" t="s">
        <v>3677</v>
      </c>
      <c r="B4" s="2794"/>
      <c r="C4" s="2794"/>
      <c r="D4" s="2794"/>
      <c r="E4" s="2794"/>
      <c r="F4" s="2794"/>
      <c r="G4" s="2794"/>
      <c r="H4" s="2794"/>
      <c r="I4" s="2794"/>
      <c r="J4" s="2794"/>
      <c r="K4" s="2794"/>
      <c r="L4" s="2794"/>
      <c r="M4" s="2794"/>
      <c r="N4" s="2794"/>
      <c r="O4" s="2794"/>
      <c r="P4" s="2794"/>
      <c r="Q4" s="2794"/>
      <c r="R4" s="2794"/>
      <c r="S4" s="2794"/>
      <c r="T4" s="2794"/>
      <c r="U4" s="2794"/>
      <c r="V4" s="2794"/>
      <c r="W4" s="2794"/>
      <c r="X4" s="2794"/>
      <c r="Y4" s="2794"/>
      <c r="Z4" s="2794"/>
      <c r="AA4" s="2794"/>
      <c r="AB4" s="2794"/>
      <c r="AC4" s="2794"/>
      <c r="AD4" s="2794"/>
      <c r="AE4" s="2794"/>
      <c r="AF4" s="2794"/>
      <c r="AG4" s="2794"/>
      <c r="AH4" s="2794"/>
      <c r="AI4" s="2794"/>
      <c r="AJ4" s="2794"/>
      <c r="AK4" s="2794"/>
      <c r="AL4" s="2794"/>
      <c r="AM4" s="2794"/>
      <c r="AN4" s="2794"/>
      <c r="AO4" s="2794"/>
      <c r="AP4" s="2794"/>
      <c r="AQ4" s="2794"/>
      <c r="AR4" s="2794"/>
      <c r="AS4" s="2794"/>
      <c r="AT4" s="2794"/>
      <c r="AU4" s="2794"/>
      <c r="AV4" s="2794"/>
      <c r="AW4" s="2794"/>
      <c r="AX4" s="2794"/>
      <c r="AY4" s="2794"/>
      <c r="AZ4" s="2794"/>
      <c r="BA4" s="2794"/>
      <c r="BB4" s="2794"/>
      <c r="BC4" s="2794"/>
      <c r="BD4" s="2794"/>
      <c r="BE4" s="2794"/>
      <c r="BF4" s="2794"/>
      <c r="BG4" s="2794"/>
      <c r="BH4" s="2794"/>
      <c r="BI4" s="2794"/>
      <c r="BJ4" s="2794"/>
      <c r="BK4" s="2794"/>
      <c r="BL4" s="2794"/>
      <c r="BM4" s="2794"/>
      <c r="BN4" s="2794"/>
      <c r="BO4" s="2794"/>
      <c r="BP4" s="2794"/>
      <c r="BQ4" s="2794"/>
      <c r="BR4" s="2794"/>
      <c r="BS4" s="2794"/>
      <c r="BT4" s="2794"/>
      <c r="BU4" s="2794"/>
      <c r="BV4" s="2794"/>
      <c r="BW4" s="2794"/>
      <c r="BX4" s="2794"/>
      <c r="BY4" s="2794"/>
      <c r="BZ4" s="2794"/>
      <c r="CA4" s="2794"/>
      <c r="CB4" s="2794"/>
      <c r="CC4" s="2794"/>
      <c r="CD4" s="2794"/>
      <c r="CE4" s="2794"/>
      <c r="CF4" s="2794"/>
      <c r="CG4" s="2794"/>
      <c r="CH4" s="2794"/>
      <c r="CI4" s="2794"/>
      <c r="CJ4" s="2794"/>
      <c r="CK4" s="2794"/>
      <c r="CL4" s="2794"/>
      <c r="CM4" s="2794"/>
      <c r="CN4" s="2794"/>
      <c r="CO4" s="2794"/>
      <c r="CP4" s="2794"/>
      <c r="CQ4" s="2794"/>
      <c r="CR4" s="2794"/>
      <c r="CS4" s="2794"/>
      <c r="CT4" s="2794"/>
      <c r="CU4" s="2794"/>
      <c r="CV4" s="2794"/>
      <c r="CW4" s="2794"/>
      <c r="CX4" s="2794"/>
      <c r="CY4" s="2794"/>
      <c r="CZ4" s="2794"/>
      <c r="DA4" s="2794"/>
      <c r="DB4" s="2794"/>
      <c r="DC4" s="2794"/>
      <c r="DD4" s="2794"/>
      <c r="DE4" s="2794"/>
      <c r="DF4" s="2794"/>
      <c r="DG4" s="2794"/>
      <c r="DH4" s="2794"/>
      <c r="DI4" s="2794"/>
      <c r="DJ4" s="2794"/>
      <c r="DK4" s="2794"/>
      <c r="DL4" s="2794"/>
      <c r="DM4" s="2794"/>
      <c r="DN4" s="2794"/>
      <c r="DO4" s="2794"/>
      <c r="DP4" s="2794"/>
      <c r="DQ4" s="2794"/>
      <c r="DR4" s="2794"/>
      <c r="DS4" s="2794"/>
      <c r="DT4" s="2794"/>
      <c r="DU4" s="2794"/>
      <c r="DV4" s="2794"/>
      <c r="DW4" s="2794"/>
      <c r="DX4" s="2794"/>
      <c r="DY4" s="2794"/>
      <c r="DZ4" s="2794"/>
      <c r="EA4" s="2794"/>
      <c r="EB4" s="2794"/>
      <c r="EC4" s="2794"/>
      <c r="ED4" s="2794"/>
      <c r="EE4" s="2794"/>
      <c r="EF4" s="2794"/>
      <c r="EG4" s="2794"/>
      <c r="EH4" s="2794"/>
      <c r="EI4" s="2794"/>
      <c r="EJ4" s="2794"/>
      <c r="EK4" s="2794"/>
      <c r="EL4" s="2794"/>
      <c r="EM4" s="2794"/>
      <c r="EN4" s="2794"/>
      <c r="EO4" s="2794"/>
      <c r="EP4" s="2794"/>
      <c r="EQ4" s="2794"/>
      <c r="ER4" s="2794"/>
      <c r="ES4" s="2794"/>
      <c r="ET4" s="2794"/>
      <c r="EU4" s="2794"/>
      <c r="EV4" s="2794"/>
      <c r="EW4" s="2794"/>
      <c r="EX4" s="2794"/>
      <c r="EY4" s="2794"/>
      <c r="EZ4" s="2794"/>
      <c r="FA4" s="2794"/>
      <c r="FB4" s="2794"/>
      <c r="FC4" s="2794"/>
      <c r="FD4" s="2794"/>
      <c r="FE4" s="2794"/>
      <c r="FF4" s="2794"/>
      <c r="FG4" s="2794"/>
      <c r="FH4" s="2794"/>
      <c r="FI4" s="2794"/>
      <c r="FJ4" s="2794"/>
      <c r="FK4" s="2794"/>
      <c r="FL4" s="2794"/>
      <c r="FM4" s="2794"/>
      <c r="FN4" s="2794"/>
      <c r="FO4" s="2794"/>
      <c r="FP4" s="2794"/>
      <c r="FQ4" s="2794"/>
      <c r="FR4" s="2794"/>
      <c r="FS4" s="2794"/>
      <c r="FT4" s="2794"/>
      <c r="FU4" s="2794"/>
      <c r="FV4" s="2794"/>
      <c r="FW4" s="2794"/>
      <c r="FX4" s="2794"/>
      <c r="FY4" s="2794"/>
      <c r="FZ4" s="2794"/>
      <c r="GA4" s="2794"/>
      <c r="GB4" s="2794"/>
      <c r="GC4" s="2794"/>
      <c r="GD4" s="2794"/>
      <c r="GE4" s="2794"/>
      <c r="GF4" s="2794"/>
      <c r="GG4" s="2794"/>
      <c r="GH4" s="2794"/>
      <c r="GI4" s="2794"/>
      <c r="GJ4" s="2794"/>
      <c r="GK4" s="2795"/>
      <c r="GL4" s="365"/>
      <c r="GM4" s="523"/>
    </row>
    <row r="5" spans="1:195" ht="19.5" customHeight="1" x14ac:dyDescent="0.2">
      <c r="A5" s="5358" t="s">
        <v>525</v>
      </c>
      <c r="B5" s="5361" t="s">
        <v>3726</v>
      </c>
      <c r="C5" s="5362"/>
      <c r="D5" s="5362"/>
      <c r="E5" s="5362"/>
      <c r="F5" s="5362"/>
      <c r="G5" s="5362"/>
      <c r="H5" s="5362"/>
      <c r="I5" s="5362"/>
      <c r="J5" s="5363"/>
      <c r="K5" s="5361" t="s">
        <v>3727</v>
      </c>
      <c r="L5" s="5362"/>
      <c r="M5" s="5362"/>
      <c r="N5" s="5362"/>
      <c r="O5" s="5362"/>
      <c r="P5" s="5362"/>
      <c r="Q5" s="5362"/>
      <c r="R5" s="5362"/>
      <c r="S5" s="5363"/>
      <c r="T5" s="5361" t="s">
        <v>3728</v>
      </c>
      <c r="U5" s="5362"/>
      <c r="V5" s="5362"/>
      <c r="W5" s="5362"/>
      <c r="X5" s="5362"/>
      <c r="Y5" s="5362"/>
      <c r="Z5" s="5362"/>
      <c r="AA5" s="5362"/>
      <c r="AB5" s="5363"/>
      <c r="AC5" s="5364" t="s">
        <v>3678</v>
      </c>
      <c r="AD5" s="5365"/>
      <c r="AE5" s="5365"/>
      <c r="AF5" s="5365"/>
      <c r="AG5" s="5365"/>
      <c r="AH5" s="5365"/>
      <c r="AI5" s="5365"/>
      <c r="AJ5" s="5365"/>
      <c r="AK5" s="5365"/>
      <c r="AL5" s="5365"/>
      <c r="AM5" s="5365"/>
      <c r="AN5" s="5366"/>
      <c r="AO5" s="5361" t="s">
        <v>3729</v>
      </c>
      <c r="AP5" s="5362"/>
      <c r="AQ5" s="5362"/>
      <c r="AR5" s="5362"/>
      <c r="AS5" s="5362"/>
      <c r="AT5" s="5362"/>
      <c r="AU5" s="5362"/>
      <c r="AV5" s="5362"/>
      <c r="AW5" s="5363"/>
      <c r="AX5" s="5361" t="s">
        <v>3730</v>
      </c>
      <c r="AY5" s="5362"/>
      <c r="AZ5" s="5362"/>
      <c r="BA5" s="5362"/>
      <c r="BB5" s="5362"/>
      <c r="BC5" s="5362"/>
      <c r="BD5" s="5362"/>
      <c r="BE5" s="5362"/>
      <c r="BF5" s="5363"/>
      <c r="BG5" s="5361" t="s">
        <v>3731</v>
      </c>
      <c r="BH5" s="5362"/>
      <c r="BI5" s="5362"/>
      <c r="BJ5" s="5362"/>
      <c r="BK5" s="5362"/>
      <c r="BL5" s="5362"/>
      <c r="BM5" s="5362"/>
      <c r="BN5" s="5362"/>
      <c r="BO5" s="5363"/>
      <c r="BP5" s="5364" t="s">
        <v>3679</v>
      </c>
      <c r="BQ5" s="5365"/>
      <c r="BR5" s="5365"/>
      <c r="BS5" s="5365"/>
      <c r="BT5" s="5365"/>
      <c r="BU5" s="5365"/>
      <c r="BV5" s="5365"/>
      <c r="BW5" s="5365"/>
      <c r="BX5" s="5365"/>
      <c r="BY5" s="5365"/>
      <c r="BZ5" s="5365"/>
      <c r="CA5" s="5366"/>
      <c r="CB5" s="5364" t="s">
        <v>3680</v>
      </c>
      <c r="CC5" s="5365"/>
      <c r="CD5" s="5365"/>
      <c r="CE5" s="5365"/>
      <c r="CF5" s="5365"/>
      <c r="CG5" s="5365"/>
      <c r="CH5" s="5365"/>
      <c r="CI5" s="5365"/>
      <c r="CJ5" s="5365"/>
      <c r="CK5" s="5365"/>
      <c r="CL5" s="5365"/>
      <c r="CM5" s="5366"/>
      <c r="CN5" s="5361" t="s">
        <v>1357</v>
      </c>
      <c r="CO5" s="5362"/>
      <c r="CP5" s="5362"/>
      <c r="CQ5" s="5362"/>
      <c r="CR5" s="5362"/>
      <c r="CS5" s="5362"/>
      <c r="CT5" s="5362"/>
      <c r="CU5" s="5362"/>
      <c r="CV5" s="5363"/>
      <c r="CW5" s="5361" t="s">
        <v>3732</v>
      </c>
      <c r="CX5" s="5362"/>
      <c r="CY5" s="5362"/>
      <c r="CZ5" s="5362"/>
      <c r="DA5" s="5362"/>
      <c r="DB5" s="5362"/>
      <c r="DC5" s="5362"/>
      <c r="DD5" s="5362"/>
      <c r="DE5" s="5363"/>
      <c r="DF5" s="5361" t="s">
        <v>3733</v>
      </c>
      <c r="DG5" s="5362"/>
      <c r="DH5" s="5362"/>
      <c r="DI5" s="5362"/>
      <c r="DJ5" s="5362"/>
      <c r="DK5" s="5362"/>
      <c r="DL5" s="5362"/>
      <c r="DM5" s="5362"/>
      <c r="DN5" s="5363"/>
      <c r="DO5" s="5364" t="s">
        <v>3681</v>
      </c>
      <c r="DP5" s="5365"/>
      <c r="DQ5" s="5365"/>
      <c r="DR5" s="5365"/>
      <c r="DS5" s="5365"/>
      <c r="DT5" s="5365"/>
      <c r="DU5" s="5365"/>
      <c r="DV5" s="5365"/>
      <c r="DW5" s="5365"/>
      <c r="DX5" s="5365"/>
      <c r="DY5" s="5365"/>
      <c r="DZ5" s="5366"/>
      <c r="EA5" s="5364" t="s">
        <v>3682</v>
      </c>
      <c r="EB5" s="5365"/>
      <c r="EC5" s="5365"/>
      <c r="ED5" s="5365"/>
      <c r="EE5" s="5365"/>
      <c r="EF5" s="5365"/>
      <c r="EG5" s="5365"/>
      <c r="EH5" s="5365"/>
      <c r="EI5" s="5365"/>
      <c r="EJ5" s="5365"/>
      <c r="EK5" s="5365"/>
      <c r="EL5" s="5366"/>
      <c r="EM5" s="5361" t="s">
        <v>3734</v>
      </c>
      <c r="EN5" s="5362"/>
      <c r="EO5" s="5362"/>
      <c r="EP5" s="5362"/>
      <c r="EQ5" s="5362"/>
      <c r="ER5" s="5362"/>
      <c r="ES5" s="5362"/>
      <c r="ET5" s="5362"/>
      <c r="EU5" s="5363"/>
      <c r="EV5" s="5361" t="s">
        <v>3735</v>
      </c>
      <c r="EW5" s="5362"/>
      <c r="EX5" s="5362"/>
      <c r="EY5" s="5362"/>
      <c r="EZ5" s="5362"/>
      <c r="FA5" s="5362"/>
      <c r="FB5" s="5362"/>
      <c r="FC5" s="5362"/>
      <c r="FD5" s="5363"/>
      <c r="FE5" s="5361" t="s">
        <v>3736</v>
      </c>
      <c r="FF5" s="5362"/>
      <c r="FG5" s="5362"/>
      <c r="FH5" s="5362"/>
      <c r="FI5" s="5362"/>
      <c r="FJ5" s="5362"/>
      <c r="FK5" s="5362"/>
      <c r="FL5" s="5362"/>
      <c r="FM5" s="5363"/>
      <c r="FN5" s="5364" t="s">
        <v>3683</v>
      </c>
      <c r="FO5" s="5365"/>
      <c r="FP5" s="5365"/>
      <c r="FQ5" s="5365"/>
      <c r="FR5" s="5365"/>
      <c r="FS5" s="5365"/>
      <c r="FT5" s="5365"/>
      <c r="FU5" s="5365"/>
      <c r="FV5" s="5365"/>
      <c r="FW5" s="5365"/>
      <c r="FX5" s="5365"/>
      <c r="FY5" s="5366"/>
      <c r="FZ5" s="5364" t="s">
        <v>1991</v>
      </c>
      <c r="GA5" s="5365"/>
      <c r="GB5" s="5365"/>
      <c r="GC5" s="5365"/>
      <c r="GD5" s="5365"/>
      <c r="GE5" s="5365"/>
      <c r="GF5" s="5365"/>
      <c r="GG5" s="5365"/>
      <c r="GH5" s="5365"/>
      <c r="GI5" s="5365"/>
      <c r="GJ5" s="5365"/>
      <c r="GK5" s="5366"/>
      <c r="GL5" s="565"/>
    </row>
    <row r="6" spans="1:195" ht="20.25" customHeight="1" x14ac:dyDescent="0.2">
      <c r="A6" s="5359"/>
      <c r="B6" s="5367" t="s">
        <v>3550</v>
      </c>
      <c r="C6" s="5368"/>
      <c r="D6" s="5369"/>
      <c r="E6" s="5367" t="s">
        <v>1674</v>
      </c>
      <c r="F6" s="5368"/>
      <c r="G6" s="5369"/>
      <c r="H6" s="5367" t="s">
        <v>3737</v>
      </c>
      <c r="I6" s="5368"/>
      <c r="J6" s="5369"/>
      <c r="K6" s="5367" t="s">
        <v>3550</v>
      </c>
      <c r="L6" s="5368"/>
      <c r="M6" s="5369"/>
      <c r="N6" s="5367" t="s">
        <v>1674</v>
      </c>
      <c r="O6" s="5368"/>
      <c r="P6" s="5369"/>
      <c r="Q6" s="5367" t="s">
        <v>3737</v>
      </c>
      <c r="R6" s="5368"/>
      <c r="S6" s="5369"/>
      <c r="T6" s="5367" t="s">
        <v>3550</v>
      </c>
      <c r="U6" s="5368"/>
      <c r="V6" s="5369"/>
      <c r="W6" s="5367" t="s">
        <v>1674</v>
      </c>
      <c r="X6" s="5368"/>
      <c r="Y6" s="5369"/>
      <c r="Z6" s="5367" t="s">
        <v>3737</v>
      </c>
      <c r="AA6" s="5368"/>
      <c r="AB6" s="5369"/>
      <c r="AC6" s="5370" t="s">
        <v>3550</v>
      </c>
      <c r="AD6" s="5371"/>
      <c r="AE6" s="5372"/>
      <c r="AF6" s="5370" t="s">
        <v>1674</v>
      </c>
      <c r="AG6" s="5371"/>
      <c r="AH6" s="5372"/>
      <c r="AI6" s="5370" t="s">
        <v>3737</v>
      </c>
      <c r="AJ6" s="5371"/>
      <c r="AK6" s="5372"/>
      <c r="AL6" s="5370" t="s">
        <v>3738</v>
      </c>
      <c r="AM6" s="5371"/>
      <c r="AN6" s="5372"/>
      <c r="AO6" s="5367" t="s">
        <v>3550</v>
      </c>
      <c r="AP6" s="5368"/>
      <c r="AQ6" s="5369"/>
      <c r="AR6" s="5367" t="s">
        <v>1674</v>
      </c>
      <c r="AS6" s="5368"/>
      <c r="AT6" s="5369"/>
      <c r="AU6" s="5367" t="s">
        <v>3737</v>
      </c>
      <c r="AV6" s="5368"/>
      <c r="AW6" s="5369"/>
      <c r="AX6" s="5367" t="s">
        <v>3550</v>
      </c>
      <c r="AY6" s="5368"/>
      <c r="AZ6" s="5369"/>
      <c r="BA6" s="5367" t="s">
        <v>1674</v>
      </c>
      <c r="BB6" s="5368"/>
      <c r="BC6" s="5369"/>
      <c r="BD6" s="5367" t="s">
        <v>3737</v>
      </c>
      <c r="BE6" s="5368"/>
      <c r="BF6" s="5369"/>
      <c r="BG6" s="5367" t="s">
        <v>3550</v>
      </c>
      <c r="BH6" s="5368"/>
      <c r="BI6" s="5369"/>
      <c r="BJ6" s="5367" t="s">
        <v>1674</v>
      </c>
      <c r="BK6" s="5368"/>
      <c r="BL6" s="5369"/>
      <c r="BM6" s="5367" t="s">
        <v>3737</v>
      </c>
      <c r="BN6" s="5368"/>
      <c r="BO6" s="5369"/>
      <c r="BP6" s="5370" t="s">
        <v>3550</v>
      </c>
      <c r="BQ6" s="5371"/>
      <c r="BR6" s="5372"/>
      <c r="BS6" s="5370" t="s">
        <v>1674</v>
      </c>
      <c r="BT6" s="5371"/>
      <c r="BU6" s="5372"/>
      <c r="BV6" s="5370" t="s">
        <v>3737</v>
      </c>
      <c r="BW6" s="5371"/>
      <c r="BX6" s="5372"/>
      <c r="BY6" s="5370" t="s">
        <v>3738</v>
      </c>
      <c r="BZ6" s="5371"/>
      <c r="CA6" s="5372"/>
      <c r="CB6" s="5370" t="s">
        <v>3550</v>
      </c>
      <c r="CC6" s="5371"/>
      <c r="CD6" s="5372"/>
      <c r="CE6" s="5370" t="s">
        <v>1674</v>
      </c>
      <c r="CF6" s="5371"/>
      <c r="CG6" s="5372"/>
      <c r="CH6" s="5370" t="s">
        <v>3737</v>
      </c>
      <c r="CI6" s="5371"/>
      <c r="CJ6" s="5372"/>
      <c r="CK6" s="5370" t="s">
        <v>3738</v>
      </c>
      <c r="CL6" s="5371"/>
      <c r="CM6" s="5372"/>
      <c r="CN6" s="5367" t="s">
        <v>3550</v>
      </c>
      <c r="CO6" s="5368"/>
      <c r="CP6" s="5369"/>
      <c r="CQ6" s="5367" t="s">
        <v>1674</v>
      </c>
      <c r="CR6" s="5368"/>
      <c r="CS6" s="5369"/>
      <c r="CT6" s="5367" t="s">
        <v>3737</v>
      </c>
      <c r="CU6" s="5368"/>
      <c r="CV6" s="5369"/>
      <c r="CW6" s="5367" t="s">
        <v>3550</v>
      </c>
      <c r="CX6" s="5368"/>
      <c r="CY6" s="5369"/>
      <c r="CZ6" s="5367" t="s">
        <v>1674</v>
      </c>
      <c r="DA6" s="5368"/>
      <c r="DB6" s="5369"/>
      <c r="DC6" s="5367" t="s">
        <v>3737</v>
      </c>
      <c r="DD6" s="5368"/>
      <c r="DE6" s="5369"/>
      <c r="DF6" s="5367" t="s">
        <v>3550</v>
      </c>
      <c r="DG6" s="5368"/>
      <c r="DH6" s="5369"/>
      <c r="DI6" s="5367" t="s">
        <v>1674</v>
      </c>
      <c r="DJ6" s="5368"/>
      <c r="DK6" s="5369"/>
      <c r="DL6" s="5367" t="s">
        <v>3737</v>
      </c>
      <c r="DM6" s="5368"/>
      <c r="DN6" s="5369"/>
      <c r="DO6" s="5370" t="s">
        <v>3550</v>
      </c>
      <c r="DP6" s="5371"/>
      <c r="DQ6" s="5372"/>
      <c r="DR6" s="5370" t="s">
        <v>1674</v>
      </c>
      <c r="DS6" s="5371"/>
      <c r="DT6" s="5372"/>
      <c r="DU6" s="5370" t="s">
        <v>3737</v>
      </c>
      <c r="DV6" s="5371"/>
      <c r="DW6" s="5372"/>
      <c r="DX6" s="5370" t="s">
        <v>3738</v>
      </c>
      <c r="DY6" s="5371"/>
      <c r="DZ6" s="5372"/>
      <c r="EA6" s="5370" t="s">
        <v>3550</v>
      </c>
      <c r="EB6" s="5371"/>
      <c r="EC6" s="5372"/>
      <c r="ED6" s="5370" t="s">
        <v>1674</v>
      </c>
      <c r="EE6" s="5371"/>
      <c r="EF6" s="5372"/>
      <c r="EG6" s="5370" t="s">
        <v>3737</v>
      </c>
      <c r="EH6" s="5371"/>
      <c r="EI6" s="5372"/>
      <c r="EJ6" s="5370" t="s">
        <v>3738</v>
      </c>
      <c r="EK6" s="5371"/>
      <c r="EL6" s="5372"/>
      <c r="EM6" s="5367" t="s">
        <v>3550</v>
      </c>
      <c r="EN6" s="5368"/>
      <c r="EO6" s="5369"/>
      <c r="EP6" s="5367" t="s">
        <v>1674</v>
      </c>
      <c r="EQ6" s="5368"/>
      <c r="ER6" s="5369"/>
      <c r="ES6" s="5367" t="s">
        <v>3737</v>
      </c>
      <c r="ET6" s="5368"/>
      <c r="EU6" s="5369"/>
      <c r="EV6" s="5367" t="s">
        <v>3550</v>
      </c>
      <c r="EW6" s="5368"/>
      <c r="EX6" s="5369"/>
      <c r="EY6" s="5367" t="s">
        <v>1674</v>
      </c>
      <c r="EZ6" s="5368"/>
      <c r="FA6" s="5369"/>
      <c r="FB6" s="5367" t="s">
        <v>3737</v>
      </c>
      <c r="FC6" s="5368"/>
      <c r="FD6" s="5369"/>
      <c r="FE6" s="5367" t="s">
        <v>3550</v>
      </c>
      <c r="FF6" s="5368"/>
      <c r="FG6" s="5369"/>
      <c r="FH6" s="5367" t="s">
        <v>1674</v>
      </c>
      <c r="FI6" s="5368"/>
      <c r="FJ6" s="5369"/>
      <c r="FK6" s="5367" t="s">
        <v>3737</v>
      </c>
      <c r="FL6" s="5368"/>
      <c r="FM6" s="5369"/>
      <c r="FN6" s="5370" t="s">
        <v>3550</v>
      </c>
      <c r="FO6" s="5371"/>
      <c r="FP6" s="5372"/>
      <c r="FQ6" s="5370" t="s">
        <v>1674</v>
      </c>
      <c r="FR6" s="5371"/>
      <c r="FS6" s="5372"/>
      <c r="FT6" s="5370" t="s">
        <v>3737</v>
      </c>
      <c r="FU6" s="5371"/>
      <c r="FV6" s="5372"/>
      <c r="FW6" s="5370" t="s">
        <v>3738</v>
      </c>
      <c r="FX6" s="5371"/>
      <c r="FY6" s="5372"/>
      <c r="FZ6" s="5370" t="s">
        <v>3550</v>
      </c>
      <c r="GA6" s="5371"/>
      <c r="GB6" s="5372"/>
      <c r="GC6" s="5370" t="s">
        <v>1674</v>
      </c>
      <c r="GD6" s="5371"/>
      <c r="GE6" s="5372"/>
      <c r="GF6" s="5370" t="s">
        <v>3737</v>
      </c>
      <c r="GG6" s="5371"/>
      <c r="GH6" s="5372"/>
      <c r="GI6" s="5370" t="s">
        <v>3738</v>
      </c>
      <c r="GJ6" s="5371"/>
      <c r="GK6" s="5372"/>
      <c r="GL6" s="565"/>
    </row>
    <row r="7" spans="1:195" ht="25.5" customHeight="1" x14ac:dyDescent="0.2">
      <c r="A7" s="5360"/>
      <c r="B7" s="2753" t="s">
        <v>614</v>
      </c>
      <c r="C7" s="2753" t="s">
        <v>3686</v>
      </c>
      <c r="D7" s="2753" t="s">
        <v>3626</v>
      </c>
      <c r="E7" s="2753" t="s">
        <v>614</v>
      </c>
      <c r="F7" s="2753" t="s">
        <v>3686</v>
      </c>
      <c r="G7" s="2753" t="s">
        <v>3626</v>
      </c>
      <c r="H7" s="2753" t="s">
        <v>614</v>
      </c>
      <c r="I7" s="2753" t="s">
        <v>3686</v>
      </c>
      <c r="J7" s="2753" t="s">
        <v>3626</v>
      </c>
      <c r="K7" s="2753" t="s">
        <v>614</v>
      </c>
      <c r="L7" s="2753" t="s">
        <v>3686</v>
      </c>
      <c r="M7" s="2753" t="s">
        <v>3626</v>
      </c>
      <c r="N7" s="2753" t="s">
        <v>614</v>
      </c>
      <c r="O7" s="2753" t="s">
        <v>3686</v>
      </c>
      <c r="P7" s="2753" t="s">
        <v>3626</v>
      </c>
      <c r="Q7" s="2753" t="s">
        <v>614</v>
      </c>
      <c r="R7" s="2753" t="s">
        <v>3686</v>
      </c>
      <c r="S7" s="2753" t="s">
        <v>3626</v>
      </c>
      <c r="T7" s="2753" t="s">
        <v>614</v>
      </c>
      <c r="U7" s="2753" t="s">
        <v>3686</v>
      </c>
      <c r="V7" s="2753" t="s">
        <v>3626</v>
      </c>
      <c r="W7" s="2753" t="s">
        <v>614</v>
      </c>
      <c r="X7" s="2753" t="s">
        <v>3686</v>
      </c>
      <c r="Y7" s="2753" t="s">
        <v>3626</v>
      </c>
      <c r="Z7" s="2753" t="s">
        <v>614</v>
      </c>
      <c r="AA7" s="2753" t="s">
        <v>3686</v>
      </c>
      <c r="AB7" s="2753" t="s">
        <v>3626</v>
      </c>
      <c r="AC7" s="2754" t="s">
        <v>614</v>
      </c>
      <c r="AD7" s="2754" t="s">
        <v>3686</v>
      </c>
      <c r="AE7" s="2754" t="s">
        <v>3626</v>
      </c>
      <c r="AF7" s="2754" t="s">
        <v>614</v>
      </c>
      <c r="AG7" s="2754" t="s">
        <v>3686</v>
      </c>
      <c r="AH7" s="2754" t="s">
        <v>3626</v>
      </c>
      <c r="AI7" s="2754" t="s">
        <v>614</v>
      </c>
      <c r="AJ7" s="2754" t="s">
        <v>3686</v>
      </c>
      <c r="AK7" s="2754" t="s">
        <v>3626</v>
      </c>
      <c r="AL7" s="2754" t="s">
        <v>614</v>
      </c>
      <c r="AM7" s="2754" t="s">
        <v>3686</v>
      </c>
      <c r="AN7" s="2754" t="s">
        <v>3626</v>
      </c>
      <c r="AO7" s="2753" t="s">
        <v>614</v>
      </c>
      <c r="AP7" s="2753" t="s">
        <v>3686</v>
      </c>
      <c r="AQ7" s="2753" t="s">
        <v>3626</v>
      </c>
      <c r="AR7" s="2753" t="s">
        <v>614</v>
      </c>
      <c r="AS7" s="2753" t="s">
        <v>3686</v>
      </c>
      <c r="AT7" s="2753" t="s">
        <v>3626</v>
      </c>
      <c r="AU7" s="2753" t="s">
        <v>614</v>
      </c>
      <c r="AV7" s="2753" t="s">
        <v>3686</v>
      </c>
      <c r="AW7" s="2753" t="s">
        <v>3626</v>
      </c>
      <c r="AX7" s="2753" t="s">
        <v>614</v>
      </c>
      <c r="AY7" s="2753" t="s">
        <v>3686</v>
      </c>
      <c r="AZ7" s="2753" t="s">
        <v>3626</v>
      </c>
      <c r="BA7" s="2753" t="s">
        <v>614</v>
      </c>
      <c r="BB7" s="2753" t="s">
        <v>3686</v>
      </c>
      <c r="BC7" s="2753" t="s">
        <v>3626</v>
      </c>
      <c r="BD7" s="2753" t="s">
        <v>614</v>
      </c>
      <c r="BE7" s="2753" t="s">
        <v>3686</v>
      </c>
      <c r="BF7" s="2753" t="s">
        <v>3626</v>
      </c>
      <c r="BG7" s="2753" t="s">
        <v>614</v>
      </c>
      <c r="BH7" s="2753" t="s">
        <v>3686</v>
      </c>
      <c r="BI7" s="2753" t="s">
        <v>3626</v>
      </c>
      <c r="BJ7" s="2753" t="s">
        <v>614</v>
      </c>
      <c r="BK7" s="2753" t="s">
        <v>3686</v>
      </c>
      <c r="BL7" s="2753" t="s">
        <v>3626</v>
      </c>
      <c r="BM7" s="2753" t="s">
        <v>614</v>
      </c>
      <c r="BN7" s="2753" t="s">
        <v>3686</v>
      </c>
      <c r="BO7" s="2753" t="s">
        <v>3626</v>
      </c>
      <c r="BP7" s="2754" t="s">
        <v>614</v>
      </c>
      <c r="BQ7" s="2754" t="s">
        <v>3686</v>
      </c>
      <c r="BR7" s="2754" t="s">
        <v>3626</v>
      </c>
      <c r="BS7" s="2754" t="s">
        <v>614</v>
      </c>
      <c r="BT7" s="2754" t="s">
        <v>3686</v>
      </c>
      <c r="BU7" s="2754" t="s">
        <v>3626</v>
      </c>
      <c r="BV7" s="2754" t="s">
        <v>614</v>
      </c>
      <c r="BW7" s="2754" t="s">
        <v>3686</v>
      </c>
      <c r="BX7" s="2754" t="s">
        <v>3626</v>
      </c>
      <c r="BY7" s="2754" t="s">
        <v>614</v>
      </c>
      <c r="BZ7" s="2754" t="s">
        <v>3686</v>
      </c>
      <c r="CA7" s="2754" t="s">
        <v>3626</v>
      </c>
      <c r="CB7" s="2754" t="s">
        <v>614</v>
      </c>
      <c r="CC7" s="2754" t="s">
        <v>3686</v>
      </c>
      <c r="CD7" s="2754" t="s">
        <v>3626</v>
      </c>
      <c r="CE7" s="2754" t="s">
        <v>614</v>
      </c>
      <c r="CF7" s="2754" t="s">
        <v>3686</v>
      </c>
      <c r="CG7" s="2754" t="s">
        <v>3626</v>
      </c>
      <c r="CH7" s="2754" t="s">
        <v>614</v>
      </c>
      <c r="CI7" s="2754" t="s">
        <v>3686</v>
      </c>
      <c r="CJ7" s="2754" t="s">
        <v>3626</v>
      </c>
      <c r="CK7" s="2754" t="s">
        <v>614</v>
      </c>
      <c r="CL7" s="2754" t="s">
        <v>3686</v>
      </c>
      <c r="CM7" s="2754" t="s">
        <v>3626</v>
      </c>
      <c r="CN7" s="2753" t="s">
        <v>614</v>
      </c>
      <c r="CO7" s="2753" t="s">
        <v>3686</v>
      </c>
      <c r="CP7" s="2753" t="s">
        <v>3626</v>
      </c>
      <c r="CQ7" s="2753" t="s">
        <v>614</v>
      </c>
      <c r="CR7" s="2753" t="s">
        <v>3686</v>
      </c>
      <c r="CS7" s="2753" t="s">
        <v>3626</v>
      </c>
      <c r="CT7" s="2753" t="s">
        <v>614</v>
      </c>
      <c r="CU7" s="2753" t="s">
        <v>3686</v>
      </c>
      <c r="CV7" s="2753" t="s">
        <v>3626</v>
      </c>
      <c r="CW7" s="2753" t="s">
        <v>614</v>
      </c>
      <c r="CX7" s="2753" t="s">
        <v>3686</v>
      </c>
      <c r="CY7" s="2753" t="s">
        <v>3626</v>
      </c>
      <c r="CZ7" s="2753" t="s">
        <v>614</v>
      </c>
      <c r="DA7" s="2753" t="s">
        <v>3686</v>
      </c>
      <c r="DB7" s="2753" t="s">
        <v>3626</v>
      </c>
      <c r="DC7" s="2753" t="s">
        <v>614</v>
      </c>
      <c r="DD7" s="2753" t="s">
        <v>3686</v>
      </c>
      <c r="DE7" s="2753" t="s">
        <v>3626</v>
      </c>
      <c r="DF7" s="2753" t="s">
        <v>614</v>
      </c>
      <c r="DG7" s="2753" t="s">
        <v>3686</v>
      </c>
      <c r="DH7" s="2753" t="s">
        <v>3626</v>
      </c>
      <c r="DI7" s="2753" t="s">
        <v>614</v>
      </c>
      <c r="DJ7" s="2753" t="s">
        <v>3686</v>
      </c>
      <c r="DK7" s="2753" t="s">
        <v>3626</v>
      </c>
      <c r="DL7" s="2753" t="s">
        <v>614</v>
      </c>
      <c r="DM7" s="2753" t="s">
        <v>3686</v>
      </c>
      <c r="DN7" s="2753" t="s">
        <v>3626</v>
      </c>
      <c r="DO7" s="2754" t="s">
        <v>614</v>
      </c>
      <c r="DP7" s="2754" t="s">
        <v>3686</v>
      </c>
      <c r="DQ7" s="2754" t="s">
        <v>3626</v>
      </c>
      <c r="DR7" s="2754" t="s">
        <v>614</v>
      </c>
      <c r="DS7" s="2754" t="s">
        <v>3686</v>
      </c>
      <c r="DT7" s="2754" t="s">
        <v>3626</v>
      </c>
      <c r="DU7" s="2754" t="s">
        <v>614</v>
      </c>
      <c r="DV7" s="2754" t="s">
        <v>3686</v>
      </c>
      <c r="DW7" s="2754" t="s">
        <v>3626</v>
      </c>
      <c r="DX7" s="2754" t="s">
        <v>614</v>
      </c>
      <c r="DY7" s="2754" t="s">
        <v>3686</v>
      </c>
      <c r="DZ7" s="2754" t="s">
        <v>3626</v>
      </c>
      <c r="EA7" s="2754" t="s">
        <v>614</v>
      </c>
      <c r="EB7" s="2754" t="s">
        <v>3686</v>
      </c>
      <c r="EC7" s="2754" t="s">
        <v>3626</v>
      </c>
      <c r="ED7" s="2754" t="s">
        <v>614</v>
      </c>
      <c r="EE7" s="2754" t="s">
        <v>3686</v>
      </c>
      <c r="EF7" s="2754" t="s">
        <v>3626</v>
      </c>
      <c r="EG7" s="2754" t="s">
        <v>614</v>
      </c>
      <c r="EH7" s="2754" t="s">
        <v>3686</v>
      </c>
      <c r="EI7" s="2754" t="s">
        <v>3626</v>
      </c>
      <c r="EJ7" s="2754" t="s">
        <v>614</v>
      </c>
      <c r="EK7" s="2754" t="s">
        <v>3686</v>
      </c>
      <c r="EL7" s="2754" t="s">
        <v>3626</v>
      </c>
      <c r="EM7" s="2753" t="s">
        <v>614</v>
      </c>
      <c r="EN7" s="2753" t="s">
        <v>3686</v>
      </c>
      <c r="EO7" s="2753" t="s">
        <v>3626</v>
      </c>
      <c r="EP7" s="2753" t="s">
        <v>614</v>
      </c>
      <c r="EQ7" s="2753" t="s">
        <v>3686</v>
      </c>
      <c r="ER7" s="2753" t="s">
        <v>3626</v>
      </c>
      <c r="ES7" s="2753" t="s">
        <v>614</v>
      </c>
      <c r="ET7" s="2753" t="s">
        <v>3686</v>
      </c>
      <c r="EU7" s="2753" t="s">
        <v>3626</v>
      </c>
      <c r="EV7" s="2753" t="s">
        <v>614</v>
      </c>
      <c r="EW7" s="2753" t="s">
        <v>3686</v>
      </c>
      <c r="EX7" s="2753" t="s">
        <v>3626</v>
      </c>
      <c r="EY7" s="2753" t="s">
        <v>614</v>
      </c>
      <c r="EZ7" s="2753" t="s">
        <v>3686</v>
      </c>
      <c r="FA7" s="2753" t="s">
        <v>3626</v>
      </c>
      <c r="FB7" s="2753" t="s">
        <v>614</v>
      </c>
      <c r="FC7" s="2753" t="s">
        <v>3686</v>
      </c>
      <c r="FD7" s="2753" t="s">
        <v>3626</v>
      </c>
      <c r="FE7" s="2753" t="s">
        <v>614</v>
      </c>
      <c r="FF7" s="2753" t="s">
        <v>3686</v>
      </c>
      <c r="FG7" s="2753" t="s">
        <v>3626</v>
      </c>
      <c r="FH7" s="2753" t="s">
        <v>614</v>
      </c>
      <c r="FI7" s="2753" t="s">
        <v>3686</v>
      </c>
      <c r="FJ7" s="2753" t="s">
        <v>3626</v>
      </c>
      <c r="FK7" s="2753" t="s">
        <v>614</v>
      </c>
      <c r="FL7" s="2753" t="s">
        <v>3686</v>
      </c>
      <c r="FM7" s="2753" t="s">
        <v>3626</v>
      </c>
      <c r="FN7" s="2754" t="s">
        <v>614</v>
      </c>
      <c r="FO7" s="2754" t="s">
        <v>3686</v>
      </c>
      <c r="FP7" s="2754" t="s">
        <v>3626</v>
      </c>
      <c r="FQ7" s="2754" t="s">
        <v>614</v>
      </c>
      <c r="FR7" s="2754" t="s">
        <v>3686</v>
      </c>
      <c r="FS7" s="2754" t="s">
        <v>3626</v>
      </c>
      <c r="FT7" s="2754" t="s">
        <v>614</v>
      </c>
      <c r="FU7" s="2754" t="s">
        <v>3686</v>
      </c>
      <c r="FV7" s="2754" t="s">
        <v>3626</v>
      </c>
      <c r="FW7" s="2754" t="s">
        <v>614</v>
      </c>
      <c r="FX7" s="2754" t="s">
        <v>3686</v>
      </c>
      <c r="FY7" s="2754" t="s">
        <v>3626</v>
      </c>
      <c r="FZ7" s="2754" t="s">
        <v>614</v>
      </c>
      <c r="GA7" s="2754" t="s">
        <v>3686</v>
      </c>
      <c r="GB7" s="2754" t="s">
        <v>3626</v>
      </c>
      <c r="GC7" s="2754" t="s">
        <v>614</v>
      </c>
      <c r="GD7" s="2754" t="s">
        <v>3686</v>
      </c>
      <c r="GE7" s="2754" t="s">
        <v>3626</v>
      </c>
      <c r="GF7" s="2754" t="s">
        <v>614</v>
      </c>
      <c r="GG7" s="2754" t="s">
        <v>3686</v>
      </c>
      <c r="GH7" s="2754" t="s">
        <v>3626</v>
      </c>
      <c r="GI7" s="2754" t="s">
        <v>614</v>
      </c>
      <c r="GJ7" s="2754" t="s">
        <v>3686</v>
      </c>
      <c r="GK7" s="2754" t="s">
        <v>3626</v>
      </c>
      <c r="GL7" s="565"/>
    </row>
    <row r="8" spans="1:195" ht="18.75" x14ac:dyDescent="0.3">
      <c r="A8" s="2796" t="s">
        <v>3687</v>
      </c>
      <c r="B8" s="2756">
        <f>SUM(C8:D8)</f>
        <v>506.0542776833334</v>
      </c>
      <c r="C8" s="2756">
        <f>SUM(GA8/12)</f>
        <v>505.94169435000003</v>
      </c>
      <c r="D8" s="2756">
        <f>SUM(GB8/12)</f>
        <v>0.11258333333333333</v>
      </c>
      <c r="E8" s="2756">
        <f>SUM(F8:G8)</f>
        <v>376.63799999999998</v>
      </c>
      <c r="F8" s="2797">
        <f>SUM('ПОЛНАЯ СЕБЕСТОИМОСТЬ ВОДА 2023'!F8)</f>
        <v>376.63799999999998</v>
      </c>
      <c r="G8" s="2797">
        <f>SUM('ПОЛНАЯ СЕБЕСТОИМОСТЬ ВОДА 2023'!G8)</f>
        <v>0</v>
      </c>
      <c r="H8" s="4377">
        <f>SUM(I8:J8)</f>
        <v>401.37600000000003</v>
      </c>
      <c r="I8" s="4378">
        <v>401.29300000000001</v>
      </c>
      <c r="J8" s="4378">
        <v>8.3000000000000004E-2</v>
      </c>
      <c r="K8" s="2756">
        <f>SUM(L8:M8)</f>
        <v>506.0542776833334</v>
      </c>
      <c r="L8" s="2756">
        <f>SUM(GA8/12)</f>
        <v>505.94169435000003</v>
      </c>
      <c r="M8" s="2756">
        <f>SUM(GB8/12)</f>
        <v>0.11258333333333333</v>
      </c>
      <c r="N8" s="2756">
        <f>SUM(O8:P8)</f>
        <v>432.59500000000003</v>
      </c>
      <c r="O8" s="2797">
        <f>SUM('ПОЛНАЯ СЕБЕСТОИМОСТЬ ВОДА 2023'!I8)</f>
        <v>432.59500000000003</v>
      </c>
      <c r="P8" s="2797">
        <f>SUM('ПОЛНАЯ СЕБЕСТОИМОСТЬ ВОДА 2023'!J8)</f>
        <v>0</v>
      </c>
      <c r="Q8" s="4377">
        <f>SUM(R8:S8)</f>
        <v>361.50599999999997</v>
      </c>
      <c r="R8" s="4378">
        <v>361.43299999999999</v>
      </c>
      <c r="S8" s="4378">
        <v>7.2999999999999995E-2</v>
      </c>
      <c r="T8" s="2756">
        <f>SUM(U8:V8)</f>
        <v>506.0542776833334</v>
      </c>
      <c r="U8" s="2756">
        <f>SUM(GA8/12)</f>
        <v>505.94169435000003</v>
      </c>
      <c r="V8" s="2756">
        <f>SUM(GB8/12)</f>
        <v>0.11258333333333333</v>
      </c>
      <c r="W8" s="2756">
        <f>SUM(X8:Y8)</f>
        <v>471.726</v>
      </c>
      <c r="X8" s="2797">
        <f>SUM('ПОЛНАЯ СЕБЕСТОИМОСТЬ ВОДА 2023'!L8)</f>
        <v>471.726</v>
      </c>
      <c r="Y8" s="2797">
        <f>SUM('ПОЛНАЯ СЕБЕСТОИМОСТЬ ВОДА 2023'!M8)</f>
        <v>0</v>
      </c>
      <c r="Z8" s="4377">
        <f>SUM(AA8:AB8)</f>
        <v>399.666</v>
      </c>
      <c r="AA8" s="4378">
        <v>399.56599999999997</v>
      </c>
      <c r="AB8" s="4378">
        <v>0.1</v>
      </c>
      <c r="AC8" s="2758">
        <f>SUM(AD8:AE8)</f>
        <v>1518.16283305</v>
      </c>
      <c r="AD8" s="2758">
        <f>SUM(C8+L8+U8)</f>
        <v>1517.8250830500001</v>
      </c>
      <c r="AE8" s="2758">
        <f>SUM(D8+M8+V8)</f>
        <v>0.33774999999999999</v>
      </c>
      <c r="AF8" s="2758">
        <f>SUM(AG8:AH8)</f>
        <v>1280.9589999999998</v>
      </c>
      <c r="AG8" s="2758">
        <f>SUM(F8+O8+X8)</f>
        <v>1280.9589999999998</v>
      </c>
      <c r="AH8" s="2758">
        <f>SUM(G8+P8+Y8)</f>
        <v>0</v>
      </c>
      <c r="AI8" s="2798">
        <f t="shared" ref="AI8:AK9" si="0">SUM(H8+Q8+Z8)</f>
        <v>1162.548</v>
      </c>
      <c r="AJ8" s="2798">
        <f t="shared" si="0"/>
        <v>1162.2919999999999</v>
      </c>
      <c r="AK8" s="2798">
        <f t="shared" si="0"/>
        <v>0.25600000000000001</v>
      </c>
      <c r="AL8" s="2758">
        <f>SUM(AM8:AN8)</f>
        <v>-237.20383305000027</v>
      </c>
      <c r="AM8" s="2758">
        <f>SUM(AG8-AD8)</f>
        <v>-236.86608305000027</v>
      </c>
      <c r="AN8" s="2758">
        <f>SUM(AH8-AE8)</f>
        <v>-0.33774999999999999</v>
      </c>
      <c r="AO8" s="2756">
        <f>SUM(AP8:AQ8)</f>
        <v>506.0542776833334</v>
      </c>
      <c r="AP8" s="2756">
        <f>SUM(GA8/12)</f>
        <v>505.94169435000003</v>
      </c>
      <c r="AQ8" s="2756">
        <f>SUM(GB8/12)</f>
        <v>0.11258333333333333</v>
      </c>
      <c r="AR8" s="2756">
        <f>SUM(AS8:AT8)</f>
        <v>542.70899999999995</v>
      </c>
      <c r="AS8" s="2797">
        <f>SUM('ПОЛНАЯ СЕБЕСТОИМОСТЬ ВОДА 2023'!U8)</f>
        <v>542.70899999999995</v>
      </c>
      <c r="AT8" s="2797">
        <f>SUM('ПОЛНАЯ СЕБЕСТОИМОСТЬ ВОДА 2023'!V8)</f>
        <v>0</v>
      </c>
      <c r="AU8" s="4377">
        <f>SUM(AV8:AW8)</f>
        <v>437.90899999999999</v>
      </c>
      <c r="AV8" s="4378">
        <v>437.40899999999999</v>
      </c>
      <c r="AW8" s="4378">
        <v>0.5</v>
      </c>
      <c r="AX8" s="2756">
        <f>SUM(AY8:AZ8)</f>
        <v>506.0542776833334</v>
      </c>
      <c r="AY8" s="2756">
        <f>SUM(GA8/12)</f>
        <v>505.94169435000003</v>
      </c>
      <c r="AZ8" s="2756">
        <f>SUM(GB8/12)</f>
        <v>0.11258333333333333</v>
      </c>
      <c r="BA8" s="2756">
        <f>SUM(BB8:BC8)</f>
        <v>615.37199999999996</v>
      </c>
      <c r="BB8" s="2797">
        <f>SUM('ПОЛНАЯ СЕБЕСТОИМОСТЬ ВОДА 2023'!X8)</f>
        <v>615.37199999999996</v>
      </c>
      <c r="BC8" s="2797">
        <f>SUM('ПОЛНАЯ СЕБЕСТОИМОСТЬ ВОДА 2023'!Y8)</f>
        <v>0</v>
      </c>
      <c r="BD8" s="4377">
        <f>SUM(BE8:BF8)</f>
        <v>495.93400000000003</v>
      </c>
      <c r="BE8" s="4378">
        <v>495.899</v>
      </c>
      <c r="BF8" s="4378">
        <v>3.5000000000000003E-2</v>
      </c>
      <c r="BG8" s="2756">
        <f>SUM(BH8:BI8)</f>
        <v>506.0542776833334</v>
      </c>
      <c r="BH8" s="2756">
        <f>SUM(GA8/12)</f>
        <v>505.94169435000003</v>
      </c>
      <c r="BI8" s="2756">
        <f>SUM(GB8/12)</f>
        <v>0.11258333333333333</v>
      </c>
      <c r="BJ8" s="2756">
        <f>SUM(BK8:BL8)</f>
        <v>517.89200000000005</v>
      </c>
      <c r="BK8" s="2797">
        <f>SUM('ПОЛНАЯ СЕБЕСТОИМОСТЬ ВОДА 2023'!AA8)</f>
        <v>517.89200000000005</v>
      </c>
      <c r="BL8" s="2797">
        <f>SUM('ПОЛНАЯ СЕБЕСТОИМОСТЬ ВОДА 2023'!AB8)</f>
        <v>0</v>
      </c>
      <c r="BM8" s="4377">
        <f>SUM(BN8:BO8)</f>
        <v>479.21</v>
      </c>
      <c r="BN8" s="4378">
        <v>479.21</v>
      </c>
      <c r="BO8" s="4378">
        <v>0</v>
      </c>
      <c r="BP8" s="2758">
        <f>SUM(BQ8:BR8)</f>
        <v>1518.16283305</v>
      </c>
      <c r="BQ8" s="2758">
        <f>SUM(AP8+AY8+BH8)</f>
        <v>1517.8250830500001</v>
      </c>
      <c r="BR8" s="2758">
        <f>SUM(AQ8+AZ8+BI8)</f>
        <v>0.33774999999999999</v>
      </c>
      <c r="BS8" s="2758">
        <f>SUM(BT8:BU8)</f>
        <v>1675.973</v>
      </c>
      <c r="BT8" s="2758">
        <f>SUM(AS8+BB8+BK8)</f>
        <v>1675.973</v>
      </c>
      <c r="BU8" s="2758">
        <f>SUM(AT8+BC8+BL8)</f>
        <v>0</v>
      </c>
      <c r="BV8" s="4380">
        <f t="shared" ref="BV8:BX9" si="1">SUM(AU8+BD8+BM8)</f>
        <v>1413.0530000000001</v>
      </c>
      <c r="BW8" s="4379">
        <f t="shared" si="1"/>
        <v>1412.518</v>
      </c>
      <c r="BX8" s="4379">
        <f t="shared" si="1"/>
        <v>0.53500000000000003</v>
      </c>
      <c r="BY8" s="2758">
        <f>SUM(BZ8:CA8)</f>
        <v>157.81016694999985</v>
      </c>
      <c r="BZ8" s="2758">
        <f>SUM(BT8-BQ8)</f>
        <v>158.14791694999985</v>
      </c>
      <c r="CA8" s="2758">
        <f>SUM(BU8-BR8)</f>
        <v>-0.33774999999999999</v>
      </c>
      <c r="CB8" s="2758">
        <f>SUM(CC8:CD8)</f>
        <v>3036.3256661</v>
      </c>
      <c r="CC8" s="2758">
        <f>SUM(AD8+BQ8)</f>
        <v>3035.6501661000002</v>
      </c>
      <c r="CD8" s="2758">
        <f>SUM(AE8+BR8)</f>
        <v>0.67549999999999999</v>
      </c>
      <c r="CE8" s="2758">
        <f>SUM(CF8:CG8)</f>
        <v>2956.9319999999998</v>
      </c>
      <c r="CF8" s="2758">
        <f t="shared" ref="CF8:CJ9" si="2">SUM(AG8+BT8)</f>
        <v>2956.9319999999998</v>
      </c>
      <c r="CG8" s="2758">
        <f t="shared" si="2"/>
        <v>0</v>
      </c>
      <c r="CH8" s="2798">
        <f t="shared" si="2"/>
        <v>2575.6010000000001</v>
      </c>
      <c r="CI8" s="2798">
        <f t="shared" si="2"/>
        <v>2574.81</v>
      </c>
      <c r="CJ8" s="2798">
        <f t="shared" si="2"/>
        <v>0.79100000000000004</v>
      </c>
      <c r="CK8" s="2758">
        <f>SUM(CL8:CM8)</f>
        <v>-79.393666100000416</v>
      </c>
      <c r="CL8" s="2799">
        <f t="shared" ref="CL8:CM23" si="3">SUM(CF8-CC8)</f>
        <v>-78.718166100000417</v>
      </c>
      <c r="CM8" s="2799">
        <f t="shared" si="3"/>
        <v>-0.67549999999999999</v>
      </c>
      <c r="CN8" s="2756">
        <f>SUM(CO8:CP8)</f>
        <v>506.0542776833334</v>
      </c>
      <c r="CO8" s="2756">
        <f>SUM(GA8/12)</f>
        <v>505.94169435000003</v>
      </c>
      <c r="CP8" s="2756">
        <f>SUM(GB8/12)</f>
        <v>0.11258333333333333</v>
      </c>
      <c r="CQ8" s="2756">
        <f>SUM(CR8:CS8)</f>
        <v>526.93100000000004</v>
      </c>
      <c r="CR8" s="2797">
        <f>SUM('ПОЛНАЯ СЕБЕСТОИМОСТЬ ВОДА 2023'!AS8)</f>
        <v>526.93100000000004</v>
      </c>
      <c r="CS8" s="2797">
        <f>SUM('ПОЛНАЯ СЕБЕСТОИМОСТЬ ВОДА 2023'!AT8)</f>
        <v>0</v>
      </c>
      <c r="CT8" s="4377">
        <f>SUM(CU8:CV8)</f>
        <v>394.03699999999998</v>
      </c>
      <c r="CU8" s="4378">
        <v>394.03699999999998</v>
      </c>
      <c r="CV8" s="4378">
        <v>0</v>
      </c>
      <c r="CW8" s="2756">
        <f>SUM(CX8:CY8)</f>
        <v>506.0542776833334</v>
      </c>
      <c r="CX8" s="2756">
        <f>SUM(GA8/12)</f>
        <v>505.94169435000003</v>
      </c>
      <c r="CY8" s="2756">
        <f>SUM(GB8/12)</f>
        <v>0.11258333333333333</v>
      </c>
      <c r="CZ8" s="2756">
        <f>SUM(DA8:DB8)</f>
        <v>0</v>
      </c>
      <c r="DA8" s="2797">
        <f>SUM('ПОЛНАЯ СЕБЕСТОИМОСТЬ ВОДА 2023'!AV8)</f>
        <v>0</v>
      </c>
      <c r="DB8" s="2797">
        <f>SUM('ПОЛНАЯ СЕБЕСТОИМОСТЬ ВОДА 2023'!AW8)</f>
        <v>0</v>
      </c>
      <c r="DC8" s="4377">
        <f>SUM(DD8:DE8)</f>
        <v>384.85599999999999</v>
      </c>
      <c r="DD8" s="4378">
        <v>384.85599999999999</v>
      </c>
      <c r="DE8" s="4378">
        <v>0</v>
      </c>
      <c r="DF8" s="2756">
        <f>SUM(DG8:DH8)</f>
        <v>506.0542776833334</v>
      </c>
      <c r="DG8" s="2756">
        <f>SUM(GA8/12)</f>
        <v>505.94169435000003</v>
      </c>
      <c r="DH8" s="2756">
        <f>SUM(GB8/12)</f>
        <v>0.11258333333333333</v>
      </c>
      <c r="DI8" s="2756">
        <f>SUM(DJ8:DK8)</f>
        <v>0</v>
      </c>
      <c r="DJ8" s="2797">
        <f>SUM('ПОЛНАЯ СЕБЕСТОИМОСТЬ ВОДА 2023'!AY8)</f>
        <v>0</v>
      </c>
      <c r="DK8" s="2797">
        <f>SUM('ПОЛНАЯ СЕБЕСТОИМОСТЬ ВОДА 2023'!AZ8)</f>
        <v>0</v>
      </c>
      <c r="DL8" s="4377">
        <f>SUM(DM8:DN8)</f>
        <v>359.19799999999998</v>
      </c>
      <c r="DM8" s="4378">
        <v>359.19799999999998</v>
      </c>
      <c r="DN8" s="4378">
        <v>0</v>
      </c>
      <c r="DO8" s="2758">
        <f>SUM(DP8:DQ8)</f>
        <v>1518.16283305</v>
      </c>
      <c r="DP8" s="2758">
        <f>SUM(CO8+CX8+DG8)</f>
        <v>1517.8250830500001</v>
      </c>
      <c r="DQ8" s="2758">
        <f>SUM(CP8+CY8+DH8)</f>
        <v>0.33774999999999999</v>
      </c>
      <c r="DR8" s="2758">
        <f>SUM(DS8:DT8)</f>
        <v>526.93100000000004</v>
      </c>
      <c r="DS8" s="2758">
        <f>SUM(CR8+DA8+DJ8)</f>
        <v>526.93100000000004</v>
      </c>
      <c r="DT8" s="2758">
        <f>SUM(CS8+DB8+DK8)</f>
        <v>0</v>
      </c>
      <c r="DU8" s="2798">
        <f t="shared" ref="DU8:DW9" si="4">SUM(CT8+DC8+DL8)</f>
        <v>1138.0909999999999</v>
      </c>
      <c r="DV8" s="2758">
        <f t="shared" si="4"/>
        <v>1138.0909999999999</v>
      </c>
      <c r="DW8" s="2758">
        <f t="shared" si="4"/>
        <v>0</v>
      </c>
      <c r="DX8" s="2758">
        <f>SUM(DY8:DZ8)</f>
        <v>-991.23183305000009</v>
      </c>
      <c r="DY8" s="2799">
        <f t="shared" ref="DY8:DZ23" si="5">SUM(DS8-DP8)</f>
        <v>-990.89408305000006</v>
      </c>
      <c r="DZ8" s="2799">
        <f t="shared" si="5"/>
        <v>-0.33774999999999999</v>
      </c>
      <c r="EA8" s="2758">
        <f>SUM(EB8:EC8)</f>
        <v>4554.4884991500003</v>
      </c>
      <c r="EB8" s="2758">
        <f>SUM(CC8+DP8)</f>
        <v>4553.4752491500003</v>
      </c>
      <c r="EC8" s="2758">
        <f>SUM(CD8+DQ8)</f>
        <v>1.01325</v>
      </c>
      <c r="ED8" s="2758">
        <f>SUM(EE8:EF8)</f>
        <v>3483.8629999999998</v>
      </c>
      <c r="EE8" s="2758">
        <f t="shared" ref="EE8:EI9" si="6">SUM(CF8+DS8)</f>
        <v>3483.8629999999998</v>
      </c>
      <c r="EF8" s="2758">
        <f t="shared" si="6"/>
        <v>0</v>
      </c>
      <c r="EG8" s="2758">
        <f t="shared" si="6"/>
        <v>3713.692</v>
      </c>
      <c r="EH8" s="2758">
        <f t="shared" si="6"/>
        <v>3712.9009999999998</v>
      </c>
      <c r="EI8" s="2758">
        <f t="shared" si="6"/>
        <v>0.79100000000000004</v>
      </c>
      <c r="EJ8" s="2758">
        <f>SUM(EK8:EL8)</f>
        <v>-1070.6254991500005</v>
      </c>
      <c r="EK8" s="2799">
        <f t="shared" ref="EK8:EL23" si="7">SUM(EE8-EB8)</f>
        <v>-1069.6122491500005</v>
      </c>
      <c r="EL8" s="2799">
        <f t="shared" si="7"/>
        <v>-1.01325</v>
      </c>
      <c r="EM8" s="2756">
        <f>SUM(EN8:EO8)</f>
        <v>506.0542776833334</v>
      </c>
      <c r="EN8" s="2756">
        <f>SUM(GA8/12)</f>
        <v>505.94169435000003</v>
      </c>
      <c r="EO8" s="2756">
        <f>SUM(GB8/12)</f>
        <v>0.11258333333333333</v>
      </c>
      <c r="EP8" s="2756">
        <f>SUM(EQ8:ER8)</f>
        <v>0</v>
      </c>
      <c r="EQ8" s="2797">
        <f>SUM('ПОЛНАЯ СЕБЕСТОИМОСТЬ ВОДА 2023'!BQ8)</f>
        <v>0</v>
      </c>
      <c r="ER8" s="2797">
        <f>SUM('ПОЛНАЯ СЕБЕСТОИМОСТЬ ВОДА 2023'!BR8)</f>
        <v>0</v>
      </c>
      <c r="ES8" s="4377">
        <f>SUM(ET8:EU8)</f>
        <v>380.44099999999997</v>
      </c>
      <c r="ET8" s="4378">
        <v>380.44099999999997</v>
      </c>
      <c r="EU8" s="4378">
        <v>0</v>
      </c>
      <c r="EV8" s="2756">
        <f>SUM(EW8:EX8)</f>
        <v>506.0542776833334</v>
      </c>
      <c r="EW8" s="2756">
        <f>SUM(GA8/12)</f>
        <v>505.94169435000003</v>
      </c>
      <c r="EX8" s="2756">
        <f>SUM(GB8/12)</f>
        <v>0.11258333333333333</v>
      </c>
      <c r="EY8" s="2756">
        <f>SUM(EZ8:FA8)</f>
        <v>0</v>
      </c>
      <c r="EZ8" s="2797">
        <f>SUM('ПОЛНАЯ СЕБЕСТОИМОСТЬ ВОДА 2023'!BT8)</f>
        <v>0</v>
      </c>
      <c r="FA8" s="2797">
        <f>SUM('ПОЛНАЯ СЕБЕСТОИМОСТЬ ВОДА 2023'!BU8)</f>
        <v>0</v>
      </c>
      <c r="FB8" s="4377">
        <f>SUM(FC8:FD8)</f>
        <v>422.62400000000002</v>
      </c>
      <c r="FC8" s="4378">
        <v>422.62400000000002</v>
      </c>
      <c r="FD8" s="4378">
        <v>0</v>
      </c>
      <c r="FE8" s="2756">
        <f>SUM(FF8:FG8)</f>
        <v>506.0542776833334</v>
      </c>
      <c r="FF8" s="2756">
        <f>SUM(GA8/12)</f>
        <v>505.94169435000003</v>
      </c>
      <c r="FG8" s="2756">
        <f>SUM(GB8/12)</f>
        <v>0.11258333333333333</v>
      </c>
      <c r="FH8" s="2756">
        <f>SUM(FI8:FJ8)</f>
        <v>0</v>
      </c>
      <c r="FI8" s="2797">
        <f>SUM('ПОЛНАЯ СЕБЕСТОИМОСТЬ ВОДА 2023'!BW8)</f>
        <v>0</v>
      </c>
      <c r="FJ8" s="2797">
        <f>SUM('ПОЛНАЯ СЕБЕСТОИМОСТЬ ВОДА 2023'!BX8)</f>
        <v>0</v>
      </c>
      <c r="FK8" s="4377">
        <f>SUM(FL8:FM8)</f>
        <v>399.63</v>
      </c>
      <c r="FL8" s="4378">
        <v>399.63</v>
      </c>
      <c r="FM8" s="4378">
        <v>0</v>
      </c>
      <c r="FN8" s="2758">
        <f>SUM(FO8:FP8)</f>
        <v>1518.16283305</v>
      </c>
      <c r="FO8" s="2758">
        <f>SUM(EN8+EW8+FF8)</f>
        <v>1517.8250830500001</v>
      </c>
      <c r="FP8" s="2758">
        <f>SUM(EO8+EX8+FG8)</f>
        <v>0.33774999999999999</v>
      </c>
      <c r="FQ8" s="2758">
        <f>SUM(FR8:FS8)</f>
        <v>0</v>
      </c>
      <c r="FR8" s="2758">
        <f>SUM(EQ8+EZ8+FI8)</f>
        <v>0</v>
      </c>
      <c r="FS8" s="2758">
        <f>SUM(ER8+FA8+FJ8)</f>
        <v>0</v>
      </c>
      <c r="FT8" s="2798">
        <f t="shared" ref="FT8:FV9" si="8">SUM(ES8+FB8+FK8)</f>
        <v>1202.6950000000002</v>
      </c>
      <c r="FU8" s="2798">
        <f t="shared" si="8"/>
        <v>1202.6950000000002</v>
      </c>
      <c r="FV8" s="2798">
        <f t="shared" si="8"/>
        <v>0</v>
      </c>
      <c r="FW8" s="2758">
        <f>SUM(FX8:FY8)</f>
        <v>-1518.16283305</v>
      </c>
      <c r="FX8" s="2799">
        <f t="shared" ref="FX8:FY23" si="9">SUM(FR8-FO8)</f>
        <v>-1517.8250830500001</v>
      </c>
      <c r="FY8" s="2799">
        <f t="shared" si="9"/>
        <v>-0.33774999999999999</v>
      </c>
      <c r="FZ8" s="4379">
        <f>SUM(GA8:GB8)</f>
        <v>6072.6513322000001</v>
      </c>
      <c r="GA8" s="4379">
        <f>SUM('ПОЛНАЯ СЕБЕСТОИМОСТЬ ВОДА 2023'!CC8)</f>
        <v>6071.3003322000004</v>
      </c>
      <c r="GB8" s="4379">
        <f>SUM('ПОЛНАЯ СЕБЕСТОИМОСТЬ ВОДА 2023'!CD8)</f>
        <v>1.351</v>
      </c>
      <c r="GC8" s="2758">
        <f>SUM(GD8:GE8)</f>
        <v>3483.8629999999998</v>
      </c>
      <c r="GD8" s="2798">
        <f t="shared" ref="GD8:GE9" si="10">SUM(EE8+FR8)</f>
        <v>3483.8629999999998</v>
      </c>
      <c r="GE8" s="2798">
        <f t="shared" si="10"/>
        <v>0</v>
      </c>
      <c r="GF8" s="2798">
        <f>SUM(EG8+FT8)</f>
        <v>4916.3870000000006</v>
      </c>
      <c r="GG8" s="2798">
        <f t="shared" ref="GG8:GH9" si="11">SUM(EH8+FU8)</f>
        <v>4915.5959999999995</v>
      </c>
      <c r="GH8" s="2798">
        <f t="shared" si="11"/>
        <v>0.79100000000000004</v>
      </c>
      <c r="GI8" s="2758">
        <f>SUM(GJ8:GK8)</f>
        <v>-2588.7883322000007</v>
      </c>
      <c r="GJ8" s="2799">
        <f t="shared" ref="GJ8:GK23" si="12">SUM(GD8-GA8)</f>
        <v>-2587.4373322000006</v>
      </c>
      <c r="GK8" s="2799">
        <f t="shared" si="12"/>
        <v>-1.351</v>
      </c>
      <c r="GL8" s="565"/>
      <c r="GM8" s="3576">
        <f>SUM(B8+K8+T8+AO8+AX8+BG8+CN8+CW8+DF8+EM8+EV8+FE8)</f>
        <v>6072.6513322000019</v>
      </c>
    </row>
    <row r="9" spans="1:195" ht="18.75" x14ac:dyDescent="0.3">
      <c r="A9" s="2800" t="s">
        <v>20</v>
      </c>
      <c r="B9" s="2762">
        <f>SUM(C9:D9)</f>
        <v>96.634863620783335</v>
      </c>
      <c r="C9" s="2762">
        <f>SUM(GA9/12)</f>
        <v>96.634863620783335</v>
      </c>
      <c r="D9" s="2762">
        <f>SUM(GB9/12)</f>
        <v>0</v>
      </c>
      <c r="E9" s="2762">
        <f>SUM(F9:G9)</f>
        <v>27.5943</v>
      </c>
      <c r="F9" s="2801">
        <f>SUM('ПОЛНАЯ СЕБЕСТОИМОСТЬ ВОДА 2023'!F9)</f>
        <v>27.5943</v>
      </c>
      <c r="G9" s="2801">
        <f>SUM('ПОЛНАЯ СЕБЕСТОИМОСТЬ ВОДА 2023'!G9)</f>
        <v>0</v>
      </c>
      <c r="H9" s="4382">
        <f>SUM(I9:J9)</f>
        <v>30.1432</v>
      </c>
      <c r="I9" s="4383">
        <v>30.1432</v>
      </c>
      <c r="J9" s="4383">
        <v>0</v>
      </c>
      <c r="K9" s="2762">
        <f>SUM(L9:M9)</f>
        <v>96.634863620783335</v>
      </c>
      <c r="L9" s="2762">
        <f>SUM(GA9/12)</f>
        <v>96.634863620783335</v>
      </c>
      <c r="M9" s="2762">
        <f>SUM(GB9/12)</f>
        <v>0</v>
      </c>
      <c r="N9" s="2762">
        <f>SUM(O9:P9)</f>
        <v>29.157299999999999</v>
      </c>
      <c r="O9" s="2801">
        <f>SUM('ПОЛНАЯ СЕБЕСТОИМОСТЬ ВОДА 2023'!I9)</f>
        <v>29.157299999999999</v>
      </c>
      <c r="P9" s="2801">
        <f>SUM('ПОЛНАЯ СЕБЕСТОИМОСТЬ ВОДА 2023'!J9)</f>
        <v>0</v>
      </c>
      <c r="Q9" s="4382">
        <f>SUM(R9:S9)</f>
        <v>20.338239999999999</v>
      </c>
      <c r="R9" s="4383">
        <v>20.338239999999999</v>
      </c>
      <c r="S9" s="4383">
        <v>0</v>
      </c>
      <c r="T9" s="2762">
        <f>SUM(U9:V9)</f>
        <v>96.634863620783335</v>
      </c>
      <c r="U9" s="2762">
        <f>SUM(GA9/12)</f>
        <v>96.634863620783335</v>
      </c>
      <c r="V9" s="2762">
        <f>SUM(GB9/12)</f>
        <v>0</v>
      </c>
      <c r="W9" s="2762">
        <f>SUM(X9:Y9)</f>
        <v>28.397300000000001</v>
      </c>
      <c r="X9" s="2801">
        <f>SUM('ПОЛНАЯ СЕБЕСТОИМОСТЬ ВОДА 2023'!L9)</f>
        <v>28.397300000000001</v>
      </c>
      <c r="Y9" s="2801">
        <f>SUM('ПОЛНАЯ СЕБЕСТОИМОСТЬ ВОДА 2023'!M9)</f>
        <v>0</v>
      </c>
      <c r="Z9" s="4382">
        <f>SUM(AA9:AB9)</f>
        <v>19.094239999999999</v>
      </c>
      <c r="AA9" s="4383">
        <v>19.094239999999999</v>
      </c>
      <c r="AB9" s="4383">
        <v>0</v>
      </c>
      <c r="AC9" s="2763">
        <f>SUM(AD9:AE9)</f>
        <v>289.90459086235001</v>
      </c>
      <c r="AD9" s="2763">
        <f>SUM(C9+L9+U9)</f>
        <v>289.90459086235001</v>
      </c>
      <c r="AE9" s="2763">
        <f>SUM(D9+M9+V9)</f>
        <v>0</v>
      </c>
      <c r="AF9" s="2763">
        <f>SUM(AG9:AH9)</f>
        <v>85.148899999999998</v>
      </c>
      <c r="AG9" s="2763">
        <f>SUM(F9+O9+X9)</f>
        <v>85.148899999999998</v>
      </c>
      <c r="AH9" s="2763">
        <f>SUM(G9+P9+Y9)</f>
        <v>0</v>
      </c>
      <c r="AI9" s="2802">
        <f t="shared" si="0"/>
        <v>69.575680000000006</v>
      </c>
      <c r="AJ9" s="2802">
        <f t="shared" si="0"/>
        <v>69.575680000000006</v>
      </c>
      <c r="AK9" s="2802">
        <f t="shared" si="0"/>
        <v>0</v>
      </c>
      <c r="AL9" s="2763">
        <f>SUM(AM9:AN9)</f>
        <v>-204.75569086235001</v>
      </c>
      <c r="AM9" s="2763">
        <f>SUM(AG9-AD9)</f>
        <v>-204.75569086235001</v>
      </c>
      <c r="AN9" s="2763">
        <f>SUM(AH9-AE9)</f>
        <v>0</v>
      </c>
      <c r="AO9" s="2762">
        <f>SUM(AP9:AQ9)</f>
        <v>96.634863620783335</v>
      </c>
      <c r="AP9" s="2762">
        <f>SUM(GA9/12)</f>
        <v>96.634863620783335</v>
      </c>
      <c r="AQ9" s="2762">
        <f>SUM(GB9/12)</f>
        <v>0</v>
      </c>
      <c r="AR9" s="2762">
        <f>SUM(AS9:AT9)</f>
        <v>80.659300000000002</v>
      </c>
      <c r="AS9" s="2801">
        <f>SUM('ПОЛНАЯ СЕБЕСТОИМОСТЬ ВОДА 2023'!U9)</f>
        <v>80.659300000000002</v>
      </c>
      <c r="AT9" s="2801">
        <f>SUM('ПОЛНАЯ СЕБЕСТОИМОСТЬ ВОДА 2023'!V9)</f>
        <v>0</v>
      </c>
      <c r="AU9" s="4382">
        <f>SUM(AV9:AW9)</f>
        <v>63.152239999999999</v>
      </c>
      <c r="AV9" s="4383">
        <v>63.152239999999999</v>
      </c>
      <c r="AW9" s="4383">
        <v>0</v>
      </c>
      <c r="AX9" s="2762">
        <f>SUM(AY9:AZ9)</f>
        <v>96.634863620783335</v>
      </c>
      <c r="AY9" s="2762">
        <f>SUM(GA9/12)</f>
        <v>96.634863620783335</v>
      </c>
      <c r="AZ9" s="2762">
        <f>SUM(GB9/12)</f>
        <v>0</v>
      </c>
      <c r="BA9" s="2762">
        <f>SUM(BB9:BC9)</f>
        <v>106.3943</v>
      </c>
      <c r="BB9" s="2801">
        <f>SUM('ПОЛНАЯ СЕБЕСТОИМОСТЬ ВОДА 2023'!X9)</f>
        <v>106.3943</v>
      </c>
      <c r="BC9" s="2801">
        <f>SUM('ПОЛНАЯ СЕБЕСТОИМОСТЬ ВОДА 2023'!Y9)</f>
        <v>0</v>
      </c>
      <c r="BD9" s="4382">
        <f>SUM(BE9:BF9)</f>
        <v>149.86424</v>
      </c>
      <c r="BE9" s="4383">
        <v>149.86424</v>
      </c>
      <c r="BF9" s="4383">
        <v>0</v>
      </c>
      <c r="BG9" s="2762">
        <f>SUM(BH9:BI9)</f>
        <v>96.634863620783335</v>
      </c>
      <c r="BH9" s="2762">
        <f>SUM(GA9/12)</f>
        <v>96.634863620783335</v>
      </c>
      <c r="BI9" s="2762">
        <f>SUM(GB9/12)</f>
        <v>0</v>
      </c>
      <c r="BJ9" s="2762">
        <f>SUM(BK9:BL9)</f>
        <v>62.41733</v>
      </c>
      <c r="BK9" s="2801">
        <f>SUM('ПОЛНАЯ СЕБЕСТОИМОСТЬ ВОДА 2023'!AA9)</f>
        <v>62.41733</v>
      </c>
      <c r="BL9" s="2801">
        <f>SUM('ПОЛНАЯ СЕБЕСТОИМОСТЬ ВОДА 2023'!AB9)</f>
        <v>0</v>
      </c>
      <c r="BM9" s="4382">
        <f>SUM(BN9:BO9)</f>
        <v>144.71423999999999</v>
      </c>
      <c r="BN9" s="4383">
        <v>144.71423999999999</v>
      </c>
      <c r="BO9" s="4383">
        <v>0</v>
      </c>
      <c r="BP9" s="2763">
        <f>SUM(BQ9:BR9)</f>
        <v>289.90459086235001</v>
      </c>
      <c r="BQ9" s="2763">
        <f>SUM(AP9+AY9+BH9)</f>
        <v>289.90459086235001</v>
      </c>
      <c r="BR9" s="2763">
        <f>SUM(AQ9+AZ9+BI9)</f>
        <v>0</v>
      </c>
      <c r="BS9" s="2763">
        <f>SUM(BT9:BU9)</f>
        <v>249.47093000000001</v>
      </c>
      <c r="BT9" s="2763">
        <f>SUM(AS9+BB9+BK9)</f>
        <v>249.47093000000001</v>
      </c>
      <c r="BU9" s="2763">
        <f>SUM(AT9+BC9+BL9)</f>
        <v>0</v>
      </c>
      <c r="BV9" s="4551">
        <f t="shared" si="1"/>
        <v>357.73072000000002</v>
      </c>
      <c r="BW9" s="4384">
        <f t="shared" si="1"/>
        <v>357.73072000000002</v>
      </c>
      <c r="BX9" s="4384">
        <f t="shared" si="1"/>
        <v>0</v>
      </c>
      <c r="BY9" s="2763">
        <f>SUM(BZ9:CA9)</f>
        <v>-40.433660862349996</v>
      </c>
      <c r="BZ9" s="2763">
        <f>SUM(BT9-BQ9)</f>
        <v>-40.433660862349996</v>
      </c>
      <c r="CA9" s="2763">
        <f>SUM(BU9-BR9)</f>
        <v>0</v>
      </c>
      <c r="CB9" s="2763">
        <f>SUM(CC9:CD9)</f>
        <v>579.80918172470001</v>
      </c>
      <c r="CC9" s="2763">
        <f>SUM(AD9+BQ9)</f>
        <v>579.80918172470001</v>
      </c>
      <c r="CD9" s="2763">
        <f>SUM(AE9+BR9)</f>
        <v>0</v>
      </c>
      <c r="CE9" s="2763">
        <f>SUM(CF9:CG9)</f>
        <v>334.61982999999998</v>
      </c>
      <c r="CF9" s="2763">
        <f t="shared" si="2"/>
        <v>334.61982999999998</v>
      </c>
      <c r="CG9" s="2763">
        <f t="shared" si="2"/>
        <v>0</v>
      </c>
      <c r="CH9" s="2802">
        <f t="shared" si="2"/>
        <v>427.30640000000005</v>
      </c>
      <c r="CI9" s="2802">
        <f t="shared" si="2"/>
        <v>427.30640000000005</v>
      </c>
      <c r="CJ9" s="2802">
        <f t="shared" si="2"/>
        <v>0</v>
      </c>
      <c r="CK9" s="2763">
        <f>SUM(CL9:CM9)</f>
        <v>-245.18935172470003</v>
      </c>
      <c r="CL9" s="2803">
        <f t="shared" si="3"/>
        <v>-245.18935172470003</v>
      </c>
      <c r="CM9" s="2803">
        <f t="shared" si="3"/>
        <v>0</v>
      </c>
      <c r="CN9" s="2762">
        <f>SUM(CO9:CP9)</f>
        <v>96.634863620783335</v>
      </c>
      <c r="CO9" s="2762">
        <f>SUM(GA9/12)</f>
        <v>96.634863620783335</v>
      </c>
      <c r="CP9" s="2762">
        <f>SUM(GB9/12)</f>
        <v>0</v>
      </c>
      <c r="CQ9" s="2762">
        <f>SUM(CR9:CS9)</f>
        <v>106.84529999999999</v>
      </c>
      <c r="CR9" s="2801">
        <f>SUM('ПОЛНАЯ СЕБЕСТОИМОСТЬ ВОДА 2023'!AS9)</f>
        <v>106.84529999999999</v>
      </c>
      <c r="CS9" s="2801">
        <f>SUM('ПОЛНАЯ СЕБЕСТОИМОСТЬ ВОДА 2023'!AT9)</f>
        <v>0</v>
      </c>
      <c r="CT9" s="4385">
        <f>SUM(CU9:CV9)</f>
        <v>59.157200000000003</v>
      </c>
      <c r="CU9" s="4383">
        <v>59.157200000000003</v>
      </c>
      <c r="CV9" s="4383">
        <v>0</v>
      </c>
      <c r="CW9" s="2762">
        <f>SUM(CX9:CY9)</f>
        <v>96.634863620783335</v>
      </c>
      <c r="CX9" s="2762">
        <f>SUM(GA9/12)</f>
        <v>96.634863620783335</v>
      </c>
      <c r="CY9" s="2762">
        <f>SUM(GB9/12)</f>
        <v>0</v>
      </c>
      <c r="CZ9" s="2762">
        <f>SUM(DA9:DB9)</f>
        <v>0</v>
      </c>
      <c r="DA9" s="2801">
        <f>SUM('ПОЛНАЯ СЕБЕСТОИМОСТЬ ВОДА 2023'!AV9)</f>
        <v>0</v>
      </c>
      <c r="DB9" s="2801">
        <f>SUM('ПОЛНАЯ СЕБЕСТОИМОСТЬ ВОДА 2023'!AW9)</f>
        <v>0</v>
      </c>
      <c r="DC9" s="4382">
        <f>SUM(DD9:DE9)</f>
        <v>42.8872</v>
      </c>
      <c r="DD9" s="4383">
        <v>42.8872</v>
      </c>
      <c r="DE9" s="4383">
        <v>0</v>
      </c>
      <c r="DF9" s="2762">
        <f>SUM(DG9:DH9)</f>
        <v>96.634863620783335</v>
      </c>
      <c r="DG9" s="2762">
        <f>SUM(GA9/12)</f>
        <v>96.634863620783335</v>
      </c>
      <c r="DH9" s="2762">
        <f>SUM(GB9/12)</f>
        <v>0</v>
      </c>
      <c r="DI9" s="2762">
        <f>SUM(DJ9:DK9)</f>
        <v>0</v>
      </c>
      <c r="DJ9" s="2801">
        <f>SUM('ПОЛНАЯ СЕБЕСТОИМОСТЬ ВОДА 2023'!AY9)</f>
        <v>0</v>
      </c>
      <c r="DK9" s="2801">
        <f>SUM('ПОЛНАЯ СЕБЕСТОИМОСТЬ ВОДА 2023'!AZ9)</f>
        <v>0</v>
      </c>
      <c r="DL9" s="4382">
        <f>SUM(DM9:DN9)</f>
        <v>25.562239999999999</v>
      </c>
      <c r="DM9" s="4383">
        <v>25.562239999999999</v>
      </c>
      <c r="DN9" s="4383">
        <v>0</v>
      </c>
      <c r="DO9" s="2763">
        <f>SUM(DP9:DQ9)</f>
        <v>289.90459086235001</v>
      </c>
      <c r="DP9" s="2763">
        <f>SUM(CO9+CX9+DG9)</f>
        <v>289.90459086235001</v>
      </c>
      <c r="DQ9" s="2763">
        <f>SUM(CP9+CY9+DH9)</f>
        <v>0</v>
      </c>
      <c r="DR9" s="2763">
        <f>SUM(DS9:DT9)</f>
        <v>106.84529999999999</v>
      </c>
      <c r="DS9" s="2763">
        <f>SUM(CR9+DA9+DJ9)</f>
        <v>106.84529999999999</v>
      </c>
      <c r="DT9" s="2763">
        <f>SUM(CS9+DB9+DK9)</f>
        <v>0</v>
      </c>
      <c r="DU9" s="2802">
        <f t="shared" si="4"/>
        <v>127.60664</v>
      </c>
      <c r="DV9" s="2763">
        <f t="shared" si="4"/>
        <v>127.60664</v>
      </c>
      <c r="DW9" s="2763">
        <f t="shared" si="4"/>
        <v>0</v>
      </c>
      <c r="DX9" s="2763">
        <f>SUM(DY9:DZ9)</f>
        <v>-183.05929086235</v>
      </c>
      <c r="DY9" s="2803">
        <f t="shared" si="5"/>
        <v>-183.05929086235</v>
      </c>
      <c r="DZ9" s="2803">
        <f t="shared" si="5"/>
        <v>0</v>
      </c>
      <c r="EA9" s="2763">
        <f>SUM(EB9:EC9)</f>
        <v>869.71377258705002</v>
      </c>
      <c r="EB9" s="2763">
        <f>SUM(CC9+DP9)</f>
        <v>869.71377258705002</v>
      </c>
      <c r="EC9" s="2763">
        <f>SUM(CD9+DQ9)</f>
        <v>0</v>
      </c>
      <c r="ED9" s="2763">
        <f>SUM(EE9:EF9)</f>
        <v>441.46512999999999</v>
      </c>
      <c r="EE9" s="2763">
        <f t="shared" si="6"/>
        <v>441.46512999999999</v>
      </c>
      <c r="EF9" s="2763">
        <f t="shared" si="6"/>
        <v>0</v>
      </c>
      <c r="EG9" s="2763">
        <f t="shared" si="6"/>
        <v>554.91304000000002</v>
      </c>
      <c r="EH9" s="2763">
        <f t="shared" si="6"/>
        <v>554.91304000000002</v>
      </c>
      <c r="EI9" s="2763">
        <f t="shared" si="6"/>
        <v>0</v>
      </c>
      <c r="EJ9" s="2763">
        <f>SUM(EK9:EL9)</f>
        <v>-428.24864258705003</v>
      </c>
      <c r="EK9" s="2803">
        <f t="shared" si="7"/>
        <v>-428.24864258705003</v>
      </c>
      <c r="EL9" s="2803">
        <f t="shared" si="7"/>
        <v>0</v>
      </c>
      <c r="EM9" s="2762">
        <f>SUM(EN9:EO9)</f>
        <v>96.634863620783335</v>
      </c>
      <c r="EN9" s="2762">
        <f>SUM(GA9/12)</f>
        <v>96.634863620783335</v>
      </c>
      <c r="EO9" s="2762">
        <f>SUM(GB9/12)</f>
        <v>0</v>
      </c>
      <c r="EP9" s="2762">
        <f>SUM(EQ9:ER9)</f>
        <v>0</v>
      </c>
      <c r="EQ9" s="2801">
        <f>SUM('ПОЛНАЯ СЕБЕСТОИМОСТЬ ВОДА 2023'!BQ9)</f>
        <v>0</v>
      </c>
      <c r="ER9" s="2801">
        <f>SUM('ПОЛНАЯ СЕБЕСТОИМОСТЬ ВОДА 2023'!BR9)</f>
        <v>0</v>
      </c>
      <c r="ES9" s="4385">
        <f>SUM(ET9:EU9)</f>
        <v>31.96724</v>
      </c>
      <c r="ET9" s="4383">
        <v>31.96724</v>
      </c>
      <c r="EU9" s="4383">
        <v>0</v>
      </c>
      <c r="EV9" s="2762">
        <f>SUM(EW9:EX9)</f>
        <v>96.634863620783335</v>
      </c>
      <c r="EW9" s="2762">
        <f>SUM(GA9/12)</f>
        <v>96.634863620783335</v>
      </c>
      <c r="EX9" s="2762">
        <f>SUM(GB9/12)</f>
        <v>0</v>
      </c>
      <c r="EY9" s="2762">
        <f>SUM(EZ9:FA9)</f>
        <v>0</v>
      </c>
      <c r="EZ9" s="2801">
        <f>SUM('ПОЛНАЯ СЕБЕСТОИМОСТЬ ВОДА 2023'!BT9)</f>
        <v>0</v>
      </c>
      <c r="FA9" s="2801">
        <f>SUM('ПОЛНАЯ СЕБЕСТОИМОСТЬ ВОДА 2023'!BU9)</f>
        <v>0</v>
      </c>
      <c r="FB9" s="4382">
        <f>SUM(FC9:FD9)</f>
        <v>82.787239999999997</v>
      </c>
      <c r="FC9" s="4383">
        <v>82.787239999999997</v>
      </c>
      <c r="FD9" s="4383">
        <v>0</v>
      </c>
      <c r="FE9" s="2762">
        <f>SUM(FF9:FG9)</f>
        <v>96.634863620783335</v>
      </c>
      <c r="FF9" s="2762">
        <f>SUM(GA9/12)</f>
        <v>96.634863620783335</v>
      </c>
      <c r="FG9" s="2762">
        <f>SUM(GB9/12)</f>
        <v>0</v>
      </c>
      <c r="FH9" s="2762">
        <f>SUM(FI9:FJ9)</f>
        <v>0</v>
      </c>
      <c r="FI9" s="2801">
        <f>SUM('ПОЛНАЯ СЕБЕСТОИМОСТЬ ВОДА 2023'!BW9)</f>
        <v>0</v>
      </c>
      <c r="FJ9" s="2801">
        <f>SUM('ПОЛНАЯ СЕБЕСТОИМОСТЬ ВОДА 2023'!BX9)</f>
        <v>0</v>
      </c>
      <c r="FK9" s="4382">
        <f>SUM(FL9:FM9)</f>
        <v>44.140349999999998</v>
      </c>
      <c r="FL9" s="4383">
        <v>44.140349999999998</v>
      </c>
      <c r="FM9" s="4383">
        <v>0</v>
      </c>
      <c r="FN9" s="2763">
        <f>SUM(FO9:FP9)</f>
        <v>289.90459086235001</v>
      </c>
      <c r="FO9" s="2763">
        <f>SUM(EN9+EW9+FF9)</f>
        <v>289.90459086235001</v>
      </c>
      <c r="FP9" s="2763">
        <f>SUM(EO9+EX9+FG9)</f>
        <v>0</v>
      </c>
      <c r="FQ9" s="2763">
        <f>SUM(FR9:FS9)</f>
        <v>0</v>
      </c>
      <c r="FR9" s="2763">
        <f>SUM(EQ9+EZ9+FI9)</f>
        <v>0</v>
      </c>
      <c r="FS9" s="2763">
        <f>SUM(ER9+FA9+FJ9)</f>
        <v>0</v>
      </c>
      <c r="FT9" s="2802">
        <f t="shared" si="8"/>
        <v>158.89483000000001</v>
      </c>
      <c r="FU9" s="2802">
        <f t="shared" si="8"/>
        <v>158.89483000000001</v>
      </c>
      <c r="FV9" s="2802">
        <f t="shared" si="8"/>
        <v>0</v>
      </c>
      <c r="FW9" s="2763">
        <f>SUM(FX9:FY9)</f>
        <v>-289.90459086235001</v>
      </c>
      <c r="FX9" s="2803">
        <f t="shared" si="9"/>
        <v>-289.90459086235001</v>
      </c>
      <c r="FY9" s="2803">
        <f t="shared" si="9"/>
        <v>0</v>
      </c>
      <c r="FZ9" s="4384">
        <f>SUM(GA9:GB9)</f>
        <v>1159.6183634494</v>
      </c>
      <c r="GA9" s="4384">
        <f>SUM('ПОЛНАЯ СЕБЕСТОИМОСТЬ ВОДА 2023'!CC9)</f>
        <v>1159.6183634494</v>
      </c>
      <c r="GB9" s="4384">
        <f>SUM('ПОЛНАЯ СЕБЕСТОИМОСТЬ ВОДА 2023'!CD9)</f>
        <v>0</v>
      </c>
      <c r="GC9" s="2763">
        <f>SUM(GD9:GE9)</f>
        <v>441.46512999999999</v>
      </c>
      <c r="GD9" s="2802">
        <f t="shared" si="10"/>
        <v>441.46512999999999</v>
      </c>
      <c r="GE9" s="2802">
        <f t="shared" si="10"/>
        <v>0</v>
      </c>
      <c r="GF9" s="2802">
        <f>SUM(EG9+FT9)</f>
        <v>713.80787000000009</v>
      </c>
      <c r="GG9" s="2802">
        <f t="shared" si="11"/>
        <v>713.80787000000009</v>
      </c>
      <c r="GH9" s="2802">
        <f t="shared" si="11"/>
        <v>0</v>
      </c>
      <c r="GI9" s="2763">
        <f>SUM(GJ9:GK9)</f>
        <v>-718.15323344939998</v>
      </c>
      <c r="GJ9" s="2803">
        <f t="shared" si="12"/>
        <v>-718.15323344939998</v>
      </c>
      <c r="GK9" s="2803">
        <f t="shared" si="12"/>
        <v>0</v>
      </c>
      <c r="GL9" s="565"/>
      <c r="GM9" s="3576">
        <f t="shared" ref="GM9:GM23" si="13">SUM(B9+K9+T9+AO9+AX9+BG9+CN9+CW9+DF9+EM9+EV9+FE9)</f>
        <v>1159.6183634494</v>
      </c>
    </row>
    <row r="10" spans="1:195" ht="18.75" x14ac:dyDescent="0.3">
      <c r="A10" s="2786" t="s">
        <v>371</v>
      </c>
      <c r="B10" s="2764">
        <f t="shared" ref="B10:AK10" si="14">SUM(B9/B8)</f>
        <v>0.19095750768705724</v>
      </c>
      <c r="C10" s="2764">
        <f t="shared" si="14"/>
        <v>0.19099999999986822</v>
      </c>
      <c r="D10" s="2764">
        <f t="shared" si="14"/>
        <v>0</v>
      </c>
      <c r="E10" s="2764">
        <f t="shared" si="14"/>
        <v>7.326477944339127E-2</v>
      </c>
      <c r="F10" s="2764">
        <f t="shared" si="14"/>
        <v>7.326477944339127E-2</v>
      </c>
      <c r="G10" s="2764" t="e">
        <f t="shared" si="14"/>
        <v>#DIV/0!</v>
      </c>
      <c r="H10" s="4560">
        <f t="shared" si="14"/>
        <v>7.5099657179303198E-2</v>
      </c>
      <c r="I10" s="4560">
        <v>7.511519014784708E-2</v>
      </c>
      <c r="J10" s="4560">
        <v>0</v>
      </c>
      <c r="K10" s="2764">
        <f t="shared" si="14"/>
        <v>0.19095750768705724</v>
      </c>
      <c r="L10" s="2764">
        <f t="shared" si="14"/>
        <v>0.19099999999986822</v>
      </c>
      <c r="M10" s="2764">
        <f t="shared" si="14"/>
        <v>0</v>
      </c>
      <c r="N10" s="2764">
        <f t="shared" si="14"/>
        <v>6.7400917717495568E-2</v>
      </c>
      <c r="O10" s="2764">
        <f t="shared" si="14"/>
        <v>6.7400917717495568E-2</v>
      </c>
      <c r="P10" s="2764" t="e">
        <f t="shared" si="14"/>
        <v>#DIV/0!</v>
      </c>
      <c r="Q10" s="4560">
        <f t="shared" si="14"/>
        <v>5.6259757791018682E-2</v>
      </c>
      <c r="R10" s="4560">
        <v>5.6271120788638558E-2</v>
      </c>
      <c r="S10" s="4560">
        <v>0</v>
      </c>
      <c r="T10" s="2764">
        <f t="shared" si="14"/>
        <v>0.19095750768705724</v>
      </c>
      <c r="U10" s="2764">
        <f t="shared" si="14"/>
        <v>0.19099999999986822</v>
      </c>
      <c r="V10" s="2764">
        <f t="shared" si="14"/>
        <v>0</v>
      </c>
      <c r="W10" s="2764">
        <f t="shared" si="14"/>
        <v>6.01987170518479E-2</v>
      </c>
      <c r="X10" s="2764">
        <f t="shared" si="14"/>
        <v>6.01987170518479E-2</v>
      </c>
      <c r="Y10" s="2764" t="e">
        <f t="shared" si="14"/>
        <v>#DIV/0!</v>
      </c>
      <c r="Z10" s="4560">
        <f t="shared" si="14"/>
        <v>4.7775492536267783E-2</v>
      </c>
      <c r="AA10" s="4560">
        <v>4.7787449382580102E-2</v>
      </c>
      <c r="AB10" s="4560">
        <v>0</v>
      </c>
      <c r="AC10" s="2765">
        <f t="shared" si="14"/>
        <v>0.19095750768705727</v>
      </c>
      <c r="AD10" s="2765">
        <f t="shared" si="14"/>
        <v>0.19099999999986822</v>
      </c>
      <c r="AE10" s="2765">
        <f t="shared" si="14"/>
        <v>0</v>
      </c>
      <c r="AF10" s="2765">
        <f t="shared" si="14"/>
        <v>6.6472775475249407E-2</v>
      </c>
      <c r="AG10" s="2765">
        <f t="shared" si="14"/>
        <v>6.6472775475249407E-2</v>
      </c>
      <c r="AH10" s="2765" t="e">
        <f t="shared" si="14"/>
        <v>#DIV/0!</v>
      </c>
      <c r="AI10" s="2804">
        <f t="shared" si="14"/>
        <v>5.9847576186101571E-2</v>
      </c>
      <c r="AJ10" s="2804">
        <f t="shared" si="14"/>
        <v>5.9860757881840372E-2</v>
      </c>
      <c r="AK10" s="2804">
        <f t="shared" si="14"/>
        <v>0</v>
      </c>
      <c r="AL10" s="2805">
        <f t="shared" ref="AL10:AN10" si="15">SUM(AF10-AC10)</f>
        <v>-0.12448473221180786</v>
      </c>
      <c r="AM10" s="2805">
        <f t="shared" si="15"/>
        <v>-0.12452722452461881</v>
      </c>
      <c r="AN10" s="2805" t="e">
        <f t="shared" si="15"/>
        <v>#DIV/0!</v>
      </c>
      <c r="AO10" s="2764">
        <f t="shared" ref="AO10:BX10" si="16">SUM(AO9/AO8)</f>
        <v>0.19095750768705724</v>
      </c>
      <c r="AP10" s="2764">
        <f t="shared" si="16"/>
        <v>0.19099999999986822</v>
      </c>
      <c r="AQ10" s="2764">
        <f t="shared" si="16"/>
        <v>0</v>
      </c>
      <c r="AR10" s="2764">
        <f t="shared" si="16"/>
        <v>0.14862347961799049</v>
      </c>
      <c r="AS10" s="2764">
        <f t="shared" si="16"/>
        <v>0.14862347961799049</v>
      </c>
      <c r="AT10" s="2764" t="e">
        <f t="shared" si="16"/>
        <v>#DIV/0!</v>
      </c>
      <c r="AU10" s="4560">
        <f t="shared" si="16"/>
        <v>0.14421315844159402</v>
      </c>
      <c r="AV10" s="4560">
        <v>0.14437800776847298</v>
      </c>
      <c r="AW10" s="4560">
        <v>0</v>
      </c>
      <c r="AX10" s="2764">
        <f t="shared" si="16"/>
        <v>0.19095750768705724</v>
      </c>
      <c r="AY10" s="2764">
        <f t="shared" si="16"/>
        <v>0.19099999999986822</v>
      </c>
      <c r="AZ10" s="2764">
        <f t="shared" si="16"/>
        <v>0</v>
      </c>
      <c r="BA10" s="2764">
        <f t="shared" si="16"/>
        <v>0.17289428183277758</v>
      </c>
      <c r="BB10" s="2764">
        <f t="shared" si="16"/>
        <v>0.17289428183277758</v>
      </c>
      <c r="BC10" s="2764" t="e">
        <f t="shared" si="16"/>
        <v>#DIV/0!</v>
      </c>
      <c r="BD10" s="4560">
        <f t="shared" si="16"/>
        <v>0.30218585537591691</v>
      </c>
      <c r="BE10" s="4560">
        <v>0.30220718331757068</v>
      </c>
      <c r="BF10" s="4560">
        <v>0</v>
      </c>
      <c r="BG10" s="2764">
        <f t="shared" si="16"/>
        <v>0.19095750768705724</v>
      </c>
      <c r="BH10" s="2764">
        <f t="shared" si="16"/>
        <v>0.19099999999986822</v>
      </c>
      <c r="BI10" s="2764">
        <f t="shared" si="16"/>
        <v>0</v>
      </c>
      <c r="BJ10" s="2764">
        <f t="shared" si="16"/>
        <v>0.12052190418079443</v>
      </c>
      <c r="BK10" s="2764">
        <f t="shared" si="16"/>
        <v>0.12052190418079443</v>
      </c>
      <c r="BL10" s="2764" t="e">
        <f t="shared" si="16"/>
        <v>#DIV/0!</v>
      </c>
      <c r="BM10" s="4560">
        <f t="shared" si="16"/>
        <v>0.30198501700715763</v>
      </c>
      <c r="BN10" s="4560">
        <v>0.30198501700715763</v>
      </c>
      <c r="BO10" s="4560" t="e">
        <v>#DIV/0!</v>
      </c>
      <c r="BP10" s="2765">
        <f t="shared" si="16"/>
        <v>0.19095750768705727</v>
      </c>
      <c r="BQ10" s="2765">
        <f t="shared" si="16"/>
        <v>0.19099999999986822</v>
      </c>
      <c r="BR10" s="2765">
        <f t="shared" si="16"/>
        <v>0</v>
      </c>
      <c r="BS10" s="2765">
        <f t="shared" si="16"/>
        <v>0.14885140154405829</v>
      </c>
      <c r="BT10" s="2765">
        <f t="shared" si="16"/>
        <v>0.14885140154405829</v>
      </c>
      <c r="BU10" s="2765" t="e">
        <f t="shared" si="16"/>
        <v>#DIV/0!</v>
      </c>
      <c r="BV10" s="4561">
        <f t="shared" si="16"/>
        <v>0.25316157284970908</v>
      </c>
      <c r="BW10" s="4555">
        <f t="shared" si="16"/>
        <v>0.25325745937396904</v>
      </c>
      <c r="BX10" s="4555">
        <f t="shared" si="16"/>
        <v>0</v>
      </c>
      <c r="BY10" s="2805">
        <f t="shared" ref="BY10:CA10" si="17">SUM(BS10-BP10)</f>
        <v>-4.2106106142998978E-2</v>
      </c>
      <c r="BZ10" s="2805">
        <f t="shared" si="17"/>
        <v>-4.2148598455809927E-2</v>
      </c>
      <c r="CA10" s="2805" t="e">
        <f t="shared" si="17"/>
        <v>#DIV/0!</v>
      </c>
      <c r="CB10" s="2765">
        <f t="shared" ref="CB10:CJ10" si="18">SUM(CB9/CB8)</f>
        <v>0.19095750768705727</v>
      </c>
      <c r="CC10" s="2765">
        <f t="shared" si="18"/>
        <v>0.19099999999986822</v>
      </c>
      <c r="CD10" s="2765">
        <f t="shared" si="18"/>
        <v>0</v>
      </c>
      <c r="CE10" s="2765">
        <f t="shared" si="18"/>
        <v>0.11316453337445705</v>
      </c>
      <c r="CF10" s="2765">
        <f t="shared" si="18"/>
        <v>0.11316453337445705</v>
      </c>
      <c r="CG10" s="2765" t="e">
        <f t="shared" si="18"/>
        <v>#DIV/0!</v>
      </c>
      <c r="CH10" s="2804">
        <f t="shared" si="18"/>
        <v>0.16590551098559134</v>
      </c>
      <c r="CI10" s="2804">
        <f t="shared" si="18"/>
        <v>0.16595647834209129</v>
      </c>
      <c r="CJ10" s="2804">
        <f t="shared" si="18"/>
        <v>0</v>
      </c>
      <c r="CK10" s="2805">
        <f t="shared" ref="CK10" si="19">SUM(CE10-CB10)</f>
        <v>-7.7792974312600224E-2</v>
      </c>
      <c r="CL10" s="2805">
        <f t="shared" si="3"/>
        <v>-7.7835466625411173E-2</v>
      </c>
      <c r="CM10" s="2805" t="e">
        <f t="shared" si="3"/>
        <v>#DIV/0!</v>
      </c>
      <c r="CN10" s="2764">
        <f t="shared" ref="CN10:DW10" si="20">SUM(CN9/CN8)</f>
        <v>0.19095750768705724</v>
      </c>
      <c r="CO10" s="2764">
        <f t="shared" si="20"/>
        <v>0.19099999999986822</v>
      </c>
      <c r="CP10" s="2764">
        <f t="shared" si="20"/>
        <v>0</v>
      </c>
      <c r="CQ10" s="2764">
        <f t="shared" si="20"/>
        <v>0.20276905325365177</v>
      </c>
      <c r="CR10" s="2764">
        <f t="shared" si="20"/>
        <v>0.20276905325365177</v>
      </c>
      <c r="CS10" s="2764" t="e">
        <f t="shared" si="20"/>
        <v>#DIV/0!</v>
      </c>
      <c r="CT10" s="4560">
        <f t="shared" si="20"/>
        <v>0.15013107906110343</v>
      </c>
      <c r="CU10" s="4560">
        <v>0.15013107906110343</v>
      </c>
      <c r="CV10" s="4560" t="e">
        <v>#DIV/0!</v>
      </c>
      <c r="CW10" s="2764">
        <f t="shared" si="20"/>
        <v>0.19095750768705724</v>
      </c>
      <c r="CX10" s="2764">
        <f t="shared" si="20"/>
        <v>0.19099999999986822</v>
      </c>
      <c r="CY10" s="2764">
        <f t="shared" si="20"/>
        <v>0</v>
      </c>
      <c r="CZ10" s="2764" t="e">
        <f t="shared" si="20"/>
        <v>#DIV/0!</v>
      </c>
      <c r="DA10" s="2764" t="e">
        <f t="shared" si="20"/>
        <v>#DIV/0!</v>
      </c>
      <c r="DB10" s="2764" t="e">
        <f t="shared" si="20"/>
        <v>#DIV/0!</v>
      </c>
      <c r="DC10" s="4560">
        <f t="shared" si="20"/>
        <v>0.11143700500966595</v>
      </c>
      <c r="DD10" s="4560">
        <v>0.11143700500966595</v>
      </c>
      <c r="DE10" s="4560" t="e">
        <v>#DIV/0!</v>
      </c>
      <c r="DF10" s="2764">
        <f t="shared" si="20"/>
        <v>0.19095750768705724</v>
      </c>
      <c r="DG10" s="2764">
        <f t="shared" si="20"/>
        <v>0.19099999999986822</v>
      </c>
      <c r="DH10" s="2764">
        <f t="shared" si="20"/>
        <v>0</v>
      </c>
      <c r="DI10" s="2764" t="e">
        <f t="shared" si="20"/>
        <v>#DIV/0!</v>
      </c>
      <c r="DJ10" s="2764" t="e">
        <f t="shared" si="20"/>
        <v>#DIV/0!</v>
      </c>
      <c r="DK10" s="2764" t="e">
        <f t="shared" si="20"/>
        <v>#DIV/0!</v>
      </c>
      <c r="DL10" s="4560">
        <f t="shared" si="20"/>
        <v>7.1164761496444864E-2</v>
      </c>
      <c r="DM10" s="4560">
        <v>7.1164761496444864E-2</v>
      </c>
      <c r="DN10" s="4560" t="e">
        <v>#DIV/0!</v>
      </c>
      <c r="DO10" s="2765">
        <f t="shared" si="20"/>
        <v>0.19095750768705727</v>
      </c>
      <c r="DP10" s="2765">
        <f t="shared" si="20"/>
        <v>0.19099999999986822</v>
      </c>
      <c r="DQ10" s="2765">
        <f t="shared" si="20"/>
        <v>0</v>
      </c>
      <c r="DR10" s="2765">
        <f t="shared" si="20"/>
        <v>0.20276905325365177</v>
      </c>
      <c r="DS10" s="2765">
        <f t="shared" si="20"/>
        <v>0.20276905325365177</v>
      </c>
      <c r="DT10" s="2765" t="e">
        <f t="shared" si="20"/>
        <v>#DIV/0!</v>
      </c>
      <c r="DU10" s="2804">
        <f t="shared" si="20"/>
        <v>0.11212340665201641</v>
      </c>
      <c r="DV10" s="2765">
        <f t="shared" si="20"/>
        <v>0.11212340665201641</v>
      </c>
      <c r="DW10" s="2765" t="e">
        <f t="shared" si="20"/>
        <v>#DIV/0!</v>
      </c>
      <c r="DX10" s="2805">
        <f t="shared" ref="DX10" si="21">SUM(DR10-DO10)</f>
        <v>1.18115455665945E-2</v>
      </c>
      <c r="DY10" s="2805">
        <f t="shared" si="5"/>
        <v>1.1769053253783551E-2</v>
      </c>
      <c r="DZ10" s="2805" t="e">
        <f t="shared" si="5"/>
        <v>#DIV/0!</v>
      </c>
      <c r="EA10" s="2765">
        <f t="shared" ref="EA10:EI10" si="22">SUM(EA9/EA8)</f>
        <v>0.19095750768705724</v>
      </c>
      <c r="EB10" s="2765">
        <f t="shared" si="22"/>
        <v>0.19099999999986822</v>
      </c>
      <c r="EC10" s="2765">
        <f t="shared" si="22"/>
        <v>0</v>
      </c>
      <c r="ED10" s="2765">
        <f t="shared" si="22"/>
        <v>0.12671713267714604</v>
      </c>
      <c r="EE10" s="2765">
        <f t="shared" si="22"/>
        <v>0.12671713267714604</v>
      </c>
      <c r="EF10" s="2765" t="e">
        <f t="shared" si="22"/>
        <v>#DIV/0!</v>
      </c>
      <c r="EG10" s="2765">
        <f t="shared" si="22"/>
        <v>0.14942354939504945</v>
      </c>
      <c r="EH10" s="2765">
        <f t="shared" si="22"/>
        <v>0.14945538273172382</v>
      </c>
      <c r="EI10" s="2765">
        <f t="shared" si="22"/>
        <v>0</v>
      </c>
      <c r="EJ10" s="2805">
        <f t="shared" ref="EJ10" si="23">SUM(ED10-EA10)</f>
        <v>-6.4240375009911199E-2</v>
      </c>
      <c r="EK10" s="2805">
        <f t="shared" si="7"/>
        <v>-6.4282867322722176E-2</v>
      </c>
      <c r="EL10" s="2805" t="e">
        <f t="shared" si="7"/>
        <v>#DIV/0!</v>
      </c>
      <c r="EM10" s="2764">
        <f t="shared" ref="EM10:FV10" si="24">SUM(EM9/EM8)</f>
        <v>0.19095750768705724</v>
      </c>
      <c r="EN10" s="2764">
        <f t="shared" si="24"/>
        <v>0.19099999999986822</v>
      </c>
      <c r="EO10" s="2764">
        <f t="shared" si="24"/>
        <v>0</v>
      </c>
      <c r="EP10" s="2764" t="e">
        <f t="shared" si="24"/>
        <v>#DIV/0!</v>
      </c>
      <c r="EQ10" s="2764" t="e">
        <f t="shared" si="24"/>
        <v>#DIV/0!</v>
      </c>
      <c r="ER10" s="2764" t="e">
        <f t="shared" si="24"/>
        <v>#DIV/0!</v>
      </c>
      <c r="ES10" s="4560">
        <f t="shared" si="24"/>
        <v>8.4026800476289368E-2</v>
      </c>
      <c r="ET10" s="4560">
        <v>8.4026800476289368E-2</v>
      </c>
      <c r="EU10" s="4560" t="e">
        <v>#DIV/0!</v>
      </c>
      <c r="EV10" s="2764">
        <f t="shared" si="24"/>
        <v>0.19095750768705724</v>
      </c>
      <c r="EW10" s="2764">
        <f t="shared" si="24"/>
        <v>0.19099999999986822</v>
      </c>
      <c r="EX10" s="2764">
        <f t="shared" si="24"/>
        <v>0</v>
      </c>
      <c r="EY10" s="2764" t="e">
        <f t="shared" si="24"/>
        <v>#DIV/0!</v>
      </c>
      <c r="EZ10" s="2764" t="e">
        <f t="shared" si="24"/>
        <v>#DIV/0!</v>
      </c>
      <c r="FA10" s="2764" t="e">
        <f t="shared" si="24"/>
        <v>#DIV/0!</v>
      </c>
      <c r="FB10" s="4560">
        <f t="shared" si="24"/>
        <v>0.19588863860074202</v>
      </c>
      <c r="FC10" s="4560">
        <v>0.19588863860074202</v>
      </c>
      <c r="FD10" s="4560" t="e">
        <v>#DIV/0!</v>
      </c>
      <c r="FE10" s="2764">
        <f t="shared" si="24"/>
        <v>0.19095750768705724</v>
      </c>
      <c r="FF10" s="2764">
        <f t="shared" si="24"/>
        <v>0.19099999999986822</v>
      </c>
      <c r="FG10" s="2764">
        <f t="shared" si="24"/>
        <v>0</v>
      </c>
      <c r="FH10" s="2764" t="e">
        <f t="shared" si="24"/>
        <v>#DIV/0!</v>
      </c>
      <c r="FI10" s="2764" t="e">
        <f t="shared" si="24"/>
        <v>#DIV/0!</v>
      </c>
      <c r="FJ10" s="2764" t="e">
        <f t="shared" si="24"/>
        <v>#DIV/0!</v>
      </c>
      <c r="FK10" s="4560">
        <f t="shared" si="24"/>
        <v>0.11045304406576083</v>
      </c>
      <c r="FL10" s="4560">
        <v>0.11045304406576083</v>
      </c>
      <c r="FM10" s="4560" t="e">
        <v>#DIV/0!</v>
      </c>
      <c r="FN10" s="2765">
        <f t="shared" si="24"/>
        <v>0.19095750768705727</v>
      </c>
      <c r="FO10" s="2765">
        <f t="shared" si="24"/>
        <v>0.19099999999986822</v>
      </c>
      <c r="FP10" s="2765">
        <f t="shared" si="24"/>
        <v>0</v>
      </c>
      <c r="FQ10" s="2765" t="e">
        <f t="shared" si="24"/>
        <v>#DIV/0!</v>
      </c>
      <c r="FR10" s="2765" t="e">
        <f t="shared" si="24"/>
        <v>#DIV/0!</v>
      </c>
      <c r="FS10" s="2765" t="e">
        <f t="shared" si="24"/>
        <v>#DIV/0!</v>
      </c>
      <c r="FT10" s="2804">
        <f t="shared" si="24"/>
        <v>0.13211564860583938</v>
      </c>
      <c r="FU10" s="2804">
        <f t="shared" si="24"/>
        <v>0.13211564860583938</v>
      </c>
      <c r="FV10" s="2804" t="e">
        <f t="shared" si="24"/>
        <v>#DIV/0!</v>
      </c>
      <c r="FW10" s="2805" t="e">
        <f t="shared" ref="FW10" si="25">SUM(FQ10-FN10)</f>
        <v>#DIV/0!</v>
      </c>
      <c r="FX10" s="2805" t="e">
        <f t="shared" si="9"/>
        <v>#DIV/0!</v>
      </c>
      <c r="FY10" s="2805" t="e">
        <f t="shared" si="9"/>
        <v>#DIV/0!</v>
      </c>
      <c r="FZ10" s="4555">
        <f t="shared" ref="FZ10:GB10" si="26">SUM(FZ9/FZ8)</f>
        <v>0.19095750768705727</v>
      </c>
      <c r="GA10" s="4555">
        <f t="shared" si="26"/>
        <v>0.19099999999986822</v>
      </c>
      <c r="GB10" s="4555">
        <f t="shared" si="26"/>
        <v>0</v>
      </c>
      <c r="GC10" s="2765">
        <f t="shared" ref="GC10:GH10" si="27">SUM(GC9/GC8)</f>
        <v>0.12671713267714604</v>
      </c>
      <c r="GD10" s="2804">
        <f t="shared" si="27"/>
        <v>0.12671713267714604</v>
      </c>
      <c r="GE10" s="2804" t="e">
        <f t="shared" si="27"/>
        <v>#DIV/0!</v>
      </c>
      <c r="GF10" s="2804">
        <f t="shared" si="27"/>
        <v>0.14518952027169546</v>
      </c>
      <c r="GG10" s="2804">
        <f t="shared" si="27"/>
        <v>0.14521288364625576</v>
      </c>
      <c r="GH10" s="2804">
        <f t="shared" si="27"/>
        <v>0</v>
      </c>
      <c r="GI10" s="2805">
        <f t="shared" ref="GI10" si="28">SUM(GC10-FZ10)</f>
        <v>-6.4240375009911227E-2</v>
      </c>
      <c r="GJ10" s="2805">
        <f t="shared" si="12"/>
        <v>-6.4282867322722176E-2</v>
      </c>
      <c r="GK10" s="2805" t="e">
        <f t="shared" si="12"/>
        <v>#DIV/0!</v>
      </c>
      <c r="GL10" s="565"/>
      <c r="GM10" s="3576">
        <f t="shared" si="13"/>
        <v>2.2914900922446875</v>
      </c>
    </row>
    <row r="11" spans="1:195" ht="18.75" x14ac:dyDescent="0.3">
      <c r="A11" s="2796" t="s">
        <v>3688</v>
      </c>
      <c r="B11" s="2756">
        <f>SUM(C11:D11)</f>
        <v>409.41941406255006</v>
      </c>
      <c r="C11" s="2756">
        <f>SUM(C8-C9)</f>
        <v>409.3068307292167</v>
      </c>
      <c r="D11" s="2756">
        <f>SUM(D8-D9)</f>
        <v>0.11258333333333333</v>
      </c>
      <c r="E11" s="2756">
        <f>SUM(F11:G11)</f>
        <v>349.0437</v>
      </c>
      <c r="F11" s="2756">
        <f>SUM(F8-F9)</f>
        <v>349.0437</v>
      </c>
      <c r="G11" s="2756">
        <f>SUM(G8-G9)</f>
        <v>0</v>
      </c>
      <c r="H11" s="4387">
        <f>SUM(I11:J11)</f>
        <v>371.23280000000005</v>
      </c>
      <c r="I11" s="4387">
        <v>371.14980000000003</v>
      </c>
      <c r="J11" s="4387">
        <v>8.3000000000000004E-2</v>
      </c>
      <c r="K11" s="2756">
        <f>SUM(L11:M11)</f>
        <v>409.41941406255006</v>
      </c>
      <c r="L11" s="2756">
        <f>SUM(L8-L9)</f>
        <v>409.3068307292167</v>
      </c>
      <c r="M11" s="2756">
        <f>SUM(M8-M9)</f>
        <v>0.11258333333333333</v>
      </c>
      <c r="N11" s="2756">
        <f>SUM(O11:P11)</f>
        <v>403.43770000000001</v>
      </c>
      <c r="O11" s="2756">
        <f>SUM(O8-O9)</f>
        <v>403.43770000000001</v>
      </c>
      <c r="P11" s="2756">
        <f>SUM(P8-P9)</f>
        <v>0</v>
      </c>
      <c r="Q11" s="4387">
        <f>SUM(R11:S11)</f>
        <v>341.16775999999999</v>
      </c>
      <c r="R11" s="4387">
        <v>341.09476000000001</v>
      </c>
      <c r="S11" s="4387">
        <v>7.2999999999999995E-2</v>
      </c>
      <c r="T11" s="2756">
        <f>SUM(U11:V11)</f>
        <v>409.41941406255006</v>
      </c>
      <c r="U11" s="2756">
        <f>SUM(U8-U9)</f>
        <v>409.3068307292167</v>
      </c>
      <c r="V11" s="2756">
        <f>SUM(V8-V9)</f>
        <v>0.11258333333333333</v>
      </c>
      <c r="W11" s="2756">
        <f>SUM(X11:Y11)</f>
        <v>443.32870000000003</v>
      </c>
      <c r="X11" s="2756">
        <f>SUM(X8-X9)</f>
        <v>443.32870000000003</v>
      </c>
      <c r="Y11" s="2756">
        <f>SUM(Y8-Y9)</f>
        <v>0</v>
      </c>
      <c r="Z11" s="4387">
        <f>SUM(AA11:AB11)</f>
        <v>380.57175999999998</v>
      </c>
      <c r="AA11" s="4387">
        <v>380.47175999999996</v>
      </c>
      <c r="AB11" s="4387">
        <v>0.1</v>
      </c>
      <c r="AC11" s="2758">
        <f>SUM(AD11:AE11)</f>
        <v>1228.25824218765</v>
      </c>
      <c r="AD11" s="2758">
        <f>SUM(AD8-AD9)</f>
        <v>1227.9204921876501</v>
      </c>
      <c r="AE11" s="2758">
        <f>SUM(AE8-AE9)</f>
        <v>0.33774999999999999</v>
      </c>
      <c r="AF11" s="2758">
        <f>SUM(AG11:AH11)</f>
        <v>1195.8100999999999</v>
      </c>
      <c r="AG11" s="2758">
        <f>SUM(AG8-AG9)</f>
        <v>1195.8100999999999</v>
      </c>
      <c r="AH11" s="2758">
        <f>SUM(AH8-AH9)</f>
        <v>0</v>
      </c>
      <c r="AI11" s="2798">
        <f t="shared" ref="AI11:GF11" si="29">SUM(AI8-AI9)</f>
        <v>1092.9723200000001</v>
      </c>
      <c r="AJ11" s="2798">
        <f t="shared" si="29"/>
        <v>1092.71632</v>
      </c>
      <c r="AK11" s="2798">
        <f t="shared" si="29"/>
        <v>0.25600000000000001</v>
      </c>
      <c r="AL11" s="2758">
        <f>SUM(AM11:AN11)</f>
        <v>-32.448142187650262</v>
      </c>
      <c r="AM11" s="2758">
        <f>SUM(AM8-AM9)</f>
        <v>-32.110392187650262</v>
      </c>
      <c r="AN11" s="2758">
        <f>SUM(AN8-AN9)</f>
        <v>-0.33774999999999999</v>
      </c>
      <c r="AO11" s="2756">
        <f>SUM(AP11:AQ11)</f>
        <v>409.41941406255006</v>
      </c>
      <c r="AP11" s="2756">
        <f>SUM(AP8-AP9)</f>
        <v>409.3068307292167</v>
      </c>
      <c r="AQ11" s="2756">
        <f>SUM(AQ8-AQ9)</f>
        <v>0.11258333333333333</v>
      </c>
      <c r="AR11" s="2756">
        <f>SUM(AS11:AT11)</f>
        <v>462.04969999999992</v>
      </c>
      <c r="AS11" s="2756">
        <f>SUM(AS8-AS9)</f>
        <v>462.04969999999992</v>
      </c>
      <c r="AT11" s="2756">
        <f>SUM(AT8-AT9)</f>
        <v>0</v>
      </c>
      <c r="AU11" s="4387">
        <f>SUM(AV11:AW11)</f>
        <v>374.75675999999999</v>
      </c>
      <c r="AV11" s="4387">
        <v>374.25675999999999</v>
      </c>
      <c r="AW11" s="4377">
        <v>0.5</v>
      </c>
      <c r="AX11" s="2756">
        <f>SUM(AY11:AZ11)</f>
        <v>409.41941406255006</v>
      </c>
      <c r="AY11" s="2756">
        <f>SUM(AY8-AY9)</f>
        <v>409.3068307292167</v>
      </c>
      <c r="AZ11" s="2756">
        <f>SUM(AZ8-AZ9)</f>
        <v>0.11258333333333333</v>
      </c>
      <c r="BA11" s="2756">
        <f>SUM(BB11:BC11)</f>
        <v>508.97769999999997</v>
      </c>
      <c r="BB11" s="2756">
        <f>SUM(BB8-BB9)</f>
        <v>508.97769999999997</v>
      </c>
      <c r="BC11" s="2756">
        <f>SUM(BC8-BC9)</f>
        <v>0</v>
      </c>
      <c r="BD11" s="4387">
        <f>SUM(BE11:BF11)</f>
        <v>346.06976000000003</v>
      </c>
      <c r="BE11" s="4387">
        <v>346.03476000000001</v>
      </c>
      <c r="BF11" s="4387">
        <v>3.5000000000000003E-2</v>
      </c>
      <c r="BG11" s="2756">
        <f>SUM(BH11:BI11)</f>
        <v>409.41941406255006</v>
      </c>
      <c r="BH11" s="2756">
        <f>SUM(BH8-BH9)</f>
        <v>409.3068307292167</v>
      </c>
      <c r="BI11" s="2756">
        <f>SUM(BI8-BI9)</f>
        <v>0.11258333333333333</v>
      </c>
      <c r="BJ11" s="2756">
        <f>SUM(BK11:BL11)</f>
        <v>455.47467000000006</v>
      </c>
      <c r="BK11" s="2756">
        <f t="shared" ref="BK11:BL11" si="30">SUM(BK8-BK9)</f>
        <v>455.47467000000006</v>
      </c>
      <c r="BL11" s="2756">
        <f t="shared" si="30"/>
        <v>0</v>
      </c>
      <c r="BM11" s="4377">
        <f>SUM(BN11:BO11)</f>
        <v>334.49576000000002</v>
      </c>
      <c r="BN11" s="4387">
        <v>334.49576000000002</v>
      </c>
      <c r="BO11" s="4377">
        <v>0</v>
      </c>
      <c r="BP11" s="2758">
        <f>SUM(BQ11:BR11)</f>
        <v>1228.25824218765</v>
      </c>
      <c r="BQ11" s="2758">
        <f>SUM(BQ8-BQ9)</f>
        <v>1227.9204921876501</v>
      </c>
      <c r="BR11" s="2758">
        <f>SUM(BR8-BR9)</f>
        <v>0.33774999999999999</v>
      </c>
      <c r="BS11" s="2758">
        <f>SUM(BT11:BU11)</f>
        <v>1426.50207</v>
      </c>
      <c r="BT11" s="2758">
        <f>SUM(BT8-BT9)</f>
        <v>1426.50207</v>
      </c>
      <c r="BU11" s="2758">
        <f>SUM(BU8-BU9)</f>
        <v>0</v>
      </c>
      <c r="BV11" s="4380">
        <f t="shared" ref="BV11:BX11" si="31">SUM(BV8-BV9)</f>
        <v>1055.3222800000001</v>
      </c>
      <c r="BW11" s="4379">
        <f t="shared" si="31"/>
        <v>1054.78728</v>
      </c>
      <c r="BX11" s="4379">
        <f t="shared" si="31"/>
        <v>0.53500000000000003</v>
      </c>
      <c r="BY11" s="2758">
        <f>SUM(BZ11:CA11)</f>
        <v>198.24382781234985</v>
      </c>
      <c r="BZ11" s="2758">
        <f>SUM(BZ8-BZ9)</f>
        <v>198.58157781234985</v>
      </c>
      <c r="CA11" s="2758">
        <f>SUM(CA8-CA9)</f>
        <v>-0.33774999999999999</v>
      </c>
      <c r="CB11" s="2758">
        <f>SUM(CC11:CD11)</f>
        <v>2456.5164843753</v>
      </c>
      <c r="CC11" s="2758">
        <f>SUM(CC8-CC9)</f>
        <v>2455.8409843753002</v>
      </c>
      <c r="CD11" s="2758">
        <f>SUM(CD8-CD9)</f>
        <v>0.67549999999999999</v>
      </c>
      <c r="CE11" s="2758">
        <f>SUM(CF11:CG11)</f>
        <v>2622.3121699999997</v>
      </c>
      <c r="CF11" s="2758">
        <f>SUM(CF8-CF9)</f>
        <v>2622.3121699999997</v>
      </c>
      <c r="CG11" s="2758">
        <f>SUM(CG8-CG9)</f>
        <v>0</v>
      </c>
      <c r="CH11" s="2798">
        <f t="shared" si="29"/>
        <v>2148.2946000000002</v>
      </c>
      <c r="CI11" s="2798">
        <f t="shared" si="29"/>
        <v>2147.5036</v>
      </c>
      <c r="CJ11" s="2798">
        <f t="shared" si="29"/>
        <v>0.79100000000000004</v>
      </c>
      <c r="CK11" s="2758">
        <f>SUM(CL11:CM11)</f>
        <v>165.7956856246995</v>
      </c>
      <c r="CL11" s="2799">
        <f t="shared" si="3"/>
        <v>166.4711856246995</v>
      </c>
      <c r="CM11" s="2799">
        <f t="shared" si="3"/>
        <v>-0.67549999999999999</v>
      </c>
      <c r="CN11" s="2756">
        <f>SUM(CO11:CP11)</f>
        <v>409.41941406255006</v>
      </c>
      <c r="CO11" s="2756">
        <f>SUM(CO8-CO9)</f>
        <v>409.3068307292167</v>
      </c>
      <c r="CP11" s="2756">
        <f>SUM(CP8-CP9)</f>
        <v>0.11258333333333333</v>
      </c>
      <c r="CQ11" s="2756">
        <f>SUM(CR11:CS11)</f>
        <v>420.08570000000003</v>
      </c>
      <c r="CR11" s="2756">
        <f t="shared" ref="CR11:CS11" si="32">SUM(CR8-CR9)</f>
        <v>420.08570000000003</v>
      </c>
      <c r="CS11" s="2756">
        <f t="shared" si="32"/>
        <v>0</v>
      </c>
      <c r="CT11" s="4387">
        <f>SUM(CU11:CV11)</f>
        <v>334.87979999999999</v>
      </c>
      <c r="CU11" s="4387">
        <v>334.87979999999999</v>
      </c>
      <c r="CV11" s="4387">
        <v>0</v>
      </c>
      <c r="CW11" s="2756">
        <f>SUM(CX11:CY11)</f>
        <v>409.41941406255006</v>
      </c>
      <c r="CX11" s="2756">
        <f>SUM(CX8-CX9)</f>
        <v>409.3068307292167</v>
      </c>
      <c r="CY11" s="2756">
        <f>SUM(CY8-CY9)</f>
        <v>0.11258333333333333</v>
      </c>
      <c r="CZ11" s="2756">
        <f>SUM(DA11:DB11)</f>
        <v>0</v>
      </c>
      <c r="DA11" s="2756">
        <f t="shared" ref="DA11:DB11" si="33">SUM(DA8-DA9)</f>
        <v>0</v>
      </c>
      <c r="DB11" s="2756">
        <f t="shared" si="33"/>
        <v>0</v>
      </c>
      <c r="DC11" s="4387">
        <f>SUM(DD11:DE11)</f>
        <v>341.96879999999999</v>
      </c>
      <c r="DD11" s="4387">
        <v>341.96879999999999</v>
      </c>
      <c r="DE11" s="4387">
        <v>0</v>
      </c>
      <c r="DF11" s="2756">
        <f>SUM(DG11:DH11)</f>
        <v>409.41941406255006</v>
      </c>
      <c r="DG11" s="2756">
        <f>SUM(DG8-DG9)</f>
        <v>409.3068307292167</v>
      </c>
      <c r="DH11" s="2756">
        <f>SUM(DH8-DH9)</f>
        <v>0.11258333333333333</v>
      </c>
      <c r="DI11" s="2756">
        <f>SUM(DJ11:DK11)</f>
        <v>0</v>
      </c>
      <c r="DJ11" s="2756">
        <f t="shared" ref="DJ11:DK11" si="34">SUM(DJ8-DJ9)</f>
        <v>0</v>
      </c>
      <c r="DK11" s="2756">
        <f t="shared" si="34"/>
        <v>0</v>
      </c>
      <c r="DL11" s="4387">
        <f>SUM(DM11:DN11)</f>
        <v>333.63576</v>
      </c>
      <c r="DM11" s="4387">
        <v>333.63576</v>
      </c>
      <c r="DN11" s="4387">
        <v>0</v>
      </c>
      <c r="DO11" s="2758">
        <f>SUM(DP11:DQ11)</f>
        <v>1228.25824218765</v>
      </c>
      <c r="DP11" s="2758">
        <f>SUM(DP8-DP9)</f>
        <v>1227.9204921876501</v>
      </c>
      <c r="DQ11" s="2758">
        <f>SUM(DQ8-DQ9)</f>
        <v>0.33774999999999999</v>
      </c>
      <c r="DR11" s="2758">
        <f>SUM(DS11:DT11)</f>
        <v>420.08570000000003</v>
      </c>
      <c r="DS11" s="2758">
        <f>SUM(DS8-DS9)</f>
        <v>420.08570000000003</v>
      </c>
      <c r="DT11" s="2758">
        <f>SUM(DT8-DT9)</f>
        <v>0</v>
      </c>
      <c r="DU11" s="2798">
        <f t="shared" ref="DU11:DW11" si="35">SUM(DU8-DU9)</f>
        <v>1010.4843599999999</v>
      </c>
      <c r="DV11" s="2758">
        <f t="shared" si="35"/>
        <v>1010.4843599999999</v>
      </c>
      <c r="DW11" s="2758">
        <f t="shared" si="35"/>
        <v>0</v>
      </c>
      <c r="DX11" s="2758">
        <f>SUM(DY11:DZ11)</f>
        <v>-808.17254218765004</v>
      </c>
      <c r="DY11" s="2799">
        <f t="shared" si="5"/>
        <v>-807.83479218765001</v>
      </c>
      <c r="DZ11" s="2799">
        <f t="shared" si="5"/>
        <v>-0.33774999999999999</v>
      </c>
      <c r="EA11" s="2758">
        <f>SUM(EB11:EC11)</f>
        <v>3684.7747265629505</v>
      </c>
      <c r="EB11" s="2758">
        <f>SUM(EB8-EB9)</f>
        <v>3683.7614765629505</v>
      </c>
      <c r="EC11" s="2758">
        <f>SUM(EC8-EC9)</f>
        <v>1.01325</v>
      </c>
      <c r="ED11" s="2758">
        <f>SUM(EE11:EF11)</f>
        <v>3042.3978699999998</v>
      </c>
      <c r="EE11" s="2758">
        <f>SUM(EE8-EE9)</f>
        <v>3042.3978699999998</v>
      </c>
      <c r="EF11" s="2758">
        <f>SUM(EF8-EF9)</f>
        <v>0</v>
      </c>
      <c r="EG11" s="2758">
        <f>SUM(EG8-EG9)</f>
        <v>3158.7789600000001</v>
      </c>
      <c r="EH11" s="2758">
        <f t="shared" ref="EH11:EI11" si="36">SUM(EH8-EH9)</f>
        <v>3157.9879599999999</v>
      </c>
      <c r="EI11" s="2758">
        <f t="shared" si="36"/>
        <v>0.79100000000000004</v>
      </c>
      <c r="EJ11" s="2758">
        <f>SUM(EK11:EL11)</f>
        <v>-642.37685656295071</v>
      </c>
      <c r="EK11" s="2799">
        <f t="shared" si="7"/>
        <v>-641.36360656295074</v>
      </c>
      <c r="EL11" s="2799">
        <f t="shared" si="7"/>
        <v>-1.01325</v>
      </c>
      <c r="EM11" s="2756">
        <f>SUM(EN11:EO11)</f>
        <v>409.41941406255006</v>
      </c>
      <c r="EN11" s="2756">
        <f>SUM(EN8-EN9)</f>
        <v>409.3068307292167</v>
      </c>
      <c r="EO11" s="2756">
        <f>SUM(EO8-EO9)</f>
        <v>0.11258333333333333</v>
      </c>
      <c r="EP11" s="2756">
        <f>SUM(EQ11:ER11)</f>
        <v>0</v>
      </c>
      <c r="EQ11" s="2756">
        <f t="shared" ref="EQ11:ER11" si="37">SUM(EQ8-EQ9)</f>
        <v>0</v>
      </c>
      <c r="ER11" s="2756">
        <f t="shared" si="37"/>
        <v>0</v>
      </c>
      <c r="ES11" s="4387">
        <f>SUM(ET11:EU11)</f>
        <v>348.47375999999997</v>
      </c>
      <c r="ET11" s="4387">
        <v>348.47375999999997</v>
      </c>
      <c r="EU11" s="4387">
        <v>0</v>
      </c>
      <c r="EV11" s="2756">
        <f>SUM(EW11:EX11)</f>
        <v>409.41941406255006</v>
      </c>
      <c r="EW11" s="2756">
        <f>SUM(EW8-EW9)</f>
        <v>409.3068307292167</v>
      </c>
      <c r="EX11" s="2756">
        <f>SUM(EX8-EX9)</f>
        <v>0.11258333333333333</v>
      </c>
      <c r="EY11" s="2756">
        <f>SUM(EZ11:FA11)</f>
        <v>0</v>
      </c>
      <c r="EZ11" s="2756">
        <f t="shared" ref="EZ11:FA11" si="38">SUM(EZ8-EZ9)</f>
        <v>0</v>
      </c>
      <c r="FA11" s="2756">
        <f t="shared" si="38"/>
        <v>0</v>
      </c>
      <c r="FB11" s="4387">
        <f>SUM(FC11:FD11)</f>
        <v>339.83676000000003</v>
      </c>
      <c r="FC11" s="4387">
        <v>339.83676000000003</v>
      </c>
      <c r="FD11" s="4387">
        <v>0</v>
      </c>
      <c r="FE11" s="2756">
        <f>SUM(FF11:FG11)</f>
        <v>409.41941406255006</v>
      </c>
      <c r="FF11" s="2756">
        <f>SUM(FF8-FF9)</f>
        <v>409.3068307292167</v>
      </c>
      <c r="FG11" s="2756">
        <f>SUM(FG8-FG9)</f>
        <v>0.11258333333333333</v>
      </c>
      <c r="FH11" s="2756">
        <f>SUM(FI11:FJ11)</f>
        <v>0</v>
      </c>
      <c r="FI11" s="2756">
        <f t="shared" ref="FI11:FJ11" si="39">SUM(FI8-FI9)</f>
        <v>0</v>
      </c>
      <c r="FJ11" s="2756">
        <f t="shared" si="39"/>
        <v>0</v>
      </c>
      <c r="FK11" s="4387">
        <f>SUM(FL11:FM11)</f>
        <v>355.48964999999998</v>
      </c>
      <c r="FL11" s="4387">
        <v>355.48964999999998</v>
      </c>
      <c r="FM11" s="4387">
        <v>0</v>
      </c>
      <c r="FN11" s="2758">
        <f>SUM(FO11:FP11)</f>
        <v>1228.25824218765</v>
      </c>
      <c r="FO11" s="2758">
        <f>SUM(FO8-FO9)</f>
        <v>1227.9204921876501</v>
      </c>
      <c r="FP11" s="2758">
        <f>SUM(FP8-FP9)</f>
        <v>0.33774999999999999</v>
      </c>
      <c r="FQ11" s="2758">
        <f>SUM(FR11:FS11)</f>
        <v>0</v>
      </c>
      <c r="FR11" s="2758">
        <f>SUM(FR8-FR9)</f>
        <v>0</v>
      </c>
      <c r="FS11" s="2758">
        <f>SUM(FS8-FS9)</f>
        <v>0</v>
      </c>
      <c r="FT11" s="2798">
        <f t="shared" ref="FT11:FV11" si="40">SUM(FT8-FT9)</f>
        <v>1043.8001700000002</v>
      </c>
      <c r="FU11" s="2798">
        <f t="shared" si="40"/>
        <v>1043.8001700000002</v>
      </c>
      <c r="FV11" s="2798">
        <f t="shared" si="40"/>
        <v>0</v>
      </c>
      <c r="FW11" s="2758">
        <f>SUM(FX11:FY11)</f>
        <v>-1228.25824218765</v>
      </c>
      <c r="FX11" s="2799">
        <f t="shared" si="9"/>
        <v>-1227.9204921876501</v>
      </c>
      <c r="FY11" s="2799">
        <f t="shared" si="9"/>
        <v>-0.33774999999999999</v>
      </c>
      <c r="FZ11" s="4379">
        <f>SUM(GA11:GB11)</f>
        <v>4913.0329687506</v>
      </c>
      <c r="GA11" s="4379">
        <f>SUM(GA8-GA9)</f>
        <v>4911.6819687506004</v>
      </c>
      <c r="GB11" s="4379">
        <f>SUM(GB8-GB9)</f>
        <v>1.351</v>
      </c>
      <c r="GC11" s="2758">
        <f>SUM(GD11:GE11)</f>
        <v>3042.3978699999998</v>
      </c>
      <c r="GD11" s="2798">
        <f t="shared" ref="GD11:GE11" si="41">SUM(GD8-GD9)</f>
        <v>3042.3978699999998</v>
      </c>
      <c r="GE11" s="2798">
        <f t="shared" si="41"/>
        <v>0</v>
      </c>
      <c r="GF11" s="2798">
        <f t="shared" si="29"/>
        <v>4202.5791300000001</v>
      </c>
      <c r="GG11" s="2798">
        <f t="shared" ref="GG11:GH11" si="42">SUM(GG8-GG9)</f>
        <v>4201.788129999999</v>
      </c>
      <c r="GH11" s="2798">
        <f t="shared" si="42"/>
        <v>0.79100000000000004</v>
      </c>
      <c r="GI11" s="2758">
        <f>SUM(GJ11:GK11)</f>
        <v>-1870.6350987506007</v>
      </c>
      <c r="GJ11" s="2799">
        <f t="shared" si="12"/>
        <v>-1869.2840987506006</v>
      </c>
      <c r="GK11" s="2799">
        <f t="shared" si="12"/>
        <v>-1.351</v>
      </c>
      <c r="GL11" s="565"/>
      <c r="GM11" s="3576">
        <f t="shared" si="13"/>
        <v>4913.032968750601</v>
      </c>
    </row>
    <row r="12" spans="1:195" ht="18.75" x14ac:dyDescent="0.3">
      <c r="A12" s="2800" t="s">
        <v>51</v>
      </c>
      <c r="B12" s="2762">
        <f>SUM(C12:D12)</f>
        <v>113.13240801378771</v>
      </c>
      <c r="C12" s="2762">
        <f t="shared" ref="C12:AK12" si="43">SUM(C11-C14)</f>
        <v>113.13240801378771</v>
      </c>
      <c r="D12" s="2762">
        <f t="shared" si="43"/>
        <v>0</v>
      </c>
      <c r="E12" s="2762">
        <f>SUM(F12:G12)</f>
        <v>47.360101999999983</v>
      </c>
      <c r="F12" s="2762">
        <f t="shared" si="43"/>
        <v>47.360101999999983</v>
      </c>
      <c r="G12" s="2762">
        <f t="shared" si="43"/>
        <v>0</v>
      </c>
      <c r="H12" s="4382">
        <f>SUM(I12:J12)</f>
        <v>62.432800000000043</v>
      </c>
      <c r="I12" s="4382">
        <v>62.432800000000043</v>
      </c>
      <c r="J12" s="4382">
        <v>0</v>
      </c>
      <c r="K12" s="2762">
        <f>SUM(L12:M12)</f>
        <v>113.13240801378771</v>
      </c>
      <c r="L12" s="2762">
        <f t="shared" ref="L12:M12" si="44">SUM(L11-L14)</f>
        <v>113.13240801378771</v>
      </c>
      <c r="M12" s="2762">
        <f t="shared" si="44"/>
        <v>0</v>
      </c>
      <c r="N12" s="2762">
        <f>SUM(O12:P12)</f>
        <v>99.456923000000018</v>
      </c>
      <c r="O12" s="2762">
        <f t="shared" ref="O12:P12" si="45">SUM(O11-O14)</f>
        <v>99.456923000000018</v>
      </c>
      <c r="P12" s="2762">
        <f t="shared" si="45"/>
        <v>0</v>
      </c>
      <c r="Q12" s="4382">
        <f>SUM(R12:S12)</f>
        <v>36.607759999999985</v>
      </c>
      <c r="R12" s="4382">
        <v>36.607759999999985</v>
      </c>
      <c r="S12" s="4382">
        <v>0</v>
      </c>
      <c r="T12" s="2762">
        <f>SUM(U12:V12)</f>
        <v>113.13240801378771</v>
      </c>
      <c r="U12" s="2762">
        <f t="shared" ref="U12:V12" si="46">SUM(U11-U14)</f>
        <v>113.13240801378771</v>
      </c>
      <c r="V12" s="2762">
        <f t="shared" si="46"/>
        <v>0</v>
      </c>
      <c r="W12" s="2762">
        <f>SUM(X12:Y12)</f>
        <v>155.59993700000001</v>
      </c>
      <c r="X12" s="2762">
        <f t="shared" ref="X12:Y12" si="47">SUM(X11-X14)</f>
        <v>155.59993700000001</v>
      </c>
      <c r="Y12" s="2762">
        <f t="shared" si="47"/>
        <v>0</v>
      </c>
      <c r="Z12" s="4382">
        <f>SUM(AA12:AB12)</f>
        <v>89.209913999999912</v>
      </c>
      <c r="AA12" s="4382">
        <v>89.209913999999912</v>
      </c>
      <c r="AB12" s="4382">
        <v>0</v>
      </c>
      <c r="AC12" s="2763">
        <f>SUM(AD12:AE12)</f>
        <v>339.39722404136296</v>
      </c>
      <c r="AD12" s="2763">
        <f t="shared" ref="AD12:AH12" si="48">SUM(AD11-AD14)</f>
        <v>339.39722404136296</v>
      </c>
      <c r="AE12" s="2763">
        <f t="shared" si="48"/>
        <v>0</v>
      </c>
      <c r="AF12" s="2763">
        <f>SUM(AG12:AH12)</f>
        <v>302.4169619999999</v>
      </c>
      <c r="AG12" s="2763">
        <f t="shared" si="48"/>
        <v>302.4169619999999</v>
      </c>
      <c r="AH12" s="2763">
        <f t="shared" si="48"/>
        <v>0</v>
      </c>
      <c r="AI12" s="2802">
        <f t="shared" si="43"/>
        <v>188.25047400000005</v>
      </c>
      <c r="AJ12" s="2802">
        <f t="shared" si="43"/>
        <v>188.25047399999994</v>
      </c>
      <c r="AK12" s="2802">
        <f t="shared" si="43"/>
        <v>0</v>
      </c>
      <c r="AL12" s="2763">
        <f>SUM(AM12:AN12)</f>
        <v>-36.980262041363233</v>
      </c>
      <c r="AM12" s="2763">
        <f t="shared" ref="AM12" si="49">SUM(AM11-AM14)</f>
        <v>-36.980262041363233</v>
      </c>
      <c r="AN12" s="2763">
        <f>SUM(AN11-AN14)</f>
        <v>0</v>
      </c>
      <c r="AO12" s="2762">
        <f>SUM(AP12:AQ12)</f>
        <v>113.13240801378771</v>
      </c>
      <c r="AP12" s="2762">
        <f t="shared" ref="AP12:AQ12" si="50">SUM(AP11-AP14)</f>
        <v>113.13240801378771</v>
      </c>
      <c r="AQ12" s="2762">
        <f t="shared" si="50"/>
        <v>0</v>
      </c>
      <c r="AR12" s="2762">
        <f>SUM(AS12:AT12)</f>
        <v>177.92611699999992</v>
      </c>
      <c r="AS12" s="2762">
        <f t="shared" ref="AS12:AT12" si="51">SUM(AS11-AS14)</f>
        <v>177.92611699999992</v>
      </c>
      <c r="AT12" s="2762">
        <f t="shared" si="51"/>
        <v>0</v>
      </c>
      <c r="AU12" s="4382">
        <f>SUM(AV12:AW12)</f>
        <v>54.178560000000004</v>
      </c>
      <c r="AV12" s="4382">
        <v>54.178560000000004</v>
      </c>
      <c r="AW12" s="4382">
        <v>0</v>
      </c>
      <c r="AX12" s="2762">
        <f>SUM(AY12:AZ12)</f>
        <v>113.13240801378771</v>
      </c>
      <c r="AY12" s="2762">
        <f t="shared" ref="AY12:AZ12" si="52">SUM(AY11-AY14)</f>
        <v>113.13240801378771</v>
      </c>
      <c r="AZ12" s="2762">
        <f t="shared" si="52"/>
        <v>0</v>
      </c>
      <c r="BA12" s="2762">
        <f>SUM(BB12:BC12)</f>
        <v>219.73180499999995</v>
      </c>
      <c r="BB12" s="2762">
        <f t="shared" ref="BB12:BC12" si="53">SUM(BB11-BB14)</f>
        <v>219.73180499999995</v>
      </c>
      <c r="BC12" s="2762">
        <f t="shared" si="53"/>
        <v>0</v>
      </c>
      <c r="BD12" s="4382">
        <f>SUM(BE12:BF12)</f>
        <v>48.518760000000043</v>
      </c>
      <c r="BE12" s="4382">
        <v>48.518760000000043</v>
      </c>
      <c r="BF12" s="4382">
        <v>0</v>
      </c>
      <c r="BG12" s="2762">
        <f>SUM(BH12:BI12)</f>
        <v>113.13240801378771</v>
      </c>
      <c r="BH12" s="2762">
        <f t="shared" ref="BH12:BI12" si="54">SUM(BH11-BH14)</f>
        <v>113.13240801378771</v>
      </c>
      <c r="BI12" s="2762">
        <f t="shared" si="54"/>
        <v>0</v>
      </c>
      <c r="BJ12" s="2762">
        <f>SUM(BK12:BL12)</f>
        <v>173.58699100000007</v>
      </c>
      <c r="BK12" s="2762">
        <f t="shared" ref="BK12:BL12" si="55">SUM(BK11-BK14)</f>
        <v>173.58699100000007</v>
      </c>
      <c r="BL12" s="2762">
        <f t="shared" si="55"/>
        <v>0</v>
      </c>
      <c r="BM12" s="4382">
        <f>SUM(BN12:BO12)</f>
        <v>55.357760000000042</v>
      </c>
      <c r="BN12" s="4382">
        <v>55.357760000000042</v>
      </c>
      <c r="BO12" s="4382">
        <v>0</v>
      </c>
      <c r="BP12" s="2763">
        <f>SUM(BQ12:BR12)</f>
        <v>339.39722404136296</v>
      </c>
      <c r="BQ12" s="2763">
        <f t="shared" ref="BQ12:BR12" si="56">SUM(BQ11-BQ14)</f>
        <v>339.39722404136296</v>
      </c>
      <c r="BR12" s="2763">
        <f t="shared" si="56"/>
        <v>0</v>
      </c>
      <c r="BS12" s="2763">
        <f>SUM(BT12:BU12)</f>
        <v>571.244913</v>
      </c>
      <c r="BT12" s="2763">
        <f t="shared" ref="BT12:BX12" si="57">SUM(BT11-BT14)</f>
        <v>571.244913</v>
      </c>
      <c r="BU12" s="2763">
        <f t="shared" si="57"/>
        <v>0</v>
      </c>
      <c r="BV12" s="4551">
        <f t="shared" si="57"/>
        <v>158.05508000000009</v>
      </c>
      <c r="BW12" s="4384">
        <f t="shared" si="57"/>
        <v>158.05507999999998</v>
      </c>
      <c r="BX12" s="4384">
        <f t="shared" si="57"/>
        <v>0</v>
      </c>
      <c r="BY12" s="2763">
        <f>SUM(BZ12:CA12)</f>
        <v>231.84768895863692</v>
      </c>
      <c r="BZ12" s="2763">
        <f t="shared" ref="BZ12" si="58">SUM(BZ11-BZ14)</f>
        <v>231.84768895863692</v>
      </c>
      <c r="CA12" s="2763">
        <f>SUM(CA11-CA14)</f>
        <v>0</v>
      </c>
      <c r="CB12" s="2763">
        <f>SUM(CC12:CD12)</f>
        <v>678.79444808272592</v>
      </c>
      <c r="CC12" s="2763">
        <f t="shared" ref="CC12:CD12" si="59">SUM(CC11-CC14)</f>
        <v>678.79444808272592</v>
      </c>
      <c r="CD12" s="2763">
        <f t="shared" si="59"/>
        <v>0</v>
      </c>
      <c r="CE12" s="2763">
        <f>SUM(CF12:CG12)</f>
        <v>873.66187499999978</v>
      </c>
      <c r="CF12" s="2763">
        <f t="shared" ref="CF12:CJ12" si="60">SUM(CF11-CF14)</f>
        <v>873.66187499999978</v>
      </c>
      <c r="CG12" s="2763">
        <f t="shared" si="60"/>
        <v>0</v>
      </c>
      <c r="CH12" s="2802">
        <f t="shared" si="60"/>
        <v>346.30555400000048</v>
      </c>
      <c r="CI12" s="2802">
        <f t="shared" si="60"/>
        <v>346.30555400000026</v>
      </c>
      <c r="CJ12" s="2802">
        <f t="shared" si="60"/>
        <v>0</v>
      </c>
      <c r="CK12" s="2763">
        <f>SUM(CL12:CM12)</f>
        <v>194.86742691727386</v>
      </c>
      <c r="CL12" s="2803">
        <f t="shared" si="3"/>
        <v>194.86742691727386</v>
      </c>
      <c r="CM12" s="2803">
        <f t="shared" si="3"/>
        <v>0</v>
      </c>
      <c r="CN12" s="2762">
        <f>SUM(CO12:CP12)</f>
        <v>113.13240801378771</v>
      </c>
      <c r="CO12" s="2762">
        <f t="shared" ref="CO12:CP12" si="61">SUM(CO11-CO14)</f>
        <v>113.13240801378771</v>
      </c>
      <c r="CP12" s="2762">
        <f t="shared" si="61"/>
        <v>0</v>
      </c>
      <c r="CQ12" s="2762">
        <f>SUM(CR12:CS12)</f>
        <v>162.41970800000007</v>
      </c>
      <c r="CR12" s="2762">
        <f t="shared" ref="CR12:CS12" si="62">SUM(CR11-CR14)</f>
        <v>162.41970800000007</v>
      </c>
      <c r="CS12" s="2762">
        <f t="shared" si="62"/>
        <v>0</v>
      </c>
      <c r="CT12" s="4382">
        <f>SUM(CU12:CV12)</f>
        <v>73.301799999999957</v>
      </c>
      <c r="CU12" s="4382">
        <v>73.301799999999957</v>
      </c>
      <c r="CV12" s="4382">
        <v>0</v>
      </c>
      <c r="CW12" s="2762">
        <f>SUM(CX12:CY12)</f>
        <v>113.13240801378771</v>
      </c>
      <c r="CX12" s="2762">
        <f t="shared" ref="CX12:DB12" si="63">SUM(CX11-CX14)</f>
        <v>113.13240801378771</v>
      </c>
      <c r="CY12" s="2762">
        <f t="shared" si="63"/>
        <v>0</v>
      </c>
      <c r="CZ12" s="2762">
        <f>SUM(DA12:DB12)</f>
        <v>0</v>
      </c>
      <c r="DA12" s="2762">
        <f t="shared" si="63"/>
        <v>0</v>
      </c>
      <c r="DB12" s="2762">
        <f t="shared" si="63"/>
        <v>0</v>
      </c>
      <c r="DC12" s="4382">
        <f>SUM(DD12:DE12)</f>
        <v>63.159799999999962</v>
      </c>
      <c r="DD12" s="4382">
        <v>63.159799999999962</v>
      </c>
      <c r="DE12" s="4382">
        <v>0</v>
      </c>
      <c r="DF12" s="2762">
        <f>SUM(DG12:DH12)</f>
        <v>113.13240801378771</v>
      </c>
      <c r="DG12" s="2762">
        <f t="shared" ref="DG12:DK12" si="64">SUM(DG11-DG14)</f>
        <v>113.13240801378771</v>
      </c>
      <c r="DH12" s="2762">
        <f t="shared" si="64"/>
        <v>0</v>
      </c>
      <c r="DI12" s="2762">
        <f>SUM(DJ12:DK12)</f>
        <v>0</v>
      </c>
      <c r="DJ12" s="2762">
        <f t="shared" si="64"/>
        <v>0</v>
      </c>
      <c r="DK12" s="2762">
        <f t="shared" si="64"/>
        <v>0</v>
      </c>
      <c r="DL12" s="4382">
        <f>SUM(DM12:DN12)</f>
        <v>39.437760000000026</v>
      </c>
      <c r="DM12" s="4382">
        <v>39.437760000000026</v>
      </c>
      <c r="DN12" s="4382">
        <v>0</v>
      </c>
      <c r="DO12" s="2763">
        <f>SUM(DP12:DQ12)</f>
        <v>339.39722404136296</v>
      </c>
      <c r="DP12" s="2763">
        <f t="shared" ref="DP12:DQ12" si="65">SUM(DP11-DP14)</f>
        <v>339.39722404136296</v>
      </c>
      <c r="DQ12" s="2763">
        <f t="shared" si="65"/>
        <v>0</v>
      </c>
      <c r="DR12" s="2763">
        <f>SUM(DS12:DT12)</f>
        <v>162.41970800000007</v>
      </c>
      <c r="DS12" s="2763">
        <f t="shared" ref="DS12:DW12" si="66">SUM(DS11-DS14)</f>
        <v>162.41970800000007</v>
      </c>
      <c r="DT12" s="2763">
        <f t="shared" si="66"/>
        <v>0</v>
      </c>
      <c r="DU12" s="2802">
        <f t="shared" si="66"/>
        <v>175.89936</v>
      </c>
      <c r="DV12" s="2763">
        <f t="shared" si="66"/>
        <v>175.89936</v>
      </c>
      <c r="DW12" s="2763">
        <f t="shared" si="66"/>
        <v>0</v>
      </c>
      <c r="DX12" s="2763">
        <f>SUM(DY12:DZ12)</f>
        <v>-176.97751604136289</v>
      </c>
      <c r="DY12" s="2803">
        <f t="shared" si="5"/>
        <v>-176.97751604136289</v>
      </c>
      <c r="DZ12" s="2803">
        <f t="shared" si="5"/>
        <v>0</v>
      </c>
      <c r="EA12" s="2763">
        <f>SUM(EB12:EC12)</f>
        <v>1018.1916721240896</v>
      </c>
      <c r="EB12" s="2763">
        <f t="shared" ref="EB12:EC12" si="67">SUM(EB11-EB14)</f>
        <v>1018.1916721240896</v>
      </c>
      <c r="EC12" s="2763">
        <f t="shared" si="67"/>
        <v>0</v>
      </c>
      <c r="ED12" s="2763">
        <f>SUM(EE12:EF12)</f>
        <v>1036.0815829999999</v>
      </c>
      <c r="EE12" s="2763">
        <f t="shared" ref="EE12:EI12" si="68">SUM(EE11-EE14)</f>
        <v>1036.0815829999999</v>
      </c>
      <c r="EF12" s="2763">
        <f t="shared" si="68"/>
        <v>0</v>
      </c>
      <c r="EG12" s="2763">
        <f t="shared" si="68"/>
        <v>522.20491400000037</v>
      </c>
      <c r="EH12" s="2763">
        <f t="shared" si="68"/>
        <v>522.20491400000037</v>
      </c>
      <c r="EI12" s="2763">
        <f t="shared" si="68"/>
        <v>0</v>
      </c>
      <c r="EJ12" s="2763">
        <f>SUM(EK12:EL12)</f>
        <v>17.889910875910346</v>
      </c>
      <c r="EK12" s="2803">
        <f t="shared" si="7"/>
        <v>17.889910875910346</v>
      </c>
      <c r="EL12" s="2803">
        <f t="shared" si="7"/>
        <v>0</v>
      </c>
      <c r="EM12" s="2762">
        <f>SUM(EN12:EO12)</f>
        <v>113.13240801378771</v>
      </c>
      <c r="EN12" s="2762">
        <f t="shared" ref="EN12:EO12" si="69">SUM(EN11-EN14)</f>
        <v>113.13240801378771</v>
      </c>
      <c r="EO12" s="2762">
        <f t="shared" si="69"/>
        <v>0</v>
      </c>
      <c r="EP12" s="2762">
        <f>SUM(EQ12:ER12)</f>
        <v>0</v>
      </c>
      <c r="EQ12" s="2762">
        <f t="shared" ref="EQ12:ER12" si="70">SUM(EQ11-EQ14)</f>
        <v>0</v>
      </c>
      <c r="ER12" s="2762">
        <f t="shared" si="70"/>
        <v>0</v>
      </c>
      <c r="ES12" s="4382">
        <f>SUM(ET12:EU12)</f>
        <v>56.033759999999972</v>
      </c>
      <c r="ET12" s="4382">
        <v>56.033759999999972</v>
      </c>
      <c r="EU12" s="4382">
        <v>0</v>
      </c>
      <c r="EV12" s="2762">
        <f>SUM(EW12:EX12)</f>
        <v>113.13240801378771</v>
      </c>
      <c r="EW12" s="2762">
        <f t="shared" ref="EW12:FA12" si="71">SUM(EW11-EW14)</f>
        <v>113.13240801378771</v>
      </c>
      <c r="EX12" s="2762">
        <f t="shared" si="71"/>
        <v>0</v>
      </c>
      <c r="EY12" s="2762">
        <f>SUM(EZ12:FA12)</f>
        <v>0</v>
      </c>
      <c r="EZ12" s="2762">
        <f t="shared" si="71"/>
        <v>0</v>
      </c>
      <c r="FA12" s="2762">
        <f t="shared" si="71"/>
        <v>0</v>
      </c>
      <c r="FB12" s="4382">
        <f>SUM(FC12:FD12)</f>
        <v>39.891649000000029</v>
      </c>
      <c r="FC12" s="4382">
        <v>39.891649000000029</v>
      </c>
      <c r="FD12" s="4382">
        <v>0</v>
      </c>
      <c r="FE12" s="2762">
        <f>SUM(FF12:FG12)</f>
        <v>113.13240801378771</v>
      </c>
      <c r="FF12" s="2762">
        <f t="shared" ref="FF12:FG12" si="72">SUM(FF11-FF14)</f>
        <v>113.13240801378771</v>
      </c>
      <c r="FG12" s="2762">
        <f t="shared" si="72"/>
        <v>0</v>
      </c>
      <c r="FH12" s="2762">
        <f>SUM(FI12:FJ12)</f>
        <v>0</v>
      </c>
      <c r="FI12" s="2762">
        <f t="shared" ref="FI12:FJ12" si="73">SUM(FI11-FI14)</f>
        <v>0</v>
      </c>
      <c r="FJ12" s="2762">
        <f t="shared" si="73"/>
        <v>0</v>
      </c>
      <c r="FK12" s="4382">
        <f>SUM(FL12:FM12)</f>
        <v>53.667256000000009</v>
      </c>
      <c r="FL12" s="4382">
        <v>53.667256000000009</v>
      </c>
      <c r="FM12" s="4382">
        <v>0</v>
      </c>
      <c r="FN12" s="2763">
        <f>SUM(FO12:FP12)</f>
        <v>339.39722404136296</v>
      </c>
      <c r="FO12" s="2763">
        <f t="shared" ref="FO12:FP12" si="74">SUM(FO11-FO14)</f>
        <v>339.39722404136296</v>
      </c>
      <c r="FP12" s="2763">
        <f t="shared" si="74"/>
        <v>0</v>
      </c>
      <c r="FQ12" s="2763">
        <f>SUM(FR12:FS12)</f>
        <v>0</v>
      </c>
      <c r="FR12" s="2763">
        <f t="shared" ref="FR12:FV12" si="75">SUM(FR11-FR14)</f>
        <v>0</v>
      </c>
      <c r="FS12" s="2763">
        <f t="shared" si="75"/>
        <v>0</v>
      </c>
      <c r="FT12" s="2802">
        <f t="shared" si="75"/>
        <v>149.59288500000025</v>
      </c>
      <c r="FU12" s="2802">
        <f t="shared" si="75"/>
        <v>149.59288500000025</v>
      </c>
      <c r="FV12" s="2802">
        <f t="shared" si="75"/>
        <v>0</v>
      </c>
      <c r="FW12" s="2763">
        <f>SUM(FX12:FY12)</f>
        <v>-339.39722404136296</v>
      </c>
      <c r="FX12" s="2803">
        <f t="shared" si="9"/>
        <v>-339.39722404136296</v>
      </c>
      <c r="FY12" s="2803">
        <f t="shared" si="9"/>
        <v>0</v>
      </c>
      <c r="FZ12" s="4384">
        <f>SUM(GA12:GB12)</f>
        <v>1357.5888961654523</v>
      </c>
      <c r="GA12" s="4384">
        <f t="shared" ref="GA12:GB12" si="76">SUM(GA11-GA14)</f>
        <v>1357.5888961654523</v>
      </c>
      <c r="GB12" s="4384">
        <f t="shared" si="76"/>
        <v>0</v>
      </c>
      <c r="GC12" s="2763">
        <f>SUM(GD12:GE12)</f>
        <v>1036.0815829999999</v>
      </c>
      <c r="GD12" s="2802">
        <f t="shared" ref="GD12:GH12" si="77">SUM(GD11-GD14)</f>
        <v>1036.0815829999999</v>
      </c>
      <c r="GE12" s="2802">
        <f t="shared" si="77"/>
        <v>0</v>
      </c>
      <c r="GF12" s="2802">
        <f t="shared" si="77"/>
        <v>671.79779899999994</v>
      </c>
      <c r="GG12" s="2802">
        <f t="shared" si="77"/>
        <v>671.79779899999903</v>
      </c>
      <c r="GH12" s="2802">
        <f t="shared" si="77"/>
        <v>0</v>
      </c>
      <c r="GI12" s="2763">
        <f>SUM(GJ12:GK12)</f>
        <v>-321.50731316545239</v>
      </c>
      <c r="GJ12" s="2803">
        <f t="shared" si="12"/>
        <v>-321.50731316545239</v>
      </c>
      <c r="GK12" s="2803">
        <f t="shared" si="12"/>
        <v>0</v>
      </c>
      <c r="GL12" s="565"/>
      <c r="GM12" s="3576">
        <f t="shared" si="13"/>
        <v>1357.5888961654521</v>
      </c>
    </row>
    <row r="13" spans="1:195" ht="18.75" x14ac:dyDescent="0.3">
      <c r="A13" s="2786" t="s">
        <v>110</v>
      </c>
      <c r="B13" s="2764">
        <f t="shared" ref="B13:AK13" si="78">SUM(B12/B11)</f>
        <v>0.2763239947300194</v>
      </c>
      <c r="C13" s="2764">
        <f t="shared" si="78"/>
        <v>0.27640000000056736</v>
      </c>
      <c r="D13" s="2764">
        <f t="shared" si="78"/>
        <v>0</v>
      </c>
      <c r="E13" s="2764">
        <f t="shared" si="78"/>
        <v>0.13568530817201394</v>
      </c>
      <c r="F13" s="2764">
        <f t="shared" si="78"/>
        <v>0.13568530817201394</v>
      </c>
      <c r="G13" s="2764" t="e">
        <f t="shared" si="78"/>
        <v>#DIV/0!</v>
      </c>
      <c r="H13" s="4560">
        <f t="shared" si="78"/>
        <v>0.16817694988158383</v>
      </c>
      <c r="I13" s="4560">
        <v>0.16821455918876971</v>
      </c>
      <c r="J13" s="4560">
        <v>0</v>
      </c>
      <c r="K13" s="2764">
        <f t="shared" si="78"/>
        <v>0.2763239947300194</v>
      </c>
      <c r="L13" s="2764">
        <f t="shared" si="78"/>
        <v>0.27640000000056736</v>
      </c>
      <c r="M13" s="2764">
        <f t="shared" si="78"/>
        <v>0</v>
      </c>
      <c r="N13" s="2764">
        <f t="shared" si="78"/>
        <v>0.24652362186280563</v>
      </c>
      <c r="O13" s="2764">
        <f t="shared" si="78"/>
        <v>0.24652362186280563</v>
      </c>
      <c r="P13" s="2764" t="e">
        <f t="shared" si="78"/>
        <v>#DIV/0!</v>
      </c>
      <c r="Q13" s="4560">
        <f t="shared" si="78"/>
        <v>0.10730134641092695</v>
      </c>
      <c r="R13" s="4560">
        <v>0.10732431069888022</v>
      </c>
      <c r="S13" s="4560">
        <v>0</v>
      </c>
      <c r="T13" s="2764">
        <f t="shared" si="78"/>
        <v>0.2763239947300194</v>
      </c>
      <c r="U13" s="2764">
        <f t="shared" si="78"/>
        <v>0.27640000000056736</v>
      </c>
      <c r="V13" s="2764">
        <f t="shared" si="78"/>
        <v>0</v>
      </c>
      <c r="W13" s="2764">
        <f t="shared" si="78"/>
        <v>0.35098096965073544</v>
      </c>
      <c r="X13" s="2764">
        <f t="shared" si="78"/>
        <v>0.35098096965073544</v>
      </c>
      <c r="Y13" s="2764" t="e">
        <f t="shared" si="78"/>
        <v>#DIV/0!</v>
      </c>
      <c r="Z13" s="4560">
        <f t="shared" si="78"/>
        <v>0.23441023054364285</v>
      </c>
      <c r="AA13" s="4560">
        <v>0.23447184095870852</v>
      </c>
      <c r="AB13" s="4560">
        <v>0</v>
      </c>
      <c r="AC13" s="2765">
        <f t="shared" si="78"/>
        <v>0.27632399473001928</v>
      </c>
      <c r="AD13" s="2765">
        <f t="shared" si="78"/>
        <v>0.27640000000056719</v>
      </c>
      <c r="AE13" s="2765">
        <f t="shared" si="78"/>
        <v>0</v>
      </c>
      <c r="AF13" s="2765">
        <f t="shared" si="78"/>
        <v>0.25289714646163292</v>
      </c>
      <c r="AG13" s="2765">
        <f t="shared" si="78"/>
        <v>0.25289714646163292</v>
      </c>
      <c r="AH13" s="2765" t="e">
        <f t="shared" si="78"/>
        <v>#DIV/0!</v>
      </c>
      <c r="AI13" s="2804">
        <f t="shared" si="78"/>
        <v>0.17223718346316405</v>
      </c>
      <c r="AJ13" s="2804">
        <f t="shared" si="78"/>
        <v>0.17227753494154818</v>
      </c>
      <c r="AK13" s="2804">
        <f t="shared" si="78"/>
        <v>0</v>
      </c>
      <c r="AL13" s="2805">
        <f t="shared" ref="AL13:AN13" si="79">SUM(AF13-AC13)</f>
        <v>-2.3426848268386369E-2</v>
      </c>
      <c r="AM13" s="2805">
        <f t="shared" si="79"/>
        <v>-2.3502853538934276E-2</v>
      </c>
      <c r="AN13" s="2805" t="e">
        <f t="shared" si="79"/>
        <v>#DIV/0!</v>
      </c>
      <c r="AO13" s="2764">
        <f t="shared" ref="AO13:BX13" si="80">SUM(AO12/AO11)</f>
        <v>0.2763239947300194</v>
      </c>
      <c r="AP13" s="2764">
        <f t="shared" si="80"/>
        <v>0.27640000000056736</v>
      </c>
      <c r="AQ13" s="2764">
        <f t="shared" si="80"/>
        <v>0</v>
      </c>
      <c r="AR13" s="2764">
        <f t="shared" si="80"/>
        <v>0.38508004009092517</v>
      </c>
      <c r="AS13" s="2764">
        <f t="shared" si="80"/>
        <v>0.38508004009092517</v>
      </c>
      <c r="AT13" s="2764" t="e">
        <f t="shared" si="80"/>
        <v>#DIV/0!</v>
      </c>
      <c r="AU13" s="4560">
        <f t="shared" si="80"/>
        <v>0.14456993384188721</v>
      </c>
      <c r="AV13" s="4560">
        <v>0.14476307655738804</v>
      </c>
      <c r="AW13" s="4560">
        <v>0</v>
      </c>
      <c r="AX13" s="2764">
        <f t="shared" si="80"/>
        <v>0.2763239947300194</v>
      </c>
      <c r="AY13" s="2764">
        <f t="shared" si="80"/>
        <v>0.27640000000056736</v>
      </c>
      <c r="AZ13" s="2764">
        <f t="shared" si="80"/>
        <v>0</v>
      </c>
      <c r="BA13" s="2764">
        <f t="shared" si="80"/>
        <v>0.43171204750227754</v>
      </c>
      <c r="BB13" s="2764">
        <f t="shared" si="80"/>
        <v>0.43171204750227754</v>
      </c>
      <c r="BC13" s="2764" t="e">
        <f t="shared" si="80"/>
        <v>#DIV/0!</v>
      </c>
      <c r="BD13" s="4560">
        <f t="shared" si="80"/>
        <v>0.14019936327288474</v>
      </c>
      <c r="BE13" s="4560">
        <v>0.1402135438647841</v>
      </c>
      <c r="BF13" s="4560">
        <v>0</v>
      </c>
      <c r="BG13" s="2764">
        <f t="shared" si="80"/>
        <v>0.2763239947300194</v>
      </c>
      <c r="BH13" s="2764">
        <f t="shared" si="80"/>
        <v>0.27640000000056736</v>
      </c>
      <c r="BI13" s="2764">
        <f t="shared" si="80"/>
        <v>0</v>
      </c>
      <c r="BJ13" s="2764">
        <f t="shared" si="80"/>
        <v>0.38111228227027433</v>
      </c>
      <c r="BK13" s="2764">
        <f t="shared" si="80"/>
        <v>0.38111228227027433</v>
      </c>
      <c r="BL13" s="2764" t="e">
        <f t="shared" si="80"/>
        <v>#DIV/0!</v>
      </c>
      <c r="BM13" s="4560">
        <f t="shared" si="80"/>
        <v>0.16549614859094189</v>
      </c>
      <c r="BN13" s="4560">
        <v>0.16549614859094189</v>
      </c>
      <c r="BO13" s="4560" t="e">
        <v>#DIV/0!</v>
      </c>
      <c r="BP13" s="2765">
        <f t="shared" si="80"/>
        <v>0.27632399473001928</v>
      </c>
      <c r="BQ13" s="2765">
        <f t="shared" si="80"/>
        <v>0.27640000000056719</v>
      </c>
      <c r="BR13" s="2765">
        <f t="shared" si="80"/>
        <v>0</v>
      </c>
      <c r="BS13" s="2765">
        <f t="shared" si="80"/>
        <v>0.40045151354039044</v>
      </c>
      <c r="BT13" s="2765">
        <f t="shared" si="80"/>
        <v>0.40045151354039044</v>
      </c>
      <c r="BU13" s="2765" t="e">
        <f t="shared" si="80"/>
        <v>#DIV/0!</v>
      </c>
      <c r="BV13" s="4561">
        <f t="shared" si="80"/>
        <v>0.1497694903210042</v>
      </c>
      <c r="BW13" s="4555">
        <f t="shared" si="80"/>
        <v>0.14984545509498368</v>
      </c>
      <c r="BX13" s="4555">
        <f t="shared" si="80"/>
        <v>0</v>
      </c>
      <c r="BY13" s="2805">
        <f t="shared" ref="BY13:CA13" si="81">SUM(BS13-BP13)</f>
        <v>0.12412751881037115</v>
      </c>
      <c r="BZ13" s="2805">
        <f t="shared" si="81"/>
        <v>0.12405151353982324</v>
      </c>
      <c r="CA13" s="2805" t="e">
        <f t="shared" si="81"/>
        <v>#DIV/0!</v>
      </c>
      <c r="CB13" s="2765">
        <f t="shared" ref="CB13:CJ13" si="82">SUM(CB12/CB11)</f>
        <v>0.27632399473001928</v>
      </c>
      <c r="CC13" s="2765">
        <f t="shared" si="82"/>
        <v>0.27640000000056719</v>
      </c>
      <c r="CD13" s="2765">
        <f t="shared" si="82"/>
        <v>0</v>
      </c>
      <c r="CE13" s="2765">
        <f t="shared" si="82"/>
        <v>0.33316471051575824</v>
      </c>
      <c r="CF13" s="2765">
        <f t="shared" si="82"/>
        <v>0.33316471051575824</v>
      </c>
      <c r="CG13" s="2765" t="e">
        <f t="shared" si="82"/>
        <v>#DIV/0!</v>
      </c>
      <c r="CH13" s="2804">
        <f t="shared" si="82"/>
        <v>0.16120021620870828</v>
      </c>
      <c r="CI13" s="2804">
        <f t="shared" si="82"/>
        <v>0.1612595918349102</v>
      </c>
      <c r="CJ13" s="2804">
        <f t="shared" si="82"/>
        <v>0</v>
      </c>
      <c r="CK13" s="2805">
        <f>SUM(CE13-CB13)</f>
        <v>5.684071578573896E-2</v>
      </c>
      <c r="CL13" s="2805">
        <f t="shared" si="3"/>
        <v>5.6764710515191052E-2</v>
      </c>
      <c r="CM13" s="2805" t="e">
        <f t="shared" si="3"/>
        <v>#DIV/0!</v>
      </c>
      <c r="CN13" s="2764">
        <f t="shared" ref="CN13:DW13" si="83">SUM(CN12/CN11)</f>
        <v>0.2763239947300194</v>
      </c>
      <c r="CO13" s="2764">
        <f t="shared" si="83"/>
        <v>0.27640000000056736</v>
      </c>
      <c r="CP13" s="2764">
        <f t="shared" si="83"/>
        <v>0</v>
      </c>
      <c r="CQ13" s="2764">
        <f t="shared" si="83"/>
        <v>0.38663469858650285</v>
      </c>
      <c r="CR13" s="2764">
        <f t="shared" si="83"/>
        <v>0.38663469858650285</v>
      </c>
      <c r="CS13" s="2764" t="e">
        <f t="shared" si="83"/>
        <v>#DIV/0!</v>
      </c>
      <c r="CT13" s="4560">
        <f t="shared" si="83"/>
        <v>0.21888988228014936</v>
      </c>
      <c r="CU13" s="4560">
        <v>0.21888988228014936</v>
      </c>
      <c r="CV13" s="4560" t="e">
        <v>#DIV/0!</v>
      </c>
      <c r="CW13" s="2764">
        <f t="shared" si="83"/>
        <v>0.2763239947300194</v>
      </c>
      <c r="CX13" s="2764">
        <f t="shared" si="83"/>
        <v>0.27640000000056736</v>
      </c>
      <c r="CY13" s="2764">
        <f t="shared" si="83"/>
        <v>0</v>
      </c>
      <c r="CZ13" s="2764" t="e">
        <f t="shared" si="83"/>
        <v>#DIV/0!</v>
      </c>
      <c r="DA13" s="2764" t="e">
        <f t="shared" si="83"/>
        <v>#DIV/0!</v>
      </c>
      <c r="DB13" s="2764" t="e">
        <f t="shared" si="83"/>
        <v>#DIV/0!</v>
      </c>
      <c r="DC13" s="4560">
        <f t="shared" si="83"/>
        <v>0.18469462711218088</v>
      </c>
      <c r="DD13" s="4560">
        <v>0.18469462711218088</v>
      </c>
      <c r="DE13" s="4560" t="e">
        <v>#DIV/0!</v>
      </c>
      <c r="DF13" s="2764">
        <f t="shared" si="83"/>
        <v>0.2763239947300194</v>
      </c>
      <c r="DG13" s="2764">
        <f t="shared" si="83"/>
        <v>0.27640000000056736</v>
      </c>
      <c r="DH13" s="2764">
        <f t="shared" si="83"/>
        <v>0</v>
      </c>
      <c r="DI13" s="2764" t="e">
        <f t="shared" si="83"/>
        <v>#DIV/0!</v>
      </c>
      <c r="DJ13" s="2764" t="e">
        <f t="shared" si="83"/>
        <v>#DIV/0!</v>
      </c>
      <c r="DK13" s="2764" t="e">
        <f t="shared" si="83"/>
        <v>#DIV/0!</v>
      </c>
      <c r="DL13" s="4560">
        <f t="shared" si="83"/>
        <v>0.11820603402944584</v>
      </c>
      <c r="DM13" s="4560">
        <v>0.11820603402944584</v>
      </c>
      <c r="DN13" s="4560" t="e">
        <v>#DIV/0!</v>
      </c>
      <c r="DO13" s="2765">
        <f t="shared" si="83"/>
        <v>0.27632399473001928</v>
      </c>
      <c r="DP13" s="2765">
        <f t="shared" si="83"/>
        <v>0.27640000000056719</v>
      </c>
      <c r="DQ13" s="2765">
        <f t="shared" si="83"/>
        <v>0</v>
      </c>
      <c r="DR13" s="2765">
        <f t="shared" si="83"/>
        <v>0.38663469858650285</v>
      </c>
      <c r="DS13" s="2765">
        <f t="shared" si="83"/>
        <v>0.38663469858650285</v>
      </c>
      <c r="DT13" s="2765" t="e">
        <f t="shared" si="83"/>
        <v>#DIV/0!</v>
      </c>
      <c r="DU13" s="2804">
        <f t="shared" si="83"/>
        <v>0.17407430234744059</v>
      </c>
      <c r="DV13" s="2765">
        <f t="shared" si="83"/>
        <v>0.17407430234744059</v>
      </c>
      <c r="DW13" s="2765" t="e">
        <f t="shared" si="83"/>
        <v>#DIV/0!</v>
      </c>
      <c r="DX13" s="2805">
        <f t="shared" ref="DX13" si="84">SUM(DR13-DO13)</f>
        <v>0.11031070385648356</v>
      </c>
      <c r="DY13" s="2805">
        <f t="shared" si="5"/>
        <v>0.11023469858593565</v>
      </c>
      <c r="DZ13" s="2805" t="e">
        <f t="shared" si="5"/>
        <v>#DIV/0!</v>
      </c>
      <c r="EA13" s="2765">
        <f t="shared" ref="EA13:EI13" si="85">SUM(EA12/EA11)</f>
        <v>0.27632399473001945</v>
      </c>
      <c r="EB13" s="2765">
        <f t="shared" si="85"/>
        <v>0.27640000000056736</v>
      </c>
      <c r="EC13" s="2765">
        <f t="shared" si="85"/>
        <v>0</v>
      </c>
      <c r="ED13" s="2765">
        <f t="shared" si="85"/>
        <v>0.34054769536109358</v>
      </c>
      <c r="EE13" s="2765">
        <f t="shared" si="85"/>
        <v>0.34054769536109358</v>
      </c>
      <c r="EF13" s="2765" t="e">
        <f t="shared" si="85"/>
        <v>#DIV/0!</v>
      </c>
      <c r="EG13" s="2765">
        <f t="shared" si="85"/>
        <v>0.16531859956418107</v>
      </c>
      <c r="EH13" s="2765">
        <f t="shared" si="85"/>
        <v>0.16536000789566038</v>
      </c>
      <c r="EI13" s="2765">
        <f t="shared" si="85"/>
        <v>0</v>
      </c>
      <c r="EJ13" s="2805">
        <f t="shared" ref="EJ13" si="86">SUM(ED13-EA13)</f>
        <v>6.4223700631074132E-2</v>
      </c>
      <c r="EK13" s="2805">
        <f t="shared" si="7"/>
        <v>6.4147695360526225E-2</v>
      </c>
      <c r="EL13" s="2805" t="e">
        <f t="shared" si="7"/>
        <v>#DIV/0!</v>
      </c>
      <c r="EM13" s="2764">
        <f t="shared" ref="EM13:FV13" si="87">SUM(EM12/EM11)</f>
        <v>0.2763239947300194</v>
      </c>
      <c r="EN13" s="2764">
        <f t="shared" si="87"/>
        <v>0.27640000000056736</v>
      </c>
      <c r="EO13" s="2764">
        <f t="shared" si="87"/>
        <v>0</v>
      </c>
      <c r="EP13" s="2764" t="e">
        <f t="shared" si="87"/>
        <v>#DIV/0!</v>
      </c>
      <c r="EQ13" s="2764" t="e">
        <f t="shared" si="87"/>
        <v>#DIV/0!</v>
      </c>
      <c r="ER13" s="2764" t="e">
        <f t="shared" si="87"/>
        <v>#DIV/0!</v>
      </c>
      <c r="ES13" s="4560">
        <f t="shared" si="87"/>
        <v>0.16079764513689632</v>
      </c>
      <c r="ET13" s="4560">
        <v>0.16079764513689632</v>
      </c>
      <c r="EU13" s="4560" t="e">
        <v>#DIV/0!</v>
      </c>
      <c r="EV13" s="2764">
        <f t="shared" si="87"/>
        <v>0.2763239947300194</v>
      </c>
      <c r="EW13" s="2764">
        <f t="shared" si="87"/>
        <v>0.27640000000056736</v>
      </c>
      <c r="EX13" s="2764">
        <f t="shared" si="87"/>
        <v>0</v>
      </c>
      <c r="EY13" s="2764" t="e">
        <f t="shared" si="87"/>
        <v>#DIV/0!</v>
      </c>
      <c r="EZ13" s="2764" t="e">
        <f t="shared" si="87"/>
        <v>#DIV/0!</v>
      </c>
      <c r="FA13" s="2764" t="e">
        <f t="shared" si="87"/>
        <v>#DIV/0!</v>
      </c>
      <c r="FB13" s="4560">
        <f t="shared" si="87"/>
        <v>0.11738473789592399</v>
      </c>
      <c r="FC13" s="4560">
        <v>0.11738473789592399</v>
      </c>
      <c r="FD13" s="4560" t="e">
        <v>#DIV/0!</v>
      </c>
      <c r="FE13" s="2764">
        <f t="shared" si="87"/>
        <v>0.2763239947300194</v>
      </c>
      <c r="FF13" s="2764">
        <f t="shared" si="87"/>
        <v>0.27640000000056736</v>
      </c>
      <c r="FG13" s="2764">
        <f t="shared" si="87"/>
        <v>0</v>
      </c>
      <c r="FH13" s="2764" t="e">
        <f t="shared" si="87"/>
        <v>#DIV/0!</v>
      </c>
      <c r="FI13" s="2764" t="e">
        <f t="shared" si="87"/>
        <v>#DIV/0!</v>
      </c>
      <c r="FJ13" s="2764" t="e">
        <f t="shared" si="87"/>
        <v>#DIV/0!</v>
      </c>
      <c r="FK13" s="4560">
        <f t="shared" si="87"/>
        <v>0.15096714067484107</v>
      </c>
      <c r="FL13" s="4560">
        <v>0.15096714067484107</v>
      </c>
      <c r="FM13" s="4560" t="e">
        <v>#DIV/0!</v>
      </c>
      <c r="FN13" s="2765">
        <f t="shared" si="87"/>
        <v>0.27632399473001928</v>
      </c>
      <c r="FO13" s="2765">
        <f t="shared" si="87"/>
        <v>0.27640000000056719</v>
      </c>
      <c r="FP13" s="2765">
        <f t="shared" si="87"/>
        <v>0</v>
      </c>
      <c r="FQ13" s="2765" t="e">
        <f t="shared" si="87"/>
        <v>#DIV/0!</v>
      </c>
      <c r="FR13" s="2765" t="e">
        <f t="shared" si="87"/>
        <v>#DIV/0!</v>
      </c>
      <c r="FS13" s="2765" t="e">
        <f t="shared" si="87"/>
        <v>#DIV/0!</v>
      </c>
      <c r="FT13" s="2804">
        <f t="shared" si="87"/>
        <v>0.143315635788793</v>
      </c>
      <c r="FU13" s="2804">
        <f t="shared" si="87"/>
        <v>0.143315635788793</v>
      </c>
      <c r="FV13" s="2804" t="e">
        <f t="shared" si="87"/>
        <v>#DIV/0!</v>
      </c>
      <c r="FW13" s="2805" t="e">
        <f t="shared" ref="FW13" si="88">SUM(FQ13-FN13)</f>
        <v>#DIV/0!</v>
      </c>
      <c r="FX13" s="2805" t="e">
        <f t="shared" si="9"/>
        <v>#DIV/0!</v>
      </c>
      <c r="FY13" s="2805" t="e">
        <f t="shared" si="9"/>
        <v>#DIV/0!</v>
      </c>
      <c r="FZ13" s="4555">
        <f t="shared" ref="FZ13:GB13" si="89">SUM(FZ12/FZ11)</f>
        <v>0.2763239947300194</v>
      </c>
      <c r="GA13" s="4555">
        <f t="shared" si="89"/>
        <v>0.2764000000005673</v>
      </c>
      <c r="GB13" s="4555">
        <f t="shared" si="89"/>
        <v>0</v>
      </c>
      <c r="GC13" s="2765">
        <f t="shared" ref="GC13:GH13" si="90">SUM(GC12/GC11)</f>
        <v>0.34054769536109358</v>
      </c>
      <c r="GD13" s="2804">
        <f t="shared" si="90"/>
        <v>0.34054769536109358</v>
      </c>
      <c r="GE13" s="2804" t="e">
        <f t="shared" si="90"/>
        <v>#DIV/0!</v>
      </c>
      <c r="GF13" s="2804">
        <f t="shared" si="90"/>
        <v>0.15985369417660433</v>
      </c>
      <c r="GG13" s="2804">
        <f t="shared" si="90"/>
        <v>0.15988378714373663</v>
      </c>
      <c r="GH13" s="2804">
        <f t="shared" si="90"/>
        <v>0</v>
      </c>
      <c r="GI13" s="2805">
        <f t="shared" ref="GI13" si="91">SUM(GC13-FZ13)</f>
        <v>6.4223700631074188E-2</v>
      </c>
      <c r="GJ13" s="2805">
        <f t="shared" si="12"/>
        <v>6.414769536052628E-2</v>
      </c>
      <c r="GK13" s="2805" t="e">
        <f t="shared" si="12"/>
        <v>#DIV/0!</v>
      </c>
      <c r="GL13" s="565"/>
      <c r="GM13" s="3576">
        <f t="shared" si="13"/>
        <v>3.3158879367602325</v>
      </c>
    </row>
    <row r="14" spans="1:195" ht="18.75" x14ac:dyDescent="0.3">
      <c r="A14" s="2796" t="s">
        <v>3689</v>
      </c>
      <c r="B14" s="2756">
        <f>SUM(C14:D14)</f>
        <v>296.28700604876235</v>
      </c>
      <c r="C14" s="2756">
        <f>SUM(C15:C16)+C21</f>
        <v>296.17442271542899</v>
      </c>
      <c r="D14" s="2756">
        <f>SUM(D15:D16)+D21</f>
        <v>0.11258333333333333</v>
      </c>
      <c r="E14" s="2756">
        <f>SUM(F14:G14)</f>
        <v>301.68359800000002</v>
      </c>
      <c r="F14" s="2756">
        <f>SUM(F15:F16)+F21</f>
        <v>301.68359800000002</v>
      </c>
      <c r="G14" s="2756">
        <f>SUM(G15:G16)+G21</f>
        <v>0</v>
      </c>
      <c r="H14" s="4377">
        <f>SUM(I14:J14)</f>
        <v>308.8</v>
      </c>
      <c r="I14" s="4377">
        <v>308.71699999999998</v>
      </c>
      <c r="J14" s="4377">
        <v>8.3000000000000004E-2</v>
      </c>
      <c r="K14" s="2756">
        <f>SUM(L14:M14)</f>
        <v>296.28700604876235</v>
      </c>
      <c r="L14" s="2756">
        <f>SUM(L15:L16)+L21</f>
        <v>296.17442271542899</v>
      </c>
      <c r="M14" s="2756">
        <f>SUM(M15:M16)+M21</f>
        <v>0.11258333333333333</v>
      </c>
      <c r="N14" s="2756">
        <f>SUM(O14:P14)</f>
        <v>303.98077699999999</v>
      </c>
      <c r="O14" s="2756">
        <f>SUM(O15:O16)+O21</f>
        <v>303.98077699999999</v>
      </c>
      <c r="P14" s="2756">
        <f>SUM(P15:P16)+P21</f>
        <v>0</v>
      </c>
      <c r="Q14" s="4377">
        <f>SUM(R14:S14)</f>
        <v>304.56</v>
      </c>
      <c r="R14" s="4377">
        <v>304.48700000000002</v>
      </c>
      <c r="S14" s="4377">
        <v>7.2999999999999995E-2</v>
      </c>
      <c r="T14" s="2756">
        <f>SUM(U14:V14)</f>
        <v>296.28700604876235</v>
      </c>
      <c r="U14" s="2756">
        <f>SUM(U15:U16)+U21</f>
        <v>296.17442271542899</v>
      </c>
      <c r="V14" s="2756">
        <f>SUM(V15:V16)+V21</f>
        <v>0.11258333333333333</v>
      </c>
      <c r="W14" s="2756">
        <f>SUM(X14:Y14)</f>
        <v>287.72876300000001</v>
      </c>
      <c r="X14" s="2756">
        <f>SUM(X15:X16)+X21</f>
        <v>287.72876300000001</v>
      </c>
      <c r="Y14" s="2756">
        <f>SUM(Y15:Y16)+Y21</f>
        <v>0</v>
      </c>
      <c r="Z14" s="4377">
        <f>SUM(AA14:AB14)</f>
        <v>291.36184600000007</v>
      </c>
      <c r="AA14" s="4377">
        <v>291.26184600000005</v>
      </c>
      <c r="AB14" s="4377">
        <v>0.1</v>
      </c>
      <c r="AC14" s="2758">
        <f>SUM(AD14:AE14)</f>
        <v>888.86101814628717</v>
      </c>
      <c r="AD14" s="2758">
        <f>SUM(AD15:AD16)+AD21</f>
        <v>888.52326814628714</v>
      </c>
      <c r="AE14" s="2758">
        <f>SUM(AE15:AE16)+AE21</f>
        <v>0.33774999999999999</v>
      </c>
      <c r="AF14" s="2758">
        <f>SUM(AG14:AH14)</f>
        <v>893.39313800000002</v>
      </c>
      <c r="AG14" s="2758">
        <f>SUM(AG15:AG16)+AG21</f>
        <v>893.39313800000002</v>
      </c>
      <c r="AH14" s="2758">
        <f>SUM(AH15:AH16)+AH21</f>
        <v>0</v>
      </c>
      <c r="AI14" s="2758">
        <f>SUM(AJ14:AK14)</f>
        <v>904.72184600000003</v>
      </c>
      <c r="AJ14" s="2758">
        <f>SUM(AJ15:AJ16)+AJ21</f>
        <v>904.46584600000006</v>
      </c>
      <c r="AK14" s="2758">
        <f>SUM(AK15:AK16)+AK21</f>
        <v>0.25600000000000001</v>
      </c>
      <c r="AL14" s="2758">
        <f>SUM(AM14:AN14)</f>
        <v>4.5321198537129703</v>
      </c>
      <c r="AM14" s="2758">
        <f>SUM(AM15:AM16)+AM21</f>
        <v>4.8698698537129701</v>
      </c>
      <c r="AN14" s="2758">
        <f>SUM(AN15:AN16)+AN21</f>
        <v>-0.33774999999999999</v>
      </c>
      <c r="AO14" s="2756">
        <f>SUM(AP14:AQ14)</f>
        <v>296.28700604876235</v>
      </c>
      <c r="AP14" s="2756">
        <f>SUM(AP15:AP16)+AP21</f>
        <v>296.17442271542899</v>
      </c>
      <c r="AQ14" s="2756">
        <f>SUM(AQ15:AQ16)+AQ21</f>
        <v>0.11258333333333333</v>
      </c>
      <c r="AR14" s="2756">
        <f>SUM(AS14:AT14)</f>
        <v>284.123583</v>
      </c>
      <c r="AS14" s="2756">
        <f>SUM(AS15:AS16)+AS21</f>
        <v>284.123583</v>
      </c>
      <c r="AT14" s="2756">
        <f>SUM(AT15:AT16)+AT21</f>
        <v>0</v>
      </c>
      <c r="AU14" s="4377">
        <f>SUM(AV14:AW14)</f>
        <v>320.57819999999998</v>
      </c>
      <c r="AV14" s="4377">
        <v>320.07819999999998</v>
      </c>
      <c r="AW14" s="4377">
        <v>0.5</v>
      </c>
      <c r="AX14" s="2756">
        <f>SUM(AY14:AZ14)</f>
        <v>296.28700604876235</v>
      </c>
      <c r="AY14" s="2756">
        <f>SUM(AY15:AY16)+AY21</f>
        <v>296.17442271542899</v>
      </c>
      <c r="AZ14" s="2756">
        <f>SUM(AZ15:AZ16)+AZ21</f>
        <v>0.11258333333333333</v>
      </c>
      <c r="BA14" s="2756">
        <f>SUM(BB14:BC14)</f>
        <v>289.24589500000002</v>
      </c>
      <c r="BB14" s="2756">
        <f>SUM(BB15:BB16)+BB21</f>
        <v>289.24589500000002</v>
      </c>
      <c r="BC14" s="2756">
        <f>SUM(BC15:BC16)+BC21</f>
        <v>0</v>
      </c>
      <c r="BD14" s="4377">
        <f>SUM(BE14:BF14)</f>
        <v>297.55099999999999</v>
      </c>
      <c r="BE14" s="4377">
        <v>297.51599999999996</v>
      </c>
      <c r="BF14" s="4377">
        <v>3.5000000000000003E-2</v>
      </c>
      <c r="BG14" s="2756">
        <f>SUM(BH14:BI14)</f>
        <v>296.28700604876235</v>
      </c>
      <c r="BH14" s="2756">
        <f>SUM(BH15:BH16)+BH21</f>
        <v>296.17442271542899</v>
      </c>
      <c r="BI14" s="2756">
        <f>SUM(BI15:BI16)+BI21</f>
        <v>0.11258333333333333</v>
      </c>
      <c r="BJ14" s="2756">
        <f>SUM(BK14:BL14)</f>
        <v>281.88767899999999</v>
      </c>
      <c r="BK14" s="2756">
        <f>SUM(BK15:BK16)+BK21</f>
        <v>281.88767899999999</v>
      </c>
      <c r="BL14" s="2756">
        <f>SUM(BL15:BL16)+BL21</f>
        <v>0</v>
      </c>
      <c r="BM14" s="4377">
        <f>SUM(BN14:BO14)</f>
        <v>279.13799999999998</v>
      </c>
      <c r="BN14" s="4377">
        <v>279.13799999999998</v>
      </c>
      <c r="BO14" s="4377">
        <v>0</v>
      </c>
      <c r="BP14" s="2758">
        <f>SUM(BQ14:BR14)</f>
        <v>888.86101814628717</v>
      </c>
      <c r="BQ14" s="2758">
        <f>SUM(BQ15:BQ16)+BQ21</f>
        <v>888.52326814628714</v>
      </c>
      <c r="BR14" s="2758">
        <f>SUM(BR15:BR16)+BR21</f>
        <v>0.33774999999999999</v>
      </c>
      <c r="BS14" s="2758">
        <f>SUM(BT14:BU14)</f>
        <v>855.25715700000001</v>
      </c>
      <c r="BT14" s="2758">
        <f>SUM(BT15:BT16)+BT21</f>
        <v>855.25715700000001</v>
      </c>
      <c r="BU14" s="2758">
        <f>SUM(BU15:BU16)+BU21</f>
        <v>0</v>
      </c>
      <c r="BV14" s="4379">
        <f>SUM(BW14:BX14)</f>
        <v>897.2672</v>
      </c>
      <c r="BW14" s="4379">
        <f>SUM(BW15:BW16)+BW21</f>
        <v>896.73220000000003</v>
      </c>
      <c r="BX14" s="4379">
        <f>SUM(BX15:BX16)+BX21</f>
        <v>0.53500000000000003</v>
      </c>
      <c r="BY14" s="2758">
        <f>SUM(BZ14:CA14)</f>
        <v>-33.603861146287073</v>
      </c>
      <c r="BZ14" s="2758">
        <f>SUM(BZ15:BZ16)+BZ21</f>
        <v>-33.266111146287074</v>
      </c>
      <c r="CA14" s="2758">
        <f>SUM(CA15:CA16)+CA21</f>
        <v>-0.33774999999999999</v>
      </c>
      <c r="CB14" s="2758">
        <f>SUM(CC14:CD14)</f>
        <v>1777.7220362925743</v>
      </c>
      <c r="CC14" s="2758">
        <f>SUM(CC15:CC16)+CC21</f>
        <v>1777.0465362925743</v>
      </c>
      <c r="CD14" s="2758">
        <f>SUM(CD15:CD16)+CD21</f>
        <v>0.67549999999999999</v>
      </c>
      <c r="CE14" s="2758">
        <f>SUM(CF14:CG14)</f>
        <v>1748.6502949999999</v>
      </c>
      <c r="CF14" s="2758">
        <f>SUM(CF15:CF16)+CF21</f>
        <v>1748.6502949999999</v>
      </c>
      <c r="CG14" s="2758">
        <f>SUM(CG15:CG16)+CG21</f>
        <v>0</v>
      </c>
      <c r="CH14" s="2758">
        <f>SUM(CI14:CJ14)</f>
        <v>1801.9890459999997</v>
      </c>
      <c r="CI14" s="2758">
        <f>SUM(CI15:CI16)+CI21</f>
        <v>1801.1980459999997</v>
      </c>
      <c r="CJ14" s="2758">
        <f>SUM(CJ15:CJ16)+CJ21</f>
        <v>0.79100000000000004</v>
      </c>
      <c r="CK14" s="2758">
        <f>SUM(CL14:CM14)</f>
        <v>-29.071741292574359</v>
      </c>
      <c r="CL14" s="2799">
        <f t="shared" si="3"/>
        <v>-28.396241292574359</v>
      </c>
      <c r="CM14" s="2799">
        <f t="shared" si="3"/>
        <v>-0.67549999999999999</v>
      </c>
      <c r="CN14" s="2756">
        <f>SUM(CO14:CP14)</f>
        <v>296.28700604876235</v>
      </c>
      <c r="CO14" s="2756">
        <f>SUM(CO15:CO16)+CO21</f>
        <v>296.17442271542899</v>
      </c>
      <c r="CP14" s="2756">
        <f>SUM(CP15:CP16)+CP21</f>
        <v>0.11258333333333333</v>
      </c>
      <c r="CQ14" s="2756">
        <f>SUM(CR14:CS14)</f>
        <v>257.66599199999996</v>
      </c>
      <c r="CR14" s="2756">
        <f>SUM(CR15:CR16)+CR21</f>
        <v>257.66599199999996</v>
      </c>
      <c r="CS14" s="2756">
        <f>SUM(CS15:CS16)+CS21</f>
        <v>0</v>
      </c>
      <c r="CT14" s="4377">
        <f>SUM(CU14:CV14)</f>
        <v>261.57800000000003</v>
      </c>
      <c r="CU14" s="4377">
        <v>261.57800000000003</v>
      </c>
      <c r="CV14" s="4377">
        <v>0</v>
      </c>
      <c r="CW14" s="2756">
        <f>SUM(CX14:CY14)</f>
        <v>296.28700604876235</v>
      </c>
      <c r="CX14" s="2756">
        <f>SUM(CX15:CX16)+CX21</f>
        <v>296.17442271542899</v>
      </c>
      <c r="CY14" s="2756">
        <f>SUM(CY15:CY16)+CY21</f>
        <v>0.11258333333333333</v>
      </c>
      <c r="CZ14" s="2756">
        <f>SUM(DA14:DB14)</f>
        <v>0</v>
      </c>
      <c r="DA14" s="2756">
        <f>SUM(DA15:DA16)+DA21</f>
        <v>0</v>
      </c>
      <c r="DB14" s="2756">
        <f>SUM(DB15:DB16)+DB21</f>
        <v>0</v>
      </c>
      <c r="DC14" s="4377">
        <f>SUM(DD14:DE14)</f>
        <v>278.80900000000003</v>
      </c>
      <c r="DD14" s="4377">
        <v>278.80900000000003</v>
      </c>
      <c r="DE14" s="4377">
        <v>0</v>
      </c>
      <c r="DF14" s="2756">
        <f>SUM(DG14:DH14)</f>
        <v>296.28700604876235</v>
      </c>
      <c r="DG14" s="2756">
        <f>SUM(DG15:DG16)+DG21</f>
        <v>296.17442271542899</v>
      </c>
      <c r="DH14" s="2756">
        <f>SUM(DH15:DH16)+DH21</f>
        <v>0.11258333333333333</v>
      </c>
      <c r="DI14" s="2756">
        <f>SUM(DJ14:DK14)</f>
        <v>0</v>
      </c>
      <c r="DJ14" s="2756">
        <f>SUM(DJ15:DJ16)+DJ21</f>
        <v>0</v>
      </c>
      <c r="DK14" s="2756">
        <f>SUM(DK15:DK16)+DK21</f>
        <v>0</v>
      </c>
      <c r="DL14" s="4377">
        <f>SUM(DM14:DN14)</f>
        <v>294.19799999999998</v>
      </c>
      <c r="DM14" s="4377">
        <v>294.19799999999998</v>
      </c>
      <c r="DN14" s="4377">
        <v>0</v>
      </c>
      <c r="DO14" s="2758">
        <f>SUM(DP14:DQ14)</f>
        <v>888.86101814628717</v>
      </c>
      <c r="DP14" s="2758">
        <f>SUM(DP15:DP16)+DP21</f>
        <v>888.52326814628714</v>
      </c>
      <c r="DQ14" s="2758">
        <f>SUM(DQ15:DQ16)+DQ21</f>
        <v>0.33774999999999999</v>
      </c>
      <c r="DR14" s="2758">
        <f>SUM(DS14:DT14)</f>
        <v>257.66599199999996</v>
      </c>
      <c r="DS14" s="2758">
        <f>SUM(DS15:DS16)+DS21</f>
        <v>257.66599199999996</v>
      </c>
      <c r="DT14" s="2758">
        <f>SUM(DT15:DT16)+DT21</f>
        <v>0</v>
      </c>
      <c r="DU14" s="2758">
        <f>SUM(DV14:DW14)</f>
        <v>834.58499999999992</v>
      </c>
      <c r="DV14" s="2758">
        <f>SUM(DV15:DV16)+DV21</f>
        <v>834.58499999999992</v>
      </c>
      <c r="DW14" s="2758">
        <f>SUM(DW15:DW16)+DW21</f>
        <v>0</v>
      </c>
      <c r="DX14" s="2758">
        <f>SUM(DY14:DZ14)</f>
        <v>-631.1950261462872</v>
      </c>
      <c r="DY14" s="2799">
        <f t="shared" si="5"/>
        <v>-630.85727614628718</v>
      </c>
      <c r="DZ14" s="2799">
        <f t="shared" si="5"/>
        <v>-0.33774999999999999</v>
      </c>
      <c r="EA14" s="2758">
        <f>SUM(EB14:EC14)</f>
        <v>2666.5830544388609</v>
      </c>
      <c r="EB14" s="2758">
        <f>SUM(EB15:EB16)+EB21</f>
        <v>2665.569804438861</v>
      </c>
      <c r="EC14" s="2758">
        <f>SUM(EC15:EC16)+EC21</f>
        <v>1.01325</v>
      </c>
      <c r="ED14" s="2758">
        <f>SUM(EE14:EF14)</f>
        <v>2006.3162869999999</v>
      </c>
      <c r="EE14" s="2758">
        <f>SUM(EE15:EE16)+EE21</f>
        <v>2006.3162869999999</v>
      </c>
      <c r="EF14" s="2758">
        <f>SUM(EF15:EF16)+EF21</f>
        <v>0</v>
      </c>
      <c r="EG14" s="2758">
        <f>SUM(EH14:EI14)</f>
        <v>2636.5740459999997</v>
      </c>
      <c r="EH14" s="2758">
        <f>SUM(EH15:EH16)+EH21</f>
        <v>2635.7830459999996</v>
      </c>
      <c r="EI14" s="2758">
        <f>SUM(EI15:EI16)+EI21</f>
        <v>0.79100000000000004</v>
      </c>
      <c r="EJ14" s="2758">
        <f>SUM(EK14:EL14)</f>
        <v>-660.26676743886105</v>
      </c>
      <c r="EK14" s="2799">
        <f t="shared" si="7"/>
        <v>-659.25351743886108</v>
      </c>
      <c r="EL14" s="2799">
        <f t="shared" si="7"/>
        <v>-1.01325</v>
      </c>
      <c r="EM14" s="2756">
        <f>SUM(EN14:EO14)</f>
        <v>296.28700604876235</v>
      </c>
      <c r="EN14" s="2756">
        <f>SUM(EN15:EN16)+EN21</f>
        <v>296.17442271542899</v>
      </c>
      <c r="EO14" s="2756">
        <f>SUM(EO15:EO16)+EO21</f>
        <v>0.11258333333333333</v>
      </c>
      <c r="EP14" s="2756">
        <f>SUM(EQ14:ER14)</f>
        <v>0</v>
      </c>
      <c r="EQ14" s="2756">
        <f>SUM(EQ15:EQ16)+EQ21</f>
        <v>0</v>
      </c>
      <c r="ER14" s="2756">
        <f>SUM(ER15:ER16)+ER21</f>
        <v>0</v>
      </c>
      <c r="ES14" s="4377">
        <f>SUM(ET14:EU14)</f>
        <v>292.44</v>
      </c>
      <c r="ET14" s="4377">
        <v>292.44</v>
      </c>
      <c r="EU14" s="4377">
        <v>0</v>
      </c>
      <c r="EV14" s="2756">
        <f>SUM(EW14:EX14)</f>
        <v>296.28700604876235</v>
      </c>
      <c r="EW14" s="2756">
        <f>SUM(EW15:EW16)+EW21</f>
        <v>296.17442271542899</v>
      </c>
      <c r="EX14" s="2756">
        <f>SUM(EX15:EX16)+EX21</f>
        <v>0.11258333333333333</v>
      </c>
      <c r="EY14" s="2756">
        <f>SUM(EZ14:FA14)</f>
        <v>0</v>
      </c>
      <c r="EZ14" s="2756">
        <f>SUM(EZ15:EZ16)+EZ21</f>
        <v>0</v>
      </c>
      <c r="FA14" s="2756">
        <f>SUM(FA15:FA16)+FA21</f>
        <v>0</v>
      </c>
      <c r="FB14" s="4377">
        <f>SUM(FC14:FD14)</f>
        <v>299.945111</v>
      </c>
      <c r="FC14" s="4377">
        <v>299.945111</v>
      </c>
      <c r="FD14" s="4377">
        <v>0</v>
      </c>
      <c r="FE14" s="2756">
        <f>SUM(FF14:FG14)</f>
        <v>296.28700604876235</v>
      </c>
      <c r="FF14" s="2756">
        <f>SUM(FF15:FF16)+FF21</f>
        <v>296.17442271542899</v>
      </c>
      <c r="FG14" s="2756">
        <f>SUM(FG15:FG16)+FG21</f>
        <v>0.11258333333333333</v>
      </c>
      <c r="FH14" s="2756">
        <f>SUM(FI14:FJ14)</f>
        <v>0</v>
      </c>
      <c r="FI14" s="2756">
        <f>SUM(FI15:FI16)+FI21</f>
        <v>0</v>
      </c>
      <c r="FJ14" s="2756">
        <f>SUM(FJ15:FJ16)+FJ21</f>
        <v>0</v>
      </c>
      <c r="FK14" s="4377">
        <f>SUM(FL14:FM14)</f>
        <v>301.82239399999997</v>
      </c>
      <c r="FL14" s="4377">
        <v>301.82239399999997</v>
      </c>
      <c r="FM14" s="4377">
        <v>0</v>
      </c>
      <c r="FN14" s="2758">
        <f>SUM(FO14:FP14)</f>
        <v>888.86101814628717</v>
      </c>
      <c r="FO14" s="2758">
        <f>SUM(FO15:FO16)+FO21</f>
        <v>888.52326814628714</v>
      </c>
      <c r="FP14" s="2758">
        <f>SUM(FP15:FP16)+FP21</f>
        <v>0.33774999999999999</v>
      </c>
      <c r="FQ14" s="2758">
        <f>SUM(FR14:FS14)</f>
        <v>0</v>
      </c>
      <c r="FR14" s="2758">
        <f>SUM(FR15:FR16)+FR21</f>
        <v>0</v>
      </c>
      <c r="FS14" s="2758">
        <f>SUM(FS15:FS16)+FS21</f>
        <v>0</v>
      </c>
      <c r="FT14" s="2758">
        <f>SUM(FU14:FV14)</f>
        <v>894.20728499999996</v>
      </c>
      <c r="FU14" s="2758">
        <f>SUM(FU15:FU16)+FU21</f>
        <v>894.20728499999996</v>
      </c>
      <c r="FV14" s="2758">
        <f>SUM(FV15:FV16)+FV21</f>
        <v>0</v>
      </c>
      <c r="FW14" s="2758">
        <f>SUM(FX14:FY14)</f>
        <v>-888.86101814628717</v>
      </c>
      <c r="FX14" s="2799">
        <f t="shared" si="9"/>
        <v>-888.52326814628714</v>
      </c>
      <c r="FY14" s="2799">
        <f t="shared" si="9"/>
        <v>-0.33774999999999999</v>
      </c>
      <c r="FZ14" s="4379">
        <f>SUM(GA14:GB14)</f>
        <v>3555.4440725851482</v>
      </c>
      <c r="GA14" s="4379">
        <f>SUM(GA15:GA16)+GA21</f>
        <v>3554.0930725851481</v>
      </c>
      <c r="GB14" s="4379">
        <f>SUM(GB15:GB16)+GB21</f>
        <v>1.351</v>
      </c>
      <c r="GC14" s="2758">
        <f>SUM(GD14:GE14)</f>
        <v>2006.3162869999999</v>
      </c>
      <c r="GD14" s="2758">
        <f>SUM(GD15:GD16)+GD21</f>
        <v>2006.3162869999999</v>
      </c>
      <c r="GE14" s="2758">
        <f>SUM(GE15:GE16)+GE21</f>
        <v>0</v>
      </c>
      <c r="GF14" s="2758">
        <f>SUM(GG14:GH14)</f>
        <v>3530.7813310000001</v>
      </c>
      <c r="GG14" s="2758">
        <f>SUM(GG15:GG16)+GG21</f>
        <v>3529.990331</v>
      </c>
      <c r="GH14" s="2758">
        <f>SUM(GH15:GH16)+GH21</f>
        <v>0.79100000000000004</v>
      </c>
      <c r="GI14" s="2758">
        <f>SUM(GJ14:GK14)</f>
        <v>-1549.1277855851483</v>
      </c>
      <c r="GJ14" s="2799">
        <f t="shared" si="12"/>
        <v>-1547.7767855851482</v>
      </c>
      <c r="GK14" s="2799">
        <f t="shared" si="12"/>
        <v>-1.351</v>
      </c>
      <c r="GL14" s="565"/>
      <c r="GM14" s="3576">
        <f t="shared" si="13"/>
        <v>3555.4440725851473</v>
      </c>
    </row>
    <row r="15" spans="1:195" ht="18.75" x14ac:dyDescent="0.3">
      <c r="A15" s="2800" t="s">
        <v>24</v>
      </c>
      <c r="B15" s="2762">
        <f t="shared" ref="B15:B16" si="92">SUM(C15:D15)</f>
        <v>201.09527572000002</v>
      </c>
      <c r="C15" s="2762">
        <f t="shared" ref="C15:D23" si="93">SUM(GA15/12)</f>
        <v>201.09527572000002</v>
      </c>
      <c r="D15" s="2762">
        <f t="shared" si="93"/>
        <v>0</v>
      </c>
      <c r="E15" s="2762">
        <f t="shared" ref="E15" si="94">SUM(F15:G15)</f>
        <v>202.660144</v>
      </c>
      <c r="F15" s="2801">
        <f>SUM('ПОЛНАЯ СЕБЕСТОИМОСТЬ ВОДА 2023'!F15)</f>
        <v>202.660144</v>
      </c>
      <c r="G15" s="2801">
        <f>SUM('ПОЛНАЯ СЕБЕСТОИМОСТЬ ВОДА 2023'!G15)</f>
        <v>0</v>
      </c>
      <c r="H15" s="4382">
        <f t="shared" ref="H15:H20" si="95">SUM(I15:J15)</f>
        <v>211.661</v>
      </c>
      <c r="I15" s="4383">
        <v>211.661</v>
      </c>
      <c r="J15" s="4383">
        <v>0</v>
      </c>
      <c r="K15" s="2762">
        <f t="shared" ref="K15:K16" si="96">SUM(L15:M15)</f>
        <v>201.09527572000002</v>
      </c>
      <c r="L15" s="2762">
        <f t="shared" ref="L15:M16" si="97">SUM(GA15/12)</f>
        <v>201.09527572000002</v>
      </c>
      <c r="M15" s="2762">
        <f t="shared" si="97"/>
        <v>0</v>
      </c>
      <c r="N15" s="2762">
        <f t="shared" ref="N15:N20" si="98">SUM(O15:P15)</f>
        <v>201.979794</v>
      </c>
      <c r="O15" s="2801">
        <f>SUM('ПОЛНАЯ СЕБЕСТОИМОСТЬ ВОДА 2023'!I15)</f>
        <v>201.979794</v>
      </c>
      <c r="P15" s="2801">
        <f>SUM('ПОЛНАЯ СЕБЕСТОИМОСТЬ ВОДА 2023'!J15)</f>
        <v>0</v>
      </c>
      <c r="Q15" s="4382">
        <f t="shared" ref="Q15:Q20" si="99">SUM(R15:S15)</f>
        <v>209.523</v>
      </c>
      <c r="R15" s="4383">
        <v>209.523</v>
      </c>
      <c r="S15" s="4383">
        <v>0</v>
      </c>
      <c r="T15" s="2762">
        <f t="shared" ref="T15:T16" si="100">SUM(U15:V15)</f>
        <v>201.09527572000002</v>
      </c>
      <c r="U15" s="2762">
        <f t="shared" ref="U15:V16" si="101">SUM(GA15/12)</f>
        <v>201.09527572000002</v>
      </c>
      <c r="V15" s="2762">
        <f t="shared" si="101"/>
        <v>0</v>
      </c>
      <c r="W15" s="2762">
        <f t="shared" ref="W15:W20" si="102">SUM(X15:Y15)</f>
        <v>195.908771</v>
      </c>
      <c r="X15" s="2801">
        <f>SUM('ПОЛНАЯ СЕБЕСТОИМОСТЬ ВОДА 2023'!L15)</f>
        <v>195.908771</v>
      </c>
      <c r="Y15" s="2801">
        <f>SUM('ПОЛНАЯ СЕБЕСТОИМОСТЬ ВОДА 2023'!M15)</f>
        <v>0</v>
      </c>
      <c r="Z15" s="4382">
        <f t="shared" ref="Z15:Z20" si="103">SUM(AA15:AB15)</f>
        <v>197.54584600000001</v>
      </c>
      <c r="AA15" s="4383">
        <v>197.54584600000001</v>
      </c>
      <c r="AB15" s="4383">
        <v>0</v>
      </c>
      <c r="AC15" s="2763">
        <f t="shared" ref="AC15:AC16" si="104">SUM(AD15:AE15)</f>
        <v>603.28582716000005</v>
      </c>
      <c r="AD15" s="2763">
        <f t="shared" ref="AD15:AE16" si="105">SUM(C15+L15+U15)</f>
        <v>603.28582716000005</v>
      </c>
      <c r="AE15" s="2763">
        <f t="shared" si="105"/>
        <v>0</v>
      </c>
      <c r="AF15" s="2763">
        <f t="shared" ref="AF15:AF16" si="106">SUM(AG15:AH15)</f>
        <v>600.54870900000003</v>
      </c>
      <c r="AG15" s="2763">
        <f t="shared" ref="AG15:AH16" si="107">SUM(F15+O15+X15)</f>
        <v>600.54870900000003</v>
      </c>
      <c r="AH15" s="2763">
        <f t="shared" si="107"/>
        <v>0</v>
      </c>
      <c r="AI15" s="2802">
        <f t="shared" ref="AI15:AK16" si="108">SUM(H15+Q15+Z15)</f>
        <v>618.72984599999995</v>
      </c>
      <c r="AJ15" s="2802">
        <f t="shared" si="108"/>
        <v>618.72984599999995</v>
      </c>
      <c r="AK15" s="2802">
        <f t="shared" si="108"/>
        <v>0</v>
      </c>
      <c r="AL15" s="2763">
        <f t="shared" ref="AL15:AL16" si="109">SUM(AM15:AN15)</f>
        <v>-2.7371181600000227</v>
      </c>
      <c r="AM15" s="2763">
        <f>SUM(AG15-AD15)</f>
        <v>-2.7371181600000227</v>
      </c>
      <c r="AN15" s="2763">
        <f t="shared" ref="AN15:AN16" si="110">SUM(AH15-AE15)</f>
        <v>0</v>
      </c>
      <c r="AO15" s="2762">
        <f t="shared" ref="AO15:AO16" si="111">SUM(AP15:AQ15)</f>
        <v>201.09527572000002</v>
      </c>
      <c r="AP15" s="2762">
        <f t="shared" ref="AP15:AQ16" si="112">SUM(GA15/12)</f>
        <v>201.09527572000002</v>
      </c>
      <c r="AQ15" s="2762">
        <f t="shared" si="112"/>
        <v>0</v>
      </c>
      <c r="AR15" s="2762">
        <f t="shared" ref="AR15:AR20" si="113">SUM(AS15:AT15)</f>
        <v>198.060697</v>
      </c>
      <c r="AS15" s="2801">
        <f>SUM('ПОЛНАЯ СЕБЕСТОИМОСТЬ ВОДА 2023'!U15)</f>
        <v>198.060697</v>
      </c>
      <c r="AT15" s="2801">
        <f>SUM('ПОЛНАЯ СЕБЕСТОИМОСТЬ ВОДА 2023'!V15)</f>
        <v>0</v>
      </c>
      <c r="AU15" s="4382">
        <f t="shared" ref="AU15:AU20" si="114">SUM(AV15:AW15)</f>
        <v>227.6952</v>
      </c>
      <c r="AV15" s="4383">
        <v>227.6952</v>
      </c>
      <c r="AW15" s="4383">
        <v>0</v>
      </c>
      <c r="AX15" s="2762">
        <f t="shared" ref="AX15:AX16" si="115">SUM(AY15:AZ15)</f>
        <v>201.09527572000002</v>
      </c>
      <c r="AY15" s="2762">
        <f t="shared" ref="AY15:AZ16" si="116">SUM(GA15/12)</f>
        <v>201.09527572000002</v>
      </c>
      <c r="AZ15" s="2762">
        <f t="shared" si="116"/>
        <v>0</v>
      </c>
      <c r="BA15" s="2762">
        <f t="shared" ref="BA15:BA20" si="117">SUM(BB15:BC15)</f>
        <v>207.961375</v>
      </c>
      <c r="BB15" s="2801">
        <f>SUM('ПОЛНАЯ СЕБЕСТОИМОСТЬ ВОДА 2023'!X15)</f>
        <v>207.961375</v>
      </c>
      <c r="BC15" s="2801">
        <f>SUM('ПОЛНАЯ СЕБЕСТОИМОСТЬ ВОДА 2023'!Y15)</f>
        <v>0</v>
      </c>
      <c r="BD15" s="4382">
        <f t="shared" ref="BD15:BD20" si="118">SUM(BE15:BF15)</f>
        <v>206.768</v>
      </c>
      <c r="BE15" s="4383">
        <v>206.768</v>
      </c>
      <c r="BF15" s="4383">
        <v>0</v>
      </c>
      <c r="BG15" s="2762">
        <f t="shared" ref="BG15:BG16" si="119">SUM(BH15:BI15)</f>
        <v>201.09527572000002</v>
      </c>
      <c r="BH15" s="2762">
        <f t="shared" ref="BH15:BI16" si="120">SUM(GA15/12)</f>
        <v>201.09527572000002</v>
      </c>
      <c r="BI15" s="2762">
        <f t="shared" si="120"/>
        <v>0</v>
      </c>
      <c r="BJ15" s="2762">
        <f t="shared" ref="BJ15:BJ20" si="121">SUM(BK15:BL15)</f>
        <v>199.50943799999999</v>
      </c>
      <c r="BK15" s="2801">
        <f>SUM('ПОЛНАЯ СЕБЕСТОИМОСТЬ ВОДА 2023'!AA15)</f>
        <v>199.50943799999999</v>
      </c>
      <c r="BL15" s="2801">
        <f>SUM('ПОЛНАЯ СЕБЕСТОИМОСТЬ ВОДА 2023'!AB15)</f>
        <v>0</v>
      </c>
      <c r="BM15" s="4382">
        <f t="shared" ref="BM15:BM20" si="122">SUM(BN15:BO15)</f>
        <v>192.11199999999999</v>
      </c>
      <c r="BN15" s="4383">
        <v>192.11199999999999</v>
      </c>
      <c r="BO15" s="4383">
        <v>0</v>
      </c>
      <c r="BP15" s="2763">
        <f t="shared" ref="BP15:BP16" si="123">SUM(BQ15:BR15)</f>
        <v>603.28582716000005</v>
      </c>
      <c r="BQ15" s="2763">
        <f t="shared" ref="BQ15:BR16" si="124">SUM(AP15+AY15+BH15)</f>
        <v>603.28582716000005</v>
      </c>
      <c r="BR15" s="2763">
        <f t="shared" si="124"/>
        <v>0</v>
      </c>
      <c r="BS15" s="2763">
        <f t="shared" ref="BS15:BS16" si="125">SUM(BT15:BU15)</f>
        <v>605.53151000000003</v>
      </c>
      <c r="BT15" s="2763">
        <f t="shared" ref="BT15:BX20" si="126">SUM(AS15+BB15+BK15)</f>
        <v>605.53151000000003</v>
      </c>
      <c r="BU15" s="2763">
        <f t="shared" si="126"/>
        <v>0</v>
      </c>
      <c r="BV15" s="4551">
        <f t="shared" si="126"/>
        <v>626.5752</v>
      </c>
      <c r="BW15" s="4384">
        <f t="shared" si="126"/>
        <v>626.5752</v>
      </c>
      <c r="BX15" s="4384">
        <f t="shared" si="126"/>
        <v>0</v>
      </c>
      <c r="BY15" s="2763">
        <f t="shared" ref="BY15:BY16" si="127">SUM(BZ15:CA15)</f>
        <v>2.2456828399999722</v>
      </c>
      <c r="BZ15" s="2763">
        <f>SUM(BT15-BQ15)</f>
        <v>2.2456828399999722</v>
      </c>
      <c r="CA15" s="2763">
        <f t="shared" ref="CA15:CA16" si="128">SUM(BU15-BR15)</f>
        <v>0</v>
      </c>
      <c r="CB15" s="2763">
        <f t="shared" ref="CB15:CB16" si="129">SUM(CC15:CD15)</f>
        <v>1206.5716543200001</v>
      </c>
      <c r="CC15" s="2763">
        <f t="shared" ref="CC15:CD16" si="130">SUM(AD15+BQ15)</f>
        <v>1206.5716543200001</v>
      </c>
      <c r="CD15" s="2763">
        <f t="shared" si="130"/>
        <v>0</v>
      </c>
      <c r="CE15" s="2763">
        <f t="shared" ref="CE15:CE16" si="131">SUM(CF15:CG15)</f>
        <v>1206.0802189999999</v>
      </c>
      <c r="CF15" s="2763">
        <f t="shared" ref="CF15:CJ16" si="132">SUM(AG15+BT15)</f>
        <v>1206.0802189999999</v>
      </c>
      <c r="CG15" s="2763">
        <f t="shared" si="132"/>
        <v>0</v>
      </c>
      <c r="CH15" s="2802">
        <f t="shared" si="132"/>
        <v>1245.3050459999999</v>
      </c>
      <c r="CI15" s="2802">
        <f t="shared" si="132"/>
        <v>1245.3050459999999</v>
      </c>
      <c r="CJ15" s="2802">
        <f t="shared" si="132"/>
        <v>0</v>
      </c>
      <c r="CK15" s="2763">
        <f t="shared" ref="CK15:CK16" si="133">SUM(CL15:CM15)</f>
        <v>-0.49143532000016421</v>
      </c>
      <c r="CL15" s="2803">
        <f t="shared" si="3"/>
        <v>-0.49143532000016421</v>
      </c>
      <c r="CM15" s="2803">
        <f t="shared" si="3"/>
        <v>0</v>
      </c>
      <c r="CN15" s="2762">
        <f t="shared" ref="CN15:CN16" si="134">SUM(CO15:CP15)</f>
        <v>201.09527572000002</v>
      </c>
      <c r="CO15" s="2762">
        <f t="shared" ref="CO15:CO16" si="135">SUM(GA15/12)</f>
        <v>201.09527572000002</v>
      </c>
      <c r="CP15" s="2762">
        <f t="shared" ref="CP15:CP16" si="136">SUM(GB15/12)</f>
        <v>0</v>
      </c>
      <c r="CQ15" s="2762">
        <f t="shared" ref="CQ15:CQ20" si="137">SUM(CR15:CS15)</f>
        <v>187.85674299999999</v>
      </c>
      <c r="CR15" s="2801">
        <f>SUM('ПОЛНАЯ СЕБЕСТОИМОСТЬ ВОДА 2023'!AS15)</f>
        <v>187.85674299999999</v>
      </c>
      <c r="CS15" s="2801">
        <f>SUM('ПОЛНАЯ СЕБЕСТОИМОСТЬ ВОДА 2023'!AT15)</f>
        <v>0</v>
      </c>
      <c r="CT15" s="4382">
        <f t="shared" ref="CT15:CT20" si="138">SUM(CU15:CV15)</f>
        <v>185.71700000000001</v>
      </c>
      <c r="CU15" s="4383">
        <v>185.71700000000001</v>
      </c>
      <c r="CV15" s="4383">
        <v>0</v>
      </c>
      <c r="CW15" s="2762">
        <f t="shared" ref="CW15:CW16" si="139">SUM(CX15:CY15)</f>
        <v>201.09527572000002</v>
      </c>
      <c r="CX15" s="2762">
        <f t="shared" ref="CX15:CX16" si="140">SUM(GA15/12)</f>
        <v>201.09527572000002</v>
      </c>
      <c r="CY15" s="2762">
        <f t="shared" ref="CY15:CY16" si="141">SUM(GB15/12)</f>
        <v>0</v>
      </c>
      <c r="CZ15" s="2762">
        <f t="shared" ref="CZ15:CZ20" si="142">SUM(DA15:DB15)</f>
        <v>0</v>
      </c>
      <c r="DA15" s="2801">
        <f>SUM('ПОЛНАЯ СЕБЕСТОИМОСТЬ ВОДА 2023'!AV15)</f>
        <v>0</v>
      </c>
      <c r="DB15" s="2801">
        <f>SUM('ПОЛНАЯ СЕБЕСТОИМОСТЬ ВОДА 2023'!AW15)</f>
        <v>0</v>
      </c>
      <c r="DC15" s="4382">
        <f t="shared" ref="DC15:DC20" si="143">SUM(DD15:DE15)</f>
        <v>199.34100000000001</v>
      </c>
      <c r="DD15" s="4383">
        <v>199.34100000000001</v>
      </c>
      <c r="DE15" s="4383">
        <v>0</v>
      </c>
      <c r="DF15" s="2762">
        <f t="shared" ref="DF15:DF16" si="144">SUM(DG15:DH15)</f>
        <v>201.09527572000002</v>
      </c>
      <c r="DG15" s="2762">
        <f t="shared" ref="DG15:DG23" si="145">SUM(GA15/12)</f>
        <v>201.09527572000002</v>
      </c>
      <c r="DH15" s="2762">
        <f t="shared" ref="DH15:DH16" si="146">SUM(GB15/12)</f>
        <v>0</v>
      </c>
      <c r="DI15" s="2762">
        <f t="shared" ref="DI15:DI20" si="147">SUM(DJ15:DK15)</f>
        <v>0</v>
      </c>
      <c r="DJ15" s="2801">
        <f>SUM('ПОЛНАЯ СЕБЕСТОИМОСТЬ ВОДА 2023'!AY15)</f>
        <v>0</v>
      </c>
      <c r="DK15" s="2801">
        <f>SUM('ПОЛНАЯ СЕБЕСТОИМОСТЬ ВОДА 2023'!AZ15)</f>
        <v>0</v>
      </c>
      <c r="DL15" s="4382">
        <f t="shared" ref="DL15:DL20" si="148">SUM(DM15:DN15)</f>
        <v>196.64699999999999</v>
      </c>
      <c r="DM15" s="4383">
        <v>196.64699999999999</v>
      </c>
      <c r="DN15" s="4383">
        <v>0</v>
      </c>
      <c r="DO15" s="2763">
        <f t="shared" ref="DO15:DO16" si="149">SUM(DP15:DQ15)</f>
        <v>603.28582716000005</v>
      </c>
      <c r="DP15" s="2763">
        <f t="shared" ref="DP15:DQ16" si="150">SUM(CO15+CX15+DG15)</f>
        <v>603.28582716000005</v>
      </c>
      <c r="DQ15" s="2763">
        <f t="shared" si="150"/>
        <v>0</v>
      </c>
      <c r="DR15" s="2763">
        <f t="shared" ref="DR15:DR16" si="151">SUM(DS15:DT15)</f>
        <v>187.85674299999999</v>
      </c>
      <c r="DS15" s="2763">
        <f t="shared" ref="DS15:DT16" si="152">SUM(CR15+DA15+DJ15)</f>
        <v>187.85674299999999</v>
      </c>
      <c r="DT15" s="2763">
        <f t="shared" si="152"/>
        <v>0</v>
      </c>
      <c r="DU15" s="2802">
        <f t="shared" ref="DU15:DW16" si="153">SUM(CT15+DC15+DL15)</f>
        <v>581.70499999999993</v>
      </c>
      <c r="DV15" s="2763">
        <f t="shared" si="153"/>
        <v>581.70499999999993</v>
      </c>
      <c r="DW15" s="2763">
        <f t="shared" si="153"/>
        <v>0</v>
      </c>
      <c r="DX15" s="2763">
        <f t="shared" ref="DX15:DX16" si="154">SUM(DY15:DZ15)</f>
        <v>-415.42908416000006</v>
      </c>
      <c r="DY15" s="2803">
        <f t="shared" si="5"/>
        <v>-415.42908416000006</v>
      </c>
      <c r="DZ15" s="2803">
        <f t="shared" si="5"/>
        <v>0</v>
      </c>
      <c r="EA15" s="2763">
        <f t="shared" ref="EA15:EA16" si="155">SUM(EB15:EC15)</f>
        <v>1809.8574814800002</v>
      </c>
      <c r="EB15" s="2763">
        <f t="shared" ref="EB15:EC16" si="156">SUM(CC15+DP15)</f>
        <v>1809.8574814800002</v>
      </c>
      <c r="EC15" s="2763">
        <f t="shared" si="156"/>
        <v>0</v>
      </c>
      <c r="ED15" s="2763">
        <f t="shared" ref="ED15:ED16" si="157">SUM(EE15:EF15)</f>
        <v>1393.936962</v>
      </c>
      <c r="EE15" s="2763">
        <f t="shared" ref="EE15:EI16" si="158">SUM(CF15+DS15)</f>
        <v>1393.936962</v>
      </c>
      <c r="EF15" s="2763">
        <f t="shared" si="158"/>
        <v>0</v>
      </c>
      <c r="EG15" s="2763">
        <f t="shared" si="158"/>
        <v>1827.0100459999999</v>
      </c>
      <c r="EH15" s="2763">
        <f t="shared" si="158"/>
        <v>1827.0100459999999</v>
      </c>
      <c r="EI15" s="2763">
        <f t="shared" si="158"/>
        <v>0</v>
      </c>
      <c r="EJ15" s="2763">
        <f t="shared" ref="EJ15:EJ16" si="159">SUM(EK15:EL15)</f>
        <v>-415.92051948000017</v>
      </c>
      <c r="EK15" s="2803">
        <f t="shared" si="7"/>
        <v>-415.92051948000017</v>
      </c>
      <c r="EL15" s="2803">
        <f t="shared" si="7"/>
        <v>0</v>
      </c>
      <c r="EM15" s="2762">
        <f t="shared" ref="EM15:EM16" si="160">SUM(EN15:EO15)</f>
        <v>201.09527572000002</v>
      </c>
      <c r="EN15" s="2762">
        <f t="shared" ref="EN15:EO16" si="161">SUM(GA15/12)</f>
        <v>201.09527572000002</v>
      </c>
      <c r="EO15" s="2762">
        <f t="shared" si="161"/>
        <v>0</v>
      </c>
      <c r="EP15" s="2762">
        <f t="shared" ref="EP15:EP20" si="162">SUM(EQ15:ER15)</f>
        <v>0</v>
      </c>
      <c r="EQ15" s="2801">
        <f>SUM('ПОЛНАЯ СЕБЕСТОИМОСТЬ ВОДА 2023'!BQ15)</f>
        <v>0</v>
      </c>
      <c r="ER15" s="2801">
        <f>SUM('ПОЛНАЯ СЕБЕСТОИМОСТЬ ВОДА 2023'!BR15)</f>
        <v>0</v>
      </c>
      <c r="ES15" s="4382">
        <f t="shared" ref="ES15:ES20" si="163">SUM(ET15:EU15)</f>
        <v>197.24600000000001</v>
      </c>
      <c r="ET15" s="4383">
        <v>197.24600000000001</v>
      </c>
      <c r="EU15" s="4383">
        <v>0</v>
      </c>
      <c r="EV15" s="2762">
        <f t="shared" ref="EV15:EV16" si="164">SUM(EW15:EX15)</f>
        <v>201.09527572000002</v>
      </c>
      <c r="EW15" s="2762">
        <f t="shared" ref="EW15:EW16" si="165">SUM(GA15/12)</f>
        <v>201.09527572000002</v>
      </c>
      <c r="EX15" s="2762">
        <f t="shared" ref="EX15:EX16" si="166">SUM(GB15/12)</f>
        <v>0</v>
      </c>
      <c r="EY15" s="2762">
        <f t="shared" ref="EY15:EY20" si="167">SUM(EZ15:FA15)</f>
        <v>0</v>
      </c>
      <c r="EZ15" s="2801">
        <f>SUM('ПОЛНАЯ СЕБЕСТОИМОСТЬ ВОДА 2023'!BT15)</f>
        <v>0</v>
      </c>
      <c r="FA15" s="2801">
        <f>SUM('ПОЛНАЯ СЕБЕСТОИМОСТЬ ВОДА 2023'!BU15)</f>
        <v>0</v>
      </c>
      <c r="FB15" s="4382">
        <f t="shared" ref="FB15:FB20" si="168">SUM(FC15:FD15)</f>
        <v>201.8</v>
      </c>
      <c r="FC15" s="4388">
        <v>201.8</v>
      </c>
      <c r="FD15" s="4383">
        <v>0</v>
      </c>
      <c r="FE15" s="2762">
        <f t="shared" ref="FE15:FE16" si="169">SUM(FF15:FG15)</f>
        <v>201.09527572000002</v>
      </c>
      <c r="FF15" s="2762">
        <f t="shared" ref="FF15:FF16" si="170">SUM(GA15/12)</f>
        <v>201.09527572000002</v>
      </c>
      <c r="FG15" s="2762">
        <f t="shared" ref="FG15:FG16" si="171">SUM(GB15/12)</f>
        <v>0</v>
      </c>
      <c r="FH15" s="2762">
        <f t="shared" ref="FH15:FH20" si="172">SUM(FI15:FJ15)</f>
        <v>0</v>
      </c>
      <c r="FI15" s="2801">
        <f>SUM('ПОЛНАЯ СЕБЕСТОИМОСТЬ ВОДА 2023'!BW15)</f>
        <v>0</v>
      </c>
      <c r="FJ15" s="2801">
        <f>SUM('ПОЛНАЯ СЕБЕСТОИМОСТЬ ВОДА 2023'!BX15)</f>
        <v>0</v>
      </c>
      <c r="FK15" s="4382">
        <f t="shared" ref="FK15" si="173">SUM(FL15:FM15)</f>
        <v>198.024293</v>
      </c>
      <c r="FL15" s="4388">
        <f>198.024513-0.00022</f>
        <v>198.024293</v>
      </c>
      <c r="FM15" s="4383">
        <v>0</v>
      </c>
      <c r="FN15" s="2763">
        <f t="shared" ref="FN15:FN16" si="174">SUM(FO15:FP15)</f>
        <v>603.28582716000005</v>
      </c>
      <c r="FO15" s="2763">
        <f t="shared" ref="FO15:FP16" si="175">SUM(EN15+EW15+FF15)</f>
        <v>603.28582716000005</v>
      </c>
      <c r="FP15" s="2763">
        <f t="shared" si="175"/>
        <v>0</v>
      </c>
      <c r="FQ15" s="2763">
        <f t="shared" ref="FQ15:FQ16" si="176">SUM(FR15:FS15)</f>
        <v>0</v>
      </c>
      <c r="FR15" s="2763">
        <f t="shared" ref="FR15:FS16" si="177">SUM(EQ15+EZ15+FI15)</f>
        <v>0</v>
      </c>
      <c r="FS15" s="2763">
        <f t="shared" si="177"/>
        <v>0</v>
      </c>
      <c r="FT15" s="2802">
        <f t="shared" ref="FT15:FV16" si="178">SUM(ES15+FB15+FK15)</f>
        <v>597.07029299999999</v>
      </c>
      <c r="FU15" s="2802">
        <f t="shared" si="178"/>
        <v>597.07029299999999</v>
      </c>
      <c r="FV15" s="2802">
        <f t="shared" si="178"/>
        <v>0</v>
      </c>
      <c r="FW15" s="2763">
        <f t="shared" ref="FW15:FW16" si="179">SUM(FX15:FY15)</f>
        <v>-603.28582716000005</v>
      </c>
      <c r="FX15" s="2803">
        <f t="shared" si="9"/>
        <v>-603.28582716000005</v>
      </c>
      <c r="FY15" s="2803">
        <f t="shared" si="9"/>
        <v>0</v>
      </c>
      <c r="FZ15" s="4384">
        <f t="shared" ref="FZ15:FZ20" si="180">SUM(GA15:GB15)</f>
        <v>2413.1433086400002</v>
      </c>
      <c r="GA15" s="4384">
        <f>SUM('ПОЛНАЯ СЕБЕСТОИМОСТЬ ВОДА 2023'!CC15)</f>
        <v>2413.1433086400002</v>
      </c>
      <c r="GB15" s="4384">
        <f>SUM('ПОЛНАЯ СЕБЕСТОИМОСТЬ ВОДА 2023'!CD15)</f>
        <v>0</v>
      </c>
      <c r="GC15" s="2763">
        <f t="shared" ref="GC15:GC16" si="181">SUM(GD15:GE15)</f>
        <v>1393.936962</v>
      </c>
      <c r="GD15" s="2802">
        <f t="shared" ref="GD15:GE16" si="182">SUM(EE15+FR15)</f>
        <v>1393.936962</v>
      </c>
      <c r="GE15" s="2802">
        <f t="shared" si="182"/>
        <v>0</v>
      </c>
      <c r="GF15" s="2802">
        <f>SUM(EG15+FT15)</f>
        <v>2424.0803390000001</v>
      </c>
      <c r="GG15" s="2802">
        <f t="shared" ref="GG15:GH16" si="183">SUM(EH15+FU15)</f>
        <v>2424.0803390000001</v>
      </c>
      <c r="GH15" s="2802">
        <f t="shared" si="183"/>
        <v>0</v>
      </c>
      <c r="GI15" s="2763">
        <f t="shared" ref="GI15:GI16" si="184">SUM(GJ15:GK15)</f>
        <v>-1019.2063466400002</v>
      </c>
      <c r="GJ15" s="2803">
        <f t="shared" si="12"/>
        <v>-1019.2063466400002</v>
      </c>
      <c r="GK15" s="2803">
        <f t="shared" si="12"/>
        <v>0</v>
      </c>
      <c r="GL15" s="565"/>
      <c r="GM15" s="3576">
        <f t="shared" si="13"/>
        <v>2413.1433086400002</v>
      </c>
    </row>
    <row r="16" spans="1:195" ht="18.75" x14ac:dyDescent="0.3">
      <c r="A16" s="2760" t="s">
        <v>3643</v>
      </c>
      <c r="B16" s="2762">
        <f t="shared" si="92"/>
        <v>69.358396995429004</v>
      </c>
      <c r="C16" s="2762">
        <f t="shared" si="93"/>
        <v>69.245813662095671</v>
      </c>
      <c r="D16" s="2762">
        <f t="shared" si="93"/>
        <v>0.11258333333333333</v>
      </c>
      <c r="E16" s="2762">
        <f t="shared" ref="E16:E20" si="185">SUM(F16:G16)</f>
        <v>68.875454000000005</v>
      </c>
      <c r="F16" s="2801">
        <f>SUM('ПОЛНАЯ СЕБЕСТОИМОСТЬ ВОДА 2023'!F16)</f>
        <v>68.875454000000005</v>
      </c>
      <c r="G16" s="2801">
        <f>SUM('ПОЛНАЯ СЕБЕСТОИМОСТЬ ВОДА 2023'!G16)</f>
        <v>0</v>
      </c>
      <c r="H16" s="4382">
        <f t="shared" si="95"/>
        <v>71.269000000000005</v>
      </c>
      <c r="I16" s="4383">
        <v>71.186000000000007</v>
      </c>
      <c r="J16" s="4383">
        <v>8.3000000000000004E-2</v>
      </c>
      <c r="K16" s="2762">
        <f t="shared" si="96"/>
        <v>69.358396995429004</v>
      </c>
      <c r="L16" s="2762">
        <f t="shared" si="97"/>
        <v>69.245813662095671</v>
      </c>
      <c r="M16" s="2762">
        <f t="shared" si="97"/>
        <v>0.11258333333333333</v>
      </c>
      <c r="N16" s="2762">
        <f t="shared" si="98"/>
        <v>70.552982999999998</v>
      </c>
      <c r="O16" s="2801">
        <f>SUM('ПОЛНАЯ СЕБЕСТОИМОСТЬ ВОДА 2023'!I16)</f>
        <v>70.552982999999998</v>
      </c>
      <c r="P16" s="2801">
        <f>SUM('ПОЛНАЯ СЕБЕСТОИМОСТЬ ВОДА 2023'!J16)</f>
        <v>0</v>
      </c>
      <c r="Q16" s="4382">
        <f t="shared" si="99"/>
        <v>72.347999999999999</v>
      </c>
      <c r="R16" s="4383">
        <v>72.275000000000006</v>
      </c>
      <c r="S16" s="4388">
        <v>7.2999999999999995E-2</v>
      </c>
      <c r="T16" s="2762">
        <f t="shared" si="100"/>
        <v>69.358396995429004</v>
      </c>
      <c r="U16" s="2762">
        <f t="shared" si="101"/>
        <v>69.245813662095671</v>
      </c>
      <c r="V16" s="2762">
        <f t="shared" si="101"/>
        <v>0.11258333333333333</v>
      </c>
      <c r="W16" s="2762">
        <f t="shared" si="102"/>
        <v>67.630992000000006</v>
      </c>
      <c r="X16" s="2801">
        <f>SUM('ПОЛНАЯ СЕБЕСТОИМОСТЬ ВОДА 2023'!L16)</f>
        <v>67.630992000000006</v>
      </c>
      <c r="Y16" s="2801">
        <f>SUM('ПОЛНАЯ СЕБЕСТОИМОСТЬ ВОДА 2023'!M16)</f>
        <v>0</v>
      </c>
      <c r="Z16" s="4382">
        <f t="shared" si="103"/>
        <v>67.731999999999999</v>
      </c>
      <c r="AA16" s="4383">
        <v>67.632000000000005</v>
      </c>
      <c r="AB16" s="4383">
        <v>0.1</v>
      </c>
      <c r="AC16" s="2763">
        <f t="shared" si="104"/>
        <v>208.07519098628703</v>
      </c>
      <c r="AD16" s="2763">
        <f t="shared" si="105"/>
        <v>207.73744098628703</v>
      </c>
      <c r="AE16" s="2763">
        <f t="shared" si="105"/>
        <v>0.33774999999999999</v>
      </c>
      <c r="AF16" s="2763">
        <f t="shared" si="106"/>
        <v>207.05942900000002</v>
      </c>
      <c r="AG16" s="2763">
        <f t="shared" si="107"/>
        <v>207.05942900000002</v>
      </c>
      <c r="AH16" s="2763">
        <f t="shared" si="107"/>
        <v>0</v>
      </c>
      <c r="AI16" s="2802">
        <f t="shared" si="108"/>
        <v>211.34900000000002</v>
      </c>
      <c r="AJ16" s="2802">
        <f t="shared" si="108"/>
        <v>211.09300000000002</v>
      </c>
      <c r="AK16" s="2802">
        <f t="shared" si="108"/>
        <v>0.25600000000000001</v>
      </c>
      <c r="AL16" s="2763">
        <f t="shared" si="109"/>
        <v>-1.0157619862870038</v>
      </c>
      <c r="AM16" s="2763">
        <f t="shared" ref="AM16" si="186">SUM(AG16-AD16)</f>
        <v>-0.67801198628700377</v>
      </c>
      <c r="AN16" s="2763">
        <f t="shared" si="110"/>
        <v>-0.33774999999999999</v>
      </c>
      <c r="AO16" s="2762">
        <f t="shared" si="111"/>
        <v>69.358396995429004</v>
      </c>
      <c r="AP16" s="2762">
        <f t="shared" si="112"/>
        <v>69.245813662095671</v>
      </c>
      <c r="AQ16" s="2762">
        <f t="shared" si="112"/>
        <v>0.11258333333333333</v>
      </c>
      <c r="AR16" s="2762">
        <f t="shared" si="113"/>
        <v>63.824885999999999</v>
      </c>
      <c r="AS16" s="2801">
        <f>SUM('ПОЛНАЯ СЕБЕСТОИМОСТЬ ВОДА 2023'!U16)</f>
        <v>63.824885999999999</v>
      </c>
      <c r="AT16" s="2801">
        <f>SUM('ПОЛНАЯ СЕБЕСТОИМОСТЬ ВОДА 2023'!V16)</f>
        <v>0</v>
      </c>
      <c r="AU16" s="4382">
        <f t="shared" si="114"/>
        <v>70.102000000000004</v>
      </c>
      <c r="AV16" s="4383">
        <v>69.602000000000004</v>
      </c>
      <c r="AW16" s="4388">
        <v>0.5</v>
      </c>
      <c r="AX16" s="2762">
        <f t="shared" si="115"/>
        <v>69.358396995429004</v>
      </c>
      <c r="AY16" s="2762">
        <f t="shared" si="116"/>
        <v>69.245813662095671</v>
      </c>
      <c r="AZ16" s="2762">
        <f t="shared" si="116"/>
        <v>0.11258333333333333</v>
      </c>
      <c r="BA16" s="2762">
        <f t="shared" si="117"/>
        <v>59.029519999999998</v>
      </c>
      <c r="BB16" s="2801">
        <f>SUM('ПОЛНАЯ СЕБЕСТОИМОСТЬ ВОДА 2023'!X16)</f>
        <v>59.029519999999998</v>
      </c>
      <c r="BC16" s="2801">
        <f>SUM('ПОЛНАЯ СЕБЕСТОИМОСТЬ ВОДА 2023'!Y16)</f>
        <v>0</v>
      </c>
      <c r="BD16" s="4382">
        <f t="shared" si="118"/>
        <v>68.012999999999991</v>
      </c>
      <c r="BE16" s="4383">
        <v>67.977999999999994</v>
      </c>
      <c r="BF16" s="4388">
        <v>3.5000000000000003E-2</v>
      </c>
      <c r="BG16" s="2762">
        <f t="shared" si="119"/>
        <v>69.358396995429004</v>
      </c>
      <c r="BH16" s="2762">
        <f t="shared" si="120"/>
        <v>69.245813662095671</v>
      </c>
      <c r="BI16" s="2762">
        <f t="shared" si="120"/>
        <v>0.11258333333333333</v>
      </c>
      <c r="BJ16" s="2762">
        <f t="shared" si="121"/>
        <v>62.944240999999998</v>
      </c>
      <c r="BK16" s="2801">
        <f>SUM('ПОЛНАЯ СЕБЕСТОИМОСТЬ ВОДА 2023'!AA16)</f>
        <v>62.944240999999998</v>
      </c>
      <c r="BL16" s="2801">
        <f>SUM('ПОЛНАЯ СЕБЕСТОИМОСТЬ ВОДА 2023'!AB16)</f>
        <v>0</v>
      </c>
      <c r="BM16" s="4382">
        <f t="shared" si="122"/>
        <v>68.832999999999998</v>
      </c>
      <c r="BN16" s="4383">
        <v>68.832999999999998</v>
      </c>
      <c r="BO16" s="4388">
        <v>0</v>
      </c>
      <c r="BP16" s="2763">
        <f t="shared" si="123"/>
        <v>208.07519098628703</v>
      </c>
      <c r="BQ16" s="2763">
        <f t="shared" si="124"/>
        <v>207.73744098628703</v>
      </c>
      <c r="BR16" s="2763">
        <f t="shared" si="124"/>
        <v>0.33774999999999999</v>
      </c>
      <c r="BS16" s="2763">
        <f t="shared" si="125"/>
        <v>185.79864699999999</v>
      </c>
      <c r="BT16" s="2763">
        <f t="shared" si="126"/>
        <v>185.79864699999999</v>
      </c>
      <c r="BU16" s="2763">
        <f t="shared" si="126"/>
        <v>0</v>
      </c>
      <c r="BV16" s="4551">
        <f t="shared" si="126"/>
        <v>206.94800000000001</v>
      </c>
      <c r="BW16" s="4384">
        <f t="shared" si="126"/>
        <v>206.41299999999998</v>
      </c>
      <c r="BX16" s="4384">
        <f t="shared" si="126"/>
        <v>0.53500000000000003</v>
      </c>
      <c r="BY16" s="2763">
        <f t="shared" si="127"/>
        <v>-22.276543986287038</v>
      </c>
      <c r="BZ16" s="2763">
        <f t="shared" ref="BZ16" si="187">SUM(BT16-BQ16)</f>
        <v>-21.938793986287038</v>
      </c>
      <c r="CA16" s="2763">
        <f t="shared" si="128"/>
        <v>-0.33774999999999999</v>
      </c>
      <c r="CB16" s="2763">
        <f t="shared" si="129"/>
        <v>416.15038197257405</v>
      </c>
      <c r="CC16" s="2763">
        <f t="shared" si="130"/>
        <v>415.47488197257405</v>
      </c>
      <c r="CD16" s="2763">
        <f t="shared" si="130"/>
        <v>0.67549999999999999</v>
      </c>
      <c r="CE16" s="2763">
        <f t="shared" si="131"/>
        <v>392.85807599999998</v>
      </c>
      <c r="CF16" s="2763">
        <f t="shared" si="132"/>
        <v>392.85807599999998</v>
      </c>
      <c r="CG16" s="2763">
        <f t="shared" si="132"/>
        <v>0</v>
      </c>
      <c r="CH16" s="2802">
        <f t="shared" si="132"/>
        <v>418.29700000000003</v>
      </c>
      <c r="CI16" s="2802">
        <f t="shared" si="132"/>
        <v>417.50599999999997</v>
      </c>
      <c r="CJ16" s="2802">
        <f t="shared" si="132"/>
        <v>0.79100000000000004</v>
      </c>
      <c r="CK16" s="2763">
        <f t="shared" si="133"/>
        <v>-23.29230597257407</v>
      </c>
      <c r="CL16" s="2803">
        <f t="shared" si="3"/>
        <v>-22.61680597257407</v>
      </c>
      <c r="CM16" s="2803">
        <f t="shared" si="3"/>
        <v>-0.67549999999999999</v>
      </c>
      <c r="CN16" s="2762">
        <f t="shared" si="134"/>
        <v>69.358396995429004</v>
      </c>
      <c r="CO16" s="2762">
        <f t="shared" si="135"/>
        <v>69.245813662095671</v>
      </c>
      <c r="CP16" s="2762">
        <f t="shared" si="136"/>
        <v>0.11258333333333333</v>
      </c>
      <c r="CQ16" s="2762">
        <f t="shared" si="137"/>
        <v>57.594248999999998</v>
      </c>
      <c r="CR16" s="2801">
        <f>SUM('ПОЛНАЯ СЕБЕСТОИМОСТЬ ВОДА 2023'!AS16)</f>
        <v>57.594248999999998</v>
      </c>
      <c r="CS16" s="2801">
        <f>SUM('ПОЛНАЯ СЕБЕСТОИМОСТЬ ВОДА 2023'!AT16)</f>
        <v>0</v>
      </c>
      <c r="CT16" s="4382">
        <f t="shared" si="138"/>
        <v>61.286000000000001</v>
      </c>
      <c r="CU16" s="4383">
        <v>61.286000000000001</v>
      </c>
      <c r="CV16" s="4383">
        <v>0</v>
      </c>
      <c r="CW16" s="2762">
        <f t="shared" si="139"/>
        <v>69.358396995429004</v>
      </c>
      <c r="CX16" s="2762">
        <f t="shared" si="140"/>
        <v>69.245813662095671</v>
      </c>
      <c r="CY16" s="2762">
        <f t="shared" si="141"/>
        <v>0.11258333333333333</v>
      </c>
      <c r="CZ16" s="2762">
        <f t="shared" si="142"/>
        <v>0</v>
      </c>
      <c r="DA16" s="2801">
        <f>SUM('ПОЛНАЯ СЕБЕСТОИМОСТЬ ВОДА 2023'!AV16)</f>
        <v>0</v>
      </c>
      <c r="DB16" s="2801">
        <f>SUM('ПОЛНАЯ СЕБЕСТОИМОСТЬ ВОДА 2023'!AW16)</f>
        <v>0</v>
      </c>
      <c r="DC16" s="4382">
        <f t="shared" si="143"/>
        <v>60.975999999999999</v>
      </c>
      <c r="DD16" s="4383">
        <v>60.975999999999999</v>
      </c>
      <c r="DE16" s="4383">
        <v>0</v>
      </c>
      <c r="DF16" s="2762">
        <f t="shared" si="144"/>
        <v>69.358396995429004</v>
      </c>
      <c r="DG16" s="2762">
        <f t="shared" si="145"/>
        <v>69.245813662095671</v>
      </c>
      <c r="DH16" s="2762">
        <f t="shared" si="146"/>
        <v>0.11258333333333333</v>
      </c>
      <c r="DI16" s="2762">
        <f t="shared" si="147"/>
        <v>0</v>
      </c>
      <c r="DJ16" s="2801">
        <f>SUM('ПОЛНАЯ СЕБЕСТОИМОСТЬ ВОДА 2023'!AY16)</f>
        <v>0</v>
      </c>
      <c r="DK16" s="2801">
        <f>SUM('ПОЛНАЯ СЕБЕСТОИМОСТЬ ВОДА 2023'!AZ16)</f>
        <v>0</v>
      </c>
      <c r="DL16" s="4382">
        <f t="shared" si="148"/>
        <v>75.772999999999996</v>
      </c>
      <c r="DM16" s="4383">
        <v>75.772999999999996</v>
      </c>
      <c r="DN16" s="4383">
        <v>0</v>
      </c>
      <c r="DO16" s="2763">
        <f t="shared" si="149"/>
        <v>208.07519098628703</v>
      </c>
      <c r="DP16" s="2763">
        <f t="shared" si="150"/>
        <v>207.73744098628703</v>
      </c>
      <c r="DQ16" s="2763">
        <f t="shared" si="150"/>
        <v>0.33774999999999999</v>
      </c>
      <c r="DR16" s="2763">
        <f t="shared" si="151"/>
        <v>57.594248999999998</v>
      </c>
      <c r="DS16" s="2763">
        <f t="shared" si="152"/>
        <v>57.594248999999998</v>
      </c>
      <c r="DT16" s="2763">
        <f t="shared" si="152"/>
        <v>0</v>
      </c>
      <c r="DU16" s="2802">
        <f t="shared" si="153"/>
        <v>198.035</v>
      </c>
      <c r="DV16" s="2763">
        <f t="shared" si="153"/>
        <v>198.035</v>
      </c>
      <c r="DW16" s="2763">
        <f t="shared" si="153"/>
        <v>0</v>
      </c>
      <c r="DX16" s="2763">
        <f t="shared" si="154"/>
        <v>-150.48094198628704</v>
      </c>
      <c r="DY16" s="2803">
        <f t="shared" si="5"/>
        <v>-150.14319198628704</v>
      </c>
      <c r="DZ16" s="2803">
        <f t="shared" si="5"/>
        <v>-0.33774999999999999</v>
      </c>
      <c r="EA16" s="2763">
        <f t="shared" si="155"/>
        <v>624.22557295886099</v>
      </c>
      <c r="EB16" s="2763">
        <f t="shared" si="156"/>
        <v>623.21232295886102</v>
      </c>
      <c r="EC16" s="2763">
        <f t="shared" si="156"/>
        <v>1.01325</v>
      </c>
      <c r="ED16" s="2763">
        <f t="shared" si="157"/>
        <v>450.45232499999997</v>
      </c>
      <c r="EE16" s="2763">
        <f t="shared" si="158"/>
        <v>450.45232499999997</v>
      </c>
      <c r="EF16" s="2763">
        <f t="shared" si="158"/>
        <v>0</v>
      </c>
      <c r="EG16" s="2763">
        <f t="shared" si="158"/>
        <v>616.33199999999999</v>
      </c>
      <c r="EH16" s="2763">
        <f t="shared" si="158"/>
        <v>615.54099999999994</v>
      </c>
      <c r="EI16" s="2763">
        <f t="shared" si="158"/>
        <v>0.79100000000000004</v>
      </c>
      <c r="EJ16" s="2763">
        <f t="shared" si="159"/>
        <v>-173.77324795886105</v>
      </c>
      <c r="EK16" s="2803">
        <f t="shared" si="7"/>
        <v>-172.75999795886105</v>
      </c>
      <c r="EL16" s="2803">
        <f t="shared" si="7"/>
        <v>-1.01325</v>
      </c>
      <c r="EM16" s="2762">
        <f t="shared" si="160"/>
        <v>69.358396995429004</v>
      </c>
      <c r="EN16" s="2762">
        <f t="shared" si="161"/>
        <v>69.245813662095671</v>
      </c>
      <c r="EO16" s="2762">
        <f t="shared" si="161"/>
        <v>0.11258333333333333</v>
      </c>
      <c r="EP16" s="2762">
        <f t="shared" si="162"/>
        <v>0</v>
      </c>
      <c r="EQ16" s="2801">
        <f>SUM('ПОЛНАЯ СЕБЕСТОИМОСТЬ ВОДА 2023'!BQ16)</f>
        <v>0</v>
      </c>
      <c r="ER16" s="2801">
        <f>SUM('ПОЛНАЯ СЕБЕСТОИМОСТЬ ВОДА 2023'!BR16)</f>
        <v>0</v>
      </c>
      <c r="ES16" s="4382">
        <f t="shared" si="163"/>
        <v>73.692999999999998</v>
      </c>
      <c r="ET16" s="4383">
        <v>73.692999999999998</v>
      </c>
      <c r="EU16" s="4388">
        <v>0</v>
      </c>
      <c r="EV16" s="2762">
        <f t="shared" si="164"/>
        <v>69.358396995429004</v>
      </c>
      <c r="EW16" s="2762">
        <f t="shared" si="165"/>
        <v>69.245813662095671</v>
      </c>
      <c r="EX16" s="2762">
        <f t="shared" si="166"/>
        <v>0.11258333333333333</v>
      </c>
      <c r="EY16" s="2762">
        <f t="shared" si="167"/>
        <v>0</v>
      </c>
      <c r="EZ16" s="2801">
        <f>SUM('ПОЛНАЯ СЕБЕСТОИМОСТЬ ВОДА 2023'!BT16)</f>
        <v>0</v>
      </c>
      <c r="FA16" s="2801">
        <f>SUM('ПОЛНАЯ СЕБЕСТОИМОСТЬ ВОДА 2023'!BU16)</f>
        <v>0</v>
      </c>
      <c r="FB16" s="4382">
        <f t="shared" si="168"/>
        <v>72.159110999999996</v>
      </c>
      <c r="FC16" s="4388">
        <v>72.159110999999996</v>
      </c>
      <c r="FD16" s="4388">
        <v>0</v>
      </c>
      <c r="FE16" s="2762">
        <f t="shared" si="169"/>
        <v>69.358396995429004</v>
      </c>
      <c r="FF16" s="2762">
        <f t="shared" si="170"/>
        <v>69.245813662095671</v>
      </c>
      <c r="FG16" s="2762">
        <f t="shared" si="171"/>
        <v>0.11258333333333333</v>
      </c>
      <c r="FH16" s="2762">
        <f t="shared" si="172"/>
        <v>0</v>
      </c>
      <c r="FI16" s="2801">
        <f>SUM('ПОЛНАЯ СЕБЕСТОИМОСТЬ ВОДА 2023'!BW16)</f>
        <v>0</v>
      </c>
      <c r="FJ16" s="2801">
        <f>SUM('ПОЛНАЯ СЕБЕСТОИМОСТЬ ВОДА 2023'!BX16)</f>
        <v>0</v>
      </c>
      <c r="FK16" s="4382">
        <f t="shared" ref="FK16:FK20" si="188">SUM(FL16:FM16)</f>
        <v>76.075880999999995</v>
      </c>
      <c r="FL16" s="4388">
        <v>76.075880999999995</v>
      </c>
      <c r="FM16" s="4388">
        <v>0</v>
      </c>
      <c r="FN16" s="2763">
        <f t="shared" si="174"/>
        <v>208.07519098628703</v>
      </c>
      <c r="FO16" s="2763">
        <f t="shared" si="175"/>
        <v>207.73744098628703</v>
      </c>
      <c r="FP16" s="2763">
        <f t="shared" si="175"/>
        <v>0.33774999999999999</v>
      </c>
      <c r="FQ16" s="2763">
        <f t="shared" si="176"/>
        <v>0</v>
      </c>
      <c r="FR16" s="2763">
        <f t="shared" si="177"/>
        <v>0</v>
      </c>
      <c r="FS16" s="2763">
        <f t="shared" si="177"/>
        <v>0</v>
      </c>
      <c r="FT16" s="2802">
        <f t="shared" si="178"/>
        <v>221.92799199999996</v>
      </c>
      <c r="FU16" s="2802">
        <f t="shared" si="178"/>
        <v>221.92799199999996</v>
      </c>
      <c r="FV16" s="2802">
        <f t="shared" si="178"/>
        <v>0</v>
      </c>
      <c r="FW16" s="2763">
        <f t="shared" si="179"/>
        <v>-208.07519098628703</v>
      </c>
      <c r="FX16" s="2803">
        <f t="shared" si="9"/>
        <v>-207.73744098628703</v>
      </c>
      <c r="FY16" s="2803">
        <f t="shared" si="9"/>
        <v>-0.33774999999999999</v>
      </c>
      <c r="FZ16" s="4384">
        <f t="shared" si="180"/>
        <v>832.30076394514799</v>
      </c>
      <c r="GA16" s="4384">
        <f>SUM('ПОЛНАЯ СЕБЕСТОИМОСТЬ ВОДА 2023'!CC16)</f>
        <v>830.94976394514799</v>
      </c>
      <c r="GB16" s="4384">
        <f>SUM('ПОЛНАЯ СЕБЕСТОИМОСТЬ ВОДА 2023'!CD16)</f>
        <v>1.351</v>
      </c>
      <c r="GC16" s="2763">
        <f t="shared" si="181"/>
        <v>450.45232499999997</v>
      </c>
      <c r="GD16" s="2802">
        <f t="shared" si="182"/>
        <v>450.45232499999997</v>
      </c>
      <c r="GE16" s="2802">
        <f t="shared" si="182"/>
        <v>0</v>
      </c>
      <c r="GF16" s="2802">
        <f>SUM(EG16+FT16)</f>
        <v>838.25999200000001</v>
      </c>
      <c r="GG16" s="2802">
        <f t="shared" si="183"/>
        <v>837.46899199999984</v>
      </c>
      <c r="GH16" s="2802">
        <f t="shared" si="183"/>
        <v>0.79100000000000004</v>
      </c>
      <c r="GI16" s="2763">
        <f t="shared" si="184"/>
        <v>-381.84843894514802</v>
      </c>
      <c r="GJ16" s="2803">
        <f t="shared" si="12"/>
        <v>-380.49743894514802</v>
      </c>
      <c r="GK16" s="2803">
        <f t="shared" si="12"/>
        <v>-1.351</v>
      </c>
      <c r="GL16" s="565"/>
      <c r="GM16" s="3576">
        <f t="shared" si="13"/>
        <v>832.30076394514788</v>
      </c>
    </row>
    <row r="17" spans="1:195" ht="18.75" x14ac:dyDescent="0.3">
      <c r="A17" s="2908" t="s">
        <v>3644</v>
      </c>
      <c r="B17" s="2767">
        <f t="shared" ref="B17:B20" si="189">SUM(C17:D17)</f>
        <v>23.760878932479415</v>
      </c>
      <c r="C17" s="2767">
        <f t="shared" ref="C17:C20" si="190">SUM(GA17/12)</f>
        <v>23.760878932479415</v>
      </c>
      <c r="D17" s="2767">
        <f t="shared" ref="D17:D20" si="191">SUM(GB17/12)</f>
        <v>0</v>
      </c>
      <c r="E17" s="2767">
        <f t="shared" si="185"/>
        <v>23.546874000000003</v>
      </c>
      <c r="F17" s="2806">
        <f>SUM('ПОЛНАЯ СЕБЕСТОИМОСТЬ ВОДА 2023'!F17)</f>
        <v>23.546874000000003</v>
      </c>
      <c r="G17" s="2806">
        <f>SUM('ПОЛНАЯ СЕБЕСТОИМОСТЬ ВОДА 2023'!G17)</f>
        <v>0</v>
      </c>
      <c r="H17" s="4391">
        <f t="shared" si="95"/>
        <v>26.453999999999997</v>
      </c>
      <c r="I17" s="4391">
        <v>26.453999999999997</v>
      </c>
      <c r="J17" s="4391">
        <v>0</v>
      </c>
      <c r="K17" s="2767">
        <f t="shared" ref="K17:K20" si="192">SUM(L17:M17)</f>
        <v>23.760878932479415</v>
      </c>
      <c r="L17" s="2767">
        <f t="shared" ref="L17:L20" si="193">SUM(GA17/12)</f>
        <v>23.760878932479415</v>
      </c>
      <c r="M17" s="2767">
        <f t="shared" ref="M17:M20" si="194">SUM(GB17/12)</f>
        <v>0</v>
      </c>
      <c r="N17" s="2767">
        <f t="shared" si="98"/>
        <v>27.278264999999998</v>
      </c>
      <c r="O17" s="2806">
        <f>SUM('ПОЛНАЯ СЕБЕСТОИМОСТЬ ВОДА 2023'!I17)</f>
        <v>27.278264999999998</v>
      </c>
      <c r="P17" s="2806">
        <f>SUM('ПОЛНАЯ СЕБЕСТОИМОСТЬ ВОДА 2023'!J17)</f>
        <v>0</v>
      </c>
      <c r="Q17" s="4391">
        <f t="shared" si="99"/>
        <v>26.078000000000003</v>
      </c>
      <c r="R17" s="4391">
        <v>26.078000000000003</v>
      </c>
      <c r="S17" s="4391">
        <v>0</v>
      </c>
      <c r="T17" s="2767">
        <f t="shared" ref="T17:T20" si="195">SUM(U17:V17)</f>
        <v>23.760878932479415</v>
      </c>
      <c r="U17" s="2767">
        <f t="shared" ref="U17:U20" si="196">SUM(GA17/12)</f>
        <v>23.760878932479415</v>
      </c>
      <c r="V17" s="2767">
        <f t="shared" ref="V17:V20" si="197">SUM(GB17/12)</f>
        <v>0</v>
      </c>
      <c r="W17" s="2767">
        <f t="shared" si="102"/>
        <v>23.738121</v>
      </c>
      <c r="X17" s="2806">
        <f>SUM('ПОЛНАЯ СЕБЕСТОИМОСТЬ ВОДА 2023'!L17)</f>
        <v>23.738121</v>
      </c>
      <c r="Y17" s="2806">
        <f>SUM('ПОЛНАЯ СЕБЕСТОИМОСТЬ ВОДА 2023'!M17)</f>
        <v>0</v>
      </c>
      <c r="Z17" s="4391">
        <f t="shared" si="103"/>
        <v>25.001000000000001</v>
      </c>
      <c r="AA17" s="4391">
        <v>25.001000000000001</v>
      </c>
      <c r="AB17" s="4391">
        <v>0</v>
      </c>
      <c r="AC17" s="2769">
        <f t="shared" ref="AC17:AC20" si="198">SUM(AD17:AE17)</f>
        <v>71.282636797438244</v>
      </c>
      <c r="AD17" s="2769">
        <f t="shared" ref="AD17:AD20" si="199">SUM(C17+L17+U17)</f>
        <v>71.282636797438244</v>
      </c>
      <c r="AE17" s="2769">
        <f t="shared" ref="AE17:AE20" si="200">SUM(D17+M17+V17)</f>
        <v>0</v>
      </c>
      <c r="AF17" s="2769">
        <f t="shared" ref="AF17:AF20" si="201">SUM(AG17:AH17)</f>
        <v>74.56326</v>
      </c>
      <c r="AG17" s="2769">
        <f t="shared" ref="AG17:AG20" si="202">SUM(F17+O17+X17)</f>
        <v>74.56326</v>
      </c>
      <c r="AH17" s="2769">
        <f t="shared" ref="AH17:AH20" si="203">SUM(G17+P17+Y17)</f>
        <v>0</v>
      </c>
      <c r="AI17" s="2807">
        <f t="shared" ref="AI17:AI20" si="204">SUM(H17+Q17+Z17)</f>
        <v>77.533000000000001</v>
      </c>
      <c r="AJ17" s="2807">
        <f t="shared" ref="AJ17:AJ20" si="205">SUM(I17+R17+AA17)</f>
        <v>77.533000000000001</v>
      </c>
      <c r="AK17" s="2807">
        <f t="shared" ref="AK17:AK20" si="206">SUM(J17+S17+AB17)</f>
        <v>0</v>
      </c>
      <c r="AL17" s="2769">
        <f t="shared" ref="AL17:AL20" si="207">SUM(AM17:AN17)</f>
        <v>3.2806232025617561</v>
      </c>
      <c r="AM17" s="2769">
        <f t="shared" ref="AM17:AM20" si="208">SUM(AG17-AD17)</f>
        <v>3.2806232025617561</v>
      </c>
      <c r="AN17" s="2769">
        <f t="shared" ref="AN17:AN20" si="209">SUM(AH17-AE17)</f>
        <v>0</v>
      </c>
      <c r="AO17" s="2767">
        <f t="shared" ref="AO17:AO20" si="210">SUM(AP17:AQ17)</f>
        <v>23.760878932479415</v>
      </c>
      <c r="AP17" s="2767">
        <f t="shared" ref="AP17:AP20" si="211">SUM(GA17/12)</f>
        <v>23.760878932479415</v>
      </c>
      <c r="AQ17" s="2767">
        <f t="shared" ref="AQ17:AQ20" si="212">SUM(GB17/12)</f>
        <v>0</v>
      </c>
      <c r="AR17" s="2767">
        <f t="shared" si="113"/>
        <v>24.774189</v>
      </c>
      <c r="AS17" s="2806">
        <f>SUM('ПОЛНАЯ СЕБЕСТОИМОСТЬ ВОДА 2023'!U17)</f>
        <v>24.774189</v>
      </c>
      <c r="AT17" s="2806">
        <f>SUM('ПОЛНАЯ СЕБЕСТОИМОСТЬ ВОДА 2023'!V17)</f>
        <v>0</v>
      </c>
      <c r="AU17" s="4391">
        <f t="shared" si="114"/>
        <v>25.871000000000002</v>
      </c>
      <c r="AV17" s="4391">
        <v>25.871000000000002</v>
      </c>
      <c r="AW17" s="4391">
        <v>0</v>
      </c>
      <c r="AX17" s="2767">
        <f t="shared" ref="AX17:AX20" si="213">SUM(AY17:AZ17)</f>
        <v>23.760878932479415</v>
      </c>
      <c r="AY17" s="2767">
        <f t="shared" ref="AY17:AY20" si="214">SUM(GA17/12)</f>
        <v>23.760878932479415</v>
      </c>
      <c r="AZ17" s="2767">
        <f t="shared" ref="AZ17:AZ20" si="215">SUM(GB17/12)</f>
        <v>0</v>
      </c>
      <c r="BA17" s="2767">
        <f t="shared" si="117"/>
        <v>21.565643000000001</v>
      </c>
      <c r="BB17" s="2806">
        <f>SUM('ПОЛНАЯ СЕБЕСТОИМОСТЬ ВОДА 2023'!X17)</f>
        <v>21.565643000000001</v>
      </c>
      <c r="BC17" s="2806">
        <f>SUM('ПОЛНАЯ СЕБЕСТОИМОСТЬ ВОДА 2023'!Y17)</f>
        <v>0</v>
      </c>
      <c r="BD17" s="4391">
        <f t="shared" si="118"/>
        <v>23.700000000000003</v>
      </c>
      <c r="BE17" s="4391">
        <v>23.700000000000003</v>
      </c>
      <c r="BF17" s="4391">
        <v>0</v>
      </c>
      <c r="BG17" s="2767">
        <f t="shared" ref="BG17:BG20" si="216">SUM(BH17:BI17)</f>
        <v>23.760878932479415</v>
      </c>
      <c r="BH17" s="2767">
        <f t="shared" ref="BH17:BH20" si="217">SUM(GA17/12)</f>
        <v>23.760878932479415</v>
      </c>
      <c r="BI17" s="2767">
        <f t="shared" ref="BI17:BI20" si="218">SUM(GB17/12)</f>
        <v>0</v>
      </c>
      <c r="BJ17" s="2767">
        <f t="shared" si="121"/>
        <v>21.587826</v>
      </c>
      <c r="BK17" s="2806">
        <f>SUM('ПОЛНАЯ СЕБЕСТОИМОСТЬ ВОДА 2023'!AA17)</f>
        <v>21.587826</v>
      </c>
      <c r="BL17" s="2806">
        <f>SUM('ПОЛНАЯ СЕБЕСТОИМОСТЬ ВОДА 2023'!AB17)</f>
        <v>0</v>
      </c>
      <c r="BM17" s="4391">
        <f t="shared" si="122"/>
        <v>22.573999999999998</v>
      </c>
      <c r="BN17" s="4391">
        <v>22.573999999999998</v>
      </c>
      <c r="BO17" s="4391">
        <v>0</v>
      </c>
      <c r="BP17" s="2769">
        <f t="shared" ref="BP17:BP20" si="219">SUM(BQ17:BR17)</f>
        <v>71.282636797438244</v>
      </c>
      <c r="BQ17" s="2769">
        <f t="shared" ref="BQ17:BQ20" si="220">SUM(AP17+AY17+BH17)</f>
        <v>71.282636797438244</v>
      </c>
      <c r="BR17" s="2769">
        <f t="shared" ref="BR17:BR20" si="221">SUM(AQ17+AZ17+BI17)</f>
        <v>0</v>
      </c>
      <c r="BS17" s="2769">
        <f t="shared" ref="BS17:BS20" si="222">SUM(BT17:BU17)</f>
        <v>67.927658000000008</v>
      </c>
      <c r="BT17" s="2769">
        <f t="shared" ref="BT17:BT20" si="223">SUM(AS17+BB17+BK17)</f>
        <v>67.927658000000008</v>
      </c>
      <c r="BU17" s="2769">
        <f t="shared" ref="BU17:BU20" si="224">SUM(AT17+BC17+BL17)</f>
        <v>0</v>
      </c>
      <c r="BV17" s="4552">
        <f t="shared" si="126"/>
        <v>72.14500000000001</v>
      </c>
      <c r="BW17" s="4371">
        <f t="shared" si="126"/>
        <v>72.14500000000001</v>
      </c>
      <c r="BX17" s="4371">
        <f t="shared" si="126"/>
        <v>0</v>
      </c>
      <c r="BY17" s="2769">
        <f t="shared" ref="BY17:BY20" si="225">SUM(BZ17:CA17)</f>
        <v>-3.3549787974382355</v>
      </c>
      <c r="BZ17" s="2769">
        <f t="shared" ref="BZ17:BZ20" si="226">SUM(BT17-BQ17)</f>
        <v>-3.3549787974382355</v>
      </c>
      <c r="CA17" s="2769">
        <f t="shared" ref="CA17:CA20" si="227">SUM(BU17-BR17)</f>
        <v>0</v>
      </c>
      <c r="CB17" s="2769">
        <f t="shared" ref="CB17:CB20" si="228">SUM(CC17:CD17)</f>
        <v>142.56527359487649</v>
      </c>
      <c r="CC17" s="2769">
        <f t="shared" ref="CC17:CC20" si="229">SUM(AD17+BQ17)</f>
        <v>142.56527359487649</v>
      </c>
      <c r="CD17" s="2769">
        <f t="shared" ref="CD17:CD20" si="230">SUM(AE17+BR17)</f>
        <v>0</v>
      </c>
      <c r="CE17" s="2769">
        <f t="shared" ref="CE17:CE20" si="231">SUM(CF17:CG17)</f>
        <v>142.49091800000002</v>
      </c>
      <c r="CF17" s="2769">
        <f t="shared" ref="CF17:CF20" si="232">SUM(AG17+BT17)</f>
        <v>142.49091800000002</v>
      </c>
      <c r="CG17" s="2769">
        <f t="shared" ref="CG17:CG20" si="233">SUM(AH17+BU17)</f>
        <v>0</v>
      </c>
      <c r="CH17" s="2807">
        <f t="shared" ref="CH17:CH20" si="234">SUM(AI17+BV17)</f>
        <v>149.678</v>
      </c>
      <c r="CI17" s="2807">
        <f t="shared" ref="CI17:CI20" si="235">SUM(AJ17+BW17)</f>
        <v>149.678</v>
      </c>
      <c r="CJ17" s="2807">
        <f t="shared" ref="CJ17:CJ20" si="236">SUM(AK17+BX17)</f>
        <v>0</v>
      </c>
      <c r="CK17" s="2769">
        <f t="shared" ref="CK17:CK20" si="237">SUM(CL17:CM17)</f>
        <v>-7.4355594876465148E-2</v>
      </c>
      <c r="CL17" s="2808">
        <f t="shared" ref="CL17:CL20" si="238">SUM(CF17-CC17)</f>
        <v>-7.4355594876465148E-2</v>
      </c>
      <c r="CM17" s="2808">
        <f t="shared" ref="CM17:CM20" si="239">SUM(CG17-CD17)</f>
        <v>0</v>
      </c>
      <c r="CN17" s="2767">
        <f t="shared" ref="CN17:CN20" si="240">SUM(CO17:CP17)</f>
        <v>23.760878932479415</v>
      </c>
      <c r="CO17" s="2767">
        <f t="shared" ref="CO17:CO20" si="241">SUM(GA17/12)</f>
        <v>23.760878932479415</v>
      </c>
      <c r="CP17" s="2767">
        <f t="shared" ref="CP17:CP20" si="242">SUM(GB17/12)</f>
        <v>0</v>
      </c>
      <c r="CQ17" s="2767">
        <f t="shared" si="137"/>
        <v>16.194891999999999</v>
      </c>
      <c r="CR17" s="2806">
        <f>SUM('ПОЛНАЯ СЕБЕСТОИМОСТЬ ВОДА 2023'!AS17)</f>
        <v>16.194891999999999</v>
      </c>
      <c r="CS17" s="2806">
        <f>SUM('ПОЛНАЯ СЕБЕСТОИМОСТЬ ВОДА 2023'!AT17)</f>
        <v>0</v>
      </c>
      <c r="CT17" s="4391">
        <f t="shared" si="138"/>
        <v>19.934000000000001</v>
      </c>
      <c r="CU17" s="4391">
        <v>19.934000000000001</v>
      </c>
      <c r="CV17" s="4391">
        <v>0</v>
      </c>
      <c r="CW17" s="2767">
        <f t="shared" ref="CW17:CW20" si="243">SUM(CX17:CY17)</f>
        <v>23.760878932479415</v>
      </c>
      <c r="CX17" s="2767">
        <f t="shared" ref="CX17:CX20" si="244">SUM(GA17/12)</f>
        <v>23.760878932479415</v>
      </c>
      <c r="CY17" s="2767">
        <f t="shared" ref="CY17:CY20" si="245">SUM(GB17/12)</f>
        <v>0</v>
      </c>
      <c r="CZ17" s="2767">
        <f t="shared" si="142"/>
        <v>0</v>
      </c>
      <c r="DA17" s="2806">
        <f>SUM('ПОЛНАЯ СЕБЕСТОИМОСТЬ ВОДА 2023'!AV17)</f>
        <v>0</v>
      </c>
      <c r="DB17" s="2806">
        <f>SUM('ПОЛНАЯ СЕБЕСТОИМОСТЬ ВОДА 2023'!AW17)</f>
        <v>0</v>
      </c>
      <c r="DC17" s="4391">
        <f t="shared" si="143"/>
        <v>19.659999999999997</v>
      </c>
      <c r="DD17" s="4391">
        <v>19.659999999999997</v>
      </c>
      <c r="DE17" s="4391">
        <v>0</v>
      </c>
      <c r="DF17" s="2767">
        <f t="shared" ref="DF17:DF20" si="246">SUM(DG17:DH17)</f>
        <v>23.760878932479415</v>
      </c>
      <c r="DG17" s="2767">
        <f t="shared" ref="DG17:DG20" si="247">SUM(GA17/12)</f>
        <v>23.760878932479415</v>
      </c>
      <c r="DH17" s="2767">
        <f t="shared" ref="DH17:DH20" si="248">SUM(GB17/12)</f>
        <v>0</v>
      </c>
      <c r="DI17" s="2767">
        <f t="shared" si="147"/>
        <v>0</v>
      </c>
      <c r="DJ17" s="2806">
        <f>SUM('ПОЛНАЯ СЕБЕСТОИМОСТЬ ВОДА 2023'!AY17)</f>
        <v>0</v>
      </c>
      <c r="DK17" s="2806">
        <f>SUM('ПОЛНАЯ СЕБЕСТОИМОСТЬ ВОДА 2023'!AZ17)</f>
        <v>0</v>
      </c>
      <c r="DL17" s="4391">
        <f t="shared" si="148"/>
        <v>25.688265999999999</v>
      </c>
      <c r="DM17" s="4391">
        <v>25.688265999999999</v>
      </c>
      <c r="DN17" s="4391">
        <v>0</v>
      </c>
      <c r="DO17" s="2769">
        <f t="shared" ref="DO17:DO20" si="249">SUM(DP17:DQ17)</f>
        <v>71.282636797438244</v>
      </c>
      <c r="DP17" s="2769">
        <f t="shared" ref="DP17:DP20" si="250">SUM(CO17+CX17+DG17)</f>
        <v>71.282636797438244</v>
      </c>
      <c r="DQ17" s="2769">
        <f t="shared" ref="DQ17:DQ20" si="251">SUM(CP17+CY17+DH17)</f>
        <v>0</v>
      </c>
      <c r="DR17" s="2769">
        <f t="shared" ref="DR17:DR20" si="252">SUM(DS17:DT17)</f>
        <v>16.194891999999999</v>
      </c>
      <c r="DS17" s="2769">
        <f t="shared" ref="DS17:DS20" si="253">SUM(CR17+DA17+DJ17)</f>
        <v>16.194891999999999</v>
      </c>
      <c r="DT17" s="2769">
        <f t="shared" ref="DT17:DT20" si="254">SUM(CS17+DB17+DK17)</f>
        <v>0</v>
      </c>
      <c r="DU17" s="2807">
        <f t="shared" ref="DU17:DU20" si="255">SUM(CT17+DC17+DL17)</f>
        <v>65.282265999999993</v>
      </c>
      <c r="DV17" s="2769">
        <f t="shared" ref="DV17:DV20" si="256">SUM(CU17+DD17+DM17)</f>
        <v>65.282265999999993</v>
      </c>
      <c r="DW17" s="2769">
        <f t="shared" ref="DW17:DW20" si="257">SUM(CV17+DE17+DN17)</f>
        <v>0</v>
      </c>
      <c r="DX17" s="2769">
        <f t="shared" ref="DX17:DX20" si="258">SUM(DY17:DZ17)</f>
        <v>-55.087744797438248</v>
      </c>
      <c r="DY17" s="2808">
        <f t="shared" ref="DY17:DY20" si="259">SUM(DS17-DP17)</f>
        <v>-55.087744797438248</v>
      </c>
      <c r="DZ17" s="2808">
        <f t="shared" ref="DZ17:DZ20" si="260">SUM(DT17-DQ17)</f>
        <v>0</v>
      </c>
      <c r="EA17" s="2769">
        <f t="shared" ref="EA17:EA20" si="261">SUM(EB17:EC17)</f>
        <v>213.84791039231473</v>
      </c>
      <c r="EB17" s="2769">
        <f t="shared" ref="EB17:EB20" si="262">SUM(CC17+DP17)</f>
        <v>213.84791039231473</v>
      </c>
      <c r="EC17" s="2769">
        <f t="shared" ref="EC17:EC20" si="263">SUM(CD17+DQ17)</f>
        <v>0</v>
      </c>
      <c r="ED17" s="2769">
        <f t="shared" ref="ED17:ED20" si="264">SUM(EE17:EF17)</f>
        <v>158.68581000000003</v>
      </c>
      <c r="EE17" s="2769">
        <f t="shared" ref="EE17:EE20" si="265">SUM(CF17+DS17)</f>
        <v>158.68581000000003</v>
      </c>
      <c r="EF17" s="2769">
        <f t="shared" ref="EF17:EF20" si="266">SUM(CG17+DT17)</f>
        <v>0</v>
      </c>
      <c r="EG17" s="2769">
        <f t="shared" ref="EG17:EG20" si="267">SUM(CH17+DU17)</f>
        <v>214.96026599999999</v>
      </c>
      <c r="EH17" s="2769">
        <f t="shared" ref="EH17:EH20" si="268">SUM(CI17+DV17)</f>
        <v>214.96026599999999</v>
      </c>
      <c r="EI17" s="2769">
        <f t="shared" ref="EI17:EI20" si="269">SUM(CJ17+DW17)</f>
        <v>0</v>
      </c>
      <c r="EJ17" s="2769">
        <f t="shared" ref="EJ17:EJ20" si="270">SUM(EK17:EL17)</f>
        <v>-55.162100392314699</v>
      </c>
      <c r="EK17" s="2808">
        <f t="shared" ref="EK17:EK20" si="271">SUM(EE17-EB17)</f>
        <v>-55.162100392314699</v>
      </c>
      <c r="EL17" s="2808">
        <f t="shared" ref="EL17:EL20" si="272">SUM(EF17-EC17)</f>
        <v>0</v>
      </c>
      <c r="EM17" s="2767">
        <f t="shared" ref="EM17:EM20" si="273">SUM(EN17:EO17)</f>
        <v>23.760878932479415</v>
      </c>
      <c r="EN17" s="2767">
        <f t="shared" ref="EN17:EN20" si="274">SUM(GA17/12)</f>
        <v>23.760878932479415</v>
      </c>
      <c r="EO17" s="2767">
        <f t="shared" ref="EO17:EO20" si="275">SUM(GB17/12)</f>
        <v>0</v>
      </c>
      <c r="EP17" s="2767">
        <f t="shared" si="162"/>
        <v>0</v>
      </c>
      <c r="EQ17" s="2806">
        <f>SUM('ПОЛНАЯ СЕБЕСТОИМОСТЬ ВОДА 2023'!BQ17)</f>
        <v>0</v>
      </c>
      <c r="ER17" s="2806">
        <f>SUM('ПОЛНАЯ СЕБЕСТОИМОСТЬ ВОДА 2023'!BR17)</f>
        <v>0</v>
      </c>
      <c r="ES17" s="4391">
        <f t="shared" si="163"/>
        <v>28.174999999999997</v>
      </c>
      <c r="ET17" s="4391">
        <v>28.174999999999997</v>
      </c>
      <c r="EU17" s="4391">
        <v>0</v>
      </c>
      <c r="EV17" s="2767">
        <f t="shared" ref="EV17:EV20" si="276">SUM(EW17:EX17)</f>
        <v>23.760878932479415</v>
      </c>
      <c r="EW17" s="2767">
        <f t="shared" ref="EW17:EW20" si="277">SUM(GA17/12)</f>
        <v>23.760878932479415</v>
      </c>
      <c r="EX17" s="2767">
        <f t="shared" ref="EX17:EX20" si="278">SUM(GB17/12)</f>
        <v>0</v>
      </c>
      <c r="EY17" s="2767">
        <f t="shared" si="167"/>
        <v>0</v>
      </c>
      <c r="EZ17" s="2806">
        <f>SUM('ПОЛНАЯ СЕБЕСТОИМОСТЬ ВОДА 2023'!BT17)</f>
        <v>0</v>
      </c>
      <c r="FA17" s="2806">
        <f>SUM('ПОЛНАЯ СЕБЕСТОИМОСТЬ ВОДА 2023'!BU17)</f>
        <v>0</v>
      </c>
      <c r="FB17" s="4391">
        <f t="shared" si="168"/>
        <v>28.500312000000001</v>
      </c>
      <c r="FC17" s="4391">
        <v>28.500312000000001</v>
      </c>
      <c r="FD17" s="4391">
        <v>0</v>
      </c>
      <c r="FE17" s="2767">
        <f t="shared" ref="FE17:FE20" si="279">SUM(FF17:FG17)</f>
        <v>23.760878932479415</v>
      </c>
      <c r="FF17" s="2767">
        <f t="shared" ref="FF17:FF20" si="280">SUM(GA17/12)</f>
        <v>23.760878932479415</v>
      </c>
      <c r="FG17" s="2767">
        <f t="shared" ref="FG17:FG20" si="281">SUM(GB17/12)</f>
        <v>0</v>
      </c>
      <c r="FH17" s="2767">
        <f t="shared" si="172"/>
        <v>0</v>
      </c>
      <c r="FI17" s="2806">
        <f>SUM('ПОЛНАЯ СЕБЕСТОИМОСТЬ ВОДА 2023'!BW17)</f>
        <v>0</v>
      </c>
      <c r="FJ17" s="2806">
        <f>SUM('ПОЛНАЯ СЕБЕСТОИМОСТЬ ВОДА 2023'!BX17)</f>
        <v>0</v>
      </c>
      <c r="FK17" s="4391">
        <f t="shared" si="188"/>
        <v>29.971732000000003</v>
      </c>
      <c r="FL17" s="4391">
        <v>29.971732000000003</v>
      </c>
      <c r="FM17" s="4391">
        <v>0</v>
      </c>
      <c r="FN17" s="2769">
        <f t="shared" ref="FN17:FN20" si="282">SUM(FO17:FP17)</f>
        <v>71.282636797438244</v>
      </c>
      <c r="FO17" s="2769">
        <f t="shared" ref="FO17:FO20" si="283">SUM(EN17+EW17+FF17)</f>
        <v>71.282636797438244</v>
      </c>
      <c r="FP17" s="2769">
        <f t="shared" ref="FP17:FP20" si="284">SUM(EO17+EX17+FG17)</f>
        <v>0</v>
      </c>
      <c r="FQ17" s="2769">
        <f t="shared" ref="FQ17:FQ20" si="285">SUM(FR17:FS17)</f>
        <v>0</v>
      </c>
      <c r="FR17" s="2769">
        <f t="shared" ref="FR17:FR20" si="286">SUM(EQ17+EZ17+FI17)</f>
        <v>0</v>
      </c>
      <c r="FS17" s="2769">
        <f t="shared" ref="FS17:FS20" si="287">SUM(ER17+FA17+FJ17)</f>
        <v>0</v>
      </c>
      <c r="FT17" s="2807">
        <f t="shared" ref="FT17:FT20" si="288">SUM(ES17+FB17+FK17)</f>
        <v>86.647043999999994</v>
      </c>
      <c r="FU17" s="2807">
        <f t="shared" ref="FU17:FU20" si="289">SUM(ET17+FC17+FL17)</f>
        <v>86.647043999999994</v>
      </c>
      <c r="FV17" s="2807">
        <f t="shared" ref="FV17:FV20" si="290">SUM(EU17+FD17+FM17)</f>
        <v>0</v>
      </c>
      <c r="FW17" s="2769">
        <f t="shared" ref="FW17:FW20" si="291">SUM(FX17:FY17)</f>
        <v>-71.282636797438244</v>
      </c>
      <c r="FX17" s="2808">
        <f t="shared" ref="FX17:FX20" si="292">SUM(FR17-FO17)</f>
        <v>-71.282636797438244</v>
      </c>
      <c r="FY17" s="2808">
        <f t="shared" ref="FY17:FY20" si="293">SUM(FS17-FP17)</f>
        <v>0</v>
      </c>
      <c r="FZ17" s="4371">
        <f t="shared" si="180"/>
        <v>285.13054718975297</v>
      </c>
      <c r="GA17" s="4371">
        <f>SUM('ПОЛНАЯ СЕБЕСТОИМОСТЬ ВОДА 2023'!CC17)</f>
        <v>285.13054718975297</v>
      </c>
      <c r="GB17" s="4371">
        <f>SUM('ПОЛНАЯ СЕБЕСТОИМОСТЬ ВОДА 2023'!CD17)</f>
        <v>0</v>
      </c>
      <c r="GC17" s="2769">
        <f t="shared" ref="GC17:GC20" si="294">SUM(GD17:GE17)</f>
        <v>158.68581000000003</v>
      </c>
      <c r="GD17" s="2807">
        <f t="shared" ref="GD17:GD20" si="295">SUM(EE17+FR17)</f>
        <v>158.68581000000003</v>
      </c>
      <c r="GE17" s="2807">
        <f t="shared" ref="GE17:GE20" si="296">SUM(EF17+FS17)</f>
        <v>0</v>
      </c>
      <c r="GF17" s="2807">
        <f t="shared" ref="GF17:GF20" si="297">SUM(EG17+FT17)</f>
        <v>301.60730999999998</v>
      </c>
      <c r="GG17" s="2807">
        <f t="shared" ref="GG17:GG20" si="298">SUM(EH17+FU17)</f>
        <v>301.60730999999998</v>
      </c>
      <c r="GH17" s="2807">
        <f t="shared" ref="GH17:GH20" si="299">SUM(EI17+FV17)</f>
        <v>0</v>
      </c>
      <c r="GI17" s="2769">
        <f t="shared" ref="GI17:GI20" si="300">SUM(GJ17:GK17)</f>
        <v>-126.44473718975294</v>
      </c>
      <c r="GJ17" s="2808">
        <f t="shared" ref="GJ17:GJ20" si="301">SUM(GD17-GA17)</f>
        <v>-126.44473718975294</v>
      </c>
      <c r="GK17" s="2808">
        <f t="shared" ref="GK17:GK20" si="302">SUM(GE17-GB17)</f>
        <v>0</v>
      </c>
      <c r="GL17" s="565"/>
      <c r="GM17" s="3576">
        <f t="shared" si="13"/>
        <v>285.13054718975297</v>
      </c>
    </row>
    <row r="18" spans="1:195" ht="18.75" x14ac:dyDescent="0.3">
      <c r="A18" s="2909" t="s">
        <v>3646</v>
      </c>
      <c r="B18" s="2767">
        <f t="shared" si="189"/>
        <v>9.1004166311396144</v>
      </c>
      <c r="C18" s="2767">
        <f t="shared" si="190"/>
        <v>9.1004166311396144</v>
      </c>
      <c r="D18" s="2767">
        <f t="shared" si="191"/>
        <v>0</v>
      </c>
      <c r="E18" s="2767">
        <f t="shared" si="185"/>
        <v>8.1056550000000005</v>
      </c>
      <c r="F18" s="2806">
        <f>SUM('ПОЛНАЯ СЕБЕСТОИМОСТЬ ВОДА 2023'!F18)</f>
        <v>8.1056550000000005</v>
      </c>
      <c r="G18" s="2806">
        <f>SUM('ПОЛНАЯ СЕБЕСТОИМОСТЬ ВОДА 2023'!G18)</f>
        <v>0</v>
      </c>
      <c r="H18" s="4391">
        <f t="shared" si="95"/>
        <v>8.2669999999999995</v>
      </c>
      <c r="I18" s="4392">
        <v>8.2669999999999995</v>
      </c>
      <c r="J18" s="4392">
        <v>0</v>
      </c>
      <c r="K18" s="2767">
        <f t="shared" si="192"/>
        <v>9.1004166311396144</v>
      </c>
      <c r="L18" s="2767">
        <f t="shared" si="193"/>
        <v>9.1004166311396144</v>
      </c>
      <c r="M18" s="2767">
        <f t="shared" si="194"/>
        <v>0</v>
      </c>
      <c r="N18" s="2767">
        <f t="shared" si="98"/>
        <v>10.463747</v>
      </c>
      <c r="O18" s="2806">
        <f>SUM('ПОЛНАЯ СЕБЕСТОИМОСТЬ ВОДА 2023'!I18)</f>
        <v>10.463747</v>
      </c>
      <c r="P18" s="2806">
        <f>SUM('ПОЛНАЯ СЕБЕСТОИМОСТЬ ВОДА 2023'!J18)</f>
        <v>0</v>
      </c>
      <c r="Q18" s="4391">
        <f t="shared" si="99"/>
        <v>7.9489999999999998</v>
      </c>
      <c r="R18" s="4392">
        <v>7.9489999999999998</v>
      </c>
      <c r="S18" s="4392">
        <v>0</v>
      </c>
      <c r="T18" s="2767">
        <f t="shared" si="195"/>
        <v>9.1004166311396144</v>
      </c>
      <c r="U18" s="2767">
        <f t="shared" si="196"/>
        <v>9.1004166311396144</v>
      </c>
      <c r="V18" s="2767">
        <f t="shared" si="197"/>
        <v>0</v>
      </c>
      <c r="W18" s="2767">
        <f t="shared" si="102"/>
        <v>8.6976750000000003</v>
      </c>
      <c r="X18" s="2806">
        <f>SUM('ПОЛНАЯ СЕБЕСТОИМОСТЬ ВОДА 2023'!L18)</f>
        <v>8.6976750000000003</v>
      </c>
      <c r="Y18" s="2806">
        <f>SUM('ПОЛНАЯ СЕБЕСТОИМОСТЬ ВОДА 2023'!M18)</f>
        <v>0</v>
      </c>
      <c r="Z18" s="4391">
        <f t="shared" si="103"/>
        <v>8.3930000000000007</v>
      </c>
      <c r="AA18" s="4392">
        <v>8.3930000000000007</v>
      </c>
      <c r="AB18" s="4392">
        <v>0</v>
      </c>
      <c r="AC18" s="2769">
        <f t="shared" si="198"/>
        <v>27.301249893418841</v>
      </c>
      <c r="AD18" s="2769">
        <f t="shared" si="199"/>
        <v>27.301249893418841</v>
      </c>
      <c r="AE18" s="2769">
        <f t="shared" si="200"/>
        <v>0</v>
      </c>
      <c r="AF18" s="2769">
        <f t="shared" si="201"/>
        <v>27.267077</v>
      </c>
      <c r="AG18" s="2769">
        <f t="shared" si="202"/>
        <v>27.267077</v>
      </c>
      <c r="AH18" s="2769">
        <f t="shared" si="203"/>
        <v>0</v>
      </c>
      <c r="AI18" s="2807">
        <f t="shared" si="204"/>
        <v>24.609000000000002</v>
      </c>
      <c r="AJ18" s="2807">
        <f t="shared" si="205"/>
        <v>24.609000000000002</v>
      </c>
      <c r="AK18" s="2807">
        <f t="shared" si="206"/>
        <v>0</v>
      </c>
      <c r="AL18" s="2769">
        <f t="shared" si="207"/>
        <v>-3.4172893418840999E-2</v>
      </c>
      <c r="AM18" s="2769">
        <f t="shared" si="208"/>
        <v>-3.4172893418840999E-2</v>
      </c>
      <c r="AN18" s="2769">
        <f t="shared" si="209"/>
        <v>0</v>
      </c>
      <c r="AO18" s="2767">
        <f t="shared" si="210"/>
        <v>9.1004166311396144</v>
      </c>
      <c r="AP18" s="2767">
        <f t="shared" si="211"/>
        <v>9.1004166311396144</v>
      </c>
      <c r="AQ18" s="2767">
        <f t="shared" si="212"/>
        <v>0</v>
      </c>
      <c r="AR18" s="2767">
        <f t="shared" si="113"/>
        <v>7.5608870000000001</v>
      </c>
      <c r="AS18" s="2806">
        <f>SUM('ПОЛНАЯ СЕБЕСТОИМОСТЬ ВОДА 2023'!U18)</f>
        <v>7.5608870000000001</v>
      </c>
      <c r="AT18" s="2806">
        <f>SUM('ПОЛНАЯ СЕБЕСТОИМОСТЬ ВОДА 2023'!V18)</f>
        <v>0</v>
      </c>
      <c r="AU18" s="4391">
        <f t="shared" si="114"/>
        <v>7.4770000000000003</v>
      </c>
      <c r="AV18" s="4392">
        <v>7.4770000000000003</v>
      </c>
      <c r="AW18" s="4392">
        <v>0</v>
      </c>
      <c r="AX18" s="2767">
        <f t="shared" si="213"/>
        <v>9.1004166311396144</v>
      </c>
      <c r="AY18" s="2767">
        <f t="shared" si="214"/>
        <v>9.1004166311396144</v>
      </c>
      <c r="AZ18" s="2767">
        <f t="shared" si="215"/>
        <v>0</v>
      </c>
      <c r="BA18" s="2767">
        <f t="shared" si="117"/>
        <v>6.6087470000000001</v>
      </c>
      <c r="BB18" s="2806">
        <f>SUM('ПОЛНАЯ СЕБЕСТОИМОСТЬ ВОДА 2023'!X18)</f>
        <v>6.6087470000000001</v>
      </c>
      <c r="BC18" s="2806">
        <f>SUM('ПОЛНАЯ СЕБЕСТОИМОСТЬ ВОДА 2023'!Y18)</f>
        <v>0</v>
      </c>
      <c r="BD18" s="4391">
        <f t="shared" si="118"/>
        <v>6.9059999999999997</v>
      </c>
      <c r="BE18" s="4392">
        <v>6.9059999999999997</v>
      </c>
      <c r="BF18" s="4392">
        <v>0</v>
      </c>
      <c r="BG18" s="2767">
        <f t="shared" si="216"/>
        <v>9.1004166311396144</v>
      </c>
      <c r="BH18" s="2767">
        <f t="shared" si="217"/>
        <v>9.1004166311396144</v>
      </c>
      <c r="BI18" s="2767">
        <f t="shared" si="218"/>
        <v>0</v>
      </c>
      <c r="BJ18" s="2767">
        <f t="shared" si="121"/>
        <v>7.7343409999999997</v>
      </c>
      <c r="BK18" s="2806">
        <f>SUM('ПОЛНАЯ СЕБЕСТОИМОСТЬ ВОДА 2023'!AA18)</f>
        <v>7.7343409999999997</v>
      </c>
      <c r="BL18" s="2806">
        <f>SUM('ПОЛНАЯ СЕБЕСТОИМОСТЬ ВОДА 2023'!AB18)</f>
        <v>0</v>
      </c>
      <c r="BM18" s="4391">
        <f t="shared" si="122"/>
        <v>6.9180000000000001</v>
      </c>
      <c r="BN18" s="4392">
        <v>6.9180000000000001</v>
      </c>
      <c r="BO18" s="4392">
        <v>0</v>
      </c>
      <c r="BP18" s="2769">
        <f t="shared" si="219"/>
        <v>27.301249893418841</v>
      </c>
      <c r="BQ18" s="2769">
        <f t="shared" si="220"/>
        <v>27.301249893418841</v>
      </c>
      <c r="BR18" s="2769">
        <f t="shared" si="221"/>
        <v>0</v>
      </c>
      <c r="BS18" s="2769">
        <f t="shared" si="222"/>
        <v>21.903974999999999</v>
      </c>
      <c r="BT18" s="2769">
        <f t="shared" si="223"/>
        <v>21.903974999999999</v>
      </c>
      <c r="BU18" s="2769">
        <f t="shared" si="224"/>
        <v>0</v>
      </c>
      <c r="BV18" s="4552">
        <f t="shared" si="126"/>
        <v>21.300999999999998</v>
      </c>
      <c r="BW18" s="4371">
        <f t="shared" si="126"/>
        <v>21.300999999999998</v>
      </c>
      <c r="BX18" s="4371">
        <f t="shared" si="126"/>
        <v>0</v>
      </c>
      <c r="BY18" s="2769">
        <f t="shared" si="225"/>
        <v>-5.3972748934188424</v>
      </c>
      <c r="BZ18" s="2769">
        <f t="shared" si="226"/>
        <v>-5.3972748934188424</v>
      </c>
      <c r="CA18" s="2769">
        <f t="shared" si="227"/>
        <v>0</v>
      </c>
      <c r="CB18" s="2769">
        <f t="shared" si="228"/>
        <v>54.602499786837683</v>
      </c>
      <c r="CC18" s="2769">
        <f t="shared" si="229"/>
        <v>54.602499786837683</v>
      </c>
      <c r="CD18" s="2769">
        <f t="shared" si="230"/>
        <v>0</v>
      </c>
      <c r="CE18" s="2769">
        <f t="shared" si="231"/>
        <v>49.171052000000003</v>
      </c>
      <c r="CF18" s="2769">
        <f t="shared" si="232"/>
        <v>49.171052000000003</v>
      </c>
      <c r="CG18" s="2769">
        <f t="shared" si="233"/>
        <v>0</v>
      </c>
      <c r="CH18" s="2807">
        <f t="shared" si="234"/>
        <v>45.91</v>
      </c>
      <c r="CI18" s="2807">
        <f t="shared" si="235"/>
        <v>45.91</v>
      </c>
      <c r="CJ18" s="2807">
        <f t="shared" si="236"/>
        <v>0</v>
      </c>
      <c r="CK18" s="2769">
        <f t="shared" si="237"/>
        <v>-5.4314477868376798</v>
      </c>
      <c r="CL18" s="2808">
        <f t="shared" si="238"/>
        <v>-5.4314477868376798</v>
      </c>
      <c r="CM18" s="2808">
        <f t="shared" si="239"/>
        <v>0</v>
      </c>
      <c r="CN18" s="2767">
        <f t="shared" si="240"/>
        <v>9.1004166311396144</v>
      </c>
      <c r="CO18" s="2767">
        <f t="shared" si="241"/>
        <v>9.1004166311396144</v>
      </c>
      <c r="CP18" s="2767">
        <f t="shared" si="242"/>
        <v>0</v>
      </c>
      <c r="CQ18" s="2767">
        <f t="shared" si="137"/>
        <v>7.4032470000000004</v>
      </c>
      <c r="CR18" s="2806">
        <f>SUM('ПОЛНАЯ СЕБЕСТОИМОСТЬ ВОДА 2023'!AS18)</f>
        <v>7.4032470000000004</v>
      </c>
      <c r="CS18" s="2806">
        <f>SUM('ПОЛНАЯ СЕБЕСТОИМОСТЬ ВОДА 2023'!AT18)</f>
        <v>0</v>
      </c>
      <c r="CT18" s="4391">
        <f t="shared" si="138"/>
        <v>6.742</v>
      </c>
      <c r="CU18" s="4392">
        <v>6.742</v>
      </c>
      <c r="CV18" s="4392">
        <v>0</v>
      </c>
      <c r="CW18" s="2767">
        <f t="shared" si="243"/>
        <v>9.1004166311396144</v>
      </c>
      <c r="CX18" s="2767">
        <f t="shared" si="244"/>
        <v>9.1004166311396144</v>
      </c>
      <c r="CY18" s="2767">
        <f t="shared" si="245"/>
        <v>0</v>
      </c>
      <c r="CZ18" s="2767">
        <f t="shared" si="142"/>
        <v>0</v>
      </c>
      <c r="DA18" s="2806">
        <f>SUM('ПОЛНАЯ СЕБЕСТОИМОСТЬ ВОДА 2023'!AV18)</f>
        <v>0</v>
      </c>
      <c r="DB18" s="2806">
        <f>SUM('ПОЛНАЯ СЕБЕСТОИМОСТЬ ВОДА 2023'!AW18)</f>
        <v>0</v>
      </c>
      <c r="DC18" s="4391">
        <f t="shared" si="143"/>
        <v>5.9059999999999997</v>
      </c>
      <c r="DD18" s="4392">
        <v>5.9059999999999997</v>
      </c>
      <c r="DE18" s="4392">
        <v>0</v>
      </c>
      <c r="DF18" s="2767">
        <f t="shared" si="246"/>
        <v>9.1004166311396144</v>
      </c>
      <c r="DG18" s="2767">
        <f t="shared" si="247"/>
        <v>9.1004166311396144</v>
      </c>
      <c r="DH18" s="2767">
        <f t="shared" si="248"/>
        <v>0</v>
      </c>
      <c r="DI18" s="2767">
        <f t="shared" si="147"/>
        <v>0</v>
      </c>
      <c r="DJ18" s="2806">
        <f>SUM('ПОЛНАЯ СЕБЕСТОИМОСТЬ ВОДА 2023'!AY18)</f>
        <v>0</v>
      </c>
      <c r="DK18" s="2806">
        <f>SUM('ПОЛНАЯ СЕБЕСТОИМОСТЬ ВОДА 2023'!AZ18)</f>
        <v>0</v>
      </c>
      <c r="DL18" s="4391">
        <f t="shared" si="148"/>
        <v>9.2112660000000002</v>
      </c>
      <c r="DM18" s="4392">
        <v>9.2112660000000002</v>
      </c>
      <c r="DN18" s="4392">
        <v>0</v>
      </c>
      <c r="DO18" s="2769">
        <f t="shared" si="249"/>
        <v>27.301249893418841</v>
      </c>
      <c r="DP18" s="2769">
        <f t="shared" si="250"/>
        <v>27.301249893418841</v>
      </c>
      <c r="DQ18" s="2769">
        <f t="shared" si="251"/>
        <v>0</v>
      </c>
      <c r="DR18" s="2769">
        <f t="shared" si="252"/>
        <v>7.4032470000000004</v>
      </c>
      <c r="DS18" s="2769">
        <f t="shared" si="253"/>
        <v>7.4032470000000004</v>
      </c>
      <c r="DT18" s="2769">
        <f t="shared" si="254"/>
        <v>0</v>
      </c>
      <c r="DU18" s="2807">
        <f t="shared" si="255"/>
        <v>21.859265999999998</v>
      </c>
      <c r="DV18" s="2769">
        <f t="shared" si="256"/>
        <v>21.859265999999998</v>
      </c>
      <c r="DW18" s="2769">
        <f t="shared" si="257"/>
        <v>0</v>
      </c>
      <c r="DX18" s="2769">
        <f t="shared" si="258"/>
        <v>-19.898002893418841</v>
      </c>
      <c r="DY18" s="2808">
        <f t="shared" si="259"/>
        <v>-19.898002893418841</v>
      </c>
      <c r="DZ18" s="2808">
        <f t="shared" si="260"/>
        <v>0</v>
      </c>
      <c r="EA18" s="2769">
        <f t="shared" si="261"/>
        <v>81.903749680256524</v>
      </c>
      <c r="EB18" s="2769">
        <f t="shared" si="262"/>
        <v>81.903749680256524</v>
      </c>
      <c r="EC18" s="2769">
        <f t="shared" si="263"/>
        <v>0</v>
      </c>
      <c r="ED18" s="2769">
        <f t="shared" si="264"/>
        <v>56.574299000000003</v>
      </c>
      <c r="EE18" s="2769">
        <f t="shared" si="265"/>
        <v>56.574299000000003</v>
      </c>
      <c r="EF18" s="2769">
        <f t="shared" si="266"/>
        <v>0</v>
      </c>
      <c r="EG18" s="2769">
        <f t="shared" si="267"/>
        <v>67.769265999999988</v>
      </c>
      <c r="EH18" s="2769">
        <f t="shared" si="268"/>
        <v>67.769265999999988</v>
      </c>
      <c r="EI18" s="2769">
        <f t="shared" si="269"/>
        <v>0</v>
      </c>
      <c r="EJ18" s="2769">
        <f t="shared" si="270"/>
        <v>-25.329450680256521</v>
      </c>
      <c r="EK18" s="2808">
        <f t="shared" si="271"/>
        <v>-25.329450680256521</v>
      </c>
      <c r="EL18" s="2808">
        <f t="shared" si="272"/>
        <v>0</v>
      </c>
      <c r="EM18" s="2767">
        <f t="shared" si="273"/>
        <v>9.1004166311396144</v>
      </c>
      <c r="EN18" s="2767">
        <f t="shared" si="274"/>
        <v>9.1004166311396144</v>
      </c>
      <c r="EO18" s="2767">
        <f t="shared" si="275"/>
        <v>0</v>
      </c>
      <c r="EP18" s="2767">
        <f t="shared" si="162"/>
        <v>0</v>
      </c>
      <c r="EQ18" s="2806">
        <f>SUM('ПОЛНАЯ СЕБЕСТОИМОСТЬ ВОДА 2023'!BQ18)</f>
        <v>0</v>
      </c>
      <c r="ER18" s="2806">
        <f>SUM('ПОЛНАЯ СЕБЕСТОИМОСТЬ ВОДА 2023'!BR18)</f>
        <v>0</v>
      </c>
      <c r="ES18" s="4391">
        <f t="shared" si="163"/>
        <v>10.423</v>
      </c>
      <c r="ET18" s="4392">
        <v>10.423</v>
      </c>
      <c r="EU18" s="4392">
        <v>0</v>
      </c>
      <c r="EV18" s="2767">
        <f t="shared" si="276"/>
        <v>9.1004166311396144</v>
      </c>
      <c r="EW18" s="2767">
        <f t="shared" si="277"/>
        <v>9.1004166311396144</v>
      </c>
      <c r="EX18" s="2767">
        <f t="shared" si="278"/>
        <v>0</v>
      </c>
      <c r="EY18" s="2767">
        <f t="shared" si="167"/>
        <v>0</v>
      </c>
      <c r="EZ18" s="2806">
        <f>SUM('ПОЛНАЯ СЕБЕСТОИМОСТЬ ВОДА 2023'!BT18)</f>
        <v>0</v>
      </c>
      <c r="FA18" s="2806">
        <f>SUM('ПОЛНАЯ СЕБЕСТОИМОСТЬ ВОДА 2023'!BU18)</f>
        <v>0</v>
      </c>
      <c r="FB18" s="4391">
        <f t="shared" si="168"/>
        <v>10.268746999999999</v>
      </c>
      <c r="FC18" s="4392">
        <v>10.268746999999999</v>
      </c>
      <c r="FD18" s="4392">
        <v>0</v>
      </c>
      <c r="FE18" s="2767">
        <f t="shared" si="279"/>
        <v>9.1004166311396144</v>
      </c>
      <c r="FF18" s="2767">
        <f t="shared" si="280"/>
        <v>9.1004166311396144</v>
      </c>
      <c r="FG18" s="2767">
        <f t="shared" si="281"/>
        <v>0</v>
      </c>
      <c r="FH18" s="2767">
        <f t="shared" si="172"/>
        <v>0</v>
      </c>
      <c r="FI18" s="2806">
        <f>SUM('ПОЛНАЯ СЕБЕСТОИМОСТЬ ВОДА 2023'!BW18)</f>
        <v>0</v>
      </c>
      <c r="FJ18" s="2806">
        <f>SUM('ПОЛНАЯ СЕБЕСТОИМОСТЬ ВОДА 2023'!BX18)</f>
        <v>0</v>
      </c>
      <c r="FK18" s="4391">
        <f t="shared" si="188"/>
        <v>9.8989999999999991</v>
      </c>
      <c r="FL18" s="4392">
        <v>9.8989999999999991</v>
      </c>
      <c r="FM18" s="4392">
        <v>0</v>
      </c>
      <c r="FN18" s="2769">
        <f t="shared" si="282"/>
        <v>27.301249893418841</v>
      </c>
      <c r="FO18" s="2769">
        <f t="shared" si="283"/>
        <v>27.301249893418841</v>
      </c>
      <c r="FP18" s="2769">
        <f t="shared" si="284"/>
        <v>0</v>
      </c>
      <c r="FQ18" s="2769">
        <f t="shared" si="285"/>
        <v>0</v>
      </c>
      <c r="FR18" s="2769">
        <f t="shared" si="286"/>
        <v>0</v>
      </c>
      <c r="FS18" s="2769">
        <f t="shared" si="287"/>
        <v>0</v>
      </c>
      <c r="FT18" s="2807">
        <f t="shared" si="288"/>
        <v>30.590747</v>
      </c>
      <c r="FU18" s="2807">
        <f t="shared" si="289"/>
        <v>30.590747</v>
      </c>
      <c r="FV18" s="2807">
        <f t="shared" si="290"/>
        <v>0</v>
      </c>
      <c r="FW18" s="2769">
        <f t="shared" si="291"/>
        <v>-27.301249893418841</v>
      </c>
      <c r="FX18" s="2808">
        <f t="shared" si="292"/>
        <v>-27.301249893418841</v>
      </c>
      <c r="FY18" s="2808">
        <f t="shared" si="293"/>
        <v>0</v>
      </c>
      <c r="FZ18" s="4371">
        <f t="shared" si="180"/>
        <v>109.20499957367538</v>
      </c>
      <c r="GA18" s="4371">
        <f>SUM('ПОЛНАЯ СЕБЕСТОИМОСТЬ ВОДА 2023'!CC18)</f>
        <v>109.20499957367538</v>
      </c>
      <c r="GB18" s="4371">
        <f>SUM('ПОЛНАЯ СЕБЕСТОИМОСТЬ ВОДА 2023'!CD18)</f>
        <v>0</v>
      </c>
      <c r="GC18" s="2769">
        <f t="shared" si="294"/>
        <v>56.574299000000003</v>
      </c>
      <c r="GD18" s="2807">
        <f t="shared" si="295"/>
        <v>56.574299000000003</v>
      </c>
      <c r="GE18" s="2807">
        <f t="shared" si="296"/>
        <v>0</v>
      </c>
      <c r="GF18" s="2807">
        <f t="shared" si="297"/>
        <v>98.360012999999981</v>
      </c>
      <c r="GG18" s="2807">
        <f t="shared" si="298"/>
        <v>98.360012999999981</v>
      </c>
      <c r="GH18" s="2807">
        <f t="shared" si="299"/>
        <v>0</v>
      </c>
      <c r="GI18" s="2769">
        <f t="shared" si="300"/>
        <v>-52.630700573675377</v>
      </c>
      <c r="GJ18" s="2808">
        <f t="shared" si="301"/>
        <v>-52.630700573675377</v>
      </c>
      <c r="GK18" s="2808">
        <f t="shared" si="302"/>
        <v>0</v>
      </c>
      <c r="GL18" s="565"/>
      <c r="GM18" s="3576">
        <f t="shared" si="13"/>
        <v>109.20499957367535</v>
      </c>
    </row>
    <row r="19" spans="1:195" ht="18.75" x14ac:dyDescent="0.3">
      <c r="A19" s="2909" t="s">
        <v>3645</v>
      </c>
      <c r="B19" s="2767">
        <f t="shared" si="189"/>
        <v>7.0094592850814266</v>
      </c>
      <c r="C19" s="2767">
        <f t="shared" si="190"/>
        <v>7.0094592850814266</v>
      </c>
      <c r="D19" s="2767">
        <f t="shared" si="191"/>
        <v>0</v>
      </c>
      <c r="E19" s="2767">
        <f t="shared" si="185"/>
        <v>7.5979999999999999</v>
      </c>
      <c r="F19" s="2806">
        <f>SUM('ПОЛНАЯ СЕБЕСТОИМОСТЬ ВОДА 2023'!F19)</f>
        <v>7.5979999999999999</v>
      </c>
      <c r="G19" s="2806">
        <f>SUM('ПОЛНАЯ СЕБЕСТОИМОСТЬ ВОДА 2023'!G19)</f>
        <v>0</v>
      </c>
      <c r="H19" s="4391">
        <f t="shared" si="95"/>
        <v>8.8379999999999992</v>
      </c>
      <c r="I19" s="4392">
        <v>8.8379999999999992</v>
      </c>
      <c r="J19" s="4392">
        <v>0</v>
      </c>
      <c r="K19" s="2767">
        <f t="shared" si="192"/>
        <v>7.0094592850814266</v>
      </c>
      <c r="L19" s="2767">
        <f t="shared" si="193"/>
        <v>7.0094592850814266</v>
      </c>
      <c r="M19" s="2767">
        <f t="shared" si="194"/>
        <v>0</v>
      </c>
      <c r="N19" s="2767">
        <f t="shared" si="98"/>
        <v>7.2730800000000002</v>
      </c>
      <c r="O19" s="2806">
        <f>SUM('ПОЛНАЯ СЕБЕСТОИМОСТЬ ВОДА 2023'!I19)</f>
        <v>7.2730800000000002</v>
      </c>
      <c r="P19" s="2806">
        <f>SUM('ПОЛНАЯ СЕБЕСТОИМОСТЬ ВОДА 2023'!J19)</f>
        <v>0</v>
      </c>
      <c r="Q19" s="4391">
        <f t="shared" si="99"/>
        <v>8.9410000000000007</v>
      </c>
      <c r="R19" s="4392">
        <v>8.9410000000000007</v>
      </c>
      <c r="S19" s="4392">
        <v>0</v>
      </c>
      <c r="T19" s="2767">
        <f t="shared" si="195"/>
        <v>7.0094592850814266</v>
      </c>
      <c r="U19" s="2767">
        <f t="shared" si="196"/>
        <v>7.0094592850814266</v>
      </c>
      <c r="V19" s="2767">
        <f t="shared" si="197"/>
        <v>0</v>
      </c>
      <c r="W19" s="2767">
        <f t="shared" si="102"/>
        <v>6.8420909999999999</v>
      </c>
      <c r="X19" s="2806">
        <f>SUM('ПОЛНАЯ СЕБЕСТОИМОСТЬ ВОДА 2023'!L19)</f>
        <v>6.8420909999999999</v>
      </c>
      <c r="Y19" s="2806">
        <f>SUM('ПОЛНАЯ СЕБЕСТОИМОСТЬ ВОДА 2023'!M19)</f>
        <v>0</v>
      </c>
      <c r="Z19" s="4391">
        <f t="shared" si="103"/>
        <v>8.5259999999999998</v>
      </c>
      <c r="AA19" s="4392">
        <v>8.5259999999999998</v>
      </c>
      <c r="AB19" s="4392">
        <v>0</v>
      </c>
      <c r="AC19" s="2769">
        <f t="shared" si="198"/>
        <v>21.02837785524428</v>
      </c>
      <c r="AD19" s="2769">
        <f t="shared" si="199"/>
        <v>21.02837785524428</v>
      </c>
      <c r="AE19" s="2769">
        <f t="shared" si="200"/>
        <v>0</v>
      </c>
      <c r="AF19" s="2769">
        <f t="shared" si="201"/>
        <v>21.713170999999999</v>
      </c>
      <c r="AG19" s="2769">
        <f t="shared" si="202"/>
        <v>21.713170999999999</v>
      </c>
      <c r="AH19" s="2769">
        <f t="shared" si="203"/>
        <v>0</v>
      </c>
      <c r="AI19" s="2807">
        <f t="shared" si="204"/>
        <v>26.305</v>
      </c>
      <c r="AJ19" s="2807">
        <f t="shared" si="205"/>
        <v>26.305</v>
      </c>
      <c r="AK19" s="2807">
        <f t="shared" si="206"/>
        <v>0</v>
      </c>
      <c r="AL19" s="2769">
        <f t="shared" si="207"/>
        <v>0.6847931447557194</v>
      </c>
      <c r="AM19" s="2769">
        <f t="shared" si="208"/>
        <v>0.6847931447557194</v>
      </c>
      <c r="AN19" s="2769">
        <f t="shared" si="209"/>
        <v>0</v>
      </c>
      <c r="AO19" s="2767">
        <f t="shared" si="210"/>
        <v>7.0094592850814266</v>
      </c>
      <c r="AP19" s="2767">
        <f t="shared" si="211"/>
        <v>7.0094592850814266</v>
      </c>
      <c r="AQ19" s="2767">
        <f t="shared" si="212"/>
        <v>0</v>
      </c>
      <c r="AR19" s="2767">
        <f t="shared" si="113"/>
        <v>7.8351350000000002</v>
      </c>
      <c r="AS19" s="2806">
        <f>SUM('ПОЛНАЯ СЕБЕСТОИМОСТЬ ВОДА 2023'!U19)</f>
        <v>7.8351350000000002</v>
      </c>
      <c r="AT19" s="2806">
        <f>SUM('ПОЛНАЯ СЕБЕСТОИМОСТЬ ВОДА 2023'!V19)</f>
        <v>0</v>
      </c>
      <c r="AU19" s="4391">
        <f t="shared" si="114"/>
        <v>8.4480000000000004</v>
      </c>
      <c r="AV19" s="4392">
        <v>8.4480000000000004</v>
      </c>
      <c r="AW19" s="4392">
        <v>0</v>
      </c>
      <c r="AX19" s="2767">
        <f t="shared" si="213"/>
        <v>7.0094592850814266</v>
      </c>
      <c r="AY19" s="2767">
        <f t="shared" si="214"/>
        <v>7.0094592850814266</v>
      </c>
      <c r="AZ19" s="2767">
        <f t="shared" si="215"/>
        <v>0</v>
      </c>
      <c r="BA19" s="2767">
        <f t="shared" si="117"/>
        <v>7.3140000000000001</v>
      </c>
      <c r="BB19" s="2806">
        <f>SUM('ПОЛНАЯ СЕБЕСТОИМОСТЬ ВОДА 2023'!X19)</f>
        <v>7.3140000000000001</v>
      </c>
      <c r="BC19" s="2806">
        <f>SUM('ПОЛНАЯ СЕБЕСТОИМОСТЬ ВОДА 2023'!Y19)</f>
        <v>0</v>
      </c>
      <c r="BD19" s="4391">
        <f t="shared" si="118"/>
        <v>8.6590000000000007</v>
      </c>
      <c r="BE19" s="4392">
        <v>8.6590000000000007</v>
      </c>
      <c r="BF19" s="4392">
        <v>0</v>
      </c>
      <c r="BG19" s="2767">
        <f t="shared" si="216"/>
        <v>7.0094592850814266</v>
      </c>
      <c r="BH19" s="2767">
        <f t="shared" si="217"/>
        <v>7.0094592850814266</v>
      </c>
      <c r="BI19" s="2767">
        <f t="shared" si="218"/>
        <v>0</v>
      </c>
      <c r="BJ19" s="2767">
        <f t="shared" si="121"/>
        <v>7.3983179999999997</v>
      </c>
      <c r="BK19" s="2806">
        <f>SUM('ПОЛНАЯ СЕБЕСТОИМОСТЬ ВОДА 2023'!AA19)</f>
        <v>7.3983179999999997</v>
      </c>
      <c r="BL19" s="2806">
        <f>SUM('ПОЛНАЯ СЕБЕСТОИМОСТЬ ВОДА 2023'!AB19)</f>
        <v>0</v>
      </c>
      <c r="BM19" s="4391">
        <f t="shared" si="122"/>
        <v>9.0210000000000008</v>
      </c>
      <c r="BN19" s="4392">
        <v>9.0210000000000008</v>
      </c>
      <c r="BO19" s="4392">
        <v>0</v>
      </c>
      <c r="BP19" s="2769">
        <f t="shared" si="219"/>
        <v>21.02837785524428</v>
      </c>
      <c r="BQ19" s="2769">
        <f t="shared" si="220"/>
        <v>21.02837785524428</v>
      </c>
      <c r="BR19" s="2769">
        <f t="shared" si="221"/>
        <v>0</v>
      </c>
      <c r="BS19" s="2769">
        <f t="shared" si="222"/>
        <v>22.547453000000001</v>
      </c>
      <c r="BT19" s="2769">
        <f t="shared" si="223"/>
        <v>22.547453000000001</v>
      </c>
      <c r="BU19" s="2769">
        <f t="shared" si="224"/>
        <v>0</v>
      </c>
      <c r="BV19" s="4552">
        <f t="shared" si="126"/>
        <v>26.128</v>
      </c>
      <c r="BW19" s="4371">
        <f t="shared" si="126"/>
        <v>26.128</v>
      </c>
      <c r="BX19" s="4371">
        <f t="shared" si="126"/>
        <v>0</v>
      </c>
      <c r="BY19" s="2769">
        <f t="shared" si="225"/>
        <v>1.5190751447557211</v>
      </c>
      <c r="BZ19" s="2769">
        <f t="shared" si="226"/>
        <v>1.5190751447557211</v>
      </c>
      <c r="CA19" s="2769">
        <f t="shared" si="227"/>
        <v>0</v>
      </c>
      <c r="CB19" s="2769">
        <f t="shared" si="228"/>
        <v>42.056755710488559</v>
      </c>
      <c r="CC19" s="2769">
        <f t="shared" si="229"/>
        <v>42.056755710488559</v>
      </c>
      <c r="CD19" s="2769">
        <f t="shared" si="230"/>
        <v>0</v>
      </c>
      <c r="CE19" s="2769">
        <f t="shared" si="231"/>
        <v>44.260624</v>
      </c>
      <c r="CF19" s="2769">
        <f t="shared" si="232"/>
        <v>44.260624</v>
      </c>
      <c r="CG19" s="2769">
        <f t="shared" si="233"/>
        <v>0</v>
      </c>
      <c r="CH19" s="2807">
        <f t="shared" si="234"/>
        <v>52.433</v>
      </c>
      <c r="CI19" s="2807">
        <f t="shared" si="235"/>
        <v>52.433</v>
      </c>
      <c r="CJ19" s="2807">
        <f t="shared" si="236"/>
        <v>0</v>
      </c>
      <c r="CK19" s="2769">
        <f t="shared" si="237"/>
        <v>2.2038682895114405</v>
      </c>
      <c r="CL19" s="2808">
        <f t="shared" si="238"/>
        <v>2.2038682895114405</v>
      </c>
      <c r="CM19" s="2808">
        <f t="shared" si="239"/>
        <v>0</v>
      </c>
      <c r="CN19" s="2767">
        <f t="shared" si="240"/>
        <v>7.0094592850814266</v>
      </c>
      <c r="CO19" s="2767">
        <f t="shared" si="241"/>
        <v>7.0094592850814266</v>
      </c>
      <c r="CP19" s="2767">
        <f t="shared" si="242"/>
        <v>0</v>
      </c>
      <c r="CQ19" s="2767">
        <f t="shared" si="137"/>
        <v>5.2293799999999999</v>
      </c>
      <c r="CR19" s="2806">
        <f>SUM('ПОЛНАЯ СЕБЕСТОИМОСТЬ ВОДА 2023'!AS19)</f>
        <v>5.2293799999999999</v>
      </c>
      <c r="CS19" s="2806">
        <f>SUM('ПОЛНАЯ СЕБЕСТОИМОСТЬ ВОДА 2023'!AT19)</f>
        <v>0</v>
      </c>
      <c r="CT19" s="4391">
        <f t="shared" si="138"/>
        <v>8.7469999999999999</v>
      </c>
      <c r="CU19" s="4392">
        <v>8.7469999999999999</v>
      </c>
      <c r="CV19" s="4392">
        <v>0</v>
      </c>
      <c r="CW19" s="2767">
        <f t="shared" si="243"/>
        <v>7.0094592850814266</v>
      </c>
      <c r="CX19" s="2767">
        <f t="shared" si="244"/>
        <v>7.0094592850814266</v>
      </c>
      <c r="CY19" s="2767">
        <f t="shared" si="245"/>
        <v>0</v>
      </c>
      <c r="CZ19" s="2767">
        <f t="shared" si="142"/>
        <v>0</v>
      </c>
      <c r="DA19" s="2806">
        <f>SUM('ПОЛНАЯ СЕБЕСТОИМОСТЬ ВОДА 2023'!AV19)</f>
        <v>0</v>
      </c>
      <c r="DB19" s="2806">
        <f>SUM('ПОЛНАЯ СЕБЕСТОИМОСТЬ ВОДА 2023'!AW19)</f>
        <v>0</v>
      </c>
      <c r="DC19" s="4391">
        <f t="shared" si="143"/>
        <v>9.8539999999999992</v>
      </c>
      <c r="DD19" s="4392">
        <v>9.8539999999999992</v>
      </c>
      <c r="DE19" s="4392">
        <v>0</v>
      </c>
      <c r="DF19" s="2767">
        <f t="shared" si="246"/>
        <v>7.0094592850814266</v>
      </c>
      <c r="DG19" s="2767">
        <f t="shared" si="247"/>
        <v>7.0094592850814266</v>
      </c>
      <c r="DH19" s="2767">
        <f t="shared" si="248"/>
        <v>0</v>
      </c>
      <c r="DI19" s="2767">
        <f t="shared" si="147"/>
        <v>0</v>
      </c>
      <c r="DJ19" s="2806">
        <f>SUM('ПОЛНАЯ СЕБЕСТОИМОСТЬ ВОДА 2023'!AY19)</f>
        <v>0</v>
      </c>
      <c r="DK19" s="2806">
        <f>SUM('ПОЛНАЯ СЕБЕСТОИМОСТЬ ВОДА 2023'!AZ19)</f>
        <v>0</v>
      </c>
      <c r="DL19" s="4391">
        <f t="shared" si="148"/>
        <v>9.1509999999999998</v>
      </c>
      <c r="DM19" s="4392">
        <v>9.1509999999999998</v>
      </c>
      <c r="DN19" s="4392">
        <v>0</v>
      </c>
      <c r="DO19" s="2769">
        <f t="shared" si="249"/>
        <v>21.02837785524428</v>
      </c>
      <c r="DP19" s="2769">
        <f t="shared" si="250"/>
        <v>21.02837785524428</v>
      </c>
      <c r="DQ19" s="2769">
        <f t="shared" si="251"/>
        <v>0</v>
      </c>
      <c r="DR19" s="2769">
        <f t="shared" si="252"/>
        <v>5.2293799999999999</v>
      </c>
      <c r="DS19" s="2769">
        <f t="shared" si="253"/>
        <v>5.2293799999999999</v>
      </c>
      <c r="DT19" s="2769">
        <f t="shared" si="254"/>
        <v>0</v>
      </c>
      <c r="DU19" s="2807">
        <f t="shared" si="255"/>
        <v>27.751999999999999</v>
      </c>
      <c r="DV19" s="2769">
        <f t="shared" si="256"/>
        <v>27.751999999999999</v>
      </c>
      <c r="DW19" s="2769">
        <f t="shared" si="257"/>
        <v>0</v>
      </c>
      <c r="DX19" s="2769">
        <f t="shared" si="258"/>
        <v>-15.798997855244281</v>
      </c>
      <c r="DY19" s="2808">
        <f t="shared" si="259"/>
        <v>-15.798997855244281</v>
      </c>
      <c r="DZ19" s="2808">
        <f t="shared" si="260"/>
        <v>0</v>
      </c>
      <c r="EA19" s="2769">
        <f t="shared" si="261"/>
        <v>63.085133565732839</v>
      </c>
      <c r="EB19" s="2769">
        <f t="shared" si="262"/>
        <v>63.085133565732839</v>
      </c>
      <c r="EC19" s="2769">
        <f t="shared" si="263"/>
        <v>0</v>
      </c>
      <c r="ED19" s="2769">
        <f t="shared" si="264"/>
        <v>49.490003999999999</v>
      </c>
      <c r="EE19" s="2769">
        <f t="shared" si="265"/>
        <v>49.490003999999999</v>
      </c>
      <c r="EF19" s="2769">
        <f t="shared" si="266"/>
        <v>0</v>
      </c>
      <c r="EG19" s="2769">
        <f t="shared" si="267"/>
        <v>80.185000000000002</v>
      </c>
      <c r="EH19" s="2769">
        <f t="shared" si="268"/>
        <v>80.185000000000002</v>
      </c>
      <c r="EI19" s="2769">
        <f t="shared" si="269"/>
        <v>0</v>
      </c>
      <c r="EJ19" s="2769">
        <f t="shared" si="270"/>
        <v>-13.59512956573284</v>
      </c>
      <c r="EK19" s="2808">
        <f t="shared" si="271"/>
        <v>-13.59512956573284</v>
      </c>
      <c r="EL19" s="2808">
        <f t="shared" si="272"/>
        <v>0</v>
      </c>
      <c r="EM19" s="2767">
        <f t="shared" si="273"/>
        <v>7.0094592850814266</v>
      </c>
      <c r="EN19" s="2767">
        <f t="shared" si="274"/>
        <v>7.0094592850814266</v>
      </c>
      <c r="EO19" s="2767">
        <f t="shared" si="275"/>
        <v>0</v>
      </c>
      <c r="EP19" s="2767">
        <f t="shared" si="162"/>
        <v>0</v>
      </c>
      <c r="EQ19" s="2806">
        <f>SUM('ПОЛНАЯ СЕБЕСТОИМОСТЬ ВОДА 2023'!BQ19)</f>
        <v>0</v>
      </c>
      <c r="ER19" s="2806">
        <f>SUM('ПОЛНАЯ СЕБЕСТОИМОСТЬ ВОДА 2023'!BR19)</f>
        <v>0</v>
      </c>
      <c r="ES19" s="4391">
        <f t="shared" si="163"/>
        <v>8.5869999999999997</v>
      </c>
      <c r="ET19" s="4392">
        <v>8.5869999999999997</v>
      </c>
      <c r="EU19" s="4392">
        <v>0</v>
      </c>
      <c r="EV19" s="2767">
        <f t="shared" si="276"/>
        <v>7.0094592850814266</v>
      </c>
      <c r="EW19" s="2767">
        <f t="shared" si="277"/>
        <v>7.0094592850814266</v>
      </c>
      <c r="EX19" s="2767">
        <f t="shared" si="278"/>
        <v>0</v>
      </c>
      <c r="EY19" s="2767">
        <f t="shared" si="167"/>
        <v>0</v>
      </c>
      <c r="EZ19" s="2806">
        <f>SUM('ПОЛНАЯ СЕБЕСТОИМОСТЬ ВОДА 2023'!BT19)</f>
        <v>0</v>
      </c>
      <c r="FA19" s="2806">
        <f>SUM('ПОЛНАЯ СЕБЕСТОИМОСТЬ ВОДА 2023'!BU19)</f>
        <v>0</v>
      </c>
      <c r="FB19" s="4391">
        <f t="shared" si="168"/>
        <v>8.6464400000000001</v>
      </c>
      <c r="FC19" s="4392">
        <v>8.6464400000000001</v>
      </c>
      <c r="FD19" s="4392">
        <v>0</v>
      </c>
      <c r="FE19" s="2767">
        <f t="shared" si="279"/>
        <v>7.0094592850814266</v>
      </c>
      <c r="FF19" s="2767">
        <f t="shared" si="280"/>
        <v>7.0094592850814266</v>
      </c>
      <c r="FG19" s="2767">
        <f t="shared" si="281"/>
        <v>0</v>
      </c>
      <c r="FH19" s="2767">
        <f t="shared" si="172"/>
        <v>0</v>
      </c>
      <c r="FI19" s="2806">
        <f>SUM('ПОЛНАЯ СЕБЕСТОИМОСТЬ ВОДА 2023'!BW19)</f>
        <v>0</v>
      </c>
      <c r="FJ19" s="2806">
        <f>SUM('ПОЛНАЯ СЕБЕСТОИМОСТЬ ВОДА 2023'!BX19)</f>
        <v>0</v>
      </c>
      <c r="FK19" s="4391">
        <f t="shared" si="188"/>
        <v>7.7875810000000003</v>
      </c>
      <c r="FL19" s="4392">
        <v>7.7875810000000003</v>
      </c>
      <c r="FM19" s="4392">
        <v>0</v>
      </c>
      <c r="FN19" s="2769">
        <f t="shared" si="282"/>
        <v>21.02837785524428</v>
      </c>
      <c r="FO19" s="2769">
        <f t="shared" si="283"/>
        <v>21.02837785524428</v>
      </c>
      <c r="FP19" s="2769">
        <f t="shared" si="284"/>
        <v>0</v>
      </c>
      <c r="FQ19" s="2769">
        <f t="shared" si="285"/>
        <v>0</v>
      </c>
      <c r="FR19" s="2769">
        <f t="shared" si="286"/>
        <v>0</v>
      </c>
      <c r="FS19" s="2769">
        <f t="shared" si="287"/>
        <v>0</v>
      </c>
      <c r="FT19" s="2807">
        <f t="shared" si="288"/>
        <v>25.021021000000001</v>
      </c>
      <c r="FU19" s="2807">
        <f t="shared" si="289"/>
        <v>25.021021000000001</v>
      </c>
      <c r="FV19" s="2807">
        <f t="shared" si="290"/>
        <v>0</v>
      </c>
      <c r="FW19" s="2769">
        <f t="shared" si="291"/>
        <v>-21.02837785524428</v>
      </c>
      <c r="FX19" s="2808">
        <f t="shared" si="292"/>
        <v>-21.02837785524428</v>
      </c>
      <c r="FY19" s="2808">
        <f t="shared" si="293"/>
        <v>0</v>
      </c>
      <c r="FZ19" s="4371">
        <f t="shared" si="180"/>
        <v>84.113511420977119</v>
      </c>
      <c r="GA19" s="4371">
        <f>SUM('ПОЛНАЯ СЕБЕСТОИМОСТЬ ВОДА 2023'!CC19)</f>
        <v>84.113511420977119</v>
      </c>
      <c r="GB19" s="4371">
        <f>SUM('ПОЛНАЯ СЕБЕСТОИМОСТЬ ВОДА 2023'!CD19)</f>
        <v>0</v>
      </c>
      <c r="GC19" s="2769">
        <f t="shared" si="294"/>
        <v>49.490003999999999</v>
      </c>
      <c r="GD19" s="2807">
        <f t="shared" si="295"/>
        <v>49.490003999999999</v>
      </c>
      <c r="GE19" s="2807">
        <f t="shared" si="296"/>
        <v>0</v>
      </c>
      <c r="GF19" s="2807">
        <f t="shared" si="297"/>
        <v>105.20602100000001</v>
      </c>
      <c r="GG19" s="2807">
        <f t="shared" si="298"/>
        <v>105.20602100000001</v>
      </c>
      <c r="GH19" s="2807">
        <f t="shared" si="299"/>
        <v>0</v>
      </c>
      <c r="GI19" s="2769">
        <f t="shared" si="300"/>
        <v>-34.62350742097712</v>
      </c>
      <c r="GJ19" s="2808">
        <f t="shared" si="301"/>
        <v>-34.62350742097712</v>
      </c>
      <c r="GK19" s="2808">
        <f t="shared" si="302"/>
        <v>0</v>
      </c>
      <c r="GL19" s="565"/>
      <c r="GM19" s="3576">
        <f t="shared" si="13"/>
        <v>84.113511420977119</v>
      </c>
    </row>
    <row r="20" spans="1:195" ht="18.75" x14ac:dyDescent="0.3">
      <c r="A20" s="2909" t="s">
        <v>3647</v>
      </c>
      <c r="B20" s="2767">
        <f t="shared" si="189"/>
        <v>7.6510030162583718</v>
      </c>
      <c r="C20" s="2767">
        <f t="shared" si="190"/>
        <v>7.6510030162583718</v>
      </c>
      <c r="D20" s="2767">
        <f t="shared" si="191"/>
        <v>0</v>
      </c>
      <c r="E20" s="2767">
        <f t="shared" si="185"/>
        <v>7.8432190000000004</v>
      </c>
      <c r="F20" s="2806">
        <f>SUM('ПОЛНАЯ СЕБЕСТОИМОСТЬ ВОДА 2023'!F20)</f>
        <v>7.8432190000000004</v>
      </c>
      <c r="G20" s="2806">
        <f>SUM('ПОЛНАЯ СЕБЕСТОИМОСТЬ ВОДА 2023'!G20)</f>
        <v>0</v>
      </c>
      <c r="H20" s="4391">
        <f t="shared" si="95"/>
        <v>9.3490000000000002</v>
      </c>
      <c r="I20" s="4392">
        <v>9.3490000000000002</v>
      </c>
      <c r="J20" s="4392">
        <v>0</v>
      </c>
      <c r="K20" s="2767">
        <f t="shared" si="192"/>
        <v>7.6510030162583718</v>
      </c>
      <c r="L20" s="2767">
        <f t="shared" si="193"/>
        <v>7.6510030162583718</v>
      </c>
      <c r="M20" s="2767">
        <f t="shared" si="194"/>
        <v>0</v>
      </c>
      <c r="N20" s="2767">
        <f t="shared" si="98"/>
        <v>9.5414379999999994</v>
      </c>
      <c r="O20" s="2806">
        <f>SUM('ПОЛНАЯ СЕБЕСТОИМОСТЬ ВОДА 2023'!I20)</f>
        <v>9.5414379999999994</v>
      </c>
      <c r="P20" s="2806">
        <f>SUM('ПОЛНАЯ СЕБЕСТОИМОСТЬ ВОДА 2023'!J20)</f>
        <v>0</v>
      </c>
      <c r="Q20" s="4391">
        <f t="shared" si="99"/>
        <v>9.1880000000000006</v>
      </c>
      <c r="R20" s="4392">
        <v>9.1880000000000006</v>
      </c>
      <c r="S20" s="4392">
        <v>0</v>
      </c>
      <c r="T20" s="2767">
        <f t="shared" si="195"/>
        <v>7.6510030162583718</v>
      </c>
      <c r="U20" s="2767">
        <f t="shared" si="196"/>
        <v>7.6510030162583718</v>
      </c>
      <c r="V20" s="2767">
        <f t="shared" si="197"/>
        <v>0</v>
      </c>
      <c r="W20" s="2767">
        <f t="shared" si="102"/>
        <v>8.1983549999999994</v>
      </c>
      <c r="X20" s="2806">
        <f>SUM('ПОЛНАЯ СЕБЕСТОИМОСТЬ ВОДА 2023'!L20)</f>
        <v>8.1983549999999994</v>
      </c>
      <c r="Y20" s="2806">
        <f>SUM('ПОЛНАЯ СЕБЕСТОИМОСТЬ ВОДА 2023'!M20)</f>
        <v>0</v>
      </c>
      <c r="Z20" s="4391">
        <f t="shared" si="103"/>
        <v>8.0820000000000007</v>
      </c>
      <c r="AA20" s="4392">
        <v>8.0820000000000007</v>
      </c>
      <c r="AB20" s="4392">
        <v>0</v>
      </c>
      <c r="AC20" s="2769">
        <f t="shared" si="198"/>
        <v>22.953009048775115</v>
      </c>
      <c r="AD20" s="2769">
        <f t="shared" si="199"/>
        <v>22.953009048775115</v>
      </c>
      <c r="AE20" s="2769">
        <f t="shared" si="200"/>
        <v>0</v>
      </c>
      <c r="AF20" s="2769">
        <f t="shared" si="201"/>
        <v>25.583012</v>
      </c>
      <c r="AG20" s="2769">
        <f t="shared" si="202"/>
        <v>25.583012</v>
      </c>
      <c r="AH20" s="2769">
        <f t="shared" si="203"/>
        <v>0</v>
      </c>
      <c r="AI20" s="2807">
        <f t="shared" si="204"/>
        <v>26.619</v>
      </c>
      <c r="AJ20" s="2807">
        <f t="shared" si="205"/>
        <v>26.619</v>
      </c>
      <c r="AK20" s="2807">
        <f t="shared" si="206"/>
        <v>0</v>
      </c>
      <c r="AL20" s="2769">
        <f t="shared" si="207"/>
        <v>2.6300029512248848</v>
      </c>
      <c r="AM20" s="2769">
        <f t="shared" si="208"/>
        <v>2.6300029512248848</v>
      </c>
      <c r="AN20" s="2769">
        <f t="shared" si="209"/>
        <v>0</v>
      </c>
      <c r="AO20" s="2767">
        <f t="shared" si="210"/>
        <v>7.6510030162583718</v>
      </c>
      <c r="AP20" s="2767">
        <f t="shared" si="211"/>
        <v>7.6510030162583718</v>
      </c>
      <c r="AQ20" s="2767">
        <f t="shared" si="212"/>
        <v>0</v>
      </c>
      <c r="AR20" s="2767">
        <f t="shared" si="113"/>
        <v>9.3781669999999995</v>
      </c>
      <c r="AS20" s="2806">
        <f>SUM('ПОЛНАЯ СЕБЕСТОИМОСТЬ ВОДА 2023'!U20)</f>
        <v>9.3781669999999995</v>
      </c>
      <c r="AT20" s="2806">
        <f>SUM('ПОЛНАЯ СЕБЕСТОИМОСТЬ ВОДА 2023'!V20)</f>
        <v>0</v>
      </c>
      <c r="AU20" s="4391">
        <f t="shared" si="114"/>
        <v>9.9459999999999997</v>
      </c>
      <c r="AV20" s="4392">
        <v>9.9459999999999997</v>
      </c>
      <c r="AW20" s="4392">
        <v>0</v>
      </c>
      <c r="AX20" s="2767">
        <f t="shared" si="213"/>
        <v>7.6510030162583718</v>
      </c>
      <c r="AY20" s="2767">
        <f t="shared" si="214"/>
        <v>7.6510030162583718</v>
      </c>
      <c r="AZ20" s="2767">
        <f t="shared" si="215"/>
        <v>0</v>
      </c>
      <c r="BA20" s="2767">
        <f t="shared" si="117"/>
        <v>7.6428960000000004</v>
      </c>
      <c r="BB20" s="2806">
        <f>SUM('ПОЛНАЯ СЕБЕСТОИМОСТЬ ВОДА 2023'!X20)</f>
        <v>7.6428960000000004</v>
      </c>
      <c r="BC20" s="2806">
        <f>SUM('ПОЛНАЯ СЕБЕСТОИМОСТЬ ВОДА 2023'!Y20)</f>
        <v>0</v>
      </c>
      <c r="BD20" s="4391">
        <f t="shared" si="118"/>
        <v>8.1349999999999998</v>
      </c>
      <c r="BE20" s="4392">
        <v>8.1349999999999998</v>
      </c>
      <c r="BF20" s="4392">
        <v>0</v>
      </c>
      <c r="BG20" s="2767">
        <f t="shared" si="216"/>
        <v>7.6510030162583718</v>
      </c>
      <c r="BH20" s="2767">
        <f t="shared" si="217"/>
        <v>7.6510030162583718</v>
      </c>
      <c r="BI20" s="2767">
        <f t="shared" si="218"/>
        <v>0</v>
      </c>
      <c r="BJ20" s="2767">
        <f t="shared" si="121"/>
        <v>6.4551670000000003</v>
      </c>
      <c r="BK20" s="2806">
        <f>SUM('ПОЛНАЯ СЕБЕСТОИМОСТЬ ВОДА 2023'!AA20)</f>
        <v>6.4551670000000003</v>
      </c>
      <c r="BL20" s="2806">
        <f>SUM('ПОЛНАЯ СЕБЕСТОИМОСТЬ ВОДА 2023'!AB20)</f>
        <v>0</v>
      </c>
      <c r="BM20" s="4391">
        <f t="shared" si="122"/>
        <v>6.6349999999999998</v>
      </c>
      <c r="BN20" s="4392">
        <v>6.6349999999999998</v>
      </c>
      <c r="BO20" s="4392">
        <v>0</v>
      </c>
      <c r="BP20" s="2769">
        <f t="shared" si="219"/>
        <v>22.953009048775115</v>
      </c>
      <c r="BQ20" s="2769">
        <f t="shared" si="220"/>
        <v>22.953009048775115</v>
      </c>
      <c r="BR20" s="2769">
        <f t="shared" si="221"/>
        <v>0</v>
      </c>
      <c r="BS20" s="2769">
        <f t="shared" si="222"/>
        <v>23.476229999999997</v>
      </c>
      <c r="BT20" s="2769">
        <f t="shared" si="223"/>
        <v>23.476229999999997</v>
      </c>
      <c r="BU20" s="2769">
        <f t="shared" si="224"/>
        <v>0</v>
      </c>
      <c r="BV20" s="4552">
        <f t="shared" si="126"/>
        <v>24.716000000000001</v>
      </c>
      <c r="BW20" s="4371">
        <f t="shared" si="126"/>
        <v>24.716000000000001</v>
      </c>
      <c r="BX20" s="4371">
        <f t="shared" si="126"/>
        <v>0</v>
      </c>
      <c r="BY20" s="2769">
        <f t="shared" si="225"/>
        <v>0.52322095122488221</v>
      </c>
      <c r="BZ20" s="2769">
        <f t="shared" si="226"/>
        <v>0.52322095122488221</v>
      </c>
      <c r="CA20" s="2769">
        <f t="shared" si="227"/>
        <v>0</v>
      </c>
      <c r="CB20" s="2769">
        <f t="shared" si="228"/>
        <v>45.906018097550231</v>
      </c>
      <c r="CC20" s="2769">
        <f t="shared" si="229"/>
        <v>45.906018097550231</v>
      </c>
      <c r="CD20" s="2769">
        <f t="shared" si="230"/>
        <v>0</v>
      </c>
      <c r="CE20" s="2769">
        <f t="shared" si="231"/>
        <v>49.059241999999998</v>
      </c>
      <c r="CF20" s="2769">
        <f t="shared" si="232"/>
        <v>49.059241999999998</v>
      </c>
      <c r="CG20" s="2769">
        <f t="shared" si="233"/>
        <v>0</v>
      </c>
      <c r="CH20" s="2807">
        <f t="shared" si="234"/>
        <v>51.335000000000001</v>
      </c>
      <c r="CI20" s="2807">
        <f t="shared" si="235"/>
        <v>51.335000000000001</v>
      </c>
      <c r="CJ20" s="2807">
        <f t="shared" si="236"/>
        <v>0</v>
      </c>
      <c r="CK20" s="2769">
        <f t="shared" si="237"/>
        <v>3.153223902449767</v>
      </c>
      <c r="CL20" s="2808">
        <f t="shared" si="238"/>
        <v>3.153223902449767</v>
      </c>
      <c r="CM20" s="2808">
        <f t="shared" si="239"/>
        <v>0</v>
      </c>
      <c r="CN20" s="2767">
        <f t="shared" si="240"/>
        <v>7.6510030162583718</v>
      </c>
      <c r="CO20" s="2767">
        <f t="shared" si="241"/>
        <v>7.6510030162583718</v>
      </c>
      <c r="CP20" s="2767">
        <f t="shared" si="242"/>
        <v>0</v>
      </c>
      <c r="CQ20" s="2767">
        <f t="shared" si="137"/>
        <v>3.562265</v>
      </c>
      <c r="CR20" s="2806">
        <f>SUM('ПОЛНАЯ СЕБЕСТОИМОСТЬ ВОДА 2023'!AS20)</f>
        <v>3.562265</v>
      </c>
      <c r="CS20" s="2806">
        <f>SUM('ПОЛНАЯ СЕБЕСТОИМОСТЬ ВОДА 2023'!AT20)</f>
        <v>0</v>
      </c>
      <c r="CT20" s="4391">
        <f t="shared" si="138"/>
        <v>4.4450000000000003</v>
      </c>
      <c r="CU20" s="4392">
        <v>4.4450000000000003</v>
      </c>
      <c r="CV20" s="4392">
        <v>0</v>
      </c>
      <c r="CW20" s="2767">
        <f t="shared" si="243"/>
        <v>7.6510030162583718</v>
      </c>
      <c r="CX20" s="2767">
        <f t="shared" si="244"/>
        <v>7.6510030162583718</v>
      </c>
      <c r="CY20" s="2767">
        <f t="shared" si="245"/>
        <v>0</v>
      </c>
      <c r="CZ20" s="2767">
        <f t="shared" si="142"/>
        <v>0</v>
      </c>
      <c r="DA20" s="2806">
        <f>SUM('ПОЛНАЯ СЕБЕСТОИМОСТЬ ВОДА 2023'!AV20)</f>
        <v>0</v>
      </c>
      <c r="DB20" s="2806">
        <f>SUM('ПОЛНАЯ СЕБЕСТОИМОСТЬ ВОДА 2023'!AW20)</f>
        <v>0</v>
      </c>
      <c r="DC20" s="4391">
        <f t="shared" si="143"/>
        <v>3.9</v>
      </c>
      <c r="DD20" s="4392">
        <v>3.9</v>
      </c>
      <c r="DE20" s="4392">
        <v>0</v>
      </c>
      <c r="DF20" s="2767">
        <f t="shared" si="246"/>
        <v>7.6510030162583718</v>
      </c>
      <c r="DG20" s="2767">
        <f t="shared" si="247"/>
        <v>7.6510030162583718</v>
      </c>
      <c r="DH20" s="2767">
        <f t="shared" si="248"/>
        <v>0</v>
      </c>
      <c r="DI20" s="2767">
        <f t="shared" si="147"/>
        <v>0</v>
      </c>
      <c r="DJ20" s="2806">
        <f>SUM('ПОЛНАЯ СЕБЕСТОИМОСТЬ ВОДА 2023'!AY20)</f>
        <v>0</v>
      </c>
      <c r="DK20" s="2806">
        <f>SUM('ПОЛНАЯ СЕБЕСТОИМОСТЬ ВОДА 2023'!AZ20)</f>
        <v>0</v>
      </c>
      <c r="DL20" s="4391">
        <f t="shared" si="148"/>
        <v>7.3259999999999996</v>
      </c>
      <c r="DM20" s="4392">
        <v>7.3259999999999996</v>
      </c>
      <c r="DN20" s="4392">
        <v>0</v>
      </c>
      <c r="DO20" s="2769">
        <f t="shared" si="249"/>
        <v>22.953009048775115</v>
      </c>
      <c r="DP20" s="2769">
        <f t="shared" si="250"/>
        <v>22.953009048775115</v>
      </c>
      <c r="DQ20" s="2769">
        <f t="shared" si="251"/>
        <v>0</v>
      </c>
      <c r="DR20" s="2769">
        <f t="shared" si="252"/>
        <v>3.562265</v>
      </c>
      <c r="DS20" s="2769">
        <f t="shared" si="253"/>
        <v>3.562265</v>
      </c>
      <c r="DT20" s="2769">
        <f t="shared" si="254"/>
        <v>0</v>
      </c>
      <c r="DU20" s="2807">
        <f t="shared" si="255"/>
        <v>15.670999999999999</v>
      </c>
      <c r="DV20" s="2769">
        <f t="shared" si="256"/>
        <v>15.670999999999999</v>
      </c>
      <c r="DW20" s="2769">
        <f t="shared" si="257"/>
        <v>0</v>
      </c>
      <c r="DX20" s="2769">
        <f t="shared" si="258"/>
        <v>-19.390744048775115</v>
      </c>
      <c r="DY20" s="2808">
        <f t="shared" si="259"/>
        <v>-19.390744048775115</v>
      </c>
      <c r="DZ20" s="2808">
        <f t="shared" si="260"/>
        <v>0</v>
      </c>
      <c r="EA20" s="2769">
        <f t="shared" si="261"/>
        <v>68.859027146325346</v>
      </c>
      <c r="EB20" s="2769">
        <f t="shared" si="262"/>
        <v>68.859027146325346</v>
      </c>
      <c r="EC20" s="2769">
        <f t="shared" si="263"/>
        <v>0</v>
      </c>
      <c r="ED20" s="2769">
        <f t="shared" si="264"/>
        <v>52.621506999999994</v>
      </c>
      <c r="EE20" s="2769">
        <f t="shared" si="265"/>
        <v>52.621506999999994</v>
      </c>
      <c r="EF20" s="2769">
        <f t="shared" si="266"/>
        <v>0</v>
      </c>
      <c r="EG20" s="2769">
        <f t="shared" si="267"/>
        <v>67.006</v>
      </c>
      <c r="EH20" s="2769">
        <f t="shared" si="268"/>
        <v>67.006</v>
      </c>
      <c r="EI20" s="2769">
        <f t="shared" si="269"/>
        <v>0</v>
      </c>
      <c r="EJ20" s="2769">
        <f t="shared" si="270"/>
        <v>-16.237520146325352</v>
      </c>
      <c r="EK20" s="2808">
        <f t="shared" si="271"/>
        <v>-16.237520146325352</v>
      </c>
      <c r="EL20" s="2808">
        <f t="shared" si="272"/>
        <v>0</v>
      </c>
      <c r="EM20" s="2767">
        <f t="shared" si="273"/>
        <v>7.6510030162583718</v>
      </c>
      <c r="EN20" s="2767">
        <f t="shared" si="274"/>
        <v>7.6510030162583718</v>
      </c>
      <c r="EO20" s="2767">
        <f t="shared" si="275"/>
        <v>0</v>
      </c>
      <c r="EP20" s="2767">
        <f t="shared" si="162"/>
        <v>0</v>
      </c>
      <c r="EQ20" s="2806">
        <f>SUM('ПОЛНАЯ СЕБЕСТОИМОСТЬ ВОДА 2023'!BQ20)</f>
        <v>0</v>
      </c>
      <c r="ER20" s="2806">
        <f>SUM('ПОЛНАЯ СЕБЕСТОИМОСТЬ ВОДА 2023'!BR20)</f>
        <v>0</v>
      </c>
      <c r="ES20" s="4391">
        <f t="shared" si="163"/>
        <v>9.1649999999999991</v>
      </c>
      <c r="ET20" s="4392">
        <v>9.1649999999999991</v>
      </c>
      <c r="EU20" s="4392">
        <v>0</v>
      </c>
      <c r="EV20" s="2767">
        <f t="shared" si="276"/>
        <v>7.6510030162583718</v>
      </c>
      <c r="EW20" s="2767">
        <f t="shared" si="277"/>
        <v>7.6510030162583718</v>
      </c>
      <c r="EX20" s="2767">
        <f t="shared" si="278"/>
        <v>0</v>
      </c>
      <c r="EY20" s="2767">
        <f t="shared" si="167"/>
        <v>0</v>
      </c>
      <c r="EZ20" s="2806">
        <f>SUM('ПОЛНАЯ СЕБЕСТОИМОСТЬ ВОДА 2023'!BT20)</f>
        <v>0</v>
      </c>
      <c r="FA20" s="2806">
        <f>SUM('ПОЛНАЯ СЕБЕСТОИМОСТЬ ВОДА 2023'!BU20)</f>
        <v>0</v>
      </c>
      <c r="FB20" s="4391">
        <f t="shared" si="168"/>
        <v>9.5851249999999997</v>
      </c>
      <c r="FC20" s="4392">
        <v>9.5851249999999997</v>
      </c>
      <c r="FD20" s="4392">
        <v>0</v>
      </c>
      <c r="FE20" s="2767">
        <f t="shared" si="279"/>
        <v>7.6510030162583718</v>
      </c>
      <c r="FF20" s="2767">
        <f t="shared" si="280"/>
        <v>7.6510030162583718</v>
      </c>
      <c r="FG20" s="2767">
        <f t="shared" si="281"/>
        <v>0</v>
      </c>
      <c r="FH20" s="2767">
        <f t="shared" si="172"/>
        <v>0</v>
      </c>
      <c r="FI20" s="2806">
        <f>SUM('ПОЛНАЯ СЕБЕСТОИМОСТЬ ВОДА 2023'!BW20)</f>
        <v>0</v>
      </c>
      <c r="FJ20" s="2806">
        <f>SUM('ПОЛНАЯ СЕБЕСТОИМОСТЬ ВОДА 2023'!BX20)</f>
        <v>0</v>
      </c>
      <c r="FK20" s="4391">
        <f t="shared" si="188"/>
        <v>12.285151000000001</v>
      </c>
      <c r="FL20" s="4392">
        <v>12.285151000000001</v>
      </c>
      <c r="FM20" s="4392">
        <v>0</v>
      </c>
      <c r="FN20" s="2769">
        <f t="shared" si="282"/>
        <v>22.953009048775115</v>
      </c>
      <c r="FO20" s="2769">
        <f t="shared" si="283"/>
        <v>22.953009048775115</v>
      </c>
      <c r="FP20" s="2769">
        <f t="shared" si="284"/>
        <v>0</v>
      </c>
      <c r="FQ20" s="2769">
        <f t="shared" si="285"/>
        <v>0</v>
      </c>
      <c r="FR20" s="2769">
        <f t="shared" si="286"/>
        <v>0</v>
      </c>
      <c r="FS20" s="2769">
        <f t="shared" si="287"/>
        <v>0</v>
      </c>
      <c r="FT20" s="2807">
        <f t="shared" si="288"/>
        <v>31.035275999999996</v>
      </c>
      <c r="FU20" s="2807">
        <f t="shared" si="289"/>
        <v>31.035275999999996</v>
      </c>
      <c r="FV20" s="2807">
        <f t="shared" si="290"/>
        <v>0</v>
      </c>
      <c r="FW20" s="2769">
        <f t="shared" si="291"/>
        <v>-22.953009048775115</v>
      </c>
      <c r="FX20" s="2808">
        <f t="shared" si="292"/>
        <v>-22.953009048775115</v>
      </c>
      <c r="FY20" s="2808">
        <f t="shared" si="293"/>
        <v>0</v>
      </c>
      <c r="FZ20" s="4371">
        <f t="shared" si="180"/>
        <v>91.812036195100461</v>
      </c>
      <c r="GA20" s="4371">
        <f>SUM('ПОЛНАЯ СЕБЕСТОИМОСТЬ ВОДА 2023'!CC20)</f>
        <v>91.812036195100461</v>
      </c>
      <c r="GB20" s="4371">
        <f>SUM('ПОЛНАЯ СЕБЕСТОИМОСТЬ ВОДА 2023'!CD20)</f>
        <v>0</v>
      </c>
      <c r="GC20" s="2769">
        <f t="shared" si="294"/>
        <v>52.621506999999994</v>
      </c>
      <c r="GD20" s="2807">
        <f t="shared" si="295"/>
        <v>52.621506999999994</v>
      </c>
      <c r="GE20" s="2807">
        <f t="shared" si="296"/>
        <v>0</v>
      </c>
      <c r="GF20" s="2807">
        <f t="shared" si="297"/>
        <v>98.041275999999996</v>
      </c>
      <c r="GG20" s="2807">
        <f t="shared" si="298"/>
        <v>98.041275999999996</v>
      </c>
      <c r="GH20" s="2807">
        <f t="shared" si="299"/>
        <v>0</v>
      </c>
      <c r="GI20" s="2769">
        <f t="shared" si="300"/>
        <v>-39.190529195100467</v>
      </c>
      <c r="GJ20" s="2808">
        <f t="shared" si="301"/>
        <v>-39.190529195100467</v>
      </c>
      <c r="GK20" s="2808">
        <f t="shared" si="302"/>
        <v>0</v>
      </c>
      <c r="GL20" s="565"/>
      <c r="GM20" s="3576">
        <f t="shared" si="13"/>
        <v>91.812036195100461</v>
      </c>
    </row>
    <row r="21" spans="1:195" ht="18.75" x14ac:dyDescent="0.3">
      <c r="A21" s="2800" t="s">
        <v>3690</v>
      </c>
      <c r="B21" s="2756">
        <f>SUM(C21:D21)</f>
        <v>25.833333333333332</v>
      </c>
      <c r="C21" s="2756">
        <f>SUM(C22:C23)</f>
        <v>25.833333333333332</v>
      </c>
      <c r="D21" s="2756">
        <f>SUM(D22:D23)</f>
        <v>0</v>
      </c>
      <c r="E21" s="2756">
        <f>SUM(F21:G21)</f>
        <v>30.148</v>
      </c>
      <c r="F21" s="2756">
        <f t="shared" ref="F21:AX21" si="303">SUM(F22:F23)</f>
        <v>30.148</v>
      </c>
      <c r="G21" s="2756">
        <f t="shared" si="303"/>
        <v>0</v>
      </c>
      <c r="H21" s="4382">
        <f>SUM(I21:J21)</f>
        <v>25.87</v>
      </c>
      <c r="I21" s="4382">
        <v>25.87</v>
      </c>
      <c r="J21" s="4382">
        <v>0</v>
      </c>
      <c r="K21" s="2756">
        <f>SUM(L21:M21)</f>
        <v>25.833333333333332</v>
      </c>
      <c r="L21" s="2756">
        <f>SUM(L22:L23)</f>
        <v>25.833333333333332</v>
      </c>
      <c r="M21" s="2756">
        <f>SUM(M22:M23)</f>
        <v>0</v>
      </c>
      <c r="N21" s="2756">
        <f>SUM(O21:P21)</f>
        <v>31.448</v>
      </c>
      <c r="O21" s="2756">
        <f t="shared" ref="O21:P21" si="304">SUM(O22:O23)</f>
        <v>31.448</v>
      </c>
      <c r="P21" s="2756">
        <f t="shared" si="304"/>
        <v>0</v>
      </c>
      <c r="Q21" s="4382">
        <f>SUM(R21:S21)</f>
        <v>22.689</v>
      </c>
      <c r="R21" s="4385">
        <v>22.689</v>
      </c>
      <c r="S21" s="4382">
        <v>0</v>
      </c>
      <c r="T21" s="2756">
        <f>SUM(U21:V21)</f>
        <v>25.833333333333332</v>
      </c>
      <c r="U21" s="2756">
        <f>SUM(U22:U23)</f>
        <v>25.833333333333332</v>
      </c>
      <c r="V21" s="2756">
        <f>SUM(V22:V23)</f>
        <v>0</v>
      </c>
      <c r="W21" s="2756">
        <f>SUM(X21:Y21)</f>
        <v>24.189</v>
      </c>
      <c r="X21" s="2756">
        <f t="shared" ref="X21:Y21" si="305">SUM(X22:X23)</f>
        <v>24.189</v>
      </c>
      <c r="Y21" s="2756">
        <f t="shared" si="305"/>
        <v>0</v>
      </c>
      <c r="Z21" s="4382">
        <f>SUM(AA21:AB21)</f>
        <v>26.084</v>
      </c>
      <c r="AA21" s="4382">
        <v>26.084</v>
      </c>
      <c r="AB21" s="4382">
        <v>0</v>
      </c>
      <c r="AC21" s="2758">
        <f>SUM(AD21:AE21)</f>
        <v>77.5</v>
      </c>
      <c r="AD21" s="2758">
        <f>SUM(AD22:AD23)</f>
        <v>77.5</v>
      </c>
      <c r="AE21" s="2758">
        <f>SUM(AE22:AE23)</f>
        <v>0</v>
      </c>
      <c r="AF21" s="2758">
        <f>SUM(AG21:AH21)</f>
        <v>85.784999999999997</v>
      </c>
      <c r="AG21" s="2758">
        <f>SUM(AG22:AG23)</f>
        <v>85.784999999999997</v>
      </c>
      <c r="AH21" s="2758">
        <f>SUM(AH22:AH23)</f>
        <v>0</v>
      </c>
      <c r="AI21" s="2798">
        <f t="shared" si="303"/>
        <v>74.643000000000001</v>
      </c>
      <c r="AJ21" s="2798">
        <f t="shared" si="303"/>
        <v>74.643000000000001</v>
      </c>
      <c r="AK21" s="2798">
        <f t="shared" si="303"/>
        <v>0</v>
      </c>
      <c r="AL21" s="2758">
        <f>SUM(AM21:AN21)</f>
        <v>8.2849999999999966</v>
      </c>
      <c r="AM21" s="2758">
        <f>SUM(AM22:AM23)</f>
        <v>8.2849999999999966</v>
      </c>
      <c r="AN21" s="2758">
        <f>SUM(AN22:AN23)</f>
        <v>0</v>
      </c>
      <c r="AO21" s="2756">
        <f>SUM(AP21:AQ21)</f>
        <v>25.833333333333332</v>
      </c>
      <c r="AP21" s="2756">
        <f>SUM(AP22:AP23)</f>
        <v>25.833333333333332</v>
      </c>
      <c r="AQ21" s="2756">
        <f>SUM(AQ22:AQ23)</f>
        <v>0</v>
      </c>
      <c r="AR21" s="2756">
        <f>SUM(AS21:AT21)</f>
        <v>22.238</v>
      </c>
      <c r="AS21" s="2756">
        <f t="shared" ref="AS21:AT21" si="306">SUM(AS22:AS23)</f>
        <v>22.238</v>
      </c>
      <c r="AT21" s="2756">
        <f t="shared" si="306"/>
        <v>0</v>
      </c>
      <c r="AU21" s="4382">
        <f>SUM(AV21:AW21)</f>
        <v>22.780999999999999</v>
      </c>
      <c r="AV21" s="4382">
        <v>22.780999999999999</v>
      </c>
      <c r="AW21" s="4382">
        <v>0</v>
      </c>
      <c r="AX21" s="2797">
        <f t="shared" si="303"/>
        <v>25.833333333333332</v>
      </c>
      <c r="AY21" s="2756">
        <f>SUM(AY22:AY23)</f>
        <v>25.833333333333332</v>
      </c>
      <c r="AZ21" s="2756">
        <f>SUM(AZ22:AZ23)</f>
        <v>0</v>
      </c>
      <c r="BA21" s="2756">
        <f>SUM(BB21:BC21)</f>
        <v>22.254999999999999</v>
      </c>
      <c r="BB21" s="2756">
        <f>SUM(BB22:BB23)</f>
        <v>22.254999999999999</v>
      </c>
      <c r="BC21" s="2756">
        <f>SUM(BC22:BC23)</f>
        <v>0</v>
      </c>
      <c r="BD21" s="4382">
        <f>SUM(BE21:BF21)</f>
        <v>22.77</v>
      </c>
      <c r="BE21" s="4382">
        <v>22.77</v>
      </c>
      <c r="BF21" s="4382">
        <v>0</v>
      </c>
      <c r="BG21" s="2756">
        <f>SUM(BH21:BI21)</f>
        <v>25.833333333333332</v>
      </c>
      <c r="BH21" s="2756">
        <f>SUM(BH22:BH23)</f>
        <v>25.833333333333332</v>
      </c>
      <c r="BI21" s="2756">
        <f>SUM(BI22:BI23)</f>
        <v>0</v>
      </c>
      <c r="BJ21" s="2756">
        <f>SUM(BK21:BL21)</f>
        <v>19.434000000000001</v>
      </c>
      <c r="BK21" s="2756">
        <f t="shared" ref="BK21:BL21" si="307">SUM(BK22:BK23)</f>
        <v>19.434000000000001</v>
      </c>
      <c r="BL21" s="2756">
        <f t="shared" si="307"/>
        <v>0</v>
      </c>
      <c r="BM21" s="4382">
        <f>SUM(BN21:BO21)</f>
        <v>18.193000000000001</v>
      </c>
      <c r="BN21" s="4382">
        <v>18.193000000000001</v>
      </c>
      <c r="BO21" s="4382">
        <v>0</v>
      </c>
      <c r="BP21" s="2758">
        <f>SUM(BQ21:BR21)</f>
        <v>77.5</v>
      </c>
      <c r="BQ21" s="2758">
        <f>SUM(BQ22:BQ23)</f>
        <v>77.5</v>
      </c>
      <c r="BR21" s="2758">
        <f>SUM(BR22:BR23)</f>
        <v>0</v>
      </c>
      <c r="BS21" s="2758">
        <f>SUM(BT21:BU21)</f>
        <v>63.926999999999992</v>
      </c>
      <c r="BT21" s="2758">
        <f>SUM(BT22:BT23)</f>
        <v>63.926999999999992</v>
      </c>
      <c r="BU21" s="2758">
        <f>SUM(BU22:BU23)</f>
        <v>0</v>
      </c>
      <c r="BV21" s="4380">
        <f t="shared" ref="BV21:BX21" si="308">SUM(BV22:BV23)</f>
        <v>63.744</v>
      </c>
      <c r="BW21" s="4379">
        <f t="shared" si="308"/>
        <v>63.744</v>
      </c>
      <c r="BX21" s="4379">
        <f t="shared" si="308"/>
        <v>0</v>
      </c>
      <c r="BY21" s="2758">
        <f>SUM(BZ21:CA21)</f>
        <v>-13.573000000000008</v>
      </c>
      <c r="BZ21" s="2758">
        <f>SUM(BZ22:BZ23)</f>
        <v>-13.573000000000008</v>
      </c>
      <c r="CA21" s="2758">
        <f>SUM(CA22:CA23)</f>
        <v>0</v>
      </c>
      <c r="CB21" s="2758">
        <f>SUM(CC21:CD21)</f>
        <v>155</v>
      </c>
      <c r="CC21" s="2758">
        <f>SUM(CC22:CC23)</f>
        <v>155</v>
      </c>
      <c r="CD21" s="2758">
        <f>SUM(CD22:CD23)</f>
        <v>0</v>
      </c>
      <c r="CE21" s="2758">
        <f>SUM(CF21:CG21)</f>
        <v>149.71199999999999</v>
      </c>
      <c r="CF21" s="2758">
        <f>SUM(CF22:CF23)</f>
        <v>149.71199999999999</v>
      </c>
      <c r="CG21" s="2758">
        <f>SUM(CG22:CG23)</f>
        <v>0</v>
      </c>
      <c r="CH21" s="2798">
        <f t="shared" ref="CH21:GH21" si="309">SUM(CH22:CH23)</f>
        <v>138.387</v>
      </c>
      <c r="CI21" s="2798">
        <f t="shared" si="309"/>
        <v>138.387</v>
      </c>
      <c r="CJ21" s="2798">
        <f t="shared" si="309"/>
        <v>0</v>
      </c>
      <c r="CK21" s="2758">
        <f>SUM(CL21:CM21)</f>
        <v>-5.2880000000000109</v>
      </c>
      <c r="CL21" s="2799">
        <f t="shared" si="3"/>
        <v>-5.2880000000000109</v>
      </c>
      <c r="CM21" s="2799">
        <f t="shared" si="3"/>
        <v>0</v>
      </c>
      <c r="CN21" s="2756">
        <f>SUM(CO21:CP21)</f>
        <v>25.833333333333332</v>
      </c>
      <c r="CO21" s="2756">
        <f>SUM(CO22:CO23)</f>
        <v>25.833333333333332</v>
      </c>
      <c r="CP21" s="2756">
        <f>SUM(CP22:CP23)</f>
        <v>0</v>
      </c>
      <c r="CQ21" s="2756">
        <f>SUM(CR21:CS21)</f>
        <v>12.215</v>
      </c>
      <c r="CR21" s="2756">
        <f t="shared" ref="CR21:CS21" si="310">SUM(CR22:CR23)</f>
        <v>12.215</v>
      </c>
      <c r="CS21" s="2756">
        <f t="shared" si="310"/>
        <v>0</v>
      </c>
      <c r="CT21" s="4382">
        <f>SUM(CU21:CV21)</f>
        <v>14.574999999999999</v>
      </c>
      <c r="CU21" s="4382">
        <v>14.574999999999999</v>
      </c>
      <c r="CV21" s="4382">
        <v>0</v>
      </c>
      <c r="CW21" s="2756">
        <f>SUM(CX21:CY21)</f>
        <v>25.833333333333332</v>
      </c>
      <c r="CX21" s="2756">
        <f>SUM(CX22:CX23)</f>
        <v>25.833333333333332</v>
      </c>
      <c r="CY21" s="2756">
        <f>SUM(CY22:CY23)</f>
        <v>0</v>
      </c>
      <c r="CZ21" s="2756">
        <f>SUM(DA21:DB21)</f>
        <v>0</v>
      </c>
      <c r="DA21" s="2756">
        <f t="shared" ref="DA21:DB21" si="311">SUM(DA22:DA23)</f>
        <v>0</v>
      </c>
      <c r="DB21" s="2756">
        <f t="shared" si="311"/>
        <v>0</v>
      </c>
      <c r="DC21" s="4382">
        <f>SUM(DD21:DE21)</f>
        <v>18.492000000000001</v>
      </c>
      <c r="DD21" s="4382">
        <v>18.492000000000001</v>
      </c>
      <c r="DE21" s="4382">
        <v>0</v>
      </c>
      <c r="DF21" s="2756">
        <f>SUM(DG21:DH21)</f>
        <v>25.833333333333332</v>
      </c>
      <c r="DG21" s="2756">
        <f>SUM(DG22:DG23)</f>
        <v>25.833333333333332</v>
      </c>
      <c r="DH21" s="2756">
        <f>SUM(DH22:DH23)</f>
        <v>0</v>
      </c>
      <c r="DI21" s="2756">
        <f>SUM(DJ21:DK21)</f>
        <v>0</v>
      </c>
      <c r="DJ21" s="2756">
        <f t="shared" ref="DJ21:DK21" si="312">SUM(DJ22:DJ23)</f>
        <v>0</v>
      </c>
      <c r="DK21" s="2756">
        <f t="shared" si="312"/>
        <v>0</v>
      </c>
      <c r="DL21" s="4382">
        <f>SUM(DM21:DN21)</f>
        <v>21.777999999999999</v>
      </c>
      <c r="DM21" s="4382">
        <v>21.777999999999999</v>
      </c>
      <c r="DN21" s="4382">
        <v>0</v>
      </c>
      <c r="DO21" s="2758">
        <f>SUM(DP21:DQ21)</f>
        <v>77.5</v>
      </c>
      <c r="DP21" s="2758">
        <f>SUM(DP22:DP23)</f>
        <v>77.5</v>
      </c>
      <c r="DQ21" s="2758">
        <f>SUM(DQ22:DQ23)</f>
        <v>0</v>
      </c>
      <c r="DR21" s="2758">
        <f>SUM(DS21:DT21)</f>
        <v>12.215</v>
      </c>
      <c r="DS21" s="2758">
        <f>SUM(DS22:DS23)</f>
        <v>12.215</v>
      </c>
      <c r="DT21" s="2758">
        <f>SUM(DT22:DT23)</f>
        <v>0</v>
      </c>
      <c r="DU21" s="2798">
        <f t="shared" ref="DU21:DW21" si="313">SUM(DU22:DU23)</f>
        <v>54.844999999999999</v>
      </c>
      <c r="DV21" s="2758">
        <f t="shared" si="313"/>
        <v>54.844999999999999</v>
      </c>
      <c r="DW21" s="2758">
        <f t="shared" si="313"/>
        <v>0</v>
      </c>
      <c r="DX21" s="2758">
        <f>SUM(DY21:DZ21)</f>
        <v>-65.284999999999997</v>
      </c>
      <c r="DY21" s="2799">
        <f t="shared" si="5"/>
        <v>-65.284999999999997</v>
      </c>
      <c r="DZ21" s="2799">
        <f t="shared" si="5"/>
        <v>0</v>
      </c>
      <c r="EA21" s="2758">
        <f>SUM(EB21:EC21)</f>
        <v>232.5</v>
      </c>
      <c r="EB21" s="2758">
        <f>SUM(EB22:EB23)</f>
        <v>232.5</v>
      </c>
      <c r="EC21" s="2758">
        <f>SUM(EC22:EC23)</f>
        <v>0</v>
      </c>
      <c r="ED21" s="2758">
        <f>SUM(EE21:EF21)</f>
        <v>161.92699999999999</v>
      </c>
      <c r="EE21" s="2758">
        <f>SUM(EE22:EE23)</f>
        <v>161.92699999999999</v>
      </c>
      <c r="EF21" s="2758">
        <f>SUM(EF22:EF23)</f>
        <v>0</v>
      </c>
      <c r="EG21" s="2758">
        <f>SUM(EG22:EG23)</f>
        <v>193.232</v>
      </c>
      <c r="EH21" s="2758">
        <f t="shared" ref="EH21:EI21" si="314">SUM(EH22:EH23)</f>
        <v>193.232</v>
      </c>
      <c r="EI21" s="2758">
        <f t="shared" si="314"/>
        <v>0</v>
      </c>
      <c r="EJ21" s="2758">
        <f>SUM(EK21:EL21)</f>
        <v>-70.573000000000008</v>
      </c>
      <c r="EK21" s="2799">
        <f t="shared" si="7"/>
        <v>-70.573000000000008</v>
      </c>
      <c r="EL21" s="2799">
        <f t="shared" si="7"/>
        <v>0</v>
      </c>
      <c r="EM21" s="2756">
        <f>SUM(EN21:EO21)</f>
        <v>25.833333333333332</v>
      </c>
      <c r="EN21" s="2756">
        <f>SUM(EN22:EN23)</f>
        <v>25.833333333333332</v>
      </c>
      <c r="EO21" s="2756">
        <f>SUM(EO22:EO23)</f>
        <v>0</v>
      </c>
      <c r="EP21" s="2756">
        <f>SUM(EQ21:ER21)</f>
        <v>0</v>
      </c>
      <c r="EQ21" s="2756">
        <f t="shared" ref="EQ21:ER21" si="315">SUM(EQ22:EQ23)</f>
        <v>0</v>
      </c>
      <c r="ER21" s="2756">
        <f t="shared" si="315"/>
        <v>0</v>
      </c>
      <c r="ES21" s="4382">
        <f>SUM(ET21:EU21)</f>
        <v>21.501000000000001</v>
      </c>
      <c r="ET21" s="4382">
        <v>21.501000000000001</v>
      </c>
      <c r="EU21" s="4382">
        <v>0</v>
      </c>
      <c r="EV21" s="2756">
        <f>SUM(EW21:EX21)</f>
        <v>25.833333333333332</v>
      </c>
      <c r="EW21" s="2756">
        <f>SUM(EW22:EW23)</f>
        <v>25.833333333333332</v>
      </c>
      <c r="EX21" s="2756">
        <f>SUM(EX22:EX23)</f>
        <v>0</v>
      </c>
      <c r="EY21" s="2756">
        <f>SUM(EZ21:FA21)</f>
        <v>0</v>
      </c>
      <c r="EZ21" s="2756">
        <f t="shared" ref="EZ21:FA21" si="316">SUM(EZ22:EZ23)</f>
        <v>0</v>
      </c>
      <c r="FA21" s="2756">
        <f t="shared" si="316"/>
        <v>0</v>
      </c>
      <c r="FB21" s="4382">
        <f>SUM(FC21:FD21)</f>
        <v>25.986000000000001</v>
      </c>
      <c r="FC21" s="4385">
        <v>25.986000000000001</v>
      </c>
      <c r="FD21" s="4382">
        <v>0</v>
      </c>
      <c r="FE21" s="2756">
        <f>SUM(FF21:FG21)</f>
        <v>25.833333333333332</v>
      </c>
      <c r="FF21" s="2756">
        <f>SUM(FF22:FF23)</f>
        <v>25.833333333333332</v>
      </c>
      <c r="FG21" s="2756">
        <f>SUM(FG22:FG23)</f>
        <v>0</v>
      </c>
      <c r="FH21" s="2756">
        <f>SUM(FI21:FJ21)</f>
        <v>0</v>
      </c>
      <c r="FI21" s="2756">
        <f t="shared" ref="FI21:FJ21" si="317">SUM(FI22:FI23)</f>
        <v>0</v>
      </c>
      <c r="FJ21" s="2756">
        <f t="shared" si="317"/>
        <v>0</v>
      </c>
      <c r="FK21" s="4382">
        <f>SUM(FL21:FM21)</f>
        <v>27.722000000000001</v>
      </c>
      <c r="FL21" s="4385">
        <v>27.722000000000001</v>
      </c>
      <c r="FM21" s="4382">
        <v>0</v>
      </c>
      <c r="FN21" s="2758">
        <f>SUM(FO21:FP21)</f>
        <v>77.5</v>
      </c>
      <c r="FO21" s="2758">
        <f>SUM(FO22:FO23)</f>
        <v>77.5</v>
      </c>
      <c r="FP21" s="2758">
        <f>SUM(FP22:FP23)</f>
        <v>0</v>
      </c>
      <c r="FQ21" s="2758">
        <f>SUM(FR21:FS21)</f>
        <v>0</v>
      </c>
      <c r="FR21" s="2758">
        <f>SUM(FR22:FR23)</f>
        <v>0</v>
      </c>
      <c r="FS21" s="2758">
        <f>SUM(FS22:FS23)</f>
        <v>0</v>
      </c>
      <c r="FT21" s="2798">
        <f t="shared" ref="FT21:FV21" si="318">SUM(FT22:FT23)</f>
        <v>75.209000000000003</v>
      </c>
      <c r="FU21" s="2798">
        <f t="shared" si="318"/>
        <v>75.209000000000003</v>
      </c>
      <c r="FV21" s="2798">
        <f t="shared" si="318"/>
        <v>0</v>
      </c>
      <c r="FW21" s="2758">
        <f>SUM(FX21:FY21)</f>
        <v>-77.5</v>
      </c>
      <c r="FX21" s="2799">
        <f t="shared" si="9"/>
        <v>-77.5</v>
      </c>
      <c r="FY21" s="2799">
        <f t="shared" si="9"/>
        <v>0</v>
      </c>
      <c r="FZ21" s="4379">
        <f>SUM(GA21:GB21)</f>
        <v>310</v>
      </c>
      <c r="GA21" s="4379">
        <f>SUM(GA22:GA23)</f>
        <v>310</v>
      </c>
      <c r="GB21" s="4379">
        <f>SUM(GB22:GB23)</f>
        <v>0</v>
      </c>
      <c r="GC21" s="2758">
        <f>SUM(GD21:GE21)</f>
        <v>161.92699999999999</v>
      </c>
      <c r="GD21" s="2798">
        <f t="shared" ref="GD21:GE21" si="319">SUM(GD22:GD23)</f>
        <v>161.92699999999999</v>
      </c>
      <c r="GE21" s="2798">
        <f t="shared" si="319"/>
        <v>0</v>
      </c>
      <c r="GF21" s="2798">
        <f t="shared" si="309"/>
        <v>268.44100000000003</v>
      </c>
      <c r="GG21" s="2798">
        <f t="shared" si="309"/>
        <v>268.44100000000003</v>
      </c>
      <c r="GH21" s="2798">
        <f t="shared" si="309"/>
        <v>0</v>
      </c>
      <c r="GI21" s="2758">
        <f>SUM(GJ21:GK21)</f>
        <v>-148.07300000000001</v>
      </c>
      <c r="GJ21" s="2799">
        <f t="shared" si="12"/>
        <v>-148.07300000000001</v>
      </c>
      <c r="GK21" s="2799">
        <f t="shared" si="12"/>
        <v>0</v>
      </c>
      <c r="GL21" s="565"/>
      <c r="GM21" s="3576">
        <f t="shared" si="13"/>
        <v>310</v>
      </c>
    </row>
    <row r="22" spans="1:195" ht="18.75" x14ac:dyDescent="0.3">
      <c r="A22" s="2786" t="s">
        <v>637</v>
      </c>
      <c r="B22" s="2767">
        <f>SUM(C22:D22)</f>
        <v>25.833333333333332</v>
      </c>
      <c r="C22" s="2767">
        <f t="shared" si="93"/>
        <v>25.833333333333332</v>
      </c>
      <c r="D22" s="2767">
        <f t="shared" si="93"/>
        <v>0</v>
      </c>
      <c r="E22" s="2762">
        <f t="shared" ref="E22:E23" si="320">SUM(F22:G22)</f>
        <v>30.148</v>
      </c>
      <c r="F22" s="2801">
        <f>SUM('ПОЛНАЯ СЕБЕСТОИМОСТЬ ВОДА 2023'!F22)</f>
        <v>30.148</v>
      </c>
      <c r="G22" s="2801">
        <f>SUM('ПОЛНАЯ СЕБЕСТОИМОСТЬ ВОДА 2023'!G22)</f>
        <v>0</v>
      </c>
      <c r="H22" s="4394">
        <f>SUM(I22:J22)</f>
        <v>25.87</v>
      </c>
      <c r="I22" s="4395">
        <v>25.87</v>
      </c>
      <c r="J22" s="4395">
        <v>0</v>
      </c>
      <c r="K22" s="2767">
        <f>SUM(L22:M22)</f>
        <v>25.833333333333332</v>
      </c>
      <c r="L22" s="2767">
        <f>SUM(GA22/12)</f>
        <v>25.833333333333332</v>
      </c>
      <c r="M22" s="2767">
        <f>SUM(GB22/12)</f>
        <v>0</v>
      </c>
      <c r="N22" s="2762">
        <f t="shared" ref="N22:N23" si="321">SUM(O22:P22)</f>
        <v>31.448</v>
      </c>
      <c r="O22" s="2801">
        <f>SUM('ПОЛНАЯ СЕБЕСТОИМОСТЬ ВОДА 2023'!I22)</f>
        <v>31.448</v>
      </c>
      <c r="P22" s="2801">
        <f>SUM('ПОЛНАЯ СЕБЕСТОИМОСТЬ ВОДА 2023'!J22)</f>
        <v>0</v>
      </c>
      <c r="Q22" s="4394">
        <f>SUM(R22:S22)</f>
        <v>22.689</v>
      </c>
      <c r="R22" s="4392">
        <v>22.689</v>
      </c>
      <c r="S22" s="4395">
        <v>0</v>
      </c>
      <c r="T22" s="2767">
        <f>SUM(U22:V22)</f>
        <v>25.833333333333332</v>
      </c>
      <c r="U22" s="2767">
        <f>SUM(GA22/12)</f>
        <v>25.833333333333332</v>
      </c>
      <c r="V22" s="2767">
        <f>SUM(GB22/12)</f>
        <v>0</v>
      </c>
      <c r="W22" s="2762">
        <f t="shared" ref="W22:W23" si="322">SUM(X22:Y22)</f>
        <v>24.189</v>
      </c>
      <c r="X22" s="2801">
        <f>SUM('ПОЛНАЯ СЕБЕСТОИМОСТЬ ВОДА 2023'!L22)</f>
        <v>24.189</v>
      </c>
      <c r="Y22" s="2801">
        <f>SUM('ПОЛНАЯ СЕБЕСТОИМОСТЬ ВОДА 2023'!M22)</f>
        <v>0</v>
      </c>
      <c r="Z22" s="4394">
        <f>SUM(AA22:AB22)</f>
        <v>26.084</v>
      </c>
      <c r="AA22" s="4392">
        <v>26.084</v>
      </c>
      <c r="AB22" s="4395">
        <v>0</v>
      </c>
      <c r="AC22" s="2769">
        <f>SUM(AD22:AE22)</f>
        <v>77.5</v>
      </c>
      <c r="AD22" s="2763">
        <f t="shared" ref="AD22:AE23" si="323">SUM(C22+L22+U22)</f>
        <v>77.5</v>
      </c>
      <c r="AE22" s="2763">
        <f t="shared" si="323"/>
        <v>0</v>
      </c>
      <c r="AF22" s="2769">
        <f>SUM(AG22:AH22)</f>
        <v>85.784999999999997</v>
      </c>
      <c r="AG22" s="2763">
        <f t="shared" ref="AG22:AK23" si="324">SUM(F22+O22+X22)</f>
        <v>85.784999999999997</v>
      </c>
      <c r="AH22" s="2763">
        <f t="shared" si="324"/>
        <v>0</v>
      </c>
      <c r="AI22" s="2807">
        <f t="shared" si="324"/>
        <v>74.643000000000001</v>
      </c>
      <c r="AJ22" s="2807">
        <f t="shared" si="324"/>
        <v>74.643000000000001</v>
      </c>
      <c r="AK22" s="2807">
        <f t="shared" si="324"/>
        <v>0</v>
      </c>
      <c r="AL22" s="2769">
        <f>SUM(AM22:AN22)</f>
        <v>8.2849999999999966</v>
      </c>
      <c r="AM22" s="2763">
        <f t="shared" ref="AM22:AN23" si="325">SUM(AG22-AD22)</f>
        <v>8.2849999999999966</v>
      </c>
      <c r="AN22" s="2763">
        <f t="shared" si="325"/>
        <v>0</v>
      </c>
      <c r="AO22" s="2767">
        <f>SUM(AP22:AQ22)</f>
        <v>25.833333333333332</v>
      </c>
      <c r="AP22" s="2767">
        <f>SUM(GA22/12)</f>
        <v>25.833333333333332</v>
      </c>
      <c r="AQ22" s="2767">
        <f>SUM(GB22/12)</f>
        <v>0</v>
      </c>
      <c r="AR22" s="2762">
        <f t="shared" ref="AR22:AR23" si="326">SUM(AS22:AT22)</f>
        <v>22.238</v>
      </c>
      <c r="AS22" s="2801">
        <f>SUM('ПОЛНАЯ СЕБЕСТОИМОСТЬ ВОДА 2023'!U22)</f>
        <v>22.238</v>
      </c>
      <c r="AT22" s="2801">
        <f>SUM('ПОЛНАЯ СЕБЕСТОИМОСТЬ ВОДА 2023'!V22)</f>
        <v>0</v>
      </c>
      <c r="AU22" s="4394">
        <f>SUM(AV22:AW22)</f>
        <v>22.780999999999999</v>
      </c>
      <c r="AV22" s="4395">
        <v>22.780999999999999</v>
      </c>
      <c r="AW22" s="4395">
        <v>0</v>
      </c>
      <c r="AX22" s="2767">
        <f>SUM(AY22:AZ22)</f>
        <v>25.833333333333332</v>
      </c>
      <c r="AY22" s="2767">
        <f>SUM(GA22/12)</f>
        <v>25.833333333333332</v>
      </c>
      <c r="AZ22" s="2767">
        <f>SUM(GB22/12)</f>
        <v>0</v>
      </c>
      <c r="BA22" s="2762">
        <f t="shared" ref="BA22:BA23" si="327">SUM(BB22:BC22)</f>
        <v>22.254999999999999</v>
      </c>
      <c r="BB22" s="2801">
        <f>SUM('ПОЛНАЯ СЕБЕСТОИМОСТЬ ВОДА 2023'!X22)</f>
        <v>22.254999999999999</v>
      </c>
      <c r="BC22" s="2801">
        <f>SUM('ПОЛНАЯ СЕБЕСТОИМОСТЬ ВОДА 2023'!Y22)</f>
        <v>0</v>
      </c>
      <c r="BD22" s="4394">
        <f>SUM(BE22:BF22)</f>
        <v>22.77</v>
      </c>
      <c r="BE22" s="4395">
        <v>22.77</v>
      </c>
      <c r="BF22" s="4395">
        <v>0</v>
      </c>
      <c r="BG22" s="2767">
        <f>SUM(BH22:BI22)</f>
        <v>25.833333333333332</v>
      </c>
      <c r="BH22" s="2767">
        <f>SUM(GA22/12)</f>
        <v>25.833333333333332</v>
      </c>
      <c r="BI22" s="2767">
        <f>SUM(GB22/12)</f>
        <v>0</v>
      </c>
      <c r="BJ22" s="2762">
        <f t="shared" ref="BJ22:BJ23" si="328">SUM(BK22:BL22)</f>
        <v>19.434000000000001</v>
      </c>
      <c r="BK22" s="2801">
        <f>SUM('ПОЛНАЯ СЕБЕСТОИМОСТЬ ВОДА 2023'!AA22)</f>
        <v>19.434000000000001</v>
      </c>
      <c r="BL22" s="2801">
        <f>SUM('ПОЛНАЯ СЕБЕСТОИМОСТЬ ВОДА 2023'!AB22)</f>
        <v>0</v>
      </c>
      <c r="BM22" s="4394">
        <f>SUM(BN22:BO22)</f>
        <v>18.193000000000001</v>
      </c>
      <c r="BN22" s="4395">
        <v>18.193000000000001</v>
      </c>
      <c r="BO22" s="4395">
        <v>0</v>
      </c>
      <c r="BP22" s="2769">
        <f>SUM(BQ22:BR22)</f>
        <v>77.5</v>
      </c>
      <c r="BQ22" s="2763">
        <f t="shared" ref="BQ22:BR23" si="329">SUM(AP22+AY22+BH22)</f>
        <v>77.5</v>
      </c>
      <c r="BR22" s="2763">
        <f t="shared" si="329"/>
        <v>0</v>
      </c>
      <c r="BS22" s="2769">
        <f>SUM(BT22:BU22)</f>
        <v>63.926999999999992</v>
      </c>
      <c r="BT22" s="2763">
        <f t="shared" ref="BT22:BX23" si="330">SUM(AS22+BB22+BK22)</f>
        <v>63.926999999999992</v>
      </c>
      <c r="BU22" s="2763">
        <f t="shared" si="330"/>
        <v>0</v>
      </c>
      <c r="BV22" s="4552">
        <f t="shared" si="330"/>
        <v>63.744</v>
      </c>
      <c r="BW22" s="4384">
        <f t="shared" si="330"/>
        <v>63.744</v>
      </c>
      <c r="BX22" s="4384">
        <f t="shared" si="330"/>
        <v>0</v>
      </c>
      <c r="BY22" s="2769">
        <f>SUM(BZ22:CA22)</f>
        <v>-13.573000000000008</v>
      </c>
      <c r="BZ22" s="2763">
        <f t="shared" ref="BZ22:CA23" si="331">SUM(BT22-BQ22)</f>
        <v>-13.573000000000008</v>
      </c>
      <c r="CA22" s="2763">
        <f t="shared" si="331"/>
        <v>0</v>
      </c>
      <c r="CB22" s="2769">
        <f>SUM(CC22:CD22)</f>
        <v>155</v>
      </c>
      <c r="CC22" s="2763">
        <f t="shared" ref="CC22:CD23" si="332">SUM(AD22+BQ22)</f>
        <v>155</v>
      </c>
      <c r="CD22" s="2763">
        <f t="shared" si="332"/>
        <v>0</v>
      </c>
      <c r="CE22" s="2769">
        <f>SUM(CF22:CG22)</f>
        <v>149.71199999999999</v>
      </c>
      <c r="CF22" s="2763">
        <f t="shared" ref="CF22:CG23" si="333">SUM(AG22+BT22)</f>
        <v>149.71199999999999</v>
      </c>
      <c r="CG22" s="2763">
        <f t="shared" si="333"/>
        <v>0</v>
      </c>
      <c r="CH22" s="2807">
        <f>SUM(AI22+BV22)</f>
        <v>138.387</v>
      </c>
      <c r="CI22" s="2807">
        <f t="shared" ref="CI22:CJ23" si="334">SUM(AJ22+BW22)</f>
        <v>138.387</v>
      </c>
      <c r="CJ22" s="2807">
        <f t="shared" si="334"/>
        <v>0</v>
      </c>
      <c r="CK22" s="2769">
        <f>SUM(CL22:CM22)</f>
        <v>-5.2880000000000109</v>
      </c>
      <c r="CL22" s="2808">
        <f t="shared" si="3"/>
        <v>-5.2880000000000109</v>
      </c>
      <c r="CM22" s="2808">
        <f t="shared" si="3"/>
        <v>0</v>
      </c>
      <c r="CN22" s="2767">
        <f>SUM(CO22:CP22)</f>
        <v>25.833333333333332</v>
      </c>
      <c r="CO22" s="2762">
        <f t="shared" ref="CO22:CO23" si="335">SUM(GA22/12)</f>
        <v>25.833333333333332</v>
      </c>
      <c r="CP22" s="2762">
        <f t="shared" ref="CP22:CP23" si="336">SUM(GB22/12)</f>
        <v>0</v>
      </c>
      <c r="CQ22" s="2762">
        <f t="shared" ref="CQ22:CQ23" si="337">SUM(CR22:CS22)</f>
        <v>12.215</v>
      </c>
      <c r="CR22" s="2801">
        <f>SUM('ПОЛНАЯ СЕБЕСТОИМОСТЬ ВОДА 2023'!AS22)</f>
        <v>12.215</v>
      </c>
      <c r="CS22" s="2801">
        <f>SUM('ПОЛНАЯ СЕБЕСТОИМОСТЬ ВОДА 2023'!AT22)</f>
        <v>0</v>
      </c>
      <c r="CT22" s="4394">
        <f>SUM(CU22:CV22)</f>
        <v>14.574999999999999</v>
      </c>
      <c r="CU22" s="4395">
        <v>14.574999999999999</v>
      </c>
      <c r="CV22" s="4395">
        <v>0</v>
      </c>
      <c r="CW22" s="2767">
        <f>SUM(CX22:CY22)</f>
        <v>25.833333333333332</v>
      </c>
      <c r="CX22" s="2762">
        <f t="shared" ref="CX22:CX23" si="338">SUM(GA22/12)</f>
        <v>25.833333333333332</v>
      </c>
      <c r="CY22" s="2762">
        <f t="shared" ref="CY22:CY23" si="339">SUM(GB22/12)</f>
        <v>0</v>
      </c>
      <c r="CZ22" s="2762">
        <f t="shared" ref="CZ22:CZ23" si="340">SUM(DA22:DB22)</f>
        <v>0</v>
      </c>
      <c r="DA22" s="2801">
        <f>SUM('ПОЛНАЯ СЕБЕСТОИМОСТЬ ВОДА 2023'!AV22)</f>
        <v>0</v>
      </c>
      <c r="DB22" s="2801">
        <f>SUM('ПОЛНАЯ СЕБЕСТОИМОСТЬ ВОДА 2023'!AW22)</f>
        <v>0</v>
      </c>
      <c r="DC22" s="4394">
        <f>SUM(DD22:DE22)</f>
        <v>18.492000000000001</v>
      </c>
      <c r="DD22" s="4395">
        <v>18.492000000000001</v>
      </c>
      <c r="DE22" s="4395">
        <v>0</v>
      </c>
      <c r="DF22" s="2767">
        <f>SUM(DG22:DH22)</f>
        <v>25.833333333333332</v>
      </c>
      <c r="DG22" s="2762">
        <f t="shared" si="145"/>
        <v>25.833333333333332</v>
      </c>
      <c r="DH22" s="2762">
        <f t="shared" ref="DH22:DH23" si="341">SUM(GS22/12)</f>
        <v>0</v>
      </c>
      <c r="DI22" s="2762">
        <f t="shared" ref="DI22:DI23" si="342">SUM(DJ22:DK22)</f>
        <v>0</v>
      </c>
      <c r="DJ22" s="2801">
        <f>SUM('ПОЛНАЯ СЕБЕСТОИМОСТЬ ВОДА 2023'!AY22)</f>
        <v>0</v>
      </c>
      <c r="DK22" s="2801">
        <f>SUM('ПОЛНАЯ СЕБЕСТОИМОСТЬ ВОДА 2023'!AZ22)</f>
        <v>0</v>
      </c>
      <c r="DL22" s="4394">
        <f>SUM(DM22:DN22)</f>
        <v>21.777999999999999</v>
      </c>
      <c r="DM22" s="4395">
        <v>21.777999999999999</v>
      </c>
      <c r="DN22" s="4395">
        <v>0</v>
      </c>
      <c r="DO22" s="2769">
        <f>SUM(DP22:DQ22)</f>
        <v>77.5</v>
      </c>
      <c r="DP22" s="2763">
        <f t="shared" ref="DP22:DQ23" si="343">SUM(CO22+CX22+DG22)</f>
        <v>77.5</v>
      </c>
      <c r="DQ22" s="2763">
        <f t="shared" si="343"/>
        <v>0</v>
      </c>
      <c r="DR22" s="2769">
        <f>SUM(DS22:DT22)</f>
        <v>12.215</v>
      </c>
      <c r="DS22" s="2763">
        <f t="shared" ref="DS22:DW23" si="344">SUM(CR22+DA22+DJ22)</f>
        <v>12.215</v>
      </c>
      <c r="DT22" s="2763">
        <f t="shared" si="344"/>
        <v>0</v>
      </c>
      <c r="DU22" s="2807">
        <f t="shared" si="344"/>
        <v>54.844999999999999</v>
      </c>
      <c r="DV22" s="2763">
        <f t="shared" si="344"/>
        <v>54.844999999999999</v>
      </c>
      <c r="DW22" s="2763">
        <f t="shared" si="344"/>
        <v>0</v>
      </c>
      <c r="DX22" s="2769">
        <f>SUM(DY22:DZ22)</f>
        <v>-65.284999999999997</v>
      </c>
      <c r="DY22" s="2808">
        <f t="shared" si="5"/>
        <v>-65.284999999999997</v>
      </c>
      <c r="DZ22" s="2808">
        <f t="shared" si="5"/>
        <v>0</v>
      </c>
      <c r="EA22" s="2769">
        <f>SUM(EB22:EC22)</f>
        <v>232.5</v>
      </c>
      <c r="EB22" s="2763">
        <f t="shared" ref="EB22:EC23" si="345">SUM(CC22+DP22)</f>
        <v>232.5</v>
      </c>
      <c r="EC22" s="2763">
        <f t="shared" si="345"/>
        <v>0</v>
      </c>
      <c r="ED22" s="2769">
        <f>SUM(EE22:EF22)</f>
        <v>161.92699999999999</v>
      </c>
      <c r="EE22" s="2763">
        <f t="shared" ref="EE22:EI23" si="346">SUM(CF22+DS22)</f>
        <v>161.92699999999999</v>
      </c>
      <c r="EF22" s="2763">
        <f t="shared" si="346"/>
        <v>0</v>
      </c>
      <c r="EG22" s="2763">
        <f t="shared" si="346"/>
        <v>193.232</v>
      </c>
      <c r="EH22" s="2763">
        <f t="shared" si="346"/>
        <v>193.232</v>
      </c>
      <c r="EI22" s="2763">
        <f t="shared" si="346"/>
        <v>0</v>
      </c>
      <c r="EJ22" s="2769">
        <f>SUM(EK22:EL22)</f>
        <v>-70.573000000000008</v>
      </c>
      <c r="EK22" s="2808">
        <f t="shared" si="7"/>
        <v>-70.573000000000008</v>
      </c>
      <c r="EL22" s="2808">
        <f t="shared" si="7"/>
        <v>0</v>
      </c>
      <c r="EM22" s="2767">
        <f>SUM(EN22:EO22)</f>
        <v>25.833333333333332</v>
      </c>
      <c r="EN22" s="2762">
        <f t="shared" ref="EN22:EN23" si="347">SUM(GA22/12)</f>
        <v>25.833333333333332</v>
      </c>
      <c r="EO22" s="2762">
        <f t="shared" ref="EO22:EO23" si="348">SUM(GB22/12)</f>
        <v>0</v>
      </c>
      <c r="EP22" s="2762">
        <f t="shared" ref="EP22:EP23" si="349">SUM(EQ22:ER22)</f>
        <v>0</v>
      </c>
      <c r="EQ22" s="2801">
        <f>SUM('ПОЛНАЯ СЕБЕСТОИМОСТЬ ВОДА 2023'!BQ22)</f>
        <v>0</v>
      </c>
      <c r="ER22" s="2801">
        <f>SUM('ПОЛНАЯ СЕБЕСТОИМОСТЬ ВОДА 2023'!BR22)</f>
        <v>0</v>
      </c>
      <c r="ES22" s="4394">
        <f>SUM(ET22:EU22)</f>
        <v>21.501000000000001</v>
      </c>
      <c r="ET22" s="4395">
        <v>21.501000000000001</v>
      </c>
      <c r="EU22" s="4395">
        <v>0</v>
      </c>
      <c r="EV22" s="2767">
        <f>SUM(EW22:EX22)</f>
        <v>25.833333333333332</v>
      </c>
      <c r="EW22" s="2762">
        <f t="shared" ref="EW22:EW23" si="350">SUM(GA22/12)</f>
        <v>25.833333333333332</v>
      </c>
      <c r="EX22" s="2762">
        <f t="shared" ref="EX22:EX23" si="351">SUM(GB22/12)</f>
        <v>0</v>
      </c>
      <c r="EY22" s="2762">
        <f t="shared" ref="EY22:EY23" si="352">SUM(EZ22:FA22)</f>
        <v>0</v>
      </c>
      <c r="EZ22" s="2801">
        <f>SUM('ПОЛНАЯ СЕБЕСТОИМОСТЬ ВОДА 2023'!BT22)</f>
        <v>0</v>
      </c>
      <c r="FA22" s="2801">
        <f>SUM('ПОЛНАЯ СЕБЕСТОИМОСТЬ ВОДА 2023'!BU22)</f>
        <v>0</v>
      </c>
      <c r="FB22" s="4394">
        <f>SUM(FC22:FD22)</f>
        <v>25.986000000000001</v>
      </c>
      <c r="FC22" s="4392">
        <v>25.986000000000001</v>
      </c>
      <c r="FD22" s="4395">
        <v>0</v>
      </c>
      <c r="FE22" s="2767">
        <f>SUM(FF22:FG22)</f>
        <v>25.833333333333332</v>
      </c>
      <c r="FF22" s="2762">
        <f t="shared" ref="FF22:FF23" si="353">SUM(GA22/12)</f>
        <v>25.833333333333332</v>
      </c>
      <c r="FG22" s="2762">
        <f t="shared" ref="FG22:FG23" si="354">SUM(GB22/12)</f>
        <v>0</v>
      </c>
      <c r="FH22" s="2762">
        <f t="shared" ref="FH22:FH23" si="355">SUM(FI22:FJ22)</f>
        <v>0</v>
      </c>
      <c r="FI22" s="2801">
        <f>SUM('ПОЛНАЯ СЕБЕСТОИМОСТЬ ВОДА 2023'!BW22)</f>
        <v>0</v>
      </c>
      <c r="FJ22" s="2801">
        <f>SUM('ПОЛНАЯ СЕБЕСТОИМОСТЬ ВОДА 2023'!BX22)</f>
        <v>0</v>
      </c>
      <c r="FK22" s="4394">
        <f>SUM(FL22:FM22)</f>
        <v>27.722000000000001</v>
      </c>
      <c r="FL22" s="4392">
        <v>27.722000000000001</v>
      </c>
      <c r="FM22" s="4395">
        <v>0</v>
      </c>
      <c r="FN22" s="2769">
        <f>SUM(FO22:FP22)</f>
        <v>77.5</v>
      </c>
      <c r="FO22" s="2763">
        <f t="shared" ref="FO22:FP23" si="356">SUM(EN22+EW22+FF22)</f>
        <v>77.5</v>
      </c>
      <c r="FP22" s="2763">
        <f t="shared" si="356"/>
        <v>0</v>
      </c>
      <c r="FQ22" s="2769">
        <f>SUM(FR22:FS22)</f>
        <v>0</v>
      </c>
      <c r="FR22" s="2763">
        <f t="shared" ref="FR22:FV23" si="357">SUM(EQ22+EZ22+FI22)</f>
        <v>0</v>
      </c>
      <c r="FS22" s="2763">
        <f t="shared" si="357"/>
        <v>0</v>
      </c>
      <c r="FT22" s="2807">
        <f t="shared" si="357"/>
        <v>75.209000000000003</v>
      </c>
      <c r="FU22" s="2807">
        <f t="shared" si="357"/>
        <v>75.209000000000003</v>
      </c>
      <c r="FV22" s="2807">
        <f t="shared" si="357"/>
        <v>0</v>
      </c>
      <c r="FW22" s="2769">
        <f>SUM(FX22:FY22)</f>
        <v>-77.5</v>
      </c>
      <c r="FX22" s="2808">
        <f t="shared" si="9"/>
        <v>-77.5</v>
      </c>
      <c r="FY22" s="2808">
        <f t="shared" si="9"/>
        <v>0</v>
      </c>
      <c r="FZ22" s="4371">
        <f>SUM(GA22:GB22)</f>
        <v>310</v>
      </c>
      <c r="GA22" s="4371">
        <f>SUM('ПОЛНАЯ СЕБЕСТОИМОСТЬ ВОДА 2023'!CC22)</f>
        <v>310</v>
      </c>
      <c r="GB22" s="4371">
        <f>SUM('ПОЛНАЯ СЕБЕСТОИМОСТЬ ВОДА 2023'!CD22)</f>
        <v>0</v>
      </c>
      <c r="GC22" s="2769">
        <f>SUM(GD22:GE22)</f>
        <v>161.92699999999999</v>
      </c>
      <c r="GD22" s="2807">
        <f t="shared" ref="GD22:GE23" si="358">SUM(EE22+FR22)</f>
        <v>161.92699999999999</v>
      </c>
      <c r="GE22" s="2807">
        <f t="shared" si="358"/>
        <v>0</v>
      </c>
      <c r="GF22" s="2807">
        <f>SUM(EG22+FT22)</f>
        <v>268.44100000000003</v>
      </c>
      <c r="GG22" s="2807">
        <f t="shared" ref="GG22:GH23" si="359">SUM(EH22+FU22)</f>
        <v>268.44100000000003</v>
      </c>
      <c r="GH22" s="2807">
        <f t="shared" si="359"/>
        <v>0</v>
      </c>
      <c r="GI22" s="2769">
        <f>SUM(GJ22:GK22)</f>
        <v>-148.07300000000001</v>
      </c>
      <c r="GJ22" s="2808">
        <f t="shared" si="12"/>
        <v>-148.07300000000001</v>
      </c>
      <c r="GK22" s="2808">
        <f t="shared" si="12"/>
        <v>0</v>
      </c>
      <c r="GL22" s="565"/>
      <c r="GM22" s="3576">
        <f t="shared" si="13"/>
        <v>310</v>
      </c>
    </row>
    <row r="23" spans="1:195" ht="18.75" x14ac:dyDescent="0.3">
      <c r="A23" s="2786" t="s">
        <v>638</v>
      </c>
      <c r="B23" s="2767">
        <f>SUM(C23:D23)</f>
        <v>0</v>
      </c>
      <c r="C23" s="2767">
        <f t="shared" si="93"/>
        <v>0</v>
      </c>
      <c r="D23" s="2767">
        <f t="shared" si="93"/>
        <v>0</v>
      </c>
      <c r="E23" s="2762">
        <f t="shared" si="320"/>
        <v>0</v>
      </c>
      <c r="F23" s="2801">
        <f>SUM('ПОЛНАЯ СЕБЕСТОИМОСТЬ ВОДА 2023'!F23)</f>
        <v>0</v>
      </c>
      <c r="G23" s="2801">
        <f>SUM('ПОЛНАЯ СЕБЕСТОИМОСТЬ ВОДА 2023'!G23)</f>
        <v>0</v>
      </c>
      <c r="H23" s="4394">
        <f>SUM(I23:J23)</f>
        <v>0</v>
      </c>
      <c r="I23" s="4395">
        <v>0</v>
      </c>
      <c r="J23" s="4395">
        <v>0</v>
      </c>
      <c r="K23" s="2767">
        <f>SUM(L23:M23)</f>
        <v>0</v>
      </c>
      <c r="L23" s="2767">
        <f>SUM(GA23/12)</f>
        <v>0</v>
      </c>
      <c r="M23" s="2767">
        <f>SUM(GB23/12)</f>
        <v>0</v>
      </c>
      <c r="N23" s="2762">
        <f t="shared" si="321"/>
        <v>0</v>
      </c>
      <c r="O23" s="2801">
        <f>SUM('ПОЛНАЯ СЕБЕСТОИМОСТЬ ВОДА 2023'!I23)</f>
        <v>0</v>
      </c>
      <c r="P23" s="2801">
        <f>SUM('ПОЛНАЯ СЕБЕСТОИМОСТЬ ВОДА 2023'!J23)</f>
        <v>0</v>
      </c>
      <c r="Q23" s="4394">
        <f>SUM(R23:S23)</f>
        <v>0</v>
      </c>
      <c r="R23" s="4395">
        <v>0</v>
      </c>
      <c r="S23" s="4395">
        <v>0</v>
      </c>
      <c r="T23" s="2767">
        <f>SUM(U23:V23)</f>
        <v>0</v>
      </c>
      <c r="U23" s="2767">
        <f>SUM(GA23/12)</f>
        <v>0</v>
      </c>
      <c r="V23" s="2767">
        <f>SUM(GB23/12)</f>
        <v>0</v>
      </c>
      <c r="W23" s="2762">
        <f t="shared" si="322"/>
        <v>0</v>
      </c>
      <c r="X23" s="2801">
        <f>SUM('ПОЛНАЯ СЕБЕСТОИМОСТЬ ВОДА 2023'!L23)</f>
        <v>0</v>
      </c>
      <c r="Y23" s="2801">
        <f>SUM('ПОЛНАЯ СЕБЕСТОИМОСТЬ ВОДА 2023'!M23)</f>
        <v>0</v>
      </c>
      <c r="Z23" s="4394">
        <f>SUM(AA23:AB23)</f>
        <v>0</v>
      </c>
      <c r="AA23" s="4395">
        <v>0</v>
      </c>
      <c r="AB23" s="4395">
        <v>0</v>
      </c>
      <c r="AC23" s="2769">
        <f>SUM(AD23:AE23)</f>
        <v>0</v>
      </c>
      <c r="AD23" s="2763">
        <f t="shared" si="323"/>
        <v>0</v>
      </c>
      <c r="AE23" s="2763">
        <f t="shared" si="323"/>
        <v>0</v>
      </c>
      <c r="AF23" s="2769">
        <f>SUM(AG23:AH23)</f>
        <v>0</v>
      </c>
      <c r="AG23" s="2763">
        <f t="shared" si="324"/>
        <v>0</v>
      </c>
      <c r="AH23" s="2763">
        <f t="shared" si="324"/>
        <v>0</v>
      </c>
      <c r="AI23" s="2807">
        <f t="shared" si="324"/>
        <v>0</v>
      </c>
      <c r="AJ23" s="2807">
        <f t="shared" si="324"/>
        <v>0</v>
      </c>
      <c r="AK23" s="2807">
        <f t="shared" si="324"/>
        <v>0</v>
      </c>
      <c r="AL23" s="2769">
        <f>SUM(AM23:AN23)</f>
        <v>0</v>
      </c>
      <c r="AM23" s="2763">
        <f t="shared" si="325"/>
        <v>0</v>
      </c>
      <c r="AN23" s="2763">
        <f t="shared" si="325"/>
        <v>0</v>
      </c>
      <c r="AO23" s="2767">
        <f>SUM(AP23:AQ23)</f>
        <v>0</v>
      </c>
      <c r="AP23" s="2767">
        <f>SUM(GA23/12)</f>
        <v>0</v>
      </c>
      <c r="AQ23" s="2767">
        <f>SUM(GB23/12)</f>
        <v>0</v>
      </c>
      <c r="AR23" s="2762">
        <f t="shared" si="326"/>
        <v>0</v>
      </c>
      <c r="AS23" s="2801">
        <f>SUM('ПОЛНАЯ СЕБЕСТОИМОСТЬ ВОДА 2023'!U23)</f>
        <v>0</v>
      </c>
      <c r="AT23" s="2801">
        <f>SUM('ПОЛНАЯ СЕБЕСТОИМОСТЬ ВОДА 2023'!V23)</f>
        <v>0</v>
      </c>
      <c r="AU23" s="4394">
        <f>SUM(AV23:AW23)</f>
        <v>0</v>
      </c>
      <c r="AV23" s="4395">
        <v>0</v>
      </c>
      <c r="AW23" s="4395">
        <v>0</v>
      </c>
      <c r="AX23" s="2767">
        <f>SUM(AY23:AZ23)</f>
        <v>0</v>
      </c>
      <c r="AY23" s="2767">
        <f>SUM(GA23/12)</f>
        <v>0</v>
      </c>
      <c r="AZ23" s="2767">
        <f>SUM(GB23/12)</f>
        <v>0</v>
      </c>
      <c r="BA23" s="2762">
        <f t="shared" si="327"/>
        <v>0</v>
      </c>
      <c r="BB23" s="2801">
        <f>SUM('ПОЛНАЯ СЕБЕСТОИМОСТЬ ВОДА 2023'!X23)</f>
        <v>0</v>
      </c>
      <c r="BC23" s="2801">
        <f>SUM('ПОЛНАЯ СЕБЕСТОИМОСТЬ ВОДА 2023'!Y23)</f>
        <v>0</v>
      </c>
      <c r="BD23" s="4394">
        <f>SUM(BE23:BF23)</f>
        <v>0</v>
      </c>
      <c r="BE23" s="4395">
        <v>0</v>
      </c>
      <c r="BF23" s="4395">
        <v>0</v>
      </c>
      <c r="BG23" s="2767">
        <f>SUM(BH23:BI23)</f>
        <v>0</v>
      </c>
      <c r="BH23" s="2767">
        <f>SUM(GA23/12)</f>
        <v>0</v>
      </c>
      <c r="BI23" s="2767">
        <f>SUM(GB23/12)</f>
        <v>0</v>
      </c>
      <c r="BJ23" s="2762">
        <f t="shared" si="328"/>
        <v>0</v>
      </c>
      <c r="BK23" s="2801">
        <f>SUM('ПОЛНАЯ СЕБЕСТОИМОСТЬ ВОДА 2023'!AA23)</f>
        <v>0</v>
      </c>
      <c r="BL23" s="2801">
        <f>SUM('ПОЛНАЯ СЕБЕСТОИМОСТЬ ВОДА 2023'!AB23)</f>
        <v>0</v>
      </c>
      <c r="BM23" s="4394">
        <f>SUM(BN23:BO23)</f>
        <v>0</v>
      </c>
      <c r="BN23" s="4395">
        <v>0</v>
      </c>
      <c r="BO23" s="4395">
        <v>0</v>
      </c>
      <c r="BP23" s="2769">
        <f>SUM(BQ23:BR23)</f>
        <v>0</v>
      </c>
      <c r="BQ23" s="2763">
        <f t="shared" si="329"/>
        <v>0</v>
      </c>
      <c r="BR23" s="2763">
        <f t="shared" si="329"/>
        <v>0</v>
      </c>
      <c r="BS23" s="2769">
        <f>SUM(BT23:BU23)</f>
        <v>0</v>
      </c>
      <c r="BT23" s="2763">
        <f t="shared" si="330"/>
        <v>0</v>
      </c>
      <c r="BU23" s="2763">
        <f t="shared" si="330"/>
        <v>0</v>
      </c>
      <c r="BV23" s="4552">
        <f t="shared" si="330"/>
        <v>0</v>
      </c>
      <c r="BW23" s="4384">
        <f t="shared" si="330"/>
        <v>0</v>
      </c>
      <c r="BX23" s="4384">
        <f t="shared" si="330"/>
        <v>0</v>
      </c>
      <c r="BY23" s="2769">
        <f>SUM(BZ23:CA23)</f>
        <v>0</v>
      </c>
      <c r="BZ23" s="2763">
        <f t="shared" si="331"/>
        <v>0</v>
      </c>
      <c r="CA23" s="2763">
        <f t="shared" si="331"/>
        <v>0</v>
      </c>
      <c r="CB23" s="2769">
        <f>SUM(CC23:CD23)</f>
        <v>0</v>
      </c>
      <c r="CC23" s="2763">
        <f t="shared" si="332"/>
        <v>0</v>
      </c>
      <c r="CD23" s="2763">
        <f t="shared" si="332"/>
        <v>0</v>
      </c>
      <c r="CE23" s="2769">
        <f>SUM(CF23:CG23)</f>
        <v>0</v>
      </c>
      <c r="CF23" s="2763">
        <f t="shared" si="333"/>
        <v>0</v>
      </c>
      <c r="CG23" s="2763">
        <f t="shared" si="333"/>
        <v>0</v>
      </c>
      <c r="CH23" s="2807">
        <f>SUM(AI23+BV23)</f>
        <v>0</v>
      </c>
      <c r="CI23" s="2807">
        <f t="shared" si="334"/>
        <v>0</v>
      </c>
      <c r="CJ23" s="2807">
        <f t="shared" si="334"/>
        <v>0</v>
      </c>
      <c r="CK23" s="2769">
        <f>SUM(CL23:CM23)</f>
        <v>0</v>
      </c>
      <c r="CL23" s="2808">
        <f t="shared" si="3"/>
        <v>0</v>
      </c>
      <c r="CM23" s="2808">
        <f t="shared" si="3"/>
        <v>0</v>
      </c>
      <c r="CN23" s="2767">
        <f>SUM(CO23:CP23)</f>
        <v>0</v>
      </c>
      <c r="CO23" s="2762">
        <f t="shared" si="335"/>
        <v>0</v>
      </c>
      <c r="CP23" s="2762">
        <f t="shared" si="336"/>
        <v>0</v>
      </c>
      <c r="CQ23" s="2762">
        <f t="shared" si="337"/>
        <v>0</v>
      </c>
      <c r="CR23" s="2801">
        <f>SUM('ПОЛНАЯ СЕБЕСТОИМОСТЬ ВОДА 2023'!AS23)</f>
        <v>0</v>
      </c>
      <c r="CS23" s="2801">
        <f>SUM('ПОЛНАЯ СЕБЕСТОИМОСТЬ ВОДА 2023'!AT23)</f>
        <v>0</v>
      </c>
      <c r="CT23" s="4394">
        <f>SUM(CU23:CV23)</f>
        <v>0</v>
      </c>
      <c r="CU23" s="4395">
        <v>0</v>
      </c>
      <c r="CV23" s="4395">
        <v>0</v>
      </c>
      <c r="CW23" s="2767">
        <f>SUM(CX23:CY23)</f>
        <v>0</v>
      </c>
      <c r="CX23" s="2762">
        <f t="shared" si="338"/>
        <v>0</v>
      </c>
      <c r="CY23" s="2762">
        <f t="shared" si="339"/>
        <v>0</v>
      </c>
      <c r="CZ23" s="2762">
        <f t="shared" si="340"/>
        <v>0</v>
      </c>
      <c r="DA23" s="2801">
        <f>SUM('ПОЛНАЯ СЕБЕСТОИМОСТЬ ВОДА 2023'!AV23)</f>
        <v>0</v>
      </c>
      <c r="DB23" s="2801">
        <f>SUM('ПОЛНАЯ СЕБЕСТОИМОСТЬ ВОДА 2023'!AW23)</f>
        <v>0</v>
      </c>
      <c r="DC23" s="4394">
        <f>SUM(DD23:DE23)</f>
        <v>0</v>
      </c>
      <c r="DD23" s="4395">
        <v>0</v>
      </c>
      <c r="DE23" s="4395">
        <v>0</v>
      </c>
      <c r="DF23" s="2767">
        <f>SUM(DG23:DH23)</f>
        <v>0</v>
      </c>
      <c r="DG23" s="2762">
        <f t="shared" si="145"/>
        <v>0</v>
      </c>
      <c r="DH23" s="2762">
        <f t="shared" si="341"/>
        <v>0</v>
      </c>
      <c r="DI23" s="2762">
        <f t="shared" si="342"/>
        <v>0</v>
      </c>
      <c r="DJ23" s="2801">
        <f>SUM('ПОЛНАЯ СЕБЕСТОИМОСТЬ ВОДА 2023'!AY23)</f>
        <v>0</v>
      </c>
      <c r="DK23" s="2801">
        <f>SUM('ПОЛНАЯ СЕБЕСТОИМОСТЬ ВОДА 2023'!AZ23)</f>
        <v>0</v>
      </c>
      <c r="DL23" s="4394">
        <f>SUM(DM23:DN23)</f>
        <v>0</v>
      </c>
      <c r="DM23" s="4395">
        <v>0</v>
      </c>
      <c r="DN23" s="4395">
        <v>0</v>
      </c>
      <c r="DO23" s="2769">
        <f>SUM(DP23:DQ23)</f>
        <v>0</v>
      </c>
      <c r="DP23" s="2763">
        <f t="shared" si="343"/>
        <v>0</v>
      </c>
      <c r="DQ23" s="2763">
        <f t="shared" si="343"/>
        <v>0</v>
      </c>
      <c r="DR23" s="2769">
        <f>SUM(DS23:DT23)</f>
        <v>0</v>
      </c>
      <c r="DS23" s="2763">
        <f t="shared" si="344"/>
        <v>0</v>
      </c>
      <c r="DT23" s="2763">
        <f t="shared" si="344"/>
        <v>0</v>
      </c>
      <c r="DU23" s="2807">
        <f t="shared" si="344"/>
        <v>0</v>
      </c>
      <c r="DV23" s="2763">
        <f t="shared" si="344"/>
        <v>0</v>
      </c>
      <c r="DW23" s="2763">
        <f t="shared" si="344"/>
        <v>0</v>
      </c>
      <c r="DX23" s="2769">
        <f>SUM(DY23:DZ23)</f>
        <v>0</v>
      </c>
      <c r="DY23" s="2808">
        <f t="shared" si="5"/>
        <v>0</v>
      </c>
      <c r="DZ23" s="2808">
        <f t="shared" si="5"/>
        <v>0</v>
      </c>
      <c r="EA23" s="2769">
        <f>SUM(EB23:EC23)</f>
        <v>0</v>
      </c>
      <c r="EB23" s="2763">
        <f t="shared" si="345"/>
        <v>0</v>
      </c>
      <c r="EC23" s="2763">
        <f t="shared" si="345"/>
        <v>0</v>
      </c>
      <c r="ED23" s="2769">
        <f>SUM(EE23:EF23)</f>
        <v>0</v>
      </c>
      <c r="EE23" s="2763">
        <f t="shared" si="346"/>
        <v>0</v>
      </c>
      <c r="EF23" s="2763">
        <f t="shared" si="346"/>
        <v>0</v>
      </c>
      <c r="EG23" s="2763">
        <f t="shared" si="346"/>
        <v>0</v>
      </c>
      <c r="EH23" s="2763">
        <f t="shared" si="346"/>
        <v>0</v>
      </c>
      <c r="EI23" s="2763">
        <f t="shared" si="346"/>
        <v>0</v>
      </c>
      <c r="EJ23" s="2769">
        <f>SUM(EK23:EL23)</f>
        <v>0</v>
      </c>
      <c r="EK23" s="2808">
        <f t="shared" si="7"/>
        <v>0</v>
      </c>
      <c r="EL23" s="2808">
        <f t="shared" si="7"/>
        <v>0</v>
      </c>
      <c r="EM23" s="2767">
        <f>SUM(EN23:EO23)</f>
        <v>0</v>
      </c>
      <c r="EN23" s="2762">
        <f t="shared" si="347"/>
        <v>0</v>
      </c>
      <c r="EO23" s="2762">
        <f t="shared" si="348"/>
        <v>0</v>
      </c>
      <c r="EP23" s="2762">
        <f t="shared" si="349"/>
        <v>0</v>
      </c>
      <c r="EQ23" s="2801">
        <f>SUM('ПОЛНАЯ СЕБЕСТОИМОСТЬ ВОДА 2023'!BQ23)</f>
        <v>0</v>
      </c>
      <c r="ER23" s="2801">
        <f>SUM('ПОЛНАЯ СЕБЕСТОИМОСТЬ ВОДА 2023'!BR23)</f>
        <v>0</v>
      </c>
      <c r="ES23" s="4394">
        <f>SUM(ET23:EU23)</f>
        <v>0</v>
      </c>
      <c r="ET23" s="4395">
        <v>0</v>
      </c>
      <c r="EU23" s="4395">
        <v>0</v>
      </c>
      <c r="EV23" s="2767">
        <f>SUM(EW23:EX23)</f>
        <v>0</v>
      </c>
      <c r="EW23" s="2762">
        <f t="shared" si="350"/>
        <v>0</v>
      </c>
      <c r="EX23" s="2762">
        <f t="shared" si="351"/>
        <v>0</v>
      </c>
      <c r="EY23" s="2762">
        <f t="shared" si="352"/>
        <v>0</v>
      </c>
      <c r="EZ23" s="2801">
        <f>SUM('ПОЛНАЯ СЕБЕСТОИМОСТЬ ВОДА 2023'!BT23)</f>
        <v>0</v>
      </c>
      <c r="FA23" s="2801">
        <f>SUM('ПОЛНАЯ СЕБЕСТОИМОСТЬ ВОДА 2023'!BU23)</f>
        <v>0</v>
      </c>
      <c r="FB23" s="4394">
        <f>SUM(FC23:FD23)</f>
        <v>0</v>
      </c>
      <c r="FC23" s="4392">
        <v>0</v>
      </c>
      <c r="FD23" s="4395">
        <v>0</v>
      </c>
      <c r="FE23" s="2767">
        <f>SUM(FF23:FG23)</f>
        <v>0</v>
      </c>
      <c r="FF23" s="2762">
        <f t="shared" si="353"/>
        <v>0</v>
      </c>
      <c r="FG23" s="2762">
        <f t="shared" si="354"/>
        <v>0</v>
      </c>
      <c r="FH23" s="2762">
        <f t="shared" si="355"/>
        <v>0</v>
      </c>
      <c r="FI23" s="2801">
        <f>SUM('ПОЛНАЯ СЕБЕСТОИМОСТЬ ВОДА 2023'!BW23)</f>
        <v>0</v>
      </c>
      <c r="FJ23" s="2801">
        <f>SUM('ПОЛНАЯ СЕБЕСТОИМОСТЬ ВОДА 2023'!BX23)</f>
        <v>0</v>
      </c>
      <c r="FK23" s="4394">
        <f>SUM(FL23:FM23)</f>
        <v>0</v>
      </c>
      <c r="FL23" s="4392">
        <v>0</v>
      </c>
      <c r="FM23" s="4395">
        <v>0</v>
      </c>
      <c r="FN23" s="2769">
        <f>SUM(FO23:FP23)</f>
        <v>0</v>
      </c>
      <c r="FO23" s="2763">
        <f t="shared" si="356"/>
        <v>0</v>
      </c>
      <c r="FP23" s="2763">
        <f t="shared" si="356"/>
        <v>0</v>
      </c>
      <c r="FQ23" s="2769">
        <f>SUM(FR23:FS23)</f>
        <v>0</v>
      </c>
      <c r="FR23" s="2763">
        <f t="shared" si="357"/>
        <v>0</v>
      </c>
      <c r="FS23" s="2763">
        <f t="shared" si="357"/>
        <v>0</v>
      </c>
      <c r="FT23" s="2807">
        <f t="shared" si="357"/>
        <v>0</v>
      </c>
      <c r="FU23" s="2807">
        <f t="shared" si="357"/>
        <v>0</v>
      </c>
      <c r="FV23" s="2807">
        <f t="shared" si="357"/>
        <v>0</v>
      </c>
      <c r="FW23" s="2769">
        <f>SUM(FX23:FY23)</f>
        <v>0</v>
      </c>
      <c r="FX23" s="2808">
        <f t="shared" si="9"/>
        <v>0</v>
      </c>
      <c r="FY23" s="2808">
        <f t="shared" si="9"/>
        <v>0</v>
      </c>
      <c r="FZ23" s="4371">
        <f>SUM(GA23:GB23)</f>
        <v>0</v>
      </c>
      <c r="GA23" s="4371">
        <f>SUM('ПОЛНАЯ СЕБЕСТОИМОСТЬ ВОДА 2023'!CC23)</f>
        <v>0</v>
      </c>
      <c r="GB23" s="4371">
        <f>SUM('ПОЛНАЯ СЕБЕСТОИМОСТЬ ВОДА 2023'!CD23)</f>
        <v>0</v>
      </c>
      <c r="GC23" s="2769">
        <f>SUM(GD23:GE23)</f>
        <v>0</v>
      </c>
      <c r="GD23" s="2807">
        <f t="shared" si="358"/>
        <v>0</v>
      </c>
      <c r="GE23" s="2807">
        <f t="shared" si="358"/>
        <v>0</v>
      </c>
      <c r="GF23" s="2809">
        <f>SUM(EG23+FT23)</f>
        <v>0</v>
      </c>
      <c r="GG23" s="2809">
        <f t="shared" si="359"/>
        <v>0</v>
      </c>
      <c r="GH23" s="2809">
        <f t="shared" si="359"/>
        <v>0</v>
      </c>
      <c r="GI23" s="2769">
        <f>SUM(GJ23:GK23)</f>
        <v>0</v>
      </c>
      <c r="GJ23" s="2808">
        <f t="shared" si="12"/>
        <v>0</v>
      </c>
      <c r="GK23" s="2808">
        <f t="shared" si="12"/>
        <v>0</v>
      </c>
      <c r="GL23" s="565"/>
      <c r="GM23" s="3576">
        <f t="shared" si="13"/>
        <v>0</v>
      </c>
    </row>
    <row r="24" spans="1:195" ht="18.75" x14ac:dyDescent="0.3">
      <c r="A24" s="2793" t="s">
        <v>3739</v>
      </c>
      <c r="B24" s="2794"/>
      <c r="C24" s="2794"/>
      <c r="D24" s="2794"/>
      <c r="E24" s="2794"/>
      <c r="F24" s="2794"/>
      <c r="G24" s="2794"/>
      <c r="H24" s="2794"/>
      <c r="I24" s="2794"/>
      <c r="J24" s="2794"/>
      <c r="K24" s="2794"/>
      <c r="L24" s="2794"/>
      <c r="M24" s="2794"/>
      <c r="N24" s="2794"/>
      <c r="O24" s="2794"/>
      <c r="P24" s="2794"/>
      <c r="Q24" s="2794"/>
      <c r="R24" s="2794"/>
      <c r="S24" s="2794"/>
      <c r="T24" s="2794"/>
      <c r="U24" s="2794"/>
      <c r="V24" s="2794"/>
      <c r="W24" s="2794"/>
      <c r="X24" s="2794"/>
      <c r="Y24" s="2794"/>
      <c r="Z24" s="2794"/>
      <c r="AA24" s="2794"/>
      <c r="AB24" s="2794"/>
      <c r="AC24" s="2794"/>
      <c r="AD24" s="2794"/>
      <c r="AE24" s="2794"/>
      <c r="AF24" s="2794"/>
      <c r="AG24" s="2794"/>
      <c r="AH24" s="2794"/>
      <c r="AI24" s="2794"/>
      <c r="AJ24" s="2794"/>
      <c r="AK24" s="2794"/>
      <c r="AL24" s="2794"/>
      <c r="AM24" s="2794"/>
      <c r="AN24" s="2794"/>
      <c r="AO24" s="2794"/>
      <c r="AP24" s="2794"/>
      <c r="AQ24" s="2794"/>
      <c r="AR24" s="2794"/>
      <c r="AS24" s="2794"/>
      <c r="AT24" s="2794"/>
      <c r="AU24" s="2794"/>
      <c r="AV24" s="2794"/>
      <c r="AW24" s="2794"/>
      <c r="AX24" s="2794"/>
      <c r="AY24" s="2794"/>
      <c r="AZ24" s="2794"/>
      <c r="BA24" s="2794"/>
      <c r="BB24" s="2794"/>
      <c r="BC24" s="2794"/>
      <c r="BD24" s="2794"/>
      <c r="BE24" s="2794"/>
      <c r="BF24" s="2794"/>
      <c r="BG24" s="2794"/>
      <c r="BH24" s="2794"/>
      <c r="BI24" s="2794"/>
      <c r="BJ24" s="2794"/>
      <c r="BK24" s="2794"/>
      <c r="BL24" s="2794"/>
      <c r="BM24" s="2794"/>
      <c r="BN24" s="2794"/>
      <c r="BO24" s="2794"/>
      <c r="BP24" s="2794"/>
      <c r="BQ24" s="2794"/>
      <c r="BR24" s="2794"/>
      <c r="BS24" s="2794"/>
      <c r="BT24" s="2794"/>
      <c r="BU24" s="2794"/>
      <c r="BV24" s="2794"/>
      <c r="BW24" s="2794"/>
      <c r="BX24" s="2794"/>
      <c r="BY24" s="2794"/>
      <c r="BZ24" s="2794"/>
      <c r="CA24" s="2794"/>
      <c r="CB24" s="2794"/>
      <c r="CC24" s="2794"/>
      <c r="CD24" s="2794"/>
      <c r="CE24" s="2794"/>
      <c r="CF24" s="2794"/>
      <c r="CG24" s="2794"/>
      <c r="CH24" s="2794"/>
      <c r="CI24" s="2794"/>
      <c r="CJ24" s="2794"/>
      <c r="CK24" s="2794"/>
      <c r="CL24" s="2794"/>
      <c r="CM24" s="2794"/>
      <c r="CN24" s="2794"/>
      <c r="CO24" s="2794"/>
      <c r="CP24" s="2794"/>
      <c r="CQ24" s="2794"/>
      <c r="CR24" s="2794"/>
      <c r="CS24" s="2794"/>
      <c r="CT24" s="2794"/>
      <c r="CU24" s="2794"/>
      <c r="CV24" s="2794"/>
      <c r="CW24" s="2794"/>
      <c r="CX24" s="2794"/>
      <c r="CY24" s="2794"/>
      <c r="CZ24" s="2794"/>
      <c r="DA24" s="2794"/>
      <c r="DB24" s="2794"/>
      <c r="DC24" s="2794"/>
      <c r="DD24" s="2794"/>
      <c r="DE24" s="2794"/>
      <c r="DF24" s="2794"/>
      <c r="DG24" s="2794"/>
      <c r="DH24" s="2794"/>
      <c r="DI24" s="2794"/>
      <c r="DJ24" s="2794"/>
      <c r="DK24" s="2794"/>
      <c r="DL24" s="2794"/>
      <c r="DM24" s="2794"/>
      <c r="DN24" s="2794"/>
      <c r="DO24" s="2794"/>
      <c r="DP24" s="2794"/>
      <c r="DQ24" s="2794"/>
      <c r="DR24" s="2794"/>
      <c r="DS24" s="2794"/>
      <c r="DT24" s="2794"/>
      <c r="DU24" s="2794"/>
      <c r="DV24" s="2794"/>
      <c r="DW24" s="2794"/>
      <c r="DX24" s="2794"/>
      <c r="DY24" s="2794"/>
      <c r="DZ24" s="2794"/>
      <c r="EA24" s="2794"/>
      <c r="EB24" s="2794"/>
      <c r="EC24" s="2794"/>
      <c r="ED24" s="2794"/>
      <c r="EE24" s="2794"/>
      <c r="EF24" s="2794"/>
      <c r="EG24" s="2794"/>
      <c r="EH24" s="2794"/>
      <c r="EI24" s="2794"/>
      <c r="EJ24" s="2794"/>
      <c r="EK24" s="2794"/>
      <c r="EL24" s="2794"/>
      <c r="EM24" s="2794"/>
      <c r="EN24" s="2794"/>
      <c r="EO24" s="2794"/>
      <c r="EP24" s="2794"/>
      <c r="EQ24" s="2794"/>
      <c r="ER24" s="2794"/>
      <c r="ES24" s="2794"/>
      <c r="ET24" s="2794"/>
      <c r="EU24" s="2794"/>
      <c r="EV24" s="2794"/>
      <c r="EW24" s="2794"/>
      <c r="EX24" s="2794"/>
      <c r="EY24" s="2794"/>
      <c r="EZ24" s="2794"/>
      <c r="FA24" s="2794"/>
      <c r="FB24" s="2794"/>
      <c r="FC24" s="2794"/>
      <c r="FD24" s="2794"/>
      <c r="FE24" s="2794"/>
      <c r="FF24" s="2794"/>
      <c r="FG24" s="2794"/>
      <c r="FH24" s="2794"/>
      <c r="FI24" s="2794"/>
      <c r="FJ24" s="2794"/>
      <c r="FK24" s="2794"/>
      <c r="FL24" s="2794"/>
      <c r="FM24" s="2794"/>
      <c r="FN24" s="2794"/>
      <c r="FO24" s="2794"/>
      <c r="FP24" s="2794"/>
      <c r="FQ24" s="2794"/>
      <c r="FR24" s="2794"/>
      <c r="FS24" s="2794"/>
      <c r="FT24" s="2794"/>
      <c r="FU24" s="2794"/>
      <c r="FV24" s="2794"/>
      <c r="FW24" s="2794"/>
      <c r="FX24" s="2794"/>
      <c r="FY24" s="2794"/>
      <c r="FZ24" s="2794"/>
      <c r="GA24" s="2794"/>
      <c r="GB24" s="2794"/>
      <c r="GC24" s="2794"/>
      <c r="GD24" s="2794"/>
      <c r="GE24" s="2794"/>
      <c r="GF24" s="2794"/>
      <c r="GG24" s="2794"/>
      <c r="GH24" s="2794"/>
      <c r="GI24" s="2794"/>
      <c r="GJ24" s="2794"/>
      <c r="GK24" s="2795"/>
      <c r="GL24" s="565"/>
    </row>
    <row r="25" spans="1:195" ht="20.25" customHeight="1" x14ac:dyDescent="0.2">
      <c r="A25" s="5358" t="s">
        <v>525</v>
      </c>
      <c r="B25" s="5361" t="s">
        <v>3726</v>
      </c>
      <c r="C25" s="5362"/>
      <c r="D25" s="5362"/>
      <c r="E25" s="5362"/>
      <c r="F25" s="5362"/>
      <c r="G25" s="5362"/>
      <c r="H25" s="5362"/>
      <c r="I25" s="5362"/>
      <c r="J25" s="5363"/>
      <c r="K25" s="5361" t="s">
        <v>3727</v>
      </c>
      <c r="L25" s="5362"/>
      <c r="M25" s="5362"/>
      <c r="N25" s="5362"/>
      <c r="O25" s="5362"/>
      <c r="P25" s="5362"/>
      <c r="Q25" s="5362"/>
      <c r="R25" s="5362"/>
      <c r="S25" s="5363"/>
      <c r="T25" s="5361" t="s">
        <v>3728</v>
      </c>
      <c r="U25" s="5362"/>
      <c r="V25" s="5362"/>
      <c r="W25" s="5362"/>
      <c r="X25" s="5362"/>
      <c r="Y25" s="5362"/>
      <c r="Z25" s="5362"/>
      <c r="AA25" s="5362"/>
      <c r="AB25" s="5363"/>
      <c r="AC25" s="5364" t="s">
        <v>3678</v>
      </c>
      <c r="AD25" s="5365"/>
      <c r="AE25" s="5365"/>
      <c r="AF25" s="5365"/>
      <c r="AG25" s="5365"/>
      <c r="AH25" s="5365"/>
      <c r="AI25" s="5365"/>
      <c r="AJ25" s="5365"/>
      <c r="AK25" s="5365"/>
      <c r="AL25" s="5365"/>
      <c r="AM25" s="5365"/>
      <c r="AN25" s="5366"/>
      <c r="AO25" s="5361" t="s">
        <v>3729</v>
      </c>
      <c r="AP25" s="5362"/>
      <c r="AQ25" s="5362"/>
      <c r="AR25" s="5362"/>
      <c r="AS25" s="5362"/>
      <c r="AT25" s="5362"/>
      <c r="AU25" s="5362"/>
      <c r="AV25" s="5362"/>
      <c r="AW25" s="5363"/>
      <c r="AX25" s="5361" t="s">
        <v>3730</v>
      </c>
      <c r="AY25" s="5362"/>
      <c r="AZ25" s="5362"/>
      <c r="BA25" s="5362"/>
      <c r="BB25" s="5362"/>
      <c r="BC25" s="5362"/>
      <c r="BD25" s="5362"/>
      <c r="BE25" s="5362"/>
      <c r="BF25" s="5363"/>
      <c r="BG25" s="5361" t="s">
        <v>3731</v>
      </c>
      <c r="BH25" s="5362"/>
      <c r="BI25" s="5362"/>
      <c r="BJ25" s="5362"/>
      <c r="BK25" s="5362"/>
      <c r="BL25" s="5362"/>
      <c r="BM25" s="5362"/>
      <c r="BN25" s="5362"/>
      <c r="BO25" s="5363"/>
      <c r="BP25" s="5364" t="s">
        <v>3679</v>
      </c>
      <c r="BQ25" s="5365"/>
      <c r="BR25" s="5365"/>
      <c r="BS25" s="5365"/>
      <c r="BT25" s="5365"/>
      <c r="BU25" s="5365"/>
      <c r="BV25" s="5365"/>
      <c r="BW25" s="5365"/>
      <c r="BX25" s="5365"/>
      <c r="BY25" s="5365"/>
      <c r="BZ25" s="5365"/>
      <c r="CA25" s="5366"/>
      <c r="CB25" s="5364" t="s">
        <v>3680</v>
      </c>
      <c r="CC25" s="5365"/>
      <c r="CD25" s="5365"/>
      <c r="CE25" s="5365"/>
      <c r="CF25" s="5365"/>
      <c r="CG25" s="5365"/>
      <c r="CH25" s="5365"/>
      <c r="CI25" s="5365"/>
      <c r="CJ25" s="5365"/>
      <c r="CK25" s="5365"/>
      <c r="CL25" s="5365"/>
      <c r="CM25" s="5366"/>
      <c r="CN25" s="5361" t="s">
        <v>1357</v>
      </c>
      <c r="CO25" s="5362"/>
      <c r="CP25" s="5362"/>
      <c r="CQ25" s="5362"/>
      <c r="CR25" s="5362"/>
      <c r="CS25" s="5362"/>
      <c r="CT25" s="5362"/>
      <c r="CU25" s="5362"/>
      <c r="CV25" s="5363"/>
      <c r="CW25" s="5361" t="s">
        <v>3732</v>
      </c>
      <c r="CX25" s="5362"/>
      <c r="CY25" s="5362"/>
      <c r="CZ25" s="5362"/>
      <c r="DA25" s="5362"/>
      <c r="DB25" s="5362"/>
      <c r="DC25" s="5362"/>
      <c r="DD25" s="5362"/>
      <c r="DE25" s="5363"/>
      <c r="DF25" s="5361" t="s">
        <v>3733</v>
      </c>
      <c r="DG25" s="5362"/>
      <c r="DH25" s="5362"/>
      <c r="DI25" s="5362"/>
      <c r="DJ25" s="5362"/>
      <c r="DK25" s="5362"/>
      <c r="DL25" s="5362"/>
      <c r="DM25" s="5362"/>
      <c r="DN25" s="5363"/>
      <c r="DO25" s="5364" t="s">
        <v>3681</v>
      </c>
      <c r="DP25" s="5365"/>
      <c r="DQ25" s="5365"/>
      <c r="DR25" s="5365"/>
      <c r="DS25" s="5365"/>
      <c r="DT25" s="5365"/>
      <c r="DU25" s="5365"/>
      <c r="DV25" s="5365"/>
      <c r="DW25" s="5365"/>
      <c r="DX25" s="5365"/>
      <c r="DY25" s="5365"/>
      <c r="DZ25" s="5366"/>
      <c r="EA25" s="5364" t="s">
        <v>3682</v>
      </c>
      <c r="EB25" s="5365"/>
      <c r="EC25" s="5365"/>
      <c r="ED25" s="5365"/>
      <c r="EE25" s="5365"/>
      <c r="EF25" s="5365"/>
      <c r="EG25" s="5365"/>
      <c r="EH25" s="5365"/>
      <c r="EI25" s="5365"/>
      <c r="EJ25" s="5365"/>
      <c r="EK25" s="5365"/>
      <c r="EL25" s="5366"/>
      <c r="EM25" s="5361" t="s">
        <v>3734</v>
      </c>
      <c r="EN25" s="5362"/>
      <c r="EO25" s="5362"/>
      <c r="EP25" s="5362"/>
      <c r="EQ25" s="5362"/>
      <c r="ER25" s="5362"/>
      <c r="ES25" s="5362"/>
      <c r="ET25" s="5362"/>
      <c r="EU25" s="5363"/>
      <c r="EV25" s="5361" t="s">
        <v>3735</v>
      </c>
      <c r="EW25" s="5362"/>
      <c r="EX25" s="5362"/>
      <c r="EY25" s="5362"/>
      <c r="EZ25" s="5362"/>
      <c r="FA25" s="5362"/>
      <c r="FB25" s="5362"/>
      <c r="FC25" s="5362"/>
      <c r="FD25" s="5363"/>
      <c r="FE25" s="5361" t="s">
        <v>3736</v>
      </c>
      <c r="FF25" s="5362"/>
      <c r="FG25" s="5362"/>
      <c r="FH25" s="5362"/>
      <c r="FI25" s="5362"/>
      <c r="FJ25" s="5362"/>
      <c r="FK25" s="5362"/>
      <c r="FL25" s="5362"/>
      <c r="FM25" s="5363"/>
      <c r="FN25" s="5364" t="s">
        <v>3683</v>
      </c>
      <c r="FO25" s="5365"/>
      <c r="FP25" s="5365"/>
      <c r="FQ25" s="5365"/>
      <c r="FR25" s="5365"/>
      <c r="FS25" s="5365"/>
      <c r="FT25" s="5365"/>
      <c r="FU25" s="5365"/>
      <c r="FV25" s="5365"/>
      <c r="FW25" s="5365"/>
      <c r="FX25" s="5365"/>
      <c r="FY25" s="5366"/>
      <c r="FZ25" s="5364" t="s">
        <v>1991</v>
      </c>
      <c r="GA25" s="5365"/>
      <c r="GB25" s="5365"/>
      <c r="GC25" s="5365"/>
      <c r="GD25" s="5365"/>
      <c r="GE25" s="5365"/>
      <c r="GF25" s="5365"/>
      <c r="GG25" s="5365"/>
      <c r="GH25" s="5365"/>
      <c r="GI25" s="5365"/>
      <c r="GJ25" s="5365"/>
      <c r="GK25" s="5366"/>
      <c r="GL25" s="565"/>
    </row>
    <row r="26" spans="1:195" ht="20.25" customHeight="1" x14ac:dyDescent="0.2">
      <c r="A26" s="5359"/>
      <c r="B26" s="5367" t="s">
        <v>3550</v>
      </c>
      <c r="C26" s="5368"/>
      <c r="D26" s="5369"/>
      <c r="E26" s="5367" t="s">
        <v>1674</v>
      </c>
      <c r="F26" s="5368"/>
      <c r="G26" s="5369"/>
      <c r="H26" s="5367" t="s">
        <v>3737</v>
      </c>
      <c r="I26" s="5368"/>
      <c r="J26" s="5369"/>
      <c r="K26" s="5367" t="s">
        <v>3550</v>
      </c>
      <c r="L26" s="5368"/>
      <c r="M26" s="5369"/>
      <c r="N26" s="5367" t="s">
        <v>1674</v>
      </c>
      <c r="O26" s="5368"/>
      <c r="P26" s="5369"/>
      <c r="Q26" s="5367" t="s">
        <v>3737</v>
      </c>
      <c r="R26" s="5368"/>
      <c r="S26" s="5369"/>
      <c r="T26" s="5367" t="s">
        <v>3550</v>
      </c>
      <c r="U26" s="5368"/>
      <c r="V26" s="5369"/>
      <c r="W26" s="5367" t="s">
        <v>1674</v>
      </c>
      <c r="X26" s="5368"/>
      <c r="Y26" s="5369"/>
      <c r="Z26" s="5367" t="s">
        <v>3737</v>
      </c>
      <c r="AA26" s="5368"/>
      <c r="AB26" s="5369"/>
      <c r="AC26" s="5370" t="s">
        <v>3550</v>
      </c>
      <c r="AD26" s="5371"/>
      <c r="AE26" s="5372"/>
      <c r="AF26" s="5370" t="s">
        <v>1674</v>
      </c>
      <c r="AG26" s="5371"/>
      <c r="AH26" s="5372"/>
      <c r="AI26" s="5370" t="s">
        <v>3737</v>
      </c>
      <c r="AJ26" s="5371"/>
      <c r="AK26" s="5372"/>
      <c r="AL26" s="5370" t="s">
        <v>3738</v>
      </c>
      <c r="AM26" s="5371"/>
      <c r="AN26" s="5372"/>
      <c r="AO26" s="5367" t="s">
        <v>3550</v>
      </c>
      <c r="AP26" s="5368"/>
      <c r="AQ26" s="5369"/>
      <c r="AR26" s="5367" t="s">
        <v>1674</v>
      </c>
      <c r="AS26" s="5368"/>
      <c r="AT26" s="5369"/>
      <c r="AU26" s="5367" t="s">
        <v>3737</v>
      </c>
      <c r="AV26" s="5368"/>
      <c r="AW26" s="5369"/>
      <c r="AX26" s="5367" t="s">
        <v>3550</v>
      </c>
      <c r="AY26" s="5368"/>
      <c r="AZ26" s="5369"/>
      <c r="BA26" s="5367" t="s">
        <v>1674</v>
      </c>
      <c r="BB26" s="5368"/>
      <c r="BC26" s="5369"/>
      <c r="BD26" s="5367" t="s">
        <v>3737</v>
      </c>
      <c r="BE26" s="5368"/>
      <c r="BF26" s="5369"/>
      <c r="BG26" s="5367" t="s">
        <v>3550</v>
      </c>
      <c r="BH26" s="5368"/>
      <c r="BI26" s="5369"/>
      <c r="BJ26" s="5367" t="s">
        <v>1674</v>
      </c>
      <c r="BK26" s="5368"/>
      <c r="BL26" s="5369"/>
      <c r="BM26" s="5367" t="s">
        <v>3737</v>
      </c>
      <c r="BN26" s="5368"/>
      <c r="BO26" s="5369"/>
      <c r="BP26" s="5370" t="s">
        <v>3550</v>
      </c>
      <c r="BQ26" s="5371"/>
      <c r="BR26" s="5372"/>
      <c r="BS26" s="5370" t="s">
        <v>1674</v>
      </c>
      <c r="BT26" s="5371"/>
      <c r="BU26" s="5372"/>
      <c r="BV26" s="5370" t="s">
        <v>3737</v>
      </c>
      <c r="BW26" s="5371"/>
      <c r="BX26" s="5372"/>
      <c r="BY26" s="5370" t="s">
        <v>3738</v>
      </c>
      <c r="BZ26" s="5371"/>
      <c r="CA26" s="5372"/>
      <c r="CB26" s="5370" t="s">
        <v>3550</v>
      </c>
      <c r="CC26" s="5371"/>
      <c r="CD26" s="5372"/>
      <c r="CE26" s="5370" t="s">
        <v>1674</v>
      </c>
      <c r="CF26" s="5371"/>
      <c r="CG26" s="5372"/>
      <c r="CH26" s="5370" t="s">
        <v>3737</v>
      </c>
      <c r="CI26" s="5371"/>
      <c r="CJ26" s="5372"/>
      <c r="CK26" s="5370" t="s">
        <v>3738</v>
      </c>
      <c r="CL26" s="5371"/>
      <c r="CM26" s="5372"/>
      <c r="CN26" s="5367" t="s">
        <v>3550</v>
      </c>
      <c r="CO26" s="5368"/>
      <c r="CP26" s="5369"/>
      <c r="CQ26" s="5367" t="s">
        <v>1674</v>
      </c>
      <c r="CR26" s="5368"/>
      <c r="CS26" s="5369"/>
      <c r="CT26" s="5367" t="s">
        <v>3737</v>
      </c>
      <c r="CU26" s="5368"/>
      <c r="CV26" s="5369"/>
      <c r="CW26" s="5367" t="s">
        <v>3550</v>
      </c>
      <c r="CX26" s="5368"/>
      <c r="CY26" s="5369"/>
      <c r="CZ26" s="5367" t="s">
        <v>1674</v>
      </c>
      <c r="DA26" s="5368"/>
      <c r="DB26" s="5369"/>
      <c r="DC26" s="5367" t="s">
        <v>3737</v>
      </c>
      <c r="DD26" s="5368"/>
      <c r="DE26" s="5369"/>
      <c r="DF26" s="5367" t="s">
        <v>3550</v>
      </c>
      <c r="DG26" s="5368"/>
      <c r="DH26" s="5369"/>
      <c r="DI26" s="5367" t="s">
        <v>1674</v>
      </c>
      <c r="DJ26" s="5368"/>
      <c r="DK26" s="5369"/>
      <c r="DL26" s="5367" t="s">
        <v>3737</v>
      </c>
      <c r="DM26" s="5368"/>
      <c r="DN26" s="5369"/>
      <c r="DO26" s="5370" t="s">
        <v>3550</v>
      </c>
      <c r="DP26" s="5371"/>
      <c r="DQ26" s="5372"/>
      <c r="DR26" s="5370" t="s">
        <v>1674</v>
      </c>
      <c r="DS26" s="5371"/>
      <c r="DT26" s="5372"/>
      <c r="DU26" s="5370" t="s">
        <v>3737</v>
      </c>
      <c r="DV26" s="5371"/>
      <c r="DW26" s="5372"/>
      <c r="DX26" s="5370" t="s">
        <v>3738</v>
      </c>
      <c r="DY26" s="5371"/>
      <c r="DZ26" s="5372"/>
      <c r="EA26" s="5370" t="s">
        <v>3550</v>
      </c>
      <c r="EB26" s="5371"/>
      <c r="EC26" s="5372"/>
      <c r="ED26" s="5370" t="s">
        <v>1674</v>
      </c>
      <c r="EE26" s="5371"/>
      <c r="EF26" s="5372"/>
      <c r="EG26" s="5370" t="s">
        <v>3737</v>
      </c>
      <c r="EH26" s="5371"/>
      <c r="EI26" s="5372"/>
      <c r="EJ26" s="5370" t="s">
        <v>3738</v>
      </c>
      <c r="EK26" s="5371"/>
      <c r="EL26" s="5372"/>
      <c r="EM26" s="5367" t="s">
        <v>3550</v>
      </c>
      <c r="EN26" s="5368"/>
      <c r="EO26" s="5369"/>
      <c r="EP26" s="5367" t="s">
        <v>1674</v>
      </c>
      <c r="EQ26" s="5368"/>
      <c r="ER26" s="5369"/>
      <c r="ES26" s="5367" t="s">
        <v>3737</v>
      </c>
      <c r="ET26" s="5368"/>
      <c r="EU26" s="5369"/>
      <c r="EV26" s="5367" t="s">
        <v>3550</v>
      </c>
      <c r="EW26" s="5368"/>
      <c r="EX26" s="5369"/>
      <c r="EY26" s="5367" t="s">
        <v>1674</v>
      </c>
      <c r="EZ26" s="5368"/>
      <c r="FA26" s="5369"/>
      <c r="FB26" s="5367" t="s">
        <v>3737</v>
      </c>
      <c r="FC26" s="5368"/>
      <c r="FD26" s="5369"/>
      <c r="FE26" s="5367" t="s">
        <v>3550</v>
      </c>
      <c r="FF26" s="5368"/>
      <c r="FG26" s="5369"/>
      <c r="FH26" s="5367" t="s">
        <v>1674</v>
      </c>
      <c r="FI26" s="5368"/>
      <c r="FJ26" s="5369"/>
      <c r="FK26" s="5367" t="s">
        <v>3737</v>
      </c>
      <c r="FL26" s="5368"/>
      <c r="FM26" s="5369"/>
      <c r="FN26" s="5370" t="s">
        <v>3550</v>
      </c>
      <c r="FO26" s="5371"/>
      <c r="FP26" s="5372"/>
      <c r="FQ26" s="5370" t="s">
        <v>1674</v>
      </c>
      <c r="FR26" s="5371"/>
      <c r="FS26" s="5372"/>
      <c r="FT26" s="5370" t="s">
        <v>3737</v>
      </c>
      <c r="FU26" s="5371"/>
      <c r="FV26" s="5372"/>
      <c r="FW26" s="5370" t="s">
        <v>3738</v>
      </c>
      <c r="FX26" s="5371"/>
      <c r="FY26" s="5372"/>
      <c r="FZ26" s="5370" t="s">
        <v>3550</v>
      </c>
      <c r="GA26" s="5371"/>
      <c r="GB26" s="5372"/>
      <c r="GC26" s="5370" t="s">
        <v>1674</v>
      </c>
      <c r="GD26" s="5371"/>
      <c r="GE26" s="5372"/>
      <c r="GF26" s="5370" t="s">
        <v>3737</v>
      </c>
      <c r="GG26" s="5371"/>
      <c r="GH26" s="5372"/>
      <c r="GI26" s="5370" t="s">
        <v>3738</v>
      </c>
      <c r="GJ26" s="5371"/>
      <c r="GK26" s="5372"/>
      <c r="GL26" s="565"/>
    </row>
    <row r="27" spans="1:195" ht="25.5" customHeight="1" x14ac:dyDescent="0.2">
      <c r="A27" s="5360"/>
      <c r="B27" s="2753" t="s">
        <v>614</v>
      </c>
      <c r="C27" s="2753" t="s">
        <v>3686</v>
      </c>
      <c r="D27" s="2753" t="s">
        <v>3626</v>
      </c>
      <c r="E27" s="2753" t="s">
        <v>614</v>
      </c>
      <c r="F27" s="2753" t="s">
        <v>3686</v>
      </c>
      <c r="G27" s="2753" t="s">
        <v>3626</v>
      </c>
      <c r="H27" s="2753" t="s">
        <v>614</v>
      </c>
      <c r="I27" s="2753" t="s">
        <v>3686</v>
      </c>
      <c r="J27" s="2753" t="s">
        <v>3626</v>
      </c>
      <c r="K27" s="2753" t="s">
        <v>614</v>
      </c>
      <c r="L27" s="2753" t="s">
        <v>3686</v>
      </c>
      <c r="M27" s="2753" t="s">
        <v>3626</v>
      </c>
      <c r="N27" s="2753" t="s">
        <v>614</v>
      </c>
      <c r="O27" s="2753" t="s">
        <v>3686</v>
      </c>
      <c r="P27" s="2753" t="s">
        <v>3626</v>
      </c>
      <c r="Q27" s="2753" t="s">
        <v>614</v>
      </c>
      <c r="R27" s="2753" t="s">
        <v>3686</v>
      </c>
      <c r="S27" s="2753" t="s">
        <v>3626</v>
      </c>
      <c r="T27" s="2753" t="s">
        <v>614</v>
      </c>
      <c r="U27" s="2753" t="s">
        <v>3686</v>
      </c>
      <c r="V27" s="2753" t="s">
        <v>3626</v>
      </c>
      <c r="W27" s="2753" t="s">
        <v>614</v>
      </c>
      <c r="X27" s="2753" t="s">
        <v>3686</v>
      </c>
      <c r="Y27" s="2753" t="s">
        <v>3626</v>
      </c>
      <c r="Z27" s="2753" t="s">
        <v>614</v>
      </c>
      <c r="AA27" s="2753" t="s">
        <v>3686</v>
      </c>
      <c r="AB27" s="2753" t="s">
        <v>3626</v>
      </c>
      <c r="AC27" s="2754" t="s">
        <v>614</v>
      </c>
      <c r="AD27" s="2754" t="s">
        <v>3686</v>
      </c>
      <c r="AE27" s="2754" t="s">
        <v>3626</v>
      </c>
      <c r="AF27" s="2754" t="s">
        <v>614</v>
      </c>
      <c r="AG27" s="2754" t="s">
        <v>3686</v>
      </c>
      <c r="AH27" s="2754" t="s">
        <v>3626</v>
      </c>
      <c r="AI27" s="2754" t="s">
        <v>614</v>
      </c>
      <c r="AJ27" s="2754" t="s">
        <v>3686</v>
      </c>
      <c r="AK27" s="2754" t="s">
        <v>3626</v>
      </c>
      <c r="AL27" s="2754" t="s">
        <v>614</v>
      </c>
      <c r="AM27" s="2754" t="s">
        <v>3686</v>
      </c>
      <c r="AN27" s="2754" t="s">
        <v>3626</v>
      </c>
      <c r="AO27" s="2753" t="s">
        <v>614</v>
      </c>
      <c r="AP27" s="2753" t="s">
        <v>3686</v>
      </c>
      <c r="AQ27" s="2753" t="s">
        <v>3626</v>
      </c>
      <c r="AR27" s="2753" t="s">
        <v>614</v>
      </c>
      <c r="AS27" s="2753" t="s">
        <v>3686</v>
      </c>
      <c r="AT27" s="2753" t="s">
        <v>3626</v>
      </c>
      <c r="AU27" s="2753" t="s">
        <v>614</v>
      </c>
      <c r="AV27" s="2753" t="s">
        <v>3686</v>
      </c>
      <c r="AW27" s="2753" t="s">
        <v>3626</v>
      </c>
      <c r="AX27" s="2753" t="s">
        <v>614</v>
      </c>
      <c r="AY27" s="2753" t="s">
        <v>3686</v>
      </c>
      <c r="AZ27" s="2753" t="s">
        <v>3626</v>
      </c>
      <c r="BA27" s="2753" t="s">
        <v>614</v>
      </c>
      <c r="BB27" s="2753" t="s">
        <v>3686</v>
      </c>
      <c r="BC27" s="2753" t="s">
        <v>3626</v>
      </c>
      <c r="BD27" s="2753" t="s">
        <v>614</v>
      </c>
      <c r="BE27" s="2753" t="s">
        <v>3686</v>
      </c>
      <c r="BF27" s="2753" t="s">
        <v>3626</v>
      </c>
      <c r="BG27" s="2753" t="s">
        <v>614</v>
      </c>
      <c r="BH27" s="2753" t="s">
        <v>3686</v>
      </c>
      <c r="BI27" s="2753" t="s">
        <v>3626</v>
      </c>
      <c r="BJ27" s="2753" t="s">
        <v>614</v>
      </c>
      <c r="BK27" s="2753" t="s">
        <v>3686</v>
      </c>
      <c r="BL27" s="2753" t="s">
        <v>3626</v>
      </c>
      <c r="BM27" s="2753" t="s">
        <v>614</v>
      </c>
      <c r="BN27" s="2753" t="s">
        <v>3686</v>
      </c>
      <c r="BO27" s="2753" t="s">
        <v>3626</v>
      </c>
      <c r="BP27" s="2754" t="s">
        <v>614</v>
      </c>
      <c r="BQ27" s="2754" t="s">
        <v>3686</v>
      </c>
      <c r="BR27" s="2754" t="s">
        <v>3626</v>
      </c>
      <c r="BS27" s="2754" t="s">
        <v>614</v>
      </c>
      <c r="BT27" s="2754" t="s">
        <v>3686</v>
      </c>
      <c r="BU27" s="2754" t="s">
        <v>3626</v>
      </c>
      <c r="BV27" s="2754" t="s">
        <v>614</v>
      </c>
      <c r="BW27" s="2754" t="s">
        <v>3686</v>
      </c>
      <c r="BX27" s="2754" t="s">
        <v>3626</v>
      </c>
      <c r="BY27" s="2754" t="s">
        <v>614</v>
      </c>
      <c r="BZ27" s="2754" t="s">
        <v>3686</v>
      </c>
      <c r="CA27" s="2754" t="s">
        <v>3626</v>
      </c>
      <c r="CB27" s="2754" t="s">
        <v>614</v>
      </c>
      <c r="CC27" s="2754" t="s">
        <v>3686</v>
      </c>
      <c r="CD27" s="2754" t="s">
        <v>3626</v>
      </c>
      <c r="CE27" s="2754" t="s">
        <v>614</v>
      </c>
      <c r="CF27" s="2754" t="s">
        <v>3686</v>
      </c>
      <c r="CG27" s="2754" t="s">
        <v>3626</v>
      </c>
      <c r="CH27" s="2754" t="s">
        <v>614</v>
      </c>
      <c r="CI27" s="2754" t="s">
        <v>3686</v>
      </c>
      <c r="CJ27" s="2754" t="s">
        <v>3626</v>
      </c>
      <c r="CK27" s="2754" t="s">
        <v>614</v>
      </c>
      <c r="CL27" s="2754" t="s">
        <v>3686</v>
      </c>
      <c r="CM27" s="2754" t="s">
        <v>3626</v>
      </c>
      <c r="CN27" s="2753" t="s">
        <v>614</v>
      </c>
      <c r="CO27" s="2753" t="s">
        <v>3686</v>
      </c>
      <c r="CP27" s="2753" t="s">
        <v>3626</v>
      </c>
      <c r="CQ27" s="2753" t="s">
        <v>614</v>
      </c>
      <c r="CR27" s="2753" t="s">
        <v>3686</v>
      </c>
      <c r="CS27" s="2753" t="s">
        <v>3626</v>
      </c>
      <c r="CT27" s="2753" t="s">
        <v>614</v>
      </c>
      <c r="CU27" s="2753" t="s">
        <v>3686</v>
      </c>
      <c r="CV27" s="2753" t="s">
        <v>3626</v>
      </c>
      <c r="CW27" s="2753" t="s">
        <v>614</v>
      </c>
      <c r="CX27" s="2753" t="s">
        <v>3686</v>
      </c>
      <c r="CY27" s="2753" t="s">
        <v>3626</v>
      </c>
      <c r="CZ27" s="2753" t="s">
        <v>614</v>
      </c>
      <c r="DA27" s="2753" t="s">
        <v>3686</v>
      </c>
      <c r="DB27" s="2753" t="s">
        <v>3626</v>
      </c>
      <c r="DC27" s="2753" t="s">
        <v>614</v>
      </c>
      <c r="DD27" s="2753" t="s">
        <v>3686</v>
      </c>
      <c r="DE27" s="2753" t="s">
        <v>3626</v>
      </c>
      <c r="DF27" s="2753" t="s">
        <v>614</v>
      </c>
      <c r="DG27" s="2753" t="s">
        <v>3686</v>
      </c>
      <c r="DH27" s="2753" t="s">
        <v>3626</v>
      </c>
      <c r="DI27" s="2753" t="s">
        <v>614</v>
      </c>
      <c r="DJ27" s="2753" t="s">
        <v>3686</v>
      </c>
      <c r="DK27" s="2753" t="s">
        <v>3626</v>
      </c>
      <c r="DL27" s="2753" t="s">
        <v>614</v>
      </c>
      <c r="DM27" s="2753" t="s">
        <v>3686</v>
      </c>
      <c r="DN27" s="2753" t="s">
        <v>3626</v>
      </c>
      <c r="DO27" s="2754" t="s">
        <v>614</v>
      </c>
      <c r="DP27" s="2754" t="s">
        <v>3686</v>
      </c>
      <c r="DQ27" s="2754" t="s">
        <v>3626</v>
      </c>
      <c r="DR27" s="2754" t="s">
        <v>614</v>
      </c>
      <c r="DS27" s="2754" t="s">
        <v>3686</v>
      </c>
      <c r="DT27" s="2754" t="s">
        <v>3626</v>
      </c>
      <c r="DU27" s="2754" t="s">
        <v>614</v>
      </c>
      <c r="DV27" s="2754" t="s">
        <v>3686</v>
      </c>
      <c r="DW27" s="2754" t="s">
        <v>3626</v>
      </c>
      <c r="DX27" s="2754" t="s">
        <v>614</v>
      </c>
      <c r="DY27" s="2754" t="s">
        <v>3686</v>
      </c>
      <c r="DZ27" s="2754" t="s">
        <v>3626</v>
      </c>
      <c r="EA27" s="2754" t="s">
        <v>614</v>
      </c>
      <c r="EB27" s="2754" t="s">
        <v>3686</v>
      </c>
      <c r="EC27" s="2754" t="s">
        <v>3626</v>
      </c>
      <c r="ED27" s="2754" t="s">
        <v>614</v>
      </c>
      <c r="EE27" s="2754" t="s">
        <v>3686</v>
      </c>
      <c r="EF27" s="2754" t="s">
        <v>3626</v>
      </c>
      <c r="EG27" s="2754" t="s">
        <v>614</v>
      </c>
      <c r="EH27" s="2754" t="s">
        <v>3686</v>
      </c>
      <c r="EI27" s="2754" t="s">
        <v>3626</v>
      </c>
      <c r="EJ27" s="2754" t="s">
        <v>614</v>
      </c>
      <c r="EK27" s="2754" t="s">
        <v>3686</v>
      </c>
      <c r="EL27" s="2754" t="s">
        <v>3626</v>
      </c>
      <c r="EM27" s="2753" t="s">
        <v>614</v>
      </c>
      <c r="EN27" s="2753" t="s">
        <v>3686</v>
      </c>
      <c r="EO27" s="2753" t="s">
        <v>3626</v>
      </c>
      <c r="EP27" s="2753" t="s">
        <v>614</v>
      </c>
      <c r="EQ27" s="2753" t="s">
        <v>3686</v>
      </c>
      <c r="ER27" s="2753" t="s">
        <v>3626</v>
      </c>
      <c r="ES27" s="2753" t="s">
        <v>614</v>
      </c>
      <c r="ET27" s="2753" t="s">
        <v>3686</v>
      </c>
      <c r="EU27" s="2753" t="s">
        <v>3626</v>
      </c>
      <c r="EV27" s="2753" t="s">
        <v>614</v>
      </c>
      <c r="EW27" s="2753" t="s">
        <v>3686</v>
      </c>
      <c r="EX27" s="2753" t="s">
        <v>3626</v>
      </c>
      <c r="EY27" s="2753" t="s">
        <v>614</v>
      </c>
      <c r="EZ27" s="2753" t="s">
        <v>3686</v>
      </c>
      <c r="FA27" s="2753" t="s">
        <v>3626</v>
      </c>
      <c r="FB27" s="2753" t="s">
        <v>614</v>
      </c>
      <c r="FC27" s="2753" t="s">
        <v>3686</v>
      </c>
      <c r="FD27" s="2753" t="s">
        <v>3626</v>
      </c>
      <c r="FE27" s="2753" t="s">
        <v>614</v>
      </c>
      <c r="FF27" s="2753" t="s">
        <v>3686</v>
      </c>
      <c r="FG27" s="2753" t="s">
        <v>3626</v>
      </c>
      <c r="FH27" s="2753" t="s">
        <v>614</v>
      </c>
      <c r="FI27" s="2753" t="s">
        <v>3686</v>
      </c>
      <c r="FJ27" s="2753" t="s">
        <v>3626</v>
      </c>
      <c r="FK27" s="2753" t="s">
        <v>614</v>
      </c>
      <c r="FL27" s="2753" t="s">
        <v>3686</v>
      </c>
      <c r="FM27" s="2753" t="s">
        <v>3626</v>
      </c>
      <c r="FN27" s="2754" t="s">
        <v>614</v>
      </c>
      <c r="FO27" s="2754" t="s">
        <v>3686</v>
      </c>
      <c r="FP27" s="2754" t="s">
        <v>3626</v>
      </c>
      <c r="FQ27" s="2754" t="s">
        <v>614</v>
      </c>
      <c r="FR27" s="2754" t="s">
        <v>3686</v>
      </c>
      <c r="FS27" s="2754" t="s">
        <v>3626</v>
      </c>
      <c r="FT27" s="2754" t="s">
        <v>614</v>
      </c>
      <c r="FU27" s="2754" t="s">
        <v>3686</v>
      </c>
      <c r="FV27" s="2754" t="s">
        <v>3626</v>
      </c>
      <c r="FW27" s="2754" t="s">
        <v>614</v>
      </c>
      <c r="FX27" s="2754" t="s">
        <v>3686</v>
      </c>
      <c r="FY27" s="2754" t="s">
        <v>3626</v>
      </c>
      <c r="FZ27" s="2754" t="s">
        <v>614</v>
      </c>
      <c r="GA27" s="2754" t="s">
        <v>3686</v>
      </c>
      <c r="GB27" s="2754" t="s">
        <v>3626</v>
      </c>
      <c r="GC27" s="2754" t="s">
        <v>614</v>
      </c>
      <c r="GD27" s="2754" t="s">
        <v>3686</v>
      </c>
      <c r="GE27" s="2754" t="s">
        <v>3626</v>
      </c>
      <c r="GF27" s="2754" t="s">
        <v>614</v>
      </c>
      <c r="GG27" s="2754" t="s">
        <v>3686</v>
      </c>
      <c r="GH27" s="2754" t="s">
        <v>3626</v>
      </c>
      <c r="GI27" s="2754" t="s">
        <v>614</v>
      </c>
      <c r="GJ27" s="2754" t="s">
        <v>3686</v>
      </c>
      <c r="GK27" s="2754" t="s">
        <v>3626</v>
      </c>
      <c r="GL27" s="565"/>
    </row>
    <row r="28" spans="1:195" ht="18.75" x14ac:dyDescent="0.3">
      <c r="A28" s="2777" t="s">
        <v>3740</v>
      </c>
      <c r="B28" s="4382">
        <f t="shared" ref="B28:B35" si="360">SUM(C28:D28)</f>
        <v>7617.4890442736014</v>
      </c>
      <c r="C28" s="4399">
        <f>SUM(C15*C37)</f>
        <v>7617.4890442736014</v>
      </c>
      <c r="D28" s="4399"/>
      <c r="E28" s="2761">
        <f t="shared" ref="E28:E35" si="361">SUM(F28:G28)</f>
        <v>7677.4166830000004</v>
      </c>
      <c r="F28" s="2811">
        <v>7677.4166830000004</v>
      </c>
      <c r="G28" s="2811"/>
      <c r="H28" s="2776">
        <f>SUM(I28:J28)</f>
        <v>7073.0230000000001</v>
      </c>
      <c r="I28" s="3840">
        <v>7073.0230000000001</v>
      </c>
      <c r="J28" s="3840"/>
      <c r="K28" s="2761">
        <f t="shared" ref="K28:K35" si="362">SUM(L28:M28)</f>
        <v>7617.4890442736014</v>
      </c>
      <c r="L28" s="2810">
        <f>SUM(L15*L37)</f>
        <v>7617.4890442736014</v>
      </c>
      <c r="M28" s="2810"/>
      <c r="N28" s="2761">
        <f t="shared" ref="N28:N35" si="363">SUM(O28:P28)</f>
        <v>7651.6519420000004</v>
      </c>
      <c r="O28" s="2811">
        <v>7651.6519420000004</v>
      </c>
      <c r="P28" s="2811"/>
      <c r="Q28" s="2776">
        <f>SUM(R28:S28)</f>
        <v>7001.598</v>
      </c>
      <c r="R28" s="3840">
        <v>7001.598</v>
      </c>
      <c r="S28" s="3840"/>
      <c r="T28" s="2761">
        <f t="shared" ref="T28:T35" si="364">SUM(U28:V28)</f>
        <v>7617.4890442736014</v>
      </c>
      <c r="U28" s="2810">
        <f>SUM(U15*U37)</f>
        <v>7617.4890442736014</v>
      </c>
      <c r="V28" s="2810"/>
      <c r="W28" s="2761">
        <f t="shared" ref="W28:W35" si="365">SUM(X28:Y28)</f>
        <v>7421.6629000000003</v>
      </c>
      <c r="X28" s="2811">
        <v>7421.6629000000003</v>
      </c>
      <c r="Y28" s="2811"/>
      <c r="Z28" s="3849">
        <f t="shared" ref="Z28:Z34" si="366">SUM(AA28:AB28)</f>
        <v>6601.982</v>
      </c>
      <c r="AA28" s="3840">
        <v>6601.982</v>
      </c>
      <c r="AB28" s="3840"/>
      <c r="AC28" s="2812">
        <f t="shared" ref="AC28:AK35" si="367">SUM(B28+K28+T28)</f>
        <v>22852.467132820806</v>
      </c>
      <c r="AD28" s="2812">
        <f t="shared" si="367"/>
        <v>22852.467132820806</v>
      </c>
      <c r="AE28" s="2812">
        <f t="shared" si="367"/>
        <v>0</v>
      </c>
      <c r="AF28" s="2812">
        <f t="shared" si="367"/>
        <v>22750.731524999999</v>
      </c>
      <c r="AG28" s="2812">
        <f t="shared" si="367"/>
        <v>22750.731524999999</v>
      </c>
      <c r="AH28" s="2812">
        <f t="shared" si="367"/>
        <v>0</v>
      </c>
      <c r="AI28" s="2812">
        <f t="shared" si="367"/>
        <v>20676.602999999999</v>
      </c>
      <c r="AJ28" s="2812">
        <f t="shared" si="367"/>
        <v>20676.602999999999</v>
      </c>
      <c r="AK28" s="2812">
        <f t="shared" si="367"/>
        <v>0</v>
      </c>
      <c r="AL28" s="2813">
        <f t="shared" ref="AL28:AN40" si="368">SUM(AF28-AC28)</f>
        <v>-101.73560782080676</v>
      </c>
      <c r="AM28" s="2813">
        <f t="shared" si="368"/>
        <v>-101.73560782080676</v>
      </c>
      <c r="AN28" s="2813">
        <f t="shared" si="368"/>
        <v>0</v>
      </c>
      <c r="AO28" s="2761">
        <f t="shared" ref="AO28:AO35" si="369">SUM(AP28:AQ28)</f>
        <v>7617.4890442736014</v>
      </c>
      <c r="AP28" s="2810">
        <f>SUM(AP15*AP37)</f>
        <v>7617.4890442736014</v>
      </c>
      <c r="AQ28" s="2810"/>
      <c r="AR28" s="2761">
        <f t="shared" ref="AR28:AR35" si="370">SUM(AS28:AT28)</f>
        <v>7503.1756169999999</v>
      </c>
      <c r="AS28" s="2811">
        <v>7503.1756169999999</v>
      </c>
      <c r="AT28" s="2811"/>
      <c r="AU28" s="2776">
        <f>SUM(AV28:AW28)</f>
        <v>7608.18</v>
      </c>
      <c r="AV28" s="3840">
        <v>7608.18</v>
      </c>
      <c r="AW28" s="3840"/>
      <c r="AX28" s="2761">
        <f t="shared" ref="AX28:AX35" si="371">SUM(AY28:AZ28)</f>
        <v>7617.4890442736014</v>
      </c>
      <c r="AY28" s="2810">
        <f>SUM(AY15*AY37)</f>
        <v>7617.4890442736014</v>
      </c>
      <c r="AZ28" s="2810"/>
      <c r="BA28" s="2761">
        <f t="shared" ref="BA28:BA34" si="372">SUM(BB28:BC28)</f>
        <v>7878.2493830000003</v>
      </c>
      <c r="BB28" s="2811">
        <v>7878.2493830000003</v>
      </c>
      <c r="BC28" s="2811"/>
      <c r="BD28" s="2776">
        <f>SUM(BE28:BF28)</f>
        <v>6909.527</v>
      </c>
      <c r="BE28" s="3840">
        <v>6909.527</v>
      </c>
      <c r="BF28" s="3840"/>
      <c r="BG28" s="2761">
        <f t="shared" ref="BG28:BG35" si="373">SUM(BH28:BI28)</f>
        <v>7617.4890442736014</v>
      </c>
      <c r="BH28" s="2810">
        <f>SUM(BH15*BH37)</f>
        <v>7617.4890442736014</v>
      </c>
      <c r="BI28" s="2810"/>
      <c r="BJ28" s="2761">
        <f t="shared" ref="BJ28:BJ35" si="374">SUM(BK28:BL28)</f>
        <v>7557.4174999999996</v>
      </c>
      <c r="BK28" s="2811">
        <v>7557.4174999999996</v>
      </c>
      <c r="BL28" s="2811"/>
      <c r="BM28" s="2776">
        <f>SUM(BN28:BO28)</f>
        <v>6419.7539999999999</v>
      </c>
      <c r="BN28" s="3840">
        <v>6419.7539999999999</v>
      </c>
      <c r="BO28" s="3840"/>
      <c r="BP28" s="2812">
        <f t="shared" ref="BP28:BX35" si="375">SUM(AO28+AX28+BG28)</f>
        <v>22852.467132820806</v>
      </c>
      <c r="BQ28" s="2812">
        <f t="shared" si="375"/>
        <v>22852.467132820806</v>
      </c>
      <c r="BR28" s="2812">
        <f t="shared" si="375"/>
        <v>0</v>
      </c>
      <c r="BS28" s="2812">
        <f t="shared" si="375"/>
        <v>22938.842499999999</v>
      </c>
      <c r="BT28" s="2812">
        <f t="shared" si="375"/>
        <v>22938.842499999999</v>
      </c>
      <c r="BU28" s="2812">
        <f t="shared" si="375"/>
        <v>0</v>
      </c>
      <c r="BV28" s="2812">
        <f t="shared" si="375"/>
        <v>20937.460999999999</v>
      </c>
      <c r="BW28" s="2812">
        <f t="shared" si="375"/>
        <v>20937.460999999999</v>
      </c>
      <c r="BX28" s="2812">
        <f t="shared" si="375"/>
        <v>0</v>
      </c>
      <c r="BY28" s="2813">
        <f t="shared" ref="BY28:CA40" si="376">SUM(BS28-BP28)</f>
        <v>86.375367179192835</v>
      </c>
      <c r="BZ28" s="2813">
        <f t="shared" si="376"/>
        <v>86.375367179192835</v>
      </c>
      <c r="CA28" s="2813">
        <f t="shared" si="376"/>
        <v>0</v>
      </c>
      <c r="CB28" s="2812">
        <f t="shared" ref="CB28:CJ35" si="377">SUM(AC28+BP28)</f>
        <v>45704.934265641612</v>
      </c>
      <c r="CC28" s="2812">
        <f t="shared" si="377"/>
        <v>45704.934265641612</v>
      </c>
      <c r="CD28" s="2812">
        <f t="shared" si="377"/>
        <v>0</v>
      </c>
      <c r="CE28" s="2812">
        <f t="shared" si="377"/>
        <v>45689.574024999994</v>
      </c>
      <c r="CF28" s="2812">
        <f t="shared" si="377"/>
        <v>45689.574024999994</v>
      </c>
      <c r="CG28" s="2812">
        <f t="shared" si="377"/>
        <v>0</v>
      </c>
      <c r="CH28" s="2812">
        <f t="shared" si="377"/>
        <v>41614.063999999998</v>
      </c>
      <c r="CI28" s="2812">
        <f t="shared" si="377"/>
        <v>41614.063999999998</v>
      </c>
      <c r="CJ28" s="2812">
        <f t="shared" si="377"/>
        <v>0</v>
      </c>
      <c r="CK28" s="2813">
        <f t="shared" ref="CK28:CM40" si="378">SUM(CE28-CB28)</f>
        <v>-15.360240641617565</v>
      </c>
      <c r="CL28" s="2813">
        <f t="shared" si="378"/>
        <v>-15.360240641617565</v>
      </c>
      <c r="CM28" s="2813">
        <f t="shared" si="378"/>
        <v>0</v>
      </c>
      <c r="CN28" s="2761">
        <f t="shared" ref="CN28:CN35" si="379">SUM(CO28:CP28)</f>
        <v>7617.4890442736014</v>
      </c>
      <c r="CO28" s="2810">
        <f>SUM(CO15*CO37)</f>
        <v>7617.4890442736014</v>
      </c>
      <c r="CP28" s="2810"/>
      <c r="CQ28" s="2762">
        <f t="shared" ref="CQ28:CQ35" si="380">SUM(CR28:CS28)</f>
        <v>7116.6114669999997</v>
      </c>
      <c r="CR28" s="2814">
        <v>7116.6114669999997</v>
      </c>
      <c r="CS28" s="2814"/>
      <c r="CT28" s="2776">
        <f>SUM(CU28:CV28)</f>
        <v>6453.6660000000002</v>
      </c>
      <c r="CU28" s="3840">
        <v>6453.6660000000002</v>
      </c>
      <c r="CV28" s="3840"/>
      <c r="CW28" s="2761">
        <f t="shared" ref="CW28:CW35" si="381">SUM(CX28:CY28)</f>
        <v>7617.4890442736014</v>
      </c>
      <c r="CX28" s="2810">
        <f>SUM(CX15*CX37)</f>
        <v>7617.4890442736014</v>
      </c>
      <c r="CY28" s="2810"/>
      <c r="CZ28" s="2761">
        <f t="shared" ref="CZ28:CZ35" si="382">SUM(DA28:DB28)</f>
        <v>0</v>
      </c>
      <c r="DA28" s="2811"/>
      <c r="DB28" s="2811"/>
      <c r="DC28" s="2776">
        <f>SUM(DD28:DE28)</f>
        <v>6927.0829999999996</v>
      </c>
      <c r="DD28" s="3840">
        <v>6927.0829999999996</v>
      </c>
      <c r="DE28" s="3840"/>
      <c r="DF28" s="2761">
        <f t="shared" ref="DF28:DF35" si="383">SUM(DG28:DH28)</f>
        <v>7617.4890442736014</v>
      </c>
      <c r="DG28" s="2810">
        <f>SUM(DG15*DG37)</f>
        <v>7617.4890442736014</v>
      </c>
      <c r="DH28" s="2810"/>
      <c r="DI28" s="2761">
        <f t="shared" ref="DI28:DI35" si="384">SUM(DJ28:DK28)</f>
        <v>0</v>
      </c>
      <c r="DJ28" s="2811"/>
      <c r="DK28" s="2811"/>
      <c r="DL28" s="2776">
        <f>SUM(DM28:DN28)</f>
        <v>6833.4950829999998</v>
      </c>
      <c r="DM28" s="3840">
        <v>6833.4950829999998</v>
      </c>
      <c r="DN28" s="3840"/>
      <c r="DO28" s="2812">
        <f t="shared" ref="DO28:DW35" si="385">SUM(CN28+CW28+DF28)</f>
        <v>22852.467132820806</v>
      </c>
      <c r="DP28" s="2812">
        <f t="shared" si="385"/>
        <v>22852.467132820806</v>
      </c>
      <c r="DQ28" s="2812">
        <f t="shared" si="385"/>
        <v>0</v>
      </c>
      <c r="DR28" s="2812">
        <f t="shared" si="385"/>
        <v>7116.6114669999997</v>
      </c>
      <c r="DS28" s="2812">
        <f t="shared" si="385"/>
        <v>7116.6114669999997</v>
      </c>
      <c r="DT28" s="2812">
        <f t="shared" si="385"/>
        <v>0</v>
      </c>
      <c r="DU28" s="2812">
        <f t="shared" si="385"/>
        <v>20214.244082999998</v>
      </c>
      <c r="DV28" s="2812">
        <f t="shared" si="385"/>
        <v>20214.244082999998</v>
      </c>
      <c r="DW28" s="2812">
        <f t="shared" si="385"/>
        <v>0</v>
      </c>
      <c r="DX28" s="2813">
        <f t="shared" ref="DX28:DZ40" si="386">SUM(DR28-DO28)</f>
        <v>-15735.855665820807</v>
      </c>
      <c r="DY28" s="2813">
        <f t="shared" si="386"/>
        <v>-15735.855665820807</v>
      </c>
      <c r="DZ28" s="2813">
        <f t="shared" si="386"/>
        <v>0</v>
      </c>
      <c r="EA28" s="2812">
        <f t="shared" ref="EA28:EI35" si="387">SUM(CB28+DO28)</f>
        <v>68557.401398462418</v>
      </c>
      <c r="EB28" s="2812">
        <f t="shared" si="387"/>
        <v>68557.401398462418</v>
      </c>
      <c r="EC28" s="2812">
        <f t="shared" si="387"/>
        <v>0</v>
      </c>
      <c r="ED28" s="2802">
        <f t="shared" si="387"/>
        <v>52806.185491999997</v>
      </c>
      <c r="EE28" s="2802">
        <f t="shared" si="387"/>
        <v>52806.185491999997</v>
      </c>
      <c r="EF28" s="2802">
        <f t="shared" si="387"/>
        <v>0</v>
      </c>
      <c r="EG28" s="2812">
        <f t="shared" si="387"/>
        <v>61828.308082999996</v>
      </c>
      <c r="EH28" s="2812">
        <f t="shared" si="387"/>
        <v>61828.308082999996</v>
      </c>
      <c r="EI28" s="2812">
        <f t="shared" si="387"/>
        <v>0</v>
      </c>
      <c r="EJ28" s="2813">
        <f t="shared" ref="EJ28:EL40" si="388">SUM(ED28-EA28)</f>
        <v>-15751.215906462421</v>
      </c>
      <c r="EK28" s="2813">
        <f t="shared" si="388"/>
        <v>-15751.215906462421</v>
      </c>
      <c r="EL28" s="2813">
        <f t="shared" si="388"/>
        <v>0</v>
      </c>
      <c r="EM28" s="2761">
        <f t="shared" ref="EM28:EM35" si="389">SUM(EN28:EO28)</f>
        <v>7617.4890442736014</v>
      </c>
      <c r="EN28" s="2810">
        <f>SUM(EN15*EN37)</f>
        <v>7617.4890442736014</v>
      </c>
      <c r="EO28" s="2810"/>
      <c r="EP28" s="2761">
        <f t="shared" ref="EP28:EP35" si="390">SUM(EQ28:ER28)</f>
        <v>0</v>
      </c>
      <c r="EQ28" s="2811"/>
      <c r="ER28" s="2811"/>
      <c r="ES28" s="2776">
        <f>SUM(ET28:EU28)</f>
        <v>6854.8509999999997</v>
      </c>
      <c r="ET28" s="2776">
        <v>6854.8509999999997</v>
      </c>
      <c r="EU28" s="2776"/>
      <c r="EV28" s="2761">
        <f t="shared" ref="EV28:EV35" si="391">SUM(EW28:EX28)</f>
        <v>7617.4890442736014</v>
      </c>
      <c r="EW28" s="2810">
        <f>SUM(EW15*EW37)</f>
        <v>7617.4890442736014</v>
      </c>
      <c r="EX28" s="2810"/>
      <c r="EY28" s="2761">
        <f t="shared" ref="EY28:EY35" si="392">SUM(EZ28:FA28)</f>
        <v>0</v>
      </c>
      <c r="EZ28" s="2811"/>
      <c r="FA28" s="2811"/>
      <c r="FB28" s="2776">
        <f>SUM(FC28:FD28)</f>
        <v>7012.5426580000003</v>
      </c>
      <c r="FC28" s="2776">
        <v>7012.5426580000003</v>
      </c>
      <c r="FD28" s="2776"/>
      <c r="FE28" s="2761">
        <f t="shared" ref="FE28:FE35" si="393">SUM(FF28:FG28)</f>
        <v>7617.4890442736014</v>
      </c>
      <c r="FF28" s="2810">
        <f>SUM(FF15*FF37)</f>
        <v>7617.4890442736014</v>
      </c>
      <c r="FG28" s="2810"/>
      <c r="FH28" s="2761">
        <f t="shared" ref="FH28:FH34" si="394">SUM(FI28:FJ28)</f>
        <v>0</v>
      </c>
      <c r="FI28" s="2811"/>
      <c r="FJ28" s="2811"/>
      <c r="FK28" s="2776">
        <f>SUM(FL28:FM28)</f>
        <v>7500.8569829999997</v>
      </c>
      <c r="FL28" s="2776">
        <v>7500.8569829999997</v>
      </c>
      <c r="FM28" s="2776"/>
      <c r="FN28" s="2812">
        <f t="shared" ref="FN28:FV35" si="395">SUM(EM28+EV28+FE28)</f>
        <v>22852.467132820806</v>
      </c>
      <c r="FO28" s="2812">
        <f t="shared" si="395"/>
        <v>22852.467132820806</v>
      </c>
      <c r="FP28" s="2812">
        <f t="shared" si="395"/>
        <v>0</v>
      </c>
      <c r="FQ28" s="2812">
        <f t="shared" si="395"/>
        <v>0</v>
      </c>
      <c r="FR28" s="2812">
        <f t="shared" si="395"/>
        <v>0</v>
      </c>
      <c r="FS28" s="2812">
        <f t="shared" si="395"/>
        <v>0</v>
      </c>
      <c r="FT28" s="2812">
        <f t="shared" si="395"/>
        <v>21368.250640999999</v>
      </c>
      <c r="FU28" s="2812">
        <f t="shared" si="395"/>
        <v>21368.250640999999</v>
      </c>
      <c r="FV28" s="2812">
        <f t="shared" si="395"/>
        <v>0</v>
      </c>
      <c r="FW28" s="2813">
        <f t="shared" ref="FW28:FY40" si="396">SUM(FQ28-FN28)</f>
        <v>-22852.467132820806</v>
      </c>
      <c r="FX28" s="2813">
        <f t="shared" si="396"/>
        <v>-22852.467132820806</v>
      </c>
      <c r="FY28" s="2813">
        <f t="shared" si="396"/>
        <v>0</v>
      </c>
      <c r="FZ28" s="2802">
        <f t="shared" ref="FZ28:GA35" si="397">SUM(EA28+FN28)</f>
        <v>91409.868531283224</v>
      </c>
      <c r="GA28" s="2802">
        <f>SUM(EB28+FO28)</f>
        <v>91409.868531283224</v>
      </c>
      <c r="GB28" s="2802">
        <f t="shared" ref="GB28:GH35" si="398">SUM(EC28+FP28)</f>
        <v>0</v>
      </c>
      <c r="GC28" s="2812">
        <f t="shared" si="398"/>
        <v>52806.185491999997</v>
      </c>
      <c r="GD28" s="2812">
        <f t="shared" si="398"/>
        <v>52806.185491999997</v>
      </c>
      <c r="GE28" s="2812">
        <f t="shared" si="398"/>
        <v>0</v>
      </c>
      <c r="GF28" s="2812">
        <f t="shared" si="398"/>
        <v>83196.558724000002</v>
      </c>
      <c r="GG28" s="2812">
        <f t="shared" si="398"/>
        <v>83196.558724000002</v>
      </c>
      <c r="GH28" s="2812">
        <f t="shared" si="398"/>
        <v>0</v>
      </c>
      <c r="GI28" s="2813">
        <f t="shared" ref="GI28:GK40" si="399">SUM(GC28-FZ28)</f>
        <v>-38603.683039283227</v>
      </c>
      <c r="GJ28" s="2813">
        <f t="shared" si="399"/>
        <v>-38603.683039283227</v>
      </c>
      <c r="GK28" s="2813">
        <f t="shared" si="399"/>
        <v>0</v>
      </c>
      <c r="GL28" s="565"/>
      <c r="GM28" s="3576">
        <f t="shared" ref="GM28:GM35" si="400">SUM(B28+K28+T28+AO28+AX28+BG28+CN28+CW28+DF28+EM28+EV28+FE28)</f>
        <v>91409.868531283224</v>
      </c>
    </row>
    <row r="29" spans="1:195" ht="18.75" x14ac:dyDescent="0.3">
      <c r="A29" s="2777" t="s">
        <v>3741</v>
      </c>
      <c r="B29" s="4382">
        <f t="shared" si="360"/>
        <v>2976.5645089784157</v>
      </c>
      <c r="C29" s="4399">
        <f>SUM(C15*C38)</f>
        <v>2976.5645089784157</v>
      </c>
      <c r="D29" s="4399"/>
      <c r="E29" s="2761">
        <f t="shared" si="361"/>
        <v>2993.8266699999999</v>
      </c>
      <c r="F29" s="2811">
        <v>2993.8266699999999</v>
      </c>
      <c r="G29" s="2811"/>
      <c r="H29" s="2776">
        <f t="shared" ref="H29:H35" si="401">SUM(I29:J29)</f>
        <v>1817.0630000000001</v>
      </c>
      <c r="I29" s="3840">
        <v>1817.0630000000001</v>
      </c>
      <c r="J29" s="3840"/>
      <c r="K29" s="2761">
        <f t="shared" si="362"/>
        <v>2976.5645089784157</v>
      </c>
      <c r="L29" s="2810">
        <f>SUM(L15*L38)</f>
        <v>2976.5645089784157</v>
      </c>
      <c r="M29" s="2810"/>
      <c r="N29" s="2761">
        <f t="shared" si="363"/>
        <v>2988.40724</v>
      </c>
      <c r="O29" s="2811">
        <v>2988.40724</v>
      </c>
      <c r="P29" s="2811"/>
      <c r="Q29" s="2776">
        <f t="shared" ref="Q29:Q31" si="402">SUM(R29:S29)</f>
        <v>1798.654</v>
      </c>
      <c r="R29" s="3840">
        <v>1798.654</v>
      </c>
      <c r="S29" s="3840"/>
      <c r="T29" s="2761">
        <f t="shared" si="364"/>
        <v>2976.5645089784157</v>
      </c>
      <c r="U29" s="2810">
        <f>SUM(U15*U38)</f>
        <v>2976.5645089784157</v>
      </c>
      <c r="V29" s="2810"/>
      <c r="W29" s="2761">
        <f t="shared" si="365"/>
        <v>2897.9882699999998</v>
      </c>
      <c r="X29" s="2811">
        <v>2897.9882699999998</v>
      </c>
      <c r="Y29" s="2811"/>
      <c r="Z29" s="3849">
        <f t="shared" si="366"/>
        <v>1697.4690000000001</v>
      </c>
      <c r="AA29" s="3840">
        <v>1697.4690000000001</v>
      </c>
      <c r="AB29" s="3840"/>
      <c r="AC29" s="2812">
        <f t="shared" si="367"/>
        <v>8929.6935269352471</v>
      </c>
      <c r="AD29" s="2812">
        <f t="shared" si="367"/>
        <v>8929.6935269352471</v>
      </c>
      <c r="AE29" s="2812">
        <f t="shared" si="367"/>
        <v>0</v>
      </c>
      <c r="AF29" s="2812">
        <f t="shared" si="367"/>
        <v>8880.2221800000007</v>
      </c>
      <c r="AG29" s="2812">
        <f t="shared" si="367"/>
        <v>8880.2221800000007</v>
      </c>
      <c r="AH29" s="2812">
        <f t="shared" si="367"/>
        <v>0</v>
      </c>
      <c r="AI29" s="2812">
        <f t="shared" si="367"/>
        <v>5313.1859999999997</v>
      </c>
      <c r="AJ29" s="2812">
        <f t="shared" si="367"/>
        <v>5313.1859999999997</v>
      </c>
      <c r="AK29" s="2812">
        <f t="shared" si="367"/>
        <v>0</v>
      </c>
      <c r="AL29" s="2813">
        <f t="shared" si="368"/>
        <v>-49.471346935246402</v>
      </c>
      <c r="AM29" s="2813">
        <f t="shared" si="368"/>
        <v>-49.471346935246402</v>
      </c>
      <c r="AN29" s="2813">
        <f t="shared" si="368"/>
        <v>0</v>
      </c>
      <c r="AO29" s="2761">
        <f t="shared" si="369"/>
        <v>2976.5645089784157</v>
      </c>
      <c r="AP29" s="2810">
        <f>SUM(AP15*AP38)</f>
        <v>2976.5645089784157</v>
      </c>
      <c r="AQ29" s="2810"/>
      <c r="AR29" s="2761">
        <f t="shared" si="370"/>
        <v>2934.3703399999999</v>
      </c>
      <c r="AS29" s="2811">
        <v>2934.3703399999999</v>
      </c>
      <c r="AT29" s="2811"/>
      <c r="AU29" s="2776">
        <f t="shared" ref="AU29:AU31" si="403">SUM(AV29:AW29)</f>
        <v>1957.452</v>
      </c>
      <c r="AV29" s="3840">
        <v>1957.452</v>
      </c>
      <c r="AW29" s="3840"/>
      <c r="AX29" s="2761">
        <f t="shared" si="371"/>
        <v>2976.5645089784157</v>
      </c>
      <c r="AY29" s="2810">
        <f>SUM(AY15*AY38)</f>
        <v>2976.5645089784157</v>
      </c>
      <c r="AZ29" s="2810"/>
      <c r="BA29" s="2761">
        <f t="shared" si="372"/>
        <v>3067.6094400000002</v>
      </c>
      <c r="BB29" s="2811">
        <v>3067.6094400000002</v>
      </c>
      <c r="BC29" s="2811"/>
      <c r="BD29" s="2776">
        <f t="shared" ref="BD29:BD31" si="404">SUM(BE29:BF29)</f>
        <v>1777.3119999999999</v>
      </c>
      <c r="BE29" s="3840">
        <v>1777.3119999999999</v>
      </c>
      <c r="BF29" s="3840"/>
      <c r="BG29" s="2761">
        <f t="shared" si="373"/>
        <v>2976.5645089784157</v>
      </c>
      <c r="BH29" s="2810">
        <f>SUM(BH15*BH38)</f>
        <v>2976.5645089784157</v>
      </c>
      <c r="BI29" s="2810"/>
      <c r="BJ29" s="2761">
        <f t="shared" si="374"/>
        <v>2948.15146</v>
      </c>
      <c r="BK29" s="2811">
        <v>2948.15146</v>
      </c>
      <c r="BL29" s="2811"/>
      <c r="BM29" s="2776">
        <f t="shared" ref="BM29:BM31" si="405">SUM(BN29:BO29)</f>
        <v>1650.779</v>
      </c>
      <c r="BN29" s="3840">
        <v>1650.779</v>
      </c>
      <c r="BO29" s="3840"/>
      <c r="BP29" s="2812">
        <f t="shared" si="375"/>
        <v>8929.6935269352471</v>
      </c>
      <c r="BQ29" s="2812">
        <f t="shared" si="375"/>
        <v>8929.6935269352471</v>
      </c>
      <c r="BR29" s="2812">
        <f t="shared" si="375"/>
        <v>0</v>
      </c>
      <c r="BS29" s="2812">
        <f t="shared" si="375"/>
        <v>8950.1312399999988</v>
      </c>
      <c r="BT29" s="2812">
        <f t="shared" si="375"/>
        <v>8950.1312399999988</v>
      </c>
      <c r="BU29" s="2812">
        <f t="shared" si="375"/>
        <v>0</v>
      </c>
      <c r="BV29" s="2812">
        <f t="shared" si="375"/>
        <v>5385.5429999999997</v>
      </c>
      <c r="BW29" s="2812">
        <f t="shared" si="375"/>
        <v>5385.5429999999997</v>
      </c>
      <c r="BX29" s="2812">
        <f t="shared" si="375"/>
        <v>0</v>
      </c>
      <c r="BY29" s="2813">
        <f t="shared" si="376"/>
        <v>20.437713064751733</v>
      </c>
      <c r="BZ29" s="2813">
        <f t="shared" si="376"/>
        <v>20.437713064751733</v>
      </c>
      <c r="CA29" s="2813">
        <f t="shared" si="376"/>
        <v>0</v>
      </c>
      <c r="CB29" s="2812">
        <f t="shared" si="377"/>
        <v>17859.387053870494</v>
      </c>
      <c r="CC29" s="2812">
        <f t="shared" si="377"/>
        <v>17859.387053870494</v>
      </c>
      <c r="CD29" s="2812">
        <f t="shared" si="377"/>
        <v>0</v>
      </c>
      <c r="CE29" s="2812">
        <f t="shared" si="377"/>
        <v>17830.353419999999</v>
      </c>
      <c r="CF29" s="2812">
        <f t="shared" si="377"/>
        <v>17830.353419999999</v>
      </c>
      <c r="CG29" s="2812">
        <f t="shared" si="377"/>
        <v>0</v>
      </c>
      <c r="CH29" s="2812">
        <f t="shared" si="377"/>
        <v>10698.728999999999</v>
      </c>
      <c r="CI29" s="2812">
        <f t="shared" si="377"/>
        <v>10698.728999999999</v>
      </c>
      <c r="CJ29" s="2812">
        <f t="shared" si="377"/>
        <v>0</v>
      </c>
      <c r="CK29" s="2813">
        <f t="shared" si="378"/>
        <v>-29.033633870494668</v>
      </c>
      <c r="CL29" s="2813">
        <f t="shared" si="378"/>
        <v>-29.033633870494668</v>
      </c>
      <c r="CM29" s="2813">
        <f t="shared" si="378"/>
        <v>0</v>
      </c>
      <c r="CN29" s="2761">
        <f t="shared" si="379"/>
        <v>2976.5645089784157</v>
      </c>
      <c r="CO29" s="2810">
        <f>SUM(CO15*CO38)</f>
        <v>2976.5645089784157</v>
      </c>
      <c r="CP29" s="2810"/>
      <c r="CQ29" s="2762">
        <f t="shared" si="380"/>
        <v>2775.4072999999999</v>
      </c>
      <c r="CR29" s="2814">
        <v>2775.4072999999999</v>
      </c>
      <c r="CS29" s="2814"/>
      <c r="CT29" s="2776">
        <f t="shared" ref="CT29:CT31" si="406">SUM(CU29:CV29)</f>
        <v>2589.7139999999999</v>
      </c>
      <c r="CU29" s="3840">
        <v>2589.7139999999999</v>
      </c>
      <c r="CV29" s="3840"/>
      <c r="CW29" s="2761">
        <f t="shared" si="381"/>
        <v>2976.5645089784157</v>
      </c>
      <c r="CX29" s="2810">
        <f>SUM(CX15*CX38)</f>
        <v>2976.5645089784157</v>
      </c>
      <c r="CY29" s="2810"/>
      <c r="CZ29" s="2761">
        <f t="shared" si="382"/>
        <v>0</v>
      </c>
      <c r="DA29" s="2811"/>
      <c r="DB29" s="2811"/>
      <c r="DC29" s="2776">
        <f t="shared" ref="DC29:DC31" si="407">SUM(DD29:DE29)</f>
        <v>2777.2359999999999</v>
      </c>
      <c r="DD29" s="3840">
        <v>2777.2359999999999</v>
      </c>
      <c r="DE29" s="3840"/>
      <c r="DF29" s="2761">
        <f t="shared" si="383"/>
        <v>2976.5645089784157</v>
      </c>
      <c r="DG29" s="2810">
        <f>SUM(DG15*DG38)</f>
        <v>2976.5645089784157</v>
      </c>
      <c r="DH29" s="2810"/>
      <c r="DI29" s="2761">
        <f t="shared" si="384"/>
        <v>0</v>
      </c>
      <c r="DJ29" s="2811"/>
      <c r="DK29" s="2811"/>
      <c r="DL29" s="2776">
        <f t="shared" ref="DL29:DL31" si="408">SUM(DM29:DN29)</f>
        <v>2734.9920000000002</v>
      </c>
      <c r="DM29" s="3840">
        <v>2734.9920000000002</v>
      </c>
      <c r="DN29" s="3840"/>
      <c r="DO29" s="2812">
        <f t="shared" si="385"/>
        <v>8929.6935269352471</v>
      </c>
      <c r="DP29" s="2812">
        <f t="shared" si="385"/>
        <v>8929.6935269352471</v>
      </c>
      <c r="DQ29" s="2812">
        <f t="shared" si="385"/>
        <v>0</v>
      </c>
      <c r="DR29" s="2812">
        <f t="shared" si="385"/>
        <v>2775.4072999999999</v>
      </c>
      <c r="DS29" s="2812">
        <f t="shared" si="385"/>
        <v>2775.4072999999999</v>
      </c>
      <c r="DT29" s="2812">
        <f t="shared" si="385"/>
        <v>0</v>
      </c>
      <c r="DU29" s="2812">
        <f t="shared" si="385"/>
        <v>8101.942</v>
      </c>
      <c r="DV29" s="2812">
        <f t="shared" si="385"/>
        <v>8101.942</v>
      </c>
      <c r="DW29" s="2812">
        <f t="shared" si="385"/>
        <v>0</v>
      </c>
      <c r="DX29" s="2813">
        <f t="shared" si="386"/>
        <v>-6154.2862269352472</v>
      </c>
      <c r="DY29" s="2813">
        <f t="shared" si="386"/>
        <v>-6154.2862269352472</v>
      </c>
      <c r="DZ29" s="2813">
        <f t="shared" si="386"/>
        <v>0</v>
      </c>
      <c r="EA29" s="2812">
        <f t="shared" si="387"/>
        <v>26789.080580805741</v>
      </c>
      <c r="EB29" s="2812">
        <f t="shared" si="387"/>
        <v>26789.080580805741</v>
      </c>
      <c r="EC29" s="2812">
        <f t="shared" si="387"/>
        <v>0</v>
      </c>
      <c r="ED29" s="2802">
        <f t="shared" si="387"/>
        <v>20605.760719999998</v>
      </c>
      <c r="EE29" s="2802">
        <f t="shared" si="387"/>
        <v>20605.760719999998</v>
      </c>
      <c r="EF29" s="2802">
        <f t="shared" si="387"/>
        <v>0</v>
      </c>
      <c r="EG29" s="2812">
        <f t="shared" si="387"/>
        <v>18800.670999999998</v>
      </c>
      <c r="EH29" s="2812">
        <f t="shared" si="387"/>
        <v>18800.670999999998</v>
      </c>
      <c r="EI29" s="2812">
        <f t="shared" si="387"/>
        <v>0</v>
      </c>
      <c r="EJ29" s="2813">
        <f t="shared" si="388"/>
        <v>-6183.3198608057428</v>
      </c>
      <c r="EK29" s="2813">
        <f t="shared" si="388"/>
        <v>-6183.3198608057428</v>
      </c>
      <c r="EL29" s="2813">
        <f t="shared" si="388"/>
        <v>0</v>
      </c>
      <c r="EM29" s="2761">
        <f t="shared" si="389"/>
        <v>2976.5645089784157</v>
      </c>
      <c r="EN29" s="2810">
        <f>SUM(EN15*EN38)</f>
        <v>2976.5645089784157</v>
      </c>
      <c r="EO29" s="2810"/>
      <c r="EP29" s="2761">
        <f t="shared" si="390"/>
        <v>0</v>
      </c>
      <c r="EQ29" s="2811"/>
      <c r="ER29" s="2811"/>
      <c r="ES29" s="2776">
        <f t="shared" ref="ES29:ES31" si="409">SUM(ET29:EU29)</f>
        <v>2740.482</v>
      </c>
      <c r="ET29" s="2776">
        <v>2740.482</v>
      </c>
      <c r="EU29" s="2776"/>
      <c r="EV29" s="2761">
        <f t="shared" si="391"/>
        <v>2976.5645089784157</v>
      </c>
      <c r="EW29" s="2810">
        <f>SUM(EW15*EW38)</f>
        <v>2976.5645089784157</v>
      </c>
      <c r="EX29" s="2810"/>
      <c r="EY29" s="2761">
        <f t="shared" si="392"/>
        <v>0</v>
      </c>
      <c r="EZ29" s="2811"/>
      <c r="FA29" s="2811"/>
      <c r="FB29" s="2776">
        <f t="shared" ref="FB29:FB31" si="410">SUM(FC29:FD29)</f>
        <v>2806.4659799999999</v>
      </c>
      <c r="FC29" s="2776">
        <v>2806.4659799999999</v>
      </c>
      <c r="FD29" s="2776"/>
      <c r="FE29" s="2761">
        <f t="shared" si="393"/>
        <v>2976.5645089784157</v>
      </c>
      <c r="FF29" s="2810">
        <f>SUM(FF15*FF38)</f>
        <v>2976.5645089784157</v>
      </c>
      <c r="FG29" s="2810"/>
      <c r="FH29" s="2761">
        <f t="shared" si="394"/>
        <v>0</v>
      </c>
      <c r="FI29" s="2811"/>
      <c r="FJ29" s="2811"/>
      <c r="FK29" s="2776">
        <f t="shared" ref="FK29:FK31" si="411">SUM(FL29:FM29)</f>
        <v>2928.6987800000002</v>
      </c>
      <c r="FL29" s="2776">
        <v>2928.6987800000002</v>
      </c>
      <c r="FM29" s="2776"/>
      <c r="FN29" s="2812">
        <f t="shared" si="395"/>
        <v>8929.6935269352471</v>
      </c>
      <c r="FO29" s="2812">
        <f t="shared" si="395"/>
        <v>8929.6935269352471</v>
      </c>
      <c r="FP29" s="2812">
        <f t="shared" si="395"/>
        <v>0</v>
      </c>
      <c r="FQ29" s="2812">
        <f t="shared" si="395"/>
        <v>0</v>
      </c>
      <c r="FR29" s="2812">
        <f t="shared" si="395"/>
        <v>0</v>
      </c>
      <c r="FS29" s="2812">
        <f t="shared" si="395"/>
        <v>0</v>
      </c>
      <c r="FT29" s="2812">
        <f t="shared" si="395"/>
        <v>8475.6467599999996</v>
      </c>
      <c r="FU29" s="2812">
        <f t="shared" si="395"/>
        <v>8475.6467599999996</v>
      </c>
      <c r="FV29" s="2812">
        <f t="shared" si="395"/>
        <v>0</v>
      </c>
      <c r="FW29" s="2813">
        <f t="shared" si="396"/>
        <v>-8929.6935269352471</v>
      </c>
      <c r="FX29" s="2813">
        <f t="shared" si="396"/>
        <v>-8929.6935269352471</v>
      </c>
      <c r="FY29" s="2813">
        <f t="shared" si="396"/>
        <v>0</v>
      </c>
      <c r="FZ29" s="2802">
        <f t="shared" si="397"/>
        <v>35718.774107740988</v>
      </c>
      <c r="GA29" s="2802">
        <f t="shared" si="397"/>
        <v>35718.774107740988</v>
      </c>
      <c r="GB29" s="2802">
        <f t="shared" si="398"/>
        <v>0</v>
      </c>
      <c r="GC29" s="2812">
        <f t="shared" si="398"/>
        <v>20605.760719999998</v>
      </c>
      <c r="GD29" s="2812">
        <f t="shared" si="398"/>
        <v>20605.760719999998</v>
      </c>
      <c r="GE29" s="2812">
        <f t="shared" si="398"/>
        <v>0</v>
      </c>
      <c r="GF29" s="2812">
        <f t="shared" si="398"/>
        <v>27276.317759999998</v>
      </c>
      <c r="GG29" s="2812">
        <f t="shared" si="398"/>
        <v>27276.317759999998</v>
      </c>
      <c r="GH29" s="2812">
        <f t="shared" si="398"/>
        <v>0</v>
      </c>
      <c r="GI29" s="2813">
        <f t="shared" si="399"/>
        <v>-15113.01338774099</v>
      </c>
      <c r="GJ29" s="2813">
        <f t="shared" si="399"/>
        <v>-15113.01338774099</v>
      </c>
      <c r="GK29" s="2813">
        <f t="shared" si="399"/>
        <v>0</v>
      </c>
      <c r="GL29" s="565"/>
      <c r="GM29" s="3576">
        <f t="shared" si="400"/>
        <v>35718.774107740988</v>
      </c>
    </row>
    <row r="30" spans="1:195" ht="18.75" x14ac:dyDescent="0.3">
      <c r="A30" s="2777" t="s">
        <v>3742</v>
      </c>
      <c r="B30" s="4382">
        <f t="shared" si="360"/>
        <v>3647.9915087423001</v>
      </c>
      <c r="C30" s="4399">
        <f>SUM(C16*C39)</f>
        <v>3647.9915087423001</v>
      </c>
      <c r="D30" s="4399"/>
      <c r="E30" s="2761">
        <f t="shared" si="361"/>
        <v>3628.3589080000002</v>
      </c>
      <c r="F30" s="2811">
        <v>3628.3589080000002</v>
      </c>
      <c r="G30" s="2811"/>
      <c r="H30" s="2776">
        <f t="shared" si="401"/>
        <v>2990.9090000000001</v>
      </c>
      <c r="I30" s="3840">
        <v>2990.9090000000001</v>
      </c>
      <c r="J30" s="3840"/>
      <c r="K30" s="2761">
        <f t="shared" si="362"/>
        <v>3647.9915087423001</v>
      </c>
      <c r="L30" s="2810">
        <f>SUM(L16*L39)</f>
        <v>3647.9915087423001</v>
      </c>
      <c r="M30" s="2810"/>
      <c r="N30" s="2761">
        <f t="shared" si="363"/>
        <v>3716.6760669999999</v>
      </c>
      <c r="O30" s="2811">
        <v>3716.6760669999999</v>
      </c>
      <c r="P30" s="2811"/>
      <c r="Q30" s="2776">
        <f t="shared" si="402"/>
        <v>3036.9949999999999</v>
      </c>
      <c r="R30" s="3840">
        <v>3036.9949999999999</v>
      </c>
      <c r="S30" s="3840"/>
      <c r="T30" s="2761">
        <f t="shared" si="364"/>
        <v>3647.9915087423001</v>
      </c>
      <c r="U30" s="2810">
        <f>SUM(U16*U39)</f>
        <v>3647.9915087423001</v>
      </c>
      <c r="V30" s="2810"/>
      <c r="W30" s="2761">
        <f t="shared" si="365"/>
        <v>3562.8007419999999</v>
      </c>
      <c r="X30" s="2811">
        <v>3562.8007419999999</v>
      </c>
      <c r="Y30" s="2811"/>
      <c r="Z30" s="3849">
        <f t="shared" si="366"/>
        <v>2841.8919999999998</v>
      </c>
      <c r="AA30" s="3840">
        <v>2841.8919999999998</v>
      </c>
      <c r="AB30" s="3840"/>
      <c r="AC30" s="2812">
        <f t="shared" si="367"/>
        <v>10943.974526226901</v>
      </c>
      <c r="AD30" s="2812">
        <f t="shared" si="367"/>
        <v>10943.974526226901</v>
      </c>
      <c r="AE30" s="2812">
        <f t="shared" si="367"/>
        <v>0</v>
      </c>
      <c r="AF30" s="2812">
        <f t="shared" si="367"/>
        <v>10907.835717</v>
      </c>
      <c r="AG30" s="2812">
        <f t="shared" si="367"/>
        <v>10907.835717</v>
      </c>
      <c r="AH30" s="2812">
        <f t="shared" si="367"/>
        <v>0</v>
      </c>
      <c r="AI30" s="2812">
        <f t="shared" si="367"/>
        <v>8869.7960000000003</v>
      </c>
      <c r="AJ30" s="2812">
        <f t="shared" si="367"/>
        <v>8869.7960000000003</v>
      </c>
      <c r="AK30" s="2812">
        <f t="shared" si="367"/>
        <v>0</v>
      </c>
      <c r="AL30" s="2813">
        <f t="shared" si="368"/>
        <v>-36.138809226900776</v>
      </c>
      <c r="AM30" s="2813">
        <f t="shared" si="368"/>
        <v>-36.138809226900776</v>
      </c>
      <c r="AN30" s="2813">
        <f t="shared" si="368"/>
        <v>0</v>
      </c>
      <c r="AO30" s="2761">
        <f t="shared" si="369"/>
        <v>3647.9915087423001</v>
      </c>
      <c r="AP30" s="2810">
        <f>SUM(AP16*AP39)</f>
        <v>3647.9915087423001</v>
      </c>
      <c r="AQ30" s="2810"/>
      <c r="AR30" s="2762">
        <f t="shared" si="370"/>
        <v>3362.2951250000001</v>
      </c>
      <c r="AS30" s="2814">
        <v>3362.2951250000001</v>
      </c>
      <c r="AT30" s="2814"/>
      <c r="AU30" s="2776">
        <f t="shared" si="403"/>
        <v>2924.6729999999998</v>
      </c>
      <c r="AV30" s="3841">
        <v>2924.6729999999998</v>
      </c>
      <c r="AW30" s="3841"/>
      <c r="AX30" s="2761">
        <f t="shared" si="371"/>
        <v>3647.9915087423001</v>
      </c>
      <c r="AY30" s="2810">
        <f>SUM(AY16*AY39)</f>
        <v>3647.9915087423001</v>
      </c>
      <c r="AZ30" s="2810"/>
      <c r="BA30" s="2761">
        <f t="shared" si="372"/>
        <v>3109.6752000000001</v>
      </c>
      <c r="BB30" s="2811">
        <v>3109.6752000000001</v>
      </c>
      <c r="BC30" s="2811"/>
      <c r="BD30" s="2776">
        <f t="shared" si="404"/>
        <v>2854.857</v>
      </c>
      <c r="BE30" s="3840">
        <v>2854.857</v>
      </c>
      <c r="BF30" s="3840"/>
      <c r="BG30" s="2761">
        <f t="shared" si="373"/>
        <v>3647.9915087423001</v>
      </c>
      <c r="BH30" s="2810">
        <f>SUM(BH16*BH39)</f>
        <v>3647.9915087423001</v>
      </c>
      <c r="BI30" s="2810"/>
      <c r="BJ30" s="2761">
        <f t="shared" si="374"/>
        <v>3315.9549999999999</v>
      </c>
      <c r="BK30" s="2811">
        <v>3315.9549999999999</v>
      </c>
      <c r="BL30" s="2811"/>
      <c r="BM30" s="2776">
        <f t="shared" si="405"/>
        <v>2844.7150000000001</v>
      </c>
      <c r="BN30" s="3840">
        <v>2844.7150000000001</v>
      </c>
      <c r="BO30" s="3840"/>
      <c r="BP30" s="2812">
        <f t="shared" si="375"/>
        <v>10943.974526226901</v>
      </c>
      <c r="BQ30" s="2812">
        <f t="shared" si="375"/>
        <v>10943.974526226901</v>
      </c>
      <c r="BR30" s="2812">
        <f t="shared" si="375"/>
        <v>0</v>
      </c>
      <c r="BS30" s="2812">
        <f t="shared" si="375"/>
        <v>9787.9253250000002</v>
      </c>
      <c r="BT30" s="2812">
        <f t="shared" si="375"/>
        <v>9787.9253250000002</v>
      </c>
      <c r="BU30" s="2812">
        <f t="shared" si="375"/>
        <v>0</v>
      </c>
      <c r="BV30" s="2812">
        <f t="shared" si="375"/>
        <v>8624.244999999999</v>
      </c>
      <c r="BW30" s="2812">
        <f t="shared" si="375"/>
        <v>8624.244999999999</v>
      </c>
      <c r="BX30" s="2812">
        <f t="shared" si="375"/>
        <v>0</v>
      </c>
      <c r="BY30" s="2813">
        <f t="shared" si="376"/>
        <v>-1156.0492012269005</v>
      </c>
      <c r="BZ30" s="2813">
        <f t="shared" si="376"/>
        <v>-1156.0492012269005</v>
      </c>
      <c r="CA30" s="2813">
        <f t="shared" si="376"/>
        <v>0</v>
      </c>
      <c r="CB30" s="2812">
        <f t="shared" si="377"/>
        <v>21887.949052453801</v>
      </c>
      <c r="CC30" s="2812">
        <f t="shared" si="377"/>
        <v>21887.949052453801</v>
      </c>
      <c r="CD30" s="2812">
        <f t="shared" si="377"/>
        <v>0</v>
      </c>
      <c r="CE30" s="2812">
        <f t="shared" si="377"/>
        <v>20695.761041999998</v>
      </c>
      <c r="CF30" s="2812">
        <f t="shared" si="377"/>
        <v>20695.761041999998</v>
      </c>
      <c r="CG30" s="2812">
        <f t="shared" si="377"/>
        <v>0</v>
      </c>
      <c r="CH30" s="2812">
        <f t="shared" si="377"/>
        <v>17494.040999999997</v>
      </c>
      <c r="CI30" s="2812">
        <f t="shared" si="377"/>
        <v>17494.040999999997</v>
      </c>
      <c r="CJ30" s="2812">
        <f t="shared" si="377"/>
        <v>0</v>
      </c>
      <c r="CK30" s="2813">
        <f t="shared" si="378"/>
        <v>-1192.1880104538031</v>
      </c>
      <c r="CL30" s="2813">
        <f t="shared" si="378"/>
        <v>-1192.1880104538031</v>
      </c>
      <c r="CM30" s="2813">
        <f t="shared" si="378"/>
        <v>0</v>
      </c>
      <c r="CN30" s="2761">
        <f t="shared" si="379"/>
        <v>3647.9915087423001</v>
      </c>
      <c r="CO30" s="2810">
        <f>SUM(CO16*CO39)</f>
        <v>3647.9915087423001</v>
      </c>
      <c r="CP30" s="2810"/>
      <c r="CQ30" s="2762">
        <f t="shared" si="380"/>
        <v>3034.0651079999998</v>
      </c>
      <c r="CR30" s="2814">
        <v>3034.0651079999998</v>
      </c>
      <c r="CS30" s="2814"/>
      <c r="CT30" s="2776">
        <f t="shared" si="406"/>
        <v>2983.4140000000002</v>
      </c>
      <c r="CU30" s="3840">
        <v>2983.4140000000002</v>
      </c>
      <c r="CV30" s="3840"/>
      <c r="CW30" s="2761">
        <f t="shared" si="381"/>
        <v>3647.9915087423001</v>
      </c>
      <c r="CX30" s="2810">
        <f>SUM(CX16*CX39)</f>
        <v>3647.9915087423001</v>
      </c>
      <c r="CY30" s="2810"/>
      <c r="CZ30" s="2761">
        <f t="shared" si="382"/>
        <v>0</v>
      </c>
      <c r="DA30" s="2811"/>
      <c r="DB30" s="2811"/>
      <c r="DC30" s="2776">
        <f t="shared" si="407"/>
        <v>2968.424</v>
      </c>
      <c r="DD30" s="3840">
        <v>2968.424</v>
      </c>
      <c r="DE30" s="3840"/>
      <c r="DF30" s="2761">
        <f t="shared" si="383"/>
        <v>3647.9915087423001</v>
      </c>
      <c r="DG30" s="2810">
        <f>SUM(DG16*DG39)</f>
        <v>3647.9915087423001</v>
      </c>
      <c r="DH30" s="2810"/>
      <c r="DI30" s="2761">
        <f t="shared" si="384"/>
        <v>0</v>
      </c>
      <c r="DJ30" s="2811"/>
      <c r="DK30" s="2811"/>
      <c r="DL30" s="2776">
        <f t="shared" si="408"/>
        <v>3688.7741500000002</v>
      </c>
      <c r="DM30" s="3840">
        <v>3688.7741500000002</v>
      </c>
      <c r="DN30" s="3840"/>
      <c r="DO30" s="2812">
        <f t="shared" si="385"/>
        <v>10943.974526226901</v>
      </c>
      <c r="DP30" s="2812">
        <f t="shared" si="385"/>
        <v>10943.974526226901</v>
      </c>
      <c r="DQ30" s="2812">
        <f t="shared" si="385"/>
        <v>0</v>
      </c>
      <c r="DR30" s="2812">
        <f t="shared" si="385"/>
        <v>3034.0651079999998</v>
      </c>
      <c r="DS30" s="2812">
        <f t="shared" si="385"/>
        <v>3034.0651079999998</v>
      </c>
      <c r="DT30" s="2812">
        <f t="shared" si="385"/>
        <v>0</v>
      </c>
      <c r="DU30" s="2812">
        <f t="shared" si="385"/>
        <v>9640.6121500000008</v>
      </c>
      <c r="DV30" s="2812">
        <f t="shared" si="385"/>
        <v>9640.6121500000008</v>
      </c>
      <c r="DW30" s="2812">
        <f t="shared" si="385"/>
        <v>0</v>
      </c>
      <c r="DX30" s="2813">
        <f t="shared" si="386"/>
        <v>-7909.9094182269009</v>
      </c>
      <c r="DY30" s="2813">
        <f t="shared" si="386"/>
        <v>-7909.9094182269009</v>
      </c>
      <c r="DZ30" s="2813">
        <f t="shared" si="386"/>
        <v>0</v>
      </c>
      <c r="EA30" s="2812">
        <f t="shared" si="387"/>
        <v>32831.923578680704</v>
      </c>
      <c r="EB30" s="2812">
        <f t="shared" si="387"/>
        <v>32831.923578680704</v>
      </c>
      <c r="EC30" s="2812">
        <f t="shared" si="387"/>
        <v>0</v>
      </c>
      <c r="ED30" s="2802">
        <f t="shared" si="387"/>
        <v>23729.826149999997</v>
      </c>
      <c r="EE30" s="2802">
        <f t="shared" si="387"/>
        <v>23729.826149999997</v>
      </c>
      <c r="EF30" s="2802">
        <f t="shared" si="387"/>
        <v>0</v>
      </c>
      <c r="EG30" s="2812">
        <f t="shared" si="387"/>
        <v>27134.653149999998</v>
      </c>
      <c r="EH30" s="2812">
        <f t="shared" si="387"/>
        <v>27134.653149999998</v>
      </c>
      <c r="EI30" s="2812">
        <f t="shared" si="387"/>
        <v>0</v>
      </c>
      <c r="EJ30" s="2813">
        <f t="shared" si="388"/>
        <v>-9102.0974286807068</v>
      </c>
      <c r="EK30" s="2813">
        <f t="shared" si="388"/>
        <v>-9102.0974286807068</v>
      </c>
      <c r="EL30" s="2813">
        <f t="shared" si="388"/>
        <v>0</v>
      </c>
      <c r="EM30" s="2761">
        <f t="shared" si="389"/>
        <v>3647.9915087423001</v>
      </c>
      <c r="EN30" s="2810">
        <f>SUM(EN16*EN39)</f>
        <v>3647.9915087423001</v>
      </c>
      <c r="EO30" s="2810"/>
      <c r="EP30" s="2761">
        <f t="shared" si="390"/>
        <v>0</v>
      </c>
      <c r="EQ30" s="2811"/>
      <c r="ER30" s="2811"/>
      <c r="ES30" s="2776">
        <f t="shared" si="409"/>
        <v>3587.7170000000001</v>
      </c>
      <c r="ET30" s="2776">
        <v>3587.7170000000001</v>
      </c>
      <c r="EU30" s="2776"/>
      <c r="EV30" s="2761">
        <f t="shared" si="391"/>
        <v>3647.9915087423001</v>
      </c>
      <c r="EW30" s="2810">
        <f>SUM(EW16*EW39)</f>
        <v>3647.9915087423001</v>
      </c>
      <c r="EX30" s="2810"/>
      <c r="EY30" s="2761">
        <f t="shared" si="392"/>
        <v>0</v>
      </c>
      <c r="EZ30" s="2811"/>
      <c r="FA30" s="2811"/>
      <c r="FB30" s="2776">
        <f t="shared" si="410"/>
        <v>3512.7543500000002</v>
      </c>
      <c r="FC30" s="2776">
        <v>3512.7543500000002</v>
      </c>
      <c r="FD30" s="2776"/>
      <c r="FE30" s="2761">
        <f t="shared" si="393"/>
        <v>3647.9915087423001</v>
      </c>
      <c r="FF30" s="2810">
        <f>SUM(FF16*FF39)</f>
        <v>3647.9915087423001</v>
      </c>
      <c r="FG30" s="2810"/>
      <c r="FH30" s="2761">
        <f t="shared" si="394"/>
        <v>0</v>
      </c>
      <c r="FI30" s="2811"/>
      <c r="FJ30" s="2811"/>
      <c r="FK30" s="2776">
        <f t="shared" si="411"/>
        <v>4008.0385919999999</v>
      </c>
      <c r="FL30" s="2776">
        <v>4008.0385919999999</v>
      </c>
      <c r="FM30" s="2776"/>
      <c r="FN30" s="2812">
        <f t="shared" si="395"/>
        <v>10943.974526226901</v>
      </c>
      <c r="FO30" s="2812">
        <f t="shared" si="395"/>
        <v>10943.974526226901</v>
      </c>
      <c r="FP30" s="2812">
        <f t="shared" si="395"/>
        <v>0</v>
      </c>
      <c r="FQ30" s="2812">
        <f t="shared" si="395"/>
        <v>0</v>
      </c>
      <c r="FR30" s="2812">
        <f t="shared" si="395"/>
        <v>0</v>
      </c>
      <c r="FS30" s="2812">
        <f t="shared" si="395"/>
        <v>0</v>
      </c>
      <c r="FT30" s="2812">
        <f t="shared" si="395"/>
        <v>11108.509942000001</v>
      </c>
      <c r="FU30" s="2812">
        <f t="shared" si="395"/>
        <v>11108.509942000001</v>
      </c>
      <c r="FV30" s="2812">
        <f t="shared" si="395"/>
        <v>0</v>
      </c>
      <c r="FW30" s="2813">
        <f t="shared" si="396"/>
        <v>-10943.974526226901</v>
      </c>
      <c r="FX30" s="2813">
        <f t="shared" si="396"/>
        <v>-10943.974526226901</v>
      </c>
      <c r="FY30" s="2813">
        <f t="shared" si="396"/>
        <v>0</v>
      </c>
      <c r="FZ30" s="2802">
        <f t="shared" si="397"/>
        <v>43775.898104907603</v>
      </c>
      <c r="GA30" s="2802">
        <f t="shared" si="397"/>
        <v>43775.898104907603</v>
      </c>
      <c r="GB30" s="2802">
        <f t="shared" si="398"/>
        <v>0</v>
      </c>
      <c r="GC30" s="2812">
        <f t="shared" si="398"/>
        <v>23729.826149999997</v>
      </c>
      <c r="GD30" s="2812">
        <f t="shared" si="398"/>
        <v>23729.826149999997</v>
      </c>
      <c r="GE30" s="2812">
        <f t="shared" si="398"/>
        <v>0</v>
      </c>
      <c r="GF30" s="2812">
        <f t="shared" si="398"/>
        <v>38243.163092000003</v>
      </c>
      <c r="GG30" s="2812">
        <f t="shared" si="398"/>
        <v>38243.163092000003</v>
      </c>
      <c r="GH30" s="2812">
        <f t="shared" si="398"/>
        <v>0</v>
      </c>
      <c r="GI30" s="2813">
        <f t="shared" si="399"/>
        <v>-20046.071954907606</v>
      </c>
      <c r="GJ30" s="2813">
        <f t="shared" si="399"/>
        <v>-20046.071954907606</v>
      </c>
      <c r="GK30" s="2813">
        <f t="shared" si="399"/>
        <v>0</v>
      </c>
      <c r="GL30" s="565"/>
      <c r="GM30" s="3576">
        <f t="shared" si="400"/>
        <v>43775.898104907603</v>
      </c>
    </row>
    <row r="31" spans="1:195" ht="18.75" x14ac:dyDescent="0.3">
      <c r="A31" s="2777" t="s">
        <v>1693</v>
      </c>
      <c r="B31" s="4382">
        <f t="shared" si="360"/>
        <v>2.929331021786147</v>
      </c>
      <c r="C31" s="4399"/>
      <c r="D31" s="4399">
        <f>SUM(D16*D40)</f>
        <v>2.929331021786147</v>
      </c>
      <c r="E31" s="2761">
        <f t="shared" si="361"/>
        <v>0</v>
      </c>
      <c r="F31" s="2811">
        <v>0</v>
      </c>
      <c r="G31" s="2811">
        <v>0</v>
      </c>
      <c r="H31" s="2776">
        <f t="shared" si="401"/>
        <v>1.7370000000000001</v>
      </c>
      <c r="I31" s="3840"/>
      <c r="J31" s="3840">
        <v>1.7370000000000001</v>
      </c>
      <c r="K31" s="2761">
        <f t="shared" si="362"/>
        <v>2.929331021786147</v>
      </c>
      <c r="L31" s="2810"/>
      <c r="M31" s="2810">
        <f>SUM(M16*M40)</f>
        <v>2.929331021786147</v>
      </c>
      <c r="N31" s="2761">
        <f t="shared" si="363"/>
        <v>0</v>
      </c>
      <c r="O31" s="2811">
        <v>0</v>
      </c>
      <c r="P31" s="2811">
        <v>0</v>
      </c>
      <c r="Q31" s="2776">
        <f t="shared" si="402"/>
        <v>1.528</v>
      </c>
      <c r="R31" s="3840"/>
      <c r="S31" s="3840">
        <v>1.528</v>
      </c>
      <c r="T31" s="2761">
        <f t="shared" si="364"/>
        <v>2.929331021786147</v>
      </c>
      <c r="U31" s="2810"/>
      <c r="V31" s="2810">
        <f>SUM(V16*V40)</f>
        <v>2.929331021786147</v>
      </c>
      <c r="W31" s="2761">
        <f t="shared" si="365"/>
        <v>0</v>
      </c>
      <c r="X31" s="2811">
        <v>0</v>
      </c>
      <c r="Y31" s="2811">
        <v>0</v>
      </c>
      <c r="Z31" s="3849">
        <f t="shared" si="366"/>
        <v>2.093</v>
      </c>
      <c r="AA31" s="3840"/>
      <c r="AB31" s="3840">
        <v>2.093</v>
      </c>
      <c r="AC31" s="2812">
        <f t="shared" si="367"/>
        <v>8.7879930653584406</v>
      </c>
      <c r="AD31" s="2812">
        <f t="shared" si="367"/>
        <v>0</v>
      </c>
      <c r="AE31" s="2812">
        <f t="shared" si="367"/>
        <v>8.7879930653584406</v>
      </c>
      <c r="AF31" s="2812">
        <f t="shared" si="367"/>
        <v>0</v>
      </c>
      <c r="AG31" s="2812">
        <f t="shared" si="367"/>
        <v>0</v>
      </c>
      <c r="AH31" s="2812">
        <f t="shared" si="367"/>
        <v>0</v>
      </c>
      <c r="AI31" s="2812">
        <f t="shared" si="367"/>
        <v>5.3580000000000005</v>
      </c>
      <c r="AJ31" s="2812">
        <f t="shared" si="367"/>
        <v>0</v>
      </c>
      <c r="AK31" s="2812">
        <f t="shared" si="367"/>
        <v>5.3580000000000005</v>
      </c>
      <c r="AL31" s="2813">
        <f t="shared" si="368"/>
        <v>-8.7879930653584406</v>
      </c>
      <c r="AM31" s="2813">
        <f t="shared" si="368"/>
        <v>0</v>
      </c>
      <c r="AN31" s="2813">
        <f t="shared" si="368"/>
        <v>-8.7879930653584406</v>
      </c>
      <c r="AO31" s="2761">
        <f t="shared" si="369"/>
        <v>2.929331021786147</v>
      </c>
      <c r="AP31" s="2810"/>
      <c r="AQ31" s="2810">
        <f>SUM(AQ16*AQ40)</f>
        <v>2.929331021786147</v>
      </c>
      <c r="AR31" s="2762">
        <f t="shared" si="370"/>
        <v>0</v>
      </c>
      <c r="AS31" s="2814">
        <v>0</v>
      </c>
      <c r="AT31" s="2814">
        <v>0</v>
      </c>
      <c r="AU31" s="2776">
        <f t="shared" si="403"/>
        <v>10.465</v>
      </c>
      <c r="AV31" s="3841">
        <v>0</v>
      </c>
      <c r="AW31" s="3841">
        <v>10.465</v>
      </c>
      <c r="AX31" s="2761">
        <f t="shared" si="371"/>
        <v>2.929331021786147</v>
      </c>
      <c r="AY31" s="2810"/>
      <c r="AZ31" s="2810">
        <f>SUM(AZ16*AZ40)</f>
        <v>2.929331021786147</v>
      </c>
      <c r="BA31" s="2761">
        <f t="shared" si="372"/>
        <v>0</v>
      </c>
      <c r="BB31" s="2811">
        <v>0</v>
      </c>
      <c r="BC31" s="2811">
        <v>0</v>
      </c>
      <c r="BD31" s="2776">
        <f t="shared" si="404"/>
        <v>0.73199999999999998</v>
      </c>
      <c r="BE31" s="3840"/>
      <c r="BF31" s="3840">
        <v>0.73199999999999998</v>
      </c>
      <c r="BG31" s="2761">
        <f t="shared" si="373"/>
        <v>2.929331021786147</v>
      </c>
      <c r="BH31" s="2810"/>
      <c r="BI31" s="2810">
        <f>SUM(BI16*BI40)</f>
        <v>2.929331021786147</v>
      </c>
      <c r="BJ31" s="2761">
        <f t="shared" si="374"/>
        <v>0</v>
      </c>
      <c r="BK31" s="2811">
        <v>0</v>
      </c>
      <c r="BL31" s="2811">
        <v>0</v>
      </c>
      <c r="BM31" s="2776">
        <f t="shared" si="405"/>
        <v>0</v>
      </c>
      <c r="BN31" s="3840"/>
      <c r="BO31" s="3840">
        <v>0</v>
      </c>
      <c r="BP31" s="2812">
        <f t="shared" si="375"/>
        <v>8.7879930653584406</v>
      </c>
      <c r="BQ31" s="2812">
        <f t="shared" si="375"/>
        <v>0</v>
      </c>
      <c r="BR31" s="2812">
        <f t="shared" si="375"/>
        <v>8.7879930653584406</v>
      </c>
      <c r="BS31" s="2812">
        <f t="shared" si="375"/>
        <v>0</v>
      </c>
      <c r="BT31" s="2812">
        <f t="shared" si="375"/>
        <v>0</v>
      </c>
      <c r="BU31" s="2812">
        <f t="shared" si="375"/>
        <v>0</v>
      </c>
      <c r="BV31" s="2812">
        <f t="shared" si="375"/>
        <v>11.196999999999999</v>
      </c>
      <c r="BW31" s="2812">
        <f t="shared" si="375"/>
        <v>0</v>
      </c>
      <c r="BX31" s="2812">
        <f t="shared" si="375"/>
        <v>11.196999999999999</v>
      </c>
      <c r="BY31" s="2813">
        <f t="shared" si="376"/>
        <v>-8.7879930653584406</v>
      </c>
      <c r="BZ31" s="2813">
        <f t="shared" si="376"/>
        <v>0</v>
      </c>
      <c r="CA31" s="2813">
        <f t="shared" si="376"/>
        <v>-8.7879930653584406</v>
      </c>
      <c r="CB31" s="2812">
        <f t="shared" si="377"/>
        <v>17.575986130716881</v>
      </c>
      <c r="CC31" s="2812">
        <f t="shared" si="377"/>
        <v>0</v>
      </c>
      <c r="CD31" s="2812">
        <f t="shared" si="377"/>
        <v>17.575986130716881</v>
      </c>
      <c r="CE31" s="2812">
        <f t="shared" si="377"/>
        <v>0</v>
      </c>
      <c r="CF31" s="2812">
        <f t="shared" si="377"/>
        <v>0</v>
      </c>
      <c r="CG31" s="2812">
        <f t="shared" si="377"/>
        <v>0</v>
      </c>
      <c r="CH31" s="2812">
        <f t="shared" si="377"/>
        <v>16.555</v>
      </c>
      <c r="CI31" s="2812">
        <f t="shared" si="377"/>
        <v>0</v>
      </c>
      <c r="CJ31" s="2812">
        <f t="shared" si="377"/>
        <v>16.555</v>
      </c>
      <c r="CK31" s="2813">
        <f t="shared" si="378"/>
        <v>-17.575986130716881</v>
      </c>
      <c r="CL31" s="2813">
        <f t="shared" si="378"/>
        <v>0</v>
      </c>
      <c r="CM31" s="2813">
        <f t="shared" si="378"/>
        <v>-17.575986130716881</v>
      </c>
      <c r="CN31" s="2761">
        <f t="shared" si="379"/>
        <v>2.929331021786147</v>
      </c>
      <c r="CO31" s="2810"/>
      <c r="CP31" s="2810">
        <f>SUM(CP16*CP40)</f>
        <v>2.929331021786147</v>
      </c>
      <c r="CQ31" s="2762">
        <f t="shared" si="380"/>
        <v>0</v>
      </c>
      <c r="CR31" s="2814">
        <v>0</v>
      </c>
      <c r="CS31" s="2814">
        <v>0</v>
      </c>
      <c r="CT31" s="2776">
        <f t="shared" si="406"/>
        <v>0</v>
      </c>
      <c r="CU31" s="3840">
        <v>0</v>
      </c>
      <c r="CV31" s="3840">
        <v>0</v>
      </c>
      <c r="CW31" s="2761">
        <f t="shared" si="381"/>
        <v>2.929331021786147</v>
      </c>
      <c r="CX31" s="2810"/>
      <c r="CY31" s="2810">
        <f>SUM(CY16*CY40)</f>
        <v>2.929331021786147</v>
      </c>
      <c r="CZ31" s="2761">
        <f t="shared" si="382"/>
        <v>0</v>
      </c>
      <c r="DA31" s="2811"/>
      <c r="DB31" s="2811"/>
      <c r="DC31" s="2776">
        <f t="shared" si="407"/>
        <v>0</v>
      </c>
      <c r="DD31" s="3840">
        <v>0</v>
      </c>
      <c r="DE31" s="3840">
        <v>0</v>
      </c>
      <c r="DF31" s="2761">
        <f t="shared" si="383"/>
        <v>2.929331021786147</v>
      </c>
      <c r="DG31" s="2810"/>
      <c r="DH31" s="2810">
        <f>SUM(DH16*DH40)</f>
        <v>2.929331021786147</v>
      </c>
      <c r="DI31" s="2761">
        <f t="shared" si="384"/>
        <v>0</v>
      </c>
      <c r="DJ31" s="2811"/>
      <c r="DK31" s="2811"/>
      <c r="DL31" s="2776">
        <f t="shared" si="408"/>
        <v>0</v>
      </c>
      <c r="DM31" s="3840">
        <v>0</v>
      </c>
      <c r="DN31" s="3840">
        <v>0</v>
      </c>
      <c r="DO31" s="2812">
        <f t="shared" si="385"/>
        <v>8.7879930653584406</v>
      </c>
      <c r="DP31" s="2812">
        <f t="shared" si="385"/>
        <v>0</v>
      </c>
      <c r="DQ31" s="2812">
        <f t="shared" si="385"/>
        <v>8.7879930653584406</v>
      </c>
      <c r="DR31" s="2812">
        <f t="shared" si="385"/>
        <v>0</v>
      </c>
      <c r="DS31" s="2812">
        <f t="shared" si="385"/>
        <v>0</v>
      </c>
      <c r="DT31" s="2812">
        <f t="shared" si="385"/>
        <v>0</v>
      </c>
      <c r="DU31" s="2812">
        <f t="shared" si="385"/>
        <v>0</v>
      </c>
      <c r="DV31" s="2812">
        <f t="shared" si="385"/>
        <v>0</v>
      </c>
      <c r="DW31" s="2812">
        <f t="shared" si="385"/>
        <v>0</v>
      </c>
      <c r="DX31" s="2813">
        <f t="shared" si="386"/>
        <v>-8.7879930653584406</v>
      </c>
      <c r="DY31" s="2813">
        <f t="shared" si="386"/>
        <v>0</v>
      </c>
      <c r="DZ31" s="2813">
        <f t="shared" si="386"/>
        <v>-8.7879930653584406</v>
      </c>
      <c r="EA31" s="2812">
        <f t="shared" si="387"/>
        <v>26.36397919607532</v>
      </c>
      <c r="EB31" s="2812">
        <f t="shared" si="387"/>
        <v>0</v>
      </c>
      <c r="EC31" s="2812">
        <f t="shared" si="387"/>
        <v>26.36397919607532</v>
      </c>
      <c r="ED31" s="2802">
        <f t="shared" si="387"/>
        <v>0</v>
      </c>
      <c r="EE31" s="2802">
        <f t="shared" si="387"/>
        <v>0</v>
      </c>
      <c r="EF31" s="2802">
        <f t="shared" si="387"/>
        <v>0</v>
      </c>
      <c r="EG31" s="2812">
        <f t="shared" si="387"/>
        <v>16.555</v>
      </c>
      <c r="EH31" s="2812">
        <f t="shared" si="387"/>
        <v>0</v>
      </c>
      <c r="EI31" s="2812">
        <f t="shared" si="387"/>
        <v>16.555</v>
      </c>
      <c r="EJ31" s="2813">
        <f t="shared" si="388"/>
        <v>-26.36397919607532</v>
      </c>
      <c r="EK31" s="2813">
        <f t="shared" si="388"/>
        <v>0</v>
      </c>
      <c r="EL31" s="2813">
        <f t="shared" si="388"/>
        <v>-26.36397919607532</v>
      </c>
      <c r="EM31" s="2761">
        <f t="shared" si="389"/>
        <v>2.929331021786147</v>
      </c>
      <c r="EN31" s="2810"/>
      <c r="EO31" s="2810">
        <f>SUM(EO16*EO40)</f>
        <v>2.929331021786147</v>
      </c>
      <c r="EP31" s="2761">
        <f t="shared" si="390"/>
        <v>0</v>
      </c>
      <c r="EQ31" s="2811"/>
      <c r="ER31" s="2811"/>
      <c r="ES31" s="2776">
        <f t="shared" si="409"/>
        <v>0</v>
      </c>
      <c r="ET31" s="2776">
        <v>0</v>
      </c>
      <c r="EU31" s="2776">
        <v>0</v>
      </c>
      <c r="EV31" s="2761">
        <f t="shared" si="391"/>
        <v>2.929331021786147</v>
      </c>
      <c r="EW31" s="2810"/>
      <c r="EX31" s="2810">
        <f>SUM(EX16*EX40)</f>
        <v>2.929331021786147</v>
      </c>
      <c r="EY31" s="2761">
        <f t="shared" si="392"/>
        <v>0</v>
      </c>
      <c r="EZ31" s="2811"/>
      <c r="FA31" s="2811"/>
      <c r="FB31" s="2776">
        <f t="shared" si="410"/>
        <v>0</v>
      </c>
      <c r="FC31" s="2776">
        <v>0</v>
      </c>
      <c r="FD31" s="2776">
        <v>0</v>
      </c>
      <c r="FE31" s="2761">
        <f t="shared" si="393"/>
        <v>2.929331021786147</v>
      </c>
      <c r="FF31" s="2810"/>
      <c r="FG31" s="2810">
        <f>SUM(FG16*FG40)</f>
        <v>2.929331021786147</v>
      </c>
      <c r="FH31" s="2761">
        <f t="shared" si="394"/>
        <v>0</v>
      </c>
      <c r="FI31" s="2811"/>
      <c r="FJ31" s="2811"/>
      <c r="FK31" s="2776">
        <f t="shared" si="411"/>
        <v>0</v>
      </c>
      <c r="FL31" s="2776"/>
      <c r="FM31" s="2776">
        <v>0</v>
      </c>
      <c r="FN31" s="2812">
        <f t="shared" si="395"/>
        <v>8.7879930653584406</v>
      </c>
      <c r="FO31" s="2812">
        <f t="shared" si="395"/>
        <v>0</v>
      </c>
      <c r="FP31" s="2812">
        <f t="shared" si="395"/>
        <v>8.7879930653584406</v>
      </c>
      <c r="FQ31" s="2812">
        <f t="shared" si="395"/>
        <v>0</v>
      </c>
      <c r="FR31" s="2812">
        <f t="shared" si="395"/>
        <v>0</v>
      </c>
      <c r="FS31" s="2812">
        <f t="shared" si="395"/>
        <v>0</v>
      </c>
      <c r="FT31" s="2812">
        <f t="shared" si="395"/>
        <v>0</v>
      </c>
      <c r="FU31" s="2812">
        <f t="shared" si="395"/>
        <v>0</v>
      </c>
      <c r="FV31" s="2812">
        <f t="shared" si="395"/>
        <v>0</v>
      </c>
      <c r="FW31" s="2813">
        <f t="shared" si="396"/>
        <v>-8.7879930653584406</v>
      </c>
      <c r="FX31" s="2813">
        <f t="shared" si="396"/>
        <v>0</v>
      </c>
      <c r="FY31" s="2813">
        <f t="shared" si="396"/>
        <v>-8.7879930653584406</v>
      </c>
      <c r="FZ31" s="2802">
        <f t="shared" si="397"/>
        <v>35.151972261433762</v>
      </c>
      <c r="GA31" s="2802">
        <f t="shared" si="397"/>
        <v>0</v>
      </c>
      <c r="GB31" s="2802">
        <f t="shared" si="398"/>
        <v>35.151972261433762</v>
      </c>
      <c r="GC31" s="2812">
        <f t="shared" si="398"/>
        <v>0</v>
      </c>
      <c r="GD31" s="2812">
        <f t="shared" si="398"/>
        <v>0</v>
      </c>
      <c r="GE31" s="2812">
        <f t="shared" si="398"/>
        <v>0</v>
      </c>
      <c r="GF31" s="2812">
        <f t="shared" si="398"/>
        <v>16.555</v>
      </c>
      <c r="GG31" s="2812">
        <f t="shared" si="398"/>
        <v>0</v>
      </c>
      <c r="GH31" s="2812">
        <f t="shared" si="398"/>
        <v>16.555</v>
      </c>
      <c r="GI31" s="2813">
        <f t="shared" si="399"/>
        <v>-35.151972261433762</v>
      </c>
      <c r="GJ31" s="2813">
        <f t="shared" si="399"/>
        <v>0</v>
      </c>
      <c r="GK31" s="2813">
        <f t="shared" si="399"/>
        <v>-35.151972261433762</v>
      </c>
      <c r="GL31" s="565"/>
      <c r="GM31" s="3576">
        <f t="shared" si="400"/>
        <v>35.151972261433762</v>
      </c>
    </row>
    <row r="32" spans="1:195" ht="18.75" x14ac:dyDescent="0.3">
      <c r="A32" s="2777" t="s">
        <v>3743</v>
      </c>
      <c r="B32" s="4382">
        <f t="shared" si="360"/>
        <v>1360.9455309800937</v>
      </c>
      <c r="C32" s="4399">
        <f>SUM(C33:C34)</f>
        <v>1360.9455309800937</v>
      </c>
      <c r="D32" s="4399"/>
      <c r="E32" s="2761">
        <f t="shared" si="361"/>
        <v>1588.1966420000001</v>
      </c>
      <c r="F32" s="2810">
        <f>SUM(F33:F34)</f>
        <v>1588.1966420000001</v>
      </c>
      <c r="G32" s="2810"/>
      <c r="H32" s="2810">
        <f>SUM(H33:H34)</f>
        <v>1087.057</v>
      </c>
      <c r="I32" s="3844">
        <v>1087.057</v>
      </c>
      <c r="J32" s="3844"/>
      <c r="K32" s="2761">
        <f t="shared" si="362"/>
        <v>1360.9455309800937</v>
      </c>
      <c r="L32" s="2810">
        <f>SUM(L33:L34)</f>
        <v>1360.9455309800937</v>
      </c>
      <c r="M32" s="2810"/>
      <c r="N32" s="2761">
        <f t="shared" si="363"/>
        <v>1656.680642</v>
      </c>
      <c r="O32" s="2810">
        <f>SUM(O33:O34)</f>
        <v>1656.680642</v>
      </c>
      <c r="P32" s="2810"/>
      <c r="Q32" s="2810">
        <f>SUM(Q33:Q34)</f>
        <v>953.39200000000005</v>
      </c>
      <c r="R32" s="3844">
        <v>953.39200000000005</v>
      </c>
      <c r="S32" s="3844"/>
      <c r="T32" s="2761">
        <f t="shared" si="364"/>
        <v>1360.9455309800937</v>
      </c>
      <c r="U32" s="2810">
        <f>SUM(U33:U34)</f>
        <v>1360.9455309800937</v>
      </c>
      <c r="V32" s="2810"/>
      <c r="W32" s="2761">
        <f t="shared" si="365"/>
        <v>1274.276517</v>
      </c>
      <c r="X32" s="2810">
        <f>SUM(X33:X34)</f>
        <v>1274.276517</v>
      </c>
      <c r="Y32" s="2810"/>
      <c r="Z32" s="3846">
        <f t="shared" si="366"/>
        <v>1096.05</v>
      </c>
      <c r="AA32" s="3844">
        <v>1096.05</v>
      </c>
      <c r="AB32" s="3844"/>
      <c r="AC32" s="2812">
        <f t="shared" si="367"/>
        <v>4082.8365929402812</v>
      </c>
      <c r="AD32" s="2812">
        <f t="shared" si="367"/>
        <v>4082.8365929402812</v>
      </c>
      <c r="AE32" s="2812">
        <f t="shared" si="367"/>
        <v>0</v>
      </c>
      <c r="AF32" s="2812">
        <f t="shared" si="367"/>
        <v>4519.1538010000004</v>
      </c>
      <c r="AG32" s="2812">
        <f t="shared" si="367"/>
        <v>4519.1538010000004</v>
      </c>
      <c r="AH32" s="2812">
        <f t="shared" si="367"/>
        <v>0</v>
      </c>
      <c r="AI32" s="2812">
        <f t="shared" si="367"/>
        <v>3136.4989999999998</v>
      </c>
      <c r="AJ32" s="2812">
        <f t="shared" si="367"/>
        <v>3136.4989999999998</v>
      </c>
      <c r="AK32" s="2812">
        <f t="shared" si="367"/>
        <v>0</v>
      </c>
      <c r="AL32" s="2813">
        <f t="shared" si="368"/>
        <v>436.31720805971918</v>
      </c>
      <c r="AM32" s="2813">
        <f t="shared" si="368"/>
        <v>436.31720805971918</v>
      </c>
      <c r="AN32" s="2813">
        <f t="shared" si="368"/>
        <v>0</v>
      </c>
      <c r="AO32" s="2761">
        <f t="shared" si="369"/>
        <v>1360.9455309800937</v>
      </c>
      <c r="AP32" s="2810">
        <f>SUM(AP33:AP34)</f>
        <v>1360.9455309800937</v>
      </c>
      <c r="AQ32" s="2810"/>
      <c r="AR32" s="2762">
        <f t="shared" si="370"/>
        <v>1171.497842</v>
      </c>
      <c r="AS32" s="2801">
        <f>SUM(AS33:AS34)</f>
        <v>1171.497842</v>
      </c>
      <c r="AT32" s="2801"/>
      <c r="AU32" s="2810">
        <f>SUM(AU33:AU34)</f>
        <v>957.25800000000004</v>
      </c>
      <c r="AV32" s="3842">
        <v>957.25800000000004</v>
      </c>
      <c r="AW32" s="3842"/>
      <c r="AX32" s="2761">
        <f t="shared" si="371"/>
        <v>1360.9455309800937</v>
      </c>
      <c r="AY32" s="2810">
        <f>SUM(AY33:AY34)</f>
        <v>1360.9455309800937</v>
      </c>
      <c r="AZ32" s="2810"/>
      <c r="BA32" s="2761">
        <f t="shared" si="372"/>
        <v>1172.3933999999999</v>
      </c>
      <c r="BB32" s="2810">
        <f>SUM(BB33:BB34)</f>
        <v>1172.3933999999999</v>
      </c>
      <c r="BC32" s="2810"/>
      <c r="BD32" s="2810">
        <f>SUM(BD33:BD34)</f>
        <v>956.79499999999996</v>
      </c>
      <c r="BE32" s="3844">
        <v>956.79499999999996</v>
      </c>
      <c r="BF32" s="3844"/>
      <c r="BG32" s="2761">
        <f t="shared" si="373"/>
        <v>1360.9455309800937</v>
      </c>
      <c r="BH32" s="2810">
        <f>SUM(BH33:BH34)</f>
        <v>1360.9455309800937</v>
      </c>
      <c r="BI32" s="2810"/>
      <c r="BJ32" s="2761">
        <f t="shared" si="374"/>
        <v>1023.783</v>
      </c>
      <c r="BK32" s="2810">
        <f>SUM(BK33:BK34)</f>
        <v>1023.783</v>
      </c>
      <c r="BL32" s="2810"/>
      <c r="BM32" s="2810">
        <f>SUM(BM33:BM34)</f>
        <v>764.47</v>
      </c>
      <c r="BN32" s="3844">
        <v>764.47</v>
      </c>
      <c r="BO32" s="3844"/>
      <c r="BP32" s="2812">
        <f t="shared" si="375"/>
        <v>4082.8365929402812</v>
      </c>
      <c r="BQ32" s="2812">
        <f t="shared" si="375"/>
        <v>4082.8365929402812</v>
      </c>
      <c r="BR32" s="2812">
        <f t="shared" si="375"/>
        <v>0</v>
      </c>
      <c r="BS32" s="2812">
        <f t="shared" si="375"/>
        <v>3367.6742419999996</v>
      </c>
      <c r="BT32" s="2812">
        <f t="shared" si="375"/>
        <v>3367.6742419999996</v>
      </c>
      <c r="BU32" s="2812">
        <f t="shared" si="375"/>
        <v>0</v>
      </c>
      <c r="BV32" s="2812">
        <f t="shared" si="375"/>
        <v>2678.5230000000001</v>
      </c>
      <c r="BW32" s="2812">
        <f t="shared" si="375"/>
        <v>2678.5230000000001</v>
      </c>
      <c r="BX32" s="2812">
        <f t="shared" si="375"/>
        <v>0</v>
      </c>
      <c r="BY32" s="2813">
        <f t="shared" si="376"/>
        <v>-715.16235094028161</v>
      </c>
      <c r="BZ32" s="2813">
        <f t="shared" si="376"/>
        <v>-715.16235094028161</v>
      </c>
      <c r="CA32" s="2813">
        <f t="shared" si="376"/>
        <v>0</v>
      </c>
      <c r="CB32" s="2812">
        <f t="shared" si="377"/>
        <v>8165.6731858805624</v>
      </c>
      <c r="CC32" s="2812">
        <f t="shared" si="377"/>
        <v>8165.6731858805624</v>
      </c>
      <c r="CD32" s="2812">
        <f t="shared" si="377"/>
        <v>0</v>
      </c>
      <c r="CE32" s="2812">
        <f t="shared" si="377"/>
        <v>7886.8280429999995</v>
      </c>
      <c r="CF32" s="2812">
        <f t="shared" si="377"/>
        <v>7886.8280429999995</v>
      </c>
      <c r="CG32" s="2812">
        <f t="shared" si="377"/>
        <v>0</v>
      </c>
      <c r="CH32" s="2812">
        <f t="shared" si="377"/>
        <v>5815.0219999999999</v>
      </c>
      <c r="CI32" s="2812">
        <f t="shared" si="377"/>
        <v>5815.0219999999999</v>
      </c>
      <c r="CJ32" s="2812">
        <f t="shared" si="377"/>
        <v>0</v>
      </c>
      <c r="CK32" s="2813">
        <f t="shared" si="378"/>
        <v>-278.84514288056289</v>
      </c>
      <c r="CL32" s="2813">
        <f t="shared" si="378"/>
        <v>-278.84514288056289</v>
      </c>
      <c r="CM32" s="2813">
        <f t="shared" si="378"/>
        <v>0</v>
      </c>
      <c r="CN32" s="2761">
        <f t="shared" si="379"/>
        <v>1360.9455309800937</v>
      </c>
      <c r="CO32" s="2810">
        <f>SUM(CO33:CO34)</f>
        <v>1360.9455309800937</v>
      </c>
      <c r="CP32" s="2810"/>
      <c r="CQ32" s="2762">
        <f t="shared" si="380"/>
        <v>643.48620000000005</v>
      </c>
      <c r="CR32" s="2801">
        <f>SUM(CR33:CR34)</f>
        <v>643.48620000000005</v>
      </c>
      <c r="CS32" s="2801"/>
      <c r="CT32" s="2810">
        <f>SUM(CT33:CT34)</f>
        <v>709.51099999999997</v>
      </c>
      <c r="CU32" s="3844">
        <v>709.51099999999997</v>
      </c>
      <c r="CV32" s="3844"/>
      <c r="CW32" s="2761">
        <f t="shared" si="381"/>
        <v>1360.9455309800937</v>
      </c>
      <c r="CX32" s="2810">
        <f>SUM(CX33:CX34)</f>
        <v>1360.9455309800937</v>
      </c>
      <c r="CY32" s="2810"/>
      <c r="CZ32" s="2761">
        <f t="shared" si="382"/>
        <v>0</v>
      </c>
      <c r="DA32" s="2810">
        <f>SUM(DA33:DA34)</f>
        <v>0</v>
      </c>
      <c r="DB32" s="2810"/>
      <c r="DC32" s="2810">
        <f>SUM(DC33:DC34)</f>
        <v>900.19100000000003</v>
      </c>
      <c r="DD32" s="3844">
        <v>900.19100000000003</v>
      </c>
      <c r="DE32" s="3844"/>
      <c r="DF32" s="2761">
        <f t="shared" si="383"/>
        <v>1360.9455309800937</v>
      </c>
      <c r="DG32" s="2810">
        <f>SUM(DG33:DG34)</f>
        <v>1360.9455309800937</v>
      </c>
      <c r="DH32" s="2810"/>
      <c r="DI32" s="2761">
        <f t="shared" si="384"/>
        <v>0</v>
      </c>
      <c r="DJ32" s="2810">
        <f>SUM(DJ33:DJ34)</f>
        <v>0</v>
      </c>
      <c r="DK32" s="2810"/>
      <c r="DL32" s="2810">
        <f>SUM(DL33:DL34)</f>
        <v>1060.1530419999999</v>
      </c>
      <c r="DM32" s="3844">
        <v>1060.1530419999999</v>
      </c>
      <c r="DN32" s="3844"/>
      <c r="DO32" s="2812">
        <f t="shared" si="385"/>
        <v>4082.8365929402812</v>
      </c>
      <c r="DP32" s="2812">
        <f t="shared" si="385"/>
        <v>4082.8365929402812</v>
      </c>
      <c r="DQ32" s="2812">
        <f t="shared" si="385"/>
        <v>0</v>
      </c>
      <c r="DR32" s="2812">
        <f t="shared" si="385"/>
        <v>643.48620000000005</v>
      </c>
      <c r="DS32" s="2812">
        <f t="shared" si="385"/>
        <v>643.48620000000005</v>
      </c>
      <c r="DT32" s="2812">
        <f t="shared" si="385"/>
        <v>0</v>
      </c>
      <c r="DU32" s="2812">
        <f t="shared" si="385"/>
        <v>2669.8550420000001</v>
      </c>
      <c r="DV32" s="2812">
        <f t="shared" si="385"/>
        <v>2669.8550420000001</v>
      </c>
      <c r="DW32" s="2812">
        <f t="shared" si="385"/>
        <v>0</v>
      </c>
      <c r="DX32" s="2813">
        <f t="shared" si="386"/>
        <v>-3439.3503929402814</v>
      </c>
      <c r="DY32" s="2813">
        <f t="shared" si="386"/>
        <v>-3439.3503929402814</v>
      </c>
      <c r="DZ32" s="2813">
        <f t="shared" si="386"/>
        <v>0</v>
      </c>
      <c r="EA32" s="2812">
        <f t="shared" si="387"/>
        <v>12248.509778820844</v>
      </c>
      <c r="EB32" s="2812">
        <f t="shared" si="387"/>
        <v>12248.509778820844</v>
      </c>
      <c r="EC32" s="2812">
        <f t="shared" si="387"/>
        <v>0</v>
      </c>
      <c r="ED32" s="2802">
        <f t="shared" si="387"/>
        <v>8530.3142429999989</v>
      </c>
      <c r="EE32" s="2802">
        <f t="shared" si="387"/>
        <v>8530.3142429999989</v>
      </c>
      <c r="EF32" s="2802">
        <f t="shared" si="387"/>
        <v>0</v>
      </c>
      <c r="EG32" s="2812">
        <f t="shared" si="387"/>
        <v>8484.8770420000001</v>
      </c>
      <c r="EH32" s="2812">
        <f t="shared" si="387"/>
        <v>8484.8770420000001</v>
      </c>
      <c r="EI32" s="2812">
        <f t="shared" si="387"/>
        <v>0</v>
      </c>
      <c r="EJ32" s="2813">
        <f t="shared" si="388"/>
        <v>-3718.1955358208452</v>
      </c>
      <c r="EK32" s="2813">
        <f t="shared" si="388"/>
        <v>-3718.1955358208452</v>
      </c>
      <c r="EL32" s="2813">
        <f t="shared" si="388"/>
        <v>0</v>
      </c>
      <c r="EM32" s="2761">
        <f t="shared" si="389"/>
        <v>1360.9455309800937</v>
      </c>
      <c r="EN32" s="2810">
        <f>SUM(EN33:EN34)</f>
        <v>1360.9455309800937</v>
      </c>
      <c r="EO32" s="2810"/>
      <c r="EP32" s="2761">
        <f t="shared" si="390"/>
        <v>0</v>
      </c>
      <c r="EQ32" s="2810">
        <f>SUM(EQ33:EQ34)</f>
        <v>0</v>
      </c>
      <c r="ER32" s="2810"/>
      <c r="ES32" s="2810">
        <f>SUM(ES33:ES34)</f>
        <v>1046.6690000000001</v>
      </c>
      <c r="ET32" s="2810">
        <v>1046.6690000000001</v>
      </c>
      <c r="EU32" s="2810"/>
      <c r="EV32" s="2761">
        <f t="shared" si="391"/>
        <v>1360.9455309800937</v>
      </c>
      <c r="EW32" s="2810">
        <f>SUM(EW33:EW34)</f>
        <v>1360.9455309800937</v>
      </c>
      <c r="EX32" s="2810"/>
      <c r="EY32" s="2761">
        <f t="shared" si="392"/>
        <v>0</v>
      </c>
      <c r="EZ32" s="2810">
        <f>SUM(EZ33:EZ34)</f>
        <v>0</v>
      </c>
      <c r="FA32" s="2810"/>
      <c r="FB32" s="2810">
        <f>SUM(FB33:FB34)</f>
        <v>1264.9984830000001</v>
      </c>
      <c r="FC32" s="2810">
        <v>1264.9984830000001</v>
      </c>
      <c r="FD32" s="2810"/>
      <c r="FE32" s="2761">
        <f t="shared" si="393"/>
        <v>1360.9455309800937</v>
      </c>
      <c r="FF32" s="2810">
        <f>SUM(FF33:FF34)</f>
        <v>1360.9455309800937</v>
      </c>
      <c r="FG32" s="2810"/>
      <c r="FH32" s="2761">
        <f t="shared" si="394"/>
        <v>0</v>
      </c>
      <c r="FI32" s="2810">
        <f>SUM(FI33:FI34)</f>
        <v>0</v>
      </c>
      <c r="FJ32" s="2810"/>
      <c r="FK32" s="2810">
        <f>SUM(FK33:FK34)</f>
        <v>1460.3949580000001</v>
      </c>
      <c r="FL32" s="2810">
        <v>1460.3949580000001</v>
      </c>
      <c r="FM32" s="2810"/>
      <c r="FN32" s="2812">
        <f t="shared" si="395"/>
        <v>4082.8365929402812</v>
      </c>
      <c r="FO32" s="2812">
        <f t="shared" si="395"/>
        <v>4082.8365929402812</v>
      </c>
      <c r="FP32" s="2812">
        <f t="shared" si="395"/>
        <v>0</v>
      </c>
      <c r="FQ32" s="2812">
        <f t="shared" si="395"/>
        <v>0</v>
      </c>
      <c r="FR32" s="2812">
        <f t="shared" si="395"/>
        <v>0</v>
      </c>
      <c r="FS32" s="2812">
        <f t="shared" si="395"/>
        <v>0</v>
      </c>
      <c r="FT32" s="2812">
        <f t="shared" si="395"/>
        <v>3772.062441</v>
      </c>
      <c r="FU32" s="2812">
        <f t="shared" si="395"/>
        <v>3772.062441</v>
      </c>
      <c r="FV32" s="2812">
        <f t="shared" si="395"/>
        <v>0</v>
      </c>
      <c r="FW32" s="2813">
        <f t="shared" si="396"/>
        <v>-4082.8365929402812</v>
      </c>
      <c r="FX32" s="2813">
        <f t="shared" si="396"/>
        <v>-4082.8365929402812</v>
      </c>
      <c r="FY32" s="2813">
        <f t="shared" si="396"/>
        <v>0</v>
      </c>
      <c r="FZ32" s="2802">
        <f t="shared" si="397"/>
        <v>16331.346371761125</v>
      </c>
      <c r="GA32" s="2802">
        <f t="shared" si="397"/>
        <v>16331.346371761125</v>
      </c>
      <c r="GB32" s="2802">
        <f t="shared" si="398"/>
        <v>0</v>
      </c>
      <c r="GC32" s="2812">
        <f t="shared" si="398"/>
        <v>8530.3142429999989</v>
      </c>
      <c r="GD32" s="2812">
        <f t="shared" si="398"/>
        <v>8530.3142429999989</v>
      </c>
      <c r="GE32" s="2812">
        <f t="shared" si="398"/>
        <v>0</v>
      </c>
      <c r="GF32" s="2812">
        <f t="shared" si="398"/>
        <v>12256.939483</v>
      </c>
      <c r="GG32" s="2812">
        <f t="shared" si="398"/>
        <v>12256.939483</v>
      </c>
      <c r="GH32" s="2812">
        <f t="shared" si="398"/>
        <v>0</v>
      </c>
      <c r="GI32" s="2813">
        <f t="shared" si="399"/>
        <v>-7801.0321287611259</v>
      </c>
      <c r="GJ32" s="2813">
        <f t="shared" si="399"/>
        <v>-7801.0321287611259</v>
      </c>
      <c r="GK32" s="2813">
        <f t="shared" si="399"/>
        <v>0</v>
      </c>
      <c r="GL32" s="565"/>
      <c r="GM32" s="3576">
        <f t="shared" si="400"/>
        <v>16331.346371761128</v>
      </c>
    </row>
    <row r="33" spans="1:195" ht="18.75" x14ac:dyDescent="0.3">
      <c r="A33" s="2815" t="s">
        <v>637</v>
      </c>
      <c r="B33" s="4394">
        <f t="shared" si="360"/>
        <v>1360.9455309800937</v>
      </c>
      <c r="C33" s="4554">
        <f>SUM(C22*C39)</f>
        <v>1360.9455309800937</v>
      </c>
      <c r="D33" s="4554"/>
      <c r="E33" s="2768">
        <f t="shared" si="361"/>
        <v>1588.1966420000001</v>
      </c>
      <c r="F33" s="2817">
        <v>1588.1966420000001</v>
      </c>
      <c r="G33" s="2817"/>
      <c r="H33" s="2782">
        <f t="shared" si="401"/>
        <v>1087.057</v>
      </c>
      <c r="I33" s="3845">
        <v>1087.057</v>
      </c>
      <c r="J33" s="3845"/>
      <c r="K33" s="2768">
        <f t="shared" si="362"/>
        <v>1360.9455309800937</v>
      </c>
      <c r="L33" s="2816">
        <f>SUM(L22*L39)</f>
        <v>1360.9455309800937</v>
      </c>
      <c r="M33" s="2816"/>
      <c r="N33" s="2768">
        <f t="shared" si="363"/>
        <v>1656.680642</v>
      </c>
      <c r="O33" s="2817">
        <v>1656.680642</v>
      </c>
      <c r="P33" s="2817"/>
      <c r="Q33" s="2782">
        <f t="shared" ref="Q33:Q35" si="412">SUM(R33:S33)</f>
        <v>953.39200000000005</v>
      </c>
      <c r="R33" s="3845">
        <v>953.39200000000005</v>
      </c>
      <c r="S33" s="3845"/>
      <c r="T33" s="2768">
        <f t="shared" si="364"/>
        <v>1360.9455309800937</v>
      </c>
      <c r="U33" s="2816">
        <f>SUM(U22*U39)</f>
        <v>1360.9455309800937</v>
      </c>
      <c r="V33" s="2816"/>
      <c r="W33" s="2768">
        <f t="shared" si="365"/>
        <v>1274.276517</v>
      </c>
      <c r="X33" s="2817">
        <v>1274.276517</v>
      </c>
      <c r="Y33" s="2817"/>
      <c r="Z33" s="3850">
        <f t="shared" si="366"/>
        <v>1096.05</v>
      </c>
      <c r="AA33" s="3845">
        <v>1096.05</v>
      </c>
      <c r="AB33" s="3845"/>
      <c r="AC33" s="2818">
        <f t="shared" si="367"/>
        <v>4082.8365929402812</v>
      </c>
      <c r="AD33" s="2818">
        <f t="shared" si="367"/>
        <v>4082.8365929402812</v>
      </c>
      <c r="AE33" s="2818">
        <f t="shared" si="367"/>
        <v>0</v>
      </c>
      <c r="AF33" s="2818">
        <f>SUM(E33+N33+W33)</f>
        <v>4519.1538010000004</v>
      </c>
      <c r="AG33" s="2818">
        <f t="shared" si="367"/>
        <v>4519.1538010000004</v>
      </c>
      <c r="AH33" s="2818">
        <f t="shared" si="367"/>
        <v>0</v>
      </c>
      <c r="AI33" s="2818">
        <f t="shared" si="367"/>
        <v>3136.4989999999998</v>
      </c>
      <c r="AJ33" s="2818">
        <f t="shared" si="367"/>
        <v>3136.4989999999998</v>
      </c>
      <c r="AK33" s="2818">
        <f t="shared" si="367"/>
        <v>0</v>
      </c>
      <c r="AL33" s="2819">
        <f t="shared" si="368"/>
        <v>436.31720805971918</v>
      </c>
      <c r="AM33" s="2819">
        <f t="shared" si="368"/>
        <v>436.31720805971918</v>
      </c>
      <c r="AN33" s="2819">
        <f t="shared" si="368"/>
        <v>0</v>
      </c>
      <c r="AO33" s="2768">
        <f t="shared" si="369"/>
        <v>1360.9455309800937</v>
      </c>
      <c r="AP33" s="2816">
        <f>SUM(AP22*AP39)</f>
        <v>1360.9455309800937</v>
      </c>
      <c r="AQ33" s="2816"/>
      <c r="AR33" s="2767">
        <f t="shared" si="370"/>
        <v>1171.497842</v>
      </c>
      <c r="AS33" s="2820">
        <v>1171.497842</v>
      </c>
      <c r="AT33" s="2820"/>
      <c r="AU33" s="2782">
        <f t="shared" ref="AU33:AU35" si="413">SUM(AV33:AW33)</f>
        <v>957.25800000000004</v>
      </c>
      <c r="AV33" s="3843">
        <v>957.25800000000004</v>
      </c>
      <c r="AW33" s="3843"/>
      <c r="AX33" s="2768">
        <f t="shared" si="371"/>
        <v>1360.9455309800937</v>
      </c>
      <c r="AY33" s="2816">
        <f>SUM(AY22*AY39)</f>
        <v>1360.9455309800937</v>
      </c>
      <c r="AZ33" s="2816"/>
      <c r="BA33" s="2768">
        <f t="shared" si="372"/>
        <v>1172.3933999999999</v>
      </c>
      <c r="BB33" s="2817">
        <v>1172.3933999999999</v>
      </c>
      <c r="BC33" s="2817"/>
      <c r="BD33" s="2782">
        <f t="shared" ref="BD33:BD34" si="414">SUM(BE33:BF33)</f>
        <v>956.79499999999996</v>
      </c>
      <c r="BE33" s="3845">
        <v>956.79499999999996</v>
      </c>
      <c r="BF33" s="3845"/>
      <c r="BG33" s="2768">
        <f t="shared" si="373"/>
        <v>1360.9455309800937</v>
      </c>
      <c r="BH33" s="2816">
        <f>SUM(BH22*BH39)</f>
        <v>1360.9455309800937</v>
      </c>
      <c r="BI33" s="2816"/>
      <c r="BJ33" s="2768">
        <f t="shared" si="374"/>
        <v>1023.783</v>
      </c>
      <c r="BK33" s="2817">
        <v>1023.783</v>
      </c>
      <c r="BL33" s="2817"/>
      <c r="BM33" s="2782">
        <f t="shared" ref="BM33:BM35" si="415">SUM(BN33:BO33)</f>
        <v>764.47</v>
      </c>
      <c r="BN33" s="3845">
        <v>764.47</v>
      </c>
      <c r="BO33" s="3845"/>
      <c r="BP33" s="2818">
        <f t="shared" si="375"/>
        <v>4082.8365929402812</v>
      </c>
      <c r="BQ33" s="2818">
        <f t="shared" si="375"/>
        <v>4082.8365929402812</v>
      </c>
      <c r="BR33" s="2818">
        <f t="shared" si="375"/>
        <v>0</v>
      </c>
      <c r="BS33" s="2818">
        <f t="shared" si="375"/>
        <v>3367.6742419999996</v>
      </c>
      <c r="BT33" s="2818">
        <f t="shared" si="375"/>
        <v>3367.6742419999996</v>
      </c>
      <c r="BU33" s="2818">
        <f t="shared" si="375"/>
        <v>0</v>
      </c>
      <c r="BV33" s="2818">
        <f t="shared" si="375"/>
        <v>2678.5230000000001</v>
      </c>
      <c r="BW33" s="2818">
        <f t="shared" si="375"/>
        <v>2678.5230000000001</v>
      </c>
      <c r="BX33" s="2818">
        <f t="shared" si="375"/>
        <v>0</v>
      </c>
      <c r="BY33" s="2819">
        <f t="shared" si="376"/>
        <v>-715.16235094028161</v>
      </c>
      <c r="BZ33" s="2819">
        <f t="shared" si="376"/>
        <v>-715.16235094028161</v>
      </c>
      <c r="CA33" s="2819">
        <f t="shared" si="376"/>
        <v>0</v>
      </c>
      <c r="CB33" s="2818">
        <f t="shared" si="377"/>
        <v>8165.6731858805624</v>
      </c>
      <c r="CC33" s="2818">
        <f t="shared" si="377"/>
        <v>8165.6731858805624</v>
      </c>
      <c r="CD33" s="2818">
        <f t="shared" si="377"/>
        <v>0</v>
      </c>
      <c r="CE33" s="2818">
        <f t="shared" si="377"/>
        <v>7886.8280429999995</v>
      </c>
      <c r="CF33" s="2818">
        <f t="shared" si="377"/>
        <v>7886.8280429999995</v>
      </c>
      <c r="CG33" s="2818">
        <f t="shared" si="377"/>
        <v>0</v>
      </c>
      <c r="CH33" s="2818">
        <f t="shared" si="377"/>
        <v>5815.0219999999999</v>
      </c>
      <c r="CI33" s="2818">
        <f t="shared" si="377"/>
        <v>5815.0219999999999</v>
      </c>
      <c r="CJ33" s="2818">
        <f t="shared" si="377"/>
        <v>0</v>
      </c>
      <c r="CK33" s="2819">
        <f t="shared" si="378"/>
        <v>-278.84514288056289</v>
      </c>
      <c r="CL33" s="2819">
        <f t="shared" si="378"/>
        <v>-278.84514288056289</v>
      </c>
      <c r="CM33" s="2819">
        <f t="shared" si="378"/>
        <v>0</v>
      </c>
      <c r="CN33" s="2768">
        <f t="shared" si="379"/>
        <v>1360.9455309800937</v>
      </c>
      <c r="CO33" s="2816">
        <f>SUM(CO22*CO39)</f>
        <v>1360.9455309800937</v>
      </c>
      <c r="CP33" s="2816"/>
      <c r="CQ33" s="2767">
        <f t="shared" si="380"/>
        <v>643.48620000000005</v>
      </c>
      <c r="CR33" s="2820">
        <v>643.48620000000005</v>
      </c>
      <c r="CS33" s="2820"/>
      <c r="CT33" s="2782">
        <f t="shared" ref="CT33:CT35" si="416">SUM(CU33:CV33)</f>
        <v>709.51099999999997</v>
      </c>
      <c r="CU33" s="3845">
        <v>709.51099999999997</v>
      </c>
      <c r="CV33" s="3845"/>
      <c r="CW33" s="2768">
        <f t="shared" si="381"/>
        <v>1360.9455309800937</v>
      </c>
      <c r="CX33" s="2816">
        <f>SUM(CX22*CX39)</f>
        <v>1360.9455309800937</v>
      </c>
      <c r="CY33" s="2816"/>
      <c r="CZ33" s="2768">
        <f t="shared" si="382"/>
        <v>0</v>
      </c>
      <c r="DA33" s="2817"/>
      <c r="DB33" s="2817"/>
      <c r="DC33" s="2782">
        <f t="shared" ref="DC33:DC35" si="417">SUM(DD33:DE33)</f>
        <v>900.19100000000003</v>
      </c>
      <c r="DD33" s="3845">
        <v>900.19100000000003</v>
      </c>
      <c r="DE33" s="3845"/>
      <c r="DF33" s="2768">
        <f t="shared" si="383"/>
        <v>1360.9455309800937</v>
      </c>
      <c r="DG33" s="2816">
        <f>SUM(DG22*DG39)</f>
        <v>1360.9455309800937</v>
      </c>
      <c r="DH33" s="2816"/>
      <c r="DI33" s="2768">
        <f t="shared" si="384"/>
        <v>0</v>
      </c>
      <c r="DJ33" s="2817"/>
      <c r="DK33" s="2817"/>
      <c r="DL33" s="2782">
        <f t="shared" ref="DL33:DL35" si="418">SUM(DM33:DN33)</f>
        <v>1060.1530419999999</v>
      </c>
      <c r="DM33" s="3845">
        <v>1060.1530419999999</v>
      </c>
      <c r="DN33" s="3845"/>
      <c r="DO33" s="2818">
        <f t="shared" si="385"/>
        <v>4082.8365929402812</v>
      </c>
      <c r="DP33" s="2818">
        <f t="shared" si="385"/>
        <v>4082.8365929402812</v>
      </c>
      <c r="DQ33" s="2818">
        <f t="shared" si="385"/>
        <v>0</v>
      </c>
      <c r="DR33" s="2818">
        <f t="shared" si="385"/>
        <v>643.48620000000005</v>
      </c>
      <c r="DS33" s="2818">
        <f t="shared" si="385"/>
        <v>643.48620000000005</v>
      </c>
      <c r="DT33" s="2818">
        <f t="shared" si="385"/>
        <v>0</v>
      </c>
      <c r="DU33" s="2818">
        <f t="shared" si="385"/>
        <v>2669.8550420000001</v>
      </c>
      <c r="DV33" s="2818">
        <f t="shared" si="385"/>
        <v>2669.8550420000001</v>
      </c>
      <c r="DW33" s="2818">
        <f t="shared" si="385"/>
        <v>0</v>
      </c>
      <c r="DX33" s="2819">
        <f t="shared" si="386"/>
        <v>-3439.3503929402814</v>
      </c>
      <c r="DY33" s="2819">
        <f t="shared" si="386"/>
        <v>-3439.3503929402814</v>
      </c>
      <c r="DZ33" s="2819">
        <f t="shared" si="386"/>
        <v>0</v>
      </c>
      <c r="EA33" s="2818">
        <f t="shared" si="387"/>
        <v>12248.509778820844</v>
      </c>
      <c r="EB33" s="2818">
        <f t="shared" si="387"/>
        <v>12248.509778820844</v>
      </c>
      <c r="EC33" s="2818">
        <f t="shared" si="387"/>
        <v>0</v>
      </c>
      <c r="ED33" s="2807">
        <f t="shared" si="387"/>
        <v>8530.3142429999989</v>
      </c>
      <c r="EE33" s="2807">
        <f t="shared" si="387"/>
        <v>8530.3142429999989</v>
      </c>
      <c r="EF33" s="2807">
        <f t="shared" si="387"/>
        <v>0</v>
      </c>
      <c r="EG33" s="2818">
        <f t="shared" si="387"/>
        <v>8484.8770420000001</v>
      </c>
      <c r="EH33" s="2818">
        <f t="shared" si="387"/>
        <v>8484.8770420000001</v>
      </c>
      <c r="EI33" s="2818">
        <f t="shared" si="387"/>
        <v>0</v>
      </c>
      <c r="EJ33" s="2819">
        <f t="shared" si="388"/>
        <v>-3718.1955358208452</v>
      </c>
      <c r="EK33" s="2819">
        <f t="shared" si="388"/>
        <v>-3718.1955358208452</v>
      </c>
      <c r="EL33" s="2819">
        <f t="shared" si="388"/>
        <v>0</v>
      </c>
      <c r="EM33" s="2768">
        <f t="shared" si="389"/>
        <v>1360.9455309800937</v>
      </c>
      <c r="EN33" s="2816">
        <f>SUM(EN22*EN39)</f>
        <v>1360.9455309800937</v>
      </c>
      <c r="EO33" s="2816"/>
      <c r="EP33" s="2768">
        <f t="shared" si="390"/>
        <v>0</v>
      </c>
      <c r="EQ33" s="2817"/>
      <c r="ER33" s="2817"/>
      <c r="ES33" s="2782">
        <f t="shared" ref="ES33:ES35" si="419">SUM(ET33:EU33)</f>
        <v>1046.6690000000001</v>
      </c>
      <c r="ET33" s="2782">
        <v>1046.6690000000001</v>
      </c>
      <c r="EU33" s="2782"/>
      <c r="EV33" s="2768">
        <f t="shared" si="391"/>
        <v>1360.9455309800937</v>
      </c>
      <c r="EW33" s="2816">
        <f>SUM(EW22*EW39)</f>
        <v>1360.9455309800937</v>
      </c>
      <c r="EX33" s="2816"/>
      <c r="EY33" s="2768">
        <f t="shared" si="392"/>
        <v>0</v>
      </c>
      <c r="EZ33" s="2817"/>
      <c r="FA33" s="2817"/>
      <c r="FB33" s="2782">
        <f t="shared" ref="FB33:FB35" si="420">SUM(FC33:FD33)</f>
        <v>1264.9984830000001</v>
      </c>
      <c r="FC33" s="2782">
        <v>1264.9984830000001</v>
      </c>
      <c r="FD33" s="2782"/>
      <c r="FE33" s="2768">
        <f t="shared" si="393"/>
        <v>1360.9455309800937</v>
      </c>
      <c r="FF33" s="2816">
        <f>SUM(FF22*FF39)</f>
        <v>1360.9455309800937</v>
      </c>
      <c r="FG33" s="2816"/>
      <c r="FH33" s="2768">
        <f t="shared" si="394"/>
        <v>0</v>
      </c>
      <c r="FI33" s="2817"/>
      <c r="FJ33" s="2817"/>
      <c r="FK33" s="2782">
        <f t="shared" ref="FK33:FK34" si="421">SUM(FL33:FM33)</f>
        <v>1460.3949580000001</v>
      </c>
      <c r="FL33" s="2782">
        <v>1460.3949580000001</v>
      </c>
      <c r="FM33" s="2782"/>
      <c r="FN33" s="2818">
        <f t="shared" si="395"/>
        <v>4082.8365929402812</v>
      </c>
      <c r="FO33" s="2818">
        <f t="shared" si="395"/>
        <v>4082.8365929402812</v>
      </c>
      <c r="FP33" s="2818">
        <f t="shared" si="395"/>
        <v>0</v>
      </c>
      <c r="FQ33" s="2818">
        <f t="shared" si="395"/>
        <v>0</v>
      </c>
      <c r="FR33" s="2818">
        <f t="shared" si="395"/>
        <v>0</v>
      </c>
      <c r="FS33" s="2818">
        <f t="shared" si="395"/>
        <v>0</v>
      </c>
      <c r="FT33" s="2818">
        <f t="shared" si="395"/>
        <v>3772.062441</v>
      </c>
      <c r="FU33" s="2818">
        <f t="shared" si="395"/>
        <v>3772.062441</v>
      </c>
      <c r="FV33" s="2818">
        <f t="shared" si="395"/>
        <v>0</v>
      </c>
      <c r="FW33" s="2819">
        <f t="shared" si="396"/>
        <v>-4082.8365929402812</v>
      </c>
      <c r="FX33" s="2819">
        <f t="shared" si="396"/>
        <v>-4082.8365929402812</v>
      </c>
      <c r="FY33" s="2819">
        <f t="shared" si="396"/>
        <v>0</v>
      </c>
      <c r="FZ33" s="2807">
        <f t="shared" si="397"/>
        <v>16331.346371761125</v>
      </c>
      <c r="GA33" s="2807">
        <f t="shared" si="397"/>
        <v>16331.346371761125</v>
      </c>
      <c r="GB33" s="2807">
        <f t="shared" si="398"/>
        <v>0</v>
      </c>
      <c r="GC33" s="2818">
        <f t="shared" si="398"/>
        <v>8530.3142429999989</v>
      </c>
      <c r="GD33" s="2818">
        <f t="shared" si="398"/>
        <v>8530.3142429999989</v>
      </c>
      <c r="GE33" s="2818">
        <f t="shared" si="398"/>
        <v>0</v>
      </c>
      <c r="GF33" s="2818">
        <f t="shared" si="398"/>
        <v>12256.939483</v>
      </c>
      <c r="GG33" s="2818">
        <f t="shared" si="398"/>
        <v>12256.939483</v>
      </c>
      <c r="GH33" s="2818">
        <f t="shared" si="398"/>
        <v>0</v>
      </c>
      <c r="GI33" s="2819">
        <f t="shared" si="399"/>
        <v>-7801.0321287611259</v>
      </c>
      <c r="GJ33" s="2819">
        <f t="shared" si="399"/>
        <v>-7801.0321287611259</v>
      </c>
      <c r="GK33" s="2819">
        <f t="shared" si="399"/>
        <v>0</v>
      </c>
      <c r="GL33" s="565"/>
      <c r="GM33" s="3576">
        <f t="shared" si="400"/>
        <v>16331.346371761128</v>
      </c>
    </row>
    <row r="34" spans="1:195" ht="18.75" x14ac:dyDescent="0.3">
      <c r="A34" s="2815" t="s">
        <v>638</v>
      </c>
      <c r="B34" s="4394">
        <f t="shared" si="360"/>
        <v>0</v>
      </c>
      <c r="C34" s="4554">
        <f>SUM(C23*C39)</f>
        <v>0</v>
      </c>
      <c r="D34" s="4554"/>
      <c r="E34" s="2768">
        <f t="shared" si="361"/>
        <v>0</v>
      </c>
      <c r="F34" s="2817">
        <v>0</v>
      </c>
      <c r="G34" s="2817"/>
      <c r="H34" s="2782">
        <f t="shared" si="401"/>
        <v>0</v>
      </c>
      <c r="I34" s="2782"/>
      <c r="J34" s="2782"/>
      <c r="K34" s="2768">
        <f t="shared" si="362"/>
        <v>0</v>
      </c>
      <c r="L34" s="2816">
        <f>SUM(L23*L39)</f>
        <v>0</v>
      </c>
      <c r="M34" s="2816"/>
      <c r="N34" s="2768">
        <f t="shared" si="363"/>
        <v>0</v>
      </c>
      <c r="O34" s="2817">
        <v>0</v>
      </c>
      <c r="P34" s="2817"/>
      <c r="Q34" s="2782">
        <f t="shared" si="412"/>
        <v>0</v>
      </c>
      <c r="R34" s="2782">
        <v>0</v>
      </c>
      <c r="S34" s="2782"/>
      <c r="T34" s="2768">
        <f t="shared" si="364"/>
        <v>0</v>
      </c>
      <c r="U34" s="2816">
        <f>SUM(U23*U39)</f>
        <v>0</v>
      </c>
      <c r="V34" s="2816"/>
      <c r="W34" s="2768">
        <f t="shared" si="365"/>
        <v>0</v>
      </c>
      <c r="X34" s="2817">
        <v>0</v>
      </c>
      <c r="Y34" s="2817"/>
      <c r="Z34" s="3850">
        <f t="shared" si="366"/>
        <v>0</v>
      </c>
      <c r="AA34" s="3845"/>
      <c r="AB34" s="3845"/>
      <c r="AC34" s="2818">
        <f t="shared" si="367"/>
        <v>0</v>
      </c>
      <c r="AD34" s="2818">
        <f t="shared" si="367"/>
        <v>0</v>
      </c>
      <c r="AE34" s="2818">
        <f t="shared" si="367"/>
        <v>0</v>
      </c>
      <c r="AF34" s="2818">
        <f t="shared" si="367"/>
        <v>0</v>
      </c>
      <c r="AG34" s="2818">
        <f t="shared" si="367"/>
        <v>0</v>
      </c>
      <c r="AH34" s="2818">
        <f t="shared" si="367"/>
        <v>0</v>
      </c>
      <c r="AI34" s="2818">
        <f t="shared" si="367"/>
        <v>0</v>
      </c>
      <c r="AJ34" s="2818">
        <f t="shared" si="367"/>
        <v>0</v>
      </c>
      <c r="AK34" s="2818">
        <f t="shared" si="367"/>
        <v>0</v>
      </c>
      <c r="AL34" s="2819">
        <f t="shared" si="368"/>
        <v>0</v>
      </c>
      <c r="AM34" s="2819">
        <f t="shared" si="368"/>
        <v>0</v>
      </c>
      <c r="AN34" s="2819">
        <f t="shared" si="368"/>
        <v>0</v>
      </c>
      <c r="AO34" s="2768">
        <f t="shared" si="369"/>
        <v>0</v>
      </c>
      <c r="AP34" s="2816">
        <f>SUM(AP23*AP39)</f>
        <v>0</v>
      </c>
      <c r="AQ34" s="2816"/>
      <c r="AR34" s="2767">
        <f t="shared" si="370"/>
        <v>0</v>
      </c>
      <c r="AS34" s="2820">
        <v>0</v>
      </c>
      <c r="AT34" s="2820"/>
      <c r="AU34" s="2782">
        <f t="shared" si="413"/>
        <v>0</v>
      </c>
      <c r="AV34" s="2782">
        <v>0</v>
      </c>
      <c r="AW34" s="2782"/>
      <c r="AX34" s="2768">
        <f t="shared" si="371"/>
        <v>0</v>
      </c>
      <c r="AY34" s="2816">
        <f>SUM(AY23*AY39)</f>
        <v>0</v>
      </c>
      <c r="AZ34" s="2816"/>
      <c r="BA34" s="2768">
        <f t="shared" si="372"/>
        <v>0</v>
      </c>
      <c r="BB34" s="2817">
        <v>0</v>
      </c>
      <c r="BC34" s="2817"/>
      <c r="BD34" s="2782">
        <f t="shared" si="414"/>
        <v>0</v>
      </c>
      <c r="BE34" s="2782">
        <v>0</v>
      </c>
      <c r="BF34" s="2782"/>
      <c r="BG34" s="2768">
        <f t="shared" si="373"/>
        <v>0</v>
      </c>
      <c r="BH34" s="2816">
        <f>SUM(BH23*BH39)</f>
        <v>0</v>
      </c>
      <c r="BI34" s="2816"/>
      <c r="BJ34" s="2768">
        <f t="shared" si="374"/>
        <v>0</v>
      </c>
      <c r="BK34" s="2817">
        <v>0</v>
      </c>
      <c r="BL34" s="2817"/>
      <c r="BM34" s="2782">
        <f t="shared" si="415"/>
        <v>0</v>
      </c>
      <c r="BN34" s="2782">
        <v>0</v>
      </c>
      <c r="BO34" s="2782">
        <v>0</v>
      </c>
      <c r="BP34" s="2818">
        <f t="shared" si="375"/>
        <v>0</v>
      </c>
      <c r="BQ34" s="2818">
        <f t="shared" si="375"/>
        <v>0</v>
      </c>
      <c r="BR34" s="2818">
        <f t="shared" si="375"/>
        <v>0</v>
      </c>
      <c r="BS34" s="2818">
        <f t="shared" si="375"/>
        <v>0</v>
      </c>
      <c r="BT34" s="2818">
        <f t="shared" si="375"/>
        <v>0</v>
      </c>
      <c r="BU34" s="2818">
        <f t="shared" si="375"/>
        <v>0</v>
      </c>
      <c r="BV34" s="2818">
        <f t="shared" si="375"/>
        <v>0</v>
      </c>
      <c r="BW34" s="2818">
        <f t="shared" si="375"/>
        <v>0</v>
      </c>
      <c r="BX34" s="2818">
        <f t="shared" si="375"/>
        <v>0</v>
      </c>
      <c r="BY34" s="2819">
        <f t="shared" si="376"/>
        <v>0</v>
      </c>
      <c r="BZ34" s="2819">
        <f t="shared" si="376"/>
        <v>0</v>
      </c>
      <c r="CA34" s="2819">
        <f t="shared" si="376"/>
        <v>0</v>
      </c>
      <c r="CB34" s="2818">
        <f t="shared" si="377"/>
        <v>0</v>
      </c>
      <c r="CC34" s="2818">
        <f t="shared" si="377"/>
        <v>0</v>
      </c>
      <c r="CD34" s="2818">
        <f t="shared" si="377"/>
        <v>0</v>
      </c>
      <c r="CE34" s="2818">
        <f t="shared" si="377"/>
        <v>0</v>
      </c>
      <c r="CF34" s="2818">
        <f t="shared" si="377"/>
        <v>0</v>
      </c>
      <c r="CG34" s="2818">
        <f t="shared" si="377"/>
        <v>0</v>
      </c>
      <c r="CH34" s="2818">
        <f t="shared" si="377"/>
        <v>0</v>
      </c>
      <c r="CI34" s="2818">
        <f t="shared" si="377"/>
        <v>0</v>
      </c>
      <c r="CJ34" s="2818">
        <f t="shared" si="377"/>
        <v>0</v>
      </c>
      <c r="CK34" s="2819">
        <f t="shared" si="378"/>
        <v>0</v>
      </c>
      <c r="CL34" s="2819">
        <f t="shared" si="378"/>
        <v>0</v>
      </c>
      <c r="CM34" s="2819">
        <f t="shared" si="378"/>
        <v>0</v>
      </c>
      <c r="CN34" s="2768">
        <f t="shared" si="379"/>
        <v>0</v>
      </c>
      <c r="CO34" s="2816">
        <f>SUM(CO23*CO39)</f>
        <v>0</v>
      </c>
      <c r="CP34" s="2816"/>
      <c r="CQ34" s="2767">
        <f t="shared" si="380"/>
        <v>0</v>
      </c>
      <c r="CR34" s="2820">
        <v>0</v>
      </c>
      <c r="CS34" s="2820"/>
      <c r="CT34" s="2782">
        <f t="shared" si="416"/>
        <v>0</v>
      </c>
      <c r="CU34" s="2782">
        <v>0</v>
      </c>
      <c r="CV34" s="2782"/>
      <c r="CW34" s="2768">
        <f t="shared" si="381"/>
        <v>0</v>
      </c>
      <c r="CX34" s="2816">
        <f>SUM(CX23*CX39)</f>
        <v>0</v>
      </c>
      <c r="CY34" s="2816"/>
      <c r="CZ34" s="2768">
        <f t="shared" si="382"/>
        <v>0</v>
      </c>
      <c r="DA34" s="2817"/>
      <c r="DB34" s="2817"/>
      <c r="DC34" s="2782">
        <f t="shared" si="417"/>
        <v>0</v>
      </c>
      <c r="DD34" s="2782">
        <v>0</v>
      </c>
      <c r="DE34" s="2782"/>
      <c r="DF34" s="2768">
        <f t="shared" si="383"/>
        <v>0</v>
      </c>
      <c r="DG34" s="2816">
        <f>SUM(DG23*DG39)</f>
        <v>0</v>
      </c>
      <c r="DH34" s="2816"/>
      <c r="DI34" s="2768">
        <f t="shared" si="384"/>
        <v>0</v>
      </c>
      <c r="DJ34" s="2817"/>
      <c r="DK34" s="2817"/>
      <c r="DL34" s="2782">
        <f t="shared" si="418"/>
        <v>0</v>
      </c>
      <c r="DM34" s="2782">
        <v>0</v>
      </c>
      <c r="DN34" s="2782"/>
      <c r="DO34" s="2818">
        <f t="shared" si="385"/>
        <v>0</v>
      </c>
      <c r="DP34" s="2818">
        <f t="shared" si="385"/>
        <v>0</v>
      </c>
      <c r="DQ34" s="2818">
        <f t="shared" si="385"/>
        <v>0</v>
      </c>
      <c r="DR34" s="2818">
        <f t="shared" si="385"/>
        <v>0</v>
      </c>
      <c r="DS34" s="2818">
        <f t="shared" si="385"/>
        <v>0</v>
      </c>
      <c r="DT34" s="2818">
        <f t="shared" si="385"/>
        <v>0</v>
      </c>
      <c r="DU34" s="2818">
        <f t="shared" si="385"/>
        <v>0</v>
      </c>
      <c r="DV34" s="2818">
        <f t="shared" si="385"/>
        <v>0</v>
      </c>
      <c r="DW34" s="2818">
        <f t="shared" si="385"/>
        <v>0</v>
      </c>
      <c r="DX34" s="2819">
        <f t="shared" si="386"/>
        <v>0</v>
      </c>
      <c r="DY34" s="2819">
        <f t="shared" si="386"/>
        <v>0</v>
      </c>
      <c r="DZ34" s="2819">
        <f t="shared" si="386"/>
        <v>0</v>
      </c>
      <c r="EA34" s="2818">
        <f t="shared" si="387"/>
        <v>0</v>
      </c>
      <c r="EB34" s="2818">
        <f t="shared" si="387"/>
        <v>0</v>
      </c>
      <c r="EC34" s="2818">
        <f t="shared" si="387"/>
        <v>0</v>
      </c>
      <c r="ED34" s="2807">
        <f t="shared" si="387"/>
        <v>0</v>
      </c>
      <c r="EE34" s="2807">
        <f t="shared" si="387"/>
        <v>0</v>
      </c>
      <c r="EF34" s="2807">
        <f t="shared" si="387"/>
        <v>0</v>
      </c>
      <c r="EG34" s="2818">
        <f t="shared" si="387"/>
        <v>0</v>
      </c>
      <c r="EH34" s="2818">
        <f t="shared" si="387"/>
        <v>0</v>
      </c>
      <c r="EI34" s="2818">
        <f t="shared" si="387"/>
        <v>0</v>
      </c>
      <c r="EJ34" s="2819">
        <f t="shared" si="388"/>
        <v>0</v>
      </c>
      <c r="EK34" s="2819">
        <f t="shared" si="388"/>
        <v>0</v>
      </c>
      <c r="EL34" s="2819">
        <f t="shared" si="388"/>
        <v>0</v>
      </c>
      <c r="EM34" s="2768">
        <f t="shared" si="389"/>
        <v>0</v>
      </c>
      <c r="EN34" s="2816">
        <f>SUM(EN23*EN39)</f>
        <v>0</v>
      </c>
      <c r="EO34" s="2816"/>
      <c r="EP34" s="2768">
        <f t="shared" si="390"/>
        <v>0</v>
      </c>
      <c r="EQ34" s="2817"/>
      <c r="ER34" s="2817"/>
      <c r="ES34" s="2782">
        <f t="shared" si="419"/>
        <v>0</v>
      </c>
      <c r="ET34" s="2782">
        <v>0</v>
      </c>
      <c r="EU34" s="2782"/>
      <c r="EV34" s="2768">
        <f t="shared" si="391"/>
        <v>0</v>
      </c>
      <c r="EW34" s="2816">
        <f>SUM(EW23*EW39)</f>
        <v>0</v>
      </c>
      <c r="EX34" s="2816"/>
      <c r="EY34" s="2768">
        <f t="shared" si="392"/>
        <v>0</v>
      </c>
      <c r="EZ34" s="2817"/>
      <c r="FA34" s="2817"/>
      <c r="FB34" s="2782">
        <f t="shared" si="420"/>
        <v>0</v>
      </c>
      <c r="FC34" s="2782">
        <v>0</v>
      </c>
      <c r="FD34" s="2782"/>
      <c r="FE34" s="2768">
        <f t="shared" si="393"/>
        <v>0</v>
      </c>
      <c r="FF34" s="2816">
        <f>SUM(FF23*FF39)</f>
        <v>0</v>
      </c>
      <c r="FG34" s="2816"/>
      <c r="FH34" s="2768">
        <f t="shared" si="394"/>
        <v>0</v>
      </c>
      <c r="FI34" s="2817"/>
      <c r="FJ34" s="2817"/>
      <c r="FK34" s="2782">
        <f t="shared" si="421"/>
        <v>0</v>
      </c>
      <c r="FL34" s="2782">
        <v>0</v>
      </c>
      <c r="FM34" s="2782"/>
      <c r="FN34" s="2818">
        <f t="shared" si="395"/>
        <v>0</v>
      </c>
      <c r="FO34" s="2818">
        <f t="shared" si="395"/>
        <v>0</v>
      </c>
      <c r="FP34" s="2818">
        <f t="shared" si="395"/>
        <v>0</v>
      </c>
      <c r="FQ34" s="2818">
        <f t="shared" si="395"/>
        <v>0</v>
      </c>
      <c r="FR34" s="2818">
        <f t="shared" si="395"/>
        <v>0</v>
      </c>
      <c r="FS34" s="2818">
        <f t="shared" si="395"/>
        <v>0</v>
      </c>
      <c r="FT34" s="2818">
        <f t="shared" si="395"/>
        <v>0</v>
      </c>
      <c r="FU34" s="2818">
        <f t="shared" si="395"/>
        <v>0</v>
      </c>
      <c r="FV34" s="2818">
        <f t="shared" si="395"/>
        <v>0</v>
      </c>
      <c r="FW34" s="2819">
        <f t="shared" si="396"/>
        <v>0</v>
      </c>
      <c r="FX34" s="2819">
        <f t="shared" si="396"/>
        <v>0</v>
      </c>
      <c r="FY34" s="2819">
        <f t="shared" si="396"/>
        <v>0</v>
      </c>
      <c r="FZ34" s="2807">
        <f t="shared" si="397"/>
        <v>0</v>
      </c>
      <c r="GA34" s="2807">
        <f t="shared" si="397"/>
        <v>0</v>
      </c>
      <c r="GB34" s="2807">
        <f t="shared" si="398"/>
        <v>0</v>
      </c>
      <c r="GC34" s="2818">
        <f t="shared" si="398"/>
        <v>0</v>
      </c>
      <c r="GD34" s="2818">
        <f t="shared" si="398"/>
        <v>0</v>
      </c>
      <c r="GE34" s="2818">
        <f t="shared" si="398"/>
        <v>0</v>
      </c>
      <c r="GF34" s="2818">
        <f t="shared" si="398"/>
        <v>0</v>
      </c>
      <c r="GG34" s="2818">
        <f t="shared" si="398"/>
        <v>0</v>
      </c>
      <c r="GH34" s="2818">
        <f t="shared" si="398"/>
        <v>0</v>
      </c>
      <c r="GI34" s="2819">
        <f t="shared" si="399"/>
        <v>0</v>
      </c>
      <c r="GJ34" s="2819">
        <f t="shared" si="399"/>
        <v>0</v>
      </c>
      <c r="GK34" s="2819">
        <f t="shared" si="399"/>
        <v>0</v>
      </c>
      <c r="GL34" s="565"/>
      <c r="GM34" s="3578">
        <f t="shared" si="400"/>
        <v>0</v>
      </c>
    </row>
    <row r="35" spans="1:195" ht="18.75" x14ac:dyDescent="0.3">
      <c r="A35" s="2821" t="s">
        <v>3744</v>
      </c>
      <c r="B35" s="4387">
        <f t="shared" si="360"/>
        <v>15605.919923996196</v>
      </c>
      <c r="C35" s="4404">
        <f>SUM(C28:C32)</f>
        <v>15602.990592974411</v>
      </c>
      <c r="D35" s="4404">
        <f>SUM(D28:D32)</f>
        <v>2.929331021786147</v>
      </c>
      <c r="E35" s="2755">
        <f t="shared" si="361"/>
        <v>15887.798903000001</v>
      </c>
      <c r="F35" s="2822">
        <f>SUM(F28:F32)</f>
        <v>15887.798903000001</v>
      </c>
      <c r="G35" s="2822">
        <f>SUM(G28:G32)</f>
        <v>0</v>
      </c>
      <c r="H35" s="4377">
        <f t="shared" si="401"/>
        <v>12969.788999999999</v>
      </c>
      <c r="I35" s="4393">
        <f>SUM(I28:I32)</f>
        <v>12968.052</v>
      </c>
      <c r="J35" s="4393">
        <f>SUM(J28:J32)</f>
        <v>1.7370000000000001</v>
      </c>
      <c r="K35" s="2755">
        <f t="shared" si="362"/>
        <v>15605.919923996196</v>
      </c>
      <c r="L35" s="2822">
        <f>SUM(L28:L32)</f>
        <v>15602.990592974411</v>
      </c>
      <c r="M35" s="2822">
        <f>SUM(M28:M32)</f>
        <v>2.929331021786147</v>
      </c>
      <c r="N35" s="2755">
        <f t="shared" si="363"/>
        <v>16013.415891000001</v>
      </c>
      <c r="O35" s="2822">
        <f>SUM(O28:O32)</f>
        <v>16013.415891000001</v>
      </c>
      <c r="P35" s="2822">
        <f>SUM(P28:P32)</f>
        <v>0</v>
      </c>
      <c r="Q35" s="4387">
        <f t="shared" si="412"/>
        <v>12792.166999999999</v>
      </c>
      <c r="R35" s="4404">
        <f>SUM(R28:R32)</f>
        <v>12790.638999999999</v>
      </c>
      <c r="S35" s="4404">
        <f>SUM(S28:S32)</f>
        <v>1.528</v>
      </c>
      <c r="T35" s="2755">
        <f t="shared" si="364"/>
        <v>15605.919923996196</v>
      </c>
      <c r="U35" s="2822">
        <f>SUM(U28:U32)</f>
        <v>15602.990592974411</v>
      </c>
      <c r="V35" s="2822">
        <f>SUM(V28:V32)</f>
        <v>2.929331021786147</v>
      </c>
      <c r="W35" s="2755">
        <f t="shared" si="365"/>
        <v>15156.728429000001</v>
      </c>
      <c r="X35" s="2822">
        <f>SUM(X28:X32)</f>
        <v>15156.728429000001</v>
      </c>
      <c r="Y35" s="2822">
        <f>SUM(Y28:Y32)</f>
        <v>0</v>
      </c>
      <c r="Z35" s="4387">
        <f t="shared" ref="Z35" si="422">SUM(AA35:AB35)</f>
        <v>12239.486000000001</v>
      </c>
      <c r="AA35" s="4404">
        <f>SUM(AA28:AA32)</f>
        <v>12237.393</v>
      </c>
      <c r="AB35" s="4404">
        <f>SUM(AB28:AB32)</f>
        <v>2.093</v>
      </c>
      <c r="AC35" s="2823">
        <f t="shared" si="367"/>
        <v>46817.759771988589</v>
      </c>
      <c r="AD35" s="2823">
        <f t="shared" si="367"/>
        <v>46808.971778923231</v>
      </c>
      <c r="AE35" s="2823">
        <f t="shared" si="367"/>
        <v>8.7879930653584406</v>
      </c>
      <c r="AF35" s="2823">
        <f t="shared" si="367"/>
        <v>47057.943223000002</v>
      </c>
      <c r="AG35" s="2823">
        <f t="shared" si="367"/>
        <v>47057.943223000002</v>
      </c>
      <c r="AH35" s="2823">
        <f t="shared" si="367"/>
        <v>0</v>
      </c>
      <c r="AI35" s="2823">
        <f t="shared" si="367"/>
        <v>38001.441999999995</v>
      </c>
      <c r="AJ35" s="2823">
        <f t="shared" si="367"/>
        <v>37996.084000000003</v>
      </c>
      <c r="AK35" s="2823">
        <f t="shared" si="367"/>
        <v>5.3580000000000005</v>
      </c>
      <c r="AL35" s="2824">
        <f t="shared" si="368"/>
        <v>240.18345101141313</v>
      </c>
      <c r="AM35" s="2824">
        <f t="shared" si="368"/>
        <v>248.97144407677115</v>
      </c>
      <c r="AN35" s="2824">
        <f t="shared" si="368"/>
        <v>-8.7879930653584406</v>
      </c>
      <c r="AO35" s="2755">
        <f t="shared" si="369"/>
        <v>15605.919923996196</v>
      </c>
      <c r="AP35" s="2822">
        <f>SUM(AP28:AP32)</f>
        <v>15602.990592974411</v>
      </c>
      <c r="AQ35" s="2822">
        <f>SUM(AQ28:AQ32)</f>
        <v>2.929331021786147</v>
      </c>
      <c r="AR35" s="2756">
        <f t="shared" si="370"/>
        <v>14971.338924000001</v>
      </c>
      <c r="AS35" s="2797">
        <f>SUM(AS28:AS32)</f>
        <v>14971.338924000001</v>
      </c>
      <c r="AT35" s="2797">
        <f>SUM(AT28:AT32)</f>
        <v>0</v>
      </c>
      <c r="AU35" s="4377">
        <f t="shared" si="413"/>
        <v>13458.028</v>
      </c>
      <c r="AV35" s="4393">
        <f>SUM(AV28:AV32)</f>
        <v>13447.563</v>
      </c>
      <c r="AW35" s="4393">
        <f>SUM(AW28:AW32)</f>
        <v>10.465</v>
      </c>
      <c r="AX35" s="2755">
        <f t="shared" si="371"/>
        <v>15605.919923996196</v>
      </c>
      <c r="AY35" s="2822">
        <f>SUM(AY28:AY32)</f>
        <v>15602.990592974411</v>
      </c>
      <c r="AZ35" s="2822">
        <f>SUM(AZ28:AZ32)</f>
        <v>2.929331021786147</v>
      </c>
      <c r="BA35" s="2755">
        <f>SUM(BB35:BC35)</f>
        <v>15227.927423000001</v>
      </c>
      <c r="BB35" s="2822">
        <f>SUM(BB28:BB32)</f>
        <v>15227.927423000001</v>
      </c>
      <c r="BC35" s="2822">
        <f>SUM(BC28:BC32)</f>
        <v>0</v>
      </c>
      <c r="BD35" s="4377">
        <f>SUM(BE35:BF35)</f>
        <v>12499.223</v>
      </c>
      <c r="BE35" s="4404">
        <f>SUM(BE28:BE32)</f>
        <v>12498.491</v>
      </c>
      <c r="BF35" s="4404">
        <f>SUM(BF28:BF32)</f>
        <v>0.73199999999999998</v>
      </c>
      <c r="BG35" s="2755">
        <f t="shared" si="373"/>
        <v>15605.919923996196</v>
      </c>
      <c r="BH35" s="2822">
        <f>SUM(BH28:BH32)</f>
        <v>15602.990592974411</v>
      </c>
      <c r="BI35" s="2822">
        <f>SUM(BI28:BI32)</f>
        <v>2.929331021786147</v>
      </c>
      <c r="BJ35" s="2755">
        <f t="shared" si="374"/>
        <v>14845.30696</v>
      </c>
      <c r="BK35" s="2822">
        <f>SUM(BK28:BK32)</f>
        <v>14845.30696</v>
      </c>
      <c r="BL35" s="2822">
        <f>SUM(BL28:BL32)</f>
        <v>0</v>
      </c>
      <c r="BM35" s="4387">
        <f t="shared" si="415"/>
        <v>11679.717999999999</v>
      </c>
      <c r="BN35" s="4404">
        <f>SUM(BN28:BN32)</f>
        <v>11679.717999999999</v>
      </c>
      <c r="BO35" s="4404">
        <f>SUM(BO28:BO32)</f>
        <v>0</v>
      </c>
      <c r="BP35" s="2823">
        <f t="shared" si="375"/>
        <v>46817.759771988589</v>
      </c>
      <c r="BQ35" s="2823">
        <f t="shared" si="375"/>
        <v>46808.971778923231</v>
      </c>
      <c r="BR35" s="2823">
        <f t="shared" si="375"/>
        <v>8.7879930653584406</v>
      </c>
      <c r="BS35" s="2823">
        <f t="shared" si="375"/>
        <v>45044.573307000006</v>
      </c>
      <c r="BT35" s="2823">
        <f t="shared" si="375"/>
        <v>45044.573307000006</v>
      </c>
      <c r="BU35" s="2823">
        <f t="shared" si="375"/>
        <v>0</v>
      </c>
      <c r="BV35" s="2823">
        <f t="shared" si="375"/>
        <v>37636.968999999997</v>
      </c>
      <c r="BW35" s="2823">
        <f t="shared" si="375"/>
        <v>37625.771999999997</v>
      </c>
      <c r="BX35" s="2823">
        <f t="shared" si="375"/>
        <v>11.196999999999999</v>
      </c>
      <c r="BY35" s="2824">
        <f t="shared" si="376"/>
        <v>-1773.1864649885829</v>
      </c>
      <c r="BZ35" s="2824">
        <f t="shared" si="376"/>
        <v>-1764.3984719232249</v>
      </c>
      <c r="CA35" s="2824">
        <f t="shared" si="376"/>
        <v>-8.7879930653584406</v>
      </c>
      <c r="CB35" s="2823">
        <f t="shared" si="377"/>
        <v>93635.519543977178</v>
      </c>
      <c r="CC35" s="2823">
        <f t="shared" si="377"/>
        <v>93617.943557846462</v>
      </c>
      <c r="CD35" s="2823">
        <f t="shared" si="377"/>
        <v>17.575986130716881</v>
      </c>
      <c r="CE35" s="2823">
        <f t="shared" si="377"/>
        <v>92102.516530000008</v>
      </c>
      <c r="CF35" s="2823">
        <f t="shared" si="377"/>
        <v>92102.516530000008</v>
      </c>
      <c r="CG35" s="2823">
        <f t="shared" si="377"/>
        <v>0</v>
      </c>
      <c r="CH35" s="2823">
        <f t="shared" si="377"/>
        <v>75638.410999999993</v>
      </c>
      <c r="CI35" s="2823">
        <f t="shared" si="377"/>
        <v>75621.856</v>
      </c>
      <c r="CJ35" s="2823">
        <f t="shared" si="377"/>
        <v>16.555</v>
      </c>
      <c r="CK35" s="2824">
        <f t="shared" si="378"/>
        <v>-1533.0030139771698</v>
      </c>
      <c r="CL35" s="2824">
        <f t="shared" si="378"/>
        <v>-1515.4270278464537</v>
      </c>
      <c r="CM35" s="2824">
        <f t="shared" si="378"/>
        <v>-17.575986130716881</v>
      </c>
      <c r="CN35" s="2755">
        <f t="shared" si="379"/>
        <v>15605.919923996196</v>
      </c>
      <c r="CO35" s="2822">
        <f>SUM(CO28:CO32)</f>
        <v>15602.990592974411</v>
      </c>
      <c r="CP35" s="2822">
        <f>SUM(CP28:CP32)</f>
        <v>2.929331021786147</v>
      </c>
      <c r="CQ35" s="2756">
        <f t="shared" si="380"/>
        <v>13569.570075</v>
      </c>
      <c r="CR35" s="2797">
        <f>SUM(CR28:CR32)</f>
        <v>13569.570075</v>
      </c>
      <c r="CS35" s="2797">
        <f>SUM(CS28:CS32)</f>
        <v>0</v>
      </c>
      <c r="CT35" s="4387">
        <f t="shared" si="416"/>
        <v>12736.305000000002</v>
      </c>
      <c r="CU35" s="4393">
        <f>SUM(CU28:CU32)</f>
        <v>12736.305000000002</v>
      </c>
      <c r="CV35" s="4404">
        <f>SUM(CV28:CV32)</f>
        <v>0</v>
      </c>
      <c r="CW35" s="2755">
        <f t="shared" si="381"/>
        <v>15605.919923996196</v>
      </c>
      <c r="CX35" s="2822">
        <f>SUM(CX28:CX32)</f>
        <v>15602.990592974411</v>
      </c>
      <c r="CY35" s="2822">
        <f>SUM(CY28:CY32)</f>
        <v>2.929331021786147</v>
      </c>
      <c r="CZ35" s="2755">
        <f t="shared" si="382"/>
        <v>0</v>
      </c>
      <c r="DA35" s="2822">
        <f>SUM(DA28:DA32)</f>
        <v>0</v>
      </c>
      <c r="DB35" s="2822">
        <f>SUM(DB28:DB32)</f>
        <v>0</v>
      </c>
      <c r="DC35" s="4387">
        <f t="shared" si="417"/>
        <v>13572.933999999999</v>
      </c>
      <c r="DD35" s="4393">
        <f>SUM(DD28:DD32)</f>
        <v>13572.933999999999</v>
      </c>
      <c r="DE35" s="4404">
        <f>SUM(DE28:DE32)</f>
        <v>0</v>
      </c>
      <c r="DF35" s="2755">
        <f t="shared" si="383"/>
        <v>15605.919923996196</v>
      </c>
      <c r="DG35" s="2822">
        <f>SUM(DG28:DG32)</f>
        <v>15602.990592974411</v>
      </c>
      <c r="DH35" s="2822">
        <f>SUM(DH28:DH32)</f>
        <v>2.929331021786147</v>
      </c>
      <c r="DI35" s="2755">
        <f t="shared" si="384"/>
        <v>0</v>
      </c>
      <c r="DJ35" s="2822">
        <f>SUM(DJ28:DJ32)</f>
        <v>0</v>
      </c>
      <c r="DK35" s="2822">
        <f>SUM(DK28:DK32)</f>
        <v>0</v>
      </c>
      <c r="DL35" s="4387">
        <f t="shared" si="418"/>
        <v>14317.414275000001</v>
      </c>
      <c r="DM35" s="4393">
        <f>SUM(DM28:DM32)</f>
        <v>14317.414275000001</v>
      </c>
      <c r="DN35" s="4404">
        <f>SUM(DN28:DN32)</f>
        <v>0</v>
      </c>
      <c r="DO35" s="2823">
        <f t="shared" si="385"/>
        <v>46817.759771988589</v>
      </c>
      <c r="DP35" s="2823">
        <f t="shared" si="385"/>
        <v>46808.971778923231</v>
      </c>
      <c r="DQ35" s="2823">
        <f t="shared" si="385"/>
        <v>8.7879930653584406</v>
      </c>
      <c r="DR35" s="2823">
        <f t="shared" si="385"/>
        <v>13569.570075</v>
      </c>
      <c r="DS35" s="2823">
        <f t="shared" si="385"/>
        <v>13569.570075</v>
      </c>
      <c r="DT35" s="2823">
        <f t="shared" si="385"/>
        <v>0</v>
      </c>
      <c r="DU35" s="2823">
        <f t="shared" si="385"/>
        <v>40626.653275000004</v>
      </c>
      <c r="DV35" s="2823">
        <f t="shared" si="385"/>
        <v>40626.653275000004</v>
      </c>
      <c r="DW35" s="2823">
        <f t="shared" si="385"/>
        <v>0</v>
      </c>
      <c r="DX35" s="2824">
        <f t="shared" si="386"/>
        <v>-33248.189696988586</v>
      </c>
      <c r="DY35" s="2824">
        <f t="shared" si="386"/>
        <v>-33239.401703923228</v>
      </c>
      <c r="DZ35" s="2824">
        <f t="shared" si="386"/>
        <v>-8.7879930653584406</v>
      </c>
      <c r="EA35" s="2823">
        <f t="shared" si="387"/>
        <v>140453.27931596577</v>
      </c>
      <c r="EB35" s="2823">
        <f t="shared" si="387"/>
        <v>140426.91533676969</v>
      </c>
      <c r="EC35" s="2823">
        <f t="shared" si="387"/>
        <v>26.36397919607532</v>
      </c>
      <c r="ED35" s="2798">
        <f t="shared" si="387"/>
        <v>105672.086605</v>
      </c>
      <c r="EE35" s="2798">
        <f t="shared" si="387"/>
        <v>105672.086605</v>
      </c>
      <c r="EF35" s="2798">
        <f t="shared" si="387"/>
        <v>0</v>
      </c>
      <c r="EG35" s="2823">
        <f t="shared" si="387"/>
        <v>116265.064275</v>
      </c>
      <c r="EH35" s="2823">
        <f t="shared" si="387"/>
        <v>116248.509275</v>
      </c>
      <c r="EI35" s="2823">
        <f t="shared" si="387"/>
        <v>16.555</v>
      </c>
      <c r="EJ35" s="2824">
        <f t="shared" si="388"/>
        <v>-34781.19271096577</v>
      </c>
      <c r="EK35" s="2824">
        <f t="shared" si="388"/>
        <v>-34754.828731769681</v>
      </c>
      <c r="EL35" s="2824">
        <f t="shared" si="388"/>
        <v>-26.36397919607532</v>
      </c>
      <c r="EM35" s="2755">
        <f t="shared" si="389"/>
        <v>15605.919923996196</v>
      </c>
      <c r="EN35" s="2822">
        <f>SUM(EN28:EN32)</f>
        <v>15602.990592974411</v>
      </c>
      <c r="EO35" s="2822">
        <f>SUM(EO28:EO32)</f>
        <v>2.929331021786147</v>
      </c>
      <c r="EP35" s="2755">
        <f t="shared" si="390"/>
        <v>0</v>
      </c>
      <c r="EQ35" s="2822">
        <f>SUM(EQ28:EQ32)</f>
        <v>0</v>
      </c>
      <c r="ER35" s="2822">
        <f>SUM(ER28:ER32)</f>
        <v>0</v>
      </c>
      <c r="ES35" s="4387">
        <f t="shared" si="419"/>
        <v>14229.718999999999</v>
      </c>
      <c r="ET35" s="4393">
        <f>SUM(ET28:ET32)</f>
        <v>14229.718999999999</v>
      </c>
      <c r="EU35" s="4393">
        <f>SUM(EU28:EU32)</f>
        <v>0</v>
      </c>
      <c r="EV35" s="2755">
        <f t="shared" si="391"/>
        <v>15605.919923996196</v>
      </c>
      <c r="EW35" s="2822">
        <f>SUM(EW28:EW32)</f>
        <v>15602.990592974411</v>
      </c>
      <c r="EX35" s="2822">
        <f>SUM(EX28:EX32)</f>
        <v>2.929331021786147</v>
      </c>
      <c r="EY35" s="2755">
        <f t="shared" si="392"/>
        <v>0</v>
      </c>
      <c r="EZ35" s="2822">
        <f>SUM(EZ28:EZ32)</f>
        <v>0</v>
      </c>
      <c r="FA35" s="2822">
        <f>SUM(FA28:FA32)</f>
        <v>0</v>
      </c>
      <c r="FB35" s="4387">
        <f t="shared" si="420"/>
        <v>14596.761470999998</v>
      </c>
      <c r="FC35" s="4404">
        <f>SUM(FC28:FC32)</f>
        <v>14596.761470999998</v>
      </c>
      <c r="FD35" s="4404">
        <f>SUM(FD28:FD32)</f>
        <v>0</v>
      </c>
      <c r="FE35" s="2755">
        <f t="shared" si="393"/>
        <v>15605.919923996196</v>
      </c>
      <c r="FF35" s="2822">
        <f>SUM(FF28:FF32)</f>
        <v>15602.990592974411</v>
      </c>
      <c r="FG35" s="2822">
        <f>SUM(FG28:FG32)</f>
        <v>2.929331021786147</v>
      </c>
      <c r="FH35" s="2755">
        <f t="shared" ref="FH35" si="423">SUM(FI35:FJ35)</f>
        <v>0</v>
      </c>
      <c r="FI35" s="2822">
        <f>SUM(FI28:FI32)</f>
        <v>0</v>
      </c>
      <c r="FJ35" s="2822">
        <f>SUM(FJ28:FJ32)</f>
        <v>0</v>
      </c>
      <c r="FK35" s="4387">
        <f t="shared" ref="FK35" si="424">SUM(FL35:FM35)</f>
        <v>15897.989313000002</v>
      </c>
      <c r="FL35" s="4393">
        <f>SUM(FL28:FL32)</f>
        <v>15897.989313000002</v>
      </c>
      <c r="FM35" s="4404">
        <f>SUM(FM28:FM32)</f>
        <v>0</v>
      </c>
      <c r="FN35" s="2823">
        <f t="shared" si="395"/>
        <v>46817.759771988589</v>
      </c>
      <c r="FO35" s="2823">
        <f t="shared" si="395"/>
        <v>46808.971778923231</v>
      </c>
      <c r="FP35" s="2823">
        <f t="shared" si="395"/>
        <v>8.7879930653584406</v>
      </c>
      <c r="FQ35" s="2823">
        <f t="shared" si="395"/>
        <v>0</v>
      </c>
      <c r="FR35" s="2823">
        <f t="shared" si="395"/>
        <v>0</v>
      </c>
      <c r="FS35" s="2823">
        <f t="shared" si="395"/>
        <v>0</v>
      </c>
      <c r="FT35" s="2823">
        <f t="shared" si="395"/>
        <v>44724.469784000001</v>
      </c>
      <c r="FU35" s="2823">
        <f t="shared" si="395"/>
        <v>44724.469784000001</v>
      </c>
      <c r="FV35" s="2823">
        <f t="shared" si="395"/>
        <v>0</v>
      </c>
      <c r="FW35" s="2824">
        <f t="shared" si="396"/>
        <v>-46817.759771988589</v>
      </c>
      <c r="FX35" s="2824">
        <f t="shared" si="396"/>
        <v>-46808.971778923231</v>
      </c>
      <c r="FY35" s="2824">
        <f t="shared" si="396"/>
        <v>-8.7879930653584406</v>
      </c>
      <c r="FZ35" s="2798">
        <f t="shared" si="397"/>
        <v>187271.03908795436</v>
      </c>
      <c r="GA35" s="2798">
        <f t="shared" si="397"/>
        <v>187235.88711569292</v>
      </c>
      <c r="GB35" s="2798">
        <f t="shared" si="398"/>
        <v>35.151972261433762</v>
      </c>
      <c r="GC35" s="2823">
        <f t="shared" si="398"/>
        <v>105672.086605</v>
      </c>
      <c r="GD35" s="2823">
        <f t="shared" si="398"/>
        <v>105672.086605</v>
      </c>
      <c r="GE35" s="2823">
        <f t="shared" si="398"/>
        <v>0</v>
      </c>
      <c r="GF35" s="2823">
        <f t="shared" si="398"/>
        <v>160989.534059</v>
      </c>
      <c r="GG35" s="2823">
        <f t="shared" si="398"/>
        <v>160972.979059</v>
      </c>
      <c r="GH35" s="2823">
        <f t="shared" si="398"/>
        <v>16.555</v>
      </c>
      <c r="GI35" s="2824">
        <f t="shared" si="399"/>
        <v>-81598.952482954352</v>
      </c>
      <c r="GJ35" s="2824">
        <f t="shared" si="399"/>
        <v>-81563.800510692919</v>
      </c>
      <c r="GK35" s="2824">
        <f t="shared" si="399"/>
        <v>-35.151972261433762</v>
      </c>
      <c r="GL35" s="565"/>
      <c r="GM35" s="3578">
        <f t="shared" si="400"/>
        <v>187271.03908795441</v>
      </c>
    </row>
    <row r="36" spans="1:195" ht="18.75" x14ac:dyDescent="0.3">
      <c r="A36" s="2821" t="s">
        <v>3745</v>
      </c>
      <c r="B36" s="4404">
        <f t="shared" ref="B36:G36" si="425">SUM(B35/B14)</f>
        <v>52.67163124064848</v>
      </c>
      <c r="C36" s="4404">
        <f t="shared" si="425"/>
        <v>52.681762489552021</v>
      </c>
      <c r="D36" s="4404">
        <f t="shared" si="425"/>
        <v>26.019224471823662</v>
      </c>
      <c r="E36" s="2822">
        <f t="shared" si="425"/>
        <v>52.663780889407185</v>
      </c>
      <c r="F36" s="2822">
        <f t="shared" si="425"/>
        <v>52.663780889407185</v>
      </c>
      <c r="G36" s="2822" t="e">
        <f t="shared" si="425"/>
        <v>#DIV/0!</v>
      </c>
      <c r="H36" s="4404">
        <f>SUM(H35/H14)</f>
        <v>42.000612046632121</v>
      </c>
      <c r="I36" s="4404">
        <f>SUM(I35/I14)</f>
        <v>42.006277594042444</v>
      </c>
      <c r="J36" s="4404">
        <f>SUM(J35/J14)</f>
        <v>20.927710843373493</v>
      </c>
      <c r="K36" s="2822">
        <f t="shared" ref="K36:P36" si="426">SUM(K35/K14)</f>
        <v>52.67163124064848</v>
      </c>
      <c r="L36" s="2822">
        <f t="shared" si="426"/>
        <v>52.681762489552021</v>
      </c>
      <c r="M36" s="2822">
        <f t="shared" si="426"/>
        <v>26.019224471823662</v>
      </c>
      <c r="N36" s="2822">
        <f t="shared" si="426"/>
        <v>52.679041250690666</v>
      </c>
      <c r="O36" s="2822">
        <f t="shared" si="426"/>
        <v>52.679041250690666</v>
      </c>
      <c r="P36" s="2822" t="e">
        <f t="shared" si="426"/>
        <v>#DIV/0!</v>
      </c>
      <c r="Q36" s="4404">
        <f>SUM(Q35/Q14)</f>
        <v>42.002124376149197</v>
      </c>
      <c r="R36" s="4404">
        <f>SUM(R35/R14)</f>
        <v>42.007176004230061</v>
      </c>
      <c r="S36" s="4404">
        <f>SUM(S35/S14)</f>
        <v>20.93150684931507</v>
      </c>
      <c r="T36" s="2822">
        <f t="shared" ref="T36:Y36" si="427">SUM(T35/T14)</f>
        <v>52.67163124064848</v>
      </c>
      <c r="U36" s="2822">
        <f t="shared" si="427"/>
        <v>52.681762489552021</v>
      </c>
      <c r="V36" s="2822">
        <f t="shared" si="427"/>
        <v>26.019224471823662</v>
      </c>
      <c r="W36" s="2822">
        <f t="shared" si="427"/>
        <v>52.677140342065833</v>
      </c>
      <c r="X36" s="2822">
        <f t="shared" si="427"/>
        <v>52.677140342065833</v>
      </c>
      <c r="Y36" s="2822" t="e">
        <f t="shared" si="427"/>
        <v>#DIV/0!</v>
      </c>
      <c r="Z36" s="4404">
        <f>SUM(Z35/Z14)</f>
        <v>42.007854384612862</v>
      </c>
      <c r="AA36" s="4404">
        <f>SUM(AA35/AA14)</f>
        <v>42.015091121821698</v>
      </c>
      <c r="AB36" s="4404">
        <f>SUM(AB35/AB14)</f>
        <v>20.93</v>
      </c>
      <c r="AC36" s="2823">
        <f t="shared" ref="AC36:AK36" si="428">SUM(AC35/AC14)</f>
        <v>52.671631240648473</v>
      </c>
      <c r="AD36" s="2823">
        <f t="shared" si="428"/>
        <v>52.681762489552007</v>
      </c>
      <c r="AE36" s="2823">
        <f t="shared" si="428"/>
        <v>26.019224471823659</v>
      </c>
      <c r="AF36" s="2823">
        <f t="shared" si="428"/>
        <v>52.673275875329146</v>
      </c>
      <c r="AG36" s="2823">
        <f t="shared" si="428"/>
        <v>52.673275875329146</v>
      </c>
      <c r="AH36" s="2823" t="e">
        <f t="shared" si="428"/>
        <v>#DIV/0!</v>
      </c>
      <c r="AI36" s="2823">
        <f t="shared" si="428"/>
        <v>42.003453512274305</v>
      </c>
      <c r="AJ36" s="2823">
        <f t="shared" si="428"/>
        <v>42.009418230702323</v>
      </c>
      <c r="AK36" s="2823">
        <f t="shared" si="428"/>
        <v>20.9296875</v>
      </c>
      <c r="AL36" s="2824">
        <f t="shared" si="368"/>
        <v>1.6446346806731071E-3</v>
      </c>
      <c r="AM36" s="2824">
        <f t="shared" si="368"/>
        <v>-8.4866142228605668E-3</v>
      </c>
      <c r="AN36" s="2824" t="e">
        <f t="shared" si="368"/>
        <v>#DIV/0!</v>
      </c>
      <c r="AO36" s="2822">
        <f t="shared" ref="AO36:AT36" si="429">SUM(AO35/AO14)</f>
        <v>52.67163124064848</v>
      </c>
      <c r="AP36" s="2822">
        <f t="shared" si="429"/>
        <v>52.681762489552021</v>
      </c>
      <c r="AQ36" s="2822">
        <f t="shared" si="429"/>
        <v>26.019224471823662</v>
      </c>
      <c r="AR36" s="2797">
        <f t="shared" si="429"/>
        <v>52.693052670675357</v>
      </c>
      <c r="AS36" s="2797">
        <f t="shared" si="429"/>
        <v>52.693052670675357</v>
      </c>
      <c r="AT36" s="2797" t="e">
        <f t="shared" si="429"/>
        <v>#DIV/0!</v>
      </c>
      <c r="AU36" s="4393">
        <f>SUM(AU35/AU14)</f>
        <v>41.980484012949105</v>
      </c>
      <c r="AV36" s="4393">
        <f>SUM(AV35/AV14)</f>
        <v>42.013367358351807</v>
      </c>
      <c r="AW36" s="4393">
        <f>SUM(AW35/AW14)</f>
        <v>20.93</v>
      </c>
      <c r="AX36" s="2822">
        <f t="shared" ref="AX36:BC36" si="430">SUM(AX35/AX14)</f>
        <v>52.67163124064848</v>
      </c>
      <c r="AY36" s="2822">
        <f t="shared" si="430"/>
        <v>52.681762489552021</v>
      </c>
      <c r="AZ36" s="2822">
        <f t="shared" si="430"/>
        <v>26.019224471823662</v>
      </c>
      <c r="BA36" s="2822">
        <f t="shared" si="430"/>
        <v>52.646995813026145</v>
      </c>
      <c r="BB36" s="2822">
        <f t="shared" si="430"/>
        <v>52.646995813026145</v>
      </c>
      <c r="BC36" s="2822" t="e">
        <f t="shared" si="430"/>
        <v>#DIV/0!</v>
      </c>
      <c r="BD36" s="4404">
        <f>SUM(BD35/BD14)</f>
        <v>42.006993759053074</v>
      </c>
      <c r="BE36" s="4404">
        <f>SUM(BE35/BE14)</f>
        <v>42.009475120665783</v>
      </c>
      <c r="BF36" s="4404">
        <f>SUM(BF35/BF14)</f>
        <v>20.914285714285711</v>
      </c>
      <c r="BG36" s="2822">
        <f t="shared" ref="BG36:BL36" si="431">SUM(BG35/BG14)</f>
        <v>52.67163124064848</v>
      </c>
      <c r="BH36" s="2822">
        <f t="shared" si="431"/>
        <v>52.681762489552021</v>
      </c>
      <c r="BI36" s="2822">
        <f t="shared" si="431"/>
        <v>26.019224471823662</v>
      </c>
      <c r="BJ36" s="2822">
        <f t="shared" si="431"/>
        <v>52.66390859176218</v>
      </c>
      <c r="BK36" s="2822">
        <f t="shared" si="431"/>
        <v>52.66390859176218</v>
      </c>
      <c r="BL36" s="2822" t="e">
        <f t="shared" si="431"/>
        <v>#DIV/0!</v>
      </c>
      <c r="BM36" s="4404">
        <f>SUM(BM35/BM14)</f>
        <v>41.842092441731332</v>
      </c>
      <c r="BN36" s="4404">
        <f>SUM(BN35/BN14)</f>
        <v>41.842092441731332</v>
      </c>
      <c r="BO36" s="4404" t="e">
        <f>SUM(BO35/BO14)</f>
        <v>#DIV/0!</v>
      </c>
      <c r="BP36" s="2823">
        <f t="shared" ref="BP36:BX36" si="432">SUM(BP35/BP14)</f>
        <v>52.671631240648473</v>
      </c>
      <c r="BQ36" s="2823">
        <f t="shared" si="432"/>
        <v>52.681762489552007</v>
      </c>
      <c r="BR36" s="2823">
        <f t="shared" si="432"/>
        <v>26.019224471823659</v>
      </c>
      <c r="BS36" s="2823">
        <f t="shared" si="432"/>
        <v>52.667870637883482</v>
      </c>
      <c r="BT36" s="2823">
        <f t="shared" si="432"/>
        <v>52.667870637883482</v>
      </c>
      <c r="BU36" s="2823" t="e">
        <f t="shared" si="432"/>
        <v>#DIV/0!</v>
      </c>
      <c r="BV36" s="2823">
        <f t="shared" si="432"/>
        <v>41.946221816645028</v>
      </c>
      <c r="BW36" s="2823">
        <f t="shared" si="432"/>
        <v>41.958760932193577</v>
      </c>
      <c r="BX36" s="2823">
        <f t="shared" si="432"/>
        <v>20.928971962616821</v>
      </c>
      <c r="BY36" s="2824">
        <f t="shared" si="376"/>
        <v>-3.7606027649914608E-3</v>
      </c>
      <c r="BZ36" s="2824">
        <f t="shared" si="376"/>
        <v>-1.3891851668525135E-2</v>
      </c>
      <c r="CA36" s="2824" t="e">
        <f t="shared" si="376"/>
        <v>#DIV/0!</v>
      </c>
      <c r="CB36" s="2823">
        <f t="shared" ref="CB36:CJ36" si="433">SUM(CB35/CB14)</f>
        <v>52.671631240648473</v>
      </c>
      <c r="CC36" s="2823">
        <f t="shared" si="433"/>
        <v>52.681762489552007</v>
      </c>
      <c r="CD36" s="2823">
        <f t="shared" si="433"/>
        <v>26.019224471823659</v>
      </c>
      <c r="CE36" s="2823">
        <f t="shared" si="433"/>
        <v>52.67063219750294</v>
      </c>
      <c r="CF36" s="2823">
        <f t="shared" si="433"/>
        <v>52.67063219750294</v>
      </c>
      <c r="CG36" s="2823" t="e">
        <f t="shared" si="433"/>
        <v>#DIV/0!</v>
      </c>
      <c r="CH36" s="2823">
        <f t="shared" si="433"/>
        <v>41.974956045321044</v>
      </c>
      <c r="CI36" s="2823">
        <f t="shared" si="433"/>
        <v>41.984198332846745</v>
      </c>
      <c r="CJ36" s="2823">
        <f t="shared" si="433"/>
        <v>20.929203539823007</v>
      </c>
      <c r="CK36" s="2824">
        <f t="shared" si="378"/>
        <v>-9.9904314553356244E-4</v>
      </c>
      <c r="CL36" s="2824">
        <f t="shared" si="378"/>
        <v>-1.1130292049067236E-2</v>
      </c>
      <c r="CM36" s="2824" t="e">
        <f t="shared" si="378"/>
        <v>#DIV/0!</v>
      </c>
      <c r="CN36" s="2822">
        <f t="shared" ref="CN36:CS36" si="434">SUM(CN35/CN14)</f>
        <v>52.67163124064848</v>
      </c>
      <c r="CO36" s="2822">
        <f t="shared" si="434"/>
        <v>52.681762489552021</v>
      </c>
      <c r="CP36" s="2822">
        <f t="shared" si="434"/>
        <v>26.019224471823662</v>
      </c>
      <c r="CQ36" s="2822">
        <f t="shared" si="434"/>
        <v>52.663411145852734</v>
      </c>
      <c r="CR36" s="2822">
        <f t="shared" si="434"/>
        <v>52.663411145852734</v>
      </c>
      <c r="CS36" s="2822" t="e">
        <f t="shared" si="434"/>
        <v>#DIV/0!</v>
      </c>
      <c r="CT36" s="4404">
        <f>SUM(CT35/CT14)</f>
        <v>48.690275940637214</v>
      </c>
      <c r="CU36" s="4404">
        <f>SUM(CU35/CU14)</f>
        <v>48.690275940637214</v>
      </c>
      <c r="CV36" s="4404" t="e">
        <f>SUM(CV35/CV14)</f>
        <v>#DIV/0!</v>
      </c>
      <c r="CW36" s="2822">
        <f t="shared" ref="CW36:DB36" si="435">SUM(CW35/CW14)</f>
        <v>52.67163124064848</v>
      </c>
      <c r="CX36" s="2822">
        <f t="shared" si="435"/>
        <v>52.681762489552021</v>
      </c>
      <c r="CY36" s="2822">
        <f t="shared" si="435"/>
        <v>26.019224471823662</v>
      </c>
      <c r="CZ36" s="2822" t="e">
        <f t="shared" si="435"/>
        <v>#DIV/0!</v>
      </c>
      <c r="DA36" s="2822" t="e">
        <f t="shared" si="435"/>
        <v>#DIV/0!</v>
      </c>
      <c r="DB36" s="2822" t="e">
        <f t="shared" si="435"/>
        <v>#DIV/0!</v>
      </c>
      <c r="DC36" s="4404">
        <f>SUM(DC35/DC14)</f>
        <v>48.681835952211003</v>
      </c>
      <c r="DD36" s="4404">
        <f>SUM(DD35/DD14)</f>
        <v>48.681835952211003</v>
      </c>
      <c r="DE36" s="4404" t="e">
        <f>SUM(DE35/DE14)</f>
        <v>#DIV/0!</v>
      </c>
      <c r="DF36" s="2822">
        <f t="shared" ref="DF36:DK36" si="436">SUM(DF35/DF14)</f>
        <v>52.67163124064848</v>
      </c>
      <c r="DG36" s="2822">
        <f t="shared" si="436"/>
        <v>52.681762489552021</v>
      </c>
      <c r="DH36" s="2822">
        <f t="shared" si="436"/>
        <v>26.019224471823662</v>
      </c>
      <c r="DI36" s="2822" t="e">
        <f t="shared" si="436"/>
        <v>#DIV/0!</v>
      </c>
      <c r="DJ36" s="2822" t="e">
        <f t="shared" si="436"/>
        <v>#DIV/0!</v>
      </c>
      <c r="DK36" s="2822" t="e">
        <f t="shared" si="436"/>
        <v>#DIV/0!</v>
      </c>
      <c r="DL36" s="4404">
        <f>SUM(DL35/DL14)</f>
        <v>48.665913007566338</v>
      </c>
      <c r="DM36" s="4404">
        <f>SUM(DM35/DM14)</f>
        <v>48.665913007566338</v>
      </c>
      <c r="DN36" s="4404" t="e">
        <f>SUM(DN35/DN14)</f>
        <v>#DIV/0!</v>
      </c>
      <c r="DO36" s="2823">
        <f t="shared" ref="DO36:DW36" si="437">SUM(DO35/DO14)</f>
        <v>52.671631240648473</v>
      </c>
      <c r="DP36" s="2823">
        <f t="shared" si="437"/>
        <v>52.681762489552007</v>
      </c>
      <c r="DQ36" s="2823">
        <f t="shared" si="437"/>
        <v>26.019224471823659</v>
      </c>
      <c r="DR36" s="2823">
        <f t="shared" si="437"/>
        <v>52.663411145852734</v>
      </c>
      <c r="DS36" s="2823">
        <f t="shared" si="437"/>
        <v>52.663411145852734</v>
      </c>
      <c r="DT36" s="2823" t="e">
        <f t="shared" si="437"/>
        <v>#DIV/0!</v>
      </c>
      <c r="DU36" s="2823">
        <f t="shared" si="437"/>
        <v>48.678868269858683</v>
      </c>
      <c r="DV36" s="2823">
        <f t="shared" si="437"/>
        <v>48.678868269858683</v>
      </c>
      <c r="DW36" s="2823" t="e">
        <f t="shared" si="437"/>
        <v>#DIV/0!</v>
      </c>
      <c r="DX36" s="2824">
        <f t="shared" si="386"/>
        <v>-8.2200947957389303E-3</v>
      </c>
      <c r="DY36" s="2824">
        <f t="shared" si="386"/>
        <v>-1.8351343699272604E-2</v>
      </c>
      <c r="DZ36" s="2824" t="e">
        <f t="shared" si="386"/>
        <v>#DIV/0!</v>
      </c>
      <c r="EA36" s="2823">
        <f t="shared" ref="EA36:EI36" si="438">SUM(EA35/EA14)</f>
        <v>52.671631240648487</v>
      </c>
      <c r="EB36" s="2823">
        <f t="shared" si="438"/>
        <v>52.681762489552014</v>
      </c>
      <c r="EC36" s="2823">
        <f t="shared" si="438"/>
        <v>26.019224471823659</v>
      </c>
      <c r="ED36" s="2798">
        <f t="shared" si="438"/>
        <v>52.669704816586581</v>
      </c>
      <c r="EE36" s="2798">
        <f t="shared" si="438"/>
        <v>52.669704816586581</v>
      </c>
      <c r="EF36" s="2798" t="e">
        <f t="shared" si="438"/>
        <v>#DIV/0!</v>
      </c>
      <c r="EG36" s="2823">
        <f t="shared" si="438"/>
        <v>44.097022213879448</v>
      </c>
      <c r="EH36" s="2823">
        <f t="shared" si="438"/>
        <v>44.103974889517531</v>
      </c>
      <c r="EI36" s="2823">
        <f t="shared" si="438"/>
        <v>20.929203539823007</v>
      </c>
      <c r="EJ36" s="2824">
        <f t="shared" si="388"/>
        <v>-1.9264240619065731E-3</v>
      </c>
      <c r="EK36" s="2824">
        <f t="shared" si="388"/>
        <v>-1.2057672965433142E-2</v>
      </c>
      <c r="EL36" s="2824" t="e">
        <f t="shared" si="388"/>
        <v>#DIV/0!</v>
      </c>
      <c r="EM36" s="2822">
        <f t="shared" ref="EM36:ER36" si="439">SUM(EM35/EM14)</f>
        <v>52.67163124064848</v>
      </c>
      <c r="EN36" s="2822">
        <f t="shared" si="439"/>
        <v>52.681762489552021</v>
      </c>
      <c r="EO36" s="2822">
        <f t="shared" si="439"/>
        <v>26.019224471823662</v>
      </c>
      <c r="EP36" s="2822" t="e">
        <f t="shared" si="439"/>
        <v>#DIV/0!</v>
      </c>
      <c r="EQ36" s="2822" t="e">
        <f t="shared" si="439"/>
        <v>#DIV/0!</v>
      </c>
      <c r="ER36" s="2822" t="e">
        <f t="shared" si="439"/>
        <v>#DIV/0!</v>
      </c>
      <c r="ES36" s="4404">
        <f>SUM(ES35/ES14)</f>
        <v>48.658593215702361</v>
      </c>
      <c r="ET36" s="4404">
        <f>SUM(ET35/ET14)</f>
        <v>48.658593215702361</v>
      </c>
      <c r="EU36" s="4404" t="e">
        <f>SUM(EU35/EU14)</f>
        <v>#DIV/0!</v>
      </c>
      <c r="EV36" s="2822">
        <f t="shared" ref="EV36:FA36" si="440">SUM(EV35/EV14)</f>
        <v>52.67163124064848</v>
      </c>
      <c r="EW36" s="2822">
        <f t="shared" si="440"/>
        <v>52.681762489552021</v>
      </c>
      <c r="EX36" s="2822">
        <f t="shared" si="440"/>
        <v>26.019224471823662</v>
      </c>
      <c r="EY36" s="2822" t="e">
        <f t="shared" si="440"/>
        <v>#DIV/0!</v>
      </c>
      <c r="EZ36" s="2822" t="e">
        <f t="shared" si="440"/>
        <v>#DIV/0!</v>
      </c>
      <c r="FA36" s="2822" t="e">
        <f t="shared" si="440"/>
        <v>#DIV/0!</v>
      </c>
      <c r="FB36" s="4404">
        <f>SUM(FB35/FB14)</f>
        <v>48.664775439530331</v>
      </c>
      <c r="FC36" s="4404">
        <f>SUM(FC35/FC14)</f>
        <v>48.664775439530331</v>
      </c>
      <c r="FD36" s="4404" t="e">
        <f>SUM(FD35/FD14)</f>
        <v>#DIV/0!</v>
      </c>
      <c r="FE36" s="2822">
        <f t="shared" ref="FE36:FJ36" si="441">SUM(FE35/FE14)</f>
        <v>52.67163124064848</v>
      </c>
      <c r="FF36" s="2822">
        <f t="shared" si="441"/>
        <v>52.681762489552021</v>
      </c>
      <c r="FG36" s="2822">
        <f t="shared" si="441"/>
        <v>26.019224471823662</v>
      </c>
      <c r="FH36" s="2822" t="e">
        <f t="shared" si="441"/>
        <v>#DIV/0!</v>
      </c>
      <c r="FI36" s="2822" t="e">
        <f t="shared" si="441"/>
        <v>#DIV/0!</v>
      </c>
      <c r="FJ36" s="2822" t="e">
        <f t="shared" si="441"/>
        <v>#DIV/0!</v>
      </c>
      <c r="FK36" s="4404">
        <f>SUM(FK35/FK14)</f>
        <v>52.673325866602205</v>
      </c>
      <c r="FL36" s="4404">
        <f>SUM(FL35/FL14)</f>
        <v>52.673325866602205</v>
      </c>
      <c r="FM36" s="4404" t="e">
        <f>SUM(FM35/FM14)</f>
        <v>#DIV/0!</v>
      </c>
      <c r="FN36" s="2823">
        <f t="shared" ref="FN36:FV36" si="442">SUM(FN35/FN14)</f>
        <v>52.671631240648473</v>
      </c>
      <c r="FO36" s="2823">
        <f t="shared" si="442"/>
        <v>52.681762489552007</v>
      </c>
      <c r="FP36" s="2823">
        <f t="shared" si="442"/>
        <v>26.019224471823659</v>
      </c>
      <c r="FQ36" s="2823" t="e">
        <f t="shared" si="442"/>
        <v>#DIV/0!</v>
      </c>
      <c r="FR36" s="2823" t="e">
        <f t="shared" si="442"/>
        <v>#DIV/0!</v>
      </c>
      <c r="FS36" s="2823" t="e">
        <f t="shared" si="442"/>
        <v>#DIV/0!</v>
      </c>
      <c r="FT36" s="2823">
        <f t="shared" si="442"/>
        <v>50.01577434475945</v>
      </c>
      <c r="FU36" s="2823">
        <f t="shared" si="442"/>
        <v>50.01577434475945</v>
      </c>
      <c r="FV36" s="2823" t="e">
        <f t="shared" si="442"/>
        <v>#DIV/0!</v>
      </c>
      <c r="FW36" s="2824" t="e">
        <f t="shared" si="396"/>
        <v>#DIV/0!</v>
      </c>
      <c r="FX36" s="2824" t="e">
        <f t="shared" si="396"/>
        <v>#DIV/0!</v>
      </c>
      <c r="FY36" s="2824" t="e">
        <f t="shared" si="396"/>
        <v>#DIV/0!</v>
      </c>
      <c r="FZ36" s="2798">
        <f t="shared" ref="FZ36:GH36" si="443">SUM(FZ35/FZ14)</f>
        <v>52.67163124064848</v>
      </c>
      <c r="GA36" s="2798">
        <f t="shared" si="443"/>
        <v>52.681762489552014</v>
      </c>
      <c r="GB36" s="2798">
        <f t="shared" si="443"/>
        <v>26.019224471823659</v>
      </c>
      <c r="GC36" s="2823">
        <f t="shared" si="443"/>
        <v>52.669704816586581</v>
      </c>
      <c r="GD36" s="2823">
        <f t="shared" si="443"/>
        <v>52.669704816586581</v>
      </c>
      <c r="GE36" s="2823" t="e">
        <f t="shared" si="443"/>
        <v>#DIV/0!</v>
      </c>
      <c r="GF36" s="2823">
        <f t="shared" si="443"/>
        <v>45.596008069240582</v>
      </c>
      <c r="GG36" s="2823">
        <f t="shared" si="443"/>
        <v>45.601535405168789</v>
      </c>
      <c r="GH36" s="2823">
        <f t="shared" si="443"/>
        <v>20.929203539823007</v>
      </c>
      <c r="GI36" s="2824">
        <f t="shared" si="399"/>
        <v>-1.9264240618994677E-3</v>
      </c>
      <c r="GJ36" s="2824">
        <f t="shared" si="399"/>
        <v>-1.2057672965433142E-2</v>
      </c>
      <c r="GK36" s="2824" t="e">
        <f t="shared" si="399"/>
        <v>#DIV/0!</v>
      </c>
      <c r="GL36" s="565"/>
      <c r="GM36" s="3579">
        <f>SUM(GM35/GM14)</f>
        <v>52.671631240648509</v>
      </c>
    </row>
    <row r="37" spans="1:195" ht="19.5" x14ac:dyDescent="0.35">
      <c r="A37" s="2825" t="s">
        <v>253</v>
      </c>
      <c r="B37" s="4554">
        <f>SUM(C37)</f>
        <v>37.880000000000003</v>
      </c>
      <c r="C37" s="4554">
        <f>SUM('вода 2019-2023 коррект'!BW59)</f>
        <v>37.880000000000003</v>
      </c>
      <c r="D37" s="4554"/>
      <c r="E37" s="2816">
        <f>SUM(E28/E15)</f>
        <v>37.883209453359513</v>
      </c>
      <c r="F37" s="2816">
        <f>SUM(F28/F15)</f>
        <v>37.883209453359513</v>
      </c>
      <c r="G37" s="2817"/>
      <c r="H37" s="4554">
        <f>SUM(H28/H15)</f>
        <v>33.416751314602124</v>
      </c>
      <c r="I37" s="4554">
        <f>SUM(I28/I15)</f>
        <v>33.416751314602124</v>
      </c>
      <c r="J37" s="4884"/>
      <c r="K37" s="2816">
        <f>SUM(L37)</f>
        <v>37.880000000000003</v>
      </c>
      <c r="L37" s="2816">
        <f>SUM(C37)</f>
        <v>37.880000000000003</v>
      </c>
      <c r="M37" s="2816"/>
      <c r="N37" s="2816">
        <f>SUM(N28/N15)</f>
        <v>37.883254510102134</v>
      </c>
      <c r="O37" s="2816">
        <f>SUM(O28/O15)</f>
        <v>37.883254510102134</v>
      </c>
      <c r="P37" s="2817"/>
      <c r="Q37" s="4554">
        <f>SUM(Q28/Q15)</f>
        <v>33.416846837817332</v>
      </c>
      <c r="R37" s="4554">
        <f>SUM(R28/R15)</f>
        <v>33.416846837817332</v>
      </c>
      <c r="S37" s="4884"/>
      <c r="T37" s="2816">
        <f>SUM(U37)</f>
        <v>37.880000000000003</v>
      </c>
      <c r="U37" s="2816">
        <f>SUM(C37)</f>
        <v>37.880000000000003</v>
      </c>
      <c r="V37" s="2816"/>
      <c r="W37" s="2816">
        <f>SUM(W28/W15)</f>
        <v>37.883259958789694</v>
      </c>
      <c r="X37" s="2816">
        <f>SUM(X28/X15)</f>
        <v>37.883259958789694</v>
      </c>
      <c r="Y37" s="2817"/>
      <c r="Z37" s="4554">
        <f>SUM(Z28/Z15)</f>
        <v>33.419999122634039</v>
      </c>
      <c r="AA37" s="4554">
        <f>SUM(AA28/AA15)</f>
        <v>33.419999122634039</v>
      </c>
      <c r="AB37" s="4884"/>
      <c r="AC37" s="2826">
        <f>SUM(AC28/AC15)</f>
        <v>37.88000000000001</v>
      </c>
      <c r="AD37" s="2826">
        <f>SUM(AD28/AD15)</f>
        <v>37.88000000000001</v>
      </c>
      <c r="AE37" s="2826"/>
      <c r="AF37" s="2826">
        <f>SUM(AF28/AF15)</f>
        <v>37.883241082781176</v>
      </c>
      <c r="AG37" s="2826">
        <f>SUM(AG28/AG15)</f>
        <v>37.883241082781176</v>
      </c>
      <c r="AH37" s="2826"/>
      <c r="AI37" s="2826">
        <f>SUM(AI28/AI15)</f>
        <v>33.41782061051569</v>
      </c>
      <c r="AJ37" s="2826">
        <f>SUM(AJ28/AJ15)</f>
        <v>33.41782061051569</v>
      </c>
      <c r="AK37" s="2826"/>
      <c r="AL37" s="2827">
        <f t="shared" si="368"/>
        <v>3.2410827811659715E-3</v>
      </c>
      <c r="AM37" s="2827">
        <f t="shared" si="368"/>
        <v>3.2410827811659715E-3</v>
      </c>
      <c r="AN37" s="2827">
        <f t="shared" si="368"/>
        <v>0</v>
      </c>
      <c r="AO37" s="2816">
        <f>SUM(AP37)</f>
        <v>37.880000000000003</v>
      </c>
      <c r="AP37" s="2816">
        <f>SUM(C37)</f>
        <v>37.880000000000003</v>
      </c>
      <c r="AQ37" s="2816"/>
      <c r="AR37" s="2806">
        <f>SUM(AR28/AR15)</f>
        <v>37.883213230336153</v>
      </c>
      <c r="AS37" s="2806">
        <f>SUM(AS28/AS15)</f>
        <v>37.883213230336153</v>
      </c>
      <c r="AT37" s="2820"/>
      <c r="AU37" s="4885">
        <f>SUM(AU28/AU15)</f>
        <v>33.413879607475259</v>
      </c>
      <c r="AV37" s="4885">
        <f>SUM(AV28/AV15)</f>
        <v>33.413879607475259</v>
      </c>
      <c r="AW37" s="4886"/>
      <c r="AX37" s="2816">
        <f>SUM(AY37)</f>
        <v>37.880000000000003</v>
      </c>
      <c r="AY37" s="2816">
        <f>SUM(C37)</f>
        <v>37.880000000000003</v>
      </c>
      <c r="AZ37" s="2816"/>
      <c r="BA37" s="2816">
        <f>SUM(BA28/BA15)</f>
        <v>37.883233763962181</v>
      </c>
      <c r="BB37" s="2816">
        <f>SUM(BB28/BB15)</f>
        <v>37.883233763962181</v>
      </c>
      <c r="BC37" s="2817"/>
      <c r="BD37" s="4554">
        <f>SUM(BD28/BD15)</f>
        <v>33.416810144703241</v>
      </c>
      <c r="BE37" s="4554">
        <f>SUM(BE28/BE15)</f>
        <v>33.416810144703241</v>
      </c>
      <c r="BF37" s="4884"/>
      <c r="BG37" s="2816">
        <f>SUM(BH37)</f>
        <v>37.880000000000003</v>
      </c>
      <c r="BH37" s="2816">
        <f>SUM(C37)</f>
        <v>37.880000000000003</v>
      </c>
      <c r="BI37" s="2816"/>
      <c r="BJ37" s="2816">
        <f>SUM(BJ28/BJ15)</f>
        <v>37.879999942659353</v>
      </c>
      <c r="BK37" s="2816">
        <f>SUM(BK28/BK15)</f>
        <v>37.879999942659353</v>
      </c>
      <c r="BL37" s="2817"/>
      <c r="BM37" s="4554">
        <f>SUM(BM28/BM15)</f>
        <v>33.416725660031652</v>
      </c>
      <c r="BN37" s="4554">
        <f>SUM(BN28/BN15)</f>
        <v>33.416725660031652</v>
      </c>
      <c r="BO37" s="4884"/>
      <c r="BP37" s="2826">
        <f>SUM(BP28/BP15)</f>
        <v>37.88000000000001</v>
      </c>
      <c r="BQ37" s="2826">
        <f>SUM(BQ28/BQ15)</f>
        <v>37.88000000000001</v>
      </c>
      <c r="BR37" s="2826"/>
      <c r="BS37" s="2826">
        <f>SUM(BS28/BS15)</f>
        <v>37.882161574052517</v>
      </c>
      <c r="BT37" s="2826">
        <f>SUM(BT28/BT15)</f>
        <v>37.882161574052517</v>
      </c>
      <c r="BU37" s="2826"/>
      <c r="BV37" s="2826">
        <f>SUM(BV28/BV15)</f>
        <v>33.415719294348065</v>
      </c>
      <c r="BW37" s="2826">
        <f>SUM(BW28/BW15)</f>
        <v>33.415719294348065</v>
      </c>
      <c r="BX37" s="2826"/>
      <c r="BY37" s="2827">
        <f t="shared" si="376"/>
        <v>2.1615740525078309E-3</v>
      </c>
      <c r="BZ37" s="2827">
        <f t="shared" si="376"/>
        <v>2.1615740525078309E-3</v>
      </c>
      <c r="CA37" s="2827">
        <f t="shared" si="376"/>
        <v>0</v>
      </c>
      <c r="CB37" s="2826">
        <f>SUM(CB28/CB15)</f>
        <v>37.88000000000001</v>
      </c>
      <c r="CC37" s="2826">
        <f>SUM(CC28/CC15)</f>
        <v>37.88000000000001</v>
      </c>
      <c r="CD37" s="2826"/>
      <c r="CE37" s="2826">
        <f>SUM(CE28/CE15)</f>
        <v>37.882699098475136</v>
      </c>
      <c r="CF37" s="2826">
        <f>SUM(CF28/CF15)</f>
        <v>37.882699098475136</v>
      </c>
      <c r="CG37" s="2826"/>
      <c r="CH37" s="2826">
        <f>SUM(CH28/CH15)</f>
        <v>33.416763333343148</v>
      </c>
      <c r="CI37" s="2826">
        <f>SUM(CI28/CI15)</f>
        <v>33.416763333343148</v>
      </c>
      <c r="CJ37" s="2826"/>
      <c r="CK37" s="2827">
        <f t="shared" si="378"/>
        <v>2.6990984751265046E-3</v>
      </c>
      <c r="CL37" s="2827">
        <f t="shared" si="378"/>
        <v>2.6990984751265046E-3</v>
      </c>
      <c r="CM37" s="2827">
        <f t="shared" si="378"/>
        <v>0</v>
      </c>
      <c r="CN37" s="2816">
        <f>SUM(CO37)</f>
        <v>37.880000000000003</v>
      </c>
      <c r="CO37" s="2816">
        <f>SUM('вода 2019-2023 коррект'!BW59)</f>
        <v>37.880000000000003</v>
      </c>
      <c r="CP37" s="2816"/>
      <c r="CQ37" s="2816">
        <f>SUM(CQ28/CQ15)</f>
        <v>37.88318350116397</v>
      </c>
      <c r="CR37" s="2816">
        <f>SUM(CR28/CR15)</f>
        <v>37.88318350116397</v>
      </c>
      <c r="CS37" s="2817"/>
      <c r="CT37" s="4554">
        <f>SUM(CT28/CT15)</f>
        <v>34.750001346134169</v>
      </c>
      <c r="CU37" s="4554">
        <f>SUM(CU28/CU15)</f>
        <v>34.750001346134169</v>
      </c>
      <c r="CV37" s="4884"/>
      <c r="CW37" s="2816">
        <f>SUM(CX37)</f>
        <v>37.880000000000003</v>
      </c>
      <c r="CX37" s="2816">
        <f>SUM(CO37)</f>
        <v>37.880000000000003</v>
      </c>
      <c r="CY37" s="2816"/>
      <c r="CZ37" s="2816" t="e">
        <f>SUM(CZ28/CZ15)</f>
        <v>#DIV/0!</v>
      </c>
      <c r="DA37" s="2816" t="e">
        <f>SUM(DA28/DA15)</f>
        <v>#DIV/0!</v>
      </c>
      <c r="DB37" s="2817"/>
      <c r="DC37" s="4554">
        <f>SUM(DC28/DC15)</f>
        <v>34.749915973131465</v>
      </c>
      <c r="DD37" s="4554">
        <f>SUM(DD28/DD15)</f>
        <v>34.749915973131465</v>
      </c>
      <c r="DE37" s="4884"/>
      <c r="DF37" s="2816">
        <f>SUM(DG37)</f>
        <v>37.880000000000003</v>
      </c>
      <c r="DG37" s="2816">
        <f>SUM(CO37)</f>
        <v>37.880000000000003</v>
      </c>
      <c r="DH37" s="2816"/>
      <c r="DI37" s="2816" t="e">
        <f>SUM(DI28/DI15)</f>
        <v>#DIV/0!</v>
      </c>
      <c r="DJ37" s="2816" t="e">
        <f>SUM(DJ28/DJ15)</f>
        <v>#DIV/0!</v>
      </c>
      <c r="DK37" s="2817"/>
      <c r="DL37" s="4554">
        <f>SUM(DL28/DL15)</f>
        <v>34.750060173813992</v>
      </c>
      <c r="DM37" s="4554">
        <f>SUM(DM28/DM15)</f>
        <v>34.750060173813992</v>
      </c>
      <c r="DN37" s="4884"/>
      <c r="DO37" s="2826">
        <f>SUM(DO28/DO15)</f>
        <v>37.88000000000001</v>
      </c>
      <c r="DP37" s="2826">
        <f>SUM(DP28/DP15)</f>
        <v>37.88000000000001</v>
      </c>
      <c r="DQ37" s="2826"/>
      <c r="DR37" s="2826">
        <f>SUM(DR28/DR15)</f>
        <v>37.88318350116397</v>
      </c>
      <c r="DS37" s="2826">
        <f>SUM(DS28/DS15)</f>
        <v>37.88318350116397</v>
      </c>
      <c r="DT37" s="2826"/>
      <c r="DU37" s="2826">
        <f>SUM(DU28/DU15)</f>
        <v>34.749991977033034</v>
      </c>
      <c r="DV37" s="2826">
        <f>SUM(DV28/DV15)</f>
        <v>34.749991977033034</v>
      </c>
      <c r="DW37" s="2826"/>
      <c r="DX37" s="2824">
        <f t="shared" si="386"/>
        <v>3.1835011639600452E-3</v>
      </c>
      <c r="DY37" s="2824">
        <f t="shared" si="386"/>
        <v>3.1835011639600452E-3</v>
      </c>
      <c r="DZ37" s="2824">
        <f t="shared" si="386"/>
        <v>0</v>
      </c>
      <c r="EA37" s="2826">
        <f>SUM(EA28/EA15)</f>
        <v>37.88000000000001</v>
      </c>
      <c r="EB37" s="2826">
        <f>SUM(EB28/EB15)</f>
        <v>37.88000000000001</v>
      </c>
      <c r="EC37" s="2826"/>
      <c r="ED37" s="4559">
        <f>SUM(ED28/ED15)</f>
        <v>37.882764379986355</v>
      </c>
      <c r="EE37" s="4559">
        <f>SUM(EE28/EE15)</f>
        <v>37.882764379986355</v>
      </c>
      <c r="EF37" s="4559"/>
      <c r="EG37" s="2826">
        <f>SUM(EG28/EG15)</f>
        <v>33.841252388493984</v>
      </c>
      <c r="EH37" s="2826">
        <f>SUM(EH28/EH15)</f>
        <v>33.841252388493984</v>
      </c>
      <c r="EI37" s="2826"/>
      <c r="EJ37" s="2824">
        <f t="shared" si="388"/>
        <v>2.7643799863454888E-3</v>
      </c>
      <c r="EK37" s="2824">
        <f t="shared" si="388"/>
        <v>2.7643799863454888E-3</v>
      </c>
      <c r="EL37" s="2824">
        <f t="shared" si="388"/>
        <v>0</v>
      </c>
      <c r="EM37" s="2816">
        <f>SUM(EN37)</f>
        <v>37.880000000000003</v>
      </c>
      <c r="EN37" s="2816">
        <f>SUM(CO37)</f>
        <v>37.880000000000003</v>
      </c>
      <c r="EO37" s="2816"/>
      <c r="EP37" s="2816" t="e">
        <f>SUM(EP28/EP15)</f>
        <v>#DIV/0!</v>
      </c>
      <c r="EQ37" s="2816" t="e">
        <f>SUM(EQ28/EQ15)</f>
        <v>#DIV/0!</v>
      </c>
      <c r="ER37" s="2817"/>
      <c r="ES37" s="4554">
        <f>SUM(ES28/ES15)</f>
        <v>34.752801070744141</v>
      </c>
      <c r="ET37" s="4554">
        <f>SUM(ET28/ET15)</f>
        <v>34.752801070744141</v>
      </c>
      <c r="EU37" s="4884"/>
      <c r="EV37" s="2816">
        <f>SUM(EW37)</f>
        <v>37.880000000000003</v>
      </c>
      <c r="EW37" s="2816">
        <f>SUM(CO37)</f>
        <v>37.880000000000003</v>
      </c>
      <c r="EX37" s="2816"/>
      <c r="EY37" s="2816" t="e">
        <f>SUM(EY28/EY15)</f>
        <v>#DIV/0!</v>
      </c>
      <c r="EZ37" s="2816" t="e">
        <f>SUM(EZ28/EZ15)</f>
        <v>#DIV/0!</v>
      </c>
      <c r="FA37" s="2817"/>
      <c r="FB37" s="4554">
        <f>SUM(FB28/FB15)</f>
        <v>34.749963617443015</v>
      </c>
      <c r="FC37" s="4554">
        <f>SUM(FC28/FC15)</f>
        <v>34.749963617443015</v>
      </c>
      <c r="FD37" s="4884"/>
      <c r="FE37" s="2816">
        <f>SUM(FF37)</f>
        <v>37.880000000000003</v>
      </c>
      <c r="FF37" s="2816">
        <f>SUM(CO37)</f>
        <v>37.880000000000003</v>
      </c>
      <c r="FG37" s="2816"/>
      <c r="FH37" s="2816" t="e">
        <f>SUM(FH28/FH15)</f>
        <v>#DIV/0!</v>
      </c>
      <c r="FI37" s="2816" t="e">
        <f>SUM(FI28/FI15)</f>
        <v>#DIV/0!</v>
      </c>
      <c r="FJ37" s="2817"/>
      <c r="FK37" s="4554">
        <f>SUM(FK28/FK15)</f>
        <v>37.878468693737489</v>
      </c>
      <c r="FL37" s="4554">
        <f>SUM(FL28/FL15)</f>
        <v>37.878468693737489</v>
      </c>
      <c r="FM37" s="4884"/>
      <c r="FN37" s="2826">
        <f>SUM(FN28/FN15)</f>
        <v>37.88000000000001</v>
      </c>
      <c r="FO37" s="2826">
        <f>SUM(FO28/FO15)</f>
        <v>37.88000000000001</v>
      </c>
      <c r="FP37" s="2826"/>
      <c r="FQ37" s="2826" t="e">
        <f>SUM(FQ28/FQ15)</f>
        <v>#DIV/0!</v>
      </c>
      <c r="FR37" s="2826" t="e">
        <f>SUM(FR28/FR15)</f>
        <v>#DIV/0!</v>
      </c>
      <c r="FS37" s="2826"/>
      <c r="FT37" s="2826">
        <f>SUM(FT28/FT15)</f>
        <v>35.788500770377468</v>
      </c>
      <c r="FU37" s="2826">
        <f>SUM(FU28/FU15)</f>
        <v>35.788500770377468</v>
      </c>
      <c r="FV37" s="2826"/>
      <c r="FW37" s="2824" t="e">
        <f t="shared" si="396"/>
        <v>#DIV/0!</v>
      </c>
      <c r="FX37" s="2824" t="e">
        <f t="shared" si="396"/>
        <v>#DIV/0!</v>
      </c>
      <c r="FY37" s="2824">
        <f t="shared" si="396"/>
        <v>0</v>
      </c>
      <c r="FZ37" s="4559">
        <f>SUM(FZ28/FZ15)</f>
        <v>37.88000000000001</v>
      </c>
      <c r="GA37" s="4559">
        <f>SUM(GA28/GA15)</f>
        <v>37.88000000000001</v>
      </c>
      <c r="GB37" s="4559"/>
      <c r="GC37" s="2826">
        <f>SUM(GC28/GC15)</f>
        <v>37.882764379986355</v>
      </c>
      <c r="GD37" s="2826">
        <f>SUM(GD28/GD15)</f>
        <v>37.882764379986355</v>
      </c>
      <c r="GE37" s="2826"/>
      <c r="GF37" s="2826">
        <f>SUM(GF28/GF15)</f>
        <v>34.320875172941207</v>
      </c>
      <c r="GG37" s="2826">
        <f>SUM(GG28/GG15)</f>
        <v>34.320875172941207</v>
      </c>
      <c r="GH37" s="2826"/>
      <c r="GI37" s="2824">
        <f t="shared" si="399"/>
        <v>2.7643799863454888E-3</v>
      </c>
      <c r="GJ37" s="2824">
        <f t="shared" si="399"/>
        <v>2.7643799863454888E-3</v>
      </c>
      <c r="GK37" s="2824">
        <f t="shared" si="399"/>
        <v>0</v>
      </c>
      <c r="GL37" s="565"/>
      <c r="GM37" s="3580">
        <f>SUM(GM28/GM15)</f>
        <v>37.88000000000001</v>
      </c>
    </row>
    <row r="38" spans="1:195" ht="19.5" x14ac:dyDescent="0.35">
      <c r="A38" s="2825" t="s">
        <v>3746</v>
      </c>
      <c r="B38" s="4554">
        <f>SUM(C38)</f>
        <v>14.801762489552011</v>
      </c>
      <c r="C38" s="4554">
        <f>SUM(C39-C37)</f>
        <v>14.801762489552011</v>
      </c>
      <c r="D38" s="4554"/>
      <c r="E38" s="2816">
        <f>SUM(E29/E15)</f>
        <v>14.772646515044418</v>
      </c>
      <c r="F38" s="2816">
        <f>SUM(F29/F15)</f>
        <v>14.772646515044418</v>
      </c>
      <c r="G38" s="2817"/>
      <c r="H38" s="4554">
        <f>SUM(H29/H15)</f>
        <v>8.5847794350399944</v>
      </c>
      <c r="I38" s="4554">
        <f>SUM(I29/I15)</f>
        <v>8.5847794350399944</v>
      </c>
      <c r="J38" s="4884"/>
      <c r="K38" s="2816">
        <f>SUM(L38)</f>
        <v>14.801762489552011</v>
      </c>
      <c r="L38" s="2816">
        <f t="shared" ref="L38:L39" si="444">SUM(C38)</f>
        <v>14.801762489552011</v>
      </c>
      <c r="M38" s="2816"/>
      <c r="N38" s="2816">
        <f>SUM(N29/N15)</f>
        <v>14.795575244521737</v>
      </c>
      <c r="O38" s="2816">
        <f>SUM(O29/O15)</f>
        <v>14.795575244521737</v>
      </c>
      <c r="P38" s="2817"/>
      <c r="Q38" s="4554">
        <f>SUM(Q29/Q15)</f>
        <v>8.5845181674565563</v>
      </c>
      <c r="R38" s="4554">
        <f>SUM(R29/R15)</f>
        <v>8.5845181674565563</v>
      </c>
      <c r="S38" s="4884"/>
      <c r="T38" s="2816">
        <f>SUM(U38)</f>
        <v>14.801762489552011</v>
      </c>
      <c r="U38" s="2816">
        <f t="shared" ref="U38:U39" si="445">SUM(C38)</f>
        <v>14.801762489552011</v>
      </c>
      <c r="V38" s="2816"/>
      <c r="W38" s="2816">
        <f>SUM(W29/W15)</f>
        <v>14.79253968675042</v>
      </c>
      <c r="X38" s="2816">
        <f>SUM(X29/X15)</f>
        <v>14.79253968675042</v>
      </c>
      <c r="Y38" s="2817"/>
      <c r="Z38" s="4554">
        <f>SUM(Z29/Z15)</f>
        <v>8.5927850894925921</v>
      </c>
      <c r="AA38" s="4554">
        <f>SUM(AA29/AA15)</f>
        <v>8.5927850894925921</v>
      </c>
      <c r="AB38" s="4884"/>
      <c r="AC38" s="2826">
        <f>SUM(AC29/AC15)</f>
        <v>14.801762489552011</v>
      </c>
      <c r="AD38" s="2826">
        <f>SUM(AD29/AD15)</f>
        <v>14.801762489552011</v>
      </c>
      <c r="AE38" s="2826"/>
      <c r="AF38" s="2826">
        <f>SUM(AF29/AF15)</f>
        <v>14.786847506152911</v>
      </c>
      <c r="AG38" s="2826">
        <f>SUM(AG29/AG15)</f>
        <v>14.786847506152911</v>
      </c>
      <c r="AH38" s="2826"/>
      <c r="AI38" s="2826">
        <f>SUM(AI29/AI15)</f>
        <v>8.5872469775767044</v>
      </c>
      <c r="AJ38" s="2826">
        <f>SUM(AJ29/AJ15)</f>
        <v>8.5872469775767044</v>
      </c>
      <c r="AK38" s="2826"/>
      <c r="AL38" s="2827">
        <f t="shared" si="368"/>
        <v>-1.4914983399100024E-2</v>
      </c>
      <c r="AM38" s="2827">
        <f t="shared" si="368"/>
        <v>-1.4914983399100024E-2</v>
      </c>
      <c r="AN38" s="2827">
        <f t="shared" si="368"/>
        <v>0</v>
      </c>
      <c r="AO38" s="2816">
        <f>SUM(AP38)</f>
        <v>14.801762489552011</v>
      </c>
      <c r="AP38" s="2816">
        <f>SUM(C38)</f>
        <v>14.801762489552011</v>
      </c>
      <c r="AQ38" s="2816"/>
      <c r="AR38" s="2806">
        <f>SUM(AR29/AR15)</f>
        <v>14.815510519989738</v>
      </c>
      <c r="AS38" s="2806">
        <f>SUM(AS29/AS15)</f>
        <v>14.815510519989738</v>
      </c>
      <c r="AT38" s="2820"/>
      <c r="AU38" s="4885">
        <f>SUM(AU29/AU15)</f>
        <v>8.5968083648667157</v>
      </c>
      <c r="AV38" s="4885">
        <f>SUM(AV29/AV15)</f>
        <v>8.5968083648667157</v>
      </c>
      <c r="AW38" s="4886"/>
      <c r="AX38" s="2816">
        <f>SUM(AY38)</f>
        <v>14.801762489552011</v>
      </c>
      <c r="AY38" s="2816">
        <f>SUM(C38)</f>
        <v>14.801762489552011</v>
      </c>
      <c r="AZ38" s="2816"/>
      <c r="BA38" s="2816">
        <f>SUM(BA29/BA15)</f>
        <v>14.750861500122319</v>
      </c>
      <c r="BB38" s="2816">
        <f>SUM(BB29/BB15)</f>
        <v>14.750861500122319</v>
      </c>
      <c r="BC38" s="2817"/>
      <c r="BD38" s="4554">
        <f>SUM(BD29/BD15)</f>
        <v>8.5956821171554587</v>
      </c>
      <c r="BE38" s="4554">
        <f>SUM(BE29/BE15)</f>
        <v>8.5956821171554587</v>
      </c>
      <c r="BF38" s="4884"/>
      <c r="BG38" s="2816">
        <f>SUM(BH38)</f>
        <v>14.801762489552011</v>
      </c>
      <c r="BH38" s="2816">
        <f>SUM(C38)</f>
        <v>14.801762489552011</v>
      </c>
      <c r="BI38" s="2816"/>
      <c r="BJ38" s="2816">
        <f>SUM(BJ29/BJ15)</f>
        <v>14.777002479451625</v>
      </c>
      <c r="BK38" s="2816">
        <f>SUM(BK29/BK15)</f>
        <v>14.777002479451625</v>
      </c>
      <c r="BL38" s="2817"/>
      <c r="BM38" s="4554">
        <f>SUM(BM29/BM15)</f>
        <v>8.5927948280169897</v>
      </c>
      <c r="BN38" s="4554">
        <f>SUM(BN29/BN15)</f>
        <v>8.5927948280169897</v>
      </c>
      <c r="BO38" s="4884"/>
      <c r="BP38" s="2826">
        <f>SUM(BP29/BP15)</f>
        <v>14.801762489552011</v>
      </c>
      <c r="BQ38" s="2826">
        <f>SUM(BQ29/BQ15)</f>
        <v>14.801762489552011</v>
      </c>
      <c r="BR38" s="2826"/>
      <c r="BS38" s="2826">
        <f>SUM(BS29/BS15)</f>
        <v>14.780620153028863</v>
      </c>
      <c r="BT38" s="2826">
        <f>SUM(BT29/BT15)</f>
        <v>14.780620153028863</v>
      </c>
      <c r="BU38" s="2826"/>
      <c r="BV38" s="2826">
        <f>SUM(BV29/BV15)</f>
        <v>8.5952061300862201</v>
      </c>
      <c r="BW38" s="2826">
        <f>SUM(BW29/BW15)</f>
        <v>8.5952061300862201</v>
      </c>
      <c r="BX38" s="2826"/>
      <c r="BY38" s="2827">
        <f t="shared" si="376"/>
        <v>-2.1142336523148231E-2</v>
      </c>
      <c r="BZ38" s="2827">
        <f t="shared" si="376"/>
        <v>-2.1142336523148231E-2</v>
      </c>
      <c r="CA38" s="2827">
        <f t="shared" si="376"/>
        <v>0</v>
      </c>
      <c r="CB38" s="2826">
        <f>SUM(CB29/CB15)</f>
        <v>14.801762489552011</v>
      </c>
      <c r="CC38" s="2826">
        <f>SUM(CC29/CC15)</f>
        <v>14.801762489552011</v>
      </c>
      <c r="CD38" s="2826"/>
      <c r="CE38" s="2826">
        <f>SUM(CE29/CE15)</f>
        <v>14.783720965744486</v>
      </c>
      <c r="CF38" s="2826">
        <f>SUM(CF29/CF15)</f>
        <v>14.783720965744486</v>
      </c>
      <c r="CG38" s="2826"/>
      <c r="CH38" s="2826">
        <f>SUM(CH29/CH15)</f>
        <v>8.5912516249452349</v>
      </c>
      <c r="CI38" s="2826">
        <f>SUM(CI29/CI15)</f>
        <v>8.5912516249452349</v>
      </c>
      <c r="CJ38" s="2826"/>
      <c r="CK38" s="2827">
        <f t="shared" si="378"/>
        <v>-1.804152380752555E-2</v>
      </c>
      <c r="CL38" s="2827">
        <f t="shared" si="378"/>
        <v>-1.804152380752555E-2</v>
      </c>
      <c r="CM38" s="2827">
        <f t="shared" si="378"/>
        <v>0</v>
      </c>
      <c r="CN38" s="2816">
        <f>SUM(CO38)</f>
        <v>14.801762489552011</v>
      </c>
      <c r="CO38" s="2816">
        <f>SUM(CO39-CO37)</f>
        <v>14.801762489552011</v>
      </c>
      <c r="CP38" s="2816"/>
      <c r="CQ38" s="2816">
        <f>SUM(CQ29/CQ15)</f>
        <v>14.774062701598099</v>
      </c>
      <c r="CR38" s="2816">
        <f>SUM(CR29/CR15)</f>
        <v>14.774062701598099</v>
      </c>
      <c r="CS38" s="2817"/>
      <c r="CT38" s="4554">
        <f>SUM(CT29/CT15)</f>
        <v>13.944410043237829</v>
      </c>
      <c r="CU38" s="4554">
        <f>SUM(CU29/CU15)</f>
        <v>13.944410043237829</v>
      </c>
      <c r="CV38" s="4884"/>
      <c r="CW38" s="2816">
        <f>SUM(CX38)</f>
        <v>14.801762489552011</v>
      </c>
      <c r="CX38" s="2816">
        <f t="shared" ref="CX38:CX39" si="446">SUM(CO38)</f>
        <v>14.801762489552011</v>
      </c>
      <c r="CY38" s="2816"/>
      <c r="CZ38" s="2816" t="e">
        <f>SUM(CZ29/CZ15)</f>
        <v>#DIV/0!</v>
      </c>
      <c r="DA38" s="2816" t="e">
        <f>SUM(DA29/DA15)</f>
        <v>#DIV/0!</v>
      </c>
      <c r="DB38" s="2817"/>
      <c r="DC38" s="4554">
        <f>SUM(DC29/DC15)</f>
        <v>13.932086224108437</v>
      </c>
      <c r="DD38" s="4554">
        <f>SUM(DD29/DD15)</f>
        <v>13.932086224108437</v>
      </c>
      <c r="DE38" s="4884"/>
      <c r="DF38" s="2816">
        <f>SUM(DG38)</f>
        <v>14.801762489552011</v>
      </c>
      <c r="DG38" s="2816">
        <f t="shared" ref="DG38:DG39" si="447">SUM(CO38)</f>
        <v>14.801762489552011</v>
      </c>
      <c r="DH38" s="2816"/>
      <c r="DI38" s="2816" t="e">
        <f>SUM(DI29/DI15)</f>
        <v>#DIV/0!</v>
      </c>
      <c r="DJ38" s="2816" t="e">
        <f>SUM(DJ29/DJ15)</f>
        <v>#DIV/0!</v>
      </c>
      <c r="DK38" s="2817"/>
      <c r="DL38" s="4554">
        <f>SUM(DL29/DL15)</f>
        <v>13.908129796030453</v>
      </c>
      <c r="DM38" s="4554">
        <f>SUM(DM29/DM15)</f>
        <v>13.908129796030453</v>
      </c>
      <c r="DN38" s="4884"/>
      <c r="DO38" s="2826">
        <f>SUM(DO29/DO15)</f>
        <v>14.801762489552011</v>
      </c>
      <c r="DP38" s="2826">
        <f>SUM(DP29/DP15)</f>
        <v>14.801762489552011</v>
      </c>
      <c r="DQ38" s="2826"/>
      <c r="DR38" s="2826">
        <f>SUM(DR29/DR15)</f>
        <v>14.774062701598099</v>
      </c>
      <c r="DS38" s="2826">
        <f>SUM(DS29/DS15)</f>
        <v>14.774062701598099</v>
      </c>
      <c r="DT38" s="2826"/>
      <c r="DU38" s="2826">
        <f>SUM(DU29/DU15)</f>
        <v>13.927922228621037</v>
      </c>
      <c r="DV38" s="2826">
        <f>SUM(DV29/DV15)</f>
        <v>13.927922228621037</v>
      </c>
      <c r="DW38" s="2826"/>
      <c r="DX38" s="2824">
        <f t="shared" si="386"/>
        <v>-2.7699787953912036E-2</v>
      </c>
      <c r="DY38" s="2824">
        <f t="shared" si="386"/>
        <v>-2.7699787953912036E-2</v>
      </c>
      <c r="DZ38" s="2824">
        <f t="shared" si="386"/>
        <v>0</v>
      </c>
      <c r="EA38" s="2826">
        <f>SUM(EA29/EA15)</f>
        <v>14.801762489552011</v>
      </c>
      <c r="EB38" s="2826">
        <f>SUM(EB29/EB15)</f>
        <v>14.801762489552011</v>
      </c>
      <c r="EC38" s="2826"/>
      <c r="ED38" s="4559">
        <f>SUM(ED29/ED15)</f>
        <v>14.782419350180055</v>
      </c>
      <c r="EE38" s="4559">
        <f>SUM(EE29/EE15)</f>
        <v>14.782419350180055</v>
      </c>
      <c r="EF38" s="4559"/>
      <c r="EG38" s="2826">
        <f>SUM(EG29/EG15)</f>
        <v>10.29040373432079</v>
      </c>
      <c r="EH38" s="2826">
        <f>SUM(EH29/EH15)</f>
        <v>10.29040373432079</v>
      </c>
      <c r="EI38" s="2826"/>
      <c r="EJ38" s="2824">
        <f t="shared" si="388"/>
        <v>-1.9343139371956752E-2</v>
      </c>
      <c r="EK38" s="2824">
        <f t="shared" si="388"/>
        <v>-1.9343139371956752E-2</v>
      </c>
      <c r="EL38" s="2824">
        <f t="shared" si="388"/>
        <v>0</v>
      </c>
      <c r="EM38" s="2816">
        <f>SUM(EN38)</f>
        <v>14.801762489552011</v>
      </c>
      <c r="EN38" s="2816">
        <f t="shared" ref="EN38:EN39" si="448">SUM(CO38)</f>
        <v>14.801762489552011</v>
      </c>
      <c r="EO38" s="2816"/>
      <c r="EP38" s="2816" t="e">
        <f>SUM(EP29/EP15)</f>
        <v>#DIV/0!</v>
      </c>
      <c r="EQ38" s="2816" t="e">
        <f>SUM(EQ29/EQ15)</f>
        <v>#DIV/0!</v>
      </c>
      <c r="ER38" s="2817"/>
      <c r="ES38" s="4554">
        <f>SUM(ES29/ES15)</f>
        <v>13.893726615495371</v>
      </c>
      <c r="ET38" s="4554">
        <f>SUM(ET29/ET15)</f>
        <v>13.893726615495371</v>
      </c>
      <c r="EU38" s="4884"/>
      <c r="EV38" s="2816">
        <f>SUM(EW38)</f>
        <v>14.801762489552011</v>
      </c>
      <c r="EW38" s="2816">
        <f t="shared" ref="EW38:EW39" si="449">SUM(CO38)</f>
        <v>14.801762489552011</v>
      </c>
      <c r="EX38" s="2816"/>
      <c r="EY38" s="2816" t="e">
        <f>SUM(EY29/EY15)</f>
        <v>#DIV/0!</v>
      </c>
      <c r="EZ38" s="2816" t="e">
        <f>SUM(EZ29/EZ15)</f>
        <v>#DIV/0!</v>
      </c>
      <c r="FA38" s="2817"/>
      <c r="FB38" s="4554">
        <f>SUM(FB29/FB15)</f>
        <v>13.907165411298314</v>
      </c>
      <c r="FC38" s="4554">
        <f>SUM(FC29/FC15)</f>
        <v>13.907165411298314</v>
      </c>
      <c r="FD38" s="4884"/>
      <c r="FE38" s="2816">
        <f>SUM(FF38)</f>
        <v>14.801762489552011</v>
      </c>
      <c r="FF38" s="2816">
        <f t="shared" ref="FF38:FF39" si="450">SUM(CO38)</f>
        <v>14.801762489552011</v>
      </c>
      <c r="FG38" s="2816"/>
      <c r="FH38" s="2816" t="e">
        <f>SUM(FH29/FH15)</f>
        <v>#DIV/0!</v>
      </c>
      <c r="FI38" s="2816" t="e">
        <f>SUM(FI29/FI15)</f>
        <v>#DIV/0!</v>
      </c>
      <c r="FJ38" s="2817"/>
      <c r="FK38" s="4554">
        <f>SUM(FK29/FK15)</f>
        <v>14.789593416197679</v>
      </c>
      <c r="FL38" s="4554">
        <f>SUM(FL29/FL15)</f>
        <v>14.789593416197679</v>
      </c>
      <c r="FM38" s="4884"/>
      <c r="FN38" s="2826">
        <f>SUM(FN29/FN15)</f>
        <v>14.801762489552011</v>
      </c>
      <c r="FO38" s="2826">
        <f>SUM(FO29/FO15)</f>
        <v>14.801762489552011</v>
      </c>
      <c r="FP38" s="2826"/>
      <c r="FQ38" s="2826" t="e">
        <f>SUM(FQ29/FQ15)</f>
        <v>#DIV/0!</v>
      </c>
      <c r="FR38" s="2826" t="e">
        <f>SUM(FR29/FR15)</f>
        <v>#DIV/0!</v>
      </c>
      <c r="FS38" s="2826"/>
      <c r="FT38" s="2826">
        <f>SUM(FT29/FT15)</f>
        <v>14.19539183136013</v>
      </c>
      <c r="FU38" s="2826">
        <f>SUM(FU29/FU15)</f>
        <v>14.19539183136013</v>
      </c>
      <c r="FV38" s="2826"/>
      <c r="FW38" s="2824" t="e">
        <f t="shared" si="396"/>
        <v>#DIV/0!</v>
      </c>
      <c r="FX38" s="2824" t="e">
        <f t="shared" si="396"/>
        <v>#DIV/0!</v>
      </c>
      <c r="FY38" s="2824">
        <f t="shared" si="396"/>
        <v>0</v>
      </c>
      <c r="FZ38" s="4559">
        <f>SUM(FZ29/FZ15)</f>
        <v>14.801762489552011</v>
      </c>
      <c r="GA38" s="4559">
        <f>SUM(GA29/GA15)</f>
        <v>14.801762489552011</v>
      </c>
      <c r="GB38" s="4559"/>
      <c r="GC38" s="2826">
        <f>SUM(GC29/GC15)</f>
        <v>14.782419350180055</v>
      </c>
      <c r="GD38" s="2826">
        <f>SUM(GD29/GD15)</f>
        <v>14.782419350180055</v>
      </c>
      <c r="GE38" s="2826"/>
      <c r="GF38" s="2826">
        <f>SUM(GF29/GF15)</f>
        <v>11.252233402153754</v>
      </c>
      <c r="GG38" s="2826">
        <f>SUM(GG29/GG15)</f>
        <v>11.252233402153754</v>
      </c>
      <c r="GH38" s="2826"/>
      <c r="GI38" s="2824">
        <f t="shared" si="399"/>
        <v>-1.9343139371956752E-2</v>
      </c>
      <c r="GJ38" s="2824">
        <f t="shared" si="399"/>
        <v>-1.9343139371956752E-2</v>
      </c>
      <c r="GK38" s="2824">
        <f t="shared" si="399"/>
        <v>0</v>
      </c>
      <c r="GL38" s="565"/>
      <c r="GM38" s="2910"/>
    </row>
    <row r="39" spans="1:195" ht="19.5" x14ac:dyDescent="0.35">
      <c r="A39" s="2825" t="s">
        <v>254</v>
      </c>
      <c r="B39" s="4554">
        <f>SUM(C39)</f>
        <v>52.681762489552014</v>
      </c>
      <c r="C39" s="4554">
        <f>SUM('вода 2019-2023 коррект'!BW50)</f>
        <v>52.681762489552014</v>
      </c>
      <c r="D39" s="4554"/>
      <c r="E39" s="2816">
        <f>SUM(E30+E32)/(E16+E21-G16)</f>
        <v>52.679999932137292</v>
      </c>
      <c r="F39" s="2816">
        <f>SUM(F30+F32)/(F16+F21)</f>
        <v>52.679999932137292</v>
      </c>
      <c r="G39" s="2817"/>
      <c r="H39" s="4554">
        <f>SUM(H30+H32)/(H16+H21-J16)</f>
        <v>42.016629574678532</v>
      </c>
      <c r="I39" s="4554">
        <f>SUM(I30+I32)/(I16+I21)</f>
        <v>42.016629574678532</v>
      </c>
      <c r="J39" s="4884"/>
      <c r="K39" s="2816">
        <f>SUM(L39)</f>
        <v>52.681762489552014</v>
      </c>
      <c r="L39" s="2816">
        <f t="shared" si="444"/>
        <v>52.681762489552014</v>
      </c>
      <c r="M39" s="2816"/>
      <c r="N39" s="2816">
        <f>SUM(N30+N32)/(N16+N21-P16)</f>
        <v>52.679460049909522</v>
      </c>
      <c r="O39" s="2816">
        <f>SUM(O30+O32)/(O16+O21)</f>
        <v>52.679460049909522</v>
      </c>
      <c r="P39" s="2817"/>
      <c r="Q39" s="4554">
        <f>SUM(Q30+Q32)/(Q16+Q21-S16)</f>
        <v>42.019997051514252</v>
      </c>
      <c r="R39" s="4554">
        <f>SUM(R30+R32)/(R16+R21)</f>
        <v>42.019997051514252</v>
      </c>
      <c r="S39" s="4884"/>
      <c r="T39" s="2816">
        <f>SUM(U39)</f>
        <v>52.681762489552014</v>
      </c>
      <c r="U39" s="2816">
        <f t="shared" si="445"/>
        <v>52.681762489552014</v>
      </c>
      <c r="V39" s="2816"/>
      <c r="W39" s="2816">
        <f>SUM(W30+W32)/(W16+W21-Y16)</f>
        <v>52.680000876061925</v>
      </c>
      <c r="X39" s="2816">
        <f>SUM(X30+X32)/(X16+X21)</f>
        <v>52.680000876061925</v>
      </c>
      <c r="Y39" s="2817"/>
      <c r="Z39" s="4554">
        <f>SUM(Z30+Z32)/(Z16+Z21-AB16)</f>
        <v>42.01995390328225</v>
      </c>
      <c r="AA39" s="4554">
        <f>SUM(AA30+AA32)/(AA16+AA21)</f>
        <v>42.01995390328225</v>
      </c>
      <c r="AB39" s="4884"/>
      <c r="AC39" s="2818">
        <f>SUM(AC30+AC32)/(AC16+AC21-AE16)</f>
        <v>52.681762489552021</v>
      </c>
      <c r="AD39" s="2818">
        <f>SUM(AD30+AD32)/(AD16+AD21)</f>
        <v>52.681762489552014</v>
      </c>
      <c r="AE39" s="2826"/>
      <c r="AF39" s="2818">
        <f>SUM(AF30+AF32)/(AF16+AF21-AH16)</f>
        <v>52.679812181094967</v>
      </c>
      <c r="AG39" s="2818">
        <f>SUM(AG30+AG32)/(AG16+AG21)</f>
        <v>52.679812181094967</v>
      </c>
      <c r="AH39" s="2826"/>
      <c r="AI39" s="2818">
        <f>SUM(AI30+AI32)/(AI16+AI21-AK16)</f>
        <v>42.018839068230811</v>
      </c>
      <c r="AJ39" s="2818">
        <f>SUM(AJ30+AJ32)/(AJ16+AJ21)</f>
        <v>42.018839068230818</v>
      </c>
      <c r="AK39" s="2826"/>
      <c r="AL39" s="2827">
        <f t="shared" si="368"/>
        <v>-1.9503084570544615E-3</v>
      </c>
      <c r="AM39" s="2827">
        <f t="shared" si="368"/>
        <v>-1.9503084570473561E-3</v>
      </c>
      <c r="AN39" s="2827">
        <f t="shared" si="368"/>
        <v>0</v>
      </c>
      <c r="AO39" s="2816">
        <f>SUM(AP39)</f>
        <v>52.681762489552014</v>
      </c>
      <c r="AP39" s="2816">
        <f>SUM(C39)</f>
        <v>52.681762489552014</v>
      </c>
      <c r="AQ39" s="2816"/>
      <c r="AR39" s="2806">
        <f>SUM(AR30+AR32)/(AR16+AR21-AT16)</f>
        <v>52.680001539804287</v>
      </c>
      <c r="AS39" s="2806">
        <f>SUM(AS30+AS32)/(AS16+AS21)</f>
        <v>52.680001539804287</v>
      </c>
      <c r="AT39" s="2820"/>
      <c r="AU39" s="4885">
        <f>SUM(AU30+AU32)/(AU16+AU21-AW16)</f>
        <v>42.019971206823755</v>
      </c>
      <c r="AV39" s="4885">
        <f>SUM(AV30+AV32)/(AV16+AV21)</f>
        <v>42.019971206823755</v>
      </c>
      <c r="AW39" s="4886"/>
      <c r="AX39" s="2816">
        <f>SUM(AY39)</f>
        <v>52.681762489552014</v>
      </c>
      <c r="AY39" s="2816">
        <f>SUM(C39)</f>
        <v>52.681762489552014</v>
      </c>
      <c r="AZ39" s="2816"/>
      <c r="BA39" s="2816">
        <f>SUM(BA30+BA32)/(BA16+BA21-BC16)</f>
        <v>52.680001062933023</v>
      </c>
      <c r="BB39" s="2816">
        <f>SUM(BB30+BB32)/(BB16+BB21)</f>
        <v>52.680001062933023</v>
      </c>
      <c r="BC39" s="2817"/>
      <c r="BD39" s="4554">
        <f>SUM(BD30+BD32)/(BD16+BD21-BF16)</f>
        <v>42.002600608277874</v>
      </c>
      <c r="BE39" s="4554">
        <f>SUM(BE30+BE32)/(BE16+BE21)</f>
        <v>42.002600608277874</v>
      </c>
      <c r="BF39" s="4884"/>
      <c r="BG39" s="2816">
        <f>SUM(BH39)</f>
        <v>52.681762489552014</v>
      </c>
      <c r="BH39" s="2816">
        <f>SUM(C39)</f>
        <v>52.681762489552014</v>
      </c>
      <c r="BI39" s="2816"/>
      <c r="BJ39" s="2816">
        <f>SUM(BJ30+BJ32)/(BJ16+BJ21-BL16)</f>
        <v>52.680634440834929</v>
      </c>
      <c r="BK39" s="2816">
        <f>SUM(BK30+BK32)/(BK16+BK21)</f>
        <v>52.680634440834929</v>
      </c>
      <c r="BL39" s="2817"/>
      <c r="BM39" s="4554">
        <f>SUM(BM30+BM32)/(BM16+BM21-BO16)</f>
        <v>41.472490979707217</v>
      </c>
      <c r="BN39" s="4554">
        <f>SUM(BN30+BN32)/(BN16+BN21)</f>
        <v>41.472490979707217</v>
      </c>
      <c r="BO39" s="4884"/>
      <c r="BP39" s="2818">
        <f>SUM(BP30+BP32)/(BP16+BP21-BR16)</f>
        <v>52.681762489552021</v>
      </c>
      <c r="BQ39" s="2818">
        <f>SUM(BQ30+BQ32)/(BQ16+BQ21)</f>
        <v>52.681762489552014</v>
      </c>
      <c r="BR39" s="2826"/>
      <c r="BS39" s="2818">
        <f>SUM(BS30+BS32)/(BS16+BS21-BU16)</f>
        <v>52.680210162795177</v>
      </c>
      <c r="BT39" s="2818">
        <f>SUM(BT30+BT32)/(BT16+BT21)</f>
        <v>52.680210162795177</v>
      </c>
      <c r="BU39" s="2826"/>
      <c r="BV39" s="2818">
        <f>SUM(BV30+BV32)/(BV16+BV21-BX16)</f>
        <v>41.837775811842747</v>
      </c>
      <c r="BW39" s="2818">
        <f>SUM(BW30+BW32)/(BW16+BW21)</f>
        <v>41.837775811842747</v>
      </c>
      <c r="BX39" s="2826"/>
      <c r="BY39" s="2827">
        <f t="shared" si="376"/>
        <v>-1.5523267568440247E-3</v>
      </c>
      <c r="BZ39" s="2827">
        <f t="shared" si="376"/>
        <v>-1.5523267568369192E-3</v>
      </c>
      <c r="CA39" s="2827">
        <f t="shared" si="376"/>
        <v>0</v>
      </c>
      <c r="CB39" s="2818">
        <f>SUM(CB30+CB32)/(CB16+CB21-CD16)</f>
        <v>52.681762489552021</v>
      </c>
      <c r="CC39" s="2818">
        <f>SUM(CC30+CC32)/(CC16+CC21)</f>
        <v>52.681762489552014</v>
      </c>
      <c r="CD39" s="2826"/>
      <c r="CE39" s="2818">
        <f>SUM(CE30+CE32)/(CE16+CE21-CG16)</f>
        <v>52.679995357871526</v>
      </c>
      <c r="CF39" s="2818">
        <f>SUM(CF30+CF32)/(CF16+CF21)</f>
        <v>52.679995357871526</v>
      </c>
      <c r="CG39" s="2826"/>
      <c r="CH39" s="2818">
        <f>SUM(CH30+CH32)/(CH16+CH21-CJ16)</f>
        <v>41.930844604986937</v>
      </c>
      <c r="CI39" s="2818">
        <f>SUM(CI30+CI32)/(CI16+CI21)</f>
        <v>41.930844604986923</v>
      </c>
      <c r="CJ39" s="2826"/>
      <c r="CK39" s="2827">
        <f t="shared" si="378"/>
        <v>-1.7671316804950266E-3</v>
      </c>
      <c r="CL39" s="2827">
        <f t="shared" si="378"/>
        <v>-1.7671316804879211E-3</v>
      </c>
      <c r="CM39" s="2827">
        <f t="shared" si="378"/>
        <v>0</v>
      </c>
      <c r="CN39" s="2816">
        <f>SUM(CO39)</f>
        <v>52.681762489552014</v>
      </c>
      <c r="CO39" s="2816">
        <f>SUM('вода 2019-2023 коррект'!BW50)</f>
        <v>52.681762489552014</v>
      </c>
      <c r="CP39" s="2816"/>
      <c r="CQ39" s="2816">
        <f>SUM(CQ30+CQ32)/(CQ16+CQ21-CS16)</f>
        <v>52.680001012473298</v>
      </c>
      <c r="CR39" s="2816">
        <f>SUM(CR30+CR32)/(CR16+CR21)</f>
        <v>52.680001012473298</v>
      </c>
      <c r="CS39" s="2817"/>
      <c r="CT39" s="4554">
        <f>SUM(CT30+CT32)/(CT16+CT21-CV16)</f>
        <v>48.680151856685256</v>
      </c>
      <c r="CU39" s="4554">
        <f>SUM(CU30+CU32)/(CU16+CU21)</f>
        <v>48.680151856685256</v>
      </c>
      <c r="CV39" s="4884"/>
      <c r="CW39" s="2816">
        <f>SUM(CX39)</f>
        <v>52.681762489552014</v>
      </c>
      <c r="CX39" s="2816">
        <f t="shared" si="446"/>
        <v>52.681762489552014</v>
      </c>
      <c r="CY39" s="2816"/>
      <c r="CZ39" s="2816" t="e">
        <f>SUM(CZ30+CZ32)/(CZ16+CZ21-DB16)</f>
        <v>#DIV/0!</v>
      </c>
      <c r="DA39" s="2816" t="e">
        <f>SUM(DA30+DA32)/(DA16+DA21)</f>
        <v>#DIV/0!</v>
      </c>
      <c r="DB39" s="2817"/>
      <c r="DC39" s="4554">
        <f>SUM(DC30+DC32)/(DC16+DC21-DE16)</f>
        <v>48.681418935923887</v>
      </c>
      <c r="DD39" s="4554">
        <f>SUM(DD30+DD32)/(DD16+DD21)</f>
        <v>48.681418935923887</v>
      </c>
      <c r="DE39" s="4884"/>
      <c r="DF39" s="2816">
        <f>SUM(DG39)</f>
        <v>52.681762489552014</v>
      </c>
      <c r="DG39" s="2816">
        <f t="shared" si="447"/>
        <v>52.681762489552014</v>
      </c>
      <c r="DH39" s="2816"/>
      <c r="DI39" s="2816" t="e">
        <f>SUM(DI30+DI32)/(DI16+DI21-DK16)</f>
        <v>#DIV/0!</v>
      </c>
      <c r="DJ39" s="2816" t="e">
        <f>SUM(DJ30+DJ32)/(DJ16+DJ21)</f>
        <v>#DIV/0!</v>
      </c>
      <c r="DK39" s="2817"/>
      <c r="DL39" s="4554">
        <f>SUM(DL30+DL32)/(DL16+DL21-DN16)</f>
        <v>48.681481399473107</v>
      </c>
      <c r="DM39" s="4554">
        <f>SUM(DM30+DM32)/(DM16+DM21)</f>
        <v>48.681481399473107</v>
      </c>
      <c r="DN39" s="4884"/>
      <c r="DO39" s="2818">
        <f>SUM(DO30+DO32)/(DO16+DO21-DQ16)</f>
        <v>52.681762489552021</v>
      </c>
      <c r="DP39" s="2818">
        <f>SUM(DP30+DP32)/(DP16+DP21)</f>
        <v>52.681762489552014</v>
      </c>
      <c r="DQ39" s="2826"/>
      <c r="DR39" s="2818">
        <f>SUM(DR30+DR32)/(DR16+DR21-DT16)</f>
        <v>52.680001012473298</v>
      </c>
      <c r="DS39" s="2818">
        <f>SUM(DS30+DS32)/(DS16+DS21)</f>
        <v>52.680001012473298</v>
      </c>
      <c r="DT39" s="2826"/>
      <c r="DU39" s="2818">
        <f>SUM(DU30+DU32)/(DU16+DU21-DW16)</f>
        <v>48.681062923125594</v>
      </c>
      <c r="DV39" s="2818">
        <f>SUM(DV30+DV32)/(DV16+DV21)</f>
        <v>48.681062923125594</v>
      </c>
      <c r="DW39" s="2826"/>
      <c r="DX39" s="2824">
        <f t="shared" si="386"/>
        <v>-1.7614770787233169E-3</v>
      </c>
      <c r="DY39" s="2824">
        <f t="shared" si="386"/>
        <v>-1.7614770787162115E-3</v>
      </c>
      <c r="DZ39" s="2824">
        <f t="shared" si="386"/>
        <v>0</v>
      </c>
      <c r="EA39" s="2818">
        <f>SUM(EA30+EA32)/(EA16+EA21-EC16)</f>
        <v>52.681762489552021</v>
      </c>
      <c r="EB39" s="2818">
        <f>SUM(EB30+EB32)/(EB16+EB21)</f>
        <v>52.681762489552021</v>
      </c>
      <c r="EC39" s="2826"/>
      <c r="ED39" s="2807">
        <f>SUM(ED30+ED32)/(ED16+ED21-EF16)</f>
        <v>52.679996002477701</v>
      </c>
      <c r="EE39" s="2807">
        <f>SUM(EE30+EE32)/(EE16+EE21)</f>
        <v>52.679996002477701</v>
      </c>
      <c r="EF39" s="4559"/>
      <c r="EG39" s="2818">
        <f>SUM(EG30+EG32)/(EG16+EG21-EI16)</f>
        <v>44.041443262819115</v>
      </c>
      <c r="EH39" s="2818">
        <f>SUM(EH30+EH32)/(EH16+EH21)</f>
        <v>44.041443262819115</v>
      </c>
      <c r="EI39" s="2826"/>
      <c r="EJ39" s="2824">
        <f t="shared" si="388"/>
        <v>-1.7664870743203664E-3</v>
      </c>
      <c r="EK39" s="2824">
        <f t="shared" si="388"/>
        <v>-1.7664870743203664E-3</v>
      </c>
      <c r="EL39" s="2824">
        <f t="shared" si="388"/>
        <v>0</v>
      </c>
      <c r="EM39" s="2816">
        <f>SUM(EN39)</f>
        <v>52.681762489552014</v>
      </c>
      <c r="EN39" s="2816">
        <f t="shared" si="448"/>
        <v>52.681762489552014</v>
      </c>
      <c r="EO39" s="2816"/>
      <c r="EP39" s="2816" t="e">
        <f>SUM(EP30+EP32)/(EP16+EP21-ER16)</f>
        <v>#DIV/0!</v>
      </c>
      <c r="EQ39" s="2816" t="e">
        <f>SUM(EQ30+EQ32)/(EQ16+EQ21)</f>
        <v>#DIV/0!</v>
      </c>
      <c r="ER39" s="2817"/>
      <c r="ES39" s="4554">
        <f>SUM(ES30+ES32)/(ES16+ES21-EU16)</f>
        <v>48.68359350379226</v>
      </c>
      <c r="ET39" s="4554">
        <f>SUM(ET30+ET32)/(ET16+ET21)</f>
        <v>48.68359350379226</v>
      </c>
      <c r="EU39" s="4884"/>
      <c r="EV39" s="2816">
        <f>SUM(EW39)</f>
        <v>52.681762489552014</v>
      </c>
      <c r="EW39" s="2816">
        <f t="shared" si="449"/>
        <v>52.681762489552014</v>
      </c>
      <c r="EX39" s="2816"/>
      <c r="EY39" s="2816" t="e">
        <f>SUM(EY30+EY32)/(EY16+EY21-FA16)</f>
        <v>#DIV/0!</v>
      </c>
      <c r="EZ39" s="2816" t="e">
        <f>SUM(EZ30+EZ32)/(EZ16+EZ21)</f>
        <v>#DIV/0!</v>
      </c>
      <c r="FA39" s="2817"/>
      <c r="FB39" s="4554">
        <f>SUM(FB30+FB32)/(FB16+FB21-FD16)</f>
        <v>48.680497523712624</v>
      </c>
      <c r="FC39" s="4554">
        <f>SUM(FC30+FC32)/(FC16+FC21)</f>
        <v>48.680497523712624</v>
      </c>
      <c r="FD39" s="4884"/>
      <c r="FE39" s="2816">
        <f>SUM(FF39)</f>
        <v>52.681762489552014</v>
      </c>
      <c r="FF39" s="2816">
        <f t="shared" si="450"/>
        <v>52.681762489552014</v>
      </c>
      <c r="FG39" s="2816"/>
      <c r="FH39" s="2816" t="e">
        <f>SUM(FH30+FH32)/(FH16+FH21-FJ16)</f>
        <v>#DIV/0!</v>
      </c>
      <c r="FI39" s="2816" t="e">
        <f>SUM(FI30+FI32)/(FI16+FI21)</f>
        <v>#DIV/0!</v>
      </c>
      <c r="FJ39" s="2817"/>
      <c r="FK39" s="4554">
        <f>SUM(FK30+FK32)/(FK16+FK21-FM16)</f>
        <v>52.683479636737481</v>
      </c>
      <c r="FL39" s="4554">
        <f>SUM(FL30+FL32)/(FL16+FL21)</f>
        <v>52.683479636737481</v>
      </c>
      <c r="FM39" s="4884"/>
      <c r="FN39" s="2818">
        <f>SUM(FN30+FN32)/(FN16+FN21-FP16)</f>
        <v>52.681762489552021</v>
      </c>
      <c r="FO39" s="2818">
        <f>SUM(FO30+FO32)/(FO16+FO21)</f>
        <v>52.681762489552014</v>
      </c>
      <c r="FP39" s="2826"/>
      <c r="FQ39" s="2818" t="e">
        <f>SUM(FQ30+FQ32)/(FQ16+FQ21-FS16)</f>
        <v>#DIV/0!</v>
      </c>
      <c r="FR39" s="2818" t="e">
        <f>SUM(FR30+FR32)/(FR16+FR21)</f>
        <v>#DIV/0!</v>
      </c>
      <c r="FS39" s="2826"/>
      <c r="FT39" s="2818">
        <f>SUM(FT30+FT32)/(FT16+FT21-FV16)</f>
        <v>50.079837864818941</v>
      </c>
      <c r="FU39" s="2818">
        <f>SUM(FU30+FU32)/(FU16+FU21)</f>
        <v>50.079837864818941</v>
      </c>
      <c r="FV39" s="2826"/>
      <c r="FW39" s="2824" t="e">
        <f t="shared" si="396"/>
        <v>#DIV/0!</v>
      </c>
      <c r="FX39" s="2824" t="e">
        <f t="shared" si="396"/>
        <v>#DIV/0!</v>
      </c>
      <c r="FY39" s="2824">
        <f t="shared" si="396"/>
        <v>0</v>
      </c>
      <c r="FZ39" s="2807">
        <f>SUM(FZ30+FZ32)/(FZ16+FZ21-GB16)</f>
        <v>52.681762489552021</v>
      </c>
      <c r="GA39" s="2807">
        <f>SUM(GA30+GA32)/(GA16+GA21)</f>
        <v>52.681762489552021</v>
      </c>
      <c r="GB39" s="4559"/>
      <c r="GC39" s="2818">
        <f>SUM(GC30+GC32)/(GC16+GC21-GE16)</f>
        <v>52.679996002477701</v>
      </c>
      <c r="GD39" s="2818">
        <f>SUM(GD30+GD32)/(GD16+GD21)</f>
        <v>52.679996002477701</v>
      </c>
      <c r="GE39" s="2826"/>
      <c r="GF39" s="2818">
        <f>SUM(GF30+GF32)/(GF16+GF21-GH16)</f>
        <v>45.663845105217206</v>
      </c>
      <c r="GG39" s="2818">
        <f>SUM(GG30+GG32)/(GG16+GG21)</f>
        <v>45.663845105217213</v>
      </c>
      <c r="GH39" s="2826"/>
      <c r="GI39" s="2824">
        <f t="shared" si="399"/>
        <v>-1.7664870743203664E-3</v>
      </c>
      <c r="GJ39" s="2824">
        <f t="shared" si="399"/>
        <v>-1.7664870743203664E-3</v>
      </c>
      <c r="GK39" s="2824">
        <f t="shared" si="399"/>
        <v>0</v>
      </c>
      <c r="GL39" s="565"/>
      <c r="GM39" s="2911"/>
    </row>
    <row r="40" spans="1:195" ht="19.5" x14ac:dyDescent="0.35">
      <c r="A40" s="2815" t="s">
        <v>25</v>
      </c>
      <c r="B40" s="4554">
        <f>SUM(D40)</f>
        <v>26.019224471823662</v>
      </c>
      <c r="C40" s="4554"/>
      <c r="D40" s="4554">
        <f>SUM('тех вода 2019-2023'!BB40)</f>
        <v>26.019224471823662</v>
      </c>
      <c r="E40" s="2816" t="e">
        <f>SUM(E31/G16)</f>
        <v>#DIV/0!</v>
      </c>
      <c r="F40" s="2817"/>
      <c r="G40" s="2816" t="e">
        <f>SUM(G31/G16)</f>
        <v>#DIV/0!</v>
      </c>
      <c r="H40" s="4554">
        <f>SUM(H31/J16)</f>
        <v>20.927710843373493</v>
      </c>
      <c r="I40" s="4884"/>
      <c r="J40" s="4554">
        <f>SUM(J31/J16)</f>
        <v>20.927710843373493</v>
      </c>
      <c r="K40" s="2816">
        <f>SUM(M40)</f>
        <v>26.019224471823662</v>
      </c>
      <c r="L40" s="2816"/>
      <c r="M40" s="2816">
        <f>SUM(D40)</f>
        <v>26.019224471823662</v>
      </c>
      <c r="N40" s="2816" t="e">
        <f>SUM(N31/P16)</f>
        <v>#DIV/0!</v>
      </c>
      <c r="O40" s="2817"/>
      <c r="P40" s="2816" t="e">
        <f>SUM(P31/P16)</f>
        <v>#DIV/0!</v>
      </c>
      <c r="Q40" s="4554">
        <f>SUM(Q31/S16)</f>
        <v>20.93150684931507</v>
      </c>
      <c r="R40" s="4884"/>
      <c r="S40" s="4554">
        <f>SUM(S31/S16)</f>
        <v>20.93150684931507</v>
      </c>
      <c r="T40" s="2816">
        <f>SUM(V40)</f>
        <v>26.019224471823662</v>
      </c>
      <c r="U40" s="2816"/>
      <c r="V40" s="2816">
        <f>SUM(D40)</f>
        <v>26.019224471823662</v>
      </c>
      <c r="W40" s="2816" t="e">
        <f>SUM(W31/Y16)</f>
        <v>#DIV/0!</v>
      </c>
      <c r="X40" s="2817"/>
      <c r="Y40" s="2816" t="e">
        <f>SUM(Y31/Y16)</f>
        <v>#DIV/0!</v>
      </c>
      <c r="Z40" s="4554">
        <f>SUM(Z31/AB16)</f>
        <v>20.93</v>
      </c>
      <c r="AA40" s="4884"/>
      <c r="AB40" s="4554">
        <f>SUM(AB31/AB16)</f>
        <v>20.93</v>
      </c>
      <c r="AC40" s="2818">
        <f>SUM(AC31/AE16)</f>
        <v>26.019224471823659</v>
      </c>
      <c r="AD40" s="2826"/>
      <c r="AE40" s="2818">
        <f>SUM(AE31/AE16)</f>
        <v>26.019224471823659</v>
      </c>
      <c r="AF40" s="2818" t="e">
        <f>SUM(AF31/AH16)</f>
        <v>#DIV/0!</v>
      </c>
      <c r="AG40" s="2826"/>
      <c r="AH40" s="2818" t="e">
        <f>SUM(AH31/AH16)</f>
        <v>#DIV/0!</v>
      </c>
      <c r="AI40" s="2818">
        <f>SUM(AI31/AK16)</f>
        <v>20.9296875</v>
      </c>
      <c r="AJ40" s="2826"/>
      <c r="AK40" s="2818">
        <f>SUM(AK31/AK16)</f>
        <v>20.9296875</v>
      </c>
      <c r="AL40" s="2827" t="e">
        <f t="shared" si="368"/>
        <v>#DIV/0!</v>
      </c>
      <c r="AM40" s="2827"/>
      <c r="AN40" s="2827" t="e">
        <f t="shared" si="368"/>
        <v>#DIV/0!</v>
      </c>
      <c r="AO40" s="2816">
        <f>SUM(AQ40)</f>
        <v>26.019224471823662</v>
      </c>
      <c r="AP40" s="2816"/>
      <c r="AQ40" s="2816">
        <f>SUM(D40)</f>
        <v>26.019224471823662</v>
      </c>
      <c r="AR40" s="2806" t="e">
        <f>SUM(AR31/AT16)</f>
        <v>#DIV/0!</v>
      </c>
      <c r="AS40" s="2820"/>
      <c r="AT40" s="2806" t="e">
        <f>SUM(AT31/AT16)</f>
        <v>#DIV/0!</v>
      </c>
      <c r="AU40" s="4885">
        <f>SUM(AU31/AW16)</f>
        <v>20.93</v>
      </c>
      <c r="AV40" s="4886"/>
      <c r="AW40" s="4885">
        <f>SUM(AW31/AW16)</f>
        <v>20.93</v>
      </c>
      <c r="AX40" s="2816">
        <f>SUM(AZ40)</f>
        <v>26.019224471823662</v>
      </c>
      <c r="AY40" s="2816"/>
      <c r="AZ40" s="2816">
        <f>SUM(D40)</f>
        <v>26.019224471823662</v>
      </c>
      <c r="BA40" s="2816" t="e">
        <f>SUM(BA31/BC16)</f>
        <v>#DIV/0!</v>
      </c>
      <c r="BB40" s="2817"/>
      <c r="BC40" s="2816" t="e">
        <f>SUM(BC31/BC16)</f>
        <v>#DIV/0!</v>
      </c>
      <c r="BD40" s="4554">
        <f>SUM(BD31/BF16)</f>
        <v>20.914285714285711</v>
      </c>
      <c r="BE40" s="4884"/>
      <c r="BF40" s="4554">
        <f>SUM(BF31/BF16)</f>
        <v>20.914285714285711</v>
      </c>
      <c r="BG40" s="2816">
        <f>SUM(BI40)</f>
        <v>26.019224471823662</v>
      </c>
      <c r="BH40" s="2816"/>
      <c r="BI40" s="2816">
        <f>SUM(D40)</f>
        <v>26.019224471823662</v>
      </c>
      <c r="BJ40" s="2816" t="e">
        <f>SUM(BJ31/BL16)</f>
        <v>#DIV/0!</v>
      </c>
      <c r="BK40" s="2817"/>
      <c r="BL40" s="2816" t="e">
        <f>SUM(BL31/BL16)</f>
        <v>#DIV/0!</v>
      </c>
      <c r="BM40" s="4554" t="e">
        <f>SUM(BM31/BO16)</f>
        <v>#DIV/0!</v>
      </c>
      <c r="BN40" s="4884"/>
      <c r="BO40" s="4554" t="e">
        <f>SUM(BO31/BO16)</f>
        <v>#DIV/0!</v>
      </c>
      <c r="BP40" s="2818">
        <f>SUM(BP31/BR16)</f>
        <v>26.019224471823659</v>
      </c>
      <c r="BQ40" s="2826"/>
      <c r="BR40" s="2818">
        <f>SUM(BR31/BR16)</f>
        <v>26.019224471823659</v>
      </c>
      <c r="BS40" s="2818" t="e">
        <f>SUM(BS31/BU16)</f>
        <v>#DIV/0!</v>
      </c>
      <c r="BT40" s="2826"/>
      <c r="BU40" s="2818" t="e">
        <f>SUM(BU31/BU16)</f>
        <v>#DIV/0!</v>
      </c>
      <c r="BV40" s="2818">
        <f>SUM(BV31/BX16)</f>
        <v>20.928971962616821</v>
      </c>
      <c r="BW40" s="2826"/>
      <c r="BX40" s="2818">
        <f>SUM(BX31/BX16)</f>
        <v>20.928971962616821</v>
      </c>
      <c r="BY40" s="2827" t="e">
        <f t="shared" si="376"/>
        <v>#DIV/0!</v>
      </c>
      <c r="BZ40" s="2827"/>
      <c r="CA40" s="2827" t="e">
        <f t="shared" si="376"/>
        <v>#DIV/0!</v>
      </c>
      <c r="CB40" s="2818">
        <f>SUM(CB31/CD16)</f>
        <v>26.019224471823659</v>
      </c>
      <c r="CC40" s="2826"/>
      <c r="CD40" s="2818">
        <f>SUM(CD31/CD16)</f>
        <v>26.019224471823659</v>
      </c>
      <c r="CE40" s="2818" t="e">
        <f>SUM(CE31/CG16)</f>
        <v>#DIV/0!</v>
      </c>
      <c r="CF40" s="2826"/>
      <c r="CG40" s="2818" t="e">
        <f>SUM(CG31/CG16)</f>
        <v>#DIV/0!</v>
      </c>
      <c r="CH40" s="2818">
        <f>SUM(CH31/CJ16)</f>
        <v>20.929203539823007</v>
      </c>
      <c r="CI40" s="2826"/>
      <c r="CJ40" s="2818">
        <f>SUM(CJ31/CJ16)</f>
        <v>20.929203539823007</v>
      </c>
      <c r="CK40" s="2827" t="e">
        <f t="shared" si="378"/>
        <v>#DIV/0!</v>
      </c>
      <c r="CL40" s="2827"/>
      <c r="CM40" s="2827" t="e">
        <f t="shared" si="378"/>
        <v>#DIV/0!</v>
      </c>
      <c r="CN40" s="2816">
        <f>SUM(CP40)</f>
        <v>26.019224471823662</v>
      </c>
      <c r="CO40" s="2816"/>
      <c r="CP40" s="2816">
        <f>SUM('тех вода 2019-2023'!BB40)</f>
        <v>26.019224471823662</v>
      </c>
      <c r="CQ40" s="2816" t="e">
        <f>SUM(CQ31/CS16)</f>
        <v>#DIV/0!</v>
      </c>
      <c r="CR40" s="2817"/>
      <c r="CS40" s="2816" t="e">
        <f>SUM(CS31/CS16)</f>
        <v>#DIV/0!</v>
      </c>
      <c r="CT40" s="4554" t="e">
        <f>SUM(CT31/CV16)</f>
        <v>#DIV/0!</v>
      </c>
      <c r="CU40" s="4884"/>
      <c r="CV40" s="4554" t="e">
        <f>SUM(CV31/CV16)</f>
        <v>#DIV/0!</v>
      </c>
      <c r="CW40" s="2816">
        <f>SUM(CY40)</f>
        <v>26.019224471823662</v>
      </c>
      <c r="CX40" s="2816"/>
      <c r="CY40" s="2816">
        <f>SUM(CP40)</f>
        <v>26.019224471823662</v>
      </c>
      <c r="CZ40" s="2816" t="e">
        <f>SUM(CZ31/DB16)</f>
        <v>#DIV/0!</v>
      </c>
      <c r="DA40" s="2817"/>
      <c r="DB40" s="2816" t="e">
        <f>SUM(DB31/DB16)</f>
        <v>#DIV/0!</v>
      </c>
      <c r="DC40" s="4554" t="e">
        <f>SUM(DC31/DE16)</f>
        <v>#DIV/0!</v>
      </c>
      <c r="DD40" s="4884"/>
      <c r="DE40" s="4554" t="e">
        <f>SUM(DE31/DE16)</f>
        <v>#DIV/0!</v>
      </c>
      <c r="DF40" s="2816">
        <f>SUM(DH40)</f>
        <v>26.019224471823662</v>
      </c>
      <c r="DG40" s="2816"/>
      <c r="DH40" s="2816">
        <f>SUM(CP40)</f>
        <v>26.019224471823662</v>
      </c>
      <c r="DI40" s="2816" t="e">
        <f>SUM(DI31/DK16)</f>
        <v>#DIV/0!</v>
      </c>
      <c r="DJ40" s="2817"/>
      <c r="DK40" s="2816" t="e">
        <f>SUM(DK31/DK16)</f>
        <v>#DIV/0!</v>
      </c>
      <c r="DL40" s="4554" t="e">
        <f>SUM(DL31/DN16)</f>
        <v>#DIV/0!</v>
      </c>
      <c r="DM40" s="4884"/>
      <c r="DN40" s="4554" t="e">
        <f>SUM(DN31/DN16)</f>
        <v>#DIV/0!</v>
      </c>
      <c r="DO40" s="2818">
        <f>SUM(DO31/DQ16)</f>
        <v>26.019224471823659</v>
      </c>
      <c r="DP40" s="2826"/>
      <c r="DQ40" s="2818">
        <f>SUM(DQ31/DQ16)</f>
        <v>26.019224471823659</v>
      </c>
      <c r="DR40" s="2818" t="e">
        <f>SUM(DR31/DT16)</f>
        <v>#DIV/0!</v>
      </c>
      <c r="DS40" s="2826"/>
      <c r="DT40" s="2818" t="e">
        <f>SUM(DT31/DT16)</f>
        <v>#DIV/0!</v>
      </c>
      <c r="DU40" s="2818" t="e">
        <f>SUM(DU31/DW16)</f>
        <v>#DIV/0!</v>
      </c>
      <c r="DV40" s="2826"/>
      <c r="DW40" s="2818" t="e">
        <f>SUM(DW31/DW16)</f>
        <v>#DIV/0!</v>
      </c>
      <c r="DX40" s="2824" t="e">
        <f t="shared" si="386"/>
        <v>#DIV/0!</v>
      </c>
      <c r="DY40" s="2824"/>
      <c r="DZ40" s="2824" t="e">
        <f t="shared" si="386"/>
        <v>#DIV/0!</v>
      </c>
      <c r="EA40" s="2818">
        <f>SUM(EA31/EC16)</f>
        <v>26.019224471823659</v>
      </c>
      <c r="EB40" s="2826"/>
      <c r="EC40" s="2818">
        <f>SUM(EC31/EC16)</f>
        <v>26.019224471823659</v>
      </c>
      <c r="ED40" s="2807" t="e">
        <f>SUM(ED31/EF16)</f>
        <v>#DIV/0!</v>
      </c>
      <c r="EE40" s="4559"/>
      <c r="EF40" s="2807" t="e">
        <f>SUM(EF31/EF16)</f>
        <v>#DIV/0!</v>
      </c>
      <c r="EG40" s="2818">
        <f>SUM(EG31/EI16)</f>
        <v>20.929203539823007</v>
      </c>
      <c r="EH40" s="2826"/>
      <c r="EI40" s="2818">
        <f>SUM(EI31/EI16)</f>
        <v>20.929203539823007</v>
      </c>
      <c r="EJ40" s="2824" t="e">
        <f t="shared" si="388"/>
        <v>#DIV/0!</v>
      </c>
      <c r="EK40" s="2824"/>
      <c r="EL40" s="2824" t="e">
        <f t="shared" si="388"/>
        <v>#DIV/0!</v>
      </c>
      <c r="EM40" s="2816">
        <f>SUM(EO40)</f>
        <v>26.019224471823662</v>
      </c>
      <c r="EN40" s="2816"/>
      <c r="EO40" s="2816">
        <f>SUM(CP40)</f>
        <v>26.019224471823662</v>
      </c>
      <c r="EP40" s="2816" t="e">
        <f>SUM(EP31/ER16)</f>
        <v>#DIV/0!</v>
      </c>
      <c r="EQ40" s="2817"/>
      <c r="ER40" s="2816" t="e">
        <f>SUM(ER31/ER16)</f>
        <v>#DIV/0!</v>
      </c>
      <c r="ES40" s="4554" t="e">
        <f>SUM(ES31/EU16)</f>
        <v>#DIV/0!</v>
      </c>
      <c r="ET40" s="4884"/>
      <c r="EU40" s="4554" t="e">
        <f>SUM(EU31/EU16)</f>
        <v>#DIV/0!</v>
      </c>
      <c r="EV40" s="2816">
        <f>SUM(EX40)</f>
        <v>26.019224471823662</v>
      </c>
      <c r="EW40" s="2816"/>
      <c r="EX40" s="2816">
        <f>SUM(CP40)</f>
        <v>26.019224471823662</v>
      </c>
      <c r="EY40" s="2816" t="e">
        <f>SUM(EY31/FA16)</f>
        <v>#DIV/0!</v>
      </c>
      <c r="EZ40" s="2817"/>
      <c r="FA40" s="2816" t="e">
        <f>SUM(FA31/FA16)</f>
        <v>#DIV/0!</v>
      </c>
      <c r="FB40" s="4554" t="e">
        <f>SUM(FB31/FD16)</f>
        <v>#DIV/0!</v>
      </c>
      <c r="FC40" s="4884"/>
      <c r="FD40" s="4554" t="e">
        <f>SUM(FD31/FD16)</f>
        <v>#DIV/0!</v>
      </c>
      <c r="FE40" s="2816">
        <f>SUM(FG40)</f>
        <v>26.019224471823662</v>
      </c>
      <c r="FF40" s="2816"/>
      <c r="FG40" s="2816">
        <f>SUM(CP40)</f>
        <v>26.019224471823662</v>
      </c>
      <c r="FH40" s="2816" t="e">
        <f>SUM(FH31/FJ16)</f>
        <v>#DIV/0!</v>
      </c>
      <c r="FI40" s="2817"/>
      <c r="FJ40" s="2816" t="e">
        <f>SUM(FJ31/FJ16)</f>
        <v>#DIV/0!</v>
      </c>
      <c r="FK40" s="4554" t="e">
        <f>SUM(FK31/FM16)</f>
        <v>#DIV/0!</v>
      </c>
      <c r="FL40" s="4884"/>
      <c r="FM40" s="4554" t="e">
        <f>SUM(FM31/FM16)</f>
        <v>#DIV/0!</v>
      </c>
      <c r="FN40" s="2818">
        <f>SUM(FN31/FP16)</f>
        <v>26.019224471823659</v>
      </c>
      <c r="FO40" s="2826"/>
      <c r="FP40" s="2818">
        <f>SUM(FP31/FP16)</f>
        <v>26.019224471823659</v>
      </c>
      <c r="FQ40" s="2818" t="e">
        <f>SUM(FQ31/FS16)</f>
        <v>#DIV/0!</v>
      </c>
      <c r="FR40" s="2826"/>
      <c r="FS40" s="2818" t="e">
        <f>SUM(FS31/FS16)</f>
        <v>#DIV/0!</v>
      </c>
      <c r="FT40" s="2818" t="e">
        <f>SUM(FT31/FV16)</f>
        <v>#DIV/0!</v>
      </c>
      <c r="FU40" s="2826"/>
      <c r="FV40" s="2818" t="e">
        <f>SUM(FV31/FV16)</f>
        <v>#DIV/0!</v>
      </c>
      <c r="FW40" s="2824" t="e">
        <f t="shared" si="396"/>
        <v>#DIV/0!</v>
      </c>
      <c r="FX40" s="2824">
        <f t="shared" si="396"/>
        <v>0</v>
      </c>
      <c r="FY40" s="2824" t="e">
        <f t="shared" si="396"/>
        <v>#DIV/0!</v>
      </c>
      <c r="FZ40" s="2807">
        <f>SUM(FZ31/GB16)</f>
        <v>26.019224471823659</v>
      </c>
      <c r="GA40" s="4559"/>
      <c r="GB40" s="2807">
        <f>SUM(GB31/GB16)</f>
        <v>26.019224471823659</v>
      </c>
      <c r="GC40" s="2818" t="e">
        <f>SUM(GC31/GE16)</f>
        <v>#DIV/0!</v>
      </c>
      <c r="GD40" s="2826"/>
      <c r="GE40" s="2818" t="e">
        <f>SUM(GE31/GE16)</f>
        <v>#DIV/0!</v>
      </c>
      <c r="GF40" s="2818">
        <f>SUM(GF31/GH16)</f>
        <v>20.929203539823007</v>
      </c>
      <c r="GG40" s="2826"/>
      <c r="GH40" s="2818">
        <f>SUM(GH31/GH16)</f>
        <v>20.929203539823007</v>
      </c>
      <c r="GI40" s="2824" t="e">
        <f t="shared" si="399"/>
        <v>#DIV/0!</v>
      </c>
      <c r="GJ40" s="2824">
        <f t="shared" si="399"/>
        <v>0</v>
      </c>
      <c r="GK40" s="2824" t="e">
        <f t="shared" si="399"/>
        <v>#DIV/0!</v>
      </c>
      <c r="GL40" s="565"/>
      <c r="GM40" s="2911"/>
    </row>
    <row r="41" spans="1:195" ht="19.5" customHeight="1" x14ac:dyDescent="0.3">
      <c r="A41" s="4401" t="s">
        <v>4283</v>
      </c>
      <c r="B41" s="4554"/>
      <c r="C41" s="4554"/>
      <c r="D41" s="4554"/>
      <c r="E41" s="4554">
        <f>SUM(F41:G41)</f>
        <v>813.98485000000005</v>
      </c>
      <c r="F41" s="4884">
        <v>813.98485000000005</v>
      </c>
      <c r="G41" s="4554"/>
      <c r="H41" s="4385">
        <f t="shared" ref="H41" si="451">SUM(I41:J41)</f>
        <v>40.872999999999998</v>
      </c>
      <c r="I41" s="4398">
        <v>40.872999999999998</v>
      </c>
      <c r="J41" s="4398"/>
      <c r="K41" s="4554"/>
      <c r="L41" s="4554"/>
      <c r="M41" s="4554"/>
      <c r="N41" s="4554">
        <f>SUM(O41:P41)</f>
        <v>820.95905000000005</v>
      </c>
      <c r="O41" s="4884">
        <v>820.95905000000005</v>
      </c>
      <c r="P41" s="4554"/>
      <c r="Q41" s="4382">
        <f t="shared" ref="Q41" si="452">SUM(R41:S41)</f>
        <v>38.665999999999997</v>
      </c>
      <c r="R41" s="4397">
        <v>38.665999999999997</v>
      </c>
      <c r="S41" s="4397"/>
      <c r="T41" s="4554"/>
      <c r="U41" s="4554"/>
      <c r="V41" s="4554"/>
      <c r="W41" s="4554">
        <f>SUM(X41:Y41)</f>
        <v>808.89449200000001</v>
      </c>
      <c r="X41" s="4884">
        <v>808.89449200000001</v>
      </c>
      <c r="Y41" s="4554"/>
      <c r="Z41" s="4382">
        <f t="shared" ref="Z41" si="453">SUM(AA41:AB41)</f>
        <v>848.16499999999996</v>
      </c>
      <c r="AA41" s="4397">
        <v>848.16499999999996</v>
      </c>
      <c r="AB41" s="4397"/>
      <c r="AC41" s="2818">
        <f t="shared" ref="AC41:AC42" si="454">SUM(B41+K41+T41)</f>
        <v>0</v>
      </c>
      <c r="AD41" s="2818">
        <f t="shared" ref="AD41:AD42" si="455">SUM(C41+L41+U41)</f>
        <v>0</v>
      </c>
      <c r="AE41" s="2818">
        <f t="shared" ref="AE41:AE42" si="456">SUM(D41+M41+V41)</f>
        <v>0</v>
      </c>
      <c r="AF41" s="2818">
        <f t="shared" ref="AF41:AF42" si="457">SUM(E41+N41+W41)</f>
        <v>2443.8383920000001</v>
      </c>
      <c r="AG41" s="2818">
        <f t="shared" ref="AG41:AG42" si="458">SUM(F41+O41+X41)</f>
        <v>2443.8383920000001</v>
      </c>
      <c r="AH41" s="2818">
        <f t="shared" ref="AH41:AH42" si="459">SUM(G41+P41+Y41)</f>
        <v>0</v>
      </c>
      <c r="AI41" s="2818">
        <f t="shared" ref="AI41:AI42" si="460">SUM(H41+Q41+Z41)</f>
        <v>927.70399999999995</v>
      </c>
      <c r="AJ41" s="2818">
        <f t="shared" ref="AJ41:AJ42" si="461">SUM(I41+R41+AA41)</f>
        <v>927.70399999999995</v>
      </c>
      <c r="AK41" s="2818">
        <f t="shared" ref="AK41:AK42" si="462">SUM(J41+S41+AB41)</f>
        <v>0</v>
      </c>
      <c r="AL41" s="2819">
        <f t="shared" ref="AL41:AL42" si="463">SUM(AF41-AC41)</f>
        <v>2443.8383920000001</v>
      </c>
      <c r="AM41" s="2819">
        <f t="shared" ref="AM41:AM42" si="464">SUM(AG41-AD41)</f>
        <v>2443.8383920000001</v>
      </c>
      <c r="AN41" s="2819">
        <f t="shared" ref="AN41:AN42" si="465">SUM(AH41-AE41)</f>
        <v>0</v>
      </c>
      <c r="AO41" s="4554"/>
      <c r="AP41" s="4554"/>
      <c r="AQ41" s="4554"/>
      <c r="AR41" s="4554">
        <f>SUM(AS41:AT41)</f>
        <v>800.81510800000001</v>
      </c>
      <c r="AS41" s="4884">
        <v>800.81510800000001</v>
      </c>
      <c r="AT41" s="4885"/>
      <c r="AU41" s="4382">
        <f t="shared" ref="AU41" si="466">SUM(AV41:AW41)</f>
        <v>933.90800000000002</v>
      </c>
      <c r="AV41" s="4397">
        <v>933.90800000000002</v>
      </c>
      <c r="AW41" s="4397"/>
      <c r="AX41" s="4554"/>
      <c r="AY41" s="4554"/>
      <c r="AZ41" s="4554"/>
      <c r="BA41" s="4554">
        <f>SUM(BB41:BC41)</f>
        <v>813.64696700000002</v>
      </c>
      <c r="BB41" s="4884">
        <v>813.64696700000002</v>
      </c>
      <c r="BC41" s="4554"/>
      <c r="BD41" s="4382">
        <f t="shared" ref="BD41" si="467">SUM(BE41:BF41)</f>
        <v>872.79</v>
      </c>
      <c r="BE41" s="4397">
        <v>872.79</v>
      </c>
      <c r="BF41" s="4397"/>
      <c r="BG41" s="4554"/>
      <c r="BH41" s="4554"/>
      <c r="BI41" s="4554"/>
      <c r="BJ41" s="4554">
        <f>SUM(BK41:BL41)</f>
        <v>788.21875999999997</v>
      </c>
      <c r="BK41" s="4884">
        <v>788.21875999999997</v>
      </c>
      <c r="BL41" s="4554"/>
      <c r="BM41" s="4382">
        <f t="shared" ref="BM41" si="468">SUM(BN41:BO41)</f>
        <v>829.399</v>
      </c>
      <c r="BN41" s="4397">
        <v>829.399</v>
      </c>
      <c r="BO41" s="4397"/>
      <c r="BP41" s="2818">
        <f t="shared" ref="BP41:BP42" si="469">SUM(AO41+AX41+BG41)</f>
        <v>0</v>
      </c>
      <c r="BQ41" s="2818">
        <f t="shared" ref="BQ41:BQ42" si="470">SUM(AP41+AY41+BH41)</f>
        <v>0</v>
      </c>
      <c r="BR41" s="2818">
        <f t="shared" ref="BR41:BR42" si="471">SUM(AQ41+AZ41+BI41)</f>
        <v>0</v>
      </c>
      <c r="BS41" s="2818">
        <f t="shared" ref="BS41:BS42" si="472">SUM(AR41+BA41+BJ41)</f>
        <v>2402.6808350000001</v>
      </c>
      <c r="BT41" s="2818">
        <f t="shared" ref="BT41:BT42" si="473">SUM(AS41+BB41+BK41)</f>
        <v>2402.6808350000001</v>
      </c>
      <c r="BU41" s="2818">
        <f t="shared" ref="BU41:BU42" si="474">SUM(AT41+BC41+BL41)</f>
        <v>0</v>
      </c>
      <c r="BV41" s="2818">
        <f t="shared" ref="BV41:BV42" si="475">SUM(AU41+BD41+BM41)</f>
        <v>2636.0969999999998</v>
      </c>
      <c r="BW41" s="2818">
        <f t="shared" ref="BW41:BW42" si="476">SUM(AV41+BE41+BN41)</f>
        <v>2636.0969999999998</v>
      </c>
      <c r="BX41" s="2818">
        <f t="shared" ref="BX41:BX42" si="477">SUM(AW41+BF41+BO41)</f>
        <v>0</v>
      </c>
      <c r="BY41" s="2819">
        <f t="shared" ref="BY41:BY42" si="478">SUM(BS41-BP41)</f>
        <v>2402.6808350000001</v>
      </c>
      <c r="BZ41" s="2819">
        <f t="shared" ref="BZ41:BZ42" si="479">SUM(BT41-BQ41)</f>
        <v>2402.6808350000001</v>
      </c>
      <c r="CA41" s="2819">
        <f t="shared" ref="CA41:CA42" si="480">SUM(BU41-BR41)</f>
        <v>0</v>
      </c>
      <c r="CB41" s="2818">
        <f t="shared" ref="CB41:CB42" si="481">SUM(AC41+BP41)</f>
        <v>0</v>
      </c>
      <c r="CC41" s="2818">
        <f t="shared" ref="CC41:CC42" si="482">SUM(AD41+BQ41)</f>
        <v>0</v>
      </c>
      <c r="CD41" s="2818">
        <f t="shared" ref="CD41:CD42" si="483">SUM(AE41+BR41)</f>
        <v>0</v>
      </c>
      <c r="CE41" s="2818">
        <f t="shared" ref="CE41:CE42" si="484">SUM(AF41+BS41)</f>
        <v>4846.5192270000007</v>
      </c>
      <c r="CF41" s="2818">
        <f t="shared" ref="CF41:CF42" si="485">SUM(AG41+BT41)</f>
        <v>4846.5192270000007</v>
      </c>
      <c r="CG41" s="2818">
        <f t="shared" ref="CG41:CG42" si="486">SUM(AH41+BU41)</f>
        <v>0</v>
      </c>
      <c r="CH41" s="2818">
        <f t="shared" ref="CH41:CH42" si="487">SUM(AI41+BV41)</f>
        <v>3563.8009999999995</v>
      </c>
      <c r="CI41" s="2818">
        <f t="shared" ref="CI41:CI42" si="488">SUM(AJ41+BW41)</f>
        <v>3563.8009999999995</v>
      </c>
      <c r="CJ41" s="2818">
        <f t="shared" ref="CJ41:CJ42" si="489">SUM(AK41+BX41)</f>
        <v>0</v>
      </c>
      <c r="CK41" s="2819">
        <f t="shared" ref="CK41:CK42" si="490">SUM(CE41-CB41)</f>
        <v>4846.5192270000007</v>
      </c>
      <c r="CL41" s="2819">
        <f t="shared" ref="CL41:CL42" si="491">SUM(CF41-CC41)</f>
        <v>4846.5192270000007</v>
      </c>
      <c r="CM41" s="2819">
        <f t="shared" ref="CM41:CM42" si="492">SUM(CG41-CD41)</f>
        <v>0</v>
      </c>
      <c r="CN41" s="4554"/>
      <c r="CO41" s="4554"/>
      <c r="CP41" s="4554"/>
      <c r="CQ41" s="4554">
        <f>SUM(CR41:CS41)</f>
        <v>775.73109199999999</v>
      </c>
      <c r="CR41" s="4884">
        <v>775.73109199999999</v>
      </c>
      <c r="CS41" s="4554"/>
      <c r="CT41" s="4382">
        <f t="shared" ref="CT41" si="493">SUM(CU41:CV41)</f>
        <v>835.16700000000003</v>
      </c>
      <c r="CU41" s="4397">
        <v>835.16700000000003</v>
      </c>
      <c r="CV41" s="4397"/>
      <c r="CW41" s="4554"/>
      <c r="CX41" s="4554"/>
      <c r="CY41" s="4554"/>
      <c r="CZ41" s="4554">
        <f>SUM(DA41:DB41)</f>
        <v>0</v>
      </c>
      <c r="DA41" s="4884"/>
      <c r="DB41" s="4554"/>
      <c r="DC41" s="4382">
        <f t="shared" ref="DC41" si="494">SUM(DD41:DE41)</f>
        <v>815.47199999999998</v>
      </c>
      <c r="DD41" s="4398">
        <v>815.47199999999998</v>
      </c>
      <c r="DE41" s="4397"/>
      <c r="DF41" s="4554"/>
      <c r="DG41" s="4554"/>
      <c r="DH41" s="4554"/>
      <c r="DI41" s="4554">
        <f>SUM(DJ41:DK41)</f>
        <v>0</v>
      </c>
      <c r="DJ41" s="4884"/>
      <c r="DK41" s="4554"/>
      <c r="DL41" s="4382">
        <f t="shared" ref="DL41" si="495">SUM(DM41:DN41)</f>
        <v>810.47822499999995</v>
      </c>
      <c r="DM41" s="4397">
        <v>810.47822499999995</v>
      </c>
      <c r="DN41" s="4397"/>
      <c r="DO41" s="2818">
        <f t="shared" ref="DO41:DO42" si="496">SUM(CN41+CW41+DF41)</f>
        <v>0</v>
      </c>
      <c r="DP41" s="2818">
        <f t="shared" ref="DP41:DP42" si="497">SUM(CO41+CX41+DG41)</f>
        <v>0</v>
      </c>
      <c r="DQ41" s="2818">
        <f t="shared" ref="DQ41:DQ42" si="498">SUM(CP41+CY41+DH41)</f>
        <v>0</v>
      </c>
      <c r="DR41" s="2807">
        <f t="shared" ref="DR41:DR42" si="499">SUM(CQ41+CZ41+DI41)</f>
        <v>775.73109199999999</v>
      </c>
      <c r="DS41" s="2807">
        <f t="shared" ref="DS41:DS42" si="500">SUM(CR41+DA41+DJ41)</f>
        <v>775.73109199999999</v>
      </c>
      <c r="DT41" s="2818">
        <f t="shared" ref="DT41:DT42" si="501">SUM(CS41+DB41+DK41)</f>
        <v>0</v>
      </c>
      <c r="DU41" s="2818">
        <f t="shared" ref="DU41:DU42" si="502">SUM(CT41+DC41+DL41)</f>
        <v>2461.117225</v>
      </c>
      <c r="DV41" s="2818">
        <f t="shared" ref="DV41:DV42" si="503">SUM(CU41+DD41+DM41)</f>
        <v>2461.117225</v>
      </c>
      <c r="DW41" s="2818">
        <f t="shared" ref="DW41:DW42" si="504">SUM(CV41+DE41+DN41)</f>
        <v>0</v>
      </c>
      <c r="DX41" s="2819">
        <f t="shared" ref="DX41:DX42" si="505">SUM(DR41-DO41)</f>
        <v>775.73109199999999</v>
      </c>
      <c r="DY41" s="2819">
        <f t="shared" ref="DY41:DY42" si="506">SUM(DS41-DP41)</f>
        <v>775.73109199999999</v>
      </c>
      <c r="DZ41" s="2819">
        <f t="shared" ref="DZ41:DZ42" si="507">SUM(DT41-DQ41)</f>
        <v>0</v>
      </c>
      <c r="EA41" s="2818">
        <f t="shared" ref="EA41:EA42" si="508">SUM(CB41+DO41)</f>
        <v>0</v>
      </c>
      <c r="EB41" s="2818">
        <f t="shared" ref="EB41:EB42" si="509">SUM(CC41+DP41)</f>
        <v>0</v>
      </c>
      <c r="EC41" s="2818">
        <f t="shared" ref="EC41:EC42" si="510">SUM(CD41+DQ41)</f>
        <v>0</v>
      </c>
      <c r="ED41" s="2807">
        <f t="shared" ref="ED41:ED42" si="511">SUM(CE41+DR41)</f>
        <v>5622.2503190000007</v>
      </c>
      <c r="EE41" s="2807">
        <f t="shared" ref="EE41:EE42" si="512">SUM(CF41+DS41)</f>
        <v>5622.2503190000007</v>
      </c>
      <c r="EF41" s="2807">
        <f t="shared" ref="EF41:EF42" si="513">SUM(CG41+DT41)</f>
        <v>0</v>
      </c>
      <c r="EG41" s="2818">
        <f t="shared" ref="EG41:EG42" si="514">SUM(CH41+DU41)</f>
        <v>6024.9182249999994</v>
      </c>
      <c r="EH41" s="2818">
        <f t="shared" ref="EH41:EH42" si="515">SUM(CI41+DV41)</f>
        <v>6024.9182249999994</v>
      </c>
      <c r="EI41" s="2818">
        <f t="shared" ref="EI41:EI42" si="516">SUM(CJ41+DW41)</f>
        <v>0</v>
      </c>
      <c r="EJ41" s="2819">
        <f t="shared" ref="EJ41:EJ42" si="517">SUM(ED41-EA41)</f>
        <v>5622.2503190000007</v>
      </c>
      <c r="EK41" s="2819">
        <f t="shared" ref="EK41:EK42" si="518">SUM(EE41-EB41)</f>
        <v>5622.2503190000007</v>
      </c>
      <c r="EL41" s="2819">
        <f t="shared" ref="EL41:EL42" si="519">SUM(EF41-EC41)</f>
        <v>0</v>
      </c>
      <c r="EM41" s="4554"/>
      <c r="EN41" s="4554"/>
      <c r="EO41" s="4554"/>
      <c r="EP41" s="4554">
        <f>SUM(EQ41:ER41)</f>
        <v>0</v>
      </c>
      <c r="EQ41" s="4884"/>
      <c r="ER41" s="4554"/>
      <c r="ES41" s="4382">
        <f t="shared" ref="ES41" si="520">SUM(ET41:EU41)</f>
        <v>792.59500000000003</v>
      </c>
      <c r="ET41" s="4397">
        <v>792.59500000000003</v>
      </c>
      <c r="EU41" s="4397"/>
      <c r="EV41" s="4554"/>
      <c r="EW41" s="4554"/>
      <c r="EX41" s="4554"/>
      <c r="EY41" s="4554">
        <f>SUM(EZ41:FA41)</f>
        <v>0</v>
      </c>
      <c r="EZ41" s="4884"/>
      <c r="FA41" s="4554"/>
      <c r="FB41" s="4382">
        <f t="shared" ref="FB41" si="521">SUM(FC41:FD41)</f>
        <v>779.78629999999998</v>
      </c>
      <c r="FC41" s="4397">
        <v>779.78629999999998</v>
      </c>
      <c r="FD41" s="4397"/>
      <c r="FE41" s="4554"/>
      <c r="FF41" s="4554"/>
      <c r="FG41" s="4554"/>
      <c r="FH41" s="4554">
        <f>SUM(FI41:FJ41)</f>
        <v>0</v>
      </c>
      <c r="FI41" s="4884"/>
      <c r="FJ41" s="4554"/>
      <c r="FK41" s="4382">
        <f t="shared" ref="FK41" si="522">SUM(FL41:FM41)</f>
        <v>835.33154999999999</v>
      </c>
      <c r="FL41" s="4397">
        <v>835.33154999999999</v>
      </c>
      <c r="FM41" s="4397"/>
      <c r="FN41" s="2818">
        <f t="shared" ref="FN41:FN42" si="523">SUM(EM41+EV41+FE41)</f>
        <v>0</v>
      </c>
      <c r="FO41" s="2818">
        <f t="shared" ref="FO41:FO42" si="524">SUM(EN41+EW41+FF41)</f>
        <v>0</v>
      </c>
      <c r="FP41" s="2818">
        <f t="shared" ref="FP41:FP42" si="525">SUM(EO41+EX41+FG41)</f>
        <v>0</v>
      </c>
      <c r="FQ41" s="2818">
        <f t="shared" ref="FQ41:FQ42" si="526">SUM(EP41+EY41+FH41)</f>
        <v>0</v>
      </c>
      <c r="FR41" s="2818">
        <f t="shared" ref="FR41:FR42" si="527">SUM(EQ41+EZ41+FI41)</f>
        <v>0</v>
      </c>
      <c r="FS41" s="2818">
        <f t="shared" ref="FS41:FS42" si="528">SUM(ER41+FA41+FJ41)</f>
        <v>0</v>
      </c>
      <c r="FT41" s="2818">
        <f t="shared" ref="FT41:FT42" si="529">SUM(ES41+FB41+FK41)</f>
        <v>2407.7128499999999</v>
      </c>
      <c r="FU41" s="2818">
        <f t="shared" ref="FU41:FU42" si="530">SUM(ET41+FC41+FL41)</f>
        <v>2407.7128499999999</v>
      </c>
      <c r="FV41" s="2818">
        <f t="shared" ref="FV41:FV42" si="531">SUM(EU41+FD41+FM41)</f>
        <v>0</v>
      </c>
      <c r="FW41" s="2819">
        <f t="shared" ref="FW41:FW42" si="532">SUM(FQ41-FN41)</f>
        <v>0</v>
      </c>
      <c r="FX41" s="2819">
        <f t="shared" ref="FX41:FX42" si="533">SUM(FR41-FO41)</f>
        <v>0</v>
      </c>
      <c r="FY41" s="2819">
        <f t="shared" ref="FY41:FY42" si="534">SUM(FS41-FP41)</f>
        <v>0</v>
      </c>
      <c r="FZ41" s="2807">
        <f t="shared" ref="FZ41:FZ42" si="535">SUM(EA41+FN41)</f>
        <v>0</v>
      </c>
      <c r="GA41" s="2807">
        <f t="shared" ref="GA41:GA42" si="536">SUM(EB41+FO41)</f>
        <v>0</v>
      </c>
      <c r="GB41" s="2807">
        <f t="shared" ref="GB41:GB42" si="537">SUM(EC41+FP41)</f>
        <v>0</v>
      </c>
      <c r="GC41" s="2818">
        <f t="shared" ref="GC41:GC42" si="538">SUM(ED41+FQ41)</f>
        <v>5622.2503190000007</v>
      </c>
      <c r="GD41" s="2818">
        <f t="shared" ref="GD41:GD42" si="539">SUM(EE41+FR41)</f>
        <v>5622.2503190000007</v>
      </c>
      <c r="GE41" s="2818">
        <f t="shared" ref="GE41:GE42" si="540">SUM(EF41+FS41)</f>
        <v>0</v>
      </c>
      <c r="GF41" s="2818">
        <f t="shared" ref="GF41:GF42" si="541">SUM(EG41+FT41)</f>
        <v>8432.6310749999993</v>
      </c>
      <c r="GG41" s="2818">
        <f t="shared" ref="GG41:GG42" si="542">SUM(EH41+FU41)</f>
        <v>8432.6310749999993</v>
      </c>
      <c r="GH41" s="2818">
        <f t="shared" ref="GH41:GH42" si="543">SUM(EI41+FV41)</f>
        <v>0</v>
      </c>
      <c r="GI41" s="2819">
        <f t="shared" ref="GI41:GI42" si="544">SUM(GC41-FZ41)</f>
        <v>5622.2503190000007</v>
      </c>
      <c r="GJ41" s="2819">
        <f t="shared" ref="GJ41:GJ42" si="545">SUM(GD41-GA41)</f>
        <v>5622.2503190000007</v>
      </c>
      <c r="GK41" s="2819">
        <f t="shared" ref="GK41:GK42" si="546">SUM(GE41-GB41)</f>
        <v>0</v>
      </c>
      <c r="GL41" s="565"/>
      <c r="GM41" s="2911"/>
    </row>
    <row r="42" spans="1:195" ht="19.5" customHeight="1" x14ac:dyDescent="0.3">
      <c r="A42" s="2777" t="s">
        <v>4282</v>
      </c>
      <c r="B42" s="4399"/>
      <c r="C42" s="4399"/>
      <c r="D42" s="4399"/>
      <c r="E42" s="4399">
        <f>SUM(F42:G42)</f>
        <v>16701.783753</v>
      </c>
      <c r="F42" s="4399">
        <f>SUM(F35+F41)</f>
        <v>16701.783753</v>
      </c>
      <c r="G42" s="4399">
        <f>SUM(G35+G41)</f>
        <v>0</v>
      </c>
      <c r="H42" s="4399">
        <f>SUM(I42:J42)</f>
        <v>13010.661999999998</v>
      </c>
      <c r="I42" s="4399">
        <f>SUM(I35+I41)</f>
        <v>13008.924999999999</v>
      </c>
      <c r="J42" s="4399">
        <f>SUM(J35+J41)</f>
        <v>1.7370000000000001</v>
      </c>
      <c r="K42" s="4399"/>
      <c r="L42" s="4399"/>
      <c r="M42" s="4399"/>
      <c r="N42" s="4399">
        <f>SUM(O42:P42)</f>
        <v>16834.374941000002</v>
      </c>
      <c r="O42" s="4399">
        <f>SUM(O35+O41)</f>
        <v>16834.374941000002</v>
      </c>
      <c r="P42" s="4399">
        <f>SUM(P35+P41)</f>
        <v>0</v>
      </c>
      <c r="Q42" s="4399">
        <f>SUM(R42:S42)</f>
        <v>12830.832999999999</v>
      </c>
      <c r="R42" s="4399">
        <f>SUM(R35+R41)</f>
        <v>12829.304999999998</v>
      </c>
      <c r="S42" s="4399">
        <f>SUM(S35+S41)</f>
        <v>1.528</v>
      </c>
      <c r="T42" s="4399"/>
      <c r="U42" s="4399"/>
      <c r="V42" s="4399"/>
      <c r="W42" s="4399">
        <f>SUM(X42:Y42)</f>
        <v>15965.622921</v>
      </c>
      <c r="X42" s="4399">
        <f>SUM(X35+X41)</f>
        <v>15965.622921</v>
      </c>
      <c r="Y42" s="4399">
        <f>SUM(Y35+Y41)</f>
        <v>0</v>
      </c>
      <c r="Z42" s="4399">
        <f>SUM(AA42:AB42)</f>
        <v>13087.651000000002</v>
      </c>
      <c r="AA42" s="4399">
        <f>SUM(AA35+AA41)</f>
        <v>13085.558000000001</v>
      </c>
      <c r="AB42" s="4399">
        <f>SUM(AB35+AB41)</f>
        <v>2.093</v>
      </c>
      <c r="AC42" s="2812">
        <f t="shared" si="454"/>
        <v>0</v>
      </c>
      <c r="AD42" s="2812">
        <f t="shared" si="455"/>
        <v>0</v>
      </c>
      <c r="AE42" s="2812">
        <f t="shared" si="456"/>
        <v>0</v>
      </c>
      <c r="AF42" s="2812">
        <f t="shared" si="457"/>
        <v>49501.781615</v>
      </c>
      <c r="AG42" s="2812">
        <f t="shared" si="458"/>
        <v>49501.781615</v>
      </c>
      <c r="AH42" s="2812">
        <f t="shared" si="459"/>
        <v>0</v>
      </c>
      <c r="AI42" s="2812">
        <f t="shared" si="460"/>
        <v>38929.145999999993</v>
      </c>
      <c r="AJ42" s="2812">
        <f t="shared" si="461"/>
        <v>38923.788</v>
      </c>
      <c r="AK42" s="2812">
        <f t="shared" si="462"/>
        <v>5.3580000000000005</v>
      </c>
      <c r="AL42" s="2813">
        <f t="shared" si="463"/>
        <v>49501.781615</v>
      </c>
      <c r="AM42" s="2813">
        <f t="shared" si="464"/>
        <v>49501.781615</v>
      </c>
      <c r="AN42" s="2813">
        <f t="shared" si="465"/>
        <v>0</v>
      </c>
      <c r="AO42" s="4399"/>
      <c r="AP42" s="4399"/>
      <c r="AQ42" s="4399"/>
      <c r="AR42" s="4399">
        <f>SUM(AS42:AT42)</f>
        <v>15772.154032000002</v>
      </c>
      <c r="AS42" s="4399">
        <f>SUM(AS35+AS41)</f>
        <v>15772.154032000002</v>
      </c>
      <c r="AT42" s="4399">
        <f>SUM(AT35+AT41)</f>
        <v>0</v>
      </c>
      <c r="AU42" s="4399">
        <f>SUM(AV42:AW42)</f>
        <v>14391.936</v>
      </c>
      <c r="AV42" s="4399">
        <f>SUM(AV35+AV41)</f>
        <v>14381.471</v>
      </c>
      <c r="AW42" s="4399">
        <f>SUM(AW35+AW41)</f>
        <v>10.465</v>
      </c>
      <c r="AX42" s="4399"/>
      <c r="AY42" s="4399"/>
      <c r="AZ42" s="4399"/>
      <c r="BA42" s="4399">
        <f>SUM(BB42:BC42)</f>
        <v>16041.574390000002</v>
      </c>
      <c r="BB42" s="4399">
        <f>SUM(BB35+BB41)</f>
        <v>16041.574390000002</v>
      </c>
      <c r="BC42" s="4399">
        <f>SUM(BC35+BC41)</f>
        <v>0</v>
      </c>
      <c r="BD42" s="4399">
        <f>SUM(BE42:BF42)</f>
        <v>13372.012999999999</v>
      </c>
      <c r="BE42" s="4399">
        <f>SUM(BE35+BE41)</f>
        <v>13371.280999999999</v>
      </c>
      <c r="BF42" s="4399">
        <f>SUM(BF35+BF41)</f>
        <v>0.73199999999999998</v>
      </c>
      <c r="BG42" s="4399"/>
      <c r="BH42" s="4399"/>
      <c r="BI42" s="4399"/>
      <c r="BJ42" s="4399">
        <f>SUM(BK42:BL42)</f>
        <v>15633.52572</v>
      </c>
      <c r="BK42" s="4399">
        <f>SUM(BK35+BK41)</f>
        <v>15633.52572</v>
      </c>
      <c r="BL42" s="4399">
        <f>SUM(BL35+BL41)</f>
        <v>0</v>
      </c>
      <c r="BM42" s="4399">
        <f>SUM(BN42:BO42)</f>
        <v>12509.116999999998</v>
      </c>
      <c r="BN42" s="4399">
        <f>SUM(BN35+BN41)</f>
        <v>12509.116999999998</v>
      </c>
      <c r="BO42" s="4399">
        <f>SUM(BO35+BO41)</f>
        <v>0</v>
      </c>
      <c r="BP42" s="2812">
        <f t="shared" si="469"/>
        <v>0</v>
      </c>
      <c r="BQ42" s="2812">
        <f t="shared" si="470"/>
        <v>0</v>
      </c>
      <c r="BR42" s="2812">
        <f t="shared" si="471"/>
        <v>0</v>
      </c>
      <c r="BS42" s="2812">
        <f t="shared" si="472"/>
        <v>47447.254142000005</v>
      </c>
      <c r="BT42" s="2812">
        <f t="shared" si="473"/>
        <v>47447.254142000005</v>
      </c>
      <c r="BU42" s="2812">
        <f t="shared" si="474"/>
        <v>0</v>
      </c>
      <c r="BV42" s="2812">
        <f t="shared" si="475"/>
        <v>40273.065999999999</v>
      </c>
      <c r="BW42" s="2812">
        <f t="shared" si="476"/>
        <v>40261.868999999999</v>
      </c>
      <c r="BX42" s="2812">
        <f t="shared" si="477"/>
        <v>11.196999999999999</v>
      </c>
      <c r="BY42" s="2813">
        <f t="shared" si="478"/>
        <v>47447.254142000005</v>
      </c>
      <c r="BZ42" s="2813">
        <f t="shared" si="479"/>
        <v>47447.254142000005</v>
      </c>
      <c r="CA42" s="2813">
        <f t="shared" si="480"/>
        <v>0</v>
      </c>
      <c r="CB42" s="2812">
        <f t="shared" si="481"/>
        <v>0</v>
      </c>
      <c r="CC42" s="2812">
        <f t="shared" si="482"/>
        <v>0</v>
      </c>
      <c r="CD42" s="2812">
        <f t="shared" si="483"/>
        <v>0</v>
      </c>
      <c r="CE42" s="2812">
        <f t="shared" si="484"/>
        <v>96949.035757000005</v>
      </c>
      <c r="CF42" s="2812">
        <f t="shared" si="485"/>
        <v>96949.035757000005</v>
      </c>
      <c r="CG42" s="2812">
        <f t="shared" si="486"/>
        <v>0</v>
      </c>
      <c r="CH42" s="2812">
        <f t="shared" si="487"/>
        <v>79202.212</v>
      </c>
      <c r="CI42" s="2812">
        <f t="shared" si="488"/>
        <v>79185.657000000007</v>
      </c>
      <c r="CJ42" s="2812">
        <f t="shared" si="489"/>
        <v>16.555</v>
      </c>
      <c r="CK42" s="2813">
        <f t="shared" si="490"/>
        <v>96949.035757000005</v>
      </c>
      <c r="CL42" s="2813">
        <f t="shared" si="491"/>
        <v>96949.035757000005</v>
      </c>
      <c r="CM42" s="2813">
        <f t="shared" si="492"/>
        <v>0</v>
      </c>
      <c r="CN42" s="4399"/>
      <c r="CO42" s="4399"/>
      <c r="CP42" s="4399"/>
      <c r="CQ42" s="4399">
        <f>SUM(CR42:CS42)</f>
        <v>14345.301167</v>
      </c>
      <c r="CR42" s="4399">
        <f>SUM(CR35+CR41)</f>
        <v>14345.301167</v>
      </c>
      <c r="CS42" s="4399">
        <f>SUM(CS35+CS41)</f>
        <v>0</v>
      </c>
      <c r="CT42" s="4399">
        <f>SUM(CU42:CV42)</f>
        <v>13571.472000000002</v>
      </c>
      <c r="CU42" s="4399">
        <f>SUM(CU35+CU41)</f>
        <v>13571.472000000002</v>
      </c>
      <c r="CV42" s="4399">
        <f>SUM(CV35+CV41)</f>
        <v>0</v>
      </c>
      <c r="CW42" s="4399"/>
      <c r="CX42" s="4399"/>
      <c r="CY42" s="4399"/>
      <c r="CZ42" s="4399">
        <f>SUM(DA42:DB42)</f>
        <v>0</v>
      </c>
      <c r="DA42" s="4399">
        <f>SUM(DA35+DA41)</f>
        <v>0</v>
      </c>
      <c r="DB42" s="4399">
        <f>SUM(DB35+DB41)</f>
        <v>0</v>
      </c>
      <c r="DC42" s="4399">
        <f>SUM(DD42:DE42)</f>
        <v>14388.405999999999</v>
      </c>
      <c r="DD42" s="4399">
        <f>SUM(DD35+DD41)</f>
        <v>14388.405999999999</v>
      </c>
      <c r="DE42" s="4399">
        <f>SUM(DE35+DE41)</f>
        <v>0</v>
      </c>
      <c r="DF42" s="4399"/>
      <c r="DG42" s="4399"/>
      <c r="DH42" s="4399"/>
      <c r="DI42" s="4399">
        <f>SUM(DJ42:DK42)</f>
        <v>0</v>
      </c>
      <c r="DJ42" s="4399">
        <f>SUM(DJ35+DJ41)</f>
        <v>0</v>
      </c>
      <c r="DK42" s="4399">
        <f>SUM(DK35+DK41)</f>
        <v>0</v>
      </c>
      <c r="DL42" s="4399">
        <f>SUM(DM42:DN42)</f>
        <v>15127.892500000002</v>
      </c>
      <c r="DM42" s="4399">
        <f>SUM(DM35+DM41)</f>
        <v>15127.892500000002</v>
      </c>
      <c r="DN42" s="4399">
        <f>SUM(DN35+DN41)</f>
        <v>0</v>
      </c>
      <c r="DO42" s="2812">
        <f t="shared" si="496"/>
        <v>0</v>
      </c>
      <c r="DP42" s="2812">
        <f t="shared" si="497"/>
        <v>0</v>
      </c>
      <c r="DQ42" s="2812">
        <f t="shared" si="498"/>
        <v>0</v>
      </c>
      <c r="DR42" s="2812">
        <f t="shared" si="499"/>
        <v>14345.301167</v>
      </c>
      <c r="DS42" s="2812">
        <f t="shared" si="500"/>
        <v>14345.301167</v>
      </c>
      <c r="DT42" s="2812">
        <f t="shared" si="501"/>
        <v>0</v>
      </c>
      <c r="DU42" s="2812">
        <f t="shared" si="502"/>
        <v>43087.770499999999</v>
      </c>
      <c r="DV42" s="2812">
        <f t="shared" si="503"/>
        <v>43087.770499999999</v>
      </c>
      <c r="DW42" s="2812">
        <f t="shared" si="504"/>
        <v>0</v>
      </c>
      <c r="DX42" s="2813">
        <f t="shared" si="505"/>
        <v>14345.301167</v>
      </c>
      <c r="DY42" s="2813">
        <f t="shared" si="506"/>
        <v>14345.301167</v>
      </c>
      <c r="DZ42" s="2813">
        <f t="shared" si="507"/>
        <v>0</v>
      </c>
      <c r="EA42" s="2812">
        <f t="shared" si="508"/>
        <v>0</v>
      </c>
      <c r="EB42" s="2812">
        <f t="shared" si="509"/>
        <v>0</v>
      </c>
      <c r="EC42" s="2812">
        <f t="shared" si="510"/>
        <v>0</v>
      </c>
      <c r="ED42" s="2802">
        <f t="shared" si="511"/>
        <v>111294.336924</v>
      </c>
      <c r="EE42" s="2802">
        <f t="shared" si="512"/>
        <v>111294.336924</v>
      </c>
      <c r="EF42" s="2802">
        <f t="shared" si="513"/>
        <v>0</v>
      </c>
      <c r="EG42" s="2812">
        <f t="shared" si="514"/>
        <v>122289.9825</v>
      </c>
      <c r="EH42" s="2812">
        <f t="shared" si="515"/>
        <v>122273.42750000001</v>
      </c>
      <c r="EI42" s="2812">
        <f t="shared" si="516"/>
        <v>16.555</v>
      </c>
      <c r="EJ42" s="2813">
        <f t="shared" si="517"/>
        <v>111294.336924</v>
      </c>
      <c r="EK42" s="2813">
        <f t="shared" si="518"/>
        <v>111294.336924</v>
      </c>
      <c r="EL42" s="2813">
        <f t="shared" si="519"/>
        <v>0</v>
      </c>
      <c r="EM42" s="4399"/>
      <c r="EN42" s="4399"/>
      <c r="EO42" s="4399"/>
      <c r="EP42" s="4399">
        <f>SUM(EQ42:ER42)</f>
        <v>0</v>
      </c>
      <c r="EQ42" s="4399">
        <f>SUM(EQ35+EQ41)</f>
        <v>0</v>
      </c>
      <c r="ER42" s="4399">
        <f>SUM(ER35+ER41)</f>
        <v>0</v>
      </c>
      <c r="ES42" s="4399">
        <f>SUM(ET42:EU42)</f>
        <v>15022.313999999998</v>
      </c>
      <c r="ET42" s="4399">
        <f>SUM(ET35+ET41)</f>
        <v>15022.313999999998</v>
      </c>
      <c r="EU42" s="4399">
        <f>SUM(EU35+EU41)</f>
        <v>0</v>
      </c>
      <c r="EV42" s="4399"/>
      <c r="EW42" s="4399"/>
      <c r="EX42" s="4399"/>
      <c r="EY42" s="4399">
        <f>SUM(EZ42:FA42)</f>
        <v>0</v>
      </c>
      <c r="EZ42" s="4399">
        <f>SUM(EZ35+EZ41)</f>
        <v>0</v>
      </c>
      <c r="FA42" s="4399">
        <f>SUM(FA35+FA41)</f>
        <v>0</v>
      </c>
      <c r="FB42" s="4399">
        <f>SUM(FC42:FD42)</f>
        <v>15376.547770999998</v>
      </c>
      <c r="FC42" s="4399">
        <f>SUM(FC35+FC41)</f>
        <v>15376.547770999998</v>
      </c>
      <c r="FD42" s="4399">
        <f>SUM(FD35+FD41)</f>
        <v>0</v>
      </c>
      <c r="FE42" s="4399"/>
      <c r="FF42" s="4399"/>
      <c r="FG42" s="4399"/>
      <c r="FH42" s="4399">
        <f>SUM(FI42:FJ42)</f>
        <v>0</v>
      </c>
      <c r="FI42" s="4399">
        <f>SUM(FI35+FI41)</f>
        <v>0</v>
      </c>
      <c r="FJ42" s="4399">
        <f>SUM(FJ35+FJ41)</f>
        <v>0</v>
      </c>
      <c r="FK42" s="4399">
        <f>SUM(FL42:FM42)</f>
        <v>16733.320863000001</v>
      </c>
      <c r="FL42" s="4399">
        <f>SUM(FL35+FL41)</f>
        <v>16733.320863000001</v>
      </c>
      <c r="FM42" s="4399">
        <f>SUM(FM35+FM41)</f>
        <v>0</v>
      </c>
      <c r="FN42" s="2812">
        <f t="shared" si="523"/>
        <v>0</v>
      </c>
      <c r="FO42" s="2812">
        <f t="shared" si="524"/>
        <v>0</v>
      </c>
      <c r="FP42" s="2812">
        <f t="shared" si="525"/>
        <v>0</v>
      </c>
      <c r="FQ42" s="2812">
        <f t="shared" si="526"/>
        <v>0</v>
      </c>
      <c r="FR42" s="2812">
        <f t="shared" si="527"/>
        <v>0</v>
      </c>
      <c r="FS42" s="2812">
        <f t="shared" si="528"/>
        <v>0</v>
      </c>
      <c r="FT42" s="2812">
        <f t="shared" si="529"/>
        <v>47132.182633999997</v>
      </c>
      <c r="FU42" s="2812">
        <f t="shared" si="530"/>
        <v>47132.182633999997</v>
      </c>
      <c r="FV42" s="2812">
        <f t="shared" si="531"/>
        <v>0</v>
      </c>
      <c r="FW42" s="2813">
        <f t="shared" si="532"/>
        <v>0</v>
      </c>
      <c r="FX42" s="2813">
        <f t="shared" si="533"/>
        <v>0</v>
      </c>
      <c r="FY42" s="2813">
        <f t="shared" si="534"/>
        <v>0</v>
      </c>
      <c r="FZ42" s="2802">
        <f t="shared" si="535"/>
        <v>0</v>
      </c>
      <c r="GA42" s="2802">
        <f t="shared" si="536"/>
        <v>0</v>
      </c>
      <c r="GB42" s="2802">
        <f t="shared" si="537"/>
        <v>0</v>
      </c>
      <c r="GC42" s="2812">
        <f t="shared" si="538"/>
        <v>111294.336924</v>
      </c>
      <c r="GD42" s="2812">
        <f t="shared" si="539"/>
        <v>111294.336924</v>
      </c>
      <c r="GE42" s="2812">
        <f t="shared" si="540"/>
        <v>0</v>
      </c>
      <c r="GF42" s="2812">
        <f t="shared" si="541"/>
        <v>169422.16513400001</v>
      </c>
      <c r="GG42" s="2812">
        <f t="shared" si="542"/>
        <v>169405.61013400002</v>
      </c>
      <c r="GH42" s="2812">
        <f t="shared" si="543"/>
        <v>16.555</v>
      </c>
      <c r="GI42" s="2813">
        <f t="shared" si="544"/>
        <v>111294.336924</v>
      </c>
      <c r="GJ42" s="2813">
        <f t="shared" si="545"/>
        <v>111294.336924</v>
      </c>
      <c r="GK42" s="2813">
        <f t="shared" si="546"/>
        <v>0</v>
      </c>
      <c r="GL42" s="565"/>
      <c r="GM42" s="2911"/>
    </row>
    <row r="43" spans="1:195" ht="18" customHeight="1" x14ac:dyDescent="0.3">
      <c r="A43" s="2793" t="s">
        <v>3691</v>
      </c>
      <c r="B43" s="2828"/>
      <c r="C43" s="2828"/>
      <c r="D43" s="2828"/>
      <c r="E43" s="2828"/>
      <c r="F43" s="2828"/>
      <c r="G43" s="2828"/>
      <c r="H43" s="2828"/>
      <c r="I43" s="2828"/>
      <c r="J43" s="2828"/>
      <c r="K43" s="2828"/>
      <c r="L43" s="2828"/>
      <c r="M43" s="2828"/>
      <c r="N43" s="2828"/>
      <c r="O43" s="2828"/>
      <c r="P43" s="2828"/>
      <c r="Q43" s="2828"/>
      <c r="R43" s="2828"/>
      <c r="S43" s="2828"/>
      <c r="T43" s="2828"/>
      <c r="U43" s="2828"/>
      <c r="V43" s="2828"/>
      <c r="W43" s="2828"/>
      <c r="X43" s="2828"/>
      <c r="Y43" s="2828"/>
      <c r="Z43" s="2828"/>
      <c r="AA43" s="2828"/>
      <c r="AB43" s="2828"/>
      <c r="AC43" s="2828"/>
      <c r="AD43" s="2828"/>
      <c r="AE43" s="2828"/>
      <c r="AF43" s="2828"/>
      <c r="AG43" s="2828"/>
      <c r="AH43" s="2828"/>
      <c r="AI43" s="2828"/>
      <c r="AJ43" s="2828"/>
      <c r="AK43" s="2828"/>
      <c r="AL43" s="2828"/>
      <c r="AM43" s="2828"/>
      <c r="AN43" s="2828"/>
      <c r="AO43" s="2829"/>
      <c r="AP43" s="2829"/>
      <c r="AQ43" s="2829"/>
      <c r="AR43" s="2829"/>
      <c r="AS43" s="2829"/>
      <c r="AT43" s="2829"/>
      <c r="AU43" s="2829"/>
      <c r="AV43" s="2829"/>
      <c r="AW43" s="2829"/>
      <c r="AX43" s="2828"/>
      <c r="AY43" s="2828"/>
      <c r="AZ43" s="2828"/>
      <c r="BA43" s="2828"/>
      <c r="BB43" s="2828"/>
      <c r="BC43" s="2828"/>
      <c r="BD43" s="2828"/>
      <c r="BE43" s="2828"/>
      <c r="BF43" s="2828"/>
      <c r="BG43" s="2828"/>
      <c r="BH43" s="2828"/>
      <c r="BI43" s="2828"/>
      <c r="BJ43" s="2828"/>
      <c r="BK43" s="2828"/>
      <c r="BL43" s="2828"/>
      <c r="BM43" s="2828"/>
      <c r="BN43" s="2828"/>
      <c r="BO43" s="2828"/>
      <c r="BP43" s="2794"/>
      <c r="BQ43" s="2794"/>
      <c r="BR43" s="2794"/>
      <c r="BS43" s="2794"/>
      <c r="BT43" s="2794"/>
      <c r="BU43" s="2794"/>
      <c r="BV43" s="2794"/>
      <c r="BW43" s="2794"/>
      <c r="BX43" s="2794"/>
      <c r="BY43" s="2794"/>
      <c r="BZ43" s="2794"/>
      <c r="CA43" s="2794"/>
      <c r="CB43" s="2794"/>
      <c r="CC43" s="2794"/>
      <c r="CD43" s="2794"/>
      <c r="CE43" s="2794"/>
      <c r="CF43" s="2794"/>
      <c r="CG43" s="2794"/>
      <c r="CH43" s="2794"/>
      <c r="CI43" s="2794"/>
      <c r="CJ43" s="2794"/>
      <c r="CK43" s="2794"/>
      <c r="CL43" s="2794"/>
      <c r="CM43" s="2794"/>
      <c r="CN43" s="2794"/>
      <c r="CO43" s="2794"/>
      <c r="CP43" s="2794"/>
      <c r="CQ43" s="2794"/>
      <c r="CR43" s="2794"/>
      <c r="CS43" s="2794"/>
      <c r="CT43" s="2794"/>
      <c r="CU43" s="2794"/>
      <c r="CV43" s="2794"/>
      <c r="CW43" s="2794"/>
      <c r="CX43" s="2794"/>
      <c r="CY43" s="2794"/>
      <c r="CZ43" s="2794"/>
      <c r="DA43" s="2794"/>
      <c r="DB43" s="2794"/>
      <c r="DC43" s="2794"/>
      <c r="DD43" s="2794"/>
      <c r="DE43" s="2794"/>
      <c r="DF43" s="2794"/>
      <c r="DG43" s="2794"/>
      <c r="DH43" s="2794"/>
      <c r="DI43" s="2794"/>
      <c r="DJ43" s="2794"/>
      <c r="DK43" s="2794"/>
      <c r="DL43" s="2794"/>
      <c r="DM43" s="2794"/>
      <c r="DN43" s="2794"/>
      <c r="DO43" s="2794"/>
      <c r="DP43" s="2794"/>
      <c r="DQ43" s="2794"/>
      <c r="DR43" s="2794"/>
      <c r="DS43" s="2794"/>
      <c r="DT43" s="2794"/>
      <c r="DU43" s="2794"/>
      <c r="DV43" s="2794"/>
      <c r="DW43" s="2794"/>
      <c r="DX43" s="2794"/>
      <c r="DY43" s="2794"/>
      <c r="DZ43" s="2794"/>
      <c r="EA43" s="2794"/>
      <c r="EB43" s="2794"/>
      <c r="EC43" s="2794"/>
      <c r="ED43" s="2794"/>
      <c r="EE43" s="2794"/>
      <c r="EF43" s="2794"/>
      <c r="EG43" s="2794"/>
      <c r="EH43" s="2794"/>
      <c r="EI43" s="2794"/>
      <c r="EJ43" s="2794"/>
      <c r="EK43" s="2794"/>
      <c r="EL43" s="2794"/>
      <c r="EM43" s="2794"/>
      <c r="EN43" s="2794"/>
      <c r="EO43" s="2794"/>
      <c r="EP43" s="2794"/>
      <c r="EQ43" s="2794"/>
      <c r="ER43" s="2794"/>
      <c r="ES43" s="2794"/>
      <c r="ET43" s="2794"/>
      <c r="EU43" s="2794"/>
      <c r="EV43" s="2794"/>
      <c r="EW43" s="2794"/>
      <c r="EX43" s="2794"/>
      <c r="EY43" s="2794"/>
      <c r="EZ43" s="2794"/>
      <c r="FA43" s="2794"/>
      <c r="FB43" s="2794"/>
      <c r="FC43" s="2794"/>
      <c r="FD43" s="2794"/>
      <c r="FE43" s="2794"/>
      <c r="FF43" s="2794"/>
      <c r="FG43" s="2794"/>
      <c r="FH43" s="2794"/>
      <c r="FI43" s="2794"/>
      <c r="FJ43" s="2794"/>
      <c r="FK43" s="2794"/>
      <c r="FL43" s="2794"/>
      <c r="FM43" s="2794"/>
      <c r="FN43" s="2794"/>
      <c r="FO43" s="2794"/>
      <c r="FP43" s="2794"/>
      <c r="FQ43" s="2794"/>
      <c r="FR43" s="2794"/>
      <c r="FS43" s="2794"/>
      <c r="FT43" s="2794"/>
      <c r="FU43" s="2794"/>
      <c r="FV43" s="2794"/>
      <c r="FW43" s="2794"/>
      <c r="FX43" s="2794"/>
      <c r="FY43" s="2794"/>
      <c r="FZ43" s="2794"/>
      <c r="GA43" s="2794"/>
      <c r="GB43" s="2794"/>
      <c r="GC43" s="2794"/>
      <c r="GD43" s="2794"/>
      <c r="GE43" s="2794"/>
      <c r="GF43" s="2794"/>
      <c r="GG43" s="2794"/>
      <c r="GH43" s="2794"/>
      <c r="GI43" s="2794"/>
      <c r="GJ43" s="2794"/>
      <c r="GK43" s="2795"/>
      <c r="GL43" s="565"/>
    </row>
    <row r="44" spans="1:195" ht="20.25" customHeight="1" x14ac:dyDescent="0.2">
      <c r="A44" s="5358" t="s">
        <v>525</v>
      </c>
      <c r="B44" s="5361" t="s">
        <v>3726</v>
      </c>
      <c r="C44" s="5362"/>
      <c r="D44" s="5362"/>
      <c r="E44" s="5362"/>
      <c r="F44" s="5362"/>
      <c r="G44" s="5362"/>
      <c r="H44" s="5362"/>
      <c r="I44" s="5362"/>
      <c r="J44" s="5363"/>
      <c r="K44" s="5361" t="s">
        <v>3727</v>
      </c>
      <c r="L44" s="5362"/>
      <c r="M44" s="5362"/>
      <c r="N44" s="5362"/>
      <c r="O44" s="5362"/>
      <c r="P44" s="5362"/>
      <c r="Q44" s="5362"/>
      <c r="R44" s="5362"/>
      <c r="S44" s="5363"/>
      <c r="T44" s="5361" t="s">
        <v>3728</v>
      </c>
      <c r="U44" s="5362"/>
      <c r="V44" s="5362"/>
      <c r="W44" s="5362"/>
      <c r="X44" s="5362"/>
      <c r="Y44" s="5362"/>
      <c r="Z44" s="5362"/>
      <c r="AA44" s="5362"/>
      <c r="AB44" s="5363"/>
      <c r="AC44" s="5364" t="s">
        <v>3678</v>
      </c>
      <c r="AD44" s="5365"/>
      <c r="AE44" s="5365"/>
      <c r="AF44" s="5365"/>
      <c r="AG44" s="5365"/>
      <c r="AH44" s="5365"/>
      <c r="AI44" s="5365"/>
      <c r="AJ44" s="5365"/>
      <c r="AK44" s="5365"/>
      <c r="AL44" s="5365"/>
      <c r="AM44" s="5365"/>
      <c r="AN44" s="5366"/>
      <c r="AO44" s="5373" t="s">
        <v>3729</v>
      </c>
      <c r="AP44" s="5374"/>
      <c r="AQ44" s="5374"/>
      <c r="AR44" s="5374"/>
      <c r="AS44" s="5374"/>
      <c r="AT44" s="5374"/>
      <c r="AU44" s="5374"/>
      <c r="AV44" s="5374"/>
      <c r="AW44" s="5375"/>
      <c r="AX44" s="5361" t="s">
        <v>3730</v>
      </c>
      <c r="AY44" s="5362"/>
      <c r="AZ44" s="5362"/>
      <c r="BA44" s="5362"/>
      <c r="BB44" s="5362"/>
      <c r="BC44" s="5362"/>
      <c r="BD44" s="5362"/>
      <c r="BE44" s="5362"/>
      <c r="BF44" s="5363"/>
      <c r="BG44" s="5361" t="s">
        <v>3731</v>
      </c>
      <c r="BH44" s="5362"/>
      <c r="BI44" s="5362"/>
      <c r="BJ44" s="5362"/>
      <c r="BK44" s="5362"/>
      <c r="BL44" s="5362"/>
      <c r="BM44" s="5362"/>
      <c r="BN44" s="5362"/>
      <c r="BO44" s="5363"/>
      <c r="BP44" s="5364" t="s">
        <v>3679</v>
      </c>
      <c r="BQ44" s="5365"/>
      <c r="BR44" s="5365"/>
      <c r="BS44" s="5365"/>
      <c r="BT44" s="5365"/>
      <c r="BU44" s="5365"/>
      <c r="BV44" s="5365"/>
      <c r="BW44" s="5365"/>
      <c r="BX44" s="5365"/>
      <c r="BY44" s="5365"/>
      <c r="BZ44" s="5365"/>
      <c r="CA44" s="5366"/>
      <c r="CB44" s="5364" t="s">
        <v>3680</v>
      </c>
      <c r="CC44" s="5365"/>
      <c r="CD44" s="5365"/>
      <c r="CE44" s="5365"/>
      <c r="CF44" s="5365"/>
      <c r="CG44" s="5365"/>
      <c r="CH44" s="5365"/>
      <c r="CI44" s="5365"/>
      <c r="CJ44" s="5365"/>
      <c r="CK44" s="5365"/>
      <c r="CL44" s="5365"/>
      <c r="CM44" s="5366"/>
      <c r="CN44" s="5361" t="s">
        <v>1357</v>
      </c>
      <c r="CO44" s="5362"/>
      <c r="CP44" s="5362"/>
      <c r="CQ44" s="5362"/>
      <c r="CR44" s="5362"/>
      <c r="CS44" s="5362"/>
      <c r="CT44" s="5362"/>
      <c r="CU44" s="5362"/>
      <c r="CV44" s="5363"/>
      <c r="CW44" s="5361" t="s">
        <v>3732</v>
      </c>
      <c r="CX44" s="5362"/>
      <c r="CY44" s="5362"/>
      <c r="CZ44" s="5362"/>
      <c r="DA44" s="5362"/>
      <c r="DB44" s="5362"/>
      <c r="DC44" s="5362"/>
      <c r="DD44" s="5362"/>
      <c r="DE44" s="5363"/>
      <c r="DF44" s="5361" t="s">
        <v>3733</v>
      </c>
      <c r="DG44" s="5362"/>
      <c r="DH44" s="5362"/>
      <c r="DI44" s="5362"/>
      <c r="DJ44" s="5362"/>
      <c r="DK44" s="5362"/>
      <c r="DL44" s="5362"/>
      <c r="DM44" s="5362"/>
      <c r="DN44" s="5363"/>
      <c r="DO44" s="5364" t="s">
        <v>3681</v>
      </c>
      <c r="DP44" s="5365"/>
      <c r="DQ44" s="5365"/>
      <c r="DR44" s="5365"/>
      <c r="DS44" s="5365"/>
      <c r="DT44" s="5365"/>
      <c r="DU44" s="5365"/>
      <c r="DV44" s="5365"/>
      <c r="DW44" s="5365"/>
      <c r="DX44" s="5365"/>
      <c r="DY44" s="5365"/>
      <c r="DZ44" s="5366"/>
      <c r="EA44" s="5364" t="s">
        <v>3682</v>
      </c>
      <c r="EB44" s="5365"/>
      <c r="EC44" s="5365"/>
      <c r="ED44" s="5365"/>
      <c r="EE44" s="5365"/>
      <c r="EF44" s="5365"/>
      <c r="EG44" s="5365"/>
      <c r="EH44" s="5365"/>
      <c r="EI44" s="5365"/>
      <c r="EJ44" s="5365"/>
      <c r="EK44" s="5365"/>
      <c r="EL44" s="5366"/>
      <c r="EM44" s="5361" t="s">
        <v>3734</v>
      </c>
      <c r="EN44" s="5362"/>
      <c r="EO44" s="5362"/>
      <c r="EP44" s="5362"/>
      <c r="EQ44" s="5362"/>
      <c r="ER44" s="5362"/>
      <c r="ES44" s="5362"/>
      <c r="ET44" s="5362"/>
      <c r="EU44" s="5363"/>
      <c r="EV44" s="5361" t="s">
        <v>3735</v>
      </c>
      <c r="EW44" s="5362"/>
      <c r="EX44" s="5362"/>
      <c r="EY44" s="5362"/>
      <c r="EZ44" s="5362"/>
      <c r="FA44" s="5362"/>
      <c r="FB44" s="5362"/>
      <c r="FC44" s="5362"/>
      <c r="FD44" s="5363"/>
      <c r="FE44" s="5361" t="s">
        <v>3736</v>
      </c>
      <c r="FF44" s="5362"/>
      <c r="FG44" s="5362"/>
      <c r="FH44" s="5362"/>
      <c r="FI44" s="5362"/>
      <c r="FJ44" s="5362"/>
      <c r="FK44" s="5362"/>
      <c r="FL44" s="5362"/>
      <c r="FM44" s="5363"/>
      <c r="FN44" s="5364" t="s">
        <v>3683</v>
      </c>
      <c r="FO44" s="5365"/>
      <c r="FP44" s="5365"/>
      <c r="FQ44" s="5365"/>
      <c r="FR44" s="5365"/>
      <c r="FS44" s="5365"/>
      <c r="FT44" s="5365"/>
      <c r="FU44" s="5365"/>
      <c r="FV44" s="5365"/>
      <c r="FW44" s="5365"/>
      <c r="FX44" s="5365"/>
      <c r="FY44" s="5366"/>
      <c r="FZ44" s="5364" t="s">
        <v>1991</v>
      </c>
      <c r="GA44" s="5365"/>
      <c r="GB44" s="5365"/>
      <c r="GC44" s="5365"/>
      <c r="GD44" s="5365"/>
      <c r="GE44" s="5365"/>
      <c r="GF44" s="5365"/>
      <c r="GG44" s="5365"/>
      <c r="GH44" s="5365"/>
      <c r="GI44" s="5365"/>
      <c r="GJ44" s="5365"/>
      <c r="GK44" s="5366"/>
      <c r="GL44" s="565"/>
    </row>
    <row r="45" spans="1:195" ht="20.25" customHeight="1" x14ac:dyDescent="0.3">
      <c r="A45" s="5359"/>
      <c r="B45" s="5367" t="s">
        <v>3550</v>
      </c>
      <c r="C45" s="5368"/>
      <c r="D45" s="5369"/>
      <c r="E45" s="5367" t="s">
        <v>1674</v>
      </c>
      <c r="F45" s="5368"/>
      <c r="G45" s="5369"/>
      <c r="H45" s="5367" t="s">
        <v>3737</v>
      </c>
      <c r="I45" s="5368"/>
      <c r="J45" s="5369"/>
      <c r="K45" s="5367" t="s">
        <v>3550</v>
      </c>
      <c r="L45" s="5368"/>
      <c r="M45" s="5369"/>
      <c r="N45" s="5367" t="s">
        <v>1674</v>
      </c>
      <c r="O45" s="5368"/>
      <c r="P45" s="5369"/>
      <c r="Q45" s="5367" t="s">
        <v>3737</v>
      </c>
      <c r="R45" s="5368"/>
      <c r="S45" s="5369"/>
      <c r="T45" s="5367" t="s">
        <v>3550</v>
      </c>
      <c r="U45" s="5368"/>
      <c r="V45" s="5369"/>
      <c r="W45" s="5367" t="s">
        <v>1674</v>
      </c>
      <c r="X45" s="5368"/>
      <c r="Y45" s="5369"/>
      <c r="Z45" s="5367" t="s">
        <v>3737</v>
      </c>
      <c r="AA45" s="5368"/>
      <c r="AB45" s="5369"/>
      <c r="AC45" s="5370" t="s">
        <v>3550</v>
      </c>
      <c r="AD45" s="5371"/>
      <c r="AE45" s="5372"/>
      <c r="AF45" s="5370" t="s">
        <v>1674</v>
      </c>
      <c r="AG45" s="5371"/>
      <c r="AH45" s="5372"/>
      <c r="AI45" s="5370" t="s">
        <v>3737</v>
      </c>
      <c r="AJ45" s="5371"/>
      <c r="AK45" s="5372"/>
      <c r="AL45" s="5370" t="s">
        <v>3738</v>
      </c>
      <c r="AM45" s="5371"/>
      <c r="AN45" s="5372"/>
      <c r="AO45" s="5376" t="s">
        <v>3550</v>
      </c>
      <c r="AP45" s="5377"/>
      <c r="AQ45" s="5378"/>
      <c r="AR45" s="5376" t="s">
        <v>1674</v>
      </c>
      <c r="AS45" s="5377"/>
      <c r="AT45" s="5378"/>
      <c r="AU45" s="5376" t="s">
        <v>3737</v>
      </c>
      <c r="AV45" s="5377"/>
      <c r="AW45" s="5378"/>
      <c r="AX45" s="5367" t="s">
        <v>3550</v>
      </c>
      <c r="AY45" s="5368"/>
      <c r="AZ45" s="5369"/>
      <c r="BA45" s="5367" t="s">
        <v>1674</v>
      </c>
      <c r="BB45" s="5368"/>
      <c r="BC45" s="5369"/>
      <c r="BD45" s="5367" t="s">
        <v>3737</v>
      </c>
      <c r="BE45" s="5368"/>
      <c r="BF45" s="5369"/>
      <c r="BG45" s="5367" t="s">
        <v>3550</v>
      </c>
      <c r="BH45" s="5368"/>
      <c r="BI45" s="5369"/>
      <c r="BJ45" s="5367" t="s">
        <v>1674</v>
      </c>
      <c r="BK45" s="5368"/>
      <c r="BL45" s="5369"/>
      <c r="BM45" s="5367" t="s">
        <v>3737</v>
      </c>
      <c r="BN45" s="5368"/>
      <c r="BO45" s="5369"/>
      <c r="BP45" s="5370" t="s">
        <v>3550</v>
      </c>
      <c r="BQ45" s="5371"/>
      <c r="BR45" s="5372"/>
      <c r="BS45" s="5370" t="s">
        <v>1674</v>
      </c>
      <c r="BT45" s="5371"/>
      <c r="BU45" s="5372"/>
      <c r="BV45" s="5370" t="s">
        <v>3737</v>
      </c>
      <c r="BW45" s="5371"/>
      <c r="BX45" s="5372"/>
      <c r="BY45" s="5370" t="s">
        <v>3738</v>
      </c>
      <c r="BZ45" s="5371"/>
      <c r="CA45" s="5372"/>
      <c r="CB45" s="5370" t="s">
        <v>3550</v>
      </c>
      <c r="CC45" s="5371"/>
      <c r="CD45" s="5372"/>
      <c r="CE45" s="5370" t="s">
        <v>1674</v>
      </c>
      <c r="CF45" s="5371"/>
      <c r="CG45" s="5372"/>
      <c r="CH45" s="5370" t="s">
        <v>3737</v>
      </c>
      <c r="CI45" s="5371"/>
      <c r="CJ45" s="5372"/>
      <c r="CK45" s="5370" t="s">
        <v>3738</v>
      </c>
      <c r="CL45" s="5371"/>
      <c r="CM45" s="5372"/>
      <c r="CN45" s="5367" t="s">
        <v>3550</v>
      </c>
      <c r="CO45" s="5368"/>
      <c r="CP45" s="5369"/>
      <c r="CQ45" s="5367" t="s">
        <v>1674</v>
      </c>
      <c r="CR45" s="5368"/>
      <c r="CS45" s="5369"/>
      <c r="CT45" s="5367" t="s">
        <v>3737</v>
      </c>
      <c r="CU45" s="5368"/>
      <c r="CV45" s="5369"/>
      <c r="CW45" s="5367" t="s">
        <v>3550</v>
      </c>
      <c r="CX45" s="5368"/>
      <c r="CY45" s="5369"/>
      <c r="CZ45" s="5367" t="s">
        <v>1674</v>
      </c>
      <c r="DA45" s="5368"/>
      <c r="DB45" s="5369"/>
      <c r="DC45" s="5367" t="s">
        <v>3737</v>
      </c>
      <c r="DD45" s="5368"/>
      <c r="DE45" s="5369"/>
      <c r="DF45" s="5367" t="s">
        <v>3550</v>
      </c>
      <c r="DG45" s="5368"/>
      <c r="DH45" s="5369"/>
      <c r="DI45" s="5367" t="s">
        <v>1674</v>
      </c>
      <c r="DJ45" s="5368"/>
      <c r="DK45" s="5369"/>
      <c r="DL45" s="5367" t="s">
        <v>3737</v>
      </c>
      <c r="DM45" s="5368"/>
      <c r="DN45" s="5369"/>
      <c r="DO45" s="5370" t="s">
        <v>3550</v>
      </c>
      <c r="DP45" s="5371"/>
      <c r="DQ45" s="5372"/>
      <c r="DR45" s="5370" t="s">
        <v>1674</v>
      </c>
      <c r="DS45" s="5371"/>
      <c r="DT45" s="5372"/>
      <c r="DU45" s="5370" t="s">
        <v>3737</v>
      </c>
      <c r="DV45" s="5371"/>
      <c r="DW45" s="5372"/>
      <c r="DX45" s="5370" t="s">
        <v>3738</v>
      </c>
      <c r="DY45" s="5371"/>
      <c r="DZ45" s="5372"/>
      <c r="EA45" s="5370" t="s">
        <v>3550</v>
      </c>
      <c r="EB45" s="5371"/>
      <c r="EC45" s="5372"/>
      <c r="ED45" s="5370" t="s">
        <v>1674</v>
      </c>
      <c r="EE45" s="5371"/>
      <c r="EF45" s="5372"/>
      <c r="EG45" s="5370" t="s">
        <v>3737</v>
      </c>
      <c r="EH45" s="5371"/>
      <c r="EI45" s="5372"/>
      <c r="EJ45" s="5370" t="s">
        <v>3738</v>
      </c>
      <c r="EK45" s="5371"/>
      <c r="EL45" s="5372"/>
      <c r="EM45" s="5367" t="s">
        <v>3550</v>
      </c>
      <c r="EN45" s="5368"/>
      <c r="EO45" s="5369"/>
      <c r="EP45" s="5367" t="s">
        <v>1674</v>
      </c>
      <c r="EQ45" s="5368"/>
      <c r="ER45" s="5369"/>
      <c r="ES45" s="5367" t="s">
        <v>3737</v>
      </c>
      <c r="ET45" s="5368"/>
      <c r="EU45" s="5369"/>
      <c r="EV45" s="5367" t="s">
        <v>3550</v>
      </c>
      <c r="EW45" s="5368"/>
      <c r="EX45" s="5369"/>
      <c r="EY45" s="5367" t="s">
        <v>1674</v>
      </c>
      <c r="EZ45" s="5368"/>
      <c r="FA45" s="5369"/>
      <c r="FB45" s="5367" t="s">
        <v>3737</v>
      </c>
      <c r="FC45" s="5368"/>
      <c r="FD45" s="5369"/>
      <c r="FE45" s="5367" t="s">
        <v>3550</v>
      </c>
      <c r="FF45" s="5368"/>
      <c r="FG45" s="5369"/>
      <c r="FH45" s="5367" t="s">
        <v>1674</v>
      </c>
      <c r="FI45" s="5368"/>
      <c r="FJ45" s="5369"/>
      <c r="FK45" s="5367" t="s">
        <v>3737</v>
      </c>
      <c r="FL45" s="5368"/>
      <c r="FM45" s="5369"/>
      <c r="FN45" s="5370" t="s">
        <v>3550</v>
      </c>
      <c r="FO45" s="5371"/>
      <c r="FP45" s="5372"/>
      <c r="FQ45" s="5370" t="s">
        <v>1674</v>
      </c>
      <c r="FR45" s="5371"/>
      <c r="FS45" s="5372"/>
      <c r="FT45" s="5370" t="s">
        <v>3737</v>
      </c>
      <c r="FU45" s="5371"/>
      <c r="FV45" s="5372"/>
      <c r="FW45" s="5370" t="s">
        <v>3738</v>
      </c>
      <c r="FX45" s="5371"/>
      <c r="FY45" s="5372"/>
      <c r="FZ45" s="5370" t="s">
        <v>3550</v>
      </c>
      <c r="GA45" s="5371"/>
      <c r="GB45" s="5372"/>
      <c r="GC45" s="5370" t="s">
        <v>1674</v>
      </c>
      <c r="GD45" s="5371"/>
      <c r="GE45" s="5372"/>
      <c r="GF45" s="5370" t="s">
        <v>3737</v>
      </c>
      <c r="GG45" s="5371"/>
      <c r="GH45" s="5372"/>
      <c r="GI45" s="5370" t="s">
        <v>3738</v>
      </c>
      <c r="GJ45" s="5371"/>
      <c r="GK45" s="5372"/>
      <c r="GL45" s="389"/>
    </row>
    <row r="46" spans="1:195" ht="25.5" customHeight="1" x14ac:dyDescent="0.3">
      <c r="A46" s="5360"/>
      <c r="B46" s="2753" t="s">
        <v>614</v>
      </c>
      <c r="C46" s="2753" t="s">
        <v>3686</v>
      </c>
      <c r="D46" s="2753" t="s">
        <v>3626</v>
      </c>
      <c r="E46" s="2753" t="s">
        <v>614</v>
      </c>
      <c r="F46" s="2753" t="s">
        <v>3686</v>
      </c>
      <c r="G46" s="2753" t="s">
        <v>3626</v>
      </c>
      <c r="H46" s="2753" t="s">
        <v>614</v>
      </c>
      <c r="I46" s="2753" t="s">
        <v>3686</v>
      </c>
      <c r="J46" s="2753" t="s">
        <v>3626</v>
      </c>
      <c r="K46" s="2753" t="s">
        <v>614</v>
      </c>
      <c r="L46" s="2753" t="s">
        <v>3686</v>
      </c>
      <c r="M46" s="2753" t="s">
        <v>3626</v>
      </c>
      <c r="N46" s="2753" t="s">
        <v>614</v>
      </c>
      <c r="O46" s="2753" t="s">
        <v>3686</v>
      </c>
      <c r="P46" s="2753" t="s">
        <v>3626</v>
      </c>
      <c r="Q46" s="2753" t="s">
        <v>614</v>
      </c>
      <c r="R46" s="2753" t="s">
        <v>3686</v>
      </c>
      <c r="S46" s="2753" t="s">
        <v>3626</v>
      </c>
      <c r="T46" s="2753" t="s">
        <v>614</v>
      </c>
      <c r="U46" s="2753" t="s">
        <v>3686</v>
      </c>
      <c r="V46" s="2753" t="s">
        <v>3626</v>
      </c>
      <c r="W46" s="2753" t="s">
        <v>614</v>
      </c>
      <c r="X46" s="2753" t="s">
        <v>3686</v>
      </c>
      <c r="Y46" s="2753" t="s">
        <v>3626</v>
      </c>
      <c r="Z46" s="2753" t="s">
        <v>614</v>
      </c>
      <c r="AA46" s="2753" t="s">
        <v>3686</v>
      </c>
      <c r="AB46" s="2753" t="s">
        <v>3626</v>
      </c>
      <c r="AC46" s="2754" t="s">
        <v>614</v>
      </c>
      <c r="AD46" s="2754" t="s">
        <v>3686</v>
      </c>
      <c r="AE46" s="2754" t="s">
        <v>3626</v>
      </c>
      <c r="AF46" s="2754" t="s">
        <v>614</v>
      </c>
      <c r="AG46" s="2754" t="s">
        <v>3686</v>
      </c>
      <c r="AH46" s="2754" t="s">
        <v>3626</v>
      </c>
      <c r="AI46" s="2754" t="s">
        <v>614</v>
      </c>
      <c r="AJ46" s="2754" t="s">
        <v>3686</v>
      </c>
      <c r="AK46" s="2754" t="s">
        <v>3626</v>
      </c>
      <c r="AL46" s="2754" t="s">
        <v>614</v>
      </c>
      <c r="AM46" s="2754" t="s">
        <v>3686</v>
      </c>
      <c r="AN46" s="2754" t="s">
        <v>3626</v>
      </c>
      <c r="AO46" s="2830" t="s">
        <v>614</v>
      </c>
      <c r="AP46" s="2830" t="s">
        <v>3686</v>
      </c>
      <c r="AQ46" s="2830" t="s">
        <v>3626</v>
      </c>
      <c r="AR46" s="2830" t="s">
        <v>614</v>
      </c>
      <c r="AS46" s="2830" t="s">
        <v>3686</v>
      </c>
      <c r="AT46" s="2830" t="s">
        <v>3626</v>
      </c>
      <c r="AU46" s="2830" t="s">
        <v>614</v>
      </c>
      <c r="AV46" s="2830" t="s">
        <v>3686</v>
      </c>
      <c r="AW46" s="2830" t="s">
        <v>3626</v>
      </c>
      <c r="AX46" s="2753" t="s">
        <v>614</v>
      </c>
      <c r="AY46" s="2753" t="s">
        <v>3686</v>
      </c>
      <c r="AZ46" s="2753" t="s">
        <v>3626</v>
      </c>
      <c r="BA46" s="2753" t="s">
        <v>614</v>
      </c>
      <c r="BB46" s="2753" t="s">
        <v>3686</v>
      </c>
      <c r="BC46" s="2753" t="s">
        <v>3626</v>
      </c>
      <c r="BD46" s="2753" t="s">
        <v>614</v>
      </c>
      <c r="BE46" s="2753" t="s">
        <v>3686</v>
      </c>
      <c r="BF46" s="2753" t="s">
        <v>3626</v>
      </c>
      <c r="BG46" s="2753" t="s">
        <v>614</v>
      </c>
      <c r="BH46" s="2753" t="s">
        <v>3686</v>
      </c>
      <c r="BI46" s="2753" t="s">
        <v>3626</v>
      </c>
      <c r="BJ46" s="2753" t="s">
        <v>614</v>
      </c>
      <c r="BK46" s="2753" t="s">
        <v>3686</v>
      </c>
      <c r="BL46" s="2753" t="s">
        <v>3626</v>
      </c>
      <c r="BM46" s="2753" t="s">
        <v>614</v>
      </c>
      <c r="BN46" s="2753" t="s">
        <v>3686</v>
      </c>
      <c r="BO46" s="2753" t="s">
        <v>3626</v>
      </c>
      <c r="BP46" s="2754" t="s">
        <v>614</v>
      </c>
      <c r="BQ46" s="2754" t="s">
        <v>3686</v>
      </c>
      <c r="BR46" s="2754" t="s">
        <v>3626</v>
      </c>
      <c r="BS46" s="2754" t="s">
        <v>614</v>
      </c>
      <c r="BT46" s="2754" t="s">
        <v>3686</v>
      </c>
      <c r="BU46" s="2754" t="s">
        <v>3626</v>
      </c>
      <c r="BV46" s="2754" t="s">
        <v>614</v>
      </c>
      <c r="BW46" s="2754" t="s">
        <v>3686</v>
      </c>
      <c r="BX46" s="2754" t="s">
        <v>3626</v>
      </c>
      <c r="BY46" s="2754" t="s">
        <v>614</v>
      </c>
      <c r="BZ46" s="2754" t="s">
        <v>3686</v>
      </c>
      <c r="CA46" s="2754" t="s">
        <v>3626</v>
      </c>
      <c r="CB46" s="2754" t="s">
        <v>614</v>
      </c>
      <c r="CC46" s="2754" t="s">
        <v>3686</v>
      </c>
      <c r="CD46" s="2754" t="s">
        <v>3626</v>
      </c>
      <c r="CE46" s="2754" t="s">
        <v>614</v>
      </c>
      <c r="CF46" s="2754" t="s">
        <v>3686</v>
      </c>
      <c r="CG46" s="2754" t="s">
        <v>3626</v>
      </c>
      <c r="CH46" s="2754" t="s">
        <v>614</v>
      </c>
      <c r="CI46" s="2754" t="s">
        <v>3686</v>
      </c>
      <c r="CJ46" s="2754" t="s">
        <v>3626</v>
      </c>
      <c r="CK46" s="2754" t="s">
        <v>614</v>
      </c>
      <c r="CL46" s="2754" t="s">
        <v>3686</v>
      </c>
      <c r="CM46" s="2754" t="s">
        <v>3626</v>
      </c>
      <c r="CN46" s="2753" t="s">
        <v>614</v>
      </c>
      <c r="CO46" s="2753" t="s">
        <v>3686</v>
      </c>
      <c r="CP46" s="2753" t="s">
        <v>3626</v>
      </c>
      <c r="CQ46" s="2753" t="s">
        <v>614</v>
      </c>
      <c r="CR46" s="2753" t="s">
        <v>3686</v>
      </c>
      <c r="CS46" s="2753" t="s">
        <v>3626</v>
      </c>
      <c r="CT46" s="2753" t="s">
        <v>614</v>
      </c>
      <c r="CU46" s="2753" t="s">
        <v>3686</v>
      </c>
      <c r="CV46" s="2753" t="s">
        <v>3626</v>
      </c>
      <c r="CW46" s="2753" t="s">
        <v>614</v>
      </c>
      <c r="CX46" s="2753" t="s">
        <v>3686</v>
      </c>
      <c r="CY46" s="2753" t="s">
        <v>3626</v>
      </c>
      <c r="CZ46" s="2753" t="s">
        <v>614</v>
      </c>
      <c r="DA46" s="2753" t="s">
        <v>3686</v>
      </c>
      <c r="DB46" s="2753" t="s">
        <v>3626</v>
      </c>
      <c r="DC46" s="2753" t="s">
        <v>614</v>
      </c>
      <c r="DD46" s="2753" t="s">
        <v>3686</v>
      </c>
      <c r="DE46" s="2753" t="s">
        <v>3626</v>
      </c>
      <c r="DF46" s="2753" t="s">
        <v>614</v>
      </c>
      <c r="DG46" s="2753" t="s">
        <v>3686</v>
      </c>
      <c r="DH46" s="2753" t="s">
        <v>3626</v>
      </c>
      <c r="DI46" s="2753" t="s">
        <v>614</v>
      </c>
      <c r="DJ46" s="2753" t="s">
        <v>3686</v>
      </c>
      <c r="DK46" s="2753" t="s">
        <v>3626</v>
      </c>
      <c r="DL46" s="2753" t="s">
        <v>614</v>
      </c>
      <c r="DM46" s="2753" t="s">
        <v>3686</v>
      </c>
      <c r="DN46" s="2753" t="s">
        <v>3626</v>
      </c>
      <c r="DO46" s="2754" t="s">
        <v>614</v>
      </c>
      <c r="DP46" s="2754" t="s">
        <v>3686</v>
      </c>
      <c r="DQ46" s="2754" t="s">
        <v>3626</v>
      </c>
      <c r="DR46" s="2754" t="s">
        <v>614</v>
      </c>
      <c r="DS46" s="2754" t="s">
        <v>3686</v>
      </c>
      <c r="DT46" s="2754" t="s">
        <v>3626</v>
      </c>
      <c r="DU46" s="2754" t="s">
        <v>614</v>
      </c>
      <c r="DV46" s="2754" t="s">
        <v>3686</v>
      </c>
      <c r="DW46" s="2754" t="s">
        <v>3626</v>
      </c>
      <c r="DX46" s="2754" t="s">
        <v>614</v>
      </c>
      <c r="DY46" s="2754" t="s">
        <v>3686</v>
      </c>
      <c r="DZ46" s="2754" t="s">
        <v>3626</v>
      </c>
      <c r="EA46" s="2754" t="s">
        <v>614</v>
      </c>
      <c r="EB46" s="2754" t="s">
        <v>3686</v>
      </c>
      <c r="EC46" s="2754" t="s">
        <v>3626</v>
      </c>
      <c r="ED46" s="2754" t="s">
        <v>614</v>
      </c>
      <c r="EE46" s="2754" t="s">
        <v>3686</v>
      </c>
      <c r="EF46" s="2754" t="s">
        <v>3626</v>
      </c>
      <c r="EG46" s="2754" t="s">
        <v>614</v>
      </c>
      <c r="EH46" s="2754" t="s">
        <v>3686</v>
      </c>
      <c r="EI46" s="2754" t="s">
        <v>3626</v>
      </c>
      <c r="EJ46" s="2754" t="s">
        <v>614</v>
      </c>
      <c r="EK46" s="2754" t="s">
        <v>3686</v>
      </c>
      <c r="EL46" s="2754" t="s">
        <v>3626</v>
      </c>
      <c r="EM46" s="2753" t="s">
        <v>614</v>
      </c>
      <c r="EN46" s="2753" t="s">
        <v>3686</v>
      </c>
      <c r="EO46" s="2753" t="s">
        <v>3626</v>
      </c>
      <c r="EP46" s="2753" t="s">
        <v>614</v>
      </c>
      <c r="EQ46" s="2753" t="s">
        <v>3686</v>
      </c>
      <c r="ER46" s="2753" t="s">
        <v>3626</v>
      </c>
      <c r="ES46" s="2753" t="s">
        <v>614</v>
      </c>
      <c r="ET46" s="2753" t="s">
        <v>3686</v>
      </c>
      <c r="EU46" s="2753" t="s">
        <v>3626</v>
      </c>
      <c r="EV46" s="2753" t="s">
        <v>614</v>
      </c>
      <c r="EW46" s="2753" t="s">
        <v>3686</v>
      </c>
      <c r="EX46" s="2753" t="s">
        <v>3626</v>
      </c>
      <c r="EY46" s="2753" t="s">
        <v>614</v>
      </c>
      <c r="EZ46" s="2753" t="s">
        <v>3686</v>
      </c>
      <c r="FA46" s="2753" t="s">
        <v>3626</v>
      </c>
      <c r="FB46" s="2753" t="s">
        <v>614</v>
      </c>
      <c r="FC46" s="2753" t="s">
        <v>3686</v>
      </c>
      <c r="FD46" s="2753" t="s">
        <v>3626</v>
      </c>
      <c r="FE46" s="2753" t="s">
        <v>614</v>
      </c>
      <c r="FF46" s="2753" t="s">
        <v>3686</v>
      </c>
      <c r="FG46" s="2753" t="s">
        <v>3626</v>
      </c>
      <c r="FH46" s="2753" t="s">
        <v>614</v>
      </c>
      <c r="FI46" s="2753" t="s">
        <v>3686</v>
      </c>
      <c r="FJ46" s="2753" t="s">
        <v>3626</v>
      </c>
      <c r="FK46" s="2753" t="s">
        <v>614</v>
      </c>
      <c r="FL46" s="2753" t="s">
        <v>3686</v>
      </c>
      <c r="FM46" s="2753" t="s">
        <v>3626</v>
      </c>
      <c r="FN46" s="2754" t="s">
        <v>614</v>
      </c>
      <c r="FO46" s="2754" t="s">
        <v>3686</v>
      </c>
      <c r="FP46" s="2754" t="s">
        <v>3626</v>
      </c>
      <c r="FQ46" s="2754" t="s">
        <v>614</v>
      </c>
      <c r="FR46" s="2754" t="s">
        <v>3686</v>
      </c>
      <c r="FS46" s="2754" t="s">
        <v>3626</v>
      </c>
      <c r="FT46" s="2754" t="s">
        <v>614</v>
      </c>
      <c r="FU46" s="2754" t="s">
        <v>3686</v>
      </c>
      <c r="FV46" s="2754" t="s">
        <v>3626</v>
      </c>
      <c r="FW46" s="2754" t="s">
        <v>614</v>
      </c>
      <c r="FX46" s="2754" t="s">
        <v>3686</v>
      </c>
      <c r="FY46" s="2754" t="s">
        <v>3626</v>
      </c>
      <c r="FZ46" s="2754" t="s">
        <v>614</v>
      </c>
      <c r="GA46" s="2754" t="s">
        <v>3686</v>
      </c>
      <c r="GB46" s="2754" t="s">
        <v>3626</v>
      </c>
      <c r="GC46" s="2754" t="s">
        <v>614</v>
      </c>
      <c r="GD46" s="2754" t="s">
        <v>3686</v>
      </c>
      <c r="GE46" s="2754" t="s">
        <v>3626</v>
      </c>
      <c r="GF46" s="2754" t="s">
        <v>614</v>
      </c>
      <c r="GG46" s="2754" t="s">
        <v>3686</v>
      </c>
      <c r="GH46" s="2754" t="s">
        <v>3626</v>
      </c>
      <c r="GI46" s="2754" t="s">
        <v>614</v>
      </c>
      <c r="GJ46" s="2754" t="s">
        <v>3686</v>
      </c>
      <c r="GK46" s="2754" t="s">
        <v>3626</v>
      </c>
      <c r="GL46" s="389"/>
    </row>
    <row r="47" spans="1:195" ht="18.75" x14ac:dyDescent="0.3">
      <c r="A47" s="2831" t="s">
        <v>1</v>
      </c>
      <c r="B47" s="2832">
        <f>SUM(C47:D47)</f>
        <v>1134.0873257869039</v>
      </c>
      <c r="C47" s="2832">
        <f>SUM('ПОЛНАЯ СЕБЕСТОИМОСТЬ ВОДА 2023'!C195)/3</f>
        <v>1133.9815626750994</v>
      </c>
      <c r="D47" s="2832">
        <f>SUM('ПОЛНАЯ СЕБЕСТОИМОСТЬ ВОДА 2023'!D195)/3</f>
        <v>0.10576311180435</v>
      </c>
      <c r="E47" s="2775">
        <f>SUM(F47:G47)</f>
        <v>1002.7460000000001</v>
      </c>
      <c r="F47" s="2832">
        <f>SUM('ПОЛНАЯ СЕБЕСТОИМОСТЬ ВОДА 2023'!F195)</f>
        <v>1002.7460000000001</v>
      </c>
      <c r="G47" s="2775">
        <f>SUM('ПОЛНАЯ СЕБЕСТОИМОСТЬ ВОДА 2023'!G195)</f>
        <v>0</v>
      </c>
      <c r="H47" s="2833">
        <f>SUM(I47:J47)</f>
        <v>1012.2550000000001</v>
      </c>
      <c r="I47" s="2833">
        <v>1012.1880000000001</v>
      </c>
      <c r="J47" s="2833">
        <v>6.7000000000000004E-2</v>
      </c>
      <c r="K47" s="2832">
        <f>SUM(L47:M47)</f>
        <v>1134.0873257869039</v>
      </c>
      <c r="L47" s="2832">
        <f>SUM(C47)</f>
        <v>1133.9815626750994</v>
      </c>
      <c r="M47" s="2832">
        <f>SUM(D47)</f>
        <v>0.10576311180435</v>
      </c>
      <c r="N47" s="2775">
        <f>SUM(O47:P47)</f>
        <v>943.827</v>
      </c>
      <c r="O47" s="2775">
        <f>SUM('ПОЛНАЯ СЕБЕСТОИМОСТЬ ВОДА 2023'!I195)</f>
        <v>943.827</v>
      </c>
      <c r="P47" s="2775">
        <f>SUM('ПОЛНАЯ СЕБЕСТОИМОСТЬ ВОДА 2023'!J195)</f>
        <v>0</v>
      </c>
      <c r="Q47" s="2833">
        <f>SUM(R47:S47)</f>
        <v>863.76900000000001</v>
      </c>
      <c r="R47" s="2833">
        <v>863.71</v>
      </c>
      <c r="S47" s="2833">
        <v>5.8999999999999997E-2</v>
      </c>
      <c r="T47" s="2832">
        <f>SUM(U47:V47)</f>
        <v>1134.0873257869039</v>
      </c>
      <c r="U47" s="2832">
        <f t="shared" ref="U47:V47" si="547">SUM(L47)</f>
        <v>1133.9815626750994</v>
      </c>
      <c r="V47" s="2832">
        <f t="shared" si="547"/>
        <v>0.10576311180435</v>
      </c>
      <c r="W47" s="2775">
        <f>SUM(X47:Y47)</f>
        <v>1051.231</v>
      </c>
      <c r="X47" s="2775">
        <f>SUM('ПОЛНАЯ СЕБЕСТОИМОСТЬ ВОДА 2023'!L195)</f>
        <v>1051.231</v>
      </c>
      <c r="Y47" s="2775">
        <f>SUM('ПОЛНАЯ СЕБЕСТОИМОСТЬ ВОДА 2023'!M195)</f>
        <v>0</v>
      </c>
      <c r="Z47" s="2833">
        <f>SUM(AA47:AB47)</f>
        <v>917.20600000000002</v>
      </c>
      <c r="AA47" s="2833">
        <v>917.12599999999998</v>
      </c>
      <c r="AB47" s="2833">
        <v>0.08</v>
      </c>
      <c r="AC47" s="2802">
        <f t="shared" ref="AC47:AK53" si="548">SUM(B47+K47+T47)</f>
        <v>3402.2619773607116</v>
      </c>
      <c r="AD47" s="2802">
        <f t="shared" si="548"/>
        <v>3401.9446880252981</v>
      </c>
      <c r="AE47" s="2802">
        <f t="shared" si="548"/>
        <v>0.31728933541304999</v>
      </c>
      <c r="AF47" s="2812">
        <f t="shared" si="548"/>
        <v>2997.8040000000001</v>
      </c>
      <c r="AG47" s="2812">
        <f t="shared" si="548"/>
        <v>2997.8040000000001</v>
      </c>
      <c r="AH47" s="2812">
        <f t="shared" si="548"/>
        <v>0</v>
      </c>
      <c r="AI47" s="2812">
        <f t="shared" si="548"/>
        <v>2793.23</v>
      </c>
      <c r="AJ47" s="2812">
        <f t="shared" si="548"/>
        <v>2793.0240000000003</v>
      </c>
      <c r="AK47" s="2812">
        <f t="shared" si="548"/>
        <v>0.20600000000000002</v>
      </c>
      <c r="AL47" s="2813">
        <f t="shared" ref="AL47:AN62" si="549">SUM(AF47-AC47)</f>
        <v>-404.45797736071154</v>
      </c>
      <c r="AM47" s="2813">
        <f t="shared" si="549"/>
        <v>-404.140688025298</v>
      </c>
      <c r="AN47" s="2813">
        <f t="shared" si="549"/>
        <v>-0.31728933541304999</v>
      </c>
      <c r="AO47" s="2832">
        <f>SUM(AP47:AQ47)</f>
        <v>1134.0873257869039</v>
      </c>
      <c r="AP47" s="2832">
        <f>SUM('ПОЛНАЯ СЕБЕСТОИМОСТЬ ВОДА 2023'!R195)/3</f>
        <v>1133.9815626750994</v>
      </c>
      <c r="AQ47" s="2832">
        <f>SUM('ПОЛНАЯ СЕБЕСТОИМОСТЬ ВОДА 2023'!S195)/3</f>
        <v>0.10576311180435</v>
      </c>
      <c r="AR47" s="2832">
        <f>SUM(AS47:AT47)</f>
        <v>1098.373</v>
      </c>
      <c r="AS47" s="2832">
        <f>SUM('ПОЛНАЯ СЕБЕСТОИМОСТЬ ВОДА 2023'!U195)</f>
        <v>1098.373</v>
      </c>
      <c r="AT47" s="2832">
        <f>SUM('ПОЛНАЯ СЕБЕСТОИМОСТЬ ВОДА 2023'!V195)</f>
        <v>0</v>
      </c>
      <c r="AU47" s="2833">
        <f>SUM(AV47:AW47)</f>
        <v>977.85799999999995</v>
      </c>
      <c r="AV47" s="2833">
        <v>977.45699999999999</v>
      </c>
      <c r="AW47" s="2833">
        <v>0.40100000000000002</v>
      </c>
      <c r="AX47" s="2832">
        <f>SUM(AY47:AZ47)</f>
        <v>1134.0873257869039</v>
      </c>
      <c r="AY47" s="2832">
        <f>SUM(AP47)</f>
        <v>1133.9815626750994</v>
      </c>
      <c r="AZ47" s="2832">
        <f>SUM(AQ47)</f>
        <v>0.10576311180435</v>
      </c>
      <c r="BA47" s="2832">
        <f>SUM(BB47:BC47)</f>
        <v>1287.289</v>
      </c>
      <c r="BB47" s="2832">
        <f>SUM('ПОЛНАЯ СЕБЕСТОИМОСТЬ ВОДА 2023'!X195)</f>
        <v>1287.289</v>
      </c>
      <c r="BC47" s="2832">
        <f>SUM('ПОЛНАЯ СЕБЕСТОИМОСТЬ ВОДА 2023'!Y195)</f>
        <v>0</v>
      </c>
      <c r="BD47" s="2833">
        <f>SUM(BE47:BF47)</f>
        <v>1209.2811199999999</v>
      </c>
      <c r="BE47" s="2833">
        <v>1209.2529999999999</v>
      </c>
      <c r="BF47" s="2833">
        <v>2.8119999999999999E-2</v>
      </c>
      <c r="BG47" s="2832">
        <f>SUM(BH47:BI47)</f>
        <v>1134.0873257869039</v>
      </c>
      <c r="BH47" s="2832">
        <f>SUM(AY47)</f>
        <v>1133.9815626750994</v>
      </c>
      <c r="BI47" s="2832">
        <f>SUM(AZ47)</f>
        <v>0.10576311180435</v>
      </c>
      <c r="BJ47" s="2775">
        <f>SUM(BK47:BL47)</f>
        <v>1010.88</v>
      </c>
      <c r="BK47" s="2775">
        <f>SUM('ПОЛНАЯ СЕБЕСТОИМОСТЬ ВОДА 2023'!AA195)</f>
        <v>1010.88</v>
      </c>
      <c r="BL47" s="2775">
        <f>SUM('ПОЛНАЯ СЕБЕСТОИМОСТЬ ВОДА 2023'!AB195)</f>
        <v>0</v>
      </c>
      <c r="BM47" s="2833">
        <f>SUM(BN47:BO47)</f>
        <v>1087.0079999999998</v>
      </c>
      <c r="BN47" s="2833">
        <v>1087.0079999999998</v>
      </c>
      <c r="BO47" s="2833">
        <v>0</v>
      </c>
      <c r="BP47" s="2802">
        <f t="shared" ref="BP47:BX53" si="550">SUM(AO47+AX47+BG47)</f>
        <v>3402.2619773607116</v>
      </c>
      <c r="BQ47" s="2802">
        <f t="shared" si="550"/>
        <v>3401.9446880252981</v>
      </c>
      <c r="BR47" s="2802">
        <f t="shared" si="550"/>
        <v>0.31728933541304999</v>
      </c>
      <c r="BS47" s="2812">
        <f t="shared" si="550"/>
        <v>3396.5420000000004</v>
      </c>
      <c r="BT47" s="2812">
        <f t="shared" si="550"/>
        <v>3396.5420000000004</v>
      </c>
      <c r="BU47" s="2812">
        <f t="shared" si="550"/>
        <v>0</v>
      </c>
      <c r="BV47" s="2812">
        <f t="shared" si="550"/>
        <v>3274.1471199999996</v>
      </c>
      <c r="BW47" s="2812">
        <f t="shared" si="550"/>
        <v>3273.7179999999998</v>
      </c>
      <c r="BX47" s="2812">
        <f t="shared" si="550"/>
        <v>0.42912</v>
      </c>
      <c r="BY47" s="2813">
        <f t="shared" ref="BY47:CA78" si="551">SUM(BS47-BP47)</f>
        <v>-5.7199773607112547</v>
      </c>
      <c r="BZ47" s="2813">
        <f t="shared" si="551"/>
        <v>-5.4026880252977207</v>
      </c>
      <c r="CA47" s="2813">
        <f t="shared" si="551"/>
        <v>-0.31728933541304999</v>
      </c>
      <c r="CB47" s="2812">
        <f t="shared" ref="CB47:CJ53" si="552">SUM(AC47+BP47)</f>
        <v>6804.5239547214233</v>
      </c>
      <c r="CC47" s="2812">
        <f t="shared" si="552"/>
        <v>6803.8893760505962</v>
      </c>
      <c r="CD47" s="2812">
        <f t="shared" si="552"/>
        <v>0.63457867082609998</v>
      </c>
      <c r="CE47" s="2812">
        <f t="shared" si="552"/>
        <v>6394.3460000000005</v>
      </c>
      <c r="CF47" s="2812">
        <f t="shared" si="552"/>
        <v>6394.3460000000005</v>
      </c>
      <c r="CG47" s="2812">
        <f t="shared" si="552"/>
        <v>0</v>
      </c>
      <c r="CH47" s="2812">
        <f t="shared" si="552"/>
        <v>6067.3771199999992</v>
      </c>
      <c r="CI47" s="2812">
        <f t="shared" si="552"/>
        <v>6066.7420000000002</v>
      </c>
      <c r="CJ47" s="2812">
        <f t="shared" si="552"/>
        <v>0.63512000000000002</v>
      </c>
      <c r="CK47" s="2813">
        <f t="shared" ref="CK47:CM78" si="553">SUM(CE47-CB47)</f>
        <v>-410.17795472142279</v>
      </c>
      <c r="CL47" s="2813">
        <f t="shared" si="553"/>
        <v>-409.54337605059573</v>
      </c>
      <c r="CM47" s="2813">
        <f t="shared" si="553"/>
        <v>-0.63457867082609998</v>
      </c>
      <c r="CN47" s="2832">
        <f>SUM(CO47:CP47)</f>
        <v>1134.0873257869039</v>
      </c>
      <c r="CO47" s="2832">
        <f>SUM('ПОЛНАЯ СЕБЕСТОИМОСТЬ ВОДА 2023'!AP195)/3</f>
        <v>1133.9815626750994</v>
      </c>
      <c r="CP47" s="2832">
        <f>SUM('ПОЛНАЯ СЕБЕСТОИМОСТЬ ВОДА 2023'!AQ195)/3</f>
        <v>0.10576311180435</v>
      </c>
      <c r="CQ47" s="2775">
        <f>SUM(CR47:CS47)</f>
        <v>941.70600000000002</v>
      </c>
      <c r="CR47" s="2775">
        <f>SUM('ПОЛНАЯ СЕБЕСТОИМОСТЬ ВОДА 2023'!AS195)</f>
        <v>941.70600000000002</v>
      </c>
      <c r="CS47" s="2775">
        <f>SUM('ПОЛНАЯ СЕБЕСТОИМОСТЬ ВОДА 2023'!AT195)</f>
        <v>0</v>
      </c>
      <c r="CT47" s="2833">
        <f>SUM(CU47:CV47)</f>
        <v>907.5</v>
      </c>
      <c r="CU47" s="2833">
        <v>907.5</v>
      </c>
      <c r="CV47" s="2833">
        <v>0</v>
      </c>
      <c r="CW47" s="2832">
        <f>SUM(CX47:CY47)</f>
        <v>1134.0873257869039</v>
      </c>
      <c r="CX47" s="2832">
        <f>SUM(CO47)</f>
        <v>1133.9815626750994</v>
      </c>
      <c r="CY47" s="2832">
        <f>SUM(CP47)</f>
        <v>0.10576311180435</v>
      </c>
      <c r="CZ47" s="2775">
        <f>SUM(DA47:DB47)</f>
        <v>0</v>
      </c>
      <c r="DA47" s="2775">
        <f>SUM('ПОЛНАЯ СЕБЕСТОИМОСТЬ ВОДА 2023'!AV195)</f>
        <v>0</v>
      </c>
      <c r="DB47" s="2775">
        <f>SUM('ПОЛНАЯ СЕБЕСТОИМОСТЬ ВОДА 2023'!AW195)</f>
        <v>0</v>
      </c>
      <c r="DC47" s="2833">
        <f>SUM(DD47:DE47)</f>
        <v>1000.4209999999999</v>
      </c>
      <c r="DD47" s="2833">
        <v>1000.4209999999999</v>
      </c>
      <c r="DE47" s="2833">
        <v>0</v>
      </c>
      <c r="DF47" s="2832">
        <f>SUM(DG47:DH47)</f>
        <v>1134.0873257869039</v>
      </c>
      <c r="DG47" s="2832">
        <f>SUM(CX47)</f>
        <v>1133.9815626750994</v>
      </c>
      <c r="DH47" s="2832">
        <f>SUM(CY47)</f>
        <v>0.10576311180435</v>
      </c>
      <c r="DI47" s="2775">
        <f>SUM(DJ47:DK47)</f>
        <v>0</v>
      </c>
      <c r="DJ47" s="2775">
        <f>SUM('ПОЛНАЯ СЕБЕСТОИМОСТЬ ВОДА 2023'!AY195)</f>
        <v>0</v>
      </c>
      <c r="DK47" s="2775">
        <f>SUM('ПОЛНАЯ СЕБЕСТОИМОСТЬ ВОДА 2023'!AZ195)</f>
        <v>0</v>
      </c>
      <c r="DL47" s="2833">
        <f>SUM(DM47:DN47)</f>
        <v>957.09400000000005</v>
      </c>
      <c r="DM47" s="2833">
        <v>957.09400000000005</v>
      </c>
      <c r="DN47" s="2833">
        <v>0</v>
      </c>
      <c r="DO47" s="2802">
        <f t="shared" ref="DO47:DW53" si="554">SUM(CN47+CW47+DF47)</f>
        <v>3402.2619773607116</v>
      </c>
      <c r="DP47" s="2802">
        <f t="shared" si="554"/>
        <v>3401.9446880252981</v>
      </c>
      <c r="DQ47" s="2802">
        <f t="shared" si="554"/>
        <v>0.31728933541304999</v>
      </c>
      <c r="DR47" s="2812">
        <f t="shared" si="554"/>
        <v>941.70600000000002</v>
      </c>
      <c r="DS47" s="2812">
        <f t="shared" si="554"/>
        <v>941.70600000000002</v>
      </c>
      <c r="DT47" s="2812">
        <f t="shared" si="554"/>
        <v>0</v>
      </c>
      <c r="DU47" s="2812">
        <f t="shared" si="554"/>
        <v>2865.0149999999999</v>
      </c>
      <c r="DV47" s="2812">
        <f t="shared" si="554"/>
        <v>2865.0149999999999</v>
      </c>
      <c r="DW47" s="2812">
        <f t="shared" si="554"/>
        <v>0</v>
      </c>
      <c r="DX47" s="2813">
        <f t="shared" ref="DX47:DZ78" si="555">SUM(DR47-DO47)</f>
        <v>-2460.5559773607115</v>
      </c>
      <c r="DY47" s="2813">
        <f t="shared" si="555"/>
        <v>-2460.238688025298</v>
      </c>
      <c r="DZ47" s="2813">
        <f t="shared" si="555"/>
        <v>-0.31728933541304999</v>
      </c>
      <c r="EA47" s="2802">
        <f t="shared" ref="EA47:EI53" si="556">SUM(CB47+DO47)</f>
        <v>10206.785932082135</v>
      </c>
      <c r="EB47" s="2802">
        <f t="shared" si="556"/>
        <v>10205.834064075894</v>
      </c>
      <c r="EC47" s="2802">
        <f t="shared" si="556"/>
        <v>0.95186800623915002</v>
      </c>
      <c r="ED47" s="2812">
        <f t="shared" si="556"/>
        <v>7336.0520000000006</v>
      </c>
      <c r="EE47" s="2812">
        <f t="shared" si="556"/>
        <v>7336.0520000000006</v>
      </c>
      <c r="EF47" s="2812">
        <f t="shared" si="556"/>
        <v>0</v>
      </c>
      <c r="EG47" s="2812">
        <f t="shared" si="556"/>
        <v>8932.3921199999986</v>
      </c>
      <c r="EH47" s="2812">
        <f t="shared" si="556"/>
        <v>8931.7569999999996</v>
      </c>
      <c r="EI47" s="2812">
        <f t="shared" si="556"/>
        <v>0.63512000000000002</v>
      </c>
      <c r="EJ47" s="2813">
        <f t="shared" ref="EJ47:EL78" si="557">SUM(ED47-EA47)</f>
        <v>-2870.7339320821347</v>
      </c>
      <c r="EK47" s="2813">
        <f t="shared" si="557"/>
        <v>-2869.7820640758937</v>
      </c>
      <c r="EL47" s="2813">
        <f t="shared" si="557"/>
        <v>-0.95186800623915002</v>
      </c>
      <c r="EM47" s="2832">
        <f>SUM(EN47:EO47)</f>
        <v>1134.0873257869039</v>
      </c>
      <c r="EN47" s="2832">
        <f>SUM('ПОЛНАЯ СЕБЕСТОИМОСТЬ ВОДА 2023'!BN195)/3</f>
        <v>1133.9815626750994</v>
      </c>
      <c r="EO47" s="2832">
        <f>SUM('ПОЛНАЯ СЕБЕСТОИМОСТЬ ВОДА 2023'!BO195)/3</f>
        <v>0.10576311180435</v>
      </c>
      <c r="EP47" s="2775">
        <f>SUM(EQ47:ER47)</f>
        <v>0</v>
      </c>
      <c r="EQ47" s="2775">
        <f>SUM('ПОЛНАЯ СЕБЕСТОИМОСТЬ ВОДА 2023'!BQ195)</f>
        <v>0</v>
      </c>
      <c r="ER47" s="2775">
        <f>SUM('ПОЛНАЯ СЕБЕСТОИМОСТЬ ВОДА 2023'!BR195)</f>
        <v>0</v>
      </c>
      <c r="ES47" s="2833">
        <f>SUM(ET47:EU47)</f>
        <v>980.15800000000013</v>
      </c>
      <c r="ET47" s="2833">
        <v>980.15800000000013</v>
      </c>
      <c r="EU47" s="2833">
        <v>0</v>
      </c>
      <c r="EV47" s="2832">
        <f>SUM(EW47:EX47)</f>
        <v>1134.0873257869039</v>
      </c>
      <c r="EW47" s="2832">
        <f>SUM(EN47)</f>
        <v>1133.9815626750994</v>
      </c>
      <c r="EX47" s="2832">
        <f>SUM(EO47)</f>
        <v>0.10576311180435</v>
      </c>
      <c r="EY47" s="2775">
        <f>SUM(EZ47:FA47)</f>
        <v>0</v>
      </c>
      <c r="EZ47" s="2775">
        <f>SUM('ПОЛНАЯ СЕБЕСТОИМОСТЬ ВОДА 2023'!BT195)</f>
        <v>0</v>
      </c>
      <c r="FA47" s="2775">
        <f>SUM('ПОЛНАЯ СЕБЕСТОИМОСТЬ ВОДА 2023'!BU195)</f>
        <v>0</v>
      </c>
      <c r="FB47" s="2833">
        <f>SUM(FC47:FD47)</f>
        <v>1053.0535</v>
      </c>
      <c r="FC47" s="2833">
        <v>1053.0535</v>
      </c>
      <c r="FD47" s="2833">
        <v>0</v>
      </c>
      <c r="FE47" s="2832">
        <f>SUM(FF47:FG47)</f>
        <v>1134.0873257869039</v>
      </c>
      <c r="FF47" s="2832">
        <f>SUM(EW47)</f>
        <v>1133.9815626750994</v>
      </c>
      <c r="FG47" s="2832">
        <f>SUM(EX47)</f>
        <v>0.10576311180435</v>
      </c>
      <c r="FH47" s="2775">
        <f>SUM(FI47:FJ47)</f>
        <v>0</v>
      </c>
      <c r="FI47" s="2775">
        <f>SUM('ПОЛНАЯ СЕБЕСТОИМОСТЬ ВОДА 2023'!BW195)</f>
        <v>0</v>
      </c>
      <c r="FJ47" s="2775">
        <f>SUM('ПОЛНАЯ СЕБЕСТОИМОСТЬ ВОДА 2023'!BX195)</f>
        <v>0</v>
      </c>
      <c r="FK47" s="2833">
        <f>SUM(FL47:FM47)</f>
        <v>1025.6570000000002</v>
      </c>
      <c r="FL47" s="2833">
        <v>1025.6570000000002</v>
      </c>
      <c r="FM47" s="2833">
        <v>0</v>
      </c>
      <c r="FN47" s="2802">
        <f t="shared" ref="FN47:FV53" si="558">SUM(EM47+EV47+FE47)</f>
        <v>3402.2619773607116</v>
      </c>
      <c r="FO47" s="2802">
        <f t="shared" si="558"/>
        <v>3401.9446880252981</v>
      </c>
      <c r="FP47" s="2802">
        <f t="shared" si="558"/>
        <v>0.31728933541304999</v>
      </c>
      <c r="FQ47" s="2812">
        <f t="shared" si="558"/>
        <v>0</v>
      </c>
      <c r="FR47" s="2812">
        <f t="shared" si="558"/>
        <v>0</v>
      </c>
      <c r="FS47" s="2812">
        <f t="shared" si="558"/>
        <v>0</v>
      </c>
      <c r="FT47" s="2812">
        <f t="shared" si="558"/>
        <v>3058.8685000000005</v>
      </c>
      <c r="FU47" s="2812">
        <f t="shared" si="558"/>
        <v>3058.8685000000005</v>
      </c>
      <c r="FV47" s="2812">
        <f t="shared" si="558"/>
        <v>0</v>
      </c>
      <c r="FW47" s="2813">
        <f t="shared" ref="FW47:FY78" si="559">SUM(FQ47-FN47)</f>
        <v>-3402.2619773607116</v>
      </c>
      <c r="FX47" s="2813">
        <f t="shared" si="559"/>
        <v>-3401.9446880252981</v>
      </c>
      <c r="FY47" s="2813">
        <f t="shared" si="559"/>
        <v>-0.31728933541304999</v>
      </c>
      <c r="FZ47" s="2802">
        <f t="shared" ref="FZ47:GH53" si="560">SUM(EA47+FN47)</f>
        <v>13609.047909442847</v>
      </c>
      <c r="GA47" s="2802">
        <f t="shared" si="560"/>
        <v>13607.778752101192</v>
      </c>
      <c r="GB47" s="2802">
        <f t="shared" si="560"/>
        <v>1.2691573416522</v>
      </c>
      <c r="GC47" s="2812">
        <f t="shared" si="560"/>
        <v>7336.0520000000006</v>
      </c>
      <c r="GD47" s="2812">
        <f t="shared" si="560"/>
        <v>7336.0520000000006</v>
      </c>
      <c r="GE47" s="2812">
        <f t="shared" si="560"/>
        <v>0</v>
      </c>
      <c r="GF47" s="2812">
        <f t="shared" si="560"/>
        <v>11991.260619999999</v>
      </c>
      <c r="GG47" s="2812">
        <f t="shared" si="560"/>
        <v>11990.6255</v>
      </c>
      <c r="GH47" s="2812">
        <f t="shared" si="560"/>
        <v>0.63512000000000002</v>
      </c>
      <c r="GI47" s="2813">
        <f t="shared" ref="GI47:GK84" si="561">SUM(GC47-FZ47)</f>
        <v>-6272.9959094428459</v>
      </c>
      <c r="GJ47" s="2813">
        <f t="shared" si="561"/>
        <v>-6271.7267521011918</v>
      </c>
      <c r="GK47" s="2813">
        <f t="shared" si="561"/>
        <v>-1.2691573416522</v>
      </c>
      <c r="GL47" s="389"/>
      <c r="GM47" s="3578">
        <f t="shared" ref="GM47:GM79" si="562">SUM(B47+K47+T47+AO47+AX47+BG47+CN47+CW47+DF47+EM47+EV47+FE47)</f>
        <v>13609.04790944285</v>
      </c>
    </row>
    <row r="48" spans="1:195" ht="18.75" x14ac:dyDescent="0.3">
      <c r="A48" s="2831" t="s">
        <v>2</v>
      </c>
      <c r="B48" s="2832">
        <f t="shared" ref="B48:B53" si="563">SUM(C48:D48)</f>
        <v>874.81033333333346</v>
      </c>
      <c r="C48" s="2832">
        <f>SUM('ПОЛНАЯ СЕБЕСТОИМОСТЬ ВОДА 2023'!C196)/3</f>
        <v>874.81033333333346</v>
      </c>
      <c r="D48" s="2832">
        <f>SUM('ПОЛНАЯ СЕБЕСТОИМОСТЬ ВОДА 2023'!D196)/3</f>
        <v>0</v>
      </c>
      <c r="E48" s="2775">
        <f t="shared" ref="E48:E53" si="564">SUM(F48:G48)</f>
        <v>953.20299999999997</v>
      </c>
      <c r="F48" s="2832">
        <f>SUM('ПОЛНАЯ СЕБЕСТОИМОСТЬ ВОДА 2023'!F196)</f>
        <v>953.20299999999997</v>
      </c>
      <c r="G48" s="2775">
        <f>SUM('ПОЛНАЯ СЕБЕСТОИМОСТЬ ВОДА 2023'!G196)</f>
        <v>0</v>
      </c>
      <c r="H48" s="2833">
        <f t="shared" ref="H48:H53" si="565">SUM(I48:J48)</f>
        <v>705.46199999999999</v>
      </c>
      <c r="I48" s="2833">
        <v>705.46199999999999</v>
      </c>
      <c r="J48" s="2833">
        <v>0</v>
      </c>
      <c r="K48" s="2832">
        <f t="shared" ref="K48:K53" si="566">SUM(L48:M48)</f>
        <v>874.81033333333346</v>
      </c>
      <c r="L48" s="2832">
        <f t="shared" ref="L48:L53" si="567">SUM(C48)</f>
        <v>874.81033333333346</v>
      </c>
      <c r="M48" s="2832">
        <f t="shared" ref="M48:M53" si="568">SUM(D48)</f>
        <v>0</v>
      </c>
      <c r="N48" s="2775">
        <f t="shared" ref="N48:N53" si="569">SUM(O48:P48)</f>
        <v>1045.7179999999998</v>
      </c>
      <c r="O48" s="2775">
        <f>SUM('ПОЛНАЯ СЕБЕСТОИМОСТЬ ВОДА 2023'!I196)</f>
        <v>1045.7179999999998</v>
      </c>
      <c r="P48" s="2775">
        <f>SUM('ПОЛНАЯ СЕБЕСТОИМОСТЬ ВОДА 2023'!J196)</f>
        <v>0</v>
      </c>
      <c r="Q48" s="2833">
        <f t="shared" ref="Q48:Q53" si="570">SUM(R48:S48)</f>
        <v>705.30799999999999</v>
      </c>
      <c r="R48" s="2833">
        <v>705.30799999999999</v>
      </c>
      <c r="S48" s="2833">
        <v>0</v>
      </c>
      <c r="T48" s="2832">
        <f t="shared" ref="T48:T53" si="571">SUM(U48:V48)</f>
        <v>874.81033333333346</v>
      </c>
      <c r="U48" s="2832">
        <f t="shared" ref="U48:U53" si="572">SUM(L48)</f>
        <v>874.81033333333346</v>
      </c>
      <c r="V48" s="2832">
        <f t="shared" ref="V48:V53" si="573">SUM(M48)</f>
        <v>0</v>
      </c>
      <c r="W48" s="2775">
        <f t="shared" ref="W48:W53" si="574">SUM(X48:Y48)</f>
        <v>1047.6219999999998</v>
      </c>
      <c r="X48" s="2775">
        <f>SUM('ПОЛНАЯ СЕБЕСТОИМОСТЬ ВОДА 2023'!L196)</f>
        <v>1047.6219999999998</v>
      </c>
      <c r="Y48" s="2775">
        <f>SUM('ПОЛНАЯ СЕБЕСТОИМОСТЬ ВОДА 2023'!M196)</f>
        <v>0</v>
      </c>
      <c r="Z48" s="2833">
        <f t="shared" ref="Z48:Z53" si="575">SUM(AA48:AB48)</f>
        <v>2165.39</v>
      </c>
      <c r="AA48" s="2833">
        <v>2165.39</v>
      </c>
      <c r="AB48" s="2833">
        <v>0</v>
      </c>
      <c r="AC48" s="2802">
        <f t="shared" si="548"/>
        <v>2624.4310000000005</v>
      </c>
      <c r="AD48" s="2802">
        <f t="shared" si="548"/>
        <v>2624.4310000000005</v>
      </c>
      <c r="AE48" s="2802">
        <f t="shared" si="548"/>
        <v>0</v>
      </c>
      <c r="AF48" s="2812">
        <f t="shared" si="548"/>
        <v>3046.5429999999997</v>
      </c>
      <c r="AG48" s="2812">
        <f t="shared" si="548"/>
        <v>3046.5429999999997</v>
      </c>
      <c r="AH48" s="2812">
        <f t="shared" si="548"/>
        <v>0</v>
      </c>
      <c r="AI48" s="2812">
        <f t="shared" si="548"/>
        <v>3576.16</v>
      </c>
      <c r="AJ48" s="2812">
        <f t="shared" si="548"/>
        <v>3576.16</v>
      </c>
      <c r="AK48" s="2812">
        <f t="shared" si="548"/>
        <v>0</v>
      </c>
      <c r="AL48" s="2813">
        <f t="shared" si="549"/>
        <v>422.11199999999917</v>
      </c>
      <c r="AM48" s="2813">
        <f t="shared" si="549"/>
        <v>422.11199999999917</v>
      </c>
      <c r="AN48" s="2813">
        <f t="shared" si="549"/>
        <v>0</v>
      </c>
      <c r="AO48" s="2832">
        <f t="shared" ref="AO48:AO53" si="576">SUM(AP48:AQ48)</f>
        <v>874.81033333333346</v>
      </c>
      <c r="AP48" s="2832">
        <f>SUM('ПОЛНАЯ СЕБЕСТОИМОСТЬ ВОДА 2023'!R196)/3</f>
        <v>874.81033333333346</v>
      </c>
      <c r="AQ48" s="2832">
        <f>SUM('ПОЛНАЯ СЕБЕСТОИМОСТЬ ВОДА 2023'!S196)/3</f>
        <v>0</v>
      </c>
      <c r="AR48" s="2832">
        <f t="shared" ref="AR48:AR53" si="577">SUM(AS48:AT48)</f>
        <v>1068.3579999999999</v>
      </c>
      <c r="AS48" s="2832">
        <f>SUM('ПОЛНАЯ СЕБЕСТОИМОСТЬ ВОДА 2023'!U196)</f>
        <v>1068.3579999999999</v>
      </c>
      <c r="AT48" s="2832">
        <f>SUM('ПОЛНАЯ СЕБЕСТОИМОСТЬ ВОДА 2023'!V196)</f>
        <v>0</v>
      </c>
      <c r="AU48" s="2833">
        <f t="shared" ref="AU48:AU53" si="578">SUM(AV48:AW48)</f>
        <v>1189.4680000000001</v>
      </c>
      <c r="AV48" s="2833">
        <v>1189.4680000000001</v>
      </c>
      <c r="AW48" s="2833">
        <v>0</v>
      </c>
      <c r="AX48" s="2832">
        <f t="shared" ref="AX48:AX53" si="579">SUM(AY48:AZ48)</f>
        <v>874.81033333333346</v>
      </c>
      <c r="AY48" s="2832">
        <f t="shared" ref="AY48:AY53" si="580">SUM(AP48)</f>
        <v>874.81033333333346</v>
      </c>
      <c r="AZ48" s="2832">
        <f t="shared" ref="AZ48:AZ53" si="581">SUM(AQ48)</f>
        <v>0</v>
      </c>
      <c r="BA48" s="2832">
        <f t="shared" ref="BA48:BA53" si="582">SUM(BB48:BC48)</f>
        <v>1145.5339999999999</v>
      </c>
      <c r="BB48" s="2832">
        <f>SUM('ПОЛНАЯ СЕБЕСТОИМОСТЬ ВОДА 2023'!X196)</f>
        <v>1145.5339999999999</v>
      </c>
      <c r="BC48" s="2832">
        <f>SUM('ПОЛНАЯ СЕБЕСТОИМОСТЬ ВОДА 2023'!Y196)</f>
        <v>0</v>
      </c>
      <c r="BD48" s="2833">
        <f t="shared" ref="BD48:BD53" si="583">SUM(BE48:BF48)</f>
        <v>1195.3389999999999</v>
      </c>
      <c r="BE48" s="2833">
        <v>1195.3389999999999</v>
      </c>
      <c r="BF48" s="2833">
        <v>0</v>
      </c>
      <c r="BG48" s="2832">
        <f t="shared" ref="BG48:BG53" si="584">SUM(BH48:BI48)</f>
        <v>874.81033333333346</v>
      </c>
      <c r="BH48" s="2832">
        <f t="shared" ref="BH48:BH53" si="585">SUM(AY48)</f>
        <v>874.81033333333346</v>
      </c>
      <c r="BI48" s="2832">
        <f t="shared" ref="BI48:BI53" si="586">SUM(AZ48)</f>
        <v>0</v>
      </c>
      <c r="BJ48" s="2775">
        <f t="shared" ref="BJ48:BJ53" si="587">SUM(BK48:BL48)</f>
        <v>1145.5999999999999</v>
      </c>
      <c r="BK48" s="2775">
        <f>SUM('ПОЛНАЯ СЕБЕСТОИМОСТЬ ВОДА 2023'!AA196)</f>
        <v>1145.5999999999999</v>
      </c>
      <c r="BL48" s="2775">
        <f>SUM('ПОЛНАЯ СЕБЕСТОИМОСТЬ ВОДА 2023'!AB196)</f>
        <v>0</v>
      </c>
      <c r="BM48" s="2833">
        <f t="shared" ref="BM48:BM53" si="588">SUM(BN48:BO48)</f>
        <v>1185.3030000000001</v>
      </c>
      <c r="BN48" s="2833">
        <v>1185.3030000000001</v>
      </c>
      <c r="BO48" s="2833">
        <v>0</v>
      </c>
      <c r="BP48" s="2802">
        <f t="shared" si="550"/>
        <v>2624.4310000000005</v>
      </c>
      <c r="BQ48" s="2802">
        <f t="shared" si="550"/>
        <v>2624.4310000000005</v>
      </c>
      <c r="BR48" s="2802">
        <f t="shared" si="550"/>
        <v>0</v>
      </c>
      <c r="BS48" s="2812">
        <f t="shared" si="550"/>
        <v>3359.4919999999997</v>
      </c>
      <c r="BT48" s="2812">
        <f t="shared" si="550"/>
        <v>3359.4919999999997</v>
      </c>
      <c r="BU48" s="2812">
        <f t="shared" si="550"/>
        <v>0</v>
      </c>
      <c r="BV48" s="2812">
        <f t="shared" si="550"/>
        <v>3570.1099999999997</v>
      </c>
      <c r="BW48" s="2812">
        <f t="shared" si="550"/>
        <v>3570.1099999999997</v>
      </c>
      <c r="BX48" s="2812">
        <f t="shared" si="550"/>
        <v>0</v>
      </c>
      <c r="BY48" s="2813">
        <f t="shared" si="551"/>
        <v>735.06099999999924</v>
      </c>
      <c r="BZ48" s="2813">
        <f t="shared" si="551"/>
        <v>735.06099999999924</v>
      </c>
      <c r="CA48" s="2813">
        <f t="shared" si="551"/>
        <v>0</v>
      </c>
      <c r="CB48" s="2812">
        <f t="shared" si="552"/>
        <v>5248.862000000001</v>
      </c>
      <c r="CC48" s="2812">
        <f t="shared" si="552"/>
        <v>5248.862000000001</v>
      </c>
      <c r="CD48" s="2812">
        <f t="shared" si="552"/>
        <v>0</v>
      </c>
      <c r="CE48" s="2812">
        <f t="shared" si="552"/>
        <v>6406.0349999999999</v>
      </c>
      <c r="CF48" s="2812">
        <f t="shared" si="552"/>
        <v>6406.0349999999999</v>
      </c>
      <c r="CG48" s="2812">
        <f t="shared" si="552"/>
        <v>0</v>
      </c>
      <c r="CH48" s="2812">
        <f t="shared" si="552"/>
        <v>7146.2699999999995</v>
      </c>
      <c r="CI48" s="2812">
        <f t="shared" si="552"/>
        <v>7146.2699999999995</v>
      </c>
      <c r="CJ48" s="2812">
        <f t="shared" si="552"/>
        <v>0</v>
      </c>
      <c r="CK48" s="2813">
        <f t="shared" si="553"/>
        <v>1157.1729999999989</v>
      </c>
      <c r="CL48" s="2813">
        <f t="shared" si="553"/>
        <v>1157.1729999999989</v>
      </c>
      <c r="CM48" s="2813">
        <f t="shared" si="553"/>
        <v>0</v>
      </c>
      <c r="CN48" s="2832">
        <f t="shared" ref="CN48:CN53" si="589">SUM(CO48:CP48)</f>
        <v>874.81033333333346</v>
      </c>
      <c r="CO48" s="2832">
        <f>SUM('ПОЛНАЯ СЕБЕСТОИМОСТЬ ВОДА 2023'!AP196)/3</f>
        <v>874.81033333333346</v>
      </c>
      <c r="CP48" s="2832">
        <f>SUM('ПОЛНАЯ СЕБЕСТОИМОСТЬ ВОДА 2023'!AQ196)/3</f>
        <v>0</v>
      </c>
      <c r="CQ48" s="2775">
        <f t="shared" ref="CQ48:CQ53" si="590">SUM(CR48:CS48)</f>
        <v>1145.6179999999999</v>
      </c>
      <c r="CR48" s="2775">
        <f>SUM('ПОЛНАЯ СЕБЕСТОИМОСТЬ ВОДА 2023'!AS196)</f>
        <v>1145.6179999999999</v>
      </c>
      <c r="CS48" s="2775">
        <f>SUM('ПОЛНАЯ СЕБЕСТОИМОСТЬ ВОДА 2023'!AT196)</f>
        <v>0</v>
      </c>
      <c r="CT48" s="2833">
        <f t="shared" ref="CT48:CT53" si="591">SUM(CU48:CV48)</f>
        <v>1194.0740000000001</v>
      </c>
      <c r="CU48" s="2833">
        <v>1194.0740000000001</v>
      </c>
      <c r="CV48" s="2833">
        <v>0</v>
      </c>
      <c r="CW48" s="2832">
        <f t="shared" ref="CW48:CW53" si="592">SUM(CX48:CY48)</f>
        <v>874.81033333333346</v>
      </c>
      <c r="CX48" s="2832">
        <f t="shared" ref="CX48:CX53" si="593">SUM(CO48)</f>
        <v>874.81033333333346</v>
      </c>
      <c r="CY48" s="2832">
        <f t="shared" ref="CY48:CY53" si="594">SUM(CP48)</f>
        <v>0</v>
      </c>
      <c r="CZ48" s="2775">
        <f t="shared" ref="CZ48:CZ53" si="595">SUM(DA48:DB48)</f>
        <v>0</v>
      </c>
      <c r="DA48" s="2775">
        <f>SUM('ПОЛНАЯ СЕБЕСТОИМОСТЬ ВОДА 2023'!AV196)</f>
        <v>0</v>
      </c>
      <c r="DB48" s="2775">
        <f>SUM('ПОЛНАЯ СЕБЕСТОИМОСТЬ ВОДА 2023'!AW196)</f>
        <v>0</v>
      </c>
      <c r="DC48" s="2833">
        <f t="shared" ref="DC48:DC53" si="596">SUM(DD48:DE48)</f>
        <v>1208.5520000000001</v>
      </c>
      <c r="DD48" s="2833">
        <v>1208.5520000000001</v>
      </c>
      <c r="DE48" s="2833">
        <v>0</v>
      </c>
      <c r="DF48" s="2832">
        <f t="shared" ref="DF48:DF53" si="597">SUM(DG48:DH48)</f>
        <v>874.81033333333346</v>
      </c>
      <c r="DG48" s="2832">
        <f t="shared" ref="DG48:DG53" si="598">SUM(CX48)</f>
        <v>874.81033333333346</v>
      </c>
      <c r="DH48" s="2832">
        <f t="shared" ref="DH48:DH53" si="599">SUM(CY48)</f>
        <v>0</v>
      </c>
      <c r="DI48" s="2775">
        <f t="shared" ref="DI48:DI53" si="600">SUM(DJ48:DK48)</f>
        <v>0</v>
      </c>
      <c r="DJ48" s="2775">
        <f>SUM('ПОЛНАЯ СЕБЕСТОИМОСТЬ ВОДА 2023'!AY196)</f>
        <v>0</v>
      </c>
      <c r="DK48" s="2775">
        <f>SUM('ПОЛНАЯ СЕБЕСТОИМОСТЬ ВОДА 2023'!AZ196)</f>
        <v>0</v>
      </c>
      <c r="DL48" s="2833">
        <f t="shared" ref="DL48:DL53" si="601">SUM(DM48:DN48)</f>
        <v>1208.002</v>
      </c>
      <c r="DM48" s="2833">
        <v>1208.002</v>
      </c>
      <c r="DN48" s="2833">
        <v>0</v>
      </c>
      <c r="DO48" s="2802">
        <f t="shared" si="554"/>
        <v>2624.4310000000005</v>
      </c>
      <c r="DP48" s="2802">
        <f t="shared" si="554"/>
        <v>2624.4310000000005</v>
      </c>
      <c r="DQ48" s="2802">
        <f t="shared" si="554"/>
        <v>0</v>
      </c>
      <c r="DR48" s="2812">
        <f t="shared" si="554"/>
        <v>1145.6179999999999</v>
      </c>
      <c r="DS48" s="2812">
        <f t="shared" si="554"/>
        <v>1145.6179999999999</v>
      </c>
      <c r="DT48" s="2812">
        <f t="shared" si="554"/>
        <v>0</v>
      </c>
      <c r="DU48" s="2812">
        <f t="shared" si="554"/>
        <v>3610.6280000000002</v>
      </c>
      <c r="DV48" s="2812">
        <f t="shared" si="554"/>
        <v>3610.6280000000002</v>
      </c>
      <c r="DW48" s="2812">
        <f t="shared" si="554"/>
        <v>0</v>
      </c>
      <c r="DX48" s="2813">
        <f t="shared" si="555"/>
        <v>-1478.8130000000006</v>
      </c>
      <c r="DY48" s="2813">
        <f t="shared" si="555"/>
        <v>-1478.8130000000006</v>
      </c>
      <c r="DZ48" s="2813">
        <f t="shared" si="555"/>
        <v>0</v>
      </c>
      <c r="EA48" s="2802">
        <f t="shared" si="556"/>
        <v>7873.2930000000015</v>
      </c>
      <c r="EB48" s="2802">
        <f t="shared" si="556"/>
        <v>7873.2930000000015</v>
      </c>
      <c r="EC48" s="2802">
        <f t="shared" si="556"/>
        <v>0</v>
      </c>
      <c r="ED48" s="2812">
        <f t="shared" si="556"/>
        <v>7551.6530000000002</v>
      </c>
      <c r="EE48" s="2812">
        <f t="shared" si="556"/>
        <v>7551.6530000000002</v>
      </c>
      <c r="EF48" s="2812">
        <f t="shared" si="556"/>
        <v>0</v>
      </c>
      <c r="EG48" s="2812">
        <f t="shared" si="556"/>
        <v>10756.897999999999</v>
      </c>
      <c r="EH48" s="2812">
        <f t="shared" si="556"/>
        <v>10756.897999999999</v>
      </c>
      <c r="EI48" s="2812">
        <f t="shared" si="556"/>
        <v>0</v>
      </c>
      <c r="EJ48" s="2813">
        <f t="shared" si="557"/>
        <v>-321.64000000000124</v>
      </c>
      <c r="EK48" s="2813">
        <f t="shared" si="557"/>
        <v>-321.64000000000124</v>
      </c>
      <c r="EL48" s="2813">
        <f t="shared" si="557"/>
        <v>0</v>
      </c>
      <c r="EM48" s="2832">
        <f t="shared" ref="EM48:EM53" si="602">SUM(EN48:EO48)</f>
        <v>874.81033333333346</v>
      </c>
      <c r="EN48" s="2832">
        <f>SUM('ПОЛНАЯ СЕБЕСТОИМОСТЬ ВОДА 2023'!BN196)/3</f>
        <v>874.81033333333346</v>
      </c>
      <c r="EO48" s="2832">
        <f>SUM('ПОЛНАЯ СЕБЕСТОИМОСТЬ ВОДА 2023'!BO196)/3</f>
        <v>0</v>
      </c>
      <c r="EP48" s="2775">
        <f t="shared" ref="EP48:EP53" si="603">SUM(EQ48:ER48)</f>
        <v>0</v>
      </c>
      <c r="EQ48" s="2775">
        <f>SUM('ПОЛНАЯ СЕБЕСТОИМОСТЬ ВОДА 2023'!BQ196)</f>
        <v>0</v>
      </c>
      <c r="ER48" s="2775">
        <f>SUM('ПОЛНАЯ СЕБЕСТОИМОСТЬ ВОДА 2023'!BR196)</f>
        <v>0</v>
      </c>
      <c r="ES48" s="2833">
        <f t="shared" ref="ES48:ES53" si="604">SUM(ET48:EU48)</f>
        <v>874.06795999999997</v>
      </c>
      <c r="ET48" s="2833">
        <v>874.06795999999997</v>
      </c>
      <c r="EU48" s="2833">
        <v>0</v>
      </c>
      <c r="EV48" s="2832">
        <f t="shared" ref="EV48:EV53" si="605">SUM(EW48:EX48)</f>
        <v>874.81033333333346</v>
      </c>
      <c r="EW48" s="2832">
        <f t="shared" ref="EW48:EW53" si="606">SUM(EN48)</f>
        <v>874.81033333333346</v>
      </c>
      <c r="EX48" s="2832">
        <f t="shared" ref="EX48:EX53" si="607">SUM(EO48)</f>
        <v>0</v>
      </c>
      <c r="EY48" s="2775">
        <f t="shared" ref="EY48:EY53" si="608">SUM(EZ48:FA48)</f>
        <v>0</v>
      </c>
      <c r="EZ48" s="2775">
        <f>SUM('ПОЛНАЯ СЕБЕСТОИМОСТЬ ВОДА 2023'!BT196)</f>
        <v>0</v>
      </c>
      <c r="FA48" s="2775">
        <f>SUM('ПОЛНАЯ СЕБЕСТОИМОСТЬ ВОДА 2023'!BU196)</f>
        <v>0</v>
      </c>
      <c r="FB48" s="2833">
        <f t="shared" ref="FB48:FB53" si="609">SUM(FC48:FD48)</f>
        <v>874.46681999999998</v>
      </c>
      <c r="FC48" s="2833">
        <v>874.46681999999998</v>
      </c>
      <c r="FD48" s="2833">
        <v>0</v>
      </c>
      <c r="FE48" s="2832">
        <f t="shared" ref="FE48:FE53" si="610">SUM(FF48:FG48)</f>
        <v>874.81033333333346</v>
      </c>
      <c r="FF48" s="2832">
        <f t="shared" ref="FF48:FF53" si="611">SUM(EW48)</f>
        <v>874.81033333333346</v>
      </c>
      <c r="FG48" s="2832">
        <f t="shared" ref="FG48:FG53" si="612">SUM(EX48)</f>
        <v>0</v>
      </c>
      <c r="FH48" s="2775">
        <f t="shared" ref="FH48:FH74" si="613">SUM(FI48:FJ48)</f>
        <v>0</v>
      </c>
      <c r="FI48" s="2775">
        <f>SUM('ПОЛНАЯ СЕБЕСТОИМОСТЬ ВОДА 2023'!BW196)</f>
        <v>0</v>
      </c>
      <c r="FJ48" s="2775">
        <f>SUM('ПОЛНАЯ СЕБЕСТОИМОСТЬ ВОДА 2023'!BX196)</f>
        <v>0</v>
      </c>
      <c r="FK48" s="2833">
        <f t="shared" ref="FK48:FK53" si="614">SUM(FL48:FM48)</f>
        <v>994.64936999999986</v>
      </c>
      <c r="FL48" s="2833">
        <v>994.64936999999986</v>
      </c>
      <c r="FM48" s="2833">
        <v>0</v>
      </c>
      <c r="FN48" s="2802">
        <f t="shared" si="558"/>
        <v>2624.4310000000005</v>
      </c>
      <c r="FO48" s="2802">
        <f t="shared" si="558"/>
        <v>2624.4310000000005</v>
      </c>
      <c r="FP48" s="2802">
        <f t="shared" si="558"/>
        <v>0</v>
      </c>
      <c r="FQ48" s="2812">
        <f t="shared" si="558"/>
        <v>0</v>
      </c>
      <c r="FR48" s="2812">
        <f t="shared" si="558"/>
        <v>0</v>
      </c>
      <c r="FS48" s="2812">
        <f t="shared" si="558"/>
        <v>0</v>
      </c>
      <c r="FT48" s="2812">
        <f t="shared" si="558"/>
        <v>2743.18415</v>
      </c>
      <c r="FU48" s="2812">
        <f t="shared" si="558"/>
        <v>2743.18415</v>
      </c>
      <c r="FV48" s="2812">
        <f t="shared" si="558"/>
        <v>0</v>
      </c>
      <c r="FW48" s="2813">
        <f t="shared" si="559"/>
        <v>-2624.4310000000005</v>
      </c>
      <c r="FX48" s="2813">
        <f t="shared" si="559"/>
        <v>-2624.4310000000005</v>
      </c>
      <c r="FY48" s="2813">
        <f t="shared" si="559"/>
        <v>0</v>
      </c>
      <c r="FZ48" s="2802">
        <f t="shared" si="560"/>
        <v>10497.724000000002</v>
      </c>
      <c r="GA48" s="2802">
        <f t="shared" si="560"/>
        <v>10497.724000000002</v>
      </c>
      <c r="GB48" s="2802">
        <f t="shared" si="560"/>
        <v>0</v>
      </c>
      <c r="GC48" s="2812">
        <f t="shared" si="560"/>
        <v>7551.6530000000002</v>
      </c>
      <c r="GD48" s="2812">
        <f t="shared" si="560"/>
        <v>7551.6530000000002</v>
      </c>
      <c r="GE48" s="2812">
        <f t="shared" si="560"/>
        <v>0</v>
      </c>
      <c r="GF48" s="2812">
        <f t="shared" si="560"/>
        <v>13500.082149999998</v>
      </c>
      <c r="GG48" s="2812">
        <f t="shared" si="560"/>
        <v>13500.082149999998</v>
      </c>
      <c r="GH48" s="2812">
        <f t="shared" si="560"/>
        <v>0</v>
      </c>
      <c r="GI48" s="2813">
        <f t="shared" si="561"/>
        <v>-2946.0710000000017</v>
      </c>
      <c r="GJ48" s="2813">
        <f t="shared" si="561"/>
        <v>-2946.0710000000017</v>
      </c>
      <c r="GK48" s="2813">
        <f t="shared" si="561"/>
        <v>0</v>
      </c>
      <c r="GL48" s="389"/>
      <c r="GM48" s="3578">
        <f t="shared" si="562"/>
        <v>10497.724000000002</v>
      </c>
    </row>
    <row r="49" spans="1:195" ht="18.75" x14ac:dyDescent="0.3">
      <c r="A49" s="2777" t="s">
        <v>3692</v>
      </c>
      <c r="B49" s="2832">
        <f t="shared" si="563"/>
        <v>0</v>
      </c>
      <c r="C49" s="2832">
        <f>SUM('ПОЛНАЯ СЕБЕСТОИМОСТЬ ВОДА 2023'!C197)/3</f>
        <v>0</v>
      </c>
      <c r="D49" s="2832">
        <f>SUM('ПОЛНАЯ СЕБЕСТОИМОСТЬ ВОДА 2023'!D197)/3</f>
        <v>0</v>
      </c>
      <c r="E49" s="2775">
        <f t="shared" si="564"/>
        <v>177.15300000000002</v>
      </c>
      <c r="F49" s="2832">
        <f>SUM('ПОЛНАЯ СЕБЕСТОИМОСТЬ ВОДА 2023'!F197)</f>
        <v>177.15300000000002</v>
      </c>
      <c r="G49" s="2775">
        <f>SUM('ПОЛНАЯ СЕБЕСТОИМОСТЬ ВОДА 2023'!G197)</f>
        <v>0</v>
      </c>
      <c r="H49" s="2833">
        <f t="shared" si="565"/>
        <v>0</v>
      </c>
      <c r="I49" s="2833">
        <v>0</v>
      </c>
      <c r="J49" s="2833">
        <v>0</v>
      </c>
      <c r="K49" s="2832">
        <f t="shared" si="566"/>
        <v>0</v>
      </c>
      <c r="L49" s="2832">
        <f t="shared" si="567"/>
        <v>0</v>
      </c>
      <c r="M49" s="2832">
        <f t="shared" si="568"/>
        <v>0</v>
      </c>
      <c r="N49" s="2775">
        <f t="shared" si="569"/>
        <v>84</v>
      </c>
      <c r="O49" s="2775">
        <f>SUM('ПОЛНАЯ СЕБЕСТОИМОСТЬ ВОДА 2023'!I197)</f>
        <v>84</v>
      </c>
      <c r="P49" s="2775">
        <f>SUM('ПОЛНАЯ СЕБЕСТОИМОСТЬ ВОДА 2023'!J197)</f>
        <v>0</v>
      </c>
      <c r="Q49" s="2833">
        <f t="shared" si="570"/>
        <v>0</v>
      </c>
      <c r="R49" s="2833">
        <v>0</v>
      </c>
      <c r="S49" s="2833">
        <v>0</v>
      </c>
      <c r="T49" s="2832">
        <f t="shared" si="571"/>
        <v>0</v>
      </c>
      <c r="U49" s="2832">
        <f t="shared" si="572"/>
        <v>0</v>
      </c>
      <c r="V49" s="2832">
        <f t="shared" si="573"/>
        <v>0</v>
      </c>
      <c r="W49" s="2775">
        <f t="shared" si="574"/>
        <v>47.198999999999998</v>
      </c>
      <c r="X49" s="2775">
        <f>SUM('ПОЛНАЯ СЕБЕСТОИМОСТЬ ВОДА 2023'!L197)</f>
        <v>47.198999999999998</v>
      </c>
      <c r="Y49" s="2775">
        <f>SUM('ПОЛНАЯ СЕБЕСТОИМОСТЬ ВОДА 2023'!M197)</f>
        <v>0</v>
      </c>
      <c r="Z49" s="2833">
        <f t="shared" si="575"/>
        <v>0</v>
      </c>
      <c r="AA49" s="2833">
        <v>0</v>
      </c>
      <c r="AB49" s="2833">
        <v>0</v>
      </c>
      <c r="AC49" s="2802">
        <f t="shared" si="548"/>
        <v>0</v>
      </c>
      <c r="AD49" s="2802">
        <f t="shared" si="548"/>
        <v>0</v>
      </c>
      <c r="AE49" s="2802">
        <f t="shared" si="548"/>
        <v>0</v>
      </c>
      <c r="AF49" s="2812">
        <f t="shared" si="548"/>
        <v>308.35200000000003</v>
      </c>
      <c r="AG49" s="2812">
        <f t="shared" si="548"/>
        <v>308.35200000000003</v>
      </c>
      <c r="AH49" s="2812">
        <f t="shared" si="548"/>
        <v>0</v>
      </c>
      <c r="AI49" s="2812">
        <f t="shared" si="548"/>
        <v>0</v>
      </c>
      <c r="AJ49" s="2812">
        <f t="shared" si="548"/>
        <v>0</v>
      </c>
      <c r="AK49" s="2812">
        <f t="shared" si="548"/>
        <v>0</v>
      </c>
      <c r="AL49" s="2813">
        <f t="shared" si="549"/>
        <v>308.35200000000003</v>
      </c>
      <c r="AM49" s="2813">
        <f t="shared" si="549"/>
        <v>308.35200000000003</v>
      </c>
      <c r="AN49" s="2813">
        <f t="shared" si="549"/>
        <v>0</v>
      </c>
      <c r="AO49" s="2832">
        <f t="shared" si="576"/>
        <v>0</v>
      </c>
      <c r="AP49" s="2832">
        <f>SUM('ПОЛНАЯ СЕБЕСТОИМОСТЬ ВОДА 2023'!R197)/3</f>
        <v>0</v>
      </c>
      <c r="AQ49" s="2832">
        <f>SUM('ПОЛНАЯ СЕБЕСТОИМОСТЬ ВОДА 2023'!S197)/3</f>
        <v>0</v>
      </c>
      <c r="AR49" s="2832">
        <f t="shared" si="577"/>
        <v>40.436</v>
      </c>
      <c r="AS49" s="2832">
        <f>SUM('ПОЛНАЯ СЕБЕСТОИМОСТЬ ВОДА 2023'!U197)</f>
        <v>40.436</v>
      </c>
      <c r="AT49" s="2832">
        <f>SUM('ПОЛНАЯ СЕБЕСТОИМОСТЬ ВОДА 2023'!V197)</f>
        <v>0</v>
      </c>
      <c r="AU49" s="2833">
        <f t="shared" si="578"/>
        <v>0</v>
      </c>
      <c r="AV49" s="2833">
        <v>0</v>
      </c>
      <c r="AW49" s="2833">
        <v>0</v>
      </c>
      <c r="AX49" s="2832">
        <f t="shared" si="579"/>
        <v>0</v>
      </c>
      <c r="AY49" s="2832">
        <f t="shared" si="580"/>
        <v>0</v>
      </c>
      <c r="AZ49" s="2832">
        <f t="shared" si="581"/>
        <v>0</v>
      </c>
      <c r="BA49" s="2832">
        <f t="shared" si="582"/>
        <v>115.666</v>
      </c>
      <c r="BB49" s="2832">
        <f>SUM('ПОЛНАЯ СЕБЕСТОИМОСТЬ ВОДА 2023'!X197)</f>
        <v>115.666</v>
      </c>
      <c r="BC49" s="2832">
        <f>SUM('ПОЛНАЯ СЕБЕСТОИМОСТЬ ВОДА 2023'!Y197)</f>
        <v>0</v>
      </c>
      <c r="BD49" s="2833">
        <f t="shared" si="583"/>
        <v>389.58699999999999</v>
      </c>
      <c r="BE49" s="2833">
        <v>389.58699999999999</v>
      </c>
      <c r="BF49" s="2833">
        <v>0</v>
      </c>
      <c r="BG49" s="2832">
        <f t="shared" si="584"/>
        <v>0</v>
      </c>
      <c r="BH49" s="2832">
        <f t="shared" si="585"/>
        <v>0</v>
      </c>
      <c r="BI49" s="2832">
        <f t="shared" si="586"/>
        <v>0</v>
      </c>
      <c r="BJ49" s="2775">
        <f t="shared" si="587"/>
        <v>219.64999999999998</v>
      </c>
      <c r="BK49" s="2775">
        <f>SUM('ПОЛНАЯ СЕБЕСТОИМОСТЬ ВОДА 2023'!AA197)</f>
        <v>219.64999999999998</v>
      </c>
      <c r="BL49" s="2775">
        <f>SUM('ПОЛНАЯ СЕБЕСТОИМОСТЬ ВОДА 2023'!AB197)</f>
        <v>0</v>
      </c>
      <c r="BM49" s="2833">
        <f t="shared" si="588"/>
        <v>119.239</v>
      </c>
      <c r="BN49" s="2833">
        <v>119.239</v>
      </c>
      <c r="BO49" s="2833">
        <v>0</v>
      </c>
      <c r="BP49" s="2802">
        <f t="shared" si="550"/>
        <v>0</v>
      </c>
      <c r="BQ49" s="2802">
        <f t="shared" si="550"/>
        <v>0</v>
      </c>
      <c r="BR49" s="2802">
        <f t="shared" si="550"/>
        <v>0</v>
      </c>
      <c r="BS49" s="2812">
        <f t="shared" si="550"/>
        <v>375.75199999999995</v>
      </c>
      <c r="BT49" s="2812">
        <f t="shared" si="550"/>
        <v>375.75199999999995</v>
      </c>
      <c r="BU49" s="2812">
        <f t="shared" si="550"/>
        <v>0</v>
      </c>
      <c r="BV49" s="2812">
        <f t="shared" si="550"/>
        <v>508.82600000000002</v>
      </c>
      <c r="BW49" s="2812">
        <f t="shared" si="550"/>
        <v>508.82600000000002</v>
      </c>
      <c r="BX49" s="2812">
        <f t="shared" si="550"/>
        <v>0</v>
      </c>
      <c r="BY49" s="2813">
        <f t="shared" si="551"/>
        <v>375.75199999999995</v>
      </c>
      <c r="BZ49" s="2813">
        <f t="shared" si="551"/>
        <v>375.75199999999995</v>
      </c>
      <c r="CA49" s="2813">
        <f t="shared" si="551"/>
        <v>0</v>
      </c>
      <c r="CB49" s="2812">
        <f t="shared" si="552"/>
        <v>0</v>
      </c>
      <c r="CC49" s="2812">
        <f t="shared" si="552"/>
        <v>0</v>
      </c>
      <c r="CD49" s="2812">
        <f t="shared" si="552"/>
        <v>0</v>
      </c>
      <c r="CE49" s="2812">
        <f t="shared" si="552"/>
        <v>684.10400000000004</v>
      </c>
      <c r="CF49" s="2812">
        <f t="shared" si="552"/>
        <v>684.10400000000004</v>
      </c>
      <c r="CG49" s="2812">
        <f t="shared" si="552"/>
        <v>0</v>
      </c>
      <c r="CH49" s="2812">
        <f t="shared" si="552"/>
        <v>508.82600000000002</v>
      </c>
      <c r="CI49" s="2812">
        <f t="shared" si="552"/>
        <v>508.82600000000002</v>
      </c>
      <c r="CJ49" s="2812">
        <f t="shared" si="552"/>
        <v>0</v>
      </c>
      <c r="CK49" s="2813">
        <f t="shared" si="553"/>
        <v>684.10400000000004</v>
      </c>
      <c r="CL49" s="2813">
        <f t="shared" si="553"/>
        <v>684.10400000000004</v>
      </c>
      <c r="CM49" s="2813">
        <f t="shared" si="553"/>
        <v>0</v>
      </c>
      <c r="CN49" s="2832">
        <f t="shared" si="589"/>
        <v>0</v>
      </c>
      <c r="CO49" s="2832">
        <f>SUM('ПОЛНАЯ СЕБЕСТОИМОСТЬ ВОДА 2023'!AP197)/3</f>
        <v>0</v>
      </c>
      <c r="CP49" s="2832">
        <f>SUM('ПОЛНАЯ СЕБЕСТОИМОСТЬ ВОДА 2023'!AQ197)/3</f>
        <v>0</v>
      </c>
      <c r="CQ49" s="2775">
        <f t="shared" si="590"/>
        <v>4.4989999999999997</v>
      </c>
      <c r="CR49" s="2775">
        <f>SUM('ПОЛНАЯ СЕБЕСТОИМОСТЬ ВОДА 2023'!AS197)</f>
        <v>4.4989999999999997</v>
      </c>
      <c r="CS49" s="2775">
        <f>SUM('ПОЛНАЯ СЕБЕСТОИМОСТЬ ВОДА 2023'!AT197)</f>
        <v>0</v>
      </c>
      <c r="CT49" s="2833">
        <f t="shared" si="591"/>
        <v>201.93600000000001</v>
      </c>
      <c r="CU49" s="2833">
        <v>201.93600000000001</v>
      </c>
      <c r="CV49" s="2833">
        <v>0</v>
      </c>
      <c r="CW49" s="2832">
        <f t="shared" si="592"/>
        <v>0</v>
      </c>
      <c r="CX49" s="2832">
        <f t="shared" si="593"/>
        <v>0</v>
      </c>
      <c r="CY49" s="2832">
        <f t="shared" si="594"/>
        <v>0</v>
      </c>
      <c r="CZ49" s="2775">
        <f t="shared" si="595"/>
        <v>0</v>
      </c>
      <c r="DA49" s="2775">
        <f>SUM('ПОЛНАЯ СЕБЕСТОИМОСТЬ ВОДА 2023'!AV197)</f>
        <v>0</v>
      </c>
      <c r="DB49" s="2775">
        <f>SUM('ПОЛНАЯ СЕБЕСТОИМОСТЬ ВОДА 2023'!AW197)</f>
        <v>0</v>
      </c>
      <c r="DC49" s="2833">
        <f t="shared" si="596"/>
        <v>0</v>
      </c>
      <c r="DD49" s="2833">
        <v>0</v>
      </c>
      <c r="DE49" s="2833">
        <v>0</v>
      </c>
      <c r="DF49" s="2832">
        <f t="shared" si="597"/>
        <v>0</v>
      </c>
      <c r="DG49" s="2832">
        <f t="shared" si="598"/>
        <v>0</v>
      </c>
      <c r="DH49" s="2832">
        <f t="shared" si="599"/>
        <v>0</v>
      </c>
      <c r="DI49" s="2775">
        <f t="shared" si="600"/>
        <v>0</v>
      </c>
      <c r="DJ49" s="2775">
        <f>SUM('ПОЛНАЯ СЕБЕСТОИМОСТЬ ВОДА 2023'!AY197)</f>
        <v>0</v>
      </c>
      <c r="DK49" s="2775">
        <f>SUM('ПОЛНАЯ СЕБЕСТОИМОСТЬ ВОДА 2023'!AZ197)</f>
        <v>0</v>
      </c>
      <c r="DL49" s="2833">
        <f t="shared" si="601"/>
        <v>35.817</v>
      </c>
      <c r="DM49" s="2833">
        <v>35.817</v>
      </c>
      <c r="DN49" s="2833">
        <v>0</v>
      </c>
      <c r="DO49" s="2802">
        <f t="shared" si="554"/>
        <v>0</v>
      </c>
      <c r="DP49" s="2802">
        <f t="shared" si="554"/>
        <v>0</v>
      </c>
      <c r="DQ49" s="2802">
        <f t="shared" si="554"/>
        <v>0</v>
      </c>
      <c r="DR49" s="2812">
        <f t="shared" si="554"/>
        <v>4.4989999999999997</v>
      </c>
      <c r="DS49" s="2812">
        <f t="shared" si="554"/>
        <v>4.4989999999999997</v>
      </c>
      <c r="DT49" s="2812">
        <f t="shared" si="554"/>
        <v>0</v>
      </c>
      <c r="DU49" s="2812">
        <f t="shared" si="554"/>
        <v>237.75300000000001</v>
      </c>
      <c r="DV49" s="2812">
        <f t="shared" si="554"/>
        <v>237.75300000000001</v>
      </c>
      <c r="DW49" s="2812">
        <f t="shared" si="554"/>
        <v>0</v>
      </c>
      <c r="DX49" s="2813">
        <f t="shared" si="555"/>
        <v>4.4989999999999997</v>
      </c>
      <c r="DY49" s="2813">
        <f t="shared" si="555"/>
        <v>4.4989999999999997</v>
      </c>
      <c r="DZ49" s="2813">
        <f t="shared" si="555"/>
        <v>0</v>
      </c>
      <c r="EA49" s="2802">
        <f t="shared" si="556"/>
        <v>0</v>
      </c>
      <c r="EB49" s="2802">
        <f t="shared" si="556"/>
        <v>0</v>
      </c>
      <c r="EC49" s="2802">
        <f t="shared" si="556"/>
        <v>0</v>
      </c>
      <c r="ED49" s="2812">
        <f t="shared" si="556"/>
        <v>688.60300000000007</v>
      </c>
      <c r="EE49" s="2812">
        <f t="shared" si="556"/>
        <v>688.60300000000007</v>
      </c>
      <c r="EF49" s="2812">
        <f t="shared" si="556"/>
        <v>0</v>
      </c>
      <c r="EG49" s="2812">
        <f t="shared" si="556"/>
        <v>746.57900000000006</v>
      </c>
      <c r="EH49" s="2812">
        <f t="shared" si="556"/>
        <v>746.57900000000006</v>
      </c>
      <c r="EI49" s="2812">
        <f t="shared" si="556"/>
        <v>0</v>
      </c>
      <c r="EJ49" s="2813">
        <f t="shared" si="557"/>
        <v>688.60300000000007</v>
      </c>
      <c r="EK49" s="2813">
        <f t="shared" si="557"/>
        <v>688.60300000000007</v>
      </c>
      <c r="EL49" s="2813">
        <f t="shared" si="557"/>
        <v>0</v>
      </c>
      <c r="EM49" s="2832">
        <f t="shared" si="602"/>
        <v>0</v>
      </c>
      <c r="EN49" s="2832">
        <f>SUM('ПОЛНАЯ СЕБЕСТОИМОСТЬ ВОДА 2023'!BN197)/3</f>
        <v>0</v>
      </c>
      <c r="EO49" s="2832">
        <f>SUM('ПОЛНАЯ СЕБЕСТОИМОСТЬ ВОДА 2023'!BO197)/3</f>
        <v>0</v>
      </c>
      <c r="EP49" s="2775">
        <f t="shared" si="603"/>
        <v>0</v>
      </c>
      <c r="EQ49" s="2775">
        <f>SUM('ПОЛНАЯ СЕБЕСТОИМОСТЬ ВОДА 2023'!BQ197)</f>
        <v>0</v>
      </c>
      <c r="ER49" s="2775">
        <f>SUM('ПОЛНАЯ СЕБЕСТОИМОСТЬ ВОДА 2023'!BR197)</f>
        <v>0</v>
      </c>
      <c r="ES49" s="2833">
        <f t="shared" si="604"/>
        <v>224.25299999999999</v>
      </c>
      <c r="ET49" s="2833">
        <v>224.25299999999999</v>
      </c>
      <c r="EU49" s="2833">
        <v>0</v>
      </c>
      <c r="EV49" s="2832">
        <f t="shared" si="605"/>
        <v>0</v>
      </c>
      <c r="EW49" s="2832">
        <f t="shared" si="606"/>
        <v>0</v>
      </c>
      <c r="EX49" s="2832">
        <f t="shared" si="607"/>
        <v>0</v>
      </c>
      <c r="EY49" s="2775">
        <f t="shared" si="608"/>
        <v>0</v>
      </c>
      <c r="EZ49" s="2775">
        <f>SUM('ПОЛНАЯ СЕБЕСТОИМОСТЬ ВОДА 2023'!BT197)</f>
        <v>0</v>
      </c>
      <c r="FA49" s="2775">
        <f>SUM('ПОЛНАЯ СЕБЕСТОИМОСТЬ ВОДА 2023'!BU197)</f>
        <v>0</v>
      </c>
      <c r="FB49" s="2833">
        <f t="shared" si="609"/>
        <v>42.19</v>
      </c>
      <c r="FC49" s="2833">
        <v>42.19</v>
      </c>
      <c r="FD49" s="2833">
        <v>0</v>
      </c>
      <c r="FE49" s="2832">
        <f t="shared" si="610"/>
        <v>0</v>
      </c>
      <c r="FF49" s="2832">
        <f t="shared" si="611"/>
        <v>0</v>
      </c>
      <c r="FG49" s="2832">
        <f t="shared" si="612"/>
        <v>0</v>
      </c>
      <c r="FH49" s="2775">
        <f t="shared" si="613"/>
        <v>0</v>
      </c>
      <c r="FI49" s="2775">
        <f>SUM('ПОЛНАЯ СЕБЕСТОИМОСТЬ ВОДА 2023'!BW197)</f>
        <v>0</v>
      </c>
      <c r="FJ49" s="2775">
        <f>SUM('ПОЛНАЯ СЕБЕСТОИМОСТЬ ВОДА 2023'!BX197)</f>
        <v>0</v>
      </c>
      <c r="FK49" s="2833">
        <f t="shared" si="614"/>
        <v>71.064999999999998</v>
      </c>
      <c r="FL49" s="2833">
        <v>71.064999999999998</v>
      </c>
      <c r="FM49" s="2833">
        <v>0</v>
      </c>
      <c r="FN49" s="2802">
        <f t="shared" si="558"/>
        <v>0</v>
      </c>
      <c r="FO49" s="2802">
        <f t="shared" si="558"/>
        <v>0</v>
      </c>
      <c r="FP49" s="2802">
        <f t="shared" si="558"/>
        <v>0</v>
      </c>
      <c r="FQ49" s="2812">
        <f t="shared" si="558"/>
        <v>0</v>
      </c>
      <c r="FR49" s="2812">
        <f t="shared" si="558"/>
        <v>0</v>
      </c>
      <c r="FS49" s="2812">
        <f t="shared" si="558"/>
        <v>0</v>
      </c>
      <c r="FT49" s="2812">
        <f t="shared" si="558"/>
        <v>337.50799999999998</v>
      </c>
      <c r="FU49" s="2812">
        <f t="shared" si="558"/>
        <v>337.50799999999998</v>
      </c>
      <c r="FV49" s="2812">
        <f t="shared" si="558"/>
        <v>0</v>
      </c>
      <c r="FW49" s="2813">
        <f t="shared" si="559"/>
        <v>0</v>
      </c>
      <c r="FX49" s="2813">
        <f t="shared" si="559"/>
        <v>0</v>
      </c>
      <c r="FY49" s="2813">
        <f t="shared" si="559"/>
        <v>0</v>
      </c>
      <c r="FZ49" s="2802">
        <f t="shared" si="560"/>
        <v>0</v>
      </c>
      <c r="GA49" s="2802">
        <f t="shared" si="560"/>
        <v>0</v>
      </c>
      <c r="GB49" s="2802">
        <f t="shared" si="560"/>
        <v>0</v>
      </c>
      <c r="GC49" s="2812">
        <f t="shared" si="560"/>
        <v>688.60300000000007</v>
      </c>
      <c r="GD49" s="2812">
        <f t="shared" si="560"/>
        <v>688.60300000000007</v>
      </c>
      <c r="GE49" s="2812">
        <f t="shared" si="560"/>
        <v>0</v>
      </c>
      <c r="GF49" s="2812">
        <f t="shared" si="560"/>
        <v>1084.087</v>
      </c>
      <c r="GG49" s="2812">
        <f t="shared" si="560"/>
        <v>1084.087</v>
      </c>
      <c r="GH49" s="2812">
        <f t="shared" si="560"/>
        <v>0</v>
      </c>
      <c r="GI49" s="2813">
        <f t="shared" si="561"/>
        <v>688.60300000000007</v>
      </c>
      <c r="GJ49" s="2813">
        <f t="shared" si="561"/>
        <v>688.60300000000007</v>
      </c>
      <c r="GK49" s="2813">
        <f t="shared" si="561"/>
        <v>0</v>
      </c>
      <c r="GL49" s="389"/>
      <c r="GM49" s="3578">
        <f t="shared" si="562"/>
        <v>0</v>
      </c>
    </row>
    <row r="50" spans="1:195" ht="18.75" x14ac:dyDescent="0.3">
      <c r="A50" s="2831" t="s">
        <v>3</v>
      </c>
      <c r="B50" s="2832">
        <f t="shared" si="563"/>
        <v>174.02828757888858</v>
      </c>
      <c r="C50" s="2832">
        <f>SUM('ПОЛНАЯ СЕБЕСТОИМОСТЬ ВОДА 2023'!C198)/3</f>
        <v>174.02828757888858</v>
      </c>
      <c r="D50" s="2832">
        <f>SUM('ПОЛНАЯ СЕБЕСТОИМОСТЬ ВОДА 2023'!D198)/3</f>
        <v>0</v>
      </c>
      <c r="E50" s="2775">
        <f t="shared" si="564"/>
        <v>1556.011</v>
      </c>
      <c r="F50" s="2832">
        <f>SUM('ПОЛНАЯ СЕБЕСТОИМОСТЬ ВОДА 2023'!F198)</f>
        <v>1556.011</v>
      </c>
      <c r="G50" s="2775">
        <f>SUM('ПОЛНАЯ СЕБЕСТОИМОСТЬ ВОДА 2023'!G198)</f>
        <v>0</v>
      </c>
      <c r="H50" s="2833">
        <f t="shared" si="565"/>
        <v>314.87387999999999</v>
      </c>
      <c r="I50" s="2833">
        <v>314.87387999999999</v>
      </c>
      <c r="J50" s="2833">
        <v>0</v>
      </c>
      <c r="K50" s="2832">
        <f t="shared" si="566"/>
        <v>174.02828757888858</v>
      </c>
      <c r="L50" s="2832">
        <f t="shared" si="567"/>
        <v>174.02828757888858</v>
      </c>
      <c r="M50" s="2832">
        <f t="shared" si="568"/>
        <v>0</v>
      </c>
      <c r="N50" s="2775">
        <f t="shared" si="569"/>
        <v>708.28800000000012</v>
      </c>
      <c r="O50" s="2775">
        <f>SUM('ПОЛНАЯ СЕБЕСТОИМОСТЬ ВОДА 2023'!I198)</f>
        <v>708.28800000000012</v>
      </c>
      <c r="P50" s="2775">
        <f>SUM('ПОЛНАЯ СЕБЕСТОИМОСТЬ ВОДА 2023'!J198)</f>
        <v>0</v>
      </c>
      <c r="Q50" s="2833">
        <f t="shared" si="570"/>
        <v>210.45999999999998</v>
      </c>
      <c r="R50" s="2833">
        <v>210.45999999999998</v>
      </c>
      <c r="S50" s="2833">
        <v>0</v>
      </c>
      <c r="T50" s="2832">
        <f t="shared" si="571"/>
        <v>174.02828757888858</v>
      </c>
      <c r="U50" s="2832">
        <f t="shared" si="572"/>
        <v>174.02828757888858</v>
      </c>
      <c r="V50" s="2832">
        <f t="shared" si="573"/>
        <v>0</v>
      </c>
      <c r="W50" s="2775">
        <f t="shared" si="574"/>
        <v>989.44100000000003</v>
      </c>
      <c r="X50" s="2775">
        <f>SUM('ПОЛНАЯ СЕБЕСТОИМОСТЬ ВОДА 2023'!L198)</f>
        <v>989.44100000000003</v>
      </c>
      <c r="Y50" s="2775">
        <f>SUM('ПОЛНАЯ СЕБЕСТОИМОСТЬ ВОДА 2023'!M198)</f>
        <v>0</v>
      </c>
      <c r="Z50" s="2833">
        <f t="shared" si="575"/>
        <v>883.27399999999977</v>
      </c>
      <c r="AA50" s="2833">
        <v>883.27399999999977</v>
      </c>
      <c r="AB50" s="2833">
        <v>0</v>
      </c>
      <c r="AC50" s="2802">
        <f t="shared" si="548"/>
        <v>522.08486273666574</v>
      </c>
      <c r="AD50" s="2802">
        <f t="shared" si="548"/>
        <v>522.08486273666574</v>
      </c>
      <c r="AE50" s="2802">
        <f t="shared" si="548"/>
        <v>0</v>
      </c>
      <c r="AF50" s="2812">
        <f t="shared" si="548"/>
        <v>3253.74</v>
      </c>
      <c r="AG50" s="2812">
        <f t="shared" si="548"/>
        <v>3253.74</v>
      </c>
      <c r="AH50" s="2812">
        <f t="shared" si="548"/>
        <v>0</v>
      </c>
      <c r="AI50" s="2812">
        <f t="shared" si="548"/>
        <v>1408.6078799999996</v>
      </c>
      <c r="AJ50" s="2812">
        <f t="shared" si="548"/>
        <v>1408.6078799999996</v>
      </c>
      <c r="AK50" s="2812">
        <f t="shared" si="548"/>
        <v>0</v>
      </c>
      <c r="AL50" s="2813">
        <f t="shared" si="549"/>
        <v>2731.6551372633339</v>
      </c>
      <c r="AM50" s="2813">
        <f t="shared" si="549"/>
        <v>2731.6551372633339</v>
      </c>
      <c r="AN50" s="2813">
        <f t="shared" si="549"/>
        <v>0</v>
      </c>
      <c r="AO50" s="2832">
        <f t="shared" si="576"/>
        <v>174.02828757888858</v>
      </c>
      <c r="AP50" s="2832">
        <f>SUM('ПОЛНАЯ СЕБЕСТОИМОСТЬ ВОДА 2023'!R198)/3</f>
        <v>174.02828757888858</v>
      </c>
      <c r="AQ50" s="2832">
        <f>SUM('ПОЛНАЯ СЕБЕСТОИМОСТЬ ВОДА 2023'!S198)/3</f>
        <v>0</v>
      </c>
      <c r="AR50" s="2832">
        <f t="shared" si="577"/>
        <v>952.60699999999997</v>
      </c>
      <c r="AS50" s="2832">
        <f>SUM('ПОЛНАЯ СЕБЕСТОИМОСТЬ ВОДА 2023'!U198)</f>
        <v>952.60699999999997</v>
      </c>
      <c r="AT50" s="2832">
        <f>SUM('ПОЛНАЯ СЕБЕСТОИМОСТЬ ВОДА 2023'!V198)</f>
        <v>0</v>
      </c>
      <c r="AU50" s="2833">
        <f t="shared" si="578"/>
        <v>487.25599999999997</v>
      </c>
      <c r="AV50" s="2833">
        <v>487.25599999999997</v>
      </c>
      <c r="AW50" s="2833">
        <v>0</v>
      </c>
      <c r="AX50" s="2832">
        <f t="shared" si="579"/>
        <v>174.02828757888858</v>
      </c>
      <c r="AY50" s="2832">
        <f t="shared" si="580"/>
        <v>174.02828757888858</v>
      </c>
      <c r="AZ50" s="2832">
        <f t="shared" si="581"/>
        <v>0</v>
      </c>
      <c r="BA50" s="2832">
        <f t="shared" si="582"/>
        <v>1184.5819999999999</v>
      </c>
      <c r="BB50" s="2832">
        <f>SUM('ПОЛНАЯ СЕБЕСТОИМОСТЬ ВОДА 2023'!X198)</f>
        <v>1184.5819999999999</v>
      </c>
      <c r="BC50" s="2832">
        <f>SUM('ПОЛНАЯ СЕБЕСТОИМОСТЬ ВОДА 2023'!Y198)</f>
        <v>0</v>
      </c>
      <c r="BD50" s="2833">
        <f t="shared" si="583"/>
        <v>1116.0039999999999</v>
      </c>
      <c r="BE50" s="2833">
        <v>1116.0039999999999</v>
      </c>
      <c r="BF50" s="2833">
        <v>0</v>
      </c>
      <c r="BG50" s="2832">
        <f t="shared" si="584"/>
        <v>174.02828757888858</v>
      </c>
      <c r="BH50" s="2832">
        <f t="shared" si="585"/>
        <v>174.02828757888858</v>
      </c>
      <c r="BI50" s="2832">
        <f t="shared" si="586"/>
        <v>0</v>
      </c>
      <c r="BJ50" s="2775">
        <f t="shared" si="587"/>
        <v>1357.492</v>
      </c>
      <c r="BK50" s="2775">
        <f>SUM('ПОЛНАЯ СЕБЕСТОИМОСТЬ ВОДА 2023'!AA198)</f>
        <v>1357.492</v>
      </c>
      <c r="BL50" s="2775">
        <f>SUM('ПОЛНАЯ СЕБЕСТОИМОСТЬ ВОДА 2023'!AB198)</f>
        <v>0</v>
      </c>
      <c r="BM50" s="2833">
        <f t="shared" si="588"/>
        <v>327.52499999999998</v>
      </c>
      <c r="BN50" s="2833">
        <v>327.52499999999998</v>
      </c>
      <c r="BO50" s="2833">
        <v>0</v>
      </c>
      <c r="BP50" s="2802">
        <f t="shared" si="550"/>
        <v>522.08486273666574</v>
      </c>
      <c r="BQ50" s="2802">
        <f t="shared" si="550"/>
        <v>522.08486273666574</v>
      </c>
      <c r="BR50" s="2802">
        <f t="shared" si="550"/>
        <v>0</v>
      </c>
      <c r="BS50" s="2812">
        <f t="shared" si="550"/>
        <v>3494.6809999999996</v>
      </c>
      <c r="BT50" s="2812">
        <f t="shared" si="550"/>
        <v>3494.6809999999996</v>
      </c>
      <c r="BU50" s="2812">
        <f t="shared" si="550"/>
        <v>0</v>
      </c>
      <c r="BV50" s="2812">
        <f t="shared" si="550"/>
        <v>1930.7849999999999</v>
      </c>
      <c r="BW50" s="2812">
        <f t="shared" si="550"/>
        <v>1930.7849999999999</v>
      </c>
      <c r="BX50" s="2812">
        <f t="shared" si="550"/>
        <v>0</v>
      </c>
      <c r="BY50" s="2813">
        <f t="shared" si="551"/>
        <v>2972.5961372633337</v>
      </c>
      <c r="BZ50" s="2813">
        <f t="shared" si="551"/>
        <v>2972.5961372633337</v>
      </c>
      <c r="CA50" s="2813">
        <f t="shared" si="551"/>
        <v>0</v>
      </c>
      <c r="CB50" s="2812">
        <f t="shared" si="552"/>
        <v>1044.1697254733315</v>
      </c>
      <c r="CC50" s="2812">
        <f t="shared" si="552"/>
        <v>1044.1697254733315</v>
      </c>
      <c r="CD50" s="2812">
        <f t="shared" si="552"/>
        <v>0</v>
      </c>
      <c r="CE50" s="2812">
        <f t="shared" si="552"/>
        <v>6748.4209999999994</v>
      </c>
      <c r="CF50" s="2812">
        <f t="shared" si="552"/>
        <v>6748.4209999999994</v>
      </c>
      <c r="CG50" s="2812">
        <f t="shared" si="552"/>
        <v>0</v>
      </c>
      <c r="CH50" s="2812">
        <f t="shared" si="552"/>
        <v>3339.3928799999994</v>
      </c>
      <c r="CI50" s="2812">
        <f t="shared" si="552"/>
        <v>3339.3928799999994</v>
      </c>
      <c r="CJ50" s="2812">
        <f t="shared" si="552"/>
        <v>0</v>
      </c>
      <c r="CK50" s="2813">
        <f t="shared" si="553"/>
        <v>5704.2512745266677</v>
      </c>
      <c r="CL50" s="2813">
        <f t="shared" si="553"/>
        <v>5704.2512745266677</v>
      </c>
      <c r="CM50" s="2813">
        <f t="shared" si="553"/>
        <v>0</v>
      </c>
      <c r="CN50" s="2832">
        <f t="shared" si="589"/>
        <v>174.02828757888858</v>
      </c>
      <c r="CO50" s="2832">
        <f>SUM('ПОЛНАЯ СЕБЕСТОИМОСТЬ ВОДА 2023'!AP198)/3</f>
        <v>174.02828757888858</v>
      </c>
      <c r="CP50" s="2832">
        <f>SUM('ПОЛНАЯ СЕБЕСТОИМОСТЬ ВОДА 2023'!AQ198)/3</f>
        <v>0</v>
      </c>
      <c r="CQ50" s="2775">
        <f t="shared" si="590"/>
        <v>648.53800000000001</v>
      </c>
      <c r="CR50" s="2775">
        <f>SUM('ПОЛНАЯ СЕБЕСТОИМОСТЬ ВОДА 2023'!AS198)</f>
        <v>648.53800000000001</v>
      </c>
      <c r="CS50" s="2775">
        <f>SUM('ПОЛНАЯ СЕБЕСТОИМОСТЬ ВОДА 2023'!AT198)</f>
        <v>0</v>
      </c>
      <c r="CT50" s="2833">
        <f t="shared" si="591"/>
        <v>2447.8690000000001</v>
      </c>
      <c r="CU50" s="2833">
        <v>2447.8690000000001</v>
      </c>
      <c r="CV50" s="2833">
        <v>0</v>
      </c>
      <c r="CW50" s="2832">
        <f t="shared" si="592"/>
        <v>174.02828757888858</v>
      </c>
      <c r="CX50" s="2832">
        <f t="shared" si="593"/>
        <v>174.02828757888858</v>
      </c>
      <c r="CY50" s="2832">
        <f t="shared" si="594"/>
        <v>0</v>
      </c>
      <c r="CZ50" s="2775">
        <f t="shared" si="595"/>
        <v>0</v>
      </c>
      <c r="DA50" s="2775">
        <f>SUM('ПОЛНАЯ СЕБЕСТОИМОСТЬ ВОДА 2023'!AV198)</f>
        <v>0</v>
      </c>
      <c r="DB50" s="2775">
        <f>SUM('ПОЛНАЯ СЕБЕСТОИМОСТЬ ВОДА 2023'!AW198)</f>
        <v>0</v>
      </c>
      <c r="DC50" s="2833">
        <f t="shared" si="596"/>
        <v>4063.701</v>
      </c>
      <c r="DD50" s="2833">
        <v>4063.701</v>
      </c>
      <c r="DE50" s="2833">
        <v>0</v>
      </c>
      <c r="DF50" s="2832">
        <f t="shared" si="597"/>
        <v>174.02828757888858</v>
      </c>
      <c r="DG50" s="2832">
        <f t="shared" si="598"/>
        <v>174.02828757888858</v>
      </c>
      <c r="DH50" s="2832">
        <f t="shared" si="599"/>
        <v>0</v>
      </c>
      <c r="DI50" s="2775">
        <f t="shared" si="600"/>
        <v>0</v>
      </c>
      <c r="DJ50" s="2775">
        <f>SUM('ПОЛНАЯ СЕБЕСТОИМОСТЬ ВОДА 2023'!AY198)</f>
        <v>0</v>
      </c>
      <c r="DK50" s="2775">
        <f>SUM('ПОЛНАЯ СЕБЕСТОИМОСТЬ ВОДА 2023'!AZ198)</f>
        <v>0</v>
      </c>
      <c r="DL50" s="2833">
        <f t="shared" si="601"/>
        <v>764.08799999999997</v>
      </c>
      <c r="DM50" s="2833">
        <v>764.08799999999997</v>
      </c>
      <c r="DN50" s="2833">
        <v>0</v>
      </c>
      <c r="DO50" s="2802">
        <f t="shared" si="554"/>
        <v>522.08486273666574</v>
      </c>
      <c r="DP50" s="2802">
        <f t="shared" si="554"/>
        <v>522.08486273666574</v>
      </c>
      <c r="DQ50" s="2802">
        <f t="shared" si="554"/>
        <v>0</v>
      </c>
      <c r="DR50" s="2812">
        <f t="shared" si="554"/>
        <v>648.53800000000001</v>
      </c>
      <c r="DS50" s="2812">
        <f t="shared" si="554"/>
        <v>648.53800000000001</v>
      </c>
      <c r="DT50" s="2812">
        <f t="shared" si="554"/>
        <v>0</v>
      </c>
      <c r="DU50" s="2812">
        <f t="shared" si="554"/>
        <v>7275.6579999999994</v>
      </c>
      <c r="DV50" s="2812">
        <f t="shared" si="554"/>
        <v>7275.6579999999994</v>
      </c>
      <c r="DW50" s="2812">
        <f t="shared" si="554"/>
        <v>0</v>
      </c>
      <c r="DX50" s="2813">
        <f t="shared" si="555"/>
        <v>126.45313726333427</v>
      </c>
      <c r="DY50" s="2813">
        <f t="shared" si="555"/>
        <v>126.45313726333427</v>
      </c>
      <c r="DZ50" s="2813">
        <f t="shared" si="555"/>
        <v>0</v>
      </c>
      <c r="EA50" s="2802">
        <f t="shared" si="556"/>
        <v>1566.2545882099971</v>
      </c>
      <c r="EB50" s="2802">
        <f t="shared" si="556"/>
        <v>1566.2545882099971</v>
      </c>
      <c r="EC50" s="2802">
        <f t="shared" si="556"/>
        <v>0</v>
      </c>
      <c r="ED50" s="2812">
        <f t="shared" si="556"/>
        <v>7396.9589999999989</v>
      </c>
      <c r="EE50" s="2812">
        <f t="shared" si="556"/>
        <v>7396.9589999999989</v>
      </c>
      <c r="EF50" s="2812">
        <f t="shared" si="556"/>
        <v>0</v>
      </c>
      <c r="EG50" s="2812">
        <f t="shared" si="556"/>
        <v>10615.050879999999</v>
      </c>
      <c r="EH50" s="2812">
        <f t="shared" si="556"/>
        <v>10615.050879999999</v>
      </c>
      <c r="EI50" s="2812">
        <f t="shared" si="556"/>
        <v>0</v>
      </c>
      <c r="EJ50" s="2813">
        <f t="shared" si="557"/>
        <v>5830.7044117900023</v>
      </c>
      <c r="EK50" s="2813">
        <f t="shared" si="557"/>
        <v>5830.7044117900023</v>
      </c>
      <c r="EL50" s="2813">
        <f t="shared" si="557"/>
        <v>0</v>
      </c>
      <c r="EM50" s="2832">
        <f t="shared" si="602"/>
        <v>174.02828757888858</v>
      </c>
      <c r="EN50" s="2832">
        <f>SUM('ПОЛНАЯ СЕБЕСТОИМОСТЬ ВОДА 2023'!BN198)/3</f>
        <v>174.02828757888858</v>
      </c>
      <c r="EO50" s="2832">
        <f>SUM('ПОЛНАЯ СЕБЕСТОИМОСТЬ ВОДА 2023'!BO198)/3</f>
        <v>0</v>
      </c>
      <c r="EP50" s="2775">
        <f t="shared" si="603"/>
        <v>0</v>
      </c>
      <c r="EQ50" s="2775">
        <f>SUM('ПОЛНАЯ СЕБЕСТОИМОСТЬ ВОДА 2023'!BQ198)</f>
        <v>0</v>
      </c>
      <c r="ER50" s="2775">
        <f>SUM('ПОЛНАЯ СЕБЕСТОИМОСТЬ ВОДА 2023'!BR198)</f>
        <v>0</v>
      </c>
      <c r="ES50" s="2833">
        <f t="shared" si="604"/>
        <v>1035.56</v>
      </c>
      <c r="ET50" s="2833">
        <v>1035.56</v>
      </c>
      <c r="EU50" s="2833">
        <v>0</v>
      </c>
      <c r="EV50" s="2832">
        <f t="shared" si="605"/>
        <v>174.02828757888858</v>
      </c>
      <c r="EW50" s="2832">
        <f t="shared" si="606"/>
        <v>174.02828757888858</v>
      </c>
      <c r="EX50" s="2832">
        <f t="shared" si="607"/>
        <v>0</v>
      </c>
      <c r="EY50" s="2775">
        <f t="shared" si="608"/>
        <v>0</v>
      </c>
      <c r="EZ50" s="2775">
        <f>SUM('ПОЛНАЯ СЕБЕСТОИМОСТЬ ВОДА 2023'!BT198)</f>
        <v>0</v>
      </c>
      <c r="FA50" s="2775">
        <f>SUM('ПОЛНАЯ СЕБЕСТОИМОСТЬ ВОДА 2023'!BU198)</f>
        <v>0</v>
      </c>
      <c r="FB50" s="2833">
        <f t="shared" si="609"/>
        <v>1106.54252</v>
      </c>
      <c r="FC50" s="2833">
        <v>1106.54252</v>
      </c>
      <c r="FD50" s="2833">
        <v>0</v>
      </c>
      <c r="FE50" s="2832">
        <f t="shared" si="610"/>
        <v>174.02828757888858</v>
      </c>
      <c r="FF50" s="2832">
        <f t="shared" si="611"/>
        <v>174.02828757888858</v>
      </c>
      <c r="FG50" s="2832">
        <f t="shared" si="612"/>
        <v>0</v>
      </c>
      <c r="FH50" s="2775">
        <f t="shared" si="613"/>
        <v>0</v>
      </c>
      <c r="FI50" s="2775">
        <f>SUM('ПОЛНАЯ СЕБЕСТОИМОСТЬ ВОДА 2023'!BW198)</f>
        <v>0</v>
      </c>
      <c r="FJ50" s="2775">
        <f>SUM('ПОЛНАЯ СЕБЕСТОИМОСТЬ ВОДА 2023'!BX198)</f>
        <v>0</v>
      </c>
      <c r="FK50" s="2833">
        <f t="shared" si="614"/>
        <v>580.61799999999994</v>
      </c>
      <c r="FL50" s="2833">
        <v>580.61799999999994</v>
      </c>
      <c r="FM50" s="2833">
        <v>0</v>
      </c>
      <c r="FN50" s="2802">
        <f t="shared" si="558"/>
        <v>522.08486273666574</v>
      </c>
      <c r="FO50" s="2802">
        <f t="shared" si="558"/>
        <v>522.08486273666574</v>
      </c>
      <c r="FP50" s="2802">
        <f t="shared" si="558"/>
        <v>0</v>
      </c>
      <c r="FQ50" s="2812">
        <f t="shared" si="558"/>
        <v>0</v>
      </c>
      <c r="FR50" s="2812">
        <f t="shared" si="558"/>
        <v>0</v>
      </c>
      <c r="FS50" s="2812">
        <f t="shared" si="558"/>
        <v>0</v>
      </c>
      <c r="FT50" s="2812">
        <f t="shared" si="558"/>
        <v>2722.7205199999999</v>
      </c>
      <c r="FU50" s="2812">
        <f t="shared" si="558"/>
        <v>2722.7205199999999</v>
      </c>
      <c r="FV50" s="2812">
        <f t="shared" si="558"/>
        <v>0</v>
      </c>
      <c r="FW50" s="2813">
        <f t="shared" si="559"/>
        <v>-522.08486273666574</v>
      </c>
      <c r="FX50" s="2813">
        <f t="shared" si="559"/>
        <v>-522.08486273666574</v>
      </c>
      <c r="FY50" s="2813">
        <f t="shared" si="559"/>
        <v>0</v>
      </c>
      <c r="FZ50" s="2802">
        <f t="shared" si="560"/>
        <v>2088.339450946663</v>
      </c>
      <c r="GA50" s="2802">
        <f t="shared" si="560"/>
        <v>2088.339450946663</v>
      </c>
      <c r="GB50" s="2802">
        <f t="shared" si="560"/>
        <v>0</v>
      </c>
      <c r="GC50" s="2812">
        <f t="shared" si="560"/>
        <v>7396.9589999999989</v>
      </c>
      <c r="GD50" s="2812">
        <f t="shared" si="560"/>
        <v>7396.9589999999989</v>
      </c>
      <c r="GE50" s="2812">
        <f t="shared" si="560"/>
        <v>0</v>
      </c>
      <c r="GF50" s="2812">
        <f t="shared" si="560"/>
        <v>13337.771399999998</v>
      </c>
      <c r="GG50" s="2812">
        <f t="shared" si="560"/>
        <v>13337.771399999998</v>
      </c>
      <c r="GH50" s="2812">
        <f t="shared" si="560"/>
        <v>0</v>
      </c>
      <c r="GI50" s="2813">
        <f t="shared" si="561"/>
        <v>5308.6195490533355</v>
      </c>
      <c r="GJ50" s="2813">
        <f t="shared" si="561"/>
        <v>5308.6195490533355</v>
      </c>
      <c r="GK50" s="2813">
        <f t="shared" si="561"/>
        <v>0</v>
      </c>
      <c r="GL50" s="389"/>
      <c r="GM50" s="3578">
        <f t="shared" si="562"/>
        <v>2088.3394509466625</v>
      </c>
    </row>
    <row r="51" spans="1:195" ht="18.75" x14ac:dyDescent="0.3">
      <c r="A51" s="2831" t="s">
        <v>8</v>
      </c>
      <c r="B51" s="2832">
        <f t="shared" si="563"/>
        <v>1326.8975752158419</v>
      </c>
      <c r="C51" s="2832">
        <f>SUM('ПОЛНАЯ СЕБЕСТОИМОСТЬ ВОДА 2023'!C199)/3</f>
        <v>1326.8975752158419</v>
      </c>
      <c r="D51" s="2832">
        <f>SUM('ПОЛНАЯ СЕБЕСТОИМОСТЬ ВОДА 2023'!D199)/3</f>
        <v>0</v>
      </c>
      <c r="E51" s="2775">
        <f t="shared" si="564"/>
        <v>402.52800000000002</v>
      </c>
      <c r="F51" s="2832">
        <f>SUM('ПОЛНАЯ СЕБЕСТОИМОСТЬ ВОДА 2023'!F199)</f>
        <v>402.52800000000002</v>
      </c>
      <c r="G51" s="2775">
        <f>SUM('ПОЛНАЯ СЕБЕСТОИМОСТЬ ВОДА 2023'!G199)</f>
        <v>0</v>
      </c>
      <c r="H51" s="2833">
        <f t="shared" si="565"/>
        <v>2464.14</v>
      </c>
      <c r="I51" s="2833">
        <v>2464.14</v>
      </c>
      <c r="J51" s="2833">
        <v>0</v>
      </c>
      <c r="K51" s="2832">
        <f t="shared" si="566"/>
        <v>1326.8975752158419</v>
      </c>
      <c r="L51" s="2832">
        <f t="shared" si="567"/>
        <v>1326.8975752158419</v>
      </c>
      <c r="M51" s="2832">
        <f t="shared" si="568"/>
        <v>0</v>
      </c>
      <c r="N51" s="2775">
        <f t="shared" si="569"/>
        <v>495.327</v>
      </c>
      <c r="O51" s="2775">
        <f>SUM('ПОЛНАЯ СЕБЕСТОИМОСТЬ ВОДА 2023'!I199)</f>
        <v>495.327</v>
      </c>
      <c r="P51" s="2775">
        <f>SUM('ПОЛНАЯ СЕБЕСТОИМОСТЬ ВОДА 2023'!J199)</f>
        <v>0</v>
      </c>
      <c r="Q51" s="2833">
        <f t="shared" si="570"/>
        <v>39.83</v>
      </c>
      <c r="R51" s="2833">
        <v>39.83</v>
      </c>
      <c r="S51" s="2833">
        <v>0</v>
      </c>
      <c r="T51" s="2832">
        <f t="shared" si="571"/>
        <v>1326.8975752158419</v>
      </c>
      <c r="U51" s="2832">
        <f t="shared" si="572"/>
        <v>1326.8975752158419</v>
      </c>
      <c r="V51" s="2832">
        <f t="shared" si="573"/>
        <v>0</v>
      </c>
      <c r="W51" s="2775">
        <f t="shared" si="574"/>
        <v>121.70399999999999</v>
      </c>
      <c r="X51" s="2775">
        <f>SUM('ПОЛНАЯ СЕБЕСТОИМОСТЬ ВОДА 2023'!L199)</f>
        <v>121.70399999999999</v>
      </c>
      <c r="Y51" s="2775">
        <f>SUM('ПОЛНАЯ СЕБЕСТОИМОСТЬ ВОДА 2023'!M199)</f>
        <v>0</v>
      </c>
      <c r="Z51" s="2833">
        <f t="shared" si="575"/>
        <v>157.18799999999999</v>
      </c>
      <c r="AA51" s="2833">
        <v>157.18799999999999</v>
      </c>
      <c r="AB51" s="2833">
        <v>0</v>
      </c>
      <c r="AC51" s="2802">
        <f t="shared" si="548"/>
        <v>3980.6927256475255</v>
      </c>
      <c r="AD51" s="2802">
        <f t="shared" si="548"/>
        <v>3980.6927256475255</v>
      </c>
      <c r="AE51" s="2802">
        <f t="shared" si="548"/>
        <v>0</v>
      </c>
      <c r="AF51" s="2812">
        <f t="shared" si="548"/>
        <v>1019.559</v>
      </c>
      <c r="AG51" s="2812">
        <f t="shared" si="548"/>
        <v>1019.559</v>
      </c>
      <c r="AH51" s="2812">
        <f t="shared" si="548"/>
        <v>0</v>
      </c>
      <c r="AI51" s="2812">
        <f t="shared" si="548"/>
        <v>2661.1579999999999</v>
      </c>
      <c r="AJ51" s="2812">
        <f t="shared" si="548"/>
        <v>2661.1579999999999</v>
      </c>
      <c r="AK51" s="2812">
        <f t="shared" si="548"/>
        <v>0</v>
      </c>
      <c r="AL51" s="2813">
        <f t="shared" si="549"/>
        <v>-2961.1337256475254</v>
      </c>
      <c r="AM51" s="2813">
        <f t="shared" si="549"/>
        <v>-2961.1337256475254</v>
      </c>
      <c r="AN51" s="2813">
        <f t="shared" si="549"/>
        <v>0</v>
      </c>
      <c r="AO51" s="2832">
        <f t="shared" si="576"/>
        <v>1326.8975752158419</v>
      </c>
      <c r="AP51" s="2832">
        <f>SUM('ПОЛНАЯ СЕБЕСТОИМОСТЬ ВОДА 2023'!R199)/3</f>
        <v>1326.8975752158419</v>
      </c>
      <c r="AQ51" s="2832">
        <f>SUM('ПОЛНАЯ СЕБЕСТОИМОСТЬ ВОДА 2023'!S199)/3</f>
        <v>0</v>
      </c>
      <c r="AR51" s="2832">
        <f t="shared" si="577"/>
        <v>288.14800000000002</v>
      </c>
      <c r="AS51" s="2832">
        <f>SUM('ПОЛНАЯ СЕБЕСТОИМОСТЬ ВОДА 2023'!U199)</f>
        <v>288.14800000000002</v>
      </c>
      <c r="AT51" s="2832">
        <f>SUM('ПОЛНАЯ СЕБЕСТОИМОСТЬ ВОДА 2023'!V199)</f>
        <v>0</v>
      </c>
      <c r="AU51" s="2833">
        <f t="shared" si="578"/>
        <v>778.52700000000004</v>
      </c>
      <c r="AV51" s="2833">
        <v>778.52700000000004</v>
      </c>
      <c r="AW51" s="2833">
        <v>0</v>
      </c>
      <c r="AX51" s="2832">
        <f t="shared" si="579"/>
        <v>1326.8975752158419</v>
      </c>
      <c r="AY51" s="2832">
        <f t="shared" si="580"/>
        <v>1326.8975752158419</v>
      </c>
      <c r="AZ51" s="2832">
        <f t="shared" si="581"/>
        <v>0</v>
      </c>
      <c r="BA51" s="2832">
        <f t="shared" si="582"/>
        <v>2376.6239999999998</v>
      </c>
      <c r="BB51" s="2832">
        <f>SUM('ПОЛНАЯ СЕБЕСТОИМОСТЬ ВОДА 2023'!X199)</f>
        <v>2376.6239999999998</v>
      </c>
      <c r="BC51" s="2832">
        <f>SUM('ПОЛНАЯ СЕБЕСТОИМОСТЬ ВОДА 2023'!Y199)</f>
        <v>0</v>
      </c>
      <c r="BD51" s="2833">
        <f t="shared" si="583"/>
        <v>1007.26</v>
      </c>
      <c r="BE51" s="2833">
        <v>1007.26</v>
      </c>
      <c r="BF51" s="2833">
        <v>0</v>
      </c>
      <c r="BG51" s="2832">
        <f t="shared" si="584"/>
        <v>1326.8975752158419</v>
      </c>
      <c r="BH51" s="2832">
        <f t="shared" si="585"/>
        <v>1326.8975752158419</v>
      </c>
      <c r="BI51" s="2832">
        <f t="shared" si="586"/>
        <v>0</v>
      </c>
      <c r="BJ51" s="2775">
        <f t="shared" si="587"/>
        <v>3402.8159999999998</v>
      </c>
      <c r="BK51" s="2775">
        <f>SUM('ПОЛНАЯ СЕБЕСТОИМОСТЬ ВОДА 2023'!AA199)</f>
        <v>3402.8159999999998</v>
      </c>
      <c r="BL51" s="2775">
        <f>SUM('ПОЛНАЯ СЕБЕСТОИМОСТЬ ВОДА 2023'!AB199)</f>
        <v>0</v>
      </c>
      <c r="BM51" s="2833">
        <f t="shared" si="588"/>
        <v>2684.6550000000002</v>
      </c>
      <c r="BN51" s="2833">
        <v>2684.6550000000002</v>
      </c>
      <c r="BO51" s="2833">
        <v>0</v>
      </c>
      <c r="BP51" s="2802">
        <f t="shared" si="550"/>
        <v>3980.6927256475255</v>
      </c>
      <c r="BQ51" s="2802">
        <f t="shared" si="550"/>
        <v>3980.6927256475255</v>
      </c>
      <c r="BR51" s="2802">
        <f t="shared" si="550"/>
        <v>0</v>
      </c>
      <c r="BS51" s="2812">
        <f t="shared" si="550"/>
        <v>6067.5879999999997</v>
      </c>
      <c r="BT51" s="2812">
        <f t="shared" si="550"/>
        <v>6067.5879999999997</v>
      </c>
      <c r="BU51" s="2812">
        <f t="shared" si="550"/>
        <v>0</v>
      </c>
      <c r="BV51" s="2812">
        <f t="shared" si="550"/>
        <v>4470.442</v>
      </c>
      <c r="BW51" s="2812">
        <f t="shared" si="550"/>
        <v>4470.442</v>
      </c>
      <c r="BX51" s="2812">
        <f t="shared" si="550"/>
        <v>0</v>
      </c>
      <c r="BY51" s="2813">
        <f t="shared" si="551"/>
        <v>2086.8952743524742</v>
      </c>
      <c r="BZ51" s="2813">
        <f t="shared" si="551"/>
        <v>2086.8952743524742</v>
      </c>
      <c r="CA51" s="2813">
        <f t="shared" si="551"/>
        <v>0</v>
      </c>
      <c r="CB51" s="2812">
        <f t="shared" si="552"/>
        <v>7961.3854512950511</v>
      </c>
      <c r="CC51" s="2812">
        <f t="shared" si="552"/>
        <v>7961.3854512950511</v>
      </c>
      <c r="CD51" s="2812">
        <f t="shared" si="552"/>
        <v>0</v>
      </c>
      <c r="CE51" s="2812">
        <f t="shared" si="552"/>
        <v>7087.1469999999999</v>
      </c>
      <c r="CF51" s="2812">
        <f t="shared" si="552"/>
        <v>7087.1469999999999</v>
      </c>
      <c r="CG51" s="2812">
        <f t="shared" si="552"/>
        <v>0</v>
      </c>
      <c r="CH51" s="2812">
        <f t="shared" si="552"/>
        <v>7131.6</v>
      </c>
      <c r="CI51" s="2812">
        <f t="shared" si="552"/>
        <v>7131.6</v>
      </c>
      <c r="CJ51" s="2812">
        <f t="shared" si="552"/>
        <v>0</v>
      </c>
      <c r="CK51" s="2813">
        <f t="shared" si="553"/>
        <v>-874.23845129505116</v>
      </c>
      <c r="CL51" s="2813">
        <f t="shared" si="553"/>
        <v>-874.23845129505116</v>
      </c>
      <c r="CM51" s="2813">
        <f t="shared" si="553"/>
        <v>0</v>
      </c>
      <c r="CN51" s="2832">
        <f t="shared" si="589"/>
        <v>1326.8975752158419</v>
      </c>
      <c r="CO51" s="2832">
        <f>SUM('ПОЛНАЯ СЕБЕСТОИМОСТЬ ВОДА 2023'!AP199)/3</f>
        <v>1326.8975752158419</v>
      </c>
      <c r="CP51" s="2832">
        <f>SUM('ПОЛНАЯ СЕБЕСТОИМОСТЬ ВОДА 2023'!AQ199)/3</f>
        <v>0</v>
      </c>
      <c r="CQ51" s="2775">
        <f t="shared" si="590"/>
        <v>504.59300000000002</v>
      </c>
      <c r="CR51" s="2775">
        <f>SUM('ПОЛНАЯ СЕБЕСТОИМОСТЬ ВОДА 2023'!AS199)</f>
        <v>504.59300000000002</v>
      </c>
      <c r="CS51" s="2775">
        <f>SUM('ПОЛНАЯ СЕБЕСТОИМОСТЬ ВОДА 2023'!AT199)</f>
        <v>0</v>
      </c>
      <c r="CT51" s="2833">
        <f t="shared" si="591"/>
        <v>1972.597</v>
      </c>
      <c r="CU51" s="2833">
        <v>1972.597</v>
      </c>
      <c r="CV51" s="2833">
        <v>0</v>
      </c>
      <c r="CW51" s="2832">
        <f t="shared" si="592"/>
        <v>1326.8975752158419</v>
      </c>
      <c r="CX51" s="2832">
        <f t="shared" si="593"/>
        <v>1326.8975752158419</v>
      </c>
      <c r="CY51" s="2832">
        <f t="shared" si="594"/>
        <v>0</v>
      </c>
      <c r="CZ51" s="2775">
        <f t="shared" si="595"/>
        <v>0</v>
      </c>
      <c r="DA51" s="2775">
        <f>SUM('ПОЛНАЯ СЕБЕСТОИМОСТЬ ВОДА 2023'!AV199)</f>
        <v>0</v>
      </c>
      <c r="DB51" s="2775">
        <f>SUM('ПОЛНАЯ СЕБЕСТОИМОСТЬ ВОДА 2023'!AW199)</f>
        <v>0</v>
      </c>
      <c r="DC51" s="2833">
        <f t="shared" si="596"/>
        <v>550.38499999999999</v>
      </c>
      <c r="DD51" s="2833">
        <v>550.38499999999999</v>
      </c>
      <c r="DE51" s="2833">
        <v>0</v>
      </c>
      <c r="DF51" s="2832">
        <f t="shared" si="597"/>
        <v>1326.8975752158419</v>
      </c>
      <c r="DG51" s="2832">
        <f t="shared" si="598"/>
        <v>1326.8975752158419</v>
      </c>
      <c r="DH51" s="2832">
        <f t="shared" si="599"/>
        <v>0</v>
      </c>
      <c r="DI51" s="2775">
        <f t="shared" si="600"/>
        <v>0</v>
      </c>
      <c r="DJ51" s="2775">
        <f>SUM('ПОЛНАЯ СЕБЕСТОИМОСТЬ ВОДА 2023'!AY199)</f>
        <v>0</v>
      </c>
      <c r="DK51" s="2775">
        <f>SUM('ПОЛНАЯ СЕБЕСТОИМОСТЬ ВОДА 2023'!AZ199)</f>
        <v>0</v>
      </c>
      <c r="DL51" s="2833">
        <f t="shared" si="601"/>
        <v>1465.4259999999999</v>
      </c>
      <c r="DM51" s="2833">
        <v>1465.4259999999999</v>
      </c>
      <c r="DN51" s="2833">
        <v>0</v>
      </c>
      <c r="DO51" s="2802">
        <f t="shared" si="554"/>
        <v>3980.6927256475255</v>
      </c>
      <c r="DP51" s="2802">
        <f t="shared" si="554"/>
        <v>3980.6927256475255</v>
      </c>
      <c r="DQ51" s="2802">
        <f t="shared" si="554"/>
        <v>0</v>
      </c>
      <c r="DR51" s="2812">
        <f t="shared" si="554"/>
        <v>504.59300000000002</v>
      </c>
      <c r="DS51" s="2812">
        <f t="shared" si="554"/>
        <v>504.59300000000002</v>
      </c>
      <c r="DT51" s="2812">
        <f t="shared" si="554"/>
        <v>0</v>
      </c>
      <c r="DU51" s="2812">
        <f t="shared" si="554"/>
        <v>3988.4079999999999</v>
      </c>
      <c r="DV51" s="2812">
        <f t="shared" si="554"/>
        <v>3988.4079999999999</v>
      </c>
      <c r="DW51" s="2812">
        <f t="shared" si="554"/>
        <v>0</v>
      </c>
      <c r="DX51" s="2813">
        <f t="shared" si="555"/>
        <v>-3476.0997256475257</v>
      </c>
      <c r="DY51" s="2813">
        <f t="shared" si="555"/>
        <v>-3476.0997256475257</v>
      </c>
      <c r="DZ51" s="2813">
        <f t="shared" si="555"/>
        <v>0</v>
      </c>
      <c r="EA51" s="2802">
        <f t="shared" si="556"/>
        <v>11942.078176942578</v>
      </c>
      <c r="EB51" s="2802">
        <f t="shared" si="556"/>
        <v>11942.078176942578</v>
      </c>
      <c r="EC51" s="2802">
        <f t="shared" si="556"/>
        <v>0</v>
      </c>
      <c r="ED51" s="2812">
        <f t="shared" si="556"/>
        <v>7591.74</v>
      </c>
      <c r="EE51" s="2812">
        <f t="shared" si="556"/>
        <v>7591.74</v>
      </c>
      <c r="EF51" s="2812">
        <f t="shared" si="556"/>
        <v>0</v>
      </c>
      <c r="EG51" s="2812">
        <f t="shared" si="556"/>
        <v>11120.008</v>
      </c>
      <c r="EH51" s="2812">
        <f t="shared" si="556"/>
        <v>11120.008</v>
      </c>
      <c r="EI51" s="2812">
        <f t="shared" si="556"/>
        <v>0</v>
      </c>
      <c r="EJ51" s="2813">
        <f t="shared" si="557"/>
        <v>-4350.3381769425778</v>
      </c>
      <c r="EK51" s="2813">
        <f t="shared" si="557"/>
        <v>-4350.3381769425778</v>
      </c>
      <c r="EL51" s="2813">
        <f t="shared" si="557"/>
        <v>0</v>
      </c>
      <c r="EM51" s="2832">
        <f t="shared" si="602"/>
        <v>1326.8975752158419</v>
      </c>
      <c r="EN51" s="2832">
        <f>SUM('ПОЛНАЯ СЕБЕСТОИМОСТЬ ВОДА 2023'!BN199)/3</f>
        <v>1326.8975752158419</v>
      </c>
      <c r="EO51" s="2832">
        <f>SUM('ПОЛНАЯ СЕБЕСТОИМОСТЬ ВОДА 2023'!BO199)/3</f>
        <v>0</v>
      </c>
      <c r="EP51" s="2775">
        <f t="shared" si="603"/>
        <v>0</v>
      </c>
      <c r="EQ51" s="2775">
        <f>SUM('ПОЛНАЯ СЕБЕСТОИМОСТЬ ВОДА 2023'!BQ199)</f>
        <v>0</v>
      </c>
      <c r="ER51" s="2775">
        <f>SUM('ПОЛНАЯ СЕБЕСТОИМОСТЬ ВОДА 2023'!BR199)</f>
        <v>0</v>
      </c>
      <c r="ES51" s="2833">
        <f t="shared" si="604"/>
        <v>814.96</v>
      </c>
      <c r="ET51" s="2833">
        <v>814.96</v>
      </c>
      <c r="EU51" s="2833">
        <v>0</v>
      </c>
      <c r="EV51" s="2832">
        <f t="shared" si="605"/>
        <v>1326.8975752158419</v>
      </c>
      <c r="EW51" s="2832">
        <f t="shared" si="606"/>
        <v>1326.8975752158419</v>
      </c>
      <c r="EX51" s="2832">
        <f t="shared" si="607"/>
        <v>0</v>
      </c>
      <c r="EY51" s="2775">
        <f t="shared" si="608"/>
        <v>0</v>
      </c>
      <c r="EZ51" s="2775">
        <f>SUM('ПОЛНАЯ СЕБЕСТОИМОСТЬ ВОДА 2023'!BT199)</f>
        <v>0</v>
      </c>
      <c r="FA51" s="2775">
        <f>SUM('ПОЛНАЯ СЕБЕСТОИМОСТЬ ВОДА 2023'!BU199)</f>
        <v>0</v>
      </c>
      <c r="FB51" s="2833">
        <f t="shared" si="609"/>
        <v>383.26177999999999</v>
      </c>
      <c r="FC51" s="2833">
        <v>383.26177999999999</v>
      </c>
      <c r="FD51" s="2833">
        <v>0</v>
      </c>
      <c r="FE51" s="2832">
        <f t="shared" si="610"/>
        <v>1326.8975752158419</v>
      </c>
      <c r="FF51" s="2832">
        <f t="shared" si="611"/>
        <v>1326.8975752158419</v>
      </c>
      <c r="FG51" s="2832">
        <f t="shared" si="612"/>
        <v>0</v>
      </c>
      <c r="FH51" s="2775">
        <f t="shared" si="613"/>
        <v>0</v>
      </c>
      <c r="FI51" s="2775">
        <f>SUM('ПОЛНАЯ СЕБЕСТОИМОСТЬ ВОДА 2023'!BW199)</f>
        <v>0</v>
      </c>
      <c r="FJ51" s="2775">
        <f>SUM('ПОЛНАЯ СЕБЕСТОИМОСТЬ ВОДА 2023'!BX199)</f>
        <v>0</v>
      </c>
      <c r="FK51" s="2833">
        <f t="shared" si="614"/>
        <v>1964.2809999999999</v>
      </c>
      <c r="FL51" s="2833">
        <v>1964.2809999999999</v>
      </c>
      <c r="FM51" s="2833">
        <v>0</v>
      </c>
      <c r="FN51" s="2802">
        <f t="shared" si="558"/>
        <v>3980.6927256475255</v>
      </c>
      <c r="FO51" s="2802">
        <f t="shared" si="558"/>
        <v>3980.6927256475255</v>
      </c>
      <c r="FP51" s="2802">
        <f t="shared" si="558"/>
        <v>0</v>
      </c>
      <c r="FQ51" s="2812">
        <f t="shared" si="558"/>
        <v>0</v>
      </c>
      <c r="FR51" s="2812">
        <f t="shared" si="558"/>
        <v>0</v>
      </c>
      <c r="FS51" s="2812">
        <f t="shared" si="558"/>
        <v>0</v>
      </c>
      <c r="FT51" s="2812">
        <f t="shared" si="558"/>
        <v>3162.5027799999998</v>
      </c>
      <c r="FU51" s="2812">
        <f t="shared" si="558"/>
        <v>3162.5027799999998</v>
      </c>
      <c r="FV51" s="2812">
        <f t="shared" si="558"/>
        <v>0</v>
      </c>
      <c r="FW51" s="2813">
        <f t="shared" si="559"/>
        <v>-3980.6927256475255</v>
      </c>
      <c r="FX51" s="2813">
        <f t="shared" si="559"/>
        <v>-3980.6927256475255</v>
      </c>
      <c r="FY51" s="2813">
        <f t="shared" si="559"/>
        <v>0</v>
      </c>
      <c r="FZ51" s="2802">
        <f t="shared" si="560"/>
        <v>15922.770902590102</v>
      </c>
      <c r="GA51" s="2802">
        <f t="shared" si="560"/>
        <v>15922.770902590102</v>
      </c>
      <c r="GB51" s="2802">
        <f t="shared" si="560"/>
        <v>0</v>
      </c>
      <c r="GC51" s="2812">
        <f t="shared" si="560"/>
        <v>7591.74</v>
      </c>
      <c r="GD51" s="2812">
        <f t="shared" si="560"/>
        <v>7591.74</v>
      </c>
      <c r="GE51" s="2812">
        <f t="shared" si="560"/>
        <v>0</v>
      </c>
      <c r="GF51" s="2812">
        <f t="shared" si="560"/>
        <v>14282.510780000001</v>
      </c>
      <c r="GG51" s="2812">
        <f t="shared" si="560"/>
        <v>14282.510780000001</v>
      </c>
      <c r="GH51" s="2812">
        <f t="shared" si="560"/>
        <v>0</v>
      </c>
      <c r="GI51" s="2813">
        <f t="shared" si="561"/>
        <v>-8331.0309025901024</v>
      </c>
      <c r="GJ51" s="2813">
        <f t="shared" si="561"/>
        <v>-8331.0309025901024</v>
      </c>
      <c r="GK51" s="2813">
        <f t="shared" si="561"/>
        <v>0</v>
      </c>
      <c r="GL51" s="389"/>
      <c r="GM51" s="3578">
        <f t="shared" si="562"/>
        <v>15922.770902590104</v>
      </c>
    </row>
    <row r="52" spans="1:195" ht="18.75" x14ac:dyDescent="0.3">
      <c r="A52" s="2831" t="s">
        <v>4</v>
      </c>
      <c r="B52" s="2832">
        <f t="shared" si="563"/>
        <v>5795.8991380339066</v>
      </c>
      <c r="C52" s="2832">
        <f>SUM('ПОЛНАЯ СЕБЕСТОИМОСТЬ ВОДА 2023'!C200)/3</f>
        <v>5793.926939533907</v>
      </c>
      <c r="D52" s="2832">
        <f>SUM('ПОЛНАЯ СЕБЕСТОИМОСТЬ ВОДА 2023'!D200)/3</f>
        <v>1.9721985000000002</v>
      </c>
      <c r="E52" s="2775">
        <f t="shared" si="564"/>
        <v>6254.7430000000004</v>
      </c>
      <c r="F52" s="2775">
        <f>SUM('ПОЛНАЯ СЕБЕСТОИМОСТЬ ВОДА 2023'!F200)</f>
        <v>6254.7430000000004</v>
      </c>
      <c r="G52" s="2775">
        <f>SUM('ПОЛНАЯ СЕБЕСТОИМОСТЬ ВОДА 2023'!G200)</f>
        <v>0</v>
      </c>
      <c r="H52" s="2833">
        <f t="shared" si="565"/>
        <v>4175.0920000000006</v>
      </c>
      <c r="I52" s="2833">
        <v>4173.9730000000009</v>
      </c>
      <c r="J52" s="2833">
        <v>1.119</v>
      </c>
      <c r="K52" s="2832">
        <f t="shared" si="566"/>
        <v>5795.8991380339066</v>
      </c>
      <c r="L52" s="2832">
        <f t="shared" si="567"/>
        <v>5793.926939533907</v>
      </c>
      <c r="M52" s="2832">
        <f t="shared" si="568"/>
        <v>1.9721985000000002</v>
      </c>
      <c r="N52" s="2775">
        <f t="shared" si="569"/>
        <v>4914.8882799999992</v>
      </c>
      <c r="O52" s="2775">
        <f>SUM('ПОЛНАЯ СЕБЕСТОИМОСТЬ ВОДА 2023'!I200)</f>
        <v>4914.8882799999992</v>
      </c>
      <c r="P52" s="2775">
        <f>SUM('ПОЛНАЯ СЕБЕСТОИМОСТЬ ВОДА 2023'!J200)</f>
        <v>0</v>
      </c>
      <c r="Q52" s="2833">
        <f t="shared" si="570"/>
        <v>3951.8750000000005</v>
      </c>
      <c r="R52" s="2833">
        <v>3951.0430000000006</v>
      </c>
      <c r="S52" s="2833">
        <v>0.83199999999999996</v>
      </c>
      <c r="T52" s="2832">
        <f t="shared" si="571"/>
        <v>5795.8991380339066</v>
      </c>
      <c r="U52" s="2832">
        <f t="shared" si="572"/>
        <v>5793.926939533907</v>
      </c>
      <c r="V52" s="2832">
        <f t="shared" si="573"/>
        <v>1.9721985000000002</v>
      </c>
      <c r="W52" s="2775">
        <f t="shared" si="574"/>
        <v>4911.3034000000007</v>
      </c>
      <c r="X52" s="2775">
        <f>SUM('ПОЛНАЯ СЕБЕСТОИМОСТЬ ВОДА 2023'!L200)</f>
        <v>4910.9260000000004</v>
      </c>
      <c r="Y52" s="2775">
        <f>SUM('ПОЛНАЯ СЕБЕСТОИМОСТЬ ВОДА 2023'!M200)</f>
        <v>0.37740000000000001</v>
      </c>
      <c r="Z52" s="2833">
        <f t="shared" si="575"/>
        <v>6208.5710000000008</v>
      </c>
      <c r="AA52" s="2833">
        <v>6206.7790000000005</v>
      </c>
      <c r="AB52" s="2833">
        <v>1.792</v>
      </c>
      <c r="AC52" s="2802">
        <f t="shared" si="548"/>
        <v>17387.69741410172</v>
      </c>
      <c r="AD52" s="2802">
        <f t="shared" si="548"/>
        <v>17381.780818601721</v>
      </c>
      <c r="AE52" s="2802">
        <f t="shared" si="548"/>
        <v>5.9165955000000006</v>
      </c>
      <c r="AF52" s="2812">
        <f t="shared" si="548"/>
        <v>16080.93468</v>
      </c>
      <c r="AG52" s="2812">
        <f t="shared" si="548"/>
        <v>16080.557280000001</v>
      </c>
      <c r="AH52" s="2812">
        <f t="shared" si="548"/>
        <v>0.37740000000000001</v>
      </c>
      <c r="AI52" s="2812">
        <f t="shared" si="548"/>
        <v>14335.538</v>
      </c>
      <c r="AJ52" s="2812">
        <f t="shared" si="548"/>
        <v>14331.795000000002</v>
      </c>
      <c r="AK52" s="2812">
        <f t="shared" si="548"/>
        <v>3.7430000000000003</v>
      </c>
      <c r="AL52" s="2813">
        <f t="shared" si="549"/>
        <v>-1306.7627341017196</v>
      </c>
      <c r="AM52" s="2813">
        <f t="shared" si="549"/>
        <v>-1301.2235386017201</v>
      </c>
      <c r="AN52" s="2813">
        <f t="shared" si="549"/>
        <v>-5.5391955000000008</v>
      </c>
      <c r="AO52" s="2832">
        <f t="shared" si="576"/>
        <v>5795.8991380339066</v>
      </c>
      <c r="AP52" s="2832">
        <f>SUM('ПОЛНАЯ СЕБЕСТОИМОСТЬ ВОДА 2023'!R200)/3</f>
        <v>5793.926939533907</v>
      </c>
      <c r="AQ52" s="2832">
        <f>SUM('ПОЛНАЯ СЕБЕСТОИМОСТЬ ВОДА 2023'!S200)/3</f>
        <v>1.9721985000000002</v>
      </c>
      <c r="AR52" s="2832">
        <f t="shared" si="577"/>
        <v>4979.5720000000001</v>
      </c>
      <c r="AS52" s="2832">
        <f>SUM('ПОЛНАЯ СЕБЕСТОИМОСТЬ ВОДА 2023'!U200)</f>
        <v>4977.24</v>
      </c>
      <c r="AT52" s="2832">
        <f>SUM('ПОЛНАЯ СЕБЕСТОИМОСТЬ ВОДА 2023'!V200)</f>
        <v>2.3319999999999999</v>
      </c>
      <c r="AU52" s="2833">
        <f t="shared" si="578"/>
        <v>4861.2980000000007</v>
      </c>
      <c r="AV52" s="2833">
        <v>4859.5740000000005</v>
      </c>
      <c r="AW52" s="2833">
        <v>1.724</v>
      </c>
      <c r="AX52" s="2832">
        <f t="shared" si="579"/>
        <v>5795.8991380339066</v>
      </c>
      <c r="AY52" s="2832">
        <f t="shared" si="580"/>
        <v>5793.926939533907</v>
      </c>
      <c r="AZ52" s="2832">
        <f t="shared" si="581"/>
        <v>1.9721985000000002</v>
      </c>
      <c r="BA52" s="2832">
        <f t="shared" si="582"/>
        <v>5254.5340000000006</v>
      </c>
      <c r="BB52" s="2832">
        <f>SUM('ПОЛНАЯ СЕБЕСТОИМОСТЬ ВОДА 2023'!X200)</f>
        <v>5251.3450000000003</v>
      </c>
      <c r="BC52" s="2832">
        <f>SUM('ПОЛНАЯ СЕБЕСТОИМОСТЬ ВОДА 2023'!Y200)</f>
        <v>3.1890000000000001</v>
      </c>
      <c r="BD52" s="2833">
        <f t="shared" si="583"/>
        <v>5444.2179999999998</v>
      </c>
      <c r="BE52" s="2833">
        <v>5443.1080000000002</v>
      </c>
      <c r="BF52" s="2833">
        <v>1.1100000000000001</v>
      </c>
      <c r="BG52" s="2832">
        <f t="shared" si="584"/>
        <v>5795.8991380339066</v>
      </c>
      <c r="BH52" s="2832">
        <f t="shared" si="585"/>
        <v>5793.926939533907</v>
      </c>
      <c r="BI52" s="2832">
        <f t="shared" si="586"/>
        <v>1.9721985000000002</v>
      </c>
      <c r="BJ52" s="2775">
        <f t="shared" si="587"/>
        <v>4828.7184499999994</v>
      </c>
      <c r="BK52" s="2775">
        <f>SUM('ПОЛНАЯ СЕБЕСТОИМОСТЬ ВОДА 2023'!AA200)</f>
        <v>4826.6348199999993</v>
      </c>
      <c r="BL52" s="2775">
        <f>SUM('ПОЛНАЯ СЕБЕСТОИМОСТЬ ВОДА 2023'!AB200)</f>
        <v>2.0836299999999999</v>
      </c>
      <c r="BM52" s="2833">
        <f t="shared" si="588"/>
        <v>4948.5022099999996</v>
      </c>
      <c r="BN52" s="2833">
        <v>4946.9584199999999</v>
      </c>
      <c r="BO52" s="2833">
        <v>1.54379</v>
      </c>
      <c r="BP52" s="2802">
        <f t="shared" si="550"/>
        <v>17387.69741410172</v>
      </c>
      <c r="BQ52" s="2802">
        <f t="shared" si="550"/>
        <v>17381.780818601721</v>
      </c>
      <c r="BR52" s="2802">
        <f t="shared" si="550"/>
        <v>5.9165955000000006</v>
      </c>
      <c r="BS52" s="2812">
        <f t="shared" si="550"/>
        <v>15062.82445</v>
      </c>
      <c r="BT52" s="2812">
        <f t="shared" si="550"/>
        <v>15055.219819999998</v>
      </c>
      <c r="BU52" s="2812">
        <f t="shared" si="550"/>
        <v>7.6046300000000002</v>
      </c>
      <c r="BV52" s="2812">
        <f t="shared" si="550"/>
        <v>15254.018209999998</v>
      </c>
      <c r="BW52" s="2812">
        <f t="shared" si="550"/>
        <v>15249.64042</v>
      </c>
      <c r="BX52" s="2812">
        <f t="shared" si="550"/>
        <v>4.3777900000000001</v>
      </c>
      <c r="BY52" s="2813">
        <f t="shared" si="551"/>
        <v>-2324.8729641017198</v>
      </c>
      <c r="BZ52" s="2813">
        <f t="shared" si="551"/>
        <v>-2326.5609986017225</v>
      </c>
      <c r="CA52" s="2813">
        <f t="shared" si="551"/>
        <v>1.6880344999999997</v>
      </c>
      <c r="CB52" s="2812">
        <f t="shared" si="552"/>
        <v>34775.39482820344</v>
      </c>
      <c r="CC52" s="2812">
        <f t="shared" si="552"/>
        <v>34763.561637203442</v>
      </c>
      <c r="CD52" s="2812">
        <f t="shared" si="552"/>
        <v>11.833191000000001</v>
      </c>
      <c r="CE52" s="2812">
        <f t="shared" si="552"/>
        <v>31143.759129999999</v>
      </c>
      <c r="CF52" s="2812">
        <f t="shared" si="552"/>
        <v>31135.777099999999</v>
      </c>
      <c r="CG52" s="2812">
        <f t="shared" si="552"/>
        <v>7.98203</v>
      </c>
      <c r="CH52" s="2812">
        <f t="shared" si="552"/>
        <v>29589.556209999999</v>
      </c>
      <c r="CI52" s="2812">
        <f t="shared" si="552"/>
        <v>29581.435420000002</v>
      </c>
      <c r="CJ52" s="2812">
        <f t="shared" si="552"/>
        <v>8.1207899999999995</v>
      </c>
      <c r="CK52" s="2813">
        <f t="shared" si="553"/>
        <v>-3631.6356982034413</v>
      </c>
      <c r="CL52" s="2813">
        <f t="shared" si="553"/>
        <v>-3627.7845372034426</v>
      </c>
      <c r="CM52" s="2813">
        <f t="shared" si="553"/>
        <v>-3.8511610000000012</v>
      </c>
      <c r="CN52" s="2832">
        <f t="shared" si="589"/>
        <v>5795.8991380339066</v>
      </c>
      <c r="CO52" s="2832">
        <f>SUM('ПОЛНАЯ СЕБЕСТОИМОСТЬ ВОДА 2023'!AP200)/3</f>
        <v>5793.926939533907</v>
      </c>
      <c r="CP52" s="2832">
        <f>SUM('ПОЛНАЯ СЕБЕСТОИМОСТЬ ВОДА 2023'!AQ200)/3</f>
        <v>1.9721985000000002</v>
      </c>
      <c r="CQ52" s="2775">
        <f t="shared" si="590"/>
        <v>4511.4131600000001</v>
      </c>
      <c r="CR52" s="2775">
        <f>SUM('ПОЛНАЯ СЕБЕСТОИМОСТЬ ВОДА 2023'!AS200)</f>
        <v>4509.7619999999997</v>
      </c>
      <c r="CS52" s="2775">
        <f>SUM('ПОЛНАЯ СЕБЕСТОИМОСТЬ ВОДА 2023'!AT200)</f>
        <v>1.65116</v>
      </c>
      <c r="CT52" s="2833">
        <f t="shared" si="591"/>
        <v>4423.1090000000004</v>
      </c>
      <c r="CU52" s="2833">
        <v>4421.63</v>
      </c>
      <c r="CV52" s="2833">
        <v>1.4790000000000001</v>
      </c>
      <c r="CW52" s="2832">
        <f t="shared" si="592"/>
        <v>5795.8991380339066</v>
      </c>
      <c r="CX52" s="2832">
        <f t="shared" si="593"/>
        <v>5793.926939533907</v>
      </c>
      <c r="CY52" s="2832">
        <f t="shared" si="594"/>
        <v>1.9721985000000002</v>
      </c>
      <c r="CZ52" s="2775">
        <f t="shared" si="595"/>
        <v>0</v>
      </c>
      <c r="DA52" s="2775">
        <f>SUM('ПОЛНАЯ СЕБЕСТОИМОСТЬ ВОДА 2023'!AV200)</f>
        <v>0</v>
      </c>
      <c r="DB52" s="2775">
        <f>SUM('ПОЛНАЯ СЕБЕСТОИМОСТЬ ВОДА 2023'!AW200)</f>
        <v>0</v>
      </c>
      <c r="DC52" s="2833">
        <f t="shared" si="596"/>
        <v>4614.9849999999997</v>
      </c>
      <c r="DD52" s="2833">
        <v>4614.4449999999997</v>
      </c>
      <c r="DE52" s="2833">
        <v>0.54</v>
      </c>
      <c r="DF52" s="2832">
        <f t="shared" si="597"/>
        <v>5795.8991380339066</v>
      </c>
      <c r="DG52" s="2832">
        <f t="shared" si="598"/>
        <v>5793.926939533907</v>
      </c>
      <c r="DH52" s="2832">
        <f t="shared" si="599"/>
        <v>1.9721985000000002</v>
      </c>
      <c r="DI52" s="2775">
        <f t="shared" si="600"/>
        <v>0</v>
      </c>
      <c r="DJ52" s="2775">
        <f>SUM('ПОЛНАЯ СЕБЕСТОИМОСТЬ ВОДА 2023'!AY200)</f>
        <v>0</v>
      </c>
      <c r="DK52" s="2775">
        <f>SUM('ПОЛНАЯ СЕБЕСТОИМОСТЬ ВОДА 2023'!AZ200)</f>
        <v>0</v>
      </c>
      <c r="DL52" s="2833">
        <f t="shared" si="601"/>
        <v>4780.4390000000012</v>
      </c>
      <c r="DM52" s="2833">
        <v>4779.4860000000008</v>
      </c>
      <c r="DN52" s="2833">
        <v>0.95299999999999996</v>
      </c>
      <c r="DO52" s="2802">
        <f t="shared" si="554"/>
        <v>17387.69741410172</v>
      </c>
      <c r="DP52" s="2802">
        <f t="shared" si="554"/>
        <v>17381.780818601721</v>
      </c>
      <c r="DQ52" s="2802">
        <f t="shared" si="554"/>
        <v>5.9165955000000006</v>
      </c>
      <c r="DR52" s="2812">
        <f t="shared" si="554"/>
        <v>4511.4131600000001</v>
      </c>
      <c r="DS52" s="2812">
        <f t="shared" si="554"/>
        <v>4509.7619999999997</v>
      </c>
      <c r="DT52" s="2812">
        <f t="shared" si="554"/>
        <v>1.65116</v>
      </c>
      <c r="DU52" s="2812">
        <f t="shared" si="554"/>
        <v>13818.533000000003</v>
      </c>
      <c r="DV52" s="2812">
        <f t="shared" si="554"/>
        <v>13815.561000000002</v>
      </c>
      <c r="DW52" s="2812">
        <f t="shared" si="554"/>
        <v>2.972</v>
      </c>
      <c r="DX52" s="2813">
        <f t="shared" si="555"/>
        <v>-12876.28425410172</v>
      </c>
      <c r="DY52" s="2813">
        <f t="shared" si="555"/>
        <v>-12872.018818601722</v>
      </c>
      <c r="DZ52" s="2813">
        <f t="shared" si="555"/>
        <v>-4.2654355000000006</v>
      </c>
      <c r="EA52" s="2802">
        <f t="shared" si="556"/>
        <v>52163.09224230516</v>
      </c>
      <c r="EB52" s="2802">
        <f t="shared" si="556"/>
        <v>52145.342455805163</v>
      </c>
      <c r="EC52" s="2802">
        <f t="shared" si="556"/>
        <v>17.749786500000003</v>
      </c>
      <c r="ED52" s="2812">
        <f t="shared" si="556"/>
        <v>35655.172290000002</v>
      </c>
      <c r="EE52" s="2812">
        <f t="shared" si="556"/>
        <v>35645.539100000002</v>
      </c>
      <c r="EF52" s="2812">
        <f t="shared" si="556"/>
        <v>9.633189999999999</v>
      </c>
      <c r="EG52" s="2812">
        <f t="shared" si="556"/>
        <v>43408.089210000006</v>
      </c>
      <c r="EH52" s="2812">
        <f t="shared" si="556"/>
        <v>43396.996420000003</v>
      </c>
      <c r="EI52" s="2812">
        <f t="shared" si="556"/>
        <v>11.092789999999999</v>
      </c>
      <c r="EJ52" s="2813">
        <f t="shared" si="557"/>
        <v>-16507.919952305157</v>
      </c>
      <c r="EK52" s="2813">
        <f t="shared" si="557"/>
        <v>-16499.803355805161</v>
      </c>
      <c r="EL52" s="2813">
        <f t="shared" si="557"/>
        <v>-8.1165965000000035</v>
      </c>
      <c r="EM52" s="2832">
        <f t="shared" si="602"/>
        <v>5795.8991380339066</v>
      </c>
      <c r="EN52" s="2832">
        <f>SUM('ПОЛНАЯ СЕБЕСТОИМОСТЬ ВОДА 2023'!BN200)/3</f>
        <v>5793.926939533907</v>
      </c>
      <c r="EO52" s="2832">
        <f>SUM('ПОЛНАЯ СЕБЕСТОИМОСТЬ ВОДА 2023'!BO200)/3</f>
        <v>1.9721985000000002</v>
      </c>
      <c r="EP52" s="2775">
        <f t="shared" si="603"/>
        <v>0</v>
      </c>
      <c r="EQ52" s="2775">
        <f>SUM('ПОЛНАЯ СЕБЕСТОИМОСТЬ ВОДА 2023'!BQ200)</f>
        <v>0</v>
      </c>
      <c r="ER52" s="2775">
        <f>SUM('ПОЛНАЯ СЕБЕСТОИМОСТЬ ВОДА 2023'!BR200)</f>
        <v>0</v>
      </c>
      <c r="ES52" s="2833">
        <f t="shared" si="604"/>
        <v>4429.6660000000002</v>
      </c>
      <c r="ET52" s="2833">
        <v>4429.6660000000002</v>
      </c>
      <c r="EU52" s="2833">
        <v>0</v>
      </c>
      <c r="EV52" s="2832">
        <f t="shared" si="605"/>
        <v>5795.8991380339066</v>
      </c>
      <c r="EW52" s="2832">
        <f t="shared" si="606"/>
        <v>5793.926939533907</v>
      </c>
      <c r="EX52" s="2832">
        <f t="shared" si="607"/>
        <v>1.9721985000000002</v>
      </c>
      <c r="EY52" s="2775">
        <f t="shared" si="608"/>
        <v>0</v>
      </c>
      <c r="EZ52" s="2775">
        <f>SUM('ПОЛНАЯ СЕБЕСТОИМОСТЬ ВОДА 2023'!BT200)</f>
        <v>0</v>
      </c>
      <c r="FA52" s="2775">
        <f>SUM('ПОЛНАЯ СЕБЕСТОИМОСТЬ ВОДА 2023'!BU200)</f>
        <v>0</v>
      </c>
      <c r="FB52" s="2833">
        <f t="shared" si="609"/>
        <v>4884.4507300000005</v>
      </c>
      <c r="FC52" s="2833">
        <v>4884.4507300000005</v>
      </c>
      <c r="FD52" s="2833">
        <v>0</v>
      </c>
      <c r="FE52" s="2832">
        <f t="shared" si="610"/>
        <v>5795.8991380339066</v>
      </c>
      <c r="FF52" s="2832">
        <f t="shared" si="611"/>
        <v>5793.926939533907</v>
      </c>
      <c r="FG52" s="2832">
        <f t="shared" si="612"/>
        <v>1.9721985000000002</v>
      </c>
      <c r="FH52" s="2775">
        <f t="shared" si="613"/>
        <v>0</v>
      </c>
      <c r="FI52" s="2775">
        <f>SUM('ПОЛНАЯ СЕБЕСТОИМОСТЬ ВОДА 2023'!BW200)</f>
        <v>0</v>
      </c>
      <c r="FJ52" s="2775">
        <f>SUM('ПОЛНАЯ СЕБЕСТОИМОСТЬ ВОДА 2023'!BX200)</f>
        <v>0</v>
      </c>
      <c r="FK52" s="2833">
        <f t="shared" si="614"/>
        <v>4511.6769999999997</v>
      </c>
      <c r="FL52" s="2833">
        <v>4511.6769999999997</v>
      </c>
      <c r="FM52" s="2833">
        <v>0</v>
      </c>
      <c r="FN52" s="2802">
        <f t="shared" si="558"/>
        <v>17387.69741410172</v>
      </c>
      <c r="FO52" s="2802">
        <f t="shared" si="558"/>
        <v>17381.780818601721</v>
      </c>
      <c r="FP52" s="2802">
        <f t="shared" si="558"/>
        <v>5.9165955000000006</v>
      </c>
      <c r="FQ52" s="2812">
        <f t="shared" si="558"/>
        <v>0</v>
      </c>
      <c r="FR52" s="2812">
        <f t="shared" si="558"/>
        <v>0</v>
      </c>
      <c r="FS52" s="2812">
        <f t="shared" si="558"/>
        <v>0</v>
      </c>
      <c r="FT52" s="2812">
        <f t="shared" si="558"/>
        <v>13825.793730000001</v>
      </c>
      <c r="FU52" s="2812">
        <f t="shared" si="558"/>
        <v>13825.793730000001</v>
      </c>
      <c r="FV52" s="2812">
        <f t="shared" si="558"/>
        <v>0</v>
      </c>
      <c r="FW52" s="2813">
        <f t="shared" si="559"/>
        <v>-17387.69741410172</v>
      </c>
      <c r="FX52" s="2813">
        <f t="shared" si="559"/>
        <v>-17381.780818601721</v>
      </c>
      <c r="FY52" s="2813">
        <f t="shared" si="559"/>
        <v>-5.9165955000000006</v>
      </c>
      <c r="FZ52" s="2802">
        <f t="shared" si="560"/>
        <v>69550.78965640688</v>
      </c>
      <c r="GA52" s="2802">
        <f t="shared" si="560"/>
        <v>69527.123274406884</v>
      </c>
      <c r="GB52" s="2802">
        <f t="shared" si="560"/>
        <v>23.666382000000002</v>
      </c>
      <c r="GC52" s="2812">
        <f t="shared" si="560"/>
        <v>35655.172290000002</v>
      </c>
      <c r="GD52" s="2812">
        <f t="shared" si="560"/>
        <v>35645.539100000002</v>
      </c>
      <c r="GE52" s="2812">
        <f t="shared" si="560"/>
        <v>9.633189999999999</v>
      </c>
      <c r="GF52" s="2812">
        <f t="shared" si="560"/>
        <v>57233.88294000001</v>
      </c>
      <c r="GG52" s="2812">
        <f t="shared" si="560"/>
        <v>57222.790150000001</v>
      </c>
      <c r="GH52" s="2812">
        <f t="shared" si="560"/>
        <v>11.092789999999999</v>
      </c>
      <c r="GI52" s="2813">
        <f t="shared" si="561"/>
        <v>-33895.617366406877</v>
      </c>
      <c r="GJ52" s="2813">
        <f t="shared" si="561"/>
        <v>-33881.584174406882</v>
      </c>
      <c r="GK52" s="2813">
        <f t="shared" si="561"/>
        <v>-14.033192000000003</v>
      </c>
      <c r="GL52" s="389"/>
      <c r="GM52" s="3578">
        <f t="shared" si="562"/>
        <v>69550.78965640688</v>
      </c>
    </row>
    <row r="53" spans="1:195" ht="18.75" x14ac:dyDescent="0.3">
      <c r="A53" s="2831" t="s">
        <v>5</v>
      </c>
      <c r="B53" s="2832">
        <f t="shared" si="563"/>
        <v>1750.8881619246506</v>
      </c>
      <c r="C53" s="2832">
        <f>SUM('ПОЛНАЯ СЕБЕСТОИМОСТЬ ВОДА 2023'!C201)/3</f>
        <v>1750.294529335476</v>
      </c>
      <c r="D53" s="2832">
        <f>SUM('ПОЛНАЯ СЕБЕСТОИМОСТЬ ВОДА 2023'!D201)/3</f>
        <v>0.59363258917462414</v>
      </c>
      <c r="E53" s="2775">
        <f t="shared" si="564"/>
        <v>1873.7550000000001</v>
      </c>
      <c r="F53" s="2775">
        <f>SUM('ПОЛНАЯ СЕБЕСТОИМОСТЬ ВОДА 2023'!F201)</f>
        <v>1873.7550000000001</v>
      </c>
      <c r="G53" s="2775">
        <f>SUM('ПОЛНАЯ СЕБЕСТОИМОСТЬ ВОДА 2023'!G201)</f>
        <v>0</v>
      </c>
      <c r="H53" s="2833">
        <f t="shared" si="565"/>
        <v>1312.4389999999999</v>
      </c>
      <c r="I53" s="2833">
        <v>1312.1009999999999</v>
      </c>
      <c r="J53" s="2833">
        <v>0.33800000000000002</v>
      </c>
      <c r="K53" s="2832">
        <f t="shared" si="566"/>
        <v>1750.8881619246506</v>
      </c>
      <c r="L53" s="2832">
        <f t="shared" si="567"/>
        <v>1750.294529335476</v>
      </c>
      <c r="M53" s="2832">
        <f t="shared" si="568"/>
        <v>0.59363258917462414</v>
      </c>
      <c r="N53" s="2775">
        <f t="shared" si="569"/>
        <v>1504.6645000000001</v>
      </c>
      <c r="O53" s="2775">
        <f>SUM('ПОЛНАЯ СЕБЕСТОИМОСТЬ ВОДА 2023'!I201)</f>
        <v>1504.6645000000001</v>
      </c>
      <c r="P53" s="2775">
        <f>SUM('ПОЛНАЯ СЕБЕСТОИМОСТЬ ВОДА 2023'!J201)</f>
        <v>0</v>
      </c>
      <c r="Q53" s="2833">
        <f t="shared" si="570"/>
        <v>1175.2839999999999</v>
      </c>
      <c r="R53" s="2833">
        <v>1175.0329999999999</v>
      </c>
      <c r="S53" s="2833">
        <v>0.251</v>
      </c>
      <c r="T53" s="2832">
        <f t="shared" si="571"/>
        <v>1750.8881619246506</v>
      </c>
      <c r="U53" s="2832">
        <f t="shared" si="572"/>
        <v>1750.294529335476</v>
      </c>
      <c r="V53" s="2832">
        <f t="shared" si="573"/>
        <v>0.59363258917462414</v>
      </c>
      <c r="W53" s="2775">
        <f t="shared" si="574"/>
        <v>1492.3871600000002</v>
      </c>
      <c r="X53" s="2775">
        <f>SUM('ПОЛНАЯ СЕБЕСТОИМОСТЬ ВОДА 2023'!L201)</f>
        <v>1492.2731800000001</v>
      </c>
      <c r="Y53" s="2775">
        <f>SUM('ПОЛНАЯ СЕБЕСТОИМОСТЬ ВОДА 2023'!M201)</f>
        <v>0.11398</v>
      </c>
      <c r="Z53" s="2833">
        <f t="shared" si="575"/>
        <v>1876.9009999999998</v>
      </c>
      <c r="AA53" s="2833">
        <v>1876.36</v>
      </c>
      <c r="AB53" s="2833">
        <v>0.54100000000000004</v>
      </c>
      <c r="AC53" s="2802">
        <f t="shared" si="548"/>
        <v>5252.664485773952</v>
      </c>
      <c r="AD53" s="2802">
        <f t="shared" si="548"/>
        <v>5250.883588006428</v>
      </c>
      <c r="AE53" s="2802">
        <f t="shared" si="548"/>
        <v>1.7808977675238724</v>
      </c>
      <c r="AF53" s="2812">
        <f t="shared" si="548"/>
        <v>4870.8066600000002</v>
      </c>
      <c r="AG53" s="2812">
        <f t="shared" si="548"/>
        <v>4870.6926800000001</v>
      </c>
      <c r="AH53" s="2812">
        <f t="shared" si="548"/>
        <v>0.11398</v>
      </c>
      <c r="AI53" s="2812">
        <f t="shared" si="548"/>
        <v>4364.6239999999998</v>
      </c>
      <c r="AJ53" s="2812">
        <f t="shared" si="548"/>
        <v>4363.4939999999997</v>
      </c>
      <c r="AK53" s="2812">
        <f t="shared" si="548"/>
        <v>1.1299999999999999</v>
      </c>
      <c r="AL53" s="2813">
        <f t="shared" si="549"/>
        <v>-381.85782577395184</v>
      </c>
      <c r="AM53" s="2813">
        <f t="shared" si="549"/>
        <v>-380.19090800642789</v>
      </c>
      <c r="AN53" s="2813">
        <f t="shared" si="549"/>
        <v>-1.6669177675238724</v>
      </c>
      <c r="AO53" s="2832">
        <f t="shared" si="576"/>
        <v>1750.8881619246506</v>
      </c>
      <c r="AP53" s="2832">
        <f>SUM('ПОЛНАЯ СЕБЕСТОИМОСТЬ ВОДА 2023'!R201)/3</f>
        <v>1750.294529335476</v>
      </c>
      <c r="AQ53" s="2832">
        <f>SUM('ПОЛНАЯ СЕБЕСТОИМОСТЬ ВОДА 2023'!S201)/3</f>
        <v>0.59363258917462414</v>
      </c>
      <c r="AR53" s="2832">
        <f t="shared" si="577"/>
        <v>1524.5964300000001</v>
      </c>
      <c r="AS53" s="2832">
        <f>SUM('ПОЛНАЯ СЕБЕСТОИМОСТЬ ВОДА 2023'!U201)</f>
        <v>1523.9234300000001</v>
      </c>
      <c r="AT53" s="2832">
        <f>SUM('ПОЛНАЯ СЕБЕСТОИМОСТЬ ВОДА 2023'!V201)</f>
        <v>0.67300000000000004</v>
      </c>
      <c r="AU53" s="2833">
        <f t="shared" si="578"/>
        <v>1469.0029999999999</v>
      </c>
      <c r="AV53" s="2833">
        <v>1468.4829999999999</v>
      </c>
      <c r="AW53" s="2833">
        <v>0.52</v>
      </c>
      <c r="AX53" s="2832">
        <f t="shared" si="579"/>
        <v>1750.8881619246506</v>
      </c>
      <c r="AY53" s="2832">
        <f t="shared" si="580"/>
        <v>1750.294529335476</v>
      </c>
      <c r="AZ53" s="2832">
        <f t="shared" si="581"/>
        <v>0.59363258917462414</v>
      </c>
      <c r="BA53" s="2832">
        <f t="shared" si="582"/>
        <v>1612.1709999999998</v>
      </c>
      <c r="BB53" s="2832">
        <f>SUM('ПОЛНАЯ СЕБЕСТОИМОСТЬ ВОДА 2023'!X201)</f>
        <v>1611.1799999999998</v>
      </c>
      <c r="BC53" s="2832">
        <f>SUM('ПОЛНАЯ СЕБЕСТОИМОСТЬ ВОДА 2023'!Y201)</f>
        <v>0.99099999999999999</v>
      </c>
      <c r="BD53" s="2833">
        <f t="shared" si="583"/>
        <v>1505.232</v>
      </c>
      <c r="BE53" s="2833">
        <v>1504.8969999999999</v>
      </c>
      <c r="BF53" s="2833">
        <v>0.33500000000000002</v>
      </c>
      <c r="BG53" s="2832">
        <f t="shared" si="584"/>
        <v>1750.8881619246506</v>
      </c>
      <c r="BH53" s="2832">
        <f t="shared" si="585"/>
        <v>1750.294529335476</v>
      </c>
      <c r="BI53" s="2832">
        <f t="shared" si="586"/>
        <v>0.59363258917462414</v>
      </c>
      <c r="BJ53" s="2775">
        <f t="shared" si="587"/>
        <v>1562.4199400000002</v>
      </c>
      <c r="BK53" s="2775">
        <f>SUM('ПОЛНАЯ СЕБЕСТОИМОСТЬ ВОДА 2023'!AA201)</f>
        <v>1561.7920000000001</v>
      </c>
      <c r="BL53" s="2775">
        <f>SUM('ПОЛНАЯ СЕБЕСТОИМОСТЬ ВОДА 2023'!AB201)</f>
        <v>0.62794000000000005</v>
      </c>
      <c r="BM53" s="2833">
        <f t="shared" si="588"/>
        <v>1501.1420399999997</v>
      </c>
      <c r="BN53" s="2833">
        <v>1500.6745199999998</v>
      </c>
      <c r="BO53" s="2833">
        <v>0.46751999999999999</v>
      </c>
      <c r="BP53" s="2802">
        <f t="shared" si="550"/>
        <v>5252.664485773952</v>
      </c>
      <c r="BQ53" s="2802">
        <f t="shared" si="550"/>
        <v>5250.883588006428</v>
      </c>
      <c r="BR53" s="2802">
        <f t="shared" si="550"/>
        <v>1.7808977675238724</v>
      </c>
      <c r="BS53" s="2812">
        <f t="shared" si="550"/>
        <v>4699.1873699999996</v>
      </c>
      <c r="BT53" s="2812">
        <f t="shared" si="550"/>
        <v>4696.8954300000005</v>
      </c>
      <c r="BU53" s="2812">
        <f t="shared" si="550"/>
        <v>2.2919400000000003</v>
      </c>
      <c r="BV53" s="2812">
        <f t="shared" si="550"/>
        <v>4475.3770399999994</v>
      </c>
      <c r="BW53" s="2812">
        <f t="shared" si="550"/>
        <v>4474.0545199999997</v>
      </c>
      <c r="BX53" s="2812">
        <f t="shared" si="550"/>
        <v>1.3225199999999999</v>
      </c>
      <c r="BY53" s="2813">
        <f t="shared" si="551"/>
        <v>-553.47711577395239</v>
      </c>
      <c r="BZ53" s="2813">
        <f t="shared" si="551"/>
        <v>-553.98815800642751</v>
      </c>
      <c r="CA53" s="2813">
        <f t="shared" si="551"/>
        <v>0.5110422324761279</v>
      </c>
      <c r="CB53" s="2812">
        <f t="shared" si="552"/>
        <v>10505.328971547904</v>
      </c>
      <c r="CC53" s="2812">
        <f t="shared" si="552"/>
        <v>10501.767176012856</v>
      </c>
      <c r="CD53" s="2812">
        <f t="shared" si="552"/>
        <v>3.5617955350477448</v>
      </c>
      <c r="CE53" s="2812">
        <f t="shared" si="552"/>
        <v>9569.9940299999998</v>
      </c>
      <c r="CF53" s="2812">
        <f t="shared" si="552"/>
        <v>9567.5881100000006</v>
      </c>
      <c r="CG53" s="2812">
        <f t="shared" si="552"/>
        <v>2.4059200000000005</v>
      </c>
      <c r="CH53" s="2812">
        <f t="shared" si="552"/>
        <v>8840.0010399999992</v>
      </c>
      <c r="CI53" s="2812">
        <f t="shared" si="552"/>
        <v>8837.5485200000003</v>
      </c>
      <c r="CJ53" s="2812">
        <f t="shared" si="552"/>
        <v>2.4525199999999998</v>
      </c>
      <c r="CK53" s="2813">
        <f t="shared" si="553"/>
        <v>-935.33494154790424</v>
      </c>
      <c r="CL53" s="2813">
        <f t="shared" si="553"/>
        <v>-934.1790660128554</v>
      </c>
      <c r="CM53" s="2813">
        <f t="shared" si="553"/>
        <v>-1.1558755350477443</v>
      </c>
      <c r="CN53" s="2832">
        <f t="shared" si="589"/>
        <v>1750.8881619246506</v>
      </c>
      <c r="CO53" s="2832">
        <f>SUM('ПОЛНАЯ СЕБЕСТОИМОСТЬ ВОДА 2023'!AP201)/3</f>
        <v>1750.294529335476</v>
      </c>
      <c r="CP53" s="2832">
        <f>SUM('ПОЛНАЯ СЕБЕСТОИМОСТЬ ВОДА 2023'!AQ201)/3</f>
        <v>0.59363258917462414</v>
      </c>
      <c r="CQ53" s="2775">
        <f t="shared" si="590"/>
        <v>1275.3996400000003</v>
      </c>
      <c r="CR53" s="2775">
        <f>SUM('ПОЛНАЯ СЕБЕСТОИМОСТЬ ВОДА 2023'!AS201)</f>
        <v>1274.9010000000003</v>
      </c>
      <c r="CS53" s="2775">
        <f>SUM('ПОЛНАЯ СЕБЕСТОИМОСТЬ ВОДА 2023'!AT201)</f>
        <v>0.49864000000000003</v>
      </c>
      <c r="CT53" s="2833">
        <f t="shared" si="591"/>
        <v>1337.67</v>
      </c>
      <c r="CU53" s="2833">
        <v>1337.2230000000002</v>
      </c>
      <c r="CV53" s="2833">
        <v>0.44700000000000001</v>
      </c>
      <c r="CW53" s="2832">
        <f t="shared" si="592"/>
        <v>1750.8881619246506</v>
      </c>
      <c r="CX53" s="2832">
        <f t="shared" si="593"/>
        <v>1750.294529335476</v>
      </c>
      <c r="CY53" s="2832">
        <f t="shared" si="594"/>
        <v>0.59363258917462414</v>
      </c>
      <c r="CZ53" s="2775">
        <f t="shared" si="595"/>
        <v>0</v>
      </c>
      <c r="DA53" s="2775">
        <f>SUM('ПОЛНАЯ СЕБЕСТОИМОСТЬ ВОДА 2023'!AV201)</f>
        <v>0</v>
      </c>
      <c r="DB53" s="2775">
        <f>SUM('ПОЛНАЯ СЕБЕСТОИМОСТЬ ВОДА 2023'!AW201)</f>
        <v>0</v>
      </c>
      <c r="DC53" s="2833">
        <f t="shared" si="596"/>
        <v>1390.0669999999998</v>
      </c>
      <c r="DD53" s="2833">
        <v>1389.9039999999998</v>
      </c>
      <c r="DE53" s="2833">
        <v>0.16300000000000001</v>
      </c>
      <c r="DF53" s="2832">
        <f t="shared" si="597"/>
        <v>1750.8881619246506</v>
      </c>
      <c r="DG53" s="2832">
        <f t="shared" si="598"/>
        <v>1750.294529335476</v>
      </c>
      <c r="DH53" s="2832">
        <f t="shared" si="599"/>
        <v>0.59363258917462414</v>
      </c>
      <c r="DI53" s="2775">
        <f t="shared" si="600"/>
        <v>0</v>
      </c>
      <c r="DJ53" s="2775">
        <f>SUM('ПОЛНАЯ СЕБЕСТОИМОСТЬ ВОДА 2023'!AY201)</f>
        <v>0</v>
      </c>
      <c r="DK53" s="2775">
        <f>SUM('ПОЛНАЯ СЕБЕСТОИМОСТЬ ВОДА 2023'!AZ201)</f>
        <v>0</v>
      </c>
      <c r="DL53" s="2833">
        <f t="shared" si="601"/>
        <v>1440.1079999999999</v>
      </c>
      <c r="DM53" s="2833">
        <v>1439.82</v>
      </c>
      <c r="DN53" s="2833">
        <v>0.28799999999999998</v>
      </c>
      <c r="DO53" s="2802">
        <f t="shared" si="554"/>
        <v>5252.664485773952</v>
      </c>
      <c r="DP53" s="2802">
        <f t="shared" si="554"/>
        <v>5250.883588006428</v>
      </c>
      <c r="DQ53" s="2802">
        <f t="shared" si="554"/>
        <v>1.7808977675238724</v>
      </c>
      <c r="DR53" s="2812">
        <f t="shared" si="554"/>
        <v>1275.3996400000003</v>
      </c>
      <c r="DS53" s="2812">
        <f t="shared" si="554"/>
        <v>1274.9010000000003</v>
      </c>
      <c r="DT53" s="2812">
        <f t="shared" si="554"/>
        <v>0.49864000000000003</v>
      </c>
      <c r="DU53" s="2812">
        <f t="shared" si="554"/>
        <v>4167.8450000000003</v>
      </c>
      <c r="DV53" s="2812">
        <f t="shared" si="554"/>
        <v>4166.9470000000001</v>
      </c>
      <c r="DW53" s="2812">
        <f t="shared" si="554"/>
        <v>0.89799999999999991</v>
      </c>
      <c r="DX53" s="2813">
        <f t="shared" si="555"/>
        <v>-3977.2648457739515</v>
      </c>
      <c r="DY53" s="2813">
        <f t="shared" si="555"/>
        <v>-3975.9825880064277</v>
      </c>
      <c r="DZ53" s="2813">
        <f t="shared" si="555"/>
        <v>-1.2822577675238724</v>
      </c>
      <c r="EA53" s="2802">
        <f t="shared" si="556"/>
        <v>15757.993457321856</v>
      </c>
      <c r="EB53" s="2802">
        <f t="shared" si="556"/>
        <v>15752.650764019283</v>
      </c>
      <c r="EC53" s="2802">
        <f t="shared" si="556"/>
        <v>5.3426933025716172</v>
      </c>
      <c r="ED53" s="2812">
        <f t="shared" si="556"/>
        <v>10845.393669999999</v>
      </c>
      <c r="EE53" s="2812">
        <f t="shared" si="556"/>
        <v>10842.48911</v>
      </c>
      <c r="EF53" s="2812">
        <f t="shared" si="556"/>
        <v>2.9045600000000005</v>
      </c>
      <c r="EG53" s="2812">
        <f t="shared" si="556"/>
        <v>13007.84604</v>
      </c>
      <c r="EH53" s="2812">
        <f t="shared" si="556"/>
        <v>13004.49552</v>
      </c>
      <c r="EI53" s="2812">
        <f t="shared" si="556"/>
        <v>3.3505199999999995</v>
      </c>
      <c r="EJ53" s="2813">
        <f t="shared" si="557"/>
        <v>-4912.5997873218566</v>
      </c>
      <c r="EK53" s="2813">
        <f t="shared" si="557"/>
        <v>-4910.1616540192827</v>
      </c>
      <c r="EL53" s="2813">
        <f t="shared" si="557"/>
        <v>-2.4381333025716168</v>
      </c>
      <c r="EM53" s="2832">
        <f t="shared" si="602"/>
        <v>1750.8881619246506</v>
      </c>
      <c r="EN53" s="2832">
        <f>SUM('ПОЛНАЯ СЕБЕСТОИМОСТЬ ВОДА 2023'!BN201)/3</f>
        <v>1750.294529335476</v>
      </c>
      <c r="EO53" s="2832">
        <f>SUM('ПОЛНАЯ СЕБЕСТОИМОСТЬ ВОДА 2023'!BO201)/3</f>
        <v>0.59363258917462414</v>
      </c>
      <c r="EP53" s="2775">
        <f t="shared" si="603"/>
        <v>0</v>
      </c>
      <c r="EQ53" s="2775">
        <f>SUM('ПОЛНАЯ СЕБЕСТОИМОСТЬ ВОДА 2023'!BQ201)</f>
        <v>0</v>
      </c>
      <c r="ER53" s="2775">
        <f>SUM('ПОЛНАЯ СЕБЕСТОИМОСТЬ ВОДА 2023'!BR201)</f>
        <v>0</v>
      </c>
      <c r="ES53" s="2833">
        <f t="shared" si="604"/>
        <v>1332.24</v>
      </c>
      <c r="ET53" s="2833">
        <v>1332.24</v>
      </c>
      <c r="EU53" s="2833">
        <v>0</v>
      </c>
      <c r="EV53" s="2832">
        <f t="shared" si="605"/>
        <v>1750.8881619246506</v>
      </c>
      <c r="EW53" s="2832">
        <f t="shared" si="606"/>
        <v>1750.294529335476</v>
      </c>
      <c r="EX53" s="2832">
        <f t="shared" si="607"/>
        <v>0.59363258917462414</v>
      </c>
      <c r="EY53" s="2775">
        <f t="shared" si="608"/>
        <v>0</v>
      </c>
      <c r="EZ53" s="2775">
        <f>SUM('ПОЛНАЯ СЕБЕСТОИМОСТЬ ВОДА 2023'!BT201)</f>
        <v>0</v>
      </c>
      <c r="FA53" s="2775">
        <f>SUM('ПОЛНАЯ СЕБЕСТОИМОСТЬ ВОДА 2023'!BU201)</f>
        <v>0</v>
      </c>
      <c r="FB53" s="2833">
        <f t="shared" si="609"/>
        <v>1480.6565600000001</v>
      </c>
      <c r="FC53" s="2833">
        <v>1480.6565600000001</v>
      </c>
      <c r="FD53" s="2833">
        <v>0</v>
      </c>
      <c r="FE53" s="2832">
        <f t="shared" si="610"/>
        <v>1750.8881619246506</v>
      </c>
      <c r="FF53" s="2832">
        <f t="shared" si="611"/>
        <v>1750.294529335476</v>
      </c>
      <c r="FG53" s="2832">
        <f t="shared" si="612"/>
        <v>0.59363258917462414</v>
      </c>
      <c r="FH53" s="2775">
        <f t="shared" si="613"/>
        <v>0</v>
      </c>
      <c r="FI53" s="2775">
        <f>SUM('ПОЛНАЯ СЕБЕСТОИМОСТЬ ВОДА 2023'!BW201)</f>
        <v>0</v>
      </c>
      <c r="FJ53" s="2775">
        <f>SUM('ПОЛНАЯ СЕБЕСТОИМОСТЬ ВОДА 2023'!BX201)</f>
        <v>0</v>
      </c>
      <c r="FK53" s="2833">
        <f t="shared" si="614"/>
        <v>1334.8265699999999</v>
      </c>
      <c r="FL53" s="2833">
        <v>1334.8265699999999</v>
      </c>
      <c r="FM53" s="2833">
        <v>0</v>
      </c>
      <c r="FN53" s="2802">
        <f t="shared" si="558"/>
        <v>5252.664485773952</v>
      </c>
      <c r="FO53" s="2802">
        <f t="shared" si="558"/>
        <v>5250.883588006428</v>
      </c>
      <c r="FP53" s="2802">
        <f t="shared" si="558"/>
        <v>1.7808977675238724</v>
      </c>
      <c r="FQ53" s="2812">
        <f t="shared" si="558"/>
        <v>0</v>
      </c>
      <c r="FR53" s="2812">
        <f t="shared" si="558"/>
        <v>0</v>
      </c>
      <c r="FS53" s="2812">
        <f t="shared" si="558"/>
        <v>0</v>
      </c>
      <c r="FT53" s="2812">
        <f t="shared" si="558"/>
        <v>4147.7231300000003</v>
      </c>
      <c r="FU53" s="2812">
        <f t="shared" si="558"/>
        <v>4147.7231300000003</v>
      </c>
      <c r="FV53" s="2812">
        <f t="shared" si="558"/>
        <v>0</v>
      </c>
      <c r="FW53" s="2813">
        <f t="shared" si="559"/>
        <v>-5252.664485773952</v>
      </c>
      <c r="FX53" s="2813">
        <f t="shared" si="559"/>
        <v>-5250.883588006428</v>
      </c>
      <c r="FY53" s="2813">
        <f t="shared" si="559"/>
        <v>-1.7808977675238724</v>
      </c>
      <c r="FZ53" s="2802">
        <f t="shared" si="560"/>
        <v>21010.657943095808</v>
      </c>
      <c r="GA53" s="2802">
        <f t="shared" si="560"/>
        <v>21003.534352025712</v>
      </c>
      <c r="GB53" s="2802">
        <f t="shared" si="560"/>
        <v>7.1235910700954896</v>
      </c>
      <c r="GC53" s="2812">
        <f t="shared" si="560"/>
        <v>10845.393669999999</v>
      </c>
      <c r="GD53" s="2812">
        <f t="shared" si="560"/>
        <v>10842.48911</v>
      </c>
      <c r="GE53" s="2812">
        <f t="shared" si="560"/>
        <v>2.9045600000000005</v>
      </c>
      <c r="GF53" s="2812">
        <f t="shared" si="560"/>
        <v>17155.569170000002</v>
      </c>
      <c r="GG53" s="2812">
        <f t="shared" si="560"/>
        <v>17152.218650000003</v>
      </c>
      <c r="GH53" s="2812">
        <f t="shared" si="560"/>
        <v>3.3505199999999995</v>
      </c>
      <c r="GI53" s="2813">
        <f t="shared" si="561"/>
        <v>-10165.264273095809</v>
      </c>
      <c r="GJ53" s="2813">
        <f t="shared" si="561"/>
        <v>-10161.045242025712</v>
      </c>
      <c r="GK53" s="2813">
        <f t="shared" si="561"/>
        <v>-4.2190310700954896</v>
      </c>
      <c r="GL53" s="389"/>
      <c r="GM53" s="3578">
        <f t="shared" si="562"/>
        <v>21010.657943095808</v>
      </c>
    </row>
    <row r="54" spans="1:195" ht="18.75" x14ac:dyDescent="0.3">
      <c r="A54" s="2834" t="s">
        <v>308</v>
      </c>
      <c r="B54" s="2783">
        <f>SUM(B53/B52)</f>
        <v>0.30209086118061562</v>
      </c>
      <c r="C54" s="2783">
        <f t="shared" ref="C54:BL54" si="615">SUM(C53/C52)</f>
        <v>0.3020912323544554</v>
      </c>
      <c r="D54" s="2783">
        <f t="shared" si="615"/>
        <v>0.30100042626268303</v>
      </c>
      <c r="E54" s="2783">
        <f>SUM(E53/E52)</f>
        <v>0.29957345969290822</v>
      </c>
      <c r="F54" s="2783">
        <f t="shared" si="615"/>
        <v>0.29957345969290822</v>
      </c>
      <c r="G54" s="2783" t="e">
        <f t="shared" si="615"/>
        <v>#DIV/0!</v>
      </c>
      <c r="H54" s="2783">
        <f t="shared" si="615"/>
        <v>0.31434971971875103</v>
      </c>
      <c r="I54" s="2783">
        <v>0.31435301569990981</v>
      </c>
      <c r="J54" s="2783">
        <v>0.30205540661304736</v>
      </c>
      <c r="K54" s="2783">
        <f>SUM(K53/K52)</f>
        <v>0.30209086118061562</v>
      </c>
      <c r="L54" s="2783">
        <f t="shared" si="615"/>
        <v>0.3020912323544554</v>
      </c>
      <c r="M54" s="2783">
        <f t="shared" si="615"/>
        <v>0.30100042626268303</v>
      </c>
      <c r="N54" s="2783">
        <f>SUM(N53/N52)</f>
        <v>0.30614419174549384</v>
      </c>
      <c r="O54" s="2783">
        <f t="shared" si="615"/>
        <v>0.30614419174549384</v>
      </c>
      <c r="P54" s="2783" t="e">
        <f t="shared" si="615"/>
        <v>#DIV/0!</v>
      </c>
      <c r="Q54" s="2783">
        <f t="shared" ref="Q54" si="616">SUM(Q53/Q52)</f>
        <v>0.29739908271390159</v>
      </c>
      <c r="R54" s="2783">
        <v>0.2973981806829234</v>
      </c>
      <c r="S54" s="2783">
        <v>0.30168269230769235</v>
      </c>
      <c r="T54" s="2783">
        <f>SUM(T53/T52)</f>
        <v>0.30209086118061562</v>
      </c>
      <c r="U54" s="2783">
        <f t="shared" si="615"/>
        <v>0.3020912323544554</v>
      </c>
      <c r="V54" s="2783">
        <f t="shared" si="615"/>
        <v>0.30100042626268303</v>
      </c>
      <c r="W54" s="2783">
        <f>SUM(W53/W52)</f>
        <v>0.30386784086684604</v>
      </c>
      <c r="X54" s="2783">
        <f t="shared" si="615"/>
        <v>0.30386798334977966</v>
      </c>
      <c r="Y54" s="2783">
        <f t="shared" si="615"/>
        <v>0.30201377848436672</v>
      </c>
      <c r="Z54" s="2783">
        <f t="shared" si="615"/>
        <v>0.30230805124077659</v>
      </c>
      <c r="AA54" s="2783">
        <v>0.30230816982528291</v>
      </c>
      <c r="AB54" s="2783">
        <v>0.30189732142857145</v>
      </c>
      <c r="AC54" s="2835">
        <f t="shared" si="615"/>
        <v>0.30209086118061562</v>
      </c>
      <c r="AD54" s="2835">
        <f t="shared" si="615"/>
        <v>0.3020912323544554</v>
      </c>
      <c r="AE54" s="2835">
        <f t="shared" si="615"/>
        <v>0.30100042626268303</v>
      </c>
      <c r="AF54" s="2835">
        <f t="shared" si="615"/>
        <v>0.30289325570471132</v>
      </c>
      <c r="AG54" s="2835">
        <f t="shared" si="615"/>
        <v>0.3028932763454576</v>
      </c>
      <c r="AH54" s="2835">
        <f t="shared" si="615"/>
        <v>0.30201377848436672</v>
      </c>
      <c r="AI54" s="2835">
        <f t="shared" si="615"/>
        <v>0.3044618206864646</v>
      </c>
      <c r="AJ54" s="2835">
        <f t="shared" si="615"/>
        <v>0.30446249056730151</v>
      </c>
      <c r="AK54" s="2835">
        <f t="shared" si="615"/>
        <v>0.30189687416510813</v>
      </c>
      <c r="AL54" s="2819">
        <f t="shared" si="549"/>
        <v>8.0239452409569534E-4</v>
      </c>
      <c r="AM54" s="2819">
        <f t="shared" si="549"/>
        <v>8.0204399100219925E-4</v>
      </c>
      <c r="AN54" s="2819">
        <f t="shared" si="549"/>
        <v>1.0133522216836943E-3</v>
      </c>
      <c r="AO54" s="2783">
        <f>SUM(AO53/AO52)</f>
        <v>0.30209086118061562</v>
      </c>
      <c r="AP54" s="2783">
        <f t="shared" si="615"/>
        <v>0.3020912323544554</v>
      </c>
      <c r="AQ54" s="2783">
        <f t="shared" si="615"/>
        <v>0.30100042626268303</v>
      </c>
      <c r="AR54" s="2783">
        <f>SUM(AR53/AR52)</f>
        <v>0.30617017486643433</v>
      </c>
      <c r="AS54" s="2783">
        <f t="shared" si="615"/>
        <v>0.30617841012287939</v>
      </c>
      <c r="AT54" s="2783">
        <f t="shared" si="615"/>
        <v>0.28859348198970847</v>
      </c>
      <c r="AU54" s="2783">
        <f t="shared" ref="AU54" si="617">SUM(AU53/AU52)</f>
        <v>0.3021832852048979</v>
      </c>
      <c r="AV54" s="2783">
        <v>0.30218348357283986</v>
      </c>
      <c r="AW54" s="2783">
        <v>0.30162412993039445</v>
      </c>
      <c r="AX54" s="2783">
        <f>SUM(AX53/AX52)</f>
        <v>0.30209086118061562</v>
      </c>
      <c r="AY54" s="2783">
        <f t="shared" si="615"/>
        <v>0.3020912323544554</v>
      </c>
      <c r="AZ54" s="2783">
        <f t="shared" si="615"/>
        <v>0.30100042626268303</v>
      </c>
      <c r="BA54" s="2783">
        <f>SUM(BA53/BA52)</f>
        <v>0.30681521900895486</v>
      </c>
      <c r="BB54" s="2783">
        <f t="shared" si="615"/>
        <v>0.3068128260474221</v>
      </c>
      <c r="BC54" s="2783">
        <f t="shared" si="615"/>
        <v>0.31075572279711505</v>
      </c>
      <c r="BD54" s="2783">
        <f t="shared" si="615"/>
        <v>0.2764826830960847</v>
      </c>
      <c r="BE54" s="2783">
        <v>0.27647751982874486</v>
      </c>
      <c r="BF54" s="2783">
        <v>0.30180180180180177</v>
      </c>
      <c r="BG54" s="2783">
        <f>SUM(BG53/BG52)</f>
        <v>0.30209086118061562</v>
      </c>
      <c r="BH54" s="2783">
        <f t="shared" si="615"/>
        <v>0.3020912323544554</v>
      </c>
      <c r="BI54" s="2783">
        <f t="shared" si="615"/>
        <v>0.30100042626268303</v>
      </c>
      <c r="BJ54" s="2783">
        <f>SUM(BJ53/BJ52)</f>
        <v>0.32356824200425277</v>
      </c>
      <c r="BK54" s="2783">
        <f t="shared" si="615"/>
        <v>0.32357782559568082</v>
      </c>
      <c r="BL54" s="2783">
        <f t="shared" si="615"/>
        <v>0.30136828515619379</v>
      </c>
      <c r="BM54" s="2783">
        <f t="shared" ref="BM54" si="618">SUM(BM53/BM52)</f>
        <v>0.30335280783879853</v>
      </c>
      <c r="BN54" s="2783">
        <v>0.30335296814562673</v>
      </c>
      <c r="BO54" s="2783">
        <v>0.30283911671924291</v>
      </c>
      <c r="BP54" s="2835">
        <f t="shared" ref="BP54:DW54" si="619">SUM(BP53/BP52)</f>
        <v>0.30209086118061562</v>
      </c>
      <c r="BQ54" s="2835">
        <f t="shared" si="619"/>
        <v>0.3020912323544554</v>
      </c>
      <c r="BR54" s="2835">
        <f t="shared" si="619"/>
        <v>0.30100042626268303</v>
      </c>
      <c r="BS54" s="2835">
        <f t="shared" si="619"/>
        <v>0.31197252451548019</v>
      </c>
      <c r="BT54" s="2835">
        <f t="shared" si="619"/>
        <v>0.31197787120719711</v>
      </c>
      <c r="BU54" s="2835">
        <f t="shared" si="619"/>
        <v>0.30138744422805586</v>
      </c>
      <c r="BV54" s="2835">
        <f t="shared" si="619"/>
        <v>0.29339004178361999</v>
      </c>
      <c r="BW54" s="2835">
        <f t="shared" si="619"/>
        <v>0.29338754205195872</v>
      </c>
      <c r="BX54" s="2835">
        <f t="shared" si="619"/>
        <v>0.30209763373757076</v>
      </c>
      <c r="BY54" s="2819">
        <f t="shared" si="551"/>
        <v>9.8816633348645655E-3</v>
      </c>
      <c r="BZ54" s="2819">
        <f t="shared" si="551"/>
        <v>9.8866388527417137E-3</v>
      </c>
      <c r="CA54" s="2819">
        <f t="shared" si="551"/>
        <v>3.8701796537282673E-4</v>
      </c>
      <c r="CB54" s="2835">
        <f>SUM(CB53/CB52)</f>
        <v>0.30209086118061562</v>
      </c>
      <c r="CC54" s="2835">
        <f t="shared" ref="CC54:CM54" si="620">SUM(CC53/CC52)</f>
        <v>0.3020912323544554</v>
      </c>
      <c r="CD54" s="2835">
        <f t="shared" si="620"/>
        <v>0.30100042626268303</v>
      </c>
      <c r="CE54" s="2835">
        <f t="shared" si="620"/>
        <v>0.30728448643765249</v>
      </c>
      <c r="CF54" s="2835">
        <f t="shared" si="620"/>
        <v>0.30728599062330775</v>
      </c>
      <c r="CG54" s="2835">
        <f t="shared" si="620"/>
        <v>0.30141705806668234</v>
      </c>
      <c r="CH54" s="2835">
        <f t="shared" si="620"/>
        <v>0.2987540934126095</v>
      </c>
      <c r="CI54" s="2835">
        <f t="shared" si="620"/>
        <v>0.29875320093577795</v>
      </c>
      <c r="CJ54" s="2835">
        <f t="shared" si="620"/>
        <v>0.30200510048899182</v>
      </c>
      <c r="CK54" s="2835">
        <f t="shared" si="620"/>
        <v>0.25755197362186177</v>
      </c>
      <c r="CL54" s="2835">
        <f t="shared" si="620"/>
        <v>0.25750676657687832</v>
      </c>
      <c r="CM54" s="2835">
        <f t="shared" si="620"/>
        <v>0.30013690288402484</v>
      </c>
      <c r="CN54" s="2783">
        <f>SUM(CN53/CN52)</f>
        <v>0.30209086118061562</v>
      </c>
      <c r="CO54" s="2783">
        <f t="shared" si="619"/>
        <v>0.3020912323544554</v>
      </c>
      <c r="CP54" s="2783">
        <f t="shared" si="619"/>
        <v>0.30100042626268303</v>
      </c>
      <c r="CQ54" s="2783">
        <f>SUM(CQ53/CQ52)</f>
        <v>0.28270512913962426</v>
      </c>
      <c r="CR54" s="2783">
        <f t="shared" si="619"/>
        <v>0.28269806699333588</v>
      </c>
      <c r="CS54" s="2783">
        <f t="shared" si="619"/>
        <v>0.30199374984859134</v>
      </c>
      <c r="CT54" s="2783">
        <f t="shared" si="619"/>
        <v>0.30242754587327603</v>
      </c>
      <c r="CU54" s="2783">
        <v>0.30242761153692194</v>
      </c>
      <c r="CV54" s="2783">
        <v>0.30223123732251522</v>
      </c>
      <c r="CW54" s="2783">
        <f>SUM(CW53/CW52)</f>
        <v>0.30209086118061562</v>
      </c>
      <c r="CX54" s="2783">
        <f t="shared" si="619"/>
        <v>0.3020912323544554</v>
      </c>
      <c r="CY54" s="2783">
        <f t="shared" si="619"/>
        <v>0.30100042626268303</v>
      </c>
      <c r="CZ54" s="2783" t="e">
        <f>SUM(CZ53/CZ52)</f>
        <v>#DIV/0!</v>
      </c>
      <c r="DA54" s="2783" t="e">
        <f t="shared" si="619"/>
        <v>#DIV/0!</v>
      </c>
      <c r="DB54" s="2783" t="e">
        <f t="shared" si="619"/>
        <v>#DIV/0!</v>
      </c>
      <c r="DC54" s="2783">
        <f t="shared" ref="DC54" si="621">SUM(DC53/DC52)</f>
        <v>0.30120726286217614</v>
      </c>
      <c r="DD54" s="2783">
        <v>0.3012071874299076</v>
      </c>
      <c r="DE54" s="2783">
        <v>0.30185185185185182</v>
      </c>
      <c r="DF54" s="2783">
        <f>SUM(DF53/DF52)</f>
        <v>0.30209086118061562</v>
      </c>
      <c r="DG54" s="2783">
        <f t="shared" si="619"/>
        <v>0.3020912323544554</v>
      </c>
      <c r="DH54" s="2783">
        <f t="shared" si="619"/>
        <v>0.30100042626268303</v>
      </c>
      <c r="DI54" s="2783" t="e">
        <f>SUM(DI53/DI52)</f>
        <v>#DIV/0!</v>
      </c>
      <c r="DJ54" s="2783" t="e">
        <f t="shared" si="619"/>
        <v>#DIV/0!</v>
      </c>
      <c r="DK54" s="2783" t="e">
        <f t="shared" si="619"/>
        <v>#DIV/0!</v>
      </c>
      <c r="DL54" s="2783">
        <f t="shared" si="619"/>
        <v>0.30125015715083897</v>
      </c>
      <c r="DM54" s="2783">
        <v>0.30124996704666562</v>
      </c>
      <c r="DN54" s="2783">
        <v>0.30220356768100731</v>
      </c>
      <c r="DO54" s="2835">
        <f t="shared" si="619"/>
        <v>0.30209086118061562</v>
      </c>
      <c r="DP54" s="2835">
        <f t="shared" si="619"/>
        <v>0.3020912323544554</v>
      </c>
      <c r="DQ54" s="2835">
        <f t="shared" si="619"/>
        <v>0.30100042626268303</v>
      </c>
      <c r="DR54" s="2835">
        <f t="shared" si="619"/>
        <v>0.28270512913962426</v>
      </c>
      <c r="DS54" s="2835">
        <f t="shared" si="619"/>
        <v>0.28269806699333588</v>
      </c>
      <c r="DT54" s="2835">
        <f t="shared" si="619"/>
        <v>0.30199374984859134</v>
      </c>
      <c r="DU54" s="2835">
        <f t="shared" si="619"/>
        <v>0.30161269651416683</v>
      </c>
      <c r="DV54" s="2835">
        <f t="shared" si="619"/>
        <v>0.30161258019127851</v>
      </c>
      <c r="DW54" s="2835">
        <f t="shared" si="619"/>
        <v>0.30215343203230144</v>
      </c>
      <c r="DX54" s="2819">
        <f t="shared" si="555"/>
        <v>-1.9385732040991366E-2</v>
      </c>
      <c r="DY54" s="2819">
        <f t="shared" si="555"/>
        <v>-1.9393165361119513E-2</v>
      </c>
      <c r="DZ54" s="2819">
        <f t="shared" si="555"/>
        <v>9.9332358590831227E-4</v>
      </c>
      <c r="EA54" s="2835">
        <f t="shared" ref="EA54:GH54" si="622">SUM(EA53/EA52)</f>
        <v>0.30209086118061562</v>
      </c>
      <c r="EB54" s="2835">
        <f t="shared" si="622"/>
        <v>0.30209123235445534</v>
      </c>
      <c r="EC54" s="2835">
        <f t="shared" si="622"/>
        <v>0.30100042626268303</v>
      </c>
      <c r="ED54" s="2835">
        <f t="shared" si="622"/>
        <v>0.30417448503093458</v>
      </c>
      <c r="EE54" s="2835">
        <f t="shared" si="622"/>
        <v>0.30417520351094929</v>
      </c>
      <c r="EF54" s="2835">
        <f t="shared" si="622"/>
        <v>0.30151590490792779</v>
      </c>
      <c r="EG54" s="2835">
        <f t="shared" si="622"/>
        <v>0.29966410124782361</v>
      </c>
      <c r="EH54" s="2835">
        <f t="shared" si="622"/>
        <v>0.29966349270215231</v>
      </c>
      <c r="EI54" s="2835">
        <f>SUM(EI53/EI52)</f>
        <v>0.30204484173954432</v>
      </c>
      <c r="EJ54" s="2819">
        <f t="shared" si="557"/>
        <v>2.0836238503189608E-3</v>
      </c>
      <c r="EK54" s="2819">
        <f t="shared" si="557"/>
        <v>2.0839711564939467E-3</v>
      </c>
      <c r="EL54" s="2819">
        <f t="shared" si="557"/>
        <v>5.1547864524476017E-4</v>
      </c>
      <c r="EM54" s="2783">
        <f>SUM(EM53/EM52)</f>
        <v>0.30209086118061562</v>
      </c>
      <c r="EN54" s="2783">
        <f t="shared" si="622"/>
        <v>0.3020912323544554</v>
      </c>
      <c r="EO54" s="2783">
        <f t="shared" si="622"/>
        <v>0.30100042626268303</v>
      </c>
      <c r="EP54" s="2783" t="e">
        <f>SUM(EP53/EP52)</f>
        <v>#DIV/0!</v>
      </c>
      <c r="EQ54" s="2783" t="e">
        <f>SUM(EQ53/EQ52)</f>
        <v>#DIV/0!</v>
      </c>
      <c r="ER54" s="2783" t="e">
        <f>SUM(ER53/ER52)</f>
        <v>#DIV/0!</v>
      </c>
      <c r="ES54" s="2783">
        <f t="shared" ref="ES54" si="623">SUM(ES53/ES52)</f>
        <v>0.30075405233712882</v>
      </c>
      <c r="ET54" s="2783">
        <v>0.30075405233712882</v>
      </c>
      <c r="EU54" s="2783" t="e">
        <v>#DIV/0!</v>
      </c>
      <c r="EV54" s="2783">
        <f>SUM(EV53/EV52)</f>
        <v>0.30209086118061562</v>
      </c>
      <c r="EW54" s="2783">
        <f t="shared" si="622"/>
        <v>0.3020912323544554</v>
      </c>
      <c r="EX54" s="2783">
        <f t="shared" si="622"/>
        <v>0.30100042626268303</v>
      </c>
      <c r="EY54" s="2783" t="e">
        <f>SUM(EY53/EY52)</f>
        <v>#DIV/0!</v>
      </c>
      <c r="EZ54" s="2783" t="e">
        <f t="shared" si="622"/>
        <v>#DIV/0!</v>
      </c>
      <c r="FA54" s="2783" t="e">
        <f t="shared" si="622"/>
        <v>#DIV/0!</v>
      </c>
      <c r="FB54" s="2783">
        <f t="shared" si="622"/>
        <v>0.3031367582246039</v>
      </c>
      <c r="FC54" s="2783">
        <v>0.3031367582246039</v>
      </c>
      <c r="FD54" s="2783" t="e">
        <v>#DIV/0!</v>
      </c>
      <c r="FE54" s="2783">
        <f>SUM(FE53/FE52)</f>
        <v>0.30209086118061562</v>
      </c>
      <c r="FF54" s="2783">
        <f t="shared" si="622"/>
        <v>0.3020912323544554</v>
      </c>
      <c r="FG54" s="2783">
        <f t="shared" si="622"/>
        <v>0.30100042626268303</v>
      </c>
      <c r="FH54" s="2783" t="e">
        <f t="shared" si="622"/>
        <v>#DIV/0!</v>
      </c>
      <c r="FI54" s="2783" t="e">
        <f t="shared" si="622"/>
        <v>#DIV/0!</v>
      </c>
      <c r="FJ54" s="2783" t="e">
        <f t="shared" si="622"/>
        <v>#DIV/0!</v>
      </c>
      <c r="FK54" s="2783">
        <f t="shared" ref="FK54" si="624">SUM(FK53/FK52)</f>
        <v>0.29586040179738043</v>
      </c>
      <c r="FL54" s="2783">
        <v>0.29586040179738043</v>
      </c>
      <c r="FM54" s="2783" t="e">
        <v>#DIV/0!</v>
      </c>
      <c r="FN54" s="2835">
        <f t="shared" si="622"/>
        <v>0.30209086118061562</v>
      </c>
      <c r="FO54" s="2835">
        <f t="shared" si="622"/>
        <v>0.3020912323544554</v>
      </c>
      <c r="FP54" s="2835">
        <f t="shared" si="622"/>
        <v>0.30100042626268303</v>
      </c>
      <c r="FQ54" s="2835" t="e">
        <f t="shared" si="622"/>
        <v>#DIV/0!</v>
      </c>
      <c r="FR54" s="2835" t="e">
        <f t="shared" si="622"/>
        <v>#DIV/0!</v>
      </c>
      <c r="FS54" s="2835" t="e">
        <f t="shared" si="622"/>
        <v>#DIV/0!</v>
      </c>
      <c r="FT54" s="2835">
        <f t="shared" si="622"/>
        <v>0.2999989158669446</v>
      </c>
      <c r="FU54" s="2835">
        <f t="shared" si="622"/>
        <v>0.2999989158669446</v>
      </c>
      <c r="FV54" s="2835" t="e">
        <f t="shared" si="622"/>
        <v>#DIV/0!</v>
      </c>
      <c r="FW54" s="2819" t="e">
        <f t="shared" si="559"/>
        <v>#DIV/0!</v>
      </c>
      <c r="FX54" s="2819" t="e">
        <f t="shared" si="559"/>
        <v>#DIV/0!</v>
      </c>
      <c r="FY54" s="2819" t="e">
        <f t="shared" si="559"/>
        <v>#DIV/0!</v>
      </c>
      <c r="FZ54" s="2835">
        <f t="shared" si="622"/>
        <v>0.30209086118061562</v>
      </c>
      <c r="GA54" s="2835">
        <f t="shared" si="622"/>
        <v>0.3020912323544554</v>
      </c>
      <c r="GB54" s="2835">
        <f t="shared" si="622"/>
        <v>0.30100042626268303</v>
      </c>
      <c r="GC54" s="2835">
        <f t="shared" si="622"/>
        <v>0.30417448503093458</v>
      </c>
      <c r="GD54" s="2835">
        <f t="shared" si="622"/>
        <v>0.30417520351094929</v>
      </c>
      <c r="GE54" s="2835">
        <f t="shared" si="622"/>
        <v>0.30151590490792779</v>
      </c>
      <c r="GF54" s="2835">
        <f t="shared" si="622"/>
        <v>0.2997449812724518</v>
      </c>
      <c r="GG54" s="2835">
        <f t="shared" si="622"/>
        <v>0.29974453543838603</v>
      </c>
      <c r="GH54" s="2835">
        <f t="shared" si="622"/>
        <v>0.30204484173954432</v>
      </c>
      <c r="GI54" s="2819">
        <f t="shared" si="561"/>
        <v>2.0836238503189608E-3</v>
      </c>
      <c r="GJ54" s="2813">
        <f t="shared" si="561"/>
        <v>2.0839711564938912E-3</v>
      </c>
      <c r="GK54" s="2813">
        <f t="shared" si="561"/>
        <v>5.1547864524476017E-4</v>
      </c>
      <c r="GL54" s="389"/>
      <c r="GM54" s="3578">
        <f t="shared" si="562"/>
        <v>3.6250903341673868</v>
      </c>
    </row>
    <row r="55" spans="1:195" ht="18.75" x14ac:dyDescent="0.3">
      <c r="A55" s="2831" t="s">
        <v>3718</v>
      </c>
      <c r="B55" s="2832">
        <f t="shared" ref="B55:B80" si="625">SUM(C55:D55)</f>
        <v>1920.4969719249223</v>
      </c>
      <c r="C55" s="2832">
        <f>SUM('ПОЛНАЯ СЕБЕСТОИМОСТЬ ВОДА 2023'!C203)/3</f>
        <v>1920.4969719249223</v>
      </c>
      <c r="D55" s="2832">
        <f>SUM('ПОЛНАЯ СЕБЕСТОИМОСТЬ ВОДА 2023'!D203)/3</f>
        <v>0</v>
      </c>
      <c r="E55" s="2775">
        <f t="shared" ref="E55:E74" si="626">SUM(F55:G55)</f>
        <v>3133.0990000000002</v>
      </c>
      <c r="F55" s="2775">
        <f>SUM('ПОЛНАЯ СЕБЕСТОИМОСТЬ ВОДА 2023'!F203)</f>
        <v>3133.0990000000002</v>
      </c>
      <c r="G55" s="2775">
        <f>SUM('ПОЛНАЯ СЕБЕСТОИМОСТЬ ВОДА 2023'!G203)</f>
        <v>0</v>
      </c>
      <c r="H55" s="2837">
        <f>SUM(H56:H59)</f>
        <v>1842.3599999999997</v>
      </c>
      <c r="I55" s="2837">
        <v>1842.3599999999997</v>
      </c>
      <c r="J55" s="2837">
        <v>0</v>
      </c>
      <c r="K55" s="2832">
        <f t="shared" ref="K55:K77" si="627">SUM(L55:M55)</f>
        <v>1920.4969719249223</v>
      </c>
      <c r="L55" s="2832">
        <f t="shared" ref="L55:L74" si="628">SUM(C55)</f>
        <v>1920.4969719249223</v>
      </c>
      <c r="M55" s="2832">
        <f t="shared" ref="M55:M74" si="629">SUM(D55)</f>
        <v>0</v>
      </c>
      <c r="N55" s="2775">
        <f t="shared" ref="N55:N77" si="630">SUM(O55:P55)</f>
        <v>2591.89419</v>
      </c>
      <c r="O55" s="2775">
        <f>SUM('ПОЛНАЯ СЕБЕСТОИМОСТЬ ВОДА 2023'!I203)</f>
        <v>2591.89419</v>
      </c>
      <c r="P55" s="2775">
        <f>SUM('ПОЛНАЯ СЕБЕСТОИМОСТЬ ВОДА 2023'!J203)</f>
        <v>0</v>
      </c>
      <c r="Q55" s="2837">
        <f>SUM(Q56:Q59)</f>
        <v>1603.6790000000001</v>
      </c>
      <c r="R55" s="2837">
        <v>1603.6790000000001</v>
      </c>
      <c r="S55" s="2837">
        <v>0</v>
      </c>
      <c r="T55" s="2832">
        <f t="shared" ref="T55:T77" si="631">SUM(U55:V55)</f>
        <v>1920.4969719249223</v>
      </c>
      <c r="U55" s="2832">
        <f t="shared" ref="U55:U74" si="632">SUM(L55)</f>
        <v>1920.4969719249223</v>
      </c>
      <c r="V55" s="2832">
        <f t="shared" ref="V55:V74" si="633">SUM(M55)</f>
        <v>0</v>
      </c>
      <c r="W55" s="2775">
        <f t="shared" ref="W55:W77" si="634">SUM(X55:Y55)</f>
        <v>2669.7350000000006</v>
      </c>
      <c r="X55" s="2775">
        <f>SUM('ПОЛНАЯ СЕБЕСТОИМОСТЬ ВОДА 2023'!L203)</f>
        <v>2669.7350000000006</v>
      </c>
      <c r="Y55" s="2775">
        <f>SUM('ПОЛНАЯ СЕБЕСТОИМОСТЬ ВОДА 2023'!M203)</f>
        <v>0</v>
      </c>
      <c r="Z55" s="2837">
        <f>SUM(Z56:Z59)</f>
        <v>2226.4369999999999</v>
      </c>
      <c r="AA55" s="2837">
        <v>2226.4369999999999</v>
      </c>
      <c r="AB55" s="2837">
        <v>0</v>
      </c>
      <c r="AC55" s="2802">
        <f t="shared" ref="AC55:AK74" si="635">SUM(B55+K55+T55)</f>
        <v>5761.490915774767</v>
      </c>
      <c r="AD55" s="2802">
        <f t="shared" si="635"/>
        <v>5761.490915774767</v>
      </c>
      <c r="AE55" s="2802">
        <f t="shared" si="635"/>
        <v>0</v>
      </c>
      <c r="AF55" s="2812">
        <f t="shared" si="635"/>
        <v>8394.7281900000016</v>
      </c>
      <c r="AG55" s="2812">
        <f t="shared" si="635"/>
        <v>8394.7281900000016</v>
      </c>
      <c r="AH55" s="2812">
        <f t="shared" si="635"/>
        <v>0</v>
      </c>
      <c r="AI55" s="2812">
        <f t="shared" si="635"/>
        <v>5672.4759999999997</v>
      </c>
      <c r="AJ55" s="2812">
        <f t="shared" si="635"/>
        <v>5672.4759999999997</v>
      </c>
      <c r="AK55" s="2812">
        <f t="shared" si="635"/>
        <v>0</v>
      </c>
      <c r="AL55" s="2813">
        <f t="shared" si="549"/>
        <v>2633.2372742252346</v>
      </c>
      <c r="AM55" s="2813">
        <f t="shared" si="549"/>
        <v>2633.2372742252346</v>
      </c>
      <c r="AN55" s="2813">
        <f t="shared" si="549"/>
        <v>0</v>
      </c>
      <c r="AO55" s="2832">
        <f t="shared" ref="AO55:AO77" si="636">SUM(AP55:AQ55)</f>
        <v>1920.4969719249223</v>
      </c>
      <c r="AP55" s="2832">
        <f>SUM('ПОЛНАЯ СЕБЕСТОИМОСТЬ ВОДА 2023'!R203)/3</f>
        <v>1920.4969719249223</v>
      </c>
      <c r="AQ55" s="2832">
        <f>SUM('ПОЛНАЯ СЕБЕСТОИМОСТЬ ВОДА 2023'!S203)/3</f>
        <v>0</v>
      </c>
      <c r="AR55" s="2832">
        <f t="shared" ref="AR55:AR77" si="637">SUM(AS55:AT55)</f>
        <v>3113.0530000000003</v>
      </c>
      <c r="AS55" s="2832">
        <f>SUM('ПОЛНАЯ СЕБЕСТОИМОСТЬ ВОДА 2023'!U203)</f>
        <v>3113.0530000000003</v>
      </c>
      <c r="AT55" s="2832">
        <f>SUM('ПОЛНАЯ СЕБЕСТОИМОСТЬ ВОДА 2023'!V203)</f>
        <v>0</v>
      </c>
      <c r="AU55" s="2837">
        <f>SUM(AU56:AU59)</f>
        <v>2228.3890000000001</v>
      </c>
      <c r="AV55" s="2837">
        <v>2228.3890000000001</v>
      </c>
      <c r="AW55" s="2837">
        <v>0</v>
      </c>
      <c r="AX55" s="2832">
        <f t="shared" ref="AX55:AX77" si="638">SUM(AY55:AZ55)</f>
        <v>1920.4969719249223</v>
      </c>
      <c r="AY55" s="2832">
        <f t="shared" ref="AY55:AY74" si="639">SUM(AP55)</f>
        <v>1920.4969719249223</v>
      </c>
      <c r="AZ55" s="2832">
        <f t="shared" ref="AZ55:AZ74" si="640">SUM(AQ55)</f>
        <v>0</v>
      </c>
      <c r="BA55" s="2832">
        <f t="shared" ref="BA55:BA77" si="641">SUM(BB55:BC55)</f>
        <v>2740.1190000000006</v>
      </c>
      <c r="BB55" s="2832">
        <f>SUM('ПОЛНАЯ СЕБЕСТОИМОСТЬ ВОДА 2023'!X203)</f>
        <v>2740.1190000000006</v>
      </c>
      <c r="BC55" s="2832">
        <f>SUM('ПОЛНАЯ СЕБЕСТОИМОСТЬ ВОДА 2023'!Y203)</f>
        <v>0</v>
      </c>
      <c r="BD55" s="2837">
        <f>SUM(BD56:BD59)</f>
        <v>2254.6770000000001</v>
      </c>
      <c r="BE55" s="2837">
        <v>2254.6770000000001</v>
      </c>
      <c r="BF55" s="2837">
        <v>0</v>
      </c>
      <c r="BG55" s="2832">
        <f t="shared" ref="BG55:BG77" si="642">SUM(BH55:BI55)</f>
        <v>1920.4969719249223</v>
      </c>
      <c r="BH55" s="2832">
        <f t="shared" ref="BH55:BH74" si="643">SUM(AY55)</f>
        <v>1920.4969719249223</v>
      </c>
      <c r="BI55" s="2832">
        <f t="shared" ref="BI55:BI74" si="644">SUM(AZ55)</f>
        <v>0</v>
      </c>
      <c r="BJ55" s="2775">
        <f t="shared" ref="BJ55:BJ77" si="645">SUM(BK55:BL55)</f>
        <v>2647.0810000000001</v>
      </c>
      <c r="BK55" s="2775">
        <f>SUM('ПОЛНАЯ СЕБЕСТОИМОСТЬ ВОДА 2023'!AA203)</f>
        <v>2647.0810000000001</v>
      </c>
      <c r="BL55" s="2775">
        <f>SUM('ПОЛНАЯ СЕБЕСТОИМОСТЬ ВОДА 2023'!AB203)</f>
        <v>0</v>
      </c>
      <c r="BM55" s="2837">
        <f>SUM(BM56:BM59)</f>
        <v>2193.3214800000001</v>
      </c>
      <c r="BN55" s="2837">
        <v>2193.3214800000001</v>
      </c>
      <c r="BO55" s="2837">
        <v>0</v>
      </c>
      <c r="BP55" s="2802">
        <f t="shared" ref="BP55:BX71" si="646">SUM(AO55+AX55+BG55)</f>
        <v>5761.490915774767</v>
      </c>
      <c r="BQ55" s="2802">
        <f t="shared" si="646"/>
        <v>5761.490915774767</v>
      </c>
      <c r="BR55" s="2802">
        <f t="shared" si="646"/>
        <v>0</v>
      </c>
      <c r="BS55" s="2838">
        <f t="shared" si="646"/>
        <v>8500.2530000000006</v>
      </c>
      <c r="BT55" s="2838">
        <f t="shared" si="646"/>
        <v>8500.2530000000006</v>
      </c>
      <c r="BU55" s="2838">
        <f t="shared" si="646"/>
        <v>0</v>
      </c>
      <c r="BV55" s="2838">
        <f t="shared" si="646"/>
        <v>6676.3874800000012</v>
      </c>
      <c r="BW55" s="2838">
        <f t="shared" si="646"/>
        <v>6676.3874800000012</v>
      </c>
      <c r="BX55" s="2838">
        <f t="shared" si="646"/>
        <v>0</v>
      </c>
      <c r="BY55" s="2839">
        <f t="shared" si="551"/>
        <v>2738.7620842252336</v>
      </c>
      <c r="BZ55" s="2839">
        <f t="shared" si="551"/>
        <v>2738.7620842252336</v>
      </c>
      <c r="CA55" s="2839">
        <f t="shared" si="551"/>
        <v>0</v>
      </c>
      <c r="CB55" s="2812">
        <f t="shared" ref="CB55:CJ71" si="647">SUM(AC55+BP55)</f>
        <v>11522.981831549534</v>
      </c>
      <c r="CC55" s="2812">
        <f t="shared" si="647"/>
        <v>11522.981831549534</v>
      </c>
      <c r="CD55" s="2812">
        <f t="shared" si="647"/>
        <v>0</v>
      </c>
      <c r="CE55" s="2812">
        <f t="shared" si="647"/>
        <v>16894.981190000002</v>
      </c>
      <c r="CF55" s="2812">
        <f t="shared" si="647"/>
        <v>16894.981190000002</v>
      </c>
      <c r="CG55" s="2812">
        <f t="shared" si="647"/>
        <v>0</v>
      </c>
      <c r="CH55" s="2812">
        <f t="shared" si="647"/>
        <v>12348.86348</v>
      </c>
      <c r="CI55" s="2812">
        <f t="shared" si="647"/>
        <v>12348.86348</v>
      </c>
      <c r="CJ55" s="2812">
        <f t="shared" si="647"/>
        <v>0</v>
      </c>
      <c r="CK55" s="2813">
        <f t="shared" si="553"/>
        <v>5371.9993584504682</v>
      </c>
      <c r="CL55" s="2813">
        <f t="shared" si="553"/>
        <v>5371.9993584504682</v>
      </c>
      <c r="CM55" s="2813">
        <f t="shared" si="553"/>
        <v>0</v>
      </c>
      <c r="CN55" s="2832">
        <f t="shared" ref="CN55:CN77" si="648">SUM(CO55:CP55)</f>
        <v>1920.4969719249223</v>
      </c>
      <c r="CO55" s="2832">
        <f>SUM('ПОЛНАЯ СЕБЕСТОИМОСТЬ ВОДА 2023'!AP203)/3</f>
        <v>1920.4969719249223</v>
      </c>
      <c r="CP55" s="2832">
        <f>SUM('ПОЛНАЯ СЕБЕСТОИМОСТЬ ВОДА 2023'!AQ203)/3</f>
        <v>0</v>
      </c>
      <c r="CQ55" s="2775">
        <f t="shared" ref="CQ55:CQ77" si="649">SUM(CR55:CS55)</f>
        <v>2316.4780000000001</v>
      </c>
      <c r="CR55" s="2775">
        <f>SUM('ПОЛНАЯ СЕБЕСТОИМОСТЬ ВОДА 2023'!AS203)</f>
        <v>2316.4780000000001</v>
      </c>
      <c r="CS55" s="2775">
        <f>SUM('ПОЛНАЯ СЕБЕСТОИМОСТЬ ВОДА 2023'!AT203)</f>
        <v>0</v>
      </c>
      <c r="CT55" s="2837">
        <f>SUM(CT56:CT59)</f>
        <v>2253.047</v>
      </c>
      <c r="CU55" s="2837">
        <v>2253.047</v>
      </c>
      <c r="CV55" s="2837">
        <v>0</v>
      </c>
      <c r="CW55" s="2832">
        <f t="shared" ref="CW55:CW77" si="650">SUM(CX55:CY55)</f>
        <v>1920.4969719249223</v>
      </c>
      <c r="CX55" s="2832">
        <f t="shared" ref="CX55:CX74" si="651">SUM(CO55)</f>
        <v>1920.4969719249223</v>
      </c>
      <c r="CY55" s="2832">
        <f t="shared" ref="CY55:CY74" si="652">SUM(CP55)</f>
        <v>0</v>
      </c>
      <c r="CZ55" s="2775">
        <f t="shared" ref="CZ55:CZ74" si="653">SUM(DA55:DB55)</f>
        <v>0</v>
      </c>
      <c r="DA55" s="2775">
        <f>SUM('ПОЛНАЯ СЕБЕСТОИМОСТЬ ВОДА 2023'!AV203)</f>
        <v>0</v>
      </c>
      <c r="DB55" s="2775">
        <f>SUM('ПОЛНАЯ СЕБЕСТОИМОСТЬ ВОДА 2023'!AW203)</f>
        <v>0</v>
      </c>
      <c r="DC55" s="2837">
        <f>SUM(DC56:DC59)</f>
        <v>2495.9060000000004</v>
      </c>
      <c r="DD55" s="2837">
        <v>2495.9060000000004</v>
      </c>
      <c r="DE55" s="2837">
        <v>0</v>
      </c>
      <c r="DF55" s="2832">
        <f t="shared" ref="DF55:DF77" si="654">SUM(DG55:DH55)</f>
        <v>1920.4969719249223</v>
      </c>
      <c r="DG55" s="2832">
        <f t="shared" ref="DG55:DG74" si="655">SUM(CX55)</f>
        <v>1920.4969719249223</v>
      </c>
      <c r="DH55" s="2832">
        <f t="shared" ref="DH55:DH74" si="656">SUM(CY55)</f>
        <v>0</v>
      </c>
      <c r="DI55" s="2775">
        <f t="shared" ref="DI55:DI77" si="657">SUM(DJ55:DK55)</f>
        <v>0</v>
      </c>
      <c r="DJ55" s="2775">
        <f>SUM('ПОЛНАЯ СЕБЕСТОИМОСТЬ ВОДА 2023'!AY203)</f>
        <v>0</v>
      </c>
      <c r="DK55" s="2775">
        <f>SUM('ПОЛНАЯ СЕБЕСТОИМОСТЬ ВОДА 2023'!AZ203)</f>
        <v>0</v>
      </c>
      <c r="DL55" s="2837">
        <f>SUM(DL56:DL59)</f>
        <v>2093.7809999999999</v>
      </c>
      <c r="DM55" s="2837">
        <v>2093.7809999999999</v>
      </c>
      <c r="DN55" s="2837">
        <v>0</v>
      </c>
      <c r="DO55" s="2802">
        <f t="shared" ref="DO55:DW71" si="658">SUM(CN55+CW55+DF55)</f>
        <v>5761.490915774767</v>
      </c>
      <c r="DP55" s="2802">
        <f t="shared" si="658"/>
        <v>5761.490915774767</v>
      </c>
      <c r="DQ55" s="2802">
        <f t="shared" si="658"/>
        <v>0</v>
      </c>
      <c r="DR55" s="2838">
        <f t="shared" si="658"/>
        <v>2316.4780000000001</v>
      </c>
      <c r="DS55" s="2838">
        <f t="shared" si="658"/>
        <v>2316.4780000000001</v>
      </c>
      <c r="DT55" s="2838">
        <f t="shared" si="658"/>
        <v>0</v>
      </c>
      <c r="DU55" s="2838">
        <f t="shared" si="658"/>
        <v>6842.7340000000004</v>
      </c>
      <c r="DV55" s="2838">
        <f t="shared" si="658"/>
        <v>6842.7340000000004</v>
      </c>
      <c r="DW55" s="2838">
        <f t="shared" si="658"/>
        <v>0</v>
      </c>
      <c r="DX55" s="2839">
        <f t="shared" si="555"/>
        <v>-3445.012915774767</v>
      </c>
      <c r="DY55" s="2839">
        <f t="shared" si="555"/>
        <v>-3445.012915774767</v>
      </c>
      <c r="DZ55" s="2839">
        <f t="shared" si="555"/>
        <v>0</v>
      </c>
      <c r="EA55" s="2802">
        <f t="shared" ref="EA55:EI71" si="659">SUM(CB55+DO55)</f>
        <v>17284.4727473243</v>
      </c>
      <c r="EB55" s="2802">
        <f t="shared" si="659"/>
        <v>17284.4727473243</v>
      </c>
      <c r="EC55" s="2802">
        <f t="shared" si="659"/>
        <v>0</v>
      </c>
      <c r="ED55" s="2838">
        <f t="shared" si="659"/>
        <v>19211.459190000001</v>
      </c>
      <c r="EE55" s="2838">
        <f t="shared" si="659"/>
        <v>19211.459190000001</v>
      </c>
      <c r="EF55" s="2838">
        <f t="shared" si="659"/>
        <v>0</v>
      </c>
      <c r="EG55" s="2838">
        <f t="shared" si="659"/>
        <v>19191.59748</v>
      </c>
      <c r="EH55" s="2838">
        <f t="shared" si="659"/>
        <v>19191.59748</v>
      </c>
      <c r="EI55" s="2838">
        <f t="shared" si="659"/>
        <v>0</v>
      </c>
      <c r="EJ55" s="2839">
        <f t="shared" si="557"/>
        <v>1926.9864426757013</v>
      </c>
      <c r="EK55" s="2839">
        <f t="shared" si="557"/>
        <v>1926.9864426757013</v>
      </c>
      <c r="EL55" s="2839">
        <f t="shared" si="557"/>
        <v>0</v>
      </c>
      <c r="EM55" s="2832">
        <f t="shared" ref="EM55:EM74" si="660">SUM(EN55:EO55)</f>
        <v>1920.4969719249223</v>
      </c>
      <c r="EN55" s="2832">
        <f>SUM('ПОЛНАЯ СЕБЕСТОИМОСТЬ ВОДА 2023'!BN203)/3</f>
        <v>1920.4969719249223</v>
      </c>
      <c r="EO55" s="2832">
        <f>SUM('ПОЛНАЯ СЕБЕСТОИМОСТЬ ВОДА 2023'!BO203)/3</f>
        <v>0</v>
      </c>
      <c r="EP55" s="2775">
        <f t="shared" ref="EP55:EP74" si="661">SUM(EQ55:ER55)</f>
        <v>0</v>
      </c>
      <c r="EQ55" s="2775">
        <f>SUM('ПОЛНАЯ СЕБЕСТОИМОСТЬ ВОДА 2023'!BQ203)</f>
        <v>0</v>
      </c>
      <c r="ER55" s="2775">
        <f>SUM('ПОЛНАЯ СЕБЕСТОИМОСТЬ ВОДА 2023'!BR203)</f>
        <v>0</v>
      </c>
      <c r="ES55" s="2837">
        <f>SUM(ES56:ES59)</f>
        <v>2169.7589999999996</v>
      </c>
      <c r="ET55" s="2837">
        <v>2169.7589999999996</v>
      </c>
      <c r="EU55" s="2837">
        <v>0</v>
      </c>
      <c r="EV55" s="2832">
        <f t="shared" ref="EV55:EV74" si="662">SUM(EW55:EX55)</f>
        <v>1920.4969719249223</v>
      </c>
      <c r="EW55" s="2832">
        <f t="shared" ref="EW55:EW74" si="663">SUM(EN55)</f>
        <v>1920.4969719249223</v>
      </c>
      <c r="EX55" s="2832">
        <f t="shared" ref="EX55:EX74" si="664">SUM(EO55)</f>
        <v>0</v>
      </c>
      <c r="EY55" s="2775">
        <f t="shared" ref="EY55:EY74" si="665">SUM(EZ55:FA55)</f>
        <v>0</v>
      </c>
      <c r="EZ55" s="2775">
        <f>SUM('ПОЛНАЯ СЕБЕСТОИМОСТЬ ВОДА 2023'!BT203)</f>
        <v>0</v>
      </c>
      <c r="FA55" s="2775">
        <f>SUM('ПОЛНАЯ СЕБЕСТОИМОСТЬ ВОДА 2023'!BU203)</f>
        <v>0</v>
      </c>
      <c r="FB55" s="2837">
        <f>SUM(FB56:FB59)</f>
        <v>2727.7229299999999</v>
      </c>
      <c r="FC55" s="2837">
        <v>2727.7229299999999</v>
      </c>
      <c r="FD55" s="2837">
        <v>0</v>
      </c>
      <c r="FE55" s="2832">
        <f t="shared" ref="FE55:FE74" si="666">SUM(FF55:FG55)</f>
        <v>1920.4969719249223</v>
      </c>
      <c r="FF55" s="2832">
        <f t="shared" ref="FF55:FF74" si="667">SUM(EW55)</f>
        <v>1920.4969719249223</v>
      </c>
      <c r="FG55" s="2832">
        <f t="shared" ref="FG55:FG74" si="668">SUM(EX55)</f>
        <v>0</v>
      </c>
      <c r="FH55" s="2775">
        <f t="shared" si="613"/>
        <v>0</v>
      </c>
      <c r="FI55" s="2775">
        <f>SUM('ПОЛНАЯ СЕБЕСТОИМОСТЬ ВОДА 2023'!BW203)</f>
        <v>0</v>
      </c>
      <c r="FJ55" s="2775">
        <f>SUM('ПОЛНАЯ СЕБЕСТОИМОСТЬ ВОДА 2023'!BX203)</f>
        <v>0</v>
      </c>
      <c r="FK55" s="2837">
        <f>SUM(FK56:FK59)</f>
        <v>2768.0047</v>
      </c>
      <c r="FL55" s="2837">
        <v>2768.0047</v>
      </c>
      <c r="FM55" s="2837">
        <v>0</v>
      </c>
      <c r="FN55" s="2802">
        <f t="shared" ref="FN55:FV74" si="669">SUM(EM55+EV55+FE55)</f>
        <v>5761.490915774767</v>
      </c>
      <c r="FO55" s="2802">
        <f t="shared" si="669"/>
        <v>5761.490915774767</v>
      </c>
      <c r="FP55" s="2802">
        <f t="shared" si="669"/>
        <v>0</v>
      </c>
      <c r="FQ55" s="2812">
        <f t="shared" si="669"/>
        <v>0</v>
      </c>
      <c r="FR55" s="2812">
        <f t="shared" si="669"/>
        <v>0</v>
      </c>
      <c r="FS55" s="2812">
        <f t="shared" si="669"/>
        <v>0</v>
      </c>
      <c r="FT55" s="2812">
        <f t="shared" si="669"/>
        <v>7665.4866299999994</v>
      </c>
      <c r="FU55" s="2812">
        <f t="shared" si="669"/>
        <v>7665.4866299999994</v>
      </c>
      <c r="FV55" s="2812">
        <f t="shared" si="669"/>
        <v>0</v>
      </c>
      <c r="FW55" s="2813">
        <f t="shared" si="559"/>
        <v>-5761.490915774767</v>
      </c>
      <c r="FX55" s="2813">
        <f t="shared" si="559"/>
        <v>-5761.490915774767</v>
      </c>
      <c r="FY55" s="2813">
        <f t="shared" si="559"/>
        <v>0</v>
      </c>
      <c r="FZ55" s="2802">
        <f t="shared" ref="FZ55:GH74" si="670">SUM(EA55+FN55)</f>
        <v>23045.963663099068</v>
      </c>
      <c r="GA55" s="2802">
        <f t="shared" si="670"/>
        <v>23045.963663099068</v>
      </c>
      <c r="GB55" s="2802">
        <f t="shared" si="670"/>
        <v>0</v>
      </c>
      <c r="GC55" s="2812">
        <f t="shared" si="670"/>
        <v>19211.459190000001</v>
      </c>
      <c r="GD55" s="2812">
        <f t="shared" si="670"/>
        <v>19211.459190000001</v>
      </c>
      <c r="GE55" s="2812">
        <f t="shared" si="670"/>
        <v>0</v>
      </c>
      <c r="GF55" s="2812">
        <f t="shared" si="670"/>
        <v>26857.08411</v>
      </c>
      <c r="GG55" s="2812">
        <f t="shared" si="670"/>
        <v>26857.08411</v>
      </c>
      <c r="GH55" s="2812">
        <f t="shared" si="670"/>
        <v>0</v>
      </c>
      <c r="GI55" s="2813">
        <f t="shared" si="561"/>
        <v>-3834.5044730990667</v>
      </c>
      <c r="GJ55" s="2813">
        <f t="shared" si="561"/>
        <v>-3834.5044730990667</v>
      </c>
      <c r="GK55" s="2813">
        <f t="shared" si="561"/>
        <v>0</v>
      </c>
      <c r="GL55" s="389"/>
      <c r="GM55" s="3578">
        <f t="shared" si="562"/>
        <v>23045.963663099072</v>
      </c>
    </row>
    <row r="56" spans="1:195" ht="18.75" x14ac:dyDescent="0.3">
      <c r="A56" s="2834" t="s">
        <v>3719</v>
      </c>
      <c r="B56" s="2836">
        <f t="shared" si="625"/>
        <v>919.32150000000001</v>
      </c>
      <c r="C56" s="2836">
        <f>SUM('ПОЛНАЯ СЕБЕСТОИМОСТЬ ВОДА 2023'!C204)/3</f>
        <v>919.32150000000001</v>
      </c>
      <c r="D56" s="2836">
        <f>SUM('ПОЛНАЯ СЕБЕСТОИМОСТЬ ВОДА 2023'!D204)/3</f>
        <v>0</v>
      </c>
      <c r="E56" s="2781">
        <f t="shared" si="626"/>
        <v>1003.4369999999999</v>
      </c>
      <c r="F56" s="2781">
        <f>SUM('ПОЛНАЯ СЕБЕСТОИМОСТЬ ВОДА 2023'!F204)</f>
        <v>1003.4369999999999</v>
      </c>
      <c r="G56" s="2781">
        <f>SUM('ПОЛНАЯ СЕБЕСТОИМОСТЬ ВОДА 2023'!G204)</f>
        <v>0</v>
      </c>
      <c r="H56" s="2840">
        <f t="shared" ref="H56:H74" si="671">SUM(I56:J56)</f>
        <v>763.59100000000001</v>
      </c>
      <c r="I56" s="2840">
        <v>763.59100000000001</v>
      </c>
      <c r="J56" s="2840">
        <v>0</v>
      </c>
      <c r="K56" s="2836">
        <f t="shared" si="627"/>
        <v>919.32150000000001</v>
      </c>
      <c r="L56" s="2836">
        <f t="shared" si="628"/>
        <v>919.32150000000001</v>
      </c>
      <c r="M56" s="2836">
        <f t="shared" si="629"/>
        <v>0</v>
      </c>
      <c r="N56" s="2781">
        <f t="shared" si="630"/>
        <v>781.20575000000008</v>
      </c>
      <c r="O56" s="2781">
        <f>SUM('ПОЛНАЯ СЕБЕСТОИМОСТЬ ВОДА 2023'!I204)</f>
        <v>781.20575000000008</v>
      </c>
      <c r="P56" s="2781">
        <f>SUM('ПОЛНАЯ СЕБЕСТОИМОСТЬ ВОДА 2023'!J204)</f>
        <v>0</v>
      </c>
      <c r="Q56" s="2840">
        <f t="shared" ref="Q56:Q59" si="672">SUM(R56:S56)</f>
        <v>710.38499999999999</v>
      </c>
      <c r="R56" s="2840">
        <v>710.38499999999999</v>
      </c>
      <c r="S56" s="2840">
        <v>0</v>
      </c>
      <c r="T56" s="2836">
        <f t="shared" si="631"/>
        <v>919.32150000000001</v>
      </c>
      <c r="U56" s="2836">
        <f t="shared" si="632"/>
        <v>919.32150000000001</v>
      </c>
      <c r="V56" s="2836">
        <f t="shared" si="633"/>
        <v>0</v>
      </c>
      <c r="W56" s="2781">
        <f t="shared" si="634"/>
        <v>802.50800000000004</v>
      </c>
      <c r="X56" s="2781">
        <f>SUM('ПОЛНАЯ СЕБЕСТОИМОСТЬ ВОДА 2023'!L204)</f>
        <v>802.50800000000004</v>
      </c>
      <c r="Y56" s="2781">
        <f>SUM('ПОЛНАЯ СЕБЕСТОИМОСТЬ ВОДА 2023'!M204)</f>
        <v>0</v>
      </c>
      <c r="Z56" s="2840">
        <f t="shared" ref="Z56:Z59" si="673">SUM(AA56:AB56)</f>
        <v>1001.331</v>
      </c>
      <c r="AA56" s="2840">
        <v>1001.331</v>
      </c>
      <c r="AB56" s="2840">
        <v>0</v>
      </c>
      <c r="AC56" s="2807">
        <f t="shared" si="635"/>
        <v>2757.9645</v>
      </c>
      <c r="AD56" s="2807">
        <f t="shared" si="635"/>
        <v>2757.9645</v>
      </c>
      <c r="AE56" s="2807">
        <f t="shared" si="635"/>
        <v>0</v>
      </c>
      <c r="AF56" s="2818">
        <f t="shared" si="635"/>
        <v>2587.1507499999998</v>
      </c>
      <c r="AG56" s="2818">
        <f t="shared" si="635"/>
        <v>2587.1507499999998</v>
      </c>
      <c r="AH56" s="2818">
        <f t="shared" si="635"/>
        <v>0</v>
      </c>
      <c r="AI56" s="2818">
        <f t="shared" si="635"/>
        <v>2475.3070000000002</v>
      </c>
      <c r="AJ56" s="2818">
        <f t="shared" si="635"/>
        <v>2475.3070000000002</v>
      </c>
      <c r="AK56" s="2818">
        <f t="shared" si="635"/>
        <v>0</v>
      </c>
      <c r="AL56" s="2819">
        <f t="shared" si="549"/>
        <v>-170.81375000000025</v>
      </c>
      <c r="AM56" s="2819">
        <f t="shared" si="549"/>
        <v>-170.81375000000025</v>
      </c>
      <c r="AN56" s="2819">
        <f t="shared" si="549"/>
        <v>0</v>
      </c>
      <c r="AO56" s="2836">
        <f t="shared" si="636"/>
        <v>919.32150000000001</v>
      </c>
      <c r="AP56" s="2836">
        <f>SUM('ПОЛНАЯ СЕБЕСТОИМОСТЬ ВОДА 2023'!R204)/3</f>
        <v>919.32150000000001</v>
      </c>
      <c r="AQ56" s="2836">
        <f>SUM('ПОЛНАЯ СЕБЕСТОИМОСТЬ ВОДА 2023'!S204)/3</f>
        <v>0</v>
      </c>
      <c r="AR56" s="2836">
        <f t="shared" si="637"/>
        <v>1288.4829999999999</v>
      </c>
      <c r="AS56" s="2836">
        <f>SUM('ПОЛНАЯ СЕБЕСТОИМОСТЬ ВОДА 2023'!U204)</f>
        <v>1288.4829999999999</v>
      </c>
      <c r="AT56" s="2836">
        <f>SUM('ПОЛНАЯ СЕБЕСТОИМОСТЬ ВОДА 2023'!V204)</f>
        <v>0</v>
      </c>
      <c r="AU56" s="2840">
        <f t="shared" ref="AU56:AU59" si="674">SUM(AV56:AW56)</f>
        <v>859.48800000000006</v>
      </c>
      <c r="AV56" s="2840">
        <v>859.48800000000006</v>
      </c>
      <c r="AW56" s="2840">
        <v>0</v>
      </c>
      <c r="AX56" s="2836">
        <f t="shared" si="638"/>
        <v>919.32150000000001</v>
      </c>
      <c r="AY56" s="2836">
        <f t="shared" si="639"/>
        <v>919.32150000000001</v>
      </c>
      <c r="AZ56" s="2836">
        <f t="shared" si="640"/>
        <v>0</v>
      </c>
      <c r="BA56" s="2836">
        <f t="shared" si="641"/>
        <v>972.78399999999999</v>
      </c>
      <c r="BB56" s="2836">
        <f>SUM('ПОЛНАЯ СЕБЕСТОИМОСТЬ ВОДА 2023'!X204)</f>
        <v>972.78399999999999</v>
      </c>
      <c r="BC56" s="2836">
        <f>SUM('ПОЛНАЯ СЕБЕСТОИМОСТЬ ВОДА 2023'!Y204)</f>
        <v>0</v>
      </c>
      <c r="BD56" s="2840">
        <f t="shared" ref="BD56:BD59" si="675">SUM(BE56:BF56)</f>
        <v>964.75</v>
      </c>
      <c r="BE56" s="2840">
        <v>964.75</v>
      </c>
      <c r="BF56" s="2840">
        <v>0</v>
      </c>
      <c r="BG56" s="2836">
        <f t="shared" si="642"/>
        <v>919.32150000000001</v>
      </c>
      <c r="BH56" s="2836">
        <f t="shared" si="643"/>
        <v>919.32150000000001</v>
      </c>
      <c r="BI56" s="2836">
        <f t="shared" si="644"/>
        <v>0</v>
      </c>
      <c r="BJ56" s="2781">
        <f t="shared" si="645"/>
        <v>801.505</v>
      </c>
      <c r="BK56" s="2781">
        <f>SUM('ПОЛНАЯ СЕБЕСТОИМОСТЬ ВОДА 2023'!AA204)</f>
        <v>801.505</v>
      </c>
      <c r="BL56" s="2781">
        <f>SUM('ПОЛНАЯ СЕБЕСТОИМОСТЬ ВОДА 2023'!AB204)</f>
        <v>0</v>
      </c>
      <c r="BM56" s="2840">
        <f t="shared" ref="BM56:BM59" si="676">SUM(BN56:BO56)</f>
        <v>877.97152000000006</v>
      </c>
      <c r="BN56" s="2840">
        <v>877.97152000000006</v>
      </c>
      <c r="BO56" s="2840">
        <v>0</v>
      </c>
      <c r="BP56" s="2807">
        <f t="shared" si="646"/>
        <v>2757.9645</v>
      </c>
      <c r="BQ56" s="2807">
        <f t="shared" si="646"/>
        <v>2757.9645</v>
      </c>
      <c r="BR56" s="2807">
        <f t="shared" si="646"/>
        <v>0</v>
      </c>
      <c r="BS56" s="2842">
        <f t="shared" si="646"/>
        <v>3062.7719999999999</v>
      </c>
      <c r="BT56" s="2842">
        <f t="shared" si="646"/>
        <v>3062.7719999999999</v>
      </c>
      <c r="BU56" s="2842">
        <f t="shared" si="646"/>
        <v>0</v>
      </c>
      <c r="BV56" s="2842">
        <f t="shared" si="646"/>
        <v>2702.2095200000003</v>
      </c>
      <c r="BW56" s="2842">
        <f t="shared" si="646"/>
        <v>2702.2095200000003</v>
      </c>
      <c r="BX56" s="2842">
        <f t="shared" si="646"/>
        <v>0</v>
      </c>
      <c r="BY56" s="2805">
        <f t="shared" si="551"/>
        <v>304.80749999999989</v>
      </c>
      <c r="BZ56" s="2805">
        <f t="shared" si="551"/>
        <v>304.80749999999989</v>
      </c>
      <c r="CA56" s="2805">
        <f t="shared" si="551"/>
        <v>0</v>
      </c>
      <c r="CB56" s="2818">
        <f t="shared" si="647"/>
        <v>5515.9290000000001</v>
      </c>
      <c r="CC56" s="2818">
        <f t="shared" si="647"/>
        <v>5515.9290000000001</v>
      </c>
      <c r="CD56" s="2818">
        <f t="shared" si="647"/>
        <v>0</v>
      </c>
      <c r="CE56" s="2818">
        <f t="shared" si="647"/>
        <v>5649.9227499999997</v>
      </c>
      <c r="CF56" s="2818">
        <f t="shared" si="647"/>
        <v>5649.9227499999997</v>
      </c>
      <c r="CG56" s="2818">
        <f t="shared" si="647"/>
        <v>0</v>
      </c>
      <c r="CH56" s="2818">
        <f t="shared" si="647"/>
        <v>5177.516520000001</v>
      </c>
      <c r="CI56" s="2818">
        <f t="shared" si="647"/>
        <v>5177.516520000001</v>
      </c>
      <c r="CJ56" s="2818">
        <f t="shared" si="647"/>
        <v>0</v>
      </c>
      <c r="CK56" s="2819">
        <f t="shared" si="553"/>
        <v>133.99374999999964</v>
      </c>
      <c r="CL56" s="2819">
        <f t="shared" si="553"/>
        <v>133.99374999999964</v>
      </c>
      <c r="CM56" s="2819">
        <f t="shared" si="553"/>
        <v>0</v>
      </c>
      <c r="CN56" s="2836">
        <f t="shared" si="648"/>
        <v>919.32150000000001</v>
      </c>
      <c r="CO56" s="2836">
        <f>SUM('ПОЛНАЯ СЕБЕСТОИМОСТЬ ВОДА 2023'!AP204)/3</f>
        <v>919.32150000000001</v>
      </c>
      <c r="CP56" s="2836">
        <f>SUM('ПОЛНАЯ СЕБЕСТОИМОСТЬ ВОДА 2023'!AQ204)/3</f>
        <v>0</v>
      </c>
      <c r="CQ56" s="2781">
        <f t="shared" si="649"/>
        <v>943.74700000000007</v>
      </c>
      <c r="CR56" s="2781">
        <f>SUM('ПОЛНАЯ СЕБЕСТОИМОСТЬ ВОДА 2023'!AS204)</f>
        <v>943.74700000000007</v>
      </c>
      <c r="CS56" s="2781">
        <f>SUM('ПОЛНАЯ СЕБЕСТОИМОСТЬ ВОДА 2023'!AT204)</f>
        <v>0</v>
      </c>
      <c r="CT56" s="2840">
        <f t="shared" ref="CT56:CT59" si="677">SUM(CU56:CV56)</f>
        <v>952.11099999999988</v>
      </c>
      <c r="CU56" s="2840">
        <v>952.11099999999988</v>
      </c>
      <c r="CV56" s="2840">
        <v>0</v>
      </c>
      <c r="CW56" s="2836">
        <f t="shared" si="650"/>
        <v>919.32150000000001</v>
      </c>
      <c r="CX56" s="2836">
        <f t="shared" si="651"/>
        <v>919.32150000000001</v>
      </c>
      <c r="CY56" s="2836">
        <f t="shared" si="652"/>
        <v>0</v>
      </c>
      <c r="CZ56" s="2781">
        <f t="shared" si="653"/>
        <v>0</v>
      </c>
      <c r="DA56" s="2781">
        <f>SUM('ПОЛНАЯ СЕБЕСТОИМОСТЬ ВОДА 2023'!AV204)</f>
        <v>0</v>
      </c>
      <c r="DB56" s="2781">
        <f>SUM('ПОЛНАЯ СЕБЕСТОИМОСТЬ ВОДА 2023'!AW204)</f>
        <v>0</v>
      </c>
      <c r="DC56" s="2840">
        <f t="shared" ref="DC56:DC59" si="678">SUM(DD56:DE56)</f>
        <v>745.76600000000008</v>
      </c>
      <c r="DD56" s="2840">
        <v>745.76600000000008</v>
      </c>
      <c r="DE56" s="2840">
        <v>0</v>
      </c>
      <c r="DF56" s="2836">
        <f t="shared" si="654"/>
        <v>919.32150000000001</v>
      </c>
      <c r="DG56" s="2836">
        <f t="shared" si="655"/>
        <v>919.32150000000001</v>
      </c>
      <c r="DH56" s="2836">
        <f t="shared" si="656"/>
        <v>0</v>
      </c>
      <c r="DI56" s="2781">
        <f t="shared" si="657"/>
        <v>0</v>
      </c>
      <c r="DJ56" s="2781">
        <f>SUM('ПОЛНАЯ СЕБЕСТОИМОСТЬ ВОДА 2023'!AY204)</f>
        <v>0</v>
      </c>
      <c r="DK56" s="2781">
        <f>SUM('ПОЛНАЯ СЕБЕСТОИМОСТЬ ВОДА 2023'!AZ204)</f>
        <v>0</v>
      </c>
      <c r="DL56" s="2840">
        <f t="shared" ref="DL56:DL59" si="679">SUM(DM56:DN56)</f>
        <v>758.47499999999991</v>
      </c>
      <c r="DM56" s="2840">
        <v>758.47499999999991</v>
      </c>
      <c r="DN56" s="2840">
        <v>0</v>
      </c>
      <c r="DO56" s="2807">
        <f t="shared" si="658"/>
        <v>2757.9645</v>
      </c>
      <c r="DP56" s="2807">
        <f t="shared" si="658"/>
        <v>2757.9645</v>
      </c>
      <c r="DQ56" s="2807">
        <f t="shared" si="658"/>
        <v>0</v>
      </c>
      <c r="DR56" s="2842">
        <f t="shared" si="658"/>
        <v>943.74700000000007</v>
      </c>
      <c r="DS56" s="2842">
        <f t="shared" si="658"/>
        <v>943.74700000000007</v>
      </c>
      <c r="DT56" s="2842">
        <f t="shared" si="658"/>
        <v>0</v>
      </c>
      <c r="DU56" s="2842">
        <f t="shared" si="658"/>
        <v>2456.3519999999999</v>
      </c>
      <c r="DV56" s="2842">
        <f t="shared" si="658"/>
        <v>2456.3519999999999</v>
      </c>
      <c r="DW56" s="2842">
        <f t="shared" si="658"/>
        <v>0</v>
      </c>
      <c r="DX56" s="2805">
        <f t="shared" si="555"/>
        <v>-1814.2175</v>
      </c>
      <c r="DY56" s="2805">
        <f t="shared" si="555"/>
        <v>-1814.2175</v>
      </c>
      <c r="DZ56" s="2805">
        <f t="shared" si="555"/>
        <v>0</v>
      </c>
      <c r="EA56" s="2807">
        <f t="shared" si="659"/>
        <v>8273.8935000000001</v>
      </c>
      <c r="EB56" s="2807">
        <f t="shared" si="659"/>
        <v>8273.8935000000001</v>
      </c>
      <c r="EC56" s="2807">
        <f t="shared" si="659"/>
        <v>0</v>
      </c>
      <c r="ED56" s="2842">
        <f t="shared" si="659"/>
        <v>6593.66975</v>
      </c>
      <c r="EE56" s="2842">
        <f t="shared" si="659"/>
        <v>6593.66975</v>
      </c>
      <c r="EF56" s="2842">
        <f t="shared" si="659"/>
        <v>0</v>
      </c>
      <c r="EG56" s="2842">
        <f t="shared" si="659"/>
        <v>7633.8685200000009</v>
      </c>
      <c r="EH56" s="2842">
        <f t="shared" si="659"/>
        <v>7633.8685200000009</v>
      </c>
      <c r="EI56" s="2842">
        <f t="shared" si="659"/>
        <v>0</v>
      </c>
      <c r="EJ56" s="2805">
        <f t="shared" si="557"/>
        <v>-1680.2237500000001</v>
      </c>
      <c r="EK56" s="2805">
        <f t="shared" si="557"/>
        <v>-1680.2237500000001</v>
      </c>
      <c r="EL56" s="2805">
        <f t="shared" si="557"/>
        <v>0</v>
      </c>
      <c r="EM56" s="2836">
        <f t="shared" si="660"/>
        <v>919.32150000000001</v>
      </c>
      <c r="EN56" s="2836">
        <f>SUM('ПОЛНАЯ СЕБЕСТОИМОСТЬ ВОДА 2023'!BN204)/3</f>
        <v>919.32150000000001</v>
      </c>
      <c r="EO56" s="2836">
        <f>SUM('ПОЛНАЯ СЕБЕСТОИМОСТЬ ВОДА 2023'!BO204)/3</f>
        <v>0</v>
      </c>
      <c r="EP56" s="2781">
        <f t="shared" si="661"/>
        <v>0</v>
      </c>
      <c r="EQ56" s="2781">
        <f>SUM('ПОЛНАЯ СЕБЕСТОИМОСТЬ ВОДА 2023'!BQ204)</f>
        <v>0</v>
      </c>
      <c r="ER56" s="2781">
        <f>SUM('ПОЛНАЯ СЕБЕСТОИМОСТЬ ВОДА 2023'!BR204)</f>
        <v>0</v>
      </c>
      <c r="ES56" s="2840">
        <f t="shared" ref="ES56:ES59" si="680">SUM(ET56:EU56)</f>
        <v>655.62699999999995</v>
      </c>
      <c r="ET56" s="2840">
        <v>655.62699999999995</v>
      </c>
      <c r="EU56" s="2840">
        <v>0</v>
      </c>
      <c r="EV56" s="2836">
        <f t="shared" si="662"/>
        <v>919.32150000000001</v>
      </c>
      <c r="EW56" s="2836">
        <f t="shared" si="663"/>
        <v>919.32150000000001</v>
      </c>
      <c r="EX56" s="2836">
        <f t="shared" si="664"/>
        <v>0</v>
      </c>
      <c r="EY56" s="2781">
        <f t="shared" si="665"/>
        <v>0</v>
      </c>
      <c r="EZ56" s="2781">
        <f>SUM('ПОЛНАЯ СЕБЕСТОИМОСТЬ ВОДА 2023'!BT204)</f>
        <v>0</v>
      </c>
      <c r="FA56" s="2781">
        <f>SUM('ПОЛНАЯ СЕБЕСТОИМОСТЬ ВОДА 2023'!BU204)</f>
        <v>0</v>
      </c>
      <c r="FB56" s="2840">
        <f t="shared" ref="FB56:FB59" si="681">SUM(FC56:FD56)</f>
        <v>700.93899999999996</v>
      </c>
      <c r="FC56" s="2840">
        <v>700.93899999999996</v>
      </c>
      <c r="FD56" s="2840">
        <v>0</v>
      </c>
      <c r="FE56" s="2836">
        <f t="shared" si="666"/>
        <v>919.32150000000001</v>
      </c>
      <c r="FF56" s="2836">
        <f t="shared" si="667"/>
        <v>919.32150000000001</v>
      </c>
      <c r="FG56" s="2836">
        <f t="shared" si="668"/>
        <v>0</v>
      </c>
      <c r="FH56" s="2781">
        <f t="shared" si="613"/>
        <v>0</v>
      </c>
      <c r="FI56" s="2781">
        <f>SUM('ПОЛНАЯ СЕБЕСТОИМОСТЬ ВОДА 2023'!BW204)</f>
        <v>0</v>
      </c>
      <c r="FJ56" s="2781">
        <f>SUM('ПОЛНАЯ СЕБЕСТОИМОСТЬ ВОДА 2023'!BX204)</f>
        <v>0</v>
      </c>
      <c r="FK56" s="2840">
        <f t="shared" ref="FK56:FK59" si="682">SUM(FL56:FM56)</f>
        <v>601.654</v>
      </c>
      <c r="FL56" s="2840">
        <v>601.654</v>
      </c>
      <c r="FM56" s="2840">
        <v>0</v>
      </c>
      <c r="FN56" s="2807">
        <f t="shared" si="669"/>
        <v>2757.9645</v>
      </c>
      <c r="FO56" s="2807">
        <f t="shared" si="669"/>
        <v>2757.9645</v>
      </c>
      <c r="FP56" s="2807">
        <f t="shared" si="669"/>
        <v>0</v>
      </c>
      <c r="FQ56" s="2818">
        <f t="shared" si="669"/>
        <v>0</v>
      </c>
      <c r="FR56" s="2818">
        <f t="shared" si="669"/>
        <v>0</v>
      </c>
      <c r="FS56" s="2818">
        <f t="shared" si="669"/>
        <v>0</v>
      </c>
      <c r="FT56" s="2818">
        <f t="shared" si="669"/>
        <v>1958.2199999999998</v>
      </c>
      <c r="FU56" s="2818">
        <f t="shared" si="669"/>
        <v>1958.2199999999998</v>
      </c>
      <c r="FV56" s="2818">
        <f t="shared" si="669"/>
        <v>0</v>
      </c>
      <c r="FW56" s="2819">
        <f t="shared" si="559"/>
        <v>-2757.9645</v>
      </c>
      <c r="FX56" s="2819">
        <f t="shared" si="559"/>
        <v>-2757.9645</v>
      </c>
      <c r="FY56" s="2819">
        <f t="shared" si="559"/>
        <v>0</v>
      </c>
      <c r="FZ56" s="2807">
        <f t="shared" si="670"/>
        <v>11031.858</v>
      </c>
      <c r="GA56" s="2807">
        <f t="shared" si="670"/>
        <v>11031.858</v>
      </c>
      <c r="GB56" s="2807">
        <f t="shared" si="670"/>
        <v>0</v>
      </c>
      <c r="GC56" s="2818">
        <f t="shared" si="670"/>
        <v>6593.66975</v>
      </c>
      <c r="GD56" s="2818">
        <f t="shared" si="670"/>
        <v>6593.66975</v>
      </c>
      <c r="GE56" s="2818">
        <f t="shared" si="670"/>
        <v>0</v>
      </c>
      <c r="GF56" s="2818">
        <f t="shared" si="670"/>
        <v>9592.0885200000012</v>
      </c>
      <c r="GG56" s="2818">
        <f t="shared" si="670"/>
        <v>9592.0885200000012</v>
      </c>
      <c r="GH56" s="2818">
        <f t="shared" si="670"/>
        <v>0</v>
      </c>
      <c r="GI56" s="2819">
        <f t="shared" si="561"/>
        <v>-4438.1882500000002</v>
      </c>
      <c r="GJ56" s="2819">
        <f t="shared" si="561"/>
        <v>-4438.1882500000002</v>
      </c>
      <c r="GK56" s="2819">
        <f t="shared" si="561"/>
        <v>0</v>
      </c>
      <c r="GL56" s="389"/>
      <c r="GM56" s="3578">
        <f t="shared" si="562"/>
        <v>11031.858</v>
      </c>
    </row>
    <row r="57" spans="1:195" ht="18.75" x14ac:dyDescent="0.3">
      <c r="A57" s="2784" t="s">
        <v>3720</v>
      </c>
      <c r="B57" s="2836">
        <f t="shared" si="625"/>
        <v>276.52698874999999</v>
      </c>
      <c r="C57" s="2836">
        <f>SUM('ПОЛНАЯ СЕБЕСТОИМОСТЬ ВОДА 2023'!C205)/3</f>
        <v>276.52698874999999</v>
      </c>
      <c r="D57" s="2836">
        <f>SUM('ПОЛНАЯ СЕБЕСТОИМОСТЬ ВОДА 2023'!D205)/3</f>
        <v>0</v>
      </c>
      <c r="E57" s="2781">
        <f t="shared" si="626"/>
        <v>295.95999999999998</v>
      </c>
      <c r="F57" s="2781">
        <f>SUM('ПОЛНАЯ СЕБЕСТОИМОСТЬ ВОДА 2023'!F205)</f>
        <v>295.95999999999998</v>
      </c>
      <c r="G57" s="2781">
        <f>SUM('ПОЛНАЯ СЕБЕСТОИМОСТЬ ВОДА 2023'!G205)</f>
        <v>0</v>
      </c>
      <c r="H57" s="2840">
        <f t="shared" si="671"/>
        <v>239.2</v>
      </c>
      <c r="I57" s="2840">
        <v>239.2</v>
      </c>
      <c r="J57" s="2840">
        <v>0</v>
      </c>
      <c r="K57" s="2836">
        <f t="shared" si="627"/>
        <v>276.52698874999999</v>
      </c>
      <c r="L57" s="2836">
        <f t="shared" si="628"/>
        <v>276.52698874999999</v>
      </c>
      <c r="M57" s="2836">
        <f t="shared" si="629"/>
        <v>0</v>
      </c>
      <c r="N57" s="2781">
        <f t="shared" si="630"/>
        <v>233.84143999999998</v>
      </c>
      <c r="O57" s="2781">
        <f>SUM('ПОЛНАЯ СЕБЕСТОИМОСТЬ ВОДА 2023'!I205)</f>
        <v>233.84143999999998</v>
      </c>
      <c r="P57" s="2781">
        <f>SUM('ПОЛНАЯ СЕБЕСТОИМОСТЬ ВОДА 2023'!J205)</f>
        <v>0</v>
      </c>
      <c r="Q57" s="2840">
        <f t="shared" si="672"/>
        <v>209.43200000000002</v>
      </c>
      <c r="R57" s="2840">
        <v>209.43200000000002</v>
      </c>
      <c r="S57" s="2840">
        <v>0</v>
      </c>
      <c r="T57" s="2836">
        <f t="shared" si="631"/>
        <v>276.52698874999999</v>
      </c>
      <c r="U57" s="2836">
        <f t="shared" si="632"/>
        <v>276.52698874999999</v>
      </c>
      <c r="V57" s="2836">
        <f t="shared" si="633"/>
        <v>0</v>
      </c>
      <c r="W57" s="2781">
        <f t="shared" si="634"/>
        <v>238.61</v>
      </c>
      <c r="X57" s="2781">
        <f>SUM('ПОЛНАЯ СЕБЕСТОИМОСТЬ ВОДА 2023'!L205)</f>
        <v>238.61</v>
      </c>
      <c r="Y57" s="2781">
        <f>SUM('ПОЛНАЯ СЕБЕСТОИМОСТЬ ВОДА 2023'!M205)</f>
        <v>0</v>
      </c>
      <c r="Z57" s="2840">
        <f t="shared" si="673"/>
        <v>302.33499999999998</v>
      </c>
      <c r="AA57" s="2840">
        <v>302.33499999999998</v>
      </c>
      <c r="AB57" s="2840">
        <v>0</v>
      </c>
      <c r="AC57" s="2807">
        <f t="shared" si="635"/>
        <v>829.58096624999996</v>
      </c>
      <c r="AD57" s="2807">
        <f t="shared" si="635"/>
        <v>829.58096624999996</v>
      </c>
      <c r="AE57" s="2807">
        <f t="shared" si="635"/>
        <v>0</v>
      </c>
      <c r="AF57" s="2818">
        <f t="shared" si="635"/>
        <v>768.41143999999997</v>
      </c>
      <c r="AG57" s="2818">
        <f t="shared" si="635"/>
        <v>768.41143999999997</v>
      </c>
      <c r="AH57" s="2818">
        <f t="shared" si="635"/>
        <v>0</v>
      </c>
      <c r="AI57" s="2818">
        <f t="shared" si="635"/>
        <v>750.96699999999998</v>
      </c>
      <c r="AJ57" s="2818">
        <f t="shared" si="635"/>
        <v>750.96699999999998</v>
      </c>
      <c r="AK57" s="2818">
        <f t="shared" si="635"/>
        <v>0</v>
      </c>
      <c r="AL57" s="2819">
        <f t="shared" si="549"/>
        <v>-61.16952624999999</v>
      </c>
      <c r="AM57" s="2819">
        <f t="shared" si="549"/>
        <v>-61.16952624999999</v>
      </c>
      <c r="AN57" s="2819">
        <f t="shared" si="549"/>
        <v>0</v>
      </c>
      <c r="AO57" s="2836">
        <f t="shared" si="636"/>
        <v>276.52698874999999</v>
      </c>
      <c r="AP57" s="2836">
        <f>SUM('ПОЛНАЯ СЕБЕСТОИМОСТЬ ВОДА 2023'!R205)/3</f>
        <v>276.52698874999999</v>
      </c>
      <c r="AQ57" s="2836">
        <f>SUM('ПОЛНАЯ СЕБЕСТОИМОСТЬ ВОДА 2023'!S205)/3</f>
        <v>0</v>
      </c>
      <c r="AR57" s="2836">
        <f t="shared" si="637"/>
        <v>385.15300000000002</v>
      </c>
      <c r="AS57" s="2836">
        <f>SUM('ПОЛНАЯ СЕБЕСТОИМОСТЬ ВОДА 2023'!U205)</f>
        <v>385.15300000000002</v>
      </c>
      <c r="AT57" s="2836">
        <f>SUM('ПОЛНАЯ СЕБЕСТОИМОСТЬ ВОДА 2023'!V205)</f>
        <v>0</v>
      </c>
      <c r="AU57" s="2840">
        <f t="shared" si="674"/>
        <v>258.14699999999999</v>
      </c>
      <c r="AV57" s="2840">
        <v>258.14699999999999</v>
      </c>
      <c r="AW57" s="2840">
        <v>0</v>
      </c>
      <c r="AX57" s="2836">
        <f t="shared" si="638"/>
        <v>276.52698874999999</v>
      </c>
      <c r="AY57" s="2836">
        <f t="shared" si="639"/>
        <v>276.52698874999999</v>
      </c>
      <c r="AZ57" s="2836">
        <f t="shared" si="640"/>
        <v>0</v>
      </c>
      <c r="BA57" s="2836">
        <f t="shared" si="641"/>
        <v>297.32800000000003</v>
      </c>
      <c r="BB57" s="2836">
        <f>SUM('ПОЛНАЯ СЕБЕСТОИМОСТЬ ВОДА 2023'!X205)</f>
        <v>297.32800000000003</v>
      </c>
      <c r="BC57" s="2836">
        <f>SUM('ПОЛНАЯ СЕБЕСТОИМОСТЬ ВОДА 2023'!Y205)</f>
        <v>0</v>
      </c>
      <c r="BD57" s="2840">
        <f t="shared" si="675"/>
        <v>288.28699999999998</v>
      </c>
      <c r="BE57" s="2840">
        <v>288.28699999999998</v>
      </c>
      <c r="BF57" s="2840">
        <v>0</v>
      </c>
      <c r="BG57" s="2836">
        <f t="shared" si="642"/>
        <v>276.52698874999999</v>
      </c>
      <c r="BH57" s="2836">
        <f t="shared" si="643"/>
        <v>276.52698874999999</v>
      </c>
      <c r="BI57" s="2836">
        <f t="shared" si="644"/>
        <v>0</v>
      </c>
      <c r="BJ57" s="2781">
        <f t="shared" si="645"/>
        <v>249.44099999999997</v>
      </c>
      <c r="BK57" s="2781">
        <f>SUM('ПОЛНАЯ СЕБЕСТОИМОСТЬ ВОДА 2023'!AA205)</f>
        <v>249.44099999999997</v>
      </c>
      <c r="BL57" s="2781">
        <f>SUM('ПОЛНАЯ СЕБЕСТОИМОСТЬ ВОДА 2023'!AB205)</f>
        <v>0</v>
      </c>
      <c r="BM57" s="2840">
        <f t="shared" si="676"/>
        <v>260.74801000000002</v>
      </c>
      <c r="BN57" s="2840">
        <v>260.74801000000002</v>
      </c>
      <c r="BO57" s="2840">
        <v>0</v>
      </c>
      <c r="BP57" s="2807">
        <f t="shared" si="646"/>
        <v>829.58096624999996</v>
      </c>
      <c r="BQ57" s="2807">
        <f t="shared" si="646"/>
        <v>829.58096624999996</v>
      </c>
      <c r="BR57" s="2807">
        <f t="shared" si="646"/>
        <v>0</v>
      </c>
      <c r="BS57" s="2842">
        <f t="shared" si="646"/>
        <v>931.92200000000003</v>
      </c>
      <c r="BT57" s="2842">
        <f t="shared" si="646"/>
        <v>931.92200000000003</v>
      </c>
      <c r="BU57" s="2842">
        <f t="shared" si="646"/>
        <v>0</v>
      </c>
      <c r="BV57" s="2842">
        <f t="shared" si="646"/>
        <v>807.18200999999999</v>
      </c>
      <c r="BW57" s="2842">
        <f t="shared" si="646"/>
        <v>807.18200999999999</v>
      </c>
      <c r="BX57" s="2842">
        <f t="shared" si="646"/>
        <v>0</v>
      </c>
      <c r="BY57" s="2805">
        <f t="shared" si="551"/>
        <v>102.34103375000007</v>
      </c>
      <c r="BZ57" s="2805">
        <f t="shared" si="551"/>
        <v>102.34103375000007</v>
      </c>
      <c r="CA57" s="2805">
        <f t="shared" si="551"/>
        <v>0</v>
      </c>
      <c r="CB57" s="2818">
        <f t="shared" si="647"/>
        <v>1659.1619324999999</v>
      </c>
      <c r="CC57" s="2818">
        <f t="shared" si="647"/>
        <v>1659.1619324999999</v>
      </c>
      <c r="CD57" s="2818">
        <f t="shared" si="647"/>
        <v>0</v>
      </c>
      <c r="CE57" s="2818">
        <f t="shared" si="647"/>
        <v>1700.3334399999999</v>
      </c>
      <c r="CF57" s="2818">
        <f t="shared" si="647"/>
        <v>1700.3334399999999</v>
      </c>
      <c r="CG57" s="2818">
        <f t="shared" si="647"/>
        <v>0</v>
      </c>
      <c r="CH57" s="2818">
        <f t="shared" si="647"/>
        <v>1558.1490100000001</v>
      </c>
      <c r="CI57" s="2818">
        <f t="shared" si="647"/>
        <v>1558.1490100000001</v>
      </c>
      <c r="CJ57" s="2818">
        <f t="shared" si="647"/>
        <v>0</v>
      </c>
      <c r="CK57" s="2819">
        <f t="shared" si="553"/>
        <v>41.171507499999962</v>
      </c>
      <c r="CL57" s="2819">
        <f t="shared" si="553"/>
        <v>41.171507499999962</v>
      </c>
      <c r="CM57" s="2819">
        <f t="shared" si="553"/>
        <v>0</v>
      </c>
      <c r="CN57" s="2836">
        <f t="shared" si="648"/>
        <v>276.52698874999999</v>
      </c>
      <c r="CO57" s="2836">
        <f>SUM('ПОЛНАЯ СЕБЕСТОИМОСТЬ ВОДА 2023'!AP205)/3</f>
        <v>276.52698874999999</v>
      </c>
      <c r="CP57" s="2836">
        <f>SUM('ПОЛНАЯ СЕБЕСТОИМОСТЬ ВОДА 2023'!AQ205)/3</f>
        <v>0</v>
      </c>
      <c r="CQ57" s="2781">
        <f t="shared" si="649"/>
        <v>285.19399999999996</v>
      </c>
      <c r="CR57" s="2781">
        <f>SUM('ПОЛНАЯ СЕБЕСТОИМОСТЬ ВОДА 2023'!AS205)</f>
        <v>285.19399999999996</v>
      </c>
      <c r="CS57" s="2781">
        <f>SUM('ПОЛНАЯ СЕБЕСТОИМОСТЬ ВОДА 2023'!AT205)</f>
        <v>0</v>
      </c>
      <c r="CT57" s="2840">
        <f t="shared" si="677"/>
        <v>287.53800000000001</v>
      </c>
      <c r="CU57" s="2840">
        <v>287.53800000000001</v>
      </c>
      <c r="CV57" s="2840">
        <v>0</v>
      </c>
      <c r="CW57" s="2836">
        <f t="shared" si="650"/>
        <v>276.52698874999999</v>
      </c>
      <c r="CX57" s="2836">
        <f t="shared" si="651"/>
        <v>276.52698874999999</v>
      </c>
      <c r="CY57" s="2836">
        <f t="shared" si="652"/>
        <v>0</v>
      </c>
      <c r="CZ57" s="2781">
        <f t="shared" si="653"/>
        <v>0</v>
      </c>
      <c r="DA57" s="2781">
        <f>SUM('ПОЛНАЯ СЕБЕСТОИМОСТЬ ВОДА 2023'!AV205)</f>
        <v>0</v>
      </c>
      <c r="DB57" s="2781">
        <f>SUM('ПОЛНАЯ СЕБЕСТОИМОСТЬ ВОДА 2023'!AW205)</f>
        <v>0</v>
      </c>
      <c r="DC57" s="2840">
        <f t="shared" si="678"/>
        <v>205.57999999999998</v>
      </c>
      <c r="DD57" s="2840">
        <v>205.57999999999998</v>
      </c>
      <c r="DE57" s="2840">
        <v>0</v>
      </c>
      <c r="DF57" s="2836">
        <f t="shared" si="654"/>
        <v>276.52698874999999</v>
      </c>
      <c r="DG57" s="2836">
        <f t="shared" si="655"/>
        <v>276.52698874999999</v>
      </c>
      <c r="DH57" s="2836">
        <f t="shared" si="656"/>
        <v>0</v>
      </c>
      <c r="DI57" s="2781">
        <f t="shared" si="657"/>
        <v>0</v>
      </c>
      <c r="DJ57" s="2781">
        <f>SUM('ПОЛНАЯ СЕБЕСТОИМОСТЬ ВОДА 2023'!AY205)</f>
        <v>0</v>
      </c>
      <c r="DK57" s="2781">
        <f>SUM('ПОЛНАЯ СЕБЕСТОИМОСТЬ ВОДА 2023'!AZ205)</f>
        <v>0</v>
      </c>
      <c r="DL57" s="2840">
        <f t="shared" si="679"/>
        <v>228.505</v>
      </c>
      <c r="DM57" s="2840">
        <v>228.505</v>
      </c>
      <c r="DN57" s="2840">
        <v>0</v>
      </c>
      <c r="DO57" s="2807">
        <f t="shared" si="658"/>
        <v>829.58096624999996</v>
      </c>
      <c r="DP57" s="2807">
        <f t="shared" si="658"/>
        <v>829.58096624999996</v>
      </c>
      <c r="DQ57" s="2807">
        <f t="shared" si="658"/>
        <v>0</v>
      </c>
      <c r="DR57" s="2842">
        <f t="shared" si="658"/>
        <v>285.19399999999996</v>
      </c>
      <c r="DS57" s="2842">
        <f t="shared" si="658"/>
        <v>285.19399999999996</v>
      </c>
      <c r="DT57" s="2842">
        <f t="shared" si="658"/>
        <v>0</v>
      </c>
      <c r="DU57" s="2842">
        <f t="shared" si="658"/>
        <v>721.62300000000005</v>
      </c>
      <c r="DV57" s="2842">
        <f t="shared" si="658"/>
        <v>721.62300000000005</v>
      </c>
      <c r="DW57" s="2842">
        <f t="shared" si="658"/>
        <v>0</v>
      </c>
      <c r="DX57" s="2805">
        <f t="shared" si="555"/>
        <v>-544.38696625</v>
      </c>
      <c r="DY57" s="2805">
        <f t="shared" si="555"/>
        <v>-544.38696625</v>
      </c>
      <c r="DZ57" s="2805">
        <f t="shared" si="555"/>
        <v>0</v>
      </c>
      <c r="EA57" s="2807">
        <f t="shared" si="659"/>
        <v>2488.7428987499998</v>
      </c>
      <c r="EB57" s="2807">
        <f t="shared" si="659"/>
        <v>2488.7428987499998</v>
      </c>
      <c r="EC57" s="2807">
        <f t="shared" si="659"/>
        <v>0</v>
      </c>
      <c r="ED57" s="2842">
        <f t="shared" si="659"/>
        <v>1985.5274399999998</v>
      </c>
      <c r="EE57" s="2842">
        <f t="shared" si="659"/>
        <v>1985.5274399999998</v>
      </c>
      <c r="EF57" s="2842">
        <f t="shared" si="659"/>
        <v>0</v>
      </c>
      <c r="EG57" s="2842">
        <f t="shared" si="659"/>
        <v>2279.7720100000001</v>
      </c>
      <c r="EH57" s="2842">
        <f t="shared" si="659"/>
        <v>2279.7720100000001</v>
      </c>
      <c r="EI57" s="2842">
        <f t="shared" si="659"/>
        <v>0</v>
      </c>
      <c r="EJ57" s="2805">
        <f t="shared" si="557"/>
        <v>-503.21545874999993</v>
      </c>
      <c r="EK57" s="2805">
        <f t="shared" si="557"/>
        <v>-503.21545874999993</v>
      </c>
      <c r="EL57" s="2805">
        <f t="shared" si="557"/>
        <v>0</v>
      </c>
      <c r="EM57" s="2836">
        <f t="shared" si="660"/>
        <v>276.52698874999999</v>
      </c>
      <c r="EN57" s="2836">
        <f>SUM('ПОЛНАЯ СЕБЕСТОИМОСТЬ ВОДА 2023'!BN205)/3</f>
        <v>276.52698874999999</v>
      </c>
      <c r="EO57" s="2836">
        <f>SUM('ПОЛНАЯ СЕБЕСТОИМОСТЬ ВОДА 2023'!BO205)/3</f>
        <v>0</v>
      </c>
      <c r="EP57" s="2781">
        <f t="shared" si="661"/>
        <v>0</v>
      </c>
      <c r="EQ57" s="2781">
        <f>SUM('ПОЛНАЯ СЕБЕСТОИМОСТЬ ВОДА 2023'!BQ205)</f>
        <v>0</v>
      </c>
      <c r="ER57" s="2781">
        <f>SUM('ПОЛНАЯ СЕБЕСТОИМОСТЬ ВОДА 2023'!BR205)</f>
        <v>0</v>
      </c>
      <c r="ES57" s="2840">
        <f t="shared" si="680"/>
        <v>195.065</v>
      </c>
      <c r="ET57" s="2840">
        <v>195.065</v>
      </c>
      <c r="EU57" s="2840">
        <v>0</v>
      </c>
      <c r="EV57" s="2836">
        <f t="shared" si="662"/>
        <v>276.52698874999999</v>
      </c>
      <c r="EW57" s="2836">
        <f t="shared" si="663"/>
        <v>276.52698874999999</v>
      </c>
      <c r="EX57" s="2836">
        <f t="shared" si="664"/>
        <v>0</v>
      </c>
      <c r="EY57" s="2781">
        <f t="shared" si="665"/>
        <v>0</v>
      </c>
      <c r="EZ57" s="2781">
        <f>SUM('ПОЛНАЯ СЕБЕСТОИМОСТЬ ВОДА 2023'!BT205)</f>
        <v>0</v>
      </c>
      <c r="FA57" s="2781">
        <f>SUM('ПОЛНАЯ СЕБЕСТОИМОСТЬ ВОДА 2023'!BU205)</f>
        <v>0</v>
      </c>
      <c r="FB57" s="2840">
        <f t="shared" si="681"/>
        <v>208.88929999999999</v>
      </c>
      <c r="FC57" s="2840">
        <v>208.88929999999999</v>
      </c>
      <c r="FD57" s="2840">
        <v>0</v>
      </c>
      <c r="FE57" s="2836">
        <f t="shared" si="666"/>
        <v>276.52698874999999</v>
      </c>
      <c r="FF57" s="2836">
        <f t="shared" si="667"/>
        <v>276.52698874999999</v>
      </c>
      <c r="FG57" s="2836">
        <f t="shared" si="668"/>
        <v>0</v>
      </c>
      <c r="FH57" s="2781">
        <f t="shared" si="613"/>
        <v>0</v>
      </c>
      <c r="FI57" s="2781">
        <f>SUM('ПОЛНАЯ СЕБЕСТОИМОСТЬ ВОДА 2023'!BW205)</f>
        <v>0</v>
      </c>
      <c r="FJ57" s="2781">
        <f>SUM('ПОЛНАЯ СЕБЕСТОИМОСТЬ ВОДА 2023'!BX205)</f>
        <v>0</v>
      </c>
      <c r="FK57" s="2840">
        <f t="shared" si="682"/>
        <v>173.976</v>
      </c>
      <c r="FL57" s="2840">
        <v>173.976</v>
      </c>
      <c r="FM57" s="2840">
        <v>0</v>
      </c>
      <c r="FN57" s="2807">
        <f t="shared" si="669"/>
        <v>829.58096624999996</v>
      </c>
      <c r="FO57" s="2807">
        <f t="shared" si="669"/>
        <v>829.58096624999996</v>
      </c>
      <c r="FP57" s="2807">
        <f t="shared" si="669"/>
        <v>0</v>
      </c>
      <c r="FQ57" s="2818">
        <f t="shared" si="669"/>
        <v>0</v>
      </c>
      <c r="FR57" s="2818">
        <f t="shared" si="669"/>
        <v>0</v>
      </c>
      <c r="FS57" s="2818">
        <f t="shared" si="669"/>
        <v>0</v>
      </c>
      <c r="FT57" s="2818">
        <f t="shared" si="669"/>
        <v>577.93029999999999</v>
      </c>
      <c r="FU57" s="2818">
        <f t="shared" si="669"/>
        <v>577.93029999999999</v>
      </c>
      <c r="FV57" s="2818">
        <f t="shared" si="669"/>
        <v>0</v>
      </c>
      <c r="FW57" s="2819">
        <f t="shared" si="559"/>
        <v>-829.58096624999996</v>
      </c>
      <c r="FX57" s="2819">
        <f t="shared" si="559"/>
        <v>-829.58096624999996</v>
      </c>
      <c r="FY57" s="2819">
        <f t="shared" si="559"/>
        <v>0</v>
      </c>
      <c r="FZ57" s="2807">
        <f t="shared" si="670"/>
        <v>3318.3238649999998</v>
      </c>
      <c r="GA57" s="2807">
        <f t="shared" si="670"/>
        <v>3318.3238649999998</v>
      </c>
      <c r="GB57" s="2807">
        <f t="shared" si="670"/>
        <v>0</v>
      </c>
      <c r="GC57" s="2818">
        <f t="shared" si="670"/>
        <v>1985.5274399999998</v>
      </c>
      <c r="GD57" s="2818">
        <f t="shared" si="670"/>
        <v>1985.5274399999998</v>
      </c>
      <c r="GE57" s="2818">
        <f t="shared" si="670"/>
        <v>0</v>
      </c>
      <c r="GF57" s="2818">
        <f t="shared" si="670"/>
        <v>2857.7023100000001</v>
      </c>
      <c r="GG57" s="2818">
        <f t="shared" si="670"/>
        <v>2857.7023100000001</v>
      </c>
      <c r="GH57" s="2818">
        <f t="shared" si="670"/>
        <v>0</v>
      </c>
      <c r="GI57" s="2819">
        <f t="shared" si="561"/>
        <v>-1332.796425</v>
      </c>
      <c r="GJ57" s="2819">
        <f t="shared" si="561"/>
        <v>-1332.796425</v>
      </c>
      <c r="GK57" s="2819">
        <f t="shared" si="561"/>
        <v>0</v>
      </c>
      <c r="GL57" s="389"/>
      <c r="GM57" s="3578">
        <f t="shared" si="562"/>
        <v>3318.3238649999989</v>
      </c>
    </row>
    <row r="58" spans="1:195" ht="18.75" x14ac:dyDescent="0.3">
      <c r="A58" s="2784" t="s">
        <v>31</v>
      </c>
      <c r="B58" s="2836">
        <f t="shared" si="625"/>
        <v>139.75905416666666</v>
      </c>
      <c r="C58" s="2836">
        <f>SUM('ПОЛНАЯ СЕБЕСТОИМОСТЬ ВОДА 2023'!C206)/3</f>
        <v>139.75905416666666</v>
      </c>
      <c r="D58" s="2836">
        <f>SUM('ПОЛНАЯ СЕБЕСТОИМОСТЬ ВОДА 2023'!D206)/3</f>
        <v>0</v>
      </c>
      <c r="E58" s="2781">
        <f t="shared" si="626"/>
        <v>205.48099999999999</v>
      </c>
      <c r="F58" s="2781">
        <f>SUM('ПОЛНАЯ СЕБЕСТОИМОСТЬ ВОДА 2023'!F206)</f>
        <v>205.48099999999999</v>
      </c>
      <c r="G58" s="2781">
        <f>SUM('ПОЛНАЯ СЕБЕСТОИМОСТЬ ВОДА 2023'!G206)</f>
        <v>0</v>
      </c>
      <c r="H58" s="2840">
        <f t="shared" si="671"/>
        <v>133.05399999999997</v>
      </c>
      <c r="I58" s="2840">
        <v>133.05399999999997</v>
      </c>
      <c r="J58" s="2840">
        <v>0</v>
      </c>
      <c r="K58" s="2836">
        <f t="shared" si="627"/>
        <v>139.75905416666666</v>
      </c>
      <c r="L58" s="2836">
        <f t="shared" si="628"/>
        <v>139.75905416666666</v>
      </c>
      <c r="M58" s="2836">
        <f t="shared" si="629"/>
        <v>0</v>
      </c>
      <c r="N58" s="2781">
        <f t="shared" si="630"/>
        <v>145.34200000000001</v>
      </c>
      <c r="O58" s="2781">
        <f>SUM('ПОЛНАЯ СЕБЕСТОИМОСТЬ ВОДА 2023'!I206)</f>
        <v>145.34200000000001</v>
      </c>
      <c r="P58" s="2781">
        <f>SUM('ПОЛНАЯ СЕБЕСТОИМОСТЬ ВОДА 2023'!J206)</f>
        <v>0</v>
      </c>
      <c r="Q58" s="2840">
        <f t="shared" si="672"/>
        <v>115.23299999999999</v>
      </c>
      <c r="R58" s="2840">
        <v>115.23299999999999</v>
      </c>
      <c r="S58" s="2840">
        <v>0</v>
      </c>
      <c r="T58" s="2836">
        <f t="shared" si="631"/>
        <v>139.75905416666666</v>
      </c>
      <c r="U58" s="2836">
        <f t="shared" si="632"/>
        <v>139.75905416666666</v>
      </c>
      <c r="V58" s="2836">
        <f t="shared" si="633"/>
        <v>0</v>
      </c>
      <c r="W58" s="2781">
        <f t="shared" si="634"/>
        <v>220.62400000000002</v>
      </c>
      <c r="X58" s="2781">
        <f>SUM('ПОЛНАЯ СЕБЕСТОИМОСТЬ ВОДА 2023'!L206)</f>
        <v>220.62400000000002</v>
      </c>
      <c r="Y58" s="2781">
        <f>SUM('ПОЛНАЯ СЕБЕСТОИМОСТЬ ВОДА 2023'!M206)</f>
        <v>0</v>
      </c>
      <c r="Z58" s="2840">
        <f t="shared" si="673"/>
        <v>215.15700000000001</v>
      </c>
      <c r="AA58" s="2840">
        <v>215.15700000000001</v>
      </c>
      <c r="AB58" s="2840">
        <v>0</v>
      </c>
      <c r="AC58" s="2807">
        <f t="shared" si="635"/>
        <v>419.27716249999997</v>
      </c>
      <c r="AD58" s="2807">
        <f t="shared" si="635"/>
        <v>419.27716249999997</v>
      </c>
      <c r="AE58" s="2807">
        <f t="shared" si="635"/>
        <v>0</v>
      </c>
      <c r="AF58" s="2818">
        <f t="shared" si="635"/>
        <v>571.447</v>
      </c>
      <c r="AG58" s="2818">
        <f t="shared" si="635"/>
        <v>571.447</v>
      </c>
      <c r="AH58" s="2818">
        <f t="shared" si="635"/>
        <v>0</v>
      </c>
      <c r="AI58" s="2818">
        <f t="shared" si="635"/>
        <v>463.44399999999996</v>
      </c>
      <c r="AJ58" s="2818">
        <f t="shared" si="635"/>
        <v>463.44399999999996</v>
      </c>
      <c r="AK58" s="2818">
        <f t="shared" si="635"/>
        <v>0</v>
      </c>
      <c r="AL58" s="2819">
        <f t="shared" si="549"/>
        <v>152.16983750000003</v>
      </c>
      <c r="AM58" s="2819">
        <f t="shared" si="549"/>
        <v>152.16983750000003</v>
      </c>
      <c r="AN58" s="2819">
        <f t="shared" si="549"/>
        <v>0</v>
      </c>
      <c r="AO58" s="2836">
        <f t="shared" si="636"/>
        <v>139.75905416666666</v>
      </c>
      <c r="AP58" s="2836">
        <f>SUM('ПОЛНАЯ СЕБЕСТОИМОСТЬ ВОДА 2023'!R206)/3</f>
        <v>139.75905416666666</v>
      </c>
      <c r="AQ58" s="2836">
        <f>SUM('ПОЛНАЯ СЕБЕСТОИМОСТЬ ВОДА 2023'!S206)/3</f>
        <v>0</v>
      </c>
      <c r="AR58" s="2836">
        <f t="shared" si="637"/>
        <v>126.02</v>
      </c>
      <c r="AS58" s="2836">
        <f>SUM('ПОЛНАЯ СЕБЕСТОИМОСТЬ ВОДА 2023'!U206)</f>
        <v>126.02</v>
      </c>
      <c r="AT58" s="2836">
        <f>SUM('ПОЛНАЯ СЕБЕСТОИМОСТЬ ВОДА 2023'!V206)</f>
        <v>0</v>
      </c>
      <c r="AU58" s="2840">
        <f t="shared" si="674"/>
        <v>361.399</v>
      </c>
      <c r="AV58" s="2840">
        <v>361.399</v>
      </c>
      <c r="AW58" s="2840">
        <v>0</v>
      </c>
      <c r="AX58" s="2836">
        <f t="shared" si="638"/>
        <v>139.75905416666666</v>
      </c>
      <c r="AY58" s="2836">
        <f t="shared" si="639"/>
        <v>139.75905416666666</v>
      </c>
      <c r="AZ58" s="2836">
        <f t="shared" si="640"/>
        <v>0</v>
      </c>
      <c r="BA58" s="2836">
        <f t="shared" si="641"/>
        <v>153.155</v>
      </c>
      <c r="BB58" s="2836">
        <f>SUM('ПОЛНАЯ СЕБЕСТОИМОСТЬ ВОДА 2023'!X206)</f>
        <v>153.155</v>
      </c>
      <c r="BC58" s="2836">
        <f>SUM('ПОЛНАЯ СЕБЕСТОИМОСТЬ ВОДА 2023'!Y206)</f>
        <v>0</v>
      </c>
      <c r="BD58" s="2840">
        <f t="shared" si="675"/>
        <v>123.64400000000001</v>
      </c>
      <c r="BE58" s="2840">
        <v>123.64400000000001</v>
      </c>
      <c r="BF58" s="2840">
        <v>0</v>
      </c>
      <c r="BG58" s="2836">
        <f t="shared" si="642"/>
        <v>139.75905416666666</v>
      </c>
      <c r="BH58" s="2836">
        <f t="shared" si="643"/>
        <v>139.75905416666666</v>
      </c>
      <c r="BI58" s="2836">
        <f t="shared" si="644"/>
        <v>0</v>
      </c>
      <c r="BJ58" s="2781">
        <f t="shared" si="645"/>
        <v>98.515000000000001</v>
      </c>
      <c r="BK58" s="2781">
        <f>SUM('ПОЛНАЯ СЕБЕСТОИМОСТЬ ВОДА 2023'!AA206)</f>
        <v>98.515000000000001</v>
      </c>
      <c r="BL58" s="2781">
        <f>SUM('ПОЛНАЯ СЕБЕСТОИМОСТЬ ВОДА 2023'!AB206)</f>
        <v>0</v>
      </c>
      <c r="BM58" s="2840">
        <f t="shared" si="676"/>
        <v>25.655739999999998</v>
      </c>
      <c r="BN58" s="2840">
        <v>25.655739999999998</v>
      </c>
      <c r="BO58" s="2840">
        <v>0</v>
      </c>
      <c r="BP58" s="2807">
        <f t="shared" si="646"/>
        <v>419.27716249999997</v>
      </c>
      <c r="BQ58" s="2807">
        <f t="shared" si="646"/>
        <v>419.27716249999997</v>
      </c>
      <c r="BR58" s="2807">
        <f t="shared" si="646"/>
        <v>0</v>
      </c>
      <c r="BS58" s="2842">
        <f t="shared" si="646"/>
        <v>377.69</v>
      </c>
      <c r="BT58" s="2842">
        <f t="shared" si="646"/>
        <v>377.69</v>
      </c>
      <c r="BU58" s="2842">
        <f t="shared" si="646"/>
        <v>0</v>
      </c>
      <c r="BV58" s="2842">
        <f t="shared" si="646"/>
        <v>510.69873999999999</v>
      </c>
      <c r="BW58" s="2842">
        <f t="shared" si="646"/>
        <v>510.69873999999999</v>
      </c>
      <c r="BX58" s="2842">
        <f t="shared" si="646"/>
        <v>0</v>
      </c>
      <c r="BY58" s="2805">
        <f t="shared" si="551"/>
        <v>-41.587162499999977</v>
      </c>
      <c r="BZ58" s="2805">
        <f t="shared" si="551"/>
        <v>-41.587162499999977</v>
      </c>
      <c r="CA58" s="2805">
        <f t="shared" si="551"/>
        <v>0</v>
      </c>
      <c r="CB58" s="2818">
        <f t="shared" si="647"/>
        <v>838.55432499999995</v>
      </c>
      <c r="CC58" s="2818">
        <f t="shared" si="647"/>
        <v>838.55432499999995</v>
      </c>
      <c r="CD58" s="2818">
        <f t="shared" si="647"/>
        <v>0</v>
      </c>
      <c r="CE58" s="2818">
        <f t="shared" si="647"/>
        <v>949.13699999999994</v>
      </c>
      <c r="CF58" s="2818">
        <f t="shared" si="647"/>
        <v>949.13699999999994</v>
      </c>
      <c r="CG58" s="2818">
        <f t="shared" si="647"/>
        <v>0</v>
      </c>
      <c r="CH58" s="2818">
        <f t="shared" si="647"/>
        <v>974.14274</v>
      </c>
      <c r="CI58" s="2818">
        <f t="shared" si="647"/>
        <v>974.14274</v>
      </c>
      <c r="CJ58" s="2818">
        <f t="shared" si="647"/>
        <v>0</v>
      </c>
      <c r="CK58" s="2819">
        <f t="shared" si="553"/>
        <v>110.58267499999999</v>
      </c>
      <c r="CL58" s="2819">
        <f t="shared" si="553"/>
        <v>110.58267499999999</v>
      </c>
      <c r="CM58" s="2819">
        <f t="shared" si="553"/>
        <v>0</v>
      </c>
      <c r="CN58" s="2836">
        <f t="shared" si="648"/>
        <v>139.75905416666666</v>
      </c>
      <c r="CO58" s="2836">
        <f>SUM('ПОЛНАЯ СЕБЕСТОИМОСТЬ ВОДА 2023'!AP206)/3</f>
        <v>139.75905416666666</v>
      </c>
      <c r="CP58" s="2836">
        <f>SUM('ПОЛНАЯ СЕБЕСТОИМОСТЬ ВОДА 2023'!AQ206)/3</f>
        <v>0</v>
      </c>
      <c r="CQ58" s="2781">
        <f t="shared" si="649"/>
        <v>166.21799999999999</v>
      </c>
      <c r="CR58" s="2781">
        <f>SUM('ПОЛНАЯ СЕБЕСТОИМОСТЬ ВОДА 2023'!AS206)</f>
        <v>166.21799999999999</v>
      </c>
      <c r="CS58" s="2781">
        <f>SUM('ПОЛНАЯ СЕБЕСТОИМОСТЬ ВОДА 2023'!AT206)</f>
        <v>0</v>
      </c>
      <c r="CT58" s="2840">
        <f t="shared" si="677"/>
        <v>130.33199999999999</v>
      </c>
      <c r="CU58" s="2840">
        <v>130.33199999999999</v>
      </c>
      <c r="CV58" s="2840">
        <v>0</v>
      </c>
      <c r="CW58" s="2836">
        <f t="shared" si="650"/>
        <v>139.75905416666666</v>
      </c>
      <c r="CX58" s="2836">
        <f t="shared" si="651"/>
        <v>139.75905416666666</v>
      </c>
      <c r="CY58" s="2836">
        <f t="shared" si="652"/>
        <v>0</v>
      </c>
      <c r="CZ58" s="2781">
        <f t="shared" si="653"/>
        <v>0</v>
      </c>
      <c r="DA58" s="2781">
        <f>SUM('ПОЛНАЯ СЕБЕСТОИМОСТЬ ВОДА 2023'!AV206)</f>
        <v>0</v>
      </c>
      <c r="DB58" s="2781">
        <f>SUM('ПОЛНАЯ СЕБЕСТОИМОСТЬ ВОДА 2023'!AW206)</f>
        <v>0</v>
      </c>
      <c r="DC58" s="2840">
        <f t="shared" si="678"/>
        <v>130.78399999999999</v>
      </c>
      <c r="DD58" s="2840">
        <v>130.78399999999999</v>
      </c>
      <c r="DE58" s="2840">
        <v>0</v>
      </c>
      <c r="DF58" s="2836">
        <f t="shared" si="654"/>
        <v>139.75905416666666</v>
      </c>
      <c r="DG58" s="2836">
        <f t="shared" si="655"/>
        <v>139.75905416666666</v>
      </c>
      <c r="DH58" s="2836">
        <f t="shared" si="656"/>
        <v>0</v>
      </c>
      <c r="DI58" s="2781">
        <f t="shared" si="657"/>
        <v>0</v>
      </c>
      <c r="DJ58" s="2781">
        <f>SUM('ПОЛНАЯ СЕБЕСТОИМОСТЬ ВОДА 2023'!AY206)</f>
        <v>0</v>
      </c>
      <c r="DK58" s="2781">
        <f>SUM('ПОЛНАЯ СЕБЕСТОИМОСТЬ ВОДА 2023'!AZ206)</f>
        <v>0</v>
      </c>
      <c r="DL58" s="2840">
        <f t="shared" si="679"/>
        <v>132.661</v>
      </c>
      <c r="DM58" s="2840">
        <v>132.661</v>
      </c>
      <c r="DN58" s="2840">
        <v>0</v>
      </c>
      <c r="DO58" s="2807">
        <f t="shared" si="658"/>
        <v>419.27716249999997</v>
      </c>
      <c r="DP58" s="2807">
        <f t="shared" si="658"/>
        <v>419.27716249999997</v>
      </c>
      <c r="DQ58" s="2807">
        <f t="shared" si="658"/>
        <v>0</v>
      </c>
      <c r="DR58" s="2842">
        <f t="shared" si="658"/>
        <v>166.21799999999999</v>
      </c>
      <c r="DS58" s="2842">
        <f t="shared" si="658"/>
        <v>166.21799999999999</v>
      </c>
      <c r="DT58" s="2842">
        <f t="shared" si="658"/>
        <v>0</v>
      </c>
      <c r="DU58" s="2842">
        <f t="shared" si="658"/>
        <v>393.77699999999999</v>
      </c>
      <c r="DV58" s="2842">
        <f t="shared" si="658"/>
        <v>393.77699999999999</v>
      </c>
      <c r="DW58" s="2842">
        <f t="shared" si="658"/>
        <v>0</v>
      </c>
      <c r="DX58" s="2805">
        <f t="shared" si="555"/>
        <v>-253.05916249999999</v>
      </c>
      <c r="DY58" s="2805">
        <f t="shared" si="555"/>
        <v>-253.05916249999999</v>
      </c>
      <c r="DZ58" s="2805">
        <f t="shared" si="555"/>
        <v>0</v>
      </c>
      <c r="EA58" s="2807">
        <f t="shared" si="659"/>
        <v>1257.8314874999999</v>
      </c>
      <c r="EB58" s="2807">
        <f t="shared" si="659"/>
        <v>1257.8314874999999</v>
      </c>
      <c r="EC58" s="2807">
        <f t="shared" si="659"/>
        <v>0</v>
      </c>
      <c r="ED58" s="2842">
        <f t="shared" si="659"/>
        <v>1115.355</v>
      </c>
      <c r="EE58" s="2842">
        <f t="shared" si="659"/>
        <v>1115.355</v>
      </c>
      <c r="EF58" s="2842">
        <f t="shared" si="659"/>
        <v>0</v>
      </c>
      <c r="EG58" s="2842">
        <f t="shared" si="659"/>
        <v>1367.91974</v>
      </c>
      <c r="EH58" s="2842">
        <f t="shared" si="659"/>
        <v>1367.91974</v>
      </c>
      <c r="EI58" s="2842">
        <f t="shared" si="659"/>
        <v>0</v>
      </c>
      <c r="EJ58" s="2805">
        <f t="shared" si="557"/>
        <v>-142.47648749999985</v>
      </c>
      <c r="EK58" s="2805">
        <f t="shared" si="557"/>
        <v>-142.47648749999985</v>
      </c>
      <c r="EL58" s="2805">
        <f t="shared" si="557"/>
        <v>0</v>
      </c>
      <c r="EM58" s="2836">
        <f t="shared" si="660"/>
        <v>139.75905416666666</v>
      </c>
      <c r="EN58" s="2836">
        <f>SUM('ПОЛНАЯ СЕБЕСТОИМОСТЬ ВОДА 2023'!BN206)/3</f>
        <v>139.75905416666666</v>
      </c>
      <c r="EO58" s="2836">
        <f>SUM('ПОЛНАЯ СЕБЕСТОИМОСТЬ ВОДА 2023'!BO206)/3</f>
        <v>0</v>
      </c>
      <c r="EP58" s="2781">
        <f t="shared" si="661"/>
        <v>0</v>
      </c>
      <c r="EQ58" s="2781">
        <f>SUM('ПОЛНАЯ СЕБЕСТОИМОСТЬ ВОДА 2023'!BQ206)</f>
        <v>0</v>
      </c>
      <c r="ER58" s="2781">
        <f>SUM('ПОЛНАЯ СЕБЕСТОИМОСТЬ ВОДА 2023'!BR206)</f>
        <v>0</v>
      </c>
      <c r="ES58" s="2840">
        <f t="shared" si="680"/>
        <v>130.47300000000001</v>
      </c>
      <c r="ET58" s="2840">
        <v>130.47300000000001</v>
      </c>
      <c r="EU58" s="2840">
        <v>0</v>
      </c>
      <c r="EV58" s="2836">
        <f t="shared" si="662"/>
        <v>139.75905416666666</v>
      </c>
      <c r="EW58" s="2836">
        <f t="shared" si="663"/>
        <v>139.75905416666666</v>
      </c>
      <c r="EX58" s="2836">
        <f t="shared" si="664"/>
        <v>0</v>
      </c>
      <c r="EY58" s="2781">
        <f t="shared" si="665"/>
        <v>0</v>
      </c>
      <c r="EZ58" s="2781">
        <f>SUM('ПОЛНАЯ СЕБЕСТОИМОСТЬ ВОДА 2023'!BT206)</f>
        <v>0</v>
      </c>
      <c r="FA58" s="2781">
        <f>SUM('ПОЛНАЯ СЕБЕСТОИМОСТЬ ВОДА 2023'!BU206)</f>
        <v>0</v>
      </c>
      <c r="FB58" s="2840">
        <f t="shared" si="681"/>
        <v>204.80769000000001</v>
      </c>
      <c r="FC58" s="2840">
        <v>204.80769000000001</v>
      </c>
      <c r="FD58" s="2840">
        <v>0</v>
      </c>
      <c r="FE58" s="2836">
        <f t="shared" si="666"/>
        <v>139.75905416666666</v>
      </c>
      <c r="FF58" s="2836">
        <f t="shared" si="667"/>
        <v>139.75905416666666</v>
      </c>
      <c r="FG58" s="2836">
        <f t="shared" si="668"/>
        <v>0</v>
      </c>
      <c r="FH58" s="2781">
        <f t="shared" si="613"/>
        <v>0</v>
      </c>
      <c r="FI58" s="2781">
        <f>SUM('ПОЛНАЯ СЕБЕСТОИМОСТЬ ВОДА 2023'!BW206)</f>
        <v>0</v>
      </c>
      <c r="FJ58" s="2781">
        <f>SUM('ПОЛНАЯ СЕБЕСТОИМОСТЬ ВОДА 2023'!BX206)</f>
        <v>0</v>
      </c>
      <c r="FK58" s="2840">
        <f t="shared" si="682"/>
        <v>168.429</v>
      </c>
      <c r="FL58" s="2840">
        <v>168.429</v>
      </c>
      <c r="FM58" s="2840">
        <v>0</v>
      </c>
      <c r="FN58" s="2807">
        <f t="shared" si="669"/>
        <v>419.27716249999997</v>
      </c>
      <c r="FO58" s="2807">
        <f t="shared" si="669"/>
        <v>419.27716249999997</v>
      </c>
      <c r="FP58" s="2807">
        <f t="shared" si="669"/>
        <v>0</v>
      </c>
      <c r="FQ58" s="2818">
        <f t="shared" si="669"/>
        <v>0</v>
      </c>
      <c r="FR58" s="2818">
        <f t="shared" si="669"/>
        <v>0</v>
      </c>
      <c r="FS58" s="2818">
        <f t="shared" si="669"/>
        <v>0</v>
      </c>
      <c r="FT58" s="2818">
        <f t="shared" si="669"/>
        <v>503.70969000000002</v>
      </c>
      <c r="FU58" s="2818">
        <f t="shared" si="669"/>
        <v>503.70969000000002</v>
      </c>
      <c r="FV58" s="2818">
        <f t="shared" si="669"/>
        <v>0</v>
      </c>
      <c r="FW58" s="2819">
        <f t="shared" si="559"/>
        <v>-419.27716249999997</v>
      </c>
      <c r="FX58" s="2819">
        <f t="shared" si="559"/>
        <v>-419.27716249999997</v>
      </c>
      <c r="FY58" s="2819">
        <f t="shared" si="559"/>
        <v>0</v>
      </c>
      <c r="FZ58" s="2807">
        <f t="shared" si="670"/>
        <v>1677.1086499999999</v>
      </c>
      <c r="GA58" s="2807">
        <f t="shared" si="670"/>
        <v>1677.1086499999999</v>
      </c>
      <c r="GB58" s="2807">
        <f t="shared" si="670"/>
        <v>0</v>
      </c>
      <c r="GC58" s="2818">
        <f t="shared" si="670"/>
        <v>1115.355</v>
      </c>
      <c r="GD58" s="2818">
        <f t="shared" si="670"/>
        <v>1115.355</v>
      </c>
      <c r="GE58" s="2818">
        <f t="shared" si="670"/>
        <v>0</v>
      </c>
      <c r="GF58" s="2818">
        <f t="shared" si="670"/>
        <v>1871.62943</v>
      </c>
      <c r="GG58" s="2818">
        <f t="shared" si="670"/>
        <v>1871.62943</v>
      </c>
      <c r="GH58" s="2818">
        <f t="shared" si="670"/>
        <v>0</v>
      </c>
      <c r="GI58" s="2819">
        <f t="shared" si="561"/>
        <v>-561.75364999999988</v>
      </c>
      <c r="GJ58" s="2819">
        <f t="shared" si="561"/>
        <v>-561.75364999999988</v>
      </c>
      <c r="GK58" s="2819">
        <f t="shared" si="561"/>
        <v>0</v>
      </c>
      <c r="GL58" s="389"/>
      <c r="GM58" s="3578">
        <f t="shared" si="562"/>
        <v>1677.1086499999994</v>
      </c>
    </row>
    <row r="59" spans="1:195" ht="18.75" x14ac:dyDescent="0.3">
      <c r="A59" s="2784" t="s">
        <v>287</v>
      </c>
      <c r="B59" s="2836">
        <f t="shared" si="625"/>
        <v>584.88942900825566</v>
      </c>
      <c r="C59" s="2836">
        <f>SUM('ПОЛНАЯ СЕБЕСТОИМОСТЬ ВОДА 2023'!C207)/3</f>
        <v>584.88942900825566</v>
      </c>
      <c r="D59" s="2836">
        <f>SUM('ПОЛНАЯ СЕБЕСТОИМОСТЬ ВОДА 2023'!D207)/3</f>
        <v>0</v>
      </c>
      <c r="E59" s="2781">
        <f t="shared" si="626"/>
        <v>1628.2210000000002</v>
      </c>
      <c r="F59" s="2781">
        <f>SUM('ПОЛНАЯ СЕБЕСТОИМОСТЬ ВОДА 2023'!F207)</f>
        <v>1628.2210000000002</v>
      </c>
      <c r="G59" s="2781">
        <f>SUM('ПОЛНАЯ СЕБЕСТОИМОСТЬ ВОДА 2023'!G207)</f>
        <v>0</v>
      </c>
      <c r="H59" s="2840">
        <f t="shared" si="671"/>
        <v>706.51499999999987</v>
      </c>
      <c r="I59" s="2840">
        <v>706.51499999999987</v>
      </c>
      <c r="J59" s="2840">
        <v>0</v>
      </c>
      <c r="K59" s="2836">
        <f t="shared" si="627"/>
        <v>584.88942900825566</v>
      </c>
      <c r="L59" s="2836">
        <f t="shared" si="628"/>
        <v>584.88942900825566</v>
      </c>
      <c r="M59" s="2836">
        <f t="shared" si="629"/>
        <v>0</v>
      </c>
      <c r="N59" s="2781">
        <f t="shared" si="630"/>
        <v>1431.5049999999999</v>
      </c>
      <c r="O59" s="2781">
        <f>SUM('ПОЛНАЯ СЕБЕСТОИМОСТЬ ВОДА 2023'!I207)</f>
        <v>1431.5049999999999</v>
      </c>
      <c r="P59" s="2781">
        <f>SUM('ПОЛНАЯ СЕБЕСТОИМОСТЬ ВОДА 2023'!J207)</f>
        <v>0</v>
      </c>
      <c r="Q59" s="2840">
        <f t="shared" si="672"/>
        <v>568.62900000000013</v>
      </c>
      <c r="R59" s="2840">
        <v>568.62900000000013</v>
      </c>
      <c r="S59" s="2840">
        <v>0</v>
      </c>
      <c r="T59" s="2836">
        <f t="shared" si="631"/>
        <v>584.88942900825566</v>
      </c>
      <c r="U59" s="2836">
        <f t="shared" si="632"/>
        <v>584.88942900825566</v>
      </c>
      <c r="V59" s="2836">
        <f t="shared" si="633"/>
        <v>0</v>
      </c>
      <c r="W59" s="2781">
        <f t="shared" si="634"/>
        <v>1407.9930000000006</v>
      </c>
      <c r="X59" s="2781">
        <f>SUM('ПОЛНАЯ СЕБЕСТОИМОСТЬ ВОДА 2023'!L207)</f>
        <v>1407.9930000000006</v>
      </c>
      <c r="Y59" s="2781">
        <f>SUM('ПОЛНАЯ СЕБЕСТОИМОСТЬ ВОДА 2023'!M207)</f>
        <v>0</v>
      </c>
      <c r="Z59" s="2840">
        <f t="shared" si="673"/>
        <v>707.61400000000003</v>
      </c>
      <c r="AA59" s="2840">
        <v>707.61400000000003</v>
      </c>
      <c r="AB59" s="2840">
        <v>0</v>
      </c>
      <c r="AC59" s="2807">
        <f t="shared" si="635"/>
        <v>1754.6682870247669</v>
      </c>
      <c r="AD59" s="2807">
        <f t="shared" si="635"/>
        <v>1754.6682870247669</v>
      </c>
      <c r="AE59" s="2807">
        <f t="shared" si="635"/>
        <v>0</v>
      </c>
      <c r="AF59" s="2818">
        <f t="shared" si="635"/>
        <v>4467.719000000001</v>
      </c>
      <c r="AG59" s="2818">
        <f t="shared" si="635"/>
        <v>4467.719000000001</v>
      </c>
      <c r="AH59" s="2818">
        <f t="shared" si="635"/>
        <v>0</v>
      </c>
      <c r="AI59" s="2818">
        <f t="shared" si="635"/>
        <v>1982.758</v>
      </c>
      <c r="AJ59" s="2818">
        <f t="shared" si="635"/>
        <v>1982.758</v>
      </c>
      <c r="AK59" s="2818">
        <f t="shared" si="635"/>
        <v>0</v>
      </c>
      <c r="AL59" s="2819">
        <f t="shared" si="549"/>
        <v>2713.0507129752341</v>
      </c>
      <c r="AM59" s="2819">
        <f t="shared" si="549"/>
        <v>2713.0507129752341</v>
      </c>
      <c r="AN59" s="2819">
        <f t="shared" si="549"/>
        <v>0</v>
      </c>
      <c r="AO59" s="2836">
        <f t="shared" si="636"/>
        <v>584.88942900825566</v>
      </c>
      <c r="AP59" s="2836">
        <f>SUM('ПОЛНАЯ СЕБЕСТОИМОСТЬ ВОДА 2023'!R207)/3</f>
        <v>584.88942900825566</v>
      </c>
      <c r="AQ59" s="2836">
        <f>SUM('ПОЛНАЯ СЕБЕСТОИМОСТЬ ВОДА 2023'!S207)/3</f>
        <v>0</v>
      </c>
      <c r="AR59" s="2836">
        <f t="shared" si="637"/>
        <v>1313.3970000000004</v>
      </c>
      <c r="AS59" s="2836">
        <f>SUM('ПОЛНАЯ СЕБЕСТОИМОСТЬ ВОДА 2023'!U207)</f>
        <v>1313.3970000000004</v>
      </c>
      <c r="AT59" s="2836">
        <f>SUM('ПОЛНАЯ СЕБЕСТОИМОСТЬ ВОДА 2023'!V207)</f>
        <v>0</v>
      </c>
      <c r="AU59" s="2840">
        <f t="shared" si="674"/>
        <v>749.35500000000002</v>
      </c>
      <c r="AV59" s="2840">
        <v>749.35500000000002</v>
      </c>
      <c r="AW59" s="2840">
        <v>0</v>
      </c>
      <c r="AX59" s="2836">
        <f t="shared" si="638"/>
        <v>584.88942900825566</v>
      </c>
      <c r="AY59" s="2836">
        <f t="shared" si="639"/>
        <v>584.88942900825566</v>
      </c>
      <c r="AZ59" s="2836">
        <f t="shared" si="640"/>
        <v>0</v>
      </c>
      <c r="BA59" s="2836">
        <f t="shared" si="641"/>
        <v>1316.8520000000005</v>
      </c>
      <c r="BB59" s="2836">
        <f>SUM('ПОЛНАЯ СЕБЕСТОИМОСТЬ ВОДА 2023'!X207)</f>
        <v>1316.8520000000005</v>
      </c>
      <c r="BC59" s="2836">
        <f>SUM('ПОЛНАЯ СЕБЕСТОИМОСТЬ ВОДА 2023'!Y207)</f>
        <v>0</v>
      </c>
      <c r="BD59" s="2840">
        <f t="shared" si="675"/>
        <v>877.99600000000009</v>
      </c>
      <c r="BE59" s="2840">
        <v>877.99600000000009</v>
      </c>
      <c r="BF59" s="2840">
        <v>0</v>
      </c>
      <c r="BG59" s="2836">
        <f t="shared" si="642"/>
        <v>584.88942900825566</v>
      </c>
      <c r="BH59" s="2836">
        <f t="shared" si="643"/>
        <v>584.88942900825566</v>
      </c>
      <c r="BI59" s="2836">
        <f t="shared" si="644"/>
        <v>0</v>
      </c>
      <c r="BJ59" s="2781">
        <f t="shared" si="645"/>
        <v>1497.6200000000001</v>
      </c>
      <c r="BK59" s="2781">
        <f>SUM('ПОЛНАЯ СЕБЕСТОИМОСТЬ ВОДА 2023'!AA207)</f>
        <v>1497.6200000000001</v>
      </c>
      <c r="BL59" s="2781">
        <f>SUM('ПОЛНАЯ СЕБЕСТОИМОСТЬ ВОДА 2023'!AB207)</f>
        <v>0</v>
      </c>
      <c r="BM59" s="2840">
        <f t="shared" si="676"/>
        <v>1028.9462100000001</v>
      </c>
      <c r="BN59" s="2840">
        <v>1028.9462100000001</v>
      </c>
      <c r="BO59" s="2840">
        <v>0</v>
      </c>
      <c r="BP59" s="2807">
        <f t="shared" si="646"/>
        <v>1754.6682870247669</v>
      </c>
      <c r="BQ59" s="2807">
        <f t="shared" si="646"/>
        <v>1754.6682870247669</v>
      </c>
      <c r="BR59" s="2807">
        <f t="shared" si="646"/>
        <v>0</v>
      </c>
      <c r="BS59" s="2842">
        <f t="shared" si="646"/>
        <v>4127.8690000000006</v>
      </c>
      <c r="BT59" s="2842">
        <f t="shared" si="646"/>
        <v>4127.8690000000006</v>
      </c>
      <c r="BU59" s="2842">
        <f t="shared" si="646"/>
        <v>0</v>
      </c>
      <c r="BV59" s="2842">
        <f t="shared" si="646"/>
        <v>2656.2972100000002</v>
      </c>
      <c r="BW59" s="2842">
        <f t="shared" si="646"/>
        <v>2656.2972100000002</v>
      </c>
      <c r="BX59" s="2842">
        <f t="shared" si="646"/>
        <v>0</v>
      </c>
      <c r="BY59" s="2805">
        <f t="shared" si="551"/>
        <v>2373.2007129752337</v>
      </c>
      <c r="BZ59" s="2805">
        <f t="shared" si="551"/>
        <v>2373.2007129752337</v>
      </c>
      <c r="CA59" s="2805">
        <f t="shared" si="551"/>
        <v>0</v>
      </c>
      <c r="CB59" s="2818">
        <f t="shared" si="647"/>
        <v>3509.3365740495337</v>
      </c>
      <c r="CC59" s="2818">
        <f t="shared" si="647"/>
        <v>3509.3365740495337</v>
      </c>
      <c r="CD59" s="2818">
        <f t="shared" si="647"/>
        <v>0</v>
      </c>
      <c r="CE59" s="2818">
        <f t="shared" si="647"/>
        <v>8595.5880000000016</v>
      </c>
      <c r="CF59" s="2818">
        <f t="shared" si="647"/>
        <v>8595.5880000000016</v>
      </c>
      <c r="CG59" s="2818">
        <f t="shared" si="647"/>
        <v>0</v>
      </c>
      <c r="CH59" s="2818">
        <f t="shared" si="647"/>
        <v>4639.0552100000004</v>
      </c>
      <c r="CI59" s="2818">
        <f t="shared" si="647"/>
        <v>4639.0552100000004</v>
      </c>
      <c r="CJ59" s="2818">
        <f t="shared" si="647"/>
        <v>0</v>
      </c>
      <c r="CK59" s="2819">
        <f t="shared" si="553"/>
        <v>5086.2514259504678</v>
      </c>
      <c r="CL59" s="2819">
        <f t="shared" si="553"/>
        <v>5086.2514259504678</v>
      </c>
      <c r="CM59" s="2819">
        <f t="shared" si="553"/>
        <v>0</v>
      </c>
      <c r="CN59" s="2836">
        <f t="shared" si="648"/>
        <v>584.88942900825566</v>
      </c>
      <c r="CO59" s="2836">
        <f>SUM('ПОЛНАЯ СЕБЕСТОИМОСТЬ ВОДА 2023'!AP207)/3</f>
        <v>584.88942900825566</v>
      </c>
      <c r="CP59" s="2836">
        <f>SUM('ПОЛНАЯ СЕБЕСТОИМОСТЬ ВОДА 2023'!AQ207)/3</f>
        <v>0</v>
      </c>
      <c r="CQ59" s="2781">
        <f t="shared" si="649"/>
        <v>921.31899999999996</v>
      </c>
      <c r="CR59" s="2781">
        <f>SUM('ПОЛНАЯ СЕБЕСТОИМОСТЬ ВОДА 2023'!AS207)</f>
        <v>921.31899999999996</v>
      </c>
      <c r="CS59" s="2781">
        <f>SUM('ПОЛНАЯ СЕБЕСТОИМОСТЬ ВОДА 2023'!AT207)</f>
        <v>0</v>
      </c>
      <c r="CT59" s="2840">
        <f t="shared" si="677"/>
        <v>883.06600000000026</v>
      </c>
      <c r="CU59" s="2840">
        <v>883.06600000000026</v>
      </c>
      <c r="CV59" s="2840">
        <v>0</v>
      </c>
      <c r="CW59" s="2836">
        <f t="shared" si="650"/>
        <v>584.88942900825566</v>
      </c>
      <c r="CX59" s="2836">
        <f t="shared" si="651"/>
        <v>584.88942900825566</v>
      </c>
      <c r="CY59" s="2836">
        <f t="shared" si="652"/>
        <v>0</v>
      </c>
      <c r="CZ59" s="2781">
        <f t="shared" si="653"/>
        <v>0</v>
      </c>
      <c r="DA59" s="2781">
        <f>SUM('ПОЛНАЯ СЕБЕСТОИМОСТЬ ВОДА 2023'!AV207)</f>
        <v>0</v>
      </c>
      <c r="DB59" s="2781">
        <f>SUM('ПОЛНАЯ СЕБЕСТОИМОСТЬ ВОДА 2023'!AW207)</f>
        <v>0</v>
      </c>
      <c r="DC59" s="2840">
        <f t="shared" si="678"/>
        <v>1413.7760000000003</v>
      </c>
      <c r="DD59" s="2840">
        <v>1413.7760000000003</v>
      </c>
      <c r="DE59" s="2840">
        <v>0</v>
      </c>
      <c r="DF59" s="2836">
        <f t="shared" si="654"/>
        <v>584.88942900825566</v>
      </c>
      <c r="DG59" s="2836">
        <f t="shared" si="655"/>
        <v>584.88942900825566</v>
      </c>
      <c r="DH59" s="2836">
        <f t="shared" si="656"/>
        <v>0</v>
      </c>
      <c r="DI59" s="2781">
        <f t="shared" si="657"/>
        <v>0</v>
      </c>
      <c r="DJ59" s="2781">
        <f>SUM('ПОЛНАЯ СЕБЕСТОИМОСТЬ ВОДА 2023'!AY207)</f>
        <v>0</v>
      </c>
      <c r="DK59" s="2781">
        <f>SUM('ПОЛНАЯ СЕБЕСТОИМОСТЬ ВОДА 2023'!AZ207)</f>
        <v>0</v>
      </c>
      <c r="DL59" s="2840">
        <f t="shared" si="679"/>
        <v>974.1400000000001</v>
      </c>
      <c r="DM59" s="2840">
        <v>974.1400000000001</v>
      </c>
      <c r="DN59" s="2840">
        <v>0</v>
      </c>
      <c r="DO59" s="2807">
        <f t="shared" si="658"/>
        <v>1754.6682870247669</v>
      </c>
      <c r="DP59" s="2807">
        <f t="shared" si="658"/>
        <v>1754.6682870247669</v>
      </c>
      <c r="DQ59" s="2807">
        <f t="shared" si="658"/>
        <v>0</v>
      </c>
      <c r="DR59" s="2842">
        <f t="shared" si="658"/>
        <v>921.31899999999996</v>
      </c>
      <c r="DS59" s="2842">
        <f t="shared" si="658"/>
        <v>921.31899999999996</v>
      </c>
      <c r="DT59" s="2842">
        <f t="shared" si="658"/>
        <v>0</v>
      </c>
      <c r="DU59" s="2842">
        <f t="shared" si="658"/>
        <v>3270.9820000000009</v>
      </c>
      <c r="DV59" s="2842">
        <f t="shared" si="658"/>
        <v>3270.9820000000009</v>
      </c>
      <c r="DW59" s="2842">
        <f t="shared" si="658"/>
        <v>0</v>
      </c>
      <c r="DX59" s="2805">
        <f t="shared" si="555"/>
        <v>-833.34928702476691</v>
      </c>
      <c r="DY59" s="2805">
        <f t="shared" si="555"/>
        <v>-833.34928702476691</v>
      </c>
      <c r="DZ59" s="2805">
        <f t="shared" si="555"/>
        <v>0</v>
      </c>
      <c r="EA59" s="2807">
        <f t="shared" si="659"/>
        <v>5264.0048610743006</v>
      </c>
      <c r="EB59" s="2807">
        <f t="shared" si="659"/>
        <v>5264.0048610743006</v>
      </c>
      <c r="EC59" s="2807">
        <f t="shared" si="659"/>
        <v>0</v>
      </c>
      <c r="ED59" s="2842">
        <f t="shared" si="659"/>
        <v>9516.9070000000011</v>
      </c>
      <c r="EE59" s="2842">
        <f t="shared" si="659"/>
        <v>9516.9070000000011</v>
      </c>
      <c r="EF59" s="2842">
        <f t="shared" si="659"/>
        <v>0</v>
      </c>
      <c r="EG59" s="2842">
        <f t="shared" si="659"/>
        <v>7910.0372100000013</v>
      </c>
      <c r="EH59" s="2842">
        <f t="shared" si="659"/>
        <v>7910.0372100000013</v>
      </c>
      <c r="EI59" s="2842">
        <f t="shared" si="659"/>
        <v>0</v>
      </c>
      <c r="EJ59" s="2805">
        <f t="shared" si="557"/>
        <v>4252.9021389257005</v>
      </c>
      <c r="EK59" s="2805">
        <f t="shared" si="557"/>
        <v>4252.9021389257005</v>
      </c>
      <c r="EL59" s="2805">
        <f t="shared" si="557"/>
        <v>0</v>
      </c>
      <c r="EM59" s="2836">
        <f t="shared" si="660"/>
        <v>584.88942900825566</v>
      </c>
      <c r="EN59" s="2836">
        <f>SUM('ПОЛНАЯ СЕБЕСТОИМОСТЬ ВОДА 2023'!BN207)/3</f>
        <v>584.88942900825566</v>
      </c>
      <c r="EO59" s="2836">
        <f>SUM('ПОЛНАЯ СЕБЕСТОИМОСТЬ ВОДА 2023'!BO207)/3</f>
        <v>0</v>
      </c>
      <c r="EP59" s="2781">
        <f t="shared" si="661"/>
        <v>0</v>
      </c>
      <c r="EQ59" s="2781">
        <f>SUM('ПОЛНАЯ СЕБЕСТОИМОСТЬ ВОДА 2023'!BQ207)</f>
        <v>0</v>
      </c>
      <c r="ER59" s="2781">
        <f>SUM('ПОЛНАЯ СЕБЕСТОИМОСТЬ ВОДА 2023'!BR207)</f>
        <v>0</v>
      </c>
      <c r="ES59" s="2840">
        <f t="shared" si="680"/>
        <v>1188.5939999999996</v>
      </c>
      <c r="ET59" s="2840">
        <v>1188.5939999999996</v>
      </c>
      <c r="EU59" s="2840">
        <v>0</v>
      </c>
      <c r="EV59" s="2836">
        <f t="shared" si="662"/>
        <v>584.88942900825566</v>
      </c>
      <c r="EW59" s="2836">
        <f t="shared" si="663"/>
        <v>584.88942900825566</v>
      </c>
      <c r="EX59" s="2836">
        <f t="shared" si="664"/>
        <v>0</v>
      </c>
      <c r="EY59" s="2781">
        <f t="shared" si="665"/>
        <v>0</v>
      </c>
      <c r="EZ59" s="2781">
        <f>SUM('ПОЛНАЯ СЕБЕСТОИМОСТЬ ВОДА 2023'!BT207)</f>
        <v>0</v>
      </c>
      <c r="FA59" s="2781">
        <f>SUM('ПОЛНАЯ СЕБЕСТОИМОСТЬ ВОДА 2023'!BU207)</f>
        <v>0</v>
      </c>
      <c r="FB59" s="2840">
        <f t="shared" si="681"/>
        <v>1613.0869399999999</v>
      </c>
      <c r="FC59" s="2840">
        <v>1613.0869399999999</v>
      </c>
      <c r="FD59" s="2840">
        <v>0</v>
      </c>
      <c r="FE59" s="2836">
        <f t="shared" si="666"/>
        <v>584.88942900825566</v>
      </c>
      <c r="FF59" s="2836">
        <f t="shared" si="667"/>
        <v>584.88942900825566</v>
      </c>
      <c r="FG59" s="2836">
        <f t="shared" si="668"/>
        <v>0</v>
      </c>
      <c r="FH59" s="2781">
        <f t="shared" si="613"/>
        <v>0</v>
      </c>
      <c r="FI59" s="2781">
        <f>SUM('ПОЛНАЯ СЕБЕСТОИМОСТЬ ВОДА 2023'!BW207)</f>
        <v>0</v>
      </c>
      <c r="FJ59" s="2781">
        <f>SUM('ПОЛНАЯ СЕБЕСТОИМОСТЬ ВОДА 2023'!BX207)</f>
        <v>0</v>
      </c>
      <c r="FK59" s="2840">
        <f t="shared" si="682"/>
        <v>1823.9457</v>
      </c>
      <c r="FL59" s="2840">
        <v>1823.9457</v>
      </c>
      <c r="FM59" s="2840">
        <v>0</v>
      </c>
      <c r="FN59" s="2807">
        <f t="shared" si="669"/>
        <v>1754.6682870247669</v>
      </c>
      <c r="FO59" s="2807">
        <f t="shared" si="669"/>
        <v>1754.6682870247669</v>
      </c>
      <c r="FP59" s="2807">
        <f t="shared" si="669"/>
        <v>0</v>
      </c>
      <c r="FQ59" s="2818">
        <f t="shared" si="669"/>
        <v>0</v>
      </c>
      <c r="FR59" s="2818">
        <f t="shared" si="669"/>
        <v>0</v>
      </c>
      <c r="FS59" s="2818">
        <f t="shared" si="669"/>
        <v>0</v>
      </c>
      <c r="FT59" s="2818">
        <f t="shared" si="669"/>
        <v>4625.6266399999995</v>
      </c>
      <c r="FU59" s="2818">
        <f t="shared" si="669"/>
        <v>4625.6266399999995</v>
      </c>
      <c r="FV59" s="2818">
        <f t="shared" si="669"/>
        <v>0</v>
      </c>
      <c r="FW59" s="2819">
        <f t="shared" si="559"/>
        <v>-1754.6682870247669</v>
      </c>
      <c r="FX59" s="2819">
        <f t="shared" si="559"/>
        <v>-1754.6682870247669</v>
      </c>
      <c r="FY59" s="2819">
        <f t="shared" si="559"/>
        <v>0</v>
      </c>
      <c r="FZ59" s="2807">
        <f t="shared" si="670"/>
        <v>7018.6731480990675</v>
      </c>
      <c r="GA59" s="2807">
        <f t="shared" si="670"/>
        <v>7018.6731480990675</v>
      </c>
      <c r="GB59" s="2807">
        <f t="shared" si="670"/>
        <v>0</v>
      </c>
      <c r="GC59" s="2818">
        <f t="shared" si="670"/>
        <v>9516.9070000000011</v>
      </c>
      <c r="GD59" s="2818">
        <f t="shared" si="670"/>
        <v>9516.9070000000011</v>
      </c>
      <c r="GE59" s="2818">
        <f t="shared" si="670"/>
        <v>0</v>
      </c>
      <c r="GF59" s="2818">
        <f t="shared" si="670"/>
        <v>12535.663850000001</v>
      </c>
      <c r="GG59" s="2818">
        <f t="shared" si="670"/>
        <v>12535.663850000001</v>
      </c>
      <c r="GH59" s="2818">
        <f t="shared" si="670"/>
        <v>0</v>
      </c>
      <c r="GI59" s="2819">
        <f t="shared" si="561"/>
        <v>2498.2338519009336</v>
      </c>
      <c r="GJ59" s="2819">
        <f t="shared" si="561"/>
        <v>2498.2338519009336</v>
      </c>
      <c r="GK59" s="2819">
        <f t="shared" si="561"/>
        <v>0</v>
      </c>
      <c r="GL59" s="389"/>
      <c r="GM59" s="3578">
        <f t="shared" si="562"/>
        <v>7018.6731480990666</v>
      </c>
    </row>
    <row r="60" spans="1:195" ht="18.75" x14ac:dyDescent="0.3">
      <c r="A60" s="2831" t="s">
        <v>3703</v>
      </c>
      <c r="B60" s="2832">
        <f t="shared" si="625"/>
        <v>543.87993351331079</v>
      </c>
      <c r="C60" s="2832">
        <f>SUM('ПОЛНАЯ СЕБЕСТОИМОСТЬ ВОДА 2023'!C208)/3</f>
        <v>543.77768983331077</v>
      </c>
      <c r="D60" s="2832">
        <f>SUM('ПОЛНАЯ СЕБЕСТОИМОСТЬ ВОДА 2023'!D208)/3</f>
        <v>0.10224368</v>
      </c>
      <c r="E60" s="2775">
        <f t="shared" si="626"/>
        <v>0</v>
      </c>
      <c r="F60" s="2775">
        <f>SUM('ПОЛНАЯ СЕБЕСТОИМОСТЬ ВОДА 2023'!F208)</f>
        <v>0</v>
      </c>
      <c r="G60" s="2775">
        <f>SUM('ПОЛНАЯ СЕБЕСТОИМОСТЬ ВОДА 2023'!G208)</f>
        <v>0</v>
      </c>
      <c r="H60" s="2837">
        <f>SUM(H61:H64)</f>
        <v>0</v>
      </c>
      <c r="I60" s="2837">
        <v>0</v>
      </c>
      <c r="J60" s="2837">
        <v>0</v>
      </c>
      <c r="K60" s="2832">
        <f t="shared" si="627"/>
        <v>543.87993351331079</v>
      </c>
      <c r="L60" s="2832">
        <f t="shared" si="628"/>
        <v>543.77768983331077</v>
      </c>
      <c r="M60" s="2832">
        <f t="shared" si="629"/>
        <v>0.10224368</v>
      </c>
      <c r="N60" s="2775">
        <f t="shared" si="630"/>
        <v>0</v>
      </c>
      <c r="O60" s="2775">
        <f>SUM('ПОЛНАЯ СЕБЕСТОИМОСТЬ ВОДА 2023'!I208)</f>
        <v>0</v>
      </c>
      <c r="P60" s="2775">
        <f>SUM('ПОЛНАЯ СЕБЕСТОИМОСТЬ ВОДА 2023'!J208)</f>
        <v>0</v>
      </c>
      <c r="Q60" s="2837">
        <f>SUM(Q61:Q64)</f>
        <v>0</v>
      </c>
      <c r="R60" s="2837">
        <v>0</v>
      </c>
      <c r="S60" s="2837">
        <v>0</v>
      </c>
      <c r="T60" s="2832">
        <f t="shared" si="631"/>
        <v>543.87993351331079</v>
      </c>
      <c r="U60" s="2832">
        <f t="shared" si="632"/>
        <v>543.77768983331077</v>
      </c>
      <c r="V60" s="2832">
        <f t="shared" si="633"/>
        <v>0.10224368</v>
      </c>
      <c r="W60" s="2775">
        <f t="shared" si="634"/>
        <v>725.05600000000004</v>
      </c>
      <c r="X60" s="2775">
        <f>SUM('ПОЛНАЯ СЕБЕСТОИМОСТЬ ВОДА 2023'!L208)</f>
        <v>725.05600000000004</v>
      </c>
      <c r="Y60" s="2775">
        <f>SUM('ПОЛНАЯ СЕБЕСТОИМОСТЬ ВОДА 2023'!M208)</f>
        <v>0</v>
      </c>
      <c r="Z60" s="2837">
        <f>SUM(Z61:Z64)</f>
        <v>545.44099999999992</v>
      </c>
      <c r="AA60" s="2837">
        <v>545.44099999999992</v>
      </c>
      <c r="AB60" s="2837">
        <v>0</v>
      </c>
      <c r="AC60" s="2802">
        <f>SUM(B60+K60+T60)</f>
        <v>1631.6398005399324</v>
      </c>
      <c r="AD60" s="2802">
        <f t="shared" si="635"/>
        <v>1631.3330694999322</v>
      </c>
      <c r="AE60" s="2802">
        <f t="shared" si="635"/>
        <v>0.30673104000000001</v>
      </c>
      <c r="AF60" s="2812">
        <f t="shared" si="635"/>
        <v>725.05600000000004</v>
      </c>
      <c r="AG60" s="2812">
        <f t="shared" si="635"/>
        <v>725.05600000000004</v>
      </c>
      <c r="AH60" s="2812">
        <f t="shared" si="635"/>
        <v>0</v>
      </c>
      <c r="AI60" s="2812">
        <f t="shared" si="635"/>
        <v>545.44099999999992</v>
      </c>
      <c r="AJ60" s="2812">
        <f t="shared" si="635"/>
        <v>545.44099999999992</v>
      </c>
      <c r="AK60" s="2812">
        <f t="shared" si="635"/>
        <v>0</v>
      </c>
      <c r="AL60" s="2813">
        <f t="shared" si="549"/>
        <v>-906.58380053993233</v>
      </c>
      <c r="AM60" s="2813">
        <f t="shared" si="549"/>
        <v>-906.27706949993217</v>
      </c>
      <c r="AN60" s="2813">
        <f t="shared" si="549"/>
        <v>-0.30673104000000001</v>
      </c>
      <c r="AO60" s="2832">
        <f t="shared" si="636"/>
        <v>543.87993351331079</v>
      </c>
      <c r="AP60" s="2832">
        <f>SUM('ПОЛНАЯ СЕБЕСТОИМОСТЬ ВОДА 2023'!R208)/3</f>
        <v>543.77768983331077</v>
      </c>
      <c r="AQ60" s="2832">
        <f>SUM('ПОЛНАЯ СЕБЕСТОИМОСТЬ ВОДА 2023'!S208)/3</f>
        <v>0.10224368</v>
      </c>
      <c r="AR60" s="2832">
        <f t="shared" si="637"/>
        <v>0</v>
      </c>
      <c r="AS60" s="2832">
        <f>SUM('ПОЛНАЯ СЕБЕСТОИМОСТЬ ВОДА 2023'!U208)</f>
        <v>0</v>
      </c>
      <c r="AT60" s="2832">
        <f>SUM('ПОЛНАЯ СЕБЕСТОИМОСТЬ ВОДА 2023'!V208)</f>
        <v>0</v>
      </c>
      <c r="AU60" s="2837">
        <f>SUM(AU61:AU64)</f>
        <v>0</v>
      </c>
      <c r="AV60" s="2837">
        <v>0</v>
      </c>
      <c r="AW60" s="2837">
        <v>0</v>
      </c>
      <c r="AX60" s="2832">
        <f t="shared" si="638"/>
        <v>543.87993351331079</v>
      </c>
      <c r="AY60" s="2832">
        <f t="shared" si="639"/>
        <v>543.77768983331077</v>
      </c>
      <c r="AZ60" s="2832">
        <f t="shared" si="640"/>
        <v>0.10224368</v>
      </c>
      <c r="BA60" s="2832">
        <f t="shared" si="641"/>
        <v>0</v>
      </c>
      <c r="BB60" s="2832">
        <f>SUM('ПОЛНАЯ СЕБЕСТОИМОСТЬ ВОДА 2023'!X208)</f>
        <v>0</v>
      </c>
      <c r="BC60" s="2832">
        <f>SUM('ПОЛНАЯ СЕБЕСТОИМОСТЬ ВОДА 2023'!Y208)</f>
        <v>0</v>
      </c>
      <c r="BD60" s="2837">
        <f>SUM(BD61:BD64)</f>
        <v>0</v>
      </c>
      <c r="BE60" s="2837">
        <v>0</v>
      </c>
      <c r="BF60" s="2837">
        <v>0</v>
      </c>
      <c r="BG60" s="2832">
        <f t="shared" si="642"/>
        <v>543.87993351331079</v>
      </c>
      <c r="BH60" s="2832">
        <f t="shared" si="643"/>
        <v>543.77768983331077</v>
      </c>
      <c r="BI60" s="2832">
        <f t="shared" si="644"/>
        <v>0.10224368</v>
      </c>
      <c r="BJ60" s="2775">
        <f t="shared" si="645"/>
        <v>1054.8489999999999</v>
      </c>
      <c r="BK60" s="2775">
        <f>SUM('ПОЛНАЯ СЕБЕСТОИМОСТЬ ВОДА 2023'!AA208)</f>
        <v>1054.8489999999999</v>
      </c>
      <c r="BL60" s="2775">
        <f>SUM('ПОЛНАЯ СЕБЕСТОИМОСТЬ ВОДА 2023'!AB208)</f>
        <v>0</v>
      </c>
      <c r="BM60" s="2837">
        <f>SUM(BM61:BM64)</f>
        <v>702.73099999999999</v>
      </c>
      <c r="BN60" s="2837">
        <v>702.73099999999999</v>
      </c>
      <c r="BO60" s="2837">
        <v>0</v>
      </c>
      <c r="BP60" s="2802">
        <f t="shared" si="646"/>
        <v>1631.6398005399324</v>
      </c>
      <c r="BQ60" s="2802">
        <f t="shared" si="646"/>
        <v>1631.3330694999322</v>
      </c>
      <c r="BR60" s="2802">
        <f t="shared" si="646"/>
        <v>0.30673104000000001</v>
      </c>
      <c r="BS60" s="2838">
        <f t="shared" si="646"/>
        <v>1054.8489999999999</v>
      </c>
      <c r="BT60" s="2838">
        <f t="shared" si="646"/>
        <v>1054.8489999999999</v>
      </c>
      <c r="BU60" s="2838">
        <f t="shared" si="646"/>
        <v>0</v>
      </c>
      <c r="BV60" s="2838">
        <f t="shared" si="646"/>
        <v>702.73099999999999</v>
      </c>
      <c r="BW60" s="2838">
        <f t="shared" si="646"/>
        <v>702.73099999999999</v>
      </c>
      <c r="BX60" s="2838">
        <f t="shared" si="646"/>
        <v>0</v>
      </c>
      <c r="BY60" s="2839">
        <f t="shared" si="551"/>
        <v>-576.79080053993243</v>
      </c>
      <c r="BZ60" s="2839">
        <f t="shared" si="551"/>
        <v>-576.48406949993227</v>
      </c>
      <c r="CA60" s="2839">
        <f t="shared" si="551"/>
        <v>-0.30673104000000001</v>
      </c>
      <c r="CB60" s="2812">
        <f t="shared" si="647"/>
        <v>3263.2796010798647</v>
      </c>
      <c r="CC60" s="2812">
        <f t="shared" si="647"/>
        <v>3262.6661389998644</v>
      </c>
      <c r="CD60" s="2812">
        <f t="shared" si="647"/>
        <v>0.61346208000000002</v>
      </c>
      <c r="CE60" s="2812">
        <f t="shared" si="647"/>
        <v>1779.905</v>
      </c>
      <c r="CF60" s="2812">
        <f t="shared" si="647"/>
        <v>1779.905</v>
      </c>
      <c r="CG60" s="2812">
        <f t="shared" si="647"/>
        <v>0</v>
      </c>
      <c r="CH60" s="2812">
        <f t="shared" si="647"/>
        <v>1248.172</v>
      </c>
      <c r="CI60" s="2812">
        <f t="shared" si="647"/>
        <v>1248.172</v>
      </c>
      <c r="CJ60" s="2812">
        <f t="shared" si="647"/>
        <v>0</v>
      </c>
      <c r="CK60" s="2813">
        <f t="shared" si="553"/>
        <v>-1483.3746010798648</v>
      </c>
      <c r="CL60" s="2813">
        <f t="shared" si="553"/>
        <v>-1482.7611389998644</v>
      </c>
      <c r="CM60" s="2813">
        <f t="shared" si="553"/>
        <v>-0.61346208000000002</v>
      </c>
      <c r="CN60" s="2832">
        <f t="shared" si="648"/>
        <v>543.87993351331079</v>
      </c>
      <c r="CO60" s="2832">
        <f>SUM('ПОЛНАЯ СЕБЕСТОИМОСТЬ ВОДА 2023'!AP208)/3</f>
        <v>543.77768983331077</v>
      </c>
      <c r="CP60" s="2832">
        <f>SUM('ПОЛНАЯ СЕБЕСТОИМОСТЬ ВОДА 2023'!AQ208)/3</f>
        <v>0.10224368</v>
      </c>
      <c r="CQ60" s="2775">
        <f t="shared" si="649"/>
        <v>0</v>
      </c>
      <c r="CR60" s="2775">
        <f>SUM('ПОЛНАЯ СЕБЕСТОИМОСТЬ ВОДА 2023'!AS208)</f>
        <v>0</v>
      </c>
      <c r="CS60" s="2775">
        <f>SUM('ПОЛНАЯ СЕБЕСТОИМОСТЬ ВОДА 2023'!AT208)</f>
        <v>0</v>
      </c>
      <c r="CT60" s="2837">
        <f>SUM(CT61:CT64)</f>
        <v>0</v>
      </c>
      <c r="CU60" s="2837">
        <v>0</v>
      </c>
      <c r="CV60" s="2837">
        <v>0</v>
      </c>
      <c r="CW60" s="2832">
        <f t="shared" si="650"/>
        <v>543.87993351331079</v>
      </c>
      <c r="CX60" s="2832">
        <f t="shared" si="651"/>
        <v>543.77768983331077</v>
      </c>
      <c r="CY60" s="2832">
        <f t="shared" si="652"/>
        <v>0.10224368</v>
      </c>
      <c r="CZ60" s="2775">
        <f t="shared" si="653"/>
        <v>0</v>
      </c>
      <c r="DA60" s="2775">
        <f>SUM('ПОЛНАЯ СЕБЕСТОИМОСТЬ ВОДА 2023'!AV208)</f>
        <v>0</v>
      </c>
      <c r="DB60" s="2775">
        <f>SUM('ПОЛНАЯ СЕБЕСТОИМОСТЬ ВОДА 2023'!AW208)</f>
        <v>0</v>
      </c>
      <c r="DC60" s="2837">
        <f>SUM(DC61:DC64)</f>
        <v>0</v>
      </c>
      <c r="DD60" s="2837">
        <v>0</v>
      </c>
      <c r="DE60" s="2837">
        <v>0</v>
      </c>
      <c r="DF60" s="2832">
        <f t="shared" si="654"/>
        <v>543.87993351331079</v>
      </c>
      <c r="DG60" s="2832">
        <f t="shared" si="655"/>
        <v>543.77768983331077</v>
      </c>
      <c r="DH60" s="2832">
        <f t="shared" si="656"/>
        <v>0.10224368</v>
      </c>
      <c r="DI60" s="2775">
        <f t="shared" si="657"/>
        <v>0</v>
      </c>
      <c r="DJ60" s="2775">
        <f>SUM('ПОЛНАЯ СЕБЕСТОИМОСТЬ ВОДА 2023'!AY208)</f>
        <v>0</v>
      </c>
      <c r="DK60" s="2775">
        <f>SUM('ПОЛНАЯ СЕБЕСТОИМОСТЬ ВОДА 2023'!AZ208)</f>
        <v>0</v>
      </c>
      <c r="DL60" s="2837">
        <f>SUM(DL61:DL64)</f>
        <v>522.04399999999998</v>
      </c>
      <c r="DM60" s="2837">
        <v>522.04399999999998</v>
      </c>
      <c r="DN60" s="2837">
        <v>0</v>
      </c>
      <c r="DO60" s="2802">
        <f t="shared" si="658"/>
        <v>1631.6398005399324</v>
      </c>
      <c r="DP60" s="2802">
        <f t="shared" si="658"/>
        <v>1631.3330694999322</v>
      </c>
      <c r="DQ60" s="2802">
        <f t="shared" si="658"/>
        <v>0.30673104000000001</v>
      </c>
      <c r="DR60" s="2838">
        <f t="shared" si="658"/>
        <v>0</v>
      </c>
      <c r="DS60" s="2838">
        <f t="shared" si="658"/>
        <v>0</v>
      </c>
      <c r="DT60" s="2838">
        <f t="shared" si="658"/>
        <v>0</v>
      </c>
      <c r="DU60" s="2838">
        <f t="shared" si="658"/>
        <v>522.04399999999998</v>
      </c>
      <c r="DV60" s="2838">
        <f t="shared" si="658"/>
        <v>522.04399999999998</v>
      </c>
      <c r="DW60" s="2838">
        <f t="shared" si="658"/>
        <v>0</v>
      </c>
      <c r="DX60" s="2839">
        <f t="shared" si="555"/>
        <v>-1631.6398005399324</v>
      </c>
      <c r="DY60" s="2839">
        <f t="shared" si="555"/>
        <v>-1631.3330694999322</v>
      </c>
      <c r="DZ60" s="2839">
        <f t="shared" si="555"/>
        <v>-0.30673104000000001</v>
      </c>
      <c r="EA60" s="2802">
        <f t="shared" si="659"/>
        <v>4894.9194016197971</v>
      </c>
      <c r="EB60" s="2802">
        <f t="shared" si="659"/>
        <v>4893.9992084997966</v>
      </c>
      <c r="EC60" s="2802">
        <f t="shared" si="659"/>
        <v>0.92019311999999998</v>
      </c>
      <c r="ED60" s="2838">
        <f t="shared" si="659"/>
        <v>1779.905</v>
      </c>
      <c r="EE60" s="2838">
        <f t="shared" si="659"/>
        <v>1779.905</v>
      </c>
      <c r="EF60" s="2838">
        <f t="shared" si="659"/>
        <v>0</v>
      </c>
      <c r="EG60" s="2838">
        <f t="shared" si="659"/>
        <v>1770.2159999999999</v>
      </c>
      <c r="EH60" s="2838">
        <f t="shared" si="659"/>
        <v>1770.2159999999999</v>
      </c>
      <c r="EI60" s="2838">
        <f t="shared" si="659"/>
        <v>0</v>
      </c>
      <c r="EJ60" s="2839">
        <f t="shared" si="557"/>
        <v>-3115.0144016197974</v>
      </c>
      <c r="EK60" s="2839">
        <f t="shared" si="557"/>
        <v>-3114.0942084997969</v>
      </c>
      <c r="EL60" s="2839">
        <f t="shared" si="557"/>
        <v>-0.92019311999999998</v>
      </c>
      <c r="EM60" s="2832">
        <f t="shared" si="660"/>
        <v>543.87993351331079</v>
      </c>
      <c r="EN60" s="2832">
        <f>SUM('ПОЛНАЯ СЕБЕСТОИМОСТЬ ВОДА 2023'!BN208)/3</f>
        <v>543.77768983331077</v>
      </c>
      <c r="EO60" s="2832">
        <f>SUM('ПОЛНАЯ СЕБЕСТОИМОСТЬ ВОДА 2023'!BO208)/3</f>
        <v>0.10224368</v>
      </c>
      <c r="EP60" s="2775">
        <f t="shared" si="661"/>
        <v>0</v>
      </c>
      <c r="EQ60" s="2775">
        <f>SUM('ПОЛНАЯ СЕБЕСТОИМОСТЬ ВОДА 2023'!BQ208)</f>
        <v>0</v>
      </c>
      <c r="ER60" s="2775">
        <f>SUM('ПОЛНАЯ СЕБЕСТОИМОСТЬ ВОДА 2023'!BR208)</f>
        <v>0</v>
      </c>
      <c r="ES60" s="2837">
        <f>SUM(ES61:ES64)</f>
        <v>0</v>
      </c>
      <c r="ET60" s="2837">
        <v>0</v>
      </c>
      <c r="EU60" s="2837">
        <v>0</v>
      </c>
      <c r="EV60" s="2832">
        <f t="shared" si="662"/>
        <v>543.87993351331079</v>
      </c>
      <c r="EW60" s="2832">
        <f t="shared" si="663"/>
        <v>543.77768983331077</v>
      </c>
      <c r="EX60" s="2832">
        <f t="shared" si="664"/>
        <v>0.10224368</v>
      </c>
      <c r="EY60" s="2775">
        <f t="shared" si="665"/>
        <v>0</v>
      </c>
      <c r="EZ60" s="2775">
        <f>SUM('ПОЛНАЯ СЕБЕСТОИМОСТЬ ВОДА 2023'!BT208)</f>
        <v>0</v>
      </c>
      <c r="FA60" s="2775">
        <f>SUM('ПОЛНАЯ СЕБЕСТОИМОСТЬ ВОДА 2023'!BU208)</f>
        <v>0</v>
      </c>
      <c r="FB60" s="2837">
        <f>SUM(FB61:FB64)</f>
        <v>0</v>
      </c>
      <c r="FC60" s="2837">
        <v>0</v>
      </c>
      <c r="FD60" s="2837">
        <v>0</v>
      </c>
      <c r="FE60" s="2832">
        <f t="shared" si="666"/>
        <v>543.87993351331079</v>
      </c>
      <c r="FF60" s="2832">
        <f t="shared" si="667"/>
        <v>543.77768983331077</v>
      </c>
      <c r="FG60" s="2832">
        <f t="shared" si="668"/>
        <v>0.10224368</v>
      </c>
      <c r="FH60" s="2775">
        <f t="shared" si="613"/>
        <v>0</v>
      </c>
      <c r="FI60" s="2775">
        <f>SUM('ПОЛНАЯ СЕБЕСТОИМОСТЬ ВОДА 2023'!BW208)</f>
        <v>0</v>
      </c>
      <c r="FJ60" s="2775">
        <f>SUM('ПОЛНАЯ СЕБЕСТОИМОСТЬ ВОДА 2023'!BX208)</f>
        <v>0</v>
      </c>
      <c r="FK60" s="2837">
        <f>SUM(FK61:FK64)</f>
        <v>569.97476999999992</v>
      </c>
      <c r="FL60" s="2837">
        <v>569.97476999999992</v>
      </c>
      <c r="FM60" s="2837">
        <v>0</v>
      </c>
      <c r="FN60" s="2802">
        <f t="shared" si="669"/>
        <v>1631.6398005399324</v>
      </c>
      <c r="FO60" s="2802">
        <f t="shared" si="669"/>
        <v>1631.3330694999322</v>
      </c>
      <c r="FP60" s="2802">
        <f t="shared" si="669"/>
        <v>0.30673104000000001</v>
      </c>
      <c r="FQ60" s="2812">
        <f t="shared" si="669"/>
        <v>0</v>
      </c>
      <c r="FR60" s="2812">
        <f t="shared" si="669"/>
        <v>0</v>
      </c>
      <c r="FS60" s="2812">
        <f t="shared" si="669"/>
        <v>0</v>
      </c>
      <c r="FT60" s="2812">
        <f t="shared" si="669"/>
        <v>569.97476999999992</v>
      </c>
      <c r="FU60" s="2812">
        <f t="shared" si="669"/>
        <v>569.97476999999992</v>
      </c>
      <c r="FV60" s="2812">
        <f t="shared" si="669"/>
        <v>0</v>
      </c>
      <c r="FW60" s="2813">
        <f t="shared" si="559"/>
        <v>-1631.6398005399324</v>
      </c>
      <c r="FX60" s="2813">
        <f t="shared" si="559"/>
        <v>-1631.3330694999322</v>
      </c>
      <c r="FY60" s="2813">
        <f t="shared" si="559"/>
        <v>-0.30673104000000001</v>
      </c>
      <c r="FZ60" s="2802">
        <f t="shared" si="670"/>
        <v>6526.5592021597295</v>
      </c>
      <c r="GA60" s="2802">
        <f t="shared" si="670"/>
        <v>6525.3322779997288</v>
      </c>
      <c r="GB60" s="2802">
        <f t="shared" si="670"/>
        <v>1.22692416</v>
      </c>
      <c r="GC60" s="2812">
        <f t="shared" si="670"/>
        <v>1779.905</v>
      </c>
      <c r="GD60" s="2812">
        <f t="shared" si="670"/>
        <v>1779.905</v>
      </c>
      <c r="GE60" s="2812">
        <f t="shared" si="670"/>
        <v>0</v>
      </c>
      <c r="GF60" s="2812">
        <f t="shared" si="670"/>
        <v>2340.1907699999997</v>
      </c>
      <c r="GG60" s="2812">
        <f t="shared" si="670"/>
        <v>2340.1907699999997</v>
      </c>
      <c r="GH60" s="2812">
        <f t="shared" si="670"/>
        <v>0</v>
      </c>
      <c r="GI60" s="2813">
        <f t="shared" si="561"/>
        <v>-4746.6542021597297</v>
      </c>
      <c r="GJ60" s="2813">
        <f t="shared" si="561"/>
        <v>-4745.4272779997291</v>
      </c>
      <c r="GK60" s="2813">
        <f t="shared" si="561"/>
        <v>-1.22692416</v>
      </c>
      <c r="GL60" s="389"/>
      <c r="GM60" s="3578">
        <f t="shared" si="562"/>
        <v>6526.5592021597295</v>
      </c>
    </row>
    <row r="61" spans="1:195" ht="18.75" x14ac:dyDescent="0.3">
      <c r="A61" s="2834" t="s">
        <v>3747</v>
      </c>
      <c r="B61" s="2836">
        <f t="shared" si="625"/>
        <v>275.55773351331084</v>
      </c>
      <c r="C61" s="2836">
        <f>SUM('ПОЛНАЯ СЕБЕСТОИМОСТЬ ВОДА 2023'!C209)/3</f>
        <v>275.45548983331082</v>
      </c>
      <c r="D61" s="2836">
        <f>SUM('ПОЛНАЯ СЕБЕСТОИМОСТЬ ВОДА 2023'!D209)/3</f>
        <v>0.10224368</v>
      </c>
      <c r="E61" s="2781">
        <f t="shared" si="626"/>
        <v>0</v>
      </c>
      <c r="F61" s="2781">
        <f>SUM('ПОЛНАЯ СЕБЕСТОИМОСТЬ ВОДА 2023'!F209)</f>
        <v>0</v>
      </c>
      <c r="G61" s="2781">
        <f>SUM('ПОЛНАЯ СЕБЕСТОИМОСТЬ ВОДА 2023'!G209)</f>
        <v>0</v>
      </c>
      <c r="H61" s="2840">
        <f t="shared" si="671"/>
        <v>0</v>
      </c>
      <c r="I61" s="2840">
        <v>0</v>
      </c>
      <c r="J61" s="2840">
        <v>0</v>
      </c>
      <c r="K61" s="2836">
        <f t="shared" si="627"/>
        <v>275.55773351331084</v>
      </c>
      <c r="L61" s="2836">
        <f t="shared" si="628"/>
        <v>275.45548983331082</v>
      </c>
      <c r="M61" s="2836">
        <f t="shared" si="629"/>
        <v>0.10224368</v>
      </c>
      <c r="N61" s="2781">
        <f t="shared" si="630"/>
        <v>0</v>
      </c>
      <c r="O61" s="2781">
        <f>SUM('ПОЛНАЯ СЕБЕСТОИМОСТЬ ВОДА 2023'!I209)</f>
        <v>0</v>
      </c>
      <c r="P61" s="2781">
        <f>SUM('ПОЛНАЯ СЕБЕСТОИМОСТЬ ВОДА 2023'!J209)</f>
        <v>0</v>
      </c>
      <c r="Q61" s="2840">
        <f t="shared" ref="Q61:Q65" si="683">SUM(R61:S61)</f>
        <v>0</v>
      </c>
      <c r="R61" s="2840">
        <v>0</v>
      </c>
      <c r="S61" s="2840">
        <v>0</v>
      </c>
      <c r="T61" s="2836">
        <f t="shared" si="631"/>
        <v>275.55773351331084</v>
      </c>
      <c r="U61" s="2836">
        <f t="shared" si="632"/>
        <v>275.45548983331082</v>
      </c>
      <c r="V61" s="2836">
        <f t="shared" si="633"/>
        <v>0.10224368</v>
      </c>
      <c r="W61" s="2781">
        <f t="shared" si="634"/>
        <v>701.14499999999998</v>
      </c>
      <c r="X61" s="2781">
        <f>SUM('ПОЛНАЯ СЕБЕСТОИМОСТЬ ВОДА 2023'!L209)</f>
        <v>701.14499999999998</v>
      </c>
      <c r="Y61" s="2781">
        <f>SUM('ПОЛНАЯ СЕБЕСТОИМОСТЬ ВОДА 2023'!M209)</f>
        <v>0</v>
      </c>
      <c r="Z61" s="2840">
        <f t="shared" ref="Z61:Z65" si="684">SUM(AA61:AB61)</f>
        <v>522.66999999999996</v>
      </c>
      <c r="AA61" s="2840">
        <v>522.66999999999996</v>
      </c>
      <c r="AB61" s="2840">
        <v>0</v>
      </c>
      <c r="AC61" s="2807">
        <f t="shared" si="635"/>
        <v>826.67320053993251</v>
      </c>
      <c r="AD61" s="2807">
        <f t="shared" si="635"/>
        <v>826.36646949993246</v>
      </c>
      <c r="AE61" s="2807">
        <f t="shared" si="635"/>
        <v>0.30673104000000001</v>
      </c>
      <c r="AF61" s="2818">
        <f t="shared" si="635"/>
        <v>701.14499999999998</v>
      </c>
      <c r="AG61" s="2818">
        <f t="shared" si="635"/>
        <v>701.14499999999998</v>
      </c>
      <c r="AH61" s="2818">
        <f t="shared" si="635"/>
        <v>0</v>
      </c>
      <c r="AI61" s="2818">
        <f t="shared" si="635"/>
        <v>522.66999999999996</v>
      </c>
      <c r="AJ61" s="2818">
        <f t="shared" si="635"/>
        <v>522.66999999999996</v>
      </c>
      <c r="AK61" s="2818">
        <f t="shared" si="635"/>
        <v>0</v>
      </c>
      <c r="AL61" s="2819">
        <f t="shared" si="549"/>
        <v>-125.52820053993253</v>
      </c>
      <c r="AM61" s="2819">
        <f t="shared" si="549"/>
        <v>-125.22146949993248</v>
      </c>
      <c r="AN61" s="2819">
        <f t="shared" si="549"/>
        <v>-0.30673104000000001</v>
      </c>
      <c r="AO61" s="2836">
        <f t="shared" si="636"/>
        <v>275.55773351331084</v>
      </c>
      <c r="AP61" s="2836">
        <f>SUM('ПОЛНАЯ СЕБЕСТОИМОСТЬ ВОДА 2023'!R209)/3</f>
        <v>275.45548983331082</v>
      </c>
      <c r="AQ61" s="2836">
        <f>SUM('ПОЛНАЯ СЕБЕСТОИМОСТЬ ВОДА 2023'!S209)/3</f>
        <v>0.10224368</v>
      </c>
      <c r="AR61" s="2836">
        <f t="shared" si="637"/>
        <v>0</v>
      </c>
      <c r="AS61" s="2836">
        <f>SUM('ПОЛНАЯ СЕБЕСТОИМОСТЬ ВОДА 2023'!U209)</f>
        <v>0</v>
      </c>
      <c r="AT61" s="2836">
        <f>SUM('ПОЛНАЯ СЕБЕСТОИМОСТЬ ВОДА 2023'!V209)</f>
        <v>0</v>
      </c>
      <c r="AU61" s="2840">
        <f t="shared" ref="AU61:AU65" si="685">SUM(AV61:AW61)</f>
        <v>0</v>
      </c>
      <c r="AV61" s="2840">
        <v>0</v>
      </c>
      <c r="AW61" s="2840">
        <v>0</v>
      </c>
      <c r="AX61" s="2836">
        <f t="shared" si="638"/>
        <v>275.55773351331084</v>
      </c>
      <c r="AY61" s="2836">
        <f t="shared" si="639"/>
        <v>275.45548983331082</v>
      </c>
      <c r="AZ61" s="2836">
        <f t="shared" si="640"/>
        <v>0.10224368</v>
      </c>
      <c r="BA61" s="2836">
        <f t="shared" si="641"/>
        <v>0</v>
      </c>
      <c r="BB61" s="2836">
        <f>SUM('ПОЛНАЯ СЕБЕСТОИМОСТЬ ВОДА 2023'!X209)</f>
        <v>0</v>
      </c>
      <c r="BC61" s="2836">
        <f>SUM('ПОЛНАЯ СЕБЕСТОИМОСТЬ ВОДА 2023'!Y209)</f>
        <v>0</v>
      </c>
      <c r="BD61" s="2840">
        <f t="shared" ref="BD61:BD65" si="686">SUM(BE61:BF61)</f>
        <v>0</v>
      </c>
      <c r="BE61" s="2840">
        <v>0</v>
      </c>
      <c r="BF61" s="2840">
        <v>0</v>
      </c>
      <c r="BG61" s="2836">
        <f t="shared" si="642"/>
        <v>275.55773351331084</v>
      </c>
      <c r="BH61" s="2836">
        <f t="shared" si="643"/>
        <v>275.45548983331082</v>
      </c>
      <c r="BI61" s="2836">
        <f t="shared" si="644"/>
        <v>0.10224368</v>
      </c>
      <c r="BJ61" s="2781">
        <f t="shared" si="645"/>
        <v>1026.3869999999999</v>
      </c>
      <c r="BK61" s="2781">
        <f>SUM('ПОЛНАЯ СЕБЕСТОИМОСТЬ ВОДА 2023'!AA209)</f>
        <v>1026.3869999999999</v>
      </c>
      <c r="BL61" s="2781">
        <f>SUM('ПОЛНАЯ СЕБЕСТОИМОСТЬ ВОДА 2023'!AB209)</f>
        <v>0</v>
      </c>
      <c r="BM61" s="2840">
        <f t="shared" ref="BM61:BM65" si="687">SUM(BN61:BO61)</f>
        <v>679.55899999999997</v>
      </c>
      <c r="BN61" s="2840">
        <v>679.55899999999997</v>
      </c>
      <c r="BO61" s="2840">
        <v>0</v>
      </c>
      <c r="BP61" s="2807">
        <f t="shared" si="646"/>
        <v>826.67320053993251</v>
      </c>
      <c r="BQ61" s="2807">
        <f t="shared" si="646"/>
        <v>826.36646949993246</v>
      </c>
      <c r="BR61" s="2807">
        <f t="shared" si="646"/>
        <v>0.30673104000000001</v>
      </c>
      <c r="BS61" s="2842">
        <f t="shared" si="646"/>
        <v>1026.3869999999999</v>
      </c>
      <c r="BT61" s="2842">
        <f t="shared" si="646"/>
        <v>1026.3869999999999</v>
      </c>
      <c r="BU61" s="2842">
        <f t="shared" si="646"/>
        <v>0</v>
      </c>
      <c r="BV61" s="2842">
        <f t="shared" si="646"/>
        <v>679.55899999999997</v>
      </c>
      <c r="BW61" s="2842">
        <f t="shared" si="646"/>
        <v>679.55899999999997</v>
      </c>
      <c r="BX61" s="2842">
        <f t="shared" si="646"/>
        <v>0</v>
      </c>
      <c r="BY61" s="2805">
        <f t="shared" si="551"/>
        <v>199.71379946006743</v>
      </c>
      <c r="BZ61" s="2805">
        <f t="shared" si="551"/>
        <v>200.02053050006748</v>
      </c>
      <c r="CA61" s="2805">
        <f t="shared" si="551"/>
        <v>-0.30673104000000001</v>
      </c>
      <c r="CB61" s="2818">
        <f t="shared" si="647"/>
        <v>1653.346401079865</v>
      </c>
      <c r="CC61" s="2818">
        <f t="shared" si="647"/>
        <v>1652.7329389998649</v>
      </c>
      <c r="CD61" s="2818">
        <f t="shared" si="647"/>
        <v>0.61346208000000002</v>
      </c>
      <c r="CE61" s="2818">
        <f t="shared" si="647"/>
        <v>1727.5319999999999</v>
      </c>
      <c r="CF61" s="2818">
        <f t="shared" si="647"/>
        <v>1727.5319999999999</v>
      </c>
      <c r="CG61" s="2818">
        <f t="shared" si="647"/>
        <v>0</v>
      </c>
      <c r="CH61" s="2818">
        <f t="shared" si="647"/>
        <v>1202.2289999999998</v>
      </c>
      <c r="CI61" s="2818">
        <f t="shared" si="647"/>
        <v>1202.2289999999998</v>
      </c>
      <c r="CJ61" s="2818">
        <f t="shared" si="647"/>
        <v>0</v>
      </c>
      <c r="CK61" s="2819">
        <f t="shared" si="553"/>
        <v>74.185598920134908</v>
      </c>
      <c r="CL61" s="2819">
        <f t="shared" si="553"/>
        <v>74.799061000134998</v>
      </c>
      <c r="CM61" s="2819">
        <f t="shared" si="553"/>
        <v>-0.61346208000000002</v>
      </c>
      <c r="CN61" s="2836">
        <f t="shared" si="648"/>
        <v>275.55773351331084</v>
      </c>
      <c r="CO61" s="2836">
        <f>SUM('ПОЛНАЯ СЕБЕСТОИМОСТЬ ВОДА 2023'!AP209)/3</f>
        <v>275.45548983331082</v>
      </c>
      <c r="CP61" s="2836">
        <f>SUM('ПОЛНАЯ СЕБЕСТОИМОСТЬ ВОДА 2023'!AQ209)/3</f>
        <v>0.10224368</v>
      </c>
      <c r="CQ61" s="2781">
        <f t="shared" si="649"/>
        <v>0</v>
      </c>
      <c r="CR61" s="2781">
        <f>SUM('ПОЛНАЯ СЕБЕСТОИМОСТЬ ВОДА 2023'!AS209)</f>
        <v>0</v>
      </c>
      <c r="CS61" s="2781">
        <f>SUM('ПОЛНАЯ СЕБЕСТОИМОСТЬ ВОДА 2023'!AT209)</f>
        <v>0</v>
      </c>
      <c r="CT61" s="2840">
        <f t="shared" ref="CT61:CT65" si="688">SUM(CU61:CV61)</f>
        <v>0</v>
      </c>
      <c r="CU61" s="2840">
        <v>0</v>
      </c>
      <c r="CV61" s="2840">
        <v>0</v>
      </c>
      <c r="CW61" s="2836">
        <f t="shared" si="650"/>
        <v>275.55773351331084</v>
      </c>
      <c r="CX61" s="2836">
        <f t="shared" si="651"/>
        <v>275.45548983331082</v>
      </c>
      <c r="CY61" s="2836">
        <f t="shared" si="652"/>
        <v>0.10224368</v>
      </c>
      <c r="CZ61" s="2781">
        <f t="shared" si="653"/>
        <v>0</v>
      </c>
      <c r="DA61" s="2781">
        <f>SUM('ПОЛНАЯ СЕБЕСТОИМОСТЬ ВОДА 2023'!AV209)</f>
        <v>0</v>
      </c>
      <c r="DB61" s="2781">
        <f>SUM('ПОЛНАЯ СЕБЕСТОИМОСТЬ ВОДА 2023'!AW209)</f>
        <v>0</v>
      </c>
      <c r="DC61" s="2840">
        <f t="shared" ref="DC61:DC65" si="689">SUM(DD61:DE61)</f>
        <v>0</v>
      </c>
      <c r="DD61" s="2840">
        <v>0</v>
      </c>
      <c r="DE61" s="2840">
        <v>0</v>
      </c>
      <c r="DF61" s="2836">
        <f t="shared" si="654"/>
        <v>275.55773351331084</v>
      </c>
      <c r="DG61" s="2836">
        <f t="shared" si="655"/>
        <v>275.45548983331082</v>
      </c>
      <c r="DH61" s="2836">
        <f t="shared" si="656"/>
        <v>0.10224368</v>
      </c>
      <c r="DI61" s="2781">
        <f t="shared" si="657"/>
        <v>0</v>
      </c>
      <c r="DJ61" s="2781">
        <f>SUM('ПОЛНАЯ СЕБЕСТОИМОСТЬ ВОДА 2023'!AY209)</f>
        <v>0</v>
      </c>
      <c r="DK61" s="2781">
        <f>SUM('ПОЛНАЯ СЕБЕСТОИМОСТЬ ВОДА 2023'!AZ209)</f>
        <v>0</v>
      </c>
      <c r="DL61" s="2840">
        <f t="shared" ref="DL61:DL65" si="690">SUM(DM61:DN61)</f>
        <v>498.55900000000003</v>
      </c>
      <c r="DM61" s="2840">
        <v>498.55900000000003</v>
      </c>
      <c r="DN61" s="2840">
        <v>0</v>
      </c>
      <c r="DO61" s="2807">
        <f t="shared" si="658"/>
        <v>826.67320053993251</v>
      </c>
      <c r="DP61" s="2807">
        <f t="shared" si="658"/>
        <v>826.36646949993246</v>
      </c>
      <c r="DQ61" s="2807">
        <f t="shared" si="658"/>
        <v>0.30673104000000001</v>
      </c>
      <c r="DR61" s="2842">
        <f t="shared" si="658"/>
        <v>0</v>
      </c>
      <c r="DS61" s="2842">
        <f t="shared" si="658"/>
        <v>0</v>
      </c>
      <c r="DT61" s="2842">
        <f t="shared" si="658"/>
        <v>0</v>
      </c>
      <c r="DU61" s="2842">
        <f t="shared" si="658"/>
        <v>498.55900000000003</v>
      </c>
      <c r="DV61" s="2842">
        <f t="shared" si="658"/>
        <v>498.55900000000003</v>
      </c>
      <c r="DW61" s="2842">
        <f t="shared" si="658"/>
        <v>0</v>
      </c>
      <c r="DX61" s="2805">
        <f t="shared" si="555"/>
        <v>-826.67320053993251</v>
      </c>
      <c r="DY61" s="2805">
        <f t="shared" si="555"/>
        <v>-826.36646949993246</v>
      </c>
      <c r="DZ61" s="2805">
        <f t="shared" si="555"/>
        <v>-0.30673104000000001</v>
      </c>
      <c r="EA61" s="2807">
        <f t="shared" si="659"/>
        <v>2480.0196016197974</v>
      </c>
      <c r="EB61" s="2807">
        <f t="shared" si="659"/>
        <v>2479.0994084997974</v>
      </c>
      <c r="EC61" s="2807">
        <f t="shared" si="659"/>
        <v>0.92019311999999998</v>
      </c>
      <c r="ED61" s="2842">
        <f t="shared" si="659"/>
        <v>1727.5319999999999</v>
      </c>
      <c r="EE61" s="2842">
        <f t="shared" si="659"/>
        <v>1727.5319999999999</v>
      </c>
      <c r="EF61" s="2842">
        <f t="shared" si="659"/>
        <v>0</v>
      </c>
      <c r="EG61" s="2842">
        <f t="shared" si="659"/>
        <v>1700.7879999999998</v>
      </c>
      <c r="EH61" s="2842">
        <f t="shared" si="659"/>
        <v>1700.7879999999998</v>
      </c>
      <c r="EI61" s="2842">
        <f t="shared" si="659"/>
        <v>0</v>
      </c>
      <c r="EJ61" s="2805">
        <f t="shared" si="557"/>
        <v>-752.48760161979749</v>
      </c>
      <c r="EK61" s="2805">
        <f t="shared" si="557"/>
        <v>-751.56740849979747</v>
      </c>
      <c r="EL61" s="2805">
        <f t="shared" si="557"/>
        <v>-0.92019311999999998</v>
      </c>
      <c r="EM61" s="2836">
        <f t="shared" si="660"/>
        <v>275.55773351331084</v>
      </c>
      <c r="EN61" s="2836">
        <f>SUM('ПОЛНАЯ СЕБЕСТОИМОСТЬ ВОДА 2023'!BN209)/3</f>
        <v>275.45548983331082</v>
      </c>
      <c r="EO61" s="2836">
        <f>SUM('ПОЛНАЯ СЕБЕСТОИМОСТЬ ВОДА 2023'!BO209)/3</f>
        <v>0.10224368</v>
      </c>
      <c r="EP61" s="2781">
        <f t="shared" si="661"/>
        <v>0</v>
      </c>
      <c r="EQ61" s="2781">
        <f>SUM('ПОЛНАЯ СЕБЕСТОИМОСТЬ ВОДА 2023'!BQ209)</f>
        <v>0</v>
      </c>
      <c r="ER61" s="2781">
        <f>SUM('ПОЛНАЯ СЕБЕСТОИМОСТЬ ВОДА 2023'!BR209)</f>
        <v>0</v>
      </c>
      <c r="ES61" s="2840">
        <f t="shared" ref="ES61:ES65" si="691">SUM(ET61:EU61)</f>
        <v>0</v>
      </c>
      <c r="ET61" s="2840">
        <v>0</v>
      </c>
      <c r="EU61" s="2840">
        <v>0</v>
      </c>
      <c r="EV61" s="2836">
        <f t="shared" si="662"/>
        <v>275.55773351331084</v>
      </c>
      <c r="EW61" s="2836">
        <f t="shared" si="663"/>
        <v>275.45548983331082</v>
      </c>
      <c r="EX61" s="2836">
        <f t="shared" si="664"/>
        <v>0.10224368</v>
      </c>
      <c r="EY61" s="2781">
        <f t="shared" si="665"/>
        <v>0</v>
      </c>
      <c r="EZ61" s="2781">
        <f>SUM('ПОЛНАЯ СЕБЕСТОИМОСТЬ ВОДА 2023'!BT209)</f>
        <v>0</v>
      </c>
      <c r="FA61" s="2781">
        <f>SUM('ПОЛНАЯ СЕБЕСТОИМОСТЬ ВОДА 2023'!BU209)</f>
        <v>0</v>
      </c>
      <c r="FB61" s="2840">
        <f t="shared" ref="FB61:FB65" si="692">SUM(FC61:FD61)</f>
        <v>0</v>
      </c>
      <c r="FC61" s="2840">
        <v>0</v>
      </c>
      <c r="FD61" s="2840">
        <v>0</v>
      </c>
      <c r="FE61" s="2836">
        <f t="shared" si="666"/>
        <v>275.55773351331084</v>
      </c>
      <c r="FF61" s="2836">
        <f t="shared" si="667"/>
        <v>275.45548983331082</v>
      </c>
      <c r="FG61" s="2836">
        <f t="shared" si="668"/>
        <v>0.10224368</v>
      </c>
      <c r="FH61" s="2781">
        <f t="shared" si="613"/>
        <v>0</v>
      </c>
      <c r="FI61" s="2781">
        <f>SUM('ПОЛНАЯ СЕБЕСТОИМОСТЬ ВОДА 2023'!BW209)</f>
        <v>0</v>
      </c>
      <c r="FJ61" s="2781">
        <f>SUM('ПОЛНАЯ СЕБЕСТОИМОСТЬ ВОДА 2023'!BX209)</f>
        <v>0</v>
      </c>
      <c r="FK61" s="2840">
        <f t="shared" ref="FK61:FK65" si="693">SUM(FL61:FM61)</f>
        <v>545.46776999999997</v>
      </c>
      <c r="FL61" s="2840">
        <v>545.46776999999997</v>
      </c>
      <c r="FM61" s="2840">
        <v>0</v>
      </c>
      <c r="FN61" s="2807">
        <f t="shared" si="669"/>
        <v>826.67320053993251</v>
      </c>
      <c r="FO61" s="2807">
        <f t="shared" si="669"/>
        <v>826.36646949993246</v>
      </c>
      <c r="FP61" s="2807">
        <f t="shared" si="669"/>
        <v>0.30673104000000001</v>
      </c>
      <c r="FQ61" s="2818">
        <f t="shared" si="669"/>
        <v>0</v>
      </c>
      <c r="FR61" s="2818">
        <f t="shared" si="669"/>
        <v>0</v>
      </c>
      <c r="FS61" s="2818">
        <f t="shared" si="669"/>
        <v>0</v>
      </c>
      <c r="FT61" s="2818">
        <f t="shared" si="669"/>
        <v>545.46776999999997</v>
      </c>
      <c r="FU61" s="2818">
        <f t="shared" si="669"/>
        <v>545.46776999999997</v>
      </c>
      <c r="FV61" s="2818">
        <f t="shared" si="669"/>
        <v>0</v>
      </c>
      <c r="FW61" s="2819">
        <f t="shared" si="559"/>
        <v>-826.67320053993251</v>
      </c>
      <c r="FX61" s="2819">
        <f t="shared" si="559"/>
        <v>-826.36646949993246</v>
      </c>
      <c r="FY61" s="2819">
        <f t="shared" si="559"/>
        <v>-0.30673104000000001</v>
      </c>
      <c r="FZ61" s="2807">
        <f t="shared" si="670"/>
        <v>3306.69280215973</v>
      </c>
      <c r="GA61" s="2807">
        <f t="shared" si="670"/>
        <v>3305.4658779997299</v>
      </c>
      <c r="GB61" s="2807">
        <f t="shared" si="670"/>
        <v>1.22692416</v>
      </c>
      <c r="GC61" s="2818">
        <f t="shared" si="670"/>
        <v>1727.5319999999999</v>
      </c>
      <c r="GD61" s="2818">
        <f t="shared" si="670"/>
        <v>1727.5319999999999</v>
      </c>
      <c r="GE61" s="2818">
        <f t="shared" si="670"/>
        <v>0</v>
      </c>
      <c r="GF61" s="2818">
        <f t="shared" si="670"/>
        <v>2246.2557699999998</v>
      </c>
      <c r="GG61" s="2818">
        <f t="shared" si="670"/>
        <v>2246.2557699999998</v>
      </c>
      <c r="GH61" s="2818">
        <f t="shared" si="670"/>
        <v>0</v>
      </c>
      <c r="GI61" s="2819">
        <f t="shared" si="561"/>
        <v>-1579.1608021597301</v>
      </c>
      <c r="GJ61" s="2819">
        <f t="shared" si="561"/>
        <v>-1577.9338779997299</v>
      </c>
      <c r="GK61" s="2819">
        <f t="shared" si="561"/>
        <v>-1.22692416</v>
      </c>
      <c r="GL61" s="389"/>
      <c r="GM61" s="3578">
        <f t="shared" si="562"/>
        <v>3306.6928021597291</v>
      </c>
    </row>
    <row r="62" spans="1:195" ht="18.75" x14ac:dyDescent="0.3">
      <c r="A62" s="2834" t="s">
        <v>522</v>
      </c>
      <c r="B62" s="2836">
        <f t="shared" si="625"/>
        <v>7.5322500000000003</v>
      </c>
      <c r="C62" s="2836">
        <f>SUM('ПОЛНАЯ СЕБЕСТОИМОСТЬ ВОДА 2023'!C210)/3</f>
        <v>7.5322500000000003</v>
      </c>
      <c r="D62" s="2836">
        <f>SUM('ПОЛНАЯ СЕБЕСТОИМОСТЬ ВОДА 2023'!D210)/3</f>
        <v>0</v>
      </c>
      <c r="E62" s="2781">
        <f t="shared" si="626"/>
        <v>0</v>
      </c>
      <c r="F62" s="2781">
        <f>SUM('ПОЛНАЯ СЕБЕСТОИМОСТЬ ВОДА 2023'!F210)</f>
        <v>0</v>
      </c>
      <c r="G62" s="2781">
        <f>SUM('ПОЛНАЯ СЕБЕСТОИМОСТЬ ВОДА 2023'!G210)</f>
        <v>0</v>
      </c>
      <c r="H62" s="2840">
        <f t="shared" si="671"/>
        <v>0</v>
      </c>
      <c r="I62" s="2840">
        <v>0</v>
      </c>
      <c r="J62" s="2840">
        <v>0</v>
      </c>
      <c r="K62" s="2836">
        <f t="shared" si="627"/>
        <v>7.5322500000000003</v>
      </c>
      <c r="L62" s="2836">
        <f t="shared" si="628"/>
        <v>7.5322500000000003</v>
      </c>
      <c r="M62" s="2836">
        <f t="shared" si="629"/>
        <v>0</v>
      </c>
      <c r="N62" s="2781">
        <f t="shared" si="630"/>
        <v>0</v>
      </c>
      <c r="O62" s="2781">
        <f>SUM('ПОЛНАЯ СЕБЕСТОИМОСТЬ ВОДА 2023'!I210)</f>
        <v>0</v>
      </c>
      <c r="P62" s="2781">
        <f>SUM('ПОЛНАЯ СЕБЕСТОИМОСТЬ ВОДА 2023'!J210)</f>
        <v>0</v>
      </c>
      <c r="Q62" s="2840">
        <f t="shared" si="683"/>
        <v>0</v>
      </c>
      <c r="R62" s="2840">
        <v>0</v>
      </c>
      <c r="S62" s="2840">
        <v>0</v>
      </c>
      <c r="T62" s="2836">
        <f t="shared" si="631"/>
        <v>7.5322500000000003</v>
      </c>
      <c r="U62" s="2836">
        <f t="shared" si="632"/>
        <v>7.5322500000000003</v>
      </c>
      <c r="V62" s="2836">
        <f t="shared" si="633"/>
        <v>0</v>
      </c>
      <c r="W62" s="2781">
        <f t="shared" si="634"/>
        <v>23.911000000000001</v>
      </c>
      <c r="X62" s="2781">
        <f>SUM('ПОЛНАЯ СЕБЕСТОИМОСТЬ ВОДА 2023'!L210)</f>
        <v>23.911000000000001</v>
      </c>
      <c r="Y62" s="2781">
        <f>SUM('ПОЛНАЯ СЕБЕСТОИМОСТЬ ВОДА 2023'!M210)</f>
        <v>0</v>
      </c>
      <c r="Z62" s="2840">
        <f t="shared" si="684"/>
        <v>22.771000000000001</v>
      </c>
      <c r="AA62" s="2840">
        <v>22.771000000000001</v>
      </c>
      <c r="AB62" s="2840">
        <v>0</v>
      </c>
      <c r="AC62" s="2807">
        <f t="shared" si="635"/>
        <v>22.59675</v>
      </c>
      <c r="AD62" s="2807">
        <f t="shared" si="635"/>
        <v>22.59675</v>
      </c>
      <c r="AE62" s="2807">
        <f t="shared" si="635"/>
        <v>0</v>
      </c>
      <c r="AF62" s="2818">
        <f t="shared" si="635"/>
        <v>23.911000000000001</v>
      </c>
      <c r="AG62" s="2818">
        <f t="shared" si="635"/>
        <v>23.911000000000001</v>
      </c>
      <c r="AH62" s="2818">
        <f t="shared" si="635"/>
        <v>0</v>
      </c>
      <c r="AI62" s="2818">
        <f t="shared" si="635"/>
        <v>22.771000000000001</v>
      </c>
      <c r="AJ62" s="2818">
        <f t="shared" si="635"/>
        <v>22.771000000000001</v>
      </c>
      <c r="AK62" s="2818">
        <f t="shared" si="635"/>
        <v>0</v>
      </c>
      <c r="AL62" s="2819">
        <f t="shared" si="549"/>
        <v>1.3142500000000013</v>
      </c>
      <c r="AM62" s="2819">
        <f t="shared" si="549"/>
        <v>1.3142500000000013</v>
      </c>
      <c r="AN62" s="2819">
        <f t="shared" si="549"/>
        <v>0</v>
      </c>
      <c r="AO62" s="2836">
        <f t="shared" si="636"/>
        <v>7.5322500000000003</v>
      </c>
      <c r="AP62" s="2836">
        <f>SUM('ПОЛНАЯ СЕБЕСТОИМОСТЬ ВОДА 2023'!R210)/3</f>
        <v>7.5322500000000003</v>
      </c>
      <c r="AQ62" s="2836">
        <f>SUM('ПОЛНАЯ СЕБЕСТОИМОСТЬ ВОДА 2023'!S210)/3</f>
        <v>0</v>
      </c>
      <c r="AR62" s="2836">
        <f t="shared" si="637"/>
        <v>0</v>
      </c>
      <c r="AS62" s="2836">
        <f>SUM('ПОЛНАЯ СЕБЕСТОИМОСТЬ ВОДА 2023'!U210)</f>
        <v>0</v>
      </c>
      <c r="AT62" s="2836">
        <f>SUM('ПОЛНАЯ СЕБЕСТОИМОСТЬ ВОДА 2023'!V210)</f>
        <v>0</v>
      </c>
      <c r="AU62" s="2840">
        <f t="shared" si="685"/>
        <v>0</v>
      </c>
      <c r="AV62" s="2840">
        <v>0</v>
      </c>
      <c r="AW62" s="2840">
        <v>0</v>
      </c>
      <c r="AX62" s="2836">
        <f t="shared" si="638"/>
        <v>7.5322500000000003</v>
      </c>
      <c r="AY62" s="2836">
        <f t="shared" si="639"/>
        <v>7.5322500000000003</v>
      </c>
      <c r="AZ62" s="2836">
        <f t="shared" si="640"/>
        <v>0</v>
      </c>
      <c r="BA62" s="2836">
        <f t="shared" si="641"/>
        <v>0</v>
      </c>
      <c r="BB62" s="2836">
        <f>SUM('ПОЛНАЯ СЕБЕСТОИМОСТЬ ВОДА 2023'!X210)</f>
        <v>0</v>
      </c>
      <c r="BC62" s="2836">
        <f>SUM('ПОЛНАЯ СЕБЕСТОИМОСТЬ ВОДА 2023'!Y210)</f>
        <v>0</v>
      </c>
      <c r="BD62" s="2840">
        <f t="shared" si="686"/>
        <v>0</v>
      </c>
      <c r="BE62" s="2840">
        <v>0</v>
      </c>
      <c r="BF62" s="2840">
        <v>0</v>
      </c>
      <c r="BG62" s="2836">
        <f t="shared" si="642"/>
        <v>7.5322500000000003</v>
      </c>
      <c r="BH62" s="2836">
        <f t="shared" si="643"/>
        <v>7.5322500000000003</v>
      </c>
      <c r="BI62" s="2836">
        <f t="shared" si="644"/>
        <v>0</v>
      </c>
      <c r="BJ62" s="2781">
        <f t="shared" si="645"/>
        <v>28.462</v>
      </c>
      <c r="BK62" s="2781">
        <f>SUM('ПОЛНАЯ СЕБЕСТОИМОСТЬ ВОДА 2023'!AA210)</f>
        <v>28.462</v>
      </c>
      <c r="BL62" s="2781">
        <f>SUM('ПОЛНАЯ СЕБЕСТОИМОСТЬ ВОДА 2023'!AB210)</f>
        <v>0</v>
      </c>
      <c r="BM62" s="2840">
        <f t="shared" si="687"/>
        <v>23.172000000000001</v>
      </c>
      <c r="BN62" s="2840">
        <v>23.172000000000001</v>
      </c>
      <c r="BO62" s="2840">
        <v>0</v>
      </c>
      <c r="BP62" s="2807">
        <f t="shared" si="646"/>
        <v>22.59675</v>
      </c>
      <c r="BQ62" s="2807">
        <f t="shared" si="646"/>
        <v>22.59675</v>
      </c>
      <c r="BR62" s="2807">
        <f t="shared" si="646"/>
        <v>0</v>
      </c>
      <c r="BS62" s="2842">
        <f t="shared" si="646"/>
        <v>28.462</v>
      </c>
      <c r="BT62" s="2842">
        <f t="shared" si="646"/>
        <v>28.462</v>
      </c>
      <c r="BU62" s="2842">
        <f t="shared" si="646"/>
        <v>0</v>
      </c>
      <c r="BV62" s="2842">
        <f t="shared" si="646"/>
        <v>23.172000000000001</v>
      </c>
      <c r="BW62" s="2842">
        <f t="shared" si="646"/>
        <v>23.172000000000001</v>
      </c>
      <c r="BX62" s="2842">
        <f t="shared" si="646"/>
        <v>0</v>
      </c>
      <c r="BY62" s="2805">
        <f t="shared" si="551"/>
        <v>5.8652499999999996</v>
      </c>
      <c r="BZ62" s="2805">
        <f t="shared" si="551"/>
        <v>5.8652499999999996</v>
      </c>
      <c r="CA62" s="2805">
        <f t="shared" si="551"/>
        <v>0</v>
      </c>
      <c r="CB62" s="2818">
        <f t="shared" si="647"/>
        <v>45.1935</v>
      </c>
      <c r="CC62" s="2818">
        <f t="shared" si="647"/>
        <v>45.1935</v>
      </c>
      <c r="CD62" s="2818">
        <f t="shared" si="647"/>
        <v>0</v>
      </c>
      <c r="CE62" s="2818">
        <f t="shared" si="647"/>
        <v>52.373000000000005</v>
      </c>
      <c r="CF62" s="2818">
        <f t="shared" si="647"/>
        <v>52.373000000000005</v>
      </c>
      <c r="CG62" s="2818">
        <f t="shared" si="647"/>
        <v>0</v>
      </c>
      <c r="CH62" s="2818">
        <f t="shared" si="647"/>
        <v>45.942999999999998</v>
      </c>
      <c r="CI62" s="2818">
        <f t="shared" si="647"/>
        <v>45.942999999999998</v>
      </c>
      <c r="CJ62" s="2818">
        <f t="shared" si="647"/>
        <v>0</v>
      </c>
      <c r="CK62" s="2819">
        <f t="shared" si="553"/>
        <v>7.1795000000000044</v>
      </c>
      <c r="CL62" s="2819">
        <f t="shared" si="553"/>
        <v>7.1795000000000044</v>
      </c>
      <c r="CM62" s="2819">
        <f t="shared" si="553"/>
        <v>0</v>
      </c>
      <c r="CN62" s="2836">
        <f t="shared" si="648"/>
        <v>7.5322500000000003</v>
      </c>
      <c r="CO62" s="2836">
        <f>SUM('ПОЛНАЯ СЕБЕСТОИМОСТЬ ВОДА 2023'!AP210)/3</f>
        <v>7.5322500000000003</v>
      </c>
      <c r="CP62" s="2836">
        <f>SUM('ПОЛНАЯ СЕБЕСТОИМОСТЬ ВОДА 2023'!AQ210)/3</f>
        <v>0</v>
      </c>
      <c r="CQ62" s="2781">
        <f t="shared" si="649"/>
        <v>0</v>
      </c>
      <c r="CR62" s="2781">
        <f>SUM('ПОЛНАЯ СЕБЕСТОИМОСТЬ ВОДА 2023'!AS210)</f>
        <v>0</v>
      </c>
      <c r="CS62" s="2781">
        <f>SUM('ПОЛНАЯ СЕБЕСТОИМОСТЬ ВОДА 2023'!AT210)</f>
        <v>0</v>
      </c>
      <c r="CT62" s="2840">
        <f t="shared" si="688"/>
        <v>0</v>
      </c>
      <c r="CU62" s="2840">
        <v>0</v>
      </c>
      <c r="CV62" s="2840">
        <v>0</v>
      </c>
      <c r="CW62" s="2836">
        <f t="shared" si="650"/>
        <v>7.5322500000000003</v>
      </c>
      <c r="CX62" s="2836">
        <f t="shared" si="651"/>
        <v>7.5322500000000003</v>
      </c>
      <c r="CY62" s="2836">
        <f t="shared" si="652"/>
        <v>0</v>
      </c>
      <c r="CZ62" s="2781">
        <f t="shared" si="653"/>
        <v>0</v>
      </c>
      <c r="DA62" s="2781">
        <f>SUM('ПОЛНАЯ СЕБЕСТОИМОСТЬ ВОДА 2023'!AV210)</f>
        <v>0</v>
      </c>
      <c r="DB62" s="2781">
        <f>SUM('ПОЛНАЯ СЕБЕСТОИМОСТЬ ВОДА 2023'!AW210)</f>
        <v>0</v>
      </c>
      <c r="DC62" s="2840">
        <f t="shared" si="689"/>
        <v>0</v>
      </c>
      <c r="DD62" s="2840">
        <v>0</v>
      </c>
      <c r="DE62" s="2840">
        <v>0</v>
      </c>
      <c r="DF62" s="2836">
        <f t="shared" si="654"/>
        <v>7.5322500000000003</v>
      </c>
      <c r="DG62" s="2836">
        <f t="shared" si="655"/>
        <v>7.5322500000000003</v>
      </c>
      <c r="DH62" s="2836">
        <f t="shared" si="656"/>
        <v>0</v>
      </c>
      <c r="DI62" s="2781">
        <f t="shared" si="657"/>
        <v>0</v>
      </c>
      <c r="DJ62" s="2781">
        <f>SUM('ПОЛНАЯ СЕБЕСТОИМОСТЬ ВОДА 2023'!AY210)</f>
        <v>0</v>
      </c>
      <c r="DK62" s="2781">
        <f>SUM('ПОЛНАЯ СЕБЕСТОИМОСТЬ ВОДА 2023'!AZ210)</f>
        <v>0</v>
      </c>
      <c r="DL62" s="2840">
        <f t="shared" si="690"/>
        <v>23.484999999999999</v>
      </c>
      <c r="DM62" s="2840">
        <v>23.484999999999999</v>
      </c>
      <c r="DN62" s="2840">
        <v>0</v>
      </c>
      <c r="DO62" s="2807">
        <f t="shared" si="658"/>
        <v>22.59675</v>
      </c>
      <c r="DP62" s="2807">
        <f t="shared" si="658"/>
        <v>22.59675</v>
      </c>
      <c r="DQ62" s="2807">
        <f t="shared" si="658"/>
        <v>0</v>
      </c>
      <c r="DR62" s="2842">
        <f t="shared" si="658"/>
        <v>0</v>
      </c>
      <c r="DS62" s="2842">
        <f t="shared" si="658"/>
        <v>0</v>
      </c>
      <c r="DT62" s="2842">
        <f t="shared" si="658"/>
        <v>0</v>
      </c>
      <c r="DU62" s="2842">
        <f t="shared" si="658"/>
        <v>23.484999999999999</v>
      </c>
      <c r="DV62" s="2842">
        <f t="shared" si="658"/>
        <v>23.484999999999999</v>
      </c>
      <c r="DW62" s="2842">
        <f t="shared" si="658"/>
        <v>0</v>
      </c>
      <c r="DX62" s="2805">
        <f t="shared" si="555"/>
        <v>-22.59675</v>
      </c>
      <c r="DY62" s="2805">
        <f t="shared" si="555"/>
        <v>-22.59675</v>
      </c>
      <c r="DZ62" s="2805">
        <f t="shared" si="555"/>
        <v>0</v>
      </c>
      <c r="EA62" s="2807">
        <f t="shared" si="659"/>
        <v>67.79025</v>
      </c>
      <c r="EB62" s="2807">
        <f t="shared" si="659"/>
        <v>67.79025</v>
      </c>
      <c r="EC62" s="2807">
        <f t="shared" si="659"/>
        <v>0</v>
      </c>
      <c r="ED62" s="2842">
        <f t="shared" si="659"/>
        <v>52.373000000000005</v>
      </c>
      <c r="EE62" s="2842">
        <f t="shared" si="659"/>
        <v>52.373000000000005</v>
      </c>
      <c r="EF62" s="2842">
        <f t="shared" si="659"/>
        <v>0</v>
      </c>
      <c r="EG62" s="2842">
        <f t="shared" si="659"/>
        <v>69.427999999999997</v>
      </c>
      <c r="EH62" s="2842">
        <f t="shared" si="659"/>
        <v>69.427999999999997</v>
      </c>
      <c r="EI62" s="2842">
        <f t="shared" si="659"/>
        <v>0</v>
      </c>
      <c r="EJ62" s="2805">
        <f t="shared" si="557"/>
        <v>-15.417249999999996</v>
      </c>
      <c r="EK62" s="2805">
        <f t="shared" si="557"/>
        <v>-15.417249999999996</v>
      </c>
      <c r="EL62" s="2805">
        <f t="shared" si="557"/>
        <v>0</v>
      </c>
      <c r="EM62" s="2836">
        <f t="shared" si="660"/>
        <v>7.5322500000000003</v>
      </c>
      <c r="EN62" s="2836">
        <f>SUM('ПОЛНАЯ СЕБЕСТОИМОСТЬ ВОДА 2023'!BN210)/3</f>
        <v>7.5322500000000003</v>
      </c>
      <c r="EO62" s="2836">
        <f>SUM('ПОЛНАЯ СЕБЕСТОИМОСТЬ ВОДА 2023'!BO210)/3</f>
        <v>0</v>
      </c>
      <c r="EP62" s="2781">
        <f t="shared" si="661"/>
        <v>0</v>
      </c>
      <c r="EQ62" s="2781">
        <f>SUM('ПОЛНАЯ СЕБЕСТОИМОСТЬ ВОДА 2023'!BQ210)</f>
        <v>0</v>
      </c>
      <c r="ER62" s="2781">
        <f>SUM('ПОЛНАЯ СЕБЕСТОИМОСТЬ ВОДА 2023'!BR210)</f>
        <v>0</v>
      </c>
      <c r="ES62" s="2840">
        <f t="shared" si="691"/>
        <v>0</v>
      </c>
      <c r="ET62" s="2840">
        <v>0</v>
      </c>
      <c r="EU62" s="2840">
        <v>0</v>
      </c>
      <c r="EV62" s="2836">
        <f t="shared" si="662"/>
        <v>7.5322500000000003</v>
      </c>
      <c r="EW62" s="2836">
        <f t="shared" si="663"/>
        <v>7.5322500000000003</v>
      </c>
      <c r="EX62" s="2836">
        <f t="shared" si="664"/>
        <v>0</v>
      </c>
      <c r="EY62" s="2781">
        <f t="shared" si="665"/>
        <v>0</v>
      </c>
      <c r="EZ62" s="2781">
        <f>SUM('ПОЛНАЯ СЕБЕСТОИМОСТЬ ВОДА 2023'!BT210)</f>
        <v>0</v>
      </c>
      <c r="FA62" s="2781">
        <f>SUM('ПОЛНАЯ СЕБЕСТОИМОСТЬ ВОДА 2023'!BU210)</f>
        <v>0</v>
      </c>
      <c r="FB62" s="2840">
        <f t="shared" si="692"/>
        <v>0</v>
      </c>
      <c r="FC62" s="2840">
        <v>0</v>
      </c>
      <c r="FD62" s="2840">
        <v>0</v>
      </c>
      <c r="FE62" s="2836">
        <f t="shared" si="666"/>
        <v>7.5322500000000003</v>
      </c>
      <c r="FF62" s="2836">
        <f t="shared" si="667"/>
        <v>7.5322500000000003</v>
      </c>
      <c r="FG62" s="2836">
        <f t="shared" si="668"/>
        <v>0</v>
      </c>
      <c r="FH62" s="2781">
        <f t="shared" si="613"/>
        <v>0</v>
      </c>
      <c r="FI62" s="2781">
        <f>SUM('ПОЛНАЯ СЕБЕСТОИМОСТЬ ВОДА 2023'!BW210)</f>
        <v>0</v>
      </c>
      <c r="FJ62" s="2781">
        <f>SUM('ПОЛНАЯ СЕБЕСТОИМОСТЬ ВОДА 2023'!BX210)</f>
        <v>0</v>
      </c>
      <c r="FK62" s="2840">
        <f t="shared" si="693"/>
        <v>24.506999999999998</v>
      </c>
      <c r="FL62" s="2840">
        <v>24.506999999999998</v>
      </c>
      <c r="FM62" s="2840">
        <v>0</v>
      </c>
      <c r="FN62" s="2807">
        <f t="shared" si="669"/>
        <v>22.59675</v>
      </c>
      <c r="FO62" s="2807">
        <f t="shared" si="669"/>
        <v>22.59675</v>
      </c>
      <c r="FP62" s="2807">
        <f t="shared" si="669"/>
        <v>0</v>
      </c>
      <c r="FQ62" s="2818">
        <f t="shared" si="669"/>
        <v>0</v>
      </c>
      <c r="FR62" s="2818">
        <f t="shared" si="669"/>
        <v>0</v>
      </c>
      <c r="FS62" s="2818">
        <f t="shared" si="669"/>
        <v>0</v>
      </c>
      <c r="FT62" s="2818">
        <f t="shared" si="669"/>
        <v>24.506999999999998</v>
      </c>
      <c r="FU62" s="2818">
        <f t="shared" si="669"/>
        <v>24.506999999999998</v>
      </c>
      <c r="FV62" s="2818">
        <f t="shared" si="669"/>
        <v>0</v>
      </c>
      <c r="FW62" s="2819">
        <f t="shared" si="559"/>
        <v>-22.59675</v>
      </c>
      <c r="FX62" s="2819">
        <f t="shared" si="559"/>
        <v>-22.59675</v>
      </c>
      <c r="FY62" s="2819">
        <f t="shared" si="559"/>
        <v>0</v>
      </c>
      <c r="FZ62" s="2807">
        <f t="shared" si="670"/>
        <v>90.387</v>
      </c>
      <c r="GA62" s="2807">
        <f t="shared" si="670"/>
        <v>90.387</v>
      </c>
      <c r="GB62" s="2807">
        <f t="shared" si="670"/>
        <v>0</v>
      </c>
      <c r="GC62" s="2818">
        <f t="shared" si="670"/>
        <v>52.373000000000005</v>
      </c>
      <c r="GD62" s="2818">
        <f t="shared" si="670"/>
        <v>52.373000000000005</v>
      </c>
      <c r="GE62" s="2818">
        <f t="shared" si="670"/>
        <v>0</v>
      </c>
      <c r="GF62" s="2818">
        <f t="shared" si="670"/>
        <v>93.935000000000002</v>
      </c>
      <c r="GG62" s="2818">
        <f t="shared" si="670"/>
        <v>93.935000000000002</v>
      </c>
      <c r="GH62" s="2818">
        <f t="shared" si="670"/>
        <v>0</v>
      </c>
      <c r="GI62" s="2819">
        <f t="shared" si="561"/>
        <v>-38.013999999999996</v>
      </c>
      <c r="GJ62" s="2819">
        <f t="shared" si="561"/>
        <v>-38.013999999999996</v>
      </c>
      <c r="GK62" s="2819">
        <f t="shared" si="561"/>
        <v>0</v>
      </c>
      <c r="GL62" s="389"/>
      <c r="GM62" s="3578">
        <f t="shared" si="562"/>
        <v>90.387000000000015</v>
      </c>
    </row>
    <row r="63" spans="1:195" ht="18.75" x14ac:dyDescent="0.3">
      <c r="A63" s="2834" t="s">
        <v>523</v>
      </c>
      <c r="B63" s="2836">
        <f t="shared" si="625"/>
        <v>0</v>
      </c>
      <c r="C63" s="2836">
        <f>SUM('ПОЛНАЯ СЕБЕСТОИМОСТЬ ВОДА 2023'!C211)/3</f>
        <v>0</v>
      </c>
      <c r="D63" s="2836">
        <f>SUM('ПОЛНАЯ СЕБЕСТОИМОСТЬ ВОДА 2023'!D211)/3</f>
        <v>0</v>
      </c>
      <c r="E63" s="2781">
        <f t="shared" si="626"/>
        <v>0</v>
      </c>
      <c r="F63" s="2781">
        <f>SUM('ПОЛНАЯ СЕБЕСТОИМОСТЬ ВОДА 2023'!F211)</f>
        <v>0</v>
      </c>
      <c r="G63" s="2781">
        <f>SUM('ПОЛНАЯ СЕБЕСТОИМОСТЬ ВОДА 2023'!G211)</f>
        <v>0</v>
      </c>
      <c r="H63" s="2840">
        <f t="shared" si="671"/>
        <v>0</v>
      </c>
      <c r="I63" s="2840">
        <v>0</v>
      </c>
      <c r="J63" s="2840">
        <v>0</v>
      </c>
      <c r="K63" s="2836">
        <f t="shared" si="627"/>
        <v>0</v>
      </c>
      <c r="L63" s="2836">
        <f t="shared" si="628"/>
        <v>0</v>
      </c>
      <c r="M63" s="2836">
        <f t="shared" si="629"/>
        <v>0</v>
      </c>
      <c r="N63" s="2781">
        <f t="shared" si="630"/>
        <v>0</v>
      </c>
      <c r="O63" s="2781">
        <f>SUM('ПОЛНАЯ СЕБЕСТОИМОСТЬ ВОДА 2023'!I211)</f>
        <v>0</v>
      </c>
      <c r="P63" s="2781">
        <f>SUM('ПОЛНАЯ СЕБЕСТОИМОСТЬ ВОДА 2023'!J211)</f>
        <v>0</v>
      </c>
      <c r="Q63" s="2840">
        <f t="shared" si="683"/>
        <v>0</v>
      </c>
      <c r="R63" s="2840">
        <v>0</v>
      </c>
      <c r="S63" s="2840">
        <v>0</v>
      </c>
      <c r="T63" s="2836">
        <f t="shared" si="631"/>
        <v>0</v>
      </c>
      <c r="U63" s="2836">
        <f t="shared" si="632"/>
        <v>0</v>
      </c>
      <c r="V63" s="2836">
        <f t="shared" si="633"/>
        <v>0</v>
      </c>
      <c r="W63" s="2781">
        <f t="shared" si="634"/>
        <v>0</v>
      </c>
      <c r="X63" s="2781">
        <f>SUM('ПОЛНАЯ СЕБЕСТОИМОСТЬ ВОДА 2023'!L211)</f>
        <v>0</v>
      </c>
      <c r="Y63" s="2781">
        <f>SUM('ПОЛНАЯ СЕБЕСТОИМОСТЬ ВОДА 2023'!M211)</f>
        <v>0</v>
      </c>
      <c r="Z63" s="2840">
        <f t="shared" si="684"/>
        <v>0</v>
      </c>
      <c r="AA63" s="2840">
        <v>0</v>
      </c>
      <c r="AB63" s="2840">
        <v>0</v>
      </c>
      <c r="AC63" s="2807">
        <f t="shared" si="635"/>
        <v>0</v>
      </c>
      <c r="AD63" s="2807">
        <f t="shared" si="635"/>
        <v>0</v>
      </c>
      <c r="AE63" s="2807">
        <f t="shared" si="635"/>
        <v>0</v>
      </c>
      <c r="AF63" s="2818">
        <f t="shared" si="635"/>
        <v>0</v>
      </c>
      <c r="AG63" s="2818">
        <f t="shared" si="635"/>
        <v>0</v>
      </c>
      <c r="AH63" s="2818">
        <f t="shared" si="635"/>
        <v>0</v>
      </c>
      <c r="AI63" s="2818">
        <f t="shared" si="635"/>
        <v>0</v>
      </c>
      <c r="AJ63" s="2818">
        <f t="shared" si="635"/>
        <v>0</v>
      </c>
      <c r="AK63" s="2818">
        <f t="shared" si="635"/>
        <v>0</v>
      </c>
      <c r="AL63" s="2819">
        <f t="shared" ref="AL63:AN84" si="694">SUM(AF63-AC63)</f>
        <v>0</v>
      </c>
      <c r="AM63" s="2819">
        <f t="shared" si="694"/>
        <v>0</v>
      </c>
      <c r="AN63" s="2819">
        <f t="shared" si="694"/>
        <v>0</v>
      </c>
      <c r="AO63" s="2836">
        <f t="shared" si="636"/>
        <v>0</v>
      </c>
      <c r="AP63" s="2836">
        <f>SUM('ПОЛНАЯ СЕБЕСТОИМОСТЬ ВОДА 2023'!R211)/3</f>
        <v>0</v>
      </c>
      <c r="AQ63" s="2836">
        <f>SUM('ПОЛНАЯ СЕБЕСТОИМОСТЬ ВОДА 2023'!S211)/3</f>
        <v>0</v>
      </c>
      <c r="AR63" s="2836">
        <f t="shared" si="637"/>
        <v>0</v>
      </c>
      <c r="AS63" s="2836">
        <f>SUM('ПОЛНАЯ СЕБЕСТОИМОСТЬ ВОДА 2023'!U211)</f>
        <v>0</v>
      </c>
      <c r="AT63" s="2836">
        <f>SUM('ПОЛНАЯ СЕБЕСТОИМОСТЬ ВОДА 2023'!V211)</f>
        <v>0</v>
      </c>
      <c r="AU63" s="2840">
        <f t="shared" si="685"/>
        <v>0</v>
      </c>
      <c r="AV63" s="2840">
        <v>0</v>
      </c>
      <c r="AW63" s="2840">
        <v>0</v>
      </c>
      <c r="AX63" s="2836">
        <f t="shared" si="638"/>
        <v>0</v>
      </c>
      <c r="AY63" s="2836">
        <f t="shared" si="639"/>
        <v>0</v>
      </c>
      <c r="AZ63" s="2836">
        <f t="shared" si="640"/>
        <v>0</v>
      </c>
      <c r="BA63" s="2836">
        <f t="shared" si="641"/>
        <v>0</v>
      </c>
      <c r="BB63" s="2836">
        <f>SUM('ПОЛНАЯ СЕБЕСТОИМОСТЬ ВОДА 2023'!X211)</f>
        <v>0</v>
      </c>
      <c r="BC63" s="2836">
        <f>SUM('ПОЛНАЯ СЕБЕСТОИМОСТЬ ВОДА 2023'!Y211)</f>
        <v>0</v>
      </c>
      <c r="BD63" s="2840">
        <f t="shared" si="686"/>
        <v>0</v>
      </c>
      <c r="BE63" s="2840">
        <v>0</v>
      </c>
      <c r="BF63" s="2840">
        <v>0</v>
      </c>
      <c r="BG63" s="2836">
        <f t="shared" si="642"/>
        <v>0</v>
      </c>
      <c r="BH63" s="2836">
        <f t="shared" si="643"/>
        <v>0</v>
      </c>
      <c r="BI63" s="2836">
        <f t="shared" si="644"/>
        <v>0</v>
      </c>
      <c r="BJ63" s="2781">
        <f t="shared" si="645"/>
        <v>0</v>
      </c>
      <c r="BK63" s="2781">
        <f>SUM('ПОЛНАЯ СЕБЕСТОИМОСТЬ ВОДА 2023'!AA211)</f>
        <v>0</v>
      </c>
      <c r="BL63" s="2781">
        <f>SUM('ПОЛНАЯ СЕБЕСТОИМОСТЬ ВОДА 2023'!AB211)</f>
        <v>0</v>
      </c>
      <c r="BM63" s="2840">
        <f t="shared" si="687"/>
        <v>0</v>
      </c>
      <c r="BN63" s="2840">
        <v>0</v>
      </c>
      <c r="BO63" s="2840">
        <v>0</v>
      </c>
      <c r="BP63" s="2807">
        <f t="shared" si="646"/>
        <v>0</v>
      </c>
      <c r="BQ63" s="2807">
        <f t="shared" si="646"/>
        <v>0</v>
      </c>
      <c r="BR63" s="2807">
        <f t="shared" si="646"/>
        <v>0</v>
      </c>
      <c r="BS63" s="2842">
        <f t="shared" si="646"/>
        <v>0</v>
      </c>
      <c r="BT63" s="2842">
        <f t="shared" si="646"/>
        <v>0</v>
      </c>
      <c r="BU63" s="2842">
        <f t="shared" si="646"/>
        <v>0</v>
      </c>
      <c r="BV63" s="2842">
        <f t="shared" si="646"/>
        <v>0</v>
      </c>
      <c r="BW63" s="2842">
        <f t="shared" si="646"/>
        <v>0</v>
      </c>
      <c r="BX63" s="2842">
        <f t="shared" si="646"/>
        <v>0</v>
      </c>
      <c r="BY63" s="2805">
        <f t="shared" si="551"/>
        <v>0</v>
      </c>
      <c r="BZ63" s="2805">
        <f t="shared" si="551"/>
        <v>0</v>
      </c>
      <c r="CA63" s="2805">
        <f t="shared" si="551"/>
        <v>0</v>
      </c>
      <c r="CB63" s="2818">
        <f t="shared" si="647"/>
        <v>0</v>
      </c>
      <c r="CC63" s="2818">
        <f t="shared" si="647"/>
        <v>0</v>
      </c>
      <c r="CD63" s="2818">
        <f t="shared" si="647"/>
        <v>0</v>
      </c>
      <c r="CE63" s="2818">
        <f t="shared" si="647"/>
        <v>0</v>
      </c>
      <c r="CF63" s="2818">
        <f t="shared" si="647"/>
        <v>0</v>
      </c>
      <c r="CG63" s="2818">
        <f t="shared" si="647"/>
        <v>0</v>
      </c>
      <c r="CH63" s="2818">
        <f t="shared" si="647"/>
        <v>0</v>
      </c>
      <c r="CI63" s="2818">
        <f t="shared" si="647"/>
        <v>0</v>
      </c>
      <c r="CJ63" s="2818">
        <f t="shared" si="647"/>
        <v>0</v>
      </c>
      <c r="CK63" s="2819">
        <f t="shared" si="553"/>
        <v>0</v>
      </c>
      <c r="CL63" s="2819">
        <f t="shared" si="553"/>
        <v>0</v>
      </c>
      <c r="CM63" s="2819">
        <f t="shared" si="553"/>
        <v>0</v>
      </c>
      <c r="CN63" s="2836">
        <f t="shared" si="648"/>
        <v>0</v>
      </c>
      <c r="CO63" s="2836">
        <f>SUM('ПОЛНАЯ СЕБЕСТОИМОСТЬ ВОДА 2023'!AP211)/3</f>
        <v>0</v>
      </c>
      <c r="CP63" s="2836">
        <f>SUM('ПОЛНАЯ СЕБЕСТОИМОСТЬ ВОДА 2023'!AQ211)/3</f>
        <v>0</v>
      </c>
      <c r="CQ63" s="2781">
        <f t="shared" si="649"/>
        <v>0</v>
      </c>
      <c r="CR63" s="2781">
        <f>SUM('ПОЛНАЯ СЕБЕСТОИМОСТЬ ВОДА 2023'!AS211)</f>
        <v>0</v>
      </c>
      <c r="CS63" s="2781">
        <f>SUM('ПОЛНАЯ СЕБЕСТОИМОСТЬ ВОДА 2023'!AT211)</f>
        <v>0</v>
      </c>
      <c r="CT63" s="2840">
        <f t="shared" si="688"/>
        <v>0</v>
      </c>
      <c r="CU63" s="2840">
        <v>0</v>
      </c>
      <c r="CV63" s="2840">
        <v>0</v>
      </c>
      <c r="CW63" s="2836">
        <f t="shared" si="650"/>
        <v>0</v>
      </c>
      <c r="CX63" s="2836">
        <f t="shared" si="651"/>
        <v>0</v>
      </c>
      <c r="CY63" s="2836">
        <f t="shared" si="652"/>
        <v>0</v>
      </c>
      <c r="CZ63" s="2781">
        <f t="shared" si="653"/>
        <v>0</v>
      </c>
      <c r="DA63" s="2781">
        <f>SUM('ПОЛНАЯ СЕБЕСТОИМОСТЬ ВОДА 2023'!AV211)</f>
        <v>0</v>
      </c>
      <c r="DB63" s="2781">
        <f>SUM('ПОЛНАЯ СЕБЕСТОИМОСТЬ ВОДА 2023'!AW211)</f>
        <v>0</v>
      </c>
      <c r="DC63" s="2840">
        <f t="shared" si="689"/>
        <v>0</v>
      </c>
      <c r="DD63" s="2840">
        <v>0</v>
      </c>
      <c r="DE63" s="2840">
        <v>0</v>
      </c>
      <c r="DF63" s="2836">
        <f t="shared" si="654"/>
        <v>0</v>
      </c>
      <c r="DG63" s="2836">
        <f t="shared" si="655"/>
        <v>0</v>
      </c>
      <c r="DH63" s="2836">
        <f t="shared" si="656"/>
        <v>0</v>
      </c>
      <c r="DI63" s="2781">
        <f t="shared" si="657"/>
        <v>0</v>
      </c>
      <c r="DJ63" s="2781">
        <f>SUM('ПОЛНАЯ СЕБЕСТОИМОСТЬ ВОДА 2023'!AY211)</f>
        <v>0</v>
      </c>
      <c r="DK63" s="2781">
        <f>SUM('ПОЛНАЯ СЕБЕСТОИМОСТЬ ВОДА 2023'!AZ211)</f>
        <v>0</v>
      </c>
      <c r="DL63" s="2840">
        <f t="shared" si="690"/>
        <v>0</v>
      </c>
      <c r="DM63" s="2840">
        <v>0</v>
      </c>
      <c r="DN63" s="2840">
        <v>0</v>
      </c>
      <c r="DO63" s="2807">
        <f t="shared" si="658"/>
        <v>0</v>
      </c>
      <c r="DP63" s="2807">
        <f t="shared" si="658"/>
        <v>0</v>
      </c>
      <c r="DQ63" s="2807">
        <f t="shared" si="658"/>
        <v>0</v>
      </c>
      <c r="DR63" s="2842">
        <f t="shared" si="658"/>
        <v>0</v>
      </c>
      <c r="DS63" s="2842">
        <f t="shared" si="658"/>
        <v>0</v>
      </c>
      <c r="DT63" s="2842">
        <f t="shared" si="658"/>
        <v>0</v>
      </c>
      <c r="DU63" s="2842">
        <f t="shared" si="658"/>
        <v>0</v>
      </c>
      <c r="DV63" s="2842">
        <f t="shared" si="658"/>
        <v>0</v>
      </c>
      <c r="DW63" s="2842">
        <f t="shared" si="658"/>
        <v>0</v>
      </c>
      <c r="DX63" s="2805">
        <f t="shared" si="555"/>
        <v>0</v>
      </c>
      <c r="DY63" s="2805">
        <f t="shared" si="555"/>
        <v>0</v>
      </c>
      <c r="DZ63" s="2805">
        <f t="shared" si="555"/>
        <v>0</v>
      </c>
      <c r="EA63" s="2807">
        <f t="shared" si="659"/>
        <v>0</v>
      </c>
      <c r="EB63" s="2807">
        <f t="shared" si="659"/>
        <v>0</v>
      </c>
      <c r="EC63" s="2807">
        <f t="shared" si="659"/>
        <v>0</v>
      </c>
      <c r="ED63" s="2842">
        <f t="shared" si="659"/>
        <v>0</v>
      </c>
      <c r="EE63" s="2842">
        <f t="shared" si="659"/>
        <v>0</v>
      </c>
      <c r="EF63" s="2842">
        <f t="shared" si="659"/>
        <v>0</v>
      </c>
      <c r="EG63" s="2842">
        <f t="shared" si="659"/>
        <v>0</v>
      </c>
      <c r="EH63" s="2842">
        <f t="shared" si="659"/>
        <v>0</v>
      </c>
      <c r="EI63" s="2842">
        <f t="shared" si="659"/>
        <v>0</v>
      </c>
      <c r="EJ63" s="2805">
        <f t="shared" si="557"/>
        <v>0</v>
      </c>
      <c r="EK63" s="2805">
        <f t="shared" si="557"/>
        <v>0</v>
      </c>
      <c r="EL63" s="2805">
        <f t="shared" si="557"/>
        <v>0</v>
      </c>
      <c r="EM63" s="2836">
        <f t="shared" si="660"/>
        <v>0</v>
      </c>
      <c r="EN63" s="2836">
        <f>SUM('ПОЛНАЯ СЕБЕСТОИМОСТЬ ВОДА 2023'!BN211)/3</f>
        <v>0</v>
      </c>
      <c r="EO63" s="2836">
        <f>SUM('ПОЛНАЯ СЕБЕСТОИМОСТЬ ВОДА 2023'!BO211)/3</f>
        <v>0</v>
      </c>
      <c r="EP63" s="2781">
        <f t="shared" si="661"/>
        <v>0</v>
      </c>
      <c r="EQ63" s="2781">
        <f>SUM('ПОЛНАЯ СЕБЕСТОИМОСТЬ ВОДА 2023'!BQ211)</f>
        <v>0</v>
      </c>
      <c r="ER63" s="2781">
        <f>SUM('ПОЛНАЯ СЕБЕСТОИМОСТЬ ВОДА 2023'!BR211)</f>
        <v>0</v>
      </c>
      <c r="ES63" s="2840">
        <f t="shared" si="691"/>
        <v>0</v>
      </c>
      <c r="ET63" s="2840">
        <v>0</v>
      </c>
      <c r="EU63" s="2840">
        <v>0</v>
      </c>
      <c r="EV63" s="2836">
        <f t="shared" si="662"/>
        <v>0</v>
      </c>
      <c r="EW63" s="2836">
        <f t="shared" si="663"/>
        <v>0</v>
      </c>
      <c r="EX63" s="2836">
        <f t="shared" si="664"/>
        <v>0</v>
      </c>
      <c r="EY63" s="2781">
        <f t="shared" si="665"/>
        <v>0</v>
      </c>
      <c r="EZ63" s="2781">
        <f>SUM('ПОЛНАЯ СЕБЕСТОИМОСТЬ ВОДА 2023'!BT211)</f>
        <v>0</v>
      </c>
      <c r="FA63" s="2781">
        <f>SUM('ПОЛНАЯ СЕБЕСТОИМОСТЬ ВОДА 2023'!BU211)</f>
        <v>0</v>
      </c>
      <c r="FB63" s="2840">
        <f t="shared" si="692"/>
        <v>0</v>
      </c>
      <c r="FC63" s="2840">
        <v>0</v>
      </c>
      <c r="FD63" s="2840">
        <v>0</v>
      </c>
      <c r="FE63" s="2836">
        <f t="shared" si="666"/>
        <v>0</v>
      </c>
      <c r="FF63" s="2836">
        <f t="shared" si="667"/>
        <v>0</v>
      </c>
      <c r="FG63" s="2836">
        <f t="shared" si="668"/>
        <v>0</v>
      </c>
      <c r="FH63" s="2781">
        <f t="shared" si="613"/>
        <v>0</v>
      </c>
      <c r="FI63" s="2781">
        <f>SUM('ПОЛНАЯ СЕБЕСТОИМОСТЬ ВОДА 2023'!BW211)</f>
        <v>0</v>
      </c>
      <c r="FJ63" s="2781">
        <f>SUM('ПОЛНАЯ СЕБЕСТОИМОСТЬ ВОДА 2023'!BX211)</f>
        <v>0</v>
      </c>
      <c r="FK63" s="2840">
        <f t="shared" si="693"/>
        <v>0</v>
      </c>
      <c r="FL63" s="2840">
        <v>0</v>
      </c>
      <c r="FM63" s="2840">
        <v>0</v>
      </c>
      <c r="FN63" s="2807">
        <f t="shared" si="669"/>
        <v>0</v>
      </c>
      <c r="FO63" s="2807">
        <f t="shared" si="669"/>
        <v>0</v>
      </c>
      <c r="FP63" s="2807">
        <f t="shared" si="669"/>
        <v>0</v>
      </c>
      <c r="FQ63" s="2818">
        <f t="shared" si="669"/>
        <v>0</v>
      </c>
      <c r="FR63" s="2818">
        <f t="shared" si="669"/>
        <v>0</v>
      </c>
      <c r="FS63" s="2818">
        <f t="shared" si="669"/>
        <v>0</v>
      </c>
      <c r="FT63" s="2818">
        <f t="shared" si="669"/>
        <v>0</v>
      </c>
      <c r="FU63" s="2818">
        <f t="shared" si="669"/>
        <v>0</v>
      </c>
      <c r="FV63" s="2818">
        <f t="shared" si="669"/>
        <v>0</v>
      </c>
      <c r="FW63" s="2819">
        <f t="shared" si="559"/>
        <v>0</v>
      </c>
      <c r="FX63" s="2819">
        <f t="shared" si="559"/>
        <v>0</v>
      </c>
      <c r="FY63" s="2819">
        <f t="shared" si="559"/>
        <v>0</v>
      </c>
      <c r="FZ63" s="2807">
        <f t="shared" si="670"/>
        <v>0</v>
      </c>
      <c r="GA63" s="2807">
        <f t="shared" si="670"/>
        <v>0</v>
      </c>
      <c r="GB63" s="2807">
        <f t="shared" si="670"/>
        <v>0</v>
      </c>
      <c r="GC63" s="2818">
        <f t="shared" si="670"/>
        <v>0</v>
      </c>
      <c r="GD63" s="2818">
        <f t="shared" si="670"/>
        <v>0</v>
      </c>
      <c r="GE63" s="2818">
        <f t="shared" si="670"/>
        <v>0</v>
      </c>
      <c r="GF63" s="2818">
        <f t="shared" si="670"/>
        <v>0</v>
      </c>
      <c r="GG63" s="2818">
        <f t="shared" si="670"/>
        <v>0</v>
      </c>
      <c r="GH63" s="2818">
        <f t="shared" si="670"/>
        <v>0</v>
      </c>
      <c r="GI63" s="2819">
        <f t="shared" si="561"/>
        <v>0</v>
      </c>
      <c r="GJ63" s="2819">
        <f t="shared" si="561"/>
        <v>0</v>
      </c>
      <c r="GK63" s="2819">
        <f t="shared" si="561"/>
        <v>0</v>
      </c>
      <c r="GL63" s="389"/>
      <c r="GM63" s="3578">
        <f t="shared" si="562"/>
        <v>0</v>
      </c>
    </row>
    <row r="64" spans="1:195" ht="18.75" x14ac:dyDescent="0.3">
      <c r="A64" s="2834" t="s">
        <v>524</v>
      </c>
      <c r="B64" s="2836">
        <f t="shared" si="625"/>
        <v>260.78994999999998</v>
      </c>
      <c r="C64" s="2836">
        <f>SUM('ПОЛНАЯ СЕБЕСТОИМОСТЬ ВОДА 2023'!C212)/3</f>
        <v>260.78994999999998</v>
      </c>
      <c r="D64" s="2836">
        <f>SUM('ПОЛНАЯ СЕБЕСТОИМОСТЬ ВОДА 2023'!D212)/3</f>
        <v>0</v>
      </c>
      <c r="E64" s="2781">
        <f t="shared" si="626"/>
        <v>0</v>
      </c>
      <c r="F64" s="2781">
        <f>SUM('ПОЛНАЯ СЕБЕСТОИМОСТЬ ВОДА 2023'!F212)</f>
        <v>0</v>
      </c>
      <c r="G64" s="2781">
        <f>SUM('ПОЛНАЯ СЕБЕСТОИМОСТЬ ВОДА 2023'!G212)</f>
        <v>0</v>
      </c>
      <c r="H64" s="2840">
        <f t="shared" si="671"/>
        <v>0</v>
      </c>
      <c r="I64" s="2840">
        <v>0</v>
      </c>
      <c r="J64" s="2840">
        <v>0</v>
      </c>
      <c r="K64" s="2836">
        <f t="shared" si="627"/>
        <v>260.78994999999998</v>
      </c>
      <c r="L64" s="2836">
        <f t="shared" si="628"/>
        <v>260.78994999999998</v>
      </c>
      <c r="M64" s="2836">
        <f t="shared" si="629"/>
        <v>0</v>
      </c>
      <c r="N64" s="2781">
        <f t="shared" si="630"/>
        <v>0</v>
      </c>
      <c r="O64" s="2781">
        <f>SUM('ПОЛНАЯ СЕБЕСТОИМОСТЬ ВОДА 2023'!I212)</f>
        <v>0</v>
      </c>
      <c r="P64" s="2781">
        <f>SUM('ПОЛНАЯ СЕБЕСТОИМОСТЬ ВОДА 2023'!J212)</f>
        <v>0</v>
      </c>
      <c r="Q64" s="2840">
        <f t="shared" si="683"/>
        <v>0</v>
      </c>
      <c r="R64" s="2840">
        <v>0</v>
      </c>
      <c r="S64" s="2840">
        <v>0</v>
      </c>
      <c r="T64" s="2836">
        <f t="shared" si="631"/>
        <v>260.78994999999998</v>
      </c>
      <c r="U64" s="2836">
        <f t="shared" si="632"/>
        <v>260.78994999999998</v>
      </c>
      <c r="V64" s="2836">
        <f t="shared" si="633"/>
        <v>0</v>
      </c>
      <c r="W64" s="2781">
        <f t="shared" si="634"/>
        <v>0</v>
      </c>
      <c r="X64" s="2781">
        <f>SUM('ПОЛНАЯ СЕБЕСТОИМОСТЬ ВОДА 2023'!L212)</f>
        <v>0</v>
      </c>
      <c r="Y64" s="2781">
        <f>SUM('ПОЛНАЯ СЕБЕСТОИМОСТЬ ВОДА 2023'!M212)</f>
        <v>0</v>
      </c>
      <c r="Z64" s="2840">
        <f t="shared" si="684"/>
        <v>0</v>
      </c>
      <c r="AA64" s="2840">
        <v>0</v>
      </c>
      <c r="AB64" s="2840">
        <v>0</v>
      </c>
      <c r="AC64" s="2807">
        <f t="shared" si="635"/>
        <v>782.36984999999993</v>
      </c>
      <c r="AD64" s="2807">
        <f t="shared" si="635"/>
        <v>782.36984999999993</v>
      </c>
      <c r="AE64" s="2807">
        <f t="shared" si="635"/>
        <v>0</v>
      </c>
      <c r="AF64" s="2818">
        <f t="shared" si="635"/>
        <v>0</v>
      </c>
      <c r="AG64" s="2818">
        <f t="shared" si="635"/>
        <v>0</v>
      </c>
      <c r="AH64" s="2818">
        <f t="shared" si="635"/>
        <v>0</v>
      </c>
      <c r="AI64" s="2818">
        <f t="shared" si="635"/>
        <v>0</v>
      </c>
      <c r="AJ64" s="2818">
        <f t="shared" si="635"/>
        <v>0</v>
      </c>
      <c r="AK64" s="2818">
        <f t="shared" si="635"/>
        <v>0</v>
      </c>
      <c r="AL64" s="2819">
        <f t="shared" si="694"/>
        <v>-782.36984999999993</v>
      </c>
      <c r="AM64" s="2819">
        <f t="shared" si="694"/>
        <v>-782.36984999999993</v>
      </c>
      <c r="AN64" s="2819">
        <f t="shared" si="694"/>
        <v>0</v>
      </c>
      <c r="AO64" s="2836">
        <f t="shared" si="636"/>
        <v>260.78994999999998</v>
      </c>
      <c r="AP64" s="2836">
        <f>SUM('ПОЛНАЯ СЕБЕСТОИМОСТЬ ВОДА 2023'!R212)/3</f>
        <v>260.78994999999998</v>
      </c>
      <c r="AQ64" s="2836">
        <f>SUM('ПОЛНАЯ СЕБЕСТОИМОСТЬ ВОДА 2023'!S212)/3</f>
        <v>0</v>
      </c>
      <c r="AR64" s="2836">
        <f t="shared" si="637"/>
        <v>0</v>
      </c>
      <c r="AS64" s="2836">
        <f>SUM('ПОЛНАЯ СЕБЕСТОИМОСТЬ ВОДА 2023'!U212)</f>
        <v>0</v>
      </c>
      <c r="AT64" s="2836">
        <f>SUM('ПОЛНАЯ СЕБЕСТОИМОСТЬ ВОДА 2023'!V212)</f>
        <v>0</v>
      </c>
      <c r="AU64" s="2840">
        <f t="shared" si="685"/>
        <v>0</v>
      </c>
      <c r="AV64" s="2840">
        <v>0</v>
      </c>
      <c r="AW64" s="2840">
        <v>0</v>
      </c>
      <c r="AX64" s="2836">
        <f t="shared" si="638"/>
        <v>260.78994999999998</v>
      </c>
      <c r="AY64" s="2836">
        <f t="shared" si="639"/>
        <v>260.78994999999998</v>
      </c>
      <c r="AZ64" s="2836">
        <f t="shared" si="640"/>
        <v>0</v>
      </c>
      <c r="BA64" s="2836">
        <f t="shared" si="641"/>
        <v>0</v>
      </c>
      <c r="BB64" s="2836">
        <f>SUM('ПОЛНАЯ СЕБЕСТОИМОСТЬ ВОДА 2023'!X212)</f>
        <v>0</v>
      </c>
      <c r="BC64" s="2836">
        <f>SUM('ПОЛНАЯ СЕБЕСТОИМОСТЬ ВОДА 2023'!Y212)</f>
        <v>0</v>
      </c>
      <c r="BD64" s="2840">
        <f t="shared" si="686"/>
        <v>0</v>
      </c>
      <c r="BE64" s="2840">
        <v>0</v>
      </c>
      <c r="BF64" s="2840">
        <v>0</v>
      </c>
      <c r="BG64" s="2836">
        <f t="shared" si="642"/>
        <v>260.78994999999998</v>
      </c>
      <c r="BH64" s="2836">
        <f t="shared" si="643"/>
        <v>260.78994999999998</v>
      </c>
      <c r="BI64" s="2836">
        <f t="shared" si="644"/>
        <v>0</v>
      </c>
      <c r="BJ64" s="2781">
        <f t="shared" si="645"/>
        <v>0</v>
      </c>
      <c r="BK64" s="2781">
        <f>SUM('ПОЛНАЯ СЕБЕСТОИМОСТЬ ВОДА 2023'!AA212)</f>
        <v>0</v>
      </c>
      <c r="BL64" s="2781">
        <f>SUM('ПОЛНАЯ СЕБЕСТОИМОСТЬ ВОДА 2023'!AB212)</f>
        <v>0</v>
      </c>
      <c r="BM64" s="2840">
        <f t="shared" si="687"/>
        <v>0</v>
      </c>
      <c r="BN64" s="2840">
        <v>0</v>
      </c>
      <c r="BO64" s="2840">
        <v>0</v>
      </c>
      <c r="BP64" s="2807">
        <f t="shared" si="646"/>
        <v>782.36984999999993</v>
      </c>
      <c r="BQ64" s="2807">
        <f t="shared" si="646"/>
        <v>782.36984999999993</v>
      </c>
      <c r="BR64" s="2807">
        <f t="shared" si="646"/>
        <v>0</v>
      </c>
      <c r="BS64" s="2842">
        <f t="shared" si="646"/>
        <v>0</v>
      </c>
      <c r="BT64" s="2842">
        <f t="shared" si="646"/>
        <v>0</v>
      </c>
      <c r="BU64" s="2842">
        <f t="shared" si="646"/>
        <v>0</v>
      </c>
      <c r="BV64" s="2842">
        <f t="shared" si="646"/>
        <v>0</v>
      </c>
      <c r="BW64" s="2842">
        <f t="shared" si="646"/>
        <v>0</v>
      </c>
      <c r="BX64" s="2842">
        <f t="shared" si="646"/>
        <v>0</v>
      </c>
      <c r="BY64" s="2805">
        <f t="shared" si="551"/>
        <v>-782.36984999999993</v>
      </c>
      <c r="BZ64" s="2805">
        <f t="shared" si="551"/>
        <v>-782.36984999999993</v>
      </c>
      <c r="CA64" s="2805">
        <f t="shared" si="551"/>
        <v>0</v>
      </c>
      <c r="CB64" s="2818">
        <f t="shared" si="647"/>
        <v>1564.7396999999999</v>
      </c>
      <c r="CC64" s="2818">
        <f t="shared" si="647"/>
        <v>1564.7396999999999</v>
      </c>
      <c r="CD64" s="2818">
        <f t="shared" si="647"/>
        <v>0</v>
      </c>
      <c r="CE64" s="2818">
        <f t="shared" si="647"/>
        <v>0</v>
      </c>
      <c r="CF64" s="2818">
        <f t="shared" si="647"/>
        <v>0</v>
      </c>
      <c r="CG64" s="2818">
        <f t="shared" si="647"/>
        <v>0</v>
      </c>
      <c r="CH64" s="2818">
        <f t="shared" si="647"/>
        <v>0</v>
      </c>
      <c r="CI64" s="2818">
        <f t="shared" si="647"/>
        <v>0</v>
      </c>
      <c r="CJ64" s="2818">
        <f t="shared" si="647"/>
        <v>0</v>
      </c>
      <c r="CK64" s="2819">
        <f t="shared" si="553"/>
        <v>-1564.7396999999999</v>
      </c>
      <c r="CL64" s="2819">
        <f t="shared" si="553"/>
        <v>-1564.7396999999999</v>
      </c>
      <c r="CM64" s="2819">
        <f t="shared" si="553"/>
        <v>0</v>
      </c>
      <c r="CN64" s="2836">
        <f t="shared" si="648"/>
        <v>260.78994999999998</v>
      </c>
      <c r="CO64" s="2836">
        <f>SUM('ПОЛНАЯ СЕБЕСТОИМОСТЬ ВОДА 2023'!AP212)/3</f>
        <v>260.78994999999998</v>
      </c>
      <c r="CP64" s="2836">
        <f>SUM('ПОЛНАЯ СЕБЕСТОИМОСТЬ ВОДА 2023'!AQ212)/3</f>
        <v>0</v>
      </c>
      <c r="CQ64" s="2781">
        <f t="shared" si="649"/>
        <v>0</v>
      </c>
      <c r="CR64" s="2781">
        <f>SUM('ПОЛНАЯ СЕБЕСТОИМОСТЬ ВОДА 2023'!AS212)</f>
        <v>0</v>
      </c>
      <c r="CS64" s="2781">
        <f>SUM('ПОЛНАЯ СЕБЕСТОИМОСТЬ ВОДА 2023'!AT212)</f>
        <v>0</v>
      </c>
      <c r="CT64" s="2840">
        <f t="shared" si="688"/>
        <v>0</v>
      </c>
      <c r="CU64" s="2840">
        <v>0</v>
      </c>
      <c r="CV64" s="2840">
        <v>0</v>
      </c>
      <c r="CW64" s="2836">
        <f t="shared" si="650"/>
        <v>260.78994999999998</v>
      </c>
      <c r="CX64" s="2836">
        <f t="shared" si="651"/>
        <v>260.78994999999998</v>
      </c>
      <c r="CY64" s="2836">
        <f t="shared" si="652"/>
        <v>0</v>
      </c>
      <c r="CZ64" s="2781">
        <f t="shared" si="653"/>
        <v>0</v>
      </c>
      <c r="DA64" s="2781">
        <f>SUM('ПОЛНАЯ СЕБЕСТОИМОСТЬ ВОДА 2023'!AV212)</f>
        <v>0</v>
      </c>
      <c r="DB64" s="2781">
        <f>SUM('ПОЛНАЯ СЕБЕСТОИМОСТЬ ВОДА 2023'!AW212)</f>
        <v>0</v>
      </c>
      <c r="DC64" s="2840">
        <f t="shared" si="689"/>
        <v>0</v>
      </c>
      <c r="DD64" s="2840">
        <v>0</v>
      </c>
      <c r="DE64" s="2840">
        <v>0</v>
      </c>
      <c r="DF64" s="2836">
        <f t="shared" si="654"/>
        <v>260.78994999999998</v>
      </c>
      <c r="DG64" s="2836">
        <f t="shared" si="655"/>
        <v>260.78994999999998</v>
      </c>
      <c r="DH64" s="2836">
        <f t="shared" si="656"/>
        <v>0</v>
      </c>
      <c r="DI64" s="2781">
        <f t="shared" si="657"/>
        <v>0</v>
      </c>
      <c r="DJ64" s="2781">
        <f>SUM('ПОЛНАЯ СЕБЕСТОИМОСТЬ ВОДА 2023'!AY212)</f>
        <v>0</v>
      </c>
      <c r="DK64" s="2781">
        <f>SUM('ПОЛНАЯ СЕБЕСТОИМОСТЬ ВОДА 2023'!AZ212)</f>
        <v>0</v>
      </c>
      <c r="DL64" s="2840">
        <f t="shared" si="690"/>
        <v>0</v>
      </c>
      <c r="DM64" s="2840">
        <v>0</v>
      </c>
      <c r="DN64" s="2840">
        <v>0</v>
      </c>
      <c r="DO64" s="2807">
        <f t="shared" si="658"/>
        <v>782.36984999999993</v>
      </c>
      <c r="DP64" s="2807">
        <f t="shared" si="658"/>
        <v>782.36984999999993</v>
      </c>
      <c r="DQ64" s="2807">
        <f t="shared" si="658"/>
        <v>0</v>
      </c>
      <c r="DR64" s="2842">
        <f t="shared" si="658"/>
        <v>0</v>
      </c>
      <c r="DS64" s="2842">
        <f t="shared" si="658"/>
        <v>0</v>
      </c>
      <c r="DT64" s="2842">
        <f t="shared" si="658"/>
        <v>0</v>
      </c>
      <c r="DU64" s="2842">
        <f t="shared" si="658"/>
        <v>0</v>
      </c>
      <c r="DV64" s="2842">
        <f t="shared" si="658"/>
        <v>0</v>
      </c>
      <c r="DW64" s="2842">
        <f t="shared" si="658"/>
        <v>0</v>
      </c>
      <c r="DX64" s="2805">
        <f t="shared" si="555"/>
        <v>-782.36984999999993</v>
      </c>
      <c r="DY64" s="2805">
        <f t="shared" si="555"/>
        <v>-782.36984999999993</v>
      </c>
      <c r="DZ64" s="2805">
        <f t="shared" si="555"/>
        <v>0</v>
      </c>
      <c r="EA64" s="2807">
        <f t="shared" si="659"/>
        <v>2347.1095499999997</v>
      </c>
      <c r="EB64" s="2807">
        <f t="shared" si="659"/>
        <v>2347.1095499999997</v>
      </c>
      <c r="EC64" s="2807">
        <f t="shared" si="659"/>
        <v>0</v>
      </c>
      <c r="ED64" s="2842">
        <f t="shared" si="659"/>
        <v>0</v>
      </c>
      <c r="EE64" s="2842">
        <f t="shared" si="659"/>
        <v>0</v>
      </c>
      <c r="EF64" s="2842">
        <f t="shared" si="659"/>
        <v>0</v>
      </c>
      <c r="EG64" s="2842">
        <f t="shared" si="659"/>
        <v>0</v>
      </c>
      <c r="EH64" s="2842">
        <f t="shared" si="659"/>
        <v>0</v>
      </c>
      <c r="EI64" s="2842">
        <f t="shared" si="659"/>
        <v>0</v>
      </c>
      <c r="EJ64" s="2805">
        <f t="shared" si="557"/>
        <v>-2347.1095499999997</v>
      </c>
      <c r="EK64" s="2805">
        <f t="shared" si="557"/>
        <v>-2347.1095499999997</v>
      </c>
      <c r="EL64" s="2805">
        <f t="shared" si="557"/>
        <v>0</v>
      </c>
      <c r="EM64" s="2836">
        <f t="shared" si="660"/>
        <v>260.78994999999998</v>
      </c>
      <c r="EN64" s="2836">
        <f>SUM('ПОЛНАЯ СЕБЕСТОИМОСТЬ ВОДА 2023'!BN212)/3</f>
        <v>260.78994999999998</v>
      </c>
      <c r="EO64" s="2836">
        <f>SUM('ПОЛНАЯ СЕБЕСТОИМОСТЬ ВОДА 2023'!BO212)/3</f>
        <v>0</v>
      </c>
      <c r="EP64" s="2781">
        <f t="shared" si="661"/>
        <v>0</v>
      </c>
      <c r="EQ64" s="2781">
        <f>SUM('ПОЛНАЯ СЕБЕСТОИМОСТЬ ВОДА 2023'!BQ212)</f>
        <v>0</v>
      </c>
      <c r="ER64" s="2781">
        <f>SUM('ПОЛНАЯ СЕБЕСТОИМОСТЬ ВОДА 2023'!BR212)</f>
        <v>0</v>
      </c>
      <c r="ES64" s="2840">
        <f t="shared" si="691"/>
        <v>0</v>
      </c>
      <c r="ET64" s="2840">
        <v>0</v>
      </c>
      <c r="EU64" s="2840">
        <v>0</v>
      </c>
      <c r="EV64" s="2836">
        <f t="shared" si="662"/>
        <v>260.78994999999998</v>
      </c>
      <c r="EW64" s="2836">
        <f t="shared" si="663"/>
        <v>260.78994999999998</v>
      </c>
      <c r="EX64" s="2836">
        <f t="shared" si="664"/>
        <v>0</v>
      </c>
      <c r="EY64" s="2781">
        <f t="shared" si="665"/>
        <v>0</v>
      </c>
      <c r="EZ64" s="2781">
        <f>SUM('ПОЛНАЯ СЕБЕСТОИМОСТЬ ВОДА 2023'!BT212)</f>
        <v>0</v>
      </c>
      <c r="FA64" s="2781">
        <f>SUM('ПОЛНАЯ СЕБЕСТОИМОСТЬ ВОДА 2023'!BU212)</f>
        <v>0</v>
      </c>
      <c r="FB64" s="2840">
        <f t="shared" si="692"/>
        <v>0</v>
      </c>
      <c r="FC64" s="2840">
        <v>0</v>
      </c>
      <c r="FD64" s="2840">
        <v>0</v>
      </c>
      <c r="FE64" s="2836">
        <f t="shared" si="666"/>
        <v>260.78994999999998</v>
      </c>
      <c r="FF64" s="2836">
        <f t="shared" si="667"/>
        <v>260.78994999999998</v>
      </c>
      <c r="FG64" s="2836">
        <f t="shared" si="668"/>
        <v>0</v>
      </c>
      <c r="FH64" s="2781">
        <f t="shared" si="613"/>
        <v>0</v>
      </c>
      <c r="FI64" s="2781">
        <f>SUM('ПОЛНАЯ СЕБЕСТОИМОСТЬ ВОДА 2023'!BW212)</f>
        <v>0</v>
      </c>
      <c r="FJ64" s="2781">
        <f>SUM('ПОЛНАЯ СЕБЕСТОИМОСТЬ ВОДА 2023'!BX212)</f>
        <v>0</v>
      </c>
      <c r="FK64" s="2840">
        <f t="shared" si="693"/>
        <v>0</v>
      </c>
      <c r="FL64" s="2840">
        <v>0</v>
      </c>
      <c r="FM64" s="2840">
        <v>0</v>
      </c>
      <c r="FN64" s="2807">
        <f t="shared" si="669"/>
        <v>782.36984999999993</v>
      </c>
      <c r="FO64" s="2807">
        <f t="shared" si="669"/>
        <v>782.36984999999993</v>
      </c>
      <c r="FP64" s="2807">
        <f t="shared" si="669"/>
        <v>0</v>
      </c>
      <c r="FQ64" s="2818">
        <f t="shared" si="669"/>
        <v>0</v>
      </c>
      <c r="FR64" s="2818">
        <f t="shared" si="669"/>
        <v>0</v>
      </c>
      <c r="FS64" s="2818">
        <f t="shared" si="669"/>
        <v>0</v>
      </c>
      <c r="FT64" s="2818">
        <f t="shared" si="669"/>
        <v>0</v>
      </c>
      <c r="FU64" s="2818">
        <f t="shared" si="669"/>
        <v>0</v>
      </c>
      <c r="FV64" s="2818">
        <f t="shared" si="669"/>
        <v>0</v>
      </c>
      <c r="FW64" s="2819">
        <f t="shared" si="559"/>
        <v>-782.36984999999993</v>
      </c>
      <c r="FX64" s="2819">
        <f t="shared" si="559"/>
        <v>-782.36984999999993</v>
      </c>
      <c r="FY64" s="2819">
        <f t="shared" si="559"/>
        <v>0</v>
      </c>
      <c r="FZ64" s="2807">
        <f t="shared" si="670"/>
        <v>3129.4793999999997</v>
      </c>
      <c r="GA64" s="2807">
        <f t="shared" si="670"/>
        <v>3129.4793999999997</v>
      </c>
      <c r="GB64" s="2807">
        <f t="shared" si="670"/>
        <v>0</v>
      </c>
      <c r="GC64" s="2818">
        <f t="shared" si="670"/>
        <v>0</v>
      </c>
      <c r="GD64" s="2818">
        <f t="shared" si="670"/>
        <v>0</v>
      </c>
      <c r="GE64" s="2818">
        <f t="shared" si="670"/>
        <v>0</v>
      </c>
      <c r="GF64" s="2818">
        <f t="shared" si="670"/>
        <v>0</v>
      </c>
      <c r="GG64" s="2818">
        <f t="shared" si="670"/>
        <v>0</v>
      </c>
      <c r="GH64" s="2818">
        <f t="shared" si="670"/>
        <v>0</v>
      </c>
      <c r="GI64" s="2819">
        <f t="shared" si="561"/>
        <v>-3129.4793999999997</v>
      </c>
      <c r="GJ64" s="2819">
        <f t="shared" si="561"/>
        <v>-3129.4793999999997</v>
      </c>
      <c r="GK64" s="2819">
        <f t="shared" si="561"/>
        <v>0</v>
      </c>
      <c r="GL64" s="389"/>
      <c r="GM64" s="3578">
        <f t="shared" si="562"/>
        <v>3129.4793999999988</v>
      </c>
    </row>
    <row r="65" spans="1:195" ht="18.75" x14ac:dyDescent="0.3">
      <c r="A65" s="2778" t="s">
        <v>3705</v>
      </c>
      <c r="B65" s="2836">
        <f t="shared" ref="B65" si="695">SUM(C65:D65)</f>
        <v>0</v>
      </c>
      <c r="C65" s="2836">
        <f>SUM('ПОЛНАЯ СЕБЕСТОИМОСТЬ ВОДА 2023'!C213)/3</f>
        <v>0</v>
      </c>
      <c r="D65" s="2836">
        <f>SUM('ПОЛНАЯ СЕБЕСТОИМОСТЬ ВОДА 2023'!D213)/3</f>
        <v>0</v>
      </c>
      <c r="E65" s="2781">
        <f t="shared" si="626"/>
        <v>0</v>
      </c>
      <c r="F65" s="2781">
        <f>SUM('ПОЛНАЯ СЕБЕСТОИМОСТЬ ВОДА 2023'!F213)</f>
        <v>0</v>
      </c>
      <c r="G65" s="2781">
        <f>SUM('ПОЛНАЯ СЕБЕСТОИМОСТЬ ВОДА 2023'!G213)</f>
        <v>0</v>
      </c>
      <c r="H65" s="2840">
        <f t="shared" si="671"/>
        <v>0</v>
      </c>
      <c r="I65" s="2840">
        <v>0</v>
      </c>
      <c r="J65" s="2840">
        <v>0</v>
      </c>
      <c r="K65" s="2836">
        <f t="shared" ref="K65" si="696">SUM(L65:M65)</f>
        <v>0</v>
      </c>
      <c r="L65" s="2836">
        <f t="shared" si="628"/>
        <v>0</v>
      </c>
      <c r="M65" s="2836">
        <f t="shared" si="629"/>
        <v>0</v>
      </c>
      <c r="N65" s="2781">
        <f t="shared" si="630"/>
        <v>0</v>
      </c>
      <c r="O65" s="2781">
        <f>SUM('ПОЛНАЯ СЕБЕСТОИМОСТЬ ВОДА 2023'!I213)</f>
        <v>0</v>
      </c>
      <c r="P65" s="2781">
        <f>SUM('ПОЛНАЯ СЕБЕСТОИМОСТЬ ВОДА 2023'!J213)</f>
        <v>0</v>
      </c>
      <c r="Q65" s="2840">
        <f t="shared" si="683"/>
        <v>0</v>
      </c>
      <c r="R65" s="2840">
        <v>0</v>
      </c>
      <c r="S65" s="2840">
        <v>0</v>
      </c>
      <c r="T65" s="2836">
        <f t="shared" ref="T65" si="697">SUM(U65:V65)</f>
        <v>0</v>
      </c>
      <c r="U65" s="2836">
        <f t="shared" si="632"/>
        <v>0</v>
      </c>
      <c r="V65" s="2836">
        <f t="shared" si="633"/>
        <v>0</v>
      </c>
      <c r="W65" s="2781">
        <f t="shared" si="634"/>
        <v>0</v>
      </c>
      <c r="X65" s="2781">
        <f>SUM('ПОЛНАЯ СЕБЕСТОИМОСТЬ ВОДА 2023'!L213)</f>
        <v>0</v>
      </c>
      <c r="Y65" s="2781">
        <f>SUM('ПОЛНАЯ СЕБЕСТОИМОСТЬ ВОДА 2023'!M213)</f>
        <v>0</v>
      </c>
      <c r="Z65" s="2840">
        <f t="shared" si="684"/>
        <v>0</v>
      </c>
      <c r="AA65" s="2840">
        <v>0</v>
      </c>
      <c r="AB65" s="2840">
        <v>0</v>
      </c>
      <c r="AC65" s="2807">
        <f t="shared" si="635"/>
        <v>0</v>
      </c>
      <c r="AD65" s="2807">
        <f t="shared" si="635"/>
        <v>0</v>
      </c>
      <c r="AE65" s="2807">
        <f t="shared" si="635"/>
        <v>0</v>
      </c>
      <c r="AF65" s="2818">
        <f t="shared" si="635"/>
        <v>0</v>
      </c>
      <c r="AG65" s="2818">
        <f t="shared" si="635"/>
        <v>0</v>
      </c>
      <c r="AH65" s="2818">
        <f t="shared" si="635"/>
        <v>0</v>
      </c>
      <c r="AI65" s="2818">
        <f t="shared" si="635"/>
        <v>0</v>
      </c>
      <c r="AJ65" s="2818">
        <f t="shared" si="635"/>
        <v>0</v>
      </c>
      <c r="AK65" s="2818">
        <f t="shared" si="635"/>
        <v>0</v>
      </c>
      <c r="AL65" s="2819">
        <f t="shared" si="694"/>
        <v>0</v>
      </c>
      <c r="AM65" s="2819">
        <f t="shared" si="694"/>
        <v>0</v>
      </c>
      <c r="AN65" s="2819">
        <f t="shared" si="694"/>
        <v>0</v>
      </c>
      <c r="AO65" s="2836">
        <f t="shared" si="636"/>
        <v>0</v>
      </c>
      <c r="AP65" s="2836">
        <f>SUM('ПОЛНАЯ СЕБЕСТОИМОСТЬ ВОДА 2023'!R213)/3</f>
        <v>0</v>
      </c>
      <c r="AQ65" s="2836">
        <f>SUM('ПОЛНАЯ СЕБЕСТОИМОСТЬ ВОДА 2023'!S213)/3</f>
        <v>0</v>
      </c>
      <c r="AR65" s="2836">
        <f t="shared" si="637"/>
        <v>0</v>
      </c>
      <c r="AS65" s="2836">
        <f>SUM('ПОЛНАЯ СЕБЕСТОИМОСТЬ ВОДА 2023'!U213)</f>
        <v>0</v>
      </c>
      <c r="AT65" s="2836">
        <f>SUM('ПОЛНАЯ СЕБЕСТОИМОСТЬ ВОДА 2023'!V213)</f>
        <v>0</v>
      </c>
      <c r="AU65" s="2840">
        <f t="shared" si="685"/>
        <v>0</v>
      </c>
      <c r="AV65" s="2840">
        <v>0</v>
      </c>
      <c r="AW65" s="2840">
        <v>0</v>
      </c>
      <c r="AX65" s="2836">
        <f t="shared" ref="AX65" si="698">SUM(AY65:AZ65)</f>
        <v>0</v>
      </c>
      <c r="AY65" s="2836">
        <f t="shared" si="639"/>
        <v>0</v>
      </c>
      <c r="AZ65" s="2836">
        <f t="shared" si="640"/>
        <v>0</v>
      </c>
      <c r="BA65" s="2836">
        <f t="shared" si="641"/>
        <v>0</v>
      </c>
      <c r="BB65" s="2836">
        <f>SUM('ПОЛНАЯ СЕБЕСТОИМОСТЬ ВОДА 2023'!X213)</f>
        <v>0</v>
      </c>
      <c r="BC65" s="2836">
        <f>SUM('ПОЛНАЯ СЕБЕСТОИМОСТЬ ВОДА 2023'!Y213)</f>
        <v>0</v>
      </c>
      <c r="BD65" s="2840">
        <f t="shared" si="686"/>
        <v>0</v>
      </c>
      <c r="BE65" s="2840">
        <v>0</v>
      </c>
      <c r="BF65" s="2840">
        <v>0</v>
      </c>
      <c r="BG65" s="2836">
        <f t="shared" ref="BG65" si="699">SUM(BH65:BI65)</f>
        <v>0</v>
      </c>
      <c r="BH65" s="2836">
        <f t="shared" si="643"/>
        <v>0</v>
      </c>
      <c r="BI65" s="2836">
        <f t="shared" si="644"/>
        <v>0</v>
      </c>
      <c r="BJ65" s="2781">
        <f t="shared" si="645"/>
        <v>0</v>
      </c>
      <c r="BK65" s="2781">
        <f>SUM('ПОЛНАЯ СЕБЕСТОИМОСТЬ ВОДА 2023'!AA213)</f>
        <v>0</v>
      </c>
      <c r="BL65" s="2781">
        <f>SUM('ПОЛНАЯ СЕБЕСТОИМОСТЬ ВОДА 2023'!AB213)</f>
        <v>0</v>
      </c>
      <c r="BM65" s="2840">
        <f t="shared" si="687"/>
        <v>0</v>
      </c>
      <c r="BN65" s="2840">
        <v>0</v>
      </c>
      <c r="BO65" s="2840">
        <v>0</v>
      </c>
      <c r="BP65" s="2807">
        <f t="shared" si="646"/>
        <v>0</v>
      </c>
      <c r="BQ65" s="2807">
        <f t="shared" si="646"/>
        <v>0</v>
      </c>
      <c r="BR65" s="2807">
        <f t="shared" si="646"/>
        <v>0</v>
      </c>
      <c r="BS65" s="2842">
        <f t="shared" si="646"/>
        <v>0</v>
      </c>
      <c r="BT65" s="2842">
        <f t="shared" si="646"/>
        <v>0</v>
      </c>
      <c r="BU65" s="2842">
        <f t="shared" si="646"/>
        <v>0</v>
      </c>
      <c r="BV65" s="2842">
        <f t="shared" si="646"/>
        <v>0</v>
      </c>
      <c r="BW65" s="2842">
        <f t="shared" si="646"/>
        <v>0</v>
      </c>
      <c r="BX65" s="2842">
        <f t="shared" si="646"/>
        <v>0</v>
      </c>
      <c r="BY65" s="2805">
        <f t="shared" si="551"/>
        <v>0</v>
      </c>
      <c r="BZ65" s="2805">
        <f t="shared" si="551"/>
        <v>0</v>
      </c>
      <c r="CA65" s="2805">
        <f t="shared" si="551"/>
        <v>0</v>
      </c>
      <c r="CB65" s="2818">
        <f t="shared" si="647"/>
        <v>0</v>
      </c>
      <c r="CC65" s="2818">
        <f t="shared" si="647"/>
        <v>0</v>
      </c>
      <c r="CD65" s="2818">
        <f t="shared" si="647"/>
        <v>0</v>
      </c>
      <c r="CE65" s="2818">
        <f t="shared" si="647"/>
        <v>0</v>
      </c>
      <c r="CF65" s="2818">
        <f t="shared" si="647"/>
        <v>0</v>
      </c>
      <c r="CG65" s="2818">
        <f t="shared" si="647"/>
        <v>0</v>
      </c>
      <c r="CH65" s="2818">
        <f t="shared" si="647"/>
        <v>0</v>
      </c>
      <c r="CI65" s="2818">
        <f t="shared" si="647"/>
        <v>0</v>
      </c>
      <c r="CJ65" s="2818">
        <f t="shared" si="647"/>
        <v>0</v>
      </c>
      <c r="CK65" s="2819">
        <f t="shared" si="553"/>
        <v>0</v>
      </c>
      <c r="CL65" s="2819">
        <f t="shared" si="553"/>
        <v>0</v>
      </c>
      <c r="CM65" s="2819">
        <f t="shared" si="553"/>
        <v>0</v>
      </c>
      <c r="CN65" s="2836">
        <f t="shared" si="648"/>
        <v>0</v>
      </c>
      <c r="CO65" s="2836">
        <f>SUM('ПОЛНАЯ СЕБЕСТОИМОСТЬ ВОДА 2023'!AP213)/3</f>
        <v>0</v>
      </c>
      <c r="CP65" s="2836">
        <f>SUM('ПОЛНАЯ СЕБЕСТОИМОСТЬ ВОДА 2023'!AQ213)/3</f>
        <v>0</v>
      </c>
      <c r="CQ65" s="2781">
        <f t="shared" si="649"/>
        <v>0</v>
      </c>
      <c r="CR65" s="2781">
        <f>SUM('ПОЛНАЯ СЕБЕСТОИМОСТЬ ВОДА 2023'!AS213)</f>
        <v>0</v>
      </c>
      <c r="CS65" s="2781">
        <f>SUM('ПОЛНАЯ СЕБЕСТОИМОСТЬ ВОДА 2023'!AT213)</f>
        <v>0</v>
      </c>
      <c r="CT65" s="2840">
        <f t="shared" si="688"/>
        <v>0</v>
      </c>
      <c r="CU65" s="2840">
        <v>0</v>
      </c>
      <c r="CV65" s="2840">
        <v>0</v>
      </c>
      <c r="CW65" s="2836">
        <f t="shared" ref="CW65" si="700">SUM(CX65:CY65)</f>
        <v>0</v>
      </c>
      <c r="CX65" s="2836">
        <f t="shared" si="651"/>
        <v>0</v>
      </c>
      <c r="CY65" s="2836">
        <f t="shared" si="652"/>
        <v>0</v>
      </c>
      <c r="CZ65" s="2781">
        <f t="shared" si="653"/>
        <v>0</v>
      </c>
      <c r="DA65" s="2781">
        <f>SUM('ПОЛНАЯ СЕБЕСТОИМОСТЬ ВОДА 2023'!AV213)</f>
        <v>0</v>
      </c>
      <c r="DB65" s="2781">
        <f>SUM('ПОЛНАЯ СЕБЕСТОИМОСТЬ ВОДА 2023'!AW213)</f>
        <v>0</v>
      </c>
      <c r="DC65" s="2840">
        <f t="shared" si="689"/>
        <v>0</v>
      </c>
      <c r="DD65" s="2840">
        <v>0</v>
      </c>
      <c r="DE65" s="2840">
        <v>0</v>
      </c>
      <c r="DF65" s="2836">
        <f t="shared" ref="DF65" si="701">SUM(DG65:DH65)</f>
        <v>0</v>
      </c>
      <c r="DG65" s="2836">
        <f t="shared" si="655"/>
        <v>0</v>
      </c>
      <c r="DH65" s="2836">
        <f t="shared" si="656"/>
        <v>0</v>
      </c>
      <c r="DI65" s="2781">
        <f t="shared" si="657"/>
        <v>0</v>
      </c>
      <c r="DJ65" s="2781">
        <f>SUM('ПОЛНАЯ СЕБЕСТОИМОСТЬ ВОДА 2023'!AY213)</f>
        <v>0</v>
      </c>
      <c r="DK65" s="2781">
        <f>SUM('ПОЛНАЯ СЕБЕСТОИМОСТЬ ВОДА 2023'!AZ213)</f>
        <v>0</v>
      </c>
      <c r="DL65" s="2840">
        <f t="shared" si="690"/>
        <v>0</v>
      </c>
      <c r="DM65" s="2840">
        <v>0</v>
      </c>
      <c r="DN65" s="2840">
        <v>0</v>
      </c>
      <c r="DO65" s="2807">
        <f t="shared" si="658"/>
        <v>0</v>
      </c>
      <c r="DP65" s="2807">
        <f t="shared" si="658"/>
        <v>0</v>
      </c>
      <c r="DQ65" s="2807">
        <f t="shared" si="658"/>
        <v>0</v>
      </c>
      <c r="DR65" s="2842">
        <f t="shared" si="658"/>
        <v>0</v>
      </c>
      <c r="DS65" s="2842">
        <f t="shared" si="658"/>
        <v>0</v>
      </c>
      <c r="DT65" s="2842">
        <f t="shared" si="658"/>
        <v>0</v>
      </c>
      <c r="DU65" s="2842">
        <f t="shared" si="658"/>
        <v>0</v>
      </c>
      <c r="DV65" s="2842">
        <f t="shared" si="658"/>
        <v>0</v>
      </c>
      <c r="DW65" s="2842">
        <f t="shared" si="658"/>
        <v>0</v>
      </c>
      <c r="DX65" s="2805">
        <f t="shared" si="555"/>
        <v>0</v>
      </c>
      <c r="DY65" s="2805">
        <f t="shared" si="555"/>
        <v>0</v>
      </c>
      <c r="DZ65" s="2805">
        <f t="shared" si="555"/>
        <v>0</v>
      </c>
      <c r="EA65" s="2807">
        <f t="shared" si="659"/>
        <v>0</v>
      </c>
      <c r="EB65" s="2807">
        <f t="shared" si="659"/>
        <v>0</v>
      </c>
      <c r="EC65" s="2807">
        <f t="shared" si="659"/>
        <v>0</v>
      </c>
      <c r="ED65" s="2842">
        <f t="shared" si="659"/>
        <v>0</v>
      </c>
      <c r="EE65" s="2842">
        <f t="shared" si="659"/>
        <v>0</v>
      </c>
      <c r="EF65" s="2842">
        <f t="shared" si="659"/>
        <v>0</v>
      </c>
      <c r="EG65" s="2842">
        <f t="shared" si="659"/>
        <v>0</v>
      </c>
      <c r="EH65" s="2842">
        <f t="shared" si="659"/>
        <v>0</v>
      </c>
      <c r="EI65" s="2842">
        <f t="shared" si="659"/>
        <v>0</v>
      </c>
      <c r="EJ65" s="2805">
        <f t="shared" si="557"/>
        <v>0</v>
      </c>
      <c r="EK65" s="2805">
        <f t="shared" si="557"/>
        <v>0</v>
      </c>
      <c r="EL65" s="2805">
        <f t="shared" si="557"/>
        <v>0</v>
      </c>
      <c r="EM65" s="2836">
        <f t="shared" si="660"/>
        <v>0</v>
      </c>
      <c r="EN65" s="2836">
        <f>SUM('ПОЛНАЯ СЕБЕСТОИМОСТЬ ВОДА 2023'!BN213)/3</f>
        <v>0</v>
      </c>
      <c r="EO65" s="2836">
        <f>SUM('ПОЛНАЯ СЕБЕСТОИМОСТЬ ВОДА 2023'!BO213)/3</f>
        <v>0</v>
      </c>
      <c r="EP65" s="2781">
        <f t="shared" si="661"/>
        <v>0</v>
      </c>
      <c r="EQ65" s="2781">
        <f>SUM('ПОЛНАЯ СЕБЕСТОИМОСТЬ ВОДА 2023'!BQ213)</f>
        <v>0</v>
      </c>
      <c r="ER65" s="2781">
        <f>SUM('ПОЛНАЯ СЕБЕСТОИМОСТЬ ВОДА 2023'!BR213)</f>
        <v>0</v>
      </c>
      <c r="ES65" s="2840">
        <f t="shared" si="691"/>
        <v>0</v>
      </c>
      <c r="ET65" s="2840">
        <v>0</v>
      </c>
      <c r="EU65" s="2840">
        <v>0</v>
      </c>
      <c r="EV65" s="2836">
        <f t="shared" ref="EV65" si="702">SUM(EW65:EX65)</f>
        <v>0</v>
      </c>
      <c r="EW65" s="2836">
        <f t="shared" si="663"/>
        <v>0</v>
      </c>
      <c r="EX65" s="2836">
        <f t="shared" si="664"/>
        <v>0</v>
      </c>
      <c r="EY65" s="2781">
        <f t="shared" si="665"/>
        <v>0</v>
      </c>
      <c r="EZ65" s="2781">
        <f>SUM('ПОЛНАЯ СЕБЕСТОИМОСТЬ ВОДА 2023'!BT213)</f>
        <v>0</v>
      </c>
      <c r="FA65" s="2781">
        <f>SUM('ПОЛНАЯ СЕБЕСТОИМОСТЬ ВОДА 2023'!BU213)</f>
        <v>0</v>
      </c>
      <c r="FB65" s="2840">
        <f t="shared" si="692"/>
        <v>0</v>
      </c>
      <c r="FC65" s="2840">
        <v>0</v>
      </c>
      <c r="FD65" s="2840">
        <v>0</v>
      </c>
      <c r="FE65" s="2836">
        <f t="shared" ref="FE65" si="703">SUM(FF65:FG65)</f>
        <v>0</v>
      </c>
      <c r="FF65" s="2836">
        <f t="shared" si="667"/>
        <v>0</v>
      </c>
      <c r="FG65" s="2836">
        <f t="shared" si="668"/>
        <v>0</v>
      </c>
      <c r="FH65" s="2781">
        <f t="shared" si="613"/>
        <v>0</v>
      </c>
      <c r="FI65" s="2781">
        <f>SUM('ПОЛНАЯ СЕБЕСТОИМОСТЬ ВОДА 2023'!BW213)</f>
        <v>0</v>
      </c>
      <c r="FJ65" s="2781">
        <f>SUM('ПОЛНАЯ СЕБЕСТОИМОСТЬ ВОДА 2023'!BX213)</f>
        <v>0</v>
      </c>
      <c r="FK65" s="2840">
        <f t="shared" si="693"/>
        <v>0</v>
      </c>
      <c r="FL65" s="2840">
        <v>0</v>
      </c>
      <c r="FM65" s="2840">
        <v>0</v>
      </c>
      <c r="FN65" s="2807">
        <f t="shared" si="669"/>
        <v>0</v>
      </c>
      <c r="FO65" s="2807">
        <f t="shared" si="669"/>
        <v>0</v>
      </c>
      <c r="FP65" s="2807">
        <f t="shared" si="669"/>
        <v>0</v>
      </c>
      <c r="FQ65" s="2818">
        <f t="shared" si="669"/>
        <v>0</v>
      </c>
      <c r="FR65" s="2818">
        <f t="shared" si="669"/>
        <v>0</v>
      </c>
      <c r="FS65" s="2818">
        <f t="shared" si="669"/>
        <v>0</v>
      </c>
      <c r="FT65" s="2818">
        <f t="shared" si="669"/>
        <v>0</v>
      </c>
      <c r="FU65" s="2818">
        <f t="shared" si="669"/>
        <v>0</v>
      </c>
      <c r="FV65" s="2818">
        <f t="shared" si="669"/>
        <v>0</v>
      </c>
      <c r="FW65" s="2819">
        <f t="shared" si="559"/>
        <v>0</v>
      </c>
      <c r="FX65" s="2819">
        <f t="shared" si="559"/>
        <v>0</v>
      </c>
      <c r="FY65" s="2819">
        <f t="shared" si="559"/>
        <v>0</v>
      </c>
      <c r="FZ65" s="2807">
        <f t="shared" si="670"/>
        <v>0</v>
      </c>
      <c r="GA65" s="2807">
        <f t="shared" si="670"/>
        <v>0</v>
      </c>
      <c r="GB65" s="2807">
        <f t="shared" si="670"/>
        <v>0</v>
      </c>
      <c r="GC65" s="2818">
        <f t="shared" si="670"/>
        <v>0</v>
      </c>
      <c r="GD65" s="2818">
        <f t="shared" si="670"/>
        <v>0</v>
      </c>
      <c r="GE65" s="2818">
        <f t="shared" si="670"/>
        <v>0</v>
      </c>
      <c r="GF65" s="2818">
        <f t="shared" si="670"/>
        <v>0</v>
      </c>
      <c r="GG65" s="2818">
        <f t="shared" si="670"/>
        <v>0</v>
      </c>
      <c r="GH65" s="2818">
        <f t="shared" si="670"/>
        <v>0</v>
      </c>
      <c r="GI65" s="2819">
        <f t="shared" si="561"/>
        <v>0</v>
      </c>
      <c r="GJ65" s="2819">
        <f t="shared" si="561"/>
        <v>0</v>
      </c>
      <c r="GK65" s="2819">
        <f t="shared" si="561"/>
        <v>0</v>
      </c>
      <c r="GL65" s="389"/>
      <c r="GM65" s="3578">
        <f t="shared" si="562"/>
        <v>0</v>
      </c>
    </row>
    <row r="66" spans="1:195" ht="18.75" x14ac:dyDescent="0.3">
      <c r="A66" s="2831" t="s">
        <v>3721</v>
      </c>
      <c r="B66" s="2832">
        <f t="shared" si="625"/>
        <v>1525.6346298511214</v>
      </c>
      <c r="C66" s="2832">
        <f>SUM('ПОЛНАЯ СЕБЕСТОИМОСТЬ ВОДА 2023'!C214)/3</f>
        <v>1525.4818798511214</v>
      </c>
      <c r="D66" s="2832">
        <f>SUM('ПОЛНАЯ СЕБЕСТОИМОСТЬ ВОДА 2023'!D214)/3</f>
        <v>0.15275</v>
      </c>
      <c r="E66" s="2775">
        <f t="shared" si="626"/>
        <v>1864.71</v>
      </c>
      <c r="F66" s="2775">
        <f>SUM('ПОЛНАЯ СЕБЕСТОИМОСТЬ ВОДА 2023'!F214)</f>
        <v>1864.71</v>
      </c>
      <c r="G66" s="2775">
        <f>SUM('ПОЛНАЯ СЕБЕСТОИМОСТЬ ВОДА 2023'!G214)</f>
        <v>0</v>
      </c>
      <c r="H66" s="2837">
        <f>SUM(H67:H72)</f>
        <v>1300.57897</v>
      </c>
      <c r="I66" s="2837">
        <v>1300.2842000000001</v>
      </c>
      <c r="J66" s="2837">
        <v>0.29477000000000003</v>
      </c>
      <c r="K66" s="2832">
        <f t="shared" si="627"/>
        <v>1525.6346298511214</v>
      </c>
      <c r="L66" s="2832">
        <f t="shared" si="628"/>
        <v>1525.4818798511214</v>
      </c>
      <c r="M66" s="2832">
        <f t="shared" si="629"/>
        <v>0.15275</v>
      </c>
      <c r="N66" s="2775">
        <f t="shared" si="630"/>
        <v>1773.1443099999997</v>
      </c>
      <c r="O66" s="2775">
        <f>SUM('ПОЛНАЯ СЕБЕСТОИМОСТЬ ВОДА 2023'!I214)</f>
        <v>1773.1443099999997</v>
      </c>
      <c r="P66" s="2775">
        <f>SUM('ПОЛНАЯ СЕБЕСТОИМОСТЬ ВОДА 2023'!J214)</f>
        <v>0</v>
      </c>
      <c r="Q66" s="2837">
        <f>SUM(Q67:Q72)</f>
        <v>1284.4613000000002</v>
      </c>
      <c r="R66" s="2837">
        <v>1284.232</v>
      </c>
      <c r="S66" s="2837">
        <v>0.2293</v>
      </c>
      <c r="T66" s="2832">
        <f t="shared" si="631"/>
        <v>1525.6346298511214</v>
      </c>
      <c r="U66" s="2832">
        <f t="shared" si="632"/>
        <v>1525.4818798511214</v>
      </c>
      <c r="V66" s="2832">
        <f t="shared" si="633"/>
        <v>0.15275</v>
      </c>
      <c r="W66" s="2775">
        <f t="shared" si="634"/>
        <v>2045.2842400000002</v>
      </c>
      <c r="X66" s="2775">
        <f>SUM('ПОЛНАЯ СЕБЕСТОИМОСТЬ ВОДА 2023'!L214)</f>
        <v>2045.1491900000001</v>
      </c>
      <c r="Y66" s="2775">
        <f>SUM('ПОЛНАЯ СЕБЕСТОИМОСТЬ ВОДА 2023'!M214)</f>
        <v>0.13505</v>
      </c>
      <c r="Z66" s="2837">
        <f>SUM(Z67:Z72)</f>
        <v>1814.2871800000003</v>
      </c>
      <c r="AA66" s="2837">
        <v>1813.8319999999999</v>
      </c>
      <c r="AB66" s="2837">
        <v>0.45517999999999997</v>
      </c>
      <c r="AC66" s="2802">
        <f t="shared" si="635"/>
        <v>4576.903889553364</v>
      </c>
      <c r="AD66" s="2802">
        <f t="shared" si="635"/>
        <v>4576.4456395533643</v>
      </c>
      <c r="AE66" s="2802">
        <f t="shared" si="635"/>
        <v>0.45824999999999999</v>
      </c>
      <c r="AF66" s="2812">
        <f t="shared" si="635"/>
        <v>5683.1385499999997</v>
      </c>
      <c r="AG66" s="2812">
        <f t="shared" si="635"/>
        <v>5683.0034999999998</v>
      </c>
      <c r="AH66" s="2812">
        <f t="shared" si="635"/>
        <v>0.13505</v>
      </c>
      <c r="AI66" s="2812">
        <f t="shared" si="635"/>
        <v>4399.3274500000007</v>
      </c>
      <c r="AJ66" s="2812">
        <f t="shared" si="635"/>
        <v>4398.3482000000004</v>
      </c>
      <c r="AK66" s="2812">
        <f t="shared" si="635"/>
        <v>0.97924999999999995</v>
      </c>
      <c r="AL66" s="2813">
        <f t="shared" si="694"/>
        <v>1106.2346604466356</v>
      </c>
      <c r="AM66" s="2813">
        <f t="shared" si="694"/>
        <v>1106.5578604466355</v>
      </c>
      <c r="AN66" s="2813">
        <f t="shared" si="694"/>
        <v>-0.32319999999999999</v>
      </c>
      <c r="AO66" s="2832">
        <f t="shared" si="636"/>
        <v>1525.6346298511214</v>
      </c>
      <c r="AP66" s="2832">
        <f>SUM('ПОЛНАЯ СЕБЕСТОИМОСТЬ ВОДА 2023'!R214)/3</f>
        <v>1525.4818798511214</v>
      </c>
      <c r="AQ66" s="2832">
        <f>SUM('ПОЛНАЯ СЕБЕСТОИМОСТЬ ВОДА 2023'!S214)/3</f>
        <v>0.15275</v>
      </c>
      <c r="AR66" s="2832">
        <f t="shared" si="637"/>
        <v>2621.6891199999995</v>
      </c>
      <c r="AS66" s="2832">
        <f>SUM('ПОЛНАЯ СЕБЕСТОИМОСТЬ ВОДА 2023'!U214)</f>
        <v>2620.7135999999996</v>
      </c>
      <c r="AT66" s="2832">
        <f>SUM('ПОЛНАЯ СЕБЕСТОИМОСТЬ ВОДА 2023'!V214)</f>
        <v>0.97551999999999994</v>
      </c>
      <c r="AU66" s="2837">
        <f>SUM(AU67:AU72)</f>
        <v>1482.9999</v>
      </c>
      <c r="AV66" s="2837">
        <v>1482.5529999999999</v>
      </c>
      <c r="AW66" s="2837">
        <v>0.44690000000000002</v>
      </c>
      <c r="AX66" s="2832">
        <f t="shared" si="638"/>
        <v>1525.6346298511214</v>
      </c>
      <c r="AY66" s="2832">
        <f t="shared" si="639"/>
        <v>1525.4818798511214</v>
      </c>
      <c r="AZ66" s="2832">
        <f t="shared" si="640"/>
        <v>0.15275</v>
      </c>
      <c r="BA66" s="2832">
        <f t="shared" si="641"/>
        <v>1916.5755900000001</v>
      </c>
      <c r="BB66" s="2832">
        <f>SUM('ПОЛНАЯ СЕБЕСТОИМОСТЬ ВОДА 2023'!X214)</f>
        <v>1915.5940000000001</v>
      </c>
      <c r="BC66" s="2832">
        <f>SUM('ПОЛНАЯ СЕБЕСТОИМОСТЬ ВОДА 2023'!Y214)</f>
        <v>0.98158999999999996</v>
      </c>
      <c r="BD66" s="2837">
        <f>SUM(BD67:BD72)</f>
        <v>1530.0209000000004</v>
      </c>
      <c r="BE66" s="2837">
        <v>1529.75612</v>
      </c>
      <c r="BF66" s="2837">
        <v>0.26477999999999996</v>
      </c>
      <c r="BG66" s="2832">
        <f t="shared" si="642"/>
        <v>1525.6346298511214</v>
      </c>
      <c r="BH66" s="2832">
        <f t="shared" si="643"/>
        <v>1525.4818798511214</v>
      </c>
      <c r="BI66" s="2832">
        <f t="shared" si="644"/>
        <v>0.15275</v>
      </c>
      <c r="BJ66" s="2775">
        <f t="shared" si="645"/>
        <v>1973.8599300000003</v>
      </c>
      <c r="BK66" s="2775">
        <f>SUM('ПОЛНАЯ СЕБЕСТОИМОСТЬ ВОДА 2023'!AA214)</f>
        <v>1973.1294000000003</v>
      </c>
      <c r="BL66" s="2775">
        <f>SUM('ПОЛНАЯ СЕБЕСТОИМОСТЬ ВОДА 2023'!AB214)</f>
        <v>0.73053000000000001</v>
      </c>
      <c r="BM66" s="2837">
        <f>SUM(BM67:BM72)</f>
        <v>1391.6384900000003</v>
      </c>
      <c r="BN66" s="2837">
        <v>1391.2669599999999</v>
      </c>
      <c r="BO66" s="2837">
        <v>0.37153000000000003</v>
      </c>
      <c r="BP66" s="2802">
        <f t="shared" si="646"/>
        <v>4576.903889553364</v>
      </c>
      <c r="BQ66" s="2802">
        <f t="shared" si="646"/>
        <v>4576.4456395533643</v>
      </c>
      <c r="BR66" s="2802">
        <f t="shared" si="646"/>
        <v>0.45824999999999999</v>
      </c>
      <c r="BS66" s="2838">
        <f t="shared" si="646"/>
        <v>6512.12464</v>
      </c>
      <c r="BT66" s="2838">
        <f t="shared" si="646"/>
        <v>6509.4369999999999</v>
      </c>
      <c r="BU66" s="2838">
        <f t="shared" si="646"/>
        <v>2.68764</v>
      </c>
      <c r="BV66" s="2838">
        <f t="shared" si="646"/>
        <v>4404.6592900000005</v>
      </c>
      <c r="BW66" s="2838">
        <f t="shared" si="646"/>
        <v>4403.5760799999998</v>
      </c>
      <c r="BX66" s="2838">
        <f t="shared" si="646"/>
        <v>1.08321</v>
      </c>
      <c r="BY66" s="2839">
        <f t="shared" si="551"/>
        <v>1935.220750446636</v>
      </c>
      <c r="BZ66" s="2839">
        <f t="shared" si="551"/>
        <v>1932.9913604466356</v>
      </c>
      <c r="CA66" s="2839">
        <f t="shared" si="551"/>
        <v>2.22939</v>
      </c>
      <c r="CB66" s="2812">
        <f t="shared" si="647"/>
        <v>9153.807779106728</v>
      </c>
      <c r="CC66" s="2812">
        <f t="shared" si="647"/>
        <v>9152.8912791067287</v>
      </c>
      <c r="CD66" s="2812">
        <f t="shared" si="647"/>
        <v>0.91649999999999998</v>
      </c>
      <c r="CE66" s="2812">
        <f t="shared" si="647"/>
        <v>12195.26319</v>
      </c>
      <c r="CF66" s="2812">
        <f t="shared" si="647"/>
        <v>12192.440500000001</v>
      </c>
      <c r="CG66" s="2812">
        <f t="shared" si="647"/>
        <v>2.8226900000000001</v>
      </c>
      <c r="CH66" s="2812">
        <f t="shared" si="647"/>
        <v>8803.9867400000003</v>
      </c>
      <c r="CI66" s="2812">
        <f t="shared" si="647"/>
        <v>8801.9242799999993</v>
      </c>
      <c r="CJ66" s="2812">
        <f t="shared" si="647"/>
        <v>2.0624599999999997</v>
      </c>
      <c r="CK66" s="2813">
        <f t="shared" si="553"/>
        <v>3041.4554108932716</v>
      </c>
      <c r="CL66" s="2813">
        <f t="shared" si="553"/>
        <v>3039.5492208932719</v>
      </c>
      <c r="CM66" s="2813">
        <f t="shared" si="553"/>
        <v>1.9061900000000001</v>
      </c>
      <c r="CN66" s="2832">
        <f t="shared" si="648"/>
        <v>1525.6346298511214</v>
      </c>
      <c r="CO66" s="2832">
        <f>SUM('ПОЛНАЯ СЕБЕСТОИМОСТЬ ВОДА 2023'!AP214)/3</f>
        <v>1525.4818798511214</v>
      </c>
      <c r="CP66" s="2832">
        <f>SUM('ПОЛНАЯ СЕБЕСТОИМОСТЬ ВОДА 2023'!AQ214)/3</f>
        <v>0.15275</v>
      </c>
      <c r="CQ66" s="2775">
        <f t="shared" si="649"/>
        <v>1701.0038500000001</v>
      </c>
      <c r="CR66" s="2775">
        <f>SUM('ПОЛНАЯ СЕБЕСТОИМОСТЬ ВОДА 2023'!AS214)</f>
        <v>1700.48901</v>
      </c>
      <c r="CS66" s="2775">
        <f>SUM('ПОЛНАЯ СЕБЕСТОИМОСТЬ ВОДА 2023'!AT214)</f>
        <v>0.51483999999999996</v>
      </c>
      <c r="CT66" s="2837">
        <f>SUM(CT67:CT72)</f>
        <v>1173.79603</v>
      </c>
      <c r="CU66" s="2837">
        <v>1173.4730000000002</v>
      </c>
      <c r="CV66" s="2837">
        <v>0.32302999999999998</v>
      </c>
      <c r="CW66" s="2832">
        <f t="shared" si="650"/>
        <v>1525.6346298511214</v>
      </c>
      <c r="CX66" s="2832">
        <f t="shared" si="651"/>
        <v>1525.4818798511214</v>
      </c>
      <c r="CY66" s="2832">
        <f t="shared" si="652"/>
        <v>0.15275</v>
      </c>
      <c r="CZ66" s="2775">
        <f t="shared" si="653"/>
        <v>0</v>
      </c>
      <c r="DA66" s="2775">
        <f>SUM('ПОЛНАЯ СЕБЕСТОИМОСТЬ ВОДА 2023'!AV214)</f>
        <v>0</v>
      </c>
      <c r="DB66" s="2775">
        <f>SUM('ПОЛНАЯ СЕБЕСТОИМОСТЬ ВОДА 2023'!AW214)</f>
        <v>0</v>
      </c>
      <c r="DC66" s="2837">
        <f>SUM(DC67:DC72)</f>
        <v>1556.8909699999999</v>
      </c>
      <c r="DD66" s="2837">
        <v>1556.7339999999999</v>
      </c>
      <c r="DE66" s="2837">
        <v>0.15697</v>
      </c>
      <c r="DF66" s="2832">
        <f t="shared" si="654"/>
        <v>1525.6346298511214</v>
      </c>
      <c r="DG66" s="2832">
        <f t="shared" si="655"/>
        <v>1525.4818798511214</v>
      </c>
      <c r="DH66" s="2832">
        <f t="shared" si="656"/>
        <v>0.15275</v>
      </c>
      <c r="DI66" s="2775">
        <f t="shared" si="657"/>
        <v>0</v>
      </c>
      <c r="DJ66" s="2775">
        <f>SUM('ПОЛНАЯ СЕБЕСТОИМОСТЬ ВОДА 2023'!AY214)</f>
        <v>0</v>
      </c>
      <c r="DK66" s="2775">
        <f>SUM('ПОЛНАЯ СЕБЕСТОИМОСТЬ ВОДА 2023'!AZ214)</f>
        <v>0</v>
      </c>
      <c r="DL66" s="2837">
        <f>SUM(DL67:DL72)</f>
        <v>1862.6691100000003</v>
      </c>
      <c r="DM66" s="2837">
        <v>1862.3485000000001</v>
      </c>
      <c r="DN66" s="2837">
        <v>0.32061000000000001</v>
      </c>
      <c r="DO66" s="2802">
        <f t="shared" si="658"/>
        <v>4576.903889553364</v>
      </c>
      <c r="DP66" s="2802">
        <f t="shared" si="658"/>
        <v>4576.4456395533643</v>
      </c>
      <c r="DQ66" s="2802">
        <f t="shared" si="658"/>
        <v>0.45824999999999999</v>
      </c>
      <c r="DR66" s="2838">
        <f t="shared" si="658"/>
        <v>1701.0038500000001</v>
      </c>
      <c r="DS66" s="2838">
        <f t="shared" si="658"/>
        <v>1700.48901</v>
      </c>
      <c r="DT66" s="2838">
        <f t="shared" si="658"/>
        <v>0.51483999999999996</v>
      </c>
      <c r="DU66" s="2838">
        <f t="shared" si="658"/>
        <v>4593.3561100000006</v>
      </c>
      <c r="DV66" s="2838">
        <f t="shared" si="658"/>
        <v>4592.5555000000004</v>
      </c>
      <c r="DW66" s="2838">
        <f t="shared" si="658"/>
        <v>0.80061000000000004</v>
      </c>
      <c r="DX66" s="2839">
        <f t="shared" si="555"/>
        <v>-2875.900039553364</v>
      </c>
      <c r="DY66" s="2839">
        <f t="shared" si="555"/>
        <v>-2875.9566295533641</v>
      </c>
      <c r="DZ66" s="2839">
        <f t="shared" si="555"/>
        <v>5.6589999999999974E-2</v>
      </c>
      <c r="EA66" s="2802">
        <f t="shared" si="659"/>
        <v>13730.711668660093</v>
      </c>
      <c r="EB66" s="2802">
        <f t="shared" si="659"/>
        <v>13729.336918660094</v>
      </c>
      <c r="EC66" s="2802">
        <f t="shared" si="659"/>
        <v>1.3747499999999999</v>
      </c>
      <c r="ED66" s="2838">
        <f t="shared" si="659"/>
        <v>13896.267039999999</v>
      </c>
      <c r="EE66" s="2838">
        <f t="shared" si="659"/>
        <v>13892.92951</v>
      </c>
      <c r="EF66" s="2838">
        <f t="shared" si="659"/>
        <v>3.3375300000000001</v>
      </c>
      <c r="EG66" s="2838">
        <f t="shared" si="659"/>
        <v>13397.342850000001</v>
      </c>
      <c r="EH66" s="2838">
        <f t="shared" si="659"/>
        <v>13394.47978</v>
      </c>
      <c r="EI66" s="2838">
        <f t="shared" si="659"/>
        <v>2.8630699999999996</v>
      </c>
      <c r="EJ66" s="2839">
        <f t="shared" si="557"/>
        <v>165.55537133990583</v>
      </c>
      <c r="EK66" s="2839">
        <f t="shared" si="557"/>
        <v>163.59259133990599</v>
      </c>
      <c r="EL66" s="2839">
        <f t="shared" si="557"/>
        <v>1.9627800000000002</v>
      </c>
      <c r="EM66" s="2832">
        <f t="shared" si="660"/>
        <v>1525.6346298511214</v>
      </c>
      <c r="EN66" s="2832">
        <f>SUM('ПОЛНАЯ СЕБЕСТОИМОСТЬ ВОДА 2023'!BN214)/3</f>
        <v>1525.4818798511214</v>
      </c>
      <c r="EO66" s="2832">
        <f>SUM('ПОЛНАЯ СЕБЕСТОИМОСТЬ ВОДА 2023'!BO214)/3</f>
        <v>0.15275</v>
      </c>
      <c r="EP66" s="2775">
        <f t="shared" si="661"/>
        <v>0</v>
      </c>
      <c r="EQ66" s="2775">
        <f>SUM('ПОЛНАЯ СЕБЕСТОИМОСТЬ ВОДА 2023'!BQ214)</f>
        <v>0</v>
      </c>
      <c r="ER66" s="2775">
        <f>SUM('ПОЛНАЯ СЕБЕСТОИМОСТЬ ВОДА 2023'!BR214)</f>
        <v>0</v>
      </c>
      <c r="ES66" s="2837">
        <f>SUM(ES67:ES72)</f>
        <v>2012.3380000000002</v>
      </c>
      <c r="ET66" s="2837">
        <v>2012.3380000000002</v>
      </c>
      <c r="EU66" s="2837">
        <v>0</v>
      </c>
      <c r="EV66" s="2832">
        <f t="shared" si="662"/>
        <v>1525.6346298511214</v>
      </c>
      <c r="EW66" s="2832">
        <f t="shared" si="663"/>
        <v>1525.4818798511214</v>
      </c>
      <c r="EX66" s="2832">
        <f t="shared" si="664"/>
        <v>0.15275</v>
      </c>
      <c r="EY66" s="2775">
        <f t="shared" si="665"/>
        <v>0</v>
      </c>
      <c r="EZ66" s="2775">
        <f>SUM('ПОЛНАЯ СЕБЕСТОИМОСТЬ ВОДА 2023'!BT214)</f>
        <v>0</v>
      </c>
      <c r="FA66" s="2775">
        <f>SUM('ПОЛНАЯ СЕБЕСТОИМОСТЬ ВОДА 2023'!BU214)</f>
        <v>0</v>
      </c>
      <c r="FB66" s="2837">
        <f>SUM(FB67:FB72)</f>
        <v>1805.0195199999998</v>
      </c>
      <c r="FC66" s="2837">
        <v>1805.0195199999998</v>
      </c>
      <c r="FD66" s="2837">
        <v>0</v>
      </c>
      <c r="FE66" s="2832">
        <f t="shared" si="666"/>
        <v>1525.6346298511214</v>
      </c>
      <c r="FF66" s="2832">
        <f t="shared" si="667"/>
        <v>1525.4818798511214</v>
      </c>
      <c r="FG66" s="2832">
        <f t="shared" si="668"/>
        <v>0.15275</v>
      </c>
      <c r="FH66" s="2775">
        <f t="shared" si="613"/>
        <v>0</v>
      </c>
      <c r="FI66" s="2775">
        <f>SUM('ПОЛНАЯ СЕБЕСТОИМОСТЬ ВОДА 2023'!BW214)</f>
        <v>0</v>
      </c>
      <c r="FJ66" s="2775">
        <f>SUM('ПОЛНАЯ СЕБЕСТОИМОСТЬ ВОДА 2023'!BX214)</f>
        <v>0</v>
      </c>
      <c r="FK66" s="2837">
        <f>SUM(FK67:FK72)</f>
        <v>1745.0219999999999</v>
      </c>
      <c r="FL66" s="2837">
        <v>1745.0219999999999</v>
      </c>
      <c r="FM66" s="2837">
        <v>0</v>
      </c>
      <c r="FN66" s="2802">
        <f t="shared" si="669"/>
        <v>4576.903889553364</v>
      </c>
      <c r="FO66" s="2802">
        <f t="shared" si="669"/>
        <v>4576.4456395533643</v>
      </c>
      <c r="FP66" s="2802">
        <f t="shared" si="669"/>
        <v>0.45824999999999999</v>
      </c>
      <c r="FQ66" s="2812">
        <f t="shared" si="669"/>
        <v>0</v>
      </c>
      <c r="FR66" s="2812">
        <f t="shared" si="669"/>
        <v>0</v>
      </c>
      <c r="FS66" s="2812">
        <f t="shared" si="669"/>
        <v>0</v>
      </c>
      <c r="FT66" s="2812">
        <f t="shared" si="669"/>
        <v>5562.3795200000004</v>
      </c>
      <c r="FU66" s="2812">
        <f t="shared" si="669"/>
        <v>5562.3795200000004</v>
      </c>
      <c r="FV66" s="2812">
        <f t="shared" si="669"/>
        <v>0</v>
      </c>
      <c r="FW66" s="2813">
        <f t="shared" si="559"/>
        <v>-4576.903889553364</v>
      </c>
      <c r="FX66" s="2813">
        <f t="shared" si="559"/>
        <v>-4576.4456395533643</v>
      </c>
      <c r="FY66" s="2813">
        <f t="shared" si="559"/>
        <v>-0.45824999999999999</v>
      </c>
      <c r="FZ66" s="2802">
        <f t="shared" si="670"/>
        <v>18307.615558213456</v>
      </c>
      <c r="GA66" s="2802">
        <f t="shared" si="670"/>
        <v>18305.782558213457</v>
      </c>
      <c r="GB66" s="2802">
        <f t="shared" si="670"/>
        <v>1.833</v>
      </c>
      <c r="GC66" s="2812">
        <f t="shared" si="670"/>
        <v>13896.267039999999</v>
      </c>
      <c r="GD66" s="2812">
        <f t="shared" si="670"/>
        <v>13892.92951</v>
      </c>
      <c r="GE66" s="2812">
        <f t="shared" si="670"/>
        <v>3.3375300000000001</v>
      </c>
      <c r="GF66" s="2812">
        <f t="shared" si="670"/>
        <v>18959.722370000003</v>
      </c>
      <c r="GG66" s="2812">
        <f t="shared" si="670"/>
        <v>18956.8593</v>
      </c>
      <c r="GH66" s="2812">
        <f t="shared" si="670"/>
        <v>2.8630699999999996</v>
      </c>
      <c r="GI66" s="2813">
        <f t="shared" si="561"/>
        <v>-4411.3485182134573</v>
      </c>
      <c r="GJ66" s="2813">
        <f t="shared" si="561"/>
        <v>-4412.8530482134574</v>
      </c>
      <c r="GK66" s="2813">
        <f t="shared" si="561"/>
        <v>1.5045300000000001</v>
      </c>
      <c r="GL66" s="389"/>
      <c r="GM66" s="3578">
        <f t="shared" si="562"/>
        <v>18307.615558213456</v>
      </c>
    </row>
    <row r="67" spans="1:195" ht="18.75" x14ac:dyDescent="0.3">
      <c r="A67" s="2784" t="s">
        <v>3707</v>
      </c>
      <c r="B67" s="2836">
        <f t="shared" si="625"/>
        <v>1026.8727508421123</v>
      </c>
      <c r="C67" s="2836">
        <f>SUM('ПОЛНАЯ СЕБЕСТОИМОСТЬ ВОДА 2023'!C215)/3</f>
        <v>1026.7635841754457</v>
      </c>
      <c r="D67" s="2836">
        <f>SUM('ПОЛНАЯ СЕБЕСТОИМОСТЬ ВОДА 2023'!D215)/3</f>
        <v>0.10916666666666668</v>
      </c>
      <c r="E67" s="2781">
        <f t="shared" si="626"/>
        <v>1094.423</v>
      </c>
      <c r="F67" s="2781">
        <f>SUM('ПОЛНАЯ СЕБЕСТОИМОСТЬ ВОДА 2023'!F215)</f>
        <v>1094.423</v>
      </c>
      <c r="G67" s="2781">
        <f>SUM('ПОЛНАЯ СЕБЕСТОИМОСТЬ ВОДА 2023'!G215)</f>
        <v>0</v>
      </c>
      <c r="H67" s="2840">
        <f t="shared" si="671"/>
        <v>865.73300000000006</v>
      </c>
      <c r="I67" s="2840">
        <v>865.53700000000003</v>
      </c>
      <c r="J67" s="2840">
        <v>0.19600000000000001</v>
      </c>
      <c r="K67" s="2836">
        <f t="shared" si="627"/>
        <v>1026.8727508421123</v>
      </c>
      <c r="L67" s="2836">
        <f t="shared" si="628"/>
        <v>1026.7635841754457</v>
      </c>
      <c r="M67" s="2836">
        <f t="shared" si="629"/>
        <v>0.10916666666666668</v>
      </c>
      <c r="N67" s="2781">
        <f t="shared" si="630"/>
        <v>1075.7574099999999</v>
      </c>
      <c r="O67" s="2781">
        <f>SUM('ПОЛНАЯ СЕБЕСТОИМОСТЬ ВОДА 2023'!I215)</f>
        <v>1075.7574099999999</v>
      </c>
      <c r="P67" s="2781">
        <f>SUM('ПОЛНАЯ СЕБЕСТОИМОСТЬ ВОДА 2023'!J215)</f>
        <v>0</v>
      </c>
      <c r="Q67" s="2840">
        <f t="shared" ref="Q67:Q74" si="704">SUM(R67:S67)</f>
        <v>815.077</v>
      </c>
      <c r="R67" s="2840">
        <v>814.93200000000002</v>
      </c>
      <c r="S67" s="2840">
        <v>0.14499999999999999</v>
      </c>
      <c r="T67" s="2836">
        <f t="shared" si="631"/>
        <v>1026.8727508421123</v>
      </c>
      <c r="U67" s="2836">
        <f t="shared" si="632"/>
        <v>1026.7635841754457</v>
      </c>
      <c r="V67" s="2836">
        <f t="shared" si="633"/>
        <v>0.10916666666666668</v>
      </c>
      <c r="W67" s="2781">
        <f t="shared" si="634"/>
        <v>1200.47129</v>
      </c>
      <c r="X67" s="2781">
        <f>SUM('ПОЛНАЯ СЕБЕСТОИМОСТЬ ВОДА 2023'!L215)</f>
        <v>1200.3920000000001</v>
      </c>
      <c r="Y67" s="2781">
        <f>SUM('ПОЛНАЯ СЕБЕСТОИМОСТЬ ВОДА 2023'!M215)</f>
        <v>7.9289999999999999E-2</v>
      </c>
      <c r="Z67" s="2840">
        <f t="shared" ref="Z67:Z74" si="705">SUM(AA67:AB67)</f>
        <v>1117.3552300000001</v>
      </c>
      <c r="AA67" s="2840">
        <v>1117.076</v>
      </c>
      <c r="AB67" s="2840">
        <v>0.27922999999999998</v>
      </c>
      <c r="AC67" s="2807">
        <f t="shared" si="635"/>
        <v>3080.6182525263366</v>
      </c>
      <c r="AD67" s="2807">
        <f t="shared" si="635"/>
        <v>3080.2907525263372</v>
      </c>
      <c r="AE67" s="2807">
        <f t="shared" si="635"/>
        <v>0.32750000000000001</v>
      </c>
      <c r="AF67" s="2818">
        <f t="shared" si="635"/>
        <v>3370.6516999999999</v>
      </c>
      <c r="AG67" s="2818">
        <f t="shared" si="635"/>
        <v>3370.5724099999998</v>
      </c>
      <c r="AH67" s="2818">
        <f t="shared" si="635"/>
        <v>7.9289999999999999E-2</v>
      </c>
      <c r="AI67" s="2818">
        <f t="shared" si="635"/>
        <v>2798.1652300000001</v>
      </c>
      <c r="AJ67" s="2818">
        <f t="shared" si="635"/>
        <v>2797.5450000000001</v>
      </c>
      <c r="AK67" s="2818">
        <f t="shared" si="635"/>
        <v>0.62022999999999995</v>
      </c>
      <c r="AL67" s="2819">
        <f t="shared" si="694"/>
        <v>290.03344747366327</v>
      </c>
      <c r="AM67" s="2819">
        <f t="shared" si="694"/>
        <v>290.28165747366256</v>
      </c>
      <c r="AN67" s="2819">
        <f t="shared" si="694"/>
        <v>-0.24821000000000001</v>
      </c>
      <c r="AO67" s="2836">
        <f t="shared" si="636"/>
        <v>1026.8727508421123</v>
      </c>
      <c r="AP67" s="2836">
        <f>SUM('ПОЛНАЯ СЕБЕСТОИМОСТЬ ВОДА 2023'!R215)/3</f>
        <v>1026.7635841754457</v>
      </c>
      <c r="AQ67" s="2836">
        <f>SUM('ПОЛНАЯ СЕБЕСТОИМОСТЬ ВОДА 2023'!S215)/3</f>
        <v>0.10916666666666668</v>
      </c>
      <c r="AR67" s="2836">
        <f t="shared" si="637"/>
        <v>1659.1474899999998</v>
      </c>
      <c r="AS67" s="2836">
        <f>SUM('ПОЛНАЯ СЕБЕСТОИМОСТЬ ВОДА 2023'!U215)</f>
        <v>1658.5301199999999</v>
      </c>
      <c r="AT67" s="2836">
        <f>SUM('ПОЛНАЯ СЕБЕСТОИМОСТЬ ВОДА 2023'!V215)</f>
        <v>0.61736999999999997</v>
      </c>
      <c r="AU67" s="2840">
        <f t="shared" ref="AU67:AU74" si="706">SUM(AV67:AW67)</f>
        <v>861.40300000000002</v>
      </c>
      <c r="AV67" s="2840">
        <v>861.14300000000003</v>
      </c>
      <c r="AW67" s="2840">
        <v>0.26</v>
      </c>
      <c r="AX67" s="2836">
        <f t="shared" si="638"/>
        <v>1026.8727508421123</v>
      </c>
      <c r="AY67" s="2836">
        <f t="shared" si="639"/>
        <v>1026.7635841754457</v>
      </c>
      <c r="AZ67" s="2836">
        <f t="shared" si="640"/>
        <v>0.10916666666666668</v>
      </c>
      <c r="BA67" s="2836">
        <f t="shared" si="641"/>
        <v>1078.8220000000001</v>
      </c>
      <c r="BB67" s="2836">
        <f>SUM('ПОЛНАЯ СЕБЕСТОИМОСТЬ ВОДА 2023'!X215)</f>
        <v>1078.269</v>
      </c>
      <c r="BC67" s="2836">
        <f>SUM('ПОЛНАЯ СЕБЕСТОИМОСТЬ ВОДА 2023'!Y215)</f>
        <v>0.55300000000000005</v>
      </c>
      <c r="BD67" s="2840">
        <f t="shared" ref="BD67:BD74" si="707">SUM(BE67:BF67)</f>
        <v>913.05700000000002</v>
      </c>
      <c r="BE67" s="2840">
        <v>912.899</v>
      </c>
      <c r="BF67" s="2841">
        <v>0.158</v>
      </c>
      <c r="BG67" s="2836">
        <f t="shared" si="642"/>
        <v>1026.8727508421123</v>
      </c>
      <c r="BH67" s="2836">
        <f t="shared" si="643"/>
        <v>1026.7635841754457</v>
      </c>
      <c r="BI67" s="2836">
        <f t="shared" si="644"/>
        <v>0.10916666666666668</v>
      </c>
      <c r="BJ67" s="2781">
        <f t="shared" si="645"/>
        <v>1139.42491</v>
      </c>
      <c r="BK67" s="2781">
        <f>SUM('ПОЛНАЯ СЕБЕСТОИМОСТЬ ВОДА 2023'!AA215)</f>
        <v>1139.00323</v>
      </c>
      <c r="BL67" s="2781">
        <f>SUM('ПОЛНАЯ СЕБЕСТОИМОСТЬ ВОДА 2023'!AB215)</f>
        <v>0.42168</v>
      </c>
      <c r="BM67" s="2840">
        <f t="shared" ref="BM67:BM74" si="708">SUM(BN67:BO67)</f>
        <v>914.61403999999993</v>
      </c>
      <c r="BN67" s="2840">
        <v>914.37213999999994</v>
      </c>
      <c r="BO67" s="2840">
        <v>0.2419</v>
      </c>
      <c r="BP67" s="2807">
        <f t="shared" si="646"/>
        <v>3080.6182525263366</v>
      </c>
      <c r="BQ67" s="2807">
        <f t="shared" si="646"/>
        <v>3080.2907525263372</v>
      </c>
      <c r="BR67" s="2807">
        <f t="shared" si="646"/>
        <v>0.32750000000000001</v>
      </c>
      <c r="BS67" s="2842">
        <f t="shared" si="646"/>
        <v>3877.3944000000001</v>
      </c>
      <c r="BT67" s="2842">
        <f t="shared" si="646"/>
        <v>3875.8023499999999</v>
      </c>
      <c r="BU67" s="2842">
        <f t="shared" si="646"/>
        <v>1.5920500000000002</v>
      </c>
      <c r="BV67" s="2842">
        <f t="shared" si="646"/>
        <v>2689.07404</v>
      </c>
      <c r="BW67" s="2842">
        <f t="shared" si="646"/>
        <v>2688.4141399999999</v>
      </c>
      <c r="BX67" s="2842">
        <f t="shared" si="646"/>
        <v>0.65990000000000004</v>
      </c>
      <c r="BY67" s="2805">
        <f t="shared" si="551"/>
        <v>796.77614747366351</v>
      </c>
      <c r="BZ67" s="2805">
        <f t="shared" si="551"/>
        <v>795.51159747366273</v>
      </c>
      <c r="CA67" s="2805">
        <f t="shared" si="551"/>
        <v>1.2645500000000003</v>
      </c>
      <c r="CB67" s="2818">
        <f t="shared" si="647"/>
        <v>6161.2365050526732</v>
      </c>
      <c r="CC67" s="2818">
        <f t="shared" si="647"/>
        <v>6160.5815050526744</v>
      </c>
      <c r="CD67" s="2818">
        <f t="shared" si="647"/>
        <v>0.65500000000000003</v>
      </c>
      <c r="CE67" s="2818">
        <f t="shared" si="647"/>
        <v>7248.0460999999996</v>
      </c>
      <c r="CF67" s="2818">
        <f t="shared" si="647"/>
        <v>7246.3747599999997</v>
      </c>
      <c r="CG67" s="2818">
        <f t="shared" si="647"/>
        <v>1.6713400000000003</v>
      </c>
      <c r="CH67" s="2818">
        <f t="shared" si="647"/>
        <v>5487.23927</v>
      </c>
      <c r="CI67" s="2818">
        <f t="shared" si="647"/>
        <v>5485.9591399999999</v>
      </c>
      <c r="CJ67" s="2818">
        <f t="shared" si="647"/>
        <v>1.28013</v>
      </c>
      <c r="CK67" s="2819">
        <f t="shared" si="553"/>
        <v>1086.8095949473263</v>
      </c>
      <c r="CL67" s="2819">
        <f t="shared" si="553"/>
        <v>1085.7932549473253</v>
      </c>
      <c r="CM67" s="2819">
        <f t="shared" si="553"/>
        <v>1.0163400000000002</v>
      </c>
      <c r="CN67" s="2836">
        <f t="shared" si="648"/>
        <v>1026.8727508421123</v>
      </c>
      <c r="CO67" s="2836">
        <f>SUM('ПОЛНАЯ СЕБЕСТОИМОСТЬ ВОДА 2023'!AP215)/3</f>
        <v>1026.7635841754457</v>
      </c>
      <c r="CP67" s="2836">
        <f>SUM('ПОЛНАЯ СЕБЕСТОИМОСТЬ ВОДА 2023'!AQ215)/3</f>
        <v>0.10916666666666668</v>
      </c>
      <c r="CQ67" s="2781">
        <f t="shared" si="649"/>
        <v>986.06439</v>
      </c>
      <c r="CR67" s="2781">
        <f>SUM('ПОЛНАЯ СЕБЕСТОИМОСТЬ ВОДА 2023'!AS215)</f>
        <v>985.76593000000003</v>
      </c>
      <c r="CS67" s="2781">
        <f>SUM('ПОЛНАЯ СЕБЕСТОИМОСТЬ ВОДА 2023'!AT215)</f>
        <v>0.29846</v>
      </c>
      <c r="CT67" s="2840">
        <f t="shared" ref="CT67:CT74" si="709">SUM(CU67:CV67)</f>
        <v>723.375</v>
      </c>
      <c r="CU67" s="2840">
        <v>723.17600000000004</v>
      </c>
      <c r="CV67" s="2840">
        <v>0.19900000000000001</v>
      </c>
      <c r="CW67" s="2836">
        <f t="shared" si="650"/>
        <v>1026.8727508421123</v>
      </c>
      <c r="CX67" s="2836">
        <f t="shared" si="651"/>
        <v>1026.7635841754457</v>
      </c>
      <c r="CY67" s="2836">
        <f t="shared" si="652"/>
        <v>0.10916666666666668</v>
      </c>
      <c r="CZ67" s="2781">
        <f t="shared" si="653"/>
        <v>0</v>
      </c>
      <c r="DA67" s="2781">
        <f>SUM('ПОЛНАЯ СЕБЕСТОИМОСТЬ ВОДА 2023'!AV215)</f>
        <v>0</v>
      </c>
      <c r="DB67" s="2781">
        <f>SUM('ПОЛНАЯ СЕБЕСТОИМОСТЬ ВОДА 2023'!AW215)</f>
        <v>0</v>
      </c>
      <c r="DC67" s="2840">
        <f t="shared" ref="DC67:DC74" si="710">SUM(DD67:DE67)</f>
        <v>915.58899999999994</v>
      </c>
      <c r="DD67" s="2840">
        <v>915.49699999999996</v>
      </c>
      <c r="DE67" s="2840">
        <v>9.1999999999999998E-2</v>
      </c>
      <c r="DF67" s="2836">
        <f t="shared" si="654"/>
        <v>1026.8727508421123</v>
      </c>
      <c r="DG67" s="2836">
        <f t="shared" si="655"/>
        <v>1026.7635841754457</v>
      </c>
      <c r="DH67" s="2836">
        <f t="shared" si="656"/>
        <v>0.10916666666666668</v>
      </c>
      <c r="DI67" s="2781">
        <f t="shared" si="657"/>
        <v>0</v>
      </c>
      <c r="DJ67" s="2781">
        <f>SUM('ПОЛНАЯ СЕБЕСТОИМОСТЬ ВОДА 2023'!AY215)</f>
        <v>0</v>
      </c>
      <c r="DK67" s="2781">
        <f>SUM('ПОЛНАЯ СЕБЕСТОИМОСТЬ ВОДА 2023'!AZ215)</f>
        <v>0</v>
      </c>
      <c r="DL67" s="2840">
        <f t="shared" ref="DL67:DL74" si="711">SUM(DM67:DN67)</f>
        <v>1052.5050000000001</v>
      </c>
      <c r="DM67" s="2840">
        <v>1052.3240000000001</v>
      </c>
      <c r="DN67" s="2840">
        <v>0.18099999999999999</v>
      </c>
      <c r="DO67" s="2807">
        <f t="shared" si="658"/>
        <v>3080.6182525263366</v>
      </c>
      <c r="DP67" s="2807">
        <f t="shared" si="658"/>
        <v>3080.2907525263372</v>
      </c>
      <c r="DQ67" s="2807">
        <f t="shared" si="658"/>
        <v>0.32750000000000001</v>
      </c>
      <c r="DR67" s="2842">
        <f t="shared" si="658"/>
        <v>986.06439</v>
      </c>
      <c r="DS67" s="2842">
        <f t="shared" si="658"/>
        <v>985.76593000000003</v>
      </c>
      <c r="DT67" s="2842">
        <f t="shared" si="658"/>
        <v>0.29846</v>
      </c>
      <c r="DU67" s="2842">
        <f t="shared" si="658"/>
        <v>2691.4690000000001</v>
      </c>
      <c r="DV67" s="2842">
        <f t="shared" si="658"/>
        <v>2690.9970000000003</v>
      </c>
      <c r="DW67" s="2842">
        <f t="shared" si="658"/>
        <v>0.47200000000000003</v>
      </c>
      <c r="DX67" s="2805">
        <f t="shared" si="555"/>
        <v>-2094.5538625263366</v>
      </c>
      <c r="DY67" s="2805">
        <f t="shared" si="555"/>
        <v>-2094.5248225263372</v>
      </c>
      <c r="DZ67" s="2805">
        <f t="shared" si="555"/>
        <v>-2.904000000000001E-2</v>
      </c>
      <c r="EA67" s="2807">
        <f t="shared" si="659"/>
        <v>9241.8547575790108</v>
      </c>
      <c r="EB67" s="2807">
        <f t="shared" si="659"/>
        <v>9240.8722575790125</v>
      </c>
      <c r="EC67" s="2807">
        <f t="shared" si="659"/>
        <v>0.98250000000000004</v>
      </c>
      <c r="ED67" s="2842">
        <f t="shared" si="659"/>
        <v>8234.1104899999991</v>
      </c>
      <c r="EE67" s="2842">
        <f t="shared" si="659"/>
        <v>8232.1406900000002</v>
      </c>
      <c r="EF67" s="2842">
        <f t="shared" si="659"/>
        <v>1.9698000000000002</v>
      </c>
      <c r="EG67" s="2842">
        <f t="shared" si="659"/>
        <v>8178.7082700000001</v>
      </c>
      <c r="EH67" s="2842">
        <f t="shared" si="659"/>
        <v>8176.9561400000002</v>
      </c>
      <c r="EI67" s="2842">
        <f t="shared" si="659"/>
        <v>1.75213</v>
      </c>
      <c r="EJ67" s="2805">
        <f t="shared" si="557"/>
        <v>-1007.7442675790116</v>
      </c>
      <c r="EK67" s="2805">
        <f t="shared" si="557"/>
        <v>-1008.7315675790123</v>
      </c>
      <c r="EL67" s="2805">
        <f t="shared" si="557"/>
        <v>0.98730000000000018</v>
      </c>
      <c r="EM67" s="2836">
        <f t="shared" si="660"/>
        <v>1026.8727508421123</v>
      </c>
      <c r="EN67" s="2836">
        <f>SUM('ПОЛНАЯ СЕБЕСТОИМОСТЬ ВОДА 2023'!BN215)/3</f>
        <v>1026.7635841754457</v>
      </c>
      <c r="EO67" s="2836">
        <f>SUM('ПОЛНАЯ СЕБЕСТОИМОСТЬ ВОДА 2023'!BO215)/3</f>
        <v>0.10916666666666668</v>
      </c>
      <c r="EP67" s="2781">
        <f t="shared" si="661"/>
        <v>0</v>
      </c>
      <c r="EQ67" s="2781">
        <f>SUM('ПОЛНАЯ СЕБЕСТОИМОСТЬ ВОДА 2023'!BQ215)</f>
        <v>0</v>
      </c>
      <c r="ER67" s="2781">
        <f>SUM('ПОЛНАЯ СЕБЕСТОИМОСТЬ ВОДА 2023'!BR215)</f>
        <v>0</v>
      </c>
      <c r="ES67" s="2840">
        <f t="shared" ref="ES67:ES74" si="712">SUM(ET67:EU67)</f>
        <v>893.18600000000004</v>
      </c>
      <c r="ET67" s="2840">
        <v>893.18600000000004</v>
      </c>
      <c r="EU67" s="3598">
        <v>0</v>
      </c>
      <c r="EV67" s="2836">
        <f t="shared" si="662"/>
        <v>1026.8727508421123</v>
      </c>
      <c r="EW67" s="2836">
        <f t="shared" si="663"/>
        <v>1026.7635841754457</v>
      </c>
      <c r="EX67" s="2836">
        <f t="shared" si="664"/>
        <v>0.10916666666666668</v>
      </c>
      <c r="EY67" s="2781">
        <f t="shared" si="665"/>
        <v>0</v>
      </c>
      <c r="EZ67" s="2781">
        <f>SUM('ПОЛНАЯ СЕБЕСТОИМОСТЬ ВОДА 2023'!BT215)</f>
        <v>0</v>
      </c>
      <c r="FA67" s="2781">
        <f>SUM('ПОЛНАЯ СЕБЕСТОИМОСТЬ ВОДА 2023'!BU215)</f>
        <v>0</v>
      </c>
      <c r="FB67" s="2840">
        <f t="shared" ref="FB67:FB74" si="713">SUM(FC67:FD67)</f>
        <v>1031.8735099999999</v>
      </c>
      <c r="FC67" s="2840">
        <v>1031.8735099999999</v>
      </c>
      <c r="FD67" s="2840">
        <v>0</v>
      </c>
      <c r="FE67" s="2836">
        <f t="shared" si="666"/>
        <v>1026.8727508421123</v>
      </c>
      <c r="FF67" s="2836">
        <f t="shared" si="667"/>
        <v>1026.7635841754457</v>
      </c>
      <c r="FG67" s="2836">
        <f t="shared" si="668"/>
        <v>0.10916666666666668</v>
      </c>
      <c r="FH67" s="2781">
        <f t="shared" si="613"/>
        <v>0</v>
      </c>
      <c r="FI67" s="2781">
        <f>SUM('ПОЛНАЯ СЕБЕСТОИМОСТЬ ВОДА 2023'!BW215)</f>
        <v>0</v>
      </c>
      <c r="FJ67" s="2781">
        <f>SUM('ПОЛНАЯ СЕБЕСТОИМОСТЬ ВОДА 2023'!BX215)</f>
        <v>0</v>
      </c>
      <c r="FK67" s="2840">
        <f t="shared" ref="FK67:FK74" si="714">SUM(FL67:FM67)</f>
        <v>888.48400000000004</v>
      </c>
      <c r="FL67" s="2840">
        <v>888.48400000000004</v>
      </c>
      <c r="FM67" s="3598">
        <v>0</v>
      </c>
      <c r="FN67" s="2807">
        <f t="shared" si="669"/>
        <v>3080.6182525263366</v>
      </c>
      <c r="FO67" s="2807">
        <f t="shared" si="669"/>
        <v>3080.2907525263372</v>
      </c>
      <c r="FP67" s="2807">
        <f t="shared" si="669"/>
        <v>0.32750000000000001</v>
      </c>
      <c r="FQ67" s="2818">
        <f t="shared" si="669"/>
        <v>0</v>
      </c>
      <c r="FR67" s="2818">
        <f t="shared" si="669"/>
        <v>0</v>
      </c>
      <c r="FS67" s="2818">
        <f t="shared" si="669"/>
        <v>0</v>
      </c>
      <c r="FT67" s="2818">
        <f t="shared" si="669"/>
        <v>2813.54351</v>
      </c>
      <c r="FU67" s="2818">
        <f t="shared" si="669"/>
        <v>2813.54351</v>
      </c>
      <c r="FV67" s="2818">
        <f t="shared" si="669"/>
        <v>0</v>
      </c>
      <c r="FW67" s="2819">
        <f t="shared" si="559"/>
        <v>-3080.6182525263366</v>
      </c>
      <c r="FX67" s="2819">
        <f t="shared" si="559"/>
        <v>-3080.2907525263372</v>
      </c>
      <c r="FY67" s="2819">
        <f t="shared" si="559"/>
        <v>-0.32750000000000001</v>
      </c>
      <c r="FZ67" s="2807">
        <f t="shared" si="670"/>
        <v>12322.473010105346</v>
      </c>
      <c r="GA67" s="2807">
        <f t="shared" si="670"/>
        <v>12321.163010105349</v>
      </c>
      <c r="GB67" s="2807">
        <f t="shared" si="670"/>
        <v>1.31</v>
      </c>
      <c r="GC67" s="2818">
        <f t="shared" si="670"/>
        <v>8234.1104899999991</v>
      </c>
      <c r="GD67" s="2818">
        <f t="shared" si="670"/>
        <v>8232.1406900000002</v>
      </c>
      <c r="GE67" s="2818">
        <f t="shared" si="670"/>
        <v>1.9698000000000002</v>
      </c>
      <c r="GF67" s="2818">
        <f t="shared" si="670"/>
        <v>10992.251780000001</v>
      </c>
      <c r="GG67" s="2818">
        <f t="shared" si="670"/>
        <v>10990.49965</v>
      </c>
      <c r="GH67" s="2818">
        <f t="shared" si="670"/>
        <v>1.75213</v>
      </c>
      <c r="GI67" s="2819">
        <f t="shared" si="561"/>
        <v>-4088.3625201053474</v>
      </c>
      <c r="GJ67" s="2819">
        <f t="shared" si="561"/>
        <v>-4089.0223201053486</v>
      </c>
      <c r="GK67" s="2819">
        <f t="shared" si="561"/>
        <v>0.65980000000000016</v>
      </c>
      <c r="GL67" s="389"/>
      <c r="GM67" s="3578">
        <f t="shared" si="562"/>
        <v>12322.473010105348</v>
      </c>
    </row>
    <row r="68" spans="1:195" ht="18.75" x14ac:dyDescent="0.3">
      <c r="A68" s="2784" t="s">
        <v>3708</v>
      </c>
      <c r="B68" s="2836">
        <f t="shared" si="625"/>
        <v>308.06182525263375</v>
      </c>
      <c r="C68" s="2836">
        <f>SUM('ПОЛНАЯ СЕБЕСТОИМОСТЬ ВОДА 2023'!C216)/3</f>
        <v>308.02907525263373</v>
      </c>
      <c r="D68" s="2836">
        <f>SUM('ПОЛНАЯ СЕБЕСТОИМОСТЬ ВОДА 2023'!D216)/3</f>
        <v>3.2750000000000001E-2</v>
      </c>
      <c r="E68" s="2781">
        <f t="shared" si="626"/>
        <v>333.428</v>
      </c>
      <c r="F68" s="2781">
        <f>SUM('ПОЛНАЯ СЕБЕСТОИМОСТЬ ВОДА 2023'!F216)</f>
        <v>333.428</v>
      </c>
      <c r="G68" s="2781">
        <f>SUM('ПОЛНАЯ СЕБЕСТОИМОСТЬ ВОДА 2023'!G216)</f>
        <v>0</v>
      </c>
      <c r="H68" s="2840">
        <f t="shared" si="671"/>
        <v>282.97400000000005</v>
      </c>
      <c r="I68" s="2840">
        <v>282.91000000000003</v>
      </c>
      <c r="J68" s="2840">
        <v>6.4000000000000001E-2</v>
      </c>
      <c r="K68" s="2836">
        <f t="shared" si="627"/>
        <v>308.06182525263375</v>
      </c>
      <c r="L68" s="2836">
        <f t="shared" si="628"/>
        <v>308.02907525263373</v>
      </c>
      <c r="M68" s="2836">
        <f t="shared" si="629"/>
        <v>3.2750000000000001E-2</v>
      </c>
      <c r="N68" s="2781">
        <f t="shared" si="630"/>
        <v>335.03479999999996</v>
      </c>
      <c r="O68" s="2781">
        <f>SUM('ПОЛНАЯ СЕБЕСТОИМОСТЬ ВОДА 2023'!I216)</f>
        <v>335.03479999999996</v>
      </c>
      <c r="P68" s="2781">
        <f>SUM('ПОЛНАЯ СЕБЕСТОИМОСТЬ ВОДА 2023'!J216)</f>
        <v>0</v>
      </c>
      <c r="Q68" s="2840">
        <f t="shared" si="704"/>
        <v>239.42099999999999</v>
      </c>
      <c r="R68" s="2840">
        <v>239.37799999999999</v>
      </c>
      <c r="S68" s="2840">
        <v>4.2999999999999997E-2</v>
      </c>
      <c r="T68" s="2836">
        <f t="shared" si="631"/>
        <v>308.06182525263375</v>
      </c>
      <c r="U68" s="2836">
        <f t="shared" si="632"/>
        <v>308.02907525263373</v>
      </c>
      <c r="V68" s="2836">
        <f t="shared" si="633"/>
        <v>3.2750000000000001E-2</v>
      </c>
      <c r="W68" s="2781">
        <f t="shared" si="634"/>
        <v>363.34159</v>
      </c>
      <c r="X68" s="2781">
        <f>SUM('ПОЛНАЯ СЕБЕСТОИМОСТЬ ВОДА 2023'!L216)</f>
        <v>363.31759</v>
      </c>
      <c r="Y68" s="2781">
        <f>SUM('ПОЛНАЯ СЕБЕСТОИМОСТЬ ВОДА 2023'!M216)</f>
        <v>2.4E-2</v>
      </c>
      <c r="Z68" s="2840">
        <f t="shared" si="705"/>
        <v>335.19939999999997</v>
      </c>
      <c r="AA68" s="2840">
        <v>335.11599999999999</v>
      </c>
      <c r="AB68" s="2840">
        <v>8.3400000000000002E-2</v>
      </c>
      <c r="AC68" s="2807">
        <f t="shared" si="635"/>
        <v>924.18547575790126</v>
      </c>
      <c r="AD68" s="2807">
        <f t="shared" si="635"/>
        <v>924.08722575790125</v>
      </c>
      <c r="AE68" s="2807">
        <f t="shared" si="635"/>
        <v>9.8250000000000004E-2</v>
      </c>
      <c r="AF68" s="2818">
        <f t="shared" si="635"/>
        <v>1031.80439</v>
      </c>
      <c r="AG68" s="2818">
        <f t="shared" si="635"/>
        <v>1031.7803899999999</v>
      </c>
      <c r="AH68" s="2818">
        <f t="shared" si="635"/>
        <v>2.4E-2</v>
      </c>
      <c r="AI68" s="2818">
        <f t="shared" si="635"/>
        <v>857.59439999999995</v>
      </c>
      <c r="AJ68" s="2818">
        <f t="shared" si="635"/>
        <v>857.404</v>
      </c>
      <c r="AK68" s="2818">
        <f t="shared" si="635"/>
        <v>0.19040000000000001</v>
      </c>
      <c r="AL68" s="2819">
        <f t="shared" si="694"/>
        <v>107.61891424209875</v>
      </c>
      <c r="AM68" s="2819">
        <f t="shared" si="694"/>
        <v>107.69316424209865</v>
      </c>
      <c r="AN68" s="2819">
        <f t="shared" si="694"/>
        <v>-7.425000000000001E-2</v>
      </c>
      <c r="AO68" s="2836">
        <f t="shared" si="636"/>
        <v>308.06182525263375</v>
      </c>
      <c r="AP68" s="2836">
        <f>SUM('ПОЛНАЯ СЕБЕСТОИМОСТЬ ВОДА 2023'!R216)/3</f>
        <v>308.02907525263373</v>
      </c>
      <c r="AQ68" s="2836">
        <f>SUM('ПОЛНАЯ СЕБЕСТОИМОСТЬ ВОДА 2023'!S216)/3</f>
        <v>3.2750000000000001E-2</v>
      </c>
      <c r="AR68" s="2836">
        <f t="shared" si="637"/>
        <v>494.46098999999998</v>
      </c>
      <c r="AS68" s="2836">
        <f>SUM('ПОЛНАЯ СЕБЕСТОИМОСТЬ ВОДА 2023'!U216)</f>
        <v>494.27699999999999</v>
      </c>
      <c r="AT68" s="2836">
        <f>SUM('ПОЛНАЯ СЕБЕСТОИМОСТЬ ВОДА 2023'!V216)</f>
        <v>0.18398999999999999</v>
      </c>
      <c r="AU68" s="2840">
        <f t="shared" si="706"/>
        <v>260.14299999999997</v>
      </c>
      <c r="AV68" s="2840">
        <v>260.065</v>
      </c>
      <c r="AW68" s="2840">
        <v>7.8E-2</v>
      </c>
      <c r="AX68" s="2836">
        <f t="shared" si="638"/>
        <v>308.06182525263375</v>
      </c>
      <c r="AY68" s="2836">
        <f t="shared" si="639"/>
        <v>308.02907525263373</v>
      </c>
      <c r="AZ68" s="2836">
        <f t="shared" si="640"/>
        <v>3.2750000000000001E-2</v>
      </c>
      <c r="BA68" s="2836">
        <f t="shared" si="641"/>
        <v>321.57300000000004</v>
      </c>
      <c r="BB68" s="2836">
        <f>SUM('ПОЛНАЯ СЕБЕСТОИМОСТЬ ВОДА 2023'!X216)</f>
        <v>321.40800000000002</v>
      </c>
      <c r="BC68" s="2836">
        <f>SUM('ПОЛНАЯ СЕБЕСТОИМОСТЬ ВОДА 2023'!Y216)</f>
        <v>0.16500000000000001</v>
      </c>
      <c r="BD68" s="2840">
        <f t="shared" si="707"/>
        <v>275.74375000000003</v>
      </c>
      <c r="BE68" s="2840">
        <v>275.69600000000003</v>
      </c>
      <c r="BF68" s="2841">
        <v>4.7750000000000001E-2</v>
      </c>
      <c r="BG68" s="2836">
        <f t="shared" si="642"/>
        <v>308.06182525263375</v>
      </c>
      <c r="BH68" s="2836">
        <f t="shared" si="643"/>
        <v>308.02907525263373</v>
      </c>
      <c r="BI68" s="2836">
        <f t="shared" si="644"/>
        <v>3.2750000000000001E-2</v>
      </c>
      <c r="BJ68" s="2781">
        <f t="shared" si="645"/>
        <v>344.14771000000002</v>
      </c>
      <c r="BK68" s="2781">
        <f>SUM('ПОЛНАЯ СЕБЕСТОИМОСТЬ ВОДА 2023'!AA216)</f>
        <v>344.02035000000001</v>
      </c>
      <c r="BL68" s="2781">
        <f>SUM('ПОЛНАЯ СЕБЕСТОИМОСТЬ ВОДА 2023'!AB216)</f>
        <v>0.12736</v>
      </c>
      <c r="BM68" s="2840">
        <f t="shared" si="708"/>
        <v>275.00102000000004</v>
      </c>
      <c r="BN68" s="2840">
        <v>274.92779000000002</v>
      </c>
      <c r="BO68" s="2840">
        <v>7.3230000000000003E-2</v>
      </c>
      <c r="BP68" s="2807">
        <f t="shared" si="646"/>
        <v>924.18547575790126</v>
      </c>
      <c r="BQ68" s="2807">
        <f t="shared" si="646"/>
        <v>924.08722575790125</v>
      </c>
      <c r="BR68" s="2807">
        <f t="shared" si="646"/>
        <v>9.8250000000000004E-2</v>
      </c>
      <c r="BS68" s="2842">
        <f t="shared" si="646"/>
        <v>1160.1817000000001</v>
      </c>
      <c r="BT68" s="2842">
        <f t="shared" si="646"/>
        <v>1159.70535</v>
      </c>
      <c r="BU68" s="2842">
        <f t="shared" si="646"/>
        <v>0.47635000000000005</v>
      </c>
      <c r="BV68" s="2842">
        <f t="shared" si="646"/>
        <v>810.88777000000005</v>
      </c>
      <c r="BW68" s="2842">
        <f t="shared" si="646"/>
        <v>810.68878999999993</v>
      </c>
      <c r="BX68" s="2842">
        <f t="shared" si="646"/>
        <v>0.19897999999999999</v>
      </c>
      <c r="BY68" s="2805">
        <f t="shared" si="551"/>
        <v>235.99622424209883</v>
      </c>
      <c r="BZ68" s="2805">
        <f t="shared" si="551"/>
        <v>235.6181242420987</v>
      </c>
      <c r="CA68" s="2805">
        <f t="shared" si="551"/>
        <v>0.37810000000000005</v>
      </c>
      <c r="CB68" s="2818">
        <f t="shared" si="647"/>
        <v>1848.3709515158025</v>
      </c>
      <c r="CC68" s="2818">
        <f t="shared" si="647"/>
        <v>1848.1744515158025</v>
      </c>
      <c r="CD68" s="2818">
        <f t="shared" si="647"/>
        <v>0.19650000000000001</v>
      </c>
      <c r="CE68" s="2818">
        <f t="shared" si="647"/>
        <v>2191.9860900000003</v>
      </c>
      <c r="CF68" s="2818">
        <f t="shared" si="647"/>
        <v>2191.4857400000001</v>
      </c>
      <c r="CG68" s="2818">
        <f t="shared" si="647"/>
        <v>0.50035000000000007</v>
      </c>
      <c r="CH68" s="2818">
        <f t="shared" si="647"/>
        <v>1668.48217</v>
      </c>
      <c r="CI68" s="2818">
        <f t="shared" si="647"/>
        <v>1668.0927899999999</v>
      </c>
      <c r="CJ68" s="2818">
        <f t="shared" si="647"/>
        <v>0.38938</v>
      </c>
      <c r="CK68" s="2819">
        <f t="shared" si="553"/>
        <v>343.61513848419781</v>
      </c>
      <c r="CL68" s="2819">
        <f t="shared" si="553"/>
        <v>343.31128848419758</v>
      </c>
      <c r="CM68" s="2819">
        <f t="shared" si="553"/>
        <v>0.30385000000000006</v>
      </c>
      <c r="CN68" s="2836">
        <f t="shared" si="648"/>
        <v>308.06182525263375</v>
      </c>
      <c r="CO68" s="2836">
        <f>SUM('ПОЛНАЯ СЕБЕСТОИМОСТЬ ВОДА 2023'!AP216)/3</f>
        <v>308.02907525263373</v>
      </c>
      <c r="CP68" s="2836">
        <f>SUM('ПОЛНАЯ СЕБЕСТОИМОСТЬ ВОДА 2023'!AQ216)/3</f>
        <v>3.2750000000000001E-2</v>
      </c>
      <c r="CQ68" s="2781">
        <f t="shared" si="649"/>
        <v>295.62815000000001</v>
      </c>
      <c r="CR68" s="2781">
        <f>SUM('ПОЛНАЯ СЕБЕСТОИМОСТЬ ВОДА 2023'!AS216)</f>
        <v>295.53867000000002</v>
      </c>
      <c r="CS68" s="2781">
        <f>SUM('ПОЛНАЯ СЕБЕСТОИМОСТЬ ВОДА 2023'!AT216)</f>
        <v>8.9480000000000004E-2</v>
      </c>
      <c r="CT68" s="2840">
        <f t="shared" si="709"/>
        <v>215.41300000000001</v>
      </c>
      <c r="CU68" s="2840">
        <v>215.35400000000001</v>
      </c>
      <c r="CV68" s="2840">
        <v>5.8999999999999997E-2</v>
      </c>
      <c r="CW68" s="2836">
        <f t="shared" si="650"/>
        <v>308.06182525263375</v>
      </c>
      <c r="CX68" s="2836">
        <f t="shared" si="651"/>
        <v>308.02907525263373</v>
      </c>
      <c r="CY68" s="2836">
        <f t="shared" si="652"/>
        <v>3.2750000000000001E-2</v>
      </c>
      <c r="CZ68" s="2781">
        <f t="shared" si="653"/>
        <v>0</v>
      </c>
      <c r="DA68" s="2781">
        <f>SUM('ПОЛНАЯ СЕБЕСТОИМОСТЬ ВОДА 2023'!AV216)</f>
        <v>0</v>
      </c>
      <c r="DB68" s="2781">
        <f>SUM('ПОЛНАЯ СЕБЕСТОИМОСТЬ ВОДА 2023'!AW216)</f>
        <v>0</v>
      </c>
      <c r="DC68" s="2840">
        <f t="shared" si="710"/>
        <v>273.15453000000002</v>
      </c>
      <c r="DD68" s="2840">
        <v>273.12700000000001</v>
      </c>
      <c r="DE68" s="2840">
        <v>2.7529999999999999E-2</v>
      </c>
      <c r="DF68" s="2836">
        <f t="shared" si="654"/>
        <v>308.06182525263375</v>
      </c>
      <c r="DG68" s="2836">
        <f t="shared" si="655"/>
        <v>308.02907525263373</v>
      </c>
      <c r="DH68" s="2836">
        <f t="shared" si="656"/>
        <v>3.2750000000000001E-2</v>
      </c>
      <c r="DI68" s="2781">
        <f t="shared" si="657"/>
        <v>0</v>
      </c>
      <c r="DJ68" s="2781">
        <f>SUM('ПОЛНАЯ СЕБЕСТОИМОСТЬ ВОДА 2023'!AY216)</f>
        <v>0</v>
      </c>
      <c r="DK68" s="2781">
        <f>SUM('ПОЛНАЯ СЕБЕСТОИМОСТЬ ВОДА 2023'!AZ216)</f>
        <v>0</v>
      </c>
      <c r="DL68" s="2840">
        <f t="shared" si="711"/>
        <v>307.4119</v>
      </c>
      <c r="DM68" s="2840">
        <v>307.35899999999998</v>
      </c>
      <c r="DN68" s="2840">
        <v>5.2900000000000003E-2</v>
      </c>
      <c r="DO68" s="2807">
        <f t="shared" si="658"/>
        <v>924.18547575790126</v>
      </c>
      <c r="DP68" s="2807">
        <f t="shared" si="658"/>
        <v>924.08722575790125</v>
      </c>
      <c r="DQ68" s="2807">
        <f t="shared" si="658"/>
        <v>9.8250000000000004E-2</v>
      </c>
      <c r="DR68" s="2842">
        <f t="shared" si="658"/>
        <v>295.62815000000001</v>
      </c>
      <c r="DS68" s="2842">
        <f t="shared" si="658"/>
        <v>295.53867000000002</v>
      </c>
      <c r="DT68" s="2842">
        <f t="shared" si="658"/>
        <v>8.9480000000000004E-2</v>
      </c>
      <c r="DU68" s="2842">
        <f t="shared" si="658"/>
        <v>795.97943000000009</v>
      </c>
      <c r="DV68" s="2842">
        <f t="shared" si="658"/>
        <v>795.83999999999992</v>
      </c>
      <c r="DW68" s="2842">
        <f t="shared" si="658"/>
        <v>0.13943</v>
      </c>
      <c r="DX68" s="2805">
        <f t="shared" si="555"/>
        <v>-628.55732575790125</v>
      </c>
      <c r="DY68" s="2805">
        <f t="shared" si="555"/>
        <v>-628.54855575790123</v>
      </c>
      <c r="DZ68" s="2805">
        <f t="shared" si="555"/>
        <v>-8.77E-3</v>
      </c>
      <c r="EA68" s="2807">
        <f t="shared" si="659"/>
        <v>2772.5564272737038</v>
      </c>
      <c r="EB68" s="2807">
        <f t="shared" si="659"/>
        <v>2772.2616772737038</v>
      </c>
      <c r="EC68" s="2807">
        <f t="shared" si="659"/>
        <v>0.29475000000000001</v>
      </c>
      <c r="ED68" s="2842">
        <f t="shared" si="659"/>
        <v>2487.6142400000003</v>
      </c>
      <c r="EE68" s="2842">
        <f t="shared" si="659"/>
        <v>2487.02441</v>
      </c>
      <c r="EF68" s="2842">
        <f t="shared" si="659"/>
        <v>0.58983000000000008</v>
      </c>
      <c r="EG68" s="2842">
        <f t="shared" si="659"/>
        <v>2464.4616000000001</v>
      </c>
      <c r="EH68" s="2842">
        <f t="shared" si="659"/>
        <v>2463.9327899999998</v>
      </c>
      <c r="EI68" s="2842">
        <f t="shared" si="659"/>
        <v>0.52881</v>
      </c>
      <c r="EJ68" s="2805">
        <f t="shared" si="557"/>
        <v>-284.94218727370344</v>
      </c>
      <c r="EK68" s="2805">
        <f t="shared" si="557"/>
        <v>-285.23726727370376</v>
      </c>
      <c r="EL68" s="2805">
        <f t="shared" si="557"/>
        <v>0.29508000000000006</v>
      </c>
      <c r="EM68" s="2836">
        <f t="shared" si="660"/>
        <v>308.06182525263375</v>
      </c>
      <c r="EN68" s="2836">
        <f>SUM('ПОЛНАЯ СЕБЕСТОИМОСТЬ ВОДА 2023'!BN216)/3</f>
        <v>308.02907525263373</v>
      </c>
      <c r="EO68" s="2836">
        <f>SUM('ПОЛНАЯ СЕБЕСТОИМОСТЬ ВОДА 2023'!BO216)/3</f>
        <v>3.2750000000000001E-2</v>
      </c>
      <c r="EP68" s="2781">
        <f t="shared" si="661"/>
        <v>0</v>
      </c>
      <c r="EQ68" s="2781">
        <f>SUM('ПОЛНАЯ СЕБЕСТОИМОСТЬ ВОДА 2023'!BQ216)</f>
        <v>0</v>
      </c>
      <c r="ER68" s="2781">
        <f>SUM('ПОЛНАЯ СЕБЕСТОИМОСТЬ ВОДА 2023'!BR216)</f>
        <v>0</v>
      </c>
      <c r="ES68" s="2840">
        <f t="shared" si="712"/>
        <v>239.76599999999999</v>
      </c>
      <c r="ET68" s="2840">
        <v>239.76599999999999</v>
      </c>
      <c r="EU68" s="3598">
        <v>0</v>
      </c>
      <c r="EV68" s="2836">
        <f t="shared" si="662"/>
        <v>308.06182525263375</v>
      </c>
      <c r="EW68" s="2836">
        <f t="shared" si="663"/>
        <v>308.02907525263373</v>
      </c>
      <c r="EX68" s="2836">
        <f t="shared" si="664"/>
        <v>3.2750000000000001E-2</v>
      </c>
      <c r="EY68" s="2781">
        <f t="shared" si="665"/>
        <v>0</v>
      </c>
      <c r="EZ68" s="2781">
        <f>SUM('ПОЛНАЯ СЕБЕСТОИМОСТЬ ВОДА 2023'!BT216)</f>
        <v>0</v>
      </c>
      <c r="FA68" s="2781">
        <f>SUM('ПОЛНАЯ СЕБЕСТОИМОСТЬ ВОДА 2023'!BU216)</f>
        <v>0</v>
      </c>
      <c r="FB68" s="2840">
        <f t="shared" si="713"/>
        <v>292.82945999999998</v>
      </c>
      <c r="FC68" s="2840">
        <v>292.82945999999998</v>
      </c>
      <c r="FD68" s="2840">
        <v>0</v>
      </c>
      <c r="FE68" s="2836">
        <f t="shared" si="666"/>
        <v>308.06182525263375</v>
      </c>
      <c r="FF68" s="2836">
        <f t="shared" si="667"/>
        <v>308.02907525263373</v>
      </c>
      <c r="FG68" s="2836">
        <f t="shared" si="668"/>
        <v>3.2750000000000001E-2</v>
      </c>
      <c r="FH68" s="2781">
        <f t="shared" si="613"/>
        <v>0</v>
      </c>
      <c r="FI68" s="2781">
        <f>SUM('ПОЛНАЯ СЕБЕСТОИМОСТЬ ВОДА 2023'!BW216)</f>
        <v>0</v>
      </c>
      <c r="FJ68" s="2781">
        <f>SUM('ПОЛНАЯ СЕБЕСТОИМОСТЬ ВОДА 2023'!BX216)</f>
        <v>0</v>
      </c>
      <c r="FK68" s="2840">
        <f t="shared" si="714"/>
        <v>244.02600000000001</v>
      </c>
      <c r="FL68" s="2840">
        <v>244.02600000000001</v>
      </c>
      <c r="FM68" s="3598">
        <v>0</v>
      </c>
      <c r="FN68" s="2807">
        <f t="shared" si="669"/>
        <v>924.18547575790126</v>
      </c>
      <c r="FO68" s="2807">
        <f t="shared" si="669"/>
        <v>924.08722575790125</v>
      </c>
      <c r="FP68" s="2807">
        <f t="shared" si="669"/>
        <v>9.8250000000000004E-2</v>
      </c>
      <c r="FQ68" s="2818">
        <f t="shared" si="669"/>
        <v>0</v>
      </c>
      <c r="FR68" s="2818">
        <f t="shared" si="669"/>
        <v>0</v>
      </c>
      <c r="FS68" s="2818">
        <f t="shared" si="669"/>
        <v>0</v>
      </c>
      <c r="FT68" s="2818">
        <f t="shared" si="669"/>
        <v>776.62146000000007</v>
      </c>
      <c r="FU68" s="2818">
        <f t="shared" si="669"/>
        <v>776.62146000000007</v>
      </c>
      <c r="FV68" s="2818">
        <f t="shared" si="669"/>
        <v>0</v>
      </c>
      <c r="FW68" s="2819">
        <f t="shared" si="559"/>
        <v>-924.18547575790126</v>
      </c>
      <c r="FX68" s="2819">
        <f t="shared" si="559"/>
        <v>-924.08722575790125</v>
      </c>
      <c r="FY68" s="2819">
        <f t="shared" si="559"/>
        <v>-9.8250000000000004E-2</v>
      </c>
      <c r="FZ68" s="2807">
        <f t="shared" si="670"/>
        <v>3696.741903031605</v>
      </c>
      <c r="GA68" s="2807">
        <f t="shared" si="670"/>
        <v>3696.348903031605</v>
      </c>
      <c r="GB68" s="2807">
        <f t="shared" si="670"/>
        <v>0.39300000000000002</v>
      </c>
      <c r="GC68" s="2818">
        <f t="shared" si="670"/>
        <v>2487.6142400000003</v>
      </c>
      <c r="GD68" s="2818">
        <f t="shared" si="670"/>
        <v>2487.02441</v>
      </c>
      <c r="GE68" s="2818">
        <f t="shared" si="670"/>
        <v>0.58983000000000008</v>
      </c>
      <c r="GF68" s="2818">
        <f t="shared" si="670"/>
        <v>3241.0830599999999</v>
      </c>
      <c r="GG68" s="2818">
        <f t="shared" si="670"/>
        <v>3240.5542500000001</v>
      </c>
      <c r="GH68" s="2818">
        <f t="shared" si="670"/>
        <v>0.52881</v>
      </c>
      <c r="GI68" s="2819">
        <f t="shared" si="561"/>
        <v>-1209.1276630316047</v>
      </c>
      <c r="GJ68" s="2819">
        <f t="shared" si="561"/>
        <v>-1209.324493031605</v>
      </c>
      <c r="GK68" s="2819">
        <f t="shared" si="561"/>
        <v>0.19683000000000006</v>
      </c>
      <c r="GL68" s="389"/>
      <c r="GM68" s="3578">
        <f t="shared" si="562"/>
        <v>3696.741903031605</v>
      </c>
    </row>
    <row r="69" spans="1:195" ht="18.75" x14ac:dyDescent="0.3">
      <c r="A69" s="2784" t="s">
        <v>272</v>
      </c>
      <c r="B69" s="2836">
        <f t="shared" si="625"/>
        <v>1.6606977703101291</v>
      </c>
      <c r="C69" s="2836">
        <f>SUM('ПОЛНАЯ СЕБЕСТОИМОСТЬ ВОДА 2023'!C217)/3</f>
        <v>1.6592811036434625</v>
      </c>
      <c r="D69" s="2836">
        <f>SUM('ПОЛНАЯ СЕБЕСТОИМОСТЬ ВОДА 2023'!D217)/3</f>
        <v>1.4166666666666668E-3</v>
      </c>
      <c r="E69" s="2781">
        <f t="shared" si="626"/>
        <v>0</v>
      </c>
      <c r="F69" s="2781">
        <f>SUM('ПОЛНАЯ СЕБЕСТОИМОСТЬ ВОДА 2023'!F217)</f>
        <v>0</v>
      </c>
      <c r="G69" s="2781">
        <f>SUM('ПОЛНАЯ СЕБЕСТОИМОСТЬ ВОДА 2023'!G217)</f>
        <v>0</v>
      </c>
      <c r="H69" s="2840">
        <f t="shared" si="671"/>
        <v>7.9938000000000002</v>
      </c>
      <c r="I69" s="2840">
        <v>7.992</v>
      </c>
      <c r="J69" s="2840">
        <v>1.8E-3</v>
      </c>
      <c r="K69" s="2836">
        <f t="shared" si="627"/>
        <v>1.6606977703101291</v>
      </c>
      <c r="L69" s="2836">
        <f t="shared" si="628"/>
        <v>1.6592811036434625</v>
      </c>
      <c r="M69" s="2836">
        <f t="shared" si="629"/>
        <v>1.4166666666666668E-3</v>
      </c>
      <c r="N69" s="2781">
        <f t="shared" si="630"/>
        <v>12.548550000000001</v>
      </c>
      <c r="O69" s="2781">
        <f>SUM('ПОЛНАЯ СЕБЕСТОИМОСТЬ ВОДА 2023'!I217)</f>
        <v>12.548550000000001</v>
      </c>
      <c r="P69" s="2781">
        <f>SUM('ПОЛНАЯ СЕБЕСТОИМОСТЬ ВОДА 2023'!J217)</f>
        <v>0</v>
      </c>
      <c r="Q69" s="2840">
        <f t="shared" si="704"/>
        <v>7.3290000000000006</v>
      </c>
      <c r="R69" s="2840">
        <v>7.3280000000000003</v>
      </c>
      <c r="S69" s="2840">
        <v>1E-3</v>
      </c>
      <c r="T69" s="2836">
        <f t="shared" si="631"/>
        <v>1.6606977703101291</v>
      </c>
      <c r="U69" s="2836">
        <f t="shared" si="632"/>
        <v>1.6592811036434625</v>
      </c>
      <c r="V69" s="2836">
        <f t="shared" si="633"/>
        <v>1.4166666666666668E-3</v>
      </c>
      <c r="W69" s="2781">
        <f t="shared" si="634"/>
        <v>6.1760000000000002</v>
      </c>
      <c r="X69" s="2781">
        <f>SUM('ПОЛНАЯ СЕБЕСТОИМОСТЬ ВОДА 2023'!L217)</f>
        <v>6.1756000000000002</v>
      </c>
      <c r="Y69" s="2781">
        <f>SUM('ПОЛНАЯ СЕБЕСТОИМОСТЬ ВОДА 2023'!M217)</f>
        <v>4.0000000000000002E-4</v>
      </c>
      <c r="Z69" s="2840">
        <f t="shared" si="705"/>
        <v>7.8001500000000004</v>
      </c>
      <c r="AA69" s="2840">
        <v>7.798</v>
      </c>
      <c r="AB69" s="2840">
        <v>2.15E-3</v>
      </c>
      <c r="AC69" s="2807">
        <f t="shared" si="635"/>
        <v>4.9820933109303871</v>
      </c>
      <c r="AD69" s="2807">
        <f t="shared" si="635"/>
        <v>4.9778433109303872</v>
      </c>
      <c r="AE69" s="2807">
        <f t="shared" si="635"/>
        <v>4.2500000000000003E-3</v>
      </c>
      <c r="AF69" s="2818">
        <f t="shared" si="635"/>
        <v>18.724550000000001</v>
      </c>
      <c r="AG69" s="2818">
        <f t="shared" si="635"/>
        <v>18.724150000000002</v>
      </c>
      <c r="AH69" s="2818">
        <f t="shared" si="635"/>
        <v>4.0000000000000002E-4</v>
      </c>
      <c r="AI69" s="2818">
        <f t="shared" si="635"/>
        <v>23.122950000000003</v>
      </c>
      <c r="AJ69" s="2818">
        <f t="shared" si="635"/>
        <v>23.118000000000002</v>
      </c>
      <c r="AK69" s="2818">
        <f t="shared" si="635"/>
        <v>4.9499999999999995E-3</v>
      </c>
      <c r="AL69" s="2819">
        <f t="shared" si="694"/>
        <v>13.742456689069613</v>
      </c>
      <c r="AM69" s="2819">
        <f t="shared" si="694"/>
        <v>13.746306689069614</v>
      </c>
      <c r="AN69" s="2819">
        <f t="shared" si="694"/>
        <v>-3.8500000000000001E-3</v>
      </c>
      <c r="AO69" s="2836">
        <f t="shared" si="636"/>
        <v>1.6606977703101291</v>
      </c>
      <c r="AP69" s="2836">
        <f>SUM('ПОЛНАЯ СЕБЕСТОИМОСТЬ ВОДА 2023'!R217)/3</f>
        <v>1.6592811036434625</v>
      </c>
      <c r="AQ69" s="2836">
        <f>SUM('ПОЛНАЯ СЕБЕСТОИМОСТЬ ВОДА 2023'!S217)/3</f>
        <v>1.4166666666666668E-3</v>
      </c>
      <c r="AR69" s="2836">
        <f t="shared" si="637"/>
        <v>5.98231</v>
      </c>
      <c r="AS69" s="2836">
        <f>SUM('ПОЛНАЯ СЕБЕСТОИМОСТЬ ВОДА 2023'!U217)</f>
        <v>5.9800800000000001</v>
      </c>
      <c r="AT69" s="2836">
        <f>SUM('ПОЛНАЯ СЕБЕСТОИМОСТЬ ВОДА 2023'!V217)</f>
        <v>2.2300000000000002E-3</v>
      </c>
      <c r="AU69" s="2840">
        <f t="shared" si="706"/>
        <v>6.6449999999999996</v>
      </c>
      <c r="AV69" s="2840">
        <v>6.6429999999999998</v>
      </c>
      <c r="AW69" s="2841">
        <v>2E-3</v>
      </c>
      <c r="AX69" s="2836">
        <f t="shared" si="638"/>
        <v>1.6606977703101291</v>
      </c>
      <c r="AY69" s="2836">
        <f t="shared" si="639"/>
        <v>1.6592811036434625</v>
      </c>
      <c r="AZ69" s="2836">
        <f t="shared" si="640"/>
        <v>1.4166666666666668E-3</v>
      </c>
      <c r="BA69" s="2836">
        <f t="shared" si="641"/>
        <v>6.9024999999999999</v>
      </c>
      <c r="BB69" s="2836">
        <f>SUM('ПОЛНАЯ СЕБЕСТОИМОСТЬ ВОДА 2023'!X217)</f>
        <v>6.899</v>
      </c>
      <c r="BC69" s="2836">
        <f>SUM('ПОЛНАЯ СЕБЕСТОИМОСТЬ ВОДА 2023'!Y217)</f>
        <v>3.5000000000000001E-3</v>
      </c>
      <c r="BD69" s="2840">
        <f t="shared" si="707"/>
        <v>8.2684299999999986</v>
      </c>
      <c r="BE69" s="2840">
        <v>8.2669999999999995</v>
      </c>
      <c r="BF69" s="2841">
        <v>1.4300000000000001E-3</v>
      </c>
      <c r="BG69" s="2836">
        <f t="shared" si="642"/>
        <v>1.6606977703101291</v>
      </c>
      <c r="BH69" s="2836">
        <f t="shared" si="643"/>
        <v>1.6592811036434625</v>
      </c>
      <c r="BI69" s="2836">
        <f t="shared" si="644"/>
        <v>1.4166666666666668E-3</v>
      </c>
      <c r="BJ69" s="2781">
        <f t="shared" si="645"/>
        <v>5.2838200000000004</v>
      </c>
      <c r="BK69" s="2781">
        <f>SUM('ПОЛНАЯ СЕБЕСТОИМОСТЬ ВОДА 2023'!AA217)</f>
        <v>5.28186</v>
      </c>
      <c r="BL69" s="2781">
        <f>SUM('ПОЛНАЯ СЕБЕСТОИМОСТЬ ВОДА 2023'!AB217)</f>
        <v>1.9599999999999999E-3</v>
      </c>
      <c r="BM69" s="2840">
        <f t="shared" si="708"/>
        <v>6.2159299999999993</v>
      </c>
      <c r="BN69" s="2840">
        <v>6.2142799999999996</v>
      </c>
      <c r="BO69" s="2840">
        <v>1.65E-3</v>
      </c>
      <c r="BP69" s="2807">
        <f t="shared" si="646"/>
        <v>4.9820933109303871</v>
      </c>
      <c r="BQ69" s="2807">
        <f t="shared" si="646"/>
        <v>4.9778433109303872</v>
      </c>
      <c r="BR69" s="2807">
        <f t="shared" si="646"/>
        <v>4.2500000000000003E-3</v>
      </c>
      <c r="BS69" s="2842">
        <f t="shared" si="646"/>
        <v>18.16863</v>
      </c>
      <c r="BT69" s="2842">
        <f t="shared" si="646"/>
        <v>18.16094</v>
      </c>
      <c r="BU69" s="2842">
        <f t="shared" si="646"/>
        <v>7.6900000000000007E-3</v>
      </c>
      <c r="BV69" s="2842">
        <f t="shared" si="646"/>
        <v>21.129359999999998</v>
      </c>
      <c r="BW69" s="2842">
        <f t="shared" si="646"/>
        <v>21.124279999999999</v>
      </c>
      <c r="BX69" s="2842">
        <f t="shared" si="646"/>
        <v>5.0799999999999994E-3</v>
      </c>
      <c r="BY69" s="2805"/>
      <c r="BZ69" s="2805"/>
      <c r="CA69" s="2805"/>
      <c r="CB69" s="2818">
        <f t="shared" si="647"/>
        <v>9.9641866218607742</v>
      </c>
      <c r="CC69" s="2818">
        <f t="shared" si="647"/>
        <v>9.9556866218607745</v>
      </c>
      <c r="CD69" s="2818">
        <f t="shared" si="647"/>
        <v>8.5000000000000006E-3</v>
      </c>
      <c r="CE69" s="2818">
        <f t="shared" si="647"/>
        <v>36.893180000000001</v>
      </c>
      <c r="CF69" s="2818">
        <f t="shared" si="647"/>
        <v>36.885090000000005</v>
      </c>
      <c r="CG69" s="2818">
        <f t="shared" si="647"/>
        <v>8.09E-3</v>
      </c>
      <c r="CH69" s="2818">
        <f t="shared" si="647"/>
        <v>44.252310000000001</v>
      </c>
      <c r="CI69" s="2818">
        <f t="shared" si="647"/>
        <v>44.242280000000001</v>
      </c>
      <c r="CJ69" s="2818">
        <f t="shared" si="647"/>
        <v>1.0029999999999999E-2</v>
      </c>
      <c r="CK69" s="2819">
        <f t="shared" si="553"/>
        <v>26.928993378139225</v>
      </c>
      <c r="CL69" s="2819">
        <f t="shared" si="553"/>
        <v>26.929403378139231</v>
      </c>
      <c r="CM69" s="2819">
        <f t="shared" si="553"/>
        <v>-4.1000000000000064E-4</v>
      </c>
      <c r="CN69" s="2836">
        <f t="shared" si="648"/>
        <v>1.6606977703101291</v>
      </c>
      <c r="CO69" s="2836">
        <f>SUM('ПОЛНАЯ СЕБЕСТОИМОСТЬ ВОДА 2023'!AP217)/3</f>
        <v>1.6592811036434625</v>
      </c>
      <c r="CP69" s="2836">
        <f>SUM('ПОЛНАЯ СЕБЕСТОИМОСТЬ ВОДА 2023'!AQ217)/3</f>
        <v>1.4166666666666668E-3</v>
      </c>
      <c r="CQ69" s="2781">
        <f t="shared" si="649"/>
        <v>6.5028600000000001</v>
      </c>
      <c r="CR69" s="2781">
        <f>SUM('ПОЛНАЯ СЕБЕСТОИМОСТЬ ВОДА 2023'!AS217)</f>
        <v>6.5008900000000001</v>
      </c>
      <c r="CS69" s="2781">
        <f>SUM('ПОЛНАЯ СЕБЕСТОИМОСТЬ ВОДА 2023'!AT217)</f>
        <v>1.97E-3</v>
      </c>
      <c r="CT69" s="2840">
        <f t="shared" si="709"/>
        <v>6.1677</v>
      </c>
      <c r="CU69" s="2840">
        <v>6.1660000000000004</v>
      </c>
      <c r="CV69" s="2840">
        <v>1.6999999999999999E-3</v>
      </c>
      <c r="CW69" s="2836">
        <f t="shared" si="650"/>
        <v>1.6606977703101291</v>
      </c>
      <c r="CX69" s="2836">
        <f t="shared" si="651"/>
        <v>1.6592811036434625</v>
      </c>
      <c r="CY69" s="2836">
        <f t="shared" si="652"/>
        <v>1.4166666666666668E-3</v>
      </c>
      <c r="CZ69" s="2781">
        <f t="shared" si="653"/>
        <v>0</v>
      </c>
      <c r="DA69" s="2781">
        <f>SUM('ПОЛНАЯ СЕБЕСТОИМОСТЬ ВОДА 2023'!AV217)</f>
        <v>0</v>
      </c>
      <c r="DB69" s="2781">
        <f>SUM('ПОЛНАЯ СЕБЕСТОИМОСТЬ ВОДА 2023'!AW217)</f>
        <v>0</v>
      </c>
      <c r="DC69" s="2840">
        <f t="shared" si="710"/>
        <v>8.185830000000001</v>
      </c>
      <c r="DD69" s="2840">
        <v>8.1850000000000005</v>
      </c>
      <c r="DE69" s="2840">
        <v>8.3000000000000001E-4</v>
      </c>
      <c r="DF69" s="2836">
        <f t="shared" si="654"/>
        <v>1.6606977703101291</v>
      </c>
      <c r="DG69" s="2836">
        <f t="shared" si="655"/>
        <v>1.6592811036434625</v>
      </c>
      <c r="DH69" s="2836">
        <f t="shared" si="656"/>
        <v>1.4166666666666668E-3</v>
      </c>
      <c r="DI69" s="2781">
        <f t="shared" si="657"/>
        <v>0</v>
      </c>
      <c r="DJ69" s="2781">
        <f>SUM('ПОЛНАЯ СЕБЕСТОИМОСТЬ ВОДА 2023'!AY217)</f>
        <v>0</v>
      </c>
      <c r="DK69" s="2781">
        <f>SUM('ПОЛНАЯ СЕБЕСТОИМОСТЬ ВОДА 2023'!AZ217)</f>
        <v>0</v>
      </c>
      <c r="DL69" s="2840">
        <f t="shared" si="711"/>
        <v>15.063599999999999</v>
      </c>
      <c r="DM69" s="2840">
        <v>15.061</v>
      </c>
      <c r="DN69" s="2840">
        <v>2.5999999999999999E-3</v>
      </c>
      <c r="DO69" s="2807">
        <f t="shared" si="658"/>
        <v>4.9820933109303871</v>
      </c>
      <c r="DP69" s="2807">
        <f t="shared" si="658"/>
        <v>4.9778433109303872</v>
      </c>
      <c r="DQ69" s="2807">
        <f t="shared" si="658"/>
        <v>4.2500000000000003E-3</v>
      </c>
      <c r="DR69" s="2842">
        <f t="shared" si="658"/>
        <v>6.5028600000000001</v>
      </c>
      <c r="DS69" s="2842">
        <f t="shared" si="658"/>
        <v>6.5008900000000001</v>
      </c>
      <c r="DT69" s="2842">
        <f t="shared" si="658"/>
        <v>1.97E-3</v>
      </c>
      <c r="DU69" s="2842">
        <f t="shared" si="658"/>
        <v>29.41713</v>
      </c>
      <c r="DV69" s="2842">
        <f t="shared" si="658"/>
        <v>29.411999999999999</v>
      </c>
      <c r="DW69" s="2842">
        <f t="shared" si="658"/>
        <v>5.13E-3</v>
      </c>
      <c r="DX69" s="2805">
        <f t="shared" si="555"/>
        <v>1.520766689069613</v>
      </c>
      <c r="DY69" s="2805">
        <f t="shared" si="555"/>
        <v>1.5230466890696128</v>
      </c>
      <c r="DZ69" s="2805">
        <f t="shared" si="555"/>
        <v>-2.2800000000000003E-3</v>
      </c>
      <c r="EA69" s="2807">
        <f t="shared" si="659"/>
        <v>14.94627993279116</v>
      </c>
      <c r="EB69" s="2807">
        <f t="shared" si="659"/>
        <v>14.933529932791162</v>
      </c>
      <c r="EC69" s="2807">
        <f t="shared" si="659"/>
        <v>1.2750000000000001E-2</v>
      </c>
      <c r="ED69" s="2842">
        <f t="shared" si="659"/>
        <v>43.396039999999999</v>
      </c>
      <c r="EE69" s="2842">
        <f t="shared" si="659"/>
        <v>43.385980000000004</v>
      </c>
      <c r="EF69" s="2842">
        <f t="shared" si="659"/>
        <v>1.0059999999999999E-2</v>
      </c>
      <c r="EG69" s="2842">
        <f t="shared" si="659"/>
        <v>73.669440000000009</v>
      </c>
      <c r="EH69" s="2842">
        <f t="shared" si="659"/>
        <v>73.65428</v>
      </c>
      <c r="EI69" s="2842">
        <f t="shared" si="659"/>
        <v>1.516E-2</v>
      </c>
      <c r="EJ69" s="2805">
        <f t="shared" si="557"/>
        <v>28.449760067208839</v>
      </c>
      <c r="EK69" s="2805">
        <f t="shared" si="557"/>
        <v>28.452450067208844</v>
      </c>
      <c r="EL69" s="2805">
        <f t="shared" si="557"/>
        <v>-2.6900000000000014E-3</v>
      </c>
      <c r="EM69" s="2836">
        <f t="shared" si="660"/>
        <v>1.6606977703101291</v>
      </c>
      <c r="EN69" s="2836">
        <f>SUM('ПОЛНАЯ СЕБЕСТОИМОСТЬ ВОДА 2023'!BN217)/3</f>
        <v>1.6592811036434625</v>
      </c>
      <c r="EO69" s="2836">
        <f>SUM('ПОЛНАЯ СЕБЕСТОИМОСТЬ ВОДА 2023'!BO217)/3</f>
        <v>1.4166666666666668E-3</v>
      </c>
      <c r="EP69" s="2781">
        <f t="shared" si="661"/>
        <v>0</v>
      </c>
      <c r="EQ69" s="2781">
        <f>SUM('ПОЛНАЯ СЕБЕСТОИМОСТЬ ВОДА 2023'!BQ217)</f>
        <v>0</v>
      </c>
      <c r="ER69" s="2781">
        <f>SUM('ПОЛНАЯ СЕБЕСТОИМОСТЬ ВОДА 2023'!BR217)</f>
        <v>0</v>
      </c>
      <c r="ES69" s="2840">
        <f t="shared" si="712"/>
        <v>7.4569999999999999</v>
      </c>
      <c r="ET69" s="2840">
        <v>7.4569999999999999</v>
      </c>
      <c r="EU69" s="3598">
        <v>0</v>
      </c>
      <c r="EV69" s="2836">
        <f t="shared" si="662"/>
        <v>1.6606977703101291</v>
      </c>
      <c r="EW69" s="2836">
        <f t="shared" si="663"/>
        <v>1.6592811036434625</v>
      </c>
      <c r="EX69" s="2836">
        <f t="shared" si="664"/>
        <v>1.4166666666666668E-3</v>
      </c>
      <c r="EY69" s="2781">
        <f t="shared" si="665"/>
        <v>0</v>
      </c>
      <c r="EZ69" s="2781">
        <f>SUM('ПОЛНАЯ СЕБЕСТОИМОСТЬ ВОДА 2023'!BT217)</f>
        <v>0</v>
      </c>
      <c r="FA69" s="2781">
        <f>SUM('ПОЛНАЯ СЕБЕСТОИМОСТЬ ВОДА 2023'!BU217)</f>
        <v>0</v>
      </c>
      <c r="FB69" s="2840">
        <f t="shared" si="713"/>
        <v>8.2554700000000008</v>
      </c>
      <c r="FC69" s="2840">
        <v>8.2554700000000008</v>
      </c>
      <c r="FD69" s="2840">
        <v>0</v>
      </c>
      <c r="FE69" s="2836">
        <f t="shared" si="666"/>
        <v>1.6606977703101291</v>
      </c>
      <c r="FF69" s="2836">
        <f t="shared" si="667"/>
        <v>1.6592811036434625</v>
      </c>
      <c r="FG69" s="2836">
        <f t="shared" si="668"/>
        <v>1.4166666666666668E-3</v>
      </c>
      <c r="FH69" s="2781">
        <f t="shared" si="613"/>
        <v>0</v>
      </c>
      <c r="FI69" s="2781">
        <f>SUM('ПОЛНАЯ СЕБЕСТОИМОСТЬ ВОДА 2023'!BW217)</f>
        <v>0</v>
      </c>
      <c r="FJ69" s="2781">
        <f>SUM('ПОЛНАЯ СЕБЕСТОИМОСТЬ ВОДА 2023'!BX217)</f>
        <v>0</v>
      </c>
      <c r="FK69" s="2840">
        <f t="shared" si="714"/>
        <v>7.1210000000000004</v>
      </c>
      <c r="FL69" s="2840">
        <v>7.1210000000000004</v>
      </c>
      <c r="FM69" s="3598">
        <v>0</v>
      </c>
      <c r="FN69" s="2807">
        <f t="shared" si="669"/>
        <v>4.9820933109303871</v>
      </c>
      <c r="FO69" s="2807">
        <f t="shared" si="669"/>
        <v>4.9778433109303872</v>
      </c>
      <c r="FP69" s="2807">
        <f t="shared" si="669"/>
        <v>4.2500000000000003E-3</v>
      </c>
      <c r="FQ69" s="2818">
        <f t="shared" si="669"/>
        <v>0</v>
      </c>
      <c r="FR69" s="2818">
        <f t="shared" si="669"/>
        <v>0</v>
      </c>
      <c r="FS69" s="2818">
        <f t="shared" si="669"/>
        <v>0</v>
      </c>
      <c r="FT69" s="2818">
        <f t="shared" si="669"/>
        <v>22.833469999999998</v>
      </c>
      <c r="FU69" s="2818">
        <f t="shared" si="669"/>
        <v>22.833469999999998</v>
      </c>
      <c r="FV69" s="2818">
        <f t="shared" si="669"/>
        <v>0</v>
      </c>
      <c r="FW69" s="2819">
        <f t="shared" si="559"/>
        <v>-4.9820933109303871</v>
      </c>
      <c r="FX69" s="2819">
        <f t="shared" si="559"/>
        <v>-4.9778433109303872</v>
      </c>
      <c r="FY69" s="2819">
        <f t="shared" si="559"/>
        <v>-4.2500000000000003E-3</v>
      </c>
      <c r="FZ69" s="2807">
        <f t="shared" si="670"/>
        <v>19.928373243721548</v>
      </c>
      <c r="GA69" s="2807">
        <f t="shared" si="670"/>
        <v>19.911373243721549</v>
      </c>
      <c r="GB69" s="2807">
        <f t="shared" si="670"/>
        <v>1.7000000000000001E-2</v>
      </c>
      <c r="GC69" s="2818">
        <f t="shared" si="670"/>
        <v>43.396039999999999</v>
      </c>
      <c r="GD69" s="2818">
        <f t="shared" si="670"/>
        <v>43.385980000000004</v>
      </c>
      <c r="GE69" s="2818">
        <f t="shared" si="670"/>
        <v>1.0059999999999999E-2</v>
      </c>
      <c r="GF69" s="2818">
        <f t="shared" si="670"/>
        <v>96.502910000000014</v>
      </c>
      <c r="GG69" s="2818">
        <f t="shared" si="670"/>
        <v>96.487750000000005</v>
      </c>
      <c r="GH69" s="2818">
        <f t="shared" si="670"/>
        <v>1.516E-2</v>
      </c>
      <c r="GI69" s="2819">
        <f t="shared" si="561"/>
        <v>23.467666756278451</v>
      </c>
      <c r="GJ69" s="2819">
        <f t="shared" si="561"/>
        <v>23.474606756278455</v>
      </c>
      <c r="GK69" s="2819">
        <f t="shared" si="561"/>
        <v>-6.9400000000000017E-3</v>
      </c>
      <c r="GL69" s="389"/>
      <c r="GM69" s="3578">
        <f t="shared" si="562"/>
        <v>19.928373243721548</v>
      </c>
    </row>
    <row r="70" spans="1:195" ht="18.75" x14ac:dyDescent="0.3">
      <c r="A70" s="2784" t="s">
        <v>1543</v>
      </c>
      <c r="B70" s="2836">
        <f t="shared" si="625"/>
        <v>1E-3</v>
      </c>
      <c r="C70" s="2836">
        <f>SUM('ПОЛНАЯ СЕБЕСТОИМОСТЬ ВОДА 2023'!C218)/3</f>
        <v>0</v>
      </c>
      <c r="D70" s="2836">
        <f>SUM('ПОЛНАЯ СЕБЕСТОИМОСТЬ ВОДА 2023'!D218)/3</f>
        <v>1E-3</v>
      </c>
      <c r="E70" s="2781">
        <f t="shared" si="626"/>
        <v>0</v>
      </c>
      <c r="F70" s="2781">
        <f>SUM('ПОЛНАЯ СЕБЕСТОИМОСТЬ ВОДА 2023'!F218)</f>
        <v>0</v>
      </c>
      <c r="G70" s="2781">
        <f>SUM('ПОЛНАЯ СЕБЕСТОИМОСТЬ ВОДА 2023'!G218)</f>
        <v>0</v>
      </c>
      <c r="H70" s="2840">
        <f t="shared" si="671"/>
        <v>12.57785</v>
      </c>
      <c r="I70" s="2840">
        <v>12.574999999999999</v>
      </c>
      <c r="J70" s="2840">
        <v>2.8500000000000001E-3</v>
      </c>
      <c r="K70" s="2836">
        <f t="shared" si="627"/>
        <v>1E-3</v>
      </c>
      <c r="L70" s="2836">
        <f t="shared" si="628"/>
        <v>0</v>
      </c>
      <c r="M70" s="2836">
        <f t="shared" si="629"/>
        <v>1E-3</v>
      </c>
      <c r="N70" s="2781">
        <f t="shared" si="630"/>
        <v>0</v>
      </c>
      <c r="O70" s="2781">
        <f>SUM('ПОЛНАЯ СЕБЕСТОИМОСТЬ ВОДА 2023'!I218)</f>
        <v>0</v>
      </c>
      <c r="P70" s="2781">
        <f>SUM('ПОЛНАЯ СЕБЕСТОИМОСТЬ ВОДА 2023'!J218)</f>
        <v>0</v>
      </c>
      <c r="Q70" s="2840">
        <f t="shared" si="704"/>
        <v>9.7057000000000002</v>
      </c>
      <c r="R70" s="2840">
        <v>9.7040000000000006</v>
      </c>
      <c r="S70" s="2840">
        <v>1.6999999999999999E-3</v>
      </c>
      <c r="T70" s="2836">
        <f t="shared" si="631"/>
        <v>1E-3</v>
      </c>
      <c r="U70" s="2836">
        <f t="shared" si="632"/>
        <v>0</v>
      </c>
      <c r="V70" s="2836">
        <f t="shared" si="633"/>
        <v>1E-3</v>
      </c>
      <c r="W70" s="2781">
        <f t="shared" si="634"/>
        <v>0</v>
      </c>
      <c r="X70" s="2781">
        <f>SUM('ПОЛНАЯ СЕБЕСТОИМОСТЬ ВОДА 2023'!L218)</f>
        <v>0</v>
      </c>
      <c r="Y70" s="2781">
        <f>SUM('ПОЛНАЯ СЕБЕСТОИМОСТЬ ВОДА 2023'!M218)</f>
        <v>0</v>
      </c>
      <c r="Z70" s="2840">
        <f t="shared" si="705"/>
        <v>8.7548499999999994</v>
      </c>
      <c r="AA70" s="2840">
        <v>8.7530000000000001</v>
      </c>
      <c r="AB70" s="2840">
        <v>1.8500000000000001E-3</v>
      </c>
      <c r="AC70" s="2807">
        <f t="shared" si="635"/>
        <v>3.0000000000000001E-3</v>
      </c>
      <c r="AD70" s="2807">
        <f t="shared" si="635"/>
        <v>0</v>
      </c>
      <c r="AE70" s="2807">
        <f t="shared" si="635"/>
        <v>3.0000000000000001E-3</v>
      </c>
      <c r="AF70" s="2818">
        <f t="shared" si="635"/>
        <v>0</v>
      </c>
      <c r="AG70" s="2818">
        <f t="shared" si="635"/>
        <v>0</v>
      </c>
      <c r="AH70" s="2818">
        <f t="shared" si="635"/>
        <v>0</v>
      </c>
      <c r="AI70" s="2818">
        <f t="shared" si="635"/>
        <v>31.038399999999996</v>
      </c>
      <c r="AJ70" s="2818">
        <f t="shared" si="635"/>
        <v>31.032</v>
      </c>
      <c r="AK70" s="2818">
        <f t="shared" si="635"/>
        <v>6.4000000000000003E-3</v>
      </c>
      <c r="AL70" s="2819">
        <f t="shared" si="694"/>
        <v>-3.0000000000000001E-3</v>
      </c>
      <c r="AM70" s="2819">
        <f t="shared" si="694"/>
        <v>0</v>
      </c>
      <c r="AN70" s="2819">
        <f t="shared" si="694"/>
        <v>-3.0000000000000001E-3</v>
      </c>
      <c r="AO70" s="2836">
        <f t="shared" si="636"/>
        <v>1E-3</v>
      </c>
      <c r="AP70" s="2836">
        <f>SUM('ПОЛНАЯ СЕБЕСТОИМОСТЬ ВОДА 2023'!R218)/3</f>
        <v>0</v>
      </c>
      <c r="AQ70" s="2836">
        <f>SUM('ПОЛНАЯ СЕБЕСТОИМОСТЬ ВОДА 2023'!S218)/3</f>
        <v>1E-3</v>
      </c>
      <c r="AR70" s="2836">
        <f t="shared" si="637"/>
        <v>0</v>
      </c>
      <c r="AS70" s="2836">
        <f>SUM('ПОЛНАЯ СЕБЕСТОИМОСТЬ ВОДА 2023'!U218)</f>
        <v>0</v>
      </c>
      <c r="AT70" s="2836">
        <f>SUM('ПОЛНАЯ СЕБЕСТОИМОСТЬ ВОДА 2023'!V218)</f>
        <v>0</v>
      </c>
      <c r="AU70" s="2840">
        <f t="shared" si="706"/>
        <v>6.7469999999999999</v>
      </c>
      <c r="AV70" s="2840">
        <v>6.7450000000000001</v>
      </c>
      <c r="AW70" s="2841">
        <v>2E-3</v>
      </c>
      <c r="AX70" s="2836">
        <f t="shared" si="638"/>
        <v>1E-3</v>
      </c>
      <c r="AY70" s="2836">
        <f t="shared" si="639"/>
        <v>0</v>
      </c>
      <c r="AZ70" s="2836">
        <f t="shared" si="640"/>
        <v>1E-3</v>
      </c>
      <c r="BA70" s="2836">
        <f t="shared" si="641"/>
        <v>0</v>
      </c>
      <c r="BB70" s="2836">
        <f>SUM('ПОЛНАЯ СЕБЕСТОИМОСТЬ ВОДА 2023'!X218)</f>
        <v>0</v>
      </c>
      <c r="BC70" s="2836">
        <f>SUM('ПОЛНАЯ СЕБЕСТОИМОСТЬ ВОДА 2023'!Y218)</f>
        <v>0</v>
      </c>
      <c r="BD70" s="2840">
        <f t="shared" si="707"/>
        <v>4.9219800000000005</v>
      </c>
      <c r="BE70" s="2840">
        <v>4.9211200000000002</v>
      </c>
      <c r="BF70" s="2841">
        <v>8.5999999999999998E-4</v>
      </c>
      <c r="BG70" s="2836">
        <f t="shared" si="642"/>
        <v>1E-3</v>
      </c>
      <c r="BH70" s="2836">
        <f t="shared" si="643"/>
        <v>0</v>
      </c>
      <c r="BI70" s="2836">
        <f t="shared" si="644"/>
        <v>1E-3</v>
      </c>
      <c r="BJ70" s="2781">
        <f t="shared" si="645"/>
        <v>0</v>
      </c>
      <c r="BK70" s="2781">
        <f>SUM('ПОЛНАЯ СЕБЕСТОИМОСТЬ ВОДА 2023'!AA218)</f>
        <v>0</v>
      </c>
      <c r="BL70" s="2781">
        <f>SUM('ПОЛНАЯ СЕБЕСТОИМОСТЬ ВОДА 2023'!AB218)</f>
        <v>0</v>
      </c>
      <c r="BM70" s="2840">
        <f t="shared" si="708"/>
        <v>0</v>
      </c>
      <c r="BN70" s="2840">
        <v>0</v>
      </c>
      <c r="BO70" s="2840">
        <v>0</v>
      </c>
      <c r="BP70" s="2807">
        <f t="shared" si="646"/>
        <v>3.0000000000000001E-3</v>
      </c>
      <c r="BQ70" s="2807">
        <f t="shared" si="646"/>
        <v>0</v>
      </c>
      <c r="BR70" s="2807">
        <f t="shared" si="646"/>
        <v>3.0000000000000001E-3</v>
      </c>
      <c r="BS70" s="2842">
        <f t="shared" si="646"/>
        <v>0</v>
      </c>
      <c r="BT70" s="2842">
        <f t="shared" si="646"/>
        <v>0</v>
      </c>
      <c r="BU70" s="2842">
        <f t="shared" si="646"/>
        <v>0</v>
      </c>
      <c r="BV70" s="2842">
        <f t="shared" si="646"/>
        <v>11.668980000000001</v>
      </c>
      <c r="BW70" s="2842">
        <f t="shared" si="646"/>
        <v>11.666119999999999</v>
      </c>
      <c r="BX70" s="2842">
        <f t="shared" si="646"/>
        <v>2.8600000000000001E-3</v>
      </c>
      <c r="BY70" s="2805"/>
      <c r="BZ70" s="2805"/>
      <c r="CA70" s="2805"/>
      <c r="CB70" s="2818">
        <f t="shared" si="647"/>
        <v>6.0000000000000001E-3</v>
      </c>
      <c r="CC70" s="2818">
        <f t="shared" si="647"/>
        <v>0</v>
      </c>
      <c r="CD70" s="2818">
        <f t="shared" si="647"/>
        <v>6.0000000000000001E-3</v>
      </c>
      <c r="CE70" s="2818">
        <f t="shared" si="647"/>
        <v>0</v>
      </c>
      <c r="CF70" s="2818">
        <f t="shared" si="647"/>
        <v>0</v>
      </c>
      <c r="CG70" s="2818">
        <f t="shared" si="647"/>
        <v>0</v>
      </c>
      <c r="CH70" s="2818">
        <f t="shared" si="647"/>
        <v>42.707380000000001</v>
      </c>
      <c r="CI70" s="2818">
        <f t="shared" si="647"/>
        <v>42.698120000000003</v>
      </c>
      <c r="CJ70" s="2818">
        <f t="shared" si="647"/>
        <v>9.2600000000000009E-3</v>
      </c>
      <c r="CK70" s="2819">
        <f t="shared" si="553"/>
        <v>-6.0000000000000001E-3</v>
      </c>
      <c r="CL70" s="2819">
        <f t="shared" si="553"/>
        <v>0</v>
      </c>
      <c r="CM70" s="2819">
        <f t="shared" si="553"/>
        <v>-6.0000000000000001E-3</v>
      </c>
      <c r="CN70" s="2836">
        <f t="shared" si="648"/>
        <v>1E-3</v>
      </c>
      <c r="CO70" s="2836">
        <f>SUM('ПОЛНАЯ СЕБЕСТОИМОСТЬ ВОДА 2023'!AP218)/3</f>
        <v>0</v>
      </c>
      <c r="CP70" s="2836">
        <f>SUM('ПОЛНАЯ СЕБЕСТОИМОСТЬ ВОДА 2023'!AQ218)/3</f>
        <v>1E-3</v>
      </c>
      <c r="CQ70" s="2781">
        <f t="shared" si="649"/>
        <v>0</v>
      </c>
      <c r="CR70" s="2781">
        <f>SUM('ПОЛНАЯ СЕБЕСТОИМОСТЬ ВОДА 2023'!AS218)</f>
        <v>0</v>
      </c>
      <c r="CS70" s="2781">
        <f>SUM('ПОЛНАЯ СЕБЕСТОИМОСТЬ ВОДА 2023'!AT218)</f>
        <v>0</v>
      </c>
      <c r="CT70" s="2840">
        <f t="shared" si="709"/>
        <v>0</v>
      </c>
      <c r="CU70" s="2840">
        <v>0</v>
      </c>
      <c r="CV70" s="2840">
        <v>0</v>
      </c>
      <c r="CW70" s="2836">
        <f t="shared" si="650"/>
        <v>1E-3</v>
      </c>
      <c r="CX70" s="2836">
        <f t="shared" si="651"/>
        <v>0</v>
      </c>
      <c r="CY70" s="2836">
        <f t="shared" si="652"/>
        <v>1E-3</v>
      </c>
      <c r="CZ70" s="2781">
        <f t="shared" si="653"/>
        <v>0</v>
      </c>
      <c r="DA70" s="2781">
        <f>SUM('ПОЛНАЯ СЕБЕСТОИМОСТЬ ВОДА 2023'!AV218)</f>
        <v>0</v>
      </c>
      <c r="DB70" s="2781">
        <f>SUM('ПОЛНАЯ СЕБЕСТОИМОСТЬ ВОДА 2023'!AW218)</f>
        <v>0</v>
      </c>
      <c r="DC70" s="2840">
        <f t="shared" si="710"/>
        <v>0</v>
      </c>
      <c r="DD70" s="2840">
        <v>0</v>
      </c>
      <c r="DE70" s="2840">
        <v>0</v>
      </c>
      <c r="DF70" s="2836">
        <f t="shared" si="654"/>
        <v>1E-3</v>
      </c>
      <c r="DG70" s="2836">
        <f t="shared" si="655"/>
        <v>0</v>
      </c>
      <c r="DH70" s="2836">
        <f t="shared" si="656"/>
        <v>1E-3</v>
      </c>
      <c r="DI70" s="2781">
        <f t="shared" si="657"/>
        <v>0</v>
      </c>
      <c r="DJ70" s="2781">
        <f>SUM('ПОЛНАЯ СЕБЕСТОИМОСТЬ ВОДА 2023'!AY218)</f>
        <v>0</v>
      </c>
      <c r="DK70" s="2781">
        <f>SUM('ПОЛНАЯ СЕБЕСТОИМОСТЬ ВОДА 2023'!AZ218)</f>
        <v>0</v>
      </c>
      <c r="DL70" s="2840">
        <f t="shared" si="711"/>
        <v>1.1187500000000001</v>
      </c>
      <c r="DM70" s="2840">
        <v>1.1185</v>
      </c>
      <c r="DN70" s="2840">
        <v>2.5000000000000001E-4</v>
      </c>
      <c r="DO70" s="2807">
        <f t="shared" si="658"/>
        <v>3.0000000000000001E-3</v>
      </c>
      <c r="DP70" s="2807">
        <f t="shared" si="658"/>
        <v>0</v>
      </c>
      <c r="DQ70" s="2807">
        <f t="shared" si="658"/>
        <v>3.0000000000000001E-3</v>
      </c>
      <c r="DR70" s="2842">
        <f t="shared" si="658"/>
        <v>0</v>
      </c>
      <c r="DS70" s="2842">
        <f t="shared" si="658"/>
        <v>0</v>
      </c>
      <c r="DT70" s="2842">
        <f t="shared" si="658"/>
        <v>0</v>
      </c>
      <c r="DU70" s="2842">
        <f t="shared" si="658"/>
        <v>1.1187500000000001</v>
      </c>
      <c r="DV70" s="2842">
        <f t="shared" si="658"/>
        <v>1.1185</v>
      </c>
      <c r="DW70" s="2842">
        <f t="shared" si="658"/>
        <v>2.5000000000000001E-4</v>
      </c>
      <c r="DX70" s="2805">
        <f t="shared" si="555"/>
        <v>-3.0000000000000001E-3</v>
      </c>
      <c r="DY70" s="2805">
        <f t="shared" si="555"/>
        <v>0</v>
      </c>
      <c r="DZ70" s="2805">
        <f t="shared" si="555"/>
        <v>-3.0000000000000001E-3</v>
      </c>
      <c r="EA70" s="2807">
        <f t="shared" si="659"/>
        <v>9.0000000000000011E-3</v>
      </c>
      <c r="EB70" s="2807">
        <f t="shared" si="659"/>
        <v>0</v>
      </c>
      <c r="EC70" s="2807">
        <f t="shared" si="659"/>
        <v>9.0000000000000011E-3</v>
      </c>
      <c r="ED70" s="2842">
        <f t="shared" si="659"/>
        <v>0</v>
      </c>
      <c r="EE70" s="2842">
        <f t="shared" si="659"/>
        <v>0</v>
      </c>
      <c r="EF70" s="2842">
        <f t="shared" si="659"/>
        <v>0</v>
      </c>
      <c r="EG70" s="2842">
        <f t="shared" si="659"/>
        <v>43.826129999999999</v>
      </c>
      <c r="EH70" s="2842">
        <f t="shared" si="659"/>
        <v>43.81662</v>
      </c>
      <c r="EI70" s="2842">
        <f t="shared" si="659"/>
        <v>9.5100000000000011E-3</v>
      </c>
      <c r="EJ70" s="2805">
        <f t="shared" si="557"/>
        <v>-9.0000000000000011E-3</v>
      </c>
      <c r="EK70" s="2805">
        <f t="shared" si="557"/>
        <v>0</v>
      </c>
      <c r="EL70" s="2805">
        <f t="shared" si="557"/>
        <v>-9.0000000000000011E-3</v>
      </c>
      <c r="EM70" s="2836">
        <f t="shared" si="660"/>
        <v>1E-3</v>
      </c>
      <c r="EN70" s="2836">
        <f>SUM('ПОЛНАЯ СЕБЕСТОИМОСТЬ ВОДА 2023'!BN218)/3</f>
        <v>0</v>
      </c>
      <c r="EO70" s="2836">
        <f>SUM('ПОЛНАЯ СЕБЕСТОИМОСТЬ ВОДА 2023'!BO218)/3</f>
        <v>1E-3</v>
      </c>
      <c r="EP70" s="2781">
        <f t="shared" si="661"/>
        <v>0</v>
      </c>
      <c r="EQ70" s="2781">
        <f>SUM('ПОЛНАЯ СЕБЕСТОИМОСТЬ ВОДА 2023'!BQ218)</f>
        <v>0</v>
      </c>
      <c r="ER70" s="2781">
        <f>SUM('ПОЛНАЯ СЕБЕСТОИМОСТЬ ВОДА 2023'!BR218)</f>
        <v>0</v>
      </c>
      <c r="ES70" s="2840">
        <f t="shared" si="712"/>
        <v>6.657</v>
      </c>
      <c r="ET70" s="2840">
        <v>6.657</v>
      </c>
      <c r="EU70" s="3598">
        <v>0</v>
      </c>
      <c r="EV70" s="2836">
        <f t="shared" si="662"/>
        <v>1E-3</v>
      </c>
      <c r="EW70" s="2836">
        <f t="shared" si="663"/>
        <v>0</v>
      </c>
      <c r="EX70" s="2836">
        <f t="shared" si="664"/>
        <v>1E-3</v>
      </c>
      <c r="EY70" s="2781">
        <f t="shared" si="665"/>
        <v>0</v>
      </c>
      <c r="EZ70" s="2781">
        <f>SUM('ПОЛНАЯ СЕБЕСТОИМОСТЬ ВОДА 2023'!BT218)</f>
        <v>0</v>
      </c>
      <c r="FA70" s="2781">
        <f>SUM('ПОЛНАЯ СЕБЕСТОИМОСТЬ ВОДА 2023'!BU218)</f>
        <v>0</v>
      </c>
      <c r="FB70" s="2840">
        <f t="shared" si="713"/>
        <v>0</v>
      </c>
      <c r="FC70" s="2840">
        <v>0</v>
      </c>
      <c r="FD70" s="2840">
        <v>0</v>
      </c>
      <c r="FE70" s="2836">
        <f t="shared" si="666"/>
        <v>1E-3</v>
      </c>
      <c r="FF70" s="2836">
        <f t="shared" si="667"/>
        <v>0</v>
      </c>
      <c r="FG70" s="2836">
        <f t="shared" si="668"/>
        <v>1E-3</v>
      </c>
      <c r="FH70" s="2781">
        <f t="shared" si="613"/>
        <v>0</v>
      </c>
      <c r="FI70" s="2781">
        <f>SUM('ПОЛНАЯ СЕБЕСТОИМОСТЬ ВОДА 2023'!BW218)</f>
        <v>0</v>
      </c>
      <c r="FJ70" s="2781">
        <f>SUM('ПОЛНАЯ СЕБЕСТОИМОСТЬ ВОДА 2023'!BX218)</f>
        <v>0</v>
      </c>
      <c r="FK70" s="2840">
        <f t="shared" si="714"/>
        <v>0</v>
      </c>
      <c r="FL70" s="2840">
        <v>0</v>
      </c>
      <c r="FM70" s="3598">
        <v>0</v>
      </c>
      <c r="FN70" s="2807">
        <f t="shared" si="669"/>
        <v>3.0000000000000001E-3</v>
      </c>
      <c r="FO70" s="2807">
        <f t="shared" si="669"/>
        <v>0</v>
      </c>
      <c r="FP70" s="2807">
        <f t="shared" si="669"/>
        <v>3.0000000000000001E-3</v>
      </c>
      <c r="FQ70" s="2818">
        <f t="shared" si="669"/>
        <v>0</v>
      </c>
      <c r="FR70" s="2818">
        <f t="shared" si="669"/>
        <v>0</v>
      </c>
      <c r="FS70" s="2818">
        <f t="shared" si="669"/>
        <v>0</v>
      </c>
      <c r="FT70" s="2818">
        <f t="shared" si="669"/>
        <v>6.657</v>
      </c>
      <c r="FU70" s="2818">
        <f t="shared" si="669"/>
        <v>6.657</v>
      </c>
      <c r="FV70" s="2818">
        <f t="shared" si="669"/>
        <v>0</v>
      </c>
      <c r="FW70" s="2819">
        <f t="shared" si="559"/>
        <v>-3.0000000000000001E-3</v>
      </c>
      <c r="FX70" s="2819">
        <f t="shared" si="559"/>
        <v>0</v>
      </c>
      <c r="FY70" s="2819">
        <f t="shared" si="559"/>
        <v>-3.0000000000000001E-3</v>
      </c>
      <c r="FZ70" s="2807">
        <f t="shared" si="670"/>
        <v>1.2E-2</v>
      </c>
      <c r="GA70" s="2807">
        <f t="shared" si="670"/>
        <v>0</v>
      </c>
      <c r="GB70" s="2807">
        <f t="shared" si="670"/>
        <v>1.2E-2</v>
      </c>
      <c r="GC70" s="2818">
        <f t="shared" si="670"/>
        <v>0</v>
      </c>
      <c r="GD70" s="2818">
        <f t="shared" si="670"/>
        <v>0</v>
      </c>
      <c r="GE70" s="2818">
        <f t="shared" si="670"/>
        <v>0</v>
      </c>
      <c r="GF70" s="2818">
        <f t="shared" si="670"/>
        <v>50.483130000000003</v>
      </c>
      <c r="GG70" s="2818">
        <f t="shared" si="670"/>
        <v>50.473619999999997</v>
      </c>
      <c r="GH70" s="2818">
        <f t="shared" si="670"/>
        <v>9.5100000000000011E-3</v>
      </c>
      <c r="GI70" s="2819">
        <f t="shared" si="561"/>
        <v>-1.2E-2</v>
      </c>
      <c r="GJ70" s="2819">
        <f t="shared" si="561"/>
        <v>0</v>
      </c>
      <c r="GK70" s="2819">
        <f t="shared" si="561"/>
        <v>-1.2E-2</v>
      </c>
      <c r="GL70" s="389"/>
      <c r="GM70" s="3578">
        <f t="shared" si="562"/>
        <v>1.2000000000000004E-2</v>
      </c>
    </row>
    <row r="71" spans="1:195" ht="18.75" x14ac:dyDescent="0.3">
      <c r="A71" s="2784" t="s">
        <v>273</v>
      </c>
      <c r="B71" s="2836">
        <f t="shared" si="625"/>
        <v>7.0539999999999994</v>
      </c>
      <c r="C71" s="2836">
        <f>SUM('ПОЛНАЯ СЕБЕСТОИМОСТЬ ВОДА 2023'!C219)/3</f>
        <v>7.0539999999999994</v>
      </c>
      <c r="D71" s="2836">
        <f>SUM('ПОЛНАЯ СЕБЕСТОИМОСТЬ ВОДА 2023'!D219)/3</f>
        <v>0</v>
      </c>
      <c r="E71" s="2781">
        <f t="shared" si="626"/>
        <v>2.6619999999999999</v>
      </c>
      <c r="F71" s="2781">
        <f>SUM('ПОЛНАЯ СЕБЕСТОИМОСТЬ ВОДА 2023'!F219)</f>
        <v>2.6619999999999999</v>
      </c>
      <c r="G71" s="2781">
        <f>SUM('ПОЛНАЯ СЕБЕСТОИМОСТЬ ВОДА 2023'!G219)</f>
        <v>0</v>
      </c>
      <c r="H71" s="2840">
        <f t="shared" si="671"/>
        <v>8.5439399999999992</v>
      </c>
      <c r="I71" s="2840">
        <v>8.5419999999999998</v>
      </c>
      <c r="J71" s="2840">
        <v>1.9400000000000001E-3</v>
      </c>
      <c r="K71" s="2836">
        <f t="shared" si="627"/>
        <v>7.0539999999999994</v>
      </c>
      <c r="L71" s="2836">
        <f t="shared" si="628"/>
        <v>7.0539999999999994</v>
      </c>
      <c r="M71" s="2836">
        <f t="shared" si="629"/>
        <v>0</v>
      </c>
      <c r="N71" s="2781">
        <f t="shared" si="630"/>
        <v>2.6397200000000001</v>
      </c>
      <c r="O71" s="2781">
        <f>SUM('ПОЛНАЯ СЕБЕСТОИМОСТЬ ВОДА 2023'!I219)</f>
        <v>2.6397200000000001</v>
      </c>
      <c r="P71" s="2781">
        <f>SUM('ПОЛНАЯ СЕБЕСТОИМОСТЬ ВОДА 2023'!J219)</f>
        <v>0</v>
      </c>
      <c r="Q71" s="2840">
        <f t="shared" si="704"/>
        <v>8.7205999999999992</v>
      </c>
      <c r="R71" s="2840">
        <v>8.7189999999999994</v>
      </c>
      <c r="S71" s="2840">
        <v>1.6000000000000001E-3</v>
      </c>
      <c r="T71" s="2836">
        <f t="shared" si="631"/>
        <v>7.0539999999999994</v>
      </c>
      <c r="U71" s="2836">
        <f t="shared" si="632"/>
        <v>7.0539999999999994</v>
      </c>
      <c r="V71" s="2836">
        <f t="shared" si="633"/>
        <v>0</v>
      </c>
      <c r="W71" s="2781">
        <f t="shared" si="634"/>
        <v>2.6781699999999997</v>
      </c>
      <c r="X71" s="2781">
        <f>SUM('ПОЛНАЯ СЕБЕСТОИМОСТЬ ВОДА 2023'!L219)</f>
        <v>2.6779999999999999</v>
      </c>
      <c r="Y71" s="2781">
        <f>SUM('ПОЛНАЯ СЕБЕСТОИМОСТЬ ВОДА 2023'!M219)</f>
        <v>1.7000000000000001E-4</v>
      </c>
      <c r="Z71" s="2840">
        <f t="shared" si="705"/>
        <v>8.7167499999999993</v>
      </c>
      <c r="AA71" s="2840">
        <v>8.7149999999999999</v>
      </c>
      <c r="AB71" s="2840">
        <v>1.75E-3</v>
      </c>
      <c r="AC71" s="2807">
        <f t="shared" si="635"/>
        <v>21.161999999999999</v>
      </c>
      <c r="AD71" s="2807">
        <f t="shared" si="635"/>
        <v>21.161999999999999</v>
      </c>
      <c r="AE71" s="2807">
        <f t="shared" si="635"/>
        <v>0</v>
      </c>
      <c r="AF71" s="2818">
        <f t="shared" si="635"/>
        <v>7.9798899999999993</v>
      </c>
      <c r="AG71" s="2818">
        <f t="shared" si="635"/>
        <v>7.9797199999999995</v>
      </c>
      <c r="AH71" s="2818">
        <f t="shared" si="635"/>
        <v>1.7000000000000001E-4</v>
      </c>
      <c r="AI71" s="2818">
        <f t="shared" si="635"/>
        <v>25.981289999999994</v>
      </c>
      <c r="AJ71" s="2818">
        <f t="shared" si="635"/>
        <v>25.975999999999999</v>
      </c>
      <c r="AK71" s="2818">
        <f t="shared" si="635"/>
        <v>5.2900000000000004E-3</v>
      </c>
      <c r="AL71" s="2819">
        <f t="shared" si="694"/>
        <v>-13.18211</v>
      </c>
      <c r="AM71" s="2819">
        <f t="shared" si="694"/>
        <v>-13.182279999999999</v>
      </c>
      <c r="AN71" s="2819">
        <f t="shared" si="694"/>
        <v>1.7000000000000001E-4</v>
      </c>
      <c r="AO71" s="2836">
        <f t="shared" si="636"/>
        <v>7.0539999999999994</v>
      </c>
      <c r="AP71" s="2836">
        <f>SUM('ПОЛНАЯ СЕБЕСТОИМОСТЬ ВОДА 2023'!R219)/3</f>
        <v>7.0539999999999994</v>
      </c>
      <c r="AQ71" s="2836">
        <f>SUM('ПОЛНАЯ СЕБЕСТОИМОСТЬ ВОДА 2023'!S219)/3</f>
        <v>0</v>
      </c>
      <c r="AR71" s="2836">
        <f t="shared" si="637"/>
        <v>2.7556400000000001</v>
      </c>
      <c r="AS71" s="2836">
        <f>SUM('ПОЛНАЯ СЕБЕСТОИМОСТЬ ВОДА 2023'!U219)</f>
        <v>2.75461</v>
      </c>
      <c r="AT71" s="2836">
        <f>SUM('ПОЛНАЯ СЕБЕСТОИМОСТЬ ВОДА 2023'!V219)</f>
        <v>1.0300000000000001E-3</v>
      </c>
      <c r="AU71" s="2840">
        <f t="shared" si="706"/>
        <v>6.4069000000000003</v>
      </c>
      <c r="AV71" s="2840">
        <v>6.4050000000000002</v>
      </c>
      <c r="AW71" s="2841">
        <v>1.9E-3</v>
      </c>
      <c r="AX71" s="2836">
        <f t="shared" si="638"/>
        <v>7.0539999999999994</v>
      </c>
      <c r="AY71" s="2836">
        <f t="shared" si="639"/>
        <v>7.0539999999999994</v>
      </c>
      <c r="AZ71" s="2836">
        <f t="shared" si="640"/>
        <v>0</v>
      </c>
      <c r="BA71" s="2836">
        <f t="shared" si="641"/>
        <v>2.6663700000000001</v>
      </c>
      <c r="BB71" s="2836">
        <f>SUM('ПОЛНАЯ СЕБЕСТОИМОСТЬ ВОДА 2023'!X219)</f>
        <v>2.665</v>
      </c>
      <c r="BC71" s="2836">
        <f>SUM('ПОЛНАЯ СЕБЕСТОИМОСТЬ ВОДА 2023'!Y219)</f>
        <v>1.3699999999999999E-3</v>
      </c>
      <c r="BD71" s="2840">
        <f t="shared" si="707"/>
        <v>7.0782299999999996</v>
      </c>
      <c r="BE71" s="2840">
        <v>7.077</v>
      </c>
      <c r="BF71" s="2841">
        <v>1.23E-3</v>
      </c>
      <c r="BG71" s="2836">
        <f t="shared" si="642"/>
        <v>7.0539999999999994</v>
      </c>
      <c r="BH71" s="2836">
        <f t="shared" si="643"/>
        <v>7.0539999999999994</v>
      </c>
      <c r="BI71" s="2836">
        <f t="shared" si="644"/>
        <v>0</v>
      </c>
      <c r="BJ71" s="2781">
        <f t="shared" si="645"/>
        <v>6.5508600000000001</v>
      </c>
      <c r="BK71" s="2781">
        <f>SUM('ПОЛНАЯ СЕБЕСТОИМОСТЬ ВОДА 2023'!AA219)</f>
        <v>6.5484299999999998</v>
      </c>
      <c r="BL71" s="2781">
        <f>SUM('ПОЛНАЯ СЕБЕСТОИМОСТЬ ВОДА 2023'!AB219)</f>
        <v>2.4299999999999999E-3</v>
      </c>
      <c r="BM71" s="2840">
        <f t="shared" si="708"/>
        <v>6.0992100000000002</v>
      </c>
      <c r="BN71" s="2840">
        <v>6.0975900000000003</v>
      </c>
      <c r="BO71" s="2840">
        <v>1.6199999999999999E-3</v>
      </c>
      <c r="BP71" s="2807">
        <f t="shared" si="646"/>
        <v>21.161999999999999</v>
      </c>
      <c r="BQ71" s="2807">
        <f t="shared" si="646"/>
        <v>21.161999999999999</v>
      </c>
      <c r="BR71" s="2807">
        <f t="shared" si="646"/>
        <v>0</v>
      </c>
      <c r="BS71" s="2842">
        <f t="shared" si="646"/>
        <v>11.97287</v>
      </c>
      <c r="BT71" s="2842">
        <f t="shared" si="646"/>
        <v>11.96804</v>
      </c>
      <c r="BU71" s="2842">
        <f t="shared" si="646"/>
        <v>4.8300000000000001E-3</v>
      </c>
      <c r="BV71" s="2842">
        <f t="shared" si="646"/>
        <v>19.584340000000001</v>
      </c>
      <c r="BW71" s="2842">
        <f t="shared" si="646"/>
        <v>19.57959</v>
      </c>
      <c r="BX71" s="2842">
        <f t="shared" si="646"/>
        <v>4.7499999999999999E-3</v>
      </c>
      <c r="BY71" s="2805"/>
      <c r="BZ71" s="2805"/>
      <c r="CA71" s="2805"/>
      <c r="CB71" s="2818">
        <f t="shared" si="647"/>
        <v>42.323999999999998</v>
      </c>
      <c r="CC71" s="2818">
        <f t="shared" si="647"/>
        <v>42.323999999999998</v>
      </c>
      <c r="CD71" s="2818">
        <f t="shared" si="647"/>
        <v>0</v>
      </c>
      <c r="CE71" s="2818">
        <f t="shared" si="647"/>
        <v>19.952759999999998</v>
      </c>
      <c r="CF71" s="2818">
        <f t="shared" si="647"/>
        <v>19.947759999999999</v>
      </c>
      <c r="CG71" s="2818">
        <f t="shared" si="647"/>
        <v>5.0000000000000001E-3</v>
      </c>
      <c r="CH71" s="2818">
        <f t="shared" si="647"/>
        <v>45.565629999999999</v>
      </c>
      <c r="CI71" s="2818">
        <f t="shared" si="647"/>
        <v>45.555589999999995</v>
      </c>
      <c r="CJ71" s="2818">
        <f t="shared" si="647"/>
        <v>1.004E-2</v>
      </c>
      <c r="CK71" s="2819">
        <f t="shared" si="553"/>
        <v>-22.37124</v>
      </c>
      <c r="CL71" s="2819">
        <f t="shared" si="553"/>
        <v>-22.376239999999999</v>
      </c>
      <c r="CM71" s="2819">
        <f t="shared" si="553"/>
        <v>5.0000000000000001E-3</v>
      </c>
      <c r="CN71" s="2836">
        <f t="shared" si="648"/>
        <v>7.0539999999999994</v>
      </c>
      <c r="CO71" s="2836">
        <f>SUM('ПОЛНАЯ СЕБЕСТОИМОСТЬ ВОДА 2023'!AP219)/3</f>
        <v>7.0539999999999994</v>
      </c>
      <c r="CP71" s="2836">
        <f>SUM('ПОЛНАЯ СЕБЕСТОИМОСТЬ ВОДА 2023'!AQ219)/3</f>
        <v>0</v>
      </c>
      <c r="CQ71" s="2781">
        <f t="shared" si="649"/>
        <v>6.3975399999999993</v>
      </c>
      <c r="CR71" s="2781">
        <f>SUM('ПОЛНАЯ СЕБЕСТОИМОСТЬ ВОДА 2023'!AS219)</f>
        <v>6.3956099999999996</v>
      </c>
      <c r="CS71" s="2781">
        <f>SUM('ПОЛНАЯ СЕБЕСТОИМОСТЬ ВОДА 2023'!AT219)</f>
        <v>1.9300000000000001E-3</v>
      </c>
      <c r="CT71" s="2840">
        <f t="shared" si="709"/>
        <v>6.1086800000000006</v>
      </c>
      <c r="CU71" s="2840">
        <v>6.1070000000000002</v>
      </c>
      <c r="CV71" s="2840">
        <v>1.6800000000000001E-3</v>
      </c>
      <c r="CW71" s="2836">
        <f t="shared" si="650"/>
        <v>7.0539999999999994</v>
      </c>
      <c r="CX71" s="2836">
        <f t="shared" si="651"/>
        <v>7.0539999999999994</v>
      </c>
      <c r="CY71" s="2836">
        <f t="shared" si="652"/>
        <v>0</v>
      </c>
      <c r="CZ71" s="2781">
        <f t="shared" si="653"/>
        <v>0</v>
      </c>
      <c r="DA71" s="2781">
        <f>SUM('ПОЛНАЯ СЕБЕСТОИМОСТЬ ВОДА 2023'!AV219)</f>
        <v>0</v>
      </c>
      <c r="DB71" s="2781">
        <f>SUM('ПОЛНАЯ СЕБЕСТОИМОСТЬ ВОДА 2023'!AW219)</f>
        <v>0</v>
      </c>
      <c r="DC71" s="2840">
        <f t="shared" si="710"/>
        <v>6.5446599999999995</v>
      </c>
      <c r="DD71" s="2840">
        <v>6.5439999999999996</v>
      </c>
      <c r="DE71" s="2840">
        <v>6.6E-4</v>
      </c>
      <c r="DF71" s="2836">
        <f t="shared" si="654"/>
        <v>7.0539999999999994</v>
      </c>
      <c r="DG71" s="2836">
        <f t="shared" si="655"/>
        <v>7.0539999999999994</v>
      </c>
      <c r="DH71" s="2836">
        <f t="shared" si="656"/>
        <v>0</v>
      </c>
      <c r="DI71" s="2781">
        <f t="shared" si="657"/>
        <v>0</v>
      </c>
      <c r="DJ71" s="2781">
        <f>SUM('ПОЛНАЯ СЕБЕСТОИМОСТЬ ВОДА 2023'!AY219)</f>
        <v>0</v>
      </c>
      <c r="DK71" s="2781">
        <f>SUM('ПОЛНАЯ СЕБЕСТОИМОСТЬ ВОДА 2023'!AZ219)</f>
        <v>0</v>
      </c>
      <c r="DL71" s="2840">
        <f t="shared" si="711"/>
        <v>6.1600599999999996</v>
      </c>
      <c r="DM71" s="2840">
        <v>6.1589999999999998</v>
      </c>
      <c r="DN71" s="2840">
        <v>1.06E-3</v>
      </c>
      <c r="DO71" s="2807">
        <f t="shared" si="658"/>
        <v>21.161999999999999</v>
      </c>
      <c r="DP71" s="2807">
        <f t="shared" si="658"/>
        <v>21.161999999999999</v>
      </c>
      <c r="DQ71" s="2807">
        <f t="shared" si="658"/>
        <v>0</v>
      </c>
      <c r="DR71" s="2842">
        <f t="shared" si="658"/>
        <v>6.3975399999999993</v>
      </c>
      <c r="DS71" s="2842">
        <f t="shared" si="658"/>
        <v>6.3956099999999996</v>
      </c>
      <c r="DT71" s="2842">
        <f t="shared" si="658"/>
        <v>1.9300000000000001E-3</v>
      </c>
      <c r="DU71" s="2842">
        <f t="shared" si="658"/>
        <v>18.813400000000001</v>
      </c>
      <c r="DV71" s="2842">
        <f t="shared" si="658"/>
        <v>18.809999999999999</v>
      </c>
      <c r="DW71" s="2842">
        <f t="shared" si="658"/>
        <v>3.4000000000000002E-3</v>
      </c>
      <c r="DX71" s="2805">
        <f t="shared" si="555"/>
        <v>-14.76446</v>
      </c>
      <c r="DY71" s="2805">
        <f t="shared" si="555"/>
        <v>-14.766389999999999</v>
      </c>
      <c r="DZ71" s="2805">
        <f t="shared" si="555"/>
        <v>1.9300000000000001E-3</v>
      </c>
      <c r="EA71" s="2807">
        <f t="shared" si="659"/>
        <v>63.485999999999997</v>
      </c>
      <c r="EB71" s="2807">
        <f t="shared" si="659"/>
        <v>63.485999999999997</v>
      </c>
      <c r="EC71" s="2807">
        <f t="shared" si="659"/>
        <v>0</v>
      </c>
      <c r="ED71" s="2842">
        <f t="shared" si="659"/>
        <v>26.350299999999997</v>
      </c>
      <c r="EE71" s="2842">
        <f t="shared" si="659"/>
        <v>26.34337</v>
      </c>
      <c r="EF71" s="2842">
        <f t="shared" si="659"/>
        <v>6.9300000000000004E-3</v>
      </c>
      <c r="EG71" s="2842">
        <f t="shared" si="659"/>
        <v>64.37903</v>
      </c>
      <c r="EH71" s="2842">
        <f t="shared" si="659"/>
        <v>64.365589999999997</v>
      </c>
      <c r="EI71" s="2842">
        <f t="shared" si="659"/>
        <v>1.3440000000000001E-2</v>
      </c>
      <c r="EJ71" s="2805">
        <f t="shared" si="557"/>
        <v>-37.1357</v>
      </c>
      <c r="EK71" s="2805">
        <f t="shared" si="557"/>
        <v>-37.142629999999997</v>
      </c>
      <c r="EL71" s="2805">
        <f t="shared" si="557"/>
        <v>6.9300000000000004E-3</v>
      </c>
      <c r="EM71" s="2836">
        <f t="shared" si="660"/>
        <v>7.0539999999999994</v>
      </c>
      <c r="EN71" s="2836">
        <f>SUM('ПОЛНАЯ СЕБЕСТОИМОСТЬ ВОДА 2023'!BN219)/3</f>
        <v>7.0539999999999994</v>
      </c>
      <c r="EO71" s="2836">
        <f>SUM('ПОЛНАЯ СЕБЕСТОИМОСТЬ ВОДА 2023'!BO219)/3</f>
        <v>0</v>
      </c>
      <c r="EP71" s="2781">
        <f t="shared" si="661"/>
        <v>0</v>
      </c>
      <c r="EQ71" s="2781">
        <f>SUM('ПОЛНАЯ СЕБЕСТОИМОСТЬ ВОДА 2023'!BQ219)</f>
        <v>0</v>
      </c>
      <c r="ER71" s="2781">
        <f>SUM('ПОЛНАЯ СЕБЕСТОИМОСТЬ ВОДА 2023'!BR219)</f>
        <v>0</v>
      </c>
      <c r="ES71" s="2840">
        <f t="shared" si="712"/>
        <v>6.1719999999999997</v>
      </c>
      <c r="ET71" s="2840">
        <v>6.1719999999999997</v>
      </c>
      <c r="EU71" s="3598">
        <v>0</v>
      </c>
      <c r="EV71" s="2836">
        <f t="shared" si="662"/>
        <v>7.0539999999999994</v>
      </c>
      <c r="EW71" s="2836">
        <f t="shared" si="663"/>
        <v>7.0539999999999994</v>
      </c>
      <c r="EX71" s="2836">
        <f t="shared" si="664"/>
        <v>0</v>
      </c>
      <c r="EY71" s="2781">
        <f t="shared" si="665"/>
        <v>0</v>
      </c>
      <c r="EZ71" s="2781">
        <f>SUM('ПОЛНАЯ СЕБЕСТОИМОСТЬ ВОДА 2023'!BT219)</f>
        <v>0</v>
      </c>
      <c r="FA71" s="2781">
        <f>SUM('ПОЛНАЯ СЕБЕСТОИМОСТЬ ВОДА 2023'!BU219)</f>
        <v>0</v>
      </c>
      <c r="FB71" s="2840">
        <f t="shared" si="713"/>
        <v>2.7880799999999999</v>
      </c>
      <c r="FC71" s="2840">
        <v>2.7880799999999999</v>
      </c>
      <c r="FD71" s="2840">
        <v>0</v>
      </c>
      <c r="FE71" s="2836">
        <f t="shared" si="666"/>
        <v>7.0539999999999994</v>
      </c>
      <c r="FF71" s="2836">
        <f t="shared" si="667"/>
        <v>7.0539999999999994</v>
      </c>
      <c r="FG71" s="2836">
        <f t="shared" si="668"/>
        <v>0</v>
      </c>
      <c r="FH71" s="2781">
        <f t="shared" si="613"/>
        <v>0</v>
      </c>
      <c r="FI71" s="2781">
        <f>SUM('ПОЛНАЯ СЕБЕСТОИМОСТЬ ВОДА 2023'!BW219)</f>
        <v>0</v>
      </c>
      <c r="FJ71" s="2781">
        <f>SUM('ПОЛНАЯ СЕБЕСТОИМОСТЬ ВОДА 2023'!BX219)</f>
        <v>0</v>
      </c>
      <c r="FK71" s="2840">
        <f t="shared" si="714"/>
        <v>2.5990000000000002</v>
      </c>
      <c r="FL71" s="2840">
        <v>2.5990000000000002</v>
      </c>
      <c r="FM71" s="3598">
        <v>0</v>
      </c>
      <c r="FN71" s="2807">
        <f t="shared" si="669"/>
        <v>21.161999999999999</v>
      </c>
      <c r="FO71" s="2807">
        <f t="shared" si="669"/>
        <v>21.161999999999999</v>
      </c>
      <c r="FP71" s="2807">
        <f t="shared" si="669"/>
        <v>0</v>
      </c>
      <c r="FQ71" s="2818">
        <f t="shared" si="669"/>
        <v>0</v>
      </c>
      <c r="FR71" s="2818">
        <f t="shared" si="669"/>
        <v>0</v>
      </c>
      <c r="FS71" s="2818">
        <f t="shared" si="669"/>
        <v>0</v>
      </c>
      <c r="FT71" s="2818">
        <f t="shared" si="669"/>
        <v>11.55908</v>
      </c>
      <c r="FU71" s="2818">
        <f t="shared" si="669"/>
        <v>11.55908</v>
      </c>
      <c r="FV71" s="2818">
        <f t="shared" si="669"/>
        <v>0</v>
      </c>
      <c r="FW71" s="2819">
        <f t="shared" si="559"/>
        <v>-21.161999999999999</v>
      </c>
      <c r="FX71" s="2819">
        <f t="shared" si="559"/>
        <v>-21.161999999999999</v>
      </c>
      <c r="FY71" s="2819">
        <f t="shared" si="559"/>
        <v>0</v>
      </c>
      <c r="FZ71" s="2807">
        <f t="shared" si="670"/>
        <v>84.647999999999996</v>
      </c>
      <c r="GA71" s="2807">
        <f t="shared" si="670"/>
        <v>84.647999999999996</v>
      </c>
      <c r="GB71" s="2807">
        <f t="shared" si="670"/>
        <v>0</v>
      </c>
      <c r="GC71" s="2818">
        <f t="shared" si="670"/>
        <v>26.350299999999997</v>
      </c>
      <c r="GD71" s="2818">
        <f t="shared" si="670"/>
        <v>26.34337</v>
      </c>
      <c r="GE71" s="2818">
        <f t="shared" si="670"/>
        <v>6.9300000000000004E-3</v>
      </c>
      <c r="GF71" s="2818">
        <f t="shared" si="670"/>
        <v>75.938109999999995</v>
      </c>
      <c r="GG71" s="2818">
        <f t="shared" si="670"/>
        <v>75.924669999999992</v>
      </c>
      <c r="GH71" s="2818">
        <f t="shared" si="670"/>
        <v>1.3440000000000001E-2</v>
      </c>
      <c r="GI71" s="2819">
        <f t="shared" si="561"/>
        <v>-58.297699999999999</v>
      </c>
      <c r="GJ71" s="2819">
        <f t="shared" si="561"/>
        <v>-58.304629999999996</v>
      </c>
      <c r="GK71" s="2819">
        <f t="shared" si="561"/>
        <v>6.9300000000000004E-3</v>
      </c>
      <c r="GL71" s="389"/>
      <c r="GM71" s="3578">
        <f t="shared" si="562"/>
        <v>84.64800000000001</v>
      </c>
    </row>
    <row r="72" spans="1:195" ht="18.75" x14ac:dyDescent="0.3">
      <c r="A72" s="2784" t="s">
        <v>3709</v>
      </c>
      <c r="B72" s="2836">
        <f t="shared" si="625"/>
        <v>181.98435598606522</v>
      </c>
      <c r="C72" s="2836">
        <f>SUM('ПОЛНАЯ СЕБЕСТОИМОСТЬ ВОДА 2023'!C220)/3</f>
        <v>181.97593931939855</v>
      </c>
      <c r="D72" s="2836">
        <f>SUM('ПОЛНАЯ СЕБЕСТОИМОСТЬ ВОДА 2023'!D220)/3</f>
        <v>8.4166666666666643E-3</v>
      </c>
      <c r="E72" s="2781">
        <f t="shared" si="626"/>
        <v>434.197</v>
      </c>
      <c r="F72" s="2781">
        <f>SUM('ПОЛНАЯ СЕБЕСТОИМОСТЬ ВОДА 2023'!F220)</f>
        <v>434.197</v>
      </c>
      <c r="G72" s="2781">
        <f>SUM('ПОЛНАЯ СЕБЕСТОИМОСТЬ ВОДА 2023'!G220)</f>
        <v>0</v>
      </c>
      <c r="H72" s="2840">
        <f t="shared" si="671"/>
        <v>122.75638000000001</v>
      </c>
      <c r="I72" s="2840">
        <v>122.7282</v>
      </c>
      <c r="J72" s="2840">
        <v>2.818E-2</v>
      </c>
      <c r="K72" s="2836">
        <f t="shared" si="627"/>
        <v>181.98435598606522</v>
      </c>
      <c r="L72" s="2836">
        <f t="shared" si="628"/>
        <v>181.97593931939855</v>
      </c>
      <c r="M72" s="2836">
        <f t="shared" si="629"/>
        <v>8.4166666666666643E-3</v>
      </c>
      <c r="N72" s="2781">
        <f t="shared" si="630"/>
        <v>347.16383000000002</v>
      </c>
      <c r="O72" s="2781">
        <f>SUM('ПОЛНАЯ СЕБЕСТОИМОСТЬ ВОДА 2023'!I220)</f>
        <v>347.16383000000002</v>
      </c>
      <c r="P72" s="2781">
        <f>SUM('ПОЛНАЯ СЕБЕСТОИМОСТЬ ВОДА 2023'!J220)</f>
        <v>0</v>
      </c>
      <c r="Q72" s="2840">
        <f t="shared" si="704"/>
        <v>204.208</v>
      </c>
      <c r="R72" s="2840">
        <v>204.17099999999999</v>
      </c>
      <c r="S72" s="2840">
        <v>3.6999999999999998E-2</v>
      </c>
      <c r="T72" s="2836">
        <f t="shared" si="631"/>
        <v>181.98435598606522</v>
      </c>
      <c r="U72" s="2836">
        <f t="shared" si="632"/>
        <v>181.97593931939855</v>
      </c>
      <c r="V72" s="2836">
        <f t="shared" si="633"/>
        <v>8.4166666666666643E-3</v>
      </c>
      <c r="W72" s="2781">
        <f t="shared" si="634"/>
        <v>472.61718999999999</v>
      </c>
      <c r="X72" s="2781">
        <f>SUM('ПОЛНАЯ СЕБЕСТОИМОСТЬ ВОДА 2023'!L220)</f>
        <v>472.58600000000001</v>
      </c>
      <c r="Y72" s="2781">
        <f>SUM('ПОЛНАЯ СЕБЕСТОИМОСТЬ ВОДА 2023'!M220)</f>
        <v>3.1189999999999999E-2</v>
      </c>
      <c r="Z72" s="2840">
        <f t="shared" si="705"/>
        <v>336.46080000000001</v>
      </c>
      <c r="AA72" s="2840">
        <v>336.37400000000002</v>
      </c>
      <c r="AB72" s="2840">
        <v>8.6800000000000002E-2</v>
      </c>
      <c r="AC72" s="2807">
        <f t="shared" si="635"/>
        <v>545.95306795819567</v>
      </c>
      <c r="AD72" s="2807">
        <f t="shared" si="635"/>
        <v>545.92781795819565</v>
      </c>
      <c r="AE72" s="2807">
        <f t="shared" si="635"/>
        <v>2.5249999999999995E-2</v>
      </c>
      <c r="AF72" s="2818">
        <f t="shared" si="635"/>
        <v>1253.97802</v>
      </c>
      <c r="AG72" s="2818">
        <f t="shared" si="635"/>
        <v>1253.9468300000001</v>
      </c>
      <c r="AH72" s="2818">
        <f t="shared" si="635"/>
        <v>3.1189999999999999E-2</v>
      </c>
      <c r="AI72" s="2818">
        <f t="shared" si="635"/>
        <v>663.42517999999995</v>
      </c>
      <c r="AJ72" s="2818">
        <f t="shared" si="635"/>
        <v>663.27320000000009</v>
      </c>
      <c r="AK72" s="2818">
        <f t="shared" si="635"/>
        <v>0.15198</v>
      </c>
      <c r="AL72" s="2819">
        <f t="shared" si="694"/>
        <v>708.02495204180434</v>
      </c>
      <c r="AM72" s="2819">
        <f t="shared" si="694"/>
        <v>708.01901204180444</v>
      </c>
      <c r="AN72" s="2819">
        <f t="shared" si="694"/>
        <v>5.9400000000000043E-3</v>
      </c>
      <c r="AO72" s="2836">
        <f t="shared" si="636"/>
        <v>181.98435598606522</v>
      </c>
      <c r="AP72" s="2836">
        <f>SUM('ПОЛНАЯ СЕБЕСТОИМОСТЬ ВОДА 2023'!R220)/3</f>
        <v>181.97593931939855</v>
      </c>
      <c r="AQ72" s="2836">
        <f>SUM('ПОЛНАЯ СЕБЕСТОИМОСТЬ ВОДА 2023'!S220)/3</f>
        <v>8.4166666666666643E-3</v>
      </c>
      <c r="AR72" s="2836">
        <f t="shared" si="637"/>
        <v>459.34269</v>
      </c>
      <c r="AS72" s="2836">
        <f>SUM('ПОЛНАЯ СЕБЕСТОИМОСТЬ ВОДА 2023'!U220)</f>
        <v>459.17178999999999</v>
      </c>
      <c r="AT72" s="2836">
        <f>SUM('ПОЛНАЯ СЕБЕСТОИМОСТЬ ВОДА 2023'!V220)</f>
        <v>0.1709</v>
      </c>
      <c r="AU72" s="2840">
        <f t="shared" si="706"/>
        <v>341.65500000000003</v>
      </c>
      <c r="AV72" s="2840">
        <v>341.55200000000002</v>
      </c>
      <c r="AW72" s="2841">
        <v>0.10299999999999999</v>
      </c>
      <c r="AX72" s="2836">
        <f t="shared" si="638"/>
        <v>181.98435598606522</v>
      </c>
      <c r="AY72" s="2836">
        <f t="shared" si="639"/>
        <v>181.97593931939855</v>
      </c>
      <c r="AZ72" s="2836">
        <f t="shared" si="640"/>
        <v>8.4166666666666643E-3</v>
      </c>
      <c r="BA72" s="2836">
        <f t="shared" si="641"/>
        <v>506.61171999999999</v>
      </c>
      <c r="BB72" s="2836">
        <f>SUM('ПОЛНАЯ СЕБЕСТОИМОСТЬ ВОДА 2023'!X220)</f>
        <v>506.35300000000001</v>
      </c>
      <c r="BC72" s="2836">
        <f>SUM('ПОЛНАЯ СЕБЕСТОИМОСТЬ ВОДА 2023'!Y220)</f>
        <v>0.25872000000000001</v>
      </c>
      <c r="BD72" s="2840">
        <f t="shared" si="707"/>
        <v>320.95151000000004</v>
      </c>
      <c r="BE72" s="2840">
        <v>320.89600000000002</v>
      </c>
      <c r="BF72" s="2841">
        <v>5.5509999999999997E-2</v>
      </c>
      <c r="BG72" s="2836">
        <f t="shared" si="642"/>
        <v>181.98435598606522</v>
      </c>
      <c r="BH72" s="2836">
        <f t="shared" si="643"/>
        <v>181.97593931939855</v>
      </c>
      <c r="BI72" s="2836">
        <f t="shared" si="644"/>
        <v>8.4166666666666643E-3</v>
      </c>
      <c r="BJ72" s="2781">
        <f t="shared" si="645"/>
        <v>478.45263</v>
      </c>
      <c r="BK72" s="2781">
        <f>SUM('ПОЛНАЯ СЕБЕСТОИМОСТЬ ВОДА 2023'!AA220)</f>
        <v>478.27553</v>
      </c>
      <c r="BL72" s="2781">
        <f>SUM('ПОЛНАЯ СЕБЕСТОИМОСТЬ ВОДА 2023'!AB220)</f>
        <v>0.17710000000000001</v>
      </c>
      <c r="BM72" s="2840">
        <f t="shared" si="708"/>
        <v>189.70829000000001</v>
      </c>
      <c r="BN72" s="2840">
        <v>189.65516</v>
      </c>
      <c r="BO72" s="2840">
        <v>5.3129999999999997E-2</v>
      </c>
      <c r="BP72" s="2807">
        <f>SUM(AO72+AX72+BG72)</f>
        <v>545.95306795819567</v>
      </c>
      <c r="BQ72" s="2807">
        <f t="shared" ref="BQ72:BX74" si="715">SUM(AP72+AY72+BH72)</f>
        <v>545.92781795819565</v>
      </c>
      <c r="BR72" s="2807">
        <f t="shared" si="715"/>
        <v>2.5249999999999995E-2</v>
      </c>
      <c r="BS72" s="2842">
        <f t="shared" si="715"/>
        <v>1444.4070400000001</v>
      </c>
      <c r="BT72" s="2842">
        <f t="shared" si="715"/>
        <v>1443.8003199999998</v>
      </c>
      <c r="BU72" s="2842">
        <f t="shared" si="715"/>
        <v>0.60672000000000004</v>
      </c>
      <c r="BV72" s="2842">
        <f t="shared" si="715"/>
        <v>852.3148000000001</v>
      </c>
      <c r="BW72" s="2842">
        <f t="shared" si="715"/>
        <v>852.10316000000012</v>
      </c>
      <c r="BX72" s="2842">
        <f t="shared" si="715"/>
        <v>0.21163999999999999</v>
      </c>
      <c r="BY72" s="2805">
        <f t="shared" si="551"/>
        <v>898.45397204180438</v>
      </c>
      <c r="BZ72" s="2805">
        <f t="shared" si="551"/>
        <v>897.87250204180418</v>
      </c>
      <c r="CA72" s="2805">
        <f t="shared" si="551"/>
        <v>0.58147000000000004</v>
      </c>
      <c r="CB72" s="2818">
        <f>SUM(AC72+BP72)</f>
        <v>1091.9061359163913</v>
      </c>
      <c r="CC72" s="2818">
        <f t="shared" ref="CC72:CJ74" si="716">SUM(AD72+BQ72)</f>
        <v>1091.8556359163913</v>
      </c>
      <c r="CD72" s="2818">
        <f t="shared" si="716"/>
        <v>5.0499999999999989E-2</v>
      </c>
      <c r="CE72" s="2818">
        <f t="shared" si="716"/>
        <v>2698.3850600000001</v>
      </c>
      <c r="CF72" s="2818">
        <f t="shared" si="716"/>
        <v>2697.7471500000001</v>
      </c>
      <c r="CG72" s="2818">
        <f t="shared" si="716"/>
        <v>0.63791000000000009</v>
      </c>
      <c r="CH72" s="2818">
        <f t="shared" si="716"/>
        <v>1515.7399800000001</v>
      </c>
      <c r="CI72" s="2818">
        <f t="shared" si="716"/>
        <v>1515.3763600000002</v>
      </c>
      <c r="CJ72" s="2818">
        <f t="shared" si="716"/>
        <v>0.36362</v>
      </c>
      <c r="CK72" s="2819">
        <f t="shared" si="553"/>
        <v>1606.4789240836087</v>
      </c>
      <c r="CL72" s="2819">
        <f t="shared" si="553"/>
        <v>1605.8915140836089</v>
      </c>
      <c r="CM72" s="2819">
        <f t="shared" si="553"/>
        <v>0.5874100000000001</v>
      </c>
      <c r="CN72" s="2836">
        <f t="shared" si="648"/>
        <v>181.98435598606522</v>
      </c>
      <c r="CO72" s="2836">
        <f>SUM('ПОЛНАЯ СЕБЕСТОИМОСТЬ ВОДА 2023'!AP220)/3</f>
        <v>181.97593931939855</v>
      </c>
      <c r="CP72" s="2836">
        <f>SUM('ПОЛНАЯ СЕБЕСТОИМОСТЬ ВОДА 2023'!AQ220)/3</f>
        <v>8.4166666666666643E-3</v>
      </c>
      <c r="CQ72" s="2781">
        <f t="shared" si="649"/>
        <v>406.41091</v>
      </c>
      <c r="CR72" s="2781">
        <f>SUM('ПОЛНАЯ СЕБЕСТОИМОСТЬ ВОДА 2023'!AS220)</f>
        <v>406.28791000000001</v>
      </c>
      <c r="CS72" s="2781">
        <f>SUM('ПОЛНАЯ СЕБЕСТОИМОСТЬ ВОДА 2023'!AT220)</f>
        <v>0.123</v>
      </c>
      <c r="CT72" s="2840">
        <f t="shared" si="709"/>
        <v>222.73164999999997</v>
      </c>
      <c r="CU72" s="2840">
        <v>222.67</v>
      </c>
      <c r="CV72" s="2840">
        <v>6.1650000000000003E-2</v>
      </c>
      <c r="CW72" s="2836">
        <f t="shared" si="650"/>
        <v>181.98435598606522</v>
      </c>
      <c r="CX72" s="2836">
        <f t="shared" si="651"/>
        <v>181.97593931939855</v>
      </c>
      <c r="CY72" s="2836">
        <f t="shared" si="652"/>
        <v>8.4166666666666643E-3</v>
      </c>
      <c r="CZ72" s="2781">
        <f t="shared" si="653"/>
        <v>0</v>
      </c>
      <c r="DA72" s="2781">
        <f>SUM('ПОЛНАЯ СЕБЕСТОИМОСТЬ ВОДА 2023'!AV220)</f>
        <v>0</v>
      </c>
      <c r="DB72" s="2781">
        <f>SUM('ПОЛНАЯ СЕБЕСТОИМОСТЬ ВОДА 2023'!AW220)</f>
        <v>0</v>
      </c>
      <c r="DC72" s="2840">
        <f t="shared" si="710"/>
        <v>353.41694999999999</v>
      </c>
      <c r="DD72" s="2840">
        <v>353.38099999999997</v>
      </c>
      <c r="DE72" s="2840">
        <v>3.5950000000000003E-2</v>
      </c>
      <c r="DF72" s="2836">
        <f t="shared" si="654"/>
        <v>181.98435598606522</v>
      </c>
      <c r="DG72" s="2836">
        <f t="shared" si="655"/>
        <v>181.97593931939855</v>
      </c>
      <c r="DH72" s="2836">
        <f t="shared" si="656"/>
        <v>8.4166666666666643E-3</v>
      </c>
      <c r="DI72" s="2781">
        <f t="shared" si="657"/>
        <v>0</v>
      </c>
      <c r="DJ72" s="2781">
        <f>SUM('ПОЛНАЯ СЕБЕСТОИМОСТЬ ВОДА 2023'!AY220)</f>
        <v>0</v>
      </c>
      <c r="DK72" s="2781">
        <f>SUM('ПОЛНАЯ СЕБЕСТОИМОСТЬ ВОДА 2023'!AZ220)</f>
        <v>0</v>
      </c>
      <c r="DL72" s="2840">
        <f t="shared" si="711"/>
        <v>480.40980000000002</v>
      </c>
      <c r="DM72" s="2840">
        <v>480.327</v>
      </c>
      <c r="DN72" s="2840">
        <v>8.2799999999999999E-2</v>
      </c>
      <c r="DO72" s="2807">
        <f>SUM(CN72+CW72+DF72)</f>
        <v>545.95306795819567</v>
      </c>
      <c r="DP72" s="2807">
        <f t="shared" ref="DP72:DW74" si="717">SUM(CO72+CX72+DG72)</f>
        <v>545.92781795819565</v>
      </c>
      <c r="DQ72" s="2807">
        <f t="shared" si="717"/>
        <v>2.5249999999999995E-2</v>
      </c>
      <c r="DR72" s="2842">
        <f t="shared" si="717"/>
        <v>406.41091</v>
      </c>
      <c r="DS72" s="2842">
        <f t="shared" si="717"/>
        <v>406.28791000000001</v>
      </c>
      <c r="DT72" s="2842">
        <f t="shared" si="717"/>
        <v>0.123</v>
      </c>
      <c r="DU72" s="2842">
        <f t="shared" si="717"/>
        <v>1056.5583999999999</v>
      </c>
      <c r="DV72" s="2842">
        <f t="shared" si="717"/>
        <v>1056.3779999999999</v>
      </c>
      <c r="DW72" s="2842">
        <f t="shared" si="717"/>
        <v>0.1804</v>
      </c>
      <c r="DX72" s="2805">
        <f t="shared" si="555"/>
        <v>-139.54215795819567</v>
      </c>
      <c r="DY72" s="2805">
        <f t="shared" si="555"/>
        <v>-139.63990795819564</v>
      </c>
      <c r="DZ72" s="2805">
        <f t="shared" si="555"/>
        <v>9.7750000000000004E-2</v>
      </c>
      <c r="EA72" s="2807">
        <f>SUM(CB72+DO72)</f>
        <v>1637.8592038745869</v>
      </c>
      <c r="EB72" s="2807">
        <f t="shared" ref="EB72:EI74" si="718">SUM(CC72+DP72)</f>
        <v>1637.7834538745869</v>
      </c>
      <c r="EC72" s="2807">
        <f t="shared" si="718"/>
        <v>7.5749999999999984E-2</v>
      </c>
      <c r="ED72" s="2842">
        <f t="shared" si="718"/>
        <v>3104.7959700000001</v>
      </c>
      <c r="EE72" s="2842">
        <f t="shared" si="718"/>
        <v>3104.0350600000002</v>
      </c>
      <c r="EF72" s="2842">
        <f t="shared" si="718"/>
        <v>0.76091000000000009</v>
      </c>
      <c r="EG72" s="2842">
        <f t="shared" si="718"/>
        <v>2572.2983800000002</v>
      </c>
      <c r="EH72" s="2842">
        <f t="shared" si="718"/>
        <v>2571.7543599999999</v>
      </c>
      <c r="EI72" s="2842">
        <f t="shared" si="718"/>
        <v>0.54401999999999995</v>
      </c>
      <c r="EJ72" s="2805">
        <f t="shared" si="557"/>
        <v>1466.9367661254132</v>
      </c>
      <c r="EK72" s="2805">
        <f t="shared" si="557"/>
        <v>1466.2516061254132</v>
      </c>
      <c r="EL72" s="2805">
        <f t="shared" si="557"/>
        <v>0.6851600000000001</v>
      </c>
      <c r="EM72" s="2836">
        <f t="shared" si="660"/>
        <v>181.98435598606522</v>
      </c>
      <c r="EN72" s="2836">
        <f>SUM('ПОЛНАЯ СЕБЕСТОИМОСТЬ ВОДА 2023'!BN220)/3</f>
        <v>181.97593931939855</v>
      </c>
      <c r="EO72" s="2836">
        <f>SUM('ПОЛНАЯ СЕБЕСТОИМОСТЬ ВОДА 2023'!BO220)/3</f>
        <v>8.4166666666666643E-3</v>
      </c>
      <c r="EP72" s="2781">
        <f t="shared" si="661"/>
        <v>0</v>
      </c>
      <c r="EQ72" s="2781">
        <f>SUM('ПОЛНАЯ СЕБЕСТОИМОСТЬ ВОДА 2023'!BQ220)</f>
        <v>0</v>
      </c>
      <c r="ER72" s="2781">
        <f>SUM('ПОЛНАЯ СЕБЕСТОИМОСТЬ ВОДА 2023'!BR220)</f>
        <v>0</v>
      </c>
      <c r="ES72" s="2840">
        <f t="shared" si="712"/>
        <v>859.1</v>
      </c>
      <c r="ET72" s="2840">
        <v>859.1</v>
      </c>
      <c r="EU72" s="3598">
        <v>0</v>
      </c>
      <c r="EV72" s="2836">
        <f t="shared" si="662"/>
        <v>181.98435598606522</v>
      </c>
      <c r="EW72" s="2836">
        <f t="shared" si="663"/>
        <v>181.97593931939855</v>
      </c>
      <c r="EX72" s="2836">
        <f t="shared" si="664"/>
        <v>8.4166666666666643E-3</v>
      </c>
      <c r="EY72" s="2781">
        <f t="shared" si="665"/>
        <v>0</v>
      </c>
      <c r="EZ72" s="2781">
        <f>SUM('ПОЛНАЯ СЕБЕСТОИМОСТЬ ВОДА 2023'!BT220)</f>
        <v>0</v>
      </c>
      <c r="FA72" s="2781">
        <f>SUM('ПОЛНАЯ СЕБЕСТОИМОСТЬ ВОДА 2023'!BU220)</f>
        <v>0</v>
      </c>
      <c r="FB72" s="2840">
        <f t="shared" si="713"/>
        <v>469.27300000000002</v>
      </c>
      <c r="FC72" s="2840">
        <v>469.27300000000002</v>
      </c>
      <c r="FD72" s="2840">
        <v>0</v>
      </c>
      <c r="FE72" s="2836">
        <f t="shared" si="666"/>
        <v>181.98435598606522</v>
      </c>
      <c r="FF72" s="2836">
        <f t="shared" si="667"/>
        <v>181.97593931939855</v>
      </c>
      <c r="FG72" s="2836">
        <f t="shared" si="668"/>
        <v>8.4166666666666643E-3</v>
      </c>
      <c r="FH72" s="2781">
        <f t="shared" si="613"/>
        <v>0</v>
      </c>
      <c r="FI72" s="2781">
        <f>SUM('ПОЛНАЯ СЕБЕСТОИМОСТЬ ВОДА 2023'!BW220)</f>
        <v>0</v>
      </c>
      <c r="FJ72" s="2781">
        <f>SUM('ПОЛНАЯ СЕБЕСТОИМОСТЬ ВОДА 2023'!BX220)</f>
        <v>0</v>
      </c>
      <c r="FK72" s="2840">
        <f t="shared" si="714"/>
        <v>602.79200000000003</v>
      </c>
      <c r="FL72" s="2840">
        <v>602.79200000000003</v>
      </c>
      <c r="FM72" s="3598">
        <v>0</v>
      </c>
      <c r="FN72" s="2807">
        <f t="shared" si="669"/>
        <v>545.95306795819567</v>
      </c>
      <c r="FO72" s="2807">
        <f t="shared" si="669"/>
        <v>545.92781795819565</v>
      </c>
      <c r="FP72" s="2807">
        <f t="shared" si="669"/>
        <v>2.5249999999999995E-2</v>
      </c>
      <c r="FQ72" s="2818">
        <f t="shared" si="669"/>
        <v>0</v>
      </c>
      <c r="FR72" s="2818">
        <f t="shared" si="669"/>
        <v>0</v>
      </c>
      <c r="FS72" s="2818">
        <f t="shared" si="669"/>
        <v>0</v>
      </c>
      <c r="FT72" s="2818">
        <f t="shared" si="669"/>
        <v>1931.165</v>
      </c>
      <c r="FU72" s="2818">
        <f t="shared" si="669"/>
        <v>1931.165</v>
      </c>
      <c r="FV72" s="2818">
        <f t="shared" si="669"/>
        <v>0</v>
      </c>
      <c r="FW72" s="2819">
        <f t="shared" si="559"/>
        <v>-545.95306795819567</v>
      </c>
      <c r="FX72" s="2819">
        <f t="shared" si="559"/>
        <v>-545.92781795819565</v>
      </c>
      <c r="FY72" s="2819">
        <f t="shared" si="559"/>
        <v>-2.5249999999999995E-2</v>
      </c>
      <c r="FZ72" s="2807">
        <f t="shared" si="670"/>
        <v>2183.8122718327827</v>
      </c>
      <c r="GA72" s="2807">
        <f t="shared" si="670"/>
        <v>2183.7112718327826</v>
      </c>
      <c r="GB72" s="2807">
        <f t="shared" si="670"/>
        <v>0.10099999999999998</v>
      </c>
      <c r="GC72" s="2818">
        <f t="shared" si="670"/>
        <v>3104.7959700000001</v>
      </c>
      <c r="GD72" s="2818">
        <f t="shared" si="670"/>
        <v>3104.0350600000002</v>
      </c>
      <c r="GE72" s="2818">
        <f t="shared" si="670"/>
        <v>0.76091000000000009</v>
      </c>
      <c r="GF72" s="2818">
        <f t="shared" si="670"/>
        <v>4503.4633800000001</v>
      </c>
      <c r="GG72" s="2818">
        <f t="shared" si="670"/>
        <v>4502.9193599999999</v>
      </c>
      <c r="GH72" s="2818">
        <f t="shared" si="670"/>
        <v>0.54401999999999995</v>
      </c>
      <c r="GI72" s="2819">
        <f t="shared" si="561"/>
        <v>920.98369816721743</v>
      </c>
      <c r="GJ72" s="2819">
        <f t="shared" si="561"/>
        <v>920.32378816721757</v>
      </c>
      <c r="GK72" s="2819">
        <f t="shared" si="561"/>
        <v>0.65991000000000011</v>
      </c>
      <c r="GL72" s="389"/>
      <c r="GM72" s="3578">
        <f t="shared" si="562"/>
        <v>2183.8122718327822</v>
      </c>
    </row>
    <row r="73" spans="1:195" ht="18.75" x14ac:dyDescent="0.3">
      <c r="A73" s="2800" t="s">
        <v>3710</v>
      </c>
      <c r="B73" s="2832">
        <f t="shared" si="625"/>
        <v>0</v>
      </c>
      <c r="C73" s="2832">
        <f>SUM('ПОЛНАЯ СЕБЕСТОИМОСТЬ ВОДА 2023'!C221)/3</f>
        <v>0</v>
      </c>
      <c r="D73" s="2832">
        <f>SUM('ПОЛНАЯ СЕБЕСТОИМОСТЬ ВОДА 2023'!D221)/3</f>
        <v>0</v>
      </c>
      <c r="E73" s="2775">
        <f t="shared" si="626"/>
        <v>0</v>
      </c>
      <c r="F73" s="2775">
        <f>SUM('ПОЛНАЯ СЕБЕСТОИМОСТЬ ВОДА 2023'!F221)</f>
        <v>0</v>
      </c>
      <c r="G73" s="2775">
        <f>SUM('ПОЛНАЯ СЕБЕСТОИМОСТЬ ВОДА 2023'!G221)</f>
        <v>0</v>
      </c>
      <c r="H73" s="2833">
        <f t="shared" si="671"/>
        <v>0</v>
      </c>
      <c r="I73" s="2833">
        <v>0</v>
      </c>
      <c r="J73" s="2833">
        <v>0</v>
      </c>
      <c r="K73" s="2832">
        <f t="shared" si="627"/>
        <v>0</v>
      </c>
      <c r="L73" s="2832">
        <f t="shared" si="628"/>
        <v>0</v>
      </c>
      <c r="M73" s="2832">
        <f t="shared" si="629"/>
        <v>0</v>
      </c>
      <c r="N73" s="2775">
        <f t="shared" si="630"/>
        <v>0</v>
      </c>
      <c r="O73" s="2775">
        <f>SUM('ПОЛНАЯ СЕБЕСТОИМОСТЬ ВОДА 2023'!I221)</f>
        <v>0</v>
      </c>
      <c r="P73" s="2775">
        <f>SUM('ПОЛНАЯ СЕБЕСТОИМОСТЬ ВОДА 2023'!J221)</f>
        <v>0</v>
      </c>
      <c r="Q73" s="2833">
        <f t="shared" si="704"/>
        <v>0</v>
      </c>
      <c r="R73" s="2833">
        <v>0</v>
      </c>
      <c r="S73" s="2833">
        <v>0</v>
      </c>
      <c r="T73" s="2832">
        <f t="shared" si="631"/>
        <v>0</v>
      </c>
      <c r="U73" s="2832">
        <f t="shared" si="632"/>
        <v>0</v>
      </c>
      <c r="V73" s="2832">
        <f t="shared" si="633"/>
        <v>0</v>
      </c>
      <c r="W73" s="2775">
        <f t="shared" si="634"/>
        <v>0</v>
      </c>
      <c r="X73" s="2775">
        <f>SUM('ПОЛНАЯ СЕБЕСТОИМОСТЬ ВОДА 2023'!L221)</f>
        <v>0</v>
      </c>
      <c r="Y73" s="2775">
        <f>SUM('ПОЛНАЯ СЕБЕСТОИМОСТЬ ВОДА 2023'!M221)</f>
        <v>0</v>
      </c>
      <c r="Z73" s="2833">
        <f t="shared" si="705"/>
        <v>0</v>
      </c>
      <c r="AA73" s="2833">
        <v>0</v>
      </c>
      <c r="AB73" s="2833">
        <v>0</v>
      </c>
      <c r="AC73" s="2802">
        <f t="shared" si="635"/>
        <v>0</v>
      </c>
      <c r="AD73" s="2802">
        <f t="shared" si="635"/>
        <v>0</v>
      </c>
      <c r="AE73" s="2802">
        <f t="shared" si="635"/>
        <v>0</v>
      </c>
      <c r="AF73" s="2812">
        <f t="shared" si="635"/>
        <v>0</v>
      </c>
      <c r="AG73" s="2812">
        <f t="shared" si="635"/>
        <v>0</v>
      </c>
      <c r="AH73" s="2812">
        <f t="shared" si="635"/>
        <v>0</v>
      </c>
      <c r="AI73" s="2812">
        <f t="shared" si="635"/>
        <v>0</v>
      </c>
      <c r="AJ73" s="2812">
        <f t="shared" si="635"/>
        <v>0</v>
      </c>
      <c r="AK73" s="2812">
        <f t="shared" si="635"/>
        <v>0</v>
      </c>
      <c r="AL73" s="2813">
        <f t="shared" si="694"/>
        <v>0</v>
      </c>
      <c r="AM73" s="2813">
        <f t="shared" si="694"/>
        <v>0</v>
      </c>
      <c r="AN73" s="2813">
        <f t="shared" si="694"/>
        <v>0</v>
      </c>
      <c r="AO73" s="2832">
        <f t="shared" si="636"/>
        <v>0</v>
      </c>
      <c r="AP73" s="2832">
        <f>SUM('ПОЛНАЯ СЕБЕСТОИМОСТЬ ВОДА 2023'!R221)/3</f>
        <v>0</v>
      </c>
      <c r="AQ73" s="2832">
        <f>SUM('ПОЛНАЯ СЕБЕСТОИМОСТЬ ВОДА 2023'!S221)/3</f>
        <v>0</v>
      </c>
      <c r="AR73" s="2832">
        <f t="shared" si="637"/>
        <v>0</v>
      </c>
      <c r="AS73" s="2832">
        <f>SUM('ПОЛНАЯ СЕБЕСТОИМОСТЬ ВОДА 2023'!U221)</f>
        <v>0</v>
      </c>
      <c r="AT73" s="2832">
        <f>SUM('ПОЛНАЯ СЕБЕСТОИМОСТЬ ВОДА 2023'!V221)</f>
        <v>0</v>
      </c>
      <c r="AU73" s="2833">
        <f t="shared" si="706"/>
        <v>0</v>
      </c>
      <c r="AV73" s="2833">
        <v>0</v>
      </c>
      <c r="AW73" s="2833">
        <v>0</v>
      </c>
      <c r="AX73" s="2832">
        <f t="shared" si="638"/>
        <v>0</v>
      </c>
      <c r="AY73" s="2832">
        <f t="shared" si="639"/>
        <v>0</v>
      </c>
      <c r="AZ73" s="2832">
        <f t="shared" si="640"/>
        <v>0</v>
      </c>
      <c r="BA73" s="2832">
        <f t="shared" si="641"/>
        <v>0</v>
      </c>
      <c r="BB73" s="2832">
        <f>SUM('ПОЛНАЯ СЕБЕСТОИМОСТЬ ВОДА 2023'!X221)</f>
        <v>0</v>
      </c>
      <c r="BC73" s="2832">
        <f>SUM('ПОЛНАЯ СЕБЕСТОИМОСТЬ ВОДА 2023'!Y221)</f>
        <v>0</v>
      </c>
      <c r="BD73" s="2833">
        <f t="shared" si="707"/>
        <v>0</v>
      </c>
      <c r="BE73" s="2833">
        <v>0</v>
      </c>
      <c r="BF73" s="2833">
        <v>0</v>
      </c>
      <c r="BG73" s="2832">
        <f t="shared" si="642"/>
        <v>0</v>
      </c>
      <c r="BH73" s="2832">
        <f t="shared" si="643"/>
        <v>0</v>
      </c>
      <c r="BI73" s="2832">
        <f t="shared" si="644"/>
        <v>0</v>
      </c>
      <c r="BJ73" s="2775">
        <f t="shared" si="645"/>
        <v>0</v>
      </c>
      <c r="BK73" s="2775">
        <f>SUM('ПОЛНАЯ СЕБЕСТОИМОСТЬ ВОДА 2023'!AA221)</f>
        <v>0</v>
      </c>
      <c r="BL73" s="2775">
        <f>SUM('ПОЛНАЯ СЕБЕСТОИМОСТЬ ВОДА 2023'!AB221)</f>
        <v>0</v>
      </c>
      <c r="BM73" s="2833">
        <f t="shared" si="708"/>
        <v>0</v>
      </c>
      <c r="BN73" s="2833">
        <v>0</v>
      </c>
      <c r="BO73" s="2833">
        <v>0</v>
      </c>
      <c r="BP73" s="2802">
        <f>SUM(AO73+AX73+BG73)</f>
        <v>0</v>
      </c>
      <c r="BQ73" s="2802">
        <f t="shared" si="715"/>
        <v>0</v>
      </c>
      <c r="BR73" s="2802">
        <f t="shared" si="715"/>
        <v>0</v>
      </c>
      <c r="BS73" s="2838">
        <f t="shared" si="715"/>
        <v>0</v>
      </c>
      <c r="BT73" s="2838">
        <f t="shared" si="715"/>
        <v>0</v>
      </c>
      <c r="BU73" s="2838">
        <f t="shared" si="715"/>
        <v>0</v>
      </c>
      <c r="BV73" s="2838">
        <f t="shared" si="715"/>
        <v>0</v>
      </c>
      <c r="BW73" s="2838">
        <f t="shared" si="715"/>
        <v>0</v>
      </c>
      <c r="BX73" s="2838">
        <f t="shared" si="715"/>
        <v>0</v>
      </c>
      <c r="BY73" s="2839">
        <f t="shared" si="551"/>
        <v>0</v>
      </c>
      <c r="BZ73" s="2839">
        <f t="shared" si="551"/>
        <v>0</v>
      </c>
      <c r="CA73" s="2839">
        <f t="shared" si="551"/>
        <v>0</v>
      </c>
      <c r="CB73" s="2812">
        <f>SUM(AC73+BP73)</f>
        <v>0</v>
      </c>
      <c r="CC73" s="2812">
        <f t="shared" si="716"/>
        <v>0</v>
      </c>
      <c r="CD73" s="2812">
        <f t="shared" si="716"/>
        <v>0</v>
      </c>
      <c r="CE73" s="2812">
        <f t="shared" si="716"/>
        <v>0</v>
      </c>
      <c r="CF73" s="2812">
        <f t="shared" si="716"/>
        <v>0</v>
      </c>
      <c r="CG73" s="2812">
        <f t="shared" si="716"/>
        <v>0</v>
      </c>
      <c r="CH73" s="2812">
        <f t="shared" si="716"/>
        <v>0</v>
      </c>
      <c r="CI73" s="2812">
        <f t="shared" si="716"/>
        <v>0</v>
      </c>
      <c r="CJ73" s="2812">
        <f t="shared" si="716"/>
        <v>0</v>
      </c>
      <c r="CK73" s="2813">
        <f t="shared" si="553"/>
        <v>0</v>
      </c>
      <c r="CL73" s="2813">
        <f t="shared" si="553"/>
        <v>0</v>
      </c>
      <c r="CM73" s="2813">
        <f t="shared" si="553"/>
        <v>0</v>
      </c>
      <c r="CN73" s="2832">
        <f t="shared" si="648"/>
        <v>0</v>
      </c>
      <c r="CO73" s="2832">
        <f>SUM('ПОЛНАЯ СЕБЕСТОИМОСТЬ ВОДА 2023'!AP221)/3</f>
        <v>0</v>
      </c>
      <c r="CP73" s="2832">
        <f>SUM('ПОЛНАЯ СЕБЕСТОИМОСТЬ ВОДА 2023'!AQ221)/3</f>
        <v>0</v>
      </c>
      <c r="CQ73" s="2775">
        <f t="shared" si="649"/>
        <v>0</v>
      </c>
      <c r="CR73" s="2775">
        <f>SUM('ПОЛНАЯ СЕБЕСТОИМОСТЬ ВОДА 2023'!AS221)</f>
        <v>0</v>
      </c>
      <c r="CS73" s="2775">
        <f>SUM('ПОЛНАЯ СЕБЕСТОИМОСТЬ ВОДА 2023'!AT221)</f>
        <v>0</v>
      </c>
      <c r="CT73" s="2833">
        <f t="shared" si="709"/>
        <v>0</v>
      </c>
      <c r="CU73" s="2833">
        <v>0</v>
      </c>
      <c r="CV73" s="2833">
        <v>0</v>
      </c>
      <c r="CW73" s="2832">
        <f t="shared" si="650"/>
        <v>0</v>
      </c>
      <c r="CX73" s="2832">
        <f t="shared" si="651"/>
        <v>0</v>
      </c>
      <c r="CY73" s="2832">
        <f t="shared" si="652"/>
        <v>0</v>
      </c>
      <c r="CZ73" s="2775">
        <f t="shared" si="653"/>
        <v>0</v>
      </c>
      <c r="DA73" s="2775">
        <f>SUM('ПОЛНАЯ СЕБЕСТОИМОСТЬ ВОДА 2023'!AV221)</f>
        <v>0</v>
      </c>
      <c r="DB73" s="2775">
        <f>SUM('ПОЛНАЯ СЕБЕСТОИМОСТЬ ВОДА 2023'!AW221)</f>
        <v>0</v>
      </c>
      <c r="DC73" s="2833">
        <f t="shared" si="710"/>
        <v>0</v>
      </c>
      <c r="DD73" s="2833">
        <v>0</v>
      </c>
      <c r="DE73" s="2833">
        <v>0</v>
      </c>
      <c r="DF73" s="2832">
        <f t="shared" si="654"/>
        <v>0</v>
      </c>
      <c r="DG73" s="2832">
        <f t="shared" si="655"/>
        <v>0</v>
      </c>
      <c r="DH73" s="2832">
        <f t="shared" si="656"/>
        <v>0</v>
      </c>
      <c r="DI73" s="2775">
        <f t="shared" si="657"/>
        <v>0</v>
      </c>
      <c r="DJ73" s="2775">
        <f>SUM('ПОЛНАЯ СЕБЕСТОИМОСТЬ ВОДА 2023'!AY221)</f>
        <v>0</v>
      </c>
      <c r="DK73" s="2775">
        <f>SUM('ПОЛНАЯ СЕБЕСТОИМОСТЬ ВОДА 2023'!AZ221)</f>
        <v>0</v>
      </c>
      <c r="DL73" s="2833">
        <f t="shared" si="711"/>
        <v>0</v>
      </c>
      <c r="DM73" s="2833">
        <v>0</v>
      </c>
      <c r="DN73" s="2833">
        <v>0</v>
      </c>
      <c r="DO73" s="2802">
        <f>SUM(CN73+CW73+DF73)</f>
        <v>0</v>
      </c>
      <c r="DP73" s="2802">
        <f t="shared" si="717"/>
        <v>0</v>
      </c>
      <c r="DQ73" s="2802">
        <f t="shared" si="717"/>
        <v>0</v>
      </c>
      <c r="DR73" s="2838">
        <f t="shared" si="717"/>
        <v>0</v>
      </c>
      <c r="DS73" s="2838">
        <f t="shared" si="717"/>
        <v>0</v>
      </c>
      <c r="DT73" s="2838">
        <f t="shared" si="717"/>
        <v>0</v>
      </c>
      <c r="DU73" s="2838">
        <f t="shared" si="717"/>
        <v>0</v>
      </c>
      <c r="DV73" s="2838">
        <f t="shared" si="717"/>
        <v>0</v>
      </c>
      <c r="DW73" s="2838">
        <f t="shared" si="717"/>
        <v>0</v>
      </c>
      <c r="DX73" s="2839">
        <f t="shared" si="555"/>
        <v>0</v>
      </c>
      <c r="DY73" s="2839">
        <f t="shared" si="555"/>
        <v>0</v>
      </c>
      <c r="DZ73" s="2839">
        <f t="shared" si="555"/>
        <v>0</v>
      </c>
      <c r="EA73" s="2802">
        <f>SUM(CB73+DO73)</f>
        <v>0</v>
      </c>
      <c r="EB73" s="2802">
        <f t="shared" si="718"/>
        <v>0</v>
      </c>
      <c r="EC73" s="2802">
        <f t="shared" si="718"/>
        <v>0</v>
      </c>
      <c r="ED73" s="2838">
        <f t="shared" si="718"/>
        <v>0</v>
      </c>
      <c r="EE73" s="2838">
        <f t="shared" si="718"/>
        <v>0</v>
      </c>
      <c r="EF73" s="2838">
        <f t="shared" si="718"/>
        <v>0</v>
      </c>
      <c r="EG73" s="2838">
        <f t="shared" si="718"/>
        <v>0</v>
      </c>
      <c r="EH73" s="2838">
        <f t="shared" si="718"/>
        <v>0</v>
      </c>
      <c r="EI73" s="2838">
        <f t="shared" si="718"/>
        <v>0</v>
      </c>
      <c r="EJ73" s="2839">
        <f t="shared" si="557"/>
        <v>0</v>
      </c>
      <c r="EK73" s="2839">
        <f t="shared" si="557"/>
        <v>0</v>
      </c>
      <c r="EL73" s="2839">
        <f t="shared" si="557"/>
        <v>0</v>
      </c>
      <c r="EM73" s="2832">
        <f t="shared" si="660"/>
        <v>0</v>
      </c>
      <c r="EN73" s="2832">
        <f>SUM('ПОЛНАЯ СЕБЕСТОИМОСТЬ ВОДА 2023'!BN221)/3</f>
        <v>0</v>
      </c>
      <c r="EO73" s="2832">
        <f>SUM('ПОЛНАЯ СЕБЕСТОИМОСТЬ ВОДА 2023'!BO221)/3</f>
        <v>0</v>
      </c>
      <c r="EP73" s="2775">
        <f t="shared" si="661"/>
        <v>0</v>
      </c>
      <c r="EQ73" s="2775">
        <f>SUM('ПОЛНАЯ СЕБЕСТОИМОСТЬ ВОДА 2023'!BQ221)</f>
        <v>0</v>
      </c>
      <c r="ER73" s="2775">
        <f>SUM('ПОЛНАЯ СЕБЕСТОИМОСТЬ ВОДА 2023'!BR221)</f>
        <v>0</v>
      </c>
      <c r="ES73" s="2833">
        <f t="shared" si="712"/>
        <v>0</v>
      </c>
      <c r="ET73" s="2833">
        <v>0</v>
      </c>
      <c r="EU73" s="3599">
        <v>0</v>
      </c>
      <c r="EV73" s="2832">
        <f t="shared" si="662"/>
        <v>0</v>
      </c>
      <c r="EW73" s="2832">
        <f t="shared" si="663"/>
        <v>0</v>
      </c>
      <c r="EX73" s="2832">
        <f t="shared" si="664"/>
        <v>0</v>
      </c>
      <c r="EY73" s="2775">
        <f t="shared" si="665"/>
        <v>0</v>
      </c>
      <c r="EZ73" s="2775">
        <f>SUM('ПОЛНАЯ СЕБЕСТОИМОСТЬ ВОДА 2023'!BT221)</f>
        <v>0</v>
      </c>
      <c r="FA73" s="2775">
        <f>SUM('ПОЛНАЯ СЕБЕСТОИМОСТЬ ВОДА 2023'!BU221)</f>
        <v>0</v>
      </c>
      <c r="FB73" s="2833">
        <f t="shared" si="713"/>
        <v>0</v>
      </c>
      <c r="FC73" s="2833">
        <v>0</v>
      </c>
      <c r="FD73" s="2833">
        <v>0</v>
      </c>
      <c r="FE73" s="2832">
        <f t="shared" si="666"/>
        <v>0</v>
      </c>
      <c r="FF73" s="2832">
        <f t="shared" si="667"/>
        <v>0</v>
      </c>
      <c r="FG73" s="2832">
        <f t="shared" si="668"/>
        <v>0</v>
      </c>
      <c r="FH73" s="2775">
        <f t="shared" si="613"/>
        <v>0</v>
      </c>
      <c r="FI73" s="2775">
        <f>SUM('ПОЛНАЯ СЕБЕСТОИМОСТЬ ВОДА 2023'!BW221)</f>
        <v>0</v>
      </c>
      <c r="FJ73" s="2775">
        <f>SUM('ПОЛНАЯ СЕБЕСТОИМОСТЬ ВОДА 2023'!BX221)</f>
        <v>0</v>
      </c>
      <c r="FK73" s="2833">
        <f t="shared" si="714"/>
        <v>0</v>
      </c>
      <c r="FL73" s="2833">
        <v>0</v>
      </c>
      <c r="FM73" s="3599">
        <v>0</v>
      </c>
      <c r="FN73" s="2802">
        <f t="shared" si="669"/>
        <v>0</v>
      </c>
      <c r="FO73" s="2802">
        <f t="shared" si="669"/>
        <v>0</v>
      </c>
      <c r="FP73" s="2802">
        <f t="shared" si="669"/>
        <v>0</v>
      </c>
      <c r="FQ73" s="2812">
        <f t="shared" si="669"/>
        <v>0</v>
      </c>
      <c r="FR73" s="2812">
        <f t="shared" si="669"/>
        <v>0</v>
      </c>
      <c r="FS73" s="2812">
        <f t="shared" si="669"/>
        <v>0</v>
      </c>
      <c r="FT73" s="2812">
        <f t="shared" si="669"/>
        <v>0</v>
      </c>
      <c r="FU73" s="2812">
        <f t="shared" si="669"/>
        <v>0</v>
      </c>
      <c r="FV73" s="2812">
        <f t="shared" si="669"/>
        <v>0</v>
      </c>
      <c r="FW73" s="2813">
        <f t="shared" si="559"/>
        <v>0</v>
      </c>
      <c r="FX73" s="2813">
        <f t="shared" si="559"/>
        <v>0</v>
      </c>
      <c r="FY73" s="2813">
        <f t="shared" si="559"/>
        <v>0</v>
      </c>
      <c r="FZ73" s="2802">
        <f t="shared" si="670"/>
        <v>0</v>
      </c>
      <c r="GA73" s="2802">
        <f t="shared" si="670"/>
        <v>0</v>
      </c>
      <c r="GB73" s="2802">
        <f t="shared" si="670"/>
        <v>0</v>
      </c>
      <c r="GC73" s="2812">
        <f t="shared" si="670"/>
        <v>0</v>
      </c>
      <c r="GD73" s="2812">
        <f t="shared" si="670"/>
        <v>0</v>
      </c>
      <c r="GE73" s="2812">
        <f t="shared" si="670"/>
        <v>0</v>
      </c>
      <c r="GF73" s="2812">
        <f t="shared" si="670"/>
        <v>0</v>
      </c>
      <c r="GG73" s="2812">
        <f t="shared" si="670"/>
        <v>0</v>
      </c>
      <c r="GH73" s="2812">
        <f t="shared" si="670"/>
        <v>0</v>
      </c>
      <c r="GI73" s="2813">
        <f t="shared" si="561"/>
        <v>0</v>
      </c>
      <c r="GJ73" s="2813">
        <f t="shared" si="561"/>
        <v>0</v>
      </c>
      <c r="GK73" s="2813">
        <f t="shared" si="561"/>
        <v>0</v>
      </c>
      <c r="GL73" s="389"/>
      <c r="GM73" s="3578">
        <f t="shared" si="562"/>
        <v>0</v>
      </c>
    </row>
    <row r="74" spans="1:195" ht="18.75" x14ac:dyDescent="0.3">
      <c r="A74" s="2800" t="s">
        <v>3711</v>
      </c>
      <c r="B74" s="2832">
        <f t="shared" si="625"/>
        <v>0</v>
      </c>
      <c r="C74" s="2832">
        <f>SUM('ПОЛНАЯ СЕБЕСТОИМОСТЬ ВОДА 2023'!C222)/3</f>
        <v>0</v>
      </c>
      <c r="D74" s="2832">
        <f>SUM('ПОЛНАЯ СЕБЕСТОИМОСТЬ ВОДА 2023'!D222)/3</f>
        <v>0</v>
      </c>
      <c r="E74" s="2775">
        <f t="shared" si="626"/>
        <v>0</v>
      </c>
      <c r="F74" s="2775">
        <f>SUM('ПОЛНАЯ СЕБЕСТОИМОСТЬ ВОДА 2023'!F222)</f>
        <v>0</v>
      </c>
      <c r="G74" s="2775">
        <f>SUM('ПОЛНАЯ СЕБЕСТОИМОСТЬ ВОДА 2023'!G222)</f>
        <v>0</v>
      </c>
      <c r="H74" s="2833">
        <f t="shared" si="671"/>
        <v>0</v>
      </c>
      <c r="I74" s="2833">
        <v>0</v>
      </c>
      <c r="J74" s="2833">
        <v>0</v>
      </c>
      <c r="K74" s="2832">
        <f t="shared" si="627"/>
        <v>0</v>
      </c>
      <c r="L74" s="2832">
        <f t="shared" si="628"/>
        <v>0</v>
      </c>
      <c r="M74" s="2832">
        <f t="shared" si="629"/>
        <v>0</v>
      </c>
      <c r="N74" s="2775">
        <f t="shared" si="630"/>
        <v>0</v>
      </c>
      <c r="O74" s="2775">
        <f>SUM('ПОЛНАЯ СЕБЕСТОИМОСТЬ ВОДА 2023'!I222)</f>
        <v>0</v>
      </c>
      <c r="P74" s="2775">
        <f>SUM('ПОЛНАЯ СЕБЕСТОИМОСТЬ ВОДА 2023'!J222)</f>
        <v>0</v>
      </c>
      <c r="Q74" s="2833">
        <f t="shared" si="704"/>
        <v>0</v>
      </c>
      <c r="R74" s="2833">
        <v>0</v>
      </c>
      <c r="S74" s="2833">
        <v>0</v>
      </c>
      <c r="T74" s="2832">
        <f t="shared" si="631"/>
        <v>0</v>
      </c>
      <c r="U74" s="2832">
        <f t="shared" si="632"/>
        <v>0</v>
      </c>
      <c r="V74" s="2832">
        <f t="shared" si="633"/>
        <v>0</v>
      </c>
      <c r="W74" s="2775">
        <f t="shared" si="634"/>
        <v>0</v>
      </c>
      <c r="X74" s="2775">
        <f>SUM('ПОЛНАЯ СЕБЕСТОИМОСТЬ ВОДА 2023'!L222)</f>
        <v>0</v>
      </c>
      <c r="Y74" s="2775">
        <f>SUM('ПОЛНАЯ СЕБЕСТОИМОСТЬ ВОДА 2023'!M222)</f>
        <v>0</v>
      </c>
      <c r="Z74" s="2833">
        <f t="shared" si="705"/>
        <v>0</v>
      </c>
      <c r="AA74" s="2833">
        <v>0</v>
      </c>
      <c r="AB74" s="2833">
        <v>0</v>
      </c>
      <c r="AC74" s="2802">
        <f t="shared" si="635"/>
        <v>0</v>
      </c>
      <c r="AD74" s="2802">
        <f t="shared" si="635"/>
        <v>0</v>
      </c>
      <c r="AE74" s="2802">
        <f t="shared" si="635"/>
        <v>0</v>
      </c>
      <c r="AF74" s="2812">
        <f t="shared" si="635"/>
        <v>0</v>
      </c>
      <c r="AG74" s="2812">
        <f t="shared" si="635"/>
        <v>0</v>
      </c>
      <c r="AH74" s="2812">
        <f t="shared" si="635"/>
        <v>0</v>
      </c>
      <c r="AI74" s="2812">
        <f t="shared" si="635"/>
        <v>0</v>
      </c>
      <c r="AJ74" s="2812">
        <f t="shared" si="635"/>
        <v>0</v>
      </c>
      <c r="AK74" s="2812">
        <f t="shared" si="635"/>
        <v>0</v>
      </c>
      <c r="AL74" s="2813">
        <f t="shared" si="694"/>
        <v>0</v>
      </c>
      <c r="AM74" s="2813">
        <f t="shared" si="694"/>
        <v>0</v>
      </c>
      <c r="AN74" s="2813">
        <f t="shared" si="694"/>
        <v>0</v>
      </c>
      <c r="AO74" s="2832">
        <f t="shared" si="636"/>
        <v>0</v>
      </c>
      <c r="AP74" s="2832">
        <f>SUM('ПОЛНАЯ СЕБЕСТОИМОСТЬ ВОДА 2023'!R222)/3</f>
        <v>0</v>
      </c>
      <c r="AQ74" s="2832">
        <f>SUM('ПОЛНАЯ СЕБЕСТОИМОСТЬ ВОДА 2023'!S222)/3</f>
        <v>0</v>
      </c>
      <c r="AR74" s="2832">
        <f t="shared" si="637"/>
        <v>0</v>
      </c>
      <c r="AS74" s="2832">
        <f>SUM('ПОЛНАЯ СЕБЕСТОИМОСТЬ ВОДА 2023'!U222)</f>
        <v>0</v>
      </c>
      <c r="AT74" s="2832">
        <f>SUM('ПОЛНАЯ СЕБЕСТОИМОСТЬ ВОДА 2023'!V222)</f>
        <v>0</v>
      </c>
      <c r="AU74" s="2833">
        <f t="shared" si="706"/>
        <v>0</v>
      </c>
      <c r="AV74" s="2833">
        <v>0</v>
      </c>
      <c r="AW74" s="2833">
        <v>0</v>
      </c>
      <c r="AX74" s="2832">
        <f t="shared" si="638"/>
        <v>0</v>
      </c>
      <c r="AY74" s="2832">
        <f t="shared" si="639"/>
        <v>0</v>
      </c>
      <c r="AZ74" s="2832">
        <f t="shared" si="640"/>
        <v>0</v>
      </c>
      <c r="BA74" s="2832">
        <f t="shared" si="641"/>
        <v>0</v>
      </c>
      <c r="BB74" s="2832">
        <f>SUM('ПОЛНАЯ СЕБЕСТОИМОСТЬ ВОДА 2023'!X222)</f>
        <v>0</v>
      </c>
      <c r="BC74" s="2832">
        <f>SUM('ПОЛНАЯ СЕБЕСТОИМОСТЬ ВОДА 2023'!Y222)</f>
        <v>0</v>
      </c>
      <c r="BD74" s="2833">
        <f t="shared" si="707"/>
        <v>0</v>
      </c>
      <c r="BE74" s="2833">
        <v>0</v>
      </c>
      <c r="BF74" s="2833">
        <v>0</v>
      </c>
      <c r="BG74" s="2832">
        <f t="shared" si="642"/>
        <v>0</v>
      </c>
      <c r="BH74" s="2832">
        <f t="shared" si="643"/>
        <v>0</v>
      </c>
      <c r="BI74" s="2832">
        <f t="shared" si="644"/>
        <v>0</v>
      </c>
      <c r="BJ74" s="2775">
        <f t="shared" si="645"/>
        <v>0</v>
      </c>
      <c r="BK74" s="2775">
        <f>SUM('ПОЛНАЯ СЕБЕСТОИМОСТЬ ВОДА 2023'!AA222)</f>
        <v>0</v>
      </c>
      <c r="BL74" s="2775">
        <f>SUM('ПОЛНАЯ СЕБЕСТОИМОСТЬ ВОДА 2023'!AB222)</f>
        <v>0</v>
      </c>
      <c r="BM74" s="2833">
        <f t="shared" si="708"/>
        <v>0</v>
      </c>
      <c r="BN74" s="2833">
        <v>0</v>
      </c>
      <c r="BO74" s="2833">
        <v>0</v>
      </c>
      <c r="BP74" s="2802">
        <f>SUM(AO74+AX74+BG74)</f>
        <v>0</v>
      </c>
      <c r="BQ74" s="2802">
        <f t="shared" si="715"/>
        <v>0</v>
      </c>
      <c r="BR74" s="2802">
        <f t="shared" si="715"/>
        <v>0</v>
      </c>
      <c r="BS74" s="2838">
        <f t="shared" si="715"/>
        <v>0</v>
      </c>
      <c r="BT74" s="2838">
        <f t="shared" si="715"/>
        <v>0</v>
      </c>
      <c r="BU74" s="2838">
        <f t="shared" si="715"/>
        <v>0</v>
      </c>
      <c r="BV74" s="2838">
        <f t="shared" si="715"/>
        <v>0</v>
      </c>
      <c r="BW74" s="2838">
        <f t="shared" si="715"/>
        <v>0</v>
      </c>
      <c r="BX74" s="2838">
        <f t="shared" si="715"/>
        <v>0</v>
      </c>
      <c r="BY74" s="2839">
        <f t="shared" si="551"/>
        <v>0</v>
      </c>
      <c r="BZ74" s="2839">
        <f t="shared" si="551"/>
        <v>0</v>
      </c>
      <c r="CA74" s="2839">
        <f t="shared" si="551"/>
        <v>0</v>
      </c>
      <c r="CB74" s="2812">
        <f>SUM(AC74+BP74)</f>
        <v>0</v>
      </c>
      <c r="CC74" s="2812">
        <f t="shared" si="716"/>
        <v>0</v>
      </c>
      <c r="CD74" s="2812">
        <f t="shared" si="716"/>
        <v>0</v>
      </c>
      <c r="CE74" s="2812">
        <f t="shared" si="716"/>
        <v>0</v>
      </c>
      <c r="CF74" s="2812">
        <f t="shared" si="716"/>
        <v>0</v>
      </c>
      <c r="CG74" s="2812">
        <f t="shared" si="716"/>
        <v>0</v>
      </c>
      <c r="CH74" s="2812">
        <f t="shared" si="716"/>
        <v>0</v>
      </c>
      <c r="CI74" s="2812">
        <f t="shared" si="716"/>
        <v>0</v>
      </c>
      <c r="CJ74" s="2812">
        <f t="shared" si="716"/>
        <v>0</v>
      </c>
      <c r="CK74" s="2813">
        <f t="shared" si="553"/>
        <v>0</v>
      </c>
      <c r="CL74" s="2813">
        <f t="shared" si="553"/>
        <v>0</v>
      </c>
      <c r="CM74" s="2813">
        <f t="shared" si="553"/>
        <v>0</v>
      </c>
      <c r="CN74" s="2832">
        <f t="shared" si="648"/>
        <v>0</v>
      </c>
      <c r="CO74" s="2832">
        <f>SUM('ПОЛНАЯ СЕБЕСТОИМОСТЬ ВОДА 2023'!AP222)/3</f>
        <v>0</v>
      </c>
      <c r="CP74" s="2832">
        <f>SUM('ПОЛНАЯ СЕБЕСТОИМОСТЬ ВОДА 2023'!AQ222)/3</f>
        <v>0</v>
      </c>
      <c r="CQ74" s="2775">
        <f t="shared" si="649"/>
        <v>0</v>
      </c>
      <c r="CR74" s="2775">
        <f>SUM('ПОЛНАЯ СЕБЕСТОИМОСТЬ ВОДА 2023'!AS222)</f>
        <v>0</v>
      </c>
      <c r="CS74" s="2775">
        <f>SUM('ПОЛНАЯ СЕБЕСТОИМОСТЬ ВОДА 2023'!AT222)</f>
        <v>0</v>
      </c>
      <c r="CT74" s="2833">
        <f t="shared" si="709"/>
        <v>0</v>
      </c>
      <c r="CU74" s="2833">
        <v>0</v>
      </c>
      <c r="CV74" s="2833">
        <v>0</v>
      </c>
      <c r="CW74" s="2832">
        <f t="shared" si="650"/>
        <v>0</v>
      </c>
      <c r="CX74" s="2832">
        <f t="shared" si="651"/>
        <v>0</v>
      </c>
      <c r="CY74" s="2832">
        <f t="shared" si="652"/>
        <v>0</v>
      </c>
      <c r="CZ74" s="2775">
        <f t="shared" si="653"/>
        <v>0</v>
      </c>
      <c r="DA74" s="2775">
        <f>SUM('ПОЛНАЯ СЕБЕСТОИМОСТЬ ВОДА 2023'!AV222)</f>
        <v>0</v>
      </c>
      <c r="DB74" s="2775">
        <f>SUM('ПОЛНАЯ СЕБЕСТОИМОСТЬ ВОДА 2023'!AW222)</f>
        <v>0</v>
      </c>
      <c r="DC74" s="2833">
        <f t="shared" si="710"/>
        <v>0</v>
      </c>
      <c r="DD74" s="2833">
        <v>0</v>
      </c>
      <c r="DE74" s="2833">
        <v>0</v>
      </c>
      <c r="DF74" s="2832">
        <f t="shared" si="654"/>
        <v>0</v>
      </c>
      <c r="DG74" s="2832">
        <f t="shared" si="655"/>
        <v>0</v>
      </c>
      <c r="DH74" s="2832">
        <f t="shared" si="656"/>
        <v>0</v>
      </c>
      <c r="DI74" s="2775">
        <f t="shared" si="657"/>
        <v>0</v>
      </c>
      <c r="DJ74" s="2775">
        <f>SUM('ПОЛНАЯ СЕБЕСТОИМОСТЬ ВОДА 2023'!AY222)</f>
        <v>0</v>
      </c>
      <c r="DK74" s="2775">
        <f>SUM('ПОЛНАЯ СЕБЕСТОИМОСТЬ ВОДА 2023'!AZ222)</f>
        <v>0</v>
      </c>
      <c r="DL74" s="2833">
        <f t="shared" si="711"/>
        <v>0</v>
      </c>
      <c r="DM74" s="2833">
        <v>0</v>
      </c>
      <c r="DN74" s="2833">
        <v>0</v>
      </c>
      <c r="DO74" s="2802">
        <f>SUM(CN74+CW74+DF74)</f>
        <v>0</v>
      </c>
      <c r="DP74" s="2802">
        <f t="shared" si="717"/>
        <v>0</v>
      </c>
      <c r="DQ74" s="2802">
        <f t="shared" si="717"/>
        <v>0</v>
      </c>
      <c r="DR74" s="2838">
        <f t="shared" si="717"/>
        <v>0</v>
      </c>
      <c r="DS74" s="2838">
        <f t="shared" si="717"/>
        <v>0</v>
      </c>
      <c r="DT74" s="2838">
        <f t="shared" si="717"/>
        <v>0</v>
      </c>
      <c r="DU74" s="2838">
        <f t="shared" si="717"/>
        <v>0</v>
      </c>
      <c r="DV74" s="2838">
        <f t="shared" si="717"/>
        <v>0</v>
      </c>
      <c r="DW74" s="2838">
        <f t="shared" si="717"/>
        <v>0</v>
      </c>
      <c r="DX74" s="2839">
        <f t="shared" si="555"/>
        <v>0</v>
      </c>
      <c r="DY74" s="2839">
        <f t="shared" si="555"/>
        <v>0</v>
      </c>
      <c r="DZ74" s="2839">
        <f t="shared" si="555"/>
        <v>0</v>
      </c>
      <c r="EA74" s="2802">
        <f>SUM(CB74+DO74)</f>
        <v>0</v>
      </c>
      <c r="EB74" s="2802">
        <f t="shared" si="718"/>
        <v>0</v>
      </c>
      <c r="EC74" s="2802">
        <f t="shared" si="718"/>
        <v>0</v>
      </c>
      <c r="ED74" s="2838">
        <f t="shared" si="718"/>
        <v>0</v>
      </c>
      <c r="EE74" s="2838">
        <f t="shared" si="718"/>
        <v>0</v>
      </c>
      <c r="EF74" s="2838">
        <f t="shared" si="718"/>
        <v>0</v>
      </c>
      <c r="EG74" s="2838">
        <f t="shared" si="718"/>
        <v>0</v>
      </c>
      <c r="EH74" s="2838">
        <f t="shared" si="718"/>
        <v>0</v>
      </c>
      <c r="EI74" s="2838">
        <f t="shared" si="718"/>
        <v>0</v>
      </c>
      <c r="EJ74" s="2839">
        <f t="shared" si="557"/>
        <v>0</v>
      </c>
      <c r="EK74" s="2839">
        <f t="shared" si="557"/>
        <v>0</v>
      </c>
      <c r="EL74" s="2839">
        <f t="shared" si="557"/>
        <v>0</v>
      </c>
      <c r="EM74" s="2832">
        <f t="shared" si="660"/>
        <v>0</v>
      </c>
      <c r="EN74" s="2832">
        <f>SUM('ПОЛНАЯ СЕБЕСТОИМОСТЬ ВОДА 2023'!BN222)/3</f>
        <v>0</v>
      </c>
      <c r="EO74" s="2832">
        <f>SUM('ПОЛНАЯ СЕБЕСТОИМОСТЬ ВОДА 2023'!BO222)/3</f>
        <v>0</v>
      </c>
      <c r="EP74" s="2775">
        <f t="shared" si="661"/>
        <v>0</v>
      </c>
      <c r="EQ74" s="2775">
        <f>SUM('ПОЛНАЯ СЕБЕСТОИМОСТЬ ВОДА 2023'!BQ222)</f>
        <v>0</v>
      </c>
      <c r="ER74" s="2775">
        <f>SUM('ПОЛНАЯ СЕБЕСТОИМОСТЬ ВОДА 2023'!BR222)</f>
        <v>0</v>
      </c>
      <c r="ES74" s="2833">
        <f t="shared" si="712"/>
        <v>0</v>
      </c>
      <c r="ET74" s="2833">
        <v>0</v>
      </c>
      <c r="EU74" s="3599">
        <v>0</v>
      </c>
      <c r="EV74" s="2832">
        <f t="shared" si="662"/>
        <v>0</v>
      </c>
      <c r="EW74" s="2832">
        <f t="shared" si="663"/>
        <v>0</v>
      </c>
      <c r="EX74" s="2832">
        <f t="shared" si="664"/>
        <v>0</v>
      </c>
      <c r="EY74" s="2775">
        <f t="shared" si="665"/>
        <v>0</v>
      </c>
      <c r="EZ74" s="2775">
        <f>SUM('ПОЛНАЯ СЕБЕСТОИМОСТЬ ВОДА 2023'!BT222)</f>
        <v>0</v>
      </c>
      <c r="FA74" s="2775">
        <f>SUM('ПОЛНАЯ СЕБЕСТОИМОСТЬ ВОДА 2023'!BU222)</f>
        <v>0</v>
      </c>
      <c r="FB74" s="2833">
        <f t="shared" si="713"/>
        <v>0</v>
      </c>
      <c r="FC74" s="2833">
        <v>0</v>
      </c>
      <c r="FD74" s="2833">
        <v>0</v>
      </c>
      <c r="FE74" s="2832">
        <f t="shared" si="666"/>
        <v>0</v>
      </c>
      <c r="FF74" s="2832">
        <f t="shared" si="667"/>
        <v>0</v>
      </c>
      <c r="FG74" s="2832">
        <f t="shared" si="668"/>
        <v>0</v>
      </c>
      <c r="FH74" s="2775">
        <f t="shared" si="613"/>
        <v>0</v>
      </c>
      <c r="FI74" s="2775">
        <f>SUM('ПОЛНАЯ СЕБЕСТОИМОСТЬ ВОДА 2023'!BW222)</f>
        <v>0</v>
      </c>
      <c r="FJ74" s="2775">
        <f>SUM('ПОЛНАЯ СЕБЕСТОИМОСТЬ ВОДА 2023'!BX222)</f>
        <v>0</v>
      </c>
      <c r="FK74" s="2833">
        <f t="shared" si="714"/>
        <v>0</v>
      </c>
      <c r="FL74" s="2833">
        <v>0</v>
      </c>
      <c r="FM74" s="3599">
        <v>0</v>
      </c>
      <c r="FN74" s="2802">
        <f t="shared" si="669"/>
        <v>0</v>
      </c>
      <c r="FO74" s="2802">
        <f t="shared" si="669"/>
        <v>0</v>
      </c>
      <c r="FP74" s="2802">
        <f t="shared" si="669"/>
        <v>0</v>
      </c>
      <c r="FQ74" s="2812">
        <f t="shared" si="669"/>
        <v>0</v>
      </c>
      <c r="FR74" s="2812">
        <f t="shared" si="669"/>
        <v>0</v>
      </c>
      <c r="FS74" s="2812">
        <f t="shared" si="669"/>
        <v>0</v>
      </c>
      <c r="FT74" s="2812">
        <f t="shared" si="669"/>
        <v>0</v>
      </c>
      <c r="FU74" s="2812">
        <f t="shared" si="669"/>
        <v>0</v>
      </c>
      <c r="FV74" s="2812">
        <f t="shared" si="669"/>
        <v>0</v>
      </c>
      <c r="FW74" s="2813">
        <f t="shared" si="559"/>
        <v>0</v>
      </c>
      <c r="FX74" s="2813">
        <f t="shared" si="559"/>
        <v>0</v>
      </c>
      <c r="FY74" s="2813">
        <f t="shared" si="559"/>
        <v>0</v>
      </c>
      <c r="FZ74" s="2802">
        <f t="shared" si="670"/>
        <v>0</v>
      </c>
      <c r="GA74" s="2802">
        <f t="shared" si="670"/>
        <v>0</v>
      </c>
      <c r="GB74" s="2802">
        <f t="shared" si="670"/>
        <v>0</v>
      </c>
      <c r="GC74" s="2812">
        <f t="shared" si="670"/>
        <v>0</v>
      </c>
      <c r="GD74" s="2812">
        <f t="shared" si="670"/>
        <v>0</v>
      </c>
      <c r="GE74" s="2812">
        <f t="shared" si="670"/>
        <v>0</v>
      </c>
      <c r="GF74" s="2812">
        <f t="shared" si="670"/>
        <v>0</v>
      </c>
      <c r="GG74" s="2812">
        <f t="shared" si="670"/>
        <v>0</v>
      </c>
      <c r="GH74" s="2812">
        <f t="shared" si="670"/>
        <v>0</v>
      </c>
      <c r="GI74" s="2813">
        <f t="shared" si="561"/>
        <v>0</v>
      </c>
      <c r="GJ74" s="2813">
        <f t="shared" si="561"/>
        <v>0</v>
      </c>
      <c r="GK74" s="2813">
        <f t="shared" si="561"/>
        <v>0</v>
      </c>
      <c r="GL74" s="389"/>
      <c r="GM74" s="3578">
        <f t="shared" si="562"/>
        <v>0</v>
      </c>
    </row>
    <row r="75" spans="1:195" ht="19.5" customHeight="1" x14ac:dyDescent="0.3">
      <c r="A75" s="3837" t="s">
        <v>3920</v>
      </c>
      <c r="B75" s="2832">
        <f t="shared" ref="B75" si="719">SUM(C75:D75)</f>
        <v>15.653416666666667</v>
      </c>
      <c r="C75" s="2832">
        <f>SUM('ПОЛНАЯ СЕБЕСТОИМОСТЬ ВОДА 2023'!C223)/3</f>
        <v>15.653416666666667</v>
      </c>
      <c r="D75" s="2832">
        <f>SUM('ПОЛНАЯ СЕБЕСТОИМОСТЬ ВОДА 2023'!D223)/3</f>
        <v>0</v>
      </c>
      <c r="E75" s="2775">
        <f t="shared" ref="E75" si="720">SUM(F75:G75)</f>
        <v>0</v>
      </c>
      <c r="F75" s="2775">
        <f>SUM('ПОЛНАЯ СЕБЕСТОИМОСТЬ ВОДА 2023'!F223)</f>
        <v>0</v>
      </c>
      <c r="G75" s="2775">
        <f>SUM('ПОЛНАЯ СЕБЕСТОИМОСТЬ ВОДА 2023'!G223)</f>
        <v>0</v>
      </c>
      <c r="H75" s="2833">
        <f t="shared" ref="H75" si="721">SUM(I75:J75)</f>
        <v>0</v>
      </c>
      <c r="I75" s="2833">
        <v>0</v>
      </c>
      <c r="J75" s="2833">
        <v>0</v>
      </c>
      <c r="K75" s="2832">
        <f t="shared" ref="K75" si="722">SUM(L75:M75)</f>
        <v>15.653416666666667</v>
      </c>
      <c r="L75" s="2832">
        <f t="shared" ref="L75" si="723">SUM(C75)</f>
        <v>15.653416666666667</v>
      </c>
      <c r="M75" s="2832">
        <f t="shared" ref="M75" si="724">SUM(D75)</f>
        <v>0</v>
      </c>
      <c r="N75" s="2775">
        <f t="shared" ref="N75" si="725">SUM(O75:P75)</f>
        <v>0</v>
      </c>
      <c r="O75" s="2775">
        <f>SUM('ПОЛНАЯ СЕБЕСТОИМОСТЬ ВОДА 2023'!I223)</f>
        <v>0</v>
      </c>
      <c r="P75" s="2775">
        <f>SUM('ПОЛНАЯ СЕБЕСТОИМОСТЬ ВОДА 2023'!J223)</f>
        <v>0</v>
      </c>
      <c r="Q75" s="2833">
        <f t="shared" ref="Q75" si="726">SUM(R75:S75)</f>
        <v>0</v>
      </c>
      <c r="R75" s="2833">
        <v>0</v>
      </c>
      <c r="S75" s="2833">
        <v>0</v>
      </c>
      <c r="T75" s="2832">
        <f t="shared" ref="T75" si="727">SUM(U75:V75)</f>
        <v>15.653416666666667</v>
      </c>
      <c r="U75" s="2832">
        <f t="shared" ref="U75" si="728">SUM(L75)</f>
        <v>15.653416666666667</v>
      </c>
      <c r="V75" s="2832">
        <f t="shared" ref="V75" si="729">SUM(M75)</f>
        <v>0</v>
      </c>
      <c r="W75" s="2775">
        <f t="shared" ref="W75" si="730">SUM(X75:Y75)</f>
        <v>0</v>
      </c>
      <c r="X75" s="2775">
        <f>SUM('ПОЛНАЯ СЕБЕСТОИМОСТЬ ВОДА 2023'!L223)</f>
        <v>0</v>
      </c>
      <c r="Y75" s="2775">
        <f>SUM('ПОЛНАЯ СЕБЕСТОИМОСТЬ ВОДА 2023'!M223)</f>
        <v>0</v>
      </c>
      <c r="Z75" s="2833">
        <f t="shared" ref="Z75" si="731">SUM(AA75:AB75)</f>
        <v>0</v>
      </c>
      <c r="AA75" s="2833">
        <v>0</v>
      </c>
      <c r="AB75" s="2833">
        <v>0</v>
      </c>
      <c r="AC75" s="2802">
        <f t="shared" ref="AC75" si="732">SUM(B75+K75+T75)</f>
        <v>46.960250000000002</v>
      </c>
      <c r="AD75" s="2802">
        <f t="shared" ref="AD75" si="733">SUM(C75+L75+U75)</f>
        <v>46.960250000000002</v>
      </c>
      <c r="AE75" s="2802">
        <f t="shared" ref="AE75" si="734">SUM(D75+M75+V75)</f>
        <v>0</v>
      </c>
      <c r="AF75" s="2812">
        <f t="shared" ref="AF75" si="735">SUM(E75+N75+W75)</f>
        <v>0</v>
      </c>
      <c r="AG75" s="2812">
        <f t="shared" ref="AG75" si="736">SUM(F75+O75+X75)</f>
        <v>0</v>
      </c>
      <c r="AH75" s="2812">
        <f t="shared" ref="AH75" si="737">SUM(G75+P75+Y75)</f>
        <v>0</v>
      </c>
      <c r="AI75" s="2812">
        <f t="shared" ref="AI75" si="738">SUM(H75+Q75+Z75)</f>
        <v>0</v>
      </c>
      <c r="AJ75" s="2812">
        <f t="shared" ref="AJ75" si="739">SUM(I75+R75+AA75)</f>
        <v>0</v>
      </c>
      <c r="AK75" s="2812">
        <f t="shared" ref="AK75" si="740">SUM(J75+S75+AB75)</f>
        <v>0</v>
      </c>
      <c r="AL75" s="2813">
        <f t="shared" ref="AL75" si="741">SUM(AF75-AC75)</f>
        <v>-46.960250000000002</v>
      </c>
      <c r="AM75" s="2813">
        <f t="shared" ref="AM75" si="742">SUM(AG75-AD75)</f>
        <v>-46.960250000000002</v>
      </c>
      <c r="AN75" s="2813">
        <f t="shared" ref="AN75" si="743">SUM(AH75-AE75)</f>
        <v>0</v>
      </c>
      <c r="AO75" s="2832">
        <f t="shared" ref="AO75" si="744">SUM(AP75:AQ75)</f>
        <v>15.653416666666667</v>
      </c>
      <c r="AP75" s="2832">
        <f>SUM('ПОЛНАЯ СЕБЕСТОИМОСТЬ ВОДА 2023'!R223)/3</f>
        <v>15.653416666666667</v>
      </c>
      <c r="AQ75" s="2832">
        <f>SUM('ПОЛНАЯ СЕБЕСТОИМОСТЬ ВОДА 2023'!S223)/3</f>
        <v>0</v>
      </c>
      <c r="AR75" s="2832">
        <f t="shared" ref="AR75" si="745">SUM(AS75:AT75)</f>
        <v>0</v>
      </c>
      <c r="AS75" s="2832">
        <f>SUM('ПОЛНАЯ СЕБЕСТОИМОСТЬ ВОДА 2023'!U223)</f>
        <v>0</v>
      </c>
      <c r="AT75" s="2832">
        <f>SUM('ПОЛНАЯ СЕБЕСТОИМОСТЬ ВОДА 2023'!V223)</f>
        <v>0</v>
      </c>
      <c r="AU75" s="2833">
        <f t="shared" ref="AU75" si="746">SUM(AV75:AW75)</f>
        <v>0</v>
      </c>
      <c r="AV75" s="2833">
        <v>0</v>
      </c>
      <c r="AW75" s="2833">
        <v>0</v>
      </c>
      <c r="AX75" s="2832">
        <f t="shared" ref="AX75" si="747">SUM(AY75:AZ75)</f>
        <v>15.653416666666667</v>
      </c>
      <c r="AY75" s="2832">
        <f t="shared" ref="AY75" si="748">SUM(AP75)</f>
        <v>15.653416666666667</v>
      </c>
      <c r="AZ75" s="2832">
        <f t="shared" ref="AZ75" si="749">SUM(AQ75)</f>
        <v>0</v>
      </c>
      <c r="BA75" s="2832">
        <f t="shared" ref="BA75" si="750">SUM(BB75:BC75)</f>
        <v>0</v>
      </c>
      <c r="BB75" s="2832">
        <f>SUM('ПОЛНАЯ СЕБЕСТОИМОСТЬ ВОДА 2023'!X223)</f>
        <v>0</v>
      </c>
      <c r="BC75" s="2832">
        <f>SUM('ПОЛНАЯ СЕБЕСТОИМОСТЬ ВОДА 2023'!Y223)</f>
        <v>0</v>
      </c>
      <c r="BD75" s="2833">
        <f t="shared" ref="BD75" si="751">SUM(BE75:BF75)</f>
        <v>0</v>
      </c>
      <c r="BE75" s="2833">
        <v>0</v>
      </c>
      <c r="BF75" s="2833">
        <v>0</v>
      </c>
      <c r="BG75" s="2832">
        <f t="shared" ref="BG75" si="752">SUM(BH75:BI75)</f>
        <v>15.653416666666667</v>
      </c>
      <c r="BH75" s="2832">
        <f t="shared" ref="BH75" si="753">SUM(AY75)</f>
        <v>15.653416666666667</v>
      </c>
      <c r="BI75" s="2832">
        <f t="shared" ref="BI75" si="754">SUM(AZ75)</f>
        <v>0</v>
      </c>
      <c r="BJ75" s="2775">
        <f t="shared" ref="BJ75" si="755">SUM(BK75:BL75)</f>
        <v>0</v>
      </c>
      <c r="BK75" s="2775">
        <f>SUM('ПОЛНАЯ СЕБЕСТОИМОСТЬ ВОДА 2023'!AA223)</f>
        <v>0</v>
      </c>
      <c r="BL75" s="2775">
        <f>SUM('ПОЛНАЯ СЕБЕСТОИМОСТЬ ВОДА 2023'!AB223)</f>
        <v>0</v>
      </c>
      <c r="BM75" s="2833">
        <f t="shared" ref="BM75" si="756">SUM(BN75:BO75)</f>
        <v>0</v>
      </c>
      <c r="BN75" s="2833">
        <v>0</v>
      </c>
      <c r="BO75" s="2833">
        <v>0</v>
      </c>
      <c r="BP75" s="2802">
        <f>SUM(AO75+AX75+BG75)</f>
        <v>46.960250000000002</v>
      </c>
      <c r="BQ75" s="2802">
        <f t="shared" ref="BQ75" si="757">SUM(AP75+AY75+BH75)</f>
        <v>46.960250000000002</v>
      </c>
      <c r="BR75" s="2802">
        <f t="shared" ref="BR75" si="758">SUM(AQ75+AZ75+BI75)</f>
        <v>0</v>
      </c>
      <c r="BS75" s="2838">
        <f t="shared" ref="BS75" si="759">SUM(AR75+BA75+BJ75)</f>
        <v>0</v>
      </c>
      <c r="BT75" s="2838">
        <f t="shared" ref="BT75" si="760">SUM(AS75+BB75+BK75)</f>
        <v>0</v>
      </c>
      <c r="BU75" s="2838">
        <f t="shared" ref="BU75" si="761">SUM(AT75+BC75+BL75)</f>
        <v>0</v>
      </c>
      <c r="BV75" s="2838">
        <f t="shared" ref="BV75" si="762">SUM(AU75+BD75+BM75)</f>
        <v>0</v>
      </c>
      <c r="BW75" s="2838">
        <f t="shared" ref="BW75" si="763">SUM(AV75+BE75+BN75)</f>
        <v>0</v>
      </c>
      <c r="BX75" s="2838">
        <f t="shared" ref="BX75" si="764">SUM(AW75+BF75+BO75)</f>
        <v>0</v>
      </c>
      <c r="BY75" s="2839">
        <f t="shared" ref="BY75" si="765">SUM(BS75-BP75)</f>
        <v>-46.960250000000002</v>
      </c>
      <c r="BZ75" s="2839">
        <f t="shared" ref="BZ75" si="766">SUM(BT75-BQ75)</f>
        <v>-46.960250000000002</v>
      </c>
      <c r="CA75" s="2839">
        <f t="shared" ref="CA75" si="767">SUM(BU75-BR75)</f>
        <v>0</v>
      </c>
      <c r="CB75" s="2812">
        <f>SUM(AC75+BP75)</f>
        <v>93.920500000000004</v>
      </c>
      <c r="CC75" s="2812">
        <f t="shared" ref="CC75" si="768">SUM(AD75+BQ75)</f>
        <v>93.920500000000004</v>
      </c>
      <c r="CD75" s="2812">
        <f t="shared" ref="CD75" si="769">SUM(AE75+BR75)</f>
        <v>0</v>
      </c>
      <c r="CE75" s="2812">
        <f t="shared" ref="CE75" si="770">SUM(AF75+BS75)</f>
        <v>0</v>
      </c>
      <c r="CF75" s="2812">
        <f t="shared" ref="CF75" si="771">SUM(AG75+BT75)</f>
        <v>0</v>
      </c>
      <c r="CG75" s="2812">
        <f t="shared" ref="CG75" si="772">SUM(AH75+BU75)</f>
        <v>0</v>
      </c>
      <c r="CH75" s="2812">
        <f t="shared" ref="CH75" si="773">SUM(AI75+BV75)</f>
        <v>0</v>
      </c>
      <c r="CI75" s="2812">
        <f t="shared" ref="CI75" si="774">SUM(AJ75+BW75)</f>
        <v>0</v>
      </c>
      <c r="CJ75" s="2812">
        <f t="shared" ref="CJ75" si="775">SUM(AK75+BX75)</f>
        <v>0</v>
      </c>
      <c r="CK75" s="2813">
        <f t="shared" ref="CK75" si="776">SUM(CE75-CB75)</f>
        <v>-93.920500000000004</v>
      </c>
      <c r="CL75" s="2813">
        <f t="shared" ref="CL75" si="777">SUM(CF75-CC75)</f>
        <v>-93.920500000000004</v>
      </c>
      <c r="CM75" s="2813">
        <f t="shared" ref="CM75" si="778">SUM(CG75-CD75)</f>
        <v>0</v>
      </c>
      <c r="CN75" s="2832">
        <f t="shared" ref="CN75:CN76" si="779">SUM(CO75:CP75)</f>
        <v>15.653416666666667</v>
      </c>
      <c r="CO75" s="2832">
        <f>SUM('ПОЛНАЯ СЕБЕСТОИМОСТЬ ВОДА 2023'!AP223)/3</f>
        <v>15.653416666666667</v>
      </c>
      <c r="CP75" s="2832">
        <f>SUM('ПОЛНАЯ СЕБЕСТОИМОСТЬ ВОДА 2023'!AQ223)/3</f>
        <v>0</v>
      </c>
      <c r="CQ75" s="2775">
        <f t="shared" ref="CQ75" si="780">SUM(CR75:CS75)</f>
        <v>0</v>
      </c>
      <c r="CR75" s="2775">
        <f>SUM('ПОЛНАЯ СЕБЕСТОИМОСТЬ ВОДА 2023'!AS223)</f>
        <v>0</v>
      </c>
      <c r="CS75" s="2775">
        <f>SUM('ПОЛНАЯ СЕБЕСТОИМОСТЬ ВОДА 2023'!AT223)</f>
        <v>0</v>
      </c>
      <c r="CT75" s="2833">
        <f t="shared" ref="CT75" si="781">SUM(CU75:CV75)</f>
        <v>0</v>
      </c>
      <c r="CU75" s="2833">
        <v>0</v>
      </c>
      <c r="CV75" s="2833">
        <v>0</v>
      </c>
      <c r="CW75" s="2832">
        <f t="shared" ref="CW75" si="782">SUM(CX75:CY75)</f>
        <v>15.653416666666667</v>
      </c>
      <c r="CX75" s="2832">
        <f t="shared" ref="CX75" si="783">SUM(CO75)</f>
        <v>15.653416666666667</v>
      </c>
      <c r="CY75" s="2832">
        <f t="shared" ref="CY75" si="784">SUM(CP75)</f>
        <v>0</v>
      </c>
      <c r="CZ75" s="2775">
        <f t="shared" ref="CZ75" si="785">SUM(DA75:DB75)</f>
        <v>0</v>
      </c>
      <c r="DA75" s="2775">
        <f>SUM('ПОЛНАЯ СЕБЕСТОИМОСТЬ ВОДА 2023'!AV223)</f>
        <v>0</v>
      </c>
      <c r="DB75" s="2775">
        <f>SUM('ПОЛНАЯ СЕБЕСТОИМОСТЬ ВОДА 2023'!AW223)</f>
        <v>0</v>
      </c>
      <c r="DC75" s="2833">
        <f t="shared" ref="DC75" si="786">SUM(DD75:DE75)</f>
        <v>0</v>
      </c>
      <c r="DD75" s="2833">
        <v>0</v>
      </c>
      <c r="DE75" s="2833">
        <v>0</v>
      </c>
      <c r="DF75" s="2832">
        <f t="shared" ref="DF75" si="787">SUM(DG75:DH75)</f>
        <v>15.653416666666667</v>
      </c>
      <c r="DG75" s="2832">
        <f t="shared" ref="DG75" si="788">SUM(CX75)</f>
        <v>15.653416666666667</v>
      </c>
      <c r="DH75" s="2832">
        <f t="shared" ref="DH75" si="789">SUM(CY75)</f>
        <v>0</v>
      </c>
      <c r="DI75" s="2775">
        <f t="shared" ref="DI75" si="790">SUM(DJ75:DK75)</f>
        <v>0</v>
      </c>
      <c r="DJ75" s="2775">
        <f>SUM('ПОЛНАЯ СЕБЕСТОИМОСТЬ ВОДА 2023'!AY223)</f>
        <v>0</v>
      </c>
      <c r="DK75" s="2775">
        <f>SUM('ПОЛНАЯ СЕБЕСТОИМОСТЬ ВОДА 2023'!AZ223)</f>
        <v>0</v>
      </c>
      <c r="DL75" s="2833">
        <f t="shared" ref="DL75" si="791">SUM(DM75:DN75)</f>
        <v>0</v>
      </c>
      <c r="DM75" s="2833">
        <v>0</v>
      </c>
      <c r="DN75" s="2833">
        <v>0</v>
      </c>
      <c r="DO75" s="2802">
        <f>SUM(CN75+CW75+DF75)</f>
        <v>46.960250000000002</v>
      </c>
      <c r="DP75" s="2802">
        <f t="shared" ref="DP75" si="792">SUM(CO75+CX75+DG75)</f>
        <v>46.960250000000002</v>
      </c>
      <c r="DQ75" s="2802">
        <f t="shared" ref="DQ75" si="793">SUM(CP75+CY75+DH75)</f>
        <v>0</v>
      </c>
      <c r="DR75" s="2838">
        <f t="shared" ref="DR75" si="794">SUM(CQ75+CZ75+DI75)</f>
        <v>0</v>
      </c>
      <c r="DS75" s="2838">
        <f t="shared" ref="DS75" si="795">SUM(CR75+DA75+DJ75)</f>
        <v>0</v>
      </c>
      <c r="DT75" s="2838">
        <f t="shared" ref="DT75" si="796">SUM(CS75+DB75+DK75)</f>
        <v>0</v>
      </c>
      <c r="DU75" s="2838">
        <f t="shared" ref="DU75" si="797">SUM(CT75+DC75+DL75)</f>
        <v>0</v>
      </c>
      <c r="DV75" s="2838">
        <f t="shared" ref="DV75" si="798">SUM(CU75+DD75+DM75)</f>
        <v>0</v>
      </c>
      <c r="DW75" s="2838">
        <f t="shared" ref="DW75" si="799">SUM(CV75+DE75+DN75)</f>
        <v>0</v>
      </c>
      <c r="DX75" s="2839">
        <f t="shared" ref="DX75" si="800">SUM(DR75-DO75)</f>
        <v>-46.960250000000002</v>
      </c>
      <c r="DY75" s="2839">
        <f t="shared" ref="DY75" si="801">SUM(DS75-DP75)</f>
        <v>-46.960250000000002</v>
      </c>
      <c r="DZ75" s="2839">
        <f t="shared" ref="DZ75" si="802">SUM(DT75-DQ75)</f>
        <v>0</v>
      </c>
      <c r="EA75" s="2802">
        <f>SUM(CB75+DO75)</f>
        <v>140.88075000000001</v>
      </c>
      <c r="EB75" s="2802">
        <f t="shared" ref="EB75" si="803">SUM(CC75+DP75)</f>
        <v>140.88075000000001</v>
      </c>
      <c r="EC75" s="2802">
        <f t="shared" ref="EC75" si="804">SUM(CD75+DQ75)</f>
        <v>0</v>
      </c>
      <c r="ED75" s="2838">
        <f t="shared" ref="ED75" si="805">SUM(CE75+DR75)</f>
        <v>0</v>
      </c>
      <c r="EE75" s="2838">
        <f t="shared" ref="EE75" si="806">SUM(CF75+DS75)</f>
        <v>0</v>
      </c>
      <c r="EF75" s="2838">
        <f t="shared" ref="EF75" si="807">SUM(CG75+DT75)</f>
        <v>0</v>
      </c>
      <c r="EG75" s="2838">
        <f t="shared" ref="EG75" si="808">SUM(CH75+DU75)</f>
        <v>0</v>
      </c>
      <c r="EH75" s="2838">
        <f t="shared" ref="EH75" si="809">SUM(CI75+DV75)</f>
        <v>0</v>
      </c>
      <c r="EI75" s="2838">
        <f t="shared" ref="EI75" si="810">SUM(CJ75+DW75)</f>
        <v>0</v>
      </c>
      <c r="EJ75" s="2839">
        <f t="shared" ref="EJ75" si="811">SUM(ED75-EA75)</f>
        <v>-140.88075000000001</v>
      </c>
      <c r="EK75" s="2839">
        <f t="shared" ref="EK75" si="812">SUM(EE75-EB75)</f>
        <v>-140.88075000000001</v>
      </c>
      <c r="EL75" s="2839">
        <f t="shared" ref="EL75" si="813">SUM(EF75-EC75)</f>
        <v>0</v>
      </c>
      <c r="EM75" s="2832">
        <f t="shared" ref="EM75:EM76" si="814">SUM(EN75:EO75)</f>
        <v>15.653416666666667</v>
      </c>
      <c r="EN75" s="2832">
        <f>SUM('ПОЛНАЯ СЕБЕСТОИМОСТЬ ВОДА 2023'!BN223)/3</f>
        <v>15.653416666666667</v>
      </c>
      <c r="EO75" s="2832">
        <f>SUM('ПОЛНАЯ СЕБЕСТОИМОСТЬ ВОДА 2023'!BO223)/3</f>
        <v>0</v>
      </c>
      <c r="EP75" s="2775">
        <f t="shared" ref="EP75" si="815">SUM(EQ75:ER75)</f>
        <v>0</v>
      </c>
      <c r="EQ75" s="2775">
        <f>SUM('ПОЛНАЯ СЕБЕСТОИМОСТЬ ВОДА 2023'!BQ223)</f>
        <v>0</v>
      </c>
      <c r="ER75" s="2775">
        <f>SUM('ПОЛНАЯ СЕБЕСТОИМОСТЬ ВОДА 2023'!BR223)</f>
        <v>0</v>
      </c>
      <c r="ES75" s="2833">
        <f t="shared" ref="ES75" si="816">SUM(ET75:EU75)</f>
        <v>0</v>
      </c>
      <c r="ET75" s="2833">
        <v>0</v>
      </c>
      <c r="EU75" s="3599">
        <v>0</v>
      </c>
      <c r="EV75" s="2832">
        <f t="shared" ref="EV75" si="817">SUM(EW75:EX75)</f>
        <v>15.653416666666667</v>
      </c>
      <c r="EW75" s="2832">
        <f t="shared" ref="EW75" si="818">SUM(EN75)</f>
        <v>15.653416666666667</v>
      </c>
      <c r="EX75" s="2832">
        <f t="shared" ref="EX75" si="819">SUM(EO75)</f>
        <v>0</v>
      </c>
      <c r="EY75" s="2775">
        <f t="shared" ref="EY75" si="820">SUM(EZ75:FA75)</f>
        <v>0</v>
      </c>
      <c r="EZ75" s="2775">
        <f>SUM('ПОЛНАЯ СЕБЕСТОИМОСТЬ ВОДА 2023'!BT223)</f>
        <v>0</v>
      </c>
      <c r="FA75" s="2775">
        <f>SUM('ПОЛНАЯ СЕБЕСТОИМОСТЬ ВОДА 2023'!BU223)</f>
        <v>0</v>
      </c>
      <c r="FB75" s="2833">
        <f t="shared" ref="FB75" si="821">SUM(FC75:FD75)</f>
        <v>0</v>
      </c>
      <c r="FC75" s="2833">
        <v>0</v>
      </c>
      <c r="FD75" s="2833">
        <v>0</v>
      </c>
      <c r="FE75" s="2832">
        <f t="shared" ref="FE75" si="822">SUM(FF75:FG75)</f>
        <v>15.653416666666667</v>
      </c>
      <c r="FF75" s="2832">
        <f t="shared" ref="FF75" si="823">SUM(EW75)</f>
        <v>15.653416666666667</v>
      </c>
      <c r="FG75" s="2832">
        <f t="shared" ref="FG75" si="824">SUM(EX75)</f>
        <v>0</v>
      </c>
      <c r="FH75" s="2775">
        <f t="shared" ref="FH75" si="825">SUM(FI75:FJ75)</f>
        <v>0</v>
      </c>
      <c r="FI75" s="2775">
        <f>SUM('ПОЛНАЯ СЕБЕСТОИМОСТЬ ВОДА 2023'!BW223)</f>
        <v>0</v>
      </c>
      <c r="FJ75" s="2775">
        <f>SUM('ПОЛНАЯ СЕБЕСТОИМОСТЬ ВОДА 2023'!BX223)</f>
        <v>0</v>
      </c>
      <c r="FK75" s="2833">
        <f t="shared" ref="FK75" si="826">SUM(FL75:FM75)</f>
        <v>0</v>
      </c>
      <c r="FL75" s="2833">
        <v>0</v>
      </c>
      <c r="FM75" s="3599">
        <v>0</v>
      </c>
      <c r="FN75" s="2802">
        <f t="shared" ref="FN75" si="827">SUM(EM75+EV75+FE75)</f>
        <v>46.960250000000002</v>
      </c>
      <c r="FO75" s="2802">
        <f t="shared" ref="FO75" si="828">SUM(EN75+EW75+FF75)</f>
        <v>46.960250000000002</v>
      </c>
      <c r="FP75" s="2802">
        <f t="shared" ref="FP75" si="829">SUM(EO75+EX75+FG75)</f>
        <v>0</v>
      </c>
      <c r="FQ75" s="2812">
        <f t="shared" ref="FQ75" si="830">SUM(EP75+EY75+FH75)</f>
        <v>0</v>
      </c>
      <c r="FR75" s="2812">
        <f t="shared" ref="FR75" si="831">SUM(EQ75+EZ75+FI75)</f>
        <v>0</v>
      </c>
      <c r="FS75" s="2812">
        <f t="shared" ref="FS75" si="832">SUM(ER75+FA75+FJ75)</f>
        <v>0</v>
      </c>
      <c r="FT75" s="2812">
        <f t="shared" ref="FT75" si="833">SUM(ES75+FB75+FK75)</f>
        <v>0</v>
      </c>
      <c r="FU75" s="2812">
        <f t="shared" ref="FU75" si="834">SUM(ET75+FC75+FL75)</f>
        <v>0</v>
      </c>
      <c r="FV75" s="2812">
        <f t="shared" ref="FV75" si="835">SUM(EU75+FD75+FM75)</f>
        <v>0</v>
      </c>
      <c r="FW75" s="2813">
        <f t="shared" ref="FW75" si="836">SUM(FQ75-FN75)</f>
        <v>-46.960250000000002</v>
      </c>
      <c r="FX75" s="2813">
        <f t="shared" ref="FX75" si="837">SUM(FR75-FO75)</f>
        <v>-46.960250000000002</v>
      </c>
      <c r="FY75" s="2813">
        <f t="shared" ref="FY75" si="838">SUM(FS75-FP75)</f>
        <v>0</v>
      </c>
      <c r="FZ75" s="2802">
        <f t="shared" ref="FZ75" si="839">SUM(EA75+FN75)</f>
        <v>187.84100000000001</v>
      </c>
      <c r="GA75" s="2802">
        <f t="shared" ref="GA75" si="840">SUM(EB75+FO75)</f>
        <v>187.84100000000001</v>
      </c>
      <c r="GB75" s="2802">
        <f t="shared" ref="GB75" si="841">SUM(EC75+FP75)</f>
        <v>0</v>
      </c>
      <c r="GC75" s="2812">
        <f t="shared" ref="GC75" si="842">SUM(ED75+FQ75)</f>
        <v>0</v>
      </c>
      <c r="GD75" s="2812">
        <f t="shared" ref="GD75" si="843">SUM(EE75+FR75)</f>
        <v>0</v>
      </c>
      <c r="GE75" s="2812">
        <f t="shared" ref="GE75" si="844">SUM(EF75+FS75)</f>
        <v>0</v>
      </c>
      <c r="GF75" s="2812">
        <f t="shared" ref="GF75" si="845">SUM(EG75+FT75)</f>
        <v>0</v>
      </c>
      <c r="GG75" s="2812">
        <f t="shared" ref="GG75" si="846">SUM(EH75+FU75)</f>
        <v>0</v>
      </c>
      <c r="GH75" s="2812">
        <f t="shared" ref="GH75" si="847">SUM(EI75+FV75)</f>
        <v>0</v>
      </c>
      <c r="GI75" s="2813">
        <f t="shared" ref="GI75" si="848">SUM(GC75-FZ75)</f>
        <v>-187.84100000000001</v>
      </c>
      <c r="GJ75" s="2813">
        <f t="shared" ref="GJ75" si="849">SUM(GD75-GA75)</f>
        <v>-187.84100000000001</v>
      </c>
      <c r="GK75" s="2813">
        <f t="shared" ref="GK75" si="850">SUM(GE75-GB75)</f>
        <v>0</v>
      </c>
      <c r="GL75" s="389"/>
      <c r="GM75" s="3578">
        <f t="shared" si="562"/>
        <v>187.84099999999998</v>
      </c>
    </row>
    <row r="76" spans="1:195" ht="18.75" x14ac:dyDescent="0.3">
      <c r="A76" s="2843" t="s">
        <v>12</v>
      </c>
      <c r="B76" s="2844">
        <f t="shared" si="625"/>
        <v>15062.275773829542</v>
      </c>
      <c r="C76" s="2844">
        <f>SUM(C47+C48+C49+C50+C51+C52+C53+C55+C60+C66+C73+C74+C75)</f>
        <v>15059.349185948564</v>
      </c>
      <c r="D76" s="2844">
        <f>SUM(D47+D48+D49+D50+D51+D52+D53+D55+D60+D66+D73+D74+D75)</f>
        <v>2.9265878809789743</v>
      </c>
      <c r="E76" s="2772">
        <f t="shared" ref="E76" si="851">SUM(F76:G76)</f>
        <v>17217.948</v>
      </c>
      <c r="F76" s="2772">
        <f>SUM(F47+F48+F49+F50+F51+F52+F53+F55+F60+F66+F73+F74+F75)</f>
        <v>17217.948</v>
      </c>
      <c r="G76" s="2772">
        <f>SUM(G47+G48+G49+G50+G51+G52+G53+G55+G60+G66+G73+G74+G75)</f>
        <v>0</v>
      </c>
      <c r="H76" s="4414">
        <f t="shared" ref="H76:H77" si="852">SUM(I76:J76)</f>
        <v>13127.200850000001</v>
      </c>
      <c r="I76" s="4414">
        <v>13125.382080000001</v>
      </c>
      <c r="J76" s="4414">
        <v>1.81877</v>
      </c>
      <c r="K76" s="2844">
        <f t="shared" ref="K76" si="853">SUM(L76:M76)</f>
        <v>15062.275773829542</v>
      </c>
      <c r="L76" s="2844">
        <f>SUM(L47+L48+L49+L50+L51+L52+L53+L55+L60+L66+L73+L74+L75)</f>
        <v>15059.349185948564</v>
      </c>
      <c r="M76" s="2844">
        <f>SUM(M47+M48+M49+M50+M51+M52+M53+M55+M60+M66+M73+M74+M75)</f>
        <v>2.9265878809789743</v>
      </c>
      <c r="N76" s="2772">
        <f t="shared" ref="N76" si="854">SUM(O76:P76)</f>
        <v>14061.75128</v>
      </c>
      <c r="O76" s="2772">
        <f>SUM(O47+O48+O49+O50+O51+O52+O53+O55+O60+O66+O73+O74+O75)</f>
        <v>14061.75128</v>
      </c>
      <c r="P76" s="2772">
        <f>SUM(P47+P48+P49+P50+P51+P52+P53+P55+P60+P66+P73+P74+P75)</f>
        <v>0</v>
      </c>
      <c r="Q76" s="2772">
        <f>SUM(Q47+Q48+Q49+Q50+Q51+Q52+Q53+Q55+Q60+Q66+Q73+Q74+Q75)</f>
        <v>9834.6663000000008</v>
      </c>
      <c r="R76" s="2772">
        <v>9833.2950000000001</v>
      </c>
      <c r="S76" s="2772">
        <v>1.3713</v>
      </c>
      <c r="T76" s="2844">
        <f t="shared" ref="T76" si="855">SUM(U76:V76)</f>
        <v>15062.275773829542</v>
      </c>
      <c r="U76" s="2844">
        <f>SUM(U47+U48+U49+U50+U51+U52+U53+U55+U60+U66+U73+U74+U75)</f>
        <v>15059.349185948564</v>
      </c>
      <c r="V76" s="2844">
        <f>SUM(V47+V48+V49+V50+V51+V52+V53+V55+V60+V66+V73+V74+V75)</f>
        <v>2.9265878809789743</v>
      </c>
      <c r="W76" s="2772">
        <f t="shared" ref="W76" si="856">SUM(X76:Y76)</f>
        <v>15100.962800000003</v>
      </c>
      <c r="X76" s="2772">
        <f>SUM(X47+X48+X49+X50+X51+X52+X53+X55+X60+X66+X73+X74+X75)</f>
        <v>15100.336370000003</v>
      </c>
      <c r="Y76" s="2772">
        <f>SUM(Y47+Y48+Y49+Y50+Y51+Y52+Y53+Y55+Y60+Y66+Y73+Y74+Y75)</f>
        <v>0.62643000000000004</v>
      </c>
      <c r="Z76" s="2772">
        <f>SUM(Z47+Z48+Z49+Z50+Z51+Z52+Z53+Z55+Z60+Z66+Z73+Z74+Z75)</f>
        <v>16794.695180000002</v>
      </c>
      <c r="AA76" s="2772">
        <v>16791.827000000001</v>
      </c>
      <c r="AB76" s="2772">
        <v>2.8681800000000002</v>
      </c>
      <c r="AC76" s="2847">
        <f t="shared" ref="AC76:AC77" si="857">SUM(AD76:AE76)</f>
        <v>45186.827321488636</v>
      </c>
      <c r="AD76" s="2847">
        <f>SUM(AD47+AD48+AD49+AD50+AD51+AD52+AD53+AD55+AD60+AD66+AD73+AD74+AD75)</f>
        <v>45178.047557845697</v>
      </c>
      <c r="AE76" s="2847">
        <f>SUM(AE47+AE48+AE49+AE50+AE51+AE52+AE53+AE55+AE60+AE66+AE73+AE74+AE75)</f>
        <v>8.7797636429369224</v>
      </c>
      <c r="AF76" s="2847">
        <f t="shared" ref="AF76" si="858">SUM(AG76:AH76)</f>
        <v>46380.662079999995</v>
      </c>
      <c r="AG76" s="2847">
        <f>SUM(AG47+AG48+AG49+AG50+AG51+AG52+AG53+AG55+AG60+AG66+AG73+AG74+AG75)</f>
        <v>46380.035649999998</v>
      </c>
      <c r="AH76" s="2847">
        <f>SUM(AH47+AH48+AH49+AH50+AH51+AH52+AH53+AH55+AH60+AH66+AH73+AH74+AH75)</f>
        <v>0.62643000000000004</v>
      </c>
      <c r="AI76" s="2847">
        <f t="shared" ref="AI76:AI77" si="859">SUM(AJ76:AK76)</f>
        <v>39756.562330000001</v>
      </c>
      <c r="AJ76" s="2847">
        <f>SUM(AJ47+AJ48+AJ49+AJ50+AJ51+AJ52+AJ53+AJ55+AJ60+AJ66+AJ73+AJ74+AJ75)</f>
        <v>39750.504079999999</v>
      </c>
      <c r="AK76" s="2847">
        <f>SUM(AK47+AK48+AK49+AK50+AK51+AK52+AK53+AK55+AK60+AK66+AK73+AK74+AK75)</f>
        <v>6.058250000000001</v>
      </c>
      <c r="AL76" s="2813">
        <f t="shared" si="694"/>
        <v>1193.8347585113588</v>
      </c>
      <c r="AM76" s="2813">
        <f t="shared" si="694"/>
        <v>1201.9880921543008</v>
      </c>
      <c r="AN76" s="2813">
        <f t="shared" si="694"/>
        <v>-8.1533336429369214</v>
      </c>
      <c r="AO76" s="2844">
        <f t="shared" ref="AO76" si="860">SUM(AP76:AQ76)</f>
        <v>15062.275773829542</v>
      </c>
      <c r="AP76" s="2844">
        <f>SUM(AP47+AP48+AP49+AP50+AP51+AP52+AP53+AP55+AP60+AP66+AP73+AP74+AP75)</f>
        <v>15059.349185948564</v>
      </c>
      <c r="AQ76" s="2844">
        <f>SUM(AQ47+AQ48+AQ49+AQ50+AQ51+AQ52+AQ53+AQ55+AQ60+AQ66+AQ73+AQ74+AQ75)</f>
        <v>2.9265878809789743</v>
      </c>
      <c r="AR76" s="2772">
        <f t="shared" ref="AR76" si="861">SUM(AS76:AT76)</f>
        <v>15686.832549999999</v>
      </c>
      <c r="AS76" s="2772">
        <f>SUM(AS47+AS48+AS49+AS50+AS51+AS52+AS53+AS55+AS60+AS66+AS73+AS74+AS75)</f>
        <v>15682.85203</v>
      </c>
      <c r="AT76" s="2772">
        <f>SUM(AT47+AT48+AT49+AT50+AT51+AT52+AT53+AT55+AT60+AT66+AT73+AT74+AT75)</f>
        <v>3.9805199999999998</v>
      </c>
      <c r="AU76" s="2772">
        <f>SUM(AU47+AU48+AU49+AU50+AU51+AU52+AU53+AU55+AU60+AU66+AU73+AU74+AU75)</f>
        <v>13474.798900000003</v>
      </c>
      <c r="AV76" s="2772">
        <v>13471.707000000002</v>
      </c>
      <c r="AW76" s="2772">
        <v>3.0918999999999999</v>
      </c>
      <c r="AX76" s="2844">
        <f t="shared" ref="AX76" si="862">SUM(AY76:AZ76)</f>
        <v>15062.275773829542</v>
      </c>
      <c r="AY76" s="2844">
        <f>SUM(AY47+AY48+AY49+AY50+AY51+AY52+AY53+AY55+AY60+AY66+AY73+AY74+AY75)</f>
        <v>15059.349185948564</v>
      </c>
      <c r="AZ76" s="2844">
        <f>SUM(AZ47+AZ48+AZ49+AZ50+AZ51+AZ52+AZ53+AZ55+AZ60+AZ66+AZ73+AZ74+AZ75)</f>
        <v>2.9265878809789743</v>
      </c>
      <c r="BA76" s="2772">
        <f t="shared" ref="BA76" si="863">SUM(BB76:BC76)</f>
        <v>17633.094590000001</v>
      </c>
      <c r="BB76" s="2772">
        <f>SUM(BB47+BB48+BB49+BB50+BB51+BB52+BB53+BB55+BB60+BB66+BB73+BB74+BB75)</f>
        <v>17627.933000000001</v>
      </c>
      <c r="BC76" s="2772">
        <f>SUM(BC47+BC48+BC49+BC50+BC51+BC52+BC53+BC55+BC60+BC66+BC73+BC74+BC75)</f>
        <v>5.1615899999999995</v>
      </c>
      <c r="BD76" s="2772">
        <f>SUM(BD47+BD48+BD49+BD50+BD51+BD52+BD53+BD55+BD60+BD66+BD73+BD74+BD75)</f>
        <v>15651.619019999998</v>
      </c>
      <c r="BE76" s="2772">
        <v>15649.88112</v>
      </c>
      <c r="BF76" s="2772">
        <v>1.7379</v>
      </c>
      <c r="BG76" s="2844">
        <f t="shared" ref="BG76" si="864">SUM(BH76:BI76)</f>
        <v>15062.275773829542</v>
      </c>
      <c r="BH76" s="2844">
        <f>SUM(BH47+BH48+BH49+BH50+BH51+BH52+BH53+BH55+BH60+BH66+BH73+BH74+BH75)</f>
        <v>15059.349185948564</v>
      </c>
      <c r="BI76" s="2844">
        <f>SUM(BI47+BI48+BI49+BI50+BI51+BI52+BI53+BI55+BI60+BI66+BI73+BI74+BI75)</f>
        <v>2.9265878809789743</v>
      </c>
      <c r="BJ76" s="2772">
        <f t="shared" ref="BJ76" si="865">SUM(BK76:BL76)</f>
        <v>19203.366320000001</v>
      </c>
      <c r="BK76" s="2772">
        <f>SUM(BK47+BK48+BK49+BK50+BK51+BK52+BK53+BK55+BK60+BK66+BK73+BK74+BK75)</f>
        <v>19199.924220000001</v>
      </c>
      <c r="BL76" s="2772">
        <f>SUM(BL47+BL48+BL49+BL50+BL51+BL52+BL53+BL55+BL60+BL66+BL73+BL74+BL75)</f>
        <v>3.4420999999999999</v>
      </c>
      <c r="BM76" s="2772">
        <f>SUM(BM47+BM48+BM49+BM50+BM51+BM52+BM53+BM55+BM60+BM66+BM73+BM74+BM75)</f>
        <v>16141.065219999997</v>
      </c>
      <c r="BN76" s="2772">
        <v>16138.682379999998</v>
      </c>
      <c r="BO76" s="2772">
        <v>2.3828399999999998</v>
      </c>
      <c r="BP76" s="2846">
        <f t="shared" ref="BP76:BP77" si="866">SUM(BQ76:BR76)</f>
        <v>45186.827321488636</v>
      </c>
      <c r="BQ76" s="2846">
        <f>SUM(BQ47+BQ48+BQ49+BQ50+BQ51+BQ52+BQ53+BQ55+BQ60+BQ66+BQ73+BQ74+BQ75)</f>
        <v>45178.047557845697</v>
      </c>
      <c r="BR76" s="2846">
        <f>SUM(BR47+BR48+BR49+BR50+BR51+BR52+BR53+BR55+BR60+BR66+BR73+BR74+BR75)</f>
        <v>8.7797636429369224</v>
      </c>
      <c r="BS76" s="2847">
        <f t="shared" ref="BS76:BS77" si="867">SUM(BT76:BU76)</f>
        <v>52523.293459999994</v>
      </c>
      <c r="BT76" s="2847">
        <f>SUM(BT47+BT48+BT49+BT50+BT51+BT52+BT53+BT55+BT60+BT66+BT73+BT74+BT75)</f>
        <v>52510.709249999993</v>
      </c>
      <c r="BU76" s="2847">
        <f>SUM(BU47+BU48+BU49+BU50+BU51+BU52+BU53+BU55+BU60+BU66+BU73+BU74+BU75)</f>
        <v>12.584210000000001</v>
      </c>
      <c r="BV76" s="2847">
        <f t="shared" ref="BV76:BV77" si="868">SUM(BW76:BX76)</f>
        <v>45267.483139999997</v>
      </c>
      <c r="BW76" s="2847">
        <f>SUM(BW47+BW48+BW49+BW50+BW51+BW52+BW53+BW55+BW60+BW66+BW73+BW74+BW75)</f>
        <v>45260.270499999999</v>
      </c>
      <c r="BX76" s="2847">
        <f>SUM(BX47+BX48+BX49+BX50+BX51+BX52+BX53+BX55+BX60+BX66+BX73+BX74+BX75)</f>
        <v>7.2126400000000004</v>
      </c>
      <c r="BY76" s="2824">
        <f t="shared" si="551"/>
        <v>7336.4661385113577</v>
      </c>
      <c r="BZ76" s="2824">
        <f t="shared" si="551"/>
        <v>7332.6616921542955</v>
      </c>
      <c r="CA76" s="2824">
        <f t="shared" si="551"/>
        <v>3.8044463570630782</v>
      </c>
      <c r="CB76" s="2847">
        <f t="shared" ref="CB76:CB77" si="869">SUM(CC76:CD76)</f>
        <v>90373.654642977272</v>
      </c>
      <c r="CC76" s="2847">
        <f>SUM(CC47+CC48+CC49+CC50+CC51+CC52+CC53+CC55+CC60+CC66+CC73+CC74+CC75)</f>
        <v>90356.095115691394</v>
      </c>
      <c r="CD76" s="2847">
        <f>SUM(CD47+CD48+CD49+CD50+CD51+CD52+CD53+CD55+CD60+CD66+CD73+CD74+CD75)</f>
        <v>17.559527285873845</v>
      </c>
      <c r="CE76" s="2847">
        <f t="shared" ref="CE76:CE77" si="870">SUM(CF76:CG76)</f>
        <v>98903.95554000001</v>
      </c>
      <c r="CF76" s="2847">
        <f>SUM(CF47+CF48+CF49+CF50+CF51+CF52+CF53+CF55+CF60+CF66+CF73+CF74+CF75)</f>
        <v>98890.744900000005</v>
      </c>
      <c r="CG76" s="2847">
        <f>SUM(CG47+CG48+CG49+CG50+CG51+CG52+CG53+CG55+CG60+CG66+CG73+CG74+CG75)</f>
        <v>13.21064</v>
      </c>
      <c r="CH76" s="2847">
        <f t="shared" ref="CH76:CH77" si="871">SUM(CI76:CJ76)</f>
        <v>85024.045469999997</v>
      </c>
      <c r="CI76" s="2847">
        <f>SUM(CI47+CI48+CI49+CI50+CI51+CI52+CI53+CI55+CI60+CI66+CI73+CI74+CI75)</f>
        <v>85010.774579999998</v>
      </c>
      <c r="CJ76" s="2847">
        <f>SUM(CJ47+CJ48+CJ49+CJ50+CJ51+CJ52+CJ53+CJ55+CJ60+CJ66+CJ73+CJ74+CJ75)</f>
        <v>13.27089</v>
      </c>
      <c r="CK76" s="2824">
        <f t="shared" si="553"/>
        <v>8530.3008970227384</v>
      </c>
      <c r="CL76" s="2824">
        <f t="shared" si="553"/>
        <v>8534.6497843086108</v>
      </c>
      <c r="CM76" s="2824">
        <f t="shared" si="553"/>
        <v>-4.348887285873845</v>
      </c>
      <c r="CN76" s="2844">
        <f t="shared" si="779"/>
        <v>15062.275773829542</v>
      </c>
      <c r="CO76" s="2844">
        <f>SUM(CO47+CO48+CO49+CO50+CO51+CO52+CO53+CO55+CO60+CO66+CO73+CO74+CO75)</f>
        <v>15059.349185948564</v>
      </c>
      <c r="CP76" s="2844">
        <f>SUM(CP47+CP48+CP49+CP50+CP51+CP52+CP53+CP55+CP60+CP66+CP73+CP74+CP75)</f>
        <v>2.9265878809789743</v>
      </c>
      <c r="CQ76" s="2772">
        <f t="shared" ref="CQ76" si="872">SUM(CR76:CS76)</f>
        <v>13049.248650000001</v>
      </c>
      <c r="CR76" s="2772">
        <f>SUM(CR47+CR48+CR49+CR50+CR51+CR52+CR53+CR55+CR60+CR66+CR73+CR74+CR75)</f>
        <v>13046.58401</v>
      </c>
      <c r="CS76" s="2772">
        <f>SUM(CS47+CS48+CS49+CS50+CS51+CS52+CS53+CS55+CS60+CS66+CS73+CS74+CS75)</f>
        <v>2.6646399999999999</v>
      </c>
      <c r="CT76" s="2772">
        <f>SUM(CT47+CT48+CT49+CT50+CT51+CT52+CT53+CT55+CT60+CT66+CT73+CT74+CT75)</f>
        <v>15911.598030000001</v>
      </c>
      <c r="CU76" s="2772">
        <v>15909.349</v>
      </c>
      <c r="CV76" s="2772">
        <v>2.2490300000000003</v>
      </c>
      <c r="CW76" s="2844">
        <f t="shared" ref="CW76" si="873">SUM(CX76:CY76)</f>
        <v>15062.275773829542</v>
      </c>
      <c r="CX76" s="2844">
        <f>SUM(CX47+CX48+CX49+CX50+CX51+CX52+CX53+CX55+CX60+CX66+CX73+CX74+CX75)</f>
        <v>15059.349185948564</v>
      </c>
      <c r="CY76" s="2844">
        <f>SUM(CY47+CY48+CY49+CY50+CY51+CY52+CY53+CY55+CY60+CY66+CY73+CY74+CY75)</f>
        <v>2.9265878809789743</v>
      </c>
      <c r="CZ76" s="2772">
        <f t="shared" ref="CZ76" si="874">SUM(DA76:DB76)</f>
        <v>0</v>
      </c>
      <c r="DA76" s="2772">
        <f>SUM(DA47+DA48+DA49+DA50+DA51+DA52+DA53+DA55+DA60+DA66+DA73+DA74+DA75)</f>
        <v>0</v>
      </c>
      <c r="DB76" s="2772">
        <f>SUM(DB47+DB48+DB49+DB50+DB51+DB52+DB53+DB55+DB60+DB66+DB73+DB74+DB75)</f>
        <v>0</v>
      </c>
      <c r="DC76" s="2772">
        <f>SUM(DC47+DC48+DC49+DC50+DC51+DC52+DC53+DC55+DC60+DC66+DC73+DC74+DC75)</f>
        <v>16880.90797</v>
      </c>
      <c r="DD76" s="2772">
        <v>16880.048000000003</v>
      </c>
      <c r="DE76" s="2772">
        <v>0.85997000000000012</v>
      </c>
      <c r="DF76" s="2844">
        <f t="shared" ref="DF76" si="875">SUM(DG76:DH76)</f>
        <v>15062.275773829542</v>
      </c>
      <c r="DG76" s="2844">
        <f>SUM(DG47+DG48+DG49+DG50+DG51+DG52+DG53+DG55+DG60+DG66+DG73+DG74+DG75)</f>
        <v>15059.349185948564</v>
      </c>
      <c r="DH76" s="2844">
        <f>SUM(DH47+DH48+DH49+DH50+DH51+DH52+DH53+DH55+DH60+DH66+DH73+DH74+DH75)</f>
        <v>2.9265878809789743</v>
      </c>
      <c r="DI76" s="2772">
        <f t="shared" ref="DI76" si="876">SUM(DJ76:DK76)</f>
        <v>0</v>
      </c>
      <c r="DJ76" s="2772">
        <f>SUM(DJ47+DJ48+DJ49+DJ50+DJ51+DJ52+DJ53+DJ55+DJ60+DJ66+DJ73+DJ74+DJ75)</f>
        <v>0</v>
      </c>
      <c r="DK76" s="2772">
        <f>SUM(DK47+DK48+DK49+DK50+DK51+DK52+DK53+DK55+DK60+DK66+DK73+DK74+DK75)</f>
        <v>0</v>
      </c>
      <c r="DL76" s="2772">
        <f>SUM(DL47+DL48+DL49+DL50+DL51+DL52+DL53+DL55+DL60+DL66+DL73+DL74+DL75)</f>
        <v>15129.468110000002</v>
      </c>
      <c r="DM76" s="2772">
        <v>15127.906499999999</v>
      </c>
      <c r="DN76" s="2772">
        <v>1.5616099999999999</v>
      </c>
      <c r="DO76" s="2846">
        <f t="shared" ref="DO76:DO77" si="877">SUM(DP76:DQ76)</f>
        <v>45186.827321488636</v>
      </c>
      <c r="DP76" s="2846">
        <f>SUM(DP47+DP48+DP49+DP50+DP51+DP52+DP53+DP55+DP60+DP66+DP73+DP74+DP75)</f>
        <v>45178.047557845697</v>
      </c>
      <c r="DQ76" s="2846">
        <f>SUM(DQ47+DQ48+DQ49+DQ50+DQ51+DQ52+DQ53+DQ55+DQ60+DQ66+DQ73+DQ74+DQ75)</f>
        <v>8.7797636429369224</v>
      </c>
      <c r="DR76" s="2847">
        <f t="shared" ref="DR76:DR77" si="878">SUM(DS76:DT76)</f>
        <v>13049.248650000001</v>
      </c>
      <c r="DS76" s="2847">
        <f>SUM(DS47+DS48+DS49+DS50+DS51+DS52+DS53+DS55+DS60+DS66+DS73+DS74+DS75)</f>
        <v>13046.58401</v>
      </c>
      <c r="DT76" s="2847">
        <f>SUM(DT47+DT48+DT49+DT50+DT51+DT52+DT53+DT55+DT60+DT66+DT73+DT74+DT75)</f>
        <v>2.6646399999999999</v>
      </c>
      <c r="DU76" s="2847">
        <f t="shared" ref="DU76:DU77" si="879">SUM(DV76:DW76)</f>
        <v>47921.974110000003</v>
      </c>
      <c r="DV76" s="2847">
        <f>SUM(DV47+DV48+DV49+DV50+DV51+DV52+DV53+DV55+DV60+DV66+DV73+DV74+DV75)</f>
        <v>47917.303500000002</v>
      </c>
      <c r="DW76" s="2847">
        <f>SUM(DW47+DW48+DW49+DW50+DW51+DW52+DW53+DW55+DW60+DW66+DW73+DW74+DW75)</f>
        <v>4.6706099999999999</v>
      </c>
      <c r="DX76" s="2824">
        <f t="shared" si="555"/>
        <v>-32137.578671488634</v>
      </c>
      <c r="DY76" s="2824">
        <f t="shared" si="555"/>
        <v>-32131.463547845698</v>
      </c>
      <c r="DZ76" s="2824">
        <f t="shared" si="555"/>
        <v>-6.115123642936922</v>
      </c>
      <c r="EA76" s="2846">
        <f t="shared" ref="EA76" si="880">SUM(EB76:EC76)</f>
        <v>135560.48196446593</v>
      </c>
      <c r="EB76" s="2846">
        <f>SUM(EB47+EB48+EB49+EB50+EB51+EB52+EB53+EB55+EB60+EB66+EB73+EB74+EB75)</f>
        <v>135534.14267353711</v>
      </c>
      <c r="EC76" s="2846">
        <f>SUM(EC47+EC48+EC49+EC50+EC51+EC52+EC53+EC55+EC60+EC66+EC73+EC74+EC75)</f>
        <v>26.339290928810769</v>
      </c>
      <c r="ED76" s="2847">
        <f t="shared" ref="ED76" si="881">SUM(EE76:EF76)</f>
        <v>111953.20418999999</v>
      </c>
      <c r="EE76" s="2847">
        <f>SUM(EE47+EE48+EE49+EE50+EE51+EE52+EE53+EE55+EE60+EE66+EE73+EE74+EE75)</f>
        <v>111937.32891</v>
      </c>
      <c r="EF76" s="2847">
        <f>SUM(EF47+EF48+EF49+EF50+EF51+EF52+EF53+EF55+EF60+EF66+EF73+EF74+EF75)</f>
        <v>15.87528</v>
      </c>
      <c r="EG76" s="2847">
        <f t="shared" ref="EG76" si="882">SUM(EH76:EI76)</f>
        <v>132946.01957999999</v>
      </c>
      <c r="EH76" s="2847">
        <f>SUM(EH47+EH48+EH49+EH50+EH51+EH52+EH53+EH55+EH60+EH66+EH73+EH74+EH75)</f>
        <v>132928.07808000001</v>
      </c>
      <c r="EI76" s="2847">
        <f>SUM(EI47+EI48+EI49+EI50+EI51+EI52+EI53+EI55+EI60+EI66+EI73+EI74+EI75)</f>
        <v>17.941499999999998</v>
      </c>
      <c r="EJ76" s="2824">
        <f t="shared" si="557"/>
        <v>-23607.27777446594</v>
      </c>
      <c r="EK76" s="2824">
        <f t="shared" si="557"/>
        <v>-23596.813763537109</v>
      </c>
      <c r="EL76" s="2824">
        <f t="shared" si="557"/>
        <v>-10.464010928810769</v>
      </c>
      <c r="EM76" s="2844">
        <f t="shared" si="814"/>
        <v>15062.275773829542</v>
      </c>
      <c r="EN76" s="2844">
        <f>SUM(EN47+EN48+EN49+EN50+EN51+EN52+EN53+EN55+EN60+EN66+EN73+EN74+EN75)</f>
        <v>15059.349185948564</v>
      </c>
      <c r="EO76" s="2844">
        <f>SUM(EO47+EO48+EO49+EO50+EO51+EO52+EO53+EO55+EO60+EO66+EO73+EO74+EO75)</f>
        <v>2.9265878809789743</v>
      </c>
      <c r="EP76" s="2772">
        <f t="shared" ref="EP76" si="883">SUM(EQ76:ER76)</f>
        <v>0</v>
      </c>
      <c r="EQ76" s="2772">
        <f>SUM(EQ47+EQ48+EQ49+EQ50+EQ51+EQ52+EQ53+EQ55+EQ60+EQ66+EQ73+EQ74+EQ75)</f>
        <v>0</v>
      </c>
      <c r="ER76" s="2772">
        <f>SUM(ER47+ER48+ER49+ER50+ER51+ER52+ER53+ER55+ER60+ER66+ER73+ER74+ER75)</f>
        <v>0</v>
      </c>
      <c r="ES76" s="2772">
        <f>SUM(ES47+ES48+ES49+ES50+ES51+ES52+ES53+ES55+ES60+ES66+ES73+ES74+ES75)</f>
        <v>13873.00196</v>
      </c>
      <c r="ET76" s="2772">
        <v>13873.00196</v>
      </c>
      <c r="EU76" s="2772">
        <v>0</v>
      </c>
      <c r="EV76" s="2844">
        <f t="shared" ref="EV76" si="884">SUM(EW76:EX76)</f>
        <v>15062.275773829542</v>
      </c>
      <c r="EW76" s="2844">
        <f>SUM(EW47+EW48+EW49+EW50+EW51+EW52+EW53+EW55+EW60+EW66+EW73+EW74+EW75)</f>
        <v>15059.349185948564</v>
      </c>
      <c r="EX76" s="2844">
        <f>SUM(EX47+EX48+EX49+EX50+EX51+EX52+EX53+EX55+EX60+EX66+EX73+EX74+EX75)</f>
        <v>2.9265878809789743</v>
      </c>
      <c r="EY76" s="2772">
        <f t="shared" ref="EY76" si="885">SUM(EZ76:FA76)</f>
        <v>0</v>
      </c>
      <c r="EZ76" s="2772">
        <f>SUM(EZ47+EZ48+EZ49+EZ50+EZ51+EZ52+EZ53+EZ55+EZ60+EZ66+EZ73+EZ74+EZ75)</f>
        <v>0</v>
      </c>
      <c r="FA76" s="2772">
        <f>SUM(FA47+FA48+FA49+FA50+FA51+FA52+FA53+FA55+FA60+FA66+FA73+FA74+FA75)</f>
        <v>0</v>
      </c>
      <c r="FB76" s="2772">
        <f>SUM(FB47+FB48+FB49+FB50+FB51+FB52+FB53+FB55+FB60+FB66+FB73+FB74+FB75)</f>
        <v>14357.36436</v>
      </c>
      <c r="FC76" s="2772">
        <v>14357.36436</v>
      </c>
      <c r="FD76" s="2772">
        <v>0</v>
      </c>
      <c r="FE76" s="2844">
        <f t="shared" ref="FE76" si="886">SUM(FF76:FG76)</f>
        <v>15062.275773829542</v>
      </c>
      <c r="FF76" s="2844">
        <f>SUM(FF47+FF48+FF49+FF50+FF51+FF52+FF53+FF55+FF60+FF66+FF73+FF74+FF75)</f>
        <v>15059.349185948564</v>
      </c>
      <c r="FG76" s="2844">
        <f>SUM(FG47+FG48+FG49+FG50+FG51+FG52+FG53+FG55+FG60+FG66+FG73+FG74+FG75)</f>
        <v>2.9265878809789743</v>
      </c>
      <c r="FH76" s="2772">
        <f t="shared" ref="FH76" si="887">SUM(FI76:FJ76)</f>
        <v>0</v>
      </c>
      <c r="FI76" s="2772">
        <f>SUM(FI47+FI48+FI49+FI50+FI51+FI52+FI53+FI55+FI60+FI66+FI73+FI74+FI75)</f>
        <v>0</v>
      </c>
      <c r="FJ76" s="2772">
        <f>SUM(FJ47+FJ48+FJ49+FJ50+FJ51+FJ52+FJ53+FJ55+FJ60+FJ66+FJ73+FJ74+FJ75)</f>
        <v>0</v>
      </c>
      <c r="FK76" s="2772">
        <f>SUM(FK47+FK48+FK49+FK50+FK51+FK52+FK53+FK55+FK60+FK66+FK73+FK74+FK75)</f>
        <v>15565.775409999998</v>
      </c>
      <c r="FL76" s="2772">
        <v>15565.775409999998</v>
      </c>
      <c r="FM76" s="2844">
        <v>0</v>
      </c>
      <c r="FN76" s="2846">
        <f t="shared" ref="FN76:FN77" si="888">SUM(FO76:FP76)</f>
        <v>45186.827321488636</v>
      </c>
      <c r="FO76" s="2846">
        <f>SUM(FO47+FO48+FO49+FO50+FO51+FO52+FO53+FO55+FO60+FO66+FO73+FO74+FO75)</f>
        <v>45178.047557845697</v>
      </c>
      <c r="FP76" s="2846">
        <f>SUM(FP47+FP48+FP49+FP50+FP51+FP52+FP53+FP55+FP60+FP66+FP73+FP74+FP75)</f>
        <v>8.7797636429369224</v>
      </c>
      <c r="FQ76" s="2847">
        <f t="shared" ref="FQ76" si="889">SUM(FR76:FS76)</f>
        <v>0</v>
      </c>
      <c r="FR76" s="2847">
        <f>SUM(FR47+FR48+FR49+FR50+FR51+FR52+FR53+FR55+FR60+FR66+FR73+FR74+FR75)</f>
        <v>0</v>
      </c>
      <c r="FS76" s="2847">
        <f>SUM(FS47+FS48+FS49+FS50+FS51+FS52+FS53+FS55+FS60+FS66+FS73+FS74+FS75)</f>
        <v>0</v>
      </c>
      <c r="FT76" s="2847">
        <f t="shared" ref="FT76" si="890">SUM(FU76:FV76)</f>
        <v>43796.141730000003</v>
      </c>
      <c r="FU76" s="2847">
        <f>SUM(FU47+FU48+FU49+FU50+FU51+FU52+FU53+FU55+FU60+FU66+FU73+FU74+FU75)</f>
        <v>43796.141730000003</v>
      </c>
      <c r="FV76" s="2847">
        <f>SUM(FV47+FV48+FV49+FV50+FV51+FV52+FV53+FV55+FV60+FV66+FV73+FV74+FV75)</f>
        <v>0</v>
      </c>
      <c r="FW76" s="2824">
        <f t="shared" si="559"/>
        <v>-45186.827321488636</v>
      </c>
      <c r="FX76" s="2824">
        <f t="shared" si="559"/>
        <v>-45178.047557845697</v>
      </c>
      <c r="FY76" s="2824">
        <f t="shared" si="559"/>
        <v>-8.7797636429369224</v>
      </c>
      <c r="FZ76" s="2846">
        <f t="shared" ref="FZ76:FZ77" si="891">SUM(GA76:GB76)</f>
        <v>180747.30928595454</v>
      </c>
      <c r="GA76" s="2846">
        <f>SUM(GA47+GA48+GA49+GA50+GA51+GA52+GA53+GA55+GA60+GA66+GA73+GA74+GA75)</f>
        <v>180712.19023138279</v>
      </c>
      <c r="GB76" s="2846">
        <f>SUM(GB47+GB48+GB49+GB50+GB51+GB52+GB53+GB55+GB60+GB66+GB73+GB74+GB75)</f>
        <v>35.119054571747689</v>
      </c>
      <c r="GC76" s="2847">
        <f t="shared" ref="GC76:GC77" si="892">SUM(GD76:GE76)</f>
        <v>111953.20418999999</v>
      </c>
      <c r="GD76" s="2847">
        <f>SUM(GD47+GD48+GD49+GD50+GD51+GD52+GD53+GD55+GD60+GD66+GD73+GD74+GD75)</f>
        <v>111937.32891</v>
      </c>
      <c r="GE76" s="2847">
        <f>SUM(GE47+GE48+GE49+GE50+GE51+GE52+GE53+GE55+GE60+GE66+GE73+GE74+GE75)</f>
        <v>15.87528</v>
      </c>
      <c r="GF76" s="2847">
        <f t="shared" ref="GF76:GF77" si="893">SUM(GG76:GH76)</f>
        <v>176742.16130999997</v>
      </c>
      <c r="GG76" s="2847">
        <f>SUM(GG47+GG48+GG49+GG50+GG51+GG52+GG53+GG55+GG60+GG66+GG73+GG74+GG75)</f>
        <v>176724.21980999998</v>
      </c>
      <c r="GH76" s="2846">
        <f>SUM(GH47+GH48+GH49+GH50+GH51+GH52+GH53+GH55+GH60+GH66+GH73+GH74+GH75)</f>
        <v>17.941499999999998</v>
      </c>
      <c r="GI76" s="2824">
        <f t="shared" si="561"/>
        <v>-68794.105095954554</v>
      </c>
      <c r="GJ76" s="2824">
        <f t="shared" si="561"/>
        <v>-68774.861321382792</v>
      </c>
      <c r="GK76" s="2824">
        <f t="shared" si="561"/>
        <v>-19.243774571747689</v>
      </c>
      <c r="GL76" s="389"/>
      <c r="GM76" s="3578">
        <f t="shared" si="562"/>
        <v>180747.30928595454</v>
      </c>
    </row>
    <row r="77" spans="1:195" ht="18.75" x14ac:dyDescent="0.3">
      <c r="A77" s="2843" t="s">
        <v>13</v>
      </c>
      <c r="B77" s="2844">
        <f t="shared" si="625"/>
        <v>296.28700604876235</v>
      </c>
      <c r="C77" s="2844">
        <f>SUM(C14)</f>
        <v>296.17442271542899</v>
      </c>
      <c r="D77" s="2844">
        <f>SUM(D14)</f>
        <v>0.11258333333333333</v>
      </c>
      <c r="E77" s="2772">
        <f t="shared" ref="E77" si="894">SUM(F77:G77)</f>
        <v>301.68359800000002</v>
      </c>
      <c r="F77" s="2845">
        <f>SUM(F14)</f>
        <v>301.68359800000002</v>
      </c>
      <c r="G77" s="2845">
        <f>SUM(G14)</f>
        <v>0</v>
      </c>
      <c r="H77" s="4414">
        <f t="shared" si="852"/>
        <v>308.8</v>
      </c>
      <c r="I77" s="4414">
        <v>308.71699999999998</v>
      </c>
      <c r="J77" s="4414">
        <v>8.3000000000000004E-2</v>
      </c>
      <c r="K77" s="2844">
        <f t="shared" si="627"/>
        <v>296.28700604876235</v>
      </c>
      <c r="L77" s="2844">
        <f>SUM(L14)</f>
        <v>296.17442271542899</v>
      </c>
      <c r="M77" s="2844">
        <f>SUM(M14)</f>
        <v>0.11258333333333333</v>
      </c>
      <c r="N77" s="2772">
        <f t="shared" si="630"/>
        <v>303.98077699999999</v>
      </c>
      <c r="O77" s="2845">
        <f>SUM(O14)</f>
        <v>303.98077699999999</v>
      </c>
      <c r="P77" s="2845">
        <f>SUM(P14)</f>
        <v>0</v>
      </c>
      <c r="Q77" s="2772">
        <f t="shared" ref="Q77" si="895">SUM(R77:S77)</f>
        <v>304.56</v>
      </c>
      <c r="R77" s="2845">
        <v>304.48700000000002</v>
      </c>
      <c r="S77" s="2772">
        <v>7.2999999999999995E-2</v>
      </c>
      <c r="T77" s="2844">
        <f t="shared" si="631"/>
        <v>296.28700604876235</v>
      </c>
      <c r="U77" s="2844">
        <f>SUM(U14)</f>
        <v>296.17442271542899</v>
      </c>
      <c r="V77" s="2844">
        <f>SUM(V14)</f>
        <v>0.11258333333333333</v>
      </c>
      <c r="W77" s="2772">
        <f t="shared" si="634"/>
        <v>287.72876300000001</v>
      </c>
      <c r="X77" s="2845">
        <f>SUM(X14)</f>
        <v>287.72876300000001</v>
      </c>
      <c r="Y77" s="2845">
        <f>SUM(Y14)</f>
        <v>0</v>
      </c>
      <c r="Z77" s="2772">
        <f t="shared" ref="Z77" si="896">SUM(AA77:AB77)</f>
        <v>291.36184600000007</v>
      </c>
      <c r="AA77" s="2845">
        <v>291.26184600000005</v>
      </c>
      <c r="AB77" s="2772">
        <v>0.1</v>
      </c>
      <c r="AC77" s="2846">
        <f t="shared" si="857"/>
        <v>888.86101814628717</v>
      </c>
      <c r="AD77" s="2846">
        <f>SUM(AD14)</f>
        <v>888.52326814628714</v>
      </c>
      <c r="AE77" s="2846">
        <f>SUM(AE14)</f>
        <v>0.33774999999999999</v>
      </c>
      <c r="AF77" s="2847">
        <f t="shared" ref="AF77" si="897">SUM(AG77:AH77)</f>
        <v>893.39313800000002</v>
      </c>
      <c r="AG77" s="2848">
        <f>SUM(AG14)</f>
        <v>893.39313800000002</v>
      </c>
      <c r="AH77" s="2848">
        <f>SUM(AH14)</f>
        <v>0</v>
      </c>
      <c r="AI77" s="2847">
        <f t="shared" si="859"/>
        <v>904.72184600000003</v>
      </c>
      <c r="AJ77" s="2848">
        <f>SUM(AJ14)</f>
        <v>904.46584600000006</v>
      </c>
      <c r="AK77" s="2848">
        <f>SUM(AK14)</f>
        <v>0.25600000000000001</v>
      </c>
      <c r="AL77" s="2813">
        <f t="shared" si="694"/>
        <v>4.5321198537128566</v>
      </c>
      <c r="AM77" s="2813">
        <f t="shared" si="694"/>
        <v>4.8698698537128848</v>
      </c>
      <c r="AN77" s="2813">
        <f t="shared" si="694"/>
        <v>-0.33774999999999999</v>
      </c>
      <c r="AO77" s="2844">
        <f t="shared" si="636"/>
        <v>296.28700604876235</v>
      </c>
      <c r="AP77" s="2844">
        <f>SUM(AP14)</f>
        <v>296.17442271542899</v>
      </c>
      <c r="AQ77" s="2844">
        <f>SUM(AQ14)</f>
        <v>0.11258333333333333</v>
      </c>
      <c r="AR77" s="2844">
        <f t="shared" si="637"/>
        <v>284.123583</v>
      </c>
      <c r="AS77" s="2844">
        <f>SUM(AS14)</f>
        <v>284.123583</v>
      </c>
      <c r="AT77" s="2844">
        <f>SUM(AT14)</f>
        <v>0</v>
      </c>
      <c r="AU77" s="2772">
        <f t="shared" ref="AU77" si="898">SUM(AV77:AW77)</f>
        <v>320.57819999999998</v>
      </c>
      <c r="AV77" s="2772">
        <v>320.07819999999998</v>
      </c>
      <c r="AW77" s="2772">
        <v>0.5</v>
      </c>
      <c r="AX77" s="2844">
        <f t="shared" si="638"/>
        <v>296.28700604876235</v>
      </c>
      <c r="AY77" s="2844">
        <f>SUM(AY14)</f>
        <v>296.17442271542899</v>
      </c>
      <c r="AZ77" s="2844">
        <f>SUM(AZ14)</f>
        <v>0.11258333333333333</v>
      </c>
      <c r="BA77" s="2772">
        <f t="shared" si="641"/>
        <v>289.24589500000002</v>
      </c>
      <c r="BB77" s="2845">
        <f>SUM(BB14)</f>
        <v>289.24589500000002</v>
      </c>
      <c r="BC77" s="2845">
        <f>SUM(BC14)</f>
        <v>0</v>
      </c>
      <c r="BD77" s="2772">
        <f t="shared" ref="BD77" si="899">SUM(BE77:BF77)</f>
        <v>297.55099999999999</v>
      </c>
      <c r="BE77" s="2845">
        <v>297.51599999999996</v>
      </c>
      <c r="BF77" s="2845">
        <v>3.5000000000000003E-2</v>
      </c>
      <c r="BG77" s="2844">
        <f t="shared" si="642"/>
        <v>296.28700604876235</v>
      </c>
      <c r="BH77" s="2844">
        <f>SUM(BH14)</f>
        <v>296.17442271542899</v>
      </c>
      <c r="BI77" s="2844">
        <f>SUM(BI14)</f>
        <v>0.11258333333333333</v>
      </c>
      <c r="BJ77" s="2772">
        <f t="shared" si="645"/>
        <v>281.88767899999999</v>
      </c>
      <c r="BK77" s="2845">
        <f>SUM(BK14)</f>
        <v>281.88767899999999</v>
      </c>
      <c r="BL77" s="2845">
        <f>SUM(BL14)</f>
        <v>0</v>
      </c>
      <c r="BM77" s="2772">
        <f t="shared" ref="BM77" si="900">SUM(BN77:BO77)</f>
        <v>279.13799999999998</v>
      </c>
      <c r="BN77" s="2845">
        <v>279.13799999999998</v>
      </c>
      <c r="BO77" s="2845">
        <v>0</v>
      </c>
      <c r="BP77" s="2846">
        <f t="shared" si="866"/>
        <v>888.86101814628717</v>
      </c>
      <c r="BQ77" s="2846">
        <f>SUM(BQ14)</f>
        <v>888.52326814628714</v>
      </c>
      <c r="BR77" s="2846">
        <f>SUM(BR14)</f>
        <v>0.33774999999999999</v>
      </c>
      <c r="BS77" s="2847">
        <f t="shared" si="867"/>
        <v>855.25715700000001</v>
      </c>
      <c r="BT77" s="2848">
        <f>SUM(BT14)</f>
        <v>855.25715700000001</v>
      </c>
      <c r="BU77" s="2848">
        <f>SUM(BU14)</f>
        <v>0</v>
      </c>
      <c r="BV77" s="2847">
        <f t="shared" si="868"/>
        <v>897.2672</v>
      </c>
      <c r="BW77" s="2848">
        <f>SUM(BW14)</f>
        <v>896.73220000000003</v>
      </c>
      <c r="BX77" s="2848">
        <f>SUM(BX14)</f>
        <v>0.53500000000000003</v>
      </c>
      <c r="BY77" s="2849">
        <f t="shared" si="551"/>
        <v>-33.603861146287159</v>
      </c>
      <c r="BZ77" s="2849">
        <f t="shared" si="551"/>
        <v>-33.26611114628713</v>
      </c>
      <c r="CA77" s="2849">
        <f t="shared" si="551"/>
        <v>-0.33774999999999999</v>
      </c>
      <c r="CB77" s="2847">
        <f t="shared" si="869"/>
        <v>1777.7220362925743</v>
      </c>
      <c r="CC77" s="2847">
        <f>SUM(CC14)</f>
        <v>1777.0465362925743</v>
      </c>
      <c r="CD77" s="2847">
        <f>SUM(CD14)</f>
        <v>0.67549999999999999</v>
      </c>
      <c r="CE77" s="2847">
        <f t="shared" si="870"/>
        <v>1748.6502949999999</v>
      </c>
      <c r="CF77" s="2847">
        <f>SUM(CF14)</f>
        <v>1748.6502949999999</v>
      </c>
      <c r="CG77" s="2847">
        <f>SUM(CG14)</f>
        <v>0</v>
      </c>
      <c r="CH77" s="2847">
        <f t="shared" si="871"/>
        <v>1801.9890459999997</v>
      </c>
      <c r="CI77" s="2847">
        <f>SUM(CI14)</f>
        <v>1801.1980459999997</v>
      </c>
      <c r="CJ77" s="2847">
        <f>SUM(CJ14)</f>
        <v>0.79100000000000004</v>
      </c>
      <c r="CK77" s="2824">
        <f t="shared" si="553"/>
        <v>-29.071741292574416</v>
      </c>
      <c r="CL77" s="2824">
        <f t="shared" si="553"/>
        <v>-28.396241292574359</v>
      </c>
      <c r="CM77" s="2824">
        <f t="shared" si="553"/>
        <v>-0.67549999999999999</v>
      </c>
      <c r="CN77" s="2844">
        <f t="shared" si="648"/>
        <v>296.28700604876235</v>
      </c>
      <c r="CO77" s="2844">
        <f>SUM(CO14)</f>
        <v>296.17442271542899</v>
      </c>
      <c r="CP77" s="2844">
        <f>SUM(CP14)</f>
        <v>0.11258333333333333</v>
      </c>
      <c r="CQ77" s="2772">
        <f t="shared" si="649"/>
        <v>257.66599199999996</v>
      </c>
      <c r="CR77" s="2845">
        <f>SUM(CR14)</f>
        <v>257.66599199999996</v>
      </c>
      <c r="CS77" s="2845">
        <f>SUM(CS14)</f>
        <v>0</v>
      </c>
      <c r="CT77" s="2772">
        <f t="shared" ref="CT77" si="901">SUM(CU77:CV77)</f>
        <v>261.57800000000003</v>
      </c>
      <c r="CU77" s="2845">
        <v>261.57800000000003</v>
      </c>
      <c r="CV77" s="2845">
        <v>0</v>
      </c>
      <c r="CW77" s="2844">
        <f t="shared" si="650"/>
        <v>296.28700604876235</v>
      </c>
      <c r="CX77" s="2844">
        <f>SUM(CX14)</f>
        <v>296.17442271542899</v>
      </c>
      <c r="CY77" s="2844">
        <f>SUM(CY14)</f>
        <v>0.11258333333333333</v>
      </c>
      <c r="CZ77" s="2772">
        <f t="shared" ref="CZ77" si="902">SUM(DA77:DB77)</f>
        <v>0</v>
      </c>
      <c r="DA77" s="2845">
        <f>SUM(DA14)</f>
        <v>0</v>
      </c>
      <c r="DB77" s="2845">
        <f>SUM(DB14)</f>
        <v>0</v>
      </c>
      <c r="DC77" s="2772">
        <f t="shared" ref="DC77" si="903">SUM(DD77:DE77)</f>
        <v>278.80900000000003</v>
      </c>
      <c r="DD77" s="2845">
        <v>278.80900000000003</v>
      </c>
      <c r="DE77" s="2845">
        <v>0</v>
      </c>
      <c r="DF77" s="2844">
        <f t="shared" si="654"/>
        <v>296.28700604876235</v>
      </c>
      <c r="DG77" s="2844">
        <f>SUM(DG14)</f>
        <v>296.17442271542899</v>
      </c>
      <c r="DH77" s="2844">
        <f>SUM(DH14)</f>
        <v>0.11258333333333333</v>
      </c>
      <c r="DI77" s="2772">
        <f t="shared" si="657"/>
        <v>0</v>
      </c>
      <c r="DJ77" s="2845">
        <f>SUM(DJ14)</f>
        <v>0</v>
      </c>
      <c r="DK77" s="2845">
        <f>SUM(DK14)</f>
        <v>0</v>
      </c>
      <c r="DL77" s="2772">
        <f t="shared" ref="DL77" si="904">SUM(DM77:DN77)</f>
        <v>294.19799999999998</v>
      </c>
      <c r="DM77" s="2845">
        <v>294.19799999999998</v>
      </c>
      <c r="DN77" s="2845">
        <v>0</v>
      </c>
      <c r="DO77" s="2846">
        <f t="shared" si="877"/>
        <v>888.86101814628717</v>
      </c>
      <c r="DP77" s="2846">
        <f>SUM(DP14)</f>
        <v>888.52326814628714</v>
      </c>
      <c r="DQ77" s="2846">
        <f>SUM(DQ14)</f>
        <v>0.33774999999999999</v>
      </c>
      <c r="DR77" s="2847">
        <f t="shared" si="878"/>
        <v>257.66599199999996</v>
      </c>
      <c r="DS77" s="2848">
        <f>SUM(DS14)</f>
        <v>257.66599199999996</v>
      </c>
      <c r="DT77" s="2848">
        <f>SUM(DT14)</f>
        <v>0</v>
      </c>
      <c r="DU77" s="2847">
        <f t="shared" si="879"/>
        <v>834.58499999999992</v>
      </c>
      <c r="DV77" s="2848">
        <f>SUM(DV14)</f>
        <v>834.58499999999992</v>
      </c>
      <c r="DW77" s="2848">
        <f>SUM(DW14)</f>
        <v>0</v>
      </c>
      <c r="DX77" s="2849">
        <f t="shared" si="555"/>
        <v>-631.1950261462872</v>
      </c>
      <c r="DY77" s="2849">
        <f t="shared" si="555"/>
        <v>-630.85727614628718</v>
      </c>
      <c r="DZ77" s="2849">
        <f t="shared" si="555"/>
        <v>-0.33774999999999999</v>
      </c>
      <c r="EA77" s="2846">
        <f t="shared" ref="EA77:EI77" si="905">SUM(EA14)</f>
        <v>2666.5830544388609</v>
      </c>
      <c r="EB77" s="2846">
        <f t="shared" si="905"/>
        <v>2665.569804438861</v>
      </c>
      <c r="EC77" s="2846">
        <f t="shared" si="905"/>
        <v>1.01325</v>
      </c>
      <c r="ED77" s="2848">
        <f t="shared" si="905"/>
        <v>2006.3162869999999</v>
      </c>
      <c r="EE77" s="2848">
        <f t="shared" si="905"/>
        <v>2006.3162869999999</v>
      </c>
      <c r="EF77" s="2848">
        <f t="shared" si="905"/>
        <v>0</v>
      </c>
      <c r="EG77" s="2848">
        <f t="shared" si="905"/>
        <v>2636.5740459999997</v>
      </c>
      <c r="EH77" s="2848">
        <f t="shared" si="905"/>
        <v>2635.7830459999996</v>
      </c>
      <c r="EI77" s="2848">
        <f t="shared" si="905"/>
        <v>0.79100000000000004</v>
      </c>
      <c r="EJ77" s="2849">
        <f t="shared" si="557"/>
        <v>-660.26676743886105</v>
      </c>
      <c r="EK77" s="2849">
        <f t="shared" si="557"/>
        <v>-659.25351743886108</v>
      </c>
      <c r="EL77" s="2849">
        <f t="shared" si="557"/>
        <v>-1.01325</v>
      </c>
      <c r="EM77" s="2844">
        <f t="shared" ref="EM77" si="906">SUM(EN77:EO77)</f>
        <v>296.28700604876235</v>
      </c>
      <c r="EN77" s="2844">
        <f>SUM(EN14)</f>
        <v>296.17442271542899</v>
      </c>
      <c r="EO77" s="2844">
        <f>SUM(EO14)</f>
        <v>0.11258333333333333</v>
      </c>
      <c r="EP77" s="2772">
        <f t="shared" ref="EP77" si="907">SUM(EQ77:ER77)</f>
        <v>0</v>
      </c>
      <c r="EQ77" s="2845">
        <f>SUM(EQ14)</f>
        <v>0</v>
      </c>
      <c r="ER77" s="2844">
        <f>SUM(ER14)</f>
        <v>0</v>
      </c>
      <c r="ES77" s="2772">
        <f t="shared" ref="ES77" si="908">SUM(ET77:EU77)</f>
        <v>292.44</v>
      </c>
      <c r="ET77" s="2845">
        <v>292.44</v>
      </c>
      <c r="EU77" s="2845">
        <v>0</v>
      </c>
      <c r="EV77" s="2844">
        <f t="shared" ref="EV77" si="909">SUM(EW77:EX77)</f>
        <v>296.28700604876235</v>
      </c>
      <c r="EW77" s="2844">
        <f>SUM(EW14)</f>
        <v>296.17442271542899</v>
      </c>
      <c r="EX77" s="2844">
        <f>SUM(EX14)</f>
        <v>0.11258333333333333</v>
      </c>
      <c r="EY77" s="2772">
        <f t="shared" ref="EY77" si="910">SUM(EZ77:FA77)</f>
        <v>0</v>
      </c>
      <c r="EZ77" s="2845">
        <f>SUM(EZ14)</f>
        <v>0</v>
      </c>
      <c r="FA77" s="2845">
        <f>SUM(FA14)</f>
        <v>0</v>
      </c>
      <c r="FB77" s="2772">
        <f t="shared" ref="FB77" si="911">SUM(FC77:FD77)</f>
        <v>299.945111</v>
      </c>
      <c r="FC77" s="2845">
        <v>299.945111</v>
      </c>
      <c r="FD77" s="2845">
        <v>0</v>
      </c>
      <c r="FE77" s="2844">
        <f t="shared" ref="FE77" si="912">SUM(FF77:FG77)</f>
        <v>296.28700604876235</v>
      </c>
      <c r="FF77" s="2844">
        <f>SUM(FF14)</f>
        <v>296.17442271542899</v>
      </c>
      <c r="FG77" s="2844">
        <f>SUM(FG14)</f>
        <v>0.11258333333333333</v>
      </c>
      <c r="FH77" s="2772">
        <f t="shared" ref="FH77" si="913">SUM(FI77:FJ77)</f>
        <v>0</v>
      </c>
      <c r="FI77" s="2845">
        <f>SUM(FI14)</f>
        <v>0</v>
      </c>
      <c r="FJ77" s="2845">
        <f>SUM(FJ14)</f>
        <v>0</v>
      </c>
      <c r="FK77" s="2772">
        <f t="shared" ref="FK77" si="914">SUM(FL77:FM77)</f>
        <v>301.82239399999997</v>
      </c>
      <c r="FL77" s="2845">
        <v>301.82239399999997</v>
      </c>
      <c r="FM77" s="2845">
        <v>0</v>
      </c>
      <c r="FN77" s="2846">
        <f t="shared" si="888"/>
        <v>888.86101814628717</v>
      </c>
      <c r="FO77" s="2846">
        <f>SUM(FO14)</f>
        <v>888.52326814628714</v>
      </c>
      <c r="FP77" s="2846">
        <f>SUM(FP14)</f>
        <v>0.33774999999999999</v>
      </c>
      <c r="FQ77" s="2847">
        <f t="shared" ref="FQ77" si="915">SUM(FR77:FS77)</f>
        <v>0</v>
      </c>
      <c r="FR77" s="2848">
        <f>SUM(FR14)</f>
        <v>0</v>
      </c>
      <c r="FS77" s="2848">
        <f>SUM(FS14)</f>
        <v>0</v>
      </c>
      <c r="FT77" s="2847">
        <f t="shared" ref="FT77" si="916">SUM(FU77:FV77)</f>
        <v>894.20728499999996</v>
      </c>
      <c r="FU77" s="2848">
        <f>SUM(FU14)</f>
        <v>894.20728499999996</v>
      </c>
      <c r="FV77" s="2848">
        <f>SUM(FV14)</f>
        <v>0</v>
      </c>
      <c r="FW77" s="2824">
        <f t="shared" si="559"/>
        <v>-888.86101814628717</v>
      </c>
      <c r="FX77" s="2824">
        <f t="shared" si="559"/>
        <v>-888.52326814628714</v>
      </c>
      <c r="FY77" s="2824">
        <f t="shared" si="559"/>
        <v>-0.33774999999999999</v>
      </c>
      <c r="FZ77" s="2846">
        <f t="shared" si="891"/>
        <v>3555.4440725851482</v>
      </c>
      <c r="GA77" s="2846">
        <f>SUM(GA14)</f>
        <v>3554.0930725851481</v>
      </c>
      <c r="GB77" s="2846">
        <f>SUM(GB14)</f>
        <v>1.351</v>
      </c>
      <c r="GC77" s="2847">
        <f t="shared" si="892"/>
        <v>2006.3162869999999</v>
      </c>
      <c r="GD77" s="2848">
        <f>SUM(GD14)</f>
        <v>2006.3162869999999</v>
      </c>
      <c r="GE77" s="2848">
        <f>SUM(GE14)</f>
        <v>0</v>
      </c>
      <c r="GF77" s="2847">
        <f t="shared" si="893"/>
        <v>3530.7813310000001</v>
      </c>
      <c r="GG77" s="2848">
        <f>SUM(GG14)</f>
        <v>3529.990331</v>
      </c>
      <c r="GH77" s="2848">
        <f>SUM(GH14)</f>
        <v>0.79100000000000004</v>
      </c>
      <c r="GI77" s="2824">
        <f t="shared" si="561"/>
        <v>-1549.1277855851483</v>
      </c>
      <c r="GJ77" s="2824">
        <f t="shared" si="561"/>
        <v>-1547.7767855851482</v>
      </c>
      <c r="GK77" s="2824">
        <f t="shared" si="561"/>
        <v>-1.351</v>
      </c>
      <c r="GL77" s="389"/>
      <c r="GM77" s="3578">
        <f t="shared" si="562"/>
        <v>3555.4440725851473</v>
      </c>
    </row>
    <row r="78" spans="1:195" ht="18.75" x14ac:dyDescent="0.3">
      <c r="A78" s="2850" t="s">
        <v>14</v>
      </c>
      <c r="B78" s="2844">
        <f t="shared" ref="B78:EG78" si="917">SUM(B76/B77)</f>
        <v>50.836774702669956</v>
      </c>
      <c r="C78" s="2844">
        <f t="shared" si="917"/>
        <v>50.846217738450441</v>
      </c>
      <c r="D78" s="2844">
        <f t="shared" si="917"/>
        <v>25.99485904644537</v>
      </c>
      <c r="E78" s="2845">
        <f t="shared" ref="E78:AK78" si="918">SUM(E76/E77)</f>
        <v>57.072867448365557</v>
      </c>
      <c r="F78" s="2845">
        <f t="shared" si="918"/>
        <v>57.072867448365557</v>
      </c>
      <c r="G78" s="2845" t="e">
        <f t="shared" si="918"/>
        <v>#DIV/0!</v>
      </c>
      <c r="H78" s="4883">
        <f t="shared" si="918"/>
        <v>42.510365446891193</v>
      </c>
      <c r="I78" s="4883">
        <v>42.5159031734566</v>
      </c>
      <c r="J78" s="4883">
        <v>21.91289156626506</v>
      </c>
      <c r="K78" s="2844">
        <f t="shared" si="918"/>
        <v>50.836774702669956</v>
      </c>
      <c r="L78" s="2844">
        <f t="shared" si="918"/>
        <v>50.846217738450441</v>
      </c>
      <c r="M78" s="2844">
        <f t="shared" si="918"/>
        <v>25.99485904644537</v>
      </c>
      <c r="N78" s="2845">
        <f t="shared" si="918"/>
        <v>46.258685890522614</v>
      </c>
      <c r="O78" s="2845">
        <f t="shared" si="918"/>
        <v>46.258685890522614</v>
      </c>
      <c r="P78" s="2845" t="e">
        <f t="shared" si="918"/>
        <v>#DIV/0!</v>
      </c>
      <c r="Q78" s="2845">
        <f t="shared" si="918"/>
        <v>32.291391843971631</v>
      </c>
      <c r="R78" s="2845">
        <v>32.294629984202935</v>
      </c>
      <c r="S78" s="2845">
        <v>18.784931506849315</v>
      </c>
      <c r="T78" s="2844">
        <f t="shared" si="918"/>
        <v>50.836774702669956</v>
      </c>
      <c r="U78" s="2844">
        <f t="shared" si="918"/>
        <v>50.846217738450441</v>
      </c>
      <c r="V78" s="2844">
        <f t="shared" si="918"/>
        <v>25.99485904644537</v>
      </c>
      <c r="W78" s="2845">
        <f t="shared" si="918"/>
        <v>52.483327153497001</v>
      </c>
      <c r="X78" s="2845">
        <f t="shared" si="918"/>
        <v>52.481149998896711</v>
      </c>
      <c r="Y78" s="2845" t="e">
        <f t="shared" si="918"/>
        <v>#DIV/0!</v>
      </c>
      <c r="Z78" s="2845">
        <f t="shared" si="918"/>
        <v>57.642053723121997</v>
      </c>
      <c r="AA78" s="2845">
        <v>57.651996753464232</v>
      </c>
      <c r="AB78" s="2845">
        <v>28.681799999999999</v>
      </c>
      <c r="AC78" s="2846">
        <f t="shared" si="918"/>
        <v>50.836774702669963</v>
      </c>
      <c r="AD78" s="2846">
        <f t="shared" si="918"/>
        <v>50.846217738450434</v>
      </c>
      <c r="AE78" s="2846">
        <f t="shared" si="918"/>
        <v>25.994859046445367</v>
      </c>
      <c r="AF78" s="2848">
        <f t="shared" si="918"/>
        <v>51.915176093506098</v>
      </c>
      <c r="AG78" s="2848">
        <f t="shared" si="918"/>
        <v>51.914474912835068</v>
      </c>
      <c r="AH78" s="2848" t="e">
        <f t="shared" si="918"/>
        <v>#DIV/0!</v>
      </c>
      <c r="AI78" s="2848">
        <f t="shared" si="918"/>
        <v>43.943409243154278</v>
      </c>
      <c r="AJ78" s="2848">
        <f t="shared" si="918"/>
        <v>43.949148832757579</v>
      </c>
      <c r="AK78" s="2848">
        <f t="shared" si="918"/>
        <v>23.665039062500004</v>
      </c>
      <c r="AL78" s="2813">
        <f t="shared" si="694"/>
        <v>1.0784013908361345</v>
      </c>
      <c r="AM78" s="2813">
        <f t="shared" si="694"/>
        <v>1.0682571743846339</v>
      </c>
      <c r="AN78" s="2813" t="e">
        <f t="shared" si="694"/>
        <v>#DIV/0!</v>
      </c>
      <c r="AO78" s="2844">
        <f t="shared" ref="AO78:BX78" si="919">SUM(AO76/AO77)</f>
        <v>50.836774702669956</v>
      </c>
      <c r="AP78" s="2844">
        <f t="shared" si="919"/>
        <v>50.846217738450441</v>
      </c>
      <c r="AQ78" s="2844">
        <f t="shared" si="919"/>
        <v>25.99485904644537</v>
      </c>
      <c r="AR78" s="2844">
        <f t="shared" si="919"/>
        <v>55.211300605060998</v>
      </c>
      <c r="AS78" s="2844">
        <f t="shared" si="919"/>
        <v>55.197290785960561</v>
      </c>
      <c r="AT78" s="2844" t="e">
        <f t="shared" si="919"/>
        <v>#DIV/0!</v>
      </c>
      <c r="AU78" s="2772">
        <f t="shared" si="919"/>
        <v>42.032798549620665</v>
      </c>
      <c r="AV78" s="2772">
        <v>42.08879892476277</v>
      </c>
      <c r="AW78" s="2772">
        <v>6.1837999999999997</v>
      </c>
      <c r="AX78" s="2844">
        <f t="shared" si="919"/>
        <v>50.836774702669956</v>
      </c>
      <c r="AY78" s="2844">
        <f t="shared" si="919"/>
        <v>50.846217738450441</v>
      </c>
      <c r="AZ78" s="2844">
        <f t="shared" si="919"/>
        <v>25.99485904644537</v>
      </c>
      <c r="BA78" s="2845">
        <f t="shared" si="919"/>
        <v>60.962298496924213</v>
      </c>
      <c r="BB78" s="2845">
        <f t="shared" si="919"/>
        <v>60.944453507283136</v>
      </c>
      <c r="BC78" s="2845" t="e">
        <f t="shared" si="919"/>
        <v>#DIV/0!</v>
      </c>
      <c r="BD78" s="2845">
        <f t="shared" si="919"/>
        <v>52.601466706547782</v>
      </c>
      <c r="BE78" s="2845">
        <v>52.60181341507684</v>
      </c>
      <c r="BF78" s="2845">
        <v>49.654285714285713</v>
      </c>
      <c r="BG78" s="2844">
        <f t="shared" si="919"/>
        <v>50.836774702669956</v>
      </c>
      <c r="BH78" s="2844">
        <f t="shared" si="919"/>
        <v>50.846217738450441</v>
      </c>
      <c r="BI78" s="2844">
        <f t="shared" si="919"/>
        <v>25.99485904644537</v>
      </c>
      <c r="BJ78" s="2845">
        <f t="shared" si="919"/>
        <v>68.124177644529126</v>
      </c>
      <c r="BK78" s="2845">
        <f t="shared" si="919"/>
        <v>68.111966752544731</v>
      </c>
      <c r="BL78" s="2845" t="e">
        <f t="shared" si="919"/>
        <v>#DIV/0!</v>
      </c>
      <c r="BM78" s="2845">
        <f t="shared" si="919"/>
        <v>57.824678904341212</v>
      </c>
      <c r="BN78" s="2845">
        <v>57.816142481496605</v>
      </c>
      <c r="BO78" s="2845" t="e">
        <v>#DIV/0!</v>
      </c>
      <c r="BP78" s="2846">
        <f t="shared" si="919"/>
        <v>50.836774702669963</v>
      </c>
      <c r="BQ78" s="2846">
        <f t="shared" si="919"/>
        <v>50.846217738450434</v>
      </c>
      <c r="BR78" s="2846">
        <f t="shared" si="919"/>
        <v>25.994859046445367</v>
      </c>
      <c r="BS78" s="2848">
        <f t="shared" si="919"/>
        <v>61.412281709792218</v>
      </c>
      <c r="BT78" s="2848">
        <f t="shared" si="919"/>
        <v>61.397567761014358</v>
      </c>
      <c r="BU78" s="2848" t="e">
        <f t="shared" si="919"/>
        <v>#DIV/0!</v>
      </c>
      <c r="BV78" s="2848">
        <f t="shared" si="919"/>
        <v>50.450393305360983</v>
      </c>
      <c r="BW78" s="2848">
        <f t="shared" si="919"/>
        <v>50.472449299802101</v>
      </c>
      <c r="BX78" s="2848">
        <f t="shared" si="919"/>
        <v>13.481570093457943</v>
      </c>
      <c r="BY78" s="2849">
        <f t="shared" si="551"/>
        <v>10.575507007122255</v>
      </c>
      <c r="BZ78" s="2849">
        <f t="shared" si="551"/>
        <v>10.551350022563923</v>
      </c>
      <c r="CA78" s="2849" t="e">
        <f t="shared" si="551"/>
        <v>#DIV/0!</v>
      </c>
      <c r="CB78" s="2847">
        <f t="shared" ref="CB78:CJ78" si="920">SUM(CB76/CB77)</f>
        <v>50.836774702669963</v>
      </c>
      <c r="CC78" s="2847">
        <f t="shared" si="920"/>
        <v>50.846217738450434</v>
      </c>
      <c r="CD78" s="2847">
        <f t="shared" si="920"/>
        <v>25.994859046445367</v>
      </c>
      <c r="CE78" s="2848">
        <f t="shared" si="920"/>
        <v>56.560168618505863</v>
      </c>
      <c r="CF78" s="2848">
        <f t="shared" si="920"/>
        <v>56.552613854675847</v>
      </c>
      <c r="CG78" s="2848" t="e">
        <f t="shared" si="920"/>
        <v>#DIV/0!</v>
      </c>
      <c r="CH78" s="2848">
        <f t="shared" si="920"/>
        <v>47.183441907559747</v>
      </c>
      <c r="CI78" s="2848">
        <f t="shared" si="920"/>
        <v>47.196794804872894</v>
      </c>
      <c r="CJ78" s="2848">
        <f t="shared" si="920"/>
        <v>16.777357774968394</v>
      </c>
      <c r="CK78" s="2849">
        <f t="shared" si="553"/>
        <v>5.7233939158358993</v>
      </c>
      <c r="CL78" s="2849">
        <f t="shared" si="553"/>
        <v>5.7063961162254131</v>
      </c>
      <c r="CM78" s="2849" t="e">
        <f t="shared" si="553"/>
        <v>#DIV/0!</v>
      </c>
      <c r="CN78" s="2844">
        <f t="shared" ref="CN78:DW78" si="921">SUM(CN76/CN77)</f>
        <v>50.836774702669956</v>
      </c>
      <c r="CO78" s="2844">
        <f t="shared" si="921"/>
        <v>50.846217738450441</v>
      </c>
      <c r="CP78" s="2844">
        <f t="shared" si="921"/>
        <v>25.99485904644537</v>
      </c>
      <c r="CQ78" s="2845">
        <f t="shared" si="921"/>
        <v>50.644047158540047</v>
      </c>
      <c r="CR78" s="2845">
        <f t="shared" si="921"/>
        <v>50.633705708435137</v>
      </c>
      <c r="CS78" s="2845" t="e">
        <f t="shared" si="921"/>
        <v>#DIV/0!</v>
      </c>
      <c r="CT78" s="2845">
        <f t="shared" si="921"/>
        <v>60.829267101973407</v>
      </c>
      <c r="CU78" s="2845">
        <v>60.820669169425557</v>
      </c>
      <c r="CV78" s="2845" t="e">
        <v>#DIV/0!</v>
      </c>
      <c r="CW78" s="2844">
        <f t="shared" si="921"/>
        <v>50.836774702669956</v>
      </c>
      <c r="CX78" s="2844">
        <f t="shared" si="921"/>
        <v>50.846217738450441</v>
      </c>
      <c r="CY78" s="2844">
        <f t="shared" si="921"/>
        <v>25.99485904644537</v>
      </c>
      <c r="CZ78" s="2845" t="e">
        <f t="shared" si="921"/>
        <v>#DIV/0!</v>
      </c>
      <c r="DA78" s="2845" t="e">
        <f t="shared" si="921"/>
        <v>#DIV/0!</v>
      </c>
      <c r="DB78" s="2845" t="e">
        <f t="shared" si="921"/>
        <v>#DIV/0!</v>
      </c>
      <c r="DC78" s="2845">
        <f t="shared" si="921"/>
        <v>60.546495880692511</v>
      </c>
      <c r="DD78" s="2845">
        <v>60.543411439372477</v>
      </c>
      <c r="DE78" s="2845" t="e">
        <v>#DIV/0!</v>
      </c>
      <c r="DF78" s="2844">
        <f t="shared" si="921"/>
        <v>50.836774702669956</v>
      </c>
      <c r="DG78" s="2844">
        <f t="shared" si="921"/>
        <v>50.846217738450441</v>
      </c>
      <c r="DH78" s="2844">
        <f t="shared" si="921"/>
        <v>25.99485904644537</v>
      </c>
      <c r="DI78" s="2845" t="e">
        <f t="shared" si="921"/>
        <v>#DIV/0!</v>
      </c>
      <c r="DJ78" s="2845" t="e">
        <f t="shared" si="921"/>
        <v>#DIV/0!</v>
      </c>
      <c r="DK78" s="2845" t="e">
        <f t="shared" si="921"/>
        <v>#DIV/0!</v>
      </c>
      <c r="DL78" s="2845">
        <f t="shared" si="921"/>
        <v>51.426141952018718</v>
      </c>
      <c r="DM78" s="2845">
        <v>51.420833928170822</v>
      </c>
      <c r="DN78" s="2845" t="e">
        <v>#DIV/0!</v>
      </c>
      <c r="DO78" s="2846">
        <f t="shared" si="921"/>
        <v>50.836774702669963</v>
      </c>
      <c r="DP78" s="2846">
        <f t="shared" si="921"/>
        <v>50.846217738450434</v>
      </c>
      <c r="DQ78" s="2846">
        <f t="shared" si="921"/>
        <v>25.994859046445367</v>
      </c>
      <c r="DR78" s="2848">
        <f t="shared" si="921"/>
        <v>50.644047158540047</v>
      </c>
      <c r="DS78" s="2848">
        <f t="shared" si="921"/>
        <v>50.633705708435137</v>
      </c>
      <c r="DT78" s="2848" t="e">
        <f t="shared" si="921"/>
        <v>#DIV/0!</v>
      </c>
      <c r="DU78" s="2848">
        <f t="shared" si="921"/>
        <v>57.420123905893355</v>
      </c>
      <c r="DV78" s="2848">
        <f t="shared" si="921"/>
        <v>57.414527579575484</v>
      </c>
      <c r="DW78" s="2848" t="e">
        <f t="shared" si="921"/>
        <v>#DIV/0!</v>
      </c>
      <c r="DX78" s="2849">
        <f t="shared" si="555"/>
        <v>-0.19272754412991588</v>
      </c>
      <c r="DY78" s="2849">
        <f t="shared" si="555"/>
        <v>-0.21251203001529717</v>
      </c>
      <c r="DZ78" s="2849" t="e">
        <f t="shared" si="555"/>
        <v>#DIV/0!</v>
      </c>
      <c r="EA78" s="2846">
        <f t="shared" si="917"/>
        <v>50.836774702669977</v>
      </c>
      <c r="EB78" s="2846">
        <f t="shared" ref="EB78:EC78" si="922">SUM(EB76/EB77)</f>
        <v>50.846217738450449</v>
      </c>
      <c r="EC78" s="2846">
        <f t="shared" si="922"/>
        <v>25.994859046445367</v>
      </c>
      <c r="ED78" s="2848">
        <f t="shared" si="917"/>
        <v>55.800376498663191</v>
      </c>
      <c r="EE78" s="2848">
        <f t="shared" ref="EE78:EF78" si="923">SUM(EE76/EE77)</f>
        <v>55.792463847949612</v>
      </c>
      <c r="EF78" s="2848" t="e">
        <f t="shared" si="923"/>
        <v>#DIV/0!</v>
      </c>
      <c r="EG78" s="2848">
        <f t="shared" si="917"/>
        <v>50.423776180947812</v>
      </c>
      <c r="EH78" s="2848">
        <f t="shared" ref="EH78:EI78" si="924">SUM(EH76/EH77)</f>
        <v>50.43210148943345</v>
      </c>
      <c r="EI78" s="2848">
        <f t="shared" si="924"/>
        <v>22.682048040455115</v>
      </c>
      <c r="EJ78" s="2849">
        <f t="shared" si="557"/>
        <v>4.9636017959932133</v>
      </c>
      <c r="EK78" s="2849">
        <f t="shared" si="557"/>
        <v>4.9462461094991639</v>
      </c>
      <c r="EL78" s="2849" t="e">
        <f t="shared" si="557"/>
        <v>#DIV/0!</v>
      </c>
      <c r="EM78" s="2844">
        <f t="shared" ref="EM78:FV78" si="925">SUM(EM76/EM77)</f>
        <v>50.836774702669956</v>
      </c>
      <c r="EN78" s="2844">
        <f t="shared" si="925"/>
        <v>50.846217738450441</v>
      </c>
      <c r="EO78" s="2844">
        <f t="shared" si="925"/>
        <v>25.99485904644537</v>
      </c>
      <c r="EP78" s="2845" t="e">
        <f t="shared" si="925"/>
        <v>#DIV/0!</v>
      </c>
      <c r="EQ78" s="2845" t="e">
        <f t="shared" si="925"/>
        <v>#DIV/0!</v>
      </c>
      <c r="ER78" s="2844" t="e">
        <f t="shared" si="925"/>
        <v>#DIV/0!</v>
      </c>
      <c r="ES78" s="2845">
        <f t="shared" si="925"/>
        <v>47.438797565312541</v>
      </c>
      <c r="ET78" s="2845">
        <v>47.438797565312541</v>
      </c>
      <c r="EU78" s="2845" t="e">
        <v>#DIV/0!</v>
      </c>
      <c r="EV78" s="2844">
        <f t="shared" si="925"/>
        <v>50.836774702669956</v>
      </c>
      <c r="EW78" s="2844">
        <f t="shared" si="925"/>
        <v>50.846217738450441</v>
      </c>
      <c r="EX78" s="2844">
        <f t="shared" si="925"/>
        <v>25.99485904644537</v>
      </c>
      <c r="EY78" s="2845" t="e">
        <f t="shared" si="925"/>
        <v>#DIV/0!</v>
      </c>
      <c r="EZ78" s="2845" t="e">
        <f t="shared" si="925"/>
        <v>#DIV/0!</v>
      </c>
      <c r="FA78" s="2845" t="e">
        <f t="shared" si="925"/>
        <v>#DIV/0!</v>
      </c>
      <c r="FB78" s="2845">
        <f t="shared" si="925"/>
        <v>47.86663903983419</v>
      </c>
      <c r="FC78" s="2845">
        <v>47.86663903983419</v>
      </c>
      <c r="FD78" s="2845" t="e">
        <v>#DIV/0!</v>
      </c>
      <c r="FE78" s="2844">
        <f t="shared" si="925"/>
        <v>50.836774702669956</v>
      </c>
      <c r="FF78" s="2844">
        <f t="shared" si="925"/>
        <v>50.846217738450441</v>
      </c>
      <c r="FG78" s="2844">
        <f t="shared" si="925"/>
        <v>25.99485904644537</v>
      </c>
      <c r="FH78" s="2845" t="e">
        <f t="shared" si="925"/>
        <v>#DIV/0!</v>
      </c>
      <c r="FI78" s="2845" t="e">
        <f t="shared" si="925"/>
        <v>#DIV/0!</v>
      </c>
      <c r="FJ78" s="2845" t="e">
        <f t="shared" si="925"/>
        <v>#DIV/0!</v>
      </c>
      <c r="FK78" s="2845">
        <f t="shared" si="925"/>
        <v>51.572632513146125</v>
      </c>
      <c r="FL78" s="2845">
        <v>51.572632513146125</v>
      </c>
      <c r="FM78" s="2845" t="e">
        <v>#DIV/0!</v>
      </c>
      <c r="FN78" s="2846">
        <f t="shared" si="925"/>
        <v>50.836774702669963</v>
      </c>
      <c r="FO78" s="2846">
        <f t="shared" si="925"/>
        <v>50.846217738450434</v>
      </c>
      <c r="FP78" s="2846">
        <f t="shared" si="925"/>
        <v>25.994859046445367</v>
      </c>
      <c r="FQ78" s="2848" t="e">
        <f t="shared" si="925"/>
        <v>#DIV/0!</v>
      </c>
      <c r="FR78" s="2848" t="e">
        <f t="shared" si="925"/>
        <v>#DIV/0!</v>
      </c>
      <c r="FS78" s="2848" t="e">
        <f t="shared" si="925"/>
        <v>#DIV/0!</v>
      </c>
      <c r="FT78" s="2848">
        <f t="shared" si="925"/>
        <v>48.977616783786331</v>
      </c>
      <c r="FU78" s="2848">
        <f t="shared" si="925"/>
        <v>48.977616783786331</v>
      </c>
      <c r="FV78" s="2848" t="e">
        <f t="shared" si="925"/>
        <v>#DIV/0!</v>
      </c>
      <c r="FW78" s="2824" t="e">
        <f t="shared" si="559"/>
        <v>#DIV/0!</v>
      </c>
      <c r="FX78" s="2824" t="e">
        <f t="shared" si="559"/>
        <v>#DIV/0!</v>
      </c>
      <c r="FY78" s="2824" t="e">
        <f t="shared" si="559"/>
        <v>#DIV/0!</v>
      </c>
      <c r="FZ78" s="2846">
        <f t="shared" ref="FZ78:GH78" si="926">SUM(FZ76/FZ77)</f>
        <v>50.836774702669963</v>
      </c>
      <c r="GA78" s="2846">
        <f t="shared" si="926"/>
        <v>50.846217738450441</v>
      </c>
      <c r="GB78" s="2846">
        <f t="shared" si="926"/>
        <v>25.994859046445367</v>
      </c>
      <c r="GC78" s="2848">
        <f t="shared" si="926"/>
        <v>55.800376498663191</v>
      </c>
      <c r="GD78" s="2848">
        <f t="shared" si="926"/>
        <v>55.792463847949612</v>
      </c>
      <c r="GE78" s="2848" t="e">
        <f t="shared" si="926"/>
        <v>#DIV/0!</v>
      </c>
      <c r="GF78" s="2848">
        <f t="shared" si="926"/>
        <v>50.057521194591352</v>
      </c>
      <c r="GG78" s="2848">
        <f t="shared" si="926"/>
        <v>50.063655488805921</v>
      </c>
      <c r="GH78" s="2848">
        <f t="shared" si="926"/>
        <v>22.682048040455115</v>
      </c>
      <c r="GI78" s="2824">
        <f t="shared" si="561"/>
        <v>4.9636017959932275</v>
      </c>
      <c r="GJ78" s="2824">
        <f t="shared" si="561"/>
        <v>4.946246109499171</v>
      </c>
      <c r="GK78" s="2824" t="e">
        <f t="shared" si="561"/>
        <v>#DIV/0!</v>
      </c>
      <c r="GL78" s="389"/>
    </row>
    <row r="79" spans="1:195" ht="18.75" x14ac:dyDescent="0.3">
      <c r="A79" s="2850" t="s">
        <v>3748</v>
      </c>
      <c r="B79" s="2844">
        <f t="shared" si="625"/>
        <v>543.64386044086302</v>
      </c>
      <c r="C79" s="2844">
        <f>SUM(вода!EF169)/12</f>
        <v>543.6414513176984</v>
      </c>
      <c r="D79" s="2844">
        <f>SUM(вода!EG169)/12</f>
        <v>2.4091231646495501E-3</v>
      </c>
      <c r="E79" s="2772">
        <f t="shared" ref="E79:E80" si="927">SUM(F79:G79)</f>
        <v>0</v>
      </c>
      <c r="F79" s="2845">
        <v>0</v>
      </c>
      <c r="G79" s="2845">
        <v>0</v>
      </c>
      <c r="H79" s="4415">
        <f t="shared" ref="H79:H80" si="928">SUM(I79:J79)</f>
        <v>0</v>
      </c>
      <c r="I79" s="4883">
        <v>0</v>
      </c>
      <c r="J79" s="4883">
        <v>0</v>
      </c>
      <c r="K79" s="2844">
        <f t="shared" ref="K79:K80" si="929">SUM(L79:M79)</f>
        <v>543.64386044086302</v>
      </c>
      <c r="L79" s="2844">
        <f>SUM(C79)</f>
        <v>543.6414513176984</v>
      </c>
      <c r="M79" s="2844">
        <f>SUM(D79)</f>
        <v>2.4091231646495501E-3</v>
      </c>
      <c r="N79" s="2772">
        <f t="shared" ref="N79:N80" si="930">SUM(O79:P79)</f>
        <v>0</v>
      </c>
      <c r="O79" s="2845">
        <v>0</v>
      </c>
      <c r="P79" s="2845">
        <v>0</v>
      </c>
      <c r="Q79" s="2772">
        <f t="shared" ref="Q79:Q80" si="931">SUM(R79:S79)</f>
        <v>0</v>
      </c>
      <c r="R79" s="2845">
        <v>0</v>
      </c>
      <c r="S79" s="2845">
        <v>0</v>
      </c>
      <c r="T79" s="2844">
        <f t="shared" ref="T79:T80" si="932">SUM(U79:V79)</f>
        <v>543.64386044086302</v>
      </c>
      <c r="U79" s="2844">
        <f>SUM(L79)</f>
        <v>543.6414513176984</v>
      </c>
      <c r="V79" s="2844">
        <f>SUM(M79)</f>
        <v>2.4091231646495501E-3</v>
      </c>
      <c r="W79" s="2772">
        <f t="shared" ref="W79:W80" si="933">SUM(X79:Y79)</f>
        <v>0</v>
      </c>
      <c r="X79" s="2845">
        <v>0</v>
      </c>
      <c r="Y79" s="2845">
        <v>0</v>
      </c>
      <c r="Z79" s="2772">
        <f t="shared" ref="Z79:Z80" si="934">SUM(AA79:AB79)</f>
        <v>0</v>
      </c>
      <c r="AA79" s="2845">
        <v>0</v>
      </c>
      <c r="AB79" s="2845">
        <v>0</v>
      </c>
      <c r="AC79" s="2798">
        <f>SUM(B79+K79+T79)</f>
        <v>1630.931581322589</v>
      </c>
      <c r="AD79" s="2798">
        <f t="shared" ref="AD79:AF83" si="935">SUM(C79+L79+U79)</f>
        <v>1630.9243539530953</v>
      </c>
      <c r="AE79" s="2798">
        <f t="shared" si="935"/>
        <v>7.2273694939486502E-3</v>
      </c>
      <c r="AF79" s="2851">
        <f>SUM(E79+N79+W79)</f>
        <v>0</v>
      </c>
      <c r="AG79" s="2851">
        <f t="shared" ref="AG79:AK83" si="936">SUM(F79+O79+X79)</f>
        <v>0</v>
      </c>
      <c r="AH79" s="2851">
        <f t="shared" si="936"/>
        <v>0</v>
      </c>
      <c r="AI79" s="2851">
        <f t="shared" si="936"/>
        <v>0</v>
      </c>
      <c r="AJ79" s="2851">
        <f t="shared" si="936"/>
        <v>0</v>
      </c>
      <c r="AK79" s="2851">
        <f t="shared" si="936"/>
        <v>0</v>
      </c>
      <c r="AL79" s="2813">
        <f t="shared" si="694"/>
        <v>-1630.931581322589</v>
      </c>
      <c r="AM79" s="2813">
        <f t="shared" si="694"/>
        <v>-1630.9243539530953</v>
      </c>
      <c r="AN79" s="2813">
        <f t="shared" si="694"/>
        <v>-7.2273694939486502E-3</v>
      </c>
      <c r="AO79" s="2844">
        <f t="shared" ref="AO79" si="937">SUM(AP79:AQ79)</f>
        <v>543.64386044086302</v>
      </c>
      <c r="AP79" s="2844">
        <f>SUM(U79)</f>
        <v>543.6414513176984</v>
      </c>
      <c r="AQ79" s="2844">
        <f>SUM(V79)</f>
        <v>2.4091231646495501E-3</v>
      </c>
      <c r="AR79" s="2844">
        <f t="shared" ref="AR79:AR80" si="938">SUM(AS79:AT79)</f>
        <v>0</v>
      </c>
      <c r="AS79" s="2844">
        <v>0</v>
      </c>
      <c r="AT79" s="2844">
        <v>0</v>
      </c>
      <c r="AU79" s="2772">
        <f t="shared" ref="AU79:AU80" si="939">SUM(AV79:AW79)</f>
        <v>0</v>
      </c>
      <c r="AV79" s="2772">
        <v>0</v>
      </c>
      <c r="AW79" s="2772">
        <v>0</v>
      </c>
      <c r="AX79" s="2844">
        <f t="shared" ref="AX79:AX80" si="940">SUM(AY79:AZ79)</f>
        <v>543.64386044086302</v>
      </c>
      <c r="AY79" s="2844">
        <f>SUM(AP79)</f>
        <v>543.6414513176984</v>
      </c>
      <c r="AZ79" s="2844">
        <f>SUM(AQ79)</f>
        <v>2.4091231646495501E-3</v>
      </c>
      <c r="BA79" s="2772">
        <f t="shared" ref="BA79:BA80" si="941">SUM(BB79:BC79)</f>
        <v>0</v>
      </c>
      <c r="BB79" s="2845">
        <v>0</v>
      </c>
      <c r="BC79" s="2845">
        <v>0</v>
      </c>
      <c r="BD79" s="2772">
        <f t="shared" ref="BD79:BD80" si="942">SUM(BE79:BF79)</f>
        <v>0</v>
      </c>
      <c r="BE79" s="2845">
        <v>0</v>
      </c>
      <c r="BF79" s="2845">
        <v>0</v>
      </c>
      <c r="BG79" s="2844">
        <f t="shared" ref="BG79:BG80" si="943">SUM(BH79:BI79)</f>
        <v>543.64386044086302</v>
      </c>
      <c r="BH79" s="2844">
        <f>SUM(AY79)</f>
        <v>543.6414513176984</v>
      </c>
      <c r="BI79" s="2844">
        <f>SUM(AZ79)</f>
        <v>2.4091231646495501E-3</v>
      </c>
      <c r="BJ79" s="2772">
        <f t="shared" ref="BJ79:BJ80" si="944">SUM(BK79:BL79)</f>
        <v>0</v>
      </c>
      <c r="BK79" s="2845">
        <v>0</v>
      </c>
      <c r="BL79" s="2845">
        <v>0</v>
      </c>
      <c r="BM79" s="2772">
        <f t="shared" ref="BM79:BM80" si="945">SUM(BN79:BO79)</f>
        <v>0</v>
      </c>
      <c r="BN79" s="2845">
        <v>0</v>
      </c>
      <c r="BO79" s="2845">
        <v>0</v>
      </c>
      <c r="BP79" s="2802">
        <f t="shared" ref="BP79:BX83" si="946">SUM(AO79+AX79+BG79)</f>
        <v>1630.931581322589</v>
      </c>
      <c r="BQ79" s="2802">
        <f t="shared" si="946"/>
        <v>1630.9243539530953</v>
      </c>
      <c r="BR79" s="2802">
        <f t="shared" si="946"/>
        <v>7.2273694939486502E-3</v>
      </c>
      <c r="BS79" s="2838">
        <f t="shared" si="946"/>
        <v>0</v>
      </c>
      <c r="BT79" s="2838">
        <f t="shared" si="946"/>
        <v>0</v>
      </c>
      <c r="BU79" s="2838">
        <f t="shared" si="946"/>
        <v>0</v>
      </c>
      <c r="BV79" s="2838">
        <f t="shared" si="946"/>
        <v>0</v>
      </c>
      <c r="BW79" s="2838">
        <f t="shared" si="946"/>
        <v>0</v>
      </c>
      <c r="BX79" s="2838">
        <f t="shared" si="946"/>
        <v>0</v>
      </c>
      <c r="BY79" s="2849">
        <f t="shared" ref="BY79:CA84" si="947">SUM(BS79-BP79)</f>
        <v>-1630.931581322589</v>
      </c>
      <c r="BZ79" s="2849">
        <f t="shared" si="947"/>
        <v>-1630.9243539530953</v>
      </c>
      <c r="CA79" s="2849">
        <f t="shared" si="947"/>
        <v>-7.2273694939486502E-3</v>
      </c>
      <c r="CB79" s="2812">
        <f t="shared" ref="CB79:CJ83" si="948">SUM(AC79+BP79)</f>
        <v>3261.8631626451779</v>
      </c>
      <c r="CC79" s="2812">
        <f t="shared" si="948"/>
        <v>3261.8487079061906</v>
      </c>
      <c r="CD79" s="2812">
        <f t="shared" si="948"/>
        <v>1.44547389878973E-2</v>
      </c>
      <c r="CE79" s="2812">
        <f t="shared" si="948"/>
        <v>0</v>
      </c>
      <c r="CF79" s="2812">
        <f t="shared" si="948"/>
        <v>0</v>
      </c>
      <c r="CG79" s="2812">
        <f t="shared" si="948"/>
        <v>0</v>
      </c>
      <c r="CH79" s="2812">
        <f t="shared" si="948"/>
        <v>0</v>
      </c>
      <c r="CI79" s="2812">
        <f t="shared" si="948"/>
        <v>0</v>
      </c>
      <c r="CJ79" s="2812">
        <f t="shared" si="948"/>
        <v>0</v>
      </c>
      <c r="CK79" s="2813">
        <f t="shared" ref="CK79:CM84" si="949">SUM(CE79-CB79)</f>
        <v>-3261.8631626451779</v>
      </c>
      <c r="CL79" s="2813">
        <f t="shared" si="949"/>
        <v>-3261.8487079061906</v>
      </c>
      <c r="CM79" s="2813">
        <f t="shared" si="949"/>
        <v>-1.44547389878973E-2</v>
      </c>
      <c r="CN79" s="2844">
        <f t="shared" ref="CN79:CN80" si="950">SUM(CO79:CP79)</f>
        <v>543.64386044086302</v>
      </c>
      <c r="CO79" s="2844">
        <f>SUM(BH79)</f>
        <v>543.6414513176984</v>
      </c>
      <c r="CP79" s="2844">
        <f>SUM(BI79)</f>
        <v>2.4091231646495501E-3</v>
      </c>
      <c r="CQ79" s="2772">
        <f t="shared" ref="CQ79:CQ80" si="951">SUM(CR79:CS79)</f>
        <v>0</v>
      </c>
      <c r="CR79" s="2845">
        <v>0</v>
      </c>
      <c r="CS79" s="2845">
        <v>0</v>
      </c>
      <c r="CT79" s="2772">
        <f t="shared" ref="CT79:CT80" si="952">SUM(CU79:CV79)</f>
        <v>0</v>
      </c>
      <c r="CU79" s="2845">
        <v>0</v>
      </c>
      <c r="CV79" s="2845">
        <v>0</v>
      </c>
      <c r="CW79" s="2844">
        <f t="shared" ref="CW79:CW80" si="953">SUM(CX79:CY79)</f>
        <v>543.64386044086302</v>
      </c>
      <c r="CX79" s="2844">
        <f>SUM(CO79)</f>
        <v>543.6414513176984</v>
      </c>
      <c r="CY79" s="2844">
        <f>SUM(CP79)</f>
        <v>2.4091231646495501E-3</v>
      </c>
      <c r="CZ79" s="2772">
        <f t="shared" ref="CZ79:CZ80" si="954">SUM(DA79:DB79)</f>
        <v>0</v>
      </c>
      <c r="DA79" s="2845">
        <v>0</v>
      </c>
      <c r="DB79" s="2845">
        <v>0</v>
      </c>
      <c r="DC79" s="2772">
        <f t="shared" ref="DC79:DC80" si="955">SUM(DD79:DE79)</f>
        <v>0</v>
      </c>
      <c r="DD79" s="2845">
        <v>0</v>
      </c>
      <c r="DE79" s="2845">
        <v>0</v>
      </c>
      <c r="DF79" s="2844">
        <f t="shared" ref="DF79:DF80" si="956">SUM(DG79:DH79)</f>
        <v>543.64386044086302</v>
      </c>
      <c r="DG79" s="2844">
        <f>SUM(CX79)</f>
        <v>543.6414513176984</v>
      </c>
      <c r="DH79" s="2844">
        <f>SUM(CY79)</f>
        <v>2.4091231646495501E-3</v>
      </c>
      <c r="DI79" s="2772">
        <f t="shared" ref="DI79:DI80" si="957">SUM(DJ79:DK79)</f>
        <v>0</v>
      </c>
      <c r="DJ79" s="2845">
        <v>0</v>
      </c>
      <c r="DK79" s="2845">
        <v>0</v>
      </c>
      <c r="DL79" s="2772">
        <f t="shared" ref="DL79:DL80" si="958">SUM(DM79:DN79)</f>
        <v>0</v>
      </c>
      <c r="DM79" s="2845">
        <v>0</v>
      </c>
      <c r="DN79" s="2845">
        <v>0</v>
      </c>
      <c r="DO79" s="2802">
        <f t="shared" ref="DO79:DW83" si="959">SUM(CN79+CW79+DF79)</f>
        <v>1630.931581322589</v>
      </c>
      <c r="DP79" s="2802">
        <f t="shared" si="959"/>
        <v>1630.9243539530953</v>
      </c>
      <c r="DQ79" s="2802">
        <f t="shared" si="959"/>
        <v>7.2273694939486502E-3</v>
      </c>
      <c r="DR79" s="2838">
        <f t="shared" si="959"/>
        <v>0</v>
      </c>
      <c r="DS79" s="2838">
        <f t="shared" si="959"/>
        <v>0</v>
      </c>
      <c r="DT79" s="2838">
        <f t="shared" si="959"/>
        <v>0</v>
      </c>
      <c r="DU79" s="2838">
        <f t="shared" si="959"/>
        <v>0</v>
      </c>
      <c r="DV79" s="2838">
        <f t="shared" si="959"/>
        <v>0</v>
      </c>
      <c r="DW79" s="2838">
        <f t="shared" si="959"/>
        <v>0</v>
      </c>
      <c r="DX79" s="2839">
        <f t="shared" ref="DX79:DZ84" si="960">SUM(DR79-DO79)</f>
        <v>-1630.931581322589</v>
      </c>
      <c r="DY79" s="2839">
        <f t="shared" si="960"/>
        <v>-1630.9243539530953</v>
      </c>
      <c r="DZ79" s="2839">
        <f t="shared" si="960"/>
        <v>-7.2273694939486502E-3</v>
      </c>
      <c r="EA79" s="2807">
        <f t="shared" ref="EA79:EI83" si="961">SUM(CB79+DO79)</f>
        <v>4892.7947439677664</v>
      </c>
      <c r="EB79" s="2807">
        <f t="shared" si="961"/>
        <v>4892.7730618592859</v>
      </c>
      <c r="EC79" s="2807">
        <f t="shared" si="961"/>
        <v>2.1682108481845951E-2</v>
      </c>
      <c r="ED79" s="2838">
        <f t="shared" si="961"/>
        <v>0</v>
      </c>
      <c r="EE79" s="2838">
        <f t="shared" si="961"/>
        <v>0</v>
      </c>
      <c r="EF79" s="2838">
        <f t="shared" si="961"/>
        <v>0</v>
      </c>
      <c r="EG79" s="2842">
        <f t="shared" si="961"/>
        <v>0</v>
      </c>
      <c r="EH79" s="2842">
        <f t="shared" si="961"/>
        <v>0</v>
      </c>
      <c r="EI79" s="2842">
        <f t="shared" si="961"/>
        <v>0</v>
      </c>
      <c r="EJ79" s="2839">
        <f t="shared" ref="EJ79:EL84" si="962">SUM(ED79-EA79)</f>
        <v>-4892.7947439677664</v>
      </c>
      <c r="EK79" s="2839">
        <f t="shared" si="962"/>
        <v>-4892.7730618592859</v>
      </c>
      <c r="EL79" s="2839">
        <f t="shared" si="962"/>
        <v>-2.1682108481845951E-2</v>
      </c>
      <c r="EM79" s="2844">
        <f t="shared" ref="EM79:EM80" si="963">SUM(EN79:EO79)</f>
        <v>543.64386044086302</v>
      </c>
      <c r="EN79" s="2844">
        <f>SUM(DG79)</f>
        <v>543.6414513176984</v>
      </c>
      <c r="EO79" s="2844">
        <f>SUM(DH79)</f>
        <v>2.4091231646495501E-3</v>
      </c>
      <c r="EP79" s="2772">
        <f t="shared" ref="EP79:EP80" si="964">SUM(EQ79:ER79)</f>
        <v>0</v>
      </c>
      <c r="EQ79" s="2845">
        <v>0</v>
      </c>
      <c r="ER79" s="2844">
        <v>0</v>
      </c>
      <c r="ES79" s="2772">
        <f t="shared" ref="ES79:ES80" si="965">SUM(ET79:EU79)</f>
        <v>0</v>
      </c>
      <c r="ET79" s="2845">
        <v>0</v>
      </c>
      <c r="EU79" s="2845">
        <v>0</v>
      </c>
      <c r="EV79" s="2844">
        <f t="shared" ref="EV79:EV80" si="966">SUM(EW79:EX79)</f>
        <v>543.64386044086302</v>
      </c>
      <c r="EW79" s="2844">
        <f>SUM(EN79)</f>
        <v>543.6414513176984</v>
      </c>
      <c r="EX79" s="2844">
        <f>SUM(EO79)</f>
        <v>2.4091231646495501E-3</v>
      </c>
      <c r="EY79" s="2772">
        <f t="shared" ref="EY79:EY80" si="967">SUM(EZ79:FA79)</f>
        <v>0</v>
      </c>
      <c r="EZ79" s="2845">
        <v>0</v>
      </c>
      <c r="FA79" s="2845">
        <v>0</v>
      </c>
      <c r="FB79" s="2772">
        <f t="shared" ref="FB79:FB80" si="968">SUM(FC79:FD79)</f>
        <v>0</v>
      </c>
      <c r="FC79" s="2845">
        <v>0</v>
      </c>
      <c r="FD79" s="2845">
        <v>0</v>
      </c>
      <c r="FE79" s="2844">
        <f t="shared" ref="FE79:FE80" si="969">SUM(FF79:FG79)</f>
        <v>543.64386044086302</v>
      </c>
      <c r="FF79" s="2844">
        <f>SUM(EW79)</f>
        <v>543.6414513176984</v>
      </c>
      <c r="FG79" s="2844">
        <f>SUM(EX79)</f>
        <v>2.4091231646495501E-3</v>
      </c>
      <c r="FH79" s="2772">
        <f t="shared" ref="FH79:FH80" si="970">SUM(FI79:FJ79)</f>
        <v>0</v>
      </c>
      <c r="FI79" s="2845">
        <v>0</v>
      </c>
      <c r="FJ79" s="2845">
        <v>0</v>
      </c>
      <c r="FK79" s="2772">
        <f t="shared" ref="FK79:FK80" si="971">SUM(FL79:FM79)</f>
        <v>0</v>
      </c>
      <c r="FL79" s="2845">
        <v>0</v>
      </c>
      <c r="FM79" s="2845">
        <v>0</v>
      </c>
      <c r="FN79" s="2802">
        <f t="shared" ref="FN79:FV83" si="972">SUM(EM79+EV79+FE79)</f>
        <v>1630.931581322589</v>
      </c>
      <c r="FO79" s="2802">
        <f t="shared" si="972"/>
        <v>1630.9243539530953</v>
      </c>
      <c r="FP79" s="2802">
        <f t="shared" si="972"/>
        <v>7.2273694939486502E-3</v>
      </c>
      <c r="FQ79" s="2812">
        <f t="shared" si="972"/>
        <v>0</v>
      </c>
      <c r="FR79" s="2812">
        <f t="shared" si="972"/>
        <v>0</v>
      </c>
      <c r="FS79" s="2812">
        <f t="shared" si="972"/>
        <v>0</v>
      </c>
      <c r="FT79" s="2812">
        <f t="shared" si="972"/>
        <v>0</v>
      </c>
      <c r="FU79" s="2812">
        <f t="shared" si="972"/>
        <v>0</v>
      </c>
      <c r="FV79" s="2812">
        <f t="shared" si="972"/>
        <v>0</v>
      </c>
      <c r="FW79" s="2813">
        <f t="shared" ref="FW79:FY84" si="973">SUM(FQ79-FN79)</f>
        <v>-1630.931581322589</v>
      </c>
      <c r="FX79" s="2813">
        <f t="shared" si="973"/>
        <v>-1630.9243539530953</v>
      </c>
      <c r="FY79" s="2813">
        <f t="shared" si="973"/>
        <v>-7.2273694939486502E-3</v>
      </c>
      <c r="FZ79" s="2802">
        <f t="shared" ref="FZ79:GH83" si="974">SUM(EA79+FN79)</f>
        <v>6523.7263252903558</v>
      </c>
      <c r="GA79" s="2802">
        <f t="shared" si="974"/>
        <v>6523.6974158123812</v>
      </c>
      <c r="GB79" s="2802">
        <f t="shared" si="974"/>
        <v>2.8909477975794601E-2</v>
      </c>
      <c r="GC79" s="2812">
        <f t="shared" si="974"/>
        <v>0</v>
      </c>
      <c r="GD79" s="2812">
        <f t="shared" si="974"/>
        <v>0</v>
      </c>
      <c r="GE79" s="2812">
        <f t="shared" si="974"/>
        <v>0</v>
      </c>
      <c r="GF79" s="2812">
        <f t="shared" si="974"/>
        <v>0</v>
      </c>
      <c r="GG79" s="2812">
        <f t="shared" si="974"/>
        <v>0</v>
      </c>
      <c r="GH79" s="2812">
        <f t="shared" si="974"/>
        <v>0</v>
      </c>
      <c r="GI79" s="2813">
        <f t="shared" si="561"/>
        <v>-6523.7263252903558</v>
      </c>
      <c r="GJ79" s="2813">
        <f t="shared" si="561"/>
        <v>-6523.6974158123812</v>
      </c>
      <c r="GK79" s="2813">
        <f t="shared" si="561"/>
        <v>-2.8909477975794601E-2</v>
      </c>
      <c r="GL79" s="2617"/>
      <c r="GM79" s="3578">
        <f t="shared" si="562"/>
        <v>6523.7263252903567</v>
      </c>
    </row>
    <row r="80" spans="1:195" ht="18.75" hidden="1" customHeight="1" x14ac:dyDescent="0.3">
      <c r="A80" s="2784" t="s">
        <v>310</v>
      </c>
      <c r="B80" s="2836">
        <f t="shared" si="625"/>
        <v>0</v>
      </c>
      <c r="C80" s="2836">
        <v>0</v>
      </c>
      <c r="D80" s="2836">
        <v>0</v>
      </c>
      <c r="E80" s="2781">
        <f t="shared" si="927"/>
        <v>0</v>
      </c>
      <c r="F80" s="2852">
        <v>0</v>
      </c>
      <c r="G80" s="2852">
        <v>0</v>
      </c>
      <c r="H80" s="4420">
        <f t="shared" si="928"/>
        <v>0</v>
      </c>
      <c r="I80" s="4887">
        <v>0</v>
      </c>
      <c r="J80" s="4887">
        <v>0</v>
      </c>
      <c r="K80" s="2836">
        <f t="shared" si="929"/>
        <v>0</v>
      </c>
      <c r="L80" s="2836">
        <f>SUM(C80)</f>
        <v>0</v>
      </c>
      <c r="M80" s="2836">
        <f>SUM(D80)</f>
        <v>0</v>
      </c>
      <c r="N80" s="2781">
        <f t="shared" si="930"/>
        <v>0</v>
      </c>
      <c r="O80" s="2852">
        <v>0</v>
      </c>
      <c r="P80" s="2852">
        <v>0</v>
      </c>
      <c r="Q80" s="2781">
        <f t="shared" si="931"/>
        <v>0</v>
      </c>
      <c r="R80" s="2852">
        <v>0</v>
      </c>
      <c r="S80" s="2852">
        <v>0</v>
      </c>
      <c r="T80" s="2836">
        <f t="shared" si="932"/>
        <v>0</v>
      </c>
      <c r="U80" s="2836">
        <f>SUM(L80)</f>
        <v>0</v>
      </c>
      <c r="V80" s="2836">
        <f>SUM(M80)</f>
        <v>0</v>
      </c>
      <c r="W80" s="2781">
        <f t="shared" si="933"/>
        <v>0</v>
      </c>
      <c r="X80" s="2852">
        <v>0</v>
      </c>
      <c r="Y80" s="2852">
        <v>0</v>
      </c>
      <c r="Z80" s="2781">
        <f t="shared" si="934"/>
        <v>0</v>
      </c>
      <c r="AA80" s="2852">
        <v>0</v>
      </c>
      <c r="AB80" s="2852">
        <v>0</v>
      </c>
      <c r="AC80" s="2807">
        <f>SUM(B80+K80+T80)</f>
        <v>0</v>
      </c>
      <c r="AD80" s="2807">
        <f t="shared" si="935"/>
        <v>0</v>
      </c>
      <c r="AE80" s="2807">
        <f t="shared" si="935"/>
        <v>0</v>
      </c>
      <c r="AF80" s="2842">
        <f>SUM(E80+N80+W80)</f>
        <v>0</v>
      </c>
      <c r="AG80" s="2842">
        <f t="shared" si="936"/>
        <v>0</v>
      </c>
      <c r="AH80" s="2842">
        <f t="shared" si="936"/>
        <v>0</v>
      </c>
      <c r="AI80" s="2842">
        <f t="shared" si="936"/>
        <v>0</v>
      </c>
      <c r="AJ80" s="2842">
        <f t="shared" si="936"/>
        <v>0</v>
      </c>
      <c r="AK80" s="2842">
        <f t="shared" si="936"/>
        <v>0</v>
      </c>
      <c r="AL80" s="2819">
        <f t="shared" si="694"/>
        <v>0</v>
      </c>
      <c r="AM80" s="2819">
        <f t="shared" si="694"/>
        <v>0</v>
      </c>
      <c r="AN80" s="2819">
        <f t="shared" si="694"/>
        <v>0</v>
      </c>
      <c r="AO80" s="2836">
        <f t="shared" ref="AO80" si="975">SUM(AP80:AQ80)</f>
        <v>0</v>
      </c>
      <c r="AP80" s="2836">
        <f>SUM(U80)</f>
        <v>0</v>
      </c>
      <c r="AQ80" s="2836">
        <f>SUM(V80)</f>
        <v>0</v>
      </c>
      <c r="AR80" s="2836">
        <f t="shared" si="938"/>
        <v>0</v>
      </c>
      <c r="AS80" s="2836">
        <v>0</v>
      </c>
      <c r="AT80" s="2836">
        <v>0</v>
      </c>
      <c r="AU80" s="2781">
        <f t="shared" si="939"/>
        <v>0</v>
      </c>
      <c r="AV80" s="2781">
        <v>0</v>
      </c>
      <c r="AW80" s="2781">
        <v>0</v>
      </c>
      <c r="AX80" s="2836">
        <f t="shared" si="940"/>
        <v>0</v>
      </c>
      <c r="AY80" s="2836">
        <f>SUM(AP80)</f>
        <v>0</v>
      </c>
      <c r="AZ80" s="2836">
        <f>SUM(AQ80)</f>
        <v>0</v>
      </c>
      <c r="BA80" s="2781">
        <f t="shared" si="941"/>
        <v>0</v>
      </c>
      <c r="BB80" s="2852">
        <v>0</v>
      </c>
      <c r="BC80" s="2852">
        <v>0</v>
      </c>
      <c r="BD80" s="2781">
        <f t="shared" si="942"/>
        <v>0</v>
      </c>
      <c r="BE80" s="2852">
        <v>0</v>
      </c>
      <c r="BF80" s="2852">
        <v>0</v>
      </c>
      <c r="BG80" s="2836">
        <f t="shared" si="943"/>
        <v>0</v>
      </c>
      <c r="BH80" s="2836">
        <f>SUM(AY80)</f>
        <v>0</v>
      </c>
      <c r="BI80" s="2836">
        <f>SUM(AZ80)</f>
        <v>0</v>
      </c>
      <c r="BJ80" s="2781">
        <f t="shared" si="944"/>
        <v>0</v>
      </c>
      <c r="BK80" s="2852">
        <v>0</v>
      </c>
      <c r="BL80" s="2852">
        <v>0</v>
      </c>
      <c r="BM80" s="2781">
        <f t="shared" si="945"/>
        <v>0</v>
      </c>
      <c r="BN80" s="2852">
        <v>0</v>
      </c>
      <c r="BO80" s="2852">
        <v>0</v>
      </c>
      <c r="BP80" s="2807">
        <f t="shared" si="946"/>
        <v>0</v>
      </c>
      <c r="BQ80" s="2807">
        <f t="shared" si="946"/>
        <v>0</v>
      </c>
      <c r="BR80" s="2807">
        <f t="shared" si="946"/>
        <v>0</v>
      </c>
      <c r="BS80" s="2842">
        <f t="shared" si="946"/>
        <v>0</v>
      </c>
      <c r="BT80" s="2842">
        <f t="shared" si="946"/>
        <v>0</v>
      </c>
      <c r="BU80" s="2842">
        <f t="shared" si="946"/>
        <v>0</v>
      </c>
      <c r="BV80" s="2842">
        <f t="shared" si="946"/>
        <v>0</v>
      </c>
      <c r="BW80" s="2842">
        <f t="shared" si="946"/>
        <v>0</v>
      </c>
      <c r="BX80" s="2842">
        <f t="shared" si="946"/>
        <v>0</v>
      </c>
      <c r="BY80" s="2805">
        <f t="shared" si="947"/>
        <v>0</v>
      </c>
      <c r="BZ80" s="2805">
        <f t="shared" si="947"/>
        <v>0</v>
      </c>
      <c r="CA80" s="2805">
        <f t="shared" si="947"/>
        <v>0</v>
      </c>
      <c r="CB80" s="2818">
        <f t="shared" si="948"/>
        <v>0</v>
      </c>
      <c r="CC80" s="2818">
        <f t="shared" si="948"/>
        <v>0</v>
      </c>
      <c r="CD80" s="2818">
        <f t="shared" si="948"/>
        <v>0</v>
      </c>
      <c r="CE80" s="2818">
        <f t="shared" si="948"/>
        <v>0</v>
      </c>
      <c r="CF80" s="2818">
        <f t="shared" si="948"/>
        <v>0</v>
      </c>
      <c r="CG80" s="2818">
        <f t="shared" si="948"/>
        <v>0</v>
      </c>
      <c r="CH80" s="2818">
        <f t="shared" si="948"/>
        <v>0</v>
      </c>
      <c r="CI80" s="2818">
        <f t="shared" si="948"/>
        <v>0</v>
      </c>
      <c r="CJ80" s="2818">
        <f t="shared" si="948"/>
        <v>0</v>
      </c>
      <c r="CK80" s="2819">
        <f t="shared" si="949"/>
        <v>0</v>
      </c>
      <c r="CL80" s="2819">
        <f t="shared" si="949"/>
        <v>0</v>
      </c>
      <c r="CM80" s="2819">
        <f t="shared" si="949"/>
        <v>0</v>
      </c>
      <c r="CN80" s="2836">
        <f t="shared" si="950"/>
        <v>0</v>
      </c>
      <c r="CO80" s="2836">
        <f t="shared" ref="CO80:CP80" si="976">SUM(BH80)</f>
        <v>0</v>
      </c>
      <c r="CP80" s="2836">
        <f t="shared" si="976"/>
        <v>0</v>
      </c>
      <c r="CQ80" s="2781">
        <f t="shared" si="951"/>
        <v>0</v>
      </c>
      <c r="CR80" s="2852">
        <v>0</v>
      </c>
      <c r="CS80" s="2852">
        <v>0</v>
      </c>
      <c r="CT80" s="2781">
        <f t="shared" si="952"/>
        <v>0</v>
      </c>
      <c r="CU80" s="2852">
        <v>0</v>
      </c>
      <c r="CV80" s="2852">
        <v>0</v>
      </c>
      <c r="CW80" s="2836">
        <f t="shared" si="953"/>
        <v>0</v>
      </c>
      <c r="CX80" s="2836">
        <f>SUM(CO80)</f>
        <v>0</v>
      </c>
      <c r="CY80" s="2836">
        <f>SUM(CP80)</f>
        <v>0</v>
      </c>
      <c r="CZ80" s="2781">
        <f t="shared" si="954"/>
        <v>0</v>
      </c>
      <c r="DA80" s="2852">
        <v>0</v>
      </c>
      <c r="DB80" s="2852">
        <v>0</v>
      </c>
      <c r="DC80" s="2781">
        <f t="shared" si="955"/>
        <v>0</v>
      </c>
      <c r="DD80" s="2852">
        <v>0</v>
      </c>
      <c r="DE80" s="2852">
        <v>0</v>
      </c>
      <c r="DF80" s="2836">
        <f t="shared" si="956"/>
        <v>0</v>
      </c>
      <c r="DG80" s="2836">
        <f>SUM(CX80)</f>
        <v>0</v>
      </c>
      <c r="DH80" s="2836">
        <f>SUM(CY80)</f>
        <v>0</v>
      </c>
      <c r="DI80" s="2781">
        <f t="shared" si="957"/>
        <v>0</v>
      </c>
      <c r="DJ80" s="2852">
        <v>0</v>
      </c>
      <c r="DK80" s="2852">
        <v>0</v>
      </c>
      <c r="DL80" s="2781">
        <f t="shared" si="958"/>
        <v>0</v>
      </c>
      <c r="DM80" s="2852">
        <v>0</v>
      </c>
      <c r="DN80" s="2852">
        <v>0</v>
      </c>
      <c r="DO80" s="2807">
        <f t="shared" si="959"/>
        <v>0</v>
      </c>
      <c r="DP80" s="2807">
        <f t="shared" si="959"/>
        <v>0</v>
      </c>
      <c r="DQ80" s="2807">
        <f t="shared" si="959"/>
        <v>0</v>
      </c>
      <c r="DR80" s="2842">
        <f t="shared" si="959"/>
        <v>0</v>
      </c>
      <c r="DS80" s="2842">
        <f t="shared" si="959"/>
        <v>0</v>
      </c>
      <c r="DT80" s="2842">
        <f t="shared" si="959"/>
        <v>0</v>
      </c>
      <c r="DU80" s="2842">
        <f t="shared" si="959"/>
        <v>0</v>
      </c>
      <c r="DV80" s="2842">
        <f t="shared" si="959"/>
        <v>0</v>
      </c>
      <c r="DW80" s="2842">
        <f t="shared" si="959"/>
        <v>0</v>
      </c>
      <c r="DX80" s="2805">
        <f t="shared" si="960"/>
        <v>0</v>
      </c>
      <c r="DY80" s="2805">
        <f t="shared" si="960"/>
        <v>0</v>
      </c>
      <c r="DZ80" s="2805">
        <f t="shared" si="960"/>
        <v>0</v>
      </c>
      <c r="EA80" s="2807">
        <f t="shared" si="961"/>
        <v>0</v>
      </c>
      <c r="EB80" s="2807">
        <f t="shared" si="961"/>
        <v>0</v>
      </c>
      <c r="EC80" s="2807">
        <f t="shared" si="961"/>
        <v>0</v>
      </c>
      <c r="ED80" s="2842">
        <f t="shared" si="961"/>
        <v>0</v>
      </c>
      <c r="EE80" s="2842">
        <f t="shared" si="961"/>
        <v>0</v>
      </c>
      <c r="EF80" s="2842">
        <f t="shared" si="961"/>
        <v>0</v>
      </c>
      <c r="EG80" s="2842">
        <f t="shared" si="961"/>
        <v>0</v>
      </c>
      <c r="EH80" s="2842">
        <f t="shared" si="961"/>
        <v>0</v>
      </c>
      <c r="EI80" s="2842">
        <f t="shared" si="961"/>
        <v>0</v>
      </c>
      <c r="EJ80" s="2805">
        <f t="shared" si="962"/>
        <v>0</v>
      </c>
      <c r="EK80" s="2805">
        <f t="shared" si="962"/>
        <v>0</v>
      </c>
      <c r="EL80" s="2805">
        <f t="shared" si="962"/>
        <v>0</v>
      </c>
      <c r="EM80" s="2836">
        <f t="shared" si="963"/>
        <v>0</v>
      </c>
      <c r="EN80" s="2836">
        <f>SUM(DG80)</f>
        <v>0</v>
      </c>
      <c r="EO80" s="2836">
        <f>SUM(DH80)</f>
        <v>0</v>
      </c>
      <c r="EP80" s="2781">
        <f t="shared" si="964"/>
        <v>0</v>
      </c>
      <c r="EQ80" s="2852">
        <v>0</v>
      </c>
      <c r="ER80" s="2836">
        <v>0</v>
      </c>
      <c r="ES80" s="2781">
        <f t="shared" si="965"/>
        <v>0</v>
      </c>
      <c r="ET80" s="2852">
        <v>0</v>
      </c>
      <c r="EU80" s="2852">
        <v>0</v>
      </c>
      <c r="EV80" s="2836">
        <f t="shared" si="966"/>
        <v>0</v>
      </c>
      <c r="EW80" s="2836">
        <f>SUM(EN80)</f>
        <v>0</v>
      </c>
      <c r="EX80" s="2836">
        <f>SUM(EO80)</f>
        <v>0</v>
      </c>
      <c r="EY80" s="2781">
        <f t="shared" si="967"/>
        <v>0</v>
      </c>
      <c r="EZ80" s="2852">
        <v>0</v>
      </c>
      <c r="FA80" s="2852">
        <v>0</v>
      </c>
      <c r="FB80" s="2781">
        <f t="shared" si="968"/>
        <v>0</v>
      </c>
      <c r="FC80" s="2852">
        <v>0</v>
      </c>
      <c r="FD80" s="2852">
        <v>0</v>
      </c>
      <c r="FE80" s="2836">
        <f t="shared" si="969"/>
        <v>0</v>
      </c>
      <c r="FF80" s="2836">
        <f>SUM(EW80)</f>
        <v>0</v>
      </c>
      <c r="FG80" s="2836">
        <f>SUM(EX80)</f>
        <v>0</v>
      </c>
      <c r="FH80" s="2781">
        <f t="shared" si="970"/>
        <v>0</v>
      </c>
      <c r="FI80" s="2852">
        <v>0</v>
      </c>
      <c r="FJ80" s="2852">
        <v>0</v>
      </c>
      <c r="FK80" s="2781">
        <f t="shared" si="971"/>
        <v>0</v>
      </c>
      <c r="FL80" s="2852">
        <v>0</v>
      </c>
      <c r="FM80" s="2852">
        <v>0</v>
      </c>
      <c r="FN80" s="2807">
        <f t="shared" si="972"/>
        <v>0</v>
      </c>
      <c r="FO80" s="2807">
        <f t="shared" si="972"/>
        <v>0</v>
      </c>
      <c r="FP80" s="2807">
        <f t="shared" si="972"/>
        <v>0</v>
      </c>
      <c r="FQ80" s="2818">
        <f t="shared" si="972"/>
        <v>0</v>
      </c>
      <c r="FR80" s="2818">
        <f t="shared" si="972"/>
        <v>0</v>
      </c>
      <c r="FS80" s="2818">
        <f t="shared" si="972"/>
        <v>0</v>
      </c>
      <c r="FT80" s="2818">
        <f t="shared" si="972"/>
        <v>0</v>
      </c>
      <c r="FU80" s="2818">
        <f t="shared" si="972"/>
        <v>0</v>
      </c>
      <c r="FV80" s="2818">
        <f t="shared" si="972"/>
        <v>0</v>
      </c>
      <c r="FW80" s="2819">
        <f t="shared" si="973"/>
        <v>0</v>
      </c>
      <c r="FX80" s="2819">
        <f t="shared" si="973"/>
        <v>0</v>
      </c>
      <c r="FY80" s="2819">
        <f t="shared" si="973"/>
        <v>0</v>
      </c>
      <c r="FZ80" s="2807">
        <f t="shared" si="974"/>
        <v>0</v>
      </c>
      <c r="GA80" s="2807">
        <f t="shared" si="974"/>
        <v>0</v>
      </c>
      <c r="GB80" s="2807">
        <f t="shared" si="974"/>
        <v>0</v>
      </c>
      <c r="GC80" s="2818">
        <f t="shared" si="974"/>
        <v>0</v>
      </c>
      <c r="GD80" s="2818">
        <f t="shared" si="974"/>
        <v>0</v>
      </c>
      <c r="GE80" s="2818">
        <f t="shared" si="974"/>
        <v>0</v>
      </c>
      <c r="GF80" s="2818">
        <f t="shared" si="974"/>
        <v>0</v>
      </c>
      <c r="GG80" s="2818">
        <f t="shared" si="974"/>
        <v>0</v>
      </c>
      <c r="GH80" s="2818">
        <f t="shared" si="974"/>
        <v>0</v>
      </c>
      <c r="GI80" s="2819">
        <f t="shared" si="561"/>
        <v>0</v>
      </c>
      <c r="GJ80" s="2819">
        <f t="shared" si="561"/>
        <v>0</v>
      </c>
      <c r="GK80" s="2819">
        <f t="shared" si="561"/>
        <v>0</v>
      </c>
      <c r="GL80" s="2617"/>
      <c r="GM80" s="523"/>
    </row>
    <row r="81" spans="1:195" ht="19.5" x14ac:dyDescent="0.3">
      <c r="A81" s="2850" t="s">
        <v>3675</v>
      </c>
      <c r="B81" s="2844">
        <f>SUM(C81:D81)</f>
        <v>15605.919634270405</v>
      </c>
      <c r="C81" s="2844">
        <f t="shared" ref="C81:D81" si="977">SUM(C76+C79)</f>
        <v>15602.990637266263</v>
      </c>
      <c r="D81" s="2844">
        <f t="shared" si="977"/>
        <v>2.928997004143624</v>
      </c>
      <c r="E81" s="2845">
        <f>SUM(F81:G81)</f>
        <v>17217.948</v>
      </c>
      <c r="F81" s="2845">
        <f t="shared" ref="F81:G81" si="978">SUM(F76+F79)</f>
        <v>17217.948</v>
      </c>
      <c r="G81" s="2845">
        <f t="shared" si="978"/>
        <v>0</v>
      </c>
      <c r="H81" s="4888">
        <f>SUM(I81:J81)</f>
        <v>13127.200850000001</v>
      </c>
      <c r="I81" s="4888">
        <v>13125.382080000001</v>
      </c>
      <c r="J81" s="4888">
        <v>1.81877</v>
      </c>
      <c r="K81" s="2844">
        <f>SUM(L81:M81)</f>
        <v>15605.919634270405</v>
      </c>
      <c r="L81" s="2844">
        <f t="shared" ref="L81:M81" si="979">SUM(L76+L79)</f>
        <v>15602.990637266263</v>
      </c>
      <c r="M81" s="2844">
        <f t="shared" si="979"/>
        <v>2.928997004143624</v>
      </c>
      <c r="N81" s="2845">
        <f>SUM(O81:P81)</f>
        <v>14061.75128</v>
      </c>
      <c r="O81" s="2845">
        <f t="shared" ref="O81:P81" si="980">SUM(O76+O79)</f>
        <v>14061.75128</v>
      </c>
      <c r="P81" s="2845">
        <f t="shared" si="980"/>
        <v>0</v>
      </c>
      <c r="Q81" s="2845">
        <f>SUM(R81:S81)</f>
        <v>9834.6663000000008</v>
      </c>
      <c r="R81" s="2845">
        <v>9833.2950000000001</v>
      </c>
      <c r="S81" s="2845">
        <v>1.3713</v>
      </c>
      <c r="T81" s="2844">
        <f>SUM(U81:V81)</f>
        <v>15605.919634270405</v>
      </c>
      <c r="U81" s="2844">
        <f t="shared" ref="U81:V81" si="981">SUM(U76+U79)</f>
        <v>15602.990637266263</v>
      </c>
      <c r="V81" s="2844">
        <f t="shared" si="981"/>
        <v>2.928997004143624</v>
      </c>
      <c r="W81" s="2845">
        <f>SUM(X81:Y81)</f>
        <v>15100.962800000003</v>
      </c>
      <c r="X81" s="2845">
        <f t="shared" ref="X81:Y81" si="982">SUM(X76+X79)</f>
        <v>15100.336370000003</v>
      </c>
      <c r="Y81" s="2845">
        <f t="shared" si="982"/>
        <v>0.62643000000000004</v>
      </c>
      <c r="Z81" s="2845">
        <f>SUM(AA81:AB81)</f>
        <v>16794.695180000002</v>
      </c>
      <c r="AA81" s="2845">
        <v>16791.827000000001</v>
      </c>
      <c r="AB81" s="2845">
        <v>2.8681800000000002</v>
      </c>
      <c r="AC81" s="2798">
        <f>SUM(B81+K81+T81)</f>
        <v>46817.758902811212</v>
      </c>
      <c r="AD81" s="2798">
        <f t="shared" si="935"/>
        <v>46808.971911798784</v>
      </c>
      <c r="AE81" s="2798">
        <f t="shared" si="935"/>
        <v>8.786991012430871</v>
      </c>
      <c r="AF81" s="2851">
        <f t="shared" si="935"/>
        <v>46380.662080000002</v>
      </c>
      <c r="AG81" s="2851">
        <f t="shared" si="936"/>
        <v>46380.035650000005</v>
      </c>
      <c r="AH81" s="2851">
        <f t="shared" si="936"/>
        <v>0.62643000000000004</v>
      </c>
      <c r="AI81" s="2851">
        <f t="shared" si="936"/>
        <v>39756.562330000001</v>
      </c>
      <c r="AJ81" s="2851">
        <f t="shared" si="936"/>
        <v>39750.504079999999</v>
      </c>
      <c r="AK81" s="2851">
        <f t="shared" si="936"/>
        <v>6.0582500000000001</v>
      </c>
      <c r="AL81" s="2824">
        <f t="shared" si="694"/>
        <v>-437.09682281121059</v>
      </c>
      <c r="AM81" s="2824">
        <f t="shared" si="694"/>
        <v>-428.93626179877901</v>
      </c>
      <c r="AN81" s="2824">
        <f t="shared" si="694"/>
        <v>-8.1605610124308718</v>
      </c>
      <c r="AO81" s="2844">
        <f>SUM(AP81:AQ81)</f>
        <v>15605.919634270405</v>
      </c>
      <c r="AP81" s="2844">
        <f t="shared" ref="AP81:AQ81" si="983">SUM(AP76+AP79)</f>
        <v>15602.990637266263</v>
      </c>
      <c r="AQ81" s="2844">
        <f t="shared" si="983"/>
        <v>2.928997004143624</v>
      </c>
      <c r="AR81" s="2844">
        <f>SUM(AS81:AT81)</f>
        <v>15686.832549999999</v>
      </c>
      <c r="AS81" s="2844">
        <f t="shared" ref="AS81:AT81" si="984">SUM(AS76+AS79)</f>
        <v>15682.85203</v>
      </c>
      <c r="AT81" s="2844">
        <f t="shared" si="984"/>
        <v>3.9805199999999998</v>
      </c>
      <c r="AU81" s="2772">
        <f>SUM(AV81:AW81)</f>
        <v>13474.798900000002</v>
      </c>
      <c r="AV81" s="2772">
        <v>13471.707000000002</v>
      </c>
      <c r="AW81" s="2772">
        <v>3.0918999999999999</v>
      </c>
      <c r="AX81" s="2844">
        <f>SUM(AY81:AZ81)</f>
        <v>15605.919634270405</v>
      </c>
      <c r="AY81" s="2844">
        <f t="shared" ref="AY81:AZ81" si="985">SUM(AY76+AY79)</f>
        <v>15602.990637266263</v>
      </c>
      <c r="AZ81" s="2844">
        <f t="shared" si="985"/>
        <v>2.928997004143624</v>
      </c>
      <c r="BA81" s="2845">
        <f>SUM(BB81:BC81)</f>
        <v>17633.094590000001</v>
      </c>
      <c r="BB81" s="2845">
        <f t="shared" ref="BB81:BC81" si="986">SUM(BB76+BB79)</f>
        <v>17627.933000000001</v>
      </c>
      <c r="BC81" s="2845">
        <f t="shared" si="986"/>
        <v>5.1615899999999995</v>
      </c>
      <c r="BD81" s="2845">
        <f>SUM(BE81:BF81)</f>
        <v>15651.61902</v>
      </c>
      <c r="BE81" s="2845">
        <v>15649.88112</v>
      </c>
      <c r="BF81" s="2845">
        <v>1.7379</v>
      </c>
      <c r="BG81" s="2844">
        <f>SUM(BH81:BI81)</f>
        <v>15605.919634270405</v>
      </c>
      <c r="BH81" s="2844">
        <f t="shared" ref="BH81:BI81" si="987">SUM(BH76+BH79)</f>
        <v>15602.990637266263</v>
      </c>
      <c r="BI81" s="2844">
        <f t="shared" si="987"/>
        <v>2.928997004143624</v>
      </c>
      <c r="BJ81" s="2845">
        <f>SUM(BK81:BL81)</f>
        <v>19203.366320000001</v>
      </c>
      <c r="BK81" s="2845">
        <f t="shared" ref="BK81:BL81" si="988">SUM(BK76+BK79)</f>
        <v>19199.924220000001</v>
      </c>
      <c r="BL81" s="2845">
        <f t="shared" si="988"/>
        <v>3.4420999999999999</v>
      </c>
      <c r="BM81" s="2845">
        <f>SUM(BN81:BO81)</f>
        <v>16141.065219999999</v>
      </c>
      <c r="BN81" s="2845">
        <v>16138.682379999998</v>
      </c>
      <c r="BO81" s="2845">
        <v>2.3828399999999998</v>
      </c>
      <c r="BP81" s="2798">
        <f t="shared" si="946"/>
        <v>46817.758902811212</v>
      </c>
      <c r="BQ81" s="2798">
        <f t="shared" si="946"/>
        <v>46808.971911798784</v>
      </c>
      <c r="BR81" s="2798">
        <f t="shared" si="946"/>
        <v>8.786991012430871</v>
      </c>
      <c r="BS81" s="2851">
        <f t="shared" si="946"/>
        <v>52523.293460000001</v>
      </c>
      <c r="BT81" s="2851">
        <f t="shared" si="946"/>
        <v>52510.70925</v>
      </c>
      <c r="BU81" s="2851">
        <f t="shared" si="946"/>
        <v>12.584209999999999</v>
      </c>
      <c r="BV81" s="2851">
        <f t="shared" si="946"/>
        <v>45267.483139999997</v>
      </c>
      <c r="BW81" s="2851">
        <f t="shared" si="946"/>
        <v>45260.270499999999</v>
      </c>
      <c r="BX81" s="2851">
        <f t="shared" si="946"/>
        <v>7.2126399999999995</v>
      </c>
      <c r="BY81" s="2849">
        <f t="shared" si="947"/>
        <v>5705.5345571887883</v>
      </c>
      <c r="BZ81" s="2849">
        <f t="shared" si="947"/>
        <v>5701.7373382012156</v>
      </c>
      <c r="CA81" s="2849">
        <f t="shared" si="947"/>
        <v>3.7972189875691278</v>
      </c>
      <c r="CB81" s="2823">
        <f t="shared" si="948"/>
        <v>93635.517805622425</v>
      </c>
      <c r="CC81" s="2823">
        <f t="shared" si="948"/>
        <v>93617.943823597569</v>
      </c>
      <c r="CD81" s="2823">
        <f t="shared" si="948"/>
        <v>17.573982024861742</v>
      </c>
      <c r="CE81" s="2823">
        <f t="shared" si="948"/>
        <v>98903.955539999995</v>
      </c>
      <c r="CF81" s="2823">
        <f t="shared" si="948"/>
        <v>98890.744900000005</v>
      </c>
      <c r="CG81" s="2823">
        <f t="shared" si="948"/>
        <v>13.210639999999998</v>
      </c>
      <c r="CH81" s="2823">
        <f t="shared" si="948"/>
        <v>85024.045469999997</v>
      </c>
      <c r="CI81" s="2823">
        <f t="shared" si="948"/>
        <v>85010.774579999998</v>
      </c>
      <c r="CJ81" s="2823">
        <f t="shared" si="948"/>
        <v>13.27089</v>
      </c>
      <c r="CK81" s="2824">
        <f t="shared" si="949"/>
        <v>5268.4377343775705</v>
      </c>
      <c r="CL81" s="2824">
        <f t="shared" si="949"/>
        <v>5272.8010764024366</v>
      </c>
      <c r="CM81" s="2824">
        <f t="shared" si="949"/>
        <v>-4.3633420248617441</v>
      </c>
      <c r="CN81" s="2844">
        <f>SUM(CO81:CP81)</f>
        <v>15605.919634270405</v>
      </c>
      <c r="CO81" s="2844">
        <f t="shared" ref="CO81:CP81" si="989">SUM(CO76+CO79)</f>
        <v>15602.990637266263</v>
      </c>
      <c r="CP81" s="2844">
        <f t="shared" si="989"/>
        <v>2.928997004143624</v>
      </c>
      <c r="CQ81" s="2845">
        <f>SUM(CR81:CS81)</f>
        <v>13049.248650000001</v>
      </c>
      <c r="CR81" s="2845">
        <f t="shared" ref="CR81:CS81" si="990">SUM(CR76+CR79)</f>
        <v>13046.58401</v>
      </c>
      <c r="CS81" s="2845">
        <f t="shared" si="990"/>
        <v>2.6646399999999999</v>
      </c>
      <c r="CT81" s="2845">
        <f>SUM(CU81:CV81)</f>
        <v>15911.598030000001</v>
      </c>
      <c r="CU81" s="2845">
        <v>15909.349</v>
      </c>
      <c r="CV81" s="2845">
        <v>2.2490300000000003</v>
      </c>
      <c r="CW81" s="2844">
        <f>SUM(CX81:CY81)</f>
        <v>15605.919634270405</v>
      </c>
      <c r="CX81" s="2844">
        <f t="shared" ref="CX81:CY81" si="991">SUM(CX76+CX79)</f>
        <v>15602.990637266263</v>
      </c>
      <c r="CY81" s="2844">
        <f t="shared" si="991"/>
        <v>2.928997004143624</v>
      </c>
      <c r="CZ81" s="2845">
        <f>SUM(DA81:DB81)</f>
        <v>0</v>
      </c>
      <c r="DA81" s="2845">
        <f t="shared" ref="DA81:DB81" si="992">SUM(DA76+DA79)</f>
        <v>0</v>
      </c>
      <c r="DB81" s="2845">
        <f t="shared" si="992"/>
        <v>0</v>
      </c>
      <c r="DC81" s="2845">
        <f>SUM(DD81:DE81)</f>
        <v>16880.907970000004</v>
      </c>
      <c r="DD81" s="2845">
        <v>16880.048000000003</v>
      </c>
      <c r="DE81" s="2845">
        <v>0.85997000000000012</v>
      </c>
      <c r="DF81" s="2844">
        <f>SUM(DG81:DH81)</f>
        <v>15605.919634270405</v>
      </c>
      <c r="DG81" s="2844">
        <f t="shared" ref="DG81:DH81" si="993">SUM(DG76+DG79)</f>
        <v>15602.990637266263</v>
      </c>
      <c r="DH81" s="2844">
        <f t="shared" si="993"/>
        <v>2.928997004143624</v>
      </c>
      <c r="DI81" s="2845">
        <f>SUM(DJ81:DK81)</f>
        <v>0</v>
      </c>
      <c r="DJ81" s="2845">
        <f t="shared" ref="DJ81:DK81" si="994">SUM(DJ76+DJ79)</f>
        <v>0</v>
      </c>
      <c r="DK81" s="2845">
        <f t="shared" si="994"/>
        <v>0</v>
      </c>
      <c r="DL81" s="2845">
        <f>SUM(DM81:DN81)</f>
        <v>15129.46811</v>
      </c>
      <c r="DM81" s="2845">
        <v>15127.906499999999</v>
      </c>
      <c r="DN81" s="2845">
        <v>1.5616099999999999</v>
      </c>
      <c r="DO81" s="2798">
        <f t="shared" si="959"/>
        <v>46817.758902811212</v>
      </c>
      <c r="DP81" s="2798">
        <f t="shared" si="959"/>
        <v>46808.971911798784</v>
      </c>
      <c r="DQ81" s="2798">
        <f t="shared" si="959"/>
        <v>8.786991012430871</v>
      </c>
      <c r="DR81" s="2851">
        <f t="shared" si="959"/>
        <v>13049.248650000001</v>
      </c>
      <c r="DS81" s="2851">
        <f t="shared" si="959"/>
        <v>13046.58401</v>
      </c>
      <c r="DT81" s="2851">
        <f t="shared" si="959"/>
        <v>2.6646399999999999</v>
      </c>
      <c r="DU81" s="2851">
        <f t="shared" si="959"/>
        <v>47921.97411000001</v>
      </c>
      <c r="DV81" s="2851">
        <f t="shared" si="959"/>
        <v>47917.303500000002</v>
      </c>
      <c r="DW81" s="2851">
        <f t="shared" si="959"/>
        <v>4.6706099999999999</v>
      </c>
      <c r="DX81" s="2849">
        <f t="shared" si="960"/>
        <v>-33768.510252811211</v>
      </c>
      <c r="DY81" s="2849">
        <f t="shared" si="960"/>
        <v>-33762.387901798786</v>
      </c>
      <c r="DZ81" s="2849">
        <f t="shared" si="960"/>
        <v>-6.1223510124308707</v>
      </c>
      <c r="EA81" s="2853">
        <f t="shared" si="961"/>
        <v>140453.27670843364</v>
      </c>
      <c r="EB81" s="2853">
        <f t="shared" si="961"/>
        <v>140426.91573539635</v>
      </c>
      <c r="EC81" s="2853">
        <f t="shared" si="961"/>
        <v>26.360973037292613</v>
      </c>
      <c r="ED81" s="2851">
        <f t="shared" si="961"/>
        <v>111953.20418999999</v>
      </c>
      <c r="EE81" s="2851">
        <f t="shared" si="961"/>
        <v>111937.32891000001</v>
      </c>
      <c r="EF81" s="2851">
        <f t="shared" si="961"/>
        <v>15.875279999999998</v>
      </c>
      <c r="EG81" s="2854">
        <f t="shared" si="961"/>
        <v>132946.01958000002</v>
      </c>
      <c r="EH81" s="2854">
        <f t="shared" si="961"/>
        <v>132928.07808000001</v>
      </c>
      <c r="EI81" s="2854">
        <f t="shared" si="961"/>
        <v>17.941499999999998</v>
      </c>
      <c r="EJ81" s="2849">
        <f t="shared" si="962"/>
        <v>-28500.072518433648</v>
      </c>
      <c r="EK81" s="2849">
        <f t="shared" si="962"/>
        <v>-28489.586825396342</v>
      </c>
      <c r="EL81" s="2849">
        <f t="shared" si="962"/>
        <v>-10.485693037292615</v>
      </c>
      <c r="EM81" s="2844">
        <f>SUM(EN81:EO81)</f>
        <v>15605.919634270405</v>
      </c>
      <c r="EN81" s="2844">
        <f t="shared" ref="EN81:EO81" si="995">SUM(EN76+EN79)</f>
        <v>15602.990637266263</v>
      </c>
      <c r="EO81" s="2844">
        <f t="shared" si="995"/>
        <v>2.928997004143624</v>
      </c>
      <c r="EP81" s="2845">
        <f>SUM(EQ81:ER81)</f>
        <v>0</v>
      </c>
      <c r="EQ81" s="2845">
        <f t="shared" ref="EQ81:ER81" si="996">SUM(EQ76+EQ79)</f>
        <v>0</v>
      </c>
      <c r="ER81" s="2844">
        <f t="shared" si="996"/>
        <v>0</v>
      </c>
      <c r="ES81" s="2845">
        <f>SUM(ET81:EU81)</f>
        <v>13873.00196</v>
      </c>
      <c r="ET81" s="2845">
        <v>13873.00196</v>
      </c>
      <c r="EU81" s="2845">
        <v>0</v>
      </c>
      <c r="EV81" s="2844">
        <f>SUM(EW81:EX81)</f>
        <v>15605.919634270405</v>
      </c>
      <c r="EW81" s="2844">
        <f t="shared" ref="EW81:EX81" si="997">SUM(EW76+EW79)</f>
        <v>15602.990637266263</v>
      </c>
      <c r="EX81" s="2844">
        <f t="shared" si="997"/>
        <v>2.928997004143624</v>
      </c>
      <c r="EY81" s="2845">
        <f>SUM(EZ81:FA81)</f>
        <v>0</v>
      </c>
      <c r="EZ81" s="2845">
        <f t="shared" ref="EZ81:FA81" si="998">SUM(EZ76+EZ79)</f>
        <v>0</v>
      </c>
      <c r="FA81" s="2845">
        <f t="shared" si="998"/>
        <v>0</v>
      </c>
      <c r="FB81" s="2845">
        <f>SUM(FC81:FD81)</f>
        <v>14357.36436</v>
      </c>
      <c r="FC81" s="2845">
        <v>14357.36436</v>
      </c>
      <c r="FD81" s="2845">
        <v>0</v>
      </c>
      <c r="FE81" s="2844">
        <f>SUM(FF81:FG81)</f>
        <v>15605.919634270405</v>
      </c>
      <c r="FF81" s="2844">
        <f t="shared" ref="FF81:FG81" si="999">SUM(FF76+FF79)</f>
        <v>15602.990637266263</v>
      </c>
      <c r="FG81" s="2844">
        <f t="shared" si="999"/>
        <v>2.928997004143624</v>
      </c>
      <c r="FH81" s="2845">
        <f>SUM(FI81:FJ81)</f>
        <v>0</v>
      </c>
      <c r="FI81" s="2845">
        <f t="shared" ref="FI81:FJ81" si="1000">SUM(FI76+FI79)</f>
        <v>0</v>
      </c>
      <c r="FJ81" s="2845">
        <f t="shared" si="1000"/>
        <v>0</v>
      </c>
      <c r="FK81" s="2845">
        <f>SUM(FL81:FM81)</f>
        <v>15565.775409999998</v>
      </c>
      <c r="FL81" s="2845">
        <v>15565.775409999998</v>
      </c>
      <c r="FM81" s="2845">
        <v>0</v>
      </c>
      <c r="FN81" s="2798">
        <f t="shared" si="972"/>
        <v>46817.758902811212</v>
      </c>
      <c r="FO81" s="2798">
        <f t="shared" si="972"/>
        <v>46808.971911798784</v>
      </c>
      <c r="FP81" s="2798">
        <f t="shared" si="972"/>
        <v>8.786991012430871</v>
      </c>
      <c r="FQ81" s="2823">
        <f t="shared" si="972"/>
        <v>0</v>
      </c>
      <c r="FR81" s="2823">
        <f t="shared" si="972"/>
        <v>0</v>
      </c>
      <c r="FS81" s="2823">
        <f t="shared" si="972"/>
        <v>0</v>
      </c>
      <c r="FT81" s="2823">
        <f t="shared" si="972"/>
        <v>43796.141730000003</v>
      </c>
      <c r="FU81" s="2823">
        <f t="shared" si="972"/>
        <v>43796.141730000003</v>
      </c>
      <c r="FV81" s="2823">
        <f t="shared" si="972"/>
        <v>0</v>
      </c>
      <c r="FW81" s="2824">
        <f t="shared" si="973"/>
        <v>-46817.758902811212</v>
      </c>
      <c r="FX81" s="2824">
        <f t="shared" si="973"/>
        <v>-46808.971911798784</v>
      </c>
      <c r="FY81" s="2824">
        <f t="shared" si="973"/>
        <v>-8.786991012430871</v>
      </c>
      <c r="FZ81" s="2798">
        <f t="shared" si="974"/>
        <v>187271.03561124485</v>
      </c>
      <c r="GA81" s="2798">
        <f t="shared" si="974"/>
        <v>187235.88764719514</v>
      </c>
      <c r="GB81" s="2798">
        <f t="shared" si="974"/>
        <v>35.147964049723484</v>
      </c>
      <c r="GC81" s="2823">
        <f t="shared" si="974"/>
        <v>111953.20418999999</v>
      </c>
      <c r="GD81" s="2823">
        <f t="shared" si="974"/>
        <v>111937.32891000001</v>
      </c>
      <c r="GE81" s="2823">
        <f t="shared" si="974"/>
        <v>15.875279999999998</v>
      </c>
      <c r="GF81" s="2823">
        <f t="shared" si="974"/>
        <v>176742.16131000002</v>
      </c>
      <c r="GG81" s="2823">
        <f t="shared" si="974"/>
        <v>176724.21981000001</v>
      </c>
      <c r="GH81" s="2798">
        <f t="shared" si="974"/>
        <v>17.941499999999998</v>
      </c>
      <c r="GI81" s="2824">
        <f t="shared" si="561"/>
        <v>-75317.83142124486</v>
      </c>
      <c r="GJ81" s="2824">
        <f t="shared" si="561"/>
        <v>-75298.558737195126</v>
      </c>
      <c r="GK81" s="2824">
        <f t="shared" si="561"/>
        <v>-19.272684049723487</v>
      </c>
      <c r="GL81" s="2617"/>
      <c r="GM81" s="523"/>
    </row>
    <row r="82" spans="1:195" ht="19.5" x14ac:dyDescent="0.3">
      <c r="A82" s="2850" t="s">
        <v>3749</v>
      </c>
      <c r="B82" s="2844">
        <f>SUM(C82:D82)</f>
        <v>2.897257907865658E-4</v>
      </c>
      <c r="C82" s="2844">
        <f>SUM(C35-C81)</f>
        <v>-4.4291851736488752E-5</v>
      </c>
      <c r="D82" s="2844">
        <f>SUM(D35-D81)</f>
        <v>3.3401764252305455E-4</v>
      </c>
      <c r="E82" s="2845">
        <f>SUM(F82:G82)</f>
        <v>-1330.1490969999995</v>
      </c>
      <c r="F82" s="2845">
        <f>SUM(F35-F81)</f>
        <v>-1330.1490969999995</v>
      </c>
      <c r="G82" s="2855">
        <f>SUM(G35-G81)</f>
        <v>0</v>
      </c>
      <c r="H82" s="4888">
        <f>SUM(I82:J82)</f>
        <v>-157.41185000000155</v>
      </c>
      <c r="I82" s="4888">
        <v>-157.33008000000154</v>
      </c>
      <c r="J82" s="4888">
        <v>-8.1769999999999898E-2</v>
      </c>
      <c r="K82" s="2844">
        <f>SUM(L82:M82)</f>
        <v>2.897257907865658E-4</v>
      </c>
      <c r="L82" s="2844">
        <f>SUM(L35-L81)</f>
        <v>-4.4291851736488752E-5</v>
      </c>
      <c r="M82" s="2844">
        <f>SUM(M35-M81)</f>
        <v>3.3401764252305455E-4</v>
      </c>
      <c r="N82" s="2845">
        <f>SUM(O82:P82)</f>
        <v>1951.6646110000001</v>
      </c>
      <c r="O82" s="2845">
        <f>SUM(O35-O81)</f>
        <v>1951.6646110000001</v>
      </c>
      <c r="P82" s="2855">
        <f>SUM(P35-P81)</f>
        <v>0</v>
      </c>
      <c r="Q82" s="2845">
        <f>SUM(R82:S82)</f>
        <v>2957.5006999999991</v>
      </c>
      <c r="R82" s="2845">
        <v>2957.3439999999991</v>
      </c>
      <c r="S82" s="2855">
        <v>0.15670000000000006</v>
      </c>
      <c r="T82" s="2844">
        <f>SUM(U82:V82)</f>
        <v>2.897257907865658E-4</v>
      </c>
      <c r="U82" s="2844">
        <f>SUM(U35-U81)</f>
        <v>-4.4291851736488752E-5</v>
      </c>
      <c r="V82" s="2844">
        <f>SUM(V35-V81)</f>
        <v>3.3401764252305455E-4</v>
      </c>
      <c r="W82" s="2845">
        <f>SUM(X82:Y82)</f>
        <v>55.765628999997972</v>
      </c>
      <c r="X82" s="2845">
        <f>SUM(X35-X81)</f>
        <v>56.392058999997971</v>
      </c>
      <c r="Y82" s="2855">
        <f>SUM(Y35-Y81)</f>
        <v>-0.62643000000000004</v>
      </c>
      <c r="Z82" s="2845">
        <f>SUM(AA82:AB82)</f>
        <v>-4555.2091800000007</v>
      </c>
      <c r="AA82" s="2845">
        <v>-4554.4340000000011</v>
      </c>
      <c r="AB82" s="2855">
        <v>-0.7751800000000002</v>
      </c>
      <c r="AC82" s="2798">
        <f>SUM(B82+K82+T82)</f>
        <v>8.6917737235969739E-4</v>
      </c>
      <c r="AD82" s="2798">
        <f t="shared" si="935"/>
        <v>-1.3287555520946626E-4</v>
      </c>
      <c r="AE82" s="2798">
        <f t="shared" si="935"/>
        <v>1.0020529275691636E-3</v>
      </c>
      <c r="AF82" s="2851">
        <f t="shared" si="935"/>
        <v>677.28114299999856</v>
      </c>
      <c r="AG82" s="2851">
        <f t="shared" si="936"/>
        <v>677.90757299999859</v>
      </c>
      <c r="AH82" s="2851">
        <f t="shared" si="936"/>
        <v>-0.62643000000000004</v>
      </c>
      <c r="AI82" s="2851">
        <f t="shared" si="936"/>
        <v>-1755.1203300000034</v>
      </c>
      <c r="AJ82" s="2851">
        <f t="shared" si="936"/>
        <v>-1754.4200800000035</v>
      </c>
      <c r="AK82" s="2851">
        <f t="shared" si="936"/>
        <v>-0.70025000000000004</v>
      </c>
      <c r="AL82" s="2824">
        <f t="shared" si="694"/>
        <v>677.28027382262621</v>
      </c>
      <c r="AM82" s="2824">
        <f t="shared" si="694"/>
        <v>677.9077058755538</v>
      </c>
      <c r="AN82" s="2824">
        <f t="shared" si="694"/>
        <v>-0.62743205292756921</v>
      </c>
      <c r="AO82" s="2844">
        <f>SUM(AP82:AQ82)</f>
        <v>2.897257907865658E-4</v>
      </c>
      <c r="AP82" s="2844">
        <f>SUM(AP35-AP81)</f>
        <v>-4.4291851736488752E-5</v>
      </c>
      <c r="AQ82" s="2844">
        <f>SUM(AQ35-AQ81)</f>
        <v>3.3401764252305455E-4</v>
      </c>
      <c r="AR82" s="2844">
        <f>SUM(AS82:AT82)</f>
        <v>-715.49362599999847</v>
      </c>
      <c r="AS82" s="2844">
        <f>SUM(AS35-AS81)</f>
        <v>-711.51310599999852</v>
      </c>
      <c r="AT82" s="2844">
        <f>SUM(AT35-AT81)</f>
        <v>-3.9805199999999998</v>
      </c>
      <c r="AU82" s="2772">
        <f>SUM(AV82:AW82)</f>
        <v>-16.770900000002051</v>
      </c>
      <c r="AV82" s="2772">
        <v>-24.144000000002052</v>
      </c>
      <c r="AW82" s="2772">
        <v>7.3731</v>
      </c>
      <c r="AX82" s="2844">
        <f>SUM(AY82:AZ82)</f>
        <v>2.897257907865658E-4</v>
      </c>
      <c r="AY82" s="2844">
        <f>SUM(AY35-AY81)</f>
        <v>-4.4291851736488752E-5</v>
      </c>
      <c r="AZ82" s="2844">
        <f>SUM(AZ35-AZ81)</f>
        <v>3.3401764252305455E-4</v>
      </c>
      <c r="BA82" s="2845">
        <f>SUM(BB82:BC82)</f>
        <v>-2405.1671670000001</v>
      </c>
      <c r="BB82" s="2845">
        <f>SUM(BB35-BB81)</f>
        <v>-2400.0055769999999</v>
      </c>
      <c r="BC82" s="2855">
        <f>SUM(BC35-BC81)</f>
        <v>-5.1615899999999995</v>
      </c>
      <c r="BD82" s="2845">
        <f>SUM(BE82:BF82)</f>
        <v>-3152.3960200000001</v>
      </c>
      <c r="BE82" s="2845">
        <v>-3151.39012</v>
      </c>
      <c r="BF82" s="2855">
        <v>-1.0059</v>
      </c>
      <c r="BG82" s="2844">
        <f>SUM(BH82:BI82)</f>
        <v>2.897257907865658E-4</v>
      </c>
      <c r="BH82" s="2844">
        <f>SUM(BH35-BH81)</f>
        <v>-4.4291851736488752E-5</v>
      </c>
      <c r="BI82" s="2844">
        <f>SUM(BI35-BI81)</f>
        <v>3.3401764252305455E-4</v>
      </c>
      <c r="BJ82" s="2845">
        <f>SUM(BK82:BL82)</f>
        <v>-4358.0593600000011</v>
      </c>
      <c r="BK82" s="2845">
        <f>SUM(BK35-BK81)</f>
        <v>-4354.6172600000009</v>
      </c>
      <c r="BL82" s="2855">
        <f>SUM(BL35-BL81)</f>
        <v>-3.4420999999999999</v>
      </c>
      <c r="BM82" s="2845">
        <f>SUM(BN82:BO82)</f>
        <v>-4461.3472199999997</v>
      </c>
      <c r="BN82" s="2845">
        <v>-4458.9643799999994</v>
      </c>
      <c r="BO82" s="2855">
        <v>-2.3828399999999998</v>
      </c>
      <c r="BP82" s="2798">
        <f t="shared" si="946"/>
        <v>8.6917737235969739E-4</v>
      </c>
      <c r="BQ82" s="2798">
        <f t="shared" si="946"/>
        <v>-1.3287555520946626E-4</v>
      </c>
      <c r="BR82" s="2798">
        <f t="shared" si="946"/>
        <v>1.0020529275691636E-3</v>
      </c>
      <c r="BS82" s="2851">
        <f t="shared" si="946"/>
        <v>-7478.7201530000002</v>
      </c>
      <c r="BT82" s="2851">
        <f t="shared" si="946"/>
        <v>-7466.1359429999993</v>
      </c>
      <c r="BU82" s="2851">
        <f t="shared" si="946"/>
        <v>-12.584209999999999</v>
      </c>
      <c r="BV82" s="2851">
        <f t="shared" si="946"/>
        <v>-7630.514140000002</v>
      </c>
      <c r="BW82" s="2851">
        <f t="shared" si="946"/>
        <v>-7634.4985000000015</v>
      </c>
      <c r="BX82" s="2851">
        <f t="shared" si="946"/>
        <v>3.9843600000000006</v>
      </c>
      <c r="BY82" s="2849">
        <f t="shared" si="947"/>
        <v>-7478.721022177373</v>
      </c>
      <c r="BZ82" s="2849">
        <f t="shared" si="947"/>
        <v>-7466.1358101244441</v>
      </c>
      <c r="CA82" s="2849">
        <f t="shared" si="947"/>
        <v>-12.585212052927568</v>
      </c>
      <c r="CB82" s="2823">
        <f t="shared" si="948"/>
        <v>1.7383547447193948E-3</v>
      </c>
      <c r="CC82" s="2823">
        <f t="shared" si="948"/>
        <v>-2.6575111041893251E-4</v>
      </c>
      <c r="CD82" s="2823">
        <f t="shared" si="948"/>
        <v>2.0041058551383273E-3</v>
      </c>
      <c r="CE82" s="2823">
        <f t="shared" si="948"/>
        <v>-6801.4390100000019</v>
      </c>
      <c r="CF82" s="2823">
        <f t="shared" si="948"/>
        <v>-6788.2283700000007</v>
      </c>
      <c r="CG82" s="2823">
        <f t="shared" si="948"/>
        <v>-13.210639999999998</v>
      </c>
      <c r="CH82" s="2823">
        <f t="shared" si="948"/>
        <v>-9385.6344700000045</v>
      </c>
      <c r="CI82" s="2823">
        <f t="shared" si="948"/>
        <v>-9388.918580000005</v>
      </c>
      <c r="CJ82" s="2823">
        <f t="shared" si="948"/>
        <v>3.2841100000000005</v>
      </c>
      <c r="CK82" s="2824">
        <f t="shared" si="949"/>
        <v>-6801.4407483547466</v>
      </c>
      <c r="CL82" s="2824">
        <f t="shared" si="949"/>
        <v>-6788.2281042488903</v>
      </c>
      <c r="CM82" s="2824">
        <f t="shared" si="949"/>
        <v>-13.212644105855137</v>
      </c>
      <c r="CN82" s="2844">
        <f>SUM(CO82:CP82)</f>
        <v>2.897257907865658E-4</v>
      </c>
      <c r="CO82" s="2844">
        <f>SUM(CO35-CO81)</f>
        <v>-4.4291851736488752E-5</v>
      </c>
      <c r="CP82" s="2844">
        <f>SUM(CP35-CP81)</f>
        <v>3.3401764252305455E-4</v>
      </c>
      <c r="CQ82" s="2845">
        <f>SUM(CR82:CS82)</f>
        <v>520.32142499999918</v>
      </c>
      <c r="CR82" s="2845">
        <f>SUM(CR35-CR81)</f>
        <v>522.98606499999914</v>
      </c>
      <c r="CS82" s="2855">
        <f>SUM(CS35-CS81)</f>
        <v>-2.6646399999999999</v>
      </c>
      <c r="CT82" s="2845">
        <f>SUM(CU82:CV82)</f>
        <v>-3175.293029999998</v>
      </c>
      <c r="CU82" s="2845">
        <v>-3173.0439999999981</v>
      </c>
      <c r="CV82" s="2855">
        <v>-2.2490300000000003</v>
      </c>
      <c r="CW82" s="2844">
        <f>SUM(CX82:CY82)</f>
        <v>2.897257907865658E-4</v>
      </c>
      <c r="CX82" s="2844">
        <f>SUM(CX35-CX81)</f>
        <v>-4.4291851736488752E-5</v>
      </c>
      <c r="CY82" s="2844">
        <f>SUM(CY35-CY81)</f>
        <v>3.3401764252305455E-4</v>
      </c>
      <c r="CZ82" s="2845">
        <f>SUM(DA82:DB82)</f>
        <v>0</v>
      </c>
      <c r="DA82" s="2845">
        <f>SUM(DA35-DA81)</f>
        <v>0</v>
      </c>
      <c r="DB82" s="2855">
        <f>SUM(DB35-DB81)</f>
        <v>0</v>
      </c>
      <c r="DC82" s="2845">
        <f>SUM(DD82:DE82)</f>
        <v>-3307.9739700000032</v>
      </c>
      <c r="DD82" s="2845">
        <v>-3307.1140000000032</v>
      </c>
      <c r="DE82" s="2855">
        <v>-0.85997000000000012</v>
      </c>
      <c r="DF82" s="2844">
        <f>SUM(DG82:DH82)</f>
        <v>2.897257907865658E-4</v>
      </c>
      <c r="DG82" s="2844">
        <f>SUM(DG35-DG81)</f>
        <v>-4.4291851736488752E-5</v>
      </c>
      <c r="DH82" s="2844">
        <f>SUM(DH35-DH81)</f>
        <v>3.3401764252305455E-4</v>
      </c>
      <c r="DI82" s="2845">
        <f>SUM(DJ82:DK82)</f>
        <v>0</v>
      </c>
      <c r="DJ82" s="2845">
        <f>SUM(DJ35-DJ81)</f>
        <v>0</v>
      </c>
      <c r="DK82" s="2855">
        <f>SUM(DK35-DK81)</f>
        <v>0</v>
      </c>
      <c r="DL82" s="2845">
        <f>SUM(DM82:DN82)</f>
        <v>-812.05383499999812</v>
      </c>
      <c r="DM82" s="2845">
        <v>-810.49222499999814</v>
      </c>
      <c r="DN82" s="2855">
        <v>-1.5616099999999999</v>
      </c>
      <c r="DO82" s="2798">
        <f t="shared" si="959"/>
        <v>8.6917737235969739E-4</v>
      </c>
      <c r="DP82" s="2798">
        <f t="shared" si="959"/>
        <v>-1.3287555520946626E-4</v>
      </c>
      <c r="DQ82" s="2798">
        <f t="shared" si="959"/>
        <v>1.0020529275691636E-3</v>
      </c>
      <c r="DR82" s="2851">
        <f t="shared" si="959"/>
        <v>520.32142499999918</v>
      </c>
      <c r="DS82" s="2851">
        <f t="shared" si="959"/>
        <v>522.98606499999914</v>
      </c>
      <c r="DT82" s="2851">
        <f t="shared" si="959"/>
        <v>-2.6646399999999999</v>
      </c>
      <c r="DU82" s="2851">
        <f t="shared" si="959"/>
        <v>-7295.3208349999995</v>
      </c>
      <c r="DV82" s="2851">
        <f t="shared" si="959"/>
        <v>-7290.6502249999994</v>
      </c>
      <c r="DW82" s="2851">
        <f t="shared" si="959"/>
        <v>-4.6706099999999999</v>
      </c>
      <c r="DX82" s="2849">
        <f t="shared" si="960"/>
        <v>520.32055582262683</v>
      </c>
      <c r="DY82" s="2849">
        <f t="shared" si="960"/>
        <v>522.98619787555435</v>
      </c>
      <c r="DZ82" s="2849">
        <f t="shared" si="960"/>
        <v>-2.6656420529275691</v>
      </c>
      <c r="EA82" s="2853">
        <f t="shared" si="961"/>
        <v>2.6075321170790922E-3</v>
      </c>
      <c r="EB82" s="2853">
        <f t="shared" si="961"/>
        <v>-3.9862666562839877E-4</v>
      </c>
      <c r="EC82" s="2853">
        <f t="shared" si="961"/>
        <v>3.0061587827074909E-3</v>
      </c>
      <c r="ED82" s="2851">
        <f t="shared" si="961"/>
        <v>-6281.1175850000027</v>
      </c>
      <c r="EE82" s="2851">
        <f t="shared" si="961"/>
        <v>-6265.2423050000016</v>
      </c>
      <c r="EF82" s="2851">
        <f t="shared" si="961"/>
        <v>-15.875279999999998</v>
      </c>
      <c r="EG82" s="2854">
        <f t="shared" si="961"/>
        <v>-16680.955305000003</v>
      </c>
      <c r="EH82" s="2854">
        <f t="shared" si="961"/>
        <v>-16679.568805000003</v>
      </c>
      <c r="EI82" s="2854">
        <f t="shared" si="961"/>
        <v>-1.3864999999999994</v>
      </c>
      <c r="EJ82" s="2849">
        <f t="shared" si="962"/>
        <v>-6281.1201925321202</v>
      </c>
      <c r="EK82" s="2849">
        <f t="shared" si="962"/>
        <v>-6265.241906373336</v>
      </c>
      <c r="EL82" s="2849">
        <f t="shared" si="962"/>
        <v>-15.878286158782705</v>
      </c>
      <c r="EM82" s="2844">
        <f>SUM(EN82:EO82)</f>
        <v>2.897257907865658E-4</v>
      </c>
      <c r="EN82" s="2844">
        <f>SUM(EN35-EN81)</f>
        <v>-4.4291851736488752E-5</v>
      </c>
      <c r="EO82" s="2844">
        <f>SUM(EO35-EO81)</f>
        <v>3.3401764252305455E-4</v>
      </c>
      <c r="EP82" s="2845">
        <f>SUM(EQ82:ER82)</f>
        <v>0</v>
      </c>
      <c r="EQ82" s="2845">
        <f>SUM(EQ35-EQ81)</f>
        <v>0</v>
      </c>
      <c r="ER82" s="2844">
        <f>SUM(ER35-ER81)</f>
        <v>0</v>
      </c>
      <c r="ES82" s="2845">
        <f>SUM(ET82:EU82)</f>
        <v>356.71703999999954</v>
      </c>
      <c r="ET82" s="2845">
        <v>356.71703999999954</v>
      </c>
      <c r="EU82" s="2855">
        <v>0</v>
      </c>
      <c r="EV82" s="2844">
        <f>SUM(EW82:EX82)</f>
        <v>2.897257907865658E-4</v>
      </c>
      <c r="EW82" s="2844">
        <f>SUM(EW35-EW81)</f>
        <v>-4.4291851736488752E-5</v>
      </c>
      <c r="EX82" s="2844">
        <f>SUM(EX35-EX81)</f>
        <v>3.3401764252305455E-4</v>
      </c>
      <c r="EY82" s="2845">
        <f>SUM(EZ82:FA82)</f>
        <v>0</v>
      </c>
      <c r="EZ82" s="2845">
        <f>SUM(EZ35-EZ81)</f>
        <v>0</v>
      </c>
      <c r="FA82" s="2855">
        <f>SUM(FA35-FA81)</f>
        <v>0</v>
      </c>
      <c r="FB82" s="2845">
        <f>SUM(FC82:FD82)</f>
        <v>239.3971109999984</v>
      </c>
      <c r="FC82" s="2845">
        <v>239.3971109999984</v>
      </c>
      <c r="FD82" s="2855">
        <v>0</v>
      </c>
      <c r="FE82" s="2844">
        <f>SUM(FF82:FG82)</f>
        <v>2.897257907865658E-4</v>
      </c>
      <c r="FF82" s="2844">
        <f>SUM(FF35-FF81)</f>
        <v>-4.4291851736488752E-5</v>
      </c>
      <c r="FG82" s="2844">
        <f>SUM(FG35-FG81)</f>
        <v>3.3401764252305455E-4</v>
      </c>
      <c r="FH82" s="2845">
        <f>SUM(FI82:FJ82)</f>
        <v>0</v>
      </c>
      <c r="FI82" s="2845">
        <f>SUM(FI35-FI81)</f>
        <v>0</v>
      </c>
      <c r="FJ82" s="2855">
        <f>SUM(FJ35-FJ81)</f>
        <v>0</v>
      </c>
      <c r="FK82" s="2845">
        <f>SUM(FL82:FM82)</f>
        <v>332.21390300000348</v>
      </c>
      <c r="FL82" s="4883">
        <v>332.21390300000348</v>
      </c>
      <c r="FM82" s="2855">
        <v>0</v>
      </c>
      <c r="FN82" s="2798">
        <f t="shared" si="972"/>
        <v>8.6917737235969739E-4</v>
      </c>
      <c r="FO82" s="2798">
        <f t="shared" si="972"/>
        <v>-1.3287555520946626E-4</v>
      </c>
      <c r="FP82" s="2798">
        <f t="shared" si="972"/>
        <v>1.0020529275691636E-3</v>
      </c>
      <c r="FQ82" s="2823">
        <f t="shared" si="972"/>
        <v>0</v>
      </c>
      <c r="FR82" s="2823">
        <f t="shared" si="972"/>
        <v>0</v>
      </c>
      <c r="FS82" s="2823">
        <f t="shared" si="972"/>
        <v>0</v>
      </c>
      <c r="FT82" s="2823">
        <f t="shared" si="972"/>
        <v>928.32805400000143</v>
      </c>
      <c r="FU82" s="2823">
        <f t="shared" si="972"/>
        <v>928.32805400000143</v>
      </c>
      <c r="FV82" s="2823">
        <f t="shared" si="972"/>
        <v>0</v>
      </c>
      <c r="FW82" s="2824">
        <f t="shared" si="973"/>
        <v>-8.6917737235969739E-4</v>
      </c>
      <c r="FX82" s="2824">
        <f t="shared" si="973"/>
        <v>1.3287555520946626E-4</v>
      </c>
      <c r="FY82" s="2824">
        <f t="shared" si="973"/>
        <v>-1.0020529275691636E-3</v>
      </c>
      <c r="FZ82" s="2798">
        <f t="shared" si="974"/>
        <v>3.4767094894387895E-3</v>
      </c>
      <c r="GA82" s="2798">
        <f t="shared" si="974"/>
        <v>-5.3150222083786502E-4</v>
      </c>
      <c r="GB82" s="2798">
        <f t="shared" si="974"/>
        <v>4.0082117102766546E-3</v>
      </c>
      <c r="GC82" s="2823">
        <f t="shared" si="974"/>
        <v>-6281.1175850000027</v>
      </c>
      <c r="GD82" s="2823">
        <f t="shared" si="974"/>
        <v>-6265.2423050000016</v>
      </c>
      <c r="GE82" s="2823">
        <f t="shared" si="974"/>
        <v>-15.875279999999998</v>
      </c>
      <c r="GF82" s="2823">
        <f t="shared" si="974"/>
        <v>-15752.627251000002</v>
      </c>
      <c r="GG82" s="2823">
        <f t="shared" si="974"/>
        <v>-15751.240751000001</v>
      </c>
      <c r="GH82" s="2823">
        <f t="shared" si="974"/>
        <v>-1.3864999999999994</v>
      </c>
      <c r="GI82" s="2824">
        <f t="shared" si="561"/>
        <v>-6281.1210617094921</v>
      </c>
      <c r="GJ82" s="2824">
        <f t="shared" si="561"/>
        <v>-6265.2417734977807</v>
      </c>
      <c r="GK82" s="2824">
        <f t="shared" si="561"/>
        <v>-15.879288211710275</v>
      </c>
      <c r="GL82" s="2617"/>
      <c r="GM82" s="523"/>
    </row>
    <row r="83" spans="1:195" ht="19.5" x14ac:dyDescent="0.3">
      <c r="A83" s="2796" t="s">
        <v>527</v>
      </c>
      <c r="B83" s="2844">
        <f>SUM(C83:D83)</f>
        <v>15605.919923996196</v>
      </c>
      <c r="C83" s="2844">
        <f t="shared" ref="C83:D83" si="1001">SUM(C81:C82)</f>
        <v>15602.990592974411</v>
      </c>
      <c r="D83" s="2844">
        <f t="shared" si="1001"/>
        <v>2.929331021786147</v>
      </c>
      <c r="E83" s="2845">
        <f>SUM(F83:G83)</f>
        <v>15887.798903000001</v>
      </c>
      <c r="F83" s="2845">
        <f t="shared" ref="F83:G83" si="1002">SUM(F81:F82)</f>
        <v>15887.798903000001</v>
      </c>
      <c r="G83" s="2845">
        <f t="shared" si="1002"/>
        <v>0</v>
      </c>
      <c r="H83" s="4888">
        <f>SUM(I83:J83)</f>
        <v>12969.788999999999</v>
      </c>
      <c r="I83" s="4888">
        <v>12968.052</v>
      </c>
      <c r="J83" s="4888">
        <v>1.7370000000000001</v>
      </c>
      <c r="K83" s="2844">
        <f>SUM(L83:M83)</f>
        <v>15605.919923996196</v>
      </c>
      <c r="L83" s="2844">
        <f t="shared" ref="L83:M83" si="1003">SUM(L81:L82)</f>
        <v>15602.990592974411</v>
      </c>
      <c r="M83" s="2844">
        <f t="shared" si="1003"/>
        <v>2.929331021786147</v>
      </c>
      <c r="N83" s="2845">
        <f>SUM(O83:P83)</f>
        <v>16013.415891000001</v>
      </c>
      <c r="O83" s="2845">
        <f t="shared" ref="O83:P83" si="1004">SUM(O81:O82)</f>
        <v>16013.415891000001</v>
      </c>
      <c r="P83" s="2845">
        <f t="shared" si="1004"/>
        <v>0</v>
      </c>
      <c r="Q83" s="2845">
        <f>SUM(R83:S83)</f>
        <v>12792.166999999999</v>
      </c>
      <c r="R83" s="2845">
        <v>12790.638999999999</v>
      </c>
      <c r="S83" s="2845">
        <v>1.528</v>
      </c>
      <c r="T83" s="2844">
        <f>SUM(U83:V83)</f>
        <v>15605.919923996196</v>
      </c>
      <c r="U83" s="2844">
        <f t="shared" ref="U83:V83" si="1005">SUM(U81:U82)</f>
        <v>15602.990592974411</v>
      </c>
      <c r="V83" s="2844">
        <f t="shared" si="1005"/>
        <v>2.929331021786147</v>
      </c>
      <c r="W83" s="2845">
        <f>SUM(X83:Y83)</f>
        <v>15156.728429000001</v>
      </c>
      <c r="X83" s="2845">
        <f t="shared" ref="X83:Y83" si="1006">SUM(X81:X82)</f>
        <v>15156.728429000001</v>
      </c>
      <c r="Y83" s="2845">
        <f t="shared" si="1006"/>
        <v>0</v>
      </c>
      <c r="Z83" s="2845">
        <f>SUM(AA83:AB83)</f>
        <v>12239.486000000001</v>
      </c>
      <c r="AA83" s="2845">
        <v>12237.393</v>
      </c>
      <c r="AB83" s="2845">
        <v>2.093</v>
      </c>
      <c r="AC83" s="2798">
        <f>SUM(B83+K83+T83)</f>
        <v>46817.759771988589</v>
      </c>
      <c r="AD83" s="2798">
        <f t="shared" si="935"/>
        <v>46808.971778923231</v>
      </c>
      <c r="AE83" s="2798">
        <f t="shared" si="935"/>
        <v>8.7879930653584406</v>
      </c>
      <c r="AF83" s="2851">
        <f t="shared" si="935"/>
        <v>47057.943223000002</v>
      </c>
      <c r="AG83" s="2851">
        <f t="shared" si="936"/>
        <v>47057.943223000002</v>
      </c>
      <c r="AH83" s="2851">
        <f t="shared" si="936"/>
        <v>0</v>
      </c>
      <c r="AI83" s="2851">
        <f t="shared" si="936"/>
        <v>38001.441999999995</v>
      </c>
      <c r="AJ83" s="2851">
        <f t="shared" si="936"/>
        <v>37996.084000000003</v>
      </c>
      <c r="AK83" s="2851">
        <f t="shared" si="936"/>
        <v>5.3580000000000005</v>
      </c>
      <c r="AL83" s="2824">
        <f t="shared" si="694"/>
        <v>240.18345101141313</v>
      </c>
      <c r="AM83" s="2824">
        <f t="shared" si="694"/>
        <v>248.97144407677115</v>
      </c>
      <c r="AN83" s="2824">
        <f t="shared" si="694"/>
        <v>-8.7879930653584406</v>
      </c>
      <c r="AO83" s="2844">
        <f>SUM(AP83:AQ83)</f>
        <v>15605.919923996196</v>
      </c>
      <c r="AP83" s="2844">
        <f t="shared" ref="AP83:AQ83" si="1007">SUM(AP81:AP82)</f>
        <v>15602.990592974411</v>
      </c>
      <c r="AQ83" s="2844">
        <f t="shared" si="1007"/>
        <v>2.929331021786147</v>
      </c>
      <c r="AR83" s="2844">
        <f>SUM(AS83:AT83)</f>
        <v>14971.338924000001</v>
      </c>
      <c r="AS83" s="2844">
        <f t="shared" ref="AS83:AT83" si="1008">SUM(AS81:AS82)</f>
        <v>14971.338924000001</v>
      </c>
      <c r="AT83" s="2844">
        <f t="shared" si="1008"/>
        <v>0</v>
      </c>
      <c r="AU83" s="2772">
        <f>SUM(AV83:AW83)</f>
        <v>13458.028</v>
      </c>
      <c r="AV83" s="2772">
        <v>13447.563</v>
      </c>
      <c r="AW83" s="2772">
        <v>10.465</v>
      </c>
      <c r="AX83" s="2844">
        <f>SUM(AY83:AZ83)</f>
        <v>15605.919923996196</v>
      </c>
      <c r="AY83" s="2844">
        <f t="shared" ref="AY83:AZ83" si="1009">SUM(AY81:AY82)</f>
        <v>15602.990592974411</v>
      </c>
      <c r="AZ83" s="2844">
        <f t="shared" si="1009"/>
        <v>2.929331021786147</v>
      </c>
      <c r="BA83" s="2845">
        <f>SUM(BB83:BC83)</f>
        <v>15227.927423000001</v>
      </c>
      <c r="BB83" s="2845">
        <f t="shared" ref="BB83:BC83" si="1010">SUM(BB81:BB82)</f>
        <v>15227.927423000001</v>
      </c>
      <c r="BC83" s="2845">
        <f t="shared" si="1010"/>
        <v>0</v>
      </c>
      <c r="BD83" s="2845">
        <f>SUM(BE83:BF83)</f>
        <v>12499.223</v>
      </c>
      <c r="BE83" s="2845">
        <v>12498.491</v>
      </c>
      <c r="BF83" s="2845">
        <v>0.73199999999999998</v>
      </c>
      <c r="BG83" s="2844">
        <f>SUM(BH83:BI83)</f>
        <v>15605.919923996196</v>
      </c>
      <c r="BH83" s="2844">
        <f t="shared" ref="BH83:BI83" si="1011">SUM(BH81:BH82)</f>
        <v>15602.990592974411</v>
      </c>
      <c r="BI83" s="2844">
        <f t="shared" si="1011"/>
        <v>2.929331021786147</v>
      </c>
      <c r="BJ83" s="2845">
        <f>SUM(BK83:BL83)</f>
        <v>14845.30696</v>
      </c>
      <c r="BK83" s="2845">
        <f t="shared" ref="BK83:BL83" si="1012">SUM(BK81:BK82)</f>
        <v>14845.30696</v>
      </c>
      <c r="BL83" s="2845">
        <f t="shared" si="1012"/>
        <v>0</v>
      </c>
      <c r="BM83" s="2845">
        <f>SUM(BN83:BO83)</f>
        <v>11679.717999999999</v>
      </c>
      <c r="BN83" s="2845">
        <v>11679.717999999999</v>
      </c>
      <c r="BO83" s="2845">
        <v>0</v>
      </c>
      <c r="BP83" s="2798">
        <f t="shared" si="946"/>
        <v>46817.759771988589</v>
      </c>
      <c r="BQ83" s="2798">
        <f t="shared" si="946"/>
        <v>46808.971778923231</v>
      </c>
      <c r="BR83" s="2798">
        <f t="shared" si="946"/>
        <v>8.7879930653584406</v>
      </c>
      <c r="BS83" s="2851">
        <f t="shared" si="946"/>
        <v>45044.573307000006</v>
      </c>
      <c r="BT83" s="2851">
        <f t="shared" si="946"/>
        <v>45044.573307000006</v>
      </c>
      <c r="BU83" s="2851">
        <f t="shared" si="946"/>
        <v>0</v>
      </c>
      <c r="BV83" s="2851">
        <f t="shared" si="946"/>
        <v>37636.968999999997</v>
      </c>
      <c r="BW83" s="2851">
        <f t="shared" si="946"/>
        <v>37625.771999999997</v>
      </c>
      <c r="BX83" s="2851">
        <f t="shared" si="946"/>
        <v>11.196999999999999</v>
      </c>
      <c r="BY83" s="2849">
        <f t="shared" si="947"/>
        <v>-1773.1864649885829</v>
      </c>
      <c r="BZ83" s="2849">
        <f t="shared" si="947"/>
        <v>-1764.3984719232249</v>
      </c>
      <c r="CA83" s="2849">
        <f t="shared" si="947"/>
        <v>-8.7879930653584406</v>
      </c>
      <c r="CB83" s="2823">
        <f t="shared" si="948"/>
        <v>93635.519543977178</v>
      </c>
      <c r="CC83" s="2823">
        <f t="shared" si="948"/>
        <v>93617.943557846462</v>
      </c>
      <c r="CD83" s="2823">
        <f t="shared" si="948"/>
        <v>17.575986130716881</v>
      </c>
      <c r="CE83" s="2823">
        <f t="shared" si="948"/>
        <v>92102.516530000008</v>
      </c>
      <c r="CF83" s="2823">
        <f t="shared" si="948"/>
        <v>92102.516530000008</v>
      </c>
      <c r="CG83" s="2823">
        <f t="shared" si="948"/>
        <v>0</v>
      </c>
      <c r="CH83" s="2823">
        <f t="shared" si="948"/>
        <v>75638.410999999993</v>
      </c>
      <c r="CI83" s="2823">
        <f t="shared" si="948"/>
        <v>75621.856</v>
      </c>
      <c r="CJ83" s="2823">
        <f t="shared" si="948"/>
        <v>16.555</v>
      </c>
      <c r="CK83" s="2824">
        <f t="shared" si="949"/>
        <v>-1533.0030139771698</v>
      </c>
      <c r="CL83" s="2824">
        <f t="shared" si="949"/>
        <v>-1515.4270278464537</v>
      </c>
      <c r="CM83" s="2824">
        <f t="shared" si="949"/>
        <v>-17.575986130716881</v>
      </c>
      <c r="CN83" s="2844">
        <f>SUM(CO83:CP83)</f>
        <v>15605.919923996196</v>
      </c>
      <c r="CO83" s="2844">
        <f t="shared" ref="CO83:CP83" si="1013">SUM(CO81:CO82)</f>
        <v>15602.990592974411</v>
      </c>
      <c r="CP83" s="2844">
        <f t="shared" si="1013"/>
        <v>2.929331021786147</v>
      </c>
      <c r="CQ83" s="2845">
        <f>SUM(CR83:CS83)</f>
        <v>13569.570075</v>
      </c>
      <c r="CR83" s="2845">
        <f t="shared" ref="CR83:CS83" si="1014">SUM(CR81:CR82)</f>
        <v>13569.570075</v>
      </c>
      <c r="CS83" s="2845">
        <f t="shared" si="1014"/>
        <v>0</v>
      </c>
      <c r="CT83" s="2845">
        <f>SUM(CU83:CV83)</f>
        <v>12736.305000000002</v>
      </c>
      <c r="CU83" s="2845">
        <v>12736.305000000002</v>
      </c>
      <c r="CV83" s="2845">
        <v>0</v>
      </c>
      <c r="CW83" s="2844">
        <f>SUM(CX83:CY83)</f>
        <v>15605.919923996196</v>
      </c>
      <c r="CX83" s="2844">
        <f t="shared" ref="CX83:CY83" si="1015">SUM(CX81:CX82)</f>
        <v>15602.990592974411</v>
      </c>
      <c r="CY83" s="2844">
        <f t="shared" si="1015"/>
        <v>2.929331021786147</v>
      </c>
      <c r="CZ83" s="2845">
        <f>SUM(DA83:DB83)</f>
        <v>0</v>
      </c>
      <c r="DA83" s="2845">
        <f t="shared" ref="DA83:DB83" si="1016">SUM(DA81:DA82)</f>
        <v>0</v>
      </c>
      <c r="DB83" s="2845">
        <f t="shared" si="1016"/>
        <v>0</v>
      </c>
      <c r="DC83" s="2845">
        <f>SUM(DD83:DE83)</f>
        <v>13572.933999999999</v>
      </c>
      <c r="DD83" s="2845">
        <v>13572.933999999999</v>
      </c>
      <c r="DE83" s="2845">
        <v>0</v>
      </c>
      <c r="DF83" s="2844">
        <f>SUM(DG83:DH83)</f>
        <v>15605.919923996196</v>
      </c>
      <c r="DG83" s="2844">
        <f t="shared" ref="DG83:DH83" si="1017">SUM(DG81:DG82)</f>
        <v>15602.990592974411</v>
      </c>
      <c r="DH83" s="2844">
        <f t="shared" si="1017"/>
        <v>2.929331021786147</v>
      </c>
      <c r="DI83" s="2845">
        <f>SUM(DJ83:DK83)</f>
        <v>0</v>
      </c>
      <c r="DJ83" s="2845">
        <f t="shared" ref="DJ83:DK83" si="1018">SUM(DJ81:DJ82)</f>
        <v>0</v>
      </c>
      <c r="DK83" s="2845">
        <f t="shared" si="1018"/>
        <v>0</v>
      </c>
      <c r="DL83" s="2845">
        <f>SUM(DM83:DN83)</f>
        <v>14317.414275000001</v>
      </c>
      <c r="DM83" s="2845">
        <v>14317.414275000001</v>
      </c>
      <c r="DN83" s="2845">
        <v>0</v>
      </c>
      <c r="DO83" s="2798">
        <f t="shared" si="959"/>
        <v>46817.759771988589</v>
      </c>
      <c r="DP83" s="2798">
        <f t="shared" si="959"/>
        <v>46808.971778923231</v>
      </c>
      <c r="DQ83" s="2798">
        <f t="shared" si="959"/>
        <v>8.7879930653584406</v>
      </c>
      <c r="DR83" s="2851">
        <f t="shared" si="959"/>
        <v>13569.570075</v>
      </c>
      <c r="DS83" s="2851">
        <f t="shared" si="959"/>
        <v>13569.570075</v>
      </c>
      <c r="DT83" s="2851">
        <f t="shared" si="959"/>
        <v>0</v>
      </c>
      <c r="DU83" s="2851">
        <f t="shared" si="959"/>
        <v>40626.653275000004</v>
      </c>
      <c r="DV83" s="2851">
        <f t="shared" si="959"/>
        <v>40626.653275000004</v>
      </c>
      <c r="DW83" s="2851">
        <f t="shared" si="959"/>
        <v>0</v>
      </c>
      <c r="DX83" s="2849">
        <f t="shared" si="960"/>
        <v>-33248.189696988586</v>
      </c>
      <c r="DY83" s="2849">
        <f t="shared" si="960"/>
        <v>-33239.401703923228</v>
      </c>
      <c r="DZ83" s="2849">
        <f t="shared" si="960"/>
        <v>-8.7879930653584406</v>
      </c>
      <c r="EA83" s="2853">
        <f t="shared" si="961"/>
        <v>140453.27931596577</v>
      </c>
      <c r="EB83" s="2853">
        <f t="shared" si="961"/>
        <v>140426.91533676969</v>
      </c>
      <c r="EC83" s="2853">
        <f t="shared" si="961"/>
        <v>26.36397919607532</v>
      </c>
      <c r="ED83" s="2851">
        <f t="shared" si="961"/>
        <v>105672.086605</v>
      </c>
      <c r="EE83" s="2851">
        <f t="shared" si="961"/>
        <v>105672.086605</v>
      </c>
      <c r="EF83" s="2851">
        <f t="shared" si="961"/>
        <v>0</v>
      </c>
      <c r="EG83" s="2854">
        <f t="shared" si="961"/>
        <v>116265.064275</v>
      </c>
      <c r="EH83" s="2854">
        <f t="shared" si="961"/>
        <v>116248.509275</v>
      </c>
      <c r="EI83" s="2854">
        <f t="shared" si="961"/>
        <v>16.555</v>
      </c>
      <c r="EJ83" s="2849">
        <f t="shared" si="962"/>
        <v>-34781.19271096577</v>
      </c>
      <c r="EK83" s="2849">
        <f t="shared" si="962"/>
        <v>-34754.828731769681</v>
      </c>
      <c r="EL83" s="2849">
        <f t="shared" si="962"/>
        <v>-26.36397919607532</v>
      </c>
      <c r="EM83" s="2844">
        <f>SUM(EN83:EO83)</f>
        <v>15605.919923996196</v>
      </c>
      <c r="EN83" s="2844">
        <f t="shared" ref="EN83:EO83" si="1019">SUM(EN81:EN82)</f>
        <v>15602.990592974411</v>
      </c>
      <c r="EO83" s="2844">
        <f t="shared" si="1019"/>
        <v>2.929331021786147</v>
      </c>
      <c r="EP83" s="2845">
        <f>SUM(EQ83:ER83)</f>
        <v>0</v>
      </c>
      <c r="EQ83" s="2845">
        <f t="shared" ref="EQ83:ER83" si="1020">SUM(EQ81:EQ82)</f>
        <v>0</v>
      </c>
      <c r="ER83" s="2844">
        <f t="shared" si="1020"/>
        <v>0</v>
      </c>
      <c r="ES83" s="2845">
        <f>SUM(ET83:EU83)</f>
        <v>14229.718999999999</v>
      </c>
      <c r="ET83" s="2845">
        <v>14229.718999999999</v>
      </c>
      <c r="EU83" s="2845">
        <v>0</v>
      </c>
      <c r="EV83" s="2844">
        <f>SUM(EW83:EX83)</f>
        <v>15605.919923996196</v>
      </c>
      <c r="EW83" s="2844">
        <f t="shared" ref="EW83:EX83" si="1021">SUM(EW81:EW82)</f>
        <v>15602.990592974411</v>
      </c>
      <c r="EX83" s="2844">
        <f t="shared" si="1021"/>
        <v>2.929331021786147</v>
      </c>
      <c r="EY83" s="2845">
        <f>SUM(EZ83:FA83)</f>
        <v>0</v>
      </c>
      <c r="EZ83" s="2845">
        <f t="shared" ref="EZ83:FA83" si="1022">SUM(EZ81:EZ82)</f>
        <v>0</v>
      </c>
      <c r="FA83" s="2845">
        <f t="shared" si="1022"/>
        <v>0</v>
      </c>
      <c r="FB83" s="2845">
        <f>SUM(FC83:FD83)</f>
        <v>14596.761470999998</v>
      </c>
      <c r="FC83" s="2845">
        <v>14596.761470999998</v>
      </c>
      <c r="FD83" s="2845">
        <v>0</v>
      </c>
      <c r="FE83" s="2844">
        <f>SUM(FF83:FG83)</f>
        <v>15605.919923996196</v>
      </c>
      <c r="FF83" s="2844">
        <f t="shared" ref="FF83:FG83" si="1023">SUM(FF81:FF82)</f>
        <v>15602.990592974411</v>
      </c>
      <c r="FG83" s="2844">
        <f t="shared" si="1023"/>
        <v>2.929331021786147</v>
      </c>
      <c r="FH83" s="2845">
        <f>SUM(FI83:FJ83)</f>
        <v>0</v>
      </c>
      <c r="FI83" s="2845">
        <f t="shared" ref="FI83:FJ83" si="1024">SUM(FI81:FI82)</f>
        <v>0</v>
      </c>
      <c r="FJ83" s="2845">
        <f t="shared" si="1024"/>
        <v>0</v>
      </c>
      <c r="FK83" s="2845">
        <f>SUM(FL83:FM83)</f>
        <v>15897.989313000002</v>
      </c>
      <c r="FL83" s="2845">
        <v>15897.989313000002</v>
      </c>
      <c r="FM83" s="2845">
        <v>0</v>
      </c>
      <c r="FN83" s="2798">
        <f t="shared" si="972"/>
        <v>46817.759771988589</v>
      </c>
      <c r="FO83" s="2798">
        <f t="shared" si="972"/>
        <v>46808.971778923231</v>
      </c>
      <c r="FP83" s="2798">
        <f t="shared" si="972"/>
        <v>8.7879930653584406</v>
      </c>
      <c r="FQ83" s="2823">
        <f t="shared" si="972"/>
        <v>0</v>
      </c>
      <c r="FR83" s="2823">
        <f t="shared" si="972"/>
        <v>0</v>
      </c>
      <c r="FS83" s="2823">
        <f t="shared" si="972"/>
        <v>0</v>
      </c>
      <c r="FT83" s="2823">
        <f t="shared" si="972"/>
        <v>44724.469784000001</v>
      </c>
      <c r="FU83" s="2823">
        <f t="shared" si="972"/>
        <v>44724.469784000001</v>
      </c>
      <c r="FV83" s="2823">
        <f t="shared" si="972"/>
        <v>0</v>
      </c>
      <c r="FW83" s="2824">
        <f t="shared" si="973"/>
        <v>-46817.759771988589</v>
      </c>
      <c r="FX83" s="2824">
        <f t="shared" si="973"/>
        <v>-46808.971778923231</v>
      </c>
      <c r="FY83" s="2824">
        <f t="shared" si="973"/>
        <v>-8.7879930653584406</v>
      </c>
      <c r="FZ83" s="2798">
        <f t="shared" si="974"/>
        <v>187271.03908795436</v>
      </c>
      <c r="GA83" s="2798">
        <f t="shared" si="974"/>
        <v>187235.88711569292</v>
      </c>
      <c r="GB83" s="2798">
        <f t="shared" si="974"/>
        <v>35.151972261433762</v>
      </c>
      <c r="GC83" s="2823">
        <f t="shared" si="974"/>
        <v>105672.086605</v>
      </c>
      <c r="GD83" s="2823">
        <f t="shared" si="974"/>
        <v>105672.086605</v>
      </c>
      <c r="GE83" s="2823">
        <f t="shared" si="974"/>
        <v>0</v>
      </c>
      <c r="GF83" s="2823">
        <f t="shared" si="974"/>
        <v>160989.534059</v>
      </c>
      <c r="GG83" s="2823">
        <f t="shared" si="974"/>
        <v>160972.979059</v>
      </c>
      <c r="GH83" s="2823">
        <f t="shared" si="974"/>
        <v>16.555</v>
      </c>
      <c r="GI83" s="2824">
        <f t="shared" si="561"/>
        <v>-81598.952482954352</v>
      </c>
      <c r="GJ83" s="2824">
        <f t="shared" si="561"/>
        <v>-81563.800510692919</v>
      </c>
      <c r="GK83" s="2824">
        <f t="shared" si="561"/>
        <v>-35.151972261433762</v>
      </c>
      <c r="GL83" s="2617"/>
      <c r="GM83" s="523"/>
    </row>
    <row r="84" spans="1:195" ht="18.75" x14ac:dyDescent="0.3">
      <c r="A84" s="2850" t="s">
        <v>68</v>
      </c>
      <c r="B84" s="2772">
        <f>SUM(B83/B77)</f>
        <v>52.67163124064848</v>
      </c>
      <c r="C84" s="2772">
        <f t="shared" ref="C84:D84" si="1025">SUM(C83/C77)</f>
        <v>52.681762489552021</v>
      </c>
      <c r="D84" s="2772">
        <f t="shared" si="1025"/>
        <v>26.019224471823662</v>
      </c>
      <c r="E84" s="2772">
        <f>SUM(E83/E77)</f>
        <v>52.663780889407185</v>
      </c>
      <c r="F84" s="2772">
        <f t="shared" ref="F84:G84" si="1026">SUM(F83/F77)</f>
        <v>52.663780889407185</v>
      </c>
      <c r="G84" s="2772" t="e">
        <f t="shared" si="1026"/>
        <v>#DIV/0!</v>
      </c>
      <c r="H84" s="4415">
        <f>SUM(H83/H77)</f>
        <v>42.000612046632121</v>
      </c>
      <c r="I84" s="4415">
        <v>42.006277594042444</v>
      </c>
      <c r="J84" s="4415">
        <v>20.927710843373493</v>
      </c>
      <c r="K84" s="2772">
        <f>SUM(K83/K77)</f>
        <v>52.67163124064848</v>
      </c>
      <c r="L84" s="2772">
        <f t="shared" ref="L84:M84" si="1027">SUM(L83/L77)</f>
        <v>52.681762489552021</v>
      </c>
      <c r="M84" s="2772">
        <f t="shared" si="1027"/>
        <v>26.019224471823662</v>
      </c>
      <c r="N84" s="2772">
        <f>SUM(N83/N77)</f>
        <v>52.679041250690666</v>
      </c>
      <c r="O84" s="2772">
        <f t="shared" ref="O84:P84" si="1028">SUM(O83/O77)</f>
        <v>52.679041250690666</v>
      </c>
      <c r="P84" s="2772" t="e">
        <f t="shared" si="1028"/>
        <v>#DIV/0!</v>
      </c>
      <c r="Q84" s="2772">
        <f>SUM(Q83/Q77)</f>
        <v>42.002124376149197</v>
      </c>
      <c r="R84" s="2772">
        <v>42.007176004230061</v>
      </c>
      <c r="S84" s="2772">
        <v>20.93150684931507</v>
      </c>
      <c r="T84" s="2772">
        <f>SUM(T83/T77)</f>
        <v>52.67163124064848</v>
      </c>
      <c r="U84" s="2772">
        <f t="shared" ref="U84:V84" si="1029">SUM(U83/U77)</f>
        <v>52.681762489552021</v>
      </c>
      <c r="V84" s="2772">
        <f t="shared" si="1029"/>
        <v>26.019224471823662</v>
      </c>
      <c r="W84" s="2772">
        <f>SUM(W83/W77)</f>
        <v>52.677140342065833</v>
      </c>
      <c r="X84" s="2772">
        <f t="shared" ref="X84:Y84" si="1030">SUM(X83/X77)</f>
        <v>52.677140342065833</v>
      </c>
      <c r="Y84" s="2772" t="e">
        <f t="shared" si="1030"/>
        <v>#DIV/0!</v>
      </c>
      <c r="Z84" s="2772">
        <f>SUM(Z83/Z77)</f>
        <v>42.007854384612862</v>
      </c>
      <c r="AA84" s="2772">
        <v>42.015091121821698</v>
      </c>
      <c r="AB84" s="2772">
        <v>20.93</v>
      </c>
      <c r="AC84" s="2847">
        <f>SUM(AC83/AC77)</f>
        <v>52.671631240648473</v>
      </c>
      <c r="AD84" s="2847">
        <f t="shared" ref="AD84:AE84" si="1031">SUM(AD83/AD77)</f>
        <v>52.681762489552007</v>
      </c>
      <c r="AE84" s="2847">
        <f t="shared" si="1031"/>
        <v>26.019224471823659</v>
      </c>
      <c r="AF84" s="2847">
        <f>SUM(AF83/AF77)</f>
        <v>52.673275875329146</v>
      </c>
      <c r="AG84" s="2847">
        <f t="shared" ref="AG84:AH84" si="1032">SUM(AG83/AG77)</f>
        <v>52.673275875329146</v>
      </c>
      <c r="AH84" s="2847" t="e">
        <f t="shared" si="1032"/>
        <v>#DIV/0!</v>
      </c>
      <c r="AI84" s="2847">
        <f>SUM(AI83/AI77)</f>
        <v>42.003453512274305</v>
      </c>
      <c r="AJ84" s="2847">
        <f t="shared" ref="AJ84:AK84" si="1033">SUM(AJ83/AJ77)</f>
        <v>42.009418230702323</v>
      </c>
      <c r="AK84" s="2847">
        <f t="shared" si="1033"/>
        <v>20.9296875</v>
      </c>
      <c r="AL84" s="2824">
        <f t="shared" si="694"/>
        <v>1.6446346806731071E-3</v>
      </c>
      <c r="AM84" s="2824">
        <f t="shared" si="694"/>
        <v>-8.4866142228605668E-3</v>
      </c>
      <c r="AN84" s="2824" t="e">
        <f t="shared" si="694"/>
        <v>#DIV/0!</v>
      </c>
      <c r="AO84" s="2844">
        <f>SUM(AO83/AO77)</f>
        <v>52.67163124064848</v>
      </c>
      <c r="AP84" s="2844">
        <f t="shared" ref="AP84:AQ84" si="1034">SUM(AP83/AP77)</f>
        <v>52.681762489552021</v>
      </c>
      <c r="AQ84" s="2844">
        <f t="shared" si="1034"/>
        <v>26.019224471823662</v>
      </c>
      <c r="AR84" s="2844">
        <f>SUM(AR83/AR77)</f>
        <v>52.693052670675357</v>
      </c>
      <c r="AS84" s="2844">
        <f t="shared" ref="AS84:AT84" si="1035">SUM(AS83/AS77)</f>
        <v>52.693052670675357</v>
      </c>
      <c r="AT84" s="2844" t="e">
        <f t="shared" si="1035"/>
        <v>#DIV/0!</v>
      </c>
      <c r="AU84" s="2772">
        <f>SUM(AU83/AU77)</f>
        <v>41.980484012949105</v>
      </c>
      <c r="AV84" s="2772">
        <v>42.013367358351807</v>
      </c>
      <c r="AW84" s="2772">
        <v>20.93</v>
      </c>
      <c r="AX84" s="2772">
        <f>SUM(AX83/AX77)</f>
        <v>52.67163124064848</v>
      </c>
      <c r="AY84" s="2772">
        <f t="shared" ref="AY84:AZ84" si="1036">SUM(AY83/AY77)</f>
        <v>52.681762489552021</v>
      </c>
      <c r="AZ84" s="2772">
        <f t="shared" si="1036"/>
        <v>26.019224471823662</v>
      </c>
      <c r="BA84" s="2772">
        <f>SUM(BA83/BA77)</f>
        <v>52.646995813026145</v>
      </c>
      <c r="BB84" s="2772">
        <f t="shared" ref="BB84:BC84" si="1037">SUM(BB83/BB77)</f>
        <v>52.646995813026145</v>
      </c>
      <c r="BC84" s="2772" t="e">
        <f t="shared" si="1037"/>
        <v>#DIV/0!</v>
      </c>
      <c r="BD84" s="2772">
        <f>SUM(BD83/BD77)</f>
        <v>42.006993759053074</v>
      </c>
      <c r="BE84" s="2772">
        <v>42.009475120665783</v>
      </c>
      <c r="BF84" s="2772">
        <v>20.914285714285711</v>
      </c>
      <c r="BG84" s="2772">
        <f>SUM(BG83/BG77)</f>
        <v>52.67163124064848</v>
      </c>
      <c r="BH84" s="2772">
        <f t="shared" ref="BH84:BI84" si="1038">SUM(BH83/BH77)</f>
        <v>52.681762489552021</v>
      </c>
      <c r="BI84" s="2772">
        <f t="shared" si="1038"/>
        <v>26.019224471823662</v>
      </c>
      <c r="BJ84" s="2772">
        <f>SUM(BJ83/BJ77)</f>
        <v>52.66390859176218</v>
      </c>
      <c r="BK84" s="2772">
        <f t="shared" ref="BK84:BL84" si="1039">SUM(BK83/BK77)</f>
        <v>52.66390859176218</v>
      </c>
      <c r="BL84" s="2772" t="e">
        <f t="shared" si="1039"/>
        <v>#DIV/0!</v>
      </c>
      <c r="BM84" s="2772">
        <f>SUM(BM83/BM77)</f>
        <v>41.842092441731332</v>
      </c>
      <c r="BN84" s="2772">
        <v>41.842092441731332</v>
      </c>
      <c r="BO84" s="2772" t="e">
        <v>#DIV/0!</v>
      </c>
      <c r="BP84" s="2847">
        <f t="shared" ref="BP84:CJ84" si="1040">SUM(BP83/BP77)</f>
        <v>52.671631240648473</v>
      </c>
      <c r="BQ84" s="2847">
        <f t="shared" si="1040"/>
        <v>52.681762489552007</v>
      </c>
      <c r="BR84" s="2847">
        <f t="shared" si="1040"/>
        <v>26.019224471823659</v>
      </c>
      <c r="BS84" s="2847">
        <f t="shared" si="1040"/>
        <v>52.667870637883482</v>
      </c>
      <c r="BT84" s="2847">
        <f t="shared" si="1040"/>
        <v>52.667870637883482</v>
      </c>
      <c r="BU84" s="2847" t="e">
        <f t="shared" si="1040"/>
        <v>#DIV/0!</v>
      </c>
      <c r="BV84" s="2847">
        <f t="shared" si="1040"/>
        <v>41.946221816645028</v>
      </c>
      <c r="BW84" s="2847">
        <f t="shared" si="1040"/>
        <v>41.958760932193577</v>
      </c>
      <c r="BX84" s="2847">
        <f t="shared" si="1040"/>
        <v>20.928971962616821</v>
      </c>
      <c r="BY84" s="2824">
        <f t="shared" si="947"/>
        <v>-3.7606027649914608E-3</v>
      </c>
      <c r="BZ84" s="2824">
        <f t="shared" si="947"/>
        <v>-1.3891851668525135E-2</v>
      </c>
      <c r="CA84" s="2824" t="e">
        <f t="shared" si="947"/>
        <v>#DIV/0!</v>
      </c>
      <c r="CB84" s="2847">
        <f t="shared" si="1040"/>
        <v>52.671631240648473</v>
      </c>
      <c r="CC84" s="2847">
        <f t="shared" si="1040"/>
        <v>52.681762489552007</v>
      </c>
      <c r="CD84" s="2847">
        <f t="shared" si="1040"/>
        <v>26.019224471823659</v>
      </c>
      <c r="CE84" s="2847">
        <f t="shared" si="1040"/>
        <v>52.67063219750294</v>
      </c>
      <c r="CF84" s="2847">
        <f t="shared" si="1040"/>
        <v>52.67063219750294</v>
      </c>
      <c r="CG84" s="2847" t="e">
        <f t="shared" si="1040"/>
        <v>#DIV/0!</v>
      </c>
      <c r="CH84" s="2847">
        <f t="shared" si="1040"/>
        <v>41.974956045321044</v>
      </c>
      <c r="CI84" s="2847">
        <f t="shared" si="1040"/>
        <v>41.984198332846745</v>
      </c>
      <c r="CJ84" s="2847">
        <f t="shared" si="1040"/>
        <v>20.929203539823007</v>
      </c>
      <c r="CK84" s="2824">
        <f t="shared" si="949"/>
        <v>-9.9904314553356244E-4</v>
      </c>
      <c r="CL84" s="2824">
        <f t="shared" si="949"/>
        <v>-1.1130292049067236E-2</v>
      </c>
      <c r="CM84" s="2824" t="e">
        <f t="shared" si="949"/>
        <v>#DIV/0!</v>
      </c>
      <c r="CN84" s="2772">
        <f>SUM(CN83/CN77)</f>
        <v>52.67163124064848</v>
      </c>
      <c r="CO84" s="2772">
        <f t="shared" ref="CO84:CP84" si="1041">SUM(CO83/CO77)</f>
        <v>52.681762489552021</v>
      </c>
      <c r="CP84" s="2772">
        <f t="shared" si="1041"/>
        <v>26.019224471823662</v>
      </c>
      <c r="CQ84" s="2772">
        <f>SUM(CQ83/CQ77)</f>
        <v>52.663411145852734</v>
      </c>
      <c r="CR84" s="2772">
        <f t="shared" ref="CR84:CS84" si="1042">SUM(CR83/CR77)</f>
        <v>52.663411145852734</v>
      </c>
      <c r="CS84" s="2772" t="e">
        <f t="shared" si="1042"/>
        <v>#DIV/0!</v>
      </c>
      <c r="CT84" s="2772">
        <f>SUM(CT83/CT77)</f>
        <v>48.690275940637214</v>
      </c>
      <c r="CU84" s="2772">
        <v>48.690275940637214</v>
      </c>
      <c r="CV84" s="2772" t="e">
        <v>#DIV/0!</v>
      </c>
      <c r="CW84" s="2772">
        <f>SUM(CW83/CW77)</f>
        <v>52.67163124064848</v>
      </c>
      <c r="CX84" s="2772">
        <f t="shared" ref="CX84:CY84" si="1043">SUM(CX83/CX77)</f>
        <v>52.681762489552021</v>
      </c>
      <c r="CY84" s="2772">
        <f t="shared" si="1043"/>
        <v>26.019224471823662</v>
      </c>
      <c r="CZ84" s="2772" t="e">
        <f>SUM(CZ83/CZ77)</f>
        <v>#DIV/0!</v>
      </c>
      <c r="DA84" s="2772" t="e">
        <f t="shared" ref="DA84:DB84" si="1044">SUM(DA83/DA77)</f>
        <v>#DIV/0!</v>
      </c>
      <c r="DB84" s="2772" t="e">
        <f t="shared" si="1044"/>
        <v>#DIV/0!</v>
      </c>
      <c r="DC84" s="2772">
        <f>SUM(DC83/DC77)</f>
        <v>48.681835952211003</v>
      </c>
      <c r="DD84" s="2772">
        <v>48.681835952211003</v>
      </c>
      <c r="DE84" s="2772" t="e">
        <v>#DIV/0!</v>
      </c>
      <c r="DF84" s="2772">
        <f>SUM(DF83/DF77)</f>
        <v>52.67163124064848</v>
      </c>
      <c r="DG84" s="2772">
        <f t="shared" ref="DG84:DH84" si="1045">SUM(DG83/DG77)</f>
        <v>52.681762489552021</v>
      </c>
      <c r="DH84" s="2772">
        <f t="shared" si="1045"/>
        <v>26.019224471823662</v>
      </c>
      <c r="DI84" s="2772" t="e">
        <f>SUM(DI83/DI77)</f>
        <v>#DIV/0!</v>
      </c>
      <c r="DJ84" s="2772" t="e">
        <f t="shared" ref="DJ84:DK84" si="1046">SUM(DJ83/DJ77)</f>
        <v>#DIV/0!</v>
      </c>
      <c r="DK84" s="2772" t="e">
        <f t="shared" si="1046"/>
        <v>#DIV/0!</v>
      </c>
      <c r="DL84" s="2772">
        <f>SUM(DL83/DL77)</f>
        <v>48.665913007566338</v>
      </c>
      <c r="DM84" s="2772">
        <v>48.665913007566338</v>
      </c>
      <c r="DN84" s="2772" t="e">
        <v>#DIV/0!</v>
      </c>
      <c r="DO84" s="2847">
        <f>SUM(DO83/DO77)</f>
        <v>52.671631240648473</v>
      </c>
      <c r="DP84" s="2847">
        <f t="shared" ref="DP84:DW84" si="1047">SUM(DP83/DP77)</f>
        <v>52.681762489552007</v>
      </c>
      <c r="DQ84" s="2847">
        <f t="shared" si="1047"/>
        <v>26.019224471823659</v>
      </c>
      <c r="DR84" s="2847">
        <f>SUM(DR83/DR77)</f>
        <v>52.663411145852734</v>
      </c>
      <c r="DS84" s="2847">
        <f t="shared" si="1047"/>
        <v>52.663411145852734</v>
      </c>
      <c r="DT84" s="2847" t="e">
        <f t="shared" si="1047"/>
        <v>#DIV/0!</v>
      </c>
      <c r="DU84" s="2847">
        <f>SUM(DU83/DU77)</f>
        <v>48.678868269858683</v>
      </c>
      <c r="DV84" s="2847">
        <f t="shared" si="1047"/>
        <v>48.678868269858683</v>
      </c>
      <c r="DW84" s="2847" t="e">
        <f t="shared" si="1047"/>
        <v>#DIV/0!</v>
      </c>
      <c r="DX84" s="2824">
        <f t="shared" si="960"/>
        <v>-8.2200947957389303E-3</v>
      </c>
      <c r="DY84" s="2824">
        <f t="shared" si="960"/>
        <v>-1.8351343699272604E-2</v>
      </c>
      <c r="DZ84" s="2824" t="e">
        <f t="shared" si="960"/>
        <v>#DIV/0!</v>
      </c>
      <c r="EA84" s="2847">
        <f>SUM(EA83/EA77)</f>
        <v>52.671631240648487</v>
      </c>
      <c r="EB84" s="2847">
        <f t="shared" ref="EB84:EI84" si="1048">SUM(EB83/EB77)</f>
        <v>52.681762489552014</v>
      </c>
      <c r="EC84" s="2847">
        <f t="shared" si="1048"/>
        <v>26.019224471823659</v>
      </c>
      <c r="ED84" s="2847">
        <f>SUM(ED83/ED77)</f>
        <v>52.669704816586581</v>
      </c>
      <c r="EE84" s="2847">
        <f t="shared" si="1048"/>
        <v>52.669704816586581</v>
      </c>
      <c r="EF84" s="2847" t="e">
        <f t="shared" si="1048"/>
        <v>#DIV/0!</v>
      </c>
      <c r="EG84" s="2847">
        <f>SUM(EG83/EG77)</f>
        <v>44.097022213879448</v>
      </c>
      <c r="EH84" s="2847">
        <f t="shared" si="1048"/>
        <v>44.103974889517531</v>
      </c>
      <c r="EI84" s="2847">
        <f t="shared" si="1048"/>
        <v>20.929203539823007</v>
      </c>
      <c r="EJ84" s="2824">
        <f t="shared" si="962"/>
        <v>-1.9264240619065731E-3</v>
      </c>
      <c r="EK84" s="2824">
        <f t="shared" si="962"/>
        <v>-1.2057672965433142E-2</v>
      </c>
      <c r="EL84" s="2824" t="e">
        <f t="shared" si="962"/>
        <v>#DIV/0!</v>
      </c>
      <c r="EM84" s="2772">
        <f>SUM(EM83/EM77)</f>
        <v>52.67163124064848</v>
      </c>
      <c r="EN84" s="2772">
        <f t="shared" ref="EN84:EO84" si="1049">SUM(EN83/EN77)</f>
        <v>52.681762489552021</v>
      </c>
      <c r="EO84" s="2772">
        <f t="shared" si="1049"/>
        <v>26.019224471823662</v>
      </c>
      <c r="EP84" s="2772" t="e">
        <f>SUM(EP83/EP77)</f>
        <v>#DIV/0!</v>
      </c>
      <c r="EQ84" s="2772" t="e">
        <f t="shared" ref="EQ84:ER84" si="1050">SUM(EQ83/EQ77)</f>
        <v>#DIV/0!</v>
      </c>
      <c r="ER84" s="2772" t="e">
        <f t="shared" si="1050"/>
        <v>#DIV/0!</v>
      </c>
      <c r="ES84" s="2772">
        <f>SUM(ES83/ES77)</f>
        <v>48.658593215702361</v>
      </c>
      <c r="ET84" s="2772">
        <v>48.658593215702361</v>
      </c>
      <c r="EU84" s="2772" t="e">
        <v>#DIV/0!</v>
      </c>
      <c r="EV84" s="2772">
        <f>SUM(EV83/EV77)</f>
        <v>52.67163124064848</v>
      </c>
      <c r="EW84" s="2772">
        <f t="shared" ref="EW84:EX84" si="1051">SUM(EW83/EW77)</f>
        <v>52.681762489552021</v>
      </c>
      <c r="EX84" s="2772">
        <f t="shared" si="1051"/>
        <v>26.019224471823662</v>
      </c>
      <c r="EY84" s="2772" t="e">
        <f>SUM(EY83/EY77)</f>
        <v>#DIV/0!</v>
      </c>
      <c r="EZ84" s="2772" t="e">
        <f t="shared" ref="EZ84:FA84" si="1052">SUM(EZ83/EZ77)</f>
        <v>#DIV/0!</v>
      </c>
      <c r="FA84" s="2772" t="e">
        <f t="shared" si="1052"/>
        <v>#DIV/0!</v>
      </c>
      <c r="FB84" s="2772">
        <f>SUM(FB83/FB77)</f>
        <v>48.664775439530331</v>
      </c>
      <c r="FC84" s="2772">
        <v>48.664775439530331</v>
      </c>
      <c r="FD84" s="2772" t="e">
        <v>#DIV/0!</v>
      </c>
      <c r="FE84" s="2772">
        <f>SUM(FE83/FE77)</f>
        <v>52.67163124064848</v>
      </c>
      <c r="FF84" s="2772">
        <f t="shared" ref="FF84:FG84" si="1053">SUM(FF83/FF77)</f>
        <v>52.681762489552021</v>
      </c>
      <c r="FG84" s="2772">
        <f t="shared" si="1053"/>
        <v>26.019224471823662</v>
      </c>
      <c r="FH84" s="2772" t="e">
        <f>SUM(FH83/FH77)</f>
        <v>#DIV/0!</v>
      </c>
      <c r="FI84" s="2772" t="e">
        <f t="shared" ref="FI84:FJ84" si="1054">SUM(FI83/FI77)</f>
        <v>#DIV/0!</v>
      </c>
      <c r="FJ84" s="2772" t="e">
        <f t="shared" si="1054"/>
        <v>#DIV/0!</v>
      </c>
      <c r="FK84" s="2772">
        <f>SUM(FK83/FK77)</f>
        <v>52.673325866602205</v>
      </c>
      <c r="FL84" s="2772">
        <v>52.673325866602205</v>
      </c>
      <c r="FM84" s="2772" t="e">
        <v>#DIV/0!</v>
      </c>
      <c r="FN84" s="2847">
        <f>SUM(FN83/FN77)</f>
        <v>52.671631240648473</v>
      </c>
      <c r="FO84" s="2847">
        <f t="shared" ref="FO84:FV84" si="1055">SUM(FO83/FO77)</f>
        <v>52.681762489552007</v>
      </c>
      <c r="FP84" s="2847">
        <f t="shared" si="1055"/>
        <v>26.019224471823659</v>
      </c>
      <c r="FQ84" s="2847" t="e">
        <f>SUM(FQ83/FQ77)</f>
        <v>#DIV/0!</v>
      </c>
      <c r="FR84" s="2847" t="e">
        <f t="shared" si="1055"/>
        <v>#DIV/0!</v>
      </c>
      <c r="FS84" s="2847" t="e">
        <f t="shared" si="1055"/>
        <v>#DIV/0!</v>
      </c>
      <c r="FT84" s="2847">
        <f>SUM(FT83/FT77)</f>
        <v>50.01577434475945</v>
      </c>
      <c r="FU84" s="2847">
        <f t="shared" si="1055"/>
        <v>50.01577434475945</v>
      </c>
      <c r="FV84" s="2847" t="e">
        <f t="shared" si="1055"/>
        <v>#DIV/0!</v>
      </c>
      <c r="FW84" s="2824" t="e">
        <f t="shared" si="973"/>
        <v>#DIV/0!</v>
      </c>
      <c r="FX84" s="2824" t="e">
        <f t="shared" si="973"/>
        <v>#DIV/0!</v>
      </c>
      <c r="FY84" s="2824" t="e">
        <f t="shared" si="973"/>
        <v>#DIV/0!</v>
      </c>
      <c r="FZ84" s="2847">
        <f>SUM(FZ83/FZ77)</f>
        <v>52.67163124064848</v>
      </c>
      <c r="GA84" s="2847">
        <f t="shared" ref="GA84:GH84" si="1056">SUM(GA83/GA77)</f>
        <v>52.681762489552014</v>
      </c>
      <c r="GB84" s="2847">
        <f t="shared" si="1056"/>
        <v>26.019224471823659</v>
      </c>
      <c r="GC84" s="2847">
        <f>SUM(GC83/GC77)</f>
        <v>52.669704816586581</v>
      </c>
      <c r="GD84" s="2847">
        <f t="shared" si="1056"/>
        <v>52.669704816586581</v>
      </c>
      <c r="GE84" s="2847" t="e">
        <f t="shared" si="1056"/>
        <v>#DIV/0!</v>
      </c>
      <c r="GF84" s="2847">
        <f>SUM(GF83/GF77)</f>
        <v>45.596008069240582</v>
      </c>
      <c r="GG84" s="2847">
        <f t="shared" si="1056"/>
        <v>45.601535405168789</v>
      </c>
      <c r="GH84" s="2847">
        <f t="shared" si="1056"/>
        <v>20.929203539823007</v>
      </c>
      <c r="GI84" s="2824">
        <f t="shared" si="561"/>
        <v>-1.9264240618994677E-3</v>
      </c>
      <c r="GJ84" s="2824">
        <f t="shared" si="561"/>
        <v>-1.2057672965433142E-2</v>
      </c>
      <c r="GK84" s="2824" t="e">
        <f t="shared" si="561"/>
        <v>#DIV/0!</v>
      </c>
      <c r="GL84" s="2617"/>
      <c r="GM84" s="523"/>
    </row>
    <row r="85" spans="1:195" ht="18.75" x14ac:dyDescent="0.3">
      <c r="A85" s="2785" t="s">
        <v>3712</v>
      </c>
      <c r="B85" s="5355">
        <f>SUM(B86:B88)</f>
        <v>220.62391666666667</v>
      </c>
      <c r="C85" s="5356"/>
      <c r="D85" s="5357"/>
      <c r="E85" s="5265">
        <f>SUM(E86:E88)</f>
        <v>263.75599999999997</v>
      </c>
      <c r="F85" s="5266"/>
      <c r="G85" s="5267"/>
      <c r="H85" s="5355">
        <f>SUM(H86:H88)</f>
        <v>99.531080000000003</v>
      </c>
      <c r="I85" s="5356"/>
      <c r="J85" s="5357"/>
      <c r="K85" s="5355">
        <f>SUM(K86:K88)</f>
        <v>220.62391666666667</v>
      </c>
      <c r="L85" s="5356"/>
      <c r="M85" s="5357"/>
      <c r="N85" s="5265">
        <f>SUM(N86:N88)</f>
        <v>127.26519</v>
      </c>
      <c r="O85" s="5266"/>
      <c r="P85" s="5267"/>
      <c r="Q85" s="5265">
        <f>SUM(Q86:Q88)</f>
        <v>104.88500000000001</v>
      </c>
      <c r="R85" s="5266"/>
      <c r="S85" s="5267"/>
      <c r="T85" s="5355">
        <f>SUM(T86:T88)</f>
        <v>220.62391666666667</v>
      </c>
      <c r="U85" s="5356"/>
      <c r="V85" s="5357"/>
      <c r="W85" s="5265">
        <f>SUM(W86:W88)</f>
        <v>176.12356999999997</v>
      </c>
      <c r="X85" s="5266"/>
      <c r="Y85" s="5267"/>
      <c r="Z85" s="5265">
        <f>SUM(Z86:Z88)</f>
        <v>179.78025</v>
      </c>
      <c r="AA85" s="5266"/>
      <c r="AB85" s="5267"/>
      <c r="AC85" s="5382">
        <f>SUM(AC86:AC88)</f>
        <v>661.87175000000002</v>
      </c>
      <c r="AD85" s="5383"/>
      <c r="AE85" s="5384"/>
      <c r="AF85" s="5379">
        <f>SUM(AF86:AF88)</f>
        <v>567.14476000000002</v>
      </c>
      <c r="AG85" s="5380"/>
      <c r="AH85" s="5381"/>
      <c r="AI85" s="5379">
        <f>SUM(AI86:AI88)</f>
        <v>384.19632999999999</v>
      </c>
      <c r="AJ85" s="5380"/>
      <c r="AK85" s="5381"/>
      <c r="AL85" s="5379">
        <f>SUM(AF85-AC85)</f>
        <v>-94.726990000000001</v>
      </c>
      <c r="AM85" s="5380"/>
      <c r="AN85" s="5381"/>
      <c r="AO85" s="5355">
        <f>SUM(AO86:AO88)</f>
        <v>220.62391666666667</v>
      </c>
      <c r="AP85" s="5356"/>
      <c r="AQ85" s="5357"/>
      <c r="AR85" s="5355">
        <f>SUM(AR86:AR88)</f>
        <v>359.92291999999998</v>
      </c>
      <c r="AS85" s="5356"/>
      <c r="AT85" s="5357"/>
      <c r="AU85" s="5265">
        <f>SUM(AU86:AU88)</f>
        <v>139.49599999999998</v>
      </c>
      <c r="AV85" s="5266"/>
      <c r="AW85" s="5267"/>
      <c r="AX85" s="5355">
        <f>SUM(AX86:AX88)</f>
        <v>220.62391666666667</v>
      </c>
      <c r="AY85" s="5356"/>
      <c r="AZ85" s="5357"/>
      <c r="BA85" s="5265">
        <f>SUM(BA86:BA88)</f>
        <v>212.82641000000001</v>
      </c>
      <c r="BB85" s="5266"/>
      <c r="BC85" s="5267"/>
      <c r="BD85" s="5265">
        <f>SUM(BD86:BD88)</f>
        <v>122.00364999999999</v>
      </c>
      <c r="BE85" s="5266"/>
      <c r="BF85" s="5267"/>
      <c r="BG85" s="5355">
        <f>SUM(BG86:BG88)</f>
        <v>220.62391666666667</v>
      </c>
      <c r="BH85" s="5356"/>
      <c r="BI85" s="5357"/>
      <c r="BJ85" s="5265">
        <f>SUM(BJ86:BJ88)</f>
        <v>249.44036</v>
      </c>
      <c r="BK85" s="5266"/>
      <c r="BL85" s="5267"/>
      <c r="BM85" s="5265">
        <f>SUM(BM86:BM88)</f>
        <v>668.85807999999997</v>
      </c>
      <c r="BN85" s="5266"/>
      <c r="BO85" s="5267"/>
      <c r="BP85" s="5382">
        <f>SUM(BP86:BP88)</f>
        <v>661.87175000000002</v>
      </c>
      <c r="BQ85" s="5383"/>
      <c r="BR85" s="5384"/>
      <c r="BS85" s="5379">
        <f>SUM(BS86:BS88)</f>
        <v>822.18968999999993</v>
      </c>
      <c r="BT85" s="5380"/>
      <c r="BU85" s="5381"/>
      <c r="BV85" s="5379">
        <f>SUM(BV86:BV88)</f>
        <v>930.35772999999995</v>
      </c>
      <c r="BW85" s="5380"/>
      <c r="BX85" s="5381"/>
      <c r="BY85" s="5379">
        <f>SUM(BS85-BP85)</f>
        <v>160.31793999999991</v>
      </c>
      <c r="BZ85" s="5380"/>
      <c r="CA85" s="5381"/>
      <c r="CB85" s="5379">
        <f>SUM(CB86:CB88)</f>
        <v>1323.7435</v>
      </c>
      <c r="CC85" s="5380"/>
      <c r="CD85" s="5381"/>
      <c r="CE85" s="5379">
        <f>SUM(CE86:CE88)</f>
        <v>1389.3344499999998</v>
      </c>
      <c r="CF85" s="5380"/>
      <c r="CG85" s="5381"/>
      <c r="CH85" s="5379">
        <f>SUM(CH86:CH88)</f>
        <v>1314.5540599999999</v>
      </c>
      <c r="CI85" s="5380"/>
      <c r="CJ85" s="5381"/>
      <c r="CK85" s="5379">
        <f>SUM(CE85-CB85)</f>
        <v>65.590949999999793</v>
      </c>
      <c r="CL85" s="5380"/>
      <c r="CM85" s="5381"/>
      <c r="CN85" s="5355">
        <f>SUM(CN86:CN88)</f>
        <v>220.62391666666667</v>
      </c>
      <c r="CO85" s="5356"/>
      <c r="CP85" s="5357"/>
      <c r="CQ85" s="5265">
        <f>SUM(CQ86:CQ88)</f>
        <v>277.82194000000004</v>
      </c>
      <c r="CR85" s="5266"/>
      <c r="CS85" s="5267"/>
      <c r="CT85" s="5265">
        <f>SUM(CT86:CT88)</f>
        <v>144.672</v>
      </c>
      <c r="CU85" s="5266"/>
      <c r="CV85" s="5267"/>
      <c r="CW85" s="5355">
        <f>SUM(CW86:CW88)</f>
        <v>220.62391666666667</v>
      </c>
      <c r="CX85" s="5356"/>
      <c r="CY85" s="5357"/>
      <c r="CZ85" s="5265">
        <f>SUM(CZ86:CZ88)</f>
        <v>0</v>
      </c>
      <c r="DA85" s="5266"/>
      <c r="DB85" s="5267"/>
      <c r="DC85" s="5265">
        <f>SUM(DC86:DC88)</f>
        <v>137.59323000000001</v>
      </c>
      <c r="DD85" s="5266"/>
      <c r="DE85" s="5267"/>
      <c r="DF85" s="5355">
        <f>SUM(DF86:DF88)</f>
        <v>220.62391666666667</v>
      </c>
      <c r="DG85" s="5356"/>
      <c r="DH85" s="5357"/>
      <c r="DI85" s="5265">
        <f>SUM(DI86:DI88)</f>
        <v>0</v>
      </c>
      <c r="DJ85" s="5266"/>
      <c r="DK85" s="5267"/>
      <c r="DL85" s="5265">
        <f>SUM(DL86:DL88)</f>
        <v>215.16031000000001</v>
      </c>
      <c r="DM85" s="5266"/>
      <c r="DN85" s="5267"/>
      <c r="DO85" s="5382">
        <f>SUM(DO86:DO88)</f>
        <v>661.87175000000002</v>
      </c>
      <c r="DP85" s="5383"/>
      <c r="DQ85" s="5384"/>
      <c r="DR85" s="5379">
        <f>SUM(DR86:DR88)</f>
        <v>277.82194000000004</v>
      </c>
      <c r="DS85" s="5380"/>
      <c r="DT85" s="5381"/>
      <c r="DU85" s="5379">
        <f>SUM(DU86:DU88)</f>
        <v>497.42554000000001</v>
      </c>
      <c r="DV85" s="5380"/>
      <c r="DW85" s="5381"/>
      <c r="DX85" s="5379">
        <f>SUM(DR85-DO85)</f>
        <v>-384.04980999999998</v>
      </c>
      <c r="DY85" s="5380"/>
      <c r="DZ85" s="5381"/>
      <c r="EA85" s="5382">
        <f>SUM(EA86:EA88)</f>
        <v>1985.6152500000001</v>
      </c>
      <c r="EB85" s="5383"/>
      <c r="EC85" s="5384"/>
      <c r="ED85" s="5379">
        <f>SUM(ED86:ED88)</f>
        <v>1667.1563899999999</v>
      </c>
      <c r="EE85" s="5380"/>
      <c r="EF85" s="5381"/>
      <c r="EG85" s="5379">
        <f>SUM(EG86:EG88)</f>
        <v>1811.9796000000001</v>
      </c>
      <c r="EH85" s="5380"/>
      <c r="EI85" s="5381"/>
      <c r="EJ85" s="5379">
        <f>SUM(ED85-EA85)</f>
        <v>-318.45886000000019</v>
      </c>
      <c r="EK85" s="5380"/>
      <c r="EL85" s="5381"/>
      <c r="EM85" s="5355">
        <f>SUM(EM86:EM88)</f>
        <v>220.62391666666667</v>
      </c>
      <c r="EN85" s="5356"/>
      <c r="EO85" s="5357"/>
      <c r="EP85" s="5265">
        <f>SUM(EP86:EP88)</f>
        <v>0</v>
      </c>
      <c r="EQ85" s="5266"/>
      <c r="ER85" s="5267"/>
      <c r="ES85" s="5265">
        <f>SUM(ES86:ES88)</f>
        <v>217.31799999999998</v>
      </c>
      <c r="ET85" s="5266"/>
      <c r="EU85" s="5267"/>
      <c r="EV85" s="5355">
        <f>SUM(EV86:EV88)</f>
        <v>220.62391666666667</v>
      </c>
      <c r="EW85" s="5356"/>
      <c r="EX85" s="5357"/>
      <c r="EY85" s="5265">
        <f>SUM(EY86:EY88)</f>
        <v>0</v>
      </c>
      <c r="EZ85" s="5266"/>
      <c r="FA85" s="5267"/>
      <c r="FB85" s="5265">
        <f>SUM(FB86:FB88)</f>
        <v>212.49260999999998</v>
      </c>
      <c r="FC85" s="5266"/>
      <c r="FD85" s="5267"/>
      <c r="FE85" s="5355">
        <f>SUM(FE86:FE88)</f>
        <v>220.62391666666667</v>
      </c>
      <c r="FF85" s="5356"/>
      <c r="FG85" s="5357"/>
      <c r="FH85" s="5265">
        <f>SUM(FH86:FH88)</f>
        <v>0</v>
      </c>
      <c r="FI85" s="5266"/>
      <c r="FJ85" s="5267"/>
      <c r="FK85" s="5265">
        <f>SUM(FK86:FK88)</f>
        <v>170.51082000000002</v>
      </c>
      <c r="FL85" s="5266"/>
      <c r="FM85" s="5267"/>
      <c r="FN85" s="5382">
        <f>SUM(FN86:FN88)</f>
        <v>661.87175000000002</v>
      </c>
      <c r="FO85" s="5383"/>
      <c r="FP85" s="5384"/>
      <c r="FQ85" s="5379">
        <f>SUM(FQ86:FQ88)</f>
        <v>0</v>
      </c>
      <c r="FR85" s="5380"/>
      <c r="FS85" s="5381"/>
      <c r="FT85" s="5379">
        <f>SUM(FT86:FT88)</f>
        <v>600.32142999999996</v>
      </c>
      <c r="FU85" s="5380"/>
      <c r="FV85" s="5381"/>
      <c r="FW85" s="5379">
        <f>SUM(FQ85-FN85)</f>
        <v>-661.87175000000002</v>
      </c>
      <c r="FX85" s="5380"/>
      <c r="FY85" s="5381"/>
      <c r="FZ85" s="5382">
        <f>SUM(FZ86:FZ88)</f>
        <v>2647.4870000000001</v>
      </c>
      <c r="GA85" s="5383"/>
      <c r="GB85" s="5384"/>
      <c r="GC85" s="5379">
        <f>SUM(GC86:GC88)</f>
        <v>1667.1563899999999</v>
      </c>
      <c r="GD85" s="5380"/>
      <c r="GE85" s="5381"/>
      <c r="GF85" s="5379">
        <f>SUM(GF86:GF88)</f>
        <v>2412.3010300000005</v>
      </c>
      <c r="GG85" s="5380"/>
      <c r="GH85" s="5381"/>
      <c r="GI85" s="5379">
        <f>SUM(GC85-FZ85)</f>
        <v>-980.33061000000021</v>
      </c>
      <c r="GJ85" s="5380"/>
      <c r="GK85" s="5381"/>
      <c r="GL85" s="2617"/>
      <c r="GM85" s="523"/>
    </row>
    <row r="86" spans="1:195" ht="36" customHeight="1" x14ac:dyDescent="0.3">
      <c r="A86" s="2789" t="s">
        <v>3713</v>
      </c>
      <c r="B86" s="5352">
        <f>SUM('ПОЛНАЯ СЕБЕСТОИМОСТЬ ВОДА 2023'!B228:D228)/3</f>
        <v>92.457250000000002</v>
      </c>
      <c r="C86" s="5353"/>
      <c r="D86" s="5354"/>
      <c r="E86" s="5352">
        <f>SUM('ПОЛНАЯ СЕБЕСТОИМОСТЬ ВОДА 2023'!E228:G228)</f>
        <v>234.65199999999999</v>
      </c>
      <c r="F86" s="5353"/>
      <c r="G86" s="5354"/>
      <c r="H86" s="5352">
        <v>66.171360000000007</v>
      </c>
      <c r="I86" s="5353"/>
      <c r="J86" s="5354"/>
      <c r="K86" s="5352">
        <f>SUM(B86)</f>
        <v>92.457250000000002</v>
      </c>
      <c r="L86" s="5353"/>
      <c r="M86" s="5354"/>
      <c r="N86" s="5274">
        <f>SUM('ПОЛНАЯ СЕБЕСТОИМОСТЬ ВОДА 2023'!H228:J228)</f>
        <v>95.234930000000006</v>
      </c>
      <c r="O86" s="5275"/>
      <c r="P86" s="5276"/>
      <c r="Q86" s="5283">
        <v>67.548000000000002</v>
      </c>
      <c r="R86" s="5284"/>
      <c r="S86" s="5285"/>
      <c r="T86" s="5352">
        <f>SUM(K86)</f>
        <v>92.457250000000002</v>
      </c>
      <c r="U86" s="5353"/>
      <c r="V86" s="5354"/>
      <c r="W86" s="5274">
        <f>SUM('ПОЛНАЯ СЕБЕСТОИМОСТЬ ВОДА 2023'!K228:M228)</f>
        <v>136.90056999999999</v>
      </c>
      <c r="X86" s="5275"/>
      <c r="Y86" s="5276"/>
      <c r="Z86" s="5283">
        <v>111.34699999999999</v>
      </c>
      <c r="AA86" s="5284"/>
      <c r="AB86" s="5285"/>
      <c r="AC86" s="5346">
        <f>SUM(B86+K86+T86)</f>
        <v>277.37175000000002</v>
      </c>
      <c r="AD86" s="5347"/>
      <c r="AE86" s="5348"/>
      <c r="AF86" s="5346">
        <f>SUM(E86+N86+W86)</f>
        <v>466.78750000000002</v>
      </c>
      <c r="AG86" s="5347"/>
      <c r="AH86" s="5348"/>
      <c r="AI86" s="5346">
        <f>SUM(H86+Q86+Z86)</f>
        <v>245.06635999999997</v>
      </c>
      <c r="AJ86" s="5347"/>
      <c r="AK86" s="5348"/>
      <c r="AL86" s="5385">
        <f>SUM(AF86-AC86)</f>
        <v>189.41575</v>
      </c>
      <c r="AM86" s="5386"/>
      <c r="AN86" s="5387"/>
      <c r="AO86" s="5352">
        <f>SUM(T86)</f>
        <v>92.457250000000002</v>
      </c>
      <c r="AP86" s="5353"/>
      <c r="AQ86" s="5354"/>
      <c r="AR86" s="5352">
        <f>SUM('ПОЛНАЯ СЕБЕСТОИМОСТЬ ВОДА 2023'!T228:V228)</f>
        <v>255.91559000000001</v>
      </c>
      <c r="AS86" s="5353"/>
      <c r="AT86" s="5354"/>
      <c r="AU86" s="5283">
        <v>81.831999999999994</v>
      </c>
      <c r="AV86" s="5284"/>
      <c r="AW86" s="5285"/>
      <c r="AX86" s="5352">
        <f>SUM(AO86)</f>
        <v>92.457250000000002</v>
      </c>
      <c r="AY86" s="5353"/>
      <c r="AZ86" s="5354"/>
      <c r="BA86" s="5274">
        <f>SUM('ПОЛНАЯ СЕБЕСТОИМОСТЬ ВОДА 2023'!W228:Y228)</f>
        <v>61.244459999999997</v>
      </c>
      <c r="BB86" s="5275"/>
      <c r="BC86" s="5276"/>
      <c r="BD86" s="5283">
        <v>72.31765</v>
      </c>
      <c r="BE86" s="5284"/>
      <c r="BF86" s="5285"/>
      <c r="BG86" s="5352">
        <f>SUM(AX86)</f>
        <v>92.457250000000002</v>
      </c>
      <c r="BH86" s="5353"/>
      <c r="BI86" s="5354"/>
      <c r="BJ86" s="5274">
        <f>SUM('ПОЛНАЯ СЕБЕСТОИМОСТЬ ВОДА 2023'!Z228:AB228)</f>
        <v>98.544529999999995</v>
      </c>
      <c r="BK86" s="5275"/>
      <c r="BL86" s="5276"/>
      <c r="BM86" s="5274">
        <v>76.370099999999994</v>
      </c>
      <c r="BN86" s="5275"/>
      <c r="BO86" s="5276"/>
      <c r="BP86" s="5346">
        <f>SUM(AO86+AX86+BG86)</f>
        <v>277.37175000000002</v>
      </c>
      <c r="BQ86" s="5347"/>
      <c r="BR86" s="5348"/>
      <c r="BS86" s="5346">
        <f>SUM(AR86+BA86+BJ86)</f>
        <v>415.70458000000002</v>
      </c>
      <c r="BT86" s="5347"/>
      <c r="BU86" s="5348"/>
      <c r="BV86" s="5346">
        <f>SUM(AU86+BD86+BM86)</f>
        <v>230.51974999999999</v>
      </c>
      <c r="BW86" s="5347"/>
      <c r="BX86" s="5348"/>
      <c r="BY86" s="5385">
        <f>SUM(BS86-BP86)</f>
        <v>138.33283</v>
      </c>
      <c r="BZ86" s="5386"/>
      <c r="CA86" s="5387"/>
      <c r="CB86" s="5349">
        <f>SUM(AC86+BP86)</f>
        <v>554.74350000000004</v>
      </c>
      <c r="CC86" s="5350"/>
      <c r="CD86" s="5351"/>
      <c r="CE86" s="5349">
        <f>SUM(AF86+BS86)</f>
        <v>882.49207999999999</v>
      </c>
      <c r="CF86" s="5350"/>
      <c r="CG86" s="5351"/>
      <c r="CH86" s="5349">
        <f>SUM(AI86+BV86)</f>
        <v>475.58610999999996</v>
      </c>
      <c r="CI86" s="5350"/>
      <c r="CJ86" s="5351"/>
      <c r="CK86" s="5349">
        <f>SUM(CE86-CB86)</f>
        <v>327.74857999999995</v>
      </c>
      <c r="CL86" s="5350"/>
      <c r="CM86" s="5351"/>
      <c r="CN86" s="5352">
        <f>SUM('ПОЛНАЯ СЕБЕСТОИМОСТЬ ВОДА 2023'!AO228:AQ228)/3</f>
        <v>92.457250000000002</v>
      </c>
      <c r="CO86" s="5353"/>
      <c r="CP86" s="5354"/>
      <c r="CQ86" s="5274">
        <f>SUM('ПОЛНАЯ СЕБЕСТОИМОСТЬ ВОДА 2023'!AR228:AT228)</f>
        <v>130.67715000000001</v>
      </c>
      <c r="CR86" s="5275"/>
      <c r="CS86" s="5276"/>
      <c r="CT86" s="5283">
        <v>103.922</v>
      </c>
      <c r="CU86" s="5284"/>
      <c r="CV86" s="5285"/>
      <c r="CW86" s="5352">
        <f>SUM(CN86)</f>
        <v>92.457250000000002</v>
      </c>
      <c r="CX86" s="5353"/>
      <c r="CY86" s="5354"/>
      <c r="CZ86" s="5274">
        <f>SUM('ПОЛНАЯ СЕБЕСТОИМОСТЬ ВОДА 2023'!AU228:AW228)</f>
        <v>0</v>
      </c>
      <c r="DA86" s="5275"/>
      <c r="DB86" s="5276"/>
      <c r="DC86" s="5283">
        <v>93.679500000000004</v>
      </c>
      <c r="DD86" s="5284"/>
      <c r="DE86" s="5285"/>
      <c r="DF86" s="5352">
        <f>SUM(CW86)</f>
        <v>92.457250000000002</v>
      </c>
      <c r="DG86" s="5353"/>
      <c r="DH86" s="5354"/>
      <c r="DI86" s="5274">
        <f>SUM('ПОЛНАЯ СЕБЕСТОИМОСТЬ ВОДА 2023'!AX228:AZ228)</f>
        <v>0</v>
      </c>
      <c r="DJ86" s="5275"/>
      <c r="DK86" s="5276"/>
      <c r="DL86" s="5283">
        <v>157.23500000000001</v>
      </c>
      <c r="DM86" s="5284"/>
      <c r="DN86" s="5285"/>
      <c r="DO86" s="5346">
        <f>SUM(CN86+CW86+DF86)</f>
        <v>277.37175000000002</v>
      </c>
      <c r="DP86" s="5347"/>
      <c r="DQ86" s="5348"/>
      <c r="DR86" s="5346">
        <f>SUM(CQ86+CZ86+DI86)</f>
        <v>130.67715000000001</v>
      </c>
      <c r="DS86" s="5347"/>
      <c r="DT86" s="5348"/>
      <c r="DU86" s="5346">
        <f>SUM(CT86+DC86+DL86)</f>
        <v>354.8365</v>
      </c>
      <c r="DV86" s="5347"/>
      <c r="DW86" s="5348"/>
      <c r="DX86" s="5385">
        <f>SUM(DR86-DO86)</f>
        <v>-146.69460000000001</v>
      </c>
      <c r="DY86" s="5386"/>
      <c r="DZ86" s="5387"/>
      <c r="EA86" s="5346">
        <f>SUM(CB86+DO86)</f>
        <v>832.11525000000006</v>
      </c>
      <c r="EB86" s="5347"/>
      <c r="EC86" s="5348"/>
      <c r="ED86" s="5346">
        <f>SUM(CE86+DR86)</f>
        <v>1013.16923</v>
      </c>
      <c r="EE86" s="5347"/>
      <c r="EF86" s="5348"/>
      <c r="EG86" s="5346">
        <f>SUM(CH86+DU86)</f>
        <v>830.42260999999996</v>
      </c>
      <c r="EH86" s="5347"/>
      <c r="EI86" s="5348"/>
      <c r="EJ86" s="5385">
        <f>SUM(ED86-EA86)</f>
        <v>181.05397999999991</v>
      </c>
      <c r="EK86" s="5386"/>
      <c r="EL86" s="5387"/>
      <c r="EM86" s="5352">
        <f>SUM('ПОЛНАЯ СЕБЕСТОИМОСТЬ ВОДА 2023'!BM228:BO228)/3</f>
        <v>92.457250000000002</v>
      </c>
      <c r="EN86" s="5353"/>
      <c r="EO86" s="5354"/>
      <c r="EP86" s="5274">
        <f>SUM('ПОЛНАЯ СЕБЕСТОИМОСТЬ ВОДА 2023'!BP228:BR228)</f>
        <v>0</v>
      </c>
      <c r="EQ86" s="5275"/>
      <c r="ER86" s="5276"/>
      <c r="ES86" s="5283">
        <v>130.98599999999999</v>
      </c>
      <c r="ET86" s="5284"/>
      <c r="EU86" s="5285"/>
      <c r="EV86" s="5352">
        <f>SUM(EM86)</f>
        <v>92.457250000000002</v>
      </c>
      <c r="EW86" s="5353"/>
      <c r="EX86" s="5354"/>
      <c r="EY86" s="5274">
        <f>SUM('ПОЛНАЯ СЕБЕСТОИМОСТЬ ВОДА 2023'!BS228:BU228)</f>
        <v>0</v>
      </c>
      <c r="EZ86" s="5275"/>
      <c r="FA86" s="5276"/>
      <c r="FB86" s="5283">
        <v>131.74064999999999</v>
      </c>
      <c r="FC86" s="5284"/>
      <c r="FD86" s="5285"/>
      <c r="FE86" s="5352">
        <f>SUM(EV86)</f>
        <v>92.457250000000002</v>
      </c>
      <c r="FF86" s="5353"/>
      <c r="FG86" s="5354"/>
      <c r="FH86" s="5274">
        <f>SUM('ПОЛНАЯ СЕБЕСТОИМОСТЬ ВОДА 2023'!BV228:BX228)</f>
        <v>0</v>
      </c>
      <c r="FI86" s="5275"/>
      <c r="FJ86" s="5276"/>
      <c r="FK86" s="5283">
        <v>59.372</v>
      </c>
      <c r="FL86" s="5284"/>
      <c r="FM86" s="5285"/>
      <c r="FN86" s="5346">
        <f>SUM(EM86+EV86+FE86)</f>
        <v>277.37175000000002</v>
      </c>
      <c r="FO86" s="5347"/>
      <c r="FP86" s="5348"/>
      <c r="FQ86" s="5346">
        <f>SUM(EP86+EY86+FH86)</f>
        <v>0</v>
      </c>
      <c r="FR86" s="5347"/>
      <c r="FS86" s="5348"/>
      <c r="FT86" s="5346">
        <f>SUM(ES86+FB86+FK86)</f>
        <v>322.09864999999996</v>
      </c>
      <c r="FU86" s="5347"/>
      <c r="FV86" s="5348"/>
      <c r="FW86" s="5385">
        <f>SUM(FQ86-FN86)</f>
        <v>-277.37175000000002</v>
      </c>
      <c r="FX86" s="5386"/>
      <c r="FY86" s="5387"/>
      <c r="FZ86" s="5346">
        <f>SUM(EA86+FN86)</f>
        <v>1109.4870000000001</v>
      </c>
      <c r="GA86" s="5347"/>
      <c r="GB86" s="5348"/>
      <c r="GC86" s="5346">
        <f>SUM(ED86+FQ86)</f>
        <v>1013.16923</v>
      </c>
      <c r="GD86" s="5347"/>
      <c r="GE86" s="5348"/>
      <c r="GF86" s="5346">
        <f>SUM(EG86+FT86)</f>
        <v>1152.52126</v>
      </c>
      <c r="GG86" s="5347"/>
      <c r="GH86" s="5348"/>
      <c r="GI86" s="5385">
        <f>SUM(GC86-FZ86)</f>
        <v>-96.31777000000011</v>
      </c>
      <c r="GJ86" s="5386"/>
      <c r="GK86" s="5387"/>
      <c r="GL86" s="2617"/>
      <c r="GM86" s="523"/>
    </row>
    <row r="87" spans="1:195" ht="35.25" customHeight="1" x14ac:dyDescent="0.3">
      <c r="A87" s="2786" t="s">
        <v>3714</v>
      </c>
      <c r="B87" s="5352">
        <f>SUM('ПОЛНАЯ СЕБЕСТОИМОСТЬ ВОДА 2023'!B229:D229)/3</f>
        <v>34.166666666666664</v>
      </c>
      <c r="C87" s="5353"/>
      <c r="D87" s="5354"/>
      <c r="E87" s="5274">
        <f>SUM('ПОЛНАЯ СЕБЕСТОИМОСТЬ ВОДА 2023'!E229:G229)</f>
        <v>0</v>
      </c>
      <c r="F87" s="5275"/>
      <c r="G87" s="5276"/>
      <c r="H87" s="5352">
        <v>4.7140000000000004</v>
      </c>
      <c r="I87" s="5353"/>
      <c r="J87" s="5354"/>
      <c r="K87" s="5352">
        <f>SUM(B87)</f>
        <v>34.166666666666664</v>
      </c>
      <c r="L87" s="5353"/>
      <c r="M87" s="5354"/>
      <c r="N87" s="5274">
        <f>SUM('ПОЛНАЯ СЕБЕСТОИМОСТЬ ВОДА 2023'!H229:J229)</f>
        <v>0</v>
      </c>
      <c r="O87" s="5275"/>
      <c r="P87" s="5276"/>
      <c r="Q87" s="5283">
        <v>0</v>
      </c>
      <c r="R87" s="5284"/>
      <c r="S87" s="5285"/>
      <c r="T87" s="5352">
        <f>SUM(K87)</f>
        <v>34.166666666666664</v>
      </c>
      <c r="U87" s="5353"/>
      <c r="V87" s="5354"/>
      <c r="W87" s="5274">
        <f>SUM('ПОЛНАЯ СЕБЕСТОИМОСТЬ ВОДА 2023'!K229:M229)</f>
        <v>0</v>
      </c>
      <c r="X87" s="5275"/>
      <c r="Y87" s="5276"/>
      <c r="Z87" s="5283">
        <v>37.799999999999997</v>
      </c>
      <c r="AA87" s="5284"/>
      <c r="AB87" s="5285"/>
      <c r="AC87" s="5346">
        <f>SUM(B87+K87+T87)</f>
        <v>102.5</v>
      </c>
      <c r="AD87" s="5347"/>
      <c r="AE87" s="5348"/>
      <c r="AF87" s="5346">
        <f>SUM(E87+N87+W87)</f>
        <v>0</v>
      </c>
      <c r="AG87" s="5347"/>
      <c r="AH87" s="5348"/>
      <c r="AI87" s="5346">
        <f>SUM(H87+Q87+Z87)</f>
        <v>42.513999999999996</v>
      </c>
      <c r="AJ87" s="5347"/>
      <c r="AK87" s="5348"/>
      <c r="AL87" s="5385">
        <f>SUM(AF87-AC87)</f>
        <v>-102.5</v>
      </c>
      <c r="AM87" s="5386"/>
      <c r="AN87" s="5387"/>
      <c r="AO87" s="5352">
        <f>SUM(T87)</f>
        <v>34.166666666666664</v>
      </c>
      <c r="AP87" s="5353"/>
      <c r="AQ87" s="5354"/>
      <c r="AR87" s="5352">
        <f>SUM('ПОЛНАЯ СЕБЕСТОИМОСТЬ ВОДА 2023'!T229:V229)</f>
        <v>0</v>
      </c>
      <c r="AS87" s="5353"/>
      <c r="AT87" s="5354"/>
      <c r="AU87" s="5283">
        <v>0</v>
      </c>
      <c r="AV87" s="5284"/>
      <c r="AW87" s="5285"/>
      <c r="AX87" s="5352">
        <f>SUM(AO87)</f>
        <v>34.166666666666664</v>
      </c>
      <c r="AY87" s="5353"/>
      <c r="AZ87" s="5354"/>
      <c r="BA87" s="5274">
        <f>SUM('ПОЛНАЯ СЕБЕСТОИМОСТЬ ВОДА 2023'!W229:Y229)</f>
        <v>0</v>
      </c>
      <c r="BB87" s="5275"/>
      <c r="BC87" s="5276"/>
      <c r="BD87" s="5283">
        <v>0</v>
      </c>
      <c r="BE87" s="5284"/>
      <c r="BF87" s="5285"/>
      <c r="BG87" s="5352">
        <f>SUM(AX87)</f>
        <v>34.166666666666664</v>
      </c>
      <c r="BH87" s="5353"/>
      <c r="BI87" s="5354"/>
      <c r="BJ87" s="5274">
        <f>SUM('ПОЛНАЯ СЕБЕСТОИМОСТЬ ВОДА 2023'!Z229:AB229)</f>
        <v>0</v>
      </c>
      <c r="BK87" s="5275"/>
      <c r="BL87" s="5276"/>
      <c r="BM87" s="5274">
        <v>0</v>
      </c>
      <c r="BN87" s="5275"/>
      <c r="BO87" s="5276"/>
      <c r="BP87" s="5346">
        <f>SUM(AO87+AX87+BG87)</f>
        <v>102.5</v>
      </c>
      <c r="BQ87" s="5347"/>
      <c r="BR87" s="5348"/>
      <c r="BS87" s="5346">
        <f>SUM(AR87+BA87+BJ87)</f>
        <v>0</v>
      </c>
      <c r="BT87" s="5347"/>
      <c r="BU87" s="5348"/>
      <c r="BV87" s="5346">
        <f>SUM(AU87+BD87+BM87)</f>
        <v>0</v>
      </c>
      <c r="BW87" s="5347"/>
      <c r="BX87" s="5348"/>
      <c r="BY87" s="5385">
        <f>SUM(BS87-BP87)</f>
        <v>-102.5</v>
      </c>
      <c r="BZ87" s="5386"/>
      <c r="CA87" s="5387"/>
      <c r="CB87" s="5349">
        <f>SUM(AC87+BP87)</f>
        <v>205</v>
      </c>
      <c r="CC87" s="5350"/>
      <c r="CD87" s="5351"/>
      <c r="CE87" s="5349">
        <f>SUM(AF87+BS87)</f>
        <v>0</v>
      </c>
      <c r="CF87" s="5350"/>
      <c r="CG87" s="5351"/>
      <c r="CH87" s="5349">
        <f>SUM(AI87+BV87)</f>
        <v>42.513999999999996</v>
      </c>
      <c r="CI87" s="5350"/>
      <c r="CJ87" s="5351"/>
      <c r="CK87" s="5349">
        <f>SUM(CE87-CB87)</f>
        <v>-205</v>
      </c>
      <c r="CL87" s="5350"/>
      <c r="CM87" s="5351"/>
      <c r="CN87" s="5352">
        <f>SUM('ПОЛНАЯ СЕБЕСТОИМОСТЬ ВОДА 2023'!AO229:AQ229)/3</f>
        <v>34.166666666666664</v>
      </c>
      <c r="CO87" s="5353"/>
      <c r="CP87" s="5354"/>
      <c r="CQ87" s="5274">
        <f>SUM('ПОЛНАЯ СЕБЕСТОИМОСТЬ ВОДА 2023'!AR229:AT229)</f>
        <v>0</v>
      </c>
      <c r="CR87" s="5275"/>
      <c r="CS87" s="5276"/>
      <c r="CT87" s="5283">
        <v>0</v>
      </c>
      <c r="CU87" s="5284"/>
      <c r="CV87" s="5285"/>
      <c r="CW87" s="5352">
        <f>SUM(CN87)</f>
        <v>34.166666666666664</v>
      </c>
      <c r="CX87" s="5353"/>
      <c r="CY87" s="5354"/>
      <c r="CZ87" s="5274">
        <f>SUM('ПОЛНАЯ СЕБЕСТОИМОСТЬ ВОДА 2023'!AU229:AW229)</f>
        <v>0</v>
      </c>
      <c r="DA87" s="5275"/>
      <c r="DB87" s="5276"/>
      <c r="DC87" s="5283">
        <v>18</v>
      </c>
      <c r="DD87" s="5284"/>
      <c r="DE87" s="5285"/>
      <c r="DF87" s="5352">
        <f>SUM(CW87)</f>
        <v>34.166666666666664</v>
      </c>
      <c r="DG87" s="5353"/>
      <c r="DH87" s="5354"/>
      <c r="DI87" s="5274">
        <f>SUM('ПОЛНАЯ СЕБЕСТОИМОСТЬ ВОДА 2023'!AX229:AZ229)</f>
        <v>0</v>
      </c>
      <c r="DJ87" s="5275"/>
      <c r="DK87" s="5276"/>
      <c r="DL87" s="5283">
        <v>0</v>
      </c>
      <c r="DM87" s="5284"/>
      <c r="DN87" s="5285"/>
      <c r="DO87" s="5346">
        <f>SUM(CN87+CW87+DF87)</f>
        <v>102.5</v>
      </c>
      <c r="DP87" s="5347"/>
      <c r="DQ87" s="5348"/>
      <c r="DR87" s="5346">
        <f>SUM(CQ87+CZ87+DI87)</f>
        <v>0</v>
      </c>
      <c r="DS87" s="5347"/>
      <c r="DT87" s="5348"/>
      <c r="DU87" s="5346">
        <f>SUM(CT87+DC87+DL87)</f>
        <v>18</v>
      </c>
      <c r="DV87" s="5347"/>
      <c r="DW87" s="5348"/>
      <c r="DX87" s="5385">
        <f>SUM(DR87-DO87)</f>
        <v>-102.5</v>
      </c>
      <c r="DY87" s="5386"/>
      <c r="DZ87" s="5387"/>
      <c r="EA87" s="5346">
        <f>SUM(CB87+DO87)</f>
        <v>307.5</v>
      </c>
      <c r="EB87" s="5347"/>
      <c r="EC87" s="5348"/>
      <c r="ED87" s="5346">
        <f>SUM(CE87+DR87)</f>
        <v>0</v>
      </c>
      <c r="EE87" s="5347"/>
      <c r="EF87" s="5348"/>
      <c r="EG87" s="5346">
        <f>SUM(CH87+DU87)</f>
        <v>60.513999999999996</v>
      </c>
      <c r="EH87" s="5347"/>
      <c r="EI87" s="5348"/>
      <c r="EJ87" s="5385">
        <f>SUM(ED87-EA87)</f>
        <v>-307.5</v>
      </c>
      <c r="EK87" s="5386"/>
      <c r="EL87" s="5387"/>
      <c r="EM87" s="5352">
        <f>SUM('ПОЛНАЯ СЕБЕСТОИМОСТЬ ВОДА 2023'!BM229:BO229)/3</f>
        <v>34.166666666666664</v>
      </c>
      <c r="EN87" s="5353"/>
      <c r="EO87" s="5354"/>
      <c r="EP87" s="5274">
        <f>SUM('ПОЛНАЯ СЕБЕСТОИМОСТЬ ВОДА 2023'!BP229:BR229)</f>
        <v>0</v>
      </c>
      <c r="EQ87" s="5275"/>
      <c r="ER87" s="5276"/>
      <c r="ES87" s="5283">
        <v>27</v>
      </c>
      <c r="ET87" s="5284"/>
      <c r="EU87" s="5285"/>
      <c r="EV87" s="5352">
        <f>SUM(EM87)</f>
        <v>34.166666666666664</v>
      </c>
      <c r="EW87" s="5353"/>
      <c r="EX87" s="5354"/>
      <c r="EY87" s="5274">
        <f>SUM('ПОЛНАЯ СЕБЕСТОИМОСТЬ ВОДА 2023'!BS229:BU229)</f>
        <v>0</v>
      </c>
      <c r="EZ87" s="5275"/>
      <c r="FA87" s="5276"/>
      <c r="FB87" s="5283">
        <v>41.4</v>
      </c>
      <c r="FC87" s="5284"/>
      <c r="FD87" s="5285"/>
      <c r="FE87" s="5352">
        <f>SUM(EV87)</f>
        <v>34.166666666666664</v>
      </c>
      <c r="FF87" s="5353"/>
      <c r="FG87" s="5354"/>
      <c r="FH87" s="5274">
        <f>SUM('ПОЛНАЯ СЕБЕСТОИМОСТЬ ВОДА 2023'!BV229:BX229)</f>
        <v>0</v>
      </c>
      <c r="FI87" s="5275"/>
      <c r="FJ87" s="5276"/>
      <c r="FK87" s="5283">
        <v>30.6</v>
      </c>
      <c r="FL87" s="5284"/>
      <c r="FM87" s="5285"/>
      <c r="FN87" s="5346">
        <f>SUM(EM87+EV87+FE87)</f>
        <v>102.5</v>
      </c>
      <c r="FO87" s="5347"/>
      <c r="FP87" s="5348"/>
      <c r="FQ87" s="5346">
        <f>SUM(EP87+EY87+FH87)</f>
        <v>0</v>
      </c>
      <c r="FR87" s="5347"/>
      <c r="FS87" s="5348"/>
      <c r="FT87" s="5346">
        <f>SUM(ES87+FB87+FK87)</f>
        <v>99</v>
      </c>
      <c r="FU87" s="5347"/>
      <c r="FV87" s="5348"/>
      <c r="FW87" s="5385">
        <f>SUM(FQ87-FN87)</f>
        <v>-102.5</v>
      </c>
      <c r="FX87" s="5386"/>
      <c r="FY87" s="5387"/>
      <c r="FZ87" s="5346">
        <f>SUM(EA87+FN87)</f>
        <v>410</v>
      </c>
      <c r="GA87" s="5347"/>
      <c r="GB87" s="5348"/>
      <c r="GC87" s="5346">
        <f>SUM(ED87+FQ87)</f>
        <v>0</v>
      </c>
      <c r="GD87" s="5347"/>
      <c r="GE87" s="5348"/>
      <c r="GF87" s="5346">
        <f>SUM(EG87+FT87)</f>
        <v>159.51400000000001</v>
      </c>
      <c r="GG87" s="5347"/>
      <c r="GH87" s="5348"/>
      <c r="GI87" s="5385">
        <f>SUM(GC87-FZ87)</f>
        <v>-410</v>
      </c>
      <c r="GJ87" s="5386"/>
      <c r="GK87" s="5387"/>
      <c r="GL87" s="2617"/>
      <c r="GM87" s="523"/>
    </row>
    <row r="88" spans="1:195" ht="36" customHeight="1" x14ac:dyDescent="0.3">
      <c r="A88" s="2786" t="s">
        <v>3715</v>
      </c>
      <c r="B88" s="5352">
        <f>SUM('ПОЛНАЯ СЕБЕСТОИМОСТЬ ВОДА 2023'!B230:D230)/3</f>
        <v>94</v>
      </c>
      <c r="C88" s="5353"/>
      <c r="D88" s="5354"/>
      <c r="E88" s="5352">
        <f>SUM('ПОЛНАЯ СЕБЕСТОИМОСТЬ ВОДА 2023'!E230:G230)</f>
        <v>29.103999999999999</v>
      </c>
      <c r="F88" s="5353"/>
      <c r="G88" s="5354"/>
      <c r="H88" s="5352">
        <v>28.645720000000001</v>
      </c>
      <c r="I88" s="5353"/>
      <c r="J88" s="5354"/>
      <c r="K88" s="5352">
        <f>SUM(B88)</f>
        <v>94</v>
      </c>
      <c r="L88" s="5353"/>
      <c r="M88" s="5354"/>
      <c r="N88" s="5274">
        <f>SUM('ПОЛНАЯ СЕБЕСТОИМОСТЬ ВОДА 2023'!H230:J230)</f>
        <v>32.030259999999998</v>
      </c>
      <c r="O88" s="5275"/>
      <c r="P88" s="5276"/>
      <c r="Q88" s="5283">
        <v>37.337000000000003</v>
      </c>
      <c r="R88" s="5284"/>
      <c r="S88" s="5285"/>
      <c r="T88" s="5352">
        <f>SUM(K88)</f>
        <v>94</v>
      </c>
      <c r="U88" s="5353"/>
      <c r="V88" s="5354"/>
      <c r="W88" s="5274">
        <f>SUM('ПОЛНАЯ СЕБЕСТОИМОСТЬ ВОДА 2023'!K230:M230)</f>
        <v>39.222999999999999</v>
      </c>
      <c r="X88" s="5275"/>
      <c r="Y88" s="5276"/>
      <c r="Z88" s="5283">
        <v>30.63325</v>
      </c>
      <c r="AA88" s="5284"/>
      <c r="AB88" s="5285"/>
      <c r="AC88" s="5346">
        <f>SUM(B88+K88+T88)</f>
        <v>282</v>
      </c>
      <c r="AD88" s="5347"/>
      <c r="AE88" s="5348"/>
      <c r="AF88" s="5346">
        <f>SUM(E88+N88+W88)</f>
        <v>100.35726</v>
      </c>
      <c r="AG88" s="5347"/>
      <c r="AH88" s="5348"/>
      <c r="AI88" s="5346">
        <f>SUM(H88+Q88+Z88)</f>
        <v>96.615970000000004</v>
      </c>
      <c r="AJ88" s="5347"/>
      <c r="AK88" s="5348"/>
      <c r="AL88" s="5385">
        <f>SUM(AF88-AC88)</f>
        <v>-181.64274</v>
      </c>
      <c r="AM88" s="5386"/>
      <c r="AN88" s="5387"/>
      <c r="AO88" s="5352">
        <f>SUM(T88)</f>
        <v>94</v>
      </c>
      <c r="AP88" s="5353"/>
      <c r="AQ88" s="5354"/>
      <c r="AR88" s="5352">
        <f>SUM('ПОЛНАЯ СЕБЕСТОИМОСТЬ ВОДА 2023'!T230:V230)</f>
        <v>104.00733</v>
      </c>
      <c r="AS88" s="5353"/>
      <c r="AT88" s="5354"/>
      <c r="AU88" s="5283">
        <v>57.664000000000001</v>
      </c>
      <c r="AV88" s="5284"/>
      <c r="AW88" s="5285"/>
      <c r="AX88" s="5352">
        <f>SUM(AO88)</f>
        <v>94</v>
      </c>
      <c r="AY88" s="5353"/>
      <c r="AZ88" s="5354"/>
      <c r="BA88" s="5274">
        <f>SUM('ПОЛНАЯ СЕБЕСТОИМОСТЬ ВОДА 2023'!W230:Y230)</f>
        <v>151.58195000000001</v>
      </c>
      <c r="BB88" s="5275"/>
      <c r="BC88" s="5276"/>
      <c r="BD88" s="5283">
        <v>49.686</v>
      </c>
      <c r="BE88" s="5284"/>
      <c r="BF88" s="5285"/>
      <c r="BG88" s="5352">
        <f>SUM(AX88)</f>
        <v>94</v>
      </c>
      <c r="BH88" s="5353"/>
      <c r="BI88" s="5354"/>
      <c r="BJ88" s="5274">
        <f>SUM('ПОЛНАЯ СЕБЕСТОИМОСТЬ ВОДА 2023'!Z230:AB230)</f>
        <v>150.89582999999999</v>
      </c>
      <c r="BK88" s="5275"/>
      <c r="BL88" s="5276"/>
      <c r="BM88" s="5274">
        <v>592.48797999999999</v>
      </c>
      <c r="BN88" s="5275"/>
      <c r="BO88" s="5276"/>
      <c r="BP88" s="5346">
        <f>SUM(AO88+AX88+BG88)</f>
        <v>282</v>
      </c>
      <c r="BQ88" s="5347"/>
      <c r="BR88" s="5348"/>
      <c r="BS88" s="5346">
        <f>SUM(AR88+BA88+BJ88)</f>
        <v>406.48510999999996</v>
      </c>
      <c r="BT88" s="5347"/>
      <c r="BU88" s="5348"/>
      <c r="BV88" s="5346">
        <f>SUM(AU88+BD88+BM88)</f>
        <v>699.83798000000002</v>
      </c>
      <c r="BW88" s="5347"/>
      <c r="BX88" s="5348"/>
      <c r="BY88" s="5385">
        <f>SUM(BS88-BP88)</f>
        <v>124.48510999999996</v>
      </c>
      <c r="BZ88" s="5386"/>
      <c r="CA88" s="5387"/>
      <c r="CB88" s="5349">
        <f>SUM(AC88+BP88)</f>
        <v>564</v>
      </c>
      <c r="CC88" s="5350"/>
      <c r="CD88" s="5351"/>
      <c r="CE88" s="5349">
        <f>SUM(AF88+BS88)</f>
        <v>506.84236999999996</v>
      </c>
      <c r="CF88" s="5350"/>
      <c r="CG88" s="5351"/>
      <c r="CH88" s="5349">
        <f>SUM(AI88+BV88)</f>
        <v>796.45395000000008</v>
      </c>
      <c r="CI88" s="5350"/>
      <c r="CJ88" s="5351"/>
      <c r="CK88" s="5349">
        <f>SUM(CE88-CB88)</f>
        <v>-57.15763000000004</v>
      </c>
      <c r="CL88" s="5350"/>
      <c r="CM88" s="5351"/>
      <c r="CN88" s="5352">
        <f>SUM('ПОЛНАЯ СЕБЕСТОИМОСТЬ ВОДА 2023'!AO230:AQ230)/3</f>
        <v>94</v>
      </c>
      <c r="CO88" s="5353"/>
      <c r="CP88" s="5354"/>
      <c r="CQ88" s="5274">
        <f>SUM('ПОЛНАЯ СЕБЕСТОИМОСТЬ ВОДА 2023'!AR230:AT230)</f>
        <v>147.14479</v>
      </c>
      <c r="CR88" s="5275"/>
      <c r="CS88" s="5276"/>
      <c r="CT88" s="5283">
        <v>40.75</v>
      </c>
      <c r="CU88" s="5284"/>
      <c r="CV88" s="5285"/>
      <c r="CW88" s="5352">
        <f>SUM(CN88)</f>
        <v>94</v>
      </c>
      <c r="CX88" s="5353"/>
      <c r="CY88" s="5354"/>
      <c r="CZ88" s="5274">
        <f>SUM('ПОЛНАЯ СЕБЕСТОИМОСТЬ ВОДА 2023'!AU230:AW230)</f>
        <v>0</v>
      </c>
      <c r="DA88" s="5275"/>
      <c r="DB88" s="5276"/>
      <c r="DC88" s="5283">
        <v>25.913730000000001</v>
      </c>
      <c r="DD88" s="5284"/>
      <c r="DE88" s="5285"/>
      <c r="DF88" s="5352">
        <f>SUM(CW88)</f>
        <v>94</v>
      </c>
      <c r="DG88" s="5353"/>
      <c r="DH88" s="5354"/>
      <c r="DI88" s="5274">
        <f>SUM('ПОЛНАЯ СЕБЕСТОИМОСТЬ ВОДА 2023'!AX230:AZ230)</f>
        <v>0</v>
      </c>
      <c r="DJ88" s="5275"/>
      <c r="DK88" s="5276"/>
      <c r="DL88" s="5283">
        <v>57.925310000000003</v>
      </c>
      <c r="DM88" s="5284"/>
      <c r="DN88" s="5285"/>
      <c r="DO88" s="5346">
        <f>SUM(CN88+CW88+DF88)</f>
        <v>282</v>
      </c>
      <c r="DP88" s="5347"/>
      <c r="DQ88" s="5348"/>
      <c r="DR88" s="5346">
        <f>SUM(CQ88+CZ88+DI88)</f>
        <v>147.14479</v>
      </c>
      <c r="DS88" s="5347"/>
      <c r="DT88" s="5348"/>
      <c r="DU88" s="5346">
        <f>SUM(CT88+DC88+DL88)</f>
        <v>124.58904000000001</v>
      </c>
      <c r="DV88" s="5347"/>
      <c r="DW88" s="5348"/>
      <c r="DX88" s="5385">
        <f>SUM(DR88-DO88)</f>
        <v>-134.85521</v>
      </c>
      <c r="DY88" s="5386"/>
      <c r="DZ88" s="5387"/>
      <c r="EA88" s="5346">
        <f>SUM(CB88+DO88)</f>
        <v>846</v>
      </c>
      <c r="EB88" s="5347"/>
      <c r="EC88" s="5348"/>
      <c r="ED88" s="5346">
        <f>SUM(CE88+DR88)</f>
        <v>653.9871599999999</v>
      </c>
      <c r="EE88" s="5347"/>
      <c r="EF88" s="5348"/>
      <c r="EG88" s="5346">
        <f>SUM(CH88+DU88)</f>
        <v>921.04299000000015</v>
      </c>
      <c r="EH88" s="5347"/>
      <c r="EI88" s="5348"/>
      <c r="EJ88" s="5385">
        <f>SUM(ED88-EA88)</f>
        <v>-192.0128400000001</v>
      </c>
      <c r="EK88" s="5386"/>
      <c r="EL88" s="5387"/>
      <c r="EM88" s="5352">
        <f>SUM('ПОЛНАЯ СЕБЕСТОИМОСТЬ ВОДА 2023'!BM230:BO230)/3</f>
        <v>94</v>
      </c>
      <c r="EN88" s="5353"/>
      <c r="EO88" s="5354"/>
      <c r="EP88" s="5274">
        <f>SUM('ПОЛНАЯ СЕБЕСТОИМОСТЬ ВОДА 2023'!BP230:BR230)</f>
        <v>0</v>
      </c>
      <c r="EQ88" s="5275"/>
      <c r="ER88" s="5276"/>
      <c r="ES88" s="5283">
        <v>59.332000000000001</v>
      </c>
      <c r="ET88" s="5284"/>
      <c r="EU88" s="5285"/>
      <c r="EV88" s="5352">
        <f>SUM(EM88)</f>
        <v>94</v>
      </c>
      <c r="EW88" s="5353"/>
      <c r="EX88" s="5354"/>
      <c r="EY88" s="5274">
        <f>SUM('ПОЛНАЯ СЕБЕСТОИМОСТЬ ВОДА 2023'!BS230:BU230)</f>
        <v>0</v>
      </c>
      <c r="EZ88" s="5275"/>
      <c r="FA88" s="5276"/>
      <c r="FB88" s="5283">
        <v>39.351959999999998</v>
      </c>
      <c r="FC88" s="5284"/>
      <c r="FD88" s="5285"/>
      <c r="FE88" s="5352">
        <f>SUM(EV88)</f>
        <v>94</v>
      </c>
      <c r="FF88" s="5353"/>
      <c r="FG88" s="5354"/>
      <c r="FH88" s="5274">
        <f>SUM('ПОЛНАЯ СЕБЕСТОИМОСТЬ ВОДА 2023'!BV230:BX230)</f>
        <v>0</v>
      </c>
      <c r="FI88" s="5275"/>
      <c r="FJ88" s="5276"/>
      <c r="FK88" s="5283">
        <v>80.538820000000001</v>
      </c>
      <c r="FL88" s="5284"/>
      <c r="FM88" s="5285"/>
      <c r="FN88" s="5346">
        <f>SUM(EM88+EV88+FE88)</f>
        <v>282</v>
      </c>
      <c r="FO88" s="5347"/>
      <c r="FP88" s="5348"/>
      <c r="FQ88" s="5346">
        <f>SUM(EP88+EY88+FH88)</f>
        <v>0</v>
      </c>
      <c r="FR88" s="5347"/>
      <c r="FS88" s="5348"/>
      <c r="FT88" s="5346">
        <f>SUM(ES88+FB88+FK88)</f>
        <v>179.22278</v>
      </c>
      <c r="FU88" s="5347"/>
      <c r="FV88" s="5348"/>
      <c r="FW88" s="5385">
        <f>SUM(FQ88-FN88)</f>
        <v>-282</v>
      </c>
      <c r="FX88" s="5386"/>
      <c r="FY88" s="5387"/>
      <c r="FZ88" s="5346">
        <f>SUM(EA88+FN88)</f>
        <v>1128</v>
      </c>
      <c r="GA88" s="5347"/>
      <c r="GB88" s="5348"/>
      <c r="GC88" s="5346">
        <f>SUM(ED88+FQ88)</f>
        <v>653.9871599999999</v>
      </c>
      <c r="GD88" s="5347"/>
      <c r="GE88" s="5348"/>
      <c r="GF88" s="5346">
        <f>SUM(EG88+FT88)</f>
        <v>1100.2657700000002</v>
      </c>
      <c r="GG88" s="5347"/>
      <c r="GH88" s="5348"/>
      <c r="GI88" s="5385">
        <f>SUM(GC88-FZ88)</f>
        <v>-474.0128400000001</v>
      </c>
      <c r="GJ88" s="5386"/>
      <c r="GK88" s="5387"/>
      <c r="GL88" s="389"/>
    </row>
    <row r="89" spans="1:195" ht="19.5" x14ac:dyDescent="0.3">
      <c r="A89" s="2785" t="s">
        <v>3750</v>
      </c>
      <c r="B89" s="5355">
        <f>SUM(B76+B85)</f>
        <v>15282.89969049621</v>
      </c>
      <c r="C89" s="5356"/>
      <c r="D89" s="5357"/>
      <c r="E89" s="5355">
        <f t="shared" ref="E89" si="1057">SUM(E76+E85)</f>
        <v>17481.704000000002</v>
      </c>
      <c r="F89" s="5356"/>
      <c r="G89" s="5357"/>
      <c r="H89" s="5355">
        <f t="shared" ref="H89" si="1058">SUM(H76+H85)</f>
        <v>13226.731930000002</v>
      </c>
      <c r="I89" s="5356"/>
      <c r="J89" s="5357"/>
      <c r="K89" s="5355">
        <f t="shared" ref="K89" si="1059">SUM(K76+K85)</f>
        <v>15282.89969049621</v>
      </c>
      <c r="L89" s="5356"/>
      <c r="M89" s="5357"/>
      <c r="N89" s="5265">
        <f t="shared" ref="N89" si="1060">SUM(N76+N85)</f>
        <v>14189.01647</v>
      </c>
      <c r="O89" s="5266"/>
      <c r="P89" s="5267"/>
      <c r="Q89" s="5265">
        <f t="shared" ref="Q89" si="1061">SUM(Q76+Q85)</f>
        <v>9939.551300000001</v>
      </c>
      <c r="R89" s="5266"/>
      <c r="S89" s="5267"/>
      <c r="T89" s="5265">
        <f t="shared" ref="T89" si="1062">SUM(T76+T85)</f>
        <v>15282.89969049621</v>
      </c>
      <c r="U89" s="5266"/>
      <c r="V89" s="5267"/>
      <c r="W89" s="5265">
        <f t="shared" ref="W89" si="1063">SUM(W76+W85)</f>
        <v>15277.086370000003</v>
      </c>
      <c r="X89" s="5266"/>
      <c r="Y89" s="5267"/>
      <c r="Z89" s="5265">
        <f t="shared" ref="Z89:AI89" si="1064">SUM(Z76+Z85)</f>
        <v>16974.475430000002</v>
      </c>
      <c r="AA89" s="5266"/>
      <c r="AB89" s="5267"/>
      <c r="AC89" s="5382">
        <f t="shared" si="1064"/>
        <v>45848.699071488634</v>
      </c>
      <c r="AD89" s="5383"/>
      <c r="AE89" s="5384"/>
      <c r="AF89" s="5379">
        <f t="shared" si="1064"/>
        <v>46947.806839999997</v>
      </c>
      <c r="AG89" s="5380"/>
      <c r="AH89" s="5381"/>
      <c r="AI89" s="5379">
        <f t="shared" si="1064"/>
        <v>40140.75866</v>
      </c>
      <c r="AJ89" s="5380"/>
      <c r="AK89" s="5381"/>
      <c r="AL89" s="5388">
        <f>SUM(AF89-AC89)</f>
        <v>1099.1077685113632</v>
      </c>
      <c r="AM89" s="5389"/>
      <c r="AN89" s="5390"/>
      <c r="AO89" s="5355">
        <f t="shared" ref="AO89:BV89" si="1065">SUM(AO76+AO85)</f>
        <v>15282.89969049621</v>
      </c>
      <c r="AP89" s="5356"/>
      <c r="AQ89" s="5357"/>
      <c r="AR89" s="5355">
        <f t="shared" si="1065"/>
        <v>16046.75547</v>
      </c>
      <c r="AS89" s="5356"/>
      <c r="AT89" s="5357"/>
      <c r="AU89" s="5265">
        <f t="shared" si="1065"/>
        <v>13614.294900000003</v>
      </c>
      <c r="AV89" s="5266"/>
      <c r="AW89" s="5267"/>
      <c r="AX89" s="5355">
        <f t="shared" si="1065"/>
        <v>15282.89969049621</v>
      </c>
      <c r="AY89" s="5356"/>
      <c r="AZ89" s="5357"/>
      <c r="BA89" s="5265">
        <f t="shared" si="1065"/>
        <v>17845.921000000002</v>
      </c>
      <c r="BB89" s="5266"/>
      <c r="BC89" s="5267"/>
      <c r="BD89" s="5265">
        <f t="shared" si="1065"/>
        <v>15773.622669999999</v>
      </c>
      <c r="BE89" s="5266"/>
      <c r="BF89" s="5267"/>
      <c r="BG89" s="5265">
        <f t="shared" si="1065"/>
        <v>15282.89969049621</v>
      </c>
      <c r="BH89" s="5266"/>
      <c r="BI89" s="5267"/>
      <c r="BJ89" s="5265">
        <f t="shared" si="1065"/>
        <v>19452.806680000002</v>
      </c>
      <c r="BK89" s="5266"/>
      <c r="BL89" s="5267"/>
      <c r="BM89" s="5265">
        <f t="shared" si="1065"/>
        <v>16809.923299999995</v>
      </c>
      <c r="BN89" s="5266"/>
      <c r="BO89" s="5267"/>
      <c r="BP89" s="5382">
        <f t="shared" si="1065"/>
        <v>45848.699071488634</v>
      </c>
      <c r="BQ89" s="5383"/>
      <c r="BR89" s="5384"/>
      <c r="BS89" s="5379">
        <f t="shared" si="1065"/>
        <v>53345.483149999993</v>
      </c>
      <c r="BT89" s="5380"/>
      <c r="BU89" s="5381"/>
      <c r="BV89" s="5379">
        <f t="shared" si="1065"/>
        <v>46197.84087</v>
      </c>
      <c r="BW89" s="5380"/>
      <c r="BX89" s="5381"/>
      <c r="BY89" s="5388">
        <f>SUM(BS89-BP89)</f>
        <v>7496.7840785113585</v>
      </c>
      <c r="BZ89" s="5389"/>
      <c r="CA89" s="5390"/>
      <c r="CB89" s="5379">
        <f t="shared" ref="CB89:CH89" si="1066">SUM(CB76+CB85)</f>
        <v>91697.398142977268</v>
      </c>
      <c r="CC89" s="5380"/>
      <c r="CD89" s="5381"/>
      <c r="CE89" s="5379">
        <f t="shared" si="1066"/>
        <v>100293.28999</v>
      </c>
      <c r="CF89" s="5380"/>
      <c r="CG89" s="5381"/>
      <c r="CH89" s="5379">
        <f t="shared" si="1066"/>
        <v>86338.599529999992</v>
      </c>
      <c r="CI89" s="5380"/>
      <c r="CJ89" s="5381"/>
      <c r="CK89" s="5391">
        <f>SUM(CE89-CB89)</f>
        <v>8595.8918470227363</v>
      </c>
      <c r="CL89" s="5392"/>
      <c r="CM89" s="5393"/>
      <c r="CN89" s="5355">
        <f t="shared" ref="CN89:DU89" si="1067">SUM(CN76+CN85)</f>
        <v>15282.89969049621</v>
      </c>
      <c r="CO89" s="5356"/>
      <c r="CP89" s="5357"/>
      <c r="CQ89" s="5265">
        <f t="shared" si="1067"/>
        <v>13327.070590000001</v>
      </c>
      <c r="CR89" s="5266"/>
      <c r="CS89" s="5267"/>
      <c r="CT89" s="5265">
        <f t="shared" si="1067"/>
        <v>16056.270030000001</v>
      </c>
      <c r="CU89" s="5266"/>
      <c r="CV89" s="5267"/>
      <c r="CW89" s="5355">
        <f t="shared" si="1067"/>
        <v>15282.89969049621</v>
      </c>
      <c r="CX89" s="5356"/>
      <c r="CY89" s="5357"/>
      <c r="CZ89" s="5265">
        <f t="shared" si="1067"/>
        <v>0</v>
      </c>
      <c r="DA89" s="5266"/>
      <c r="DB89" s="5267"/>
      <c r="DC89" s="5265">
        <f t="shared" si="1067"/>
        <v>17018.501199999999</v>
      </c>
      <c r="DD89" s="5266"/>
      <c r="DE89" s="5267"/>
      <c r="DF89" s="5355">
        <f t="shared" si="1067"/>
        <v>15282.89969049621</v>
      </c>
      <c r="DG89" s="5356"/>
      <c r="DH89" s="5357"/>
      <c r="DI89" s="5265">
        <f t="shared" si="1067"/>
        <v>0</v>
      </c>
      <c r="DJ89" s="5266"/>
      <c r="DK89" s="5267"/>
      <c r="DL89" s="5265">
        <f t="shared" si="1067"/>
        <v>15344.628420000001</v>
      </c>
      <c r="DM89" s="5266"/>
      <c r="DN89" s="5267"/>
      <c r="DO89" s="5382">
        <f t="shared" si="1067"/>
        <v>45848.699071488634</v>
      </c>
      <c r="DP89" s="5383"/>
      <c r="DQ89" s="5384"/>
      <c r="DR89" s="5379">
        <f t="shared" si="1067"/>
        <v>13327.070590000001</v>
      </c>
      <c r="DS89" s="5380"/>
      <c r="DT89" s="5381"/>
      <c r="DU89" s="5379">
        <f t="shared" si="1067"/>
        <v>48419.399649999999</v>
      </c>
      <c r="DV89" s="5380"/>
      <c r="DW89" s="5381"/>
      <c r="DX89" s="5388">
        <f>SUM(DR89-DO89)</f>
        <v>-32521.628481488631</v>
      </c>
      <c r="DY89" s="5389"/>
      <c r="DZ89" s="5390"/>
      <c r="EA89" s="5382">
        <f t="shared" ref="EA89:EG89" si="1068">SUM(EA76+EA85)</f>
        <v>137546.09721446593</v>
      </c>
      <c r="EB89" s="5383"/>
      <c r="EC89" s="5384"/>
      <c r="ED89" s="5379">
        <f t="shared" si="1068"/>
        <v>113620.36057999999</v>
      </c>
      <c r="EE89" s="5380"/>
      <c r="EF89" s="5381"/>
      <c r="EG89" s="5379">
        <f t="shared" si="1068"/>
        <v>134757.99917999998</v>
      </c>
      <c r="EH89" s="5380"/>
      <c r="EI89" s="5381"/>
      <c r="EJ89" s="5388">
        <f>SUM(ED89-EA89)</f>
        <v>-23925.736634465939</v>
      </c>
      <c r="EK89" s="5389"/>
      <c r="EL89" s="5390"/>
      <c r="EM89" s="5355">
        <f t="shared" ref="EM89:FT89" si="1069">SUM(EM76+EM85)</f>
        <v>15282.89969049621</v>
      </c>
      <c r="EN89" s="5356"/>
      <c r="EO89" s="5357"/>
      <c r="EP89" s="5265">
        <f t="shared" si="1069"/>
        <v>0</v>
      </c>
      <c r="EQ89" s="5266"/>
      <c r="ER89" s="5267"/>
      <c r="ES89" s="5265">
        <f t="shared" si="1069"/>
        <v>14090.319959999999</v>
      </c>
      <c r="ET89" s="5266"/>
      <c r="EU89" s="5267"/>
      <c r="EV89" s="5355">
        <f t="shared" si="1069"/>
        <v>15282.89969049621</v>
      </c>
      <c r="EW89" s="5356"/>
      <c r="EX89" s="5357"/>
      <c r="EY89" s="5265">
        <f t="shared" si="1069"/>
        <v>0</v>
      </c>
      <c r="EZ89" s="5266"/>
      <c r="FA89" s="5267"/>
      <c r="FB89" s="5265">
        <f t="shared" si="1069"/>
        <v>14569.856969999999</v>
      </c>
      <c r="FC89" s="5266"/>
      <c r="FD89" s="5267"/>
      <c r="FE89" s="5355">
        <f t="shared" si="1069"/>
        <v>15282.89969049621</v>
      </c>
      <c r="FF89" s="5356"/>
      <c r="FG89" s="5357"/>
      <c r="FH89" s="5265">
        <f t="shared" si="1069"/>
        <v>0</v>
      </c>
      <c r="FI89" s="5266"/>
      <c r="FJ89" s="5267"/>
      <c r="FK89" s="5265">
        <f t="shared" si="1069"/>
        <v>15736.286229999998</v>
      </c>
      <c r="FL89" s="5266"/>
      <c r="FM89" s="5267"/>
      <c r="FN89" s="5382">
        <f t="shared" si="1069"/>
        <v>45848.699071488634</v>
      </c>
      <c r="FO89" s="5383"/>
      <c r="FP89" s="5384"/>
      <c r="FQ89" s="5379">
        <f t="shared" si="1069"/>
        <v>0</v>
      </c>
      <c r="FR89" s="5380"/>
      <c r="FS89" s="5381"/>
      <c r="FT89" s="5379">
        <f t="shared" si="1069"/>
        <v>44396.463159999999</v>
      </c>
      <c r="FU89" s="5380"/>
      <c r="FV89" s="5381"/>
      <c r="FW89" s="5388">
        <f>SUM(FQ89-FN89)</f>
        <v>-45848.699071488634</v>
      </c>
      <c r="FX89" s="5389"/>
      <c r="FY89" s="5390"/>
      <c r="FZ89" s="5382">
        <f t="shared" ref="FZ89:GF89" si="1070">SUM(FZ76+FZ85)</f>
        <v>183394.79628595454</v>
      </c>
      <c r="GA89" s="5383"/>
      <c r="GB89" s="5384"/>
      <c r="GC89" s="5379">
        <f t="shared" si="1070"/>
        <v>113620.36057999999</v>
      </c>
      <c r="GD89" s="5380"/>
      <c r="GE89" s="5381"/>
      <c r="GF89" s="5379">
        <f t="shared" si="1070"/>
        <v>179154.46233999997</v>
      </c>
      <c r="GG89" s="5380"/>
      <c r="GH89" s="5381"/>
      <c r="GI89" s="5388">
        <f>SUM(GC89-FZ89)</f>
        <v>-69774.435705954544</v>
      </c>
      <c r="GJ89" s="5389"/>
      <c r="GK89" s="5390"/>
      <c r="GL89" s="389"/>
    </row>
    <row r="90" spans="1:195" ht="18.75" x14ac:dyDescent="0.3">
      <c r="A90" s="1655"/>
      <c r="B90" s="389"/>
      <c r="C90" s="389"/>
      <c r="D90" s="389"/>
      <c r="E90" s="389"/>
      <c r="F90" s="389"/>
      <c r="G90" s="389"/>
      <c r="H90" s="389"/>
      <c r="I90" s="389"/>
      <c r="J90" s="389"/>
      <c r="K90" s="389"/>
      <c r="L90" s="389"/>
      <c r="M90" s="389"/>
      <c r="N90" s="389"/>
      <c r="O90" s="389"/>
      <c r="P90" s="389"/>
      <c r="Q90" s="389"/>
      <c r="R90" s="389"/>
      <c r="S90" s="389"/>
      <c r="T90" s="389"/>
      <c r="U90" s="389"/>
      <c r="V90" s="389"/>
      <c r="W90" s="389"/>
      <c r="X90" s="389"/>
      <c r="Y90" s="389"/>
      <c r="Z90" s="389"/>
      <c r="AA90" s="389"/>
      <c r="AB90" s="389"/>
      <c r="AC90" s="389"/>
      <c r="AD90" s="389"/>
      <c r="AE90" s="389"/>
      <c r="AF90" s="389"/>
      <c r="AG90" s="389"/>
      <c r="AH90" s="389"/>
      <c r="AI90" s="389"/>
      <c r="AJ90" s="389"/>
      <c r="AK90" s="389"/>
      <c r="AL90" s="389"/>
      <c r="AM90" s="389"/>
      <c r="AN90" s="389"/>
      <c r="AO90" s="389"/>
      <c r="AP90" s="389"/>
      <c r="AQ90" s="389"/>
      <c r="AR90" s="389"/>
      <c r="AS90" s="389"/>
      <c r="AT90" s="389"/>
      <c r="AU90" s="389"/>
      <c r="AV90" s="389"/>
      <c r="AW90" s="389"/>
      <c r="AX90" s="389"/>
      <c r="AY90" s="389"/>
      <c r="AZ90" s="389"/>
      <c r="BA90" s="389"/>
      <c r="BB90" s="389"/>
      <c r="BC90" s="389"/>
      <c r="BD90" s="389"/>
      <c r="BE90" s="389"/>
      <c r="BF90" s="389"/>
      <c r="BG90" s="389"/>
      <c r="BH90" s="389"/>
      <c r="BI90" s="389"/>
      <c r="BJ90" s="389"/>
      <c r="BK90" s="389"/>
      <c r="BL90" s="389"/>
      <c r="BM90" s="389"/>
      <c r="BN90" s="389"/>
      <c r="BO90" s="389"/>
      <c r="BP90" s="389"/>
      <c r="BQ90" s="389"/>
      <c r="BR90" s="389"/>
      <c r="BS90" s="389"/>
      <c r="BT90" s="389"/>
      <c r="BU90" s="389"/>
      <c r="BV90" s="389"/>
      <c r="BW90" s="389"/>
      <c r="BX90" s="389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2617"/>
      <c r="CO90" s="2617"/>
      <c r="CP90" s="2617"/>
      <c r="CQ90" s="2617"/>
      <c r="CR90" s="2617"/>
      <c r="CS90" s="2617"/>
      <c r="CT90" s="2617"/>
      <c r="CU90" s="2617"/>
      <c r="CV90" s="2617"/>
      <c r="CW90" s="2617"/>
      <c r="CX90" s="2617"/>
      <c r="CY90" s="2617"/>
      <c r="CZ90" s="2617"/>
      <c r="DA90" s="2617"/>
      <c r="DB90" s="2617"/>
      <c r="DC90" s="2617"/>
      <c r="DD90" s="2617"/>
      <c r="DE90" s="2617"/>
      <c r="DF90" s="2617"/>
      <c r="DG90" s="2617"/>
      <c r="DH90" s="2617"/>
      <c r="DI90" s="2617"/>
      <c r="DJ90" s="2617"/>
      <c r="DK90" s="2617"/>
      <c r="DL90" s="2617"/>
      <c r="DM90" s="2617"/>
      <c r="DN90" s="2617"/>
      <c r="DO90" s="389"/>
      <c r="DP90" s="389"/>
      <c r="DQ90" s="389"/>
      <c r="DR90" s="389"/>
      <c r="DS90" s="389"/>
      <c r="DT90" s="389"/>
      <c r="DU90" s="389"/>
      <c r="DV90" s="389"/>
      <c r="DW90" s="389"/>
      <c r="DX90" s="389"/>
      <c r="DY90" s="389"/>
      <c r="DZ90" s="389"/>
      <c r="EA90" s="389"/>
      <c r="EB90" s="389"/>
      <c r="EC90" s="389"/>
      <c r="ED90" s="389"/>
      <c r="EE90" s="389"/>
      <c r="EF90" s="389"/>
      <c r="EG90" s="389"/>
      <c r="EH90" s="389"/>
      <c r="EI90" s="389"/>
      <c r="EJ90" s="389"/>
      <c r="EK90" s="389"/>
      <c r="EL90" s="389"/>
      <c r="EM90" s="2617"/>
      <c r="EN90" s="2617"/>
      <c r="EO90" s="2617"/>
      <c r="EP90" s="2617"/>
      <c r="EQ90" s="2617"/>
      <c r="ER90" s="2617"/>
      <c r="ES90" s="2617"/>
      <c r="ET90" s="2617"/>
      <c r="EU90" s="2617"/>
      <c r="EV90" s="2617"/>
      <c r="EW90" s="2617"/>
      <c r="EX90" s="2617"/>
      <c r="EY90" s="2617"/>
      <c r="EZ90" s="2617"/>
      <c r="FA90" s="2617"/>
      <c r="FB90" s="2617"/>
      <c r="FC90" s="2617"/>
      <c r="FD90" s="2617"/>
      <c r="FE90" s="2617"/>
      <c r="FF90" s="2617"/>
      <c r="FG90" s="2617"/>
      <c r="FH90" s="2617"/>
      <c r="FI90" s="2617"/>
      <c r="FJ90" s="2617"/>
      <c r="FK90" s="2617"/>
      <c r="FL90" s="2617"/>
      <c r="FM90" s="2617"/>
      <c r="FN90" s="389"/>
      <c r="FO90" s="389"/>
      <c r="FP90" s="389"/>
      <c r="FQ90" s="389"/>
      <c r="FR90" s="389"/>
      <c r="FS90" s="389"/>
      <c r="FT90" s="389"/>
      <c r="FU90" s="389"/>
      <c r="FV90" s="389"/>
      <c r="FW90" s="389"/>
      <c r="FX90" s="389"/>
      <c r="FY90" s="389"/>
      <c r="FZ90" s="389"/>
      <c r="GA90" s="389"/>
      <c r="GB90" s="389"/>
      <c r="GC90" s="389"/>
      <c r="GD90" s="389"/>
      <c r="GE90" s="389"/>
      <c r="GF90" s="389"/>
      <c r="GG90" s="389"/>
      <c r="GH90" s="389"/>
      <c r="GI90" s="389"/>
      <c r="GJ90" s="389"/>
      <c r="GK90" s="389"/>
      <c r="GL90" s="389"/>
    </row>
    <row r="91" spans="1:195" ht="18.75" x14ac:dyDescent="0.3">
      <c r="A91" s="1655"/>
      <c r="B91" s="1655"/>
      <c r="C91" s="1655"/>
      <c r="D91" s="1655"/>
      <c r="E91" s="1655"/>
      <c r="F91" s="1655"/>
      <c r="G91" s="1655"/>
      <c r="H91" s="1655"/>
      <c r="I91" s="1655"/>
      <c r="J91" s="1655"/>
      <c r="K91" s="1655"/>
      <c r="L91" s="1655"/>
      <c r="M91" s="1655"/>
      <c r="N91" s="1655"/>
      <c r="O91" s="1655"/>
      <c r="P91" s="1655"/>
      <c r="Q91" s="1655"/>
      <c r="R91" s="1655"/>
      <c r="S91" s="1655"/>
      <c r="T91" s="1655"/>
      <c r="U91" s="1655"/>
      <c r="V91" s="1655"/>
      <c r="W91" s="1655"/>
      <c r="X91" s="1655"/>
      <c r="Y91" s="1655"/>
      <c r="Z91" s="1655"/>
      <c r="AA91" s="1655"/>
      <c r="AB91" s="1655"/>
      <c r="AC91" s="1655"/>
      <c r="AD91" s="1655"/>
      <c r="AE91" s="1655"/>
      <c r="AF91" s="1655"/>
      <c r="AG91" s="1655"/>
      <c r="AH91" s="1655"/>
      <c r="AI91" s="1655"/>
      <c r="AJ91" s="1655"/>
      <c r="AK91" s="1655"/>
      <c r="AL91" s="1655" t="s">
        <v>3751</v>
      </c>
      <c r="AM91" s="1655"/>
      <c r="AN91" s="1655"/>
      <c r="AO91" s="389"/>
      <c r="AP91" s="389"/>
      <c r="AQ91" s="389"/>
      <c r="AR91" s="389"/>
      <c r="AS91" s="389"/>
      <c r="AT91" s="389"/>
      <c r="AU91" s="389"/>
      <c r="AV91" s="389"/>
      <c r="AW91" s="389"/>
      <c r="AX91" s="389"/>
      <c r="AY91" s="389"/>
      <c r="AZ91" s="389"/>
      <c r="BA91" s="389"/>
      <c r="BB91" s="389"/>
      <c r="BC91" s="389"/>
      <c r="BD91" s="389"/>
      <c r="BE91" s="389"/>
      <c r="BF91" s="389"/>
      <c r="BG91" s="389"/>
      <c r="BH91" s="389"/>
      <c r="BI91" s="389"/>
      <c r="BJ91" s="389"/>
      <c r="BK91" s="389"/>
      <c r="BL91" s="389"/>
      <c r="BM91" s="389"/>
      <c r="BN91" s="389"/>
      <c r="BO91" s="389"/>
      <c r="BP91" s="389"/>
      <c r="BQ91" s="389"/>
      <c r="BR91" s="389"/>
      <c r="BS91" s="389"/>
      <c r="BT91" s="389"/>
      <c r="BU91" s="389"/>
      <c r="BV91" s="389"/>
      <c r="BW91" s="389"/>
      <c r="BX91" s="389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2617"/>
      <c r="CO91" s="2617"/>
      <c r="CP91" s="2617"/>
      <c r="CQ91" s="2617"/>
      <c r="CR91" s="2617"/>
      <c r="CS91" s="2617"/>
      <c r="CT91" s="389"/>
      <c r="CU91" s="389"/>
      <c r="CV91" s="389"/>
      <c r="CW91" s="2617"/>
      <c r="CX91" s="2617"/>
      <c r="CY91" s="2617"/>
      <c r="CZ91" s="2617"/>
      <c r="DA91" s="2617"/>
      <c r="DB91" s="2617"/>
      <c r="DC91" s="2617"/>
      <c r="DD91" s="2617"/>
      <c r="DE91" s="2617"/>
      <c r="DF91" s="2617"/>
      <c r="DG91" s="2617"/>
      <c r="DH91" s="2617"/>
      <c r="DI91" s="2617"/>
      <c r="DJ91" s="2617"/>
      <c r="DK91" s="2617"/>
      <c r="DL91" s="2617"/>
      <c r="DM91" s="2617"/>
      <c r="DN91" s="2617"/>
      <c r="DO91" s="389"/>
      <c r="DP91" s="389"/>
      <c r="DQ91" s="389"/>
      <c r="DR91" s="389"/>
      <c r="DS91" s="389"/>
      <c r="DT91" s="389"/>
      <c r="DU91" s="389"/>
      <c r="DV91" s="389"/>
      <c r="DW91" s="389"/>
      <c r="DX91" s="389"/>
      <c r="DY91" s="389"/>
      <c r="DZ91" s="389"/>
      <c r="EA91" s="389"/>
      <c r="EB91" s="389"/>
      <c r="EC91" s="389"/>
      <c r="ED91" s="389"/>
      <c r="EE91" s="389"/>
      <c r="EF91" s="389"/>
      <c r="EG91" s="389"/>
      <c r="EH91" s="389"/>
      <c r="EI91" s="389"/>
      <c r="EJ91" s="389"/>
      <c r="EK91" s="389"/>
      <c r="EL91" s="389"/>
      <c r="EM91" s="2617"/>
      <c r="EN91" s="2617"/>
      <c r="EO91" s="2617"/>
      <c r="EP91" s="2617"/>
      <c r="EQ91" s="2617"/>
      <c r="ER91" s="2617"/>
      <c r="ES91" s="2617"/>
      <c r="ET91" s="2617"/>
      <c r="EU91" s="2617"/>
      <c r="EV91" s="2617"/>
      <c r="EW91" s="2617"/>
      <c r="EX91" s="2617"/>
      <c r="EY91" s="2617"/>
      <c r="EZ91" s="2617"/>
      <c r="FA91" s="2617"/>
      <c r="FB91" s="2617"/>
      <c r="FC91" s="2617"/>
      <c r="FD91" s="2617"/>
      <c r="FE91" s="2617"/>
      <c r="FF91" s="2617"/>
      <c r="FG91" s="2617"/>
      <c r="FH91" s="2617"/>
      <c r="FI91" s="2617"/>
      <c r="FJ91" s="2617"/>
      <c r="FK91" s="2617"/>
      <c r="FL91" s="2617"/>
      <c r="FM91" s="2617"/>
      <c r="FN91" s="389"/>
      <c r="FO91" s="389"/>
      <c r="FP91" s="389"/>
      <c r="FQ91" s="389"/>
      <c r="FR91" s="389"/>
      <c r="FS91" s="389"/>
      <c r="FT91" s="389"/>
      <c r="FU91" s="389"/>
      <c r="FV91" s="389"/>
      <c r="FW91" s="389"/>
      <c r="FX91" s="389"/>
      <c r="FY91" s="389"/>
      <c r="FZ91" s="389"/>
      <c r="GA91" s="389"/>
      <c r="GB91" s="389"/>
      <c r="GC91" s="389"/>
      <c r="GD91" s="389"/>
      <c r="GE91" s="389"/>
      <c r="GF91" s="389"/>
      <c r="GG91" s="389"/>
      <c r="GH91" s="389"/>
      <c r="GI91" s="389"/>
      <c r="GJ91" s="389"/>
      <c r="GK91" s="389"/>
      <c r="GL91" s="389"/>
    </row>
    <row r="92" spans="1:195" ht="18.75" x14ac:dyDescent="0.3">
      <c r="A92" s="1655"/>
      <c r="B92" s="1655"/>
      <c r="C92" s="1655"/>
      <c r="D92" s="1654"/>
      <c r="E92" s="1655"/>
      <c r="F92" s="1655"/>
      <c r="G92" s="1655"/>
      <c r="H92" s="1655"/>
      <c r="I92" s="1655"/>
      <c r="J92" s="1655"/>
      <c r="K92" s="1655"/>
      <c r="L92" s="1655"/>
      <c r="M92" s="1655"/>
      <c r="N92" s="1655"/>
      <c r="O92" s="1655"/>
      <c r="P92" s="1655"/>
      <c r="Q92" s="1655"/>
      <c r="R92" s="1655"/>
      <c r="S92" s="1655"/>
      <c r="T92" s="1655"/>
      <c r="U92" s="1655"/>
      <c r="V92" s="1655"/>
      <c r="W92" s="1655"/>
      <c r="X92" s="1655"/>
      <c r="Y92" s="1655"/>
      <c r="Z92" s="1655"/>
      <c r="AA92" s="1655"/>
      <c r="AB92" s="1655"/>
      <c r="AC92" s="1655"/>
      <c r="AD92" s="1655"/>
      <c r="AE92" s="1655"/>
      <c r="AF92" s="1655"/>
      <c r="AG92" s="1655"/>
      <c r="AH92" s="1655"/>
      <c r="AI92" s="1655"/>
      <c r="AJ92" s="1655"/>
      <c r="AK92" s="1655"/>
      <c r="AL92" s="1655"/>
      <c r="AM92" s="1655"/>
      <c r="AN92" s="1655"/>
      <c r="AO92" s="389"/>
      <c r="AP92" s="389"/>
      <c r="AQ92" s="389"/>
      <c r="AR92" s="389"/>
      <c r="AS92" s="389"/>
      <c r="AT92" s="389"/>
      <c r="AU92" s="389"/>
      <c r="AV92" s="389"/>
      <c r="AW92" s="389"/>
      <c r="AX92" s="389"/>
      <c r="AY92" s="389"/>
      <c r="AZ92" s="389"/>
      <c r="BA92" s="389"/>
      <c r="BB92" s="389"/>
      <c r="BC92" s="389"/>
      <c r="BD92" s="389"/>
      <c r="BE92" s="389"/>
      <c r="BF92" s="389"/>
      <c r="BG92" s="389"/>
      <c r="BH92" s="389"/>
      <c r="BI92" s="389"/>
      <c r="BJ92" s="389"/>
      <c r="BK92" s="389"/>
      <c r="BL92" s="389"/>
      <c r="BM92" s="389"/>
      <c r="BN92" s="389"/>
      <c r="BO92" s="389"/>
      <c r="BP92" s="389"/>
      <c r="BQ92" s="389"/>
      <c r="BR92" s="389"/>
      <c r="BS92" s="389"/>
      <c r="BT92" s="389"/>
      <c r="BU92" s="389"/>
      <c r="BV92" s="389"/>
      <c r="BW92" s="389"/>
      <c r="BX92" s="389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2617"/>
      <c r="CO92" s="2617"/>
      <c r="CP92" s="2617"/>
      <c r="CQ92" s="2617"/>
      <c r="CR92" s="2617"/>
      <c r="CS92" s="2617"/>
      <c r="CT92" s="389"/>
      <c r="CU92" s="389"/>
      <c r="CV92" s="389"/>
      <c r="CW92" s="2617"/>
      <c r="CX92" s="2617"/>
      <c r="CY92" s="2617"/>
      <c r="CZ92" s="2617"/>
      <c r="DA92" s="2617"/>
      <c r="DB92" s="2617"/>
      <c r="DC92" s="2617"/>
      <c r="DD92" s="2617"/>
      <c r="DE92" s="2617"/>
      <c r="DF92" s="2617"/>
      <c r="DG92" s="2617"/>
      <c r="DH92" s="2617"/>
      <c r="DI92" s="2617"/>
      <c r="DJ92" s="2617"/>
      <c r="DK92" s="2617"/>
      <c r="DL92" s="2617"/>
      <c r="DM92" s="2617"/>
      <c r="DN92" s="2617"/>
      <c r="DO92" s="389"/>
      <c r="DP92" s="389"/>
      <c r="DQ92" s="389"/>
      <c r="DR92" s="389"/>
      <c r="DS92" s="389"/>
      <c r="DT92" s="389"/>
      <c r="DU92" s="389"/>
      <c r="DV92" s="389"/>
      <c r="DW92" s="389"/>
      <c r="DX92" s="389"/>
      <c r="DY92" s="389"/>
      <c r="DZ92" s="389"/>
      <c r="EA92" s="389"/>
      <c r="EB92" s="389"/>
      <c r="EC92" s="389"/>
      <c r="ED92" s="389"/>
      <c r="EE92" s="389"/>
      <c r="EF92" s="389"/>
      <c r="EG92" s="389"/>
      <c r="EH92" s="389"/>
      <c r="EI92" s="389"/>
      <c r="EJ92" s="389"/>
      <c r="EK92" s="389"/>
      <c r="EL92" s="389"/>
      <c r="EM92" s="2617"/>
      <c r="EN92" s="2617"/>
      <c r="EO92" s="2617"/>
      <c r="EP92" s="2617"/>
      <c r="EQ92" s="2617"/>
      <c r="ER92" s="2617"/>
      <c r="ES92" s="2617"/>
      <c r="ET92" s="2617"/>
      <c r="EU92" s="2617"/>
      <c r="EV92" s="2617"/>
      <c r="EW92" s="2617"/>
      <c r="EX92" s="2617"/>
      <c r="EY92" s="2617"/>
      <c r="EZ92" s="2617"/>
      <c r="FA92" s="2617"/>
      <c r="FB92" s="2617"/>
      <c r="FC92" s="2617"/>
      <c r="FD92" s="2617"/>
      <c r="FE92" s="2617"/>
      <c r="FF92" s="2617"/>
      <c r="FG92" s="2617"/>
      <c r="FH92" s="2617"/>
      <c r="FI92" s="2617"/>
      <c r="FJ92" s="2617"/>
      <c r="FK92" s="2617"/>
      <c r="FL92" s="2617"/>
      <c r="FM92" s="2617"/>
      <c r="FN92" s="389"/>
      <c r="FO92" s="389"/>
      <c r="FP92" s="389"/>
      <c r="FQ92" s="389"/>
      <c r="FR92" s="389"/>
      <c r="FS92" s="389"/>
      <c r="FT92" s="389"/>
      <c r="FU92" s="389"/>
      <c r="FV92" s="389"/>
      <c r="FW92" s="389"/>
      <c r="FX92" s="389"/>
      <c r="FY92" s="389"/>
      <c r="FZ92" s="389"/>
      <c r="GA92" s="389"/>
      <c r="GB92" s="389"/>
      <c r="GC92" s="389"/>
      <c r="GD92" s="389"/>
      <c r="GE92" s="389"/>
      <c r="GF92" s="389"/>
      <c r="GG92" s="389"/>
      <c r="GH92" s="389"/>
      <c r="GI92" s="389"/>
      <c r="GJ92" s="389"/>
      <c r="GK92" s="389"/>
      <c r="GL92" s="389"/>
    </row>
    <row r="93" spans="1:195" ht="18.75" x14ac:dyDescent="0.3">
      <c r="A93" s="1655"/>
      <c r="B93" s="2856"/>
      <c r="C93" s="2856"/>
      <c r="D93" s="2856"/>
      <c r="E93" s="2856"/>
      <c r="F93" s="2856"/>
      <c r="G93" s="2856"/>
      <c r="H93" s="2856"/>
      <c r="I93" s="2856"/>
      <c r="J93" s="2856"/>
      <c r="K93" s="2856"/>
      <c r="L93" s="2856"/>
      <c r="M93" s="2856"/>
      <c r="N93" s="2856"/>
      <c r="O93" s="2856"/>
      <c r="P93" s="2856"/>
      <c r="Q93" s="2856"/>
      <c r="R93" s="2856"/>
      <c r="S93" s="2856"/>
      <c r="T93" s="2856"/>
      <c r="U93" s="2856"/>
      <c r="V93" s="2856"/>
      <c r="W93" s="2856"/>
      <c r="X93" s="2856"/>
      <c r="Y93" s="2856"/>
      <c r="Z93" s="2856"/>
      <c r="AA93" s="2856"/>
      <c r="AB93" s="2856"/>
      <c r="AC93" s="2856"/>
      <c r="AD93" s="2856"/>
      <c r="AE93" s="2856"/>
      <c r="AF93" s="2856"/>
      <c r="AG93" s="2856"/>
      <c r="AH93" s="2856"/>
      <c r="AI93" s="2856"/>
      <c r="AJ93" s="2856"/>
      <c r="AK93" s="2856"/>
      <c r="AL93" s="2856" t="s">
        <v>1390</v>
      </c>
      <c r="AM93" s="2856"/>
      <c r="AN93" s="2856"/>
      <c r="AO93" s="565"/>
      <c r="AP93" s="565"/>
      <c r="AQ93" s="565"/>
      <c r="AR93" s="565"/>
      <c r="AS93" s="565"/>
      <c r="AT93" s="565"/>
      <c r="AU93" s="565"/>
      <c r="AV93" s="565"/>
      <c r="AW93" s="565"/>
      <c r="AX93" s="565"/>
      <c r="AY93" s="565"/>
      <c r="AZ93" s="565"/>
      <c r="BA93" s="565"/>
      <c r="BB93" s="565"/>
      <c r="BC93" s="565"/>
      <c r="BD93" s="565"/>
      <c r="BE93" s="565"/>
      <c r="BF93" s="565"/>
      <c r="BG93" s="565"/>
      <c r="BH93" s="565"/>
      <c r="BI93" s="565"/>
      <c r="BJ93" s="565"/>
      <c r="BK93" s="565"/>
      <c r="BL93" s="565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2617"/>
      <c r="CO93" s="2617"/>
      <c r="CP93" s="2617"/>
      <c r="CQ93" s="2617"/>
      <c r="CR93" s="2617"/>
      <c r="CS93" s="2617"/>
      <c r="CT93" s="2617"/>
      <c r="CU93" s="2617"/>
      <c r="CV93" s="2617"/>
      <c r="CW93" s="2617"/>
      <c r="CX93" s="2617"/>
      <c r="CY93" s="2617"/>
      <c r="CZ93" s="2617"/>
      <c r="DA93" s="2617"/>
      <c r="DB93" s="2617"/>
      <c r="DC93" s="2617"/>
      <c r="DD93" s="2617"/>
      <c r="DE93" s="2617"/>
      <c r="DF93" s="2617"/>
      <c r="DG93" s="2617"/>
      <c r="DH93" s="2617"/>
      <c r="DI93" s="2617"/>
      <c r="DJ93" s="2617"/>
      <c r="DK93" s="2617"/>
      <c r="DL93" s="2617"/>
      <c r="DM93" s="2617"/>
      <c r="DN93" s="2617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2617"/>
      <c r="EN93" s="2617"/>
      <c r="EO93" s="2617"/>
      <c r="EP93" s="2617"/>
      <c r="EQ93" s="2617"/>
      <c r="ER93" s="2617"/>
      <c r="ES93" s="2617"/>
      <c r="ET93" s="2617"/>
      <c r="EU93" s="2617"/>
      <c r="EV93" s="2617"/>
      <c r="EW93" s="2617"/>
      <c r="EX93" s="2617"/>
      <c r="EY93" s="2617"/>
      <c r="EZ93" s="2617"/>
      <c r="FA93" s="2617"/>
      <c r="FB93" s="2617"/>
      <c r="FC93" s="2617"/>
      <c r="FD93" s="2617"/>
      <c r="FE93" s="2617"/>
      <c r="FF93" s="2617"/>
      <c r="FG93" s="2617"/>
      <c r="FH93" s="2617"/>
      <c r="FI93" s="2617"/>
      <c r="FJ93" s="2617"/>
      <c r="FK93" s="2617"/>
      <c r="FL93" s="2617"/>
      <c r="FM93" s="2617"/>
      <c r="FN93" s="389"/>
      <c r="FO93" s="389"/>
      <c r="FP93" s="389"/>
      <c r="FQ93" s="389"/>
      <c r="FR93" s="389"/>
      <c r="FS93" s="389"/>
      <c r="FT93" s="389"/>
      <c r="FU93" s="389"/>
      <c r="FV93" s="389"/>
      <c r="FW93" s="389"/>
      <c r="FX93" s="389"/>
      <c r="FY93" s="389"/>
      <c r="FZ93" s="389"/>
      <c r="GA93" s="389"/>
      <c r="GB93" s="389"/>
      <c r="GC93" s="389"/>
      <c r="GD93" s="389"/>
      <c r="GE93" s="389"/>
      <c r="GF93" s="389"/>
      <c r="GG93" s="389"/>
      <c r="GH93" s="389"/>
      <c r="GI93" s="389"/>
      <c r="GJ93" s="389"/>
      <c r="GK93" s="389"/>
      <c r="GL93" s="389"/>
    </row>
    <row r="94" spans="1:195" ht="18.75" x14ac:dyDescent="0.3">
      <c r="A94" s="1655"/>
      <c r="B94" s="2856"/>
      <c r="C94" s="2856"/>
      <c r="D94" s="2856"/>
      <c r="E94" s="2856"/>
      <c r="F94" s="2856"/>
      <c r="G94" s="2856"/>
      <c r="H94" s="2856"/>
      <c r="I94" s="2856"/>
      <c r="J94" s="2856"/>
      <c r="K94" s="2856"/>
      <c r="L94" s="2856"/>
      <c r="M94" s="2856"/>
      <c r="N94" s="2856"/>
      <c r="O94" s="2856"/>
      <c r="P94" s="2856"/>
      <c r="Q94" s="2856"/>
      <c r="R94" s="2856"/>
      <c r="S94" s="2856"/>
      <c r="T94" s="2856"/>
      <c r="U94" s="2856"/>
      <c r="V94" s="2856"/>
      <c r="W94" s="2856"/>
      <c r="X94" s="2856"/>
      <c r="Y94" s="2856"/>
      <c r="Z94" s="2856"/>
      <c r="AA94" s="2856"/>
      <c r="AB94" s="2856"/>
      <c r="AC94" s="2856"/>
      <c r="AD94" s="2856"/>
      <c r="AE94" s="2856"/>
      <c r="AF94" s="2856"/>
      <c r="AG94" s="2856"/>
      <c r="AH94" s="2856"/>
      <c r="AI94" s="2856"/>
      <c r="AJ94" s="2856"/>
      <c r="AK94" s="2856"/>
      <c r="AL94" s="2856"/>
      <c r="AM94" s="2856"/>
      <c r="AN94" s="2856"/>
      <c r="AO94" s="565"/>
      <c r="AP94" s="565"/>
      <c r="AQ94" s="565"/>
      <c r="AR94" s="565"/>
      <c r="AS94" s="565"/>
      <c r="AT94" s="565"/>
      <c r="AU94" s="565"/>
      <c r="AV94" s="565"/>
      <c r="AW94" s="565"/>
      <c r="AX94" s="565"/>
      <c r="AY94" s="565"/>
      <c r="AZ94" s="565"/>
      <c r="BA94" s="565"/>
      <c r="BB94" s="565"/>
      <c r="BC94" s="565"/>
      <c r="BD94" s="565"/>
      <c r="BE94" s="565"/>
      <c r="BF94" s="565"/>
      <c r="BG94" s="565"/>
      <c r="BH94" s="565"/>
      <c r="BI94" s="565"/>
      <c r="BJ94" s="565"/>
      <c r="BK94" s="565"/>
      <c r="BL94" s="565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2617"/>
      <c r="CO94" s="2617"/>
      <c r="CP94" s="2617"/>
      <c r="CQ94" s="2617"/>
      <c r="CR94" s="2617"/>
      <c r="CS94" s="2617"/>
      <c r="CT94" s="2617"/>
      <c r="CU94" s="2617"/>
      <c r="CV94" s="2617"/>
      <c r="CW94" s="2617"/>
      <c r="CX94" s="2617"/>
      <c r="CY94" s="2617"/>
      <c r="CZ94" s="2617"/>
      <c r="DA94" s="2617"/>
      <c r="DB94" s="2617"/>
      <c r="DC94" s="2617"/>
      <c r="DD94" s="2617"/>
      <c r="DE94" s="2617"/>
      <c r="DF94" s="2617"/>
      <c r="DG94" s="2617"/>
      <c r="DH94" s="2617"/>
      <c r="DI94" s="2617"/>
      <c r="DJ94" s="2617"/>
      <c r="DK94" s="2617"/>
      <c r="DL94" s="2617"/>
      <c r="DM94" s="2617"/>
      <c r="DN94" s="2617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89"/>
      <c r="EF94" s="389"/>
      <c r="EG94" s="389"/>
      <c r="EH94" s="389"/>
      <c r="EI94" s="389"/>
      <c r="EJ94" s="389"/>
      <c r="EK94" s="389"/>
      <c r="EL94" s="389"/>
      <c r="EM94" s="2617"/>
      <c r="EN94" s="2617"/>
      <c r="EO94" s="2617"/>
      <c r="EP94" s="2617"/>
      <c r="EQ94" s="2617"/>
      <c r="ER94" s="2617"/>
      <c r="ES94" s="2617"/>
      <c r="ET94" s="2617"/>
      <c r="EU94" s="2617"/>
      <c r="EV94" s="2617"/>
      <c r="EW94" s="2617"/>
      <c r="EX94" s="2617"/>
      <c r="EY94" s="2617"/>
      <c r="EZ94" s="2617"/>
      <c r="FA94" s="2617"/>
      <c r="FB94" s="2617"/>
      <c r="FC94" s="2617"/>
      <c r="FD94" s="2617"/>
      <c r="FE94" s="2617"/>
      <c r="FF94" s="2617"/>
      <c r="FG94" s="2617"/>
      <c r="FH94" s="2617"/>
      <c r="FI94" s="2617"/>
      <c r="FJ94" s="2617"/>
      <c r="FK94" s="2617"/>
      <c r="FL94" s="2617"/>
      <c r="FM94" s="2617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89"/>
      <c r="FY94" s="389"/>
      <c r="FZ94" s="389"/>
      <c r="GA94" s="389"/>
      <c r="GB94" s="389"/>
      <c r="GC94" s="389"/>
      <c r="GD94" s="389"/>
      <c r="GE94" s="389"/>
      <c r="GF94" s="389"/>
      <c r="GG94" s="389"/>
      <c r="GH94" s="389"/>
      <c r="GI94" s="389"/>
      <c r="GJ94" s="389"/>
      <c r="GK94" s="389"/>
      <c r="GL94" s="389"/>
    </row>
    <row r="95" spans="1:195" ht="18.75" x14ac:dyDescent="0.3">
      <c r="A95" s="565"/>
      <c r="B95" s="565"/>
      <c r="C95" s="565"/>
      <c r="D95" s="565"/>
      <c r="E95" s="565"/>
      <c r="F95" s="565"/>
      <c r="G95" s="565"/>
      <c r="H95" s="565"/>
      <c r="I95" s="565"/>
      <c r="J95" s="565"/>
      <c r="K95" s="565"/>
      <c r="L95" s="565"/>
      <c r="M95" s="565"/>
      <c r="N95" s="565"/>
      <c r="O95" s="565"/>
      <c r="P95" s="565"/>
      <c r="Q95" s="565"/>
      <c r="R95" s="565"/>
      <c r="S95" s="565"/>
      <c r="T95" s="565"/>
      <c r="U95" s="565"/>
      <c r="V95" s="565"/>
      <c r="W95" s="565"/>
      <c r="X95" s="565"/>
      <c r="Y95" s="565"/>
      <c r="Z95" s="565"/>
      <c r="AA95" s="565"/>
      <c r="AB95" s="565"/>
      <c r="AC95" s="565"/>
      <c r="AD95" s="565"/>
      <c r="AE95" s="565"/>
      <c r="AF95" s="565"/>
      <c r="AG95" s="565"/>
      <c r="AH95" s="565"/>
      <c r="AI95" s="565"/>
      <c r="AJ95" s="565"/>
      <c r="AK95" s="565"/>
      <c r="AL95" s="565"/>
      <c r="AM95" s="565"/>
      <c r="AN95" s="565"/>
      <c r="AO95" s="565"/>
      <c r="AP95" s="565"/>
      <c r="AQ95" s="565"/>
      <c r="AR95" s="565"/>
      <c r="AS95" s="565"/>
      <c r="AT95" s="565"/>
      <c r="AU95" s="565"/>
      <c r="AV95" s="565"/>
      <c r="AW95" s="565"/>
      <c r="AX95" s="565"/>
      <c r="AY95" s="565"/>
      <c r="AZ95" s="565"/>
      <c r="BA95" s="565"/>
      <c r="BB95" s="565"/>
      <c r="BC95" s="565"/>
      <c r="BD95" s="565"/>
      <c r="BE95" s="565"/>
      <c r="BF95" s="565"/>
      <c r="BG95" s="565"/>
      <c r="BH95" s="565"/>
      <c r="BI95" s="565"/>
      <c r="BJ95" s="565"/>
      <c r="BK95" s="565"/>
      <c r="BL95" s="565"/>
      <c r="BM95" s="389"/>
      <c r="BN95" s="389"/>
      <c r="BO95" s="389"/>
      <c r="BP95" s="389"/>
      <c r="BQ95" s="389"/>
      <c r="BR95" s="389"/>
      <c r="BS95" s="389"/>
      <c r="BT95" s="389"/>
      <c r="BU95" s="389"/>
      <c r="BV95" s="389"/>
      <c r="BW95" s="389"/>
      <c r="BX95" s="389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2617"/>
      <c r="CO95" s="2617"/>
      <c r="CP95" s="2617"/>
      <c r="CQ95" s="2617"/>
      <c r="CR95" s="2617"/>
      <c r="CS95" s="2617"/>
      <c r="CT95" s="2617"/>
      <c r="CU95" s="2617"/>
      <c r="CV95" s="2617"/>
      <c r="CW95" s="2617"/>
      <c r="CX95" s="2617"/>
      <c r="CY95" s="2617"/>
      <c r="CZ95" s="2617"/>
      <c r="DA95" s="2617"/>
      <c r="DB95" s="2617"/>
      <c r="DC95" s="2617"/>
      <c r="DD95" s="2617"/>
      <c r="DE95" s="2617"/>
      <c r="DF95" s="2617"/>
      <c r="DG95" s="2617"/>
      <c r="DH95" s="2617"/>
      <c r="DI95" s="2617"/>
      <c r="DJ95" s="2617"/>
      <c r="DK95" s="2617"/>
      <c r="DL95" s="2617"/>
      <c r="DM95" s="2617"/>
      <c r="DN95" s="2617"/>
      <c r="DO95" s="389"/>
      <c r="DP95" s="389"/>
      <c r="DQ95" s="389"/>
      <c r="DR95" s="389"/>
      <c r="DS95" s="389"/>
      <c r="DT95" s="389"/>
      <c r="DU95" s="389"/>
      <c r="DV95" s="389"/>
      <c r="DW95" s="389"/>
      <c r="DX95" s="389"/>
      <c r="DY95" s="389"/>
      <c r="DZ95" s="389"/>
      <c r="EA95" s="389"/>
      <c r="EB95" s="389"/>
      <c r="EC95" s="389"/>
      <c r="ED95" s="389"/>
      <c r="EE95" s="389"/>
      <c r="EF95" s="389"/>
      <c r="EG95" s="389"/>
      <c r="EH95" s="389"/>
      <c r="EI95" s="389"/>
      <c r="EJ95" s="389"/>
      <c r="EK95" s="389"/>
      <c r="EL95" s="389"/>
      <c r="EM95" s="2617"/>
      <c r="EN95" s="2617"/>
      <c r="EO95" s="2617"/>
      <c r="EP95" s="2617"/>
      <c r="EQ95" s="2617"/>
      <c r="ER95" s="2617"/>
      <c r="ES95" s="2617"/>
      <c r="ET95" s="2617"/>
      <c r="EU95" s="2617"/>
      <c r="EV95" s="2617"/>
      <c r="EW95" s="2617"/>
      <c r="EX95" s="2617"/>
      <c r="EY95" s="2617"/>
      <c r="EZ95" s="2617"/>
      <c r="FA95" s="2617"/>
      <c r="FB95" s="2617"/>
      <c r="FC95" s="2617"/>
      <c r="FD95" s="2617"/>
      <c r="FE95" s="2617"/>
      <c r="FF95" s="2617"/>
      <c r="FG95" s="2617"/>
      <c r="FH95" s="2617"/>
      <c r="FI95" s="2617"/>
      <c r="FJ95" s="2617"/>
      <c r="FK95" s="2617"/>
      <c r="FL95" s="2617"/>
      <c r="FM95" s="2617"/>
      <c r="FN95" s="389"/>
      <c r="FO95" s="389"/>
      <c r="FP95" s="389"/>
      <c r="FQ95" s="389"/>
      <c r="FR95" s="389"/>
      <c r="FS95" s="389"/>
      <c r="FT95" s="389"/>
      <c r="FU95" s="389"/>
      <c r="FV95" s="389"/>
      <c r="FW95" s="389"/>
      <c r="FX95" s="389"/>
      <c r="FY95" s="389"/>
      <c r="FZ95" s="389"/>
      <c r="GA95" s="389"/>
      <c r="GB95" s="389"/>
      <c r="GC95" s="389"/>
      <c r="GD95" s="389"/>
      <c r="GE95" s="389"/>
      <c r="GF95" s="389"/>
      <c r="GG95" s="389"/>
      <c r="GH95" s="389"/>
      <c r="GI95" s="389"/>
      <c r="GJ95" s="389"/>
      <c r="GK95" s="389"/>
      <c r="GL95" s="389"/>
    </row>
    <row r="96" spans="1:195" ht="18.75" x14ac:dyDescent="0.3">
      <c r="A96" s="565"/>
      <c r="B96" s="565"/>
      <c r="C96" s="565"/>
      <c r="D96" s="565"/>
      <c r="E96" s="565"/>
      <c r="F96" s="565"/>
      <c r="G96" s="565"/>
      <c r="H96" s="565"/>
      <c r="I96" s="565"/>
      <c r="J96" s="565"/>
      <c r="K96" s="565"/>
      <c r="L96" s="565"/>
      <c r="M96" s="565"/>
      <c r="N96" s="565"/>
      <c r="O96" s="565"/>
      <c r="P96" s="565"/>
      <c r="Q96" s="565"/>
      <c r="R96" s="565"/>
      <c r="S96" s="565"/>
      <c r="T96" s="565"/>
      <c r="U96" s="565"/>
      <c r="V96" s="565"/>
      <c r="W96" s="565"/>
      <c r="X96" s="565"/>
      <c r="Y96" s="565"/>
      <c r="Z96" s="565"/>
      <c r="AA96" s="565"/>
      <c r="AB96" s="565"/>
      <c r="AC96" s="565"/>
      <c r="AD96" s="565"/>
      <c r="AE96" s="565"/>
      <c r="AF96" s="565"/>
      <c r="AG96" s="565"/>
      <c r="AH96" s="565"/>
      <c r="AI96" s="565"/>
      <c r="AJ96" s="565"/>
      <c r="AK96" s="565"/>
      <c r="AL96" s="565"/>
      <c r="AM96" s="565"/>
      <c r="AN96" s="565"/>
      <c r="AO96" s="565"/>
      <c r="AP96" s="565"/>
      <c r="AQ96" s="565"/>
      <c r="AR96" s="565"/>
      <c r="AS96" s="565"/>
      <c r="AT96" s="565"/>
      <c r="AU96" s="565"/>
      <c r="AV96" s="565"/>
      <c r="AW96" s="565"/>
      <c r="AX96" s="565"/>
      <c r="AY96" s="565"/>
      <c r="AZ96" s="565"/>
      <c r="BA96" s="565"/>
      <c r="BB96" s="565"/>
      <c r="BC96" s="565"/>
      <c r="BD96" s="565"/>
      <c r="BE96" s="565"/>
      <c r="BF96" s="565"/>
      <c r="BG96" s="565"/>
      <c r="BH96" s="565"/>
      <c r="BI96" s="565"/>
      <c r="BJ96" s="565"/>
      <c r="BK96" s="565"/>
      <c r="BL96" s="565"/>
      <c r="BM96" s="389"/>
      <c r="BN96" s="389"/>
      <c r="BO96" s="389"/>
      <c r="BP96" s="389"/>
      <c r="BQ96" s="389"/>
      <c r="BR96" s="389"/>
      <c r="BS96" s="389"/>
      <c r="BT96" s="389"/>
      <c r="BU96" s="389"/>
      <c r="BV96" s="389"/>
      <c r="BW96" s="389"/>
      <c r="BX96" s="389"/>
      <c r="BY96" s="389"/>
      <c r="BZ96" s="389"/>
      <c r="CA96" s="389"/>
      <c r="CB96" s="389"/>
      <c r="CC96" s="389"/>
      <c r="CD96" s="389"/>
      <c r="CE96" s="389"/>
      <c r="CF96" s="389"/>
      <c r="CG96" s="389"/>
      <c r="CH96" s="389"/>
      <c r="CI96" s="389"/>
      <c r="CJ96" s="389"/>
      <c r="CK96" s="389"/>
      <c r="CL96" s="389"/>
      <c r="CM96" s="389"/>
      <c r="CN96" s="2617"/>
      <c r="CO96" s="2617"/>
      <c r="CP96" s="2617"/>
      <c r="CQ96" s="2617"/>
      <c r="CR96" s="2617"/>
      <c r="CS96" s="2617"/>
      <c r="CT96" s="2617"/>
      <c r="CU96" s="2617"/>
      <c r="CV96" s="2617"/>
      <c r="CW96" s="2617"/>
      <c r="CX96" s="2617"/>
      <c r="CY96" s="2617"/>
      <c r="CZ96" s="2617"/>
      <c r="DA96" s="2617"/>
      <c r="DB96" s="2617"/>
      <c r="DC96" s="2617"/>
      <c r="DD96" s="2617"/>
      <c r="DE96" s="2617"/>
      <c r="DF96" s="2617"/>
      <c r="DG96" s="2617"/>
      <c r="DH96" s="2617"/>
      <c r="DI96" s="2617"/>
      <c r="DJ96" s="2617"/>
      <c r="DK96" s="2617"/>
      <c r="DL96" s="2617"/>
      <c r="DM96" s="2617"/>
      <c r="DN96" s="2617"/>
      <c r="DO96" s="389"/>
      <c r="DP96" s="389"/>
      <c r="DQ96" s="389"/>
      <c r="DR96" s="389"/>
      <c r="DS96" s="389"/>
      <c r="DT96" s="389"/>
      <c r="DU96" s="389"/>
      <c r="DV96" s="389"/>
      <c r="DW96" s="389"/>
      <c r="DX96" s="389"/>
      <c r="DY96" s="389"/>
      <c r="DZ96" s="389"/>
      <c r="EA96" s="389"/>
      <c r="EB96" s="389"/>
      <c r="EC96" s="389"/>
      <c r="ED96" s="389"/>
      <c r="EE96" s="389"/>
      <c r="EF96" s="389"/>
      <c r="EG96" s="389"/>
      <c r="EH96" s="389"/>
      <c r="EI96" s="389"/>
      <c r="EJ96" s="389"/>
      <c r="EK96" s="389"/>
      <c r="EL96" s="389"/>
      <c r="EM96" s="2617"/>
      <c r="EN96" s="2617"/>
      <c r="EO96" s="2617"/>
      <c r="EP96" s="2617"/>
      <c r="EQ96" s="2617"/>
      <c r="ER96" s="2617"/>
      <c r="ES96" s="2617"/>
      <c r="ET96" s="2617"/>
      <c r="EU96" s="2617"/>
      <c r="EV96" s="2617"/>
      <c r="EW96" s="2617"/>
      <c r="EX96" s="2617"/>
      <c r="EY96" s="2617"/>
      <c r="EZ96" s="2617"/>
      <c r="FA96" s="2617"/>
      <c r="FB96" s="2617"/>
      <c r="FC96" s="2617"/>
      <c r="FD96" s="2617"/>
      <c r="FE96" s="2617"/>
      <c r="FF96" s="2617"/>
      <c r="FG96" s="2617"/>
      <c r="FH96" s="2617"/>
      <c r="FI96" s="2617"/>
      <c r="FJ96" s="2617"/>
      <c r="FK96" s="2617"/>
      <c r="FL96" s="2617"/>
      <c r="FM96" s="2617"/>
      <c r="FN96" s="389"/>
      <c r="FO96" s="389"/>
      <c r="FP96" s="389"/>
      <c r="FQ96" s="389"/>
      <c r="FR96" s="389"/>
      <c r="FS96" s="389"/>
      <c r="FT96" s="389"/>
      <c r="FU96" s="389"/>
      <c r="FV96" s="389"/>
      <c r="FW96" s="389"/>
      <c r="FX96" s="389"/>
      <c r="FY96" s="389"/>
      <c r="FZ96" s="389"/>
      <c r="GA96" s="389"/>
      <c r="GB96" s="389"/>
      <c r="GC96" s="389"/>
      <c r="GD96" s="389"/>
      <c r="GE96" s="389"/>
      <c r="GF96" s="389"/>
      <c r="GG96" s="389"/>
      <c r="GH96" s="389"/>
      <c r="GI96" s="389"/>
      <c r="GJ96" s="389"/>
      <c r="GK96" s="389"/>
      <c r="GL96" s="389"/>
    </row>
    <row r="97" spans="1:194" ht="18.75" x14ac:dyDescent="0.3">
      <c r="A97" s="565"/>
      <c r="B97" s="565"/>
      <c r="C97" s="565"/>
      <c r="D97" s="565"/>
      <c r="E97" s="565"/>
      <c r="F97" s="565"/>
      <c r="G97" s="565"/>
      <c r="H97" s="565"/>
      <c r="I97" s="565"/>
      <c r="J97" s="565"/>
      <c r="K97" s="565"/>
      <c r="L97" s="565"/>
      <c r="M97" s="565"/>
      <c r="N97" s="565"/>
      <c r="O97" s="565"/>
      <c r="P97" s="565"/>
      <c r="Q97" s="565"/>
      <c r="R97" s="565"/>
      <c r="S97" s="565"/>
      <c r="T97" s="565"/>
      <c r="U97" s="565"/>
      <c r="V97" s="565"/>
      <c r="W97" s="565"/>
      <c r="X97" s="565"/>
      <c r="Y97" s="565"/>
      <c r="Z97" s="565"/>
      <c r="AA97" s="565"/>
      <c r="AB97" s="565"/>
      <c r="AC97" s="565"/>
      <c r="AD97" s="565"/>
      <c r="AE97" s="565"/>
      <c r="AF97" s="565"/>
      <c r="AG97" s="565"/>
      <c r="AH97" s="565"/>
      <c r="AI97" s="565"/>
      <c r="AJ97" s="565"/>
      <c r="AK97" s="565"/>
      <c r="AL97" s="565"/>
      <c r="AM97" s="565"/>
      <c r="AN97" s="565"/>
      <c r="AO97" s="565"/>
      <c r="AP97" s="565"/>
      <c r="AQ97" s="565"/>
      <c r="AR97" s="565"/>
      <c r="AS97" s="565"/>
      <c r="AT97" s="565"/>
      <c r="AU97" s="565"/>
      <c r="AV97" s="565"/>
      <c r="AW97" s="565"/>
      <c r="AX97" s="565"/>
      <c r="AY97" s="565"/>
      <c r="AZ97" s="565"/>
      <c r="BA97" s="565"/>
      <c r="BB97" s="565"/>
      <c r="BC97" s="565"/>
      <c r="BD97" s="565"/>
      <c r="BE97" s="565"/>
      <c r="BF97" s="565"/>
      <c r="BG97" s="565"/>
      <c r="BH97" s="565"/>
      <c r="BI97" s="565"/>
      <c r="BJ97" s="565"/>
      <c r="BK97" s="565"/>
      <c r="BL97" s="565"/>
      <c r="BM97" s="389"/>
      <c r="BN97" s="389"/>
      <c r="BO97" s="389"/>
      <c r="BP97" s="389"/>
      <c r="BQ97" s="389"/>
      <c r="BR97" s="389"/>
      <c r="BS97" s="389"/>
      <c r="BT97" s="389"/>
      <c r="BU97" s="389"/>
      <c r="BV97" s="389"/>
      <c r="BW97" s="389"/>
      <c r="BX97" s="389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2617"/>
      <c r="CO97" s="2617"/>
      <c r="CP97" s="2617"/>
      <c r="CQ97" s="2617"/>
      <c r="CR97" s="2617"/>
      <c r="CS97" s="2617"/>
      <c r="CT97" s="2617"/>
      <c r="CU97" s="2617"/>
      <c r="CV97" s="2617"/>
      <c r="CW97" s="2617"/>
      <c r="CX97" s="2617"/>
      <c r="CY97" s="2617"/>
      <c r="CZ97" s="2617"/>
      <c r="DA97" s="2617"/>
      <c r="DB97" s="2617"/>
      <c r="DC97" s="2617"/>
      <c r="DD97" s="2617"/>
      <c r="DE97" s="2617"/>
      <c r="DF97" s="2617"/>
      <c r="DG97" s="2617"/>
      <c r="DH97" s="2617"/>
      <c r="DI97" s="2617"/>
      <c r="DJ97" s="2617"/>
      <c r="DK97" s="2617"/>
      <c r="DL97" s="2617"/>
      <c r="DM97" s="2617"/>
      <c r="DN97" s="2617"/>
      <c r="DO97" s="389"/>
      <c r="DP97" s="389"/>
      <c r="DQ97" s="389"/>
      <c r="DR97" s="389"/>
      <c r="DS97" s="389"/>
      <c r="DT97" s="389"/>
      <c r="DU97" s="389"/>
      <c r="DV97" s="389"/>
      <c r="DW97" s="389"/>
      <c r="DX97" s="389"/>
      <c r="DY97" s="389"/>
      <c r="DZ97" s="389"/>
      <c r="EA97" s="389"/>
      <c r="EB97" s="389"/>
      <c r="EC97" s="389"/>
      <c r="ED97" s="389"/>
      <c r="EE97" s="389"/>
      <c r="EF97" s="389"/>
      <c r="EG97" s="389"/>
      <c r="EH97" s="389"/>
      <c r="EI97" s="389"/>
      <c r="EJ97" s="389"/>
      <c r="EK97" s="389"/>
      <c r="EL97" s="389"/>
      <c r="EM97" s="2617"/>
      <c r="EN97" s="2617"/>
      <c r="EO97" s="2617"/>
      <c r="EP97" s="2617"/>
      <c r="EQ97" s="2617"/>
      <c r="ER97" s="2617"/>
      <c r="ES97" s="2617"/>
      <c r="ET97" s="2617"/>
      <c r="EU97" s="2617"/>
      <c r="EV97" s="2617"/>
      <c r="EW97" s="2617"/>
      <c r="EX97" s="2617"/>
      <c r="EY97" s="2617"/>
      <c r="EZ97" s="2617"/>
      <c r="FA97" s="2617"/>
      <c r="FB97" s="2617"/>
      <c r="FC97" s="2617"/>
      <c r="FD97" s="2617"/>
      <c r="FE97" s="2617"/>
      <c r="FF97" s="2617"/>
      <c r="FG97" s="2617"/>
      <c r="FH97" s="2617"/>
      <c r="FI97" s="2617"/>
      <c r="FJ97" s="2617"/>
      <c r="FK97" s="2617"/>
      <c r="FL97" s="2617"/>
      <c r="FM97" s="2617"/>
      <c r="FN97" s="389"/>
      <c r="FO97" s="389"/>
      <c r="FP97" s="389"/>
      <c r="FQ97" s="389"/>
      <c r="FR97" s="389"/>
      <c r="FS97" s="389"/>
      <c r="FT97" s="389"/>
      <c r="FU97" s="389"/>
      <c r="FV97" s="389"/>
      <c r="FW97" s="389"/>
      <c r="FX97" s="389"/>
      <c r="FY97" s="389"/>
      <c r="FZ97" s="389"/>
      <c r="GA97" s="389"/>
      <c r="GB97" s="389"/>
      <c r="GC97" s="389"/>
      <c r="GD97" s="389"/>
      <c r="GE97" s="389"/>
      <c r="GF97" s="389"/>
      <c r="GG97" s="389"/>
      <c r="GH97" s="389"/>
      <c r="GI97" s="389"/>
      <c r="GJ97" s="389"/>
      <c r="GK97" s="389"/>
      <c r="GL97" s="389"/>
    </row>
    <row r="98" spans="1:194" ht="18.75" x14ac:dyDescent="0.3">
      <c r="A98" s="565"/>
      <c r="B98" s="565"/>
      <c r="C98" s="565"/>
      <c r="D98" s="565"/>
      <c r="E98" s="565"/>
      <c r="F98" s="565"/>
      <c r="G98" s="565"/>
      <c r="H98" s="565"/>
      <c r="I98" s="565"/>
      <c r="J98" s="565"/>
      <c r="K98" s="565"/>
      <c r="L98" s="565"/>
      <c r="M98" s="565"/>
      <c r="N98" s="565"/>
      <c r="O98" s="565"/>
      <c r="P98" s="565"/>
      <c r="Q98" s="565"/>
      <c r="R98" s="565"/>
      <c r="S98" s="565"/>
      <c r="T98" s="565"/>
      <c r="U98" s="565"/>
      <c r="V98" s="565"/>
      <c r="W98" s="565"/>
      <c r="X98" s="565"/>
      <c r="Y98" s="565"/>
      <c r="Z98" s="565"/>
      <c r="AA98" s="565"/>
      <c r="AB98" s="565"/>
      <c r="AC98" s="565"/>
      <c r="AD98" s="565"/>
      <c r="AE98" s="565"/>
      <c r="AF98" s="565"/>
      <c r="AG98" s="565"/>
      <c r="AH98" s="565"/>
      <c r="AI98" s="565"/>
      <c r="AJ98" s="565"/>
      <c r="AK98" s="565"/>
      <c r="AL98" s="565"/>
      <c r="AM98" s="565"/>
      <c r="AN98" s="565"/>
      <c r="AO98" s="565"/>
      <c r="AP98" s="565"/>
      <c r="AQ98" s="565"/>
      <c r="AR98" s="565"/>
      <c r="AS98" s="565"/>
      <c r="AT98" s="565"/>
      <c r="AU98" s="565"/>
      <c r="AV98" s="565"/>
      <c r="AW98" s="565"/>
      <c r="AX98" s="565"/>
      <c r="AY98" s="565"/>
      <c r="AZ98" s="565"/>
      <c r="BA98" s="565"/>
      <c r="BB98" s="565"/>
      <c r="BC98" s="565"/>
      <c r="BD98" s="565"/>
      <c r="BE98" s="565"/>
      <c r="BF98" s="565"/>
      <c r="BG98" s="565"/>
      <c r="BH98" s="565"/>
      <c r="BI98" s="565"/>
      <c r="BJ98" s="565"/>
      <c r="BK98" s="565"/>
      <c r="BL98" s="565"/>
      <c r="BM98" s="389"/>
      <c r="BN98" s="389"/>
      <c r="BO98" s="389"/>
      <c r="BP98" s="389"/>
      <c r="BQ98" s="389"/>
      <c r="BR98" s="389"/>
      <c r="BS98" s="389"/>
      <c r="BT98" s="389"/>
      <c r="BU98" s="389"/>
      <c r="BV98" s="389"/>
      <c r="BW98" s="389"/>
      <c r="BX98" s="389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2617"/>
      <c r="CO98" s="2617"/>
      <c r="CP98" s="2617"/>
      <c r="CQ98" s="2617"/>
      <c r="CR98" s="2617"/>
      <c r="CS98" s="2617"/>
      <c r="CT98" s="2617"/>
      <c r="CU98" s="2617"/>
      <c r="CV98" s="2617"/>
      <c r="CW98" s="2617"/>
      <c r="CX98" s="2617"/>
      <c r="CY98" s="2617"/>
      <c r="CZ98" s="2617"/>
      <c r="DA98" s="2617"/>
      <c r="DB98" s="2617"/>
      <c r="DC98" s="2617"/>
      <c r="DD98" s="2617"/>
      <c r="DE98" s="2617"/>
      <c r="DF98" s="2617"/>
      <c r="DG98" s="2617"/>
      <c r="DH98" s="2617"/>
      <c r="DI98" s="2617"/>
      <c r="DJ98" s="2617"/>
      <c r="DK98" s="2617"/>
      <c r="DL98" s="2617"/>
      <c r="DM98" s="2617"/>
      <c r="DN98" s="2617"/>
      <c r="DO98" s="389"/>
      <c r="DP98" s="389"/>
      <c r="DQ98" s="389"/>
      <c r="DR98" s="389"/>
      <c r="DS98" s="389"/>
      <c r="DT98" s="389"/>
      <c r="DU98" s="389"/>
      <c r="DV98" s="389"/>
      <c r="DW98" s="389"/>
      <c r="DX98" s="389"/>
      <c r="DY98" s="389"/>
      <c r="DZ98" s="389"/>
      <c r="EA98" s="389"/>
      <c r="EB98" s="389"/>
      <c r="EC98" s="389"/>
      <c r="ED98" s="389"/>
      <c r="EE98" s="389"/>
      <c r="EF98" s="389"/>
      <c r="EG98" s="389"/>
      <c r="EH98" s="389"/>
      <c r="EI98" s="389"/>
      <c r="EJ98" s="389"/>
      <c r="EK98" s="389"/>
      <c r="EL98" s="389"/>
      <c r="EM98" s="2617"/>
      <c r="EN98" s="2617"/>
      <c r="EO98" s="2617"/>
      <c r="EP98" s="2617"/>
      <c r="EQ98" s="2617"/>
      <c r="ER98" s="2617"/>
      <c r="ES98" s="2617"/>
      <c r="ET98" s="2617"/>
      <c r="EU98" s="2617"/>
      <c r="EV98" s="2617"/>
      <c r="EW98" s="2617"/>
      <c r="EX98" s="2617"/>
      <c r="EY98" s="2617"/>
      <c r="EZ98" s="2617"/>
      <c r="FA98" s="2617"/>
      <c r="FB98" s="2617"/>
      <c r="FC98" s="2617"/>
      <c r="FD98" s="2617"/>
      <c r="FE98" s="2617"/>
      <c r="FF98" s="2617"/>
      <c r="FG98" s="2617"/>
      <c r="FH98" s="2617"/>
      <c r="FI98" s="2617"/>
      <c r="FJ98" s="2617"/>
      <c r="FK98" s="2617"/>
      <c r="FL98" s="2617"/>
      <c r="FM98" s="2617"/>
      <c r="FN98" s="389"/>
      <c r="FO98" s="389"/>
      <c r="FP98" s="389"/>
      <c r="FQ98" s="389"/>
      <c r="FR98" s="389"/>
      <c r="FS98" s="389"/>
      <c r="FT98" s="389"/>
      <c r="FU98" s="389"/>
      <c r="FV98" s="389"/>
      <c r="FW98" s="389"/>
      <c r="FX98" s="389"/>
      <c r="FY98" s="389"/>
      <c r="FZ98" s="389"/>
      <c r="GA98" s="389"/>
      <c r="GB98" s="389"/>
      <c r="GC98" s="389"/>
      <c r="GD98" s="389"/>
      <c r="GE98" s="389"/>
      <c r="GF98" s="389"/>
      <c r="GG98" s="389"/>
      <c r="GH98" s="389"/>
      <c r="GI98" s="389"/>
      <c r="GJ98" s="389"/>
      <c r="GK98" s="389"/>
      <c r="GL98" s="389"/>
    </row>
    <row r="99" spans="1:194" ht="18.75" x14ac:dyDescent="0.3">
      <c r="A99" s="565"/>
      <c r="B99" s="565"/>
      <c r="C99" s="565"/>
      <c r="D99" s="565"/>
      <c r="E99" s="565"/>
      <c r="F99" s="565"/>
      <c r="G99" s="565"/>
      <c r="H99" s="565"/>
      <c r="I99" s="565"/>
      <c r="J99" s="565"/>
      <c r="K99" s="565"/>
      <c r="L99" s="565"/>
      <c r="M99" s="565"/>
      <c r="N99" s="565"/>
      <c r="O99" s="565"/>
      <c r="P99" s="565"/>
      <c r="Q99" s="565"/>
      <c r="R99" s="565"/>
      <c r="S99" s="565"/>
      <c r="T99" s="565"/>
      <c r="U99" s="565"/>
      <c r="V99" s="565"/>
      <c r="W99" s="565"/>
      <c r="X99" s="565"/>
      <c r="Y99" s="565"/>
      <c r="Z99" s="565"/>
      <c r="AA99" s="565"/>
      <c r="AB99" s="565"/>
      <c r="AC99" s="565"/>
      <c r="AD99" s="565"/>
      <c r="AE99" s="565"/>
      <c r="AF99" s="565"/>
      <c r="AG99" s="565"/>
      <c r="AH99" s="565"/>
      <c r="AI99" s="565"/>
      <c r="AJ99" s="565"/>
      <c r="AK99" s="565"/>
      <c r="AL99" s="565"/>
      <c r="AM99" s="565"/>
      <c r="AN99" s="565"/>
      <c r="AO99" s="565"/>
      <c r="AP99" s="565"/>
      <c r="AQ99" s="565"/>
      <c r="AR99" s="565"/>
      <c r="AS99" s="565"/>
      <c r="AT99" s="565"/>
      <c r="AU99" s="565"/>
      <c r="AV99" s="565"/>
      <c r="AW99" s="565"/>
      <c r="AX99" s="565"/>
      <c r="AY99" s="565"/>
      <c r="AZ99" s="565"/>
      <c r="BA99" s="565"/>
      <c r="BB99" s="565"/>
      <c r="BC99" s="565"/>
      <c r="BD99" s="565"/>
      <c r="BE99" s="565"/>
      <c r="BF99" s="565"/>
      <c r="BG99" s="565"/>
      <c r="BH99" s="565"/>
      <c r="BI99" s="565"/>
      <c r="BJ99" s="565"/>
      <c r="BK99" s="565"/>
      <c r="BL99" s="565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2617"/>
      <c r="CO99" s="2617"/>
      <c r="CP99" s="2617"/>
      <c r="CQ99" s="2617"/>
      <c r="CR99" s="2617"/>
      <c r="CS99" s="2617"/>
      <c r="CT99" s="2617"/>
      <c r="CU99" s="2617"/>
      <c r="CV99" s="2617"/>
      <c r="CW99" s="2617"/>
      <c r="CX99" s="2617"/>
      <c r="CY99" s="2617"/>
      <c r="CZ99" s="2617"/>
      <c r="DA99" s="2617"/>
      <c r="DB99" s="2617"/>
      <c r="DC99" s="2617"/>
      <c r="DD99" s="2617"/>
      <c r="DE99" s="2617"/>
      <c r="DF99" s="2617"/>
      <c r="DG99" s="2617"/>
      <c r="DH99" s="2617"/>
      <c r="DI99" s="2617"/>
      <c r="DJ99" s="2617"/>
      <c r="DK99" s="2617"/>
      <c r="DL99" s="2617"/>
      <c r="DM99" s="2617"/>
      <c r="DN99" s="2617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89"/>
      <c r="EF99" s="389"/>
      <c r="EG99" s="389"/>
      <c r="EH99" s="389"/>
      <c r="EI99" s="389"/>
      <c r="EJ99" s="389"/>
      <c r="EK99" s="389"/>
      <c r="EL99" s="389"/>
      <c r="EM99" s="2617"/>
      <c r="EN99" s="2617"/>
      <c r="EO99" s="2617"/>
      <c r="EP99" s="2617"/>
      <c r="EQ99" s="2617"/>
      <c r="ER99" s="2617"/>
      <c r="ES99" s="2617"/>
      <c r="ET99" s="2617"/>
      <c r="EU99" s="2617"/>
      <c r="EV99" s="2617"/>
      <c r="EW99" s="2617"/>
      <c r="EX99" s="2617"/>
      <c r="EY99" s="2617"/>
      <c r="EZ99" s="2617"/>
      <c r="FA99" s="2617"/>
      <c r="FB99" s="2617"/>
      <c r="FC99" s="2617"/>
      <c r="FD99" s="2617"/>
      <c r="FE99" s="2617"/>
      <c r="FF99" s="2617"/>
      <c r="FG99" s="2617"/>
      <c r="FH99" s="2617"/>
      <c r="FI99" s="2617"/>
      <c r="FJ99" s="2617"/>
      <c r="FK99" s="2617"/>
      <c r="FL99" s="2617"/>
      <c r="FM99" s="2617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89"/>
      <c r="FY99" s="389"/>
      <c r="FZ99" s="389"/>
      <c r="GA99" s="389"/>
      <c r="GB99" s="389"/>
      <c r="GC99" s="389"/>
      <c r="GD99" s="389"/>
      <c r="GE99" s="389"/>
      <c r="GF99" s="389"/>
      <c r="GG99" s="389"/>
      <c r="GH99" s="389"/>
      <c r="GI99" s="389"/>
      <c r="GJ99" s="389"/>
      <c r="GK99" s="389"/>
      <c r="GL99" s="389"/>
    </row>
    <row r="100" spans="1:194" x14ac:dyDescent="0.2">
      <c r="CN100" s="523"/>
      <c r="CO100" s="523"/>
      <c r="CP100" s="523"/>
      <c r="CQ100" s="523"/>
      <c r="CR100" s="523"/>
      <c r="CS100" s="523"/>
      <c r="CT100" s="523"/>
      <c r="CU100" s="523"/>
      <c r="CV100" s="523"/>
      <c r="CW100" s="523"/>
      <c r="CX100" s="523"/>
      <c r="CY100" s="523"/>
      <c r="CZ100" s="523"/>
      <c r="DA100" s="523"/>
      <c r="DB100" s="523"/>
      <c r="DC100" s="523"/>
      <c r="DD100" s="523"/>
      <c r="DE100" s="523"/>
      <c r="DF100" s="523"/>
      <c r="DG100" s="523"/>
      <c r="DH100" s="523"/>
      <c r="DI100" s="523"/>
      <c r="DJ100" s="523"/>
      <c r="DK100" s="523"/>
      <c r="DL100" s="523"/>
      <c r="DM100" s="523"/>
      <c r="DN100" s="523"/>
      <c r="EM100" s="523"/>
      <c r="EN100" s="523"/>
      <c r="EO100" s="523"/>
      <c r="EP100" s="523"/>
      <c r="EQ100" s="523"/>
      <c r="ER100" s="523"/>
      <c r="ES100" s="523"/>
      <c r="ET100" s="523"/>
      <c r="EU100" s="523"/>
      <c r="EV100" s="523"/>
      <c r="EW100" s="523"/>
      <c r="EX100" s="523"/>
      <c r="EY100" s="523"/>
      <c r="EZ100" s="523"/>
      <c r="FA100" s="523"/>
      <c r="FB100" s="523"/>
      <c r="FC100" s="523"/>
      <c r="FD100" s="523"/>
      <c r="FE100" s="523"/>
      <c r="FF100" s="523"/>
      <c r="FG100" s="523"/>
      <c r="FH100" s="523"/>
      <c r="FI100" s="523"/>
      <c r="FJ100" s="523"/>
      <c r="FK100" s="523"/>
      <c r="FL100" s="523"/>
      <c r="FM100" s="523"/>
    </row>
    <row r="101" spans="1:194" x14ac:dyDescent="0.2">
      <c r="CN101" s="523"/>
      <c r="CO101" s="523"/>
      <c r="CP101" s="523"/>
      <c r="CQ101" s="523"/>
      <c r="CR101" s="523"/>
      <c r="CS101" s="523"/>
      <c r="CT101" s="523"/>
      <c r="CU101" s="523"/>
      <c r="CV101" s="523"/>
      <c r="CW101" s="523"/>
      <c r="CX101" s="523"/>
      <c r="CY101" s="523"/>
      <c r="CZ101" s="523"/>
      <c r="DA101" s="523"/>
      <c r="DB101" s="523"/>
      <c r="DC101" s="523"/>
      <c r="DD101" s="523"/>
      <c r="DE101" s="523"/>
      <c r="DF101" s="523"/>
      <c r="DG101" s="523"/>
      <c r="DH101" s="523"/>
      <c r="DI101" s="523"/>
      <c r="DJ101" s="523"/>
      <c r="DK101" s="523"/>
      <c r="DL101" s="523"/>
      <c r="DM101" s="523"/>
      <c r="DN101" s="523"/>
      <c r="EM101" s="523"/>
      <c r="EN101" s="523"/>
      <c r="EO101" s="523"/>
      <c r="EP101" s="523"/>
      <c r="EQ101" s="523"/>
      <c r="ER101" s="523"/>
      <c r="ES101" s="523"/>
      <c r="ET101" s="523"/>
      <c r="EU101" s="523"/>
      <c r="EV101" s="523"/>
      <c r="EW101" s="523"/>
      <c r="EX101" s="523"/>
      <c r="EY101" s="523"/>
      <c r="EZ101" s="523"/>
      <c r="FA101" s="523"/>
      <c r="FB101" s="523"/>
      <c r="FC101" s="523"/>
      <c r="FD101" s="523"/>
      <c r="FE101" s="523"/>
      <c r="FF101" s="523"/>
      <c r="FG101" s="523"/>
      <c r="FH101" s="523"/>
      <c r="FI101" s="523"/>
      <c r="FJ101" s="523"/>
      <c r="FK101" s="523"/>
      <c r="FL101" s="523"/>
      <c r="FM101" s="523"/>
    </row>
    <row r="102" spans="1:194" x14ac:dyDescent="0.2">
      <c r="EM102" s="523"/>
      <c r="EN102" s="523"/>
      <c r="EO102" s="523"/>
      <c r="EP102" s="523"/>
      <c r="EQ102" s="523"/>
      <c r="ER102" s="523"/>
      <c r="ES102" s="523"/>
      <c r="ET102" s="523"/>
      <c r="EU102" s="523"/>
      <c r="EV102" s="523"/>
      <c r="EW102" s="523"/>
      <c r="EX102" s="523"/>
      <c r="EY102" s="523"/>
      <c r="EZ102" s="523"/>
      <c r="FA102" s="523"/>
      <c r="FB102" s="523"/>
      <c r="FC102" s="523"/>
      <c r="FD102" s="523"/>
      <c r="FE102" s="523"/>
      <c r="FF102" s="523"/>
      <c r="FG102" s="523"/>
      <c r="FH102" s="523"/>
      <c r="FI102" s="523"/>
      <c r="FJ102" s="523"/>
      <c r="FK102" s="523"/>
      <c r="FL102" s="523"/>
      <c r="FM102" s="523"/>
    </row>
  </sheetData>
  <sheetProtection formatCells="0" formatColumns="0" formatRows="0" insertColumns="0" insertRows="0" insertHyperlinks="0" deleteColumns="0" deleteRows="0" sort="0" autoFilter="0" pivotTables="0"/>
  <mergeCells count="572">
    <mergeCell ref="FZ89:GB89"/>
    <mergeCell ref="GC89:GE89"/>
    <mergeCell ref="GF89:GH89"/>
    <mergeCell ref="GI89:GK89"/>
    <mergeCell ref="FH89:FJ89"/>
    <mergeCell ref="FK89:FM89"/>
    <mergeCell ref="FN89:FP89"/>
    <mergeCell ref="FQ89:FS89"/>
    <mergeCell ref="FT89:FV89"/>
    <mergeCell ref="FW89:FY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ED89:EF89"/>
    <mergeCell ref="EG89:EI89"/>
    <mergeCell ref="EJ89:EL89"/>
    <mergeCell ref="EM89:EO89"/>
    <mergeCell ref="DF89:DH89"/>
    <mergeCell ref="DI89:DK89"/>
    <mergeCell ref="DL89:DN89"/>
    <mergeCell ref="DO89:DQ89"/>
    <mergeCell ref="DR89:DT89"/>
    <mergeCell ref="DU89:DW89"/>
    <mergeCell ref="CN89:CP89"/>
    <mergeCell ref="CQ89:CS89"/>
    <mergeCell ref="CT89:CV89"/>
    <mergeCell ref="CW89:CY89"/>
    <mergeCell ref="CZ89:DB89"/>
    <mergeCell ref="DC89:DE89"/>
    <mergeCell ref="BV89:BX89"/>
    <mergeCell ref="BY89:CA89"/>
    <mergeCell ref="CB89:CD89"/>
    <mergeCell ref="CE89:CG89"/>
    <mergeCell ref="CH89:CJ89"/>
    <mergeCell ref="CK89:CM89"/>
    <mergeCell ref="BD89:BF89"/>
    <mergeCell ref="BG89:BI89"/>
    <mergeCell ref="BJ89:BL89"/>
    <mergeCell ref="BM89:BO89"/>
    <mergeCell ref="BP89:BR89"/>
    <mergeCell ref="BS89:BU89"/>
    <mergeCell ref="AL89:AN89"/>
    <mergeCell ref="AO89:AQ89"/>
    <mergeCell ref="AR89:AT89"/>
    <mergeCell ref="AU89:AW89"/>
    <mergeCell ref="AX89:AZ89"/>
    <mergeCell ref="BA89:BC89"/>
    <mergeCell ref="T89:V89"/>
    <mergeCell ref="W89:Y89"/>
    <mergeCell ref="Z89:AB89"/>
    <mergeCell ref="AC89:AE89"/>
    <mergeCell ref="AF89:AH89"/>
    <mergeCell ref="AI89:AK89"/>
    <mergeCell ref="FZ88:GB88"/>
    <mergeCell ref="GC88:GE88"/>
    <mergeCell ref="GF88:GH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ED88:EF88"/>
    <mergeCell ref="EG88:EI88"/>
    <mergeCell ref="EJ88:EL88"/>
    <mergeCell ref="EM88:EO88"/>
    <mergeCell ref="DF88:DH88"/>
    <mergeCell ref="DI88:DK88"/>
    <mergeCell ref="DL88:DN88"/>
    <mergeCell ref="DO88:DQ88"/>
    <mergeCell ref="DR88:DT88"/>
    <mergeCell ref="DU88:DW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CB88:CD88"/>
    <mergeCell ref="CE88:CG88"/>
    <mergeCell ref="CH88:CJ88"/>
    <mergeCell ref="CK88:CM88"/>
    <mergeCell ref="BD88:BF88"/>
    <mergeCell ref="BG88:BI88"/>
    <mergeCell ref="BJ88:BL88"/>
    <mergeCell ref="BM88:BO88"/>
    <mergeCell ref="BP88:BR88"/>
    <mergeCell ref="BS88:BU88"/>
    <mergeCell ref="AL88:AN88"/>
    <mergeCell ref="AO88:AQ88"/>
    <mergeCell ref="AR88:AT88"/>
    <mergeCell ref="AU88:AW88"/>
    <mergeCell ref="AX88:AZ88"/>
    <mergeCell ref="BA88:BC88"/>
    <mergeCell ref="T88:V88"/>
    <mergeCell ref="W88:Y88"/>
    <mergeCell ref="Z88:AB88"/>
    <mergeCell ref="AC88:AE88"/>
    <mergeCell ref="AF88:AH88"/>
    <mergeCell ref="AI88:AK88"/>
    <mergeCell ref="FZ87:GB87"/>
    <mergeCell ref="GC87:GE87"/>
    <mergeCell ref="GF87:GH87"/>
    <mergeCell ref="EM87:EO87"/>
    <mergeCell ref="DF87:DH87"/>
    <mergeCell ref="DI87:DK87"/>
    <mergeCell ref="DL87:DN87"/>
    <mergeCell ref="DO87:DQ87"/>
    <mergeCell ref="DR87:DT87"/>
    <mergeCell ref="DU87:DW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ED87:EF87"/>
    <mergeCell ref="EG87:EI87"/>
    <mergeCell ref="EJ87:EL87"/>
    <mergeCell ref="CB87:CD87"/>
    <mergeCell ref="CE87:CG87"/>
    <mergeCell ref="CH87:CJ87"/>
    <mergeCell ref="CK87:CM87"/>
    <mergeCell ref="BD87:BF87"/>
    <mergeCell ref="BG87:BI87"/>
    <mergeCell ref="BJ87:BL87"/>
    <mergeCell ref="BM87:BO87"/>
    <mergeCell ref="BP87:BR87"/>
    <mergeCell ref="BS87:BU87"/>
    <mergeCell ref="AL87:AN87"/>
    <mergeCell ref="AO87:AQ87"/>
    <mergeCell ref="AR87:AT87"/>
    <mergeCell ref="AU87:AW87"/>
    <mergeCell ref="AX87:AZ87"/>
    <mergeCell ref="BA87:BC87"/>
    <mergeCell ref="T87:V87"/>
    <mergeCell ref="W87:Y87"/>
    <mergeCell ref="Z87:AB87"/>
    <mergeCell ref="AC87:AE87"/>
    <mergeCell ref="AF87:AH87"/>
    <mergeCell ref="AI87:AK87"/>
    <mergeCell ref="FZ86:GB86"/>
    <mergeCell ref="GC86:GE86"/>
    <mergeCell ref="GF86:GH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ED86:EF86"/>
    <mergeCell ref="EG86:EI86"/>
    <mergeCell ref="EJ86:EL86"/>
    <mergeCell ref="EM86:EO86"/>
    <mergeCell ref="DF86:DH86"/>
    <mergeCell ref="DI86:DK86"/>
    <mergeCell ref="DL86:DN86"/>
    <mergeCell ref="DO86:DQ86"/>
    <mergeCell ref="DR86:DT86"/>
    <mergeCell ref="DU86:DW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CB86:CD86"/>
    <mergeCell ref="CE86:CG86"/>
    <mergeCell ref="CH86:CJ86"/>
    <mergeCell ref="CK86:CM86"/>
    <mergeCell ref="BD86:BF86"/>
    <mergeCell ref="BG86:BI86"/>
    <mergeCell ref="BJ86:BL86"/>
    <mergeCell ref="BM86:BO86"/>
    <mergeCell ref="BP86:BR86"/>
    <mergeCell ref="BS86:BU86"/>
    <mergeCell ref="AL86:AN86"/>
    <mergeCell ref="AO86:AQ86"/>
    <mergeCell ref="AR86:AT86"/>
    <mergeCell ref="AU86:AW86"/>
    <mergeCell ref="AX86:AZ86"/>
    <mergeCell ref="BA86:BC86"/>
    <mergeCell ref="T86:V86"/>
    <mergeCell ref="W86:Y86"/>
    <mergeCell ref="Z86:AB86"/>
    <mergeCell ref="AC86:AE86"/>
    <mergeCell ref="AF86:AH86"/>
    <mergeCell ref="AI86:AK86"/>
    <mergeCell ref="FZ85:GB85"/>
    <mergeCell ref="GC85:GE85"/>
    <mergeCell ref="GF85:GH85"/>
    <mergeCell ref="EM85:EO85"/>
    <mergeCell ref="DF85:DH85"/>
    <mergeCell ref="DI85:DK85"/>
    <mergeCell ref="DL85:DN85"/>
    <mergeCell ref="DO85:DQ85"/>
    <mergeCell ref="DR85:DT85"/>
    <mergeCell ref="DU85:DW85"/>
    <mergeCell ref="CN85:CP85"/>
    <mergeCell ref="CQ85:CS85"/>
    <mergeCell ref="CT85:CV85"/>
    <mergeCell ref="CW85:CY85"/>
    <mergeCell ref="CZ85:DB85"/>
    <mergeCell ref="DC85:DE85"/>
    <mergeCell ref="BV85:BX85"/>
    <mergeCell ref="BY85:CA85"/>
    <mergeCell ref="GI85:GK85"/>
    <mergeCell ref="B86:D86"/>
    <mergeCell ref="E86:G86"/>
    <mergeCell ref="H86:J86"/>
    <mergeCell ref="K86:M86"/>
    <mergeCell ref="N86:P86"/>
    <mergeCell ref="Q86:S86"/>
    <mergeCell ref="FH85:FJ85"/>
    <mergeCell ref="FK85:FM85"/>
    <mergeCell ref="FN85:FP85"/>
    <mergeCell ref="FQ85:FS85"/>
    <mergeCell ref="FT85:FV85"/>
    <mergeCell ref="FW85:FY85"/>
    <mergeCell ref="EP85:ER85"/>
    <mergeCell ref="ES85:EU85"/>
    <mergeCell ref="EV85:EX85"/>
    <mergeCell ref="EY85:FA85"/>
    <mergeCell ref="FB85:FD85"/>
    <mergeCell ref="FE85:FG85"/>
    <mergeCell ref="DX85:DZ85"/>
    <mergeCell ref="EA85:EC85"/>
    <mergeCell ref="ED85:EF85"/>
    <mergeCell ref="EG85:EI85"/>
    <mergeCell ref="EJ85:EL85"/>
    <mergeCell ref="CB85:CD85"/>
    <mergeCell ref="CE85:CG85"/>
    <mergeCell ref="CH85:CJ85"/>
    <mergeCell ref="CK85:CM85"/>
    <mergeCell ref="BD85:BF85"/>
    <mergeCell ref="BG85:BI85"/>
    <mergeCell ref="BJ85:BL85"/>
    <mergeCell ref="BM85:BO85"/>
    <mergeCell ref="BP85:BR85"/>
    <mergeCell ref="BS85:BU85"/>
    <mergeCell ref="AL85:AN85"/>
    <mergeCell ref="AO85:AQ85"/>
    <mergeCell ref="AR85:AT85"/>
    <mergeCell ref="AU85:AW85"/>
    <mergeCell ref="AX85:AZ85"/>
    <mergeCell ref="BA85:BC85"/>
    <mergeCell ref="T85:V85"/>
    <mergeCell ref="W85:Y85"/>
    <mergeCell ref="Z85:AB85"/>
    <mergeCell ref="AC85:AE85"/>
    <mergeCell ref="AF85:AH85"/>
    <mergeCell ref="AI85:AK85"/>
    <mergeCell ref="FZ45:GB45"/>
    <mergeCell ref="GC45:GE45"/>
    <mergeCell ref="GF45:GH45"/>
    <mergeCell ref="GI45:GK45"/>
    <mergeCell ref="B85:D85"/>
    <mergeCell ref="E85:G85"/>
    <mergeCell ref="H85:J85"/>
    <mergeCell ref="K85:M85"/>
    <mergeCell ref="N85:P85"/>
    <mergeCell ref="Q85:S85"/>
    <mergeCell ref="FH45:FJ45"/>
    <mergeCell ref="FK45:FM45"/>
    <mergeCell ref="FN45:FP45"/>
    <mergeCell ref="FQ45:FS45"/>
    <mergeCell ref="FT45:FV45"/>
    <mergeCell ref="FW45:FY45"/>
    <mergeCell ref="EP45:ER45"/>
    <mergeCell ref="ES45:EU45"/>
    <mergeCell ref="EV45:EX45"/>
    <mergeCell ref="EY45:FA45"/>
    <mergeCell ref="FB45:FD45"/>
    <mergeCell ref="FE45:FG45"/>
    <mergeCell ref="DX45:DZ45"/>
    <mergeCell ref="EA45:EC45"/>
    <mergeCell ref="ED45:EF45"/>
    <mergeCell ref="EG45:EI45"/>
    <mergeCell ref="EJ45:EL45"/>
    <mergeCell ref="EM45:EO45"/>
    <mergeCell ref="DF45:DH45"/>
    <mergeCell ref="DI45:DK45"/>
    <mergeCell ref="DL45:DN45"/>
    <mergeCell ref="DO45:DQ45"/>
    <mergeCell ref="DR45:DT45"/>
    <mergeCell ref="DU45:DW45"/>
    <mergeCell ref="CN45:CP45"/>
    <mergeCell ref="CQ45:CS45"/>
    <mergeCell ref="CT45:CV45"/>
    <mergeCell ref="CW45:CY45"/>
    <mergeCell ref="CZ45:DB45"/>
    <mergeCell ref="DC45:DE45"/>
    <mergeCell ref="BV45:BX45"/>
    <mergeCell ref="BY45:CA45"/>
    <mergeCell ref="CB45:CD45"/>
    <mergeCell ref="CE45:CG45"/>
    <mergeCell ref="CH45:CJ45"/>
    <mergeCell ref="CK45:CM45"/>
    <mergeCell ref="BD45:BF45"/>
    <mergeCell ref="BG45:BI45"/>
    <mergeCell ref="BJ45:BL45"/>
    <mergeCell ref="BM45:BO45"/>
    <mergeCell ref="BP45:BR45"/>
    <mergeCell ref="BS45:BU45"/>
    <mergeCell ref="AL45:AN45"/>
    <mergeCell ref="AO45:AQ45"/>
    <mergeCell ref="AR45:AT45"/>
    <mergeCell ref="AU45:AW45"/>
    <mergeCell ref="AX45:AZ45"/>
    <mergeCell ref="BA45:BC45"/>
    <mergeCell ref="T45:V45"/>
    <mergeCell ref="W45:Y45"/>
    <mergeCell ref="Z45:AB45"/>
    <mergeCell ref="AC45:AE45"/>
    <mergeCell ref="AF45:AH45"/>
    <mergeCell ref="AI45:AK45"/>
    <mergeCell ref="B45:D45"/>
    <mergeCell ref="E45:G45"/>
    <mergeCell ref="H45:J45"/>
    <mergeCell ref="K45:M45"/>
    <mergeCell ref="N45:P45"/>
    <mergeCell ref="Q45:S45"/>
    <mergeCell ref="EA44:EL44"/>
    <mergeCell ref="EM44:EU44"/>
    <mergeCell ref="EV44:FD44"/>
    <mergeCell ref="FE44:FM44"/>
    <mergeCell ref="FN44:FY44"/>
    <mergeCell ref="FZ44:GK44"/>
    <mergeCell ref="BP44:CA44"/>
    <mergeCell ref="CB44:CM44"/>
    <mergeCell ref="CN44:CV44"/>
    <mergeCell ref="CW44:DE44"/>
    <mergeCell ref="DF44:DN44"/>
    <mergeCell ref="DO44:DZ44"/>
    <mergeCell ref="GF26:GH26"/>
    <mergeCell ref="GI26:GK26"/>
    <mergeCell ref="A44:A46"/>
    <mergeCell ref="B44:J44"/>
    <mergeCell ref="K44:S44"/>
    <mergeCell ref="T44:AB44"/>
    <mergeCell ref="AC44:AN44"/>
    <mergeCell ref="AO44:AW44"/>
    <mergeCell ref="AX44:BF44"/>
    <mergeCell ref="BG44:BO44"/>
    <mergeCell ref="FN26:FP26"/>
    <mergeCell ref="FQ26:FS26"/>
    <mergeCell ref="FT26:FV26"/>
    <mergeCell ref="FW26:FY26"/>
    <mergeCell ref="FZ26:GB26"/>
    <mergeCell ref="GC26:GE26"/>
    <mergeCell ref="EV26:EX26"/>
    <mergeCell ref="EY26:FA26"/>
    <mergeCell ref="FB26:FD26"/>
    <mergeCell ref="FE26:FG26"/>
    <mergeCell ref="FH26:FJ26"/>
    <mergeCell ref="FK26:FM26"/>
    <mergeCell ref="ED26:EF26"/>
    <mergeCell ref="EG26:EI26"/>
    <mergeCell ref="EJ26:EL26"/>
    <mergeCell ref="EM26:EO26"/>
    <mergeCell ref="EP26:ER26"/>
    <mergeCell ref="ES26:EU26"/>
    <mergeCell ref="DL26:DN26"/>
    <mergeCell ref="DO26:DQ26"/>
    <mergeCell ref="DR26:DT26"/>
    <mergeCell ref="DU26:DW26"/>
    <mergeCell ref="DX26:DZ26"/>
    <mergeCell ref="EA26:EC26"/>
    <mergeCell ref="CT26:CV26"/>
    <mergeCell ref="CW26:CY26"/>
    <mergeCell ref="CZ26:DB26"/>
    <mergeCell ref="DC26:DE26"/>
    <mergeCell ref="DF26:DH26"/>
    <mergeCell ref="DI26:DK26"/>
    <mergeCell ref="CB26:CD26"/>
    <mergeCell ref="CE26:CG26"/>
    <mergeCell ref="CH26:CJ26"/>
    <mergeCell ref="CK26:CM26"/>
    <mergeCell ref="CN26:CP26"/>
    <mergeCell ref="CQ26:CS26"/>
    <mergeCell ref="BJ26:BL26"/>
    <mergeCell ref="BM26:BO26"/>
    <mergeCell ref="BP26:BR26"/>
    <mergeCell ref="BS26:BU26"/>
    <mergeCell ref="BV26:BX26"/>
    <mergeCell ref="BY26:CA26"/>
    <mergeCell ref="AR26:AT26"/>
    <mergeCell ref="AU26:AW26"/>
    <mergeCell ref="AX26:AZ26"/>
    <mergeCell ref="BA26:BC26"/>
    <mergeCell ref="BD26:BF26"/>
    <mergeCell ref="BG26:BI26"/>
    <mergeCell ref="Z26:AB26"/>
    <mergeCell ref="AC26:AE26"/>
    <mergeCell ref="AF26:AH26"/>
    <mergeCell ref="AI26:AK26"/>
    <mergeCell ref="AL26:AN26"/>
    <mergeCell ref="AO26:AQ26"/>
    <mergeCell ref="FN25:FY25"/>
    <mergeCell ref="FZ25:GK25"/>
    <mergeCell ref="B26:D26"/>
    <mergeCell ref="E26:G26"/>
    <mergeCell ref="H26:J26"/>
    <mergeCell ref="K26:M26"/>
    <mergeCell ref="N26:P26"/>
    <mergeCell ref="Q26:S26"/>
    <mergeCell ref="T26:V26"/>
    <mergeCell ref="W26:Y26"/>
    <mergeCell ref="DF25:DN25"/>
    <mergeCell ref="DO25:DZ25"/>
    <mergeCell ref="EA25:EL25"/>
    <mergeCell ref="EM25:EU25"/>
    <mergeCell ref="EV25:FD25"/>
    <mergeCell ref="FE25:FM25"/>
    <mergeCell ref="AX25:BF25"/>
    <mergeCell ref="BG25:BO25"/>
    <mergeCell ref="BP25:CA25"/>
    <mergeCell ref="CB25:CM25"/>
    <mergeCell ref="CN25:CV25"/>
    <mergeCell ref="CW25:DE25"/>
    <mergeCell ref="FZ6:GB6"/>
    <mergeCell ref="GC6:GE6"/>
    <mergeCell ref="GF6:GH6"/>
    <mergeCell ref="GI6:GK6"/>
    <mergeCell ref="A25:A27"/>
    <mergeCell ref="B25:J25"/>
    <mergeCell ref="K25:S25"/>
    <mergeCell ref="T25:AB25"/>
    <mergeCell ref="AC25:AN25"/>
    <mergeCell ref="AO25:AW25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</mergeCells>
  <printOptions horizontalCentered="1"/>
  <pageMargins left="0" right="0" top="0" bottom="0" header="0" footer="0"/>
  <pageSetup paperSize="9" scale="34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Лист20">
    <tabColor rgb="FFFF33CC"/>
    <pageSetUpPr fitToPage="1"/>
  </sheetPr>
  <dimension ref="A1:CN432"/>
  <sheetViews>
    <sheetView zoomScale="80" zoomScaleNormal="80" workbookViewId="0">
      <pane xSplit="1" ySplit="7" topLeftCell="B23" activePane="bottomRight" state="frozen"/>
      <selection pane="topRight" activeCell="B1" sqref="B1"/>
      <selection pane="bottomLeft" activeCell="A8" sqref="A8"/>
      <selection pane="bottomRight" activeCell="AT21" sqref="AT21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4" width="13.7109375" customWidth="1"/>
    <col min="45" max="45" width="15.2851562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4" width="13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2741" t="s">
        <v>4232</v>
      </c>
      <c r="B1" s="2742"/>
      <c r="C1" s="2742"/>
      <c r="D1" s="2742"/>
      <c r="E1" s="2742"/>
      <c r="F1" s="2742"/>
      <c r="G1" s="2742"/>
      <c r="H1" s="2742"/>
      <c r="I1" s="2742"/>
      <c r="J1" s="2742"/>
      <c r="K1" s="2742"/>
      <c r="L1" s="2742"/>
      <c r="M1" s="2742"/>
      <c r="N1" s="2742"/>
      <c r="O1" s="2742"/>
      <c r="P1" s="2742"/>
      <c r="Q1" s="2743"/>
      <c r="R1" s="2743"/>
      <c r="S1" s="2743"/>
      <c r="T1" s="2744"/>
      <c r="U1" s="2744"/>
      <c r="V1" s="2744"/>
      <c r="W1" s="2744"/>
      <c r="X1" s="2744"/>
      <c r="Y1" s="2744"/>
      <c r="Z1" s="2743"/>
      <c r="AA1" s="2743"/>
      <c r="AB1" s="2743"/>
      <c r="AC1" s="2744"/>
      <c r="AD1" s="2744"/>
      <c r="AE1" s="2744"/>
      <c r="AF1" s="2744"/>
      <c r="AG1" s="2744"/>
      <c r="AH1" s="2744"/>
      <c r="AI1" s="2744"/>
      <c r="AJ1" s="2744"/>
      <c r="AK1" s="2744"/>
      <c r="AL1" s="2744"/>
      <c r="AM1" s="2744"/>
      <c r="AN1" s="2744"/>
      <c r="AO1" s="2743"/>
      <c r="AP1" s="2743"/>
      <c r="AQ1" s="2743"/>
      <c r="AR1" s="2743"/>
      <c r="AS1" s="2743"/>
      <c r="AT1" s="2743"/>
      <c r="AU1" s="2743"/>
      <c r="AV1" s="2743"/>
      <c r="AW1" s="2743"/>
      <c r="AX1" s="2743"/>
      <c r="AY1" s="2743"/>
      <c r="AZ1" s="2743"/>
      <c r="BA1" s="2743"/>
      <c r="BB1" s="2743"/>
      <c r="BC1" s="2743"/>
      <c r="BD1" s="2743"/>
      <c r="BE1" s="2743"/>
      <c r="BF1" s="2743"/>
      <c r="BG1" s="2743"/>
      <c r="BH1" s="2743"/>
      <c r="BI1" s="2743"/>
      <c r="BJ1" s="2743"/>
      <c r="BK1" s="2743"/>
      <c r="BL1" s="2743"/>
      <c r="BM1" s="2743"/>
      <c r="BN1" s="2743"/>
      <c r="BO1" s="2743"/>
      <c r="BP1" s="2743"/>
      <c r="BQ1" s="2743"/>
      <c r="BR1" s="2743"/>
      <c r="BS1" s="2743"/>
      <c r="BT1" s="2743"/>
      <c r="BU1" s="2743"/>
      <c r="BV1" s="2743"/>
      <c r="BW1" s="2743"/>
      <c r="BX1" s="2743"/>
      <c r="BY1" s="2743"/>
      <c r="BZ1" s="2743"/>
      <c r="CA1" s="2743"/>
      <c r="CB1" s="2743"/>
      <c r="CC1" s="2743"/>
      <c r="CD1" s="2743"/>
      <c r="CE1" s="2743"/>
      <c r="CF1" s="2743"/>
      <c r="CG1" s="2743"/>
      <c r="CH1" s="2743"/>
      <c r="CI1" s="2745"/>
      <c r="CJ1" s="2745"/>
      <c r="CK1" s="2745"/>
      <c r="CL1" s="2745"/>
      <c r="CM1" s="2745"/>
      <c r="CN1" s="2746"/>
    </row>
    <row r="2" spans="1:92" ht="20.25" x14ac:dyDescent="0.3">
      <c r="A2" s="2747" t="s">
        <v>3676</v>
      </c>
      <c r="B2" s="2745"/>
      <c r="C2" s="2745"/>
      <c r="D2" s="2745"/>
      <c r="E2" s="2745"/>
      <c r="F2" s="2745"/>
      <c r="G2" s="2745"/>
      <c r="H2" s="2748"/>
      <c r="I2" s="2745"/>
      <c r="J2" s="2745"/>
      <c r="K2" s="2745"/>
      <c r="L2" s="2745"/>
      <c r="M2" s="2745"/>
      <c r="N2" s="2745"/>
      <c r="O2" s="2745"/>
      <c r="P2" s="2745"/>
      <c r="Q2" s="2745"/>
      <c r="R2" s="2745"/>
      <c r="S2" s="2745"/>
      <c r="T2" s="2749"/>
      <c r="U2" s="2749"/>
      <c r="V2" s="2749"/>
      <c r="W2" s="2749"/>
      <c r="X2" s="2749"/>
      <c r="Y2" s="2749"/>
      <c r="Z2" s="2745"/>
      <c r="AA2" s="2745"/>
      <c r="AB2" s="2745"/>
      <c r="AC2" s="2749"/>
      <c r="AD2" s="2749"/>
      <c r="AE2" s="2749"/>
      <c r="AF2" s="2749"/>
      <c r="AG2" s="2749"/>
      <c r="AH2" s="2749"/>
      <c r="AI2" s="2749"/>
      <c r="AJ2" s="2749"/>
      <c r="AK2" s="2749"/>
      <c r="AL2" s="2749"/>
      <c r="AM2" s="2749"/>
      <c r="AN2" s="2749"/>
      <c r="AO2" s="2745"/>
      <c r="AP2" s="2745"/>
      <c r="AQ2" s="2745"/>
      <c r="AR2" s="2745"/>
      <c r="AS2" s="2745"/>
      <c r="AT2" s="2745"/>
      <c r="AU2" s="2745"/>
      <c r="AV2" s="2745"/>
      <c r="AW2" s="2745"/>
      <c r="AX2" s="2745"/>
      <c r="AY2" s="2745"/>
      <c r="AZ2" s="2745"/>
      <c r="BA2" s="2745"/>
      <c r="BB2" s="2745"/>
      <c r="BC2" s="2745"/>
      <c r="BD2" s="2745"/>
      <c r="BE2" s="2745"/>
      <c r="BF2" s="2745"/>
      <c r="BG2" s="2745"/>
      <c r="BH2" s="2745"/>
      <c r="BI2" s="2745"/>
      <c r="BJ2" s="2745"/>
      <c r="BK2" s="2745"/>
      <c r="BL2" s="2745"/>
      <c r="BM2" s="2745"/>
      <c r="BN2" s="2745"/>
      <c r="BO2" s="2745"/>
      <c r="BP2" s="2745"/>
      <c r="BQ2" s="2745"/>
      <c r="BR2" s="2745"/>
      <c r="BS2" s="2745"/>
      <c r="BT2" s="2745"/>
      <c r="BU2" s="2745"/>
      <c r="BV2" s="2745"/>
      <c r="BW2" s="2745"/>
      <c r="BX2" s="2745"/>
      <c r="BY2" s="2745"/>
      <c r="BZ2" s="2745"/>
      <c r="CA2" s="2745"/>
      <c r="CB2" s="2745"/>
      <c r="CC2" s="3836"/>
      <c r="CD2" s="2745"/>
      <c r="CE2" s="2745"/>
      <c r="CF2" s="2745"/>
      <c r="CG2" s="2745"/>
      <c r="CH2" s="2745"/>
      <c r="CI2" s="2745"/>
      <c r="CJ2" s="2745"/>
      <c r="CK2" s="2745"/>
      <c r="CL2" s="2745"/>
      <c r="CM2" s="2745"/>
      <c r="CN2" s="2746"/>
    </row>
    <row r="3" spans="1:92" ht="20.25" x14ac:dyDescent="0.3">
      <c r="A3" s="2747"/>
      <c r="B3" s="2745"/>
      <c r="C3" s="2745"/>
      <c r="D3" s="2745"/>
      <c r="E3" s="2745"/>
      <c r="F3" s="2745"/>
      <c r="G3" s="2745"/>
      <c r="H3" s="2745"/>
      <c r="I3" s="2745"/>
      <c r="J3" s="2745"/>
      <c r="K3" s="2745"/>
      <c r="L3" s="2745"/>
      <c r="M3" s="2745"/>
      <c r="N3" s="2745"/>
      <c r="O3" s="2745"/>
      <c r="P3" s="2745"/>
      <c r="Q3" s="2745"/>
      <c r="R3" s="2745"/>
      <c r="S3" s="2745"/>
      <c r="T3" s="2745"/>
      <c r="U3" s="2745"/>
      <c r="V3" s="2745"/>
      <c r="W3" s="2745"/>
      <c r="X3" s="2745"/>
      <c r="Y3" s="2745"/>
      <c r="Z3" s="2745"/>
      <c r="AA3" s="2745"/>
      <c r="AB3" s="2745"/>
      <c r="AC3" s="2745"/>
      <c r="AD3" s="2745"/>
      <c r="AE3" s="2745"/>
      <c r="AF3" s="2745"/>
      <c r="AG3" s="2745"/>
      <c r="AH3" s="2745"/>
      <c r="AI3" s="2745"/>
      <c r="AJ3" s="2745"/>
      <c r="AK3" s="2745"/>
      <c r="AL3" s="2745"/>
      <c r="AM3" s="2745"/>
      <c r="AN3" s="2745"/>
      <c r="AO3" s="2745"/>
      <c r="AP3" s="2745"/>
      <c r="AQ3" s="2745"/>
      <c r="AR3" s="2745"/>
      <c r="AS3" s="2745"/>
      <c r="AT3" s="2745"/>
      <c r="AU3" s="2745"/>
      <c r="AV3" s="2745"/>
      <c r="AW3" s="2745"/>
      <c r="AX3" s="2745"/>
      <c r="AY3" s="2745"/>
      <c r="AZ3" s="2745"/>
      <c r="BA3" s="2745"/>
      <c r="BB3" s="2745"/>
      <c r="BC3" s="2745"/>
      <c r="BD3" s="2745"/>
      <c r="BE3" s="2745"/>
      <c r="BF3" s="2745"/>
      <c r="BG3" s="2745"/>
      <c r="BH3" s="2745"/>
      <c r="BI3" s="2745"/>
      <c r="BJ3" s="2745"/>
      <c r="BK3" s="2745"/>
      <c r="BL3" s="2745"/>
      <c r="BM3" s="2745"/>
      <c r="BN3" s="2745"/>
      <c r="BO3" s="2745"/>
      <c r="BP3" s="2745"/>
      <c r="BQ3" s="2745"/>
      <c r="BR3" s="2745"/>
      <c r="BS3" s="2745"/>
      <c r="BT3" s="2745"/>
      <c r="BU3" s="2745"/>
      <c r="BV3" s="2745"/>
      <c r="BW3" s="2745"/>
      <c r="BX3" s="2745"/>
      <c r="BY3" s="2745"/>
      <c r="BZ3" s="2745"/>
      <c r="CA3" s="2745"/>
      <c r="CB3" s="2745"/>
      <c r="CC3" s="2745"/>
      <c r="CD3" s="2745"/>
      <c r="CE3" s="2745"/>
      <c r="CF3" s="2745"/>
      <c r="CG3" s="2745"/>
      <c r="CH3" s="2745"/>
      <c r="CI3" s="2745"/>
      <c r="CJ3" s="2745"/>
      <c r="CK3" s="2745"/>
      <c r="CL3" s="2745"/>
      <c r="CM3" s="2745"/>
      <c r="CN3" s="2746"/>
    </row>
    <row r="4" spans="1:92" ht="18.75" x14ac:dyDescent="0.3">
      <c r="A4" s="2750" t="s">
        <v>3677</v>
      </c>
      <c r="B4" s="4305"/>
      <c r="C4" s="4305"/>
      <c r="D4" s="4305"/>
      <c r="E4" s="4305"/>
      <c r="F4" s="4305"/>
      <c r="G4" s="4305"/>
      <c r="H4" s="4305"/>
      <c r="I4" s="4305"/>
      <c r="J4" s="4305"/>
      <c r="K4" s="4305"/>
      <c r="L4" s="4305"/>
      <c r="M4" s="4305"/>
      <c r="N4" s="4305"/>
      <c r="O4" s="4305"/>
      <c r="P4" s="4305"/>
      <c r="Q4" s="4305"/>
      <c r="R4" s="4305"/>
      <c r="S4" s="4305"/>
      <c r="T4" s="4305"/>
      <c r="U4" s="4305"/>
      <c r="V4" s="4305"/>
      <c r="W4" s="4305"/>
      <c r="X4" s="4305"/>
      <c r="Y4" s="4305"/>
      <c r="Z4" s="4305"/>
      <c r="AA4" s="4305"/>
      <c r="AB4" s="4305"/>
      <c r="AC4" s="4305"/>
      <c r="AD4" s="4305"/>
      <c r="AE4" s="4305"/>
      <c r="AF4" s="4305"/>
      <c r="AG4" s="4305"/>
      <c r="AH4" s="4305"/>
      <c r="AI4" s="4305"/>
      <c r="AJ4" s="4305"/>
      <c r="AK4" s="4305"/>
      <c r="AL4" s="4305"/>
      <c r="AM4" s="4305"/>
      <c r="AN4" s="4305"/>
      <c r="AO4" s="4305"/>
      <c r="AP4" s="4305"/>
      <c r="AQ4" s="4305"/>
      <c r="AR4" s="4305"/>
      <c r="AS4" s="4305"/>
      <c r="AT4" s="4305"/>
      <c r="AU4" s="4305"/>
      <c r="AV4" s="4305"/>
      <c r="AW4" s="4305"/>
      <c r="AX4" s="4305"/>
      <c r="AY4" s="4305"/>
      <c r="AZ4" s="4305"/>
      <c r="BA4" s="4305"/>
      <c r="BB4" s="4305"/>
      <c r="BC4" s="4305"/>
      <c r="BD4" s="4305"/>
      <c r="BE4" s="4305"/>
      <c r="BF4" s="4305"/>
      <c r="BG4" s="4305"/>
      <c r="BH4" s="4305"/>
      <c r="BI4" s="4305"/>
      <c r="BJ4" s="4305"/>
      <c r="BK4" s="4305"/>
      <c r="BL4" s="4305"/>
      <c r="BM4" s="4305"/>
      <c r="BN4" s="4305"/>
      <c r="BO4" s="4305"/>
      <c r="BP4" s="4305"/>
      <c r="BQ4" s="4305"/>
      <c r="BR4" s="4305"/>
      <c r="BS4" s="4305"/>
      <c r="BT4" s="4305"/>
      <c r="BU4" s="4305"/>
      <c r="BV4" s="4305"/>
      <c r="BW4" s="4305"/>
      <c r="BX4" s="4305"/>
      <c r="BY4" s="4305"/>
      <c r="BZ4" s="4305"/>
      <c r="CA4" s="4305"/>
      <c r="CB4" s="4305"/>
      <c r="CC4" s="4305"/>
      <c r="CD4" s="4305"/>
      <c r="CE4" s="4305"/>
      <c r="CF4" s="4305"/>
      <c r="CG4" s="4305"/>
      <c r="CH4" s="4305"/>
      <c r="CI4" s="4306"/>
      <c r="CJ4" s="4307"/>
      <c r="CK4" s="2745"/>
      <c r="CL4" s="2745"/>
      <c r="CM4" s="2745"/>
      <c r="CN4" s="2746"/>
    </row>
    <row r="5" spans="1:92" ht="18.75" customHeight="1" x14ac:dyDescent="0.2">
      <c r="A5" s="5323" t="s">
        <v>525</v>
      </c>
      <c r="B5" s="5398" t="s">
        <v>3678</v>
      </c>
      <c r="C5" s="5306"/>
      <c r="D5" s="5306"/>
      <c r="E5" s="5306"/>
      <c r="F5" s="5306"/>
      <c r="G5" s="5306"/>
      <c r="H5" s="5306"/>
      <c r="I5" s="5306"/>
      <c r="J5" s="5306"/>
      <c r="K5" s="5306"/>
      <c r="L5" s="5306"/>
      <c r="M5" s="5306"/>
      <c r="N5" s="5306"/>
      <c r="O5" s="5306"/>
      <c r="P5" s="5307"/>
      <c r="Q5" s="5395" t="s">
        <v>3679</v>
      </c>
      <c r="R5" s="5297"/>
      <c r="S5" s="5297"/>
      <c r="T5" s="5297"/>
      <c r="U5" s="5297"/>
      <c r="V5" s="5297"/>
      <c r="W5" s="5297"/>
      <c r="X5" s="5297"/>
      <c r="Y5" s="5297"/>
      <c r="Z5" s="5297"/>
      <c r="AA5" s="5297"/>
      <c r="AB5" s="5297"/>
      <c r="AC5" s="5297"/>
      <c r="AD5" s="5308"/>
      <c r="AE5" s="5309"/>
      <c r="AF5" s="5394" t="s">
        <v>3680</v>
      </c>
      <c r="AG5" s="5293"/>
      <c r="AH5" s="5293"/>
      <c r="AI5" s="5293"/>
      <c r="AJ5" s="5293"/>
      <c r="AK5" s="5293"/>
      <c r="AL5" s="5293"/>
      <c r="AM5" s="5310"/>
      <c r="AN5" s="5311"/>
      <c r="AO5" s="5398" t="s">
        <v>3681</v>
      </c>
      <c r="AP5" s="5306"/>
      <c r="AQ5" s="5306"/>
      <c r="AR5" s="5306"/>
      <c r="AS5" s="5306"/>
      <c r="AT5" s="5306"/>
      <c r="AU5" s="5306"/>
      <c r="AV5" s="5306"/>
      <c r="AW5" s="5306"/>
      <c r="AX5" s="5306"/>
      <c r="AY5" s="5306"/>
      <c r="AZ5" s="5306"/>
      <c r="BA5" s="5306"/>
      <c r="BB5" s="5310"/>
      <c r="BC5" s="5311"/>
      <c r="BD5" s="5394" t="s">
        <v>3682</v>
      </c>
      <c r="BE5" s="5293"/>
      <c r="BF5" s="5293"/>
      <c r="BG5" s="5293"/>
      <c r="BH5" s="5293"/>
      <c r="BI5" s="5293"/>
      <c r="BJ5" s="5293"/>
      <c r="BK5" s="5310"/>
      <c r="BL5" s="5311"/>
      <c r="BM5" s="5398" t="s">
        <v>3683</v>
      </c>
      <c r="BN5" s="5306"/>
      <c r="BO5" s="5306"/>
      <c r="BP5" s="5306"/>
      <c r="BQ5" s="5306"/>
      <c r="BR5" s="5306"/>
      <c r="BS5" s="5306"/>
      <c r="BT5" s="5306"/>
      <c r="BU5" s="5306"/>
      <c r="BV5" s="5306"/>
      <c r="BW5" s="5306"/>
      <c r="BX5" s="5306"/>
      <c r="BY5" s="5306"/>
      <c r="BZ5" s="5310"/>
      <c r="CA5" s="5310"/>
      <c r="CB5" s="5394" t="s">
        <v>1991</v>
      </c>
      <c r="CC5" s="5293"/>
      <c r="CD5" s="5293"/>
      <c r="CE5" s="5293"/>
      <c r="CF5" s="5293"/>
      <c r="CG5" s="5293"/>
      <c r="CH5" s="5293"/>
      <c r="CI5" s="5294"/>
      <c r="CJ5" s="5295"/>
      <c r="CK5" s="2751"/>
      <c r="CL5" s="2751"/>
      <c r="CM5" s="2751"/>
      <c r="CN5" s="2752"/>
    </row>
    <row r="6" spans="1:92" ht="18.75" customHeight="1" x14ac:dyDescent="0.2">
      <c r="A6" s="5324"/>
      <c r="B6" s="5395" t="s">
        <v>3550</v>
      </c>
      <c r="C6" s="5297"/>
      <c r="D6" s="5298"/>
      <c r="E6" s="5396" t="s">
        <v>569</v>
      </c>
      <c r="F6" s="5300"/>
      <c r="G6" s="5301"/>
      <c r="H6" s="5396" t="s">
        <v>570</v>
      </c>
      <c r="I6" s="5300"/>
      <c r="J6" s="5301"/>
      <c r="K6" s="5396" t="s">
        <v>571</v>
      </c>
      <c r="L6" s="5300"/>
      <c r="M6" s="5301"/>
      <c r="N6" s="5395" t="s">
        <v>1674</v>
      </c>
      <c r="O6" s="5297"/>
      <c r="P6" s="5298"/>
      <c r="Q6" s="5395" t="s">
        <v>3550</v>
      </c>
      <c r="R6" s="5297"/>
      <c r="S6" s="5298"/>
      <c r="T6" s="5397" t="s">
        <v>3684</v>
      </c>
      <c r="U6" s="5303"/>
      <c r="V6" s="5304"/>
      <c r="W6" s="5397" t="s">
        <v>573</v>
      </c>
      <c r="X6" s="5303"/>
      <c r="Y6" s="5304"/>
      <c r="Z6" s="5397" t="s">
        <v>574</v>
      </c>
      <c r="AA6" s="5303"/>
      <c r="AB6" s="5304"/>
      <c r="AC6" s="5395" t="s">
        <v>1674</v>
      </c>
      <c r="AD6" s="5297"/>
      <c r="AE6" s="5298"/>
      <c r="AF6" s="5312" t="s">
        <v>3550</v>
      </c>
      <c r="AG6" s="5313"/>
      <c r="AH6" s="5314"/>
      <c r="AI6" s="5312" t="s">
        <v>1674</v>
      </c>
      <c r="AJ6" s="5313"/>
      <c r="AK6" s="5314"/>
      <c r="AL6" s="5312" t="s">
        <v>3685</v>
      </c>
      <c r="AM6" s="5313"/>
      <c r="AN6" s="5314"/>
      <c r="AO6" s="5328" t="s">
        <v>3550</v>
      </c>
      <c r="AP6" s="5329"/>
      <c r="AQ6" s="5330"/>
      <c r="AR6" s="5331" t="s">
        <v>575</v>
      </c>
      <c r="AS6" s="5332"/>
      <c r="AT6" s="5333"/>
      <c r="AU6" s="5331" t="s">
        <v>576</v>
      </c>
      <c r="AV6" s="5332"/>
      <c r="AW6" s="5333"/>
      <c r="AX6" s="5331" t="s">
        <v>577</v>
      </c>
      <c r="AY6" s="5332"/>
      <c r="AZ6" s="5333"/>
      <c r="BA6" s="5328" t="s">
        <v>1674</v>
      </c>
      <c r="BB6" s="5329"/>
      <c r="BC6" s="5330"/>
      <c r="BD6" s="5325" t="s">
        <v>3550</v>
      </c>
      <c r="BE6" s="5326"/>
      <c r="BF6" s="5327"/>
      <c r="BG6" s="5325" t="s">
        <v>1674</v>
      </c>
      <c r="BH6" s="5326"/>
      <c r="BI6" s="5327"/>
      <c r="BJ6" s="5325" t="s">
        <v>3685</v>
      </c>
      <c r="BK6" s="5326"/>
      <c r="BL6" s="5327"/>
      <c r="BM6" s="5399" t="s">
        <v>3550</v>
      </c>
      <c r="BN6" s="5400"/>
      <c r="BO6" s="5413"/>
      <c r="BP6" s="5315" t="s">
        <v>578</v>
      </c>
      <c r="BQ6" s="5316"/>
      <c r="BR6" s="5317"/>
      <c r="BS6" s="5315" t="s">
        <v>579</v>
      </c>
      <c r="BT6" s="5316"/>
      <c r="BU6" s="5317"/>
      <c r="BV6" s="5315" t="s">
        <v>580</v>
      </c>
      <c r="BW6" s="5316"/>
      <c r="BX6" s="5317"/>
      <c r="BY6" s="5399" t="s">
        <v>1674</v>
      </c>
      <c r="BZ6" s="5400"/>
      <c r="CA6" s="5400"/>
      <c r="CB6" s="5318" t="s">
        <v>3550</v>
      </c>
      <c r="CC6" s="5319"/>
      <c r="CD6" s="5320"/>
      <c r="CE6" s="5318" t="s">
        <v>1674</v>
      </c>
      <c r="CF6" s="5319"/>
      <c r="CG6" s="5320"/>
      <c r="CH6" s="5318" t="s">
        <v>3685</v>
      </c>
      <c r="CI6" s="5321"/>
      <c r="CJ6" s="5322"/>
      <c r="CK6" s="2751"/>
      <c r="CL6" s="2751"/>
      <c r="CM6" s="2751"/>
      <c r="CN6" s="2752"/>
    </row>
    <row r="7" spans="1:92" ht="18.75" customHeight="1" x14ac:dyDescent="0.2">
      <c r="A7" s="5324"/>
      <c r="B7" s="4308" t="s">
        <v>614</v>
      </c>
      <c r="C7" s="4308" t="s">
        <v>3686</v>
      </c>
      <c r="D7" s="4308" t="s">
        <v>3626</v>
      </c>
      <c r="E7" s="4308" t="s">
        <v>614</v>
      </c>
      <c r="F7" s="4308" t="s">
        <v>3686</v>
      </c>
      <c r="G7" s="4308" t="s">
        <v>3626</v>
      </c>
      <c r="H7" s="4308" t="s">
        <v>614</v>
      </c>
      <c r="I7" s="4308" t="s">
        <v>3686</v>
      </c>
      <c r="J7" s="4308" t="s">
        <v>3626</v>
      </c>
      <c r="K7" s="4308" t="s">
        <v>614</v>
      </c>
      <c r="L7" s="4308" t="s">
        <v>3686</v>
      </c>
      <c r="M7" s="4308" t="s">
        <v>3626</v>
      </c>
      <c r="N7" s="4308" t="s">
        <v>614</v>
      </c>
      <c r="O7" s="4308" t="s">
        <v>3686</v>
      </c>
      <c r="P7" s="4308" t="s">
        <v>3626</v>
      </c>
      <c r="Q7" s="4308" t="s">
        <v>614</v>
      </c>
      <c r="R7" s="4308" t="s">
        <v>3686</v>
      </c>
      <c r="S7" s="4308" t="s">
        <v>3626</v>
      </c>
      <c r="T7" s="4308" t="s">
        <v>614</v>
      </c>
      <c r="U7" s="4308" t="s">
        <v>3686</v>
      </c>
      <c r="V7" s="4308" t="s">
        <v>3626</v>
      </c>
      <c r="W7" s="4308" t="s">
        <v>614</v>
      </c>
      <c r="X7" s="4308" t="s">
        <v>3686</v>
      </c>
      <c r="Y7" s="4308" t="s">
        <v>3626</v>
      </c>
      <c r="Z7" s="4308" t="s">
        <v>614</v>
      </c>
      <c r="AA7" s="4308" t="s">
        <v>3686</v>
      </c>
      <c r="AB7" s="4308" t="s">
        <v>3626</v>
      </c>
      <c r="AC7" s="4308" t="s">
        <v>614</v>
      </c>
      <c r="AD7" s="4308" t="s">
        <v>3686</v>
      </c>
      <c r="AE7" s="4308" t="s">
        <v>3626</v>
      </c>
      <c r="AF7" s="4309" t="s">
        <v>614</v>
      </c>
      <c r="AG7" s="4309" t="s">
        <v>3686</v>
      </c>
      <c r="AH7" s="4309" t="s">
        <v>3626</v>
      </c>
      <c r="AI7" s="4309" t="s">
        <v>614</v>
      </c>
      <c r="AJ7" s="4309" t="s">
        <v>3686</v>
      </c>
      <c r="AK7" s="4309" t="s">
        <v>3626</v>
      </c>
      <c r="AL7" s="4309" t="s">
        <v>614</v>
      </c>
      <c r="AM7" s="4309" t="s">
        <v>3686</v>
      </c>
      <c r="AN7" s="4309" t="s">
        <v>3626</v>
      </c>
      <c r="AO7" s="4308" t="s">
        <v>614</v>
      </c>
      <c r="AP7" s="4308" t="s">
        <v>3686</v>
      </c>
      <c r="AQ7" s="4308" t="s">
        <v>3626</v>
      </c>
      <c r="AR7" s="4308" t="s">
        <v>614</v>
      </c>
      <c r="AS7" s="4308" t="s">
        <v>3686</v>
      </c>
      <c r="AT7" s="4308" t="s">
        <v>3626</v>
      </c>
      <c r="AU7" s="4308" t="s">
        <v>614</v>
      </c>
      <c r="AV7" s="4308" t="s">
        <v>3686</v>
      </c>
      <c r="AW7" s="4308" t="s">
        <v>3626</v>
      </c>
      <c r="AX7" s="4308" t="s">
        <v>614</v>
      </c>
      <c r="AY7" s="4308" t="s">
        <v>3686</v>
      </c>
      <c r="AZ7" s="4308" t="s">
        <v>3626</v>
      </c>
      <c r="BA7" s="4308" t="s">
        <v>614</v>
      </c>
      <c r="BB7" s="4308" t="s">
        <v>3686</v>
      </c>
      <c r="BC7" s="4308" t="s">
        <v>3626</v>
      </c>
      <c r="BD7" s="4309" t="s">
        <v>614</v>
      </c>
      <c r="BE7" s="4309" t="s">
        <v>3686</v>
      </c>
      <c r="BF7" s="4309" t="s">
        <v>3626</v>
      </c>
      <c r="BG7" s="4309" t="s">
        <v>614</v>
      </c>
      <c r="BH7" s="4309" t="s">
        <v>3686</v>
      </c>
      <c r="BI7" s="4309" t="s">
        <v>3626</v>
      </c>
      <c r="BJ7" s="4309" t="s">
        <v>614</v>
      </c>
      <c r="BK7" s="4309" t="s">
        <v>3686</v>
      </c>
      <c r="BL7" s="4309" t="s">
        <v>3626</v>
      </c>
      <c r="BM7" s="4308" t="s">
        <v>614</v>
      </c>
      <c r="BN7" s="4308" t="s">
        <v>3686</v>
      </c>
      <c r="BO7" s="4308" t="s">
        <v>3626</v>
      </c>
      <c r="BP7" s="4308" t="s">
        <v>614</v>
      </c>
      <c r="BQ7" s="4308" t="s">
        <v>3686</v>
      </c>
      <c r="BR7" s="4308" t="s">
        <v>3626</v>
      </c>
      <c r="BS7" s="4308" t="s">
        <v>614</v>
      </c>
      <c r="BT7" s="4308" t="s">
        <v>3686</v>
      </c>
      <c r="BU7" s="4308" t="s">
        <v>3626</v>
      </c>
      <c r="BV7" s="4308" t="s">
        <v>614</v>
      </c>
      <c r="BW7" s="4308" t="s">
        <v>3686</v>
      </c>
      <c r="BX7" s="4308" t="s">
        <v>3626</v>
      </c>
      <c r="BY7" s="4308" t="s">
        <v>614</v>
      </c>
      <c r="BZ7" s="4308" t="s">
        <v>3686</v>
      </c>
      <c r="CA7" s="4310" t="s">
        <v>3626</v>
      </c>
      <c r="CB7" s="4309" t="s">
        <v>614</v>
      </c>
      <c r="CC7" s="4309" t="s">
        <v>3686</v>
      </c>
      <c r="CD7" s="4309" t="s">
        <v>3626</v>
      </c>
      <c r="CE7" s="4309" t="s">
        <v>614</v>
      </c>
      <c r="CF7" s="4309" t="s">
        <v>3686</v>
      </c>
      <c r="CG7" s="4309" t="s">
        <v>3626</v>
      </c>
      <c r="CH7" s="4309" t="s">
        <v>614</v>
      </c>
      <c r="CI7" s="4309" t="s">
        <v>3686</v>
      </c>
      <c r="CJ7" s="4309" t="s">
        <v>3626</v>
      </c>
      <c r="CK7" s="2751"/>
      <c r="CL7" s="2751"/>
      <c r="CM7" s="2751"/>
      <c r="CN7" s="2752"/>
    </row>
    <row r="8" spans="1:92" ht="18.75" customHeight="1" x14ac:dyDescent="0.2">
      <c r="A8" s="4311" t="s">
        <v>3687</v>
      </c>
      <c r="B8" s="3026">
        <f>SUM(C8:D8)</f>
        <v>1518.16283305</v>
      </c>
      <c r="C8" s="3026">
        <f>SUM(CC8/4)</f>
        <v>1517.8250830500001</v>
      </c>
      <c r="D8" s="3026">
        <f>SUM(CD8/4)</f>
        <v>0.33774999999999999</v>
      </c>
      <c r="E8" s="4312">
        <f>SUM(F8:G8)</f>
        <v>376.63799999999998</v>
      </c>
      <c r="F8" s="3028">
        <v>376.63799999999998</v>
      </c>
      <c r="G8" s="3024">
        <v>0</v>
      </c>
      <c r="H8" s="4312">
        <f>SUM(I8:J8)</f>
        <v>432.59500000000003</v>
      </c>
      <c r="I8" s="3028">
        <v>432.59500000000003</v>
      </c>
      <c r="J8" s="3024">
        <v>0</v>
      </c>
      <c r="K8" s="3026">
        <f>SUM(L8:M8)</f>
        <v>471.726</v>
      </c>
      <c r="L8" s="3028">
        <v>471.726</v>
      </c>
      <c r="M8" s="3028">
        <v>0</v>
      </c>
      <c r="N8" s="3026">
        <f>SUM(O8:P8)</f>
        <v>1280.9589999999998</v>
      </c>
      <c r="O8" s="3026">
        <f>SUM(F8+I8+L8)</f>
        <v>1280.9589999999998</v>
      </c>
      <c r="P8" s="3026">
        <f>SUM(G8+J8+M8)</f>
        <v>0</v>
      </c>
      <c r="Q8" s="4312">
        <f>SUM(R8:S8)</f>
        <v>1518.16283305</v>
      </c>
      <c r="R8" s="4312">
        <f>SUM(CC8/4)</f>
        <v>1517.8250830500001</v>
      </c>
      <c r="S8" s="4312">
        <f>SUM(CD8/4)</f>
        <v>0.33774999999999999</v>
      </c>
      <c r="T8" s="3026">
        <f>SUM(U8:V8)</f>
        <v>542.70899999999995</v>
      </c>
      <c r="U8" s="3028">
        <v>542.70899999999995</v>
      </c>
      <c r="V8" s="3024">
        <v>0</v>
      </c>
      <c r="W8" s="3026">
        <f>SUM(X8:Y8)</f>
        <v>615.37199999999996</v>
      </c>
      <c r="X8" s="3028">
        <v>615.37199999999996</v>
      </c>
      <c r="Y8" s="3024">
        <v>0</v>
      </c>
      <c r="Z8" s="3026">
        <f>SUM(AA8:AB8)</f>
        <v>517.89200000000005</v>
      </c>
      <c r="AA8" s="3028">
        <v>517.89200000000005</v>
      </c>
      <c r="AB8" s="3024">
        <v>0</v>
      </c>
      <c r="AC8" s="3026">
        <f>SUM(AD8:AE8)</f>
        <v>1675.973</v>
      </c>
      <c r="AD8" s="3026">
        <f>SUM(U8+X8+AA8)</f>
        <v>1675.973</v>
      </c>
      <c r="AE8" s="3026">
        <f>SUM(V8+Y8+AB8)</f>
        <v>0</v>
      </c>
      <c r="AF8" s="4313">
        <f>SUM(AG8:AH8)</f>
        <v>3036.3256661</v>
      </c>
      <c r="AG8" s="4313">
        <f>SUM(C8+R8)</f>
        <v>3035.6501661000002</v>
      </c>
      <c r="AH8" s="4313">
        <f>SUM(D8+S8)</f>
        <v>0.67549999999999999</v>
      </c>
      <c r="AI8" s="4314">
        <f>SUM(AJ8:AK8)</f>
        <v>2956.9319999999998</v>
      </c>
      <c r="AJ8" s="4314">
        <f>SUM(O8+AD8)</f>
        <v>2956.9319999999998</v>
      </c>
      <c r="AK8" s="4314">
        <f>SUM(P8+AE8)</f>
        <v>0</v>
      </c>
      <c r="AL8" s="4314">
        <f>SUM(AM8:AN8)</f>
        <v>-79.393666100000416</v>
      </c>
      <c r="AM8" s="4314">
        <f t="shared" ref="AM8:AN10" si="0">SUM(AJ8-AG8)</f>
        <v>-78.718166100000417</v>
      </c>
      <c r="AN8" s="4314">
        <f t="shared" si="0"/>
        <v>-0.67549999999999999</v>
      </c>
      <c r="AO8" s="4312">
        <f>SUM(AP8:AQ8)</f>
        <v>1518.16283305</v>
      </c>
      <c r="AP8" s="4312">
        <f>SUM(CC8/4)</f>
        <v>1517.8250830500001</v>
      </c>
      <c r="AQ8" s="4312">
        <f>SUM(CD8/4)</f>
        <v>0.33774999999999999</v>
      </c>
      <c r="AR8" s="4312">
        <f>SUM(AS8:AT8)</f>
        <v>526.93100000000004</v>
      </c>
      <c r="AS8" s="3028">
        <v>526.93100000000004</v>
      </c>
      <c r="AT8" s="3024">
        <v>0</v>
      </c>
      <c r="AU8" s="4312">
        <f>SUM(AV8:AW8)</f>
        <v>0</v>
      </c>
      <c r="AV8" s="3024"/>
      <c r="AW8" s="3024"/>
      <c r="AX8" s="3026">
        <f>SUM(AY8:AZ8)</f>
        <v>0</v>
      </c>
      <c r="AY8" s="3028"/>
      <c r="AZ8" s="3028"/>
      <c r="BA8" s="3026">
        <f>SUM(BB8:BC8)</f>
        <v>526.93100000000004</v>
      </c>
      <c r="BB8" s="3026">
        <f>SUM(AS8+AV8+AY8)</f>
        <v>526.93100000000004</v>
      </c>
      <c r="BC8" s="3026">
        <f>SUM(AT8+AW8+AZ8)</f>
        <v>0</v>
      </c>
      <c r="BD8" s="4313">
        <f>SUM(BE8:BF8)</f>
        <v>4554.4884991500003</v>
      </c>
      <c r="BE8" s="4313">
        <f>SUM(AG8+AP8)</f>
        <v>4553.4752491500003</v>
      </c>
      <c r="BF8" s="4313">
        <f>SUM(AH8+AQ8)</f>
        <v>1.01325</v>
      </c>
      <c r="BG8" s="4313">
        <f>SUM(BH8:BI8)</f>
        <v>3483.8629999999998</v>
      </c>
      <c r="BH8" s="4314">
        <f>SUM(AJ8+BB8)</f>
        <v>3483.8629999999998</v>
      </c>
      <c r="BI8" s="4314">
        <f>SUM(AK8+BC8)</f>
        <v>0</v>
      </c>
      <c r="BJ8" s="4314">
        <f>SUM(BK8:BL8)</f>
        <v>-1070.6254991500005</v>
      </c>
      <c r="BK8" s="4314">
        <f t="shared" ref="BK8:BL10" si="1">SUM(BH8-BE8)</f>
        <v>-1069.6122491500005</v>
      </c>
      <c r="BL8" s="4314">
        <f t="shared" si="1"/>
        <v>-1.01325</v>
      </c>
      <c r="BM8" s="4312">
        <f>SUM(BN8:BO8)</f>
        <v>1518.16283305</v>
      </c>
      <c r="BN8" s="4312">
        <f>SUM(CC8/4)</f>
        <v>1517.8250830500001</v>
      </c>
      <c r="BO8" s="4312">
        <f>SUM(CD8/4)</f>
        <v>0.33774999999999999</v>
      </c>
      <c r="BP8" s="3026">
        <f>SUM(BQ8:BR8)</f>
        <v>0</v>
      </c>
      <c r="BQ8" s="3028"/>
      <c r="BR8" s="3028"/>
      <c r="BS8" s="3026">
        <f>SUM(BT8:BU8)</f>
        <v>0</v>
      </c>
      <c r="BT8" s="3028"/>
      <c r="BU8" s="3028"/>
      <c r="BV8" s="3026">
        <f>SUM(BW8:BX8)</f>
        <v>0</v>
      </c>
      <c r="BW8" s="3028"/>
      <c r="BX8" s="3028"/>
      <c r="BY8" s="3026">
        <f>SUM(BZ8:CA8)</f>
        <v>0</v>
      </c>
      <c r="BZ8" s="3026">
        <f>SUM(BQ8+BT8+BW8)</f>
        <v>0</v>
      </c>
      <c r="CA8" s="3026">
        <f>SUM(BR8+BU8+BX8)</f>
        <v>0</v>
      </c>
      <c r="CB8" s="4313">
        <f>SUM(CC8:CD8)</f>
        <v>6072.6513322000001</v>
      </c>
      <c r="CC8" s="4313">
        <f>SUM('объемы ВС и ВО 2023'!CI39)</f>
        <v>6071.3003322000004</v>
      </c>
      <c r="CD8" s="4313">
        <f>SUM('объемы ВС и ВО 2023'!CJ39)</f>
        <v>1.351</v>
      </c>
      <c r="CE8" s="4313">
        <f>SUM(CF8:CG8)</f>
        <v>3483.8629999999998</v>
      </c>
      <c r="CF8" s="4314">
        <f>SUM(BH8+BZ8)</f>
        <v>3483.8629999999998</v>
      </c>
      <c r="CG8" s="4314">
        <f>SUM(BI8+CA8)</f>
        <v>0</v>
      </c>
      <c r="CH8" s="4314">
        <f>SUM(CI8:CJ8)</f>
        <v>-2588.7883322000007</v>
      </c>
      <c r="CI8" s="4314">
        <f t="shared" ref="CI8:CJ10" si="2">SUM(CF8-CC8)</f>
        <v>-2587.4373322000006</v>
      </c>
      <c r="CJ8" s="4314">
        <f t="shared" si="2"/>
        <v>-1.351</v>
      </c>
      <c r="CK8" s="2759"/>
      <c r="CL8" s="3575">
        <f>SUM(B8+Q8+AO8+BM8)</f>
        <v>6072.6513322000001</v>
      </c>
      <c r="CM8" s="2751"/>
      <c r="CN8" s="2752"/>
    </row>
    <row r="9" spans="1:92" ht="18.75" customHeight="1" x14ac:dyDescent="0.2">
      <c r="A9" s="4315" t="s">
        <v>20</v>
      </c>
      <c r="B9" s="4316">
        <f>SUM(C9:D9)</f>
        <v>289.90459086235001</v>
      </c>
      <c r="C9" s="4316">
        <f>SUM(CC9/4)</f>
        <v>289.90459086235001</v>
      </c>
      <c r="D9" s="4316">
        <f>SUM(CD9/4)</f>
        <v>0</v>
      </c>
      <c r="E9" s="4316">
        <f>SUM(F9:G9)</f>
        <v>27.5943</v>
      </c>
      <c r="F9" s="3025">
        <v>27.5943</v>
      </c>
      <c r="G9" s="3025">
        <v>0</v>
      </c>
      <c r="H9" s="4316">
        <f>SUM(I9:J9)</f>
        <v>29.157299999999999</v>
      </c>
      <c r="I9" s="3025">
        <v>29.157299999999999</v>
      </c>
      <c r="J9" s="3025">
        <v>0</v>
      </c>
      <c r="K9" s="4316">
        <f>SUM(L9:M9)</f>
        <v>28.397300000000001</v>
      </c>
      <c r="L9" s="3025">
        <v>28.397300000000001</v>
      </c>
      <c r="M9" s="3025">
        <v>0</v>
      </c>
      <c r="N9" s="4316">
        <f>SUM(O9:P9)</f>
        <v>85.148899999999998</v>
      </c>
      <c r="O9" s="4316">
        <f>SUM(F9+I9+L9)</f>
        <v>85.148899999999998</v>
      </c>
      <c r="P9" s="4316">
        <f>SUM(G9+J9+M9)</f>
        <v>0</v>
      </c>
      <c r="Q9" s="4317">
        <f>SUM(R9:S9)</f>
        <v>289.90459086235001</v>
      </c>
      <c r="R9" s="4317">
        <f>SUM(CC9/4)</f>
        <v>289.90459086235001</v>
      </c>
      <c r="S9" s="4317">
        <f>SUM(CD9/4)</f>
        <v>0</v>
      </c>
      <c r="T9" s="4316">
        <f>SUM(U9:V9)</f>
        <v>80.659300000000002</v>
      </c>
      <c r="U9" s="3025">
        <v>80.659300000000002</v>
      </c>
      <c r="V9" s="3025"/>
      <c r="W9" s="4316">
        <f>SUM(X9:Y9)</f>
        <v>106.3943</v>
      </c>
      <c r="X9" s="3025">
        <v>106.3943</v>
      </c>
      <c r="Y9" s="3025"/>
      <c r="Z9" s="4316">
        <f>SUM(AA9:AB9)</f>
        <v>62.41733</v>
      </c>
      <c r="AA9" s="3025">
        <v>62.41733</v>
      </c>
      <c r="AB9" s="3025">
        <v>0</v>
      </c>
      <c r="AC9" s="4316">
        <f>SUM(AD9:AE9)</f>
        <v>249.47093000000001</v>
      </c>
      <c r="AD9" s="4316">
        <f>SUM(U9+X9+AA9)</f>
        <v>249.47093000000001</v>
      </c>
      <c r="AE9" s="4316">
        <f>SUM(V9+Y9+AB9)</f>
        <v>0</v>
      </c>
      <c r="AF9" s="4318">
        <f>SUM(AG9:AH9)</f>
        <v>579.80918172470001</v>
      </c>
      <c r="AG9" s="4318">
        <f>SUM(C9+R9)</f>
        <v>579.80918172470001</v>
      </c>
      <c r="AH9" s="4318">
        <f>SUM(D9+S9)</f>
        <v>0</v>
      </c>
      <c r="AI9" s="4318">
        <f>SUM(AJ9:AK9)</f>
        <v>334.61982999999998</v>
      </c>
      <c r="AJ9" s="4318">
        <f>SUM(O9+AD9)</f>
        <v>334.61982999999998</v>
      </c>
      <c r="AK9" s="4319">
        <f>SUM(P9+AE9)</f>
        <v>0</v>
      </c>
      <c r="AL9" s="4319">
        <f>SUM(AM9:AN9)</f>
        <v>-245.18935172470003</v>
      </c>
      <c r="AM9" s="4319">
        <f t="shared" si="0"/>
        <v>-245.18935172470003</v>
      </c>
      <c r="AN9" s="4319">
        <f t="shared" si="0"/>
        <v>0</v>
      </c>
      <c r="AO9" s="4317">
        <f>SUM(AP9:AQ9)</f>
        <v>289.90459086235001</v>
      </c>
      <c r="AP9" s="4317">
        <f>SUM(CC9/4)</f>
        <v>289.90459086235001</v>
      </c>
      <c r="AQ9" s="4317">
        <f>SUM(CD9/4)</f>
        <v>0</v>
      </c>
      <c r="AR9" s="4316">
        <f>SUM(AS9:AT9)</f>
        <v>106.84529999999999</v>
      </c>
      <c r="AS9" s="3025">
        <v>106.84529999999999</v>
      </c>
      <c r="AT9" s="3025">
        <v>0</v>
      </c>
      <c r="AU9" s="4316">
        <f>SUM(AV9:AW9)</f>
        <v>0</v>
      </c>
      <c r="AV9" s="3025"/>
      <c r="AW9" s="3025"/>
      <c r="AX9" s="4316">
        <f>SUM(AY9:AZ9)</f>
        <v>0</v>
      </c>
      <c r="AY9" s="3025"/>
      <c r="AZ9" s="3025"/>
      <c r="BA9" s="4316">
        <f>SUM(BB9:BC9)</f>
        <v>106.84529999999999</v>
      </c>
      <c r="BB9" s="4316">
        <f>SUM(AS9+AV9+AY9)</f>
        <v>106.84529999999999</v>
      </c>
      <c r="BC9" s="4316">
        <f>SUM(AT9+AW9+AZ9)</f>
        <v>0</v>
      </c>
      <c r="BD9" s="4318">
        <f>SUM(BE9:BF9)</f>
        <v>869.71377258705002</v>
      </c>
      <c r="BE9" s="4318">
        <f>SUM(AG9+AP9)</f>
        <v>869.71377258705002</v>
      </c>
      <c r="BF9" s="4318">
        <f>SUM(AH9+AQ9)</f>
        <v>0</v>
      </c>
      <c r="BG9" s="4318">
        <f>SUM(BH9:BI9)</f>
        <v>441.46512999999999</v>
      </c>
      <c r="BH9" s="4318">
        <f>SUM(AJ9+BB9)</f>
        <v>441.46512999999999</v>
      </c>
      <c r="BI9" s="4319">
        <f>SUM(AK9+BC9)</f>
        <v>0</v>
      </c>
      <c r="BJ9" s="4319">
        <f>SUM(BK9:BL9)</f>
        <v>-428.24864258705003</v>
      </c>
      <c r="BK9" s="4319">
        <f t="shared" si="1"/>
        <v>-428.24864258705003</v>
      </c>
      <c r="BL9" s="4319">
        <f t="shared" si="1"/>
        <v>0</v>
      </c>
      <c r="BM9" s="4317">
        <f>SUM(BN9:BO9)</f>
        <v>289.90459086235001</v>
      </c>
      <c r="BN9" s="4317">
        <f>SUM(CC9/4)</f>
        <v>289.90459086235001</v>
      </c>
      <c r="BO9" s="4317">
        <f>SUM(CD9/4)</f>
        <v>0</v>
      </c>
      <c r="BP9" s="4316">
        <f>SUM(BQ9:BR9)</f>
        <v>0</v>
      </c>
      <c r="BQ9" s="3025"/>
      <c r="BR9" s="3025"/>
      <c r="BS9" s="4316">
        <f>SUM(BT9:BU9)</f>
        <v>0</v>
      </c>
      <c r="BT9" s="3025"/>
      <c r="BU9" s="3025"/>
      <c r="BV9" s="4316">
        <f>SUM(BW9:BX9)</f>
        <v>0</v>
      </c>
      <c r="BW9" s="3025"/>
      <c r="BX9" s="3025"/>
      <c r="BY9" s="4316">
        <f>SUM(BZ9:CA9)</f>
        <v>0</v>
      </c>
      <c r="BZ9" s="4316">
        <f>SUM(BQ9+BT9+BW9)</f>
        <v>0</v>
      </c>
      <c r="CA9" s="4316">
        <f>SUM(BR9+BU9+BX9)</f>
        <v>0</v>
      </c>
      <c r="CB9" s="4318">
        <f>SUM(CC9:CD9)</f>
        <v>1159.6183634494</v>
      </c>
      <c r="CC9" s="4318">
        <f>SUM('объемы ВС и ВО 2023'!CI42)</f>
        <v>1159.6183634494</v>
      </c>
      <c r="CD9" s="4318">
        <f>SUM('объемы ВС и ВО 2023'!CJ42)</f>
        <v>0</v>
      </c>
      <c r="CE9" s="4318">
        <f>SUM(CF9:CG9)</f>
        <v>441.46512999999999</v>
      </c>
      <c r="CF9" s="4319">
        <f>SUM(BH9+BZ9)</f>
        <v>441.46512999999999</v>
      </c>
      <c r="CG9" s="4319">
        <f>SUM(BI9+CA9)</f>
        <v>0</v>
      </c>
      <c r="CH9" s="4319">
        <f>SUM(CI9:CJ9)</f>
        <v>-718.15323344939998</v>
      </c>
      <c r="CI9" s="4319">
        <f t="shared" si="2"/>
        <v>-718.15323344939998</v>
      </c>
      <c r="CJ9" s="4319">
        <f t="shared" si="2"/>
        <v>0</v>
      </c>
      <c r="CK9" s="2759"/>
      <c r="CL9" s="3575">
        <f t="shared" ref="CL9:CL23" si="3">SUM(B9+Q9+AO9+BM9)</f>
        <v>1159.6183634494</v>
      </c>
      <c r="CM9" s="2751"/>
      <c r="CN9" s="2752"/>
    </row>
    <row r="10" spans="1:92" ht="18.75" customHeight="1" x14ac:dyDescent="0.2">
      <c r="A10" s="4320" t="s">
        <v>371</v>
      </c>
      <c r="B10" s="4321">
        <f t="shared" ref="B10:AK10" si="4">SUM(B9/B8)</f>
        <v>0.19095750768705727</v>
      </c>
      <c r="C10" s="4321">
        <f t="shared" si="4"/>
        <v>0.19099999999986822</v>
      </c>
      <c r="D10" s="4321">
        <f t="shared" si="4"/>
        <v>0</v>
      </c>
      <c r="E10" s="4321">
        <f t="shared" si="4"/>
        <v>7.326477944339127E-2</v>
      </c>
      <c r="F10" s="4321">
        <f t="shared" si="4"/>
        <v>7.326477944339127E-2</v>
      </c>
      <c r="G10" s="4321" t="e">
        <f t="shared" si="4"/>
        <v>#DIV/0!</v>
      </c>
      <c r="H10" s="4321">
        <f t="shared" si="4"/>
        <v>6.7400917717495568E-2</v>
      </c>
      <c r="I10" s="4321">
        <f t="shared" si="4"/>
        <v>6.7400917717495568E-2</v>
      </c>
      <c r="J10" s="4321" t="e">
        <f t="shared" si="4"/>
        <v>#DIV/0!</v>
      </c>
      <c r="K10" s="4321">
        <f t="shared" si="4"/>
        <v>6.01987170518479E-2</v>
      </c>
      <c r="L10" s="4321">
        <f t="shared" si="4"/>
        <v>6.01987170518479E-2</v>
      </c>
      <c r="M10" s="4321" t="e">
        <f t="shared" si="4"/>
        <v>#DIV/0!</v>
      </c>
      <c r="N10" s="4321">
        <f t="shared" si="4"/>
        <v>6.6472775475249407E-2</v>
      </c>
      <c r="O10" s="4321">
        <f t="shared" si="4"/>
        <v>6.6472775475249407E-2</v>
      </c>
      <c r="P10" s="4321" t="e">
        <f t="shared" si="4"/>
        <v>#DIV/0!</v>
      </c>
      <c r="Q10" s="4321">
        <f t="shared" si="4"/>
        <v>0.19095750768705727</v>
      </c>
      <c r="R10" s="4321">
        <f t="shared" si="4"/>
        <v>0.19099999999986822</v>
      </c>
      <c r="S10" s="4321">
        <f t="shared" si="4"/>
        <v>0</v>
      </c>
      <c r="T10" s="4321">
        <f t="shared" si="4"/>
        <v>0.14862347961799049</v>
      </c>
      <c r="U10" s="4321">
        <f t="shared" si="4"/>
        <v>0.14862347961799049</v>
      </c>
      <c r="V10" s="4321" t="e">
        <f t="shared" si="4"/>
        <v>#DIV/0!</v>
      </c>
      <c r="W10" s="4321">
        <f t="shared" si="4"/>
        <v>0.17289428183277758</v>
      </c>
      <c r="X10" s="4321">
        <f t="shared" si="4"/>
        <v>0.17289428183277758</v>
      </c>
      <c r="Y10" s="4321" t="e">
        <f t="shared" si="4"/>
        <v>#DIV/0!</v>
      </c>
      <c r="Z10" s="4321">
        <f t="shared" si="4"/>
        <v>0.12052190418079443</v>
      </c>
      <c r="AA10" s="4321">
        <f t="shared" si="4"/>
        <v>0.12052190418079443</v>
      </c>
      <c r="AB10" s="4321" t="e">
        <f t="shared" si="4"/>
        <v>#DIV/0!</v>
      </c>
      <c r="AC10" s="4321">
        <f t="shared" si="4"/>
        <v>0.14885140154405829</v>
      </c>
      <c r="AD10" s="4321">
        <f t="shared" si="4"/>
        <v>0.14885140154405829</v>
      </c>
      <c r="AE10" s="4321" t="e">
        <f t="shared" si="4"/>
        <v>#DIV/0!</v>
      </c>
      <c r="AF10" s="4322">
        <f t="shared" si="4"/>
        <v>0.19095750768705727</v>
      </c>
      <c r="AG10" s="4322">
        <f t="shared" si="4"/>
        <v>0.19099999999986822</v>
      </c>
      <c r="AH10" s="4322">
        <f t="shared" si="4"/>
        <v>0</v>
      </c>
      <c r="AI10" s="4322">
        <f t="shared" si="4"/>
        <v>0.11316453337445705</v>
      </c>
      <c r="AJ10" s="4322">
        <f t="shared" si="4"/>
        <v>0.11316453337445705</v>
      </c>
      <c r="AK10" s="4322" t="e">
        <f t="shared" si="4"/>
        <v>#DIV/0!</v>
      </c>
      <c r="AL10" s="4323">
        <f>SUM(AI10-AF10)</f>
        <v>-7.7792974312600224E-2</v>
      </c>
      <c r="AM10" s="4323">
        <f t="shared" si="0"/>
        <v>-7.7835466625411173E-2</v>
      </c>
      <c r="AN10" s="4323" t="e">
        <f t="shared" si="0"/>
        <v>#DIV/0!</v>
      </c>
      <c r="AO10" s="4321">
        <f t="shared" ref="AO10:BI10" si="5">SUM(AO9/AO8)</f>
        <v>0.19095750768705727</v>
      </c>
      <c r="AP10" s="4321">
        <f t="shared" si="5"/>
        <v>0.19099999999986822</v>
      </c>
      <c r="AQ10" s="4321">
        <f t="shared" si="5"/>
        <v>0</v>
      </c>
      <c r="AR10" s="4321">
        <f t="shared" si="5"/>
        <v>0.20276905325365177</v>
      </c>
      <c r="AS10" s="4321">
        <f t="shared" si="5"/>
        <v>0.20276905325365177</v>
      </c>
      <c r="AT10" s="4321" t="e">
        <f t="shared" si="5"/>
        <v>#DIV/0!</v>
      </c>
      <c r="AU10" s="4321" t="e">
        <f t="shared" si="5"/>
        <v>#DIV/0!</v>
      </c>
      <c r="AV10" s="4321" t="e">
        <f t="shared" si="5"/>
        <v>#DIV/0!</v>
      </c>
      <c r="AW10" s="4321" t="e">
        <f t="shared" si="5"/>
        <v>#DIV/0!</v>
      </c>
      <c r="AX10" s="4321" t="e">
        <f t="shared" si="5"/>
        <v>#DIV/0!</v>
      </c>
      <c r="AY10" s="4321" t="e">
        <f t="shared" si="5"/>
        <v>#DIV/0!</v>
      </c>
      <c r="AZ10" s="4321" t="e">
        <f t="shared" si="5"/>
        <v>#DIV/0!</v>
      </c>
      <c r="BA10" s="4321">
        <f t="shared" si="5"/>
        <v>0.20276905325365177</v>
      </c>
      <c r="BB10" s="4321">
        <f t="shared" si="5"/>
        <v>0.20276905325365177</v>
      </c>
      <c r="BC10" s="4321" t="e">
        <f t="shared" si="5"/>
        <v>#DIV/0!</v>
      </c>
      <c r="BD10" s="4322">
        <f t="shared" si="5"/>
        <v>0.19095750768705724</v>
      </c>
      <c r="BE10" s="4322">
        <f t="shared" si="5"/>
        <v>0.19099999999986822</v>
      </c>
      <c r="BF10" s="4322">
        <f t="shared" si="5"/>
        <v>0</v>
      </c>
      <c r="BG10" s="4322">
        <f t="shared" si="5"/>
        <v>0.12671713267714604</v>
      </c>
      <c r="BH10" s="4322">
        <f t="shared" si="5"/>
        <v>0.12671713267714604</v>
      </c>
      <c r="BI10" s="4322" t="e">
        <f t="shared" si="5"/>
        <v>#DIV/0!</v>
      </c>
      <c r="BJ10" s="4323">
        <f>SUM(BG10-BD10)</f>
        <v>-6.4240375009911199E-2</v>
      </c>
      <c r="BK10" s="4323">
        <f t="shared" si="1"/>
        <v>-6.4282867322722176E-2</v>
      </c>
      <c r="BL10" s="4323" t="e">
        <f t="shared" si="1"/>
        <v>#DIV/0!</v>
      </c>
      <c r="BM10" s="4321">
        <f t="shared" ref="BM10:CG10" si="6">SUM(BM9/BM8)</f>
        <v>0.19095750768705727</v>
      </c>
      <c r="BN10" s="4321">
        <f t="shared" si="6"/>
        <v>0.19099999999986822</v>
      </c>
      <c r="BO10" s="4321">
        <f t="shared" si="6"/>
        <v>0</v>
      </c>
      <c r="BP10" s="4321" t="e">
        <f t="shared" si="6"/>
        <v>#DIV/0!</v>
      </c>
      <c r="BQ10" s="4321" t="e">
        <f t="shared" si="6"/>
        <v>#DIV/0!</v>
      </c>
      <c r="BR10" s="4321" t="e">
        <f t="shared" si="6"/>
        <v>#DIV/0!</v>
      </c>
      <c r="BS10" s="4321" t="e">
        <f t="shared" si="6"/>
        <v>#DIV/0!</v>
      </c>
      <c r="BT10" s="4321" t="e">
        <f t="shared" si="6"/>
        <v>#DIV/0!</v>
      </c>
      <c r="BU10" s="4321" t="e">
        <f t="shared" si="6"/>
        <v>#DIV/0!</v>
      </c>
      <c r="BV10" s="4321" t="e">
        <f t="shared" si="6"/>
        <v>#DIV/0!</v>
      </c>
      <c r="BW10" s="4321" t="e">
        <f t="shared" si="6"/>
        <v>#DIV/0!</v>
      </c>
      <c r="BX10" s="4321" t="e">
        <f t="shared" si="6"/>
        <v>#DIV/0!</v>
      </c>
      <c r="BY10" s="4321" t="e">
        <f t="shared" si="6"/>
        <v>#DIV/0!</v>
      </c>
      <c r="BZ10" s="4321" t="e">
        <f t="shared" si="6"/>
        <v>#DIV/0!</v>
      </c>
      <c r="CA10" s="4321" t="e">
        <f t="shared" si="6"/>
        <v>#DIV/0!</v>
      </c>
      <c r="CB10" s="4322">
        <f t="shared" si="6"/>
        <v>0.19095750768705727</v>
      </c>
      <c r="CC10" s="4322">
        <f t="shared" si="6"/>
        <v>0.19099999999986822</v>
      </c>
      <c r="CD10" s="4322">
        <f t="shared" si="6"/>
        <v>0</v>
      </c>
      <c r="CE10" s="4322">
        <f t="shared" si="6"/>
        <v>0.12671713267714604</v>
      </c>
      <c r="CF10" s="4322">
        <f t="shared" si="6"/>
        <v>0.12671713267714604</v>
      </c>
      <c r="CG10" s="4322" t="e">
        <f t="shared" si="6"/>
        <v>#DIV/0!</v>
      </c>
      <c r="CH10" s="4323">
        <f>SUM(CE10-CB10)</f>
        <v>-6.4240375009911227E-2</v>
      </c>
      <c r="CI10" s="4323">
        <f t="shared" si="2"/>
        <v>-6.4282867322722176E-2</v>
      </c>
      <c r="CJ10" s="4323" t="e">
        <f t="shared" si="2"/>
        <v>#DIV/0!</v>
      </c>
      <c r="CK10" s="2759"/>
      <c r="CL10" s="3575">
        <f t="shared" si="3"/>
        <v>0.76383003074822908</v>
      </c>
      <c r="CM10" s="2752"/>
      <c r="CN10" s="2752"/>
    </row>
    <row r="11" spans="1:92" ht="18.75" customHeight="1" x14ac:dyDescent="0.2">
      <c r="A11" s="4311" t="s">
        <v>3688</v>
      </c>
      <c r="B11" s="3026">
        <f>SUM(C11:D11)</f>
        <v>1228.25824218765</v>
      </c>
      <c r="C11" s="3026">
        <f>SUM(C8-C9)</f>
        <v>1227.9204921876501</v>
      </c>
      <c r="D11" s="3026">
        <f>SUM(D8-D9)</f>
        <v>0.33774999999999999</v>
      </c>
      <c r="E11" s="3026">
        <f>SUM(F11:G11)</f>
        <v>349.0437</v>
      </c>
      <c r="F11" s="3026">
        <f>SUM(F8-F9)</f>
        <v>349.0437</v>
      </c>
      <c r="G11" s="3026">
        <f>SUM(G8-G9)</f>
        <v>0</v>
      </c>
      <c r="H11" s="3026">
        <f>SUM(I11:J11)</f>
        <v>403.43770000000001</v>
      </c>
      <c r="I11" s="3026">
        <f>SUM(I8-I9)</f>
        <v>403.43770000000001</v>
      </c>
      <c r="J11" s="3026">
        <f>SUM(J8-J9)</f>
        <v>0</v>
      </c>
      <c r="K11" s="3026">
        <f>SUM(L11:M11)</f>
        <v>443.32870000000003</v>
      </c>
      <c r="L11" s="3026">
        <f>SUM(L8-L9)</f>
        <v>443.32870000000003</v>
      </c>
      <c r="M11" s="3026">
        <f>SUM(M8-M9)</f>
        <v>0</v>
      </c>
      <c r="N11" s="3026">
        <f>SUM(O11:P11)</f>
        <v>1195.8100999999999</v>
      </c>
      <c r="O11" s="3026">
        <f>SUM(O8-O9)</f>
        <v>1195.8100999999999</v>
      </c>
      <c r="P11" s="3026">
        <f>SUM(P8-P9)</f>
        <v>0</v>
      </c>
      <c r="Q11" s="4312">
        <f>SUM(R11:S11)</f>
        <v>1228.25824218765</v>
      </c>
      <c r="R11" s="4312">
        <f>SUM(R8-R9)</f>
        <v>1227.9204921876501</v>
      </c>
      <c r="S11" s="4312">
        <f>SUM(S8-S9)</f>
        <v>0.33774999999999999</v>
      </c>
      <c r="T11" s="3026">
        <f>SUM(U11:V11)</f>
        <v>462.04969999999992</v>
      </c>
      <c r="U11" s="3026">
        <f>SUM(U8-U9)</f>
        <v>462.04969999999992</v>
      </c>
      <c r="V11" s="4312">
        <f>SUM(V8-V9)</f>
        <v>0</v>
      </c>
      <c r="W11" s="3026">
        <f>SUM(X11:Y11)</f>
        <v>508.97769999999997</v>
      </c>
      <c r="X11" s="3026">
        <f>SUM(X8-X9)</f>
        <v>508.97769999999997</v>
      </c>
      <c r="Y11" s="3026">
        <f>SUM(Y8-Y9)</f>
        <v>0</v>
      </c>
      <c r="Z11" s="3026">
        <f>SUM(AA11:AB11)</f>
        <v>455.47467000000006</v>
      </c>
      <c r="AA11" s="3026">
        <f>SUM(AA8-AA9)</f>
        <v>455.47467000000006</v>
      </c>
      <c r="AB11" s="3026">
        <f>SUM(AB8-AB9)</f>
        <v>0</v>
      </c>
      <c r="AC11" s="3026">
        <f>SUM(AD11:AE11)</f>
        <v>1426.50207</v>
      </c>
      <c r="AD11" s="3026">
        <f>SUM(AD8-AD9)</f>
        <v>1426.50207</v>
      </c>
      <c r="AE11" s="3026">
        <f>SUM(AE8-AE9)</f>
        <v>0</v>
      </c>
      <c r="AF11" s="4313">
        <f>SUM(AG11:AH11)</f>
        <v>2456.5164843753</v>
      </c>
      <c r="AG11" s="4313">
        <f>SUM(AG8-AG9)</f>
        <v>2455.8409843753002</v>
      </c>
      <c r="AH11" s="4313">
        <f>SUM(AH8-AH9)</f>
        <v>0.67549999999999999</v>
      </c>
      <c r="AI11" s="4313">
        <f>SUM(AJ11:AK11)</f>
        <v>2622.3121699999997</v>
      </c>
      <c r="AJ11" s="4313">
        <f>SUM(AJ8-AJ9)</f>
        <v>2622.3121699999997</v>
      </c>
      <c r="AK11" s="4313">
        <f>SUM(AK8-AK9)</f>
        <v>0</v>
      </c>
      <c r="AL11" s="4314">
        <f>SUM(AM11:AN11)</f>
        <v>165.79568562469962</v>
      </c>
      <c r="AM11" s="4314">
        <f>SUM(AM8-AM9)</f>
        <v>166.47118562469961</v>
      </c>
      <c r="AN11" s="4314">
        <f>SUM(AN8-AN9)</f>
        <v>-0.67549999999999999</v>
      </c>
      <c r="AO11" s="4312">
        <f>SUM(AP11:AQ11)</f>
        <v>1228.25824218765</v>
      </c>
      <c r="AP11" s="4312">
        <f>SUM(AP8-AP9)</f>
        <v>1227.9204921876501</v>
      </c>
      <c r="AQ11" s="4312">
        <f>SUM(AQ8-AQ9)</f>
        <v>0.33774999999999999</v>
      </c>
      <c r="AR11" s="3026">
        <f>SUM(AS11:AT11)</f>
        <v>420.08570000000003</v>
      </c>
      <c r="AS11" s="3026">
        <f>SUM(AS8-AS9)</f>
        <v>420.08570000000003</v>
      </c>
      <c r="AT11" s="3026">
        <f>SUM(AT8-AT9)</f>
        <v>0</v>
      </c>
      <c r="AU11" s="3026">
        <f>SUM(AV11:AW11)</f>
        <v>0</v>
      </c>
      <c r="AV11" s="3026">
        <f>SUM(AV8-AV9)</f>
        <v>0</v>
      </c>
      <c r="AW11" s="3026">
        <f>SUM(AW8-AW9)</f>
        <v>0</v>
      </c>
      <c r="AX11" s="3026">
        <f>SUM(AY11:AZ11)</f>
        <v>0</v>
      </c>
      <c r="AY11" s="3026">
        <f>SUM(AY8-AY9)</f>
        <v>0</v>
      </c>
      <c r="AZ11" s="3026">
        <f>SUM(AZ8-AZ9)</f>
        <v>0</v>
      </c>
      <c r="BA11" s="3026">
        <f>SUM(BB11:BC11)</f>
        <v>420.08570000000003</v>
      </c>
      <c r="BB11" s="3026">
        <f>SUM(BB8-BB9)</f>
        <v>420.08570000000003</v>
      </c>
      <c r="BC11" s="3026">
        <f>SUM(BC8-BC9)</f>
        <v>0</v>
      </c>
      <c r="BD11" s="4313">
        <f>SUM(BE11:BF11)</f>
        <v>3684.7747265629505</v>
      </c>
      <c r="BE11" s="4313">
        <f>SUM(BE8-BE9)</f>
        <v>3683.7614765629505</v>
      </c>
      <c r="BF11" s="4313">
        <f>SUM(BF8-BF9)</f>
        <v>1.01325</v>
      </c>
      <c r="BG11" s="4314">
        <f>SUM(BH11:BI11)</f>
        <v>3042.3978699999998</v>
      </c>
      <c r="BH11" s="4314">
        <f>SUM(BH8-BH9)</f>
        <v>3042.3978699999998</v>
      </c>
      <c r="BI11" s="4314">
        <f>SUM(BI8-BI9)</f>
        <v>0</v>
      </c>
      <c r="BJ11" s="4314">
        <f>SUM(BK11:BL11)</f>
        <v>-642.37685656295048</v>
      </c>
      <c r="BK11" s="4314">
        <f>SUM(BK8-BK9)</f>
        <v>-641.36360656295051</v>
      </c>
      <c r="BL11" s="4314">
        <f>SUM(BL8-BL9)</f>
        <v>-1.01325</v>
      </c>
      <c r="BM11" s="4312">
        <f>SUM(BN11:BO11)</f>
        <v>1228.25824218765</v>
      </c>
      <c r="BN11" s="4312">
        <f>SUM(BN8-BN9)</f>
        <v>1227.9204921876501</v>
      </c>
      <c r="BO11" s="4312">
        <f>SUM(BO8-BO9)</f>
        <v>0.33774999999999999</v>
      </c>
      <c r="BP11" s="3026">
        <f>SUM(BQ11:BR11)</f>
        <v>0</v>
      </c>
      <c r="BQ11" s="3026">
        <f>SUM(BQ8-BQ9)</f>
        <v>0</v>
      </c>
      <c r="BR11" s="3026">
        <f>SUM(BR8-BR9)</f>
        <v>0</v>
      </c>
      <c r="BS11" s="3026">
        <f>SUM(BT11:BU11)</f>
        <v>0</v>
      </c>
      <c r="BT11" s="3026">
        <f>SUM(BT8-BT9)</f>
        <v>0</v>
      </c>
      <c r="BU11" s="3026">
        <f>SUM(BU8-BU9)</f>
        <v>0</v>
      </c>
      <c r="BV11" s="3026">
        <f>SUM(BW11:BX11)</f>
        <v>0</v>
      </c>
      <c r="BW11" s="3026">
        <f>SUM(BW8-BW9)</f>
        <v>0</v>
      </c>
      <c r="BX11" s="3026">
        <f>SUM(BX8-BX9)</f>
        <v>0</v>
      </c>
      <c r="BY11" s="3026">
        <f>SUM(BZ11:CA11)</f>
        <v>0</v>
      </c>
      <c r="BZ11" s="3026">
        <f>SUM(BZ8-BZ9)</f>
        <v>0</v>
      </c>
      <c r="CA11" s="3026">
        <f>SUM(CA8-CA9)</f>
        <v>0</v>
      </c>
      <c r="CB11" s="4313">
        <f>SUM(CC11:CD11)</f>
        <v>4913.0329687506</v>
      </c>
      <c r="CC11" s="4313">
        <f>SUM(CC8-CC9)</f>
        <v>4911.6819687506004</v>
      </c>
      <c r="CD11" s="4313">
        <f>SUM(CD8-CD9)</f>
        <v>1.351</v>
      </c>
      <c r="CE11" s="4314">
        <f>SUM(CF11:CG11)</f>
        <v>3042.3978699999998</v>
      </c>
      <c r="CF11" s="4314">
        <f>SUM(CF8-CF9)</f>
        <v>3042.3978699999998</v>
      </c>
      <c r="CG11" s="4314">
        <f>SUM(CG8-CG9)</f>
        <v>0</v>
      </c>
      <c r="CH11" s="4314">
        <f>SUM(CI11:CJ11)</f>
        <v>-1870.6350987506007</v>
      </c>
      <c r="CI11" s="4314">
        <f>SUM(CI8-CI9)</f>
        <v>-1869.2840987506006</v>
      </c>
      <c r="CJ11" s="4314">
        <f>SUM(CJ8-CJ9)</f>
        <v>-1.351</v>
      </c>
      <c r="CK11" s="2759"/>
      <c r="CL11" s="3575">
        <f t="shared" si="3"/>
        <v>4913.0329687506</v>
      </c>
      <c r="CM11" s="2752"/>
      <c r="CN11" s="2752"/>
    </row>
    <row r="12" spans="1:92" ht="18.75" customHeight="1" x14ac:dyDescent="0.2">
      <c r="A12" s="4315" t="s">
        <v>51</v>
      </c>
      <c r="B12" s="4316">
        <f>SUM(C12:D12)</f>
        <v>339.39722404136307</v>
      </c>
      <c r="C12" s="4316">
        <f t="shared" ref="C12" si="7">SUM(C11-C14)</f>
        <v>339.39722404136307</v>
      </c>
      <c r="D12" s="4316">
        <f>SUM(D11-D14)</f>
        <v>0</v>
      </c>
      <c r="E12" s="4316">
        <f>SUM(F12:G12)</f>
        <v>47.360101999999983</v>
      </c>
      <c r="F12" s="4316">
        <f t="shared" ref="F12" si="8">SUM(F11-F14)</f>
        <v>47.360101999999983</v>
      </c>
      <c r="G12" s="4316">
        <f>SUM(G11-G14)</f>
        <v>0</v>
      </c>
      <c r="H12" s="4316">
        <f>SUM(I12:J12)</f>
        <v>99.456923000000018</v>
      </c>
      <c r="I12" s="4316">
        <f t="shared" ref="I12" si="9">SUM(I11-I14)</f>
        <v>99.456923000000018</v>
      </c>
      <c r="J12" s="4316">
        <f>SUM(J11-J14)</f>
        <v>0</v>
      </c>
      <c r="K12" s="4316">
        <f>SUM(L12:M12)</f>
        <v>155.59993700000001</v>
      </c>
      <c r="L12" s="4316">
        <f t="shared" ref="L12" si="10">SUM(L11-L14)</f>
        <v>155.59993700000001</v>
      </c>
      <c r="M12" s="4316">
        <f>SUM(M11-M14)</f>
        <v>0</v>
      </c>
      <c r="N12" s="4316">
        <f>SUM(O12:P12)</f>
        <v>302.4169619999999</v>
      </c>
      <c r="O12" s="4316">
        <f t="shared" ref="O12" si="11">SUM(O11-O14)</f>
        <v>302.4169619999999</v>
      </c>
      <c r="P12" s="4316">
        <f>SUM(P11-P14)</f>
        <v>0</v>
      </c>
      <c r="Q12" s="4317">
        <f>SUM(R12:S12)</f>
        <v>339.39722404136307</v>
      </c>
      <c r="R12" s="4317">
        <f t="shared" ref="R12" si="12">SUM(R11-R14)</f>
        <v>339.39722404136307</v>
      </c>
      <c r="S12" s="4317">
        <f>SUM(S11-S14)</f>
        <v>0</v>
      </c>
      <c r="T12" s="4316">
        <f>SUM(U12:V12)</f>
        <v>177.92611699999992</v>
      </c>
      <c r="U12" s="4316">
        <f t="shared" ref="U12" si="13">SUM(U11-U14)</f>
        <v>177.92611699999992</v>
      </c>
      <c r="V12" s="4316">
        <f>SUM(V11-V14)</f>
        <v>0</v>
      </c>
      <c r="W12" s="4316">
        <f>SUM(X12:Y12)</f>
        <v>219.73180499999995</v>
      </c>
      <c r="X12" s="4316">
        <f t="shared" ref="X12" si="14">SUM(X11-X14)</f>
        <v>219.73180499999995</v>
      </c>
      <c r="Y12" s="4316">
        <f>SUM(Y11-Y14)</f>
        <v>0</v>
      </c>
      <c r="Z12" s="4316">
        <f>SUM(AA12:AB12)</f>
        <v>173.58699100000007</v>
      </c>
      <c r="AA12" s="4316">
        <f t="shared" ref="AA12" si="15">SUM(AA11-AA14)</f>
        <v>173.58699100000007</v>
      </c>
      <c r="AB12" s="4316">
        <f>SUM(AB11-AB14)</f>
        <v>0</v>
      </c>
      <c r="AC12" s="4316">
        <f>SUM(AD12:AE12)</f>
        <v>571.244913</v>
      </c>
      <c r="AD12" s="4316">
        <f t="shared" ref="AD12:AG12" si="16">SUM(AD11-AD14)</f>
        <v>571.244913</v>
      </c>
      <c r="AE12" s="4316">
        <f>SUM(AE11-AE14)</f>
        <v>0</v>
      </c>
      <c r="AF12" s="4318">
        <f>SUM(AG12:AH12)</f>
        <v>678.79444808272615</v>
      </c>
      <c r="AG12" s="4318">
        <f t="shared" si="16"/>
        <v>678.79444808272615</v>
      </c>
      <c r="AH12" s="4318">
        <f>SUM(AH11-AH14)</f>
        <v>0</v>
      </c>
      <c r="AI12" s="4318">
        <f>SUM(AJ12:AK12)</f>
        <v>873.66187499999978</v>
      </c>
      <c r="AJ12" s="4318">
        <f t="shared" ref="AJ12" si="17">SUM(AJ11-AJ14)</f>
        <v>873.66187499999978</v>
      </c>
      <c r="AK12" s="4318">
        <f>SUM(AK11-AK14)</f>
        <v>0</v>
      </c>
      <c r="AL12" s="4319">
        <f>SUM(AM12:AN12)</f>
        <v>194.8674269172738</v>
      </c>
      <c r="AM12" s="4319">
        <f t="shared" ref="AM12" si="18">SUM(AM11-AM14)</f>
        <v>194.8674269172738</v>
      </c>
      <c r="AN12" s="4319">
        <f>SUM(AN11-AN14)</f>
        <v>0</v>
      </c>
      <c r="AO12" s="4317">
        <f>SUM(AP12:AQ12)</f>
        <v>339.39722404136307</v>
      </c>
      <c r="AP12" s="4317">
        <f t="shared" ref="AP12" si="19">SUM(AP11-AP14)</f>
        <v>339.39722404136307</v>
      </c>
      <c r="AQ12" s="4317">
        <f>SUM(AQ11-AQ14)</f>
        <v>0</v>
      </c>
      <c r="AR12" s="4316">
        <f>SUM(AS12:AT12)</f>
        <v>162.41970800000007</v>
      </c>
      <c r="AS12" s="4316">
        <f t="shared" ref="AS12" si="20">SUM(AS11-AS14)</f>
        <v>162.41970800000007</v>
      </c>
      <c r="AT12" s="4316">
        <f>SUM(AT11-AT14)</f>
        <v>0</v>
      </c>
      <c r="AU12" s="4316">
        <f>SUM(AV12:AW12)</f>
        <v>0</v>
      </c>
      <c r="AV12" s="4316">
        <f t="shared" ref="AV12" si="21">SUM(AV11-AV14)</f>
        <v>0</v>
      </c>
      <c r="AW12" s="4316">
        <f>SUM(AW11-AW14)</f>
        <v>0</v>
      </c>
      <c r="AX12" s="4316">
        <f>SUM(AY12:AZ12)</f>
        <v>0</v>
      </c>
      <c r="AY12" s="4316">
        <f t="shared" ref="AY12" si="22">SUM(AY11-AY14)</f>
        <v>0</v>
      </c>
      <c r="AZ12" s="4316">
        <f>SUM(AZ11-AZ14)</f>
        <v>0</v>
      </c>
      <c r="BA12" s="4316">
        <f>SUM(BB12:BC12)</f>
        <v>162.41970800000007</v>
      </c>
      <c r="BB12" s="4316">
        <f t="shared" ref="BB12" si="23">SUM(BB11-BB14)</f>
        <v>162.41970800000007</v>
      </c>
      <c r="BC12" s="4316">
        <f>SUM(BC11-BC14)</f>
        <v>0</v>
      </c>
      <c r="BD12" s="4318">
        <f>SUM(BE12:BF12)</f>
        <v>1018.1916721240896</v>
      </c>
      <c r="BE12" s="4318">
        <f t="shared" ref="BE12" si="24">SUM(BE11-BE14)</f>
        <v>1018.1916721240896</v>
      </c>
      <c r="BF12" s="4318">
        <f>SUM(BF11-BF14)</f>
        <v>0</v>
      </c>
      <c r="BG12" s="4319">
        <f>SUM(BH12:BI12)</f>
        <v>1036.0815829999999</v>
      </c>
      <c r="BH12" s="4319">
        <f t="shared" ref="BH12" si="25">SUM(BH11-BH14)</f>
        <v>1036.0815829999999</v>
      </c>
      <c r="BI12" s="4319">
        <f>SUM(BI11-BI14)</f>
        <v>0</v>
      </c>
      <c r="BJ12" s="4319">
        <f>SUM(BK12:BL12)</f>
        <v>17.889910875910687</v>
      </c>
      <c r="BK12" s="4319">
        <f t="shared" ref="BK12" si="26">SUM(BK11-BK14)</f>
        <v>17.889910875910687</v>
      </c>
      <c r="BL12" s="4319">
        <f>SUM(BL11-BL14)</f>
        <v>0</v>
      </c>
      <c r="BM12" s="4317">
        <f>SUM(BN12:BO12)</f>
        <v>339.39722404136307</v>
      </c>
      <c r="BN12" s="4317">
        <f t="shared" ref="BN12" si="27">SUM(BN11-BN14)</f>
        <v>339.39722404136307</v>
      </c>
      <c r="BO12" s="4317">
        <f>SUM(BO11-BO14)</f>
        <v>0</v>
      </c>
      <c r="BP12" s="4316">
        <f>SUM(BQ12:BR12)</f>
        <v>0</v>
      </c>
      <c r="BQ12" s="4316">
        <f t="shared" ref="BQ12" si="28">SUM(BQ11-BQ14)</f>
        <v>0</v>
      </c>
      <c r="BR12" s="4316">
        <f>SUM(BR11-BR14)</f>
        <v>0</v>
      </c>
      <c r="BS12" s="4316">
        <f>SUM(BT12:BU12)</f>
        <v>0</v>
      </c>
      <c r="BT12" s="4316">
        <f t="shared" ref="BT12" si="29">SUM(BT11-BT14)</f>
        <v>0</v>
      </c>
      <c r="BU12" s="4316">
        <f>SUM(BU11-BU14)</f>
        <v>0</v>
      </c>
      <c r="BV12" s="4316">
        <f>SUM(BW12:BX12)</f>
        <v>0</v>
      </c>
      <c r="BW12" s="4316">
        <f t="shared" ref="BW12" si="30">SUM(BW11-BW14)</f>
        <v>0</v>
      </c>
      <c r="BX12" s="4316">
        <f>SUM(BX11-BX14)</f>
        <v>0</v>
      </c>
      <c r="BY12" s="4316">
        <f>SUM(BZ12:CA12)</f>
        <v>0</v>
      </c>
      <c r="BZ12" s="4316">
        <f t="shared" ref="BZ12" si="31">SUM(BZ11-BZ14)</f>
        <v>0</v>
      </c>
      <c r="CA12" s="4316">
        <f>SUM(CA11-CA14)</f>
        <v>0</v>
      </c>
      <c r="CB12" s="4318">
        <f>SUM(CC12:CD12)</f>
        <v>1357.5888961654523</v>
      </c>
      <c r="CC12" s="4318">
        <f t="shared" ref="CC12:CD12" si="32">SUM(CC11-CC14)</f>
        <v>1357.5888961654523</v>
      </c>
      <c r="CD12" s="4318">
        <f t="shared" si="32"/>
        <v>0</v>
      </c>
      <c r="CE12" s="4319">
        <f>SUM(CF12:CG12)</f>
        <v>1036.0815829999999</v>
      </c>
      <c r="CF12" s="4319">
        <f t="shared" ref="CF12" si="33">SUM(CF11-CF14)</f>
        <v>1036.0815829999999</v>
      </c>
      <c r="CG12" s="4319">
        <f>SUM(CG11-CG14)</f>
        <v>0</v>
      </c>
      <c r="CH12" s="4319">
        <f>SUM(CI12:CJ12)</f>
        <v>-321.50731316545239</v>
      </c>
      <c r="CI12" s="4319">
        <f t="shared" ref="CI12" si="34">SUM(CI11-CI14)</f>
        <v>-321.50731316545239</v>
      </c>
      <c r="CJ12" s="4319">
        <f>SUM(CJ11-CJ14)</f>
        <v>0</v>
      </c>
      <c r="CK12" s="2759"/>
      <c r="CL12" s="3575">
        <f t="shared" si="3"/>
        <v>1357.5888961654523</v>
      </c>
      <c r="CM12" s="2752"/>
      <c r="CN12" s="2752"/>
    </row>
    <row r="13" spans="1:92" ht="18.75" customHeight="1" x14ac:dyDescent="0.2">
      <c r="A13" s="4320" t="s">
        <v>110</v>
      </c>
      <c r="B13" s="4321">
        <f t="shared" ref="B13:AK13" si="35">SUM(B12/B11)</f>
        <v>0.2763239947300194</v>
      </c>
      <c r="C13" s="4321">
        <f t="shared" si="35"/>
        <v>0.2764000000005673</v>
      </c>
      <c r="D13" s="4321">
        <f t="shared" si="35"/>
        <v>0</v>
      </c>
      <c r="E13" s="4321">
        <f t="shared" si="35"/>
        <v>0.13568530817201394</v>
      </c>
      <c r="F13" s="4321">
        <f t="shared" si="35"/>
        <v>0.13568530817201394</v>
      </c>
      <c r="G13" s="4321" t="e">
        <f t="shared" si="35"/>
        <v>#DIV/0!</v>
      </c>
      <c r="H13" s="4321">
        <f t="shared" si="35"/>
        <v>0.24652362186280563</v>
      </c>
      <c r="I13" s="4321">
        <f t="shared" si="35"/>
        <v>0.24652362186280563</v>
      </c>
      <c r="J13" s="4321" t="e">
        <f t="shared" si="35"/>
        <v>#DIV/0!</v>
      </c>
      <c r="K13" s="4321">
        <f t="shared" si="35"/>
        <v>0.35098096965073544</v>
      </c>
      <c r="L13" s="4321">
        <f t="shared" si="35"/>
        <v>0.35098096965073544</v>
      </c>
      <c r="M13" s="4321" t="e">
        <f t="shared" si="35"/>
        <v>#DIV/0!</v>
      </c>
      <c r="N13" s="4321">
        <f t="shared" si="35"/>
        <v>0.25289714646163292</v>
      </c>
      <c r="O13" s="4321">
        <f t="shared" si="35"/>
        <v>0.25289714646163292</v>
      </c>
      <c r="P13" s="4321" t="e">
        <f t="shared" si="35"/>
        <v>#DIV/0!</v>
      </c>
      <c r="Q13" s="4321">
        <f t="shared" si="35"/>
        <v>0.2763239947300194</v>
      </c>
      <c r="R13" s="4321">
        <f t="shared" si="35"/>
        <v>0.2764000000005673</v>
      </c>
      <c r="S13" s="4321">
        <f t="shared" si="35"/>
        <v>0</v>
      </c>
      <c r="T13" s="4321">
        <f t="shared" si="35"/>
        <v>0.38508004009092517</v>
      </c>
      <c r="U13" s="4321">
        <f t="shared" si="35"/>
        <v>0.38508004009092517</v>
      </c>
      <c r="V13" s="4321" t="e">
        <f t="shared" si="35"/>
        <v>#DIV/0!</v>
      </c>
      <c r="W13" s="4321">
        <f t="shared" si="35"/>
        <v>0.43171204750227754</v>
      </c>
      <c r="X13" s="4321">
        <f t="shared" si="35"/>
        <v>0.43171204750227754</v>
      </c>
      <c r="Y13" s="4321" t="e">
        <f t="shared" si="35"/>
        <v>#DIV/0!</v>
      </c>
      <c r="Z13" s="4321">
        <f t="shared" si="35"/>
        <v>0.38111228227027433</v>
      </c>
      <c r="AA13" s="4321">
        <f t="shared" si="35"/>
        <v>0.38111228227027433</v>
      </c>
      <c r="AB13" s="4321" t="e">
        <f t="shared" si="35"/>
        <v>#DIV/0!</v>
      </c>
      <c r="AC13" s="4321">
        <f>SUM(AC12/AC11)</f>
        <v>0.40045151354039044</v>
      </c>
      <c r="AD13" s="4321">
        <f t="shared" si="35"/>
        <v>0.40045151354039044</v>
      </c>
      <c r="AE13" s="4321" t="e">
        <f t="shared" si="35"/>
        <v>#DIV/0!</v>
      </c>
      <c r="AF13" s="4322">
        <f t="shared" si="35"/>
        <v>0.2763239947300194</v>
      </c>
      <c r="AG13" s="4322">
        <f t="shared" si="35"/>
        <v>0.2764000000005673</v>
      </c>
      <c r="AH13" s="4322">
        <f t="shared" si="35"/>
        <v>0</v>
      </c>
      <c r="AI13" s="4322">
        <f t="shared" si="35"/>
        <v>0.33316471051575824</v>
      </c>
      <c r="AJ13" s="4322">
        <f t="shared" si="35"/>
        <v>0.33316471051575824</v>
      </c>
      <c r="AK13" s="4322" t="e">
        <f t="shared" si="35"/>
        <v>#DIV/0!</v>
      </c>
      <c r="AL13" s="4322">
        <f>SUM(AI13-AF13)</f>
        <v>5.6840715785738849E-2</v>
      </c>
      <c r="AM13" s="4322">
        <f>SUM(AJ13-AG13)</f>
        <v>5.6764710515190941E-2</v>
      </c>
      <c r="AN13" s="4322" t="e">
        <f>SUM(AK13-AH13)</f>
        <v>#DIV/0!</v>
      </c>
      <c r="AO13" s="4321">
        <f t="shared" ref="AO13:BI13" si="36">SUM(AO12/AO11)</f>
        <v>0.2763239947300194</v>
      </c>
      <c r="AP13" s="4321">
        <f t="shared" si="36"/>
        <v>0.2764000000005673</v>
      </c>
      <c r="AQ13" s="4321">
        <f t="shared" si="36"/>
        <v>0</v>
      </c>
      <c r="AR13" s="4321">
        <f t="shared" si="36"/>
        <v>0.38663469858650285</v>
      </c>
      <c r="AS13" s="4321">
        <f t="shared" si="36"/>
        <v>0.38663469858650285</v>
      </c>
      <c r="AT13" s="4321" t="e">
        <f t="shared" si="36"/>
        <v>#DIV/0!</v>
      </c>
      <c r="AU13" s="4321" t="e">
        <f t="shared" si="36"/>
        <v>#DIV/0!</v>
      </c>
      <c r="AV13" s="4321" t="e">
        <f t="shared" si="36"/>
        <v>#DIV/0!</v>
      </c>
      <c r="AW13" s="4321" t="e">
        <f t="shared" si="36"/>
        <v>#DIV/0!</v>
      </c>
      <c r="AX13" s="4321" t="e">
        <f t="shared" si="36"/>
        <v>#DIV/0!</v>
      </c>
      <c r="AY13" s="4321" t="e">
        <f t="shared" si="36"/>
        <v>#DIV/0!</v>
      </c>
      <c r="AZ13" s="4321" t="e">
        <f t="shared" si="36"/>
        <v>#DIV/0!</v>
      </c>
      <c r="BA13" s="4321">
        <f t="shared" si="36"/>
        <v>0.38663469858650285</v>
      </c>
      <c r="BB13" s="4321">
        <f t="shared" si="36"/>
        <v>0.38663469858650285</v>
      </c>
      <c r="BC13" s="4321" t="e">
        <f t="shared" si="36"/>
        <v>#DIV/0!</v>
      </c>
      <c r="BD13" s="4322">
        <f t="shared" si="36"/>
        <v>0.27632399473001945</v>
      </c>
      <c r="BE13" s="4322">
        <f t="shared" si="36"/>
        <v>0.27640000000056736</v>
      </c>
      <c r="BF13" s="4322">
        <f t="shared" si="36"/>
        <v>0</v>
      </c>
      <c r="BG13" s="4322">
        <f t="shared" si="36"/>
        <v>0.34054769536109358</v>
      </c>
      <c r="BH13" s="4322">
        <f t="shared" si="36"/>
        <v>0.34054769536109358</v>
      </c>
      <c r="BI13" s="4322" t="e">
        <f t="shared" si="36"/>
        <v>#DIV/0!</v>
      </c>
      <c r="BJ13" s="4322">
        <f>SUM(BG13-BD13)</f>
        <v>6.4223700631074132E-2</v>
      </c>
      <c r="BK13" s="4322">
        <f>SUM(BH13-BE13)</f>
        <v>6.4147695360526225E-2</v>
      </c>
      <c r="BL13" s="4322" t="e">
        <f>SUM(BI13-BF13)</f>
        <v>#DIV/0!</v>
      </c>
      <c r="BM13" s="4321">
        <f t="shared" ref="BM13:CG13" si="37">SUM(BM12/BM11)</f>
        <v>0.2763239947300194</v>
      </c>
      <c r="BN13" s="4321">
        <f t="shared" si="37"/>
        <v>0.2764000000005673</v>
      </c>
      <c r="BO13" s="4321">
        <f t="shared" si="37"/>
        <v>0</v>
      </c>
      <c r="BP13" s="4321" t="e">
        <f t="shared" si="37"/>
        <v>#DIV/0!</v>
      </c>
      <c r="BQ13" s="4321" t="e">
        <f t="shared" si="37"/>
        <v>#DIV/0!</v>
      </c>
      <c r="BR13" s="4321" t="e">
        <f t="shared" si="37"/>
        <v>#DIV/0!</v>
      </c>
      <c r="BS13" s="4321" t="e">
        <f t="shared" si="37"/>
        <v>#DIV/0!</v>
      </c>
      <c r="BT13" s="4321" t="e">
        <f t="shared" si="37"/>
        <v>#DIV/0!</v>
      </c>
      <c r="BU13" s="4321" t="e">
        <f t="shared" si="37"/>
        <v>#DIV/0!</v>
      </c>
      <c r="BV13" s="4321" t="e">
        <f t="shared" si="37"/>
        <v>#DIV/0!</v>
      </c>
      <c r="BW13" s="4321" t="e">
        <f t="shared" si="37"/>
        <v>#DIV/0!</v>
      </c>
      <c r="BX13" s="4321" t="e">
        <f t="shared" si="37"/>
        <v>#DIV/0!</v>
      </c>
      <c r="BY13" s="4321" t="e">
        <f t="shared" si="37"/>
        <v>#DIV/0!</v>
      </c>
      <c r="BZ13" s="4321" t="e">
        <f t="shared" si="37"/>
        <v>#DIV/0!</v>
      </c>
      <c r="CA13" s="4321" t="e">
        <f t="shared" si="37"/>
        <v>#DIV/0!</v>
      </c>
      <c r="CB13" s="4322">
        <f t="shared" si="37"/>
        <v>0.2763239947300194</v>
      </c>
      <c r="CC13" s="4322">
        <f t="shared" si="37"/>
        <v>0.2764000000005673</v>
      </c>
      <c r="CD13" s="4322">
        <f t="shared" si="37"/>
        <v>0</v>
      </c>
      <c r="CE13" s="4322">
        <f t="shared" si="37"/>
        <v>0.34054769536109358</v>
      </c>
      <c r="CF13" s="4322">
        <f t="shared" si="37"/>
        <v>0.34054769536109358</v>
      </c>
      <c r="CG13" s="4322" t="e">
        <f t="shared" si="37"/>
        <v>#DIV/0!</v>
      </c>
      <c r="CH13" s="4322">
        <f>SUM(CE13-CB13)</f>
        <v>6.4223700631074188E-2</v>
      </c>
      <c r="CI13" s="4322">
        <f>SUM(CF13-CC13)</f>
        <v>6.414769536052628E-2</v>
      </c>
      <c r="CJ13" s="4322" t="e">
        <f>SUM(CG13-CD13)</f>
        <v>#DIV/0!</v>
      </c>
      <c r="CK13" s="2759"/>
      <c r="CL13" s="3575">
        <f t="shared" si="3"/>
        <v>1.1052959789200776</v>
      </c>
      <c r="CM13" s="2752"/>
      <c r="CN13" s="2752"/>
    </row>
    <row r="14" spans="1:92" ht="18.75" customHeight="1" x14ac:dyDescent="0.2">
      <c r="A14" s="4311" t="s">
        <v>3689</v>
      </c>
      <c r="B14" s="4312">
        <f>SUM(C14:D14)</f>
        <v>888.86101814628705</v>
      </c>
      <c r="C14" s="4312">
        <f>SUM(C15:C16)+C21</f>
        <v>888.52326814628702</v>
      </c>
      <c r="D14" s="4312">
        <f>SUM(D15:D21)</f>
        <v>0.33774999999999999</v>
      </c>
      <c r="E14" s="4312">
        <f>SUM(F14:G14)</f>
        <v>301.68359800000002</v>
      </c>
      <c r="F14" s="4312">
        <f>SUM(F15:F16)+F21</f>
        <v>301.68359800000002</v>
      </c>
      <c r="G14" s="4312">
        <f>SUM(G15:G21)</f>
        <v>0</v>
      </c>
      <c r="H14" s="4312">
        <f>SUM(I14:J14)</f>
        <v>303.98077699999999</v>
      </c>
      <c r="I14" s="4312">
        <f>SUM(I15:I16)+I21</f>
        <v>303.98077699999999</v>
      </c>
      <c r="J14" s="4312">
        <f>SUM(J15:J21)</f>
        <v>0</v>
      </c>
      <c r="K14" s="4312">
        <f>SUM(L14:M14)</f>
        <v>287.72876300000001</v>
      </c>
      <c r="L14" s="4312">
        <f>SUM(L15:L16)+L21</f>
        <v>287.72876300000001</v>
      </c>
      <c r="M14" s="4312">
        <f>SUM(M15:M21)</f>
        <v>0</v>
      </c>
      <c r="N14" s="4312">
        <f>SUM(O14:P14)</f>
        <v>893.39313800000002</v>
      </c>
      <c r="O14" s="4312">
        <f>SUM(O15:O16)+O21</f>
        <v>893.39313800000002</v>
      </c>
      <c r="P14" s="4312">
        <f>SUM(P15:P21)</f>
        <v>0</v>
      </c>
      <c r="Q14" s="4312">
        <f>SUM(R14:S14)</f>
        <v>888.86101814628705</v>
      </c>
      <c r="R14" s="4312">
        <f>SUM(R15:R16)+R21</f>
        <v>888.52326814628702</v>
      </c>
      <c r="S14" s="4312">
        <f>SUM(S15:S21)</f>
        <v>0.33774999999999999</v>
      </c>
      <c r="T14" s="4312">
        <f>SUM(U14:V14)</f>
        <v>284.123583</v>
      </c>
      <c r="U14" s="4312">
        <f>SUM(U15:U16)+U21</f>
        <v>284.123583</v>
      </c>
      <c r="V14" s="4312">
        <f>SUM(V15:V21)</f>
        <v>0</v>
      </c>
      <c r="W14" s="4312">
        <f>SUM(X14:Y14)</f>
        <v>289.24589500000002</v>
      </c>
      <c r="X14" s="4312">
        <f>SUM(X15:X16)+X21</f>
        <v>289.24589500000002</v>
      </c>
      <c r="Y14" s="4312">
        <f>SUM(Y15:Y21)</f>
        <v>0</v>
      </c>
      <c r="Z14" s="4312">
        <f>SUM(AA14:AB14)</f>
        <v>281.88767899999999</v>
      </c>
      <c r="AA14" s="4312">
        <f>SUM(AA15:AA16)+AA21</f>
        <v>281.88767899999999</v>
      </c>
      <c r="AB14" s="4312">
        <f>SUM(AB15:AB21)</f>
        <v>0</v>
      </c>
      <c r="AC14" s="4312">
        <f>SUM(AD14:AE14)</f>
        <v>855.25715700000001</v>
      </c>
      <c r="AD14" s="4312">
        <f>SUM(AD15:AD16)+AD21</f>
        <v>855.25715700000001</v>
      </c>
      <c r="AE14" s="4312">
        <f>SUM(AE15:AE21)</f>
        <v>0</v>
      </c>
      <c r="AF14" s="4313">
        <f>SUM(AG14:AH14)</f>
        <v>1777.7220362925741</v>
      </c>
      <c r="AG14" s="4313">
        <f>SUM(AG15:AG16)+AG21</f>
        <v>1777.046536292574</v>
      </c>
      <c r="AH14" s="4313">
        <f>SUM(AH15:AH21)</f>
        <v>0.67549999999999999</v>
      </c>
      <c r="AI14" s="4313">
        <f>SUM(AJ14:AK14)</f>
        <v>1748.6502949999999</v>
      </c>
      <c r="AJ14" s="4313">
        <f>SUM(AJ15:AJ16)+AJ21</f>
        <v>1748.6502949999999</v>
      </c>
      <c r="AK14" s="4313">
        <f>SUM(AK15:AK21)</f>
        <v>0</v>
      </c>
      <c r="AL14" s="4313">
        <f>SUM(AM14:AN14)</f>
        <v>-29.071741292574188</v>
      </c>
      <c r="AM14" s="4313">
        <f>SUM(AM15:AM16)+AM21</f>
        <v>-28.396241292574189</v>
      </c>
      <c r="AN14" s="4313">
        <f>SUM(AN15:AN21)</f>
        <v>-0.67549999999999999</v>
      </c>
      <c r="AO14" s="4312">
        <f>SUM(AP14:AQ14)</f>
        <v>888.86101814628705</v>
      </c>
      <c r="AP14" s="4312">
        <f>SUM(AP15:AP16)+AP21</f>
        <v>888.52326814628702</v>
      </c>
      <c r="AQ14" s="4312">
        <f>SUM(AQ15:AQ21)</f>
        <v>0.33774999999999999</v>
      </c>
      <c r="AR14" s="4312">
        <f>SUM(AS14:AT14)</f>
        <v>257.66599199999996</v>
      </c>
      <c r="AS14" s="4891">
        <f>SUM(AS15:AS16)+AS21</f>
        <v>257.66599199999996</v>
      </c>
      <c r="AT14" s="4891">
        <f>SUM(AT15:AT21)</f>
        <v>0</v>
      </c>
      <c r="AU14" s="4312">
        <f>SUM(AV14:AW14)</f>
        <v>0</v>
      </c>
      <c r="AV14" s="4312">
        <f>SUM(AV15:AV16)+AV21</f>
        <v>0</v>
      </c>
      <c r="AW14" s="4312">
        <f>SUM(AW15:AW21)</f>
        <v>0</v>
      </c>
      <c r="AX14" s="4312">
        <f>SUM(AY14:AZ14)</f>
        <v>0</v>
      </c>
      <c r="AY14" s="4312">
        <f>SUM(AY15:AY16)+AY21</f>
        <v>0</v>
      </c>
      <c r="AZ14" s="4312">
        <f>SUM(AZ15:AZ21)</f>
        <v>0</v>
      </c>
      <c r="BA14" s="4312">
        <f>SUM(BB14:BC14)</f>
        <v>257.66599199999996</v>
      </c>
      <c r="BB14" s="4312">
        <f>SUM(BB15:BB16)+BB21</f>
        <v>257.66599199999996</v>
      </c>
      <c r="BC14" s="4312">
        <f>SUM(BC15:BC21)</f>
        <v>0</v>
      </c>
      <c r="BD14" s="4313">
        <f>SUM(BE14:BF14)</f>
        <v>2666.5830544388609</v>
      </c>
      <c r="BE14" s="4313">
        <f>SUM(BE15:BE16)+BE21</f>
        <v>2665.569804438861</v>
      </c>
      <c r="BF14" s="4313">
        <f>SUM(BF15:BF21)</f>
        <v>1.01325</v>
      </c>
      <c r="BG14" s="4313">
        <f>SUM(BH14:BI14)</f>
        <v>2006.3162869999999</v>
      </c>
      <c r="BH14" s="4313">
        <f>SUM(BH15:BH16)+BH21</f>
        <v>2006.3162869999999</v>
      </c>
      <c r="BI14" s="4313">
        <f>SUM(BI15:BI21)</f>
        <v>0</v>
      </c>
      <c r="BJ14" s="4313">
        <f>SUM(BK14:BL14)</f>
        <v>-660.26676743886117</v>
      </c>
      <c r="BK14" s="4313">
        <f>SUM(BK15:BK16)+BK21</f>
        <v>-659.25351743886119</v>
      </c>
      <c r="BL14" s="4313">
        <f>SUM(BL15:BL21)</f>
        <v>-1.01325</v>
      </c>
      <c r="BM14" s="4312">
        <f>SUM(BN14:BO14)</f>
        <v>888.86101814628705</v>
      </c>
      <c r="BN14" s="4312">
        <f>SUM(BN15:BN16)+BN21</f>
        <v>888.52326814628702</v>
      </c>
      <c r="BO14" s="4312">
        <f>SUM(BO15:BO21)</f>
        <v>0.33774999999999999</v>
      </c>
      <c r="BP14" s="4312">
        <f>SUM(BQ14:BR14)</f>
        <v>0</v>
      </c>
      <c r="BQ14" s="4312">
        <f>SUM(BQ15:BQ16)+BQ21</f>
        <v>0</v>
      </c>
      <c r="BR14" s="4312">
        <f>SUM(BR15:BR21)</f>
        <v>0</v>
      </c>
      <c r="BS14" s="4312">
        <f>SUM(BT14:BU14)</f>
        <v>0</v>
      </c>
      <c r="BT14" s="4312">
        <f>SUM(BT15:BT16)+BT21</f>
        <v>0</v>
      </c>
      <c r="BU14" s="4312">
        <f>SUM(BU15:BU21)</f>
        <v>0</v>
      </c>
      <c r="BV14" s="4312">
        <f>SUM(BW14:BX14)</f>
        <v>0</v>
      </c>
      <c r="BW14" s="4312">
        <f>SUM(BW15:BW16)+BW21</f>
        <v>0</v>
      </c>
      <c r="BX14" s="4312">
        <f>SUM(BX15:BX21)</f>
        <v>0</v>
      </c>
      <c r="BY14" s="4312">
        <f>SUM(BZ14:CA14)</f>
        <v>0</v>
      </c>
      <c r="BZ14" s="4312">
        <f>SUM(BZ15:BZ16)+BZ21</f>
        <v>0</v>
      </c>
      <c r="CA14" s="4312">
        <f>SUM(CA15:CA21)</f>
        <v>0</v>
      </c>
      <c r="CB14" s="4313">
        <f>SUM(CC14:CD14)</f>
        <v>3555.4440725851482</v>
      </c>
      <c r="CC14" s="4313">
        <f>SUM(CC15:CC16)+CC21</f>
        <v>3554.0930725851481</v>
      </c>
      <c r="CD14" s="4313">
        <f>SUM(CD15:CD21)</f>
        <v>1.351</v>
      </c>
      <c r="CE14" s="4313">
        <f>SUM(CF14:CG14)</f>
        <v>2006.3162869999999</v>
      </c>
      <c r="CF14" s="4313">
        <f>SUM(CF15:CF16)+CF21</f>
        <v>2006.3162869999999</v>
      </c>
      <c r="CG14" s="4313">
        <f>SUM(CG15:CG21)</f>
        <v>0</v>
      </c>
      <c r="CH14" s="4313">
        <f>SUM(CI14:CJ14)</f>
        <v>-1549.1277855851483</v>
      </c>
      <c r="CI14" s="4313">
        <f>SUM(CI15:CI16)+CI21</f>
        <v>-1547.7767855851482</v>
      </c>
      <c r="CJ14" s="4313">
        <f>SUM(CJ15:CJ21)</f>
        <v>-1.351</v>
      </c>
      <c r="CK14" s="2759"/>
      <c r="CL14" s="3575">
        <f t="shared" si="3"/>
        <v>3555.4440725851482</v>
      </c>
      <c r="CM14" s="2752"/>
      <c r="CN14" s="2752"/>
    </row>
    <row r="15" spans="1:92" ht="18.75" customHeight="1" x14ac:dyDescent="0.2">
      <c r="A15" s="4315" t="s">
        <v>24</v>
      </c>
      <c r="B15" s="4317">
        <f t="shared" ref="B15:B20" si="38">SUM(C15:D15)</f>
        <v>603.28582716000005</v>
      </c>
      <c r="C15" s="4317">
        <f t="shared" ref="C15:C20" si="39">SUM(CC15/4)</f>
        <v>603.28582716000005</v>
      </c>
      <c r="D15" s="4317">
        <f t="shared" ref="D15:D20" si="40">SUM(CD15/4)</f>
        <v>0</v>
      </c>
      <c r="E15" s="4316">
        <f t="shared" ref="E15:E20" si="41">SUM(F15:G15)</f>
        <v>202.660144</v>
      </c>
      <c r="F15" s="3025">
        <v>202.660144</v>
      </c>
      <c r="G15" s="3025">
        <v>0</v>
      </c>
      <c r="H15" s="4316">
        <f t="shared" ref="H15:H20" si="42">SUM(I15:J15)</f>
        <v>201.979794</v>
      </c>
      <c r="I15" s="3025">
        <v>201.979794</v>
      </c>
      <c r="J15" s="3025">
        <v>0</v>
      </c>
      <c r="K15" s="4316">
        <f t="shared" ref="K15:K20" si="43">SUM(L15:M15)</f>
        <v>195.908771</v>
      </c>
      <c r="L15" s="3025">
        <v>195.908771</v>
      </c>
      <c r="M15" s="3025">
        <v>0</v>
      </c>
      <c r="N15" s="4316">
        <f t="shared" ref="N15:N20" si="44">SUM(O15:P15)</f>
        <v>600.54870900000003</v>
      </c>
      <c r="O15" s="4316">
        <f t="shared" ref="O15:P20" si="45">SUM(F15+I15+L15)</f>
        <v>600.54870900000003</v>
      </c>
      <c r="P15" s="4316">
        <f t="shared" si="45"/>
        <v>0</v>
      </c>
      <c r="Q15" s="4317">
        <f t="shared" ref="Q15:Q20" si="46">SUM(R15:S15)</f>
        <v>603.28582716000005</v>
      </c>
      <c r="R15" s="4317">
        <f t="shared" ref="R15:S20" si="47">SUM(CC15/4)</f>
        <v>603.28582716000005</v>
      </c>
      <c r="S15" s="4317">
        <f t="shared" si="47"/>
        <v>0</v>
      </c>
      <c r="T15" s="4316">
        <f t="shared" ref="T15:T20" si="48">SUM(U15:V15)</f>
        <v>198.060697</v>
      </c>
      <c r="U15" s="3025">
        <v>198.060697</v>
      </c>
      <c r="V15" s="3025">
        <v>0</v>
      </c>
      <c r="W15" s="4316">
        <f t="shared" ref="W15:W20" si="49">SUM(X15:Y15)</f>
        <v>207.961375</v>
      </c>
      <c r="X15" s="3025">
        <v>207.961375</v>
      </c>
      <c r="Y15" s="3025">
        <v>0</v>
      </c>
      <c r="Z15" s="4316">
        <f t="shared" ref="Z15:Z20" si="50">SUM(AA15:AB15)</f>
        <v>199.50943799999999</v>
      </c>
      <c r="AA15" s="3025">
        <v>199.50943799999999</v>
      </c>
      <c r="AB15" s="3025">
        <v>0</v>
      </c>
      <c r="AC15" s="4316">
        <f t="shared" ref="AC15:AC20" si="51">SUM(AD15:AE15)</f>
        <v>605.53151000000003</v>
      </c>
      <c r="AD15" s="4316">
        <f t="shared" ref="AD15:AE20" si="52">SUM(U15+X15+AA15)</f>
        <v>605.53151000000003</v>
      </c>
      <c r="AE15" s="4316">
        <f t="shared" si="52"/>
        <v>0</v>
      </c>
      <c r="AF15" s="4318">
        <f t="shared" ref="AF15:AF20" si="53">SUM(AG15:AH15)</f>
        <v>1206.5716543200001</v>
      </c>
      <c r="AG15" s="4318">
        <f t="shared" ref="AG15:AH20" si="54">SUM(C15+R15)</f>
        <v>1206.5716543200001</v>
      </c>
      <c r="AH15" s="4318">
        <f t="shared" si="54"/>
        <v>0</v>
      </c>
      <c r="AI15" s="4318">
        <f t="shared" ref="AI15:AI20" si="55">SUM(AJ15:AK15)</f>
        <v>1206.0802189999999</v>
      </c>
      <c r="AJ15" s="4318">
        <f t="shared" ref="AJ15:AK20" si="56">SUM(O15+AD15)</f>
        <v>1206.0802189999999</v>
      </c>
      <c r="AK15" s="4318">
        <f t="shared" si="56"/>
        <v>0</v>
      </c>
      <c r="AL15" s="4319">
        <f t="shared" ref="AL15:AL20" si="57">SUM(AM15:AN15)</f>
        <v>-0.49143532000016421</v>
      </c>
      <c r="AM15" s="4319">
        <f t="shared" ref="AM15:AN20" si="58">SUM(AJ15-AG15)</f>
        <v>-0.49143532000016421</v>
      </c>
      <c r="AN15" s="4319">
        <f t="shared" si="58"/>
        <v>0</v>
      </c>
      <c r="AO15" s="4317">
        <f t="shared" ref="AO15:AO20" si="59">SUM(AP15:AQ15)</f>
        <v>603.28582716000005</v>
      </c>
      <c r="AP15" s="4317">
        <f t="shared" ref="AP15:AQ16" si="60">SUM(CC15/4)</f>
        <v>603.28582716000005</v>
      </c>
      <c r="AQ15" s="4317">
        <f t="shared" si="60"/>
        <v>0</v>
      </c>
      <c r="AR15" s="4316">
        <f t="shared" ref="AR15:AR20" si="61">SUM(AS15:AT15)</f>
        <v>187.85674299999999</v>
      </c>
      <c r="AS15" s="4899">
        <v>187.85674299999999</v>
      </c>
      <c r="AT15" s="4899">
        <v>0</v>
      </c>
      <c r="AU15" s="4316">
        <f t="shared" ref="AU15:AU20" si="62">SUM(AV15:AW15)</f>
        <v>0</v>
      </c>
      <c r="AV15" s="3025"/>
      <c r="AW15" s="3025"/>
      <c r="AX15" s="4316">
        <f t="shared" ref="AX15:AX20" si="63">SUM(AY15:AZ15)</f>
        <v>0</v>
      </c>
      <c r="AY15" s="3025"/>
      <c r="AZ15" s="3025"/>
      <c r="BA15" s="4316">
        <f t="shared" ref="BA15:BA20" si="64">SUM(BB15:BC15)</f>
        <v>187.85674299999999</v>
      </c>
      <c r="BB15" s="4316">
        <f t="shared" ref="BB15:BC20" si="65">SUM(AS15+AV15+AY15)</f>
        <v>187.85674299999999</v>
      </c>
      <c r="BC15" s="4316">
        <f t="shared" si="65"/>
        <v>0</v>
      </c>
      <c r="BD15" s="4318">
        <f t="shared" ref="BD15:BD20" si="66">SUM(BE15:BF15)</f>
        <v>1809.8574814800002</v>
      </c>
      <c r="BE15" s="4318">
        <f t="shared" ref="BE15:BF20" si="67">SUM(AG15+AP15)</f>
        <v>1809.8574814800002</v>
      </c>
      <c r="BF15" s="4318">
        <f t="shared" si="67"/>
        <v>0</v>
      </c>
      <c r="BG15" s="4319">
        <f t="shared" ref="BG15:BG20" si="68">SUM(BH15:BI15)</f>
        <v>1393.936962</v>
      </c>
      <c r="BH15" s="4319">
        <f t="shared" ref="BH15:BI20" si="69">SUM(AJ15+BB15)</f>
        <v>1393.936962</v>
      </c>
      <c r="BI15" s="4319">
        <f t="shared" si="69"/>
        <v>0</v>
      </c>
      <c r="BJ15" s="4319">
        <f t="shared" ref="BJ15:BJ20" si="70">SUM(BK15:BL15)</f>
        <v>-415.92051948000017</v>
      </c>
      <c r="BK15" s="4319">
        <f t="shared" ref="BK15:BL20" si="71">SUM(BH15-BE15)</f>
        <v>-415.92051948000017</v>
      </c>
      <c r="BL15" s="4319">
        <f t="shared" si="71"/>
        <v>0</v>
      </c>
      <c r="BM15" s="4317">
        <f t="shared" ref="BM15:BM20" si="72">SUM(BN15:BO15)</f>
        <v>603.28582716000005</v>
      </c>
      <c r="BN15" s="4317">
        <f t="shared" ref="BN15:BO16" si="73">SUM(CC15/4)</f>
        <v>603.28582716000005</v>
      </c>
      <c r="BO15" s="4317">
        <f t="shared" si="73"/>
        <v>0</v>
      </c>
      <c r="BP15" s="4316">
        <f t="shared" ref="BP15:BP20" si="74">SUM(BQ15:BR15)</f>
        <v>0</v>
      </c>
      <c r="BQ15" s="3025"/>
      <c r="BR15" s="3025"/>
      <c r="BS15" s="4316">
        <f t="shared" ref="BS15:BS20" si="75">SUM(BT15:BU15)</f>
        <v>0</v>
      </c>
      <c r="BT15" s="3025"/>
      <c r="BU15" s="3025"/>
      <c r="BV15" s="4316">
        <f t="shared" ref="BV15:BV20" si="76">SUM(BW15:BX15)</f>
        <v>0</v>
      </c>
      <c r="BW15" s="3025"/>
      <c r="BX15" s="3025"/>
      <c r="BY15" s="4316">
        <f t="shared" ref="BY15:BY20" si="77">SUM(BZ15:CA15)</f>
        <v>0</v>
      </c>
      <c r="BZ15" s="4316">
        <f t="shared" ref="BZ15:CA20" si="78">SUM(BQ15+BT15+BW15)</f>
        <v>0</v>
      </c>
      <c r="CA15" s="4316">
        <f t="shared" si="78"/>
        <v>0</v>
      </c>
      <c r="CB15" s="4318">
        <f t="shared" ref="CB15:CB20" si="79">SUM(CC15:CD15)</f>
        <v>2413.1433086400002</v>
      </c>
      <c r="CC15" s="4318">
        <f>SUM('объемы ВС и ВО 2023'!CI50)</f>
        <v>2413.1433086400002</v>
      </c>
      <c r="CD15" s="4318">
        <f>SUM('объемы ВС и ВО 2023'!CJ50)</f>
        <v>0</v>
      </c>
      <c r="CE15" s="4319">
        <f t="shared" ref="CE15:CE20" si="80">SUM(CF15:CG15)</f>
        <v>1393.936962</v>
      </c>
      <c r="CF15" s="4318">
        <f t="shared" ref="CF15:CG20" si="81">SUM(BH15+BZ15)</f>
        <v>1393.936962</v>
      </c>
      <c r="CG15" s="4319">
        <f t="shared" si="81"/>
        <v>0</v>
      </c>
      <c r="CH15" s="4319">
        <f t="shared" ref="CH15:CH20" si="82">SUM(CI15:CJ15)</f>
        <v>-1019.2063466400002</v>
      </c>
      <c r="CI15" s="4319">
        <f t="shared" ref="CI15:CJ20" si="83">SUM(CF15-CC15)</f>
        <v>-1019.2063466400002</v>
      </c>
      <c r="CJ15" s="4319">
        <f t="shared" si="83"/>
        <v>0</v>
      </c>
      <c r="CK15" s="2759"/>
      <c r="CL15" s="3575">
        <f t="shared" si="3"/>
        <v>2413.1433086400002</v>
      </c>
      <c r="CM15" s="2752"/>
      <c r="CN15" s="2752"/>
    </row>
    <row r="16" spans="1:92" ht="18.75" customHeight="1" x14ac:dyDescent="0.2">
      <c r="A16" s="4315" t="s">
        <v>3643</v>
      </c>
      <c r="B16" s="4317">
        <f t="shared" si="38"/>
        <v>208.075190986287</v>
      </c>
      <c r="C16" s="4317">
        <f t="shared" si="39"/>
        <v>207.737440986287</v>
      </c>
      <c r="D16" s="4317">
        <f t="shared" si="40"/>
        <v>0.33774999999999999</v>
      </c>
      <c r="E16" s="4316">
        <f t="shared" si="41"/>
        <v>68.875454000000005</v>
      </c>
      <c r="F16" s="3025">
        <v>68.875454000000005</v>
      </c>
      <c r="G16" s="3025">
        <v>0</v>
      </c>
      <c r="H16" s="4316">
        <f t="shared" si="42"/>
        <v>70.552982999999998</v>
      </c>
      <c r="I16" s="3025">
        <v>70.552982999999998</v>
      </c>
      <c r="J16" s="3027">
        <v>0</v>
      </c>
      <c r="K16" s="4316">
        <f t="shared" si="43"/>
        <v>67.630992000000006</v>
      </c>
      <c r="L16" s="3025">
        <v>67.630992000000006</v>
      </c>
      <c r="M16" s="3025">
        <v>0</v>
      </c>
      <c r="N16" s="4316">
        <f t="shared" si="44"/>
        <v>207.05942900000002</v>
      </c>
      <c r="O16" s="4316">
        <f t="shared" si="45"/>
        <v>207.05942900000002</v>
      </c>
      <c r="P16" s="4316">
        <f t="shared" si="45"/>
        <v>0</v>
      </c>
      <c r="Q16" s="4317">
        <f t="shared" si="46"/>
        <v>208.075190986287</v>
      </c>
      <c r="R16" s="4317">
        <f t="shared" si="47"/>
        <v>207.737440986287</v>
      </c>
      <c r="S16" s="4317">
        <f t="shared" si="47"/>
        <v>0.33774999999999999</v>
      </c>
      <c r="T16" s="4316">
        <f t="shared" si="48"/>
        <v>63.824885999999999</v>
      </c>
      <c r="U16" s="3025">
        <v>63.824885999999999</v>
      </c>
      <c r="V16" s="3027">
        <v>0</v>
      </c>
      <c r="W16" s="4316">
        <f t="shared" si="49"/>
        <v>59.029519999999998</v>
      </c>
      <c r="X16" s="3025">
        <v>59.029519999999998</v>
      </c>
      <c r="Y16" s="3027">
        <v>0</v>
      </c>
      <c r="Z16" s="4316">
        <f t="shared" si="50"/>
        <v>62.944240999999998</v>
      </c>
      <c r="AA16" s="3025">
        <v>62.944240999999998</v>
      </c>
      <c r="AB16" s="3027">
        <v>0</v>
      </c>
      <c r="AC16" s="4316">
        <f t="shared" si="51"/>
        <v>185.79864699999999</v>
      </c>
      <c r="AD16" s="4316">
        <f t="shared" si="52"/>
        <v>185.79864699999999</v>
      </c>
      <c r="AE16" s="4316">
        <f t="shared" si="52"/>
        <v>0</v>
      </c>
      <c r="AF16" s="4318">
        <f t="shared" si="53"/>
        <v>416.150381972574</v>
      </c>
      <c r="AG16" s="4318">
        <f t="shared" si="54"/>
        <v>415.474881972574</v>
      </c>
      <c r="AH16" s="4318">
        <f t="shared" si="54"/>
        <v>0.67549999999999999</v>
      </c>
      <c r="AI16" s="4318">
        <f t="shared" si="55"/>
        <v>392.85807599999998</v>
      </c>
      <c r="AJ16" s="4318">
        <f t="shared" si="56"/>
        <v>392.85807599999998</v>
      </c>
      <c r="AK16" s="4318">
        <f t="shared" si="56"/>
        <v>0</v>
      </c>
      <c r="AL16" s="4319">
        <f t="shared" si="57"/>
        <v>-23.292305972574013</v>
      </c>
      <c r="AM16" s="4319">
        <f t="shared" si="58"/>
        <v>-22.616805972574014</v>
      </c>
      <c r="AN16" s="4319">
        <f t="shared" si="58"/>
        <v>-0.67549999999999999</v>
      </c>
      <c r="AO16" s="4317">
        <f t="shared" si="59"/>
        <v>208.075190986287</v>
      </c>
      <c r="AP16" s="4317">
        <f t="shared" si="60"/>
        <v>207.737440986287</v>
      </c>
      <c r="AQ16" s="4317">
        <f t="shared" si="60"/>
        <v>0.33774999999999999</v>
      </c>
      <c r="AR16" s="4316">
        <f t="shared" si="61"/>
        <v>57.594248999999998</v>
      </c>
      <c r="AS16" s="4899">
        <v>57.594248999999998</v>
      </c>
      <c r="AT16" s="4899">
        <v>0</v>
      </c>
      <c r="AU16" s="4316">
        <f t="shared" si="62"/>
        <v>0</v>
      </c>
      <c r="AV16" s="3025"/>
      <c r="AW16" s="3025"/>
      <c r="AX16" s="4316">
        <f t="shared" si="63"/>
        <v>0</v>
      </c>
      <c r="AY16" s="3025"/>
      <c r="AZ16" s="3025"/>
      <c r="BA16" s="4316">
        <f t="shared" si="64"/>
        <v>57.594248999999998</v>
      </c>
      <c r="BB16" s="4316">
        <f t="shared" si="65"/>
        <v>57.594248999999998</v>
      </c>
      <c r="BC16" s="4316">
        <f t="shared" si="65"/>
        <v>0</v>
      </c>
      <c r="BD16" s="4318">
        <f t="shared" si="66"/>
        <v>624.22557295886099</v>
      </c>
      <c r="BE16" s="4318">
        <f t="shared" si="67"/>
        <v>623.21232295886102</v>
      </c>
      <c r="BF16" s="4318">
        <f t="shared" si="67"/>
        <v>1.01325</v>
      </c>
      <c r="BG16" s="4319">
        <f t="shared" si="68"/>
        <v>450.45232499999997</v>
      </c>
      <c r="BH16" s="4319">
        <f t="shared" si="69"/>
        <v>450.45232499999997</v>
      </c>
      <c r="BI16" s="4319">
        <f t="shared" si="69"/>
        <v>0</v>
      </c>
      <c r="BJ16" s="4319">
        <f t="shared" si="70"/>
        <v>-173.77324795886105</v>
      </c>
      <c r="BK16" s="4319">
        <f t="shared" si="71"/>
        <v>-172.75999795886105</v>
      </c>
      <c r="BL16" s="4319">
        <f t="shared" si="71"/>
        <v>-1.01325</v>
      </c>
      <c r="BM16" s="4317">
        <f t="shared" si="72"/>
        <v>208.075190986287</v>
      </c>
      <c r="BN16" s="4317">
        <f t="shared" si="73"/>
        <v>207.737440986287</v>
      </c>
      <c r="BO16" s="4317">
        <f t="shared" si="73"/>
        <v>0.33774999999999999</v>
      </c>
      <c r="BP16" s="4316">
        <f t="shared" si="74"/>
        <v>0</v>
      </c>
      <c r="BQ16" s="3025"/>
      <c r="BR16" s="3025"/>
      <c r="BS16" s="4316">
        <f t="shared" si="75"/>
        <v>0</v>
      </c>
      <c r="BT16" s="3025"/>
      <c r="BU16" s="3025"/>
      <c r="BV16" s="4316">
        <f t="shared" si="76"/>
        <v>0</v>
      </c>
      <c r="BW16" s="3025"/>
      <c r="BX16" s="3025"/>
      <c r="BY16" s="4316">
        <f t="shared" si="77"/>
        <v>0</v>
      </c>
      <c r="BZ16" s="4316">
        <f t="shared" si="78"/>
        <v>0</v>
      </c>
      <c r="CA16" s="4316">
        <f t="shared" si="78"/>
        <v>0</v>
      </c>
      <c r="CB16" s="4318">
        <f t="shared" si="79"/>
        <v>832.30076394514799</v>
      </c>
      <c r="CC16" s="4318">
        <f>SUM('объемы ВС и ВО 2023'!CI52)</f>
        <v>830.94976394514799</v>
      </c>
      <c r="CD16" s="4318">
        <f>SUM('объемы ВС и ВО 2023'!CJ51)</f>
        <v>1.351</v>
      </c>
      <c r="CE16" s="4318">
        <f t="shared" si="80"/>
        <v>450.45232499999997</v>
      </c>
      <c r="CF16" s="4318">
        <f t="shared" si="81"/>
        <v>450.45232499999997</v>
      </c>
      <c r="CG16" s="4318">
        <f t="shared" si="81"/>
        <v>0</v>
      </c>
      <c r="CH16" s="4319">
        <f t="shared" si="82"/>
        <v>-381.84843894514802</v>
      </c>
      <c r="CI16" s="4319">
        <f t="shared" si="83"/>
        <v>-380.49743894514802</v>
      </c>
      <c r="CJ16" s="4319">
        <f t="shared" si="83"/>
        <v>-1.351</v>
      </c>
      <c r="CK16" s="2759"/>
      <c r="CL16" s="3575">
        <f t="shared" si="3"/>
        <v>832.30076394514799</v>
      </c>
      <c r="CM16" s="2752"/>
      <c r="CN16" s="2752"/>
    </row>
    <row r="17" spans="1:92" ht="18.75" customHeight="1" x14ac:dyDescent="0.2">
      <c r="A17" s="2685" t="s">
        <v>3644</v>
      </c>
      <c r="B17" s="4324">
        <f t="shared" si="38"/>
        <v>71.282636797438244</v>
      </c>
      <c r="C17" s="4324">
        <f t="shared" si="39"/>
        <v>71.282636797438244</v>
      </c>
      <c r="D17" s="4324">
        <f t="shared" si="40"/>
        <v>0</v>
      </c>
      <c r="E17" s="4324">
        <f t="shared" si="41"/>
        <v>23.546874000000003</v>
      </c>
      <c r="F17" s="4324">
        <f>SUM(F18:F20)</f>
        <v>23.546874000000003</v>
      </c>
      <c r="G17" s="4324">
        <f>SUM(G18:G20)</f>
        <v>0</v>
      </c>
      <c r="H17" s="4324">
        <f t="shared" si="42"/>
        <v>27.278264999999998</v>
      </c>
      <c r="I17" s="4324">
        <f>SUM(I18:I20)</f>
        <v>27.278264999999998</v>
      </c>
      <c r="J17" s="4324">
        <f>SUM(J18:J20)</f>
        <v>0</v>
      </c>
      <c r="K17" s="4324">
        <f t="shared" si="43"/>
        <v>23.738121</v>
      </c>
      <c r="L17" s="4324">
        <f>SUM(L18:L20)</f>
        <v>23.738121</v>
      </c>
      <c r="M17" s="4324">
        <f>SUM(M18:M20)</f>
        <v>0</v>
      </c>
      <c r="N17" s="4325">
        <f t="shared" si="44"/>
        <v>74.56326</v>
      </c>
      <c r="O17" s="4325">
        <f t="shared" si="45"/>
        <v>74.56326</v>
      </c>
      <c r="P17" s="4325">
        <f t="shared" si="45"/>
        <v>0</v>
      </c>
      <c r="Q17" s="4324">
        <f t="shared" si="46"/>
        <v>71.282636797438244</v>
      </c>
      <c r="R17" s="4324">
        <f t="shared" si="47"/>
        <v>71.282636797438244</v>
      </c>
      <c r="S17" s="4324">
        <f t="shared" ref="S17:S20" si="84">SUM(CD17/4)</f>
        <v>0</v>
      </c>
      <c r="T17" s="4324">
        <f t="shared" si="48"/>
        <v>24.774189</v>
      </c>
      <c r="U17" s="4324">
        <f>SUM(U18:U20)</f>
        <v>24.774189</v>
      </c>
      <c r="V17" s="4324">
        <f>SUM(V18:V20)</f>
        <v>0</v>
      </c>
      <c r="W17" s="4324">
        <f t="shared" si="49"/>
        <v>21.565643000000001</v>
      </c>
      <c r="X17" s="4324">
        <f>SUM(X18:X20)</f>
        <v>21.565643000000001</v>
      </c>
      <c r="Y17" s="4324">
        <f>SUM(Y18:Y20)</f>
        <v>0</v>
      </c>
      <c r="Z17" s="4324">
        <f t="shared" si="50"/>
        <v>21.587826</v>
      </c>
      <c r="AA17" s="4324">
        <f>SUM(AA18:AA20)</f>
        <v>21.587826</v>
      </c>
      <c r="AB17" s="4324">
        <f>SUM(AB18:AB20)</f>
        <v>0</v>
      </c>
      <c r="AC17" s="4325">
        <f t="shared" si="51"/>
        <v>67.927658000000008</v>
      </c>
      <c r="AD17" s="4325">
        <f t="shared" si="52"/>
        <v>67.927658000000008</v>
      </c>
      <c r="AE17" s="4325">
        <f t="shared" si="52"/>
        <v>0</v>
      </c>
      <c r="AF17" s="4326">
        <f t="shared" si="53"/>
        <v>142.56527359487649</v>
      </c>
      <c r="AG17" s="4326">
        <f t="shared" si="54"/>
        <v>142.56527359487649</v>
      </c>
      <c r="AH17" s="4326">
        <f t="shared" si="54"/>
        <v>0</v>
      </c>
      <c r="AI17" s="4326">
        <f t="shared" si="55"/>
        <v>142.49091800000002</v>
      </c>
      <c r="AJ17" s="4326">
        <f t="shared" si="56"/>
        <v>142.49091800000002</v>
      </c>
      <c r="AK17" s="4326">
        <f t="shared" si="56"/>
        <v>0</v>
      </c>
      <c r="AL17" s="4323">
        <f t="shared" si="57"/>
        <v>-7.4355594876465148E-2</v>
      </c>
      <c r="AM17" s="4323">
        <f t="shared" si="58"/>
        <v>-7.4355594876465148E-2</v>
      </c>
      <c r="AN17" s="4323">
        <f t="shared" si="58"/>
        <v>0</v>
      </c>
      <c r="AO17" s="4324">
        <f t="shared" si="59"/>
        <v>71.282636797438244</v>
      </c>
      <c r="AP17" s="4324">
        <f t="shared" ref="AP17:AP20" si="85">SUM(CC17/4)</f>
        <v>71.282636797438244</v>
      </c>
      <c r="AQ17" s="4324">
        <f t="shared" ref="AQ17:AQ20" si="86">SUM(CD17/4)</f>
        <v>0</v>
      </c>
      <c r="AR17" s="4324">
        <f t="shared" si="61"/>
        <v>16.194891999999999</v>
      </c>
      <c r="AS17" s="4900">
        <f>SUM(AS18:AS20)</f>
        <v>16.194891999999999</v>
      </c>
      <c r="AT17" s="4900">
        <f>SUM(AT18:AT20)</f>
        <v>0</v>
      </c>
      <c r="AU17" s="4324">
        <f t="shared" si="62"/>
        <v>0</v>
      </c>
      <c r="AV17" s="4324">
        <f>SUM(AV18:AV20)</f>
        <v>0</v>
      </c>
      <c r="AW17" s="4324">
        <f>SUM(AW18:AW20)</f>
        <v>0</v>
      </c>
      <c r="AX17" s="4324">
        <f t="shared" si="63"/>
        <v>0</v>
      </c>
      <c r="AY17" s="4324">
        <f>SUM(AY18:AY20)</f>
        <v>0</v>
      </c>
      <c r="AZ17" s="4324">
        <f>SUM(AZ18:AZ20)</f>
        <v>0</v>
      </c>
      <c r="BA17" s="4325">
        <f t="shared" si="64"/>
        <v>16.194891999999999</v>
      </c>
      <c r="BB17" s="4325">
        <f t="shared" si="65"/>
        <v>16.194891999999999</v>
      </c>
      <c r="BC17" s="4325">
        <f t="shared" si="65"/>
        <v>0</v>
      </c>
      <c r="BD17" s="4326">
        <f t="shared" si="66"/>
        <v>213.84791039231473</v>
      </c>
      <c r="BE17" s="4326">
        <f t="shared" si="67"/>
        <v>213.84791039231473</v>
      </c>
      <c r="BF17" s="4326">
        <f t="shared" si="67"/>
        <v>0</v>
      </c>
      <c r="BG17" s="4323">
        <f t="shared" si="68"/>
        <v>158.68581000000003</v>
      </c>
      <c r="BH17" s="4323">
        <f t="shared" si="69"/>
        <v>158.68581000000003</v>
      </c>
      <c r="BI17" s="4323">
        <f t="shared" si="69"/>
        <v>0</v>
      </c>
      <c r="BJ17" s="4323">
        <f t="shared" si="70"/>
        <v>-55.162100392314699</v>
      </c>
      <c r="BK17" s="4323">
        <f t="shared" si="71"/>
        <v>-55.162100392314699</v>
      </c>
      <c r="BL17" s="4323">
        <f t="shared" si="71"/>
        <v>0</v>
      </c>
      <c r="BM17" s="4324">
        <f t="shared" si="72"/>
        <v>71.282636797438244</v>
      </c>
      <c r="BN17" s="4324">
        <f t="shared" ref="BN17:BN20" si="87">SUM(CC17/4)</f>
        <v>71.282636797438244</v>
      </c>
      <c r="BO17" s="4324">
        <f t="shared" ref="BO17:BO20" si="88">SUM(CD17/4)</f>
        <v>0</v>
      </c>
      <c r="BP17" s="4324">
        <f t="shared" si="74"/>
        <v>0</v>
      </c>
      <c r="BQ17" s="4324">
        <f>SUM(BQ18:BQ20)</f>
        <v>0</v>
      </c>
      <c r="BR17" s="4324">
        <f>SUM(BR18:BR20)</f>
        <v>0</v>
      </c>
      <c r="BS17" s="4324">
        <f t="shared" si="75"/>
        <v>0</v>
      </c>
      <c r="BT17" s="4324">
        <f>SUM(BT18:BT20)</f>
        <v>0</v>
      </c>
      <c r="BU17" s="4324">
        <f>SUM(BU18:BU20)</f>
        <v>0</v>
      </c>
      <c r="BV17" s="4324">
        <f t="shared" si="76"/>
        <v>0</v>
      </c>
      <c r="BW17" s="4324">
        <f>SUM(BW18:BW20)</f>
        <v>0</v>
      </c>
      <c r="BX17" s="4324">
        <f>SUM(BX18:BX20)</f>
        <v>0</v>
      </c>
      <c r="BY17" s="4325">
        <f t="shared" si="77"/>
        <v>0</v>
      </c>
      <c r="BZ17" s="4325">
        <f t="shared" si="78"/>
        <v>0</v>
      </c>
      <c r="CA17" s="4325">
        <f t="shared" si="78"/>
        <v>0</v>
      </c>
      <c r="CB17" s="4326">
        <f t="shared" si="79"/>
        <v>285.13054718975297</v>
      </c>
      <c r="CC17" s="4326">
        <f>SUM('объемы ВС и ВО 2023'!CI53)</f>
        <v>285.13054718975297</v>
      </c>
      <c r="CD17" s="4326">
        <f>SUM('объемы ВС и ВО 2023'!CJ53)</f>
        <v>0</v>
      </c>
      <c r="CE17" s="4326">
        <f t="shared" si="80"/>
        <v>158.68581000000003</v>
      </c>
      <c r="CF17" s="4326">
        <f t="shared" si="81"/>
        <v>158.68581000000003</v>
      </c>
      <c r="CG17" s="4326">
        <f t="shared" si="81"/>
        <v>0</v>
      </c>
      <c r="CH17" s="4323">
        <f t="shared" si="82"/>
        <v>-126.44473718975294</v>
      </c>
      <c r="CI17" s="4323">
        <f t="shared" si="83"/>
        <v>-126.44473718975294</v>
      </c>
      <c r="CJ17" s="4323">
        <f t="shared" si="83"/>
        <v>0</v>
      </c>
      <c r="CK17" s="2759"/>
      <c r="CL17" s="3575">
        <f t="shared" si="3"/>
        <v>285.13054718975297</v>
      </c>
      <c r="CM17" s="2752"/>
      <c r="CN17" s="2752"/>
    </row>
    <row r="18" spans="1:92" ht="18.75" customHeight="1" x14ac:dyDescent="0.2">
      <c r="A18" s="4327" t="s">
        <v>3646</v>
      </c>
      <c r="B18" s="4324">
        <f t="shared" si="38"/>
        <v>27.301249893418845</v>
      </c>
      <c r="C18" s="4324">
        <f t="shared" si="39"/>
        <v>27.301249893418845</v>
      </c>
      <c r="D18" s="4324">
        <f t="shared" si="40"/>
        <v>0</v>
      </c>
      <c r="E18" s="4324">
        <f t="shared" si="41"/>
        <v>8.1056550000000005</v>
      </c>
      <c r="F18" s="3584">
        <v>8.1056550000000005</v>
      </c>
      <c r="G18" s="3584">
        <v>0</v>
      </c>
      <c r="H18" s="4324">
        <f t="shared" si="42"/>
        <v>10.463747</v>
      </c>
      <c r="I18" s="3584">
        <v>10.463747</v>
      </c>
      <c r="J18" s="3584">
        <v>0</v>
      </c>
      <c r="K18" s="4324">
        <f t="shared" si="43"/>
        <v>8.6976750000000003</v>
      </c>
      <c r="L18" s="3584">
        <v>8.6976750000000003</v>
      </c>
      <c r="M18" s="3584">
        <v>0</v>
      </c>
      <c r="N18" s="4325">
        <f t="shared" si="44"/>
        <v>27.267077</v>
      </c>
      <c r="O18" s="4325">
        <f t="shared" si="45"/>
        <v>27.267077</v>
      </c>
      <c r="P18" s="4325">
        <f t="shared" si="45"/>
        <v>0</v>
      </c>
      <c r="Q18" s="4324">
        <f t="shared" si="46"/>
        <v>27.301249893418845</v>
      </c>
      <c r="R18" s="4324">
        <f t="shared" si="47"/>
        <v>27.301249893418845</v>
      </c>
      <c r="S18" s="4324">
        <f t="shared" si="84"/>
        <v>0</v>
      </c>
      <c r="T18" s="4324">
        <f t="shared" si="48"/>
        <v>7.5608870000000001</v>
      </c>
      <c r="U18" s="3584">
        <v>7.5608870000000001</v>
      </c>
      <c r="V18" s="3584">
        <v>0</v>
      </c>
      <c r="W18" s="4324">
        <f t="shared" si="49"/>
        <v>6.6087470000000001</v>
      </c>
      <c r="X18" s="3584">
        <v>6.6087470000000001</v>
      </c>
      <c r="Y18" s="3584"/>
      <c r="Z18" s="4324">
        <f t="shared" si="50"/>
        <v>7.7343409999999997</v>
      </c>
      <c r="AA18" s="3584">
        <v>7.7343409999999997</v>
      </c>
      <c r="AB18" s="3584"/>
      <c r="AC18" s="4325">
        <f t="shared" si="51"/>
        <v>21.903974999999999</v>
      </c>
      <c r="AD18" s="4325">
        <f t="shared" si="52"/>
        <v>21.903974999999999</v>
      </c>
      <c r="AE18" s="4325">
        <f t="shared" si="52"/>
        <v>0</v>
      </c>
      <c r="AF18" s="4326">
        <f t="shared" si="53"/>
        <v>54.60249978683769</v>
      </c>
      <c r="AG18" s="4326">
        <f t="shared" si="54"/>
        <v>54.60249978683769</v>
      </c>
      <c r="AH18" s="4326">
        <f t="shared" si="54"/>
        <v>0</v>
      </c>
      <c r="AI18" s="4326">
        <f t="shared" si="55"/>
        <v>49.171052000000003</v>
      </c>
      <c r="AJ18" s="4326">
        <f t="shared" si="56"/>
        <v>49.171052000000003</v>
      </c>
      <c r="AK18" s="4326">
        <f t="shared" si="56"/>
        <v>0</v>
      </c>
      <c r="AL18" s="4323">
        <f t="shared" si="57"/>
        <v>-5.4314477868376869</v>
      </c>
      <c r="AM18" s="4323">
        <f t="shared" si="58"/>
        <v>-5.4314477868376869</v>
      </c>
      <c r="AN18" s="4323">
        <f t="shared" si="58"/>
        <v>0</v>
      </c>
      <c r="AO18" s="4324">
        <f t="shared" si="59"/>
        <v>27.301249893418845</v>
      </c>
      <c r="AP18" s="4324">
        <f t="shared" si="85"/>
        <v>27.301249893418845</v>
      </c>
      <c r="AQ18" s="4324">
        <f t="shared" si="86"/>
        <v>0</v>
      </c>
      <c r="AR18" s="4324">
        <f t="shared" si="61"/>
        <v>7.4032470000000004</v>
      </c>
      <c r="AS18" s="4901">
        <v>7.4032470000000004</v>
      </c>
      <c r="AT18" s="4901"/>
      <c r="AU18" s="4324">
        <f t="shared" si="62"/>
        <v>0</v>
      </c>
      <c r="AV18" s="3584"/>
      <c r="AW18" s="3584"/>
      <c r="AX18" s="4324">
        <f t="shared" si="63"/>
        <v>0</v>
      </c>
      <c r="AY18" s="3584"/>
      <c r="AZ18" s="3584"/>
      <c r="BA18" s="4325">
        <f t="shared" si="64"/>
        <v>7.4032470000000004</v>
      </c>
      <c r="BB18" s="4325">
        <f t="shared" si="65"/>
        <v>7.4032470000000004</v>
      </c>
      <c r="BC18" s="4325">
        <f t="shared" si="65"/>
        <v>0</v>
      </c>
      <c r="BD18" s="4326">
        <f t="shared" si="66"/>
        <v>81.903749680256539</v>
      </c>
      <c r="BE18" s="4326">
        <f t="shared" si="67"/>
        <v>81.903749680256539</v>
      </c>
      <c r="BF18" s="4326">
        <f t="shared" si="67"/>
        <v>0</v>
      </c>
      <c r="BG18" s="4323">
        <f t="shared" si="68"/>
        <v>56.574299000000003</v>
      </c>
      <c r="BH18" s="4323">
        <f t="shared" si="69"/>
        <v>56.574299000000003</v>
      </c>
      <c r="BI18" s="4323">
        <f t="shared" si="69"/>
        <v>0</v>
      </c>
      <c r="BJ18" s="4323">
        <f t="shared" si="70"/>
        <v>-25.329450680256535</v>
      </c>
      <c r="BK18" s="4323">
        <f t="shared" si="71"/>
        <v>-25.329450680256535</v>
      </c>
      <c r="BL18" s="4323">
        <f t="shared" si="71"/>
        <v>0</v>
      </c>
      <c r="BM18" s="4324">
        <f t="shared" si="72"/>
        <v>27.301249893418845</v>
      </c>
      <c r="BN18" s="4324">
        <f t="shared" si="87"/>
        <v>27.301249893418845</v>
      </c>
      <c r="BO18" s="4324">
        <f t="shared" si="88"/>
        <v>0</v>
      </c>
      <c r="BP18" s="4324">
        <f t="shared" si="74"/>
        <v>0</v>
      </c>
      <c r="BQ18" s="3584"/>
      <c r="BR18" s="3584"/>
      <c r="BS18" s="4324">
        <f t="shared" si="75"/>
        <v>0</v>
      </c>
      <c r="BT18" s="3584"/>
      <c r="BU18" s="3584"/>
      <c r="BV18" s="4324">
        <f t="shared" si="76"/>
        <v>0</v>
      </c>
      <c r="BW18" s="3584"/>
      <c r="BX18" s="3584"/>
      <c r="BY18" s="4325">
        <f t="shared" si="77"/>
        <v>0</v>
      </c>
      <c r="BZ18" s="4325">
        <f t="shared" si="78"/>
        <v>0</v>
      </c>
      <c r="CA18" s="4325">
        <f t="shared" si="78"/>
        <v>0</v>
      </c>
      <c r="CB18" s="4326">
        <f t="shared" si="79"/>
        <v>109.20499957367538</v>
      </c>
      <c r="CC18" s="4326">
        <f>SUM(CC17*38.3%)</f>
        <v>109.20499957367538</v>
      </c>
      <c r="CD18" s="4326">
        <v>0</v>
      </c>
      <c r="CE18" s="4326">
        <f t="shared" si="80"/>
        <v>56.574299000000003</v>
      </c>
      <c r="CF18" s="4326">
        <f t="shared" si="81"/>
        <v>56.574299000000003</v>
      </c>
      <c r="CG18" s="4326">
        <f t="shared" si="81"/>
        <v>0</v>
      </c>
      <c r="CH18" s="4323">
        <f t="shared" si="82"/>
        <v>-52.630700573675377</v>
      </c>
      <c r="CI18" s="4323">
        <f t="shared" si="83"/>
        <v>-52.630700573675377</v>
      </c>
      <c r="CJ18" s="4323">
        <f t="shared" si="83"/>
        <v>0</v>
      </c>
      <c r="CK18" s="2759"/>
      <c r="CL18" s="3575">
        <f t="shared" si="3"/>
        <v>109.20499957367538</v>
      </c>
      <c r="CM18" s="2752"/>
      <c r="CN18" s="2752"/>
    </row>
    <row r="19" spans="1:92" ht="18.75" customHeight="1" x14ac:dyDescent="0.2">
      <c r="A19" s="4327" t="s">
        <v>3645</v>
      </c>
      <c r="B19" s="4324">
        <f t="shared" si="38"/>
        <v>21.02837785524428</v>
      </c>
      <c r="C19" s="4324">
        <f t="shared" si="39"/>
        <v>21.02837785524428</v>
      </c>
      <c r="D19" s="4324">
        <f t="shared" si="40"/>
        <v>0</v>
      </c>
      <c r="E19" s="4324">
        <f t="shared" si="41"/>
        <v>7.5979999999999999</v>
      </c>
      <c r="F19" s="3584">
        <v>7.5979999999999999</v>
      </c>
      <c r="G19" s="3584">
        <v>0</v>
      </c>
      <c r="H19" s="4324">
        <f t="shared" si="42"/>
        <v>7.2730800000000002</v>
      </c>
      <c r="I19" s="3584">
        <v>7.2730800000000002</v>
      </c>
      <c r="J19" s="3584">
        <v>0</v>
      </c>
      <c r="K19" s="4324">
        <f t="shared" si="43"/>
        <v>6.8420909999999999</v>
      </c>
      <c r="L19" s="3584">
        <v>6.8420909999999999</v>
      </c>
      <c r="M19" s="3584">
        <v>0</v>
      </c>
      <c r="N19" s="4325">
        <f t="shared" si="44"/>
        <v>21.713170999999999</v>
      </c>
      <c r="O19" s="4325">
        <f t="shared" si="45"/>
        <v>21.713170999999999</v>
      </c>
      <c r="P19" s="4325">
        <f t="shared" si="45"/>
        <v>0</v>
      </c>
      <c r="Q19" s="4324">
        <f t="shared" si="46"/>
        <v>21.02837785524428</v>
      </c>
      <c r="R19" s="4324">
        <f t="shared" si="47"/>
        <v>21.02837785524428</v>
      </c>
      <c r="S19" s="4324">
        <f t="shared" si="84"/>
        <v>0</v>
      </c>
      <c r="T19" s="4324">
        <f t="shared" si="48"/>
        <v>7.8351350000000002</v>
      </c>
      <c r="U19" s="3584">
        <v>7.8351350000000002</v>
      </c>
      <c r="V19" s="3584">
        <v>0</v>
      </c>
      <c r="W19" s="4324">
        <f t="shared" si="49"/>
        <v>7.3140000000000001</v>
      </c>
      <c r="X19" s="3584">
        <v>7.3140000000000001</v>
      </c>
      <c r="Y19" s="3584"/>
      <c r="Z19" s="4324">
        <f t="shared" si="50"/>
        <v>7.3983179999999997</v>
      </c>
      <c r="AA19" s="3584">
        <v>7.3983179999999997</v>
      </c>
      <c r="AB19" s="3584"/>
      <c r="AC19" s="4325">
        <f t="shared" si="51"/>
        <v>22.547453000000001</v>
      </c>
      <c r="AD19" s="4325">
        <f t="shared" si="52"/>
        <v>22.547453000000001</v>
      </c>
      <c r="AE19" s="4325">
        <f t="shared" si="52"/>
        <v>0</v>
      </c>
      <c r="AF19" s="4326">
        <f t="shared" si="53"/>
        <v>42.056755710488559</v>
      </c>
      <c r="AG19" s="4326">
        <f t="shared" si="54"/>
        <v>42.056755710488559</v>
      </c>
      <c r="AH19" s="4326">
        <f t="shared" si="54"/>
        <v>0</v>
      </c>
      <c r="AI19" s="4326">
        <f t="shared" si="55"/>
        <v>44.260624</v>
      </c>
      <c r="AJ19" s="4326">
        <f t="shared" si="56"/>
        <v>44.260624</v>
      </c>
      <c r="AK19" s="4326">
        <f t="shared" si="56"/>
        <v>0</v>
      </c>
      <c r="AL19" s="4323">
        <f t="shared" si="57"/>
        <v>2.2038682895114405</v>
      </c>
      <c r="AM19" s="4323">
        <f t="shared" si="58"/>
        <v>2.2038682895114405</v>
      </c>
      <c r="AN19" s="4323">
        <f t="shared" si="58"/>
        <v>0</v>
      </c>
      <c r="AO19" s="4324">
        <f t="shared" si="59"/>
        <v>21.02837785524428</v>
      </c>
      <c r="AP19" s="4324">
        <f t="shared" si="85"/>
        <v>21.02837785524428</v>
      </c>
      <c r="AQ19" s="4324">
        <f t="shared" si="86"/>
        <v>0</v>
      </c>
      <c r="AR19" s="4324">
        <f t="shared" si="61"/>
        <v>5.2293799999999999</v>
      </c>
      <c r="AS19" s="4901">
        <v>5.2293799999999999</v>
      </c>
      <c r="AT19" s="4901"/>
      <c r="AU19" s="4324">
        <f t="shared" si="62"/>
        <v>0</v>
      </c>
      <c r="AV19" s="3584"/>
      <c r="AW19" s="3584"/>
      <c r="AX19" s="4324">
        <f t="shared" si="63"/>
        <v>0</v>
      </c>
      <c r="AY19" s="3584"/>
      <c r="AZ19" s="3584"/>
      <c r="BA19" s="4325">
        <f t="shared" si="64"/>
        <v>5.2293799999999999</v>
      </c>
      <c r="BB19" s="4325">
        <f t="shared" si="65"/>
        <v>5.2293799999999999</v>
      </c>
      <c r="BC19" s="4325">
        <f t="shared" si="65"/>
        <v>0</v>
      </c>
      <c r="BD19" s="4326">
        <f t="shared" si="66"/>
        <v>63.085133565732839</v>
      </c>
      <c r="BE19" s="4326">
        <f t="shared" si="67"/>
        <v>63.085133565732839</v>
      </c>
      <c r="BF19" s="4326">
        <f t="shared" si="67"/>
        <v>0</v>
      </c>
      <c r="BG19" s="4323">
        <f t="shared" si="68"/>
        <v>49.490003999999999</v>
      </c>
      <c r="BH19" s="4326">
        <f t="shared" si="69"/>
        <v>49.490003999999999</v>
      </c>
      <c r="BI19" s="4323">
        <f t="shared" si="69"/>
        <v>0</v>
      </c>
      <c r="BJ19" s="4323">
        <f t="shared" si="70"/>
        <v>-13.59512956573284</v>
      </c>
      <c r="BK19" s="4323">
        <f t="shared" si="71"/>
        <v>-13.59512956573284</v>
      </c>
      <c r="BL19" s="4323">
        <f t="shared" si="71"/>
        <v>0</v>
      </c>
      <c r="BM19" s="4324">
        <f t="shared" si="72"/>
        <v>21.02837785524428</v>
      </c>
      <c r="BN19" s="4324">
        <f t="shared" si="87"/>
        <v>21.02837785524428</v>
      </c>
      <c r="BO19" s="4324">
        <f t="shared" si="88"/>
        <v>0</v>
      </c>
      <c r="BP19" s="4324">
        <f t="shared" si="74"/>
        <v>0</v>
      </c>
      <c r="BQ19" s="3584"/>
      <c r="BR19" s="3584"/>
      <c r="BS19" s="4324">
        <f t="shared" si="75"/>
        <v>0</v>
      </c>
      <c r="BT19" s="3584"/>
      <c r="BU19" s="3584"/>
      <c r="BV19" s="4324">
        <f t="shared" si="76"/>
        <v>0</v>
      </c>
      <c r="BW19" s="3584"/>
      <c r="BX19" s="3584"/>
      <c r="BY19" s="4325">
        <f t="shared" si="77"/>
        <v>0</v>
      </c>
      <c r="BZ19" s="4325">
        <f t="shared" si="78"/>
        <v>0</v>
      </c>
      <c r="CA19" s="4325">
        <f t="shared" si="78"/>
        <v>0</v>
      </c>
      <c r="CB19" s="4326">
        <f t="shared" si="79"/>
        <v>84.113511420977119</v>
      </c>
      <c r="CC19" s="4326">
        <f>SUM(CC17*29.5%)</f>
        <v>84.113511420977119</v>
      </c>
      <c r="CD19" s="4326">
        <v>0</v>
      </c>
      <c r="CE19" s="4326">
        <f t="shared" si="80"/>
        <v>49.490003999999999</v>
      </c>
      <c r="CF19" s="4326">
        <f t="shared" si="81"/>
        <v>49.490003999999999</v>
      </c>
      <c r="CG19" s="4326">
        <f t="shared" si="81"/>
        <v>0</v>
      </c>
      <c r="CH19" s="4323">
        <f t="shared" si="82"/>
        <v>-34.62350742097712</v>
      </c>
      <c r="CI19" s="4323">
        <f t="shared" si="83"/>
        <v>-34.62350742097712</v>
      </c>
      <c r="CJ19" s="4323">
        <f t="shared" si="83"/>
        <v>0</v>
      </c>
      <c r="CK19" s="2759"/>
      <c r="CL19" s="3575">
        <f t="shared" si="3"/>
        <v>84.113511420977119</v>
      </c>
      <c r="CM19" s="2752"/>
      <c r="CN19" s="2752"/>
    </row>
    <row r="20" spans="1:92" ht="18.75" customHeight="1" x14ac:dyDescent="0.2">
      <c r="A20" s="4327" t="s">
        <v>3647</v>
      </c>
      <c r="B20" s="4324">
        <f t="shared" si="38"/>
        <v>22.953009048775115</v>
      </c>
      <c r="C20" s="4324">
        <f t="shared" si="39"/>
        <v>22.953009048775115</v>
      </c>
      <c r="D20" s="4324">
        <f t="shared" si="40"/>
        <v>0</v>
      </c>
      <c r="E20" s="4324">
        <f t="shared" si="41"/>
        <v>7.8432190000000004</v>
      </c>
      <c r="F20" s="3584">
        <v>7.8432190000000004</v>
      </c>
      <c r="G20" s="3584">
        <v>0</v>
      </c>
      <c r="H20" s="4324">
        <f t="shared" si="42"/>
        <v>9.5414379999999994</v>
      </c>
      <c r="I20" s="3584">
        <v>9.5414379999999994</v>
      </c>
      <c r="J20" s="3584">
        <v>0</v>
      </c>
      <c r="K20" s="4324">
        <f t="shared" si="43"/>
        <v>8.1983549999999994</v>
      </c>
      <c r="L20" s="3584">
        <v>8.1983549999999994</v>
      </c>
      <c r="M20" s="3584">
        <v>0</v>
      </c>
      <c r="N20" s="4325">
        <f t="shared" si="44"/>
        <v>25.583012</v>
      </c>
      <c r="O20" s="4325">
        <f t="shared" si="45"/>
        <v>25.583012</v>
      </c>
      <c r="P20" s="4325">
        <f t="shared" si="45"/>
        <v>0</v>
      </c>
      <c r="Q20" s="4324">
        <f t="shared" si="46"/>
        <v>22.953009048775115</v>
      </c>
      <c r="R20" s="4324">
        <f t="shared" si="47"/>
        <v>22.953009048775115</v>
      </c>
      <c r="S20" s="4324">
        <f t="shared" si="84"/>
        <v>0</v>
      </c>
      <c r="T20" s="4324">
        <f t="shared" si="48"/>
        <v>9.3781669999999995</v>
      </c>
      <c r="U20" s="3584">
        <v>9.3781669999999995</v>
      </c>
      <c r="V20" s="3584">
        <v>0</v>
      </c>
      <c r="W20" s="4324">
        <f t="shared" si="49"/>
        <v>7.6428960000000004</v>
      </c>
      <c r="X20" s="3584">
        <v>7.6428960000000004</v>
      </c>
      <c r="Y20" s="3584"/>
      <c r="Z20" s="4324">
        <f t="shared" si="50"/>
        <v>6.4551670000000003</v>
      </c>
      <c r="AA20" s="3584">
        <v>6.4551670000000003</v>
      </c>
      <c r="AB20" s="3584"/>
      <c r="AC20" s="4325">
        <f t="shared" si="51"/>
        <v>23.476229999999997</v>
      </c>
      <c r="AD20" s="4325">
        <f t="shared" si="52"/>
        <v>23.476229999999997</v>
      </c>
      <c r="AE20" s="4325">
        <f t="shared" si="52"/>
        <v>0</v>
      </c>
      <c r="AF20" s="4326">
        <f t="shared" si="53"/>
        <v>45.906018097550231</v>
      </c>
      <c r="AG20" s="4326">
        <f t="shared" si="54"/>
        <v>45.906018097550231</v>
      </c>
      <c r="AH20" s="4326">
        <f t="shared" si="54"/>
        <v>0</v>
      </c>
      <c r="AI20" s="4326">
        <f t="shared" si="55"/>
        <v>49.059241999999998</v>
      </c>
      <c r="AJ20" s="4326">
        <f t="shared" si="56"/>
        <v>49.059241999999998</v>
      </c>
      <c r="AK20" s="4326">
        <f t="shared" si="56"/>
        <v>0</v>
      </c>
      <c r="AL20" s="4323">
        <f t="shared" si="57"/>
        <v>3.153223902449767</v>
      </c>
      <c r="AM20" s="4323">
        <f t="shared" si="58"/>
        <v>3.153223902449767</v>
      </c>
      <c r="AN20" s="4323">
        <f t="shared" si="58"/>
        <v>0</v>
      </c>
      <c r="AO20" s="4324">
        <f t="shared" si="59"/>
        <v>22.953009048775115</v>
      </c>
      <c r="AP20" s="4324">
        <f t="shared" si="85"/>
        <v>22.953009048775115</v>
      </c>
      <c r="AQ20" s="4324">
        <f t="shared" si="86"/>
        <v>0</v>
      </c>
      <c r="AR20" s="4324">
        <f t="shared" si="61"/>
        <v>3.562265</v>
      </c>
      <c r="AS20" s="4901">
        <v>3.562265</v>
      </c>
      <c r="AT20" s="4901"/>
      <c r="AU20" s="4324">
        <f t="shared" si="62"/>
        <v>0</v>
      </c>
      <c r="AV20" s="3584"/>
      <c r="AW20" s="3584"/>
      <c r="AX20" s="4324">
        <f t="shared" si="63"/>
        <v>0</v>
      </c>
      <c r="AY20" s="3584"/>
      <c r="AZ20" s="3584"/>
      <c r="BA20" s="4325">
        <f t="shared" si="64"/>
        <v>3.562265</v>
      </c>
      <c r="BB20" s="4325">
        <f t="shared" si="65"/>
        <v>3.562265</v>
      </c>
      <c r="BC20" s="4325">
        <f t="shared" si="65"/>
        <v>0</v>
      </c>
      <c r="BD20" s="4326">
        <f t="shared" si="66"/>
        <v>68.859027146325346</v>
      </c>
      <c r="BE20" s="4326">
        <f t="shared" si="67"/>
        <v>68.859027146325346</v>
      </c>
      <c r="BF20" s="4326">
        <f t="shared" si="67"/>
        <v>0</v>
      </c>
      <c r="BG20" s="4323">
        <f t="shared" si="68"/>
        <v>52.621506999999994</v>
      </c>
      <c r="BH20" s="4326">
        <f t="shared" si="69"/>
        <v>52.621506999999994</v>
      </c>
      <c r="BI20" s="4323">
        <f t="shared" si="69"/>
        <v>0</v>
      </c>
      <c r="BJ20" s="4323">
        <f t="shared" si="70"/>
        <v>-16.237520146325352</v>
      </c>
      <c r="BK20" s="4323">
        <f t="shared" si="71"/>
        <v>-16.237520146325352</v>
      </c>
      <c r="BL20" s="4323">
        <f t="shared" si="71"/>
        <v>0</v>
      </c>
      <c r="BM20" s="4324">
        <f t="shared" si="72"/>
        <v>22.953009048775115</v>
      </c>
      <c r="BN20" s="4324">
        <f t="shared" si="87"/>
        <v>22.953009048775115</v>
      </c>
      <c r="BO20" s="4324">
        <f t="shared" si="88"/>
        <v>0</v>
      </c>
      <c r="BP20" s="4324">
        <f t="shared" si="74"/>
        <v>0</v>
      </c>
      <c r="BQ20" s="3584"/>
      <c r="BR20" s="3584"/>
      <c r="BS20" s="4324">
        <f t="shared" si="75"/>
        <v>0</v>
      </c>
      <c r="BT20" s="3584"/>
      <c r="BU20" s="3584"/>
      <c r="BV20" s="4324">
        <f t="shared" si="76"/>
        <v>0</v>
      </c>
      <c r="BW20" s="3584"/>
      <c r="BX20" s="3584"/>
      <c r="BY20" s="4325">
        <f t="shared" si="77"/>
        <v>0</v>
      </c>
      <c r="BZ20" s="4325">
        <f t="shared" si="78"/>
        <v>0</v>
      </c>
      <c r="CA20" s="4325">
        <f t="shared" si="78"/>
        <v>0</v>
      </c>
      <c r="CB20" s="4326">
        <f t="shared" si="79"/>
        <v>91.812036195100461</v>
      </c>
      <c r="CC20" s="4326">
        <f>SUM(CC17*32.2%)</f>
        <v>91.812036195100461</v>
      </c>
      <c r="CD20" s="4326">
        <v>0</v>
      </c>
      <c r="CE20" s="4326">
        <f t="shared" si="80"/>
        <v>52.621506999999994</v>
      </c>
      <c r="CF20" s="4326">
        <f t="shared" si="81"/>
        <v>52.621506999999994</v>
      </c>
      <c r="CG20" s="4326">
        <f t="shared" si="81"/>
        <v>0</v>
      </c>
      <c r="CH20" s="4323">
        <f t="shared" si="82"/>
        <v>-39.190529195100467</v>
      </c>
      <c r="CI20" s="4323">
        <f t="shared" si="83"/>
        <v>-39.190529195100467</v>
      </c>
      <c r="CJ20" s="4323">
        <f t="shared" si="83"/>
        <v>0</v>
      </c>
      <c r="CK20" s="2759"/>
      <c r="CL20" s="3575">
        <f t="shared" si="3"/>
        <v>91.812036195100461</v>
      </c>
      <c r="CM20" s="2752"/>
      <c r="CN20" s="2752"/>
    </row>
    <row r="21" spans="1:92" ht="18.75" customHeight="1" x14ac:dyDescent="0.2">
      <c r="A21" s="4315" t="s">
        <v>3690</v>
      </c>
      <c r="B21" s="4317">
        <f>SUM(C21:D21)</f>
        <v>77.5</v>
      </c>
      <c r="C21" s="4317">
        <f>SUM(C22:C23)</f>
        <v>77.5</v>
      </c>
      <c r="D21" s="4317">
        <f>SUM(D22:D23)</f>
        <v>0</v>
      </c>
      <c r="E21" s="4316">
        <f>SUM(F21:G21)</f>
        <v>30.148</v>
      </c>
      <c r="F21" s="4316">
        <f>SUM(F22:F23)</f>
        <v>30.148</v>
      </c>
      <c r="G21" s="4316">
        <f>SUM(G22:G23)</f>
        <v>0</v>
      </c>
      <c r="H21" s="4316">
        <f>SUM(I21:J21)</f>
        <v>31.448</v>
      </c>
      <c r="I21" s="4317">
        <f>SUM(I22:I23)</f>
        <v>31.448</v>
      </c>
      <c r="J21" s="4316">
        <f>SUM(J22:J23)</f>
        <v>0</v>
      </c>
      <c r="K21" s="4316">
        <f>SUM(L21:M21)</f>
        <v>24.189</v>
      </c>
      <c r="L21" s="4316">
        <f>SUM(L22:L23)</f>
        <v>24.189</v>
      </c>
      <c r="M21" s="4316">
        <f>SUM(M22:M23)</f>
        <v>0</v>
      </c>
      <c r="N21" s="4316">
        <f>SUM(O21:P21)</f>
        <v>85.784999999999997</v>
      </c>
      <c r="O21" s="4316">
        <f>SUM(O22:O23)</f>
        <v>85.784999999999997</v>
      </c>
      <c r="P21" s="4316">
        <f>SUM(P22:P23)</f>
        <v>0</v>
      </c>
      <c r="Q21" s="4317">
        <f>SUM(R21:S21)</f>
        <v>77.5</v>
      </c>
      <c r="R21" s="4317">
        <f>SUM(R22:R23)</f>
        <v>77.5</v>
      </c>
      <c r="S21" s="4317">
        <f>SUM(S22:S23)</f>
        <v>0</v>
      </c>
      <c r="T21" s="4316">
        <f>SUM(U21:V21)</f>
        <v>22.238</v>
      </c>
      <c r="U21" s="4316">
        <f>SUM(U22:U23)</f>
        <v>22.238</v>
      </c>
      <c r="V21" s="4316">
        <f>SUM(V22:V23)</f>
        <v>0</v>
      </c>
      <c r="W21" s="4316">
        <f>SUM(X21:Y21)</f>
        <v>22.254999999999999</v>
      </c>
      <c r="X21" s="4316">
        <f>SUM(X22:X23)</f>
        <v>22.254999999999999</v>
      </c>
      <c r="Y21" s="4316">
        <f>SUM(Y22:Y23)</f>
        <v>0</v>
      </c>
      <c r="Z21" s="4316">
        <f>SUM(AA21:AB21)</f>
        <v>19.434000000000001</v>
      </c>
      <c r="AA21" s="4316">
        <f>SUM(AA22:AA23)</f>
        <v>19.434000000000001</v>
      </c>
      <c r="AB21" s="4316">
        <f>SUM(AB22:AB23)</f>
        <v>0</v>
      </c>
      <c r="AC21" s="4316">
        <f>SUM(AD21:AE21)</f>
        <v>63.926999999999992</v>
      </c>
      <c r="AD21" s="4316">
        <f>SUM(AD22:AD23)</f>
        <v>63.926999999999992</v>
      </c>
      <c r="AE21" s="4316">
        <f>SUM(AE22:AE23)</f>
        <v>0</v>
      </c>
      <c r="AF21" s="4318">
        <f>SUM(AG21:AH21)</f>
        <v>155</v>
      </c>
      <c r="AG21" s="4318">
        <f>SUM(AG22:AG23)</f>
        <v>155</v>
      </c>
      <c r="AH21" s="4318">
        <f>SUM(AH22:AH23)</f>
        <v>0</v>
      </c>
      <c r="AI21" s="4318">
        <f>SUM(AJ21:AK21)</f>
        <v>149.71199999999999</v>
      </c>
      <c r="AJ21" s="4318">
        <f>SUM(AJ22:AJ23)</f>
        <v>149.71199999999999</v>
      </c>
      <c r="AK21" s="4318">
        <f>SUM(AK22:AK23)</f>
        <v>0</v>
      </c>
      <c r="AL21" s="4319">
        <f>SUM(AM21:AN21)</f>
        <v>-5.2880000000000109</v>
      </c>
      <c r="AM21" s="4319">
        <f>SUM(AM22:AM23)</f>
        <v>-5.2880000000000109</v>
      </c>
      <c r="AN21" s="4319">
        <f>SUM(AN22:AN23)</f>
        <v>0</v>
      </c>
      <c r="AO21" s="4317">
        <f>SUM(AP21:AQ21)</f>
        <v>77.5</v>
      </c>
      <c r="AP21" s="4317">
        <f>SUM(AP22:AP23)</f>
        <v>77.5</v>
      </c>
      <c r="AQ21" s="4317">
        <f>SUM(AQ22:AQ23)</f>
        <v>0</v>
      </c>
      <c r="AR21" s="4316">
        <f>SUM(AS21:AT21)</f>
        <v>12.215</v>
      </c>
      <c r="AS21" s="4902">
        <f>SUM(AS22:AS23)</f>
        <v>12.215</v>
      </c>
      <c r="AT21" s="4902">
        <f>SUM(AT22:AT23)</f>
        <v>0</v>
      </c>
      <c r="AU21" s="4316">
        <f>SUM(AV21:AW21)</f>
        <v>0</v>
      </c>
      <c r="AV21" s="4316">
        <f>SUM(AV22:AV23)</f>
        <v>0</v>
      </c>
      <c r="AW21" s="4316">
        <f>SUM(AW22:AW23)</f>
        <v>0</v>
      </c>
      <c r="AX21" s="4316">
        <f>SUM(AY21:AZ21)</f>
        <v>0</v>
      </c>
      <c r="AY21" s="4316">
        <f>SUM(AY22:AY23)</f>
        <v>0</v>
      </c>
      <c r="AZ21" s="4316">
        <f>SUM(AZ22:AZ23)</f>
        <v>0</v>
      </c>
      <c r="BA21" s="4316">
        <f>SUM(BB21:BC21)</f>
        <v>12.215</v>
      </c>
      <c r="BB21" s="4316">
        <f>SUM(BB22:BB23)</f>
        <v>12.215</v>
      </c>
      <c r="BC21" s="4316">
        <f>SUM(BC22:BC23)</f>
        <v>0</v>
      </c>
      <c r="BD21" s="4318">
        <f>SUM(BE21:BF21)</f>
        <v>232.5</v>
      </c>
      <c r="BE21" s="4318">
        <f>SUM(BE22:BE23)</f>
        <v>232.5</v>
      </c>
      <c r="BF21" s="4318">
        <f>SUM(BF22:BF23)</f>
        <v>0</v>
      </c>
      <c r="BG21" s="4319">
        <f>SUM(BH21:BI21)</f>
        <v>161.92699999999999</v>
      </c>
      <c r="BH21" s="4319">
        <f>SUM(BH22:BH23)</f>
        <v>161.92699999999999</v>
      </c>
      <c r="BI21" s="4319">
        <f>SUM(BI22:BI23)</f>
        <v>0</v>
      </c>
      <c r="BJ21" s="4319">
        <f>SUM(BK21:BL21)</f>
        <v>-70.573000000000008</v>
      </c>
      <c r="BK21" s="4319">
        <f>SUM(BK22:BK23)</f>
        <v>-70.573000000000008</v>
      </c>
      <c r="BL21" s="4319">
        <f>SUM(BL22:BL23)</f>
        <v>0</v>
      </c>
      <c r="BM21" s="4317">
        <f>SUM(BN21:BO21)</f>
        <v>77.5</v>
      </c>
      <c r="BN21" s="4317">
        <f>SUM(BN22:BN23)</f>
        <v>77.5</v>
      </c>
      <c r="BO21" s="4317">
        <f>SUM(BO22:BO23)</f>
        <v>0</v>
      </c>
      <c r="BP21" s="4316">
        <f>SUM(BQ21:BR21)</f>
        <v>0</v>
      </c>
      <c r="BQ21" s="4316">
        <f>SUM(BQ22:BQ23)</f>
        <v>0</v>
      </c>
      <c r="BR21" s="4316">
        <f>SUM(BR22:BR23)</f>
        <v>0</v>
      </c>
      <c r="BS21" s="4316">
        <f>SUM(BT21:BU21)</f>
        <v>0</v>
      </c>
      <c r="BT21" s="4316">
        <f>SUM(BT22:BT23)</f>
        <v>0</v>
      </c>
      <c r="BU21" s="4316">
        <f>SUM(BU22:BU23)</f>
        <v>0</v>
      </c>
      <c r="BV21" s="4316">
        <f>SUM(BW21:BX21)</f>
        <v>0</v>
      </c>
      <c r="BW21" s="4316">
        <f>SUM(BW22:BW23)</f>
        <v>0</v>
      </c>
      <c r="BX21" s="4316">
        <f>SUM(BX22:BX23)</f>
        <v>0</v>
      </c>
      <c r="BY21" s="4316">
        <f>SUM(BZ21:CA21)</f>
        <v>0</v>
      </c>
      <c r="BZ21" s="4316">
        <f>SUM(BZ22:BZ23)</f>
        <v>0</v>
      </c>
      <c r="CA21" s="4316">
        <f>SUM(CA22:CA23)</f>
        <v>0</v>
      </c>
      <c r="CB21" s="4318">
        <f>SUM(CC21:CD21)</f>
        <v>310</v>
      </c>
      <c r="CC21" s="4318">
        <f>SUM(CC22:CC23)</f>
        <v>310</v>
      </c>
      <c r="CD21" s="4318">
        <f>SUM(CD22:CD23)</f>
        <v>0</v>
      </c>
      <c r="CE21" s="4319">
        <f>SUM(CF21:CG21)</f>
        <v>161.92699999999999</v>
      </c>
      <c r="CF21" s="4318">
        <f>SUM(CF22:CF23)</f>
        <v>161.92699999999999</v>
      </c>
      <c r="CG21" s="4319">
        <f>SUM(CG22:CG23)</f>
        <v>0</v>
      </c>
      <c r="CH21" s="4319">
        <f>SUM(CI21:CJ21)</f>
        <v>-148.07300000000001</v>
      </c>
      <c r="CI21" s="4319">
        <f>SUM(CI22:CI23)</f>
        <v>-148.07300000000001</v>
      </c>
      <c r="CJ21" s="4319">
        <f>SUM(CJ22:CJ23)</f>
        <v>0</v>
      </c>
      <c r="CK21" s="2759"/>
      <c r="CL21" s="3575">
        <f t="shared" si="3"/>
        <v>310</v>
      </c>
      <c r="CM21" s="2752"/>
      <c r="CN21" s="2752"/>
    </row>
    <row r="22" spans="1:92" ht="18.75" customHeight="1" x14ac:dyDescent="0.2">
      <c r="A22" s="4320" t="s">
        <v>637</v>
      </c>
      <c r="B22" s="4324">
        <f>SUM(C22:D22)</f>
        <v>77.5</v>
      </c>
      <c r="C22" s="4324">
        <f t="shared" ref="C22:C23" si="89">SUM(CC22/4)</f>
        <v>77.5</v>
      </c>
      <c r="D22" s="4324">
        <f t="shared" ref="D22:D23" si="90">SUM(CD22/4)</f>
        <v>0</v>
      </c>
      <c r="E22" s="4325">
        <f>SUM(F22:G22)</f>
        <v>30.148</v>
      </c>
      <c r="F22" s="4328">
        <v>30.148</v>
      </c>
      <c r="G22" s="4328">
        <v>0</v>
      </c>
      <c r="H22" s="4325">
        <f>SUM(I22:J22)</f>
        <v>31.448</v>
      </c>
      <c r="I22" s="3584">
        <v>31.448</v>
      </c>
      <c r="J22" s="4328">
        <v>0</v>
      </c>
      <c r="K22" s="4325">
        <f>SUM(L22:M22)</f>
        <v>24.189</v>
      </c>
      <c r="L22" s="4328">
        <v>24.189</v>
      </c>
      <c r="M22" s="4328">
        <v>0</v>
      </c>
      <c r="N22" s="4325">
        <f>SUM(O22:P22)</f>
        <v>85.784999999999997</v>
      </c>
      <c r="O22" s="4325">
        <f t="shared" ref="O22:P23" si="91">SUM(F22+I22+L22)</f>
        <v>85.784999999999997</v>
      </c>
      <c r="P22" s="4325">
        <f t="shared" si="91"/>
        <v>0</v>
      </c>
      <c r="Q22" s="4324">
        <f>SUM(R22:S22)</f>
        <v>77.5</v>
      </c>
      <c r="R22" s="4324">
        <f>SUM(CC22/4)</f>
        <v>77.5</v>
      </c>
      <c r="S22" s="4324">
        <f>SUM(CD22/4)</f>
        <v>0</v>
      </c>
      <c r="T22" s="4325">
        <f>SUM(U22:V22)</f>
        <v>22.238</v>
      </c>
      <c r="U22" s="4328">
        <v>22.238</v>
      </c>
      <c r="V22" s="4328">
        <v>0</v>
      </c>
      <c r="W22" s="4325">
        <f>SUM(X22:Y22)</f>
        <v>22.254999999999999</v>
      </c>
      <c r="X22" s="4328">
        <v>22.254999999999999</v>
      </c>
      <c r="Y22" s="4328"/>
      <c r="Z22" s="4325">
        <f>SUM(AA22:AB22)</f>
        <v>19.434000000000001</v>
      </c>
      <c r="AA22" s="4328">
        <v>19.434000000000001</v>
      </c>
      <c r="AB22" s="4328"/>
      <c r="AC22" s="4325">
        <f>SUM(AD22:AE22)</f>
        <v>63.926999999999992</v>
      </c>
      <c r="AD22" s="4325">
        <f t="shared" ref="AD22:AE23" si="92">SUM(U22+X22+AA22)</f>
        <v>63.926999999999992</v>
      </c>
      <c r="AE22" s="4325">
        <f t="shared" si="92"/>
        <v>0</v>
      </c>
      <c r="AF22" s="4326">
        <f>SUM(AG22:AH22)</f>
        <v>155</v>
      </c>
      <c r="AG22" s="4326">
        <f t="shared" ref="AG22:AH23" si="93">SUM(C22+R22)</f>
        <v>155</v>
      </c>
      <c r="AH22" s="4326">
        <f t="shared" si="93"/>
        <v>0</v>
      </c>
      <c r="AI22" s="4326">
        <f>SUM(AJ22:AK22)</f>
        <v>149.71199999999999</v>
      </c>
      <c r="AJ22" s="4326">
        <f t="shared" ref="AJ22:AK23" si="94">SUM(O22+AD22)</f>
        <v>149.71199999999999</v>
      </c>
      <c r="AK22" s="4326">
        <f t="shared" si="94"/>
        <v>0</v>
      </c>
      <c r="AL22" s="4323">
        <f>SUM(AM22:AN22)</f>
        <v>-5.2880000000000109</v>
      </c>
      <c r="AM22" s="4323">
        <f t="shared" ref="AM22:AN23" si="95">SUM(AJ22-AG22)</f>
        <v>-5.2880000000000109</v>
      </c>
      <c r="AN22" s="4323">
        <f t="shared" si="95"/>
        <v>0</v>
      </c>
      <c r="AO22" s="4324">
        <f>SUM(AP22:AQ22)</f>
        <v>77.5</v>
      </c>
      <c r="AP22" s="4324">
        <f>SUM(CC22/4)</f>
        <v>77.5</v>
      </c>
      <c r="AQ22" s="4324">
        <f>SUM(CD22/4)</f>
        <v>0</v>
      </c>
      <c r="AR22" s="4325">
        <f>SUM(AS22:AT22)</f>
        <v>12.215</v>
      </c>
      <c r="AS22" s="4901">
        <v>12.215</v>
      </c>
      <c r="AT22" s="4901"/>
      <c r="AU22" s="4325">
        <f>SUM(AV22:AW22)</f>
        <v>0</v>
      </c>
      <c r="AV22" s="4328"/>
      <c r="AW22" s="4328"/>
      <c r="AX22" s="4325">
        <f>SUM(AY22:AZ22)</f>
        <v>0</v>
      </c>
      <c r="AY22" s="4328"/>
      <c r="AZ22" s="4328"/>
      <c r="BA22" s="4325">
        <f>SUM(BB22:BC22)</f>
        <v>12.215</v>
      </c>
      <c r="BB22" s="4325">
        <f t="shared" ref="BB22:BC23" si="96">SUM(AS22+AV22+AY22)</f>
        <v>12.215</v>
      </c>
      <c r="BC22" s="4325">
        <f t="shared" si="96"/>
        <v>0</v>
      </c>
      <c r="BD22" s="4326">
        <f>SUM(BE22:BF22)</f>
        <v>232.5</v>
      </c>
      <c r="BE22" s="4326">
        <f t="shared" ref="BE22:BF23" si="97">SUM(AG22+AP22)</f>
        <v>232.5</v>
      </c>
      <c r="BF22" s="4326">
        <f t="shared" si="97"/>
        <v>0</v>
      </c>
      <c r="BG22" s="4323">
        <f>SUM(BH22:BI22)</f>
        <v>161.92699999999999</v>
      </c>
      <c r="BH22" s="4323">
        <f t="shared" ref="BH22:BI23" si="98">SUM(AJ22+BB22)</f>
        <v>161.92699999999999</v>
      </c>
      <c r="BI22" s="4323">
        <f t="shared" si="98"/>
        <v>0</v>
      </c>
      <c r="BJ22" s="4323">
        <f>SUM(BK22:BL22)</f>
        <v>-70.573000000000008</v>
      </c>
      <c r="BK22" s="4323">
        <f t="shared" ref="BK22:BL23" si="99">SUM(BH22-BE22)</f>
        <v>-70.573000000000008</v>
      </c>
      <c r="BL22" s="4323">
        <f t="shared" si="99"/>
        <v>0</v>
      </c>
      <c r="BM22" s="4324">
        <f>SUM(BN22:BO22)</f>
        <v>77.5</v>
      </c>
      <c r="BN22" s="4324">
        <f>SUM(CC22/4)</f>
        <v>77.5</v>
      </c>
      <c r="BO22" s="4324">
        <f>SUM(CD22/4)</f>
        <v>0</v>
      </c>
      <c r="BP22" s="4325">
        <f>SUM(BQ22:BR22)</f>
        <v>0</v>
      </c>
      <c r="BQ22" s="4328"/>
      <c r="BR22" s="4328"/>
      <c r="BS22" s="4325">
        <f>SUM(BT22:BU22)</f>
        <v>0</v>
      </c>
      <c r="BT22" s="4328"/>
      <c r="BU22" s="4328"/>
      <c r="BV22" s="4325">
        <f>SUM(BW22:BX22)</f>
        <v>0</v>
      </c>
      <c r="BW22" s="4328"/>
      <c r="BX22" s="4328"/>
      <c r="BY22" s="4325">
        <f>SUM(BZ22:CA22)</f>
        <v>0</v>
      </c>
      <c r="BZ22" s="4325">
        <f t="shared" ref="BZ22:CA23" si="100">SUM(BQ22+BT22+BW22)</f>
        <v>0</v>
      </c>
      <c r="CA22" s="4325">
        <f t="shared" si="100"/>
        <v>0</v>
      </c>
      <c r="CB22" s="4326">
        <f>SUM(CC22:CD22)</f>
        <v>310</v>
      </c>
      <c r="CC22" s="4326">
        <f>SUM('объемы ВС и ВО 2023'!CI58)</f>
        <v>310</v>
      </c>
      <c r="CD22" s="4326">
        <f>SUM('объемы ВС и ВО 2023'!CJ58)</f>
        <v>0</v>
      </c>
      <c r="CE22" s="4323">
        <f>SUM(CF22:CG22)</f>
        <v>161.92699999999999</v>
      </c>
      <c r="CF22" s="4326">
        <f t="shared" ref="CF22:CG23" si="101">SUM(BH22+BZ22)</f>
        <v>161.92699999999999</v>
      </c>
      <c r="CG22" s="4323">
        <f t="shared" si="101"/>
        <v>0</v>
      </c>
      <c r="CH22" s="4323">
        <f>SUM(CI22:CJ22)</f>
        <v>-148.07300000000001</v>
      </c>
      <c r="CI22" s="4323">
        <f t="shared" ref="CI22:CJ23" si="102">SUM(CF22-CC22)</f>
        <v>-148.07300000000001</v>
      </c>
      <c r="CJ22" s="4323">
        <f t="shared" si="102"/>
        <v>0</v>
      </c>
      <c r="CK22" s="2759"/>
      <c r="CL22" s="3575">
        <f t="shared" si="3"/>
        <v>310</v>
      </c>
      <c r="CM22" s="2752"/>
      <c r="CN22" s="2752"/>
    </row>
    <row r="23" spans="1:92" ht="18.75" customHeight="1" x14ac:dyDescent="0.2">
      <c r="A23" s="4320" t="s">
        <v>638</v>
      </c>
      <c r="B23" s="4324">
        <f>SUM(C23:D23)</f>
        <v>0</v>
      </c>
      <c r="C23" s="4324">
        <f t="shared" si="89"/>
        <v>0</v>
      </c>
      <c r="D23" s="4324">
        <f t="shared" si="90"/>
        <v>0</v>
      </c>
      <c r="E23" s="4325">
        <f>SUM(F23:G23)</f>
        <v>0</v>
      </c>
      <c r="F23" s="4328">
        <v>0</v>
      </c>
      <c r="G23" s="4328">
        <v>0</v>
      </c>
      <c r="H23" s="4325">
        <f>SUM(I23:J23)</f>
        <v>0</v>
      </c>
      <c r="I23" s="4328">
        <v>0</v>
      </c>
      <c r="J23" s="4328">
        <v>0</v>
      </c>
      <c r="K23" s="4325">
        <f>SUM(L23:M23)</f>
        <v>0</v>
      </c>
      <c r="L23" s="4328">
        <v>0</v>
      </c>
      <c r="M23" s="4328">
        <v>0</v>
      </c>
      <c r="N23" s="4325">
        <f>SUM(O23:P23)</f>
        <v>0</v>
      </c>
      <c r="O23" s="4325">
        <f t="shared" si="91"/>
        <v>0</v>
      </c>
      <c r="P23" s="4325">
        <f t="shared" si="91"/>
        <v>0</v>
      </c>
      <c r="Q23" s="4324">
        <f>SUM(R23:S23)</f>
        <v>0</v>
      </c>
      <c r="R23" s="4324">
        <f>SUM(CC23/4)</f>
        <v>0</v>
      </c>
      <c r="S23" s="4324">
        <f>SUM(CD23/4)</f>
        <v>0</v>
      </c>
      <c r="T23" s="4325">
        <f>SUM(U23:V23)</f>
        <v>0</v>
      </c>
      <c r="U23" s="4328">
        <v>0</v>
      </c>
      <c r="V23" s="4328">
        <v>0</v>
      </c>
      <c r="W23" s="4325">
        <f>SUM(X23:Y23)</f>
        <v>0</v>
      </c>
      <c r="X23" s="4328"/>
      <c r="Y23" s="4328"/>
      <c r="Z23" s="4325">
        <f>SUM(AA23:AB23)</f>
        <v>0</v>
      </c>
      <c r="AA23" s="4328"/>
      <c r="AB23" s="4328"/>
      <c r="AC23" s="4325">
        <f>SUM(AD23:AE23)</f>
        <v>0</v>
      </c>
      <c r="AD23" s="4325">
        <f t="shared" si="92"/>
        <v>0</v>
      </c>
      <c r="AE23" s="4325">
        <f t="shared" si="92"/>
        <v>0</v>
      </c>
      <c r="AF23" s="4326">
        <f>SUM(AG23:AH23)</f>
        <v>0</v>
      </c>
      <c r="AG23" s="4326">
        <f t="shared" si="93"/>
        <v>0</v>
      </c>
      <c r="AH23" s="4326">
        <f t="shared" si="93"/>
        <v>0</v>
      </c>
      <c r="AI23" s="4326">
        <f>SUM(AJ23:AK23)</f>
        <v>0</v>
      </c>
      <c r="AJ23" s="4326">
        <f t="shared" si="94"/>
        <v>0</v>
      </c>
      <c r="AK23" s="4326">
        <f t="shared" si="94"/>
        <v>0</v>
      </c>
      <c r="AL23" s="4323">
        <f>SUM(AM23:AN23)</f>
        <v>0</v>
      </c>
      <c r="AM23" s="4323">
        <f t="shared" si="95"/>
        <v>0</v>
      </c>
      <c r="AN23" s="4323">
        <f t="shared" si="95"/>
        <v>0</v>
      </c>
      <c r="AO23" s="4324">
        <f>SUM(AP23:AQ23)</f>
        <v>0</v>
      </c>
      <c r="AP23" s="4324">
        <f>SUM(CC23/4)</f>
        <v>0</v>
      </c>
      <c r="AQ23" s="4324">
        <f>SUM(CD23/4)</f>
        <v>0</v>
      </c>
      <c r="AR23" s="4325">
        <f>SUM(AS23:AT23)</f>
        <v>0</v>
      </c>
      <c r="AS23" s="4901"/>
      <c r="AT23" s="4901"/>
      <c r="AU23" s="4325">
        <f>SUM(AV23:AW23)</f>
        <v>0</v>
      </c>
      <c r="AV23" s="4328"/>
      <c r="AW23" s="4328"/>
      <c r="AX23" s="4325">
        <f>SUM(AY23:AZ23)</f>
        <v>0</v>
      </c>
      <c r="AY23" s="4328"/>
      <c r="AZ23" s="4328"/>
      <c r="BA23" s="4325">
        <f>SUM(BB23:BC23)</f>
        <v>0</v>
      </c>
      <c r="BB23" s="4325">
        <f t="shared" si="96"/>
        <v>0</v>
      </c>
      <c r="BC23" s="4325">
        <f t="shared" si="96"/>
        <v>0</v>
      </c>
      <c r="BD23" s="4326">
        <f>SUM(BE23:BF23)</f>
        <v>0</v>
      </c>
      <c r="BE23" s="4326">
        <f t="shared" si="97"/>
        <v>0</v>
      </c>
      <c r="BF23" s="4326">
        <f t="shared" si="97"/>
        <v>0</v>
      </c>
      <c r="BG23" s="4323">
        <f>SUM(BH23:BI23)</f>
        <v>0</v>
      </c>
      <c r="BH23" s="4323">
        <f t="shared" si="98"/>
        <v>0</v>
      </c>
      <c r="BI23" s="4323">
        <f t="shared" si="98"/>
        <v>0</v>
      </c>
      <c r="BJ23" s="4323">
        <f>SUM(BK23:BL23)</f>
        <v>0</v>
      </c>
      <c r="BK23" s="4323">
        <f t="shared" si="99"/>
        <v>0</v>
      </c>
      <c r="BL23" s="4323">
        <f t="shared" si="99"/>
        <v>0</v>
      </c>
      <c r="BM23" s="4324">
        <f>SUM(BN23:BO23)</f>
        <v>0</v>
      </c>
      <c r="BN23" s="4324">
        <f>SUM(CC23/4)</f>
        <v>0</v>
      </c>
      <c r="BO23" s="4324">
        <f>SUM(CD23/4)</f>
        <v>0</v>
      </c>
      <c r="BP23" s="4325">
        <f>SUM(BQ23:BR23)</f>
        <v>0</v>
      </c>
      <c r="BQ23" s="4328"/>
      <c r="BR23" s="4328"/>
      <c r="BS23" s="4325">
        <f>SUM(BT23:BU23)</f>
        <v>0</v>
      </c>
      <c r="BT23" s="4328"/>
      <c r="BU23" s="4328"/>
      <c r="BV23" s="4325">
        <f>SUM(BW23:BX23)</f>
        <v>0</v>
      </c>
      <c r="BW23" s="4328"/>
      <c r="BX23" s="4328"/>
      <c r="BY23" s="4325">
        <f>SUM(BZ23:CA23)</f>
        <v>0</v>
      </c>
      <c r="BZ23" s="4325">
        <f t="shared" si="100"/>
        <v>0</v>
      </c>
      <c r="CA23" s="4325">
        <f t="shared" si="100"/>
        <v>0</v>
      </c>
      <c r="CB23" s="4326">
        <f>SUM(CC23:CD23)</f>
        <v>0</v>
      </c>
      <c r="CC23" s="4326">
        <f>SUM('[42]Объемы ВС и ВО'!CF57)</f>
        <v>0</v>
      </c>
      <c r="CD23" s="4326">
        <f>SUM('[42]Объемы ВС и ВО'!CG57)</f>
        <v>0</v>
      </c>
      <c r="CE23" s="4323">
        <f>SUM(CF23:CG23)</f>
        <v>0</v>
      </c>
      <c r="CF23" s="4323">
        <f t="shared" si="101"/>
        <v>0</v>
      </c>
      <c r="CG23" s="4323">
        <f t="shared" si="101"/>
        <v>0</v>
      </c>
      <c r="CH23" s="4323">
        <f>SUM(CI23:CJ23)</f>
        <v>0</v>
      </c>
      <c r="CI23" s="4323">
        <f t="shared" si="102"/>
        <v>0</v>
      </c>
      <c r="CJ23" s="4323">
        <f t="shared" si="102"/>
        <v>0</v>
      </c>
      <c r="CK23" s="2759"/>
      <c r="CL23" s="3575">
        <f t="shared" si="3"/>
        <v>0</v>
      </c>
      <c r="CM23" s="2752"/>
      <c r="CN23" s="2752"/>
    </row>
    <row r="24" spans="1:92" ht="18.75" customHeight="1" x14ac:dyDescent="0.3">
      <c r="A24" s="4329" t="s">
        <v>3691</v>
      </c>
      <c r="B24" s="4330"/>
      <c r="C24" s="4330"/>
      <c r="D24" s="4330"/>
      <c r="E24" s="4330"/>
      <c r="F24" s="4330"/>
      <c r="G24" s="4330"/>
      <c r="H24" s="4330"/>
      <c r="I24" s="4330"/>
      <c r="J24" s="4330"/>
      <c r="K24" s="4330"/>
      <c r="L24" s="4330"/>
      <c r="M24" s="4330"/>
      <c r="N24" s="4330"/>
      <c r="O24" s="4330"/>
      <c r="P24" s="4330"/>
      <c r="Q24" s="4330"/>
      <c r="R24" s="4330"/>
      <c r="S24" s="4330"/>
      <c r="T24" s="4330"/>
      <c r="U24" s="4330"/>
      <c r="V24" s="4330"/>
      <c r="W24" s="4330"/>
      <c r="X24" s="4330"/>
      <c r="Y24" s="4330"/>
      <c r="Z24" s="4330"/>
      <c r="AA24" s="4330"/>
      <c r="AB24" s="4330"/>
      <c r="AC24" s="4330"/>
      <c r="AD24" s="4330"/>
      <c r="AE24" s="4330"/>
      <c r="AF24" s="4330"/>
      <c r="AG24" s="4330"/>
      <c r="AH24" s="4330"/>
      <c r="AI24" s="4330"/>
      <c r="AJ24" s="4330"/>
      <c r="AK24" s="4330"/>
      <c r="AL24" s="4330"/>
      <c r="AM24" s="4330"/>
      <c r="AN24" s="4330"/>
      <c r="AO24" s="4330"/>
      <c r="AP24" s="4330"/>
      <c r="AQ24" s="4330"/>
      <c r="AR24" s="4330"/>
      <c r="AS24" s="4330"/>
      <c r="AT24" s="4330"/>
      <c r="AU24" s="4330"/>
      <c r="AV24" s="4330"/>
      <c r="AW24" s="4330"/>
      <c r="AX24" s="4330"/>
      <c r="AY24" s="4330"/>
      <c r="AZ24" s="4330"/>
      <c r="BA24" s="4330"/>
      <c r="BB24" s="4330"/>
      <c r="BC24" s="4330"/>
      <c r="BD24" s="4330"/>
      <c r="BE24" s="4330"/>
      <c r="BF24" s="4330"/>
      <c r="BG24" s="4330"/>
      <c r="BH24" s="4330"/>
      <c r="BI24" s="4330"/>
      <c r="BJ24" s="4330"/>
      <c r="BK24" s="4330"/>
      <c r="BL24" s="4330"/>
      <c r="BM24" s="4330"/>
      <c r="BN24" s="4330"/>
      <c r="BO24" s="4330"/>
      <c r="BP24" s="4330"/>
      <c r="BQ24" s="4330"/>
      <c r="BR24" s="4330"/>
      <c r="BS24" s="4330"/>
      <c r="BT24" s="4330"/>
      <c r="BU24" s="4330"/>
      <c r="BV24" s="4330"/>
      <c r="BW24" s="4330"/>
      <c r="BX24" s="4330"/>
      <c r="BY24" s="4330"/>
      <c r="BZ24" s="4330"/>
      <c r="CA24" s="4330"/>
      <c r="CB24" s="4330"/>
      <c r="CC24" s="4330"/>
      <c r="CD24" s="4330"/>
      <c r="CE24" s="4330"/>
      <c r="CF24" s="4330"/>
      <c r="CG24" s="4330"/>
      <c r="CH24" s="4330"/>
      <c r="CI24" s="2770"/>
      <c r="CJ24" s="2771"/>
      <c r="CK24" s="2752"/>
      <c r="CL24" s="2752"/>
      <c r="CM24" s="2752"/>
      <c r="CN24" s="2752"/>
    </row>
    <row r="25" spans="1:92" ht="18.75" customHeight="1" x14ac:dyDescent="0.2">
      <c r="A25" s="5401" t="s">
        <v>525</v>
      </c>
      <c r="B25" s="5402" t="s">
        <v>3678</v>
      </c>
      <c r="C25" s="5403"/>
      <c r="D25" s="5403"/>
      <c r="E25" s="5403"/>
      <c r="F25" s="5403"/>
      <c r="G25" s="5403"/>
      <c r="H25" s="5403"/>
      <c r="I25" s="5403"/>
      <c r="J25" s="5403"/>
      <c r="K25" s="5403"/>
      <c r="L25" s="5403"/>
      <c r="M25" s="5403"/>
      <c r="N25" s="5403"/>
      <c r="O25" s="5403"/>
      <c r="P25" s="5404"/>
      <c r="Q25" s="5405" t="s">
        <v>3679</v>
      </c>
      <c r="R25" s="5406"/>
      <c r="S25" s="5406"/>
      <c r="T25" s="5406"/>
      <c r="U25" s="5406"/>
      <c r="V25" s="5406"/>
      <c r="W25" s="5406"/>
      <c r="X25" s="5406"/>
      <c r="Y25" s="5406"/>
      <c r="Z25" s="5406"/>
      <c r="AA25" s="5406"/>
      <c r="AB25" s="5406"/>
      <c r="AC25" s="5406"/>
      <c r="AD25" s="5407"/>
      <c r="AE25" s="5408"/>
      <c r="AF25" s="5409" t="s">
        <v>3680</v>
      </c>
      <c r="AG25" s="5410"/>
      <c r="AH25" s="5410"/>
      <c r="AI25" s="5410"/>
      <c r="AJ25" s="5410"/>
      <c r="AK25" s="5410"/>
      <c r="AL25" s="5410"/>
      <c r="AM25" s="5411"/>
      <c r="AN25" s="5412"/>
      <c r="AO25" s="5402" t="s">
        <v>3681</v>
      </c>
      <c r="AP25" s="5403"/>
      <c r="AQ25" s="5403"/>
      <c r="AR25" s="5403"/>
      <c r="AS25" s="5403"/>
      <c r="AT25" s="5403"/>
      <c r="AU25" s="5403"/>
      <c r="AV25" s="5403"/>
      <c r="AW25" s="5403"/>
      <c r="AX25" s="5403"/>
      <c r="AY25" s="5403"/>
      <c r="AZ25" s="5403"/>
      <c r="BA25" s="5403"/>
      <c r="BB25" s="5411"/>
      <c r="BC25" s="5412"/>
      <c r="BD25" s="5409" t="s">
        <v>3682</v>
      </c>
      <c r="BE25" s="5410"/>
      <c r="BF25" s="5410"/>
      <c r="BG25" s="5410"/>
      <c r="BH25" s="5410"/>
      <c r="BI25" s="5410"/>
      <c r="BJ25" s="5410"/>
      <c r="BK25" s="5411"/>
      <c r="BL25" s="5412"/>
      <c r="BM25" s="5414" t="s">
        <v>3683</v>
      </c>
      <c r="BN25" s="5415"/>
      <c r="BO25" s="5415"/>
      <c r="BP25" s="5415"/>
      <c r="BQ25" s="5415"/>
      <c r="BR25" s="5415"/>
      <c r="BS25" s="5415"/>
      <c r="BT25" s="5415"/>
      <c r="BU25" s="5415"/>
      <c r="BV25" s="5415"/>
      <c r="BW25" s="5415"/>
      <c r="BX25" s="5415"/>
      <c r="BY25" s="5415"/>
      <c r="BZ25" s="5214"/>
      <c r="CA25" s="5214"/>
      <c r="CB25" s="5409" t="s">
        <v>1991</v>
      </c>
      <c r="CC25" s="5410"/>
      <c r="CD25" s="5410"/>
      <c r="CE25" s="5410"/>
      <c r="CF25" s="5410"/>
      <c r="CG25" s="5410"/>
      <c r="CH25" s="5410"/>
      <c r="CI25" s="5416"/>
      <c r="CJ25" s="5417"/>
      <c r="CK25" s="2752"/>
      <c r="CL25" s="2752"/>
      <c r="CM25" s="2752"/>
      <c r="CN25" s="2752"/>
    </row>
    <row r="26" spans="1:92" ht="18.75" customHeight="1" x14ac:dyDescent="0.2">
      <c r="A26" s="5324"/>
      <c r="B26" s="5405" t="s">
        <v>3550</v>
      </c>
      <c r="C26" s="5406"/>
      <c r="D26" s="5418"/>
      <c r="E26" s="5414" t="s">
        <v>569</v>
      </c>
      <c r="F26" s="5415"/>
      <c r="G26" s="5419"/>
      <c r="H26" s="5414" t="s">
        <v>570</v>
      </c>
      <c r="I26" s="5415"/>
      <c r="J26" s="5419"/>
      <c r="K26" s="5414" t="s">
        <v>571</v>
      </c>
      <c r="L26" s="5415"/>
      <c r="M26" s="5419"/>
      <c r="N26" s="5405" t="s">
        <v>1674</v>
      </c>
      <c r="O26" s="5406"/>
      <c r="P26" s="5418"/>
      <c r="Q26" s="5405" t="s">
        <v>3550</v>
      </c>
      <c r="R26" s="5406"/>
      <c r="S26" s="5418"/>
      <c r="T26" s="5420" t="s">
        <v>3684</v>
      </c>
      <c r="U26" s="5421"/>
      <c r="V26" s="5422"/>
      <c r="W26" s="5420" t="s">
        <v>573</v>
      </c>
      <c r="X26" s="5421"/>
      <c r="Y26" s="5422"/>
      <c r="Z26" s="5420" t="s">
        <v>574</v>
      </c>
      <c r="AA26" s="5421"/>
      <c r="AB26" s="5422"/>
      <c r="AC26" s="5405" t="s">
        <v>1674</v>
      </c>
      <c r="AD26" s="5406"/>
      <c r="AE26" s="5418"/>
      <c r="AF26" s="5429" t="s">
        <v>3550</v>
      </c>
      <c r="AG26" s="5430"/>
      <c r="AH26" s="5431"/>
      <c r="AI26" s="5429" t="s">
        <v>1674</v>
      </c>
      <c r="AJ26" s="5430"/>
      <c r="AK26" s="5431"/>
      <c r="AL26" s="5429" t="s">
        <v>3685</v>
      </c>
      <c r="AM26" s="5430"/>
      <c r="AN26" s="5431"/>
      <c r="AO26" s="5423" t="s">
        <v>3550</v>
      </c>
      <c r="AP26" s="5424"/>
      <c r="AQ26" s="5425"/>
      <c r="AR26" s="5450" t="s">
        <v>575</v>
      </c>
      <c r="AS26" s="5451"/>
      <c r="AT26" s="5452"/>
      <c r="AU26" s="5450" t="s">
        <v>576</v>
      </c>
      <c r="AV26" s="5451"/>
      <c r="AW26" s="5452"/>
      <c r="AX26" s="5450" t="s">
        <v>577</v>
      </c>
      <c r="AY26" s="5451"/>
      <c r="AZ26" s="5452"/>
      <c r="BA26" s="5423" t="s">
        <v>1674</v>
      </c>
      <c r="BB26" s="5424"/>
      <c r="BC26" s="5425"/>
      <c r="BD26" s="5426" t="s">
        <v>3550</v>
      </c>
      <c r="BE26" s="5427"/>
      <c r="BF26" s="5428"/>
      <c r="BG26" s="5426" t="s">
        <v>1674</v>
      </c>
      <c r="BH26" s="5427"/>
      <c r="BI26" s="5428"/>
      <c r="BJ26" s="5426" t="s">
        <v>3685</v>
      </c>
      <c r="BK26" s="5427"/>
      <c r="BL26" s="5428"/>
      <c r="BM26" s="5441" t="s">
        <v>3550</v>
      </c>
      <c r="BN26" s="5442"/>
      <c r="BO26" s="5446"/>
      <c r="BP26" s="5447" t="s">
        <v>578</v>
      </c>
      <c r="BQ26" s="5448"/>
      <c r="BR26" s="5449"/>
      <c r="BS26" s="5447" t="s">
        <v>579</v>
      </c>
      <c r="BT26" s="5448"/>
      <c r="BU26" s="5449"/>
      <c r="BV26" s="5447" t="s">
        <v>580</v>
      </c>
      <c r="BW26" s="5448"/>
      <c r="BX26" s="5449"/>
      <c r="BY26" s="5441" t="s">
        <v>1674</v>
      </c>
      <c r="BZ26" s="5442"/>
      <c r="CA26" s="5442"/>
      <c r="CB26" s="5318" t="s">
        <v>3550</v>
      </c>
      <c r="CC26" s="5319"/>
      <c r="CD26" s="5320"/>
      <c r="CE26" s="5318" t="s">
        <v>1674</v>
      </c>
      <c r="CF26" s="5319"/>
      <c r="CG26" s="5320"/>
      <c r="CH26" s="5318" t="s">
        <v>3685</v>
      </c>
      <c r="CI26" s="5321"/>
      <c r="CJ26" s="5322"/>
      <c r="CK26" s="2752"/>
      <c r="CL26" s="2752"/>
      <c r="CM26" s="2752"/>
      <c r="CN26" s="2752"/>
    </row>
    <row r="27" spans="1:92" ht="18.75" customHeight="1" x14ac:dyDescent="0.2">
      <c r="A27" s="5324"/>
      <c r="B27" s="4308" t="s">
        <v>614</v>
      </c>
      <c r="C27" s="4308" t="s">
        <v>3686</v>
      </c>
      <c r="D27" s="4308" t="s">
        <v>3626</v>
      </c>
      <c r="E27" s="4308" t="s">
        <v>614</v>
      </c>
      <c r="F27" s="4308" t="s">
        <v>3686</v>
      </c>
      <c r="G27" s="4308" t="s">
        <v>3626</v>
      </c>
      <c r="H27" s="4308" t="s">
        <v>614</v>
      </c>
      <c r="I27" s="4308" t="s">
        <v>3686</v>
      </c>
      <c r="J27" s="4308" t="s">
        <v>3626</v>
      </c>
      <c r="K27" s="4308" t="s">
        <v>614</v>
      </c>
      <c r="L27" s="4308" t="s">
        <v>3686</v>
      </c>
      <c r="M27" s="4308" t="s">
        <v>3626</v>
      </c>
      <c r="N27" s="4308" t="s">
        <v>614</v>
      </c>
      <c r="O27" s="4308" t="s">
        <v>3686</v>
      </c>
      <c r="P27" s="4308" t="s">
        <v>3626</v>
      </c>
      <c r="Q27" s="4308" t="s">
        <v>614</v>
      </c>
      <c r="R27" s="4308" t="s">
        <v>3686</v>
      </c>
      <c r="S27" s="4308" t="s">
        <v>3626</v>
      </c>
      <c r="T27" s="4308" t="s">
        <v>614</v>
      </c>
      <c r="U27" s="4308" t="s">
        <v>3686</v>
      </c>
      <c r="V27" s="4308" t="s">
        <v>3626</v>
      </c>
      <c r="W27" s="4308" t="s">
        <v>614</v>
      </c>
      <c r="X27" s="4308" t="s">
        <v>3686</v>
      </c>
      <c r="Y27" s="4308" t="s">
        <v>3626</v>
      </c>
      <c r="Z27" s="4308" t="s">
        <v>614</v>
      </c>
      <c r="AA27" s="4308" t="s">
        <v>3686</v>
      </c>
      <c r="AB27" s="4308" t="s">
        <v>3626</v>
      </c>
      <c r="AC27" s="4308" t="s">
        <v>614</v>
      </c>
      <c r="AD27" s="4308" t="s">
        <v>3686</v>
      </c>
      <c r="AE27" s="4308" t="s">
        <v>3626</v>
      </c>
      <c r="AF27" s="4309" t="s">
        <v>614</v>
      </c>
      <c r="AG27" s="4309" t="s">
        <v>3686</v>
      </c>
      <c r="AH27" s="4309" t="s">
        <v>3626</v>
      </c>
      <c r="AI27" s="4309" t="s">
        <v>614</v>
      </c>
      <c r="AJ27" s="4309" t="s">
        <v>3686</v>
      </c>
      <c r="AK27" s="4309" t="s">
        <v>3626</v>
      </c>
      <c r="AL27" s="4309" t="s">
        <v>614</v>
      </c>
      <c r="AM27" s="4309" t="s">
        <v>3686</v>
      </c>
      <c r="AN27" s="4309" t="s">
        <v>3626</v>
      </c>
      <c r="AO27" s="4308" t="s">
        <v>614</v>
      </c>
      <c r="AP27" s="4308" t="s">
        <v>3686</v>
      </c>
      <c r="AQ27" s="4308" t="s">
        <v>3626</v>
      </c>
      <c r="AR27" s="4308" t="s">
        <v>614</v>
      </c>
      <c r="AS27" s="4308" t="s">
        <v>3686</v>
      </c>
      <c r="AT27" s="4308" t="s">
        <v>3626</v>
      </c>
      <c r="AU27" s="4308" t="s">
        <v>614</v>
      </c>
      <c r="AV27" s="4308" t="s">
        <v>3686</v>
      </c>
      <c r="AW27" s="4308" t="s">
        <v>3626</v>
      </c>
      <c r="AX27" s="4308" t="s">
        <v>614</v>
      </c>
      <c r="AY27" s="4308" t="s">
        <v>3686</v>
      </c>
      <c r="AZ27" s="4308" t="s">
        <v>3626</v>
      </c>
      <c r="BA27" s="4308" t="s">
        <v>614</v>
      </c>
      <c r="BB27" s="4308" t="s">
        <v>3686</v>
      </c>
      <c r="BC27" s="4308" t="s">
        <v>3626</v>
      </c>
      <c r="BD27" s="4309" t="s">
        <v>614</v>
      </c>
      <c r="BE27" s="4309" t="s">
        <v>3686</v>
      </c>
      <c r="BF27" s="4309" t="s">
        <v>3626</v>
      </c>
      <c r="BG27" s="4309" t="s">
        <v>614</v>
      </c>
      <c r="BH27" s="4309" t="s">
        <v>3686</v>
      </c>
      <c r="BI27" s="4309" t="s">
        <v>3626</v>
      </c>
      <c r="BJ27" s="4309" t="s">
        <v>614</v>
      </c>
      <c r="BK27" s="4309" t="s">
        <v>3686</v>
      </c>
      <c r="BL27" s="4309" t="s">
        <v>3626</v>
      </c>
      <c r="BM27" s="4308" t="s">
        <v>614</v>
      </c>
      <c r="BN27" s="4308" t="s">
        <v>3686</v>
      </c>
      <c r="BO27" s="4308" t="s">
        <v>3626</v>
      </c>
      <c r="BP27" s="4308" t="s">
        <v>614</v>
      </c>
      <c r="BQ27" s="4308" t="s">
        <v>3686</v>
      </c>
      <c r="BR27" s="4308" t="s">
        <v>3626</v>
      </c>
      <c r="BS27" s="4308" t="s">
        <v>614</v>
      </c>
      <c r="BT27" s="4308" t="s">
        <v>3686</v>
      </c>
      <c r="BU27" s="4308" t="s">
        <v>3626</v>
      </c>
      <c r="BV27" s="4308" t="s">
        <v>614</v>
      </c>
      <c r="BW27" s="4308" t="s">
        <v>3686</v>
      </c>
      <c r="BX27" s="4308" t="s">
        <v>3626</v>
      </c>
      <c r="BY27" s="4308" t="s">
        <v>614</v>
      </c>
      <c r="BZ27" s="4308" t="s">
        <v>3686</v>
      </c>
      <c r="CA27" s="4310" t="s">
        <v>3626</v>
      </c>
      <c r="CB27" s="4309" t="s">
        <v>614</v>
      </c>
      <c r="CC27" s="4309" t="s">
        <v>3686</v>
      </c>
      <c r="CD27" s="4309" t="s">
        <v>3626</v>
      </c>
      <c r="CE27" s="4309" t="s">
        <v>614</v>
      </c>
      <c r="CF27" s="4309" t="s">
        <v>3686</v>
      </c>
      <c r="CG27" s="4309" t="s">
        <v>3626</v>
      </c>
      <c r="CH27" s="4309" t="s">
        <v>614</v>
      </c>
      <c r="CI27" s="4309" t="s">
        <v>3686</v>
      </c>
      <c r="CJ27" s="4309" t="s">
        <v>3626</v>
      </c>
      <c r="CK27" s="2752"/>
      <c r="CL27" s="2752"/>
      <c r="CM27" s="2752"/>
      <c r="CN27" s="2752"/>
    </row>
    <row r="28" spans="1:92" ht="18.75" customHeight="1" x14ac:dyDescent="0.3">
      <c r="A28" s="4331" t="s">
        <v>15</v>
      </c>
      <c r="B28" s="4312">
        <f>SUM(C28:D28)</f>
        <v>5449.3912309114512</v>
      </c>
      <c r="C28" s="4312">
        <f t="shared" ref="C28:G28" si="103">SUM(C29:C34)+C36</f>
        <v>5441.3764483085142</v>
      </c>
      <c r="D28" s="4312">
        <f t="shared" si="103"/>
        <v>8.014782602936922</v>
      </c>
      <c r="E28" s="4332">
        <f>SUM(F28:G28)</f>
        <v>1864.7269999999999</v>
      </c>
      <c r="F28" s="3026">
        <f>SUM(F29:F34)+F36</f>
        <v>1864.7269999999999</v>
      </c>
      <c r="G28" s="4312">
        <f t="shared" si="103"/>
        <v>0</v>
      </c>
      <c r="H28" s="4332">
        <f>SUM(I28:J28)</f>
        <v>1513.9831200000001</v>
      </c>
      <c r="I28" s="3026">
        <f t="shared" ref="I28:J28" si="104">SUM(I29:I34)+I36</f>
        <v>1513.9831200000001</v>
      </c>
      <c r="J28" s="3026">
        <f t="shared" si="104"/>
        <v>0</v>
      </c>
      <c r="K28" s="4332">
        <f>SUM(L28:M28)</f>
        <v>1514.8313799999999</v>
      </c>
      <c r="L28" s="3026">
        <f t="shared" ref="L28:M28" si="105">SUM(L29:L34)+L36</f>
        <v>1514.34</v>
      </c>
      <c r="M28" s="3026">
        <f t="shared" si="105"/>
        <v>0.49138000000000004</v>
      </c>
      <c r="N28" s="4332">
        <f>SUM(O28:P28)</f>
        <v>4893.5415000000003</v>
      </c>
      <c r="O28" s="3026">
        <f t="shared" ref="O28:P28" si="106">SUM(O29:O34)+O36</f>
        <v>4893.0501199999999</v>
      </c>
      <c r="P28" s="3026">
        <f t="shared" si="106"/>
        <v>0.49138000000000004</v>
      </c>
      <c r="Q28" s="4312">
        <f>SUM(R28:S28)</f>
        <v>5449.3912309114512</v>
      </c>
      <c r="R28" s="4312">
        <f t="shared" ref="R28:S28" si="107">SUM(R29:R34)+R36</f>
        <v>5441.3764483085142</v>
      </c>
      <c r="S28" s="4312">
        <f t="shared" si="107"/>
        <v>8.014782602936922</v>
      </c>
      <c r="T28" s="4332">
        <f>SUM(U28:V28)</f>
        <v>1546.6410000000001</v>
      </c>
      <c r="U28" s="3026">
        <f t="shared" ref="U28:V28" si="108">SUM(U29:U34)+U36</f>
        <v>1543.636</v>
      </c>
      <c r="V28" s="3026">
        <f t="shared" si="108"/>
        <v>3.0049999999999999</v>
      </c>
      <c r="W28" s="4332">
        <f>SUM(X28:Y28)</f>
        <v>1732.8669999999997</v>
      </c>
      <c r="X28" s="3026">
        <f t="shared" ref="X28:Y28" si="109">SUM(X29:X34)+X36</f>
        <v>1728.6869999999997</v>
      </c>
      <c r="Y28" s="3026">
        <f t="shared" si="109"/>
        <v>4.18</v>
      </c>
      <c r="Z28" s="4332">
        <f>SUM(AA28:AB28)</f>
        <v>1553.7595699999999</v>
      </c>
      <c r="AA28" s="3026">
        <f t="shared" ref="AA28:AB28" si="110">SUM(AA29:AA34)+AA36</f>
        <v>1551.048</v>
      </c>
      <c r="AB28" s="3026">
        <f t="shared" si="110"/>
        <v>2.71157</v>
      </c>
      <c r="AC28" s="4332">
        <f>SUM(AD28:AE28)</f>
        <v>4833.2675699999991</v>
      </c>
      <c r="AD28" s="3026">
        <f t="shared" ref="AD28:AE28" si="111">SUM(AD29:AD34)+AD36</f>
        <v>4823.3709999999992</v>
      </c>
      <c r="AE28" s="3026">
        <f t="shared" si="111"/>
        <v>9.8965700000000005</v>
      </c>
      <c r="AF28" s="4313">
        <f>SUM(AG28:AH28)</f>
        <v>10898.782461822902</v>
      </c>
      <c r="AG28" s="4313">
        <f t="shared" ref="AG28:AH28" si="112">SUM(AG29:AG34)+AG36</f>
        <v>10882.752896617028</v>
      </c>
      <c r="AH28" s="4313">
        <f t="shared" si="112"/>
        <v>16.029565205873844</v>
      </c>
      <c r="AI28" s="4333">
        <f t="shared" ref="AI28:AK28" si="113">SUM(AC28+N28)</f>
        <v>9726.8090699999993</v>
      </c>
      <c r="AJ28" s="4333">
        <f t="shared" si="113"/>
        <v>9716.4211199999991</v>
      </c>
      <c r="AK28" s="4333">
        <f t="shared" si="113"/>
        <v>10.38795</v>
      </c>
      <c r="AL28" s="4333">
        <f t="shared" ref="AL28:AN43" si="114">SUM(AI28-AF28)</f>
        <v>-1171.9733918229031</v>
      </c>
      <c r="AM28" s="4333">
        <f t="shared" si="114"/>
        <v>-1166.3317766170294</v>
      </c>
      <c r="AN28" s="4333">
        <f t="shared" si="114"/>
        <v>-5.641615205873844</v>
      </c>
      <c r="AO28" s="4312">
        <f>SUM(AP28:AQ28)</f>
        <v>5449.3912309114512</v>
      </c>
      <c r="AP28" s="4312">
        <f t="shared" ref="AP28:AQ28" si="115">SUM(AP29:AP34)+AP36</f>
        <v>5441.3764483085142</v>
      </c>
      <c r="AQ28" s="4312">
        <f t="shared" si="115"/>
        <v>8.014782602936922</v>
      </c>
      <c r="AR28" s="4332">
        <f>SUM(AS28:AT28)</f>
        <v>1314.4067999999997</v>
      </c>
      <c r="AS28" s="3026">
        <f t="shared" ref="AS28:AT28" si="116">SUM(AS29:AS34)+AS36</f>
        <v>1312.2569999999998</v>
      </c>
      <c r="AT28" s="3026">
        <f t="shared" si="116"/>
        <v>2.1497999999999999</v>
      </c>
      <c r="AU28" s="4332">
        <f>SUM(AV28:AW28)</f>
        <v>0</v>
      </c>
      <c r="AV28" s="3026">
        <f t="shared" ref="AV28:AW28" si="117">SUM(AV29:AV34)+AV36</f>
        <v>0</v>
      </c>
      <c r="AW28" s="3026">
        <f t="shared" si="117"/>
        <v>0</v>
      </c>
      <c r="AX28" s="4332">
        <f>SUM(AY28:AZ28)</f>
        <v>0</v>
      </c>
      <c r="AY28" s="3026">
        <f t="shared" ref="AY28:AZ28" si="118">SUM(AY29:AY34)+AY36</f>
        <v>0</v>
      </c>
      <c r="AZ28" s="3026">
        <f t="shared" si="118"/>
        <v>0</v>
      </c>
      <c r="BA28" s="4332">
        <f>SUM(BB28:BC28)</f>
        <v>1314.4067999999997</v>
      </c>
      <c r="BB28" s="3026">
        <f t="shared" ref="BB28:BC28" si="119">SUM(BB29:BB34)+BB36</f>
        <v>1312.2569999999998</v>
      </c>
      <c r="BC28" s="3026">
        <f t="shared" si="119"/>
        <v>2.1497999999999999</v>
      </c>
      <c r="BD28" s="4313">
        <f>SUM(BE28:BF28)</f>
        <v>16348.173692734355</v>
      </c>
      <c r="BE28" s="4313">
        <f t="shared" ref="BE28:BF28" si="120">SUM(BE29:BE34)+BE36</f>
        <v>16324.129344925545</v>
      </c>
      <c r="BF28" s="4313">
        <f t="shared" si="120"/>
        <v>24.04434780881077</v>
      </c>
      <c r="BG28" s="4333">
        <f t="shared" ref="BG28:BI28" si="121">SUM(AI28+BA28)</f>
        <v>11041.21587</v>
      </c>
      <c r="BH28" s="4333">
        <f t="shared" si="121"/>
        <v>11028.678119999999</v>
      </c>
      <c r="BI28" s="4333">
        <f t="shared" si="121"/>
        <v>12.537749999999999</v>
      </c>
      <c r="BJ28" s="4333">
        <f t="shared" ref="BJ28:BL43" si="122">SUM(BG28-BD28)</f>
        <v>-5306.9578227343554</v>
      </c>
      <c r="BK28" s="4333">
        <f t="shared" si="122"/>
        <v>-5295.4512249255458</v>
      </c>
      <c r="BL28" s="4333">
        <f t="shared" si="122"/>
        <v>-11.506597808810771</v>
      </c>
      <c r="BM28" s="4312">
        <f>SUM(BN28:BO28)</f>
        <v>5449.3912309114512</v>
      </c>
      <c r="BN28" s="4312">
        <f t="shared" ref="BN28:BO28" si="123">SUM(BN29:BN34)+BN36</f>
        <v>5441.3764483085142</v>
      </c>
      <c r="BO28" s="4312">
        <f t="shared" si="123"/>
        <v>8.014782602936922</v>
      </c>
      <c r="BP28" s="4332">
        <f>SUM(BQ28:BR28)</f>
        <v>0</v>
      </c>
      <c r="BQ28" s="3026">
        <f t="shared" ref="BQ28:BR28" si="124">SUM(BQ29:BQ34)+BQ36</f>
        <v>0</v>
      </c>
      <c r="BR28" s="3026">
        <f t="shared" si="124"/>
        <v>0</v>
      </c>
      <c r="BS28" s="4332">
        <f>SUM(BT28:BU28)</f>
        <v>0</v>
      </c>
      <c r="BT28" s="3026">
        <f t="shared" ref="BT28:BU28" si="125">SUM(BT29:BT34)+BT36</f>
        <v>0</v>
      </c>
      <c r="BU28" s="3026">
        <f t="shared" si="125"/>
        <v>0</v>
      </c>
      <c r="BV28" s="4332">
        <f>SUM(BW28:BX28)</f>
        <v>0</v>
      </c>
      <c r="BW28" s="3026">
        <f t="shared" ref="BW28:BX28" si="126">SUM(BW29:BW34)+BW36</f>
        <v>0</v>
      </c>
      <c r="BX28" s="3026">
        <f t="shared" si="126"/>
        <v>0</v>
      </c>
      <c r="BY28" s="4332">
        <f>SUM(BZ28:CA28)</f>
        <v>0</v>
      </c>
      <c r="BZ28" s="3026">
        <f t="shared" ref="BZ28:CA28" si="127">SUM(BZ29:BZ34)+BZ36</f>
        <v>0</v>
      </c>
      <c r="CA28" s="3026">
        <f t="shared" si="127"/>
        <v>0</v>
      </c>
      <c r="CB28" s="4313">
        <f>SUM(CC28:CD28)</f>
        <v>21797.564923709724</v>
      </c>
      <c r="CC28" s="4313">
        <f t="shared" ref="CC28:CD28" si="128">SUM(CC29:CC34)+CC36</f>
        <v>21765.505793297976</v>
      </c>
      <c r="CD28" s="4313">
        <f t="shared" si="128"/>
        <v>32.059130411747688</v>
      </c>
      <c r="CE28" s="4333">
        <f t="shared" ref="CE28" si="129">SUM(BY28+BG28)</f>
        <v>11041.21587</v>
      </c>
      <c r="CF28" s="4333">
        <f t="shared" ref="CF28:CG34" si="130">SUM(BZ28+BH28)</f>
        <v>11028.678119999999</v>
      </c>
      <c r="CG28" s="4333">
        <f t="shared" si="130"/>
        <v>12.537749999999999</v>
      </c>
      <c r="CH28" s="4333">
        <f t="shared" ref="CH28:CJ43" si="131">SUM(CE28-CB28)</f>
        <v>-10756.349053709724</v>
      </c>
      <c r="CI28" s="4333">
        <f t="shared" si="131"/>
        <v>-10736.827673297978</v>
      </c>
      <c r="CJ28" s="4333">
        <f t="shared" si="131"/>
        <v>-19.521380411747689</v>
      </c>
      <c r="CK28" s="2774"/>
      <c r="CL28" s="3577">
        <f t="shared" ref="CL28:CN91" si="132">SUM(B28+Q28+AO28+BM28)</f>
        <v>21797.564923645805</v>
      </c>
      <c r="CM28" s="3577">
        <f t="shared" si="132"/>
        <v>21765.505793234057</v>
      </c>
      <c r="CN28" s="3577">
        <f t="shared" si="132"/>
        <v>32.059130411747688</v>
      </c>
    </row>
    <row r="29" spans="1:92" ht="18.75" customHeight="1" x14ac:dyDescent="0.3">
      <c r="A29" s="4334" t="s">
        <v>1</v>
      </c>
      <c r="B29" s="4317">
        <f t="shared" ref="B29:B34" si="133">SUM(C29:D29)</f>
        <v>1309.7958696106659</v>
      </c>
      <c r="C29" s="4317">
        <f>SUM(CC29/4)</f>
        <v>1309.4785802752529</v>
      </c>
      <c r="D29" s="4317">
        <f>SUM(CD29/4)</f>
        <v>0.31728933541304999</v>
      </c>
      <c r="E29" s="4335">
        <f t="shared" ref="E29:E92" si="134">SUM(F29:G29)</f>
        <v>352.416</v>
      </c>
      <c r="F29" s="4336">
        <v>352.416</v>
      </c>
      <c r="G29" s="4336"/>
      <c r="H29" s="4335">
        <f t="shared" ref="H29:H92" si="135">SUM(I29:J29)</f>
        <v>323.57600000000002</v>
      </c>
      <c r="I29" s="4336">
        <v>323.57600000000002</v>
      </c>
      <c r="J29" s="4336"/>
      <c r="K29" s="4335">
        <f t="shared" ref="K29:K92" si="136">SUM(L29:M29)</f>
        <v>352.28199999999998</v>
      </c>
      <c r="L29" s="4336">
        <v>352.28199999999998</v>
      </c>
      <c r="M29" s="4336"/>
      <c r="N29" s="4335">
        <f>SUM(O29:P29)</f>
        <v>1028.2739999999999</v>
      </c>
      <c r="O29" s="4335">
        <f>SUM(F29+I29+L29)</f>
        <v>1028.2739999999999</v>
      </c>
      <c r="P29" s="4335">
        <f>SUM(G29+J29+M29)</f>
        <v>0</v>
      </c>
      <c r="Q29" s="4317">
        <f t="shared" ref="Q29:Q34" si="137">SUM(R29:S29)</f>
        <v>1309.7958696106659</v>
      </c>
      <c r="R29" s="4317">
        <f t="shared" ref="R29:S34" si="138">SUM(C29)</f>
        <v>1309.4785802752529</v>
      </c>
      <c r="S29" s="4317">
        <f t="shared" si="138"/>
        <v>0.31728933541304999</v>
      </c>
      <c r="T29" s="4335">
        <f t="shared" ref="T29:T34" si="139">SUM(U29:V29)</f>
        <v>433.61799999999999</v>
      </c>
      <c r="U29" s="4336">
        <v>433.61799999999999</v>
      </c>
      <c r="V29" s="4336"/>
      <c r="W29" s="4335">
        <f t="shared" ref="W29:W34" si="140">SUM(X29:Y29)</f>
        <v>535.45899999999995</v>
      </c>
      <c r="X29" s="4336">
        <v>535.45899999999995</v>
      </c>
      <c r="Y29" s="4336"/>
      <c r="Z29" s="4335">
        <f t="shared" ref="Z29:Z34" si="141">SUM(AA29:AB29)</f>
        <v>367.79199999999997</v>
      </c>
      <c r="AA29" s="4336">
        <v>367.79199999999997</v>
      </c>
      <c r="AB29" s="4336"/>
      <c r="AC29" s="4335">
        <f>SUM(AD29:AE29)</f>
        <v>1336.8689999999999</v>
      </c>
      <c r="AD29" s="4335">
        <f>SUM(U29+X29+AA29)</f>
        <v>1336.8689999999999</v>
      </c>
      <c r="AE29" s="4335">
        <f>SUM(V29+Y29+AB29)</f>
        <v>0</v>
      </c>
      <c r="AF29" s="4318">
        <f t="shared" ref="AF29:AF34" si="142">SUM(AG29:AH29)</f>
        <v>2619.5917392213319</v>
      </c>
      <c r="AG29" s="4318">
        <f t="shared" ref="AG29:AH34" si="143">SUM(C29+R29)</f>
        <v>2618.9571605505057</v>
      </c>
      <c r="AH29" s="4318">
        <f t="shared" si="143"/>
        <v>0.63457867082609998</v>
      </c>
      <c r="AI29" s="4337">
        <f t="shared" ref="AI29:AK34" si="144">SUM(AC29+N29)</f>
        <v>2365.143</v>
      </c>
      <c r="AJ29" s="4337">
        <f t="shared" si="144"/>
        <v>2365.143</v>
      </c>
      <c r="AK29" s="4337">
        <f t="shared" si="144"/>
        <v>0</v>
      </c>
      <c r="AL29" s="4337">
        <f t="shared" si="114"/>
        <v>-254.44873922133183</v>
      </c>
      <c r="AM29" s="4337">
        <f t="shared" si="114"/>
        <v>-253.81416055050568</v>
      </c>
      <c r="AN29" s="4337">
        <f t="shared" si="114"/>
        <v>-0.63457867082609998</v>
      </c>
      <c r="AO29" s="4317">
        <f t="shared" ref="AO29:AO34" si="145">SUM(AP29:AQ29)</f>
        <v>1309.7958696106659</v>
      </c>
      <c r="AP29" s="4317">
        <f t="shared" ref="AP29:AQ34" si="146">SUM(CC29-AG29)/2</f>
        <v>1309.4785802752529</v>
      </c>
      <c r="AQ29" s="4317">
        <f t="shared" si="146"/>
        <v>0.31728933541304999</v>
      </c>
      <c r="AR29" s="4335">
        <f t="shared" ref="AR29:AR34" si="147">SUM(AS29:AT29)</f>
        <v>337.78</v>
      </c>
      <c r="AS29" s="4336">
        <v>337.78</v>
      </c>
      <c r="AT29" s="4336"/>
      <c r="AU29" s="4335">
        <f t="shared" ref="AU29:AU34" si="148">SUM(AV29:AW29)</f>
        <v>0</v>
      </c>
      <c r="AV29" s="4336"/>
      <c r="AW29" s="4336"/>
      <c r="AX29" s="4335">
        <f t="shared" ref="AX29:AX34" si="149">SUM(AY29:AZ29)</f>
        <v>0</v>
      </c>
      <c r="AY29" s="4336"/>
      <c r="AZ29" s="4336"/>
      <c r="BA29" s="4335">
        <f>SUM(BB29:BC29)</f>
        <v>337.78</v>
      </c>
      <c r="BB29" s="4335">
        <f>SUM(AS29+AV29+AY29)</f>
        <v>337.78</v>
      </c>
      <c r="BC29" s="4335">
        <f>SUM(AT29+AW29+AZ29)</f>
        <v>0</v>
      </c>
      <c r="BD29" s="4318">
        <f t="shared" ref="BD29:BD34" si="150">SUM(BE29:BF29)</f>
        <v>3929.3876088319976</v>
      </c>
      <c r="BE29" s="4318">
        <f t="shared" ref="BE29:BF34" si="151">SUM(AG29+AP29)</f>
        <v>3928.4357408257583</v>
      </c>
      <c r="BF29" s="4318">
        <f t="shared" si="151"/>
        <v>0.95186800623915002</v>
      </c>
      <c r="BG29" s="4337">
        <f t="shared" ref="BG29:BI34" si="152">SUM(AI29+BA29)</f>
        <v>2702.9229999999998</v>
      </c>
      <c r="BH29" s="4337">
        <f t="shared" si="152"/>
        <v>2702.9229999999998</v>
      </c>
      <c r="BI29" s="4337">
        <f t="shared" si="152"/>
        <v>0</v>
      </c>
      <c r="BJ29" s="4337">
        <f t="shared" si="122"/>
        <v>-1226.4646088319978</v>
      </c>
      <c r="BK29" s="4337">
        <f t="shared" si="122"/>
        <v>-1225.5127408257586</v>
      </c>
      <c r="BL29" s="4337">
        <f t="shared" si="122"/>
        <v>-0.95186800623915002</v>
      </c>
      <c r="BM29" s="4317">
        <f t="shared" ref="BM29:BM34" si="153">SUM(BN29:BO29)</f>
        <v>1309.7958696106659</v>
      </c>
      <c r="BN29" s="4317">
        <f t="shared" ref="BN29:BO34" si="154">SUM(AP29)</f>
        <v>1309.4785802752529</v>
      </c>
      <c r="BO29" s="4317">
        <f t="shared" si="154"/>
        <v>0.31728933541304999</v>
      </c>
      <c r="BP29" s="4335">
        <f t="shared" ref="BP29:BP34" si="155">SUM(BQ29:BR29)</f>
        <v>0</v>
      </c>
      <c r="BQ29" s="4336"/>
      <c r="BR29" s="4336"/>
      <c r="BS29" s="4335">
        <f t="shared" ref="BS29:BS34" si="156">SUM(BT29:BU29)</f>
        <v>0</v>
      </c>
      <c r="BT29" s="4336"/>
      <c r="BU29" s="4336"/>
      <c r="BV29" s="4335">
        <f t="shared" ref="BV29:BV34" si="157">SUM(BW29:BX29)</f>
        <v>0</v>
      </c>
      <c r="BW29" s="4336"/>
      <c r="BX29" s="4336"/>
      <c r="BY29" s="4335">
        <f>SUM(BZ29:CA29)</f>
        <v>0</v>
      </c>
      <c r="BZ29" s="4335">
        <f>SUM(BQ29+BT29+BW29)</f>
        <v>0</v>
      </c>
      <c r="CA29" s="4335">
        <f>SUM(BR29+BU29+BX29)</f>
        <v>0</v>
      </c>
      <c r="CB29" s="4318">
        <f t="shared" ref="CB29:CB34" si="158">SUM(CC29:CD29)</f>
        <v>5239.1834784426637</v>
      </c>
      <c r="CC29" s="4319">
        <f>SUM(вода!EF9)-CC67</f>
        <v>5237.9143211010114</v>
      </c>
      <c r="CD29" s="4318">
        <f>SUM(вода!EG9)</f>
        <v>1.2691573416522</v>
      </c>
      <c r="CE29" s="4337">
        <f t="shared" ref="CE29:CE34" si="159">SUM(BY29+BG29)</f>
        <v>2702.9229999999998</v>
      </c>
      <c r="CF29" s="4337">
        <f t="shared" si="130"/>
        <v>2702.9229999999998</v>
      </c>
      <c r="CG29" s="4337">
        <f t="shared" si="130"/>
        <v>0</v>
      </c>
      <c r="CH29" s="4337">
        <f t="shared" si="131"/>
        <v>-2536.260478442664</v>
      </c>
      <c r="CI29" s="4337">
        <f t="shared" si="131"/>
        <v>-2534.9913211010116</v>
      </c>
      <c r="CJ29" s="4337">
        <f t="shared" si="131"/>
        <v>-1.2691573416522</v>
      </c>
      <c r="CK29" s="2774"/>
      <c r="CL29" s="3575">
        <f t="shared" si="132"/>
        <v>5239.1834784426637</v>
      </c>
      <c r="CM29" s="3575">
        <f t="shared" si="132"/>
        <v>5237.9143211010114</v>
      </c>
      <c r="CN29" s="3575">
        <f t="shared" si="132"/>
        <v>1.2691573416522</v>
      </c>
    </row>
    <row r="30" spans="1:92" ht="18.75" customHeight="1" x14ac:dyDescent="0.3">
      <c r="A30" s="4334" t="s">
        <v>2</v>
      </c>
      <c r="B30" s="4317">
        <f t="shared" si="133"/>
        <v>632.94855904440124</v>
      </c>
      <c r="C30" s="4317">
        <f t="shared" ref="C30:D34" si="160">SUM(CC30/4)</f>
        <v>632.94855904440124</v>
      </c>
      <c r="D30" s="4317">
        <f t="shared" si="160"/>
        <v>0</v>
      </c>
      <c r="E30" s="4335">
        <f t="shared" si="134"/>
        <v>83.400999999999996</v>
      </c>
      <c r="F30" s="4336">
        <v>83.400999999999996</v>
      </c>
      <c r="G30" s="4336"/>
      <c r="H30" s="4335">
        <f t="shared" si="135"/>
        <v>83.400999999999996</v>
      </c>
      <c r="I30" s="4336">
        <v>83.400999999999996</v>
      </c>
      <c r="J30" s="4336"/>
      <c r="K30" s="4335">
        <f t="shared" si="136"/>
        <v>83.400999999999996</v>
      </c>
      <c r="L30" s="4336">
        <v>83.400999999999996</v>
      </c>
      <c r="M30" s="4336"/>
      <c r="N30" s="4335">
        <f t="shared" ref="N30:N34" si="161">SUM(O30:P30)</f>
        <v>250.20299999999997</v>
      </c>
      <c r="O30" s="4335">
        <f t="shared" ref="O30:P34" si="162">SUM(F30+I30+L30)</f>
        <v>250.20299999999997</v>
      </c>
      <c r="P30" s="4335">
        <f t="shared" si="162"/>
        <v>0</v>
      </c>
      <c r="Q30" s="4317">
        <f t="shared" si="137"/>
        <v>632.94855904440124</v>
      </c>
      <c r="R30" s="4317">
        <f t="shared" si="138"/>
        <v>632.94855904440124</v>
      </c>
      <c r="S30" s="4317">
        <f t="shared" si="138"/>
        <v>0</v>
      </c>
      <c r="T30" s="4335">
        <f t="shared" si="139"/>
        <v>83.400999999999996</v>
      </c>
      <c r="U30" s="4336">
        <v>83.400999999999996</v>
      </c>
      <c r="V30" s="4336"/>
      <c r="W30" s="4335">
        <f t="shared" si="140"/>
        <v>83.400999999999996</v>
      </c>
      <c r="X30" s="4336">
        <v>83.400999999999996</v>
      </c>
      <c r="Y30" s="4336"/>
      <c r="Z30" s="4335">
        <f t="shared" si="141"/>
        <v>83.400999999999996</v>
      </c>
      <c r="AA30" s="4336">
        <v>83.400999999999996</v>
      </c>
      <c r="AB30" s="4336"/>
      <c r="AC30" s="4335">
        <f t="shared" ref="AC30:AC34" si="163">SUM(AD30:AE30)</f>
        <v>250.20299999999997</v>
      </c>
      <c r="AD30" s="4335">
        <f t="shared" ref="AD30:AE34" si="164">SUM(U30+X30+AA30)</f>
        <v>250.20299999999997</v>
      </c>
      <c r="AE30" s="4335">
        <f t="shared" si="164"/>
        <v>0</v>
      </c>
      <c r="AF30" s="4318">
        <f t="shared" si="142"/>
        <v>1265.8971180888025</v>
      </c>
      <c r="AG30" s="4318">
        <f t="shared" si="143"/>
        <v>1265.8971180888025</v>
      </c>
      <c r="AH30" s="4318">
        <f t="shared" si="143"/>
        <v>0</v>
      </c>
      <c r="AI30" s="4337">
        <f t="shared" si="144"/>
        <v>500.40599999999995</v>
      </c>
      <c r="AJ30" s="4337">
        <f t="shared" si="144"/>
        <v>500.40599999999995</v>
      </c>
      <c r="AK30" s="4337">
        <f t="shared" si="144"/>
        <v>0</v>
      </c>
      <c r="AL30" s="4337">
        <f t="shared" si="114"/>
        <v>-765.49111808880252</v>
      </c>
      <c r="AM30" s="4337">
        <f t="shared" si="114"/>
        <v>-765.49111808880252</v>
      </c>
      <c r="AN30" s="4337">
        <f t="shared" si="114"/>
        <v>0</v>
      </c>
      <c r="AO30" s="4317">
        <f t="shared" si="145"/>
        <v>632.94855904440124</v>
      </c>
      <c r="AP30" s="4317">
        <f t="shared" si="146"/>
        <v>632.94855904440124</v>
      </c>
      <c r="AQ30" s="4317">
        <f t="shared" si="146"/>
        <v>0</v>
      </c>
      <c r="AR30" s="4335">
        <f t="shared" si="147"/>
        <v>83.400999999999996</v>
      </c>
      <c r="AS30" s="4336">
        <v>83.400999999999996</v>
      </c>
      <c r="AT30" s="4336"/>
      <c r="AU30" s="4335">
        <f t="shared" si="148"/>
        <v>0</v>
      </c>
      <c r="AV30" s="4336"/>
      <c r="AW30" s="4336"/>
      <c r="AX30" s="4335">
        <f t="shared" si="149"/>
        <v>0</v>
      </c>
      <c r="AY30" s="4336"/>
      <c r="AZ30" s="4336"/>
      <c r="BA30" s="4335">
        <f t="shared" ref="BA30:BA34" si="165">SUM(BB30:BC30)</f>
        <v>83.400999999999996</v>
      </c>
      <c r="BB30" s="4335">
        <f t="shared" ref="BB30:BC34" si="166">SUM(AS30+AV30+AY30)</f>
        <v>83.400999999999996</v>
      </c>
      <c r="BC30" s="4335">
        <f t="shared" si="166"/>
        <v>0</v>
      </c>
      <c r="BD30" s="4318">
        <f t="shared" si="150"/>
        <v>1898.8456771332037</v>
      </c>
      <c r="BE30" s="4318">
        <f t="shared" si="151"/>
        <v>1898.8456771332037</v>
      </c>
      <c r="BF30" s="4318">
        <f t="shared" si="151"/>
        <v>0</v>
      </c>
      <c r="BG30" s="4337">
        <f t="shared" si="152"/>
        <v>583.8069999999999</v>
      </c>
      <c r="BH30" s="4337">
        <f t="shared" si="152"/>
        <v>583.8069999999999</v>
      </c>
      <c r="BI30" s="4337">
        <f t="shared" si="152"/>
        <v>0</v>
      </c>
      <c r="BJ30" s="4337">
        <f t="shared" si="122"/>
        <v>-1315.0386771332037</v>
      </c>
      <c r="BK30" s="4337">
        <f t="shared" si="122"/>
        <v>-1315.0386771332037</v>
      </c>
      <c r="BL30" s="4337">
        <f t="shared" si="122"/>
        <v>0</v>
      </c>
      <c r="BM30" s="4317">
        <f t="shared" si="153"/>
        <v>632.94855904440124</v>
      </c>
      <c r="BN30" s="4317">
        <f t="shared" si="154"/>
        <v>632.94855904440124</v>
      </c>
      <c r="BO30" s="4317">
        <f t="shared" si="154"/>
        <v>0</v>
      </c>
      <c r="BP30" s="4335">
        <f t="shared" si="155"/>
        <v>0</v>
      </c>
      <c r="BQ30" s="4336"/>
      <c r="BR30" s="4336"/>
      <c r="BS30" s="4335">
        <f t="shared" si="156"/>
        <v>0</v>
      </c>
      <c r="BT30" s="4336"/>
      <c r="BU30" s="4336"/>
      <c r="BV30" s="4335">
        <f t="shared" si="157"/>
        <v>0</v>
      </c>
      <c r="BW30" s="4336"/>
      <c r="BX30" s="4336"/>
      <c r="BY30" s="4335">
        <f t="shared" ref="BY30:BY34" si="167">SUM(BZ30:CA30)</f>
        <v>0</v>
      </c>
      <c r="BZ30" s="4335">
        <f t="shared" ref="BZ30:CA34" si="168">SUM(BQ30+BT30+BW30)</f>
        <v>0</v>
      </c>
      <c r="CA30" s="4335">
        <f t="shared" si="168"/>
        <v>0</v>
      </c>
      <c r="CB30" s="4318">
        <f t="shared" si="158"/>
        <v>2531.7942361776049</v>
      </c>
      <c r="CC30" s="4318">
        <f>SUM(вода!EF10)</f>
        <v>2531.7942361776049</v>
      </c>
      <c r="CD30" s="4318">
        <f>SUM(вода!EG10)</f>
        <v>0</v>
      </c>
      <c r="CE30" s="4337">
        <f t="shared" si="159"/>
        <v>583.8069999999999</v>
      </c>
      <c r="CF30" s="4337">
        <f t="shared" si="130"/>
        <v>583.8069999999999</v>
      </c>
      <c r="CG30" s="4337">
        <f t="shared" si="130"/>
        <v>0</v>
      </c>
      <c r="CH30" s="4337">
        <f t="shared" si="131"/>
        <v>-1947.9872361776052</v>
      </c>
      <c r="CI30" s="4337">
        <f t="shared" si="131"/>
        <v>-1947.9872361776052</v>
      </c>
      <c r="CJ30" s="4337">
        <f t="shared" si="131"/>
        <v>0</v>
      </c>
      <c r="CK30" s="2774"/>
      <c r="CL30" s="3575">
        <f t="shared" si="132"/>
        <v>2531.7942361776049</v>
      </c>
      <c r="CM30" s="3575">
        <f t="shared" si="132"/>
        <v>2531.7942361776049</v>
      </c>
      <c r="CN30" s="3575">
        <f t="shared" si="132"/>
        <v>0</v>
      </c>
    </row>
    <row r="31" spans="1:92" ht="18" customHeight="1" x14ac:dyDescent="0.3">
      <c r="A31" s="4338" t="s">
        <v>3692</v>
      </c>
      <c r="B31" s="4317">
        <f t="shared" si="133"/>
        <v>0</v>
      </c>
      <c r="C31" s="4317">
        <f t="shared" si="160"/>
        <v>0</v>
      </c>
      <c r="D31" s="4317">
        <f t="shared" si="160"/>
        <v>0</v>
      </c>
      <c r="E31" s="4335">
        <f t="shared" si="134"/>
        <v>0</v>
      </c>
      <c r="F31" s="4336"/>
      <c r="G31" s="4336"/>
      <c r="H31" s="4335">
        <f t="shared" si="135"/>
        <v>0</v>
      </c>
      <c r="I31" s="4336"/>
      <c r="J31" s="4336"/>
      <c r="K31" s="4335">
        <f t="shared" si="136"/>
        <v>0</v>
      </c>
      <c r="L31" s="4336"/>
      <c r="M31" s="4336"/>
      <c r="N31" s="4335">
        <f t="shared" si="161"/>
        <v>0</v>
      </c>
      <c r="O31" s="4335">
        <f t="shared" si="162"/>
        <v>0</v>
      </c>
      <c r="P31" s="4335">
        <f t="shared" si="162"/>
        <v>0</v>
      </c>
      <c r="Q31" s="4317">
        <f t="shared" si="137"/>
        <v>0</v>
      </c>
      <c r="R31" s="4317">
        <f t="shared" si="138"/>
        <v>0</v>
      </c>
      <c r="S31" s="4317">
        <f t="shared" si="138"/>
        <v>0</v>
      </c>
      <c r="T31" s="4335">
        <f t="shared" si="139"/>
        <v>0</v>
      </c>
      <c r="U31" s="4336"/>
      <c r="V31" s="4336"/>
      <c r="W31" s="4335">
        <f t="shared" si="140"/>
        <v>0</v>
      </c>
      <c r="X31" s="4336"/>
      <c r="Y31" s="4336"/>
      <c r="Z31" s="4335">
        <f t="shared" si="141"/>
        <v>0</v>
      </c>
      <c r="AA31" s="4336"/>
      <c r="AB31" s="4336"/>
      <c r="AC31" s="4335">
        <f t="shared" si="163"/>
        <v>0</v>
      </c>
      <c r="AD31" s="4335">
        <f t="shared" si="164"/>
        <v>0</v>
      </c>
      <c r="AE31" s="4335">
        <f t="shared" si="164"/>
        <v>0</v>
      </c>
      <c r="AF31" s="4318">
        <f t="shared" si="142"/>
        <v>0</v>
      </c>
      <c r="AG31" s="4318">
        <f t="shared" si="143"/>
        <v>0</v>
      </c>
      <c r="AH31" s="4318">
        <f t="shared" si="143"/>
        <v>0</v>
      </c>
      <c r="AI31" s="4337">
        <f t="shared" si="144"/>
        <v>0</v>
      </c>
      <c r="AJ31" s="4337">
        <f t="shared" si="144"/>
        <v>0</v>
      </c>
      <c r="AK31" s="4337">
        <f t="shared" si="144"/>
        <v>0</v>
      </c>
      <c r="AL31" s="4337">
        <f t="shared" si="114"/>
        <v>0</v>
      </c>
      <c r="AM31" s="4337">
        <f t="shared" si="114"/>
        <v>0</v>
      </c>
      <c r="AN31" s="4337">
        <f t="shared" si="114"/>
        <v>0</v>
      </c>
      <c r="AO31" s="4317">
        <f t="shared" si="145"/>
        <v>0</v>
      </c>
      <c r="AP31" s="4317">
        <f t="shared" si="146"/>
        <v>0</v>
      </c>
      <c r="AQ31" s="4317">
        <f t="shared" si="146"/>
        <v>0</v>
      </c>
      <c r="AR31" s="4335">
        <f t="shared" si="147"/>
        <v>0</v>
      </c>
      <c r="AS31" s="4336"/>
      <c r="AT31" s="4336"/>
      <c r="AU31" s="4335">
        <f t="shared" si="148"/>
        <v>0</v>
      </c>
      <c r="AV31" s="4336"/>
      <c r="AW31" s="4336"/>
      <c r="AX31" s="4335">
        <f t="shared" si="149"/>
        <v>0</v>
      </c>
      <c r="AY31" s="4336"/>
      <c r="AZ31" s="4336"/>
      <c r="BA31" s="4335">
        <f t="shared" si="165"/>
        <v>0</v>
      </c>
      <c r="BB31" s="4335">
        <f t="shared" si="166"/>
        <v>0</v>
      </c>
      <c r="BC31" s="4335">
        <f t="shared" si="166"/>
        <v>0</v>
      </c>
      <c r="BD31" s="4318">
        <f t="shared" si="150"/>
        <v>0</v>
      </c>
      <c r="BE31" s="4318">
        <f t="shared" si="151"/>
        <v>0</v>
      </c>
      <c r="BF31" s="4318">
        <f t="shared" si="151"/>
        <v>0</v>
      </c>
      <c r="BG31" s="4337">
        <f t="shared" si="152"/>
        <v>0</v>
      </c>
      <c r="BH31" s="4337">
        <f t="shared" si="152"/>
        <v>0</v>
      </c>
      <c r="BI31" s="4337">
        <f t="shared" si="152"/>
        <v>0</v>
      </c>
      <c r="BJ31" s="4337">
        <f t="shared" si="122"/>
        <v>0</v>
      </c>
      <c r="BK31" s="4337">
        <f t="shared" si="122"/>
        <v>0</v>
      </c>
      <c r="BL31" s="4337">
        <f t="shared" si="122"/>
        <v>0</v>
      </c>
      <c r="BM31" s="4317">
        <f t="shared" si="153"/>
        <v>0</v>
      </c>
      <c r="BN31" s="4317">
        <f t="shared" si="154"/>
        <v>0</v>
      </c>
      <c r="BO31" s="4317">
        <f t="shared" si="154"/>
        <v>0</v>
      </c>
      <c r="BP31" s="4335">
        <f t="shared" si="155"/>
        <v>0</v>
      </c>
      <c r="BQ31" s="4336"/>
      <c r="BR31" s="4336"/>
      <c r="BS31" s="4335">
        <f t="shared" si="156"/>
        <v>0</v>
      </c>
      <c r="BT31" s="4336"/>
      <c r="BU31" s="4336"/>
      <c r="BV31" s="4335">
        <f t="shared" si="157"/>
        <v>0</v>
      </c>
      <c r="BW31" s="4336"/>
      <c r="BX31" s="4336"/>
      <c r="BY31" s="4335">
        <f t="shared" si="167"/>
        <v>0</v>
      </c>
      <c r="BZ31" s="4335">
        <f t="shared" si="168"/>
        <v>0</v>
      </c>
      <c r="CA31" s="4335">
        <f t="shared" si="168"/>
        <v>0</v>
      </c>
      <c r="CB31" s="4318">
        <f t="shared" si="158"/>
        <v>0</v>
      </c>
      <c r="CC31" s="4318">
        <f>SUM(вода!EF11)</f>
        <v>0</v>
      </c>
      <c r="CD31" s="4318">
        <f>SUM(вода!EG11)</f>
        <v>0</v>
      </c>
      <c r="CE31" s="4337">
        <f t="shared" si="159"/>
        <v>0</v>
      </c>
      <c r="CF31" s="4337">
        <f t="shared" si="130"/>
        <v>0</v>
      </c>
      <c r="CG31" s="4337">
        <f t="shared" si="130"/>
        <v>0</v>
      </c>
      <c r="CH31" s="4337">
        <f t="shared" si="131"/>
        <v>0</v>
      </c>
      <c r="CI31" s="4337">
        <f t="shared" si="131"/>
        <v>0</v>
      </c>
      <c r="CJ31" s="4337">
        <f t="shared" si="131"/>
        <v>0</v>
      </c>
      <c r="CK31" s="2774"/>
      <c r="CL31" s="3575">
        <f t="shared" si="132"/>
        <v>0</v>
      </c>
      <c r="CM31" s="3575">
        <f t="shared" si="132"/>
        <v>0</v>
      </c>
      <c r="CN31" s="3575">
        <f t="shared" si="132"/>
        <v>0</v>
      </c>
    </row>
    <row r="32" spans="1:92" ht="18.75" customHeight="1" x14ac:dyDescent="0.3">
      <c r="A32" s="4334" t="s">
        <v>3</v>
      </c>
      <c r="B32" s="4317">
        <f t="shared" si="133"/>
        <v>0</v>
      </c>
      <c r="C32" s="4317">
        <f t="shared" si="160"/>
        <v>0</v>
      </c>
      <c r="D32" s="4317">
        <f t="shared" si="160"/>
        <v>0</v>
      </c>
      <c r="E32" s="4335">
        <f t="shared" si="134"/>
        <v>0</v>
      </c>
      <c r="F32" s="4336"/>
      <c r="G32" s="4336"/>
      <c r="H32" s="4335">
        <f t="shared" si="135"/>
        <v>0</v>
      </c>
      <c r="I32" s="4336"/>
      <c r="J32" s="4336"/>
      <c r="K32" s="4335">
        <f t="shared" si="136"/>
        <v>0</v>
      </c>
      <c r="L32" s="4336"/>
      <c r="M32" s="4336"/>
      <c r="N32" s="4335">
        <f t="shared" si="161"/>
        <v>0</v>
      </c>
      <c r="O32" s="4335">
        <f t="shared" si="162"/>
        <v>0</v>
      </c>
      <c r="P32" s="4335">
        <f t="shared" si="162"/>
        <v>0</v>
      </c>
      <c r="Q32" s="4317">
        <f t="shared" si="137"/>
        <v>0</v>
      </c>
      <c r="R32" s="4317">
        <f t="shared" si="138"/>
        <v>0</v>
      </c>
      <c r="S32" s="4317">
        <f t="shared" si="138"/>
        <v>0</v>
      </c>
      <c r="T32" s="4335">
        <f t="shared" si="139"/>
        <v>0</v>
      </c>
      <c r="U32" s="4336"/>
      <c r="V32" s="4336"/>
      <c r="W32" s="4335">
        <f t="shared" si="140"/>
        <v>0</v>
      </c>
      <c r="X32" s="4336"/>
      <c r="Y32" s="4336"/>
      <c r="Z32" s="4335">
        <f t="shared" si="141"/>
        <v>0</v>
      </c>
      <c r="AA32" s="4336"/>
      <c r="AB32" s="4336"/>
      <c r="AC32" s="4335">
        <f t="shared" si="163"/>
        <v>0</v>
      </c>
      <c r="AD32" s="4335">
        <f t="shared" si="164"/>
        <v>0</v>
      </c>
      <c r="AE32" s="4335">
        <f t="shared" si="164"/>
        <v>0</v>
      </c>
      <c r="AF32" s="4318">
        <f t="shared" si="142"/>
        <v>0</v>
      </c>
      <c r="AG32" s="4318">
        <f t="shared" si="143"/>
        <v>0</v>
      </c>
      <c r="AH32" s="4318">
        <f t="shared" si="143"/>
        <v>0</v>
      </c>
      <c r="AI32" s="4337">
        <f t="shared" si="144"/>
        <v>0</v>
      </c>
      <c r="AJ32" s="4337">
        <f t="shared" si="144"/>
        <v>0</v>
      </c>
      <c r="AK32" s="4337">
        <f t="shared" si="144"/>
        <v>0</v>
      </c>
      <c r="AL32" s="4337">
        <f t="shared" si="114"/>
        <v>0</v>
      </c>
      <c r="AM32" s="4337">
        <f t="shared" si="114"/>
        <v>0</v>
      </c>
      <c r="AN32" s="4337">
        <f t="shared" si="114"/>
        <v>0</v>
      </c>
      <c r="AO32" s="4317">
        <f t="shared" si="145"/>
        <v>0</v>
      </c>
      <c r="AP32" s="4317">
        <f t="shared" si="146"/>
        <v>0</v>
      </c>
      <c r="AQ32" s="4317">
        <f t="shared" si="146"/>
        <v>0</v>
      </c>
      <c r="AR32" s="4335">
        <f t="shared" si="147"/>
        <v>0</v>
      </c>
      <c r="AS32" s="4336"/>
      <c r="AT32" s="4336"/>
      <c r="AU32" s="4335">
        <f t="shared" si="148"/>
        <v>0</v>
      </c>
      <c r="AV32" s="4336"/>
      <c r="AW32" s="4336"/>
      <c r="AX32" s="4335">
        <f t="shared" si="149"/>
        <v>0</v>
      </c>
      <c r="AY32" s="4336"/>
      <c r="AZ32" s="4336"/>
      <c r="BA32" s="4335">
        <f t="shared" si="165"/>
        <v>0</v>
      </c>
      <c r="BB32" s="4335">
        <f t="shared" si="166"/>
        <v>0</v>
      </c>
      <c r="BC32" s="4335">
        <f t="shared" si="166"/>
        <v>0</v>
      </c>
      <c r="BD32" s="4318">
        <f t="shared" si="150"/>
        <v>0</v>
      </c>
      <c r="BE32" s="4318">
        <f t="shared" si="151"/>
        <v>0</v>
      </c>
      <c r="BF32" s="4318">
        <f t="shared" si="151"/>
        <v>0</v>
      </c>
      <c r="BG32" s="4337">
        <f t="shared" si="152"/>
        <v>0</v>
      </c>
      <c r="BH32" s="4337">
        <f t="shared" si="152"/>
        <v>0</v>
      </c>
      <c r="BI32" s="4337">
        <f t="shared" si="152"/>
        <v>0</v>
      </c>
      <c r="BJ32" s="4337">
        <f t="shared" si="122"/>
        <v>0</v>
      </c>
      <c r="BK32" s="4337">
        <f t="shared" si="122"/>
        <v>0</v>
      </c>
      <c r="BL32" s="4337">
        <f t="shared" si="122"/>
        <v>0</v>
      </c>
      <c r="BM32" s="4317">
        <f t="shared" si="153"/>
        <v>0</v>
      </c>
      <c r="BN32" s="4317">
        <f t="shared" si="154"/>
        <v>0</v>
      </c>
      <c r="BO32" s="4317">
        <f t="shared" si="154"/>
        <v>0</v>
      </c>
      <c r="BP32" s="4335">
        <f t="shared" si="155"/>
        <v>0</v>
      </c>
      <c r="BQ32" s="4336"/>
      <c r="BR32" s="4336"/>
      <c r="BS32" s="4335">
        <f t="shared" si="156"/>
        <v>0</v>
      </c>
      <c r="BT32" s="4336"/>
      <c r="BU32" s="4336"/>
      <c r="BV32" s="4335">
        <f t="shared" si="157"/>
        <v>0</v>
      </c>
      <c r="BW32" s="4336"/>
      <c r="BX32" s="4336"/>
      <c r="BY32" s="4335">
        <f t="shared" si="167"/>
        <v>0</v>
      </c>
      <c r="BZ32" s="4335">
        <f t="shared" si="168"/>
        <v>0</v>
      </c>
      <c r="CA32" s="4335">
        <f t="shared" si="168"/>
        <v>0</v>
      </c>
      <c r="CB32" s="4318">
        <f t="shared" si="158"/>
        <v>0</v>
      </c>
      <c r="CC32" s="4318">
        <f>SUM(вода!EF12)</f>
        <v>0</v>
      </c>
      <c r="CD32" s="4318">
        <f>SUM(вода!EG12)</f>
        <v>0</v>
      </c>
      <c r="CE32" s="4337">
        <f t="shared" si="159"/>
        <v>0</v>
      </c>
      <c r="CF32" s="4337">
        <f t="shared" si="130"/>
        <v>0</v>
      </c>
      <c r="CG32" s="4337">
        <f t="shared" si="130"/>
        <v>0</v>
      </c>
      <c r="CH32" s="4337">
        <f t="shared" si="131"/>
        <v>0</v>
      </c>
      <c r="CI32" s="4337">
        <f t="shared" si="131"/>
        <v>0</v>
      </c>
      <c r="CJ32" s="4337">
        <f t="shared" si="131"/>
        <v>0</v>
      </c>
      <c r="CK32" s="2774"/>
      <c r="CL32" s="3575">
        <f t="shared" si="132"/>
        <v>0</v>
      </c>
      <c r="CM32" s="3575">
        <f t="shared" si="132"/>
        <v>0</v>
      </c>
      <c r="CN32" s="3575">
        <f t="shared" si="132"/>
        <v>0</v>
      </c>
    </row>
    <row r="33" spans="1:92" ht="18.75" customHeight="1" x14ac:dyDescent="0.3">
      <c r="A33" s="4334" t="s">
        <v>4</v>
      </c>
      <c r="B33" s="4317">
        <f t="shared" si="133"/>
        <v>2513.0739104400063</v>
      </c>
      <c r="C33" s="4317">
        <f t="shared" si="160"/>
        <v>2507.1573149400065</v>
      </c>
      <c r="D33" s="4317">
        <f t="shared" si="160"/>
        <v>5.9165955000000006</v>
      </c>
      <c r="E33" s="4335">
        <f t="shared" si="134"/>
        <v>1050.4269999999999</v>
      </c>
      <c r="F33" s="4336">
        <v>1050.4269999999999</v>
      </c>
      <c r="G33" s="4336"/>
      <c r="H33" s="4335">
        <f t="shared" si="135"/>
        <v>796.62526000000003</v>
      </c>
      <c r="I33" s="4336">
        <v>796.62526000000003</v>
      </c>
      <c r="J33" s="4336"/>
      <c r="K33" s="4335">
        <f t="shared" si="136"/>
        <v>762.58439999999996</v>
      </c>
      <c r="L33" s="4336">
        <v>762.20699999999999</v>
      </c>
      <c r="M33" s="4336">
        <v>0.37740000000000001</v>
      </c>
      <c r="N33" s="4335">
        <f t="shared" si="161"/>
        <v>2609.6366599999997</v>
      </c>
      <c r="O33" s="4335">
        <f t="shared" si="162"/>
        <v>2609.2592599999998</v>
      </c>
      <c r="P33" s="4335">
        <f t="shared" si="162"/>
        <v>0.37740000000000001</v>
      </c>
      <c r="Q33" s="4317">
        <f t="shared" si="137"/>
        <v>2513.0739104400063</v>
      </c>
      <c r="R33" s="4317">
        <f t="shared" si="138"/>
        <v>2507.1573149400065</v>
      </c>
      <c r="S33" s="4317">
        <f t="shared" si="138"/>
        <v>5.9165955000000006</v>
      </c>
      <c r="T33" s="4335">
        <f t="shared" si="139"/>
        <v>737.35500000000002</v>
      </c>
      <c r="U33" s="4336">
        <v>735.02300000000002</v>
      </c>
      <c r="V33" s="4336">
        <v>2.3319999999999999</v>
      </c>
      <c r="W33" s="4335">
        <f t="shared" si="140"/>
        <v>799.82099999999991</v>
      </c>
      <c r="X33" s="4336">
        <v>796.63199999999995</v>
      </c>
      <c r="Y33" s="4336">
        <v>3.1890000000000001</v>
      </c>
      <c r="Z33" s="4335">
        <f t="shared" si="141"/>
        <v>770.79662999999994</v>
      </c>
      <c r="AA33" s="4336">
        <v>768.71299999999997</v>
      </c>
      <c r="AB33" s="4336">
        <v>2.0836299999999999</v>
      </c>
      <c r="AC33" s="4335">
        <f t="shared" si="163"/>
        <v>2307.9726299999998</v>
      </c>
      <c r="AD33" s="4335">
        <f t="shared" si="164"/>
        <v>2300.3679999999999</v>
      </c>
      <c r="AE33" s="4335">
        <f t="shared" si="164"/>
        <v>7.6046300000000002</v>
      </c>
      <c r="AF33" s="4318">
        <f t="shared" si="142"/>
        <v>5026.1478208800127</v>
      </c>
      <c r="AG33" s="4318">
        <f t="shared" si="143"/>
        <v>5014.3146298800129</v>
      </c>
      <c r="AH33" s="4318">
        <f t="shared" si="143"/>
        <v>11.833191000000001</v>
      </c>
      <c r="AI33" s="4337">
        <f t="shared" si="144"/>
        <v>4917.6092899999994</v>
      </c>
      <c r="AJ33" s="4337">
        <f t="shared" si="144"/>
        <v>4909.6272599999993</v>
      </c>
      <c r="AK33" s="4337">
        <f t="shared" si="144"/>
        <v>7.98203</v>
      </c>
      <c r="AL33" s="4337">
        <f t="shared" si="114"/>
        <v>-108.53853088001324</v>
      </c>
      <c r="AM33" s="4337">
        <f t="shared" si="114"/>
        <v>-104.68736988001365</v>
      </c>
      <c r="AN33" s="4337">
        <f t="shared" si="114"/>
        <v>-3.8511610000000012</v>
      </c>
      <c r="AO33" s="4317">
        <f t="shared" si="145"/>
        <v>2513.0739104400063</v>
      </c>
      <c r="AP33" s="4317">
        <f t="shared" si="146"/>
        <v>2507.1573149400065</v>
      </c>
      <c r="AQ33" s="4317">
        <f t="shared" si="146"/>
        <v>5.9165955000000006</v>
      </c>
      <c r="AR33" s="4335">
        <f t="shared" si="147"/>
        <v>688.62815999999998</v>
      </c>
      <c r="AS33" s="4336">
        <v>686.97699999999998</v>
      </c>
      <c r="AT33" s="4336">
        <v>1.65116</v>
      </c>
      <c r="AU33" s="4335">
        <f t="shared" si="148"/>
        <v>0</v>
      </c>
      <c r="AV33" s="4336"/>
      <c r="AW33" s="4336"/>
      <c r="AX33" s="4335">
        <f t="shared" si="149"/>
        <v>0</v>
      </c>
      <c r="AY33" s="4336"/>
      <c r="AZ33" s="4336"/>
      <c r="BA33" s="4335">
        <f t="shared" si="165"/>
        <v>688.62815999999998</v>
      </c>
      <c r="BB33" s="4335">
        <f t="shared" si="166"/>
        <v>686.97699999999998</v>
      </c>
      <c r="BC33" s="4335">
        <f t="shared" si="166"/>
        <v>1.65116</v>
      </c>
      <c r="BD33" s="4318">
        <f t="shared" si="150"/>
        <v>7539.221731320019</v>
      </c>
      <c r="BE33" s="4318">
        <f t="shared" si="151"/>
        <v>7521.4719448200194</v>
      </c>
      <c r="BF33" s="4318">
        <f t="shared" si="151"/>
        <v>17.749786500000003</v>
      </c>
      <c r="BG33" s="4337">
        <f t="shared" si="152"/>
        <v>5606.2374499999996</v>
      </c>
      <c r="BH33" s="4337">
        <f t="shared" si="152"/>
        <v>5596.6042599999992</v>
      </c>
      <c r="BI33" s="4337">
        <f t="shared" si="152"/>
        <v>9.633189999999999</v>
      </c>
      <c r="BJ33" s="4337">
        <f t="shared" si="122"/>
        <v>-1932.9842813200194</v>
      </c>
      <c r="BK33" s="4337">
        <f t="shared" si="122"/>
        <v>-1924.8676848200203</v>
      </c>
      <c r="BL33" s="4337">
        <f t="shared" si="122"/>
        <v>-8.1165965000000035</v>
      </c>
      <c r="BM33" s="4317">
        <f t="shared" si="153"/>
        <v>2513.0739104400063</v>
      </c>
      <c r="BN33" s="4317">
        <f t="shared" si="154"/>
        <v>2507.1573149400065</v>
      </c>
      <c r="BO33" s="4317">
        <f t="shared" si="154"/>
        <v>5.9165955000000006</v>
      </c>
      <c r="BP33" s="4335">
        <f t="shared" si="155"/>
        <v>0</v>
      </c>
      <c r="BQ33" s="4336"/>
      <c r="BR33" s="4336"/>
      <c r="BS33" s="4335">
        <f t="shared" si="156"/>
        <v>0</v>
      </c>
      <c r="BT33" s="4336"/>
      <c r="BU33" s="4336"/>
      <c r="BV33" s="4335">
        <f t="shared" si="157"/>
        <v>0</v>
      </c>
      <c r="BW33" s="4336"/>
      <c r="BX33" s="4336"/>
      <c r="BY33" s="4335">
        <f t="shared" si="167"/>
        <v>0</v>
      </c>
      <c r="BZ33" s="4335">
        <f t="shared" si="168"/>
        <v>0</v>
      </c>
      <c r="CA33" s="4335">
        <f t="shared" si="168"/>
        <v>0</v>
      </c>
      <c r="CB33" s="4318">
        <f t="shared" si="158"/>
        <v>10052.295641760025</v>
      </c>
      <c r="CC33" s="4318">
        <f>SUM(вода!EF13)</f>
        <v>10028.629259760026</v>
      </c>
      <c r="CD33" s="4318">
        <f>SUM(вода!EG13)</f>
        <v>23.666382000000002</v>
      </c>
      <c r="CE33" s="4337">
        <f t="shared" si="159"/>
        <v>5606.2374499999996</v>
      </c>
      <c r="CF33" s="4337">
        <f t="shared" si="130"/>
        <v>5596.6042599999992</v>
      </c>
      <c r="CG33" s="4337">
        <f t="shared" si="130"/>
        <v>9.633189999999999</v>
      </c>
      <c r="CH33" s="4337">
        <f t="shared" si="131"/>
        <v>-4446.0581917600257</v>
      </c>
      <c r="CI33" s="4337">
        <f t="shared" si="131"/>
        <v>-4432.0249997600267</v>
      </c>
      <c r="CJ33" s="4337">
        <f t="shared" si="131"/>
        <v>-14.033192000000003</v>
      </c>
      <c r="CK33" s="2774"/>
      <c r="CL33" s="3575">
        <f t="shared" si="132"/>
        <v>10052.295641760025</v>
      </c>
      <c r="CM33" s="3575">
        <f t="shared" si="132"/>
        <v>10028.629259760026</v>
      </c>
      <c r="CN33" s="3575">
        <f t="shared" si="132"/>
        <v>23.666382000000002</v>
      </c>
    </row>
    <row r="34" spans="1:92" ht="18.75" customHeight="1" x14ac:dyDescent="0.3">
      <c r="A34" s="4334" t="s">
        <v>5</v>
      </c>
      <c r="B34" s="4317">
        <f t="shared" si="133"/>
        <v>756.43642171661145</v>
      </c>
      <c r="C34" s="4317">
        <f t="shared" si="160"/>
        <v>754.65552394908752</v>
      </c>
      <c r="D34" s="4317">
        <f t="shared" si="160"/>
        <v>1.7808977675238724</v>
      </c>
      <c r="E34" s="4335">
        <f t="shared" si="134"/>
        <v>311.62700000000001</v>
      </c>
      <c r="F34" s="4336">
        <f>2.015+309.612</f>
        <v>311.62700000000001</v>
      </c>
      <c r="G34" s="4336"/>
      <c r="H34" s="4335">
        <f t="shared" si="135"/>
        <v>240.52485999999999</v>
      </c>
      <c r="I34" s="4336">
        <f>1.53722+238.98764</f>
        <v>240.52485999999999</v>
      </c>
      <c r="J34" s="4336"/>
      <c r="K34" s="4335">
        <f t="shared" si="136"/>
        <v>231.10598000000002</v>
      </c>
      <c r="L34" s="4336">
        <f>1.491+229.501</f>
        <v>230.99200000000002</v>
      </c>
      <c r="M34" s="4336">
        <v>0.11398</v>
      </c>
      <c r="N34" s="4335">
        <f t="shared" si="161"/>
        <v>783.25783999999987</v>
      </c>
      <c r="O34" s="4335">
        <f t="shared" si="162"/>
        <v>783.1438599999999</v>
      </c>
      <c r="P34" s="4335">
        <f t="shared" si="162"/>
        <v>0.11398</v>
      </c>
      <c r="Q34" s="4317">
        <f t="shared" si="137"/>
        <v>756.43642171661145</v>
      </c>
      <c r="R34" s="4317">
        <f t="shared" si="138"/>
        <v>754.65552394908752</v>
      </c>
      <c r="S34" s="4317">
        <f t="shared" si="138"/>
        <v>1.7808977675238724</v>
      </c>
      <c r="T34" s="4335">
        <f t="shared" si="139"/>
        <v>222.411</v>
      </c>
      <c r="U34" s="4336">
        <f>1.455+220.283</f>
        <v>221.738</v>
      </c>
      <c r="V34" s="4336">
        <v>0.67300000000000004</v>
      </c>
      <c r="W34" s="4335">
        <f t="shared" si="140"/>
        <v>247.33</v>
      </c>
      <c r="X34" s="4336">
        <f>1.581+244.758</f>
        <v>246.339</v>
      </c>
      <c r="Y34" s="4336">
        <v>0.99099999999999999</v>
      </c>
      <c r="Z34" s="4335">
        <f t="shared" si="141"/>
        <v>245.12693999999999</v>
      </c>
      <c r="AA34" s="4336">
        <f>1.585+242.914</f>
        <v>244.499</v>
      </c>
      <c r="AB34" s="4336">
        <v>0.62794000000000005</v>
      </c>
      <c r="AC34" s="4335">
        <f t="shared" si="163"/>
        <v>714.86793999999998</v>
      </c>
      <c r="AD34" s="4335">
        <f t="shared" si="164"/>
        <v>712.57600000000002</v>
      </c>
      <c r="AE34" s="4335">
        <f t="shared" si="164"/>
        <v>2.2919400000000003</v>
      </c>
      <c r="AF34" s="4318">
        <f t="shared" si="142"/>
        <v>1512.8728434332229</v>
      </c>
      <c r="AG34" s="4318">
        <f t="shared" si="143"/>
        <v>1509.311047898175</v>
      </c>
      <c r="AH34" s="4318">
        <f t="shared" si="143"/>
        <v>3.5617955350477448</v>
      </c>
      <c r="AI34" s="4337">
        <f t="shared" si="144"/>
        <v>1498.1257799999998</v>
      </c>
      <c r="AJ34" s="4337">
        <f t="shared" si="144"/>
        <v>1495.7198599999999</v>
      </c>
      <c r="AK34" s="4337">
        <f t="shared" si="144"/>
        <v>2.4059200000000005</v>
      </c>
      <c r="AL34" s="4337">
        <f t="shared" si="114"/>
        <v>-14.747063433223047</v>
      </c>
      <c r="AM34" s="4337">
        <f t="shared" si="114"/>
        <v>-13.591187898175122</v>
      </c>
      <c r="AN34" s="4337">
        <f t="shared" si="114"/>
        <v>-1.1558755350477443</v>
      </c>
      <c r="AO34" s="4317">
        <f t="shared" si="145"/>
        <v>756.43642171661145</v>
      </c>
      <c r="AP34" s="4317">
        <f t="shared" si="146"/>
        <v>754.65552394908752</v>
      </c>
      <c r="AQ34" s="4317">
        <f t="shared" si="146"/>
        <v>1.7808977675238724</v>
      </c>
      <c r="AR34" s="4335">
        <f t="shared" si="147"/>
        <v>137.74164000000002</v>
      </c>
      <c r="AS34" s="4336">
        <f>0.877+136.366</f>
        <v>137.24300000000002</v>
      </c>
      <c r="AT34" s="4336">
        <v>0.49864000000000003</v>
      </c>
      <c r="AU34" s="4335">
        <f t="shared" si="148"/>
        <v>0</v>
      </c>
      <c r="AV34" s="4336"/>
      <c r="AW34" s="4336"/>
      <c r="AX34" s="4335">
        <f t="shared" si="149"/>
        <v>0</v>
      </c>
      <c r="AY34" s="4336"/>
      <c r="AZ34" s="4336"/>
      <c r="BA34" s="4335">
        <f t="shared" si="165"/>
        <v>137.74164000000002</v>
      </c>
      <c r="BB34" s="4335">
        <f t="shared" si="166"/>
        <v>137.24300000000002</v>
      </c>
      <c r="BC34" s="4335">
        <f t="shared" si="166"/>
        <v>0.49864000000000003</v>
      </c>
      <c r="BD34" s="4318">
        <f t="shared" si="150"/>
        <v>2269.3092651498341</v>
      </c>
      <c r="BE34" s="4318">
        <f t="shared" si="151"/>
        <v>2263.9665718472625</v>
      </c>
      <c r="BF34" s="4318">
        <f t="shared" si="151"/>
        <v>5.3426933025716172</v>
      </c>
      <c r="BG34" s="4337">
        <f t="shared" si="152"/>
        <v>1635.8674199999998</v>
      </c>
      <c r="BH34" s="4337">
        <f t="shared" si="152"/>
        <v>1632.9628599999999</v>
      </c>
      <c r="BI34" s="4337">
        <f t="shared" si="152"/>
        <v>2.9045600000000005</v>
      </c>
      <c r="BJ34" s="4337">
        <f t="shared" si="122"/>
        <v>-633.44184514983431</v>
      </c>
      <c r="BK34" s="4337">
        <f t="shared" si="122"/>
        <v>-631.00371184726259</v>
      </c>
      <c r="BL34" s="4337">
        <f t="shared" si="122"/>
        <v>-2.4381333025716168</v>
      </c>
      <c r="BM34" s="4317">
        <f t="shared" si="153"/>
        <v>756.43642171661145</v>
      </c>
      <c r="BN34" s="4317">
        <f t="shared" si="154"/>
        <v>754.65552394908752</v>
      </c>
      <c r="BO34" s="4317">
        <f t="shared" si="154"/>
        <v>1.7808977675238724</v>
      </c>
      <c r="BP34" s="4335">
        <f t="shared" si="155"/>
        <v>0</v>
      </c>
      <c r="BQ34" s="4336"/>
      <c r="BR34" s="4336"/>
      <c r="BS34" s="4335">
        <f t="shared" si="156"/>
        <v>0</v>
      </c>
      <c r="BT34" s="4336"/>
      <c r="BU34" s="4336"/>
      <c r="BV34" s="4335">
        <f t="shared" si="157"/>
        <v>0</v>
      </c>
      <c r="BW34" s="4336"/>
      <c r="BX34" s="4336"/>
      <c r="BY34" s="4335">
        <f t="shared" si="167"/>
        <v>0</v>
      </c>
      <c r="BZ34" s="4335">
        <f t="shared" si="168"/>
        <v>0</v>
      </c>
      <c r="CA34" s="4335">
        <f t="shared" si="168"/>
        <v>0</v>
      </c>
      <c r="CB34" s="4318">
        <f t="shared" si="158"/>
        <v>3025.7456868664458</v>
      </c>
      <c r="CC34" s="4318">
        <f>SUM(вода!EF14)</f>
        <v>3018.6220957963501</v>
      </c>
      <c r="CD34" s="4318">
        <f>SUM(вода!EG14)</f>
        <v>7.1235910700954896</v>
      </c>
      <c r="CE34" s="4337">
        <f t="shared" si="159"/>
        <v>1635.8674199999998</v>
      </c>
      <c r="CF34" s="4337">
        <f t="shared" si="130"/>
        <v>1632.9628599999999</v>
      </c>
      <c r="CG34" s="4337">
        <f t="shared" si="130"/>
        <v>2.9045600000000005</v>
      </c>
      <c r="CH34" s="4337">
        <f t="shared" si="131"/>
        <v>-1389.878266866446</v>
      </c>
      <c r="CI34" s="4337">
        <f t="shared" si="131"/>
        <v>-1385.6592357963502</v>
      </c>
      <c r="CJ34" s="4337">
        <f t="shared" si="131"/>
        <v>-4.2190310700954896</v>
      </c>
      <c r="CK34" s="2774"/>
      <c r="CL34" s="3575">
        <f t="shared" si="132"/>
        <v>3025.7456868664458</v>
      </c>
      <c r="CM34" s="3575">
        <f t="shared" si="132"/>
        <v>3018.6220957963501</v>
      </c>
      <c r="CN34" s="3575">
        <f t="shared" si="132"/>
        <v>7.1235910700954896</v>
      </c>
    </row>
    <row r="35" spans="1:92" ht="18.75" customHeight="1" x14ac:dyDescent="0.2">
      <c r="A35" s="4339" t="s">
        <v>308</v>
      </c>
      <c r="B35" s="4321">
        <f t="shared" ref="B35:AK35" si="169">SUM(B34/B33)</f>
        <v>0.30100046742523756</v>
      </c>
      <c r="C35" s="4321">
        <f t="shared" si="169"/>
        <v>0.30100046752237625</v>
      </c>
      <c r="D35" s="4321">
        <f t="shared" si="169"/>
        <v>0.30100042626268303</v>
      </c>
      <c r="E35" s="4321">
        <f t="shared" si="169"/>
        <v>0.29666697447799806</v>
      </c>
      <c r="F35" s="4321">
        <f t="shared" si="169"/>
        <v>0.29666697447799806</v>
      </c>
      <c r="G35" s="4321" t="e">
        <f t="shared" si="169"/>
        <v>#DIV/0!</v>
      </c>
      <c r="H35" s="4321">
        <f t="shared" si="169"/>
        <v>0.30192974297601355</v>
      </c>
      <c r="I35" s="4321">
        <f t="shared" si="169"/>
        <v>0.30192974297601355</v>
      </c>
      <c r="J35" s="4321" t="e">
        <f t="shared" si="169"/>
        <v>#DIV/0!</v>
      </c>
      <c r="K35" s="4321">
        <f t="shared" si="169"/>
        <v>0.30305626498522659</v>
      </c>
      <c r="L35" s="4321">
        <f t="shared" si="169"/>
        <v>0.3030567811631224</v>
      </c>
      <c r="M35" s="4321">
        <f t="shared" si="169"/>
        <v>0.30201377848436672</v>
      </c>
      <c r="N35" s="4321">
        <f t="shared" si="169"/>
        <v>0.30014057205956018</v>
      </c>
      <c r="O35" s="4321">
        <f t="shared" si="169"/>
        <v>0.30014030112132284</v>
      </c>
      <c r="P35" s="4321">
        <f t="shared" si="169"/>
        <v>0.30201377848436672</v>
      </c>
      <c r="Q35" s="4321">
        <f t="shared" si="169"/>
        <v>0.30100046742523756</v>
      </c>
      <c r="R35" s="4321">
        <f t="shared" si="169"/>
        <v>0.30100046752237625</v>
      </c>
      <c r="S35" s="4321">
        <f t="shared" si="169"/>
        <v>0.30100042626268303</v>
      </c>
      <c r="T35" s="4321">
        <f t="shared" si="169"/>
        <v>0.30163354150985616</v>
      </c>
      <c r="U35" s="4321">
        <f t="shared" si="169"/>
        <v>0.30167491357413306</v>
      </c>
      <c r="V35" s="4321">
        <f t="shared" si="169"/>
        <v>0.28859348198970847</v>
      </c>
      <c r="W35" s="4321">
        <f t="shared" si="169"/>
        <v>0.30923169059076971</v>
      </c>
      <c r="X35" s="4321">
        <f t="shared" si="169"/>
        <v>0.30922558973277497</v>
      </c>
      <c r="Y35" s="4321">
        <f t="shared" si="169"/>
        <v>0.31075572279711505</v>
      </c>
      <c r="Z35" s="4321">
        <f t="shared" si="169"/>
        <v>0.31801765921057545</v>
      </c>
      <c r="AA35" s="4321">
        <f t="shared" si="169"/>
        <v>0.31806278806264499</v>
      </c>
      <c r="AB35" s="4321">
        <f t="shared" si="169"/>
        <v>0.30136828515619379</v>
      </c>
      <c r="AC35" s="4321">
        <f t="shared" si="169"/>
        <v>0.30973848247065222</v>
      </c>
      <c r="AD35" s="4321">
        <f t="shared" si="169"/>
        <v>0.30976608959957713</v>
      </c>
      <c r="AE35" s="4321">
        <f t="shared" si="169"/>
        <v>0.30138744422805586</v>
      </c>
      <c r="AF35" s="4322">
        <f t="shared" si="169"/>
        <v>0.30100046742523756</v>
      </c>
      <c r="AG35" s="4322">
        <f t="shared" si="169"/>
        <v>0.30100046752237625</v>
      </c>
      <c r="AH35" s="4322">
        <f t="shared" si="169"/>
        <v>0.30100042626268303</v>
      </c>
      <c r="AI35" s="4322">
        <f t="shared" si="169"/>
        <v>0.30464514190796971</v>
      </c>
      <c r="AJ35" s="4322">
        <f t="shared" si="169"/>
        <v>0.30465039009906431</v>
      </c>
      <c r="AK35" s="4322">
        <f t="shared" si="169"/>
        <v>0.30141705806668234</v>
      </c>
      <c r="AL35" s="4340">
        <f t="shared" si="114"/>
        <v>3.6446744827321464E-3</v>
      </c>
      <c r="AM35" s="4340">
        <f t="shared" si="114"/>
        <v>3.6499225766880583E-3</v>
      </c>
      <c r="AN35" s="4340">
        <f t="shared" si="114"/>
        <v>4.1663180399931221E-4</v>
      </c>
      <c r="AO35" s="4321">
        <f t="shared" ref="AO35:BI35" si="170">SUM(AO34/AO33)</f>
        <v>0.30100046742523756</v>
      </c>
      <c r="AP35" s="4321">
        <f t="shared" si="170"/>
        <v>0.30100046752237625</v>
      </c>
      <c r="AQ35" s="4321">
        <f t="shared" si="170"/>
        <v>0.30100042626268303</v>
      </c>
      <c r="AR35" s="4321">
        <f t="shared" si="170"/>
        <v>0.20002324621752329</v>
      </c>
      <c r="AS35" s="4321">
        <f t="shared" si="170"/>
        <v>0.19977815851185707</v>
      </c>
      <c r="AT35" s="4321">
        <f t="shared" si="170"/>
        <v>0.30199374984859134</v>
      </c>
      <c r="AU35" s="4321" t="e">
        <f t="shared" si="170"/>
        <v>#DIV/0!</v>
      </c>
      <c r="AV35" s="4321" t="e">
        <f t="shared" si="170"/>
        <v>#DIV/0!</v>
      </c>
      <c r="AW35" s="4321" t="e">
        <f t="shared" si="170"/>
        <v>#DIV/0!</v>
      </c>
      <c r="AX35" s="4321" t="e">
        <f t="shared" si="170"/>
        <v>#DIV/0!</v>
      </c>
      <c r="AY35" s="4321" t="e">
        <f t="shared" si="170"/>
        <v>#DIV/0!</v>
      </c>
      <c r="AZ35" s="4321" t="e">
        <f t="shared" si="170"/>
        <v>#DIV/0!</v>
      </c>
      <c r="BA35" s="4321">
        <f t="shared" si="170"/>
        <v>0.20002324621752329</v>
      </c>
      <c r="BB35" s="4321">
        <f t="shared" si="170"/>
        <v>0.19977815851185707</v>
      </c>
      <c r="BC35" s="4321">
        <f t="shared" si="170"/>
        <v>0.30199374984859134</v>
      </c>
      <c r="BD35" s="4322">
        <f t="shared" si="170"/>
        <v>0.30100046742523751</v>
      </c>
      <c r="BE35" s="4322">
        <f t="shared" si="170"/>
        <v>0.30100046752237625</v>
      </c>
      <c r="BF35" s="4322">
        <f t="shared" si="170"/>
        <v>0.30100042626268303</v>
      </c>
      <c r="BG35" s="4322">
        <f t="shared" si="170"/>
        <v>0.2917941729350047</v>
      </c>
      <c r="BH35" s="4322">
        <f t="shared" si="170"/>
        <v>0.291777439343192</v>
      </c>
      <c r="BI35" s="4322">
        <f t="shared" si="170"/>
        <v>0.30151590490792779</v>
      </c>
      <c r="BJ35" s="4340">
        <f t="shared" si="122"/>
        <v>-9.2062944902328026E-3</v>
      </c>
      <c r="BK35" s="4340">
        <f t="shared" si="122"/>
        <v>-9.223028179184245E-3</v>
      </c>
      <c r="BL35" s="4340">
        <f t="shared" si="122"/>
        <v>5.1547864524476017E-4</v>
      </c>
      <c r="BM35" s="4321">
        <f t="shared" ref="BM35:CG35" si="171">SUM(BM34/BM33)</f>
        <v>0.30100046742523756</v>
      </c>
      <c r="BN35" s="4321">
        <f t="shared" si="171"/>
        <v>0.30100046752237625</v>
      </c>
      <c r="BO35" s="4321">
        <f t="shared" si="171"/>
        <v>0.30100042626268303</v>
      </c>
      <c r="BP35" s="4321" t="e">
        <f t="shared" si="171"/>
        <v>#DIV/0!</v>
      </c>
      <c r="BQ35" s="4321" t="e">
        <f t="shared" si="171"/>
        <v>#DIV/0!</v>
      </c>
      <c r="BR35" s="4321" t="e">
        <f t="shared" si="171"/>
        <v>#DIV/0!</v>
      </c>
      <c r="BS35" s="4321" t="e">
        <f t="shared" si="171"/>
        <v>#DIV/0!</v>
      </c>
      <c r="BT35" s="4321" t="e">
        <f t="shared" si="171"/>
        <v>#DIV/0!</v>
      </c>
      <c r="BU35" s="4321" t="e">
        <f t="shared" si="171"/>
        <v>#DIV/0!</v>
      </c>
      <c r="BV35" s="4321" t="e">
        <f t="shared" si="171"/>
        <v>#DIV/0!</v>
      </c>
      <c r="BW35" s="4321" t="e">
        <f t="shared" si="171"/>
        <v>#DIV/0!</v>
      </c>
      <c r="BX35" s="4321" t="e">
        <f t="shared" si="171"/>
        <v>#DIV/0!</v>
      </c>
      <c r="BY35" s="4321" t="e">
        <f t="shared" si="171"/>
        <v>#DIV/0!</v>
      </c>
      <c r="BZ35" s="4321" t="e">
        <f t="shared" si="171"/>
        <v>#DIV/0!</v>
      </c>
      <c r="CA35" s="4321" t="e">
        <f t="shared" si="171"/>
        <v>#DIV/0!</v>
      </c>
      <c r="CB35" s="4322">
        <f t="shared" si="171"/>
        <v>0.30100046742523756</v>
      </c>
      <c r="CC35" s="4322">
        <f t="shared" si="171"/>
        <v>0.30100046752237625</v>
      </c>
      <c r="CD35" s="4322">
        <f t="shared" si="171"/>
        <v>0.30100042626268303</v>
      </c>
      <c r="CE35" s="4322">
        <f t="shared" si="171"/>
        <v>0.2917941729350047</v>
      </c>
      <c r="CF35" s="4322">
        <f t="shared" si="171"/>
        <v>0.291777439343192</v>
      </c>
      <c r="CG35" s="4322">
        <f t="shared" si="171"/>
        <v>0.30151590490792779</v>
      </c>
      <c r="CH35" s="4340">
        <f t="shared" si="131"/>
        <v>-9.2062944902328581E-3</v>
      </c>
      <c r="CI35" s="4340">
        <f t="shared" si="131"/>
        <v>-9.223028179184245E-3</v>
      </c>
      <c r="CJ35" s="4340">
        <f t="shared" si="131"/>
        <v>5.1547864524476017E-4</v>
      </c>
      <c r="CK35" s="2774"/>
      <c r="CL35" s="3575">
        <f t="shared" si="132"/>
        <v>1.2040018697009502</v>
      </c>
      <c r="CM35" s="3575">
        <f t="shared" si="132"/>
        <v>1.204001870089505</v>
      </c>
      <c r="CN35" s="3575">
        <f t="shared" si="132"/>
        <v>1.2040017050507321</v>
      </c>
    </row>
    <row r="36" spans="1:92" ht="18.75" customHeight="1" x14ac:dyDescent="0.3">
      <c r="A36" s="4341" t="s">
        <v>3693</v>
      </c>
      <c r="B36" s="4312">
        <f>SUM(C36:D36)</f>
        <v>237.13647009976677</v>
      </c>
      <c r="C36" s="4312">
        <f t="shared" ref="C36:G36" si="172">SUM(C37:C45)+C49</f>
        <v>237.13647009976677</v>
      </c>
      <c r="D36" s="4312">
        <f t="shared" si="172"/>
        <v>0</v>
      </c>
      <c r="E36" s="4332">
        <f t="shared" si="134"/>
        <v>66.855999999999995</v>
      </c>
      <c r="F36" s="3026">
        <f>SUM(F37:F45)+F49</f>
        <v>66.855999999999995</v>
      </c>
      <c r="G36" s="3026">
        <f t="shared" si="172"/>
        <v>0</v>
      </c>
      <c r="H36" s="4332">
        <f t="shared" si="135"/>
        <v>69.855999999999995</v>
      </c>
      <c r="I36" s="3026">
        <f t="shared" ref="I36:J36" si="173">SUM(I37:I45)+I49</f>
        <v>69.855999999999995</v>
      </c>
      <c r="J36" s="3026">
        <f t="shared" si="173"/>
        <v>0</v>
      </c>
      <c r="K36" s="4332">
        <f t="shared" si="136"/>
        <v>85.457999999999998</v>
      </c>
      <c r="L36" s="3026">
        <f t="shared" ref="L36:M36" si="174">SUM(L37:L45)+L49</f>
        <v>85.457999999999998</v>
      </c>
      <c r="M36" s="3026">
        <f t="shared" si="174"/>
        <v>0</v>
      </c>
      <c r="N36" s="4332">
        <f>SUM(O36:P36)</f>
        <v>222.17</v>
      </c>
      <c r="O36" s="3026">
        <f t="shared" ref="O36:P36" si="175">SUM(O37:O45)+O49</f>
        <v>222.17</v>
      </c>
      <c r="P36" s="3026">
        <f t="shared" si="175"/>
        <v>0</v>
      </c>
      <c r="Q36" s="4312">
        <f>SUM(R36:S36)</f>
        <v>237.13647009976677</v>
      </c>
      <c r="R36" s="4312">
        <f t="shared" ref="R36:S36" si="176">SUM(R37:R45)+R49</f>
        <v>237.13647009976677</v>
      </c>
      <c r="S36" s="4312">
        <f t="shared" si="176"/>
        <v>0</v>
      </c>
      <c r="T36" s="4332">
        <f t="shared" ref="T36:T99" si="177">SUM(U36:V36)</f>
        <v>69.855999999999995</v>
      </c>
      <c r="U36" s="3026">
        <f t="shared" ref="U36:V36" si="178">SUM(U37:U45)+U49</f>
        <v>69.855999999999995</v>
      </c>
      <c r="V36" s="3026">
        <f t="shared" si="178"/>
        <v>0</v>
      </c>
      <c r="W36" s="4332">
        <f t="shared" ref="W36:W99" si="179">SUM(X36:Y36)</f>
        <v>66.855999999999995</v>
      </c>
      <c r="X36" s="3026">
        <f t="shared" ref="X36:Y36" si="180">SUM(X37:X45)+X49</f>
        <v>66.855999999999995</v>
      </c>
      <c r="Y36" s="3026">
        <f t="shared" si="180"/>
        <v>0</v>
      </c>
      <c r="Z36" s="4332">
        <f t="shared" ref="Z36:Z99" si="181">SUM(AA36:AB36)</f>
        <v>86.643000000000001</v>
      </c>
      <c r="AA36" s="3026">
        <f t="shared" ref="AA36:AB36" si="182">SUM(AA37:AA45)+AA49</f>
        <v>86.643000000000001</v>
      </c>
      <c r="AB36" s="3026">
        <f t="shared" si="182"/>
        <v>0</v>
      </c>
      <c r="AC36" s="4332">
        <f>SUM(AD36:AE36)</f>
        <v>223.35499999999999</v>
      </c>
      <c r="AD36" s="3026">
        <f t="shared" ref="AD36:AE36" si="183">SUM(AD37:AD45)+AD49</f>
        <v>223.35499999999999</v>
      </c>
      <c r="AE36" s="3026">
        <f t="shared" si="183"/>
        <v>0</v>
      </c>
      <c r="AF36" s="4313">
        <f>SUM(AG36:AH36)</f>
        <v>474.27294019953354</v>
      </c>
      <c r="AG36" s="4313">
        <f t="shared" ref="AG36:AH36" si="184">SUM(AG37:AG45)+AG49</f>
        <v>474.27294019953354</v>
      </c>
      <c r="AH36" s="4313">
        <f t="shared" si="184"/>
        <v>0</v>
      </c>
      <c r="AI36" s="4333">
        <f t="shared" ref="AI36:AI51" si="185">SUM(AC36+N36)</f>
        <v>445.52499999999998</v>
      </c>
      <c r="AJ36" s="4333">
        <f t="shared" ref="AJ36:AK51" si="186">SUM(AD36+O36)</f>
        <v>445.52499999999998</v>
      </c>
      <c r="AK36" s="4333">
        <f t="shared" si="186"/>
        <v>0</v>
      </c>
      <c r="AL36" s="4333">
        <f t="shared" si="114"/>
        <v>-28.747940199533559</v>
      </c>
      <c r="AM36" s="4333">
        <f t="shared" si="114"/>
        <v>-28.747940199533559</v>
      </c>
      <c r="AN36" s="4333">
        <f t="shared" si="114"/>
        <v>0</v>
      </c>
      <c r="AO36" s="4312">
        <f>SUM(AP36:AQ36)</f>
        <v>237.13647009976677</v>
      </c>
      <c r="AP36" s="4312">
        <f t="shared" ref="AP36:AQ36" si="187">SUM(AP37:AP45)+AP49</f>
        <v>237.13647009976677</v>
      </c>
      <c r="AQ36" s="4312">
        <f t="shared" si="187"/>
        <v>0</v>
      </c>
      <c r="AR36" s="4332">
        <f t="shared" ref="AR36:AR99" si="188">SUM(AS36:AT36)</f>
        <v>66.855999999999995</v>
      </c>
      <c r="AS36" s="3026">
        <f t="shared" ref="AS36:AT36" si="189">SUM(AS37:AS45)+AS49</f>
        <v>66.855999999999995</v>
      </c>
      <c r="AT36" s="3026">
        <f t="shared" si="189"/>
        <v>0</v>
      </c>
      <c r="AU36" s="4332">
        <f t="shared" ref="AU36:AU99" si="190">SUM(AV36:AW36)</f>
        <v>0</v>
      </c>
      <c r="AV36" s="3026">
        <f t="shared" ref="AV36:AW36" si="191">SUM(AV37:AV45)+AV49</f>
        <v>0</v>
      </c>
      <c r="AW36" s="3026">
        <f t="shared" si="191"/>
        <v>0</v>
      </c>
      <c r="AX36" s="4332">
        <f t="shared" ref="AX36:AX99" si="192">SUM(AY36:AZ36)</f>
        <v>0</v>
      </c>
      <c r="AY36" s="3026">
        <f t="shared" ref="AY36:AZ36" si="193">SUM(AY37:AY45)+AY49</f>
        <v>0</v>
      </c>
      <c r="AZ36" s="3026">
        <f t="shared" si="193"/>
        <v>0</v>
      </c>
      <c r="BA36" s="4332">
        <f>SUM(BB36:BC36)</f>
        <v>66.855999999999995</v>
      </c>
      <c r="BB36" s="3026">
        <f t="shared" ref="BB36:BC36" si="194">SUM(BB37:BB45)+BB49</f>
        <v>66.855999999999995</v>
      </c>
      <c r="BC36" s="3026">
        <f t="shared" si="194"/>
        <v>0</v>
      </c>
      <c r="BD36" s="4313">
        <f t="shared" ref="BD36" si="195">SUM(BE36:BF36)</f>
        <v>711.40941029930036</v>
      </c>
      <c r="BE36" s="4313">
        <f t="shared" ref="BE36" si="196">SUM(AG36+AP36)</f>
        <v>711.40941029930036</v>
      </c>
      <c r="BF36" s="4313">
        <f t="shared" ref="BF36:BF52" si="197">SUM(AH36+AQ36)</f>
        <v>0</v>
      </c>
      <c r="BG36" s="4333">
        <f t="shared" ref="BG36:BI51" si="198">SUM(AI36+BA36)</f>
        <v>512.38099999999997</v>
      </c>
      <c r="BH36" s="4333">
        <f t="shared" si="198"/>
        <v>512.38099999999997</v>
      </c>
      <c r="BI36" s="4333">
        <f t="shared" si="198"/>
        <v>0</v>
      </c>
      <c r="BJ36" s="4333">
        <f t="shared" si="122"/>
        <v>-199.02841029930039</v>
      </c>
      <c r="BK36" s="4333">
        <f t="shared" si="122"/>
        <v>-199.02841029930039</v>
      </c>
      <c r="BL36" s="4333">
        <f t="shared" si="122"/>
        <v>0</v>
      </c>
      <c r="BM36" s="4312">
        <f>SUM(BN36:BO36)</f>
        <v>237.13647009976677</v>
      </c>
      <c r="BN36" s="4312">
        <f t="shared" ref="BN36:BO36" si="199">SUM(BN37:BN45)+BN49</f>
        <v>237.13647009976677</v>
      </c>
      <c r="BO36" s="4312">
        <f t="shared" si="199"/>
        <v>0</v>
      </c>
      <c r="BP36" s="4332">
        <f t="shared" ref="BP36:BP99" si="200">SUM(BQ36:BR36)</f>
        <v>0</v>
      </c>
      <c r="BQ36" s="3026">
        <f t="shared" ref="BQ36:BR36" si="201">SUM(BQ37:BQ45)+BQ49</f>
        <v>0</v>
      </c>
      <c r="BR36" s="3026">
        <f t="shared" si="201"/>
        <v>0</v>
      </c>
      <c r="BS36" s="4332">
        <f t="shared" ref="BS36:BS99" si="202">SUM(BT36:BU36)</f>
        <v>0</v>
      </c>
      <c r="BT36" s="3026">
        <f t="shared" ref="BT36:BU36" si="203">SUM(BT37:BT45)+BT49</f>
        <v>0</v>
      </c>
      <c r="BU36" s="3026">
        <f t="shared" si="203"/>
        <v>0</v>
      </c>
      <c r="BV36" s="4332">
        <f t="shared" ref="BV36:BV99" si="204">SUM(BW36:BX36)</f>
        <v>0</v>
      </c>
      <c r="BW36" s="3026">
        <f t="shared" ref="BW36:BX36" si="205">SUM(BW37:BW45)+BW49</f>
        <v>0</v>
      </c>
      <c r="BX36" s="3026">
        <f t="shared" si="205"/>
        <v>0</v>
      </c>
      <c r="BY36" s="4332">
        <f>SUM(BZ36:CA36)</f>
        <v>0</v>
      </c>
      <c r="BZ36" s="3026">
        <f t="shared" ref="BZ36:CA36" si="206">SUM(BZ37:BZ45)+BZ49</f>
        <v>0</v>
      </c>
      <c r="CA36" s="3026">
        <f t="shared" si="206"/>
        <v>0</v>
      </c>
      <c r="CB36" s="4313">
        <f>SUM(CC36:CD36)</f>
        <v>948.54588046298636</v>
      </c>
      <c r="CC36" s="4313">
        <f>SUM(вода!EF16)</f>
        <v>948.54588046298636</v>
      </c>
      <c r="CD36" s="4313">
        <f>SUM(вода!EG16)</f>
        <v>0</v>
      </c>
      <c r="CE36" s="4333">
        <f t="shared" ref="CE36:CG51" si="207">SUM(BY36+BG36)</f>
        <v>512.38099999999997</v>
      </c>
      <c r="CF36" s="4333">
        <f t="shared" si="207"/>
        <v>512.38099999999997</v>
      </c>
      <c r="CG36" s="4333">
        <f t="shared" si="207"/>
        <v>0</v>
      </c>
      <c r="CH36" s="4333">
        <f t="shared" si="131"/>
        <v>-436.16488046298639</v>
      </c>
      <c r="CI36" s="4333">
        <f t="shared" si="131"/>
        <v>-436.16488046298639</v>
      </c>
      <c r="CJ36" s="4333">
        <f t="shared" si="131"/>
        <v>0</v>
      </c>
      <c r="CK36" s="2780"/>
      <c r="CL36" s="3575">
        <f t="shared" si="132"/>
        <v>948.54588039906707</v>
      </c>
      <c r="CM36" s="3575">
        <f t="shared" si="132"/>
        <v>948.54588039906707</v>
      </c>
      <c r="CN36" s="3575">
        <f t="shared" si="132"/>
        <v>0</v>
      </c>
    </row>
    <row r="37" spans="1:92" ht="18.75" customHeight="1" x14ac:dyDescent="0.3">
      <c r="A37" s="4342" t="s">
        <v>70</v>
      </c>
      <c r="B37" s="4317">
        <f t="shared" ref="B37:B44" si="208">SUM(C37:D37)</f>
        <v>0</v>
      </c>
      <c r="C37" s="4317">
        <f t="shared" ref="C37:D44" si="209">SUM(CC37/4)</f>
        <v>0</v>
      </c>
      <c r="D37" s="4317">
        <f t="shared" si="209"/>
        <v>0</v>
      </c>
      <c r="E37" s="4335">
        <f t="shared" si="134"/>
        <v>0</v>
      </c>
      <c r="F37" s="4336"/>
      <c r="G37" s="4336"/>
      <c r="H37" s="4335">
        <f t="shared" si="135"/>
        <v>0</v>
      </c>
      <c r="I37" s="4336"/>
      <c r="J37" s="4336"/>
      <c r="K37" s="4335">
        <f t="shared" si="136"/>
        <v>0</v>
      </c>
      <c r="L37" s="4336"/>
      <c r="M37" s="4336"/>
      <c r="N37" s="4335">
        <f t="shared" ref="N37:N51" si="210">SUM(O37:P37)</f>
        <v>0</v>
      </c>
      <c r="O37" s="4335">
        <f t="shared" ref="O37:P44" si="211">SUM(F37+I37+L37)</f>
        <v>0</v>
      </c>
      <c r="P37" s="4335">
        <f t="shared" si="211"/>
        <v>0</v>
      </c>
      <c r="Q37" s="4317">
        <f t="shared" ref="Q37:Q51" si="212">SUM(R37:S37)</f>
        <v>0</v>
      </c>
      <c r="R37" s="4317">
        <f t="shared" ref="R37:R51" si="213">SUM(C37)</f>
        <v>0</v>
      </c>
      <c r="S37" s="4317">
        <f t="shared" ref="S37:S51" si="214">SUM(D37)</f>
        <v>0</v>
      </c>
      <c r="T37" s="4335">
        <f t="shared" si="177"/>
        <v>0</v>
      </c>
      <c r="U37" s="4336"/>
      <c r="V37" s="4336"/>
      <c r="W37" s="4335">
        <f t="shared" si="179"/>
        <v>0</v>
      </c>
      <c r="X37" s="4336"/>
      <c r="Y37" s="4336"/>
      <c r="Z37" s="4335">
        <f t="shared" si="181"/>
        <v>0</v>
      </c>
      <c r="AA37" s="4336"/>
      <c r="AB37" s="4336"/>
      <c r="AC37" s="4335">
        <f t="shared" ref="AC37:AC59" si="215">SUM(AD37:AE37)</f>
        <v>0</v>
      </c>
      <c r="AD37" s="4335">
        <f t="shared" ref="AD37:AE44" si="216">SUM(U37+X37+AA37)</f>
        <v>0</v>
      </c>
      <c r="AE37" s="4335">
        <f t="shared" si="216"/>
        <v>0</v>
      </c>
      <c r="AF37" s="4318">
        <f t="shared" ref="AF37:AF51" si="217">SUM(AG37:AH37)</f>
        <v>0</v>
      </c>
      <c r="AG37" s="4318">
        <f t="shared" ref="AG37:AH52" si="218">SUM(C37+R37)</f>
        <v>0</v>
      </c>
      <c r="AH37" s="4318">
        <f t="shared" si="218"/>
        <v>0</v>
      </c>
      <c r="AI37" s="4337">
        <f t="shared" si="185"/>
        <v>0</v>
      </c>
      <c r="AJ37" s="4337">
        <f t="shared" si="186"/>
        <v>0</v>
      </c>
      <c r="AK37" s="4337">
        <f t="shared" si="186"/>
        <v>0</v>
      </c>
      <c r="AL37" s="4337">
        <f t="shared" si="114"/>
        <v>0</v>
      </c>
      <c r="AM37" s="4337">
        <f t="shared" si="114"/>
        <v>0</v>
      </c>
      <c r="AN37" s="4337">
        <f t="shared" si="114"/>
        <v>0</v>
      </c>
      <c r="AO37" s="4317">
        <f t="shared" ref="AO37:AO51" si="219">SUM(AP37:AQ37)</f>
        <v>0</v>
      </c>
      <c r="AP37" s="4317">
        <f t="shared" ref="AP37:AP51" si="220">SUM(CC37-AG37)/2</f>
        <v>0</v>
      </c>
      <c r="AQ37" s="4317">
        <f t="shared" ref="AQ37:AQ51" si="221">SUM(CD37-AH37)/2</f>
        <v>0</v>
      </c>
      <c r="AR37" s="4335">
        <f t="shared" si="188"/>
        <v>0</v>
      </c>
      <c r="AS37" s="4336"/>
      <c r="AT37" s="4336"/>
      <c r="AU37" s="4335">
        <f t="shared" si="190"/>
        <v>0</v>
      </c>
      <c r="AV37" s="4336"/>
      <c r="AW37" s="4336"/>
      <c r="AX37" s="4335">
        <f t="shared" si="192"/>
        <v>0</v>
      </c>
      <c r="AY37" s="4336"/>
      <c r="AZ37" s="4336"/>
      <c r="BA37" s="4335">
        <f t="shared" ref="BA37:BA59" si="222">SUM(BB37:BC37)</f>
        <v>0</v>
      </c>
      <c r="BB37" s="4335">
        <f t="shared" ref="BB37:BC44" si="223">SUM(AS37+AV37+AY37)</f>
        <v>0</v>
      </c>
      <c r="BC37" s="4335">
        <f t="shared" si="223"/>
        <v>0</v>
      </c>
      <c r="BD37" s="4318">
        <f t="shared" ref="BD37:BD51" si="224">SUM(BE37:BF37)</f>
        <v>0</v>
      </c>
      <c r="BE37" s="4318">
        <f t="shared" ref="BE37:BE51" si="225">SUM(AG37+AP37)</f>
        <v>0</v>
      </c>
      <c r="BF37" s="4318">
        <f t="shared" si="197"/>
        <v>0</v>
      </c>
      <c r="BG37" s="4337">
        <f t="shared" si="198"/>
        <v>0</v>
      </c>
      <c r="BH37" s="4337">
        <f t="shared" si="198"/>
        <v>0</v>
      </c>
      <c r="BI37" s="4337">
        <f t="shared" si="198"/>
        <v>0</v>
      </c>
      <c r="BJ37" s="4337">
        <f t="shared" si="122"/>
        <v>0</v>
      </c>
      <c r="BK37" s="4337">
        <f t="shared" si="122"/>
        <v>0</v>
      </c>
      <c r="BL37" s="4337">
        <f t="shared" si="122"/>
        <v>0</v>
      </c>
      <c r="BM37" s="4317">
        <f t="shared" ref="BM37:BM51" si="226">SUM(BN37:BO37)</f>
        <v>0</v>
      </c>
      <c r="BN37" s="4317">
        <f t="shared" ref="BN37:BN51" si="227">SUM(AP37)</f>
        <v>0</v>
      </c>
      <c r="BO37" s="4317">
        <f t="shared" ref="BO37:BO51" si="228">SUM(AQ37)</f>
        <v>0</v>
      </c>
      <c r="BP37" s="4335">
        <f t="shared" si="200"/>
        <v>0</v>
      </c>
      <c r="BQ37" s="4336"/>
      <c r="BR37" s="4336"/>
      <c r="BS37" s="4335">
        <f t="shared" si="202"/>
        <v>0</v>
      </c>
      <c r="BT37" s="4336"/>
      <c r="BU37" s="4336"/>
      <c r="BV37" s="4335">
        <f t="shared" si="204"/>
        <v>0</v>
      </c>
      <c r="BW37" s="4336"/>
      <c r="BX37" s="4336"/>
      <c r="BY37" s="4335">
        <f t="shared" ref="BY37:BY59" si="229">SUM(BZ37:CA37)</f>
        <v>0</v>
      </c>
      <c r="BZ37" s="4335">
        <f t="shared" ref="BZ37:CA44" si="230">SUM(BQ37+BT37+BW37)</f>
        <v>0</v>
      </c>
      <c r="CA37" s="4335">
        <f t="shared" si="230"/>
        <v>0</v>
      </c>
      <c r="CB37" s="4318">
        <f>SUM(CC37:CD37)</f>
        <v>0</v>
      </c>
      <c r="CC37" s="4318">
        <f>SUM(CC36*0)</f>
        <v>0</v>
      </c>
      <c r="CD37" s="4318">
        <v>0</v>
      </c>
      <c r="CE37" s="4337">
        <f t="shared" si="207"/>
        <v>0</v>
      </c>
      <c r="CF37" s="4337">
        <f t="shared" si="207"/>
        <v>0</v>
      </c>
      <c r="CG37" s="4337">
        <f t="shared" si="207"/>
        <v>0</v>
      </c>
      <c r="CH37" s="4337">
        <f t="shared" si="131"/>
        <v>0</v>
      </c>
      <c r="CI37" s="4337">
        <f t="shared" si="131"/>
        <v>0</v>
      </c>
      <c r="CJ37" s="4337">
        <f t="shared" si="131"/>
        <v>0</v>
      </c>
      <c r="CK37" s="2774"/>
      <c r="CL37" s="3575">
        <f t="shared" si="132"/>
        <v>0</v>
      </c>
      <c r="CM37" s="3575">
        <f t="shared" si="132"/>
        <v>0</v>
      </c>
      <c r="CN37" s="3575">
        <f t="shared" si="132"/>
        <v>0</v>
      </c>
    </row>
    <row r="38" spans="1:92" ht="18.75" customHeight="1" x14ac:dyDescent="0.3">
      <c r="A38" s="4342" t="s">
        <v>113</v>
      </c>
      <c r="B38" s="4317">
        <f t="shared" si="208"/>
        <v>0</v>
      </c>
      <c r="C38" s="4317">
        <f t="shared" si="209"/>
        <v>0</v>
      </c>
      <c r="D38" s="4317">
        <f t="shared" si="209"/>
        <v>0</v>
      </c>
      <c r="E38" s="4335">
        <f t="shared" si="134"/>
        <v>0</v>
      </c>
      <c r="F38" s="4336"/>
      <c r="G38" s="4336"/>
      <c r="H38" s="4335">
        <f t="shared" si="135"/>
        <v>0</v>
      </c>
      <c r="I38" s="4336"/>
      <c r="J38" s="4336"/>
      <c r="K38" s="4335">
        <f t="shared" si="136"/>
        <v>0</v>
      </c>
      <c r="L38" s="4336"/>
      <c r="M38" s="4336"/>
      <c r="N38" s="4335">
        <f t="shared" si="210"/>
        <v>0</v>
      </c>
      <c r="O38" s="4335">
        <f t="shared" si="211"/>
        <v>0</v>
      </c>
      <c r="P38" s="4335">
        <f t="shared" si="211"/>
        <v>0</v>
      </c>
      <c r="Q38" s="4317">
        <f t="shared" si="212"/>
        <v>0</v>
      </c>
      <c r="R38" s="4317">
        <f t="shared" si="213"/>
        <v>0</v>
      </c>
      <c r="S38" s="4317">
        <f t="shared" si="214"/>
        <v>0</v>
      </c>
      <c r="T38" s="4335">
        <f t="shared" si="177"/>
        <v>0</v>
      </c>
      <c r="U38" s="4336"/>
      <c r="V38" s="4336"/>
      <c r="W38" s="4335">
        <f t="shared" si="179"/>
        <v>0</v>
      </c>
      <c r="X38" s="4336"/>
      <c r="Y38" s="4336"/>
      <c r="Z38" s="4335">
        <f t="shared" si="181"/>
        <v>0</v>
      </c>
      <c r="AA38" s="4336"/>
      <c r="AB38" s="4336"/>
      <c r="AC38" s="4335">
        <f t="shared" si="215"/>
        <v>0</v>
      </c>
      <c r="AD38" s="4335">
        <f t="shared" si="216"/>
        <v>0</v>
      </c>
      <c r="AE38" s="4335">
        <f t="shared" si="216"/>
        <v>0</v>
      </c>
      <c r="AF38" s="4318">
        <f t="shared" si="217"/>
        <v>0</v>
      </c>
      <c r="AG38" s="4318">
        <f t="shared" si="218"/>
        <v>0</v>
      </c>
      <c r="AH38" s="4318">
        <f t="shared" si="218"/>
        <v>0</v>
      </c>
      <c r="AI38" s="4337">
        <f t="shared" si="185"/>
        <v>0</v>
      </c>
      <c r="AJ38" s="4337">
        <f t="shared" si="186"/>
        <v>0</v>
      </c>
      <c r="AK38" s="4337">
        <f t="shared" si="186"/>
        <v>0</v>
      </c>
      <c r="AL38" s="4337">
        <f t="shared" si="114"/>
        <v>0</v>
      </c>
      <c r="AM38" s="4337">
        <f t="shared" si="114"/>
        <v>0</v>
      </c>
      <c r="AN38" s="4337">
        <f t="shared" si="114"/>
        <v>0</v>
      </c>
      <c r="AO38" s="4317">
        <f t="shared" si="219"/>
        <v>0</v>
      </c>
      <c r="AP38" s="4317">
        <f t="shared" si="220"/>
        <v>0</v>
      </c>
      <c r="AQ38" s="4317">
        <f t="shared" si="221"/>
        <v>0</v>
      </c>
      <c r="AR38" s="4335">
        <f t="shared" si="188"/>
        <v>0</v>
      </c>
      <c r="AS38" s="4336"/>
      <c r="AT38" s="4336"/>
      <c r="AU38" s="4335">
        <f t="shared" si="190"/>
        <v>0</v>
      </c>
      <c r="AV38" s="4336"/>
      <c r="AW38" s="4336"/>
      <c r="AX38" s="4335">
        <f t="shared" si="192"/>
        <v>0</v>
      </c>
      <c r="AY38" s="4336"/>
      <c r="AZ38" s="4336"/>
      <c r="BA38" s="4335">
        <f t="shared" si="222"/>
        <v>0</v>
      </c>
      <c r="BB38" s="4335">
        <f t="shared" si="223"/>
        <v>0</v>
      </c>
      <c r="BC38" s="4335">
        <f t="shared" si="223"/>
        <v>0</v>
      </c>
      <c r="BD38" s="4318">
        <f t="shared" si="224"/>
        <v>0</v>
      </c>
      <c r="BE38" s="4318">
        <f t="shared" si="225"/>
        <v>0</v>
      </c>
      <c r="BF38" s="4318">
        <f t="shared" si="197"/>
        <v>0</v>
      </c>
      <c r="BG38" s="4337">
        <f t="shared" si="198"/>
        <v>0</v>
      </c>
      <c r="BH38" s="4337">
        <f t="shared" si="198"/>
        <v>0</v>
      </c>
      <c r="BI38" s="4337">
        <f t="shared" si="198"/>
        <v>0</v>
      </c>
      <c r="BJ38" s="4337">
        <f t="shared" si="122"/>
        <v>0</v>
      </c>
      <c r="BK38" s="4337">
        <f t="shared" si="122"/>
        <v>0</v>
      </c>
      <c r="BL38" s="4337">
        <f t="shared" si="122"/>
        <v>0</v>
      </c>
      <c r="BM38" s="4317">
        <f t="shared" si="226"/>
        <v>0</v>
      </c>
      <c r="BN38" s="4317">
        <f t="shared" si="227"/>
        <v>0</v>
      </c>
      <c r="BO38" s="4317">
        <f t="shared" si="228"/>
        <v>0</v>
      </c>
      <c r="BP38" s="4335">
        <f t="shared" si="200"/>
        <v>0</v>
      </c>
      <c r="BQ38" s="4336"/>
      <c r="BR38" s="4336"/>
      <c r="BS38" s="4335">
        <f t="shared" si="202"/>
        <v>0</v>
      </c>
      <c r="BT38" s="4336"/>
      <c r="BU38" s="4336"/>
      <c r="BV38" s="4335">
        <f t="shared" si="204"/>
        <v>0</v>
      </c>
      <c r="BW38" s="4336"/>
      <c r="BX38" s="4336"/>
      <c r="BY38" s="4335">
        <f t="shared" si="229"/>
        <v>0</v>
      </c>
      <c r="BZ38" s="4335">
        <f t="shared" si="230"/>
        <v>0</v>
      </c>
      <c r="CA38" s="4335">
        <f t="shared" si="230"/>
        <v>0</v>
      </c>
      <c r="CB38" s="4318">
        <f t="shared" ref="CB38:CB44" si="231">SUM(CC38:CD38)</f>
        <v>0</v>
      </c>
      <c r="CC38" s="4318">
        <f>SUM(CC36*0)</f>
        <v>0</v>
      </c>
      <c r="CD38" s="4318">
        <v>0</v>
      </c>
      <c r="CE38" s="4337">
        <f t="shared" si="207"/>
        <v>0</v>
      </c>
      <c r="CF38" s="4337">
        <f t="shared" si="207"/>
        <v>0</v>
      </c>
      <c r="CG38" s="4337">
        <f t="shared" si="207"/>
        <v>0</v>
      </c>
      <c r="CH38" s="4337">
        <f t="shared" si="131"/>
        <v>0</v>
      </c>
      <c r="CI38" s="4337">
        <f t="shared" si="131"/>
        <v>0</v>
      </c>
      <c r="CJ38" s="4337">
        <f t="shared" si="131"/>
        <v>0</v>
      </c>
      <c r="CK38" s="2774"/>
      <c r="CL38" s="3575">
        <f t="shared" si="132"/>
        <v>0</v>
      </c>
      <c r="CM38" s="3575">
        <f t="shared" si="132"/>
        <v>0</v>
      </c>
      <c r="CN38" s="3575">
        <f t="shared" si="132"/>
        <v>0</v>
      </c>
    </row>
    <row r="39" spans="1:92" ht="18.75" customHeight="1" x14ac:dyDescent="0.3">
      <c r="A39" s="4342" t="s">
        <v>3694</v>
      </c>
      <c r="B39" s="4317">
        <f t="shared" si="208"/>
        <v>224.12506025081817</v>
      </c>
      <c r="C39" s="4317">
        <f t="shared" si="209"/>
        <v>224.12506025081817</v>
      </c>
      <c r="D39" s="4317">
        <f t="shared" si="209"/>
        <v>0</v>
      </c>
      <c r="E39" s="4335">
        <f t="shared" si="134"/>
        <v>66.349999999999994</v>
      </c>
      <c r="F39" s="4336">
        <v>66.349999999999994</v>
      </c>
      <c r="G39" s="4336"/>
      <c r="H39" s="4335">
        <f t="shared" si="135"/>
        <v>69.349999999999994</v>
      </c>
      <c r="I39" s="4336">
        <f>66.35+3</f>
        <v>69.349999999999994</v>
      </c>
      <c r="J39" s="4336"/>
      <c r="K39" s="4335">
        <f t="shared" si="136"/>
        <v>69.349999999999994</v>
      </c>
      <c r="L39" s="4336">
        <f>66.35+3</f>
        <v>69.349999999999994</v>
      </c>
      <c r="M39" s="4336"/>
      <c r="N39" s="4335">
        <f t="shared" si="210"/>
        <v>205.04999999999998</v>
      </c>
      <c r="O39" s="4335">
        <f t="shared" si="211"/>
        <v>205.04999999999998</v>
      </c>
      <c r="P39" s="4335">
        <f t="shared" si="211"/>
        <v>0</v>
      </c>
      <c r="Q39" s="4317">
        <f t="shared" si="212"/>
        <v>224.12506025081817</v>
      </c>
      <c r="R39" s="4317">
        <f t="shared" si="213"/>
        <v>224.12506025081817</v>
      </c>
      <c r="S39" s="4317">
        <f t="shared" si="214"/>
        <v>0</v>
      </c>
      <c r="T39" s="4335">
        <f t="shared" si="177"/>
        <v>69.349999999999994</v>
      </c>
      <c r="U39" s="4336">
        <f>66.35+3</f>
        <v>69.349999999999994</v>
      </c>
      <c r="V39" s="4336"/>
      <c r="W39" s="4335">
        <f t="shared" si="179"/>
        <v>66.349999999999994</v>
      </c>
      <c r="X39" s="4336">
        <v>66.349999999999994</v>
      </c>
      <c r="Y39" s="4336"/>
      <c r="Z39" s="4335">
        <f t="shared" si="181"/>
        <v>69.349999999999994</v>
      </c>
      <c r="AA39" s="4336">
        <f>66.35+3</f>
        <v>69.349999999999994</v>
      </c>
      <c r="AB39" s="4336"/>
      <c r="AC39" s="4335">
        <f t="shared" si="215"/>
        <v>205.04999999999998</v>
      </c>
      <c r="AD39" s="4335">
        <f t="shared" si="216"/>
        <v>205.04999999999998</v>
      </c>
      <c r="AE39" s="4335">
        <f t="shared" si="216"/>
        <v>0</v>
      </c>
      <c r="AF39" s="4318">
        <f t="shared" si="217"/>
        <v>448.25012050163633</v>
      </c>
      <c r="AG39" s="4318">
        <f t="shared" si="218"/>
        <v>448.25012050163633</v>
      </c>
      <c r="AH39" s="4318">
        <f t="shared" si="218"/>
        <v>0</v>
      </c>
      <c r="AI39" s="4337">
        <f t="shared" si="185"/>
        <v>410.09999999999997</v>
      </c>
      <c r="AJ39" s="4337">
        <f t="shared" si="186"/>
        <v>410.09999999999997</v>
      </c>
      <c r="AK39" s="4337">
        <f t="shared" si="186"/>
        <v>0</v>
      </c>
      <c r="AL39" s="4337">
        <f t="shared" si="114"/>
        <v>-38.150120501636366</v>
      </c>
      <c r="AM39" s="4337">
        <f t="shared" si="114"/>
        <v>-38.150120501636366</v>
      </c>
      <c r="AN39" s="4337">
        <f t="shared" si="114"/>
        <v>0</v>
      </c>
      <c r="AO39" s="4317">
        <f t="shared" si="219"/>
        <v>224.12506025081817</v>
      </c>
      <c r="AP39" s="4317">
        <f t="shared" si="220"/>
        <v>224.12506025081817</v>
      </c>
      <c r="AQ39" s="4317">
        <f t="shared" si="221"/>
        <v>0</v>
      </c>
      <c r="AR39" s="4335">
        <f t="shared" si="188"/>
        <v>66.349999999999994</v>
      </c>
      <c r="AS39" s="4336">
        <v>66.349999999999994</v>
      </c>
      <c r="AT39" s="4336"/>
      <c r="AU39" s="4335">
        <f t="shared" si="190"/>
        <v>0</v>
      </c>
      <c r="AV39" s="4336"/>
      <c r="AW39" s="4336"/>
      <c r="AX39" s="4335">
        <f t="shared" si="192"/>
        <v>0</v>
      </c>
      <c r="AY39" s="4336"/>
      <c r="AZ39" s="4336"/>
      <c r="BA39" s="4335">
        <f t="shared" si="222"/>
        <v>66.349999999999994</v>
      </c>
      <c r="BB39" s="4335">
        <f t="shared" si="223"/>
        <v>66.349999999999994</v>
      </c>
      <c r="BC39" s="4335">
        <f t="shared" si="223"/>
        <v>0</v>
      </c>
      <c r="BD39" s="4318">
        <f t="shared" si="224"/>
        <v>672.37518075245453</v>
      </c>
      <c r="BE39" s="4318">
        <f t="shared" si="225"/>
        <v>672.37518075245453</v>
      </c>
      <c r="BF39" s="4318">
        <f t="shared" si="197"/>
        <v>0</v>
      </c>
      <c r="BG39" s="4337">
        <f t="shared" si="198"/>
        <v>476.44999999999993</v>
      </c>
      <c r="BH39" s="4337">
        <f t="shared" si="198"/>
        <v>476.44999999999993</v>
      </c>
      <c r="BI39" s="4337">
        <f t="shared" si="198"/>
        <v>0</v>
      </c>
      <c r="BJ39" s="4337">
        <f t="shared" si="122"/>
        <v>-195.92518075245459</v>
      </c>
      <c r="BK39" s="4337">
        <f t="shared" si="122"/>
        <v>-195.92518075245459</v>
      </c>
      <c r="BL39" s="4337">
        <f t="shared" si="122"/>
        <v>0</v>
      </c>
      <c r="BM39" s="4317">
        <f t="shared" si="226"/>
        <v>224.12506025081817</v>
      </c>
      <c r="BN39" s="4317">
        <f t="shared" si="227"/>
        <v>224.12506025081817</v>
      </c>
      <c r="BO39" s="4317">
        <f t="shared" si="228"/>
        <v>0</v>
      </c>
      <c r="BP39" s="4335">
        <f t="shared" si="200"/>
        <v>0</v>
      </c>
      <c r="BQ39" s="4336"/>
      <c r="BR39" s="4336"/>
      <c r="BS39" s="4335">
        <f t="shared" si="202"/>
        <v>0</v>
      </c>
      <c r="BT39" s="4336"/>
      <c r="BU39" s="4336"/>
      <c r="BV39" s="4335">
        <f t="shared" si="204"/>
        <v>0</v>
      </c>
      <c r="BW39" s="4336"/>
      <c r="BX39" s="4336"/>
      <c r="BY39" s="4335">
        <f t="shared" si="229"/>
        <v>0</v>
      </c>
      <c r="BZ39" s="4335">
        <f t="shared" si="230"/>
        <v>0</v>
      </c>
      <c r="CA39" s="4335">
        <f t="shared" si="230"/>
        <v>0</v>
      </c>
      <c r="CB39" s="4318">
        <f t="shared" si="231"/>
        <v>896.50024100327266</v>
      </c>
      <c r="CC39" s="4318">
        <f>611.367*1.29172*1.13522</f>
        <v>896.50024100327266</v>
      </c>
      <c r="CD39" s="4318">
        <v>0</v>
      </c>
      <c r="CE39" s="4337">
        <f t="shared" si="207"/>
        <v>476.44999999999993</v>
      </c>
      <c r="CF39" s="4337">
        <f t="shared" si="207"/>
        <v>476.44999999999993</v>
      </c>
      <c r="CG39" s="4337">
        <f t="shared" si="207"/>
        <v>0</v>
      </c>
      <c r="CH39" s="4337">
        <f t="shared" si="131"/>
        <v>-420.05024100327273</v>
      </c>
      <c r="CI39" s="4337">
        <f t="shared" si="131"/>
        <v>-420.05024100327273</v>
      </c>
      <c r="CJ39" s="4337">
        <f t="shared" si="131"/>
        <v>0</v>
      </c>
      <c r="CK39" s="2774"/>
      <c r="CL39" s="3575">
        <f t="shared" si="132"/>
        <v>896.50024100327266</v>
      </c>
      <c r="CM39" s="3575">
        <f t="shared" si="132"/>
        <v>896.50024100327266</v>
      </c>
      <c r="CN39" s="3575">
        <f t="shared" si="132"/>
        <v>0</v>
      </c>
    </row>
    <row r="40" spans="1:92" ht="18.75" customHeight="1" x14ac:dyDescent="0.3">
      <c r="A40" s="4342" t="s">
        <v>52</v>
      </c>
      <c r="B40" s="4317">
        <f t="shared" si="208"/>
        <v>1.7334697126742</v>
      </c>
      <c r="C40" s="4317">
        <f t="shared" si="209"/>
        <v>1.7334697126742</v>
      </c>
      <c r="D40" s="4317">
        <f t="shared" si="209"/>
        <v>0</v>
      </c>
      <c r="E40" s="4335">
        <f t="shared" si="134"/>
        <v>0.50600000000000001</v>
      </c>
      <c r="F40" s="4336">
        <v>0.50600000000000001</v>
      </c>
      <c r="G40" s="4336"/>
      <c r="H40" s="4335">
        <f t="shared" si="135"/>
        <v>0.50600000000000001</v>
      </c>
      <c r="I40" s="4336">
        <v>0.50600000000000001</v>
      </c>
      <c r="J40" s="4336"/>
      <c r="K40" s="4335">
        <f t="shared" si="136"/>
        <v>0.50600000000000001</v>
      </c>
      <c r="L40" s="4336">
        <v>0.50600000000000001</v>
      </c>
      <c r="M40" s="4336"/>
      <c r="N40" s="4335">
        <f t="shared" si="210"/>
        <v>1.518</v>
      </c>
      <c r="O40" s="4335">
        <f t="shared" si="211"/>
        <v>1.518</v>
      </c>
      <c r="P40" s="4335">
        <f t="shared" si="211"/>
        <v>0</v>
      </c>
      <c r="Q40" s="4317">
        <f t="shared" si="212"/>
        <v>1.7334697126742</v>
      </c>
      <c r="R40" s="4317">
        <f t="shared" si="213"/>
        <v>1.7334697126742</v>
      </c>
      <c r="S40" s="4317">
        <f t="shared" si="214"/>
        <v>0</v>
      </c>
      <c r="T40" s="4335">
        <f t="shared" si="177"/>
        <v>0.50600000000000001</v>
      </c>
      <c r="U40" s="4336">
        <v>0.50600000000000001</v>
      </c>
      <c r="V40" s="4336"/>
      <c r="W40" s="4335">
        <f t="shared" si="179"/>
        <v>0.50600000000000001</v>
      </c>
      <c r="X40" s="4336">
        <v>0.50600000000000001</v>
      </c>
      <c r="Y40" s="4336"/>
      <c r="Z40" s="4335">
        <f t="shared" si="181"/>
        <v>0.50600000000000001</v>
      </c>
      <c r="AA40" s="4336">
        <v>0.50600000000000001</v>
      </c>
      <c r="AB40" s="4336"/>
      <c r="AC40" s="4335">
        <f t="shared" si="215"/>
        <v>1.518</v>
      </c>
      <c r="AD40" s="4335">
        <f t="shared" si="216"/>
        <v>1.518</v>
      </c>
      <c r="AE40" s="4335">
        <f t="shared" si="216"/>
        <v>0</v>
      </c>
      <c r="AF40" s="4318">
        <f t="shared" si="217"/>
        <v>3.4669394253484001</v>
      </c>
      <c r="AG40" s="4318">
        <f t="shared" si="218"/>
        <v>3.4669394253484001</v>
      </c>
      <c r="AH40" s="4318">
        <f t="shared" si="218"/>
        <v>0</v>
      </c>
      <c r="AI40" s="4337">
        <f t="shared" si="185"/>
        <v>3.036</v>
      </c>
      <c r="AJ40" s="4337">
        <f t="shared" si="186"/>
        <v>3.036</v>
      </c>
      <c r="AK40" s="4337">
        <f t="shared" si="186"/>
        <v>0</v>
      </c>
      <c r="AL40" s="4337">
        <f t="shared" si="114"/>
        <v>-0.43093942534840002</v>
      </c>
      <c r="AM40" s="4337">
        <f t="shared" si="114"/>
        <v>-0.43093942534840002</v>
      </c>
      <c r="AN40" s="4337">
        <f t="shared" si="114"/>
        <v>0</v>
      </c>
      <c r="AO40" s="4317">
        <f t="shared" si="219"/>
        <v>1.7334697126742</v>
      </c>
      <c r="AP40" s="4317">
        <f t="shared" si="220"/>
        <v>1.7334697126742</v>
      </c>
      <c r="AQ40" s="4317">
        <f t="shared" si="221"/>
        <v>0</v>
      </c>
      <c r="AR40" s="4335">
        <f t="shared" si="188"/>
        <v>0.50600000000000001</v>
      </c>
      <c r="AS40" s="4336">
        <v>0.50600000000000001</v>
      </c>
      <c r="AT40" s="4336"/>
      <c r="AU40" s="4335">
        <f t="shared" si="190"/>
        <v>0</v>
      </c>
      <c r="AV40" s="4336"/>
      <c r="AW40" s="4336"/>
      <c r="AX40" s="4335">
        <f t="shared" si="192"/>
        <v>0</v>
      </c>
      <c r="AY40" s="4336"/>
      <c r="AZ40" s="4336"/>
      <c r="BA40" s="4335">
        <f t="shared" si="222"/>
        <v>0.50600000000000001</v>
      </c>
      <c r="BB40" s="4335">
        <f t="shared" si="223"/>
        <v>0.50600000000000001</v>
      </c>
      <c r="BC40" s="4335">
        <f t="shared" si="223"/>
        <v>0</v>
      </c>
      <c r="BD40" s="4318">
        <f t="shared" si="224"/>
        <v>5.2004091380226001</v>
      </c>
      <c r="BE40" s="4318">
        <f t="shared" si="225"/>
        <v>5.2004091380226001</v>
      </c>
      <c r="BF40" s="4318">
        <f t="shared" si="197"/>
        <v>0</v>
      </c>
      <c r="BG40" s="4337">
        <f t="shared" si="198"/>
        <v>3.5419999999999998</v>
      </c>
      <c r="BH40" s="4337">
        <f t="shared" si="198"/>
        <v>3.5419999999999998</v>
      </c>
      <c r="BI40" s="4337">
        <f t="shared" si="198"/>
        <v>0</v>
      </c>
      <c r="BJ40" s="4337">
        <f t="shared" si="122"/>
        <v>-1.6584091380226003</v>
      </c>
      <c r="BK40" s="4337">
        <f t="shared" si="122"/>
        <v>-1.6584091380226003</v>
      </c>
      <c r="BL40" s="4337">
        <f t="shared" si="122"/>
        <v>0</v>
      </c>
      <c r="BM40" s="4317">
        <f t="shared" si="226"/>
        <v>1.7334697126742</v>
      </c>
      <c r="BN40" s="4317">
        <f t="shared" si="227"/>
        <v>1.7334697126742</v>
      </c>
      <c r="BO40" s="4317">
        <f t="shared" si="228"/>
        <v>0</v>
      </c>
      <c r="BP40" s="4335">
        <f t="shared" si="200"/>
        <v>0</v>
      </c>
      <c r="BQ40" s="4336"/>
      <c r="BR40" s="4336"/>
      <c r="BS40" s="4335">
        <f t="shared" si="202"/>
        <v>0</v>
      </c>
      <c r="BT40" s="4336"/>
      <c r="BU40" s="4336"/>
      <c r="BV40" s="4335">
        <f t="shared" si="204"/>
        <v>0</v>
      </c>
      <c r="BW40" s="4336"/>
      <c r="BX40" s="4336"/>
      <c r="BY40" s="4335">
        <f t="shared" si="229"/>
        <v>0</v>
      </c>
      <c r="BZ40" s="4335">
        <f t="shared" si="230"/>
        <v>0</v>
      </c>
      <c r="CA40" s="4335">
        <f t="shared" si="230"/>
        <v>0</v>
      </c>
      <c r="CB40" s="4318">
        <f t="shared" si="231"/>
        <v>6.9338788506968001</v>
      </c>
      <c r="CC40" s="4318">
        <f>(4.727*1.29172+0.002)*1.13522</f>
        <v>6.9338788506968001</v>
      </c>
      <c r="CD40" s="4318">
        <v>0</v>
      </c>
      <c r="CE40" s="4337">
        <f t="shared" si="207"/>
        <v>3.5419999999999998</v>
      </c>
      <c r="CF40" s="4337">
        <f t="shared" si="207"/>
        <v>3.5419999999999998</v>
      </c>
      <c r="CG40" s="4337">
        <f t="shared" si="207"/>
        <v>0</v>
      </c>
      <c r="CH40" s="4337">
        <f t="shared" si="131"/>
        <v>-3.3918788506968003</v>
      </c>
      <c r="CI40" s="4337">
        <f t="shared" si="131"/>
        <v>-3.3918788506968003</v>
      </c>
      <c r="CJ40" s="4337">
        <f t="shared" si="131"/>
        <v>0</v>
      </c>
      <c r="CK40" s="2774"/>
      <c r="CL40" s="3575">
        <f t="shared" si="132"/>
        <v>6.9338788506968001</v>
      </c>
      <c r="CM40" s="3575">
        <f t="shared" si="132"/>
        <v>6.9338788506968001</v>
      </c>
      <c r="CN40" s="3575">
        <f t="shared" si="132"/>
        <v>0</v>
      </c>
    </row>
    <row r="41" spans="1:92" ht="18.75" customHeight="1" x14ac:dyDescent="0.3">
      <c r="A41" s="4342" t="s">
        <v>3695</v>
      </c>
      <c r="B41" s="4317">
        <f t="shared" si="208"/>
        <v>0</v>
      </c>
      <c r="C41" s="4317">
        <f t="shared" si="209"/>
        <v>0</v>
      </c>
      <c r="D41" s="4317">
        <f t="shared" si="209"/>
        <v>0</v>
      </c>
      <c r="E41" s="4335">
        <f t="shared" si="134"/>
        <v>0</v>
      </c>
      <c r="F41" s="4336"/>
      <c r="G41" s="4336"/>
      <c r="H41" s="4335">
        <f t="shared" si="135"/>
        <v>0</v>
      </c>
      <c r="I41" s="4336"/>
      <c r="J41" s="4336"/>
      <c r="K41" s="4335">
        <f t="shared" si="136"/>
        <v>0</v>
      </c>
      <c r="L41" s="4336"/>
      <c r="M41" s="4336"/>
      <c r="N41" s="4335">
        <f t="shared" si="210"/>
        <v>0</v>
      </c>
      <c r="O41" s="4335">
        <f t="shared" si="211"/>
        <v>0</v>
      </c>
      <c r="P41" s="4335">
        <f t="shared" si="211"/>
        <v>0</v>
      </c>
      <c r="Q41" s="4317">
        <f t="shared" si="212"/>
        <v>0</v>
      </c>
      <c r="R41" s="4317">
        <f t="shared" si="213"/>
        <v>0</v>
      </c>
      <c r="S41" s="4317">
        <f t="shared" si="214"/>
        <v>0</v>
      </c>
      <c r="T41" s="4335">
        <f t="shared" si="177"/>
        <v>0</v>
      </c>
      <c r="U41" s="4336"/>
      <c r="V41" s="4336"/>
      <c r="W41" s="4335">
        <f t="shared" si="179"/>
        <v>0</v>
      </c>
      <c r="X41" s="4336"/>
      <c r="Y41" s="4336"/>
      <c r="Z41" s="4335">
        <f t="shared" si="181"/>
        <v>0</v>
      </c>
      <c r="AA41" s="4336"/>
      <c r="AB41" s="4336"/>
      <c r="AC41" s="4335">
        <f t="shared" si="215"/>
        <v>0</v>
      </c>
      <c r="AD41" s="4335">
        <f t="shared" si="216"/>
        <v>0</v>
      </c>
      <c r="AE41" s="4335">
        <f t="shared" si="216"/>
        <v>0</v>
      </c>
      <c r="AF41" s="4318">
        <f t="shared" si="217"/>
        <v>0</v>
      </c>
      <c r="AG41" s="4318">
        <f t="shared" si="218"/>
        <v>0</v>
      </c>
      <c r="AH41" s="4318">
        <f t="shared" si="218"/>
        <v>0</v>
      </c>
      <c r="AI41" s="4337">
        <f t="shared" si="185"/>
        <v>0</v>
      </c>
      <c r="AJ41" s="4337">
        <f t="shared" si="186"/>
        <v>0</v>
      </c>
      <c r="AK41" s="4337">
        <f t="shared" si="186"/>
        <v>0</v>
      </c>
      <c r="AL41" s="4337">
        <f t="shared" si="114"/>
        <v>0</v>
      </c>
      <c r="AM41" s="4337">
        <f t="shared" si="114"/>
        <v>0</v>
      </c>
      <c r="AN41" s="4337">
        <f t="shared" si="114"/>
        <v>0</v>
      </c>
      <c r="AO41" s="4317">
        <f t="shared" si="219"/>
        <v>0</v>
      </c>
      <c r="AP41" s="4317">
        <f t="shared" si="220"/>
        <v>0</v>
      </c>
      <c r="AQ41" s="4317">
        <f t="shared" si="221"/>
        <v>0</v>
      </c>
      <c r="AR41" s="4335">
        <f t="shared" si="188"/>
        <v>0</v>
      </c>
      <c r="AS41" s="4336"/>
      <c r="AT41" s="4336"/>
      <c r="AU41" s="4335">
        <f t="shared" si="190"/>
        <v>0</v>
      </c>
      <c r="AV41" s="4336"/>
      <c r="AW41" s="4336"/>
      <c r="AX41" s="4335">
        <f t="shared" si="192"/>
        <v>0</v>
      </c>
      <c r="AY41" s="4336"/>
      <c r="AZ41" s="4336"/>
      <c r="BA41" s="4335">
        <f t="shared" si="222"/>
        <v>0</v>
      </c>
      <c r="BB41" s="4335">
        <f t="shared" si="223"/>
        <v>0</v>
      </c>
      <c r="BC41" s="4335">
        <f t="shared" si="223"/>
        <v>0</v>
      </c>
      <c r="BD41" s="4318">
        <f t="shared" si="224"/>
        <v>0</v>
      </c>
      <c r="BE41" s="4318">
        <f t="shared" si="225"/>
        <v>0</v>
      </c>
      <c r="BF41" s="4318">
        <f t="shared" si="197"/>
        <v>0</v>
      </c>
      <c r="BG41" s="4337">
        <f t="shared" si="198"/>
        <v>0</v>
      </c>
      <c r="BH41" s="4337">
        <f t="shared" si="198"/>
        <v>0</v>
      </c>
      <c r="BI41" s="4337">
        <f t="shared" si="198"/>
        <v>0</v>
      </c>
      <c r="BJ41" s="4337">
        <f t="shared" si="122"/>
        <v>0</v>
      </c>
      <c r="BK41" s="4337">
        <f t="shared" si="122"/>
        <v>0</v>
      </c>
      <c r="BL41" s="4337">
        <f t="shared" si="122"/>
        <v>0</v>
      </c>
      <c r="BM41" s="4317">
        <f t="shared" si="226"/>
        <v>0</v>
      </c>
      <c r="BN41" s="4317">
        <f t="shared" si="227"/>
        <v>0</v>
      </c>
      <c r="BO41" s="4317">
        <f t="shared" si="228"/>
        <v>0</v>
      </c>
      <c r="BP41" s="4335">
        <f t="shared" si="200"/>
        <v>0</v>
      </c>
      <c r="BQ41" s="4336"/>
      <c r="BR41" s="4336"/>
      <c r="BS41" s="4335">
        <f t="shared" si="202"/>
        <v>0</v>
      </c>
      <c r="BT41" s="4336"/>
      <c r="BU41" s="4336"/>
      <c r="BV41" s="4335">
        <f t="shared" si="204"/>
        <v>0</v>
      </c>
      <c r="BW41" s="4336"/>
      <c r="BX41" s="4336"/>
      <c r="BY41" s="4335">
        <f t="shared" si="229"/>
        <v>0</v>
      </c>
      <c r="BZ41" s="4335">
        <f t="shared" si="230"/>
        <v>0</v>
      </c>
      <c r="CA41" s="4335">
        <f t="shared" si="230"/>
        <v>0</v>
      </c>
      <c r="CB41" s="4318">
        <f t="shared" si="231"/>
        <v>0</v>
      </c>
      <c r="CC41" s="4318">
        <v>0</v>
      </c>
      <c r="CD41" s="4318">
        <v>0</v>
      </c>
      <c r="CE41" s="4337">
        <f t="shared" si="207"/>
        <v>0</v>
      </c>
      <c r="CF41" s="4337">
        <f t="shared" si="207"/>
        <v>0</v>
      </c>
      <c r="CG41" s="4337">
        <f t="shared" si="207"/>
        <v>0</v>
      </c>
      <c r="CH41" s="4337">
        <f t="shared" si="131"/>
        <v>0</v>
      </c>
      <c r="CI41" s="4337">
        <f t="shared" si="131"/>
        <v>0</v>
      </c>
      <c r="CJ41" s="4337">
        <f t="shared" si="131"/>
        <v>0</v>
      </c>
      <c r="CK41" s="2774"/>
      <c r="CL41" s="3575">
        <f t="shared" si="132"/>
        <v>0</v>
      </c>
      <c r="CM41" s="3575">
        <f t="shared" si="132"/>
        <v>0</v>
      </c>
      <c r="CN41" s="3575">
        <f t="shared" si="132"/>
        <v>0</v>
      </c>
    </row>
    <row r="42" spans="1:92" ht="18.75" customHeight="1" x14ac:dyDescent="0.3">
      <c r="A42" s="4342" t="s">
        <v>588</v>
      </c>
      <c r="B42" s="4317">
        <f t="shared" si="208"/>
        <v>0.95535072552759992</v>
      </c>
      <c r="C42" s="4317">
        <f t="shared" si="209"/>
        <v>0.95535072552759992</v>
      </c>
      <c r="D42" s="4317">
        <f t="shared" si="209"/>
        <v>0</v>
      </c>
      <c r="E42" s="4335">
        <f t="shared" si="134"/>
        <v>0</v>
      </c>
      <c r="F42" s="4336"/>
      <c r="G42" s="4336"/>
      <c r="H42" s="4335">
        <f t="shared" si="135"/>
        <v>0</v>
      </c>
      <c r="I42" s="4336"/>
      <c r="J42" s="4336"/>
      <c r="K42" s="4335">
        <f t="shared" si="136"/>
        <v>0</v>
      </c>
      <c r="L42" s="4336"/>
      <c r="M42" s="4336"/>
      <c r="N42" s="4335">
        <f t="shared" si="210"/>
        <v>0</v>
      </c>
      <c r="O42" s="4335">
        <f t="shared" si="211"/>
        <v>0</v>
      </c>
      <c r="P42" s="4335">
        <f t="shared" si="211"/>
        <v>0</v>
      </c>
      <c r="Q42" s="4317">
        <f t="shared" si="212"/>
        <v>0.95535072552759992</v>
      </c>
      <c r="R42" s="4317">
        <f t="shared" si="213"/>
        <v>0.95535072552759992</v>
      </c>
      <c r="S42" s="4317">
        <f t="shared" si="214"/>
        <v>0</v>
      </c>
      <c r="T42" s="4335">
        <f t="shared" si="177"/>
        <v>0</v>
      </c>
      <c r="U42" s="4336"/>
      <c r="V42" s="4336"/>
      <c r="W42" s="4335">
        <f t="shared" si="179"/>
        <v>0</v>
      </c>
      <c r="X42" s="4336"/>
      <c r="Y42" s="4336"/>
      <c r="Z42" s="4335">
        <f t="shared" si="181"/>
        <v>1.012</v>
      </c>
      <c r="AA42" s="4336">
        <v>1.012</v>
      </c>
      <c r="AB42" s="4336"/>
      <c r="AC42" s="4335">
        <f t="shared" si="215"/>
        <v>1.012</v>
      </c>
      <c r="AD42" s="4335">
        <f t="shared" si="216"/>
        <v>1.012</v>
      </c>
      <c r="AE42" s="4335">
        <f t="shared" si="216"/>
        <v>0</v>
      </c>
      <c r="AF42" s="4318">
        <f t="shared" si="217"/>
        <v>1.9107014510551998</v>
      </c>
      <c r="AG42" s="4318">
        <f t="shared" si="218"/>
        <v>1.9107014510551998</v>
      </c>
      <c r="AH42" s="4318">
        <f t="shared" si="218"/>
        <v>0</v>
      </c>
      <c r="AI42" s="4337">
        <f t="shared" si="185"/>
        <v>1.012</v>
      </c>
      <c r="AJ42" s="4337">
        <f t="shared" si="186"/>
        <v>1.012</v>
      </c>
      <c r="AK42" s="4337">
        <f t="shared" si="186"/>
        <v>0</v>
      </c>
      <c r="AL42" s="4337">
        <f t="shared" si="114"/>
        <v>-0.89870145105519983</v>
      </c>
      <c r="AM42" s="4337">
        <f t="shared" si="114"/>
        <v>-0.89870145105519983</v>
      </c>
      <c r="AN42" s="4337">
        <f t="shared" si="114"/>
        <v>0</v>
      </c>
      <c r="AO42" s="4317">
        <f t="shared" si="219"/>
        <v>0.95535072552759992</v>
      </c>
      <c r="AP42" s="4317">
        <f t="shared" si="220"/>
        <v>0.95535072552759992</v>
      </c>
      <c r="AQ42" s="4317">
        <f t="shared" si="221"/>
        <v>0</v>
      </c>
      <c r="AR42" s="4335">
        <f t="shared" si="188"/>
        <v>0</v>
      </c>
      <c r="AS42" s="4336"/>
      <c r="AT42" s="4336"/>
      <c r="AU42" s="4335">
        <f t="shared" si="190"/>
        <v>0</v>
      </c>
      <c r="AV42" s="4336"/>
      <c r="AW42" s="4336"/>
      <c r="AX42" s="4335">
        <f t="shared" si="192"/>
        <v>0</v>
      </c>
      <c r="AY42" s="4336"/>
      <c r="AZ42" s="4336"/>
      <c r="BA42" s="4335">
        <f t="shared" si="222"/>
        <v>0</v>
      </c>
      <c r="BB42" s="4335">
        <f t="shared" si="223"/>
        <v>0</v>
      </c>
      <c r="BC42" s="4335">
        <f t="shared" si="223"/>
        <v>0</v>
      </c>
      <c r="BD42" s="4318">
        <f t="shared" si="224"/>
        <v>2.8660521765827998</v>
      </c>
      <c r="BE42" s="4318">
        <f t="shared" si="225"/>
        <v>2.8660521765827998</v>
      </c>
      <c r="BF42" s="4318">
        <f t="shared" si="197"/>
        <v>0</v>
      </c>
      <c r="BG42" s="4337">
        <f t="shared" si="198"/>
        <v>1.012</v>
      </c>
      <c r="BH42" s="4337">
        <f t="shared" si="198"/>
        <v>1.012</v>
      </c>
      <c r="BI42" s="4337">
        <f t="shared" si="198"/>
        <v>0</v>
      </c>
      <c r="BJ42" s="4337">
        <f t="shared" si="122"/>
        <v>-1.8540521765827997</v>
      </c>
      <c r="BK42" s="4337">
        <f t="shared" si="122"/>
        <v>-1.8540521765827997</v>
      </c>
      <c r="BL42" s="4337">
        <f t="shared" si="122"/>
        <v>0</v>
      </c>
      <c r="BM42" s="4317">
        <f t="shared" si="226"/>
        <v>0.95535072552759992</v>
      </c>
      <c r="BN42" s="4317">
        <f t="shared" si="227"/>
        <v>0.95535072552759992</v>
      </c>
      <c r="BO42" s="4317">
        <f t="shared" si="228"/>
        <v>0</v>
      </c>
      <c r="BP42" s="4335">
        <f t="shared" si="200"/>
        <v>0</v>
      </c>
      <c r="BQ42" s="4336"/>
      <c r="BR42" s="4336"/>
      <c r="BS42" s="4335">
        <f t="shared" si="202"/>
        <v>0</v>
      </c>
      <c r="BT42" s="4336"/>
      <c r="BU42" s="4336"/>
      <c r="BV42" s="4335">
        <f t="shared" si="204"/>
        <v>0</v>
      </c>
      <c r="BW42" s="4336"/>
      <c r="BX42" s="4336"/>
      <c r="BY42" s="4335">
        <f t="shared" si="229"/>
        <v>0</v>
      </c>
      <c r="BZ42" s="4335">
        <f t="shared" si="230"/>
        <v>0</v>
      </c>
      <c r="CA42" s="4335">
        <f t="shared" si="230"/>
        <v>0</v>
      </c>
      <c r="CB42" s="4318">
        <f t="shared" si="231"/>
        <v>3.8214029021103997</v>
      </c>
      <c r="CC42" s="4318">
        <f>2.606*1.29172*1.13522</f>
        <v>3.8214029021103997</v>
      </c>
      <c r="CD42" s="4318">
        <v>0</v>
      </c>
      <c r="CE42" s="4337">
        <f t="shared" si="207"/>
        <v>1.012</v>
      </c>
      <c r="CF42" s="4337">
        <f t="shared" si="207"/>
        <v>1.012</v>
      </c>
      <c r="CG42" s="4337">
        <f t="shared" si="207"/>
        <v>0</v>
      </c>
      <c r="CH42" s="4337">
        <f t="shared" si="131"/>
        <v>-2.8094029021103997</v>
      </c>
      <c r="CI42" s="4337">
        <f t="shared" si="131"/>
        <v>-2.8094029021103997</v>
      </c>
      <c r="CJ42" s="4337">
        <f t="shared" si="131"/>
        <v>0</v>
      </c>
      <c r="CK42" s="2774"/>
      <c r="CL42" s="3575">
        <f t="shared" si="132"/>
        <v>3.8214029021103997</v>
      </c>
      <c r="CM42" s="3575">
        <f t="shared" si="132"/>
        <v>3.8214029021103997</v>
      </c>
      <c r="CN42" s="3575">
        <f t="shared" si="132"/>
        <v>0</v>
      </c>
    </row>
    <row r="43" spans="1:92" ht="18.75" customHeight="1" x14ac:dyDescent="0.3">
      <c r="A43" s="4342" t="s">
        <v>94</v>
      </c>
      <c r="B43" s="4317">
        <f t="shared" si="208"/>
        <v>10.322589410746799</v>
      </c>
      <c r="C43" s="4317">
        <f t="shared" si="209"/>
        <v>10.322589410746799</v>
      </c>
      <c r="D43" s="4317">
        <f t="shared" si="209"/>
        <v>0</v>
      </c>
      <c r="E43" s="4335">
        <f t="shared" si="134"/>
        <v>0</v>
      </c>
      <c r="F43" s="4336"/>
      <c r="G43" s="4336"/>
      <c r="H43" s="4335">
        <f t="shared" si="135"/>
        <v>0</v>
      </c>
      <c r="I43" s="4336"/>
      <c r="J43" s="4336"/>
      <c r="K43" s="4335">
        <f t="shared" si="136"/>
        <v>15.602</v>
      </c>
      <c r="L43" s="4336">
        <v>15.602</v>
      </c>
      <c r="M43" s="4336"/>
      <c r="N43" s="4335">
        <f t="shared" si="210"/>
        <v>15.602</v>
      </c>
      <c r="O43" s="4335">
        <f t="shared" si="211"/>
        <v>15.602</v>
      </c>
      <c r="P43" s="4335">
        <f t="shared" si="211"/>
        <v>0</v>
      </c>
      <c r="Q43" s="4317">
        <f t="shared" si="212"/>
        <v>10.322589410746799</v>
      </c>
      <c r="R43" s="4317">
        <f t="shared" si="213"/>
        <v>10.322589410746799</v>
      </c>
      <c r="S43" s="4317">
        <f t="shared" si="214"/>
        <v>0</v>
      </c>
      <c r="T43" s="4335">
        <f t="shared" si="177"/>
        <v>0</v>
      </c>
      <c r="U43" s="4336"/>
      <c r="V43" s="4336"/>
      <c r="W43" s="4335">
        <f t="shared" si="179"/>
        <v>0</v>
      </c>
      <c r="X43" s="4336"/>
      <c r="Y43" s="4336"/>
      <c r="Z43" s="4335">
        <f t="shared" si="181"/>
        <v>15.775</v>
      </c>
      <c r="AA43" s="4336">
        <v>15.775</v>
      </c>
      <c r="AB43" s="4336"/>
      <c r="AC43" s="4335">
        <f t="shared" si="215"/>
        <v>15.775</v>
      </c>
      <c r="AD43" s="4335">
        <f t="shared" si="216"/>
        <v>15.775</v>
      </c>
      <c r="AE43" s="4335">
        <f t="shared" si="216"/>
        <v>0</v>
      </c>
      <c r="AF43" s="4318">
        <f t="shared" si="217"/>
        <v>20.645178821493598</v>
      </c>
      <c r="AG43" s="4318">
        <f t="shared" si="218"/>
        <v>20.645178821493598</v>
      </c>
      <c r="AH43" s="4318">
        <f t="shared" si="218"/>
        <v>0</v>
      </c>
      <c r="AI43" s="4337">
        <f t="shared" si="185"/>
        <v>31.377000000000002</v>
      </c>
      <c r="AJ43" s="4337">
        <f t="shared" si="186"/>
        <v>31.377000000000002</v>
      </c>
      <c r="AK43" s="4337">
        <f t="shared" si="186"/>
        <v>0</v>
      </c>
      <c r="AL43" s="4337">
        <f t="shared" si="114"/>
        <v>10.731821178506404</v>
      </c>
      <c r="AM43" s="4337">
        <f t="shared" si="114"/>
        <v>10.731821178506404</v>
      </c>
      <c r="AN43" s="4337">
        <f t="shared" si="114"/>
        <v>0</v>
      </c>
      <c r="AO43" s="4317">
        <f t="shared" si="219"/>
        <v>10.322589410746799</v>
      </c>
      <c r="AP43" s="4317">
        <f t="shared" si="220"/>
        <v>10.322589410746799</v>
      </c>
      <c r="AQ43" s="4317">
        <f t="shared" si="221"/>
        <v>0</v>
      </c>
      <c r="AR43" s="4335">
        <f t="shared" si="188"/>
        <v>0</v>
      </c>
      <c r="AS43" s="4336"/>
      <c r="AT43" s="4336"/>
      <c r="AU43" s="4335">
        <f t="shared" si="190"/>
        <v>0</v>
      </c>
      <c r="AV43" s="4336"/>
      <c r="AW43" s="4336"/>
      <c r="AX43" s="4335">
        <f t="shared" si="192"/>
        <v>0</v>
      </c>
      <c r="AY43" s="4336"/>
      <c r="AZ43" s="4336"/>
      <c r="BA43" s="4335">
        <f t="shared" si="222"/>
        <v>0</v>
      </c>
      <c r="BB43" s="4335">
        <f t="shared" si="223"/>
        <v>0</v>
      </c>
      <c r="BC43" s="4335">
        <f t="shared" si="223"/>
        <v>0</v>
      </c>
      <c r="BD43" s="4318">
        <f t="shared" si="224"/>
        <v>30.967768232240395</v>
      </c>
      <c r="BE43" s="4318">
        <f t="shared" si="225"/>
        <v>30.967768232240395</v>
      </c>
      <c r="BF43" s="4318">
        <f t="shared" si="197"/>
        <v>0</v>
      </c>
      <c r="BG43" s="4337">
        <f t="shared" si="198"/>
        <v>31.377000000000002</v>
      </c>
      <c r="BH43" s="4337">
        <f t="shared" si="198"/>
        <v>31.377000000000002</v>
      </c>
      <c r="BI43" s="4337">
        <f t="shared" si="198"/>
        <v>0</v>
      </c>
      <c r="BJ43" s="4337">
        <f t="shared" si="122"/>
        <v>0.40923176775960712</v>
      </c>
      <c r="BK43" s="4337">
        <f t="shared" si="122"/>
        <v>0.40923176775960712</v>
      </c>
      <c r="BL43" s="4337">
        <f t="shared" si="122"/>
        <v>0</v>
      </c>
      <c r="BM43" s="4317">
        <f t="shared" si="226"/>
        <v>10.322589410746799</v>
      </c>
      <c r="BN43" s="4317">
        <f t="shared" si="227"/>
        <v>10.322589410746799</v>
      </c>
      <c r="BO43" s="4317">
        <f t="shared" si="228"/>
        <v>0</v>
      </c>
      <c r="BP43" s="4335">
        <f t="shared" si="200"/>
        <v>0</v>
      </c>
      <c r="BQ43" s="4336"/>
      <c r="BR43" s="4336"/>
      <c r="BS43" s="4335">
        <f t="shared" si="202"/>
        <v>0</v>
      </c>
      <c r="BT43" s="4336"/>
      <c r="BU43" s="4336"/>
      <c r="BV43" s="4335">
        <f t="shared" si="204"/>
        <v>0</v>
      </c>
      <c r="BW43" s="4336"/>
      <c r="BX43" s="4336"/>
      <c r="BY43" s="4335">
        <f t="shared" si="229"/>
        <v>0</v>
      </c>
      <c r="BZ43" s="4335">
        <f t="shared" si="230"/>
        <v>0</v>
      </c>
      <c r="CA43" s="4335">
        <f t="shared" si="230"/>
        <v>0</v>
      </c>
      <c r="CB43" s="4318">
        <f t="shared" si="231"/>
        <v>41.290357642987196</v>
      </c>
      <c r="CC43" s="4318">
        <f>28.158*1.29172*1.13522-0.00015</f>
        <v>41.290357642987196</v>
      </c>
      <c r="CD43" s="4318">
        <v>0</v>
      </c>
      <c r="CE43" s="4337">
        <f t="shared" si="207"/>
        <v>31.377000000000002</v>
      </c>
      <c r="CF43" s="4337">
        <f t="shared" si="207"/>
        <v>31.377000000000002</v>
      </c>
      <c r="CG43" s="4337">
        <f t="shared" si="207"/>
        <v>0</v>
      </c>
      <c r="CH43" s="4337">
        <f t="shared" si="131"/>
        <v>-9.9133576429871937</v>
      </c>
      <c r="CI43" s="4337">
        <f t="shared" si="131"/>
        <v>-9.9133576429871937</v>
      </c>
      <c r="CJ43" s="4337">
        <f t="shared" si="131"/>
        <v>0</v>
      </c>
      <c r="CK43" s="2774"/>
      <c r="CL43" s="3575">
        <f t="shared" si="132"/>
        <v>41.290357642987196</v>
      </c>
      <c r="CM43" s="3575">
        <f t="shared" si="132"/>
        <v>41.290357642987196</v>
      </c>
      <c r="CN43" s="3575">
        <f t="shared" si="132"/>
        <v>0</v>
      </c>
    </row>
    <row r="44" spans="1:92" ht="18.75" customHeight="1" x14ac:dyDescent="0.3">
      <c r="A44" s="4342" t="s">
        <v>38</v>
      </c>
      <c r="B44" s="4317">
        <f t="shared" si="208"/>
        <v>0</v>
      </c>
      <c r="C44" s="4317">
        <f t="shared" si="209"/>
        <v>0</v>
      </c>
      <c r="D44" s="4317">
        <f t="shared" si="209"/>
        <v>0</v>
      </c>
      <c r="E44" s="4335">
        <f t="shared" si="134"/>
        <v>0</v>
      </c>
      <c r="F44" s="4336"/>
      <c r="G44" s="4336"/>
      <c r="H44" s="4335">
        <f t="shared" si="135"/>
        <v>0</v>
      </c>
      <c r="I44" s="4336"/>
      <c r="J44" s="4336"/>
      <c r="K44" s="4335">
        <f t="shared" si="136"/>
        <v>0</v>
      </c>
      <c r="L44" s="4336"/>
      <c r="M44" s="4336"/>
      <c r="N44" s="4335">
        <f t="shared" si="210"/>
        <v>0</v>
      </c>
      <c r="O44" s="4335">
        <f t="shared" si="211"/>
        <v>0</v>
      </c>
      <c r="P44" s="4335">
        <f t="shared" si="211"/>
        <v>0</v>
      </c>
      <c r="Q44" s="4317">
        <f t="shared" si="212"/>
        <v>0</v>
      </c>
      <c r="R44" s="4317">
        <f t="shared" si="213"/>
        <v>0</v>
      </c>
      <c r="S44" s="4317">
        <f t="shared" si="214"/>
        <v>0</v>
      </c>
      <c r="T44" s="4335">
        <f t="shared" si="177"/>
        <v>0</v>
      </c>
      <c r="U44" s="4336"/>
      <c r="V44" s="4336"/>
      <c r="W44" s="4335">
        <f t="shared" si="179"/>
        <v>0</v>
      </c>
      <c r="X44" s="4336"/>
      <c r="Y44" s="4336"/>
      <c r="Z44" s="4335">
        <f t="shared" si="181"/>
        <v>0</v>
      </c>
      <c r="AA44" s="4336"/>
      <c r="AB44" s="4336"/>
      <c r="AC44" s="4335">
        <f t="shared" si="215"/>
        <v>0</v>
      </c>
      <c r="AD44" s="4335">
        <f t="shared" si="216"/>
        <v>0</v>
      </c>
      <c r="AE44" s="4335">
        <f t="shared" si="216"/>
        <v>0</v>
      </c>
      <c r="AF44" s="4318">
        <f t="shared" si="217"/>
        <v>0</v>
      </c>
      <c r="AG44" s="4318">
        <f t="shared" si="218"/>
        <v>0</v>
      </c>
      <c r="AH44" s="4318">
        <f t="shared" si="218"/>
        <v>0</v>
      </c>
      <c r="AI44" s="4337">
        <f t="shared" si="185"/>
        <v>0</v>
      </c>
      <c r="AJ44" s="4337">
        <f t="shared" si="186"/>
        <v>0</v>
      </c>
      <c r="AK44" s="4337">
        <f t="shared" si="186"/>
        <v>0</v>
      </c>
      <c r="AL44" s="4337">
        <f t="shared" ref="AL44:AN59" si="232">SUM(AI44-AF44)</f>
        <v>0</v>
      </c>
      <c r="AM44" s="4337">
        <f t="shared" si="232"/>
        <v>0</v>
      </c>
      <c r="AN44" s="4337">
        <f t="shared" si="232"/>
        <v>0</v>
      </c>
      <c r="AO44" s="4317">
        <f t="shared" si="219"/>
        <v>0</v>
      </c>
      <c r="AP44" s="4317">
        <f t="shared" si="220"/>
        <v>0</v>
      </c>
      <c r="AQ44" s="4317">
        <f t="shared" si="221"/>
        <v>0</v>
      </c>
      <c r="AR44" s="4335">
        <f t="shared" si="188"/>
        <v>0</v>
      </c>
      <c r="AS44" s="4336"/>
      <c r="AT44" s="4336"/>
      <c r="AU44" s="4335">
        <f t="shared" si="190"/>
        <v>0</v>
      </c>
      <c r="AV44" s="4336"/>
      <c r="AW44" s="4336"/>
      <c r="AX44" s="4335">
        <f t="shared" si="192"/>
        <v>0</v>
      </c>
      <c r="AY44" s="4336"/>
      <c r="AZ44" s="4336"/>
      <c r="BA44" s="4335">
        <f t="shared" si="222"/>
        <v>0</v>
      </c>
      <c r="BB44" s="4335">
        <f t="shared" si="223"/>
        <v>0</v>
      </c>
      <c r="BC44" s="4335">
        <f t="shared" si="223"/>
        <v>0</v>
      </c>
      <c r="BD44" s="4318">
        <f t="shared" si="224"/>
        <v>0</v>
      </c>
      <c r="BE44" s="4318">
        <f t="shared" si="225"/>
        <v>0</v>
      </c>
      <c r="BF44" s="4318">
        <f t="shared" si="197"/>
        <v>0</v>
      </c>
      <c r="BG44" s="4337">
        <f t="shared" si="198"/>
        <v>0</v>
      </c>
      <c r="BH44" s="4337">
        <f t="shared" si="198"/>
        <v>0</v>
      </c>
      <c r="BI44" s="4337">
        <f t="shared" si="198"/>
        <v>0</v>
      </c>
      <c r="BJ44" s="4337">
        <f t="shared" ref="BJ44:BL59" si="233">SUM(BG44-BD44)</f>
        <v>0</v>
      </c>
      <c r="BK44" s="4337">
        <f t="shared" si="233"/>
        <v>0</v>
      </c>
      <c r="BL44" s="4337">
        <f t="shared" si="233"/>
        <v>0</v>
      </c>
      <c r="BM44" s="4317">
        <f t="shared" si="226"/>
        <v>0</v>
      </c>
      <c r="BN44" s="4317">
        <f t="shared" si="227"/>
        <v>0</v>
      </c>
      <c r="BO44" s="4317">
        <f t="shared" si="228"/>
        <v>0</v>
      </c>
      <c r="BP44" s="4335">
        <f t="shared" si="200"/>
        <v>0</v>
      </c>
      <c r="BQ44" s="4336"/>
      <c r="BR44" s="4336"/>
      <c r="BS44" s="4335">
        <f t="shared" si="202"/>
        <v>0</v>
      </c>
      <c r="BT44" s="4336"/>
      <c r="BU44" s="4336"/>
      <c r="BV44" s="4335">
        <f t="shared" si="204"/>
        <v>0</v>
      </c>
      <c r="BW44" s="4336"/>
      <c r="BX44" s="4336"/>
      <c r="BY44" s="4335">
        <f t="shared" si="229"/>
        <v>0</v>
      </c>
      <c r="BZ44" s="4335">
        <f t="shared" si="230"/>
        <v>0</v>
      </c>
      <c r="CA44" s="4335">
        <f t="shared" si="230"/>
        <v>0</v>
      </c>
      <c r="CB44" s="4318">
        <f t="shared" si="231"/>
        <v>0</v>
      </c>
      <c r="CC44" s="4318">
        <v>0</v>
      </c>
      <c r="CD44" s="4318">
        <v>0</v>
      </c>
      <c r="CE44" s="4337">
        <f t="shared" si="207"/>
        <v>0</v>
      </c>
      <c r="CF44" s="4337">
        <f t="shared" si="207"/>
        <v>0</v>
      </c>
      <c r="CG44" s="4337">
        <f t="shared" si="207"/>
        <v>0</v>
      </c>
      <c r="CH44" s="4337">
        <f t="shared" ref="CH44:CJ59" si="234">SUM(CE44-CB44)</f>
        <v>0</v>
      </c>
      <c r="CI44" s="4337">
        <f t="shared" si="234"/>
        <v>0</v>
      </c>
      <c r="CJ44" s="4337">
        <f t="shared" si="234"/>
        <v>0</v>
      </c>
      <c r="CK44" s="2774"/>
      <c r="CL44" s="3575">
        <f t="shared" si="132"/>
        <v>0</v>
      </c>
      <c r="CM44" s="3575">
        <f t="shared" si="132"/>
        <v>0</v>
      </c>
      <c r="CN44" s="3575">
        <f t="shared" si="132"/>
        <v>0</v>
      </c>
    </row>
    <row r="45" spans="1:92" ht="18.75" customHeight="1" x14ac:dyDescent="0.3">
      <c r="A45" s="4342" t="s">
        <v>589</v>
      </c>
      <c r="B45" s="4317">
        <f>SUM(C45:D45)</f>
        <v>0</v>
      </c>
      <c r="C45" s="4317">
        <f t="shared" ref="C45:G45" si="235">SUM(C46:C48)</f>
        <v>0</v>
      </c>
      <c r="D45" s="4317">
        <f t="shared" si="235"/>
        <v>0</v>
      </c>
      <c r="E45" s="4335">
        <f t="shared" si="134"/>
        <v>0</v>
      </c>
      <c r="F45" s="4316">
        <f t="shared" si="235"/>
        <v>0</v>
      </c>
      <c r="G45" s="4316">
        <f t="shared" si="235"/>
        <v>0</v>
      </c>
      <c r="H45" s="4335">
        <f t="shared" si="135"/>
        <v>0</v>
      </c>
      <c r="I45" s="4316">
        <f t="shared" ref="I45:J45" si="236">SUM(I46:I48)</f>
        <v>0</v>
      </c>
      <c r="J45" s="4316">
        <f t="shared" si="236"/>
        <v>0</v>
      </c>
      <c r="K45" s="4335">
        <f t="shared" si="136"/>
        <v>0</v>
      </c>
      <c r="L45" s="4316">
        <f t="shared" ref="L45:M45" si="237">SUM(L46:L48)</f>
        <v>0</v>
      </c>
      <c r="M45" s="4316">
        <f t="shared" si="237"/>
        <v>0</v>
      </c>
      <c r="N45" s="4335">
        <f t="shared" si="210"/>
        <v>0</v>
      </c>
      <c r="O45" s="4316">
        <f t="shared" ref="O45:P45" si="238">SUM(O46:O48)</f>
        <v>0</v>
      </c>
      <c r="P45" s="4316">
        <f t="shared" si="238"/>
        <v>0</v>
      </c>
      <c r="Q45" s="4317">
        <f>SUM(R45:S45)</f>
        <v>0</v>
      </c>
      <c r="R45" s="4317">
        <f t="shared" ref="R45:S45" si="239">SUM(R46:R48)</f>
        <v>0</v>
      </c>
      <c r="S45" s="4317">
        <f t="shared" si="239"/>
        <v>0</v>
      </c>
      <c r="T45" s="4335">
        <f t="shared" si="177"/>
        <v>0</v>
      </c>
      <c r="U45" s="4316">
        <f t="shared" ref="U45:V45" si="240">SUM(U46:U48)</f>
        <v>0</v>
      </c>
      <c r="V45" s="4316">
        <f t="shared" si="240"/>
        <v>0</v>
      </c>
      <c r="W45" s="4335">
        <f t="shared" si="179"/>
        <v>0</v>
      </c>
      <c r="X45" s="4316">
        <f t="shared" ref="X45:Y45" si="241">SUM(X46:X48)</f>
        <v>0</v>
      </c>
      <c r="Y45" s="4316">
        <f t="shared" si="241"/>
        <v>0</v>
      </c>
      <c r="Z45" s="4335">
        <f t="shared" si="181"/>
        <v>0</v>
      </c>
      <c r="AA45" s="4316">
        <f t="shared" ref="AA45:AB45" si="242">SUM(AA46:AA48)</f>
        <v>0</v>
      </c>
      <c r="AB45" s="4316">
        <f t="shared" si="242"/>
        <v>0</v>
      </c>
      <c r="AC45" s="4335">
        <f t="shared" si="215"/>
        <v>0</v>
      </c>
      <c r="AD45" s="4316">
        <f t="shared" ref="AD45:AE45" si="243">SUM(AD46:AD48)</f>
        <v>0</v>
      </c>
      <c r="AE45" s="4316">
        <f t="shared" si="243"/>
        <v>0</v>
      </c>
      <c r="AF45" s="4318">
        <f t="shared" si="217"/>
        <v>0</v>
      </c>
      <c r="AG45" s="4318">
        <f t="shared" si="218"/>
        <v>0</v>
      </c>
      <c r="AH45" s="4318">
        <f t="shared" si="218"/>
        <v>0</v>
      </c>
      <c r="AI45" s="4337">
        <f t="shared" si="185"/>
        <v>0</v>
      </c>
      <c r="AJ45" s="4337">
        <f t="shared" si="186"/>
        <v>0</v>
      </c>
      <c r="AK45" s="4337">
        <f t="shared" si="186"/>
        <v>0</v>
      </c>
      <c r="AL45" s="4337">
        <f t="shared" si="232"/>
        <v>0</v>
      </c>
      <c r="AM45" s="4337">
        <f t="shared" si="232"/>
        <v>0</v>
      </c>
      <c r="AN45" s="4337">
        <f t="shared" si="232"/>
        <v>0</v>
      </c>
      <c r="AO45" s="4317">
        <f>SUM(AP45:AQ45)</f>
        <v>0</v>
      </c>
      <c r="AP45" s="4317">
        <f t="shared" si="220"/>
        <v>0</v>
      </c>
      <c r="AQ45" s="4317">
        <f t="shared" si="221"/>
        <v>0</v>
      </c>
      <c r="AR45" s="4335">
        <f t="shared" si="188"/>
        <v>0</v>
      </c>
      <c r="AS45" s="4316">
        <f t="shared" ref="AS45:AT45" si="244">SUM(AS46:AS48)</f>
        <v>0</v>
      </c>
      <c r="AT45" s="4316">
        <f t="shared" si="244"/>
        <v>0</v>
      </c>
      <c r="AU45" s="4335">
        <f t="shared" si="190"/>
        <v>0</v>
      </c>
      <c r="AV45" s="4316">
        <f t="shared" ref="AV45:AW45" si="245">SUM(AV46:AV48)</f>
        <v>0</v>
      </c>
      <c r="AW45" s="4316">
        <f t="shared" si="245"/>
        <v>0</v>
      </c>
      <c r="AX45" s="4335">
        <f t="shared" si="192"/>
        <v>0</v>
      </c>
      <c r="AY45" s="4316">
        <f t="shared" ref="AY45:AZ45" si="246">SUM(AY46:AY48)</f>
        <v>0</v>
      </c>
      <c r="AZ45" s="4316">
        <f t="shared" si="246"/>
        <v>0</v>
      </c>
      <c r="BA45" s="4335">
        <f t="shared" si="222"/>
        <v>0</v>
      </c>
      <c r="BB45" s="4316">
        <f t="shared" ref="BB45:BC45" si="247">SUM(BB46:BB48)</f>
        <v>0</v>
      </c>
      <c r="BC45" s="4316">
        <f t="shared" si="247"/>
        <v>0</v>
      </c>
      <c r="BD45" s="4318">
        <f t="shared" si="224"/>
        <v>0</v>
      </c>
      <c r="BE45" s="4318">
        <f t="shared" si="225"/>
        <v>0</v>
      </c>
      <c r="BF45" s="4318">
        <f t="shared" si="197"/>
        <v>0</v>
      </c>
      <c r="BG45" s="4337">
        <f t="shared" si="198"/>
        <v>0</v>
      </c>
      <c r="BH45" s="4337">
        <f t="shared" si="198"/>
        <v>0</v>
      </c>
      <c r="BI45" s="4337">
        <f t="shared" si="198"/>
        <v>0</v>
      </c>
      <c r="BJ45" s="4337">
        <f t="shared" si="233"/>
        <v>0</v>
      </c>
      <c r="BK45" s="4337">
        <f t="shared" si="233"/>
        <v>0</v>
      </c>
      <c r="BL45" s="4337">
        <f t="shared" si="233"/>
        <v>0</v>
      </c>
      <c r="BM45" s="4317">
        <f>SUM(BN45:BO45)</f>
        <v>0</v>
      </c>
      <c r="BN45" s="4317">
        <f t="shared" ref="BN45:BO45" si="248">SUM(BN46:BN48)</f>
        <v>0</v>
      </c>
      <c r="BO45" s="4317">
        <f t="shared" si="248"/>
        <v>0</v>
      </c>
      <c r="BP45" s="4335">
        <f t="shared" si="200"/>
        <v>0</v>
      </c>
      <c r="BQ45" s="4316">
        <f t="shared" ref="BQ45:BR45" si="249">SUM(BQ46:BQ48)</f>
        <v>0</v>
      </c>
      <c r="BR45" s="4316">
        <f t="shared" si="249"/>
        <v>0</v>
      </c>
      <c r="BS45" s="4335">
        <f t="shared" si="202"/>
        <v>0</v>
      </c>
      <c r="BT45" s="4316">
        <f t="shared" ref="BT45:BU45" si="250">SUM(BT46:BT48)</f>
        <v>0</v>
      </c>
      <c r="BU45" s="4316">
        <f t="shared" si="250"/>
        <v>0</v>
      </c>
      <c r="BV45" s="4335">
        <f t="shared" si="204"/>
        <v>0</v>
      </c>
      <c r="BW45" s="4316">
        <f t="shared" ref="BW45:BX45" si="251">SUM(BW46:BW48)</f>
        <v>0</v>
      </c>
      <c r="BX45" s="4316">
        <f t="shared" si="251"/>
        <v>0</v>
      </c>
      <c r="BY45" s="4335">
        <f t="shared" si="229"/>
        <v>0</v>
      </c>
      <c r="BZ45" s="4316">
        <f t="shared" ref="BZ45:CA45" si="252">SUM(BZ46:BZ48)</f>
        <v>0</v>
      </c>
      <c r="CA45" s="4316">
        <f t="shared" si="252"/>
        <v>0</v>
      </c>
      <c r="CB45" s="4318">
        <f>SUM(CC45:CD45)</f>
        <v>0</v>
      </c>
      <c r="CC45" s="4318">
        <f>SUM(CC46:CC48)</f>
        <v>0</v>
      </c>
      <c r="CD45" s="4318">
        <f>SUM(CD46:CD48)</f>
        <v>0</v>
      </c>
      <c r="CE45" s="4337">
        <f t="shared" si="207"/>
        <v>0</v>
      </c>
      <c r="CF45" s="4337">
        <f t="shared" si="207"/>
        <v>0</v>
      </c>
      <c r="CG45" s="4337">
        <f t="shared" si="207"/>
        <v>0</v>
      </c>
      <c r="CH45" s="4337">
        <f t="shared" si="234"/>
        <v>0</v>
      </c>
      <c r="CI45" s="4337">
        <f t="shared" si="234"/>
        <v>0</v>
      </c>
      <c r="CJ45" s="4337">
        <f t="shared" si="234"/>
        <v>0</v>
      </c>
      <c r="CK45" s="2774"/>
      <c r="CL45" s="3575">
        <f t="shared" si="132"/>
        <v>0</v>
      </c>
      <c r="CM45" s="3575">
        <f t="shared" si="132"/>
        <v>0</v>
      </c>
      <c r="CN45" s="3575">
        <f t="shared" si="132"/>
        <v>0</v>
      </c>
    </row>
    <row r="46" spans="1:92" ht="18.75" customHeight="1" x14ac:dyDescent="0.3">
      <c r="A46" s="4343" t="s">
        <v>546</v>
      </c>
      <c r="B46" s="4324">
        <f t="shared" ref="B46:B48" si="253">SUM(C46:D46)</f>
        <v>0</v>
      </c>
      <c r="C46" s="4324">
        <f t="shared" ref="C46:C48" si="254">SUM(CC46/4)</f>
        <v>0</v>
      </c>
      <c r="D46" s="4324">
        <f t="shared" ref="D46:D48" si="255">SUM(CD46/4)</f>
        <v>0</v>
      </c>
      <c r="E46" s="4344">
        <f t="shared" si="134"/>
        <v>0</v>
      </c>
      <c r="F46" s="4345"/>
      <c r="G46" s="4345"/>
      <c r="H46" s="4344">
        <f t="shared" si="135"/>
        <v>0</v>
      </c>
      <c r="I46" s="4345"/>
      <c r="J46" s="4345"/>
      <c r="K46" s="4344">
        <f t="shared" si="136"/>
        <v>0</v>
      </c>
      <c r="L46" s="4345"/>
      <c r="M46" s="4345"/>
      <c r="N46" s="4344">
        <f t="shared" si="210"/>
        <v>0</v>
      </c>
      <c r="O46" s="4344">
        <f t="shared" ref="O46:P48" si="256">SUM(F46+I46+L46)</f>
        <v>0</v>
      </c>
      <c r="P46" s="4344">
        <f t="shared" si="256"/>
        <v>0</v>
      </c>
      <c r="Q46" s="4324">
        <f t="shared" si="212"/>
        <v>0</v>
      </c>
      <c r="R46" s="4324">
        <f t="shared" si="213"/>
        <v>0</v>
      </c>
      <c r="S46" s="4324">
        <f t="shared" si="214"/>
        <v>0</v>
      </c>
      <c r="T46" s="4344">
        <f t="shared" si="177"/>
        <v>0</v>
      </c>
      <c r="U46" s="4345"/>
      <c r="V46" s="4345"/>
      <c r="W46" s="4344">
        <f t="shared" si="179"/>
        <v>0</v>
      </c>
      <c r="X46" s="4345"/>
      <c r="Y46" s="4345"/>
      <c r="Z46" s="4344">
        <f t="shared" si="181"/>
        <v>0</v>
      </c>
      <c r="AA46" s="4345"/>
      <c r="AB46" s="4345"/>
      <c r="AC46" s="4344">
        <f t="shared" si="215"/>
        <v>0</v>
      </c>
      <c r="AD46" s="4344">
        <f t="shared" ref="AD46:AE48" si="257">SUM(U46+X46+AA46)</f>
        <v>0</v>
      </c>
      <c r="AE46" s="4344">
        <f t="shared" si="257"/>
        <v>0</v>
      </c>
      <c r="AF46" s="4326">
        <f t="shared" si="217"/>
        <v>0</v>
      </c>
      <c r="AG46" s="4326">
        <f t="shared" si="218"/>
        <v>0</v>
      </c>
      <c r="AH46" s="4326">
        <f t="shared" si="218"/>
        <v>0</v>
      </c>
      <c r="AI46" s="4340">
        <f t="shared" si="185"/>
        <v>0</v>
      </c>
      <c r="AJ46" s="4340">
        <f t="shared" si="186"/>
        <v>0</v>
      </c>
      <c r="AK46" s="4340">
        <f t="shared" si="186"/>
        <v>0</v>
      </c>
      <c r="AL46" s="4340">
        <f t="shared" si="232"/>
        <v>0</v>
      </c>
      <c r="AM46" s="4340">
        <f t="shared" si="232"/>
        <v>0</v>
      </c>
      <c r="AN46" s="4340">
        <f t="shared" si="232"/>
        <v>0</v>
      </c>
      <c r="AO46" s="4324">
        <f t="shared" si="219"/>
        <v>0</v>
      </c>
      <c r="AP46" s="4324">
        <f t="shared" si="220"/>
        <v>0</v>
      </c>
      <c r="AQ46" s="4324">
        <f t="shared" si="221"/>
        <v>0</v>
      </c>
      <c r="AR46" s="4344">
        <f t="shared" si="188"/>
        <v>0</v>
      </c>
      <c r="AS46" s="4345"/>
      <c r="AT46" s="4345"/>
      <c r="AU46" s="4344">
        <f t="shared" si="190"/>
        <v>0</v>
      </c>
      <c r="AV46" s="4345"/>
      <c r="AW46" s="4345"/>
      <c r="AX46" s="4344">
        <f t="shared" si="192"/>
        <v>0</v>
      </c>
      <c r="AY46" s="4345"/>
      <c r="AZ46" s="4345"/>
      <c r="BA46" s="4344">
        <f t="shared" si="222"/>
        <v>0</v>
      </c>
      <c r="BB46" s="4344">
        <f t="shared" ref="BB46:BC48" si="258">SUM(AS46+AV46+AY46)</f>
        <v>0</v>
      </c>
      <c r="BC46" s="4344">
        <f t="shared" si="258"/>
        <v>0</v>
      </c>
      <c r="BD46" s="4326">
        <f t="shared" si="224"/>
        <v>0</v>
      </c>
      <c r="BE46" s="4326">
        <f t="shared" si="225"/>
        <v>0</v>
      </c>
      <c r="BF46" s="4326">
        <f t="shared" si="197"/>
        <v>0</v>
      </c>
      <c r="BG46" s="4340">
        <f t="shared" si="198"/>
        <v>0</v>
      </c>
      <c r="BH46" s="4340">
        <f t="shared" si="198"/>
        <v>0</v>
      </c>
      <c r="BI46" s="4340">
        <f t="shared" si="198"/>
        <v>0</v>
      </c>
      <c r="BJ46" s="4340">
        <f t="shared" si="233"/>
        <v>0</v>
      </c>
      <c r="BK46" s="4340">
        <f t="shared" si="233"/>
        <v>0</v>
      </c>
      <c r="BL46" s="4340">
        <f t="shared" si="233"/>
        <v>0</v>
      </c>
      <c r="BM46" s="4324">
        <f t="shared" si="226"/>
        <v>0</v>
      </c>
      <c r="BN46" s="4324">
        <f t="shared" si="227"/>
        <v>0</v>
      </c>
      <c r="BO46" s="4324">
        <f t="shared" si="228"/>
        <v>0</v>
      </c>
      <c r="BP46" s="4344">
        <f t="shared" si="200"/>
        <v>0</v>
      </c>
      <c r="BQ46" s="4345"/>
      <c r="BR46" s="4345"/>
      <c r="BS46" s="4344">
        <f t="shared" si="202"/>
        <v>0</v>
      </c>
      <c r="BT46" s="4345"/>
      <c r="BU46" s="4345"/>
      <c r="BV46" s="4344">
        <f t="shared" si="204"/>
        <v>0</v>
      </c>
      <c r="BW46" s="4345"/>
      <c r="BX46" s="4345"/>
      <c r="BY46" s="4344">
        <f t="shared" si="229"/>
        <v>0</v>
      </c>
      <c r="BZ46" s="4344">
        <f t="shared" ref="BZ46:CA48" si="259">SUM(BQ46+BT46+BW46)</f>
        <v>0</v>
      </c>
      <c r="CA46" s="4344">
        <f t="shared" si="259"/>
        <v>0</v>
      </c>
      <c r="CB46" s="4326">
        <f>SUM(CC46:CD46)</f>
        <v>0</v>
      </c>
      <c r="CC46" s="4326">
        <v>0</v>
      </c>
      <c r="CD46" s="4326">
        <v>0</v>
      </c>
      <c r="CE46" s="4340">
        <f t="shared" si="207"/>
        <v>0</v>
      </c>
      <c r="CF46" s="4340">
        <f t="shared" si="207"/>
        <v>0</v>
      </c>
      <c r="CG46" s="4340">
        <f t="shared" si="207"/>
        <v>0</v>
      </c>
      <c r="CH46" s="4340">
        <f t="shared" si="234"/>
        <v>0</v>
      </c>
      <c r="CI46" s="4340">
        <f t="shared" si="234"/>
        <v>0</v>
      </c>
      <c r="CJ46" s="4340">
        <f t="shared" si="234"/>
        <v>0</v>
      </c>
      <c r="CK46" s="2774"/>
      <c r="CL46" s="3575">
        <f t="shared" si="132"/>
        <v>0</v>
      </c>
      <c r="CM46" s="3575">
        <f t="shared" si="132"/>
        <v>0</v>
      </c>
      <c r="CN46" s="3575">
        <f t="shared" si="132"/>
        <v>0</v>
      </c>
    </row>
    <row r="47" spans="1:92" ht="18.75" customHeight="1" x14ac:dyDescent="0.3">
      <c r="A47" s="4343" t="s">
        <v>545</v>
      </c>
      <c r="B47" s="4324">
        <f t="shared" si="253"/>
        <v>0</v>
      </c>
      <c r="C47" s="4324">
        <f t="shared" si="254"/>
        <v>0</v>
      </c>
      <c r="D47" s="4324">
        <f t="shared" si="255"/>
        <v>0</v>
      </c>
      <c r="E47" s="4344">
        <f t="shared" si="134"/>
        <v>0</v>
      </c>
      <c r="F47" s="4345"/>
      <c r="G47" s="4345"/>
      <c r="H47" s="4344">
        <f t="shared" si="135"/>
        <v>0</v>
      </c>
      <c r="I47" s="4345"/>
      <c r="J47" s="4345"/>
      <c r="K47" s="4344">
        <f t="shared" si="136"/>
        <v>0</v>
      </c>
      <c r="L47" s="4345"/>
      <c r="M47" s="4345"/>
      <c r="N47" s="4344">
        <f t="shared" si="210"/>
        <v>0</v>
      </c>
      <c r="O47" s="4344">
        <f t="shared" si="256"/>
        <v>0</v>
      </c>
      <c r="P47" s="4344">
        <f t="shared" si="256"/>
        <v>0</v>
      </c>
      <c r="Q47" s="4324">
        <f t="shared" si="212"/>
        <v>0</v>
      </c>
      <c r="R47" s="4324">
        <f t="shared" si="213"/>
        <v>0</v>
      </c>
      <c r="S47" s="4324">
        <f t="shared" si="214"/>
        <v>0</v>
      </c>
      <c r="T47" s="4344">
        <f t="shared" si="177"/>
        <v>0</v>
      </c>
      <c r="U47" s="4345"/>
      <c r="V47" s="4345"/>
      <c r="W47" s="4344">
        <f t="shared" si="179"/>
        <v>0</v>
      </c>
      <c r="X47" s="4345"/>
      <c r="Y47" s="4345"/>
      <c r="Z47" s="4344">
        <f t="shared" si="181"/>
        <v>0</v>
      </c>
      <c r="AA47" s="4345"/>
      <c r="AB47" s="4345"/>
      <c r="AC47" s="4344">
        <f t="shared" si="215"/>
        <v>0</v>
      </c>
      <c r="AD47" s="4344">
        <f t="shared" si="257"/>
        <v>0</v>
      </c>
      <c r="AE47" s="4344">
        <f t="shared" si="257"/>
        <v>0</v>
      </c>
      <c r="AF47" s="4326">
        <f t="shared" si="217"/>
        <v>0</v>
      </c>
      <c r="AG47" s="4326">
        <f t="shared" si="218"/>
        <v>0</v>
      </c>
      <c r="AH47" s="4326">
        <f t="shared" si="218"/>
        <v>0</v>
      </c>
      <c r="AI47" s="4340">
        <f t="shared" si="185"/>
        <v>0</v>
      </c>
      <c r="AJ47" s="4340">
        <f t="shared" si="186"/>
        <v>0</v>
      </c>
      <c r="AK47" s="4340">
        <f t="shared" si="186"/>
        <v>0</v>
      </c>
      <c r="AL47" s="4340">
        <f t="shared" si="232"/>
        <v>0</v>
      </c>
      <c r="AM47" s="4340">
        <f t="shared" si="232"/>
        <v>0</v>
      </c>
      <c r="AN47" s="4340">
        <f t="shared" si="232"/>
        <v>0</v>
      </c>
      <c r="AO47" s="4324">
        <f t="shared" si="219"/>
        <v>0</v>
      </c>
      <c r="AP47" s="4324">
        <f t="shared" si="220"/>
        <v>0</v>
      </c>
      <c r="AQ47" s="4324">
        <f t="shared" si="221"/>
        <v>0</v>
      </c>
      <c r="AR47" s="4344">
        <f t="shared" si="188"/>
        <v>0</v>
      </c>
      <c r="AS47" s="4345"/>
      <c r="AT47" s="4345"/>
      <c r="AU47" s="4344">
        <f t="shared" si="190"/>
        <v>0</v>
      </c>
      <c r="AV47" s="4345"/>
      <c r="AW47" s="4345"/>
      <c r="AX47" s="4344">
        <f t="shared" si="192"/>
        <v>0</v>
      </c>
      <c r="AY47" s="4345"/>
      <c r="AZ47" s="4345"/>
      <c r="BA47" s="4344">
        <f t="shared" si="222"/>
        <v>0</v>
      </c>
      <c r="BB47" s="4344">
        <f t="shared" si="258"/>
        <v>0</v>
      </c>
      <c r="BC47" s="4344">
        <f t="shared" si="258"/>
        <v>0</v>
      </c>
      <c r="BD47" s="4326">
        <f t="shared" si="224"/>
        <v>0</v>
      </c>
      <c r="BE47" s="4326">
        <f t="shared" si="225"/>
        <v>0</v>
      </c>
      <c r="BF47" s="4326">
        <f t="shared" si="197"/>
        <v>0</v>
      </c>
      <c r="BG47" s="4340">
        <f t="shared" si="198"/>
        <v>0</v>
      </c>
      <c r="BH47" s="4340">
        <f t="shared" si="198"/>
        <v>0</v>
      </c>
      <c r="BI47" s="4340">
        <f t="shared" si="198"/>
        <v>0</v>
      </c>
      <c r="BJ47" s="4340">
        <f t="shared" si="233"/>
        <v>0</v>
      </c>
      <c r="BK47" s="4340">
        <f t="shared" si="233"/>
        <v>0</v>
      </c>
      <c r="BL47" s="4340">
        <f t="shared" si="233"/>
        <v>0</v>
      </c>
      <c r="BM47" s="4324">
        <f t="shared" si="226"/>
        <v>0</v>
      </c>
      <c r="BN47" s="4324">
        <f t="shared" si="227"/>
        <v>0</v>
      </c>
      <c r="BO47" s="4324">
        <f t="shared" si="228"/>
        <v>0</v>
      </c>
      <c r="BP47" s="4344">
        <f t="shared" si="200"/>
        <v>0</v>
      </c>
      <c r="BQ47" s="4345"/>
      <c r="BR47" s="4345"/>
      <c r="BS47" s="4344">
        <f t="shared" si="202"/>
        <v>0</v>
      </c>
      <c r="BT47" s="4345"/>
      <c r="BU47" s="4345"/>
      <c r="BV47" s="4344">
        <f t="shared" si="204"/>
        <v>0</v>
      </c>
      <c r="BW47" s="4345"/>
      <c r="BX47" s="4345"/>
      <c r="BY47" s="4344">
        <f t="shared" si="229"/>
        <v>0</v>
      </c>
      <c r="BZ47" s="4344">
        <f t="shared" si="259"/>
        <v>0</v>
      </c>
      <c r="CA47" s="4344">
        <f t="shared" si="259"/>
        <v>0</v>
      </c>
      <c r="CB47" s="4326">
        <f t="shared" ref="CB47:CB48" si="260">SUM(CC47:CD47)</f>
        <v>0</v>
      </c>
      <c r="CC47" s="4326">
        <v>0</v>
      </c>
      <c r="CD47" s="4326">
        <v>0</v>
      </c>
      <c r="CE47" s="4340">
        <f t="shared" si="207"/>
        <v>0</v>
      </c>
      <c r="CF47" s="4340">
        <f t="shared" si="207"/>
        <v>0</v>
      </c>
      <c r="CG47" s="4340">
        <f t="shared" si="207"/>
        <v>0</v>
      </c>
      <c r="CH47" s="4340">
        <f t="shared" si="234"/>
        <v>0</v>
      </c>
      <c r="CI47" s="4340">
        <f t="shared" si="234"/>
        <v>0</v>
      </c>
      <c r="CJ47" s="4340">
        <f t="shared" si="234"/>
        <v>0</v>
      </c>
      <c r="CK47" s="2774"/>
      <c r="CL47" s="3575">
        <f t="shared" si="132"/>
        <v>0</v>
      </c>
      <c r="CM47" s="3575">
        <f t="shared" si="132"/>
        <v>0</v>
      </c>
      <c r="CN47" s="3575">
        <f t="shared" si="132"/>
        <v>0</v>
      </c>
    </row>
    <row r="48" spans="1:92" ht="18.75" customHeight="1" x14ac:dyDescent="0.3">
      <c r="A48" s="4343" t="s">
        <v>547</v>
      </c>
      <c r="B48" s="4324">
        <f t="shared" si="253"/>
        <v>0</v>
      </c>
      <c r="C48" s="4324">
        <f t="shared" si="254"/>
        <v>0</v>
      </c>
      <c r="D48" s="4324">
        <f t="shared" si="255"/>
        <v>0</v>
      </c>
      <c r="E48" s="4344">
        <f t="shared" si="134"/>
        <v>0</v>
      </c>
      <c r="F48" s="4345"/>
      <c r="G48" s="4345"/>
      <c r="H48" s="4344">
        <f t="shared" si="135"/>
        <v>0</v>
      </c>
      <c r="I48" s="4345"/>
      <c r="J48" s="4345"/>
      <c r="K48" s="4344">
        <f t="shared" si="136"/>
        <v>0</v>
      </c>
      <c r="L48" s="4345"/>
      <c r="M48" s="4345"/>
      <c r="N48" s="4344">
        <f t="shared" si="210"/>
        <v>0</v>
      </c>
      <c r="O48" s="4344">
        <f t="shared" si="256"/>
        <v>0</v>
      </c>
      <c r="P48" s="4344">
        <f t="shared" si="256"/>
        <v>0</v>
      </c>
      <c r="Q48" s="4324">
        <f t="shared" si="212"/>
        <v>0</v>
      </c>
      <c r="R48" s="4324">
        <f t="shared" si="213"/>
        <v>0</v>
      </c>
      <c r="S48" s="4324">
        <f t="shared" si="214"/>
        <v>0</v>
      </c>
      <c r="T48" s="4344">
        <f t="shared" si="177"/>
        <v>0</v>
      </c>
      <c r="U48" s="4345"/>
      <c r="V48" s="4345"/>
      <c r="W48" s="4344">
        <f t="shared" si="179"/>
        <v>0</v>
      </c>
      <c r="X48" s="4345"/>
      <c r="Y48" s="4345"/>
      <c r="Z48" s="4344">
        <f t="shared" si="181"/>
        <v>0</v>
      </c>
      <c r="AA48" s="4345"/>
      <c r="AB48" s="4345"/>
      <c r="AC48" s="4344">
        <f t="shared" si="215"/>
        <v>0</v>
      </c>
      <c r="AD48" s="4344">
        <f t="shared" si="257"/>
        <v>0</v>
      </c>
      <c r="AE48" s="4344">
        <f t="shared" si="257"/>
        <v>0</v>
      </c>
      <c r="AF48" s="4326">
        <f t="shared" si="217"/>
        <v>0</v>
      </c>
      <c r="AG48" s="4326">
        <f t="shared" si="218"/>
        <v>0</v>
      </c>
      <c r="AH48" s="4326">
        <f t="shared" si="218"/>
        <v>0</v>
      </c>
      <c r="AI48" s="4340">
        <f t="shared" si="185"/>
        <v>0</v>
      </c>
      <c r="AJ48" s="4340">
        <f t="shared" si="186"/>
        <v>0</v>
      </c>
      <c r="AK48" s="4340">
        <f t="shared" si="186"/>
        <v>0</v>
      </c>
      <c r="AL48" s="4340">
        <f t="shared" si="232"/>
        <v>0</v>
      </c>
      <c r="AM48" s="4340">
        <f t="shared" si="232"/>
        <v>0</v>
      </c>
      <c r="AN48" s="4340">
        <f t="shared" si="232"/>
        <v>0</v>
      </c>
      <c r="AO48" s="4324">
        <f t="shared" si="219"/>
        <v>0</v>
      </c>
      <c r="AP48" s="4324">
        <f t="shared" si="220"/>
        <v>0</v>
      </c>
      <c r="AQ48" s="4324">
        <f t="shared" si="221"/>
        <v>0</v>
      </c>
      <c r="AR48" s="4344">
        <f t="shared" si="188"/>
        <v>0</v>
      </c>
      <c r="AS48" s="4345"/>
      <c r="AT48" s="4345"/>
      <c r="AU48" s="4344">
        <f t="shared" si="190"/>
        <v>0</v>
      </c>
      <c r="AV48" s="4345"/>
      <c r="AW48" s="4345"/>
      <c r="AX48" s="4344">
        <f t="shared" si="192"/>
        <v>0</v>
      </c>
      <c r="AY48" s="4345"/>
      <c r="AZ48" s="4345"/>
      <c r="BA48" s="4344">
        <f t="shared" si="222"/>
        <v>0</v>
      </c>
      <c r="BB48" s="4344">
        <f t="shared" si="258"/>
        <v>0</v>
      </c>
      <c r="BC48" s="4344">
        <f t="shared" si="258"/>
        <v>0</v>
      </c>
      <c r="BD48" s="4326">
        <f t="shared" si="224"/>
        <v>0</v>
      </c>
      <c r="BE48" s="4326">
        <f t="shared" si="225"/>
        <v>0</v>
      </c>
      <c r="BF48" s="4326">
        <f t="shared" si="197"/>
        <v>0</v>
      </c>
      <c r="BG48" s="4340">
        <f t="shared" si="198"/>
        <v>0</v>
      </c>
      <c r="BH48" s="4340">
        <f t="shared" si="198"/>
        <v>0</v>
      </c>
      <c r="BI48" s="4340">
        <f t="shared" si="198"/>
        <v>0</v>
      </c>
      <c r="BJ48" s="4340">
        <f t="shared" si="233"/>
        <v>0</v>
      </c>
      <c r="BK48" s="4340">
        <f t="shared" si="233"/>
        <v>0</v>
      </c>
      <c r="BL48" s="4340">
        <f t="shared" si="233"/>
        <v>0</v>
      </c>
      <c r="BM48" s="4324">
        <f t="shared" si="226"/>
        <v>0</v>
      </c>
      <c r="BN48" s="4324">
        <f t="shared" si="227"/>
        <v>0</v>
      </c>
      <c r="BO48" s="4324">
        <f t="shared" si="228"/>
        <v>0</v>
      </c>
      <c r="BP48" s="4344">
        <f t="shared" si="200"/>
        <v>0</v>
      </c>
      <c r="BQ48" s="4345"/>
      <c r="BR48" s="4345"/>
      <c r="BS48" s="4344">
        <f t="shared" si="202"/>
        <v>0</v>
      </c>
      <c r="BT48" s="4345"/>
      <c r="BU48" s="4345"/>
      <c r="BV48" s="4344">
        <f t="shared" si="204"/>
        <v>0</v>
      </c>
      <c r="BW48" s="4345"/>
      <c r="BX48" s="4345"/>
      <c r="BY48" s="4344">
        <f t="shared" si="229"/>
        <v>0</v>
      </c>
      <c r="BZ48" s="4344">
        <f t="shared" si="259"/>
        <v>0</v>
      </c>
      <c r="CA48" s="4344">
        <f t="shared" si="259"/>
        <v>0</v>
      </c>
      <c r="CB48" s="4326">
        <f t="shared" si="260"/>
        <v>0</v>
      </c>
      <c r="CC48" s="4326">
        <v>0</v>
      </c>
      <c r="CD48" s="4326">
        <v>0</v>
      </c>
      <c r="CE48" s="4340">
        <f t="shared" si="207"/>
        <v>0</v>
      </c>
      <c r="CF48" s="4340">
        <f t="shared" si="207"/>
        <v>0</v>
      </c>
      <c r="CG48" s="4340">
        <f t="shared" si="207"/>
        <v>0</v>
      </c>
      <c r="CH48" s="4340">
        <f t="shared" si="234"/>
        <v>0</v>
      </c>
      <c r="CI48" s="4340">
        <f t="shared" si="234"/>
        <v>0</v>
      </c>
      <c r="CJ48" s="4340">
        <f t="shared" si="234"/>
        <v>0</v>
      </c>
      <c r="CK48" s="2774"/>
      <c r="CL48" s="3575">
        <f t="shared" si="132"/>
        <v>0</v>
      </c>
      <c r="CM48" s="3575">
        <f t="shared" si="132"/>
        <v>0</v>
      </c>
      <c r="CN48" s="3575">
        <f t="shared" si="132"/>
        <v>0</v>
      </c>
    </row>
    <row r="49" spans="1:92" ht="18.75" customHeight="1" x14ac:dyDescent="0.3">
      <c r="A49" s="4342" t="s">
        <v>592</v>
      </c>
      <c r="B49" s="4317">
        <f>SUM(C49:D49)</f>
        <v>0</v>
      </c>
      <c r="C49" s="4317">
        <f t="shared" ref="C49:P49" si="261">SUM(C50:C51)</f>
        <v>0</v>
      </c>
      <c r="D49" s="4317">
        <f t="shared" si="261"/>
        <v>0</v>
      </c>
      <c r="E49" s="4335">
        <f t="shared" si="134"/>
        <v>0</v>
      </c>
      <c r="F49" s="4316">
        <f t="shared" si="261"/>
        <v>0</v>
      </c>
      <c r="G49" s="4316">
        <f t="shared" si="261"/>
        <v>0</v>
      </c>
      <c r="H49" s="4335">
        <f t="shared" si="135"/>
        <v>0</v>
      </c>
      <c r="I49" s="4316">
        <f t="shared" ref="I49:J49" si="262">SUM(I50:I51)</f>
        <v>0</v>
      </c>
      <c r="J49" s="4316">
        <f t="shared" si="262"/>
        <v>0</v>
      </c>
      <c r="K49" s="4335">
        <f t="shared" si="136"/>
        <v>0</v>
      </c>
      <c r="L49" s="4316">
        <f t="shared" ref="L49:M49" si="263">SUM(L50:L51)</f>
        <v>0</v>
      </c>
      <c r="M49" s="4316">
        <f t="shared" si="263"/>
        <v>0</v>
      </c>
      <c r="N49" s="4335">
        <f t="shared" si="210"/>
        <v>0</v>
      </c>
      <c r="O49" s="4316">
        <f t="shared" si="261"/>
        <v>0</v>
      </c>
      <c r="P49" s="4316">
        <f t="shared" si="261"/>
        <v>0</v>
      </c>
      <c r="Q49" s="4317">
        <f>SUM(R49:S49)</f>
        <v>0</v>
      </c>
      <c r="R49" s="4317">
        <f t="shared" ref="R49:S49" si="264">SUM(R50:R51)</f>
        <v>0</v>
      </c>
      <c r="S49" s="4317">
        <f t="shared" si="264"/>
        <v>0</v>
      </c>
      <c r="T49" s="4335">
        <f t="shared" si="177"/>
        <v>0</v>
      </c>
      <c r="U49" s="4316">
        <f t="shared" ref="U49:V49" si="265">SUM(U50:U51)</f>
        <v>0</v>
      </c>
      <c r="V49" s="4316">
        <f t="shared" si="265"/>
        <v>0</v>
      </c>
      <c r="W49" s="4335">
        <f t="shared" si="179"/>
        <v>0</v>
      </c>
      <c r="X49" s="4316">
        <f t="shared" ref="X49:Y49" si="266">SUM(X50:X51)</f>
        <v>0</v>
      </c>
      <c r="Y49" s="4316">
        <f t="shared" si="266"/>
        <v>0</v>
      </c>
      <c r="Z49" s="4335">
        <f t="shared" si="181"/>
        <v>0</v>
      </c>
      <c r="AA49" s="4316">
        <f t="shared" ref="AA49:AB49" si="267">SUM(AA50:AA51)</f>
        <v>0</v>
      </c>
      <c r="AB49" s="4316">
        <f t="shared" si="267"/>
        <v>0</v>
      </c>
      <c r="AC49" s="4335">
        <f t="shared" si="215"/>
        <v>0</v>
      </c>
      <c r="AD49" s="4316">
        <f t="shared" ref="AD49:AE49" si="268">SUM(AD50:AD51)</f>
        <v>0</v>
      </c>
      <c r="AE49" s="4316">
        <f t="shared" si="268"/>
        <v>0</v>
      </c>
      <c r="AF49" s="4318">
        <f t="shared" si="217"/>
        <v>0</v>
      </c>
      <c r="AG49" s="4318">
        <f t="shared" si="218"/>
        <v>0</v>
      </c>
      <c r="AH49" s="4318">
        <f t="shared" si="218"/>
        <v>0</v>
      </c>
      <c r="AI49" s="4337">
        <f t="shared" si="185"/>
        <v>0</v>
      </c>
      <c r="AJ49" s="4337">
        <f t="shared" si="186"/>
        <v>0</v>
      </c>
      <c r="AK49" s="4337">
        <f t="shared" si="186"/>
        <v>0</v>
      </c>
      <c r="AL49" s="4337">
        <f t="shared" si="232"/>
        <v>0</v>
      </c>
      <c r="AM49" s="4337">
        <f t="shared" si="232"/>
        <v>0</v>
      </c>
      <c r="AN49" s="4337">
        <f t="shared" si="232"/>
        <v>0</v>
      </c>
      <c r="AO49" s="4317">
        <f t="shared" si="219"/>
        <v>0</v>
      </c>
      <c r="AP49" s="4317">
        <f t="shared" si="220"/>
        <v>0</v>
      </c>
      <c r="AQ49" s="4317">
        <f t="shared" si="221"/>
        <v>0</v>
      </c>
      <c r="AR49" s="4335">
        <f t="shared" si="188"/>
        <v>0</v>
      </c>
      <c r="AS49" s="4316">
        <f t="shared" ref="AS49:AT49" si="269">SUM(AS50:AS51)</f>
        <v>0</v>
      </c>
      <c r="AT49" s="4316">
        <f t="shared" si="269"/>
        <v>0</v>
      </c>
      <c r="AU49" s="4335">
        <f t="shared" si="190"/>
        <v>0</v>
      </c>
      <c r="AV49" s="4316">
        <f t="shared" ref="AV49:AW49" si="270">SUM(AV50:AV51)</f>
        <v>0</v>
      </c>
      <c r="AW49" s="4316">
        <f t="shared" si="270"/>
        <v>0</v>
      </c>
      <c r="AX49" s="4335">
        <f t="shared" si="192"/>
        <v>0</v>
      </c>
      <c r="AY49" s="4316">
        <f t="shared" ref="AY49:AZ49" si="271">SUM(AY50:AY51)</f>
        <v>0</v>
      </c>
      <c r="AZ49" s="4316">
        <f t="shared" si="271"/>
        <v>0</v>
      </c>
      <c r="BA49" s="4335">
        <f t="shared" si="222"/>
        <v>0</v>
      </c>
      <c r="BB49" s="4316">
        <f t="shared" ref="BB49:BC49" si="272">SUM(BB50:BB51)</f>
        <v>0</v>
      </c>
      <c r="BC49" s="4316">
        <f t="shared" si="272"/>
        <v>0</v>
      </c>
      <c r="BD49" s="4318">
        <f t="shared" si="224"/>
        <v>0</v>
      </c>
      <c r="BE49" s="4318">
        <f t="shared" si="225"/>
        <v>0</v>
      </c>
      <c r="BF49" s="4318">
        <f t="shared" si="197"/>
        <v>0</v>
      </c>
      <c r="BG49" s="4337">
        <f t="shared" si="198"/>
        <v>0</v>
      </c>
      <c r="BH49" s="4337">
        <f t="shared" si="198"/>
        <v>0</v>
      </c>
      <c r="BI49" s="4337">
        <f t="shared" si="198"/>
        <v>0</v>
      </c>
      <c r="BJ49" s="4337">
        <f t="shared" si="233"/>
        <v>0</v>
      </c>
      <c r="BK49" s="4337">
        <f t="shared" si="233"/>
        <v>0</v>
      </c>
      <c r="BL49" s="4337">
        <f t="shared" si="233"/>
        <v>0</v>
      </c>
      <c r="BM49" s="4317">
        <f t="shared" si="226"/>
        <v>0</v>
      </c>
      <c r="BN49" s="4317">
        <f t="shared" si="227"/>
        <v>0</v>
      </c>
      <c r="BO49" s="4317">
        <f t="shared" si="228"/>
        <v>0</v>
      </c>
      <c r="BP49" s="4335">
        <f t="shared" si="200"/>
        <v>0</v>
      </c>
      <c r="BQ49" s="4316">
        <f t="shared" ref="BQ49:BR49" si="273">SUM(BQ50:BQ51)</f>
        <v>0</v>
      </c>
      <c r="BR49" s="4316">
        <f t="shared" si="273"/>
        <v>0</v>
      </c>
      <c r="BS49" s="4335">
        <f t="shared" si="202"/>
        <v>0</v>
      </c>
      <c r="BT49" s="4316">
        <f t="shared" ref="BT49:BU49" si="274">SUM(BT50:BT51)</f>
        <v>0</v>
      </c>
      <c r="BU49" s="4316">
        <f t="shared" si="274"/>
        <v>0</v>
      </c>
      <c r="BV49" s="4335">
        <f t="shared" si="204"/>
        <v>0</v>
      </c>
      <c r="BW49" s="4316">
        <f t="shared" ref="BW49:BX49" si="275">SUM(BW50:BW51)</f>
        <v>0</v>
      </c>
      <c r="BX49" s="4316">
        <f t="shared" si="275"/>
        <v>0</v>
      </c>
      <c r="BY49" s="4335">
        <f t="shared" si="229"/>
        <v>0</v>
      </c>
      <c r="BZ49" s="4316">
        <f t="shared" ref="BZ49:CA49" si="276">SUM(BZ50:BZ51)</f>
        <v>0</v>
      </c>
      <c r="CA49" s="4316">
        <f t="shared" si="276"/>
        <v>0</v>
      </c>
      <c r="CB49" s="4318">
        <f>SUM(CC49:CD49)</f>
        <v>0</v>
      </c>
      <c r="CC49" s="4318">
        <f>SUM(CC50:CC51)</f>
        <v>0</v>
      </c>
      <c r="CD49" s="4318">
        <f>SUM(CD50:CD51)</f>
        <v>0</v>
      </c>
      <c r="CE49" s="4337">
        <f t="shared" si="207"/>
        <v>0</v>
      </c>
      <c r="CF49" s="4337">
        <f t="shared" si="207"/>
        <v>0</v>
      </c>
      <c r="CG49" s="4337">
        <f t="shared" si="207"/>
        <v>0</v>
      </c>
      <c r="CH49" s="4337">
        <f t="shared" si="234"/>
        <v>0</v>
      </c>
      <c r="CI49" s="4337">
        <f t="shared" si="234"/>
        <v>0</v>
      </c>
      <c r="CJ49" s="4337">
        <f t="shared" si="234"/>
        <v>0</v>
      </c>
      <c r="CK49" s="2774"/>
      <c r="CL49" s="3575">
        <f t="shared" si="132"/>
        <v>0</v>
      </c>
      <c r="CM49" s="3575">
        <f t="shared" si="132"/>
        <v>0</v>
      </c>
      <c r="CN49" s="3575">
        <f t="shared" si="132"/>
        <v>0</v>
      </c>
    </row>
    <row r="50" spans="1:92" ht="18.75" customHeight="1" x14ac:dyDescent="0.3">
      <c r="A50" s="4343" t="s">
        <v>532</v>
      </c>
      <c r="B50" s="4324">
        <f t="shared" ref="B50:B51" si="277">SUM(C50:D50)</f>
        <v>0</v>
      </c>
      <c r="C50" s="4324">
        <f t="shared" ref="C50:C51" si="278">SUM(CC50/4)</f>
        <v>0</v>
      </c>
      <c r="D50" s="4324">
        <f t="shared" ref="D50:D51" si="279">SUM(CD50/4)</f>
        <v>0</v>
      </c>
      <c r="E50" s="4344">
        <f t="shared" si="134"/>
        <v>0</v>
      </c>
      <c r="F50" s="4345"/>
      <c r="G50" s="4345"/>
      <c r="H50" s="4344">
        <f t="shared" si="135"/>
        <v>0</v>
      </c>
      <c r="I50" s="4345"/>
      <c r="J50" s="4345"/>
      <c r="K50" s="4344">
        <f t="shared" si="136"/>
        <v>0</v>
      </c>
      <c r="L50" s="4345"/>
      <c r="M50" s="4345"/>
      <c r="N50" s="4344">
        <f t="shared" si="210"/>
        <v>0</v>
      </c>
      <c r="O50" s="4344">
        <f t="shared" ref="O50:P51" si="280">SUM(F50+I50+L50)</f>
        <v>0</v>
      </c>
      <c r="P50" s="4344">
        <f t="shared" si="280"/>
        <v>0</v>
      </c>
      <c r="Q50" s="4324">
        <f t="shared" si="212"/>
        <v>0</v>
      </c>
      <c r="R50" s="4324">
        <f t="shared" si="213"/>
        <v>0</v>
      </c>
      <c r="S50" s="4324">
        <f t="shared" si="214"/>
        <v>0</v>
      </c>
      <c r="T50" s="4344">
        <f t="shared" si="177"/>
        <v>0</v>
      </c>
      <c r="U50" s="4345"/>
      <c r="V50" s="4345"/>
      <c r="W50" s="4344">
        <f t="shared" si="179"/>
        <v>0</v>
      </c>
      <c r="X50" s="4345"/>
      <c r="Y50" s="4345"/>
      <c r="Z50" s="4344">
        <f t="shared" si="181"/>
        <v>0</v>
      </c>
      <c r="AA50" s="4345"/>
      <c r="AB50" s="4345"/>
      <c r="AC50" s="4344">
        <f t="shared" si="215"/>
        <v>0</v>
      </c>
      <c r="AD50" s="4344">
        <f t="shared" ref="AD50:AE59" si="281">SUM(U50+X50+AA50)</f>
        <v>0</v>
      </c>
      <c r="AE50" s="4344">
        <f t="shared" si="281"/>
        <v>0</v>
      </c>
      <c r="AF50" s="4326">
        <f t="shared" si="217"/>
        <v>0</v>
      </c>
      <c r="AG50" s="4326">
        <f t="shared" si="218"/>
        <v>0</v>
      </c>
      <c r="AH50" s="4326">
        <f t="shared" si="218"/>
        <v>0</v>
      </c>
      <c r="AI50" s="4340">
        <f t="shared" si="185"/>
        <v>0</v>
      </c>
      <c r="AJ50" s="4340">
        <f t="shared" si="186"/>
        <v>0</v>
      </c>
      <c r="AK50" s="4340">
        <f t="shared" si="186"/>
        <v>0</v>
      </c>
      <c r="AL50" s="4340">
        <f t="shared" si="232"/>
        <v>0</v>
      </c>
      <c r="AM50" s="4340">
        <f t="shared" si="232"/>
        <v>0</v>
      </c>
      <c r="AN50" s="4340">
        <f t="shared" si="232"/>
        <v>0</v>
      </c>
      <c r="AO50" s="4324">
        <f t="shared" si="219"/>
        <v>0</v>
      </c>
      <c r="AP50" s="4324">
        <f t="shared" si="220"/>
        <v>0</v>
      </c>
      <c r="AQ50" s="4324">
        <f t="shared" si="221"/>
        <v>0</v>
      </c>
      <c r="AR50" s="4344">
        <f t="shared" si="188"/>
        <v>0</v>
      </c>
      <c r="AS50" s="4345"/>
      <c r="AT50" s="4345"/>
      <c r="AU50" s="4344">
        <f t="shared" si="190"/>
        <v>0</v>
      </c>
      <c r="AV50" s="4345"/>
      <c r="AW50" s="4345"/>
      <c r="AX50" s="4344">
        <f t="shared" si="192"/>
        <v>0</v>
      </c>
      <c r="AY50" s="4345"/>
      <c r="AZ50" s="4345"/>
      <c r="BA50" s="4344">
        <f t="shared" si="222"/>
        <v>0</v>
      </c>
      <c r="BB50" s="4344">
        <f t="shared" ref="BB50:BC59" si="282">SUM(AS50+AV50+AY50)</f>
        <v>0</v>
      </c>
      <c r="BC50" s="4344">
        <f t="shared" si="282"/>
        <v>0</v>
      </c>
      <c r="BD50" s="4326">
        <f t="shared" si="224"/>
        <v>0</v>
      </c>
      <c r="BE50" s="4326">
        <f t="shared" si="225"/>
        <v>0</v>
      </c>
      <c r="BF50" s="4326">
        <f t="shared" si="197"/>
        <v>0</v>
      </c>
      <c r="BG50" s="4340">
        <f t="shared" si="198"/>
        <v>0</v>
      </c>
      <c r="BH50" s="4340">
        <f t="shared" si="198"/>
        <v>0</v>
      </c>
      <c r="BI50" s="4340">
        <f t="shared" si="198"/>
        <v>0</v>
      </c>
      <c r="BJ50" s="4340">
        <f t="shared" si="233"/>
        <v>0</v>
      </c>
      <c r="BK50" s="4340">
        <f t="shared" si="233"/>
        <v>0</v>
      </c>
      <c r="BL50" s="4340">
        <f t="shared" si="233"/>
        <v>0</v>
      </c>
      <c r="BM50" s="4324">
        <f t="shared" si="226"/>
        <v>0</v>
      </c>
      <c r="BN50" s="4324">
        <f t="shared" si="227"/>
        <v>0</v>
      </c>
      <c r="BO50" s="4324">
        <f t="shared" si="228"/>
        <v>0</v>
      </c>
      <c r="BP50" s="4344">
        <f t="shared" si="200"/>
        <v>0</v>
      </c>
      <c r="BQ50" s="4345"/>
      <c r="BR50" s="4345"/>
      <c r="BS50" s="4344">
        <f t="shared" si="202"/>
        <v>0</v>
      </c>
      <c r="BT50" s="4345"/>
      <c r="BU50" s="4345"/>
      <c r="BV50" s="4344">
        <f t="shared" si="204"/>
        <v>0</v>
      </c>
      <c r="BW50" s="4345"/>
      <c r="BX50" s="4345"/>
      <c r="BY50" s="4344">
        <f t="shared" si="229"/>
        <v>0</v>
      </c>
      <c r="BZ50" s="4344">
        <f t="shared" ref="BZ50:CA59" si="283">SUM(BQ50+BT50+BW50)</f>
        <v>0</v>
      </c>
      <c r="CA50" s="4344">
        <f t="shared" si="283"/>
        <v>0</v>
      </c>
      <c r="CB50" s="4326">
        <f>SUM(CC50:CD50)</f>
        <v>0</v>
      </c>
      <c r="CC50" s="4326">
        <v>0</v>
      </c>
      <c r="CD50" s="4326">
        <v>0</v>
      </c>
      <c r="CE50" s="4340">
        <f t="shared" si="207"/>
        <v>0</v>
      </c>
      <c r="CF50" s="4340">
        <f t="shared" si="207"/>
        <v>0</v>
      </c>
      <c r="CG50" s="4340">
        <f t="shared" si="207"/>
        <v>0</v>
      </c>
      <c r="CH50" s="4340">
        <f t="shared" si="234"/>
        <v>0</v>
      </c>
      <c r="CI50" s="4340">
        <f t="shared" si="234"/>
        <v>0</v>
      </c>
      <c r="CJ50" s="4340">
        <f t="shared" si="234"/>
        <v>0</v>
      </c>
      <c r="CK50" s="2774"/>
      <c r="CL50" s="3575">
        <f t="shared" si="132"/>
        <v>0</v>
      </c>
      <c r="CM50" s="3575">
        <f t="shared" si="132"/>
        <v>0</v>
      </c>
      <c r="CN50" s="3575">
        <f t="shared" si="132"/>
        <v>0</v>
      </c>
    </row>
    <row r="51" spans="1:92" ht="18.75" customHeight="1" x14ac:dyDescent="0.3">
      <c r="A51" s="4343" t="s">
        <v>626</v>
      </c>
      <c r="B51" s="4324">
        <f t="shared" si="277"/>
        <v>0</v>
      </c>
      <c r="C51" s="4324">
        <f t="shared" si="278"/>
        <v>0</v>
      </c>
      <c r="D51" s="4324">
        <f t="shared" si="279"/>
        <v>0</v>
      </c>
      <c r="E51" s="4344">
        <f t="shared" si="134"/>
        <v>0</v>
      </c>
      <c r="F51" s="4345"/>
      <c r="G51" s="4345"/>
      <c r="H51" s="4344">
        <f t="shared" si="135"/>
        <v>0</v>
      </c>
      <c r="I51" s="4345"/>
      <c r="J51" s="4345"/>
      <c r="K51" s="4344">
        <f t="shared" si="136"/>
        <v>0</v>
      </c>
      <c r="L51" s="4345"/>
      <c r="M51" s="4345"/>
      <c r="N51" s="4344">
        <f t="shared" si="210"/>
        <v>0</v>
      </c>
      <c r="O51" s="4344">
        <f t="shared" si="280"/>
        <v>0</v>
      </c>
      <c r="P51" s="4344">
        <f t="shared" si="280"/>
        <v>0</v>
      </c>
      <c r="Q51" s="4324">
        <f t="shared" si="212"/>
        <v>0</v>
      </c>
      <c r="R51" s="4324">
        <f t="shared" si="213"/>
        <v>0</v>
      </c>
      <c r="S51" s="4324">
        <f t="shared" si="214"/>
        <v>0</v>
      </c>
      <c r="T51" s="4344">
        <f t="shared" si="177"/>
        <v>0</v>
      </c>
      <c r="U51" s="4345"/>
      <c r="V51" s="4345"/>
      <c r="W51" s="4344">
        <f t="shared" si="179"/>
        <v>0</v>
      </c>
      <c r="X51" s="4345"/>
      <c r="Y51" s="4345"/>
      <c r="Z51" s="4344">
        <f t="shared" si="181"/>
        <v>0</v>
      </c>
      <c r="AA51" s="4345"/>
      <c r="AB51" s="4345"/>
      <c r="AC51" s="4344">
        <f t="shared" si="215"/>
        <v>0</v>
      </c>
      <c r="AD51" s="4344">
        <f t="shared" si="281"/>
        <v>0</v>
      </c>
      <c r="AE51" s="4344">
        <f t="shared" si="281"/>
        <v>0</v>
      </c>
      <c r="AF51" s="4326">
        <f t="shared" si="217"/>
        <v>0</v>
      </c>
      <c r="AG51" s="4326">
        <f t="shared" si="218"/>
        <v>0</v>
      </c>
      <c r="AH51" s="4326">
        <f t="shared" si="218"/>
        <v>0</v>
      </c>
      <c r="AI51" s="4340">
        <f t="shared" si="185"/>
        <v>0</v>
      </c>
      <c r="AJ51" s="4340">
        <f t="shared" si="186"/>
        <v>0</v>
      </c>
      <c r="AK51" s="4340">
        <f t="shared" si="186"/>
        <v>0</v>
      </c>
      <c r="AL51" s="4340">
        <f t="shared" si="232"/>
        <v>0</v>
      </c>
      <c r="AM51" s="4340">
        <f t="shared" si="232"/>
        <v>0</v>
      </c>
      <c r="AN51" s="4340">
        <f t="shared" si="232"/>
        <v>0</v>
      </c>
      <c r="AO51" s="4324">
        <f t="shared" si="219"/>
        <v>0</v>
      </c>
      <c r="AP51" s="4324">
        <f t="shared" si="220"/>
        <v>0</v>
      </c>
      <c r="AQ51" s="4324">
        <f t="shared" si="221"/>
        <v>0</v>
      </c>
      <c r="AR51" s="4344">
        <f t="shared" si="188"/>
        <v>0</v>
      </c>
      <c r="AS51" s="4345"/>
      <c r="AT51" s="4345"/>
      <c r="AU51" s="4344">
        <f t="shared" si="190"/>
        <v>0</v>
      </c>
      <c r="AV51" s="4345"/>
      <c r="AW51" s="4345"/>
      <c r="AX51" s="4344">
        <f t="shared" si="192"/>
        <v>0</v>
      </c>
      <c r="AY51" s="4345"/>
      <c r="AZ51" s="4345"/>
      <c r="BA51" s="4344">
        <f t="shared" si="222"/>
        <v>0</v>
      </c>
      <c r="BB51" s="4344">
        <f t="shared" si="282"/>
        <v>0</v>
      </c>
      <c r="BC51" s="4344">
        <f t="shared" si="282"/>
        <v>0</v>
      </c>
      <c r="BD51" s="4326">
        <f t="shared" si="224"/>
        <v>0</v>
      </c>
      <c r="BE51" s="4326">
        <f t="shared" si="225"/>
        <v>0</v>
      </c>
      <c r="BF51" s="4326">
        <f t="shared" si="197"/>
        <v>0</v>
      </c>
      <c r="BG51" s="4340">
        <f t="shared" si="198"/>
        <v>0</v>
      </c>
      <c r="BH51" s="4340">
        <f t="shared" si="198"/>
        <v>0</v>
      </c>
      <c r="BI51" s="4340">
        <f t="shared" si="198"/>
        <v>0</v>
      </c>
      <c r="BJ51" s="4340">
        <f t="shared" si="233"/>
        <v>0</v>
      </c>
      <c r="BK51" s="4340">
        <f t="shared" si="233"/>
        <v>0</v>
      </c>
      <c r="BL51" s="4340">
        <f t="shared" si="233"/>
        <v>0</v>
      </c>
      <c r="BM51" s="4324">
        <f t="shared" si="226"/>
        <v>0</v>
      </c>
      <c r="BN51" s="4324">
        <f t="shared" si="227"/>
        <v>0</v>
      </c>
      <c r="BO51" s="4324">
        <f t="shared" si="228"/>
        <v>0</v>
      </c>
      <c r="BP51" s="4344">
        <f t="shared" si="200"/>
        <v>0</v>
      </c>
      <c r="BQ51" s="4345"/>
      <c r="BR51" s="4345"/>
      <c r="BS51" s="4344">
        <f t="shared" si="202"/>
        <v>0</v>
      </c>
      <c r="BT51" s="4345"/>
      <c r="BU51" s="4345"/>
      <c r="BV51" s="4344">
        <f t="shared" si="204"/>
        <v>0</v>
      </c>
      <c r="BW51" s="4345"/>
      <c r="BX51" s="4345"/>
      <c r="BY51" s="4344">
        <f t="shared" si="229"/>
        <v>0</v>
      </c>
      <c r="BZ51" s="4344">
        <f t="shared" si="283"/>
        <v>0</v>
      </c>
      <c r="CA51" s="4344">
        <f t="shared" si="283"/>
        <v>0</v>
      </c>
      <c r="CB51" s="4326">
        <f>SUM(CC51:CD51)</f>
        <v>0</v>
      </c>
      <c r="CC51" s="4326">
        <v>0</v>
      </c>
      <c r="CD51" s="4326">
        <v>0</v>
      </c>
      <c r="CE51" s="4340">
        <f t="shared" si="207"/>
        <v>0</v>
      </c>
      <c r="CF51" s="4340">
        <f t="shared" si="207"/>
        <v>0</v>
      </c>
      <c r="CG51" s="4340">
        <f t="shared" si="207"/>
        <v>0</v>
      </c>
      <c r="CH51" s="4340">
        <f t="shared" si="234"/>
        <v>0</v>
      </c>
      <c r="CI51" s="4340">
        <f t="shared" si="234"/>
        <v>0</v>
      </c>
      <c r="CJ51" s="4340">
        <f t="shared" si="234"/>
        <v>0</v>
      </c>
      <c r="CK51" s="2774"/>
      <c r="CL51" s="3575">
        <f t="shared" si="132"/>
        <v>0</v>
      </c>
      <c r="CM51" s="3575">
        <f t="shared" si="132"/>
        <v>0</v>
      </c>
      <c r="CN51" s="3575">
        <f t="shared" si="132"/>
        <v>0</v>
      </c>
    </row>
    <row r="52" spans="1:92" ht="18.75" customHeight="1" x14ac:dyDescent="0.3">
      <c r="A52" s="4341" t="s">
        <v>7</v>
      </c>
      <c r="B52" s="4312">
        <f>SUM(C52:D52)</f>
        <v>21969.672572233001</v>
      </c>
      <c r="C52" s="4312">
        <f>SUM(C53:C59)+C61+C70</f>
        <v>21969.672572233001</v>
      </c>
      <c r="D52" s="4312">
        <f>SUM(D53:D59)+D61+D70</f>
        <v>0</v>
      </c>
      <c r="E52" s="4332">
        <f>SUM(F52:G52)</f>
        <v>7735.4600000000009</v>
      </c>
      <c r="F52" s="3026">
        <f>SUM(F53:F59)+F61+F70</f>
        <v>7735.4600000000009</v>
      </c>
      <c r="G52" s="3026">
        <f>SUM(G53:G59)+G70+G61</f>
        <v>0</v>
      </c>
      <c r="H52" s="4332">
        <f t="shared" si="135"/>
        <v>7089.2757799999999</v>
      </c>
      <c r="I52" s="3026">
        <f>SUM(I53:I59)+I61+I70</f>
        <v>7089.2757799999999</v>
      </c>
      <c r="J52" s="3026">
        <f>SUM(J53:J59)+J61+J70</f>
        <v>0</v>
      </c>
      <c r="K52" s="4332">
        <f t="shared" si="136"/>
        <v>6782.2341800000013</v>
      </c>
      <c r="L52" s="3026">
        <f>SUM(L53:L59)+L61+L70</f>
        <v>6782.2341800000013</v>
      </c>
      <c r="M52" s="3026">
        <f>SUM(M53:M59)+M61+M70</f>
        <v>0</v>
      </c>
      <c r="N52" s="4332">
        <f t="shared" ref="N52:N59" si="284">SUM(O52:P52)</f>
        <v>21606.969960000002</v>
      </c>
      <c r="O52" s="4332">
        <f t="shared" ref="O52:O59" si="285">SUM(F52+I52+L52)</f>
        <v>21606.969960000002</v>
      </c>
      <c r="P52" s="4332">
        <f t="shared" ref="P52:P59" si="286">SUM(G52+J52+M52)</f>
        <v>0</v>
      </c>
      <c r="Q52" s="4312">
        <f>SUM(R52:S52)</f>
        <v>21969.672572233001</v>
      </c>
      <c r="R52" s="4312">
        <f>SUM(R53:R59)+R61+R70</f>
        <v>21969.672572233001</v>
      </c>
      <c r="S52" s="4312">
        <f>SUM(S53:S59)+S61+S70</f>
        <v>0</v>
      </c>
      <c r="T52" s="4332">
        <f t="shared" si="177"/>
        <v>7066.82143</v>
      </c>
      <c r="U52" s="3026">
        <f>SUM(U53:U59)+U61+U70</f>
        <v>7066.82143</v>
      </c>
      <c r="V52" s="3026">
        <f>SUM(V53:V59)+V61+V70</f>
        <v>0</v>
      </c>
      <c r="W52" s="4332">
        <f t="shared" si="179"/>
        <v>8860.9520000000011</v>
      </c>
      <c r="X52" s="3026">
        <f>SUM(X53:X59)+X61+X70</f>
        <v>8860.9520000000011</v>
      </c>
      <c r="Y52" s="3026">
        <f>SUM(Y53:Y59)+Y61+Y70</f>
        <v>0</v>
      </c>
      <c r="Z52" s="4332">
        <f t="shared" si="181"/>
        <v>10424.963820000001</v>
      </c>
      <c r="AA52" s="3026">
        <f>SUM(AA53:AA59)+AA61+AA70</f>
        <v>10424.963820000001</v>
      </c>
      <c r="AB52" s="3026">
        <f>SUM(AB53:AB59)+AB61+AB70</f>
        <v>0</v>
      </c>
      <c r="AC52" s="4332">
        <f t="shared" si="215"/>
        <v>26352.737250000002</v>
      </c>
      <c r="AD52" s="4332">
        <f t="shared" si="281"/>
        <v>26352.737250000002</v>
      </c>
      <c r="AE52" s="4332">
        <f t="shared" si="281"/>
        <v>0</v>
      </c>
      <c r="AF52" s="4313">
        <f t="shared" ref="AF52" si="287">SUM(AG52:AH52)</f>
        <v>43939.345144466002</v>
      </c>
      <c r="AG52" s="4313">
        <f t="shared" ref="AG52" si="288">SUM(C52+R52)</f>
        <v>43939.345144466002</v>
      </c>
      <c r="AH52" s="4313">
        <f t="shared" si="218"/>
        <v>0</v>
      </c>
      <c r="AI52" s="4333">
        <f t="shared" ref="AI52:AK59" si="289">SUM(AC52+N52)</f>
        <v>47959.707210000008</v>
      </c>
      <c r="AJ52" s="4333">
        <f t="shared" si="289"/>
        <v>47959.707210000008</v>
      </c>
      <c r="AK52" s="4333">
        <f t="shared" si="289"/>
        <v>0</v>
      </c>
      <c r="AL52" s="4333">
        <f t="shared" si="232"/>
        <v>4020.3620655340055</v>
      </c>
      <c r="AM52" s="4333">
        <f t="shared" si="232"/>
        <v>4020.3620655340055</v>
      </c>
      <c r="AN52" s="4333">
        <f t="shared" si="232"/>
        <v>0</v>
      </c>
      <c r="AO52" s="4312">
        <f>SUM(AP52:AQ52)</f>
        <v>21969.672572233001</v>
      </c>
      <c r="AP52" s="4312">
        <f>SUM(AP53:AP59)+AP61+AP70</f>
        <v>21969.672572233001</v>
      </c>
      <c r="AQ52" s="4312">
        <f>SUM(AQ53:AQ59)+AQ61+AQ70</f>
        <v>0</v>
      </c>
      <c r="AR52" s="4332">
        <f t="shared" si="188"/>
        <v>5951.8490000000002</v>
      </c>
      <c r="AS52" s="3026">
        <f>SUM(AS53:AS59)+AS61+AS70</f>
        <v>5951.8490000000002</v>
      </c>
      <c r="AT52" s="3026">
        <f>SUM(AT53:AT59)+AT61+AT70</f>
        <v>0</v>
      </c>
      <c r="AU52" s="4332">
        <f t="shared" si="190"/>
        <v>0</v>
      </c>
      <c r="AV52" s="3026">
        <f>SUM(AV53:AV59)+AV61+AV70</f>
        <v>0</v>
      </c>
      <c r="AW52" s="3026">
        <f>SUM(AW53:AW59)+AW61+AW70</f>
        <v>0</v>
      </c>
      <c r="AX52" s="4332">
        <f t="shared" si="192"/>
        <v>0</v>
      </c>
      <c r="AY52" s="3026">
        <f>SUM(AY53:AY59)+AY61+AY70</f>
        <v>0</v>
      </c>
      <c r="AZ52" s="3026">
        <f>SUM(AZ53:AZ59)+AZ61+AZ70</f>
        <v>0</v>
      </c>
      <c r="BA52" s="4332">
        <f t="shared" si="222"/>
        <v>5951.8490000000002</v>
      </c>
      <c r="BB52" s="4332">
        <f t="shared" si="282"/>
        <v>5951.8490000000002</v>
      </c>
      <c r="BC52" s="4332">
        <f t="shared" si="282"/>
        <v>0</v>
      </c>
      <c r="BD52" s="4313">
        <f t="shared" ref="BD52" si="290">SUM(BE52:BF52)</f>
        <v>65909.017716699003</v>
      </c>
      <c r="BE52" s="4313">
        <f t="shared" ref="BE52" si="291">SUM(AG52+AP52)</f>
        <v>65909.017716699003</v>
      </c>
      <c r="BF52" s="4313">
        <f t="shared" si="197"/>
        <v>0</v>
      </c>
      <c r="BG52" s="4333">
        <f t="shared" ref="BG52:BI59" si="292">SUM(AI52+BA52)</f>
        <v>53911.55621000001</v>
      </c>
      <c r="BH52" s="4333">
        <f t="shared" si="292"/>
        <v>53911.55621000001</v>
      </c>
      <c r="BI52" s="4333">
        <f t="shared" si="292"/>
        <v>0</v>
      </c>
      <c r="BJ52" s="4333">
        <f t="shared" si="233"/>
        <v>-11997.461506698994</v>
      </c>
      <c r="BK52" s="4333">
        <f t="shared" si="233"/>
        <v>-11997.461506698994</v>
      </c>
      <c r="BL52" s="4333">
        <f t="shared" si="233"/>
        <v>0</v>
      </c>
      <c r="BM52" s="4312">
        <f>SUM(BN52:BO52)</f>
        <v>21969.672572233001</v>
      </c>
      <c r="BN52" s="4312">
        <f>SUM(BN53:BN59)+BN61+BN70</f>
        <v>21969.672572233001</v>
      </c>
      <c r="BO52" s="4312">
        <f>SUM(BO53:BO59)+BO61+BO70</f>
        <v>0</v>
      </c>
      <c r="BP52" s="4332">
        <f t="shared" si="200"/>
        <v>0</v>
      </c>
      <c r="BQ52" s="3026">
        <f>SUM(BQ53:BQ59)+BQ61+BQ70</f>
        <v>0</v>
      </c>
      <c r="BR52" s="3026">
        <f>SUM(BR53:BR59)+BR61+BR70</f>
        <v>0</v>
      </c>
      <c r="BS52" s="4332">
        <f t="shared" si="202"/>
        <v>0</v>
      </c>
      <c r="BT52" s="3026">
        <f>SUM(BT53:BT59)+BT61+BT70</f>
        <v>0</v>
      </c>
      <c r="BU52" s="3026">
        <f>SUM(BU53:BU59)+BU61+BU70</f>
        <v>0</v>
      </c>
      <c r="BV52" s="4332">
        <f t="shared" si="204"/>
        <v>0</v>
      </c>
      <c r="BW52" s="3026">
        <f>SUM(BW53:BW59)+BW61+BW70</f>
        <v>0</v>
      </c>
      <c r="BX52" s="3026">
        <f>SUM(BX53:BX59)+BX61+BX70</f>
        <v>0</v>
      </c>
      <c r="BY52" s="4332">
        <f t="shared" si="229"/>
        <v>0</v>
      </c>
      <c r="BZ52" s="4332">
        <f t="shared" si="283"/>
        <v>0</v>
      </c>
      <c r="CA52" s="4332">
        <f t="shared" si="283"/>
        <v>0</v>
      </c>
      <c r="CB52" s="4313">
        <f>SUM(CC52:CD52)</f>
        <v>87878.690305672644</v>
      </c>
      <c r="CC52" s="4313">
        <f>SUM(CC53:CC59)+CC61+CC70</f>
        <v>87878.690305672644</v>
      </c>
      <c r="CD52" s="4313">
        <f>SUM(CD53:CD59)+CD61+CD70</f>
        <v>0</v>
      </c>
      <c r="CE52" s="4333">
        <f t="shared" ref="CE52:CE59" si="293">SUM(BY52+BG52)</f>
        <v>53911.55621000001</v>
      </c>
      <c r="CF52" s="4333">
        <f t="shared" ref="CF52:CG59" si="294">SUM(BZ52+BH52)</f>
        <v>53911.55621000001</v>
      </c>
      <c r="CG52" s="4333">
        <f t="shared" si="294"/>
        <v>0</v>
      </c>
      <c r="CH52" s="4333">
        <f t="shared" si="234"/>
        <v>-33967.134095672634</v>
      </c>
      <c r="CI52" s="4333">
        <f t="shared" si="234"/>
        <v>-33967.134095672634</v>
      </c>
      <c r="CJ52" s="4333">
        <f t="shared" si="234"/>
        <v>0</v>
      </c>
      <c r="CK52" s="2774"/>
      <c r="CL52" s="3577">
        <f t="shared" si="132"/>
        <v>87878.690288932004</v>
      </c>
      <c r="CM52" s="3577">
        <f t="shared" si="132"/>
        <v>87878.690288932004</v>
      </c>
      <c r="CN52" s="3577">
        <f t="shared" si="132"/>
        <v>0</v>
      </c>
    </row>
    <row r="53" spans="1:92" ht="18.75" customHeight="1" x14ac:dyDescent="0.3">
      <c r="A53" s="4334" t="s">
        <v>1</v>
      </c>
      <c r="B53" s="4317">
        <f t="shared" ref="B53:B54" si="295">SUM(C53:D53)</f>
        <v>1976.0684130461952</v>
      </c>
      <c r="C53" s="4317">
        <f>SUM(CC53/4)</f>
        <v>1976.0684130461952</v>
      </c>
      <c r="D53" s="4317">
        <f>SUM(CD53/4)</f>
        <v>0</v>
      </c>
      <c r="E53" s="4335">
        <f t="shared" si="134"/>
        <v>597.226</v>
      </c>
      <c r="F53" s="4336">
        <v>597.226</v>
      </c>
      <c r="G53" s="4336"/>
      <c r="H53" s="4335">
        <f t="shared" si="135"/>
        <v>571.69899999999996</v>
      </c>
      <c r="I53" s="4336">
        <v>571.69899999999996</v>
      </c>
      <c r="J53" s="4336"/>
      <c r="K53" s="4335">
        <f t="shared" si="136"/>
        <v>647.43200000000002</v>
      </c>
      <c r="L53" s="4336">
        <v>647.43200000000002</v>
      </c>
      <c r="M53" s="4336"/>
      <c r="N53" s="4335">
        <f t="shared" si="284"/>
        <v>1816.357</v>
      </c>
      <c r="O53" s="4335">
        <f t="shared" si="285"/>
        <v>1816.357</v>
      </c>
      <c r="P53" s="4335">
        <f t="shared" si="286"/>
        <v>0</v>
      </c>
      <c r="Q53" s="4317">
        <f t="shared" ref="Q53:Q54" si="296">SUM(R53:S53)</f>
        <v>1976.0684130461952</v>
      </c>
      <c r="R53" s="4317">
        <f t="shared" ref="R53:R59" si="297">SUM(C53)</f>
        <v>1976.0684130461952</v>
      </c>
      <c r="S53" s="4317">
        <f t="shared" ref="S53:S59" si="298">SUM(D53)</f>
        <v>0</v>
      </c>
      <c r="T53" s="4335">
        <f t="shared" si="177"/>
        <v>615.06200000000001</v>
      </c>
      <c r="U53" s="4336">
        <v>615.06200000000001</v>
      </c>
      <c r="V53" s="4336"/>
      <c r="W53" s="4335">
        <f t="shared" si="179"/>
        <v>693.71799999999996</v>
      </c>
      <c r="X53" s="4336">
        <v>693.71799999999996</v>
      </c>
      <c r="Y53" s="4336"/>
      <c r="Z53" s="4335">
        <f t="shared" si="181"/>
        <v>585.899</v>
      </c>
      <c r="AA53" s="4336">
        <v>585.899</v>
      </c>
      <c r="AB53" s="4336"/>
      <c r="AC53" s="4335">
        <f t="shared" si="215"/>
        <v>1894.6790000000001</v>
      </c>
      <c r="AD53" s="4335">
        <f t="shared" si="281"/>
        <v>1894.6790000000001</v>
      </c>
      <c r="AE53" s="4335">
        <f t="shared" si="281"/>
        <v>0</v>
      </c>
      <c r="AF53" s="4318">
        <f t="shared" ref="AF53" si="299">SUM(AG53:AH53)</f>
        <v>3952.1368260923905</v>
      </c>
      <c r="AG53" s="4318">
        <f t="shared" ref="AG53:AH53" si="300">SUM(C53+R53)</f>
        <v>3952.1368260923905</v>
      </c>
      <c r="AH53" s="4318">
        <f t="shared" si="300"/>
        <v>0</v>
      </c>
      <c r="AI53" s="4337">
        <f t="shared" si="289"/>
        <v>3711.0360000000001</v>
      </c>
      <c r="AJ53" s="4337">
        <f t="shared" si="289"/>
        <v>3711.0360000000001</v>
      </c>
      <c r="AK53" s="4337">
        <f t="shared" si="289"/>
        <v>0</v>
      </c>
      <c r="AL53" s="4337">
        <f t="shared" si="232"/>
        <v>-241.10082609239043</v>
      </c>
      <c r="AM53" s="4337">
        <f t="shared" si="232"/>
        <v>-241.10082609239043</v>
      </c>
      <c r="AN53" s="4337">
        <f t="shared" si="232"/>
        <v>0</v>
      </c>
      <c r="AO53" s="4317">
        <f t="shared" ref="AO53:AO54" si="301">SUM(AP53:AQ53)</f>
        <v>1976.0684130461952</v>
      </c>
      <c r="AP53" s="4317">
        <f t="shared" ref="AP53:AP54" si="302">SUM(CC53-AG53)/2</f>
        <v>1976.0684130461952</v>
      </c>
      <c r="AQ53" s="4317">
        <f t="shared" ref="AQ53:AQ54" si="303">SUM(CD53-AH53)/2</f>
        <v>0</v>
      </c>
      <c r="AR53" s="4335">
        <f t="shared" si="188"/>
        <v>544.40300000000002</v>
      </c>
      <c r="AS53" s="4336">
        <v>544.40300000000002</v>
      </c>
      <c r="AT53" s="4336"/>
      <c r="AU53" s="4335">
        <f t="shared" si="190"/>
        <v>0</v>
      </c>
      <c r="AV53" s="4336"/>
      <c r="AW53" s="4336"/>
      <c r="AX53" s="4335">
        <f t="shared" si="192"/>
        <v>0</v>
      </c>
      <c r="AY53" s="4336"/>
      <c r="AZ53" s="4336"/>
      <c r="BA53" s="4335">
        <f t="shared" si="222"/>
        <v>544.40300000000002</v>
      </c>
      <c r="BB53" s="4335">
        <f t="shared" si="282"/>
        <v>544.40300000000002</v>
      </c>
      <c r="BC53" s="4335">
        <f t="shared" si="282"/>
        <v>0</v>
      </c>
      <c r="BD53" s="4318">
        <f t="shared" ref="BD53:BD54" si="304">SUM(BE53:BF53)</f>
        <v>5928.205239138586</v>
      </c>
      <c r="BE53" s="4318">
        <f t="shared" ref="BE53:BF59" si="305">SUM(AG53+AP53)</f>
        <v>5928.205239138586</v>
      </c>
      <c r="BF53" s="4318">
        <f t="shared" si="305"/>
        <v>0</v>
      </c>
      <c r="BG53" s="4337">
        <f t="shared" si="292"/>
        <v>4255.4390000000003</v>
      </c>
      <c r="BH53" s="4337">
        <f t="shared" si="292"/>
        <v>4255.4390000000003</v>
      </c>
      <c r="BI53" s="4337">
        <f t="shared" si="292"/>
        <v>0</v>
      </c>
      <c r="BJ53" s="4337">
        <f t="shared" si="233"/>
        <v>-1672.7662391385857</v>
      </c>
      <c r="BK53" s="4337">
        <f t="shared" si="233"/>
        <v>-1672.7662391385857</v>
      </c>
      <c r="BL53" s="4337">
        <f t="shared" si="233"/>
        <v>0</v>
      </c>
      <c r="BM53" s="4317">
        <f t="shared" ref="BM53:BM59" si="306">SUM(BN53:BO53)</f>
        <v>1976.0684130461952</v>
      </c>
      <c r="BN53" s="4317">
        <f t="shared" ref="BN53:BN59" si="307">SUM(AP53)</f>
        <v>1976.0684130461952</v>
      </c>
      <c r="BO53" s="4317">
        <f t="shared" ref="BO53:BO59" si="308">SUM(AQ53)</f>
        <v>0</v>
      </c>
      <c r="BP53" s="4335">
        <f t="shared" si="200"/>
        <v>0</v>
      </c>
      <c r="BQ53" s="4336"/>
      <c r="BR53" s="4336"/>
      <c r="BS53" s="4335">
        <f t="shared" si="202"/>
        <v>0</v>
      </c>
      <c r="BT53" s="4336"/>
      <c r="BU53" s="4336"/>
      <c r="BV53" s="4335">
        <f t="shared" si="204"/>
        <v>0</v>
      </c>
      <c r="BW53" s="4336"/>
      <c r="BX53" s="4336"/>
      <c r="BY53" s="4335">
        <f t="shared" si="229"/>
        <v>0</v>
      </c>
      <c r="BZ53" s="4335">
        <f t="shared" si="283"/>
        <v>0</v>
      </c>
      <c r="CA53" s="4335">
        <f t="shared" si="283"/>
        <v>0</v>
      </c>
      <c r="CB53" s="4318">
        <f t="shared" ref="CB53:CB59" si="309">SUM(CC53:CD53)</f>
        <v>7904.273652184781</v>
      </c>
      <c r="CC53" s="4318">
        <f>SUM(вода!EF18)</f>
        <v>7904.273652184781</v>
      </c>
      <c r="CD53" s="4318">
        <v>0</v>
      </c>
      <c r="CE53" s="4337">
        <f t="shared" si="293"/>
        <v>4255.4390000000003</v>
      </c>
      <c r="CF53" s="4337">
        <f t="shared" si="294"/>
        <v>4255.4390000000003</v>
      </c>
      <c r="CG53" s="4337">
        <f t="shared" si="294"/>
        <v>0</v>
      </c>
      <c r="CH53" s="4337">
        <f t="shared" si="234"/>
        <v>-3648.8346521847807</v>
      </c>
      <c r="CI53" s="4337">
        <f t="shared" si="234"/>
        <v>-3648.8346521847807</v>
      </c>
      <c r="CJ53" s="4337">
        <f t="shared" si="234"/>
        <v>0</v>
      </c>
      <c r="CK53" s="2774"/>
      <c r="CL53" s="3575">
        <f t="shared" si="132"/>
        <v>7904.273652184781</v>
      </c>
      <c r="CM53" s="3575">
        <f t="shared" si="132"/>
        <v>7904.273652184781</v>
      </c>
      <c r="CN53" s="3575">
        <f t="shared" si="132"/>
        <v>0</v>
      </c>
    </row>
    <row r="54" spans="1:92" ht="18.75" customHeight="1" x14ac:dyDescent="0.3">
      <c r="A54" s="4334" t="s">
        <v>8</v>
      </c>
      <c r="B54" s="4317">
        <f t="shared" si="295"/>
        <v>3980.692725647526</v>
      </c>
      <c r="C54" s="4317">
        <f t="shared" ref="C54" si="310">SUM(CC54/4)</f>
        <v>3980.692725647526</v>
      </c>
      <c r="D54" s="4317">
        <f t="shared" ref="D54" si="311">SUM(CD54/4)</f>
        <v>0</v>
      </c>
      <c r="E54" s="4335">
        <f t="shared" si="134"/>
        <v>402.52800000000002</v>
      </c>
      <c r="F54" s="4336">
        <v>402.52800000000002</v>
      </c>
      <c r="G54" s="4336"/>
      <c r="H54" s="4335">
        <f t="shared" si="135"/>
        <v>495.327</v>
      </c>
      <c r="I54" s="4336">
        <v>495.327</v>
      </c>
      <c r="J54" s="4336"/>
      <c r="K54" s="4335">
        <f t="shared" si="136"/>
        <v>121.70399999999999</v>
      </c>
      <c r="L54" s="4336">
        <v>121.70399999999999</v>
      </c>
      <c r="M54" s="4336"/>
      <c r="N54" s="4335">
        <f t="shared" si="284"/>
        <v>1019.559</v>
      </c>
      <c r="O54" s="4335">
        <f t="shared" si="285"/>
        <v>1019.559</v>
      </c>
      <c r="P54" s="4335">
        <f t="shared" si="286"/>
        <v>0</v>
      </c>
      <c r="Q54" s="4317">
        <f t="shared" si="296"/>
        <v>3980.692725647526</v>
      </c>
      <c r="R54" s="4317">
        <f t="shared" si="297"/>
        <v>3980.692725647526</v>
      </c>
      <c r="S54" s="4317">
        <f t="shared" si="298"/>
        <v>0</v>
      </c>
      <c r="T54" s="4335">
        <f t="shared" si="177"/>
        <v>288.14800000000002</v>
      </c>
      <c r="U54" s="4336">
        <v>288.14800000000002</v>
      </c>
      <c r="V54" s="4336"/>
      <c r="W54" s="4335">
        <f t="shared" si="179"/>
        <v>2376.6239999999998</v>
      </c>
      <c r="X54" s="4336">
        <v>2376.6239999999998</v>
      </c>
      <c r="Y54" s="4336"/>
      <c r="Z54" s="4335">
        <f t="shared" si="181"/>
        <v>3402.8159999999998</v>
      </c>
      <c r="AA54" s="4336">
        <v>3402.8159999999998</v>
      </c>
      <c r="AB54" s="4336"/>
      <c r="AC54" s="4335">
        <f t="shared" si="215"/>
        <v>6067.5879999999997</v>
      </c>
      <c r="AD54" s="4335">
        <f t="shared" si="281"/>
        <v>6067.5879999999997</v>
      </c>
      <c r="AE54" s="4335">
        <f t="shared" si="281"/>
        <v>0</v>
      </c>
      <c r="AF54" s="4318">
        <f t="shared" ref="AF54:AF59" si="312">SUM(AG54:AH54)</f>
        <v>7961.385451295052</v>
      </c>
      <c r="AG54" s="4318">
        <f t="shared" ref="AG54:AH59" si="313">SUM(C54+R54)</f>
        <v>7961.385451295052</v>
      </c>
      <c r="AH54" s="4318">
        <f t="shared" si="313"/>
        <v>0</v>
      </c>
      <c r="AI54" s="4337">
        <f t="shared" si="289"/>
        <v>7087.1469999999999</v>
      </c>
      <c r="AJ54" s="4337">
        <f t="shared" si="289"/>
        <v>7087.1469999999999</v>
      </c>
      <c r="AK54" s="4337">
        <f t="shared" si="289"/>
        <v>0</v>
      </c>
      <c r="AL54" s="4337">
        <f t="shared" si="232"/>
        <v>-874.23845129505207</v>
      </c>
      <c r="AM54" s="4337">
        <f t="shared" si="232"/>
        <v>-874.23845129505207</v>
      </c>
      <c r="AN54" s="4337">
        <f t="shared" si="232"/>
        <v>0</v>
      </c>
      <c r="AO54" s="4317">
        <f t="shared" si="301"/>
        <v>3980.692725647526</v>
      </c>
      <c r="AP54" s="4317">
        <f t="shared" si="302"/>
        <v>3980.692725647526</v>
      </c>
      <c r="AQ54" s="4317">
        <f t="shared" si="303"/>
        <v>0</v>
      </c>
      <c r="AR54" s="4335">
        <f t="shared" si="188"/>
        <v>504.59300000000002</v>
      </c>
      <c r="AS54" s="4336">
        <v>504.59300000000002</v>
      </c>
      <c r="AT54" s="4336"/>
      <c r="AU54" s="4335">
        <f t="shared" si="190"/>
        <v>0</v>
      </c>
      <c r="AV54" s="4336"/>
      <c r="AW54" s="4336"/>
      <c r="AX54" s="4335">
        <f t="shared" si="192"/>
        <v>0</v>
      </c>
      <c r="AY54" s="4336"/>
      <c r="AZ54" s="4336"/>
      <c r="BA54" s="4335">
        <f t="shared" si="222"/>
        <v>504.59300000000002</v>
      </c>
      <c r="BB54" s="4335">
        <f t="shared" si="282"/>
        <v>504.59300000000002</v>
      </c>
      <c r="BC54" s="4335">
        <f t="shared" si="282"/>
        <v>0</v>
      </c>
      <c r="BD54" s="4318">
        <f t="shared" si="304"/>
        <v>11942.078176942578</v>
      </c>
      <c r="BE54" s="4318">
        <f t="shared" si="305"/>
        <v>11942.078176942578</v>
      </c>
      <c r="BF54" s="4318">
        <f t="shared" si="305"/>
        <v>0</v>
      </c>
      <c r="BG54" s="4337">
        <f t="shared" si="292"/>
        <v>7591.74</v>
      </c>
      <c r="BH54" s="4337">
        <f t="shared" si="292"/>
        <v>7591.74</v>
      </c>
      <c r="BI54" s="4337">
        <f t="shared" si="292"/>
        <v>0</v>
      </c>
      <c r="BJ54" s="4337">
        <f t="shared" si="233"/>
        <v>-4350.3381769425778</v>
      </c>
      <c r="BK54" s="4337">
        <f t="shared" si="233"/>
        <v>-4350.3381769425778</v>
      </c>
      <c r="BL54" s="4337">
        <f t="shared" si="233"/>
        <v>0</v>
      </c>
      <c r="BM54" s="4317">
        <f t="shared" si="306"/>
        <v>3980.692725647526</v>
      </c>
      <c r="BN54" s="4317">
        <f t="shared" si="307"/>
        <v>3980.692725647526</v>
      </c>
      <c r="BO54" s="4317">
        <f t="shared" si="308"/>
        <v>0</v>
      </c>
      <c r="BP54" s="4335">
        <f t="shared" si="200"/>
        <v>0</v>
      </c>
      <c r="BQ54" s="4336"/>
      <c r="BR54" s="4336"/>
      <c r="BS54" s="4335">
        <f t="shared" si="202"/>
        <v>0</v>
      </c>
      <c r="BT54" s="4336"/>
      <c r="BU54" s="4336"/>
      <c r="BV54" s="4335">
        <f t="shared" si="204"/>
        <v>0</v>
      </c>
      <c r="BW54" s="4336"/>
      <c r="BX54" s="4336"/>
      <c r="BY54" s="4335">
        <f t="shared" si="229"/>
        <v>0</v>
      </c>
      <c r="BZ54" s="4335">
        <f t="shared" si="283"/>
        <v>0</v>
      </c>
      <c r="CA54" s="4335">
        <f t="shared" si="283"/>
        <v>0</v>
      </c>
      <c r="CB54" s="4318">
        <f t="shared" si="309"/>
        <v>15922.770902590104</v>
      </c>
      <c r="CC54" s="4318">
        <f>SUM(вода!EF19)</f>
        <v>15922.770902590104</v>
      </c>
      <c r="CD54" s="4318">
        <v>0</v>
      </c>
      <c r="CE54" s="4337">
        <f t="shared" si="293"/>
        <v>7591.74</v>
      </c>
      <c r="CF54" s="4337">
        <f t="shared" si="294"/>
        <v>7591.74</v>
      </c>
      <c r="CG54" s="4337">
        <f t="shared" si="294"/>
        <v>0</v>
      </c>
      <c r="CH54" s="4337">
        <f t="shared" si="234"/>
        <v>-8331.0309025901042</v>
      </c>
      <c r="CI54" s="4337">
        <f t="shared" si="234"/>
        <v>-8331.0309025901042</v>
      </c>
      <c r="CJ54" s="4337">
        <f t="shared" si="234"/>
        <v>0</v>
      </c>
      <c r="CK54" s="2774"/>
      <c r="CL54" s="3575">
        <f t="shared" si="132"/>
        <v>15922.770902590104</v>
      </c>
      <c r="CM54" s="3575">
        <f t="shared" si="132"/>
        <v>15922.770902590104</v>
      </c>
      <c r="CN54" s="3575">
        <f t="shared" si="132"/>
        <v>0</v>
      </c>
    </row>
    <row r="55" spans="1:92" ht="18.75" customHeight="1" x14ac:dyDescent="0.3">
      <c r="A55" s="4334" t="s">
        <v>2</v>
      </c>
      <c r="B55" s="4317">
        <f t="shared" ref="B55" si="314">SUM(C55:D55)</f>
        <v>1095.3507073351718</v>
      </c>
      <c r="C55" s="4317">
        <f t="shared" ref="C55:D55" si="315">SUM(CC55/4)</f>
        <v>1095.3507073351718</v>
      </c>
      <c r="D55" s="4317">
        <f t="shared" si="315"/>
        <v>0</v>
      </c>
      <c r="E55" s="4335">
        <f t="shared" si="134"/>
        <v>94.87</v>
      </c>
      <c r="F55" s="4336">
        <v>94.87</v>
      </c>
      <c r="G55" s="4336"/>
      <c r="H55" s="4335">
        <f t="shared" si="135"/>
        <v>94.831000000000003</v>
      </c>
      <c r="I55" s="4336">
        <v>94.831000000000003</v>
      </c>
      <c r="J55" s="4336"/>
      <c r="K55" s="4335">
        <f t="shared" si="136"/>
        <v>96.734999999999999</v>
      </c>
      <c r="L55" s="4336">
        <v>96.734999999999999</v>
      </c>
      <c r="M55" s="4336"/>
      <c r="N55" s="4335">
        <f t="shared" si="284"/>
        <v>286.43600000000004</v>
      </c>
      <c r="O55" s="4335">
        <f t="shared" si="285"/>
        <v>286.43600000000004</v>
      </c>
      <c r="P55" s="4335">
        <f t="shared" si="286"/>
        <v>0</v>
      </c>
      <c r="Q55" s="4317">
        <f t="shared" ref="Q55:Q59" si="316">SUM(R55:S55)</f>
        <v>1095.3507073351718</v>
      </c>
      <c r="R55" s="4317">
        <f t="shared" si="297"/>
        <v>1095.3507073351718</v>
      </c>
      <c r="S55" s="4317">
        <f t="shared" si="298"/>
        <v>0</v>
      </c>
      <c r="T55" s="4335">
        <f t="shared" si="177"/>
        <v>94.581000000000003</v>
      </c>
      <c r="U55" s="4336">
        <v>94.581000000000003</v>
      </c>
      <c r="V55" s="4336"/>
      <c r="W55" s="4335">
        <f t="shared" si="179"/>
        <v>93.634</v>
      </c>
      <c r="X55" s="4336">
        <v>93.634</v>
      </c>
      <c r="Y55" s="4336"/>
      <c r="Z55" s="4335">
        <f t="shared" si="181"/>
        <v>93.700999999999993</v>
      </c>
      <c r="AA55" s="4336">
        <v>93.700999999999993</v>
      </c>
      <c r="AB55" s="4336"/>
      <c r="AC55" s="4335">
        <f t="shared" si="215"/>
        <v>281.916</v>
      </c>
      <c r="AD55" s="4335">
        <f t="shared" si="281"/>
        <v>281.916</v>
      </c>
      <c r="AE55" s="4335">
        <f t="shared" si="281"/>
        <v>0</v>
      </c>
      <c r="AF55" s="4318">
        <f t="shared" si="312"/>
        <v>2190.7014146703436</v>
      </c>
      <c r="AG55" s="4318">
        <f t="shared" si="313"/>
        <v>2190.7014146703436</v>
      </c>
      <c r="AH55" s="4318">
        <f t="shared" si="313"/>
        <v>0</v>
      </c>
      <c r="AI55" s="4337">
        <f t="shared" si="289"/>
        <v>568.35200000000009</v>
      </c>
      <c r="AJ55" s="4337">
        <f t="shared" si="289"/>
        <v>568.35200000000009</v>
      </c>
      <c r="AK55" s="4337">
        <f t="shared" si="289"/>
        <v>0</v>
      </c>
      <c r="AL55" s="4337">
        <f t="shared" si="232"/>
        <v>-1622.3494146703435</v>
      </c>
      <c r="AM55" s="4337">
        <f t="shared" si="232"/>
        <v>-1622.3494146703435</v>
      </c>
      <c r="AN55" s="4337">
        <f t="shared" si="232"/>
        <v>0</v>
      </c>
      <c r="AO55" s="4317">
        <f t="shared" ref="AO55:AO59" si="317">SUM(AP55:AQ55)</f>
        <v>1095.3507073351718</v>
      </c>
      <c r="AP55" s="4317">
        <f t="shared" ref="AP55:AQ59" si="318">SUM(CC55-AG55)/2</f>
        <v>1095.3507073351718</v>
      </c>
      <c r="AQ55" s="4317">
        <f t="shared" si="318"/>
        <v>0</v>
      </c>
      <c r="AR55" s="4335">
        <f t="shared" si="188"/>
        <v>93.718000000000004</v>
      </c>
      <c r="AS55" s="4336">
        <v>93.718000000000004</v>
      </c>
      <c r="AT55" s="4336"/>
      <c r="AU55" s="4335">
        <f t="shared" si="190"/>
        <v>0</v>
      </c>
      <c r="AV55" s="4336"/>
      <c r="AW55" s="4336"/>
      <c r="AX55" s="4335">
        <f t="shared" si="192"/>
        <v>0</v>
      </c>
      <c r="AY55" s="4336"/>
      <c r="AZ55" s="4336"/>
      <c r="BA55" s="4335">
        <f t="shared" si="222"/>
        <v>93.718000000000004</v>
      </c>
      <c r="BB55" s="4335">
        <f t="shared" si="282"/>
        <v>93.718000000000004</v>
      </c>
      <c r="BC55" s="4335">
        <f t="shared" si="282"/>
        <v>0</v>
      </c>
      <c r="BD55" s="4318">
        <f t="shared" ref="BD55:BD59" si="319">SUM(BE55:BF55)</f>
        <v>3286.0521220055152</v>
      </c>
      <c r="BE55" s="4318">
        <f t="shared" si="305"/>
        <v>3286.0521220055152</v>
      </c>
      <c r="BF55" s="4318">
        <f t="shared" si="305"/>
        <v>0</v>
      </c>
      <c r="BG55" s="4337">
        <f t="shared" si="292"/>
        <v>662.07</v>
      </c>
      <c r="BH55" s="4337">
        <f t="shared" si="292"/>
        <v>662.07</v>
      </c>
      <c r="BI55" s="4337">
        <f t="shared" si="292"/>
        <v>0</v>
      </c>
      <c r="BJ55" s="4337">
        <f t="shared" si="233"/>
        <v>-2623.9821220055151</v>
      </c>
      <c r="BK55" s="4337">
        <f t="shared" si="233"/>
        <v>-2623.9821220055151</v>
      </c>
      <c r="BL55" s="4337">
        <f t="shared" si="233"/>
        <v>0</v>
      </c>
      <c r="BM55" s="4317">
        <f t="shared" si="306"/>
        <v>1095.3507073351718</v>
      </c>
      <c r="BN55" s="4317">
        <f t="shared" si="307"/>
        <v>1095.3507073351718</v>
      </c>
      <c r="BO55" s="4317">
        <f t="shared" si="308"/>
        <v>0</v>
      </c>
      <c r="BP55" s="4335">
        <f t="shared" si="200"/>
        <v>0</v>
      </c>
      <c r="BQ55" s="4336"/>
      <c r="BR55" s="4336"/>
      <c r="BS55" s="4335">
        <f t="shared" si="202"/>
        <v>0</v>
      </c>
      <c r="BT55" s="4336"/>
      <c r="BU55" s="4336"/>
      <c r="BV55" s="4335">
        <f t="shared" si="204"/>
        <v>0</v>
      </c>
      <c r="BW55" s="4336"/>
      <c r="BX55" s="4336"/>
      <c r="BY55" s="4335">
        <f t="shared" si="229"/>
        <v>0</v>
      </c>
      <c r="BZ55" s="4335">
        <f t="shared" si="283"/>
        <v>0</v>
      </c>
      <c r="CA55" s="4335">
        <f t="shared" si="283"/>
        <v>0</v>
      </c>
      <c r="CB55" s="4318">
        <f t="shared" si="309"/>
        <v>4381.4028293406873</v>
      </c>
      <c r="CC55" s="4318">
        <f>SUM(вода!EF20)</f>
        <v>4381.4028293406873</v>
      </c>
      <c r="CD55" s="4318">
        <v>0</v>
      </c>
      <c r="CE55" s="4337">
        <f t="shared" si="293"/>
        <v>662.07</v>
      </c>
      <c r="CF55" s="4337">
        <f t="shared" si="294"/>
        <v>662.07</v>
      </c>
      <c r="CG55" s="4337">
        <f t="shared" si="294"/>
        <v>0</v>
      </c>
      <c r="CH55" s="4337">
        <f t="shared" si="234"/>
        <v>-3719.3328293406871</v>
      </c>
      <c r="CI55" s="4337">
        <f t="shared" si="234"/>
        <v>-3719.3328293406871</v>
      </c>
      <c r="CJ55" s="4337">
        <f t="shared" si="234"/>
        <v>0</v>
      </c>
      <c r="CK55" s="2774"/>
      <c r="CL55" s="3575">
        <f t="shared" si="132"/>
        <v>4381.4028293406873</v>
      </c>
      <c r="CM55" s="3575">
        <f t="shared" si="132"/>
        <v>4381.4028293406873</v>
      </c>
      <c r="CN55" s="3575">
        <f t="shared" si="132"/>
        <v>0</v>
      </c>
    </row>
    <row r="56" spans="1:92" ht="18.75" customHeight="1" x14ac:dyDescent="0.3">
      <c r="A56" s="4338" t="s">
        <v>3692</v>
      </c>
      <c r="B56" s="4317">
        <f t="shared" ref="B56:B59" si="320">SUM(C56:D56)</f>
        <v>0</v>
      </c>
      <c r="C56" s="4317">
        <f t="shared" ref="C56:C59" si="321">SUM(CC56/4)</f>
        <v>0</v>
      </c>
      <c r="D56" s="4317">
        <f t="shared" ref="D56:D59" si="322">SUM(CD56/4)</f>
        <v>0</v>
      </c>
      <c r="E56" s="4335">
        <f t="shared" si="134"/>
        <v>64.117000000000004</v>
      </c>
      <c r="F56" s="4336">
        <v>64.117000000000004</v>
      </c>
      <c r="G56" s="4336"/>
      <c r="H56" s="4335">
        <f t="shared" si="135"/>
        <v>82</v>
      </c>
      <c r="I56" s="4336">
        <v>82</v>
      </c>
      <c r="J56" s="4336"/>
      <c r="K56" s="4335">
        <f t="shared" si="136"/>
        <v>47.198999999999998</v>
      </c>
      <c r="L56" s="4336">
        <v>47.198999999999998</v>
      </c>
      <c r="M56" s="4336"/>
      <c r="N56" s="4335">
        <f t="shared" si="284"/>
        <v>193.31600000000003</v>
      </c>
      <c r="O56" s="4335">
        <f t="shared" si="285"/>
        <v>193.31600000000003</v>
      </c>
      <c r="P56" s="4335">
        <f t="shared" si="286"/>
        <v>0</v>
      </c>
      <c r="Q56" s="4317">
        <f t="shared" si="316"/>
        <v>0</v>
      </c>
      <c r="R56" s="4317">
        <f t="shared" si="297"/>
        <v>0</v>
      </c>
      <c r="S56" s="4317">
        <f t="shared" si="298"/>
        <v>0</v>
      </c>
      <c r="T56" s="4335">
        <f t="shared" si="177"/>
        <v>40.436</v>
      </c>
      <c r="U56" s="4336">
        <f>22.195+18.241</f>
        <v>40.436</v>
      </c>
      <c r="V56" s="4336"/>
      <c r="W56" s="4335">
        <f t="shared" si="179"/>
        <v>82</v>
      </c>
      <c r="X56" s="4336">
        <v>82</v>
      </c>
      <c r="Y56" s="4336"/>
      <c r="Z56" s="4335">
        <f t="shared" si="181"/>
        <v>111.583</v>
      </c>
      <c r="AA56" s="4336">
        <v>111.583</v>
      </c>
      <c r="AB56" s="4336"/>
      <c r="AC56" s="4335">
        <f t="shared" si="215"/>
        <v>234.01900000000001</v>
      </c>
      <c r="AD56" s="4335">
        <f t="shared" si="281"/>
        <v>234.01900000000001</v>
      </c>
      <c r="AE56" s="4335">
        <f t="shared" si="281"/>
        <v>0</v>
      </c>
      <c r="AF56" s="4318">
        <f t="shared" si="312"/>
        <v>0</v>
      </c>
      <c r="AG56" s="4318">
        <f t="shared" si="313"/>
        <v>0</v>
      </c>
      <c r="AH56" s="4318">
        <f t="shared" si="313"/>
        <v>0</v>
      </c>
      <c r="AI56" s="4337">
        <f t="shared" si="289"/>
        <v>427.33500000000004</v>
      </c>
      <c r="AJ56" s="4337">
        <f t="shared" si="289"/>
        <v>427.33500000000004</v>
      </c>
      <c r="AK56" s="4337">
        <f t="shared" si="289"/>
        <v>0</v>
      </c>
      <c r="AL56" s="4337">
        <f t="shared" si="232"/>
        <v>427.33500000000004</v>
      </c>
      <c r="AM56" s="4337">
        <f t="shared" si="232"/>
        <v>427.33500000000004</v>
      </c>
      <c r="AN56" s="4337">
        <f t="shared" si="232"/>
        <v>0</v>
      </c>
      <c r="AO56" s="4317">
        <f t="shared" si="317"/>
        <v>0</v>
      </c>
      <c r="AP56" s="4317">
        <f t="shared" si="318"/>
        <v>0</v>
      </c>
      <c r="AQ56" s="4317">
        <f t="shared" si="318"/>
        <v>0</v>
      </c>
      <c r="AR56" s="4335">
        <f t="shared" si="188"/>
        <v>4.4989999999999997</v>
      </c>
      <c r="AS56" s="4336">
        <v>4.4989999999999997</v>
      </c>
      <c r="AT56" s="4336"/>
      <c r="AU56" s="4335">
        <f t="shared" si="190"/>
        <v>0</v>
      </c>
      <c r="AV56" s="4336"/>
      <c r="AW56" s="4336"/>
      <c r="AX56" s="4335">
        <f t="shared" si="192"/>
        <v>0</v>
      </c>
      <c r="AY56" s="4336"/>
      <c r="AZ56" s="4336"/>
      <c r="BA56" s="4335">
        <f t="shared" si="222"/>
        <v>4.4989999999999997</v>
      </c>
      <c r="BB56" s="4335">
        <f t="shared" si="282"/>
        <v>4.4989999999999997</v>
      </c>
      <c r="BC56" s="4335">
        <f t="shared" si="282"/>
        <v>0</v>
      </c>
      <c r="BD56" s="4318">
        <f t="shared" si="319"/>
        <v>0</v>
      </c>
      <c r="BE56" s="4318">
        <f t="shared" si="305"/>
        <v>0</v>
      </c>
      <c r="BF56" s="4318">
        <f t="shared" si="305"/>
        <v>0</v>
      </c>
      <c r="BG56" s="4337">
        <f t="shared" si="292"/>
        <v>431.83400000000006</v>
      </c>
      <c r="BH56" s="4337">
        <f t="shared" si="292"/>
        <v>431.83400000000006</v>
      </c>
      <c r="BI56" s="4337">
        <f t="shared" si="292"/>
        <v>0</v>
      </c>
      <c r="BJ56" s="4337">
        <f t="shared" si="233"/>
        <v>431.83400000000006</v>
      </c>
      <c r="BK56" s="4337">
        <f t="shared" si="233"/>
        <v>431.83400000000006</v>
      </c>
      <c r="BL56" s="4337">
        <f t="shared" si="233"/>
        <v>0</v>
      </c>
      <c r="BM56" s="4317">
        <f t="shared" si="306"/>
        <v>0</v>
      </c>
      <c r="BN56" s="4317">
        <f t="shared" si="307"/>
        <v>0</v>
      </c>
      <c r="BO56" s="4317">
        <f t="shared" si="308"/>
        <v>0</v>
      </c>
      <c r="BP56" s="4335">
        <f t="shared" si="200"/>
        <v>0</v>
      </c>
      <c r="BQ56" s="4336"/>
      <c r="BR56" s="4336"/>
      <c r="BS56" s="4335">
        <f t="shared" si="202"/>
        <v>0</v>
      </c>
      <c r="BT56" s="4336"/>
      <c r="BU56" s="4336"/>
      <c r="BV56" s="4335">
        <f t="shared" si="204"/>
        <v>0</v>
      </c>
      <c r="BW56" s="4336"/>
      <c r="BX56" s="4336"/>
      <c r="BY56" s="4335">
        <f t="shared" si="229"/>
        <v>0</v>
      </c>
      <c r="BZ56" s="4335">
        <f t="shared" si="283"/>
        <v>0</v>
      </c>
      <c r="CA56" s="4335">
        <f t="shared" si="283"/>
        <v>0</v>
      </c>
      <c r="CB56" s="4318">
        <f t="shared" si="309"/>
        <v>0</v>
      </c>
      <c r="CC56" s="4318">
        <f>SUM(вода!EF21)</f>
        <v>0</v>
      </c>
      <c r="CD56" s="4318">
        <v>0</v>
      </c>
      <c r="CE56" s="4337">
        <f t="shared" si="293"/>
        <v>431.83400000000006</v>
      </c>
      <c r="CF56" s="4337">
        <f t="shared" si="294"/>
        <v>431.83400000000006</v>
      </c>
      <c r="CG56" s="4337">
        <f t="shared" si="294"/>
        <v>0</v>
      </c>
      <c r="CH56" s="4337">
        <f t="shared" si="234"/>
        <v>431.83400000000006</v>
      </c>
      <c r="CI56" s="4337">
        <f t="shared" si="234"/>
        <v>431.83400000000006</v>
      </c>
      <c r="CJ56" s="4337">
        <f t="shared" si="234"/>
        <v>0</v>
      </c>
      <c r="CK56" s="2774"/>
      <c r="CL56" s="3575">
        <f t="shared" si="132"/>
        <v>0</v>
      </c>
      <c r="CM56" s="3575">
        <f t="shared" si="132"/>
        <v>0</v>
      </c>
      <c r="CN56" s="3575">
        <f t="shared" si="132"/>
        <v>0</v>
      </c>
    </row>
    <row r="57" spans="1:92" ht="18.75" customHeight="1" x14ac:dyDescent="0.3">
      <c r="A57" s="4334" t="s">
        <v>3</v>
      </c>
      <c r="B57" s="4317">
        <f t="shared" si="320"/>
        <v>0</v>
      </c>
      <c r="C57" s="4317">
        <f t="shared" si="321"/>
        <v>0</v>
      </c>
      <c r="D57" s="4317">
        <f t="shared" si="322"/>
        <v>0</v>
      </c>
      <c r="E57" s="4335">
        <f t="shared" si="134"/>
        <v>196.744</v>
      </c>
      <c r="F57" s="4336">
        <f>0.3+196.444</f>
        <v>196.744</v>
      </c>
      <c r="G57" s="4336"/>
      <c r="H57" s="4335">
        <f t="shared" si="135"/>
        <v>484.49700000000001</v>
      </c>
      <c r="I57" s="4336">
        <v>484.49700000000001</v>
      </c>
      <c r="J57" s="4336"/>
      <c r="K57" s="4335">
        <f t="shared" si="136"/>
        <v>697.93100000000004</v>
      </c>
      <c r="L57" s="4336">
        <f>15.25+682.681</f>
        <v>697.93100000000004</v>
      </c>
      <c r="M57" s="4336"/>
      <c r="N57" s="4335">
        <f t="shared" si="284"/>
        <v>1379.172</v>
      </c>
      <c r="O57" s="4335">
        <f t="shared" si="285"/>
        <v>1379.172</v>
      </c>
      <c r="P57" s="4335">
        <f t="shared" si="286"/>
        <v>0</v>
      </c>
      <c r="Q57" s="4317">
        <f t="shared" si="316"/>
        <v>0</v>
      </c>
      <c r="R57" s="4317">
        <f t="shared" si="297"/>
        <v>0</v>
      </c>
      <c r="S57" s="4317">
        <f t="shared" si="298"/>
        <v>0</v>
      </c>
      <c r="T57" s="4335">
        <f t="shared" si="177"/>
        <v>543.77499999999998</v>
      </c>
      <c r="U57" s="4336">
        <f>543.775</f>
        <v>543.77499999999998</v>
      </c>
      <c r="V57" s="4336"/>
      <c r="W57" s="4335">
        <f t="shared" si="179"/>
        <v>107.26300000000001</v>
      </c>
      <c r="X57" s="4336">
        <f>7+100.263</f>
        <v>107.26300000000001</v>
      </c>
      <c r="Y57" s="4336"/>
      <c r="Z57" s="4335">
        <f t="shared" si="181"/>
        <v>863.10199999999998</v>
      </c>
      <c r="AA57" s="4336">
        <f>20.352+4.028+838.722</f>
        <v>863.10199999999998</v>
      </c>
      <c r="AB57" s="4336"/>
      <c r="AC57" s="4335">
        <f t="shared" si="215"/>
        <v>1514.1399999999999</v>
      </c>
      <c r="AD57" s="4335">
        <f t="shared" si="281"/>
        <v>1514.1399999999999</v>
      </c>
      <c r="AE57" s="4335">
        <f t="shared" si="281"/>
        <v>0</v>
      </c>
      <c r="AF57" s="4318">
        <f t="shared" si="312"/>
        <v>0</v>
      </c>
      <c r="AG57" s="4318">
        <f t="shared" si="313"/>
        <v>0</v>
      </c>
      <c r="AH57" s="4318">
        <f t="shared" si="313"/>
        <v>0</v>
      </c>
      <c r="AI57" s="4337">
        <f t="shared" si="289"/>
        <v>2893.3119999999999</v>
      </c>
      <c r="AJ57" s="4337">
        <f t="shared" si="289"/>
        <v>2893.3119999999999</v>
      </c>
      <c r="AK57" s="4337">
        <f t="shared" si="289"/>
        <v>0</v>
      </c>
      <c r="AL57" s="4337">
        <f t="shared" si="232"/>
        <v>2893.3119999999999</v>
      </c>
      <c r="AM57" s="4337">
        <f t="shared" si="232"/>
        <v>2893.3119999999999</v>
      </c>
      <c r="AN57" s="4337">
        <f t="shared" si="232"/>
        <v>0</v>
      </c>
      <c r="AO57" s="4317">
        <f t="shared" si="317"/>
        <v>0</v>
      </c>
      <c r="AP57" s="4317">
        <f t="shared" si="318"/>
        <v>0</v>
      </c>
      <c r="AQ57" s="4317">
        <f t="shared" si="318"/>
        <v>0</v>
      </c>
      <c r="AR57" s="4335">
        <f t="shared" si="188"/>
        <v>135.42400000000001</v>
      </c>
      <c r="AS57" s="4336">
        <f>0.3+135.124</f>
        <v>135.42400000000001</v>
      </c>
      <c r="AT57" s="4336"/>
      <c r="AU57" s="4335">
        <f t="shared" si="190"/>
        <v>0</v>
      </c>
      <c r="AV57" s="4336"/>
      <c r="AW57" s="4336"/>
      <c r="AX57" s="4335">
        <f t="shared" si="192"/>
        <v>0</v>
      </c>
      <c r="AY57" s="4336"/>
      <c r="AZ57" s="4336"/>
      <c r="BA57" s="4335">
        <f t="shared" si="222"/>
        <v>135.42400000000001</v>
      </c>
      <c r="BB57" s="4335">
        <f t="shared" si="282"/>
        <v>135.42400000000001</v>
      </c>
      <c r="BC57" s="4335">
        <f t="shared" si="282"/>
        <v>0</v>
      </c>
      <c r="BD57" s="4318">
        <f t="shared" si="319"/>
        <v>0</v>
      </c>
      <c r="BE57" s="4318">
        <f t="shared" si="305"/>
        <v>0</v>
      </c>
      <c r="BF57" s="4318">
        <f t="shared" si="305"/>
        <v>0</v>
      </c>
      <c r="BG57" s="4337">
        <f t="shared" si="292"/>
        <v>3028.7359999999999</v>
      </c>
      <c r="BH57" s="4337">
        <f t="shared" si="292"/>
        <v>3028.7359999999999</v>
      </c>
      <c r="BI57" s="4337">
        <f t="shared" si="292"/>
        <v>0</v>
      </c>
      <c r="BJ57" s="4337">
        <f t="shared" si="233"/>
        <v>3028.7359999999999</v>
      </c>
      <c r="BK57" s="4337">
        <f t="shared" si="233"/>
        <v>3028.7359999999999</v>
      </c>
      <c r="BL57" s="4337">
        <f t="shared" si="233"/>
        <v>0</v>
      </c>
      <c r="BM57" s="4317">
        <f t="shared" si="306"/>
        <v>0</v>
      </c>
      <c r="BN57" s="4317">
        <f t="shared" si="307"/>
        <v>0</v>
      </c>
      <c r="BO57" s="4317">
        <f t="shared" si="308"/>
        <v>0</v>
      </c>
      <c r="BP57" s="4335">
        <f t="shared" si="200"/>
        <v>0</v>
      </c>
      <c r="BQ57" s="4336"/>
      <c r="BR57" s="4336"/>
      <c r="BS57" s="4335">
        <f t="shared" si="202"/>
        <v>0</v>
      </c>
      <c r="BT57" s="4336"/>
      <c r="BU57" s="4336"/>
      <c r="BV57" s="4335">
        <f t="shared" si="204"/>
        <v>0</v>
      </c>
      <c r="BW57" s="4336"/>
      <c r="BX57" s="4336"/>
      <c r="BY57" s="4335">
        <f t="shared" si="229"/>
        <v>0</v>
      </c>
      <c r="BZ57" s="4335">
        <f t="shared" si="283"/>
        <v>0</v>
      </c>
      <c r="CA57" s="4335">
        <f t="shared" si="283"/>
        <v>0</v>
      </c>
      <c r="CB57" s="4318">
        <f t="shared" si="309"/>
        <v>0</v>
      </c>
      <c r="CC57" s="4318">
        <f>SUM(вода!EF22)</f>
        <v>0</v>
      </c>
      <c r="CD57" s="4318">
        <v>0</v>
      </c>
      <c r="CE57" s="4337">
        <f t="shared" si="293"/>
        <v>3028.7359999999999</v>
      </c>
      <c r="CF57" s="4337">
        <f t="shared" si="294"/>
        <v>3028.7359999999999</v>
      </c>
      <c r="CG57" s="4337">
        <f t="shared" si="294"/>
        <v>0</v>
      </c>
      <c r="CH57" s="4337">
        <f t="shared" si="234"/>
        <v>3028.7359999999999</v>
      </c>
      <c r="CI57" s="4337">
        <f t="shared" si="234"/>
        <v>3028.7359999999999</v>
      </c>
      <c r="CJ57" s="4337">
        <f t="shared" si="234"/>
        <v>0</v>
      </c>
      <c r="CK57" s="2774"/>
      <c r="CL57" s="3575">
        <f t="shared" si="132"/>
        <v>0</v>
      </c>
      <c r="CM57" s="3575">
        <f t="shared" si="132"/>
        <v>0</v>
      </c>
      <c r="CN57" s="3575">
        <f t="shared" si="132"/>
        <v>0</v>
      </c>
    </row>
    <row r="58" spans="1:92" ht="18.75" customHeight="1" x14ac:dyDescent="0.3">
      <c r="A58" s="4334" t="s">
        <v>4</v>
      </c>
      <c r="B58" s="4317">
        <f t="shared" si="320"/>
        <v>8283.2336068814384</v>
      </c>
      <c r="C58" s="4317">
        <f t="shared" si="321"/>
        <v>8283.2336068814384</v>
      </c>
      <c r="D58" s="4317">
        <f t="shared" si="322"/>
        <v>0</v>
      </c>
      <c r="E58" s="4335">
        <f t="shared" si="134"/>
        <v>3021.0549999999998</v>
      </c>
      <c r="F58" s="4336">
        <v>3021.0549999999998</v>
      </c>
      <c r="G58" s="4336"/>
      <c r="H58" s="4335">
        <f t="shared" si="135"/>
        <v>2531.1365599999999</v>
      </c>
      <c r="I58" s="4336">
        <v>2531.1365599999999</v>
      </c>
      <c r="J58" s="4336"/>
      <c r="K58" s="4335">
        <f t="shared" si="136"/>
        <v>2402.4250000000002</v>
      </c>
      <c r="L58" s="4336">
        <v>2402.4250000000002</v>
      </c>
      <c r="M58" s="4336"/>
      <c r="N58" s="4335">
        <f t="shared" si="284"/>
        <v>7954.6165599999995</v>
      </c>
      <c r="O58" s="4335">
        <f t="shared" si="285"/>
        <v>7954.6165599999995</v>
      </c>
      <c r="P58" s="4335">
        <f t="shared" si="286"/>
        <v>0</v>
      </c>
      <c r="Q58" s="4317">
        <f t="shared" si="316"/>
        <v>8283.2336068814384</v>
      </c>
      <c r="R58" s="4317">
        <f t="shared" si="297"/>
        <v>8283.2336068814384</v>
      </c>
      <c r="S58" s="4317">
        <f t="shared" si="298"/>
        <v>0</v>
      </c>
      <c r="T58" s="4335">
        <f t="shared" si="177"/>
        <v>2674.0129999999999</v>
      </c>
      <c r="U58" s="4336">
        <v>2674.0129999999999</v>
      </c>
      <c r="V58" s="4336"/>
      <c r="W58" s="4335">
        <f t="shared" si="179"/>
        <v>2607.0740000000001</v>
      </c>
      <c r="X58" s="4336">
        <v>2607.0740000000001</v>
      </c>
      <c r="Y58" s="4336"/>
      <c r="Z58" s="4335">
        <f t="shared" si="181"/>
        <v>2488.299</v>
      </c>
      <c r="AA58" s="4336">
        <v>2488.299</v>
      </c>
      <c r="AB58" s="4336"/>
      <c r="AC58" s="4335">
        <f t="shared" si="215"/>
        <v>7769.3859999999995</v>
      </c>
      <c r="AD58" s="4335">
        <f t="shared" si="281"/>
        <v>7769.3859999999995</v>
      </c>
      <c r="AE58" s="4335">
        <f t="shared" si="281"/>
        <v>0</v>
      </c>
      <c r="AF58" s="4318">
        <f t="shared" si="312"/>
        <v>16566.467213762877</v>
      </c>
      <c r="AG58" s="4318">
        <f t="shared" si="313"/>
        <v>16566.467213762877</v>
      </c>
      <c r="AH58" s="4318">
        <f t="shared" si="313"/>
        <v>0</v>
      </c>
      <c r="AI58" s="4337">
        <f t="shared" si="289"/>
        <v>15724.002559999999</v>
      </c>
      <c r="AJ58" s="4337">
        <f t="shared" si="289"/>
        <v>15724.002559999999</v>
      </c>
      <c r="AK58" s="4337">
        <f t="shared" si="289"/>
        <v>0</v>
      </c>
      <c r="AL58" s="4337">
        <f t="shared" si="232"/>
        <v>-842.46465376287779</v>
      </c>
      <c r="AM58" s="4337">
        <f t="shared" si="232"/>
        <v>-842.46465376287779</v>
      </c>
      <c r="AN58" s="4337">
        <f t="shared" si="232"/>
        <v>0</v>
      </c>
      <c r="AO58" s="4317">
        <f t="shared" si="317"/>
        <v>8283.2336068814384</v>
      </c>
      <c r="AP58" s="4317">
        <f t="shared" si="318"/>
        <v>8283.2336068814384</v>
      </c>
      <c r="AQ58" s="4317">
        <f t="shared" si="318"/>
        <v>0</v>
      </c>
      <c r="AR58" s="4335">
        <f t="shared" si="188"/>
        <v>2282.6950000000002</v>
      </c>
      <c r="AS58" s="4336">
        <v>2282.6950000000002</v>
      </c>
      <c r="AT58" s="4336"/>
      <c r="AU58" s="4335">
        <f t="shared" si="190"/>
        <v>0</v>
      </c>
      <c r="AV58" s="4336"/>
      <c r="AW58" s="4336"/>
      <c r="AX58" s="4335">
        <f t="shared" si="192"/>
        <v>0</v>
      </c>
      <c r="AY58" s="4336"/>
      <c r="AZ58" s="4336"/>
      <c r="BA58" s="4335">
        <f t="shared" si="222"/>
        <v>2282.6950000000002</v>
      </c>
      <c r="BB58" s="4335">
        <f t="shared" si="282"/>
        <v>2282.6950000000002</v>
      </c>
      <c r="BC58" s="4335">
        <f t="shared" si="282"/>
        <v>0</v>
      </c>
      <c r="BD58" s="4318">
        <f t="shared" si="319"/>
        <v>24849.700820644313</v>
      </c>
      <c r="BE58" s="4318">
        <f t="shared" si="305"/>
        <v>24849.700820644313</v>
      </c>
      <c r="BF58" s="4318">
        <f t="shared" si="305"/>
        <v>0</v>
      </c>
      <c r="BG58" s="4337">
        <f t="shared" si="292"/>
        <v>18006.697560000001</v>
      </c>
      <c r="BH58" s="4337">
        <f t="shared" si="292"/>
        <v>18006.697560000001</v>
      </c>
      <c r="BI58" s="4337">
        <f t="shared" si="292"/>
        <v>0</v>
      </c>
      <c r="BJ58" s="4337">
        <f t="shared" si="233"/>
        <v>-6843.0032606443128</v>
      </c>
      <c r="BK58" s="4337">
        <f t="shared" si="233"/>
        <v>-6843.0032606443128</v>
      </c>
      <c r="BL58" s="4337">
        <f t="shared" si="233"/>
        <v>0</v>
      </c>
      <c r="BM58" s="4317">
        <f t="shared" si="306"/>
        <v>8283.2336068814384</v>
      </c>
      <c r="BN58" s="4317">
        <f t="shared" si="307"/>
        <v>8283.2336068814384</v>
      </c>
      <c r="BO58" s="4317">
        <f t="shared" si="308"/>
        <v>0</v>
      </c>
      <c r="BP58" s="4335">
        <f t="shared" si="200"/>
        <v>0</v>
      </c>
      <c r="BQ58" s="4336"/>
      <c r="BR58" s="4336"/>
      <c r="BS58" s="4335">
        <f t="shared" si="202"/>
        <v>0</v>
      </c>
      <c r="BT58" s="4336"/>
      <c r="BU58" s="4336"/>
      <c r="BV58" s="4335">
        <f t="shared" si="204"/>
        <v>0</v>
      </c>
      <c r="BW58" s="4336"/>
      <c r="BX58" s="4336"/>
      <c r="BY58" s="4335">
        <f t="shared" si="229"/>
        <v>0</v>
      </c>
      <c r="BZ58" s="4335">
        <f t="shared" si="283"/>
        <v>0</v>
      </c>
      <c r="CA58" s="4335">
        <f t="shared" si="283"/>
        <v>0</v>
      </c>
      <c r="CB58" s="4318">
        <f t="shared" si="309"/>
        <v>33132.934427525754</v>
      </c>
      <c r="CC58" s="4318">
        <f>SUM(вода!EF23)</f>
        <v>33132.934427525754</v>
      </c>
      <c r="CD58" s="4318">
        <v>0</v>
      </c>
      <c r="CE58" s="4337">
        <f t="shared" si="293"/>
        <v>18006.697560000001</v>
      </c>
      <c r="CF58" s="4337">
        <f t="shared" si="294"/>
        <v>18006.697560000001</v>
      </c>
      <c r="CG58" s="4337">
        <f t="shared" si="294"/>
        <v>0</v>
      </c>
      <c r="CH58" s="4337">
        <f t="shared" si="234"/>
        <v>-15126.236867525753</v>
      </c>
      <c r="CI58" s="4337">
        <f t="shared" si="234"/>
        <v>-15126.236867525753</v>
      </c>
      <c r="CJ58" s="4337">
        <f t="shared" si="234"/>
        <v>0</v>
      </c>
      <c r="CK58" s="2774"/>
      <c r="CL58" s="3575">
        <f t="shared" si="132"/>
        <v>33132.934427525754</v>
      </c>
      <c r="CM58" s="3575">
        <f t="shared" si="132"/>
        <v>33132.934427525754</v>
      </c>
      <c r="CN58" s="3575">
        <f t="shared" si="132"/>
        <v>0</v>
      </c>
    </row>
    <row r="59" spans="1:92" ht="18.75" customHeight="1" x14ac:dyDescent="0.3">
      <c r="A59" s="4334" t="s">
        <v>5</v>
      </c>
      <c r="B59" s="4317">
        <f t="shared" si="320"/>
        <v>2493.2531900285126</v>
      </c>
      <c r="C59" s="4317">
        <f t="shared" si="321"/>
        <v>2493.2531900285126</v>
      </c>
      <c r="D59" s="4317">
        <f t="shared" si="322"/>
        <v>0</v>
      </c>
      <c r="E59" s="4335">
        <f t="shared" si="134"/>
        <v>900.30399999999997</v>
      </c>
      <c r="F59" s="4336">
        <f>5.946+894.358</f>
        <v>900.30399999999997</v>
      </c>
      <c r="G59" s="4336"/>
      <c r="H59" s="4335">
        <f t="shared" si="135"/>
        <v>778.60128999999995</v>
      </c>
      <c r="I59" s="4336">
        <f>5.13577+773.46552</f>
        <v>778.60128999999995</v>
      </c>
      <c r="J59" s="4336"/>
      <c r="K59" s="4335">
        <f t="shared" si="136"/>
        <v>723.38200000000006</v>
      </c>
      <c r="L59" s="4336">
        <f>4.773+718.609</f>
        <v>723.38200000000006</v>
      </c>
      <c r="M59" s="4336"/>
      <c r="N59" s="4335">
        <f t="shared" si="284"/>
        <v>2402.2872900000002</v>
      </c>
      <c r="O59" s="4335">
        <f t="shared" si="285"/>
        <v>2402.2872900000002</v>
      </c>
      <c r="P59" s="4335">
        <f t="shared" si="286"/>
        <v>0</v>
      </c>
      <c r="Q59" s="4317">
        <f t="shared" si="316"/>
        <v>2493.2531900285126</v>
      </c>
      <c r="R59" s="4317">
        <f t="shared" si="297"/>
        <v>2493.2531900285126</v>
      </c>
      <c r="S59" s="4317">
        <f t="shared" si="298"/>
        <v>0</v>
      </c>
      <c r="T59" s="4335">
        <f t="shared" si="177"/>
        <v>822.37042999999994</v>
      </c>
      <c r="U59" s="4336">
        <f>5.491+816.861+0.01843</f>
        <v>822.37042999999994</v>
      </c>
      <c r="V59" s="4336"/>
      <c r="W59" s="4335">
        <f t="shared" si="179"/>
        <v>801.84399999999994</v>
      </c>
      <c r="X59" s="4336">
        <f>5.406+796.438</f>
        <v>801.84399999999994</v>
      </c>
      <c r="Y59" s="4336"/>
      <c r="Z59" s="4335">
        <f t="shared" si="181"/>
        <v>777.21800000000007</v>
      </c>
      <c r="AA59" s="4336">
        <f>5.258+771.96</f>
        <v>777.21800000000007</v>
      </c>
      <c r="AB59" s="4336"/>
      <c r="AC59" s="4335">
        <f t="shared" si="215"/>
        <v>2401.4324299999998</v>
      </c>
      <c r="AD59" s="4335">
        <f t="shared" si="281"/>
        <v>2401.4324299999998</v>
      </c>
      <c r="AE59" s="4335">
        <f t="shared" si="281"/>
        <v>0</v>
      </c>
      <c r="AF59" s="4318">
        <f t="shared" si="312"/>
        <v>4986.5063800570251</v>
      </c>
      <c r="AG59" s="4318">
        <f t="shared" si="313"/>
        <v>4986.5063800570251</v>
      </c>
      <c r="AH59" s="4318">
        <f t="shared" si="313"/>
        <v>0</v>
      </c>
      <c r="AI59" s="4337">
        <f t="shared" si="289"/>
        <v>4803.7197200000001</v>
      </c>
      <c r="AJ59" s="4337">
        <f t="shared" si="289"/>
        <v>4803.7197200000001</v>
      </c>
      <c r="AK59" s="4337">
        <f t="shared" si="289"/>
        <v>0</v>
      </c>
      <c r="AL59" s="4337">
        <f t="shared" si="232"/>
        <v>-182.78666005702507</v>
      </c>
      <c r="AM59" s="4337">
        <f t="shared" si="232"/>
        <v>-182.78666005702507</v>
      </c>
      <c r="AN59" s="4337">
        <f t="shared" si="232"/>
        <v>0</v>
      </c>
      <c r="AO59" s="4317">
        <f t="shared" si="317"/>
        <v>2493.2531900285126</v>
      </c>
      <c r="AP59" s="4317">
        <f t="shared" si="318"/>
        <v>2493.2531900285126</v>
      </c>
      <c r="AQ59" s="4317">
        <f t="shared" si="318"/>
        <v>0</v>
      </c>
      <c r="AR59" s="4335">
        <f t="shared" si="188"/>
        <v>675.2</v>
      </c>
      <c r="AS59" s="4336">
        <v>675.2</v>
      </c>
      <c r="AT59" s="4336"/>
      <c r="AU59" s="4335">
        <f t="shared" si="190"/>
        <v>0</v>
      </c>
      <c r="AV59" s="4336"/>
      <c r="AW59" s="4336"/>
      <c r="AX59" s="4335">
        <f t="shared" si="192"/>
        <v>0</v>
      </c>
      <c r="AY59" s="4336"/>
      <c r="AZ59" s="4336"/>
      <c r="BA59" s="4335">
        <f t="shared" si="222"/>
        <v>675.2</v>
      </c>
      <c r="BB59" s="4335">
        <f t="shared" si="282"/>
        <v>675.2</v>
      </c>
      <c r="BC59" s="4335">
        <f t="shared" si="282"/>
        <v>0</v>
      </c>
      <c r="BD59" s="4318">
        <f t="shared" si="319"/>
        <v>7479.7595700855381</v>
      </c>
      <c r="BE59" s="4318">
        <f t="shared" si="305"/>
        <v>7479.7595700855381</v>
      </c>
      <c r="BF59" s="4318">
        <f t="shared" si="305"/>
        <v>0</v>
      </c>
      <c r="BG59" s="4337">
        <f t="shared" si="292"/>
        <v>5478.9197199999999</v>
      </c>
      <c r="BH59" s="4337">
        <f t="shared" si="292"/>
        <v>5478.9197199999999</v>
      </c>
      <c r="BI59" s="4337">
        <f t="shared" si="292"/>
        <v>0</v>
      </c>
      <c r="BJ59" s="4337">
        <f t="shared" si="233"/>
        <v>-2000.8398500855383</v>
      </c>
      <c r="BK59" s="4337">
        <f t="shared" si="233"/>
        <v>-2000.8398500855383</v>
      </c>
      <c r="BL59" s="4337">
        <f t="shared" si="233"/>
        <v>0</v>
      </c>
      <c r="BM59" s="4317">
        <f t="shared" si="306"/>
        <v>2493.2531900285126</v>
      </c>
      <c r="BN59" s="4317">
        <f t="shared" si="307"/>
        <v>2493.2531900285126</v>
      </c>
      <c r="BO59" s="4317">
        <f t="shared" si="308"/>
        <v>0</v>
      </c>
      <c r="BP59" s="4335">
        <f t="shared" si="200"/>
        <v>0</v>
      </c>
      <c r="BQ59" s="4336"/>
      <c r="BR59" s="4336"/>
      <c r="BS59" s="4335">
        <f t="shared" si="202"/>
        <v>0</v>
      </c>
      <c r="BT59" s="4336"/>
      <c r="BU59" s="4336"/>
      <c r="BV59" s="4335">
        <f t="shared" si="204"/>
        <v>0</v>
      </c>
      <c r="BW59" s="4336"/>
      <c r="BX59" s="4336"/>
      <c r="BY59" s="4335">
        <f t="shared" si="229"/>
        <v>0</v>
      </c>
      <c r="BZ59" s="4335">
        <f t="shared" si="283"/>
        <v>0</v>
      </c>
      <c r="CA59" s="4335">
        <f t="shared" si="283"/>
        <v>0</v>
      </c>
      <c r="CB59" s="4318">
        <f t="shared" si="309"/>
        <v>9973.0127601140503</v>
      </c>
      <c r="CC59" s="4318">
        <f>SUM(вода!EF24)</f>
        <v>9973.0127601140503</v>
      </c>
      <c r="CD59" s="4318">
        <v>0</v>
      </c>
      <c r="CE59" s="4337">
        <f t="shared" si="293"/>
        <v>5478.9197199999999</v>
      </c>
      <c r="CF59" s="4337">
        <f t="shared" si="294"/>
        <v>5478.9197199999999</v>
      </c>
      <c r="CG59" s="4337">
        <f t="shared" si="294"/>
        <v>0</v>
      </c>
      <c r="CH59" s="4337">
        <f t="shared" si="234"/>
        <v>-4494.0930401140504</v>
      </c>
      <c r="CI59" s="4337">
        <f t="shared" si="234"/>
        <v>-4494.0930401140504</v>
      </c>
      <c r="CJ59" s="4337">
        <f t="shared" si="234"/>
        <v>0</v>
      </c>
      <c r="CK59" s="2774"/>
      <c r="CL59" s="3575">
        <f t="shared" si="132"/>
        <v>9973.0127601140503</v>
      </c>
      <c r="CM59" s="3575">
        <f t="shared" si="132"/>
        <v>9973.0127601140503</v>
      </c>
      <c r="CN59" s="3575">
        <f t="shared" si="132"/>
        <v>0</v>
      </c>
    </row>
    <row r="60" spans="1:92" ht="18.75" customHeight="1" x14ac:dyDescent="0.3">
      <c r="A60" s="4339" t="str">
        <f>A35</f>
        <v>то же в %</v>
      </c>
      <c r="B60" s="4321">
        <f t="shared" ref="B60:D60" si="323">SUM(B59/B58)</f>
        <v>0.30099998483167245</v>
      </c>
      <c r="C60" s="4321">
        <f t="shared" si="323"/>
        <v>0.30099998483167245</v>
      </c>
      <c r="D60" s="4321" t="e">
        <f t="shared" si="323"/>
        <v>#DIV/0!</v>
      </c>
      <c r="E60" s="4346" t="e">
        <f t="shared" si="134"/>
        <v>#DIV/0!</v>
      </c>
      <c r="F60" s="4321">
        <f t="shared" ref="F60:S60" si="324">SUM(F59/F58)</f>
        <v>0.29800980121182835</v>
      </c>
      <c r="G60" s="4321" t="e">
        <f t="shared" si="324"/>
        <v>#DIV/0!</v>
      </c>
      <c r="H60" s="4346" t="e">
        <f t="shared" si="135"/>
        <v>#DIV/0!</v>
      </c>
      <c r="I60" s="4321">
        <f t="shared" ref="I60:J60" si="325">SUM(I59/I58)</f>
        <v>0.30760935711821097</v>
      </c>
      <c r="J60" s="4321" t="e">
        <f t="shared" si="325"/>
        <v>#DIV/0!</v>
      </c>
      <c r="K60" s="4346" t="e">
        <f t="shared" si="136"/>
        <v>#DIV/0!</v>
      </c>
      <c r="L60" s="4321">
        <f t="shared" ref="L60:M60" si="326">SUM(L59/L58)</f>
        <v>0.30110492523179705</v>
      </c>
      <c r="M60" s="4321" t="e">
        <f t="shared" si="326"/>
        <v>#DIV/0!</v>
      </c>
      <c r="N60" s="4321">
        <f t="shared" si="324"/>
        <v>0.3019991311812521</v>
      </c>
      <c r="O60" s="4321">
        <f t="shared" si="324"/>
        <v>0.3019991311812521</v>
      </c>
      <c r="P60" s="4321" t="e">
        <f t="shared" si="324"/>
        <v>#DIV/0!</v>
      </c>
      <c r="Q60" s="4321">
        <f t="shared" si="324"/>
        <v>0.30099998483167245</v>
      </c>
      <c r="R60" s="4321">
        <f t="shared" si="324"/>
        <v>0.30099998483167245</v>
      </c>
      <c r="S60" s="4321" t="e">
        <f t="shared" si="324"/>
        <v>#DIV/0!</v>
      </c>
      <c r="T60" s="4346" t="e">
        <f t="shared" si="177"/>
        <v>#DIV/0!</v>
      </c>
      <c r="U60" s="4321">
        <f t="shared" ref="U60:V60" si="327">SUM(U59/U58)</f>
        <v>0.30754167238528757</v>
      </c>
      <c r="V60" s="4321" t="e">
        <f t="shared" si="327"/>
        <v>#DIV/0!</v>
      </c>
      <c r="W60" s="4346" t="e">
        <f t="shared" si="179"/>
        <v>#DIV/0!</v>
      </c>
      <c r="X60" s="4321">
        <f t="shared" ref="X60:Y60" si="328">SUM(X59/X58)</f>
        <v>0.30756472581905997</v>
      </c>
      <c r="Y60" s="4321" t="e">
        <f t="shared" si="328"/>
        <v>#DIV/0!</v>
      </c>
      <c r="Z60" s="4346" t="e">
        <f t="shared" si="181"/>
        <v>#DIV/0!</v>
      </c>
      <c r="AA60" s="4321">
        <f t="shared" ref="AA60:AK60" si="329">SUM(AA59/AA58)</f>
        <v>0.31234911881570504</v>
      </c>
      <c r="AB60" s="4321" t="e">
        <f t="shared" si="329"/>
        <v>#DIV/0!</v>
      </c>
      <c r="AC60" s="4321">
        <f t="shared" si="329"/>
        <v>0.30908908760615061</v>
      </c>
      <c r="AD60" s="4321">
        <f t="shared" si="329"/>
        <v>0.30908908760615061</v>
      </c>
      <c r="AE60" s="4321" t="e">
        <f t="shared" si="329"/>
        <v>#DIV/0!</v>
      </c>
      <c r="AF60" s="4322">
        <f t="shared" si="329"/>
        <v>0.30099998483167245</v>
      </c>
      <c r="AG60" s="4322">
        <f t="shared" si="329"/>
        <v>0.30099998483167245</v>
      </c>
      <c r="AH60" s="4322" t="e">
        <f t="shared" si="329"/>
        <v>#DIV/0!</v>
      </c>
      <c r="AI60" s="4322">
        <f t="shared" si="329"/>
        <v>0.30550234914232932</v>
      </c>
      <c r="AJ60" s="4322">
        <f t="shared" si="329"/>
        <v>0.30550234914232932</v>
      </c>
      <c r="AK60" s="4322" t="e">
        <f t="shared" si="329"/>
        <v>#DIV/0!</v>
      </c>
      <c r="AL60" s="4340">
        <f t="shared" ref="AL60:AN75" si="330">SUM(AI60-AF60)</f>
        <v>4.50236431065687E-3</v>
      </c>
      <c r="AM60" s="4340">
        <f t="shared" si="330"/>
        <v>4.50236431065687E-3</v>
      </c>
      <c r="AN60" s="4340" t="e">
        <f t="shared" si="330"/>
        <v>#DIV/0!</v>
      </c>
      <c r="AO60" s="4321">
        <f t="shared" ref="AO60:AQ60" si="331">SUM(AO59/AO58)</f>
        <v>0.30099998483167245</v>
      </c>
      <c r="AP60" s="4321">
        <f t="shared" si="331"/>
        <v>0.30099998483167245</v>
      </c>
      <c r="AQ60" s="4321" t="e">
        <f t="shared" si="331"/>
        <v>#DIV/0!</v>
      </c>
      <c r="AR60" s="4346" t="e">
        <f t="shared" si="188"/>
        <v>#DIV/0!</v>
      </c>
      <c r="AS60" s="4321">
        <f t="shared" ref="AS60:AT60" si="332">SUM(AS59/AS58)</f>
        <v>0.2957907210555944</v>
      </c>
      <c r="AT60" s="4321" t="e">
        <f t="shared" si="332"/>
        <v>#DIV/0!</v>
      </c>
      <c r="AU60" s="4346" t="e">
        <f t="shared" si="190"/>
        <v>#DIV/0!</v>
      </c>
      <c r="AV60" s="4321" t="e">
        <f t="shared" ref="AV60:AW60" si="333">SUM(AV59/AV58)</f>
        <v>#DIV/0!</v>
      </c>
      <c r="AW60" s="4321" t="e">
        <f t="shared" si="333"/>
        <v>#DIV/0!</v>
      </c>
      <c r="AX60" s="4346" t="e">
        <f t="shared" si="192"/>
        <v>#DIV/0!</v>
      </c>
      <c r="AY60" s="4321" t="e">
        <f t="shared" ref="AY60:BI60" si="334">SUM(AY59/AY58)</f>
        <v>#DIV/0!</v>
      </c>
      <c r="AZ60" s="4321" t="e">
        <f t="shared" si="334"/>
        <v>#DIV/0!</v>
      </c>
      <c r="BA60" s="4321">
        <f t="shared" si="334"/>
        <v>0.2957907210555944</v>
      </c>
      <c r="BB60" s="4321">
        <f t="shared" si="334"/>
        <v>0.2957907210555944</v>
      </c>
      <c r="BC60" s="4321" t="e">
        <f t="shared" si="334"/>
        <v>#DIV/0!</v>
      </c>
      <c r="BD60" s="4322">
        <f t="shared" si="334"/>
        <v>0.30099998483167251</v>
      </c>
      <c r="BE60" s="4322">
        <f t="shared" si="334"/>
        <v>0.30099998483167251</v>
      </c>
      <c r="BF60" s="4322" t="e">
        <f t="shared" si="334"/>
        <v>#DIV/0!</v>
      </c>
      <c r="BG60" s="4322">
        <f t="shared" si="334"/>
        <v>0.30427121362724768</v>
      </c>
      <c r="BH60" s="4322">
        <f t="shared" si="334"/>
        <v>0.30427121362724768</v>
      </c>
      <c r="BI60" s="4322" t="e">
        <f t="shared" si="334"/>
        <v>#DIV/0!</v>
      </c>
      <c r="BJ60" s="4323">
        <f t="shared" ref="BJ60:BL60" si="335">SUM(BG60-BD60)</f>
        <v>3.2712287955751762E-3</v>
      </c>
      <c r="BK60" s="4323">
        <f t="shared" si="335"/>
        <v>3.2712287955751762E-3</v>
      </c>
      <c r="BL60" s="4323" t="e">
        <f t="shared" si="335"/>
        <v>#DIV/0!</v>
      </c>
      <c r="BM60" s="4321">
        <f t="shared" ref="BM60:BO60" si="336">SUM(BM59/BM58)</f>
        <v>0.30099998483167245</v>
      </c>
      <c r="BN60" s="4321">
        <f t="shared" si="336"/>
        <v>0.30099998483167245</v>
      </c>
      <c r="BO60" s="4321" t="e">
        <f t="shared" si="336"/>
        <v>#DIV/0!</v>
      </c>
      <c r="BP60" s="4346" t="e">
        <f t="shared" si="200"/>
        <v>#DIV/0!</v>
      </c>
      <c r="BQ60" s="4321" t="e">
        <f t="shared" ref="BQ60:BR60" si="337">SUM(BQ59/BQ58)</f>
        <v>#DIV/0!</v>
      </c>
      <c r="BR60" s="4321" t="e">
        <f t="shared" si="337"/>
        <v>#DIV/0!</v>
      </c>
      <c r="BS60" s="4346" t="e">
        <f t="shared" si="202"/>
        <v>#DIV/0!</v>
      </c>
      <c r="BT60" s="4321" t="e">
        <f t="shared" ref="BT60:BU60" si="338">SUM(BT59/BT58)</f>
        <v>#DIV/0!</v>
      </c>
      <c r="BU60" s="4321" t="e">
        <f t="shared" si="338"/>
        <v>#DIV/0!</v>
      </c>
      <c r="BV60" s="4346" t="e">
        <f t="shared" si="204"/>
        <v>#DIV/0!</v>
      </c>
      <c r="BW60" s="4321" t="e">
        <f t="shared" ref="BW60:CG60" si="339">SUM(BW59/BW58)</f>
        <v>#DIV/0!</v>
      </c>
      <c r="BX60" s="4321" t="e">
        <f t="shared" si="339"/>
        <v>#DIV/0!</v>
      </c>
      <c r="BY60" s="4321" t="e">
        <f t="shared" si="339"/>
        <v>#DIV/0!</v>
      </c>
      <c r="BZ60" s="4321" t="e">
        <f t="shared" si="339"/>
        <v>#DIV/0!</v>
      </c>
      <c r="CA60" s="4321" t="e">
        <f t="shared" si="339"/>
        <v>#DIV/0!</v>
      </c>
      <c r="CB60" s="4322">
        <f t="shared" si="339"/>
        <v>0.30099998483167245</v>
      </c>
      <c r="CC60" s="4322">
        <f t="shared" si="339"/>
        <v>0.30099998483167245</v>
      </c>
      <c r="CD60" s="4322" t="e">
        <f t="shared" si="339"/>
        <v>#DIV/0!</v>
      </c>
      <c r="CE60" s="4322">
        <f t="shared" si="339"/>
        <v>0.30427121362724768</v>
      </c>
      <c r="CF60" s="4322">
        <f t="shared" si="339"/>
        <v>0.30427121362724768</v>
      </c>
      <c r="CG60" s="4322" t="e">
        <f t="shared" si="339"/>
        <v>#DIV/0!</v>
      </c>
      <c r="CH60" s="4323">
        <f t="shared" ref="CH60:CJ60" si="340">SUM(CE60-CB60)</f>
        <v>3.2712287955752317E-3</v>
      </c>
      <c r="CI60" s="4323">
        <f t="shared" si="340"/>
        <v>3.2712287955752317E-3</v>
      </c>
      <c r="CJ60" s="4323" t="e">
        <f t="shared" si="340"/>
        <v>#DIV/0!</v>
      </c>
      <c r="CK60" s="2774"/>
      <c r="CL60" s="3575">
        <f t="shared" si="132"/>
        <v>1.2039999393266898</v>
      </c>
      <c r="CM60" s="3575">
        <f t="shared" si="132"/>
        <v>1.2039999393266898</v>
      </c>
      <c r="CN60" s="3575" t="e">
        <f t="shared" si="132"/>
        <v>#DIV/0!</v>
      </c>
    </row>
    <row r="61" spans="1:92" ht="18.75" customHeight="1" x14ac:dyDescent="0.3">
      <c r="A61" s="4334" t="s">
        <v>3696</v>
      </c>
      <c r="B61" s="4317">
        <f>SUM(C61:D61)</f>
        <v>1131.8349292941537</v>
      </c>
      <c r="C61" s="4317">
        <f>SUM(C62+C63+C65+C66+C67+C68)</f>
        <v>1131.8349292941537</v>
      </c>
      <c r="D61" s="4317">
        <f t="shared" ref="D61" si="341">SUM(D62+D63+D65+D66+D67+D68)</f>
        <v>0</v>
      </c>
      <c r="E61" s="4335">
        <f>SUM(F61:G61)</f>
        <v>482.32799999999997</v>
      </c>
      <c r="F61" s="4316">
        <f>SUM(F62+F63+F65+F66+F67+F68)</f>
        <v>482.32799999999997</v>
      </c>
      <c r="G61" s="4316">
        <f>SUM(G62+G63+G65+G66+G67+G68)</f>
        <v>0</v>
      </c>
      <c r="H61" s="4335">
        <f t="shared" si="135"/>
        <v>458.56780000000003</v>
      </c>
      <c r="I61" s="4316">
        <f>SUM(I62+I63+I65+I66+I67+I68)</f>
        <v>458.56780000000003</v>
      </c>
      <c r="J61" s="4316">
        <f t="shared" ref="J61" si="342">SUM(J62+J63+J65+J66+J67+J68)</f>
        <v>0</v>
      </c>
      <c r="K61" s="4335">
        <f t="shared" si="136"/>
        <v>458.26017999999999</v>
      </c>
      <c r="L61" s="4316">
        <f>SUM(L62+L63+L65+L66+L67+L68)</f>
        <v>458.26017999999999</v>
      </c>
      <c r="M61" s="4316">
        <f t="shared" ref="M61" si="343">SUM(M62+M63+M65+M66+M67+M68)</f>
        <v>0</v>
      </c>
      <c r="N61" s="4335">
        <f t="shared" ref="N61:N97" si="344">SUM(O61:P61)</f>
        <v>1399.15598</v>
      </c>
      <c r="O61" s="4335">
        <f t="shared" ref="O61:P96" si="345">SUM(F61+I61+L61)</f>
        <v>1399.15598</v>
      </c>
      <c r="P61" s="4335">
        <f t="shared" si="345"/>
        <v>0</v>
      </c>
      <c r="Q61" s="4317">
        <f>SUM(R61:S61)</f>
        <v>1131.8349292941537</v>
      </c>
      <c r="R61" s="4317">
        <f>SUM(R62+R63+R65+R66+R67+R68)</f>
        <v>1131.8349292941537</v>
      </c>
      <c r="S61" s="4317">
        <f t="shared" ref="S61" si="346">SUM(S62+S63+S65+S66+S67+S68)</f>
        <v>0</v>
      </c>
      <c r="T61" s="4335">
        <f t="shared" si="177"/>
        <v>463.44699999999995</v>
      </c>
      <c r="U61" s="4316">
        <f>SUM(U62+U63+U65+U66+U67+U68)</f>
        <v>463.44699999999995</v>
      </c>
      <c r="V61" s="4316">
        <f t="shared" ref="V61" si="347">SUM(V62+V63+V65+V66+V67+V68)</f>
        <v>0</v>
      </c>
      <c r="W61" s="4335">
        <f t="shared" si="179"/>
        <v>479.06599999999997</v>
      </c>
      <c r="X61" s="4316">
        <f>SUM(X62+X63+X65+X66+X67+X68)</f>
        <v>479.06599999999997</v>
      </c>
      <c r="Y61" s="4316">
        <f t="shared" ref="Y61" si="348">SUM(Y62+Y63+Y65+Y66+Y67+Y68)</f>
        <v>0</v>
      </c>
      <c r="Z61" s="4335">
        <f t="shared" si="181"/>
        <v>397.33281999999997</v>
      </c>
      <c r="AA61" s="4316">
        <f>SUM(AA62+AA63+AA65+AA66+AA67+AA68)</f>
        <v>397.33281999999997</v>
      </c>
      <c r="AB61" s="4316">
        <f t="shared" ref="AB61" si="349">SUM(AB62+AB63+AB65+AB66+AB67+AB68)</f>
        <v>0</v>
      </c>
      <c r="AC61" s="4335">
        <f t="shared" ref="AC61:AC103" si="350">SUM(AD61:AE61)</f>
        <v>1339.84582</v>
      </c>
      <c r="AD61" s="4335">
        <f t="shared" ref="AD61:AE96" si="351">SUM(U61+X61+AA61)</f>
        <v>1339.84582</v>
      </c>
      <c r="AE61" s="4335">
        <f t="shared" si="351"/>
        <v>0</v>
      </c>
      <c r="AF61" s="4318">
        <f t="shared" ref="AF61:AF63" si="352">SUM(AG61:AH61)</f>
        <v>2263.6698585883073</v>
      </c>
      <c r="AG61" s="4318">
        <f t="shared" ref="AG61:AH63" si="353">SUM(C61+R61)</f>
        <v>2263.6698585883073</v>
      </c>
      <c r="AH61" s="4318">
        <f t="shared" si="353"/>
        <v>0</v>
      </c>
      <c r="AI61" s="4337">
        <f t="shared" ref="AI61:AK76" si="354">SUM(AC61+N61)</f>
        <v>2739.0018</v>
      </c>
      <c r="AJ61" s="4337">
        <f t="shared" si="354"/>
        <v>2739.0018</v>
      </c>
      <c r="AK61" s="4337">
        <f t="shared" si="354"/>
        <v>0</v>
      </c>
      <c r="AL61" s="4337">
        <f t="shared" si="330"/>
        <v>475.3319414116927</v>
      </c>
      <c r="AM61" s="4337">
        <f t="shared" si="330"/>
        <v>475.3319414116927</v>
      </c>
      <c r="AN61" s="4337">
        <f t="shared" si="330"/>
        <v>0</v>
      </c>
      <c r="AO61" s="4317">
        <f>SUM(AP61:AQ61)</f>
        <v>1131.8349292941537</v>
      </c>
      <c r="AP61" s="4317">
        <f>SUM(AP62+AP63+AP65+AP66+AP67+AP68)</f>
        <v>1131.8349292941537</v>
      </c>
      <c r="AQ61" s="4317">
        <f t="shared" ref="AQ61" si="355">SUM(AQ62+AQ63+AQ65+AQ66+AQ67+AQ68)</f>
        <v>0</v>
      </c>
      <c r="AR61" s="4335">
        <f t="shared" si="188"/>
        <v>450.233</v>
      </c>
      <c r="AS61" s="4316">
        <f>SUM(AS62+AS63+AS65+AS66+AS67+AS68)</f>
        <v>450.233</v>
      </c>
      <c r="AT61" s="4316">
        <f t="shared" ref="AT61" si="356">SUM(AT62+AT63+AT65+AT66+AT67+AT68)</f>
        <v>0</v>
      </c>
      <c r="AU61" s="4335">
        <f t="shared" si="190"/>
        <v>0</v>
      </c>
      <c r="AV61" s="4316">
        <f>SUM(AV62+AV63+AV65+AV66+AV67+AV68)</f>
        <v>0</v>
      </c>
      <c r="AW61" s="4316">
        <f t="shared" ref="AW61" si="357">SUM(AW62+AW63+AW65+AW66+AW67+AW68)</f>
        <v>0</v>
      </c>
      <c r="AX61" s="4335">
        <f t="shared" si="192"/>
        <v>0</v>
      </c>
      <c r="AY61" s="4316">
        <f>SUM(AY62+AY63+AY65+AY66+AY67+AY68)</f>
        <v>0</v>
      </c>
      <c r="AZ61" s="4316">
        <f t="shared" ref="AZ61" si="358">SUM(AZ62+AZ63+AZ65+AZ66+AZ67+AZ68)</f>
        <v>0</v>
      </c>
      <c r="BA61" s="4335">
        <f t="shared" ref="BA61:BA103" si="359">SUM(BB61:BC61)</f>
        <v>450.233</v>
      </c>
      <c r="BB61" s="4335">
        <f t="shared" ref="BB61:BC96" si="360">SUM(AS61+AV61+AY61)</f>
        <v>450.233</v>
      </c>
      <c r="BC61" s="4335">
        <f t="shared" si="360"/>
        <v>0</v>
      </c>
      <c r="BD61" s="4318">
        <f t="shared" ref="BD61" si="361">SUM(BE61:BF61)</f>
        <v>3395.5047878824607</v>
      </c>
      <c r="BE61" s="4318">
        <f t="shared" ref="BE61:BF61" si="362">SUM(AG61+AP61)</f>
        <v>3395.5047878824607</v>
      </c>
      <c r="BF61" s="4318">
        <f t="shared" si="362"/>
        <v>0</v>
      </c>
      <c r="BG61" s="4337">
        <f t="shared" ref="BG61:BI63" si="363">SUM(AI61+BA61)</f>
        <v>3189.2348000000002</v>
      </c>
      <c r="BH61" s="4337">
        <f t="shared" si="363"/>
        <v>3189.2348000000002</v>
      </c>
      <c r="BI61" s="4337">
        <f t="shared" si="363"/>
        <v>0</v>
      </c>
      <c r="BJ61" s="4337">
        <f t="shared" ref="BJ61:BL63" si="364">SUM(BG61-BD61)</f>
        <v>-206.26998788246055</v>
      </c>
      <c r="BK61" s="4337">
        <f t="shared" si="364"/>
        <v>-206.26998788246055</v>
      </c>
      <c r="BL61" s="4337">
        <f t="shared" si="364"/>
        <v>0</v>
      </c>
      <c r="BM61" s="4317">
        <f>SUM(BN61:BO61)</f>
        <v>1131.8349292941537</v>
      </c>
      <c r="BN61" s="4317">
        <f>SUM(BN62+BN63+BN65+BN66+BN67+BN68)</f>
        <v>1131.8349292941537</v>
      </c>
      <c r="BO61" s="4317">
        <f t="shared" ref="BO61" si="365">SUM(BO62+BO63+BO65+BO66+BO67+BO68)</f>
        <v>0</v>
      </c>
      <c r="BP61" s="4335">
        <f t="shared" si="200"/>
        <v>0</v>
      </c>
      <c r="BQ61" s="4316">
        <f>SUM(BQ62+BQ63+BQ65+BQ66+BQ67+BQ68)</f>
        <v>0</v>
      </c>
      <c r="BR61" s="4316">
        <f t="shared" ref="BR61" si="366">SUM(BR62+BR63+BR65+BR66+BR67+BR68)</f>
        <v>0</v>
      </c>
      <c r="BS61" s="4335">
        <f t="shared" si="202"/>
        <v>0</v>
      </c>
      <c r="BT61" s="4316">
        <f>SUM(BT62+BT63+BT65+BT66+BT67+BT68)</f>
        <v>0</v>
      </c>
      <c r="BU61" s="4316">
        <f t="shared" ref="BU61" si="367">SUM(BU62+BU63+BU65+BU66+BU67+BU68)</f>
        <v>0</v>
      </c>
      <c r="BV61" s="4335">
        <f t="shared" si="204"/>
        <v>0</v>
      </c>
      <c r="BW61" s="4316">
        <f>SUM(BW62+BW63+BW65+BW66+BW67+BW68)</f>
        <v>0</v>
      </c>
      <c r="BX61" s="4316">
        <f t="shared" ref="BX61" si="368">SUM(BX62+BX63+BX65+BX66+BX67+BX68)</f>
        <v>0</v>
      </c>
      <c r="BY61" s="4335">
        <f t="shared" ref="BY61:BY103" si="369">SUM(BZ61:CA61)</f>
        <v>0</v>
      </c>
      <c r="BZ61" s="4335">
        <f t="shared" ref="BZ61:CA96" si="370">SUM(BQ61+BT61+BW61)</f>
        <v>0</v>
      </c>
      <c r="CA61" s="4335">
        <f t="shared" si="370"/>
        <v>0</v>
      </c>
      <c r="CB61" s="4318">
        <f>SUM(CC61:CD61)</f>
        <v>4527.3397171766146</v>
      </c>
      <c r="CC61" s="4318">
        <f>SUM(CC62+CC63+CC65+CC66+CC67+CC68)</f>
        <v>4527.3397171766146</v>
      </c>
      <c r="CD61" s="4318">
        <f t="shared" ref="CD61" si="371">SUM(CD62+CD63+CD65+CD66+CD67+CD68)</f>
        <v>0</v>
      </c>
      <c r="CE61" s="4337">
        <f t="shared" ref="CE61:CG63" si="372">SUM(BY61+BG61)</f>
        <v>3189.2348000000002</v>
      </c>
      <c r="CF61" s="4337">
        <f t="shared" si="372"/>
        <v>3189.2348000000002</v>
      </c>
      <c r="CG61" s="4337">
        <f t="shared" si="372"/>
        <v>0</v>
      </c>
      <c r="CH61" s="4337">
        <f t="shared" ref="CH61:CJ63" si="373">SUM(CE61-CB61)</f>
        <v>-1338.1049171766144</v>
      </c>
      <c r="CI61" s="4337">
        <f t="shared" si="373"/>
        <v>-1338.1049171766144</v>
      </c>
      <c r="CJ61" s="4337">
        <f t="shared" si="373"/>
        <v>0</v>
      </c>
      <c r="CK61" s="2774"/>
      <c r="CL61" s="3575">
        <f t="shared" si="132"/>
        <v>4527.3397171766146</v>
      </c>
      <c r="CM61" s="3575">
        <f t="shared" si="132"/>
        <v>4527.3397171766146</v>
      </c>
      <c r="CN61" s="3575">
        <f t="shared" si="132"/>
        <v>0</v>
      </c>
    </row>
    <row r="62" spans="1:92" ht="18.75" customHeight="1" x14ac:dyDescent="0.3">
      <c r="A62" s="4339" t="s">
        <v>4</v>
      </c>
      <c r="B62" s="4324">
        <f t="shared" ref="B62" si="374">SUM(C62:D62)</f>
        <v>733.96041762840628</v>
      </c>
      <c r="C62" s="4324">
        <f t="shared" ref="C62:D62" si="375">SUM(CC62/4)</f>
        <v>733.96041762840628</v>
      </c>
      <c r="D62" s="4324">
        <f t="shared" si="375"/>
        <v>0</v>
      </c>
      <c r="E62" s="4344">
        <f t="shared" si="134"/>
        <v>43.707000000000001</v>
      </c>
      <c r="F62" s="4328">
        <v>43.707000000000001</v>
      </c>
      <c r="G62" s="4328"/>
      <c r="H62" s="4344">
        <f t="shared" si="135"/>
        <v>31.69877</v>
      </c>
      <c r="I62" s="4328">
        <v>31.69877</v>
      </c>
      <c r="J62" s="4328"/>
      <c r="K62" s="4344">
        <f t="shared" si="136"/>
        <v>33.332000000000001</v>
      </c>
      <c r="L62" s="4328">
        <v>33.332000000000001</v>
      </c>
      <c r="M62" s="4328"/>
      <c r="N62" s="4344">
        <f t="shared" si="344"/>
        <v>108.73777000000001</v>
      </c>
      <c r="O62" s="4344">
        <f t="shared" si="345"/>
        <v>108.73777000000001</v>
      </c>
      <c r="P62" s="4344">
        <f t="shared" si="345"/>
        <v>0</v>
      </c>
      <c r="Q62" s="4324">
        <f t="shared" ref="Q62:Q63" si="376">SUM(R62:S62)</f>
        <v>733.96041762840628</v>
      </c>
      <c r="R62" s="4324">
        <f t="shared" ref="R62:R63" si="377">SUM(C62)</f>
        <v>733.96041762840628</v>
      </c>
      <c r="S62" s="4324">
        <f t="shared" ref="S62:S63" si="378">SUM(D62)</f>
        <v>0</v>
      </c>
      <c r="T62" s="4344">
        <f t="shared" si="177"/>
        <v>32.487000000000002</v>
      </c>
      <c r="U62" s="4328">
        <v>32.487000000000002</v>
      </c>
      <c r="V62" s="4328"/>
      <c r="W62" s="4344">
        <f t="shared" si="179"/>
        <v>62.927</v>
      </c>
      <c r="X62" s="4328">
        <v>62.927</v>
      </c>
      <c r="Y62" s="4325"/>
      <c r="Z62" s="4344">
        <f t="shared" si="181"/>
        <v>2.9819999999999999E-2</v>
      </c>
      <c r="AA62" s="4328">
        <v>2.9819999999999999E-2</v>
      </c>
      <c r="AB62" s="4328"/>
      <c r="AC62" s="4344">
        <f t="shared" si="350"/>
        <v>95.443820000000002</v>
      </c>
      <c r="AD62" s="4344">
        <f t="shared" si="351"/>
        <v>95.443820000000002</v>
      </c>
      <c r="AE62" s="4344">
        <f t="shared" si="351"/>
        <v>0</v>
      </c>
      <c r="AF62" s="4326">
        <f t="shared" si="352"/>
        <v>1467.9208352568126</v>
      </c>
      <c r="AG62" s="4326">
        <f t="shared" si="353"/>
        <v>1467.9208352568126</v>
      </c>
      <c r="AH62" s="4326">
        <f t="shared" si="353"/>
        <v>0</v>
      </c>
      <c r="AI62" s="4340">
        <f t="shared" si="354"/>
        <v>204.18159000000003</v>
      </c>
      <c r="AJ62" s="4340">
        <f t="shared" si="354"/>
        <v>204.18159000000003</v>
      </c>
      <c r="AK62" s="4340">
        <f t="shared" si="354"/>
        <v>0</v>
      </c>
      <c r="AL62" s="4340">
        <f t="shared" si="330"/>
        <v>-1263.7392452568124</v>
      </c>
      <c r="AM62" s="4340">
        <f t="shared" si="330"/>
        <v>-1263.7392452568124</v>
      </c>
      <c r="AN62" s="4340">
        <f t="shared" si="330"/>
        <v>0</v>
      </c>
      <c r="AO62" s="4324">
        <f t="shared" ref="AO62:AO63" si="379">SUM(AP62:AQ62)</f>
        <v>733.96041762840628</v>
      </c>
      <c r="AP62" s="4324">
        <f t="shared" ref="AP62:AP63" si="380">SUM(CC62-AG62)/2</f>
        <v>733.96041762840628</v>
      </c>
      <c r="AQ62" s="4324">
        <f t="shared" ref="AQ62:AQ63" si="381">SUM(CD62-AH62)/2</f>
        <v>0</v>
      </c>
      <c r="AR62" s="4344">
        <f t="shared" si="188"/>
        <v>38.86</v>
      </c>
      <c r="AS62" s="4328">
        <v>38.86</v>
      </c>
      <c r="AT62" s="4328"/>
      <c r="AU62" s="4344">
        <f t="shared" si="190"/>
        <v>0</v>
      </c>
      <c r="AV62" s="4328"/>
      <c r="AW62" s="4328"/>
      <c r="AX62" s="4344">
        <f t="shared" si="192"/>
        <v>0</v>
      </c>
      <c r="AY62" s="4328"/>
      <c r="AZ62" s="4328"/>
      <c r="BA62" s="4344">
        <f t="shared" si="359"/>
        <v>38.86</v>
      </c>
      <c r="BB62" s="4344">
        <f t="shared" si="360"/>
        <v>38.86</v>
      </c>
      <c r="BC62" s="4344">
        <f t="shared" si="360"/>
        <v>0</v>
      </c>
      <c r="BD62" s="4326">
        <f t="shared" ref="BD62:BD69" si="382">SUM(BE62:BF62)</f>
        <v>2201.8812528852186</v>
      </c>
      <c r="BE62" s="4326">
        <f t="shared" ref="BE62:BF69" si="383">SUM(AG62+AP62)</f>
        <v>2201.8812528852186</v>
      </c>
      <c r="BF62" s="4326">
        <f t="shared" si="383"/>
        <v>0</v>
      </c>
      <c r="BG62" s="4340">
        <f t="shared" si="363"/>
        <v>243.04159000000004</v>
      </c>
      <c r="BH62" s="4340">
        <f t="shared" si="363"/>
        <v>243.04159000000004</v>
      </c>
      <c r="BI62" s="4340">
        <f t="shared" si="363"/>
        <v>0</v>
      </c>
      <c r="BJ62" s="4340">
        <f t="shared" si="364"/>
        <v>-1958.8396628852186</v>
      </c>
      <c r="BK62" s="4340">
        <f t="shared" si="364"/>
        <v>-1958.8396628852186</v>
      </c>
      <c r="BL62" s="4340">
        <f t="shared" si="364"/>
        <v>0</v>
      </c>
      <c r="BM62" s="4324">
        <f t="shared" ref="BM62:BM69" si="384">SUM(BN62:BO62)</f>
        <v>733.96041762840628</v>
      </c>
      <c r="BN62" s="4324">
        <f t="shared" ref="BN62:BN63" si="385">SUM(AP62)</f>
        <v>733.96041762840628</v>
      </c>
      <c r="BO62" s="4324">
        <f t="shared" ref="BO62:BO63" si="386">SUM(AQ62)</f>
        <v>0</v>
      </c>
      <c r="BP62" s="4344">
        <f t="shared" si="200"/>
        <v>0</v>
      </c>
      <c r="BQ62" s="4328"/>
      <c r="BR62" s="4328"/>
      <c r="BS62" s="4344">
        <f t="shared" si="202"/>
        <v>0</v>
      </c>
      <c r="BT62" s="4328"/>
      <c r="BU62" s="4328"/>
      <c r="BV62" s="4344">
        <f t="shared" si="204"/>
        <v>0</v>
      </c>
      <c r="BW62" s="4328"/>
      <c r="BX62" s="4328"/>
      <c r="BY62" s="4344">
        <f t="shared" si="369"/>
        <v>0</v>
      </c>
      <c r="BZ62" s="4344">
        <f t="shared" si="370"/>
        <v>0</v>
      </c>
      <c r="CA62" s="4344">
        <f t="shared" si="370"/>
        <v>0</v>
      </c>
      <c r="CB62" s="4326">
        <f t="shared" ref="CB62:CB97" si="387">SUM(CC62:CD62)</f>
        <v>2935.8416705136251</v>
      </c>
      <c r="CC62" s="4326">
        <f>SUM(вода!EF48)</f>
        <v>2935.8416705136251</v>
      </c>
      <c r="CD62" s="4326">
        <v>0</v>
      </c>
      <c r="CE62" s="4340">
        <f t="shared" si="372"/>
        <v>243.04159000000004</v>
      </c>
      <c r="CF62" s="4340">
        <f t="shared" si="372"/>
        <v>243.04159000000004</v>
      </c>
      <c r="CG62" s="4340">
        <f t="shared" si="372"/>
        <v>0</v>
      </c>
      <c r="CH62" s="4340">
        <f t="shared" si="373"/>
        <v>-2692.8000805136253</v>
      </c>
      <c r="CI62" s="4340">
        <f t="shared" si="373"/>
        <v>-2692.8000805136253</v>
      </c>
      <c r="CJ62" s="4340">
        <f t="shared" si="373"/>
        <v>0</v>
      </c>
      <c r="CK62" s="2774"/>
      <c r="CL62" s="3575">
        <f t="shared" si="132"/>
        <v>2935.8416705136251</v>
      </c>
      <c r="CM62" s="3575">
        <f t="shared" si="132"/>
        <v>2935.8416705136251</v>
      </c>
      <c r="CN62" s="3575">
        <f t="shared" si="132"/>
        <v>0</v>
      </c>
    </row>
    <row r="63" spans="1:92" ht="18.75" customHeight="1" x14ac:dyDescent="0.3">
      <c r="A63" s="4339" t="s">
        <v>5</v>
      </c>
      <c r="B63" s="4324">
        <f t="shared" ref="B63" si="388">SUM(C63:D63)</f>
        <v>220.38181253689726</v>
      </c>
      <c r="C63" s="4324">
        <f t="shared" ref="C63" si="389">SUM(CC63/4)</f>
        <v>220.38181253689726</v>
      </c>
      <c r="D63" s="4324">
        <f t="shared" ref="D63" si="390">SUM(CD63/4)</f>
        <v>0</v>
      </c>
      <c r="E63" s="4344">
        <f t="shared" si="134"/>
        <v>13.199</v>
      </c>
      <c r="F63" s="4328">
        <f>0.087+13.112</f>
        <v>13.199</v>
      </c>
      <c r="G63" s="4328"/>
      <c r="H63" s="4344">
        <f t="shared" si="135"/>
        <v>9.1200299999999999</v>
      </c>
      <c r="I63" s="4328">
        <f>0.0604+9.05963</f>
        <v>9.1200299999999999</v>
      </c>
      <c r="J63" s="4328"/>
      <c r="K63" s="4344">
        <f t="shared" si="136"/>
        <v>10.066180000000001</v>
      </c>
      <c r="L63" s="4328">
        <f>0.06667+9.99951</f>
        <v>10.066180000000001</v>
      </c>
      <c r="M63" s="4328"/>
      <c r="N63" s="4344">
        <f t="shared" si="344"/>
        <v>32.385210000000001</v>
      </c>
      <c r="O63" s="4344">
        <f t="shared" si="345"/>
        <v>32.385210000000001</v>
      </c>
      <c r="P63" s="4344">
        <f t="shared" si="345"/>
        <v>0</v>
      </c>
      <c r="Q63" s="4324">
        <f t="shared" si="376"/>
        <v>220.38181253689726</v>
      </c>
      <c r="R63" s="4324">
        <f t="shared" si="377"/>
        <v>220.38181253689726</v>
      </c>
      <c r="S63" s="4324">
        <f t="shared" si="378"/>
        <v>0</v>
      </c>
      <c r="T63" s="4344">
        <f t="shared" si="177"/>
        <v>9.8109999999999999</v>
      </c>
      <c r="U63" s="4328">
        <f>0.065+9.746</f>
        <v>9.8109999999999999</v>
      </c>
      <c r="V63" s="4328"/>
      <c r="W63" s="4344">
        <f t="shared" si="179"/>
        <v>17.913</v>
      </c>
      <c r="X63" s="4328">
        <f>0.119+17.794</f>
        <v>17.913</v>
      </c>
      <c r="Y63" s="4325"/>
      <c r="Z63" s="4344">
        <f t="shared" si="181"/>
        <v>0</v>
      </c>
      <c r="AA63" s="4328"/>
      <c r="AB63" s="4325"/>
      <c r="AC63" s="4344">
        <f t="shared" si="350"/>
        <v>27.724</v>
      </c>
      <c r="AD63" s="4344">
        <f t="shared" si="351"/>
        <v>27.724</v>
      </c>
      <c r="AE63" s="4344">
        <f t="shared" si="351"/>
        <v>0</v>
      </c>
      <c r="AF63" s="4326">
        <f t="shared" si="352"/>
        <v>440.76362507379451</v>
      </c>
      <c r="AG63" s="4326">
        <f t="shared" si="353"/>
        <v>440.76362507379451</v>
      </c>
      <c r="AH63" s="4326">
        <f t="shared" si="353"/>
        <v>0</v>
      </c>
      <c r="AI63" s="4340">
        <f t="shared" si="354"/>
        <v>60.109210000000004</v>
      </c>
      <c r="AJ63" s="4340">
        <f t="shared" si="354"/>
        <v>60.109210000000004</v>
      </c>
      <c r="AK63" s="4340">
        <f t="shared" si="354"/>
        <v>0</v>
      </c>
      <c r="AL63" s="4340">
        <f t="shared" si="330"/>
        <v>-380.6544150737945</v>
      </c>
      <c r="AM63" s="4340">
        <f t="shared" si="330"/>
        <v>-380.6544150737945</v>
      </c>
      <c r="AN63" s="4340">
        <f t="shared" si="330"/>
        <v>0</v>
      </c>
      <c r="AO63" s="4324">
        <f t="shared" si="379"/>
        <v>220.38181253689726</v>
      </c>
      <c r="AP63" s="4324">
        <f t="shared" si="380"/>
        <v>220.38181253689726</v>
      </c>
      <c r="AQ63" s="4324">
        <f t="shared" si="381"/>
        <v>0</v>
      </c>
      <c r="AR63" s="4344">
        <f t="shared" si="188"/>
        <v>11.736000000000001</v>
      </c>
      <c r="AS63" s="4328">
        <v>11.736000000000001</v>
      </c>
      <c r="AT63" s="4325"/>
      <c r="AU63" s="4344">
        <f t="shared" si="190"/>
        <v>0</v>
      </c>
      <c r="AV63" s="4328"/>
      <c r="AW63" s="4325"/>
      <c r="AX63" s="4344">
        <f t="shared" si="192"/>
        <v>0</v>
      </c>
      <c r="AY63" s="4328"/>
      <c r="AZ63" s="4325"/>
      <c r="BA63" s="4344">
        <f t="shared" si="359"/>
        <v>11.736000000000001</v>
      </c>
      <c r="BB63" s="4344">
        <f t="shared" si="360"/>
        <v>11.736000000000001</v>
      </c>
      <c r="BC63" s="4344">
        <f t="shared" si="360"/>
        <v>0</v>
      </c>
      <c r="BD63" s="4326">
        <f t="shared" si="382"/>
        <v>661.14543761069172</v>
      </c>
      <c r="BE63" s="4326">
        <f t="shared" si="383"/>
        <v>661.14543761069172</v>
      </c>
      <c r="BF63" s="4326">
        <f t="shared" si="383"/>
        <v>0</v>
      </c>
      <c r="BG63" s="4340">
        <f t="shared" si="363"/>
        <v>71.845210000000009</v>
      </c>
      <c r="BH63" s="4340">
        <f t="shared" si="363"/>
        <v>71.845210000000009</v>
      </c>
      <c r="BI63" s="4340">
        <f t="shared" si="363"/>
        <v>0</v>
      </c>
      <c r="BJ63" s="4340">
        <f t="shared" si="364"/>
        <v>-589.30022761069176</v>
      </c>
      <c r="BK63" s="4340">
        <f t="shared" si="364"/>
        <v>-589.30022761069176</v>
      </c>
      <c r="BL63" s="4340">
        <f t="shared" si="364"/>
        <v>0</v>
      </c>
      <c r="BM63" s="4324">
        <f t="shared" si="384"/>
        <v>220.38181253689726</v>
      </c>
      <c r="BN63" s="4324">
        <f t="shared" si="385"/>
        <v>220.38181253689726</v>
      </c>
      <c r="BO63" s="4324">
        <f t="shared" si="386"/>
        <v>0</v>
      </c>
      <c r="BP63" s="4344">
        <f t="shared" si="200"/>
        <v>0</v>
      </c>
      <c r="BQ63" s="4328"/>
      <c r="BR63" s="4325"/>
      <c r="BS63" s="4344">
        <f t="shared" si="202"/>
        <v>0</v>
      </c>
      <c r="BT63" s="4328"/>
      <c r="BU63" s="4325"/>
      <c r="BV63" s="4344">
        <f t="shared" si="204"/>
        <v>0</v>
      </c>
      <c r="BW63" s="4328"/>
      <c r="BX63" s="4328"/>
      <c r="BY63" s="4344">
        <f t="shared" si="369"/>
        <v>0</v>
      </c>
      <c r="BZ63" s="4344">
        <f t="shared" si="370"/>
        <v>0</v>
      </c>
      <c r="CA63" s="4344">
        <f t="shared" si="370"/>
        <v>0</v>
      </c>
      <c r="CB63" s="4326">
        <f t="shared" si="387"/>
        <v>881.52725014758903</v>
      </c>
      <c r="CC63" s="4326">
        <f>SUM(вода!EF49)</f>
        <v>881.52725014758903</v>
      </c>
      <c r="CD63" s="4326">
        <v>0</v>
      </c>
      <c r="CE63" s="4340">
        <f t="shared" si="372"/>
        <v>71.845210000000009</v>
      </c>
      <c r="CF63" s="4340">
        <f t="shared" si="372"/>
        <v>71.845210000000009</v>
      </c>
      <c r="CG63" s="4340">
        <f t="shared" si="372"/>
        <v>0</v>
      </c>
      <c r="CH63" s="4340">
        <f t="shared" si="373"/>
        <v>-809.68204014758908</v>
      </c>
      <c r="CI63" s="4340">
        <f t="shared" si="373"/>
        <v>-809.68204014758908</v>
      </c>
      <c r="CJ63" s="4340">
        <f t="shared" si="373"/>
        <v>0</v>
      </c>
      <c r="CK63" s="2774"/>
      <c r="CL63" s="3575">
        <f t="shared" si="132"/>
        <v>881.52725014758903</v>
      </c>
      <c r="CM63" s="3575">
        <f t="shared" si="132"/>
        <v>881.52725014758903</v>
      </c>
      <c r="CN63" s="3575">
        <f t="shared" si="132"/>
        <v>0</v>
      </c>
    </row>
    <row r="64" spans="1:92" ht="18.75" customHeight="1" x14ac:dyDescent="0.2">
      <c r="A64" s="4339" t="s">
        <v>308</v>
      </c>
      <c r="B64" s="4321">
        <f t="shared" ref="B64:AK64" si="391">SUM(B63/B62)</f>
        <v>0.30026389331593822</v>
      </c>
      <c r="C64" s="4321">
        <f t="shared" si="391"/>
        <v>0.30026389331593822</v>
      </c>
      <c r="D64" s="4321" t="e">
        <f t="shared" si="391"/>
        <v>#DIV/0!</v>
      </c>
      <c r="E64" s="4321">
        <f t="shared" si="391"/>
        <v>0.3019882398700437</v>
      </c>
      <c r="F64" s="4321">
        <f t="shared" si="391"/>
        <v>0.3019882398700437</v>
      </c>
      <c r="G64" s="4321" t="e">
        <f t="shared" si="391"/>
        <v>#DIV/0!</v>
      </c>
      <c r="H64" s="4321">
        <f t="shared" si="391"/>
        <v>0.28770927073826524</v>
      </c>
      <c r="I64" s="4321">
        <f t="shared" si="391"/>
        <v>0.28770927073826524</v>
      </c>
      <c r="J64" s="4321" t="e">
        <f t="shared" si="391"/>
        <v>#DIV/0!</v>
      </c>
      <c r="K64" s="4321">
        <f t="shared" si="391"/>
        <v>0.30199747989919601</v>
      </c>
      <c r="L64" s="4321">
        <f t="shared" si="391"/>
        <v>0.30199747989919601</v>
      </c>
      <c r="M64" s="4321" t="e">
        <f t="shared" si="391"/>
        <v>#DIV/0!</v>
      </c>
      <c r="N64" s="4321">
        <f t="shared" si="391"/>
        <v>0.29782852821057482</v>
      </c>
      <c r="O64" s="4321">
        <f t="shared" si="391"/>
        <v>0.29782852821057482</v>
      </c>
      <c r="P64" s="4321" t="e">
        <f t="shared" si="391"/>
        <v>#DIV/0!</v>
      </c>
      <c r="Q64" s="4321">
        <f t="shared" si="391"/>
        <v>0.30026389331593822</v>
      </c>
      <c r="R64" s="4321">
        <f t="shared" si="391"/>
        <v>0.30026389331593822</v>
      </c>
      <c r="S64" s="4321" t="e">
        <f t="shared" si="391"/>
        <v>#DIV/0!</v>
      </c>
      <c r="T64" s="4321">
        <f t="shared" si="391"/>
        <v>0.30199772216578935</v>
      </c>
      <c r="U64" s="4321">
        <f t="shared" si="391"/>
        <v>0.30199772216578935</v>
      </c>
      <c r="V64" s="4321" t="e">
        <f t="shared" si="391"/>
        <v>#DIV/0!</v>
      </c>
      <c r="W64" s="4321">
        <f t="shared" si="391"/>
        <v>0.28466318114640776</v>
      </c>
      <c r="X64" s="4321">
        <f t="shared" si="391"/>
        <v>0.28466318114640776</v>
      </c>
      <c r="Y64" s="4321" t="e">
        <f t="shared" si="391"/>
        <v>#DIV/0!</v>
      </c>
      <c r="Z64" s="4321">
        <f t="shared" si="391"/>
        <v>0</v>
      </c>
      <c r="AA64" s="4321">
        <f t="shared" si="391"/>
        <v>0</v>
      </c>
      <c r="AB64" s="4321" t="e">
        <f t="shared" si="391"/>
        <v>#DIV/0!</v>
      </c>
      <c r="AC64" s="4321">
        <f t="shared" si="391"/>
        <v>0.29047454303484499</v>
      </c>
      <c r="AD64" s="4321">
        <f t="shared" si="391"/>
        <v>0.29047454303484499</v>
      </c>
      <c r="AE64" s="4321" t="e">
        <f t="shared" si="391"/>
        <v>#DIV/0!</v>
      </c>
      <c r="AF64" s="4322">
        <f t="shared" si="391"/>
        <v>0.30026389331593822</v>
      </c>
      <c r="AG64" s="4322">
        <f t="shared" si="391"/>
        <v>0.30026389331593822</v>
      </c>
      <c r="AH64" s="4322" t="e">
        <f t="shared" si="391"/>
        <v>#DIV/0!</v>
      </c>
      <c r="AI64" s="4322">
        <f t="shared" si="391"/>
        <v>0.29439093896761209</v>
      </c>
      <c r="AJ64" s="4322">
        <f t="shared" si="391"/>
        <v>0.29439093896761209</v>
      </c>
      <c r="AK64" s="4322" t="e">
        <f t="shared" si="391"/>
        <v>#DIV/0!</v>
      </c>
      <c r="AL64" s="4340">
        <f t="shared" si="330"/>
        <v>-5.8729543483261315E-3</v>
      </c>
      <c r="AM64" s="4340">
        <f t="shared" si="330"/>
        <v>-5.8729543483261315E-3</v>
      </c>
      <c r="AN64" s="4340" t="e">
        <f t="shared" si="330"/>
        <v>#DIV/0!</v>
      </c>
      <c r="AO64" s="4321">
        <f t="shared" ref="AO64:BI64" si="392">SUM(AO63/AO62)</f>
        <v>0.30026389331593822</v>
      </c>
      <c r="AP64" s="4321">
        <f t="shared" si="392"/>
        <v>0.30026389331593822</v>
      </c>
      <c r="AQ64" s="4321" t="e">
        <f t="shared" si="392"/>
        <v>#DIV/0!</v>
      </c>
      <c r="AR64" s="4321">
        <f t="shared" si="392"/>
        <v>0.3020072053525476</v>
      </c>
      <c r="AS64" s="4321">
        <f t="shared" si="392"/>
        <v>0.3020072053525476</v>
      </c>
      <c r="AT64" s="4321" t="e">
        <f t="shared" si="392"/>
        <v>#DIV/0!</v>
      </c>
      <c r="AU64" s="4321" t="e">
        <f t="shared" si="392"/>
        <v>#DIV/0!</v>
      </c>
      <c r="AV64" s="4321" t="e">
        <f t="shared" si="392"/>
        <v>#DIV/0!</v>
      </c>
      <c r="AW64" s="4321" t="e">
        <f t="shared" si="392"/>
        <v>#DIV/0!</v>
      </c>
      <c r="AX64" s="4321" t="e">
        <f t="shared" si="392"/>
        <v>#DIV/0!</v>
      </c>
      <c r="AY64" s="4321" t="e">
        <f t="shared" si="392"/>
        <v>#DIV/0!</v>
      </c>
      <c r="AZ64" s="4321" t="e">
        <f t="shared" si="392"/>
        <v>#DIV/0!</v>
      </c>
      <c r="BA64" s="4321">
        <f t="shared" si="392"/>
        <v>0.3020072053525476</v>
      </c>
      <c r="BB64" s="4321">
        <f t="shared" si="392"/>
        <v>0.3020072053525476</v>
      </c>
      <c r="BC64" s="4321" t="e">
        <f t="shared" si="392"/>
        <v>#DIV/0!</v>
      </c>
      <c r="BD64" s="4322">
        <f t="shared" si="392"/>
        <v>0.30026389331593822</v>
      </c>
      <c r="BE64" s="4322">
        <f t="shared" si="392"/>
        <v>0.30026389331593822</v>
      </c>
      <c r="BF64" s="4322" t="e">
        <f t="shared" si="392"/>
        <v>#DIV/0!</v>
      </c>
      <c r="BG64" s="4322">
        <f t="shared" si="392"/>
        <v>0.29560870631236408</v>
      </c>
      <c r="BH64" s="4322">
        <f t="shared" si="392"/>
        <v>0.29560870631236408</v>
      </c>
      <c r="BI64" s="4322" t="e">
        <f t="shared" si="392"/>
        <v>#DIV/0!</v>
      </c>
      <c r="BJ64" s="4323">
        <f t="shared" ref="BJ64:BL79" si="393">SUM(BG64-BD64)</f>
        <v>-4.6551870035741461E-3</v>
      </c>
      <c r="BK64" s="4323">
        <f t="shared" si="393"/>
        <v>-4.6551870035741461E-3</v>
      </c>
      <c r="BL64" s="4323" t="e">
        <f t="shared" si="393"/>
        <v>#DIV/0!</v>
      </c>
      <c r="BM64" s="4321">
        <f t="shared" ref="BM64:CG64" si="394">SUM(BM63/BM62)</f>
        <v>0.30026389331593822</v>
      </c>
      <c r="BN64" s="4321">
        <f t="shared" si="394"/>
        <v>0.30026389331593822</v>
      </c>
      <c r="BO64" s="4321" t="e">
        <f t="shared" si="394"/>
        <v>#DIV/0!</v>
      </c>
      <c r="BP64" s="4321" t="e">
        <f t="shared" si="394"/>
        <v>#DIV/0!</v>
      </c>
      <c r="BQ64" s="4321" t="e">
        <f t="shared" si="394"/>
        <v>#DIV/0!</v>
      </c>
      <c r="BR64" s="4321" t="e">
        <f t="shared" si="394"/>
        <v>#DIV/0!</v>
      </c>
      <c r="BS64" s="4321" t="e">
        <f t="shared" si="394"/>
        <v>#DIV/0!</v>
      </c>
      <c r="BT64" s="4321" t="e">
        <f t="shared" si="394"/>
        <v>#DIV/0!</v>
      </c>
      <c r="BU64" s="4321" t="e">
        <f t="shared" si="394"/>
        <v>#DIV/0!</v>
      </c>
      <c r="BV64" s="4321" t="e">
        <f t="shared" si="394"/>
        <v>#DIV/0!</v>
      </c>
      <c r="BW64" s="4321" t="e">
        <f t="shared" si="394"/>
        <v>#DIV/0!</v>
      </c>
      <c r="BX64" s="4321" t="e">
        <f t="shared" si="394"/>
        <v>#DIV/0!</v>
      </c>
      <c r="BY64" s="4321" t="e">
        <f t="shared" si="394"/>
        <v>#DIV/0!</v>
      </c>
      <c r="BZ64" s="4321" t="e">
        <f t="shared" si="394"/>
        <v>#DIV/0!</v>
      </c>
      <c r="CA64" s="4321" t="e">
        <f t="shared" si="394"/>
        <v>#DIV/0!</v>
      </c>
      <c r="CB64" s="4322">
        <f t="shared" si="394"/>
        <v>0.30026389331593822</v>
      </c>
      <c r="CC64" s="4322">
        <f t="shared" si="394"/>
        <v>0.30026389331593822</v>
      </c>
      <c r="CD64" s="4322" t="e">
        <f t="shared" si="394"/>
        <v>#DIV/0!</v>
      </c>
      <c r="CE64" s="4322">
        <f t="shared" si="394"/>
        <v>0.29560870631236408</v>
      </c>
      <c r="CF64" s="4322">
        <f t="shared" si="394"/>
        <v>0.29560870631236408</v>
      </c>
      <c r="CG64" s="4322" t="e">
        <f t="shared" si="394"/>
        <v>#DIV/0!</v>
      </c>
      <c r="CH64" s="4340">
        <f t="shared" ref="CH64:CJ79" si="395">SUM(CE64-CB64)</f>
        <v>-4.6551870035741461E-3</v>
      </c>
      <c r="CI64" s="4340">
        <f t="shared" si="395"/>
        <v>-4.6551870035741461E-3</v>
      </c>
      <c r="CJ64" s="4340" t="e">
        <f t="shared" si="395"/>
        <v>#DIV/0!</v>
      </c>
      <c r="CK64" s="2774"/>
      <c r="CL64" s="3575">
        <f t="shared" si="132"/>
        <v>1.2010555732637529</v>
      </c>
      <c r="CM64" s="3575">
        <f t="shared" si="132"/>
        <v>1.2010555732637529</v>
      </c>
      <c r="CN64" s="3575" t="e">
        <f t="shared" si="132"/>
        <v>#DIV/0!</v>
      </c>
    </row>
    <row r="65" spans="1:92" ht="18.75" customHeight="1" x14ac:dyDescent="0.3">
      <c r="A65" s="4339" t="s">
        <v>2</v>
      </c>
      <c r="B65" s="4324">
        <f t="shared" ref="B65:B68" si="396">SUM(C65:D65)</f>
        <v>0</v>
      </c>
      <c r="C65" s="4324">
        <f t="shared" ref="C65:D67" si="397">SUM(CC65/4)</f>
        <v>0</v>
      </c>
      <c r="D65" s="4324">
        <f t="shared" si="397"/>
        <v>0</v>
      </c>
      <c r="E65" s="4344">
        <f t="shared" si="134"/>
        <v>330.702</v>
      </c>
      <c r="F65" s="4328">
        <v>330.702</v>
      </c>
      <c r="G65" s="4328"/>
      <c r="H65" s="4344">
        <f t="shared" si="135"/>
        <v>330.702</v>
      </c>
      <c r="I65" s="4328">
        <v>330.702</v>
      </c>
      <c r="J65" s="4328"/>
      <c r="K65" s="4344">
        <f t="shared" si="136"/>
        <v>330.702</v>
      </c>
      <c r="L65" s="4328">
        <v>330.702</v>
      </c>
      <c r="M65" s="4328"/>
      <c r="N65" s="4344">
        <f t="shared" si="344"/>
        <v>992.10599999999999</v>
      </c>
      <c r="O65" s="4344">
        <f t="shared" si="345"/>
        <v>992.10599999999999</v>
      </c>
      <c r="P65" s="4344">
        <f t="shared" si="345"/>
        <v>0</v>
      </c>
      <c r="Q65" s="4324">
        <f t="shared" ref="Q65:Q97" si="398">SUM(R65:S65)</f>
        <v>0</v>
      </c>
      <c r="R65" s="4324">
        <f t="shared" ref="R65:R69" si="399">SUM(C65)</f>
        <v>0</v>
      </c>
      <c r="S65" s="4324">
        <f t="shared" ref="S65:S67" si="400">SUM(D65)</f>
        <v>0</v>
      </c>
      <c r="T65" s="4344">
        <f t="shared" si="177"/>
        <v>340.11399999999998</v>
      </c>
      <c r="U65" s="4328">
        <v>340.11399999999998</v>
      </c>
      <c r="V65" s="4328"/>
      <c r="W65" s="4344">
        <f t="shared" si="179"/>
        <v>340.11399999999998</v>
      </c>
      <c r="X65" s="4328">
        <v>340.11399999999998</v>
      </c>
      <c r="Y65" s="4328"/>
      <c r="Z65" s="4344">
        <f t="shared" si="181"/>
        <v>340.11399999999998</v>
      </c>
      <c r="AA65" s="4328">
        <v>340.11399999999998</v>
      </c>
      <c r="AB65" s="4328"/>
      <c r="AC65" s="4344">
        <f t="shared" si="350"/>
        <v>1020.3419999999999</v>
      </c>
      <c r="AD65" s="4344">
        <f t="shared" si="351"/>
        <v>1020.3419999999999</v>
      </c>
      <c r="AE65" s="4344">
        <f t="shared" si="351"/>
        <v>0</v>
      </c>
      <c r="AF65" s="4326">
        <f t="shared" ref="AF65:AF69" si="401">SUM(AG65:AH65)</f>
        <v>0</v>
      </c>
      <c r="AG65" s="4326">
        <f t="shared" ref="AG65:AH69" si="402">SUM(C65+R65)</f>
        <v>0</v>
      </c>
      <c r="AH65" s="4326">
        <f t="shared" si="402"/>
        <v>0</v>
      </c>
      <c r="AI65" s="4340">
        <f t="shared" si="354"/>
        <v>2012.4479999999999</v>
      </c>
      <c r="AJ65" s="4340">
        <f t="shared" si="354"/>
        <v>2012.4479999999999</v>
      </c>
      <c r="AK65" s="4340">
        <f t="shared" si="354"/>
        <v>0</v>
      </c>
      <c r="AL65" s="4340">
        <f t="shared" si="330"/>
        <v>2012.4479999999999</v>
      </c>
      <c r="AM65" s="4340">
        <f t="shared" si="330"/>
        <v>2012.4479999999999</v>
      </c>
      <c r="AN65" s="4340">
        <f t="shared" si="330"/>
        <v>0</v>
      </c>
      <c r="AO65" s="4324">
        <f t="shared" ref="AO65:AO67" si="403">SUM(AP65:AQ65)</f>
        <v>0</v>
      </c>
      <c r="AP65" s="4324">
        <f t="shared" ref="AP65:AQ67" si="404">SUM(CC65-AG65)/2</f>
        <v>0</v>
      </c>
      <c r="AQ65" s="4324">
        <f t="shared" si="404"/>
        <v>0</v>
      </c>
      <c r="AR65" s="4344">
        <f t="shared" si="188"/>
        <v>340.11399999999998</v>
      </c>
      <c r="AS65" s="4328">
        <v>340.11399999999998</v>
      </c>
      <c r="AT65" s="4328"/>
      <c r="AU65" s="4344">
        <f t="shared" si="190"/>
        <v>0</v>
      </c>
      <c r="AV65" s="4328"/>
      <c r="AW65" s="4328"/>
      <c r="AX65" s="4344">
        <f t="shared" si="192"/>
        <v>0</v>
      </c>
      <c r="AY65" s="4328"/>
      <c r="AZ65" s="4328"/>
      <c r="BA65" s="4344">
        <f t="shared" si="359"/>
        <v>340.11399999999998</v>
      </c>
      <c r="BB65" s="4344">
        <f t="shared" si="360"/>
        <v>340.11399999999998</v>
      </c>
      <c r="BC65" s="4344">
        <f t="shared" si="360"/>
        <v>0</v>
      </c>
      <c r="BD65" s="4326">
        <f t="shared" si="382"/>
        <v>0</v>
      </c>
      <c r="BE65" s="4326">
        <f t="shared" si="383"/>
        <v>0</v>
      </c>
      <c r="BF65" s="4326">
        <f t="shared" si="383"/>
        <v>0</v>
      </c>
      <c r="BG65" s="4340">
        <f t="shared" ref="BG65:BI97" si="405">SUM(AI65+BA65)</f>
        <v>2352.5619999999999</v>
      </c>
      <c r="BH65" s="4340">
        <f t="shared" si="405"/>
        <v>2352.5619999999999</v>
      </c>
      <c r="BI65" s="4340">
        <f t="shared" si="405"/>
        <v>0</v>
      </c>
      <c r="BJ65" s="4340">
        <f t="shared" si="393"/>
        <v>2352.5619999999999</v>
      </c>
      <c r="BK65" s="4340">
        <f t="shared" si="393"/>
        <v>2352.5619999999999</v>
      </c>
      <c r="BL65" s="4340">
        <f t="shared" si="393"/>
        <v>0</v>
      </c>
      <c r="BM65" s="4324">
        <f t="shared" si="384"/>
        <v>0</v>
      </c>
      <c r="BN65" s="4324">
        <f t="shared" ref="BN65:BO67" si="406">SUM(AP65)</f>
        <v>0</v>
      </c>
      <c r="BO65" s="4324">
        <f t="shared" si="406"/>
        <v>0</v>
      </c>
      <c r="BP65" s="4344">
        <f t="shared" si="200"/>
        <v>0</v>
      </c>
      <c r="BQ65" s="4328"/>
      <c r="BR65" s="4328"/>
      <c r="BS65" s="4344">
        <f t="shared" si="202"/>
        <v>0</v>
      </c>
      <c r="BT65" s="4328"/>
      <c r="BU65" s="4328"/>
      <c r="BV65" s="4344">
        <f t="shared" si="204"/>
        <v>0</v>
      </c>
      <c r="BW65" s="4328"/>
      <c r="BX65" s="4328"/>
      <c r="BY65" s="4344">
        <f t="shared" si="369"/>
        <v>0</v>
      </c>
      <c r="BZ65" s="4344">
        <f t="shared" si="370"/>
        <v>0</v>
      </c>
      <c r="CA65" s="4344">
        <f t="shared" si="370"/>
        <v>0</v>
      </c>
      <c r="CB65" s="4326">
        <f t="shared" si="387"/>
        <v>0</v>
      </c>
      <c r="CC65" s="4326">
        <f>SUM(вода!EF58)</f>
        <v>0</v>
      </c>
      <c r="CD65" s="4326">
        <v>0</v>
      </c>
      <c r="CE65" s="4340">
        <f t="shared" ref="CE65:CG97" si="407">SUM(BY65+BG65)</f>
        <v>2352.5619999999999</v>
      </c>
      <c r="CF65" s="4340">
        <f t="shared" si="407"/>
        <v>2352.5619999999999</v>
      </c>
      <c r="CG65" s="4340">
        <f t="shared" si="407"/>
        <v>0</v>
      </c>
      <c r="CH65" s="4340">
        <f t="shared" si="395"/>
        <v>2352.5619999999999</v>
      </c>
      <c r="CI65" s="4340">
        <f t="shared" si="395"/>
        <v>2352.5619999999999</v>
      </c>
      <c r="CJ65" s="4340">
        <f t="shared" si="395"/>
        <v>0</v>
      </c>
      <c r="CK65" s="2774"/>
      <c r="CL65" s="3575">
        <f t="shared" si="132"/>
        <v>0</v>
      </c>
      <c r="CM65" s="3575">
        <f t="shared" si="132"/>
        <v>0</v>
      </c>
      <c r="CN65" s="3575">
        <f t="shared" si="132"/>
        <v>0</v>
      </c>
    </row>
    <row r="66" spans="1:92" ht="18.75" customHeight="1" x14ac:dyDescent="0.3">
      <c r="A66" s="4339" t="s">
        <v>9</v>
      </c>
      <c r="B66" s="4324">
        <f t="shared" si="396"/>
        <v>0</v>
      </c>
      <c r="C66" s="4324">
        <f t="shared" si="397"/>
        <v>0</v>
      </c>
      <c r="D66" s="4324">
        <f t="shared" si="397"/>
        <v>0</v>
      </c>
      <c r="E66" s="4344">
        <f t="shared" si="134"/>
        <v>0</v>
      </c>
      <c r="F66" s="4328"/>
      <c r="G66" s="4328"/>
      <c r="H66" s="4344">
        <f t="shared" si="135"/>
        <v>0</v>
      </c>
      <c r="I66" s="4328"/>
      <c r="J66" s="4328"/>
      <c r="K66" s="4344">
        <f t="shared" si="136"/>
        <v>0</v>
      </c>
      <c r="L66" s="4328"/>
      <c r="M66" s="4328"/>
      <c r="N66" s="4344">
        <f t="shared" si="344"/>
        <v>0</v>
      </c>
      <c r="O66" s="4344">
        <f t="shared" si="345"/>
        <v>0</v>
      </c>
      <c r="P66" s="4344">
        <f t="shared" si="345"/>
        <v>0</v>
      </c>
      <c r="Q66" s="4324">
        <f t="shared" si="398"/>
        <v>0</v>
      </c>
      <c r="R66" s="4324">
        <f t="shared" si="399"/>
        <v>0</v>
      </c>
      <c r="S66" s="4324">
        <f t="shared" si="400"/>
        <v>0</v>
      </c>
      <c r="T66" s="4344">
        <f t="shared" si="177"/>
        <v>0</v>
      </c>
      <c r="U66" s="4328"/>
      <c r="V66" s="4328"/>
      <c r="W66" s="4344">
        <f t="shared" si="179"/>
        <v>0</v>
      </c>
      <c r="X66" s="4328"/>
      <c r="Y66" s="4328"/>
      <c r="Z66" s="4344">
        <f t="shared" si="181"/>
        <v>0</v>
      </c>
      <c r="AA66" s="4328"/>
      <c r="AB66" s="4328"/>
      <c r="AC66" s="4344">
        <f t="shared" si="350"/>
        <v>0</v>
      </c>
      <c r="AD66" s="4344">
        <f t="shared" si="351"/>
        <v>0</v>
      </c>
      <c r="AE66" s="4344">
        <f t="shared" si="351"/>
        <v>0</v>
      </c>
      <c r="AF66" s="4326">
        <f t="shared" si="401"/>
        <v>0</v>
      </c>
      <c r="AG66" s="4326">
        <f t="shared" si="402"/>
        <v>0</v>
      </c>
      <c r="AH66" s="4326">
        <f t="shared" si="402"/>
        <v>0</v>
      </c>
      <c r="AI66" s="4340">
        <f t="shared" si="354"/>
        <v>0</v>
      </c>
      <c r="AJ66" s="4340">
        <f t="shared" si="354"/>
        <v>0</v>
      </c>
      <c r="AK66" s="4340">
        <f t="shared" si="354"/>
        <v>0</v>
      </c>
      <c r="AL66" s="4340">
        <f t="shared" si="330"/>
        <v>0</v>
      </c>
      <c r="AM66" s="4340">
        <f t="shared" si="330"/>
        <v>0</v>
      </c>
      <c r="AN66" s="4340">
        <f t="shared" si="330"/>
        <v>0</v>
      </c>
      <c r="AO66" s="4324">
        <f t="shared" si="403"/>
        <v>0</v>
      </c>
      <c r="AP66" s="4324">
        <f t="shared" si="404"/>
        <v>0</v>
      </c>
      <c r="AQ66" s="4324">
        <f t="shared" si="404"/>
        <v>0</v>
      </c>
      <c r="AR66" s="4344">
        <f t="shared" si="188"/>
        <v>0</v>
      </c>
      <c r="AS66" s="4328"/>
      <c r="AT66" s="4328"/>
      <c r="AU66" s="4344">
        <f t="shared" si="190"/>
        <v>0</v>
      </c>
      <c r="AV66" s="4328"/>
      <c r="AW66" s="4328"/>
      <c r="AX66" s="4344">
        <f t="shared" si="192"/>
        <v>0</v>
      </c>
      <c r="AY66" s="4328"/>
      <c r="AZ66" s="4328"/>
      <c r="BA66" s="4344">
        <f t="shared" si="359"/>
        <v>0</v>
      </c>
      <c r="BB66" s="4344">
        <f t="shared" si="360"/>
        <v>0</v>
      </c>
      <c r="BC66" s="4344">
        <f t="shared" si="360"/>
        <v>0</v>
      </c>
      <c r="BD66" s="4326">
        <f t="shared" si="382"/>
        <v>0</v>
      </c>
      <c r="BE66" s="4326">
        <f t="shared" si="383"/>
        <v>0</v>
      </c>
      <c r="BF66" s="4326">
        <f t="shared" si="383"/>
        <v>0</v>
      </c>
      <c r="BG66" s="4340">
        <f t="shared" si="405"/>
        <v>0</v>
      </c>
      <c r="BH66" s="4340">
        <f t="shared" si="405"/>
        <v>0</v>
      </c>
      <c r="BI66" s="4340">
        <f t="shared" si="405"/>
        <v>0</v>
      </c>
      <c r="BJ66" s="4340">
        <f t="shared" si="393"/>
        <v>0</v>
      </c>
      <c r="BK66" s="4340">
        <f t="shared" si="393"/>
        <v>0</v>
      </c>
      <c r="BL66" s="4340">
        <f t="shared" si="393"/>
        <v>0</v>
      </c>
      <c r="BM66" s="4324">
        <f t="shared" si="384"/>
        <v>0</v>
      </c>
      <c r="BN66" s="4324">
        <f t="shared" si="406"/>
        <v>0</v>
      </c>
      <c r="BO66" s="4324">
        <f t="shared" si="406"/>
        <v>0</v>
      </c>
      <c r="BP66" s="4344">
        <f t="shared" si="200"/>
        <v>0</v>
      </c>
      <c r="BQ66" s="4328"/>
      <c r="BR66" s="4328"/>
      <c r="BS66" s="4344">
        <f t="shared" si="202"/>
        <v>0</v>
      </c>
      <c r="BT66" s="4328"/>
      <c r="BU66" s="4328"/>
      <c r="BV66" s="4344">
        <f t="shared" si="204"/>
        <v>0</v>
      </c>
      <c r="BW66" s="4328"/>
      <c r="BX66" s="4328"/>
      <c r="BY66" s="4344">
        <f t="shared" si="369"/>
        <v>0</v>
      </c>
      <c r="BZ66" s="4344">
        <f t="shared" si="370"/>
        <v>0</v>
      </c>
      <c r="CA66" s="4344">
        <f t="shared" si="370"/>
        <v>0</v>
      </c>
      <c r="CB66" s="4326">
        <f t="shared" si="387"/>
        <v>0</v>
      </c>
      <c r="CC66" s="4326">
        <f>SUM(вода!EF46)</f>
        <v>0</v>
      </c>
      <c r="CD66" s="4326">
        <v>0</v>
      </c>
      <c r="CE66" s="4340">
        <f t="shared" si="407"/>
        <v>0</v>
      </c>
      <c r="CF66" s="4340">
        <f t="shared" si="407"/>
        <v>0</v>
      </c>
      <c r="CG66" s="4340">
        <f t="shared" si="407"/>
        <v>0</v>
      </c>
      <c r="CH66" s="4340">
        <f t="shared" si="395"/>
        <v>0</v>
      </c>
      <c r="CI66" s="4340">
        <f t="shared" si="395"/>
        <v>0</v>
      </c>
      <c r="CJ66" s="4340">
        <f t="shared" si="395"/>
        <v>0</v>
      </c>
      <c r="CK66" s="2774"/>
      <c r="CL66" s="3575">
        <f t="shared" si="132"/>
        <v>0</v>
      </c>
      <c r="CM66" s="3575">
        <f t="shared" si="132"/>
        <v>0</v>
      </c>
      <c r="CN66" s="3575">
        <f t="shared" si="132"/>
        <v>0</v>
      </c>
    </row>
    <row r="67" spans="1:92" ht="18.75" customHeight="1" x14ac:dyDescent="0.3">
      <c r="A67" s="4339" t="s">
        <v>1</v>
      </c>
      <c r="B67" s="4324">
        <f t="shared" si="396"/>
        <v>116.39769470385001</v>
      </c>
      <c r="C67" s="4324">
        <f t="shared" si="397"/>
        <v>116.39769470385001</v>
      </c>
      <c r="D67" s="4324">
        <f t="shared" si="397"/>
        <v>0</v>
      </c>
      <c r="E67" s="4344">
        <f t="shared" si="134"/>
        <v>53.103999999999999</v>
      </c>
      <c r="F67" s="4328">
        <v>53.103999999999999</v>
      </c>
      <c r="G67" s="4328"/>
      <c r="H67" s="4344">
        <f t="shared" si="135"/>
        <v>48.552</v>
      </c>
      <c r="I67" s="4328">
        <v>48.552</v>
      </c>
      <c r="J67" s="4328"/>
      <c r="K67" s="4344">
        <f t="shared" si="136"/>
        <v>51.517000000000003</v>
      </c>
      <c r="L67" s="4328">
        <v>51.517000000000003</v>
      </c>
      <c r="M67" s="4328"/>
      <c r="N67" s="4344">
        <f t="shared" si="344"/>
        <v>153.173</v>
      </c>
      <c r="O67" s="4344">
        <f t="shared" si="345"/>
        <v>153.173</v>
      </c>
      <c r="P67" s="4344">
        <f t="shared" si="345"/>
        <v>0</v>
      </c>
      <c r="Q67" s="4324">
        <f t="shared" si="398"/>
        <v>116.39769470385001</v>
      </c>
      <c r="R67" s="4324">
        <f t="shared" si="399"/>
        <v>116.39769470385001</v>
      </c>
      <c r="S67" s="4324">
        <f t="shared" si="400"/>
        <v>0</v>
      </c>
      <c r="T67" s="4344">
        <f t="shared" si="177"/>
        <v>49.692999999999998</v>
      </c>
      <c r="U67" s="4328">
        <v>49.692999999999998</v>
      </c>
      <c r="V67" s="4328"/>
      <c r="W67" s="4344">
        <f t="shared" si="179"/>
        <v>58.112000000000002</v>
      </c>
      <c r="X67" s="4328">
        <v>58.112000000000002</v>
      </c>
      <c r="Y67" s="4328"/>
      <c r="Z67" s="4344">
        <f t="shared" si="181"/>
        <v>57.189</v>
      </c>
      <c r="AA67" s="4328">
        <v>57.189</v>
      </c>
      <c r="AB67" s="4328"/>
      <c r="AC67" s="4344">
        <f t="shared" si="350"/>
        <v>164.994</v>
      </c>
      <c r="AD67" s="4344">
        <f t="shared" si="351"/>
        <v>164.994</v>
      </c>
      <c r="AE67" s="4344">
        <f t="shared" si="351"/>
        <v>0</v>
      </c>
      <c r="AF67" s="4326">
        <f t="shared" si="401"/>
        <v>232.79538940770001</v>
      </c>
      <c r="AG67" s="4326">
        <f t="shared" si="402"/>
        <v>232.79538940770001</v>
      </c>
      <c r="AH67" s="4326">
        <f t="shared" si="402"/>
        <v>0</v>
      </c>
      <c r="AI67" s="4340">
        <f t="shared" si="354"/>
        <v>318.16700000000003</v>
      </c>
      <c r="AJ67" s="4340">
        <f t="shared" si="354"/>
        <v>318.16700000000003</v>
      </c>
      <c r="AK67" s="4340">
        <f t="shared" si="354"/>
        <v>0</v>
      </c>
      <c r="AL67" s="4340">
        <f t="shared" si="330"/>
        <v>85.371610592300016</v>
      </c>
      <c r="AM67" s="4340">
        <f t="shared" si="330"/>
        <v>85.371610592300016</v>
      </c>
      <c r="AN67" s="4340">
        <f t="shared" si="330"/>
        <v>0</v>
      </c>
      <c r="AO67" s="4324">
        <f t="shared" si="403"/>
        <v>116.39769470385001</v>
      </c>
      <c r="AP67" s="4324">
        <f t="shared" si="404"/>
        <v>116.39769470385001</v>
      </c>
      <c r="AQ67" s="4324">
        <f t="shared" si="404"/>
        <v>0</v>
      </c>
      <c r="AR67" s="4344">
        <f t="shared" si="188"/>
        <v>59.523000000000003</v>
      </c>
      <c r="AS67" s="4328">
        <v>59.523000000000003</v>
      </c>
      <c r="AT67" s="4328"/>
      <c r="AU67" s="4344">
        <f t="shared" si="190"/>
        <v>0</v>
      </c>
      <c r="AV67" s="4328"/>
      <c r="AW67" s="4328"/>
      <c r="AX67" s="4344">
        <f t="shared" si="192"/>
        <v>0</v>
      </c>
      <c r="AY67" s="4328"/>
      <c r="AZ67" s="4328"/>
      <c r="BA67" s="4344">
        <f t="shared" si="359"/>
        <v>59.523000000000003</v>
      </c>
      <c r="BB67" s="4344">
        <f t="shared" si="360"/>
        <v>59.523000000000003</v>
      </c>
      <c r="BC67" s="4344">
        <f t="shared" si="360"/>
        <v>0</v>
      </c>
      <c r="BD67" s="4326">
        <f t="shared" si="382"/>
        <v>349.19308411155004</v>
      </c>
      <c r="BE67" s="4326">
        <f t="shared" si="383"/>
        <v>349.19308411155004</v>
      </c>
      <c r="BF67" s="4326">
        <f t="shared" si="383"/>
        <v>0</v>
      </c>
      <c r="BG67" s="4340">
        <f t="shared" si="405"/>
        <v>377.69000000000005</v>
      </c>
      <c r="BH67" s="4340">
        <f t="shared" si="405"/>
        <v>377.69000000000005</v>
      </c>
      <c r="BI67" s="4340">
        <f t="shared" si="405"/>
        <v>0</v>
      </c>
      <c r="BJ67" s="4340">
        <f t="shared" si="393"/>
        <v>28.496915888450019</v>
      </c>
      <c r="BK67" s="4340">
        <f t="shared" si="393"/>
        <v>28.496915888450019</v>
      </c>
      <c r="BL67" s="4340">
        <f t="shared" si="393"/>
        <v>0</v>
      </c>
      <c r="BM67" s="4324">
        <f t="shared" si="384"/>
        <v>116.39769470385001</v>
      </c>
      <c r="BN67" s="4324">
        <f t="shared" si="406"/>
        <v>116.39769470385001</v>
      </c>
      <c r="BO67" s="4324">
        <f t="shared" si="406"/>
        <v>0</v>
      </c>
      <c r="BP67" s="4344">
        <f t="shared" si="200"/>
        <v>0</v>
      </c>
      <c r="BQ67" s="4328"/>
      <c r="BR67" s="4328"/>
      <c r="BS67" s="4344">
        <f t="shared" si="202"/>
        <v>0</v>
      </c>
      <c r="BT67" s="4328"/>
      <c r="BU67" s="4328"/>
      <c r="BV67" s="4344">
        <f t="shared" si="204"/>
        <v>0</v>
      </c>
      <c r="BW67" s="4328"/>
      <c r="BX67" s="4328"/>
      <c r="BY67" s="4344">
        <f t="shared" si="369"/>
        <v>0</v>
      </c>
      <c r="BZ67" s="4344">
        <f t="shared" si="370"/>
        <v>0</v>
      </c>
      <c r="CA67" s="4344">
        <f t="shared" si="370"/>
        <v>0</v>
      </c>
      <c r="CB67" s="4326">
        <f t="shared" si="387"/>
        <v>465.59077881540003</v>
      </c>
      <c r="CC67" s="4326">
        <f>SUM(410.711*1.1336214)</f>
        <v>465.59077881540003</v>
      </c>
      <c r="CD67" s="4326">
        <v>0</v>
      </c>
      <c r="CE67" s="4340">
        <f t="shared" si="407"/>
        <v>377.69000000000005</v>
      </c>
      <c r="CF67" s="4340">
        <f t="shared" si="407"/>
        <v>377.69000000000005</v>
      </c>
      <c r="CG67" s="4340">
        <f t="shared" si="407"/>
        <v>0</v>
      </c>
      <c r="CH67" s="4340">
        <f t="shared" si="395"/>
        <v>-87.900778815399974</v>
      </c>
      <c r="CI67" s="4340">
        <f t="shared" si="395"/>
        <v>-87.900778815399974</v>
      </c>
      <c r="CJ67" s="4340">
        <f t="shared" si="395"/>
        <v>0</v>
      </c>
      <c r="CK67" s="2774"/>
      <c r="CL67" s="3575">
        <f t="shared" si="132"/>
        <v>465.59077881540003</v>
      </c>
      <c r="CM67" s="3575">
        <f t="shared" si="132"/>
        <v>465.59077881540003</v>
      </c>
      <c r="CN67" s="3575">
        <f t="shared" si="132"/>
        <v>0</v>
      </c>
    </row>
    <row r="68" spans="1:92" ht="18.75" customHeight="1" x14ac:dyDescent="0.3">
      <c r="A68" s="4339" t="s">
        <v>3693</v>
      </c>
      <c r="B68" s="4324">
        <f t="shared" si="396"/>
        <v>61.095004424999992</v>
      </c>
      <c r="C68" s="4324">
        <f>SUM(C69)</f>
        <v>61.095004424999992</v>
      </c>
      <c r="D68" s="4324">
        <f t="shared" ref="D68" si="408">SUM(D69)</f>
        <v>0</v>
      </c>
      <c r="E68" s="4344">
        <f>SUM(F68:G68)</f>
        <v>41.616</v>
      </c>
      <c r="F68" s="4325">
        <f>SUM(F69)</f>
        <v>41.616</v>
      </c>
      <c r="G68" s="4325">
        <f>SUM(G69)</f>
        <v>0</v>
      </c>
      <c r="H68" s="4344">
        <f t="shared" si="135"/>
        <v>38.494999999999997</v>
      </c>
      <c r="I68" s="4325">
        <f>SUM(I69)</f>
        <v>38.494999999999997</v>
      </c>
      <c r="J68" s="4325">
        <f>SUM(J69)</f>
        <v>0</v>
      </c>
      <c r="K68" s="4344">
        <f t="shared" si="136"/>
        <v>32.643000000000001</v>
      </c>
      <c r="L68" s="4325">
        <f>SUM(L69)</f>
        <v>32.643000000000001</v>
      </c>
      <c r="M68" s="4325">
        <f>SUM(M69)</f>
        <v>0</v>
      </c>
      <c r="N68" s="4344">
        <f t="shared" si="344"/>
        <v>112.75399999999999</v>
      </c>
      <c r="O68" s="4344">
        <f t="shared" si="345"/>
        <v>112.75399999999999</v>
      </c>
      <c r="P68" s="4344">
        <f t="shared" si="345"/>
        <v>0</v>
      </c>
      <c r="Q68" s="4324">
        <f t="shared" si="398"/>
        <v>61.095004424999992</v>
      </c>
      <c r="R68" s="4324">
        <f t="shared" ref="R68:S68" si="409">SUM(R69)</f>
        <v>61.095004424999992</v>
      </c>
      <c r="S68" s="4324">
        <f t="shared" si="409"/>
        <v>0</v>
      </c>
      <c r="T68" s="4344">
        <f t="shared" si="177"/>
        <v>31.341999999999999</v>
      </c>
      <c r="U68" s="4325">
        <f>SUM(U69)</f>
        <v>31.341999999999999</v>
      </c>
      <c r="V68" s="4325">
        <f>SUM(V69)</f>
        <v>0</v>
      </c>
      <c r="W68" s="4344">
        <f t="shared" si="179"/>
        <v>0</v>
      </c>
      <c r="X68" s="4325">
        <f>SUM(X69)</f>
        <v>0</v>
      </c>
      <c r="Y68" s="4325">
        <f>SUM(Y69)</f>
        <v>0</v>
      </c>
      <c r="Z68" s="4344">
        <f t="shared" si="181"/>
        <v>0</v>
      </c>
      <c r="AA68" s="4325">
        <f>SUM(AA69)</f>
        <v>0</v>
      </c>
      <c r="AB68" s="4325">
        <f>SUM(AB69)</f>
        <v>0</v>
      </c>
      <c r="AC68" s="4344">
        <f t="shared" si="350"/>
        <v>31.341999999999999</v>
      </c>
      <c r="AD68" s="4344">
        <f t="shared" si="351"/>
        <v>31.341999999999999</v>
      </c>
      <c r="AE68" s="4344">
        <f t="shared" si="351"/>
        <v>0</v>
      </c>
      <c r="AF68" s="4326">
        <f t="shared" si="401"/>
        <v>122.19000884999998</v>
      </c>
      <c r="AG68" s="4326">
        <f t="shared" si="402"/>
        <v>122.19000884999998</v>
      </c>
      <c r="AH68" s="4326">
        <f t="shared" si="402"/>
        <v>0</v>
      </c>
      <c r="AI68" s="4340">
        <f t="shared" si="354"/>
        <v>144.096</v>
      </c>
      <c r="AJ68" s="4340">
        <f t="shared" si="354"/>
        <v>144.096</v>
      </c>
      <c r="AK68" s="4340">
        <f t="shared" si="354"/>
        <v>0</v>
      </c>
      <c r="AL68" s="4340">
        <f t="shared" si="330"/>
        <v>21.90599115000002</v>
      </c>
      <c r="AM68" s="4340">
        <f t="shared" si="330"/>
        <v>21.90599115000002</v>
      </c>
      <c r="AN68" s="4340">
        <f t="shared" si="330"/>
        <v>0</v>
      </c>
      <c r="AO68" s="4324">
        <f t="shared" ref="AO68:AO69" si="410">SUM(AP68:AQ68)</f>
        <v>61.095004424999992</v>
      </c>
      <c r="AP68" s="4324">
        <f t="shared" ref="AP68:AQ68" si="411">SUM(AP69)</f>
        <v>61.095004424999992</v>
      </c>
      <c r="AQ68" s="4324">
        <f t="shared" si="411"/>
        <v>0</v>
      </c>
      <c r="AR68" s="4344">
        <f t="shared" si="188"/>
        <v>0</v>
      </c>
      <c r="AS68" s="4325">
        <f>SUM(AS69)</f>
        <v>0</v>
      </c>
      <c r="AT68" s="4325">
        <f>SUM(AT69)</f>
        <v>0</v>
      </c>
      <c r="AU68" s="4344">
        <f t="shared" si="190"/>
        <v>0</v>
      </c>
      <c r="AV68" s="4325">
        <f>SUM(AV69)</f>
        <v>0</v>
      </c>
      <c r="AW68" s="4325">
        <f>SUM(AW69)</f>
        <v>0</v>
      </c>
      <c r="AX68" s="4344">
        <f t="shared" si="192"/>
        <v>0</v>
      </c>
      <c r="AY68" s="4325">
        <f>SUM(AY69)</f>
        <v>0</v>
      </c>
      <c r="AZ68" s="4325">
        <f>SUM(AZ69)</f>
        <v>0</v>
      </c>
      <c r="BA68" s="4344">
        <f t="shared" si="359"/>
        <v>0</v>
      </c>
      <c r="BB68" s="4344">
        <f t="shared" si="360"/>
        <v>0</v>
      </c>
      <c r="BC68" s="4344">
        <f t="shared" si="360"/>
        <v>0</v>
      </c>
      <c r="BD68" s="4326">
        <f t="shared" si="382"/>
        <v>183.28501327499998</v>
      </c>
      <c r="BE68" s="4326">
        <f t="shared" si="383"/>
        <v>183.28501327499998</v>
      </c>
      <c r="BF68" s="4326">
        <f t="shared" si="383"/>
        <v>0</v>
      </c>
      <c r="BG68" s="4340">
        <f t="shared" si="405"/>
        <v>144.096</v>
      </c>
      <c r="BH68" s="4340">
        <f t="shared" si="405"/>
        <v>144.096</v>
      </c>
      <c r="BI68" s="4340">
        <f t="shared" si="405"/>
        <v>0</v>
      </c>
      <c r="BJ68" s="4340">
        <f t="shared" si="393"/>
        <v>-39.189013274999979</v>
      </c>
      <c r="BK68" s="4340">
        <f t="shared" si="393"/>
        <v>-39.189013274999979</v>
      </c>
      <c r="BL68" s="4340">
        <f t="shared" si="393"/>
        <v>0</v>
      </c>
      <c r="BM68" s="4324">
        <f t="shared" si="384"/>
        <v>61.095004424999992</v>
      </c>
      <c r="BN68" s="4324">
        <f t="shared" ref="BN68:BO68" si="412">SUM(BN69)</f>
        <v>61.095004424999992</v>
      </c>
      <c r="BO68" s="4324">
        <f t="shared" si="412"/>
        <v>0</v>
      </c>
      <c r="BP68" s="4344">
        <f t="shared" si="200"/>
        <v>0</v>
      </c>
      <c r="BQ68" s="4325">
        <f>SUM(BQ69)</f>
        <v>0</v>
      </c>
      <c r="BR68" s="4325">
        <f>SUM(BR69)</f>
        <v>0</v>
      </c>
      <c r="BS68" s="4344">
        <f t="shared" si="202"/>
        <v>0</v>
      </c>
      <c r="BT68" s="4325">
        <f>SUM(BT69)</f>
        <v>0</v>
      </c>
      <c r="BU68" s="4325">
        <f>SUM(BU69)</f>
        <v>0</v>
      </c>
      <c r="BV68" s="4344">
        <f t="shared" si="204"/>
        <v>0</v>
      </c>
      <c r="BW68" s="4325">
        <f>SUM(BW69)</f>
        <v>0</v>
      </c>
      <c r="BX68" s="4325">
        <f>SUM(BX69)</f>
        <v>0</v>
      </c>
      <c r="BY68" s="4344">
        <f t="shared" si="369"/>
        <v>0</v>
      </c>
      <c r="BZ68" s="4344">
        <f t="shared" si="370"/>
        <v>0</v>
      </c>
      <c r="CA68" s="4344">
        <f t="shared" si="370"/>
        <v>0</v>
      </c>
      <c r="CB68" s="4326">
        <f t="shared" si="387"/>
        <v>244.38001769999997</v>
      </c>
      <c r="CC68" s="4326">
        <f t="shared" ref="CC68:CD68" si="413">SUM(CC69)</f>
        <v>244.38001769999997</v>
      </c>
      <c r="CD68" s="4326">
        <f t="shared" si="413"/>
        <v>0</v>
      </c>
      <c r="CE68" s="4340">
        <f t="shared" si="407"/>
        <v>144.096</v>
      </c>
      <c r="CF68" s="4340">
        <f t="shared" si="407"/>
        <v>144.096</v>
      </c>
      <c r="CG68" s="4340">
        <f t="shared" si="407"/>
        <v>0</v>
      </c>
      <c r="CH68" s="4340">
        <f t="shared" si="395"/>
        <v>-100.28401769999996</v>
      </c>
      <c r="CI68" s="4340">
        <f t="shared" si="395"/>
        <v>-100.28401769999996</v>
      </c>
      <c r="CJ68" s="4340">
        <f t="shared" si="395"/>
        <v>0</v>
      </c>
      <c r="CK68" s="2774"/>
      <c r="CL68" s="3575">
        <f t="shared" si="132"/>
        <v>244.38001769999997</v>
      </c>
      <c r="CM68" s="3575">
        <f t="shared" si="132"/>
        <v>244.38001769999997</v>
      </c>
      <c r="CN68" s="3575">
        <f t="shared" si="132"/>
        <v>0</v>
      </c>
    </row>
    <row r="69" spans="1:92" ht="18.75" customHeight="1" x14ac:dyDescent="0.3">
      <c r="A69" s="4339" t="s">
        <v>3885</v>
      </c>
      <c r="B69" s="4324">
        <f t="shared" ref="B69:B71" si="414">SUM(C69:D69)</f>
        <v>61.095004424999992</v>
      </c>
      <c r="C69" s="4324">
        <f t="shared" ref="C69" si="415">SUM(CC69/4)</f>
        <v>61.095004424999992</v>
      </c>
      <c r="D69" s="4324">
        <f t="shared" ref="D69" si="416">SUM(CD69/4)</f>
        <v>0</v>
      </c>
      <c r="E69" s="4344">
        <f t="shared" si="134"/>
        <v>41.616</v>
      </c>
      <c r="F69" s="4328">
        <v>41.616</v>
      </c>
      <c r="G69" s="4328"/>
      <c r="H69" s="4344">
        <f t="shared" si="135"/>
        <v>38.494999999999997</v>
      </c>
      <c r="I69" s="4328">
        <v>38.494999999999997</v>
      </c>
      <c r="J69" s="4328"/>
      <c r="K69" s="4344">
        <f t="shared" si="136"/>
        <v>32.643000000000001</v>
      </c>
      <c r="L69" s="4328">
        <v>32.643000000000001</v>
      </c>
      <c r="M69" s="4328"/>
      <c r="N69" s="4344">
        <f t="shared" si="344"/>
        <v>112.75399999999999</v>
      </c>
      <c r="O69" s="4344">
        <f t="shared" si="345"/>
        <v>112.75399999999999</v>
      </c>
      <c r="P69" s="4344">
        <f t="shared" si="345"/>
        <v>0</v>
      </c>
      <c r="Q69" s="4324">
        <f t="shared" si="398"/>
        <v>61.095004424999992</v>
      </c>
      <c r="R69" s="4324">
        <f t="shared" si="399"/>
        <v>61.095004424999992</v>
      </c>
      <c r="S69" s="4324">
        <f t="shared" ref="S69" si="417">SUM(CS69/4)</f>
        <v>0</v>
      </c>
      <c r="T69" s="4344">
        <f t="shared" si="177"/>
        <v>31.341999999999999</v>
      </c>
      <c r="U69" s="4328">
        <v>31.341999999999999</v>
      </c>
      <c r="V69" s="4328"/>
      <c r="W69" s="4344">
        <f t="shared" si="179"/>
        <v>0</v>
      </c>
      <c r="X69" s="4328"/>
      <c r="Y69" s="4328"/>
      <c r="Z69" s="4344">
        <f t="shared" si="181"/>
        <v>0</v>
      </c>
      <c r="AA69" s="4328"/>
      <c r="AB69" s="4328"/>
      <c r="AC69" s="4344">
        <f t="shared" si="350"/>
        <v>31.341999999999999</v>
      </c>
      <c r="AD69" s="4344">
        <f t="shared" si="351"/>
        <v>31.341999999999999</v>
      </c>
      <c r="AE69" s="4344">
        <f t="shared" si="351"/>
        <v>0</v>
      </c>
      <c r="AF69" s="4326">
        <f t="shared" si="401"/>
        <v>122.19000884999998</v>
      </c>
      <c r="AG69" s="4326">
        <f t="shared" si="402"/>
        <v>122.19000884999998</v>
      </c>
      <c r="AH69" s="4326">
        <f t="shared" si="402"/>
        <v>0</v>
      </c>
      <c r="AI69" s="4340">
        <f t="shared" si="354"/>
        <v>144.096</v>
      </c>
      <c r="AJ69" s="4340">
        <f t="shared" si="354"/>
        <v>144.096</v>
      </c>
      <c r="AK69" s="4340">
        <f t="shared" si="354"/>
        <v>0</v>
      </c>
      <c r="AL69" s="4340">
        <f t="shared" si="330"/>
        <v>21.90599115000002</v>
      </c>
      <c r="AM69" s="4340">
        <f t="shared" si="330"/>
        <v>21.90599115000002</v>
      </c>
      <c r="AN69" s="4340">
        <f t="shared" si="330"/>
        <v>0</v>
      </c>
      <c r="AO69" s="4324">
        <f t="shared" si="410"/>
        <v>61.095004424999992</v>
      </c>
      <c r="AP69" s="4324">
        <f t="shared" ref="AP69:AQ69" si="418">SUM(CC69-AG69)/2</f>
        <v>61.095004424999992</v>
      </c>
      <c r="AQ69" s="4324">
        <f t="shared" si="418"/>
        <v>0</v>
      </c>
      <c r="AR69" s="4344">
        <f t="shared" si="188"/>
        <v>0</v>
      </c>
      <c r="AS69" s="4328"/>
      <c r="AT69" s="4328"/>
      <c r="AU69" s="4344">
        <f t="shared" si="190"/>
        <v>0</v>
      </c>
      <c r="AV69" s="4328"/>
      <c r="AW69" s="4328"/>
      <c r="AX69" s="4344">
        <f t="shared" si="192"/>
        <v>0</v>
      </c>
      <c r="AY69" s="4328"/>
      <c r="AZ69" s="4328"/>
      <c r="BA69" s="4344">
        <f t="shared" si="359"/>
        <v>0</v>
      </c>
      <c r="BB69" s="4344">
        <f t="shared" si="360"/>
        <v>0</v>
      </c>
      <c r="BC69" s="4344">
        <f t="shared" si="360"/>
        <v>0</v>
      </c>
      <c r="BD69" s="4326">
        <f t="shared" si="382"/>
        <v>183.28501327499998</v>
      </c>
      <c r="BE69" s="4326">
        <f t="shared" si="383"/>
        <v>183.28501327499998</v>
      </c>
      <c r="BF69" s="4326">
        <f t="shared" si="383"/>
        <v>0</v>
      </c>
      <c r="BG69" s="4340">
        <f t="shared" si="405"/>
        <v>144.096</v>
      </c>
      <c r="BH69" s="4340">
        <f t="shared" si="405"/>
        <v>144.096</v>
      </c>
      <c r="BI69" s="4340">
        <f t="shared" si="405"/>
        <v>0</v>
      </c>
      <c r="BJ69" s="4340">
        <f t="shared" si="393"/>
        <v>-39.189013274999979</v>
      </c>
      <c r="BK69" s="4340">
        <f t="shared" si="393"/>
        <v>-39.189013274999979</v>
      </c>
      <c r="BL69" s="4340">
        <f t="shared" si="393"/>
        <v>0</v>
      </c>
      <c r="BM69" s="4324">
        <f t="shared" si="384"/>
        <v>61.095004424999992</v>
      </c>
      <c r="BN69" s="4324">
        <f t="shared" ref="BN69:BO69" si="419">SUM(AP69)</f>
        <v>61.095004424999992</v>
      </c>
      <c r="BO69" s="4324">
        <f t="shared" si="419"/>
        <v>0</v>
      </c>
      <c r="BP69" s="4344">
        <f t="shared" si="200"/>
        <v>0</v>
      </c>
      <c r="BQ69" s="4328"/>
      <c r="BR69" s="4328"/>
      <c r="BS69" s="4344">
        <f t="shared" si="202"/>
        <v>0</v>
      </c>
      <c r="BT69" s="4328"/>
      <c r="BU69" s="4328"/>
      <c r="BV69" s="4344">
        <f t="shared" si="204"/>
        <v>0</v>
      </c>
      <c r="BW69" s="4328"/>
      <c r="BX69" s="4328"/>
      <c r="BY69" s="4344">
        <f t="shared" si="369"/>
        <v>0</v>
      </c>
      <c r="BZ69" s="4344">
        <f t="shared" si="370"/>
        <v>0</v>
      </c>
      <c r="CA69" s="4344">
        <f t="shared" si="370"/>
        <v>0</v>
      </c>
      <c r="CB69" s="4326">
        <f t="shared" si="387"/>
        <v>244.38001769999997</v>
      </c>
      <c r="CC69" s="4326">
        <f>SUM('Тепловая энергия (3 подъем)'!AE10)</f>
        <v>244.38001769999997</v>
      </c>
      <c r="CD69" s="4326">
        <v>0</v>
      </c>
      <c r="CE69" s="4340">
        <f t="shared" si="407"/>
        <v>144.096</v>
      </c>
      <c r="CF69" s="4340">
        <f t="shared" si="407"/>
        <v>144.096</v>
      </c>
      <c r="CG69" s="4340">
        <f t="shared" si="407"/>
        <v>0</v>
      </c>
      <c r="CH69" s="4340">
        <f t="shared" si="395"/>
        <v>-100.28401769999996</v>
      </c>
      <c r="CI69" s="4340">
        <f t="shared" si="395"/>
        <v>-100.28401769999996</v>
      </c>
      <c r="CJ69" s="4340">
        <f t="shared" si="395"/>
        <v>0</v>
      </c>
      <c r="CK69" s="2774"/>
      <c r="CL69" s="3575">
        <f t="shared" si="132"/>
        <v>244.38001769999997</v>
      </c>
      <c r="CM69" s="3575">
        <f t="shared" si="132"/>
        <v>244.38001769999997</v>
      </c>
      <c r="CN69" s="3575">
        <f t="shared" si="132"/>
        <v>0</v>
      </c>
    </row>
    <row r="70" spans="1:92" ht="18.75" customHeight="1" x14ac:dyDescent="0.3">
      <c r="A70" s="4341" t="s">
        <v>3693</v>
      </c>
      <c r="B70" s="4312">
        <f t="shared" si="414"/>
        <v>3009.239</v>
      </c>
      <c r="C70" s="4312">
        <f t="shared" ref="C70:D70" si="420">SUM(C71:C88)+C93</f>
        <v>3009.239</v>
      </c>
      <c r="D70" s="4312">
        <f t="shared" si="420"/>
        <v>0</v>
      </c>
      <c r="E70" s="4332">
        <f t="shared" si="134"/>
        <v>1976.2880000000002</v>
      </c>
      <c r="F70" s="3026">
        <f>SUM(F71:F88)+F93</f>
        <v>1976.2880000000002</v>
      </c>
      <c r="G70" s="3026">
        <f t="shared" ref="G70" si="421">SUM(G71:G88)+G93</f>
        <v>0</v>
      </c>
      <c r="H70" s="4332">
        <f t="shared" si="135"/>
        <v>1592.6161300000001</v>
      </c>
      <c r="I70" s="3026">
        <f t="shared" ref="I70:J70" si="422">SUM(I71:I88)+I93</f>
        <v>1592.6161300000001</v>
      </c>
      <c r="J70" s="3026">
        <f t="shared" si="422"/>
        <v>0</v>
      </c>
      <c r="K70" s="4332">
        <f t="shared" si="136"/>
        <v>1587.1660000000002</v>
      </c>
      <c r="L70" s="3026">
        <f t="shared" ref="L70:M70" si="423">SUM(L71:L88)+L93</f>
        <v>1587.1660000000002</v>
      </c>
      <c r="M70" s="3026">
        <f t="shared" si="423"/>
        <v>0</v>
      </c>
      <c r="N70" s="4332">
        <f t="shared" si="344"/>
        <v>5156.0701300000001</v>
      </c>
      <c r="O70" s="4332">
        <f t="shared" si="345"/>
        <v>5156.0701300000001</v>
      </c>
      <c r="P70" s="4332">
        <f t="shared" si="345"/>
        <v>0</v>
      </c>
      <c r="Q70" s="4312">
        <f t="shared" si="398"/>
        <v>3009.239</v>
      </c>
      <c r="R70" s="4312">
        <f t="shared" ref="R70:S70" si="424">SUM(R71:R88)+R93</f>
        <v>3009.239</v>
      </c>
      <c r="S70" s="4312">
        <f t="shared" si="424"/>
        <v>0</v>
      </c>
      <c r="T70" s="4332">
        <f t="shared" si="177"/>
        <v>1524.989</v>
      </c>
      <c r="U70" s="3026">
        <f t="shared" ref="U70:V70" si="425">SUM(U71:U88)+U93</f>
        <v>1524.989</v>
      </c>
      <c r="V70" s="3026">
        <f t="shared" si="425"/>
        <v>0</v>
      </c>
      <c r="W70" s="4332">
        <f t="shared" si="179"/>
        <v>1619.7290000000005</v>
      </c>
      <c r="X70" s="3026">
        <f t="shared" ref="X70:Y70" si="426">SUM(X71:X88)+X93</f>
        <v>1619.7290000000005</v>
      </c>
      <c r="Y70" s="3026">
        <f t="shared" si="426"/>
        <v>0</v>
      </c>
      <c r="Z70" s="4332">
        <f t="shared" si="181"/>
        <v>1705.0129999999999</v>
      </c>
      <c r="AA70" s="3026">
        <f t="shared" ref="AA70:AB70" si="427">SUM(AA71:AA88)+AA93</f>
        <v>1705.0129999999999</v>
      </c>
      <c r="AB70" s="3026">
        <f t="shared" si="427"/>
        <v>0</v>
      </c>
      <c r="AC70" s="4332">
        <f t="shared" si="350"/>
        <v>4849.7310000000007</v>
      </c>
      <c r="AD70" s="4332">
        <f t="shared" si="351"/>
        <v>4849.7310000000007</v>
      </c>
      <c r="AE70" s="4332">
        <f t="shared" si="351"/>
        <v>0</v>
      </c>
      <c r="AF70" s="4313">
        <f t="shared" ref="AF70:AF103" si="428">SUM(AG70:AH70)</f>
        <v>6018.4780000000001</v>
      </c>
      <c r="AG70" s="4313">
        <f t="shared" ref="AG70:AG103" si="429">SUM(C70+R70)</f>
        <v>6018.4780000000001</v>
      </c>
      <c r="AH70" s="4313">
        <f t="shared" ref="AH70:AH103" si="430">SUM(D70+S70)</f>
        <v>0</v>
      </c>
      <c r="AI70" s="4333">
        <f t="shared" si="354"/>
        <v>10005.80113</v>
      </c>
      <c r="AJ70" s="4333">
        <f t="shared" si="354"/>
        <v>10005.80113</v>
      </c>
      <c r="AK70" s="4333">
        <f t="shared" si="354"/>
        <v>0</v>
      </c>
      <c r="AL70" s="4333">
        <f t="shared" si="330"/>
        <v>3987.3231299999998</v>
      </c>
      <c r="AM70" s="4333">
        <f t="shared" si="330"/>
        <v>3987.3231299999998</v>
      </c>
      <c r="AN70" s="4333">
        <f t="shared" si="330"/>
        <v>0</v>
      </c>
      <c r="AO70" s="4312">
        <f t="shared" ref="AO70" si="431">SUM(AP70:AQ70)</f>
        <v>3009.239</v>
      </c>
      <c r="AP70" s="4312">
        <f t="shared" ref="AP70:AQ70" si="432">SUM(AP71:AP88)+AP93</f>
        <v>3009.239</v>
      </c>
      <c r="AQ70" s="4312">
        <f t="shared" si="432"/>
        <v>0</v>
      </c>
      <c r="AR70" s="4332">
        <f t="shared" si="188"/>
        <v>1261.0840000000003</v>
      </c>
      <c r="AS70" s="3026">
        <f t="shared" ref="AS70:AT70" si="433">SUM(AS71:AS88)+AS93</f>
        <v>1261.0840000000003</v>
      </c>
      <c r="AT70" s="3026">
        <f t="shared" si="433"/>
        <v>0</v>
      </c>
      <c r="AU70" s="4332">
        <f t="shared" si="190"/>
        <v>0</v>
      </c>
      <c r="AV70" s="3026">
        <f t="shared" ref="AV70:AW70" si="434">SUM(AV71:AV88)+AV93</f>
        <v>0</v>
      </c>
      <c r="AW70" s="3026">
        <f t="shared" si="434"/>
        <v>0</v>
      </c>
      <c r="AX70" s="4332">
        <f t="shared" si="192"/>
        <v>0</v>
      </c>
      <c r="AY70" s="3026">
        <f t="shared" ref="AY70:AZ70" si="435">SUM(AY71:AY88)+AY93</f>
        <v>0</v>
      </c>
      <c r="AZ70" s="3026">
        <f t="shared" si="435"/>
        <v>0</v>
      </c>
      <c r="BA70" s="4332">
        <f t="shared" si="359"/>
        <v>1261.0840000000003</v>
      </c>
      <c r="BB70" s="4332">
        <f t="shared" si="360"/>
        <v>1261.0840000000003</v>
      </c>
      <c r="BC70" s="4332">
        <f t="shared" si="360"/>
        <v>0</v>
      </c>
      <c r="BD70" s="4313">
        <f t="shared" ref="BD70:BD97" si="436">SUM(BE70:BF70)</f>
        <v>9027.7170000000006</v>
      </c>
      <c r="BE70" s="4313">
        <f t="shared" ref="BE70:BE97" si="437">SUM(AG70+AP70)</f>
        <v>9027.7170000000006</v>
      </c>
      <c r="BF70" s="4313">
        <f t="shared" ref="BF70:BF103" si="438">SUM(AH70+AQ70)</f>
        <v>0</v>
      </c>
      <c r="BG70" s="4333">
        <f t="shared" si="405"/>
        <v>11266.885130000001</v>
      </c>
      <c r="BH70" s="4333">
        <f t="shared" si="405"/>
        <v>11266.885130000001</v>
      </c>
      <c r="BI70" s="4333">
        <f t="shared" si="405"/>
        <v>0</v>
      </c>
      <c r="BJ70" s="4333">
        <f t="shared" si="393"/>
        <v>2239.16813</v>
      </c>
      <c r="BK70" s="4333">
        <f t="shared" si="393"/>
        <v>2239.16813</v>
      </c>
      <c r="BL70" s="4333">
        <f t="shared" si="393"/>
        <v>0</v>
      </c>
      <c r="BM70" s="4312">
        <f t="shared" ref="BM70:BM87" si="439">SUM(BN70:BO70)</f>
        <v>3009.239</v>
      </c>
      <c r="BN70" s="4312">
        <f t="shared" ref="BN70:BO70" si="440">SUM(BN71:BN88)+BN93</f>
        <v>3009.239</v>
      </c>
      <c r="BO70" s="4312">
        <f t="shared" si="440"/>
        <v>0</v>
      </c>
      <c r="BP70" s="4332">
        <f t="shared" si="200"/>
        <v>0</v>
      </c>
      <c r="BQ70" s="3026">
        <f t="shared" ref="BQ70:BR70" si="441">SUM(BQ71:BQ88)+BQ93</f>
        <v>0</v>
      </c>
      <c r="BR70" s="3026">
        <f t="shared" si="441"/>
        <v>0</v>
      </c>
      <c r="BS70" s="4332">
        <f t="shared" si="202"/>
        <v>0</v>
      </c>
      <c r="BT70" s="3026">
        <f t="shared" ref="BT70:BU70" si="442">SUM(BT71:BT88)+BT93</f>
        <v>0</v>
      </c>
      <c r="BU70" s="3026">
        <f t="shared" si="442"/>
        <v>0</v>
      </c>
      <c r="BV70" s="4332">
        <f t="shared" si="204"/>
        <v>0</v>
      </c>
      <c r="BW70" s="3026">
        <f t="shared" ref="BW70:BX70" si="443">SUM(BW71:BW88)+BW93</f>
        <v>0</v>
      </c>
      <c r="BX70" s="3026">
        <f t="shared" si="443"/>
        <v>0</v>
      </c>
      <c r="BY70" s="4332">
        <f t="shared" si="369"/>
        <v>0</v>
      </c>
      <c r="BZ70" s="4332">
        <f t="shared" si="370"/>
        <v>0</v>
      </c>
      <c r="CA70" s="4332">
        <f t="shared" si="370"/>
        <v>0</v>
      </c>
      <c r="CB70" s="4313">
        <f>SUM(CC70:CD70)</f>
        <v>12036.956016740638</v>
      </c>
      <c r="CC70" s="4313">
        <f>SUM(вода!EF26)</f>
        <v>12036.956016740638</v>
      </c>
      <c r="CD70" s="4313">
        <v>0</v>
      </c>
      <c r="CE70" s="4333">
        <f t="shared" si="407"/>
        <v>11266.885130000001</v>
      </c>
      <c r="CF70" s="4333">
        <f t="shared" si="407"/>
        <v>11266.885130000001</v>
      </c>
      <c r="CG70" s="4333">
        <f t="shared" si="407"/>
        <v>0</v>
      </c>
      <c r="CH70" s="4333">
        <f t="shared" si="395"/>
        <v>-770.07088674063743</v>
      </c>
      <c r="CI70" s="4333">
        <f t="shared" si="395"/>
        <v>-770.07088674063743</v>
      </c>
      <c r="CJ70" s="4333">
        <f t="shared" si="395"/>
        <v>0</v>
      </c>
      <c r="CK70" s="2774"/>
      <c r="CL70" s="3575">
        <f t="shared" si="132"/>
        <v>12036.956</v>
      </c>
      <c r="CM70" s="3575">
        <f t="shared" si="132"/>
        <v>12036.956</v>
      </c>
      <c r="CN70" s="3575">
        <f t="shared" si="132"/>
        <v>0</v>
      </c>
    </row>
    <row r="71" spans="1:92" ht="18.75" customHeight="1" x14ac:dyDescent="0.3">
      <c r="A71" s="4342" t="s">
        <v>70</v>
      </c>
      <c r="B71" s="4317">
        <f t="shared" si="414"/>
        <v>1458.1232500000001</v>
      </c>
      <c r="C71" s="4317">
        <f t="shared" ref="C71:D71" si="444">SUM(CC71/4)</f>
        <v>1458.1232500000001</v>
      </c>
      <c r="D71" s="4317">
        <f t="shared" si="444"/>
        <v>0</v>
      </c>
      <c r="E71" s="4335">
        <f t="shared" si="134"/>
        <v>567.06899999999996</v>
      </c>
      <c r="F71" s="4336">
        <v>567.06899999999996</v>
      </c>
      <c r="G71" s="4336"/>
      <c r="H71" s="4335">
        <f t="shared" si="135"/>
        <v>394.34129000000001</v>
      </c>
      <c r="I71" s="4336">
        <v>394.34129000000001</v>
      </c>
      <c r="J71" s="4336"/>
      <c r="K71" s="4335">
        <f t="shared" si="136"/>
        <v>411.04700000000003</v>
      </c>
      <c r="L71" s="4336">
        <v>411.04700000000003</v>
      </c>
      <c r="M71" s="4336"/>
      <c r="N71" s="4335">
        <f t="shared" si="344"/>
        <v>1372.4572900000001</v>
      </c>
      <c r="O71" s="4335">
        <f t="shared" si="345"/>
        <v>1372.4572900000001</v>
      </c>
      <c r="P71" s="4335">
        <f t="shared" si="345"/>
        <v>0</v>
      </c>
      <c r="Q71" s="4317">
        <f t="shared" si="398"/>
        <v>1458.1232500000001</v>
      </c>
      <c r="R71" s="4317">
        <f t="shared" ref="R71:R87" si="445">SUM(C71)</f>
        <v>1458.1232500000001</v>
      </c>
      <c r="S71" s="4317">
        <f t="shared" ref="S71:S87" si="446">SUM(D71)</f>
        <v>0</v>
      </c>
      <c r="T71" s="4335">
        <f t="shared" si="177"/>
        <v>433.62799999999999</v>
      </c>
      <c r="U71" s="4336">
        <v>433.62799999999999</v>
      </c>
      <c r="V71" s="4336"/>
      <c r="W71" s="4335">
        <f t="shared" si="179"/>
        <v>506.30099999999999</v>
      </c>
      <c r="X71" s="4336">
        <v>506.30099999999999</v>
      </c>
      <c r="Y71" s="4336"/>
      <c r="Z71" s="4335">
        <f t="shared" si="181"/>
        <v>407.12200000000001</v>
      </c>
      <c r="AA71" s="4336">
        <v>407.12200000000001</v>
      </c>
      <c r="AB71" s="4336"/>
      <c r="AC71" s="4335">
        <f t="shared" si="350"/>
        <v>1347.0509999999999</v>
      </c>
      <c r="AD71" s="4335">
        <f t="shared" si="351"/>
        <v>1347.0509999999999</v>
      </c>
      <c r="AE71" s="4335">
        <f t="shared" si="351"/>
        <v>0</v>
      </c>
      <c r="AF71" s="4318">
        <f t="shared" si="428"/>
        <v>2916.2465000000002</v>
      </c>
      <c r="AG71" s="4318">
        <f t="shared" si="429"/>
        <v>2916.2465000000002</v>
      </c>
      <c r="AH71" s="4318">
        <f t="shared" si="430"/>
        <v>0</v>
      </c>
      <c r="AI71" s="4337">
        <f t="shared" si="354"/>
        <v>2719.5082899999998</v>
      </c>
      <c r="AJ71" s="4337">
        <f t="shared" si="354"/>
        <v>2719.5082899999998</v>
      </c>
      <c r="AK71" s="4337">
        <f t="shared" si="354"/>
        <v>0</v>
      </c>
      <c r="AL71" s="4337">
        <f t="shared" si="330"/>
        <v>-196.73821000000044</v>
      </c>
      <c r="AM71" s="4337">
        <f t="shared" si="330"/>
        <v>-196.73821000000044</v>
      </c>
      <c r="AN71" s="4337">
        <f t="shared" si="330"/>
        <v>0</v>
      </c>
      <c r="AO71" s="4317">
        <f t="shared" ref="AO71:AO87" si="447">SUM(AP71:AQ71)</f>
        <v>1458.1232500000001</v>
      </c>
      <c r="AP71" s="4317">
        <f t="shared" ref="AP71:AP87" si="448">SUM(CC71-AG71)/2</f>
        <v>1458.1232500000001</v>
      </c>
      <c r="AQ71" s="4317">
        <f t="shared" ref="AQ71:AQ87" si="449">SUM(CD71-AH71)/2</f>
        <v>0</v>
      </c>
      <c r="AR71" s="4335">
        <f t="shared" si="188"/>
        <v>506.98200000000003</v>
      </c>
      <c r="AS71" s="4336">
        <v>506.98200000000003</v>
      </c>
      <c r="AT71" s="4336"/>
      <c r="AU71" s="4335">
        <f t="shared" si="190"/>
        <v>0</v>
      </c>
      <c r="AV71" s="4336"/>
      <c r="AW71" s="4336"/>
      <c r="AX71" s="4335">
        <f t="shared" si="192"/>
        <v>0</v>
      </c>
      <c r="AY71" s="4336"/>
      <c r="AZ71" s="4336"/>
      <c r="BA71" s="4335">
        <f t="shared" si="359"/>
        <v>506.98200000000003</v>
      </c>
      <c r="BB71" s="4335">
        <f t="shared" si="360"/>
        <v>506.98200000000003</v>
      </c>
      <c r="BC71" s="4335">
        <f t="shared" si="360"/>
        <v>0</v>
      </c>
      <c r="BD71" s="4318">
        <f t="shared" si="436"/>
        <v>4374.3697499999998</v>
      </c>
      <c r="BE71" s="4318">
        <f t="shared" si="437"/>
        <v>4374.3697499999998</v>
      </c>
      <c r="BF71" s="4318">
        <f t="shared" si="438"/>
        <v>0</v>
      </c>
      <c r="BG71" s="4337">
        <f t="shared" si="405"/>
        <v>3226.4902899999997</v>
      </c>
      <c r="BH71" s="4337">
        <f t="shared" si="405"/>
        <v>3226.4902899999997</v>
      </c>
      <c r="BI71" s="4337">
        <f t="shared" si="405"/>
        <v>0</v>
      </c>
      <c r="BJ71" s="4337">
        <f t="shared" si="393"/>
        <v>-1147.8794600000001</v>
      </c>
      <c r="BK71" s="4337">
        <f t="shared" si="393"/>
        <v>-1147.8794600000001</v>
      </c>
      <c r="BL71" s="4337">
        <f t="shared" si="393"/>
        <v>0</v>
      </c>
      <c r="BM71" s="4317">
        <f t="shared" si="439"/>
        <v>1458.1232500000001</v>
      </c>
      <c r="BN71" s="4317">
        <f t="shared" ref="BN71:BO87" si="450">SUM(AP71)</f>
        <v>1458.1232500000001</v>
      </c>
      <c r="BO71" s="4317">
        <f t="shared" si="450"/>
        <v>0</v>
      </c>
      <c r="BP71" s="4335">
        <f t="shared" si="200"/>
        <v>0</v>
      </c>
      <c r="BQ71" s="4336"/>
      <c r="BR71" s="4336"/>
      <c r="BS71" s="4335">
        <f t="shared" si="202"/>
        <v>0</v>
      </c>
      <c r="BT71" s="4336"/>
      <c r="BU71" s="4336"/>
      <c r="BV71" s="4335">
        <f t="shared" si="204"/>
        <v>0</v>
      </c>
      <c r="BW71" s="4336"/>
      <c r="BX71" s="4336"/>
      <c r="BY71" s="4335">
        <f t="shared" si="369"/>
        <v>0</v>
      </c>
      <c r="BZ71" s="4335">
        <f t="shared" si="370"/>
        <v>0</v>
      </c>
      <c r="CA71" s="4335">
        <f t="shared" si="370"/>
        <v>0</v>
      </c>
      <c r="CB71" s="4318">
        <f t="shared" si="387"/>
        <v>5832.4930000000004</v>
      </c>
      <c r="CC71" s="4318">
        <v>5832.4930000000004</v>
      </c>
      <c r="CD71" s="4318">
        <v>0</v>
      </c>
      <c r="CE71" s="4337">
        <f t="shared" si="407"/>
        <v>3226.4902899999997</v>
      </c>
      <c r="CF71" s="4337">
        <f t="shared" si="407"/>
        <v>3226.4902899999997</v>
      </c>
      <c r="CG71" s="4337">
        <f t="shared" si="407"/>
        <v>0</v>
      </c>
      <c r="CH71" s="4337">
        <f t="shared" si="395"/>
        <v>-2606.0027100000007</v>
      </c>
      <c r="CI71" s="4337">
        <f t="shared" si="395"/>
        <v>-2606.0027100000007</v>
      </c>
      <c r="CJ71" s="4337">
        <f t="shared" si="395"/>
        <v>0</v>
      </c>
      <c r="CK71" s="2774"/>
      <c r="CL71" s="3575">
        <f t="shared" si="132"/>
        <v>5832.4930000000004</v>
      </c>
      <c r="CM71" s="3575">
        <f t="shared" si="132"/>
        <v>5832.4930000000004</v>
      </c>
      <c r="CN71" s="3575">
        <f t="shared" si="132"/>
        <v>0</v>
      </c>
    </row>
    <row r="72" spans="1:92" ht="18.75" customHeight="1" x14ac:dyDescent="0.3">
      <c r="A72" s="4342" t="s">
        <v>113</v>
      </c>
      <c r="B72" s="4317">
        <f t="shared" ref="B72:B87" si="451">SUM(C72:D72)</f>
        <v>438.32875000000001</v>
      </c>
      <c r="C72" s="4317">
        <f t="shared" ref="C72:D87" si="452">SUM(CC72/4)</f>
        <v>438.32875000000001</v>
      </c>
      <c r="D72" s="4317">
        <f t="shared" si="452"/>
        <v>0</v>
      </c>
      <c r="E72" s="4335">
        <f t="shared" si="134"/>
        <v>167.11399999999998</v>
      </c>
      <c r="F72" s="4336">
        <f>1.105+166.009</f>
        <v>167.11399999999998</v>
      </c>
      <c r="G72" s="4336"/>
      <c r="H72" s="4335">
        <f t="shared" si="135"/>
        <v>115.32284</v>
      </c>
      <c r="I72" s="4336">
        <f>0.76374+114.5591</f>
        <v>115.32284</v>
      </c>
      <c r="J72" s="4336"/>
      <c r="K72" s="4335">
        <f t="shared" si="136"/>
        <v>120.923</v>
      </c>
      <c r="L72" s="4336">
        <f>0.801+120.122</f>
        <v>120.923</v>
      </c>
      <c r="M72" s="4336"/>
      <c r="N72" s="4335">
        <f t="shared" si="344"/>
        <v>403.35983999999996</v>
      </c>
      <c r="O72" s="4335">
        <f t="shared" si="345"/>
        <v>403.35983999999996</v>
      </c>
      <c r="P72" s="4335">
        <f t="shared" si="345"/>
        <v>0</v>
      </c>
      <c r="Q72" s="4317">
        <f t="shared" si="398"/>
        <v>438.32875000000001</v>
      </c>
      <c r="R72" s="4317">
        <f t="shared" si="445"/>
        <v>438.32875000000001</v>
      </c>
      <c r="S72" s="4317">
        <f t="shared" si="446"/>
        <v>0</v>
      </c>
      <c r="T72" s="4335">
        <f t="shared" si="177"/>
        <v>129.10899999999998</v>
      </c>
      <c r="U72" s="4336">
        <f>0.855+128.254</f>
        <v>129.10899999999998</v>
      </c>
      <c r="V72" s="4336"/>
      <c r="W72" s="4335">
        <f t="shared" si="179"/>
        <v>151.30000000000001</v>
      </c>
      <c r="X72" s="4336">
        <f>1.002+150.298</f>
        <v>151.30000000000001</v>
      </c>
      <c r="Y72" s="4336"/>
      <c r="Z72" s="4335">
        <f t="shared" si="181"/>
        <v>135.50399999999999</v>
      </c>
      <c r="AA72" s="4336">
        <f>0.899+134.605</f>
        <v>135.50399999999999</v>
      </c>
      <c r="AB72" s="4336"/>
      <c r="AC72" s="4335">
        <f t="shared" si="350"/>
        <v>415.91300000000001</v>
      </c>
      <c r="AD72" s="4335">
        <f t="shared" si="351"/>
        <v>415.91300000000001</v>
      </c>
      <c r="AE72" s="4335">
        <f t="shared" si="351"/>
        <v>0</v>
      </c>
      <c r="AF72" s="4318">
        <f t="shared" si="428"/>
        <v>876.65750000000003</v>
      </c>
      <c r="AG72" s="4318">
        <f t="shared" si="429"/>
        <v>876.65750000000003</v>
      </c>
      <c r="AH72" s="4318">
        <f t="shared" si="430"/>
        <v>0</v>
      </c>
      <c r="AI72" s="4337">
        <f t="shared" si="354"/>
        <v>819.27283999999997</v>
      </c>
      <c r="AJ72" s="4337">
        <f t="shared" si="354"/>
        <v>819.27283999999997</v>
      </c>
      <c r="AK72" s="4337">
        <f t="shared" si="354"/>
        <v>0</v>
      </c>
      <c r="AL72" s="4337">
        <f t="shared" si="330"/>
        <v>-57.384660000000054</v>
      </c>
      <c r="AM72" s="4337">
        <f t="shared" si="330"/>
        <v>-57.384660000000054</v>
      </c>
      <c r="AN72" s="4337">
        <f t="shared" si="330"/>
        <v>0</v>
      </c>
      <c r="AO72" s="4317">
        <f t="shared" si="447"/>
        <v>438.32875000000001</v>
      </c>
      <c r="AP72" s="4317">
        <f t="shared" si="448"/>
        <v>438.32875000000001</v>
      </c>
      <c r="AQ72" s="4317">
        <f t="shared" si="449"/>
        <v>0</v>
      </c>
      <c r="AR72" s="4335">
        <f t="shared" si="188"/>
        <v>148.33099999999999</v>
      </c>
      <c r="AS72" s="4336">
        <v>148.33099999999999</v>
      </c>
      <c r="AT72" s="4336"/>
      <c r="AU72" s="4335">
        <f t="shared" si="190"/>
        <v>0</v>
      </c>
      <c r="AV72" s="4336"/>
      <c r="AW72" s="4336"/>
      <c r="AX72" s="4335">
        <f t="shared" si="192"/>
        <v>0</v>
      </c>
      <c r="AY72" s="4336"/>
      <c r="AZ72" s="4336"/>
      <c r="BA72" s="4335">
        <f t="shared" si="359"/>
        <v>148.33099999999999</v>
      </c>
      <c r="BB72" s="4335">
        <f t="shared" si="360"/>
        <v>148.33099999999999</v>
      </c>
      <c r="BC72" s="4335">
        <f t="shared" si="360"/>
        <v>0</v>
      </c>
      <c r="BD72" s="4318">
        <f t="shared" si="436"/>
        <v>1314.9862499999999</v>
      </c>
      <c r="BE72" s="4318">
        <f t="shared" si="437"/>
        <v>1314.9862499999999</v>
      </c>
      <c r="BF72" s="4318">
        <f t="shared" si="438"/>
        <v>0</v>
      </c>
      <c r="BG72" s="4337">
        <f t="shared" si="405"/>
        <v>967.60383999999999</v>
      </c>
      <c r="BH72" s="4337">
        <f t="shared" si="405"/>
        <v>967.60383999999999</v>
      </c>
      <c r="BI72" s="4337">
        <f t="shared" si="405"/>
        <v>0</v>
      </c>
      <c r="BJ72" s="4337">
        <f t="shared" si="393"/>
        <v>-347.38240999999994</v>
      </c>
      <c r="BK72" s="4337">
        <f t="shared" si="393"/>
        <v>-347.38240999999994</v>
      </c>
      <c r="BL72" s="4337">
        <f t="shared" si="393"/>
        <v>0</v>
      </c>
      <c r="BM72" s="4317">
        <f t="shared" si="439"/>
        <v>438.32875000000001</v>
      </c>
      <c r="BN72" s="4317">
        <f t="shared" si="450"/>
        <v>438.32875000000001</v>
      </c>
      <c r="BO72" s="4317">
        <f t="shared" si="450"/>
        <v>0</v>
      </c>
      <c r="BP72" s="4335">
        <f t="shared" si="200"/>
        <v>0</v>
      </c>
      <c r="BQ72" s="4336"/>
      <c r="BR72" s="4336"/>
      <c r="BS72" s="4335">
        <f t="shared" si="202"/>
        <v>0</v>
      </c>
      <c r="BT72" s="4336"/>
      <c r="BU72" s="4336"/>
      <c r="BV72" s="4335">
        <f t="shared" si="204"/>
        <v>0</v>
      </c>
      <c r="BW72" s="4336"/>
      <c r="BX72" s="4336"/>
      <c r="BY72" s="4335">
        <f t="shared" si="369"/>
        <v>0</v>
      </c>
      <c r="BZ72" s="4335">
        <f t="shared" si="370"/>
        <v>0</v>
      </c>
      <c r="CA72" s="4335">
        <f t="shared" si="370"/>
        <v>0</v>
      </c>
      <c r="CB72" s="4318">
        <f t="shared" si="387"/>
        <v>1753.3150000000001</v>
      </c>
      <c r="CC72" s="4318">
        <v>1753.3150000000001</v>
      </c>
      <c r="CD72" s="4318">
        <v>0</v>
      </c>
      <c r="CE72" s="4337">
        <f t="shared" si="407"/>
        <v>967.60383999999999</v>
      </c>
      <c r="CF72" s="4337">
        <f t="shared" si="407"/>
        <v>967.60383999999999</v>
      </c>
      <c r="CG72" s="4337">
        <f t="shared" si="407"/>
        <v>0</v>
      </c>
      <c r="CH72" s="4337">
        <f t="shared" si="395"/>
        <v>-785.71116000000006</v>
      </c>
      <c r="CI72" s="4337">
        <f t="shared" si="395"/>
        <v>-785.71116000000006</v>
      </c>
      <c r="CJ72" s="4337">
        <f t="shared" si="395"/>
        <v>0</v>
      </c>
      <c r="CK72" s="2774"/>
      <c r="CL72" s="3575">
        <f t="shared" si="132"/>
        <v>1753.3150000000001</v>
      </c>
      <c r="CM72" s="3575">
        <f t="shared" si="132"/>
        <v>1753.3150000000001</v>
      </c>
      <c r="CN72" s="3575">
        <f t="shared" si="132"/>
        <v>0</v>
      </c>
    </row>
    <row r="73" spans="1:92" ht="18.75" customHeight="1" x14ac:dyDescent="0.3">
      <c r="A73" s="4342" t="s">
        <v>52</v>
      </c>
      <c r="B73" s="4317">
        <f t="shared" si="451"/>
        <v>57.43</v>
      </c>
      <c r="C73" s="4317">
        <f t="shared" si="452"/>
        <v>57.43</v>
      </c>
      <c r="D73" s="4317">
        <f t="shared" si="452"/>
        <v>0</v>
      </c>
      <c r="E73" s="4335">
        <f t="shared" si="134"/>
        <v>30.74</v>
      </c>
      <c r="F73" s="4336">
        <v>30.74</v>
      </c>
      <c r="G73" s="4336"/>
      <c r="H73" s="4335">
        <f t="shared" si="135"/>
        <v>30.722000000000001</v>
      </c>
      <c r="I73" s="4336">
        <v>30.722000000000001</v>
      </c>
      <c r="J73" s="4336"/>
      <c r="K73" s="4335">
        <f t="shared" si="136"/>
        <v>30.532</v>
      </c>
      <c r="L73" s="4336">
        <v>30.532</v>
      </c>
      <c r="M73" s="4336"/>
      <c r="N73" s="4335">
        <f t="shared" si="344"/>
        <v>91.994</v>
      </c>
      <c r="O73" s="4335">
        <f t="shared" si="345"/>
        <v>91.994</v>
      </c>
      <c r="P73" s="4335">
        <f t="shared" si="345"/>
        <v>0</v>
      </c>
      <c r="Q73" s="4317">
        <f t="shared" si="398"/>
        <v>57.43</v>
      </c>
      <c r="R73" s="4317">
        <f t="shared" si="445"/>
        <v>57.43</v>
      </c>
      <c r="S73" s="4317">
        <f t="shared" si="446"/>
        <v>0</v>
      </c>
      <c r="T73" s="4335">
        <f t="shared" si="177"/>
        <v>30.649000000000001</v>
      </c>
      <c r="U73" s="4336">
        <v>30.649000000000001</v>
      </c>
      <c r="V73" s="4336"/>
      <c r="W73" s="4335">
        <f t="shared" si="179"/>
        <v>38.848999999999997</v>
      </c>
      <c r="X73" s="4336">
        <v>38.848999999999997</v>
      </c>
      <c r="Y73" s="4336"/>
      <c r="Z73" s="4335">
        <f t="shared" si="181"/>
        <v>34.588000000000001</v>
      </c>
      <c r="AA73" s="4336">
        <v>34.588000000000001</v>
      </c>
      <c r="AB73" s="4336"/>
      <c r="AC73" s="4335">
        <f t="shared" si="350"/>
        <v>104.08599999999998</v>
      </c>
      <c r="AD73" s="4335">
        <f t="shared" si="351"/>
        <v>104.08599999999998</v>
      </c>
      <c r="AE73" s="4335">
        <f t="shared" si="351"/>
        <v>0</v>
      </c>
      <c r="AF73" s="4318">
        <f t="shared" si="428"/>
        <v>114.86</v>
      </c>
      <c r="AG73" s="4318">
        <f t="shared" si="429"/>
        <v>114.86</v>
      </c>
      <c r="AH73" s="4318">
        <f t="shared" si="430"/>
        <v>0</v>
      </c>
      <c r="AI73" s="4337">
        <f t="shared" si="354"/>
        <v>196.07999999999998</v>
      </c>
      <c r="AJ73" s="4337">
        <f t="shared" si="354"/>
        <v>196.07999999999998</v>
      </c>
      <c r="AK73" s="4337">
        <f t="shared" si="354"/>
        <v>0</v>
      </c>
      <c r="AL73" s="4337">
        <f t="shared" si="330"/>
        <v>81.219999999999985</v>
      </c>
      <c r="AM73" s="4337">
        <f t="shared" si="330"/>
        <v>81.219999999999985</v>
      </c>
      <c r="AN73" s="4337">
        <f t="shared" si="330"/>
        <v>0</v>
      </c>
      <c r="AO73" s="4317">
        <f t="shared" si="447"/>
        <v>57.43</v>
      </c>
      <c r="AP73" s="4317">
        <f t="shared" si="448"/>
        <v>57.43</v>
      </c>
      <c r="AQ73" s="4317">
        <f t="shared" si="449"/>
        <v>0</v>
      </c>
      <c r="AR73" s="4335">
        <f t="shared" si="188"/>
        <v>34.156999999999996</v>
      </c>
      <c r="AS73" s="4336">
        <v>34.156999999999996</v>
      </c>
      <c r="AT73" s="4336"/>
      <c r="AU73" s="4335">
        <f t="shared" si="190"/>
        <v>0</v>
      </c>
      <c r="AV73" s="4336"/>
      <c r="AW73" s="4336"/>
      <c r="AX73" s="4335">
        <f t="shared" si="192"/>
        <v>0</v>
      </c>
      <c r="AY73" s="4336"/>
      <c r="AZ73" s="4336"/>
      <c r="BA73" s="4335">
        <f t="shared" si="359"/>
        <v>34.156999999999996</v>
      </c>
      <c r="BB73" s="4335">
        <f t="shared" si="360"/>
        <v>34.156999999999996</v>
      </c>
      <c r="BC73" s="4335">
        <f t="shared" si="360"/>
        <v>0</v>
      </c>
      <c r="BD73" s="4318">
        <f t="shared" si="436"/>
        <v>172.29</v>
      </c>
      <c r="BE73" s="4318">
        <f t="shared" si="437"/>
        <v>172.29</v>
      </c>
      <c r="BF73" s="4318">
        <f t="shared" si="438"/>
        <v>0</v>
      </c>
      <c r="BG73" s="4337">
        <f t="shared" si="405"/>
        <v>230.23699999999997</v>
      </c>
      <c r="BH73" s="4337">
        <f t="shared" si="405"/>
        <v>230.23699999999997</v>
      </c>
      <c r="BI73" s="4337">
        <f t="shared" si="405"/>
        <v>0</v>
      </c>
      <c r="BJ73" s="4337">
        <f t="shared" si="393"/>
        <v>57.946999999999974</v>
      </c>
      <c r="BK73" s="4337">
        <f t="shared" si="393"/>
        <v>57.946999999999974</v>
      </c>
      <c r="BL73" s="4337">
        <f t="shared" si="393"/>
        <v>0</v>
      </c>
      <c r="BM73" s="4317">
        <f t="shared" si="439"/>
        <v>57.43</v>
      </c>
      <c r="BN73" s="4317">
        <f t="shared" si="450"/>
        <v>57.43</v>
      </c>
      <c r="BO73" s="4317">
        <f t="shared" si="450"/>
        <v>0</v>
      </c>
      <c r="BP73" s="4335">
        <f t="shared" si="200"/>
        <v>0</v>
      </c>
      <c r="BQ73" s="4336"/>
      <c r="BR73" s="4336"/>
      <c r="BS73" s="4335">
        <f t="shared" si="202"/>
        <v>0</v>
      </c>
      <c r="BT73" s="4336"/>
      <c r="BU73" s="4336"/>
      <c r="BV73" s="4335">
        <f t="shared" si="204"/>
        <v>0</v>
      </c>
      <c r="BW73" s="4336"/>
      <c r="BX73" s="4336"/>
      <c r="BY73" s="4335">
        <f t="shared" si="369"/>
        <v>0</v>
      </c>
      <c r="BZ73" s="4335">
        <f t="shared" si="370"/>
        <v>0</v>
      </c>
      <c r="CA73" s="4335">
        <f t="shared" si="370"/>
        <v>0</v>
      </c>
      <c r="CB73" s="4318">
        <f t="shared" si="387"/>
        <v>229.72</v>
      </c>
      <c r="CC73" s="4318">
        <v>229.72</v>
      </c>
      <c r="CD73" s="4318">
        <v>0</v>
      </c>
      <c r="CE73" s="4337">
        <f t="shared" si="407"/>
        <v>230.23699999999997</v>
      </c>
      <c r="CF73" s="4337">
        <f t="shared" si="407"/>
        <v>230.23699999999997</v>
      </c>
      <c r="CG73" s="4337">
        <f t="shared" si="407"/>
        <v>0</v>
      </c>
      <c r="CH73" s="4337">
        <f t="shared" si="395"/>
        <v>0.51699999999996749</v>
      </c>
      <c r="CI73" s="4337">
        <f t="shared" si="395"/>
        <v>0.51699999999996749</v>
      </c>
      <c r="CJ73" s="4337">
        <f t="shared" si="395"/>
        <v>0</v>
      </c>
      <c r="CK73" s="2774"/>
      <c r="CL73" s="3575">
        <f t="shared" si="132"/>
        <v>229.72</v>
      </c>
      <c r="CM73" s="3575">
        <f t="shared" si="132"/>
        <v>229.72</v>
      </c>
      <c r="CN73" s="3575">
        <f t="shared" si="132"/>
        <v>0</v>
      </c>
    </row>
    <row r="74" spans="1:92" ht="18.75" customHeight="1" x14ac:dyDescent="0.3">
      <c r="A74" s="4342" t="s">
        <v>3695</v>
      </c>
      <c r="B74" s="4317">
        <f t="shared" si="451"/>
        <v>3.4024999999999999</v>
      </c>
      <c r="C74" s="4317">
        <f t="shared" si="452"/>
        <v>3.4024999999999999</v>
      </c>
      <c r="D74" s="4317">
        <f t="shared" si="452"/>
        <v>0</v>
      </c>
      <c r="E74" s="4335">
        <f t="shared" si="134"/>
        <v>1.07</v>
      </c>
      <c r="F74" s="4336">
        <v>1.07</v>
      </c>
      <c r="G74" s="4336"/>
      <c r="H74" s="4335">
        <f t="shared" si="135"/>
        <v>1.07</v>
      </c>
      <c r="I74" s="4336">
        <v>1.07</v>
      </c>
      <c r="J74" s="4336"/>
      <c r="K74" s="4335">
        <f t="shared" si="136"/>
        <v>1.07</v>
      </c>
      <c r="L74" s="4336">
        <v>1.07</v>
      </c>
      <c r="M74" s="4336"/>
      <c r="N74" s="4335">
        <f t="shared" si="344"/>
        <v>3.21</v>
      </c>
      <c r="O74" s="4335">
        <f t="shared" si="345"/>
        <v>3.21</v>
      </c>
      <c r="P74" s="4335">
        <f t="shared" si="345"/>
        <v>0</v>
      </c>
      <c r="Q74" s="4317">
        <f t="shared" si="398"/>
        <v>3.4024999999999999</v>
      </c>
      <c r="R74" s="4317">
        <f t="shared" si="445"/>
        <v>3.4024999999999999</v>
      </c>
      <c r="S74" s="4317">
        <f t="shared" si="446"/>
        <v>0</v>
      </c>
      <c r="T74" s="4335">
        <f t="shared" si="177"/>
        <v>1.07</v>
      </c>
      <c r="U74" s="4336">
        <v>1.07</v>
      </c>
      <c r="V74" s="4336"/>
      <c r="W74" s="4335">
        <f t="shared" si="179"/>
        <v>1.07</v>
      </c>
      <c r="X74" s="4336">
        <v>1.07</v>
      </c>
      <c r="Y74" s="4336"/>
      <c r="Z74" s="4335">
        <f t="shared" si="181"/>
        <v>1.07</v>
      </c>
      <c r="AA74" s="4336">
        <v>1.07</v>
      </c>
      <c r="AB74" s="4336"/>
      <c r="AC74" s="4335">
        <f t="shared" si="350"/>
        <v>3.21</v>
      </c>
      <c r="AD74" s="4335">
        <f t="shared" si="351"/>
        <v>3.21</v>
      </c>
      <c r="AE74" s="4335">
        <f t="shared" si="351"/>
        <v>0</v>
      </c>
      <c r="AF74" s="4318">
        <f t="shared" si="428"/>
        <v>6.8049999999999997</v>
      </c>
      <c r="AG74" s="4318">
        <f t="shared" si="429"/>
        <v>6.8049999999999997</v>
      </c>
      <c r="AH74" s="4318">
        <f t="shared" si="430"/>
        <v>0</v>
      </c>
      <c r="AI74" s="4337">
        <f t="shared" si="354"/>
        <v>6.42</v>
      </c>
      <c r="AJ74" s="4337">
        <f t="shared" si="354"/>
        <v>6.42</v>
      </c>
      <c r="AK74" s="4337">
        <f t="shared" si="354"/>
        <v>0</v>
      </c>
      <c r="AL74" s="4337">
        <f t="shared" si="330"/>
        <v>-0.38499999999999979</v>
      </c>
      <c r="AM74" s="4337">
        <f t="shared" si="330"/>
        <v>-0.38499999999999979</v>
      </c>
      <c r="AN74" s="4337">
        <f t="shared" si="330"/>
        <v>0</v>
      </c>
      <c r="AO74" s="4317">
        <f t="shared" si="447"/>
        <v>3.4024999999999999</v>
      </c>
      <c r="AP74" s="4317">
        <f t="shared" si="448"/>
        <v>3.4024999999999999</v>
      </c>
      <c r="AQ74" s="4317">
        <f t="shared" si="449"/>
        <v>0</v>
      </c>
      <c r="AR74" s="4335">
        <f t="shared" si="188"/>
        <v>1.07</v>
      </c>
      <c r="AS74" s="4336">
        <v>1.07</v>
      </c>
      <c r="AT74" s="4336"/>
      <c r="AU74" s="4335">
        <f t="shared" si="190"/>
        <v>0</v>
      </c>
      <c r="AV74" s="4336"/>
      <c r="AW74" s="4336"/>
      <c r="AX74" s="4335">
        <f t="shared" si="192"/>
        <v>0</v>
      </c>
      <c r="AY74" s="4336"/>
      <c r="AZ74" s="4336"/>
      <c r="BA74" s="4335">
        <f t="shared" si="359"/>
        <v>1.07</v>
      </c>
      <c r="BB74" s="4335">
        <f t="shared" si="360"/>
        <v>1.07</v>
      </c>
      <c r="BC74" s="4335">
        <f t="shared" si="360"/>
        <v>0</v>
      </c>
      <c r="BD74" s="4318">
        <f t="shared" si="436"/>
        <v>10.2075</v>
      </c>
      <c r="BE74" s="4318">
        <f t="shared" si="437"/>
        <v>10.2075</v>
      </c>
      <c r="BF74" s="4318">
        <f t="shared" si="438"/>
        <v>0</v>
      </c>
      <c r="BG74" s="4337">
        <f t="shared" si="405"/>
        <v>7.49</v>
      </c>
      <c r="BH74" s="4337">
        <f t="shared" si="405"/>
        <v>7.49</v>
      </c>
      <c r="BI74" s="4337">
        <f t="shared" si="405"/>
        <v>0</v>
      </c>
      <c r="BJ74" s="4337">
        <f t="shared" si="393"/>
        <v>-2.7174999999999994</v>
      </c>
      <c r="BK74" s="4337">
        <f t="shared" si="393"/>
        <v>-2.7174999999999994</v>
      </c>
      <c r="BL74" s="4337">
        <f t="shared" si="393"/>
        <v>0</v>
      </c>
      <c r="BM74" s="4317">
        <f t="shared" si="439"/>
        <v>3.4024999999999999</v>
      </c>
      <c r="BN74" s="4317">
        <f t="shared" si="450"/>
        <v>3.4024999999999999</v>
      </c>
      <c r="BO74" s="4317">
        <f t="shared" si="450"/>
        <v>0</v>
      </c>
      <c r="BP74" s="4335">
        <f t="shared" si="200"/>
        <v>0</v>
      </c>
      <c r="BQ74" s="4336"/>
      <c r="BR74" s="4336"/>
      <c r="BS74" s="4335">
        <f t="shared" si="202"/>
        <v>0</v>
      </c>
      <c r="BT74" s="4336"/>
      <c r="BU74" s="4336"/>
      <c r="BV74" s="4335">
        <f t="shared" si="204"/>
        <v>0</v>
      </c>
      <c r="BW74" s="4336"/>
      <c r="BX74" s="4336"/>
      <c r="BY74" s="4335">
        <f t="shared" si="369"/>
        <v>0</v>
      </c>
      <c r="BZ74" s="4335">
        <f t="shared" si="370"/>
        <v>0</v>
      </c>
      <c r="CA74" s="4335">
        <f t="shared" si="370"/>
        <v>0</v>
      </c>
      <c r="CB74" s="4318">
        <f t="shared" si="387"/>
        <v>13.61</v>
      </c>
      <c r="CC74" s="4318">
        <v>13.61</v>
      </c>
      <c r="CD74" s="4318">
        <v>0</v>
      </c>
      <c r="CE74" s="4337">
        <f t="shared" si="407"/>
        <v>7.49</v>
      </c>
      <c r="CF74" s="4337">
        <f t="shared" si="407"/>
        <v>7.49</v>
      </c>
      <c r="CG74" s="4337">
        <f t="shared" si="407"/>
        <v>0</v>
      </c>
      <c r="CH74" s="4337">
        <f t="shared" si="395"/>
        <v>-6.1199999999999992</v>
      </c>
      <c r="CI74" s="4337">
        <f t="shared" si="395"/>
        <v>-6.1199999999999992</v>
      </c>
      <c r="CJ74" s="4337">
        <f t="shared" si="395"/>
        <v>0</v>
      </c>
      <c r="CK74" s="2774"/>
      <c r="CL74" s="3575">
        <f t="shared" si="132"/>
        <v>13.61</v>
      </c>
      <c r="CM74" s="3575">
        <f t="shared" si="132"/>
        <v>13.61</v>
      </c>
      <c r="CN74" s="3575">
        <f t="shared" si="132"/>
        <v>0</v>
      </c>
    </row>
    <row r="75" spans="1:92" ht="18.75" customHeight="1" x14ac:dyDescent="0.3">
      <c r="A75" s="4342" t="s">
        <v>588</v>
      </c>
      <c r="B75" s="4317">
        <f t="shared" si="451"/>
        <v>136</v>
      </c>
      <c r="C75" s="4317">
        <f t="shared" si="452"/>
        <v>136</v>
      </c>
      <c r="D75" s="4317">
        <f t="shared" si="452"/>
        <v>0</v>
      </c>
      <c r="E75" s="4335">
        <f t="shared" si="134"/>
        <v>30.446000000000002</v>
      </c>
      <c r="F75" s="4336">
        <f>27.446+3</f>
        <v>30.446000000000002</v>
      </c>
      <c r="G75" s="4336"/>
      <c r="H75" s="4335">
        <f t="shared" si="135"/>
        <v>40.401000000000003</v>
      </c>
      <c r="I75" s="4336">
        <v>40.401000000000003</v>
      </c>
      <c r="J75" s="4336"/>
      <c r="K75" s="4335">
        <f t="shared" si="136"/>
        <v>33.523000000000003</v>
      </c>
      <c r="L75" s="4336">
        <v>33.523000000000003</v>
      </c>
      <c r="M75" s="4336"/>
      <c r="N75" s="4335">
        <f t="shared" si="344"/>
        <v>104.37</v>
      </c>
      <c r="O75" s="4335">
        <f t="shared" si="345"/>
        <v>104.37</v>
      </c>
      <c r="P75" s="4335">
        <f t="shared" si="345"/>
        <v>0</v>
      </c>
      <c r="Q75" s="4317">
        <f t="shared" si="398"/>
        <v>136</v>
      </c>
      <c r="R75" s="4317">
        <f t="shared" si="445"/>
        <v>136</v>
      </c>
      <c r="S75" s="4317">
        <f t="shared" si="446"/>
        <v>0</v>
      </c>
      <c r="T75" s="4335">
        <f t="shared" si="177"/>
        <v>22.49</v>
      </c>
      <c r="U75" s="4336">
        <v>22.49</v>
      </c>
      <c r="V75" s="4336"/>
      <c r="W75" s="4335">
        <f t="shared" si="179"/>
        <v>255.97</v>
      </c>
      <c r="X75" s="4336">
        <f>252.1+0.87+3</f>
        <v>255.97</v>
      </c>
      <c r="Y75" s="4336"/>
      <c r="Z75" s="4335">
        <f t="shared" si="181"/>
        <v>36.583999999999996</v>
      </c>
      <c r="AA75" s="4336">
        <f>3.004+33.58</f>
        <v>36.583999999999996</v>
      </c>
      <c r="AB75" s="4336"/>
      <c r="AC75" s="4335">
        <f t="shared" si="350"/>
        <v>315.04399999999998</v>
      </c>
      <c r="AD75" s="4335">
        <f t="shared" si="351"/>
        <v>315.04399999999998</v>
      </c>
      <c r="AE75" s="4335">
        <f t="shared" si="351"/>
        <v>0</v>
      </c>
      <c r="AF75" s="4318">
        <f t="shared" si="428"/>
        <v>272</v>
      </c>
      <c r="AG75" s="4318">
        <f t="shared" si="429"/>
        <v>272</v>
      </c>
      <c r="AH75" s="4318">
        <f t="shared" si="430"/>
        <v>0</v>
      </c>
      <c r="AI75" s="4337">
        <f t="shared" si="354"/>
        <v>419.41399999999999</v>
      </c>
      <c r="AJ75" s="4337">
        <f t="shared" si="354"/>
        <v>419.41399999999999</v>
      </c>
      <c r="AK75" s="4337">
        <f t="shared" si="354"/>
        <v>0</v>
      </c>
      <c r="AL75" s="4337">
        <f t="shared" si="330"/>
        <v>147.41399999999999</v>
      </c>
      <c r="AM75" s="4337">
        <f t="shared" si="330"/>
        <v>147.41399999999999</v>
      </c>
      <c r="AN75" s="4337">
        <f t="shared" si="330"/>
        <v>0</v>
      </c>
      <c r="AO75" s="4317">
        <f t="shared" si="447"/>
        <v>136</v>
      </c>
      <c r="AP75" s="4317">
        <f t="shared" si="448"/>
        <v>136</v>
      </c>
      <c r="AQ75" s="4317">
        <f t="shared" si="449"/>
        <v>0</v>
      </c>
      <c r="AR75" s="4335">
        <f t="shared" si="188"/>
        <v>25.838000000000001</v>
      </c>
      <c r="AS75" s="4336">
        <f>22.686+3+0.152</f>
        <v>25.838000000000001</v>
      </c>
      <c r="AT75" s="4336"/>
      <c r="AU75" s="4335">
        <f t="shared" si="190"/>
        <v>0</v>
      </c>
      <c r="AV75" s="4336"/>
      <c r="AW75" s="4336"/>
      <c r="AX75" s="4335">
        <f t="shared" si="192"/>
        <v>0</v>
      </c>
      <c r="AY75" s="4336"/>
      <c r="AZ75" s="4336"/>
      <c r="BA75" s="4335">
        <f t="shared" si="359"/>
        <v>25.838000000000001</v>
      </c>
      <c r="BB75" s="4335">
        <f t="shared" si="360"/>
        <v>25.838000000000001</v>
      </c>
      <c r="BC75" s="4335">
        <f t="shared" si="360"/>
        <v>0</v>
      </c>
      <c r="BD75" s="4318">
        <f t="shared" si="436"/>
        <v>408</v>
      </c>
      <c r="BE75" s="4318">
        <f t="shared" si="437"/>
        <v>408</v>
      </c>
      <c r="BF75" s="4318">
        <f t="shared" si="438"/>
        <v>0</v>
      </c>
      <c r="BG75" s="4337">
        <f t="shared" si="405"/>
        <v>445.25200000000001</v>
      </c>
      <c r="BH75" s="4337">
        <f t="shared" si="405"/>
        <v>445.25200000000001</v>
      </c>
      <c r="BI75" s="4337">
        <f t="shared" si="405"/>
        <v>0</v>
      </c>
      <c r="BJ75" s="4337">
        <f t="shared" si="393"/>
        <v>37.25200000000001</v>
      </c>
      <c r="BK75" s="4337">
        <f t="shared" si="393"/>
        <v>37.25200000000001</v>
      </c>
      <c r="BL75" s="4337">
        <f t="shared" si="393"/>
        <v>0</v>
      </c>
      <c r="BM75" s="4317">
        <f t="shared" si="439"/>
        <v>136</v>
      </c>
      <c r="BN75" s="4317">
        <f t="shared" si="450"/>
        <v>136</v>
      </c>
      <c r="BO75" s="4317">
        <f t="shared" si="450"/>
        <v>0</v>
      </c>
      <c r="BP75" s="4335">
        <f t="shared" si="200"/>
        <v>0</v>
      </c>
      <c r="BQ75" s="4336"/>
      <c r="BR75" s="4336"/>
      <c r="BS75" s="4335">
        <f t="shared" si="202"/>
        <v>0</v>
      </c>
      <c r="BT75" s="4336"/>
      <c r="BU75" s="4336"/>
      <c r="BV75" s="4335">
        <f t="shared" si="204"/>
        <v>0</v>
      </c>
      <c r="BW75" s="4336"/>
      <c r="BX75" s="4336"/>
      <c r="BY75" s="4335">
        <f t="shared" si="369"/>
        <v>0</v>
      </c>
      <c r="BZ75" s="4335">
        <f t="shared" si="370"/>
        <v>0</v>
      </c>
      <c r="CA75" s="4335">
        <f t="shared" si="370"/>
        <v>0</v>
      </c>
      <c r="CB75" s="4318">
        <f t="shared" si="387"/>
        <v>544</v>
      </c>
      <c r="CC75" s="4318">
        <v>544</v>
      </c>
      <c r="CD75" s="4318">
        <v>0</v>
      </c>
      <c r="CE75" s="4337">
        <f t="shared" si="407"/>
        <v>445.25200000000001</v>
      </c>
      <c r="CF75" s="4337">
        <f t="shared" si="407"/>
        <v>445.25200000000001</v>
      </c>
      <c r="CG75" s="4337">
        <f t="shared" si="407"/>
        <v>0</v>
      </c>
      <c r="CH75" s="4337">
        <f t="shared" si="395"/>
        <v>-98.74799999999999</v>
      </c>
      <c r="CI75" s="4337">
        <f t="shared" si="395"/>
        <v>-98.74799999999999</v>
      </c>
      <c r="CJ75" s="4337">
        <f t="shared" si="395"/>
        <v>0</v>
      </c>
      <c r="CK75" s="2774"/>
      <c r="CL75" s="3575">
        <f t="shared" si="132"/>
        <v>544</v>
      </c>
      <c r="CM75" s="3575">
        <f t="shared" si="132"/>
        <v>544</v>
      </c>
      <c r="CN75" s="3575">
        <f t="shared" si="132"/>
        <v>0</v>
      </c>
    </row>
    <row r="76" spans="1:92" ht="18.75" customHeight="1" x14ac:dyDescent="0.3">
      <c r="A76" s="4342" t="s">
        <v>3697</v>
      </c>
      <c r="B76" s="4317">
        <f t="shared" si="451"/>
        <v>0</v>
      </c>
      <c r="C76" s="4317">
        <f t="shared" si="452"/>
        <v>0</v>
      </c>
      <c r="D76" s="4317">
        <f t="shared" si="452"/>
        <v>0</v>
      </c>
      <c r="E76" s="4335">
        <f t="shared" si="134"/>
        <v>0</v>
      </c>
      <c r="F76" s="4336"/>
      <c r="G76" s="4336"/>
      <c r="H76" s="4335">
        <f t="shared" si="135"/>
        <v>0</v>
      </c>
      <c r="I76" s="4336"/>
      <c r="J76" s="4336"/>
      <c r="K76" s="4335">
        <f t="shared" si="136"/>
        <v>0</v>
      </c>
      <c r="L76" s="4336"/>
      <c r="M76" s="4336"/>
      <c r="N76" s="4335">
        <f t="shared" si="344"/>
        <v>0</v>
      </c>
      <c r="O76" s="4335">
        <f t="shared" si="345"/>
        <v>0</v>
      </c>
      <c r="P76" s="4335">
        <f t="shared" si="345"/>
        <v>0</v>
      </c>
      <c r="Q76" s="4317">
        <f t="shared" si="398"/>
        <v>0</v>
      </c>
      <c r="R76" s="4317">
        <f t="shared" si="445"/>
        <v>0</v>
      </c>
      <c r="S76" s="4317">
        <f t="shared" si="446"/>
        <v>0</v>
      </c>
      <c r="T76" s="4335">
        <f t="shared" si="177"/>
        <v>0</v>
      </c>
      <c r="U76" s="4336"/>
      <c r="V76" s="4336"/>
      <c r="W76" s="4335">
        <f t="shared" si="179"/>
        <v>0</v>
      </c>
      <c r="X76" s="4336"/>
      <c r="Y76" s="4336"/>
      <c r="Z76" s="4335">
        <f t="shared" si="181"/>
        <v>0</v>
      </c>
      <c r="AA76" s="4336"/>
      <c r="AB76" s="4336"/>
      <c r="AC76" s="4335">
        <f t="shared" si="350"/>
        <v>0</v>
      </c>
      <c r="AD76" s="4335">
        <f t="shared" si="351"/>
        <v>0</v>
      </c>
      <c r="AE76" s="4335">
        <f t="shared" si="351"/>
        <v>0</v>
      </c>
      <c r="AF76" s="4318">
        <f t="shared" si="428"/>
        <v>0</v>
      </c>
      <c r="AG76" s="4318">
        <f t="shared" si="429"/>
        <v>0</v>
      </c>
      <c r="AH76" s="4318">
        <f t="shared" si="430"/>
        <v>0</v>
      </c>
      <c r="AI76" s="4337">
        <f t="shared" si="354"/>
        <v>0</v>
      </c>
      <c r="AJ76" s="4337">
        <f t="shared" si="354"/>
        <v>0</v>
      </c>
      <c r="AK76" s="4337">
        <f t="shared" si="354"/>
        <v>0</v>
      </c>
      <c r="AL76" s="4337">
        <f t="shared" ref="AL76:AN103" si="453">SUM(AI76-AF76)</f>
        <v>0</v>
      </c>
      <c r="AM76" s="4337">
        <f t="shared" si="453"/>
        <v>0</v>
      </c>
      <c r="AN76" s="4337">
        <f t="shared" si="453"/>
        <v>0</v>
      </c>
      <c r="AO76" s="4317">
        <f t="shared" si="447"/>
        <v>0</v>
      </c>
      <c r="AP76" s="4317">
        <f t="shared" si="448"/>
        <v>0</v>
      </c>
      <c r="AQ76" s="4317">
        <f t="shared" si="449"/>
        <v>0</v>
      </c>
      <c r="AR76" s="4335">
        <f t="shared" si="188"/>
        <v>0</v>
      </c>
      <c r="AS76" s="4336"/>
      <c r="AT76" s="4336"/>
      <c r="AU76" s="4335">
        <f t="shared" si="190"/>
        <v>0</v>
      </c>
      <c r="AV76" s="4336"/>
      <c r="AW76" s="4336"/>
      <c r="AX76" s="4335">
        <f t="shared" si="192"/>
        <v>0</v>
      </c>
      <c r="AY76" s="4336"/>
      <c r="AZ76" s="4336"/>
      <c r="BA76" s="4335">
        <f t="shared" si="359"/>
        <v>0</v>
      </c>
      <c r="BB76" s="4335">
        <f t="shared" si="360"/>
        <v>0</v>
      </c>
      <c r="BC76" s="4335">
        <f t="shared" si="360"/>
        <v>0</v>
      </c>
      <c r="BD76" s="4318">
        <f t="shared" si="436"/>
        <v>0</v>
      </c>
      <c r="BE76" s="4318">
        <f t="shared" si="437"/>
        <v>0</v>
      </c>
      <c r="BF76" s="4318">
        <f t="shared" si="438"/>
        <v>0</v>
      </c>
      <c r="BG76" s="4337">
        <f t="shared" si="405"/>
        <v>0</v>
      </c>
      <c r="BH76" s="4337">
        <f t="shared" si="405"/>
        <v>0</v>
      </c>
      <c r="BI76" s="4337">
        <f t="shared" si="405"/>
        <v>0</v>
      </c>
      <c r="BJ76" s="4337">
        <f t="shared" si="393"/>
        <v>0</v>
      </c>
      <c r="BK76" s="4337">
        <f t="shared" si="393"/>
        <v>0</v>
      </c>
      <c r="BL76" s="4337">
        <f t="shared" si="393"/>
        <v>0</v>
      </c>
      <c r="BM76" s="4317">
        <f t="shared" si="439"/>
        <v>0</v>
      </c>
      <c r="BN76" s="4317">
        <f t="shared" si="450"/>
        <v>0</v>
      </c>
      <c r="BO76" s="4317">
        <f t="shared" si="450"/>
        <v>0</v>
      </c>
      <c r="BP76" s="4335">
        <f t="shared" si="200"/>
        <v>0</v>
      </c>
      <c r="BQ76" s="4336"/>
      <c r="BR76" s="4336"/>
      <c r="BS76" s="4335">
        <f t="shared" si="202"/>
        <v>0</v>
      </c>
      <c r="BT76" s="4336"/>
      <c r="BU76" s="4336"/>
      <c r="BV76" s="4335">
        <f t="shared" si="204"/>
        <v>0</v>
      </c>
      <c r="BW76" s="4336"/>
      <c r="BX76" s="4336"/>
      <c r="BY76" s="4335">
        <f t="shared" si="369"/>
        <v>0</v>
      </c>
      <c r="BZ76" s="4335">
        <f t="shared" si="370"/>
        <v>0</v>
      </c>
      <c r="CA76" s="4335">
        <f t="shared" si="370"/>
        <v>0</v>
      </c>
      <c r="CB76" s="4318">
        <f t="shared" si="387"/>
        <v>0</v>
      </c>
      <c r="CC76" s="4318">
        <v>0</v>
      </c>
      <c r="CD76" s="4318">
        <v>0</v>
      </c>
      <c r="CE76" s="4337">
        <f t="shared" si="407"/>
        <v>0</v>
      </c>
      <c r="CF76" s="4337">
        <f t="shared" si="407"/>
        <v>0</v>
      </c>
      <c r="CG76" s="4337">
        <f t="shared" si="407"/>
        <v>0</v>
      </c>
      <c r="CH76" s="4337">
        <f t="shared" si="395"/>
        <v>0</v>
      </c>
      <c r="CI76" s="4337">
        <f t="shared" si="395"/>
        <v>0</v>
      </c>
      <c r="CJ76" s="4337">
        <f t="shared" si="395"/>
        <v>0</v>
      </c>
      <c r="CK76" s="2774"/>
      <c r="CL76" s="3575">
        <f t="shared" si="132"/>
        <v>0</v>
      </c>
      <c r="CM76" s="3575">
        <f t="shared" si="132"/>
        <v>0</v>
      </c>
      <c r="CN76" s="3575">
        <f t="shared" si="132"/>
        <v>0</v>
      </c>
    </row>
    <row r="77" spans="1:92" ht="18.75" customHeight="1" x14ac:dyDescent="0.3">
      <c r="A77" s="4342" t="s">
        <v>590</v>
      </c>
      <c r="B77" s="4317">
        <f t="shared" si="451"/>
        <v>0</v>
      </c>
      <c r="C77" s="4317">
        <f t="shared" si="452"/>
        <v>0</v>
      </c>
      <c r="D77" s="4317">
        <f t="shared" si="452"/>
        <v>0</v>
      </c>
      <c r="E77" s="4335">
        <f t="shared" si="134"/>
        <v>0</v>
      </c>
      <c r="F77" s="4336"/>
      <c r="G77" s="4336"/>
      <c r="H77" s="4335">
        <f t="shared" si="135"/>
        <v>0</v>
      </c>
      <c r="I77" s="4336"/>
      <c r="J77" s="4336"/>
      <c r="K77" s="4335">
        <f t="shared" si="136"/>
        <v>0</v>
      </c>
      <c r="L77" s="4336"/>
      <c r="M77" s="4336"/>
      <c r="N77" s="4335">
        <f t="shared" si="344"/>
        <v>0</v>
      </c>
      <c r="O77" s="4335">
        <f t="shared" si="345"/>
        <v>0</v>
      </c>
      <c r="P77" s="4335">
        <f t="shared" si="345"/>
        <v>0</v>
      </c>
      <c r="Q77" s="4317">
        <f t="shared" si="398"/>
        <v>0</v>
      </c>
      <c r="R77" s="4317">
        <f t="shared" si="445"/>
        <v>0</v>
      </c>
      <c r="S77" s="4317">
        <f t="shared" si="446"/>
        <v>0</v>
      </c>
      <c r="T77" s="4335">
        <f t="shared" si="177"/>
        <v>0</v>
      </c>
      <c r="U77" s="4336"/>
      <c r="V77" s="4336"/>
      <c r="W77" s="4335">
        <f t="shared" si="179"/>
        <v>0</v>
      </c>
      <c r="X77" s="4336"/>
      <c r="Y77" s="4336"/>
      <c r="Z77" s="4335">
        <f t="shared" si="181"/>
        <v>0</v>
      </c>
      <c r="AA77" s="4336"/>
      <c r="AB77" s="4336"/>
      <c r="AC77" s="4335">
        <f t="shared" si="350"/>
        <v>0</v>
      </c>
      <c r="AD77" s="4335">
        <f t="shared" si="351"/>
        <v>0</v>
      </c>
      <c r="AE77" s="4335">
        <f t="shared" si="351"/>
        <v>0</v>
      </c>
      <c r="AF77" s="4318">
        <f t="shared" si="428"/>
        <v>0</v>
      </c>
      <c r="AG77" s="4318">
        <f t="shared" si="429"/>
        <v>0</v>
      </c>
      <c r="AH77" s="4318">
        <f t="shared" si="430"/>
        <v>0</v>
      </c>
      <c r="AI77" s="4337">
        <f t="shared" ref="AI77:AK103" si="454">SUM(AC77+N77)</f>
        <v>0</v>
      </c>
      <c r="AJ77" s="4337">
        <f t="shared" si="454"/>
        <v>0</v>
      </c>
      <c r="AK77" s="4337">
        <f t="shared" si="454"/>
        <v>0</v>
      </c>
      <c r="AL77" s="4337">
        <f t="shared" si="453"/>
        <v>0</v>
      </c>
      <c r="AM77" s="4337">
        <f t="shared" si="453"/>
        <v>0</v>
      </c>
      <c r="AN77" s="4337">
        <f t="shared" si="453"/>
        <v>0</v>
      </c>
      <c r="AO77" s="4317">
        <f t="shared" si="447"/>
        <v>0</v>
      </c>
      <c r="AP77" s="4317">
        <f t="shared" si="448"/>
        <v>0</v>
      </c>
      <c r="AQ77" s="4317">
        <f t="shared" si="449"/>
        <v>0</v>
      </c>
      <c r="AR77" s="4335">
        <f t="shared" si="188"/>
        <v>0</v>
      </c>
      <c r="AS77" s="4336"/>
      <c r="AT77" s="4336"/>
      <c r="AU77" s="4335">
        <f t="shared" si="190"/>
        <v>0</v>
      </c>
      <c r="AV77" s="4336"/>
      <c r="AW77" s="4336"/>
      <c r="AX77" s="4335">
        <f t="shared" si="192"/>
        <v>0</v>
      </c>
      <c r="AY77" s="4336"/>
      <c r="AZ77" s="4336"/>
      <c r="BA77" s="4335">
        <f t="shared" si="359"/>
        <v>0</v>
      </c>
      <c r="BB77" s="4335">
        <f t="shared" si="360"/>
        <v>0</v>
      </c>
      <c r="BC77" s="4335">
        <f t="shared" si="360"/>
        <v>0</v>
      </c>
      <c r="BD77" s="4318">
        <f t="shared" si="436"/>
        <v>0</v>
      </c>
      <c r="BE77" s="4318">
        <f t="shared" si="437"/>
        <v>0</v>
      </c>
      <c r="BF77" s="4318">
        <f t="shared" si="438"/>
        <v>0</v>
      </c>
      <c r="BG77" s="4337">
        <f t="shared" si="405"/>
        <v>0</v>
      </c>
      <c r="BH77" s="4337">
        <f t="shared" si="405"/>
        <v>0</v>
      </c>
      <c r="BI77" s="4337">
        <f t="shared" si="405"/>
        <v>0</v>
      </c>
      <c r="BJ77" s="4337">
        <f t="shared" si="393"/>
        <v>0</v>
      </c>
      <c r="BK77" s="4337">
        <f t="shared" si="393"/>
        <v>0</v>
      </c>
      <c r="BL77" s="4337">
        <f t="shared" si="393"/>
        <v>0</v>
      </c>
      <c r="BM77" s="4317">
        <f t="shared" si="439"/>
        <v>0</v>
      </c>
      <c r="BN77" s="4317">
        <f t="shared" si="450"/>
        <v>0</v>
      </c>
      <c r="BO77" s="4317">
        <f t="shared" si="450"/>
        <v>0</v>
      </c>
      <c r="BP77" s="4335">
        <f t="shared" si="200"/>
        <v>0</v>
      </c>
      <c r="BQ77" s="4336"/>
      <c r="BR77" s="4336"/>
      <c r="BS77" s="4335">
        <f t="shared" si="202"/>
        <v>0</v>
      </c>
      <c r="BT77" s="4336"/>
      <c r="BU77" s="4336"/>
      <c r="BV77" s="4335">
        <f t="shared" si="204"/>
        <v>0</v>
      </c>
      <c r="BW77" s="4336"/>
      <c r="BX77" s="4336"/>
      <c r="BY77" s="4335">
        <f t="shared" si="369"/>
        <v>0</v>
      </c>
      <c r="BZ77" s="4335">
        <f t="shared" si="370"/>
        <v>0</v>
      </c>
      <c r="CA77" s="4335">
        <f t="shared" si="370"/>
        <v>0</v>
      </c>
      <c r="CB77" s="4318">
        <f t="shared" si="387"/>
        <v>0</v>
      </c>
      <c r="CC77" s="4318">
        <v>0</v>
      </c>
      <c r="CD77" s="4318">
        <v>0</v>
      </c>
      <c r="CE77" s="4337">
        <f t="shared" si="407"/>
        <v>0</v>
      </c>
      <c r="CF77" s="4337">
        <f t="shared" si="407"/>
        <v>0</v>
      </c>
      <c r="CG77" s="4337">
        <f t="shared" si="407"/>
        <v>0</v>
      </c>
      <c r="CH77" s="4337">
        <f t="shared" si="395"/>
        <v>0</v>
      </c>
      <c r="CI77" s="4337">
        <f t="shared" si="395"/>
        <v>0</v>
      </c>
      <c r="CJ77" s="4337">
        <f t="shared" si="395"/>
        <v>0</v>
      </c>
      <c r="CK77" s="2774"/>
      <c r="CL77" s="3575">
        <f t="shared" si="132"/>
        <v>0</v>
      </c>
      <c r="CM77" s="3575">
        <f t="shared" si="132"/>
        <v>0</v>
      </c>
      <c r="CN77" s="3575">
        <f t="shared" si="132"/>
        <v>0</v>
      </c>
    </row>
    <row r="78" spans="1:92" ht="18.75" customHeight="1" x14ac:dyDescent="0.3">
      <c r="A78" s="4342" t="s">
        <v>94</v>
      </c>
      <c r="B78" s="4317">
        <f t="shared" si="451"/>
        <v>22.26</v>
      </c>
      <c r="C78" s="4317">
        <f t="shared" si="452"/>
        <v>22.26</v>
      </c>
      <c r="D78" s="4317">
        <f t="shared" si="452"/>
        <v>0</v>
      </c>
      <c r="E78" s="4335">
        <f t="shared" si="134"/>
        <v>0</v>
      </c>
      <c r="F78" s="4336"/>
      <c r="G78" s="4336"/>
      <c r="H78" s="4335">
        <f t="shared" si="135"/>
        <v>0</v>
      </c>
      <c r="I78" s="4336"/>
      <c r="J78" s="4336"/>
      <c r="K78" s="4335">
        <f t="shared" si="136"/>
        <v>5.5730000000000004</v>
      </c>
      <c r="L78" s="4336">
        <v>5.5730000000000004</v>
      </c>
      <c r="M78" s="4336"/>
      <c r="N78" s="4335">
        <f t="shared" si="344"/>
        <v>5.5730000000000004</v>
      </c>
      <c r="O78" s="4335">
        <f t="shared" si="345"/>
        <v>5.5730000000000004</v>
      </c>
      <c r="P78" s="4335">
        <f t="shared" si="345"/>
        <v>0</v>
      </c>
      <c r="Q78" s="4317">
        <f t="shared" si="398"/>
        <v>22.26</v>
      </c>
      <c r="R78" s="4317">
        <f t="shared" si="445"/>
        <v>22.26</v>
      </c>
      <c r="S78" s="4317">
        <f t="shared" si="446"/>
        <v>0</v>
      </c>
      <c r="T78" s="4335">
        <f t="shared" si="177"/>
        <v>0</v>
      </c>
      <c r="U78" s="4336"/>
      <c r="V78" s="4336"/>
      <c r="W78" s="4335">
        <f t="shared" si="179"/>
        <v>0</v>
      </c>
      <c r="X78" s="4336"/>
      <c r="Y78" s="4336"/>
      <c r="Z78" s="4335">
        <f t="shared" si="181"/>
        <v>5.6349999999999998</v>
      </c>
      <c r="AA78" s="4336">
        <v>5.6349999999999998</v>
      </c>
      <c r="AB78" s="4336"/>
      <c r="AC78" s="4335">
        <f t="shared" si="350"/>
        <v>5.6349999999999998</v>
      </c>
      <c r="AD78" s="4335">
        <f t="shared" si="351"/>
        <v>5.6349999999999998</v>
      </c>
      <c r="AE78" s="4335">
        <f t="shared" si="351"/>
        <v>0</v>
      </c>
      <c r="AF78" s="4318">
        <f t="shared" si="428"/>
        <v>44.52</v>
      </c>
      <c r="AG78" s="4318">
        <f t="shared" si="429"/>
        <v>44.52</v>
      </c>
      <c r="AH78" s="4318">
        <f t="shared" si="430"/>
        <v>0</v>
      </c>
      <c r="AI78" s="4337">
        <f t="shared" si="454"/>
        <v>11.208</v>
      </c>
      <c r="AJ78" s="4337">
        <f t="shared" si="454"/>
        <v>11.208</v>
      </c>
      <c r="AK78" s="4337">
        <f t="shared" si="454"/>
        <v>0</v>
      </c>
      <c r="AL78" s="4337">
        <f t="shared" si="453"/>
        <v>-33.312000000000005</v>
      </c>
      <c r="AM78" s="4337">
        <f t="shared" si="453"/>
        <v>-33.312000000000005</v>
      </c>
      <c r="AN78" s="4337">
        <f t="shared" si="453"/>
        <v>0</v>
      </c>
      <c r="AO78" s="4317">
        <f t="shared" si="447"/>
        <v>22.26</v>
      </c>
      <c r="AP78" s="4317">
        <f t="shared" si="448"/>
        <v>22.26</v>
      </c>
      <c r="AQ78" s="4317">
        <f t="shared" si="449"/>
        <v>0</v>
      </c>
      <c r="AR78" s="4335">
        <f t="shared" si="188"/>
        <v>0</v>
      </c>
      <c r="AS78" s="4336"/>
      <c r="AT78" s="4336"/>
      <c r="AU78" s="4335">
        <f t="shared" si="190"/>
        <v>0</v>
      </c>
      <c r="AV78" s="4336"/>
      <c r="AW78" s="4336"/>
      <c r="AX78" s="4335">
        <f t="shared" si="192"/>
        <v>0</v>
      </c>
      <c r="AY78" s="4336"/>
      <c r="AZ78" s="4336"/>
      <c r="BA78" s="4335">
        <f t="shared" si="359"/>
        <v>0</v>
      </c>
      <c r="BB78" s="4335">
        <f t="shared" si="360"/>
        <v>0</v>
      </c>
      <c r="BC78" s="4335">
        <f t="shared" si="360"/>
        <v>0</v>
      </c>
      <c r="BD78" s="4318">
        <f t="shared" si="436"/>
        <v>66.78</v>
      </c>
      <c r="BE78" s="4318">
        <f t="shared" si="437"/>
        <v>66.78</v>
      </c>
      <c r="BF78" s="4318">
        <f t="shared" si="438"/>
        <v>0</v>
      </c>
      <c r="BG78" s="4337">
        <f t="shared" si="405"/>
        <v>11.208</v>
      </c>
      <c r="BH78" s="4337">
        <f t="shared" si="405"/>
        <v>11.208</v>
      </c>
      <c r="BI78" s="4337">
        <f t="shared" si="405"/>
        <v>0</v>
      </c>
      <c r="BJ78" s="4337">
        <f t="shared" si="393"/>
        <v>-55.572000000000003</v>
      </c>
      <c r="BK78" s="4337">
        <f t="shared" si="393"/>
        <v>-55.572000000000003</v>
      </c>
      <c r="BL78" s="4337">
        <f t="shared" si="393"/>
        <v>0</v>
      </c>
      <c r="BM78" s="4317">
        <f t="shared" si="439"/>
        <v>22.26</v>
      </c>
      <c r="BN78" s="4317">
        <f t="shared" si="450"/>
        <v>22.26</v>
      </c>
      <c r="BO78" s="4317">
        <f t="shared" si="450"/>
        <v>0</v>
      </c>
      <c r="BP78" s="4335">
        <f t="shared" si="200"/>
        <v>0</v>
      </c>
      <c r="BQ78" s="4336"/>
      <c r="BR78" s="4336"/>
      <c r="BS78" s="4335">
        <f t="shared" si="202"/>
        <v>0</v>
      </c>
      <c r="BT78" s="4336"/>
      <c r="BU78" s="4336"/>
      <c r="BV78" s="4335">
        <f t="shared" si="204"/>
        <v>0</v>
      </c>
      <c r="BW78" s="4336"/>
      <c r="BX78" s="4336"/>
      <c r="BY78" s="4335">
        <f t="shared" si="369"/>
        <v>0</v>
      </c>
      <c r="BZ78" s="4335">
        <f t="shared" si="370"/>
        <v>0</v>
      </c>
      <c r="CA78" s="4335">
        <f t="shared" si="370"/>
        <v>0</v>
      </c>
      <c r="CB78" s="4318">
        <f t="shared" si="387"/>
        <v>89.04</v>
      </c>
      <c r="CC78" s="4318">
        <f>SUM(вода!EF60)</f>
        <v>89.04</v>
      </c>
      <c r="CD78" s="4318">
        <v>0</v>
      </c>
      <c r="CE78" s="4337">
        <f t="shared" si="407"/>
        <v>11.208</v>
      </c>
      <c r="CF78" s="4337">
        <f t="shared" si="407"/>
        <v>11.208</v>
      </c>
      <c r="CG78" s="4337">
        <f t="shared" si="407"/>
        <v>0</v>
      </c>
      <c r="CH78" s="4337">
        <f t="shared" si="395"/>
        <v>-77.832000000000008</v>
      </c>
      <c r="CI78" s="4337">
        <f t="shared" si="395"/>
        <v>-77.832000000000008</v>
      </c>
      <c r="CJ78" s="4337">
        <f t="shared" si="395"/>
        <v>0</v>
      </c>
      <c r="CK78" s="2774"/>
      <c r="CL78" s="3575">
        <f t="shared" si="132"/>
        <v>89.04</v>
      </c>
      <c r="CM78" s="3575">
        <f t="shared" si="132"/>
        <v>89.04</v>
      </c>
      <c r="CN78" s="3575">
        <f t="shared" si="132"/>
        <v>0</v>
      </c>
    </row>
    <row r="79" spans="1:92" ht="18.75" customHeight="1" x14ac:dyDescent="0.3">
      <c r="A79" s="4342" t="s">
        <v>42</v>
      </c>
      <c r="B79" s="4317">
        <f t="shared" si="451"/>
        <v>24.579650000000001</v>
      </c>
      <c r="C79" s="4317">
        <f t="shared" si="452"/>
        <v>24.579650000000001</v>
      </c>
      <c r="D79" s="4317">
        <f t="shared" si="452"/>
        <v>0</v>
      </c>
      <c r="E79" s="4335">
        <f t="shared" si="134"/>
        <v>0</v>
      </c>
      <c r="F79" s="4336"/>
      <c r="G79" s="4336"/>
      <c r="H79" s="4335">
        <f t="shared" si="135"/>
        <v>0</v>
      </c>
      <c r="I79" s="4336"/>
      <c r="J79" s="4336"/>
      <c r="K79" s="4335">
        <f t="shared" si="136"/>
        <v>7.0179999999999998</v>
      </c>
      <c r="L79" s="4336">
        <v>7.0179999999999998</v>
      </c>
      <c r="M79" s="4336"/>
      <c r="N79" s="4335">
        <f t="shared" si="344"/>
        <v>7.0179999999999998</v>
      </c>
      <c r="O79" s="4335">
        <f t="shared" si="345"/>
        <v>7.0179999999999998</v>
      </c>
      <c r="P79" s="4335">
        <f t="shared" si="345"/>
        <v>0</v>
      </c>
      <c r="Q79" s="4317">
        <f t="shared" si="398"/>
        <v>24.579650000000001</v>
      </c>
      <c r="R79" s="4317">
        <f t="shared" si="445"/>
        <v>24.579650000000001</v>
      </c>
      <c r="S79" s="4317">
        <f t="shared" si="446"/>
        <v>0</v>
      </c>
      <c r="T79" s="4335">
        <f t="shared" si="177"/>
        <v>0</v>
      </c>
      <c r="U79" s="4336"/>
      <c r="V79" s="4336"/>
      <c r="W79" s="4335">
        <f t="shared" si="179"/>
        <v>0</v>
      </c>
      <c r="X79" s="4336"/>
      <c r="Y79" s="4336"/>
      <c r="Z79" s="4335">
        <f t="shared" si="181"/>
        <v>38.566000000000003</v>
      </c>
      <c r="AA79" s="4336">
        <v>38.566000000000003</v>
      </c>
      <c r="AB79" s="4336"/>
      <c r="AC79" s="4335">
        <f t="shared" si="350"/>
        <v>38.566000000000003</v>
      </c>
      <c r="AD79" s="4335">
        <f t="shared" si="351"/>
        <v>38.566000000000003</v>
      </c>
      <c r="AE79" s="4335">
        <f t="shared" si="351"/>
        <v>0</v>
      </c>
      <c r="AF79" s="4318">
        <f t="shared" si="428"/>
        <v>49.159300000000002</v>
      </c>
      <c r="AG79" s="4318">
        <f t="shared" si="429"/>
        <v>49.159300000000002</v>
      </c>
      <c r="AH79" s="4318">
        <f t="shared" si="430"/>
        <v>0</v>
      </c>
      <c r="AI79" s="4337">
        <f t="shared" si="454"/>
        <v>45.584000000000003</v>
      </c>
      <c r="AJ79" s="4337">
        <f t="shared" si="454"/>
        <v>45.584000000000003</v>
      </c>
      <c r="AK79" s="4337">
        <f t="shared" si="454"/>
        <v>0</v>
      </c>
      <c r="AL79" s="4337">
        <f t="shared" si="453"/>
        <v>-3.5752999999999986</v>
      </c>
      <c r="AM79" s="4337">
        <f t="shared" si="453"/>
        <v>-3.5752999999999986</v>
      </c>
      <c r="AN79" s="4337">
        <f t="shared" si="453"/>
        <v>0</v>
      </c>
      <c r="AO79" s="4317">
        <f t="shared" si="447"/>
        <v>24.579650000000001</v>
      </c>
      <c r="AP79" s="4317">
        <f t="shared" si="448"/>
        <v>24.579650000000001</v>
      </c>
      <c r="AQ79" s="4317">
        <f t="shared" si="449"/>
        <v>0</v>
      </c>
      <c r="AR79" s="4335">
        <f t="shared" si="188"/>
        <v>0</v>
      </c>
      <c r="AS79" s="4336"/>
      <c r="AT79" s="4336"/>
      <c r="AU79" s="4335">
        <f t="shared" si="190"/>
        <v>0</v>
      </c>
      <c r="AV79" s="4336"/>
      <c r="AW79" s="4336"/>
      <c r="AX79" s="4335">
        <f t="shared" si="192"/>
        <v>0</v>
      </c>
      <c r="AY79" s="4336"/>
      <c r="AZ79" s="4336"/>
      <c r="BA79" s="4335">
        <f t="shared" si="359"/>
        <v>0</v>
      </c>
      <c r="BB79" s="4335">
        <f t="shared" si="360"/>
        <v>0</v>
      </c>
      <c r="BC79" s="4335">
        <f t="shared" si="360"/>
        <v>0</v>
      </c>
      <c r="BD79" s="4318">
        <f t="shared" si="436"/>
        <v>73.738950000000003</v>
      </c>
      <c r="BE79" s="4318">
        <f t="shared" si="437"/>
        <v>73.738950000000003</v>
      </c>
      <c r="BF79" s="4318">
        <f t="shared" si="438"/>
        <v>0</v>
      </c>
      <c r="BG79" s="4337">
        <f t="shared" si="405"/>
        <v>45.584000000000003</v>
      </c>
      <c r="BH79" s="4337">
        <f t="shared" si="405"/>
        <v>45.584000000000003</v>
      </c>
      <c r="BI79" s="4337">
        <f t="shared" si="405"/>
        <v>0</v>
      </c>
      <c r="BJ79" s="4337">
        <f t="shared" si="393"/>
        <v>-28.154949999999999</v>
      </c>
      <c r="BK79" s="4337">
        <f t="shared" si="393"/>
        <v>-28.154949999999999</v>
      </c>
      <c r="BL79" s="4337">
        <f t="shared" si="393"/>
        <v>0</v>
      </c>
      <c r="BM79" s="4317">
        <f t="shared" si="439"/>
        <v>24.579650000000001</v>
      </c>
      <c r="BN79" s="4317">
        <f t="shared" si="450"/>
        <v>24.579650000000001</v>
      </c>
      <c r="BO79" s="4317">
        <f t="shared" si="450"/>
        <v>0</v>
      </c>
      <c r="BP79" s="4335">
        <f t="shared" si="200"/>
        <v>0</v>
      </c>
      <c r="BQ79" s="4336"/>
      <c r="BR79" s="4336"/>
      <c r="BS79" s="4335">
        <f t="shared" si="202"/>
        <v>0</v>
      </c>
      <c r="BT79" s="4336"/>
      <c r="BU79" s="4336"/>
      <c r="BV79" s="4335">
        <f t="shared" si="204"/>
        <v>0</v>
      </c>
      <c r="BW79" s="4336"/>
      <c r="BX79" s="4336"/>
      <c r="BY79" s="4335">
        <f t="shared" si="369"/>
        <v>0</v>
      </c>
      <c r="BZ79" s="4335">
        <f t="shared" si="370"/>
        <v>0</v>
      </c>
      <c r="CA79" s="4335">
        <f t="shared" si="370"/>
        <v>0</v>
      </c>
      <c r="CB79" s="4318">
        <f t="shared" si="387"/>
        <v>98.318600000000004</v>
      </c>
      <c r="CC79" s="4318">
        <v>98.318600000000004</v>
      </c>
      <c r="CD79" s="4318">
        <v>0</v>
      </c>
      <c r="CE79" s="4337">
        <f t="shared" si="407"/>
        <v>45.584000000000003</v>
      </c>
      <c r="CF79" s="4337">
        <f t="shared" si="407"/>
        <v>45.584000000000003</v>
      </c>
      <c r="CG79" s="4337">
        <f t="shared" si="407"/>
        <v>0</v>
      </c>
      <c r="CH79" s="4337">
        <f t="shared" si="395"/>
        <v>-52.7346</v>
      </c>
      <c r="CI79" s="4337">
        <f t="shared" si="395"/>
        <v>-52.7346</v>
      </c>
      <c r="CJ79" s="4337">
        <f t="shared" si="395"/>
        <v>0</v>
      </c>
      <c r="CK79" s="2774"/>
      <c r="CL79" s="3575">
        <f t="shared" si="132"/>
        <v>98.318600000000004</v>
      </c>
      <c r="CM79" s="3575">
        <f t="shared" si="132"/>
        <v>98.318600000000004</v>
      </c>
      <c r="CN79" s="3575">
        <f t="shared" si="132"/>
        <v>0</v>
      </c>
    </row>
    <row r="80" spans="1:92" ht="18.75" customHeight="1" x14ac:dyDescent="0.3">
      <c r="A80" s="4342" t="s">
        <v>591</v>
      </c>
      <c r="B80" s="4317">
        <f t="shared" si="451"/>
        <v>34.267249999999997</v>
      </c>
      <c r="C80" s="4317">
        <f t="shared" si="452"/>
        <v>34.267249999999997</v>
      </c>
      <c r="D80" s="4317">
        <f t="shared" si="452"/>
        <v>0</v>
      </c>
      <c r="E80" s="4335">
        <f t="shared" si="134"/>
        <v>0</v>
      </c>
      <c r="F80" s="4336"/>
      <c r="G80" s="4336"/>
      <c r="H80" s="4335">
        <f t="shared" si="135"/>
        <v>0</v>
      </c>
      <c r="I80" s="4336"/>
      <c r="J80" s="4336"/>
      <c r="K80" s="4335">
        <f t="shared" si="136"/>
        <v>14.272</v>
      </c>
      <c r="L80" s="4336">
        <f>11.022+3.25</f>
        <v>14.272</v>
      </c>
      <c r="M80" s="4336"/>
      <c r="N80" s="4335">
        <f t="shared" si="344"/>
        <v>14.272</v>
      </c>
      <c r="O80" s="4335">
        <f t="shared" si="345"/>
        <v>14.272</v>
      </c>
      <c r="P80" s="4335">
        <f t="shared" si="345"/>
        <v>0</v>
      </c>
      <c r="Q80" s="4317">
        <f t="shared" si="398"/>
        <v>34.267249999999997</v>
      </c>
      <c r="R80" s="4317">
        <f t="shared" si="445"/>
        <v>34.267249999999997</v>
      </c>
      <c r="S80" s="4317">
        <f t="shared" si="446"/>
        <v>0</v>
      </c>
      <c r="T80" s="4335">
        <f t="shared" si="177"/>
        <v>0</v>
      </c>
      <c r="U80" s="4336"/>
      <c r="V80" s="4336"/>
      <c r="W80" s="4335">
        <f t="shared" si="179"/>
        <v>20.454000000000001</v>
      </c>
      <c r="X80" s="4336">
        <v>20.454000000000001</v>
      </c>
      <c r="Y80" s="4336"/>
      <c r="Z80" s="4335">
        <f t="shared" si="181"/>
        <v>17.898</v>
      </c>
      <c r="AA80" s="4336">
        <v>17.898</v>
      </c>
      <c r="AB80" s="4336"/>
      <c r="AC80" s="4335">
        <f t="shared" si="350"/>
        <v>38.352000000000004</v>
      </c>
      <c r="AD80" s="4335">
        <f t="shared" si="351"/>
        <v>38.352000000000004</v>
      </c>
      <c r="AE80" s="4335">
        <f t="shared" si="351"/>
        <v>0</v>
      </c>
      <c r="AF80" s="4318">
        <f t="shared" si="428"/>
        <v>68.534499999999994</v>
      </c>
      <c r="AG80" s="4318">
        <f t="shared" si="429"/>
        <v>68.534499999999994</v>
      </c>
      <c r="AH80" s="4318">
        <f t="shared" si="430"/>
        <v>0</v>
      </c>
      <c r="AI80" s="4337">
        <f t="shared" si="454"/>
        <v>52.624000000000002</v>
      </c>
      <c r="AJ80" s="4337">
        <f t="shared" si="454"/>
        <v>52.624000000000002</v>
      </c>
      <c r="AK80" s="4337">
        <f t="shared" si="454"/>
        <v>0</v>
      </c>
      <c r="AL80" s="4337">
        <f t="shared" si="453"/>
        <v>-15.910499999999992</v>
      </c>
      <c r="AM80" s="4337">
        <f t="shared" si="453"/>
        <v>-15.910499999999992</v>
      </c>
      <c r="AN80" s="4337">
        <f t="shared" si="453"/>
        <v>0</v>
      </c>
      <c r="AO80" s="4317">
        <f t="shared" si="447"/>
        <v>34.267249999999997</v>
      </c>
      <c r="AP80" s="4317">
        <f t="shared" si="448"/>
        <v>34.267249999999997</v>
      </c>
      <c r="AQ80" s="4317">
        <f t="shared" si="449"/>
        <v>0</v>
      </c>
      <c r="AR80" s="4335">
        <f t="shared" si="188"/>
        <v>0</v>
      </c>
      <c r="AS80" s="4336"/>
      <c r="AT80" s="4336"/>
      <c r="AU80" s="4335">
        <f t="shared" si="190"/>
        <v>0</v>
      </c>
      <c r="AV80" s="4336"/>
      <c r="AW80" s="4336"/>
      <c r="AX80" s="4335">
        <f t="shared" si="192"/>
        <v>0</v>
      </c>
      <c r="AY80" s="4336"/>
      <c r="AZ80" s="4336"/>
      <c r="BA80" s="4335">
        <f t="shared" si="359"/>
        <v>0</v>
      </c>
      <c r="BB80" s="4335">
        <f t="shared" si="360"/>
        <v>0</v>
      </c>
      <c r="BC80" s="4335">
        <f t="shared" si="360"/>
        <v>0</v>
      </c>
      <c r="BD80" s="4318">
        <f t="shared" si="436"/>
        <v>102.80175</v>
      </c>
      <c r="BE80" s="4318">
        <f t="shared" si="437"/>
        <v>102.80175</v>
      </c>
      <c r="BF80" s="4318">
        <f t="shared" si="438"/>
        <v>0</v>
      </c>
      <c r="BG80" s="4337">
        <f t="shared" si="405"/>
        <v>52.624000000000002</v>
      </c>
      <c r="BH80" s="4337">
        <f t="shared" si="405"/>
        <v>52.624000000000002</v>
      </c>
      <c r="BI80" s="4337">
        <f t="shared" si="405"/>
        <v>0</v>
      </c>
      <c r="BJ80" s="4337">
        <f t="shared" ref="BJ80:BL97" si="455">SUM(BG80-BD80)</f>
        <v>-50.177749999999996</v>
      </c>
      <c r="BK80" s="4337">
        <f t="shared" si="455"/>
        <v>-50.177749999999996</v>
      </c>
      <c r="BL80" s="4337">
        <f t="shared" si="455"/>
        <v>0</v>
      </c>
      <c r="BM80" s="4317">
        <f t="shared" si="439"/>
        <v>34.267249999999997</v>
      </c>
      <c r="BN80" s="4317">
        <f t="shared" si="450"/>
        <v>34.267249999999997</v>
      </c>
      <c r="BO80" s="4317">
        <f t="shared" si="450"/>
        <v>0</v>
      </c>
      <c r="BP80" s="4335">
        <f t="shared" si="200"/>
        <v>0</v>
      </c>
      <c r="BQ80" s="4336"/>
      <c r="BR80" s="4336"/>
      <c r="BS80" s="4335">
        <f t="shared" si="202"/>
        <v>0</v>
      </c>
      <c r="BT80" s="4336"/>
      <c r="BU80" s="4336"/>
      <c r="BV80" s="4335">
        <f t="shared" si="204"/>
        <v>0</v>
      </c>
      <c r="BW80" s="4336"/>
      <c r="BX80" s="4336"/>
      <c r="BY80" s="4335">
        <f t="shared" si="369"/>
        <v>0</v>
      </c>
      <c r="BZ80" s="4335">
        <f t="shared" si="370"/>
        <v>0</v>
      </c>
      <c r="CA80" s="4335">
        <f t="shared" si="370"/>
        <v>0</v>
      </c>
      <c r="CB80" s="4318">
        <f t="shared" si="387"/>
        <v>137.06899999999999</v>
      </c>
      <c r="CC80" s="4318">
        <v>137.06899999999999</v>
      </c>
      <c r="CD80" s="4318">
        <v>0</v>
      </c>
      <c r="CE80" s="4337">
        <f t="shared" si="407"/>
        <v>52.624000000000002</v>
      </c>
      <c r="CF80" s="4337">
        <f t="shared" si="407"/>
        <v>52.624000000000002</v>
      </c>
      <c r="CG80" s="4337">
        <f t="shared" si="407"/>
        <v>0</v>
      </c>
      <c r="CH80" s="4337">
        <f t="shared" ref="CH80:CJ97" si="456">SUM(CE80-CB80)</f>
        <v>-84.444999999999993</v>
      </c>
      <c r="CI80" s="4337">
        <f t="shared" si="456"/>
        <v>-84.444999999999993</v>
      </c>
      <c r="CJ80" s="4337">
        <f t="shared" si="456"/>
        <v>0</v>
      </c>
      <c r="CK80" s="2774"/>
      <c r="CL80" s="3575">
        <f t="shared" si="132"/>
        <v>137.06899999999999</v>
      </c>
      <c r="CM80" s="3575">
        <f t="shared" si="132"/>
        <v>137.06899999999999</v>
      </c>
      <c r="CN80" s="3575">
        <f t="shared" si="132"/>
        <v>0</v>
      </c>
    </row>
    <row r="81" spans="1:92" ht="18.75" customHeight="1" x14ac:dyDescent="0.3">
      <c r="A81" s="4342" t="s">
        <v>3698</v>
      </c>
      <c r="B81" s="4317">
        <f t="shared" si="451"/>
        <v>0</v>
      </c>
      <c r="C81" s="4317">
        <f t="shared" si="452"/>
        <v>0</v>
      </c>
      <c r="D81" s="4317">
        <f t="shared" si="452"/>
        <v>0</v>
      </c>
      <c r="E81" s="4335">
        <f t="shared" si="134"/>
        <v>0</v>
      </c>
      <c r="F81" s="4336"/>
      <c r="G81" s="4336"/>
      <c r="H81" s="4335">
        <f t="shared" si="135"/>
        <v>0</v>
      </c>
      <c r="I81" s="4336"/>
      <c r="J81" s="4336"/>
      <c r="K81" s="4335">
        <f t="shared" si="136"/>
        <v>0</v>
      </c>
      <c r="L81" s="4336"/>
      <c r="M81" s="4336"/>
      <c r="N81" s="4335">
        <f t="shared" si="344"/>
        <v>0</v>
      </c>
      <c r="O81" s="4335">
        <f t="shared" si="345"/>
        <v>0</v>
      </c>
      <c r="P81" s="4335">
        <f t="shared" si="345"/>
        <v>0</v>
      </c>
      <c r="Q81" s="4317">
        <f t="shared" si="398"/>
        <v>0</v>
      </c>
      <c r="R81" s="4317">
        <f t="shared" si="445"/>
        <v>0</v>
      </c>
      <c r="S81" s="4317">
        <f t="shared" si="446"/>
        <v>0</v>
      </c>
      <c r="T81" s="4335">
        <f t="shared" si="177"/>
        <v>0</v>
      </c>
      <c r="U81" s="4336"/>
      <c r="V81" s="4336"/>
      <c r="W81" s="4335">
        <f t="shared" si="179"/>
        <v>0</v>
      </c>
      <c r="X81" s="4336"/>
      <c r="Y81" s="4336"/>
      <c r="Z81" s="4335">
        <f t="shared" si="181"/>
        <v>0</v>
      </c>
      <c r="AA81" s="4336"/>
      <c r="AB81" s="4336"/>
      <c r="AC81" s="4335">
        <f t="shared" si="350"/>
        <v>0</v>
      </c>
      <c r="AD81" s="4335">
        <f t="shared" si="351"/>
        <v>0</v>
      </c>
      <c r="AE81" s="4335">
        <f t="shared" si="351"/>
        <v>0</v>
      </c>
      <c r="AF81" s="4318">
        <f t="shared" si="428"/>
        <v>0</v>
      </c>
      <c r="AG81" s="4318">
        <f t="shared" si="429"/>
        <v>0</v>
      </c>
      <c r="AH81" s="4318">
        <f t="shared" si="430"/>
        <v>0</v>
      </c>
      <c r="AI81" s="4337">
        <f t="shared" si="454"/>
        <v>0</v>
      </c>
      <c r="AJ81" s="4337">
        <f t="shared" si="454"/>
        <v>0</v>
      </c>
      <c r="AK81" s="4337">
        <f t="shared" si="454"/>
        <v>0</v>
      </c>
      <c r="AL81" s="4337">
        <f t="shared" si="453"/>
        <v>0</v>
      </c>
      <c r="AM81" s="4337">
        <f t="shared" si="453"/>
        <v>0</v>
      </c>
      <c r="AN81" s="4337">
        <f t="shared" si="453"/>
        <v>0</v>
      </c>
      <c r="AO81" s="4317">
        <f t="shared" si="447"/>
        <v>0</v>
      </c>
      <c r="AP81" s="4317">
        <f t="shared" si="448"/>
        <v>0</v>
      </c>
      <c r="AQ81" s="4317">
        <f t="shared" si="449"/>
        <v>0</v>
      </c>
      <c r="AR81" s="4335">
        <f t="shared" si="188"/>
        <v>0</v>
      </c>
      <c r="AS81" s="4336"/>
      <c r="AT81" s="4336"/>
      <c r="AU81" s="4335">
        <f t="shared" si="190"/>
        <v>0</v>
      </c>
      <c r="AV81" s="4336"/>
      <c r="AW81" s="4336"/>
      <c r="AX81" s="4335">
        <f t="shared" si="192"/>
        <v>0</v>
      </c>
      <c r="AY81" s="4336"/>
      <c r="AZ81" s="4336"/>
      <c r="BA81" s="4335">
        <f t="shared" si="359"/>
        <v>0</v>
      </c>
      <c r="BB81" s="4335">
        <f t="shared" si="360"/>
        <v>0</v>
      </c>
      <c r="BC81" s="4335">
        <f t="shared" si="360"/>
        <v>0</v>
      </c>
      <c r="BD81" s="4318">
        <f t="shared" si="436"/>
        <v>0</v>
      </c>
      <c r="BE81" s="4318">
        <f t="shared" si="437"/>
        <v>0</v>
      </c>
      <c r="BF81" s="4318">
        <f t="shared" si="438"/>
        <v>0</v>
      </c>
      <c r="BG81" s="4337">
        <f t="shared" si="405"/>
        <v>0</v>
      </c>
      <c r="BH81" s="4337">
        <f t="shared" si="405"/>
        <v>0</v>
      </c>
      <c r="BI81" s="4337">
        <f t="shared" si="405"/>
        <v>0</v>
      </c>
      <c r="BJ81" s="4337">
        <f t="shared" si="455"/>
        <v>0</v>
      </c>
      <c r="BK81" s="4337">
        <f t="shared" si="455"/>
        <v>0</v>
      </c>
      <c r="BL81" s="4337">
        <f t="shared" si="455"/>
        <v>0</v>
      </c>
      <c r="BM81" s="4317">
        <f t="shared" si="439"/>
        <v>0</v>
      </c>
      <c r="BN81" s="4317">
        <f t="shared" si="450"/>
        <v>0</v>
      </c>
      <c r="BO81" s="4317">
        <f t="shared" si="450"/>
        <v>0</v>
      </c>
      <c r="BP81" s="4335">
        <f t="shared" si="200"/>
        <v>0</v>
      </c>
      <c r="BQ81" s="4336"/>
      <c r="BR81" s="4336"/>
      <c r="BS81" s="4335">
        <f t="shared" si="202"/>
        <v>0</v>
      </c>
      <c r="BT81" s="4336"/>
      <c r="BU81" s="4336"/>
      <c r="BV81" s="4335">
        <f t="shared" si="204"/>
        <v>0</v>
      </c>
      <c r="BW81" s="4336"/>
      <c r="BX81" s="4336"/>
      <c r="BY81" s="4335">
        <f t="shared" si="369"/>
        <v>0</v>
      </c>
      <c r="BZ81" s="4335">
        <f t="shared" si="370"/>
        <v>0</v>
      </c>
      <c r="CA81" s="4335">
        <f t="shared" si="370"/>
        <v>0</v>
      </c>
      <c r="CB81" s="4318">
        <f t="shared" si="387"/>
        <v>0</v>
      </c>
      <c r="CC81" s="4318">
        <v>0</v>
      </c>
      <c r="CD81" s="4318">
        <v>0</v>
      </c>
      <c r="CE81" s="4337">
        <f t="shared" si="407"/>
        <v>0</v>
      </c>
      <c r="CF81" s="4337">
        <f t="shared" si="407"/>
        <v>0</v>
      </c>
      <c r="CG81" s="4337">
        <f t="shared" si="407"/>
        <v>0</v>
      </c>
      <c r="CH81" s="4337">
        <f t="shared" si="456"/>
        <v>0</v>
      </c>
      <c r="CI81" s="4337">
        <f t="shared" si="456"/>
        <v>0</v>
      </c>
      <c r="CJ81" s="4337">
        <f t="shared" si="456"/>
        <v>0</v>
      </c>
      <c r="CK81" s="2774"/>
      <c r="CL81" s="3575">
        <f t="shared" si="132"/>
        <v>0</v>
      </c>
      <c r="CM81" s="3575">
        <f t="shared" si="132"/>
        <v>0</v>
      </c>
      <c r="CN81" s="3575">
        <f t="shared" si="132"/>
        <v>0</v>
      </c>
    </row>
    <row r="82" spans="1:92" ht="18.75" customHeight="1" x14ac:dyDescent="0.3">
      <c r="A82" s="4342" t="s">
        <v>594</v>
      </c>
      <c r="B82" s="4317">
        <f t="shared" si="451"/>
        <v>50.057499999999997</v>
      </c>
      <c r="C82" s="4317">
        <f t="shared" si="452"/>
        <v>50.057499999999997</v>
      </c>
      <c r="D82" s="4317">
        <f t="shared" si="452"/>
        <v>0</v>
      </c>
      <c r="E82" s="4335">
        <f t="shared" si="134"/>
        <v>24.462</v>
      </c>
      <c r="F82" s="4336">
        <v>24.462</v>
      </c>
      <c r="G82" s="4336"/>
      <c r="H82" s="4335">
        <f t="shared" si="135"/>
        <v>0</v>
      </c>
      <c r="I82" s="4336"/>
      <c r="J82" s="4336"/>
      <c r="K82" s="4335">
        <f t="shared" si="136"/>
        <v>19.2</v>
      </c>
      <c r="L82" s="4336">
        <v>19.2</v>
      </c>
      <c r="M82" s="4336"/>
      <c r="N82" s="4335">
        <f t="shared" si="344"/>
        <v>43.661999999999999</v>
      </c>
      <c r="O82" s="4335">
        <f t="shared" si="345"/>
        <v>43.661999999999999</v>
      </c>
      <c r="P82" s="4335">
        <f t="shared" si="345"/>
        <v>0</v>
      </c>
      <c r="Q82" s="4317">
        <f t="shared" si="398"/>
        <v>50.057499999999997</v>
      </c>
      <c r="R82" s="4317">
        <f t="shared" si="445"/>
        <v>50.057499999999997</v>
      </c>
      <c r="S82" s="4317">
        <f t="shared" si="446"/>
        <v>0</v>
      </c>
      <c r="T82" s="4335">
        <f t="shared" si="177"/>
        <v>11.117000000000001</v>
      </c>
      <c r="U82" s="4336">
        <v>11.117000000000001</v>
      </c>
      <c r="V82" s="4336"/>
      <c r="W82" s="4335">
        <f t="shared" si="179"/>
        <v>0</v>
      </c>
      <c r="X82" s="4336"/>
      <c r="Y82" s="4336"/>
      <c r="Z82" s="4335">
        <f t="shared" si="181"/>
        <v>76.566999999999993</v>
      </c>
      <c r="AA82" s="4336">
        <v>76.566999999999993</v>
      </c>
      <c r="AB82" s="4336"/>
      <c r="AC82" s="4335">
        <f t="shared" si="350"/>
        <v>87.683999999999997</v>
      </c>
      <c r="AD82" s="4335">
        <f t="shared" si="351"/>
        <v>87.683999999999997</v>
      </c>
      <c r="AE82" s="4335">
        <f t="shared" si="351"/>
        <v>0</v>
      </c>
      <c r="AF82" s="4318">
        <f t="shared" si="428"/>
        <v>100.11499999999999</v>
      </c>
      <c r="AG82" s="4318">
        <f t="shared" si="429"/>
        <v>100.11499999999999</v>
      </c>
      <c r="AH82" s="4318">
        <f t="shared" si="430"/>
        <v>0</v>
      </c>
      <c r="AI82" s="4337">
        <f t="shared" si="454"/>
        <v>131.346</v>
      </c>
      <c r="AJ82" s="4337">
        <f t="shared" si="454"/>
        <v>131.346</v>
      </c>
      <c r="AK82" s="4337">
        <f t="shared" si="454"/>
        <v>0</v>
      </c>
      <c r="AL82" s="4337">
        <f t="shared" si="453"/>
        <v>31.231000000000009</v>
      </c>
      <c r="AM82" s="4337">
        <f t="shared" si="453"/>
        <v>31.231000000000009</v>
      </c>
      <c r="AN82" s="4337">
        <f t="shared" si="453"/>
        <v>0</v>
      </c>
      <c r="AO82" s="4317">
        <f t="shared" si="447"/>
        <v>50.057499999999997</v>
      </c>
      <c r="AP82" s="4317">
        <f t="shared" si="448"/>
        <v>50.057499999999997</v>
      </c>
      <c r="AQ82" s="4317">
        <f t="shared" si="449"/>
        <v>0</v>
      </c>
      <c r="AR82" s="4335">
        <f t="shared" si="188"/>
        <v>32.1</v>
      </c>
      <c r="AS82" s="4336">
        <v>32.1</v>
      </c>
      <c r="AT82" s="4336"/>
      <c r="AU82" s="4335">
        <f t="shared" si="190"/>
        <v>0</v>
      </c>
      <c r="AV82" s="4336"/>
      <c r="AW82" s="4336"/>
      <c r="AX82" s="4335">
        <f t="shared" si="192"/>
        <v>0</v>
      </c>
      <c r="AY82" s="4336"/>
      <c r="AZ82" s="4336"/>
      <c r="BA82" s="4335">
        <f t="shared" si="359"/>
        <v>32.1</v>
      </c>
      <c r="BB82" s="4335">
        <f t="shared" si="360"/>
        <v>32.1</v>
      </c>
      <c r="BC82" s="4335">
        <f t="shared" si="360"/>
        <v>0</v>
      </c>
      <c r="BD82" s="4318">
        <f t="shared" si="436"/>
        <v>150.17249999999999</v>
      </c>
      <c r="BE82" s="4318">
        <f t="shared" si="437"/>
        <v>150.17249999999999</v>
      </c>
      <c r="BF82" s="4318">
        <f t="shared" si="438"/>
        <v>0</v>
      </c>
      <c r="BG82" s="4337">
        <f t="shared" si="405"/>
        <v>163.446</v>
      </c>
      <c r="BH82" s="4337">
        <f t="shared" si="405"/>
        <v>163.446</v>
      </c>
      <c r="BI82" s="4337">
        <f t="shared" si="405"/>
        <v>0</v>
      </c>
      <c r="BJ82" s="4337">
        <f t="shared" si="455"/>
        <v>13.273500000000013</v>
      </c>
      <c r="BK82" s="4337">
        <f t="shared" si="455"/>
        <v>13.273500000000013</v>
      </c>
      <c r="BL82" s="4337">
        <f t="shared" si="455"/>
        <v>0</v>
      </c>
      <c r="BM82" s="4317">
        <f t="shared" si="439"/>
        <v>50.057499999999997</v>
      </c>
      <c r="BN82" s="4317">
        <f t="shared" si="450"/>
        <v>50.057499999999997</v>
      </c>
      <c r="BO82" s="4317">
        <f t="shared" si="450"/>
        <v>0</v>
      </c>
      <c r="BP82" s="4335">
        <f t="shared" si="200"/>
        <v>0</v>
      </c>
      <c r="BQ82" s="4336"/>
      <c r="BR82" s="4336"/>
      <c r="BS82" s="4335">
        <f t="shared" si="202"/>
        <v>0</v>
      </c>
      <c r="BT82" s="4336"/>
      <c r="BU82" s="4336"/>
      <c r="BV82" s="4335">
        <f t="shared" si="204"/>
        <v>0</v>
      </c>
      <c r="BW82" s="4336"/>
      <c r="BX82" s="4336"/>
      <c r="BY82" s="4335">
        <f t="shared" si="369"/>
        <v>0</v>
      </c>
      <c r="BZ82" s="4335">
        <f t="shared" si="370"/>
        <v>0</v>
      </c>
      <c r="CA82" s="4335">
        <f t="shared" si="370"/>
        <v>0</v>
      </c>
      <c r="CB82" s="4318">
        <f t="shared" si="387"/>
        <v>200.23</v>
      </c>
      <c r="CC82" s="4318">
        <v>200.23</v>
      </c>
      <c r="CD82" s="4318">
        <v>0</v>
      </c>
      <c r="CE82" s="4337">
        <f t="shared" si="407"/>
        <v>163.446</v>
      </c>
      <c r="CF82" s="4337">
        <f t="shared" si="407"/>
        <v>163.446</v>
      </c>
      <c r="CG82" s="4337">
        <f t="shared" si="407"/>
        <v>0</v>
      </c>
      <c r="CH82" s="4337">
        <f t="shared" si="456"/>
        <v>-36.783999999999992</v>
      </c>
      <c r="CI82" s="4337">
        <f t="shared" si="456"/>
        <v>-36.783999999999992</v>
      </c>
      <c r="CJ82" s="4337">
        <f t="shared" si="456"/>
        <v>0</v>
      </c>
      <c r="CK82" s="2774"/>
      <c r="CL82" s="3575">
        <f t="shared" si="132"/>
        <v>200.23</v>
      </c>
      <c r="CM82" s="3575">
        <f t="shared" si="132"/>
        <v>200.23</v>
      </c>
      <c r="CN82" s="3575">
        <f t="shared" si="132"/>
        <v>0</v>
      </c>
    </row>
    <row r="83" spans="1:92" ht="18.75" customHeight="1" x14ac:dyDescent="0.3">
      <c r="A83" s="4342" t="s">
        <v>598</v>
      </c>
      <c r="B83" s="4317">
        <f t="shared" si="451"/>
        <v>0</v>
      </c>
      <c r="C83" s="4317">
        <f t="shared" si="452"/>
        <v>0</v>
      </c>
      <c r="D83" s="4317">
        <f t="shared" si="452"/>
        <v>0</v>
      </c>
      <c r="E83" s="4335">
        <f t="shared" si="134"/>
        <v>272.43</v>
      </c>
      <c r="F83" s="4336">
        <v>272.43</v>
      </c>
      <c r="G83" s="4336"/>
      <c r="H83" s="4335">
        <f t="shared" si="135"/>
        <v>272.44200000000001</v>
      </c>
      <c r="I83" s="4336">
        <v>272.44200000000001</v>
      </c>
      <c r="J83" s="4336"/>
      <c r="K83" s="4335">
        <f t="shared" si="136"/>
        <v>276.96800000000002</v>
      </c>
      <c r="L83" s="4336">
        <v>276.96800000000002</v>
      </c>
      <c r="M83" s="4336"/>
      <c r="N83" s="4335">
        <f t="shared" si="344"/>
        <v>821.84000000000015</v>
      </c>
      <c r="O83" s="4335">
        <f t="shared" si="345"/>
        <v>821.84000000000015</v>
      </c>
      <c r="P83" s="4335">
        <f t="shared" si="345"/>
        <v>0</v>
      </c>
      <c r="Q83" s="4317">
        <f t="shared" si="398"/>
        <v>0</v>
      </c>
      <c r="R83" s="4317">
        <f t="shared" si="445"/>
        <v>0</v>
      </c>
      <c r="S83" s="4317">
        <f t="shared" si="446"/>
        <v>0</v>
      </c>
      <c r="T83" s="4335">
        <f t="shared" si="177"/>
        <v>207.38900000000001</v>
      </c>
      <c r="U83" s="4336">
        <v>207.38900000000001</v>
      </c>
      <c r="V83" s="4336"/>
      <c r="W83" s="4335">
        <f t="shared" si="179"/>
        <v>269.73200000000003</v>
      </c>
      <c r="X83" s="4336">
        <v>269.73200000000003</v>
      </c>
      <c r="Y83" s="4336"/>
      <c r="Z83" s="4335">
        <f t="shared" si="181"/>
        <v>270.721</v>
      </c>
      <c r="AA83" s="4336">
        <v>270.721</v>
      </c>
      <c r="AB83" s="4336"/>
      <c r="AC83" s="4335">
        <f t="shared" si="350"/>
        <v>747.8420000000001</v>
      </c>
      <c r="AD83" s="4335">
        <f t="shared" si="351"/>
        <v>747.8420000000001</v>
      </c>
      <c r="AE83" s="4335">
        <f t="shared" si="351"/>
        <v>0</v>
      </c>
      <c r="AF83" s="4318">
        <f t="shared" si="428"/>
        <v>0</v>
      </c>
      <c r="AG83" s="4318">
        <f t="shared" si="429"/>
        <v>0</v>
      </c>
      <c r="AH83" s="4318">
        <f t="shared" si="430"/>
        <v>0</v>
      </c>
      <c r="AI83" s="4337">
        <f t="shared" si="454"/>
        <v>1569.6820000000002</v>
      </c>
      <c r="AJ83" s="4337">
        <f t="shared" si="454"/>
        <v>1569.6820000000002</v>
      </c>
      <c r="AK83" s="4337">
        <f t="shared" si="454"/>
        <v>0</v>
      </c>
      <c r="AL83" s="4337">
        <f t="shared" si="453"/>
        <v>1569.6820000000002</v>
      </c>
      <c r="AM83" s="4337">
        <f t="shared" si="453"/>
        <v>1569.6820000000002</v>
      </c>
      <c r="AN83" s="4337">
        <f t="shared" si="453"/>
        <v>0</v>
      </c>
      <c r="AO83" s="4317">
        <f t="shared" si="447"/>
        <v>0</v>
      </c>
      <c r="AP83" s="4317">
        <f t="shared" si="448"/>
        <v>0</v>
      </c>
      <c r="AQ83" s="4317">
        <f t="shared" si="449"/>
        <v>0</v>
      </c>
      <c r="AR83" s="4335">
        <f t="shared" si="188"/>
        <v>273.58300000000003</v>
      </c>
      <c r="AS83" s="4336">
        <v>273.58300000000003</v>
      </c>
      <c r="AT83" s="4336"/>
      <c r="AU83" s="4335">
        <f t="shared" si="190"/>
        <v>0</v>
      </c>
      <c r="AV83" s="4336"/>
      <c r="AW83" s="4336"/>
      <c r="AX83" s="4335">
        <f t="shared" si="192"/>
        <v>0</v>
      </c>
      <c r="AY83" s="4336"/>
      <c r="AZ83" s="4336"/>
      <c r="BA83" s="4335">
        <f t="shared" si="359"/>
        <v>273.58300000000003</v>
      </c>
      <c r="BB83" s="4335">
        <f t="shared" si="360"/>
        <v>273.58300000000003</v>
      </c>
      <c r="BC83" s="4335">
        <f t="shared" si="360"/>
        <v>0</v>
      </c>
      <c r="BD83" s="4318">
        <f t="shared" si="436"/>
        <v>0</v>
      </c>
      <c r="BE83" s="4318">
        <f t="shared" si="437"/>
        <v>0</v>
      </c>
      <c r="BF83" s="4318">
        <f t="shared" si="438"/>
        <v>0</v>
      </c>
      <c r="BG83" s="4337">
        <f t="shared" si="405"/>
        <v>1843.2650000000003</v>
      </c>
      <c r="BH83" s="4337">
        <f t="shared" si="405"/>
        <v>1843.2650000000003</v>
      </c>
      <c r="BI83" s="4337">
        <f t="shared" si="405"/>
        <v>0</v>
      </c>
      <c r="BJ83" s="4337">
        <f t="shared" si="455"/>
        <v>1843.2650000000003</v>
      </c>
      <c r="BK83" s="4337">
        <f t="shared" si="455"/>
        <v>1843.2650000000003</v>
      </c>
      <c r="BL83" s="4337">
        <f t="shared" si="455"/>
        <v>0</v>
      </c>
      <c r="BM83" s="4317">
        <f t="shared" si="439"/>
        <v>0</v>
      </c>
      <c r="BN83" s="4317">
        <f t="shared" si="450"/>
        <v>0</v>
      </c>
      <c r="BO83" s="4317">
        <f t="shared" si="450"/>
        <v>0</v>
      </c>
      <c r="BP83" s="4335">
        <f t="shared" si="200"/>
        <v>0</v>
      </c>
      <c r="BQ83" s="4336"/>
      <c r="BR83" s="4336"/>
      <c r="BS83" s="4335">
        <f t="shared" si="202"/>
        <v>0</v>
      </c>
      <c r="BT83" s="4336"/>
      <c r="BU83" s="4336"/>
      <c r="BV83" s="4335">
        <f t="shared" si="204"/>
        <v>0</v>
      </c>
      <c r="BW83" s="4336"/>
      <c r="BX83" s="4336"/>
      <c r="BY83" s="4335">
        <f t="shared" si="369"/>
        <v>0</v>
      </c>
      <c r="BZ83" s="4335">
        <f t="shared" si="370"/>
        <v>0</v>
      </c>
      <c r="CA83" s="4335">
        <f t="shared" si="370"/>
        <v>0</v>
      </c>
      <c r="CB83" s="4318">
        <f t="shared" si="387"/>
        <v>0</v>
      </c>
      <c r="CC83" s="4318">
        <v>0</v>
      </c>
      <c r="CD83" s="4318">
        <v>0</v>
      </c>
      <c r="CE83" s="4337">
        <f t="shared" si="407"/>
        <v>1843.2650000000003</v>
      </c>
      <c r="CF83" s="4337">
        <f t="shared" si="407"/>
        <v>1843.2650000000003</v>
      </c>
      <c r="CG83" s="4337">
        <f t="shared" si="407"/>
        <v>0</v>
      </c>
      <c r="CH83" s="4337">
        <f t="shared" si="456"/>
        <v>1843.2650000000003</v>
      </c>
      <c r="CI83" s="4337">
        <f t="shared" si="456"/>
        <v>1843.2650000000003</v>
      </c>
      <c r="CJ83" s="4337">
        <f t="shared" si="456"/>
        <v>0</v>
      </c>
      <c r="CK83" s="2774"/>
      <c r="CL83" s="3575">
        <f t="shared" si="132"/>
        <v>0</v>
      </c>
      <c r="CM83" s="3575">
        <f t="shared" si="132"/>
        <v>0</v>
      </c>
      <c r="CN83" s="3575">
        <f t="shared" si="132"/>
        <v>0</v>
      </c>
    </row>
    <row r="84" spans="1:92" ht="18.75" customHeight="1" x14ac:dyDescent="0.3">
      <c r="A84" s="4342" t="s">
        <v>595</v>
      </c>
      <c r="B84" s="4317">
        <f t="shared" si="451"/>
        <v>0</v>
      </c>
      <c r="C84" s="4317">
        <f t="shared" si="452"/>
        <v>0</v>
      </c>
      <c r="D84" s="4317">
        <f t="shared" si="452"/>
        <v>0</v>
      </c>
      <c r="E84" s="4335">
        <f t="shared" si="134"/>
        <v>0</v>
      </c>
      <c r="F84" s="4336"/>
      <c r="G84" s="4336"/>
      <c r="H84" s="4335">
        <f t="shared" si="135"/>
        <v>0</v>
      </c>
      <c r="I84" s="4336"/>
      <c r="J84" s="4336"/>
      <c r="K84" s="4335">
        <f t="shared" si="136"/>
        <v>0</v>
      </c>
      <c r="L84" s="4336"/>
      <c r="M84" s="4336"/>
      <c r="N84" s="4335">
        <f t="shared" si="344"/>
        <v>0</v>
      </c>
      <c r="O84" s="4335">
        <f t="shared" si="345"/>
        <v>0</v>
      </c>
      <c r="P84" s="4335">
        <f t="shared" si="345"/>
        <v>0</v>
      </c>
      <c r="Q84" s="4317">
        <f t="shared" si="398"/>
        <v>0</v>
      </c>
      <c r="R84" s="4317">
        <f t="shared" si="445"/>
        <v>0</v>
      </c>
      <c r="S84" s="4317">
        <f t="shared" si="446"/>
        <v>0</v>
      </c>
      <c r="T84" s="4335">
        <f t="shared" si="177"/>
        <v>0</v>
      </c>
      <c r="U84" s="4336"/>
      <c r="V84" s="4336"/>
      <c r="W84" s="4335">
        <f t="shared" si="179"/>
        <v>0</v>
      </c>
      <c r="X84" s="4336"/>
      <c r="Y84" s="4336"/>
      <c r="Z84" s="4335">
        <f t="shared" si="181"/>
        <v>0</v>
      </c>
      <c r="AA84" s="4336"/>
      <c r="AB84" s="4336"/>
      <c r="AC84" s="4335">
        <f t="shared" si="350"/>
        <v>0</v>
      </c>
      <c r="AD84" s="4335">
        <f t="shared" si="351"/>
        <v>0</v>
      </c>
      <c r="AE84" s="4335">
        <f t="shared" si="351"/>
        <v>0</v>
      </c>
      <c r="AF84" s="4318">
        <f t="shared" si="428"/>
        <v>0</v>
      </c>
      <c r="AG84" s="4318">
        <f t="shared" si="429"/>
        <v>0</v>
      </c>
      <c r="AH84" s="4318">
        <f t="shared" si="430"/>
        <v>0</v>
      </c>
      <c r="AI84" s="4337">
        <f t="shared" si="454"/>
        <v>0</v>
      </c>
      <c r="AJ84" s="4337">
        <f t="shared" si="454"/>
        <v>0</v>
      </c>
      <c r="AK84" s="4337">
        <f t="shared" si="454"/>
        <v>0</v>
      </c>
      <c r="AL84" s="4337">
        <f t="shared" si="453"/>
        <v>0</v>
      </c>
      <c r="AM84" s="4337">
        <f t="shared" si="453"/>
        <v>0</v>
      </c>
      <c r="AN84" s="4337">
        <f t="shared" si="453"/>
        <v>0</v>
      </c>
      <c r="AO84" s="4317">
        <f t="shared" si="447"/>
        <v>0</v>
      </c>
      <c r="AP84" s="4317">
        <f t="shared" si="448"/>
        <v>0</v>
      </c>
      <c r="AQ84" s="4317">
        <f t="shared" si="449"/>
        <v>0</v>
      </c>
      <c r="AR84" s="4335">
        <f t="shared" si="188"/>
        <v>0</v>
      </c>
      <c r="AS84" s="4336"/>
      <c r="AT84" s="4336"/>
      <c r="AU84" s="4335">
        <f t="shared" si="190"/>
        <v>0</v>
      </c>
      <c r="AV84" s="4336"/>
      <c r="AW84" s="4336"/>
      <c r="AX84" s="4335">
        <f t="shared" si="192"/>
        <v>0</v>
      </c>
      <c r="AY84" s="4336"/>
      <c r="AZ84" s="4336"/>
      <c r="BA84" s="4335">
        <f t="shared" si="359"/>
        <v>0</v>
      </c>
      <c r="BB84" s="4335">
        <f t="shared" si="360"/>
        <v>0</v>
      </c>
      <c r="BC84" s="4335">
        <f t="shared" si="360"/>
        <v>0</v>
      </c>
      <c r="BD84" s="4318">
        <f t="shared" si="436"/>
        <v>0</v>
      </c>
      <c r="BE84" s="4318">
        <f t="shared" si="437"/>
        <v>0</v>
      </c>
      <c r="BF84" s="4318">
        <f t="shared" si="438"/>
        <v>0</v>
      </c>
      <c r="BG84" s="4337">
        <f t="shared" si="405"/>
        <v>0</v>
      </c>
      <c r="BH84" s="4337">
        <f t="shared" si="405"/>
        <v>0</v>
      </c>
      <c r="BI84" s="4337">
        <f t="shared" si="405"/>
        <v>0</v>
      </c>
      <c r="BJ84" s="4337">
        <f t="shared" si="455"/>
        <v>0</v>
      </c>
      <c r="BK84" s="4337">
        <f t="shared" si="455"/>
        <v>0</v>
      </c>
      <c r="BL84" s="4337">
        <f t="shared" si="455"/>
        <v>0</v>
      </c>
      <c r="BM84" s="4317">
        <f t="shared" si="439"/>
        <v>0</v>
      </c>
      <c r="BN84" s="4317">
        <f t="shared" si="450"/>
        <v>0</v>
      </c>
      <c r="BO84" s="4317">
        <f t="shared" si="450"/>
        <v>0</v>
      </c>
      <c r="BP84" s="4335">
        <f t="shared" si="200"/>
        <v>0</v>
      </c>
      <c r="BQ84" s="4336"/>
      <c r="BR84" s="4336"/>
      <c r="BS84" s="4335">
        <f t="shared" si="202"/>
        <v>0</v>
      </c>
      <c r="BT84" s="4336"/>
      <c r="BU84" s="4336"/>
      <c r="BV84" s="4335">
        <f t="shared" si="204"/>
        <v>0</v>
      </c>
      <c r="BW84" s="4336"/>
      <c r="BX84" s="4336"/>
      <c r="BY84" s="4335">
        <f t="shared" si="369"/>
        <v>0</v>
      </c>
      <c r="BZ84" s="4335">
        <f t="shared" si="370"/>
        <v>0</v>
      </c>
      <c r="CA84" s="4335">
        <f t="shared" si="370"/>
        <v>0</v>
      </c>
      <c r="CB84" s="4318">
        <f t="shared" si="387"/>
        <v>0</v>
      </c>
      <c r="CC84" s="4318">
        <v>0</v>
      </c>
      <c r="CD84" s="4318">
        <v>0</v>
      </c>
      <c r="CE84" s="4337">
        <f t="shared" si="407"/>
        <v>0</v>
      </c>
      <c r="CF84" s="4337">
        <f t="shared" si="407"/>
        <v>0</v>
      </c>
      <c r="CG84" s="4337">
        <f t="shared" si="407"/>
        <v>0</v>
      </c>
      <c r="CH84" s="4337">
        <f t="shared" si="456"/>
        <v>0</v>
      </c>
      <c r="CI84" s="4337">
        <f t="shared" si="456"/>
        <v>0</v>
      </c>
      <c r="CJ84" s="4337">
        <f t="shared" si="456"/>
        <v>0</v>
      </c>
      <c r="CK84" s="2774"/>
      <c r="CL84" s="3575">
        <f t="shared" si="132"/>
        <v>0</v>
      </c>
      <c r="CM84" s="3575">
        <f t="shared" si="132"/>
        <v>0</v>
      </c>
      <c r="CN84" s="3575">
        <f t="shared" si="132"/>
        <v>0</v>
      </c>
    </row>
    <row r="85" spans="1:92" ht="18.75" customHeight="1" x14ac:dyDescent="0.3">
      <c r="A85" s="4342" t="s">
        <v>3699</v>
      </c>
      <c r="B85" s="4317">
        <f t="shared" si="451"/>
        <v>0</v>
      </c>
      <c r="C85" s="4317">
        <f t="shared" si="452"/>
        <v>0</v>
      </c>
      <c r="D85" s="4317">
        <f t="shared" si="452"/>
        <v>0</v>
      </c>
      <c r="E85" s="4335">
        <f t="shared" si="134"/>
        <v>0</v>
      </c>
      <c r="F85" s="4336"/>
      <c r="G85" s="4336"/>
      <c r="H85" s="4335">
        <f t="shared" si="135"/>
        <v>0</v>
      </c>
      <c r="I85" s="4336"/>
      <c r="J85" s="4336"/>
      <c r="K85" s="4335">
        <f t="shared" si="136"/>
        <v>0</v>
      </c>
      <c r="L85" s="4336"/>
      <c r="M85" s="4336"/>
      <c r="N85" s="4335">
        <f t="shared" si="344"/>
        <v>0</v>
      </c>
      <c r="O85" s="4335">
        <f t="shared" si="345"/>
        <v>0</v>
      </c>
      <c r="P85" s="4335">
        <f t="shared" si="345"/>
        <v>0</v>
      </c>
      <c r="Q85" s="4317">
        <f t="shared" si="398"/>
        <v>0</v>
      </c>
      <c r="R85" s="4317">
        <f t="shared" si="445"/>
        <v>0</v>
      </c>
      <c r="S85" s="4317">
        <f t="shared" si="446"/>
        <v>0</v>
      </c>
      <c r="T85" s="4335">
        <f t="shared" si="177"/>
        <v>0</v>
      </c>
      <c r="U85" s="4336"/>
      <c r="V85" s="4336"/>
      <c r="W85" s="4335">
        <f t="shared" si="179"/>
        <v>0</v>
      </c>
      <c r="X85" s="4336"/>
      <c r="Y85" s="4336"/>
      <c r="Z85" s="4335">
        <f t="shared" si="181"/>
        <v>0</v>
      </c>
      <c r="AA85" s="4336"/>
      <c r="AB85" s="4336"/>
      <c r="AC85" s="4335">
        <f t="shared" si="350"/>
        <v>0</v>
      </c>
      <c r="AD85" s="4335">
        <f t="shared" si="351"/>
        <v>0</v>
      </c>
      <c r="AE85" s="4335">
        <f t="shared" si="351"/>
        <v>0</v>
      </c>
      <c r="AF85" s="4318">
        <f t="shared" si="428"/>
        <v>0</v>
      </c>
      <c r="AG85" s="4318">
        <f t="shared" si="429"/>
        <v>0</v>
      </c>
      <c r="AH85" s="4318">
        <f t="shared" si="430"/>
        <v>0</v>
      </c>
      <c r="AI85" s="4337">
        <f t="shared" si="454"/>
        <v>0</v>
      </c>
      <c r="AJ85" s="4337">
        <f t="shared" si="454"/>
        <v>0</v>
      </c>
      <c r="AK85" s="4337">
        <f t="shared" si="454"/>
        <v>0</v>
      </c>
      <c r="AL85" s="4337">
        <f t="shared" si="453"/>
        <v>0</v>
      </c>
      <c r="AM85" s="4337">
        <f t="shared" si="453"/>
        <v>0</v>
      </c>
      <c r="AN85" s="4337">
        <f t="shared" si="453"/>
        <v>0</v>
      </c>
      <c r="AO85" s="4317">
        <f t="shared" si="447"/>
        <v>0</v>
      </c>
      <c r="AP85" s="4317">
        <f t="shared" si="448"/>
        <v>0</v>
      </c>
      <c r="AQ85" s="4317">
        <f t="shared" si="449"/>
        <v>0</v>
      </c>
      <c r="AR85" s="4335">
        <f t="shared" si="188"/>
        <v>0</v>
      </c>
      <c r="AS85" s="4336"/>
      <c r="AT85" s="4336"/>
      <c r="AU85" s="4335">
        <f t="shared" si="190"/>
        <v>0</v>
      </c>
      <c r="AV85" s="4336"/>
      <c r="AW85" s="4336"/>
      <c r="AX85" s="4335">
        <f t="shared" si="192"/>
        <v>0</v>
      </c>
      <c r="AY85" s="4336"/>
      <c r="AZ85" s="4336"/>
      <c r="BA85" s="4335">
        <f t="shared" si="359"/>
        <v>0</v>
      </c>
      <c r="BB85" s="4335">
        <f t="shared" si="360"/>
        <v>0</v>
      </c>
      <c r="BC85" s="4335">
        <f t="shared" si="360"/>
        <v>0</v>
      </c>
      <c r="BD85" s="4318">
        <f t="shared" si="436"/>
        <v>0</v>
      </c>
      <c r="BE85" s="4318">
        <f t="shared" si="437"/>
        <v>0</v>
      </c>
      <c r="BF85" s="4318">
        <f t="shared" si="438"/>
        <v>0</v>
      </c>
      <c r="BG85" s="4337">
        <f t="shared" si="405"/>
        <v>0</v>
      </c>
      <c r="BH85" s="4337">
        <f t="shared" si="405"/>
        <v>0</v>
      </c>
      <c r="BI85" s="4337">
        <f t="shared" si="405"/>
        <v>0</v>
      </c>
      <c r="BJ85" s="4337">
        <f t="shared" si="455"/>
        <v>0</v>
      </c>
      <c r="BK85" s="4337">
        <f t="shared" si="455"/>
        <v>0</v>
      </c>
      <c r="BL85" s="4337">
        <f t="shared" si="455"/>
        <v>0</v>
      </c>
      <c r="BM85" s="4317">
        <f t="shared" si="439"/>
        <v>0</v>
      </c>
      <c r="BN85" s="4317">
        <f t="shared" si="450"/>
        <v>0</v>
      </c>
      <c r="BO85" s="4317">
        <f t="shared" si="450"/>
        <v>0</v>
      </c>
      <c r="BP85" s="4335">
        <f t="shared" si="200"/>
        <v>0</v>
      </c>
      <c r="BQ85" s="4336"/>
      <c r="BR85" s="4336"/>
      <c r="BS85" s="4335">
        <f t="shared" si="202"/>
        <v>0</v>
      </c>
      <c r="BT85" s="4336"/>
      <c r="BU85" s="4336"/>
      <c r="BV85" s="4335">
        <f t="shared" si="204"/>
        <v>0</v>
      </c>
      <c r="BW85" s="4336"/>
      <c r="BX85" s="4336"/>
      <c r="BY85" s="4335">
        <f t="shared" si="369"/>
        <v>0</v>
      </c>
      <c r="BZ85" s="4335">
        <f t="shared" si="370"/>
        <v>0</v>
      </c>
      <c r="CA85" s="4335">
        <f t="shared" si="370"/>
        <v>0</v>
      </c>
      <c r="CB85" s="4318">
        <f t="shared" si="387"/>
        <v>0</v>
      </c>
      <c r="CC85" s="4318">
        <v>0</v>
      </c>
      <c r="CD85" s="4318">
        <v>0</v>
      </c>
      <c r="CE85" s="4337">
        <f t="shared" si="407"/>
        <v>0</v>
      </c>
      <c r="CF85" s="4337">
        <f t="shared" si="407"/>
        <v>0</v>
      </c>
      <c r="CG85" s="4337">
        <f t="shared" si="407"/>
        <v>0</v>
      </c>
      <c r="CH85" s="4337">
        <f t="shared" si="456"/>
        <v>0</v>
      </c>
      <c r="CI85" s="4337">
        <f t="shared" si="456"/>
        <v>0</v>
      </c>
      <c r="CJ85" s="4337">
        <f t="shared" si="456"/>
        <v>0</v>
      </c>
      <c r="CK85" s="2774"/>
      <c r="CL85" s="3575">
        <f t="shared" si="132"/>
        <v>0</v>
      </c>
      <c r="CM85" s="3575">
        <f t="shared" si="132"/>
        <v>0</v>
      </c>
      <c r="CN85" s="3575">
        <f t="shared" si="132"/>
        <v>0</v>
      </c>
    </row>
    <row r="86" spans="1:92" ht="18.75" customHeight="1" x14ac:dyDescent="0.3">
      <c r="A86" s="4342" t="s">
        <v>38</v>
      </c>
      <c r="B86" s="4317">
        <f t="shared" si="451"/>
        <v>26.7</v>
      </c>
      <c r="C86" s="4317">
        <f t="shared" si="452"/>
        <v>26.7</v>
      </c>
      <c r="D86" s="4317">
        <f t="shared" si="452"/>
        <v>0</v>
      </c>
      <c r="E86" s="4335">
        <f t="shared" si="134"/>
        <v>4</v>
      </c>
      <c r="F86" s="4336">
        <v>4</v>
      </c>
      <c r="G86" s="4336"/>
      <c r="H86" s="4335">
        <f t="shared" si="135"/>
        <v>5.9</v>
      </c>
      <c r="I86" s="4336">
        <v>5.9</v>
      </c>
      <c r="J86" s="4336"/>
      <c r="K86" s="4335">
        <f t="shared" si="136"/>
        <v>35.5</v>
      </c>
      <c r="L86" s="4336">
        <v>35.5</v>
      </c>
      <c r="M86" s="4336"/>
      <c r="N86" s="4335">
        <f t="shared" si="344"/>
        <v>45.4</v>
      </c>
      <c r="O86" s="4335">
        <f t="shared" si="345"/>
        <v>45.4</v>
      </c>
      <c r="P86" s="4335">
        <f t="shared" si="345"/>
        <v>0</v>
      </c>
      <c r="Q86" s="4317">
        <f t="shared" si="398"/>
        <v>26.7</v>
      </c>
      <c r="R86" s="4317">
        <f t="shared" si="445"/>
        <v>26.7</v>
      </c>
      <c r="S86" s="4317">
        <f t="shared" si="446"/>
        <v>0</v>
      </c>
      <c r="T86" s="4335">
        <f t="shared" si="177"/>
        <v>7</v>
      </c>
      <c r="U86" s="4336">
        <v>7</v>
      </c>
      <c r="V86" s="4336"/>
      <c r="W86" s="4335">
        <f t="shared" si="179"/>
        <v>5.96</v>
      </c>
      <c r="X86" s="4336">
        <v>5.96</v>
      </c>
      <c r="Y86" s="4336"/>
      <c r="Z86" s="4335">
        <f t="shared" si="181"/>
        <v>15.82</v>
      </c>
      <c r="AA86" s="4336">
        <v>15.82</v>
      </c>
      <c r="AB86" s="4336"/>
      <c r="AC86" s="4335">
        <f t="shared" si="350"/>
        <v>28.78</v>
      </c>
      <c r="AD86" s="4335">
        <f t="shared" si="351"/>
        <v>28.78</v>
      </c>
      <c r="AE86" s="4335">
        <f t="shared" si="351"/>
        <v>0</v>
      </c>
      <c r="AF86" s="4318">
        <f t="shared" si="428"/>
        <v>53.4</v>
      </c>
      <c r="AG86" s="4318">
        <f t="shared" si="429"/>
        <v>53.4</v>
      </c>
      <c r="AH86" s="4318">
        <f t="shared" si="430"/>
        <v>0</v>
      </c>
      <c r="AI86" s="4337">
        <f t="shared" si="454"/>
        <v>74.180000000000007</v>
      </c>
      <c r="AJ86" s="4337">
        <f t="shared" si="454"/>
        <v>74.180000000000007</v>
      </c>
      <c r="AK86" s="4337">
        <f t="shared" si="454"/>
        <v>0</v>
      </c>
      <c r="AL86" s="4337">
        <f t="shared" si="453"/>
        <v>20.780000000000008</v>
      </c>
      <c r="AM86" s="4337">
        <f t="shared" si="453"/>
        <v>20.780000000000008</v>
      </c>
      <c r="AN86" s="4337">
        <f t="shared" si="453"/>
        <v>0</v>
      </c>
      <c r="AO86" s="4317">
        <f t="shared" si="447"/>
        <v>26.7</v>
      </c>
      <c r="AP86" s="4317">
        <f t="shared" si="448"/>
        <v>26.7</v>
      </c>
      <c r="AQ86" s="4317">
        <f t="shared" si="449"/>
        <v>0</v>
      </c>
      <c r="AR86" s="4335">
        <f t="shared" si="188"/>
        <v>29.4</v>
      </c>
      <c r="AS86" s="4336">
        <f>9.38+20.02</f>
        <v>29.4</v>
      </c>
      <c r="AT86" s="4336"/>
      <c r="AU86" s="4335">
        <f t="shared" si="190"/>
        <v>0</v>
      </c>
      <c r="AV86" s="4336"/>
      <c r="AW86" s="4336"/>
      <c r="AX86" s="4335">
        <f t="shared" si="192"/>
        <v>0</v>
      </c>
      <c r="AY86" s="4336"/>
      <c r="AZ86" s="4336"/>
      <c r="BA86" s="4335">
        <f t="shared" si="359"/>
        <v>29.4</v>
      </c>
      <c r="BB86" s="4335">
        <f t="shared" si="360"/>
        <v>29.4</v>
      </c>
      <c r="BC86" s="4335">
        <f t="shared" si="360"/>
        <v>0</v>
      </c>
      <c r="BD86" s="4318">
        <f t="shared" si="436"/>
        <v>80.099999999999994</v>
      </c>
      <c r="BE86" s="4318">
        <f t="shared" si="437"/>
        <v>80.099999999999994</v>
      </c>
      <c r="BF86" s="4318">
        <f t="shared" si="438"/>
        <v>0</v>
      </c>
      <c r="BG86" s="4337">
        <f t="shared" si="405"/>
        <v>103.58000000000001</v>
      </c>
      <c r="BH86" s="4337">
        <f t="shared" si="405"/>
        <v>103.58000000000001</v>
      </c>
      <c r="BI86" s="4337">
        <f t="shared" si="405"/>
        <v>0</v>
      </c>
      <c r="BJ86" s="4337">
        <f t="shared" si="455"/>
        <v>23.480000000000018</v>
      </c>
      <c r="BK86" s="4337">
        <f t="shared" si="455"/>
        <v>23.480000000000018</v>
      </c>
      <c r="BL86" s="4337">
        <f t="shared" si="455"/>
        <v>0</v>
      </c>
      <c r="BM86" s="4317">
        <f t="shared" si="439"/>
        <v>26.7</v>
      </c>
      <c r="BN86" s="4317">
        <f t="shared" si="450"/>
        <v>26.7</v>
      </c>
      <c r="BO86" s="4317">
        <f t="shared" si="450"/>
        <v>0</v>
      </c>
      <c r="BP86" s="4335">
        <f t="shared" si="200"/>
        <v>0</v>
      </c>
      <c r="BQ86" s="4336"/>
      <c r="BR86" s="4336"/>
      <c r="BS86" s="4335">
        <f t="shared" si="202"/>
        <v>0</v>
      </c>
      <c r="BT86" s="4336"/>
      <c r="BU86" s="4336"/>
      <c r="BV86" s="4335">
        <f t="shared" si="204"/>
        <v>0</v>
      </c>
      <c r="BW86" s="4336"/>
      <c r="BX86" s="4336"/>
      <c r="BY86" s="4335">
        <f t="shared" si="369"/>
        <v>0</v>
      </c>
      <c r="BZ86" s="4335">
        <f t="shared" si="370"/>
        <v>0</v>
      </c>
      <c r="CA86" s="4335">
        <f t="shared" si="370"/>
        <v>0</v>
      </c>
      <c r="CB86" s="4318">
        <f t="shared" si="387"/>
        <v>106.8</v>
      </c>
      <c r="CC86" s="4318">
        <v>106.8</v>
      </c>
      <c r="CD86" s="4318">
        <v>0</v>
      </c>
      <c r="CE86" s="4337">
        <f t="shared" si="407"/>
        <v>103.58000000000001</v>
      </c>
      <c r="CF86" s="4337">
        <f t="shared" si="407"/>
        <v>103.58000000000001</v>
      </c>
      <c r="CG86" s="4337">
        <f t="shared" si="407"/>
        <v>0</v>
      </c>
      <c r="CH86" s="4337">
        <f t="shared" si="456"/>
        <v>-3.2199999999999847</v>
      </c>
      <c r="CI86" s="4337">
        <f t="shared" si="456"/>
        <v>-3.2199999999999847</v>
      </c>
      <c r="CJ86" s="4337">
        <f t="shared" si="456"/>
        <v>0</v>
      </c>
      <c r="CK86" s="2774"/>
      <c r="CL86" s="3575">
        <f t="shared" si="132"/>
        <v>106.8</v>
      </c>
      <c r="CM86" s="3575">
        <f t="shared" si="132"/>
        <v>106.8</v>
      </c>
      <c r="CN86" s="3575">
        <f t="shared" si="132"/>
        <v>0</v>
      </c>
    </row>
    <row r="87" spans="1:92" ht="18.75" customHeight="1" x14ac:dyDescent="0.3">
      <c r="A87" s="4342" t="s">
        <v>3700</v>
      </c>
      <c r="B87" s="4317">
        <f t="shared" si="451"/>
        <v>14.54</v>
      </c>
      <c r="C87" s="4317">
        <f t="shared" si="452"/>
        <v>14.54</v>
      </c>
      <c r="D87" s="4317">
        <f t="shared" si="452"/>
        <v>0</v>
      </c>
      <c r="E87" s="4335">
        <f t="shared" si="134"/>
        <v>255.63300000000001</v>
      </c>
      <c r="F87" s="4336">
        <f>5.633+250</f>
        <v>255.63300000000001</v>
      </c>
      <c r="G87" s="4336"/>
      <c r="H87" s="4335">
        <f t="shared" si="135"/>
        <v>253.96700000000001</v>
      </c>
      <c r="I87" s="4336">
        <f>3.967+250</f>
        <v>253.96700000000001</v>
      </c>
      <c r="J87" s="4336"/>
      <c r="K87" s="4335">
        <f t="shared" si="136"/>
        <v>171.87799999999999</v>
      </c>
      <c r="L87" s="4336">
        <f>20.767+151.111</f>
        <v>171.87799999999999</v>
      </c>
      <c r="M87" s="4336"/>
      <c r="N87" s="4335">
        <f t="shared" si="344"/>
        <v>681.47800000000007</v>
      </c>
      <c r="O87" s="4335">
        <f t="shared" si="345"/>
        <v>681.47800000000007</v>
      </c>
      <c r="P87" s="4335">
        <f t="shared" si="345"/>
        <v>0</v>
      </c>
      <c r="Q87" s="4317">
        <f t="shared" si="398"/>
        <v>14.54</v>
      </c>
      <c r="R87" s="4317">
        <f t="shared" si="445"/>
        <v>14.54</v>
      </c>
      <c r="S87" s="4317">
        <f t="shared" si="446"/>
        <v>0</v>
      </c>
      <c r="T87" s="4335">
        <f t="shared" si="177"/>
        <v>350.44099999999997</v>
      </c>
      <c r="U87" s="4336">
        <f>3.967+346.474</f>
        <v>350.44099999999997</v>
      </c>
      <c r="V87" s="4336"/>
      <c r="W87" s="4335">
        <f t="shared" si="179"/>
        <v>182.96700000000001</v>
      </c>
      <c r="X87" s="4336">
        <f>3.967+179</f>
        <v>182.96700000000001</v>
      </c>
      <c r="Y87" s="4336"/>
      <c r="Z87" s="4335">
        <f t="shared" si="181"/>
        <v>556.70600000000002</v>
      </c>
      <c r="AA87" s="4336">
        <f>4.206+532.5+20</f>
        <v>556.70600000000002</v>
      </c>
      <c r="AB87" s="4336"/>
      <c r="AC87" s="4335">
        <f t="shared" si="350"/>
        <v>1090.114</v>
      </c>
      <c r="AD87" s="4335">
        <f t="shared" si="351"/>
        <v>1090.114</v>
      </c>
      <c r="AE87" s="4335">
        <f t="shared" si="351"/>
        <v>0</v>
      </c>
      <c r="AF87" s="4318">
        <f t="shared" si="428"/>
        <v>29.08</v>
      </c>
      <c r="AG87" s="4318">
        <f t="shared" si="429"/>
        <v>29.08</v>
      </c>
      <c r="AH87" s="4318">
        <f t="shared" si="430"/>
        <v>0</v>
      </c>
      <c r="AI87" s="4337">
        <f t="shared" si="454"/>
        <v>1771.5920000000001</v>
      </c>
      <c r="AJ87" s="4337">
        <f t="shared" si="454"/>
        <v>1771.5920000000001</v>
      </c>
      <c r="AK87" s="4337">
        <f t="shared" si="454"/>
        <v>0</v>
      </c>
      <c r="AL87" s="4337">
        <f t="shared" si="453"/>
        <v>1742.5120000000002</v>
      </c>
      <c r="AM87" s="4337">
        <f t="shared" si="453"/>
        <v>1742.5120000000002</v>
      </c>
      <c r="AN87" s="4337">
        <f t="shared" si="453"/>
        <v>0</v>
      </c>
      <c r="AO87" s="4317">
        <f t="shared" si="447"/>
        <v>14.54</v>
      </c>
      <c r="AP87" s="4317">
        <f t="shared" si="448"/>
        <v>14.54</v>
      </c>
      <c r="AQ87" s="4317">
        <f t="shared" si="449"/>
        <v>0</v>
      </c>
      <c r="AR87" s="4335">
        <f t="shared" si="188"/>
        <v>4.2789999999999999</v>
      </c>
      <c r="AS87" s="4336">
        <v>4.2789999999999999</v>
      </c>
      <c r="AT87" s="4336"/>
      <c r="AU87" s="4335">
        <f t="shared" si="190"/>
        <v>0</v>
      </c>
      <c r="AV87" s="4336"/>
      <c r="AW87" s="4336"/>
      <c r="AX87" s="4335">
        <f t="shared" si="192"/>
        <v>0</v>
      </c>
      <c r="AY87" s="4336"/>
      <c r="AZ87" s="4336"/>
      <c r="BA87" s="4335">
        <f t="shared" si="359"/>
        <v>4.2789999999999999</v>
      </c>
      <c r="BB87" s="4335">
        <f t="shared" si="360"/>
        <v>4.2789999999999999</v>
      </c>
      <c r="BC87" s="4335">
        <f t="shared" si="360"/>
        <v>0</v>
      </c>
      <c r="BD87" s="4318">
        <f t="shared" si="436"/>
        <v>43.62</v>
      </c>
      <c r="BE87" s="4318">
        <f t="shared" si="437"/>
        <v>43.62</v>
      </c>
      <c r="BF87" s="4318">
        <f t="shared" si="438"/>
        <v>0</v>
      </c>
      <c r="BG87" s="4337">
        <f t="shared" si="405"/>
        <v>1775.8710000000001</v>
      </c>
      <c r="BH87" s="4337">
        <f t="shared" si="405"/>
        <v>1775.8710000000001</v>
      </c>
      <c r="BI87" s="4337">
        <f t="shared" si="405"/>
        <v>0</v>
      </c>
      <c r="BJ87" s="4337">
        <f t="shared" si="455"/>
        <v>1732.2510000000002</v>
      </c>
      <c r="BK87" s="4337">
        <f t="shared" si="455"/>
        <v>1732.2510000000002</v>
      </c>
      <c r="BL87" s="4337">
        <f t="shared" si="455"/>
        <v>0</v>
      </c>
      <c r="BM87" s="4317">
        <f t="shared" si="439"/>
        <v>14.54</v>
      </c>
      <c r="BN87" s="4317">
        <f t="shared" si="450"/>
        <v>14.54</v>
      </c>
      <c r="BO87" s="4317">
        <f t="shared" si="450"/>
        <v>0</v>
      </c>
      <c r="BP87" s="4335">
        <f t="shared" si="200"/>
        <v>0</v>
      </c>
      <c r="BQ87" s="4336"/>
      <c r="BR87" s="4336"/>
      <c r="BS87" s="4335">
        <f t="shared" si="202"/>
        <v>0</v>
      </c>
      <c r="BT87" s="4336"/>
      <c r="BU87" s="4336"/>
      <c r="BV87" s="4335">
        <f t="shared" si="204"/>
        <v>0</v>
      </c>
      <c r="BW87" s="4336"/>
      <c r="BX87" s="4336"/>
      <c r="BY87" s="4335">
        <f t="shared" si="369"/>
        <v>0</v>
      </c>
      <c r="BZ87" s="4335">
        <f t="shared" si="370"/>
        <v>0</v>
      </c>
      <c r="CA87" s="4335">
        <f t="shared" si="370"/>
        <v>0</v>
      </c>
      <c r="CB87" s="4318">
        <f t="shared" si="387"/>
        <v>58.16</v>
      </c>
      <c r="CC87" s="4318">
        <v>58.16</v>
      </c>
      <c r="CD87" s="4318">
        <v>0</v>
      </c>
      <c r="CE87" s="4337">
        <f t="shared" si="407"/>
        <v>1775.8710000000001</v>
      </c>
      <c r="CF87" s="4337">
        <f t="shared" si="407"/>
        <v>1775.8710000000001</v>
      </c>
      <c r="CG87" s="4337">
        <f t="shared" si="407"/>
        <v>0</v>
      </c>
      <c r="CH87" s="4337">
        <f t="shared" si="456"/>
        <v>1717.711</v>
      </c>
      <c r="CI87" s="4337">
        <f t="shared" si="456"/>
        <v>1717.711</v>
      </c>
      <c r="CJ87" s="4337">
        <f t="shared" si="456"/>
        <v>0</v>
      </c>
      <c r="CK87" s="2774"/>
      <c r="CL87" s="3575">
        <f t="shared" si="132"/>
        <v>58.16</v>
      </c>
      <c r="CM87" s="3575">
        <f t="shared" si="132"/>
        <v>58.16</v>
      </c>
      <c r="CN87" s="3575">
        <f t="shared" si="132"/>
        <v>0</v>
      </c>
    </row>
    <row r="88" spans="1:92" ht="18.75" customHeight="1" x14ac:dyDescent="0.3">
      <c r="A88" s="4342" t="s">
        <v>589</v>
      </c>
      <c r="B88" s="4317">
        <f t="shared" ref="B88:B93" si="457">SUM(C88:D88)</f>
        <v>650.24509999999987</v>
      </c>
      <c r="C88" s="4317">
        <f t="shared" ref="C88:D88" si="458">SUM(C89:C92)</f>
        <v>650.24509999999987</v>
      </c>
      <c r="D88" s="4317">
        <f t="shared" si="458"/>
        <v>0</v>
      </c>
      <c r="E88" s="4335">
        <f t="shared" si="134"/>
        <v>588.30400000000009</v>
      </c>
      <c r="F88" s="4316">
        <f>SUM(F89:F92)</f>
        <v>588.30400000000009</v>
      </c>
      <c r="G88" s="4316">
        <f t="shared" ref="G88" si="459">SUM(G89:G92)</f>
        <v>0</v>
      </c>
      <c r="H88" s="4335">
        <f t="shared" si="135"/>
        <v>412.55200000000002</v>
      </c>
      <c r="I88" s="4316">
        <f t="shared" ref="I88:J88" si="460">SUM(I89:I92)</f>
        <v>412.55200000000002</v>
      </c>
      <c r="J88" s="4316">
        <f t="shared" si="460"/>
        <v>0</v>
      </c>
      <c r="K88" s="4335">
        <f t="shared" si="136"/>
        <v>366.33199999999999</v>
      </c>
      <c r="L88" s="4316">
        <f t="shared" ref="L88:M88" si="461">SUM(L89:L92)</f>
        <v>366.33199999999999</v>
      </c>
      <c r="M88" s="4316">
        <f t="shared" si="461"/>
        <v>0</v>
      </c>
      <c r="N88" s="4335">
        <f t="shared" si="344"/>
        <v>1367.1880000000001</v>
      </c>
      <c r="O88" s="4335">
        <f t="shared" si="345"/>
        <v>1367.1880000000001</v>
      </c>
      <c r="P88" s="4335">
        <f t="shared" si="345"/>
        <v>0</v>
      </c>
      <c r="Q88" s="4317">
        <f t="shared" si="398"/>
        <v>650.24509999999987</v>
      </c>
      <c r="R88" s="4317">
        <f t="shared" ref="R88:S88" si="462">SUM(R89:R92)</f>
        <v>650.24509999999987</v>
      </c>
      <c r="S88" s="4317">
        <f t="shared" si="462"/>
        <v>0</v>
      </c>
      <c r="T88" s="4335">
        <f t="shared" si="177"/>
        <v>305.33299999999997</v>
      </c>
      <c r="U88" s="4316">
        <f t="shared" ref="U88:V88" si="463">SUM(U89:U92)</f>
        <v>305.33299999999997</v>
      </c>
      <c r="V88" s="4316">
        <f t="shared" si="463"/>
        <v>0</v>
      </c>
      <c r="W88" s="4335">
        <f t="shared" si="179"/>
        <v>156.98599999999999</v>
      </c>
      <c r="X88" s="4316">
        <f t="shared" ref="X88:Y88" si="464">SUM(X89:X92)</f>
        <v>156.98599999999999</v>
      </c>
      <c r="Y88" s="4316">
        <f t="shared" si="464"/>
        <v>0</v>
      </c>
      <c r="Z88" s="4335">
        <f t="shared" si="181"/>
        <v>81.714999999999989</v>
      </c>
      <c r="AA88" s="4316">
        <f t="shared" ref="AA88:AB88" si="465">SUM(AA89:AA92)</f>
        <v>81.714999999999989</v>
      </c>
      <c r="AB88" s="4316">
        <f t="shared" si="465"/>
        <v>0</v>
      </c>
      <c r="AC88" s="4335">
        <f t="shared" si="350"/>
        <v>544.03399999999999</v>
      </c>
      <c r="AD88" s="4335">
        <f t="shared" si="351"/>
        <v>544.03399999999999</v>
      </c>
      <c r="AE88" s="4335">
        <f t="shared" si="351"/>
        <v>0</v>
      </c>
      <c r="AF88" s="4318">
        <f t="shared" si="428"/>
        <v>1300.4901999999997</v>
      </c>
      <c r="AG88" s="4318">
        <f t="shared" si="429"/>
        <v>1300.4901999999997</v>
      </c>
      <c r="AH88" s="4318">
        <f t="shared" si="430"/>
        <v>0</v>
      </c>
      <c r="AI88" s="4337">
        <f t="shared" si="454"/>
        <v>1911.2220000000002</v>
      </c>
      <c r="AJ88" s="4337">
        <f t="shared" si="454"/>
        <v>1911.2220000000002</v>
      </c>
      <c r="AK88" s="4337">
        <f t="shared" si="454"/>
        <v>0</v>
      </c>
      <c r="AL88" s="4337">
        <f t="shared" si="453"/>
        <v>610.73180000000048</v>
      </c>
      <c r="AM88" s="4337">
        <f t="shared" si="453"/>
        <v>610.73180000000048</v>
      </c>
      <c r="AN88" s="4337">
        <f t="shared" si="453"/>
        <v>0</v>
      </c>
      <c r="AO88" s="4317">
        <f t="shared" ref="AO88:AO93" si="466">SUM(AP88:AQ88)</f>
        <v>650.24509999999987</v>
      </c>
      <c r="AP88" s="4317">
        <f t="shared" ref="AP88:AQ88" si="467">SUM(AP89:AP92)</f>
        <v>650.24509999999987</v>
      </c>
      <c r="AQ88" s="4317">
        <f t="shared" si="467"/>
        <v>0</v>
      </c>
      <c r="AR88" s="4335">
        <f t="shared" si="188"/>
        <v>30.103000000000002</v>
      </c>
      <c r="AS88" s="4316">
        <f t="shared" ref="AS88:AT88" si="468">SUM(AS89:AS92)</f>
        <v>30.103000000000002</v>
      </c>
      <c r="AT88" s="4316">
        <f t="shared" si="468"/>
        <v>0</v>
      </c>
      <c r="AU88" s="4335">
        <f t="shared" si="190"/>
        <v>0</v>
      </c>
      <c r="AV88" s="4316">
        <f t="shared" ref="AV88:AW88" si="469">SUM(AV89:AV92)</f>
        <v>0</v>
      </c>
      <c r="AW88" s="4316">
        <f t="shared" si="469"/>
        <v>0</v>
      </c>
      <c r="AX88" s="4335">
        <f t="shared" si="192"/>
        <v>0</v>
      </c>
      <c r="AY88" s="4316">
        <f t="shared" ref="AY88:AZ88" si="470">SUM(AY89:AY92)</f>
        <v>0</v>
      </c>
      <c r="AZ88" s="4316">
        <f t="shared" si="470"/>
        <v>0</v>
      </c>
      <c r="BA88" s="4335">
        <f t="shared" si="359"/>
        <v>30.103000000000002</v>
      </c>
      <c r="BB88" s="4335">
        <f t="shared" si="360"/>
        <v>30.103000000000002</v>
      </c>
      <c r="BC88" s="4335">
        <f t="shared" si="360"/>
        <v>0</v>
      </c>
      <c r="BD88" s="4318">
        <f t="shared" si="436"/>
        <v>1950.7352999999996</v>
      </c>
      <c r="BE88" s="4318">
        <f t="shared" si="437"/>
        <v>1950.7352999999996</v>
      </c>
      <c r="BF88" s="4318">
        <f t="shared" si="438"/>
        <v>0</v>
      </c>
      <c r="BG88" s="4337">
        <f t="shared" si="405"/>
        <v>1941.3250000000003</v>
      </c>
      <c r="BH88" s="4337">
        <f t="shared" si="405"/>
        <v>1941.3250000000003</v>
      </c>
      <c r="BI88" s="4337">
        <f t="shared" si="405"/>
        <v>0</v>
      </c>
      <c r="BJ88" s="4337">
        <f t="shared" si="455"/>
        <v>-9.4102999999993244</v>
      </c>
      <c r="BK88" s="4337">
        <f t="shared" si="455"/>
        <v>-9.4102999999993244</v>
      </c>
      <c r="BL88" s="4337">
        <f t="shared" si="455"/>
        <v>0</v>
      </c>
      <c r="BM88" s="4317">
        <f t="shared" ref="BM88:BM93" si="471">SUM(BN88:BO88)</f>
        <v>650.24509999999987</v>
      </c>
      <c r="BN88" s="4317">
        <f t="shared" ref="BN88:BO88" si="472">SUM(BN89:BN92)</f>
        <v>650.24509999999987</v>
      </c>
      <c r="BO88" s="4317">
        <f t="shared" si="472"/>
        <v>0</v>
      </c>
      <c r="BP88" s="4335">
        <f t="shared" si="200"/>
        <v>0</v>
      </c>
      <c r="BQ88" s="4316">
        <f t="shared" ref="BQ88:BR88" si="473">SUM(BQ89:BQ92)</f>
        <v>0</v>
      </c>
      <c r="BR88" s="4316">
        <f t="shared" si="473"/>
        <v>0</v>
      </c>
      <c r="BS88" s="4335">
        <f t="shared" si="202"/>
        <v>0</v>
      </c>
      <c r="BT88" s="4316">
        <f t="shared" ref="BT88:BU88" si="474">SUM(BT89:BT92)</f>
        <v>0</v>
      </c>
      <c r="BU88" s="4316">
        <f t="shared" si="474"/>
        <v>0</v>
      </c>
      <c r="BV88" s="4335">
        <f t="shared" si="204"/>
        <v>0</v>
      </c>
      <c r="BW88" s="4316">
        <f t="shared" ref="BW88:BX88" si="475">SUM(BW89:BW92)</f>
        <v>0</v>
      </c>
      <c r="BX88" s="4316">
        <f t="shared" si="475"/>
        <v>0</v>
      </c>
      <c r="BY88" s="4335">
        <f t="shared" si="369"/>
        <v>0</v>
      </c>
      <c r="BZ88" s="4335">
        <f t="shared" si="370"/>
        <v>0</v>
      </c>
      <c r="CA88" s="4335">
        <f t="shared" si="370"/>
        <v>0</v>
      </c>
      <c r="CB88" s="4318">
        <f t="shared" ref="CB88:CD88" si="476">SUM(CB89:CB92)</f>
        <v>2600.9803999999995</v>
      </c>
      <c r="CC88" s="4318">
        <f t="shared" si="476"/>
        <v>2600.9803999999995</v>
      </c>
      <c r="CD88" s="4318">
        <f t="shared" si="476"/>
        <v>0</v>
      </c>
      <c r="CE88" s="4337">
        <f t="shared" si="407"/>
        <v>1941.3250000000003</v>
      </c>
      <c r="CF88" s="4337">
        <f t="shared" si="407"/>
        <v>1941.3250000000003</v>
      </c>
      <c r="CG88" s="4337">
        <f t="shared" si="407"/>
        <v>0</v>
      </c>
      <c r="CH88" s="4337">
        <f t="shared" si="456"/>
        <v>-659.65539999999919</v>
      </c>
      <c r="CI88" s="4337">
        <f t="shared" si="456"/>
        <v>-659.65539999999919</v>
      </c>
      <c r="CJ88" s="4337">
        <f t="shared" si="456"/>
        <v>0</v>
      </c>
      <c r="CK88" s="2780"/>
      <c r="CL88" s="3575">
        <f t="shared" si="132"/>
        <v>2600.9803999999995</v>
      </c>
      <c r="CM88" s="3575">
        <f t="shared" si="132"/>
        <v>2600.9803999999995</v>
      </c>
      <c r="CN88" s="3575">
        <f t="shared" si="132"/>
        <v>0</v>
      </c>
    </row>
    <row r="89" spans="1:92" ht="18.75" customHeight="1" x14ac:dyDescent="0.3">
      <c r="A89" s="4343" t="s">
        <v>3886</v>
      </c>
      <c r="B89" s="4324">
        <f t="shared" si="457"/>
        <v>555.23434999999995</v>
      </c>
      <c r="C89" s="4324">
        <f t="shared" ref="C89:C92" si="477">SUM(CC89/4)</f>
        <v>555.23434999999995</v>
      </c>
      <c r="D89" s="4324">
        <f t="shared" ref="D89:D92" si="478">SUM(CD89/4)</f>
        <v>0</v>
      </c>
      <c r="E89" s="4344">
        <f t="shared" si="134"/>
        <v>423.93900000000002</v>
      </c>
      <c r="F89" s="4345">
        <f>369.946+53.993</f>
        <v>423.93900000000002</v>
      </c>
      <c r="G89" s="4345"/>
      <c r="H89" s="4344">
        <f t="shared" si="135"/>
        <v>409.05</v>
      </c>
      <c r="I89" s="4345">
        <f>356.358+52.692</f>
        <v>409.05</v>
      </c>
      <c r="J89" s="4345"/>
      <c r="K89" s="4344">
        <f t="shared" si="136"/>
        <v>287.26400000000001</v>
      </c>
      <c r="L89" s="4345">
        <f>247.642+39.622</f>
        <v>287.26400000000001</v>
      </c>
      <c r="M89" s="4345"/>
      <c r="N89" s="4344">
        <f t="shared" si="344"/>
        <v>1120.2530000000002</v>
      </c>
      <c r="O89" s="4344">
        <f t="shared" si="345"/>
        <v>1120.2530000000002</v>
      </c>
      <c r="P89" s="4344">
        <f t="shared" si="345"/>
        <v>0</v>
      </c>
      <c r="Q89" s="4324">
        <f t="shared" si="398"/>
        <v>555.23434999999995</v>
      </c>
      <c r="R89" s="4324">
        <f t="shared" ref="R89:R92" si="479">SUM(C89)</f>
        <v>555.23434999999995</v>
      </c>
      <c r="S89" s="4324">
        <f t="shared" ref="S89:S92" si="480">SUM(D89)</f>
        <v>0</v>
      </c>
      <c r="T89" s="4344">
        <f t="shared" si="177"/>
        <v>271.00299999999999</v>
      </c>
      <c r="U89" s="4345">
        <f>232.79+38.213</f>
        <v>271.00299999999999</v>
      </c>
      <c r="V89" s="4345"/>
      <c r="W89" s="4344">
        <f t="shared" si="179"/>
        <v>140.149</v>
      </c>
      <c r="X89" s="4345">
        <f>117.932+22.217</f>
        <v>140.149</v>
      </c>
      <c r="Y89" s="4345"/>
      <c r="Z89" s="4344">
        <f t="shared" si="181"/>
        <v>8.57</v>
      </c>
      <c r="AA89" s="4345">
        <v>8.57</v>
      </c>
      <c r="AB89" s="4345"/>
      <c r="AC89" s="4344">
        <f t="shared" si="350"/>
        <v>419.72199999999998</v>
      </c>
      <c r="AD89" s="4344">
        <f t="shared" si="351"/>
        <v>419.72199999999998</v>
      </c>
      <c r="AE89" s="4344">
        <f t="shared" si="351"/>
        <v>0</v>
      </c>
      <c r="AF89" s="4326">
        <f t="shared" si="428"/>
        <v>1110.4686999999999</v>
      </c>
      <c r="AG89" s="4326">
        <f t="shared" si="429"/>
        <v>1110.4686999999999</v>
      </c>
      <c r="AH89" s="4326">
        <f t="shared" si="430"/>
        <v>0</v>
      </c>
      <c r="AI89" s="4340">
        <f t="shared" si="454"/>
        <v>1539.9750000000001</v>
      </c>
      <c r="AJ89" s="4340">
        <f t="shared" si="454"/>
        <v>1539.9750000000001</v>
      </c>
      <c r="AK89" s="4340">
        <f t="shared" si="454"/>
        <v>0</v>
      </c>
      <c r="AL89" s="4340">
        <f t="shared" si="453"/>
        <v>429.50630000000024</v>
      </c>
      <c r="AM89" s="4340">
        <f t="shared" si="453"/>
        <v>429.50630000000024</v>
      </c>
      <c r="AN89" s="4340">
        <f t="shared" si="453"/>
        <v>0</v>
      </c>
      <c r="AO89" s="4324">
        <f t="shared" si="466"/>
        <v>555.23434999999995</v>
      </c>
      <c r="AP89" s="4324">
        <f t="shared" ref="AP89:AQ92" si="481">SUM(CC89-AG89)/2</f>
        <v>555.23434999999995</v>
      </c>
      <c r="AQ89" s="4324">
        <f t="shared" si="481"/>
        <v>0</v>
      </c>
      <c r="AR89" s="4344">
        <f t="shared" si="188"/>
        <v>7.6859999999999999</v>
      </c>
      <c r="AS89" s="4345">
        <v>7.6859999999999999</v>
      </c>
      <c r="AT89" s="4345"/>
      <c r="AU89" s="4344">
        <f t="shared" si="190"/>
        <v>0</v>
      </c>
      <c r="AV89" s="4345"/>
      <c r="AW89" s="4345"/>
      <c r="AX89" s="4344">
        <f t="shared" si="192"/>
        <v>0</v>
      </c>
      <c r="AY89" s="4345"/>
      <c r="AZ89" s="4345"/>
      <c r="BA89" s="4344">
        <f t="shared" si="359"/>
        <v>7.6859999999999999</v>
      </c>
      <c r="BB89" s="4344">
        <f t="shared" si="360"/>
        <v>7.6859999999999999</v>
      </c>
      <c r="BC89" s="4344">
        <f t="shared" si="360"/>
        <v>0</v>
      </c>
      <c r="BD89" s="4326">
        <f t="shared" si="436"/>
        <v>1665.7030499999998</v>
      </c>
      <c r="BE89" s="4326">
        <f t="shared" si="437"/>
        <v>1665.7030499999998</v>
      </c>
      <c r="BF89" s="4326">
        <f t="shared" si="438"/>
        <v>0</v>
      </c>
      <c r="BG89" s="4340">
        <f t="shared" si="405"/>
        <v>1547.6610000000001</v>
      </c>
      <c r="BH89" s="4340">
        <f t="shared" si="405"/>
        <v>1547.6610000000001</v>
      </c>
      <c r="BI89" s="4340">
        <f t="shared" si="405"/>
        <v>0</v>
      </c>
      <c r="BJ89" s="4340">
        <f t="shared" si="455"/>
        <v>-118.04204999999979</v>
      </c>
      <c r="BK89" s="4340">
        <f t="shared" si="455"/>
        <v>-118.04204999999979</v>
      </c>
      <c r="BL89" s="4340">
        <f t="shared" si="455"/>
        <v>0</v>
      </c>
      <c r="BM89" s="4324">
        <f t="shared" si="471"/>
        <v>555.23434999999995</v>
      </c>
      <c r="BN89" s="4324">
        <f t="shared" ref="BN89:BO92" si="482">SUM(AP89)</f>
        <v>555.23434999999995</v>
      </c>
      <c r="BO89" s="4324">
        <f t="shared" si="482"/>
        <v>0</v>
      </c>
      <c r="BP89" s="4344">
        <f t="shared" si="200"/>
        <v>0</v>
      </c>
      <c r="BQ89" s="4345"/>
      <c r="BR89" s="4345"/>
      <c r="BS89" s="4344">
        <f t="shared" si="202"/>
        <v>0</v>
      </c>
      <c r="BT89" s="4345"/>
      <c r="BU89" s="4345"/>
      <c r="BV89" s="4344">
        <f t="shared" si="204"/>
        <v>0</v>
      </c>
      <c r="BW89" s="4345"/>
      <c r="BX89" s="4345"/>
      <c r="BY89" s="4344">
        <f t="shared" si="369"/>
        <v>0</v>
      </c>
      <c r="BZ89" s="4344">
        <f t="shared" si="370"/>
        <v>0</v>
      </c>
      <c r="CA89" s="4344">
        <f t="shared" si="370"/>
        <v>0</v>
      </c>
      <c r="CB89" s="4326">
        <f t="shared" si="387"/>
        <v>2220.9373999999998</v>
      </c>
      <c r="CC89" s="4326">
        <v>2220.9373999999998</v>
      </c>
      <c r="CD89" s="4326">
        <v>0</v>
      </c>
      <c r="CE89" s="4340">
        <f t="shared" si="407"/>
        <v>1547.6610000000001</v>
      </c>
      <c r="CF89" s="4340">
        <f t="shared" si="407"/>
        <v>1547.6610000000001</v>
      </c>
      <c r="CG89" s="4340">
        <f t="shared" si="407"/>
        <v>0</v>
      </c>
      <c r="CH89" s="4340">
        <f t="shared" si="456"/>
        <v>-673.27639999999974</v>
      </c>
      <c r="CI89" s="4340">
        <f t="shared" si="456"/>
        <v>-673.27639999999974</v>
      </c>
      <c r="CJ89" s="4340">
        <f t="shared" si="456"/>
        <v>0</v>
      </c>
      <c r="CK89" s="2774"/>
      <c r="CL89" s="3575">
        <f t="shared" si="132"/>
        <v>2220.9373999999998</v>
      </c>
      <c r="CM89" s="3575">
        <f t="shared" si="132"/>
        <v>2220.9373999999998</v>
      </c>
      <c r="CN89" s="3575">
        <f t="shared" si="132"/>
        <v>0</v>
      </c>
    </row>
    <row r="90" spans="1:92" ht="18.75" customHeight="1" x14ac:dyDescent="0.3">
      <c r="A90" s="4343" t="s">
        <v>546</v>
      </c>
      <c r="B90" s="4324">
        <f t="shared" si="457"/>
        <v>90.71575</v>
      </c>
      <c r="C90" s="4324">
        <f t="shared" si="477"/>
        <v>90.71575</v>
      </c>
      <c r="D90" s="4324">
        <f t="shared" si="478"/>
        <v>0</v>
      </c>
      <c r="E90" s="4344">
        <f t="shared" si="134"/>
        <v>162.92500000000001</v>
      </c>
      <c r="F90" s="4345">
        <v>162.92500000000001</v>
      </c>
      <c r="G90" s="4345"/>
      <c r="H90" s="4344">
        <f t="shared" si="135"/>
        <v>2.0619999999999998</v>
      </c>
      <c r="I90" s="4345">
        <v>2.0619999999999998</v>
      </c>
      <c r="J90" s="4345"/>
      <c r="K90" s="4344">
        <f t="shared" si="136"/>
        <v>77.628</v>
      </c>
      <c r="L90" s="4345">
        <f>50.054+27.574</f>
        <v>77.628</v>
      </c>
      <c r="M90" s="4345"/>
      <c r="N90" s="4344">
        <f t="shared" si="344"/>
        <v>242.61500000000001</v>
      </c>
      <c r="O90" s="4344">
        <f t="shared" si="345"/>
        <v>242.61500000000001</v>
      </c>
      <c r="P90" s="4344">
        <f t="shared" si="345"/>
        <v>0</v>
      </c>
      <c r="Q90" s="4324">
        <f t="shared" si="398"/>
        <v>90.71575</v>
      </c>
      <c r="R90" s="4324">
        <f t="shared" si="479"/>
        <v>90.71575</v>
      </c>
      <c r="S90" s="4324">
        <f t="shared" si="480"/>
        <v>0</v>
      </c>
      <c r="T90" s="4344">
        <f t="shared" si="177"/>
        <v>32.89</v>
      </c>
      <c r="U90" s="4345">
        <v>32.89</v>
      </c>
      <c r="V90" s="4345"/>
      <c r="W90" s="4344">
        <f t="shared" si="179"/>
        <v>15.397</v>
      </c>
      <c r="X90" s="4345">
        <v>15.397</v>
      </c>
      <c r="Y90" s="4345"/>
      <c r="Z90" s="4344">
        <f t="shared" si="181"/>
        <v>71.344999999999999</v>
      </c>
      <c r="AA90" s="4345">
        <v>71.344999999999999</v>
      </c>
      <c r="AB90" s="4345"/>
      <c r="AC90" s="4344">
        <f t="shared" si="350"/>
        <v>119.63200000000001</v>
      </c>
      <c r="AD90" s="4344">
        <f t="shared" si="351"/>
        <v>119.63200000000001</v>
      </c>
      <c r="AE90" s="4344">
        <f t="shared" si="351"/>
        <v>0</v>
      </c>
      <c r="AF90" s="4326">
        <f t="shared" si="428"/>
        <v>181.4315</v>
      </c>
      <c r="AG90" s="4326">
        <f t="shared" si="429"/>
        <v>181.4315</v>
      </c>
      <c r="AH90" s="4326">
        <f t="shared" si="430"/>
        <v>0</v>
      </c>
      <c r="AI90" s="4340">
        <f t="shared" si="454"/>
        <v>362.24700000000001</v>
      </c>
      <c r="AJ90" s="4340">
        <f t="shared" si="454"/>
        <v>362.24700000000001</v>
      </c>
      <c r="AK90" s="4340">
        <f t="shared" si="454"/>
        <v>0</v>
      </c>
      <c r="AL90" s="4340">
        <f t="shared" si="453"/>
        <v>180.81550000000001</v>
      </c>
      <c r="AM90" s="4340">
        <f t="shared" si="453"/>
        <v>180.81550000000001</v>
      </c>
      <c r="AN90" s="4340">
        <f t="shared" si="453"/>
        <v>0</v>
      </c>
      <c r="AO90" s="4324">
        <f t="shared" si="466"/>
        <v>90.71575</v>
      </c>
      <c r="AP90" s="4324">
        <f t="shared" si="481"/>
        <v>90.71575</v>
      </c>
      <c r="AQ90" s="4324">
        <f t="shared" si="481"/>
        <v>0</v>
      </c>
      <c r="AR90" s="4344">
        <f t="shared" si="188"/>
        <v>20.617000000000001</v>
      </c>
      <c r="AS90" s="4345">
        <v>20.617000000000001</v>
      </c>
      <c r="AT90" s="4345"/>
      <c r="AU90" s="4344">
        <f t="shared" si="190"/>
        <v>0</v>
      </c>
      <c r="AV90" s="4345"/>
      <c r="AW90" s="4345"/>
      <c r="AX90" s="4344">
        <f t="shared" si="192"/>
        <v>0</v>
      </c>
      <c r="AY90" s="4345"/>
      <c r="AZ90" s="4345"/>
      <c r="BA90" s="4344">
        <f t="shared" si="359"/>
        <v>20.617000000000001</v>
      </c>
      <c r="BB90" s="4344">
        <f t="shared" si="360"/>
        <v>20.617000000000001</v>
      </c>
      <c r="BC90" s="4344">
        <f t="shared" si="360"/>
        <v>0</v>
      </c>
      <c r="BD90" s="4326">
        <f t="shared" si="436"/>
        <v>272.14724999999999</v>
      </c>
      <c r="BE90" s="4326">
        <f t="shared" si="437"/>
        <v>272.14724999999999</v>
      </c>
      <c r="BF90" s="4326">
        <f t="shared" si="438"/>
        <v>0</v>
      </c>
      <c r="BG90" s="4340">
        <f t="shared" si="405"/>
        <v>382.86400000000003</v>
      </c>
      <c r="BH90" s="4340">
        <f t="shared" si="405"/>
        <v>382.86400000000003</v>
      </c>
      <c r="BI90" s="4340">
        <f t="shared" si="405"/>
        <v>0</v>
      </c>
      <c r="BJ90" s="4340">
        <f t="shared" si="455"/>
        <v>110.71675000000005</v>
      </c>
      <c r="BK90" s="4340">
        <f t="shared" si="455"/>
        <v>110.71675000000005</v>
      </c>
      <c r="BL90" s="4340">
        <f t="shared" si="455"/>
        <v>0</v>
      </c>
      <c r="BM90" s="4324">
        <f t="shared" si="471"/>
        <v>90.71575</v>
      </c>
      <c r="BN90" s="4324">
        <f t="shared" si="482"/>
        <v>90.71575</v>
      </c>
      <c r="BO90" s="4324">
        <f t="shared" si="482"/>
        <v>0</v>
      </c>
      <c r="BP90" s="4344">
        <f t="shared" si="200"/>
        <v>0</v>
      </c>
      <c r="BQ90" s="4345"/>
      <c r="BR90" s="4345"/>
      <c r="BS90" s="4344">
        <f t="shared" si="202"/>
        <v>0</v>
      </c>
      <c r="BT90" s="4345"/>
      <c r="BU90" s="4345"/>
      <c r="BV90" s="4344">
        <f t="shared" si="204"/>
        <v>0</v>
      </c>
      <c r="BW90" s="4345"/>
      <c r="BX90" s="4345"/>
      <c r="BY90" s="4344">
        <f t="shared" si="369"/>
        <v>0</v>
      </c>
      <c r="BZ90" s="4344">
        <f t="shared" si="370"/>
        <v>0</v>
      </c>
      <c r="CA90" s="4344">
        <f t="shared" si="370"/>
        <v>0</v>
      </c>
      <c r="CB90" s="4326">
        <f t="shared" si="387"/>
        <v>362.863</v>
      </c>
      <c r="CC90" s="4326">
        <v>362.863</v>
      </c>
      <c r="CD90" s="4326">
        <v>0</v>
      </c>
      <c r="CE90" s="4340">
        <f t="shared" si="407"/>
        <v>382.86400000000003</v>
      </c>
      <c r="CF90" s="4340">
        <f t="shared" si="407"/>
        <v>382.86400000000003</v>
      </c>
      <c r="CG90" s="4340">
        <f t="shared" si="407"/>
        <v>0</v>
      </c>
      <c r="CH90" s="4340">
        <f t="shared" si="456"/>
        <v>20.001000000000033</v>
      </c>
      <c r="CI90" s="4340">
        <f t="shared" si="456"/>
        <v>20.001000000000033</v>
      </c>
      <c r="CJ90" s="4340">
        <f t="shared" si="456"/>
        <v>0</v>
      </c>
      <c r="CK90" s="2774"/>
      <c r="CL90" s="3575">
        <f t="shared" si="132"/>
        <v>362.863</v>
      </c>
      <c r="CM90" s="3575">
        <f t="shared" si="132"/>
        <v>362.863</v>
      </c>
      <c r="CN90" s="3575">
        <f t="shared" si="132"/>
        <v>0</v>
      </c>
    </row>
    <row r="91" spans="1:92" ht="18.75" customHeight="1" x14ac:dyDescent="0.3">
      <c r="A91" s="4343" t="s">
        <v>545</v>
      </c>
      <c r="B91" s="4324">
        <f t="shared" si="457"/>
        <v>0</v>
      </c>
      <c r="C91" s="4324">
        <f t="shared" si="477"/>
        <v>0</v>
      </c>
      <c r="D91" s="4324">
        <f t="shared" si="478"/>
        <v>0</v>
      </c>
      <c r="E91" s="4344">
        <f t="shared" si="134"/>
        <v>0</v>
      </c>
      <c r="F91" s="4345"/>
      <c r="G91" s="4345"/>
      <c r="H91" s="4344">
        <f t="shared" si="135"/>
        <v>0</v>
      </c>
      <c r="I91" s="4345"/>
      <c r="J91" s="4345"/>
      <c r="K91" s="4344">
        <f t="shared" si="136"/>
        <v>0</v>
      </c>
      <c r="L91" s="4345"/>
      <c r="M91" s="4345"/>
      <c r="N91" s="4344">
        <f t="shared" si="344"/>
        <v>0</v>
      </c>
      <c r="O91" s="4344">
        <f t="shared" si="345"/>
        <v>0</v>
      </c>
      <c r="P91" s="4344">
        <f t="shared" si="345"/>
        <v>0</v>
      </c>
      <c r="Q91" s="4324">
        <f t="shared" si="398"/>
        <v>0</v>
      </c>
      <c r="R91" s="4324">
        <f t="shared" si="479"/>
        <v>0</v>
      </c>
      <c r="S91" s="4324">
        <f t="shared" si="480"/>
        <v>0</v>
      </c>
      <c r="T91" s="4344">
        <f t="shared" si="177"/>
        <v>0</v>
      </c>
      <c r="U91" s="4345"/>
      <c r="V91" s="4345"/>
      <c r="W91" s="4344">
        <f t="shared" si="179"/>
        <v>0</v>
      </c>
      <c r="X91" s="4345"/>
      <c r="Y91" s="4345"/>
      <c r="Z91" s="4344">
        <f t="shared" si="181"/>
        <v>0</v>
      </c>
      <c r="AA91" s="4345"/>
      <c r="AB91" s="4345"/>
      <c r="AC91" s="4344">
        <f t="shared" si="350"/>
        <v>0</v>
      </c>
      <c r="AD91" s="4344">
        <f t="shared" si="351"/>
        <v>0</v>
      </c>
      <c r="AE91" s="4344">
        <f t="shared" si="351"/>
        <v>0</v>
      </c>
      <c r="AF91" s="4326">
        <f t="shared" si="428"/>
        <v>0</v>
      </c>
      <c r="AG91" s="4326">
        <f t="shared" si="429"/>
        <v>0</v>
      </c>
      <c r="AH91" s="4326">
        <f t="shared" si="430"/>
        <v>0</v>
      </c>
      <c r="AI91" s="4340">
        <f t="shared" si="454"/>
        <v>0</v>
      </c>
      <c r="AJ91" s="4340">
        <f t="shared" si="454"/>
        <v>0</v>
      </c>
      <c r="AK91" s="4340">
        <f t="shared" si="454"/>
        <v>0</v>
      </c>
      <c r="AL91" s="4340">
        <f t="shared" si="453"/>
        <v>0</v>
      </c>
      <c r="AM91" s="4340">
        <f t="shared" si="453"/>
        <v>0</v>
      </c>
      <c r="AN91" s="4340">
        <f t="shared" si="453"/>
        <v>0</v>
      </c>
      <c r="AO91" s="4324">
        <f t="shared" si="466"/>
        <v>0</v>
      </c>
      <c r="AP91" s="4324">
        <f t="shared" si="481"/>
        <v>0</v>
      </c>
      <c r="AQ91" s="4324">
        <f t="shared" si="481"/>
        <v>0</v>
      </c>
      <c r="AR91" s="4344">
        <f t="shared" si="188"/>
        <v>0</v>
      </c>
      <c r="AS91" s="4345"/>
      <c r="AT91" s="4345"/>
      <c r="AU91" s="4344">
        <f t="shared" si="190"/>
        <v>0</v>
      </c>
      <c r="AV91" s="4345"/>
      <c r="AW91" s="4345"/>
      <c r="AX91" s="4344">
        <f t="shared" si="192"/>
        <v>0</v>
      </c>
      <c r="AY91" s="4345"/>
      <c r="AZ91" s="4345"/>
      <c r="BA91" s="4344">
        <f t="shared" si="359"/>
        <v>0</v>
      </c>
      <c r="BB91" s="4344">
        <f t="shared" si="360"/>
        <v>0</v>
      </c>
      <c r="BC91" s="4344">
        <f t="shared" si="360"/>
        <v>0</v>
      </c>
      <c r="BD91" s="4326">
        <f t="shared" si="436"/>
        <v>0</v>
      </c>
      <c r="BE91" s="4326">
        <f t="shared" si="437"/>
        <v>0</v>
      </c>
      <c r="BF91" s="4326">
        <f t="shared" si="438"/>
        <v>0</v>
      </c>
      <c r="BG91" s="4340">
        <f t="shared" si="405"/>
        <v>0</v>
      </c>
      <c r="BH91" s="4340">
        <f t="shared" si="405"/>
        <v>0</v>
      </c>
      <c r="BI91" s="4340">
        <f t="shared" si="405"/>
        <v>0</v>
      </c>
      <c r="BJ91" s="4340">
        <f t="shared" si="455"/>
        <v>0</v>
      </c>
      <c r="BK91" s="4340">
        <f t="shared" si="455"/>
        <v>0</v>
      </c>
      <c r="BL91" s="4340">
        <f t="shared" si="455"/>
        <v>0</v>
      </c>
      <c r="BM91" s="4324">
        <f t="shared" si="471"/>
        <v>0</v>
      </c>
      <c r="BN91" s="4324">
        <f t="shared" si="482"/>
        <v>0</v>
      </c>
      <c r="BO91" s="4324">
        <f t="shared" si="482"/>
        <v>0</v>
      </c>
      <c r="BP91" s="4344">
        <f t="shared" si="200"/>
        <v>0</v>
      </c>
      <c r="BQ91" s="4345"/>
      <c r="BR91" s="4345"/>
      <c r="BS91" s="4344">
        <f t="shared" si="202"/>
        <v>0</v>
      </c>
      <c r="BT91" s="4345"/>
      <c r="BU91" s="4345"/>
      <c r="BV91" s="4344">
        <f t="shared" si="204"/>
        <v>0</v>
      </c>
      <c r="BW91" s="4345"/>
      <c r="BX91" s="4345"/>
      <c r="BY91" s="4344">
        <f t="shared" si="369"/>
        <v>0</v>
      </c>
      <c r="BZ91" s="4344">
        <f t="shared" si="370"/>
        <v>0</v>
      </c>
      <c r="CA91" s="4344">
        <f t="shared" si="370"/>
        <v>0</v>
      </c>
      <c r="CB91" s="4326">
        <f t="shared" si="387"/>
        <v>0</v>
      </c>
      <c r="CC91" s="4326">
        <v>0</v>
      </c>
      <c r="CD91" s="4326">
        <v>0</v>
      </c>
      <c r="CE91" s="4340">
        <f t="shared" si="407"/>
        <v>0</v>
      </c>
      <c r="CF91" s="4340">
        <f t="shared" si="407"/>
        <v>0</v>
      </c>
      <c r="CG91" s="4340">
        <f t="shared" si="407"/>
        <v>0</v>
      </c>
      <c r="CH91" s="4340">
        <f t="shared" si="456"/>
        <v>0</v>
      </c>
      <c r="CI91" s="4340">
        <f t="shared" si="456"/>
        <v>0</v>
      </c>
      <c r="CJ91" s="4340">
        <f t="shared" si="456"/>
        <v>0</v>
      </c>
      <c r="CK91" s="2774"/>
      <c r="CL91" s="3575">
        <f t="shared" si="132"/>
        <v>0</v>
      </c>
      <c r="CM91" s="3575">
        <f t="shared" si="132"/>
        <v>0</v>
      </c>
      <c r="CN91" s="3575">
        <f t="shared" si="132"/>
        <v>0</v>
      </c>
    </row>
    <row r="92" spans="1:92" ht="18.75" customHeight="1" x14ac:dyDescent="0.3">
      <c r="A92" s="4343" t="s">
        <v>3701</v>
      </c>
      <c r="B92" s="4324">
        <f t="shared" si="457"/>
        <v>4.2949999999999999</v>
      </c>
      <c r="C92" s="4324">
        <f t="shared" si="477"/>
        <v>4.2949999999999999</v>
      </c>
      <c r="D92" s="4324">
        <f t="shared" si="478"/>
        <v>0</v>
      </c>
      <c r="E92" s="4344">
        <f t="shared" si="134"/>
        <v>1.44</v>
      </c>
      <c r="F92" s="4345">
        <v>1.44</v>
      </c>
      <c r="G92" s="4345"/>
      <c r="H92" s="4344">
        <f t="shared" si="135"/>
        <v>1.44</v>
      </c>
      <c r="I92" s="4345">
        <v>1.44</v>
      </c>
      <c r="J92" s="4345"/>
      <c r="K92" s="4344">
        <f t="shared" si="136"/>
        <v>1.44</v>
      </c>
      <c r="L92" s="4345">
        <v>1.44</v>
      </c>
      <c r="M92" s="4345"/>
      <c r="N92" s="4344">
        <f t="shared" si="344"/>
        <v>4.32</v>
      </c>
      <c r="O92" s="4344">
        <f t="shared" si="345"/>
        <v>4.32</v>
      </c>
      <c r="P92" s="4344">
        <f t="shared" si="345"/>
        <v>0</v>
      </c>
      <c r="Q92" s="4324">
        <f t="shared" si="398"/>
        <v>4.2949999999999999</v>
      </c>
      <c r="R92" s="4324">
        <f t="shared" si="479"/>
        <v>4.2949999999999999</v>
      </c>
      <c r="S92" s="4324">
        <f t="shared" si="480"/>
        <v>0</v>
      </c>
      <c r="T92" s="4344">
        <f t="shared" si="177"/>
        <v>1.44</v>
      </c>
      <c r="U92" s="4345">
        <v>1.44</v>
      </c>
      <c r="V92" s="4345"/>
      <c r="W92" s="4344">
        <f t="shared" si="179"/>
        <v>1.44</v>
      </c>
      <c r="X92" s="4345">
        <v>1.44</v>
      </c>
      <c r="Y92" s="4345"/>
      <c r="Z92" s="4344">
        <f t="shared" si="181"/>
        <v>1.8</v>
      </c>
      <c r="AA92" s="4345">
        <v>1.8</v>
      </c>
      <c r="AB92" s="4345"/>
      <c r="AC92" s="4344">
        <f t="shared" si="350"/>
        <v>4.68</v>
      </c>
      <c r="AD92" s="4344">
        <f t="shared" si="351"/>
        <v>4.68</v>
      </c>
      <c r="AE92" s="4344">
        <f t="shared" si="351"/>
        <v>0</v>
      </c>
      <c r="AF92" s="4326">
        <f t="shared" si="428"/>
        <v>8.59</v>
      </c>
      <c r="AG92" s="4326">
        <f t="shared" si="429"/>
        <v>8.59</v>
      </c>
      <c r="AH92" s="4326">
        <f t="shared" si="430"/>
        <v>0</v>
      </c>
      <c r="AI92" s="4340">
        <f t="shared" si="454"/>
        <v>9</v>
      </c>
      <c r="AJ92" s="4340">
        <f t="shared" si="454"/>
        <v>9</v>
      </c>
      <c r="AK92" s="4340">
        <f t="shared" si="454"/>
        <v>0</v>
      </c>
      <c r="AL92" s="4340">
        <f t="shared" si="453"/>
        <v>0.41000000000000014</v>
      </c>
      <c r="AM92" s="4340">
        <f t="shared" si="453"/>
        <v>0.41000000000000014</v>
      </c>
      <c r="AN92" s="4340">
        <f t="shared" si="453"/>
        <v>0</v>
      </c>
      <c r="AO92" s="4324">
        <f t="shared" si="466"/>
        <v>4.2949999999999999</v>
      </c>
      <c r="AP92" s="4324">
        <f t="shared" si="481"/>
        <v>4.2949999999999999</v>
      </c>
      <c r="AQ92" s="4324">
        <f t="shared" si="481"/>
        <v>0</v>
      </c>
      <c r="AR92" s="4344">
        <f t="shared" si="188"/>
        <v>1.8</v>
      </c>
      <c r="AS92" s="4345">
        <v>1.8</v>
      </c>
      <c r="AT92" s="4345"/>
      <c r="AU92" s="4344">
        <f t="shared" si="190"/>
        <v>0</v>
      </c>
      <c r="AV92" s="4345"/>
      <c r="AW92" s="4345"/>
      <c r="AX92" s="4344">
        <f t="shared" si="192"/>
        <v>0</v>
      </c>
      <c r="AY92" s="4345"/>
      <c r="AZ92" s="4345"/>
      <c r="BA92" s="4344">
        <f t="shared" si="359"/>
        <v>1.8</v>
      </c>
      <c r="BB92" s="4344">
        <f t="shared" si="360"/>
        <v>1.8</v>
      </c>
      <c r="BC92" s="4344">
        <f t="shared" si="360"/>
        <v>0</v>
      </c>
      <c r="BD92" s="4326">
        <f t="shared" si="436"/>
        <v>12.885</v>
      </c>
      <c r="BE92" s="4326">
        <f t="shared" si="437"/>
        <v>12.885</v>
      </c>
      <c r="BF92" s="4326">
        <f t="shared" si="438"/>
        <v>0</v>
      </c>
      <c r="BG92" s="4340">
        <f t="shared" si="405"/>
        <v>10.8</v>
      </c>
      <c r="BH92" s="4340">
        <f t="shared" si="405"/>
        <v>10.8</v>
      </c>
      <c r="BI92" s="4340">
        <f t="shared" si="405"/>
        <v>0</v>
      </c>
      <c r="BJ92" s="4340">
        <f t="shared" si="455"/>
        <v>-2.0849999999999991</v>
      </c>
      <c r="BK92" s="4340">
        <f t="shared" si="455"/>
        <v>-2.0849999999999991</v>
      </c>
      <c r="BL92" s="4340">
        <f t="shared" si="455"/>
        <v>0</v>
      </c>
      <c r="BM92" s="4324">
        <f t="shared" si="471"/>
        <v>4.2949999999999999</v>
      </c>
      <c r="BN92" s="4324">
        <f t="shared" si="482"/>
        <v>4.2949999999999999</v>
      </c>
      <c r="BO92" s="4324">
        <f t="shared" si="482"/>
        <v>0</v>
      </c>
      <c r="BP92" s="4344">
        <f t="shared" si="200"/>
        <v>0</v>
      </c>
      <c r="BQ92" s="4345"/>
      <c r="BR92" s="4345"/>
      <c r="BS92" s="4344">
        <f t="shared" si="202"/>
        <v>0</v>
      </c>
      <c r="BT92" s="4345"/>
      <c r="BU92" s="4345"/>
      <c r="BV92" s="4344">
        <f t="shared" si="204"/>
        <v>0</v>
      </c>
      <c r="BW92" s="4345"/>
      <c r="BX92" s="4345"/>
      <c r="BY92" s="4344">
        <f t="shared" si="369"/>
        <v>0</v>
      </c>
      <c r="BZ92" s="4344">
        <f t="shared" si="370"/>
        <v>0</v>
      </c>
      <c r="CA92" s="4344">
        <f t="shared" si="370"/>
        <v>0</v>
      </c>
      <c r="CB92" s="4326">
        <f t="shared" si="387"/>
        <v>17.18</v>
      </c>
      <c r="CC92" s="4326">
        <v>17.18</v>
      </c>
      <c r="CD92" s="4326">
        <v>0</v>
      </c>
      <c r="CE92" s="4340">
        <f t="shared" si="407"/>
        <v>10.8</v>
      </c>
      <c r="CF92" s="4340">
        <f t="shared" si="407"/>
        <v>10.8</v>
      </c>
      <c r="CG92" s="4340">
        <f t="shared" si="407"/>
        <v>0</v>
      </c>
      <c r="CH92" s="4340">
        <f t="shared" si="456"/>
        <v>-6.379999999999999</v>
      </c>
      <c r="CI92" s="4340">
        <f t="shared" si="456"/>
        <v>-6.379999999999999</v>
      </c>
      <c r="CJ92" s="4340">
        <f t="shared" si="456"/>
        <v>0</v>
      </c>
      <c r="CK92" s="2774"/>
      <c r="CL92" s="3575">
        <f t="shared" ref="CL92:CN155" si="483">SUM(B92+Q92+AO92+BM92)</f>
        <v>17.18</v>
      </c>
      <c r="CM92" s="3575">
        <f t="shared" si="483"/>
        <v>17.18</v>
      </c>
      <c r="CN92" s="3575">
        <f t="shared" si="483"/>
        <v>0</v>
      </c>
    </row>
    <row r="93" spans="1:92" ht="18.75" customHeight="1" x14ac:dyDescent="0.3">
      <c r="A93" s="4342" t="s">
        <v>592</v>
      </c>
      <c r="B93" s="4317">
        <f t="shared" si="457"/>
        <v>93.305000000000007</v>
      </c>
      <c r="C93" s="4317">
        <f t="shared" ref="C93:G93" si="484">SUM(C94:C97)</f>
        <v>93.305000000000007</v>
      </c>
      <c r="D93" s="4317">
        <f t="shared" si="484"/>
        <v>0</v>
      </c>
      <c r="E93" s="4335">
        <f t="shared" ref="E93:E103" si="485">SUM(F93:G93)</f>
        <v>35.020000000000003</v>
      </c>
      <c r="F93" s="4316">
        <f>SUM(F94:F97)</f>
        <v>35.020000000000003</v>
      </c>
      <c r="G93" s="4316">
        <f t="shared" si="484"/>
        <v>0</v>
      </c>
      <c r="H93" s="4335">
        <f t="shared" ref="H93:H103" si="486">SUM(I93:J93)</f>
        <v>65.897999999999996</v>
      </c>
      <c r="I93" s="4316">
        <f t="shared" ref="I93:J93" si="487">SUM(I94:I97)</f>
        <v>65.897999999999996</v>
      </c>
      <c r="J93" s="4316">
        <f t="shared" si="487"/>
        <v>0</v>
      </c>
      <c r="K93" s="4335">
        <f t="shared" ref="K93:K103" si="488">SUM(L93:M93)</f>
        <v>93.33</v>
      </c>
      <c r="L93" s="4316">
        <f t="shared" ref="L93:M93" si="489">SUM(L94:L97)</f>
        <v>93.33</v>
      </c>
      <c r="M93" s="4316">
        <f t="shared" si="489"/>
        <v>0</v>
      </c>
      <c r="N93" s="4335">
        <f t="shared" si="344"/>
        <v>194.24799999999999</v>
      </c>
      <c r="O93" s="4335">
        <f t="shared" si="345"/>
        <v>194.24799999999999</v>
      </c>
      <c r="P93" s="4335">
        <f t="shared" si="345"/>
        <v>0</v>
      </c>
      <c r="Q93" s="4317">
        <f t="shared" si="398"/>
        <v>93.305000000000007</v>
      </c>
      <c r="R93" s="4317">
        <f t="shared" ref="R93:S93" si="490">SUM(R94:R97)</f>
        <v>93.305000000000007</v>
      </c>
      <c r="S93" s="4317">
        <f t="shared" si="490"/>
        <v>0</v>
      </c>
      <c r="T93" s="4335">
        <f t="shared" si="177"/>
        <v>26.763000000000002</v>
      </c>
      <c r="U93" s="4316">
        <f t="shared" ref="U93:V93" si="491">SUM(U94:U97)</f>
        <v>26.763000000000002</v>
      </c>
      <c r="V93" s="4316">
        <f t="shared" si="491"/>
        <v>0</v>
      </c>
      <c r="W93" s="4335">
        <f t="shared" si="179"/>
        <v>30.14</v>
      </c>
      <c r="X93" s="4316">
        <f t="shared" ref="X93:Y93" si="492">SUM(X94:X97)</f>
        <v>30.14</v>
      </c>
      <c r="Y93" s="4316">
        <f t="shared" si="492"/>
        <v>0</v>
      </c>
      <c r="Z93" s="4335">
        <f t="shared" si="181"/>
        <v>26.516999999999999</v>
      </c>
      <c r="AA93" s="4316">
        <f t="shared" ref="AA93:AB93" si="493">SUM(AA94:AA97)</f>
        <v>26.516999999999999</v>
      </c>
      <c r="AB93" s="4316">
        <f t="shared" si="493"/>
        <v>0</v>
      </c>
      <c r="AC93" s="4335">
        <f t="shared" si="350"/>
        <v>83.42</v>
      </c>
      <c r="AD93" s="4335">
        <f t="shared" si="351"/>
        <v>83.42</v>
      </c>
      <c r="AE93" s="4335">
        <f t="shared" si="351"/>
        <v>0</v>
      </c>
      <c r="AF93" s="4318">
        <f t="shared" si="428"/>
        <v>186.61</v>
      </c>
      <c r="AG93" s="4318">
        <f t="shared" si="429"/>
        <v>186.61</v>
      </c>
      <c r="AH93" s="4318">
        <f t="shared" si="430"/>
        <v>0</v>
      </c>
      <c r="AI93" s="4337">
        <f t="shared" si="454"/>
        <v>277.66800000000001</v>
      </c>
      <c r="AJ93" s="4337">
        <f t="shared" si="454"/>
        <v>277.66800000000001</v>
      </c>
      <c r="AK93" s="4337">
        <f t="shared" si="454"/>
        <v>0</v>
      </c>
      <c r="AL93" s="4337">
        <f t="shared" si="453"/>
        <v>91.057999999999993</v>
      </c>
      <c r="AM93" s="4337">
        <f t="shared" si="453"/>
        <v>91.057999999999993</v>
      </c>
      <c r="AN93" s="4337">
        <f t="shared" si="453"/>
        <v>0</v>
      </c>
      <c r="AO93" s="4317">
        <f t="shared" si="466"/>
        <v>93.305000000000007</v>
      </c>
      <c r="AP93" s="4317">
        <f t="shared" ref="AP93:AQ93" si="494">SUM(AP94:AP97)</f>
        <v>93.305000000000007</v>
      </c>
      <c r="AQ93" s="4317">
        <f t="shared" si="494"/>
        <v>0</v>
      </c>
      <c r="AR93" s="4335">
        <f t="shared" si="188"/>
        <v>175.24100000000001</v>
      </c>
      <c r="AS93" s="4316">
        <f t="shared" ref="AS93:AT93" si="495">SUM(AS94:AS97)</f>
        <v>175.24100000000001</v>
      </c>
      <c r="AT93" s="4316">
        <f t="shared" si="495"/>
        <v>0</v>
      </c>
      <c r="AU93" s="4335">
        <f t="shared" si="190"/>
        <v>0</v>
      </c>
      <c r="AV93" s="4316">
        <f t="shared" ref="AV93:AW93" si="496">SUM(AV94:AV97)</f>
        <v>0</v>
      </c>
      <c r="AW93" s="4316">
        <f t="shared" si="496"/>
        <v>0</v>
      </c>
      <c r="AX93" s="4335">
        <f t="shared" si="192"/>
        <v>0</v>
      </c>
      <c r="AY93" s="4316">
        <f t="shared" ref="AY93:AZ93" si="497">SUM(AY94:AY97)</f>
        <v>0</v>
      </c>
      <c r="AZ93" s="4316">
        <f t="shared" si="497"/>
        <v>0</v>
      </c>
      <c r="BA93" s="4335">
        <f t="shared" si="359"/>
        <v>175.24100000000001</v>
      </c>
      <c r="BB93" s="4335">
        <f t="shared" si="360"/>
        <v>175.24100000000001</v>
      </c>
      <c r="BC93" s="4335">
        <f t="shared" si="360"/>
        <v>0</v>
      </c>
      <c r="BD93" s="4318">
        <f t="shared" si="436"/>
        <v>279.91500000000002</v>
      </c>
      <c r="BE93" s="4318">
        <f t="shared" si="437"/>
        <v>279.91500000000002</v>
      </c>
      <c r="BF93" s="4318">
        <f t="shared" si="438"/>
        <v>0</v>
      </c>
      <c r="BG93" s="4337">
        <f t="shared" si="405"/>
        <v>452.90899999999999</v>
      </c>
      <c r="BH93" s="4337">
        <f t="shared" si="405"/>
        <v>452.90899999999999</v>
      </c>
      <c r="BI93" s="4337">
        <f t="shared" si="405"/>
        <v>0</v>
      </c>
      <c r="BJ93" s="4337">
        <f t="shared" si="455"/>
        <v>172.99399999999997</v>
      </c>
      <c r="BK93" s="4337">
        <f t="shared" si="455"/>
        <v>172.99399999999997</v>
      </c>
      <c r="BL93" s="4337">
        <f t="shared" si="455"/>
        <v>0</v>
      </c>
      <c r="BM93" s="4317">
        <f t="shared" si="471"/>
        <v>93.305000000000007</v>
      </c>
      <c r="BN93" s="4317">
        <f t="shared" ref="BN93:BO93" si="498">SUM(BN94:BN97)</f>
        <v>93.305000000000007</v>
      </c>
      <c r="BO93" s="4317">
        <f t="shared" si="498"/>
        <v>0</v>
      </c>
      <c r="BP93" s="4335">
        <f t="shared" si="200"/>
        <v>0</v>
      </c>
      <c r="BQ93" s="4316">
        <f t="shared" ref="BQ93:BR93" si="499">SUM(BQ94:BQ97)</f>
        <v>0</v>
      </c>
      <c r="BR93" s="4316">
        <f t="shared" si="499"/>
        <v>0</v>
      </c>
      <c r="BS93" s="4335">
        <f t="shared" si="202"/>
        <v>0</v>
      </c>
      <c r="BT93" s="4316">
        <f t="shared" ref="BT93:BU93" si="500">SUM(BT94:BT97)</f>
        <v>0</v>
      </c>
      <c r="BU93" s="4316">
        <f t="shared" si="500"/>
        <v>0</v>
      </c>
      <c r="BV93" s="4335">
        <f t="shared" si="204"/>
        <v>0</v>
      </c>
      <c r="BW93" s="4316">
        <f t="shared" ref="BW93:BX93" si="501">SUM(BW94:BW97)</f>
        <v>0</v>
      </c>
      <c r="BX93" s="4316">
        <f t="shared" si="501"/>
        <v>0</v>
      </c>
      <c r="BY93" s="4335">
        <f t="shared" si="369"/>
        <v>0</v>
      </c>
      <c r="BZ93" s="4335">
        <f t="shared" si="370"/>
        <v>0</v>
      </c>
      <c r="CA93" s="4335">
        <f t="shared" si="370"/>
        <v>0</v>
      </c>
      <c r="CB93" s="4318">
        <f t="shared" ref="CB93:CD93" si="502">SUM(CB94:CB97)</f>
        <v>373.22</v>
      </c>
      <c r="CC93" s="4318">
        <f t="shared" si="502"/>
        <v>373.22</v>
      </c>
      <c r="CD93" s="4318">
        <f t="shared" si="502"/>
        <v>0</v>
      </c>
      <c r="CE93" s="4337">
        <f t="shared" si="407"/>
        <v>452.90899999999999</v>
      </c>
      <c r="CF93" s="4337">
        <f t="shared" si="407"/>
        <v>452.90899999999999</v>
      </c>
      <c r="CG93" s="4337">
        <f t="shared" si="407"/>
        <v>0</v>
      </c>
      <c r="CH93" s="4337">
        <f t="shared" si="456"/>
        <v>79.688999999999965</v>
      </c>
      <c r="CI93" s="4337">
        <f t="shared" si="456"/>
        <v>79.688999999999965</v>
      </c>
      <c r="CJ93" s="4337">
        <f t="shared" si="456"/>
        <v>0</v>
      </c>
      <c r="CK93" s="2780"/>
      <c r="CL93" s="3575">
        <f t="shared" si="483"/>
        <v>373.22</v>
      </c>
      <c r="CM93" s="3575">
        <f t="shared" si="483"/>
        <v>373.22</v>
      </c>
      <c r="CN93" s="3575">
        <f t="shared" si="483"/>
        <v>0</v>
      </c>
    </row>
    <row r="94" spans="1:92" ht="18.75" customHeight="1" x14ac:dyDescent="0.3">
      <c r="A94" s="4343" t="s">
        <v>532</v>
      </c>
      <c r="B94" s="4324">
        <f t="shared" ref="B94:B97" si="503">SUM(C94:D94)</f>
        <v>66.930000000000007</v>
      </c>
      <c r="C94" s="4324">
        <f t="shared" ref="C94:C97" si="504">SUM(CC94/4)</f>
        <v>66.930000000000007</v>
      </c>
      <c r="D94" s="4324">
        <f t="shared" ref="D94:D97" si="505">SUM(CD94/4)</f>
        <v>0</v>
      </c>
      <c r="E94" s="4344">
        <f t="shared" si="485"/>
        <v>0</v>
      </c>
      <c r="F94" s="4345"/>
      <c r="G94" s="4345"/>
      <c r="H94" s="4344">
        <f t="shared" si="486"/>
        <v>0</v>
      </c>
      <c r="I94" s="4345"/>
      <c r="J94" s="4345"/>
      <c r="K94" s="4344">
        <f t="shared" si="488"/>
        <v>0</v>
      </c>
      <c r="L94" s="4345"/>
      <c r="M94" s="4345"/>
      <c r="N94" s="4344">
        <f t="shared" si="344"/>
        <v>0</v>
      </c>
      <c r="O94" s="4344">
        <f t="shared" si="345"/>
        <v>0</v>
      </c>
      <c r="P94" s="4344">
        <f t="shared" si="345"/>
        <v>0</v>
      </c>
      <c r="Q94" s="4324">
        <f t="shared" si="398"/>
        <v>66.930000000000007</v>
      </c>
      <c r="R94" s="4324">
        <f t="shared" ref="R94:R97" si="506">SUM(C94)</f>
        <v>66.930000000000007</v>
      </c>
      <c r="S94" s="4324">
        <f t="shared" ref="S94:S97" si="507">SUM(D94)</f>
        <v>0</v>
      </c>
      <c r="T94" s="4344">
        <f t="shared" si="177"/>
        <v>0</v>
      </c>
      <c r="U94" s="4345"/>
      <c r="V94" s="4345"/>
      <c r="W94" s="4344">
        <f t="shared" si="179"/>
        <v>16.681999999999999</v>
      </c>
      <c r="X94" s="4345">
        <v>16.681999999999999</v>
      </c>
      <c r="Y94" s="4345"/>
      <c r="Z94" s="4344">
        <f t="shared" si="181"/>
        <v>0</v>
      </c>
      <c r="AA94" s="4345"/>
      <c r="AB94" s="4345"/>
      <c r="AC94" s="4344">
        <f t="shared" si="350"/>
        <v>16.681999999999999</v>
      </c>
      <c r="AD94" s="4344">
        <f t="shared" si="351"/>
        <v>16.681999999999999</v>
      </c>
      <c r="AE94" s="4344">
        <f t="shared" si="351"/>
        <v>0</v>
      </c>
      <c r="AF94" s="4326">
        <f t="shared" si="428"/>
        <v>133.86000000000001</v>
      </c>
      <c r="AG94" s="4326">
        <f t="shared" si="429"/>
        <v>133.86000000000001</v>
      </c>
      <c r="AH94" s="4326">
        <f t="shared" si="430"/>
        <v>0</v>
      </c>
      <c r="AI94" s="4340">
        <f t="shared" si="454"/>
        <v>16.681999999999999</v>
      </c>
      <c r="AJ94" s="4340">
        <f t="shared" si="454"/>
        <v>16.681999999999999</v>
      </c>
      <c r="AK94" s="4340">
        <f t="shared" si="454"/>
        <v>0</v>
      </c>
      <c r="AL94" s="4340">
        <f t="shared" si="453"/>
        <v>-117.17800000000001</v>
      </c>
      <c r="AM94" s="4340">
        <f t="shared" si="453"/>
        <v>-117.17800000000001</v>
      </c>
      <c r="AN94" s="4340">
        <f t="shared" si="453"/>
        <v>0</v>
      </c>
      <c r="AO94" s="4324">
        <f t="shared" ref="AO94:AO97" si="508">SUM(AP94:AQ94)</f>
        <v>66.930000000000007</v>
      </c>
      <c r="AP94" s="4324">
        <f t="shared" ref="AP94:AP97" si="509">SUM(CC94-AG94)/2</f>
        <v>66.930000000000007</v>
      </c>
      <c r="AQ94" s="4324">
        <f t="shared" ref="AQ94:AQ97" si="510">SUM(CD94-AH94)/2</f>
        <v>0</v>
      </c>
      <c r="AR94" s="4344">
        <f t="shared" si="188"/>
        <v>130.245</v>
      </c>
      <c r="AS94" s="4345">
        <v>130.245</v>
      </c>
      <c r="AT94" s="4345"/>
      <c r="AU94" s="4344">
        <f t="shared" si="190"/>
        <v>0</v>
      </c>
      <c r="AV94" s="4345"/>
      <c r="AW94" s="4345"/>
      <c r="AX94" s="4344">
        <f t="shared" si="192"/>
        <v>0</v>
      </c>
      <c r="AY94" s="4345"/>
      <c r="AZ94" s="4345"/>
      <c r="BA94" s="4344">
        <f t="shared" si="359"/>
        <v>130.245</v>
      </c>
      <c r="BB94" s="4344">
        <f t="shared" si="360"/>
        <v>130.245</v>
      </c>
      <c r="BC94" s="4344">
        <f t="shared" si="360"/>
        <v>0</v>
      </c>
      <c r="BD94" s="4326">
        <f t="shared" si="436"/>
        <v>200.79000000000002</v>
      </c>
      <c r="BE94" s="4326">
        <f t="shared" si="437"/>
        <v>200.79000000000002</v>
      </c>
      <c r="BF94" s="4326">
        <f t="shared" si="438"/>
        <v>0</v>
      </c>
      <c r="BG94" s="4340">
        <f t="shared" si="405"/>
        <v>146.92699999999999</v>
      </c>
      <c r="BH94" s="4340">
        <f t="shared" si="405"/>
        <v>146.92699999999999</v>
      </c>
      <c r="BI94" s="4340">
        <f t="shared" si="405"/>
        <v>0</v>
      </c>
      <c r="BJ94" s="4340">
        <f t="shared" si="455"/>
        <v>-53.863000000000028</v>
      </c>
      <c r="BK94" s="4340">
        <f t="shared" si="455"/>
        <v>-53.863000000000028</v>
      </c>
      <c r="BL94" s="4340">
        <f t="shared" si="455"/>
        <v>0</v>
      </c>
      <c r="BM94" s="4324">
        <f t="shared" ref="BM94:BM97" si="511">SUM(BN94:BO94)</f>
        <v>66.930000000000007</v>
      </c>
      <c r="BN94" s="4324">
        <f t="shared" ref="BN94:BN97" si="512">SUM(AP94)</f>
        <v>66.930000000000007</v>
      </c>
      <c r="BO94" s="4324">
        <f t="shared" ref="BO94:BO97" si="513">SUM(AQ94)</f>
        <v>0</v>
      </c>
      <c r="BP94" s="4344">
        <f t="shared" si="200"/>
        <v>0</v>
      </c>
      <c r="BQ94" s="4345"/>
      <c r="BR94" s="4345"/>
      <c r="BS94" s="4344">
        <f t="shared" si="202"/>
        <v>0</v>
      </c>
      <c r="BT94" s="4345"/>
      <c r="BU94" s="4345"/>
      <c r="BV94" s="4344">
        <f t="shared" si="204"/>
        <v>0</v>
      </c>
      <c r="BW94" s="4345"/>
      <c r="BX94" s="4345"/>
      <c r="BY94" s="4344">
        <f t="shared" si="369"/>
        <v>0</v>
      </c>
      <c r="BZ94" s="4344">
        <f t="shared" si="370"/>
        <v>0</v>
      </c>
      <c r="CA94" s="4344">
        <f t="shared" si="370"/>
        <v>0</v>
      </c>
      <c r="CB94" s="4326">
        <f t="shared" si="387"/>
        <v>267.72000000000003</v>
      </c>
      <c r="CC94" s="4326">
        <v>267.72000000000003</v>
      </c>
      <c r="CD94" s="4326">
        <v>0</v>
      </c>
      <c r="CE94" s="4340">
        <f t="shared" si="407"/>
        <v>146.92699999999999</v>
      </c>
      <c r="CF94" s="4340">
        <f t="shared" si="407"/>
        <v>146.92699999999999</v>
      </c>
      <c r="CG94" s="4340">
        <f t="shared" si="407"/>
        <v>0</v>
      </c>
      <c r="CH94" s="4340">
        <f t="shared" si="456"/>
        <v>-120.79300000000003</v>
      </c>
      <c r="CI94" s="4340">
        <f t="shared" si="456"/>
        <v>-120.79300000000003</v>
      </c>
      <c r="CJ94" s="4340">
        <f t="shared" si="456"/>
        <v>0</v>
      </c>
      <c r="CK94" s="2774"/>
      <c r="CL94" s="3575">
        <f t="shared" si="483"/>
        <v>267.72000000000003</v>
      </c>
      <c r="CM94" s="3575">
        <f t="shared" si="483"/>
        <v>267.72000000000003</v>
      </c>
      <c r="CN94" s="3575">
        <f t="shared" si="483"/>
        <v>0</v>
      </c>
    </row>
    <row r="95" spans="1:92" ht="18.75" customHeight="1" x14ac:dyDescent="0.3">
      <c r="A95" s="4343" t="s">
        <v>626</v>
      </c>
      <c r="B95" s="4324">
        <f t="shared" si="503"/>
        <v>16.1525</v>
      </c>
      <c r="C95" s="4324">
        <f t="shared" si="504"/>
        <v>16.1525</v>
      </c>
      <c r="D95" s="4324">
        <f t="shared" si="505"/>
        <v>0</v>
      </c>
      <c r="E95" s="4344">
        <f t="shared" si="485"/>
        <v>18.491</v>
      </c>
      <c r="F95" s="4345">
        <f>13.491+5</f>
        <v>18.491</v>
      </c>
      <c r="G95" s="4345"/>
      <c r="H95" s="4344">
        <f t="shared" si="486"/>
        <v>23.580000000000002</v>
      </c>
      <c r="I95" s="4345">
        <f>6.858+16.722</f>
        <v>23.580000000000002</v>
      </c>
      <c r="J95" s="4345"/>
      <c r="K95" s="4344">
        <f t="shared" si="488"/>
        <v>49.302</v>
      </c>
      <c r="L95" s="4345">
        <f>45.791+3.511</f>
        <v>49.302</v>
      </c>
      <c r="M95" s="4345"/>
      <c r="N95" s="4344">
        <f t="shared" si="344"/>
        <v>91.37299999999999</v>
      </c>
      <c r="O95" s="4344">
        <f t="shared" si="345"/>
        <v>91.37299999999999</v>
      </c>
      <c r="P95" s="4344">
        <f t="shared" si="345"/>
        <v>0</v>
      </c>
      <c r="Q95" s="4324">
        <f t="shared" si="398"/>
        <v>16.1525</v>
      </c>
      <c r="R95" s="4324">
        <f t="shared" si="506"/>
        <v>16.1525</v>
      </c>
      <c r="S95" s="4324">
        <f t="shared" si="507"/>
        <v>0</v>
      </c>
      <c r="T95" s="4344">
        <f t="shared" si="177"/>
        <v>26.763000000000002</v>
      </c>
      <c r="U95" s="4345">
        <f>23.888+2.875</f>
        <v>26.763000000000002</v>
      </c>
      <c r="V95" s="4345"/>
      <c r="W95" s="4344">
        <f t="shared" si="179"/>
        <v>13.458</v>
      </c>
      <c r="X95" s="4345">
        <f>10.083+3.375</f>
        <v>13.458</v>
      </c>
      <c r="Y95" s="4345"/>
      <c r="Z95" s="4344">
        <f t="shared" si="181"/>
        <v>14.279</v>
      </c>
      <c r="AA95" s="4345">
        <f>10.946+3.333</f>
        <v>14.279</v>
      </c>
      <c r="AB95" s="4345"/>
      <c r="AC95" s="4344">
        <f t="shared" si="350"/>
        <v>54.5</v>
      </c>
      <c r="AD95" s="4344">
        <f t="shared" si="351"/>
        <v>54.5</v>
      </c>
      <c r="AE95" s="4344">
        <f t="shared" si="351"/>
        <v>0</v>
      </c>
      <c r="AF95" s="4326">
        <f t="shared" si="428"/>
        <v>32.305</v>
      </c>
      <c r="AG95" s="4326">
        <f t="shared" si="429"/>
        <v>32.305</v>
      </c>
      <c r="AH95" s="4326">
        <f t="shared" si="430"/>
        <v>0</v>
      </c>
      <c r="AI95" s="4340">
        <f t="shared" si="454"/>
        <v>145.87299999999999</v>
      </c>
      <c r="AJ95" s="4340">
        <f t="shared" si="454"/>
        <v>145.87299999999999</v>
      </c>
      <c r="AK95" s="4340">
        <f t="shared" si="454"/>
        <v>0</v>
      </c>
      <c r="AL95" s="4340">
        <f t="shared" si="453"/>
        <v>113.56799999999998</v>
      </c>
      <c r="AM95" s="4340">
        <f t="shared" si="453"/>
        <v>113.56799999999998</v>
      </c>
      <c r="AN95" s="4340">
        <f t="shared" si="453"/>
        <v>0</v>
      </c>
      <c r="AO95" s="4324">
        <f t="shared" si="508"/>
        <v>16.1525</v>
      </c>
      <c r="AP95" s="4324">
        <f t="shared" si="509"/>
        <v>16.1525</v>
      </c>
      <c r="AQ95" s="4324">
        <f t="shared" si="510"/>
        <v>0</v>
      </c>
      <c r="AR95" s="4344">
        <f t="shared" si="188"/>
        <v>11.35</v>
      </c>
      <c r="AS95" s="4345">
        <f>8.017+3.333</f>
        <v>11.35</v>
      </c>
      <c r="AT95" s="4345"/>
      <c r="AU95" s="4344">
        <f t="shared" si="190"/>
        <v>0</v>
      </c>
      <c r="AV95" s="4345"/>
      <c r="AW95" s="4345"/>
      <c r="AX95" s="4344">
        <f t="shared" si="192"/>
        <v>0</v>
      </c>
      <c r="AY95" s="4345"/>
      <c r="AZ95" s="4345"/>
      <c r="BA95" s="4344">
        <f t="shared" si="359"/>
        <v>11.35</v>
      </c>
      <c r="BB95" s="4344">
        <f t="shared" si="360"/>
        <v>11.35</v>
      </c>
      <c r="BC95" s="4344">
        <f t="shared" si="360"/>
        <v>0</v>
      </c>
      <c r="BD95" s="4326">
        <f t="shared" si="436"/>
        <v>48.457499999999996</v>
      </c>
      <c r="BE95" s="4326">
        <f t="shared" si="437"/>
        <v>48.457499999999996</v>
      </c>
      <c r="BF95" s="4326">
        <f t="shared" si="438"/>
        <v>0</v>
      </c>
      <c r="BG95" s="4340">
        <f t="shared" si="405"/>
        <v>157.22299999999998</v>
      </c>
      <c r="BH95" s="4340">
        <f t="shared" si="405"/>
        <v>157.22299999999998</v>
      </c>
      <c r="BI95" s="4340">
        <f t="shared" si="405"/>
        <v>0</v>
      </c>
      <c r="BJ95" s="4340">
        <f t="shared" si="455"/>
        <v>108.76549999999999</v>
      </c>
      <c r="BK95" s="4340">
        <f t="shared" si="455"/>
        <v>108.76549999999999</v>
      </c>
      <c r="BL95" s="4340">
        <f t="shared" si="455"/>
        <v>0</v>
      </c>
      <c r="BM95" s="4324">
        <f t="shared" si="511"/>
        <v>16.1525</v>
      </c>
      <c r="BN95" s="4324">
        <f t="shared" si="512"/>
        <v>16.1525</v>
      </c>
      <c r="BO95" s="4324">
        <f t="shared" si="513"/>
        <v>0</v>
      </c>
      <c r="BP95" s="4344">
        <f t="shared" si="200"/>
        <v>0</v>
      </c>
      <c r="BQ95" s="4345"/>
      <c r="BR95" s="4345"/>
      <c r="BS95" s="4344">
        <f t="shared" si="202"/>
        <v>0</v>
      </c>
      <c r="BT95" s="4345"/>
      <c r="BU95" s="4345"/>
      <c r="BV95" s="4344">
        <f t="shared" si="204"/>
        <v>0</v>
      </c>
      <c r="BW95" s="4345"/>
      <c r="BX95" s="4345"/>
      <c r="BY95" s="4344">
        <f t="shared" si="369"/>
        <v>0</v>
      </c>
      <c r="BZ95" s="4344">
        <f t="shared" si="370"/>
        <v>0</v>
      </c>
      <c r="CA95" s="4344">
        <f t="shared" si="370"/>
        <v>0</v>
      </c>
      <c r="CB95" s="4326">
        <f t="shared" si="387"/>
        <v>64.61</v>
      </c>
      <c r="CC95" s="4326">
        <v>64.61</v>
      </c>
      <c r="CD95" s="4326">
        <v>0</v>
      </c>
      <c r="CE95" s="4340">
        <f t="shared" si="407"/>
        <v>157.22299999999998</v>
      </c>
      <c r="CF95" s="4340">
        <f t="shared" si="407"/>
        <v>157.22299999999998</v>
      </c>
      <c r="CG95" s="4340">
        <f t="shared" si="407"/>
        <v>0</v>
      </c>
      <c r="CH95" s="4340">
        <f t="shared" si="456"/>
        <v>92.612999999999985</v>
      </c>
      <c r="CI95" s="4340">
        <f t="shared" si="456"/>
        <v>92.612999999999985</v>
      </c>
      <c r="CJ95" s="4340">
        <f t="shared" si="456"/>
        <v>0</v>
      </c>
      <c r="CK95" s="2774"/>
      <c r="CL95" s="3575">
        <f t="shared" si="483"/>
        <v>64.61</v>
      </c>
      <c r="CM95" s="3575">
        <f t="shared" si="483"/>
        <v>64.61</v>
      </c>
      <c r="CN95" s="3575">
        <f t="shared" si="483"/>
        <v>0</v>
      </c>
    </row>
    <row r="96" spans="1:92" ht="18.75" customHeight="1" x14ac:dyDescent="0.3">
      <c r="A96" s="4343" t="s">
        <v>541</v>
      </c>
      <c r="B96" s="4324">
        <f t="shared" si="503"/>
        <v>8.36</v>
      </c>
      <c r="C96" s="4324">
        <f t="shared" si="504"/>
        <v>8.36</v>
      </c>
      <c r="D96" s="4324">
        <f t="shared" si="505"/>
        <v>0</v>
      </c>
      <c r="E96" s="4344">
        <f t="shared" si="485"/>
        <v>16.332000000000001</v>
      </c>
      <c r="F96" s="4345">
        <f>14.232+2.1</f>
        <v>16.332000000000001</v>
      </c>
      <c r="G96" s="4345"/>
      <c r="H96" s="4344">
        <f t="shared" si="486"/>
        <v>42.317999999999998</v>
      </c>
      <c r="I96" s="4345">
        <f>13.312+2.1+20.606+6.3</f>
        <v>42.317999999999998</v>
      </c>
      <c r="J96" s="4345"/>
      <c r="K96" s="4344">
        <f t="shared" si="488"/>
        <v>44.027999999999999</v>
      </c>
      <c r="L96" s="4345">
        <f>24.448+8.4+11.18</f>
        <v>44.027999999999999</v>
      </c>
      <c r="M96" s="4345"/>
      <c r="N96" s="4344">
        <f t="shared" si="344"/>
        <v>102.678</v>
      </c>
      <c r="O96" s="4344">
        <f t="shared" si="345"/>
        <v>102.678</v>
      </c>
      <c r="P96" s="4344">
        <f t="shared" si="345"/>
        <v>0</v>
      </c>
      <c r="Q96" s="4324">
        <f t="shared" si="398"/>
        <v>8.36</v>
      </c>
      <c r="R96" s="4324">
        <f t="shared" si="506"/>
        <v>8.36</v>
      </c>
      <c r="S96" s="4324">
        <f t="shared" si="507"/>
        <v>0</v>
      </c>
      <c r="T96" s="4344">
        <f t="shared" si="177"/>
        <v>0</v>
      </c>
      <c r="U96" s="4345"/>
      <c r="V96" s="4345"/>
      <c r="W96" s="4344">
        <f t="shared" si="179"/>
        <v>0</v>
      </c>
      <c r="X96" s="4345"/>
      <c r="Y96" s="4345"/>
      <c r="Z96" s="4344">
        <f t="shared" si="181"/>
        <v>12.238</v>
      </c>
      <c r="AA96" s="4345">
        <f>8.738+3.5</f>
        <v>12.238</v>
      </c>
      <c r="AB96" s="4345"/>
      <c r="AC96" s="4344">
        <f t="shared" si="350"/>
        <v>12.238</v>
      </c>
      <c r="AD96" s="4344">
        <f t="shared" si="351"/>
        <v>12.238</v>
      </c>
      <c r="AE96" s="4344">
        <f t="shared" si="351"/>
        <v>0</v>
      </c>
      <c r="AF96" s="4326">
        <f t="shared" si="428"/>
        <v>16.72</v>
      </c>
      <c r="AG96" s="4326">
        <f t="shared" si="429"/>
        <v>16.72</v>
      </c>
      <c r="AH96" s="4326">
        <f t="shared" si="430"/>
        <v>0</v>
      </c>
      <c r="AI96" s="4340">
        <f t="shared" si="454"/>
        <v>114.916</v>
      </c>
      <c r="AJ96" s="4340">
        <f t="shared" si="454"/>
        <v>114.916</v>
      </c>
      <c r="AK96" s="4340">
        <f t="shared" si="454"/>
        <v>0</v>
      </c>
      <c r="AL96" s="4340">
        <f t="shared" si="453"/>
        <v>98.195999999999998</v>
      </c>
      <c r="AM96" s="4340">
        <f t="shared" si="453"/>
        <v>98.195999999999998</v>
      </c>
      <c r="AN96" s="4340">
        <f t="shared" si="453"/>
        <v>0</v>
      </c>
      <c r="AO96" s="4324">
        <f t="shared" si="508"/>
        <v>8.36</v>
      </c>
      <c r="AP96" s="4324">
        <f t="shared" si="509"/>
        <v>8.36</v>
      </c>
      <c r="AQ96" s="4324">
        <f t="shared" si="510"/>
        <v>0</v>
      </c>
      <c r="AR96" s="4344">
        <f t="shared" si="188"/>
        <v>32.829000000000001</v>
      </c>
      <c r="AS96" s="4345">
        <f>19.879+7.35+5.6</f>
        <v>32.829000000000001</v>
      </c>
      <c r="AT96" s="4345"/>
      <c r="AU96" s="4344">
        <f t="shared" si="190"/>
        <v>0</v>
      </c>
      <c r="AV96" s="4345"/>
      <c r="AW96" s="4345"/>
      <c r="AX96" s="4344">
        <f t="shared" si="192"/>
        <v>0</v>
      </c>
      <c r="AY96" s="4345"/>
      <c r="AZ96" s="4345"/>
      <c r="BA96" s="4344">
        <f t="shared" si="359"/>
        <v>32.829000000000001</v>
      </c>
      <c r="BB96" s="4344">
        <f t="shared" si="360"/>
        <v>32.829000000000001</v>
      </c>
      <c r="BC96" s="4344">
        <f t="shared" si="360"/>
        <v>0</v>
      </c>
      <c r="BD96" s="4326">
        <f t="shared" si="436"/>
        <v>25.08</v>
      </c>
      <c r="BE96" s="4326">
        <f t="shared" si="437"/>
        <v>25.08</v>
      </c>
      <c r="BF96" s="4326">
        <f t="shared" si="438"/>
        <v>0</v>
      </c>
      <c r="BG96" s="4340">
        <f t="shared" si="405"/>
        <v>147.745</v>
      </c>
      <c r="BH96" s="4340">
        <f t="shared" si="405"/>
        <v>147.745</v>
      </c>
      <c r="BI96" s="4340">
        <f t="shared" si="405"/>
        <v>0</v>
      </c>
      <c r="BJ96" s="4340">
        <f t="shared" si="455"/>
        <v>122.66500000000001</v>
      </c>
      <c r="BK96" s="4340">
        <f t="shared" si="455"/>
        <v>122.66500000000001</v>
      </c>
      <c r="BL96" s="4340">
        <f t="shared" si="455"/>
        <v>0</v>
      </c>
      <c r="BM96" s="4324">
        <f t="shared" si="511"/>
        <v>8.36</v>
      </c>
      <c r="BN96" s="4324">
        <f t="shared" si="512"/>
        <v>8.36</v>
      </c>
      <c r="BO96" s="4324">
        <f t="shared" si="513"/>
        <v>0</v>
      </c>
      <c r="BP96" s="4344">
        <f t="shared" si="200"/>
        <v>0</v>
      </c>
      <c r="BQ96" s="4345"/>
      <c r="BR96" s="4345"/>
      <c r="BS96" s="4344">
        <f t="shared" si="202"/>
        <v>0</v>
      </c>
      <c r="BT96" s="4345"/>
      <c r="BU96" s="4345"/>
      <c r="BV96" s="4344">
        <f t="shared" si="204"/>
        <v>0</v>
      </c>
      <c r="BW96" s="4345"/>
      <c r="BX96" s="4345"/>
      <c r="BY96" s="4344">
        <f t="shared" si="369"/>
        <v>0</v>
      </c>
      <c r="BZ96" s="4344">
        <f t="shared" si="370"/>
        <v>0</v>
      </c>
      <c r="CA96" s="4344">
        <f t="shared" si="370"/>
        <v>0</v>
      </c>
      <c r="CB96" s="4326">
        <f t="shared" si="387"/>
        <v>33.44</v>
      </c>
      <c r="CC96" s="4326">
        <v>33.44</v>
      </c>
      <c r="CD96" s="4326">
        <v>0</v>
      </c>
      <c r="CE96" s="4340">
        <f t="shared" si="407"/>
        <v>147.745</v>
      </c>
      <c r="CF96" s="4340">
        <f t="shared" si="407"/>
        <v>147.745</v>
      </c>
      <c r="CG96" s="4340">
        <f t="shared" si="407"/>
        <v>0</v>
      </c>
      <c r="CH96" s="4340">
        <f t="shared" si="456"/>
        <v>114.30500000000001</v>
      </c>
      <c r="CI96" s="4340">
        <f t="shared" si="456"/>
        <v>114.30500000000001</v>
      </c>
      <c r="CJ96" s="4340">
        <f t="shared" si="456"/>
        <v>0</v>
      </c>
      <c r="CK96" s="2774"/>
      <c r="CL96" s="3575">
        <f t="shared" si="483"/>
        <v>33.44</v>
      </c>
      <c r="CM96" s="3575">
        <f t="shared" si="483"/>
        <v>33.44</v>
      </c>
      <c r="CN96" s="3575">
        <f t="shared" si="483"/>
        <v>0</v>
      </c>
    </row>
    <row r="97" spans="1:92" ht="18.75" customHeight="1" x14ac:dyDescent="0.3">
      <c r="A97" s="4343" t="s">
        <v>596</v>
      </c>
      <c r="B97" s="4324">
        <f t="shared" si="503"/>
        <v>1.8625</v>
      </c>
      <c r="C97" s="4324">
        <f t="shared" si="504"/>
        <v>1.8625</v>
      </c>
      <c r="D97" s="4324">
        <f t="shared" si="505"/>
        <v>0</v>
      </c>
      <c r="E97" s="4344">
        <f t="shared" si="485"/>
        <v>0.19700000000000001</v>
      </c>
      <c r="F97" s="4345">
        <v>0.19700000000000001</v>
      </c>
      <c r="G97" s="4345"/>
      <c r="H97" s="4344">
        <f t="shared" si="486"/>
        <v>0</v>
      </c>
      <c r="I97" s="4345"/>
      <c r="J97" s="4345"/>
      <c r="K97" s="4344">
        <f t="shared" si="488"/>
        <v>0</v>
      </c>
      <c r="L97" s="4345"/>
      <c r="M97" s="4345"/>
      <c r="N97" s="4344">
        <f t="shared" si="344"/>
        <v>0.19700000000000001</v>
      </c>
      <c r="O97" s="4344">
        <f>SUM(F97+I97+L97)</f>
        <v>0.19700000000000001</v>
      </c>
      <c r="P97" s="4344">
        <f t="shared" ref="P97" si="514">SUM(G97+J97+M97)</f>
        <v>0</v>
      </c>
      <c r="Q97" s="4324">
        <f t="shared" si="398"/>
        <v>1.8625</v>
      </c>
      <c r="R97" s="4324">
        <f t="shared" si="506"/>
        <v>1.8625</v>
      </c>
      <c r="S97" s="4324">
        <f t="shared" si="507"/>
        <v>0</v>
      </c>
      <c r="T97" s="4344">
        <f t="shared" si="177"/>
        <v>0</v>
      </c>
      <c r="U97" s="4345"/>
      <c r="V97" s="4345"/>
      <c r="W97" s="4344">
        <f t="shared" si="179"/>
        <v>0</v>
      </c>
      <c r="X97" s="4345"/>
      <c r="Y97" s="4345"/>
      <c r="Z97" s="4344">
        <f t="shared" si="181"/>
        <v>0</v>
      </c>
      <c r="AA97" s="4345"/>
      <c r="AB97" s="4345"/>
      <c r="AC97" s="4344">
        <f t="shared" si="350"/>
        <v>0</v>
      </c>
      <c r="AD97" s="4344">
        <f>SUM(U97+X97+AA97)</f>
        <v>0</v>
      </c>
      <c r="AE97" s="4344">
        <f t="shared" ref="AE97:AE103" si="515">SUM(V97+Y97+AB97)</f>
        <v>0</v>
      </c>
      <c r="AF97" s="4326">
        <f t="shared" si="428"/>
        <v>3.7250000000000001</v>
      </c>
      <c r="AG97" s="4326">
        <f t="shared" si="429"/>
        <v>3.7250000000000001</v>
      </c>
      <c r="AH97" s="4326">
        <f t="shared" si="430"/>
        <v>0</v>
      </c>
      <c r="AI97" s="4340">
        <f t="shared" si="454"/>
        <v>0.19700000000000001</v>
      </c>
      <c r="AJ97" s="4340">
        <f t="shared" si="454"/>
        <v>0.19700000000000001</v>
      </c>
      <c r="AK97" s="4340">
        <f t="shared" si="454"/>
        <v>0</v>
      </c>
      <c r="AL97" s="4340">
        <f t="shared" si="453"/>
        <v>-3.528</v>
      </c>
      <c r="AM97" s="4340">
        <f t="shared" si="453"/>
        <v>-3.528</v>
      </c>
      <c r="AN97" s="4340">
        <f t="shared" si="453"/>
        <v>0</v>
      </c>
      <c r="AO97" s="4324">
        <f t="shared" si="508"/>
        <v>1.8625</v>
      </c>
      <c r="AP97" s="4324">
        <f t="shared" si="509"/>
        <v>1.8625</v>
      </c>
      <c r="AQ97" s="4324">
        <f t="shared" si="510"/>
        <v>0</v>
      </c>
      <c r="AR97" s="4344">
        <f t="shared" si="188"/>
        <v>0.81699999999999995</v>
      </c>
      <c r="AS97" s="4345">
        <v>0.81699999999999995</v>
      </c>
      <c r="AT97" s="4345"/>
      <c r="AU97" s="4344">
        <f t="shared" si="190"/>
        <v>0</v>
      </c>
      <c r="AV97" s="4345"/>
      <c r="AW97" s="4345"/>
      <c r="AX97" s="4344">
        <f t="shared" si="192"/>
        <v>0</v>
      </c>
      <c r="AY97" s="4345"/>
      <c r="AZ97" s="4345"/>
      <c r="BA97" s="4344">
        <f t="shared" si="359"/>
        <v>0.81699999999999995</v>
      </c>
      <c r="BB97" s="4344">
        <f>SUM(AS97+AV97+AY97)</f>
        <v>0.81699999999999995</v>
      </c>
      <c r="BC97" s="4344">
        <f t="shared" ref="BC97:BC103" si="516">SUM(AT97+AW97+AZ97)</f>
        <v>0</v>
      </c>
      <c r="BD97" s="4326">
        <f t="shared" si="436"/>
        <v>5.5875000000000004</v>
      </c>
      <c r="BE97" s="4326">
        <f t="shared" si="437"/>
        <v>5.5875000000000004</v>
      </c>
      <c r="BF97" s="4326">
        <f t="shared" si="438"/>
        <v>0</v>
      </c>
      <c r="BG97" s="4340">
        <f t="shared" si="405"/>
        <v>1.014</v>
      </c>
      <c r="BH97" s="4340">
        <f t="shared" si="405"/>
        <v>1.014</v>
      </c>
      <c r="BI97" s="4340">
        <f t="shared" si="405"/>
        <v>0</v>
      </c>
      <c r="BJ97" s="4340">
        <f t="shared" si="455"/>
        <v>-4.5735000000000001</v>
      </c>
      <c r="BK97" s="4340">
        <f t="shared" si="455"/>
        <v>-4.5735000000000001</v>
      </c>
      <c r="BL97" s="4340">
        <f t="shared" si="455"/>
        <v>0</v>
      </c>
      <c r="BM97" s="4324">
        <f t="shared" si="511"/>
        <v>1.8625</v>
      </c>
      <c r="BN97" s="4324">
        <f t="shared" si="512"/>
        <v>1.8625</v>
      </c>
      <c r="BO97" s="4324">
        <f t="shared" si="513"/>
        <v>0</v>
      </c>
      <c r="BP97" s="4344">
        <f t="shared" si="200"/>
        <v>0</v>
      </c>
      <c r="BQ97" s="4345"/>
      <c r="BR97" s="4345"/>
      <c r="BS97" s="4344">
        <f t="shared" si="202"/>
        <v>0</v>
      </c>
      <c r="BT97" s="4345"/>
      <c r="BU97" s="4345"/>
      <c r="BV97" s="4344">
        <f t="shared" si="204"/>
        <v>0</v>
      </c>
      <c r="BW97" s="4345"/>
      <c r="BX97" s="4345"/>
      <c r="BY97" s="4344">
        <f t="shared" si="369"/>
        <v>0</v>
      </c>
      <c r="BZ97" s="4344">
        <f>SUM(BQ97+BT97+BW97)</f>
        <v>0</v>
      </c>
      <c r="CA97" s="4344">
        <f t="shared" ref="CA97:CA103" si="517">SUM(BR97+BU97+BX97)</f>
        <v>0</v>
      </c>
      <c r="CB97" s="4326">
        <f t="shared" si="387"/>
        <v>7.45</v>
      </c>
      <c r="CC97" s="4326">
        <v>7.45</v>
      </c>
      <c r="CD97" s="4326">
        <v>0</v>
      </c>
      <c r="CE97" s="4340">
        <f t="shared" si="407"/>
        <v>1.014</v>
      </c>
      <c r="CF97" s="4340">
        <f t="shared" si="407"/>
        <v>1.014</v>
      </c>
      <c r="CG97" s="4340">
        <f t="shared" si="407"/>
        <v>0</v>
      </c>
      <c r="CH97" s="4340">
        <f t="shared" si="456"/>
        <v>-6.4359999999999999</v>
      </c>
      <c r="CI97" s="4340">
        <f t="shared" si="456"/>
        <v>-6.4359999999999999</v>
      </c>
      <c r="CJ97" s="4340">
        <f t="shared" si="456"/>
        <v>0</v>
      </c>
      <c r="CK97" s="2774"/>
      <c r="CL97" s="3575">
        <f t="shared" si="483"/>
        <v>7.45</v>
      </c>
      <c r="CM97" s="3575">
        <f t="shared" si="483"/>
        <v>7.45</v>
      </c>
      <c r="CN97" s="3575">
        <f t="shared" si="483"/>
        <v>0</v>
      </c>
    </row>
    <row r="98" spans="1:92" ht="18.75" customHeight="1" x14ac:dyDescent="0.3">
      <c r="A98" s="4341" t="s">
        <v>16</v>
      </c>
      <c r="B98" s="4312">
        <f>SUM(C98:D98)</f>
        <v>5743.3802165752531</v>
      </c>
      <c r="C98" s="4312">
        <f t="shared" ref="C98:D98" si="518">SUM(C99:C103)+C105</f>
        <v>5743.3802165752531</v>
      </c>
      <c r="D98" s="4312">
        <f t="shared" si="518"/>
        <v>0</v>
      </c>
      <c r="E98" s="4332">
        <f t="shared" si="485"/>
        <v>2040.7079999999999</v>
      </c>
      <c r="F98" s="3026">
        <f>SUM(F99:F103)+F105</f>
        <v>2040.7079999999999</v>
      </c>
      <c r="G98" s="3026">
        <f t="shared" ref="G98" si="519">SUM(G99:G103)+G105</f>
        <v>0</v>
      </c>
      <c r="H98" s="4332">
        <f t="shared" si="486"/>
        <v>1713.58717</v>
      </c>
      <c r="I98" s="3026">
        <f t="shared" ref="I98:J98" si="520">SUM(I99:I103)+I105</f>
        <v>1713.58717</v>
      </c>
      <c r="J98" s="3026">
        <f t="shared" si="520"/>
        <v>0</v>
      </c>
      <c r="K98" s="4332">
        <f t="shared" si="488"/>
        <v>1832.1610000000001</v>
      </c>
      <c r="L98" s="3026">
        <f t="shared" ref="L98:M98" si="521">SUM(L99:L103)+L105</f>
        <v>1832.1610000000001</v>
      </c>
      <c r="M98" s="3026">
        <f t="shared" si="521"/>
        <v>0</v>
      </c>
      <c r="N98" s="4332">
        <f t="shared" ref="N98:N103" si="522">SUM(O98:P98)</f>
        <v>5586.4561699999995</v>
      </c>
      <c r="O98" s="4332">
        <f t="shared" ref="O98:P103" si="523">SUM(F98+I98+L98)</f>
        <v>5586.4561699999995</v>
      </c>
      <c r="P98" s="4332">
        <f t="shared" si="523"/>
        <v>0</v>
      </c>
      <c r="Q98" s="4312">
        <f>SUM(R98:S98)</f>
        <v>5743.3802165752531</v>
      </c>
      <c r="R98" s="4312">
        <f t="shared" ref="R98:S98" si="524">SUM(R99:R103)+R105</f>
        <v>5743.3802165752531</v>
      </c>
      <c r="S98" s="4312">
        <f t="shared" si="524"/>
        <v>0</v>
      </c>
      <c r="T98" s="4332">
        <f t="shared" si="177"/>
        <v>1627.242</v>
      </c>
      <c r="U98" s="3026">
        <f t="shared" ref="U98:V98" si="525">SUM(U99:U103)+U105</f>
        <v>1627.242</v>
      </c>
      <c r="V98" s="3026">
        <f t="shared" si="525"/>
        <v>0</v>
      </c>
      <c r="W98" s="4332">
        <f t="shared" si="179"/>
        <v>2357.761</v>
      </c>
      <c r="X98" s="3026">
        <f t="shared" ref="X98:Y98" si="526">SUM(X99:X103)+X105</f>
        <v>2357.761</v>
      </c>
      <c r="Y98" s="3026">
        <f t="shared" si="526"/>
        <v>0</v>
      </c>
      <c r="Z98" s="4332">
        <f t="shared" si="181"/>
        <v>1834.9409999999998</v>
      </c>
      <c r="AA98" s="3026">
        <f t="shared" ref="AA98:AB98" si="527">SUM(AA99:AA103)+AA105</f>
        <v>1834.9409999999998</v>
      </c>
      <c r="AB98" s="3026">
        <f t="shared" si="527"/>
        <v>0</v>
      </c>
      <c r="AC98" s="4332">
        <f t="shared" si="350"/>
        <v>5819.9439999999995</v>
      </c>
      <c r="AD98" s="4332">
        <f t="shared" ref="AD98:AD103" si="528">SUM(U98+X98+AA98)</f>
        <v>5819.9439999999995</v>
      </c>
      <c r="AE98" s="4332">
        <f t="shared" si="515"/>
        <v>0</v>
      </c>
      <c r="AF98" s="4313">
        <f t="shared" si="428"/>
        <v>11486.760433150506</v>
      </c>
      <c r="AG98" s="4313">
        <f t="shared" si="429"/>
        <v>11486.760433150506</v>
      </c>
      <c r="AH98" s="4313">
        <f t="shared" si="430"/>
        <v>0</v>
      </c>
      <c r="AI98" s="4333">
        <f t="shared" si="454"/>
        <v>11406.400169999999</v>
      </c>
      <c r="AJ98" s="4333">
        <f t="shared" si="454"/>
        <v>11406.400169999999</v>
      </c>
      <c r="AK98" s="4333">
        <f t="shared" si="454"/>
        <v>0</v>
      </c>
      <c r="AL98" s="4333">
        <f t="shared" si="453"/>
        <v>-80.360263150507308</v>
      </c>
      <c r="AM98" s="4333">
        <f t="shared" si="453"/>
        <v>-80.360263150507308</v>
      </c>
      <c r="AN98" s="4333">
        <f t="shared" si="453"/>
        <v>0</v>
      </c>
      <c r="AO98" s="4312">
        <f>SUM(AP98:AQ98)</f>
        <v>5743.3802165752531</v>
      </c>
      <c r="AP98" s="4312">
        <f t="shared" ref="AP98:AQ98" si="529">SUM(AP99:AP103)+AP105</f>
        <v>5743.3802165752531</v>
      </c>
      <c r="AQ98" s="4312">
        <f t="shared" si="529"/>
        <v>0</v>
      </c>
      <c r="AR98" s="4332">
        <f t="shared" si="188"/>
        <v>2072.547</v>
      </c>
      <c r="AS98" s="3026">
        <f t="shared" ref="AS98:AT98" si="530">SUM(AS99:AS103)+AS105</f>
        <v>2072.547</v>
      </c>
      <c r="AT98" s="3026">
        <f t="shared" si="530"/>
        <v>0</v>
      </c>
      <c r="AU98" s="4332">
        <f t="shared" si="190"/>
        <v>0</v>
      </c>
      <c r="AV98" s="3026">
        <f>SUM(AV99:AV103)+AV105</f>
        <v>0</v>
      </c>
      <c r="AW98" s="3026">
        <f t="shared" ref="AW98" si="531">SUM(AW99:AW103)+AW105</f>
        <v>0</v>
      </c>
      <c r="AX98" s="4332">
        <f t="shared" si="192"/>
        <v>0</v>
      </c>
      <c r="AY98" s="3026">
        <f t="shared" ref="AY98:AZ98" si="532">SUM(AY99:AY103)+AY105</f>
        <v>0</v>
      </c>
      <c r="AZ98" s="3026">
        <f t="shared" si="532"/>
        <v>0</v>
      </c>
      <c r="BA98" s="4332">
        <f t="shared" si="359"/>
        <v>2072.547</v>
      </c>
      <c r="BB98" s="4332">
        <f t="shared" ref="BB98:BB103" si="533">SUM(AS98+AV98+AY98)</f>
        <v>2072.547</v>
      </c>
      <c r="BC98" s="4332">
        <f t="shared" si="516"/>
        <v>0</v>
      </c>
      <c r="BD98" s="4313">
        <f t="shared" ref="BD98:BD103" si="534">SUM(BE98:BF98)</f>
        <v>17230.140649725759</v>
      </c>
      <c r="BE98" s="4313">
        <f t="shared" ref="BE98:BE103" si="535">SUM(AG98+AP98)</f>
        <v>17230.140649725759</v>
      </c>
      <c r="BF98" s="4313">
        <f t="shared" si="438"/>
        <v>0</v>
      </c>
      <c r="BG98" s="4333">
        <f t="shared" ref="BG98:BI103" si="536">SUM(AI98+BA98)</f>
        <v>13478.947169999999</v>
      </c>
      <c r="BH98" s="4333">
        <f t="shared" si="536"/>
        <v>13478.947169999999</v>
      </c>
      <c r="BI98" s="4333">
        <f t="shared" si="536"/>
        <v>0</v>
      </c>
      <c r="BJ98" s="4333">
        <f t="shared" ref="BJ98:BL103" si="537">SUM(BG98-BD98)</f>
        <v>-3751.19347972576</v>
      </c>
      <c r="BK98" s="4333">
        <f t="shared" si="537"/>
        <v>-3751.19347972576</v>
      </c>
      <c r="BL98" s="4333">
        <f t="shared" si="537"/>
        <v>0</v>
      </c>
      <c r="BM98" s="4312">
        <f>SUM(BN98:BO98)</f>
        <v>5743.3802165752531</v>
      </c>
      <c r="BN98" s="4312">
        <f t="shared" ref="BN98:BO98" si="538">SUM(BN99:BN103)+BN105</f>
        <v>5743.3802165752531</v>
      </c>
      <c r="BO98" s="4312">
        <f t="shared" si="538"/>
        <v>0</v>
      </c>
      <c r="BP98" s="4332">
        <f t="shared" si="200"/>
        <v>0</v>
      </c>
      <c r="BQ98" s="3026">
        <f t="shared" ref="BQ98:BR98" si="539">SUM(BQ99:BQ103)+BQ105</f>
        <v>0</v>
      </c>
      <c r="BR98" s="3026">
        <f t="shared" si="539"/>
        <v>0</v>
      </c>
      <c r="BS98" s="4332">
        <f t="shared" si="202"/>
        <v>0</v>
      </c>
      <c r="BT98" s="3026">
        <f t="shared" ref="BT98:BU98" si="540">SUM(BT99:BT103)+BT105</f>
        <v>0</v>
      </c>
      <c r="BU98" s="3026">
        <f t="shared" si="540"/>
        <v>0</v>
      </c>
      <c r="BV98" s="4332">
        <f t="shared" si="204"/>
        <v>0</v>
      </c>
      <c r="BW98" s="3026">
        <f t="shared" ref="BW98:BX98" si="541">SUM(BW99:BW103)+BW105</f>
        <v>0</v>
      </c>
      <c r="BX98" s="3026">
        <f t="shared" si="541"/>
        <v>0</v>
      </c>
      <c r="BY98" s="4332">
        <f t="shared" si="369"/>
        <v>0</v>
      </c>
      <c r="BZ98" s="4332">
        <f t="shared" ref="BZ98:BZ103" si="542">SUM(BQ98+BT98+BW98)</f>
        <v>0</v>
      </c>
      <c r="CA98" s="4332">
        <f t="shared" si="517"/>
        <v>0</v>
      </c>
      <c r="CB98" s="4313">
        <f>SUM(CC98:CD98)</f>
        <v>22973.520863677757</v>
      </c>
      <c r="CC98" s="4313">
        <f>SUM(вода!EF27)</f>
        <v>22973.520863677757</v>
      </c>
      <c r="CD98" s="4313">
        <v>0</v>
      </c>
      <c r="CE98" s="4333">
        <f t="shared" ref="CE98:CG103" si="543">SUM(BY98+BG98)</f>
        <v>13478.947169999999</v>
      </c>
      <c r="CF98" s="4333">
        <f t="shared" si="543"/>
        <v>13478.947169999999</v>
      </c>
      <c r="CG98" s="4333">
        <f t="shared" si="543"/>
        <v>0</v>
      </c>
      <c r="CH98" s="4333">
        <f t="shared" ref="CH98:CJ103" si="544">SUM(CE98-CB98)</f>
        <v>-9494.5736936777575</v>
      </c>
      <c r="CI98" s="4333">
        <f t="shared" si="544"/>
        <v>-9494.5736936777575</v>
      </c>
      <c r="CJ98" s="4333">
        <f t="shared" si="544"/>
        <v>0</v>
      </c>
      <c r="CK98" s="2774"/>
      <c r="CL98" s="3577">
        <f t="shared" si="483"/>
        <v>22973.520866301013</v>
      </c>
      <c r="CM98" s="3577">
        <f t="shared" si="483"/>
        <v>22973.520866301013</v>
      </c>
      <c r="CN98" s="3577">
        <f t="shared" si="483"/>
        <v>0</v>
      </c>
    </row>
    <row r="99" spans="1:92" ht="18.75" customHeight="1" x14ac:dyDescent="0.3">
      <c r="A99" s="4334" t="s">
        <v>3</v>
      </c>
      <c r="B99" s="4317">
        <f t="shared" ref="B99:B103" si="545">SUM(C99:D99)</f>
        <v>335.74162771606581</v>
      </c>
      <c r="C99" s="4317">
        <f t="shared" ref="C99:D103" si="546">SUM(CC99/4)</f>
        <v>335.74162771606581</v>
      </c>
      <c r="D99" s="4317">
        <f t="shared" si="546"/>
        <v>0</v>
      </c>
      <c r="E99" s="4335">
        <f t="shared" si="485"/>
        <v>80.337000000000003</v>
      </c>
      <c r="F99" s="4336">
        <v>80.337000000000003</v>
      </c>
      <c r="G99" s="4336"/>
      <c r="H99" s="4335">
        <f t="shared" si="486"/>
        <v>172.46100000000001</v>
      </c>
      <c r="I99" s="4336">
        <v>172.46100000000001</v>
      </c>
      <c r="J99" s="4336"/>
      <c r="K99" s="4335">
        <f t="shared" si="488"/>
        <v>133.78800000000001</v>
      </c>
      <c r="L99" s="4336">
        <f>126.905+6.583+0.3</f>
        <v>133.78800000000001</v>
      </c>
      <c r="M99" s="4336"/>
      <c r="N99" s="4335">
        <f t="shared" si="522"/>
        <v>386.58600000000001</v>
      </c>
      <c r="O99" s="4335">
        <f t="shared" si="523"/>
        <v>386.58600000000001</v>
      </c>
      <c r="P99" s="4335">
        <f t="shared" si="523"/>
        <v>0</v>
      </c>
      <c r="Q99" s="4317">
        <f t="shared" ref="Q99:Q103" si="547">SUM(R99:S99)</f>
        <v>335.74162771606581</v>
      </c>
      <c r="R99" s="4317">
        <f t="shared" ref="R99:R103" si="548">SUM(C99)</f>
        <v>335.74162771606581</v>
      </c>
      <c r="S99" s="4317">
        <f t="shared" ref="S99:S103" si="549">SUM(D99)</f>
        <v>0</v>
      </c>
      <c r="T99" s="4335">
        <f t="shared" si="177"/>
        <v>41.491999999999997</v>
      </c>
      <c r="U99" s="4336">
        <f>0.25+41.242</f>
        <v>41.491999999999997</v>
      </c>
      <c r="V99" s="4336"/>
      <c r="W99" s="4335">
        <f t="shared" si="179"/>
        <v>423.67399999999998</v>
      </c>
      <c r="X99" s="4336">
        <v>423.67399999999998</v>
      </c>
      <c r="Y99" s="4336"/>
      <c r="Z99" s="4335">
        <f t="shared" si="181"/>
        <v>124.7</v>
      </c>
      <c r="AA99" s="4336">
        <v>124.7</v>
      </c>
      <c r="AB99" s="4336"/>
      <c r="AC99" s="4335">
        <f t="shared" si="350"/>
        <v>589.86599999999999</v>
      </c>
      <c r="AD99" s="4335">
        <f t="shared" si="528"/>
        <v>589.86599999999999</v>
      </c>
      <c r="AE99" s="4335">
        <f t="shared" si="515"/>
        <v>0</v>
      </c>
      <c r="AF99" s="4318">
        <f t="shared" si="428"/>
        <v>671.48325543213161</v>
      </c>
      <c r="AG99" s="4318">
        <f t="shared" si="429"/>
        <v>671.48325543213161</v>
      </c>
      <c r="AH99" s="4318">
        <f t="shared" si="430"/>
        <v>0</v>
      </c>
      <c r="AI99" s="4337">
        <f t="shared" si="454"/>
        <v>976.452</v>
      </c>
      <c r="AJ99" s="4337">
        <f t="shared" si="454"/>
        <v>976.452</v>
      </c>
      <c r="AK99" s="4337">
        <f t="shared" si="454"/>
        <v>0</v>
      </c>
      <c r="AL99" s="4337">
        <f t="shared" si="453"/>
        <v>304.96874456786838</v>
      </c>
      <c r="AM99" s="4337">
        <f t="shared" si="453"/>
        <v>304.96874456786838</v>
      </c>
      <c r="AN99" s="4337">
        <f t="shared" si="453"/>
        <v>0</v>
      </c>
      <c r="AO99" s="4317">
        <f t="shared" ref="AO99:AO103" si="550">SUM(AP99:AQ99)</f>
        <v>335.74162771606581</v>
      </c>
      <c r="AP99" s="4317">
        <f t="shared" ref="AP99:AP103" si="551">SUM(CC99-AG99)/2</f>
        <v>335.74162771606581</v>
      </c>
      <c r="AQ99" s="4317">
        <f t="shared" ref="AQ99:AQ103" si="552">SUM(CD99-AH99)/2</f>
        <v>0</v>
      </c>
      <c r="AR99" s="4335">
        <f t="shared" si="188"/>
        <v>274.96300000000002</v>
      </c>
      <c r="AS99" s="4336">
        <v>274.96300000000002</v>
      </c>
      <c r="AT99" s="4336"/>
      <c r="AU99" s="4335">
        <f t="shared" si="190"/>
        <v>0</v>
      </c>
      <c r="AV99" s="4336"/>
      <c r="AW99" s="4336"/>
      <c r="AX99" s="4335">
        <f t="shared" si="192"/>
        <v>0</v>
      </c>
      <c r="AY99" s="4336"/>
      <c r="AZ99" s="4336"/>
      <c r="BA99" s="4335">
        <f t="shared" si="359"/>
        <v>274.96300000000002</v>
      </c>
      <c r="BB99" s="4335">
        <f t="shared" si="533"/>
        <v>274.96300000000002</v>
      </c>
      <c r="BC99" s="4335">
        <f t="shared" si="516"/>
        <v>0</v>
      </c>
      <c r="BD99" s="4318">
        <f t="shared" si="534"/>
        <v>1007.2248831481975</v>
      </c>
      <c r="BE99" s="4318">
        <f t="shared" si="535"/>
        <v>1007.2248831481975</v>
      </c>
      <c r="BF99" s="4318">
        <f t="shared" si="438"/>
        <v>0</v>
      </c>
      <c r="BG99" s="4337">
        <f t="shared" si="536"/>
        <v>1251.415</v>
      </c>
      <c r="BH99" s="4337">
        <f t="shared" si="536"/>
        <v>1251.415</v>
      </c>
      <c r="BI99" s="4337">
        <f t="shared" si="536"/>
        <v>0</v>
      </c>
      <c r="BJ99" s="4337">
        <f t="shared" si="537"/>
        <v>244.19011685180249</v>
      </c>
      <c r="BK99" s="4337">
        <f t="shared" si="537"/>
        <v>244.19011685180249</v>
      </c>
      <c r="BL99" s="4337">
        <f t="shared" si="537"/>
        <v>0</v>
      </c>
      <c r="BM99" s="4317">
        <f t="shared" ref="BM99:BM103" si="553">SUM(BN99:BO99)</f>
        <v>335.74162771606581</v>
      </c>
      <c r="BN99" s="4317">
        <f t="shared" ref="BN99:BN103" si="554">SUM(AP99)</f>
        <v>335.74162771606581</v>
      </c>
      <c r="BO99" s="4317">
        <f t="shared" ref="BO99:BO103" si="555">SUM(AQ99)</f>
        <v>0</v>
      </c>
      <c r="BP99" s="4335">
        <f t="shared" si="200"/>
        <v>0</v>
      </c>
      <c r="BQ99" s="4336"/>
      <c r="BR99" s="4336"/>
      <c r="BS99" s="4335">
        <f t="shared" si="202"/>
        <v>0</v>
      </c>
      <c r="BT99" s="4336"/>
      <c r="BU99" s="4336"/>
      <c r="BV99" s="4335">
        <f t="shared" si="204"/>
        <v>0</v>
      </c>
      <c r="BW99" s="4336"/>
      <c r="BX99" s="4336"/>
      <c r="BY99" s="4335">
        <f t="shared" si="369"/>
        <v>0</v>
      </c>
      <c r="BZ99" s="4335">
        <f t="shared" si="542"/>
        <v>0</v>
      </c>
      <c r="CA99" s="4335">
        <f t="shared" si="517"/>
        <v>0</v>
      </c>
      <c r="CB99" s="4318">
        <f t="shared" ref="CB99:CB105" si="556">SUM(CC99:CD99)</f>
        <v>1342.9665108642632</v>
      </c>
      <c r="CC99" s="4318">
        <f>SUM(вода!EF28)</f>
        <v>1342.9665108642632</v>
      </c>
      <c r="CD99" s="4318">
        <v>0</v>
      </c>
      <c r="CE99" s="4337">
        <f t="shared" si="543"/>
        <v>1251.415</v>
      </c>
      <c r="CF99" s="4337">
        <f t="shared" si="543"/>
        <v>1251.415</v>
      </c>
      <c r="CG99" s="4337">
        <f t="shared" si="543"/>
        <v>0</v>
      </c>
      <c r="CH99" s="4337">
        <f t="shared" si="544"/>
        <v>-91.551510864263264</v>
      </c>
      <c r="CI99" s="4337">
        <f t="shared" si="544"/>
        <v>-91.551510864263264</v>
      </c>
      <c r="CJ99" s="4337">
        <f t="shared" si="544"/>
        <v>0</v>
      </c>
      <c r="CK99" s="2774"/>
      <c r="CL99" s="3575">
        <f t="shared" si="483"/>
        <v>1342.9665108642632</v>
      </c>
      <c r="CM99" s="3575">
        <f t="shared" si="483"/>
        <v>1342.9665108642632</v>
      </c>
      <c r="CN99" s="3575">
        <f t="shared" si="483"/>
        <v>0</v>
      </c>
    </row>
    <row r="100" spans="1:92" ht="18.75" customHeight="1" x14ac:dyDescent="0.3">
      <c r="A100" s="4334" t="s">
        <v>2</v>
      </c>
      <c r="B100" s="4317">
        <f t="shared" si="545"/>
        <v>29.418768102579715</v>
      </c>
      <c r="C100" s="4317">
        <f t="shared" si="546"/>
        <v>29.418768102579715</v>
      </c>
      <c r="D100" s="4317">
        <f t="shared" si="546"/>
        <v>0</v>
      </c>
      <c r="E100" s="4335">
        <f t="shared" si="485"/>
        <v>60.233999999999995</v>
      </c>
      <c r="F100" s="4336">
        <f>17.812+42.422</f>
        <v>60.233999999999995</v>
      </c>
      <c r="G100" s="4336"/>
      <c r="H100" s="4335">
        <f t="shared" si="486"/>
        <v>152.78899999999999</v>
      </c>
      <c r="I100" s="4336">
        <v>152.78899999999999</v>
      </c>
      <c r="J100" s="4336"/>
      <c r="K100" s="4335">
        <f t="shared" si="488"/>
        <v>152.78899999999999</v>
      </c>
      <c r="L100" s="4336">
        <v>152.78899999999999</v>
      </c>
      <c r="M100" s="4336"/>
      <c r="N100" s="4335">
        <f t="shared" si="522"/>
        <v>365.81199999999995</v>
      </c>
      <c r="O100" s="4335">
        <f t="shared" si="523"/>
        <v>365.81199999999995</v>
      </c>
      <c r="P100" s="4335">
        <f t="shared" si="523"/>
        <v>0</v>
      </c>
      <c r="Q100" s="4317">
        <f t="shared" si="547"/>
        <v>29.418768102579715</v>
      </c>
      <c r="R100" s="4317">
        <f t="shared" si="548"/>
        <v>29.418768102579715</v>
      </c>
      <c r="S100" s="4317">
        <f t="shared" si="549"/>
        <v>0</v>
      </c>
      <c r="T100" s="4335">
        <f t="shared" ref="T100:T103" si="557">SUM(U100:V100)</f>
        <v>166.267</v>
      </c>
      <c r="U100" s="4336">
        <v>166.267</v>
      </c>
      <c r="V100" s="4336"/>
      <c r="W100" s="4335">
        <f t="shared" ref="W100:W103" si="558">SUM(X100:Y100)</f>
        <v>244.38900000000001</v>
      </c>
      <c r="X100" s="4336">
        <v>244.38900000000001</v>
      </c>
      <c r="Y100" s="4336"/>
      <c r="Z100" s="4335">
        <f t="shared" ref="Z100:Z103" si="559">SUM(AA100:AB100)</f>
        <v>244.38900000000001</v>
      </c>
      <c r="AA100" s="4336">
        <v>244.38900000000001</v>
      </c>
      <c r="AB100" s="4336"/>
      <c r="AC100" s="4335">
        <f t="shared" si="350"/>
        <v>655.04500000000007</v>
      </c>
      <c r="AD100" s="4335">
        <f t="shared" si="528"/>
        <v>655.04500000000007</v>
      </c>
      <c r="AE100" s="4335">
        <f t="shared" si="515"/>
        <v>0</v>
      </c>
      <c r="AF100" s="4318">
        <f t="shared" si="428"/>
        <v>58.837536205159431</v>
      </c>
      <c r="AG100" s="4318">
        <f t="shared" si="429"/>
        <v>58.837536205159431</v>
      </c>
      <c r="AH100" s="4318">
        <f t="shared" si="430"/>
        <v>0</v>
      </c>
      <c r="AI100" s="4337">
        <f t="shared" si="454"/>
        <v>1020.857</v>
      </c>
      <c r="AJ100" s="4337">
        <f t="shared" si="454"/>
        <v>1020.857</v>
      </c>
      <c r="AK100" s="4337">
        <f t="shared" si="454"/>
        <v>0</v>
      </c>
      <c r="AL100" s="4337">
        <f t="shared" si="453"/>
        <v>962.01946379484059</v>
      </c>
      <c r="AM100" s="4337">
        <f t="shared" si="453"/>
        <v>962.01946379484059</v>
      </c>
      <c r="AN100" s="4337">
        <f t="shared" si="453"/>
        <v>0</v>
      </c>
      <c r="AO100" s="4317">
        <f t="shared" si="550"/>
        <v>29.418768102579715</v>
      </c>
      <c r="AP100" s="4317">
        <f t="shared" si="551"/>
        <v>29.418768102579715</v>
      </c>
      <c r="AQ100" s="4317">
        <f t="shared" si="552"/>
        <v>0</v>
      </c>
      <c r="AR100" s="4335">
        <f t="shared" ref="AR100:AR103" si="560">SUM(AS100:AT100)</f>
        <v>244.38900000000001</v>
      </c>
      <c r="AS100" s="4336">
        <v>244.38900000000001</v>
      </c>
      <c r="AT100" s="4336"/>
      <c r="AU100" s="4335">
        <f t="shared" ref="AU100:AU103" si="561">SUM(AV100:AW100)</f>
        <v>0</v>
      </c>
      <c r="AV100" s="4336"/>
      <c r="AW100" s="4336"/>
      <c r="AX100" s="4335">
        <f t="shared" ref="AX100:AX103" si="562">SUM(AY100:AZ100)</f>
        <v>0</v>
      </c>
      <c r="AY100" s="4336"/>
      <c r="AZ100" s="4336"/>
      <c r="BA100" s="4335">
        <f t="shared" si="359"/>
        <v>244.38900000000001</v>
      </c>
      <c r="BB100" s="4335">
        <f t="shared" si="533"/>
        <v>244.38900000000001</v>
      </c>
      <c r="BC100" s="4335">
        <f t="shared" si="516"/>
        <v>0</v>
      </c>
      <c r="BD100" s="4318">
        <f t="shared" si="534"/>
        <v>88.256304307739143</v>
      </c>
      <c r="BE100" s="4318">
        <f t="shared" si="535"/>
        <v>88.256304307739143</v>
      </c>
      <c r="BF100" s="4318">
        <f t="shared" si="438"/>
        <v>0</v>
      </c>
      <c r="BG100" s="4337">
        <f t="shared" si="536"/>
        <v>1265.2460000000001</v>
      </c>
      <c r="BH100" s="4337">
        <f t="shared" si="536"/>
        <v>1265.2460000000001</v>
      </c>
      <c r="BI100" s="4337">
        <f t="shared" si="536"/>
        <v>0</v>
      </c>
      <c r="BJ100" s="4337">
        <f t="shared" si="537"/>
        <v>1176.989695692261</v>
      </c>
      <c r="BK100" s="4337">
        <f t="shared" si="537"/>
        <v>1176.989695692261</v>
      </c>
      <c r="BL100" s="4337">
        <f t="shared" si="537"/>
        <v>0</v>
      </c>
      <c r="BM100" s="4317">
        <f t="shared" si="553"/>
        <v>29.418768102579715</v>
      </c>
      <c r="BN100" s="4317">
        <f t="shared" si="554"/>
        <v>29.418768102579715</v>
      </c>
      <c r="BO100" s="4317">
        <f t="shared" si="555"/>
        <v>0</v>
      </c>
      <c r="BP100" s="4335">
        <f t="shared" ref="BP100:BP103" si="563">SUM(BQ100:BR100)</f>
        <v>0</v>
      </c>
      <c r="BQ100" s="4336"/>
      <c r="BR100" s="4336"/>
      <c r="BS100" s="4335">
        <f t="shared" ref="BS100:BS103" si="564">SUM(BT100:BU100)</f>
        <v>0</v>
      </c>
      <c r="BT100" s="4336"/>
      <c r="BU100" s="4336"/>
      <c r="BV100" s="4335">
        <f t="shared" ref="BV100:BV103" si="565">SUM(BW100:BX100)</f>
        <v>0</v>
      </c>
      <c r="BW100" s="4336"/>
      <c r="BX100" s="4336"/>
      <c r="BY100" s="4335">
        <f t="shared" si="369"/>
        <v>0</v>
      </c>
      <c r="BZ100" s="4335">
        <f t="shared" si="542"/>
        <v>0</v>
      </c>
      <c r="CA100" s="4335">
        <f t="shared" si="517"/>
        <v>0</v>
      </c>
      <c r="CB100" s="4318">
        <f t="shared" si="556"/>
        <v>117.67507241031886</v>
      </c>
      <c r="CC100" s="4318">
        <f>SUM(вода!EF29)</f>
        <v>117.67507241031886</v>
      </c>
      <c r="CD100" s="4318">
        <v>0</v>
      </c>
      <c r="CE100" s="4337">
        <f t="shared" si="543"/>
        <v>1265.2460000000001</v>
      </c>
      <c r="CF100" s="4337">
        <f t="shared" si="543"/>
        <v>1265.2460000000001</v>
      </c>
      <c r="CG100" s="4337">
        <f t="shared" si="543"/>
        <v>0</v>
      </c>
      <c r="CH100" s="4337">
        <f t="shared" si="544"/>
        <v>1147.5709275896813</v>
      </c>
      <c r="CI100" s="4337">
        <f t="shared" si="544"/>
        <v>1147.5709275896813</v>
      </c>
      <c r="CJ100" s="4337">
        <f t="shared" si="544"/>
        <v>0</v>
      </c>
      <c r="CK100" s="2774"/>
      <c r="CL100" s="3575">
        <f t="shared" si="483"/>
        <v>117.67507241031886</v>
      </c>
      <c r="CM100" s="3575">
        <f t="shared" si="483"/>
        <v>117.67507241031886</v>
      </c>
      <c r="CN100" s="3575">
        <f t="shared" si="483"/>
        <v>0</v>
      </c>
    </row>
    <row r="101" spans="1:92" ht="18.75" customHeight="1" x14ac:dyDescent="0.3">
      <c r="A101" s="4334" t="s">
        <v>3702</v>
      </c>
      <c r="B101" s="4317">
        <f t="shared" si="545"/>
        <v>0</v>
      </c>
      <c r="C101" s="4317">
        <f t="shared" si="546"/>
        <v>0</v>
      </c>
      <c r="D101" s="4317">
        <f t="shared" si="546"/>
        <v>0</v>
      </c>
      <c r="E101" s="4335">
        <f t="shared" si="485"/>
        <v>3.5</v>
      </c>
      <c r="F101" s="4336">
        <v>3.5</v>
      </c>
      <c r="G101" s="4336"/>
      <c r="H101" s="4335">
        <f t="shared" si="486"/>
        <v>2</v>
      </c>
      <c r="I101" s="4336">
        <v>2</v>
      </c>
      <c r="J101" s="4336"/>
      <c r="K101" s="4335">
        <f t="shared" si="488"/>
        <v>0</v>
      </c>
      <c r="L101" s="4336"/>
      <c r="M101" s="4336"/>
      <c r="N101" s="4335">
        <f t="shared" si="522"/>
        <v>5.5</v>
      </c>
      <c r="O101" s="4335">
        <f t="shared" si="523"/>
        <v>5.5</v>
      </c>
      <c r="P101" s="4335">
        <f t="shared" si="523"/>
        <v>0</v>
      </c>
      <c r="Q101" s="4317">
        <f t="shared" si="547"/>
        <v>0</v>
      </c>
      <c r="R101" s="4317">
        <f t="shared" si="548"/>
        <v>0</v>
      </c>
      <c r="S101" s="4317">
        <f t="shared" si="549"/>
        <v>0</v>
      </c>
      <c r="T101" s="4335">
        <f t="shared" si="557"/>
        <v>0</v>
      </c>
      <c r="U101" s="4336"/>
      <c r="V101" s="4336"/>
      <c r="W101" s="4335">
        <f t="shared" si="558"/>
        <v>33.665999999999997</v>
      </c>
      <c r="X101" s="4336">
        <v>33.665999999999997</v>
      </c>
      <c r="Y101" s="4336"/>
      <c r="Z101" s="4335">
        <f t="shared" si="559"/>
        <v>0</v>
      </c>
      <c r="AA101" s="4336"/>
      <c r="AB101" s="4336"/>
      <c r="AC101" s="4335">
        <f t="shared" si="350"/>
        <v>33.665999999999997</v>
      </c>
      <c r="AD101" s="4335">
        <f t="shared" si="528"/>
        <v>33.665999999999997</v>
      </c>
      <c r="AE101" s="4335">
        <f t="shared" si="515"/>
        <v>0</v>
      </c>
      <c r="AF101" s="4318">
        <f t="shared" si="428"/>
        <v>0</v>
      </c>
      <c r="AG101" s="4318">
        <f t="shared" si="429"/>
        <v>0</v>
      </c>
      <c r="AH101" s="4318">
        <f t="shared" si="430"/>
        <v>0</v>
      </c>
      <c r="AI101" s="4337">
        <f t="shared" si="454"/>
        <v>39.165999999999997</v>
      </c>
      <c r="AJ101" s="4337">
        <f t="shared" si="454"/>
        <v>39.165999999999997</v>
      </c>
      <c r="AK101" s="4337">
        <f t="shared" si="454"/>
        <v>0</v>
      </c>
      <c r="AL101" s="4337">
        <f t="shared" si="453"/>
        <v>39.165999999999997</v>
      </c>
      <c r="AM101" s="4337">
        <f t="shared" si="453"/>
        <v>39.165999999999997</v>
      </c>
      <c r="AN101" s="4337">
        <f t="shared" si="453"/>
        <v>0</v>
      </c>
      <c r="AO101" s="4317">
        <f t="shared" si="550"/>
        <v>0</v>
      </c>
      <c r="AP101" s="4317">
        <f t="shared" si="551"/>
        <v>0</v>
      </c>
      <c r="AQ101" s="4317">
        <f t="shared" si="552"/>
        <v>0</v>
      </c>
      <c r="AR101" s="4335">
        <f t="shared" si="560"/>
        <v>0</v>
      </c>
      <c r="AS101" s="4336"/>
      <c r="AT101" s="4336"/>
      <c r="AU101" s="4335">
        <f t="shared" si="561"/>
        <v>0</v>
      </c>
      <c r="AV101" s="4336"/>
      <c r="AW101" s="4336"/>
      <c r="AX101" s="4335">
        <f t="shared" si="562"/>
        <v>0</v>
      </c>
      <c r="AY101" s="4336"/>
      <c r="AZ101" s="4336"/>
      <c r="BA101" s="4335">
        <f t="shared" si="359"/>
        <v>0</v>
      </c>
      <c r="BB101" s="4335">
        <f t="shared" si="533"/>
        <v>0</v>
      </c>
      <c r="BC101" s="4335">
        <f t="shared" si="516"/>
        <v>0</v>
      </c>
      <c r="BD101" s="4318">
        <f t="shared" si="534"/>
        <v>0</v>
      </c>
      <c r="BE101" s="4318">
        <f t="shared" si="535"/>
        <v>0</v>
      </c>
      <c r="BF101" s="4318">
        <f t="shared" si="438"/>
        <v>0</v>
      </c>
      <c r="BG101" s="4337">
        <f t="shared" si="536"/>
        <v>39.165999999999997</v>
      </c>
      <c r="BH101" s="4337">
        <f t="shared" si="536"/>
        <v>39.165999999999997</v>
      </c>
      <c r="BI101" s="4337">
        <f t="shared" si="536"/>
        <v>0</v>
      </c>
      <c r="BJ101" s="4337">
        <f t="shared" si="537"/>
        <v>39.165999999999997</v>
      </c>
      <c r="BK101" s="4337">
        <f t="shared" si="537"/>
        <v>39.165999999999997</v>
      </c>
      <c r="BL101" s="4337">
        <f t="shared" si="537"/>
        <v>0</v>
      </c>
      <c r="BM101" s="4317">
        <f t="shared" si="553"/>
        <v>0</v>
      </c>
      <c r="BN101" s="4317">
        <f t="shared" si="554"/>
        <v>0</v>
      </c>
      <c r="BO101" s="4317">
        <f t="shared" si="555"/>
        <v>0</v>
      </c>
      <c r="BP101" s="4335">
        <f t="shared" si="563"/>
        <v>0</v>
      </c>
      <c r="BQ101" s="4336"/>
      <c r="BR101" s="4336"/>
      <c r="BS101" s="4335">
        <f t="shared" si="564"/>
        <v>0</v>
      </c>
      <c r="BT101" s="4336"/>
      <c r="BU101" s="4336"/>
      <c r="BV101" s="4335">
        <f t="shared" si="565"/>
        <v>0</v>
      </c>
      <c r="BW101" s="4336"/>
      <c r="BX101" s="4336"/>
      <c r="BY101" s="4335">
        <f t="shared" si="369"/>
        <v>0</v>
      </c>
      <c r="BZ101" s="4335">
        <f t="shared" si="542"/>
        <v>0</v>
      </c>
      <c r="CA101" s="4335">
        <f t="shared" si="517"/>
        <v>0</v>
      </c>
      <c r="CB101" s="4318">
        <f t="shared" si="556"/>
        <v>0</v>
      </c>
      <c r="CC101" s="4318">
        <f>SUM(вода!EF30)</f>
        <v>0</v>
      </c>
      <c r="CD101" s="4318">
        <v>0</v>
      </c>
      <c r="CE101" s="4337">
        <f t="shared" si="543"/>
        <v>39.165999999999997</v>
      </c>
      <c r="CF101" s="4337">
        <f t="shared" si="543"/>
        <v>39.165999999999997</v>
      </c>
      <c r="CG101" s="4337">
        <f t="shared" si="543"/>
        <v>0</v>
      </c>
      <c r="CH101" s="4337">
        <f t="shared" si="544"/>
        <v>39.165999999999997</v>
      </c>
      <c r="CI101" s="4337">
        <f t="shared" si="544"/>
        <v>39.165999999999997</v>
      </c>
      <c r="CJ101" s="4337">
        <f t="shared" si="544"/>
        <v>0</v>
      </c>
      <c r="CK101" s="2774"/>
      <c r="CL101" s="3575">
        <f t="shared" si="483"/>
        <v>0</v>
      </c>
      <c r="CM101" s="3575">
        <f t="shared" si="483"/>
        <v>0</v>
      </c>
      <c r="CN101" s="3575">
        <f t="shared" si="483"/>
        <v>0</v>
      </c>
    </row>
    <row r="102" spans="1:92" ht="18.75" customHeight="1" x14ac:dyDescent="0.3">
      <c r="A102" s="4334" t="s">
        <v>4</v>
      </c>
      <c r="B102" s="4317">
        <f t="shared" si="545"/>
        <v>3727.4551230966467</v>
      </c>
      <c r="C102" s="4317">
        <f t="shared" si="546"/>
        <v>3727.4551230966467</v>
      </c>
      <c r="D102" s="4317">
        <f t="shared" si="546"/>
        <v>0</v>
      </c>
      <c r="E102" s="4335">
        <f t="shared" si="485"/>
        <v>1230.9469999999999</v>
      </c>
      <c r="F102" s="4336">
        <v>1230.9469999999999</v>
      </c>
      <c r="G102" s="4336"/>
      <c r="H102" s="4335">
        <f t="shared" si="486"/>
        <v>918.95867999999996</v>
      </c>
      <c r="I102" s="4336">
        <v>918.95867999999996</v>
      </c>
      <c r="J102" s="4336"/>
      <c r="K102" s="4335">
        <f t="shared" si="488"/>
        <v>956.39499999999998</v>
      </c>
      <c r="L102" s="4336">
        <v>956.39499999999998</v>
      </c>
      <c r="M102" s="4336"/>
      <c r="N102" s="4335">
        <f t="shared" si="522"/>
        <v>3106.3006799999998</v>
      </c>
      <c r="O102" s="4335">
        <f t="shared" si="523"/>
        <v>3106.3006799999998</v>
      </c>
      <c r="P102" s="4335">
        <f t="shared" si="523"/>
        <v>0</v>
      </c>
      <c r="Q102" s="4317">
        <f t="shared" si="547"/>
        <v>3727.4551230966467</v>
      </c>
      <c r="R102" s="4317">
        <f t="shared" si="548"/>
        <v>3727.4551230966467</v>
      </c>
      <c r="S102" s="4317">
        <f t="shared" si="549"/>
        <v>0</v>
      </c>
      <c r="T102" s="4335">
        <f t="shared" si="557"/>
        <v>937.26800000000003</v>
      </c>
      <c r="U102" s="4336">
        <v>937.26800000000003</v>
      </c>
      <c r="V102" s="4336"/>
      <c r="W102" s="4335">
        <f t="shared" si="558"/>
        <v>1065.93</v>
      </c>
      <c r="X102" s="4336">
        <v>1065.93</v>
      </c>
      <c r="Y102" s="4336"/>
      <c r="Z102" s="4335">
        <f t="shared" si="559"/>
        <v>985</v>
      </c>
      <c r="AA102" s="4336">
        <v>985</v>
      </c>
      <c r="AB102" s="4336"/>
      <c r="AC102" s="4335">
        <f t="shared" si="350"/>
        <v>2988.1980000000003</v>
      </c>
      <c r="AD102" s="4335">
        <f t="shared" si="528"/>
        <v>2988.1980000000003</v>
      </c>
      <c r="AE102" s="4335">
        <f t="shared" si="515"/>
        <v>0</v>
      </c>
      <c r="AF102" s="4318">
        <f t="shared" si="428"/>
        <v>7454.9102461932935</v>
      </c>
      <c r="AG102" s="4318">
        <f t="shared" si="429"/>
        <v>7454.9102461932935</v>
      </c>
      <c r="AH102" s="4318">
        <f t="shared" si="430"/>
        <v>0</v>
      </c>
      <c r="AI102" s="4337">
        <f t="shared" si="454"/>
        <v>6094.4986800000006</v>
      </c>
      <c r="AJ102" s="4337">
        <f t="shared" si="454"/>
        <v>6094.4986800000006</v>
      </c>
      <c r="AK102" s="4337">
        <f t="shared" si="454"/>
        <v>0</v>
      </c>
      <c r="AL102" s="4337">
        <f t="shared" si="453"/>
        <v>-1360.4115661932929</v>
      </c>
      <c r="AM102" s="4337">
        <f t="shared" si="453"/>
        <v>-1360.4115661932929</v>
      </c>
      <c r="AN102" s="4337">
        <f t="shared" si="453"/>
        <v>0</v>
      </c>
      <c r="AO102" s="4317">
        <f t="shared" si="550"/>
        <v>3727.4551230966467</v>
      </c>
      <c r="AP102" s="4317">
        <f t="shared" si="551"/>
        <v>3727.4551230966467</v>
      </c>
      <c r="AQ102" s="4317">
        <f t="shared" si="552"/>
        <v>0</v>
      </c>
      <c r="AR102" s="4335">
        <f t="shared" si="560"/>
        <v>984.64599999999996</v>
      </c>
      <c r="AS102" s="4336">
        <v>984.64599999999996</v>
      </c>
      <c r="AT102" s="4336"/>
      <c r="AU102" s="4335">
        <f t="shared" si="561"/>
        <v>0</v>
      </c>
      <c r="AV102" s="4336"/>
      <c r="AW102" s="4336"/>
      <c r="AX102" s="4335">
        <f t="shared" si="562"/>
        <v>0</v>
      </c>
      <c r="AY102" s="4336"/>
      <c r="AZ102" s="4336"/>
      <c r="BA102" s="4335">
        <f t="shared" si="359"/>
        <v>984.64599999999996</v>
      </c>
      <c r="BB102" s="4335">
        <f t="shared" si="533"/>
        <v>984.64599999999996</v>
      </c>
      <c r="BC102" s="4335">
        <f t="shared" si="516"/>
        <v>0</v>
      </c>
      <c r="BD102" s="4318">
        <f t="shared" si="534"/>
        <v>11182.365369289941</v>
      </c>
      <c r="BE102" s="4318">
        <f t="shared" si="535"/>
        <v>11182.365369289941</v>
      </c>
      <c r="BF102" s="4318">
        <f t="shared" si="438"/>
        <v>0</v>
      </c>
      <c r="BG102" s="4337">
        <f t="shared" si="536"/>
        <v>7079.1446800000003</v>
      </c>
      <c r="BH102" s="4337">
        <f t="shared" si="536"/>
        <v>7079.1446800000003</v>
      </c>
      <c r="BI102" s="4337">
        <f t="shared" si="536"/>
        <v>0</v>
      </c>
      <c r="BJ102" s="4337">
        <f t="shared" si="537"/>
        <v>-4103.2206892899403</v>
      </c>
      <c r="BK102" s="4337">
        <f t="shared" si="537"/>
        <v>-4103.2206892899403</v>
      </c>
      <c r="BL102" s="4337">
        <f t="shared" si="537"/>
        <v>0</v>
      </c>
      <c r="BM102" s="4317">
        <f t="shared" si="553"/>
        <v>3727.4551230966467</v>
      </c>
      <c r="BN102" s="4317">
        <f t="shared" si="554"/>
        <v>3727.4551230966467</v>
      </c>
      <c r="BO102" s="4317">
        <f t="shared" si="555"/>
        <v>0</v>
      </c>
      <c r="BP102" s="4335">
        <f t="shared" si="563"/>
        <v>0</v>
      </c>
      <c r="BQ102" s="4336"/>
      <c r="BR102" s="4336"/>
      <c r="BS102" s="4335">
        <f t="shared" si="564"/>
        <v>0</v>
      </c>
      <c r="BT102" s="4336"/>
      <c r="BU102" s="4336"/>
      <c r="BV102" s="4335">
        <f t="shared" si="565"/>
        <v>0</v>
      </c>
      <c r="BW102" s="4336"/>
      <c r="BX102" s="4336"/>
      <c r="BY102" s="4335">
        <f t="shared" si="369"/>
        <v>0</v>
      </c>
      <c r="BZ102" s="4335">
        <f t="shared" si="542"/>
        <v>0</v>
      </c>
      <c r="CA102" s="4335">
        <f t="shared" si="517"/>
        <v>0</v>
      </c>
      <c r="CB102" s="4318">
        <f t="shared" si="556"/>
        <v>14909.820492386587</v>
      </c>
      <c r="CC102" s="4318">
        <f>SUM(вода!EF31)</f>
        <v>14909.820492386587</v>
      </c>
      <c r="CD102" s="4318">
        <v>0</v>
      </c>
      <c r="CE102" s="4337">
        <f t="shared" si="543"/>
        <v>7079.1446800000003</v>
      </c>
      <c r="CF102" s="4337">
        <f t="shared" si="543"/>
        <v>7079.1446800000003</v>
      </c>
      <c r="CG102" s="4337">
        <f t="shared" si="543"/>
        <v>0</v>
      </c>
      <c r="CH102" s="4337">
        <f t="shared" si="544"/>
        <v>-7830.6758123865866</v>
      </c>
      <c r="CI102" s="4337">
        <f t="shared" si="544"/>
        <v>-7830.6758123865866</v>
      </c>
      <c r="CJ102" s="4337">
        <f t="shared" si="544"/>
        <v>0</v>
      </c>
      <c r="CK102" s="2774"/>
      <c r="CL102" s="3575">
        <f t="shared" si="483"/>
        <v>14909.820492386587</v>
      </c>
      <c r="CM102" s="3575">
        <f t="shared" si="483"/>
        <v>14909.820492386587</v>
      </c>
      <c r="CN102" s="3575">
        <f t="shared" si="483"/>
        <v>0</v>
      </c>
    </row>
    <row r="103" spans="1:92" ht="18.75" customHeight="1" x14ac:dyDescent="0.3">
      <c r="A103" s="4334" t="s">
        <v>5</v>
      </c>
      <c r="B103" s="4317">
        <f t="shared" si="545"/>
        <v>1122.90803515996</v>
      </c>
      <c r="C103" s="4317">
        <f t="shared" si="546"/>
        <v>1122.90803515996</v>
      </c>
      <c r="D103" s="4317">
        <f t="shared" si="546"/>
        <v>0</v>
      </c>
      <c r="E103" s="4335">
        <f t="shared" si="485"/>
        <v>370.28100000000001</v>
      </c>
      <c r="F103" s="4336">
        <f>2.452+367.829</f>
        <v>370.28100000000001</v>
      </c>
      <c r="G103" s="4336"/>
      <c r="H103" s="4335">
        <f t="shared" si="486"/>
        <v>277.07249000000002</v>
      </c>
      <c r="I103" s="4336">
        <f>1.8349+275.23759</f>
        <v>277.07249000000002</v>
      </c>
      <c r="J103" s="4336"/>
      <c r="K103" s="4335">
        <f t="shared" si="488"/>
        <v>288.346</v>
      </c>
      <c r="L103" s="4336">
        <f>1.91+286.436</f>
        <v>288.346</v>
      </c>
      <c r="M103" s="4336"/>
      <c r="N103" s="4335">
        <f t="shared" si="522"/>
        <v>935.69948999999997</v>
      </c>
      <c r="O103" s="4335">
        <f t="shared" si="523"/>
        <v>935.69948999999997</v>
      </c>
      <c r="P103" s="4335">
        <f t="shared" si="523"/>
        <v>0</v>
      </c>
      <c r="Q103" s="4317">
        <f t="shared" si="547"/>
        <v>1122.90803515996</v>
      </c>
      <c r="R103" s="4317">
        <f t="shared" si="548"/>
        <v>1122.90803515996</v>
      </c>
      <c r="S103" s="4317">
        <f t="shared" si="549"/>
        <v>0</v>
      </c>
      <c r="T103" s="4335">
        <f t="shared" si="557"/>
        <v>283.96799999999996</v>
      </c>
      <c r="U103" s="4336">
        <f>1.881+282.087</f>
        <v>283.96799999999996</v>
      </c>
      <c r="V103" s="4336"/>
      <c r="W103" s="4335">
        <f t="shared" si="558"/>
        <v>325.49299999999999</v>
      </c>
      <c r="X103" s="4336">
        <f>2.156+323.337</f>
        <v>325.49299999999999</v>
      </c>
      <c r="Y103" s="4336"/>
      <c r="Z103" s="4335">
        <f t="shared" si="559"/>
        <v>308.45400000000001</v>
      </c>
      <c r="AA103" s="4336">
        <f>2.043+306.411</f>
        <v>308.45400000000001</v>
      </c>
      <c r="AB103" s="4336"/>
      <c r="AC103" s="4335">
        <f t="shared" si="350"/>
        <v>917.91499999999996</v>
      </c>
      <c r="AD103" s="4335">
        <f t="shared" si="528"/>
        <v>917.91499999999996</v>
      </c>
      <c r="AE103" s="4335">
        <f t="shared" si="515"/>
        <v>0</v>
      </c>
      <c r="AF103" s="4318">
        <f t="shared" si="428"/>
        <v>2245.8160703199201</v>
      </c>
      <c r="AG103" s="4318">
        <f t="shared" si="429"/>
        <v>2245.8160703199201</v>
      </c>
      <c r="AH103" s="4318">
        <f t="shared" si="430"/>
        <v>0</v>
      </c>
      <c r="AI103" s="4337">
        <f t="shared" si="454"/>
        <v>1853.6144899999999</v>
      </c>
      <c r="AJ103" s="4337">
        <f t="shared" si="454"/>
        <v>1853.6144899999999</v>
      </c>
      <c r="AK103" s="4337">
        <f t="shared" si="454"/>
        <v>0</v>
      </c>
      <c r="AL103" s="4337">
        <f t="shared" si="453"/>
        <v>-392.20158031992014</v>
      </c>
      <c r="AM103" s="4337">
        <f t="shared" si="453"/>
        <v>-392.20158031992014</v>
      </c>
      <c r="AN103" s="4337">
        <f t="shared" si="453"/>
        <v>0</v>
      </c>
      <c r="AO103" s="4317">
        <f t="shared" si="550"/>
        <v>1122.90803515996</v>
      </c>
      <c r="AP103" s="4317">
        <f t="shared" si="551"/>
        <v>1122.90803515996</v>
      </c>
      <c r="AQ103" s="4317">
        <f t="shared" si="552"/>
        <v>0</v>
      </c>
      <c r="AR103" s="4335">
        <f t="shared" si="560"/>
        <v>293.56700000000001</v>
      </c>
      <c r="AS103" s="4336">
        <f>1.871+291.696</f>
        <v>293.56700000000001</v>
      </c>
      <c r="AT103" s="4336"/>
      <c r="AU103" s="4335">
        <f t="shared" si="561"/>
        <v>0</v>
      </c>
      <c r="AV103" s="4336"/>
      <c r="AW103" s="4336"/>
      <c r="AX103" s="4335">
        <f t="shared" si="562"/>
        <v>0</v>
      </c>
      <c r="AY103" s="4336"/>
      <c r="AZ103" s="4336"/>
      <c r="BA103" s="4335">
        <f t="shared" si="359"/>
        <v>293.56700000000001</v>
      </c>
      <c r="BB103" s="4335">
        <f t="shared" si="533"/>
        <v>293.56700000000001</v>
      </c>
      <c r="BC103" s="4335">
        <f t="shared" si="516"/>
        <v>0</v>
      </c>
      <c r="BD103" s="4318">
        <f t="shared" si="534"/>
        <v>3368.7241054798801</v>
      </c>
      <c r="BE103" s="4318">
        <f t="shared" si="535"/>
        <v>3368.7241054798801</v>
      </c>
      <c r="BF103" s="4318">
        <f t="shared" si="438"/>
        <v>0</v>
      </c>
      <c r="BG103" s="4337">
        <f t="shared" si="536"/>
        <v>2147.1814899999999</v>
      </c>
      <c r="BH103" s="4337">
        <f t="shared" si="536"/>
        <v>2147.1814899999999</v>
      </c>
      <c r="BI103" s="4337">
        <f t="shared" si="536"/>
        <v>0</v>
      </c>
      <c r="BJ103" s="4337">
        <f t="shared" si="537"/>
        <v>-1221.5426154798802</v>
      </c>
      <c r="BK103" s="4337">
        <f t="shared" si="537"/>
        <v>-1221.5426154798802</v>
      </c>
      <c r="BL103" s="4337">
        <f t="shared" si="537"/>
        <v>0</v>
      </c>
      <c r="BM103" s="4317">
        <f t="shared" si="553"/>
        <v>1122.90803515996</v>
      </c>
      <c r="BN103" s="4317">
        <f t="shared" si="554"/>
        <v>1122.90803515996</v>
      </c>
      <c r="BO103" s="4317">
        <f t="shared" si="555"/>
        <v>0</v>
      </c>
      <c r="BP103" s="4335">
        <f t="shared" si="563"/>
        <v>0</v>
      </c>
      <c r="BQ103" s="4336"/>
      <c r="BR103" s="4336"/>
      <c r="BS103" s="4335">
        <f t="shared" si="564"/>
        <v>0</v>
      </c>
      <c r="BT103" s="4336"/>
      <c r="BU103" s="4336"/>
      <c r="BV103" s="4335">
        <f t="shared" si="565"/>
        <v>0</v>
      </c>
      <c r="BW103" s="4336"/>
      <c r="BX103" s="4336"/>
      <c r="BY103" s="4335">
        <f t="shared" si="369"/>
        <v>0</v>
      </c>
      <c r="BZ103" s="4335">
        <f t="shared" si="542"/>
        <v>0</v>
      </c>
      <c r="CA103" s="4335">
        <f t="shared" si="517"/>
        <v>0</v>
      </c>
      <c r="CB103" s="4318">
        <f t="shared" si="556"/>
        <v>4491.6321406398401</v>
      </c>
      <c r="CC103" s="4318">
        <f>SUM(вода!EF32)</f>
        <v>4491.6321406398401</v>
      </c>
      <c r="CD103" s="4318">
        <v>0</v>
      </c>
      <c r="CE103" s="4337">
        <f t="shared" si="543"/>
        <v>2147.1814899999999</v>
      </c>
      <c r="CF103" s="4337">
        <f t="shared" si="543"/>
        <v>2147.1814899999999</v>
      </c>
      <c r="CG103" s="4337">
        <f t="shared" si="543"/>
        <v>0</v>
      </c>
      <c r="CH103" s="4337">
        <f t="shared" si="544"/>
        <v>-2344.4506506398402</v>
      </c>
      <c r="CI103" s="4337">
        <f t="shared" si="544"/>
        <v>-2344.4506506398402</v>
      </c>
      <c r="CJ103" s="4337">
        <f t="shared" si="544"/>
        <v>0</v>
      </c>
      <c r="CK103" s="2774"/>
      <c r="CL103" s="3575">
        <f t="shared" si="483"/>
        <v>4491.6321406398401</v>
      </c>
      <c r="CM103" s="3575">
        <f t="shared" si="483"/>
        <v>4491.6321406398401</v>
      </c>
      <c r="CN103" s="3575">
        <f t="shared" si="483"/>
        <v>0</v>
      </c>
    </row>
    <row r="104" spans="1:92" ht="18.75" customHeight="1" x14ac:dyDescent="0.2">
      <c r="A104" s="4339" t="str">
        <f>A60</f>
        <v>то же в %</v>
      </c>
      <c r="B104" s="4321">
        <f t="shared" ref="B104:AK104" si="566">SUM(B103/B102)</f>
        <v>0.30125326746444775</v>
      </c>
      <c r="C104" s="4321">
        <f t="shared" si="566"/>
        <v>0.30125326746444775</v>
      </c>
      <c r="D104" s="4321" t="e">
        <f t="shared" si="566"/>
        <v>#DIV/0!</v>
      </c>
      <c r="E104" s="4321">
        <f t="shared" si="566"/>
        <v>0.30080986427522877</v>
      </c>
      <c r="F104" s="4321">
        <f t="shared" si="566"/>
        <v>0.30080986427522877</v>
      </c>
      <c r="G104" s="4321" t="e">
        <f t="shared" si="566"/>
        <v>#DIV/0!</v>
      </c>
      <c r="H104" s="4321">
        <f t="shared" si="566"/>
        <v>0.30150701661580698</v>
      </c>
      <c r="I104" s="4321">
        <f t="shared" si="566"/>
        <v>0.30150701661580698</v>
      </c>
      <c r="J104" s="4321" t="e">
        <f t="shared" si="566"/>
        <v>#DIV/0!</v>
      </c>
      <c r="K104" s="4321">
        <f t="shared" si="566"/>
        <v>0.30149258413103375</v>
      </c>
      <c r="L104" s="4321">
        <f t="shared" si="566"/>
        <v>0.30149258413103375</v>
      </c>
      <c r="M104" s="4321" t="e">
        <f t="shared" si="566"/>
        <v>#DIV/0!</v>
      </c>
      <c r="N104" s="4321">
        <f t="shared" si="566"/>
        <v>0.30122630948913809</v>
      </c>
      <c r="O104" s="4321">
        <f t="shared" si="566"/>
        <v>0.30122630948913809</v>
      </c>
      <c r="P104" s="4321" t="e">
        <f t="shared" si="566"/>
        <v>#DIV/0!</v>
      </c>
      <c r="Q104" s="4321">
        <f t="shared" si="566"/>
        <v>0.30125326746444775</v>
      </c>
      <c r="R104" s="4321">
        <f t="shared" si="566"/>
        <v>0.30125326746444775</v>
      </c>
      <c r="S104" s="4321" t="e">
        <f t="shared" si="566"/>
        <v>#DIV/0!</v>
      </c>
      <c r="T104" s="4321">
        <f t="shared" si="566"/>
        <v>0.30297417600942306</v>
      </c>
      <c r="U104" s="4321">
        <f t="shared" si="566"/>
        <v>0.30297417600942306</v>
      </c>
      <c r="V104" s="4321" t="e">
        <f t="shared" si="566"/>
        <v>#DIV/0!</v>
      </c>
      <c r="W104" s="4321">
        <f t="shared" si="566"/>
        <v>0.30536057714859322</v>
      </c>
      <c r="X104" s="4321">
        <f t="shared" si="566"/>
        <v>0.30536057714859322</v>
      </c>
      <c r="Y104" s="4321" t="e">
        <f t="shared" si="566"/>
        <v>#DIV/0!</v>
      </c>
      <c r="Z104" s="4321">
        <f t="shared" si="566"/>
        <v>0.31315126903553298</v>
      </c>
      <c r="AA104" s="4321">
        <f t="shared" si="566"/>
        <v>0.31315126903553298</v>
      </c>
      <c r="AB104" s="4321" t="e">
        <f t="shared" si="566"/>
        <v>#DIV/0!</v>
      </c>
      <c r="AC104" s="4321">
        <f t="shared" si="566"/>
        <v>0.3071801132321218</v>
      </c>
      <c r="AD104" s="4321">
        <f t="shared" si="566"/>
        <v>0.3071801132321218</v>
      </c>
      <c r="AE104" s="4321" t="e">
        <f t="shared" si="566"/>
        <v>#DIV/0!</v>
      </c>
      <c r="AF104" s="4322">
        <f t="shared" si="566"/>
        <v>0.30125326746444775</v>
      </c>
      <c r="AG104" s="4322">
        <f t="shared" si="566"/>
        <v>0.30125326746444775</v>
      </c>
      <c r="AH104" s="4322" t="e">
        <f t="shared" si="566"/>
        <v>#DIV/0!</v>
      </c>
      <c r="AI104" s="4322">
        <f t="shared" si="566"/>
        <v>0.30414552325409638</v>
      </c>
      <c r="AJ104" s="4322">
        <f t="shared" si="566"/>
        <v>0.30414552325409638</v>
      </c>
      <c r="AK104" s="4322" t="e">
        <f t="shared" si="566"/>
        <v>#DIV/0!</v>
      </c>
      <c r="AL104" s="4323">
        <f t="shared" ref="AL104:AN128" si="567">SUM(AI104-AF104)</f>
        <v>2.8922557896486345E-3</v>
      </c>
      <c r="AM104" s="4323">
        <f t="shared" si="567"/>
        <v>2.8922557896486345E-3</v>
      </c>
      <c r="AN104" s="4323" t="e">
        <f t="shared" si="567"/>
        <v>#DIV/0!</v>
      </c>
      <c r="AO104" s="4321">
        <f t="shared" ref="AO104:BI104" si="568">SUM(AO103/AO102)</f>
        <v>0.30125326746444775</v>
      </c>
      <c r="AP104" s="4321">
        <f t="shared" si="568"/>
        <v>0.30125326746444775</v>
      </c>
      <c r="AQ104" s="4321" t="e">
        <f t="shared" si="568"/>
        <v>#DIV/0!</v>
      </c>
      <c r="AR104" s="4321">
        <f t="shared" si="568"/>
        <v>0.29814471393780101</v>
      </c>
      <c r="AS104" s="4321">
        <f t="shared" si="568"/>
        <v>0.29814471393780101</v>
      </c>
      <c r="AT104" s="4321" t="e">
        <f t="shared" si="568"/>
        <v>#DIV/0!</v>
      </c>
      <c r="AU104" s="4321" t="e">
        <f t="shared" si="568"/>
        <v>#DIV/0!</v>
      </c>
      <c r="AV104" s="4321" t="e">
        <f t="shared" si="568"/>
        <v>#DIV/0!</v>
      </c>
      <c r="AW104" s="4321" t="e">
        <f t="shared" si="568"/>
        <v>#DIV/0!</v>
      </c>
      <c r="AX104" s="4321" t="e">
        <f t="shared" si="568"/>
        <v>#DIV/0!</v>
      </c>
      <c r="AY104" s="4321" t="e">
        <f t="shared" si="568"/>
        <v>#DIV/0!</v>
      </c>
      <c r="AZ104" s="4321" t="e">
        <f t="shared" si="568"/>
        <v>#DIV/0!</v>
      </c>
      <c r="BA104" s="4321">
        <f t="shared" si="568"/>
        <v>0.29814471393780101</v>
      </c>
      <c r="BB104" s="4321">
        <f t="shared" si="568"/>
        <v>0.29814471393780101</v>
      </c>
      <c r="BC104" s="4321" t="e">
        <f t="shared" si="568"/>
        <v>#DIV/0!</v>
      </c>
      <c r="BD104" s="4322">
        <f t="shared" si="568"/>
        <v>0.30125326746444769</v>
      </c>
      <c r="BE104" s="4322">
        <f t="shared" si="568"/>
        <v>0.30125326746444769</v>
      </c>
      <c r="BF104" s="4322" t="e">
        <f t="shared" si="568"/>
        <v>#DIV/0!</v>
      </c>
      <c r="BG104" s="4322">
        <f t="shared" si="568"/>
        <v>0.30331086410286501</v>
      </c>
      <c r="BH104" s="4322">
        <f t="shared" si="568"/>
        <v>0.30331086410286501</v>
      </c>
      <c r="BI104" s="4322" t="e">
        <f t="shared" si="568"/>
        <v>#DIV/0!</v>
      </c>
      <c r="BJ104" s="4323">
        <f t="shared" ref="BJ104:BL128" si="569">SUM(BG104-BD104)</f>
        <v>2.0575966384173139E-3</v>
      </c>
      <c r="BK104" s="4323">
        <f t="shared" si="569"/>
        <v>2.0575966384173139E-3</v>
      </c>
      <c r="BL104" s="4323" t="e">
        <f t="shared" si="569"/>
        <v>#DIV/0!</v>
      </c>
      <c r="BM104" s="4321">
        <f t="shared" ref="BM104:CG104" si="570">SUM(BM103/BM102)</f>
        <v>0.30125326746444775</v>
      </c>
      <c r="BN104" s="4321">
        <f t="shared" si="570"/>
        <v>0.30125326746444775</v>
      </c>
      <c r="BO104" s="4321" t="e">
        <f t="shared" si="570"/>
        <v>#DIV/0!</v>
      </c>
      <c r="BP104" s="4321" t="e">
        <f t="shared" si="570"/>
        <v>#DIV/0!</v>
      </c>
      <c r="BQ104" s="4321" t="e">
        <f t="shared" si="570"/>
        <v>#DIV/0!</v>
      </c>
      <c r="BR104" s="4321" t="e">
        <f t="shared" si="570"/>
        <v>#DIV/0!</v>
      </c>
      <c r="BS104" s="4321" t="e">
        <f t="shared" si="570"/>
        <v>#DIV/0!</v>
      </c>
      <c r="BT104" s="4321" t="e">
        <f t="shared" si="570"/>
        <v>#DIV/0!</v>
      </c>
      <c r="BU104" s="4321" t="e">
        <f t="shared" si="570"/>
        <v>#DIV/0!</v>
      </c>
      <c r="BV104" s="4321" t="e">
        <f t="shared" si="570"/>
        <v>#DIV/0!</v>
      </c>
      <c r="BW104" s="4321" t="e">
        <f t="shared" si="570"/>
        <v>#DIV/0!</v>
      </c>
      <c r="BX104" s="4321" t="e">
        <f t="shared" si="570"/>
        <v>#DIV/0!</v>
      </c>
      <c r="BY104" s="4321" t="e">
        <f t="shared" si="570"/>
        <v>#DIV/0!</v>
      </c>
      <c r="BZ104" s="4321" t="e">
        <f t="shared" si="570"/>
        <v>#DIV/0!</v>
      </c>
      <c r="CA104" s="4321" t="e">
        <f t="shared" si="570"/>
        <v>#DIV/0!</v>
      </c>
      <c r="CB104" s="4322">
        <f t="shared" si="570"/>
        <v>0.30125326746444775</v>
      </c>
      <c r="CC104" s="4322">
        <f t="shared" si="570"/>
        <v>0.30125326746444775</v>
      </c>
      <c r="CD104" s="4322" t="e">
        <f t="shared" si="570"/>
        <v>#DIV/0!</v>
      </c>
      <c r="CE104" s="4322">
        <f t="shared" si="570"/>
        <v>0.30331086410286501</v>
      </c>
      <c r="CF104" s="4322">
        <f t="shared" si="570"/>
        <v>0.30331086410286501</v>
      </c>
      <c r="CG104" s="4322" t="e">
        <f t="shared" si="570"/>
        <v>#DIV/0!</v>
      </c>
      <c r="CH104" s="4323">
        <f t="shared" ref="CH104:CJ128" si="571">SUM(CE104-CB104)</f>
        <v>2.0575966384172584E-3</v>
      </c>
      <c r="CI104" s="4323">
        <f t="shared" si="571"/>
        <v>2.0575966384172584E-3</v>
      </c>
      <c r="CJ104" s="4323" t="e">
        <f t="shared" si="571"/>
        <v>#DIV/0!</v>
      </c>
      <c r="CK104" s="2774"/>
      <c r="CL104" s="3575">
        <f t="shared" si="483"/>
        <v>1.205013069857791</v>
      </c>
      <c r="CM104" s="3575">
        <f t="shared" si="483"/>
        <v>1.205013069857791</v>
      </c>
      <c r="CN104" s="3575" t="e">
        <f t="shared" si="483"/>
        <v>#DIV/0!</v>
      </c>
    </row>
    <row r="105" spans="1:92" ht="18.75" customHeight="1" x14ac:dyDescent="0.3">
      <c r="A105" s="4341" t="s">
        <v>3693</v>
      </c>
      <c r="B105" s="4312">
        <f t="shared" ref="B105:B121" si="572">SUM(C105:D105)</f>
        <v>527.85666249999997</v>
      </c>
      <c r="C105" s="4312">
        <f t="shared" ref="C105:D105" si="573">SUM(C106:C116)+C118</f>
        <v>527.85666249999997</v>
      </c>
      <c r="D105" s="4312">
        <f t="shared" si="573"/>
        <v>0</v>
      </c>
      <c r="E105" s="3026">
        <f t="shared" ref="E105:G105" si="574">SUM(E106:E116)+E118</f>
        <v>295.40900000000005</v>
      </c>
      <c r="F105" s="3026">
        <f>SUM(F106:F116)+F118</f>
        <v>295.40900000000005</v>
      </c>
      <c r="G105" s="3026">
        <f t="shared" si="574"/>
        <v>0</v>
      </c>
      <c r="H105" s="3026">
        <f t="shared" ref="H105:J105" si="575">SUM(H106:H116)+H118</f>
        <v>190.30599999999998</v>
      </c>
      <c r="I105" s="3026">
        <f t="shared" si="575"/>
        <v>190.30599999999998</v>
      </c>
      <c r="J105" s="3026">
        <f t="shared" si="575"/>
        <v>0</v>
      </c>
      <c r="K105" s="3026">
        <f t="shared" ref="K105:M105" si="576">SUM(K106:K116)+K118</f>
        <v>300.84300000000007</v>
      </c>
      <c r="L105" s="3026">
        <f t="shared" si="576"/>
        <v>300.84300000000007</v>
      </c>
      <c r="M105" s="3026">
        <f t="shared" si="576"/>
        <v>0</v>
      </c>
      <c r="N105" s="4332">
        <f t="shared" ref="N105:N127" si="577">SUM(O105:P105)</f>
        <v>786.55800000000011</v>
      </c>
      <c r="O105" s="4332">
        <f t="shared" ref="O105:P121" si="578">SUM(F105+I105+L105)</f>
        <v>786.55800000000011</v>
      </c>
      <c r="P105" s="4332">
        <f t="shared" si="578"/>
        <v>0</v>
      </c>
      <c r="Q105" s="4312">
        <f t="shared" ref="Q105:Q117" si="579">SUM(R105:S105)</f>
        <v>527.85666249999997</v>
      </c>
      <c r="R105" s="4312">
        <f t="shared" ref="R105:S105" si="580">SUM(R106:R116)+R118</f>
        <v>527.85666249999997</v>
      </c>
      <c r="S105" s="4312">
        <f t="shared" si="580"/>
        <v>0</v>
      </c>
      <c r="T105" s="3026">
        <f t="shared" ref="T105:AB105" si="581">SUM(T106:T116)+T118</f>
        <v>198.24700000000001</v>
      </c>
      <c r="U105" s="3026">
        <f t="shared" si="581"/>
        <v>198.24700000000001</v>
      </c>
      <c r="V105" s="3026">
        <f t="shared" si="581"/>
        <v>0</v>
      </c>
      <c r="W105" s="3026">
        <f t="shared" si="581"/>
        <v>264.60899999999998</v>
      </c>
      <c r="X105" s="3026">
        <f t="shared" si="581"/>
        <v>264.60899999999998</v>
      </c>
      <c r="Y105" s="3026">
        <f t="shared" si="581"/>
        <v>0</v>
      </c>
      <c r="Z105" s="3026">
        <f t="shared" si="581"/>
        <v>172.398</v>
      </c>
      <c r="AA105" s="3026">
        <f t="shared" si="581"/>
        <v>172.398</v>
      </c>
      <c r="AB105" s="3026">
        <f t="shared" si="581"/>
        <v>0</v>
      </c>
      <c r="AC105" s="4332">
        <f t="shared" ref="AC105:AC127" si="582">SUM(AD105:AE105)</f>
        <v>635.25400000000002</v>
      </c>
      <c r="AD105" s="4332">
        <f t="shared" ref="AD105:AE127" si="583">SUM(U105+X105+AA105)</f>
        <v>635.25400000000002</v>
      </c>
      <c r="AE105" s="4332">
        <f t="shared" si="583"/>
        <v>0</v>
      </c>
      <c r="AF105" s="4313">
        <f t="shared" ref="AF105:AF157" si="584">SUM(AG105:AH105)</f>
        <v>1055.7133249999999</v>
      </c>
      <c r="AG105" s="4313">
        <f t="shared" ref="AG105:AH141" si="585">SUM(C105+R105)</f>
        <v>1055.7133249999999</v>
      </c>
      <c r="AH105" s="4313">
        <f t="shared" si="585"/>
        <v>0</v>
      </c>
      <c r="AI105" s="4333">
        <f t="shared" ref="AI105:AK121" si="586">SUM(AC105+N105)</f>
        <v>1421.8120000000001</v>
      </c>
      <c r="AJ105" s="4333">
        <f t="shared" si="586"/>
        <v>1421.8120000000001</v>
      </c>
      <c r="AK105" s="4333">
        <f t="shared" si="586"/>
        <v>0</v>
      </c>
      <c r="AL105" s="4333">
        <f t="shared" ref="AL105:AN121" si="587">SUM(AI105-AF105)</f>
        <v>366.09867500000018</v>
      </c>
      <c r="AM105" s="4333">
        <f t="shared" si="587"/>
        <v>366.09867500000018</v>
      </c>
      <c r="AN105" s="4333">
        <f t="shared" si="587"/>
        <v>0</v>
      </c>
      <c r="AO105" s="4312">
        <f t="shared" ref="AO105" si="588">SUM(AP105:AQ105)</f>
        <v>527.85666249999997</v>
      </c>
      <c r="AP105" s="4312">
        <f t="shared" ref="AP105:AQ105" si="589">SUM(AP106:AP116)+AP118</f>
        <v>527.85666249999997</v>
      </c>
      <c r="AQ105" s="4312">
        <f t="shared" si="589"/>
        <v>0</v>
      </c>
      <c r="AR105" s="3026">
        <f t="shared" ref="AR105:AZ105" si="590">SUM(AR106:AR116)+AR118</f>
        <v>274.98200000000003</v>
      </c>
      <c r="AS105" s="3026">
        <f t="shared" si="590"/>
        <v>274.98200000000003</v>
      </c>
      <c r="AT105" s="3026">
        <f t="shared" si="590"/>
        <v>0</v>
      </c>
      <c r="AU105" s="3026">
        <f t="shared" si="590"/>
        <v>0</v>
      </c>
      <c r="AV105" s="3026">
        <f>SUM(AV106:AV116)+AV118</f>
        <v>0</v>
      </c>
      <c r="AW105" s="3026">
        <f t="shared" si="590"/>
        <v>0</v>
      </c>
      <c r="AX105" s="3026">
        <f t="shared" si="590"/>
        <v>0</v>
      </c>
      <c r="AY105" s="3026">
        <f t="shared" si="590"/>
        <v>0</v>
      </c>
      <c r="AZ105" s="3026">
        <f t="shared" si="590"/>
        <v>0</v>
      </c>
      <c r="BA105" s="4332">
        <f t="shared" ref="BA105:BA127" si="591">SUM(BB105:BC105)</f>
        <v>274.98200000000003</v>
      </c>
      <c r="BB105" s="4332">
        <f t="shared" ref="BB105:BC127" si="592">SUM(AS105+AV105+AY105)</f>
        <v>274.98200000000003</v>
      </c>
      <c r="BC105" s="4332">
        <f t="shared" si="592"/>
        <v>0</v>
      </c>
      <c r="BD105" s="4313">
        <f t="shared" ref="BD105:BD121" si="593">SUM(BE105:BF105)</f>
        <v>1583.5699875</v>
      </c>
      <c r="BE105" s="4313">
        <f t="shared" ref="BE105:BF121" si="594">SUM(AG105+AP105)</f>
        <v>1583.5699875</v>
      </c>
      <c r="BF105" s="4313">
        <f t="shared" si="594"/>
        <v>0</v>
      </c>
      <c r="BG105" s="4333">
        <f t="shared" ref="BG105:BI121" si="595">SUM(AI105+BA105)</f>
        <v>1696.7940000000001</v>
      </c>
      <c r="BH105" s="4333">
        <f t="shared" si="595"/>
        <v>1696.7940000000001</v>
      </c>
      <c r="BI105" s="4333">
        <f t="shared" si="595"/>
        <v>0</v>
      </c>
      <c r="BJ105" s="4333">
        <f t="shared" ref="BJ105:BL121" si="596">SUM(BG105-BD105)</f>
        <v>113.22401250000007</v>
      </c>
      <c r="BK105" s="4333">
        <f t="shared" si="596"/>
        <v>113.22401250000007</v>
      </c>
      <c r="BL105" s="4333">
        <f t="shared" si="596"/>
        <v>0</v>
      </c>
      <c r="BM105" s="4312">
        <f t="shared" ref="BM105" si="597">SUM(BN105:BO105)</f>
        <v>527.85666249999997</v>
      </c>
      <c r="BN105" s="4312">
        <f t="shared" ref="BN105:BO105" si="598">SUM(BN106:BN116)+BN118</f>
        <v>527.85666249999997</v>
      </c>
      <c r="BO105" s="4312">
        <f t="shared" si="598"/>
        <v>0</v>
      </c>
      <c r="BP105" s="3026">
        <f t="shared" ref="BP105:BX105" si="599">SUM(BP106:BP116)+BP118</f>
        <v>0</v>
      </c>
      <c r="BQ105" s="3026">
        <f t="shared" si="599"/>
        <v>0</v>
      </c>
      <c r="BR105" s="3026">
        <f t="shared" si="599"/>
        <v>0</v>
      </c>
      <c r="BS105" s="3026">
        <f t="shared" si="599"/>
        <v>0</v>
      </c>
      <c r="BT105" s="3026">
        <f t="shared" si="599"/>
        <v>0</v>
      </c>
      <c r="BU105" s="3026">
        <f t="shared" si="599"/>
        <v>0</v>
      </c>
      <c r="BV105" s="3026">
        <f t="shared" si="599"/>
        <v>0</v>
      </c>
      <c r="BW105" s="3026">
        <f t="shared" si="599"/>
        <v>0</v>
      </c>
      <c r="BX105" s="3026">
        <f t="shared" si="599"/>
        <v>0</v>
      </c>
      <c r="BY105" s="4332">
        <f t="shared" ref="BY105:BY127" si="600">SUM(BZ105:CA105)</f>
        <v>0</v>
      </c>
      <c r="BZ105" s="4332">
        <f t="shared" ref="BZ105:CA127" si="601">SUM(BQ105+BT105+BW105)</f>
        <v>0</v>
      </c>
      <c r="CA105" s="4332">
        <f t="shared" si="601"/>
        <v>0</v>
      </c>
      <c r="CB105" s="4313">
        <f t="shared" si="556"/>
        <v>2111.4266473767439</v>
      </c>
      <c r="CC105" s="4313">
        <f>SUM(вода!EF34)</f>
        <v>2111.4266473767439</v>
      </c>
      <c r="CD105" s="4313">
        <v>0</v>
      </c>
      <c r="CE105" s="4333">
        <f t="shared" ref="CE105:CG121" si="602">SUM(BY105+BG105)</f>
        <v>1696.7940000000001</v>
      </c>
      <c r="CF105" s="4333">
        <f t="shared" si="602"/>
        <v>1696.7940000000001</v>
      </c>
      <c r="CG105" s="4333">
        <f t="shared" si="602"/>
        <v>0</v>
      </c>
      <c r="CH105" s="4333">
        <f t="shared" ref="CH105:CJ121" si="603">SUM(CE105-CB105)</f>
        <v>-414.63264737674376</v>
      </c>
      <c r="CI105" s="4333">
        <f t="shared" si="603"/>
        <v>-414.63264737674376</v>
      </c>
      <c r="CJ105" s="4333">
        <f t="shared" si="603"/>
        <v>0</v>
      </c>
      <c r="CK105" s="2774"/>
      <c r="CL105" s="4347">
        <f t="shared" si="483"/>
        <v>2111.4266499999999</v>
      </c>
      <c r="CM105" s="3575">
        <f t="shared" si="483"/>
        <v>2111.4266499999999</v>
      </c>
      <c r="CN105" s="3575">
        <f t="shared" si="483"/>
        <v>0</v>
      </c>
    </row>
    <row r="106" spans="1:92" ht="18.75" customHeight="1" x14ac:dyDescent="0.3">
      <c r="A106" s="4342" t="s">
        <v>70</v>
      </c>
      <c r="B106" s="4317">
        <f t="shared" si="572"/>
        <v>0</v>
      </c>
      <c r="C106" s="4317">
        <f t="shared" ref="C106:C115" si="604">SUM(CC106/4)</f>
        <v>0</v>
      </c>
      <c r="D106" s="4317">
        <f t="shared" ref="D106:D115" si="605">SUM(CD106/4)</f>
        <v>0</v>
      </c>
      <c r="E106" s="4335">
        <f t="shared" ref="E106:E157" si="606">SUM(F106:G106)</f>
        <v>0</v>
      </c>
      <c r="F106" s="4336"/>
      <c r="G106" s="4336"/>
      <c r="H106" s="4335">
        <f t="shared" ref="H106:H115" si="607">SUM(I106:J106)</f>
        <v>0</v>
      </c>
      <c r="I106" s="4336"/>
      <c r="J106" s="4336"/>
      <c r="K106" s="4335">
        <f t="shared" ref="K106:K115" si="608">SUM(L106:M106)</f>
        <v>0</v>
      </c>
      <c r="L106" s="4336"/>
      <c r="M106" s="4336"/>
      <c r="N106" s="4335">
        <f t="shared" si="577"/>
        <v>0</v>
      </c>
      <c r="O106" s="4335">
        <f t="shared" si="578"/>
        <v>0</v>
      </c>
      <c r="P106" s="4335">
        <f t="shared" si="578"/>
        <v>0</v>
      </c>
      <c r="Q106" s="4317">
        <f t="shared" si="579"/>
        <v>0</v>
      </c>
      <c r="R106" s="4317">
        <f t="shared" ref="R106:R115" si="609">SUM(C106)</f>
        <v>0</v>
      </c>
      <c r="S106" s="4317">
        <f t="shared" ref="S106:S115" si="610">SUM(D106)</f>
        <v>0</v>
      </c>
      <c r="T106" s="4335">
        <f t="shared" ref="T106:T115" si="611">SUM(U106:V106)</f>
        <v>0</v>
      </c>
      <c r="U106" s="4336"/>
      <c r="V106" s="4336"/>
      <c r="W106" s="4335">
        <f t="shared" ref="W106:W115" si="612">SUM(X106:Y106)</f>
        <v>0</v>
      </c>
      <c r="X106" s="4336"/>
      <c r="Y106" s="4336"/>
      <c r="Z106" s="4335">
        <f t="shared" ref="Z106:Z115" si="613">SUM(AA106:AB106)</f>
        <v>0</v>
      </c>
      <c r="AA106" s="4336"/>
      <c r="AB106" s="4336"/>
      <c r="AC106" s="4335">
        <f t="shared" si="582"/>
        <v>0</v>
      </c>
      <c r="AD106" s="4335">
        <f t="shared" si="583"/>
        <v>0</v>
      </c>
      <c r="AE106" s="4335">
        <f t="shared" si="583"/>
        <v>0</v>
      </c>
      <c r="AF106" s="4318">
        <f t="shared" si="584"/>
        <v>0</v>
      </c>
      <c r="AG106" s="4318">
        <f t="shared" si="585"/>
        <v>0</v>
      </c>
      <c r="AH106" s="4318">
        <f t="shared" si="585"/>
        <v>0</v>
      </c>
      <c r="AI106" s="4337">
        <f t="shared" si="586"/>
        <v>0</v>
      </c>
      <c r="AJ106" s="4337">
        <f t="shared" si="586"/>
        <v>0</v>
      </c>
      <c r="AK106" s="4337">
        <f t="shared" si="586"/>
        <v>0</v>
      </c>
      <c r="AL106" s="4337">
        <f t="shared" si="587"/>
        <v>0</v>
      </c>
      <c r="AM106" s="4337">
        <f t="shared" si="587"/>
        <v>0</v>
      </c>
      <c r="AN106" s="4337">
        <f t="shared" si="587"/>
        <v>0</v>
      </c>
      <c r="AO106" s="4317">
        <f t="shared" ref="AO106:AO118" si="614">SUM(AP106:AQ106)</f>
        <v>0</v>
      </c>
      <c r="AP106" s="4317">
        <f t="shared" ref="AP106:AP115" si="615">SUM(CC106-AG106)/2</f>
        <v>0</v>
      </c>
      <c r="AQ106" s="4317">
        <f t="shared" ref="AQ106:AQ115" si="616">SUM(CD106-AH106)/2</f>
        <v>0</v>
      </c>
      <c r="AR106" s="4335">
        <f t="shared" ref="AR106:AR115" si="617">SUM(AS106:AT106)</f>
        <v>0</v>
      </c>
      <c r="AS106" s="4336"/>
      <c r="AT106" s="4336"/>
      <c r="AU106" s="4335">
        <f t="shared" ref="AU106:AU115" si="618">SUM(AV106:AW106)</f>
        <v>0</v>
      </c>
      <c r="AV106" s="4336"/>
      <c r="AW106" s="4336"/>
      <c r="AX106" s="4335">
        <f t="shared" ref="AX106:AX115" si="619">SUM(AY106:AZ106)</f>
        <v>0</v>
      </c>
      <c r="AY106" s="4336"/>
      <c r="AZ106" s="4336"/>
      <c r="BA106" s="4335">
        <f t="shared" si="591"/>
        <v>0</v>
      </c>
      <c r="BB106" s="4335">
        <f t="shared" si="592"/>
        <v>0</v>
      </c>
      <c r="BC106" s="4335">
        <f t="shared" si="592"/>
        <v>0</v>
      </c>
      <c r="BD106" s="4318">
        <f t="shared" si="593"/>
        <v>0</v>
      </c>
      <c r="BE106" s="4318">
        <f t="shared" si="594"/>
        <v>0</v>
      </c>
      <c r="BF106" s="4318">
        <f t="shared" si="594"/>
        <v>0</v>
      </c>
      <c r="BG106" s="4337">
        <f t="shared" si="595"/>
        <v>0</v>
      </c>
      <c r="BH106" s="4337">
        <f t="shared" si="595"/>
        <v>0</v>
      </c>
      <c r="BI106" s="4337">
        <f t="shared" si="595"/>
        <v>0</v>
      </c>
      <c r="BJ106" s="4337">
        <f t="shared" si="596"/>
        <v>0</v>
      </c>
      <c r="BK106" s="4337">
        <f t="shared" si="596"/>
        <v>0</v>
      </c>
      <c r="BL106" s="4337">
        <f t="shared" si="596"/>
        <v>0</v>
      </c>
      <c r="BM106" s="4317">
        <f t="shared" ref="BM106:BM129" si="620">SUM(BN106:BO106)</f>
        <v>0</v>
      </c>
      <c r="BN106" s="4317">
        <f t="shared" ref="BN106:BN115" si="621">SUM(AP106)</f>
        <v>0</v>
      </c>
      <c r="BO106" s="4317">
        <f t="shared" ref="BO106:BO115" si="622">SUM(AQ106)</f>
        <v>0</v>
      </c>
      <c r="BP106" s="4335">
        <f t="shared" ref="BP106:BP115" si="623">SUM(BQ106:BR106)</f>
        <v>0</v>
      </c>
      <c r="BQ106" s="4336"/>
      <c r="BR106" s="4336"/>
      <c r="BS106" s="4335">
        <f t="shared" ref="BS106:BS115" si="624">SUM(BT106:BU106)</f>
        <v>0</v>
      </c>
      <c r="BT106" s="4336"/>
      <c r="BU106" s="4336"/>
      <c r="BV106" s="4335">
        <f t="shared" ref="BV106:BV115" si="625">SUM(BW106:BX106)</f>
        <v>0</v>
      </c>
      <c r="BW106" s="4336"/>
      <c r="BX106" s="4336"/>
      <c r="BY106" s="4335">
        <f t="shared" si="600"/>
        <v>0</v>
      </c>
      <c r="BZ106" s="4335">
        <f t="shared" si="601"/>
        <v>0</v>
      </c>
      <c r="CA106" s="4335">
        <f t="shared" si="601"/>
        <v>0</v>
      </c>
      <c r="CB106" s="4318">
        <f>SUM(CC106:CD106)</f>
        <v>0</v>
      </c>
      <c r="CC106" s="4318">
        <v>0</v>
      </c>
      <c r="CD106" s="4318">
        <v>0</v>
      </c>
      <c r="CE106" s="4337">
        <f t="shared" si="602"/>
        <v>0</v>
      </c>
      <c r="CF106" s="4337">
        <f t="shared" si="602"/>
        <v>0</v>
      </c>
      <c r="CG106" s="4337">
        <f t="shared" si="602"/>
        <v>0</v>
      </c>
      <c r="CH106" s="4337">
        <f t="shared" si="603"/>
        <v>0</v>
      </c>
      <c r="CI106" s="4337">
        <f t="shared" si="603"/>
        <v>0</v>
      </c>
      <c r="CJ106" s="4337">
        <f t="shared" si="603"/>
        <v>0</v>
      </c>
      <c r="CK106" s="2774"/>
      <c r="CL106" s="3575">
        <f t="shared" si="483"/>
        <v>0</v>
      </c>
      <c r="CM106" s="3575">
        <f t="shared" si="483"/>
        <v>0</v>
      </c>
      <c r="CN106" s="3575">
        <f t="shared" si="483"/>
        <v>0</v>
      </c>
    </row>
    <row r="107" spans="1:92" ht="18.75" customHeight="1" x14ac:dyDescent="0.3">
      <c r="A107" s="4342" t="s">
        <v>113</v>
      </c>
      <c r="B107" s="4317">
        <f t="shared" si="572"/>
        <v>0</v>
      </c>
      <c r="C107" s="4317">
        <f t="shared" si="604"/>
        <v>0</v>
      </c>
      <c r="D107" s="4317">
        <f t="shared" si="605"/>
        <v>0</v>
      </c>
      <c r="E107" s="4335">
        <f t="shared" si="606"/>
        <v>0</v>
      </c>
      <c r="F107" s="4336"/>
      <c r="G107" s="4336"/>
      <c r="H107" s="4335">
        <f t="shared" si="607"/>
        <v>0</v>
      </c>
      <c r="I107" s="4336"/>
      <c r="J107" s="4336"/>
      <c r="K107" s="4335">
        <f t="shared" si="608"/>
        <v>0</v>
      </c>
      <c r="L107" s="4336"/>
      <c r="M107" s="4336"/>
      <c r="N107" s="4335">
        <f t="shared" si="577"/>
        <v>0</v>
      </c>
      <c r="O107" s="4335">
        <f t="shared" si="578"/>
        <v>0</v>
      </c>
      <c r="P107" s="4335">
        <f t="shared" si="578"/>
        <v>0</v>
      </c>
      <c r="Q107" s="4317">
        <f t="shared" si="579"/>
        <v>0</v>
      </c>
      <c r="R107" s="4317">
        <f t="shared" si="609"/>
        <v>0</v>
      </c>
      <c r="S107" s="4317">
        <f t="shared" si="610"/>
        <v>0</v>
      </c>
      <c r="T107" s="4335">
        <f t="shared" si="611"/>
        <v>0</v>
      </c>
      <c r="U107" s="4336"/>
      <c r="V107" s="4336"/>
      <c r="W107" s="4335">
        <f t="shared" si="612"/>
        <v>0</v>
      </c>
      <c r="X107" s="4336"/>
      <c r="Y107" s="4336"/>
      <c r="Z107" s="4335">
        <f t="shared" si="613"/>
        <v>0</v>
      </c>
      <c r="AA107" s="4336"/>
      <c r="AB107" s="4336"/>
      <c r="AC107" s="4335">
        <f t="shared" si="582"/>
        <v>0</v>
      </c>
      <c r="AD107" s="4335">
        <f t="shared" si="583"/>
        <v>0</v>
      </c>
      <c r="AE107" s="4335">
        <f t="shared" si="583"/>
        <v>0</v>
      </c>
      <c r="AF107" s="4318">
        <f t="shared" si="584"/>
        <v>0</v>
      </c>
      <c r="AG107" s="4318">
        <f t="shared" si="585"/>
        <v>0</v>
      </c>
      <c r="AH107" s="4318">
        <f t="shared" si="585"/>
        <v>0</v>
      </c>
      <c r="AI107" s="4337">
        <f t="shared" si="586"/>
        <v>0</v>
      </c>
      <c r="AJ107" s="4337">
        <f t="shared" si="586"/>
        <v>0</v>
      </c>
      <c r="AK107" s="4337">
        <f t="shared" si="586"/>
        <v>0</v>
      </c>
      <c r="AL107" s="4337">
        <f t="shared" si="587"/>
        <v>0</v>
      </c>
      <c r="AM107" s="4337">
        <f t="shared" si="587"/>
        <v>0</v>
      </c>
      <c r="AN107" s="4337">
        <f t="shared" si="587"/>
        <v>0</v>
      </c>
      <c r="AO107" s="4317">
        <f t="shared" si="614"/>
        <v>0</v>
      </c>
      <c r="AP107" s="4317">
        <f t="shared" si="615"/>
        <v>0</v>
      </c>
      <c r="AQ107" s="4317">
        <f t="shared" si="616"/>
        <v>0</v>
      </c>
      <c r="AR107" s="4335">
        <f t="shared" si="617"/>
        <v>0</v>
      </c>
      <c r="AS107" s="4336"/>
      <c r="AT107" s="4336"/>
      <c r="AU107" s="4335">
        <f t="shared" si="618"/>
        <v>0</v>
      </c>
      <c r="AV107" s="4336"/>
      <c r="AW107" s="4336"/>
      <c r="AX107" s="4335">
        <f t="shared" si="619"/>
        <v>0</v>
      </c>
      <c r="AY107" s="4336"/>
      <c r="AZ107" s="4336"/>
      <c r="BA107" s="4335">
        <f t="shared" si="591"/>
        <v>0</v>
      </c>
      <c r="BB107" s="4335">
        <f t="shared" si="592"/>
        <v>0</v>
      </c>
      <c r="BC107" s="4335">
        <f t="shared" si="592"/>
        <v>0</v>
      </c>
      <c r="BD107" s="4318">
        <f t="shared" si="593"/>
        <v>0</v>
      </c>
      <c r="BE107" s="4318">
        <f t="shared" si="594"/>
        <v>0</v>
      </c>
      <c r="BF107" s="4318">
        <f t="shared" si="594"/>
        <v>0</v>
      </c>
      <c r="BG107" s="4337">
        <f t="shared" si="595"/>
        <v>0</v>
      </c>
      <c r="BH107" s="4337">
        <f t="shared" si="595"/>
        <v>0</v>
      </c>
      <c r="BI107" s="4337">
        <f t="shared" si="595"/>
        <v>0</v>
      </c>
      <c r="BJ107" s="4337">
        <f t="shared" si="596"/>
        <v>0</v>
      </c>
      <c r="BK107" s="4337">
        <f t="shared" si="596"/>
        <v>0</v>
      </c>
      <c r="BL107" s="4337">
        <f t="shared" si="596"/>
        <v>0</v>
      </c>
      <c r="BM107" s="4317">
        <f t="shared" si="620"/>
        <v>0</v>
      </c>
      <c r="BN107" s="4317">
        <f t="shared" si="621"/>
        <v>0</v>
      </c>
      <c r="BO107" s="4317">
        <f t="shared" si="622"/>
        <v>0</v>
      </c>
      <c r="BP107" s="4335">
        <f t="shared" si="623"/>
        <v>0</v>
      </c>
      <c r="BQ107" s="4336"/>
      <c r="BR107" s="4336"/>
      <c r="BS107" s="4335">
        <f t="shared" si="624"/>
        <v>0</v>
      </c>
      <c r="BT107" s="4336"/>
      <c r="BU107" s="4336"/>
      <c r="BV107" s="4335">
        <f t="shared" si="625"/>
        <v>0</v>
      </c>
      <c r="BW107" s="4336"/>
      <c r="BX107" s="4336"/>
      <c r="BY107" s="4335">
        <f t="shared" si="600"/>
        <v>0</v>
      </c>
      <c r="BZ107" s="4335">
        <f t="shared" si="601"/>
        <v>0</v>
      </c>
      <c r="CA107" s="4335">
        <f t="shared" si="601"/>
        <v>0</v>
      </c>
      <c r="CB107" s="4318">
        <f t="shared" ref="CB107:CB115" si="626">SUM(CC107:CD107)</f>
        <v>0</v>
      </c>
      <c r="CC107" s="4318">
        <v>0</v>
      </c>
      <c r="CD107" s="4318">
        <v>0</v>
      </c>
      <c r="CE107" s="4337">
        <f t="shared" si="602"/>
        <v>0</v>
      </c>
      <c r="CF107" s="4337">
        <f t="shared" si="602"/>
        <v>0</v>
      </c>
      <c r="CG107" s="4337">
        <f t="shared" si="602"/>
        <v>0</v>
      </c>
      <c r="CH107" s="4337">
        <f t="shared" si="603"/>
        <v>0</v>
      </c>
      <c r="CI107" s="4337">
        <f t="shared" si="603"/>
        <v>0</v>
      </c>
      <c r="CJ107" s="4337">
        <f t="shared" si="603"/>
        <v>0</v>
      </c>
      <c r="CK107" s="2774"/>
      <c r="CL107" s="3575">
        <f t="shared" si="483"/>
        <v>0</v>
      </c>
      <c r="CM107" s="3575">
        <f t="shared" si="483"/>
        <v>0</v>
      </c>
      <c r="CN107" s="3575">
        <f t="shared" si="483"/>
        <v>0</v>
      </c>
    </row>
    <row r="108" spans="1:92" ht="18.75" customHeight="1" x14ac:dyDescent="0.3">
      <c r="A108" s="4342" t="s">
        <v>52</v>
      </c>
      <c r="B108" s="4317">
        <f t="shared" si="572"/>
        <v>3.2170000000000001</v>
      </c>
      <c r="C108" s="4317">
        <f t="shared" si="604"/>
        <v>3.2170000000000001</v>
      </c>
      <c r="D108" s="4317">
        <f t="shared" si="605"/>
        <v>0</v>
      </c>
      <c r="E108" s="4335">
        <f t="shared" si="606"/>
        <v>1.212</v>
      </c>
      <c r="F108" s="4336">
        <v>1.212</v>
      </c>
      <c r="G108" s="4336"/>
      <c r="H108" s="4335">
        <f t="shared" si="607"/>
        <v>0.60299999999999998</v>
      </c>
      <c r="I108" s="4336">
        <v>0.60299999999999998</v>
      </c>
      <c r="J108" s="4336"/>
      <c r="K108" s="4335">
        <f t="shared" si="608"/>
        <v>2.0259999999999998</v>
      </c>
      <c r="L108" s="4336">
        <v>2.0259999999999998</v>
      </c>
      <c r="M108" s="4336"/>
      <c r="N108" s="4335">
        <f t="shared" si="577"/>
        <v>3.8409999999999997</v>
      </c>
      <c r="O108" s="4335">
        <f t="shared" si="578"/>
        <v>3.8409999999999997</v>
      </c>
      <c r="P108" s="4335">
        <f t="shared" si="578"/>
        <v>0</v>
      </c>
      <c r="Q108" s="4317">
        <f t="shared" si="579"/>
        <v>3.2170000000000001</v>
      </c>
      <c r="R108" s="4317">
        <f t="shared" si="609"/>
        <v>3.2170000000000001</v>
      </c>
      <c r="S108" s="4317">
        <f t="shared" si="610"/>
        <v>0</v>
      </c>
      <c r="T108" s="4335">
        <f t="shared" si="611"/>
        <v>1.4650000000000001</v>
      </c>
      <c r="U108" s="4336">
        <v>1.4650000000000001</v>
      </c>
      <c r="V108" s="4336"/>
      <c r="W108" s="4335">
        <f t="shared" si="612"/>
        <v>1.736</v>
      </c>
      <c r="X108" s="4336">
        <v>1.736</v>
      </c>
      <c r="Y108" s="4336"/>
      <c r="Z108" s="4335">
        <f t="shared" si="613"/>
        <v>0.91400000000000003</v>
      </c>
      <c r="AA108" s="4336">
        <v>0.91400000000000003</v>
      </c>
      <c r="AB108" s="4336"/>
      <c r="AC108" s="4335">
        <f t="shared" si="582"/>
        <v>4.1150000000000002</v>
      </c>
      <c r="AD108" s="4335">
        <f t="shared" si="583"/>
        <v>4.1150000000000002</v>
      </c>
      <c r="AE108" s="4335">
        <f t="shared" si="583"/>
        <v>0</v>
      </c>
      <c r="AF108" s="4318">
        <f t="shared" si="584"/>
        <v>6.4340000000000002</v>
      </c>
      <c r="AG108" s="4318">
        <f t="shared" si="585"/>
        <v>6.4340000000000002</v>
      </c>
      <c r="AH108" s="4318">
        <f t="shared" si="585"/>
        <v>0</v>
      </c>
      <c r="AI108" s="4337">
        <f t="shared" si="586"/>
        <v>7.9559999999999995</v>
      </c>
      <c r="AJ108" s="4337">
        <f t="shared" si="586"/>
        <v>7.9559999999999995</v>
      </c>
      <c r="AK108" s="4337">
        <f t="shared" si="586"/>
        <v>0</v>
      </c>
      <c r="AL108" s="4337">
        <f t="shared" si="587"/>
        <v>1.5219999999999994</v>
      </c>
      <c r="AM108" s="4337">
        <f t="shared" si="587"/>
        <v>1.5219999999999994</v>
      </c>
      <c r="AN108" s="4337">
        <f t="shared" si="587"/>
        <v>0</v>
      </c>
      <c r="AO108" s="4317">
        <f t="shared" si="614"/>
        <v>3.2170000000000001</v>
      </c>
      <c r="AP108" s="4317">
        <f t="shared" si="615"/>
        <v>3.2170000000000001</v>
      </c>
      <c r="AQ108" s="4317">
        <f t="shared" si="616"/>
        <v>0</v>
      </c>
      <c r="AR108" s="4335">
        <f t="shared" si="617"/>
        <v>0.93600000000000005</v>
      </c>
      <c r="AS108" s="4336">
        <v>0.93600000000000005</v>
      </c>
      <c r="AT108" s="4336"/>
      <c r="AU108" s="4335">
        <f t="shared" si="618"/>
        <v>0</v>
      </c>
      <c r="AV108" s="4336"/>
      <c r="AW108" s="4336"/>
      <c r="AX108" s="4335">
        <f t="shared" si="619"/>
        <v>0</v>
      </c>
      <c r="AY108" s="4336"/>
      <c r="AZ108" s="4336"/>
      <c r="BA108" s="4335">
        <f t="shared" si="591"/>
        <v>0.93600000000000005</v>
      </c>
      <c r="BB108" s="4335">
        <f t="shared" si="592"/>
        <v>0.93600000000000005</v>
      </c>
      <c r="BC108" s="4335">
        <f t="shared" si="592"/>
        <v>0</v>
      </c>
      <c r="BD108" s="4318">
        <f t="shared" si="593"/>
        <v>9.6509999999999998</v>
      </c>
      <c r="BE108" s="4318">
        <f t="shared" si="594"/>
        <v>9.6509999999999998</v>
      </c>
      <c r="BF108" s="4318">
        <f t="shared" si="594"/>
        <v>0</v>
      </c>
      <c r="BG108" s="4337">
        <f t="shared" si="595"/>
        <v>8.8919999999999995</v>
      </c>
      <c r="BH108" s="4337">
        <f t="shared" si="595"/>
        <v>8.8919999999999995</v>
      </c>
      <c r="BI108" s="4337">
        <f t="shared" si="595"/>
        <v>0</v>
      </c>
      <c r="BJ108" s="4337">
        <f t="shared" si="596"/>
        <v>-0.75900000000000034</v>
      </c>
      <c r="BK108" s="4337">
        <f t="shared" si="596"/>
        <v>-0.75900000000000034</v>
      </c>
      <c r="BL108" s="4337">
        <f t="shared" si="596"/>
        <v>0</v>
      </c>
      <c r="BM108" s="4317">
        <f t="shared" si="620"/>
        <v>3.2170000000000001</v>
      </c>
      <c r="BN108" s="4317">
        <f t="shared" si="621"/>
        <v>3.2170000000000001</v>
      </c>
      <c r="BO108" s="4317">
        <f t="shared" si="622"/>
        <v>0</v>
      </c>
      <c r="BP108" s="4335">
        <f t="shared" si="623"/>
        <v>0</v>
      </c>
      <c r="BQ108" s="4336"/>
      <c r="BR108" s="4336"/>
      <c r="BS108" s="4335">
        <f t="shared" si="624"/>
        <v>0</v>
      </c>
      <c r="BT108" s="4336"/>
      <c r="BU108" s="4336"/>
      <c r="BV108" s="4335">
        <f t="shared" si="625"/>
        <v>0</v>
      </c>
      <c r="BW108" s="4336"/>
      <c r="BX108" s="4336"/>
      <c r="BY108" s="4335">
        <f t="shared" si="600"/>
        <v>0</v>
      </c>
      <c r="BZ108" s="4335">
        <f t="shared" si="601"/>
        <v>0</v>
      </c>
      <c r="CA108" s="4335">
        <f t="shared" si="601"/>
        <v>0</v>
      </c>
      <c r="CB108" s="4318">
        <f t="shared" si="626"/>
        <v>12.868</v>
      </c>
      <c r="CC108" s="4318">
        <v>12.868</v>
      </c>
      <c r="CD108" s="4318">
        <v>0</v>
      </c>
      <c r="CE108" s="4337">
        <f t="shared" si="602"/>
        <v>8.8919999999999995</v>
      </c>
      <c r="CF108" s="4337">
        <f t="shared" si="602"/>
        <v>8.8919999999999995</v>
      </c>
      <c r="CG108" s="4337">
        <f t="shared" si="602"/>
        <v>0</v>
      </c>
      <c r="CH108" s="4337">
        <f t="shared" si="603"/>
        <v>-3.9760000000000009</v>
      </c>
      <c r="CI108" s="4337">
        <f t="shared" si="603"/>
        <v>-3.9760000000000009</v>
      </c>
      <c r="CJ108" s="4337">
        <f t="shared" si="603"/>
        <v>0</v>
      </c>
      <c r="CK108" s="2774"/>
      <c r="CL108" s="3575">
        <f t="shared" si="483"/>
        <v>12.868</v>
      </c>
      <c r="CM108" s="3575">
        <f t="shared" si="483"/>
        <v>12.868</v>
      </c>
      <c r="CN108" s="3575">
        <f t="shared" si="483"/>
        <v>0</v>
      </c>
    </row>
    <row r="109" spans="1:92" ht="18.75" customHeight="1" x14ac:dyDescent="0.3">
      <c r="A109" s="4342" t="s">
        <v>586</v>
      </c>
      <c r="B109" s="4317">
        <f t="shared" si="572"/>
        <v>419.27716249999997</v>
      </c>
      <c r="C109" s="4317">
        <f t="shared" si="604"/>
        <v>419.27716249999997</v>
      </c>
      <c r="D109" s="4317">
        <f t="shared" si="605"/>
        <v>0</v>
      </c>
      <c r="E109" s="4335">
        <f t="shared" si="606"/>
        <v>205.48099999999999</v>
      </c>
      <c r="F109" s="4336">
        <f>1.201+21.654+182.626</f>
        <v>205.48099999999999</v>
      </c>
      <c r="G109" s="4336"/>
      <c r="H109" s="4335">
        <f t="shared" si="607"/>
        <v>145.34200000000001</v>
      </c>
      <c r="I109" s="4336">
        <f>1.164+20.446+123.732</f>
        <v>145.34200000000001</v>
      </c>
      <c r="J109" s="4336"/>
      <c r="K109" s="4335">
        <f t="shared" si="608"/>
        <v>220.62400000000002</v>
      </c>
      <c r="L109" s="4336">
        <f>33.027+187.597</f>
        <v>220.62400000000002</v>
      </c>
      <c r="M109" s="4336"/>
      <c r="N109" s="4335">
        <f t="shared" si="577"/>
        <v>571.447</v>
      </c>
      <c r="O109" s="4335">
        <f t="shared" si="578"/>
        <v>571.447</v>
      </c>
      <c r="P109" s="4335">
        <f t="shared" si="578"/>
        <v>0</v>
      </c>
      <c r="Q109" s="4317">
        <f t="shared" si="579"/>
        <v>419.27716249999997</v>
      </c>
      <c r="R109" s="4317">
        <f t="shared" si="609"/>
        <v>419.27716249999997</v>
      </c>
      <c r="S109" s="4317">
        <f t="shared" si="610"/>
        <v>0</v>
      </c>
      <c r="T109" s="4335">
        <f t="shared" si="611"/>
        <v>126.02</v>
      </c>
      <c r="U109" s="4336">
        <f>1.528+23.064+101.428</f>
        <v>126.02</v>
      </c>
      <c r="V109" s="4336"/>
      <c r="W109" s="4335">
        <f t="shared" si="612"/>
        <v>153.155</v>
      </c>
      <c r="X109" s="4336">
        <f>0.374+26.604+126.177</f>
        <v>153.155</v>
      </c>
      <c r="Y109" s="4336"/>
      <c r="Z109" s="4335">
        <f t="shared" si="613"/>
        <v>98.515000000000001</v>
      </c>
      <c r="AA109" s="4336">
        <f>9.381+89.134</f>
        <v>98.515000000000001</v>
      </c>
      <c r="AB109" s="4336"/>
      <c r="AC109" s="4335">
        <f t="shared" si="582"/>
        <v>377.69</v>
      </c>
      <c r="AD109" s="4335">
        <f t="shared" si="583"/>
        <v>377.69</v>
      </c>
      <c r="AE109" s="4335">
        <f t="shared" si="583"/>
        <v>0</v>
      </c>
      <c r="AF109" s="4318">
        <f t="shared" si="584"/>
        <v>838.55432499999995</v>
      </c>
      <c r="AG109" s="4318">
        <f t="shared" si="585"/>
        <v>838.55432499999995</v>
      </c>
      <c r="AH109" s="4318">
        <f t="shared" si="585"/>
        <v>0</v>
      </c>
      <c r="AI109" s="4337">
        <f t="shared" si="586"/>
        <v>949.13699999999994</v>
      </c>
      <c r="AJ109" s="4337">
        <f t="shared" si="586"/>
        <v>949.13699999999994</v>
      </c>
      <c r="AK109" s="4337">
        <f t="shared" si="586"/>
        <v>0</v>
      </c>
      <c r="AL109" s="4337">
        <f t="shared" si="587"/>
        <v>110.58267499999999</v>
      </c>
      <c r="AM109" s="4337">
        <f t="shared" si="587"/>
        <v>110.58267499999999</v>
      </c>
      <c r="AN109" s="4337">
        <f t="shared" si="587"/>
        <v>0</v>
      </c>
      <c r="AO109" s="4317">
        <f t="shared" si="614"/>
        <v>419.27716249999997</v>
      </c>
      <c r="AP109" s="4317">
        <f t="shared" si="615"/>
        <v>419.27716249999997</v>
      </c>
      <c r="AQ109" s="4317">
        <f t="shared" si="616"/>
        <v>0</v>
      </c>
      <c r="AR109" s="4335">
        <f t="shared" si="617"/>
        <v>166.21799999999999</v>
      </c>
      <c r="AS109" s="4336">
        <f>3.915+25.512+136.791</f>
        <v>166.21799999999999</v>
      </c>
      <c r="AT109" s="4336"/>
      <c r="AU109" s="4335">
        <f t="shared" si="618"/>
        <v>0</v>
      </c>
      <c r="AV109" s="4336"/>
      <c r="AW109" s="4336"/>
      <c r="AX109" s="4335">
        <f t="shared" si="619"/>
        <v>0</v>
      </c>
      <c r="AY109" s="4336"/>
      <c r="AZ109" s="4336"/>
      <c r="BA109" s="4335">
        <f t="shared" si="591"/>
        <v>166.21799999999999</v>
      </c>
      <c r="BB109" s="4335">
        <f t="shared" si="592"/>
        <v>166.21799999999999</v>
      </c>
      <c r="BC109" s="4335">
        <f t="shared" si="592"/>
        <v>0</v>
      </c>
      <c r="BD109" s="4318">
        <f t="shared" si="593"/>
        <v>1257.8314874999999</v>
      </c>
      <c r="BE109" s="4318">
        <f t="shared" si="594"/>
        <v>1257.8314874999999</v>
      </c>
      <c r="BF109" s="4318">
        <f t="shared" si="594"/>
        <v>0</v>
      </c>
      <c r="BG109" s="4337">
        <f t="shared" si="595"/>
        <v>1115.355</v>
      </c>
      <c r="BH109" s="4337">
        <f t="shared" si="595"/>
        <v>1115.355</v>
      </c>
      <c r="BI109" s="4337">
        <f t="shared" si="595"/>
        <v>0</v>
      </c>
      <c r="BJ109" s="4337">
        <f t="shared" si="596"/>
        <v>-142.47648749999985</v>
      </c>
      <c r="BK109" s="4337">
        <f t="shared" si="596"/>
        <v>-142.47648749999985</v>
      </c>
      <c r="BL109" s="4337">
        <f t="shared" si="596"/>
        <v>0</v>
      </c>
      <c r="BM109" s="4317">
        <f t="shared" si="620"/>
        <v>419.27716249999997</v>
      </c>
      <c r="BN109" s="4317">
        <f t="shared" si="621"/>
        <v>419.27716249999997</v>
      </c>
      <c r="BO109" s="4317">
        <f t="shared" si="622"/>
        <v>0</v>
      </c>
      <c r="BP109" s="4335">
        <f t="shared" si="623"/>
        <v>0</v>
      </c>
      <c r="BQ109" s="4336"/>
      <c r="BR109" s="4336"/>
      <c r="BS109" s="4335">
        <f t="shared" si="624"/>
        <v>0</v>
      </c>
      <c r="BT109" s="4336"/>
      <c r="BU109" s="4336"/>
      <c r="BV109" s="4335">
        <f t="shared" si="625"/>
        <v>0</v>
      </c>
      <c r="BW109" s="4336"/>
      <c r="BX109" s="4336"/>
      <c r="BY109" s="4335">
        <f t="shared" si="600"/>
        <v>0</v>
      </c>
      <c r="BZ109" s="4335">
        <f t="shared" si="601"/>
        <v>0</v>
      </c>
      <c r="CA109" s="4335">
        <f t="shared" si="601"/>
        <v>0</v>
      </c>
      <c r="CB109" s="4318">
        <f t="shared" si="626"/>
        <v>1677.1086499999999</v>
      </c>
      <c r="CC109" s="4318">
        <v>1677.1086499999999</v>
      </c>
      <c r="CD109" s="4318">
        <v>0</v>
      </c>
      <c r="CE109" s="4337">
        <f t="shared" si="602"/>
        <v>1115.355</v>
      </c>
      <c r="CF109" s="4337">
        <f t="shared" si="602"/>
        <v>1115.355</v>
      </c>
      <c r="CG109" s="4337">
        <f t="shared" si="602"/>
        <v>0</v>
      </c>
      <c r="CH109" s="4337">
        <f t="shared" si="603"/>
        <v>-561.75364999999988</v>
      </c>
      <c r="CI109" s="4337">
        <f t="shared" si="603"/>
        <v>-561.75364999999988</v>
      </c>
      <c r="CJ109" s="4337">
        <f t="shared" si="603"/>
        <v>0</v>
      </c>
      <c r="CK109" s="2774"/>
      <c r="CL109" s="3575">
        <f t="shared" si="483"/>
        <v>1677.1086499999999</v>
      </c>
      <c r="CM109" s="3575">
        <f t="shared" si="483"/>
        <v>1677.1086499999999</v>
      </c>
      <c r="CN109" s="3575">
        <f t="shared" si="483"/>
        <v>0</v>
      </c>
    </row>
    <row r="110" spans="1:92" ht="18.75" customHeight="1" x14ac:dyDescent="0.3">
      <c r="A110" s="4342" t="s">
        <v>588</v>
      </c>
      <c r="B110" s="4317">
        <f t="shared" si="572"/>
        <v>27.542999999999999</v>
      </c>
      <c r="C110" s="4317">
        <f t="shared" si="604"/>
        <v>27.542999999999999</v>
      </c>
      <c r="D110" s="4317">
        <f t="shared" si="605"/>
        <v>0</v>
      </c>
      <c r="E110" s="4335">
        <f t="shared" si="606"/>
        <v>17.509</v>
      </c>
      <c r="F110" s="4336">
        <v>17.509</v>
      </c>
      <c r="G110" s="4336"/>
      <c r="H110" s="4335">
        <f t="shared" si="607"/>
        <v>10.635</v>
      </c>
      <c r="I110" s="4336">
        <v>10.635</v>
      </c>
      <c r="J110" s="4336"/>
      <c r="K110" s="4335">
        <f t="shared" si="608"/>
        <v>27.273</v>
      </c>
      <c r="L110" s="4336">
        <v>27.273</v>
      </c>
      <c r="M110" s="4336"/>
      <c r="N110" s="4335">
        <f t="shared" si="577"/>
        <v>55.417000000000002</v>
      </c>
      <c r="O110" s="4335">
        <f t="shared" si="578"/>
        <v>55.417000000000002</v>
      </c>
      <c r="P110" s="4335">
        <f t="shared" si="578"/>
        <v>0</v>
      </c>
      <c r="Q110" s="4317">
        <f t="shared" si="579"/>
        <v>27.542999999999999</v>
      </c>
      <c r="R110" s="4317">
        <f t="shared" si="609"/>
        <v>27.542999999999999</v>
      </c>
      <c r="S110" s="4317">
        <f t="shared" si="610"/>
        <v>0</v>
      </c>
      <c r="T110" s="4335">
        <f t="shared" si="611"/>
        <v>7.4740000000000002</v>
      </c>
      <c r="U110" s="4336">
        <v>7.4740000000000002</v>
      </c>
      <c r="V110" s="4336"/>
      <c r="W110" s="4335">
        <f t="shared" si="612"/>
        <v>37.549999999999997</v>
      </c>
      <c r="X110" s="4336">
        <v>37.549999999999997</v>
      </c>
      <c r="Y110" s="4336"/>
      <c r="Z110" s="4335">
        <f t="shared" si="613"/>
        <v>13.119</v>
      </c>
      <c r="AA110" s="4336">
        <v>13.119</v>
      </c>
      <c r="AB110" s="4336"/>
      <c r="AC110" s="4335">
        <f t="shared" si="582"/>
        <v>58.143000000000001</v>
      </c>
      <c r="AD110" s="4335">
        <f t="shared" si="583"/>
        <v>58.143000000000001</v>
      </c>
      <c r="AE110" s="4335">
        <f t="shared" si="583"/>
        <v>0</v>
      </c>
      <c r="AF110" s="4318">
        <f t="shared" si="584"/>
        <v>55.085999999999999</v>
      </c>
      <c r="AG110" s="4318">
        <f t="shared" si="585"/>
        <v>55.085999999999999</v>
      </c>
      <c r="AH110" s="4318">
        <f t="shared" si="585"/>
        <v>0</v>
      </c>
      <c r="AI110" s="4337">
        <f t="shared" si="586"/>
        <v>113.56</v>
      </c>
      <c r="AJ110" s="4337">
        <f t="shared" si="586"/>
        <v>113.56</v>
      </c>
      <c r="AK110" s="4337">
        <f t="shared" si="586"/>
        <v>0</v>
      </c>
      <c r="AL110" s="4337">
        <f t="shared" si="587"/>
        <v>58.474000000000004</v>
      </c>
      <c r="AM110" s="4337">
        <f t="shared" si="587"/>
        <v>58.474000000000004</v>
      </c>
      <c r="AN110" s="4337">
        <f t="shared" si="587"/>
        <v>0</v>
      </c>
      <c r="AO110" s="4317">
        <f t="shared" si="614"/>
        <v>27.542999999999999</v>
      </c>
      <c r="AP110" s="4317">
        <f t="shared" si="615"/>
        <v>27.542999999999999</v>
      </c>
      <c r="AQ110" s="4317">
        <f t="shared" si="616"/>
        <v>0</v>
      </c>
      <c r="AR110" s="4335">
        <f t="shared" si="617"/>
        <v>3.1219999999999999</v>
      </c>
      <c r="AS110" s="4336">
        <v>3.1219999999999999</v>
      </c>
      <c r="AT110" s="4336"/>
      <c r="AU110" s="4335">
        <f t="shared" si="618"/>
        <v>0</v>
      </c>
      <c r="AV110" s="4336"/>
      <c r="AW110" s="4336"/>
      <c r="AX110" s="4335">
        <f t="shared" si="619"/>
        <v>0</v>
      </c>
      <c r="AY110" s="4336"/>
      <c r="AZ110" s="4336"/>
      <c r="BA110" s="4335">
        <f t="shared" si="591"/>
        <v>3.1219999999999999</v>
      </c>
      <c r="BB110" s="4335">
        <f t="shared" si="592"/>
        <v>3.1219999999999999</v>
      </c>
      <c r="BC110" s="4335">
        <f t="shared" si="592"/>
        <v>0</v>
      </c>
      <c r="BD110" s="4318">
        <f t="shared" si="593"/>
        <v>82.628999999999991</v>
      </c>
      <c r="BE110" s="4318">
        <f t="shared" si="594"/>
        <v>82.628999999999991</v>
      </c>
      <c r="BF110" s="4318">
        <f t="shared" si="594"/>
        <v>0</v>
      </c>
      <c r="BG110" s="4337">
        <f t="shared" si="595"/>
        <v>116.682</v>
      </c>
      <c r="BH110" s="4337">
        <f t="shared" si="595"/>
        <v>116.682</v>
      </c>
      <c r="BI110" s="4337">
        <f t="shared" si="595"/>
        <v>0</v>
      </c>
      <c r="BJ110" s="4337">
        <f t="shared" si="596"/>
        <v>34.053000000000011</v>
      </c>
      <c r="BK110" s="4337">
        <f t="shared" si="596"/>
        <v>34.053000000000011</v>
      </c>
      <c r="BL110" s="4337">
        <f t="shared" si="596"/>
        <v>0</v>
      </c>
      <c r="BM110" s="4317">
        <f t="shared" si="620"/>
        <v>27.542999999999999</v>
      </c>
      <c r="BN110" s="4317">
        <f t="shared" si="621"/>
        <v>27.542999999999999</v>
      </c>
      <c r="BO110" s="4317">
        <f t="shared" si="622"/>
        <v>0</v>
      </c>
      <c r="BP110" s="4335">
        <f t="shared" si="623"/>
        <v>0</v>
      </c>
      <c r="BQ110" s="4336"/>
      <c r="BR110" s="4336"/>
      <c r="BS110" s="4335">
        <f t="shared" si="624"/>
        <v>0</v>
      </c>
      <c r="BT110" s="4336"/>
      <c r="BU110" s="4336"/>
      <c r="BV110" s="4335">
        <f t="shared" si="625"/>
        <v>0</v>
      </c>
      <c r="BW110" s="4336"/>
      <c r="BX110" s="4336"/>
      <c r="BY110" s="4335">
        <f t="shared" si="600"/>
        <v>0</v>
      </c>
      <c r="BZ110" s="4335">
        <f t="shared" si="601"/>
        <v>0</v>
      </c>
      <c r="CA110" s="4335">
        <f t="shared" si="601"/>
        <v>0</v>
      </c>
      <c r="CB110" s="4318">
        <f t="shared" si="626"/>
        <v>110.172</v>
      </c>
      <c r="CC110" s="4318">
        <v>110.172</v>
      </c>
      <c r="CD110" s="4318">
        <v>0</v>
      </c>
      <c r="CE110" s="4337">
        <f t="shared" si="602"/>
        <v>116.682</v>
      </c>
      <c r="CF110" s="4337">
        <f t="shared" si="602"/>
        <v>116.682</v>
      </c>
      <c r="CG110" s="4337">
        <f t="shared" si="602"/>
        <v>0</v>
      </c>
      <c r="CH110" s="4337">
        <f t="shared" si="603"/>
        <v>6.5100000000000051</v>
      </c>
      <c r="CI110" s="4337">
        <f t="shared" si="603"/>
        <v>6.5100000000000051</v>
      </c>
      <c r="CJ110" s="4337">
        <f t="shared" si="603"/>
        <v>0</v>
      </c>
      <c r="CK110" s="2774"/>
      <c r="CL110" s="3575">
        <f t="shared" si="483"/>
        <v>110.172</v>
      </c>
      <c r="CM110" s="3575">
        <f t="shared" si="483"/>
        <v>110.172</v>
      </c>
      <c r="CN110" s="3575">
        <f t="shared" si="483"/>
        <v>0</v>
      </c>
    </row>
    <row r="111" spans="1:92" ht="18.75" customHeight="1" x14ac:dyDescent="0.3">
      <c r="A111" s="4342" t="s">
        <v>587</v>
      </c>
      <c r="B111" s="4317">
        <f t="shared" si="572"/>
        <v>28.712499999999999</v>
      </c>
      <c r="C111" s="4317">
        <f t="shared" si="604"/>
        <v>28.712499999999999</v>
      </c>
      <c r="D111" s="4317">
        <f t="shared" si="605"/>
        <v>0</v>
      </c>
      <c r="E111" s="4335">
        <f t="shared" si="606"/>
        <v>25.224</v>
      </c>
      <c r="F111" s="4336">
        <v>25.224</v>
      </c>
      <c r="G111" s="4336"/>
      <c r="H111" s="4335">
        <f t="shared" si="607"/>
        <v>25.225000000000001</v>
      </c>
      <c r="I111" s="4336">
        <v>25.225000000000001</v>
      </c>
      <c r="J111" s="4336"/>
      <c r="K111" s="4335">
        <f t="shared" si="608"/>
        <v>24.901</v>
      </c>
      <c r="L111" s="4336">
        <v>24.901</v>
      </c>
      <c r="M111" s="4336"/>
      <c r="N111" s="4335">
        <f t="shared" si="577"/>
        <v>75.349999999999994</v>
      </c>
      <c r="O111" s="4335">
        <f t="shared" si="578"/>
        <v>75.349999999999994</v>
      </c>
      <c r="P111" s="4335">
        <f t="shared" si="578"/>
        <v>0</v>
      </c>
      <c r="Q111" s="4317">
        <f t="shared" si="579"/>
        <v>28.712499999999999</v>
      </c>
      <c r="R111" s="4317">
        <f t="shared" si="609"/>
        <v>28.712499999999999</v>
      </c>
      <c r="S111" s="4317">
        <f t="shared" si="610"/>
        <v>0</v>
      </c>
      <c r="T111" s="4335">
        <f t="shared" si="611"/>
        <v>24.884</v>
      </c>
      <c r="U111" s="4336">
        <v>24.884</v>
      </c>
      <c r="V111" s="4336"/>
      <c r="W111" s="4335">
        <f t="shared" si="612"/>
        <v>25.224</v>
      </c>
      <c r="X111" s="4336">
        <v>25.224</v>
      </c>
      <c r="Y111" s="4336"/>
      <c r="Z111" s="4335">
        <f t="shared" si="613"/>
        <v>25.2</v>
      </c>
      <c r="AA111" s="4336">
        <v>25.2</v>
      </c>
      <c r="AB111" s="4336"/>
      <c r="AC111" s="4335">
        <f t="shared" si="582"/>
        <v>75.308000000000007</v>
      </c>
      <c r="AD111" s="4335">
        <f t="shared" si="583"/>
        <v>75.308000000000007</v>
      </c>
      <c r="AE111" s="4335">
        <f t="shared" si="583"/>
        <v>0</v>
      </c>
      <c r="AF111" s="4318">
        <f t="shared" si="584"/>
        <v>57.424999999999997</v>
      </c>
      <c r="AG111" s="4318">
        <f t="shared" si="585"/>
        <v>57.424999999999997</v>
      </c>
      <c r="AH111" s="4318">
        <f t="shared" si="585"/>
        <v>0</v>
      </c>
      <c r="AI111" s="4337">
        <f t="shared" si="586"/>
        <v>150.65800000000002</v>
      </c>
      <c r="AJ111" s="4337">
        <f t="shared" si="586"/>
        <v>150.65800000000002</v>
      </c>
      <c r="AK111" s="4337">
        <f t="shared" si="586"/>
        <v>0</v>
      </c>
      <c r="AL111" s="4337">
        <f t="shared" si="587"/>
        <v>93.233000000000018</v>
      </c>
      <c r="AM111" s="4337">
        <f t="shared" si="587"/>
        <v>93.233000000000018</v>
      </c>
      <c r="AN111" s="4337">
        <f t="shared" si="587"/>
        <v>0</v>
      </c>
      <c r="AO111" s="4317">
        <f t="shared" si="614"/>
        <v>28.712499999999999</v>
      </c>
      <c r="AP111" s="4317">
        <f t="shared" si="615"/>
        <v>28.712499999999999</v>
      </c>
      <c r="AQ111" s="4317">
        <f t="shared" si="616"/>
        <v>0</v>
      </c>
      <c r="AR111" s="4335">
        <f t="shared" si="617"/>
        <v>25.175000000000001</v>
      </c>
      <c r="AS111" s="4336">
        <v>25.175000000000001</v>
      </c>
      <c r="AT111" s="4336"/>
      <c r="AU111" s="4335">
        <f t="shared" si="618"/>
        <v>0</v>
      </c>
      <c r="AV111" s="4336"/>
      <c r="AW111" s="4336"/>
      <c r="AX111" s="4335">
        <f t="shared" si="619"/>
        <v>0</v>
      </c>
      <c r="AY111" s="4336"/>
      <c r="AZ111" s="4336"/>
      <c r="BA111" s="4335">
        <f t="shared" si="591"/>
        <v>25.175000000000001</v>
      </c>
      <c r="BB111" s="4335">
        <f t="shared" si="592"/>
        <v>25.175000000000001</v>
      </c>
      <c r="BC111" s="4335">
        <f t="shared" si="592"/>
        <v>0</v>
      </c>
      <c r="BD111" s="4318">
        <f t="shared" si="593"/>
        <v>86.137499999999989</v>
      </c>
      <c r="BE111" s="4318">
        <f t="shared" si="594"/>
        <v>86.137499999999989</v>
      </c>
      <c r="BF111" s="4318">
        <f t="shared" si="594"/>
        <v>0</v>
      </c>
      <c r="BG111" s="4337">
        <f t="shared" si="595"/>
        <v>175.83300000000003</v>
      </c>
      <c r="BH111" s="4337">
        <f t="shared" si="595"/>
        <v>175.83300000000003</v>
      </c>
      <c r="BI111" s="4337">
        <f t="shared" si="595"/>
        <v>0</v>
      </c>
      <c r="BJ111" s="4337">
        <f t="shared" si="596"/>
        <v>89.695500000000038</v>
      </c>
      <c r="BK111" s="4337">
        <f t="shared" si="596"/>
        <v>89.695500000000038</v>
      </c>
      <c r="BL111" s="4337">
        <f t="shared" si="596"/>
        <v>0</v>
      </c>
      <c r="BM111" s="4317">
        <f t="shared" si="620"/>
        <v>28.712499999999999</v>
      </c>
      <c r="BN111" s="4317">
        <f t="shared" si="621"/>
        <v>28.712499999999999</v>
      </c>
      <c r="BO111" s="4317">
        <f t="shared" si="622"/>
        <v>0</v>
      </c>
      <c r="BP111" s="4335">
        <f t="shared" si="623"/>
        <v>0</v>
      </c>
      <c r="BQ111" s="4336"/>
      <c r="BR111" s="4336"/>
      <c r="BS111" s="4335">
        <f t="shared" si="624"/>
        <v>0</v>
      </c>
      <c r="BT111" s="4336"/>
      <c r="BU111" s="4336"/>
      <c r="BV111" s="4335">
        <f t="shared" si="625"/>
        <v>0</v>
      </c>
      <c r="BW111" s="4336"/>
      <c r="BX111" s="4336"/>
      <c r="BY111" s="4335">
        <f t="shared" si="600"/>
        <v>0</v>
      </c>
      <c r="BZ111" s="4335">
        <f t="shared" si="601"/>
        <v>0</v>
      </c>
      <c r="CA111" s="4335">
        <f t="shared" si="601"/>
        <v>0</v>
      </c>
      <c r="CB111" s="4318">
        <f t="shared" si="626"/>
        <v>114.85</v>
      </c>
      <c r="CC111" s="4318">
        <v>114.85</v>
      </c>
      <c r="CD111" s="4318">
        <v>0</v>
      </c>
      <c r="CE111" s="4337">
        <f t="shared" si="602"/>
        <v>175.83300000000003</v>
      </c>
      <c r="CF111" s="4337">
        <f t="shared" si="602"/>
        <v>175.83300000000003</v>
      </c>
      <c r="CG111" s="4337">
        <f t="shared" si="602"/>
        <v>0</v>
      </c>
      <c r="CH111" s="4337">
        <f t="shared" si="603"/>
        <v>60.983000000000033</v>
      </c>
      <c r="CI111" s="4337">
        <f t="shared" si="603"/>
        <v>60.983000000000033</v>
      </c>
      <c r="CJ111" s="4337">
        <f t="shared" si="603"/>
        <v>0</v>
      </c>
      <c r="CK111" s="2774"/>
      <c r="CL111" s="3575">
        <f t="shared" si="483"/>
        <v>114.85</v>
      </c>
      <c r="CM111" s="3575">
        <f t="shared" si="483"/>
        <v>114.85</v>
      </c>
      <c r="CN111" s="3575">
        <f t="shared" si="483"/>
        <v>0</v>
      </c>
    </row>
    <row r="112" spans="1:92" ht="18.75" customHeight="1" x14ac:dyDescent="0.3">
      <c r="A112" s="4342" t="s">
        <v>597</v>
      </c>
      <c r="B112" s="4317">
        <f t="shared" si="572"/>
        <v>6.5914999999999999</v>
      </c>
      <c r="C112" s="4317">
        <f t="shared" si="604"/>
        <v>6.5914999999999999</v>
      </c>
      <c r="D112" s="4317">
        <f t="shared" si="605"/>
        <v>0</v>
      </c>
      <c r="E112" s="4335">
        <f t="shared" si="606"/>
        <v>0</v>
      </c>
      <c r="F112" s="4336"/>
      <c r="G112" s="4336"/>
      <c r="H112" s="4335">
        <f t="shared" si="607"/>
        <v>0</v>
      </c>
      <c r="I112" s="4336"/>
      <c r="J112" s="4336"/>
      <c r="K112" s="4335">
        <f t="shared" si="608"/>
        <v>0.91</v>
      </c>
      <c r="L112" s="4336">
        <v>0.91</v>
      </c>
      <c r="M112" s="4336"/>
      <c r="N112" s="4335">
        <f t="shared" si="577"/>
        <v>0.91</v>
      </c>
      <c r="O112" s="4335">
        <f t="shared" si="578"/>
        <v>0.91</v>
      </c>
      <c r="P112" s="4335">
        <f t="shared" si="578"/>
        <v>0</v>
      </c>
      <c r="Q112" s="4317">
        <f t="shared" si="579"/>
        <v>6.5914999999999999</v>
      </c>
      <c r="R112" s="4317">
        <f t="shared" si="609"/>
        <v>6.5914999999999999</v>
      </c>
      <c r="S112" s="4317">
        <f t="shared" si="610"/>
        <v>0</v>
      </c>
      <c r="T112" s="4335">
        <f t="shared" si="611"/>
        <v>0</v>
      </c>
      <c r="U112" s="4336"/>
      <c r="V112" s="4336"/>
      <c r="W112" s="4335">
        <f t="shared" si="612"/>
        <v>0</v>
      </c>
      <c r="X112" s="4336"/>
      <c r="Y112" s="4336"/>
      <c r="Z112" s="4335">
        <f t="shared" si="613"/>
        <v>0</v>
      </c>
      <c r="AA112" s="4336"/>
      <c r="AB112" s="4336"/>
      <c r="AC112" s="4335">
        <f t="shared" si="582"/>
        <v>0</v>
      </c>
      <c r="AD112" s="4335">
        <f t="shared" si="583"/>
        <v>0</v>
      </c>
      <c r="AE112" s="4335">
        <f t="shared" si="583"/>
        <v>0</v>
      </c>
      <c r="AF112" s="4318">
        <f t="shared" si="584"/>
        <v>13.183</v>
      </c>
      <c r="AG112" s="4318">
        <f t="shared" si="585"/>
        <v>13.183</v>
      </c>
      <c r="AH112" s="4318">
        <f t="shared" si="585"/>
        <v>0</v>
      </c>
      <c r="AI112" s="4337">
        <f t="shared" si="586"/>
        <v>0.91</v>
      </c>
      <c r="AJ112" s="4337">
        <f t="shared" si="586"/>
        <v>0.91</v>
      </c>
      <c r="AK112" s="4337">
        <f t="shared" si="586"/>
        <v>0</v>
      </c>
      <c r="AL112" s="4337">
        <f t="shared" si="587"/>
        <v>-12.273</v>
      </c>
      <c r="AM112" s="4337">
        <f t="shared" si="587"/>
        <v>-12.273</v>
      </c>
      <c r="AN112" s="4337">
        <f t="shared" si="587"/>
        <v>0</v>
      </c>
      <c r="AO112" s="4317">
        <f t="shared" si="614"/>
        <v>6.5914999999999999</v>
      </c>
      <c r="AP112" s="4317">
        <f t="shared" si="615"/>
        <v>6.5914999999999999</v>
      </c>
      <c r="AQ112" s="4317">
        <f t="shared" si="616"/>
        <v>0</v>
      </c>
      <c r="AR112" s="4335">
        <f t="shared" si="617"/>
        <v>0</v>
      </c>
      <c r="AS112" s="4336"/>
      <c r="AT112" s="4336"/>
      <c r="AU112" s="4335">
        <f t="shared" si="618"/>
        <v>0</v>
      </c>
      <c r="AV112" s="4336"/>
      <c r="AW112" s="4336"/>
      <c r="AX112" s="4335">
        <f t="shared" si="619"/>
        <v>0</v>
      </c>
      <c r="AY112" s="4336"/>
      <c r="AZ112" s="4336"/>
      <c r="BA112" s="4335">
        <f t="shared" si="591"/>
        <v>0</v>
      </c>
      <c r="BB112" s="4335">
        <f t="shared" si="592"/>
        <v>0</v>
      </c>
      <c r="BC112" s="4335">
        <f t="shared" si="592"/>
        <v>0</v>
      </c>
      <c r="BD112" s="4318">
        <f t="shared" si="593"/>
        <v>19.7745</v>
      </c>
      <c r="BE112" s="4318">
        <f t="shared" si="594"/>
        <v>19.7745</v>
      </c>
      <c r="BF112" s="4318">
        <f t="shared" si="594"/>
        <v>0</v>
      </c>
      <c r="BG112" s="4337">
        <f t="shared" si="595"/>
        <v>0.91</v>
      </c>
      <c r="BH112" s="4337">
        <f t="shared" si="595"/>
        <v>0.91</v>
      </c>
      <c r="BI112" s="4337">
        <f t="shared" si="595"/>
        <v>0</v>
      </c>
      <c r="BJ112" s="4337">
        <f t="shared" si="596"/>
        <v>-18.8645</v>
      </c>
      <c r="BK112" s="4337">
        <f t="shared" si="596"/>
        <v>-18.8645</v>
      </c>
      <c r="BL112" s="4337">
        <f t="shared" si="596"/>
        <v>0</v>
      </c>
      <c r="BM112" s="4317">
        <f t="shared" si="620"/>
        <v>6.5914999999999999</v>
      </c>
      <c r="BN112" s="4317">
        <f t="shared" si="621"/>
        <v>6.5914999999999999</v>
      </c>
      <c r="BO112" s="4317">
        <f t="shared" si="622"/>
        <v>0</v>
      </c>
      <c r="BP112" s="4335">
        <f t="shared" si="623"/>
        <v>0</v>
      </c>
      <c r="BQ112" s="4336"/>
      <c r="BR112" s="4336"/>
      <c r="BS112" s="4335">
        <f t="shared" si="624"/>
        <v>0</v>
      </c>
      <c r="BT112" s="4336"/>
      <c r="BU112" s="4336"/>
      <c r="BV112" s="4335">
        <f t="shared" si="625"/>
        <v>0</v>
      </c>
      <c r="BW112" s="4336"/>
      <c r="BX112" s="4336"/>
      <c r="BY112" s="4335">
        <f t="shared" si="600"/>
        <v>0</v>
      </c>
      <c r="BZ112" s="4335">
        <f t="shared" si="601"/>
        <v>0</v>
      </c>
      <c r="CA112" s="4335">
        <f t="shared" si="601"/>
        <v>0</v>
      </c>
      <c r="CB112" s="4318">
        <f t="shared" si="626"/>
        <v>26.366</v>
      </c>
      <c r="CC112" s="4318">
        <v>26.366</v>
      </c>
      <c r="CD112" s="4318">
        <v>0</v>
      </c>
      <c r="CE112" s="4337">
        <f t="shared" si="602"/>
        <v>0.91</v>
      </c>
      <c r="CF112" s="4337">
        <f t="shared" si="602"/>
        <v>0.91</v>
      </c>
      <c r="CG112" s="4337">
        <f t="shared" si="602"/>
        <v>0</v>
      </c>
      <c r="CH112" s="4337">
        <f t="shared" si="603"/>
        <v>-25.456</v>
      </c>
      <c r="CI112" s="4337">
        <f t="shared" si="603"/>
        <v>-25.456</v>
      </c>
      <c r="CJ112" s="4337">
        <f t="shared" si="603"/>
        <v>0</v>
      </c>
      <c r="CK112" s="2774"/>
      <c r="CL112" s="3575">
        <f t="shared" si="483"/>
        <v>26.366</v>
      </c>
      <c r="CM112" s="3575">
        <f t="shared" si="483"/>
        <v>26.366</v>
      </c>
      <c r="CN112" s="3575">
        <f t="shared" si="483"/>
        <v>0</v>
      </c>
    </row>
    <row r="113" spans="1:92" ht="18.75" customHeight="1" x14ac:dyDescent="0.3">
      <c r="A113" s="4342" t="s">
        <v>41</v>
      </c>
      <c r="B113" s="4317">
        <f t="shared" si="572"/>
        <v>0</v>
      </c>
      <c r="C113" s="4317">
        <f t="shared" si="604"/>
        <v>0</v>
      </c>
      <c r="D113" s="4317">
        <f t="shared" si="605"/>
        <v>0</v>
      </c>
      <c r="E113" s="4335">
        <f t="shared" si="606"/>
        <v>0</v>
      </c>
      <c r="F113" s="4336"/>
      <c r="G113" s="4336"/>
      <c r="H113" s="4335">
        <f t="shared" si="607"/>
        <v>0</v>
      </c>
      <c r="I113" s="4336"/>
      <c r="J113" s="4336"/>
      <c r="K113" s="4335">
        <f t="shared" si="608"/>
        <v>0</v>
      </c>
      <c r="L113" s="4336"/>
      <c r="M113" s="4336"/>
      <c r="N113" s="4335">
        <f t="shared" si="577"/>
        <v>0</v>
      </c>
      <c r="O113" s="4335">
        <f t="shared" si="578"/>
        <v>0</v>
      </c>
      <c r="P113" s="4335">
        <f t="shared" si="578"/>
        <v>0</v>
      </c>
      <c r="Q113" s="4317">
        <f t="shared" si="579"/>
        <v>0</v>
      </c>
      <c r="R113" s="4317">
        <f t="shared" si="609"/>
        <v>0</v>
      </c>
      <c r="S113" s="4317">
        <f t="shared" si="610"/>
        <v>0</v>
      </c>
      <c r="T113" s="4335">
        <f t="shared" si="611"/>
        <v>0</v>
      </c>
      <c r="U113" s="4336"/>
      <c r="V113" s="4336"/>
      <c r="W113" s="4335">
        <f t="shared" si="612"/>
        <v>0</v>
      </c>
      <c r="X113" s="4336"/>
      <c r="Y113" s="4336"/>
      <c r="Z113" s="4335">
        <f t="shared" si="613"/>
        <v>0</v>
      </c>
      <c r="AA113" s="4336"/>
      <c r="AB113" s="4336"/>
      <c r="AC113" s="4335">
        <f t="shared" si="582"/>
        <v>0</v>
      </c>
      <c r="AD113" s="4335">
        <f t="shared" si="583"/>
        <v>0</v>
      </c>
      <c r="AE113" s="4335">
        <f t="shared" si="583"/>
        <v>0</v>
      </c>
      <c r="AF113" s="4318">
        <f t="shared" si="584"/>
        <v>0</v>
      </c>
      <c r="AG113" s="4318">
        <f t="shared" si="585"/>
        <v>0</v>
      </c>
      <c r="AH113" s="4318">
        <f t="shared" si="585"/>
        <v>0</v>
      </c>
      <c r="AI113" s="4337">
        <f t="shared" si="586"/>
        <v>0</v>
      </c>
      <c r="AJ113" s="4337">
        <f t="shared" si="586"/>
        <v>0</v>
      </c>
      <c r="AK113" s="4337">
        <f t="shared" si="586"/>
        <v>0</v>
      </c>
      <c r="AL113" s="4337">
        <f t="shared" si="587"/>
        <v>0</v>
      </c>
      <c r="AM113" s="4337">
        <f t="shared" si="587"/>
        <v>0</v>
      </c>
      <c r="AN113" s="4337">
        <f t="shared" si="587"/>
        <v>0</v>
      </c>
      <c r="AO113" s="4317">
        <f t="shared" si="614"/>
        <v>0</v>
      </c>
      <c r="AP113" s="4317">
        <f t="shared" si="615"/>
        <v>0</v>
      </c>
      <c r="AQ113" s="4317">
        <f t="shared" si="616"/>
        <v>0</v>
      </c>
      <c r="AR113" s="4335">
        <f t="shared" si="617"/>
        <v>0</v>
      </c>
      <c r="AS113" s="4336"/>
      <c r="AT113" s="4336"/>
      <c r="AU113" s="4335">
        <f t="shared" si="618"/>
        <v>0</v>
      </c>
      <c r="AV113" s="4336"/>
      <c r="AW113" s="4336"/>
      <c r="AX113" s="4335">
        <f t="shared" si="619"/>
        <v>0</v>
      </c>
      <c r="AY113" s="4336"/>
      <c r="AZ113" s="4336"/>
      <c r="BA113" s="4335">
        <f t="shared" si="591"/>
        <v>0</v>
      </c>
      <c r="BB113" s="4335">
        <f t="shared" si="592"/>
        <v>0</v>
      </c>
      <c r="BC113" s="4335">
        <f t="shared" si="592"/>
        <v>0</v>
      </c>
      <c r="BD113" s="4318">
        <f t="shared" si="593"/>
        <v>0</v>
      </c>
      <c r="BE113" s="4318">
        <f t="shared" si="594"/>
        <v>0</v>
      </c>
      <c r="BF113" s="4318">
        <f t="shared" si="594"/>
        <v>0</v>
      </c>
      <c r="BG113" s="4337">
        <f t="shared" si="595"/>
        <v>0</v>
      </c>
      <c r="BH113" s="4337">
        <f t="shared" si="595"/>
        <v>0</v>
      </c>
      <c r="BI113" s="4337">
        <f t="shared" si="595"/>
        <v>0</v>
      </c>
      <c r="BJ113" s="4337">
        <f t="shared" si="596"/>
        <v>0</v>
      </c>
      <c r="BK113" s="4337">
        <f t="shared" si="596"/>
        <v>0</v>
      </c>
      <c r="BL113" s="4337">
        <f t="shared" si="596"/>
        <v>0</v>
      </c>
      <c r="BM113" s="4317">
        <f t="shared" si="620"/>
        <v>0</v>
      </c>
      <c r="BN113" s="4317">
        <f t="shared" si="621"/>
        <v>0</v>
      </c>
      <c r="BO113" s="4317">
        <f t="shared" si="622"/>
        <v>0</v>
      </c>
      <c r="BP113" s="4335">
        <f t="shared" si="623"/>
        <v>0</v>
      </c>
      <c r="BQ113" s="4336"/>
      <c r="BR113" s="4336"/>
      <c r="BS113" s="4335">
        <f t="shared" si="624"/>
        <v>0</v>
      </c>
      <c r="BT113" s="4336"/>
      <c r="BU113" s="4336"/>
      <c r="BV113" s="4335">
        <f t="shared" si="625"/>
        <v>0</v>
      </c>
      <c r="BW113" s="4336"/>
      <c r="BX113" s="4336"/>
      <c r="BY113" s="4335">
        <f t="shared" si="600"/>
        <v>0</v>
      </c>
      <c r="BZ113" s="4335">
        <f t="shared" si="601"/>
        <v>0</v>
      </c>
      <c r="CA113" s="4335">
        <f t="shared" si="601"/>
        <v>0</v>
      </c>
      <c r="CB113" s="4318">
        <f t="shared" si="626"/>
        <v>0</v>
      </c>
      <c r="CC113" s="4318">
        <v>0</v>
      </c>
      <c r="CD113" s="4318">
        <v>0</v>
      </c>
      <c r="CE113" s="4337">
        <f t="shared" si="602"/>
        <v>0</v>
      </c>
      <c r="CF113" s="4337">
        <f t="shared" si="602"/>
        <v>0</v>
      </c>
      <c r="CG113" s="4337">
        <f t="shared" si="602"/>
        <v>0</v>
      </c>
      <c r="CH113" s="4337">
        <f t="shared" si="603"/>
        <v>0</v>
      </c>
      <c r="CI113" s="4337">
        <f t="shared" si="603"/>
        <v>0</v>
      </c>
      <c r="CJ113" s="4337">
        <f t="shared" si="603"/>
        <v>0</v>
      </c>
      <c r="CK113" s="2774"/>
      <c r="CL113" s="3575">
        <f t="shared" si="483"/>
        <v>0</v>
      </c>
      <c r="CM113" s="3575">
        <f t="shared" si="483"/>
        <v>0</v>
      </c>
      <c r="CN113" s="3575">
        <f t="shared" si="483"/>
        <v>0</v>
      </c>
    </row>
    <row r="114" spans="1:92" ht="18.75" customHeight="1" x14ac:dyDescent="0.3">
      <c r="A114" s="4342" t="s">
        <v>38</v>
      </c>
      <c r="B114" s="4317">
        <f t="shared" si="572"/>
        <v>10.848000000000001</v>
      </c>
      <c r="C114" s="4317">
        <f t="shared" si="604"/>
        <v>10.848000000000001</v>
      </c>
      <c r="D114" s="4317">
        <f t="shared" si="605"/>
        <v>0</v>
      </c>
      <c r="E114" s="4335">
        <f t="shared" si="606"/>
        <v>0</v>
      </c>
      <c r="F114" s="4336"/>
      <c r="G114" s="4336"/>
      <c r="H114" s="4335">
        <f t="shared" si="607"/>
        <v>0</v>
      </c>
      <c r="I114" s="4336"/>
      <c r="J114" s="4336"/>
      <c r="K114" s="4335">
        <f t="shared" si="608"/>
        <v>5.99</v>
      </c>
      <c r="L114" s="4336">
        <v>5.99</v>
      </c>
      <c r="M114" s="4336"/>
      <c r="N114" s="4335">
        <f t="shared" si="577"/>
        <v>5.99</v>
      </c>
      <c r="O114" s="4335">
        <f t="shared" si="578"/>
        <v>5.99</v>
      </c>
      <c r="P114" s="4335">
        <f t="shared" si="578"/>
        <v>0</v>
      </c>
      <c r="Q114" s="4317">
        <f t="shared" si="579"/>
        <v>10.848000000000001</v>
      </c>
      <c r="R114" s="4317">
        <f t="shared" si="609"/>
        <v>10.848000000000001</v>
      </c>
      <c r="S114" s="4317">
        <f t="shared" si="610"/>
        <v>0</v>
      </c>
      <c r="T114" s="4335">
        <f t="shared" si="611"/>
        <v>0</v>
      </c>
      <c r="U114" s="4336"/>
      <c r="V114" s="4336"/>
      <c r="W114" s="4335">
        <f t="shared" si="612"/>
        <v>0</v>
      </c>
      <c r="X114" s="4336"/>
      <c r="Y114" s="4336"/>
      <c r="Z114" s="4335">
        <f t="shared" si="613"/>
        <v>16.8</v>
      </c>
      <c r="AA114" s="4336">
        <v>16.8</v>
      </c>
      <c r="AB114" s="4336"/>
      <c r="AC114" s="4335">
        <f t="shared" si="582"/>
        <v>16.8</v>
      </c>
      <c r="AD114" s="4335">
        <f t="shared" si="583"/>
        <v>16.8</v>
      </c>
      <c r="AE114" s="4335">
        <f t="shared" si="583"/>
        <v>0</v>
      </c>
      <c r="AF114" s="4318">
        <f t="shared" si="584"/>
        <v>21.696000000000002</v>
      </c>
      <c r="AG114" s="4318">
        <f t="shared" si="585"/>
        <v>21.696000000000002</v>
      </c>
      <c r="AH114" s="4318">
        <f t="shared" si="585"/>
        <v>0</v>
      </c>
      <c r="AI114" s="4337">
        <f t="shared" si="586"/>
        <v>22.79</v>
      </c>
      <c r="AJ114" s="4337">
        <f t="shared" si="586"/>
        <v>22.79</v>
      </c>
      <c r="AK114" s="4337">
        <f t="shared" si="586"/>
        <v>0</v>
      </c>
      <c r="AL114" s="4337">
        <f t="shared" si="587"/>
        <v>1.0939999999999976</v>
      </c>
      <c r="AM114" s="4337">
        <f t="shared" si="587"/>
        <v>1.0939999999999976</v>
      </c>
      <c r="AN114" s="4337">
        <f t="shared" si="587"/>
        <v>0</v>
      </c>
      <c r="AO114" s="4317">
        <f t="shared" si="614"/>
        <v>10.848000000000001</v>
      </c>
      <c r="AP114" s="4317">
        <f t="shared" si="615"/>
        <v>10.848000000000001</v>
      </c>
      <c r="AQ114" s="4317">
        <f t="shared" si="616"/>
        <v>0</v>
      </c>
      <c r="AR114" s="4335">
        <f t="shared" si="617"/>
        <v>0</v>
      </c>
      <c r="AS114" s="4336"/>
      <c r="AT114" s="4336"/>
      <c r="AU114" s="4335">
        <f t="shared" si="618"/>
        <v>0</v>
      </c>
      <c r="AV114" s="4336"/>
      <c r="AW114" s="4336"/>
      <c r="AX114" s="4335">
        <f t="shared" si="619"/>
        <v>0</v>
      </c>
      <c r="AY114" s="4336"/>
      <c r="AZ114" s="4336"/>
      <c r="BA114" s="4335">
        <f t="shared" si="591"/>
        <v>0</v>
      </c>
      <c r="BB114" s="4335">
        <f t="shared" si="592"/>
        <v>0</v>
      </c>
      <c r="BC114" s="4335">
        <f t="shared" si="592"/>
        <v>0</v>
      </c>
      <c r="BD114" s="4318">
        <f t="shared" si="593"/>
        <v>32.544000000000004</v>
      </c>
      <c r="BE114" s="4318">
        <f t="shared" si="594"/>
        <v>32.544000000000004</v>
      </c>
      <c r="BF114" s="4318">
        <f t="shared" si="594"/>
        <v>0</v>
      </c>
      <c r="BG114" s="4337">
        <f t="shared" si="595"/>
        <v>22.79</v>
      </c>
      <c r="BH114" s="4337">
        <f t="shared" si="595"/>
        <v>22.79</v>
      </c>
      <c r="BI114" s="4337">
        <f t="shared" si="595"/>
        <v>0</v>
      </c>
      <c r="BJ114" s="4337">
        <f t="shared" si="596"/>
        <v>-9.7540000000000049</v>
      </c>
      <c r="BK114" s="4337">
        <f t="shared" si="596"/>
        <v>-9.7540000000000049</v>
      </c>
      <c r="BL114" s="4337">
        <f t="shared" si="596"/>
        <v>0</v>
      </c>
      <c r="BM114" s="4317">
        <f t="shared" si="620"/>
        <v>10.848000000000001</v>
      </c>
      <c r="BN114" s="4317">
        <f t="shared" si="621"/>
        <v>10.848000000000001</v>
      </c>
      <c r="BO114" s="4317">
        <f t="shared" si="622"/>
        <v>0</v>
      </c>
      <c r="BP114" s="4335">
        <f t="shared" si="623"/>
        <v>0</v>
      </c>
      <c r="BQ114" s="4336"/>
      <c r="BR114" s="4336"/>
      <c r="BS114" s="4335">
        <f t="shared" si="624"/>
        <v>0</v>
      </c>
      <c r="BT114" s="4336"/>
      <c r="BU114" s="4336"/>
      <c r="BV114" s="4335">
        <f t="shared" si="625"/>
        <v>0</v>
      </c>
      <c r="BW114" s="4336"/>
      <c r="BX114" s="4336"/>
      <c r="BY114" s="4335">
        <f t="shared" si="600"/>
        <v>0</v>
      </c>
      <c r="BZ114" s="4335">
        <f t="shared" si="601"/>
        <v>0</v>
      </c>
      <c r="CA114" s="4335">
        <f t="shared" si="601"/>
        <v>0</v>
      </c>
      <c r="CB114" s="4318">
        <f t="shared" si="626"/>
        <v>43.392000000000003</v>
      </c>
      <c r="CC114" s="4318">
        <v>43.392000000000003</v>
      </c>
      <c r="CD114" s="4318">
        <v>0</v>
      </c>
      <c r="CE114" s="4337">
        <f t="shared" si="602"/>
        <v>22.79</v>
      </c>
      <c r="CF114" s="4337">
        <f t="shared" si="602"/>
        <v>22.79</v>
      </c>
      <c r="CG114" s="4337">
        <f t="shared" si="602"/>
        <v>0</v>
      </c>
      <c r="CH114" s="4337">
        <f t="shared" si="603"/>
        <v>-20.602000000000004</v>
      </c>
      <c r="CI114" s="4337">
        <f t="shared" si="603"/>
        <v>-20.602000000000004</v>
      </c>
      <c r="CJ114" s="4337">
        <f t="shared" si="603"/>
        <v>0</v>
      </c>
      <c r="CK114" s="2774"/>
      <c r="CL114" s="3575">
        <f t="shared" si="483"/>
        <v>43.392000000000003</v>
      </c>
      <c r="CM114" s="3575">
        <f t="shared" si="483"/>
        <v>43.392000000000003</v>
      </c>
      <c r="CN114" s="3575">
        <f t="shared" si="483"/>
        <v>0</v>
      </c>
    </row>
    <row r="115" spans="1:92" ht="18.75" customHeight="1" x14ac:dyDescent="0.3">
      <c r="A115" s="4342" t="s">
        <v>32</v>
      </c>
      <c r="B115" s="4317">
        <f t="shared" si="572"/>
        <v>7.1557500000000003</v>
      </c>
      <c r="C115" s="4317">
        <f t="shared" si="604"/>
        <v>7.1557500000000003</v>
      </c>
      <c r="D115" s="4317">
        <f t="shared" si="605"/>
        <v>0</v>
      </c>
      <c r="E115" s="4335">
        <f t="shared" si="606"/>
        <v>16.8</v>
      </c>
      <c r="F115" s="4336">
        <v>16.8</v>
      </c>
      <c r="G115" s="4336"/>
      <c r="H115" s="4335">
        <f t="shared" si="607"/>
        <v>0.7</v>
      </c>
      <c r="I115" s="4336">
        <v>0.7</v>
      </c>
      <c r="J115" s="4336"/>
      <c r="K115" s="4335">
        <f t="shared" si="608"/>
        <v>0</v>
      </c>
      <c r="L115" s="4336"/>
      <c r="M115" s="4336"/>
      <c r="N115" s="4335">
        <f t="shared" si="577"/>
        <v>17.5</v>
      </c>
      <c r="O115" s="4335">
        <f t="shared" si="578"/>
        <v>17.5</v>
      </c>
      <c r="P115" s="4335">
        <f t="shared" si="578"/>
        <v>0</v>
      </c>
      <c r="Q115" s="4317">
        <f t="shared" si="579"/>
        <v>7.1557500000000003</v>
      </c>
      <c r="R115" s="4317">
        <f t="shared" si="609"/>
        <v>7.1557500000000003</v>
      </c>
      <c r="S115" s="4317">
        <f t="shared" si="610"/>
        <v>0</v>
      </c>
      <c r="T115" s="4335">
        <f t="shared" si="611"/>
        <v>0</v>
      </c>
      <c r="U115" s="4336"/>
      <c r="V115" s="4336"/>
      <c r="W115" s="4335">
        <f t="shared" si="612"/>
        <v>0.7</v>
      </c>
      <c r="X115" s="4336">
        <v>0.7</v>
      </c>
      <c r="Y115" s="4336"/>
      <c r="Z115" s="4335">
        <f t="shared" si="613"/>
        <v>17.850000000000001</v>
      </c>
      <c r="AA115" s="4336">
        <v>17.850000000000001</v>
      </c>
      <c r="AB115" s="4336"/>
      <c r="AC115" s="4335">
        <f t="shared" si="582"/>
        <v>18.55</v>
      </c>
      <c r="AD115" s="4335">
        <f t="shared" si="583"/>
        <v>18.55</v>
      </c>
      <c r="AE115" s="4335">
        <f t="shared" si="583"/>
        <v>0</v>
      </c>
      <c r="AF115" s="4318">
        <f t="shared" si="584"/>
        <v>14.311500000000001</v>
      </c>
      <c r="AG115" s="4318">
        <f t="shared" si="585"/>
        <v>14.311500000000001</v>
      </c>
      <c r="AH115" s="4318">
        <f t="shared" si="585"/>
        <v>0</v>
      </c>
      <c r="AI115" s="4337">
        <f t="shared" si="586"/>
        <v>36.049999999999997</v>
      </c>
      <c r="AJ115" s="4337">
        <f t="shared" si="586"/>
        <v>36.049999999999997</v>
      </c>
      <c r="AK115" s="4337">
        <f t="shared" si="586"/>
        <v>0</v>
      </c>
      <c r="AL115" s="4337">
        <f t="shared" si="587"/>
        <v>21.738499999999995</v>
      </c>
      <c r="AM115" s="4337">
        <f t="shared" si="587"/>
        <v>21.738499999999995</v>
      </c>
      <c r="AN115" s="4337">
        <f t="shared" si="587"/>
        <v>0</v>
      </c>
      <c r="AO115" s="4317">
        <f t="shared" si="614"/>
        <v>7.1557500000000003</v>
      </c>
      <c r="AP115" s="4317">
        <f t="shared" si="615"/>
        <v>7.1557500000000003</v>
      </c>
      <c r="AQ115" s="4317">
        <f t="shared" si="616"/>
        <v>0</v>
      </c>
      <c r="AR115" s="4335">
        <f t="shared" si="617"/>
        <v>0</v>
      </c>
      <c r="AS115" s="4336"/>
      <c r="AT115" s="4336"/>
      <c r="AU115" s="4335">
        <f t="shared" si="618"/>
        <v>0</v>
      </c>
      <c r="AV115" s="4336"/>
      <c r="AW115" s="4336"/>
      <c r="AX115" s="4335">
        <f t="shared" si="619"/>
        <v>0</v>
      </c>
      <c r="AY115" s="4336"/>
      <c r="AZ115" s="4336"/>
      <c r="BA115" s="4335">
        <f t="shared" si="591"/>
        <v>0</v>
      </c>
      <c r="BB115" s="4335">
        <f t="shared" si="592"/>
        <v>0</v>
      </c>
      <c r="BC115" s="4335">
        <f t="shared" si="592"/>
        <v>0</v>
      </c>
      <c r="BD115" s="4318">
        <f t="shared" si="593"/>
        <v>21.46725</v>
      </c>
      <c r="BE115" s="4318">
        <f t="shared" si="594"/>
        <v>21.46725</v>
      </c>
      <c r="BF115" s="4318">
        <f t="shared" si="594"/>
        <v>0</v>
      </c>
      <c r="BG115" s="4337">
        <f t="shared" si="595"/>
        <v>36.049999999999997</v>
      </c>
      <c r="BH115" s="4337">
        <f t="shared" si="595"/>
        <v>36.049999999999997</v>
      </c>
      <c r="BI115" s="4337">
        <f t="shared" si="595"/>
        <v>0</v>
      </c>
      <c r="BJ115" s="4337">
        <f t="shared" si="596"/>
        <v>14.582749999999997</v>
      </c>
      <c r="BK115" s="4337">
        <f t="shared" si="596"/>
        <v>14.582749999999997</v>
      </c>
      <c r="BL115" s="4337">
        <f t="shared" si="596"/>
        <v>0</v>
      </c>
      <c r="BM115" s="4317">
        <f t="shared" si="620"/>
        <v>7.1557500000000003</v>
      </c>
      <c r="BN115" s="4317">
        <f t="shared" si="621"/>
        <v>7.1557500000000003</v>
      </c>
      <c r="BO115" s="4317">
        <f t="shared" si="622"/>
        <v>0</v>
      </c>
      <c r="BP115" s="4335">
        <f t="shared" si="623"/>
        <v>0</v>
      </c>
      <c r="BQ115" s="4336"/>
      <c r="BR115" s="4336"/>
      <c r="BS115" s="4335">
        <f t="shared" si="624"/>
        <v>0</v>
      </c>
      <c r="BT115" s="4336"/>
      <c r="BU115" s="4336"/>
      <c r="BV115" s="4335">
        <f t="shared" si="625"/>
        <v>0</v>
      </c>
      <c r="BW115" s="4336"/>
      <c r="BX115" s="4336"/>
      <c r="BY115" s="4335">
        <f t="shared" si="600"/>
        <v>0</v>
      </c>
      <c r="BZ115" s="4335">
        <f t="shared" si="601"/>
        <v>0</v>
      </c>
      <c r="CA115" s="4335">
        <f t="shared" si="601"/>
        <v>0</v>
      </c>
      <c r="CB115" s="4318">
        <f t="shared" si="626"/>
        <v>28.623000000000001</v>
      </c>
      <c r="CC115" s="4318">
        <v>28.623000000000001</v>
      </c>
      <c r="CD115" s="4318">
        <v>0</v>
      </c>
      <c r="CE115" s="4337">
        <f t="shared" si="602"/>
        <v>36.049999999999997</v>
      </c>
      <c r="CF115" s="4337">
        <f t="shared" si="602"/>
        <v>36.049999999999997</v>
      </c>
      <c r="CG115" s="4337">
        <f t="shared" si="602"/>
        <v>0</v>
      </c>
      <c r="CH115" s="4337">
        <f t="shared" si="603"/>
        <v>7.426999999999996</v>
      </c>
      <c r="CI115" s="4337">
        <f t="shared" si="603"/>
        <v>7.426999999999996</v>
      </c>
      <c r="CJ115" s="4337">
        <f t="shared" si="603"/>
        <v>0</v>
      </c>
      <c r="CK115" s="2774"/>
      <c r="CL115" s="3575">
        <f t="shared" si="483"/>
        <v>28.623000000000001</v>
      </c>
      <c r="CM115" s="3575">
        <f t="shared" si="483"/>
        <v>28.623000000000001</v>
      </c>
      <c r="CN115" s="3575">
        <f t="shared" si="483"/>
        <v>0</v>
      </c>
    </row>
    <row r="116" spans="1:92" ht="18.75" customHeight="1" x14ac:dyDescent="0.3">
      <c r="A116" s="4342" t="s">
        <v>589</v>
      </c>
      <c r="B116" s="4317">
        <f t="shared" si="572"/>
        <v>5.4340000000000002</v>
      </c>
      <c r="C116" s="4317">
        <f t="shared" ref="C116:M116" si="627">SUM(C117)</f>
        <v>5.4340000000000002</v>
      </c>
      <c r="D116" s="4317">
        <f t="shared" si="627"/>
        <v>0</v>
      </c>
      <c r="E116" s="4316">
        <f t="shared" si="627"/>
        <v>14.083</v>
      </c>
      <c r="F116" s="4316">
        <f t="shared" si="627"/>
        <v>14.083</v>
      </c>
      <c r="G116" s="4316">
        <f t="shared" si="627"/>
        <v>0</v>
      </c>
      <c r="H116" s="4316">
        <f t="shared" si="627"/>
        <v>7.8010000000000002</v>
      </c>
      <c r="I116" s="4316">
        <f t="shared" si="627"/>
        <v>7.8010000000000002</v>
      </c>
      <c r="J116" s="4316">
        <f t="shared" si="627"/>
        <v>0</v>
      </c>
      <c r="K116" s="4316">
        <f t="shared" si="627"/>
        <v>4.6189999999999998</v>
      </c>
      <c r="L116" s="4316">
        <f t="shared" si="627"/>
        <v>4.6189999999999998</v>
      </c>
      <c r="M116" s="4316">
        <f t="shared" si="627"/>
        <v>0</v>
      </c>
      <c r="N116" s="4335">
        <f t="shared" si="577"/>
        <v>26.503</v>
      </c>
      <c r="O116" s="4335">
        <f t="shared" si="578"/>
        <v>26.503</v>
      </c>
      <c r="P116" s="4335">
        <f t="shared" si="578"/>
        <v>0</v>
      </c>
      <c r="Q116" s="4317">
        <f t="shared" si="579"/>
        <v>5.4340000000000002</v>
      </c>
      <c r="R116" s="4317">
        <f t="shared" ref="R116:S116" si="628">SUM(R117)</f>
        <v>5.4340000000000002</v>
      </c>
      <c r="S116" s="4317">
        <f t="shared" si="628"/>
        <v>0</v>
      </c>
      <c r="T116" s="4316">
        <f t="shared" ref="T116:AB116" si="629">SUM(T117)</f>
        <v>6.25</v>
      </c>
      <c r="U116" s="4316">
        <f t="shared" si="629"/>
        <v>6.25</v>
      </c>
      <c r="V116" s="4316">
        <f t="shared" si="629"/>
        <v>0</v>
      </c>
      <c r="W116" s="4316">
        <f t="shared" si="629"/>
        <v>7.1340000000000003</v>
      </c>
      <c r="X116" s="4316">
        <f t="shared" si="629"/>
        <v>7.1340000000000003</v>
      </c>
      <c r="Y116" s="4316">
        <f t="shared" si="629"/>
        <v>0</v>
      </c>
      <c r="Z116" s="4316">
        <f t="shared" si="629"/>
        <v>0</v>
      </c>
      <c r="AA116" s="4316">
        <f t="shared" si="629"/>
        <v>0</v>
      </c>
      <c r="AB116" s="4316">
        <f t="shared" si="629"/>
        <v>0</v>
      </c>
      <c r="AC116" s="4335">
        <f t="shared" si="582"/>
        <v>13.384</v>
      </c>
      <c r="AD116" s="4335">
        <f t="shared" si="583"/>
        <v>13.384</v>
      </c>
      <c r="AE116" s="4335">
        <f t="shared" si="583"/>
        <v>0</v>
      </c>
      <c r="AF116" s="4318">
        <f t="shared" si="584"/>
        <v>10.868</v>
      </c>
      <c r="AG116" s="4318">
        <f t="shared" si="585"/>
        <v>10.868</v>
      </c>
      <c r="AH116" s="4318">
        <f t="shared" si="585"/>
        <v>0</v>
      </c>
      <c r="AI116" s="4337">
        <f t="shared" si="586"/>
        <v>39.887</v>
      </c>
      <c r="AJ116" s="4337">
        <f t="shared" si="586"/>
        <v>39.887</v>
      </c>
      <c r="AK116" s="4337">
        <f t="shared" si="586"/>
        <v>0</v>
      </c>
      <c r="AL116" s="4337">
        <f t="shared" si="587"/>
        <v>29.018999999999998</v>
      </c>
      <c r="AM116" s="4337">
        <f t="shared" si="587"/>
        <v>29.018999999999998</v>
      </c>
      <c r="AN116" s="4337">
        <f t="shared" si="587"/>
        <v>0</v>
      </c>
      <c r="AO116" s="4317">
        <f t="shared" si="614"/>
        <v>5.4340000000000002</v>
      </c>
      <c r="AP116" s="4317">
        <f t="shared" ref="AP116:AZ116" si="630">SUM(AP117)</f>
        <v>5.4340000000000002</v>
      </c>
      <c r="AQ116" s="4317">
        <f t="shared" si="630"/>
        <v>0</v>
      </c>
      <c r="AR116" s="4316">
        <f t="shared" si="630"/>
        <v>4.5999999999999999E-2</v>
      </c>
      <c r="AS116" s="4316">
        <f t="shared" si="630"/>
        <v>4.5999999999999999E-2</v>
      </c>
      <c r="AT116" s="4316">
        <f t="shared" si="630"/>
        <v>0</v>
      </c>
      <c r="AU116" s="4316">
        <f t="shared" si="630"/>
        <v>0</v>
      </c>
      <c r="AV116" s="4316">
        <f>SUM(AV117)</f>
        <v>0</v>
      </c>
      <c r="AW116" s="4316">
        <f t="shared" si="630"/>
        <v>0</v>
      </c>
      <c r="AX116" s="4316">
        <f t="shared" si="630"/>
        <v>0</v>
      </c>
      <c r="AY116" s="4316">
        <f t="shared" si="630"/>
        <v>0</v>
      </c>
      <c r="AZ116" s="4316">
        <f t="shared" si="630"/>
        <v>0</v>
      </c>
      <c r="BA116" s="4335">
        <f t="shared" si="591"/>
        <v>4.5999999999999999E-2</v>
      </c>
      <c r="BB116" s="4335">
        <f t="shared" si="592"/>
        <v>4.5999999999999999E-2</v>
      </c>
      <c r="BC116" s="4335">
        <f t="shared" si="592"/>
        <v>0</v>
      </c>
      <c r="BD116" s="4318">
        <f t="shared" si="593"/>
        <v>16.302</v>
      </c>
      <c r="BE116" s="4318">
        <f t="shared" si="594"/>
        <v>16.302</v>
      </c>
      <c r="BF116" s="4318">
        <f t="shared" si="594"/>
        <v>0</v>
      </c>
      <c r="BG116" s="4337">
        <f t="shared" si="595"/>
        <v>39.933</v>
      </c>
      <c r="BH116" s="4337">
        <f t="shared" si="595"/>
        <v>39.933</v>
      </c>
      <c r="BI116" s="4337">
        <f t="shared" si="595"/>
        <v>0</v>
      </c>
      <c r="BJ116" s="4337">
        <f t="shared" si="596"/>
        <v>23.631</v>
      </c>
      <c r="BK116" s="4337">
        <f t="shared" si="596"/>
        <v>23.631</v>
      </c>
      <c r="BL116" s="4337">
        <f t="shared" si="596"/>
        <v>0</v>
      </c>
      <c r="BM116" s="4317">
        <f t="shared" si="620"/>
        <v>5.4340000000000002</v>
      </c>
      <c r="BN116" s="4317">
        <f t="shared" ref="BN116:BX116" si="631">SUM(BN117)</f>
        <v>5.4340000000000002</v>
      </c>
      <c r="BO116" s="4317">
        <f t="shared" si="631"/>
        <v>0</v>
      </c>
      <c r="BP116" s="4316">
        <f t="shared" si="631"/>
        <v>0</v>
      </c>
      <c r="BQ116" s="4316">
        <f t="shared" si="631"/>
        <v>0</v>
      </c>
      <c r="BR116" s="4316">
        <f t="shared" si="631"/>
        <v>0</v>
      </c>
      <c r="BS116" s="4316">
        <f t="shared" si="631"/>
        <v>0</v>
      </c>
      <c r="BT116" s="4316">
        <f t="shared" si="631"/>
        <v>0</v>
      </c>
      <c r="BU116" s="4316">
        <f t="shared" si="631"/>
        <v>0</v>
      </c>
      <c r="BV116" s="4316">
        <f t="shared" si="631"/>
        <v>0</v>
      </c>
      <c r="BW116" s="4316">
        <f t="shared" si="631"/>
        <v>0</v>
      </c>
      <c r="BX116" s="4316">
        <f t="shared" si="631"/>
        <v>0</v>
      </c>
      <c r="BY116" s="4335">
        <f t="shared" si="600"/>
        <v>0</v>
      </c>
      <c r="BZ116" s="4335">
        <f t="shared" si="601"/>
        <v>0</v>
      </c>
      <c r="CA116" s="4335">
        <f t="shared" si="601"/>
        <v>0</v>
      </c>
      <c r="CB116" s="4318">
        <f>SUM(CC116:CD116)</f>
        <v>21.736000000000001</v>
      </c>
      <c r="CC116" s="4318">
        <f>SUM(CC117)</f>
        <v>21.736000000000001</v>
      </c>
      <c r="CD116" s="4318">
        <f>SUM(CD117)</f>
        <v>0</v>
      </c>
      <c r="CE116" s="4337">
        <f t="shared" si="602"/>
        <v>39.933</v>
      </c>
      <c r="CF116" s="4337">
        <f t="shared" si="602"/>
        <v>39.933</v>
      </c>
      <c r="CG116" s="4337">
        <f t="shared" si="602"/>
        <v>0</v>
      </c>
      <c r="CH116" s="4337">
        <f t="shared" si="603"/>
        <v>18.196999999999999</v>
      </c>
      <c r="CI116" s="4337">
        <f t="shared" si="603"/>
        <v>18.196999999999999</v>
      </c>
      <c r="CJ116" s="4337">
        <f t="shared" si="603"/>
        <v>0</v>
      </c>
      <c r="CK116" s="2774"/>
      <c r="CL116" s="3575">
        <f t="shared" si="483"/>
        <v>21.736000000000001</v>
      </c>
      <c r="CM116" s="3575">
        <f t="shared" si="483"/>
        <v>21.736000000000001</v>
      </c>
      <c r="CN116" s="3575">
        <f t="shared" si="483"/>
        <v>0</v>
      </c>
    </row>
    <row r="117" spans="1:92" ht="18.75" customHeight="1" x14ac:dyDescent="0.3">
      <c r="A117" s="4343" t="s">
        <v>546</v>
      </c>
      <c r="B117" s="4324">
        <f t="shared" ref="B117" si="632">SUM(C117:D117)</f>
        <v>5.4340000000000002</v>
      </c>
      <c r="C117" s="4324">
        <f t="shared" ref="C117" si="633">SUM(CC117/4)</f>
        <v>5.4340000000000002</v>
      </c>
      <c r="D117" s="4324">
        <f t="shared" ref="D117" si="634">SUM(CD117/4)</f>
        <v>0</v>
      </c>
      <c r="E117" s="4344">
        <f t="shared" si="606"/>
        <v>14.083</v>
      </c>
      <c r="F117" s="4345">
        <v>14.083</v>
      </c>
      <c r="G117" s="4345"/>
      <c r="H117" s="4344">
        <f t="shared" ref="H117" si="635">SUM(I117:J117)</f>
        <v>7.8010000000000002</v>
      </c>
      <c r="I117" s="4345">
        <v>7.8010000000000002</v>
      </c>
      <c r="J117" s="4345"/>
      <c r="K117" s="4344">
        <f t="shared" ref="K117" si="636">SUM(L117:M117)</f>
        <v>4.6189999999999998</v>
      </c>
      <c r="L117" s="4345">
        <v>4.6189999999999998</v>
      </c>
      <c r="M117" s="4345"/>
      <c r="N117" s="4344">
        <f t="shared" si="577"/>
        <v>26.503</v>
      </c>
      <c r="O117" s="4344">
        <f t="shared" si="578"/>
        <v>26.503</v>
      </c>
      <c r="P117" s="4344">
        <f t="shared" si="578"/>
        <v>0</v>
      </c>
      <c r="Q117" s="4324">
        <f t="shared" si="579"/>
        <v>5.4340000000000002</v>
      </c>
      <c r="R117" s="4324">
        <f t="shared" ref="R117" si="637">SUM(C117)</f>
        <v>5.4340000000000002</v>
      </c>
      <c r="S117" s="4324">
        <f t="shared" ref="S117" si="638">SUM(D117)</f>
        <v>0</v>
      </c>
      <c r="T117" s="4344">
        <f t="shared" ref="T117" si="639">SUM(U117:V117)</f>
        <v>6.25</v>
      </c>
      <c r="U117" s="4345">
        <v>6.25</v>
      </c>
      <c r="V117" s="4345"/>
      <c r="W117" s="4344">
        <f t="shared" ref="W117" si="640">SUM(X117:Y117)</f>
        <v>7.1340000000000003</v>
      </c>
      <c r="X117" s="4345">
        <v>7.1340000000000003</v>
      </c>
      <c r="Y117" s="4345"/>
      <c r="Z117" s="4344">
        <f t="shared" ref="Z117" si="641">SUM(AA117:AB117)</f>
        <v>0</v>
      </c>
      <c r="AA117" s="4345"/>
      <c r="AB117" s="4345"/>
      <c r="AC117" s="4344">
        <f t="shared" si="582"/>
        <v>13.384</v>
      </c>
      <c r="AD117" s="4344">
        <f t="shared" si="583"/>
        <v>13.384</v>
      </c>
      <c r="AE117" s="4344">
        <f t="shared" si="583"/>
        <v>0</v>
      </c>
      <c r="AF117" s="4326">
        <f t="shared" si="584"/>
        <v>10.868</v>
      </c>
      <c r="AG117" s="4326">
        <f t="shared" si="585"/>
        <v>10.868</v>
      </c>
      <c r="AH117" s="4326">
        <f t="shared" si="585"/>
        <v>0</v>
      </c>
      <c r="AI117" s="4340">
        <f t="shared" si="586"/>
        <v>39.887</v>
      </c>
      <c r="AJ117" s="4340">
        <f t="shared" si="586"/>
        <v>39.887</v>
      </c>
      <c r="AK117" s="4340">
        <f t="shared" si="586"/>
        <v>0</v>
      </c>
      <c r="AL117" s="4340">
        <f t="shared" si="587"/>
        <v>29.018999999999998</v>
      </c>
      <c r="AM117" s="4340">
        <f t="shared" si="587"/>
        <v>29.018999999999998</v>
      </c>
      <c r="AN117" s="4340">
        <f t="shared" si="587"/>
        <v>0</v>
      </c>
      <c r="AO117" s="4324">
        <f t="shared" si="614"/>
        <v>5.4340000000000002</v>
      </c>
      <c r="AP117" s="4324">
        <f t="shared" ref="AP117:AQ117" si="642">SUM(CC117-AG117)/2</f>
        <v>5.4340000000000002</v>
      </c>
      <c r="AQ117" s="4324">
        <f t="shared" si="642"/>
        <v>0</v>
      </c>
      <c r="AR117" s="4344">
        <f t="shared" ref="AR117" si="643">SUM(AS117:AT117)</f>
        <v>4.5999999999999999E-2</v>
      </c>
      <c r="AS117" s="4345">
        <v>4.5999999999999999E-2</v>
      </c>
      <c r="AT117" s="4345"/>
      <c r="AU117" s="4344">
        <f t="shared" ref="AU117" si="644">SUM(AV117:AW117)</f>
        <v>0</v>
      </c>
      <c r="AV117" s="4345"/>
      <c r="AW117" s="4345"/>
      <c r="AX117" s="4344">
        <f t="shared" ref="AX117" si="645">SUM(AY117:AZ117)</f>
        <v>0</v>
      </c>
      <c r="AY117" s="4345"/>
      <c r="AZ117" s="4345"/>
      <c r="BA117" s="4344">
        <f t="shared" si="591"/>
        <v>4.5999999999999999E-2</v>
      </c>
      <c r="BB117" s="4344">
        <f t="shared" si="592"/>
        <v>4.5999999999999999E-2</v>
      </c>
      <c r="BC117" s="4344">
        <f t="shared" si="592"/>
        <v>0</v>
      </c>
      <c r="BD117" s="4326">
        <f t="shared" si="593"/>
        <v>16.302</v>
      </c>
      <c r="BE117" s="4326">
        <f t="shared" si="594"/>
        <v>16.302</v>
      </c>
      <c r="BF117" s="4326">
        <f t="shared" si="594"/>
        <v>0</v>
      </c>
      <c r="BG117" s="4340">
        <f t="shared" si="595"/>
        <v>39.933</v>
      </c>
      <c r="BH117" s="4340">
        <f t="shared" si="595"/>
        <v>39.933</v>
      </c>
      <c r="BI117" s="4340">
        <f t="shared" si="595"/>
        <v>0</v>
      </c>
      <c r="BJ117" s="4340">
        <f t="shared" si="596"/>
        <v>23.631</v>
      </c>
      <c r="BK117" s="4340">
        <f t="shared" si="596"/>
        <v>23.631</v>
      </c>
      <c r="BL117" s="4340">
        <f t="shared" si="596"/>
        <v>0</v>
      </c>
      <c r="BM117" s="4324">
        <f t="shared" si="620"/>
        <v>5.4340000000000002</v>
      </c>
      <c r="BN117" s="4324">
        <f t="shared" ref="BN117" si="646">SUM(AP117)</f>
        <v>5.4340000000000002</v>
      </c>
      <c r="BO117" s="4324">
        <f t="shared" ref="BO117" si="647">SUM(AQ117)</f>
        <v>0</v>
      </c>
      <c r="BP117" s="4344">
        <f t="shared" ref="BP117" si="648">SUM(BQ117:BR117)</f>
        <v>0</v>
      </c>
      <c r="BQ117" s="4345"/>
      <c r="BR117" s="4345"/>
      <c r="BS117" s="4344">
        <f t="shared" ref="BS117" si="649">SUM(BT117:BU117)</f>
        <v>0</v>
      </c>
      <c r="BT117" s="4345"/>
      <c r="BU117" s="4345"/>
      <c r="BV117" s="4344">
        <f t="shared" ref="BV117" si="650">SUM(BW117:BX117)</f>
        <v>0</v>
      </c>
      <c r="BW117" s="4345"/>
      <c r="BX117" s="4345"/>
      <c r="BY117" s="4344">
        <f t="shared" si="600"/>
        <v>0</v>
      </c>
      <c r="BZ117" s="4344">
        <f t="shared" si="601"/>
        <v>0</v>
      </c>
      <c r="CA117" s="4344">
        <f t="shared" si="601"/>
        <v>0</v>
      </c>
      <c r="CB117" s="4326">
        <f>SUM(CC117:CD117)</f>
        <v>21.736000000000001</v>
      </c>
      <c r="CC117" s="4326">
        <v>21.736000000000001</v>
      </c>
      <c r="CD117" s="4326">
        <v>0</v>
      </c>
      <c r="CE117" s="4340">
        <f t="shared" si="602"/>
        <v>39.933</v>
      </c>
      <c r="CF117" s="4340">
        <f t="shared" si="602"/>
        <v>39.933</v>
      </c>
      <c r="CG117" s="4340">
        <f t="shared" si="602"/>
        <v>0</v>
      </c>
      <c r="CH117" s="4340">
        <f t="shared" si="603"/>
        <v>18.196999999999999</v>
      </c>
      <c r="CI117" s="4340">
        <f t="shared" si="603"/>
        <v>18.196999999999999</v>
      </c>
      <c r="CJ117" s="4340">
        <f t="shared" si="603"/>
        <v>0</v>
      </c>
      <c r="CK117" s="2774"/>
      <c r="CL117" s="3575">
        <f t="shared" si="483"/>
        <v>21.736000000000001</v>
      </c>
      <c r="CM117" s="3575">
        <f t="shared" si="483"/>
        <v>21.736000000000001</v>
      </c>
      <c r="CN117" s="3575">
        <f t="shared" si="483"/>
        <v>0</v>
      </c>
    </row>
    <row r="118" spans="1:92" ht="18.75" customHeight="1" x14ac:dyDescent="0.3">
      <c r="A118" s="4342" t="s">
        <v>592</v>
      </c>
      <c r="B118" s="4317">
        <f t="shared" si="572"/>
        <v>19.077749999999998</v>
      </c>
      <c r="C118" s="4317">
        <f t="shared" ref="C118:M118" si="651">SUM(C119:C121)</f>
        <v>19.077749999999998</v>
      </c>
      <c r="D118" s="4317">
        <f t="shared" si="651"/>
        <v>0</v>
      </c>
      <c r="E118" s="4316">
        <f t="shared" si="651"/>
        <v>15.100000000000001</v>
      </c>
      <c r="F118" s="4316">
        <f>SUM(F119:F121)</f>
        <v>15.100000000000001</v>
      </c>
      <c r="G118" s="4316">
        <f t="shared" si="651"/>
        <v>0</v>
      </c>
      <c r="H118" s="4316">
        <f t="shared" si="651"/>
        <v>0</v>
      </c>
      <c r="I118" s="4316">
        <f t="shared" si="651"/>
        <v>0</v>
      </c>
      <c r="J118" s="4316">
        <f t="shared" si="651"/>
        <v>0</v>
      </c>
      <c r="K118" s="4316">
        <f t="shared" si="651"/>
        <v>14.5</v>
      </c>
      <c r="L118" s="4316">
        <f t="shared" si="651"/>
        <v>14.5</v>
      </c>
      <c r="M118" s="4316">
        <f t="shared" si="651"/>
        <v>0</v>
      </c>
      <c r="N118" s="4335">
        <f t="shared" si="577"/>
        <v>29.6</v>
      </c>
      <c r="O118" s="4335">
        <f t="shared" si="578"/>
        <v>29.6</v>
      </c>
      <c r="P118" s="4335">
        <f t="shared" si="578"/>
        <v>0</v>
      </c>
      <c r="Q118" s="4317">
        <f t="shared" ref="Q118:Q154" si="652">SUM(R118:S118)</f>
        <v>19.077749999999998</v>
      </c>
      <c r="R118" s="4317">
        <f t="shared" ref="R118:AB118" si="653">SUM(R119:R121)</f>
        <v>19.077749999999998</v>
      </c>
      <c r="S118" s="4317">
        <f t="shared" si="653"/>
        <v>0</v>
      </c>
      <c r="T118" s="4316">
        <f t="shared" si="653"/>
        <v>32.153999999999996</v>
      </c>
      <c r="U118" s="4316">
        <f t="shared" si="653"/>
        <v>32.153999999999996</v>
      </c>
      <c r="V118" s="4316">
        <f t="shared" si="653"/>
        <v>0</v>
      </c>
      <c r="W118" s="4316">
        <f t="shared" si="653"/>
        <v>39.11</v>
      </c>
      <c r="X118" s="4316">
        <f t="shared" si="653"/>
        <v>39.11</v>
      </c>
      <c r="Y118" s="4316">
        <f t="shared" si="653"/>
        <v>0</v>
      </c>
      <c r="Z118" s="4316">
        <f t="shared" si="653"/>
        <v>0</v>
      </c>
      <c r="AA118" s="4316">
        <f t="shared" si="653"/>
        <v>0</v>
      </c>
      <c r="AB118" s="4316">
        <f t="shared" si="653"/>
        <v>0</v>
      </c>
      <c r="AC118" s="4335">
        <f t="shared" si="582"/>
        <v>71.263999999999996</v>
      </c>
      <c r="AD118" s="4335">
        <f t="shared" si="583"/>
        <v>71.263999999999996</v>
      </c>
      <c r="AE118" s="4335">
        <f t="shared" si="583"/>
        <v>0</v>
      </c>
      <c r="AF118" s="4318">
        <f t="shared" si="584"/>
        <v>38.155499999999996</v>
      </c>
      <c r="AG118" s="4318">
        <f t="shared" si="585"/>
        <v>38.155499999999996</v>
      </c>
      <c r="AH118" s="4318">
        <f t="shared" si="585"/>
        <v>0</v>
      </c>
      <c r="AI118" s="4337">
        <f t="shared" si="586"/>
        <v>100.864</v>
      </c>
      <c r="AJ118" s="4337">
        <f t="shared" si="586"/>
        <v>100.864</v>
      </c>
      <c r="AK118" s="4337">
        <f t="shared" si="586"/>
        <v>0</v>
      </c>
      <c r="AL118" s="4337">
        <f t="shared" si="587"/>
        <v>62.708500000000008</v>
      </c>
      <c r="AM118" s="4337">
        <f t="shared" si="587"/>
        <v>62.708500000000008</v>
      </c>
      <c r="AN118" s="4337">
        <f t="shared" si="587"/>
        <v>0</v>
      </c>
      <c r="AO118" s="4317">
        <f t="shared" si="614"/>
        <v>19.077749999999998</v>
      </c>
      <c r="AP118" s="4317">
        <f t="shared" ref="AP118:AZ118" si="654">SUM(AP119:AP121)</f>
        <v>19.077749999999998</v>
      </c>
      <c r="AQ118" s="4317">
        <f t="shared" si="654"/>
        <v>0</v>
      </c>
      <c r="AR118" s="4316">
        <f t="shared" si="654"/>
        <v>79.484999999999999</v>
      </c>
      <c r="AS118" s="4316">
        <f t="shared" si="654"/>
        <v>79.484999999999999</v>
      </c>
      <c r="AT118" s="4316">
        <f t="shared" si="654"/>
        <v>0</v>
      </c>
      <c r="AU118" s="4316">
        <f t="shared" si="654"/>
        <v>0</v>
      </c>
      <c r="AV118" s="4316">
        <f t="shared" si="654"/>
        <v>0</v>
      </c>
      <c r="AW118" s="4316">
        <f t="shared" si="654"/>
        <v>0</v>
      </c>
      <c r="AX118" s="4316">
        <f t="shared" si="654"/>
        <v>0</v>
      </c>
      <c r="AY118" s="4316">
        <f t="shared" si="654"/>
        <v>0</v>
      </c>
      <c r="AZ118" s="4316">
        <f t="shared" si="654"/>
        <v>0</v>
      </c>
      <c r="BA118" s="4335">
        <f t="shared" si="591"/>
        <v>79.484999999999999</v>
      </c>
      <c r="BB118" s="4335">
        <f t="shared" si="592"/>
        <v>79.484999999999999</v>
      </c>
      <c r="BC118" s="4335">
        <f t="shared" si="592"/>
        <v>0</v>
      </c>
      <c r="BD118" s="4318">
        <f t="shared" si="593"/>
        <v>57.233249999999998</v>
      </c>
      <c r="BE118" s="4318">
        <f t="shared" si="594"/>
        <v>57.233249999999998</v>
      </c>
      <c r="BF118" s="4318">
        <f t="shared" si="594"/>
        <v>0</v>
      </c>
      <c r="BG118" s="4337">
        <f t="shared" si="595"/>
        <v>180.34899999999999</v>
      </c>
      <c r="BH118" s="4337">
        <f t="shared" si="595"/>
        <v>180.34899999999999</v>
      </c>
      <c r="BI118" s="4337">
        <f t="shared" si="595"/>
        <v>0</v>
      </c>
      <c r="BJ118" s="4337">
        <f t="shared" si="596"/>
        <v>123.11574999999999</v>
      </c>
      <c r="BK118" s="4337">
        <f t="shared" si="596"/>
        <v>123.11574999999999</v>
      </c>
      <c r="BL118" s="4337">
        <f t="shared" si="596"/>
        <v>0</v>
      </c>
      <c r="BM118" s="4317">
        <f t="shared" si="620"/>
        <v>19.077749999999998</v>
      </c>
      <c r="BN118" s="4317">
        <f t="shared" ref="BN118:BX118" si="655">SUM(BN119:BN121)</f>
        <v>19.077749999999998</v>
      </c>
      <c r="BO118" s="4317">
        <f t="shared" si="655"/>
        <v>0</v>
      </c>
      <c r="BP118" s="4316">
        <f t="shared" si="655"/>
        <v>0</v>
      </c>
      <c r="BQ118" s="4316">
        <f t="shared" si="655"/>
        <v>0</v>
      </c>
      <c r="BR118" s="4316">
        <f t="shared" si="655"/>
        <v>0</v>
      </c>
      <c r="BS118" s="4316">
        <f t="shared" si="655"/>
        <v>0</v>
      </c>
      <c r="BT118" s="4316">
        <f t="shared" si="655"/>
        <v>0</v>
      </c>
      <c r="BU118" s="4316">
        <f t="shared" si="655"/>
        <v>0</v>
      </c>
      <c r="BV118" s="4316">
        <f t="shared" si="655"/>
        <v>0</v>
      </c>
      <c r="BW118" s="4316">
        <f t="shared" si="655"/>
        <v>0</v>
      </c>
      <c r="BX118" s="4316">
        <f t="shared" si="655"/>
        <v>0</v>
      </c>
      <c r="BY118" s="4335">
        <f t="shared" si="600"/>
        <v>0</v>
      </c>
      <c r="BZ118" s="4335">
        <f t="shared" si="601"/>
        <v>0</v>
      </c>
      <c r="CA118" s="4335">
        <f t="shared" si="601"/>
        <v>0</v>
      </c>
      <c r="CB118" s="4318">
        <f>SUM(CC118:CD118)</f>
        <v>76.310999999999993</v>
      </c>
      <c r="CC118" s="4318">
        <f>SUM(CC119:CC121)</f>
        <v>76.310999999999993</v>
      </c>
      <c r="CD118" s="4318">
        <f>SUM(CD119:CD121)</f>
        <v>0</v>
      </c>
      <c r="CE118" s="4337">
        <f t="shared" si="602"/>
        <v>180.34899999999999</v>
      </c>
      <c r="CF118" s="4337">
        <f t="shared" si="602"/>
        <v>180.34899999999999</v>
      </c>
      <c r="CG118" s="4337">
        <f t="shared" si="602"/>
        <v>0</v>
      </c>
      <c r="CH118" s="4337">
        <f t="shared" si="603"/>
        <v>104.038</v>
      </c>
      <c r="CI118" s="4337">
        <f t="shared" si="603"/>
        <v>104.038</v>
      </c>
      <c r="CJ118" s="4337">
        <f t="shared" si="603"/>
        <v>0</v>
      </c>
      <c r="CK118" s="2774"/>
      <c r="CL118" s="3575">
        <f t="shared" si="483"/>
        <v>76.310999999999993</v>
      </c>
      <c r="CM118" s="3575">
        <f t="shared" si="483"/>
        <v>76.310999999999993</v>
      </c>
      <c r="CN118" s="3575">
        <f t="shared" si="483"/>
        <v>0</v>
      </c>
    </row>
    <row r="119" spans="1:92" ht="18.75" customHeight="1" x14ac:dyDescent="0.3">
      <c r="A119" s="4343" t="s">
        <v>532</v>
      </c>
      <c r="B119" s="4324">
        <f t="shared" si="572"/>
        <v>13.540749999999999</v>
      </c>
      <c r="C119" s="4324">
        <f t="shared" ref="C119:C121" si="656">SUM(CC119/4)</f>
        <v>13.540749999999999</v>
      </c>
      <c r="D119" s="4324">
        <f t="shared" ref="D119:D121" si="657">SUM(CD119/4)</f>
        <v>0</v>
      </c>
      <c r="E119" s="4344">
        <f t="shared" si="606"/>
        <v>0</v>
      </c>
      <c r="F119" s="4345"/>
      <c r="G119" s="4345"/>
      <c r="H119" s="4344">
        <f t="shared" ref="H119:H127" si="658">SUM(I119:J119)</f>
        <v>0</v>
      </c>
      <c r="I119" s="4345"/>
      <c r="J119" s="4345"/>
      <c r="K119" s="4344">
        <f t="shared" ref="K119:K127" si="659">SUM(L119:M119)</f>
        <v>0</v>
      </c>
      <c r="L119" s="4345"/>
      <c r="M119" s="4345"/>
      <c r="N119" s="4344">
        <f t="shared" si="577"/>
        <v>0</v>
      </c>
      <c r="O119" s="4344">
        <f t="shared" si="578"/>
        <v>0</v>
      </c>
      <c r="P119" s="4344">
        <f t="shared" si="578"/>
        <v>0</v>
      </c>
      <c r="Q119" s="4324">
        <f t="shared" si="652"/>
        <v>13.540749999999999</v>
      </c>
      <c r="R119" s="4324">
        <f t="shared" ref="R119:R121" si="660">SUM(C119)</f>
        <v>13.540749999999999</v>
      </c>
      <c r="S119" s="4324">
        <f t="shared" ref="S119:S121" si="661">SUM(D119)</f>
        <v>0</v>
      </c>
      <c r="T119" s="4344">
        <f t="shared" ref="T119:T127" si="662">SUM(U119:V119)</f>
        <v>0</v>
      </c>
      <c r="U119" s="4345"/>
      <c r="V119" s="4345"/>
      <c r="W119" s="4344">
        <f t="shared" ref="W119:W127" si="663">SUM(X119:Y119)</f>
        <v>0</v>
      </c>
      <c r="X119" s="4345"/>
      <c r="Y119" s="4345"/>
      <c r="Z119" s="4344">
        <f t="shared" ref="Z119:Z127" si="664">SUM(AA119:AB119)</f>
        <v>0</v>
      </c>
      <c r="AA119" s="4345"/>
      <c r="AB119" s="4345"/>
      <c r="AC119" s="4344">
        <f t="shared" si="582"/>
        <v>0</v>
      </c>
      <c r="AD119" s="4344">
        <f t="shared" si="583"/>
        <v>0</v>
      </c>
      <c r="AE119" s="4344">
        <f t="shared" si="583"/>
        <v>0</v>
      </c>
      <c r="AF119" s="4326">
        <f t="shared" si="584"/>
        <v>27.081499999999998</v>
      </c>
      <c r="AG119" s="4326">
        <f t="shared" si="585"/>
        <v>27.081499999999998</v>
      </c>
      <c r="AH119" s="4326">
        <f t="shared" si="585"/>
        <v>0</v>
      </c>
      <c r="AI119" s="4340">
        <f t="shared" si="586"/>
        <v>0</v>
      </c>
      <c r="AJ119" s="4340">
        <f t="shared" si="586"/>
        <v>0</v>
      </c>
      <c r="AK119" s="4340">
        <f t="shared" si="586"/>
        <v>0</v>
      </c>
      <c r="AL119" s="4340">
        <f t="shared" si="587"/>
        <v>-27.081499999999998</v>
      </c>
      <c r="AM119" s="4340">
        <f t="shared" si="587"/>
        <v>-27.081499999999998</v>
      </c>
      <c r="AN119" s="4340">
        <f t="shared" si="587"/>
        <v>0</v>
      </c>
      <c r="AO119" s="4324">
        <f t="shared" ref="AO119:AO122" si="665">SUM(AP119:AQ119)</f>
        <v>13.540749999999999</v>
      </c>
      <c r="AP119" s="4324">
        <f t="shared" ref="AP119:AQ121" si="666">SUM(CC119-AG119)/2</f>
        <v>13.540749999999999</v>
      </c>
      <c r="AQ119" s="4324">
        <f t="shared" si="666"/>
        <v>0</v>
      </c>
      <c r="AR119" s="4344">
        <f t="shared" ref="AR119:AR127" si="667">SUM(AS119:AT119)</f>
        <v>50.353999999999999</v>
      </c>
      <c r="AS119" s="4345">
        <v>50.353999999999999</v>
      </c>
      <c r="AT119" s="4345"/>
      <c r="AU119" s="4344">
        <f t="shared" ref="AU119:AU127" si="668">SUM(AV119:AW119)</f>
        <v>0</v>
      </c>
      <c r="AV119" s="4345"/>
      <c r="AW119" s="4345"/>
      <c r="AX119" s="4344">
        <f t="shared" ref="AX119:AX127" si="669">SUM(AY119:AZ119)</f>
        <v>0</v>
      </c>
      <c r="AY119" s="4345"/>
      <c r="AZ119" s="4345"/>
      <c r="BA119" s="4344">
        <f t="shared" si="591"/>
        <v>50.353999999999999</v>
      </c>
      <c r="BB119" s="4344">
        <f t="shared" si="592"/>
        <v>50.353999999999999</v>
      </c>
      <c r="BC119" s="4344">
        <f t="shared" si="592"/>
        <v>0</v>
      </c>
      <c r="BD119" s="4326">
        <f t="shared" si="593"/>
        <v>40.622249999999994</v>
      </c>
      <c r="BE119" s="4326">
        <f t="shared" si="594"/>
        <v>40.622249999999994</v>
      </c>
      <c r="BF119" s="4326">
        <f t="shared" si="594"/>
        <v>0</v>
      </c>
      <c r="BG119" s="4340">
        <f t="shared" si="595"/>
        <v>50.353999999999999</v>
      </c>
      <c r="BH119" s="4340">
        <f t="shared" si="595"/>
        <v>50.353999999999999</v>
      </c>
      <c r="BI119" s="4340">
        <f t="shared" si="595"/>
        <v>0</v>
      </c>
      <c r="BJ119" s="4340">
        <f t="shared" si="596"/>
        <v>9.7317500000000052</v>
      </c>
      <c r="BK119" s="4340">
        <f t="shared" si="596"/>
        <v>9.7317500000000052</v>
      </c>
      <c r="BL119" s="4340">
        <f t="shared" si="596"/>
        <v>0</v>
      </c>
      <c r="BM119" s="4324">
        <f t="shared" si="620"/>
        <v>13.540749999999999</v>
      </c>
      <c r="BN119" s="4324">
        <f t="shared" ref="BN119:BN121" si="670">SUM(AP119)</f>
        <v>13.540749999999999</v>
      </c>
      <c r="BO119" s="4324">
        <f t="shared" ref="BO119:BO121" si="671">SUM(AQ119)</f>
        <v>0</v>
      </c>
      <c r="BP119" s="4344">
        <f t="shared" ref="BP119:BP127" si="672">SUM(BQ119:BR119)</f>
        <v>0</v>
      </c>
      <c r="BQ119" s="4345"/>
      <c r="BR119" s="4345"/>
      <c r="BS119" s="4344">
        <f t="shared" ref="BS119:BS127" si="673">SUM(BT119:BU119)</f>
        <v>0</v>
      </c>
      <c r="BT119" s="4345"/>
      <c r="BU119" s="4345"/>
      <c r="BV119" s="4344">
        <f t="shared" ref="BV119:BV127" si="674">SUM(BW119:BX119)</f>
        <v>0</v>
      </c>
      <c r="BW119" s="4345"/>
      <c r="BX119" s="4345"/>
      <c r="BY119" s="4344">
        <f t="shared" si="600"/>
        <v>0</v>
      </c>
      <c r="BZ119" s="4344">
        <f t="shared" si="601"/>
        <v>0</v>
      </c>
      <c r="CA119" s="4344">
        <f t="shared" si="601"/>
        <v>0</v>
      </c>
      <c r="CB119" s="4326">
        <f t="shared" ref="CB119:CB121" si="675">SUM(CC119:CD119)</f>
        <v>54.162999999999997</v>
      </c>
      <c r="CC119" s="4326">
        <v>54.162999999999997</v>
      </c>
      <c r="CD119" s="4326">
        <v>0</v>
      </c>
      <c r="CE119" s="4340">
        <f t="shared" si="602"/>
        <v>50.353999999999999</v>
      </c>
      <c r="CF119" s="4340">
        <f t="shared" si="602"/>
        <v>50.353999999999999</v>
      </c>
      <c r="CG119" s="4340">
        <f t="shared" si="602"/>
        <v>0</v>
      </c>
      <c r="CH119" s="4340">
        <f t="shared" si="603"/>
        <v>-3.8089999999999975</v>
      </c>
      <c r="CI119" s="4340">
        <f t="shared" si="603"/>
        <v>-3.8089999999999975</v>
      </c>
      <c r="CJ119" s="4340">
        <f t="shared" si="603"/>
        <v>0</v>
      </c>
      <c r="CK119" s="2774"/>
      <c r="CL119" s="3575">
        <f t="shared" si="483"/>
        <v>54.162999999999997</v>
      </c>
      <c r="CM119" s="3575">
        <f t="shared" si="483"/>
        <v>54.162999999999997</v>
      </c>
      <c r="CN119" s="3575">
        <f t="shared" si="483"/>
        <v>0</v>
      </c>
    </row>
    <row r="120" spans="1:92" ht="18.75" customHeight="1" x14ac:dyDescent="0.3">
      <c r="A120" s="4343" t="s">
        <v>541</v>
      </c>
      <c r="B120" s="4324">
        <f t="shared" si="572"/>
        <v>5.5369999999999999</v>
      </c>
      <c r="C120" s="4324">
        <f t="shared" si="656"/>
        <v>5.5369999999999999</v>
      </c>
      <c r="D120" s="4324">
        <f t="shared" si="657"/>
        <v>0</v>
      </c>
      <c r="E120" s="4344">
        <f t="shared" si="606"/>
        <v>15.100000000000001</v>
      </c>
      <c r="F120" s="4345">
        <f>0.8+11.5+2.8</f>
        <v>15.100000000000001</v>
      </c>
      <c r="G120" s="4345"/>
      <c r="H120" s="4344">
        <f t="shared" si="658"/>
        <v>0</v>
      </c>
      <c r="I120" s="4345"/>
      <c r="J120" s="4345"/>
      <c r="K120" s="4344">
        <f t="shared" si="659"/>
        <v>14.5</v>
      </c>
      <c r="L120" s="4345">
        <f>0.4+2.8+11.3</f>
        <v>14.5</v>
      </c>
      <c r="M120" s="4345"/>
      <c r="N120" s="4344">
        <f t="shared" si="577"/>
        <v>29.6</v>
      </c>
      <c r="O120" s="4344">
        <f t="shared" si="578"/>
        <v>29.6</v>
      </c>
      <c r="P120" s="4344">
        <f t="shared" si="578"/>
        <v>0</v>
      </c>
      <c r="Q120" s="4324">
        <f t="shared" si="652"/>
        <v>5.5369999999999999</v>
      </c>
      <c r="R120" s="4324">
        <f t="shared" si="660"/>
        <v>5.5369999999999999</v>
      </c>
      <c r="S120" s="4324">
        <f t="shared" si="661"/>
        <v>0</v>
      </c>
      <c r="T120" s="4344">
        <f t="shared" si="662"/>
        <v>32.153999999999996</v>
      </c>
      <c r="U120" s="4345">
        <f>8.173+4.2+5.441+10.84+3.5</f>
        <v>32.153999999999996</v>
      </c>
      <c r="V120" s="4345"/>
      <c r="W120" s="4344">
        <f t="shared" si="663"/>
        <v>39.11</v>
      </c>
      <c r="X120" s="4345">
        <f>2.2+29.21+7.7</f>
        <v>39.11</v>
      </c>
      <c r="Y120" s="4345"/>
      <c r="Z120" s="4344">
        <f t="shared" si="664"/>
        <v>0</v>
      </c>
      <c r="AA120" s="4345"/>
      <c r="AB120" s="4345"/>
      <c r="AC120" s="4344">
        <f t="shared" si="582"/>
        <v>71.263999999999996</v>
      </c>
      <c r="AD120" s="4344">
        <f t="shared" si="583"/>
        <v>71.263999999999996</v>
      </c>
      <c r="AE120" s="4344">
        <f t="shared" si="583"/>
        <v>0</v>
      </c>
      <c r="AF120" s="4326">
        <f t="shared" si="584"/>
        <v>11.074</v>
      </c>
      <c r="AG120" s="4326">
        <f t="shared" si="585"/>
        <v>11.074</v>
      </c>
      <c r="AH120" s="4326">
        <f t="shared" si="585"/>
        <v>0</v>
      </c>
      <c r="AI120" s="4340">
        <f t="shared" si="586"/>
        <v>100.864</v>
      </c>
      <c r="AJ120" s="4340">
        <f t="shared" si="586"/>
        <v>100.864</v>
      </c>
      <c r="AK120" s="4340">
        <f t="shared" si="586"/>
        <v>0</v>
      </c>
      <c r="AL120" s="4340">
        <f t="shared" si="587"/>
        <v>89.79</v>
      </c>
      <c r="AM120" s="4340">
        <f t="shared" si="587"/>
        <v>89.79</v>
      </c>
      <c r="AN120" s="4340">
        <f t="shared" si="587"/>
        <v>0</v>
      </c>
      <c r="AO120" s="4324">
        <f t="shared" si="665"/>
        <v>5.5369999999999999</v>
      </c>
      <c r="AP120" s="4324">
        <f t="shared" si="666"/>
        <v>5.5369999999999999</v>
      </c>
      <c r="AQ120" s="4324">
        <f t="shared" si="666"/>
        <v>0</v>
      </c>
      <c r="AR120" s="4344">
        <f t="shared" si="667"/>
        <v>29.131</v>
      </c>
      <c r="AS120" s="4345">
        <f>13.431+12.9+2.8</f>
        <v>29.131</v>
      </c>
      <c r="AT120" s="4345"/>
      <c r="AU120" s="4344">
        <f t="shared" si="668"/>
        <v>0</v>
      </c>
      <c r="AV120" s="4345"/>
      <c r="AW120" s="4345"/>
      <c r="AX120" s="4344">
        <f t="shared" si="669"/>
        <v>0</v>
      </c>
      <c r="AY120" s="4345"/>
      <c r="AZ120" s="4345"/>
      <c r="BA120" s="4344">
        <f t="shared" si="591"/>
        <v>29.131</v>
      </c>
      <c r="BB120" s="4344">
        <f t="shared" si="592"/>
        <v>29.131</v>
      </c>
      <c r="BC120" s="4344">
        <f t="shared" si="592"/>
        <v>0</v>
      </c>
      <c r="BD120" s="4326">
        <f t="shared" si="593"/>
        <v>16.611000000000001</v>
      </c>
      <c r="BE120" s="4326">
        <f t="shared" si="594"/>
        <v>16.611000000000001</v>
      </c>
      <c r="BF120" s="4326">
        <f t="shared" si="594"/>
        <v>0</v>
      </c>
      <c r="BG120" s="4340">
        <f t="shared" si="595"/>
        <v>129.995</v>
      </c>
      <c r="BH120" s="4340">
        <f t="shared" si="595"/>
        <v>129.995</v>
      </c>
      <c r="BI120" s="4340">
        <f t="shared" si="595"/>
        <v>0</v>
      </c>
      <c r="BJ120" s="4340">
        <f t="shared" si="596"/>
        <v>113.384</v>
      </c>
      <c r="BK120" s="4340">
        <f t="shared" si="596"/>
        <v>113.384</v>
      </c>
      <c r="BL120" s="4340">
        <f t="shared" si="596"/>
        <v>0</v>
      </c>
      <c r="BM120" s="4324">
        <f t="shared" si="620"/>
        <v>5.5369999999999999</v>
      </c>
      <c r="BN120" s="4324">
        <f t="shared" si="670"/>
        <v>5.5369999999999999</v>
      </c>
      <c r="BO120" s="4324">
        <f t="shared" si="671"/>
        <v>0</v>
      </c>
      <c r="BP120" s="4344">
        <f t="shared" si="672"/>
        <v>0</v>
      </c>
      <c r="BQ120" s="4345"/>
      <c r="BR120" s="4345"/>
      <c r="BS120" s="4344">
        <f t="shared" si="673"/>
        <v>0</v>
      </c>
      <c r="BT120" s="4345"/>
      <c r="BU120" s="4345"/>
      <c r="BV120" s="4344">
        <f t="shared" si="674"/>
        <v>0</v>
      </c>
      <c r="BW120" s="4345"/>
      <c r="BX120" s="4345"/>
      <c r="BY120" s="4344">
        <f t="shared" si="600"/>
        <v>0</v>
      </c>
      <c r="BZ120" s="4344">
        <f t="shared" si="601"/>
        <v>0</v>
      </c>
      <c r="CA120" s="4344">
        <f t="shared" si="601"/>
        <v>0</v>
      </c>
      <c r="CB120" s="4326">
        <f t="shared" si="675"/>
        <v>22.148</v>
      </c>
      <c r="CC120" s="4326">
        <v>22.148</v>
      </c>
      <c r="CD120" s="4326">
        <v>0</v>
      </c>
      <c r="CE120" s="4340">
        <f t="shared" si="602"/>
        <v>129.995</v>
      </c>
      <c r="CF120" s="4340">
        <f t="shared" si="602"/>
        <v>129.995</v>
      </c>
      <c r="CG120" s="4340">
        <f t="shared" si="602"/>
        <v>0</v>
      </c>
      <c r="CH120" s="4340">
        <f t="shared" si="603"/>
        <v>107.84700000000001</v>
      </c>
      <c r="CI120" s="4340">
        <f t="shared" si="603"/>
        <v>107.84700000000001</v>
      </c>
      <c r="CJ120" s="4340">
        <f t="shared" si="603"/>
        <v>0</v>
      </c>
      <c r="CK120" s="2774"/>
      <c r="CL120" s="3575">
        <f t="shared" si="483"/>
        <v>22.148</v>
      </c>
      <c r="CM120" s="3575">
        <f t="shared" si="483"/>
        <v>22.148</v>
      </c>
      <c r="CN120" s="3575">
        <f t="shared" si="483"/>
        <v>0</v>
      </c>
    </row>
    <row r="121" spans="1:92" ht="18.75" customHeight="1" x14ac:dyDescent="0.3">
      <c r="A121" s="4343" t="s">
        <v>596</v>
      </c>
      <c r="B121" s="4324">
        <f t="shared" si="572"/>
        <v>0</v>
      </c>
      <c r="C121" s="4324">
        <f t="shared" si="656"/>
        <v>0</v>
      </c>
      <c r="D121" s="4324">
        <f t="shared" si="657"/>
        <v>0</v>
      </c>
      <c r="E121" s="4344">
        <f t="shared" si="606"/>
        <v>0</v>
      </c>
      <c r="F121" s="4345"/>
      <c r="G121" s="4345"/>
      <c r="H121" s="4344">
        <f t="shared" si="658"/>
        <v>0</v>
      </c>
      <c r="I121" s="4345"/>
      <c r="J121" s="4345"/>
      <c r="K121" s="4344">
        <f t="shared" si="659"/>
        <v>0</v>
      </c>
      <c r="L121" s="4345"/>
      <c r="M121" s="4345"/>
      <c r="N121" s="4344">
        <f t="shared" si="577"/>
        <v>0</v>
      </c>
      <c r="O121" s="4344">
        <f t="shared" si="578"/>
        <v>0</v>
      </c>
      <c r="P121" s="4344">
        <f t="shared" si="578"/>
        <v>0</v>
      </c>
      <c r="Q121" s="4324">
        <f t="shared" si="652"/>
        <v>0</v>
      </c>
      <c r="R121" s="4324">
        <f t="shared" si="660"/>
        <v>0</v>
      </c>
      <c r="S121" s="4324">
        <f t="shared" si="661"/>
        <v>0</v>
      </c>
      <c r="T121" s="4344">
        <f t="shared" si="662"/>
        <v>0</v>
      </c>
      <c r="U121" s="4345"/>
      <c r="V121" s="4345"/>
      <c r="W121" s="4344">
        <f t="shared" si="663"/>
        <v>0</v>
      </c>
      <c r="X121" s="4345"/>
      <c r="Y121" s="4345"/>
      <c r="Z121" s="4344">
        <f t="shared" si="664"/>
        <v>0</v>
      </c>
      <c r="AA121" s="4345"/>
      <c r="AB121" s="4345"/>
      <c r="AC121" s="4344">
        <f t="shared" si="582"/>
        <v>0</v>
      </c>
      <c r="AD121" s="4344">
        <f t="shared" si="583"/>
        <v>0</v>
      </c>
      <c r="AE121" s="4344">
        <f t="shared" si="583"/>
        <v>0</v>
      </c>
      <c r="AF121" s="4326">
        <f t="shared" si="584"/>
        <v>0</v>
      </c>
      <c r="AG121" s="4326">
        <f t="shared" si="585"/>
        <v>0</v>
      </c>
      <c r="AH121" s="4326">
        <f t="shared" si="585"/>
        <v>0</v>
      </c>
      <c r="AI121" s="4340">
        <f t="shared" si="586"/>
        <v>0</v>
      </c>
      <c r="AJ121" s="4340">
        <f t="shared" si="586"/>
        <v>0</v>
      </c>
      <c r="AK121" s="4340">
        <f t="shared" si="586"/>
        <v>0</v>
      </c>
      <c r="AL121" s="4340">
        <f t="shared" si="587"/>
        <v>0</v>
      </c>
      <c r="AM121" s="4340">
        <f t="shared" si="587"/>
        <v>0</v>
      </c>
      <c r="AN121" s="4340">
        <f t="shared" si="587"/>
        <v>0</v>
      </c>
      <c r="AO121" s="4324">
        <f t="shared" si="665"/>
        <v>0</v>
      </c>
      <c r="AP121" s="4324">
        <f t="shared" si="666"/>
        <v>0</v>
      </c>
      <c r="AQ121" s="4324">
        <f t="shared" si="666"/>
        <v>0</v>
      </c>
      <c r="AR121" s="4344">
        <f t="shared" si="667"/>
        <v>0</v>
      </c>
      <c r="AS121" s="4345"/>
      <c r="AT121" s="4345"/>
      <c r="AU121" s="4344">
        <f t="shared" si="668"/>
        <v>0</v>
      </c>
      <c r="AV121" s="4345"/>
      <c r="AW121" s="4345"/>
      <c r="AX121" s="4344">
        <f t="shared" si="669"/>
        <v>0</v>
      </c>
      <c r="AY121" s="4345"/>
      <c r="AZ121" s="4345"/>
      <c r="BA121" s="4344">
        <f t="shared" si="591"/>
        <v>0</v>
      </c>
      <c r="BB121" s="4344">
        <f t="shared" si="592"/>
        <v>0</v>
      </c>
      <c r="BC121" s="4344">
        <f t="shared" si="592"/>
        <v>0</v>
      </c>
      <c r="BD121" s="4326">
        <f t="shared" si="593"/>
        <v>0</v>
      </c>
      <c r="BE121" s="4326">
        <f t="shared" si="594"/>
        <v>0</v>
      </c>
      <c r="BF121" s="4326">
        <f t="shared" si="594"/>
        <v>0</v>
      </c>
      <c r="BG121" s="4340">
        <f t="shared" si="595"/>
        <v>0</v>
      </c>
      <c r="BH121" s="4340">
        <f t="shared" si="595"/>
        <v>0</v>
      </c>
      <c r="BI121" s="4340">
        <f t="shared" si="595"/>
        <v>0</v>
      </c>
      <c r="BJ121" s="4340">
        <f t="shared" si="596"/>
        <v>0</v>
      </c>
      <c r="BK121" s="4340">
        <f t="shared" si="596"/>
        <v>0</v>
      </c>
      <c r="BL121" s="4340">
        <f t="shared" si="596"/>
        <v>0</v>
      </c>
      <c r="BM121" s="4324">
        <f t="shared" si="620"/>
        <v>0</v>
      </c>
      <c r="BN121" s="4324">
        <f t="shared" si="670"/>
        <v>0</v>
      </c>
      <c r="BO121" s="4324">
        <f t="shared" si="671"/>
        <v>0</v>
      </c>
      <c r="BP121" s="4344">
        <f t="shared" si="672"/>
        <v>0</v>
      </c>
      <c r="BQ121" s="4345"/>
      <c r="BR121" s="4345"/>
      <c r="BS121" s="4344">
        <f t="shared" si="673"/>
        <v>0</v>
      </c>
      <c r="BT121" s="4345"/>
      <c r="BU121" s="4345"/>
      <c r="BV121" s="4344">
        <f t="shared" si="674"/>
        <v>0</v>
      </c>
      <c r="BW121" s="4345"/>
      <c r="BX121" s="4345"/>
      <c r="BY121" s="4344">
        <f t="shared" si="600"/>
        <v>0</v>
      </c>
      <c r="BZ121" s="4344">
        <f t="shared" si="601"/>
        <v>0</v>
      </c>
      <c r="CA121" s="4344">
        <f t="shared" si="601"/>
        <v>0</v>
      </c>
      <c r="CB121" s="4326">
        <f t="shared" si="675"/>
        <v>0</v>
      </c>
      <c r="CC121" s="4326">
        <f>0*0.9305448</f>
        <v>0</v>
      </c>
      <c r="CD121" s="4326">
        <v>0</v>
      </c>
      <c r="CE121" s="4340">
        <f t="shared" si="602"/>
        <v>0</v>
      </c>
      <c r="CF121" s="4340">
        <f t="shared" si="602"/>
        <v>0</v>
      </c>
      <c r="CG121" s="4340">
        <f t="shared" si="602"/>
        <v>0</v>
      </c>
      <c r="CH121" s="4340">
        <f t="shared" si="603"/>
        <v>0</v>
      </c>
      <c r="CI121" s="4340">
        <f t="shared" si="603"/>
        <v>0</v>
      </c>
      <c r="CJ121" s="4340">
        <f t="shared" si="603"/>
        <v>0</v>
      </c>
      <c r="CK121" s="2774"/>
      <c r="CL121" s="3575">
        <f t="shared" si="483"/>
        <v>0</v>
      </c>
      <c r="CM121" s="3575">
        <f t="shared" si="483"/>
        <v>0</v>
      </c>
      <c r="CN121" s="3575">
        <f t="shared" si="483"/>
        <v>0</v>
      </c>
    </row>
    <row r="122" spans="1:92" ht="18.75" customHeight="1" x14ac:dyDescent="0.3">
      <c r="A122" s="4311" t="s">
        <v>521</v>
      </c>
      <c r="B122" s="4312">
        <f>SUM(C122:D122)</f>
        <v>5768.8793616756448</v>
      </c>
      <c r="C122" s="4312">
        <f t="shared" ref="C122:D122" si="676">SUM(C123:C127)+C129</f>
        <v>5768.8793616756448</v>
      </c>
      <c r="D122" s="4312">
        <f t="shared" si="676"/>
        <v>0</v>
      </c>
      <c r="E122" s="4332">
        <f t="shared" si="606"/>
        <v>3712.3429999999998</v>
      </c>
      <c r="F122" s="3026">
        <f>SUM(F123:F127)+F129</f>
        <v>3712.3429999999998</v>
      </c>
      <c r="G122" s="3026">
        <f t="shared" ref="G122" si="677">SUM(G123:G127)+G129</f>
        <v>0</v>
      </c>
      <c r="H122" s="4332">
        <f t="shared" si="658"/>
        <v>1971.7609000000002</v>
      </c>
      <c r="I122" s="3026">
        <f t="shared" ref="I122:J122" si="678">SUM(I123:I127)+I129</f>
        <v>1971.7609000000002</v>
      </c>
      <c r="J122" s="3026">
        <f t="shared" si="678"/>
        <v>0</v>
      </c>
      <c r="K122" s="4332">
        <f t="shared" si="659"/>
        <v>2201.3960000000002</v>
      </c>
      <c r="L122" s="3026">
        <f t="shared" ref="L122:M122" si="679">SUM(L123:L127)+L129</f>
        <v>2201.3960000000002</v>
      </c>
      <c r="M122" s="3026">
        <f t="shared" si="679"/>
        <v>0</v>
      </c>
      <c r="N122" s="4332">
        <f t="shared" si="577"/>
        <v>7885.4999000000007</v>
      </c>
      <c r="O122" s="4332">
        <f t="shared" ref="O122:P127" si="680">SUM(F122+I122+L122)</f>
        <v>7885.4999000000007</v>
      </c>
      <c r="P122" s="4332">
        <f t="shared" si="680"/>
        <v>0</v>
      </c>
      <c r="Q122" s="4312">
        <f t="shared" si="652"/>
        <v>5768.8793616756448</v>
      </c>
      <c r="R122" s="4312">
        <f t="shared" ref="R122:S122" si="681">SUM(R123:R127)+R129</f>
        <v>5768.8793616756448</v>
      </c>
      <c r="S122" s="4312">
        <f t="shared" si="681"/>
        <v>0</v>
      </c>
      <c r="T122" s="4332">
        <f t="shared" si="662"/>
        <v>2824.4390000000003</v>
      </c>
      <c r="U122" s="3026">
        <f t="shared" ref="U122:V122" si="682">SUM(U123:U127)+U129</f>
        <v>2824.4390000000003</v>
      </c>
      <c r="V122" s="3026">
        <f t="shared" si="682"/>
        <v>0</v>
      </c>
      <c r="W122" s="4332">
        <f t="shared" si="663"/>
        <v>2764.9390000000003</v>
      </c>
      <c r="X122" s="3026">
        <f t="shared" ref="X122:Y122" si="683">SUM(X123:X127)+X129</f>
        <v>2764.9390000000003</v>
      </c>
      <c r="Y122" s="3026">
        <f t="shared" si="683"/>
        <v>0</v>
      </c>
      <c r="Z122" s="4332">
        <f t="shared" si="664"/>
        <v>2360.9929999999999</v>
      </c>
      <c r="AA122" s="3026">
        <f t="shared" ref="AA122:AB122" si="684">SUM(AA123:AA127)+AA129</f>
        <v>2360.9929999999999</v>
      </c>
      <c r="AB122" s="3026">
        <f t="shared" si="684"/>
        <v>0</v>
      </c>
      <c r="AC122" s="4332">
        <f t="shared" si="582"/>
        <v>7950.371000000001</v>
      </c>
      <c r="AD122" s="4332">
        <f t="shared" si="583"/>
        <v>7950.371000000001</v>
      </c>
      <c r="AE122" s="4332">
        <f t="shared" si="583"/>
        <v>0</v>
      </c>
      <c r="AF122" s="4313">
        <f t="shared" si="584"/>
        <v>11537.75872335129</v>
      </c>
      <c r="AG122" s="4313">
        <f t="shared" si="585"/>
        <v>11537.75872335129</v>
      </c>
      <c r="AH122" s="4313">
        <f t="shared" si="585"/>
        <v>0</v>
      </c>
      <c r="AI122" s="4333">
        <f t="shared" ref="AI122:AI127" si="685">SUM(AC122+N122)</f>
        <v>15835.870900000002</v>
      </c>
      <c r="AJ122" s="4333">
        <f t="shared" ref="AJ122:AK127" si="686">SUM(AD122+O122)</f>
        <v>15835.870900000002</v>
      </c>
      <c r="AK122" s="4333">
        <f t="shared" si="686"/>
        <v>0</v>
      </c>
      <c r="AL122" s="4333">
        <f t="shared" ref="AL122:AN127" si="687">SUM(AI122-AF122)</f>
        <v>4298.1121766487122</v>
      </c>
      <c r="AM122" s="4333">
        <f t="shared" si="687"/>
        <v>4298.1121766487122</v>
      </c>
      <c r="AN122" s="4333">
        <f t="shared" si="687"/>
        <v>0</v>
      </c>
      <c r="AO122" s="4312">
        <f t="shared" si="665"/>
        <v>5768.8793616756448</v>
      </c>
      <c r="AP122" s="4312">
        <f t="shared" ref="AP122:AQ122" si="688">SUM(AP123:AP127)+AP129</f>
        <v>5768.8793616756448</v>
      </c>
      <c r="AQ122" s="4312">
        <f t="shared" si="688"/>
        <v>0</v>
      </c>
      <c r="AR122" s="4332">
        <f t="shared" si="667"/>
        <v>2009.4419999999996</v>
      </c>
      <c r="AS122" s="3026">
        <f t="shared" ref="AS122:AT122" si="689">SUM(AS123:AS127)+AS129</f>
        <v>2009.4419999999996</v>
      </c>
      <c r="AT122" s="3026">
        <f t="shared" si="689"/>
        <v>0</v>
      </c>
      <c r="AU122" s="4332">
        <f t="shared" si="668"/>
        <v>0</v>
      </c>
      <c r="AV122" s="3026">
        <f t="shared" ref="AV122:AW122" si="690">SUM(AV123:AV127)+AV129</f>
        <v>0</v>
      </c>
      <c r="AW122" s="3026">
        <f t="shared" si="690"/>
        <v>0</v>
      </c>
      <c r="AX122" s="4332">
        <f t="shared" si="669"/>
        <v>0</v>
      </c>
      <c r="AY122" s="3026">
        <f t="shared" ref="AY122:AZ122" si="691">SUM(AY123:AY127)+AY129</f>
        <v>0</v>
      </c>
      <c r="AZ122" s="3026">
        <f t="shared" si="691"/>
        <v>0</v>
      </c>
      <c r="BA122" s="4332">
        <f t="shared" si="591"/>
        <v>2009.4419999999996</v>
      </c>
      <c r="BB122" s="4332">
        <f t="shared" si="592"/>
        <v>2009.4419999999996</v>
      </c>
      <c r="BC122" s="4332">
        <f t="shared" si="592"/>
        <v>0</v>
      </c>
      <c r="BD122" s="4313">
        <f t="shared" ref="BD122:BD141" si="692">SUM(BE122:BF122)</f>
        <v>17306.638085026934</v>
      </c>
      <c r="BE122" s="4313">
        <f t="shared" ref="BE122:BE141" si="693">SUM(AG122+AP122)</f>
        <v>17306.638085026934</v>
      </c>
      <c r="BF122" s="4313">
        <f t="shared" ref="BF122:BF147" si="694">SUM(AH122+AQ122)</f>
        <v>0</v>
      </c>
      <c r="BG122" s="4333">
        <f t="shared" ref="BG122:BI127" si="695">SUM(AI122+BA122)</f>
        <v>17845.312900000001</v>
      </c>
      <c r="BH122" s="4333">
        <f t="shared" si="695"/>
        <v>17845.312900000001</v>
      </c>
      <c r="BI122" s="4333">
        <f t="shared" si="695"/>
        <v>0</v>
      </c>
      <c r="BJ122" s="4333">
        <f t="shared" ref="BJ122:BL127" si="696">SUM(BG122-BD122)</f>
        <v>538.67481497306653</v>
      </c>
      <c r="BK122" s="4333">
        <f t="shared" si="696"/>
        <v>538.67481497306653</v>
      </c>
      <c r="BL122" s="4333">
        <f t="shared" si="696"/>
        <v>0</v>
      </c>
      <c r="BM122" s="4312">
        <f t="shared" si="620"/>
        <v>5768.8793616756448</v>
      </c>
      <c r="BN122" s="4312">
        <f t="shared" ref="BN122:BO122" si="697">SUM(BN123:BN127)+BN129</f>
        <v>5768.8793616756448</v>
      </c>
      <c r="BO122" s="4312">
        <f t="shared" si="697"/>
        <v>0</v>
      </c>
      <c r="BP122" s="4332">
        <f t="shared" si="672"/>
        <v>0</v>
      </c>
      <c r="BQ122" s="3026">
        <f t="shared" ref="BQ122:BR122" si="698">SUM(BQ123:BQ127)+BQ129</f>
        <v>0</v>
      </c>
      <c r="BR122" s="3026">
        <f t="shared" si="698"/>
        <v>0</v>
      </c>
      <c r="BS122" s="4332">
        <f t="shared" si="673"/>
        <v>0</v>
      </c>
      <c r="BT122" s="3026">
        <f t="shared" ref="BT122:BU122" si="699">SUM(BT123:BT127)+BT129</f>
        <v>0</v>
      </c>
      <c r="BU122" s="3026">
        <f t="shared" si="699"/>
        <v>0</v>
      </c>
      <c r="BV122" s="4332">
        <f t="shared" si="674"/>
        <v>0</v>
      </c>
      <c r="BW122" s="3026">
        <f t="shared" ref="BW122:BX122" si="700">SUM(BW123:BW127)+BW129</f>
        <v>0</v>
      </c>
      <c r="BX122" s="3026">
        <f t="shared" si="700"/>
        <v>0</v>
      </c>
      <c r="BY122" s="4332">
        <f t="shared" si="600"/>
        <v>0</v>
      </c>
      <c r="BZ122" s="4332">
        <f t="shared" si="601"/>
        <v>0</v>
      </c>
      <c r="CA122" s="4332">
        <f t="shared" si="601"/>
        <v>0</v>
      </c>
      <c r="CB122" s="4313">
        <f>SUM(CC122:CD122)</f>
        <v>23075.517452097843</v>
      </c>
      <c r="CC122" s="4313">
        <f>SUM(вода!EF35)</f>
        <v>23075.517452097843</v>
      </c>
      <c r="CD122" s="4313">
        <v>0</v>
      </c>
      <c r="CE122" s="4333">
        <f t="shared" ref="CE122:CE127" si="701">SUM(BY122+BG122)</f>
        <v>17845.312900000001</v>
      </c>
      <c r="CF122" s="4333">
        <f t="shared" ref="CF122:CG127" si="702">SUM(BZ122+BH122)</f>
        <v>17845.312900000001</v>
      </c>
      <c r="CG122" s="4333">
        <f t="shared" si="702"/>
        <v>0</v>
      </c>
      <c r="CH122" s="4333">
        <f t="shared" ref="CH122:CJ127" si="703">SUM(CE122-CB122)</f>
        <v>-5230.2045520978427</v>
      </c>
      <c r="CI122" s="4333">
        <f t="shared" si="703"/>
        <v>-5230.2045520978427</v>
      </c>
      <c r="CJ122" s="4333">
        <f t="shared" si="703"/>
        <v>0</v>
      </c>
      <c r="CK122" s="2774"/>
      <c r="CL122" s="3577">
        <f t="shared" si="483"/>
        <v>23075.517446702579</v>
      </c>
      <c r="CM122" s="3577">
        <f t="shared" si="483"/>
        <v>23075.517446702579</v>
      </c>
      <c r="CN122" s="3577">
        <f t="shared" si="483"/>
        <v>0</v>
      </c>
    </row>
    <row r="123" spans="1:92" ht="18.75" customHeight="1" x14ac:dyDescent="0.3">
      <c r="A123" s="4334" t="s">
        <v>2</v>
      </c>
      <c r="B123" s="4317">
        <f t="shared" ref="B123" si="704">SUM(C123:D123)</f>
        <v>866.71296551784769</v>
      </c>
      <c r="C123" s="4317">
        <f t="shared" ref="C123:D123" si="705">SUM(CC123/4)</f>
        <v>866.71296551784769</v>
      </c>
      <c r="D123" s="4317">
        <f t="shared" si="705"/>
        <v>0</v>
      </c>
      <c r="E123" s="4335">
        <f t="shared" si="606"/>
        <v>383.99599999999998</v>
      </c>
      <c r="F123" s="4336">
        <v>383.99599999999998</v>
      </c>
      <c r="G123" s="4336"/>
      <c r="H123" s="4335">
        <f t="shared" si="658"/>
        <v>383.995</v>
      </c>
      <c r="I123" s="4336">
        <f>383.995</f>
        <v>383.995</v>
      </c>
      <c r="J123" s="4336"/>
      <c r="K123" s="4335">
        <f t="shared" si="659"/>
        <v>383.995</v>
      </c>
      <c r="L123" s="4336">
        <v>383.995</v>
      </c>
      <c r="M123" s="4336"/>
      <c r="N123" s="4335">
        <f t="shared" si="577"/>
        <v>1151.9859999999999</v>
      </c>
      <c r="O123" s="4335">
        <f t="shared" si="680"/>
        <v>1151.9859999999999</v>
      </c>
      <c r="P123" s="4335">
        <f t="shared" si="680"/>
        <v>0</v>
      </c>
      <c r="Q123" s="4317">
        <f t="shared" si="652"/>
        <v>866.71296551784769</v>
      </c>
      <c r="R123" s="4317">
        <f t="shared" ref="R123:R127" si="706">SUM(C123)</f>
        <v>866.71296551784769</v>
      </c>
      <c r="S123" s="4317">
        <f t="shared" ref="S123:S127" si="707">SUM(D123)</f>
        <v>0</v>
      </c>
      <c r="T123" s="4335">
        <f t="shared" si="662"/>
        <v>383.995</v>
      </c>
      <c r="U123" s="4336">
        <v>383.995</v>
      </c>
      <c r="V123" s="4336"/>
      <c r="W123" s="4335">
        <f t="shared" si="663"/>
        <v>383.99599999999998</v>
      </c>
      <c r="X123" s="4336">
        <v>383.99599999999998</v>
      </c>
      <c r="Y123" s="4336"/>
      <c r="Z123" s="4335">
        <f t="shared" si="664"/>
        <v>383.995</v>
      </c>
      <c r="AA123" s="4336">
        <v>383.995</v>
      </c>
      <c r="AB123" s="4336"/>
      <c r="AC123" s="4335">
        <f t="shared" si="582"/>
        <v>1151.9859999999999</v>
      </c>
      <c r="AD123" s="4335">
        <f t="shared" si="583"/>
        <v>1151.9859999999999</v>
      </c>
      <c r="AE123" s="4335">
        <f t="shared" si="583"/>
        <v>0</v>
      </c>
      <c r="AF123" s="4318">
        <f t="shared" si="584"/>
        <v>1733.4259310356954</v>
      </c>
      <c r="AG123" s="4318">
        <f t="shared" si="585"/>
        <v>1733.4259310356954</v>
      </c>
      <c r="AH123" s="4318">
        <f t="shared" si="585"/>
        <v>0</v>
      </c>
      <c r="AI123" s="4337">
        <f t="shared" si="685"/>
        <v>2303.9719999999998</v>
      </c>
      <c r="AJ123" s="4337">
        <f t="shared" si="686"/>
        <v>2303.9719999999998</v>
      </c>
      <c r="AK123" s="4337">
        <f t="shared" si="686"/>
        <v>0</v>
      </c>
      <c r="AL123" s="4337">
        <f t="shared" si="687"/>
        <v>570.54606896430437</v>
      </c>
      <c r="AM123" s="4337">
        <f t="shared" si="687"/>
        <v>570.54606896430437</v>
      </c>
      <c r="AN123" s="4337">
        <f t="shared" si="687"/>
        <v>0</v>
      </c>
      <c r="AO123" s="4317">
        <f t="shared" ref="AO123:AO127" si="708">SUM(AP123:AQ123)</f>
        <v>866.71296551784769</v>
      </c>
      <c r="AP123" s="4317">
        <f t="shared" ref="AP123:AP127" si="709">SUM(CC123-AG123)/2</f>
        <v>866.71296551784769</v>
      </c>
      <c r="AQ123" s="4317">
        <f t="shared" ref="AQ123:AQ127" si="710">SUM(CD123-AH123)/2</f>
        <v>0</v>
      </c>
      <c r="AR123" s="4335">
        <f t="shared" si="667"/>
        <v>383.99599999999998</v>
      </c>
      <c r="AS123" s="4336">
        <v>383.99599999999998</v>
      </c>
      <c r="AT123" s="4336"/>
      <c r="AU123" s="4335">
        <f t="shared" si="668"/>
        <v>0</v>
      </c>
      <c r="AV123" s="4336"/>
      <c r="AW123" s="4336"/>
      <c r="AX123" s="4335">
        <f t="shared" si="669"/>
        <v>0</v>
      </c>
      <c r="AY123" s="4336"/>
      <c r="AZ123" s="4336"/>
      <c r="BA123" s="4335">
        <f t="shared" si="591"/>
        <v>383.99599999999998</v>
      </c>
      <c r="BB123" s="4335">
        <f t="shared" si="592"/>
        <v>383.99599999999998</v>
      </c>
      <c r="BC123" s="4335">
        <f t="shared" si="592"/>
        <v>0</v>
      </c>
      <c r="BD123" s="4318">
        <f t="shared" si="692"/>
        <v>2600.138896553543</v>
      </c>
      <c r="BE123" s="4318">
        <f t="shared" si="693"/>
        <v>2600.138896553543</v>
      </c>
      <c r="BF123" s="4318">
        <f t="shared" si="694"/>
        <v>0</v>
      </c>
      <c r="BG123" s="4337">
        <f t="shared" si="695"/>
        <v>2687.9679999999998</v>
      </c>
      <c r="BH123" s="4337">
        <f t="shared" si="695"/>
        <v>2687.9679999999998</v>
      </c>
      <c r="BI123" s="4337">
        <f t="shared" si="695"/>
        <v>0</v>
      </c>
      <c r="BJ123" s="4337">
        <f t="shared" si="696"/>
        <v>87.829103446456884</v>
      </c>
      <c r="BK123" s="4337">
        <f t="shared" si="696"/>
        <v>87.829103446456884</v>
      </c>
      <c r="BL123" s="4337">
        <f t="shared" si="696"/>
        <v>0</v>
      </c>
      <c r="BM123" s="4317">
        <f t="shared" si="620"/>
        <v>866.71296551784769</v>
      </c>
      <c r="BN123" s="4317">
        <f t="shared" ref="BN123:BO127" si="711">SUM(AP123)</f>
        <v>866.71296551784769</v>
      </c>
      <c r="BO123" s="4317">
        <f t="shared" si="711"/>
        <v>0</v>
      </c>
      <c r="BP123" s="4335">
        <f t="shared" si="672"/>
        <v>0</v>
      </c>
      <c r="BQ123" s="4336"/>
      <c r="BR123" s="4336"/>
      <c r="BS123" s="4335">
        <f t="shared" si="673"/>
        <v>0</v>
      </c>
      <c r="BT123" s="4336"/>
      <c r="BU123" s="4336"/>
      <c r="BV123" s="4335">
        <f t="shared" si="674"/>
        <v>0</v>
      </c>
      <c r="BW123" s="4336"/>
      <c r="BX123" s="4336"/>
      <c r="BY123" s="4335">
        <f t="shared" si="600"/>
        <v>0</v>
      </c>
      <c r="BZ123" s="4335">
        <f t="shared" si="601"/>
        <v>0</v>
      </c>
      <c r="CA123" s="4335">
        <f t="shared" si="601"/>
        <v>0</v>
      </c>
      <c r="CB123" s="4318">
        <f t="shared" ref="CB123:CB148" si="712">SUM(CC123:CD123)</f>
        <v>3466.8518620713908</v>
      </c>
      <c r="CC123" s="4318">
        <f>SUM(вода!EF36)</f>
        <v>3466.8518620713908</v>
      </c>
      <c r="CD123" s="4318">
        <v>0</v>
      </c>
      <c r="CE123" s="4337">
        <f t="shared" si="701"/>
        <v>2687.9679999999998</v>
      </c>
      <c r="CF123" s="4337">
        <f t="shared" si="702"/>
        <v>2687.9679999999998</v>
      </c>
      <c r="CG123" s="4337">
        <f t="shared" si="702"/>
        <v>0</v>
      </c>
      <c r="CH123" s="4337">
        <f t="shared" si="703"/>
        <v>-778.88386207139092</v>
      </c>
      <c r="CI123" s="4337">
        <f t="shared" si="703"/>
        <v>-778.88386207139092</v>
      </c>
      <c r="CJ123" s="4337">
        <f t="shared" si="703"/>
        <v>0</v>
      </c>
      <c r="CK123" s="2774"/>
      <c r="CL123" s="3575">
        <f t="shared" si="483"/>
        <v>3466.8518620713908</v>
      </c>
      <c r="CM123" s="3575">
        <f t="shared" si="483"/>
        <v>3466.8518620713908</v>
      </c>
      <c r="CN123" s="3575">
        <f t="shared" si="483"/>
        <v>0</v>
      </c>
    </row>
    <row r="124" spans="1:92" ht="18.75" customHeight="1" x14ac:dyDescent="0.3">
      <c r="A124" s="4334" t="s">
        <v>209</v>
      </c>
      <c r="B124" s="4317">
        <f t="shared" ref="B124:B129" si="713">SUM(C124:D124)</f>
        <v>0</v>
      </c>
      <c r="C124" s="4317">
        <f t="shared" ref="C124:C127" si="714">SUM(CC124/4)</f>
        <v>0</v>
      </c>
      <c r="D124" s="4317">
        <f t="shared" ref="D124:D127" si="715">SUM(CD124/4)</f>
        <v>0</v>
      </c>
      <c r="E124" s="4335">
        <f t="shared" si="606"/>
        <v>109.536</v>
      </c>
      <c r="F124" s="4336">
        <v>109.536</v>
      </c>
      <c r="G124" s="4336"/>
      <c r="H124" s="4335">
        <f t="shared" si="658"/>
        <v>0</v>
      </c>
      <c r="I124" s="4336"/>
      <c r="J124" s="4336"/>
      <c r="K124" s="4335">
        <f t="shared" si="659"/>
        <v>0</v>
      </c>
      <c r="L124" s="4336"/>
      <c r="M124" s="4336"/>
      <c r="N124" s="4335">
        <f t="shared" si="577"/>
        <v>109.536</v>
      </c>
      <c r="O124" s="4335">
        <f t="shared" si="680"/>
        <v>109.536</v>
      </c>
      <c r="P124" s="4335">
        <f t="shared" si="680"/>
        <v>0</v>
      </c>
      <c r="Q124" s="4317">
        <f t="shared" si="652"/>
        <v>0</v>
      </c>
      <c r="R124" s="4317">
        <f t="shared" si="706"/>
        <v>0</v>
      </c>
      <c r="S124" s="4317">
        <f t="shared" si="707"/>
        <v>0</v>
      </c>
      <c r="T124" s="4335">
        <f t="shared" si="662"/>
        <v>0</v>
      </c>
      <c r="U124" s="4336"/>
      <c r="V124" s="4336"/>
      <c r="W124" s="4335">
        <f t="shared" si="663"/>
        <v>0</v>
      </c>
      <c r="X124" s="4336"/>
      <c r="Y124" s="4336"/>
      <c r="Z124" s="4335">
        <f t="shared" si="664"/>
        <v>108.06699999999999</v>
      </c>
      <c r="AA124" s="4336">
        <f>108.067</f>
        <v>108.06699999999999</v>
      </c>
      <c r="AB124" s="4336"/>
      <c r="AC124" s="4335">
        <f t="shared" si="582"/>
        <v>108.06699999999999</v>
      </c>
      <c r="AD124" s="4335">
        <f t="shared" si="583"/>
        <v>108.06699999999999</v>
      </c>
      <c r="AE124" s="4335">
        <f t="shared" si="583"/>
        <v>0</v>
      </c>
      <c r="AF124" s="4318">
        <f t="shared" si="584"/>
        <v>0</v>
      </c>
      <c r="AG124" s="4318">
        <f t="shared" si="585"/>
        <v>0</v>
      </c>
      <c r="AH124" s="4318">
        <f t="shared" si="585"/>
        <v>0</v>
      </c>
      <c r="AI124" s="4337">
        <f t="shared" si="685"/>
        <v>217.60300000000001</v>
      </c>
      <c r="AJ124" s="4337">
        <f t="shared" si="686"/>
        <v>217.60300000000001</v>
      </c>
      <c r="AK124" s="4337">
        <f t="shared" si="686"/>
        <v>0</v>
      </c>
      <c r="AL124" s="4337">
        <f t="shared" si="687"/>
        <v>217.60300000000001</v>
      </c>
      <c r="AM124" s="4337">
        <f t="shared" si="687"/>
        <v>217.60300000000001</v>
      </c>
      <c r="AN124" s="4337">
        <f t="shared" si="687"/>
        <v>0</v>
      </c>
      <c r="AO124" s="4317">
        <f t="shared" si="708"/>
        <v>0</v>
      </c>
      <c r="AP124" s="4317">
        <f t="shared" si="709"/>
        <v>0</v>
      </c>
      <c r="AQ124" s="4317">
        <f t="shared" si="710"/>
        <v>0</v>
      </c>
      <c r="AR124" s="4335">
        <f t="shared" si="667"/>
        <v>0</v>
      </c>
      <c r="AS124" s="4336"/>
      <c r="AT124" s="4336"/>
      <c r="AU124" s="4335">
        <f t="shared" si="668"/>
        <v>0</v>
      </c>
      <c r="AV124" s="4336"/>
      <c r="AW124" s="4336"/>
      <c r="AX124" s="4335">
        <f t="shared" si="669"/>
        <v>0</v>
      </c>
      <c r="AY124" s="4336"/>
      <c r="AZ124" s="4336"/>
      <c r="BA124" s="4335">
        <f t="shared" si="591"/>
        <v>0</v>
      </c>
      <c r="BB124" s="4335">
        <f t="shared" si="592"/>
        <v>0</v>
      </c>
      <c r="BC124" s="4335">
        <f t="shared" si="592"/>
        <v>0</v>
      </c>
      <c r="BD124" s="4318">
        <f t="shared" si="692"/>
        <v>0</v>
      </c>
      <c r="BE124" s="4318">
        <f t="shared" si="693"/>
        <v>0</v>
      </c>
      <c r="BF124" s="4318">
        <f t="shared" si="694"/>
        <v>0</v>
      </c>
      <c r="BG124" s="4337">
        <f t="shared" si="695"/>
        <v>217.60300000000001</v>
      </c>
      <c r="BH124" s="4337">
        <f t="shared" si="695"/>
        <v>217.60300000000001</v>
      </c>
      <c r="BI124" s="4337">
        <f t="shared" si="695"/>
        <v>0</v>
      </c>
      <c r="BJ124" s="4337">
        <f t="shared" si="696"/>
        <v>217.60300000000001</v>
      </c>
      <c r="BK124" s="4337">
        <f t="shared" si="696"/>
        <v>217.60300000000001</v>
      </c>
      <c r="BL124" s="4337">
        <f t="shared" si="696"/>
        <v>0</v>
      </c>
      <c r="BM124" s="4317">
        <f t="shared" si="620"/>
        <v>0</v>
      </c>
      <c r="BN124" s="4317">
        <f t="shared" si="711"/>
        <v>0</v>
      </c>
      <c r="BO124" s="4317">
        <f t="shared" si="711"/>
        <v>0</v>
      </c>
      <c r="BP124" s="4335">
        <f t="shared" si="672"/>
        <v>0</v>
      </c>
      <c r="BQ124" s="4336"/>
      <c r="BR124" s="4336"/>
      <c r="BS124" s="4335">
        <f t="shared" si="673"/>
        <v>0</v>
      </c>
      <c r="BT124" s="4336"/>
      <c r="BU124" s="4336"/>
      <c r="BV124" s="4335">
        <f t="shared" si="674"/>
        <v>0</v>
      </c>
      <c r="BW124" s="4336"/>
      <c r="BX124" s="4336"/>
      <c r="BY124" s="4335">
        <f t="shared" si="600"/>
        <v>0</v>
      </c>
      <c r="BZ124" s="4335">
        <f t="shared" si="601"/>
        <v>0</v>
      </c>
      <c r="CA124" s="4335">
        <f t="shared" si="601"/>
        <v>0</v>
      </c>
      <c r="CB124" s="4318">
        <f t="shared" si="712"/>
        <v>0</v>
      </c>
      <c r="CC124" s="4318">
        <f>SUM(вода!EF37)</f>
        <v>0</v>
      </c>
      <c r="CD124" s="4318">
        <v>0</v>
      </c>
      <c r="CE124" s="4337">
        <f t="shared" si="701"/>
        <v>217.60300000000001</v>
      </c>
      <c r="CF124" s="4337">
        <f t="shared" si="702"/>
        <v>217.60300000000001</v>
      </c>
      <c r="CG124" s="4337">
        <f t="shared" si="702"/>
        <v>0</v>
      </c>
      <c r="CH124" s="4337">
        <f t="shared" si="703"/>
        <v>217.60300000000001</v>
      </c>
      <c r="CI124" s="4337">
        <f t="shared" si="703"/>
        <v>217.60300000000001</v>
      </c>
      <c r="CJ124" s="4337">
        <f t="shared" si="703"/>
        <v>0</v>
      </c>
      <c r="CK124" s="2774"/>
      <c r="CL124" s="3575">
        <f t="shared" si="483"/>
        <v>0</v>
      </c>
      <c r="CM124" s="3575">
        <f t="shared" si="483"/>
        <v>0</v>
      </c>
      <c r="CN124" s="3575">
        <f t="shared" si="483"/>
        <v>0</v>
      </c>
    </row>
    <row r="125" spans="1:92" ht="18.75" customHeight="1" x14ac:dyDescent="0.3">
      <c r="A125" s="4334" t="s">
        <v>3</v>
      </c>
      <c r="B125" s="4317">
        <f t="shared" si="713"/>
        <v>186.34323502059996</v>
      </c>
      <c r="C125" s="4317">
        <f t="shared" si="714"/>
        <v>186.34323502059996</v>
      </c>
      <c r="D125" s="4317">
        <f t="shared" si="715"/>
        <v>0</v>
      </c>
      <c r="E125" s="4335">
        <f t="shared" si="606"/>
        <v>1278.93</v>
      </c>
      <c r="F125" s="4336">
        <f>1233.588+45.342</f>
        <v>1278.93</v>
      </c>
      <c r="G125" s="4336"/>
      <c r="H125" s="4335">
        <f t="shared" si="658"/>
        <v>51.33</v>
      </c>
      <c r="I125" s="4336">
        <f>51.047+0.283</f>
        <v>51.33</v>
      </c>
      <c r="J125" s="4336"/>
      <c r="K125" s="4335">
        <f t="shared" si="659"/>
        <v>157.72199999999998</v>
      </c>
      <c r="L125" s="4336">
        <f>64+93.722</f>
        <v>157.72199999999998</v>
      </c>
      <c r="M125" s="4336"/>
      <c r="N125" s="4335">
        <f t="shared" si="577"/>
        <v>1487.982</v>
      </c>
      <c r="O125" s="4335">
        <f t="shared" si="680"/>
        <v>1487.982</v>
      </c>
      <c r="P125" s="4335">
        <f t="shared" si="680"/>
        <v>0</v>
      </c>
      <c r="Q125" s="4317">
        <f t="shared" si="652"/>
        <v>186.34323502059996</v>
      </c>
      <c r="R125" s="4317">
        <f t="shared" si="706"/>
        <v>186.34323502059996</v>
      </c>
      <c r="S125" s="4317">
        <f t="shared" si="707"/>
        <v>0</v>
      </c>
      <c r="T125" s="4335">
        <f t="shared" si="662"/>
        <v>367.34</v>
      </c>
      <c r="U125" s="4336">
        <f>20+347.34</f>
        <v>367.34</v>
      </c>
      <c r="V125" s="4336"/>
      <c r="W125" s="4335">
        <f t="shared" si="663"/>
        <v>653.64499999999998</v>
      </c>
      <c r="X125" s="4336">
        <f>7.5+646.145</f>
        <v>653.64499999999998</v>
      </c>
      <c r="Y125" s="4336"/>
      <c r="Z125" s="4335">
        <f t="shared" si="664"/>
        <v>369.69</v>
      </c>
      <c r="AA125" s="4336">
        <v>369.69</v>
      </c>
      <c r="AB125" s="4336"/>
      <c r="AC125" s="4335">
        <f t="shared" si="582"/>
        <v>1390.675</v>
      </c>
      <c r="AD125" s="4335">
        <f t="shared" si="583"/>
        <v>1390.675</v>
      </c>
      <c r="AE125" s="4335">
        <f t="shared" si="583"/>
        <v>0</v>
      </c>
      <c r="AF125" s="4318">
        <f t="shared" si="584"/>
        <v>372.68647004119993</v>
      </c>
      <c r="AG125" s="4318">
        <f t="shared" si="585"/>
        <v>372.68647004119993</v>
      </c>
      <c r="AH125" s="4318">
        <f t="shared" si="585"/>
        <v>0</v>
      </c>
      <c r="AI125" s="4337">
        <f t="shared" si="685"/>
        <v>2878.6570000000002</v>
      </c>
      <c r="AJ125" s="4337">
        <f t="shared" si="686"/>
        <v>2878.6570000000002</v>
      </c>
      <c r="AK125" s="4337">
        <f t="shared" si="686"/>
        <v>0</v>
      </c>
      <c r="AL125" s="4337">
        <f t="shared" si="687"/>
        <v>2505.9705299588004</v>
      </c>
      <c r="AM125" s="4337">
        <f t="shared" si="687"/>
        <v>2505.9705299588004</v>
      </c>
      <c r="AN125" s="4337">
        <f t="shared" si="687"/>
        <v>0</v>
      </c>
      <c r="AO125" s="4317">
        <f t="shared" si="708"/>
        <v>186.34323502059996</v>
      </c>
      <c r="AP125" s="4317">
        <f t="shared" si="709"/>
        <v>186.34323502059996</v>
      </c>
      <c r="AQ125" s="4317">
        <f t="shared" si="710"/>
        <v>0</v>
      </c>
      <c r="AR125" s="4335">
        <f t="shared" si="667"/>
        <v>238.15099999999998</v>
      </c>
      <c r="AS125" s="4336">
        <f>103.106+135.045</f>
        <v>238.15099999999998</v>
      </c>
      <c r="AT125" s="4336"/>
      <c r="AU125" s="4335">
        <f t="shared" si="668"/>
        <v>0</v>
      </c>
      <c r="AV125" s="4336"/>
      <c r="AW125" s="4336"/>
      <c r="AX125" s="4335">
        <f t="shared" si="669"/>
        <v>0</v>
      </c>
      <c r="AY125" s="4336"/>
      <c r="AZ125" s="4336"/>
      <c r="BA125" s="4335">
        <f t="shared" si="591"/>
        <v>238.15099999999998</v>
      </c>
      <c r="BB125" s="4335">
        <f t="shared" si="592"/>
        <v>238.15099999999998</v>
      </c>
      <c r="BC125" s="4335">
        <f t="shared" si="592"/>
        <v>0</v>
      </c>
      <c r="BD125" s="4318">
        <f t="shared" si="692"/>
        <v>559.02970506179986</v>
      </c>
      <c r="BE125" s="4318">
        <f t="shared" si="693"/>
        <v>559.02970506179986</v>
      </c>
      <c r="BF125" s="4318">
        <f t="shared" si="694"/>
        <v>0</v>
      </c>
      <c r="BG125" s="4337">
        <f t="shared" si="695"/>
        <v>3116.808</v>
      </c>
      <c r="BH125" s="4337">
        <f t="shared" si="695"/>
        <v>3116.808</v>
      </c>
      <c r="BI125" s="4337">
        <f t="shared" si="695"/>
        <v>0</v>
      </c>
      <c r="BJ125" s="4337">
        <f t="shared" si="696"/>
        <v>2557.7782949381999</v>
      </c>
      <c r="BK125" s="4337">
        <f t="shared" si="696"/>
        <v>2557.7782949381999</v>
      </c>
      <c r="BL125" s="4337">
        <f t="shared" si="696"/>
        <v>0</v>
      </c>
      <c r="BM125" s="4317">
        <f t="shared" si="620"/>
        <v>186.34323502059996</v>
      </c>
      <c r="BN125" s="4317">
        <f t="shared" si="711"/>
        <v>186.34323502059996</v>
      </c>
      <c r="BO125" s="4317">
        <f t="shared" si="711"/>
        <v>0</v>
      </c>
      <c r="BP125" s="4335">
        <f t="shared" si="672"/>
        <v>0</v>
      </c>
      <c r="BQ125" s="4336"/>
      <c r="BR125" s="4336"/>
      <c r="BS125" s="4335">
        <f t="shared" si="673"/>
        <v>0</v>
      </c>
      <c r="BT125" s="4336"/>
      <c r="BU125" s="4336"/>
      <c r="BV125" s="4335">
        <f t="shared" si="674"/>
        <v>0</v>
      </c>
      <c r="BW125" s="4336"/>
      <c r="BX125" s="4336"/>
      <c r="BY125" s="4335">
        <f t="shared" si="600"/>
        <v>0</v>
      </c>
      <c r="BZ125" s="4335">
        <f t="shared" si="601"/>
        <v>0</v>
      </c>
      <c r="CA125" s="4335">
        <f t="shared" si="601"/>
        <v>0</v>
      </c>
      <c r="CB125" s="4318">
        <f t="shared" si="712"/>
        <v>745.37294008239985</v>
      </c>
      <c r="CC125" s="4318">
        <f>SUM(вода!EF38)</f>
        <v>745.37294008239985</v>
      </c>
      <c r="CD125" s="4318">
        <v>0</v>
      </c>
      <c r="CE125" s="4337">
        <f t="shared" si="701"/>
        <v>3116.808</v>
      </c>
      <c r="CF125" s="4337">
        <f t="shared" si="702"/>
        <v>3116.808</v>
      </c>
      <c r="CG125" s="4337">
        <f t="shared" si="702"/>
        <v>0</v>
      </c>
      <c r="CH125" s="4337">
        <f t="shared" si="703"/>
        <v>2371.4350599176</v>
      </c>
      <c r="CI125" s="4337">
        <f t="shared" si="703"/>
        <v>2371.4350599176</v>
      </c>
      <c r="CJ125" s="4337">
        <f t="shared" si="703"/>
        <v>0</v>
      </c>
      <c r="CK125" s="2774"/>
      <c r="CL125" s="3575">
        <f t="shared" si="483"/>
        <v>745.37294008239985</v>
      </c>
      <c r="CM125" s="3575">
        <f t="shared" si="483"/>
        <v>745.37294008239985</v>
      </c>
      <c r="CN125" s="3575">
        <f t="shared" si="483"/>
        <v>0</v>
      </c>
    </row>
    <row r="126" spans="1:92" ht="18.75" customHeight="1" x14ac:dyDescent="0.3">
      <c r="A126" s="4334" t="s">
        <v>4</v>
      </c>
      <c r="B126" s="4317">
        <f t="shared" si="713"/>
        <v>2129.9743560552265</v>
      </c>
      <c r="C126" s="4317">
        <f t="shared" si="714"/>
        <v>2129.9743560552265</v>
      </c>
      <c r="D126" s="4317">
        <f t="shared" si="715"/>
        <v>0</v>
      </c>
      <c r="E126" s="4335">
        <f t="shared" si="606"/>
        <v>908.60699999999997</v>
      </c>
      <c r="F126" s="4336">
        <v>908.60699999999997</v>
      </c>
      <c r="G126" s="4336"/>
      <c r="H126" s="4335">
        <f t="shared" si="658"/>
        <v>636.46901000000003</v>
      </c>
      <c r="I126" s="4336">
        <v>636.46901000000003</v>
      </c>
      <c r="J126" s="4336"/>
      <c r="K126" s="4335">
        <f t="shared" si="659"/>
        <v>756.56700000000001</v>
      </c>
      <c r="L126" s="4336">
        <v>756.56700000000001</v>
      </c>
      <c r="M126" s="4336"/>
      <c r="N126" s="4335">
        <f t="shared" si="577"/>
        <v>2301.6430099999998</v>
      </c>
      <c r="O126" s="4335">
        <f t="shared" si="680"/>
        <v>2301.6430099999998</v>
      </c>
      <c r="P126" s="4335">
        <f t="shared" si="680"/>
        <v>0</v>
      </c>
      <c r="Q126" s="4317">
        <f t="shared" si="652"/>
        <v>2129.9743560552265</v>
      </c>
      <c r="R126" s="4317">
        <f t="shared" si="706"/>
        <v>2129.9743560552265</v>
      </c>
      <c r="S126" s="4317">
        <f t="shared" si="707"/>
        <v>0</v>
      </c>
      <c r="T126" s="4335">
        <f t="shared" si="662"/>
        <v>598.44899999999996</v>
      </c>
      <c r="U126" s="4336">
        <v>598.44899999999996</v>
      </c>
      <c r="V126" s="4336"/>
      <c r="W126" s="4335">
        <f t="shared" si="663"/>
        <v>718.78200000000004</v>
      </c>
      <c r="X126" s="4336">
        <v>718.78200000000004</v>
      </c>
      <c r="Y126" s="4336"/>
      <c r="Z126" s="4335">
        <f t="shared" si="664"/>
        <v>584.59299999999996</v>
      </c>
      <c r="AA126" s="4336">
        <v>584.59299999999996</v>
      </c>
      <c r="AB126" s="4336"/>
      <c r="AC126" s="4335">
        <f t="shared" si="582"/>
        <v>1901.8240000000001</v>
      </c>
      <c r="AD126" s="4335">
        <f t="shared" si="583"/>
        <v>1901.8240000000001</v>
      </c>
      <c r="AE126" s="4335">
        <f t="shared" si="583"/>
        <v>0</v>
      </c>
      <c r="AF126" s="4318">
        <f t="shared" si="584"/>
        <v>4259.948712110453</v>
      </c>
      <c r="AG126" s="4318">
        <f t="shared" si="585"/>
        <v>4259.948712110453</v>
      </c>
      <c r="AH126" s="4318">
        <f t="shared" si="585"/>
        <v>0</v>
      </c>
      <c r="AI126" s="4337">
        <f t="shared" si="685"/>
        <v>4203.4670100000003</v>
      </c>
      <c r="AJ126" s="4337">
        <f t="shared" si="686"/>
        <v>4203.4670100000003</v>
      </c>
      <c r="AK126" s="4337">
        <f t="shared" si="686"/>
        <v>0</v>
      </c>
      <c r="AL126" s="4337">
        <f t="shared" si="687"/>
        <v>-56.481702110452716</v>
      </c>
      <c r="AM126" s="4337">
        <f t="shared" si="687"/>
        <v>-56.481702110452716</v>
      </c>
      <c r="AN126" s="4337">
        <f t="shared" si="687"/>
        <v>0</v>
      </c>
      <c r="AO126" s="4317">
        <f t="shared" si="708"/>
        <v>2129.9743560552265</v>
      </c>
      <c r="AP126" s="4317">
        <f t="shared" si="709"/>
        <v>2129.9743560552265</v>
      </c>
      <c r="AQ126" s="4317">
        <f t="shared" si="710"/>
        <v>0</v>
      </c>
      <c r="AR126" s="4335">
        <f t="shared" si="667"/>
        <v>516.58399999999995</v>
      </c>
      <c r="AS126" s="4336">
        <v>516.58399999999995</v>
      </c>
      <c r="AT126" s="4336"/>
      <c r="AU126" s="4335">
        <f t="shared" si="668"/>
        <v>0</v>
      </c>
      <c r="AV126" s="4336"/>
      <c r="AW126" s="4336"/>
      <c r="AX126" s="4335">
        <f t="shared" si="669"/>
        <v>0</v>
      </c>
      <c r="AY126" s="4336"/>
      <c r="AZ126" s="4336"/>
      <c r="BA126" s="4335">
        <f t="shared" si="591"/>
        <v>516.58399999999995</v>
      </c>
      <c r="BB126" s="4335">
        <f t="shared" si="592"/>
        <v>516.58399999999995</v>
      </c>
      <c r="BC126" s="4335">
        <f t="shared" si="592"/>
        <v>0</v>
      </c>
      <c r="BD126" s="4318">
        <f t="shared" si="692"/>
        <v>6389.9230681656791</v>
      </c>
      <c r="BE126" s="4318">
        <f t="shared" si="693"/>
        <v>6389.9230681656791</v>
      </c>
      <c r="BF126" s="4318">
        <f t="shared" si="694"/>
        <v>0</v>
      </c>
      <c r="BG126" s="4337">
        <f t="shared" si="695"/>
        <v>4720.0510100000001</v>
      </c>
      <c r="BH126" s="4337">
        <f t="shared" si="695"/>
        <v>4720.0510100000001</v>
      </c>
      <c r="BI126" s="4337">
        <f t="shared" si="695"/>
        <v>0</v>
      </c>
      <c r="BJ126" s="4337">
        <f t="shared" si="696"/>
        <v>-1669.8720581656789</v>
      </c>
      <c r="BK126" s="4337">
        <f t="shared" si="696"/>
        <v>-1669.8720581656789</v>
      </c>
      <c r="BL126" s="4337">
        <f t="shared" si="696"/>
        <v>0</v>
      </c>
      <c r="BM126" s="4317">
        <f t="shared" si="620"/>
        <v>2129.9743560552265</v>
      </c>
      <c r="BN126" s="4317">
        <f t="shared" si="711"/>
        <v>2129.9743560552265</v>
      </c>
      <c r="BO126" s="4317">
        <f t="shared" si="711"/>
        <v>0</v>
      </c>
      <c r="BP126" s="4335">
        <f t="shared" si="672"/>
        <v>0</v>
      </c>
      <c r="BQ126" s="4336"/>
      <c r="BR126" s="4336"/>
      <c r="BS126" s="4335">
        <f t="shared" si="673"/>
        <v>0</v>
      </c>
      <c r="BT126" s="4336"/>
      <c r="BU126" s="4336"/>
      <c r="BV126" s="4335">
        <f t="shared" si="674"/>
        <v>0</v>
      </c>
      <c r="BW126" s="4336"/>
      <c r="BX126" s="4336"/>
      <c r="BY126" s="4335">
        <f t="shared" si="600"/>
        <v>0</v>
      </c>
      <c r="BZ126" s="4335">
        <f t="shared" si="601"/>
        <v>0</v>
      </c>
      <c r="CA126" s="4335">
        <f t="shared" si="601"/>
        <v>0</v>
      </c>
      <c r="CB126" s="4318">
        <f t="shared" si="712"/>
        <v>8519.897424220906</v>
      </c>
      <c r="CC126" s="4318">
        <f>SUM(вода!EF39)</f>
        <v>8519.897424220906</v>
      </c>
      <c r="CD126" s="4318">
        <v>0</v>
      </c>
      <c r="CE126" s="4337">
        <f t="shared" si="701"/>
        <v>4720.0510100000001</v>
      </c>
      <c r="CF126" s="4337">
        <f t="shared" si="702"/>
        <v>4720.0510100000001</v>
      </c>
      <c r="CG126" s="4337">
        <f t="shared" si="702"/>
        <v>0</v>
      </c>
      <c r="CH126" s="4337">
        <f t="shared" si="703"/>
        <v>-3799.8464142209059</v>
      </c>
      <c r="CI126" s="4337">
        <f t="shared" si="703"/>
        <v>-3799.8464142209059</v>
      </c>
      <c r="CJ126" s="4337">
        <f t="shared" si="703"/>
        <v>0</v>
      </c>
      <c r="CK126" s="2774"/>
      <c r="CL126" s="3575">
        <f t="shared" si="483"/>
        <v>8519.897424220906</v>
      </c>
      <c r="CM126" s="3575">
        <f t="shared" si="483"/>
        <v>8519.897424220906</v>
      </c>
      <c r="CN126" s="3575">
        <f t="shared" si="483"/>
        <v>0</v>
      </c>
    </row>
    <row r="127" spans="1:92" ht="18.75" customHeight="1" x14ac:dyDescent="0.3">
      <c r="A127" s="4334" t="s">
        <v>5</v>
      </c>
      <c r="B127" s="4317">
        <f t="shared" si="713"/>
        <v>659.68502633196999</v>
      </c>
      <c r="C127" s="4317">
        <f t="shared" si="714"/>
        <v>659.68502633196999</v>
      </c>
      <c r="D127" s="4317">
        <f t="shared" si="715"/>
        <v>0</v>
      </c>
      <c r="E127" s="4335">
        <f t="shared" si="606"/>
        <v>278.34399999999999</v>
      </c>
      <c r="F127" s="4336">
        <f>1.79+276.554</f>
        <v>278.34399999999999</v>
      </c>
      <c r="G127" s="4336"/>
      <c r="H127" s="4335">
        <f t="shared" si="658"/>
        <v>199.34583000000001</v>
      </c>
      <c r="I127" s="4336">
        <f>1.28477+198.06106</f>
        <v>199.34583000000001</v>
      </c>
      <c r="J127" s="4336"/>
      <c r="K127" s="4335">
        <f t="shared" si="659"/>
        <v>239.48699999999999</v>
      </c>
      <c r="L127" s="4336">
        <f>1.549+237.938</f>
        <v>239.48699999999999</v>
      </c>
      <c r="M127" s="4336"/>
      <c r="N127" s="4335">
        <f t="shared" si="577"/>
        <v>717.17683</v>
      </c>
      <c r="O127" s="4335">
        <f t="shared" si="680"/>
        <v>717.17683</v>
      </c>
      <c r="P127" s="4335">
        <f t="shared" si="680"/>
        <v>0</v>
      </c>
      <c r="Q127" s="4317">
        <f t="shared" si="652"/>
        <v>659.68502633196999</v>
      </c>
      <c r="R127" s="4317">
        <f t="shared" si="706"/>
        <v>659.68502633196999</v>
      </c>
      <c r="S127" s="4317">
        <f t="shared" si="707"/>
        <v>0</v>
      </c>
      <c r="T127" s="4335">
        <f t="shared" si="662"/>
        <v>186.036</v>
      </c>
      <c r="U127" s="4336">
        <v>186.036</v>
      </c>
      <c r="V127" s="4336"/>
      <c r="W127" s="4335">
        <f t="shared" si="663"/>
        <v>219.59100000000001</v>
      </c>
      <c r="X127" s="4336">
        <v>219.59100000000001</v>
      </c>
      <c r="Y127" s="4336"/>
      <c r="Z127" s="4335">
        <f t="shared" si="664"/>
        <v>231.62100000000001</v>
      </c>
      <c r="AA127" s="4336">
        <f>1.484+230.137</f>
        <v>231.62100000000001</v>
      </c>
      <c r="AB127" s="4336"/>
      <c r="AC127" s="4335">
        <f t="shared" si="582"/>
        <v>637.24800000000005</v>
      </c>
      <c r="AD127" s="4335">
        <f t="shared" si="583"/>
        <v>637.24800000000005</v>
      </c>
      <c r="AE127" s="4335">
        <f t="shared" si="583"/>
        <v>0</v>
      </c>
      <c r="AF127" s="4318">
        <f t="shared" si="584"/>
        <v>1319.37005266394</v>
      </c>
      <c r="AG127" s="4318">
        <f t="shared" si="585"/>
        <v>1319.37005266394</v>
      </c>
      <c r="AH127" s="4318">
        <f t="shared" si="585"/>
        <v>0</v>
      </c>
      <c r="AI127" s="4337">
        <f t="shared" si="685"/>
        <v>1354.4248299999999</v>
      </c>
      <c r="AJ127" s="4337">
        <f t="shared" si="686"/>
        <v>1354.4248299999999</v>
      </c>
      <c r="AK127" s="4337">
        <f t="shared" si="686"/>
        <v>0</v>
      </c>
      <c r="AL127" s="4337">
        <f t="shared" si="687"/>
        <v>35.054777336059942</v>
      </c>
      <c r="AM127" s="4337">
        <f t="shared" si="687"/>
        <v>35.054777336059942</v>
      </c>
      <c r="AN127" s="4337">
        <f t="shared" si="687"/>
        <v>0</v>
      </c>
      <c r="AO127" s="4317">
        <f t="shared" si="708"/>
        <v>659.68502633196999</v>
      </c>
      <c r="AP127" s="4317">
        <f t="shared" si="709"/>
        <v>659.68502633196999</v>
      </c>
      <c r="AQ127" s="4317">
        <f t="shared" si="710"/>
        <v>0</v>
      </c>
      <c r="AR127" s="4335">
        <f t="shared" si="667"/>
        <v>157.155</v>
      </c>
      <c r="AS127" s="4336">
        <v>157.155</v>
      </c>
      <c r="AT127" s="4336"/>
      <c r="AU127" s="4335">
        <f t="shared" si="668"/>
        <v>0</v>
      </c>
      <c r="AV127" s="4336"/>
      <c r="AW127" s="4336"/>
      <c r="AX127" s="4335">
        <f t="shared" si="669"/>
        <v>0</v>
      </c>
      <c r="AY127" s="4336"/>
      <c r="AZ127" s="4336"/>
      <c r="BA127" s="4335">
        <f t="shared" si="591"/>
        <v>157.155</v>
      </c>
      <c r="BB127" s="4335">
        <f t="shared" si="592"/>
        <v>157.155</v>
      </c>
      <c r="BC127" s="4335">
        <f t="shared" si="592"/>
        <v>0</v>
      </c>
      <c r="BD127" s="4318">
        <f t="shared" si="692"/>
        <v>1979.05507899591</v>
      </c>
      <c r="BE127" s="4318">
        <f t="shared" si="693"/>
        <v>1979.05507899591</v>
      </c>
      <c r="BF127" s="4318">
        <f t="shared" si="694"/>
        <v>0</v>
      </c>
      <c r="BG127" s="4337">
        <f t="shared" si="695"/>
        <v>1511.5798299999999</v>
      </c>
      <c r="BH127" s="4337">
        <f t="shared" si="695"/>
        <v>1511.5798299999999</v>
      </c>
      <c r="BI127" s="4337">
        <f t="shared" si="695"/>
        <v>0</v>
      </c>
      <c r="BJ127" s="4337">
        <f t="shared" si="696"/>
        <v>-467.47524899591008</v>
      </c>
      <c r="BK127" s="4337">
        <f t="shared" si="696"/>
        <v>-467.47524899591008</v>
      </c>
      <c r="BL127" s="4337">
        <f t="shared" si="696"/>
        <v>0</v>
      </c>
      <c r="BM127" s="4317">
        <f t="shared" si="620"/>
        <v>659.68502633196999</v>
      </c>
      <c r="BN127" s="4317">
        <f t="shared" si="711"/>
        <v>659.68502633196999</v>
      </c>
      <c r="BO127" s="4317">
        <f t="shared" si="711"/>
        <v>0</v>
      </c>
      <c r="BP127" s="4335">
        <f t="shared" si="672"/>
        <v>0</v>
      </c>
      <c r="BQ127" s="4336"/>
      <c r="BR127" s="4336"/>
      <c r="BS127" s="4335">
        <f t="shared" si="673"/>
        <v>0</v>
      </c>
      <c r="BT127" s="4336"/>
      <c r="BU127" s="4336"/>
      <c r="BV127" s="4335">
        <f t="shared" si="674"/>
        <v>0</v>
      </c>
      <c r="BW127" s="4336"/>
      <c r="BX127" s="4336"/>
      <c r="BY127" s="4335">
        <f t="shared" si="600"/>
        <v>0</v>
      </c>
      <c r="BZ127" s="4335">
        <f t="shared" si="601"/>
        <v>0</v>
      </c>
      <c r="CA127" s="4335">
        <f t="shared" si="601"/>
        <v>0</v>
      </c>
      <c r="CB127" s="4318">
        <f t="shared" si="712"/>
        <v>2638.74010532788</v>
      </c>
      <c r="CC127" s="4318">
        <f>SUM(вода!EF40)</f>
        <v>2638.74010532788</v>
      </c>
      <c r="CD127" s="4318">
        <v>0</v>
      </c>
      <c r="CE127" s="4337">
        <f t="shared" si="701"/>
        <v>1511.5798299999999</v>
      </c>
      <c r="CF127" s="4337">
        <f t="shared" si="702"/>
        <v>1511.5798299999999</v>
      </c>
      <c r="CG127" s="4337">
        <f t="shared" si="702"/>
        <v>0</v>
      </c>
      <c r="CH127" s="4337">
        <f t="shared" si="703"/>
        <v>-1127.1602753278801</v>
      </c>
      <c r="CI127" s="4337">
        <f t="shared" si="703"/>
        <v>-1127.1602753278801</v>
      </c>
      <c r="CJ127" s="4337">
        <f t="shared" si="703"/>
        <v>0</v>
      </c>
      <c r="CK127" s="2774"/>
      <c r="CL127" s="3575">
        <f t="shared" si="483"/>
        <v>2638.74010532788</v>
      </c>
      <c r="CM127" s="3575">
        <f t="shared" si="483"/>
        <v>2638.74010532788</v>
      </c>
      <c r="CN127" s="3575">
        <f t="shared" si="483"/>
        <v>0</v>
      </c>
    </row>
    <row r="128" spans="1:92" ht="18.75" customHeight="1" x14ac:dyDescent="0.2">
      <c r="A128" s="4339" t="str">
        <f>A60</f>
        <v>то же в %</v>
      </c>
      <c r="B128" s="4321">
        <f t="shared" ref="B128:AK128" si="716">SUM(B127/B126)</f>
        <v>0.30971500875424884</v>
      </c>
      <c r="C128" s="4321">
        <f t="shared" si="716"/>
        <v>0.30971500875424884</v>
      </c>
      <c r="D128" s="4321" t="e">
        <f t="shared" si="716"/>
        <v>#DIV/0!</v>
      </c>
      <c r="E128" s="4321">
        <f t="shared" si="716"/>
        <v>0.30634146556211872</v>
      </c>
      <c r="F128" s="4321">
        <f t="shared" si="716"/>
        <v>0.30634146556211872</v>
      </c>
      <c r="G128" s="4321" t="e">
        <f t="shared" si="716"/>
        <v>#DIV/0!</v>
      </c>
      <c r="H128" s="4321">
        <f t="shared" si="716"/>
        <v>0.31320586999200478</v>
      </c>
      <c r="I128" s="4321">
        <f t="shared" si="716"/>
        <v>0.31320586999200478</v>
      </c>
      <c r="J128" s="4321" t="e">
        <f t="shared" si="716"/>
        <v>#DIV/0!</v>
      </c>
      <c r="K128" s="4321">
        <f t="shared" si="716"/>
        <v>0.31654433777841223</v>
      </c>
      <c r="L128" s="4321">
        <f t="shared" si="716"/>
        <v>0.31654433777841223</v>
      </c>
      <c r="M128" s="4321" t="e">
        <f t="shared" si="716"/>
        <v>#DIV/0!</v>
      </c>
      <c r="N128" s="4321">
        <f t="shared" si="716"/>
        <v>0.31159342560252212</v>
      </c>
      <c r="O128" s="4321">
        <f t="shared" si="716"/>
        <v>0.31159342560252212</v>
      </c>
      <c r="P128" s="4321" t="e">
        <f t="shared" si="716"/>
        <v>#DIV/0!</v>
      </c>
      <c r="Q128" s="4321">
        <f t="shared" si="716"/>
        <v>0.30971500875424884</v>
      </c>
      <c r="R128" s="4321">
        <f t="shared" si="716"/>
        <v>0.30971500875424884</v>
      </c>
      <c r="S128" s="4321" t="e">
        <f t="shared" si="716"/>
        <v>#DIV/0!</v>
      </c>
      <c r="T128" s="4321">
        <f t="shared" si="716"/>
        <v>0.31086358236040168</v>
      </c>
      <c r="U128" s="4321">
        <f t="shared" si="716"/>
        <v>0.31086358236040168</v>
      </c>
      <c r="V128" s="4321" t="e">
        <f t="shared" si="716"/>
        <v>#DIV/0!</v>
      </c>
      <c r="W128" s="4321">
        <f t="shared" si="716"/>
        <v>0.30550431146022022</v>
      </c>
      <c r="X128" s="4321">
        <f t="shared" si="716"/>
        <v>0.30550431146022022</v>
      </c>
      <c r="Y128" s="4321" t="e">
        <f t="shared" si="716"/>
        <v>#DIV/0!</v>
      </c>
      <c r="Z128" s="4321">
        <f t="shared" si="716"/>
        <v>0.39620898642303282</v>
      </c>
      <c r="AA128" s="4321">
        <f t="shared" si="716"/>
        <v>0.39620898642303282</v>
      </c>
      <c r="AB128" s="4321" t="e">
        <f t="shared" si="716"/>
        <v>#DIV/0!</v>
      </c>
      <c r="AC128" s="4321">
        <f t="shared" si="716"/>
        <v>0.33507201507605333</v>
      </c>
      <c r="AD128" s="4321">
        <f t="shared" si="716"/>
        <v>0.33507201507605333</v>
      </c>
      <c r="AE128" s="4321" t="e">
        <f t="shared" si="716"/>
        <v>#DIV/0!</v>
      </c>
      <c r="AF128" s="4322">
        <f t="shared" si="716"/>
        <v>0.30971500875424884</v>
      </c>
      <c r="AG128" s="4322">
        <f t="shared" si="716"/>
        <v>0.30971500875424884</v>
      </c>
      <c r="AH128" s="4322" t="e">
        <f t="shared" si="716"/>
        <v>#DIV/0!</v>
      </c>
      <c r="AI128" s="4322">
        <f t="shared" si="716"/>
        <v>0.3222161198786237</v>
      </c>
      <c r="AJ128" s="4322">
        <f t="shared" si="716"/>
        <v>0.3222161198786237</v>
      </c>
      <c r="AK128" s="4322" t="e">
        <f t="shared" si="716"/>
        <v>#DIV/0!</v>
      </c>
      <c r="AL128" s="4323">
        <f t="shared" si="567"/>
        <v>1.2501111124374853E-2</v>
      </c>
      <c r="AM128" s="4323">
        <f t="shared" si="567"/>
        <v>1.2501111124374853E-2</v>
      </c>
      <c r="AN128" s="4323" t="e">
        <f t="shared" si="567"/>
        <v>#DIV/0!</v>
      </c>
      <c r="AO128" s="4321">
        <f t="shared" ref="AO128:BI128" si="717">SUM(AO127/AO126)</f>
        <v>0.30971500875424884</v>
      </c>
      <c r="AP128" s="4321">
        <f t="shared" si="717"/>
        <v>0.30971500875424884</v>
      </c>
      <c r="AQ128" s="4321" t="e">
        <f t="shared" si="717"/>
        <v>#DIV/0!</v>
      </c>
      <c r="AR128" s="4321">
        <f t="shared" si="717"/>
        <v>0.30421964288479708</v>
      </c>
      <c r="AS128" s="4321">
        <f t="shared" si="717"/>
        <v>0.30421964288479708</v>
      </c>
      <c r="AT128" s="4321" t="e">
        <f t="shared" si="717"/>
        <v>#DIV/0!</v>
      </c>
      <c r="AU128" s="4321" t="e">
        <f t="shared" si="717"/>
        <v>#DIV/0!</v>
      </c>
      <c r="AV128" s="4321" t="e">
        <f t="shared" si="717"/>
        <v>#DIV/0!</v>
      </c>
      <c r="AW128" s="4321" t="e">
        <f t="shared" si="717"/>
        <v>#DIV/0!</v>
      </c>
      <c r="AX128" s="4321" t="e">
        <f t="shared" si="717"/>
        <v>#DIV/0!</v>
      </c>
      <c r="AY128" s="4321" t="e">
        <f t="shared" si="717"/>
        <v>#DIV/0!</v>
      </c>
      <c r="AZ128" s="4321" t="e">
        <f t="shared" si="717"/>
        <v>#DIV/0!</v>
      </c>
      <c r="BA128" s="4321">
        <f t="shared" si="717"/>
        <v>0.30421964288479708</v>
      </c>
      <c r="BB128" s="4321">
        <f t="shared" si="717"/>
        <v>0.30421964288479708</v>
      </c>
      <c r="BC128" s="4321" t="e">
        <f t="shared" si="717"/>
        <v>#DIV/0!</v>
      </c>
      <c r="BD128" s="4322">
        <f t="shared" si="717"/>
        <v>0.30971500875424884</v>
      </c>
      <c r="BE128" s="4322">
        <f t="shared" si="717"/>
        <v>0.30971500875424884</v>
      </c>
      <c r="BF128" s="4322" t="e">
        <f t="shared" si="717"/>
        <v>#DIV/0!</v>
      </c>
      <c r="BG128" s="4322">
        <f t="shared" si="717"/>
        <v>0.32024650301395785</v>
      </c>
      <c r="BH128" s="4322">
        <f t="shared" si="717"/>
        <v>0.32024650301395785</v>
      </c>
      <c r="BI128" s="4322" t="e">
        <f t="shared" si="717"/>
        <v>#DIV/0!</v>
      </c>
      <c r="BJ128" s="4323">
        <f t="shared" si="569"/>
        <v>1.0531494259709007E-2</v>
      </c>
      <c r="BK128" s="4323">
        <f t="shared" si="569"/>
        <v>1.0531494259709007E-2</v>
      </c>
      <c r="BL128" s="4323" t="e">
        <f t="shared" si="569"/>
        <v>#DIV/0!</v>
      </c>
      <c r="BM128" s="4321">
        <f t="shared" ref="BM128:CG128" si="718">SUM(BM127/BM126)</f>
        <v>0.30971500875424884</v>
      </c>
      <c r="BN128" s="4321">
        <f t="shared" si="718"/>
        <v>0.30971500875424884</v>
      </c>
      <c r="BO128" s="4321" t="e">
        <f t="shared" si="718"/>
        <v>#DIV/0!</v>
      </c>
      <c r="BP128" s="4321" t="e">
        <f t="shared" si="718"/>
        <v>#DIV/0!</v>
      </c>
      <c r="BQ128" s="4321" t="e">
        <f t="shared" si="718"/>
        <v>#DIV/0!</v>
      </c>
      <c r="BR128" s="4321" t="e">
        <f t="shared" si="718"/>
        <v>#DIV/0!</v>
      </c>
      <c r="BS128" s="4321" t="e">
        <f t="shared" si="718"/>
        <v>#DIV/0!</v>
      </c>
      <c r="BT128" s="4321" t="e">
        <f t="shared" si="718"/>
        <v>#DIV/0!</v>
      </c>
      <c r="BU128" s="4321" t="e">
        <f t="shared" si="718"/>
        <v>#DIV/0!</v>
      </c>
      <c r="BV128" s="4321" t="e">
        <f t="shared" si="718"/>
        <v>#DIV/0!</v>
      </c>
      <c r="BW128" s="4321" t="e">
        <f t="shared" si="718"/>
        <v>#DIV/0!</v>
      </c>
      <c r="BX128" s="4321" t="e">
        <f t="shared" si="718"/>
        <v>#DIV/0!</v>
      </c>
      <c r="BY128" s="4321" t="e">
        <f t="shared" si="718"/>
        <v>#DIV/0!</v>
      </c>
      <c r="BZ128" s="4321" t="e">
        <f t="shared" si="718"/>
        <v>#DIV/0!</v>
      </c>
      <c r="CA128" s="4321" t="e">
        <f t="shared" si="718"/>
        <v>#DIV/0!</v>
      </c>
      <c r="CB128" s="4322">
        <f t="shared" si="718"/>
        <v>0.30971500875424884</v>
      </c>
      <c r="CC128" s="4322">
        <f t="shared" si="718"/>
        <v>0.30971500875424884</v>
      </c>
      <c r="CD128" s="4322" t="e">
        <f t="shared" si="718"/>
        <v>#DIV/0!</v>
      </c>
      <c r="CE128" s="4322">
        <f t="shared" si="718"/>
        <v>0.32024650301395785</v>
      </c>
      <c r="CF128" s="4322">
        <f t="shared" si="718"/>
        <v>0.32024650301395785</v>
      </c>
      <c r="CG128" s="4322" t="e">
        <f t="shared" si="718"/>
        <v>#DIV/0!</v>
      </c>
      <c r="CH128" s="4323">
        <f t="shared" si="571"/>
        <v>1.0531494259709007E-2</v>
      </c>
      <c r="CI128" s="4323">
        <f t="shared" si="571"/>
        <v>1.0531494259709007E-2</v>
      </c>
      <c r="CJ128" s="4323" t="e">
        <f t="shared" si="571"/>
        <v>#DIV/0!</v>
      </c>
      <c r="CK128" s="2774"/>
      <c r="CL128" s="3575">
        <f t="shared" si="483"/>
        <v>1.2388600350169954</v>
      </c>
      <c r="CM128" s="3575">
        <f t="shared" si="483"/>
        <v>1.2388600350169954</v>
      </c>
      <c r="CN128" s="3575" t="e">
        <f t="shared" si="483"/>
        <v>#DIV/0!</v>
      </c>
    </row>
    <row r="129" spans="1:92" ht="18.75" customHeight="1" x14ac:dyDescent="0.3">
      <c r="A129" s="4341" t="s">
        <v>3693</v>
      </c>
      <c r="B129" s="4312">
        <f t="shared" si="713"/>
        <v>1926.1637787500001</v>
      </c>
      <c r="C129" s="4312">
        <f t="shared" ref="C129:D129" si="719">SUM(C130:C136)+C138</f>
        <v>1926.1637787500001</v>
      </c>
      <c r="D129" s="4312">
        <f t="shared" si="719"/>
        <v>0</v>
      </c>
      <c r="E129" s="4332">
        <f t="shared" si="606"/>
        <v>752.92999999999984</v>
      </c>
      <c r="F129" s="3026">
        <f>SUM(F130:F136)+F138</f>
        <v>752.92999999999984</v>
      </c>
      <c r="G129" s="3026">
        <f t="shared" ref="G129" si="720">SUM(G130:G136)+G138</f>
        <v>0</v>
      </c>
      <c r="H129" s="4332">
        <f t="shared" ref="H129:H156" si="721">SUM(I129:J129)</f>
        <v>700.62106000000006</v>
      </c>
      <c r="I129" s="3026">
        <f t="shared" ref="I129:J129" si="722">SUM(I130:I136)+I138</f>
        <v>700.62106000000006</v>
      </c>
      <c r="J129" s="3026">
        <f t="shared" si="722"/>
        <v>0</v>
      </c>
      <c r="K129" s="4332">
        <f t="shared" ref="K129:K156" si="723">SUM(L129:M129)</f>
        <v>663.625</v>
      </c>
      <c r="L129" s="3026">
        <f t="shared" ref="L129:M129" si="724">SUM(L130:L136)+L138</f>
        <v>663.625</v>
      </c>
      <c r="M129" s="3026">
        <f t="shared" si="724"/>
        <v>0</v>
      </c>
      <c r="N129" s="4332">
        <f t="shared" ref="N129:N155" si="725">SUM(O129:P129)</f>
        <v>2117.1760599999998</v>
      </c>
      <c r="O129" s="4332">
        <f t="shared" ref="O129:P155" si="726">SUM(F129+I129+L129)</f>
        <v>2117.1760599999998</v>
      </c>
      <c r="P129" s="4332">
        <f t="shared" si="726"/>
        <v>0</v>
      </c>
      <c r="Q129" s="4312">
        <f t="shared" si="652"/>
        <v>1926.1637787500001</v>
      </c>
      <c r="R129" s="4312">
        <f t="shared" ref="R129:S129" si="727">SUM(R130:R136)+R138</f>
        <v>1926.1637787500001</v>
      </c>
      <c r="S129" s="4312">
        <f t="shared" si="727"/>
        <v>0</v>
      </c>
      <c r="T129" s="4332">
        <f t="shared" ref="T129:T156" si="728">SUM(U129:V129)</f>
        <v>1288.6190000000001</v>
      </c>
      <c r="U129" s="3026">
        <f t="shared" ref="U129:V129" si="729">SUM(U130:U136)+U138</f>
        <v>1288.6190000000001</v>
      </c>
      <c r="V129" s="3026">
        <f t="shared" si="729"/>
        <v>0</v>
      </c>
      <c r="W129" s="4332">
        <f t="shared" ref="W129:W156" si="730">SUM(X129:Y129)</f>
        <v>788.92499999999995</v>
      </c>
      <c r="X129" s="3026">
        <f t="shared" ref="X129:Y129" si="731">SUM(X130:X136)+X138</f>
        <v>788.92499999999995</v>
      </c>
      <c r="Y129" s="3026">
        <f t="shared" si="731"/>
        <v>0</v>
      </c>
      <c r="Z129" s="4332">
        <f t="shared" ref="Z129:Z157" si="732">SUM(AA129:AB129)</f>
        <v>683.02700000000004</v>
      </c>
      <c r="AA129" s="3026">
        <f t="shared" ref="AA129:AB129" si="733">SUM(AA130:AA136)+AA138</f>
        <v>683.02700000000004</v>
      </c>
      <c r="AB129" s="3026">
        <f t="shared" si="733"/>
        <v>0</v>
      </c>
      <c r="AC129" s="4332">
        <f t="shared" ref="AC129:AC159" si="734">SUM(AD129:AE129)</f>
        <v>2760.5709999999999</v>
      </c>
      <c r="AD129" s="4332">
        <f t="shared" ref="AD129:AE159" si="735">SUM(U129+X129+AA129)</f>
        <v>2760.5709999999999</v>
      </c>
      <c r="AE129" s="4332">
        <f t="shared" si="735"/>
        <v>0</v>
      </c>
      <c r="AF129" s="4313">
        <f t="shared" si="584"/>
        <v>3852.3275575000002</v>
      </c>
      <c r="AG129" s="4313">
        <f t="shared" si="585"/>
        <v>3852.3275575000002</v>
      </c>
      <c r="AH129" s="4313">
        <f t="shared" si="585"/>
        <v>0</v>
      </c>
      <c r="AI129" s="4333">
        <f t="shared" ref="AI129:AK159" si="736">SUM(AC129+N129)</f>
        <v>4877.7470599999997</v>
      </c>
      <c r="AJ129" s="4333">
        <f t="shared" si="736"/>
        <v>4877.7470599999997</v>
      </c>
      <c r="AK129" s="4333">
        <f t="shared" si="736"/>
        <v>0</v>
      </c>
      <c r="AL129" s="4333">
        <f t="shared" ref="AL129:AN159" si="737">SUM(AI129-AF129)</f>
        <v>1025.4195024999995</v>
      </c>
      <c r="AM129" s="4333">
        <f t="shared" si="737"/>
        <v>1025.4195024999995</v>
      </c>
      <c r="AN129" s="4333">
        <f t="shared" si="737"/>
        <v>0</v>
      </c>
      <c r="AO129" s="4312">
        <f t="shared" ref="AO129:AO138" si="738">SUM(AP129:AQ129)</f>
        <v>1926.1637787500001</v>
      </c>
      <c r="AP129" s="4312">
        <f t="shared" ref="AP129:AQ129" si="739">SUM(AP130:AP136)+AP138</f>
        <v>1926.1637787500001</v>
      </c>
      <c r="AQ129" s="4312">
        <f t="shared" si="739"/>
        <v>0</v>
      </c>
      <c r="AR129" s="4332">
        <f t="shared" ref="AR129:AR156" si="740">SUM(AS129:AT129)</f>
        <v>713.55599999999993</v>
      </c>
      <c r="AS129" s="3026">
        <f t="shared" ref="AS129:AT129" si="741">SUM(AS130:AS136)+AS138</f>
        <v>713.55599999999993</v>
      </c>
      <c r="AT129" s="3026">
        <f t="shared" si="741"/>
        <v>0</v>
      </c>
      <c r="AU129" s="4332">
        <f t="shared" ref="AU129:AU156" si="742">SUM(AV129:AW129)</f>
        <v>0</v>
      </c>
      <c r="AV129" s="3026">
        <f t="shared" ref="AV129:AW129" si="743">SUM(AV130:AV136)+AV138</f>
        <v>0</v>
      </c>
      <c r="AW129" s="3026">
        <f t="shared" si="743"/>
        <v>0</v>
      </c>
      <c r="AX129" s="4332">
        <f t="shared" ref="AX129:AX157" si="744">SUM(AY129:AZ129)</f>
        <v>0</v>
      </c>
      <c r="AY129" s="3026">
        <f t="shared" ref="AY129:AZ129" si="745">SUM(AY130:AY136)+AY138</f>
        <v>0</v>
      </c>
      <c r="AZ129" s="3026">
        <f t="shared" si="745"/>
        <v>0</v>
      </c>
      <c r="BA129" s="4332">
        <f t="shared" ref="BA129:BA159" si="746">SUM(BB129:BC129)</f>
        <v>713.55599999999993</v>
      </c>
      <c r="BB129" s="4332">
        <f t="shared" ref="BB129:BC159" si="747">SUM(AS129+AV129+AY129)</f>
        <v>713.55599999999993</v>
      </c>
      <c r="BC129" s="4332">
        <f t="shared" si="747"/>
        <v>0</v>
      </c>
      <c r="BD129" s="4313">
        <f t="shared" si="692"/>
        <v>5778.4913362500001</v>
      </c>
      <c r="BE129" s="4313">
        <f t="shared" si="693"/>
        <v>5778.4913362500001</v>
      </c>
      <c r="BF129" s="4313">
        <f t="shared" si="694"/>
        <v>0</v>
      </c>
      <c r="BG129" s="4333">
        <f t="shared" ref="BG129:BI159" si="748">SUM(AI129+BA129)</f>
        <v>5591.3030599999993</v>
      </c>
      <c r="BH129" s="4333">
        <f t="shared" si="748"/>
        <v>5591.3030599999993</v>
      </c>
      <c r="BI129" s="4333">
        <f t="shared" si="748"/>
        <v>0</v>
      </c>
      <c r="BJ129" s="4333">
        <f t="shared" ref="BJ129:BL159" si="749">SUM(BG129-BD129)</f>
        <v>-187.18827625000085</v>
      </c>
      <c r="BK129" s="4333">
        <f t="shared" si="749"/>
        <v>-187.18827625000085</v>
      </c>
      <c r="BL129" s="4333">
        <f t="shared" si="749"/>
        <v>0</v>
      </c>
      <c r="BM129" s="4312">
        <f t="shared" si="620"/>
        <v>1926.1637787500001</v>
      </c>
      <c r="BN129" s="4312">
        <f t="shared" ref="BN129:BO129" si="750">SUM(BN130:BN136)+BN138</f>
        <v>1926.1637787500001</v>
      </c>
      <c r="BO129" s="4312">
        <f t="shared" si="750"/>
        <v>0</v>
      </c>
      <c r="BP129" s="4332">
        <f t="shared" ref="BP129:BP156" si="751">SUM(BQ129:BR129)</f>
        <v>0</v>
      </c>
      <c r="BQ129" s="3026">
        <f t="shared" ref="BQ129:BR129" si="752">SUM(BQ130:BQ136)+BQ138</f>
        <v>0</v>
      </c>
      <c r="BR129" s="3026">
        <f t="shared" si="752"/>
        <v>0</v>
      </c>
      <c r="BS129" s="4332">
        <f t="shared" ref="BS129:BS156" si="753">SUM(BT129:BU129)</f>
        <v>0</v>
      </c>
      <c r="BT129" s="3026">
        <f t="shared" ref="BT129:BU129" si="754">SUM(BT130:BT136)+BT138</f>
        <v>0</v>
      </c>
      <c r="BU129" s="3026">
        <f t="shared" si="754"/>
        <v>0</v>
      </c>
      <c r="BV129" s="4332">
        <f t="shared" ref="BV129:BV157" si="755">SUM(BW129:BX129)</f>
        <v>0</v>
      </c>
      <c r="BW129" s="3026">
        <f t="shared" ref="BW129:BX129" si="756">SUM(BW130:BW136)+BW138</f>
        <v>0</v>
      </c>
      <c r="BX129" s="3026">
        <f t="shared" si="756"/>
        <v>0</v>
      </c>
      <c r="BY129" s="4332">
        <f t="shared" ref="BY129:BY159" si="757">SUM(BZ129:CA129)</f>
        <v>0</v>
      </c>
      <c r="BZ129" s="4332">
        <f t="shared" ref="BZ129:CA159" si="758">SUM(BQ129+BT129+BW129)</f>
        <v>0</v>
      </c>
      <c r="CA129" s="4332">
        <f t="shared" si="758"/>
        <v>0</v>
      </c>
      <c r="CB129" s="4313">
        <f t="shared" si="712"/>
        <v>7704.6551203952667</v>
      </c>
      <c r="CC129" s="4313">
        <f>SUM(вода!EF42)</f>
        <v>7704.6551203952667</v>
      </c>
      <c r="CD129" s="4313">
        <v>0</v>
      </c>
      <c r="CE129" s="4333">
        <f t="shared" ref="CE129:CG159" si="759">SUM(BY129+BG129)</f>
        <v>5591.3030599999993</v>
      </c>
      <c r="CF129" s="4333">
        <f t="shared" si="759"/>
        <v>5591.3030599999993</v>
      </c>
      <c r="CG129" s="4333">
        <f t="shared" si="759"/>
        <v>0</v>
      </c>
      <c r="CH129" s="4333">
        <f t="shared" ref="CH129:CJ159" si="760">SUM(CE129-CB129)</f>
        <v>-2113.3520603952675</v>
      </c>
      <c r="CI129" s="4333">
        <f t="shared" si="760"/>
        <v>-2113.3520603952675</v>
      </c>
      <c r="CJ129" s="4333">
        <f t="shared" si="760"/>
        <v>0</v>
      </c>
      <c r="CK129" s="2774"/>
      <c r="CL129" s="3575">
        <f t="shared" si="483"/>
        <v>7704.6551150000005</v>
      </c>
      <c r="CM129" s="3575">
        <f t="shared" si="483"/>
        <v>7704.6551150000005</v>
      </c>
      <c r="CN129" s="3575">
        <f t="shared" si="483"/>
        <v>0</v>
      </c>
    </row>
    <row r="130" spans="1:92" ht="18.75" customHeight="1" x14ac:dyDescent="0.3">
      <c r="A130" s="4342" t="s">
        <v>70</v>
      </c>
      <c r="B130" s="4317">
        <f t="shared" ref="B130:B138" si="761">SUM(C130:D130)</f>
        <v>1299.8412499999999</v>
      </c>
      <c r="C130" s="4317">
        <f t="shared" ref="C130:D135" si="762">SUM(CC130/4)</f>
        <v>1299.8412499999999</v>
      </c>
      <c r="D130" s="4317">
        <f t="shared" si="762"/>
        <v>0</v>
      </c>
      <c r="E130" s="4335">
        <f t="shared" si="606"/>
        <v>436.36799999999999</v>
      </c>
      <c r="F130" s="4336">
        <v>436.36799999999999</v>
      </c>
      <c r="G130" s="4336"/>
      <c r="H130" s="4335">
        <f t="shared" si="721"/>
        <v>386.86446000000001</v>
      </c>
      <c r="I130" s="4336">
        <v>386.86446000000001</v>
      </c>
      <c r="J130" s="4336"/>
      <c r="K130" s="4335">
        <f t="shared" si="723"/>
        <v>391.46100000000001</v>
      </c>
      <c r="L130" s="4336">
        <v>391.46100000000001</v>
      </c>
      <c r="M130" s="4336"/>
      <c r="N130" s="4335">
        <f t="shared" si="725"/>
        <v>1214.69346</v>
      </c>
      <c r="O130" s="4335">
        <f t="shared" si="726"/>
        <v>1214.69346</v>
      </c>
      <c r="P130" s="4335">
        <f t="shared" si="726"/>
        <v>0</v>
      </c>
      <c r="Q130" s="4317">
        <f t="shared" si="652"/>
        <v>1299.8412499999999</v>
      </c>
      <c r="R130" s="4317">
        <f t="shared" ref="R130:R135" si="763">SUM(C130)</f>
        <v>1299.8412499999999</v>
      </c>
      <c r="S130" s="4317">
        <f t="shared" ref="S130:S135" si="764">SUM(D130)</f>
        <v>0</v>
      </c>
      <c r="T130" s="4335">
        <f t="shared" si="728"/>
        <v>854.85500000000002</v>
      </c>
      <c r="U130" s="4336">
        <v>854.85500000000002</v>
      </c>
      <c r="V130" s="4336"/>
      <c r="W130" s="4335">
        <f t="shared" si="730"/>
        <v>466.483</v>
      </c>
      <c r="X130" s="4336">
        <v>466.483</v>
      </c>
      <c r="Y130" s="4336"/>
      <c r="Z130" s="4335">
        <f t="shared" si="732"/>
        <v>394.38299999999998</v>
      </c>
      <c r="AA130" s="4336">
        <v>394.38299999999998</v>
      </c>
      <c r="AB130" s="4336"/>
      <c r="AC130" s="4335">
        <f t="shared" si="734"/>
        <v>1715.721</v>
      </c>
      <c r="AD130" s="4335">
        <f t="shared" si="735"/>
        <v>1715.721</v>
      </c>
      <c r="AE130" s="4335">
        <f t="shared" si="735"/>
        <v>0</v>
      </c>
      <c r="AF130" s="4318">
        <f t="shared" si="584"/>
        <v>2599.6824999999999</v>
      </c>
      <c r="AG130" s="4318">
        <f t="shared" si="585"/>
        <v>2599.6824999999999</v>
      </c>
      <c r="AH130" s="4318">
        <f t="shared" si="585"/>
        <v>0</v>
      </c>
      <c r="AI130" s="4337">
        <f t="shared" si="736"/>
        <v>2930.41446</v>
      </c>
      <c r="AJ130" s="4337">
        <f t="shared" si="736"/>
        <v>2930.41446</v>
      </c>
      <c r="AK130" s="4337">
        <f t="shared" si="736"/>
        <v>0</v>
      </c>
      <c r="AL130" s="4337">
        <f t="shared" si="737"/>
        <v>330.73196000000007</v>
      </c>
      <c r="AM130" s="4337">
        <f t="shared" si="737"/>
        <v>330.73196000000007</v>
      </c>
      <c r="AN130" s="4337">
        <f t="shared" si="737"/>
        <v>0</v>
      </c>
      <c r="AO130" s="4317">
        <f t="shared" si="738"/>
        <v>1299.8412499999999</v>
      </c>
      <c r="AP130" s="4317">
        <f t="shared" ref="AP130:AP135" si="765">SUM(CC130-AG130)/2</f>
        <v>1299.8412499999999</v>
      </c>
      <c r="AQ130" s="4317">
        <f t="shared" ref="AQ130:AQ135" si="766">SUM(CD130-AH130)/2</f>
        <v>0</v>
      </c>
      <c r="AR130" s="4335">
        <f t="shared" si="740"/>
        <v>436.76499999999999</v>
      </c>
      <c r="AS130" s="4336">
        <v>436.76499999999999</v>
      </c>
      <c r="AT130" s="4336"/>
      <c r="AU130" s="4335">
        <f t="shared" si="742"/>
        <v>0</v>
      </c>
      <c r="AV130" s="4336"/>
      <c r="AW130" s="4336"/>
      <c r="AX130" s="4335">
        <f t="shared" si="744"/>
        <v>0</v>
      </c>
      <c r="AY130" s="4336"/>
      <c r="AZ130" s="4336"/>
      <c r="BA130" s="4335">
        <f t="shared" si="746"/>
        <v>436.76499999999999</v>
      </c>
      <c r="BB130" s="4335">
        <f t="shared" si="747"/>
        <v>436.76499999999999</v>
      </c>
      <c r="BC130" s="4335">
        <f t="shared" si="747"/>
        <v>0</v>
      </c>
      <c r="BD130" s="4318">
        <f t="shared" si="692"/>
        <v>3899.5237499999998</v>
      </c>
      <c r="BE130" s="4318">
        <f t="shared" si="693"/>
        <v>3899.5237499999998</v>
      </c>
      <c r="BF130" s="4318">
        <f t="shared" si="694"/>
        <v>0</v>
      </c>
      <c r="BG130" s="4337">
        <f t="shared" si="748"/>
        <v>3367.1794599999998</v>
      </c>
      <c r="BH130" s="4337">
        <f t="shared" si="748"/>
        <v>3367.1794599999998</v>
      </c>
      <c r="BI130" s="4337">
        <f t="shared" si="748"/>
        <v>0</v>
      </c>
      <c r="BJ130" s="4337">
        <f t="shared" si="749"/>
        <v>-532.34429</v>
      </c>
      <c r="BK130" s="4337">
        <f t="shared" si="749"/>
        <v>-532.34429</v>
      </c>
      <c r="BL130" s="4337">
        <f t="shared" si="749"/>
        <v>0</v>
      </c>
      <c r="BM130" s="4317">
        <f t="shared" ref="BM130:BM147" si="767">SUM(BN130:BO130)</f>
        <v>1299.8412499999999</v>
      </c>
      <c r="BN130" s="4317">
        <f t="shared" ref="BN130:BN135" si="768">SUM(AP130)</f>
        <v>1299.8412499999999</v>
      </c>
      <c r="BO130" s="4317">
        <f t="shared" ref="BO130:BO135" si="769">SUM(AQ130)</f>
        <v>0</v>
      </c>
      <c r="BP130" s="4335">
        <f t="shared" si="751"/>
        <v>0</v>
      </c>
      <c r="BQ130" s="4336"/>
      <c r="BR130" s="4336"/>
      <c r="BS130" s="4335">
        <f t="shared" si="753"/>
        <v>0</v>
      </c>
      <c r="BT130" s="4336"/>
      <c r="BU130" s="4336"/>
      <c r="BV130" s="4335">
        <f t="shared" si="755"/>
        <v>0</v>
      </c>
      <c r="BW130" s="4336"/>
      <c r="BX130" s="4336"/>
      <c r="BY130" s="4335">
        <f t="shared" si="757"/>
        <v>0</v>
      </c>
      <c r="BZ130" s="4335">
        <f t="shared" si="758"/>
        <v>0</v>
      </c>
      <c r="CA130" s="4335">
        <f t="shared" si="758"/>
        <v>0</v>
      </c>
      <c r="CB130" s="4318">
        <f t="shared" ref="CB130:CB141" si="770">SUM(CC130:CD130)</f>
        <v>5199.3649999999998</v>
      </c>
      <c r="CC130" s="4318">
        <v>5199.3649999999998</v>
      </c>
      <c r="CD130" s="4318">
        <v>0</v>
      </c>
      <c r="CE130" s="4337">
        <f t="shared" si="759"/>
        <v>3367.1794599999998</v>
      </c>
      <c r="CF130" s="4337">
        <f t="shared" si="759"/>
        <v>3367.1794599999998</v>
      </c>
      <c r="CG130" s="4337">
        <f t="shared" si="759"/>
        <v>0</v>
      </c>
      <c r="CH130" s="4337">
        <f t="shared" si="760"/>
        <v>-1832.1855399999999</v>
      </c>
      <c r="CI130" s="4337">
        <f t="shared" si="760"/>
        <v>-1832.1855399999999</v>
      </c>
      <c r="CJ130" s="4337">
        <f t="shared" si="760"/>
        <v>0</v>
      </c>
      <c r="CK130" s="2774"/>
      <c r="CL130" s="3575">
        <f t="shared" si="483"/>
        <v>5199.3649999999998</v>
      </c>
      <c r="CM130" s="3575">
        <f t="shared" si="483"/>
        <v>5199.3649999999998</v>
      </c>
      <c r="CN130" s="3575">
        <f t="shared" si="483"/>
        <v>0</v>
      </c>
    </row>
    <row r="131" spans="1:92" ht="18.75" customHeight="1" x14ac:dyDescent="0.3">
      <c r="A131" s="4342" t="s">
        <v>113</v>
      </c>
      <c r="B131" s="4317">
        <f t="shared" si="761"/>
        <v>391.25221624999995</v>
      </c>
      <c r="C131" s="4317">
        <f t="shared" si="762"/>
        <v>391.25221624999995</v>
      </c>
      <c r="D131" s="4317">
        <f t="shared" si="762"/>
        <v>0</v>
      </c>
      <c r="E131" s="4335">
        <f t="shared" si="606"/>
        <v>128.846</v>
      </c>
      <c r="F131" s="4336">
        <f>0.853+127.993</f>
        <v>128.846</v>
      </c>
      <c r="G131" s="4336"/>
      <c r="H131" s="4335">
        <f t="shared" si="721"/>
        <v>118.51859999999999</v>
      </c>
      <c r="I131" s="4336">
        <f>0.7849+117.7337</f>
        <v>118.51859999999999</v>
      </c>
      <c r="J131" s="4336"/>
      <c r="K131" s="4335">
        <f t="shared" si="723"/>
        <v>117.687</v>
      </c>
      <c r="L131" s="4336">
        <f>0.779+116.908</f>
        <v>117.687</v>
      </c>
      <c r="M131" s="4336"/>
      <c r="N131" s="4335">
        <f t="shared" si="725"/>
        <v>365.05160000000001</v>
      </c>
      <c r="O131" s="4335">
        <f t="shared" si="726"/>
        <v>365.05160000000001</v>
      </c>
      <c r="P131" s="4335">
        <f t="shared" si="726"/>
        <v>0</v>
      </c>
      <c r="Q131" s="4317">
        <f t="shared" si="652"/>
        <v>391.25221624999995</v>
      </c>
      <c r="R131" s="4317">
        <f t="shared" si="763"/>
        <v>391.25221624999995</v>
      </c>
      <c r="S131" s="4317">
        <f t="shared" si="764"/>
        <v>0</v>
      </c>
      <c r="T131" s="4335">
        <f t="shared" si="728"/>
        <v>256.04400000000004</v>
      </c>
      <c r="U131" s="4336">
        <f>1.696+254.348</f>
        <v>256.04400000000004</v>
      </c>
      <c r="V131" s="4336"/>
      <c r="W131" s="4335">
        <f t="shared" si="730"/>
        <v>146.02800000000002</v>
      </c>
      <c r="X131" s="4336">
        <f>0.967+145.061</f>
        <v>146.02800000000002</v>
      </c>
      <c r="Y131" s="4336"/>
      <c r="Z131" s="4335">
        <f t="shared" si="732"/>
        <v>113.937</v>
      </c>
      <c r="AA131" s="4336">
        <f>0.755+113.182</f>
        <v>113.937</v>
      </c>
      <c r="AB131" s="4336"/>
      <c r="AC131" s="4335">
        <f t="shared" si="734"/>
        <v>516.00900000000001</v>
      </c>
      <c r="AD131" s="4335">
        <f t="shared" si="735"/>
        <v>516.00900000000001</v>
      </c>
      <c r="AE131" s="4335">
        <f t="shared" si="735"/>
        <v>0</v>
      </c>
      <c r="AF131" s="4318">
        <f t="shared" si="584"/>
        <v>782.50443249999989</v>
      </c>
      <c r="AG131" s="4318">
        <f t="shared" si="585"/>
        <v>782.50443249999989</v>
      </c>
      <c r="AH131" s="4318">
        <f t="shared" si="585"/>
        <v>0</v>
      </c>
      <c r="AI131" s="4337">
        <f t="shared" si="736"/>
        <v>881.06060000000002</v>
      </c>
      <c r="AJ131" s="4337">
        <f t="shared" si="736"/>
        <v>881.06060000000002</v>
      </c>
      <c r="AK131" s="4337">
        <f t="shared" si="736"/>
        <v>0</v>
      </c>
      <c r="AL131" s="4337">
        <f t="shared" si="737"/>
        <v>98.556167500000129</v>
      </c>
      <c r="AM131" s="4337">
        <f t="shared" si="737"/>
        <v>98.556167500000129</v>
      </c>
      <c r="AN131" s="4337">
        <f t="shared" si="737"/>
        <v>0</v>
      </c>
      <c r="AO131" s="4317">
        <f t="shared" si="738"/>
        <v>391.25221624999995</v>
      </c>
      <c r="AP131" s="4317">
        <f t="shared" si="765"/>
        <v>391.25221624999995</v>
      </c>
      <c r="AQ131" s="4317">
        <f t="shared" si="766"/>
        <v>0</v>
      </c>
      <c r="AR131" s="4335">
        <f t="shared" si="740"/>
        <v>136.863</v>
      </c>
      <c r="AS131" s="4336">
        <v>136.863</v>
      </c>
      <c r="AT131" s="4336"/>
      <c r="AU131" s="4335">
        <f t="shared" si="742"/>
        <v>0</v>
      </c>
      <c r="AV131" s="4336"/>
      <c r="AW131" s="4336"/>
      <c r="AX131" s="4335">
        <f t="shared" si="744"/>
        <v>0</v>
      </c>
      <c r="AY131" s="4336"/>
      <c r="AZ131" s="4336"/>
      <c r="BA131" s="4335">
        <f t="shared" si="746"/>
        <v>136.863</v>
      </c>
      <c r="BB131" s="4335">
        <f t="shared" si="747"/>
        <v>136.863</v>
      </c>
      <c r="BC131" s="4335">
        <f t="shared" si="747"/>
        <v>0</v>
      </c>
      <c r="BD131" s="4318">
        <f t="shared" si="692"/>
        <v>1173.7566487499998</v>
      </c>
      <c r="BE131" s="4318">
        <f t="shared" si="693"/>
        <v>1173.7566487499998</v>
      </c>
      <c r="BF131" s="4318">
        <f t="shared" si="694"/>
        <v>0</v>
      </c>
      <c r="BG131" s="4337">
        <f t="shared" si="748"/>
        <v>1017.9236000000001</v>
      </c>
      <c r="BH131" s="4337">
        <f t="shared" si="748"/>
        <v>1017.9236000000001</v>
      </c>
      <c r="BI131" s="4337">
        <f t="shared" si="748"/>
        <v>0</v>
      </c>
      <c r="BJ131" s="4337">
        <f t="shared" si="749"/>
        <v>-155.83304874999976</v>
      </c>
      <c r="BK131" s="4337">
        <f t="shared" si="749"/>
        <v>-155.83304874999976</v>
      </c>
      <c r="BL131" s="4337">
        <f t="shared" si="749"/>
        <v>0</v>
      </c>
      <c r="BM131" s="4317">
        <f t="shared" si="767"/>
        <v>391.25221624999995</v>
      </c>
      <c r="BN131" s="4317">
        <f t="shared" si="768"/>
        <v>391.25221624999995</v>
      </c>
      <c r="BO131" s="4317">
        <f t="shared" si="769"/>
        <v>0</v>
      </c>
      <c r="BP131" s="4335">
        <f t="shared" si="751"/>
        <v>0</v>
      </c>
      <c r="BQ131" s="4336"/>
      <c r="BR131" s="4336"/>
      <c r="BS131" s="4335">
        <f t="shared" si="753"/>
        <v>0</v>
      </c>
      <c r="BT131" s="4336"/>
      <c r="BU131" s="4336"/>
      <c r="BV131" s="4335">
        <f t="shared" si="755"/>
        <v>0</v>
      </c>
      <c r="BW131" s="4336"/>
      <c r="BX131" s="4336"/>
      <c r="BY131" s="4335">
        <f t="shared" si="757"/>
        <v>0</v>
      </c>
      <c r="BZ131" s="4335">
        <f t="shared" si="758"/>
        <v>0</v>
      </c>
      <c r="CA131" s="4335">
        <f t="shared" si="758"/>
        <v>0</v>
      </c>
      <c r="CB131" s="4318">
        <f t="shared" si="770"/>
        <v>1565.0088649999998</v>
      </c>
      <c r="CC131" s="4318">
        <f>SUM(CC130*30.1%)</f>
        <v>1565.0088649999998</v>
      </c>
      <c r="CD131" s="4318">
        <v>0</v>
      </c>
      <c r="CE131" s="4337">
        <f t="shared" si="759"/>
        <v>1017.9236000000001</v>
      </c>
      <c r="CF131" s="4337">
        <f t="shared" si="759"/>
        <v>1017.9236000000001</v>
      </c>
      <c r="CG131" s="4337">
        <f t="shared" si="759"/>
        <v>0</v>
      </c>
      <c r="CH131" s="4337">
        <f t="shared" si="760"/>
        <v>-547.08526499999971</v>
      </c>
      <c r="CI131" s="4337">
        <f t="shared" si="760"/>
        <v>-547.08526499999971</v>
      </c>
      <c r="CJ131" s="4337">
        <f t="shared" si="760"/>
        <v>0</v>
      </c>
      <c r="CK131" s="2774"/>
      <c r="CL131" s="3575">
        <f t="shared" si="483"/>
        <v>1565.0088649999998</v>
      </c>
      <c r="CM131" s="3575">
        <f t="shared" si="483"/>
        <v>1565.0088649999998</v>
      </c>
      <c r="CN131" s="3575">
        <f t="shared" si="483"/>
        <v>0</v>
      </c>
    </row>
    <row r="132" spans="1:92" ht="18.75" customHeight="1" x14ac:dyDescent="0.3">
      <c r="A132" s="4342" t="s">
        <v>52</v>
      </c>
      <c r="B132" s="4317">
        <f t="shared" si="761"/>
        <v>2.7869999999999999</v>
      </c>
      <c r="C132" s="4317">
        <f t="shared" si="762"/>
        <v>2.7869999999999999</v>
      </c>
      <c r="D132" s="4317">
        <f t="shared" si="762"/>
        <v>0</v>
      </c>
      <c r="E132" s="4335">
        <f t="shared" si="606"/>
        <v>1.05</v>
      </c>
      <c r="F132" s="4336">
        <v>1.05</v>
      </c>
      <c r="G132" s="4336"/>
      <c r="H132" s="4335">
        <f t="shared" si="721"/>
        <v>1.02</v>
      </c>
      <c r="I132" s="4336">
        <v>1.02</v>
      </c>
      <c r="J132" s="4336"/>
      <c r="K132" s="4335">
        <f t="shared" si="723"/>
        <v>1.0609999999999999</v>
      </c>
      <c r="L132" s="4336">
        <v>1.0609999999999999</v>
      </c>
      <c r="M132" s="4336"/>
      <c r="N132" s="4335">
        <f t="shared" si="725"/>
        <v>3.1310000000000002</v>
      </c>
      <c r="O132" s="4335">
        <f t="shared" si="726"/>
        <v>3.1310000000000002</v>
      </c>
      <c r="P132" s="4335">
        <f t="shared" si="726"/>
        <v>0</v>
      </c>
      <c r="Q132" s="4317">
        <f t="shared" si="652"/>
        <v>2.7869999999999999</v>
      </c>
      <c r="R132" s="4317">
        <f t="shared" si="763"/>
        <v>2.7869999999999999</v>
      </c>
      <c r="S132" s="4317">
        <f t="shared" si="764"/>
        <v>0</v>
      </c>
      <c r="T132" s="4335">
        <f t="shared" si="728"/>
        <v>1.2070000000000001</v>
      </c>
      <c r="U132" s="4336">
        <v>1.2070000000000001</v>
      </c>
      <c r="V132" s="4336"/>
      <c r="W132" s="4335">
        <f t="shared" si="730"/>
        <v>1.2110000000000001</v>
      </c>
      <c r="X132" s="4336">
        <v>1.2110000000000001</v>
      </c>
      <c r="Y132" s="4336"/>
      <c r="Z132" s="4335">
        <f t="shared" si="732"/>
        <v>1.292</v>
      </c>
      <c r="AA132" s="4336">
        <v>1.292</v>
      </c>
      <c r="AB132" s="4336"/>
      <c r="AC132" s="4335">
        <f t="shared" si="734"/>
        <v>3.71</v>
      </c>
      <c r="AD132" s="4335">
        <f t="shared" si="735"/>
        <v>3.71</v>
      </c>
      <c r="AE132" s="4335">
        <f t="shared" si="735"/>
        <v>0</v>
      </c>
      <c r="AF132" s="4318">
        <f t="shared" si="584"/>
        <v>5.5739999999999998</v>
      </c>
      <c r="AG132" s="4318">
        <f t="shared" si="585"/>
        <v>5.5739999999999998</v>
      </c>
      <c r="AH132" s="4318">
        <f t="shared" si="585"/>
        <v>0</v>
      </c>
      <c r="AI132" s="4337">
        <f t="shared" si="736"/>
        <v>6.8410000000000002</v>
      </c>
      <c r="AJ132" s="4337">
        <f t="shared" si="736"/>
        <v>6.8410000000000002</v>
      </c>
      <c r="AK132" s="4337">
        <f t="shared" si="736"/>
        <v>0</v>
      </c>
      <c r="AL132" s="4337">
        <f t="shared" si="737"/>
        <v>1.2670000000000003</v>
      </c>
      <c r="AM132" s="4337">
        <f t="shared" si="737"/>
        <v>1.2670000000000003</v>
      </c>
      <c r="AN132" s="4337">
        <f t="shared" si="737"/>
        <v>0</v>
      </c>
      <c r="AO132" s="4317">
        <f t="shared" si="738"/>
        <v>2.7869999999999999</v>
      </c>
      <c r="AP132" s="4317">
        <f t="shared" si="765"/>
        <v>2.7869999999999999</v>
      </c>
      <c r="AQ132" s="4317">
        <f t="shared" si="766"/>
        <v>0</v>
      </c>
      <c r="AR132" s="4335">
        <f t="shared" si="740"/>
        <v>1.2250000000000001</v>
      </c>
      <c r="AS132" s="4336">
        <v>1.2250000000000001</v>
      </c>
      <c r="AT132" s="4336"/>
      <c r="AU132" s="4335">
        <f t="shared" si="742"/>
        <v>0</v>
      </c>
      <c r="AV132" s="4336"/>
      <c r="AW132" s="4336"/>
      <c r="AX132" s="4335">
        <f t="shared" si="744"/>
        <v>0</v>
      </c>
      <c r="AY132" s="4336"/>
      <c r="AZ132" s="4336"/>
      <c r="BA132" s="4335">
        <f t="shared" si="746"/>
        <v>1.2250000000000001</v>
      </c>
      <c r="BB132" s="4335">
        <f t="shared" si="747"/>
        <v>1.2250000000000001</v>
      </c>
      <c r="BC132" s="4335">
        <f t="shared" si="747"/>
        <v>0</v>
      </c>
      <c r="BD132" s="4318">
        <f t="shared" si="692"/>
        <v>8.3610000000000007</v>
      </c>
      <c r="BE132" s="4318">
        <f t="shared" si="693"/>
        <v>8.3610000000000007</v>
      </c>
      <c r="BF132" s="4318">
        <f t="shared" si="694"/>
        <v>0</v>
      </c>
      <c r="BG132" s="4337">
        <f t="shared" si="748"/>
        <v>8.0660000000000007</v>
      </c>
      <c r="BH132" s="4337">
        <f t="shared" si="748"/>
        <v>8.0660000000000007</v>
      </c>
      <c r="BI132" s="4337">
        <f t="shared" si="748"/>
        <v>0</v>
      </c>
      <c r="BJ132" s="4337">
        <f t="shared" si="749"/>
        <v>-0.29499999999999993</v>
      </c>
      <c r="BK132" s="4337">
        <f t="shared" si="749"/>
        <v>-0.29499999999999993</v>
      </c>
      <c r="BL132" s="4337">
        <f t="shared" si="749"/>
        <v>0</v>
      </c>
      <c r="BM132" s="4317">
        <f t="shared" si="767"/>
        <v>2.7869999999999999</v>
      </c>
      <c r="BN132" s="4317">
        <f t="shared" si="768"/>
        <v>2.7869999999999999</v>
      </c>
      <c r="BO132" s="4317">
        <f t="shared" si="769"/>
        <v>0</v>
      </c>
      <c r="BP132" s="4335">
        <f t="shared" si="751"/>
        <v>0</v>
      </c>
      <c r="BQ132" s="4336"/>
      <c r="BR132" s="4336"/>
      <c r="BS132" s="4335">
        <f t="shared" si="753"/>
        <v>0</v>
      </c>
      <c r="BT132" s="4336"/>
      <c r="BU132" s="4336"/>
      <c r="BV132" s="4335">
        <f t="shared" si="755"/>
        <v>0</v>
      </c>
      <c r="BW132" s="4336"/>
      <c r="BX132" s="4336"/>
      <c r="BY132" s="4335">
        <f t="shared" si="757"/>
        <v>0</v>
      </c>
      <c r="BZ132" s="4335">
        <f t="shared" si="758"/>
        <v>0</v>
      </c>
      <c r="CA132" s="4335">
        <f t="shared" si="758"/>
        <v>0</v>
      </c>
      <c r="CB132" s="4318">
        <f t="shared" si="770"/>
        <v>11.148</v>
      </c>
      <c r="CC132" s="4318">
        <v>11.148</v>
      </c>
      <c r="CD132" s="4318">
        <v>0</v>
      </c>
      <c r="CE132" s="4337">
        <f t="shared" si="759"/>
        <v>8.0660000000000007</v>
      </c>
      <c r="CF132" s="4337">
        <f t="shared" si="759"/>
        <v>8.0660000000000007</v>
      </c>
      <c r="CG132" s="4337">
        <f t="shared" si="759"/>
        <v>0</v>
      </c>
      <c r="CH132" s="4337">
        <f t="shared" si="760"/>
        <v>-3.081999999999999</v>
      </c>
      <c r="CI132" s="4337">
        <f t="shared" si="760"/>
        <v>-3.081999999999999</v>
      </c>
      <c r="CJ132" s="4337">
        <f t="shared" si="760"/>
        <v>0</v>
      </c>
      <c r="CK132" s="2774"/>
      <c r="CL132" s="3575">
        <f t="shared" si="483"/>
        <v>11.148</v>
      </c>
      <c r="CM132" s="3575">
        <f t="shared" si="483"/>
        <v>11.148</v>
      </c>
      <c r="CN132" s="3575">
        <f t="shared" si="483"/>
        <v>0</v>
      </c>
    </row>
    <row r="133" spans="1:92" ht="18.75" customHeight="1" x14ac:dyDescent="0.3">
      <c r="A133" s="4342" t="s">
        <v>588</v>
      </c>
      <c r="B133" s="4317">
        <f t="shared" si="761"/>
        <v>60.5748125</v>
      </c>
      <c r="C133" s="4317">
        <f t="shared" si="762"/>
        <v>60.5748125</v>
      </c>
      <c r="D133" s="4317">
        <f t="shared" si="762"/>
        <v>0</v>
      </c>
      <c r="E133" s="4335">
        <f t="shared" si="606"/>
        <v>59.826999999999998</v>
      </c>
      <c r="F133" s="4336">
        <v>59.826999999999998</v>
      </c>
      <c r="G133" s="4336"/>
      <c r="H133" s="4335">
        <f t="shared" si="721"/>
        <v>13.83</v>
      </c>
      <c r="I133" s="4336">
        <v>13.83</v>
      </c>
      <c r="J133" s="4336"/>
      <c r="K133" s="4335">
        <f t="shared" si="723"/>
        <v>32.447000000000003</v>
      </c>
      <c r="L133" s="4336">
        <v>32.447000000000003</v>
      </c>
      <c r="M133" s="4336"/>
      <c r="N133" s="4335">
        <f t="shared" si="725"/>
        <v>106.104</v>
      </c>
      <c r="O133" s="4335">
        <f t="shared" si="726"/>
        <v>106.104</v>
      </c>
      <c r="P133" s="4335">
        <f t="shared" si="726"/>
        <v>0</v>
      </c>
      <c r="Q133" s="4317">
        <f t="shared" si="652"/>
        <v>60.5748125</v>
      </c>
      <c r="R133" s="4317">
        <f t="shared" si="763"/>
        <v>60.5748125</v>
      </c>
      <c r="S133" s="4317">
        <f t="shared" si="764"/>
        <v>0</v>
      </c>
      <c r="T133" s="4335">
        <f t="shared" si="728"/>
        <v>5.6559999999999997</v>
      </c>
      <c r="U133" s="4336">
        <v>5.6559999999999997</v>
      </c>
      <c r="V133" s="4336"/>
      <c r="W133" s="4335">
        <f t="shared" si="730"/>
        <v>22.632000000000001</v>
      </c>
      <c r="X133" s="4336">
        <v>22.632000000000001</v>
      </c>
      <c r="Y133" s="4336"/>
      <c r="Z133" s="4335">
        <f t="shared" si="732"/>
        <v>11.952999999999999</v>
      </c>
      <c r="AA133" s="4336">
        <v>11.952999999999999</v>
      </c>
      <c r="AB133" s="4336"/>
      <c r="AC133" s="4335">
        <f t="shared" si="734"/>
        <v>40.241</v>
      </c>
      <c r="AD133" s="4335">
        <f t="shared" si="735"/>
        <v>40.241</v>
      </c>
      <c r="AE133" s="4335">
        <f t="shared" si="735"/>
        <v>0</v>
      </c>
      <c r="AF133" s="4318">
        <f t="shared" si="584"/>
        <v>121.149625</v>
      </c>
      <c r="AG133" s="4318">
        <f t="shared" si="585"/>
        <v>121.149625</v>
      </c>
      <c r="AH133" s="4318">
        <f t="shared" si="585"/>
        <v>0</v>
      </c>
      <c r="AI133" s="4337">
        <f t="shared" si="736"/>
        <v>146.345</v>
      </c>
      <c r="AJ133" s="4337">
        <f t="shared" si="736"/>
        <v>146.345</v>
      </c>
      <c r="AK133" s="4337">
        <f t="shared" si="736"/>
        <v>0</v>
      </c>
      <c r="AL133" s="4337">
        <f t="shared" si="737"/>
        <v>25.195374999999999</v>
      </c>
      <c r="AM133" s="4337">
        <f t="shared" si="737"/>
        <v>25.195374999999999</v>
      </c>
      <c r="AN133" s="4337">
        <f t="shared" si="737"/>
        <v>0</v>
      </c>
      <c r="AO133" s="4317">
        <f t="shared" si="738"/>
        <v>60.5748125</v>
      </c>
      <c r="AP133" s="4317">
        <f t="shared" si="765"/>
        <v>60.5748125</v>
      </c>
      <c r="AQ133" s="4317">
        <f t="shared" si="766"/>
        <v>0</v>
      </c>
      <c r="AR133" s="4335">
        <f t="shared" si="740"/>
        <v>8.7910000000000004</v>
      </c>
      <c r="AS133" s="4336">
        <v>8.7910000000000004</v>
      </c>
      <c r="AT133" s="4336"/>
      <c r="AU133" s="4335">
        <f t="shared" si="742"/>
        <v>0</v>
      </c>
      <c r="AV133" s="4336"/>
      <c r="AW133" s="4336"/>
      <c r="AX133" s="4335">
        <f t="shared" si="744"/>
        <v>0</v>
      </c>
      <c r="AY133" s="4336"/>
      <c r="AZ133" s="4336"/>
      <c r="BA133" s="4335">
        <f t="shared" si="746"/>
        <v>8.7910000000000004</v>
      </c>
      <c r="BB133" s="4335">
        <f t="shared" si="747"/>
        <v>8.7910000000000004</v>
      </c>
      <c r="BC133" s="4335">
        <f t="shared" si="747"/>
        <v>0</v>
      </c>
      <c r="BD133" s="4318">
        <f t="shared" si="692"/>
        <v>181.72443749999999</v>
      </c>
      <c r="BE133" s="4318">
        <f t="shared" si="693"/>
        <v>181.72443749999999</v>
      </c>
      <c r="BF133" s="4318">
        <f t="shared" si="694"/>
        <v>0</v>
      </c>
      <c r="BG133" s="4337">
        <f t="shared" si="748"/>
        <v>155.136</v>
      </c>
      <c r="BH133" s="4337">
        <f t="shared" si="748"/>
        <v>155.136</v>
      </c>
      <c r="BI133" s="4337">
        <f t="shared" si="748"/>
        <v>0</v>
      </c>
      <c r="BJ133" s="4337">
        <f t="shared" si="749"/>
        <v>-26.588437499999998</v>
      </c>
      <c r="BK133" s="4337">
        <f t="shared" si="749"/>
        <v>-26.588437499999998</v>
      </c>
      <c r="BL133" s="4337">
        <f t="shared" si="749"/>
        <v>0</v>
      </c>
      <c r="BM133" s="4317">
        <f t="shared" si="767"/>
        <v>60.5748125</v>
      </c>
      <c r="BN133" s="4317">
        <f t="shared" si="768"/>
        <v>60.5748125</v>
      </c>
      <c r="BO133" s="4317">
        <f t="shared" si="769"/>
        <v>0</v>
      </c>
      <c r="BP133" s="4335">
        <f t="shared" si="751"/>
        <v>0</v>
      </c>
      <c r="BQ133" s="4336"/>
      <c r="BR133" s="4336"/>
      <c r="BS133" s="4335">
        <f t="shared" si="753"/>
        <v>0</v>
      </c>
      <c r="BT133" s="4336"/>
      <c r="BU133" s="4336"/>
      <c r="BV133" s="4335">
        <f t="shared" si="755"/>
        <v>0</v>
      </c>
      <c r="BW133" s="4336"/>
      <c r="BX133" s="4336"/>
      <c r="BY133" s="4335">
        <f t="shared" si="757"/>
        <v>0</v>
      </c>
      <c r="BZ133" s="4335">
        <f t="shared" si="758"/>
        <v>0</v>
      </c>
      <c r="CA133" s="4335">
        <f t="shared" si="758"/>
        <v>0</v>
      </c>
      <c r="CB133" s="4318">
        <f t="shared" si="770"/>
        <v>242.29925</v>
      </c>
      <c r="CC133" s="4318">
        <v>242.29925</v>
      </c>
      <c r="CD133" s="4318">
        <v>0</v>
      </c>
      <c r="CE133" s="4337">
        <f t="shared" si="759"/>
        <v>155.136</v>
      </c>
      <c r="CF133" s="4337">
        <f t="shared" si="759"/>
        <v>155.136</v>
      </c>
      <c r="CG133" s="4337">
        <f t="shared" si="759"/>
        <v>0</v>
      </c>
      <c r="CH133" s="4337">
        <f t="shared" si="760"/>
        <v>-87.163250000000005</v>
      </c>
      <c r="CI133" s="4337">
        <f t="shared" si="760"/>
        <v>-87.163250000000005</v>
      </c>
      <c r="CJ133" s="4337">
        <f t="shared" si="760"/>
        <v>0</v>
      </c>
      <c r="CK133" s="2774"/>
      <c r="CL133" s="3575">
        <f t="shared" si="483"/>
        <v>242.29925</v>
      </c>
      <c r="CM133" s="3575">
        <f t="shared" si="483"/>
        <v>242.29925</v>
      </c>
      <c r="CN133" s="3575">
        <f t="shared" si="483"/>
        <v>0</v>
      </c>
    </row>
    <row r="134" spans="1:92" ht="18.75" customHeight="1" x14ac:dyDescent="0.3">
      <c r="A134" s="4342" t="s">
        <v>38</v>
      </c>
      <c r="B134" s="4317">
        <f t="shared" si="761"/>
        <v>4.8137499999999998</v>
      </c>
      <c r="C134" s="4317">
        <f t="shared" si="762"/>
        <v>4.8137499999999998</v>
      </c>
      <c r="D134" s="4317">
        <f t="shared" si="762"/>
        <v>0</v>
      </c>
      <c r="E134" s="4335">
        <f t="shared" si="606"/>
        <v>0</v>
      </c>
      <c r="F134" s="4336"/>
      <c r="G134" s="4336"/>
      <c r="H134" s="4335">
        <f t="shared" si="721"/>
        <v>0</v>
      </c>
      <c r="I134" s="4336"/>
      <c r="J134" s="4336"/>
      <c r="K134" s="4335">
        <f t="shared" si="723"/>
        <v>0</v>
      </c>
      <c r="L134" s="4336"/>
      <c r="M134" s="4336"/>
      <c r="N134" s="4335">
        <f t="shared" si="725"/>
        <v>0</v>
      </c>
      <c r="O134" s="4335">
        <f t="shared" si="726"/>
        <v>0</v>
      </c>
      <c r="P134" s="4335">
        <f t="shared" si="726"/>
        <v>0</v>
      </c>
      <c r="Q134" s="4317">
        <f t="shared" si="652"/>
        <v>4.8137499999999998</v>
      </c>
      <c r="R134" s="4317">
        <f t="shared" si="763"/>
        <v>4.8137499999999998</v>
      </c>
      <c r="S134" s="4317">
        <f t="shared" si="764"/>
        <v>0</v>
      </c>
      <c r="T134" s="4335">
        <f t="shared" si="728"/>
        <v>0</v>
      </c>
      <c r="U134" s="4336"/>
      <c r="V134" s="4336"/>
      <c r="W134" s="4335">
        <f t="shared" si="730"/>
        <v>0</v>
      </c>
      <c r="X134" s="4336"/>
      <c r="Y134" s="4336"/>
      <c r="Z134" s="4335">
        <f t="shared" si="732"/>
        <v>5.48</v>
      </c>
      <c r="AA134" s="4336">
        <v>5.48</v>
      </c>
      <c r="AB134" s="4336"/>
      <c r="AC134" s="4335">
        <f t="shared" si="734"/>
        <v>5.48</v>
      </c>
      <c r="AD134" s="4335">
        <f t="shared" si="735"/>
        <v>5.48</v>
      </c>
      <c r="AE134" s="4335">
        <f t="shared" si="735"/>
        <v>0</v>
      </c>
      <c r="AF134" s="4318">
        <f t="shared" si="584"/>
        <v>9.6274999999999995</v>
      </c>
      <c r="AG134" s="4318">
        <f t="shared" si="585"/>
        <v>9.6274999999999995</v>
      </c>
      <c r="AH134" s="4318">
        <f t="shared" si="585"/>
        <v>0</v>
      </c>
      <c r="AI134" s="4337">
        <f t="shared" si="736"/>
        <v>5.48</v>
      </c>
      <c r="AJ134" s="4337">
        <f t="shared" si="736"/>
        <v>5.48</v>
      </c>
      <c r="AK134" s="4337">
        <f t="shared" si="736"/>
        <v>0</v>
      </c>
      <c r="AL134" s="4337">
        <f t="shared" si="737"/>
        <v>-4.1474999999999991</v>
      </c>
      <c r="AM134" s="4337">
        <f t="shared" si="737"/>
        <v>-4.1474999999999991</v>
      </c>
      <c r="AN134" s="4337">
        <f t="shared" si="737"/>
        <v>0</v>
      </c>
      <c r="AO134" s="4317">
        <f t="shared" si="738"/>
        <v>4.8137499999999998</v>
      </c>
      <c r="AP134" s="4317">
        <f t="shared" si="765"/>
        <v>4.8137499999999998</v>
      </c>
      <c r="AQ134" s="4317">
        <f t="shared" si="766"/>
        <v>0</v>
      </c>
      <c r="AR134" s="4335">
        <f t="shared" si="740"/>
        <v>0</v>
      </c>
      <c r="AS134" s="4336"/>
      <c r="AT134" s="4336"/>
      <c r="AU134" s="4335">
        <f t="shared" si="742"/>
        <v>0</v>
      </c>
      <c r="AV134" s="4336"/>
      <c r="AW134" s="4336"/>
      <c r="AX134" s="4335">
        <f t="shared" si="744"/>
        <v>0</v>
      </c>
      <c r="AY134" s="4336"/>
      <c r="AZ134" s="4336"/>
      <c r="BA134" s="4335">
        <f t="shared" si="746"/>
        <v>0</v>
      </c>
      <c r="BB134" s="4335">
        <f t="shared" si="747"/>
        <v>0</v>
      </c>
      <c r="BC134" s="4335">
        <f t="shared" si="747"/>
        <v>0</v>
      </c>
      <c r="BD134" s="4318">
        <f t="shared" si="692"/>
        <v>14.44125</v>
      </c>
      <c r="BE134" s="4318">
        <f t="shared" si="693"/>
        <v>14.44125</v>
      </c>
      <c r="BF134" s="4318">
        <f t="shared" si="694"/>
        <v>0</v>
      </c>
      <c r="BG134" s="4337">
        <f t="shared" si="748"/>
        <v>5.48</v>
      </c>
      <c r="BH134" s="4337">
        <f t="shared" si="748"/>
        <v>5.48</v>
      </c>
      <c r="BI134" s="4337">
        <f t="shared" si="748"/>
        <v>0</v>
      </c>
      <c r="BJ134" s="4337">
        <f t="shared" si="749"/>
        <v>-8.9612499999999997</v>
      </c>
      <c r="BK134" s="4337">
        <f t="shared" si="749"/>
        <v>-8.9612499999999997</v>
      </c>
      <c r="BL134" s="4337">
        <f t="shared" si="749"/>
        <v>0</v>
      </c>
      <c r="BM134" s="4317">
        <f t="shared" si="767"/>
        <v>4.8137499999999998</v>
      </c>
      <c r="BN134" s="4317">
        <f t="shared" si="768"/>
        <v>4.8137499999999998</v>
      </c>
      <c r="BO134" s="4317">
        <f t="shared" si="769"/>
        <v>0</v>
      </c>
      <c r="BP134" s="4335">
        <f t="shared" si="751"/>
        <v>0</v>
      </c>
      <c r="BQ134" s="4336"/>
      <c r="BR134" s="4336"/>
      <c r="BS134" s="4335">
        <f t="shared" si="753"/>
        <v>0</v>
      </c>
      <c r="BT134" s="4336"/>
      <c r="BU134" s="4336"/>
      <c r="BV134" s="4335">
        <f t="shared" si="755"/>
        <v>0</v>
      </c>
      <c r="BW134" s="4336"/>
      <c r="BX134" s="4336"/>
      <c r="BY134" s="4335">
        <f t="shared" si="757"/>
        <v>0</v>
      </c>
      <c r="BZ134" s="4335">
        <f t="shared" si="758"/>
        <v>0</v>
      </c>
      <c r="CA134" s="4335">
        <f t="shared" si="758"/>
        <v>0</v>
      </c>
      <c r="CB134" s="4318">
        <f t="shared" si="770"/>
        <v>19.254999999999999</v>
      </c>
      <c r="CC134" s="4318">
        <v>19.254999999999999</v>
      </c>
      <c r="CD134" s="4318">
        <v>0</v>
      </c>
      <c r="CE134" s="4337">
        <f t="shared" si="759"/>
        <v>5.48</v>
      </c>
      <c r="CF134" s="4337">
        <f t="shared" si="759"/>
        <v>5.48</v>
      </c>
      <c r="CG134" s="4337">
        <f t="shared" si="759"/>
        <v>0</v>
      </c>
      <c r="CH134" s="4337">
        <f t="shared" si="760"/>
        <v>-13.774999999999999</v>
      </c>
      <c r="CI134" s="4337">
        <f t="shared" si="760"/>
        <v>-13.774999999999999</v>
      </c>
      <c r="CJ134" s="4337">
        <f t="shared" si="760"/>
        <v>0</v>
      </c>
      <c r="CK134" s="2774"/>
      <c r="CL134" s="3575">
        <f t="shared" si="483"/>
        <v>19.254999999999999</v>
      </c>
      <c r="CM134" s="3575">
        <f t="shared" si="483"/>
        <v>19.254999999999999</v>
      </c>
      <c r="CN134" s="3575">
        <f t="shared" si="483"/>
        <v>0</v>
      </c>
    </row>
    <row r="135" spans="1:92" ht="18.75" customHeight="1" x14ac:dyDescent="0.3">
      <c r="A135" s="4342" t="s">
        <v>32</v>
      </c>
      <c r="B135" s="4317">
        <f t="shared" si="761"/>
        <v>85.791250000000005</v>
      </c>
      <c r="C135" s="4317">
        <f t="shared" si="762"/>
        <v>85.791250000000005</v>
      </c>
      <c r="D135" s="4317">
        <f t="shared" si="762"/>
        <v>0</v>
      </c>
      <c r="E135" s="4335">
        <f t="shared" si="606"/>
        <v>115.333</v>
      </c>
      <c r="F135" s="4336">
        <f>5.333+110</f>
        <v>115.333</v>
      </c>
      <c r="G135" s="4336"/>
      <c r="H135" s="4335">
        <f t="shared" si="721"/>
        <v>113.667</v>
      </c>
      <c r="I135" s="4336">
        <f>3.667+110</f>
        <v>113.667</v>
      </c>
      <c r="J135" s="4336"/>
      <c r="K135" s="4335">
        <f t="shared" si="723"/>
        <v>113.667</v>
      </c>
      <c r="L135" s="4336">
        <f>3.667+110</f>
        <v>113.667</v>
      </c>
      <c r="M135" s="4336"/>
      <c r="N135" s="4335">
        <f t="shared" si="725"/>
        <v>342.66700000000003</v>
      </c>
      <c r="O135" s="4335">
        <f t="shared" si="726"/>
        <v>342.66700000000003</v>
      </c>
      <c r="P135" s="4335">
        <f t="shared" si="726"/>
        <v>0</v>
      </c>
      <c r="Q135" s="4317">
        <f t="shared" si="652"/>
        <v>85.791250000000005</v>
      </c>
      <c r="R135" s="4317">
        <f t="shared" si="763"/>
        <v>85.791250000000005</v>
      </c>
      <c r="S135" s="4317">
        <f t="shared" si="764"/>
        <v>0</v>
      </c>
      <c r="T135" s="4335">
        <f t="shared" si="728"/>
        <v>113.667</v>
      </c>
      <c r="U135" s="4336">
        <f>3.667+110</f>
        <v>113.667</v>
      </c>
      <c r="V135" s="4336"/>
      <c r="W135" s="4335">
        <f t="shared" si="730"/>
        <v>113.667</v>
      </c>
      <c r="X135" s="4336">
        <f>3.667+110</f>
        <v>113.667</v>
      </c>
      <c r="Y135" s="4336"/>
      <c r="Z135" s="4335">
        <f t="shared" si="732"/>
        <v>113.667</v>
      </c>
      <c r="AA135" s="4336">
        <f>3.667+110</f>
        <v>113.667</v>
      </c>
      <c r="AB135" s="4336"/>
      <c r="AC135" s="4335">
        <f t="shared" si="734"/>
        <v>341.00099999999998</v>
      </c>
      <c r="AD135" s="4335">
        <f t="shared" si="735"/>
        <v>341.00099999999998</v>
      </c>
      <c r="AE135" s="4335">
        <f t="shared" si="735"/>
        <v>0</v>
      </c>
      <c r="AF135" s="4318">
        <f t="shared" si="584"/>
        <v>171.58250000000001</v>
      </c>
      <c r="AG135" s="4318">
        <f t="shared" si="585"/>
        <v>171.58250000000001</v>
      </c>
      <c r="AH135" s="4318">
        <f t="shared" si="585"/>
        <v>0</v>
      </c>
      <c r="AI135" s="4337">
        <f t="shared" si="736"/>
        <v>683.66800000000001</v>
      </c>
      <c r="AJ135" s="4337">
        <f t="shared" si="736"/>
        <v>683.66800000000001</v>
      </c>
      <c r="AK135" s="4337">
        <f t="shared" si="736"/>
        <v>0</v>
      </c>
      <c r="AL135" s="4337">
        <f t="shared" si="737"/>
        <v>512.08550000000002</v>
      </c>
      <c r="AM135" s="4337">
        <f t="shared" si="737"/>
        <v>512.08550000000002</v>
      </c>
      <c r="AN135" s="4337">
        <f t="shared" si="737"/>
        <v>0</v>
      </c>
      <c r="AO135" s="4317">
        <f t="shared" si="738"/>
        <v>85.791250000000005</v>
      </c>
      <c r="AP135" s="4317">
        <f t="shared" si="765"/>
        <v>85.791250000000005</v>
      </c>
      <c r="AQ135" s="4317">
        <f t="shared" si="766"/>
        <v>0</v>
      </c>
      <c r="AR135" s="4335">
        <f t="shared" si="740"/>
        <v>126.977</v>
      </c>
      <c r="AS135" s="4336">
        <f>3.667+123.31</f>
        <v>126.977</v>
      </c>
      <c r="AT135" s="4336"/>
      <c r="AU135" s="4335">
        <f t="shared" si="742"/>
        <v>0</v>
      </c>
      <c r="AV135" s="4336"/>
      <c r="AW135" s="4336"/>
      <c r="AX135" s="4335">
        <f t="shared" si="744"/>
        <v>0</v>
      </c>
      <c r="AY135" s="4336"/>
      <c r="AZ135" s="4336"/>
      <c r="BA135" s="4335">
        <f t="shared" si="746"/>
        <v>126.977</v>
      </c>
      <c r="BB135" s="4335">
        <f t="shared" si="747"/>
        <v>126.977</v>
      </c>
      <c r="BC135" s="4335">
        <f t="shared" si="747"/>
        <v>0</v>
      </c>
      <c r="BD135" s="4318">
        <f t="shared" si="692"/>
        <v>257.37375000000003</v>
      </c>
      <c r="BE135" s="4318">
        <f t="shared" si="693"/>
        <v>257.37375000000003</v>
      </c>
      <c r="BF135" s="4318">
        <f t="shared" si="694"/>
        <v>0</v>
      </c>
      <c r="BG135" s="4337">
        <f t="shared" si="748"/>
        <v>810.64499999999998</v>
      </c>
      <c r="BH135" s="4337">
        <f t="shared" si="748"/>
        <v>810.64499999999998</v>
      </c>
      <c r="BI135" s="4337">
        <f t="shared" si="748"/>
        <v>0</v>
      </c>
      <c r="BJ135" s="4337">
        <f t="shared" si="749"/>
        <v>553.27125000000001</v>
      </c>
      <c r="BK135" s="4337">
        <f t="shared" si="749"/>
        <v>553.27125000000001</v>
      </c>
      <c r="BL135" s="4337">
        <f t="shared" si="749"/>
        <v>0</v>
      </c>
      <c r="BM135" s="4317">
        <f t="shared" si="767"/>
        <v>85.791250000000005</v>
      </c>
      <c r="BN135" s="4317">
        <f t="shared" si="768"/>
        <v>85.791250000000005</v>
      </c>
      <c r="BO135" s="4317">
        <f t="shared" si="769"/>
        <v>0</v>
      </c>
      <c r="BP135" s="4335">
        <f t="shared" si="751"/>
        <v>0</v>
      </c>
      <c r="BQ135" s="4336"/>
      <c r="BR135" s="4336"/>
      <c r="BS135" s="4335">
        <f t="shared" si="753"/>
        <v>0</v>
      </c>
      <c r="BT135" s="4336"/>
      <c r="BU135" s="4336"/>
      <c r="BV135" s="4335">
        <f t="shared" si="755"/>
        <v>0</v>
      </c>
      <c r="BW135" s="4336"/>
      <c r="BX135" s="4336"/>
      <c r="BY135" s="4335">
        <f t="shared" si="757"/>
        <v>0</v>
      </c>
      <c r="BZ135" s="4335">
        <f t="shared" si="758"/>
        <v>0</v>
      </c>
      <c r="CA135" s="4335">
        <f t="shared" si="758"/>
        <v>0</v>
      </c>
      <c r="CB135" s="4318">
        <f t="shared" si="770"/>
        <v>343.16500000000002</v>
      </c>
      <c r="CC135" s="4318">
        <v>343.16500000000002</v>
      </c>
      <c r="CD135" s="4318">
        <v>0</v>
      </c>
      <c r="CE135" s="4337">
        <f t="shared" si="759"/>
        <v>810.64499999999998</v>
      </c>
      <c r="CF135" s="4337">
        <f t="shared" si="759"/>
        <v>810.64499999999998</v>
      </c>
      <c r="CG135" s="4337">
        <f t="shared" si="759"/>
        <v>0</v>
      </c>
      <c r="CH135" s="4337">
        <f t="shared" si="760"/>
        <v>467.47999999999996</v>
      </c>
      <c r="CI135" s="4337">
        <f t="shared" si="760"/>
        <v>467.47999999999996</v>
      </c>
      <c r="CJ135" s="4337">
        <f t="shared" si="760"/>
        <v>0</v>
      </c>
      <c r="CK135" s="2774"/>
      <c r="CL135" s="3575">
        <f t="shared" si="483"/>
        <v>343.16500000000002</v>
      </c>
      <c r="CM135" s="3575">
        <f t="shared" si="483"/>
        <v>343.16500000000002</v>
      </c>
      <c r="CN135" s="3575">
        <f t="shared" si="483"/>
        <v>0</v>
      </c>
    </row>
    <row r="136" spans="1:92" ht="18.75" customHeight="1" x14ac:dyDescent="0.3">
      <c r="A136" s="4342" t="s">
        <v>589</v>
      </c>
      <c r="B136" s="4317">
        <f t="shared" si="761"/>
        <v>13.96025</v>
      </c>
      <c r="C136" s="4317">
        <f t="shared" ref="C136:D136" si="771">SUM(C137)</f>
        <v>13.96025</v>
      </c>
      <c r="D136" s="4317">
        <f t="shared" si="771"/>
        <v>0</v>
      </c>
      <c r="E136" s="4335">
        <f t="shared" si="606"/>
        <v>0</v>
      </c>
      <c r="F136" s="4316">
        <f t="shared" ref="F136:M136" si="772">SUM(F137)</f>
        <v>0</v>
      </c>
      <c r="G136" s="4316">
        <f t="shared" si="772"/>
        <v>0</v>
      </c>
      <c r="H136" s="4335">
        <f t="shared" si="721"/>
        <v>62.097999999999999</v>
      </c>
      <c r="I136" s="4316">
        <f t="shared" si="772"/>
        <v>62.097999999999999</v>
      </c>
      <c r="J136" s="4316">
        <f t="shared" si="772"/>
        <v>0</v>
      </c>
      <c r="K136" s="4335">
        <f t="shared" si="723"/>
        <v>2.4870000000000001</v>
      </c>
      <c r="L136" s="4316">
        <f t="shared" si="772"/>
        <v>2.4870000000000001</v>
      </c>
      <c r="M136" s="4316">
        <f t="shared" si="772"/>
        <v>0</v>
      </c>
      <c r="N136" s="4335">
        <f t="shared" si="725"/>
        <v>64.584999999999994</v>
      </c>
      <c r="O136" s="4335">
        <f t="shared" si="726"/>
        <v>64.584999999999994</v>
      </c>
      <c r="P136" s="4335">
        <f t="shared" si="726"/>
        <v>0</v>
      </c>
      <c r="Q136" s="4317">
        <f t="shared" si="652"/>
        <v>13.96025</v>
      </c>
      <c r="R136" s="4317">
        <f t="shared" ref="R136:S136" si="773">SUM(R137)</f>
        <v>13.96025</v>
      </c>
      <c r="S136" s="4317">
        <f t="shared" si="773"/>
        <v>0</v>
      </c>
      <c r="T136" s="4335">
        <f t="shared" si="728"/>
        <v>14.596</v>
      </c>
      <c r="U136" s="4316">
        <f t="shared" ref="U136:AB136" si="774">SUM(U137)</f>
        <v>14.596</v>
      </c>
      <c r="V136" s="4316">
        <f t="shared" si="774"/>
        <v>0</v>
      </c>
      <c r="W136" s="4335">
        <f t="shared" si="730"/>
        <v>13.269</v>
      </c>
      <c r="X136" s="4316">
        <f t="shared" si="774"/>
        <v>13.269</v>
      </c>
      <c r="Y136" s="4316">
        <f t="shared" si="774"/>
        <v>0</v>
      </c>
      <c r="Z136" s="4335">
        <f t="shared" si="732"/>
        <v>1.542</v>
      </c>
      <c r="AA136" s="4316">
        <f t="shared" si="774"/>
        <v>1.542</v>
      </c>
      <c r="AB136" s="4316">
        <f t="shared" si="774"/>
        <v>0</v>
      </c>
      <c r="AC136" s="4335">
        <f t="shared" si="734"/>
        <v>29.407000000000004</v>
      </c>
      <c r="AD136" s="4335">
        <f t="shared" si="735"/>
        <v>29.407000000000004</v>
      </c>
      <c r="AE136" s="4335">
        <f t="shared" si="735"/>
        <v>0</v>
      </c>
      <c r="AF136" s="4318">
        <f t="shared" si="584"/>
        <v>27.920500000000001</v>
      </c>
      <c r="AG136" s="4318">
        <f t="shared" si="585"/>
        <v>27.920500000000001</v>
      </c>
      <c r="AH136" s="4318">
        <f t="shared" si="585"/>
        <v>0</v>
      </c>
      <c r="AI136" s="4337">
        <f t="shared" si="736"/>
        <v>93.99199999999999</v>
      </c>
      <c r="AJ136" s="4337">
        <f t="shared" si="736"/>
        <v>93.99199999999999</v>
      </c>
      <c r="AK136" s="4337">
        <f t="shared" si="736"/>
        <v>0</v>
      </c>
      <c r="AL136" s="4337">
        <f t="shared" si="737"/>
        <v>66.071499999999986</v>
      </c>
      <c r="AM136" s="4337">
        <f t="shared" si="737"/>
        <v>66.071499999999986</v>
      </c>
      <c r="AN136" s="4337">
        <f t="shared" si="737"/>
        <v>0</v>
      </c>
      <c r="AO136" s="4317">
        <f t="shared" si="738"/>
        <v>13.96025</v>
      </c>
      <c r="AP136" s="4317">
        <f t="shared" ref="AP136:AQ136" si="775">SUM(AP137)</f>
        <v>13.96025</v>
      </c>
      <c r="AQ136" s="4317">
        <f t="shared" si="775"/>
        <v>0</v>
      </c>
      <c r="AR136" s="4335">
        <f t="shared" si="740"/>
        <v>0.435</v>
      </c>
      <c r="AS136" s="4316">
        <f t="shared" ref="AS136:AZ136" si="776">SUM(AS137)</f>
        <v>0.435</v>
      </c>
      <c r="AT136" s="4316">
        <f t="shared" si="776"/>
        <v>0</v>
      </c>
      <c r="AU136" s="4335">
        <f t="shared" si="742"/>
        <v>0</v>
      </c>
      <c r="AV136" s="4316">
        <f t="shared" si="776"/>
        <v>0</v>
      </c>
      <c r="AW136" s="4316">
        <f t="shared" si="776"/>
        <v>0</v>
      </c>
      <c r="AX136" s="4335">
        <f t="shared" si="744"/>
        <v>0</v>
      </c>
      <c r="AY136" s="4316">
        <f t="shared" si="776"/>
        <v>0</v>
      </c>
      <c r="AZ136" s="4316">
        <f t="shared" si="776"/>
        <v>0</v>
      </c>
      <c r="BA136" s="4335">
        <f t="shared" si="746"/>
        <v>0.435</v>
      </c>
      <c r="BB136" s="4335">
        <f t="shared" si="747"/>
        <v>0.435</v>
      </c>
      <c r="BC136" s="4335">
        <f t="shared" si="747"/>
        <v>0</v>
      </c>
      <c r="BD136" s="4318">
        <f t="shared" si="692"/>
        <v>41.880749999999999</v>
      </c>
      <c r="BE136" s="4318">
        <f t="shared" si="693"/>
        <v>41.880749999999999</v>
      </c>
      <c r="BF136" s="4318">
        <f t="shared" si="694"/>
        <v>0</v>
      </c>
      <c r="BG136" s="4337">
        <f t="shared" si="748"/>
        <v>94.426999999999992</v>
      </c>
      <c r="BH136" s="4337">
        <f t="shared" si="748"/>
        <v>94.426999999999992</v>
      </c>
      <c r="BI136" s="4337">
        <f t="shared" si="748"/>
        <v>0</v>
      </c>
      <c r="BJ136" s="4337">
        <f t="shared" si="749"/>
        <v>52.546249999999993</v>
      </c>
      <c r="BK136" s="4337">
        <f t="shared" si="749"/>
        <v>52.546249999999993</v>
      </c>
      <c r="BL136" s="4337">
        <f t="shared" si="749"/>
        <v>0</v>
      </c>
      <c r="BM136" s="4317">
        <f t="shared" si="767"/>
        <v>13.96025</v>
      </c>
      <c r="BN136" s="4317">
        <f t="shared" ref="BN136:BO136" si="777">SUM(BN137)</f>
        <v>13.96025</v>
      </c>
      <c r="BO136" s="4317">
        <f t="shared" si="777"/>
        <v>0</v>
      </c>
      <c r="BP136" s="4335">
        <f t="shared" si="751"/>
        <v>0</v>
      </c>
      <c r="BQ136" s="4316">
        <f t="shared" ref="BQ136:BX136" si="778">SUM(BQ137)</f>
        <v>0</v>
      </c>
      <c r="BR136" s="4316">
        <f t="shared" si="778"/>
        <v>0</v>
      </c>
      <c r="BS136" s="4335">
        <f t="shared" si="753"/>
        <v>0</v>
      </c>
      <c r="BT136" s="4316">
        <f t="shared" si="778"/>
        <v>0</v>
      </c>
      <c r="BU136" s="4316">
        <f t="shared" si="778"/>
        <v>0</v>
      </c>
      <c r="BV136" s="4335">
        <f t="shared" si="755"/>
        <v>0</v>
      </c>
      <c r="BW136" s="4316">
        <f t="shared" si="778"/>
        <v>0</v>
      </c>
      <c r="BX136" s="4316">
        <f t="shared" si="778"/>
        <v>0</v>
      </c>
      <c r="BY136" s="4335">
        <f t="shared" si="757"/>
        <v>0</v>
      </c>
      <c r="BZ136" s="4335">
        <f t="shared" si="758"/>
        <v>0</v>
      </c>
      <c r="CA136" s="4335">
        <f t="shared" si="758"/>
        <v>0</v>
      </c>
      <c r="CB136" s="4318">
        <f t="shared" si="712"/>
        <v>55.841000000000001</v>
      </c>
      <c r="CC136" s="4318">
        <f t="shared" ref="CC136:CD136" si="779">SUM(CC137)</f>
        <v>55.841000000000001</v>
      </c>
      <c r="CD136" s="4318">
        <f t="shared" si="779"/>
        <v>0</v>
      </c>
      <c r="CE136" s="4337">
        <f t="shared" si="759"/>
        <v>94.426999999999992</v>
      </c>
      <c r="CF136" s="4337">
        <f t="shared" si="759"/>
        <v>94.426999999999992</v>
      </c>
      <c r="CG136" s="4337">
        <f t="shared" si="759"/>
        <v>0</v>
      </c>
      <c r="CH136" s="4337">
        <f t="shared" si="760"/>
        <v>38.585999999999991</v>
      </c>
      <c r="CI136" s="4337">
        <f t="shared" si="760"/>
        <v>38.585999999999991</v>
      </c>
      <c r="CJ136" s="4337">
        <f t="shared" si="760"/>
        <v>0</v>
      </c>
      <c r="CK136" s="2774"/>
      <c r="CL136" s="3575">
        <f t="shared" si="483"/>
        <v>55.841000000000001</v>
      </c>
      <c r="CM136" s="3575">
        <f t="shared" si="483"/>
        <v>55.841000000000001</v>
      </c>
      <c r="CN136" s="3575">
        <f t="shared" si="483"/>
        <v>0</v>
      </c>
    </row>
    <row r="137" spans="1:92" ht="18.75" customHeight="1" x14ac:dyDescent="0.3">
      <c r="A137" s="4343" t="s">
        <v>546</v>
      </c>
      <c r="B137" s="4324">
        <f t="shared" si="761"/>
        <v>13.96025</v>
      </c>
      <c r="C137" s="4324">
        <f t="shared" ref="C137" si="780">SUM(CC137/4)</f>
        <v>13.96025</v>
      </c>
      <c r="D137" s="4324">
        <f t="shared" ref="D137" si="781">SUM(CD137/4)</f>
        <v>0</v>
      </c>
      <c r="E137" s="4344">
        <f t="shared" si="606"/>
        <v>0</v>
      </c>
      <c r="F137" s="4345"/>
      <c r="G137" s="4345"/>
      <c r="H137" s="4344">
        <f t="shared" si="721"/>
        <v>62.097999999999999</v>
      </c>
      <c r="I137" s="4345">
        <v>62.097999999999999</v>
      </c>
      <c r="J137" s="4345"/>
      <c r="K137" s="4344">
        <f t="shared" si="723"/>
        <v>2.4870000000000001</v>
      </c>
      <c r="L137" s="4345">
        <v>2.4870000000000001</v>
      </c>
      <c r="M137" s="4345"/>
      <c r="N137" s="4344">
        <f t="shared" si="725"/>
        <v>64.584999999999994</v>
      </c>
      <c r="O137" s="4344">
        <f t="shared" si="726"/>
        <v>64.584999999999994</v>
      </c>
      <c r="P137" s="4344">
        <f t="shared" si="726"/>
        <v>0</v>
      </c>
      <c r="Q137" s="4324">
        <f t="shared" si="652"/>
        <v>13.96025</v>
      </c>
      <c r="R137" s="4324">
        <f t="shared" ref="R137" si="782">SUM(C137)</f>
        <v>13.96025</v>
      </c>
      <c r="S137" s="4324">
        <f t="shared" ref="S137" si="783">SUM(D137)</f>
        <v>0</v>
      </c>
      <c r="T137" s="4344">
        <f t="shared" si="728"/>
        <v>14.596</v>
      </c>
      <c r="U137" s="4345">
        <v>14.596</v>
      </c>
      <c r="V137" s="4345"/>
      <c r="W137" s="4344">
        <f t="shared" si="730"/>
        <v>13.269</v>
      </c>
      <c r="X137" s="4345">
        <v>13.269</v>
      </c>
      <c r="Y137" s="4345"/>
      <c r="Z137" s="4344">
        <f t="shared" si="732"/>
        <v>1.542</v>
      </c>
      <c r="AA137" s="4345">
        <v>1.542</v>
      </c>
      <c r="AB137" s="4345"/>
      <c r="AC137" s="4344">
        <f t="shared" si="734"/>
        <v>29.407000000000004</v>
      </c>
      <c r="AD137" s="4344">
        <f t="shared" si="735"/>
        <v>29.407000000000004</v>
      </c>
      <c r="AE137" s="4344">
        <f t="shared" si="735"/>
        <v>0</v>
      </c>
      <c r="AF137" s="4326">
        <f t="shared" si="584"/>
        <v>27.920500000000001</v>
      </c>
      <c r="AG137" s="4326">
        <f t="shared" si="585"/>
        <v>27.920500000000001</v>
      </c>
      <c r="AH137" s="4326">
        <f t="shared" si="585"/>
        <v>0</v>
      </c>
      <c r="AI137" s="4340">
        <f t="shared" si="736"/>
        <v>93.99199999999999</v>
      </c>
      <c r="AJ137" s="4340">
        <f t="shared" si="736"/>
        <v>93.99199999999999</v>
      </c>
      <c r="AK137" s="4340">
        <f t="shared" si="736"/>
        <v>0</v>
      </c>
      <c r="AL137" s="4340">
        <f t="shared" si="737"/>
        <v>66.071499999999986</v>
      </c>
      <c r="AM137" s="4340">
        <f t="shared" si="737"/>
        <v>66.071499999999986</v>
      </c>
      <c r="AN137" s="4340">
        <f t="shared" si="737"/>
        <v>0</v>
      </c>
      <c r="AO137" s="4324">
        <f t="shared" ref="AO137" si="784">SUM(AP137:AQ137)</f>
        <v>13.96025</v>
      </c>
      <c r="AP137" s="4324">
        <f t="shared" ref="AP137" si="785">SUM(CC137-AG137)/2</f>
        <v>13.96025</v>
      </c>
      <c r="AQ137" s="4324">
        <f t="shared" ref="AQ137" si="786">SUM(CD137-AH137)/2</f>
        <v>0</v>
      </c>
      <c r="AR137" s="4344">
        <f t="shared" si="740"/>
        <v>0.435</v>
      </c>
      <c r="AS137" s="4345">
        <v>0.435</v>
      </c>
      <c r="AT137" s="4345"/>
      <c r="AU137" s="4344">
        <f t="shared" si="742"/>
        <v>0</v>
      </c>
      <c r="AV137" s="4345"/>
      <c r="AW137" s="4345"/>
      <c r="AX137" s="4344">
        <f t="shared" si="744"/>
        <v>0</v>
      </c>
      <c r="AY137" s="4345"/>
      <c r="AZ137" s="4345"/>
      <c r="BA137" s="4344">
        <f t="shared" si="746"/>
        <v>0.435</v>
      </c>
      <c r="BB137" s="4344">
        <f t="shared" si="747"/>
        <v>0.435</v>
      </c>
      <c r="BC137" s="4344">
        <f t="shared" si="747"/>
        <v>0</v>
      </c>
      <c r="BD137" s="4326">
        <f t="shared" si="692"/>
        <v>41.880749999999999</v>
      </c>
      <c r="BE137" s="4326">
        <f t="shared" si="693"/>
        <v>41.880749999999999</v>
      </c>
      <c r="BF137" s="4326">
        <f t="shared" si="694"/>
        <v>0</v>
      </c>
      <c r="BG137" s="4340">
        <f t="shared" si="748"/>
        <v>94.426999999999992</v>
      </c>
      <c r="BH137" s="4340">
        <f t="shared" si="748"/>
        <v>94.426999999999992</v>
      </c>
      <c r="BI137" s="4340">
        <f t="shared" si="748"/>
        <v>0</v>
      </c>
      <c r="BJ137" s="4340">
        <f t="shared" si="749"/>
        <v>52.546249999999993</v>
      </c>
      <c r="BK137" s="4340">
        <f t="shared" si="749"/>
        <v>52.546249999999993</v>
      </c>
      <c r="BL137" s="4340">
        <f t="shared" si="749"/>
        <v>0</v>
      </c>
      <c r="BM137" s="4324">
        <f t="shared" si="767"/>
        <v>13.96025</v>
      </c>
      <c r="BN137" s="4324">
        <f t="shared" ref="BN137:BO137" si="787">SUM(AP137)</f>
        <v>13.96025</v>
      </c>
      <c r="BO137" s="4324">
        <f t="shared" si="787"/>
        <v>0</v>
      </c>
      <c r="BP137" s="4344">
        <f t="shared" si="751"/>
        <v>0</v>
      </c>
      <c r="BQ137" s="4345"/>
      <c r="BR137" s="4345"/>
      <c r="BS137" s="4344">
        <f t="shared" si="753"/>
        <v>0</v>
      </c>
      <c r="BT137" s="4345"/>
      <c r="BU137" s="4345"/>
      <c r="BV137" s="4344">
        <f t="shared" si="755"/>
        <v>0</v>
      </c>
      <c r="BW137" s="4345"/>
      <c r="BX137" s="4345"/>
      <c r="BY137" s="4344">
        <f t="shared" si="757"/>
        <v>0</v>
      </c>
      <c r="BZ137" s="4344">
        <f t="shared" si="758"/>
        <v>0</v>
      </c>
      <c r="CA137" s="4344">
        <f t="shared" si="758"/>
        <v>0</v>
      </c>
      <c r="CB137" s="4326">
        <f t="shared" si="770"/>
        <v>55.841000000000001</v>
      </c>
      <c r="CC137" s="4326">
        <v>55.841000000000001</v>
      </c>
      <c r="CD137" s="4326">
        <v>0</v>
      </c>
      <c r="CE137" s="4340">
        <f t="shared" si="759"/>
        <v>94.426999999999992</v>
      </c>
      <c r="CF137" s="4340">
        <f t="shared" si="759"/>
        <v>94.426999999999992</v>
      </c>
      <c r="CG137" s="4340">
        <f t="shared" si="759"/>
        <v>0</v>
      </c>
      <c r="CH137" s="4340">
        <f t="shared" si="760"/>
        <v>38.585999999999991</v>
      </c>
      <c r="CI137" s="4340">
        <f t="shared" si="760"/>
        <v>38.585999999999991</v>
      </c>
      <c r="CJ137" s="4340">
        <f t="shared" si="760"/>
        <v>0</v>
      </c>
      <c r="CK137" s="2774"/>
      <c r="CL137" s="3575">
        <f t="shared" si="483"/>
        <v>55.841000000000001</v>
      </c>
      <c r="CM137" s="3575">
        <f t="shared" si="483"/>
        <v>55.841000000000001</v>
      </c>
      <c r="CN137" s="3575">
        <f t="shared" si="483"/>
        <v>0</v>
      </c>
    </row>
    <row r="138" spans="1:92" ht="18.75" customHeight="1" x14ac:dyDescent="0.3">
      <c r="A138" s="4342" t="s">
        <v>592</v>
      </c>
      <c r="B138" s="4317">
        <f t="shared" si="761"/>
        <v>67.143249999999995</v>
      </c>
      <c r="C138" s="4317">
        <f>SUM(C139:C141)</f>
        <v>67.143249999999995</v>
      </c>
      <c r="D138" s="4317">
        <f>SUM(D139:D141)</f>
        <v>0</v>
      </c>
      <c r="E138" s="4335">
        <f t="shared" si="606"/>
        <v>11.506</v>
      </c>
      <c r="F138" s="4316">
        <f>SUM(F139:F141)</f>
        <v>11.506</v>
      </c>
      <c r="G138" s="4316">
        <f t="shared" ref="G138" si="788">SUM(G139:G141)</f>
        <v>0</v>
      </c>
      <c r="H138" s="4335">
        <f t="shared" si="721"/>
        <v>4.6230000000000002</v>
      </c>
      <c r="I138" s="4316">
        <f t="shared" ref="I138:J138" si="789">SUM(I139:I141)</f>
        <v>4.6230000000000002</v>
      </c>
      <c r="J138" s="4316">
        <f t="shared" si="789"/>
        <v>0</v>
      </c>
      <c r="K138" s="4335">
        <f t="shared" si="723"/>
        <v>4.8150000000000004</v>
      </c>
      <c r="L138" s="4316">
        <f t="shared" ref="L138:M138" si="790">SUM(L139:L141)</f>
        <v>4.8150000000000004</v>
      </c>
      <c r="M138" s="4316">
        <f t="shared" si="790"/>
        <v>0</v>
      </c>
      <c r="N138" s="4335">
        <f t="shared" si="725"/>
        <v>20.944000000000003</v>
      </c>
      <c r="O138" s="4335">
        <f t="shared" si="726"/>
        <v>20.944000000000003</v>
      </c>
      <c r="P138" s="4335">
        <f t="shared" si="726"/>
        <v>0</v>
      </c>
      <c r="Q138" s="4317">
        <f t="shared" si="652"/>
        <v>67.143249999999995</v>
      </c>
      <c r="R138" s="4317">
        <f>SUM(R139:R141)</f>
        <v>67.143249999999995</v>
      </c>
      <c r="S138" s="4317">
        <f>SUM(S139:S141)</f>
        <v>0</v>
      </c>
      <c r="T138" s="4335">
        <f t="shared" si="728"/>
        <v>42.594000000000001</v>
      </c>
      <c r="U138" s="4316">
        <f t="shared" ref="U138:V138" si="791">SUM(U139:U141)</f>
        <v>42.594000000000001</v>
      </c>
      <c r="V138" s="4316">
        <f t="shared" si="791"/>
        <v>0</v>
      </c>
      <c r="W138" s="4335">
        <f t="shared" si="730"/>
        <v>25.635000000000002</v>
      </c>
      <c r="X138" s="4316">
        <f t="shared" ref="X138:Y138" si="792">SUM(X139:X141)</f>
        <v>25.635000000000002</v>
      </c>
      <c r="Y138" s="4316">
        <f t="shared" si="792"/>
        <v>0</v>
      </c>
      <c r="Z138" s="4335">
        <f t="shared" si="732"/>
        <v>40.773000000000003</v>
      </c>
      <c r="AA138" s="4316">
        <f t="shared" ref="AA138:AB138" si="793">SUM(AA139:AA141)</f>
        <v>40.773000000000003</v>
      </c>
      <c r="AB138" s="4316">
        <f t="shared" si="793"/>
        <v>0</v>
      </c>
      <c r="AC138" s="4335">
        <f t="shared" si="734"/>
        <v>109.00200000000001</v>
      </c>
      <c r="AD138" s="4335">
        <f t="shared" si="735"/>
        <v>109.00200000000001</v>
      </c>
      <c r="AE138" s="4335">
        <f t="shared" si="735"/>
        <v>0</v>
      </c>
      <c r="AF138" s="4318">
        <f t="shared" si="584"/>
        <v>134.28649999999999</v>
      </c>
      <c r="AG138" s="4318">
        <f t="shared" si="585"/>
        <v>134.28649999999999</v>
      </c>
      <c r="AH138" s="4318">
        <f t="shared" si="585"/>
        <v>0</v>
      </c>
      <c r="AI138" s="4337">
        <f t="shared" si="736"/>
        <v>129.94600000000003</v>
      </c>
      <c r="AJ138" s="4337">
        <f t="shared" si="736"/>
        <v>129.94600000000003</v>
      </c>
      <c r="AK138" s="4337">
        <f t="shared" si="736"/>
        <v>0</v>
      </c>
      <c r="AL138" s="4337">
        <f t="shared" si="737"/>
        <v>-4.3404999999999632</v>
      </c>
      <c r="AM138" s="4337">
        <f t="shared" si="737"/>
        <v>-4.3404999999999632</v>
      </c>
      <c r="AN138" s="4337">
        <f t="shared" si="737"/>
        <v>0</v>
      </c>
      <c r="AO138" s="4317">
        <f t="shared" si="738"/>
        <v>67.143249999999995</v>
      </c>
      <c r="AP138" s="4317">
        <f>SUM(AP139:AP141)</f>
        <v>67.143249999999995</v>
      </c>
      <c r="AQ138" s="4317">
        <f>SUM(AQ139:AQ141)</f>
        <v>0</v>
      </c>
      <c r="AR138" s="4335">
        <f t="shared" si="740"/>
        <v>2.5</v>
      </c>
      <c r="AS138" s="4316">
        <f t="shared" ref="AS138:AT138" si="794">SUM(AS139:AS141)</f>
        <v>2.5</v>
      </c>
      <c r="AT138" s="4316">
        <f t="shared" si="794"/>
        <v>0</v>
      </c>
      <c r="AU138" s="4335">
        <f t="shared" si="742"/>
        <v>0</v>
      </c>
      <c r="AV138" s="4316">
        <f t="shared" ref="AV138:AW138" si="795">SUM(AV139:AV141)</f>
        <v>0</v>
      </c>
      <c r="AW138" s="4316">
        <f t="shared" si="795"/>
        <v>0</v>
      </c>
      <c r="AX138" s="4335">
        <f t="shared" si="744"/>
        <v>0</v>
      </c>
      <c r="AY138" s="4316">
        <f t="shared" ref="AY138:AZ138" si="796">SUM(AY139:AY141)</f>
        <v>0</v>
      </c>
      <c r="AZ138" s="4316">
        <f t="shared" si="796"/>
        <v>0</v>
      </c>
      <c r="BA138" s="4335">
        <f t="shared" si="746"/>
        <v>2.5</v>
      </c>
      <c r="BB138" s="4335">
        <f t="shared" si="747"/>
        <v>2.5</v>
      </c>
      <c r="BC138" s="4335">
        <f t="shared" si="747"/>
        <v>0</v>
      </c>
      <c r="BD138" s="4318">
        <f t="shared" si="692"/>
        <v>201.42974999999998</v>
      </c>
      <c r="BE138" s="4318">
        <f t="shared" si="693"/>
        <v>201.42974999999998</v>
      </c>
      <c r="BF138" s="4318">
        <f t="shared" si="694"/>
        <v>0</v>
      </c>
      <c r="BG138" s="4337">
        <f t="shared" si="748"/>
        <v>132.44600000000003</v>
      </c>
      <c r="BH138" s="4337">
        <f t="shared" si="748"/>
        <v>132.44600000000003</v>
      </c>
      <c r="BI138" s="4337">
        <f t="shared" si="748"/>
        <v>0</v>
      </c>
      <c r="BJ138" s="4337">
        <f t="shared" si="749"/>
        <v>-68.983749999999958</v>
      </c>
      <c r="BK138" s="4337">
        <f t="shared" si="749"/>
        <v>-68.983749999999958</v>
      </c>
      <c r="BL138" s="4337">
        <f t="shared" si="749"/>
        <v>0</v>
      </c>
      <c r="BM138" s="4317">
        <f t="shared" si="767"/>
        <v>67.143249999999995</v>
      </c>
      <c r="BN138" s="4317">
        <f>SUM(BN139:BN141)</f>
        <v>67.143249999999995</v>
      </c>
      <c r="BO138" s="4317">
        <f>SUM(BO139:BO141)</f>
        <v>0</v>
      </c>
      <c r="BP138" s="4335">
        <f t="shared" si="751"/>
        <v>0</v>
      </c>
      <c r="BQ138" s="4316">
        <f t="shared" ref="BQ138:BR138" si="797">SUM(BQ139:BQ141)</f>
        <v>0</v>
      </c>
      <c r="BR138" s="4316">
        <f t="shared" si="797"/>
        <v>0</v>
      </c>
      <c r="BS138" s="4335">
        <f t="shared" si="753"/>
        <v>0</v>
      </c>
      <c r="BT138" s="4316">
        <f t="shared" ref="BT138:BU138" si="798">SUM(BT139:BT141)</f>
        <v>0</v>
      </c>
      <c r="BU138" s="4316">
        <f t="shared" si="798"/>
        <v>0</v>
      </c>
      <c r="BV138" s="4335">
        <f t="shared" si="755"/>
        <v>0</v>
      </c>
      <c r="BW138" s="4316">
        <f t="shared" ref="BW138:BX138" si="799">SUM(BW139:BW141)</f>
        <v>0</v>
      </c>
      <c r="BX138" s="4316">
        <f t="shared" si="799"/>
        <v>0</v>
      </c>
      <c r="BY138" s="4335">
        <f t="shared" si="757"/>
        <v>0</v>
      </c>
      <c r="BZ138" s="4335">
        <f t="shared" si="758"/>
        <v>0</v>
      </c>
      <c r="CA138" s="4335">
        <f t="shared" si="758"/>
        <v>0</v>
      </c>
      <c r="CB138" s="4318">
        <f t="shared" si="712"/>
        <v>268.57299999999998</v>
      </c>
      <c r="CC138" s="4318">
        <f t="shared" ref="CC138:CD138" si="800">SUM(CC139:CC141)</f>
        <v>268.57299999999998</v>
      </c>
      <c r="CD138" s="4318">
        <f t="shared" si="800"/>
        <v>0</v>
      </c>
      <c r="CE138" s="4337">
        <f t="shared" si="759"/>
        <v>132.44600000000003</v>
      </c>
      <c r="CF138" s="4337">
        <f t="shared" si="759"/>
        <v>132.44600000000003</v>
      </c>
      <c r="CG138" s="4337">
        <f t="shared" si="759"/>
        <v>0</v>
      </c>
      <c r="CH138" s="4337">
        <f t="shared" si="760"/>
        <v>-136.12699999999995</v>
      </c>
      <c r="CI138" s="4337">
        <f t="shared" si="760"/>
        <v>-136.12699999999995</v>
      </c>
      <c r="CJ138" s="4337">
        <f t="shared" si="760"/>
        <v>0</v>
      </c>
      <c r="CK138" s="2774"/>
      <c r="CL138" s="3575">
        <f t="shared" si="483"/>
        <v>268.57299999999998</v>
      </c>
      <c r="CM138" s="3575">
        <f t="shared" si="483"/>
        <v>268.57299999999998</v>
      </c>
      <c r="CN138" s="3575">
        <f t="shared" si="483"/>
        <v>0</v>
      </c>
    </row>
    <row r="139" spans="1:92" ht="18.75" customHeight="1" x14ac:dyDescent="0.3">
      <c r="A139" s="4343" t="s">
        <v>532</v>
      </c>
      <c r="B139" s="4324">
        <f t="shared" ref="B139:B154" si="801">SUM(C139:D139)</f>
        <v>46.904000000000003</v>
      </c>
      <c r="C139" s="4324">
        <f t="shared" ref="C139:D141" si="802">SUM(CC139/4)</f>
        <v>46.904000000000003</v>
      </c>
      <c r="D139" s="4324">
        <f t="shared" si="802"/>
        <v>0</v>
      </c>
      <c r="E139" s="4344">
        <f t="shared" si="606"/>
        <v>6.5030000000000001</v>
      </c>
      <c r="F139" s="4345">
        <v>6.5030000000000001</v>
      </c>
      <c r="G139" s="4345"/>
      <c r="H139" s="4344">
        <f t="shared" si="721"/>
        <v>0</v>
      </c>
      <c r="I139" s="4345"/>
      <c r="J139" s="4345"/>
      <c r="K139" s="4344">
        <f t="shared" si="723"/>
        <v>0</v>
      </c>
      <c r="L139" s="4345"/>
      <c r="M139" s="4345"/>
      <c r="N139" s="4344">
        <f t="shared" si="725"/>
        <v>6.5030000000000001</v>
      </c>
      <c r="O139" s="4344">
        <f t="shared" si="726"/>
        <v>6.5030000000000001</v>
      </c>
      <c r="P139" s="4344">
        <f t="shared" si="726"/>
        <v>0</v>
      </c>
      <c r="Q139" s="4324">
        <f t="shared" si="652"/>
        <v>46.904000000000003</v>
      </c>
      <c r="R139" s="4324">
        <f t="shared" ref="R139:R141" si="803">SUM(C139)</f>
        <v>46.904000000000003</v>
      </c>
      <c r="S139" s="4324">
        <f t="shared" ref="S139:S141" si="804">SUM(D139)</f>
        <v>0</v>
      </c>
      <c r="T139" s="4344">
        <f t="shared" si="728"/>
        <v>0</v>
      </c>
      <c r="U139" s="4345"/>
      <c r="V139" s="4345"/>
      <c r="W139" s="4344">
        <f t="shared" si="730"/>
        <v>0</v>
      </c>
      <c r="X139" s="4345"/>
      <c r="Y139" s="4345"/>
      <c r="Z139" s="4344">
        <f t="shared" si="732"/>
        <v>0</v>
      </c>
      <c r="AA139" s="4345"/>
      <c r="AB139" s="4345"/>
      <c r="AC139" s="4344">
        <f t="shared" si="734"/>
        <v>0</v>
      </c>
      <c r="AD139" s="4344">
        <f t="shared" si="735"/>
        <v>0</v>
      </c>
      <c r="AE139" s="4344">
        <f t="shared" si="735"/>
        <v>0</v>
      </c>
      <c r="AF139" s="4326">
        <f t="shared" si="584"/>
        <v>93.808000000000007</v>
      </c>
      <c r="AG139" s="4326">
        <f t="shared" si="585"/>
        <v>93.808000000000007</v>
      </c>
      <c r="AH139" s="4326">
        <f t="shared" si="585"/>
        <v>0</v>
      </c>
      <c r="AI139" s="4340">
        <f t="shared" si="736"/>
        <v>6.5030000000000001</v>
      </c>
      <c r="AJ139" s="4340">
        <f t="shared" si="736"/>
        <v>6.5030000000000001</v>
      </c>
      <c r="AK139" s="4340">
        <f t="shared" si="736"/>
        <v>0</v>
      </c>
      <c r="AL139" s="4340">
        <f t="shared" si="737"/>
        <v>-87.305000000000007</v>
      </c>
      <c r="AM139" s="4340">
        <f t="shared" si="737"/>
        <v>-87.305000000000007</v>
      </c>
      <c r="AN139" s="4340">
        <f t="shared" si="737"/>
        <v>0</v>
      </c>
      <c r="AO139" s="4324">
        <f t="shared" ref="AO139:AO147" si="805">SUM(AP139:AQ139)</f>
        <v>46.904000000000003</v>
      </c>
      <c r="AP139" s="4324">
        <f t="shared" ref="AP139:AQ141" si="806">SUM(CC139-AG139)/2</f>
        <v>46.904000000000003</v>
      </c>
      <c r="AQ139" s="4324">
        <f t="shared" si="806"/>
        <v>0</v>
      </c>
      <c r="AR139" s="4344">
        <f t="shared" si="740"/>
        <v>0</v>
      </c>
      <c r="AS139" s="4345"/>
      <c r="AT139" s="4345"/>
      <c r="AU139" s="4344">
        <f t="shared" si="742"/>
        <v>0</v>
      </c>
      <c r="AV139" s="4345"/>
      <c r="AW139" s="4345"/>
      <c r="AX139" s="4344">
        <f t="shared" si="744"/>
        <v>0</v>
      </c>
      <c r="AY139" s="4345"/>
      <c r="AZ139" s="4345"/>
      <c r="BA139" s="4344">
        <f t="shared" si="746"/>
        <v>0</v>
      </c>
      <c r="BB139" s="4344">
        <f t="shared" si="747"/>
        <v>0</v>
      </c>
      <c r="BC139" s="4344">
        <f t="shared" si="747"/>
        <v>0</v>
      </c>
      <c r="BD139" s="4326">
        <f t="shared" si="692"/>
        <v>140.71200000000002</v>
      </c>
      <c r="BE139" s="4326">
        <f t="shared" si="693"/>
        <v>140.71200000000002</v>
      </c>
      <c r="BF139" s="4326">
        <f t="shared" si="694"/>
        <v>0</v>
      </c>
      <c r="BG139" s="4340">
        <f t="shared" si="748"/>
        <v>6.5030000000000001</v>
      </c>
      <c r="BH139" s="4340">
        <f t="shared" si="748"/>
        <v>6.5030000000000001</v>
      </c>
      <c r="BI139" s="4340">
        <f t="shared" si="748"/>
        <v>0</v>
      </c>
      <c r="BJ139" s="4340">
        <f t="shared" si="749"/>
        <v>-134.209</v>
      </c>
      <c r="BK139" s="4340">
        <f t="shared" si="749"/>
        <v>-134.209</v>
      </c>
      <c r="BL139" s="4340">
        <f t="shared" si="749"/>
        <v>0</v>
      </c>
      <c r="BM139" s="4324">
        <f t="shared" si="767"/>
        <v>46.904000000000003</v>
      </c>
      <c r="BN139" s="4324">
        <f t="shared" ref="BN139:BO141" si="807">SUM(AP139)</f>
        <v>46.904000000000003</v>
      </c>
      <c r="BO139" s="4324">
        <f t="shared" si="807"/>
        <v>0</v>
      </c>
      <c r="BP139" s="4344">
        <f t="shared" si="751"/>
        <v>0</v>
      </c>
      <c r="BQ139" s="4345"/>
      <c r="BR139" s="4345"/>
      <c r="BS139" s="4344">
        <f t="shared" si="753"/>
        <v>0</v>
      </c>
      <c r="BT139" s="4345"/>
      <c r="BU139" s="4345"/>
      <c r="BV139" s="4344">
        <f t="shared" si="755"/>
        <v>0</v>
      </c>
      <c r="BW139" s="4345"/>
      <c r="BX139" s="4345"/>
      <c r="BY139" s="4344">
        <f t="shared" si="757"/>
        <v>0</v>
      </c>
      <c r="BZ139" s="4344">
        <f t="shared" si="758"/>
        <v>0</v>
      </c>
      <c r="CA139" s="4344">
        <f t="shared" si="758"/>
        <v>0</v>
      </c>
      <c r="CB139" s="4326">
        <f t="shared" si="770"/>
        <v>187.61600000000001</v>
      </c>
      <c r="CC139" s="4326">
        <v>187.61600000000001</v>
      </c>
      <c r="CD139" s="4326">
        <v>0</v>
      </c>
      <c r="CE139" s="4340">
        <f t="shared" si="759"/>
        <v>6.5030000000000001</v>
      </c>
      <c r="CF139" s="4340">
        <f t="shared" si="759"/>
        <v>6.5030000000000001</v>
      </c>
      <c r="CG139" s="4340">
        <f t="shared" si="759"/>
        <v>0</v>
      </c>
      <c r="CH139" s="4340">
        <f t="shared" si="760"/>
        <v>-181.113</v>
      </c>
      <c r="CI139" s="4340">
        <f t="shared" si="760"/>
        <v>-181.113</v>
      </c>
      <c r="CJ139" s="4340">
        <f t="shared" si="760"/>
        <v>0</v>
      </c>
      <c r="CK139" s="2774"/>
      <c r="CL139" s="3575">
        <f t="shared" si="483"/>
        <v>187.61600000000001</v>
      </c>
      <c r="CM139" s="3575">
        <f t="shared" si="483"/>
        <v>187.61600000000001</v>
      </c>
      <c r="CN139" s="3575">
        <f t="shared" si="483"/>
        <v>0</v>
      </c>
    </row>
    <row r="140" spans="1:92" ht="18.75" customHeight="1" x14ac:dyDescent="0.3">
      <c r="A140" s="4343" t="s">
        <v>626</v>
      </c>
      <c r="B140" s="4324">
        <f t="shared" si="801"/>
        <v>19.844999999999999</v>
      </c>
      <c r="C140" s="4324">
        <f t="shared" si="802"/>
        <v>19.844999999999999</v>
      </c>
      <c r="D140" s="4324">
        <f t="shared" si="802"/>
        <v>0</v>
      </c>
      <c r="E140" s="4344">
        <f t="shared" si="606"/>
        <v>5.0030000000000001</v>
      </c>
      <c r="F140" s="4345">
        <v>5.0030000000000001</v>
      </c>
      <c r="G140" s="4345"/>
      <c r="H140" s="4344">
        <f t="shared" si="721"/>
        <v>4.6230000000000002</v>
      </c>
      <c r="I140" s="4345">
        <v>4.6230000000000002</v>
      </c>
      <c r="J140" s="4345"/>
      <c r="K140" s="4344">
        <f t="shared" si="723"/>
        <v>4.8150000000000004</v>
      </c>
      <c r="L140" s="4345">
        <v>4.8150000000000004</v>
      </c>
      <c r="M140" s="4345"/>
      <c r="N140" s="4344">
        <f t="shared" si="725"/>
        <v>14.441000000000003</v>
      </c>
      <c r="O140" s="4344">
        <f t="shared" si="726"/>
        <v>14.441000000000003</v>
      </c>
      <c r="P140" s="4344">
        <f t="shared" si="726"/>
        <v>0</v>
      </c>
      <c r="Q140" s="4324">
        <f t="shared" si="652"/>
        <v>19.844999999999999</v>
      </c>
      <c r="R140" s="4324">
        <f t="shared" si="803"/>
        <v>19.844999999999999</v>
      </c>
      <c r="S140" s="4324">
        <f t="shared" si="804"/>
        <v>0</v>
      </c>
      <c r="T140" s="4344">
        <f t="shared" si="728"/>
        <v>42.594000000000001</v>
      </c>
      <c r="U140" s="4345">
        <v>42.594000000000001</v>
      </c>
      <c r="V140" s="4345"/>
      <c r="W140" s="4344">
        <f t="shared" si="730"/>
        <v>25.635000000000002</v>
      </c>
      <c r="X140" s="4345">
        <v>25.635000000000002</v>
      </c>
      <c r="Y140" s="4345"/>
      <c r="Z140" s="4344">
        <f t="shared" si="732"/>
        <v>40.773000000000003</v>
      </c>
      <c r="AA140" s="4345">
        <v>40.773000000000003</v>
      </c>
      <c r="AB140" s="4345"/>
      <c r="AC140" s="4344">
        <f t="shared" si="734"/>
        <v>109.00200000000001</v>
      </c>
      <c r="AD140" s="4344">
        <f t="shared" si="735"/>
        <v>109.00200000000001</v>
      </c>
      <c r="AE140" s="4344">
        <f t="shared" si="735"/>
        <v>0</v>
      </c>
      <c r="AF140" s="4326">
        <f t="shared" si="584"/>
        <v>39.69</v>
      </c>
      <c r="AG140" s="4326">
        <f t="shared" si="585"/>
        <v>39.69</v>
      </c>
      <c r="AH140" s="4326">
        <f t="shared" si="585"/>
        <v>0</v>
      </c>
      <c r="AI140" s="4340">
        <f t="shared" si="736"/>
        <v>123.44300000000001</v>
      </c>
      <c r="AJ140" s="4340">
        <f t="shared" si="736"/>
        <v>123.44300000000001</v>
      </c>
      <c r="AK140" s="4340">
        <f t="shared" si="736"/>
        <v>0</v>
      </c>
      <c r="AL140" s="4340">
        <f t="shared" si="737"/>
        <v>83.753000000000014</v>
      </c>
      <c r="AM140" s="4340">
        <f t="shared" si="737"/>
        <v>83.753000000000014</v>
      </c>
      <c r="AN140" s="4340">
        <f t="shared" si="737"/>
        <v>0</v>
      </c>
      <c r="AO140" s="4324">
        <f t="shared" si="805"/>
        <v>19.844999999999999</v>
      </c>
      <c r="AP140" s="4324">
        <f t="shared" si="806"/>
        <v>19.844999999999999</v>
      </c>
      <c r="AQ140" s="4324">
        <f t="shared" si="806"/>
        <v>0</v>
      </c>
      <c r="AR140" s="4344">
        <f t="shared" si="740"/>
        <v>2.5</v>
      </c>
      <c r="AS140" s="4345">
        <v>2.5</v>
      </c>
      <c r="AT140" s="4345"/>
      <c r="AU140" s="4344">
        <f t="shared" si="742"/>
        <v>0</v>
      </c>
      <c r="AV140" s="4345"/>
      <c r="AW140" s="4345"/>
      <c r="AX140" s="4344">
        <f t="shared" si="744"/>
        <v>0</v>
      </c>
      <c r="AY140" s="4345"/>
      <c r="AZ140" s="4345"/>
      <c r="BA140" s="4344">
        <f t="shared" si="746"/>
        <v>2.5</v>
      </c>
      <c r="BB140" s="4344">
        <f t="shared" si="747"/>
        <v>2.5</v>
      </c>
      <c r="BC140" s="4344">
        <f t="shared" si="747"/>
        <v>0</v>
      </c>
      <c r="BD140" s="4326">
        <f t="shared" si="692"/>
        <v>59.534999999999997</v>
      </c>
      <c r="BE140" s="4326">
        <f t="shared" si="693"/>
        <v>59.534999999999997</v>
      </c>
      <c r="BF140" s="4326">
        <f t="shared" si="694"/>
        <v>0</v>
      </c>
      <c r="BG140" s="4340">
        <f t="shared" si="748"/>
        <v>125.94300000000001</v>
      </c>
      <c r="BH140" s="4340">
        <f t="shared" si="748"/>
        <v>125.94300000000001</v>
      </c>
      <c r="BI140" s="4340">
        <f t="shared" si="748"/>
        <v>0</v>
      </c>
      <c r="BJ140" s="4340">
        <f t="shared" si="749"/>
        <v>66.408000000000015</v>
      </c>
      <c r="BK140" s="4340">
        <f t="shared" si="749"/>
        <v>66.408000000000015</v>
      </c>
      <c r="BL140" s="4340">
        <f t="shared" si="749"/>
        <v>0</v>
      </c>
      <c r="BM140" s="4324">
        <f t="shared" si="767"/>
        <v>19.844999999999999</v>
      </c>
      <c r="BN140" s="4324">
        <f t="shared" si="807"/>
        <v>19.844999999999999</v>
      </c>
      <c r="BO140" s="4324">
        <f t="shared" si="807"/>
        <v>0</v>
      </c>
      <c r="BP140" s="4344">
        <f t="shared" si="751"/>
        <v>0</v>
      </c>
      <c r="BQ140" s="4345"/>
      <c r="BR140" s="4345"/>
      <c r="BS140" s="4344">
        <f t="shared" si="753"/>
        <v>0</v>
      </c>
      <c r="BT140" s="4345"/>
      <c r="BU140" s="4345"/>
      <c r="BV140" s="4344">
        <f t="shared" si="755"/>
        <v>0</v>
      </c>
      <c r="BW140" s="4345"/>
      <c r="BX140" s="4345"/>
      <c r="BY140" s="4344">
        <f t="shared" si="757"/>
        <v>0</v>
      </c>
      <c r="BZ140" s="4344">
        <f t="shared" si="758"/>
        <v>0</v>
      </c>
      <c r="CA140" s="4344">
        <f t="shared" si="758"/>
        <v>0</v>
      </c>
      <c r="CB140" s="4326">
        <f t="shared" si="770"/>
        <v>79.38</v>
      </c>
      <c r="CC140" s="4326">
        <v>79.38</v>
      </c>
      <c r="CD140" s="4326">
        <v>0</v>
      </c>
      <c r="CE140" s="4340">
        <f t="shared" si="759"/>
        <v>125.94300000000001</v>
      </c>
      <c r="CF140" s="4340">
        <f t="shared" si="759"/>
        <v>125.94300000000001</v>
      </c>
      <c r="CG140" s="4340">
        <f t="shared" si="759"/>
        <v>0</v>
      </c>
      <c r="CH140" s="4340">
        <f t="shared" si="760"/>
        <v>46.563000000000017</v>
      </c>
      <c r="CI140" s="4340">
        <f t="shared" si="760"/>
        <v>46.563000000000017</v>
      </c>
      <c r="CJ140" s="4340">
        <f t="shared" si="760"/>
        <v>0</v>
      </c>
      <c r="CK140" s="2774"/>
      <c r="CL140" s="3575">
        <f t="shared" si="483"/>
        <v>79.38</v>
      </c>
      <c r="CM140" s="3575">
        <f t="shared" si="483"/>
        <v>79.38</v>
      </c>
      <c r="CN140" s="3575">
        <f t="shared" si="483"/>
        <v>0</v>
      </c>
    </row>
    <row r="141" spans="1:92" ht="18.75" customHeight="1" x14ac:dyDescent="0.3">
      <c r="A141" s="4343" t="s">
        <v>596</v>
      </c>
      <c r="B141" s="4324">
        <f t="shared" si="801"/>
        <v>0.39424999999999999</v>
      </c>
      <c r="C141" s="4324">
        <f t="shared" si="802"/>
        <v>0.39424999999999999</v>
      </c>
      <c r="D141" s="4324">
        <f t="shared" si="802"/>
        <v>0</v>
      </c>
      <c r="E141" s="4344">
        <f t="shared" si="606"/>
        <v>0</v>
      </c>
      <c r="F141" s="4345"/>
      <c r="G141" s="4345"/>
      <c r="H141" s="4344">
        <f t="shared" si="721"/>
        <v>0</v>
      </c>
      <c r="I141" s="4345"/>
      <c r="J141" s="4345"/>
      <c r="K141" s="4344">
        <f t="shared" si="723"/>
        <v>0</v>
      </c>
      <c r="L141" s="4345"/>
      <c r="M141" s="4345"/>
      <c r="N141" s="4344">
        <f t="shared" si="725"/>
        <v>0</v>
      </c>
      <c r="O141" s="4344">
        <f t="shared" si="726"/>
        <v>0</v>
      </c>
      <c r="P141" s="4344">
        <f t="shared" si="726"/>
        <v>0</v>
      </c>
      <c r="Q141" s="4324">
        <f t="shared" si="652"/>
        <v>0.39424999999999999</v>
      </c>
      <c r="R141" s="4324">
        <f t="shared" si="803"/>
        <v>0.39424999999999999</v>
      </c>
      <c r="S141" s="4324">
        <f t="shared" si="804"/>
        <v>0</v>
      </c>
      <c r="T141" s="4344">
        <f t="shared" si="728"/>
        <v>0</v>
      </c>
      <c r="U141" s="4345"/>
      <c r="V141" s="4345"/>
      <c r="W141" s="4344">
        <f t="shared" si="730"/>
        <v>0</v>
      </c>
      <c r="X141" s="4345"/>
      <c r="Y141" s="4345"/>
      <c r="Z141" s="4344">
        <f t="shared" si="732"/>
        <v>0</v>
      </c>
      <c r="AA141" s="4345"/>
      <c r="AB141" s="4345"/>
      <c r="AC141" s="4344">
        <f t="shared" si="734"/>
        <v>0</v>
      </c>
      <c r="AD141" s="4344">
        <f t="shared" si="735"/>
        <v>0</v>
      </c>
      <c r="AE141" s="4344">
        <f t="shared" si="735"/>
        <v>0</v>
      </c>
      <c r="AF141" s="4326">
        <f t="shared" si="584"/>
        <v>0.78849999999999998</v>
      </c>
      <c r="AG141" s="4326">
        <f t="shared" si="585"/>
        <v>0.78849999999999998</v>
      </c>
      <c r="AH141" s="4326">
        <f t="shared" si="585"/>
        <v>0</v>
      </c>
      <c r="AI141" s="4340">
        <f t="shared" si="736"/>
        <v>0</v>
      </c>
      <c r="AJ141" s="4340">
        <f t="shared" si="736"/>
        <v>0</v>
      </c>
      <c r="AK141" s="4340">
        <f t="shared" si="736"/>
        <v>0</v>
      </c>
      <c r="AL141" s="4340">
        <f t="shared" si="737"/>
        <v>-0.78849999999999998</v>
      </c>
      <c r="AM141" s="4340">
        <f t="shared" si="737"/>
        <v>-0.78849999999999998</v>
      </c>
      <c r="AN141" s="4340">
        <f t="shared" si="737"/>
        <v>0</v>
      </c>
      <c r="AO141" s="4324">
        <f t="shared" si="805"/>
        <v>0.39424999999999999</v>
      </c>
      <c r="AP141" s="4324">
        <f t="shared" si="806"/>
        <v>0.39424999999999999</v>
      </c>
      <c r="AQ141" s="4324">
        <f t="shared" si="806"/>
        <v>0</v>
      </c>
      <c r="AR141" s="4344">
        <f t="shared" si="740"/>
        <v>0</v>
      </c>
      <c r="AS141" s="4345"/>
      <c r="AT141" s="4345"/>
      <c r="AU141" s="4344">
        <f t="shared" si="742"/>
        <v>0</v>
      </c>
      <c r="AV141" s="4345"/>
      <c r="AW141" s="4345"/>
      <c r="AX141" s="4344">
        <f t="shared" si="744"/>
        <v>0</v>
      </c>
      <c r="AY141" s="4345"/>
      <c r="AZ141" s="4345"/>
      <c r="BA141" s="4344">
        <f t="shared" si="746"/>
        <v>0</v>
      </c>
      <c r="BB141" s="4344">
        <f t="shared" si="747"/>
        <v>0</v>
      </c>
      <c r="BC141" s="4344">
        <f t="shared" si="747"/>
        <v>0</v>
      </c>
      <c r="BD141" s="4326">
        <f t="shared" si="692"/>
        <v>1.18275</v>
      </c>
      <c r="BE141" s="4326">
        <f t="shared" si="693"/>
        <v>1.18275</v>
      </c>
      <c r="BF141" s="4326">
        <f t="shared" si="694"/>
        <v>0</v>
      </c>
      <c r="BG141" s="4340">
        <f t="shared" si="748"/>
        <v>0</v>
      </c>
      <c r="BH141" s="4340">
        <f t="shared" si="748"/>
        <v>0</v>
      </c>
      <c r="BI141" s="4340">
        <f t="shared" si="748"/>
        <v>0</v>
      </c>
      <c r="BJ141" s="4340">
        <f t="shared" si="749"/>
        <v>-1.18275</v>
      </c>
      <c r="BK141" s="4340">
        <f t="shared" si="749"/>
        <v>-1.18275</v>
      </c>
      <c r="BL141" s="4340">
        <f t="shared" si="749"/>
        <v>0</v>
      </c>
      <c r="BM141" s="4324">
        <f t="shared" si="767"/>
        <v>0.39424999999999999</v>
      </c>
      <c r="BN141" s="4324">
        <f t="shared" si="807"/>
        <v>0.39424999999999999</v>
      </c>
      <c r="BO141" s="4324">
        <f t="shared" si="807"/>
        <v>0</v>
      </c>
      <c r="BP141" s="4344">
        <f t="shared" si="751"/>
        <v>0</v>
      </c>
      <c r="BQ141" s="4345"/>
      <c r="BR141" s="4345"/>
      <c r="BS141" s="4344">
        <f t="shared" si="753"/>
        <v>0</v>
      </c>
      <c r="BT141" s="4345"/>
      <c r="BU141" s="4345"/>
      <c r="BV141" s="4344">
        <f t="shared" si="755"/>
        <v>0</v>
      </c>
      <c r="BW141" s="4345"/>
      <c r="BX141" s="4345"/>
      <c r="BY141" s="4344">
        <f t="shared" si="757"/>
        <v>0</v>
      </c>
      <c r="BZ141" s="4344">
        <f t="shared" si="758"/>
        <v>0</v>
      </c>
      <c r="CA141" s="4344">
        <f t="shared" si="758"/>
        <v>0</v>
      </c>
      <c r="CB141" s="4326">
        <f t="shared" si="770"/>
        <v>1.577</v>
      </c>
      <c r="CC141" s="4326">
        <v>1.577</v>
      </c>
      <c r="CD141" s="4326">
        <v>0</v>
      </c>
      <c r="CE141" s="4340">
        <f t="shared" si="759"/>
        <v>0</v>
      </c>
      <c r="CF141" s="4340">
        <f t="shared" si="759"/>
        <v>0</v>
      </c>
      <c r="CG141" s="4340">
        <f t="shared" si="759"/>
        <v>0</v>
      </c>
      <c r="CH141" s="4340">
        <f t="shared" si="760"/>
        <v>-1.577</v>
      </c>
      <c r="CI141" s="4340">
        <f t="shared" si="760"/>
        <v>-1.577</v>
      </c>
      <c r="CJ141" s="4340">
        <f t="shared" si="760"/>
        <v>0</v>
      </c>
      <c r="CK141" s="2774"/>
      <c r="CL141" s="3575">
        <f t="shared" si="483"/>
        <v>1.577</v>
      </c>
      <c r="CM141" s="3575">
        <f t="shared" si="483"/>
        <v>1.577</v>
      </c>
      <c r="CN141" s="3575">
        <f t="shared" si="483"/>
        <v>0</v>
      </c>
    </row>
    <row r="142" spans="1:92" ht="18.75" customHeight="1" x14ac:dyDescent="0.3">
      <c r="A142" s="4341" t="s">
        <v>3703</v>
      </c>
      <c r="B142" s="4312">
        <f t="shared" si="801"/>
        <v>1631.6398005399324</v>
      </c>
      <c r="C142" s="4312">
        <f t="shared" ref="C142:D142" si="808">SUM(C143:C147)</f>
        <v>1631.3330694999324</v>
      </c>
      <c r="D142" s="4312">
        <f t="shared" si="808"/>
        <v>0.30673104000000001</v>
      </c>
      <c r="E142" s="4332">
        <f t="shared" si="606"/>
        <v>0</v>
      </c>
      <c r="F142" s="3026">
        <f>SUM(F143:F147)</f>
        <v>0</v>
      </c>
      <c r="G142" s="3026">
        <f t="shared" ref="G142" si="809">SUM(G143:G147)</f>
        <v>0</v>
      </c>
      <c r="H142" s="4332">
        <f t="shared" si="721"/>
        <v>0</v>
      </c>
      <c r="I142" s="3026">
        <f t="shared" ref="I142:J142" si="810">SUM(I143:I147)</f>
        <v>0</v>
      </c>
      <c r="J142" s="3026">
        <f t="shared" si="810"/>
        <v>0</v>
      </c>
      <c r="K142" s="4332">
        <f t="shared" si="723"/>
        <v>725.05600000000004</v>
      </c>
      <c r="L142" s="3026">
        <f t="shared" ref="L142:M142" si="811">SUM(L143:L147)</f>
        <v>725.05600000000004</v>
      </c>
      <c r="M142" s="3026">
        <f t="shared" si="811"/>
        <v>0</v>
      </c>
      <c r="N142" s="4332">
        <f t="shared" si="725"/>
        <v>725.05600000000004</v>
      </c>
      <c r="O142" s="4332">
        <f t="shared" si="726"/>
        <v>725.05600000000004</v>
      </c>
      <c r="P142" s="4332">
        <f t="shared" si="726"/>
        <v>0</v>
      </c>
      <c r="Q142" s="4312">
        <f t="shared" si="652"/>
        <v>1631.6398005399324</v>
      </c>
      <c r="R142" s="4312">
        <f>SUM(R143:R147)</f>
        <v>1631.3330694999324</v>
      </c>
      <c r="S142" s="4312">
        <f>SUM(S143:S147)</f>
        <v>0.30673104000000001</v>
      </c>
      <c r="T142" s="4332">
        <f t="shared" si="728"/>
        <v>0</v>
      </c>
      <c r="U142" s="3026">
        <f t="shared" ref="U142:V142" si="812">SUM(U143:U147)</f>
        <v>0</v>
      </c>
      <c r="V142" s="3026">
        <f t="shared" si="812"/>
        <v>0</v>
      </c>
      <c r="W142" s="4332">
        <f t="shared" si="730"/>
        <v>0</v>
      </c>
      <c r="X142" s="3026">
        <f t="shared" ref="X142:Y142" si="813">SUM(X143:X147)</f>
        <v>0</v>
      </c>
      <c r="Y142" s="3026">
        <f t="shared" si="813"/>
        <v>0</v>
      </c>
      <c r="Z142" s="4332">
        <f t="shared" si="732"/>
        <v>1054.8489999999999</v>
      </c>
      <c r="AA142" s="3026">
        <f t="shared" ref="AA142:AB142" si="814">SUM(AA143:AA147)</f>
        <v>1054.8489999999999</v>
      </c>
      <c r="AB142" s="3026">
        <f t="shared" si="814"/>
        <v>0</v>
      </c>
      <c r="AC142" s="4332">
        <f t="shared" si="734"/>
        <v>1054.8489999999999</v>
      </c>
      <c r="AD142" s="4332">
        <f t="shared" si="735"/>
        <v>1054.8489999999999</v>
      </c>
      <c r="AE142" s="4332">
        <f t="shared" si="735"/>
        <v>0</v>
      </c>
      <c r="AF142" s="4313">
        <f t="shared" si="584"/>
        <v>3263.2796010798647</v>
      </c>
      <c r="AG142" s="4313">
        <f t="shared" ref="AG142:AH154" si="815">SUM(C142+R142)</f>
        <v>3262.6661389998649</v>
      </c>
      <c r="AH142" s="4313">
        <f t="shared" si="815"/>
        <v>0.61346208000000002</v>
      </c>
      <c r="AI142" s="4333">
        <f t="shared" si="736"/>
        <v>1779.905</v>
      </c>
      <c r="AJ142" s="4333">
        <f t="shared" si="736"/>
        <v>1779.905</v>
      </c>
      <c r="AK142" s="4333">
        <f t="shared" si="736"/>
        <v>0</v>
      </c>
      <c r="AL142" s="4333">
        <f t="shared" si="737"/>
        <v>-1483.3746010798648</v>
      </c>
      <c r="AM142" s="4333">
        <f t="shared" si="737"/>
        <v>-1482.7611389998649</v>
      </c>
      <c r="AN142" s="4333">
        <f t="shared" si="737"/>
        <v>-0.61346208000000002</v>
      </c>
      <c r="AO142" s="4312">
        <f t="shared" si="805"/>
        <v>1631.6398005399324</v>
      </c>
      <c r="AP142" s="4312">
        <f>SUM(AP143:AP147)</f>
        <v>1631.3330694999324</v>
      </c>
      <c r="AQ142" s="4312">
        <f>SUM(AQ143:AQ147)</f>
        <v>0.30673104000000001</v>
      </c>
      <c r="AR142" s="4332">
        <f t="shared" si="740"/>
        <v>0</v>
      </c>
      <c r="AS142" s="3026">
        <f t="shared" ref="AS142:AT142" si="816">SUM(AS143:AS147)</f>
        <v>0</v>
      </c>
      <c r="AT142" s="3026">
        <f t="shared" si="816"/>
        <v>0</v>
      </c>
      <c r="AU142" s="4332">
        <f t="shared" si="742"/>
        <v>0</v>
      </c>
      <c r="AV142" s="3026">
        <f t="shared" ref="AV142:AW142" si="817">SUM(AV143:AV147)</f>
        <v>0</v>
      </c>
      <c r="AW142" s="3026">
        <f t="shared" si="817"/>
        <v>0</v>
      </c>
      <c r="AX142" s="4332">
        <f t="shared" si="744"/>
        <v>0</v>
      </c>
      <c r="AY142" s="3026">
        <f t="shared" ref="AY142:AZ142" si="818">SUM(AY143:AY147)</f>
        <v>0</v>
      </c>
      <c r="AZ142" s="3026">
        <f t="shared" si="818"/>
        <v>0</v>
      </c>
      <c r="BA142" s="4332">
        <f t="shared" si="746"/>
        <v>0</v>
      </c>
      <c r="BB142" s="4332">
        <f t="shared" si="747"/>
        <v>0</v>
      </c>
      <c r="BC142" s="4332">
        <f t="shared" si="747"/>
        <v>0</v>
      </c>
      <c r="BD142" s="4313">
        <f t="shared" ref="BD142:BD154" si="819">SUM(BE142:BF142)</f>
        <v>4894.9194016197971</v>
      </c>
      <c r="BE142" s="4313">
        <f t="shared" ref="BE142:BF157" si="820">SUM(AG142+AP142)</f>
        <v>4893.9992084997975</v>
      </c>
      <c r="BF142" s="4313">
        <f t="shared" si="694"/>
        <v>0.92019311999999998</v>
      </c>
      <c r="BG142" s="4333">
        <f t="shared" si="748"/>
        <v>1779.905</v>
      </c>
      <c r="BH142" s="4333">
        <f t="shared" si="748"/>
        <v>1779.905</v>
      </c>
      <c r="BI142" s="4333">
        <f t="shared" si="748"/>
        <v>0</v>
      </c>
      <c r="BJ142" s="4333">
        <f t="shared" si="749"/>
        <v>-3115.0144016197974</v>
      </c>
      <c r="BK142" s="4333">
        <f t="shared" si="749"/>
        <v>-3114.0942084997978</v>
      </c>
      <c r="BL142" s="4333">
        <f t="shared" si="749"/>
        <v>-0.92019311999999998</v>
      </c>
      <c r="BM142" s="4312">
        <f t="shared" si="767"/>
        <v>1631.6398005399324</v>
      </c>
      <c r="BN142" s="4312">
        <f>SUM(BN143:BN147)</f>
        <v>1631.3330694999324</v>
      </c>
      <c r="BO142" s="4312">
        <f>SUM(BO143:BO147)</f>
        <v>0.30673104000000001</v>
      </c>
      <c r="BP142" s="4332">
        <f t="shared" si="751"/>
        <v>0</v>
      </c>
      <c r="BQ142" s="3026">
        <f t="shared" ref="BQ142:BR142" si="821">SUM(BQ143:BQ147)</f>
        <v>0</v>
      </c>
      <c r="BR142" s="3026">
        <f t="shared" si="821"/>
        <v>0</v>
      </c>
      <c r="BS142" s="4332">
        <f t="shared" si="753"/>
        <v>0</v>
      </c>
      <c r="BT142" s="3026">
        <f t="shared" ref="BT142:BU142" si="822">SUM(BT143:BT147)</f>
        <v>0</v>
      </c>
      <c r="BU142" s="3026">
        <f t="shared" si="822"/>
        <v>0</v>
      </c>
      <c r="BV142" s="4332">
        <f t="shared" si="755"/>
        <v>0</v>
      </c>
      <c r="BW142" s="3026">
        <f t="shared" ref="BW142:BX142" si="823">SUM(BW143:BW147)</f>
        <v>0</v>
      </c>
      <c r="BX142" s="3026">
        <f t="shared" si="823"/>
        <v>0</v>
      </c>
      <c r="BY142" s="4332">
        <f t="shared" si="757"/>
        <v>0</v>
      </c>
      <c r="BZ142" s="4332">
        <f t="shared" si="758"/>
        <v>0</v>
      </c>
      <c r="CA142" s="4332">
        <f t="shared" si="758"/>
        <v>0</v>
      </c>
      <c r="CB142" s="4313">
        <f t="shared" si="712"/>
        <v>6526.5592021597295</v>
      </c>
      <c r="CC142" s="4313">
        <f>SUM(CC143:CC147)</f>
        <v>6525.3322779997297</v>
      </c>
      <c r="CD142" s="4313">
        <f>SUM(CD143:CD147)</f>
        <v>1.22692416</v>
      </c>
      <c r="CE142" s="4333">
        <f t="shared" si="759"/>
        <v>1779.905</v>
      </c>
      <c r="CF142" s="4333">
        <f t="shared" si="759"/>
        <v>1779.905</v>
      </c>
      <c r="CG142" s="4333">
        <f t="shared" si="759"/>
        <v>0</v>
      </c>
      <c r="CH142" s="4333">
        <f t="shared" si="760"/>
        <v>-4746.6542021597297</v>
      </c>
      <c r="CI142" s="4333">
        <f t="shared" si="760"/>
        <v>-4745.42727799973</v>
      </c>
      <c r="CJ142" s="4333">
        <f t="shared" si="760"/>
        <v>-1.22692416</v>
      </c>
      <c r="CK142" s="2774"/>
      <c r="CL142" s="3575">
        <f t="shared" si="483"/>
        <v>6526.5592021597295</v>
      </c>
      <c r="CM142" s="3575">
        <f t="shared" si="483"/>
        <v>6525.3322779997297</v>
      </c>
      <c r="CN142" s="3575">
        <f t="shared" si="483"/>
        <v>1.22692416</v>
      </c>
    </row>
    <row r="143" spans="1:92" ht="18.75" customHeight="1" x14ac:dyDescent="0.3">
      <c r="A143" s="4339" t="s">
        <v>3704</v>
      </c>
      <c r="B143" s="4324">
        <f t="shared" si="801"/>
        <v>826.67320053993251</v>
      </c>
      <c r="C143" s="4324">
        <f t="shared" ref="C143:C147" si="824">SUM(CC143/4)</f>
        <v>826.36646949993246</v>
      </c>
      <c r="D143" s="4324">
        <f t="shared" ref="D143:D147" si="825">SUM(CD143/4)</f>
        <v>0.30673104000000001</v>
      </c>
      <c r="E143" s="4344">
        <f t="shared" si="606"/>
        <v>0</v>
      </c>
      <c r="F143" s="4345"/>
      <c r="G143" s="4345"/>
      <c r="H143" s="4344">
        <f t="shared" si="721"/>
        <v>0</v>
      </c>
      <c r="I143" s="4345"/>
      <c r="J143" s="4345"/>
      <c r="K143" s="4344">
        <f t="shared" si="723"/>
        <v>701.14499999999998</v>
      </c>
      <c r="L143" s="4345">
        <v>701.14499999999998</v>
      </c>
      <c r="M143" s="4345"/>
      <c r="N143" s="4344">
        <f t="shared" si="725"/>
        <v>701.14499999999998</v>
      </c>
      <c r="O143" s="4344">
        <f t="shared" si="726"/>
        <v>701.14499999999998</v>
      </c>
      <c r="P143" s="4344">
        <f t="shared" si="726"/>
        <v>0</v>
      </c>
      <c r="Q143" s="4324">
        <f t="shared" si="652"/>
        <v>826.67320053993251</v>
      </c>
      <c r="R143" s="4324">
        <f t="shared" ref="R143:R147" si="826">SUM(C143)</f>
        <v>826.36646949993246</v>
      </c>
      <c r="S143" s="4324">
        <f t="shared" ref="S143:S147" si="827">SUM(D143)</f>
        <v>0.30673104000000001</v>
      </c>
      <c r="T143" s="4344">
        <f t="shared" si="728"/>
        <v>0</v>
      </c>
      <c r="U143" s="4345"/>
      <c r="V143" s="4345"/>
      <c r="W143" s="4344">
        <f t="shared" si="730"/>
        <v>0</v>
      </c>
      <c r="X143" s="4345"/>
      <c r="Y143" s="4345"/>
      <c r="Z143" s="4344">
        <f t="shared" si="732"/>
        <v>1026.3869999999999</v>
      </c>
      <c r="AA143" s="4345">
        <v>1026.3869999999999</v>
      </c>
      <c r="AB143" s="4345"/>
      <c r="AC143" s="4344">
        <f t="shared" si="734"/>
        <v>1026.3869999999999</v>
      </c>
      <c r="AD143" s="4344">
        <f t="shared" si="735"/>
        <v>1026.3869999999999</v>
      </c>
      <c r="AE143" s="4344">
        <f t="shared" si="735"/>
        <v>0</v>
      </c>
      <c r="AF143" s="4326">
        <f t="shared" si="584"/>
        <v>1653.346401079865</v>
      </c>
      <c r="AG143" s="4326">
        <f t="shared" si="815"/>
        <v>1652.7329389998649</v>
      </c>
      <c r="AH143" s="4326">
        <f t="shared" si="815"/>
        <v>0.61346208000000002</v>
      </c>
      <c r="AI143" s="4340">
        <f t="shared" si="736"/>
        <v>1727.5319999999999</v>
      </c>
      <c r="AJ143" s="4340">
        <f t="shared" si="736"/>
        <v>1727.5319999999999</v>
      </c>
      <c r="AK143" s="4340">
        <f t="shared" si="736"/>
        <v>0</v>
      </c>
      <c r="AL143" s="4340">
        <f t="shared" si="737"/>
        <v>74.185598920134908</v>
      </c>
      <c r="AM143" s="4340">
        <f t="shared" si="737"/>
        <v>74.799061000134998</v>
      </c>
      <c r="AN143" s="4340">
        <f t="shared" si="737"/>
        <v>-0.61346208000000002</v>
      </c>
      <c r="AO143" s="4324">
        <f t="shared" si="805"/>
        <v>826.67320053993251</v>
      </c>
      <c r="AP143" s="4324">
        <f t="shared" ref="AP143:AQ147" si="828">SUM(CC143-AG143)/2</f>
        <v>826.36646949993246</v>
      </c>
      <c r="AQ143" s="4324">
        <f t="shared" si="828"/>
        <v>0.30673104000000001</v>
      </c>
      <c r="AR143" s="4344">
        <f t="shared" si="740"/>
        <v>0</v>
      </c>
      <c r="AS143" s="4345"/>
      <c r="AT143" s="4345"/>
      <c r="AU143" s="4344">
        <f t="shared" si="742"/>
        <v>0</v>
      </c>
      <c r="AV143" s="4345"/>
      <c r="AW143" s="4345"/>
      <c r="AX143" s="4344">
        <f t="shared" si="744"/>
        <v>0</v>
      </c>
      <c r="AY143" s="4345"/>
      <c r="AZ143" s="4345"/>
      <c r="BA143" s="4344">
        <f t="shared" si="746"/>
        <v>0</v>
      </c>
      <c r="BB143" s="4344">
        <f t="shared" si="747"/>
        <v>0</v>
      </c>
      <c r="BC143" s="4344">
        <f t="shared" si="747"/>
        <v>0</v>
      </c>
      <c r="BD143" s="4326">
        <f t="shared" si="819"/>
        <v>2480.0196016197974</v>
      </c>
      <c r="BE143" s="4326">
        <f t="shared" si="820"/>
        <v>2479.0994084997974</v>
      </c>
      <c r="BF143" s="4326">
        <f t="shared" si="694"/>
        <v>0.92019311999999998</v>
      </c>
      <c r="BG143" s="4340">
        <f t="shared" si="748"/>
        <v>1727.5319999999999</v>
      </c>
      <c r="BH143" s="4340">
        <f t="shared" si="748"/>
        <v>1727.5319999999999</v>
      </c>
      <c r="BI143" s="4340">
        <f t="shared" si="748"/>
        <v>0</v>
      </c>
      <c r="BJ143" s="4340">
        <f t="shared" si="749"/>
        <v>-752.48760161979749</v>
      </c>
      <c r="BK143" s="4340">
        <f t="shared" si="749"/>
        <v>-751.56740849979747</v>
      </c>
      <c r="BL143" s="4340">
        <f t="shared" si="749"/>
        <v>-0.92019311999999998</v>
      </c>
      <c r="BM143" s="4324">
        <f t="shared" si="767"/>
        <v>826.67320053993251</v>
      </c>
      <c r="BN143" s="4324">
        <f t="shared" ref="BN143:BO147" si="829">SUM(AP143)</f>
        <v>826.36646949993246</v>
      </c>
      <c r="BO143" s="4324">
        <f t="shared" si="829"/>
        <v>0.30673104000000001</v>
      </c>
      <c r="BP143" s="4344">
        <f t="shared" si="751"/>
        <v>0</v>
      </c>
      <c r="BQ143" s="4345"/>
      <c r="BR143" s="4345"/>
      <c r="BS143" s="4344">
        <f t="shared" si="753"/>
        <v>0</v>
      </c>
      <c r="BT143" s="4345"/>
      <c r="BU143" s="4345"/>
      <c r="BV143" s="4344">
        <f t="shared" si="755"/>
        <v>0</v>
      </c>
      <c r="BW143" s="4345"/>
      <c r="BX143" s="4345"/>
      <c r="BY143" s="4344">
        <f t="shared" si="757"/>
        <v>0</v>
      </c>
      <c r="BZ143" s="4344">
        <f t="shared" si="758"/>
        <v>0</v>
      </c>
      <c r="CA143" s="4344">
        <f t="shared" si="758"/>
        <v>0</v>
      </c>
      <c r="CB143" s="4326">
        <f t="shared" si="712"/>
        <v>3306.69280215973</v>
      </c>
      <c r="CC143" s="4326">
        <f>SUM(вода!EF53)</f>
        <v>3305.4658779997299</v>
      </c>
      <c r="CD143" s="4326">
        <f>SUM(вода!EG53)</f>
        <v>1.22692416</v>
      </c>
      <c r="CE143" s="4340">
        <f t="shared" si="759"/>
        <v>1727.5319999999999</v>
      </c>
      <c r="CF143" s="4340">
        <f t="shared" si="759"/>
        <v>1727.5319999999999</v>
      </c>
      <c r="CG143" s="4340">
        <f t="shared" si="759"/>
        <v>0</v>
      </c>
      <c r="CH143" s="4340">
        <f t="shared" si="760"/>
        <v>-1579.1608021597301</v>
      </c>
      <c r="CI143" s="4340">
        <f t="shared" si="760"/>
        <v>-1577.9338779997299</v>
      </c>
      <c r="CJ143" s="4340">
        <f t="shared" si="760"/>
        <v>-1.22692416</v>
      </c>
      <c r="CK143" s="2774"/>
      <c r="CL143" s="3575">
        <f t="shared" si="483"/>
        <v>3306.69280215973</v>
      </c>
      <c r="CM143" s="3575">
        <f t="shared" si="483"/>
        <v>3305.4658779997299</v>
      </c>
      <c r="CN143" s="3575">
        <f t="shared" si="483"/>
        <v>1.22692416</v>
      </c>
    </row>
    <row r="144" spans="1:92" ht="18.75" customHeight="1" x14ac:dyDescent="0.3">
      <c r="A144" s="4339" t="s">
        <v>522</v>
      </c>
      <c r="B144" s="4324">
        <f t="shared" si="801"/>
        <v>22.59675</v>
      </c>
      <c r="C144" s="4324">
        <f t="shared" si="824"/>
        <v>22.59675</v>
      </c>
      <c r="D144" s="4324">
        <f t="shared" si="825"/>
        <v>0</v>
      </c>
      <c r="E144" s="4344">
        <f t="shared" si="606"/>
        <v>0</v>
      </c>
      <c r="F144" s="4345"/>
      <c r="G144" s="4345"/>
      <c r="H144" s="4344">
        <f t="shared" si="721"/>
        <v>0</v>
      </c>
      <c r="I144" s="4345"/>
      <c r="J144" s="4345"/>
      <c r="K144" s="4344">
        <f t="shared" si="723"/>
        <v>23.911000000000001</v>
      </c>
      <c r="L144" s="4345">
        <v>23.911000000000001</v>
      </c>
      <c r="M144" s="4345"/>
      <c r="N144" s="4344">
        <f t="shared" si="725"/>
        <v>23.911000000000001</v>
      </c>
      <c r="O144" s="4344">
        <f t="shared" si="726"/>
        <v>23.911000000000001</v>
      </c>
      <c r="P144" s="4344">
        <f t="shared" si="726"/>
        <v>0</v>
      </c>
      <c r="Q144" s="4324">
        <f t="shared" si="652"/>
        <v>22.59675</v>
      </c>
      <c r="R144" s="4324">
        <f t="shared" si="826"/>
        <v>22.59675</v>
      </c>
      <c r="S144" s="4324">
        <f t="shared" si="827"/>
        <v>0</v>
      </c>
      <c r="T144" s="4344">
        <f t="shared" si="728"/>
        <v>0</v>
      </c>
      <c r="U144" s="4345"/>
      <c r="V144" s="4345"/>
      <c r="W144" s="4344">
        <f t="shared" si="730"/>
        <v>0</v>
      </c>
      <c r="X144" s="4345"/>
      <c r="Y144" s="4345"/>
      <c r="Z144" s="4344">
        <f t="shared" si="732"/>
        <v>28.462</v>
      </c>
      <c r="AA144" s="4345">
        <v>28.462</v>
      </c>
      <c r="AB144" s="4345"/>
      <c r="AC144" s="4344">
        <f t="shared" si="734"/>
        <v>28.462</v>
      </c>
      <c r="AD144" s="4344">
        <f t="shared" si="735"/>
        <v>28.462</v>
      </c>
      <c r="AE144" s="4344">
        <f t="shared" si="735"/>
        <v>0</v>
      </c>
      <c r="AF144" s="4326">
        <f t="shared" si="584"/>
        <v>45.1935</v>
      </c>
      <c r="AG144" s="4326">
        <f t="shared" si="815"/>
        <v>45.1935</v>
      </c>
      <c r="AH144" s="4326">
        <f t="shared" si="815"/>
        <v>0</v>
      </c>
      <c r="AI144" s="4340">
        <f t="shared" si="736"/>
        <v>52.373000000000005</v>
      </c>
      <c r="AJ144" s="4340">
        <f t="shared" si="736"/>
        <v>52.373000000000005</v>
      </c>
      <c r="AK144" s="4340">
        <f t="shared" si="736"/>
        <v>0</v>
      </c>
      <c r="AL144" s="4340">
        <f t="shared" si="737"/>
        <v>7.1795000000000044</v>
      </c>
      <c r="AM144" s="4340">
        <f t="shared" si="737"/>
        <v>7.1795000000000044</v>
      </c>
      <c r="AN144" s="4340">
        <f t="shared" si="737"/>
        <v>0</v>
      </c>
      <c r="AO144" s="4324">
        <f t="shared" si="805"/>
        <v>22.59675</v>
      </c>
      <c r="AP144" s="4324">
        <f t="shared" si="828"/>
        <v>22.59675</v>
      </c>
      <c r="AQ144" s="4324">
        <f t="shared" si="828"/>
        <v>0</v>
      </c>
      <c r="AR144" s="4344">
        <f t="shared" si="740"/>
        <v>0</v>
      </c>
      <c r="AS144" s="4345"/>
      <c r="AT144" s="4345"/>
      <c r="AU144" s="4344">
        <f t="shared" si="742"/>
        <v>0</v>
      </c>
      <c r="AV144" s="4345"/>
      <c r="AW144" s="4345"/>
      <c r="AX144" s="4344">
        <f t="shared" si="744"/>
        <v>0</v>
      </c>
      <c r="AY144" s="4345"/>
      <c r="AZ144" s="4345"/>
      <c r="BA144" s="4344">
        <f t="shared" si="746"/>
        <v>0</v>
      </c>
      <c r="BB144" s="4344">
        <f t="shared" si="747"/>
        <v>0</v>
      </c>
      <c r="BC144" s="4344">
        <f t="shared" si="747"/>
        <v>0</v>
      </c>
      <c r="BD144" s="4326">
        <f t="shared" si="819"/>
        <v>67.79025</v>
      </c>
      <c r="BE144" s="4326">
        <f t="shared" si="820"/>
        <v>67.79025</v>
      </c>
      <c r="BF144" s="4326">
        <f t="shared" si="694"/>
        <v>0</v>
      </c>
      <c r="BG144" s="4340">
        <f t="shared" si="748"/>
        <v>52.373000000000005</v>
      </c>
      <c r="BH144" s="4340">
        <f t="shared" si="748"/>
        <v>52.373000000000005</v>
      </c>
      <c r="BI144" s="4340">
        <f t="shared" si="748"/>
        <v>0</v>
      </c>
      <c r="BJ144" s="4340">
        <f t="shared" si="749"/>
        <v>-15.417249999999996</v>
      </c>
      <c r="BK144" s="4340">
        <f t="shared" si="749"/>
        <v>-15.417249999999996</v>
      </c>
      <c r="BL144" s="4340">
        <f t="shared" si="749"/>
        <v>0</v>
      </c>
      <c r="BM144" s="4324">
        <f t="shared" si="767"/>
        <v>22.59675</v>
      </c>
      <c r="BN144" s="4324">
        <f t="shared" si="829"/>
        <v>22.59675</v>
      </c>
      <c r="BO144" s="4324">
        <f t="shared" si="829"/>
        <v>0</v>
      </c>
      <c r="BP144" s="4344">
        <f t="shared" si="751"/>
        <v>0</v>
      </c>
      <c r="BQ144" s="4345"/>
      <c r="BR144" s="4345"/>
      <c r="BS144" s="4344">
        <f t="shared" si="753"/>
        <v>0</v>
      </c>
      <c r="BT144" s="4345"/>
      <c r="BU144" s="4345"/>
      <c r="BV144" s="4344">
        <f t="shared" si="755"/>
        <v>0</v>
      </c>
      <c r="BW144" s="4345"/>
      <c r="BX144" s="4345"/>
      <c r="BY144" s="4344">
        <f t="shared" si="757"/>
        <v>0</v>
      </c>
      <c r="BZ144" s="4344">
        <f t="shared" si="758"/>
        <v>0</v>
      </c>
      <c r="CA144" s="4344">
        <f t="shared" si="758"/>
        <v>0</v>
      </c>
      <c r="CB144" s="4326">
        <f t="shared" si="712"/>
        <v>90.387</v>
      </c>
      <c r="CC144" s="4326">
        <f>SUM(вода!EF54)</f>
        <v>90.387</v>
      </c>
      <c r="CD144" s="4326">
        <f>SUM(вода!EG54)</f>
        <v>0</v>
      </c>
      <c r="CE144" s="4340">
        <f t="shared" si="759"/>
        <v>52.373000000000005</v>
      </c>
      <c r="CF144" s="4340">
        <f t="shared" si="759"/>
        <v>52.373000000000005</v>
      </c>
      <c r="CG144" s="4340">
        <f t="shared" si="759"/>
        <v>0</v>
      </c>
      <c r="CH144" s="4340">
        <f t="shared" si="760"/>
        <v>-38.013999999999996</v>
      </c>
      <c r="CI144" s="4340">
        <f t="shared" si="760"/>
        <v>-38.013999999999996</v>
      </c>
      <c r="CJ144" s="4340">
        <f t="shared" si="760"/>
        <v>0</v>
      </c>
      <c r="CK144" s="2774"/>
      <c r="CL144" s="3575">
        <f t="shared" si="483"/>
        <v>90.387</v>
      </c>
      <c r="CM144" s="3575">
        <f t="shared" si="483"/>
        <v>90.387</v>
      </c>
      <c r="CN144" s="3575">
        <f t="shared" si="483"/>
        <v>0</v>
      </c>
    </row>
    <row r="145" spans="1:92" ht="18.75" customHeight="1" x14ac:dyDescent="0.3">
      <c r="A145" s="4339" t="s">
        <v>523</v>
      </c>
      <c r="B145" s="4324">
        <f t="shared" si="801"/>
        <v>0</v>
      </c>
      <c r="C145" s="4324">
        <f t="shared" si="824"/>
        <v>0</v>
      </c>
      <c r="D145" s="4324">
        <f t="shared" si="825"/>
        <v>0</v>
      </c>
      <c r="E145" s="4344">
        <f t="shared" si="606"/>
        <v>0</v>
      </c>
      <c r="F145" s="4345"/>
      <c r="G145" s="4345"/>
      <c r="H145" s="4344">
        <f t="shared" si="721"/>
        <v>0</v>
      </c>
      <c r="I145" s="4345"/>
      <c r="J145" s="4345"/>
      <c r="K145" s="4344">
        <f t="shared" si="723"/>
        <v>0</v>
      </c>
      <c r="L145" s="4345"/>
      <c r="M145" s="4345"/>
      <c r="N145" s="4344">
        <f t="shared" si="725"/>
        <v>0</v>
      </c>
      <c r="O145" s="4344">
        <f t="shared" si="726"/>
        <v>0</v>
      </c>
      <c r="P145" s="4344">
        <f t="shared" si="726"/>
        <v>0</v>
      </c>
      <c r="Q145" s="4324">
        <f t="shared" si="652"/>
        <v>0</v>
      </c>
      <c r="R145" s="4324">
        <f t="shared" si="826"/>
        <v>0</v>
      </c>
      <c r="S145" s="4324">
        <f t="shared" si="827"/>
        <v>0</v>
      </c>
      <c r="T145" s="4344">
        <f t="shared" si="728"/>
        <v>0</v>
      </c>
      <c r="U145" s="4345"/>
      <c r="V145" s="4345"/>
      <c r="W145" s="4344">
        <f t="shared" si="730"/>
        <v>0</v>
      </c>
      <c r="X145" s="4345"/>
      <c r="Y145" s="4345"/>
      <c r="Z145" s="4344">
        <f t="shared" si="732"/>
        <v>0</v>
      </c>
      <c r="AA145" s="4345"/>
      <c r="AB145" s="4345"/>
      <c r="AC145" s="4344">
        <f t="shared" si="734"/>
        <v>0</v>
      </c>
      <c r="AD145" s="4344">
        <f t="shared" si="735"/>
        <v>0</v>
      </c>
      <c r="AE145" s="4344">
        <f t="shared" si="735"/>
        <v>0</v>
      </c>
      <c r="AF145" s="4326">
        <f t="shared" si="584"/>
        <v>0</v>
      </c>
      <c r="AG145" s="4326">
        <f t="shared" si="815"/>
        <v>0</v>
      </c>
      <c r="AH145" s="4326">
        <f t="shared" si="815"/>
        <v>0</v>
      </c>
      <c r="AI145" s="4340">
        <f t="shared" si="736"/>
        <v>0</v>
      </c>
      <c r="AJ145" s="4340">
        <f t="shared" si="736"/>
        <v>0</v>
      </c>
      <c r="AK145" s="4340">
        <f t="shared" si="736"/>
        <v>0</v>
      </c>
      <c r="AL145" s="4340">
        <f t="shared" si="737"/>
        <v>0</v>
      </c>
      <c r="AM145" s="4340">
        <f t="shared" si="737"/>
        <v>0</v>
      </c>
      <c r="AN145" s="4340">
        <f t="shared" si="737"/>
        <v>0</v>
      </c>
      <c r="AO145" s="4324">
        <f t="shared" si="805"/>
        <v>0</v>
      </c>
      <c r="AP145" s="4324">
        <f t="shared" si="828"/>
        <v>0</v>
      </c>
      <c r="AQ145" s="4324">
        <f t="shared" si="828"/>
        <v>0</v>
      </c>
      <c r="AR145" s="4344">
        <f t="shared" si="740"/>
        <v>0</v>
      </c>
      <c r="AS145" s="4345"/>
      <c r="AT145" s="4345"/>
      <c r="AU145" s="4344">
        <f t="shared" si="742"/>
        <v>0</v>
      </c>
      <c r="AV145" s="4345"/>
      <c r="AW145" s="4345"/>
      <c r="AX145" s="4344">
        <f t="shared" si="744"/>
        <v>0</v>
      </c>
      <c r="AY145" s="4345"/>
      <c r="AZ145" s="4345"/>
      <c r="BA145" s="4344">
        <f t="shared" si="746"/>
        <v>0</v>
      </c>
      <c r="BB145" s="4344">
        <f t="shared" si="747"/>
        <v>0</v>
      </c>
      <c r="BC145" s="4344">
        <f t="shared" si="747"/>
        <v>0</v>
      </c>
      <c r="BD145" s="4326">
        <f t="shared" si="819"/>
        <v>0</v>
      </c>
      <c r="BE145" s="4326">
        <f t="shared" si="820"/>
        <v>0</v>
      </c>
      <c r="BF145" s="4326">
        <f t="shared" si="694"/>
        <v>0</v>
      </c>
      <c r="BG145" s="4340">
        <f t="shared" si="748"/>
        <v>0</v>
      </c>
      <c r="BH145" s="4340">
        <f t="shared" si="748"/>
        <v>0</v>
      </c>
      <c r="BI145" s="4340">
        <f t="shared" si="748"/>
        <v>0</v>
      </c>
      <c r="BJ145" s="4340">
        <f t="shared" si="749"/>
        <v>0</v>
      </c>
      <c r="BK145" s="4340">
        <f t="shared" si="749"/>
        <v>0</v>
      </c>
      <c r="BL145" s="4340">
        <f t="shared" si="749"/>
        <v>0</v>
      </c>
      <c r="BM145" s="4324">
        <f t="shared" si="767"/>
        <v>0</v>
      </c>
      <c r="BN145" s="4324">
        <f t="shared" si="829"/>
        <v>0</v>
      </c>
      <c r="BO145" s="4324">
        <f t="shared" si="829"/>
        <v>0</v>
      </c>
      <c r="BP145" s="4344">
        <f t="shared" si="751"/>
        <v>0</v>
      </c>
      <c r="BQ145" s="4345"/>
      <c r="BR145" s="4345"/>
      <c r="BS145" s="4344">
        <f t="shared" si="753"/>
        <v>0</v>
      </c>
      <c r="BT145" s="4345"/>
      <c r="BU145" s="4345"/>
      <c r="BV145" s="4344">
        <f t="shared" si="755"/>
        <v>0</v>
      </c>
      <c r="BW145" s="4345"/>
      <c r="BX145" s="4345"/>
      <c r="BY145" s="4344">
        <f t="shared" si="757"/>
        <v>0</v>
      </c>
      <c r="BZ145" s="4344">
        <f t="shared" si="758"/>
        <v>0</v>
      </c>
      <c r="CA145" s="4344">
        <f t="shared" si="758"/>
        <v>0</v>
      </c>
      <c r="CB145" s="4326">
        <f t="shared" si="712"/>
        <v>0</v>
      </c>
      <c r="CC145" s="4326">
        <v>0</v>
      </c>
      <c r="CD145" s="4326">
        <v>0</v>
      </c>
      <c r="CE145" s="4340">
        <f t="shared" si="759"/>
        <v>0</v>
      </c>
      <c r="CF145" s="4340">
        <f t="shared" si="759"/>
        <v>0</v>
      </c>
      <c r="CG145" s="4340">
        <f t="shared" si="759"/>
        <v>0</v>
      </c>
      <c r="CH145" s="4340">
        <f t="shared" si="760"/>
        <v>0</v>
      </c>
      <c r="CI145" s="4340">
        <f t="shared" si="760"/>
        <v>0</v>
      </c>
      <c r="CJ145" s="4340">
        <f t="shared" si="760"/>
        <v>0</v>
      </c>
      <c r="CK145" s="2774"/>
      <c r="CL145" s="3575">
        <f t="shared" si="483"/>
        <v>0</v>
      </c>
      <c r="CM145" s="3575">
        <f t="shared" si="483"/>
        <v>0</v>
      </c>
      <c r="CN145" s="3575">
        <f t="shared" si="483"/>
        <v>0</v>
      </c>
    </row>
    <row r="146" spans="1:92" ht="18.75" customHeight="1" x14ac:dyDescent="0.3">
      <c r="A146" s="4339" t="s">
        <v>524</v>
      </c>
      <c r="B146" s="4324">
        <f t="shared" si="801"/>
        <v>782.36984999999993</v>
      </c>
      <c r="C146" s="4324">
        <f t="shared" si="824"/>
        <v>782.36984999999993</v>
      </c>
      <c r="D146" s="4324">
        <f t="shared" si="825"/>
        <v>0</v>
      </c>
      <c r="E146" s="4344">
        <f t="shared" si="606"/>
        <v>0</v>
      </c>
      <c r="F146" s="4345"/>
      <c r="G146" s="4345"/>
      <c r="H146" s="4344">
        <f t="shared" si="721"/>
        <v>0</v>
      </c>
      <c r="I146" s="4345"/>
      <c r="J146" s="4345"/>
      <c r="K146" s="4344">
        <f t="shared" si="723"/>
        <v>0</v>
      </c>
      <c r="L146" s="4345"/>
      <c r="M146" s="4345"/>
      <c r="N146" s="4344">
        <f t="shared" si="725"/>
        <v>0</v>
      </c>
      <c r="O146" s="4344">
        <f t="shared" si="726"/>
        <v>0</v>
      </c>
      <c r="P146" s="4344">
        <f t="shared" si="726"/>
        <v>0</v>
      </c>
      <c r="Q146" s="4324">
        <f t="shared" si="652"/>
        <v>782.36984999999993</v>
      </c>
      <c r="R146" s="4324">
        <f t="shared" si="826"/>
        <v>782.36984999999993</v>
      </c>
      <c r="S146" s="4324">
        <f t="shared" si="827"/>
        <v>0</v>
      </c>
      <c r="T146" s="4344">
        <f t="shared" si="728"/>
        <v>0</v>
      </c>
      <c r="U146" s="4345"/>
      <c r="V146" s="4345"/>
      <c r="W146" s="4344">
        <f t="shared" si="730"/>
        <v>0</v>
      </c>
      <c r="X146" s="4345"/>
      <c r="Y146" s="4345"/>
      <c r="Z146" s="4344">
        <f t="shared" si="732"/>
        <v>0</v>
      </c>
      <c r="AA146" s="4345"/>
      <c r="AB146" s="4345"/>
      <c r="AC146" s="4344">
        <f t="shared" si="734"/>
        <v>0</v>
      </c>
      <c r="AD146" s="4344">
        <f t="shared" si="735"/>
        <v>0</v>
      </c>
      <c r="AE146" s="4344">
        <f t="shared" si="735"/>
        <v>0</v>
      </c>
      <c r="AF146" s="4326">
        <f t="shared" si="584"/>
        <v>1564.7396999999999</v>
      </c>
      <c r="AG146" s="4326">
        <f t="shared" si="815"/>
        <v>1564.7396999999999</v>
      </c>
      <c r="AH146" s="4326">
        <f t="shared" si="815"/>
        <v>0</v>
      </c>
      <c r="AI146" s="4340">
        <f t="shared" si="736"/>
        <v>0</v>
      </c>
      <c r="AJ146" s="4340">
        <f t="shared" si="736"/>
        <v>0</v>
      </c>
      <c r="AK146" s="4340">
        <f t="shared" si="736"/>
        <v>0</v>
      </c>
      <c r="AL146" s="4340">
        <f t="shared" si="737"/>
        <v>-1564.7396999999999</v>
      </c>
      <c r="AM146" s="4340">
        <f t="shared" si="737"/>
        <v>-1564.7396999999999</v>
      </c>
      <c r="AN146" s="4340">
        <f t="shared" si="737"/>
        <v>0</v>
      </c>
      <c r="AO146" s="4324">
        <f t="shared" si="805"/>
        <v>782.36984999999993</v>
      </c>
      <c r="AP146" s="4324">
        <f t="shared" si="828"/>
        <v>782.36984999999993</v>
      </c>
      <c r="AQ146" s="4324">
        <f t="shared" si="828"/>
        <v>0</v>
      </c>
      <c r="AR146" s="4344">
        <f t="shared" si="740"/>
        <v>0</v>
      </c>
      <c r="AS146" s="4345"/>
      <c r="AT146" s="4345"/>
      <c r="AU146" s="4344">
        <f t="shared" si="742"/>
        <v>0</v>
      </c>
      <c r="AV146" s="4345"/>
      <c r="AW146" s="4345"/>
      <c r="AX146" s="4344">
        <f t="shared" si="744"/>
        <v>0</v>
      </c>
      <c r="AY146" s="4345"/>
      <c r="AZ146" s="4345"/>
      <c r="BA146" s="4344">
        <f t="shared" si="746"/>
        <v>0</v>
      </c>
      <c r="BB146" s="4344">
        <f t="shared" si="747"/>
        <v>0</v>
      </c>
      <c r="BC146" s="4344">
        <f t="shared" si="747"/>
        <v>0</v>
      </c>
      <c r="BD146" s="4326">
        <f t="shared" si="819"/>
        <v>2347.1095499999997</v>
      </c>
      <c r="BE146" s="4326">
        <f t="shared" si="820"/>
        <v>2347.1095499999997</v>
      </c>
      <c r="BF146" s="4326">
        <f t="shared" si="694"/>
        <v>0</v>
      </c>
      <c r="BG146" s="4340">
        <f t="shared" si="748"/>
        <v>0</v>
      </c>
      <c r="BH146" s="4340">
        <f t="shared" si="748"/>
        <v>0</v>
      </c>
      <c r="BI146" s="4340">
        <f t="shared" si="748"/>
        <v>0</v>
      </c>
      <c r="BJ146" s="4340">
        <f t="shared" si="749"/>
        <v>-2347.1095499999997</v>
      </c>
      <c r="BK146" s="4340">
        <f t="shared" si="749"/>
        <v>-2347.1095499999997</v>
      </c>
      <c r="BL146" s="4340">
        <f t="shared" si="749"/>
        <v>0</v>
      </c>
      <c r="BM146" s="4324">
        <f t="shared" si="767"/>
        <v>782.36984999999993</v>
      </c>
      <c r="BN146" s="4324">
        <f t="shared" si="829"/>
        <v>782.36984999999993</v>
      </c>
      <c r="BO146" s="4324">
        <f t="shared" si="829"/>
        <v>0</v>
      </c>
      <c r="BP146" s="4344">
        <f t="shared" si="751"/>
        <v>0</v>
      </c>
      <c r="BQ146" s="4345"/>
      <c r="BR146" s="4345"/>
      <c r="BS146" s="4344">
        <f t="shared" si="753"/>
        <v>0</v>
      </c>
      <c r="BT146" s="4345"/>
      <c r="BU146" s="4345"/>
      <c r="BV146" s="4344">
        <f t="shared" si="755"/>
        <v>0</v>
      </c>
      <c r="BW146" s="4345"/>
      <c r="BX146" s="4345"/>
      <c r="BY146" s="4344">
        <f t="shared" si="757"/>
        <v>0</v>
      </c>
      <c r="BZ146" s="4344">
        <f t="shared" si="758"/>
        <v>0</v>
      </c>
      <c r="CA146" s="4344">
        <f t="shared" si="758"/>
        <v>0</v>
      </c>
      <c r="CB146" s="4326">
        <f t="shared" si="712"/>
        <v>3129.4793999999997</v>
      </c>
      <c r="CC146" s="4326">
        <f>SUM(вода!EF56)</f>
        <v>3129.4793999999997</v>
      </c>
      <c r="CD146" s="4326">
        <f>SUM(вода!EG56)</f>
        <v>0</v>
      </c>
      <c r="CE146" s="4340">
        <f t="shared" si="759"/>
        <v>0</v>
      </c>
      <c r="CF146" s="4340">
        <f t="shared" si="759"/>
        <v>0</v>
      </c>
      <c r="CG146" s="4340">
        <f t="shared" si="759"/>
        <v>0</v>
      </c>
      <c r="CH146" s="4340">
        <f t="shared" si="760"/>
        <v>-3129.4793999999997</v>
      </c>
      <c r="CI146" s="4340">
        <f t="shared" si="760"/>
        <v>-3129.4793999999997</v>
      </c>
      <c r="CJ146" s="4340">
        <f t="shared" si="760"/>
        <v>0</v>
      </c>
      <c r="CK146" s="2774"/>
      <c r="CL146" s="3575">
        <f t="shared" si="483"/>
        <v>3129.4793999999997</v>
      </c>
      <c r="CM146" s="3575">
        <f t="shared" si="483"/>
        <v>3129.4793999999997</v>
      </c>
      <c r="CN146" s="3575">
        <f t="shared" si="483"/>
        <v>0</v>
      </c>
    </row>
    <row r="147" spans="1:92" ht="18.75" customHeight="1" x14ac:dyDescent="0.3">
      <c r="A147" s="4339" t="s">
        <v>3705</v>
      </c>
      <c r="B147" s="4324">
        <f t="shared" si="801"/>
        <v>0</v>
      </c>
      <c r="C147" s="4324">
        <f t="shared" si="824"/>
        <v>0</v>
      </c>
      <c r="D147" s="4324">
        <f t="shared" si="825"/>
        <v>0</v>
      </c>
      <c r="E147" s="4344">
        <f t="shared" si="606"/>
        <v>0</v>
      </c>
      <c r="F147" s="4345"/>
      <c r="G147" s="4345"/>
      <c r="H147" s="4344">
        <f t="shared" si="721"/>
        <v>0</v>
      </c>
      <c r="I147" s="4345"/>
      <c r="J147" s="4345"/>
      <c r="K147" s="4344">
        <f t="shared" si="723"/>
        <v>0</v>
      </c>
      <c r="L147" s="4345"/>
      <c r="M147" s="4345"/>
      <c r="N147" s="4344">
        <f t="shared" si="725"/>
        <v>0</v>
      </c>
      <c r="O147" s="4344">
        <f t="shared" si="726"/>
        <v>0</v>
      </c>
      <c r="P147" s="4344">
        <f t="shared" si="726"/>
        <v>0</v>
      </c>
      <c r="Q147" s="4324">
        <f t="shared" si="652"/>
        <v>0</v>
      </c>
      <c r="R147" s="4324">
        <f t="shared" si="826"/>
        <v>0</v>
      </c>
      <c r="S147" s="4324">
        <f t="shared" si="827"/>
        <v>0</v>
      </c>
      <c r="T147" s="4344">
        <f t="shared" si="728"/>
        <v>0</v>
      </c>
      <c r="U147" s="4345"/>
      <c r="V147" s="4345"/>
      <c r="W147" s="4344">
        <f t="shared" si="730"/>
        <v>0</v>
      </c>
      <c r="X147" s="4345"/>
      <c r="Y147" s="4345"/>
      <c r="Z147" s="4344">
        <f t="shared" si="732"/>
        <v>0</v>
      </c>
      <c r="AA147" s="4345"/>
      <c r="AB147" s="4345"/>
      <c r="AC147" s="4344">
        <f t="shared" si="734"/>
        <v>0</v>
      </c>
      <c r="AD147" s="4344">
        <f t="shared" si="735"/>
        <v>0</v>
      </c>
      <c r="AE147" s="4344">
        <f t="shared" si="735"/>
        <v>0</v>
      </c>
      <c r="AF147" s="4326">
        <f t="shared" si="584"/>
        <v>0</v>
      </c>
      <c r="AG147" s="4326">
        <f t="shared" si="815"/>
        <v>0</v>
      </c>
      <c r="AH147" s="4326">
        <f t="shared" si="815"/>
        <v>0</v>
      </c>
      <c r="AI147" s="4340">
        <f t="shared" si="736"/>
        <v>0</v>
      </c>
      <c r="AJ147" s="4340">
        <f t="shared" si="736"/>
        <v>0</v>
      </c>
      <c r="AK147" s="4340">
        <f t="shared" si="736"/>
        <v>0</v>
      </c>
      <c r="AL147" s="4340">
        <f t="shared" si="737"/>
        <v>0</v>
      </c>
      <c r="AM147" s="4340">
        <f t="shared" si="737"/>
        <v>0</v>
      </c>
      <c r="AN147" s="4340">
        <f t="shared" si="737"/>
        <v>0</v>
      </c>
      <c r="AO147" s="4324">
        <f t="shared" si="805"/>
        <v>0</v>
      </c>
      <c r="AP147" s="4324">
        <f t="shared" si="828"/>
        <v>0</v>
      </c>
      <c r="AQ147" s="4324">
        <f t="shared" si="828"/>
        <v>0</v>
      </c>
      <c r="AR147" s="4344">
        <f t="shared" si="740"/>
        <v>0</v>
      </c>
      <c r="AS147" s="4345"/>
      <c r="AT147" s="4345"/>
      <c r="AU147" s="4344">
        <f t="shared" si="742"/>
        <v>0</v>
      </c>
      <c r="AV147" s="4345"/>
      <c r="AW147" s="4345"/>
      <c r="AX147" s="4344">
        <f t="shared" si="744"/>
        <v>0</v>
      </c>
      <c r="AY147" s="4345"/>
      <c r="AZ147" s="4345"/>
      <c r="BA147" s="4344">
        <f t="shared" si="746"/>
        <v>0</v>
      </c>
      <c r="BB147" s="4344">
        <f t="shared" si="747"/>
        <v>0</v>
      </c>
      <c r="BC147" s="4344">
        <f t="shared" si="747"/>
        <v>0</v>
      </c>
      <c r="BD147" s="4326">
        <f t="shared" si="819"/>
        <v>0</v>
      </c>
      <c r="BE147" s="4326">
        <f t="shared" si="820"/>
        <v>0</v>
      </c>
      <c r="BF147" s="4326">
        <f t="shared" si="694"/>
        <v>0</v>
      </c>
      <c r="BG147" s="4340">
        <f t="shared" si="748"/>
        <v>0</v>
      </c>
      <c r="BH147" s="4340">
        <f t="shared" si="748"/>
        <v>0</v>
      </c>
      <c r="BI147" s="4340">
        <f t="shared" si="748"/>
        <v>0</v>
      </c>
      <c r="BJ147" s="4340">
        <f t="shared" si="749"/>
        <v>0</v>
      </c>
      <c r="BK147" s="4340">
        <f t="shared" si="749"/>
        <v>0</v>
      </c>
      <c r="BL147" s="4340">
        <f t="shared" si="749"/>
        <v>0</v>
      </c>
      <c r="BM147" s="4324">
        <f t="shared" si="767"/>
        <v>0</v>
      </c>
      <c r="BN147" s="4324">
        <f t="shared" si="829"/>
        <v>0</v>
      </c>
      <c r="BO147" s="4324">
        <f t="shared" si="829"/>
        <v>0</v>
      </c>
      <c r="BP147" s="4344">
        <f t="shared" si="751"/>
        <v>0</v>
      </c>
      <c r="BQ147" s="4345"/>
      <c r="BR147" s="4345"/>
      <c r="BS147" s="4344">
        <f t="shared" si="753"/>
        <v>0</v>
      </c>
      <c r="BT147" s="4345"/>
      <c r="BU147" s="4345"/>
      <c r="BV147" s="4344">
        <f t="shared" si="755"/>
        <v>0</v>
      </c>
      <c r="BW147" s="4345"/>
      <c r="BX147" s="4345"/>
      <c r="BY147" s="4344">
        <f t="shared" si="757"/>
        <v>0</v>
      </c>
      <c r="BZ147" s="4344">
        <f t="shared" si="758"/>
        <v>0</v>
      </c>
      <c r="CA147" s="4344">
        <f t="shared" si="758"/>
        <v>0</v>
      </c>
      <c r="CB147" s="4326">
        <f t="shared" si="712"/>
        <v>0</v>
      </c>
      <c r="CC147" s="4326">
        <v>0</v>
      </c>
      <c r="CD147" s="4326">
        <v>0</v>
      </c>
      <c r="CE147" s="4340">
        <f t="shared" si="759"/>
        <v>0</v>
      </c>
      <c r="CF147" s="4340">
        <f t="shared" si="759"/>
        <v>0</v>
      </c>
      <c r="CG147" s="4340">
        <f t="shared" si="759"/>
        <v>0</v>
      </c>
      <c r="CH147" s="4340">
        <f t="shared" si="760"/>
        <v>0</v>
      </c>
      <c r="CI147" s="4340">
        <f t="shared" si="760"/>
        <v>0</v>
      </c>
      <c r="CJ147" s="4340">
        <f t="shared" si="760"/>
        <v>0</v>
      </c>
      <c r="CK147" s="2774"/>
      <c r="CL147" s="3575">
        <f t="shared" si="483"/>
        <v>0</v>
      </c>
      <c r="CM147" s="3575">
        <f t="shared" si="483"/>
        <v>0</v>
      </c>
      <c r="CN147" s="3575">
        <f t="shared" si="483"/>
        <v>0</v>
      </c>
    </row>
    <row r="148" spans="1:92" ht="18.75" customHeight="1" x14ac:dyDescent="0.3">
      <c r="A148" s="4341" t="s">
        <v>3706</v>
      </c>
      <c r="B148" s="4312">
        <f t="shared" si="801"/>
        <v>4576.903889553364</v>
      </c>
      <c r="C148" s="4312">
        <f t="shared" ref="C148:G148" si="830">SUM(C149:C154)</f>
        <v>4576.4456395533643</v>
      </c>
      <c r="D148" s="4312">
        <f t="shared" si="830"/>
        <v>0.45824999999999999</v>
      </c>
      <c r="E148" s="4332">
        <f t="shared" si="606"/>
        <v>1864.71</v>
      </c>
      <c r="F148" s="4312">
        <f>SUM(F149:F154)</f>
        <v>1864.71</v>
      </c>
      <c r="G148" s="4312">
        <f t="shared" si="830"/>
        <v>0</v>
      </c>
      <c r="H148" s="4332">
        <f t="shared" si="721"/>
        <v>1773.1443099999997</v>
      </c>
      <c r="I148" s="4312">
        <f t="shared" ref="I148:J148" si="831">SUM(I149:I154)</f>
        <v>1773.1443099999997</v>
      </c>
      <c r="J148" s="4312">
        <f t="shared" si="831"/>
        <v>0</v>
      </c>
      <c r="K148" s="4332">
        <f t="shared" si="723"/>
        <v>2045.2842400000002</v>
      </c>
      <c r="L148" s="4312">
        <f t="shared" ref="L148:M148" si="832">SUM(L149:L154)</f>
        <v>2045.1491900000001</v>
      </c>
      <c r="M148" s="4312">
        <f t="shared" si="832"/>
        <v>0.13505</v>
      </c>
      <c r="N148" s="4332">
        <f t="shared" si="725"/>
        <v>5683.1385499999997</v>
      </c>
      <c r="O148" s="4332">
        <f t="shared" si="726"/>
        <v>5683.0034999999998</v>
      </c>
      <c r="P148" s="4332">
        <f t="shared" si="726"/>
        <v>0.13505</v>
      </c>
      <c r="Q148" s="4312">
        <f t="shared" si="652"/>
        <v>4576.903889553364</v>
      </c>
      <c r="R148" s="4312">
        <f t="shared" ref="R148:S148" si="833">SUM(R149:R154)</f>
        <v>4576.4456395533643</v>
      </c>
      <c r="S148" s="4312">
        <f t="shared" si="833"/>
        <v>0.45824999999999999</v>
      </c>
      <c r="T148" s="4332">
        <f t="shared" si="728"/>
        <v>2621.6891199999995</v>
      </c>
      <c r="U148" s="3026">
        <f t="shared" ref="U148:V148" si="834">SUM(U149:U154)</f>
        <v>2620.7135999999996</v>
      </c>
      <c r="V148" s="4312">
        <f t="shared" si="834"/>
        <v>0.97551999999999994</v>
      </c>
      <c r="W148" s="4332">
        <f t="shared" si="730"/>
        <v>1916.5755900000001</v>
      </c>
      <c r="X148" s="4312">
        <f t="shared" ref="X148:Y148" si="835">SUM(X149:X154)</f>
        <v>1915.5940000000001</v>
      </c>
      <c r="Y148" s="4891">
        <f t="shared" si="835"/>
        <v>0.98158999999999996</v>
      </c>
      <c r="Z148" s="4332">
        <f t="shared" si="732"/>
        <v>1973.8599300000003</v>
      </c>
      <c r="AA148" s="4312">
        <f t="shared" ref="AA148:AB148" si="836">SUM(AA149:AA154)</f>
        <v>1973.1294000000003</v>
      </c>
      <c r="AB148" s="4891">
        <f t="shared" si="836"/>
        <v>0.73053000000000001</v>
      </c>
      <c r="AC148" s="4332">
        <f t="shared" si="734"/>
        <v>6512.12464</v>
      </c>
      <c r="AD148" s="4332">
        <f t="shared" si="735"/>
        <v>6509.4369999999999</v>
      </c>
      <c r="AE148" s="4332">
        <f t="shared" si="735"/>
        <v>2.68764</v>
      </c>
      <c r="AF148" s="4313">
        <f t="shared" si="584"/>
        <v>9153.807779106728</v>
      </c>
      <c r="AG148" s="4313">
        <f t="shared" si="815"/>
        <v>9152.8912791067287</v>
      </c>
      <c r="AH148" s="4313">
        <f t="shared" si="815"/>
        <v>0.91649999999999998</v>
      </c>
      <c r="AI148" s="4333">
        <f t="shared" si="736"/>
        <v>12195.26319</v>
      </c>
      <c r="AJ148" s="4333">
        <f t="shared" si="736"/>
        <v>12192.440500000001</v>
      </c>
      <c r="AK148" s="4333">
        <f t="shared" si="736"/>
        <v>2.8226900000000001</v>
      </c>
      <c r="AL148" s="4333">
        <f t="shared" si="737"/>
        <v>3041.4554108932716</v>
      </c>
      <c r="AM148" s="4333">
        <f t="shared" si="737"/>
        <v>3039.5492208932719</v>
      </c>
      <c r="AN148" s="4333">
        <f t="shared" si="737"/>
        <v>1.9061900000000001</v>
      </c>
      <c r="AO148" s="4312">
        <f t="shared" ref="AO148" si="837">SUM(AP148:AQ148)</f>
        <v>4576.903889553364</v>
      </c>
      <c r="AP148" s="4312">
        <f t="shared" ref="AP148:AQ148" si="838">SUM(AP149:AP154)</f>
        <v>4576.4456395533643</v>
      </c>
      <c r="AQ148" s="4312">
        <f t="shared" si="838"/>
        <v>0.45824999999999999</v>
      </c>
      <c r="AR148" s="4332">
        <f t="shared" si="740"/>
        <v>1701.0038500000001</v>
      </c>
      <c r="AS148" s="4312">
        <f t="shared" ref="AS148:AT148" si="839">SUM(AS149:AS154)</f>
        <v>1700.48901</v>
      </c>
      <c r="AT148" s="4312">
        <f t="shared" si="839"/>
        <v>0.51483999999999996</v>
      </c>
      <c r="AU148" s="4332">
        <f t="shared" si="742"/>
        <v>0</v>
      </c>
      <c r="AV148" s="3026">
        <f t="shared" ref="AV148:AW148" si="840">SUM(AV149:AV154)</f>
        <v>0</v>
      </c>
      <c r="AW148" s="4312">
        <f t="shared" si="840"/>
        <v>0</v>
      </c>
      <c r="AX148" s="4332">
        <f t="shared" si="744"/>
        <v>0</v>
      </c>
      <c r="AY148" s="3026">
        <f t="shared" ref="AY148:AZ148" si="841">SUM(AY149:AY154)</f>
        <v>0</v>
      </c>
      <c r="AZ148" s="4312">
        <f t="shared" si="841"/>
        <v>0</v>
      </c>
      <c r="BA148" s="4332">
        <f t="shared" si="746"/>
        <v>1701.0038500000001</v>
      </c>
      <c r="BB148" s="4332">
        <f t="shared" si="747"/>
        <v>1700.48901</v>
      </c>
      <c r="BC148" s="4332">
        <f t="shared" si="747"/>
        <v>0.51483999999999996</v>
      </c>
      <c r="BD148" s="4313">
        <f t="shared" si="819"/>
        <v>13730.711668660095</v>
      </c>
      <c r="BE148" s="4313">
        <f t="shared" si="820"/>
        <v>13729.336918660094</v>
      </c>
      <c r="BF148" s="4313">
        <f t="shared" si="820"/>
        <v>1.3747499999999999</v>
      </c>
      <c r="BG148" s="4333">
        <f t="shared" si="748"/>
        <v>13896.267039999999</v>
      </c>
      <c r="BH148" s="4333">
        <f t="shared" si="748"/>
        <v>13892.92951</v>
      </c>
      <c r="BI148" s="4333">
        <f t="shared" si="748"/>
        <v>3.3375300000000001</v>
      </c>
      <c r="BJ148" s="4333">
        <f t="shared" si="749"/>
        <v>165.55537133990401</v>
      </c>
      <c r="BK148" s="4333">
        <f t="shared" si="749"/>
        <v>163.59259133990599</v>
      </c>
      <c r="BL148" s="4333">
        <f t="shared" si="749"/>
        <v>1.9627800000000002</v>
      </c>
      <c r="BM148" s="4312">
        <f t="shared" ref="BM148:BM156" si="842">SUM(BN148:BO148)</f>
        <v>4576.903889553364</v>
      </c>
      <c r="BN148" s="4312">
        <f t="shared" ref="BN148:BO148" si="843">SUM(BN149:BN154)</f>
        <v>4576.4456395533643</v>
      </c>
      <c r="BO148" s="4312">
        <f t="shared" si="843"/>
        <v>0.45824999999999999</v>
      </c>
      <c r="BP148" s="4332">
        <f t="shared" si="751"/>
        <v>0</v>
      </c>
      <c r="BQ148" s="3026">
        <f t="shared" ref="BQ148:BR148" si="844">SUM(BQ149:BQ154)</f>
        <v>0</v>
      </c>
      <c r="BR148" s="4312">
        <f t="shared" si="844"/>
        <v>0</v>
      </c>
      <c r="BS148" s="4332">
        <f t="shared" si="753"/>
        <v>0</v>
      </c>
      <c r="BT148" s="3026">
        <f t="shared" ref="BT148:BU148" si="845">SUM(BT149:BT154)</f>
        <v>0</v>
      </c>
      <c r="BU148" s="3026">
        <f t="shared" si="845"/>
        <v>0</v>
      </c>
      <c r="BV148" s="4332">
        <f t="shared" si="755"/>
        <v>0</v>
      </c>
      <c r="BW148" s="3026">
        <f t="shared" ref="BW148:BX148" si="846">SUM(BW149:BW154)</f>
        <v>0</v>
      </c>
      <c r="BX148" s="3026">
        <f t="shared" si="846"/>
        <v>0</v>
      </c>
      <c r="BY148" s="4332">
        <f t="shared" si="757"/>
        <v>0</v>
      </c>
      <c r="BZ148" s="4332">
        <f t="shared" si="758"/>
        <v>0</v>
      </c>
      <c r="CA148" s="4332">
        <f t="shared" si="758"/>
        <v>0</v>
      </c>
      <c r="CB148" s="4313">
        <f t="shared" si="712"/>
        <v>18307.615558213456</v>
      </c>
      <c r="CC148" s="4313">
        <f>SUM(вода!EF59)</f>
        <v>18305.782558213457</v>
      </c>
      <c r="CD148" s="4313">
        <f>SUM(вода!EG59)</f>
        <v>1.833</v>
      </c>
      <c r="CE148" s="4333">
        <f t="shared" si="759"/>
        <v>13896.267039999999</v>
      </c>
      <c r="CF148" s="4333">
        <f t="shared" si="759"/>
        <v>13892.92951</v>
      </c>
      <c r="CG148" s="4333">
        <f t="shared" si="759"/>
        <v>3.3375300000000001</v>
      </c>
      <c r="CH148" s="4333">
        <f t="shared" si="760"/>
        <v>-4411.3485182134573</v>
      </c>
      <c r="CI148" s="4333">
        <f t="shared" si="760"/>
        <v>-4412.8530482134574</v>
      </c>
      <c r="CJ148" s="4333">
        <f t="shared" si="760"/>
        <v>1.5045300000000001</v>
      </c>
      <c r="CK148" s="2774"/>
      <c r="CL148" s="3575">
        <f t="shared" si="483"/>
        <v>18307.615558213456</v>
      </c>
      <c r="CM148" s="3575">
        <f t="shared" si="483"/>
        <v>18305.782558213457</v>
      </c>
      <c r="CN148" s="3575">
        <f t="shared" si="483"/>
        <v>1.833</v>
      </c>
    </row>
    <row r="149" spans="1:92" ht="18.75" customHeight="1" x14ac:dyDescent="0.3">
      <c r="A149" s="4343" t="s">
        <v>3707</v>
      </c>
      <c r="B149" s="4324">
        <f t="shared" si="801"/>
        <v>3080.6182525263371</v>
      </c>
      <c r="C149" s="4324">
        <f t="shared" ref="C149:C154" si="847">SUM(CC149/4)</f>
        <v>3080.2907525263372</v>
      </c>
      <c r="D149" s="4324">
        <f t="shared" ref="D149:D154" si="848">SUM(CD149/4)</f>
        <v>0.32750000000000001</v>
      </c>
      <c r="E149" s="4344">
        <f t="shared" si="606"/>
        <v>1094.423</v>
      </c>
      <c r="F149" s="4348">
        <v>1094.423</v>
      </c>
      <c r="G149" s="4348"/>
      <c r="H149" s="4344">
        <f t="shared" si="721"/>
        <v>1075.7574099999999</v>
      </c>
      <c r="I149" s="4345">
        <v>1075.7574099999999</v>
      </c>
      <c r="J149" s="4348"/>
      <c r="K149" s="4344">
        <f t="shared" si="723"/>
        <v>1200.47129</v>
      </c>
      <c r="L149" s="4345">
        <v>1200.3920000000001</v>
      </c>
      <c r="M149" s="4889">
        <v>7.9289999999999999E-2</v>
      </c>
      <c r="N149" s="4344">
        <f t="shared" si="725"/>
        <v>3370.6516999999999</v>
      </c>
      <c r="O149" s="4344">
        <f t="shared" si="726"/>
        <v>3370.5724099999998</v>
      </c>
      <c r="P149" s="4344">
        <f t="shared" si="726"/>
        <v>7.9289999999999999E-2</v>
      </c>
      <c r="Q149" s="4324">
        <f t="shared" si="652"/>
        <v>3080.6182525263371</v>
      </c>
      <c r="R149" s="4324">
        <f t="shared" ref="R149:R157" si="849">SUM(C149)</f>
        <v>3080.2907525263372</v>
      </c>
      <c r="S149" s="4324">
        <f t="shared" ref="S149:S157" si="850">SUM(D149)</f>
        <v>0.32750000000000001</v>
      </c>
      <c r="T149" s="4344">
        <f t="shared" si="728"/>
        <v>1659.1474899999998</v>
      </c>
      <c r="U149" s="4345">
        <v>1658.5301199999999</v>
      </c>
      <c r="V149" s="4345">
        <v>0.61736999999999997</v>
      </c>
      <c r="W149" s="4344">
        <f t="shared" si="730"/>
        <v>1078.8220000000001</v>
      </c>
      <c r="X149" s="4345">
        <v>1078.269</v>
      </c>
      <c r="Y149" s="4348">
        <v>0.55300000000000005</v>
      </c>
      <c r="Z149" s="4344">
        <f t="shared" si="732"/>
        <v>1139.42491</v>
      </c>
      <c r="AA149" s="4345">
        <v>1139.00323</v>
      </c>
      <c r="AB149" s="4348">
        <v>0.42168</v>
      </c>
      <c r="AC149" s="4344">
        <f t="shared" si="734"/>
        <v>3877.3944000000001</v>
      </c>
      <c r="AD149" s="4344">
        <f t="shared" si="735"/>
        <v>3875.8023499999999</v>
      </c>
      <c r="AE149" s="4344">
        <f t="shared" si="735"/>
        <v>1.5920500000000002</v>
      </c>
      <c r="AF149" s="4326">
        <f t="shared" si="584"/>
        <v>6161.2365050526741</v>
      </c>
      <c r="AG149" s="4326">
        <f t="shared" si="815"/>
        <v>6160.5815050526744</v>
      </c>
      <c r="AH149" s="4326">
        <f t="shared" si="815"/>
        <v>0.65500000000000003</v>
      </c>
      <c r="AI149" s="4340">
        <f t="shared" si="736"/>
        <v>7248.0460999999996</v>
      </c>
      <c r="AJ149" s="4340">
        <f t="shared" si="736"/>
        <v>7246.3747599999997</v>
      </c>
      <c r="AK149" s="4340">
        <f t="shared" si="736"/>
        <v>1.6713400000000003</v>
      </c>
      <c r="AL149" s="4340">
        <f t="shared" si="737"/>
        <v>1086.8095949473254</v>
      </c>
      <c r="AM149" s="4340">
        <f t="shared" si="737"/>
        <v>1085.7932549473253</v>
      </c>
      <c r="AN149" s="4340">
        <f t="shared" si="737"/>
        <v>1.0163400000000002</v>
      </c>
      <c r="AO149" s="4324">
        <f t="shared" ref="AO149:AO154" si="851">SUM(AP149:AQ149)</f>
        <v>3080.6182525263371</v>
      </c>
      <c r="AP149" s="4324">
        <f t="shared" ref="AP149:AQ154" si="852">SUM(CC149-AG149)/2</f>
        <v>3080.2907525263372</v>
      </c>
      <c r="AQ149" s="4324">
        <f t="shared" si="852"/>
        <v>0.32750000000000001</v>
      </c>
      <c r="AR149" s="4344">
        <f t="shared" si="740"/>
        <v>986.06439</v>
      </c>
      <c r="AS149" s="4345">
        <v>985.76593000000003</v>
      </c>
      <c r="AT149" s="4345">
        <v>0.29846</v>
      </c>
      <c r="AU149" s="4344">
        <f t="shared" si="742"/>
        <v>0</v>
      </c>
      <c r="AV149" s="4345"/>
      <c r="AW149" s="4348"/>
      <c r="AX149" s="4344">
        <f t="shared" si="744"/>
        <v>0</v>
      </c>
      <c r="AY149" s="4345"/>
      <c r="AZ149" s="4348"/>
      <c r="BA149" s="4344">
        <f t="shared" si="746"/>
        <v>986.06439</v>
      </c>
      <c r="BB149" s="4344">
        <f t="shared" si="747"/>
        <v>985.76593000000003</v>
      </c>
      <c r="BC149" s="4344">
        <f t="shared" si="747"/>
        <v>0.29846</v>
      </c>
      <c r="BD149" s="4326">
        <f t="shared" si="819"/>
        <v>9241.8547575790126</v>
      </c>
      <c r="BE149" s="4326">
        <f t="shared" si="820"/>
        <v>9240.8722575790125</v>
      </c>
      <c r="BF149" s="4326">
        <f t="shared" si="820"/>
        <v>0.98250000000000004</v>
      </c>
      <c r="BG149" s="4340">
        <f t="shared" si="748"/>
        <v>8234.1104899999991</v>
      </c>
      <c r="BH149" s="4340">
        <f t="shared" si="748"/>
        <v>8232.1406900000002</v>
      </c>
      <c r="BI149" s="4340">
        <f t="shared" si="748"/>
        <v>1.9698000000000002</v>
      </c>
      <c r="BJ149" s="4340">
        <f t="shared" si="749"/>
        <v>-1007.7442675790135</v>
      </c>
      <c r="BK149" s="4340">
        <f t="shared" si="749"/>
        <v>-1008.7315675790123</v>
      </c>
      <c r="BL149" s="4340">
        <f t="shared" si="749"/>
        <v>0.98730000000000018</v>
      </c>
      <c r="BM149" s="4324">
        <f t="shared" si="842"/>
        <v>3080.6182525263371</v>
      </c>
      <c r="BN149" s="4324">
        <f t="shared" ref="BN149:BO156" si="853">SUM(AP149)</f>
        <v>3080.2907525263372</v>
      </c>
      <c r="BO149" s="4324">
        <f t="shared" si="853"/>
        <v>0.32750000000000001</v>
      </c>
      <c r="BP149" s="4344">
        <f t="shared" si="751"/>
        <v>0</v>
      </c>
      <c r="BQ149" s="4345"/>
      <c r="BR149" s="4348"/>
      <c r="BS149" s="4344">
        <f t="shared" si="753"/>
        <v>0</v>
      </c>
      <c r="BT149" s="4345"/>
      <c r="BU149" s="4348"/>
      <c r="BV149" s="4344">
        <f t="shared" si="755"/>
        <v>0</v>
      </c>
      <c r="BW149" s="4345"/>
      <c r="BX149" s="4345"/>
      <c r="BY149" s="4344">
        <f t="shared" si="757"/>
        <v>0</v>
      </c>
      <c r="BZ149" s="4344">
        <f t="shared" si="758"/>
        <v>0</v>
      </c>
      <c r="CA149" s="4344">
        <f t="shared" si="758"/>
        <v>0</v>
      </c>
      <c r="CB149" s="4326">
        <f>SUM(CC149:CD149)</f>
        <v>12322.473010105348</v>
      </c>
      <c r="CC149" s="4326">
        <f>SUM('ОХР '!FM10)</f>
        <v>12321.163010105349</v>
      </c>
      <c r="CD149" s="4326">
        <v>1.31</v>
      </c>
      <c r="CE149" s="4340">
        <f t="shared" si="759"/>
        <v>8234.1104899999991</v>
      </c>
      <c r="CF149" s="4340">
        <f t="shared" si="759"/>
        <v>8232.1406900000002</v>
      </c>
      <c r="CG149" s="4340">
        <f t="shared" si="759"/>
        <v>1.9698000000000002</v>
      </c>
      <c r="CH149" s="4340">
        <f t="shared" si="760"/>
        <v>-4088.3625201053492</v>
      </c>
      <c r="CI149" s="4340">
        <f t="shared" si="760"/>
        <v>-4089.0223201053486</v>
      </c>
      <c r="CJ149" s="4340">
        <f t="shared" si="760"/>
        <v>0.65980000000000016</v>
      </c>
      <c r="CK149" s="2774"/>
      <c r="CL149" s="3575">
        <f t="shared" si="483"/>
        <v>12322.473010105348</v>
      </c>
      <c r="CM149" s="3575">
        <f t="shared" si="483"/>
        <v>12321.163010105349</v>
      </c>
      <c r="CN149" s="3575">
        <f t="shared" si="483"/>
        <v>1.31</v>
      </c>
    </row>
    <row r="150" spans="1:92" ht="18.75" customHeight="1" x14ac:dyDescent="0.3">
      <c r="A150" s="4343" t="s">
        <v>3708</v>
      </c>
      <c r="B150" s="4324">
        <f t="shared" si="801"/>
        <v>924.18547575790114</v>
      </c>
      <c r="C150" s="4324">
        <f t="shared" si="847"/>
        <v>924.08722575790114</v>
      </c>
      <c r="D150" s="4324">
        <f t="shared" si="848"/>
        <v>9.8250000000000004E-2</v>
      </c>
      <c r="E150" s="4344">
        <f t="shared" si="606"/>
        <v>333.428</v>
      </c>
      <c r="F150" s="4348">
        <v>333.428</v>
      </c>
      <c r="G150" s="4348"/>
      <c r="H150" s="4344">
        <f t="shared" si="721"/>
        <v>335.03479999999996</v>
      </c>
      <c r="I150" s="4345">
        <f>2.21878+332.81602</f>
        <v>335.03479999999996</v>
      </c>
      <c r="J150" s="4348"/>
      <c r="K150" s="4344">
        <f t="shared" si="723"/>
        <v>363.34159</v>
      </c>
      <c r="L150" s="4345">
        <f>2.40609+360.9115</f>
        <v>363.31759</v>
      </c>
      <c r="M150" s="4889">
        <v>2.4E-2</v>
      </c>
      <c r="N150" s="4344">
        <f t="shared" si="725"/>
        <v>1031.8043899999998</v>
      </c>
      <c r="O150" s="4344">
        <f t="shared" si="726"/>
        <v>1031.7803899999999</v>
      </c>
      <c r="P150" s="4344">
        <f t="shared" si="726"/>
        <v>2.4E-2</v>
      </c>
      <c r="Q150" s="4324">
        <f t="shared" si="652"/>
        <v>924.18547575790114</v>
      </c>
      <c r="R150" s="4324">
        <f t="shared" si="849"/>
        <v>924.08722575790114</v>
      </c>
      <c r="S150" s="4324">
        <f t="shared" si="850"/>
        <v>9.8250000000000004E-2</v>
      </c>
      <c r="T150" s="4344">
        <f t="shared" si="728"/>
        <v>494.46098999999998</v>
      </c>
      <c r="U150" s="4345">
        <v>494.27699999999999</v>
      </c>
      <c r="V150" s="4345">
        <v>0.18398999999999999</v>
      </c>
      <c r="W150" s="4344">
        <f t="shared" si="730"/>
        <v>321.57300000000004</v>
      </c>
      <c r="X150" s="4345">
        <v>321.40800000000002</v>
      </c>
      <c r="Y150" s="4348">
        <v>0.16500000000000001</v>
      </c>
      <c r="Z150" s="4344">
        <f t="shared" si="732"/>
        <v>344.14771000000002</v>
      </c>
      <c r="AA150" s="4345">
        <f>2.23901+341.78134</f>
        <v>344.02035000000001</v>
      </c>
      <c r="AB150" s="4348">
        <f>0.00083+0.12653</f>
        <v>0.12736</v>
      </c>
      <c r="AC150" s="4344">
        <f t="shared" si="734"/>
        <v>1160.1816999999999</v>
      </c>
      <c r="AD150" s="4344">
        <f t="shared" si="735"/>
        <v>1159.70535</v>
      </c>
      <c r="AE150" s="4344">
        <f t="shared" si="735"/>
        <v>0.47635000000000005</v>
      </c>
      <c r="AF150" s="4326">
        <f t="shared" si="584"/>
        <v>1848.3709515158023</v>
      </c>
      <c r="AG150" s="4326">
        <f t="shared" si="815"/>
        <v>1848.1744515158023</v>
      </c>
      <c r="AH150" s="4326">
        <f t="shared" si="815"/>
        <v>0.19650000000000001</v>
      </c>
      <c r="AI150" s="4340">
        <f t="shared" si="736"/>
        <v>2191.9860899999994</v>
      </c>
      <c r="AJ150" s="4340">
        <f t="shared" si="736"/>
        <v>2191.4857400000001</v>
      </c>
      <c r="AK150" s="4340">
        <f t="shared" si="736"/>
        <v>0.50035000000000007</v>
      </c>
      <c r="AL150" s="4340">
        <f t="shared" si="737"/>
        <v>343.61513848419713</v>
      </c>
      <c r="AM150" s="4340">
        <f t="shared" si="737"/>
        <v>343.3112884841978</v>
      </c>
      <c r="AN150" s="4340">
        <f t="shared" si="737"/>
        <v>0.30385000000000006</v>
      </c>
      <c r="AO150" s="4324">
        <f t="shared" si="851"/>
        <v>924.18547575790114</v>
      </c>
      <c r="AP150" s="4324">
        <f t="shared" si="852"/>
        <v>924.08722575790114</v>
      </c>
      <c r="AQ150" s="4324">
        <f t="shared" si="852"/>
        <v>9.8250000000000004E-2</v>
      </c>
      <c r="AR150" s="4344">
        <f t="shared" si="740"/>
        <v>295.62815000000001</v>
      </c>
      <c r="AS150" s="4345">
        <v>295.53867000000002</v>
      </c>
      <c r="AT150" s="4345">
        <v>8.9480000000000004E-2</v>
      </c>
      <c r="AU150" s="4344">
        <f t="shared" si="742"/>
        <v>0</v>
      </c>
      <c r="AV150" s="4345"/>
      <c r="AW150" s="4348"/>
      <c r="AX150" s="4344">
        <f t="shared" si="744"/>
        <v>0</v>
      </c>
      <c r="AY150" s="4345"/>
      <c r="AZ150" s="4348"/>
      <c r="BA150" s="4344">
        <f t="shared" si="746"/>
        <v>295.62815000000001</v>
      </c>
      <c r="BB150" s="4344">
        <f t="shared" si="747"/>
        <v>295.53867000000002</v>
      </c>
      <c r="BC150" s="4344">
        <f t="shared" si="747"/>
        <v>8.9480000000000004E-2</v>
      </c>
      <c r="BD150" s="4326">
        <f t="shared" si="819"/>
        <v>2772.5564272737033</v>
      </c>
      <c r="BE150" s="4326">
        <f t="shared" si="820"/>
        <v>2772.2616772737033</v>
      </c>
      <c r="BF150" s="4326">
        <f t="shared" si="820"/>
        <v>0.29475000000000001</v>
      </c>
      <c r="BG150" s="4340">
        <f t="shared" si="748"/>
        <v>2487.6142399999994</v>
      </c>
      <c r="BH150" s="4340">
        <f t="shared" si="748"/>
        <v>2487.02441</v>
      </c>
      <c r="BI150" s="4340">
        <f t="shared" si="748"/>
        <v>0.58983000000000008</v>
      </c>
      <c r="BJ150" s="4340">
        <f t="shared" si="749"/>
        <v>-284.94218727370389</v>
      </c>
      <c r="BK150" s="4340">
        <f t="shared" si="749"/>
        <v>-285.23726727370331</v>
      </c>
      <c r="BL150" s="4340">
        <f t="shared" si="749"/>
        <v>0.29508000000000006</v>
      </c>
      <c r="BM150" s="4324">
        <f t="shared" si="842"/>
        <v>924.18547575790114</v>
      </c>
      <c r="BN150" s="4324">
        <f t="shared" si="853"/>
        <v>924.08722575790114</v>
      </c>
      <c r="BO150" s="4324">
        <f t="shared" si="853"/>
        <v>9.8250000000000004E-2</v>
      </c>
      <c r="BP150" s="4344">
        <f t="shared" si="751"/>
        <v>0</v>
      </c>
      <c r="BQ150" s="4345"/>
      <c r="BR150" s="4348"/>
      <c r="BS150" s="4344">
        <f t="shared" si="753"/>
        <v>0</v>
      </c>
      <c r="BT150" s="4345"/>
      <c r="BU150" s="4348"/>
      <c r="BV150" s="4344">
        <f t="shared" si="755"/>
        <v>0</v>
      </c>
      <c r="BW150" s="4345"/>
      <c r="BX150" s="4345"/>
      <c r="BY150" s="4344">
        <f t="shared" si="757"/>
        <v>0</v>
      </c>
      <c r="BZ150" s="4344">
        <f t="shared" si="758"/>
        <v>0</v>
      </c>
      <c r="CA150" s="4344">
        <f t="shared" si="758"/>
        <v>0</v>
      </c>
      <c r="CB150" s="4326">
        <f t="shared" ref="CB150:CB154" si="854">SUM(CC150:CD150)</f>
        <v>3696.7419030316046</v>
      </c>
      <c r="CC150" s="4326">
        <f>SUM('ОХР '!FM11)</f>
        <v>3696.3489030316046</v>
      </c>
      <c r="CD150" s="4371">
        <f>SUM(CD149*30%)</f>
        <v>0.39300000000000002</v>
      </c>
      <c r="CE150" s="4340">
        <f t="shared" si="759"/>
        <v>2487.6142399999994</v>
      </c>
      <c r="CF150" s="4340">
        <f t="shared" si="759"/>
        <v>2487.02441</v>
      </c>
      <c r="CG150" s="4340">
        <f t="shared" si="759"/>
        <v>0.58983000000000008</v>
      </c>
      <c r="CH150" s="4340">
        <f t="shared" si="760"/>
        <v>-1209.1276630316052</v>
      </c>
      <c r="CI150" s="4340">
        <f t="shared" si="760"/>
        <v>-1209.3244930316046</v>
      </c>
      <c r="CJ150" s="4340">
        <f t="shared" si="760"/>
        <v>0.19683000000000006</v>
      </c>
      <c r="CK150" s="2774"/>
      <c r="CL150" s="3575">
        <f t="shared" si="483"/>
        <v>3696.7419030316046</v>
      </c>
      <c r="CM150" s="3575">
        <f t="shared" si="483"/>
        <v>3696.3489030316046</v>
      </c>
      <c r="CN150" s="3575">
        <f t="shared" si="483"/>
        <v>0.39300000000000002</v>
      </c>
    </row>
    <row r="151" spans="1:92" ht="18.75" customHeight="1" x14ac:dyDescent="0.3">
      <c r="A151" s="3046" t="s">
        <v>272</v>
      </c>
      <c r="B151" s="4324">
        <f t="shared" si="801"/>
        <v>4.9820933109303871</v>
      </c>
      <c r="C151" s="4324">
        <f t="shared" si="847"/>
        <v>4.9778433109303872</v>
      </c>
      <c r="D151" s="4324">
        <f t="shared" si="848"/>
        <v>4.2500000000000003E-3</v>
      </c>
      <c r="E151" s="4344">
        <f t="shared" si="606"/>
        <v>0</v>
      </c>
      <c r="F151" s="4348">
        <v>0</v>
      </c>
      <c r="G151" s="4348"/>
      <c r="H151" s="4344">
        <f t="shared" si="721"/>
        <v>12.548550000000001</v>
      </c>
      <c r="I151" s="4345">
        <v>12.548550000000001</v>
      </c>
      <c r="J151" s="4348"/>
      <c r="K151" s="4344">
        <f t="shared" si="723"/>
        <v>6.1760000000000002</v>
      </c>
      <c r="L151" s="4345">
        <v>6.1756000000000002</v>
      </c>
      <c r="M151" s="4889">
        <v>4.0000000000000002E-4</v>
      </c>
      <c r="N151" s="4344">
        <f t="shared" si="725"/>
        <v>18.724550000000001</v>
      </c>
      <c r="O151" s="4344">
        <f t="shared" si="726"/>
        <v>18.724150000000002</v>
      </c>
      <c r="P151" s="4344">
        <f t="shared" si="726"/>
        <v>4.0000000000000002E-4</v>
      </c>
      <c r="Q151" s="4324">
        <f t="shared" si="652"/>
        <v>4.9820933109303871</v>
      </c>
      <c r="R151" s="4324">
        <f t="shared" si="849"/>
        <v>4.9778433109303872</v>
      </c>
      <c r="S151" s="4324">
        <f t="shared" si="850"/>
        <v>4.2500000000000003E-3</v>
      </c>
      <c r="T151" s="4344">
        <f t="shared" si="728"/>
        <v>5.98231</v>
      </c>
      <c r="U151" s="4345">
        <v>5.9800800000000001</v>
      </c>
      <c r="V151" s="4348">
        <v>2.2300000000000002E-3</v>
      </c>
      <c r="W151" s="4344">
        <f t="shared" si="730"/>
        <v>6.9024999999999999</v>
      </c>
      <c r="X151" s="4345">
        <v>6.899</v>
      </c>
      <c r="Y151" s="4348">
        <v>3.5000000000000001E-3</v>
      </c>
      <c r="Z151" s="4344">
        <f t="shared" si="732"/>
        <v>5.2838200000000004</v>
      </c>
      <c r="AA151" s="4345">
        <v>5.28186</v>
      </c>
      <c r="AB151" s="4348">
        <v>1.9599999999999999E-3</v>
      </c>
      <c r="AC151" s="4344">
        <f t="shared" si="734"/>
        <v>18.16863</v>
      </c>
      <c r="AD151" s="4344">
        <f t="shared" si="735"/>
        <v>18.16094</v>
      </c>
      <c r="AE151" s="4344">
        <f t="shared" si="735"/>
        <v>7.6900000000000007E-3</v>
      </c>
      <c r="AF151" s="4326">
        <f t="shared" si="584"/>
        <v>9.9641866218607742</v>
      </c>
      <c r="AG151" s="4326">
        <f t="shared" si="815"/>
        <v>9.9556866218607745</v>
      </c>
      <c r="AH151" s="4326">
        <f t="shared" si="815"/>
        <v>8.5000000000000006E-3</v>
      </c>
      <c r="AI151" s="4340">
        <f t="shared" si="736"/>
        <v>36.893180000000001</v>
      </c>
      <c r="AJ151" s="4340">
        <f t="shared" si="736"/>
        <v>36.885090000000005</v>
      </c>
      <c r="AK151" s="4340">
        <f t="shared" si="736"/>
        <v>8.09E-3</v>
      </c>
      <c r="AL151" s="4340">
        <f t="shared" si="737"/>
        <v>26.928993378139225</v>
      </c>
      <c r="AM151" s="4340">
        <f t="shared" si="737"/>
        <v>26.929403378139231</v>
      </c>
      <c r="AN151" s="4340">
        <f t="shared" si="737"/>
        <v>-4.1000000000000064E-4</v>
      </c>
      <c r="AO151" s="4324">
        <f t="shared" si="851"/>
        <v>4.9820933109303871</v>
      </c>
      <c r="AP151" s="4324">
        <f t="shared" si="852"/>
        <v>4.9778433109303872</v>
      </c>
      <c r="AQ151" s="4324">
        <f t="shared" si="852"/>
        <v>4.2500000000000003E-3</v>
      </c>
      <c r="AR151" s="4344">
        <f t="shared" si="740"/>
        <v>6.5028600000000001</v>
      </c>
      <c r="AS151" s="4345">
        <v>6.5008900000000001</v>
      </c>
      <c r="AT151" s="4345">
        <v>1.97E-3</v>
      </c>
      <c r="AU151" s="4344">
        <f t="shared" si="742"/>
        <v>0</v>
      </c>
      <c r="AV151" s="4345"/>
      <c r="AW151" s="4348"/>
      <c r="AX151" s="4344">
        <f t="shared" si="744"/>
        <v>0</v>
      </c>
      <c r="AY151" s="4345"/>
      <c r="AZ151" s="4348"/>
      <c r="BA151" s="4344">
        <f t="shared" si="746"/>
        <v>6.5028600000000001</v>
      </c>
      <c r="BB151" s="4344">
        <f t="shared" si="747"/>
        <v>6.5008900000000001</v>
      </c>
      <c r="BC151" s="4344">
        <f t="shared" si="747"/>
        <v>1.97E-3</v>
      </c>
      <c r="BD151" s="4326">
        <f t="shared" si="819"/>
        <v>14.946279932791162</v>
      </c>
      <c r="BE151" s="4326">
        <f t="shared" si="820"/>
        <v>14.933529932791162</v>
      </c>
      <c r="BF151" s="4326">
        <f t="shared" si="820"/>
        <v>1.2750000000000001E-2</v>
      </c>
      <c r="BG151" s="4340">
        <f t="shared" si="748"/>
        <v>43.396039999999999</v>
      </c>
      <c r="BH151" s="4340">
        <f t="shared" si="748"/>
        <v>43.385980000000004</v>
      </c>
      <c r="BI151" s="4340">
        <f t="shared" si="748"/>
        <v>1.0059999999999999E-2</v>
      </c>
      <c r="BJ151" s="4340">
        <f t="shared" si="749"/>
        <v>28.449760067208835</v>
      </c>
      <c r="BK151" s="4340">
        <f t="shared" si="749"/>
        <v>28.452450067208844</v>
      </c>
      <c r="BL151" s="4340">
        <f t="shared" si="749"/>
        <v>-2.6900000000000014E-3</v>
      </c>
      <c r="BM151" s="4324">
        <f t="shared" si="842"/>
        <v>4.9820933109303871</v>
      </c>
      <c r="BN151" s="4324">
        <f t="shared" si="853"/>
        <v>4.9778433109303872</v>
      </c>
      <c r="BO151" s="4324">
        <f t="shared" si="853"/>
        <v>4.2500000000000003E-3</v>
      </c>
      <c r="BP151" s="4344">
        <f t="shared" si="751"/>
        <v>0</v>
      </c>
      <c r="BQ151" s="4345"/>
      <c r="BR151" s="4348"/>
      <c r="BS151" s="4344">
        <f t="shared" si="753"/>
        <v>0</v>
      </c>
      <c r="BT151" s="4345"/>
      <c r="BU151" s="4348"/>
      <c r="BV151" s="4344">
        <f t="shared" si="755"/>
        <v>0</v>
      </c>
      <c r="BW151" s="4345"/>
      <c r="BX151" s="4345"/>
      <c r="BY151" s="4344">
        <f t="shared" si="757"/>
        <v>0</v>
      </c>
      <c r="BZ151" s="4344">
        <f t="shared" si="758"/>
        <v>0</v>
      </c>
      <c r="CA151" s="4344">
        <f t="shared" si="758"/>
        <v>0</v>
      </c>
      <c r="CB151" s="4326">
        <f t="shared" si="854"/>
        <v>19.928373243721548</v>
      </c>
      <c r="CC151" s="4326">
        <f>SUM('ОХР '!FM21)</f>
        <v>19.911373243721549</v>
      </c>
      <c r="CD151" s="4326">
        <v>1.7000000000000001E-2</v>
      </c>
      <c r="CE151" s="4340">
        <f t="shared" si="759"/>
        <v>43.396039999999999</v>
      </c>
      <c r="CF151" s="4340">
        <f t="shared" si="759"/>
        <v>43.385980000000004</v>
      </c>
      <c r="CG151" s="4340">
        <f t="shared" si="759"/>
        <v>1.0059999999999999E-2</v>
      </c>
      <c r="CH151" s="4340">
        <f t="shared" si="760"/>
        <v>23.467666756278451</v>
      </c>
      <c r="CI151" s="4340">
        <f t="shared" si="760"/>
        <v>23.474606756278455</v>
      </c>
      <c r="CJ151" s="4340">
        <f t="shared" si="760"/>
        <v>-6.9400000000000017E-3</v>
      </c>
      <c r="CK151" s="2774"/>
      <c r="CL151" s="3575">
        <f t="shared" si="483"/>
        <v>19.928373243721548</v>
      </c>
      <c r="CM151" s="3575">
        <f t="shared" si="483"/>
        <v>19.911373243721549</v>
      </c>
      <c r="CN151" s="3575">
        <f t="shared" si="483"/>
        <v>1.7000000000000001E-2</v>
      </c>
    </row>
    <row r="152" spans="1:92" ht="18.75" customHeight="1" x14ac:dyDescent="0.3">
      <c r="A152" s="3046" t="s">
        <v>1543</v>
      </c>
      <c r="B152" s="4324">
        <f t="shared" si="801"/>
        <v>3.0000000000000001E-3</v>
      </c>
      <c r="C152" s="4324">
        <f t="shared" si="847"/>
        <v>0</v>
      </c>
      <c r="D152" s="4324">
        <f t="shared" si="848"/>
        <v>3.0000000000000001E-3</v>
      </c>
      <c r="E152" s="4344">
        <f t="shared" si="606"/>
        <v>0</v>
      </c>
      <c r="F152" s="4348">
        <v>0</v>
      </c>
      <c r="G152" s="4348"/>
      <c r="H152" s="4344">
        <f t="shared" si="721"/>
        <v>0</v>
      </c>
      <c r="I152" s="4345">
        <v>0</v>
      </c>
      <c r="J152" s="4348"/>
      <c r="K152" s="4344">
        <f t="shared" si="723"/>
        <v>0</v>
      </c>
      <c r="L152" s="4345">
        <v>0</v>
      </c>
      <c r="M152" s="4889">
        <v>0</v>
      </c>
      <c r="N152" s="4344">
        <f t="shared" si="725"/>
        <v>0</v>
      </c>
      <c r="O152" s="4344">
        <f t="shared" si="726"/>
        <v>0</v>
      </c>
      <c r="P152" s="4344">
        <f t="shared" si="726"/>
        <v>0</v>
      </c>
      <c r="Q152" s="4324">
        <f t="shared" si="652"/>
        <v>3.0000000000000001E-3</v>
      </c>
      <c r="R152" s="4324">
        <f t="shared" si="849"/>
        <v>0</v>
      </c>
      <c r="S152" s="4324">
        <f t="shared" si="850"/>
        <v>3.0000000000000001E-3</v>
      </c>
      <c r="T152" s="4344">
        <f t="shared" si="728"/>
        <v>0</v>
      </c>
      <c r="U152" s="4345">
        <v>0</v>
      </c>
      <c r="V152" s="4348">
        <v>0</v>
      </c>
      <c r="W152" s="4344">
        <f t="shared" si="730"/>
        <v>0</v>
      </c>
      <c r="X152" s="4345">
        <v>0</v>
      </c>
      <c r="Y152" s="4348">
        <v>0</v>
      </c>
      <c r="Z152" s="4344">
        <f t="shared" si="732"/>
        <v>0</v>
      </c>
      <c r="AA152" s="4345">
        <v>0</v>
      </c>
      <c r="AB152" s="4348">
        <v>0</v>
      </c>
      <c r="AC152" s="4344">
        <f t="shared" si="734"/>
        <v>0</v>
      </c>
      <c r="AD152" s="4344">
        <f t="shared" si="735"/>
        <v>0</v>
      </c>
      <c r="AE152" s="4344">
        <f t="shared" si="735"/>
        <v>0</v>
      </c>
      <c r="AF152" s="4326">
        <f t="shared" si="584"/>
        <v>6.0000000000000001E-3</v>
      </c>
      <c r="AG152" s="4326">
        <f t="shared" si="815"/>
        <v>0</v>
      </c>
      <c r="AH152" s="4326">
        <f t="shared" si="815"/>
        <v>6.0000000000000001E-3</v>
      </c>
      <c r="AI152" s="4340">
        <f t="shared" si="736"/>
        <v>0</v>
      </c>
      <c r="AJ152" s="4340">
        <f t="shared" si="736"/>
        <v>0</v>
      </c>
      <c r="AK152" s="4340">
        <f t="shared" si="736"/>
        <v>0</v>
      </c>
      <c r="AL152" s="4340">
        <f t="shared" si="737"/>
        <v>-6.0000000000000001E-3</v>
      </c>
      <c r="AM152" s="4340">
        <f t="shared" si="737"/>
        <v>0</v>
      </c>
      <c r="AN152" s="4340">
        <f t="shared" si="737"/>
        <v>-6.0000000000000001E-3</v>
      </c>
      <c r="AO152" s="4324">
        <f t="shared" si="851"/>
        <v>3.0000000000000001E-3</v>
      </c>
      <c r="AP152" s="4324">
        <f t="shared" si="852"/>
        <v>0</v>
      </c>
      <c r="AQ152" s="4324">
        <f t="shared" si="852"/>
        <v>3.0000000000000001E-3</v>
      </c>
      <c r="AR152" s="4344">
        <f t="shared" si="740"/>
        <v>0</v>
      </c>
      <c r="AS152" s="4345">
        <v>0</v>
      </c>
      <c r="AT152" s="4345">
        <v>0</v>
      </c>
      <c r="AU152" s="4344">
        <f t="shared" si="742"/>
        <v>0</v>
      </c>
      <c r="AV152" s="4345"/>
      <c r="AW152" s="4348"/>
      <c r="AX152" s="4344">
        <f t="shared" si="744"/>
        <v>0</v>
      </c>
      <c r="AY152" s="4345"/>
      <c r="AZ152" s="4348"/>
      <c r="BA152" s="4344">
        <f t="shared" si="746"/>
        <v>0</v>
      </c>
      <c r="BB152" s="4344">
        <f t="shared" si="747"/>
        <v>0</v>
      </c>
      <c r="BC152" s="4344">
        <f t="shared" si="747"/>
        <v>0</v>
      </c>
      <c r="BD152" s="4326">
        <f t="shared" si="819"/>
        <v>9.0000000000000011E-3</v>
      </c>
      <c r="BE152" s="4326">
        <f t="shared" si="820"/>
        <v>0</v>
      </c>
      <c r="BF152" s="4326">
        <f t="shared" si="820"/>
        <v>9.0000000000000011E-3</v>
      </c>
      <c r="BG152" s="4340">
        <f t="shared" si="748"/>
        <v>0</v>
      </c>
      <c r="BH152" s="4340">
        <f t="shared" si="748"/>
        <v>0</v>
      </c>
      <c r="BI152" s="4340">
        <f t="shared" si="748"/>
        <v>0</v>
      </c>
      <c r="BJ152" s="4340">
        <f t="shared" si="749"/>
        <v>-9.0000000000000011E-3</v>
      </c>
      <c r="BK152" s="4340">
        <f t="shared" si="749"/>
        <v>0</v>
      </c>
      <c r="BL152" s="4340">
        <f t="shared" si="749"/>
        <v>-9.0000000000000011E-3</v>
      </c>
      <c r="BM152" s="4324">
        <f t="shared" si="842"/>
        <v>3.0000000000000001E-3</v>
      </c>
      <c r="BN152" s="4324">
        <f t="shared" si="853"/>
        <v>0</v>
      </c>
      <c r="BO152" s="4324">
        <f t="shared" si="853"/>
        <v>3.0000000000000001E-3</v>
      </c>
      <c r="BP152" s="4344">
        <f t="shared" si="751"/>
        <v>0</v>
      </c>
      <c r="BQ152" s="4345"/>
      <c r="BR152" s="4348"/>
      <c r="BS152" s="4344">
        <f t="shared" si="753"/>
        <v>0</v>
      </c>
      <c r="BT152" s="4345"/>
      <c r="BU152" s="4348"/>
      <c r="BV152" s="4344">
        <f t="shared" si="755"/>
        <v>0</v>
      </c>
      <c r="BW152" s="4345"/>
      <c r="BX152" s="4345"/>
      <c r="BY152" s="4344">
        <f t="shared" si="757"/>
        <v>0</v>
      </c>
      <c r="BZ152" s="4344">
        <f t="shared" si="758"/>
        <v>0</v>
      </c>
      <c r="CA152" s="4344">
        <f t="shared" si="758"/>
        <v>0</v>
      </c>
      <c r="CB152" s="4326">
        <f t="shared" si="854"/>
        <v>1.2E-2</v>
      </c>
      <c r="CC152" s="4326">
        <v>0</v>
      </c>
      <c r="CD152" s="4326">
        <v>1.2E-2</v>
      </c>
      <c r="CE152" s="4340">
        <f t="shared" si="759"/>
        <v>0</v>
      </c>
      <c r="CF152" s="4340">
        <f t="shared" si="759"/>
        <v>0</v>
      </c>
      <c r="CG152" s="4340">
        <f t="shared" si="759"/>
        <v>0</v>
      </c>
      <c r="CH152" s="4340">
        <f t="shared" si="760"/>
        <v>-1.2E-2</v>
      </c>
      <c r="CI152" s="4340">
        <f t="shared" si="760"/>
        <v>0</v>
      </c>
      <c r="CJ152" s="4340">
        <f t="shared" si="760"/>
        <v>-1.2E-2</v>
      </c>
      <c r="CK152" s="2774"/>
      <c r="CL152" s="3575">
        <f t="shared" si="483"/>
        <v>1.2E-2</v>
      </c>
      <c r="CM152" s="3575">
        <f t="shared" si="483"/>
        <v>0</v>
      </c>
      <c r="CN152" s="3575">
        <f t="shared" si="483"/>
        <v>1.2E-2</v>
      </c>
    </row>
    <row r="153" spans="1:92" ht="18.75" customHeight="1" x14ac:dyDescent="0.3">
      <c r="A153" s="3046" t="s">
        <v>273</v>
      </c>
      <c r="B153" s="4324">
        <f t="shared" si="801"/>
        <v>21.161999999999999</v>
      </c>
      <c r="C153" s="4324">
        <f t="shared" si="847"/>
        <v>21.161999999999999</v>
      </c>
      <c r="D153" s="4324">
        <f t="shared" si="848"/>
        <v>0</v>
      </c>
      <c r="E153" s="4344">
        <f t="shared" si="606"/>
        <v>2.6619999999999999</v>
      </c>
      <c r="F153" s="4348">
        <v>2.6619999999999999</v>
      </c>
      <c r="G153" s="4348"/>
      <c r="H153" s="4344">
        <f t="shared" si="721"/>
        <v>2.6397200000000001</v>
      </c>
      <c r="I153" s="4345">
        <v>2.6397200000000001</v>
      </c>
      <c r="J153" s="4348"/>
      <c r="K153" s="4344">
        <f t="shared" si="723"/>
        <v>2.6781699999999997</v>
      </c>
      <c r="L153" s="4345">
        <v>2.6779999999999999</v>
      </c>
      <c r="M153" s="4889">
        <v>1.7000000000000001E-4</v>
      </c>
      <c r="N153" s="4344">
        <f t="shared" si="725"/>
        <v>7.9798899999999993</v>
      </c>
      <c r="O153" s="4344">
        <f t="shared" si="726"/>
        <v>7.9797199999999995</v>
      </c>
      <c r="P153" s="4344">
        <f t="shared" si="726"/>
        <v>1.7000000000000001E-4</v>
      </c>
      <c r="Q153" s="4324">
        <f t="shared" si="652"/>
        <v>21.161999999999999</v>
      </c>
      <c r="R153" s="4324">
        <f t="shared" si="849"/>
        <v>21.161999999999999</v>
      </c>
      <c r="S153" s="4324">
        <f t="shared" si="850"/>
        <v>0</v>
      </c>
      <c r="T153" s="4344">
        <f t="shared" si="728"/>
        <v>2.7556400000000001</v>
      </c>
      <c r="U153" s="4345">
        <v>2.75461</v>
      </c>
      <c r="V153" s="4348">
        <v>1.0300000000000001E-3</v>
      </c>
      <c r="W153" s="4344">
        <f t="shared" si="730"/>
        <v>2.6663700000000001</v>
      </c>
      <c r="X153" s="4345">
        <v>2.665</v>
      </c>
      <c r="Y153" s="4348">
        <v>1.3699999999999999E-3</v>
      </c>
      <c r="Z153" s="4344">
        <f t="shared" si="732"/>
        <v>6.5508600000000001</v>
      </c>
      <c r="AA153" s="4345">
        <v>6.5484299999999998</v>
      </c>
      <c r="AB153" s="4348">
        <v>2.4299999999999999E-3</v>
      </c>
      <c r="AC153" s="4344">
        <f t="shared" si="734"/>
        <v>11.97287</v>
      </c>
      <c r="AD153" s="4344">
        <f t="shared" si="735"/>
        <v>11.96804</v>
      </c>
      <c r="AE153" s="4344">
        <f t="shared" si="735"/>
        <v>4.8300000000000001E-3</v>
      </c>
      <c r="AF153" s="4326">
        <f t="shared" si="584"/>
        <v>42.323999999999998</v>
      </c>
      <c r="AG153" s="4326">
        <f t="shared" si="815"/>
        <v>42.323999999999998</v>
      </c>
      <c r="AH153" s="4326">
        <f t="shared" si="815"/>
        <v>0</v>
      </c>
      <c r="AI153" s="4340">
        <f t="shared" si="736"/>
        <v>19.952759999999998</v>
      </c>
      <c r="AJ153" s="4340">
        <f t="shared" si="736"/>
        <v>19.947759999999999</v>
      </c>
      <c r="AK153" s="4340">
        <f t="shared" si="736"/>
        <v>5.0000000000000001E-3</v>
      </c>
      <c r="AL153" s="4340">
        <f t="shared" si="737"/>
        <v>-22.37124</v>
      </c>
      <c r="AM153" s="4340">
        <f t="shared" si="737"/>
        <v>-22.376239999999999</v>
      </c>
      <c r="AN153" s="4340">
        <f t="shared" si="737"/>
        <v>5.0000000000000001E-3</v>
      </c>
      <c r="AO153" s="4324">
        <f t="shared" si="851"/>
        <v>21.161999999999999</v>
      </c>
      <c r="AP153" s="4324">
        <f t="shared" si="852"/>
        <v>21.161999999999999</v>
      </c>
      <c r="AQ153" s="4324">
        <f t="shared" si="852"/>
        <v>0</v>
      </c>
      <c r="AR153" s="4344">
        <f t="shared" si="740"/>
        <v>6.3975399999999993</v>
      </c>
      <c r="AS153" s="4345">
        <v>6.3956099999999996</v>
      </c>
      <c r="AT153" s="4345">
        <v>1.9300000000000001E-3</v>
      </c>
      <c r="AU153" s="4344">
        <f t="shared" si="742"/>
        <v>0</v>
      </c>
      <c r="AV153" s="4345"/>
      <c r="AW153" s="4348"/>
      <c r="AX153" s="4344">
        <f t="shared" si="744"/>
        <v>0</v>
      </c>
      <c r="AY153" s="4345"/>
      <c r="AZ153" s="4348"/>
      <c r="BA153" s="4344">
        <f t="shared" si="746"/>
        <v>6.3975399999999993</v>
      </c>
      <c r="BB153" s="4344">
        <f t="shared" si="747"/>
        <v>6.3956099999999996</v>
      </c>
      <c r="BC153" s="4344">
        <f t="shared" si="747"/>
        <v>1.9300000000000001E-3</v>
      </c>
      <c r="BD153" s="4326">
        <f t="shared" si="819"/>
        <v>63.485999999999997</v>
      </c>
      <c r="BE153" s="4326">
        <f t="shared" si="820"/>
        <v>63.485999999999997</v>
      </c>
      <c r="BF153" s="4326">
        <f t="shared" si="820"/>
        <v>0</v>
      </c>
      <c r="BG153" s="4340">
        <f t="shared" si="748"/>
        <v>26.350299999999997</v>
      </c>
      <c r="BH153" s="4340">
        <f t="shared" si="748"/>
        <v>26.34337</v>
      </c>
      <c r="BI153" s="4340">
        <f t="shared" si="748"/>
        <v>6.9300000000000004E-3</v>
      </c>
      <c r="BJ153" s="4340">
        <f t="shared" si="749"/>
        <v>-37.1357</v>
      </c>
      <c r="BK153" s="4340">
        <f t="shared" si="749"/>
        <v>-37.142629999999997</v>
      </c>
      <c r="BL153" s="4340">
        <f t="shared" si="749"/>
        <v>6.9300000000000004E-3</v>
      </c>
      <c r="BM153" s="4324">
        <f t="shared" si="842"/>
        <v>21.161999999999999</v>
      </c>
      <c r="BN153" s="4324">
        <f t="shared" si="853"/>
        <v>21.161999999999999</v>
      </c>
      <c r="BO153" s="4324">
        <f t="shared" si="853"/>
        <v>0</v>
      </c>
      <c r="BP153" s="4344">
        <f t="shared" si="751"/>
        <v>0</v>
      </c>
      <c r="BQ153" s="4345"/>
      <c r="BR153" s="4348"/>
      <c r="BS153" s="4344">
        <f t="shared" si="753"/>
        <v>0</v>
      </c>
      <c r="BT153" s="4345"/>
      <c r="BU153" s="4348"/>
      <c r="BV153" s="4344">
        <f t="shared" si="755"/>
        <v>0</v>
      </c>
      <c r="BW153" s="4345"/>
      <c r="BX153" s="4345"/>
      <c r="BY153" s="4344">
        <f t="shared" si="757"/>
        <v>0</v>
      </c>
      <c r="BZ153" s="4344">
        <f t="shared" si="758"/>
        <v>0</v>
      </c>
      <c r="CA153" s="4344">
        <f t="shared" si="758"/>
        <v>0</v>
      </c>
      <c r="CB153" s="4326">
        <f t="shared" si="854"/>
        <v>84.647999999999996</v>
      </c>
      <c r="CC153" s="4326">
        <v>84.647999999999996</v>
      </c>
      <c r="CD153" s="4326">
        <v>0</v>
      </c>
      <c r="CE153" s="4340">
        <f t="shared" si="759"/>
        <v>26.350299999999997</v>
      </c>
      <c r="CF153" s="4340">
        <f t="shared" si="759"/>
        <v>26.34337</v>
      </c>
      <c r="CG153" s="4340">
        <f t="shared" si="759"/>
        <v>6.9300000000000004E-3</v>
      </c>
      <c r="CH153" s="4340">
        <f t="shared" si="760"/>
        <v>-58.297699999999999</v>
      </c>
      <c r="CI153" s="4340">
        <f t="shared" si="760"/>
        <v>-58.304629999999996</v>
      </c>
      <c r="CJ153" s="4340">
        <f t="shared" si="760"/>
        <v>6.9300000000000004E-3</v>
      </c>
      <c r="CK153" s="2774"/>
      <c r="CL153" s="3575">
        <f t="shared" si="483"/>
        <v>84.647999999999996</v>
      </c>
      <c r="CM153" s="3575">
        <f t="shared" si="483"/>
        <v>84.647999999999996</v>
      </c>
      <c r="CN153" s="3575">
        <f t="shared" si="483"/>
        <v>0</v>
      </c>
    </row>
    <row r="154" spans="1:92" ht="18.75" customHeight="1" x14ac:dyDescent="0.3">
      <c r="A154" s="4339" t="s">
        <v>3709</v>
      </c>
      <c r="B154" s="4324">
        <f t="shared" si="801"/>
        <v>545.95306795819567</v>
      </c>
      <c r="C154" s="4324">
        <f t="shared" si="847"/>
        <v>545.92781795819565</v>
      </c>
      <c r="D154" s="4324">
        <f t="shared" si="848"/>
        <v>2.5249999999999995E-2</v>
      </c>
      <c r="E154" s="4344">
        <f t="shared" si="606"/>
        <v>434.197</v>
      </c>
      <c r="F154" s="4348">
        <v>434.197</v>
      </c>
      <c r="G154" s="4348"/>
      <c r="H154" s="4344">
        <f t="shared" si="721"/>
        <v>347.16383000000002</v>
      </c>
      <c r="I154" s="4345">
        <v>347.16383000000002</v>
      </c>
      <c r="J154" s="4348"/>
      <c r="K154" s="4344">
        <f t="shared" si="723"/>
        <v>472.61718999999999</v>
      </c>
      <c r="L154" s="4345">
        <v>472.58600000000001</v>
      </c>
      <c r="M154" s="4889">
        <v>3.1189999999999999E-2</v>
      </c>
      <c r="N154" s="4344">
        <f t="shared" si="725"/>
        <v>1253.97802</v>
      </c>
      <c r="O154" s="4344">
        <f t="shared" si="726"/>
        <v>1253.9468300000001</v>
      </c>
      <c r="P154" s="4344">
        <f t="shared" si="726"/>
        <v>3.1189999999999999E-2</v>
      </c>
      <c r="Q154" s="4324">
        <f t="shared" si="652"/>
        <v>545.95306795819567</v>
      </c>
      <c r="R154" s="4324">
        <f t="shared" si="849"/>
        <v>545.92781795819565</v>
      </c>
      <c r="S154" s="4324">
        <f t="shared" si="850"/>
        <v>2.5249999999999995E-2</v>
      </c>
      <c r="T154" s="4344">
        <f t="shared" si="728"/>
        <v>459.34269</v>
      </c>
      <c r="U154" s="4345">
        <v>459.17178999999999</v>
      </c>
      <c r="V154" s="4348">
        <v>0.1709</v>
      </c>
      <c r="W154" s="4344">
        <f t="shared" si="730"/>
        <v>506.61171999999999</v>
      </c>
      <c r="X154" s="4345">
        <v>506.35300000000001</v>
      </c>
      <c r="Y154" s="4348">
        <v>0.25872000000000001</v>
      </c>
      <c r="Z154" s="4344">
        <f t="shared" si="732"/>
        <v>478.45263</v>
      </c>
      <c r="AA154" s="4345">
        <v>478.27553</v>
      </c>
      <c r="AB154" s="4348">
        <v>0.17710000000000001</v>
      </c>
      <c r="AC154" s="4344">
        <f t="shared" si="734"/>
        <v>1444.4070399999998</v>
      </c>
      <c r="AD154" s="4344">
        <f t="shared" si="735"/>
        <v>1443.8003199999998</v>
      </c>
      <c r="AE154" s="4344">
        <f t="shared" si="735"/>
        <v>0.60672000000000004</v>
      </c>
      <c r="AF154" s="4326">
        <f t="shared" si="584"/>
        <v>1091.9061359163913</v>
      </c>
      <c r="AG154" s="4326">
        <f t="shared" si="815"/>
        <v>1091.8556359163913</v>
      </c>
      <c r="AH154" s="4326">
        <f t="shared" si="815"/>
        <v>5.0499999999999989E-2</v>
      </c>
      <c r="AI154" s="4340">
        <f t="shared" si="736"/>
        <v>2698.3850599999996</v>
      </c>
      <c r="AJ154" s="4340">
        <f t="shared" si="736"/>
        <v>2697.7471500000001</v>
      </c>
      <c r="AK154" s="4340">
        <f t="shared" si="736"/>
        <v>0.63791000000000009</v>
      </c>
      <c r="AL154" s="4340">
        <f t="shared" si="737"/>
        <v>1606.4789240836083</v>
      </c>
      <c r="AM154" s="4340">
        <f t="shared" si="737"/>
        <v>1605.8915140836089</v>
      </c>
      <c r="AN154" s="4340">
        <f t="shared" si="737"/>
        <v>0.5874100000000001</v>
      </c>
      <c r="AO154" s="4324">
        <f t="shared" si="851"/>
        <v>545.95306795819567</v>
      </c>
      <c r="AP154" s="4324">
        <f t="shared" si="852"/>
        <v>545.92781795819565</v>
      </c>
      <c r="AQ154" s="4324">
        <f t="shared" si="852"/>
        <v>2.5249999999999995E-2</v>
      </c>
      <c r="AR154" s="4344">
        <f t="shared" si="740"/>
        <v>406.41091</v>
      </c>
      <c r="AS154" s="4345">
        <v>406.28791000000001</v>
      </c>
      <c r="AT154" s="4345">
        <v>0.123</v>
      </c>
      <c r="AU154" s="4344">
        <f t="shared" si="742"/>
        <v>0</v>
      </c>
      <c r="AV154" s="4345"/>
      <c r="AW154" s="4348"/>
      <c r="AX154" s="4344">
        <f t="shared" si="744"/>
        <v>0</v>
      </c>
      <c r="AY154" s="4345"/>
      <c r="AZ154" s="4348"/>
      <c r="BA154" s="4344">
        <f t="shared" si="746"/>
        <v>406.41091</v>
      </c>
      <c r="BB154" s="4344">
        <f t="shared" si="747"/>
        <v>406.28791000000001</v>
      </c>
      <c r="BC154" s="4344">
        <f t="shared" si="747"/>
        <v>0.123</v>
      </c>
      <c r="BD154" s="4326">
        <f t="shared" si="819"/>
        <v>1637.8592038745869</v>
      </c>
      <c r="BE154" s="4326">
        <f t="shared" si="820"/>
        <v>1637.7834538745869</v>
      </c>
      <c r="BF154" s="4326">
        <f t="shared" si="820"/>
        <v>7.5749999999999984E-2</v>
      </c>
      <c r="BG154" s="4340">
        <f t="shared" si="748"/>
        <v>3104.7959699999997</v>
      </c>
      <c r="BH154" s="4340">
        <f t="shared" si="748"/>
        <v>3104.0350600000002</v>
      </c>
      <c r="BI154" s="4340">
        <f t="shared" si="748"/>
        <v>0.76091000000000009</v>
      </c>
      <c r="BJ154" s="4340">
        <f t="shared" si="749"/>
        <v>1466.9367661254128</v>
      </c>
      <c r="BK154" s="4340">
        <f t="shared" si="749"/>
        <v>1466.2516061254132</v>
      </c>
      <c r="BL154" s="4340">
        <f t="shared" si="749"/>
        <v>0.6851600000000001</v>
      </c>
      <c r="BM154" s="4324">
        <f t="shared" si="842"/>
        <v>545.95306795819567</v>
      </c>
      <c r="BN154" s="4324">
        <f t="shared" si="853"/>
        <v>545.92781795819565</v>
      </c>
      <c r="BO154" s="4324">
        <f t="shared" si="853"/>
        <v>2.5249999999999995E-2</v>
      </c>
      <c r="BP154" s="4344">
        <f t="shared" si="751"/>
        <v>0</v>
      </c>
      <c r="BQ154" s="4345"/>
      <c r="BR154" s="4348"/>
      <c r="BS154" s="4344">
        <f t="shared" si="753"/>
        <v>0</v>
      </c>
      <c r="BT154" s="4345"/>
      <c r="BU154" s="4348"/>
      <c r="BV154" s="4344">
        <f t="shared" si="755"/>
        <v>0</v>
      </c>
      <c r="BW154" s="4345"/>
      <c r="BX154" s="4345"/>
      <c r="BY154" s="4344">
        <f t="shared" si="757"/>
        <v>0</v>
      </c>
      <c r="BZ154" s="4344">
        <f t="shared" si="758"/>
        <v>0</v>
      </c>
      <c r="CA154" s="4344">
        <f t="shared" si="758"/>
        <v>0</v>
      </c>
      <c r="CB154" s="4326">
        <f t="shared" si="854"/>
        <v>2183.8122718327827</v>
      </c>
      <c r="CC154" s="4556">
        <f>SUM(CC148-((CC149+CC150+CC151+CC152+CC153)))</f>
        <v>2183.7112718327826</v>
      </c>
      <c r="CD154" s="4556">
        <f>SUM(CD148-((CD149+CD150+CD151+CD152+CD153)))</f>
        <v>0.10099999999999998</v>
      </c>
      <c r="CE154" s="4340">
        <f t="shared" si="759"/>
        <v>3104.7959699999997</v>
      </c>
      <c r="CF154" s="4340">
        <f t="shared" si="759"/>
        <v>3104.0350600000002</v>
      </c>
      <c r="CG154" s="4340">
        <f t="shared" si="759"/>
        <v>0.76091000000000009</v>
      </c>
      <c r="CH154" s="4340">
        <f t="shared" si="760"/>
        <v>920.98369816721697</v>
      </c>
      <c r="CI154" s="4340">
        <f t="shared" si="760"/>
        <v>920.32378816721757</v>
      </c>
      <c r="CJ154" s="4340">
        <f t="shared" si="760"/>
        <v>0.65991000000000011</v>
      </c>
      <c r="CK154" s="2774"/>
      <c r="CL154" s="3575">
        <f t="shared" si="483"/>
        <v>2183.8122718327827</v>
      </c>
      <c r="CM154" s="3575">
        <f t="shared" si="483"/>
        <v>2183.7112718327826</v>
      </c>
      <c r="CN154" s="3575">
        <f t="shared" si="483"/>
        <v>0.10099999999999998</v>
      </c>
    </row>
    <row r="155" spans="1:92" ht="18.75" customHeight="1" x14ac:dyDescent="0.3">
      <c r="A155" s="4315" t="s">
        <v>3710</v>
      </c>
      <c r="B155" s="4317">
        <f t="shared" ref="B155:B158" si="855">SUM(C155:D155)</f>
        <v>0</v>
      </c>
      <c r="C155" s="4317">
        <f t="shared" ref="C155:C157" si="856">SUM(CC155/4)</f>
        <v>0</v>
      </c>
      <c r="D155" s="4317">
        <f t="shared" ref="D155:D157" si="857">SUM(CD155/4)</f>
        <v>0</v>
      </c>
      <c r="E155" s="4335">
        <f t="shared" si="606"/>
        <v>0</v>
      </c>
      <c r="F155" s="4316"/>
      <c r="G155" s="4316"/>
      <c r="H155" s="4335">
        <f t="shared" si="721"/>
        <v>0</v>
      </c>
      <c r="I155" s="4316"/>
      <c r="J155" s="4316"/>
      <c r="K155" s="4335">
        <f t="shared" si="723"/>
        <v>0</v>
      </c>
      <c r="L155" s="4316"/>
      <c r="M155" s="4316"/>
      <c r="N155" s="4335">
        <f t="shared" si="725"/>
        <v>0</v>
      </c>
      <c r="O155" s="4335">
        <f t="shared" si="726"/>
        <v>0</v>
      </c>
      <c r="P155" s="4335">
        <f t="shared" si="726"/>
        <v>0</v>
      </c>
      <c r="Q155" s="4317">
        <f t="shared" ref="Q155:Q157" si="858">SUM(R155:S155)</f>
        <v>0</v>
      </c>
      <c r="R155" s="4317">
        <f t="shared" si="849"/>
        <v>0</v>
      </c>
      <c r="S155" s="4317">
        <f t="shared" si="850"/>
        <v>0</v>
      </c>
      <c r="T155" s="4335">
        <f t="shared" si="728"/>
        <v>0</v>
      </c>
      <c r="U155" s="4316"/>
      <c r="V155" s="4316"/>
      <c r="W155" s="4335">
        <f t="shared" si="730"/>
        <v>0</v>
      </c>
      <c r="X155" s="4316"/>
      <c r="Y155" s="4316"/>
      <c r="Z155" s="4335">
        <f t="shared" si="732"/>
        <v>0</v>
      </c>
      <c r="AA155" s="4316"/>
      <c r="AB155" s="4316"/>
      <c r="AC155" s="4335">
        <f t="shared" si="734"/>
        <v>0</v>
      </c>
      <c r="AD155" s="4335">
        <f t="shared" si="735"/>
        <v>0</v>
      </c>
      <c r="AE155" s="4335">
        <f t="shared" si="735"/>
        <v>0</v>
      </c>
      <c r="AF155" s="4318">
        <f t="shared" si="584"/>
        <v>0</v>
      </c>
      <c r="AG155" s="4318">
        <f t="shared" ref="AG155:AH159" si="859">SUM(C155+R155)</f>
        <v>0</v>
      </c>
      <c r="AH155" s="4318">
        <f t="shared" si="859"/>
        <v>0</v>
      </c>
      <c r="AI155" s="4337">
        <f t="shared" si="736"/>
        <v>0</v>
      </c>
      <c r="AJ155" s="4337">
        <f t="shared" si="736"/>
        <v>0</v>
      </c>
      <c r="AK155" s="4337">
        <f t="shared" si="736"/>
        <v>0</v>
      </c>
      <c r="AL155" s="4337">
        <f t="shared" si="737"/>
        <v>0</v>
      </c>
      <c r="AM155" s="4337">
        <f t="shared" si="737"/>
        <v>0</v>
      </c>
      <c r="AN155" s="4337">
        <f t="shared" si="737"/>
        <v>0</v>
      </c>
      <c r="AO155" s="4317">
        <f t="shared" ref="AO155:AO158" si="860">SUM(AP155:AQ155)</f>
        <v>0</v>
      </c>
      <c r="AP155" s="4317">
        <f t="shared" ref="AP155:AP156" si="861">SUM(CC155-AG155)/2</f>
        <v>0</v>
      </c>
      <c r="AQ155" s="4317">
        <f t="shared" ref="AQ155:AQ156" si="862">SUM(CD155-AH155)/2</f>
        <v>0</v>
      </c>
      <c r="AR155" s="4335">
        <f t="shared" si="740"/>
        <v>0</v>
      </c>
      <c r="AS155" s="4316"/>
      <c r="AT155" s="4316"/>
      <c r="AU155" s="4335">
        <f t="shared" si="742"/>
        <v>0</v>
      </c>
      <c r="AV155" s="4316"/>
      <c r="AW155" s="4316"/>
      <c r="AX155" s="4335">
        <f t="shared" si="744"/>
        <v>0</v>
      </c>
      <c r="AY155" s="4316"/>
      <c r="AZ155" s="4316"/>
      <c r="BA155" s="4335">
        <f t="shared" si="746"/>
        <v>0</v>
      </c>
      <c r="BB155" s="4335">
        <f t="shared" si="747"/>
        <v>0</v>
      </c>
      <c r="BC155" s="4335">
        <f t="shared" si="747"/>
        <v>0</v>
      </c>
      <c r="BD155" s="4318">
        <f t="shared" ref="BD155:BD156" si="863">SUM(BE155:BF155)</f>
        <v>0</v>
      </c>
      <c r="BE155" s="4318">
        <f t="shared" si="820"/>
        <v>0</v>
      </c>
      <c r="BF155" s="4318">
        <f t="shared" si="820"/>
        <v>0</v>
      </c>
      <c r="BG155" s="4337">
        <f t="shared" si="748"/>
        <v>0</v>
      </c>
      <c r="BH155" s="4337">
        <f t="shared" si="748"/>
        <v>0</v>
      </c>
      <c r="BI155" s="4337">
        <f t="shared" si="748"/>
        <v>0</v>
      </c>
      <c r="BJ155" s="4337">
        <f t="shared" si="749"/>
        <v>0</v>
      </c>
      <c r="BK155" s="4337">
        <f t="shared" si="749"/>
        <v>0</v>
      </c>
      <c r="BL155" s="4337">
        <f t="shared" si="749"/>
        <v>0</v>
      </c>
      <c r="BM155" s="4317">
        <f t="shared" si="842"/>
        <v>0</v>
      </c>
      <c r="BN155" s="4317">
        <f t="shared" si="853"/>
        <v>0</v>
      </c>
      <c r="BO155" s="4317">
        <f t="shared" si="853"/>
        <v>0</v>
      </c>
      <c r="BP155" s="4335">
        <f t="shared" si="751"/>
        <v>0</v>
      </c>
      <c r="BQ155" s="4316"/>
      <c r="BR155" s="4316"/>
      <c r="BS155" s="4335">
        <f t="shared" si="753"/>
        <v>0</v>
      </c>
      <c r="BT155" s="4316"/>
      <c r="BU155" s="4316"/>
      <c r="BV155" s="4335">
        <f t="shared" si="755"/>
        <v>0</v>
      </c>
      <c r="BW155" s="4316"/>
      <c r="BX155" s="4316"/>
      <c r="BY155" s="4335">
        <f t="shared" si="757"/>
        <v>0</v>
      </c>
      <c r="BZ155" s="4335">
        <f t="shared" si="758"/>
        <v>0</v>
      </c>
      <c r="CA155" s="4335">
        <f t="shared" si="758"/>
        <v>0</v>
      </c>
      <c r="CB155" s="4318">
        <v>0</v>
      </c>
      <c r="CC155" s="4318">
        <v>0</v>
      </c>
      <c r="CD155" s="4318">
        <v>0</v>
      </c>
      <c r="CE155" s="4337">
        <f t="shared" si="759"/>
        <v>0</v>
      </c>
      <c r="CF155" s="4337">
        <f t="shared" si="759"/>
        <v>0</v>
      </c>
      <c r="CG155" s="4337">
        <f t="shared" si="759"/>
        <v>0</v>
      </c>
      <c r="CH155" s="4337">
        <f t="shared" si="760"/>
        <v>0</v>
      </c>
      <c r="CI155" s="4337">
        <f t="shared" si="760"/>
        <v>0</v>
      </c>
      <c r="CJ155" s="4337">
        <f t="shared" si="760"/>
        <v>0</v>
      </c>
      <c r="CK155" s="2774"/>
      <c r="CL155" s="3575">
        <f t="shared" si="483"/>
        <v>0</v>
      </c>
      <c r="CM155" s="3575">
        <f t="shared" si="483"/>
        <v>0</v>
      </c>
      <c r="CN155" s="3575">
        <f t="shared" si="483"/>
        <v>0</v>
      </c>
    </row>
    <row r="156" spans="1:92" ht="18.75" customHeight="1" x14ac:dyDescent="0.3">
      <c r="A156" s="4315" t="s">
        <v>3711</v>
      </c>
      <c r="B156" s="4317">
        <f t="shared" si="855"/>
        <v>0</v>
      </c>
      <c r="C156" s="4317">
        <f t="shared" si="856"/>
        <v>0</v>
      </c>
      <c r="D156" s="4317">
        <f t="shared" si="857"/>
        <v>0</v>
      </c>
      <c r="E156" s="4335">
        <f t="shared" si="606"/>
        <v>0</v>
      </c>
      <c r="F156" s="4336"/>
      <c r="G156" s="4336"/>
      <c r="H156" s="4335">
        <f t="shared" si="721"/>
        <v>0</v>
      </c>
      <c r="I156" s="4336"/>
      <c r="J156" s="4336"/>
      <c r="K156" s="4335">
        <f t="shared" si="723"/>
        <v>0</v>
      </c>
      <c r="L156" s="4336"/>
      <c r="M156" s="4336"/>
      <c r="N156" s="4335">
        <f t="shared" ref="N156:N159" si="864">SUM(O156:P156)</f>
        <v>0</v>
      </c>
      <c r="O156" s="4335">
        <f t="shared" ref="O156:P159" si="865">SUM(F156+I156+L156)</f>
        <v>0</v>
      </c>
      <c r="P156" s="4335">
        <f t="shared" si="865"/>
        <v>0</v>
      </c>
      <c r="Q156" s="4317">
        <f t="shared" si="858"/>
        <v>0</v>
      </c>
      <c r="R156" s="4317">
        <f t="shared" si="849"/>
        <v>0</v>
      </c>
      <c r="S156" s="4317">
        <f t="shared" si="850"/>
        <v>0</v>
      </c>
      <c r="T156" s="4335">
        <f t="shared" si="728"/>
        <v>0</v>
      </c>
      <c r="U156" s="4336"/>
      <c r="V156" s="4336"/>
      <c r="W156" s="4335">
        <f t="shared" si="730"/>
        <v>0</v>
      </c>
      <c r="X156" s="4336"/>
      <c r="Y156" s="4336"/>
      <c r="Z156" s="4335">
        <f t="shared" si="732"/>
        <v>0</v>
      </c>
      <c r="AA156" s="4336"/>
      <c r="AB156" s="4336"/>
      <c r="AC156" s="4335">
        <f t="shared" si="734"/>
        <v>0</v>
      </c>
      <c r="AD156" s="4335">
        <f t="shared" si="735"/>
        <v>0</v>
      </c>
      <c r="AE156" s="4335">
        <f t="shared" si="735"/>
        <v>0</v>
      </c>
      <c r="AF156" s="4318">
        <f t="shared" si="584"/>
        <v>0</v>
      </c>
      <c r="AG156" s="4318">
        <f t="shared" si="859"/>
        <v>0</v>
      </c>
      <c r="AH156" s="4318">
        <f t="shared" si="859"/>
        <v>0</v>
      </c>
      <c r="AI156" s="4337">
        <f t="shared" si="736"/>
        <v>0</v>
      </c>
      <c r="AJ156" s="4337">
        <f t="shared" si="736"/>
        <v>0</v>
      </c>
      <c r="AK156" s="4337">
        <f t="shared" si="736"/>
        <v>0</v>
      </c>
      <c r="AL156" s="4337">
        <f t="shared" si="737"/>
        <v>0</v>
      </c>
      <c r="AM156" s="4337">
        <f t="shared" si="737"/>
        <v>0</v>
      </c>
      <c r="AN156" s="4337">
        <f t="shared" si="737"/>
        <v>0</v>
      </c>
      <c r="AO156" s="4317">
        <f t="shared" si="860"/>
        <v>0</v>
      </c>
      <c r="AP156" s="4317">
        <f t="shared" si="861"/>
        <v>0</v>
      </c>
      <c r="AQ156" s="4317">
        <f t="shared" si="862"/>
        <v>0</v>
      </c>
      <c r="AR156" s="4335">
        <f t="shared" si="740"/>
        <v>0</v>
      </c>
      <c r="AS156" s="4336"/>
      <c r="AT156" s="4336"/>
      <c r="AU156" s="4335">
        <f t="shared" si="742"/>
        <v>0</v>
      </c>
      <c r="AV156" s="4336"/>
      <c r="AW156" s="4336"/>
      <c r="AX156" s="4335">
        <f t="shared" si="744"/>
        <v>0</v>
      </c>
      <c r="AY156" s="4336"/>
      <c r="AZ156" s="4336"/>
      <c r="BA156" s="4335">
        <f t="shared" si="746"/>
        <v>0</v>
      </c>
      <c r="BB156" s="4335">
        <f t="shared" si="747"/>
        <v>0</v>
      </c>
      <c r="BC156" s="4335">
        <f t="shared" si="747"/>
        <v>0</v>
      </c>
      <c r="BD156" s="4318">
        <f t="shared" si="863"/>
        <v>0</v>
      </c>
      <c r="BE156" s="4318">
        <f t="shared" si="820"/>
        <v>0</v>
      </c>
      <c r="BF156" s="4318">
        <f t="shared" si="820"/>
        <v>0</v>
      </c>
      <c r="BG156" s="4337">
        <f t="shared" si="748"/>
        <v>0</v>
      </c>
      <c r="BH156" s="4337">
        <f t="shared" si="748"/>
        <v>0</v>
      </c>
      <c r="BI156" s="4337">
        <f t="shared" si="748"/>
        <v>0</v>
      </c>
      <c r="BJ156" s="4337">
        <f t="shared" si="749"/>
        <v>0</v>
      </c>
      <c r="BK156" s="4337">
        <f t="shared" si="749"/>
        <v>0</v>
      </c>
      <c r="BL156" s="4337">
        <f t="shared" si="749"/>
        <v>0</v>
      </c>
      <c r="BM156" s="4317">
        <f t="shared" si="842"/>
        <v>0</v>
      </c>
      <c r="BN156" s="4317">
        <f t="shared" si="853"/>
        <v>0</v>
      </c>
      <c r="BO156" s="4317">
        <f t="shared" si="853"/>
        <v>0</v>
      </c>
      <c r="BP156" s="4335">
        <f t="shared" si="751"/>
        <v>0</v>
      </c>
      <c r="BQ156" s="4336"/>
      <c r="BR156" s="4336"/>
      <c r="BS156" s="4335">
        <f t="shared" si="753"/>
        <v>0</v>
      </c>
      <c r="BT156" s="4336"/>
      <c r="BU156" s="4336"/>
      <c r="BV156" s="4335">
        <f t="shared" si="755"/>
        <v>0</v>
      </c>
      <c r="BW156" s="4336"/>
      <c r="BX156" s="4336"/>
      <c r="BY156" s="4335">
        <f t="shared" si="757"/>
        <v>0</v>
      </c>
      <c r="BZ156" s="4335">
        <f t="shared" si="758"/>
        <v>0</v>
      </c>
      <c r="CA156" s="4335">
        <f t="shared" si="758"/>
        <v>0</v>
      </c>
      <c r="CB156" s="4318">
        <f t="shared" ref="CB156:CB157" si="866">SUM(CC156:CD156)</f>
        <v>0</v>
      </c>
      <c r="CC156" s="4318">
        <f>SUM('рез к 2018-2024 (кор) '!G89:G92)</f>
        <v>0</v>
      </c>
      <c r="CD156" s="4318">
        <v>0</v>
      </c>
      <c r="CE156" s="4337">
        <f t="shared" si="759"/>
        <v>0</v>
      </c>
      <c r="CF156" s="4337">
        <f t="shared" si="759"/>
        <v>0</v>
      </c>
      <c r="CG156" s="4337">
        <f t="shared" si="759"/>
        <v>0</v>
      </c>
      <c r="CH156" s="4337">
        <f t="shared" si="760"/>
        <v>0</v>
      </c>
      <c r="CI156" s="4337">
        <f t="shared" si="760"/>
        <v>0</v>
      </c>
      <c r="CJ156" s="4337">
        <f t="shared" si="760"/>
        <v>0</v>
      </c>
      <c r="CK156" s="2774"/>
      <c r="CL156" s="3575">
        <f t="shared" ref="CL156:CL161" si="867">SUM(B156+Q156+AO156+BM156)</f>
        <v>0</v>
      </c>
      <c r="CM156" s="3575">
        <f t="shared" ref="CM156:CN161" si="868">SUM(C156+R156+AP156+BN156)</f>
        <v>0</v>
      </c>
      <c r="CN156" s="3575">
        <f t="shared" si="868"/>
        <v>0</v>
      </c>
    </row>
    <row r="157" spans="1:92" ht="18.75" customHeight="1" x14ac:dyDescent="0.3">
      <c r="A157" s="4315" t="s">
        <v>3920</v>
      </c>
      <c r="B157" s="4317">
        <f t="shared" si="855"/>
        <v>46.960250000000002</v>
      </c>
      <c r="C157" s="4317">
        <f t="shared" si="856"/>
        <v>46.960250000000002</v>
      </c>
      <c r="D157" s="4317">
        <f t="shared" si="857"/>
        <v>0</v>
      </c>
      <c r="E157" s="4335">
        <f t="shared" si="606"/>
        <v>0</v>
      </c>
      <c r="F157" s="4336"/>
      <c r="G157" s="4336"/>
      <c r="H157" s="4335">
        <f t="shared" ref="H157" si="869">SUM(I157:J157)</f>
        <v>0</v>
      </c>
      <c r="I157" s="4336"/>
      <c r="J157" s="4336"/>
      <c r="K157" s="4335">
        <f t="shared" ref="K157" si="870">SUM(L157:M157)</f>
        <v>0</v>
      </c>
      <c r="L157" s="4336"/>
      <c r="M157" s="4336"/>
      <c r="N157" s="4335">
        <f t="shared" ref="N157" si="871">SUM(O157:P157)</f>
        <v>0</v>
      </c>
      <c r="O157" s="4335">
        <f t="shared" ref="O157:P157" si="872">SUM(F157+I157+L157)</f>
        <v>0</v>
      </c>
      <c r="P157" s="4335">
        <f t="shared" si="872"/>
        <v>0</v>
      </c>
      <c r="Q157" s="4317">
        <f t="shared" si="858"/>
        <v>46.960250000000002</v>
      </c>
      <c r="R157" s="4317">
        <f t="shared" si="849"/>
        <v>46.960250000000002</v>
      </c>
      <c r="S157" s="4317">
        <f t="shared" si="850"/>
        <v>0</v>
      </c>
      <c r="T157" s="4335">
        <f t="shared" ref="T157" si="873">SUM(U157:V157)</f>
        <v>0</v>
      </c>
      <c r="U157" s="4336"/>
      <c r="V157" s="4336"/>
      <c r="W157" s="4335">
        <f t="shared" ref="W157" si="874">SUM(X157:Y157)</f>
        <v>0</v>
      </c>
      <c r="X157" s="4336"/>
      <c r="Y157" s="4336"/>
      <c r="Z157" s="4335">
        <f t="shared" si="732"/>
        <v>0</v>
      </c>
      <c r="AA157" s="4336"/>
      <c r="AB157" s="4336"/>
      <c r="AC157" s="4335">
        <f t="shared" ref="AC157" si="875">SUM(AD157:AE157)</f>
        <v>0</v>
      </c>
      <c r="AD157" s="4335">
        <f t="shared" si="735"/>
        <v>0</v>
      </c>
      <c r="AE157" s="4335">
        <f t="shared" si="735"/>
        <v>0</v>
      </c>
      <c r="AF157" s="4318">
        <f t="shared" si="584"/>
        <v>93.920500000000004</v>
      </c>
      <c r="AG157" s="4318">
        <f t="shared" ref="AG157:AH159" si="876">SUM(C157+R157)</f>
        <v>93.920500000000004</v>
      </c>
      <c r="AH157" s="4318">
        <f t="shared" si="876"/>
        <v>0</v>
      </c>
      <c r="AI157" s="4337">
        <f t="shared" si="736"/>
        <v>0</v>
      </c>
      <c r="AJ157" s="4337">
        <f t="shared" si="736"/>
        <v>0</v>
      </c>
      <c r="AK157" s="4337">
        <f t="shared" si="736"/>
        <v>0</v>
      </c>
      <c r="AL157" s="4337">
        <f t="shared" si="737"/>
        <v>-93.920500000000004</v>
      </c>
      <c r="AM157" s="4337">
        <f t="shared" si="737"/>
        <v>-93.920500000000004</v>
      </c>
      <c r="AN157" s="4337">
        <f t="shared" si="737"/>
        <v>0</v>
      </c>
      <c r="AO157" s="4317">
        <f t="shared" si="860"/>
        <v>46.960250000000002</v>
      </c>
      <c r="AP157" s="4317">
        <f t="shared" ref="AP157" si="877">SUM(CC157-AG157)/2</f>
        <v>46.960250000000002</v>
      </c>
      <c r="AQ157" s="4317">
        <f t="shared" ref="AQ157" si="878">SUM(CD157-AH157)/2</f>
        <v>0</v>
      </c>
      <c r="AR157" s="4335">
        <f t="shared" ref="AR157" si="879">SUM(AS157:AT157)</f>
        <v>0</v>
      </c>
      <c r="AS157" s="4336"/>
      <c r="AT157" s="4336"/>
      <c r="AU157" s="4335">
        <f t="shared" ref="AU157" si="880">SUM(AV157:AW157)</f>
        <v>0</v>
      </c>
      <c r="AV157" s="4336"/>
      <c r="AW157" s="4336"/>
      <c r="AX157" s="4335">
        <f t="shared" si="744"/>
        <v>0</v>
      </c>
      <c r="AY157" s="4336"/>
      <c r="AZ157" s="4336"/>
      <c r="BA157" s="4335">
        <f t="shared" ref="BA157" si="881">SUM(BB157:BC157)</f>
        <v>0</v>
      </c>
      <c r="BB157" s="4335">
        <f t="shared" si="747"/>
        <v>0</v>
      </c>
      <c r="BC157" s="4335">
        <f t="shared" si="747"/>
        <v>0</v>
      </c>
      <c r="BD157" s="4318">
        <f t="shared" ref="BD157" si="882">SUM(BE157:BF157)</f>
        <v>140.88075000000001</v>
      </c>
      <c r="BE157" s="4318">
        <f t="shared" si="820"/>
        <v>140.88075000000001</v>
      </c>
      <c r="BF157" s="4318">
        <f t="shared" si="820"/>
        <v>0</v>
      </c>
      <c r="BG157" s="4337">
        <f t="shared" si="748"/>
        <v>0</v>
      </c>
      <c r="BH157" s="4337">
        <f t="shared" si="748"/>
        <v>0</v>
      </c>
      <c r="BI157" s="4337">
        <f t="shared" si="748"/>
        <v>0</v>
      </c>
      <c r="BJ157" s="4337">
        <f t="shared" si="749"/>
        <v>-140.88075000000001</v>
      </c>
      <c r="BK157" s="4337">
        <f t="shared" si="749"/>
        <v>-140.88075000000001</v>
      </c>
      <c r="BL157" s="4337">
        <f t="shared" si="749"/>
        <v>0</v>
      </c>
      <c r="BM157" s="4317">
        <f t="shared" ref="BM157:BM158" si="883">SUM(BN157:BO157)</f>
        <v>46.960250000000002</v>
      </c>
      <c r="BN157" s="4317">
        <f t="shared" ref="BN157" si="884">SUM(AP157)</f>
        <v>46.960250000000002</v>
      </c>
      <c r="BO157" s="4317">
        <f t="shared" ref="BO157" si="885">SUM(AQ157)</f>
        <v>0</v>
      </c>
      <c r="BP157" s="4335">
        <f t="shared" ref="BP157" si="886">SUM(BQ157:BR157)</f>
        <v>0</v>
      </c>
      <c r="BQ157" s="4336"/>
      <c r="BR157" s="4336"/>
      <c r="BS157" s="4335">
        <f t="shared" ref="BS157" si="887">SUM(BT157:BU157)</f>
        <v>0</v>
      </c>
      <c r="BT157" s="4336"/>
      <c r="BU157" s="4336"/>
      <c r="BV157" s="4335">
        <f t="shared" si="755"/>
        <v>0</v>
      </c>
      <c r="BW157" s="4336"/>
      <c r="BX157" s="4336"/>
      <c r="BY157" s="4335">
        <f t="shared" ref="BY157" si="888">SUM(BZ157:CA157)</f>
        <v>0</v>
      </c>
      <c r="BZ157" s="4335">
        <f t="shared" si="758"/>
        <v>0</v>
      </c>
      <c r="CA157" s="4335">
        <f t="shared" si="758"/>
        <v>0</v>
      </c>
      <c r="CB157" s="4318">
        <f t="shared" si="866"/>
        <v>187.84100000000001</v>
      </c>
      <c r="CC157" s="4318">
        <f>SUM(вода!EF66)</f>
        <v>187.84100000000001</v>
      </c>
      <c r="CD157" s="4318">
        <v>0</v>
      </c>
      <c r="CE157" s="4337">
        <f t="shared" si="759"/>
        <v>0</v>
      </c>
      <c r="CF157" s="4337">
        <f t="shared" si="759"/>
        <v>0</v>
      </c>
      <c r="CG157" s="4337">
        <f t="shared" si="759"/>
        <v>0</v>
      </c>
      <c r="CH157" s="4337">
        <f t="shared" si="760"/>
        <v>-187.84100000000001</v>
      </c>
      <c r="CI157" s="4337">
        <f t="shared" si="760"/>
        <v>-187.84100000000001</v>
      </c>
      <c r="CJ157" s="4337">
        <f t="shared" si="760"/>
        <v>0</v>
      </c>
      <c r="CK157" s="2774"/>
      <c r="CL157" s="3575">
        <f t="shared" ref="CL157" si="889">SUM(B157+Q157+AO157+BM157)</f>
        <v>187.84100000000001</v>
      </c>
      <c r="CM157" s="3575">
        <f t="shared" si="868"/>
        <v>187.84100000000001</v>
      </c>
      <c r="CN157" s="3575">
        <f t="shared" si="868"/>
        <v>0</v>
      </c>
    </row>
    <row r="158" spans="1:92" ht="18.75" customHeight="1" x14ac:dyDescent="0.3">
      <c r="A158" s="4341" t="s">
        <v>12</v>
      </c>
      <c r="B158" s="4312">
        <f t="shared" si="855"/>
        <v>45186.827321488643</v>
      </c>
      <c r="C158" s="4312">
        <f>SUM(C28+C52+C98+C122+C142+C148+C155+C156+C157)</f>
        <v>45178.047557845704</v>
      </c>
      <c r="D158" s="4312">
        <f>SUM(D28+D52+D98+D122+D142+D148+D155+D156+D157)</f>
        <v>8.7797636429369224</v>
      </c>
      <c r="E158" s="4312">
        <f t="shared" ref="E158" si="890">SUM(F158:G158)</f>
        <v>17217.948</v>
      </c>
      <c r="F158" s="4312">
        <f>SUM(F28+F52+F98+F122+F142+F148+F155+F156+F157)</f>
        <v>17217.948</v>
      </c>
      <c r="G158" s="4312">
        <f>SUM(G28+G52+G98+G122+G142+G148+G155+G156+G157)</f>
        <v>0</v>
      </c>
      <c r="H158" s="4312">
        <f t="shared" ref="H158" si="891">SUM(I158:J158)</f>
        <v>14061.75128</v>
      </c>
      <c r="I158" s="4312">
        <f>SUM(I28+I52+I98+I122+I142+I148+I155+I156+I157)</f>
        <v>14061.75128</v>
      </c>
      <c r="J158" s="4312">
        <f>SUM(J28+J52+J98+J122+J142+J148+J155+J156+J157)</f>
        <v>0</v>
      </c>
      <c r="K158" s="4312">
        <f t="shared" ref="K158" si="892">SUM(L158:M158)</f>
        <v>15100.962800000003</v>
      </c>
      <c r="L158" s="4312">
        <f>SUM(L28+L52+L98+L122+L142+L148+L155+L156+L157)</f>
        <v>15100.336370000003</v>
      </c>
      <c r="M158" s="4312">
        <f>SUM(M28+M52+M98+M122+M142+M148+M155+M156+M157)</f>
        <v>0.62643000000000004</v>
      </c>
      <c r="N158" s="4312">
        <f t="shared" ref="N158" si="893">SUM(O158:P158)</f>
        <v>46380.662079999995</v>
      </c>
      <c r="O158" s="4312">
        <f>SUM(O28+O52+O98+O122+O142+O148+O155+O156+O157)</f>
        <v>46380.035649999998</v>
      </c>
      <c r="P158" s="4312">
        <f>SUM(P28+P52+P98+P122+P142+P148+P155+P156+P157)</f>
        <v>0.62643000000000004</v>
      </c>
      <c r="Q158" s="4312">
        <f t="shared" ref="Q158" si="894">SUM(R158:S158)</f>
        <v>45186.827321488643</v>
      </c>
      <c r="R158" s="4312">
        <f>SUM(R28+R52+R98+R122+R142+R148+R155+R156+R157)</f>
        <v>45178.047557845704</v>
      </c>
      <c r="S158" s="4312">
        <f>SUM(S28+S52+S98+S122+S142+S148+S155+S156+S157)</f>
        <v>8.7797636429369224</v>
      </c>
      <c r="T158" s="4312">
        <f t="shared" ref="T158" si="895">SUM(U158:V158)</f>
        <v>15686.832549999999</v>
      </c>
      <c r="U158" s="4312">
        <f>SUM(U28+U52+U98+U122+U142+U148+U155+U156+U157)</f>
        <v>15682.85203</v>
      </c>
      <c r="V158" s="4312">
        <f>SUM(V28+V52+V98+V122+V142+V148+V155+V156+V157)</f>
        <v>3.9805199999999998</v>
      </c>
      <c r="W158" s="4312">
        <f t="shared" ref="W158" si="896">SUM(X158:Y158)</f>
        <v>17633.094590000001</v>
      </c>
      <c r="X158" s="4312">
        <f>SUM(X28+X52+X98+X122+X142+X148+X155+X156+X157)</f>
        <v>17627.933000000001</v>
      </c>
      <c r="Y158" s="4312">
        <f>SUM(Y28+Y52+Y98+Y122+Y142+Y148+Y155+Y156+Y157)</f>
        <v>5.1615899999999995</v>
      </c>
      <c r="Z158" s="4312">
        <f t="shared" ref="Z158" si="897">SUM(AA158:AB158)</f>
        <v>19203.366320000005</v>
      </c>
      <c r="AA158" s="4312">
        <f>SUM(AA28+AA52+AA98+AA122+AA142+AA148+AA155+AA156+AA157)</f>
        <v>19199.924220000004</v>
      </c>
      <c r="AB158" s="4312">
        <f>SUM(AB28+AB52+AB98+AB122+AB142+AB148+AB155+AB156+AB157)</f>
        <v>3.4420999999999999</v>
      </c>
      <c r="AC158" s="4332">
        <f t="shared" si="734"/>
        <v>52523.293460000001</v>
      </c>
      <c r="AD158" s="4332">
        <f t="shared" si="735"/>
        <v>52510.70925</v>
      </c>
      <c r="AE158" s="4332">
        <f t="shared" si="735"/>
        <v>12.584209999999999</v>
      </c>
      <c r="AF158" s="4313">
        <f t="shared" ref="AF158" si="898">SUM(AG158:AH158)</f>
        <v>90373.654642977286</v>
      </c>
      <c r="AG158" s="4313">
        <f t="shared" si="876"/>
        <v>90356.095115691409</v>
      </c>
      <c r="AH158" s="4313">
        <f t="shared" si="859"/>
        <v>17.559527285873845</v>
      </c>
      <c r="AI158" s="4333">
        <f t="shared" si="736"/>
        <v>98903.955539999995</v>
      </c>
      <c r="AJ158" s="4333">
        <f t="shared" si="736"/>
        <v>98890.744899999991</v>
      </c>
      <c r="AK158" s="4333">
        <f t="shared" si="736"/>
        <v>13.210639999999998</v>
      </c>
      <c r="AL158" s="4333">
        <f t="shared" si="737"/>
        <v>8530.3008970227093</v>
      </c>
      <c r="AM158" s="4333">
        <f t="shared" si="737"/>
        <v>8534.6497843085817</v>
      </c>
      <c r="AN158" s="4333">
        <f t="shared" si="737"/>
        <v>-4.3488872858738468</v>
      </c>
      <c r="AO158" s="4312">
        <f t="shared" si="860"/>
        <v>45186.827321488643</v>
      </c>
      <c r="AP158" s="4312">
        <f>SUM(AP28+AP52+AP98+AP122+AP142+AP148+AP155+AP156+AP157)</f>
        <v>45178.047557845704</v>
      </c>
      <c r="AQ158" s="4312">
        <f>SUM(AQ28+AQ52+AQ98+AQ122+AQ142+AQ148+AQ155+AQ156+AQ157)</f>
        <v>8.7797636429369224</v>
      </c>
      <c r="AR158" s="4312">
        <f t="shared" ref="AR158" si="899">SUM(AS158:AT158)</f>
        <v>13049.24865</v>
      </c>
      <c r="AS158" s="4312">
        <f>SUM(AS28+AS52+AS98+AS122+AS142+AS148+AS155+AS156+AS157)</f>
        <v>13046.584009999999</v>
      </c>
      <c r="AT158" s="4312">
        <f>SUM(AT28+AT52+AT98+AT122+AT142+AT148+AT155+AT156+AT157)</f>
        <v>2.6646399999999999</v>
      </c>
      <c r="AU158" s="4312">
        <f t="shared" ref="AU158" si="900">SUM(AV158:AW158)</f>
        <v>0</v>
      </c>
      <c r="AV158" s="4312">
        <f>SUM(AV28+AV52+AV98+AV122+AV142+AV148+AV155+AV156+AV157)</f>
        <v>0</v>
      </c>
      <c r="AW158" s="4312">
        <f>SUM(AW28+AW52+AW98+AW122+AW142+AW148+AW155+AW156+AW157)</f>
        <v>0</v>
      </c>
      <c r="AX158" s="4312">
        <f t="shared" ref="AX158" si="901">SUM(AY158:AZ158)</f>
        <v>0</v>
      </c>
      <c r="AY158" s="4312">
        <f>SUM(AY28+AY52+AY98+AY122+AY142+AY148+AY155+AY156+AY157)</f>
        <v>0</v>
      </c>
      <c r="AZ158" s="4312">
        <f>SUM(AZ28+AZ52+AZ98+AZ122+AZ142+AZ148+AZ155+AZ156+AZ157)</f>
        <v>0</v>
      </c>
      <c r="BA158" s="4332">
        <f t="shared" si="746"/>
        <v>13049.24865</v>
      </c>
      <c r="BB158" s="4332">
        <f t="shared" si="747"/>
        <v>13046.584009999999</v>
      </c>
      <c r="BC158" s="4332">
        <f t="shared" si="747"/>
        <v>2.6646399999999999</v>
      </c>
      <c r="BD158" s="4313">
        <f t="shared" ref="BD158" si="902">SUM(BE158:BF158)</f>
        <v>135560.48196446593</v>
      </c>
      <c r="BE158" s="4313">
        <f t="shared" ref="BE158:BF159" si="903">SUM(AG158+AP158)</f>
        <v>135534.14267353711</v>
      </c>
      <c r="BF158" s="4313">
        <f t="shared" si="903"/>
        <v>26.339290928810769</v>
      </c>
      <c r="BG158" s="4333">
        <f t="shared" si="748"/>
        <v>111953.20418999999</v>
      </c>
      <c r="BH158" s="4333">
        <f t="shared" si="748"/>
        <v>111937.32890999998</v>
      </c>
      <c r="BI158" s="4333">
        <f t="shared" si="748"/>
        <v>15.875279999999998</v>
      </c>
      <c r="BJ158" s="4333">
        <f t="shared" si="749"/>
        <v>-23607.27777446594</v>
      </c>
      <c r="BK158" s="4333">
        <f t="shared" si="749"/>
        <v>-23596.813763537124</v>
      </c>
      <c r="BL158" s="4333">
        <f t="shared" si="749"/>
        <v>-10.464010928810771</v>
      </c>
      <c r="BM158" s="4312">
        <f t="shared" si="883"/>
        <v>45186.827321488643</v>
      </c>
      <c r="BN158" s="4312">
        <f>SUM(BN28+BN52+BN98+BN122+BN142+BN148+BN155+BN156+BN157)</f>
        <v>45178.047557845704</v>
      </c>
      <c r="BO158" s="4312">
        <f>SUM(BO28+BO52+BO98+BO122+BO142+BO148+BO155+BO156+BO157)</f>
        <v>8.7797636429369224</v>
      </c>
      <c r="BP158" s="4312">
        <f t="shared" ref="BP158" si="904">SUM(BQ158:BR158)</f>
        <v>0</v>
      </c>
      <c r="BQ158" s="4312">
        <f>SUM(BQ28+BQ52+BQ98+BQ122+BQ142+BQ148+BQ155+BQ156+BQ157)</f>
        <v>0</v>
      </c>
      <c r="BR158" s="4312">
        <f>SUM(BR28+BR52+BR98+BR122+BR142+BR148+BR155+BR156+BR157)</f>
        <v>0</v>
      </c>
      <c r="BS158" s="4312">
        <f t="shared" ref="BS158" si="905">SUM(BT158:BU158)</f>
        <v>0</v>
      </c>
      <c r="BT158" s="4312">
        <f>SUM(BT28+BT52+BT98+BT122+BT142+BT148+BT155+BT156+BT157)</f>
        <v>0</v>
      </c>
      <c r="BU158" s="4312">
        <f>SUM(BU28+BU52+BU98+BU122+BU142+BU148+BU155+BU156+BU157)</f>
        <v>0</v>
      </c>
      <c r="BV158" s="4312">
        <f t="shared" ref="BV158" si="906">SUM(BW158:BX158)</f>
        <v>0</v>
      </c>
      <c r="BW158" s="4312">
        <f>SUM(BW28+BW52+BW98+BW122+BW142+BW148+BW155+BW156+BW157)</f>
        <v>0</v>
      </c>
      <c r="BX158" s="4312">
        <f>SUM(BX28+BX52+BX98+BX122+BX142+BX148+BX155+BX156+BX157)</f>
        <v>0</v>
      </c>
      <c r="BY158" s="4332">
        <f t="shared" si="757"/>
        <v>0</v>
      </c>
      <c r="BZ158" s="4332">
        <f t="shared" si="758"/>
        <v>0</v>
      </c>
      <c r="CA158" s="4332">
        <f t="shared" si="758"/>
        <v>0</v>
      </c>
      <c r="CB158" s="4313">
        <f>SUM(CB28+CB52+CB98+CB122+CB142+CB148+CB155+CB156+CB157)</f>
        <v>180747.30930553115</v>
      </c>
      <c r="CC158" s="4313">
        <f>SUM(CC28+CC52+CC98+CC122+CC142+CC148+CC155+CC156+CC157)</f>
        <v>180712.19025095939</v>
      </c>
      <c r="CD158" s="4313">
        <f>SUM(CD28+CD52+CD98+CD122+CD142+CD148+CD155+CD156+CD157)</f>
        <v>35.119054571747689</v>
      </c>
      <c r="CE158" s="4333">
        <f t="shared" si="759"/>
        <v>111953.20418999999</v>
      </c>
      <c r="CF158" s="4333">
        <f t="shared" si="759"/>
        <v>111937.32890999998</v>
      </c>
      <c r="CG158" s="4333">
        <f t="shared" si="759"/>
        <v>15.875279999999998</v>
      </c>
      <c r="CH158" s="4333">
        <f t="shared" si="760"/>
        <v>-68794.105115531158</v>
      </c>
      <c r="CI158" s="4333">
        <f t="shared" si="760"/>
        <v>-68774.861340959411</v>
      </c>
      <c r="CJ158" s="4333">
        <f t="shared" si="760"/>
        <v>-19.243774571747693</v>
      </c>
      <c r="CK158" s="2774"/>
      <c r="CL158" s="3575">
        <f t="shared" si="867"/>
        <v>180747.30928595457</v>
      </c>
      <c r="CM158" s="3575">
        <f t="shared" si="868"/>
        <v>180712.19023138282</v>
      </c>
      <c r="CN158" s="3575">
        <f t="shared" si="868"/>
        <v>35.119054571747689</v>
      </c>
    </row>
    <row r="159" spans="1:92" ht="18.75" customHeight="1" x14ac:dyDescent="0.3">
      <c r="A159" s="4341" t="s">
        <v>13</v>
      </c>
      <c r="B159" s="4312">
        <f>SUM(C159:D159)</f>
        <v>888.86101814628705</v>
      </c>
      <c r="C159" s="4312">
        <f t="shared" ref="C159:M159" si="907">SUM(C14)</f>
        <v>888.52326814628702</v>
      </c>
      <c r="D159" s="4312">
        <f t="shared" si="907"/>
        <v>0.33774999999999999</v>
      </c>
      <c r="E159" s="3026">
        <f t="shared" si="907"/>
        <v>301.68359800000002</v>
      </c>
      <c r="F159" s="3026">
        <f t="shared" si="907"/>
        <v>301.68359800000002</v>
      </c>
      <c r="G159" s="3026">
        <f t="shared" si="907"/>
        <v>0</v>
      </c>
      <c r="H159" s="3026">
        <f t="shared" si="907"/>
        <v>303.98077699999999</v>
      </c>
      <c r="I159" s="4312">
        <f t="shared" si="907"/>
        <v>303.98077699999999</v>
      </c>
      <c r="J159" s="4312">
        <f t="shared" si="907"/>
        <v>0</v>
      </c>
      <c r="K159" s="3026">
        <f t="shared" si="907"/>
        <v>287.72876300000001</v>
      </c>
      <c r="L159" s="3026">
        <f t="shared" si="907"/>
        <v>287.72876300000001</v>
      </c>
      <c r="M159" s="3026">
        <f t="shared" si="907"/>
        <v>0</v>
      </c>
      <c r="N159" s="4349">
        <f t="shared" si="864"/>
        <v>893.39313800000014</v>
      </c>
      <c r="O159" s="4349">
        <f t="shared" si="865"/>
        <v>893.39313800000014</v>
      </c>
      <c r="P159" s="4349">
        <f t="shared" si="865"/>
        <v>0</v>
      </c>
      <c r="Q159" s="4312">
        <f>SUM(R159:S159)</f>
        <v>888.86101814628705</v>
      </c>
      <c r="R159" s="4312">
        <f t="shared" ref="R159:AB159" si="908">SUM(R14)</f>
        <v>888.52326814628702</v>
      </c>
      <c r="S159" s="4312">
        <f t="shared" si="908"/>
        <v>0.33774999999999999</v>
      </c>
      <c r="T159" s="3026">
        <f t="shared" si="908"/>
        <v>284.123583</v>
      </c>
      <c r="U159" s="3026">
        <f t="shared" si="908"/>
        <v>284.123583</v>
      </c>
      <c r="V159" s="3026">
        <f t="shared" si="908"/>
        <v>0</v>
      </c>
      <c r="W159" s="3026">
        <f t="shared" si="908"/>
        <v>289.24589500000002</v>
      </c>
      <c r="X159" s="3026">
        <f t="shared" si="908"/>
        <v>289.24589500000002</v>
      </c>
      <c r="Y159" s="3026">
        <f t="shared" si="908"/>
        <v>0</v>
      </c>
      <c r="Z159" s="3026">
        <f t="shared" si="908"/>
        <v>281.88767899999999</v>
      </c>
      <c r="AA159" s="3026">
        <f t="shared" si="908"/>
        <v>281.88767899999999</v>
      </c>
      <c r="AB159" s="3026">
        <f t="shared" si="908"/>
        <v>0</v>
      </c>
      <c r="AC159" s="4332">
        <f t="shared" si="734"/>
        <v>855.25715700000001</v>
      </c>
      <c r="AD159" s="4332">
        <f t="shared" si="735"/>
        <v>855.25715700000001</v>
      </c>
      <c r="AE159" s="4332">
        <f t="shared" si="735"/>
        <v>0</v>
      </c>
      <c r="AF159" s="4313">
        <f t="shared" ref="AF159" si="909">SUM(AG159:AH159)</f>
        <v>1777.7220362925741</v>
      </c>
      <c r="AG159" s="4313">
        <f t="shared" si="876"/>
        <v>1777.046536292574</v>
      </c>
      <c r="AH159" s="4313">
        <f t="shared" si="859"/>
        <v>0.67549999999999999</v>
      </c>
      <c r="AI159" s="4333">
        <f t="shared" si="736"/>
        <v>1748.6502950000001</v>
      </c>
      <c r="AJ159" s="4333">
        <f t="shared" si="736"/>
        <v>1748.6502950000001</v>
      </c>
      <c r="AK159" s="4333">
        <f t="shared" si="736"/>
        <v>0</v>
      </c>
      <c r="AL159" s="4333">
        <f t="shared" si="737"/>
        <v>-29.071741292573961</v>
      </c>
      <c r="AM159" s="4333">
        <f t="shared" si="737"/>
        <v>-28.396241292573905</v>
      </c>
      <c r="AN159" s="4333">
        <f t="shared" si="737"/>
        <v>-0.67549999999999999</v>
      </c>
      <c r="AO159" s="4312">
        <f>SUM(AP159:AQ159)</f>
        <v>888.86101814628705</v>
      </c>
      <c r="AP159" s="4312">
        <f t="shared" ref="AP159:AZ159" si="910">SUM(AP14)</f>
        <v>888.52326814628702</v>
      </c>
      <c r="AQ159" s="4312">
        <f t="shared" si="910"/>
        <v>0.33774999999999999</v>
      </c>
      <c r="AR159" s="3026">
        <f t="shared" si="910"/>
        <v>257.66599199999996</v>
      </c>
      <c r="AS159" s="3026">
        <f t="shared" si="910"/>
        <v>257.66599199999996</v>
      </c>
      <c r="AT159" s="3026">
        <f t="shared" si="910"/>
        <v>0</v>
      </c>
      <c r="AU159" s="3026">
        <f t="shared" si="910"/>
        <v>0</v>
      </c>
      <c r="AV159" s="3026">
        <f t="shared" si="910"/>
        <v>0</v>
      </c>
      <c r="AW159" s="3026">
        <f t="shared" si="910"/>
        <v>0</v>
      </c>
      <c r="AX159" s="3026">
        <f t="shared" si="910"/>
        <v>0</v>
      </c>
      <c r="AY159" s="3026">
        <f t="shared" si="910"/>
        <v>0</v>
      </c>
      <c r="AZ159" s="3026">
        <f t="shared" si="910"/>
        <v>0</v>
      </c>
      <c r="BA159" s="4332">
        <f t="shared" si="746"/>
        <v>257.66599199999996</v>
      </c>
      <c r="BB159" s="4332">
        <f t="shared" si="747"/>
        <v>257.66599199999996</v>
      </c>
      <c r="BC159" s="4332">
        <f t="shared" si="747"/>
        <v>0</v>
      </c>
      <c r="BD159" s="4313">
        <f t="shared" ref="BD159" si="911">SUM(BE159:BF159)</f>
        <v>2666.5830544388609</v>
      </c>
      <c r="BE159" s="4313">
        <f t="shared" si="903"/>
        <v>2665.569804438861</v>
      </c>
      <c r="BF159" s="4313">
        <f t="shared" si="903"/>
        <v>1.01325</v>
      </c>
      <c r="BG159" s="4333">
        <f t="shared" si="748"/>
        <v>2006.3162870000001</v>
      </c>
      <c r="BH159" s="4333">
        <f t="shared" si="748"/>
        <v>2006.3162870000001</v>
      </c>
      <c r="BI159" s="4333">
        <f t="shared" si="748"/>
        <v>0</v>
      </c>
      <c r="BJ159" s="4333">
        <f t="shared" si="749"/>
        <v>-660.26676743886082</v>
      </c>
      <c r="BK159" s="4333">
        <f t="shared" si="749"/>
        <v>-659.25351743886085</v>
      </c>
      <c r="BL159" s="4333">
        <f t="shared" si="749"/>
        <v>-1.01325</v>
      </c>
      <c r="BM159" s="4312">
        <f>SUM(BN159:BO159)</f>
        <v>888.86101814628705</v>
      </c>
      <c r="BN159" s="4312">
        <f t="shared" ref="BN159:BX159" si="912">SUM(BN14)</f>
        <v>888.52326814628702</v>
      </c>
      <c r="BO159" s="4312">
        <f t="shared" si="912"/>
        <v>0.33774999999999999</v>
      </c>
      <c r="BP159" s="3026">
        <f t="shared" si="912"/>
        <v>0</v>
      </c>
      <c r="BQ159" s="3026">
        <f t="shared" si="912"/>
        <v>0</v>
      </c>
      <c r="BR159" s="3026">
        <f t="shared" si="912"/>
        <v>0</v>
      </c>
      <c r="BS159" s="3026">
        <f t="shared" si="912"/>
        <v>0</v>
      </c>
      <c r="BT159" s="3026">
        <f t="shared" si="912"/>
        <v>0</v>
      </c>
      <c r="BU159" s="3026">
        <f t="shared" si="912"/>
        <v>0</v>
      </c>
      <c r="BV159" s="3026">
        <f t="shared" si="912"/>
        <v>0</v>
      </c>
      <c r="BW159" s="3026">
        <f t="shared" si="912"/>
        <v>0</v>
      </c>
      <c r="BX159" s="3026">
        <f t="shared" si="912"/>
        <v>0</v>
      </c>
      <c r="BY159" s="4332">
        <f t="shared" si="757"/>
        <v>0</v>
      </c>
      <c r="BZ159" s="4332">
        <f t="shared" si="758"/>
        <v>0</v>
      </c>
      <c r="CA159" s="4332">
        <f t="shared" si="758"/>
        <v>0</v>
      </c>
      <c r="CB159" s="4313">
        <f>SUM(CC159:CD159)</f>
        <v>3555.4440725851482</v>
      </c>
      <c r="CC159" s="4313">
        <f>SUM(BE159+BN159)</f>
        <v>3554.0930725851481</v>
      </c>
      <c r="CD159" s="4313">
        <f>SUM(BF159+BO159)</f>
        <v>1.351</v>
      </c>
      <c r="CE159" s="4333">
        <f t="shared" si="759"/>
        <v>2006.3162870000001</v>
      </c>
      <c r="CF159" s="4333">
        <f t="shared" si="759"/>
        <v>2006.3162870000001</v>
      </c>
      <c r="CG159" s="4333">
        <f t="shared" si="759"/>
        <v>0</v>
      </c>
      <c r="CH159" s="4333">
        <f t="shared" si="760"/>
        <v>-1549.1277855851481</v>
      </c>
      <c r="CI159" s="4333">
        <f t="shared" si="760"/>
        <v>-1547.776785585148</v>
      </c>
      <c r="CJ159" s="4333">
        <f t="shared" si="760"/>
        <v>-1.351</v>
      </c>
      <c r="CK159" s="2752"/>
      <c r="CL159" s="3575">
        <f t="shared" si="867"/>
        <v>3555.4440725851482</v>
      </c>
      <c r="CM159" s="3575">
        <f t="shared" si="868"/>
        <v>3554.0930725851481</v>
      </c>
      <c r="CN159" s="3575">
        <f t="shared" si="868"/>
        <v>1.351</v>
      </c>
    </row>
    <row r="160" spans="1:92" ht="18.75" customHeight="1" x14ac:dyDescent="0.2">
      <c r="A160" s="4341" t="s">
        <v>14</v>
      </c>
      <c r="B160" s="4312">
        <f>SUM(B158/B159)</f>
        <v>50.836774702669977</v>
      </c>
      <c r="C160" s="4312">
        <f t="shared" ref="C160:P160" si="913">SUM(C158/C159)</f>
        <v>50.846217738450449</v>
      </c>
      <c r="D160" s="4312">
        <f t="shared" si="913"/>
        <v>25.994859046445367</v>
      </c>
      <c r="E160" s="3026">
        <f t="shared" si="913"/>
        <v>57.072867448365557</v>
      </c>
      <c r="F160" s="3026">
        <f t="shared" si="913"/>
        <v>57.072867448365557</v>
      </c>
      <c r="G160" s="3026" t="e">
        <f t="shared" si="913"/>
        <v>#DIV/0!</v>
      </c>
      <c r="H160" s="3026">
        <f t="shared" si="913"/>
        <v>46.258685890522614</v>
      </c>
      <c r="I160" s="4312">
        <f t="shared" si="913"/>
        <v>46.258685890522614</v>
      </c>
      <c r="J160" s="4312" t="e">
        <f t="shared" si="913"/>
        <v>#DIV/0!</v>
      </c>
      <c r="K160" s="3026">
        <f t="shared" si="913"/>
        <v>52.483327153497001</v>
      </c>
      <c r="L160" s="3026">
        <f t="shared" si="913"/>
        <v>52.481149998896711</v>
      </c>
      <c r="M160" s="3026" t="e">
        <f t="shared" si="913"/>
        <v>#DIV/0!</v>
      </c>
      <c r="N160" s="3026">
        <f t="shared" si="913"/>
        <v>51.915176093506091</v>
      </c>
      <c r="O160" s="3026">
        <f t="shared" si="913"/>
        <v>51.914474912835061</v>
      </c>
      <c r="P160" s="3026" t="e">
        <f t="shared" si="913"/>
        <v>#DIV/0!</v>
      </c>
      <c r="Q160" s="4312">
        <f>SUM(Q158/Q159)</f>
        <v>50.836774702669977</v>
      </c>
      <c r="R160" s="4312">
        <f t="shared" ref="R160:AE160" si="914">SUM(R158/R159)</f>
        <v>50.846217738450449</v>
      </c>
      <c r="S160" s="4312">
        <f t="shared" si="914"/>
        <v>25.994859046445367</v>
      </c>
      <c r="T160" s="3026">
        <f t="shared" si="914"/>
        <v>55.211300605060998</v>
      </c>
      <c r="U160" s="3026">
        <f t="shared" si="914"/>
        <v>55.197290785960561</v>
      </c>
      <c r="V160" s="3026" t="e">
        <f t="shared" si="914"/>
        <v>#DIV/0!</v>
      </c>
      <c r="W160" s="3026">
        <f t="shared" si="914"/>
        <v>60.962298496924213</v>
      </c>
      <c r="X160" s="3026">
        <f t="shared" si="914"/>
        <v>60.944453507283136</v>
      </c>
      <c r="Y160" s="3026" t="e">
        <f t="shared" si="914"/>
        <v>#DIV/0!</v>
      </c>
      <c r="Z160" s="3026">
        <f t="shared" si="914"/>
        <v>68.124177644529141</v>
      </c>
      <c r="AA160" s="3026">
        <f t="shared" si="914"/>
        <v>68.111966752544745</v>
      </c>
      <c r="AB160" s="3026" t="e">
        <f t="shared" si="914"/>
        <v>#DIV/0!</v>
      </c>
      <c r="AC160" s="3026">
        <f t="shared" si="914"/>
        <v>61.412281709792225</v>
      </c>
      <c r="AD160" s="3026">
        <f t="shared" si="914"/>
        <v>61.397567761014365</v>
      </c>
      <c r="AE160" s="3026" t="e">
        <f t="shared" si="914"/>
        <v>#DIV/0!</v>
      </c>
      <c r="AF160" s="4313">
        <f>SUM(AF158/AF159)</f>
        <v>50.836774702669977</v>
      </c>
      <c r="AG160" s="4313">
        <f t="shared" ref="AG160:AK160" si="915">SUM(AG158/AG159)</f>
        <v>50.846217738450449</v>
      </c>
      <c r="AH160" s="4313">
        <f t="shared" si="915"/>
        <v>25.994859046445367</v>
      </c>
      <c r="AI160" s="4314">
        <f t="shared" si="915"/>
        <v>56.560168618505841</v>
      </c>
      <c r="AJ160" s="4314">
        <f t="shared" si="915"/>
        <v>56.552613854675833</v>
      </c>
      <c r="AK160" s="4314" t="e">
        <f t="shared" si="915"/>
        <v>#DIV/0!</v>
      </c>
      <c r="AL160" s="4333">
        <f t="shared" ref="AL160:AN160" si="916">SUM(AI160-AF160)</f>
        <v>5.7233939158358638</v>
      </c>
      <c r="AM160" s="4333">
        <f t="shared" si="916"/>
        <v>5.7063961162253847</v>
      </c>
      <c r="AN160" s="4333" t="e">
        <f t="shared" si="916"/>
        <v>#DIV/0!</v>
      </c>
      <c r="AO160" s="4312">
        <f>SUM(AO158/AO159)</f>
        <v>50.836774702669977</v>
      </c>
      <c r="AP160" s="4312">
        <f t="shared" ref="AP160:BC160" si="917">SUM(AP158/AP159)</f>
        <v>50.846217738450449</v>
      </c>
      <c r="AQ160" s="4312">
        <f t="shared" si="917"/>
        <v>25.994859046445367</v>
      </c>
      <c r="AR160" s="3026">
        <f t="shared" si="917"/>
        <v>50.64404715854004</v>
      </c>
      <c r="AS160" s="3026">
        <f t="shared" si="917"/>
        <v>50.63370570843513</v>
      </c>
      <c r="AT160" s="3026" t="e">
        <f t="shared" si="917"/>
        <v>#DIV/0!</v>
      </c>
      <c r="AU160" s="3026" t="e">
        <f t="shared" si="917"/>
        <v>#DIV/0!</v>
      </c>
      <c r="AV160" s="3026" t="e">
        <f t="shared" si="917"/>
        <v>#DIV/0!</v>
      </c>
      <c r="AW160" s="3026" t="e">
        <f t="shared" si="917"/>
        <v>#DIV/0!</v>
      </c>
      <c r="AX160" s="3026" t="e">
        <f t="shared" si="917"/>
        <v>#DIV/0!</v>
      </c>
      <c r="AY160" s="3026" t="e">
        <f t="shared" si="917"/>
        <v>#DIV/0!</v>
      </c>
      <c r="AZ160" s="3026" t="e">
        <f t="shared" si="917"/>
        <v>#DIV/0!</v>
      </c>
      <c r="BA160" s="3026">
        <f t="shared" si="917"/>
        <v>50.64404715854004</v>
      </c>
      <c r="BB160" s="3026">
        <f t="shared" si="917"/>
        <v>50.63370570843513</v>
      </c>
      <c r="BC160" s="3026" t="e">
        <f t="shared" si="917"/>
        <v>#DIV/0!</v>
      </c>
      <c r="BD160" s="4313">
        <f>SUM(BD158/BD159)</f>
        <v>50.836774702669977</v>
      </c>
      <c r="BE160" s="4313">
        <f t="shared" ref="BE160:BI160" si="918">SUM(BE158/BE159)</f>
        <v>50.846217738450449</v>
      </c>
      <c r="BF160" s="4313">
        <f t="shared" si="918"/>
        <v>25.994859046445367</v>
      </c>
      <c r="BG160" s="4314">
        <f t="shared" si="918"/>
        <v>55.800376498663184</v>
      </c>
      <c r="BH160" s="4314">
        <f t="shared" si="918"/>
        <v>55.792463847949598</v>
      </c>
      <c r="BI160" s="4314" t="e">
        <f t="shared" si="918"/>
        <v>#DIV/0!</v>
      </c>
      <c r="BJ160" s="4333">
        <f t="shared" ref="BJ160:BL160" si="919">SUM(BG160-BD160)</f>
        <v>4.9636017959932062</v>
      </c>
      <c r="BK160" s="4333">
        <f t="shared" si="919"/>
        <v>4.9462461094991497</v>
      </c>
      <c r="BL160" s="4333" t="e">
        <f t="shared" si="919"/>
        <v>#DIV/0!</v>
      </c>
      <c r="BM160" s="4312">
        <f>SUM(BM158/BM159)</f>
        <v>50.836774702669977</v>
      </c>
      <c r="BN160" s="4312">
        <f t="shared" ref="BN160:CA160" si="920">SUM(BN158/BN159)</f>
        <v>50.846217738450449</v>
      </c>
      <c r="BO160" s="4312">
        <f t="shared" si="920"/>
        <v>25.994859046445367</v>
      </c>
      <c r="BP160" s="3026" t="e">
        <f t="shared" si="920"/>
        <v>#DIV/0!</v>
      </c>
      <c r="BQ160" s="3026" t="e">
        <f t="shared" si="920"/>
        <v>#DIV/0!</v>
      </c>
      <c r="BR160" s="3026" t="e">
        <f t="shared" si="920"/>
        <v>#DIV/0!</v>
      </c>
      <c r="BS160" s="3026" t="e">
        <f t="shared" si="920"/>
        <v>#DIV/0!</v>
      </c>
      <c r="BT160" s="3026" t="e">
        <f t="shared" si="920"/>
        <v>#DIV/0!</v>
      </c>
      <c r="BU160" s="3026" t="e">
        <f t="shared" si="920"/>
        <v>#DIV/0!</v>
      </c>
      <c r="BV160" s="3026" t="e">
        <f t="shared" si="920"/>
        <v>#DIV/0!</v>
      </c>
      <c r="BW160" s="3026" t="e">
        <f t="shared" si="920"/>
        <v>#DIV/0!</v>
      </c>
      <c r="BX160" s="3026" t="e">
        <f t="shared" si="920"/>
        <v>#DIV/0!</v>
      </c>
      <c r="BY160" s="3026" t="e">
        <f t="shared" si="920"/>
        <v>#DIV/0!</v>
      </c>
      <c r="BZ160" s="3026" t="e">
        <f t="shared" si="920"/>
        <v>#DIV/0!</v>
      </c>
      <c r="CA160" s="3026" t="e">
        <f t="shared" si="920"/>
        <v>#DIV/0!</v>
      </c>
      <c r="CB160" s="4313">
        <f>SUM(CB158/CB159)</f>
        <v>50.836774708176058</v>
      </c>
      <c r="CC160" s="4313">
        <f t="shared" ref="CC160:CG160" si="921">SUM(CC158/CC159)</f>
        <v>50.846217743958626</v>
      </c>
      <c r="CD160" s="4313">
        <f t="shared" si="921"/>
        <v>25.994859046445367</v>
      </c>
      <c r="CE160" s="4314">
        <f t="shared" si="921"/>
        <v>55.800376498663184</v>
      </c>
      <c r="CF160" s="4314">
        <f t="shared" si="921"/>
        <v>55.792463847949598</v>
      </c>
      <c r="CG160" s="4314" t="e">
        <f t="shared" si="921"/>
        <v>#DIV/0!</v>
      </c>
      <c r="CH160" s="4333">
        <f t="shared" ref="CH160:CJ160" si="922">SUM(CE160-CB160)</f>
        <v>4.9636017904871252</v>
      </c>
      <c r="CI160" s="4333">
        <f t="shared" si="922"/>
        <v>4.9462461039909726</v>
      </c>
      <c r="CJ160" s="4333" t="e">
        <f t="shared" si="922"/>
        <v>#DIV/0!</v>
      </c>
      <c r="CK160" s="2752"/>
      <c r="CL160" s="2907">
        <f t="shared" si="867"/>
        <v>203.34709881067991</v>
      </c>
      <c r="CM160" s="2907">
        <f t="shared" si="868"/>
        <v>203.38487095380179</v>
      </c>
      <c r="CN160" s="2907">
        <f t="shared" si="868"/>
        <v>103.97943618578147</v>
      </c>
    </row>
    <row r="161" spans="1:92" ht="18.75" customHeight="1" x14ac:dyDescent="0.3">
      <c r="A161" s="4350" t="s">
        <v>3712</v>
      </c>
      <c r="B161" s="5443">
        <f>SUM(B162:B164)</f>
        <v>661.87175000000002</v>
      </c>
      <c r="C161" s="5444"/>
      <c r="D161" s="5445"/>
      <c r="E161" s="5432">
        <f>SUM(E162:E164)</f>
        <v>263.75599999999997</v>
      </c>
      <c r="F161" s="5433"/>
      <c r="G161" s="5434"/>
      <c r="H161" s="5432">
        <f>SUM(H162:H164)</f>
        <v>127.26519</v>
      </c>
      <c r="I161" s="5433"/>
      <c r="J161" s="5434"/>
      <c r="K161" s="5432">
        <f>SUM(K162:K164)</f>
        <v>176.12356999999997</v>
      </c>
      <c r="L161" s="5433"/>
      <c r="M161" s="5434"/>
      <c r="N161" s="5432">
        <f>SUM(N162:N164)</f>
        <v>567.14476000000002</v>
      </c>
      <c r="O161" s="5433"/>
      <c r="P161" s="5434"/>
      <c r="Q161" s="5443">
        <f>SUM(Q162:Q164)</f>
        <v>661.87175000000002</v>
      </c>
      <c r="R161" s="5444"/>
      <c r="S161" s="5445"/>
      <c r="T161" s="5432">
        <f>SUM(T162:T164)</f>
        <v>359.92291999999998</v>
      </c>
      <c r="U161" s="5433"/>
      <c r="V161" s="5434"/>
      <c r="W161" s="5432">
        <f>SUM(W162:W164)</f>
        <v>212.82641000000001</v>
      </c>
      <c r="X161" s="5433"/>
      <c r="Y161" s="5434"/>
      <c r="Z161" s="5432">
        <f>SUM(Z162:Z164)</f>
        <v>249.44036</v>
      </c>
      <c r="AA161" s="5433"/>
      <c r="AB161" s="5434"/>
      <c r="AC161" s="5432">
        <f>SUM(AC162:AC164)</f>
        <v>822.18968999999993</v>
      </c>
      <c r="AD161" s="5433"/>
      <c r="AE161" s="5434"/>
      <c r="AF161" s="5435">
        <f>SUM(B161+Q161)</f>
        <v>1323.7435</v>
      </c>
      <c r="AG161" s="5436"/>
      <c r="AH161" s="5437"/>
      <c r="AI161" s="5438">
        <f>SUM(N161+AC161)</f>
        <v>1389.3344499999998</v>
      </c>
      <c r="AJ161" s="5439"/>
      <c r="AK161" s="5440"/>
      <c r="AL161" s="5438">
        <f>SUM(AI161-AF161)</f>
        <v>65.590949999999793</v>
      </c>
      <c r="AM161" s="5439"/>
      <c r="AN161" s="5440"/>
      <c r="AO161" s="5443">
        <f>SUM(AO162:AO164)</f>
        <v>661.87175000000002</v>
      </c>
      <c r="AP161" s="5444"/>
      <c r="AQ161" s="5445"/>
      <c r="AR161" s="5432">
        <f>SUM(AR162:AR164)</f>
        <v>277.82194000000004</v>
      </c>
      <c r="AS161" s="5433"/>
      <c r="AT161" s="5434"/>
      <c r="AU161" s="5432">
        <f>SUM(AU162:AU164)</f>
        <v>0</v>
      </c>
      <c r="AV161" s="5433"/>
      <c r="AW161" s="5434"/>
      <c r="AX161" s="5432">
        <f>SUM(AX162:AX164)</f>
        <v>0</v>
      </c>
      <c r="AY161" s="5433"/>
      <c r="AZ161" s="5434"/>
      <c r="BA161" s="5432">
        <f>SUM(BA162:BA164)</f>
        <v>277.82194000000004</v>
      </c>
      <c r="BB161" s="5433"/>
      <c r="BC161" s="5434"/>
      <c r="BD161" s="5435">
        <f t="shared" ref="BD161:BD165" si="923">SUM(AF161+AO161)</f>
        <v>1985.6152500000001</v>
      </c>
      <c r="BE161" s="5436"/>
      <c r="BF161" s="5437"/>
      <c r="BG161" s="5438">
        <f>SUM(BA161+AI161)</f>
        <v>1667.1563899999999</v>
      </c>
      <c r="BH161" s="5439"/>
      <c r="BI161" s="5440"/>
      <c r="BJ161" s="5438">
        <f>SUM(BG161-BD161)</f>
        <v>-318.45886000000019</v>
      </c>
      <c r="BK161" s="5439"/>
      <c r="BL161" s="5440"/>
      <c r="BM161" s="5443">
        <f>SUM(BM162:BM164)</f>
        <v>661.87175000000002</v>
      </c>
      <c r="BN161" s="5444"/>
      <c r="BO161" s="5445"/>
      <c r="BP161" s="5432">
        <f>SUM(BP162:BP164)</f>
        <v>0</v>
      </c>
      <c r="BQ161" s="5433"/>
      <c r="BR161" s="5434"/>
      <c r="BS161" s="5432">
        <f>SUM(BS162:BS164)</f>
        <v>0</v>
      </c>
      <c r="BT161" s="5433"/>
      <c r="BU161" s="5434"/>
      <c r="BV161" s="5432">
        <f>SUM(BV162:BV164)</f>
        <v>0</v>
      </c>
      <c r="BW161" s="5433"/>
      <c r="BX161" s="5434"/>
      <c r="BY161" s="5432">
        <f>SUM(BY162:BY164)</f>
        <v>0</v>
      </c>
      <c r="BZ161" s="5433"/>
      <c r="CA161" s="5434"/>
      <c r="CB161" s="5435">
        <f t="shared" ref="CB161:CB165" si="924">SUM(BM161+BD161)</f>
        <v>2647.4870000000001</v>
      </c>
      <c r="CC161" s="5436"/>
      <c r="CD161" s="5437"/>
      <c r="CE161" s="5438">
        <f>SUM(BY161+BG161)</f>
        <v>1667.1563899999999</v>
      </c>
      <c r="CF161" s="5439"/>
      <c r="CG161" s="5440"/>
      <c r="CH161" s="5438">
        <f>SUM(CE161-CB161)</f>
        <v>-980.33061000000021</v>
      </c>
      <c r="CI161" s="5439"/>
      <c r="CJ161" s="5440"/>
      <c r="CK161" s="2752"/>
      <c r="CL161" s="2907">
        <f t="shared" si="867"/>
        <v>2647.4870000000001</v>
      </c>
      <c r="CM161" s="2907">
        <f t="shared" si="868"/>
        <v>0</v>
      </c>
      <c r="CN161" s="2907">
        <f t="shared" si="868"/>
        <v>0</v>
      </c>
    </row>
    <row r="162" spans="1:92" ht="36" customHeight="1" x14ac:dyDescent="0.3">
      <c r="A162" s="4351" t="s">
        <v>3713</v>
      </c>
      <c r="B162" s="5453">
        <f>SUM(1109.487/4)</f>
        <v>277.37175000000002</v>
      </c>
      <c r="C162" s="5454"/>
      <c r="D162" s="5455"/>
      <c r="E162" s="5456">
        <v>234.65199999999999</v>
      </c>
      <c r="F162" s="5454"/>
      <c r="G162" s="5455"/>
      <c r="H162" s="5456">
        <v>95.234930000000006</v>
      </c>
      <c r="I162" s="5454"/>
      <c r="J162" s="5455"/>
      <c r="K162" s="5456">
        <v>136.90056999999999</v>
      </c>
      <c r="L162" s="5454"/>
      <c r="M162" s="5455"/>
      <c r="N162" s="5457">
        <f>SUM(E162+H162+K162)</f>
        <v>466.78750000000002</v>
      </c>
      <c r="O162" s="5458"/>
      <c r="P162" s="5459"/>
      <c r="Q162" s="5453">
        <f>SUM(B162)</f>
        <v>277.37175000000002</v>
      </c>
      <c r="R162" s="5454"/>
      <c r="S162" s="5455"/>
      <c r="T162" s="5456">
        <v>255.91559000000001</v>
      </c>
      <c r="U162" s="5454"/>
      <c r="V162" s="5455"/>
      <c r="W162" s="5456">
        <v>61.244459999999997</v>
      </c>
      <c r="X162" s="5454"/>
      <c r="Y162" s="5455"/>
      <c r="Z162" s="5456">
        <v>98.544529999999995</v>
      </c>
      <c r="AA162" s="5454"/>
      <c r="AB162" s="5455"/>
      <c r="AC162" s="5457">
        <f>SUM(T162+W162+Z162)</f>
        <v>415.70458000000002</v>
      </c>
      <c r="AD162" s="5458"/>
      <c r="AE162" s="5459"/>
      <c r="AF162" s="5465">
        <f>SUM(B162+Q162)</f>
        <v>554.74350000000004</v>
      </c>
      <c r="AG162" s="5466"/>
      <c r="AH162" s="5467"/>
      <c r="AI162" s="5460">
        <f t="shared" ref="AI162:AI165" si="925">SUM(N162+AC162)</f>
        <v>882.49207999999999</v>
      </c>
      <c r="AJ162" s="5461"/>
      <c r="AK162" s="5462"/>
      <c r="AL162" s="5460">
        <f t="shared" ref="AL162:AL165" si="926">SUM(AI162-AF162)</f>
        <v>327.74857999999995</v>
      </c>
      <c r="AM162" s="5461"/>
      <c r="AN162" s="5462"/>
      <c r="AO162" s="5453">
        <f>SUM(Q162)</f>
        <v>277.37175000000002</v>
      </c>
      <c r="AP162" s="5454"/>
      <c r="AQ162" s="5455"/>
      <c r="AR162" s="5456">
        <v>130.67715000000001</v>
      </c>
      <c r="AS162" s="5463"/>
      <c r="AT162" s="5464"/>
      <c r="AU162" s="5456"/>
      <c r="AV162" s="5463"/>
      <c r="AW162" s="5464"/>
      <c r="AX162" s="5456"/>
      <c r="AY162" s="5463"/>
      <c r="AZ162" s="5464"/>
      <c r="BA162" s="5457">
        <f>SUM(AR162+AU162+AX162)</f>
        <v>130.67715000000001</v>
      </c>
      <c r="BB162" s="5458"/>
      <c r="BC162" s="5459"/>
      <c r="BD162" s="5465">
        <f>SUM(AF162+AO162)</f>
        <v>832.11525000000006</v>
      </c>
      <c r="BE162" s="5466"/>
      <c r="BF162" s="5467"/>
      <c r="BG162" s="5460">
        <f t="shared" ref="BG162:BG165" si="927">SUM(BA162+AI162)</f>
        <v>1013.16923</v>
      </c>
      <c r="BH162" s="5461"/>
      <c r="BI162" s="5462"/>
      <c r="BJ162" s="5460">
        <f>SUM(BG162-BD162)</f>
        <v>181.05397999999991</v>
      </c>
      <c r="BK162" s="5461"/>
      <c r="BL162" s="5462"/>
      <c r="BM162" s="5453">
        <f>SUM(AO162)</f>
        <v>277.37175000000002</v>
      </c>
      <c r="BN162" s="5454"/>
      <c r="BO162" s="5455"/>
      <c r="BP162" s="5456"/>
      <c r="BQ162" s="5454"/>
      <c r="BR162" s="5455"/>
      <c r="BS162" s="5456"/>
      <c r="BT162" s="5454"/>
      <c r="BU162" s="5455"/>
      <c r="BV162" s="5456"/>
      <c r="BW162" s="5454"/>
      <c r="BX162" s="5455"/>
      <c r="BY162" s="5457">
        <f>SUM(BP162+BS162+BV162)</f>
        <v>0</v>
      </c>
      <c r="BZ162" s="5458"/>
      <c r="CA162" s="5459"/>
      <c r="CB162" s="5465">
        <f t="shared" si="924"/>
        <v>1109.4870000000001</v>
      </c>
      <c r="CC162" s="5466"/>
      <c r="CD162" s="5467"/>
      <c r="CE162" s="5468">
        <f t="shared" ref="CE162:CE165" si="928">SUM(BY162+BG162)</f>
        <v>1013.16923</v>
      </c>
      <c r="CF162" s="5469"/>
      <c r="CG162" s="5470"/>
      <c r="CH162" s="5468">
        <f>SUM(CE162-CB162)</f>
        <v>-96.31777000000011</v>
      </c>
      <c r="CI162" s="5469"/>
      <c r="CJ162" s="5470"/>
      <c r="CK162" s="2752"/>
      <c r="CL162" s="2752"/>
      <c r="CM162" s="2752"/>
      <c r="CN162" s="2752"/>
    </row>
    <row r="163" spans="1:92" ht="35.25" customHeight="1" x14ac:dyDescent="0.2">
      <c r="A163" s="2685" t="s">
        <v>3714</v>
      </c>
      <c r="B163" s="5453">
        <f>410/4</f>
        <v>102.5</v>
      </c>
      <c r="C163" s="5473"/>
      <c r="D163" s="5474"/>
      <c r="E163" s="5456">
        <v>0</v>
      </c>
      <c r="F163" s="5471"/>
      <c r="G163" s="5472"/>
      <c r="H163" s="5456">
        <v>0</v>
      </c>
      <c r="I163" s="5471"/>
      <c r="J163" s="5472"/>
      <c r="K163" s="5456">
        <v>0</v>
      </c>
      <c r="L163" s="5471"/>
      <c r="M163" s="5472"/>
      <c r="N163" s="5457">
        <f>SUM(E163+H163+K163)</f>
        <v>0</v>
      </c>
      <c r="O163" s="5458"/>
      <c r="P163" s="5459"/>
      <c r="Q163" s="5453">
        <f>SUM(B163)</f>
        <v>102.5</v>
      </c>
      <c r="R163" s="5454"/>
      <c r="S163" s="5455"/>
      <c r="T163" s="5456">
        <v>0</v>
      </c>
      <c r="U163" s="5471"/>
      <c r="V163" s="5472"/>
      <c r="W163" s="5456">
        <v>0</v>
      </c>
      <c r="X163" s="5471"/>
      <c r="Y163" s="5472"/>
      <c r="Z163" s="5456">
        <v>0</v>
      </c>
      <c r="AA163" s="5471"/>
      <c r="AB163" s="5472"/>
      <c r="AC163" s="5457">
        <f>SUM(T163+W163+Z163)</f>
        <v>0</v>
      </c>
      <c r="AD163" s="5458"/>
      <c r="AE163" s="5459"/>
      <c r="AF163" s="5465">
        <f>SUM(B163+Q163)</f>
        <v>205</v>
      </c>
      <c r="AG163" s="5466"/>
      <c r="AH163" s="5467"/>
      <c r="AI163" s="5460">
        <f t="shared" si="925"/>
        <v>0</v>
      </c>
      <c r="AJ163" s="5461"/>
      <c r="AK163" s="5462"/>
      <c r="AL163" s="5460">
        <f t="shared" si="926"/>
        <v>-205</v>
      </c>
      <c r="AM163" s="5461"/>
      <c r="AN163" s="5462"/>
      <c r="AO163" s="5453">
        <f>SUM(Q163)</f>
        <v>102.5</v>
      </c>
      <c r="AP163" s="5454"/>
      <c r="AQ163" s="5455"/>
      <c r="AR163" s="5456">
        <v>0</v>
      </c>
      <c r="AS163" s="5471"/>
      <c r="AT163" s="5472"/>
      <c r="AU163" s="5456"/>
      <c r="AV163" s="5471"/>
      <c r="AW163" s="5472"/>
      <c r="AX163" s="5456"/>
      <c r="AY163" s="5471"/>
      <c r="AZ163" s="5472"/>
      <c r="BA163" s="5457">
        <f>SUM(AR163+AU163+AX163)</f>
        <v>0</v>
      </c>
      <c r="BB163" s="5458"/>
      <c r="BC163" s="5459"/>
      <c r="BD163" s="5465">
        <f>SUM(AF163+AO163)</f>
        <v>307.5</v>
      </c>
      <c r="BE163" s="5466"/>
      <c r="BF163" s="5467"/>
      <c r="BG163" s="5460">
        <f t="shared" si="927"/>
        <v>0</v>
      </c>
      <c r="BH163" s="5461"/>
      <c r="BI163" s="5462"/>
      <c r="BJ163" s="5460">
        <f>SUM(BG163-BD163)</f>
        <v>-307.5</v>
      </c>
      <c r="BK163" s="5461"/>
      <c r="BL163" s="5462"/>
      <c r="BM163" s="5453">
        <f>SUM(AO163)</f>
        <v>102.5</v>
      </c>
      <c r="BN163" s="5454"/>
      <c r="BO163" s="5455"/>
      <c r="BP163" s="5456"/>
      <c r="BQ163" s="5471"/>
      <c r="BR163" s="5472"/>
      <c r="BS163" s="5456"/>
      <c r="BT163" s="5471"/>
      <c r="BU163" s="5472"/>
      <c r="BV163" s="5456"/>
      <c r="BW163" s="5471"/>
      <c r="BX163" s="5472"/>
      <c r="BY163" s="5457">
        <f>SUM(BP163+BS163+BV163)</f>
        <v>0</v>
      </c>
      <c r="BZ163" s="5458"/>
      <c r="CA163" s="5459"/>
      <c r="CB163" s="5465">
        <f t="shared" si="924"/>
        <v>410</v>
      </c>
      <c r="CC163" s="5466"/>
      <c r="CD163" s="5467"/>
      <c r="CE163" s="5468">
        <f t="shared" si="928"/>
        <v>0</v>
      </c>
      <c r="CF163" s="5469"/>
      <c r="CG163" s="5470"/>
      <c r="CH163" s="5468">
        <f>SUM(CE163-CB163)</f>
        <v>-410</v>
      </c>
      <c r="CI163" s="5469"/>
      <c r="CJ163" s="5470"/>
      <c r="CK163" s="2752"/>
      <c r="CL163" s="2752"/>
      <c r="CM163" s="2752"/>
      <c r="CN163" s="2752"/>
    </row>
    <row r="164" spans="1:92" ht="36" customHeight="1" x14ac:dyDescent="0.2">
      <c r="A164" s="4352" t="s">
        <v>3715</v>
      </c>
      <c r="B164" s="5453">
        <f>1128/4</f>
        <v>282</v>
      </c>
      <c r="C164" s="5473"/>
      <c r="D164" s="5474"/>
      <c r="E164" s="5456">
        <v>29.103999999999999</v>
      </c>
      <c r="F164" s="5471"/>
      <c r="G164" s="5472"/>
      <c r="H164" s="5456">
        <v>32.030259999999998</v>
      </c>
      <c r="I164" s="5471"/>
      <c r="J164" s="5472"/>
      <c r="K164" s="5456">
        <v>39.222999999999999</v>
      </c>
      <c r="L164" s="5471"/>
      <c r="M164" s="5472"/>
      <c r="N164" s="5453">
        <f>SUM(E164+H164+K164)</f>
        <v>100.35726</v>
      </c>
      <c r="O164" s="5473"/>
      <c r="P164" s="5474"/>
      <c r="Q164" s="5453">
        <f>SUM(B164)</f>
        <v>282</v>
      </c>
      <c r="R164" s="5454"/>
      <c r="S164" s="5455"/>
      <c r="T164" s="5456">
        <v>104.00733</v>
      </c>
      <c r="U164" s="5471"/>
      <c r="V164" s="5472"/>
      <c r="W164" s="5456">
        <v>151.58195000000001</v>
      </c>
      <c r="X164" s="5471"/>
      <c r="Y164" s="5472"/>
      <c r="Z164" s="5456">
        <v>150.89582999999999</v>
      </c>
      <c r="AA164" s="5471"/>
      <c r="AB164" s="5472"/>
      <c r="AC164" s="5457">
        <f>SUM(T164+W164+Z164)</f>
        <v>406.48510999999996</v>
      </c>
      <c r="AD164" s="5458"/>
      <c r="AE164" s="5459"/>
      <c r="AF164" s="5465">
        <f>SUM(B164+Q164)</f>
        <v>564</v>
      </c>
      <c r="AG164" s="5466"/>
      <c r="AH164" s="5467"/>
      <c r="AI164" s="5460">
        <f t="shared" si="925"/>
        <v>506.84236999999996</v>
      </c>
      <c r="AJ164" s="5461"/>
      <c r="AK164" s="5462"/>
      <c r="AL164" s="5460">
        <f t="shared" si="926"/>
        <v>-57.15763000000004</v>
      </c>
      <c r="AM164" s="5461"/>
      <c r="AN164" s="5462"/>
      <c r="AO164" s="5453">
        <f>SUM(Q164)</f>
        <v>282</v>
      </c>
      <c r="AP164" s="5454"/>
      <c r="AQ164" s="5455"/>
      <c r="AR164" s="5456">
        <v>147.14479</v>
      </c>
      <c r="AS164" s="5471"/>
      <c r="AT164" s="5472"/>
      <c r="AU164" s="5456"/>
      <c r="AV164" s="5471"/>
      <c r="AW164" s="5472"/>
      <c r="AX164" s="5456"/>
      <c r="AY164" s="5471"/>
      <c r="AZ164" s="5472"/>
      <c r="BA164" s="5457">
        <f>SUM(AR164+AU164+AX164)</f>
        <v>147.14479</v>
      </c>
      <c r="BB164" s="5458"/>
      <c r="BC164" s="5459"/>
      <c r="BD164" s="5465">
        <f>SUM(AF164+AO164)</f>
        <v>846</v>
      </c>
      <c r="BE164" s="5466"/>
      <c r="BF164" s="5467"/>
      <c r="BG164" s="5460">
        <f t="shared" si="927"/>
        <v>653.9871599999999</v>
      </c>
      <c r="BH164" s="5461"/>
      <c r="BI164" s="5462"/>
      <c r="BJ164" s="5460">
        <f>SUM(BG164-BD164)</f>
        <v>-192.0128400000001</v>
      </c>
      <c r="BK164" s="5461"/>
      <c r="BL164" s="5462"/>
      <c r="BM164" s="5453">
        <f>SUM(AO164)</f>
        <v>282</v>
      </c>
      <c r="BN164" s="5454"/>
      <c r="BO164" s="5455"/>
      <c r="BP164" s="5456"/>
      <c r="BQ164" s="5471"/>
      <c r="BR164" s="5472"/>
      <c r="BS164" s="5456"/>
      <c r="BT164" s="5471"/>
      <c r="BU164" s="5472"/>
      <c r="BV164" s="5456"/>
      <c r="BW164" s="5471"/>
      <c r="BX164" s="5472"/>
      <c r="BY164" s="5457">
        <f>SUM(BP164+BS164+BV164)</f>
        <v>0</v>
      </c>
      <c r="BZ164" s="5458"/>
      <c r="CA164" s="5459"/>
      <c r="CB164" s="5465">
        <f t="shared" si="924"/>
        <v>1128</v>
      </c>
      <c r="CC164" s="5466"/>
      <c r="CD164" s="5467"/>
      <c r="CE164" s="5468">
        <f t="shared" si="928"/>
        <v>653.9871599999999</v>
      </c>
      <c r="CF164" s="5469"/>
      <c r="CG164" s="5470"/>
      <c r="CH164" s="5468">
        <f>SUM(CE164-CB164)</f>
        <v>-474.0128400000001</v>
      </c>
      <c r="CI164" s="5469"/>
      <c r="CJ164" s="5470"/>
      <c r="CK164" s="2752"/>
      <c r="CL164" s="2752"/>
      <c r="CM164" s="2752"/>
      <c r="CN164" s="2752"/>
    </row>
    <row r="165" spans="1:92" ht="18.75" customHeight="1" x14ac:dyDescent="0.3">
      <c r="A165" s="4350" t="s">
        <v>3716</v>
      </c>
      <c r="B165" s="5443">
        <f>SUM(B158+B161)</f>
        <v>45848.699071488641</v>
      </c>
      <c r="C165" s="5444"/>
      <c r="D165" s="5445"/>
      <c r="E165" s="5432">
        <f>SUM(E158+E161)</f>
        <v>17481.704000000002</v>
      </c>
      <c r="F165" s="5433"/>
      <c r="G165" s="5434"/>
      <c r="H165" s="5432">
        <f t="shared" ref="H165" si="929">SUM(H158+H161)</f>
        <v>14189.01647</v>
      </c>
      <c r="I165" s="5433"/>
      <c r="J165" s="5434"/>
      <c r="K165" s="5432">
        <f t="shared" ref="K165" si="930">SUM(K158+K161)</f>
        <v>15277.086370000003</v>
      </c>
      <c r="L165" s="5433"/>
      <c r="M165" s="5434"/>
      <c r="N165" s="5432">
        <f t="shared" ref="N165" si="931">SUM(N158+N161)</f>
        <v>46947.806839999997</v>
      </c>
      <c r="O165" s="5433"/>
      <c r="P165" s="5434"/>
      <c r="Q165" s="5443">
        <f>SUM(Q158+Q161)</f>
        <v>45848.699071488641</v>
      </c>
      <c r="R165" s="5444"/>
      <c r="S165" s="5445"/>
      <c r="T165" s="5432">
        <f>SUM(T158+T161)</f>
        <v>16046.75547</v>
      </c>
      <c r="U165" s="5433"/>
      <c r="V165" s="5434"/>
      <c r="W165" s="5432">
        <f t="shared" ref="W165" si="932">SUM(W158+W161)</f>
        <v>17845.921000000002</v>
      </c>
      <c r="X165" s="5433"/>
      <c r="Y165" s="5434"/>
      <c r="Z165" s="5432">
        <f t="shared" ref="Z165" si="933">SUM(Z158+Z161)</f>
        <v>19452.806680000005</v>
      </c>
      <c r="AA165" s="5433"/>
      <c r="AB165" s="5434"/>
      <c r="AC165" s="5432">
        <f t="shared" ref="AC165" si="934">SUM(AC158+AC161)</f>
        <v>53345.48315</v>
      </c>
      <c r="AD165" s="5433"/>
      <c r="AE165" s="5434"/>
      <c r="AF165" s="5435">
        <f>SUM(B165+Q165)</f>
        <v>91697.398142977283</v>
      </c>
      <c r="AG165" s="5436"/>
      <c r="AH165" s="5437"/>
      <c r="AI165" s="5438">
        <f t="shared" si="925"/>
        <v>100293.28998999999</v>
      </c>
      <c r="AJ165" s="5439"/>
      <c r="AK165" s="5440"/>
      <c r="AL165" s="5438">
        <f t="shared" si="926"/>
        <v>8595.8918470227072</v>
      </c>
      <c r="AM165" s="5439"/>
      <c r="AN165" s="5440"/>
      <c r="AO165" s="5443">
        <f>SUM(AO158+AO161)</f>
        <v>45848.699071488641</v>
      </c>
      <c r="AP165" s="5444"/>
      <c r="AQ165" s="5445"/>
      <c r="AR165" s="5432">
        <f>SUM(AR158+AR161)</f>
        <v>13327.070589999999</v>
      </c>
      <c r="AS165" s="5433"/>
      <c r="AT165" s="5434"/>
      <c r="AU165" s="5432">
        <f t="shared" ref="AU165" si="935">SUM(AU158+AU161)</f>
        <v>0</v>
      </c>
      <c r="AV165" s="5433"/>
      <c r="AW165" s="5434"/>
      <c r="AX165" s="5432">
        <f t="shared" ref="AX165" si="936">SUM(AX158+AX161)</f>
        <v>0</v>
      </c>
      <c r="AY165" s="5433"/>
      <c r="AZ165" s="5434"/>
      <c r="BA165" s="5432">
        <f t="shared" ref="BA165" si="937">SUM(BA158+BA161)</f>
        <v>13327.070589999999</v>
      </c>
      <c r="BB165" s="5433"/>
      <c r="BC165" s="5434"/>
      <c r="BD165" s="5435">
        <f t="shared" si="923"/>
        <v>137546.09721446593</v>
      </c>
      <c r="BE165" s="5436"/>
      <c r="BF165" s="5437"/>
      <c r="BG165" s="5438">
        <f t="shared" si="927"/>
        <v>113620.36057999999</v>
      </c>
      <c r="BH165" s="5439"/>
      <c r="BI165" s="5440"/>
      <c r="BJ165" s="5438">
        <f>SUM(BG165-BD165)</f>
        <v>-23925.736634465939</v>
      </c>
      <c r="BK165" s="5439"/>
      <c r="BL165" s="5440"/>
      <c r="BM165" s="5443">
        <f>SUM(BM158+BM161)</f>
        <v>45848.699071488641</v>
      </c>
      <c r="BN165" s="5444"/>
      <c r="BO165" s="5445"/>
      <c r="BP165" s="5432">
        <f>SUM(BP158+BP161)</f>
        <v>0</v>
      </c>
      <c r="BQ165" s="5433"/>
      <c r="BR165" s="5434"/>
      <c r="BS165" s="5432">
        <f t="shared" ref="BS165" si="938">SUM(BS158+BS161)</f>
        <v>0</v>
      </c>
      <c r="BT165" s="5433"/>
      <c r="BU165" s="5434"/>
      <c r="BV165" s="5432">
        <f t="shared" ref="BV165" si="939">SUM(BV158+BV161)</f>
        <v>0</v>
      </c>
      <c r="BW165" s="5433"/>
      <c r="BX165" s="5434"/>
      <c r="BY165" s="5432">
        <f t="shared" ref="BY165" si="940">SUM(BY158+BY161)</f>
        <v>0</v>
      </c>
      <c r="BZ165" s="5433"/>
      <c r="CA165" s="5434"/>
      <c r="CB165" s="5435">
        <f t="shared" si="924"/>
        <v>183394.79628595457</v>
      </c>
      <c r="CC165" s="5436"/>
      <c r="CD165" s="5437"/>
      <c r="CE165" s="5438">
        <f t="shared" si="928"/>
        <v>113620.36057999999</v>
      </c>
      <c r="CF165" s="5439"/>
      <c r="CG165" s="5440"/>
      <c r="CH165" s="5438">
        <f>SUM(CE165-CB165)</f>
        <v>-69774.435705954573</v>
      </c>
      <c r="CI165" s="5439"/>
      <c r="CJ165" s="5440"/>
      <c r="CK165" s="2746"/>
      <c r="CL165" s="2746"/>
      <c r="CM165" s="2746"/>
      <c r="CN165" s="2746"/>
    </row>
    <row r="166" spans="1:92" x14ac:dyDescent="0.2">
      <c r="A166" s="2746"/>
      <c r="B166" s="2746"/>
      <c r="C166" s="2746"/>
      <c r="D166" s="2746"/>
      <c r="E166" s="2746"/>
      <c r="F166" s="2746"/>
      <c r="G166" s="2746"/>
      <c r="H166" s="2746"/>
      <c r="I166" s="2746"/>
      <c r="J166" s="2746"/>
      <c r="K166" s="2746"/>
      <c r="L166" s="2746"/>
      <c r="M166" s="2746"/>
      <c r="N166" s="2746"/>
      <c r="O166" s="2746"/>
      <c r="P166" s="2746"/>
      <c r="Q166" s="2746"/>
      <c r="R166" s="2746"/>
      <c r="S166" s="2746"/>
      <c r="T166" s="2746"/>
      <c r="U166" s="2746"/>
      <c r="V166" s="2746"/>
      <c r="W166" s="2746"/>
      <c r="X166" s="2746"/>
      <c r="Y166" s="2746"/>
      <c r="Z166" s="2746"/>
      <c r="AA166" s="2746"/>
      <c r="AB166" s="2746"/>
      <c r="AC166" s="2746"/>
      <c r="AD166" s="2746"/>
      <c r="AE166" s="2746"/>
      <c r="AF166" s="2746"/>
      <c r="AG166" s="2746"/>
      <c r="AH166" s="2746"/>
      <c r="AI166" s="2746"/>
      <c r="AJ166" s="2746"/>
      <c r="AK166" s="2746"/>
      <c r="AL166" s="2746"/>
      <c r="AM166" s="2746"/>
      <c r="AN166" s="2746"/>
      <c r="AO166" s="2746"/>
      <c r="AP166" s="2746"/>
      <c r="AQ166" s="2746"/>
      <c r="AR166" s="2746"/>
      <c r="AS166" s="2746"/>
      <c r="AT166" s="2746"/>
      <c r="AU166" s="2746"/>
      <c r="AV166" s="2746"/>
      <c r="AW166" s="2746"/>
      <c r="AX166" s="2746"/>
      <c r="AY166" s="2746"/>
      <c r="AZ166" s="2746"/>
      <c r="BA166" s="2746"/>
      <c r="BB166" s="2746"/>
      <c r="BC166" s="2746"/>
      <c r="BD166" s="2746"/>
      <c r="BE166" s="2746"/>
      <c r="BF166" s="2746"/>
      <c r="BG166" s="2746"/>
      <c r="BH166" s="2746"/>
      <c r="BI166" s="2746"/>
      <c r="BJ166" s="2746"/>
      <c r="BK166" s="2746"/>
      <c r="BL166" s="2746"/>
      <c r="BM166" s="2746"/>
      <c r="BN166" s="2746"/>
      <c r="BO166" s="2746"/>
      <c r="BP166" s="2746"/>
      <c r="BQ166" s="2746"/>
      <c r="BR166" s="2746"/>
      <c r="BS166" s="2746"/>
      <c r="BT166" s="2746"/>
      <c r="BU166" s="2746"/>
      <c r="BV166" s="2746"/>
      <c r="BW166" s="2746"/>
      <c r="BX166" s="2746"/>
      <c r="BY166" s="2746"/>
      <c r="BZ166" s="2746"/>
      <c r="CA166" s="2746"/>
      <c r="CB166" s="2746"/>
      <c r="CC166" s="2746"/>
      <c r="CD166" s="2746"/>
      <c r="CE166" s="2746"/>
      <c r="CF166" s="2746"/>
      <c r="CG166" s="2746"/>
      <c r="CH166" s="2746"/>
      <c r="CI166" s="2746"/>
      <c r="CJ166" s="2746"/>
      <c r="CK166" s="2746"/>
      <c r="CL166" s="2746"/>
      <c r="CM166" s="2746"/>
      <c r="CN166" s="2746"/>
    </row>
    <row r="167" spans="1:92" ht="15.75" x14ac:dyDescent="0.25">
      <c r="A167" s="2787"/>
      <c r="B167" s="2787"/>
      <c r="C167" s="2787"/>
      <c r="D167" s="2787"/>
      <c r="E167" s="2787"/>
      <c r="F167" s="2787"/>
      <c r="G167" s="2787"/>
      <c r="H167" s="2787"/>
      <c r="I167" s="2787"/>
      <c r="J167" s="2787"/>
      <c r="K167" s="2787"/>
      <c r="L167" s="2787"/>
      <c r="M167" s="2787"/>
      <c r="N167" s="2746"/>
      <c r="O167" s="2746"/>
      <c r="P167" s="2746"/>
      <c r="Q167" s="2746"/>
      <c r="R167" s="2746"/>
      <c r="S167" s="2746"/>
      <c r="T167" s="2746"/>
      <c r="U167" s="2746"/>
      <c r="V167" s="2746"/>
      <c r="W167" s="2746"/>
      <c r="X167" s="2746"/>
      <c r="Y167" s="2746"/>
      <c r="Z167" s="2746"/>
      <c r="AA167" s="2746"/>
      <c r="AB167" s="2746"/>
      <c r="AC167" s="2746"/>
      <c r="AD167" s="2746"/>
      <c r="AE167" s="2746"/>
      <c r="AF167" s="2746"/>
      <c r="AG167" s="2746"/>
      <c r="AH167" s="2746"/>
      <c r="AI167" s="2746"/>
      <c r="AJ167" s="2746"/>
      <c r="AK167" s="2746"/>
      <c r="AL167" s="2746"/>
      <c r="AM167" s="2746"/>
      <c r="AN167" s="2746"/>
      <c r="AO167" s="2746"/>
      <c r="AP167" s="2746"/>
      <c r="AQ167" s="2746"/>
      <c r="AR167" s="2746"/>
      <c r="AS167" s="2746"/>
      <c r="AT167" s="2746"/>
      <c r="AU167" s="2746"/>
      <c r="AV167" s="2746"/>
      <c r="AW167" s="2746"/>
      <c r="AX167" s="2746"/>
      <c r="AY167" s="2746"/>
      <c r="AZ167" s="2746"/>
      <c r="BA167" s="2746"/>
      <c r="BB167" s="2746"/>
      <c r="BC167" s="2746"/>
      <c r="BD167" s="2746"/>
      <c r="BE167" s="2746"/>
      <c r="BF167" s="2746"/>
      <c r="BG167" s="2746"/>
      <c r="BH167" s="2746"/>
      <c r="BI167" s="2746"/>
      <c r="BJ167" s="2746"/>
      <c r="BK167" s="2746"/>
      <c r="BL167" s="2746"/>
      <c r="BM167" s="2746"/>
      <c r="BN167" s="2746"/>
      <c r="BO167" s="2746"/>
      <c r="BP167" s="2746"/>
      <c r="BQ167" s="2746"/>
      <c r="BR167" s="2746"/>
      <c r="BS167" s="2746"/>
      <c r="BT167" s="2746"/>
      <c r="BU167" s="2746"/>
      <c r="BV167" s="2746"/>
      <c r="BW167" s="2746"/>
      <c r="BX167" s="2746"/>
      <c r="BY167" s="2746"/>
      <c r="BZ167" s="2746"/>
      <c r="CA167" s="2746"/>
      <c r="CB167" s="2788"/>
      <c r="CC167" s="2788"/>
      <c r="CD167" s="2788"/>
      <c r="CE167" s="2746"/>
      <c r="CF167" s="2746"/>
      <c r="CG167" s="2746"/>
      <c r="CH167" s="2746"/>
      <c r="CI167" s="2746"/>
      <c r="CJ167" s="2746"/>
      <c r="CK167" s="2746"/>
      <c r="CL167" s="2746"/>
      <c r="CM167" s="2746"/>
      <c r="CN167" s="2746"/>
    </row>
    <row r="168" spans="1:92" ht="20.25" x14ac:dyDescent="0.3">
      <c r="A168" s="2741" t="s">
        <v>4232</v>
      </c>
      <c r="B168" s="2746"/>
      <c r="C168" s="2746"/>
      <c r="D168" s="2746"/>
      <c r="E168" s="2746"/>
      <c r="F168" s="2746"/>
      <c r="G168" s="2746"/>
      <c r="H168" s="2746"/>
      <c r="I168" s="2746"/>
      <c r="J168" s="2746"/>
      <c r="K168" s="2746"/>
      <c r="L168" s="2746"/>
      <c r="M168" s="2746"/>
      <c r="N168" s="2746"/>
      <c r="O168" s="2746"/>
      <c r="P168" s="2746"/>
      <c r="Q168" s="2746"/>
      <c r="R168" s="2746"/>
      <c r="S168" s="2746"/>
      <c r="T168" s="2746"/>
      <c r="U168" s="2746"/>
      <c r="V168" s="2746"/>
      <c r="W168" s="2746"/>
      <c r="X168" s="2746"/>
      <c r="Y168" s="2746"/>
      <c r="Z168" s="2746"/>
      <c r="AA168" s="2746"/>
      <c r="AB168" s="2746"/>
      <c r="AC168" s="2746"/>
      <c r="AD168" s="2746"/>
      <c r="AE168" s="2746"/>
      <c r="AF168" s="2746"/>
      <c r="AG168" s="2746"/>
      <c r="AH168" s="2746"/>
      <c r="AI168" s="2746"/>
      <c r="AJ168" s="2746"/>
      <c r="AK168" s="2746"/>
      <c r="AL168" s="2746"/>
      <c r="AM168" s="2746"/>
      <c r="AN168" s="2746"/>
      <c r="AO168" s="2746"/>
      <c r="AP168" s="2746"/>
      <c r="AQ168" s="2746"/>
      <c r="AR168" s="2746"/>
      <c r="AS168" s="2746"/>
      <c r="AT168" s="2746"/>
      <c r="AU168" s="2746"/>
      <c r="AV168" s="2746"/>
      <c r="AW168" s="2746"/>
      <c r="AX168" s="2746"/>
      <c r="AY168" s="2746"/>
      <c r="AZ168" s="2746"/>
      <c r="BA168" s="2746"/>
      <c r="BB168" s="2746"/>
      <c r="BC168" s="2746"/>
      <c r="BD168" s="2746"/>
      <c r="BE168" s="2746"/>
      <c r="BF168" s="2746"/>
      <c r="BG168" s="2746"/>
      <c r="BH168" s="2746"/>
      <c r="BI168" s="2746"/>
      <c r="BJ168" s="2746"/>
      <c r="BK168" s="2746"/>
      <c r="BL168" s="2746"/>
      <c r="BM168" s="2746"/>
      <c r="BN168" s="2746"/>
      <c r="BO168" s="2746"/>
      <c r="BP168" s="2746"/>
      <c r="BQ168" s="2746"/>
      <c r="BR168" s="2746"/>
      <c r="BS168" s="2746"/>
      <c r="BT168" s="2746"/>
      <c r="BU168" s="2746"/>
      <c r="BV168" s="2746"/>
      <c r="BW168" s="2746"/>
      <c r="BX168" s="2746"/>
      <c r="BY168" s="2746"/>
      <c r="BZ168" s="2746"/>
      <c r="CA168" s="2746"/>
      <c r="CB168" s="2746"/>
      <c r="CC168" s="2746"/>
      <c r="CD168" s="2746"/>
      <c r="CE168" s="2746"/>
      <c r="CF168" s="2746"/>
      <c r="CG168" s="2746"/>
      <c r="CH168" s="2746"/>
      <c r="CI168" s="2746"/>
      <c r="CJ168" s="2746"/>
      <c r="CK168" s="2746"/>
      <c r="CL168" s="2746"/>
      <c r="CM168" s="2746"/>
      <c r="CN168" s="2746"/>
    </row>
    <row r="169" spans="1:92" ht="20.25" x14ac:dyDescent="0.3">
      <c r="A169" s="2747" t="s">
        <v>3717</v>
      </c>
      <c r="B169" s="2746"/>
      <c r="C169" s="2746"/>
      <c r="D169" s="2746"/>
      <c r="E169" s="2746"/>
      <c r="F169" s="2746"/>
      <c r="G169" s="2746"/>
      <c r="H169" s="2746"/>
      <c r="I169" s="2746"/>
      <c r="J169" s="2746"/>
      <c r="K169" s="2746"/>
      <c r="L169" s="2746"/>
      <c r="M169" s="2746"/>
      <c r="N169" s="2746"/>
      <c r="O169" s="2746"/>
      <c r="P169" s="2746"/>
      <c r="Q169" s="2746"/>
      <c r="R169" s="2746"/>
      <c r="S169" s="2746"/>
      <c r="T169" s="2746"/>
      <c r="U169" s="2746"/>
      <c r="V169" s="2746"/>
      <c r="W169" s="2746"/>
      <c r="X169" s="2746"/>
      <c r="Y169" s="2746"/>
      <c r="Z169" s="2746"/>
      <c r="AA169" s="2746"/>
      <c r="AB169" s="2746"/>
      <c r="AC169" s="2746"/>
      <c r="AD169" s="2746"/>
      <c r="AE169" s="2746"/>
      <c r="AF169" s="2746"/>
      <c r="AG169" s="2746"/>
      <c r="AH169" s="2746"/>
      <c r="AI169" s="2746"/>
      <c r="AJ169" s="2746"/>
      <c r="AK169" s="2746"/>
      <c r="AL169" s="2746"/>
      <c r="AM169" s="2746"/>
      <c r="AN169" s="2746"/>
      <c r="AO169" s="2746"/>
      <c r="AP169" s="2746"/>
      <c r="AQ169" s="2746"/>
      <c r="AR169" s="2746"/>
      <c r="AS169" s="2746"/>
      <c r="AT169" s="2746"/>
      <c r="AU169" s="2746"/>
      <c r="AV169" s="2746"/>
      <c r="AW169" s="2746"/>
      <c r="AX169" s="2746"/>
      <c r="AY169" s="2746"/>
      <c r="AZ169" s="2746"/>
      <c r="BA169" s="2746"/>
      <c r="BB169" s="2746"/>
      <c r="BC169" s="2746"/>
      <c r="BD169" s="2746"/>
      <c r="BE169" s="2746"/>
      <c r="BF169" s="2746"/>
      <c r="BG169" s="2746"/>
      <c r="BH169" s="2746"/>
      <c r="BI169" s="2746"/>
      <c r="BJ169" s="2746"/>
      <c r="BK169" s="2746"/>
      <c r="BL169" s="2746"/>
      <c r="BM169" s="2746"/>
      <c r="BN169" s="2746"/>
      <c r="BO169" s="2746"/>
      <c r="BP169" s="2746"/>
      <c r="BQ169" s="2746"/>
      <c r="BR169" s="2746"/>
      <c r="BS169" s="2746"/>
      <c r="BT169" s="2746"/>
      <c r="BU169" s="2746"/>
      <c r="BV169" s="2746"/>
      <c r="BW169" s="2746"/>
      <c r="BX169" s="2746"/>
      <c r="BY169" s="2746"/>
      <c r="BZ169" s="2746"/>
      <c r="CA169" s="2746"/>
      <c r="CB169" s="2746"/>
      <c r="CC169" s="2746"/>
      <c r="CD169" s="2746"/>
      <c r="CE169" s="2746"/>
      <c r="CF169" s="2746"/>
      <c r="CG169" s="2746"/>
      <c r="CH169" s="2746"/>
      <c r="CI169" s="2746"/>
      <c r="CJ169" s="2746"/>
      <c r="CK169" s="2746"/>
      <c r="CL169" s="2746"/>
      <c r="CM169" s="2746"/>
      <c r="CN169" s="2746"/>
    </row>
    <row r="170" spans="1:92" ht="20.25" x14ac:dyDescent="0.3">
      <c r="A170" s="2747"/>
      <c r="B170" s="2746"/>
      <c r="C170" s="2746"/>
      <c r="D170" s="2746"/>
      <c r="E170" s="2746"/>
      <c r="F170" s="2746"/>
      <c r="G170" s="2746"/>
      <c r="H170" s="2746"/>
      <c r="I170" s="2746"/>
      <c r="J170" s="2746"/>
      <c r="K170" s="2746"/>
      <c r="L170" s="2746"/>
      <c r="M170" s="2746"/>
      <c r="N170" s="2746"/>
      <c r="O170" s="2746"/>
      <c r="P170" s="2746"/>
      <c r="Q170" s="2746"/>
      <c r="R170" s="2746"/>
      <c r="S170" s="2746"/>
      <c r="T170" s="2746"/>
      <c r="U170" s="2746"/>
      <c r="V170" s="2746"/>
      <c r="W170" s="2746"/>
      <c r="X170" s="2746"/>
      <c r="Y170" s="2746"/>
      <c r="Z170" s="2746"/>
      <c r="AA170" s="2746"/>
      <c r="AB170" s="2746"/>
      <c r="AC170" s="2746"/>
      <c r="AD170" s="2746"/>
      <c r="AE170" s="2746"/>
      <c r="AF170" s="2746"/>
      <c r="AG170" s="2746"/>
      <c r="AH170" s="2746"/>
      <c r="AI170" s="2746"/>
      <c r="AJ170" s="2746"/>
      <c r="AK170" s="2746"/>
      <c r="AL170" s="2746"/>
      <c r="AM170" s="2746"/>
      <c r="AN170" s="2746"/>
      <c r="AO170" s="2746"/>
      <c r="AP170" s="2746"/>
      <c r="AQ170" s="2746"/>
      <c r="AR170" s="2746"/>
      <c r="AS170" s="2746"/>
      <c r="AT170" s="2746"/>
      <c r="AU170" s="2746"/>
      <c r="AV170" s="2746"/>
      <c r="AW170" s="2746"/>
      <c r="AX170" s="2746"/>
      <c r="AY170" s="2746"/>
      <c r="AZ170" s="2746"/>
      <c r="BA170" s="2746"/>
      <c r="BB170" s="2746"/>
      <c r="BC170" s="2746"/>
      <c r="BD170" s="2746"/>
      <c r="BE170" s="2746"/>
      <c r="BF170" s="2746"/>
      <c r="BG170" s="2746"/>
      <c r="BH170" s="2746"/>
      <c r="BI170" s="2746"/>
      <c r="BJ170" s="2746"/>
      <c r="BK170" s="2746"/>
      <c r="BL170" s="2746"/>
      <c r="BM170" s="2746"/>
      <c r="BN170" s="2746"/>
      <c r="BO170" s="2746"/>
      <c r="BP170" s="2746"/>
      <c r="BQ170" s="2746"/>
      <c r="BR170" s="2746"/>
      <c r="BS170" s="2746"/>
      <c r="BT170" s="2746"/>
      <c r="BU170" s="2746"/>
      <c r="BV170" s="2746"/>
      <c r="BW170" s="2746"/>
      <c r="BX170" s="2746"/>
      <c r="BY170" s="2746"/>
      <c r="BZ170" s="2746"/>
      <c r="CA170" s="2746"/>
      <c r="CB170" s="2746"/>
      <c r="CC170" s="2746"/>
      <c r="CD170" s="2746"/>
      <c r="CE170" s="2746"/>
      <c r="CF170" s="2746"/>
      <c r="CG170" s="2746"/>
      <c r="CH170" s="2746"/>
      <c r="CI170" s="2746"/>
      <c r="CJ170" s="2746"/>
      <c r="CK170" s="2746"/>
      <c r="CL170" s="2746"/>
      <c r="CM170" s="2746"/>
      <c r="CN170" s="2746"/>
    </row>
    <row r="171" spans="1:92" ht="18.75" x14ac:dyDescent="0.3">
      <c r="A171" s="4329" t="s">
        <v>3677</v>
      </c>
      <c r="B171" s="4353"/>
      <c r="C171" s="4353"/>
      <c r="D171" s="4353"/>
      <c r="E171" s="4353"/>
      <c r="F171" s="4353"/>
      <c r="G171" s="4353"/>
      <c r="H171" s="4353"/>
      <c r="I171" s="4353"/>
      <c r="J171" s="4353"/>
      <c r="K171" s="4353"/>
      <c r="L171" s="4353"/>
      <c r="M171" s="4353"/>
      <c r="N171" s="4353"/>
      <c r="O171" s="4353"/>
      <c r="P171" s="4353"/>
      <c r="Q171" s="4353"/>
      <c r="R171" s="4353"/>
      <c r="S171" s="4353"/>
      <c r="T171" s="4353"/>
      <c r="U171" s="4353"/>
      <c r="V171" s="4353"/>
      <c r="W171" s="4353"/>
      <c r="X171" s="4353"/>
      <c r="Y171" s="4353"/>
      <c r="Z171" s="4353"/>
      <c r="AA171" s="4353"/>
      <c r="AB171" s="4353"/>
      <c r="AC171" s="4353"/>
      <c r="AD171" s="4353"/>
      <c r="AE171" s="4353"/>
      <c r="AF171" s="4353"/>
      <c r="AG171" s="4353"/>
      <c r="AH171" s="4353"/>
      <c r="AI171" s="4353"/>
      <c r="AJ171" s="4353"/>
      <c r="AK171" s="4353"/>
      <c r="AL171" s="4353"/>
      <c r="AM171" s="4353"/>
      <c r="AN171" s="4353"/>
      <c r="AO171" s="4353"/>
      <c r="AP171" s="4353"/>
      <c r="AQ171" s="4353"/>
      <c r="AR171" s="4353"/>
      <c r="AS171" s="4353"/>
      <c r="AT171" s="4353"/>
      <c r="AU171" s="4353"/>
      <c r="AV171" s="4353"/>
      <c r="AW171" s="4353"/>
      <c r="AX171" s="4353"/>
      <c r="AY171" s="4353"/>
      <c r="AZ171" s="4353"/>
      <c r="BA171" s="4353"/>
      <c r="BB171" s="4353"/>
      <c r="BC171" s="4353"/>
      <c r="BD171" s="4353"/>
      <c r="BE171" s="4353"/>
      <c r="BF171" s="4353"/>
      <c r="BG171" s="4353"/>
      <c r="BH171" s="4353"/>
      <c r="BI171" s="4353"/>
      <c r="BJ171" s="4353"/>
      <c r="BK171" s="4353"/>
      <c r="BL171" s="4353"/>
      <c r="BM171" s="4353"/>
      <c r="BN171" s="4353"/>
      <c r="BO171" s="4353"/>
      <c r="BP171" s="4353"/>
      <c r="BQ171" s="4353"/>
      <c r="BR171" s="4353"/>
      <c r="BS171" s="4353"/>
      <c r="BT171" s="4353"/>
      <c r="BU171" s="4353"/>
      <c r="BV171" s="4353"/>
      <c r="BW171" s="4353"/>
      <c r="BX171" s="4353"/>
      <c r="BY171" s="4353"/>
      <c r="BZ171" s="4353"/>
      <c r="CA171" s="4353"/>
      <c r="CB171" s="4353"/>
      <c r="CC171" s="4353"/>
      <c r="CD171" s="4353"/>
      <c r="CE171" s="4353"/>
      <c r="CF171" s="4353"/>
      <c r="CG171" s="4353"/>
      <c r="CH171" s="4353"/>
      <c r="CI171" s="4353"/>
      <c r="CJ171" s="4354"/>
      <c r="CK171" s="2746"/>
      <c r="CL171" s="2746"/>
      <c r="CM171" s="2746"/>
      <c r="CN171" s="2746"/>
    </row>
    <row r="172" spans="1:92" ht="18.75" customHeight="1" x14ac:dyDescent="0.2">
      <c r="A172" s="5401" t="s">
        <v>525</v>
      </c>
      <c r="B172" s="5402" t="s">
        <v>3678</v>
      </c>
      <c r="C172" s="5403"/>
      <c r="D172" s="5403"/>
      <c r="E172" s="5403"/>
      <c r="F172" s="5403"/>
      <c r="G172" s="5403"/>
      <c r="H172" s="5403"/>
      <c r="I172" s="5403"/>
      <c r="J172" s="5403"/>
      <c r="K172" s="5403"/>
      <c r="L172" s="5403"/>
      <c r="M172" s="5403"/>
      <c r="N172" s="5403"/>
      <c r="O172" s="5403"/>
      <c r="P172" s="5404"/>
      <c r="Q172" s="5405" t="s">
        <v>3679</v>
      </c>
      <c r="R172" s="5406"/>
      <c r="S172" s="5406"/>
      <c r="T172" s="5406"/>
      <c r="U172" s="5406"/>
      <c r="V172" s="5406"/>
      <c r="W172" s="5406"/>
      <c r="X172" s="5406"/>
      <c r="Y172" s="5406"/>
      <c r="Z172" s="5406"/>
      <c r="AA172" s="5406"/>
      <c r="AB172" s="5406"/>
      <c r="AC172" s="5406"/>
      <c r="AD172" s="5407"/>
      <c r="AE172" s="5408"/>
      <c r="AF172" s="5409" t="s">
        <v>3680</v>
      </c>
      <c r="AG172" s="5410"/>
      <c r="AH172" s="5410"/>
      <c r="AI172" s="5410"/>
      <c r="AJ172" s="5410"/>
      <c r="AK172" s="5410"/>
      <c r="AL172" s="5410"/>
      <c r="AM172" s="5411"/>
      <c r="AN172" s="5412"/>
      <c r="AO172" s="5402" t="s">
        <v>3681</v>
      </c>
      <c r="AP172" s="5403"/>
      <c r="AQ172" s="5403"/>
      <c r="AR172" s="5403"/>
      <c r="AS172" s="5403"/>
      <c r="AT172" s="5403"/>
      <c r="AU172" s="5403"/>
      <c r="AV172" s="5403"/>
      <c r="AW172" s="5403"/>
      <c r="AX172" s="5403"/>
      <c r="AY172" s="5403"/>
      <c r="AZ172" s="5403"/>
      <c r="BA172" s="5403"/>
      <c r="BB172" s="5411"/>
      <c r="BC172" s="5412"/>
      <c r="BD172" s="5409" t="s">
        <v>3682</v>
      </c>
      <c r="BE172" s="5410"/>
      <c r="BF172" s="5410"/>
      <c r="BG172" s="5410"/>
      <c r="BH172" s="5410"/>
      <c r="BI172" s="5410"/>
      <c r="BJ172" s="5410"/>
      <c r="BK172" s="5411"/>
      <c r="BL172" s="5412"/>
      <c r="BM172" s="5414" t="s">
        <v>3683</v>
      </c>
      <c r="BN172" s="5415"/>
      <c r="BO172" s="5415"/>
      <c r="BP172" s="5415"/>
      <c r="BQ172" s="5415"/>
      <c r="BR172" s="5415"/>
      <c r="BS172" s="5415"/>
      <c r="BT172" s="5415"/>
      <c r="BU172" s="5415"/>
      <c r="BV172" s="5415"/>
      <c r="BW172" s="5415"/>
      <c r="BX172" s="5415"/>
      <c r="BY172" s="5415"/>
      <c r="BZ172" s="5214"/>
      <c r="CA172" s="5214"/>
      <c r="CB172" s="5409" t="s">
        <v>1991</v>
      </c>
      <c r="CC172" s="5410"/>
      <c r="CD172" s="5410"/>
      <c r="CE172" s="5410"/>
      <c r="CF172" s="5410"/>
      <c r="CG172" s="5410"/>
      <c r="CH172" s="5410"/>
      <c r="CI172" s="5416"/>
      <c r="CJ172" s="5417"/>
      <c r="CK172" s="2746"/>
      <c r="CL172" s="2746"/>
      <c r="CM172" s="2746"/>
      <c r="CN172" s="2746"/>
    </row>
    <row r="173" spans="1:92" ht="18.75" customHeight="1" x14ac:dyDescent="0.2">
      <c r="A173" s="5324"/>
      <c r="B173" s="5405" t="s">
        <v>3550</v>
      </c>
      <c r="C173" s="5406"/>
      <c r="D173" s="5418"/>
      <c r="E173" s="5414" t="s">
        <v>569</v>
      </c>
      <c r="F173" s="5415"/>
      <c r="G173" s="5419"/>
      <c r="H173" s="5414" t="s">
        <v>570</v>
      </c>
      <c r="I173" s="5415"/>
      <c r="J173" s="5419"/>
      <c r="K173" s="5414" t="s">
        <v>571</v>
      </c>
      <c r="L173" s="5415"/>
      <c r="M173" s="5419"/>
      <c r="N173" s="5405" t="s">
        <v>1674</v>
      </c>
      <c r="O173" s="5406"/>
      <c r="P173" s="5418"/>
      <c r="Q173" s="5405" t="s">
        <v>3550</v>
      </c>
      <c r="R173" s="5406"/>
      <c r="S173" s="5418"/>
      <c r="T173" s="5420" t="s">
        <v>3684</v>
      </c>
      <c r="U173" s="5421"/>
      <c r="V173" s="5422"/>
      <c r="W173" s="5420" t="s">
        <v>573</v>
      </c>
      <c r="X173" s="5421"/>
      <c r="Y173" s="5422"/>
      <c r="Z173" s="5420" t="s">
        <v>574</v>
      </c>
      <c r="AA173" s="5421"/>
      <c r="AB173" s="5422"/>
      <c r="AC173" s="5405" t="s">
        <v>1674</v>
      </c>
      <c r="AD173" s="5406"/>
      <c r="AE173" s="5418"/>
      <c r="AF173" s="5429" t="s">
        <v>3550</v>
      </c>
      <c r="AG173" s="5430"/>
      <c r="AH173" s="5431"/>
      <c r="AI173" s="5429" t="s">
        <v>1674</v>
      </c>
      <c r="AJ173" s="5430"/>
      <c r="AK173" s="5431"/>
      <c r="AL173" s="5429" t="s">
        <v>3685</v>
      </c>
      <c r="AM173" s="5430"/>
      <c r="AN173" s="5431"/>
      <c r="AO173" s="5423" t="s">
        <v>3550</v>
      </c>
      <c r="AP173" s="5424"/>
      <c r="AQ173" s="5425"/>
      <c r="AR173" s="5450" t="s">
        <v>575</v>
      </c>
      <c r="AS173" s="5451"/>
      <c r="AT173" s="5452"/>
      <c r="AU173" s="5450" t="s">
        <v>576</v>
      </c>
      <c r="AV173" s="5451"/>
      <c r="AW173" s="5452"/>
      <c r="AX173" s="5450" t="s">
        <v>577</v>
      </c>
      <c r="AY173" s="5451"/>
      <c r="AZ173" s="5452"/>
      <c r="BA173" s="5423" t="s">
        <v>1674</v>
      </c>
      <c r="BB173" s="5424"/>
      <c r="BC173" s="5425"/>
      <c r="BD173" s="5426" t="s">
        <v>3550</v>
      </c>
      <c r="BE173" s="5427"/>
      <c r="BF173" s="5428"/>
      <c r="BG173" s="5426" t="s">
        <v>1674</v>
      </c>
      <c r="BH173" s="5427"/>
      <c r="BI173" s="5428"/>
      <c r="BJ173" s="5426" t="s">
        <v>3685</v>
      </c>
      <c r="BK173" s="5427"/>
      <c r="BL173" s="5428"/>
      <c r="BM173" s="5441" t="s">
        <v>3550</v>
      </c>
      <c r="BN173" s="5442"/>
      <c r="BO173" s="5446"/>
      <c r="BP173" s="5447" t="s">
        <v>578</v>
      </c>
      <c r="BQ173" s="5448"/>
      <c r="BR173" s="5449"/>
      <c r="BS173" s="5447" t="s">
        <v>579</v>
      </c>
      <c r="BT173" s="5448"/>
      <c r="BU173" s="5449"/>
      <c r="BV173" s="5447" t="s">
        <v>580</v>
      </c>
      <c r="BW173" s="5448"/>
      <c r="BX173" s="5449"/>
      <c r="BY173" s="5441" t="s">
        <v>1674</v>
      </c>
      <c r="BZ173" s="5442"/>
      <c r="CA173" s="5442"/>
      <c r="CB173" s="5318" t="s">
        <v>3550</v>
      </c>
      <c r="CC173" s="5319"/>
      <c r="CD173" s="5320"/>
      <c r="CE173" s="5318" t="s">
        <v>1674</v>
      </c>
      <c r="CF173" s="5319"/>
      <c r="CG173" s="5320"/>
      <c r="CH173" s="5318" t="s">
        <v>3685</v>
      </c>
      <c r="CI173" s="5321"/>
      <c r="CJ173" s="5322"/>
      <c r="CK173" s="2746"/>
      <c r="CL173" s="2746"/>
      <c r="CM173" s="2746"/>
      <c r="CN173" s="2746"/>
    </row>
    <row r="174" spans="1:92" ht="18.75" customHeight="1" x14ac:dyDescent="0.2">
      <c r="A174" s="5324"/>
      <c r="B174" s="4308" t="s">
        <v>614</v>
      </c>
      <c r="C174" s="4308" t="s">
        <v>3686</v>
      </c>
      <c r="D174" s="4308" t="s">
        <v>3626</v>
      </c>
      <c r="E174" s="4308" t="s">
        <v>614</v>
      </c>
      <c r="F174" s="4308" t="s">
        <v>3686</v>
      </c>
      <c r="G174" s="4308" t="s">
        <v>3626</v>
      </c>
      <c r="H174" s="4308" t="s">
        <v>614</v>
      </c>
      <c r="I174" s="4308" t="s">
        <v>3686</v>
      </c>
      <c r="J174" s="4308" t="s">
        <v>3626</v>
      </c>
      <c r="K174" s="4308" t="s">
        <v>614</v>
      </c>
      <c r="L174" s="4308" t="s">
        <v>3686</v>
      </c>
      <c r="M174" s="4308" t="s">
        <v>3626</v>
      </c>
      <c r="N174" s="4308" t="s">
        <v>614</v>
      </c>
      <c r="O174" s="4308" t="s">
        <v>3686</v>
      </c>
      <c r="P174" s="4308" t="s">
        <v>3626</v>
      </c>
      <c r="Q174" s="4308" t="s">
        <v>614</v>
      </c>
      <c r="R174" s="4308" t="s">
        <v>3686</v>
      </c>
      <c r="S174" s="4308" t="s">
        <v>3626</v>
      </c>
      <c r="T174" s="4308" t="s">
        <v>614</v>
      </c>
      <c r="U174" s="4308" t="s">
        <v>3686</v>
      </c>
      <c r="V174" s="4308" t="s">
        <v>3626</v>
      </c>
      <c r="W174" s="4308" t="s">
        <v>614</v>
      </c>
      <c r="X174" s="4308" t="s">
        <v>3686</v>
      </c>
      <c r="Y174" s="4308" t="s">
        <v>3626</v>
      </c>
      <c r="Z174" s="4308" t="s">
        <v>614</v>
      </c>
      <c r="AA174" s="4308" t="s">
        <v>3686</v>
      </c>
      <c r="AB174" s="4308" t="s">
        <v>3626</v>
      </c>
      <c r="AC174" s="4308" t="s">
        <v>614</v>
      </c>
      <c r="AD174" s="4308" t="s">
        <v>3686</v>
      </c>
      <c r="AE174" s="4308" t="s">
        <v>3626</v>
      </c>
      <c r="AF174" s="4309" t="s">
        <v>614</v>
      </c>
      <c r="AG174" s="4309" t="s">
        <v>3686</v>
      </c>
      <c r="AH174" s="4309" t="s">
        <v>3626</v>
      </c>
      <c r="AI174" s="4309" t="s">
        <v>614</v>
      </c>
      <c r="AJ174" s="4309" t="s">
        <v>3686</v>
      </c>
      <c r="AK174" s="4309" t="s">
        <v>3626</v>
      </c>
      <c r="AL174" s="4309" t="s">
        <v>614</v>
      </c>
      <c r="AM174" s="4309" t="s">
        <v>3686</v>
      </c>
      <c r="AN174" s="4309" t="s">
        <v>3626</v>
      </c>
      <c r="AO174" s="4308" t="s">
        <v>614</v>
      </c>
      <c r="AP174" s="4308" t="s">
        <v>3686</v>
      </c>
      <c r="AQ174" s="4308" t="s">
        <v>3626</v>
      </c>
      <c r="AR174" s="4308" t="s">
        <v>614</v>
      </c>
      <c r="AS174" s="4308" t="s">
        <v>3686</v>
      </c>
      <c r="AT174" s="4308" t="s">
        <v>3626</v>
      </c>
      <c r="AU174" s="4308" t="s">
        <v>614</v>
      </c>
      <c r="AV174" s="4308" t="s">
        <v>3686</v>
      </c>
      <c r="AW174" s="4308" t="s">
        <v>3626</v>
      </c>
      <c r="AX174" s="4308" t="s">
        <v>614</v>
      </c>
      <c r="AY174" s="4308" t="s">
        <v>3686</v>
      </c>
      <c r="AZ174" s="4308" t="s">
        <v>3626</v>
      </c>
      <c r="BA174" s="4308" t="s">
        <v>614</v>
      </c>
      <c r="BB174" s="4308" t="s">
        <v>3686</v>
      </c>
      <c r="BC174" s="4308" t="s">
        <v>3626</v>
      </c>
      <c r="BD174" s="4309" t="s">
        <v>614</v>
      </c>
      <c r="BE174" s="4309" t="s">
        <v>3686</v>
      </c>
      <c r="BF174" s="4309" t="s">
        <v>3626</v>
      </c>
      <c r="BG174" s="4309" t="s">
        <v>614</v>
      </c>
      <c r="BH174" s="4309" t="s">
        <v>3686</v>
      </c>
      <c r="BI174" s="4309" t="s">
        <v>3626</v>
      </c>
      <c r="BJ174" s="4309" t="s">
        <v>614</v>
      </c>
      <c r="BK174" s="4309" t="s">
        <v>3686</v>
      </c>
      <c r="BL174" s="4309" t="s">
        <v>3626</v>
      </c>
      <c r="BM174" s="4308" t="s">
        <v>614</v>
      </c>
      <c r="BN174" s="4308" t="s">
        <v>3686</v>
      </c>
      <c r="BO174" s="4308" t="s">
        <v>3626</v>
      </c>
      <c r="BP174" s="4308" t="s">
        <v>614</v>
      </c>
      <c r="BQ174" s="4308" t="s">
        <v>3686</v>
      </c>
      <c r="BR174" s="4308" t="s">
        <v>3626</v>
      </c>
      <c r="BS174" s="4308" t="s">
        <v>614</v>
      </c>
      <c r="BT174" s="4308" t="s">
        <v>3686</v>
      </c>
      <c r="BU174" s="4308" t="s">
        <v>3626</v>
      </c>
      <c r="BV174" s="4308" t="s">
        <v>614</v>
      </c>
      <c r="BW174" s="4308" t="s">
        <v>3686</v>
      </c>
      <c r="BX174" s="4308" t="s">
        <v>3626</v>
      </c>
      <c r="BY174" s="4308" t="s">
        <v>614</v>
      </c>
      <c r="BZ174" s="4308" t="s">
        <v>3686</v>
      </c>
      <c r="CA174" s="4310" t="s">
        <v>3626</v>
      </c>
      <c r="CB174" s="4309" t="s">
        <v>614</v>
      </c>
      <c r="CC174" s="4309" t="s">
        <v>3686</v>
      </c>
      <c r="CD174" s="4309" t="s">
        <v>3626</v>
      </c>
      <c r="CE174" s="4309" t="s">
        <v>614</v>
      </c>
      <c r="CF174" s="4309" t="s">
        <v>3686</v>
      </c>
      <c r="CG174" s="4309" t="s">
        <v>3626</v>
      </c>
      <c r="CH174" s="4309" t="s">
        <v>614</v>
      </c>
      <c r="CI174" s="4309" t="s">
        <v>3686</v>
      </c>
      <c r="CJ174" s="4309" t="s">
        <v>3626</v>
      </c>
      <c r="CK174" s="2746"/>
      <c r="CL174" s="2746"/>
      <c r="CM174" s="2746"/>
      <c r="CN174" s="2746"/>
    </row>
    <row r="175" spans="1:92" ht="18.75" x14ac:dyDescent="0.2">
      <c r="A175" s="4311" t="s">
        <v>3687</v>
      </c>
      <c r="B175" s="4312">
        <f t="shared" ref="B175:AG175" si="941">SUM(B8)</f>
        <v>1518.16283305</v>
      </c>
      <c r="C175" s="4312">
        <f t="shared" si="941"/>
        <v>1517.8250830500001</v>
      </c>
      <c r="D175" s="4312">
        <f t="shared" si="941"/>
        <v>0.33774999999999999</v>
      </c>
      <c r="E175" s="3026">
        <f t="shared" si="941"/>
        <v>376.63799999999998</v>
      </c>
      <c r="F175" s="3026">
        <f t="shared" si="941"/>
        <v>376.63799999999998</v>
      </c>
      <c r="G175" s="3026">
        <f t="shared" si="941"/>
        <v>0</v>
      </c>
      <c r="H175" s="3026">
        <f t="shared" si="941"/>
        <v>432.59500000000003</v>
      </c>
      <c r="I175" s="3026">
        <f t="shared" si="941"/>
        <v>432.59500000000003</v>
      </c>
      <c r="J175" s="3026">
        <f t="shared" si="941"/>
        <v>0</v>
      </c>
      <c r="K175" s="3026">
        <f t="shared" si="941"/>
        <v>471.726</v>
      </c>
      <c r="L175" s="3026">
        <f t="shared" si="941"/>
        <v>471.726</v>
      </c>
      <c r="M175" s="3026">
        <f t="shared" si="941"/>
        <v>0</v>
      </c>
      <c r="N175" s="3026">
        <f t="shared" si="941"/>
        <v>1280.9589999999998</v>
      </c>
      <c r="O175" s="3026">
        <f t="shared" si="941"/>
        <v>1280.9589999999998</v>
      </c>
      <c r="P175" s="3026">
        <f t="shared" si="941"/>
        <v>0</v>
      </c>
      <c r="Q175" s="4312">
        <f t="shared" si="941"/>
        <v>1518.16283305</v>
      </c>
      <c r="R175" s="4312">
        <f t="shared" si="941"/>
        <v>1517.8250830500001</v>
      </c>
      <c r="S175" s="4312">
        <f t="shared" si="941"/>
        <v>0.33774999999999999</v>
      </c>
      <c r="T175" s="3026">
        <f t="shared" si="941"/>
        <v>542.70899999999995</v>
      </c>
      <c r="U175" s="3026">
        <f t="shared" si="941"/>
        <v>542.70899999999995</v>
      </c>
      <c r="V175" s="3026">
        <f t="shared" si="941"/>
        <v>0</v>
      </c>
      <c r="W175" s="3026">
        <f t="shared" si="941"/>
        <v>615.37199999999996</v>
      </c>
      <c r="X175" s="3026">
        <f t="shared" si="941"/>
        <v>615.37199999999996</v>
      </c>
      <c r="Y175" s="3026">
        <f t="shared" si="941"/>
        <v>0</v>
      </c>
      <c r="Z175" s="3026">
        <f t="shared" si="941"/>
        <v>517.89200000000005</v>
      </c>
      <c r="AA175" s="3026">
        <f t="shared" si="941"/>
        <v>517.89200000000005</v>
      </c>
      <c r="AB175" s="3026">
        <f t="shared" si="941"/>
        <v>0</v>
      </c>
      <c r="AC175" s="3026">
        <f t="shared" si="941"/>
        <v>1675.973</v>
      </c>
      <c r="AD175" s="3026">
        <f t="shared" si="941"/>
        <v>1675.973</v>
      </c>
      <c r="AE175" s="3026">
        <f t="shared" si="941"/>
        <v>0</v>
      </c>
      <c r="AF175" s="4313">
        <f t="shared" si="941"/>
        <v>3036.3256661</v>
      </c>
      <c r="AG175" s="4313">
        <f t="shared" si="941"/>
        <v>3035.6501661000002</v>
      </c>
      <c r="AH175" s="4313">
        <f t="shared" ref="AH175:BM175" si="942">SUM(AH8)</f>
        <v>0.67549999999999999</v>
      </c>
      <c r="AI175" s="4314">
        <f t="shared" si="942"/>
        <v>2956.9319999999998</v>
      </c>
      <c r="AJ175" s="4314">
        <f t="shared" si="942"/>
        <v>2956.9319999999998</v>
      </c>
      <c r="AK175" s="4314">
        <f t="shared" si="942"/>
        <v>0</v>
      </c>
      <c r="AL175" s="4314">
        <f t="shared" si="942"/>
        <v>-79.393666100000416</v>
      </c>
      <c r="AM175" s="4314">
        <f t="shared" si="942"/>
        <v>-78.718166100000417</v>
      </c>
      <c r="AN175" s="4314">
        <f t="shared" si="942"/>
        <v>-0.67549999999999999</v>
      </c>
      <c r="AO175" s="4312">
        <f t="shared" si="942"/>
        <v>1518.16283305</v>
      </c>
      <c r="AP175" s="4312">
        <f t="shared" si="942"/>
        <v>1517.8250830500001</v>
      </c>
      <c r="AQ175" s="4312">
        <f t="shared" si="942"/>
        <v>0.33774999999999999</v>
      </c>
      <c r="AR175" s="3026">
        <f t="shared" si="942"/>
        <v>526.93100000000004</v>
      </c>
      <c r="AS175" s="3026">
        <f t="shared" si="942"/>
        <v>526.93100000000004</v>
      </c>
      <c r="AT175" s="3026">
        <f t="shared" si="942"/>
        <v>0</v>
      </c>
      <c r="AU175" s="3026">
        <f t="shared" si="942"/>
        <v>0</v>
      </c>
      <c r="AV175" s="3026">
        <f t="shared" si="942"/>
        <v>0</v>
      </c>
      <c r="AW175" s="3026">
        <f t="shared" si="942"/>
        <v>0</v>
      </c>
      <c r="AX175" s="3026">
        <f t="shared" si="942"/>
        <v>0</v>
      </c>
      <c r="AY175" s="3026">
        <f t="shared" si="942"/>
        <v>0</v>
      </c>
      <c r="AZ175" s="3026">
        <f t="shared" si="942"/>
        <v>0</v>
      </c>
      <c r="BA175" s="3026">
        <f t="shared" si="942"/>
        <v>526.93100000000004</v>
      </c>
      <c r="BB175" s="3026">
        <f t="shared" si="942"/>
        <v>526.93100000000004</v>
      </c>
      <c r="BC175" s="3026">
        <f t="shared" si="942"/>
        <v>0</v>
      </c>
      <c r="BD175" s="4313">
        <f t="shared" si="942"/>
        <v>4554.4884991500003</v>
      </c>
      <c r="BE175" s="4313">
        <f t="shared" si="942"/>
        <v>4553.4752491500003</v>
      </c>
      <c r="BF175" s="4313">
        <f t="shared" si="942"/>
        <v>1.01325</v>
      </c>
      <c r="BG175" s="4314">
        <f t="shared" si="942"/>
        <v>3483.8629999999998</v>
      </c>
      <c r="BH175" s="4314">
        <f t="shared" si="942"/>
        <v>3483.8629999999998</v>
      </c>
      <c r="BI175" s="4314">
        <f t="shared" si="942"/>
        <v>0</v>
      </c>
      <c r="BJ175" s="4314">
        <f t="shared" si="942"/>
        <v>-1070.6254991500005</v>
      </c>
      <c r="BK175" s="4314">
        <f t="shared" si="942"/>
        <v>-1069.6122491500005</v>
      </c>
      <c r="BL175" s="4314">
        <f t="shared" si="942"/>
        <v>-1.01325</v>
      </c>
      <c r="BM175" s="4312">
        <f t="shared" si="942"/>
        <v>1518.16283305</v>
      </c>
      <c r="BN175" s="4312">
        <f t="shared" ref="BN175:CJ175" si="943">SUM(BN8)</f>
        <v>1517.8250830500001</v>
      </c>
      <c r="BO175" s="4312">
        <f t="shared" si="943"/>
        <v>0.33774999999999999</v>
      </c>
      <c r="BP175" s="3026">
        <f t="shared" si="943"/>
        <v>0</v>
      </c>
      <c r="BQ175" s="3026">
        <f t="shared" si="943"/>
        <v>0</v>
      </c>
      <c r="BR175" s="3026">
        <f t="shared" si="943"/>
        <v>0</v>
      </c>
      <c r="BS175" s="3026">
        <f t="shared" si="943"/>
        <v>0</v>
      </c>
      <c r="BT175" s="3026">
        <f t="shared" si="943"/>
        <v>0</v>
      </c>
      <c r="BU175" s="3026">
        <f t="shared" si="943"/>
        <v>0</v>
      </c>
      <c r="BV175" s="3026">
        <f t="shared" si="943"/>
        <v>0</v>
      </c>
      <c r="BW175" s="3026">
        <f t="shared" si="943"/>
        <v>0</v>
      </c>
      <c r="BX175" s="3026">
        <f t="shared" si="943"/>
        <v>0</v>
      </c>
      <c r="BY175" s="3026">
        <f t="shared" si="943"/>
        <v>0</v>
      </c>
      <c r="BZ175" s="3026">
        <f t="shared" si="943"/>
        <v>0</v>
      </c>
      <c r="CA175" s="3026">
        <f t="shared" si="943"/>
        <v>0</v>
      </c>
      <c r="CB175" s="4313">
        <f t="shared" si="943"/>
        <v>6072.6513322000001</v>
      </c>
      <c r="CC175" s="4313">
        <f t="shared" si="943"/>
        <v>6071.3003322000004</v>
      </c>
      <c r="CD175" s="4313">
        <f t="shared" si="943"/>
        <v>1.351</v>
      </c>
      <c r="CE175" s="4314">
        <f t="shared" si="943"/>
        <v>3483.8629999999998</v>
      </c>
      <c r="CF175" s="4314">
        <f t="shared" si="943"/>
        <v>3483.8629999999998</v>
      </c>
      <c r="CG175" s="4314">
        <f t="shared" si="943"/>
        <v>0</v>
      </c>
      <c r="CH175" s="4314">
        <f t="shared" si="943"/>
        <v>-2588.7883322000007</v>
      </c>
      <c r="CI175" s="4314">
        <f t="shared" si="943"/>
        <v>-2587.4373322000006</v>
      </c>
      <c r="CJ175" s="4314">
        <f t="shared" si="943"/>
        <v>-1.351</v>
      </c>
      <c r="CK175" s="2746"/>
      <c r="CL175" s="2746"/>
      <c r="CM175" s="2746"/>
      <c r="CN175" s="2746"/>
    </row>
    <row r="176" spans="1:92" ht="18.75" x14ac:dyDescent="0.2">
      <c r="A176" s="4315" t="s">
        <v>20</v>
      </c>
      <c r="B176" s="4317">
        <f t="shared" ref="B176:AG176" si="944">SUM(B9)</f>
        <v>289.90459086235001</v>
      </c>
      <c r="C176" s="4317">
        <f t="shared" si="944"/>
        <v>289.90459086235001</v>
      </c>
      <c r="D176" s="4317">
        <f t="shared" si="944"/>
        <v>0</v>
      </c>
      <c r="E176" s="4316">
        <f t="shared" si="944"/>
        <v>27.5943</v>
      </c>
      <c r="F176" s="4316">
        <f t="shared" si="944"/>
        <v>27.5943</v>
      </c>
      <c r="G176" s="4316">
        <f t="shared" si="944"/>
        <v>0</v>
      </c>
      <c r="H176" s="4316">
        <f t="shared" si="944"/>
        <v>29.157299999999999</v>
      </c>
      <c r="I176" s="4316">
        <f t="shared" si="944"/>
        <v>29.157299999999999</v>
      </c>
      <c r="J176" s="4316">
        <f t="shared" si="944"/>
        <v>0</v>
      </c>
      <c r="K176" s="4316">
        <f t="shared" si="944"/>
        <v>28.397300000000001</v>
      </c>
      <c r="L176" s="4316">
        <f t="shared" si="944"/>
        <v>28.397300000000001</v>
      </c>
      <c r="M176" s="4316">
        <f t="shared" si="944"/>
        <v>0</v>
      </c>
      <c r="N176" s="4316">
        <f t="shared" si="944"/>
        <v>85.148899999999998</v>
      </c>
      <c r="O176" s="4316">
        <f t="shared" si="944"/>
        <v>85.148899999999998</v>
      </c>
      <c r="P176" s="4316">
        <f t="shared" si="944"/>
        <v>0</v>
      </c>
      <c r="Q176" s="4317">
        <f t="shared" si="944"/>
        <v>289.90459086235001</v>
      </c>
      <c r="R176" s="4317">
        <f t="shared" si="944"/>
        <v>289.90459086235001</v>
      </c>
      <c r="S176" s="4317">
        <f t="shared" si="944"/>
        <v>0</v>
      </c>
      <c r="T176" s="4316">
        <f t="shared" si="944"/>
        <v>80.659300000000002</v>
      </c>
      <c r="U176" s="4316">
        <f t="shared" si="944"/>
        <v>80.659300000000002</v>
      </c>
      <c r="V176" s="4316">
        <f t="shared" si="944"/>
        <v>0</v>
      </c>
      <c r="W176" s="4316">
        <f t="shared" si="944"/>
        <v>106.3943</v>
      </c>
      <c r="X176" s="4316">
        <f t="shared" si="944"/>
        <v>106.3943</v>
      </c>
      <c r="Y176" s="4316">
        <f t="shared" si="944"/>
        <v>0</v>
      </c>
      <c r="Z176" s="4316">
        <f t="shared" si="944"/>
        <v>62.41733</v>
      </c>
      <c r="AA176" s="4316">
        <f t="shared" si="944"/>
        <v>62.41733</v>
      </c>
      <c r="AB176" s="4316">
        <f t="shared" si="944"/>
        <v>0</v>
      </c>
      <c r="AC176" s="4316">
        <f t="shared" si="944"/>
        <v>249.47093000000001</v>
      </c>
      <c r="AD176" s="4316">
        <f t="shared" si="944"/>
        <v>249.47093000000001</v>
      </c>
      <c r="AE176" s="4316">
        <f t="shared" si="944"/>
        <v>0</v>
      </c>
      <c r="AF176" s="4318">
        <f t="shared" si="944"/>
        <v>579.80918172470001</v>
      </c>
      <c r="AG176" s="4318">
        <f t="shared" si="944"/>
        <v>579.80918172470001</v>
      </c>
      <c r="AH176" s="4318">
        <f t="shared" ref="AH176:BM176" si="945">SUM(AH9)</f>
        <v>0</v>
      </c>
      <c r="AI176" s="4319">
        <f t="shared" si="945"/>
        <v>334.61982999999998</v>
      </c>
      <c r="AJ176" s="4319">
        <f t="shared" si="945"/>
        <v>334.61982999999998</v>
      </c>
      <c r="AK176" s="4319">
        <f t="shared" si="945"/>
        <v>0</v>
      </c>
      <c r="AL176" s="4319">
        <f t="shared" si="945"/>
        <v>-245.18935172470003</v>
      </c>
      <c r="AM176" s="4319">
        <f t="shared" si="945"/>
        <v>-245.18935172470003</v>
      </c>
      <c r="AN176" s="4319">
        <f t="shared" si="945"/>
        <v>0</v>
      </c>
      <c r="AO176" s="4317">
        <f t="shared" si="945"/>
        <v>289.90459086235001</v>
      </c>
      <c r="AP176" s="4317">
        <f t="shared" si="945"/>
        <v>289.90459086235001</v>
      </c>
      <c r="AQ176" s="4317">
        <f t="shared" si="945"/>
        <v>0</v>
      </c>
      <c r="AR176" s="4316">
        <f t="shared" si="945"/>
        <v>106.84529999999999</v>
      </c>
      <c r="AS176" s="4316">
        <f t="shared" si="945"/>
        <v>106.84529999999999</v>
      </c>
      <c r="AT176" s="4316">
        <f t="shared" si="945"/>
        <v>0</v>
      </c>
      <c r="AU176" s="4316">
        <f t="shared" si="945"/>
        <v>0</v>
      </c>
      <c r="AV176" s="4316">
        <f t="shared" si="945"/>
        <v>0</v>
      </c>
      <c r="AW176" s="4316">
        <f t="shared" si="945"/>
        <v>0</v>
      </c>
      <c r="AX176" s="4316">
        <f t="shared" si="945"/>
        <v>0</v>
      </c>
      <c r="AY176" s="4316">
        <f t="shared" si="945"/>
        <v>0</v>
      </c>
      <c r="AZ176" s="4316">
        <f t="shared" si="945"/>
        <v>0</v>
      </c>
      <c r="BA176" s="4316">
        <f t="shared" si="945"/>
        <v>106.84529999999999</v>
      </c>
      <c r="BB176" s="4316">
        <f t="shared" si="945"/>
        <v>106.84529999999999</v>
      </c>
      <c r="BC176" s="4316">
        <f t="shared" si="945"/>
        <v>0</v>
      </c>
      <c r="BD176" s="4318">
        <f t="shared" si="945"/>
        <v>869.71377258705002</v>
      </c>
      <c r="BE176" s="4318">
        <f t="shared" si="945"/>
        <v>869.71377258705002</v>
      </c>
      <c r="BF176" s="4318">
        <f t="shared" si="945"/>
        <v>0</v>
      </c>
      <c r="BG176" s="4319">
        <f t="shared" si="945"/>
        <v>441.46512999999999</v>
      </c>
      <c r="BH176" s="4319">
        <f t="shared" si="945"/>
        <v>441.46512999999999</v>
      </c>
      <c r="BI176" s="4319">
        <f t="shared" si="945"/>
        <v>0</v>
      </c>
      <c r="BJ176" s="4319">
        <f t="shared" si="945"/>
        <v>-428.24864258705003</v>
      </c>
      <c r="BK176" s="4319">
        <f t="shared" si="945"/>
        <v>-428.24864258705003</v>
      </c>
      <c r="BL176" s="4319">
        <f t="shared" si="945"/>
        <v>0</v>
      </c>
      <c r="BM176" s="4317">
        <f t="shared" si="945"/>
        <v>289.90459086235001</v>
      </c>
      <c r="BN176" s="4317">
        <f t="shared" ref="BN176:CJ176" si="946">SUM(BN9)</f>
        <v>289.90459086235001</v>
      </c>
      <c r="BO176" s="4317">
        <f t="shared" si="946"/>
        <v>0</v>
      </c>
      <c r="BP176" s="4316">
        <f t="shared" si="946"/>
        <v>0</v>
      </c>
      <c r="BQ176" s="4316">
        <f t="shared" si="946"/>
        <v>0</v>
      </c>
      <c r="BR176" s="4316">
        <f t="shared" si="946"/>
        <v>0</v>
      </c>
      <c r="BS176" s="4316">
        <f t="shared" si="946"/>
        <v>0</v>
      </c>
      <c r="BT176" s="4316">
        <f t="shared" si="946"/>
        <v>0</v>
      </c>
      <c r="BU176" s="4316">
        <f t="shared" si="946"/>
        <v>0</v>
      </c>
      <c r="BV176" s="4316">
        <f t="shared" si="946"/>
        <v>0</v>
      </c>
      <c r="BW176" s="4316">
        <f t="shared" si="946"/>
        <v>0</v>
      </c>
      <c r="BX176" s="4316">
        <f t="shared" si="946"/>
        <v>0</v>
      </c>
      <c r="BY176" s="4316">
        <f t="shared" si="946"/>
        <v>0</v>
      </c>
      <c r="BZ176" s="4316">
        <f t="shared" si="946"/>
        <v>0</v>
      </c>
      <c r="CA176" s="4316">
        <f t="shared" si="946"/>
        <v>0</v>
      </c>
      <c r="CB176" s="4318">
        <f t="shared" si="946"/>
        <v>1159.6183634494</v>
      </c>
      <c r="CC176" s="4318">
        <f t="shared" si="946"/>
        <v>1159.6183634494</v>
      </c>
      <c r="CD176" s="4318">
        <f t="shared" si="946"/>
        <v>0</v>
      </c>
      <c r="CE176" s="4319">
        <f t="shared" si="946"/>
        <v>441.46512999999999</v>
      </c>
      <c r="CF176" s="4319">
        <f t="shared" si="946"/>
        <v>441.46512999999999</v>
      </c>
      <c r="CG176" s="4319">
        <f t="shared" si="946"/>
        <v>0</v>
      </c>
      <c r="CH176" s="4319">
        <f t="shared" si="946"/>
        <v>-718.15323344939998</v>
      </c>
      <c r="CI176" s="4319">
        <f t="shared" si="946"/>
        <v>-718.15323344939998</v>
      </c>
      <c r="CJ176" s="4319">
        <f t="shared" si="946"/>
        <v>0</v>
      </c>
      <c r="CK176" s="2746"/>
      <c r="CL176" s="2746"/>
      <c r="CM176" s="2746"/>
      <c r="CN176" s="2746"/>
    </row>
    <row r="177" spans="1:92" ht="18.75" x14ac:dyDescent="0.2">
      <c r="A177" s="4320" t="s">
        <v>371</v>
      </c>
      <c r="B177" s="4321">
        <f>SUM(B176/B175)</f>
        <v>0.19095750768705727</v>
      </c>
      <c r="C177" s="4321">
        <f t="shared" ref="C177:AK177" si="947">SUM(C176/C175)</f>
        <v>0.19099999999986822</v>
      </c>
      <c r="D177" s="4321">
        <f t="shared" si="947"/>
        <v>0</v>
      </c>
      <c r="E177" s="4321">
        <f t="shared" si="947"/>
        <v>7.326477944339127E-2</v>
      </c>
      <c r="F177" s="4321">
        <f t="shared" si="947"/>
        <v>7.326477944339127E-2</v>
      </c>
      <c r="G177" s="4321" t="e">
        <f t="shared" si="947"/>
        <v>#DIV/0!</v>
      </c>
      <c r="H177" s="4321">
        <f t="shared" si="947"/>
        <v>6.7400917717495568E-2</v>
      </c>
      <c r="I177" s="4321">
        <f t="shared" si="947"/>
        <v>6.7400917717495568E-2</v>
      </c>
      <c r="J177" s="4321" t="e">
        <f t="shared" si="947"/>
        <v>#DIV/0!</v>
      </c>
      <c r="K177" s="4321">
        <f t="shared" si="947"/>
        <v>6.01987170518479E-2</v>
      </c>
      <c r="L177" s="4321">
        <f t="shared" si="947"/>
        <v>6.01987170518479E-2</v>
      </c>
      <c r="M177" s="4321" t="e">
        <f t="shared" si="947"/>
        <v>#DIV/0!</v>
      </c>
      <c r="N177" s="4321">
        <f t="shared" si="947"/>
        <v>6.6472775475249407E-2</v>
      </c>
      <c r="O177" s="4321">
        <f t="shared" si="947"/>
        <v>6.6472775475249407E-2</v>
      </c>
      <c r="P177" s="4321" t="e">
        <f t="shared" si="947"/>
        <v>#DIV/0!</v>
      </c>
      <c r="Q177" s="4321">
        <f t="shared" si="947"/>
        <v>0.19095750768705727</v>
      </c>
      <c r="R177" s="4321">
        <f t="shared" si="947"/>
        <v>0.19099999999986822</v>
      </c>
      <c r="S177" s="4321">
        <f t="shared" si="947"/>
        <v>0</v>
      </c>
      <c r="T177" s="4321">
        <f t="shared" si="947"/>
        <v>0.14862347961799049</v>
      </c>
      <c r="U177" s="4321">
        <f t="shared" si="947"/>
        <v>0.14862347961799049</v>
      </c>
      <c r="V177" s="4321" t="e">
        <f t="shared" si="947"/>
        <v>#DIV/0!</v>
      </c>
      <c r="W177" s="4321">
        <f t="shared" si="947"/>
        <v>0.17289428183277758</v>
      </c>
      <c r="X177" s="4321">
        <f t="shared" si="947"/>
        <v>0.17289428183277758</v>
      </c>
      <c r="Y177" s="4321" t="e">
        <f t="shared" si="947"/>
        <v>#DIV/0!</v>
      </c>
      <c r="Z177" s="4321">
        <f t="shared" si="947"/>
        <v>0.12052190418079443</v>
      </c>
      <c r="AA177" s="4321">
        <f t="shared" si="947"/>
        <v>0.12052190418079443</v>
      </c>
      <c r="AB177" s="4321" t="e">
        <f t="shared" si="947"/>
        <v>#DIV/0!</v>
      </c>
      <c r="AC177" s="4321">
        <f t="shared" si="947"/>
        <v>0.14885140154405829</v>
      </c>
      <c r="AD177" s="4321">
        <f t="shared" si="947"/>
        <v>0.14885140154405829</v>
      </c>
      <c r="AE177" s="4321" t="e">
        <f t="shared" si="947"/>
        <v>#DIV/0!</v>
      </c>
      <c r="AF177" s="4322">
        <f t="shared" si="947"/>
        <v>0.19095750768705727</v>
      </c>
      <c r="AG177" s="4322">
        <f t="shared" si="947"/>
        <v>0.19099999999986822</v>
      </c>
      <c r="AH177" s="4322">
        <f t="shared" si="947"/>
        <v>0</v>
      </c>
      <c r="AI177" s="4322">
        <f t="shared" si="947"/>
        <v>0.11316453337445705</v>
      </c>
      <c r="AJ177" s="4322">
        <f t="shared" si="947"/>
        <v>0.11316453337445705</v>
      </c>
      <c r="AK177" s="4322" t="e">
        <f t="shared" si="947"/>
        <v>#DIV/0!</v>
      </c>
      <c r="AL177" s="4323">
        <f t="shared" ref="AL177:AN182" si="948">SUM(AL10)</f>
        <v>-7.7792974312600224E-2</v>
      </c>
      <c r="AM177" s="4323">
        <f t="shared" si="948"/>
        <v>-7.7835466625411173E-2</v>
      </c>
      <c r="AN177" s="4323" t="e">
        <f t="shared" si="948"/>
        <v>#DIV/0!</v>
      </c>
      <c r="AO177" s="4321">
        <f t="shared" ref="AO177:BI177" si="949">SUM(AO176/AO175)</f>
        <v>0.19095750768705727</v>
      </c>
      <c r="AP177" s="4321">
        <f t="shared" si="949"/>
        <v>0.19099999999986822</v>
      </c>
      <c r="AQ177" s="4321">
        <f t="shared" si="949"/>
        <v>0</v>
      </c>
      <c r="AR177" s="4321">
        <f t="shared" si="949"/>
        <v>0.20276905325365177</v>
      </c>
      <c r="AS177" s="4321">
        <f t="shared" si="949"/>
        <v>0.20276905325365177</v>
      </c>
      <c r="AT177" s="4321" t="e">
        <f t="shared" si="949"/>
        <v>#DIV/0!</v>
      </c>
      <c r="AU177" s="4321" t="e">
        <f t="shared" si="949"/>
        <v>#DIV/0!</v>
      </c>
      <c r="AV177" s="4321" t="e">
        <f t="shared" si="949"/>
        <v>#DIV/0!</v>
      </c>
      <c r="AW177" s="4321" t="e">
        <f t="shared" si="949"/>
        <v>#DIV/0!</v>
      </c>
      <c r="AX177" s="4321" t="e">
        <f t="shared" si="949"/>
        <v>#DIV/0!</v>
      </c>
      <c r="AY177" s="4321" t="e">
        <f t="shared" si="949"/>
        <v>#DIV/0!</v>
      </c>
      <c r="AZ177" s="4321" t="e">
        <f t="shared" si="949"/>
        <v>#DIV/0!</v>
      </c>
      <c r="BA177" s="4321">
        <f t="shared" si="949"/>
        <v>0.20276905325365177</v>
      </c>
      <c r="BB177" s="4321">
        <f t="shared" si="949"/>
        <v>0.20276905325365177</v>
      </c>
      <c r="BC177" s="4321" t="e">
        <f t="shared" si="949"/>
        <v>#DIV/0!</v>
      </c>
      <c r="BD177" s="4322">
        <f t="shared" si="949"/>
        <v>0.19095750768705724</v>
      </c>
      <c r="BE177" s="4322">
        <f t="shared" si="949"/>
        <v>0.19099999999986822</v>
      </c>
      <c r="BF177" s="4322">
        <f t="shared" si="949"/>
        <v>0</v>
      </c>
      <c r="BG177" s="4322">
        <f t="shared" si="949"/>
        <v>0.12671713267714604</v>
      </c>
      <c r="BH177" s="4322">
        <f t="shared" si="949"/>
        <v>0.12671713267714604</v>
      </c>
      <c r="BI177" s="4322" t="e">
        <f t="shared" si="949"/>
        <v>#DIV/0!</v>
      </c>
      <c r="BJ177" s="4323">
        <f t="shared" ref="BJ177:BL182" si="950">SUM(BJ10)</f>
        <v>-6.4240375009911199E-2</v>
      </c>
      <c r="BK177" s="4323">
        <f t="shared" si="950"/>
        <v>-6.4282867322722176E-2</v>
      </c>
      <c r="BL177" s="4323" t="e">
        <f t="shared" si="950"/>
        <v>#DIV/0!</v>
      </c>
      <c r="BM177" s="4321">
        <f t="shared" ref="BM177:CJ177" si="951">SUM(BM176/BM175)</f>
        <v>0.19095750768705727</v>
      </c>
      <c r="BN177" s="4321">
        <f t="shared" si="951"/>
        <v>0.19099999999986822</v>
      </c>
      <c r="BO177" s="4321">
        <f t="shared" si="951"/>
        <v>0</v>
      </c>
      <c r="BP177" s="4321" t="e">
        <f t="shared" si="951"/>
        <v>#DIV/0!</v>
      </c>
      <c r="BQ177" s="4321" t="e">
        <f t="shared" si="951"/>
        <v>#DIV/0!</v>
      </c>
      <c r="BR177" s="4321" t="e">
        <f t="shared" si="951"/>
        <v>#DIV/0!</v>
      </c>
      <c r="BS177" s="4321" t="e">
        <f t="shared" si="951"/>
        <v>#DIV/0!</v>
      </c>
      <c r="BT177" s="4321" t="e">
        <f t="shared" si="951"/>
        <v>#DIV/0!</v>
      </c>
      <c r="BU177" s="4321" t="e">
        <f t="shared" si="951"/>
        <v>#DIV/0!</v>
      </c>
      <c r="BV177" s="4321" t="e">
        <f t="shared" si="951"/>
        <v>#DIV/0!</v>
      </c>
      <c r="BW177" s="4321" t="e">
        <f t="shared" si="951"/>
        <v>#DIV/0!</v>
      </c>
      <c r="BX177" s="4321" t="e">
        <f t="shared" si="951"/>
        <v>#DIV/0!</v>
      </c>
      <c r="BY177" s="4321" t="e">
        <f t="shared" si="951"/>
        <v>#DIV/0!</v>
      </c>
      <c r="BZ177" s="4321" t="e">
        <f t="shared" si="951"/>
        <v>#DIV/0!</v>
      </c>
      <c r="CA177" s="4321" t="e">
        <f t="shared" si="951"/>
        <v>#DIV/0!</v>
      </c>
      <c r="CB177" s="4322">
        <f t="shared" si="951"/>
        <v>0.19095750768705727</v>
      </c>
      <c r="CC177" s="4322">
        <f t="shared" si="951"/>
        <v>0.19099999999986822</v>
      </c>
      <c r="CD177" s="4322">
        <f t="shared" si="951"/>
        <v>0</v>
      </c>
      <c r="CE177" s="4322">
        <f t="shared" ref="CE177:CG179" si="952">SUM(CE10)</f>
        <v>0.12671713267714604</v>
      </c>
      <c r="CF177" s="4322">
        <f t="shared" si="952"/>
        <v>0.12671713267714604</v>
      </c>
      <c r="CG177" s="4322" t="e">
        <f t="shared" si="952"/>
        <v>#DIV/0!</v>
      </c>
      <c r="CH177" s="4322">
        <f t="shared" si="951"/>
        <v>0.27740901970115878</v>
      </c>
      <c r="CI177" s="4322">
        <f t="shared" si="951"/>
        <v>0.27755386556117334</v>
      </c>
      <c r="CJ177" s="4322">
        <f t="shared" si="951"/>
        <v>0</v>
      </c>
      <c r="CK177" s="2746"/>
      <c r="CL177" s="2746"/>
      <c r="CM177" s="2746"/>
      <c r="CN177" s="2746"/>
    </row>
    <row r="178" spans="1:92" ht="18.75" x14ac:dyDescent="0.2">
      <c r="A178" s="4311" t="s">
        <v>3688</v>
      </c>
      <c r="B178" s="4312">
        <f t="shared" ref="B178:AK178" si="953">SUM(B11)</f>
        <v>1228.25824218765</v>
      </c>
      <c r="C178" s="4312">
        <f t="shared" si="953"/>
        <v>1227.9204921876501</v>
      </c>
      <c r="D178" s="4312">
        <f t="shared" si="953"/>
        <v>0.33774999999999999</v>
      </c>
      <c r="E178" s="3026">
        <f t="shared" si="953"/>
        <v>349.0437</v>
      </c>
      <c r="F178" s="3026">
        <f t="shared" si="953"/>
        <v>349.0437</v>
      </c>
      <c r="G178" s="3026">
        <f t="shared" si="953"/>
        <v>0</v>
      </c>
      <c r="H178" s="3026">
        <f t="shared" si="953"/>
        <v>403.43770000000001</v>
      </c>
      <c r="I178" s="3026">
        <f t="shared" si="953"/>
        <v>403.43770000000001</v>
      </c>
      <c r="J178" s="3026">
        <f t="shared" si="953"/>
        <v>0</v>
      </c>
      <c r="K178" s="3026">
        <f t="shared" si="953"/>
        <v>443.32870000000003</v>
      </c>
      <c r="L178" s="3026">
        <f t="shared" si="953"/>
        <v>443.32870000000003</v>
      </c>
      <c r="M178" s="3026">
        <f t="shared" si="953"/>
        <v>0</v>
      </c>
      <c r="N178" s="3026">
        <f t="shared" si="953"/>
        <v>1195.8100999999999</v>
      </c>
      <c r="O178" s="3026">
        <f t="shared" si="953"/>
        <v>1195.8100999999999</v>
      </c>
      <c r="P178" s="3026">
        <f t="shared" si="953"/>
        <v>0</v>
      </c>
      <c r="Q178" s="4312">
        <f t="shared" si="953"/>
        <v>1228.25824218765</v>
      </c>
      <c r="R178" s="4312">
        <f t="shared" si="953"/>
        <v>1227.9204921876501</v>
      </c>
      <c r="S178" s="4312">
        <f t="shared" si="953"/>
        <v>0.33774999999999999</v>
      </c>
      <c r="T178" s="3026">
        <f t="shared" si="953"/>
        <v>462.04969999999992</v>
      </c>
      <c r="U178" s="3026">
        <f t="shared" si="953"/>
        <v>462.04969999999992</v>
      </c>
      <c r="V178" s="3026">
        <f t="shared" si="953"/>
        <v>0</v>
      </c>
      <c r="W178" s="3026">
        <f t="shared" si="953"/>
        <v>508.97769999999997</v>
      </c>
      <c r="X178" s="3026">
        <f t="shared" si="953"/>
        <v>508.97769999999997</v>
      </c>
      <c r="Y178" s="3026">
        <f t="shared" si="953"/>
        <v>0</v>
      </c>
      <c r="Z178" s="3026">
        <f t="shared" si="953"/>
        <v>455.47467000000006</v>
      </c>
      <c r="AA178" s="3026">
        <f t="shared" si="953"/>
        <v>455.47467000000006</v>
      </c>
      <c r="AB178" s="3026">
        <f t="shared" si="953"/>
        <v>0</v>
      </c>
      <c r="AC178" s="3026">
        <f t="shared" si="953"/>
        <v>1426.50207</v>
      </c>
      <c r="AD178" s="3026">
        <f t="shared" si="953"/>
        <v>1426.50207</v>
      </c>
      <c r="AE178" s="3026">
        <f t="shared" si="953"/>
        <v>0</v>
      </c>
      <c r="AF178" s="4313">
        <f t="shared" si="953"/>
        <v>2456.5164843753</v>
      </c>
      <c r="AG178" s="4313">
        <f t="shared" si="953"/>
        <v>2455.8409843753002</v>
      </c>
      <c r="AH178" s="4313">
        <f t="shared" si="953"/>
        <v>0.67549999999999999</v>
      </c>
      <c r="AI178" s="4314">
        <f t="shared" si="953"/>
        <v>2622.3121699999997</v>
      </c>
      <c r="AJ178" s="4314">
        <f t="shared" si="953"/>
        <v>2622.3121699999997</v>
      </c>
      <c r="AK178" s="4314">
        <f t="shared" si="953"/>
        <v>0</v>
      </c>
      <c r="AL178" s="4314">
        <f t="shared" si="948"/>
        <v>165.79568562469962</v>
      </c>
      <c r="AM178" s="4314">
        <f t="shared" si="948"/>
        <v>166.47118562469961</v>
      </c>
      <c r="AN178" s="4314">
        <f t="shared" si="948"/>
        <v>-0.67549999999999999</v>
      </c>
      <c r="AO178" s="4312">
        <f t="shared" ref="AO178:BI178" si="954">SUM(AO11)</f>
        <v>1228.25824218765</v>
      </c>
      <c r="AP178" s="4312">
        <f t="shared" si="954"/>
        <v>1227.9204921876501</v>
      </c>
      <c r="AQ178" s="4312">
        <f t="shared" si="954"/>
        <v>0.33774999999999999</v>
      </c>
      <c r="AR178" s="3026">
        <f t="shared" si="954"/>
        <v>420.08570000000003</v>
      </c>
      <c r="AS178" s="3026">
        <f t="shared" si="954"/>
        <v>420.08570000000003</v>
      </c>
      <c r="AT178" s="3026">
        <f t="shared" si="954"/>
        <v>0</v>
      </c>
      <c r="AU178" s="3026">
        <f t="shared" si="954"/>
        <v>0</v>
      </c>
      <c r="AV178" s="3026">
        <f t="shared" si="954"/>
        <v>0</v>
      </c>
      <c r="AW178" s="3026">
        <f t="shared" si="954"/>
        <v>0</v>
      </c>
      <c r="AX178" s="3026">
        <f t="shared" si="954"/>
        <v>0</v>
      </c>
      <c r="AY178" s="3026">
        <f t="shared" si="954"/>
        <v>0</v>
      </c>
      <c r="AZ178" s="3026">
        <f t="shared" si="954"/>
        <v>0</v>
      </c>
      <c r="BA178" s="3026">
        <f t="shared" si="954"/>
        <v>420.08570000000003</v>
      </c>
      <c r="BB178" s="3026">
        <f t="shared" si="954"/>
        <v>420.08570000000003</v>
      </c>
      <c r="BC178" s="3026">
        <f t="shared" si="954"/>
        <v>0</v>
      </c>
      <c r="BD178" s="4313">
        <f t="shared" si="954"/>
        <v>3684.7747265629505</v>
      </c>
      <c r="BE178" s="4313">
        <f t="shared" si="954"/>
        <v>3683.7614765629505</v>
      </c>
      <c r="BF178" s="4313">
        <f t="shared" si="954"/>
        <v>1.01325</v>
      </c>
      <c r="BG178" s="4314">
        <f t="shared" si="954"/>
        <v>3042.3978699999998</v>
      </c>
      <c r="BH178" s="4314">
        <f t="shared" si="954"/>
        <v>3042.3978699999998</v>
      </c>
      <c r="BI178" s="4314">
        <f t="shared" si="954"/>
        <v>0</v>
      </c>
      <c r="BJ178" s="4314">
        <f t="shared" si="950"/>
        <v>-642.37685656295048</v>
      </c>
      <c r="BK178" s="4314">
        <f t="shared" si="950"/>
        <v>-641.36360656295051</v>
      </c>
      <c r="BL178" s="4314">
        <f t="shared" si="950"/>
        <v>-1.01325</v>
      </c>
      <c r="BM178" s="4312">
        <f t="shared" ref="BM178:CD178" si="955">SUM(BM11)</f>
        <v>1228.25824218765</v>
      </c>
      <c r="BN178" s="4312">
        <f t="shared" si="955"/>
        <v>1227.9204921876501</v>
      </c>
      <c r="BO178" s="4312">
        <f t="shared" si="955"/>
        <v>0.33774999999999999</v>
      </c>
      <c r="BP178" s="3026">
        <f t="shared" si="955"/>
        <v>0</v>
      </c>
      <c r="BQ178" s="3026">
        <f t="shared" si="955"/>
        <v>0</v>
      </c>
      <c r="BR178" s="3026">
        <f t="shared" si="955"/>
        <v>0</v>
      </c>
      <c r="BS178" s="3026">
        <f t="shared" si="955"/>
        <v>0</v>
      </c>
      <c r="BT178" s="3026">
        <f t="shared" si="955"/>
        <v>0</v>
      </c>
      <c r="BU178" s="3026">
        <f t="shared" si="955"/>
        <v>0</v>
      </c>
      <c r="BV178" s="3026">
        <f t="shared" si="955"/>
        <v>0</v>
      </c>
      <c r="BW178" s="3026">
        <f t="shared" si="955"/>
        <v>0</v>
      </c>
      <c r="BX178" s="3026">
        <f t="shared" si="955"/>
        <v>0</v>
      </c>
      <c r="BY178" s="3026">
        <f t="shared" si="955"/>
        <v>0</v>
      </c>
      <c r="BZ178" s="3026">
        <f t="shared" si="955"/>
        <v>0</v>
      </c>
      <c r="CA178" s="3026">
        <f t="shared" si="955"/>
        <v>0</v>
      </c>
      <c r="CB178" s="4313">
        <f t="shared" si="955"/>
        <v>4913.0329687506</v>
      </c>
      <c r="CC178" s="4313">
        <f t="shared" si="955"/>
        <v>4911.6819687506004</v>
      </c>
      <c r="CD178" s="4313">
        <f t="shared" si="955"/>
        <v>1.351</v>
      </c>
      <c r="CE178" s="4314">
        <f t="shared" si="952"/>
        <v>3042.3978699999998</v>
      </c>
      <c r="CF178" s="4314">
        <f t="shared" si="952"/>
        <v>3042.3978699999998</v>
      </c>
      <c r="CG178" s="4314">
        <f t="shared" si="952"/>
        <v>0</v>
      </c>
      <c r="CH178" s="4314">
        <f t="shared" ref="CH178:CJ182" si="956">SUM(CH11)</f>
        <v>-1870.6350987506007</v>
      </c>
      <c r="CI178" s="4314">
        <f t="shared" si="956"/>
        <v>-1869.2840987506006</v>
      </c>
      <c r="CJ178" s="4314">
        <f t="shared" si="956"/>
        <v>-1.351</v>
      </c>
      <c r="CK178" s="2746"/>
      <c r="CL178" s="2746"/>
      <c r="CM178" s="2746"/>
      <c r="CN178" s="2746"/>
    </row>
    <row r="179" spans="1:92" ht="18.75" x14ac:dyDescent="0.2">
      <c r="A179" s="4315" t="s">
        <v>51</v>
      </c>
      <c r="B179" s="4317">
        <f t="shared" ref="B179:AK179" si="957">SUM(B12)</f>
        <v>339.39722404136307</v>
      </c>
      <c r="C179" s="4317">
        <f t="shared" si="957"/>
        <v>339.39722404136307</v>
      </c>
      <c r="D179" s="4317">
        <f t="shared" si="957"/>
        <v>0</v>
      </c>
      <c r="E179" s="4316">
        <f t="shared" si="957"/>
        <v>47.360101999999983</v>
      </c>
      <c r="F179" s="4316">
        <f t="shared" si="957"/>
        <v>47.360101999999983</v>
      </c>
      <c r="G179" s="4316">
        <f t="shared" si="957"/>
        <v>0</v>
      </c>
      <c r="H179" s="4316">
        <f t="shared" si="957"/>
        <v>99.456923000000018</v>
      </c>
      <c r="I179" s="4316">
        <f t="shared" si="957"/>
        <v>99.456923000000018</v>
      </c>
      <c r="J179" s="4316">
        <f t="shared" si="957"/>
        <v>0</v>
      </c>
      <c r="K179" s="4316">
        <f t="shared" si="957"/>
        <v>155.59993700000001</v>
      </c>
      <c r="L179" s="4316">
        <f t="shared" si="957"/>
        <v>155.59993700000001</v>
      </c>
      <c r="M179" s="4316">
        <f t="shared" si="957"/>
        <v>0</v>
      </c>
      <c r="N179" s="4316">
        <f t="shared" si="957"/>
        <v>302.4169619999999</v>
      </c>
      <c r="O179" s="4316">
        <f t="shared" si="957"/>
        <v>302.4169619999999</v>
      </c>
      <c r="P179" s="4316">
        <f t="shared" si="957"/>
        <v>0</v>
      </c>
      <c r="Q179" s="4317">
        <f t="shared" si="957"/>
        <v>339.39722404136307</v>
      </c>
      <c r="R179" s="4317">
        <f t="shared" si="957"/>
        <v>339.39722404136307</v>
      </c>
      <c r="S179" s="4317">
        <f t="shared" si="957"/>
        <v>0</v>
      </c>
      <c r="T179" s="4316">
        <f t="shared" si="957"/>
        <v>177.92611699999992</v>
      </c>
      <c r="U179" s="4316">
        <f t="shared" si="957"/>
        <v>177.92611699999992</v>
      </c>
      <c r="V179" s="4316">
        <f t="shared" si="957"/>
        <v>0</v>
      </c>
      <c r="W179" s="4316">
        <f t="shared" si="957"/>
        <v>219.73180499999995</v>
      </c>
      <c r="X179" s="4316">
        <f t="shared" si="957"/>
        <v>219.73180499999995</v>
      </c>
      <c r="Y179" s="4316">
        <f t="shared" si="957"/>
        <v>0</v>
      </c>
      <c r="Z179" s="4316">
        <f t="shared" si="957"/>
        <v>173.58699100000007</v>
      </c>
      <c r="AA179" s="4316">
        <f t="shared" si="957"/>
        <v>173.58699100000007</v>
      </c>
      <c r="AB179" s="4316">
        <f t="shared" si="957"/>
        <v>0</v>
      </c>
      <c r="AC179" s="4316">
        <f t="shared" si="957"/>
        <v>571.244913</v>
      </c>
      <c r="AD179" s="4316">
        <f t="shared" si="957"/>
        <v>571.244913</v>
      </c>
      <c r="AE179" s="4316">
        <f t="shared" si="957"/>
        <v>0</v>
      </c>
      <c r="AF179" s="4318">
        <f t="shared" si="957"/>
        <v>678.79444808272615</v>
      </c>
      <c r="AG179" s="4318">
        <f t="shared" si="957"/>
        <v>678.79444808272615</v>
      </c>
      <c r="AH179" s="4318">
        <f t="shared" si="957"/>
        <v>0</v>
      </c>
      <c r="AI179" s="4319">
        <f t="shared" si="957"/>
        <v>873.66187499999978</v>
      </c>
      <c r="AJ179" s="4319">
        <f t="shared" si="957"/>
        <v>873.66187499999978</v>
      </c>
      <c r="AK179" s="4319">
        <f t="shared" si="957"/>
        <v>0</v>
      </c>
      <c r="AL179" s="4319">
        <f t="shared" si="948"/>
        <v>194.8674269172738</v>
      </c>
      <c r="AM179" s="4319">
        <f t="shared" si="948"/>
        <v>194.8674269172738</v>
      </c>
      <c r="AN179" s="4319">
        <f t="shared" si="948"/>
        <v>0</v>
      </c>
      <c r="AO179" s="4317">
        <f t="shared" ref="AO179:BI179" si="958">SUM(AO12)</f>
        <v>339.39722404136307</v>
      </c>
      <c r="AP179" s="4317">
        <f t="shared" si="958"/>
        <v>339.39722404136307</v>
      </c>
      <c r="AQ179" s="4317">
        <f t="shared" si="958"/>
        <v>0</v>
      </c>
      <c r="AR179" s="4316">
        <f t="shared" si="958"/>
        <v>162.41970800000007</v>
      </c>
      <c r="AS179" s="4316">
        <f t="shared" si="958"/>
        <v>162.41970800000007</v>
      </c>
      <c r="AT179" s="4316">
        <f t="shared" si="958"/>
        <v>0</v>
      </c>
      <c r="AU179" s="4316">
        <f t="shared" si="958"/>
        <v>0</v>
      </c>
      <c r="AV179" s="4316">
        <f t="shared" si="958"/>
        <v>0</v>
      </c>
      <c r="AW179" s="4316">
        <f t="shared" si="958"/>
        <v>0</v>
      </c>
      <c r="AX179" s="4316">
        <f t="shared" si="958"/>
        <v>0</v>
      </c>
      <c r="AY179" s="4316">
        <f t="shared" si="958"/>
        <v>0</v>
      </c>
      <c r="AZ179" s="4316">
        <f t="shared" si="958"/>
        <v>0</v>
      </c>
      <c r="BA179" s="4316">
        <f t="shared" si="958"/>
        <v>162.41970800000007</v>
      </c>
      <c r="BB179" s="4316">
        <f t="shared" si="958"/>
        <v>162.41970800000007</v>
      </c>
      <c r="BC179" s="4316">
        <f t="shared" si="958"/>
        <v>0</v>
      </c>
      <c r="BD179" s="4318">
        <f t="shared" si="958"/>
        <v>1018.1916721240896</v>
      </c>
      <c r="BE179" s="4318">
        <f t="shared" si="958"/>
        <v>1018.1916721240896</v>
      </c>
      <c r="BF179" s="4318">
        <f t="shared" si="958"/>
        <v>0</v>
      </c>
      <c r="BG179" s="4319">
        <f t="shared" si="958"/>
        <v>1036.0815829999999</v>
      </c>
      <c r="BH179" s="4319">
        <f t="shared" si="958"/>
        <v>1036.0815829999999</v>
      </c>
      <c r="BI179" s="4319">
        <f t="shared" si="958"/>
        <v>0</v>
      </c>
      <c r="BJ179" s="4319">
        <f t="shared" si="950"/>
        <v>17.889910875910687</v>
      </c>
      <c r="BK179" s="4319">
        <f t="shared" si="950"/>
        <v>17.889910875910687</v>
      </c>
      <c r="BL179" s="4319">
        <f t="shared" si="950"/>
        <v>0</v>
      </c>
      <c r="BM179" s="4317">
        <f t="shared" ref="BM179:CD179" si="959">SUM(BM12)</f>
        <v>339.39722404136307</v>
      </c>
      <c r="BN179" s="4317">
        <f t="shared" si="959"/>
        <v>339.39722404136307</v>
      </c>
      <c r="BO179" s="4317">
        <f t="shared" si="959"/>
        <v>0</v>
      </c>
      <c r="BP179" s="4316">
        <f t="shared" si="959"/>
        <v>0</v>
      </c>
      <c r="BQ179" s="4316">
        <f t="shared" si="959"/>
        <v>0</v>
      </c>
      <c r="BR179" s="4316">
        <f t="shared" si="959"/>
        <v>0</v>
      </c>
      <c r="BS179" s="4316">
        <f t="shared" si="959"/>
        <v>0</v>
      </c>
      <c r="BT179" s="4316">
        <f t="shared" si="959"/>
        <v>0</v>
      </c>
      <c r="BU179" s="4316">
        <f t="shared" si="959"/>
        <v>0</v>
      </c>
      <c r="BV179" s="4316">
        <f t="shared" si="959"/>
        <v>0</v>
      </c>
      <c r="BW179" s="4316">
        <f t="shared" si="959"/>
        <v>0</v>
      </c>
      <c r="BX179" s="4316">
        <f t="shared" si="959"/>
        <v>0</v>
      </c>
      <c r="BY179" s="4316">
        <f t="shared" si="959"/>
        <v>0</v>
      </c>
      <c r="BZ179" s="4316">
        <f t="shared" si="959"/>
        <v>0</v>
      </c>
      <c r="CA179" s="4316">
        <f t="shared" si="959"/>
        <v>0</v>
      </c>
      <c r="CB179" s="4318">
        <f t="shared" si="959"/>
        <v>1357.5888961654523</v>
      </c>
      <c r="CC179" s="4318">
        <f t="shared" si="959"/>
        <v>1357.5888961654523</v>
      </c>
      <c r="CD179" s="4318">
        <f t="shared" si="959"/>
        <v>0</v>
      </c>
      <c r="CE179" s="4319">
        <f t="shared" si="952"/>
        <v>1036.0815829999999</v>
      </c>
      <c r="CF179" s="4319">
        <f t="shared" si="952"/>
        <v>1036.0815829999999</v>
      </c>
      <c r="CG179" s="4319">
        <f t="shared" si="952"/>
        <v>0</v>
      </c>
      <c r="CH179" s="4319">
        <f t="shared" si="956"/>
        <v>-321.50731316545239</v>
      </c>
      <c r="CI179" s="4319">
        <f t="shared" si="956"/>
        <v>-321.50731316545239</v>
      </c>
      <c r="CJ179" s="4319">
        <f t="shared" si="956"/>
        <v>0</v>
      </c>
      <c r="CK179" s="2746"/>
      <c r="CL179" s="2746"/>
      <c r="CM179" s="2746"/>
      <c r="CN179" s="2746"/>
    </row>
    <row r="180" spans="1:92" ht="18.75" x14ac:dyDescent="0.2">
      <c r="A180" s="4320" t="s">
        <v>110</v>
      </c>
      <c r="B180" s="4321">
        <f>SUM(B179/B178)</f>
        <v>0.2763239947300194</v>
      </c>
      <c r="C180" s="4321">
        <f t="shared" ref="C180:AK180" si="960">SUM(C179/C178)</f>
        <v>0.2764000000005673</v>
      </c>
      <c r="D180" s="4321">
        <f t="shared" si="960"/>
        <v>0</v>
      </c>
      <c r="E180" s="4321">
        <f t="shared" si="960"/>
        <v>0.13568530817201394</v>
      </c>
      <c r="F180" s="4321">
        <f t="shared" si="960"/>
        <v>0.13568530817201394</v>
      </c>
      <c r="G180" s="4321" t="e">
        <f t="shared" si="960"/>
        <v>#DIV/0!</v>
      </c>
      <c r="H180" s="4321">
        <f t="shared" si="960"/>
        <v>0.24652362186280563</v>
      </c>
      <c r="I180" s="4321">
        <f t="shared" si="960"/>
        <v>0.24652362186280563</v>
      </c>
      <c r="J180" s="4321" t="e">
        <f t="shared" si="960"/>
        <v>#DIV/0!</v>
      </c>
      <c r="K180" s="4321">
        <f t="shared" si="960"/>
        <v>0.35098096965073544</v>
      </c>
      <c r="L180" s="4321">
        <f t="shared" si="960"/>
        <v>0.35098096965073544</v>
      </c>
      <c r="M180" s="4321" t="e">
        <f t="shared" si="960"/>
        <v>#DIV/0!</v>
      </c>
      <c r="N180" s="4321">
        <f t="shared" si="960"/>
        <v>0.25289714646163292</v>
      </c>
      <c r="O180" s="4321">
        <f t="shared" si="960"/>
        <v>0.25289714646163292</v>
      </c>
      <c r="P180" s="4321" t="e">
        <f t="shared" si="960"/>
        <v>#DIV/0!</v>
      </c>
      <c r="Q180" s="4321">
        <f t="shared" si="960"/>
        <v>0.2763239947300194</v>
      </c>
      <c r="R180" s="4321">
        <f t="shared" si="960"/>
        <v>0.2764000000005673</v>
      </c>
      <c r="S180" s="4321">
        <f t="shared" si="960"/>
        <v>0</v>
      </c>
      <c r="T180" s="4321">
        <f t="shared" si="960"/>
        <v>0.38508004009092517</v>
      </c>
      <c r="U180" s="4321">
        <f t="shared" si="960"/>
        <v>0.38508004009092517</v>
      </c>
      <c r="V180" s="4321" t="e">
        <f t="shared" si="960"/>
        <v>#DIV/0!</v>
      </c>
      <c r="W180" s="4321">
        <f t="shared" si="960"/>
        <v>0.43171204750227754</v>
      </c>
      <c r="X180" s="4321">
        <f t="shared" si="960"/>
        <v>0.43171204750227754</v>
      </c>
      <c r="Y180" s="4321" t="e">
        <f t="shared" si="960"/>
        <v>#DIV/0!</v>
      </c>
      <c r="Z180" s="4321">
        <f t="shared" si="960"/>
        <v>0.38111228227027433</v>
      </c>
      <c r="AA180" s="4321">
        <f t="shared" si="960"/>
        <v>0.38111228227027433</v>
      </c>
      <c r="AB180" s="4321" t="e">
        <f t="shared" si="960"/>
        <v>#DIV/0!</v>
      </c>
      <c r="AC180" s="4321">
        <f t="shared" si="960"/>
        <v>0.40045151354039044</v>
      </c>
      <c r="AD180" s="4321">
        <f t="shared" si="960"/>
        <v>0.40045151354039044</v>
      </c>
      <c r="AE180" s="4321" t="e">
        <f t="shared" si="960"/>
        <v>#DIV/0!</v>
      </c>
      <c r="AF180" s="4322">
        <f t="shared" si="960"/>
        <v>0.2763239947300194</v>
      </c>
      <c r="AG180" s="4322">
        <f t="shared" si="960"/>
        <v>0.2764000000005673</v>
      </c>
      <c r="AH180" s="4322">
        <f t="shared" si="960"/>
        <v>0</v>
      </c>
      <c r="AI180" s="4322">
        <f t="shared" si="960"/>
        <v>0.33316471051575824</v>
      </c>
      <c r="AJ180" s="4322">
        <f t="shared" si="960"/>
        <v>0.33316471051575824</v>
      </c>
      <c r="AK180" s="4322" t="e">
        <f t="shared" si="960"/>
        <v>#DIV/0!</v>
      </c>
      <c r="AL180" s="4323">
        <f t="shared" si="948"/>
        <v>5.6840715785738849E-2</v>
      </c>
      <c r="AM180" s="4323">
        <f t="shared" si="948"/>
        <v>5.6764710515190941E-2</v>
      </c>
      <c r="AN180" s="4323" t="e">
        <f t="shared" si="948"/>
        <v>#DIV/0!</v>
      </c>
      <c r="AO180" s="4321">
        <f t="shared" ref="AO180:CG180" si="961">SUM(AO179/AO178)</f>
        <v>0.2763239947300194</v>
      </c>
      <c r="AP180" s="4321">
        <f t="shared" si="961"/>
        <v>0.2764000000005673</v>
      </c>
      <c r="AQ180" s="4321">
        <f t="shared" si="961"/>
        <v>0</v>
      </c>
      <c r="AR180" s="4321">
        <f t="shared" si="961"/>
        <v>0.38663469858650285</v>
      </c>
      <c r="AS180" s="4321">
        <f t="shared" si="961"/>
        <v>0.38663469858650285</v>
      </c>
      <c r="AT180" s="4321" t="e">
        <f t="shared" si="961"/>
        <v>#DIV/0!</v>
      </c>
      <c r="AU180" s="4321" t="e">
        <f t="shared" si="961"/>
        <v>#DIV/0!</v>
      </c>
      <c r="AV180" s="4321" t="e">
        <f t="shared" si="961"/>
        <v>#DIV/0!</v>
      </c>
      <c r="AW180" s="4321" t="e">
        <f t="shared" si="961"/>
        <v>#DIV/0!</v>
      </c>
      <c r="AX180" s="4321" t="e">
        <f t="shared" si="961"/>
        <v>#DIV/0!</v>
      </c>
      <c r="AY180" s="4321" t="e">
        <f t="shared" si="961"/>
        <v>#DIV/0!</v>
      </c>
      <c r="AZ180" s="4321" t="e">
        <f t="shared" si="961"/>
        <v>#DIV/0!</v>
      </c>
      <c r="BA180" s="4321">
        <f t="shared" si="961"/>
        <v>0.38663469858650285</v>
      </c>
      <c r="BB180" s="4321">
        <f t="shared" si="961"/>
        <v>0.38663469858650285</v>
      </c>
      <c r="BC180" s="4321" t="e">
        <f t="shared" si="961"/>
        <v>#DIV/0!</v>
      </c>
      <c r="BD180" s="4322">
        <f t="shared" si="961"/>
        <v>0.27632399473001945</v>
      </c>
      <c r="BE180" s="4322">
        <f t="shared" si="961"/>
        <v>0.27640000000056736</v>
      </c>
      <c r="BF180" s="4322">
        <f t="shared" si="961"/>
        <v>0</v>
      </c>
      <c r="BG180" s="4322">
        <f t="shared" si="961"/>
        <v>0.34054769536109358</v>
      </c>
      <c r="BH180" s="4322">
        <f t="shared" si="961"/>
        <v>0.34054769536109358</v>
      </c>
      <c r="BI180" s="4322" t="e">
        <f t="shared" si="961"/>
        <v>#DIV/0!</v>
      </c>
      <c r="BJ180" s="4323">
        <f t="shared" si="950"/>
        <v>6.4223700631074132E-2</v>
      </c>
      <c r="BK180" s="4323">
        <f t="shared" si="950"/>
        <v>6.4147695360526225E-2</v>
      </c>
      <c r="BL180" s="4323" t="e">
        <f t="shared" si="950"/>
        <v>#DIV/0!</v>
      </c>
      <c r="BM180" s="4321">
        <f t="shared" si="961"/>
        <v>0.2763239947300194</v>
      </c>
      <c r="BN180" s="4321">
        <f t="shared" si="961"/>
        <v>0.2764000000005673</v>
      </c>
      <c r="BO180" s="4321">
        <f t="shared" si="961"/>
        <v>0</v>
      </c>
      <c r="BP180" s="4321" t="e">
        <f t="shared" si="961"/>
        <v>#DIV/0!</v>
      </c>
      <c r="BQ180" s="4321" t="e">
        <f t="shared" si="961"/>
        <v>#DIV/0!</v>
      </c>
      <c r="BR180" s="4321" t="e">
        <f t="shared" si="961"/>
        <v>#DIV/0!</v>
      </c>
      <c r="BS180" s="4321" t="e">
        <f t="shared" si="961"/>
        <v>#DIV/0!</v>
      </c>
      <c r="BT180" s="4321" t="e">
        <f t="shared" si="961"/>
        <v>#DIV/0!</v>
      </c>
      <c r="BU180" s="4321" t="e">
        <f t="shared" si="961"/>
        <v>#DIV/0!</v>
      </c>
      <c r="BV180" s="4321" t="e">
        <f t="shared" si="961"/>
        <v>#DIV/0!</v>
      </c>
      <c r="BW180" s="4321" t="e">
        <f t="shared" si="961"/>
        <v>#DIV/0!</v>
      </c>
      <c r="BX180" s="4321" t="e">
        <f t="shared" si="961"/>
        <v>#DIV/0!</v>
      </c>
      <c r="BY180" s="4321" t="e">
        <f t="shared" si="961"/>
        <v>#DIV/0!</v>
      </c>
      <c r="BZ180" s="4321" t="e">
        <f t="shared" si="961"/>
        <v>#DIV/0!</v>
      </c>
      <c r="CA180" s="4321" t="e">
        <f t="shared" si="961"/>
        <v>#DIV/0!</v>
      </c>
      <c r="CB180" s="4322">
        <f t="shared" si="961"/>
        <v>0.2763239947300194</v>
      </c>
      <c r="CC180" s="4322">
        <f t="shared" si="961"/>
        <v>0.2764000000005673</v>
      </c>
      <c r="CD180" s="4322">
        <f t="shared" si="961"/>
        <v>0</v>
      </c>
      <c r="CE180" s="4322">
        <f t="shared" si="961"/>
        <v>0.34054769536109358</v>
      </c>
      <c r="CF180" s="4322">
        <f t="shared" si="961"/>
        <v>0.34054769536109358</v>
      </c>
      <c r="CG180" s="4322" t="e">
        <f t="shared" si="961"/>
        <v>#DIV/0!</v>
      </c>
      <c r="CH180" s="4323">
        <f t="shared" si="956"/>
        <v>6.4223700631074188E-2</v>
      </c>
      <c r="CI180" s="4323">
        <f t="shared" si="956"/>
        <v>6.414769536052628E-2</v>
      </c>
      <c r="CJ180" s="4323" t="e">
        <f t="shared" si="956"/>
        <v>#DIV/0!</v>
      </c>
      <c r="CK180" s="2746"/>
      <c r="CL180" s="2746"/>
      <c r="CM180" s="2746"/>
      <c r="CN180" s="2746"/>
    </row>
    <row r="181" spans="1:92" ht="18.75" x14ac:dyDescent="0.2">
      <c r="A181" s="4311" t="s">
        <v>3689</v>
      </c>
      <c r="B181" s="4312">
        <f t="shared" ref="B181:AK181" si="962">SUM(B14)</f>
        <v>888.86101814628705</v>
      </c>
      <c r="C181" s="4312">
        <f t="shared" si="962"/>
        <v>888.52326814628702</v>
      </c>
      <c r="D181" s="4312">
        <f t="shared" si="962"/>
        <v>0.33774999999999999</v>
      </c>
      <c r="E181" s="3026">
        <f t="shared" si="962"/>
        <v>301.68359800000002</v>
      </c>
      <c r="F181" s="3026">
        <f t="shared" si="962"/>
        <v>301.68359800000002</v>
      </c>
      <c r="G181" s="3026">
        <f t="shared" si="962"/>
        <v>0</v>
      </c>
      <c r="H181" s="3026">
        <f t="shared" si="962"/>
        <v>303.98077699999999</v>
      </c>
      <c r="I181" s="3026">
        <f t="shared" si="962"/>
        <v>303.98077699999999</v>
      </c>
      <c r="J181" s="3026">
        <f t="shared" si="962"/>
        <v>0</v>
      </c>
      <c r="K181" s="3026">
        <f t="shared" si="962"/>
        <v>287.72876300000001</v>
      </c>
      <c r="L181" s="3026">
        <f t="shared" si="962"/>
        <v>287.72876300000001</v>
      </c>
      <c r="M181" s="3026">
        <f t="shared" si="962"/>
        <v>0</v>
      </c>
      <c r="N181" s="3026">
        <f t="shared" si="962"/>
        <v>893.39313800000002</v>
      </c>
      <c r="O181" s="3026">
        <f t="shared" si="962"/>
        <v>893.39313800000002</v>
      </c>
      <c r="P181" s="3026">
        <f t="shared" si="962"/>
        <v>0</v>
      </c>
      <c r="Q181" s="4312">
        <f t="shared" si="962"/>
        <v>888.86101814628705</v>
      </c>
      <c r="R181" s="4312">
        <f t="shared" si="962"/>
        <v>888.52326814628702</v>
      </c>
      <c r="S181" s="4312">
        <f t="shared" si="962"/>
        <v>0.33774999999999999</v>
      </c>
      <c r="T181" s="3026">
        <f t="shared" si="962"/>
        <v>284.123583</v>
      </c>
      <c r="U181" s="3026">
        <f t="shared" si="962"/>
        <v>284.123583</v>
      </c>
      <c r="V181" s="3026">
        <f t="shared" si="962"/>
        <v>0</v>
      </c>
      <c r="W181" s="3026">
        <f t="shared" si="962"/>
        <v>289.24589500000002</v>
      </c>
      <c r="X181" s="3026">
        <f t="shared" si="962"/>
        <v>289.24589500000002</v>
      </c>
      <c r="Y181" s="3026">
        <f t="shared" si="962"/>
        <v>0</v>
      </c>
      <c r="Z181" s="3026">
        <f t="shared" si="962"/>
        <v>281.88767899999999</v>
      </c>
      <c r="AA181" s="3026">
        <f t="shared" si="962"/>
        <v>281.88767899999999</v>
      </c>
      <c r="AB181" s="3026">
        <f t="shared" si="962"/>
        <v>0</v>
      </c>
      <c r="AC181" s="3026">
        <f t="shared" si="962"/>
        <v>855.25715700000001</v>
      </c>
      <c r="AD181" s="3026">
        <f t="shared" si="962"/>
        <v>855.25715700000001</v>
      </c>
      <c r="AE181" s="3026">
        <f t="shared" si="962"/>
        <v>0</v>
      </c>
      <c r="AF181" s="4313">
        <f t="shared" si="962"/>
        <v>1777.7220362925741</v>
      </c>
      <c r="AG181" s="4313">
        <f t="shared" si="962"/>
        <v>1777.046536292574</v>
      </c>
      <c r="AH181" s="4313">
        <f t="shared" si="962"/>
        <v>0.67549999999999999</v>
      </c>
      <c r="AI181" s="4314">
        <f t="shared" si="962"/>
        <v>1748.6502949999999</v>
      </c>
      <c r="AJ181" s="4314">
        <f t="shared" si="962"/>
        <v>1748.6502949999999</v>
      </c>
      <c r="AK181" s="4314">
        <f t="shared" si="962"/>
        <v>0</v>
      </c>
      <c r="AL181" s="4314">
        <f t="shared" si="948"/>
        <v>-29.071741292574188</v>
      </c>
      <c r="AM181" s="4314">
        <f t="shared" si="948"/>
        <v>-28.396241292574189</v>
      </c>
      <c r="AN181" s="4314">
        <f t="shared" si="948"/>
        <v>-0.67549999999999999</v>
      </c>
      <c r="AO181" s="4312">
        <f t="shared" ref="AO181:BI181" si="963">SUM(AO14)</f>
        <v>888.86101814628705</v>
      </c>
      <c r="AP181" s="4312">
        <f t="shared" si="963"/>
        <v>888.52326814628702</v>
      </c>
      <c r="AQ181" s="4312">
        <f t="shared" si="963"/>
        <v>0.33774999999999999</v>
      </c>
      <c r="AR181" s="3026">
        <f t="shared" si="963"/>
        <v>257.66599199999996</v>
      </c>
      <c r="AS181" s="3026">
        <f t="shared" si="963"/>
        <v>257.66599199999996</v>
      </c>
      <c r="AT181" s="3026">
        <f t="shared" si="963"/>
        <v>0</v>
      </c>
      <c r="AU181" s="3026">
        <f t="shared" si="963"/>
        <v>0</v>
      </c>
      <c r="AV181" s="3026">
        <f t="shared" si="963"/>
        <v>0</v>
      </c>
      <c r="AW181" s="3026">
        <f t="shared" si="963"/>
        <v>0</v>
      </c>
      <c r="AX181" s="3026">
        <f t="shared" si="963"/>
        <v>0</v>
      </c>
      <c r="AY181" s="3026">
        <f t="shared" si="963"/>
        <v>0</v>
      </c>
      <c r="AZ181" s="3026">
        <f t="shared" si="963"/>
        <v>0</v>
      </c>
      <c r="BA181" s="3026">
        <f t="shared" si="963"/>
        <v>257.66599199999996</v>
      </c>
      <c r="BB181" s="3026">
        <f t="shared" si="963"/>
        <v>257.66599199999996</v>
      </c>
      <c r="BC181" s="3026">
        <f t="shared" si="963"/>
        <v>0</v>
      </c>
      <c r="BD181" s="4313">
        <f t="shared" si="963"/>
        <v>2666.5830544388609</v>
      </c>
      <c r="BE181" s="4313">
        <f t="shared" si="963"/>
        <v>2665.569804438861</v>
      </c>
      <c r="BF181" s="4313">
        <f t="shared" si="963"/>
        <v>1.01325</v>
      </c>
      <c r="BG181" s="4314">
        <f t="shared" si="963"/>
        <v>2006.3162869999999</v>
      </c>
      <c r="BH181" s="4314">
        <f t="shared" si="963"/>
        <v>2006.3162869999999</v>
      </c>
      <c r="BI181" s="4314">
        <f t="shared" si="963"/>
        <v>0</v>
      </c>
      <c r="BJ181" s="4314">
        <f t="shared" si="950"/>
        <v>-660.26676743886117</v>
      </c>
      <c r="BK181" s="4314">
        <f t="shared" si="950"/>
        <v>-659.25351743886119</v>
      </c>
      <c r="BL181" s="4314">
        <f t="shared" si="950"/>
        <v>-1.01325</v>
      </c>
      <c r="BM181" s="4312">
        <f t="shared" ref="BM181:CG181" si="964">SUM(BM14)</f>
        <v>888.86101814628705</v>
      </c>
      <c r="BN181" s="4312">
        <f t="shared" si="964"/>
        <v>888.52326814628702</v>
      </c>
      <c r="BO181" s="4312">
        <f t="shared" si="964"/>
        <v>0.33774999999999999</v>
      </c>
      <c r="BP181" s="3026">
        <f t="shared" si="964"/>
        <v>0</v>
      </c>
      <c r="BQ181" s="3026">
        <f t="shared" si="964"/>
        <v>0</v>
      </c>
      <c r="BR181" s="3026">
        <f t="shared" si="964"/>
        <v>0</v>
      </c>
      <c r="BS181" s="3026">
        <f t="shared" si="964"/>
        <v>0</v>
      </c>
      <c r="BT181" s="3026">
        <f t="shared" si="964"/>
        <v>0</v>
      </c>
      <c r="BU181" s="3026">
        <f t="shared" si="964"/>
        <v>0</v>
      </c>
      <c r="BV181" s="3026">
        <f t="shared" si="964"/>
        <v>0</v>
      </c>
      <c r="BW181" s="3026">
        <f t="shared" si="964"/>
        <v>0</v>
      </c>
      <c r="BX181" s="3026">
        <f t="shared" si="964"/>
        <v>0</v>
      </c>
      <c r="BY181" s="3026">
        <f t="shared" si="964"/>
        <v>0</v>
      </c>
      <c r="BZ181" s="3026">
        <f t="shared" si="964"/>
        <v>0</v>
      </c>
      <c r="CA181" s="3026">
        <f t="shared" si="964"/>
        <v>0</v>
      </c>
      <c r="CB181" s="4313">
        <f t="shared" si="964"/>
        <v>3555.4440725851482</v>
      </c>
      <c r="CC181" s="4313">
        <f t="shared" si="964"/>
        <v>3554.0930725851481</v>
      </c>
      <c r="CD181" s="4313">
        <f t="shared" si="964"/>
        <v>1.351</v>
      </c>
      <c r="CE181" s="4314">
        <f t="shared" si="964"/>
        <v>2006.3162869999999</v>
      </c>
      <c r="CF181" s="4314">
        <f t="shared" si="964"/>
        <v>2006.3162869999999</v>
      </c>
      <c r="CG181" s="4314">
        <f t="shared" si="964"/>
        <v>0</v>
      </c>
      <c r="CH181" s="4314">
        <f t="shared" si="956"/>
        <v>-1549.1277855851483</v>
      </c>
      <c r="CI181" s="4314">
        <f t="shared" si="956"/>
        <v>-1547.7767855851482</v>
      </c>
      <c r="CJ181" s="4314">
        <f t="shared" si="956"/>
        <v>-1.351</v>
      </c>
      <c r="CK181" s="2746"/>
      <c r="CL181" s="2746"/>
      <c r="CM181" s="2746"/>
      <c r="CN181" s="2746"/>
    </row>
    <row r="182" spans="1:92" ht="18.75" x14ac:dyDescent="0.2">
      <c r="A182" s="4315" t="s">
        <v>24</v>
      </c>
      <c r="B182" s="4317">
        <f t="shared" ref="B182:AK182" si="965">SUM(B15)</f>
        <v>603.28582716000005</v>
      </c>
      <c r="C182" s="4317">
        <f t="shared" si="965"/>
        <v>603.28582716000005</v>
      </c>
      <c r="D182" s="4317">
        <f t="shared" si="965"/>
        <v>0</v>
      </c>
      <c r="E182" s="4316">
        <f t="shared" si="965"/>
        <v>202.660144</v>
      </c>
      <c r="F182" s="4316">
        <f t="shared" si="965"/>
        <v>202.660144</v>
      </c>
      <c r="G182" s="4316">
        <f t="shared" si="965"/>
        <v>0</v>
      </c>
      <c r="H182" s="4316">
        <f t="shared" si="965"/>
        <v>201.979794</v>
      </c>
      <c r="I182" s="4316">
        <f t="shared" si="965"/>
        <v>201.979794</v>
      </c>
      <c r="J182" s="4316">
        <f t="shared" si="965"/>
        <v>0</v>
      </c>
      <c r="K182" s="4316">
        <f t="shared" si="965"/>
        <v>195.908771</v>
      </c>
      <c r="L182" s="4316">
        <f t="shared" si="965"/>
        <v>195.908771</v>
      </c>
      <c r="M182" s="4316">
        <f t="shared" si="965"/>
        <v>0</v>
      </c>
      <c r="N182" s="4316">
        <f t="shared" si="965"/>
        <v>600.54870900000003</v>
      </c>
      <c r="O182" s="4316">
        <f t="shared" si="965"/>
        <v>600.54870900000003</v>
      </c>
      <c r="P182" s="4316">
        <f t="shared" si="965"/>
        <v>0</v>
      </c>
      <c r="Q182" s="4317">
        <f t="shared" si="965"/>
        <v>603.28582716000005</v>
      </c>
      <c r="R182" s="4317">
        <f t="shared" si="965"/>
        <v>603.28582716000005</v>
      </c>
      <c r="S182" s="4317">
        <f t="shared" si="965"/>
        <v>0</v>
      </c>
      <c r="T182" s="4316">
        <f t="shared" si="965"/>
        <v>198.060697</v>
      </c>
      <c r="U182" s="4316">
        <f t="shared" si="965"/>
        <v>198.060697</v>
      </c>
      <c r="V182" s="4316">
        <f t="shared" si="965"/>
        <v>0</v>
      </c>
      <c r="W182" s="4316">
        <f t="shared" si="965"/>
        <v>207.961375</v>
      </c>
      <c r="X182" s="4316">
        <f t="shared" si="965"/>
        <v>207.961375</v>
      </c>
      <c r="Y182" s="4316">
        <f t="shared" si="965"/>
        <v>0</v>
      </c>
      <c r="Z182" s="4316">
        <f t="shared" si="965"/>
        <v>199.50943799999999</v>
      </c>
      <c r="AA182" s="4316">
        <f t="shared" si="965"/>
        <v>199.50943799999999</v>
      </c>
      <c r="AB182" s="4316">
        <f t="shared" si="965"/>
        <v>0</v>
      </c>
      <c r="AC182" s="4316">
        <f t="shared" si="965"/>
        <v>605.53151000000003</v>
      </c>
      <c r="AD182" s="4316">
        <f t="shared" si="965"/>
        <v>605.53151000000003</v>
      </c>
      <c r="AE182" s="4316">
        <f t="shared" si="965"/>
        <v>0</v>
      </c>
      <c r="AF182" s="4318">
        <f t="shared" si="965"/>
        <v>1206.5716543200001</v>
      </c>
      <c r="AG182" s="4318">
        <f t="shared" si="965"/>
        <v>1206.5716543200001</v>
      </c>
      <c r="AH182" s="4318">
        <f t="shared" si="965"/>
        <v>0</v>
      </c>
      <c r="AI182" s="4319">
        <f t="shared" si="965"/>
        <v>1206.0802189999999</v>
      </c>
      <c r="AJ182" s="4319">
        <f t="shared" si="965"/>
        <v>1206.0802189999999</v>
      </c>
      <c r="AK182" s="4319">
        <f t="shared" si="965"/>
        <v>0</v>
      </c>
      <c r="AL182" s="4319">
        <f t="shared" si="948"/>
        <v>-0.49143532000016421</v>
      </c>
      <c r="AM182" s="4319">
        <f t="shared" si="948"/>
        <v>-0.49143532000016421</v>
      </c>
      <c r="AN182" s="4319">
        <f t="shared" si="948"/>
        <v>0</v>
      </c>
      <c r="AO182" s="4317">
        <f t="shared" ref="AO182:BI182" si="966">SUM(AO15)</f>
        <v>603.28582716000005</v>
      </c>
      <c r="AP182" s="4317">
        <f t="shared" si="966"/>
        <v>603.28582716000005</v>
      </c>
      <c r="AQ182" s="4317">
        <f t="shared" si="966"/>
        <v>0</v>
      </c>
      <c r="AR182" s="4316">
        <f t="shared" si="966"/>
        <v>187.85674299999999</v>
      </c>
      <c r="AS182" s="4316">
        <f t="shared" si="966"/>
        <v>187.85674299999999</v>
      </c>
      <c r="AT182" s="4316">
        <f t="shared" si="966"/>
        <v>0</v>
      </c>
      <c r="AU182" s="4316">
        <f t="shared" si="966"/>
        <v>0</v>
      </c>
      <c r="AV182" s="4316">
        <f t="shared" si="966"/>
        <v>0</v>
      </c>
      <c r="AW182" s="4316">
        <f t="shared" si="966"/>
        <v>0</v>
      </c>
      <c r="AX182" s="4316">
        <f t="shared" si="966"/>
        <v>0</v>
      </c>
      <c r="AY182" s="4316">
        <f t="shared" si="966"/>
        <v>0</v>
      </c>
      <c r="AZ182" s="4316">
        <f t="shared" si="966"/>
        <v>0</v>
      </c>
      <c r="BA182" s="4316">
        <f t="shared" si="966"/>
        <v>187.85674299999999</v>
      </c>
      <c r="BB182" s="4316">
        <f t="shared" si="966"/>
        <v>187.85674299999999</v>
      </c>
      <c r="BC182" s="4316">
        <f t="shared" si="966"/>
        <v>0</v>
      </c>
      <c r="BD182" s="4318">
        <f t="shared" si="966"/>
        <v>1809.8574814800002</v>
      </c>
      <c r="BE182" s="4318">
        <f t="shared" si="966"/>
        <v>1809.8574814800002</v>
      </c>
      <c r="BF182" s="4318">
        <f t="shared" si="966"/>
        <v>0</v>
      </c>
      <c r="BG182" s="4319">
        <f t="shared" si="966"/>
        <v>1393.936962</v>
      </c>
      <c r="BH182" s="4319">
        <f t="shared" si="966"/>
        <v>1393.936962</v>
      </c>
      <c r="BI182" s="4319">
        <f t="shared" si="966"/>
        <v>0</v>
      </c>
      <c r="BJ182" s="4319">
        <f t="shared" si="950"/>
        <v>-415.92051948000017</v>
      </c>
      <c r="BK182" s="4319">
        <f t="shared" si="950"/>
        <v>-415.92051948000017</v>
      </c>
      <c r="BL182" s="4319">
        <f t="shared" si="950"/>
        <v>0</v>
      </c>
      <c r="BM182" s="4317">
        <f t="shared" ref="BM182:CG182" si="967">SUM(BM15)</f>
        <v>603.28582716000005</v>
      </c>
      <c r="BN182" s="4317">
        <f t="shared" si="967"/>
        <v>603.28582716000005</v>
      </c>
      <c r="BO182" s="4317">
        <f t="shared" si="967"/>
        <v>0</v>
      </c>
      <c r="BP182" s="4316">
        <f t="shared" si="967"/>
        <v>0</v>
      </c>
      <c r="BQ182" s="4316">
        <f t="shared" si="967"/>
        <v>0</v>
      </c>
      <c r="BR182" s="4316">
        <f t="shared" si="967"/>
        <v>0</v>
      </c>
      <c r="BS182" s="4316">
        <f t="shared" si="967"/>
        <v>0</v>
      </c>
      <c r="BT182" s="4316">
        <f t="shared" si="967"/>
        <v>0</v>
      </c>
      <c r="BU182" s="4316">
        <f t="shared" si="967"/>
        <v>0</v>
      </c>
      <c r="BV182" s="4316">
        <f t="shared" si="967"/>
        <v>0</v>
      </c>
      <c r="BW182" s="4316">
        <f t="shared" si="967"/>
        <v>0</v>
      </c>
      <c r="BX182" s="4316">
        <f t="shared" si="967"/>
        <v>0</v>
      </c>
      <c r="BY182" s="4316">
        <f t="shared" si="967"/>
        <v>0</v>
      </c>
      <c r="BZ182" s="4316">
        <f t="shared" si="967"/>
        <v>0</v>
      </c>
      <c r="CA182" s="4316">
        <f t="shared" si="967"/>
        <v>0</v>
      </c>
      <c r="CB182" s="4318">
        <f t="shared" si="967"/>
        <v>2413.1433086400002</v>
      </c>
      <c r="CC182" s="4318">
        <f t="shared" si="967"/>
        <v>2413.1433086400002</v>
      </c>
      <c r="CD182" s="4318">
        <f t="shared" si="967"/>
        <v>0</v>
      </c>
      <c r="CE182" s="4319">
        <f t="shared" si="967"/>
        <v>1393.936962</v>
      </c>
      <c r="CF182" s="4319">
        <f t="shared" si="967"/>
        <v>1393.936962</v>
      </c>
      <c r="CG182" s="4319">
        <f t="shared" si="967"/>
        <v>0</v>
      </c>
      <c r="CH182" s="4319">
        <f t="shared" si="956"/>
        <v>-1019.2063466400002</v>
      </c>
      <c r="CI182" s="4319">
        <f t="shared" si="956"/>
        <v>-1019.2063466400002</v>
      </c>
      <c r="CJ182" s="4319">
        <f t="shared" si="956"/>
        <v>0</v>
      </c>
      <c r="CK182" s="2746"/>
      <c r="CL182" s="2746"/>
      <c r="CM182" s="2746"/>
      <c r="CN182" s="2746"/>
    </row>
    <row r="183" spans="1:92" ht="18.75" x14ac:dyDescent="0.2">
      <c r="A183" s="4315" t="s">
        <v>3643</v>
      </c>
      <c r="B183" s="4317">
        <f t="shared" ref="B183:AG183" si="968">SUM(B16)</f>
        <v>208.075190986287</v>
      </c>
      <c r="C183" s="4317">
        <f t="shared" si="968"/>
        <v>207.737440986287</v>
      </c>
      <c r="D183" s="4317">
        <f t="shared" si="968"/>
        <v>0.33774999999999999</v>
      </c>
      <c r="E183" s="4316">
        <f t="shared" si="968"/>
        <v>68.875454000000005</v>
      </c>
      <c r="F183" s="4316">
        <f t="shared" si="968"/>
        <v>68.875454000000005</v>
      </c>
      <c r="G183" s="4316">
        <f t="shared" si="968"/>
        <v>0</v>
      </c>
      <c r="H183" s="4316">
        <f t="shared" si="968"/>
        <v>70.552982999999998</v>
      </c>
      <c r="I183" s="4316">
        <f t="shared" si="968"/>
        <v>70.552982999999998</v>
      </c>
      <c r="J183" s="4316">
        <f t="shared" si="968"/>
        <v>0</v>
      </c>
      <c r="K183" s="4316">
        <f t="shared" si="968"/>
        <v>67.630992000000006</v>
      </c>
      <c r="L183" s="4316">
        <f t="shared" si="968"/>
        <v>67.630992000000006</v>
      </c>
      <c r="M183" s="4316">
        <f t="shared" si="968"/>
        <v>0</v>
      </c>
      <c r="N183" s="4316">
        <f t="shared" si="968"/>
        <v>207.05942900000002</v>
      </c>
      <c r="O183" s="4316">
        <f t="shared" si="968"/>
        <v>207.05942900000002</v>
      </c>
      <c r="P183" s="4316">
        <f t="shared" si="968"/>
        <v>0</v>
      </c>
      <c r="Q183" s="4317">
        <f t="shared" si="968"/>
        <v>208.075190986287</v>
      </c>
      <c r="R183" s="4317">
        <f t="shared" si="968"/>
        <v>207.737440986287</v>
      </c>
      <c r="S183" s="4317">
        <f t="shared" si="968"/>
        <v>0.33774999999999999</v>
      </c>
      <c r="T183" s="4316">
        <f t="shared" si="968"/>
        <v>63.824885999999999</v>
      </c>
      <c r="U183" s="4316">
        <f t="shared" si="968"/>
        <v>63.824885999999999</v>
      </c>
      <c r="V183" s="4316">
        <f t="shared" si="968"/>
        <v>0</v>
      </c>
      <c r="W183" s="4316">
        <f t="shared" si="968"/>
        <v>59.029519999999998</v>
      </c>
      <c r="X183" s="4316">
        <f t="shared" si="968"/>
        <v>59.029519999999998</v>
      </c>
      <c r="Y183" s="4316">
        <f t="shared" si="968"/>
        <v>0</v>
      </c>
      <c r="Z183" s="4316">
        <f t="shared" si="968"/>
        <v>62.944240999999998</v>
      </c>
      <c r="AA183" s="4316">
        <f t="shared" si="968"/>
        <v>62.944240999999998</v>
      </c>
      <c r="AB183" s="4316">
        <f t="shared" si="968"/>
        <v>0</v>
      </c>
      <c r="AC183" s="4316">
        <f t="shared" si="968"/>
        <v>185.79864699999999</v>
      </c>
      <c r="AD183" s="4316">
        <f t="shared" si="968"/>
        <v>185.79864699999999</v>
      </c>
      <c r="AE183" s="4316">
        <f t="shared" si="968"/>
        <v>0</v>
      </c>
      <c r="AF183" s="4318">
        <f t="shared" si="968"/>
        <v>416.150381972574</v>
      </c>
      <c r="AG183" s="4318">
        <f t="shared" si="968"/>
        <v>415.474881972574</v>
      </c>
      <c r="AH183" s="4318">
        <f t="shared" ref="AH183:BM183" si="969">SUM(AH16)</f>
        <v>0.67549999999999999</v>
      </c>
      <c r="AI183" s="4319">
        <f t="shared" si="969"/>
        <v>392.85807599999998</v>
      </c>
      <c r="AJ183" s="4319">
        <f t="shared" si="969"/>
        <v>392.85807599999998</v>
      </c>
      <c r="AK183" s="4319">
        <f t="shared" si="969"/>
        <v>0</v>
      </c>
      <c r="AL183" s="4319">
        <f t="shared" si="969"/>
        <v>-23.292305972574013</v>
      </c>
      <c r="AM183" s="4319">
        <f t="shared" si="969"/>
        <v>-22.616805972574014</v>
      </c>
      <c r="AN183" s="4319">
        <f t="shared" si="969"/>
        <v>-0.67549999999999999</v>
      </c>
      <c r="AO183" s="4317">
        <f t="shared" si="969"/>
        <v>208.075190986287</v>
      </c>
      <c r="AP183" s="4317">
        <f t="shared" si="969"/>
        <v>207.737440986287</v>
      </c>
      <c r="AQ183" s="4317">
        <f t="shared" si="969"/>
        <v>0.33774999999999999</v>
      </c>
      <c r="AR183" s="4316">
        <f t="shared" si="969"/>
        <v>57.594248999999998</v>
      </c>
      <c r="AS183" s="4316">
        <f t="shared" si="969"/>
        <v>57.594248999999998</v>
      </c>
      <c r="AT183" s="4316">
        <f t="shared" si="969"/>
        <v>0</v>
      </c>
      <c r="AU183" s="4316">
        <f t="shared" si="969"/>
        <v>0</v>
      </c>
      <c r="AV183" s="4316">
        <f t="shared" si="969"/>
        <v>0</v>
      </c>
      <c r="AW183" s="4316">
        <f t="shared" si="969"/>
        <v>0</v>
      </c>
      <c r="AX183" s="4316">
        <f t="shared" si="969"/>
        <v>0</v>
      </c>
      <c r="AY183" s="4316">
        <f t="shared" si="969"/>
        <v>0</v>
      </c>
      <c r="AZ183" s="4316">
        <f t="shared" si="969"/>
        <v>0</v>
      </c>
      <c r="BA183" s="4316">
        <f t="shared" si="969"/>
        <v>57.594248999999998</v>
      </c>
      <c r="BB183" s="4316">
        <f t="shared" si="969"/>
        <v>57.594248999999998</v>
      </c>
      <c r="BC183" s="4316">
        <f t="shared" si="969"/>
        <v>0</v>
      </c>
      <c r="BD183" s="4318">
        <f t="shared" si="969"/>
        <v>624.22557295886099</v>
      </c>
      <c r="BE183" s="4318">
        <f t="shared" si="969"/>
        <v>623.21232295886102</v>
      </c>
      <c r="BF183" s="4318">
        <f t="shared" si="969"/>
        <v>1.01325</v>
      </c>
      <c r="BG183" s="4319">
        <f t="shared" si="969"/>
        <v>450.45232499999997</v>
      </c>
      <c r="BH183" s="4319">
        <f t="shared" si="969"/>
        <v>450.45232499999997</v>
      </c>
      <c r="BI183" s="4319">
        <f t="shared" si="969"/>
        <v>0</v>
      </c>
      <c r="BJ183" s="4319">
        <f t="shared" si="969"/>
        <v>-173.77324795886105</v>
      </c>
      <c r="BK183" s="4319">
        <f t="shared" si="969"/>
        <v>-172.75999795886105</v>
      </c>
      <c r="BL183" s="4319">
        <f t="shared" si="969"/>
        <v>-1.01325</v>
      </c>
      <c r="BM183" s="4317">
        <f t="shared" si="969"/>
        <v>208.075190986287</v>
      </c>
      <c r="BN183" s="4317">
        <f t="shared" ref="BN183:CJ183" si="970">SUM(BN16)</f>
        <v>207.737440986287</v>
      </c>
      <c r="BO183" s="4317">
        <f t="shared" si="970"/>
        <v>0.33774999999999999</v>
      </c>
      <c r="BP183" s="4316">
        <f t="shared" si="970"/>
        <v>0</v>
      </c>
      <c r="BQ183" s="4316">
        <f t="shared" si="970"/>
        <v>0</v>
      </c>
      <c r="BR183" s="4316">
        <f t="shared" si="970"/>
        <v>0</v>
      </c>
      <c r="BS183" s="4316">
        <f t="shared" si="970"/>
        <v>0</v>
      </c>
      <c r="BT183" s="4316">
        <f t="shared" si="970"/>
        <v>0</v>
      </c>
      <c r="BU183" s="4316">
        <f t="shared" si="970"/>
        <v>0</v>
      </c>
      <c r="BV183" s="4316">
        <f t="shared" si="970"/>
        <v>0</v>
      </c>
      <c r="BW183" s="4316">
        <f t="shared" si="970"/>
        <v>0</v>
      </c>
      <c r="BX183" s="4316">
        <f t="shared" si="970"/>
        <v>0</v>
      </c>
      <c r="BY183" s="4316">
        <f t="shared" si="970"/>
        <v>0</v>
      </c>
      <c r="BZ183" s="4316">
        <f t="shared" si="970"/>
        <v>0</v>
      </c>
      <c r="CA183" s="4316">
        <f t="shared" si="970"/>
        <v>0</v>
      </c>
      <c r="CB183" s="4318">
        <f t="shared" si="970"/>
        <v>832.30076394514799</v>
      </c>
      <c r="CC183" s="4318">
        <f t="shared" si="970"/>
        <v>830.94976394514799</v>
      </c>
      <c r="CD183" s="4318">
        <f t="shared" si="970"/>
        <v>1.351</v>
      </c>
      <c r="CE183" s="4319">
        <f t="shared" si="970"/>
        <v>450.45232499999997</v>
      </c>
      <c r="CF183" s="4319">
        <f t="shared" si="970"/>
        <v>450.45232499999997</v>
      </c>
      <c r="CG183" s="4319">
        <f t="shared" si="970"/>
        <v>0</v>
      </c>
      <c r="CH183" s="4319">
        <f t="shared" si="970"/>
        <v>-381.84843894514802</v>
      </c>
      <c r="CI183" s="4319">
        <f t="shared" si="970"/>
        <v>-380.49743894514802</v>
      </c>
      <c r="CJ183" s="4319">
        <f t="shared" si="970"/>
        <v>-1.351</v>
      </c>
      <c r="CK183" s="2746"/>
      <c r="CL183" s="2746"/>
      <c r="CM183" s="2746"/>
      <c r="CN183" s="2746"/>
    </row>
    <row r="184" spans="1:92" ht="18.75" x14ac:dyDescent="0.2">
      <c r="A184" s="2685" t="s">
        <v>3644</v>
      </c>
      <c r="B184" s="4324">
        <f t="shared" ref="B184:AG184" si="971">SUM(B17)</f>
        <v>71.282636797438244</v>
      </c>
      <c r="C184" s="4324">
        <f t="shared" si="971"/>
        <v>71.282636797438244</v>
      </c>
      <c r="D184" s="4324">
        <f t="shared" si="971"/>
        <v>0</v>
      </c>
      <c r="E184" s="4325">
        <f t="shared" si="971"/>
        <v>23.546874000000003</v>
      </c>
      <c r="F184" s="4325">
        <f t="shared" si="971"/>
        <v>23.546874000000003</v>
      </c>
      <c r="G184" s="4325">
        <f t="shared" si="971"/>
        <v>0</v>
      </c>
      <c r="H184" s="4325">
        <f t="shared" si="971"/>
        <v>27.278264999999998</v>
      </c>
      <c r="I184" s="4325">
        <f t="shared" si="971"/>
        <v>27.278264999999998</v>
      </c>
      <c r="J184" s="4325">
        <f t="shared" si="971"/>
        <v>0</v>
      </c>
      <c r="K184" s="4325">
        <f t="shared" si="971"/>
        <v>23.738121</v>
      </c>
      <c r="L184" s="4325">
        <f t="shared" si="971"/>
        <v>23.738121</v>
      </c>
      <c r="M184" s="4325">
        <f t="shared" si="971"/>
        <v>0</v>
      </c>
      <c r="N184" s="4325">
        <f t="shared" si="971"/>
        <v>74.56326</v>
      </c>
      <c r="O184" s="4325">
        <f t="shared" si="971"/>
        <v>74.56326</v>
      </c>
      <c r="P184" s="4325">
        <f t="shared" si="971"/>
        <v>0</v>
      </c>
      <c r="Q184" s="4324">
        <f t="shared" si="971"/>
        <v>71.282636797438244</v>
      </c>
      <c r="R184" s="4324">
        <f t="shared" si="971"/>
        <v>71.282636797438244</v>
      </c>
      <c r="S184" s="4324">
        <f t="shared" si="971"/>
        <v>0</v>
      </c>
      <c r="T184" s="4325">
        <f t="shared" si="971"/>
        <v>24.774189</v>
      </c>
      <c r="U184" s="4325">
        <f t="shared" si="971"/>
        <v>24.774189</v>
      </c>
      <c r="V184" s="4325">
        <f t="shared" si="971"/>
        <v>0</v>
      </c>
      <c r="W184" s="4325">
        <f t="shared" si="971"/>
        <v>21.565643000000001</v>
      </c>
      <c r="X184" s="4325">
        <f t="shared" si="971"/>
        <v>21.565643000000001</v>
      </c>
      <c r="Y184" s="4325">
        <f t="shared" si="971"/>
        <v>0</v>
      </c>
      <c r="Z184" s="4325">
        <f t="shared" si="971"/>
        <v>21.587826</v>
      </c>
      <c r="AA184" s="4325">
        <f t="shared" si="971"/>
        <v>21.587826</v>
      </c>
      <c r="AB184" s="4325">
        <f t="shared" si="971"/>
        <v>0</v>
      </c>
      <c r="AC184" s="4325">
        <f t="shared" si="971"/>
        <v>67.927658000000008</v>
      </c>
      <c r="AD184" s="4325">
        <f t="shared" si="971"/>
        <v>67.927658000000008</v>
      </c>
      <c r="AE184" s="4325">
        <f t="shared" si="971"/>
        <v>0</v>
      </c>
      <c r="AF184" s="4326">
        <f t="shared" si="971"/>
        <v>142.56527359487649</v>
      </c>
      <c r="AG184" s="4326">
        <f t="shared" si="971"/>
        <v>142.56527359487649</v>
      </c>
      <c r="AH184" s="4326">
        <f t="shared" ref="AH184:BM184" si="972">SUM(AH17)</f>
        <v>0</v>
      </c>
      <c r="AI184" s="4323">
        <f t="shared" si="972"/>
        <v>142.49091800000002</v>
      </c>
      <c r="AJ184" s="4323">
        <f t="shared" si="972"/>
        <v>142.49091800000002</v>
      </c>
      <c r="AK184" s="4323">
        <f t="shared" si="972"/>
        <v>0</v>
      </c>
      <c r="AL184" s="4323">
        <f t="shared" si="972"/>
        <v>-7.4355594876465148E-2</v>
      </c>
      <c r="AM184" s="4323">
        <f t="shared" si="972"/>
        <v>-7.4355594876465148E-2</v>
      </c>
      <c r="AN184" s="4323">
        <f t="shared" si="972"/>
        <v>0</v>
      </c>
      <c r="AO184" s="4324">
        <f t="shared" si="972"/>
        <v>71.282636797438244</v>
      </c>
      <c r="AP184" s="4324">
        <f t="shared" si="972"/>
        <v>71.282636797438244</v>
      </c>
      <c r="AQ184" s="4324">
        <f t="shared" si="972"/>
        <v>0</v>
      </c>
      <c r="AR184" s="4325">
        <f t="shared" si="972"/>
        <v>16.194891999999999</v>
      </c>
      <c r="AS184" s="4325">
        <f t="shared" si="972"/>
        <v>16.194891999999999</v>
      </c>
      <c r="AT184" s="4325">
        <f t="shared" si="972"/>
        <v>0</v>
      </c>
      <c r="AU184" s="4325">
        <f t="shared" si="972"/>
        <v>0</v>
      </c>
      <c r="AV184" s="4325">
        <f t="shared" si="972"/>
        <v>0</v>
      </c>
      <c r="AW184" s="4325">
        <f t="shared" si="972"/>
        <v>0</v>
      </c>
      <c r="AX184" s="4325">
        <f t="shared" si="972"/>
        <v>0</v>
      </c>
      <c r="AY184" s="4325">
        <f t="shared" si="972"/>
        <v>0</v>
      </c>
      <c r="AZ184" s="4325">
        <f t="shared" si="972"/>
        <v>0</v>
      </c>
      <c r="BA184" s="4325">
        <f t="shared" si="972"/>
        <v>16.194891999999999</v>
      </c>
      <c r="BB184" s="4325">
        <f t="shared" si="972"/>
        <v>16.194891999999999</v>
      </c>
      <c r="BC184" s="4325">
        <f t="shared" si="972"/>
        <v>0</v>
      </c>
      <c r="BD184" s="4326">
        <f t="shared" si="972"/>
        <v>213.84791039231473</v>
      </c>
      <c r="BE184" s="4326">
        <f t="shared" si="972"/>
        <v>213.84791039231473</v>
      </c>
      <c r="BF184" s="4326">
        <f t="shared" si="972"/>
        <v>0</v>
      </c>
      <c r="BG184" s="4323">
        <f t="shared" si="972"/>
        <v>158.68581000000003</v>
      </c>
      <c r="BH184" s="4323">
        <f t="shared" si="972"/>
        <v>158.68581000000003</v>
      </c>
      <c r="BI184" s="4323">
        <f t="shared" si="972"/>
        <v>0</v>
      </c>
      <c r="BJ184" s="4323">
        <f t="shared" si="972"/>
        <v>-55.162100392314699</v>
      </c>
      <c r="BK184" s="4323">
        <f t="shared" si="972"/>
        <v>-55.162100392314699</v>
      </c>
      <c r="BL184" s="4323">
        <f t="shared" si="972"/>
        <v>0</v>
      </c>
      <c r="BM184" s="4324">
        <f t="shared" si="972"/>
        <v>71.282636797438244</v>
      </c>
      <c r="BN184" s="4324">
        <f t="shared" ref="BN184:CJ184" si="973">SUM(BN17)</f>
        <v>71.282636797438244</v>
      </c>
      <c r="BO184" s="4324">
        <f t="shared" si="973"/>
        <v>0</v>
      </c>
      <c r="BP184" s="4325">
        <f t="shared" si="973"/>
        <v>0</v>
      </c>
      <c r="BQ184" s="4325">
        <f t="shared" si="973"/>
        <v>0</v>
      </c>
      <c r="BR184" s="4325">
        <f t="shared" si="973"/>
        <v>0</v>
      </c>
      <c r="BS184" s="4325">
        <f t="shared" si="973"/>
        <v>0</v>
      </c>
      <c r="BT184" s="4325">
        <f t="shared" si="973"/>
        <v>0</v>
      </c>
      <c r="BU184" s="4325">
        <f t="shared" si="973"/>
        <v>0</v>
      </c>
      <c r="BV184" s="4325">
        <f t="shared" si="973"/>
        <v>0</v>
      </c>
      <c r="BW184" s="4325">
        <f t="shared" si="973"/>
        <v>0</v>
      </c>
      <c r="BX184" s="4325">
        <f t="shared" si="973"/>
        <v>0</v>
      </c>
      <c r="BY184" s="4325">
        <f t="shared" si="973"/>
        <v>0</v>
      </c>
      <c r="BZ184" s="4325">
        <f t="shared" si="973"/>
        <v>0</v>
      </c>
      <c r="CA184" s="4325">
        <f t="shared" si="973"/>
        <v>0</v>
      </c>
      <c r="CB184" s="4326">
        <f t="shared" si="973"/>
        <v>285.13054718975297</v>
      </c>
      <c r="CC184" s="4326">
        <f t="shared" si="973"/>
        <v>285.13054718975297</v>
      </c>
      <c r="CD184" s="4326">
        <f t="shared" si="973"/>
        <v>0</v>
      </c>
      <c r="CE184" s="4323">
        <f t="shared" si="973"/>
        <v>158.68581000000003</v>
      </c>
      <c r="CF184" s="4323">
        <f t="shared" si="973"/>
        <v>158.68581000000003</v>
      </c>
      <c r="CG184" s="4323">
        <f t="shared" si="973"/>
        <v>0</v>
      </c>
      <c r="CH184" s="4323">
        <f t="shared" si="973"/>
        <v>-126.44473718975294</v>
      </c>
      <c r="CI184" s="4323">
        <f t="shared" si="973"/>
        <v>-126.44473718975294</v>
      </c>
      <c r="CJ184" s="4323">
        <f t="shared" si="973"/>
        <v>0</v>
      </c>
      <c r="CK184" s="2746"/>
      <c r="CL184" s="2746"/>
      <c r="CM184" s="2746"/>
      <c r="CN184" s="2746"/>
    </row>
    <row r="185" spans="1:92" ht="18.75" x14ac:dyDescent="0.2">
      <c r="A185" s="4327" t="s">
        <v>3646</v>
      </c>
      <c r="B185" s="4324">
        <f t="shared" ref="B185:AG185" si="974">SUM(B18)</f>
        <v>27.301249893418845</v>
      </c>
      <c r="C185" s="4324">
        <f t="shared" si="974"/>
        <v>27.301249893418845</v>
      </c>
      <c r="D185" s="4324">
        <f t="shared" si="974"/>
        <v>0</v>
      </c>
      <c r="E185" s="4325">
        <f t="shared" si="974"/>
        <v>8.1056550000000005</v>
      </c>
      <c r="F185" s="4325">
        <f t="shared" si="974"/>
        <v>8.1056550000000005</v>
      </c>
      <c r="G185" s="4325">
        <f t="shared" si="974"/>
        <v>0</v>
      </c>
      <c r="H185" s="4325">
        <f t="shared" si="974"/>
        <v>10.463747</v>
      </c>
      <c r="I185" s="4325">
        <f t="shared" si="974"/>
        <v>10.463747</v>
      </c>
      <c r="J185" s="4325">
        <f t="shared" si="974"/>
        <v>0</v>
      </c>
      <c r="K185" s="4325">
        <f t="shared" si="974"/>
        <v>8.6976750000000003</v>
      </c>
      <c r="L185" s="4325">
        <f t="shared" si="974"/>
        <v>8.6976750000000003</v>
      </c>
      <c r="M185" s="4325">
        <f t="shared" si="974"/>
        <v>0</v>
      </c>
      <c r="N185" s="4325">
        <f t="shared" si="974"/>
        <v>27.267077</v>
      </c>
      <c r="O185" s="4325">
        <f t="shared" si="974"/>
        <v>27.267077</v>
      </c>
      <c r="P185" s="4325">
        <f t="shared" si="974"/>
        <v>0</v>
      </c>
      <c r="Q185" s="4324">
        <f t="shared" si="974"/>
        <v>27.301249893418845</v>
      </c>
      <c r="R185" s="4324">
        <f t="shared" si="974"/>
        <v>27.301249893418845</v>
      </c>
      <c r="S185" s="4324">
        <f t="shared" si="974"/>
        <v>0</v>
      </c>
      <c r="T185" s="4325">
        <f t="shared" si="974"/>
        <v>7.5608870000000001</v>
      </c>
      <c r="U185" s="4325">
        <f t="shared" si="974"/>
        <v>7.5608870000000001</v>
      </c>
      <c r="V185" s="4325">
        <f t="shared" si="974"/>
        <v>0</v>
      </c>
      <c r="W185" s="4325">
        <f t="shared" si="974"/>
        <v>6.6087470000000001</v>
      </c>
      <c r="X185" s="4325">
        <f t="shared" si="974"/>
        <v>6.6087470000000001</v>
      </c>
      <c r="Y185" s="4325">
        <f t="shared" si="974"/>
        <v>0</v>
      </c>
      <c r="Z185" s="4325">
        <f t="shared" si="974"/>
        <v>7.7343409999999997</v>
      </c>
      <c r="AA185" s="4325">
        <f t="shared" si="974"/>
        <v>7.7343409999999997</v>
      </c>
      <c r="AB185" s="4325">
        <f t="shared" si="974"/>
        <v>0</v>
      </c>
      <c r="AC185" s="4325">
        <f t="shared" si="974"/>
        <v>21.903974999999999</v>
      </c>
      <c r="AD185" s="4325">
        <f t="shared" si="974"/>
        <v>21.903974999999999</v>
      </c>
      <c r="AE185" s="4325">
        <f t="shared" si="974"/>
        <v>0</v>
      </c>
      <c r="AF185" s="4326">
        <f t="shared" si="974"/>
        <v>54.60249978683769</v>
      </c>
      <c r="AG185" s="4326">
        <f t="shared" si="974"/>
        <v>54.60249978683769</v>
      </c>
      <c r="AH185" s="4326">
        <f t="shared" ref="AH185:BM185" si="975">SUM(AH18)</f>
        <v>0</v>
      </c>
      <c r="AI185" s="4323">
        <f t="shared" si="975"/>
        <v>49.171052000000003</v>
      </c>
      <c r="AJ185" s="4323">
        <f t="shared" si="975"/>
        <v>49.171052000000003</v>
      </c>
      <c r="AK185" s="4323">
        <f t="shared" si="975"/>
        <v>0</v>
      </c>
      <c r="AL185" s="4323">
        <f t="shared" si="975"/>
        <v>-5.4314477868376869</v>
      </c>
      <c r="AM185" s="4323">
        <f t="shared" si="975"/>
        <v>-5.4314477868376869</v>
      </c>
      <c r="AN185" s="4323">
        <f t="shared" si="975"/>
        <v>0</v>
      </c>
      <c r="AO185" s="4324">
        <f t="shared" si="975"/>
        <v>27.301249893418845</v>
      </c>
      <c r="AP185" s="4324">
        <f t="shared" si="975"/>
        <v>27.301249893418845</v>
      </c>
      <c r="AQ185" s="4324">
        <f t="shared" si="975"/>
        <v>0</v>
      </c>
      <c r="AR185" s="4325">
        <f t="shared" si="975"/>
        <v>7.4032470000000004</v>
      </c>
      <c r="AS185" s="4325">
        <f t="shared" si="975"/>
        <v>7.4032470000000004</v>
      </c>
      <c r="AT185" s="4325">
        <f t="shared" si="975"/>
        <v>0</v>
      </c>
      <c r="AU185" s="4325">
        <f t="shared" si="975"/>
        <v>0</v>
      </c>
      <c r="AV185" s="4325">
        <f t="shared" si="975"/>
        <v>0</v>
      </c>
      <c r="AW185" s="4325">
        <f t="shared" si="975"/>
        <v>0</v>
      </c>
      <c r="AX185" s="4325">
        <f t="shared" si="975"/>
        <v>0</v>
      </c>
      <c r="AY185" s="4325">
        <f t="shared" si="975"/>
        <v>0</v>
      </c>
      <c r="AZ185" s="4325">
        <f t="shared" si="975"/>
        <v>0</v>
      </c>
      <c r="BA185" s="4325">
        <f t="shared" si="975"/>
        <v>7.4032470000000004</v>
      </c>
      <c r="BB185" s="4325">
        <f t="shared" si="975"/>
        <v>7.4032470000000004</v>
      </c>
      <c r="BC185" s="4325">
        <f t="shared" si="975"/>
        <v>0</v>
      </c>
      <c r="BD185" s="4326">
        <f t="shared" si="975"/>
        <v>81.903749680256539</v>
      </c>
      <c r="BE185" s="4326">
        <f t="shared" si="975"/>
        <v>81.903749680256539</v>
      </c>
      <c r="BF185" s="4326">
        <f t="shared" si="975"/>
        <v>0</v>
      </c>
      <c r="BG185" s="4323">
        <f t="shared" si="975"/>
        <v>56.574299000000003</v>
      </c>
      <c r="BH185" s="4323">
        <f t="shared" si="975"/>
        <v>56.574299000000003</v>
      </c>
      <c r="BI185" s="4323">
        <f t="shared" si="975"/>
        <v>0</v>
      </c>
      <c r="BJ185" s="4323">
        <f t="shared" si="975"/>
        <v>-25.329450680256535</v>
      </c>
      <c r="BK185" s="4323">
        <f t="shared" si="975"/>
        <v>-25.329450680256535</v>
      </c>
      <c r="BL185" s="4323">
        <f t="shared" si="975"/>
        <v>0</v>
      </c>
      <c r="BM185" s="4324">
        <f t="shared" si="975"/>
        <v>27.301249893418845</v>
      </c>
      <c r="BN185" s="4324">
        <f t="shared" ref="BN185:CJ185" si="976">SUM(BN18)</f>
        <v>27.301249893418845</v>
      </c>
      <c r="BO185" s="4324">
        <f t="shared" si="976"/>
        <v>0</v>
      </c>
      <c r="BP185" s="4325">
        <f t="shared" si="976"/>
        <v>0</v>
      </c>
      <c r="BQ185" s="4325">
        <f t="shared" si="976"/>
        <v>0</v>
      </c>
      <c r="BR185" s="4325">
        <f t="shared" si="976"/>
        <v>0</v>
      </c>
      <c r="BS185" s="4325">
        <f t="shared" si="976"/>
        <v>0</v>
      </c>
      <c r="BT185" s="4325">
        <f t="shared" si="976"/>
        <v>0</v>
      </c>
      <c r="BU185" s="4325">
        <f t="shared" si="976"/>
        <v>0</v>
      </c>
      <c r="BV185" s="4325">
        <f t="shared" si="976"/>
        <v>0</v>
      </c>
      <c r="BW185" s="4325">
        <f t="shared" si="976"/>
        <v>0</v>
      </c>
      <c r="BX185" s="4325">
        <f t="shared" si="976"/>
        <v>0</v>
      </c>
      <c r="BY185" s="4325">
        <f t="shared" si="976"/>
        <v>0</v>
      </c>
      <c r="BZ185" s="4325">
        <f t="shared" si="976"/>
        <v>0</v>
      </c>
      <c r="CA185" s="4325">
        <f t="shared" si="976"/>
        <v>0</v>
      </c>
      <c r="CB185" s="4326">
        <f t="shared" si="976"/>
        <v>109.20499957367538</v>
      </c>
      <c r="CC185" s="4326">
        <f t="shared" si="976"/>
        <v>109.20499957367538</v>
      </c>
      <c r="CD185" s="4326">
        <f t="shared" si="976"/>
        <v>0</v>
      </c>
      <c r="CE185" s="4323">
        <f t="shared" si="976"/>
        <v>56.574299000000003</v>
      </c>
      <c r="CF185" s="4323">
        <f t="shared" si="976"/>
        <v>56.574299000000003</v>
      </c>
      <c r="CG185" s="4323">
        <f t="shared" si="976"/>
        <v>0</v>
      </c>
      <c r="CH185" s="4323">
        <f t="shared" si="976"/>
        <v>-52.630700573675377</v>
      </c>
      <c r="CI185" s="4323">
        <f t="shared" si="976"/>
        <v>-52.630700573675377</v>
      </c>
      <c r="CJ185" s="4323">
        <f t="shared" si="976"/>
        <v>0</v>
      </c>
      <c r="CK185" s="2746"/>
      <c r="CL185" s="2746"/>
      <c r="CM185" s="2746"/>
      <c r="CN185" s="2746"/>
    </row>
    <row r="186" spans="1:92" ht="18.75" x14ac:dyDescent="0.2">
      <c r="A186" s="4327" t="s">
        <v>3645</v>
      </c>
      <c r="B186" s="4324">
        <f t="shared" ref="B186:AG186" si="977">SUM(B19)</f>
        <v>21.02837785524428</v>
      </c>
      <c r="C186" s="4324">
        <f t="shared" si="977"/>
        <v>21.02837785524428</v>
      </c>
      <c r="D186" s="4324">
        <f t="shared" si="977"/>
        <v>0</v>
      </c>
      <c r="E186" s="4325">
        <f t="shared" si="977"/>
        <v>7.5979999999999999</v>
      </c>
      <c r="F186" s="4325">
        <f t="shared" si="977"/>
        <v>7.5979999999999999</v>
      </c>
      <c r="G186" s="4325">
        <f t="shared" si="977"/>
        <v>0</v>
      </c>
      <c r="H186" s="4325">
        <f t="shared" si="977"/>
        <v>7.2730800000000002</v>
      </c>
      <c r="I186" s="4325">
        <f t="shared" si="977"/>
        <v>7.2730800000000002</v>
      </c>
      <c r="J186" s="4325">
        <f t="shared" si="977"/>
        <v>0</v>
      </c>
      <c r="K186" s="4325">
        <f t="shared" si="977"/>
        <v>6.8420909999999999</v>
      </c>
      <c r="L186" s="4325">
        <f t="shared" si="977"/>
        <v>6.8420909999999999</v>
      </c>
      <c r="M186" s="4325">
        <f t="shared" si="977"/>
        <v>0</v>
      </c>
      <c r="N186" s="4325">
        <f t="shared" si="977"/>
        <v>21.713170999999999</v>
      </c>
      <c r="O186" s="4325">
        <f t="shared" si="977"/>
        <v>21.713170999999999</v>
      </c>
      <c r="P186" s="4325">
        <f t="shared" si="977"/>
        <v>0</v>
      </c>
      <c r="Q186" s="4324">
        <f t="shared" si="977"/>
        <v>21.02837785524428</v>
      </c>
      <c r="R186" s="4324">
        <f t="shared" si="977"/>
        <v>21.02837785524428</v>
      </c>
      <c r="S186" s="4324">
        <f t="shared" si="977"/>
        <v>0</v>
      </c>
      <c r="T186" s="4325">
        <f t="shared" si="977"/>
        <v>7.8351350000000002</v>
      </c>
      <c r="U186" s="4325">
        <f t="shared" si="977"/>
        <v>7.8351350000000002</v>
      </c>
      <c r="V186" s="4325">
        <f t="shared" si="977"/>
        <v>0</v>
      </c>
      <c r="W186" s="4325">
        <f t="shared" si="977"/>
        <v>7.3140000000000001</v>
      </c>
      <c r="X186" s="4325">
        <f t="shared" si="977"/>
        <v>7.3140000000000001</v>
      </c>
      <c r="Y186" s="4325">
        <f t="shared" si="977"/>
        <v>0</v>
      </c>
      <c r="Z186" s="4325">
        <f t="shared" si="977"/>
        <v>7.3983179999999997</v>
      </c>
      <c r="AA186" s="4325">
        <f t="shared" si="977"/>
        <v>7.3983179999999997</v>
      </c>
      <c r="AB186" s="4325">
        <f t="shared" si="977"/>
        <v>0</v>
      </c>
      <c r="AC186" s="4325">
        <f t="shared" si="977"/>
        <v>22.547453000000001</v>
      </c>
      <c r="AD186" s="4325">
        <f t="shared" si="977"/>
        <v>22.547453000000001</v>
      </c>
      <c r="AE186" s="4325">
        <f t="shared" si="977"/>
        <v>0</v>
      </c>
      <c r="AF186" s="4326">
        <f t="shared" si="977"/>
        <v>42.056755710488559</v>
      </c>
      <c r="AG186" s="4326">
        <f t="shared" si="977"/>
        <v>42.056755710488559</v>
      </c>
      <c r="AH186" s="4326">
        <f t="shared" ref="AH186:BM186" si="978">SUM(AH19)</f>
        <v>0</v>
      </c>
      <c r="AI186" s="4323">
        <f t="shared" si="978"/>
        <v>44.260624</v>
      </c>
      <c r="AJ186" s="4323">
        <f t="shared" si="978"/>
        <v>44.260624</v>
      </c>
      <c r="AK186" s="4323">
        <f t="shared" si="978"/>
        <v>0</v>
      </c>
      <c r="AL186" s="4323">
        <f t="shared" si="978"/>
        <v>2.2038682895114405</v>
      </c>
      <c r="AM186" s="4323">
        <f t="shared" si="978"/>
        <v>2.2038682895114405</v>
      </c>
      <c r="AN186" s="4323">
        <f t="shared" si="978"/>
        <v>0</v>
      </c>
      <c r="AO186" s="4324">
        <f t="shared" si="978"/>
        <v>21.02837785524428</v>
      </c>
      <c r="AP186" s="4324">
        <f t="shared" si="978"/>
        <v>21.02837785524428</v>
      </c>
      <c r="AQ186" s="4324">
        <f t="shared" si="978"/>
        <v>0</v>
      </c>
      <c r="AR186" s="4325">
        <f t="shared" si="978"/>
        <v>5.2293799999999999</v>
      </c>
      <c r="AS186" s="4325">
        <f t="shared" si="978"/>
        <v>5.2293799999999999</v>
      </c>
      <c r="AT186" s="4325">
        <f t="shared" si="978"/>
        <v>0</v>
      </c>
      <c r="AU186" s="4325">
        <f t="shared" si="978"/>
        <v>0</v>
      </c>
      <c r="AV186" s="4325">
        <f t="shared" si="978"/>
        <v>0</v>
      </c>
      <c r="AW186" s="4325">
        <f t="shared" si="978"/>
        <v>0</v>
      </c>
      <c r="AX186" s="4325">
        <f t="shared" si="978"/>
        <v>0</v>
      </c>
      <c r="AY186" s="4325">
        <f t="shared" si="978"/>
        <v>0</v>
      </c>
      <c r="AZ186" s="4325">
        <f t="shared" si="978"/>
        <v>0</v>
      </c>
      <c r="BA186" s="4325">
        <f t="shared" si="978"/>
        <v>5.2293799999999999</v>
      </c>
      <c r="BB186" s="4325">
        <f t="shared" si="978"/>
        <v>5.2293799999999999</v>
      </c>
      <c r="BC186" s="4325">
        <f t="shared" si="978"/>
        <v>0</v>
      </c>
      <c r="BD186" s="4326">
        <f t="shared" si="978"/>
        <v>63.085133565732839</v>
      </c>
      <c r="BE186" s="4326">
        <f t="shared" si="978"/>
        <v>63.085133565732839</v>
      </c>
      <c r="BF186" s="4326">
        <f t="shared" si="978"/>
        <v>0</v>
      </c>
      <c r="BG186" s="4323">
        <f t="shared" si="978"/>
        <v>49.490003999999999</v>
      </c>
      <c r="BH186" s="4323">
        <f t="shared" si="978"/>
        <v>49.490003999999999</v>
      </c>
      <c r="BI186" s="4323">
        <f t="shared" si="978"/>
        <v>0</v>
      </c>
      <c r="BJ186" s="4323">
        <f t="shared" si="978"/>
        <v>-13.59512956573284</v>
      </c>
      <c r="BK186" s="4323">
        <f t="shared" si="978"/>
        <v>-13.59512956573284</v>
      </c>
      <c r="BL186" s="4323">
        <f t="shared" si="978"/>
        <v>0</v>
      </c>
      <c r="BM186" s="4324">
        <f t="shared" si="978"/>
        <v>21.02837785524428</v>
      </c>
      <c r="BN186" s="4324">
        <f t="shared" ref="BN186:CJ186" si="979">SUM(BN19)</f>
        <v>21.02837785524428</v>
      </c>
      <c r="BO186" s="4324">
        <f t="shared" si="979"/>
        <v>0</v>
      </c>
      <c r="BP186" s="4325">
        <f t="shared" si="979"/>
        <v>0</v>
      </c>
      <c r="BQ186" s="4325">
        <f t="shared" si="979"/>
        <v>0</v>
      </c>
      <c r="BR186" s="4325">
        <f t="shared" si="979"/>
        <v>0</v>
      </c>
      <c r="BS186" s="4325">
        <f t="shared" si="979"/>
        <v>0</v>
      </c>
      <c r="BT186" s="4325">
        <f t="shared" si="979"/>
        <v>0</v>
      </c>
      <c r="BU186" s="4325">
        <f t="shared" si="979"/>
        <v>0</v>
      </c>
      <c r="BV186" s="4325">
        <f t="shared" si="979"/>
        <v>0</v>
      </c>
      <c r="BW186" s="4325">
        <f t="shared" si="979"/>
        <v>0</v>
      </c>
      <c r="BX186" s="4325">
        <f t="shared" si="979"/>
        <v>0</v>
      </c>
      <c r="BY186" s="4325">
        <f t="shared" si="979"/>
        <v>0</v>
      </c>
      <c r="BZ186" s="4325">
        <f t="shared" si="979"/>
        <v>0</v>
      </c>
      <c r="CA186" s="4325">
        <f t="shared" si="979"/>
        <v>0</v>
      </c>
      <c r="CB186" s="4326">
        <f t="shared" si="979"/>
        <v>84.113511420977119</v>
      </c>
      <c r="CC186" s="4326">
        <f t="shared" si="979"/>
        <v>84.113511420977119</v>
      </c>
      <c r="CD186" s="4326">
        <f t="shared" si="979"/>
        <v>0</v>
      </c>
      <c r="CE186" s="4323">
        <f t="shared" si="979"/>
        <v>49.490003999999999</v>
      </c>
      <c r="CF186" s="4323">
        <f t="shared" si="979"/>
        <v>49.490003999999999</v>
      </c>
      <c r="CG186" s="4323">
        <f t="shared" si="979"/>
        <v>0</v>
      </c>
      <c r="CH186" s="4323">
        <f t="shared" si="979"/>
        <v>-34.62350742097712</v>
      </c>
      <c r="CI186" s="4323">
        <f t="shared" si="979"/>
        <v>-34.62350742097712</v>
      </c>
      <c r="CJ186" s="4323">
        <f t="shared" si="979"/>
        <v>0</v>
      </c>
      <c r="CK186" s="2746"/>
      <c r="CL186" s="2746"/>
      <c r="CM186" s="2746"/>
      <c r="CN186" s="2746"/>
    </row>
    <row r="187" spans="1:92" ht="18.75" x14ac:dyDescent="0.2">
      <c r="A187" s="4327" t="s">
        <v>3647</v>
      </c>
      <c r="B187" s="4324">
        <f t="shared" ref="B187:AG187" si="980">SUM(B20)</f>
        <v>22.953009048775115</v>
      </c>
      <c r="C187" s="4324">
        <f t="shared" si="980"/>
        <v>22.953009048775115</v>
      </c>
      <c r="D187" s="4324">
        <f t="shared" si="980"/>
        <v>0</v>
      </c>
      <c r="E187" s="4325">
        <f t="shared" si="980"/>
        <v>7.8432190000000004</v>
      </c>
      <c r="F187" s="4325">
        <f t="shared" si="980"/>
        <v>7.8432190000000004</v>
      </c>
      <c r="G187" s="4325">
        <f t="shared" si="980"/>
        <v>0</v>
      </c>
      <c r="H187" s="4325">
        <f t="shared" si="980"/>
        <v>9.5414379999999994</v>
      </c>
      <c r="I187" s="4325">
        <f t="shared" si="980"/>
        <v>9.5414379999999994</v>
      </c>
      <c r="J187" s="4325">
        <f t="shared" si="980"/>
        <v>0</v>
      </c>
      <c r="K187" s="4325">
        <f t="shared" si="980"/>
        <v>8.1983549999999994</v>
      </c>
      <c r="L187" s="4325">
        <f t="shared" si="980"/>
        <v>8.1983549999999994</v>
      </c>
      <c r="M187" s="4325">
        <f t="shared" si="980"/>
        <v>0</v>
      </c>
      <c r="N187" s="4325">
        <f t="shared" si="980"/>
        <v>25.583012</v>
      </c>
      <c r="O187" s="4325">
        <f t="shared" si="980"/>
        <v>25.583012</v>
      </c>
      <c r="P187" s="4325">
        <f t="shared" si="980"/>
        <v>0</v>
      </c>
      <c r="Q187" s="4324">
        <f t="shared" si="980"/>
        <v>22.953009048775115</v>
      </c>
      <c r="R187" s="4324">
        <f t="shared" si="980"/>
        <v>22.953009048775115</v>
      </c>
      <c r="S187" s="4324">
        <f t="shared" si="980"/>
        <v>0</v>
      </c>
      <c r="T187" s="4325">
        <f t="shared" si="980"/>
        <v>9.3781669999999995</v>
      </c>
      <c r="U187" s="4325">
        <f t="shared" si="980"/>
        <v>9.3781669999999995</v>
      </c>
      <c r="V187" s="4325">
        <f t="shared" si="980"/>
        <v>0</v>
      </c>
      <c r="W187" s="4325">
        <f t="shared" si="980"/>
        <v>7.6428960000000004</v>
      </c>
      <c r="X187" s="4325">
        <f t="shared" si="980"/>
        <v>7.6428960000000004</v>
      </c>
      <c r="Y187" s="4325">
        <f t="shared" si="980"/>
        <v>0</v>
      </c>
      <c r="Z187" s="4325">
        <f t="shared" si="980"/>
        <v>6.4551670000000003</v>
      </c>
      <c r="AA187" s="4325">
        <f t="shared" si="980"/>
        <v>6.4551670000000003</v>
      </c>
      <c r="AB187" s="4325">
        <f t="shared" si="980"/>
        <v>0</v>
      </c>
      <c r="AC187" s="4325">
        <f t="shared" si="980"/>
        <v>23.476229999999997</v>
      </c>
      <c r="AD187" s="4325">
        <f t="shared" si="980"/>
        <v>23.476229999999997</v>
      </c>
      <c r="AE187" s="4325">
        <f t="shared" si="980"/>
        <v>0</v>
      </c>
      <c r="AF187" s="4326">
        <f t="shared" si="980"/>
        <v>45.906018097550231</v>
      </c>
      <c r="AG187" s="4326">
        <f t="shared" si="980"/>
        <v>45.906018097550231</v>
      </c>
      <c r="AH187" s="4326">
        <f t="shared" ref="AH187:BM187" si="981">SUM(AH20)</f>
        <v>0</v>
      </c>
      <c r="AI187" s="4323">
        <f t="shared" si="981"/>
        <v>49.059241999999998</v>
      </c>
      <c r="AJ187" s="4323">
        <f t="shared" si="981"/>
        <v>49.059241999999998</v>
      </c>
      <c r="AK187" s="4323">
        <f t="shared" si="981"/>
        <v>0</v>
      </c>
      <c r="AL187" s="4323">
        <f t="shared" si="981"/>
        <v>3.153223902449767</v>
      </c>
      <c r="AM187" s="4323">
        <f t="shared" si="981"/>
        <v>3.153223902449767</v>
      </c>
      <c r="AN187" s="4323">
        <f t="shared" si="981"/>
        <v>0</v>
      </c>
      <c r="AO187" s="4324">
        <f t="shared" si="981"/>
        <v>22.953009048775115</v>
      </c>
      <c r="AP187" s="4324">
        <f t="shared" si="981"/>
        <v>22.953009048775115</v>
      </c>
      <c r="AQ187" s="4324">
        <f t="shared" si="981"/>
        <v>0</v>
      </c>
      <c r="AR187" s="4325">
        <f t="shared" si="981"/>
        <v>3.562265</v>
      </c>
      <c r="AS187" s="4325">
        <f t="shared" si="981"/>
        <v>3.562265</v>
      </c>
      <c r="AT187" s="4325">
        <f t="shared" si="981"/>
        <v>0</v>
      </c>
      <c r="AU187" s="4325">
        <f t="shared" si="981"/>
        <v>0</v>
      </c>
      <c r="AV187" s="4325">
        <f t="shared" si="981"/>
        <v>0</v>
      </c>
      <c r="AW187" s="4325">
        <f t="shared" si="981"/>
        <v>0</v>
      </c>
      <c r="AX187" s="4325">
        <f t="shared" si="981"/>
        <v>0</v>
      </c>
      <c r="AY187" s="4325">
        <f t="shared" si="981"/>
        <v>0</v>
      </c>
      <c r="AZ187" s="4325">
        <f t="shared" si="981"/>
        <v>0</v>
      </c>
      <c r="BA187" s="4325">
        <f t="shared" si="981"/>
        <v>3.562265</v>
      </c>
      <c r="BB187" s="4325">
        <f t="shared" si="981"/>
        <v>3.562265</v>
      </c>
      <c r="BC187" s="4325">
        <f t="shared" si="981"/>
        <v>0</v>
      </c>
      <c r="BD187" s="4326">
        <f t="shared" si="981"/>
        <v>68.859027146325346</v>
      </c>
      <c r="BE187" s="4326">
        <f t="shared" si="981"/>
        <v>68.859027146325346</v>
      </c>
      <c r="BF187" s="4326">
        <f t="shared" si="981"/>
        <v>0</v>
      </c>
      <c r="BG187" s="4323">
        <f t="shared" si="981"/>
        <v>52.621506999999994</v>
      </c>
      <c r="BH187" s="4323">
        <f t="shared" si="981"/>
        <v>52.621506999999994</v>
      </c>
      <c r="BI187" s="4323">
        <f t="shared" si="981"/>
        <v>0</v>
      </c>
      <c r="BJ187" s="4323">
        <f t="shared" si="981"/>
        <v>-16.237520146325352</v>
      </c>
      <c r="BK187" s="4323">
        <f t="shared" si="981"/>
        <v>-16.237520146325352</v>
      </c>
      <c r="BL187" s="4323">
        <f t="shared" si="981"/>
        <v>0</v>
      </c>
      <c r="BM187" s="4324">
        <f t="shared" si="981"/>
        <v>22.953009048775115</v>
      </c>
      <c r="BN187" s="4324">
        <f t="shared" ref="BN187:CJ187" si="982">SUM(BN20)</f>
        <v>22.953009048775115</v>
      </c>
      <c r="BO187" s="4324">
        <f t="shared" si="982"/>
        <v>0</v>
      </c>
      <c r="BP187" s="4325">
        <f t="shared" si="982"/>
        <v>0</v>
      </c>
      <c r="BQ187" s="4325">
        <f t="shared" si="982"/>
        <v>0</v>
      </c>
      <c r="BR187" s="4325">
        <f t="shared" si="982"/>
        <v>0</v>
      </c>
      <c r="BS187" s="4325">
        <f t="shared" si="982"/>
        <v>0</v>
      </c>
      <c r="BT187" s="4325">
        <f t="shared" si="982"/>
        <v>0</v>
      </c>
      <c r="BU187" s="4325">
        <f t="shared" si="982"/>
        <v>0</v>
      </c>
      <c r="BV187" s="4325">
        <f t="shared" si="982"/>
        <v>0</v>
      </c>
      <c r="BW187" s="4325">
        <f t="shared" si="982"/>
        <v>0</v>
      </c>
      <c r="BX187" s="4325">
        <f t="shared" si="982"/>
        <v>0</v>
      </c>
      <c r="BY187" s="4325">
        <f t="shared" si="982"/>
        <v>0</v>
      </c>
      <c r="BZ187" s="4325">
        <f t="shared" si="982"/>
        <v>0</v>
      </c>
      <c r="CA187" s="4325">
        <f t="shared" si="982"/>
        <v>0</v>
      </c>
      <c r="CB187" s="4326">
        <f t="shared" si="982"/>
        <v>91.812036195100461</v>
      </c>
      <c r="CC187" s="4326">
        <f t="shared" si="982"/>
        <v>91.812036195100461</v>
      </c>
      <c r="CD187" s="4326">
        <f t="shared" si="982"/>
        <v>0</v>
      </c>
      <c r="CE187" s="4323">
        <f t="shared" si="982"/>
        <v>52.621506999999994</v>
      </c>
      <c r="CF187" s="4323">
        <f t="shared" si="982"/>
        <v>52.621506999999994</v>
      </c>
      <c r="CG187" s="4323">
        <f t="shared" si="982"/>
        <v>0</v>
      </c>
      <c r="CH187" s="4323">
        <f t="shared" si="982"/>
        <v>-39.190529195100467</v>
      </c>
      <c r="CI187" s="4323">
        <f t="shared" si="982"/>
        <v>-39.190529195100467</v>
      </c>
      <c r="CJ187" s="4323">
        <f t="shared" si="982"/>
        <v>0</v>
      </c>
      <c r="CK187" s="2746"/>
      <c r="CL187" s="2746"/>
      <c r="CM187" s="2746"/>
      <c r="CN187" s="2746"/>
    </row>
    <row r="188" spans="1:92" ht="18.75" x14ac:dyDescent="0.2">
      <c r="A188" s="4315" t="s">
        <v>3690</v>
      </c>
      <c r="B188" s="4317">
        <f t="shared" ref="B188:AG188" si="983">SUM(B21)</f>
        <v>77.5</v>
      </c>
      <c r="C188" s="4317">
        <f t="shared" si="983"/>
        <v>77.5</v>
      </c>
      <c r="D188" s="4317">
        <f t="shared" si="983"/>
        <v>0</v>
      </c>
      <c r="E188" s="4316">
        <f t="shared" si="983"/>
        <v>30.148</v>
      </c>
      <c r="F188" s="4316">
        <f t="shared" si="983"/>
        <v>30.148</v>
      </c>
      <c r="G188" s="4316">
        <f t="shared" si="983"/>
        <v>0</v>
      </c>
      <c r="H188" s="4316">
        <f t="shared" si="983"/>
        <v>31.448</v>
      </c>
      <c r="I188" s="4316">
        <f t="shared" si="983"/>
        <v>31.448</v>
      </c>
      <c r="J188" s="4316">
        <f t="shared" si="983"/>
        <v>0</v>
      </c>
      <c r="K188" s="4316">
        <f t="shared" si="983"/>
        <v>24.189</v>
      </c>
      <c r="L188" s="4316">
        <f t="shared" si="983"/>
        <v>24.189</v>
      </c>
      <c r="M188" s="4316">
        <f t="shared" si="983"/>
        <v>0</v>
      </c>
      <c r="N188" s="4316">
        <f t="shared" si="983"/>
        <v>85.784999999999997</v>
      </c>
      <c r="O188" s="4316">
        <f t="shared" si="983"/>
        <v>85.784999999999997</v>
      </c>
      <c r="P188" s="4316">
        <f t="shared" si="983"/>
        <v>0</v>
      </c>
      <c r="Q188" s="4317">
        <f t="shared" si="983"/>
        <v>77.5</v>
      </c>
      <c r="R188" s="4317">
        <f t="shared" si="983"/>
        <v>77.5</v>
      </c>
      <c r="S188" s="4317">
        <f t="shared" si="983"/>
        <v>0</v>
      </c>
      <c r="T188" s="4316">
        <f t="shared" si="983"/>
        <v>22.238</v>
      </c>
      <c r="U188" s="4316">
        <f t="shared" si="983"/>
        <v>22.238</v>
      </c>
      <c r="V188" s="4316">
        <f t="shared" si="983"/>
        <v>0</v>
      </c>
      <c r="W188" s="4316">
        <f t="shared" si="983"/>
        <v>22.254999999999999</v>
      </c>
      <c r="X188" s="4316">
        <f t="shared" si="983"/>
        <v>22.254999999999999</v>
      </c>
      <c r="Y188" s="4316">
        <f t="shared" si="983"/>
        <v>0</v>
      </c>
      <c r="Z188" s="4316">
        <f t="shared" si="983"/>
        <v>19.434000000000001</v>
      </c>
      <c r="AA188" s="4316">
        <f t="shared" si="983"/>
        <v>19.434000000000001</v>
      </c>
      <c r="AB188" s="4316">
        <f t="shared" si="983"/>
        <v>0</v>
      </c>
      <c r="AC188" s="4316">
        <f t="shared" si="983"/>
        <v>63.926999999999992</v>
      </c>
      <c r="AD188" s="4316">
        <f t="shared" si="983"/>
        <v>63.926999999999992</v>
      </c>
      <c r="AE188" s="4316">
        <f t="shared" si="983"/>
        <v>0</v>
      </c>
      <c r="AF188" s="4318">
        <f t="shared" si="983"/>
        <v>155</v>
      </c>
      <c r="AG188" s="4318">
        <f t="shared" si="983"/>
        <v>155</v>
      </c>
      <c r="AH188" s="4318">
        <f t="shared" ref="AH188:BM188" si="984">SUM(AH21)</f>
        <v>0</v>
      </c>
      <c r="AI188" s="4319">
        <f t="shared" si="984"/>
        <v>149.71199999999999</v>
      </c>
      <c r="AJ188" s="4319">
        <f t="shared" si="984"/>
        <v>149.71199999999999</v>
      </c>
      <c r="AK188" s="4319">
        <f t="shared" si="984"/>
        <v>0</v>
      </c>
      <c r="AL188" s="4319">
        <f t="shared" si="984"/>
        <v>-5.2880000000000109</v>
      </c>
      <c r="AM188" s="4319">
        <f t="shared" si="984"/>
        <v>-5.2880000000000109</v>
      </c>
      <c r="AN188" s="4319">
        <f t="shared" si="984"/>
        <v>0</v>
      </c>
      <c r="AO188" s="4317">
        <f t="shared" si="984"/>
        <v>77.5</v>
      </c>
      <c r="AP188" s="4317">
        <f t="shared" si="984"/>
        <v>77.5</v>
      </c>
      <c r="AQ188" s="4317">
        <f t="shared" si="984"/>
        <v>0</v>
      </c>
      <c r="AR188" s="4316">
        <f t="shared" si="984"/>
        <v>12.215</v>
      </c>
      <c r="AS188" s="4316">
        <f t="shared" si="984"/>
        <v>12.215</v>
      </c>
      <c r="AT188" s="4316">
        <f t="shared" si="984"/>
        <v>0</v>
      </c>
      <c r="AU188" s="4316">
        <f t="shared" si="984"/>
        <v>0</v>
      </c>
      <c r="AV188" s="4316">
        <f t="shared" si="984"/>
        <v>0</v>
      </c>
      <c r="AW188" s="4316">
        <f t="shared" si="984"/>
        <v>0</v>
      </c>
      <c r="AX188" s="4316">
        <f t="shared" si="984"/>
        <v>0</v>
      </c>
      <c r="AY188" s="4316">
        <f t="shared" si="984"/>
        <v>0</v>
      </c>
      <c r="AZ188" s="4316">
        <f t="shared" si="984"/>
        <v>0</v>
      </c>
      <c r="BA188" s="4316">
        <f t="shared" si="984"/>
        <v>12.215</v>
      </c>
      <c r="BB188" s="4316">
        <f t="shared" si="984"/>
        <v>12.215</v>
      </c>
      <c r="BC188" s="4316">
        <f t="shared" si="984"/>
        <v>0</v>
      </c>
      <c r="BD188" s="4318">
        <f t="shared" si="984"/>
        <v>232.5</v>
      </c>
      <c r="BE188" s="4318">
        <f t="shared" si="984"/>
        <v>232.5</v>
      </c>
      <c r="BF188" s="4318">
        <f t="shared" si="984"/>
        <v>0</v>
      </c>
      <c r="BG188" s="4319">
        <f t="shared" si="984"/>
        <v>161.92699999999999</v>
      </c>
      <c r="BH188" s="4319">
        <f t="shared" si="984"/>
        <v>161.92699999999999</v>
      </c>
      <c r="BI188" s="4319">
        <f t="shared" si="984"/>
        <v>0</v>
      </c>
      <c r="BJ188" s="4319">
        <f t="shared" si="984"/>
        <v>-70.573000000000008</v>
      </c>
      <c r="BK188" s="4319">
        <f t="shared" si="984"/>
        <v>-70.573000000000008</v>
      </c>
      <c r="BL188" s="4319">
        <f t="shared" si="984"/>
        <v>0</v>
      </c>
      <c r="BM188" s="4317">
        <f t="shared" si="984"/>
        <v>77.5</v>
      </c>
      <c r="BN188" s="4317">
        <f t="shared" ref="BN188:CJ188" si="985">SUM(BN21)</f>
        <v>77.5</v>
      </c>
      <c r="BO188" s="4317">
        <f t="shared" si="985"/>
        <v>0</v>
      </c>
      <c r="BP188" s="4316">
        <f t="shared" si="985"/>
        <v>0</v>
      </c>
      <c r="BQ188" s="4316">
        <f t="shared" si="985"/>
        <v>0</v>
      </c>
      <c r="BR188" s="4316">
        <f t="shared" si="985"/>
        <v>0</v>
      </c>
      <c r="BS188" s="4316">
        <f t="shared" si="985"/>
        <v>0</v>
      </c>
      <c r="BT188" s="4316">
        <f t="shared" si="985"/>
        <v>0</v>
      </c>
      <c r="BU188" s="4316">
        <f t="shared" si="985"/>
        <v>0</v>
      </c>
      <c r="BV188" s="4316">
        <f t="shared" si="985"/>
        <v>0</v>
      </c>
      <c r="BW188" s="4316">
        <f t="shared" si="985"/>
        <v>0</v>
      </c>
      <c r="BX188" s="4316">
        <f t="shared" si="985"/>
        <v>0</v>
      </c>
      <c r="BY188" s="4316">
        <f t="shared" si="985"/>
        <v>0</v>
      </c>
      <c r="BZ188" s="4316">
        <f t="shared" si="985"/>
        <v>0</v>
      </c>
      <c r="CA188" s="4316">
        <f t="shared" si="985"/>
        <v>0</v>
      </c>
      <c r="CB188" s="4318">
        <f t="shared" si="985"/>
        <v>310</v>
      </c>
      <c r="CC188" s="4318">
        <f t="shared" si="985"/>
        <v>310</v>
      </c>
      <c r="CD188" s="4318">
        <f t="shared" si="985"/>
        <v>0</v>
      </c>
      <c r="CE188" s="4319">
        <f t="shared" si="985"/>
        <v>161.92699999999999</v>
      </c>
      <c r="CF188" s="4319">
        <f t="shared" si="985"/>
        <v>161.92699999999999</v>
      </c>
      <c r="CG188" s="4319">
        <f t="shared" si="985"/>
        <v>0</v>
      </c>
      <c r="CH188" s="4319">
        <f t="shared" si="985"/>
        <v>-148.07300000000001</v>
      </c>
      <c r="CI188" s="4319">
        <f t="shared" si="985"/>
        <v>-148.07300000000001</v>
      </c>
      <c r="CJ188" s="4319">
        <f t="shared" si="985"/>
        <v>0</v>
      </c>
      <c r="CK188" s="2746"/>
      <c r="CL188" s="2746"/>
      <c r="CM188" s="2746"/>
      <c r="CN188" s="2746"/>
    </row>
    <row r="189" spans="1:92" ht="18.75" x14ac:dyDescent="0.2">
      <c r="A189" s="4320" t="s">
        <v>637</v>
      </c>
      <c r="B189" s="4324">
        <f t="shared" ref="B189:AG189" si="986">SUM(B22)</f>
        <v>77.5</v>
      </c>
      <c r="C189" s="4324">
        <f t="shared" si="986"/>
        <v>77.5</v>
      </c>
      <c r="D189" s="4324">
        <f t="shared" si="986"/>
        <v>0</v>
      </c>
      <c r="E189" s="4325">
        <f t="shared" si="986"/>
        <v>30.148</v>
      </c>
      <c r="F189" s="4325">
        <f t="shared" si="986"/>
        <v>30.148</v>
      </c>
      <c r="G189" s="4325">
        <f t="shared" si="986"/>
        <v>0</v>
      </c>
      <c r="H189" s="4325">
        <f t="shared" si="986"/>
        <v>31.448</v>
      </c>
      <c r="I189" s="4325">
        <f t="shared" si="986"/>
        <v>31.448</v>
      </c>
      <c r="J189" s="4325">
        <f t="shared" si="986"/>
        <v>0</v>
      </c>
      <c r="K189" s="4325">
        <f t="shared" si="986"/>
        <v>24.189</v>
      </c>
      <c r="L189" s="4325">
        <f t="shared" si="986"/>
        <v>24.189</v>
      </c>
      <c r="M189" s="4325">
        <f t="shared" si="986"/>
        <v>0</v>
      </c>
      <c r="N189" s="4325">
        <f t="shared" si="986"/>
        <v>85.784999999999997</v>
      </c>
      <c r="O189" s="4325">
        <f t="shared" si="986"/>
        <v>85.784999999999997</v>
      </c>
      <c r="P189" s="4325">
        <f t="shared" si="986"/>
        <v>0</v>
      </c>
      <c r="Q189" s="4324">
        <f t="shared" si="986"/>
        <v>77.5</v>
      </c>
      <c r="R189" s="4324">
        <f t="shared" si="986"/>
        <v>77.5</v>
      </c>
      <c r="S189" s="4324">
        <f t="shared" si="986"/>
        <v>0</v>
      </c>
      <c r="T189" s="4325">
        <f t="shared" si="986"/>
        <v>22.238</v>
      </c>
      <c r="U189" s="4325">
        <f t="shared" si="986"/>
        <v>22.238</v>
      </c>
      <c r="V189" s="4325">
        <f t="shared" si="986"/>
        <v>0</v>
      </c>
      <c r="W189" s="4325">
        <f t="shared" si="986"/>
        <v>22.254999999999999</v>
      </c>
      <c r="X189" s="4325">
        <f t="shared" si="986"/>
        <v>22.254999999999999</v>
      </c>
      <c r="Y189" s="4325">
        <f t="shared" si="986"/>
        <v>0</v>
      </c>
      <c r="Z189" s="4325">
        <f t="shared" si="986"/>
        <v>19.434000000000001</v>
      </c>
      <c r="AA189" s="4325">
        <f t="shared" si="986"/>
        <v>19.434000000000001</v>
      </c>
      <c r="AB189" s="4325">
        <f t="shared" si="986"/>
        <v>0</v>
      </c>
      <c r="AC189" s="4325">
        <f t="shared" si="986"/>
        <v>63.926999999999992</v>
      </c>
      <c r="AD189" s="4325">
        <f t="shared" si="986"/>
        <v>63.926999999999992</v>
      </c>
      <c r="AE189" s="4325">
        <f t="shared" si="986"/>
        <v>0</v>
      </c>
      <c r="AF189" s="4326">
        <f t="shared" si="986"/>
        <v>155</v>
      </c>
      <c r="AG189" s="4326">
        <f t="shared" si="986"/>
        <v>155</v>
      </c>
      <c r="AH189" s="4326">
        <f t="shared" ref="AH189:BM189" si="987">SUM(AH22)</f>
        <v>0</v>
      </c>
      <c r="AI189" s="4323">
        <f t="shared" si="987"/>
        <v>149.71199999999999</v>
      </c>
      <c r="AJ189" s="4323">
        <f t="shared" si="987"/>
        <v>149.71199999999999</v>
      </c>
      <c r="AK189" s="4323">
        <f t="shared" si="987"/>
        <v>0</v>
      </c>
      <c r="AL189" s="4323">
        <f t="shared" si="987"/>
        <v>-5.2880000000000109</v>
      </c>
      <c r="AM189" s="4323">
        <f t="shared" si="987"/>
        <v>-5.2880000000000109</v>
      </c>
      <c r="AN189" s="4323">
        <f t="shared" si="987"/>
        <v>0</v>
      </c>
      <c r="AO189" s="4324">
        <f t="shared" si="987"/>
        <v>77.5</v>
      </c>
      <c r="AP189" s="4324">
        <f t="shared" si="987"/>
        <v>77.5</v>
      </c>
      <c r="AQ189" s="4324">
        <f t="shared" si="987"/>
        <v>0</v>
      </c>
      <c r="AR189" s="4325">
        <f t="shared" si="987"/>
        <v>12.215</v>
      </c>
      <c r="AS189" s="4325">
        <f t="shared" si="987"/>
        <v>12.215</v>
      </c>
      <c r="AT189" s="4325">
        <f t="shared" si="987"/>
        <v>0</v>
      </c>
      <c r="AU189" s="4325">
        <f t="shared" si="987"/>
        <v>0</v>
      </c>
      <c r="AV189" s="4325">
        <f t="shared" si="987"/>
        <v>0</v>
      </c>
      <c r="AW189" s="4325">
        <f t="shared" si="987"/>
        <v>0</v>
      </c>
      <c r="AX189" s="4325">
        <f t="shared" si="987"/>
        <v>0</v>
      </c>
      <c r="AY189" s="4325">
        <f t="shared" si="987"/>
        <v>0</v>
      </c>
      <c r="AZ189" s="4325">
        <f t="shared" si="987"/>
        <v>0</v>
      </c>
      <c r="BA189" s="4325">
        <f t="shared" si="987"/>
        <v>12.215</v>
      </c>
      <c r="BB189" s="4325">
        <f t="shared" si="987"/>
        <v>12.215</v>
      </c>
      <c r="BC189" s="4325">
        <f t="shared" si="987"/>
        <v>0</v>
      </c>
      <c r="BD189" s="4326">
        <f t="shared" si="987"/>
        <v>232.5</v>
      </c>
      <c r="BE189" s="4326">
        <f t="shared" si="987"/>
        <v>232.5</v>
      </c>
      <c r="BF189" s="4326">
        <f t="shared" si="987"/>
        <v>0</v>
      </c>
      <c r="BG189" s="4323">
        <f t="shared" si="987"/>
        <v>161.92699999999999</v>
      </c>
      <c r="BH189" s="4323">
        <f t="shared" si="987"/>
        <v>161.92699999999999</v>
      </c>
      <c r="BI189" s="4323">
        <f t="shared" si="987"/>
        <v>0</v>
      </c>
      <c r="BJ189" s="4323">
        <f t="shared" si="987"/>
        <v>-70.573000000000008</v>
      </c>
      <c r="BK189" s="4323">
        <f t="shared" si="987"/>
        <v>-70.573000000000008</v>
      </c>
      <c r="BL189" s="4323">
        <f t="shared" si="987"/>
        <v>0</v>
      </c>
      <c r="BM189" s="4324">
        <f t="shared" si="987"/>
        <v>77.5</v>
      </c>
      <c r="BN189" s="4324">
        <f t="shared" ref="BN189:CJ189" si="988">SUM(BN22)</f>
        <v>77.5</v>
      </c>
      <c r="BO189" s="4324">
        <f t="shared" si="988"/>
        <v>0</v>
      </c>
      <c r="BP189" s="4325">
        <f t="shared" si="988"/>
        <v>0</v>
      </c>
      <c r="BQ189" s="4325">
        <f t="shared" si="988"/>
        <v>0</v>
      </c>
      <c r="BR189" s="4325">
        <f t="shared" si="988"/>
        <v>0</v>
      </c>
      <c r="BS189" s="4325">
        <f t="shared" si="988"/>
        <v>0</v>
      </c>
      <c r="BT189" s="4325">
        <f t="shared" si="988"/>
        <v>0</v>
      </c>
      <c r="BU189" s="4325">
        <f t="shared" si="988"/>
        <v>0</v>
      </c>
      <c r="BV189" s="4325">
        <f t="shared" si="988"/>
        <v>0</v>
      </c>
      <c r="BW189" s="4325">
        <f t="shared" si="988"/>
        <v>0</v>
      </c>
      <c r="BX189" s="4325">
        <f t="shared" si="988"/>
        <v>0</v>
      </c>
      <c r="BY189" s="4325">
        <f t="shared" si="988"/>
        <v>0</v>
      </c>
      <c r="BZ189" s="4325">
        <f t="shared" si="988"/>
        <v>0</v>
      </c>
      <c r="CA189" s="4325">
        <f t="shared" si="988"/>
        <v>0</v>
      </c>
      <c r="CB189" s="4326">
        <f t="shared" si="988"/>
        <v>310</v>
      </c>
      <c r="CC189" s="4326">
        <f t="shared" si="988"/>
        <v>310</v>
      </c>
      <c r="CD189" s="4326">
        <f t="shared" si="988"/>
        <v>0</v>
      </c>
      <c r="CE189" s="4323">
        <f t="shared" si="988"/>
        <v>161.92699999999999</v>
      </c>
      <c r="CF189" s="4323">
        <f t="shared" si="988"/>
        <v>161.92699999999999</v>
      </c>
      <c r="CG189" s="4323">
        <f t="shared" si="988"/>
        <v>0</v>
      </c>
      <c r="CH189" s="4323">
        <f t="shared" si="988"/>
        <v>-148.07300000000001</v>
      </c>
      <c r="CI189" s="4323">
        <f t="shared" si="988"/>
        <v>-148.07300000000001</v>
      </c>
      <c r="CJ189" s="4323">
        <f t="shared" si="988"/>
        <v>0</v>
      </c>
      <c r="CK189" s="2746"/>
      <c r="CL189" s="2746"/>
      <c r="CM189" s="2746"/>
      <c r="CN189" s="2746"/>
    </row>
    <row r="190" spans="1:92" ht="18.75" x14ac:dyDescent="0.2">
      <c r="A190" s="4320" t="s">
        <v>638</v>
      </c>
      <c r="B190" s="4324">
        <f t="shared" ref="B190:AG190" si="989">SUM(B23)</f>
        <v>0</v>
      </c>
      <c r="C190" s="4324">
        <f t="shared" si="989"/>
        <v>0</v>
      </c>
      <c r="D190" s="4324">
        <f t="shared" si="989"/>
        <v>0</v>
      </c>
      <c r="E190" s="4325">
        <f t="shared" si="989"/>
        <v>0</v>
      </c>
      <c r="F190" s="4325">
        <f t="shared" si="989"/>
        <v>0</v>
      </c>
      <c r="G190" s="4325">
        <f t="shared" si="989"/>
        <v>0</v>
      </c>
      <c r="H190" s="4325">
        <f t="shared" si="989"/>
        <v>0</v>
      </c>
      <c r="I190" s="4325">
        <f t="shared" si="989"/>
        <v>0</v>
      </c>
      <c r="J190" s="4325">
        <f t="shared" si="989"/>
        <v>0</v>
      </c>
      <c r="K190" s="4325">
        <f t="shared" si="989"/>
        <v>0</v>
      </c>
      <c r="L190" s="4325">
        <f t="shared" si="989"/>
        <v>0</v>
      </c>
      <c r="M190" s="4325">
        <f t="shared" si="989"/>
        <v>0</v>
      </c>
      <c r="N190" s="4325">
        <f t="shared" si="989"/>
        <v>0</v>
      </c>
      <c r="O190" s="4325">
        <f t="shared" si="989"/>
        <v>0</v>
      </c>
      <c r="P190" s="4325">
        <f t="shared" si="989"/>
        <v>0</v>
      </c>
      <c r="Q190" s="4324">
        <f t="shared" si="989"/>
        <v>0</v>
      </c>
      <c r="R190" s="4324">
        <f t="shared" si="989"/>
        <v>0</v>
      </c>
      <c r="S190" s="4324">
        <f t="shared" si="989"/>
        <v>0</v>
      </c>
      <c r="T190" s="4325">
        <f t="shared" si="989"/>
        <v>0</v>
      </c>
      <c r="U190" s="4325">
        <f t="shared" si="989"/>
        <v>0</v>
      </c>
      <c r="V190" s="4325">
        <f t="shared" si="989"/>
        <v>0</v>
      </c>
      <c r="W190" s="4325">
        <f t="shared" si="989"/>
        <v>0</v>
      </c>
      <c r="X190" s="4325">
        <f t="shared" si="989"/>
        <v>0</v>
      </c>
      <c r="Y190" s="4325">
        <f t="shared" si="989"/>
        <v>0</v>
      </c>
      <c r="Z190" s="4325">
        <f t="shared" si="989"/>
        <v>0</v>
      </c>
      <c r="AA190" s="4325">
        <f t="shared" si="989"/>
        <v>0</v>
      </c>
      <c r="AB190" s="4325">
        <f t="shared" si="989"/>
        <v>0</v>
      </c>
      <c r="AC190" s="4325">
        <f t="shared" si="989"/>
        <v>0</v>
      </c>
      <c r="AD190" s="4325">
        <f t="shared" si="989"/>
        <v>0</v>
      </c>
      <c r="AE190" s="4325">
        <f t="shared" si="989"/>
        <v>0</v>
      </c>
      <c r="AF190" s="4326">
        <f t="shared" si="989"/>
        <v>0</v>
      </c>
      <c r="AG190" s="4326">
        <f t="shared" si="989"/>
        <v>0</v>
      </c>
      <c r="AH190" s="4326">
        <f t="shared" ref="AH190:BM190" si="990">SUM(AH23)</f>
        <v>0</v>
      </c>
      <c r="AI190" s="4323">
        <f t="shared" si="990"/>
        <v>0</v>
      </c>
      <c r="AJ190" s="4323">
        <f t="shared" si="990"/>
        <v>0</v>
      </c>
      <c r="AK190" s="4323">
        <f t="shared" si="990"/>
        <v>0</v>
      </c>
      <c r="AL190" s="4323">
        <f t="shared" si="990"/>
        <v>0</v>
      </c>
      <c r="AM190" s="4323">
        <f t="shared" si="990"/>
        <v>0</v>
      </c>
      <c r="AN190" s="4323">
        <f t="shared" si="990"/>
        <v>0</v>
      </c>
      <c r="AO190" s="4324">
        <f t="shared" si="990"/>
        <v>0</v>
      </c>
      <c r="AP190" s="4324">
        <f t="shared" si="990"/>
        <v>0</v>
      </c>
      <c r="AQ190" s="4324">
        <f t="shared" si="990"/>
        <v>0</v>
      </c>
      <c r="AR190" s="4325">
        <f t="shared" si="990"/>
        <v>0</v>
      </c>
      <c r="AS190" s="4325">
        <f t="shared" si="990"/>
        <v>0</v>
      </c>
      <c r="AT190" s="4325">
        <f t="shared" si="990"/>
        <v>0</v>
      </c>
      <c r="AU190" s="4325">
        <f t="shared" si="990"/>
        <v>0</v>
      </c>
      <c r="AV190" s="4325">
        <f t="shared" si="990"/>
        <v>0</v>
      </c>
      <c r="AW190" s="4325">
        <f t="shared" si="990"/>
        <v>0</v>
      </c>
      <c r="AX190" s="4325">
        <f t="shared" si="990"/>
        <v>0</v>
      </c>
      <c r="AY190" s="4325">
        <f t="shared" si="990"/>
        <v>0</v>
      </c>
      <c r="AZ190" s="4325">
        <f t="shared" si="990"/>
        <v>0</v>
      </c>
      <c r="BA190" s="4325">
        <f t="shared" si="990"/>
        <v>0</v>
      </c>
      <c r="BB190" s="4325">
        <f t="shared" si="990"/>
        <v>0</v>
      </c>
      <c r="BC190" s="4325">
        <f t="shared" si="990"/>
        <v>0</v>
      </c>
      <c r="BD190" s="4326">
        <f t="shared" si="990"/>
        <v>0</v>
      </c>
      <c r="BE190" s="4326">
        <f t="shared" si="990"/>
        <v>0</v>
      </c>
      <c r="BF190" s="4326">
        <f t="shared" si="990"/>
        <v>0</v>
      </c>
      <c r="BG190" s="4323">
        <f t="shared" si="990"/>
        <v>0</v>
      </c>
      <c r="BH190" s="4323">
        <f t="shared" si="990"/>
        <v>0</v>
      </c>
      <c r="BI190" s="4323">
        <f t="shared" si="990"/>
        <v>0</v>
      </c>
      <c r="BJ190" s="4323">
        <f t="shared" si="990"/>
        <v>0</v>
      </c>
      <c r="BK190" s="4323">
        <f t="shared" si="990"/>
        <v>0</v>
      </c>
      <c r="BL190" s="4323">
        <f t="shared" si="990"/>
        <v>0</v>
      </c>
      <c r="BM190" s="4324">
        <f t="shared" si="990"/>
        <v>0</v>
      </c>
      <c r="BN190" s="4324">
        <f t="shared" ref="BN190:CJ190" si="991">SUM(BN23)</f>
        <v>0</v>
      </c>
      <c r="BO190" s="4324">
        <f t="shared" si="991"/>
        <v>0</v>
      </c>
      <c r="BP190" s="4325">
        <f t="shared" si="991"/>
        <v>0</v>
      </c>
      <c r="BQ190" s="4325">
        <f t="shared" si="991"/>
        <v>0</v>
      </c>
      <c r="BR190" s="4325">
        <f t="shared" si="991"/>
        <v>0</v>
      </c>
      <c r="BS190" s="4325">
        <f t="shared" si="991"/>
        <v>0</v>
      </c>
      <c r="BT190" s="4325">
        <f t="shared" si="991"/>
        <v>0</v>
      </c>
      <c r="BU190" s="4325">
        <f t="shared" si="991"/>
        <v>0</v>
      </c>
      <c r="BV190" s="4325">
        <f t="shared" si="991"/>
        <v>0</v>
      </c>
      <c r="BW190" s="4325">
        <f t="shared" si="991"/>
        <v>0</v>
      </c>
      <c r="BX190" s="4325">
        <f t="shared" si="991"/>
        <v>0</v>
      </c>
      <c r="BY190" s="4325">
        <f t="shared" si="991"/>
        <v>0</v>
      </c>
      <c r="BZ190" s="4325">
        <f t="shared" si="991"/>
        <v>0</v>
      </c>
      <c r="CA190" s="4325">
        <f t="shared" si="991"/>
        <v>0</v>
      </c>
      <c r="CB190" s="4326">
        <f t="shared" si="991"/>
        <v>0</v>
      </c>
      <c r="CC190" s="4326">
        <f t="shared" si="991"/>
        <v>0</v>
      </c>
      <c r="CD190" s="4326">
        <f t="shared" si="991"/>
        <v>0</v>
      </c>
      <c r="CE190" s="4323">
        <f t="shared" si="991"/>
        <v>0</v>
      </c>
      <c r="CF190" s="4323">
        <f t="shared" si="991"/>
        <v>0</v>
      </c>
      <c r="CG190" s="4323">
        <f t="shared" si="991"/>
        <v>0</v>
      </c>
      <c r="CH190" s="4323">
        <f t="shared" si="991"/>
        <v>0</v>
      </c>
      <c r="CI190" s="4323">
        <f t="shared" si="991"/>
        <v>0</v>
      </c>
      <c r="CJ190" s="4323">
        <f t="shared" si="991"/>
        <v>0</v>
      </c>
      <c r="CK190" s="2746"/>
      <c r="CL190" s="2746"/>
      <c r="CM190" s="2746"/>
      <c r="CN190" s="2746"/>
    </row>
    <row r="191" spans="1:92" ht="18" customHeight="1" x14ac:dyDescent="0.3">
      <c r="A191" s="4329" t="s">
        <v>3691</v>
      </c>
      <c r="B191" s="4330"/>
      <c r="C191" s="4330"/>
      <c r="D191" s="4330"/>
      <c r="E191" s="4330"/>
      <c r="F191" s="4330"/>
      <c r="G191" s="4330"/>
      <c r="H191" s="4330"/>
      <c r="I191" s="4330"/>
      <c r="J191" s="4330"/>
      <c r="K191" s="4330"/>
      <c r="L191" s="4330"/>
      <c r="M191" s="4330"/>
      <c r="N191" s="4330"/>
      <c r="O191" s="4330"/>
      <c r="P191" s="4330"/>
      <c r="Q191" s="4330"/>
      <c r="R191" s="4330"/>
      <c r="S191" s="4330"/>
      <c r="T191" s="4330"/>
      <c r="U191" s="4330"/>
      <c r="V191" s="4330"/>
      <c r="W191" s="4330"/>
      <c r="X191" s="4330"/>
      <c r="Y191" s="4330"/>
      <c r="Z191" s="4330"/>
      <c r="AA191" s="4330"/>
      <c r="AB191" s="4330"/>
      <c r="AC191" s="4330"/>
      <c r="AD191" s="4330"/>
      <c r="AE191" s="4330"/>
      <c r="AF191" s="4330"/>
      <c r="AG191" s="4330"/>
      <c r="AH191" s="4330"/>
      <c r="AI191" s="4330"/>
      <c r="AJ191" s="4330"/>
      <c r="AK191" s="4330"/>
      <c r="AL191" s="4330"/>
      <c r="AM191" s="4330"/>
      <c r="AN191" s="4330"/>
      <c r="AO191" s="4330"/>
      <c r="AP191" s="4330"/>
      <c r="AQ191" s="4330"/>
      <c r="AR191" s="4330"/>
      <c r="AS191" s="4330"/>
      <c r="AT191" s="4330"/>
      <c r="AU191" s="4330"/>
      <c r="AV191" s="4330"/>
      <c r="AW191" s="4330"/>
      <c r="AX191" s="4330"/>
      <c r="AY191" s="4330"/>
      <c r="AZ191" s="4330"/>
      <c r="BA191" s="4330"/>
      <c r="BB191" s="4330"/>
      <c r="BC191" s="4330"/>
      <c r="BD191" s="4330"/>
      <c r="BE191" s="4330"/>
      <c r="BF191" s="4330"/>
      <c r="BG191" s="4330"/>
      <c r="BH191" s="4330"/>
      <c r="BI191" s="4330"/>
      <c r="BJ191" s="4330"/>
      <c r="BK191" s="4330"/>
      <c r="BL191" s="4330"/>
      <c r="BM191" s="4330"/>
      <c r="BN191" s="4330"/>
      <c r="BO191" s="4330"/>
      <c r="BP191" s="4330"/>
      <c r="BQ191" s="4330"/>
      <c r="BR191" s="4330"/>
      <c r="BS191" s="4330"/>
      <c r="BT191" s="4330"/>
      <c r="BU191" s="4330"/>
      <c r="BV191" s="4330"/>
      <c r="BW191" s="4330"/>
      <c r="BX191" s="4330"/>
      <c r="BY191" s="4330"/>
      <c r="BZ191" s="4330"/>
      <c r="CA191" s="4330"/>
      <c r="CB191" s="4330"/>
      <c r="CC191" s="4330"/>
      <c r="CD191" s="4330"/>
      <c r="CE191" s="4330"/>
      <c r="CF191" s="4330"/>
      <c r="CG191" s="4330"/>
      <c r="CH191" s="4330"/>
      <c r="CI191" s="4353"/>
      <c r="CJ191" s="4354"/>
      <c r="CK191" s="2746"/>
      <c r="CL191" s="2746"/>
      <c r="CM191" s="2746"/>
      <c r="CN191" s="2746"/>
    </row>
    <row r="192" spans="1:92" ht="18.75" customHeight="1" x14ac:dyDescent="0.2">
      <c r="A192" s="5401" t="s">
        <v>525</v>
      </c>
      <c r="B192" s="5402" t="s">
        <v>3678</v>
      </c>
      <c r="C192" s="5403"/>
      <c r="D192" s="5403"/>
      <c r="E192" s="5403"/>
      <c r="F192" s="5403"/>
      <c r="G192" s="5403"/>
      <c r="H192" s="5403"/>
      <c r="I192" s="5403"/>
      <c r="J192" s="5403"/>
      <c r="K192" s="5403"/>
      <c r="L192" s="5403"/>
      <c r="M192" s="5403"/>
      <c r="N192" s="5403"/>
      <c r="O192" s="5403"/>
      <c r="P192" s="5404"/>
      <c r="Q192" s="5405" t="s">
        <v>3679</v>
      </c>
      <c r="R192" s="5406"/>
      <c r="S192" s="5406"/>
      <c r="T192" s="5406"/>
      <c r="U192" s="5406"/>
      <c r="V192" s="5406"/>
      <c r="W192" s="5406"/>
      <c r="X192" s="5406"/>
      <c r="Y192" s="5406"/>
      <c r="Z192" s="5406"/>
      <c r="AA192" s="5406"/>
      <c r="AB192" s="5406"/>
      <c r="AC192" s="5406"/>
      <c r="AD192" s="5407"/>
      <c r="AE192" s="5408"/>
      <c r="AF192" s="5409" t="s">
        <v>3680</v>
      </c>
      <c r="AG192" s="5410"/>
      <c r="AH192" s="5410"/>
      <c r="AI192" s="5410"/>
      <c r="AJ192" s="5410"/>
      <c r="AK192" s="5410"/>
      <c r="AL192" s="5410"/>
      <c r="AM192" s="5411"/>
      <c r="AN192" s="5412"/>
      <c r="AO192" s="5402" t="s">
        <v>3681</v>
      </c>
      <c r="AP192" s="5403"/>
      <c r="AQ192" s="5403"/>
      <c r="AR192" s="5403"/>
      <c r="AS192" s="5403"/>
      <c r="AT192" s="5403"/>
      <c r="AU192" s="5403"/>
      <c r="AV192" s="5403"/>
      <c r="AW192" s="5403"/>
      <c r="AX192" s="5403"/>
      <c r="AY192" s="5403"/>
      <c r="AZ192" s="5403"/>
      <c r="BA192" s="5403"/>
      <c r="BB192" s="5411"/>
      <c r="BC192" s="5412"/>
      <c r="BD192" s="5409" t="s">
        <v>3682</v>
      </c>
      <c r="BE192" s="5410"/>
      <c r="BF192" s="5410"/>
      <c r="BG192" s="5410"/>
      <c r="BH192" s="5410"/>
      <c r="BI192" s="5410"/>
      <c r="BJ192" s="5410"/>
      <c r="BK192" s="5411"/>
      <c r="BL192" s="5412"/>
      <c r="BM192" s="5414" t="s">
        <v>3683</v>
      </c>
      <c r="BN192" s="5415"/>
      <c r="BO192" s="5415"/>
      <c r="BP192" s="5415"/>
      <c r="BQ192" s="5415"/>
      <c r="BR192" s="5415"/>
      <c r="BS192" s="5415"/>
      <c r="BT192" s="5415"/>
      <c r="BU192" s="5415"/>
      <c r="BV192" s="5415"/>
      <c r="BW192" s="5415"/>
      <c r="BX192" s="5415"/>
      <c r="BY192" s="5415"/>
      <c r="BZ192" s="5214"/>
      <c r="CA192" s="5214"/>
      <c r="CB192" s="5409" t="s">
        <v>1991</v>
      </c>
      <c r="CC192" s="5410"/>
      <c r="CD192" s="5410"/>
      <c r="CE192" s="5410"/>
      <c r="CF192" s="5410"/>
      <c r="CG192" s="5410"/>
      <c r="CH192" s="5410"/>
      <c r="CI192" s="5416"/>
      <c r="CJ192" s="5417"/>
      <c r="CK192" s="2746"/>
      <c r="CL192" s="2746"/>
      <c r="CM192" s="2746"/>
      <c r="CN192" s="2746"/>
    </row>
    <row r="193" spans="1:92" ht="18.75" customHeight="1" x14ac:dyDescent="0.2">
      <c r="A193" s="5324"/>
      <c r="B193" s="5405" t="s">
        <v>3550</v>
      </c>
      <c r="C193" s="5406"/>
      <c r="D193" s="5418"/>
      <c r="E193" s="5414" t="s">
        <v>569</v>
      </c>
      <c r="F193" s="5415"/>
      <c r="G193" s="5419"/>
      <c r="H193" s="5414" t="s">
        <v>570</v>
      </c>
      <c r="I193" s="5415"/>
      <c r="J193" s="5419"/>
      <c r="K193" s="5414" t="s">
        <v>571</v>
      </c>
      <c r="L193" s="5415"/>
      <c r="M193" s="5419"/>
      <c r="N193" s="5405" t="s">
        <v>1674</v>
      </c>
      <c r="O193" s="5406"/>
      <c r="P193" s="5418"/>
      <c r="Q193" s="5405" t="s">
        <v>3550</v>
      </c>
      <c r="R193" s="5406"/>
      <c r="S193" s="5418"/>
      <c r="T193" s="5420" t="s">
        <v>3684</v>
      </c>
      <c r="U193" s="5421"/>
      <c r="V193" s="5422"/>
      <c r="W193" s="5420" t="s">
        <v>573</v>
      </c>
      <c r="X193" s="5421"/>
      <c r="Y193" s="5422"/>
      <c r="Z193" s="5420" t="s">
        <v>574</v>
      </c>
      <c r="AA193" s="5421"/>
      <c r="AB193" s="5422"/>
      <c r="AC193" s="5405" t="s">
        <v>1674</v>
      </c>
      <c r="AD193" s="5406"/>
      <c r="AE193" s="5418"/>
      <c r="AF193" s="5429" t="s">
        <v>3550</v>
      </c>
      <c r="AG193" s="5430"/>
      <c r="AH193" s="5431"/>
      <c r="AI193" s="5429" t="s">
        <v>1674</v>
      </c>
      <c r="AJ193" s="5430"/>
      <c r="AK193" s="5431"/>
      <c r="AL193" s="5429" t="s">
        <v>3685</v>
      </c>
      <c r="AM193" s="5430"/>
      <c r="AN193" s="5431"/>
      <c r="AO193" s="5423" t="s">
        <v>3550</v>
      </c>
      <c r="AP193" s="5424"/>
      <c r="AQ193" s="5425"/>
      <c r="AR193" s="5450" t="s">
        <v>575</v>
      </c>
      <c r="AS193" s="5451"/>
      <c r="AT193" s="5452"/>
      <c r="AU193" s="5450" t="s">
        <v>576</v>
      </c>
      <c r="AV193" s="5451"/>
      <c r="AW193" s="5452"/>
      <c r="AX193" s="5450" t="s">
        <v>577</v>
      </c>
      <c r="AY193" s="5451"/>
      <c r="AZ193" s="5452"/>
      <c r="BA193" s="5423" t="s">
        <v>1674</v>
      </c>
      <c r="BB193" s="5424"/>
      <c r="BC193" s="5425"/>
      <c r="BD193" s="5426" t="s">
        <v>3550</v>
      </c>
      <c r="BE193" s="5427"/>
      <c r="BF193" s="5428"/>
      <c r="BG193" s="5426" t="s">
        <v>1674</v>
      </c>
      <c r="BH193" s="5427"/>
      <c r="BI193" s="5428"/>
      <c r="BJ193" s="5426" t="s">
        <v>3685</v>
      </c>
      <c r="BK193" s="5427"/>
      <c r="BL193" s="5428"/>
      <c r="BM193" s="5441" t="s">
        <v>3550</v>
      </c>
      <c r="BN193" s="5442"/>
      <c r="BO193" s="5446"/>
      <c r="BP193" s="5447" t="s">
        <v>578</v>
      </c>
      <c r="BQ193" s="5448"/>
      <c r="BR193" s="5449"/>
      <c r="BS193" s="5447" t="s">
        <v>579</v>
      </c>
      <c r="BT193" s="5448"/>
      <c r="BU193" s="5449"/>
      <c r="BV193" s="5447" t="s">
        <v>580</v>
      </c>
      <c r="BW193" s="5448"/>
      <c r="BX193" s="5449"/>
      <c r="BY193" s="5441" t="s">
        <v>1674</v>
      </c>
      <c r="BZ193" s="5442"/>
      <c r="CA193" s="5442"/>
      <c r="CB193" s="5318" t="s">
        <v>3550</v>
      </c>
      <c r="CC193" s="5319"/>
      <c r="CD193" s="5320"/>
      <c r="CE193" s="5318" t="s">
        <v>1674</v>
      </c>
      <c r="CF193" s="5319"/>
      <c r="CG193" s="5320"/>
      <c r="CH193" s="5318" t="s">
        <v>3685</v>
      </c>
      <c r="CI193" s="5321"/>
      <c r="CJ193" s="5322"/>
      <c r="CK193" s="2746"/>
      <c r="CL193" s="2746"/>
      <c r="CM193" s="2746"/>
      <c r="CN193" s="2746"/>
    </row>
    <row r="194" spans="1:92" ht="18.75" customHeight="1" x14ac:dyDescent="0.2">
      <c r="A194" s="5324"/>
      <c r="B194" s="4308" t="s">
        <v>614</v>
      </c>
      <c r="C194" s="4308" t="s">
        <v>3686</v>
      </c>
      <c r="D194" s="4308" t="s">
        <v>3626</v>
      </c>
      <c r="E194" s="4308" t="s">
        <v>614</v>
      </c>
      <c r="F194" s="4308" t="s">
        <v>3686</v>
      </c>
      <c r="G194" s="4308" t="s">
        <v>3626</v>
      </c>
      <c r="H194" s="4308" t="s">
        <v>614</v>
      </c>
      <c r="I194" s="4308" t="s">
        <v>3686</v>
      </c>
      <c r="J194" s="4308" t="s">
        <v>3626</v>
      </c>
      <c r="K194" s="4308" t="s">
        <v>614</v>
      </c>
      <c r="L194" s="4308" t="s">
        <v>3686</v>
      </c>
      <c r="M194" s="4308" t="s">
        <v>3626</v>
      </c>
      <c r="N194" s="4308" t="s">
        <v>614</v>
      </c>
      <c r="O194" s="4308" t="s">
        <v>3686</v>
      </c>
      <c r="P194" s="4308" t="s">
        <v>3626</v>
      </c>
      <c r="Q194" s="4308" t="s">
        <v>614</v>
      </c>
      <c r="R194" s="4308" t="s">
        <v>3686</v>
      </c>
      <c r="S194" s="4308" t="s">
        <v>3626</v>
      </c>
      <c r="T194" s="4308" t="s">
        <v>614</v>
      </c>
      <c r="U194" s="4308" t="s">
        <v>3686</v>
      </c>
      <c r="V194" s="4308" t="s">
        <v>3626</v>
      </c>
      <c r="W194" s="4308" t="s">
        <v>614</v>
      </c>
      <c r="X194" s="4308" t="s">
        <v>3686</v>
      </c>
      <c r="Y194" s="4308" t="s">
        <v>3626</v>
      </c>
      <c r="Z194" s="4308" t="s">
        <v>614</v>
      </c>
      <c r="AA194" s="4308" t="s">
        <v>3686</v>
      </c>
      <c r="AB194" s="4308" t="s">
        <v>3626</v>
      </c>
      <c r="AC194" s="4308" t="s">
        <v>614</v>
      </c>
      <c r="AD194" s="4308" t="s">
        <v>3686</v>
      </c>
      <c r="AE194" s="4308" t="s">
        <v>3626</v>
      </c>
      <c r="AF194" s="4309" t="s">
        <v>614</v>
      </c>
      <c r="AG194" s="4309" t="s">
        <v>3686</v>
      </c>
      <c r="AH194" s="4309" t="s">
        <v>3626</v>
      </c>
      <c r="AI194" s="4309" t="s">
        <v>614</v>
      </c>
      <c r="AJ194" s="4309" t="s">
        <v>3686</v>
      </c>
      <c r="AK194" s="4309" t="s">
        <v>3626</v>
      </c>
      <c r="AL194" s="4309" t="s">
        <v>614</v>
      </c>
      <c r="AM194" s="4309" t="s">
        <v>3686</v>
      </c>
      <c r="AN194" s="4309" t="s">
        <v>3626</v>
      </c>
      <c r="AO194" s="4308" t="s">
        <v>614</v>
      </c>
      <c r="AP194" s="4308" t="s">
        <v>3686</v>
      </c>
      <c r="AQ194" s="4308" t="s">
        <v>3626</v>
      </c>
      <c r="AR194" s="4308" t="s">
        <v>614</v>
      </c>
      <c r="AS194" s="4308" t="s">
        <v>3686</v>
      </c>
      <c r="AT194" s="4308" t="s">
        <v>3626</v>
      </c>
      <c r="AU194" s="4308" t="s">
        <v>614</v>
      </c>
      <c r="AV194" s="4308" t="s">
        <v>3686</v>
      </c>
      <c r="AW194" s="4308" t="s">
        <v>3626</v>
      </c>
      <c r="AX194" s="4308" t="s">
        <v>614</v>
      </c>
      <c r="AY194" s="4308" t="s">
        <v>3686</v>
      </c>
      <c r="AZ194" s="4308" t="s">
        <v>3626</v>
      </c>
      <c r="BA194" s="4308" t="s">
        <v>614</v>
      </c>
      <c r="BB194" s="4308" t="s">
        <v>3686</v>
      </c>
      <c r="BC194" s="4308" t="s">
        <v>3626</v>
      </c>
      <c r="BD194" s="4309" t="s">
        <v>614</v>
      </c>
      <c r="BE194" s="4309" t="s">
        <v>3686</v>
      </c>
      <c r="BF194" s="4309" t="s">
        <v>3626</v>
      </c>
      <c r="BG194" s="4309" t="s">
        <v>614</v>
      </c>
      <c r="BH194" s="4309" t="s">
        <v>3686</v>
      </c>
      <c r="BI194" s="4309" t="s">
        <v>3626</v>
      </c>
      <c r="BJ194" s="4309" t="s">
        <v>614</v>
      </c>
      <c r="BK194" s="4309" t="s">
        <v>3686</v>
      </c>
      <c r="BL194" s="4309" t="s">
        <v>3626</v>
      </c>
      <c r="BM194" s="4308" t="s">
        <v>614</v>
      </c>
      <c r="BN194" s="4308" t="s">
        <v>3686</v>
      </c>
      <c r="BO194" s="4308" t="s">
        <v>3626</v>
      </c>
      <c r="BP194" s="4308" t="s">
        <v>614</v>
      </c>
      <c r="BQ194" s="4308" t="s">
        <v>3686</v>
      </c>
      <c r="BR194" s="4308" t="s">
        <v>3626</v>
      </c>
      <c r="BS194" s="4308" t="s">
        <v>614</v>
      </c>
      <c r="BT194" s="4308" t="s">
        <v>3686</v>
      </c>
      <c r="BU194" s="4308" t="s">
        <v>3626</v>
      </c>
      <c r="BV194" s="4308" t="s">
        <v>614</v>
      </c>
      <c r="BW194" s="4308" t="s">
        <v>3686</v>
      </c>
      <c r="BX194" s="4308" t="s">
        <v>3626</v>
      </c>
      <c r="BY194" s="4308" t="s">
        <v>614</v>
      </c>
      <c r="BZ194" s="4308" t="s">
        <v>3686</v>
      </c>
      <c r="CA194" s="4310" t="s">
        <v>3626</v>
      </c>
      <c r="CB194" s="4309" t="s">
        <v>614</v>
      </c>
      <c r="CC194" s="4309" t="s">
        <v>3686</v>
      </c>
      <c r="CD194" s="4309" t="s">
        <v>3626</v>
      </c>
      <c r="CE194" s="4309" t="s">
        <v>614</v>
      </c>
      <c r="CF194" s="4309" t="s">
        <v>3686</v>
      </c>
      <c r="CG194" s="4309" t="s">
        <v>3626</v>
      </c>
      <c r="CH194" s="4309" t="s">
        <v>614</v>
      </c>
      <c r="CI194" s="4309" t="s">
        <v>3686</v>
      </c>
      <c r="CJ194" s="4309" t="s">
        <v>3626</v>
      </c>
      <c r="CK194" s="2746"/>
      <c r="CL194" s="2746"/>
      <c r="CM194" s="2746"/>
      <c r="CN194" s="2746"/>
    </row>
    <row r="195" spans="1:92" ht="18.75" x14ac:dyDescent="0.3">
      <c r="A195" s="4334" t="s">
        <v>1</v>
      </c>
      <c r="B195" s="4355">
        <f t="shared" ref="B195:AK195" si="992">SUM(B29+B53+B67)</f>
        <v>3402.2619773607112</v>
      </c>
      <c r="C195" s="4355">
        <f t="shared" si="992"/>
        <v>3401.9446880252981</v>
      </c>
      <c r="D195" s="4355">
        <f t="shared" si="992"/>
        <v>0.31728933541304999</v>
      </c>
      <c r="E195" s="4356">
        <f t="shared" si="992"/>
        <v>1002.7460000000001</v>
      </c>
      <c r="F195" s="4356">
        <f t="shared" si="992"/>
        <v>1002.7460000000001</v>
      </c>
      <c r="G195" s="4356">
        <f t="shared" si="992"/>
        <v>0</v>
      </c>
      <c r="H195" s="4356">
        <f t="shared" si="992"/>
        <v>943.827</v>
      </c>
      <c r="I195" s="4356">
        <f t="shared" si="992"/>
        <v>943.827</v>
      </c>
      <c r="J195" s="4356">
        <f t="shared" si="992"/>
        <v>0</v>
      </c>
      <c r="K195" s="4356">
        <f t="shared" si="992"/>
        <v>1051.231</v>
      </c>
      <c r="L195" s="4356">
        <f t="shared" si="992"/>
        <v>1051.231</v>
      </c>
      <c r="M195" s="4356">
        <f t="shared" si="992"/>
        <v>0</v>
      </c>
      <c r="N195" s="4356">
        <f t="shared" si="992"/>
        <v>2997.8040000000001</v>
      </c>
      <c r="O195" s="4356">
        <f t="shared" si="992"/>
        <v>2997.8040000000001</v>
      </c>
      <c r="P195" s="4356">
        <f t="shared" si="992"/>
        <v>0</v>
      </c>
      <c r="Q195" s="4355">
        <f t="shared" si="992"/>
        <v>3402.2619773607112</v>
      </c>
      <c r="R195" s="4355">
        <f t="shared" si="992"/>
        <v>3401.9446880252981</v>
      </c>
      <c r="S195" s="4355">
        <f t="shared" si="992"/>
        <v>0.31728933541304999</v>
      </c>
      <c r="T195" s="4356">
        <f t="shared" si="992"/>
        <v>1098.373</v>
      </c>
      <c r="U195" s="4356">
        <f t="shared" si="992"/>
        <v>1098.373</v>
      </c>
      <c r="V195" s="4356">
        <f t="shared" si="992"/>
        <v>0</v>
      </c>
      <c r="W195" s="4356">
        <f t="shared" si="992"/>
        <v>1287.289</v>
      </c>
      <c r="X195" s="4356">
        <f t="shared" si="992"/>
        <v>1287.289</v>
      </c>
      <c r="Y195" s="4356">
        <f t="shared" si="992"/>
        <v>0</v>
      </c>
      <c r="Z195" s="4356">
        <f t="shared" si="992"/>
        <v>1010.88</v>
      </c>
      <c r="AA195" s="4356">
        <f t="shared" si="992"/>
        <v>1010.88</v>
      </c>
      <c r="AB195" s="4356">
        <f t="shared" si="992"/>
        <v>0</v>
      </c>
      <c r="AC195" s="4356">
        <f t="shared" si="992"/>
        <v>3396.5419999999999</v>
      </c>
      <c r="AD195" s="4356">
        <f t="shared" si="992"/>
        <v>3396.5419999999999</v>
      </c>
      <c r="AE195" s="4356">
        <f t="shared" si="992"/>
        <v>0</v>
      </c>
      <c r="AF195" s="4357">
        <f t="shared" si="992"/>
        <v>6804.5239547214223</v>
      </c>
      <c r="AG195" s="4357">
        <f t="shared" si="992"/>
        <v>6803.8893760505962</v>
      </c>
      <c r="AH195" s="4357">
        <f t="shared" si="992"/>
        <v>0.63457867082609998</v>
      </c>
      <c r="AI195" s="4358">
        <f t="shared" si="992"/>
        <v>6394.3460000000005</v>
      </c>
      <c r="AJ195" s="4358">
        <f t="shared" si="992"/>
        <v>6394.3460000000005</v>
      </c>
      <c r="AK195" s="4358">
        <f t="shared" si="992"/>
        <v>0</v>
      </c>
      <c r="AL195" s="4319">
        <f t="shared" ref="AL195:AN226" si="993">SUM(AI195-AF195)</f>
        <v>-410.17795472142188</v>
      </c>
      <c r="AM195" s="4319">
        <f t="shared" si="993"/>
        <v>-409.54337605059573</v>
      </c>
      <c r="AN195" s="4319">
        <f t="shared" si="993"/>
        <v>-0.63457867082609998</v>
      </c>
      <c r="AO195" s="4355">
        <f t="shared" ref="AO195:BI195" si="994">SUM(AO29+AO53+AO67)</f>
        <v>3402.2619773607112</v>
      </c>
      <c r="AP195" s="4355">
        <f t="shared" si="994"/>
        <v>3401.9446880252981</v>
      </c>
      <c r="AQ195" s="4355">
        <f t="shared" si="994"/>
        <v>0.31728933541304999</v>
      </c>
      <c r="AR195" s="4356">
        <f t="shared" si="994"/>
        <v>941.70600000000002</v>
      </c>
      <c r="AS195" s="4356">
        <f t="shared" si="994"/>
        <v>941.70600000000002</v>
      </c>
      <c r="AT195" s="4356">
        <f t="shared" si="994"/>
        <v>0</v>
      </c>
      <c r="AU195" s="4356">
        <f t="shared" si="994"/>
        <v>0</v>
      </c>
      <c r="AV195" s="4356">
        <f t="shared" si="994"/>
        <v>0</v>
      </c>
      <c r="AW195" s="4356">
        <f t="shared" si="994"/>
        <v>0</v>
      </c>
      <c r="AX195" s="4356">
        <f t="shared" si="994"/>
        <v>0</v>
      </c>
      <c r="AY195" s="4356">
        <f t="shared" si="994"/>
        <v>0</v>
      </c>
      <c r="AZ195" s="4356">
        <f t="shared" si="994"/>
        <v>0</v>
      </c>
      <c r="BA195" s="4356">
        <f t="shared" si="994"/>
        <v>941.70600000000002</v>
      </c>
      <c r="BB195" s="4356">
        <f t="shared" si="994"/>
        <v>941.70600000000002</v>
      </c>
      <c r="BC195" s="4356">
        <f t="shared" si="994"/>
        <v>0</v>
      </c>
      <c r="BD195" s="4357">
        <f t="shared" si="994"/>
        <v>10206.785932082134</v>
      </c>
      <c r="BE195" s="4357">
        <f t="shared" si="994"/>
        <v>10205.834064075894</v>
      </c>
      <c r="BF195" s="4357">
        <f t="shared" si="994"/>
        <v>0.95186800623915002</v>
      </c>
      <c r="BG195" s="4358">
        <f t="shared" si="994"/>
        <v>7336.0519999999997</v>
      </c>
      <c r="BH195" s="4358">
        <f t="shared" si="994"/>
        <v>7336.0519999999997</v>
      </c>
      <c r="BI195" s="4358">
        <f t="shared" si="994"/>
        <v>0</v>
      </c>
      <c r="BJ195" s="4319">
        <f t="shared" ref="BJ195:BJ226" si="995">SUM(BG195-BD195)</f>
        <v>-2870.7339320821338</v>
      </c>
      <c r="BK195" s="4319">
        <f t="shared" ref="BK195:BL226" si="996">SUM(BH195-BE195)</f>
        <v>-2869.7820640758946</v>
      </c>
      <c r="BL195" s="4319">
        <f t="shared" si="996"/>
        <v>-0.95186800623915002</v>
      </c>
      <c r="BM195" s="4355">
        <f t="shared" ref="BM195:CG195" si="997">SUM(BM29+BM53+BM67)</f>
        <v>3402.2619773607112</v>
      </c>
      <c r="BN195" s="4355">
        <f t="shared" si="997"/>
        <v>3401.9446880252981</v>
      </c>
      <c r="BO195" s="4355">
        <f t="shared" si="997"/>
        <v>0.31728933541304999</v>
      </c>
      <c r="BP195" s="4356">
        <f t="shared" si="997"/>
        <v>0</v>
      </c>
      <c r="BQ195" s="4356">
        <f t="shared" si="997"/>
        <v>0</v>
      </c>
      <c r="BR195" s="4356">
        <f t="shared" si="997"/>
        <v>0</v>
      </c>
      <c r="BS195" s="4356">
        <f t="shared" si="997"/>
        <v>0</v>
      </c>
      <c r="BT195" s="4356">
        <f t="shared" si="997"/>
        <v>0</v>
      </c>
      <c r="BU195" s="4356">
        <f t="shared" si="997"/>
        <v>0</v>
      </c>
      <c r="BV195" s="4356">
        <f t="shared" si="997"/>
        <v>0</v>
      </c>
      <c r="BW195" s="4356">
        <f t="shared" si="997"/>
        <v>0</v>
      </c>
      <c r="BX195" s="4356">
        <f t="shared" si="997"/>
        <v>0</v>
      </c>
      <c r="BY195" s="4356">
        <f t="shared" si="997"/>
        <v>0</v>
      </c>
      <c r="BZ195" s="4356">
        <f t="shared" si="997"/>
        <v>0</v>
      </c>
      <c r="CA195" s="4356">
        <f t="shared" si="997"/>
        <v>0</v>
      </c>
      <c r="CB195" s="4357">
        <f t="shared" si="997"/>
        <v>13609.047909442845</v>
      </c>
      <c r="CC195" s="4357">
        <f t="shared" si="997"/>
        <v>13607.778752101192</v>
      </c>
      <c r="CD195" s="4357">
        <f t="shared" si="997"/>
        <v>1.2691573416522</v>
      </c>
      <c r="CE195" s="4358">
        <f t="shared" si="997"/>
        <v>7336.0519999999997</v>
      </c>
      <c r="CF195" s="4358">
        <f t="shared" si="997"/>
        <v>7336.0519999999997</v>
      </c>
      <c r="CG195" s="4358">
        <f t="shared" si="997"/>
        <v>0</v>
      </c>
      <c r="CH195" s="4319">
        <f t="shared" ref="CH195:CH226" si="998">SUM(CE195-CB195)</f>
        <v>-6272.995909442845</v>
      </c>
      <c r="CI195" s="4319">
        <f t="shared" ref="CI195:CJ226" si="999">SUM(CF195-CC195)</f>
        <v>-6271.7267521011927</v>
      </c>
      <c r="CJ195" s="4319">
        <f t="shared" si="999"/>
        <v>-1.2691573416522</v>
      </c>
      <c r="CK195" s="2746"/>
      <c r="CL195" s="2746"/>
      <c r="CM195" s="2746"/>
      <c r="CN195" s="2746"/>
    </row>
    <row r="196" spans="1:92" ht="18.75" x14ac:dyDescent="0.3">
      <c r="A196" s="4334" t="s">
        <v>2</v>
      </c>
      <c r="B196" s="4355">
        <f t="shared" ref="B196:AK196" si="1000">SUM(B30+B55+B100+B123+B65)</f>
        <v>2624.4310000000005</v>
      </c>
      <c r="C196" s="4355">
        <f t="shared" si="1000"/>
        <v>2624.4310000000005</v>
      </c>
      <c r="D196" s="4355">
        <f t="shared" si="1000"/>
        <v>0</v>
      </c>
      <c r="E196" s="4356">
        <f t="shared" si="1000"/>
        <v>953.20299999999997</v>
      </c>
      <c r="F196" s="4356">
        <f t="shared" si="1000"/>
        <v>953.20299999999997</v>
      </c>
      <c r="G196" s="4356">
        <f t="shared" si="1000"/>
        <v>0</v>
      </c>
      <c r="H196" s="4356">
        <f t="shared" si="1000"/>
        <v>1045.7179999999998</v>
      </c>
      <c r="I196" s="4356">
        <f t="shared" si="1000"/>
        <v>1045.7179999999998</v>
      </c>
      <c r="J196" s="4356">
        <f t="shared" si="1000"/>
        <v>0</v>
      </c>
      <c r="K196" s="4356">
        <f t="shared" si="1000"/>
        <v>1047.6219999999998</v>
      </c>
      <c r="L196" s="4356">
        <f t="shared" si="1000"/>
        <v>1047.6219999999998</v>
      </c>
      <c r="M196" s="4356">
        <f t="shared" si="1000"/>
        <v>0</v>
      </c>
      <c r="N196" s="4356">
        <f t="shared" si="1000"/>
        <v>3046.5429999999997</v>
      </c>
      <c r="O196" s="4356">
        <f t="shared" si="1000"/>
        <v>3046.5429999999997</v>
      </c>
      <c r="P196" s="4356">
        <f t="shared" si="1000"/>
        <v>0</v>
      </c>
      <c r="Q196" s="4355">
        <f t="shared" si="1000"/>
        <v>2624.4310000000005</v>
      </c>
      <c r="R196" s="4355">
        <f t="shared" si="1000"/>
        <v>2624.4310000000005</v>
      </c>
      <c r="S196" s="4355">
        <f t="shared" si="1000"/>
        <v>0</v>
      </c>
      <c r="T196" s="4356">
        <f t="shared" si="1000"/>
        <v>1068.3579999999999</v>
      </c>
      <c r="U196" s="4356">
        <f t="shared" si="1000"/>
        <v>1068.3579999999999</v>
      </c>
      <c r="V196" s="4356">
        <f t="shared" si="1000"/>
        <v>0</v>
      </c>
      <c r="W196" s="4356">
        <f t="shared" si="1000"/>
        <v>1145.5339999999999</v>
      </c>
      <c r="X196" s="4356">
        <f t="shared" si="1000"/>
        <v>1145.5339999999999</v>
      </c>
      <c r="Y196" s="4356">
        <f t="shared" si="1000"/>
        <v>0</v>
      </c>
      <c r="Z196" s="4356">
        <f t="shared" si="1000"/>
        <v>1145.5999999999999</v>
      </c>
      <c r="AA196" s="4356">
        <f t="shared" si="1000"/>
        <v>1145.5999999999999</v>
      </c>
      <c r="AB196" s="4356">
        <f t="shared" si="1000"/>
        <v>0</v>
      </c>
      <c r="AC196" s="4356">
        <f t="shared" si="1000"/>
        <v>3359.4919999999993</v>
      </c>
      <c r="AD196" s="4356">
        <f t="shared" si="1000"/>
        <v>3359.4919999999993</v>
      </c>
      <c r="AE196" s="4356">
        <f t="shared" si="1000"/>
        <v>0</v>
      </c>
      <c r="AF196" s="4357">
        <f t="shared" si="1000"/>
        <v>5248.862000000001</v>
      </c>
      <c r="AG196" s="4357">
        <f t="shared" si="1000"/>
        <v>5248.862000000001</v>
      </c>
      <c r="AH196" s="4357">
        <f t="shared" si="1000"/>
        <v>0</v>
      </c>
      <c r="AI196" s="4358">
        <f t="shared" si="1000"/>
        <v>6406.0349999999999</v>
      </c>
      <c r="AJ196" s="4358">
        <f t="shared" si="1000"/>
        <v>6406.0349999999999</v>
      </c>
      <c r="AK196" s="4358">
        <f t="shared" si="1000"/>
        <v>0</v>
      </c>
      <c r="AL196" s="4319">
        <f t="shared" si="993"/>
        <v>1157.1729999999989</v>
      </c>
      <c r="AM196" s="4319">
        <f t="shared" si="993"/>
        <v>1157.1729999999989</v>
      </c>
      <c r="AN196" s="4319">
        <f t="shared" si="993"/>
        <v>0</v>
      </c>
      <c r="AO196" s="4355">
        <f t="shared" ref="AO196:BI196" si="1001">SUM(AO30+AO55+AO100+AO123+AO65)</f>
        <v>2624.4310000000005</v>
      </c>
      <c r="AP196" s="4355">
        <f t="shared" si="1001"/>
        <v>2624.4310000000005</v>
      </c>
      <c r="AQ196" s="4355">
        <f t="shared" si="1001"/>
        <v>0</v>
      </c>
      <c r="AR196" s="4356">
        <f t="shared" si="1001"/>
        <v>1145.6179999999999</v>
      </c>
      <c r="AS196" s="4356">
        <f t="shared" si="1001"/>
        <v>1145.6179999999999</v>
      </c>
      <c r="AT196" s="4356">
        <f t="shared" si="1001"/>
        <v>0</v>
      </c>
      <c r="AU196" s="4356">
        <f t="shared" si="1001"/>
        <v>0</v>
      </c>
      <c r="AV196" s="4356">
        <f t="shared" si="1001"/>
        <v>0</v>
      </c>
      <c r="AW196" s="4356">
        <f t="shared" si="1001"/>
        <v>0</v>
      </c>
      <c r="AX196" s="4356">
        <f t="shared" si="1001"/>
        <v>0</v>
      </c>
      <c r="AY196" s="4356">
        <f t="shared" si="1001"/>
        <v>0</v>
      </c>
      <c r="AZ196" s="4356">
        <f t="shared" si="1001"/>
        <v>0</v>
      </c>
      <c r="BA196" s="4356">
        <f t="shared" si="1001"/>
        <v>1145.6179999999999</v>
      </c>
      <c r="BB196" s="4356">
        <f t="shared" si="1001"/>
        <v>1145.6179999999999</v>
      </c>
      <c r="BC196" s="4356">
        <f t="shared" si="1001"/>
        <v>0</v>
      </c>
      <c r="BD196" s="4357">
        <f t="shared" si="1001"/>
        <v>7873.2930000000015</v>
      </c>
      <c r="BE196" s="4357">
        <f t="shared" si="1001"/>
        <v>7873.2930000000015</v>
      </c>
      <c r="BF196" s="4357">
        <f t="shared" si="1001"/>
        <v>0</v>
      </c>
      <c r="BG196" s="4358">
        <f t="shared" si="1001"/>
        <v>7551.6530000000002</v>
      </c>
      <c r="BH196" s="4358">
        <f t="shared" si="1001"/>
        <v>7551.6530000000002</v>
      </c>
      <c r="BI196" s="4358">
        <f t="shared" si="1001"/>
        <v>0</v>
      </c>
      <c r="BJ196" s="4319">
        <f t="shared" si="995"/>
        <v>-321.64000000000124</v>
      </c>
      <c r="BK196" s="4319">
        <f t="shared" si="996"/>
        <v>-321.64000000000124</v>
      </c>
      <c r="BL196" s="4319">
        <f t="shared" si="996"/>
        <v>0</v>
      </c>
      <c r="BM196" s="4355">
        <f t="shared" ref="BM196:CG196" si="1002">SUM(BM30+BM55+BM100+BM123+BM65)</f>
        <v>2624.4310000000005</v>
      </c>
      <c r="BN196" s="4355">
        <f t="shared" si="1002"/>
        <v>2624.4310000000005</v>
      </c>
      <c r="BO196" s="4355">
        <f t="shared" si="1002"/>
        <v>0</v>
      </c>
      <c r="BP196" s="4356">
        <f t="shared" si="1002"/>
        <v>0</v>
      </c>
      <c r="BQ196" s="4356">
        <f t="shared" si="1002"/>
        <v>0</v>
      </c>
      <c r="BR196" s="4356">
        <f t="shared" si="1002"/>
        <v>0</v>
      </c>
      <c r="BS196" s="4356">
        <f t="shared" si="1002"/>
        <v>0</v>
      </c>
      <c r="BT196" s="4356">
        <f t="shared" si="1002"/>
        <v>0</v>
      </c>
      <c r="BU196" s="4356">
        <f t="shared" si="1002"/>
        <v>0</v>
      </c>
      <c r="BV196" s="4356">
        <f t="shared" si="1002"/>
        <v>0</v>
      </c>
      <c r="BW196" s="4356">
        <f t="shared" si="1002"/>
        <v>0</v>
      </c>
      <c r="BX196" s="4356">
        <f t="shared" si="1002"/>
        <v>0</v>
      </c>
      <c r="BY196" s="4356">
        <f t="shared" si="1002"/>
        <v>0</v>
      </c>
      <c r="BZ196" s="4356">
        <f t="shared" si="1002"/>
        <v>0</v>
      </c>
      <c r="CA196" s="4356">
        <f t="shared" si="1002"/>
        <v>0</v>
      </c>
      <c r="CB196" s="4357">
        <f t="shared" si="1002"/>
        <v>10497.724000000002</v>
      </c>
      <c r="CC196" s="4357">
        <f t="shared" si="1002"/>
        <v>10497.724000000002</v>
      </c>
      <c r="CD196" s="4357">
        <f t="shared" si="1002"/>
        <v>0</v>
      </c>
      <c r="CE196" s="4358">
        <f t="shared" si="1002"/>
        <v>7551.6530000000002</v>
      </c>
      <c r="CF196" s="4358">
        <f t="shared" si="1002"/>
        <v>7551.6530000000002</v>
      </c>
      <c r="CG196" s="4358">
        <f t="shared" si="1002"/>
        <v>0</v>
      </c>
      <c r="CH196" s="4319">
        <f t="shared" si="998"/>
        <v>-2946.0710000000017</v>
      </c>
      <c r="CI196" s="4319">
        <f t="shared" si="999"/>
        <v>-2946.0710000000017</v>
      </c>
      <c r="CJ196" s="4319">
        <f t="shared" si="999"/>
        <v>0</v>
      </c>
      <c r="CK196" s="2746"/>
      <c r="CL196" s="2746"/>
      <c r="CM196" s="2746"/>
      <c r="CN196" s="2746"/>
    </row>
    <row r="197" spans="1:92" ht="18.75" x14ac:dyDescent="0.3">
      <c r="A197" s="4338" t="s">
        <v>3692</v>
      </c>
      <c r="B197" s="4355">
        <f t="shared" ref="B197:AK197" si="1003">SUM(B31+B56+B101+B124)</f>
        <v>0</v>
      </c>
      <c r="C197" s="4355">
        <f t="shared" si="1003"/>
        <v>0</v>
      </c>
      <c r="D197" s="4355">
        <f t="shared" si="1003"/>
        <v>0</v>
      </c>
      <c r="E197" s="4356">
        <f t="shared" si="1003"/>
        <v>177.15300000000002</v>
      </c>
      <c r="F197" s="4356">
        <f t="shared" si="1003"/>
        <v>177.15300000000002</v>
      </c>
      <c r="G197" s="4356">
        <f t="shared" si="1003"/>
        <v>0</v>
      </c>
      <c r="H197" s="4356">
        <f t="shared" si="1003"/>
        <v>84</v>
      </c>
      <c r="I197" s="4356">
        <f t="shared" si="1003"/>
        <v>84</v>
      </c>
      <c r="J197" s="4356">
        <f t="shared" si="1003"/>
        <v>0</v>
      </c>
      <c r="K197" s="4356">
        <f t="shared" si="1003"/>
        <v>47.198999999999998</v>
      </c>
      <c r="L197" s="4356">
        <f t="shared" si="1003"/>
        <v>47.198999999999998</v>
      </c>
      <c r="M197" s="4356">
        <f t="shared" si="1003"/>
        <v>0</v>
      </c>
      <c r="N197" s="4356">
        <f t="shared" si="1003"/>
        <v>308.35200000000003</v>
      </c>
      <c r="O197" s="4356">
        <f t="shared" si="1003"/>
        <v>308.35200000000003</v>
      </c>
      <c r="P197" s="4356">
        <f t="shared" si="1003"/>
        <v>0</v>
      </c>
      <c r="Q197" s="4355">
        <f t="shared" si="1003"/>
        <v>0</v>
      </c>
      <c r="R197" s="4355">
        <f t="shared" si="1003"/>
        <v>0</v>
      </c>
      <c r="S197" s="4355">
        <f t="shared" si="1003"/>
        <v>0</v>
      </c>
      <c r="T197" s="4356">
        <f t="shared" si="1003"/>
        <v>40.436</v>
      </c>
      <c r="U197" s="4356">
        <f t="shared" si="1003"/>
        <v>40.436</v>
      </c>
      <c r="V197" s="4356">
        <f t="shared" si="1003"/>
        <v>0</v>
      </c>
      <c r="W197" s="4356">
        <f t="shared" si="1003"/>
        <v>115.666</v>
      </c>
      <c r="X197" s="4356">
        <f t="shared" si="1003"/>
        <v>115.666</v>
      </c>
      <c r="Y197" s="4356">
        <f t="shared" si="1003"/>
        <v>0</v>
      </c>
      <c r="Z197" s="4356">
        <f t="shared" si="1003"/>
        <v>219.64999999999998</v>
      </c>
      <c r="AA197" s="4356">
        <f t="shared" si="1003"/>
        <v>219.64999999999998</v>
      </c>
      <c r="AB197" s="4356">
        <f t="shared" si="1003"/>
        <v>0</v>
      </c>
      <c r="AC197" s="4356">
        <f t="shared" si="1003"/>
        <v>375.75200000000001</v>
      </c>
      <c r="AD197" s="4356">
        <f t="shared" si="1003"/>
        <v>375.75200000000001</v>
      </c>
      <c r="AE197" s="4356">
        <f t="shared" si="1003"/>
        <v>0</v>
      </c>
      <c r="AF197" s="4357">
        <f t="shared" si="1003"/>
        <v>0</v>
      </c>
      <c r="AG197" s="4357">
        <f t="shared" si="1003"/>
        <v>0</v>
      </c>
      <c r="AH197" s="4357">
        <f t="shared" si="1003"/>
        <v>0</v>
      </c>
      <c r="AI197" s="4358">
        <f t="shared" si="1003"/>
        <v>684.10400000000004</v>
      </c>
      <c r="AJ197" s="4358">
        <f t="shared" si="1003"/>
        <v>684.10400000000004</v>
      </c>
      <c r="AK197" s="4358">
        <f t="shared" si="1003"/>
        <v>0</v>
      </c>
      <c r="AL197" s="4319">
        <f t="shared" si="993"/>
        <v>684.10400000000004</v>
      </c>
      <c r="AM197" s="4319">
        <f t="shared" si="993"/>
        <v>684.10400000000004</v>
      </c>
      <c r="AN197" s="4319">
        <f t="shared" si="993"/>
        <v>0</v>
      </c>
      <c r="AO197" s="4355">
        <f t="shared" ref="AO197:BI197" si="1004">SUM(AO31+AO56+AO101+AO124)</f>
        <v>0</v>
      </c>
      <c r="AP197" s="4355">
        <f t="shared" si="1004"/>
        <v>0</v>
      </c>
      <c r="AQ197" s="4355">
        <f t="shared" si="1004"/>
        <v>0</v>
      </c>
      <c r="AR197" s="4356">
        <f t="shared" si="1004"/>
        <v>4.4989999999999997</v>
      </c>
      <c r="AS197" s="4356">
        <f t="shared" si="1004"/>
        <v>4.4989999999999997</v>
      </c>
      <c r="AT197" s="4356">
        <f t="shared" si="1004"/>
        <v>0</v>
      </c>
      <c r="AU197" s="4356">
        <f t="shared" si="1004"/>
        <v>0</v>
      </c>
      <c r="AV197" s="4356">
        <f t="shared" si="1004"/>
        <v>0</v>
      </c>
      <c r="AW197" s="4356">
        <f t="shared" si="1004"/>
        <v>0</v>
      </c>
      <c r="AX197" s="4356">
        <f t="shared" si="1004"/>
        <v>0</v>
      </c>
      <c r="AY197" s="4356">
        <f t="shared" si="1004"/>
        <v>0</v>
      </c>
      <c r="AZ197" s="4356">
        <f t="shared" si="1004"/>
        <v>0</v>
      </c>
      <c r="BA197" s="4356">
        <f t="shared" si="1004"/>
        <v>4.4989999999999997</v>
      </c>
      <c r="BB197" s="4356">
        <f t="shared" si="1004"/>
        <v>4.4989999999999997</v>
      </c>
      <c r="BC197" s="4356">
        <f t="shared" si="1004"/>
        <v>0</v>
      </c>
      <c r="BD197" s="4357">
        <f t="shared" si="1004"/>
        <v>0</v>
      </c>
      <c r="BE197" s="4357">
        <f t="shared" si="1004"/>
        <v>0</v>
      </c>
      <c r="BF197" s="4357">
        <f t="shared" si="1004"/>
        <v>0</v>
      </c>
      <c r="BG197" s="4358">
        <f t="shared" si="1004"/>
        <v>688.60300000000007</v>
      </c>
      <c r="BH197" s="4358">
        <f t="shared" si="1004"/>
        <v>688.60300000000007</v>
      </c>
      <c r="BI197" s="4358">
        <f t="shared" si="1004"/>
        <v>0</v>
      </c>
      <c r="BJ197" s="4319">
        <f t="shared" si="995"/>
        <v>688.60300000000007</v>
      </c>
      <c r="BK197" s="4319">
        <f t="shared" si="996"/>
        <v>688.60300000000007</v>
      </c>
      <c r="BL197" s="4319">
        <f t="shared" si="996"/>
        <v>0</v>
      </c>
      <c r="BM197" s="4355">
        <f t="shared" ref="BM197:CG197" si="1005">SUM(BM31+BM56+BM101+BM124)</f>
        <v>0</v>
      </c>
      <c r="BN197" s="4355">
        <f t="shared" si="1005"/>
        <v>0</v>
      </c>
      <c r="BO197" s="4355">
        <f t="shared" si="1005"/>
        <v>0</v>
      </c>
      <c r="BP197" s="4356">
        <f t="shared" si="1005"/>
        <v>0</v>
      </c>
      <c r="BQ197" s="4356">
        <f t="shared" si="1005"/>
        <v>0</v>
      </c>
      <c r="BR197" s="4356">
        <f t="shared" si="1005"/>
        <v>0</v>
      </c>
      <c r="BS197" s="4356">
        <f t="shared" si="1005"/>
        <v>0</v>
      </c>
      <c r="BT197" s="4356">
        <f t="shared" si="1005"/>
        <v>0</v>
      </c>
      <c r="BU197" s="4356">
        <f t="shared" si="1005"/>
        <v>0</v>
      </c>
      <c r="BV197" s="4356">
        <f t="shared" si="1005"/>
        <v>0</v>
      </c>
      <c r="BW197" s="4356">
        <f t="shared" si="1005"/>
        <v>0</v>
      </c>
      <c r="BX197" s="4356">
        <f t="shared" si="1005"/>
        <v>0</v>
      </c>
      <c r="BY197" s="4356">
        <f t="shared" si="1005"/>
        <v>0</v>
      </c>
      <c r="BZ197" s="4356">
        <f t="shared" si="1005"/>
        <v>0</v>
      </c>
      <c r="CA197" s="4356">
        <f t="shared" si="1005"/>
        <v>0</v>
      </c>
      <c r="CB197" s="4357">
        <f t="shared" si="1005"/>
        <v>0</v>
      </c>
      <c r="CC197" s="4357">
        <f t="shared" si="1005"/>
        <v>0</v>
      </c>
      <c r="CD197" s="4357">
        <f t="shared" si="1005"/>
        <v>0</v>
      </c>
      <c r="CE197" s="4358">
        <f t="shared" si="1005"/>
        <v>688.60300000000007</v>
      </c>
      <c r="CF197" s="4358">
        <f t="shared" si="1005"/>
        <v>688.60300000000007</v>
      </c>
      <c r="CG197" s="4358">
        <f t="shared" si="1005"/>
        <v>0</v>
      </c>
      <c r="CH197" s="4319">
        <f t="shared" si="998"/>
        <v>688.60300000000007</v>
      </c>
      <c r="CI197" s="4319">
        <f t="shared" si="999"/>
        <v>688.60300000000007</v>
      </c>
      <c r="CJ197" s="4319">
        <f t="shared" si="999"/>
        <v>0</v>
      </c>
      <c r="CK197" s="2746"/>
      <c r="CL197" s="2746"/>
      <c r="CM197" s="2746"/>
      <c r="CN197" s="2746"/>
    </row>
    <row r="198" spans="1:92" ht="18.75" x14ac:dyDescent="0.3">
      <c r="A198" s="4334" t="s">
        <v>3</v>
      </c>
      <c r="B198" s="4355">
        <f t="shared" ref="B198:AK198" si="1006">SUM(B32+B57+B99+B125+B66)</f>
        <v>522.08486273666574</v>
      </c>
      <c r="C198" s="4355">
        <f t="shared" si="1006"/>
        <v>522.08486273666574</v>
      </c>
      <c r="D198" s="4355">
        <f t="shared" si="1006"/>
        <v>0</v>
      </c>
      <c r="E198" s="4356">
        <f t="shared" si="1006"/>
        <v>1556.011</v>
      </c>
      <c r="F198" s="4356">
        <f t="shared" si="1006"/>
        <v>1556.011</v>
      </c>
      <c r="G198" s="4356">
        <f t="shared" si="1006"/>
        <v>0</v>
      </c>
      <c r="H198" s="4356">
        <f t="shared" si="1006"/>
        <v>708.28800000000012</v>
      </c>
      <c r="I198" s="4356">
        <f t="shared" si="1006"/>
        <v>708.28800000000012</v>
      </c>
      <c r="J198" s="4356">
        <f t="shared" si="1006"/>
        <v>0</v>
      </c>
      <c r="K198" s="4356">
        <f t="shared" si="1006"/>
        <v>989.44100000000003</v>
      </c>
      <c r="L198" s="4356">
        <f t="shared" si="1006"/>
        <v>989.44100000000003</v>
      </c>
      <c r="M198" s="4356">
        <f t="shared" si="1006"/>
        <v>0</v>
      </c>
      <c r="N198" s="4356">
        <f t="shared" si="1006"/>
        <v>3253.74</v>
      </c>
      <c r="O198" s="4356">
        <f t="shared" si="1006"/>
        <v>3253.74</v>
      </c>
      <c r="P198" s="4356">
        <f t="shared" si="1006"/>
        <v>0</v>
      </c>
      <c r="Q198" s="4355">
        <f t="shared" si="1006"/>
        <v>522.08486273666574</v>
      </c>
      <c r="R198" s="4355">
        <f t="shared" si="1006"/>
        <v>522.08486273666574</v>
      </c>
      <c r="S198" s="4355">
        <f t="shared" si="1006"/>
        <v>0</v>
      </c>
      <c r="T198" s="4356">
        <f t="shared" si="1006"/>
        <v>952.60699999999997</v>
      </c>
      <c r="U198" s="4356">
        <f t="shared" si="1006"/>
        <v>952.60699999999997</v>
      </c>
      <c r="V198" s="4356">
        <f t="shared" si="1006"/>
        <v>0</v>
      </c>
      <c r="W198" s="4356">
        <f t="shared" si="1006"/>
        <v>1184.5819999999999</v>
      </c>
      <c r="X198" s="4356">
        <f t="shared" si="1006"/>
        <v>1184.5819999999999</v>
      </c>
      <c r="Y198" s="4356">
        <f t="shared" si="1006"/>
        <v>0</v>
      </c>
      <c r="Z198" s="4356">
        <f t="shared" si="1006"/>
        <v>1357.492</v>
      </c>
      <c r="AA198" s="4356">
        <f t="shared" si="1006"/>
        <v>1357.492</v>
      </c>
      <c r="AB198" s="4356">
        <f t="shared" si="1006"/>
        <v>0</v>
      </c>
      <c r="AC198" s="4356">
        <f t="shared" si="1006"/>
        <v>3494.6809999999996</v>
      </c>
      <c r="AD198" s="4356">
        <f t="shared" si="1006"/>
        <v>3494.6809999999996</v>
      </c>
      <c r="AE198" s="4356">
        <f t="shared" si="1006"/>
        <v>0</v>
      </c>
      <c r="AF198" s="4357">
        <f t="shared" si="1006"/>
        <v>1044.1697254733315</v>
      </c>
      <c r="AG198" s="4357">
        <f t="shared" si="1006"/>
        <v>1044.1697254733315</v>
      </c>
      <c r="AH198" s="4357">
        <f t="shared" si="1006"/>
        <v>0</v>
      </c>
      <c r="AI198" s="4358">
        <f t="shared" si="1006"/>
        <v>6748.4210000000003</v>
      </c>
      <c r="AJ198" s="4358">
        <f t="shared" si="1006"/>
        <v>6748.4210000000003</v>
      </c>
      <c r="AK198" s="4358">
        <f t="shared" si="1006"/>
        <v>0</v>
      </c>
      <c r="AL198" s="4319">
        <f t="shared" si="993"/>
        <v>5704.2512745266686</v>
      </c>
      <c r="AM198" s="4319">
        <f t="shared" si="993"/>
        <v>5704.2512745266686</v>
      </c>
      <c r="AN198" s="4319">
        <f t="shared" si="993"/>
        <v>0</v>
      </c>
      <c r="AO198" s="4355">
        <f t="shared" ref="AO198:BI198" si="1007">SUM(AO32+AO57+AO99+AO125+AO66)</f>
        <v>522.08486273666574</v>
      </c>
      <c r="AP198" s="4355">
        <f t="shared" si="1007"/>
        <v>522.08486273666574</v>
      </c>
      <c r="AQ198" s="4355">
        <f t="shared" si="1007"/>
        <v>0</v>
      </c>
      <c r="AR198" s="4356">
        <f t="shared" si="1007"/>
        <v>648.53800000000001</v>
      </c>
      <c r="AS198" s="4356">
        <f t="shared" si="1007"/>
        <v>648.53800000000001</v>
      </c>
      <c r="AT198" s="4356">
        <f t="shared" si="1007"/>
        <v>0</v>
      </c>
      <c r="AU198" s="4356">
        <f t="shared" si="1007"/>
        <v>0</v>
      </c>
      <c r="AV198" s="4356">
        <f t="shared" si="1007"/>
        <v>0</v>
      </c>
      <c r="AW198" s="4356">
        <f t="shared" si="1007"/>
        <v>0</v>
      </c>
      <c r="AX198" s="4356">
        <f t="shared" si="1007"/>
        <v>0</v>
      </c>
      <c r="AY198" s="4356">
        <f t="shared" si="1007"/>
        <v>0</v>
      </c>
      <c r="AZ198" s="4356">
        <f t="shared" si="1007"/>
        <v>0</v>
      </c>
      <c r="BA198" s="4356">
        <f t="shared" si="1007"/>
        <v>648.53800000000001</v>
      </c>
      <c r="BB198" s="4356">
        <f t="shared" si="1007"/>
        <v>648.53800000000001</v>
      </c>
      <c r="BC198" s="4356">
        <f t="shared" si="1007"/>
        <v>0</v>
      </c>
      <c r="BD198" s="4357">
        <f t="shared" si="1007"/>
        <v>1566.2545882099973</v>
      </c>
      <c r="BE198" s="4357">
        <f t="shared" si="1007"/>
        <v>1566.2545882099973</v>
      </c>
      <c r="BF198" s="4357">
        <f t="shared" si="1007"/>
        <v>0</v>
      </c>
      <c r="BG198" s="4358">
        <f t="shared" si="1007"/>
        <v>7396.9589999999998</v>
      </c>
      <c r="BH198" s="4358">
        <f t="shared" si="1007"/>
        <v>7396.9589999999998</v>
      </c>
      <c r="BI198" s="4358">
        <f t="shared" si="1007"/>
        <v>0</v>
      </c>
      <c r="BJ198" s="4319">
        <f t="shared" si="995"/>
        <v>5830.7044117900023</v>
      </c>
      <c r="BK198" s="4319">
        <f t="shared" si="996"/>
        <v>5830.7044117900023</v>
      </c>
      <c r="BL198" s="4319">
        <f t="shared" si="996"/>
        <v>0</v>
      </c>
      <c r="BM198" s="4355">
        <f t="shared" ref="BM198:CG198" si="1008">SUM(BM32+BM57+BM99+BM125+BM66)</f>
        <v>522.08486273666574</v>
      </c>
      <c r="BN198" s="4355">
        <f t="shared" si="1008"/>
        <v>522.08486273666574</v>
      </c>
      <c r="BO198" s="4355">
        <f t="shared" si="1008"/>
        <v>0</v>
      </c>
      <c r="BP198" s="4356">
        <f t="shared" si="1008"/>
        <v>0</v>
      </c>
      <c r="BQ198" s="4356">
        <f t="shared" si="1008"/>
        <v>0</v>
      </c>
      <c r="BR198" s="4356">
        <f t="shared" si="1008"/>
        <v>0</v>
      </c>
      <c r="BS198" s="4356">
        <f t="shared" si="1008"/>
        <v>0</v>
      </c>
      <c r="BT198" s="4356">
        <f t="shared" si="1008"/>
        <v>0</v>
      </c>
      <c r="BU198" s="4356">
        <f t="shared" si="1008"/>
        <v>0</v>
      </c>
      <c r="BV198" s="4356">
        <f t="shared" si="1008"/>
        <v>0</v>
      </c>
      <c r="BW198" s="4356">
        <f t="shared" si="1008"/>
        <v>0</v>
      </c>
      <c r="BX198" s="4356">
        <f t="shared" si="1008"/>
        <v>0</v>
      </c>
      <c r="BY198" s="4356">
        <f t="shared" si="1008"/>
        <v>0</v>
      </c>
      <c r="BZ198" s="4356">
        <f t="shared" si="1008"/>
        <v>0</v>
      </c>
      <c r="CA198" s="4356">
        <f t="shared" si="1008"/>
        <v>0</v>
      </c>
      <c r="CB198" s="4357">
        <f t="shared" si="1008"/>
        <v>2088.339450946663</v>
      </c>
      <c r="CC198" s="4357">
        <f t="shared" si="1008"/>
        <v>2088.339450946663</v>
      </c>
      <c r="CD198" s="4357">
        <f t="shared" si="1008"/>
        <v>0</v>
      </c>
      <c r="CE198" s="4358">
        <f t="shared" si="1008"/>
        <v>7396.9589999999998</v>
      </c>
      <c r="CF198" s="4358">
        <f t="shared" si="1008"/>
        <v>7396.9589999999998</v>
      </c>
      <c r="CG198" s="4358">
        <f t="shared" si="1008"/>
        <v>0</v>
      </c>
      <c r="CH198" s="4319">
        <f t="shared" si="998"/>
        <v>5308.6195490533373</v>
      </c>
      <c r="CI198" s="4319">
        <f t="shared" si="999"/>
        <v>5308.6195490533373</v>
      </c>
      <c r="CJ198" s="4319">
        <f t="shared" si="999"/>
        <v>0</v>
      </c>
      <c r="CK198" s="2746"/>
      <c r="CL198" s="2746"/>
      <c r="CM198" s="2746"/>
      <c r="CN198" s="2746"/>
    </row>
    <row r="199" spans="1:92" ht="18.75" x14ac:dyDescent="0.3">
      <c r="A199" s="4334" t="s">
        <v>8</v>
      </c>
      <c r="B199" s="4355">
        <f t="shared" ref="B199:AK199" si="1009">SUM(B54)</f>
        <v>3980.692725647526</v>
      </c>
      <c r="C199" s="4355">
        <f t="shared" si="1009"/>
        <v>3980.692725647526</v>
      </c>
      <c r="D199" s="4355">
        <f t="shared" si="1009"/>
        <v>0</v>
      </c>
      <c r="E199" s="4356">
        <f t="shared" si="1009"/>
        <v>402.52800000000002</v>
      </c>
      <c r="F199" s="4356">
        <f t="shared" si="1009"/>
        <v>402.52800000000002</v>
      </c>
      <c r="G199" s="4356">
        <f t="shared" si="1009"/>
        <v>0</v>
      </c>
      <c r="H199" s="4356">
        <f t="shared" si="1009"/>
        <v>495.327</v>
      </c>
      <c r="I199" s="4356">
        <f t="shared" si="1009"/>
        <v>495.327</v>
      </c>
      <c r="J199" s="4356">
        <f t="shared" si="1009"/>
        <v>0</v>
      </c>
      <c r="K199" s="4356">
        <f t="shared" si="1009"/>
        <v>121.70399999999999</v>
      </c>
      <c r="L199" s="4356">
        <f t="shared" si="1009"/>
        <v>121.70399999999999</v>
      </c>
      <c r="M199" s="4356">
        <f t="shared" si="1009"/>
        <v>0</v>
      </c>
      <c r="N199" s="4356">
        <f t="shared" si="1009"/>
        <v>1019.559</v>
      </c>
      <c r="O199" s="4356">
        <f t="shared" si="1009"/>
        <v>1019.559</v>
      </c>
      <c r="P199" s="4356">
        <f t="shared" si="1009"/>
        <v>0</v>
      </c>
      <c r="Q199" s="4355">
        <f t="shared" si="1009"/>
        <v>3980.692725647526</v>
      </c>
      <c r="R199" s="4355">
        <f t="shared" si="1009"/>
        <v>3980.692725647526</v>
      </c>
      <c r="S199" s="4355">
        <f t="shared" si="1009"/>
        <v>0</v>
      </c>
      <c r="T199" s="4356">
        <f t="shared" si="1009"/>
        <v>288.14800000000002</v>
      </c>
      <c r="U199" s="4356">
        <f t="shared" si="1009"/>
        <v>288.14800000000002</v>
      </c>
      <c r="V199" s="4356">
        <f t="shared" si="1009"/>
        <v>0</v>
      </c>
      <c r="W199" s="4356">
        <f t="shared" si="1009"/>
        <v>2376.6239999999998</v>
      </c>
      <c r="X199" s="4356">
        <f t="shared" si="1009"/>
        <v>2376.6239999999998</v>
      </c>
      <c r="Y199" s="4356">
        <f t="shared" si="1009"/>
        <v>0</v>
      </c>
      <c r="Z199" s="4356">
        <f t="shared" si="1009"/>
        <v>3402.8159999999998</v>
      </c>
      <c r="AA199" s="4356">
        <f t="shared" si="1009"/>
        <v>3402.8159999999998</v>
      </c>
      <c r="AB199" s="4356">
        <f t="shared" si="1009"/>
        <v>0</v>
      </c>
      <c r="AC199" s="4356">
        <f t="shared" si="1009"/>
        <v>6067.5879999999997</v>
      </c>
      <c r="AD199" s="4356">
        <f t="shared" si="1009"/>
        <v>6067.5879999999997</v>
      </c>
      <c r="AE199" s="4356">
        <f t="shared" si="1009"/>
        <v>0</v>
      </c>
      <c r="AF199" s="4357">
        <f t="shared" si="1009"/>
        <v>7961.385451295052</v>
      </c>
      <c r="AG199" s="4357">
        <f t="shared" si="1009"/>
        <v>7961.385451295052</v>
      </c>
      <c r="AH199" s="4357">
        <f t="shared" si="1009"/>
        <v>0</v>
      </c>
      <c r="AI199" s="4358">
        <f t="shared" si="1009"/>
        <v>7087.1469999999999</v>
      </c>
      <c r="AJ199" s="4358">
        <f t="shared" si="1009"/>
        <v>7087.1469999999999</v>
      </c>
      <c r="AK199" s="4358">
        <f t="shared" si="1009"/>
        <v>0</v>
      </c>
      <c r="AL199" s="4319">
        <f t="shared" si="993"/>
        <v>-874.23845129505207</v>
      </c>
      <c r="AM199" s="4319">
        <f t="shared" si="993"/>
        <v>-874.23845129505207</v>
      </c>
      <c r="AN199" s="4319">
        <f t="shared" si="993"/>
        <v>0</v>
      </c>
      <c r="AO199" s="4355">
        <f t="shared" ref="AO199:BI199" si="1010">SUM(AO54)</f>
        <v>3980.692725647526</v>
      </c>
      <c r="AP199" s="4355">
        <f t="shared" si="1010"/>
        <v>3980.692725647526</v>
      </c>
      <c r="AQ199" s="4355">
        <f t="shared" si="1010"/>
        <v>0</v>
      </c>
      <c r="AR199" s="4356">
        <f t="shared" si="1010"/>
        <v>504.59300000000002</v>
      </c>
      <c r="AS199" s="4356">
        <f t="shared" si="1010"/>
        <v>504.59300000000002</v>
      </c>
      <c r="AT199" s="4356">
        <f t="shared" si="1010"/>
        <v>0</v>
      </c>
      <c r="AU199" s="4356">
        <f t="shared" si="1010"/>
        <v>0</v>
      </c>
      <c r="AV199" s="4356">
        <f t="shared" si="1010"/>
        <v>0</v>
      </c>
      <c r="AW199" s="4356">
        <f t="shared" si="1010"/>
        <v>0</v>
      </c>
      <c r="AX199" s="4356">
        <f t="shared" si="1010"/>
        <v>0</v>
      </c>
      <c r="AY199" s="4356">
        <f t="shared" si="1010"/>
        <v>0</v>
      </c>
      <c r="AZ199" s="4356">
        <f t="shared" si="1010"/>
        <v>0</v>
      </c>
      <c r="BA199" s="4356">
        <f t="shared" si="1010"/>
        <v>504.59300000000002</v>
      </c>
      <c r="BB199" s="4356">
        <f t="shared" si="1010"/>
        <v>504.59300000000002</v>
      </c>
      <c r="BC199" s="4356">
        <f t="shared" si="1010"/>
        <v>0</v>
      </c>
      <c r="BD199" s="4357">
        <f t="shared" si="1010"/>
        <v>11942.078176942578</v>
      </c>
      <c r="BE199" s="4357">
        <f t="shared" si="1010"/>
        <v>11942.078176942578</v>
      </c>
      <c r="BF199" s="4357">
        <f t="shared" si="1010"/>
        <v>0</v>
      </c>
      <c r="BG199" s="4358">
        <f t="shared" si="1010"/>
        <v>7591.74</v>
      </c>
      <c r="BH199" s="4358">
        <f t="shared" si="1010"/>
        <v>7591.74</v>
      </c>
      <c r="BI199" s="4358">
        <f t="shared" si="1010"/>
        <v>0</v>
      </c>
      <c r="BJ199" s="4319">
        <f t="shared" si="995"/>
        <v>-4350.3381769425778</v>
      </c>
      <c r="BK199" s="4319">
        <f t="shared" si="996"/>
        <v>-4350.3381769425778</v>
      </c>
      <c r="BL199" s="4319">
        <f t="shared" si="996"/>
        <v>0</v>
      </c>
      <c r="BM199" s="4355">
        <f t="shared" ref="BM199:CG199" si="1011">SUM(BM54)</f>
        <v>3980.692725647526</v>
      </c>
      <c r="BN199" s="4355">
        <f t="shared" si="1011"/>
        <v>3980.692725647526</v>
      </c>
      <c r="BO199" s="4355">
        <f t="shared" si="1011"/>
        <v>0</v>
      </c>
      <c r="BP199" s="4356">
        <f t="shared" si="1011"/>
        <v>0</v>
      </c>
      <c r="BQ199" s="4356">
        <f t="shared" si="1011"/>
        <v>0</v>
      </c>
      <c r="BR199" s="4356">
        <f t="shared" si="1011"/>
        <v>0</v>
      </c>
      <c r="BS199" s="4356">
        <f t="shared" si="1011"/>
        <v>0</v>
      </c>
      <c r="BT199" s="4356">
        <f t="shared" si="1011"/>
        <v>0</v>
      </c>
      <c r="BU199" s="4356">
        <f t="shared" si="1011"/>
        <v>0</v>
      </c>
      <c r="BV199" s="4356">
        <f t="shared" si="1011"/>
        <v>0</v>
      </c>
      <c r="BW199" s="4356">
        <f t="shared" si="1011"/>
        <v>0</v>
      </c>
      <c r="BX199" s="4356">
        <f t="shared" si="1011"/>
        <v>0</v>
      </c>
      <c r="BY199" s="4356">
        <f t="shared" si="1011"/>
        <v>0</v>
      </c>
      <c r="BZ199" s="4356">
        <f t="shared" si="1011"/>
        <v>0</v>
      </c>
      <c r="CA199" s="4356">
        <f t="shared" si="1011"/>
        <v>0</v>
      </c>
      <c r="CB199" s="4357">
        <f t="shared" si="1011"/>
        <v>15922.770902590104</v>
      </c>
      <c r="CC199" s="4357">
        <f t="shared" si="1011"/>
        <v>15922.770902590104</v>
      </c>
      <c r="CD199" s="4357">
        <f t="shared" si="1011"/>
        <v>0</v>
      </c>
      <c r="CE199" s="4358">
        <f t="shared" si="1011"/>
        <v>7591.74</v>
      </c>
      <c r="CF199" s="4358">
        <f t="shared" si="1011"/>
        <v>7591.74</v>
      </c>
      <c r="CG199" s="4358">
        <f t="shared" si="1011"/>
        <v>0</v>
      </c>
      <c r="CH199" s="4319">
        <f t="shared" si="998"/>
        <v>-8331.0309025901042</v>
      </c>
      <c r="CI199" s="4319">
        <f t="shared" si="999"/>
        <v>-8331.0309025901042</v>
      </c>
      <c r="CJ199" s="4319">
        <f t="shared" si="999"/>
        <v>0</v>
      </c>
      <c r="CK199" s="2746"/>
      <c r="CL199" s="2746"/>
      <c r="CM199" s="2746"/>
      <c r="CN199" s="2746"/>
    </row>
    <row r="200" spans="1:92" ht="18.75" x14ac:dyDescent="0.3">
      <c r="A200" s="4334" t="s">
        <v>4</v>
      </c>
      <c r="B200" s="4355">
        <f t="shared" ref="B200:AK200" si="1012">SUM(B33+B58+B102+B126+B62)</f>
        <v>17387.697414101724</v>
      </c>
      <c r="C200" s="4355">
        <f t="shared" si="1012"/>
        <v>17381.780818601721</v>
      </c>
      <c r="D200" s="4355">
        <f t="shared" si="1012"/>
        <v>5.9165955000000006</v>
      </c>
      <c r="E200" s="4356">
        <f t="shared" si="1012"/>
        <v>6254.7430000000004</v>
      </c>
      <c r="F200" s="4356">
        <f t="shared" si="1012"/>
        <v>6254.7430000000004</v>
      </c>
      <c r="G200" s="4356">
        <f t="shared" si="1012"/>
        <v>0</v>
      </c>
      <c r="H200" s="4356">
        <f t="shared" si="1012"/>
        <v>4914.8882799999992</v>
      </c>
      <c r="I200" s="4356">
        <f t="shared" si="1012"/>
        <v>4914.8882799999992</v>
      </c>
      <c r="J200" s="4356">
        <f t="shared" si="1012"/>
        <v>0</v>
      </c>
      <c r="K200" s="4356">
        <f t="shared" si="1012"/>
        <v>4911.3033999999998</v>
      </c>
      <c r="L200" s="4356">
        <f t="shared" si="1012"/>
        <v>4910.9260000000004</v>
      </c>
      <c r="M200" s="4356">
        <f t="shared" si="1012"/>
        <v>0.37740000000000001</v>
      </c>
      <c r="N200" s="4356">
        <f t="shared" si="1012"/>
        <v>16080.934679999998</v>
      </c>
      <c r="O200" s="4356">
        <f t="shared" si="1012"/>
        <v>16080.557279999999</v>
      </c>
      <c r="P200" s="4356">
        <f t="shared" si="1012"/>
        <v>0.37740000000000001</v>
      </c>
      <c r="Q200" s="4355">
        <f t="shared" si="1012"/>
        <v>17387.697414101724</v>
      </c>
      <c r="R200" s="4355">
        <f t="shared" si="1012"/>
        <v>17381.780818601721</v>
      </c>
      <c r="S200" s="4355">
        <f t="shared" si="1012"/>
        <v>5.9165955000000006</v>
      </c>
      <c r="T200" s="4356">
        <f t="shared" si="1012"/>
        <v>4979.5720000000001</v>
      </c>
      <c r="U200" s="4356">
        <f t="shared" si="1012"/>
        <v>4977.24</v>
      </c>
      <c r="V200" s="4356">
        <f t="shared" si="1012"/>
        <v>2.3319999999999999</v>
      </c>
      <c r="W200" s="4356">
        <f t="shared" si="1012"/>
        <v>5254.5339999999997</v>
      </c>
      <c r="X200" s="4356">
        <f t="shared" si="1012"/>
        <v>5251.3450000000003</v>
      </c>
      <c r="Y200" s="4356">
        <f t="shared" si="1012"/>
        <v>3.1890000000000001</v>
      </c>
      <c r="Z200" s="4356">
        <f t="shared" si="1012"/>
        <v>4828.7184499999994</v>
      </c>
      <c r="AA200" s="4356">
        <f t="shared" si="1012"/>
        <v>4826.6348199999993</v>
      </c>
      <c r="AB200" s="4356">
        <f t="shared" si="1012"/>
        <v>2.0836299999999999</v>
      </c>
      <c r="AC200" s="4356">
        <f t="shared" si="1012"/>
        <v>15062.82445</v>
      </c>
      <c r="AD200" s="4356">
        <f t="shared" si="1012"/>
        <v>15055.21982</v>
      </c>
      <c r="AE200" s="4356">
        <f t="shared" si="1012"/>
        <v>7.6046300000000002</v>
      </c>
      <c r="AF200" s="4357">
        <f t="shared" si="1012"/>
        <v>34775.394828203447</v>
      </c>
      <c r="AG200" s="4357">
        <f t="shared" si="1012"/>
        <v>34763.561637203442</v>
      </c>
      <c r="AH200" s="4357">
        <f t="shared" si="1012"/>
        <v>11.833191000000001</v>
      </c>
      <c r="AI200" s="4358">
        <f t="shared" si="1012"/>
        <v>31143.759129999999</v>
      </c>
      <c r="AJ200" s="4358">
        <f t="shared" si="1012"/>
        <v>31135.777099999999</v>
      </c>
      <c r="AK200" s="4358">
        <f t="shared" si="1012"/>
        <v>7.98203</v>
      </c>
      <c r="AL200" s="4319">
        <f t="shared" si="993"/>
        <v>-3631.6356982034486</v>
      </c>
      <c r="AM200" s="4319">
        <f t="shared" si="993"/>
        <v>-3627.7845372034426</v>
      </c>
      <c r="AN200" s="4319">
        <f t="shared" si="993"/>
        <v>-3.8511610000000012</v>
      </c>
      <c r="AO200" s="4355">
        <f t="shared" ref="AO200:BI200" si="1013">SUM(AO33+AO58+AO102+AO126+AO62)</f>
        <v>17387.697414101724</v>
      </c>
      <c r="AP200" s="4355">
        <f t="shared" si="1013"/>
        <v>17381.780818601721</v>
      </c>
      <c r="AQ200" s="4355">
        <f t="shared" si="1013"/>
        <v>5.9165955000000006</v>
      </c>
      <c r="AR200" s="4356">
        <f t="shared" si="1013"/>
        <v>4511.4131599999992</v>
      </c>
      <c r="AS200" s="4356">
        <f t="shared" si="1013"/>
        <v>4509.7619999999997</v>
      </c>
      <c r="AT200" s="4356">
        <f t="shared" si="1013"/>
        <v>1.65116</v>
      </c>
      <c r="AU200" s="4356">
        <f t="shared" si="1013"/>
        <v>0</v>
      </c>
      <c r="AV200" s="4356">
        <f t="shared" si="1013"/>
        <v>0</v>
      </c>
      <c r="AW200" s="4356">
        <f t="shared" si="1013"/>
        <v>0</v>
      </c>
      <c r="AX200" s="4356">
        <f t="shared" si="1013"/>
        <v>0</v>
      </c>
      <c r="AY200" s="4356">
        <f t="shared" si="1013"/>
        <v>0</v>
      </c>
      <c r="AZ200" s="4356">
        <f t="shared" si="1013"/>
        <v>0</v>
      </c>
      <c r="BA200" s="4356">
        <f t="shared" si="1013"/>
        <v>4511.4131599999992</v>
      </c>
      <c r="BB200" s="4356">
        <f t="shared" si="1013"/>
        <v>4509.7619999999997</v>
      </c>
      <c r="BC200" s="4356">
        <f t="shared" si="1013"/>
        <v>1.65116</v>
      </c>
      <c r="BD200" s="4357">
        <f t="shared" si="1013"/>
        <v>52163.092242305174</v>
      </c>
      <c r="BE200" s="4357">
        <f t="shared" si="1013"/>
        <v>52145.34245580517</v>
      </c>
      <c r="BF200" s="4357">
        <f t="shared" si="1013"/>
        <v>17.749786500000003</v>
      </c>
      <c r="BG200" s="4358">
        <f t="shared" si="1013"/>
        <v>35655.172290000002</v>
      </c>
      <c r="BH200" s="4358">
        <f t="shared" si="1013"/>
        <v>35645.539100000002</v>
      </c>
      <c r="BI200" s="4358">
        <f t="shared" si="1013"/>
        <v>9.633189999999999</v>
      </c>
      <c r="BJ200" s="4319">
        <f t="shared" si="995"/>
        <v>-16507.919952305172</v>
      </c>
      <c r="BK200" s="4319">
        <f t="shared" si="996"/>
        <v>-16499.803355805168</v>
      </c>
      <c r="BL200" s="4319">
        <f t="shared" si="996"/>
        <v>-8.1165965000000035</v>
      </c>
      <c r="BM200" s="4355">
        <f t="shared" ref="BM200:CG200" si="1014">SUM(BM33+BM58+BM102+BM126+BM62)</f>
        <v>17387.697414101724</v>
      </c>
      <c r="BN200" s="4355">
        <f t="shared" si="1014"/>
        <v>17381.780818601721</v>
      </c>
      <c r="BO200" s="4355">
        <f t="shared" si="1014"/>
        <v>5.9165955000000006</v>
      </c>
      <c r="BP200" s="4356">
        <f t="shared" si="1014"/>
        <v>0</v>
      </c>
      <c r="BQ200" s="4356">
        <f t="shared" si="1014"/>
        <v>0</v>
      </c>
      <c r="BR200" s="4356">
        <f t="shared" si="1014"/>
        <v>0</v>
      </c>
      <c r="BS200" s="4356">
        <f t="shared" si="1014"/>
        <v>0</v>
      </c>
      <c r="BT200" s="4356">
        <f t="shared" si="1014"/>
        <v>0</v>
      </c>
      <c r="BU200" s="4356">
        <f t="shared" si="1014"/>
        <v>0</v>
      </c>
      <c r="BV200" s="4356">
        <f t="shared" si="1014"/>
        <v>0</v>
      </c>
      <c r="BW200" s="4356">
        <f t="shared" si="1014"/>
        <v>0</v>
      </c>
      <c r="BX200" s="4356">
        <f t="shared" si="1014"/>
        <v>0</v>
      </c>
      <c r="BY200" s="4356">
        <f t="shared" si="1014"/>
        <v>0</v>
      </c>
      <c r="BZ200" s="4356">
        <f t="shared" si="1014"/>
        <v>0</v>
      </c>
      <c r="CA200" s="4356">
        <f t="shared" si="1014"/>
        <v>0</v>
      </c>
      <c r="CB200" s="4357">
        <f t="shared" si="1014"/>
        <v>69550.789656406894</v>
      </c>
      <c r="CC200" s="4357">
        <f t="shared" si="1014"/>
        <v>69527.123274406884</v>
      </c>
      <c r="CD200" s="4357">
        <f t="shared" si="1014"/>
        <v>23.666382000000002</v>
      </c>
      <c r="CE200" s="4358">
        <f t="shared" si="1014"/>
        <v>35655.172290000002</v>
      </c>
      <c r="CF200" s="4358">
        <f t="shared" si="1014"/>
        <v>35645.539100000002</v>
      </c>
      <c r="CG200" s="4358">
        <f t="shared" si="1014"/>
        <v>9.633189999999999</v>
      </c>
      <c r="CH200" s="4319">
        <f t="shared" si="998"/>
        <v>-33895.617366406892</v>
      </c>
      <c r="CI200" s="4319">
        <f t="shared" si="999"/>
        <v>-33881.584174406882</v>
      </c>
      <c r="CJ200" s="4319">
        <f t="shared" si="999"/>
        <v>-14.033192000000003</v>
      </c>
      <c r="CK200" s="2746"/>
      <c r="CL200" s="2746"/>
      <c r="CM200" s="2746"/>
      <c r="CN200" s="2746"/>
    </row>
    <row r="201" spans="1:92" ht="18.75" x14ac:dyDescent="0.3">
      <c r="A201" s="4334" t="s">
        <v>5</v>
      </c>
      <c r="B201" s="4355">
        <f t="shared" ref="B201:AK201" si="1015">SUM(B34+B59+B103+B127+B63)</f>
        <v>5252.6644857739511</v>
      </c>
      <c r="C201" s="4355">
        <f t="shared" si="1015"/>
        <v>5250.883588006428</v>
      </c>
      <c r="D201" s="4355">
        <f t="shared" si="1015"/>
        <v>1.7808977675238724</v>
      </c>
      <c r="E201" s="4356">
        <f t="shared" si="1015"/>
        <v>1873.7550000000001</v>
      </c>
      <c r="F201" s="4356">
        <f t="shared" si="1015"/>
        <v>1873.7550000000001</v>
      </c>
      <c r="G201" s="4356">
        <f t="shared" si="1015"/>
        <v>0</v>
      </c>
      <c r="H201" s="4356">
        <f t="shared" si="1015"/>
        <v>1504.6645000000001</v>
      </c>
      <c r="I201" s="4356">
        <f t="shared" si="1015"/>
        <v>1504.6645000000001</v>
      </c>
      <c r="J201" s="4356">
        <f t="shared" si="1015"/>
        <v>0</v>
      </c>
      <c r="K201" s="4356">
        <f t="shared" si="1015"/>
        <v>1492.3871600000002</v>
      </c>
      <c r="L201" s="4356">
        <f t="shared" si="1015"/>
        <v>1492.2731800000001</v>
      </c>
      <c r="M201" s="4356">
        <f t="shared" si="1015"/>
        <v>0.11398</v>
      </c>
      <c r="N201" s="4356">
        <f t="shared" si="1015"/>
        <v>4870.8066600000002</v>
      </c>
      <c r="O201" s="4356">
        <f t="shared" si="1015"/>
        <v>4870.692680000001</v>
      </c>
      <c r="P201" s="4356">
        <f t="shared" si="1015"/>
        <v>0.11398</v>
      </c>
      <c r="Q201" s="4355">
        <f t="shared" si="1015"/>
        <v>5252.6644857739511</v>
      </c>
      <c r="R201" s="4355">
        <f t="shared" si="1015"/>
        <v>5250.883588006428</v>
      </c>
      <c r="S201" s="4355">
        <f t="shared" si="1015"/>
        <v>1.7808977675238724</v>
      </c>
      <c r="T201" s="4356">
        <f t="shared" si="1015"/>
        <v>1524.5964299999998</v>
      </c>
      <c r="U201" s="4356">
        <f t="shared" si="1015"/>
        <v>1523.9234300000001</v>
      </c>
      <c r="V201" s="4356">
        <f t="shared" si="1015"/>
        <v>0.67300000000000004</v>
      </c>
      <c r="W201" s="4356">
        <f t="shared" si="1015"/>
        <v>1612.1709999999998</v>
      </c>
      <c r="X201" s="4356">
        <f t="shared" si="1015"/>
        <v>1611.1799999999998</v>
      </c>
      <c r="Y201" s="4356">
        <f t="shared" si="1015"/>
        <v>0.99099999999999999</v>
      </c>
      <c r="Z201" s="4356">
        <f t="shared" si="1015"/>
        <v>1562.4199400000002</v>
      </c>
      <c r="AA201" s="4356">
        <f t="shared" si="1015"/>
        <v>1561.7920000000001</v>
      </c>
      <c r="AB201" s="4356">
        <f t="shared" si="1015"/>
        <v>0.62794000000000005</v>
      </c>
      <c r="AC201" s="4356">
        <f t="shared" si="1015"/>
        <v>4699.1873699999996</v>
      </c>
      <c r="AD201" s="4356">
        <f t="shared" si="1015"/>
        <v>4696.8954300000005</v>
      </c>
      <c r="AE201" s="4356">
        <f t="shared" si="1015"/>
        <v>2.2919400000000003</v>
      </c>
      <c r="AF201" s="4357">
        <f t="shared" si="1015"/>
        <v>10505.328971547902</v>
      </c>
      <c r="AG201" s="4357">
        <f t="shared" si="1015"/>
        <v>10501.767176012856</v>
      </c>
      <c r="AH201" s="4357">
        <f t="shared" si="1015"/>
        <v>3.5617955350477448</v>
      </c>
      <c r="AI201" s="4358">
        <f t="shared" si="1015"/>
        <v>9569.9940299999998</v>
      </c>
      <c r="AJ201" s="4358">
        <f t="shared" si="1015"/>
        <v>9567.5881100000006</v>
      </c>
      <c r="AK201" s="4358">
        <f t="shared" si="1015"/>
        <v>2.4059200000000005</v>
      </c>
      <c r="AL201" s="4319">
        <f t="shared" si="993"/>
        <v>-935.33494154790242</v>
      </c>
      <c r="AM201" s="4319">
        <f t="shared" si="993"/>
        <v>-934.1790660128554</v>
      </c>
      <c r="AN201" s="4319">
        <f t="shared" si="993"/>
        <v>-1.1558755350477443</v>
      </c>
      <c r="AO201" s="4355">
        <f t="shared" ref="AO201:BI201" si="1016">SUM(AO34+AO59+AO103+AO127+AO63)</f>
        <v>5252.6644857739511</v>
      </c>
      <c r="AP201" s="4355">
        <f t="shared" si="1016"/>
        <v>5250.883588006428</v>
      </c>
      <c r="AQ201" s="4355">
        <f t="shared" si="1016"/>
        <v>1.7808977675238724</v>
      </c>
      <c r="AR201" s="4356">
        <f t="shared" si="1016"/>
        <v>1275.3996400000001</v>
      </c>
      <c r="AS201" s="4356">
        <f t="shared" si="1016"/>
        <v>1274.9010000000003</v>
      </c>
      <c r="AT201" s="4356">
        <f t="shared" si="1016"/>
        <v>0.49864000000000003</v>
      </c>
      <c r="AU201" s="4356">
        <f t="shared" si="1016"/>
        <v>0</v>
      </c>
      <c r="AV201" s="4356">
        <f t="shared" si="1016"/>
        <v>0</v>
      </c>
      <c r="AW201" s="4356">
        <f t="shared" si="1016"/>
        <v>0</v>
      </c>
      <c r="AX201" s="4356">
        <f t="shared" si="1016"/>
        <v>0</v>
      </c>
      <c r="AY201" s="4356">
        <f t="shared" si="1016"/>
        <v>0</v>
      </c>
      <c r="AZ201" s="4356">
        <f t="shared" si="1016"/>
        <v>0</v>
      </c>
      <c r="BA201" s="4356">
        <f t="shared" si="1016"/>
        <v>1275.3996400000001</v>
      </c>
      <c r="BB201" s="4356">
        <f t="shared" si="1016"/>
        <v>1274.9010000000003</v>
      </c>
      <c r="BC201" s="4356">
        <f t="shared" si="1016"/>
        <v>0.49864000000000003</v>
      </c>
      <c r="BD201" s="4357">
        <f t="shared" si="1016"/>
        <v>15757.993457321854</v>
      </c>
      <c r="BE201" s="4357">
        <f t="shared" si="1016"/>
        <v>15752.650764019283</v>
      </c>
      <c r="BF201" s="4357">
        <f t="shared" si="1016"/>
        <v>5.3426933025716172</v>
      </c>
      <c r="BG201" s="4358">
        <f t="shared" si="1016"/>
        <v>10845.393669999999</v>
      </c>
      <c r="BH201" s="4358">
        <f t="shared" si="1016"/>
        <v>10842.48911</v>
      </c>
      <c r="BI201" s="4358">
        <f t="shared" si="1016"/>
        <v>2.9045600000000005</v>
      </c>
      <c r="BJ201" s="4319">
        <f t="shared" si="995"/>
        <v>-4912.5997873218548</v>
      </c>
      <c r="BK201" s="4319">
        <f t="shared" si="996"/>
        <v>-4910.1616540192827</v>
      </c>
      <c r="BL201" s="4319">
        <f t="shared" si="996"/>
        <v>-2.4381333025716168</v>
      </c>
      <c r="BM201" s="4355">
        <f t="shared" ref="BM201:CG201" si="1017">SUM(BM34+BM59+BM103+BM127+BM63)</f>
        <v>5252.6644857739511</v>
      </c>
      <c r="BN201" s="4355">
        <f t="shared" si="1017"/>
        <v>5250.883588006428</v>
      </c>
      <c r="BO201" s="4355">
        <f t="shared" si="1017"/>
        <v>1.7808977675238724</v>
      </c>
      <c r="BP201" s="4356">
        <f t="shared" si="1017"/>
        <v>0</v>
      </c>
      <c r="BQ201" s="4356">
        <f t="shared" si="1017"/>
        <v>0</v>
      </c>
      <c r="BR201" s="4356">
        <f t="shared" si="1017"/>
        <v>0</v>
      </c>
      <c r="BS201" s="4356">
        <f t="shared" si="1017"/>
        <v>0</v>
      </c>
      <c r="BT201" s="4356">
        <f t="shared" si="1017"/>
        <v>0</v>
      </c>
      <c r="BU201" s="4356">
        <f t="shared" si="1017"/>
        <v>0</v>
      </c>
      <c r="BV201" s="4356">
        <f t="shared" si="1017"/>
        <v>0</v>
      </c>
      <c r="BW201" s="4356">
        <f t="shared" si="1017"/>
        <v>0</v>
      </c>
      <c r="BX201" s="4356">
        <f t="shared" si="1017"/>
        <v>0</v>
      </c>
      <c r="BY201" s="4356">
        <f t="shared" si="1017"/>
        <v>0</v>
      </c>
      <c r="BZ201" s="4356">
        <f t="shared" si="1017"/>
        <v>0</v>
      </c>
      <c r="CA201" s="4356">
        <f t="shared" si="1017"/>
        <v>0</v>
      </c>
      <c r="CB201" s="4357">
        <f t="shared" si="1017"/>
        <v>21010.657943095805</v>
      </c>
      <c r="CC201" s="4357">
        <f t="shared" si="1017"/>
        <v>21003.534352025712</v>
      </c>
      <c r="CD201" s="4357">
        <f t="shared" si="1017"/>
        <v>7.1235910700954896</v>
      </c>
      <c r="CE201" s="4358">
        <f t="shared" si="1017"/>
        <v>10845.393669999999</v>
      </c>
      <c r="CF201" s="4358">
        <f t="shared" si="1017"/>
        <v>10842.48911</v>
      </c>
      <c r="CG201" s="4358">
        <f t="shared" si="1017"/>
        <v>2.9045600000000005</v>
      </c>
      <c r="CH201" s="4319">
        <f t="shared" si="998"/>
        <v>-10165.264273095805</v>
      </c>
      <c r="CI201" s="4319">
        <f t="shared" si="999"/>
        <v>-10161.045242025712</v>
      </c>
      <c r="CJ201" s="4319">
        <f t="shared" si="999"/>
        <v>-4.2190310700954896</v>
      </c>
      <c r="CK201" s="2746"/>
      <c r="CL201" s="2746"/>
      <c r="CM201" s="2746"/>
      <c r="CN201" s="2746"/>
    </row>
    <row r="202" spans="1:92" ht="18.75" x14ac:dyDescent="0.3">
      <c r="A202" s="4339" t="s">
        <v>308</v>
      </c>
      <c r="B202" s="4359">
        <f t="shared" ref="B202:D202" si="1018">SUM(B201/B200)</f>
        <v>0.30209086118061551</v>
      </c>
      <c r="C202" s="4359">
        <f t="shared" si="1018"/>
        <v>0.3020912323544554</v>
      </c>
      <c r="D202" s="4359">
        <f t="shared" si="1018"/>
        <v>0.30100042626268303</v>
      </c>
      <c r="E202" s="4359">
        <f t="shared" ref="E202:AK202" si="1019">SUM(E201/E200)</f>
        <v>0.29957345969290822</v>
      </c>
      <c r="F202" s="4359">
        <f t="shared" si="1019"/>
        <v>0.29957345969290822</v>
      </c>
      <c r="G202" s="4359" t="e">
        <f t="shared" si="1019"/>
        <v>#DIV/0!</v>
      </c>
      <c r="H202" s="4359">
        <f t="shared" si="1019"/>
        <v>0.30614419174549384</v>
      </c>
      <c r="I202" s="4359">
        <f t="shared" si="1019"/>
        <v>0.30614419174549384</v>
      </c>
      <c r="J202" s="4359" t="e">
        <f t="shared" si="1019"/>
        <v>#DIV/0!</v>
      </c>
      <c r="K202" s="4359">
        <f t="shared" si="1019"/>
        <v>0.3038678408668461</v>
      </c>
      <c r="L202" s="4359">
        <f t="shared" si="1019"/>
        <v>0.30386798334977966</v>
      </c>
      <c r="M202" s="4359">
        <f t="shared" si="1019"/>
        <v>0.30201377848436672</v>
      </c>
      <c r="N202" s="4359">
        <f t="shared" si="1019"/>
        <v>0.30289325570471137</v>
      </c>
      <c r="O202" s="4359">
        <f t="shared" si="1019"/>
        <v>0.30289327634545771</v>
      </c>
      <c r="P202" s="4359">
        <f t="shared" si="1019"/>
        <v>0.30201377848436672</v>
      </c>
      <c r="Q202" s="4359">
        <f t="shared" si="1019"/>
        <v>0.30209086118061551</v>
      </c>
      <c r="R202" s="4359">
        <f t="shared" si="1019"/>
        <v>0.3020912323544554</v>
      </c>
      <c r="S202" s="4359">
        <f t="shared" si="1019"/>
        <v>0.30100042626268303</v>
      </c>
      <c r="T202" s="4359">
        <f t="shared" si="1019"/>
        <v>0.30617017486643427</v>
      </c>
      <c r="U202" s="4359">
        <f t="shared" si="1019"/>
        <v>0.30617841012287939</v>
      </c>
      <c r="V202" s="4359">
        <f t="shared" si="1019"/>
        <v>0.28859348198970847</v>
      </c>
      <c r="W202" s="4359">
        <f t="shared" si="1019"/>
        <v>0.30681521900895492</v>
      </c>
      <c r="X202" s="4359">
        <f t="shared" si="1019"/>
        <v>0.3068128260474221</v>
      </c>
      <c r="Y202" s="4359">
        <f t="shared" si="1019"/>
        <v>0.31075572279711505</v>
      </c>
      <c r="Z202" s="4359">
        <f t="shared" si="1019"/>
        <v>0.32356824200425277</v>
      </c>
      <c r="AA202" s="4359">
        <f t="shared" si="1019"/>
        <v>0.32357782559568082</v>
      </c>
      <c r="AB202" s="4359">
        <f t="shared" si="1019"/>
        <v>0.30136828515619379</v>
      </c>
      <c r="AC202" s="4359">
        <f t="shared" si="1019"/>
        <v>0.31197252451548019</v>
      </c>
      <c r="AD202" s="4359">
        <f t="shared" si="1019"/>
        <v>0.31197787120719706</v>
      </c>
      <c r="AE202" s="4359">
        <f t="shared" si="1019"/>
        <v>0.30138744422805586</v>
      </c>
      <c r="AF202" s="4360">
        <f t="shared" si="1019"/>
        <v>0.30209086118061551</v>
      </c>
      <c r="AG202" s="4360">
        <f t="shared" si="1019"/>
        <v>0.3020912323544554</v>
      </c>
      <c r="AH202" s="4360">
        <f t="shared" si="1019"/>
        <v>0.30100042626268303</v>
      </c>
      <c r="AI202" s="4360">
        <f t="shared" si="1019"/>
        <v>0.30728448643765249</v>
      </c>
      <c r="AJ202" s="4360">
        <f t="shared" si="1019"/>
        <v>0.30728599062330775</v>
      </c>
      <c r="AK202" s="4360">
        <f t="shared" si="1019"/>
        <v>0.30141705806668234</v>
      </c>
      <c r="AL202" s="4323">
        <f t="shared" si="993"/>
        <v>5.1936252570369823E-3</v>
      </c>
      <c r="AM202" s="4323">
        <f t="shared" si="993"/>
        <v>5.1947582688523508E-3</v>
      </c>
      <c r="AN202" s="4323">
        <f t="shared" si="993"/>
        <v>4.1663180399931221E-4</v>
      </c>
      <c r="AO202" s="4359">
        <f t="shared" ref="AO202:BI202" si="1020">SUM(AO201/AO200)</f>
        <v>0.30209086118061551</v>
      </c>
      <c r="AP202" s="4359">
        <f t="shared" si="1020"/>
        <v>0.3020912323544554</v>
      </c>
      <c r="AQ202" s="4359">
        <f t="shared" si="1020"/>
        <v>0.30100042626268303</v>
      </c>
      <c r="AR202" s="4359">
        <f t="shared" si="1020"/>
        <v>0.28270512913962426</v>
      </c>
      <c r="AS202" s="4359">
        <f t="shared" si="1020"/>
        <v>0.28269806699333588</v>
      </c>
      <c r="AT202" s="4359">
        <f t="shared" si="1020"/>
        <v>0.30199374984859134</v>
      </c>
      <c r="AU202" s="4359" t="e">
        <f t="shared" si="1020"/>
        <v>#DIV/0!</v>
      </c>
      <c r="AV202" s="4359" t="e">
        <f t="shared" si="1020"/>
        <v>#DIV/0!</v>
      </c>
      <c r="AW202" s="4359" t="e">
        <f t="shared" si="1020"/>
        <v>#DIV/0!</v>
      </c>
      <c r="AX202" s="4359" t="e">
        <f t="shared" si="1020"/>
        <v>#DIV/0!</v>
      </c>
      <c r="AY202" s="4359" t="e">
        <f t="shared" si="1020"/>
        <v>#DIV/0!</v>
      </c>
      <c r="AZ202" s="4359" t="e">
        <f t="shared" si="1020"/>
        <v>#DIV/0!</v>
      </c>
      <c r="BA202" s="4359">
        <f t="shared" si="1020"/>
        <v>0.28270512913962426</v>
      </c>
      <c r="BB202" s="4359">
        <f t="shared" si="1020"/>
        <v>0.28269806699333588</v>
      </c>
      <c r="BC202" s="4359">
        <f t="shared" si="1020"/>
        <v>0.30199374984859134</v>
      </c>
      <c r="BD202" s="4360">
        <f t="shared" si="1020"/>
        <v>0.30209086118061551</v>
      </c>
      <c r="BE202" s="4360">
        <f t="shared" si="1020"/>
        <v>0.30209123235445529</v>
      </c>
      <c r="BF202" s="4360">
        <f t="shared" si="1020"/>
        <v>0.30100042626268303</v>
      </c>
      <c r="BG202" s="4360">
        <f t="shared" si="1020"/>
        <v>0.30417448503093458</v>
      </c>
      <c r="BH202" s="4360">
        <f t="shared" si="1020"/>
        <v>0.30417520351094929</v>
      </c>
      <c r="BI202" s="4360">
        <f t="shared" si="1020"/>
        <v>0.30151590490792779</v>
      </c>
      <c r="BJ202" s="4323">
        <f t="shared" ref="BJ202" si="1021">SUM(BG202-BD202)</f>
        <v>2.0836238503190718E-3</v>
      </c>
      <c r="BK202" s="4323">
        <f t="shared" si="996"/>
        <v>2.0839711564940022E-3</v>
      </c>
      <c r="BL202" s="4323">
        <f t="shared" si="996"/>
        <v>5.1547864524476017E-4</v>
      </c>
      <c r="BM202" s="4359">
        <f t="shared" ref="BM202:CG202" si="1022">SUM(BM201/BM200)</f>
        <v>0.30209086118061551</v>
      </c>
      <c r="BN202" s="4359">
        <f t="shared" si="1022"/>
        <v>0.3020912323544554</v>
      </c>
      <c r="BO202" s="4359">
        <f t="shared" si="1022"/>
        <v>0.30100042626268303</v>
      </c>
      <c r="BP202" s="4359" t="e">
        <f t="shared" si="1022"/>
        <v>#DIV/0!</v>
      </c>
      <c r="BQ202" s="4359" t="e">
        <f t="shared" si="1022"/>
        <v>#DIV/0!</v>
      </c>
      <c r="BR202" s="4359" t="e">
        <f t="shared" si="1022"/>
        <v>#DIV/0!</v>
      </c>
      <c r="BS202" s="4359" t="e">
        <f t="shared" si="1022"/>
        <v>#DIV/0!</v>
      </c>
      <c r="BT202" s="4359" t="e">
        <f t="shared" si="1022"/>
        <v>#DIV/0!</v>
      </c>
      <c r="BU202" s="4359" t="e">
        <f t="shared" si="1022"/>
        <v>#DIV/0!</v>
      </c>
      <c r="BV202" s="4359" t="e">
        <f t="shared" si="1022"/>
        <v>#DIV/0!</v>
      </c>
      <c r="BW202" s="4359" t="e">
        <f t="shared" si="1022"/>
        <v>#DIV/0!</v>
      </c>
      <c r="BX202" s="4359" t="e">
        <f t="shared" si="1022"/>
        <v>#DIV/0!</v>
      </c>
      <c r="BY202" s="4359" t="e">
        <f t="shared" si="1022"/>
        <v>#DIV/0!</v>
      </c>
      <c r="BZ202" s="4359" t="e">
        <f t="shared" si="1022"/>
        <v>#DIV/0!</v>
      </c>
      <c r="CA202" s="4359" t="e">
        <f t="shared" si="1022"/>
        <v>#DIV/0!</v>
      </c>
      <c r="CB202" s="4360">
        <f t="shared" si="1022"/>
        <v>0.30209086118061551</v>
      </c>
      <c r="CC202" s="4360">
        <f t="shared" si="1022"/>
        <v>0.3020912323544554</v>
      </c>
      <c r="CD202" s="4360">
        <f t="shared" si="1022"/>
        <v>0.30100042626268303</v>
      </c>
      <c r="CE202" s="4360">
        <f t="shared" si="1022"/>
        <v>0.30417448503093458</v>
      </c>
      <c r="CF202" s="4360">
        <f t="shared" si="1022"/>
        <v>0.30417520351094929</v>
      </c>
      <c r="CG202" s="4360">
        <f t="shared" si="1022"/>
        <v>0.30151590490792779</v>
      </c>
      <c r="CH202" s="4361">
        <f t="shared" si="998"/>
        <v>2.0836238503190718E-3</v>
      </c>
      <c r="CI202" s="4361">
        <f t="shared" si="999"/>
        <v>2.0839711564938912E-3</v>
      </c>
      <c r="CJ202" s="4361">
        <f t="shared" si="999"/>
        <v>5.1547864524476017E-4</v>
      </c>
      <c r="CK202" s="2746"/>
      <c r="CL202" s="2746"/>
      <c r="CM202" s="2746"/>
      <c r="CN202" s="2746"/>
    </row>
    <row r="203" spans="1:92" ht="18.75" x14ac:dyDescent="0.3">
      <c r="A203" s="4334" t="s">
        <v>3718</v>
      </c>
      <c r="B203" s="4355">
        <f t="shared" ref="B203:AK203" si="1023">SUM(B36+B70+B105+B129+B68)</f>
        <v>5761.490915774767</v>
      </c>
      <c r="C203" s="4355">
        <f t="shared" si="1023"/>
        <v>5761.490915774767</v>
      </c>
      <c r="D203" s="4355">
        <f t="shared" si="1023"/>
        <v>0</v>
      </c>
      <c r="E203" s="4356">
        <f t="shared" si="1023"/>
        <v>3133.0990000000002</v>
      </c>
      <c r="F203" s="4356">
        <f t="shared" si="1023"/>
        <v>3133.0990000000002</v>
      </c>
      <c r="G203" s="4356">
        <f t="shared" si="1023"/>
        <v>0</v>
      </c>
      <c r="H203" s="4356">
        <f t="shared" si="1023"/>
        <v>2591.89419</v>
      </c>
      <c r="I203" s="4356">
        <f t="shared" si="1023"/>
        <v>2591.89419</v>
      </c>
      <c r="J203" s="4356">
        <f t="shared" si="1023"/>
        <v>0</v>
      </c>
      <c r="K203" s="4356">
        <f t="shared" si="1023"/>
        <v>2669.7350000000006</v>
      </c>
      <c r="L203" s="4356">
        <f t="shared" si="1023"/>
        <v>2669.7350000000006</v>
      </c>
      <c r="M203" s="4356">
        <f t="shared" si="1023"/>
        <v>0</v>
      </c>
      <c r="N203" s="4356">
        <f t="shared" si="1023"/>
        <v>8394.7281900000016</v>
      </c>
      <c r="O203" s="4356">
        <f t="shared" si="1023"/>
        <v>8394.7281900000016</v>
      </c>
      <c r="P203" s="4356">
        <f t="shared" si="1023"/>
        <v>0</v>
      </c>
      <c r="Q203" s="4355">
        <f t="shared" si="1023"/>
        <v>5761.490915774767</v>
      </c>
      <c r="R203" s="4355">
        <f t="shared" si="1023"/>
        <v>5761.490915774767</v>
      </c>
      <c r="S203" s="4355">
        <f t="shared" si="1023"/>
        <v>0</v>
      </c>
      <c r="T203" s="4356">
        <f t="shared" si="1023"/>
        <v>3113.0530000000003</v>
      </c>
      <c r="U203" s="4356">
        <f t="shared" si="1023"/>
        <v>3113.0530000000003</v>
      </c>
      <c r="V203" s="4356">
        <f t="shared" si="1023"/>
        <v>0</v>
      </c>
      <c r="W203" s="4356">
        <f t="shared" si="1023"/>
        <v>2740.1190000000006</v>
      </c>
      <c r="X203" s="4356">
        <f t="shared" si="1023"/>
        <v>2740.1190000000006</v>
      </c>
      <c r="Y203" s="4356">
        <f t="shared" si="1023"/>
        <v>0</v>
      </c>
      <c r="Z203" s="4356">
        <f t="shared" si="1023"/>
        <v>2647.0810000000001</v>
      </c>
      <c r="AA203" s="4356">
        <f t="shared" si="1023"/>
        <v>2647.0810000000001</v>
      </c>
      <c r="AB203" s="4356">
        <f t="shared" si="1023"/>
        <v>0</v>
      </c>
      <c r="AC203" s="4356">
        <f t="shared" si="1023"/>
        <v>8500.2530000000006</v>
      </c>
      <c r="AD203" s="4356">
        <f t="shared" si="1023"/>
        <v>8500.2530000000006</v>
      </c>
      <c r="AE203" s="4356">
        <f t="shared" si="1023"/>
        <v>0</v>
      </c>
      <c r="AF203" s="4357">
        <f t="shared" si="1023"/>
        <v>11522.981831549534</v>
      </c>
      <c r="AG203" s="4357">
        <f t="shared" si="1023"/>
        <v>11522.981831549534</v>
      </c>
      <c r="AH203" s="4357">
        <f t="shared" si="1023"/>
        <v>0</v>
      </c>
      <c r="AI203" s="4358">
        <f t="shared" si="1023"/>
        <v>16894.981190000002</v>
      </c>
      <c r="AJ203" s="4358">
        <f t="shared" si="1023"/>
        <v>16894.981190000002</v>
      </c>
      <c r="AK203" s="4358">
        <f t="shared" si="1023"/>
        <v>0</v>
      </c>
      <c r="AL203" s="4319">
        <f t="shared" si="993"/>
        <v>5371.9993584504682</v>
      </c>
      <c r="AM203" s="4319">
        <f t="shared" si="993"/>
        <v>5371.9993584504682</v>
      </c>
      <c r="AN203" s="4319">
        <f t="shared" si="993"/>
        <v>0</v>
      </c>
      <c r="AO203" s="4355">
        <f t="shared" ref="AO203:BI203" si="1024">SUM(AO36+AO70+AO105+AO129+AO68)</f>
        <v>5761.490915774767</v>
      </c>
      <c r="AP203" s="4355">
        <f t="shared" si="1024"/>
        <v>5761.490915774767</v>
      </c>
      <c r="AQ203" s="4355">
        <f t="shared" si="1024"/>
        <v>0</v>
      </c>
      <c r="AR203" s="4356">
        <f t="shared" si="1024"/>
        <v>2316.4780000000001</v>
      </c>
      <c r="AS203" s="4356">
        <f t="shared" si="1024"/>
        <v>2316.4780000000001</v>
      </c>
      <c r="AT203" s="4356">
        <f t="shared" si="1024"/>
        <v>0</v>
      </c>
      <c r="AU203" s="4356">
        <f t="shared" si="1024"/>
        <v>0</v>
      </c>
      <c r="AV203" s="4356">
        <f t="shared" si="1024"/>
        <v>0</v>
      </c>
      <c r="AW203" s="4356">
        <f t="shared" si="1024"/>
        <v>0</v>
      </c>
      <c r="AX203" s="4356">
        <f t="shared" si="1024"/>
        <v>0</v>
      </c>
      <c r="AY203" s="4356">
        <f t="shared" si="1024"/>
        <v>0</v>
      </c>
      <c r="AZ203" s="4356">
        <f t="shared" si="1024"/>
        <v>0</v>
      </c>
      <c r="BA203" s="4356">
        <f t="shared" si="1024"/>
        <v>2316.4780000000001</v>
      </c>
      <c r="BB203" s="4356">
        <f t="shared" si="1024"/>
        <v>2316.4780000000001</v>
      </c>
      <c r="BC203" s="4356">
        <f t="shared" si="1024"/>
        <v>0</v>
      </c>
      <c r="BD203" s="4357">
        <f t="shared" si="1024"/>
        <v>17284.4727473243</v>
      </c>
      <c r="BE203" s="4357">
        <f t="shared" si="1024"/>
        <v>17284.4727473243</v>
      </c>
      <c r="BF203" s="4357">
        <f t="shared" si="1024"/>
        <v>0</v>
      </c>
      <c r="BG203" s="4358">
        <f t="shared" si="1024"/>
        <v>19211.459190000001</v>
      </c>
      <c r="BH203" s="4358">
        <f t="shared" si="1024"/>
        <v>19211.459190000001</v>
      </c>
      <c r="BI203" s="4358">
        <f t="shared" si="1024"/>
        <v>0</v>
      </c>
      <c r="BJ203" s="4319">
        <f t="shared" si="995"/>
        <v>1926.9864426757013</v>
      </c>
      <c r="BK203" s="4319">
        <f t="shared" si="996"/>
        <v>1926.9864426757013</v>
      </c>
      <c r="BL203" s="4319">
        <f t="shared" si="996"/>
        <v>0</v>
      </c>
      <c r="BM203" s="4355">
        <f t="shared" ref="BM203:CG203" si="1025">SUM(BM36+BM70+BM105+BM129+BM68)</f>
        <v>5761.490915774767</v>
      </c>
      <c r="BN203" s="4355">
        <f t="shared" si="1025"/>
        <v>5761.490915774767</v>
      </c>
      <c r="BO203" s="4355">
        <f t="shared" si="1025"/>
        <v>0</v>
      </c>
      <c r="BP203" s="4356">
        <f t="shared" si="1025"/>
        <v>0</v>
      </c>
      <c r="BQ203" s="4356">
        <f t="shared" si="1025"/>
        <v>0</v>
      </c>
      <c r="BR203" s="4356">
        <f t="shared" si="1025"/>
        <v>0</v>
      </c>
      <c r="BS203" s="4356">
        <f t="shared" si="1025"/>
        <v>0</v>
      </c>
      <c r="BT203" s="4356">
        <f t="shared" si="1025"/>
        <v>0</v>
      </c>
      <c r="BU203" s="4356">
        <f t="shared" si="1025"/>
        <v>0</v>
      </c>
      <c r="BV203" s="4356">
        <f t="shared" si="1025"/>
        <v>0</v>
      </c>
      <c r="BW203" s="4356">
        <f t="shared" si="1025"/>
        <v>0</v>
      </c>
      <c r="BX203" s="4356">
        <f t="shared" si="1025"/>
        <v>0</v>
      </c>
      <c r="BY203" s="4356">
        <f t="shared" si="1025"/>
        <v>0</v>
      </c>
      <c r="BZ203" s="4356">
        <f t="shared" si="1025"/>
        <v>0</v>
      </c>
      <c r="CA203" s="4356">
        <f t="shared" si="1025"/>
        <v>0</v>
      </c>
      <c r="CB203" s="4357">
        <f t="shared" si="1025"/>
        <v>23045.963682675636</v>
      </c>
      <c r="CC203" s="4357">
        <f t="shared" si="1025"/>
        <v>23045.963682675636</v>
      </c>
      <c r="CD203" s="4357">
        <f t="shared" si="1025"/>
        <v>0</v>
      </c>
      <c r="CE203" s="4358">
        <f t="shared" si="1025"/>
        <v>19211.459190000001</v>
      </c>
      <c r="CF203" s="4358">
        <f t="shared" si="1025"/>
        <v>19211.459190000001</v>
      </c>
      <c r="CG203" s="4358">
        <f t="shared" si="1025"/>
        <v>0</v>
      </c>
      <c r="CH203" s="4319">
        <f t="shared" si="998"/>
        <v>-3834.5044926756345</v>
      </c>
      <c r="CI203" s="4319">
        <f t="shared" si="999"/>
        <v>-3834.5044926756345</v>
      </c>
      <c r="CJ203" s="4319">
        <f t="shared" si="999"/>
        <v>0</v>
      </c>
      <c r="CK203" s="2746"/>
      <c r="CL203" s="2746"/>
      <c r="CM203" s="2746"/>
      <c r="CN203" s="2746"/>
    </row>
    <row r="204" spans="1:92" ht="18.75" x14ac:dyDescent="0.3">
      <c r="A204" s="4339" t="s">
        <v>3719</v>
      </c>
      <c r="B204" s="4362">
        <f t="shared" ref="B204:AK204" si="1026">SUM(B37+B71+B106+B130)</f>
        <v>2757.9645</v>
      </c>
      <c r="C204" s="4362">
        <f t="shared" si="1026"/>
        <v>2757.9645</v>
      </c>
      <c r="D204" s="4362">
        <f t="shared" si="1026"/>
        <v>0</v>
      </c>
      <c r="E204" s="4363">
        <f t="shared" si="1026"/>
        <v>1003.4369999999999</v>
      </c>
      <c r="F204" s="4363">
        <f t="shared" si="1026"/>
        <v>1003.4369999999999</v>
      </c>
      <c r="G204" s="4363">
        <f t="shared" si="1026"/>
        <v>0</v>
      </c>
      <c r="H204" s="4363">
        <f t="shared" si="1026"/>
        <v>781.20575000000008</v>
      </c>
      <c r="I204" s="4363">
        <f t="shared" si="1026"/>
        <v>781.20575000000008</v>
      </c>
      <c r="J204" s="4363">
        <f t="shared" si="1026"/>
        <v>0</v>
      </c>
      <c r="K204" s="4363">
        <f t="shared" si="1026"/>
        <v>802.50800000000004</v>
      </c>
      <c r="L204" s="4363">
        <f t="shared" si="1026"/>
        <v>802.50800000000004</v>
      </c>
      <c r="M204" s="4363">
        <f t="shared" si="1026"/>
        <v>0</v>
      </c>
      <c r="N204" s="4363">
        <f t="shared" si="1026"/>
        <v>2587.1507499999998</v>
      </c>
      <c r="O204" s="4363">
        <f t="shared" si="1026"/>
        <v>2587.1507499999998</v>
      </c>
      <c r="P204" s="4363">
        <f t="shared" si="1026"/>
        <v>0</v>
      </c>
      <c r="Q204" s="4362">
        <f t="shared" si="1026"/>
        <v>2757.9645</v>
      </c>
      <c r="R204" s="4362">
        <f t="shared" si="1026"/>
        <v>2757.9645</v>
      </c>
      <c r="S204" s="4362">
        <f t="shared" si="1026"/>
        <v>0</v>
      </c>
      <c r="T204" s="4363">
        <f t="shared" si="1026"/>
        <v>1288.4829999999999</v>
      </c>
      <c r="U204" s="4363">
        <f t="shared" si="1026"/>
        <v>1288.4829999999999</v>
      </c>
      <c r="V204" s="4363">
        <f t="shared" si="1026"/>
        <v>0</v>
      </c>
      <c r="W204" s="4363">
        <f t="shared" si="1026"/>
        <v>972.78399999999999</v>
      </c>
      <c r="X204" s="4363">
        <f t="shared" si="1026"/>
        <v>972.78399999999999</v>
      </c>
      <c r="Y204" s="4363">
        <f t="shared" si="1026"/>
        <v>0</v>
      </c>
      <c r="Z204" s="4363">
        <f t="shared" si="1026"/>
        <v>801.505</v>
      </c>
      <c r="AA204" s="4363">
        <f t="shared" si="1026"/>
        <v>801.505</v>
      </c>
      <c r="AB204" s="4363">
        <f t="shared" si="1026"/>
        <v>0</v>
      </c>
      <c r="AC204" s="4363">
        <f t="shared" si="1026"/>
        <v>3062.7719999999999</v>
      </c>
      <c r="AD204" s="4363">
        <f t="shared" si="1026"/>
        <v>3062.7719999999999</v>
      </c>
      <c r="AE204" s="4363">
        <f t="shared" si="1026"/>
        <v>0</v>
      </c>
      <c r="AF204" s="4364">
        <f t="shared" si="1026"/>
        <v>5515.9290000000001</v>
      </c>
      <c r="AG204" s="4364">
        <f t="shared" si="1026"/>
        <v>5515.9290000000001</v>
      </c>
      <c r="AH204" s="4364">
        <f t="shared" si="1026"/>
        <v>0</v>
      </c>
      <c r="AI204" s="4365">
        <f t="shared" si="1026"/>
        <v>5649.9227499999997</v>
      </c>
      <c r="AJ204" s="4365">
        <f t="shared" si="1026"/>
        <v>5649.9227499999997</v>
      </c>
      <c r="AK204" s="4365">
        <f t="shared" si="1026"/>
        <v>0</v>
      </c>
      <c r="AL204" s="4323">
        <f t="shared" si="993"/>
        <v>133.99374999999964</v>
      </c>
      <c r="AM204" s="4323">
        <f t="shared" si="993"/>
        <v>133.99374999999964</v>
      </c>
      <c r="AN204" s="4323">
        <f t="shared" si="993"/>
        <v>0</v>
      </c>
      <c r="AO204" s="4362">
        <f t="shared" ref="AO204:BI204" si="1027">SUM(AO37+AO71+AO106+AO130)</f>
        <v>2757.9645</v>
      </c>
      <c r="AP204" s="4362">
        <f t="shared" si="1027"/>
        <v>2757.9645</v>
      </c>
      <c r="AQ204" s="4362">
        <f t="shared" si="1027"/>
        <v>0</v>
      </c>
      <c r="AR204" s="4363">
        <f t="shared" si="1027"/>
        <v>943.74700000000007</v>
      </c>
      <c r="AS204" s="4363">
        <f t="shared" si="1027"/>
        <v>943.74700000000007</v>
      </c>
      <c r="AT204" s="4363">
        <f t="shared" si="1027"/>
        <v>0</v>
      </c>
      <c r="AU204" s="4363">
        <f t="shared" si="1027"/>
        <v>0</v>
      </c>
      <c r="AV204" s="4363">
        <f t="shared" si="1027"/>
        <v>0</v>
      </c>
      <c r="AW204" s="4363">
        <f t="shared" si="1027"/>
        <v>0</v>
      </c>
      <c r="AX204" s="4363">
        <f t="shared" si="1027"/>
        <v>0</v>
      </c>
      <c r="AY204" s="4363">
        <f t="shared" si="1027"/>
        <v>0</v>
      </c>
      <c r="AZ204" s="4363">
        <f t="shared" si="1027"/>
        <v>0</v>
      </c>
      <c r="BA204" s="4363">
        <f t="shared" si="1027"/>
        <v>943.74700000000007</v>
      </c>
      <c r="BB204" s="4363">
        <f t="shared" si="1027"/>
        <v>943.74700000000007</v>
      </c>
      <c r="BC204" s="4363">
        <f t="shared" si="1027"/>
        <v>0</v>
      </c>
      <c r="BD204" s="4364">
        <f t="shared" si="1027"/>
        <v>8273.8935000000001</v>
      </c>
      <c r="BE204" s="4364">
        <f t="shared" si="1027"/>
        <v>8273.8935000000001</v>
      </c>
      <c r="BF204" s="4364">
        <f t="shared" si="1027"/>
        <v>0</v>
      </c>
      <c r="BG204" s="4365">
        <f t="shared" si="1027"/>
        <v>6593.6697499999991</v>
      </c>
      <c r="BH204" s="4365">
        <f t="shared" si="1027"/>
        <v>6593.6697499999991</v>
      </c>
      <c r="BI204" s="4365">
        <f t="shared" si="1027"/>
        <v>0</v>
      </c>
      <c r="BJ204" s="4323">
        <f t="shared" si="995"/>
        <v>-1680.223750000001</v>
      </c>
      <c r="BK204" s="4323">
        <f t="shared" si="996"/>
        <v>-1680.223750000001</v>
      </c>
      <c r="BL204" s="4323">
        <f t="shared" si="996"/>
        <v>0</v>
      </c>
      <c r="BM204" s="4362">
        <f t="shared" ref="BM204:CG204" si="1028">SUM(BM37+BM71+BM106+BM130)</f>
        <v>2757.9645</v>
      </c>
      <c r="BN204" s="4362">
        <f t="shared" si="1028"/>
        <v>2757.9645</v>
      </c>
      <c r="BO204" s="4362">
        <f t="shared" si="1028"/>
        <v>0</v>
      </c>
      <c r="BP204" s="4363">
        <f t="shared" si="1028"/>
        <v>0</v>
      </c>
      <c r="BQ204" s="4363">
        <f t="shared" si="1028"/>
        <v>0</v>
      </c>
      <c r="BR204" s="4363">
        <f t="shared" si="1028"/>
        <v>0</v>
      </c>
      <c r="BS204" s="4363">
        <f t="shared" si="1028"/>
        <v>0</v>
      </c>
      <c r="BT204" s="4363">
        <f t="shared" si="1028"/>
        <v>0</v>
      </c>
      <c r="BU204" s="4363">
        <f t="shared" si="1028"/>
        <v>0</v>
      </c>
      <c r="BV204" s="4363">
        <f t="shared" si="1028"/>
        <v>0</v>
      </c>
      <c r="BW204" s="4363">
        <f t="shared" si="1028"/>
        <v>0</v>
      </c>
      <c r="BX204" s="4363">
        <f t="shared" si="1028"/>
        <v>0</v>
      </c>
      <c r="BY204" s="4363">
        <f t="shared" si="1028"/>
        <v>0</v>
      </c>
      <c r="BZ204" s="4363">
        <f t="shared" si="1028"/>
        <v>0</v>
      </c>
      <c r="CA204" s="4363">
        <f t="shared" si="1028"/>
        <v>0</v>
      </c>
      <c r="CB204" s="4364">
        <f t="shared" si="1028"/>
        <v>11031.858</v>
      </c>
      <c r="CC204" s="4364">
        <f t="shared" si="1028"/>
        <v>11031.858</v>
      </c>
      <c r="CD204" s="4364">
        <f t="shared" si="1028"/>
        <v>0</v>
      </c>
      <c r="CE204" s="4365">
        <f t="shared" si="1028"/>
        <v>6593.6697499999991</v>
      </c>
      <c r="CF204" s="4365">
        <f t="shared" si="1028"/>
        <v>6593.6697499999991</v>
      </c>
      <c r="CG204" s="4365">
        <f t="shared" si="1028"/>
        <v>0</v>
      </c>
      <c r="CH204" s="4323">
        <f t="shared" si="998"/>
        <v>-4438.1882500000011</v>
      </c>
      <c r="CI204" s="4323">
        <f t="shared" si="999"/>
        <v>-4438.1882500000011</v>
      </c>
      <c r="CJ204" s="4323">
        <f t="shared" si="999"/>
        <v>0</v>
      </c>
      <c r="CK204" s="2746"/>
      <c r="CL204" s="2746"/>
      <c r="CM204" s="2746"/>
      <c r="CN204" s="2746"/>
    </row>
    <row r="205" spans="1:92" ht="18.75" x14ac:dyDescent="0.3">
      <c r="A205" s="4339" t="s">
        <v>3720</v>
      </c>
      <c r="B205" s="4362">
        <f t="shared" ref="B205:AK205" si="1029">SUM(B38+B72+B107+B131)</f>
        <v>829.58096624999996</v>
      </c>
      <c r="C205" s="4362">
        <f t="shared" si="1029"/>
        <v>829.58096624999996</v>
      </c>
      <c r="D205" s="4362">
        <f t="shared" si="1029"/>
        <v>0</v>
      </c>
      <c r="E205" s="4363">
        <f t="shared" si="1029"/>
        <v>295.95999999999998</v>
      </c>
      <c r="F205" s="4363">
        <f t="shared" si="1029"/>
        <v>295.95999999999998</v>
      </c>
      <c r="G205" s="4363">
        <f t="shared" si="1029"/>
        <v>0</v>
      </c>
      <c r="H205" s="4363">
        <f t="shared" si="1029"/>
        <v>233.84143999999998</v>
      </c>
      <c r="I205" s="4363">
        <f t="shared" si="1029"/>
        <v>233.84143999999998</v>
      </c>
      <c r="J205" s="4363">
        <f t="shared" si="1029"/>
        <v>0</v>
      </c>
      <c r="K205" s="4363">
        <f t="shared" si="1029"/>
        <v>238.61</v>
      </c>
      <c r="L205" s="4363">
        <f t="shared" si="1029"/>
        <v>238.61</v>
      </c>
      <c r="M205" s="4363">
        <f t="shared" si="1029"/>
        <v>0</v>
      </c>
      <c r="N205" s="4363">
        <f t="shared" si="1029"/>
        <v>768.41143999999997</v>
      </c>
      <c r="O205" s="4363">
        <f t="shared" si="1029"/>
        <v>768.41143999999997</v>
      </c>
      <c r="P205" s="4363">
        <f t="shared" si="1029"/>
        <v>0</v>
      </c>
      <c r="Q205" s="4362">
        <f t="shared" si="1029"/>
        <v>829.58096624999996</v>
      </c>
      <c r="R205" s="4362">
        <f t="shared" si="1029"/>
        <v>829.58096624999996</v>
      </c>
      <c r="S205" s="4362">
        <f t="shared" si="1029"/>
        <v>0</v>
      </c>
      <c r="T205" s="4363">
        <f t="shared" si="1029"/>
        <v>385.15300000000002</v>
      </c>
      <c r="U205" s="4363">
        <f t="shared" si="1029"/>
        <v>385.15300000000002</v>
      </c>
      <c r="V205" s="4363">
        <f t="shared" si="1029"/>
        <v>0</v>
      </c>
      <c r="W205" s="4363">
        <f t="shared" si="1029"/>
        <v>297.32800000000003</v>
      </c>
      <c r="X205" s="4363">
        <f t="shared" si="1029"/>
        <v>297.32800000000003</v>
      </c>
      <c r="Y205" s="4363">
        <f t="shared" si="1029"/>
        <v>0</v>
      </c>
      <c r="Z205" s="4363">
        <f t="shared" si="1029"/>
        <v>249.44099999999997</v>
      </c>
      <c r="AA205" s="4363">
        <f t="shared" si="1029"/>
        <v>249.44099999999997</v>
      </c>
      <c r="AB205" s="4363">
        <f t="shared" si="1029"/>
        <v>0</v>
      </c>
      <c r="AC205" s="4363">
        <f t="shared" si="1029"/>
        <v>931.92200000000003</v>
      </c>
      <c r="AD205" s="4363">
        <f t="shared" si="1029"/>
        <v>931.92200000000003</v>
      </c>
      <c r="AE205" s="4363">
        <f t="shared" si="1029"/>
        <v>0</v>
      </c>
      <c r="AF205" s="4364">
        <f t="shared" si="1029"/>
        <v>1659.1619324999999</v>
      </c>
      <c r="AG205" s="4364">
        <f t="shared" si="1029"/>
        <v>1659.1619324999999</v>
      </c>
      <c r="AH205" s="4364">
        <f t="shared" si="1029"/>
        <v>0</v>
      </c>
      <c r="AI205" s="4365">
        <f t="shared" si="1029"/>
        <v>1700.3334399999999</v>
      </c>
      <c r="AJ205" s="4365">
        <f t="shared" si="1029"/>
        <v>1700.3334399999999</v>
      </c>
      <c r="AK205" s="4365">
        <f t="shared" si="1029"/>
        <v>0</v>
      </c>
      <c r="AL205" s="4323">
        <f t="shared" si="993"/>
        <v>41.171507499999962</v>
      </c>
      <c r="AM205" s="4323">
        <f t="shared" si="993"/>
        <v>41.171507499999962</v>
      </c>
      <c r="AN205" s="4323">
        <f t="shared" si="993"/>
        <v>0</v>
      </c>
      <c r="AO205" s="4362">
        <f t="shared" ref="AO205:BI205" si="1030">SUM(AO38+AO72+AO107+AO131)</f>
        <v>829.58096624999996</v>
      </c>
      <c r="AP205" s="4362">
        <f t="shared" si="1030"/>
        <v>829.58096624999996</v>
      </c>
      <c r="AQ205" s="4362">
        <f t="shared" si="1030"/>
        <v>0</v>
      </c>
      <c r="AR205" s="4363">
        <f t="shared" si="1030"/>
        <v>285.19399999999996</v>
      </c>
      <c r="AS205" s="4363">
        <f t="shared" si="1030"/>
        <v>285.19399999999996</v>
      </c>
      <c r="AT205" s="4363">
        <f t="shared" si="1030"/>
        <v>0</v>
      </c>
      <c r="AU205" s="4363">
        <f t="shared" si="1030"/>
        <v>0</v>
      </c>
      <c r="AV205" s="4363">
        <f t="shared" si="1030"/>
        <v>0</v>
      </c>
      <c r="AW205" s="4363">
        <f t="shared" si="1030"/>
        <v>0</v>
      </c>
      <c r="AX205" s="4363">
        <f t="shared" si="1030"/>
        <v>0</v>
      </c>
      <c r="AY205" s="4363">
        <f t="shared" si="1030"/>
        <v>0</v>
      </c>
      <c r="AZ205" s="4363">
        <f t="shared" si="1030"/>
        <v>0</v>
      </c>
      <c r="BA205" s="4363">
        <f t="shared" si="1030"/>
        <v>285.19399999999996</v>
      </c>
      <c r="BB205" s="4363">
        <f t="shared" si="1030"/>
        <v>285.19399999999996</v>
      </c>
      <c r="BC205" s="4363">
        <f t="shared" si="1030"/>
        <v>0</v>
      </c>
      <c r="BD205" s="4364">
        <f t="shared" si="1030"/>
        <v>2488.7428987499998</v>
      </c>
      <c r="BE205" s="4364">
        <f t="shared" si="1030"/>
        <v>2488.7428987499998</v>
      </c>
      <c r="BF205" s="4364">
        <f t="shared" si="1030"/>
        <v>0</v>
      </c>
      <c r="BG205" s="4365">
        <f t="shared" si="1030"/>
        <v>1985.5274400000001</v>
      </c>
      <c r="BH205" s="4365">
        <f t="shared" si="1030"/>
        <v>1985.5274400000001</v>
      </c>
      <c r="BI205" s="4365">
        <f t="shared" si="1030"/>
        <v>0</v>
      </c>
      <c r="BJ205" s="4323">
        <f t="shared" si="995"/>
        <v>-503.2154587499997</v>
      </c>
      <c r="BK205" s="4323">
        <f t="shared" si="996"/>
        <v>-503.2154587499997</v>
      </c>
      <c r="BL205" s="4323">
        <f t="shared" si="996"/>
        <v>0</v>
      </c>
      <c r="BM205" s="4362">
        <f t="shared" ref="BM205:CG205" si="1031">SUM(BM38+BM72+BM107+BM131)</f>
        <v>829.58096624999996</v>
      </c>
      <c r="BN205" s="4362">
        <f t="shared" si="1031"/>
        <v>829.58096624999996</v>
      </c>
      <c r="BO205" s="4362">
        <f t="shared" si="1031"/>
        <v>0</v>
      </c>
      <c r="BP205" s="4363">
        <f t="shared" si="1031"/>
        <v>0</v>
      </c>
      <c r="BQ205" s="4363">
        <f t="shared" si="1031"/>
        <v>0</v>
      </c>
      <c r="BR205" s="4363">
        <f t="shared" si="1031"/>
        <v>0</v>
      </c>
      <c r="BS205" s="4363">
        <f t="shared" si="1031"/>
        <v>0</v>
      </c>
      <c r="BT205" s="4363">
        <f t="shared" si="1031"/>
        <v>0</v>
      </c>
      <c r="BU205" s="4363">
        <f t="shared" si="1031"/>
        <v>0</v>
      </c>
      <c r="BV205" s="4363">
        <f t="shared" si="1031"/>
        <v>0</v>
      </c>
      <c r="BW205" s="4363">
        <f t="shared" si="1031"/>
        <v>0</v>
      </c>
      <c r="BX205" s="4363">
        <f t="shared" si="1031"/>
        <v>0</v>
      </c>
      <c r="BY205" s="4363">
        <f t="shared" si="1031"/>
        <v>0</v>
      </c>
      <c r="BZ205" s="4363">
        <f t="shared" si="1031"/>
        <v>0</v>
      </c>
      <c r="CA205" s="4363">
        <f t="shared" si="1031"/>
        <v>0</v>
      </c>
      <c r="CB205" s="4364">
        <f t="shared" si="1031"/>
        <v>3318.3238649999998</v>
      </c>
      <c r="CC205" s="4364">
        <f t="shared" si="1031"/>
        <v>3318.3238649999998</v>
      </c>
      <c r="CD205" s="4364">
        <f t="shared" si="1031"/>
        <v>0</v>
      </c>
      <c r="CE205" s="4365">
        <f t="shared" si="1031"/>
        <v>1985.5274400000001</v>
      </c>
      <c r="CF205" s="4365">
        <f t="shared" si="1031"/>
        <v>1985.5274400000001</v>
      </c>
      <c r="CG205" s="4365">
        <f t="shared" si="1031"/>
        <v>0</v>
      </c>
      <c r="CH205" s="4323">
        <f t="shared" si="998"/>
        <v>-1332.7964249999998</v>
      </c>
      <c r="CI205" s="4323">
        <f t="shared" si="999"/>
        <v>-1332.7964249999998</v>
      </c>
      <c r="CJ205" s="4323">
        <f t="shared" si="999"/>
        <v>0</v>
      </c>
      <c r="CK205" s="2746"/>
      <c r="CL205" s="2746"/>
      <c r="CM205" s="2746"/>
      <c r="CN205" s="2746"/>
    </row>
    <row r="206" spans="1:92" ht="18.75" x14ac:dyDescent="0.3">
      <c r="A206" s="4339" t="s">
        <v>31</v>
      </c>
      <c r="B206" s="4362">
        <f t="shared" ref="B206:AK206" si="1032">SUM(B109)</f>
        <v>419.27716249999997</v>
      </c>
      <c r="C206" s="4362">
        <f t="shared" si="1032"/>
        <v>419.27716249999997</v>
      </c>
      <c r="D206" s="4362">
        <f t="shared" si="1032"/>
        <v>0</v>
      </c>
      <c r="E206" s="4363">
        <f t="shared" si="1032"/>
        <v>205.48099999999999</v>
      </c>
      <c r="F206" s="4363">
        <f t="shared" si="1032"/>
        <v>205.48099999999999</v>
      </c>
      <c r="G206" s="4363">
        <f t="shared" si="1032"/>
        <v>0</v>
      </c>
      <c r="H206" s="4363">
        <f t="shared" si="1032"/>
        <v>145.34200000000001</v>
      </c>
      <c r="I206" s="4363">
        <f t="shared" si="1032"/>
        <v>145.34200000000001</v>
      </c>
      <c r="J206" s="4363">
        <f t="shared" si="1032"/>
        <v>0</v>
      </c>
      <c r="K206" s="4363">
        <f t="shared" si="1032"/>
        <v>220.62400000000002</v>
      </c>
      <c r="L206" s="4363">
        <f t="shared" si="1032"/>
        <v>220.62400000000002</v>
      </c>
      <c r="M206" s="4363">
        <f t="shared" si="1032"/>
        <v>0</v>
      </c>
      <c r="N206" s="4363">
        <f t="shared" si="1032"/>
        <v>571.447</v>
      </c>
      <c r="O206" s="4363">
        <f t="shared" si="1032"/>
        <v>571.447</v>
      </c>
      <c r="P206" s="4363">
        <f t="shared" si="1032"/>
        <v>0</v>
      </c>
      <c r="Q206" s="4362">
        <f t="shared" si="1032"/>
        <v>419.27716249999997</v>
      </c>
      <c r="R206" s="4362">
        <f t="shared" si="1032"/>
        <v>419.27716249999997</v>
      </c>
      <c r="S206" s="4362">
        <f t="shared" si="1032"/>
        <v>0</v>
      </c>
      <c r="T206" s="4363">
        <f t="shared" si="1032"/>
        <v>126.02</v>
      </c>
      <c r="U206" s="4363">
        <f t="shared" si="1032"/>
        <v>126.02</v>
      </c>
      <c r="V206" s="4363">
        <f t="shared" si="1032"/>
        <v>0</v>
      </c>
      <c r="W206" s="4363">
        <f t="shared" si="1032"/>
        <v>153.155</v>
      </c>
      <c r="X206" s="4363">
        <f t="shared" si="1032"/>
        <v>153.155</v>
      </c>
      <c r="Y206" s="4363">
        <f t="shared" si="1032"/>
        <v>0</v>
      </c>
      <c r="Z206" s="4363">
        <f t="shared" si="1032"/>
        <v>98.515000000000001</v>
      </c>
      <c r="AA206" s="4363">
        <f t="shared" si="1032"/>
        <v>98.515000000000001</v>
      </c>
      <c r="AB206" s="4363">
        <f t="shared" si="1032"/>
        <v>0</v>
      </c>
      <c r="AC206" s="4363">
        <f t="shared" si="1032"/>
        <v>377.69</v>
      </c>
      <c r="AD206" s="4363">
        <f t="shared" si="1032"/>
        <v>377.69</v>
      </c>
      <c r="AE206" s="4363">
        <f t="shared" si="1032"/>
        <v>0</v>
      </c>
      <c r="AF206" s="4364">
        <f t="shared" si="1032"/>
        <v>838.55432499999995</v>
      </c>
      <c r="AG206" s="4364">
        <f t="shared" si="1032"/>
        <v>838.55432499999995</v>
      </c>
      <c r="AH206" s="4364">
        <f t="shared" si="1032"/>
        <v>0</v>
      </c>
      <c r="AI206" s="4365">
        <f t="shared" si="1032"/>
        <v>949.13699999999994</v>
      </c>
      <c r="AJ206" s="4365">
        <f t="shared" si="1032"/>
        <v>949.13699999999994</v>
      </c>
      <c r="AK206" s="4365">
        <f t="shared" si="1032"/>
        <v>0</v>
      </c>
      <c r="AL206" s="4323">
        <f t="shared" si="993"/>
        <v>110.58267499999999</v>
      </c>
      <c r="AM206" s="4323">
        <f t="shared" si="993"/>
        <v>110.58267499999999</v>
      </c>
      <c r="AN206" s="4323">
        <f t="shared" si="993"/>
        <v>0</v>
      </c>
      <c r="AO206" s="4362">
        <f t="shared" ref="AO206:BI206" si="1033">SUM(AO109)</f>
        <v>419.27716249999997</v>
      </c>
      <c r="AP206" s="4362">
        <f t="shared" si="1033"/>
        <v>419.27716249999997</v>
      </c>
      <c r="AQ206" s="4362">
        <f t="shared" si="1033"/>
        <v>0</v>
      </c>
      <c r="AR206" s="4363">
        <f t="shared" si="1033"/>
        <v>166.21799999999999</v>
      </c>
      <c r="AS206" s="4363">
        <f t="shared" si="1033"/>
        <v>166.21799999999999</v>
      </c>
      <c r="AT206" s="4363">
        <f t="shared" si="1033"/>
        <v>0</v>
      </c>
      <c r="AU206" s="4363">
        <f t="shared" si="1033"/>
        <v>0</v>
      </c>
      <c r="AV206" s="4363">
        <f t="shared" si="1033"/>
        <v>0</v>
      </c>
      <c r="AW206" s="4363">
        <f t="shared" si="1033"/>
        <v>0</v>
      </c>
      <c r="AX206" s="4363">
        <f t="shared" si="1033"/>
        <v>0</v>
      </c>
      <c r="AY206" s="4363">
        <f t="shared" si="1033"/>
        <v>0</v>
      </c>
      <c r="AZ206" s="4363">
        <f t="shared" si="1033"/>
        <v>0</v>
      </c>
      <c r="BA206" s="4363">
        <f t="shared" si="1033"/>
        <v>166.21799999999999</v>
      </c>
      <c r="BB206" s="4363">
        <f t="shared" si="1033"/>
        <v>166.21799999999999</v>
      </c>
      <c r="BC206" s="4363">
        <f t="shared" si="1033"/>
        <v>0</v>
      </c>
      <c r="BD206" s="4364">
        <f t="shared" si="1033"/>
        <v>1257.8314874999999</v>
      </c>
      <c r="BE206" s="4364">
        <f t="shared" si="1033"/>
        <v>1257.8314874999999</v>
      </c>
      <c r="BF206" s="4364">
        <f t="shared" si="1033"/>
        <v>0</v>
      </c>
      <c r="BG206" s="4365">
        <f t="shared" si="1033"/>
        <v>1115.355</v>
      </c>
      <c r="BH206" s="4365">
        <f t="shared" si="1033"/>
        <v>1115.355</v>
      </c>
      <c r="BI206" s="4365">
        <f t="shared" si="1033"/>
        <v>0</v>
      </c>
      <c r="BJ206" s="4323">
        <f t="shared" si="995"/>
        <v>-142.47648749999985</v>
      </c>
      <c r="BK206" s="4323">
        <f t="shared" si="996"/>
        <v>-142.47648749999985</v>
      </c>
      <c r="BL206" s="4323">
        <f t="shared" si="996"/>
        <v>0</v>
      </c>
      <c r="BM206" s="4362">
        <f t="shared" ref="BM206:CG206" si="1034">SUM(BM109)</f>
        <v>419.27716249999997</v>
      </c>
      <c r="BN206" s="4362">
        <f t="shared" si="1034"/>
        <v>419.27716249999997</v>
      </c>
      <c r="BO206" s="4362">
        <f t="shared" si="1034"/>
        <v>0</v>
      </c>
      <c r="BP206" s="4363">
        <f t="shared" si="1034"/>
        <v>0</v>
      </c>
      <c r="BQ206" s="4363">
        <f t="shared" si="1034"/>
        <v>0</v>
      </c>
      <c r="BR206" s="4363">
        <f t="shared" si="1034"/>
        <v>0</v>
      </c>
      <c r="BS206" s="4363">
        <f t="shared" si="1034"/>
        <v>0</v>
      </c>
      <c r="BT206" s="4363">
        <f t="shared" si="1034"/>
        <v>0</v>
      </c>
      <c r="BU206" s="4363">
        <f t="shared" si="1034"/>
        <v>0</v>
      </c>
      <c r="BV206" s="4363">
        <f t="shared" si="1034"/>
        <v>0</v>
      </c>
      <c r="BW206" s="4363">
        <f t="shared" si="1034"/>
        <v>0</v>
      </c>
      <c r="BX206" s="4363">
        <f t="shared" si="1034"/>
        <v>0</v>
      </c>
      <c r="BY206" s="4363">
        <f t="shared" si="1034"/>
        <v>0</v>
      </c>
      <c r="BZ206" s="4363">
        <f t="shared" si="1034"/>
        <v>0</v>
      </c>
      <c r="CA206" s="4363">
        <f t="shared" si="1034"/>
        <v>0</v>
      </c>
      <c r="CB206" s="4364">
        <f t="shared" si="1034"/>
        <v>1677.1086499999999</v>
      </c>
      <c r="CC206" s="4364">
        <f t="shared" si="1034"/>
        <v>1677.1086499999999</v>
      </c>
      <c r="CD206" s="4364">
        <f t="shared" si="1034"/>
        <v>0</v>
      </c>
      <c r="CE206" s="4365">
        <f t="shared" si="1034"/>
        <v>1115.355</v>
      </c>
      <c r="CF206" s="4365">
        <f t="shared" si="1034"/>
        <v>1115.355</v>
      </c>
      <c r="CG206" s="4365">
        <f t="shared" si="1034"/>
        <v>0</v>
      </c>
      <c r="CH206" s="4323">
        <f t="shared" si="998"/>
        <v>-561.75364999999988</v>
      </c>
      <c r="CI206" s="4323">
        <f t="shared" si="999"/>
        <v>-561.75364999999988</v>
      </c>
      <c r="CJ206" s="4323">
        <f t="shared" si="999"/>
        <v>0</v>
      </c>
      <c r="CK206" s="2746"/>
      <c r="CL206" s="2746"/>
      <c r="CM206" s="2746"/>
      <c r="CN206" s="2746"/>
    </row>
    <row r="207" spans="1:92" ht="18.75" x14ac:dyDescent="0.3">
      <c r="A207" s="4339" t="s">
        <v>287</v>
      </c>
      <c r="B207" s="4362">
        <f t="shared" ref="B207:AK207" si="1035">SUM(B203-(B204+B205+B206))</f>
        <v>1754.6682870247669</v>
      </c>
      <c r="C207" s="4362">
        <f t="shared" si="1035"/>
        <v>1754.6682870247669</v>
      </c>
      <c r="D207" s="4362">
        <f t="shared" si="1035"/>
        <v>0</v>
      </c>
      <c r="E207" s="4363">
        <f t="shared" si="1035"/>
        <v>1628.2210000000002</v>
      </c>
      <c r="F207" s="4363">
        <f t="shared" si="1035"/>
        <v>1628.2210000000002</v>
      </c>
      <c r="G207" s="4363">
        <f t="shared" si="1035"/>
        <v>0</v>
      </c>
      <c r="H207" s="4363">
        <f t="shared" si="1035"/>
        <v>1431.5049999999999</v>
      </c>
      <c r="I207" s="4363">
        <f t="shared" si="1035"/>
        <v>1431.5049999999999</v>
      </c>
      <c r="J207" s="4363">
        <f t="shared" si="1035"/>
        <v>0</v>
      </c>
      <c r="K207" s="4363">
        <f t="shared" si="1035"/>
        <v>1407.9930000000006</v>
      </c>
      <c r="L207" s="4363">
        <f t="shared" si="1035"/>
        <v>1407.9930000000006</v>
      </c>
      <c r="M207" s="4363">
        <f t="shared" si="1035"/>
        <v>0</v>
      </c>
      <c r="N207" s="4363">
        <f t="shared" si="1035"/>
        <v>4467.7190000000019</v>
      </c>
      <c r="O207" s="4363">
        <f t="shared" si="1035"/>
        <v>4467.7190000000019</v>
      </c>
      <c r="P207" s="4363">
        <f t="shared" si="1035"/>
        <v>0</v>
      </c>
      <c r="Q207" s="4362">
        <f t="shared" si="1035"/>
        <v>1754.6682870247669</v>
      </c>
      <c r="R207" s="4362">
        <f t="shared" si="1035"/>
        <v>1754.6682870247669</v>
      </c>
      <c r="S207" s="4362">
        <f t="shared" si="1035"/>
        <v>0</v>
      </c>
      <c r="T207" s="4363">
        <f t="shared" si="1035"/>
        <v>1313.3970000000004</v>
      </c>
      <c r="U207" s="4363">
        <f t="shared" si="1035"/>
        <v>1313.3970000000004</v>
      </c>
      <c r="V207" s="4363">
        <f t="shared" si="1035"/>
        <v>0</v>
      </c>
      <c r="W207" s="4363">
        <f t="shared" si="1035"/>
        <v>1316.8520000000005</v>
      </c>
      <c r="X207" s="4363">
        <f t="shared" si="1035"/>
        <v>1316.8520000000005</v>
      </c>
      <c r="Y207" s="4363">
        <f t="shared" si="1035"/>
        <v>0</v>
      </c>
      <c r="Z207" s="4363">
        <f t="shared" si="1035"/>
        <v>1497.6200000000001</v>
      </c>
      <c r="AA207" s="4363">
        <f t="shared" si="1035"/>
        <v>1497.6200000000001</v>
      </c>
      <c r="AB207" s="4363">
        <f t="shared" si="1035"/>
        <v>0</v>
      </c>
      <c r="AC207" s="4363">
        <f t="shared" si="1035"/>
        <v>4127.8690000000006</v>
      </c>
      <c r="AD207" s="4363">
        <f t="shared" si="1035"/>
        <v>4127.8690000000006</v>
      </c>
      <c r="AE207" s="4363">
        <f t="shared" si="1035"/>
        <v>0</v>
      </c>
      <c r="AF207" s="4364">
        <f t="shared" si="1035"/>
        <v>3509.3365740495337</v>
      </c>
      <c r="AG207" s="4364">
        <f t="shared" si="1035"/>
        <v>3509.3365740495337</v>
      </c>
      <c r="AH207" s="4364">
        <f t="shared" si="1035"/>
        <v>0</v>
      </c>
      <c r="AI207" s="4365">
        <f t="shared" si="1035"/>
        <v>8595.5880000000016</v>
      </c>
      <c r="AJ207" s="4365">
        <f t="shared" si="1035"/>
        <v>8595.5880000000016</v>
      </c>
      <c r="AK207" s="4365">
        <f t="shared" si="1035"/>
        <v>0</v>
      </c>
      <c r="AL207" s="4323">
        <f t="shared" si="993"/>
        <v>5086.2514259504678</v>
      </c>
      <c r="AM207" s="4323">
        <f t="shared" si="993"/>
        <v>5086.2514259504678</v>
      </c>
      <c r="AN207" s="4323">
        <f t="shared" si="993"/>
        <v>0</v>
      </c>
      <c r="AO207" s="4362">
        <f t="shared" ref="AO207:BI207" si="1036">SUM(AO203-(AO204+AO205+AO206))</f>
        <v>1754.6682870247669</v>
      </c>
      <c r="AP207" s="4362">
        <f t="shared" si="1036"/>
        <v>1754.6682870247669</v>
      </c>
      <c r="AQ207" s="4362">
        <f t="shared" si="1036"/>
        <v>0</v>
      </c>
      <c r="AR207" s="4363">
        <f t="shared" si="1036"/>
        <v>921.31899999999996</v>
      </c>
      <c r="AS207" s="4363">
        <f t="shared" si="1036"/>
        <v>921.31899999999996</v>
      </c>
      <c r="AT207" s="4363">
        <f t="shared" si="1036"/>
        <v>0</v>
      </c>
      <c r="AU207" s="4363">
        <f t="shared" si="1036"/>
        <v>0</v>
      </c>
      <c r="AV207" s="4363">
        <f t="shared" si="1036"/>
        <v>0</v>
      </c>
      <c r="AW207" s="4363">
        <f t="shared" si="1036"/>
        <v>0</v>
      </c>
      <c r="AX207" s="4363">
        <f t="shared" si="1036"/>
        <v>0</v>
      </c>
      <c r="AY207" s="4363">
        <f t="shared" si="1036"/>
        <v>0</v>
      </c>
      <c r="AZ207" s="4363">
        <f t="shared" si="1036"/>
        <v>0</v>
      </c>
      <c r="BA207" s="4363">
        <f t="shared" si="1036"/>
        <v>921.31899999999996</v>
      </c>
      <c r="BB207" s="4363">
        <f t="shared" si="1036"/>
        <v>921.31899999999996</v>
      </c>
      <c r="BC207" s="4363">
        <f t="shared" si="1036"/>
        <v>0</v>
      </c>
      <c r="BD207" s="4364">
        <f t="shared" si="1036"/>
        <v>5264.0048610742997</v>
      </c>
      <c r="BE207" s="4364">
        <f t="shared" si="1036"/>
        <v>5264.0048610742997</v>
      </c>
      <c r="BF207" s="4364">
        <f t="shared" si="1036"/>
        <v>0</v>
      </c>
      <c r="BG207" s="4365">
        <f t="shared" si="1036"/>
        <v>9516.9070000000029</v>
      </c>
      <c r="BH207" s="4365">
        <f t="shared" si="1036"/>
        <v>9516.9070000000029</v>
      </c>
      <c r="BI207" s="4365">
        <f t="shared" si="1036"/>
        <v>0</v>
      </c>
      <c r="BJ207" s="4323">
        <f t="shared" si="995"/>
        <v>4252.9021389257032</v>
      </c>
      <c r="BK207" s="4323">
        <f t="shared" si="996"/>
        <v>4252.9021389257032</v>
      </c>
      <c r="BL207" s="4323">
        <f t="shared" si="996"/>
        <v>0</v>
      </c>
      <c r="BM207" s="4362">
        <f t="shared" ref="BM207:CG207" si="1037">SUM(BM203-(BM204+BM205+BM206))</f>
        <v>1754.6682870247669</v>
      </c>
      <c r="BN207" s="4362">
        <f t="shared" si="1037"/>
        <v>1754.6682870247669</v>
      </c>
      <c r="BO207" s="4362">
        <f t="shared" si="1037"/>
        <v>0</v>
      </c>
      <c r="BP207" s="4363">
        <f t="shared" si="1037"/>
        <v>0</v>
      </c>
      <c r="BQ207" s="4363">
        <f t="shared" si="1037"/>
        <v>0</v>
      </c>
      <c r="BR207" s="4363">
        <f t="shared" si="1037"/>
        <v>0</v>
      </c>
      <c r="BS207" s="4363">
        <f t="shared" si="1037"/>
        <v>0</v>
      </c>
      <c r="BT207" s="4363">
        <f t="shared" si="1037"/>
        <v>0</v>
      </c>
      <c r="BU207" s="4363">
        <f t="shared" si="1037"/>
        <v>0</v>
      </c>
      <c r="BV207" s="4363">
        <f t="shared" si="1037"/>
        <v>0</v>
      </c>
      <c r="BW207" s="4363">
        <f t="shared" si="1037"/>
        <v>0</v>
      </c>
      <c r="BX207" s="4363">
        <f t="shared" si="1037"/>
        <v>0</v>
      </c>
      <c r="BY207" s="4363">
        <f t="shared" si="1037"/>
        <v>0</v>
      </c>
      <c r="BZ207" s="4363">
        <f t="shared" si="1037"/>
        <v>0</v>
      </c>
      <c r="CA207" s="4363">
        <f t="shared" si="1037"/>
        <v>0</v>
      </c>
      <c r="CB207" s="4364">
        <f t="shared" si="1037"/>
        <v>7018.6731676756353</v>
      </c>
      <c r="CC207" s="4364">
        <f t="shared" si="1037"/>
        <v>7018.6731676756353</v>
      </c>
      <c r="CD207" s="4364">
        <f t="shared" si="1037"/>
        <v>0</v>
      </c>
      <c r="CE207" s="4365">
        <f t="shared" si="1037"/>
        <v>9516.9070000000029</v>
      </c>
      <c r="CF207" s="4365">
        <f t="shared" si="1037"/>
        <v>9516.9070000000029</v>
      </c>
      <c r="CG207" s="4365">
        <f t="shared" si="1037"/>
        <v>0</v>
      </c>
      <c r="CH207" s="4323">
        <f t="shared" si="998"/>
        <v>2498.2338323243675</v>
      </c>
      <c r="CI207" s="4323">
        <f t="shared" si="999"/>
        <v>2498.2338323243675</v>
      </c>
      <c r="CJ207" s="4323">
        <f t="shared" si="999"/>
        <v>0</v>
      </c>
      <c r="CK207" s="2746"/>
      <c r="CL207" s="2746"/>
      <c r="CM207" s="2746"/>
      <c r="CN207" s="2746"/>
    </row>
    <row r="208" spans="1:92" ht="18.75" x14ac:dyDescent="0.3">
      <c r="A208" s="4334" t="s">
        <v>3703</v>
      </c>
      <c r="B208" s="4355">
        <f t="shared" ref="B208:AK208" si="1038">SUM(B142)</f>
        <v>1631.6398005399324</v>
      </c>
      <c r="C208" s="4355">
        <f t="shared" si="1038"/>
        <v>1631.3330694999324</v>
      </c>
      <c r="D208" s="4355">
        <f t="shared" si="1038"/>
        <v>0.30673104000000001</v>
      </c>
      <c r="E208" s="4356">
        <f t="shared" si="1038"/>
        <v>0</v>
      </c>
      <c r="F208" s="4356">
        <f t="shared" si="1038"/>
        <v>0</v>
      </c>
      <c r="G208" s="4356">
        <f t="shared" si="1038"/>
        <v>0</v>
      </c>
      <c r="H208" s="4356">
        <f t="shared" si="1038"/>
        <v>0</v>
      </c>
      <c r="I208" s="4356">
        <f t="shared" si="1038"/>
        <v>0</v>
      </c>
      <c r="J208" s="4356">
        <f t="shared" si="1038"/>
        <v>0</v>
      </c>
      <c r="K208" s="4356">
        <f t="shared" si="1038"/>
        <v>725.05600000000004</v>
      </c>
      <c r="L208" s="4356">
        <f t="shared" si="1038"/>
        <v>725.05600000000004</v>
      </c>
      <c r="M208" s="4356">
        <f t="shared" si="1038"/>
        <v>0</v>
      </c>
      <c r="N208" s="4356">
        <f t="shared" si="1038"/>
        <v>725.05600000000004</v>
      </c>
      <c r="O208" s="4356">
        <f t="shared" si="1038"/>
        <v>725.05600000000004</v>
      </c>
      <c r="P208" s="4356">
        <f t="shared" si="1038"/>
        <v>0</v>
      </c>
      <c r="Q208" s="4355">
        <f t="shared" si="1038"/>
        <v>1631.6398005399324</v>
      </c>
      <c r="R208" s="4355">
        <f t="shared" si="1038"/>
        <v>1631.3330694999324</v>
      </c>
      <c r="S208" s="4355">
        <f t="shared" si="1038"/>
        <v>0.30673104000000001</v>
      </c>
      <c r="T208" s="4356">
        <f t="shared" si="1038"/>
        <v>0</v>
      </c>
      <c r="U208" s="4356">
        <f t="shared" si="1038"/>
        <v>0</v>
      </c>
      <c r="V208" s="4356">
        <f t="shared" si="1038"/>
        <v>0</v>
      </c>
      <c r="W208" s="4356">
        <f t="shared" si="1038"/>
        <v>0</v>
      </c>
      <c r="X208" s="4356">
        <f t="shared" si="1038"/>
        <v>0</v>
      </c>
      <c r="Y208" s="4356">
        <f t="shared" si="1038"/>
        <v>0</v>
      </c>
      <c r="Z208" s="4356">
        <f t="shared" si="1038"/>
        <v>1054.8489999999999</v>
      </c>
      <c r="AA208" s="4356">
        <f t="shared" si="1038"/>
        <v>1054.8489999999999</v>
      </c>
      <c r="AB208" s="4356">
        <f t="shared" si="1038"/>
        <v>0</v>
      </c>
      <c r="AC208" s="4356">
        <f t="shared" si="1038"/>
        <v>1054.8489999999999</v>
      </c>
      <c r="AD208" s="4356">
        <f t="shared" si="1038"/>
        <v>1054.8489999999999</v>
      </c>
      <c r="AE208" s="4356">
        <f t="shared" si="1038"/>
        <v>0</v>
      </c>
      <c r="AF208" s="4357">
        <f t="shared" si="1038"/>
        <v>3263.2796010798647</v>
      </c>
      <c r="AG208" s="4357">
        <f t="shared" si="1038"/>
        <v>3262.6661389998649</v>
      </c>
      <c r="AH208" s="4357">
        <f t="shared" si="1038"/>
        <v>0.61346208000000002</v>
      </c>
      <c r="AI208" s="4358">
        <f t="shared" si="1038"/>
        <v>1779.905</v>
      </c>
      <c r="AJ208" s="4358">
        <f t="shared" si="1038"/>
        <v>1779.905</v>
      </c>
      <c r="AK208" s="4358">
        <f t="shared" si="1038"/>
        <v>0</v>
      </c>
      <c r="AL208" s="4319">
        <f t="shared" si="993"/>
        <v>-1483.3746010798648</v>
      </c>
      <c r="AM208" s="4319">
        <f t="shared" si="993"/>
        <v>-1482.7611389998649</v>
      </c>
      <c r="AN208" s="4319">
        <f t="shared" si="993"/>
        <v>-0.61346208000000002</v>
      </c>
      <c r="AO208" s="4355">
        <f t="shared" ref="AO208:BI208" si="1039">SUM(AO142)</f>
        <v>1631.6398005399324</v>
      </c>
      <c r="AP208" s="4355">
        <f t="shared" si="1039"/>
        <v>1631.3330694999324</v>
      </c>
      <c r="AQ208" s="4355">
        <f t="shared" si="1039"/>
        <v>0.30673104000000001</v>
      </c>
      <c r="AR208" s="4356">
        <f t="shared" si="1039"/>
        <v>0</v>
      </c>
      <c r="AS208" s="4356">
        <f t="shared" si="1039"/>
        <v>0</v>
      </c>
      <c r="AT208" s="4356">
        <f t="shared" si="1039"/>
        <v>0</v>
      </c>
      <c r="AU208" s="4356">
        <f t="shared" si="1039"/>
        <v>0</v>
      </c>
      <c r="AV208" s="4356">
        <f t="shared" si="1039"/>
        <v>0</v>
      </c>
      <c r="AW208" s="4356">
        <f t="shared" si="1039"/>
        <v>0</v>
      </c>
      <c r="AX208" s="4356">
        <f t="shared" si="1039"/>
        <v>0</v>
      </c>
      <c r="AY208" s="4356">
        <f t="shared" si="1039"/>
        <v>0</v>
      </c>
      <c r="AZ208" s="4356">
        <f t="shared" si="1039"/>
        <v>0</v>
      </c>
      <c r="BA208" s="4356">
        <f t="shared" si="1039"/>
        <v>0</v>
      </c>
      <c r="BB208" s="4356">
        <f t="shared" si="1039"/>
        <v>0</v>
      </c>
      <c r="BC208" s="4356">
        <f t="shared" si="1039"/>
        <v>0</v>
      </c>
      <c r="BD208" s="4357">
        <f t="shared" si="1039"/>
        <v>4894.9194016197971</v>
      </c>
      <c r="BE208" s="4357">
        <f t="shared" si="1039"/>
        <v>4893.9992084997975</v>
      </c>
      <c r="BF208" s="4357">
        <f t="shared" si="1039"/>
        <v>0.92019311999999998</v>
      </c>
      <c r="BG208" s="4358">
        <f t="shared" si="1039"/>
        <v>1779.905</v>
      </c>
      <c r="BH208" s="4358">
        <f t="shared" si="1039"/>
        <v>1779.905</v>
      </c>
      <c r="BI208" s="4358">
        <f t="shared" si="1039"/>
        <v>0</v>
      </c>
      <c r="BJ208" s="4319">
        <f t="shared" si="995"/>
        <v>-3115.0144016197974</v>
      </c>
      <c r="BK208" s="4319">
        <f t="shared" si="996"/>
        <v>-3114.0942084997978</v>
      </c>
      <c r="BL208" s="4319">
        <f t="shared" si="996"/>
        <v>-0.92019311999999998</v>
      </c>
      <c r="BM208" s="4355">
        <f t="shared" ref="BM208:CG208" si="1040">SUM(BM142)</f>
        <v>1631.6398005399324</v>
      </c>
      <c r="BN208" s="4355">
        <f t="shared" si="1040"/>
        <v>1631.3330694999324</v>
      </c>
      <c r="BO208" s="4355">
        <f t="shared" si="1040"/>
        <v>0.30673104000000001</v>
      </c>
      <c r="BP208" s="4356">
        <f t="shared" si="1040"/>
        <v>0</v>
      </c>
      <c r="BQ208" s="4356">
        <f t="shared" si="1040"/>
        <v>0</v>
      </c>
      <c r="BR208" s="4356">
        <f t="shared" si="1040"/>
        <v>0</v>
      </c>
      <c r="BS208" s="4356">
        <f t="shared" si="1040"/>
        <v>0</v>
      </c>
      <c r="BT208" s="4356">
        <f t="shared" si="1040"/>
        <v>0</v>
      </c>
      <c r="BU208" s="4356">
        <f t="shared" si="1040"/>
        <v>0</v>
      </c>
      <c r="BV208" s="4356">
        <f t="shared" si="1040"/>
        <v>0</v>
      </c>
      <c r="BW208" s="4356">
        <f t="shared" si="1040"/>
        <v>0</v>
      </c>
      <c r="BX208" s="4356">
        <f t="shared" si="1040"/>
        <v>0</v>
      </c>
      <c r="BY208" s="4356">
        <f t="shared" si="1040"/>
        <v>0</v>
      </c>
      <c r="BZ208" s="4356">
        <f t="shared" si="1040"/>
        <v>0</v>
      </c>
      <c r="CA208" s="4356">
        <f t="shared" si="1040"/>
        <v>0</v>
      </c>
      <c r="CB208" s="4357">
        <f t="shared" si="1040"/>
        <v>6526.5592021597295</v>
      </c>
      <c r="CC208" s="4357">
        <f t="shared" si="1040"/>
        <v>6525.3322779997297</v>
      </c>
      <c r="CD208" s="4357">
        <f t="shared" si="1040"/>
        <v>1.22692416</v>
      </c>
      <c r="CE208" s="4358">
        <f t="shared" si="1040"/>
        <v>1779.905</v>
      </c>
      <c r="CF208" s="4358">
        <f t="shared" si="1040"/>
        <v>1779.905</v>
      </c>
      <c r="CG208" s="4358">
        <f t="shared" si="1040"/>
        <v>0</v>
      </c>
      <c r="CH208" s="4319">
        <f t="shared" si="998"/>
        <v>-4746.6542021597297</v>
      </c>
      <c r="CI208" s="4319">
        <f t="shared" si="999"/>
        <v>-4745.42727799973</v>
      </c>
      <c r="CJ208" s="4319">
        <f t="shared" si="999"/>
        <v>-1.22692416</v>
      </c>
      <c r="CK208" s="2746"/>
      <c r="CL208" s="2746"/>
      <c r="CM208" s="2746"/>
      <c r="CN208" s="2746"/>
    </row>
    <row r="209" spans="1:92" ht="18.75" x14ac:dyDescent="0.3">
      <c r="A209" s="4339" t="s">
        <v>1523</v>
      </c>
      <c r="B209" s="4362">
        <f t="shared" ref="B209:AK209" si="1041">SUM(B143)</f>
        <v>826.67320053993251</v>
      </c>
      <c r="C209" s="4362">
        <f t="shared" si="1041"/>
        <v>826.36646949993246</v>
      </c>
      <c r="D209" s="4362">
        <f t="shared" si="1041"/>
        <v>0.30673104000000001</v>
      </c>
      <c r="E209" s="4363">
        <f t="shared" si="1041"/>
        <v>0</v>
      </c>
      <c r="F209" s="4363">
        <f t="shared" si="1041"/>
        <v>0</v>
      </c>
      <c r="G209" s="4363">
        <f t="shared" si="1041"/>
        <v>0</v>
      </c>
      <c r="H209" s="4363">
        <f t="shared" si="1041"/>
        <v>0</v>
      </c>
      <c r="I209" s="4363">
        <f t="shared" si="1041"/>
        <v>0</v>
      </c>
      <c r="J209" s="4363">
        <f t="shared" si="1041"/>
        <v>0</v>
      </c>
      <c r="K209" s="4363">
        <f t="shared" si="1041"/>
        <v>701.14499999999998</v>
      </c>
      <c r="L209" s="4363">
        <f t="shared" si="1041"/>
        <v>701.14499999999998</v>
      </c>
      <c r="M209" s="4363">
        <f t="shared" si="1041"/>
        <v>0</v>
      </c>
      <c r="N209" s="4363">
        <f t="shared" si="1041"/>
        <v>701.14499999999998</v>
      </c>
      <c r="O209" s="4363">
        <f t="shared" si="1041"/>
        <v>701.14499999999998</v>
      </c>
      <c r="P209" s="4363">
        <f t="shared" si="1041"/>
        <v>0</v>
      </c>
      <c r="Q209" s="4362">
        <f t="shared" si="1041"/>
        <v>826.67320053993251</v>
      </c>
      <c r="R209" s="4362">
        <f t="shared" si="1041"/>
        <v>826.36646949993246</v>
      </c>
      <c r="S209" s="4362">
        <f t="shared" si="1041"/>
        <v>0.30673104000000001</v>
      </c>
      <c r="T209" s="4363">
        <f t="shared" si="1041"/>
        <v>0</v>
      </c>
      <c r="U209" s="4363">
        <f t="shared" si="1041"/>
        <v>0</v>
      </c>
      <c r="V209" s="4363">
        <f t="shared" si="1041"/>
        <v>0</v>
      </c>
      <c r="W209" s="4363">
        <f t="shared" si="1041"/>
        <v>0</v>
      </c>
      <c r="X209" s="4363">
        <f t="shared" si="1041"/>
        <v>0</v>
      </c>
      <c r="Y209" s="4363">
        <f t="shared" si="1041"/>
        <v>0</v>
      </c>
      <c r="Z209" s="4363">
        <f t="shared" si="1041"/>
        <v>1026.3869999999999</v>
      </c>
      <c r="AA209" s="4363">
        <f t="shared" si="1041"/>
        <v>1026.3869999999999</v>
      </c>
      <c r="AB209" s="4363">
        <f t="shared" si="1041"/>
        <v>0</v>
      </c>
      <c r="AC209" s="4363">
        <f t="shared" si="1041"/>
        <v>1026.3869999999999</v>
      </c>
      <c r="AD209" s="4363">
        <f t="shared" si="1041"/>
        <v>1026.3869999999999</v>
      </c>
      <c r="AE209" s="4363">
        <f t="shared" si="1041"/>
        <v>0</v>
      </c>
      <c r="AF209" s="4364">
        <f t="shared" si="1041"/>
        <v>1653.346401079865</v>
      </c>
      <c r="AG209" s="4364">
        <f t="shared" si="1041"/>
        <v>1652.7329389998649</v>
      </c>
      <c r="AH209" s="4364">
        <f t="shared" si="1041"/>
        <v>0.61346208000000002</v>
      </c>
      <c r="AI209" s="4365">
        <f t="shared" si="1041"/>
        <v>1727.5319999999999</v>
      </c>
      <c r="AJ209" s="4365">
        <f t="shared" si="1041"/>
        <v>1727.5319999999999</v>
      </c>
      <c r="AK209" s="4365">
        <f t="shared" si="1041"/>
        <v>0</v>
      </c>
      <c r="AL209" s="4323">
        <f t="shared" si="993"/>
        <v>74.185598920134908</v>
      </c>
      <c r="AM209" s="4323">
        <f t="shared" si="993"/>
        <v>74.799061000134998</v>
      </c>
      <c r="AN209" s="4323">
        <f t="shared" si="993"/>
        <v>-0.61346208000000002</v>
      </c>
      <c r="AO209" s="4362">
        <f t="shared" ref="AO209:BI209" si="1042">SUM(AO143)</f>
        <v>826.67320053993251</v>
      </c>
      <c r="AP209" s="4362">
        <f t="shared" si="1042"/>
        <v>826.36646949993246</v>
      </c>
      <c r="AQ209" s="4362">
        <f t="shared" si="1042"/>
        <v>0.30673104000000001</v>
      </c>
      <c r="AR209" s="4363">
        <f t="shared" si="1042"/>
        <v>0</v>
      </c>
      <c r="AS209" s="4363">
        <f t="shared" si="1042"/>
        <v>0</v>
      </c>
      <c r="AT209" s="4363">
        <f t="shared" si="1042"/>
        <v>0</v>
      </c>
      <c r="AU209" s="4363">
        <f t="shared" si="1042"/>
        <v>0</v>
      </c>
      <c r="AV209" s="4363">
        <f t="shared" si="1042"/>
        <v>0</v>
      </c>
      <c r="AW209" s="4363">
        <f t="shared" si="1042"/>
        <v>0</v>
      </c>
      <c r="AX209" s="4363">
        <f t="shared" si="1042"/>
        <v>0</v>
      </c>
      <c r="AY209" s="4363">
        <f t="shared" si="1042"/>
        <v>0</v>
      </c>
      <c r="AZ209" s="4363">
        <f t="shared" si="1042"/>
        <v>0</v>
      </c>
      <c r="BA209" s="4363">
        <f t="shared" si="1042"/>
        <v>0</v>
      </c>
      <c r="BB209" s="4363">
        <f t="shared" si="1042"/>
        <v>0</v>
      </c>
      <c r="BC209" s="4363">
        <f t="shared" si="1042"/>
        <v>0</v>
      </c>
      <c r="BD209" s="4364">
        <f t="shared" si="1042"/>
        <v>2480.0196016197974</v>
      </c>
      <c r="BE209" s="4364">
        <f t="shared" si="1042"/>
        <v>2479.0994084997974</v>
      </c>
      <c r="BF209" s="4364">
        <f t="shared" si="1042"/>
        <v>0.92019311999999998</v>
      </c>
      <c r="BG209" s="4365">
        <f t="shared" si="1042"/>
        <v>1727.5319999999999</v>
      </c>
      <c r="BH209" s="4365">
        <f t="shared" si="1042"/>
        <v>1727.5319999999999</v>
      </c>
      <c r="BI209" s="4365">
        <f t="shared" si="1042"/>
        <v>0</v>
      </c>
      <c r="BJ209" s="4323">
        <f t="shared" si="995"/>
        <v>-752.48760161979749</v>
      </c>
      <c r="BK209" s="4323">
        <f t="shared" si="996"/>
        <v>-751.56740849979747</v>
      </c>
      <c r="BL209" s="4323">
        <f t="shared" si="996"/>
        <v>-0.92019311999999998</v>
      </c>
      <c r="BM209" s="4362">
        <f t="shared" ref="BM209:CG209" si="1043">SUM(BM143)</f>
        <v>826.67320053993251</v>
      </c>
      <c r="BN209" s="4362">
        <f t="shared" si="1043"/>
        <v>826.36646949993246</v>
      </c>
      <c r="BO209" s="4362">
        <f t="shared" si="1043"/>
        <v>0.30673104000000001</v>
      </c>
      <c r="BP209" s="4363">
        <f t="shared" si="1043"/>
        <v>0</v>
      </c>
      <c r="BQ209" s="4363">
        <f t="shared" si="1043"/>
        <v>0</v>
      </c>
      <c r="BR209" s="4363">
        <f t="shared" si="1043"/>
        <v>0</v>
      </c>
      <c r="BS209" s="4363">
        <f t="shared" si="1043"/>
        <v>0</v>
      </c>
      <c r="BT209" s="4363">
        <f t="shared" si="1043"/>
        <v>0</v>
      </c>
      <c r="BU209" s="4363">
        <f t="shared" si="1043"/>
        <v>0</v>
      </c>
      <c r="BV209" s="4363">
        <f t="shared" si="1043"/>
        <v>0</v>
      </c>
      <c r="BW209" s="4363">
        <f t="shared" si="1043"/>
        <v>0</v>
      </c>
      <c r="BX209" s="4363">
        <f t="shared" si="1043"/>
        <v>0</v>
      </c>
      <c r="BY209" s="4363">
        <f t="shared" si="1043"/>
        <v>0</v>
      </c>
      <c r="BZ209" s="4363">
        <f t="shared" si="1043"/>
        <v>0</v>
      </c>
      <c r="CA209" s="4363">
        <f t="shared" si="1043"/>
        <v>0</v>
      </c>
      <c r="CB209" s="4364">
        <f t="shared" si="1043"/>
        <v>3306.69280215973</v>
      </c>
      <c r="CC209" s="4364">
        <f t="shared" si="1043"/>
        <v>3305.4658779997299</v>
      </c>
      <c r="CD209" s="4364">
        <f t="shared" si="1043"/>
        <v>1.22692416</v>
      </c>
      <c r="CE209" s="4365">
        <f t="shared" si="1043"/>
        <v>1727.5319999999999</v>
      </c>
      <c r="CF209" s="4365">
        <f t="shared" si="1043"/>
        <v>1727.5319999999999</v>
      </c>
      <c r="CG209" s="4365">
        <f t="shared" si="1043"/>
        <v>0</v>
      </c>
      <c r="CH209" s="4323">
        <f t="shared" si="998"/>
        <v>-1579.1608021597301</v>
      </c>
      <c r="CI209" s="4323">
        <f t="shared" si="999"/>
        <v>-1577.9338779997299</v>
      </c>
      <c r="CJ209" s="4323">
        <f t="shared" si="999"/>
        <v>-1.22692416</v>
      </c>
      <c r="CK209" s="2746"/>
      <c r="CL209" s="2746"/>
      <c r="CM209" s="2746"/>
      <c r="CN209" s="2746"/>
    </row>
    <row r="210" spans="1:92" ht="18.75" x14ac:dyDescent="0.3">
      <c r="A210" s="4339" t="s">
        <v>522</v>
      </c>
      <c r="B210" s="4362">
        <f t="shared" ref="B210:AK210" si="1044">SUM(B144)</f>
        <v>22.59675</v>
      </c>
      <c r="C210" s="4362">
        <f t="shared" si="1044"/>
        <v>22.59675</v>
      </c>
      <c r="D210" s="4362">
        <f t="shared" si="1044"/>
        <v>0</v>
      </c>
      <c r="E210" s="4363">
        <f t="shared" si="1044"/>
        <v>0</v>
      </c>
      <c r="F210" s="4363">
        <f t="shared" si="1044"/>
        <v>0</v>
      </c>
      <c r="G210" s="4363">
        <f t="shared" si="1044"/>
        <v>0</v>
      </c>
      <c r="H210" s="4363">
        <f t="shared" si="1044"/>
        <v>0</v>
      </c>
      <c r="I210" s="4363">
        <f t="shared" si="1044"/>
        <v>0</v>
      </c>
      <c r="J210" s="4363">
        <f t="shared" si="1044"/>
        <v>0</v>
      </c>
      <c r="K210" s="4363">
        <f t="shared" si="1044"/>
        <v>23.911000000000001</v>
      </c>
      <c r="L210" s="4363">
        <f t="shared" si="1044"/>
        <v>23.911000000000001</v>
      </c>
      <c r="M210" s="4363">
        <f t="shared" si="1044"/>
        <v>0</v>
      </c>
      <c r="N210" s="4363">
        <f t="shared" si="1044"/>
        <v>23.911000000000001</v>
      </c>
      <c r="O210" s="4363">
        <f t="shared" si="1044"/>
        <v>23.911000000000001</v>
      </c>
      <c r="P210" s="4363">
        <f t="shared" si="1044"/>
        <v>0</v>
      </c>
      <c r="Q210" s="4362">
        <f t="shared" si="1044"/>
        <v>22.59675</v>
      </c>
      <c r="R210" s="4362">
        <f t="shared" si="1044"/>
        <v>22.59675</v>
      </c>
      <c r="S210" s="4362">
        <f t="shared" si="1044"/>
        <v>0</v>
      </c>
      <c r="T210" s="4363">
        <f t="shared" si="1044"/>
        <v>0</v>
      </c>
      <c r="U210" s="4363">
        <f t="shared" si="1044"/>
        <v>0</v>
      </c>
      <c r="V210" s="4363">
        <f t="shared" si="1044"/>
        <v>0</v>
      </c>
      <c r="W210" s="4363">
        <f t="shared" si="1044"/>
        <v>0</v>
      </c>
      <c r="X210" s="4363">
        <f t="shared" si="1044"/>
        <v>0</v>
      </c>
      <c r="Y210" s="4363">
        <f t="shared" si="1044"/>
        <v>0</v>
      </c>
      <c r="Z210" s="4363">
        <f t="shared" si="1044"/>
        <v>28.462</v>
      </c>
      <c r="AA210" s="4363">
        <f t="shared" si="1044"/>
        <v>28.462</v>
      </c>
      <c r="AB210" s="4363">
        <f t="shared" si="1044"/>
        <v>0</v>
      </c>
      <c r="AC210" s="4363">
        <f t="shared" si="1044"/>
        <v>28.462</v>
      </c>
      <c r="AD210" s="4363">
        <f t="shared" si="1044"/>
        <v>28.462</v>
      </c>
      <c r="AE210" s="4363">
        <f t="shared" si="1044"/>
        <v>0</v>
      </c>
      <c r="AF210" s="4364">
        <f t="shared" si="1044"/>
        <v>45.1935</v>
      </c>
      <c r="AG210" s="4364">
        <f t="shared" si="1044"/>
        <v>45.1935</v>
      </c>
      <c r="AH210" s="4364">
        <f t="shared" si="1044"/>
        <v>0</v>
      </c>
      <c r="AI210" s="4365">
        <f t="shared" si="1044"/>
        <v>52.373000000000005</v>
      </c>
      <c r="AJ210" s="4365">
        <f t="shared" si="1044"/>
        <v>52.373000000000005</v>
      </c>
      <c r="AK210" s="4365">
        <f t="shared" si="1044"/>
        <v>0</v>
      </c>
      <c r="AL210" s="4323">
        <f t="shared" si="993"/>
        <v>7.1795000000000044</v>
      </c>
      <c r="AM210" s="4323">
        <f t="shared" si="993"/>
        <v>7.1795000000000044</v>
      </c>
      <c r="AN210" s="4323">
        <f t="shared" si="993"/>
        <v>0</v>
      </c>
      <c r="AO210" s="4362">
        <f t="shared" ref="AO210:BI210" si="1045">SUM(AO144)</f>
        <v>22.59675</v>
      </c>
      <c r="AP210" s="4362">
        <f t="shared" si="1045"/>
        <v>22.59675</v>
      </c>
      <c r="AQ210" s="4362">
        <f t="shared" si="1045"/>
        <v>0</v>
      </c>
      <c r="AR210" s="4363">
        <f t="shared" si="1045"/>
        <v>0</v>
      </c>
      <c r="AS210" s="4363">
        <f t="shared" si="1045"/>
        <v>0</v>
      </c>
      <c r="AT210" s="4363">
        <f t="shared" si="1045"/>
        <v>0</v>
      </c>
      <c r="AU210" s="4363">
        <f t="shared" si="1045"/>
        <v>0</v>
      </c>
      <c r="AV210" s="4363">
        <f t="shared" si="1045"/>
        <v>0</v>
      </c>
      <c r="AW210" s="4363">
        <f t="shared" si="1045"/>
        <v>0</v>
      </c>
      <c r="AX210" s="4363">
        <f t="shared" si="1045"/>
        <v>0</v>
      </c>
      <c r="AY210" s="4363">
        <f t="shared" si="1045"/>
        <v>0</v>
      </c>
      <c r="AZ210" s="4363">
        <f t="shared" si="1045"/>
        <v>0</v>
      </c>
      <c r="BA210" s="4363">
        <f t="shared" si="1045"/>
        <v>0</v>
      </c>
      <c r="BB210" s="4363">
        <f t="shared" si="1045"/>
        <v>0</v>
      </c>
      <c r="BC210" s="4363">
        <f t="shared" si="1045"/>
        <v>0</v>
      </c>
      <c r="BD210" s="4364">
        <f t="shared" si="1045"/>
        <v>67.79025</v>
      </c>
      <c r="BE210" s="4364">
        <f t="shared" si="1045"/>
        <v>67.79025</v>
      </c>
      <c r="BF210" s="4364">
        <f t="shared" si="1045"/>
        <v>0</v>
      </c>
      <c r="BG210" s="4365">
        <f t="shared" si="1045"/>
        <v>52.373000000000005</v>
      </c>
      <c r="BH210" s="4365">
        <f t="shared" si="1045"/>
        <v>52.373000000000005</v>
      </c>
      <c r="BI210" s="4365">
        <f t="shared" si="1045"/>
        <v>0</v>
      </c>
      <c r="BJ210" s="4323">
        <f t="shared" si="995"/>
        <v>-15.417249999999996</v>
      </c>
      <c r="BK210" s="4323">
        <f t="shared" si="996"/>
        <v>-15.417249999999996</v>
      </c>
      <c r="BL210" s="4323">
        <f t="shared" si="996"/>
        <v>0</v>
      </c>
      <c r="BM210" s="4362">
        <f t="shared" ref="BM210:CG210" si="1046">SUM(BM144)</f>
        <v>22.59675</v>
      </c>
      <c r="BN210" s="4362">
        <f t="shared" si="1046"/>
        <v>22.59675</v>
      </c>
      <c r="BO210" s="4362">
        <f t="shared" si="1046"/>
        <v>0</v>
      </c>
      <c r="BP210" s="4363">
        <f t="shared" si="1046"/>
        <v>0</v>
      </c>
      <c r="BQ210" s="4363">
        <f t="shared" si="1046"/>
        <v>0</v>
      </c>
      <c r="BR210" s="4363">
        <f t="shared" si="1046"/>
        <v>0</v>
      </c>
      <c r="BS210" s="4363">
        <f t="shared" si="1046"/>
        <v>0</v>
      </c>
      <c r="BT210" s="4363">
        <f t="shared" si="1046"/>
        <v>0</v>
      </c>
      <c r="BU210" s="4363">
        <f t="shared" si="1046"/>
        <v>0</v>
      </c>
      <c r="BV210" s="4363">
        <f t="shared" si="1046"/>
        <v>0</v>
      </c>
      <c r="BW210" s="4363">
        <f t="shared" si="1046"/>
        <v>0</v>
      </c>
      <c r="BX210" s="4363">
        <f t="shared" si="1046"/>
        <v>0</v>
      </c>
      <c r="BY210" s="4363">
        <f t="shared" si="1046"/>
        <v>0</v>
      </c>
      <c r="BZ210" s="4363">
        <f t="shared" si="1046"/>
        <v>0</v>
      </c>
      <c r="CA210" s="4363">
        <f t="shared" si="1046"/>
        <v>0</v>
      </c>
      <c r="CB210" s="4364">
        <f t="shared" si="1046"/>
        <v>90.387</v>
      </c>
      <c r="CC210" s="4364">
        <f t="shared" si="1046"/>
        <v>90.387</v>
      </c>
      <c r="CD210" s="4364">
        <f t="shared" si="1046"/>
        <v>0</v>
      </c>
      <c r="CE210" s="4365">
        <f t="shared" si="1046"/>
        <v>52.373000000000005</v>
      </c>
      <c r="CF210" s="4365">
        <f t="shared" si="1046"/>
        <v>52.373000000000005</v>
      </c>
      <c r="CG210" s="4365">
        <f t="shared" si="1046"/>
        <v>0</v>
      </c>
      <c r="CH210" s="4323">
        <f t="shared" si="998"/>
        <v>-38.013999999999996</v>
      </c>
      <c r="CI210" s="4323">
        <f t="shared" si="999"/>
        <v>-38.013999999999996</v>
      </c>
      <c r="CJ210" s="4323">
        <f t="shared" si="999"/>
        <v>0</v>
      </c>
      <c r="CK210" s="2746"/>
      <c r="CL210" s="2746"/>
      <c r="CM210" s="2746"/>
      <c r="CN210" s="2746"/>
    </row>
    <row r="211" spans="1:92" ht="18.75" x14ac:dyDescent="0.3">
      <c r="A211" s="4339" t="s">
        <v>523</v>
      </c>
      <c r="B211" s="4362">
        <f t="shared" ref="B211:AK211" si="1047">SUM(B145)</f>
        <v>0</v>
      </c>
      <c r="C211" s="4362">
        <f t="shared" si="1047"/>
        <v>0</v>
      </c>
      <c r="D211" s="4362">
        <f t="shared" si="1047"/>
        <v>0</v>
      </c>
      <c r="E211" s="4363">
        <f t="shared" si="1047"/>
        <v>0</v>
      </c>
      <c r="F211" s="4363">
        <f t="shared" si="1047"/>
        <v>0</v>
      </c>
      <c r="G211" s="4363">
        <f t="shared" si="1047"/>
        <v>0</v>
      </c>
      <c r="H211" s="4363">
        <f t="shared" si="1047"/>
        <v>0</v>
      </c>
      <c r="I211" s="4363">
        <f t="shared" si="1047"/>
        <v>0</v>
      </c>
      <c r="J211" s="4363">
        <f t="shared" si="1047"/>
        <v>0</v>
      </c>
      <c r="K211" s="4363">
        <f t="shared" si="1047"/>
        <v>0</v>
      </c>
      <c r="L211" s="4363">
        <f t="shared" si="1047"/>
        <v>0</v>
      </c>
      <c r="M211" s="4363">
        <f t="shared" si="1047"/>
        <v>0</v>
      </c>
      <c r="N211" s="4363">
        <f t="shared" si="1047"/>
        <v>0</v>
      </c>
      <c r="O211" s="4363">
        <f t="shared" si="1047"/>
        <v>0</v>
      </c>
      <c r="P211" s="4363">
        <f t="shared" si="1047"/>
        <v>0</v>
      </c>
      <c r="Q211" s="4362">
        <f t="shared" si="1047"/>
        <v>0</v>
      </c>
      <c r="R211" s="4362">
        <f t="shared" si="1047"/>
        <v>0</v>
      </c>
      <c r="S211" s="4362">
        <f t="shared" si="1047"/>
        <v>0</v>
      </c>
      <c r="T211" s="4363">
        <f t="shared" si="1047"/>
        <v>0</v>
      </c>
      <c r="U211" s="4363">
        <f t="shared" si="1047"/>
        <v>0</v>
      </c>
      <c r="V211" s="4363">
        <f t="shared" si="1047"/>
        <v>0</v>
      </c>
      <c r="W211" s="4363">
        <f t="shared" si="1047"/>
        <v>0</v>
      </c>
      <c r="X211" s="4363">
        <f t="shared" si="1047"/>
        <v>0</v>
      </c>
      <c r="Y211" s="4363">
        <f t="shared" si="1047"/>
        <v>0</v>
      </c>
      <c r="Z211" s="4363">
        <f t="shared" si="1047"/>
        <v>0</v>
      </c>
      <c r="AA211" s="4363">
        <f t="shared" si="1047"/>
        <v>0</v>
      </c>
      <c r="AB211" s="4363">
        <f t="shared" si="1047"/>
        <v>0</v>
      </c>
      <c r="AC211" s="4363">
        <f t="shared" si="1047"/>
        <v>0</v>
      </c>
      <c r="AD211" s="4363">
        <f t="shared" si="1047"/>
        <v>0</v>
      </c>
      <c r="AE211" s="4363">
        <f t="shared" si="1047"/>
        <v>0</v>
      </c>
      <c r="AF211" s="4364">
        <f t="shared" si="1047"/>
        <v>0</v>
      </c>
      <c r="AG211" s="4364">
        <f t="shared" si="1047"/>
        <v>0</v>
      </c>
      <c r="AH211" s="4364">
        <f t="shared" si="1047"/>
        <v>0</v>
      </c>
      <c r="AI211" s="4365">
        <f t="shared" si="1047"/>
        <v>0</v>
      </c>
      <c r="AJ211" s="4365">
        <f t="shared" si="1047"/>
        <v>0</v>
      </c>
      <c r="AK211" s="4365">
        <f t="shared" si="1047"/>
        <v>0</v>
      </c>
      <c r="AL211" s="4323">
        <f t="shared" si="993"/>
        <v>0</v>
      </c>
      <c r="AM211" s="4323">
        <f t="shared" si="993"/>
        <v>0</v>
      </c>
      <c r="AN211" s="4323">
        <f t="shared" si="993"/>
        <v>0</v>
      </c>
      <c r="AO211" s="4362">
        <f t="shared" ref="AO211:BI211" si="1048">SUM(AO145)</f>
        <v>0</v>
      </c>
      <c r="AP211" s="4362">
        <f t="shared" si="1048"/>
        <v>0</v>
      </c>
      <c r="AQ211" s="4362">
        <f t="shared" si="1048"/>
        <v>0</v>
      </c>
      <c r="AR211" s="4363">
        <f t="shared" si="1048"/>
        <v>0</v>
      </c>
      <c r="AS211" s="4363">
        <f t="shared" si="1048"/>
        <v>0</v>
      </c>
      <c r="AT211" s="4363">
        <f t="shared" si="1048"/>
        <v>0</v>
      </c>
      <c r="AU211" s="4363">
        <f t="shared" si="1048"/>
        <v>0</v>
      </c>
      <c r="AV211" s="4363">
        <f t="shared" si="1048"/>
        <v>0</v>
      </c>
      <c r="AW211" s="4363">
        <f t="shared" si="1048"/>
        <v>0</v>
      </c>
      <c r="AX211" s="4363">
        <f t="shared" si="1048"/>
        <v>0</v>
      </c>
      <c r="AY211" s="4363">
        <f t="shared" si="1048"/>
        <v>0</v>
      </c>
      <c r="AZ211" s="4363">
        <f t="shared" si="1048"/>
        <v>0</v>
      </c>
      <c r="BA211" s="4363">
        <f t="shared" si="1048"/>
        <v>0</v>
      </c>
      <c r="BB211" s="4363">
        <f t="shared" si="1048"/>
        <v>0</v>
      </c>
      <c r="BC211" s="4363">
        <f t="shared" si="1048"/>
        <v>0</v>
      </c>
      <c r="BD211" s="4364">
        <f t="shared" si="1048"/>
        <v>0</v>
      </c>
      <c r="BE211" s="4364">
        <f t="shared" si="1048"/>
        <v>0</v>
      </c>
      <c r="BF211" s="4364">
        <f t="shared" si="1048"/>
        <v>0</v>
      </c>
      <c r="BG211" s="4365">
        <f t="shared" si="1048"/>
        <v>0</v>
      </c>
      <c r="BH211" s="4365">
        <f t="shared" si="1048"/>
        <v>0</v>
      </c>
      <c r="BI211" s="4365">
        <f t="shared" si="1048"/>
        <v>0</v>
      </c>
      <c r="BJ211" s="4323">
        <f t="shared" si="995"/>
        <v>0</v>
      </c>
      <c r="BK211" s="4323">
        <f t="shared" si="996"/>
        <v>0</v>
      </c>
      <c r="BL211" s="4323">
        <f t="shared" si="996"/>
        <v>0</v>
      </c>
      <c r="BM211" s="4362">
        <f t="shared" ref="BM211:CG211" si="1049">SUM(BM145)</f>
        <v>0</v>
      </c>
      <c r="BN211" s="4362">
        <f t="shared" si="1049"/>
        <v>0</v>
      </c>
      <c r="BO211" s="4362">
        <f t="shared" si="1049"/>
        <v>0</v>
      </c>
      <c r="BP211" s="4363">
        <f t="shared" si="1049"/>
        <v>0</v>
      </c>
      <c r="BQ211" s="4363">
        <f t="shared" si="1049"/>
        <v>0</v>
      </c>
      <c r="BR211" s="4363">
        <f t="shared" si="1049"/>
        <v>0</v>
      </c>
      <c r="BS211" s="4363">
        <f t="shared" si="1049"/>
        <v>0</v>
      </c>
      <c r="BT211" s="4363">
        <f t="shared" si="1049"/>
        <v>0</v>
      </c>
      <c r="BU211" s="4363">
        <f t="shared" si="1049"/>
        <v>0</v>
      </c>
      <c r="BV211" s="4363">
        <f t="shared" si="1049"/>
        <v>0</v>
      </c>
      <c r="BW211" s="4363">
        <f t="shared" si="1049"/>
        <v>0</v>
      </c>
      <c r="BX211" s="4363">
        <f t="shared" si="1049"/>
        <v>0</v>
      </c>
      <c r="BY211" s="4363">
        <f t="shared" si="1049"/>
        <v>0</v>
      </c>
      <c r="BZ211" s="4363">
        <f t="shared" si="1049"/>
        <v>0</v>
      </c>
      <c r="CA211" s="4363">
        <f t="shared" si="1049"/>
        <v>0</v>
      </c>
      <c r="CB211" s="4364">
        <f t="shared" si="1049"/>
        <v>0</v>
      </c>
      <c r="CC211" s="4364">
        <f t="shared" si="1049"/>
        <v>0</v>
      </c>
      <c r="CD211" s="4364">
        <f t="shared" si="1049"/>
        <v>0</v>
      </c>
      <c r="CE211" s="4365">
        <f t="shared" si="1049"/>
        <v>0</v>
      </c>
      <c r="CF211" s="4365">
        <f t="shared" si="1049"/>
        <v>0</v>
      </c>
      <c r="CG211" s="4365">
        <f t="shared" si="1049"/>
        <v>0</v>
      </c>
      <c r="CH211" s="4323">
        <f t="shared" si="998"/>
        <v>0</v>
      </c>
      <c r="CI211" s="4323">
        <f t="shared" si="999"/>
        <v>0</v>
      </c>
      <c r="CJ211" s="4323">
        <f t="shared" si="999"/>
        <v>0</v>
      </c>
      <c r="CK211" s="2746"/>
      <c r="CL211" s="2746"/>
      <c r="CM211" s="2746"/>
      <c r="CN211" s="2746"/>
    </row>
    <row r="212" spans="1:92" ht="18.75" x14ac:dyDescent="0.3">
      <c r="A212" s="4339" t="s">
        <v>524</v>
      </c>
      <c r="B212" s="4362">
        <f t="shared" ref="B212:AK212" si="1050">SUM(B146)</f>
        <v>782.36984999999993</v>
      </c>
      <c r="C212" s="4362">
        <f t="shared" si="1050"/>
        <v>782.36984999999993</v>
      </c>
      <c r="D212" s="4362">
        <f t="shared" si="1050"/>
        <v>0</v>
      </c>
      <c r="E212" s="4363">
        <f t="shared" si="1050"/>
        <v>0</v>
      </c>
      <c r="F212" s="4363">
        <f t="shared" si="1050"/>
        <v>0</v>
      </c>
      <c r="G212" s="4363">
        <f t="shared" si="1050"/>
        <v>0</v>
      </c>
      <c r="H212" s="4363">
        <f t="shared" si="1050"/>
        <v>0</v>
      </c>
      <c r="I212" s="4363">
        <f t="shared" si="1050"/>
        <v>0</v>
      </c>
      <c r="J212" s="4363">
        <f t="shared" si="1050"/>
        <v>0</v>
      </c>
      <c r="K212" s="4363">
        <f t="shared" si="1050"/>
        <v>0</v>
      </c>
      <c r="L212" s="4363">
        <f t="shared" si="1050"/>
        <v>0</v>
      </c>
      <c r="M212" s="4363">
        <f t="shared" si="1050"/>
        <v>0</v>
      </c>
      <c r="N212" s="4363">
        <f t="shared" si="1050"/>
        <v>0</v>
      </c>
      <c r="O212" s="4363">
        <f t="shared" si="1050"/>
        <v>0</v>
      </c>
      <c r="P212" s="4363">
        <f t="shared" si="1050"/>
        <v>0</v>
      </c>
      <c r="Q212" s="4362">
        <f t="shared" si="1050"/>
        <v>782.36984999999993</v>
      </c>
      <c r="R212" s="4362">
        <f t="shared" si="1050"/>
        <v>782.36984999999993</v>
      </c>
      <c r="S212" s="4362">
        <f t="shared" si="1050"/>
        <v>0</v>
      </c>
      <c r="T212" s="4363">
        <f t="shared" si="1050"/>
        <v>0</v>
      </c>
      <c r="U212" s="4363">
        <f t="shared" si="1050"/>
        <v>0</v>
      </c>
      <c r="V212" s="4363">
        <f t="shared" si="1050"/>
        <v>0</v>
      </c>
      <c r="W212" s="4363">
        <f t="shared" si="1050"/>
        <v>0</v>
      </c>
      <c r="X212" s="4363">
        <f t="shared" si="1050"/>
        <v>0</v>
      </c>
      <c r="Y212" s="4363">
        <f t="shared" si="1050"/>
        <v>0</v>
      </c>
      <c r="Z212" s="4363">
        <f t="shared" si="1050"/>
        <v>0</v>
      </c>
      <c r="AA212" s="4363">
        <f t="shared" si="1050"/>
        <v>0</v>
      </c>
      <c r="AB212" s="4363">
        <f t="shared" si="1050"/>
        <v>0</v>
      </c>
      <c r="AC212" s="4363">
        <f t="shared" si="1050"/>
        <v>0</v>
      </c>
      <c r="AD212" s="4363">
        <f t="shared" si="1050"/>
        <v>0</v>
      </c>
      <c r="AE212" s="4363">
        <f t="shared" si="1050"/>
        <v>0</v>
      </c>
      <c r="AF212" s="4364">
        <f t="shared" si="1050"/>
        <v>1564.7396999999999</v>
      </c>
      <c r="AG212" s="4364">
        <f t="shared" si="1050"/>
        <v>1564.7396999999999</v>
      </c>
      <c r="AH212" s="4364">
        <f t="shared" si="1050"/>
        <v>0</v>
      </c>
      <c r="AI212" s="4365">
        <f t="shared" si="1050"/>
        <v>0</v>
      </c>
      <c r="AJ212" s="4365">
        <f t="shared" si="1050"/>
        <v>0</v>
      </c>
      <c r="AK212" s="4365">
        <f t="shared" si="1050"/>
        <v>0</v>
      </c>
      <c r="AL212" s="4323">
        <f t="shared" si="993"/>
        <v>-1564.7396999999999</v>
      </c>
      <c r="AM212" s="4323">
        <f t="shared" si="993"/>
        <v>-1564.7396999999999</v>
      </c>
      <c r="AN212" s="4323">
        <f t="shared" si="993"/>
        <v>0</v>
      </c>
      <c r="AO212" s="4362">
        <f t="shared" ref="AO212:BI212" si="1051">SUM(AO146)</f>
        <v>782.36984999999993</v>
      </c>
      <c r="AP212" s="4362">
        <f t="shared" si="1051"/>
        <v>782.36984999999993</v>
      </c>
      <c r="AQ212" s="4362">
        <f t="shared" si="1051"/>
        <v>0</v>
      </c>
      <c r="AR212" s="4363">
        <f t="shared" si="1051"/>
        <v>0</v>
      </c>
      <c r="AS212" s="4363">
        <f t="shared" si="1051"/>
        <v>0</v>
      </c>
      <c r="AT212" s="4363">
        <f t="shared" si="1051"/>
        <v>0</v>
      </c>
      <c r="AU212" s="4363">
        <f t="shared" si="1051"/>
        <v>0</v>
      </c>
      <c r="AV212" s="4363">
        <f t="shared" si="1051"/>
        <v>0</v>
      </c>
      <c r="AW212" s="4363">
        <f t="shared" si="1051"/>
        <v>0</v>
      </c>
      <c r="AX212" s="4363">
        <f t="shared" si="1051"/>
        <v>0</v>
      </c>
      <c r="AY212" s="4363">
        <f t="shared" si="1051"/>
        <v>0</v>
      </c>
      <c r="AZ212" s="4363">
        <f t="shared" si="1051"/>
        <v>0</v>
      </c>
      <c r="BA212" s="4363">
        <f t="shared" si="1051"/>
        <v>0</v>
      </c>
      <c r="BB212" s="4363">
        <f t="shared" si="1051"/>
        <v>0</v>
      </c>
      <c r="BC212" s="4363">
        <f t="shared" si="1051"/>
        <v>0</v>
      </c>
      <c r="BD212" s="4364">
        <f t="shared" si="1051"/>
        <v>2347.1095499999997</v>
      </c>
      <c r="BE212" s="4364">
        <f t="shared" si="1051"/>
        <v>2347.1095499999997</v>
      </c>
      <c r="BF212" s="4364">
        <f t="shared" si="1051"/>
        <v>0</v>
      </c>
      <c r="BG212" s="4365">
        <f t="shared" si="1051"/>
        <v>0</v>
      </c>
      <c r="BH212" s="4365">
        <f t="shared" si="1051"/>
        <v>0</v>
      </c>
      <c r="BI212" s="4365">
        <f t="shared" si="1051"/>
        <v>0</v>
      </c>
      <c r="BJ212" s="4323">
        <f t="shared" si="995"/>
        <v>-2347.1095499999997</v>
      </c>
      <c r="BK212" s="4323">
        <f t="shared" si="996"/>
        <v>-2347.1095499999997</v>
      </c>
      <c r="BL212" s="4323">
        <f t="shared" si="996"/>
        <v>0</v>
      </c>
      <c r="BM212" s="4362">
        <f t="shared" ref="BM212:CG212" si="1052">SUM(BM146)</f>
        <v>782.36984999999993</v>
      </c>
      <c r="BN212" s="4362">
        <f t="shared" si="1052"/>
        <v>782.36984999999993</v>
      </c>
      <c r="BO212" s="4362">
        <f t="shared" si="1052"/>
        <v>0</v>
      </c>
      <c r="BP212" s="4363">
        <f t="shared" si="1052"/>
        <v>0</v>
      </c>
      <c r="BQ212" s="4363">
        <f t="shared" si="1052"/>
        <v>0</v>
      </c>
      <c r="BR212" s="4363">
        <f t="shared" si="1052"/>
        <v>0</v>
      </c>
      <c r="BS212" s="4363">
        <f t="shared" si="1052"/>
        <v>0</v>
      </c>
      <c r="BT212" s="4363">
        <f t="shared" si="1052"/>
        <v>0</v>
      </c>
      <c r="BU212" s="4363">
        <f t="shared" si="1052"/>
        <v>0</v>
      </c>
      <c r="BV212" s="4363">
        <f t="shared" si="1052"/>
        <v>0</v>
      </c>
      <c r="BW212" s="4363">
        <f t="shared" si="1052"/>
        <v>0</v>
      </c>
      <c r="BX212" s="4363">
        <f t="shared" si="1052"/>
        <v>0</v>
      </c>
      <c r="BY212" s="4363">
        <f t="shared" si="1052"/>
        <v>0</v>
      </c>
      <c r="BZ212" s="4363">
        <f t="shared" si="1052"/>
        <v>0</v>
      </c>
      <c r="CA212" s="4363">
        <f t="shared" si="1052"/>
        <v>0</v>
      </c>
      <c r="CB212" s="4364">
        <f t="shared" si="1052"/>
        <v>3129.4793999999997</v>
      </c>
      <c r="CC212" s="4364">
        <f t="shared" si="1052"/>
        <v>3129.4793999999997</v>
      </c>
      <c r="CD212" s="4364">
        <f t="shared" si="1052"/>
        <v>0</v>
      </c>
      <c r="CE212" s="4365">
        <f t="shared" si="1052"/>
        <v>0</v>
      </c>
      <c r="CF212" s="4365">
        <f t="shared" si="1052"/>
        <v>0</v>
      </c>
      <c r="CG212" s="4365">
        <f t="shared" si="1052"/>
        <v>0</v>
      </c>
      <c r="CH212" s="4323">
        <f t="shared" si="998"/>
        <v>-3129.4793999999997</v>
      </c>
      <c r="CI212" s="4323">
        <f t="shared" si="999"/>
        <v>-3129.4793999999997</v>
      </c>
      <c r="CJ212" s="4323">
        <f t="shared" si="999"/>
        <v>0</v>
      </c>
      <c r="CK212" s="2746"/>
      <c r="CL212" s="2746"/>
      <c r="CM212" s="2746"/>
      <c r="CN212" s="2746"/>
    </row>
    <row r="213" spans="1:92" ht="18.75" x14ac:dyDescent="0.3">
      <c r="A213" s="4339" t="s">
        <v>3705</v>
      </c>
      <c r="B213" s="4362">
        <f t="shared" ref="B213:AK213" si="1053">SUM(B147)</f>
        <v>0</v>
      </c>
      <c r="C213" s="4362">
        <f t="shared" si="1053"/>
        <v>0</v>
      </c>
      <c r="D213" s="4362">
        <f t="shared" si="1053"/>
        <v>0</v>
      </c>
      <c r="E213" s="4363">
        <f t="shared" si="1053"/>
        <v>0</v>
      </c>
      <c r="F213" s="4363">
        <f t="shared" si="1053"/>
        <v>0</v>
      </c>
      <c r="G213" s="4363">
        <f t="shared" si="1053"/>
        <v>0</v>
      </c>
      <c r="H213" s="4363">
        <f t="shared" si="1053"/>
        <v>0</v>
      </c>
      <c r="I213" s="4363">
        <f t="shared" si="1053"/>
        <v>0</v>
      </c>
      <c r="J213" s="4363">
        <f t="shared" si="1053"/>
        <v>0</v>
      </c>
      <c r="K213" s="4363">
        <f t="shared" si="1053"/>
        <v>0</v>
      </c>
      <c r="L213" s="4363">
        <f t="shared" si="1053"/>
        <v>0</v>
      </c>
      <c r="M213" s="4363">
        <f t="shared" si="1053"/>
        <v>0</v>
      </c>
      <c r="N213" s="4363">
        <f t="shared" si="1053"/>
        <v>0</v>
      </c>
      <c r="O213" s="4363">
        <f t="shared" si="1053"/>
        <v>0</v>
      </c>
      <c r="P213" s="4363">
        <f t="shared" si="1053"/>
        <v>0</v>
      </c>
      <c r="Q213" s="4362">
        <f t="shared" si="1053"/>
        <v>0</v>
      </c>
      <c r="R213" s="4362">
        <f t="shared" si="1053"/>
        <v>0</v>
      </c>
      <c r="S213" s="4362">
        <f t="shared" si="1053"/>
        <v>0</v>
      </c>
      <c r="T213" s="4363">
        <f t="shared" si="1053"/>
        <v>0</v>
      </c>
      <c r="U213" s="4363">
        <f t="shared" si="1053"/>
        <v>0</v>
      </c>
      <c r="V213" s="4363">
        <f t="shared" si="1053"/>
        <v>0</v>
      </c>
      <c r="W213" s="4363">
        <f t="shared" si="1053"/>
        <v>0</v>
      </c>
      <c r="X213" s="4363">
        <f t="shared" si="1053"/>
        <v>0</v>
      </c>
      <c r="Y213" s="4363">
        <f t="shared" si="1053"/>
        <v>0</v>
      </c>
      <c r="Z213" s="4363">
        <f t="shared" si="1053"/>
        <v>0</v>
      </c>
      <c r="AA213" s="4363">
        <f t="shared" si="1053"/>
        <v>0</v>
      </c>
      <c r="AB213" s="4363">
        <f t="shared" si="1053"/>
        <v>0</v>
      </c>
      <c r="AC213" s="4363">
        <f t="shared" si="1053"/>
        <v>0</v>
      </c>
      <c r="AD213" s="4363">
        <f t="shared" si="1053"/>
        <v>0</v>
      </c>
      <c r="AE213" s="4363">
        <f t="shared" si="1053"/>
        <v>0</v>
      </c>
      <c r="AF213" s="4364">
        <f t="shared" si="1053"/>
        <v>0</v>
      </c>
      <c r="AG213" s="4364">
        <f t="shared" si="1053"/>
        <v>0</v>
      </c>
      <c r="AH213" s="4364">
        <f t="shared" si="1053"/>
        <v>0</v>
      </c>
      <c r="AI213" s="4365">
        <f t="shared" si="1053"/>
        <v>0</v>
      </c>
      <c r="AJ213" s="4365">
        <f t="shared" si="1053"/>
        <v>0</v>
      </c>
      <c r="AK213" s="4365">
        <f t="shared" si="1053"/>
        <v>0</v>
      </c>
      <c r="AL213" s="4323">
        <f t="shared" si="993"/>
        <v>0</v>
      </c>
      <c r="AM213" s="4323">
        <f t="shared" si="993"/>
        <v>0</v>
      </c>
      <c r="AN213" s="4323">
        <f t="shared" si="993"/>
        <v>0</v>
      </c>
      <c r="AO213" s="4362">
        <f t="shared" ref="AO213:BI213" si="1054">SUM(AO147)</f>
        <v>0</v>
      </c>
      <c r="AP213" s="4362">
        <f t="shared" si="1054"/>
        <v>0</v>
      </c>
      <c r="AQ213" s="4362">
        <f t="shared" si="1054"/>
        <v>0</v>
      </c>
      <c r="AR213" s="4363">
        <f t="shared" si="1054"/>
        <v>0</v>
      </c>
      <c r="AS213" s="4363">
        <f t="shared" si="1054"/>
        <v>0</v>
      </c>
      <c r="AT213" s="4363">
        <f t="shared" si="1054"/>
        <v>0</v>
      </c>
      <c r="AU213" s="4363">
        <f t="shared" si="1054"/>
        <v>0</v>
      </c>
      <c r="AV213" s="4363">
        <f t="shared" si="1054"/>
        <v>0</v>
      </c>
      <c r="AW213" s="4363">
        <f t="shared" si="1054"/>
        <v>0</v>
      </c>
      <c r="AX213" s="4363">
        <f t="shared" si="1054"/>
        <v>0</v>
      </c>
      <c r="AY213" s="4363">
        <f t="shared" si="1054"/>
        <v>0</v>
      </c>
      <c r="AZ213" s="4363">
        <f t="shared" si="1054"/>
        <v>0</v>
      </c>
      <c r="BA213" s="4363">
        <f t="shared" si="1054"/>
        <v>0</v>
      </c>
      <c r="BB213" s="4363">
        <f t="shared" si="1054"/>
        <v>0</v>
      </c>
      <c r="BC213" s="4363">
        <f t="shared" si="1054"/>
        <v>0</v>
      </c>
      <c r="BD213" s="4364">
        <f t="shared" si="1054"/>
        <v>0</v>
      </c>
      <c r="BE213" s="4364">
        <f t="shared" si="1054"/>
        <v>0</v>
      </c>
      <c r="BF213" s="4364">
        <f t="shared" si="1054"/>
        <v>0</v>
      </c>
      <c r="BG213" s="4365">
        <f t="shared" si="1054"/>
        <v>0</v>
      </c>
      <c r="BH213" s="4365">
        <f t="shared" si="1054"/>
        <v>0</v>
      </c>
      <c r="BI213" s="4365">
        <f t="shared" si="1054"/>
        <v>0</v>
      </c>
      <c r="BJ213" s="4323">
        <f t="shared" ref="BJ213" si="1055">SUM(BG213-BD213)</f>
        <v>0</v>
      </c>
      <c r="BK213" s="4323">
        <f t="shared" si="996"/>
        <v>0</v>
      </c>
      <c r="BL213" s="4323">
        <f t="shared" si="996"/>
        <v>0</v>
      </c>
      <c r="BM213" s="4362">
        <f t="shared" ref="BM213:CG213" si="1056">SUM(BM147)</f>
        <v>0</v>
      </c>
      <c r="BN213" s="4362">
        <f t="shared" si="1056"/>
        <v>0</v>
      </c>
      <c r="BO213" s="4362">
        <f t="shared" si="1056"/>
        <v>0</v>
      </c>
      <c r="BP213" s="4363">
        <f t="shared" si="1056"/>
        <v>0</v>
      </c>
      <c r="BQ213" s="4363">
        <f t="shared" si="1056"/>
        <v>0</v>
      </c>
      <c r="BR213" s="4363">
        <f t="shared" si="1056"/>
        <v>0</v>
      </c>
      <c r="BS213" s="4363">
        <f t="shared" si="1056"/>
        <v>0</v>
      </c>
      <c r="BT213" s="4363">
        <f t="shared" si="1056"/>
        <v>0</v>
      </c>
      <c r="BU213" s="4363">
        <f t="shared" si="1056"/>
        <v>0</v>
      </c>
      <c r="BV213" s="4363">
        <f t="shared" si="1056"/>
        <v>0</v>
      </c>
      <c r="BW213" s="4363">
        <f t="shared" si="1056"/>
        <v>0</v>
      </c>
      <c r="BX213" s="4363">
        <f t="shared" si="1056"/>
        <v>0</v>
      </c>
      <c r="BY213" s="4363">
        <f t="shared" si="1056"/>
        <v>0</v>
      </c>
      <c r="BZ213" s="4363">
        <f t="shared" si="1056"/>
        <v>0</v>
      </c>
      <c r="CA213" s="4363">
        <f t="shared" si="1056"/>
        <v>0</v>
      </c>
      <c r="CB213" s="4364">
        <f t="shared" si="1056"/>
        <v>0</v>
      </c>
      <c r="CC213" s="4364">
        <f t="shared" si="1056"/>
        <v>0</v>
      </c>
      <c r="CD213" s="4364">
        <f t="shared" si="1056"/>
        <v>0</v>
      </c>
      <c r="CE213" s="4365">
        <f t="shared" si="1056"/>
        <v>0</v>
      </c>
      <c r="CF213" s="4365">
        <f t="shared" si="1056"/>
        <v>0</v>
      </c>
      <c r="CG213" s="4365">
        <f t="shared" si="1056"/>
        <v>0</v>
      </c>
      <c r="CH213" s="4323">
        <f t="shared" ref="CH213" si="1057">SUM(CE213-CB213)</f>
        <v>0</v>
      </c>
      <c r="CI213" s="4323">
        <f t="shared" si="999"/>
        <v>0</v>
      </c>
      <c r="CJ213" s="4323">
        <f t="shared" si="999"/>
        <v>0</v>
      </c>
      <c r="CK213" s="2746"/>
      <c r="CL213" s="2746"/>
      <c r="CM213" s="2746"/>
      <c r="CN213" s="2746"/>
    </row>
    <row r="214" spans="1:92" ht="18.75" x14ac:dyDescent="0.3">
      <c r="A214" s="4334" t="s">
        <v>3721</v>
      </c>
      <c r="B214" s="4355">
        <f t="shared" ref="B214:AK214" si="1058">SUM(B148)</f>
        <v>4576.903889553364</v>
      </c>
      <c r="C214" s="4355">
        <f t="shared" si="1058"/>
        <v>4576.4456395533643</v>
      </c>
      <c r="D214" s="4355">
        <f t="shared" si="1058"/>
        <v>0.45824999999999999</v>
      </c>
      <c r="E214" s="4356">
        <f t="shared" si="1058"/>
        <v>1864.71</v>
      </c>
      <c r="F214" s="4356">
        <f t="shared" si="1058"/>
        <v>1864.71</v>
      </c>
      <c r="G214" s="4356">
        <f t="shared" si="1058"/>
        <v>0</v>
      </c>
      <c r="H214" s="4356">
        <f t="shared" si="1058"/>
        <v>1773.1443099999997</v>
      </c>
      <c r="I214" s="4356">
        <f t="shared" si="1058"/>
        <v>1773.1443099999997</v>
      </c>
      <c r="J214" s="4356">
        <f t="shared" si="1058"/>
        <v>0</v>
      </c>
      <c r="K214" s="4356">
        <f t="shared" si="1058"/>
        <v>2045.2842400000002</v>
      </c>
      <c r="L214" s="4356">
        <f t="shared" si="1058"/>
        <v>2045.1491900000001</v>
      </c>
      <c r="M214" s="4356">
        <f t="shared" si="1058"/>
        <v>0.13505</v>
      </c>
      <c r="N214" s="4356">
        <f t="shared" si="1058"/>
        <v>5683.1385499999997</v>
      </c>
      <c r="O214" s="4356">
        <f t="shared" si="1058"/>
        <v>5683.0034999999998</v>
      </c>
      <c r="P214" s="4356">
        <f t="shared" si="1058"/>
        <v>0.13505</v>
      </c>
      <c r="Q214" s="4355">
        <f t="shared" si="1058"/>
        <v>4576.903889553364</v>
      </c>
      <c r="R214" s="4355">
        <f t="shared" si="1058"/>
        <v>4576.4456395533643</v>
      </c>
      <c r="S214" s="4355">
        <f t="shared" si="1058"/>
        <v>0.45824999999999999</v>
      </c>
      <c r="T214" s="4356">
        <f t="shared" si="1058"/>
        <v>2621.6891199999995</v>
      </c>
      <c r="U214" s="4356">
        <f t="shared" si="1058"/>
        <v>2620.7135999999996</v>
      </c>
      <c r="V214" s="4356">
        <f t="shared" si="1058"/>
        <v>0.97551999999999994</v>
      </c>
      <c r="W214" s="4356">
        <f t="shared" si="1058"/>
        <v>1916.5755900000001</v>
      </c>
      <c r="X214" s="4356">
        <f t="shared" si="1058"/>
        <v>1915.5940000000001</v>
      </c>
      <c r="Y214" s="4356">
        <f t="shared" si="1058"/>
        <v>0.98158999999999996</v>
      </c>
      <c r="Z214" s="4356">
        <f t="shared" si="1058"/>
        <v>1973.8599300000003</v>
      </c>
      <c r="AA214" s="4356">
        <f t="shared" si="1058"/>
        <v>1973.1294000000003</v>
      </c>
      <c r="AB214" s="4356">
        <f t="shared" si="1058"/>
        <v>0.73053000000000001</v>
      </c>
      <c r="AC214" s="4356">
        <f t="shared" si="1058"/>
        <v>6512.12464</v>
      </c>
      <c r="AD214" s="4356">
        <f t="shared" si="1058"/>
        <v>6509.4369999999999</v>
      </c>
      <c r="AE214" s="4356">
        <f t="shared" si="1058"/>
        <v>2.68764</v>
      </c>
      <c r="AF214" s="4357">
        <f t="shared" si="1058"/>
        <v>9153.807779106728</v>
      </c>
      <c r="AG214" s="4357">
        <f t="shared" si="1058"/>
        <v>9152.8912791067287</v>
      </c>
      <c r="AH214" s="4357">
        <f t="shared" si="1058"/>
        <v>0.91649999999999998</v>
      </c>
      <c r="AI214" s="4358">
        <f t="shared" si="1058"/>
        <v>12195.26319</v>
      </c>
      <c r="AJ214" s="4358">
        <f t="shared" si="1058"/>
        <v>12192.440500000001</v>
      </c>
      <c r="AK214" s="4358">
        <f t="shared" si="1058"/>
        <v>2.8226900000000001</v>
      </c>
      <c r="AL214" s="4319">
        <f t="shared" si="993"/>
        <v>3041.4554108932716</v>
      </c>
      <c r="AM214" s="4319">
        <f t="shared" si="993"/>
        <v>3039.5492208932719</v>
      </c>
      <c r="AN214" s="4319">
        <f t="shared" si="993"/>
        <v>1.9061900000000001</v>
      </c>
      <c r="AO214" s="4355">
        <f t="shared" ref="AO214:BI214" si="1059">SUM(AO148)</f>
        <v>4576.903889553364</v>
      </c>
      <c r="AP214" s="4355">
        <f t="shared" si="1059"/>
        <v>4576.4456395533643</v>
      </c>
      <c r="AQ214" s="4355">
        <f t="shared" si="1059"/>
        <v>0.45824999999999999</v>
      </c>
      <c r="AR214" s="4356">
        <f t="shared" si="1059"/>
        <v>1701.0038500000001</v>
      </c>
      <c r="AS214" s="4356">
        <f t="shared" si="1059"/>
        <v>1700.48901</v>
      </c>
      <c r="AT214" s="4356">
        <f t="shared" si="1059"/>
        <v>0.51483999999999996</v>
      </c>
      <c r="AU214" s="4356">
        <f t="shared" si="1059"/>
        <v>0</v>
      </c>
      <c r="AV214" s="4356">
        <f t="shared" si="1059"/>
        <v>0</v>
      </c>
      <c r="AW214" s="4356">
        <f t="shared" si="1059"/>
        <v>0</v>
      </c>
      <c r="AX214" s="4356">
        <f t="shared" si="1059"/>
        <v>0</v>
      </c>
      <c r="AY214" s="4356">
        <f t="shared" si="1059"/>
        <v>0</v>
      </c>
      <c r="AZ214" s="4356">
        <f t="shared" si="1059"/>
        <v>0</v>
      </c>
      <c r="BA214" s="4356">
        <f t="shared" si="1059"/>
        <v>1701.0038500000001</v>
      </c>
      <c r="BB214" s="4356">
        <f t="shared" si="1059"/>
        <v>1700.48901</v>
      </c>
      <c r="BC214" s="4356">
        <f t="shared" si="1059"/>
        <v>0.51483999999999996</v>
      </c>
      <c r="BD214" s="4357">
        <f t="shared" si="1059"/>
        <v>13730.711668660095</v>
      </c>
      <c r="BE214" s="4357">
        <f t="shared" si="1059"/>
        <v>13729.336918660094</v>
      </c>
      <c r="BF214" s="4357">
        <f t="shared" si="1059"/>
        <v>1.3747499999999999</v>
      </c>
      <c r="BG214" s="4358">
        <f t="shared" si="1059"/>
        <v>13896.267039999999</v>
      </c>
      <c r="BH214" s="4358">
        <f t="shared" si="1059"/>
        <v>13892.92951</v>
      </c>
      <c r="BI214" s="4358">
        <f t="shared" si="1059"/>
        <v>3.3375300000000001</v>
      </c>
      <c r="BJ214" s="4319">
        <f t="shared" si="995"/>
        <v>165.55537133990401</v>
      </c>
      <c r="BK214" s="4319">
        <f t="shared" si="996"/>
        <v>163.59259133990599</v>
      </c>
      <c r="BL214" s="4319">
        <f t="shared" si="996"/>
        <v>1.9627800000000002</v>
      </c>
      <c r="BM214" s="4355">
        <f t="shared" ref="BM214:CG214" si="1060">SUM(BM148)</f>
        <v>4576.903889553364</v>
      </c>
      <c r="BN214" s="4355">
        <f t="shared" si="1060"/>
        <v>4576.4456395533643</v>
      </c>
      <c r="BO214" s="4355">
        <f t="shared" si="1060"/>
        <v>0.45824999999999999</v>
      </c>
      <c r="BP214" s="4356">
        <f t="shared" si="1060"/>
        <v>0</v>
      </c>
      <c r="BQ214" s="4356">
        <f t="shared" si="1060"/>
        <v>0</v>
      </c>
      <c r="BR214" s="4356">
        <f t="shared" si="1060"/>
        <v>0</v>
      </c>
      <c r="BS214" s="4356">
        <f t="shared" si="1060"/>
        <v>0</v>
      </c>
      <c r="BT214" s="4356">
        <f t="shared" si="1060"/>
        <v>0</v>
      </c>
      <c r="BU214" s="4356">
        <f t="shared" si="1060"/>
        <v>0</v>
      </c>
      <c r="BV214" s="4356">
        <f t="shared" si="1060"/>
        <v>0</v>
      </c>
      <c r="BW214" s="4356">
        <f t="shared" si="1060"/>
        <v>0</v>
      </c>
      <c r="BX214" s="4356">
        <f t="shared" si="1060"/>
        <v>0</v>
      </c>
      <c r="BY214" s="4356">
        <f t="shared" si="1060"/>
        <v>0</v>
      </c>
      <c r="BZ214" s="4356">
        <f t="shared" si="1060"/>
        <v>0</v>
      </c>
      <c r="CA214" s="4356">
        <f t="shared" si="1060"/>
        <v>0</v>
      </c>
      <c r="CB214" s="4357">
        <f t="shared" si="1060"/>
        <v>18307.615558213456</v>
      </c>
      <c r="CC214" s="4357">
        <f t="shared" si="1060"/>
        <v>18305.782558213457</v>
      </c>
      <c r="CD214" s="4357">
        <f t="shared" si="1060"/>
        <v>1.833</v>
      </c>
      <c r="CE214" s="4358">
        <f t="shared" si="1060"/>
        <v>13896.267039999999</v>
      </c>
      <c r="CF214" s="4358">
        <f t="shared" si="1060"/>
        <v>13892.92951</v>
      </c>
      <c r="CG214" s="4358">
        <f t="shared" si="1060"/>
        <v>3.3375300000000001</v>
      </c>
      <c r="CH214" s="4319">
        <f t="shared" si="998"/>
        <v>-4411.3485182134573</v>
      </c>
      <c r="CI214" s="4319">
        <f t="shared" si="999"/>
        <v>-4412.8530482134574</v>
      </c>
      <c r="CJ214" s="4319">
        <f t="shared" si="999"/>
        <v>1.5045300000000001</v>
      </c>
      <c r="CK214" s="2746"/>
      <c r="CL214" s="2746"/>
      <c r="CM214" s="2746"/>
      <c r="CN214" s="2746"/>
    </row>
    <row r="215" spans="1:92" ht="18.75" x14ac:dyDescent="0.3">
      <c r="A215" s="4343" t="s">
        <v>3707</v>
      </c>
      <c r="B215" s="4362">
        <f t="shared" ref="B215:AK215" si="1061">SUM(B149)</f>
        <v>3080.6182525263371</v>
      </c>
      <c r="C215" s="4362">
        <f t="shared" si="1061"/>
        <v>3080.2907525263372</v>
      </c>
      <c r="D215" s="4362">
        <f t="shared" si="1061"/>
        <v>0.32750000000000001</v>
      </c>
      <c r="E215" s="4363">
        <f t="shared" si="1061"/>
        <v>1094.423</v>
      </c>
      <c r="F215" s="4363">
        <f t="shared" si="1061"/>
        <v>1094.423</v>
      </c>
      <c r="G215" s="4363">
        <f t="shared" si="1061"/>
        <v>0</v>
      </c>
      <c r="H215" s="4363">
        <f t="shared" si="1061"/>
        <v>1075.7574099999999</v>
      </c>
      <c r="I215" s="4363">
        <f t="shared" si="1061"/>
        <v>1075.7574099999999</v>
      </c>
      <c r="J215" s="4363">
        <f t="shared" si="1061"/>
        <v>0</v>
      </c>
      <c r="K215" s="4363">
        <f t="shared" si="1061"/>
        <v>1200.47129</v>
      </c>
      <c r="L215" s="4363">
        <f t="shared" si="1061"/>
        <v>1200.3920000000001</v>
      </c>
      <c r="M215" s="4363">
        <f t="shared" si="1061"/>
        <v>7.9289999999999999E-2</v>
      </c>
      <c r="N215" s="4363">
        <f t="shared" si="1061"/>
        <v>3370.6516999999999</v>
      </c>
      <c r="O215" s="4363">
        <f t="shared" si="1061"/>
        <v>3370.5724099999998</v>
      </c>
      <c r="P215" s="4363">
        <f t="shared" si="1061"/>
        <v>7.9289999999999999E-2</v>
      </c>
      <c r="Q215" s="4362">
        <f t="shared" si="1061"/>
        <v>3080.6182525263371</v>
      </c>
      <c r="R215" s="4362">
        <f t="shared" si="1061"/>
        <v>3080.2907525263372</v>
      </c>
      <c r="S215" s="4362">
        <f t="shared" si="1061"/>
        <v>0.32750000000000001</v>
      </c>
      <c r="T215" s="4363">
        <f t="shared" si="1061"/>
        <v>1659.1474899999998</v>
      </c>
      <c r="U215" s="4363">
        <f t="shared" si="1061"/>
        <v>1658.5301199999999</v>
      </c>
      <c r="V215" s="4363">
        <f t="shared" si="1061"/>
        <v>0.61736999999999997</v>
      </c>
      <c r="W215" s="4363">
        <f t="shared" si="1061"/>
        <v>1078.8220000000001</v>
      </c>
      <c r="X215" s="4363">
        <f t="shared" si="1061"/>
        <v>1078.269</v>
      </c>
      <c r="Y215" s="4363">
        <f t="shared" si="1061"/>
        <v>0.55300000000000005</v>
      </c>
      <c r="Z215" s="4363">
        <f t="shared" si="1061"/>
        <v>1139.42491</v>
      </c>
      <c r="AA215" s="4363">
        <f t="shared" si="1061"/>
        <v>1139.00323</v>
      </c>
      <c r="AB215" s="4363">
        <f t="shared" si="1061"/>
        <v>0.42168</v>
      </c>
      <c r="AC215" s="4363">
        <f t="shared" si="1061"/>
        <v>3877.3944000000001</v>
      </c>
      <c r="AD215" s="4363">
        <f t="shared" si="1061"/>
        <v>3875.8023499999999</v>
      </c>
      <c r="AE215" s="4363">
        <f t="shared" si="1061"/>
        <v>1.5920500000000002</v>
      </c>
      <c r="AF215" s="4364">
        <f t="shared" si="1061"/>
        <v>6161.2365050526741</v>
      </c>
      <c r="AG215" s="4364">
        <f t="shared" si="1061"/>
        <v>6160.5815050526744</v>
      </c>
      <c r="AH215" s="4364">
        <f t="shared" si="1061"/>
        <v>0.65500000000000003</v>
      </c>
      <c r="AI215" s="4365">
        <f t="shared" si="1061"/>
        <v>7248.0460999999996</v>
      </c>
      <c r="AJ215" s="4365">
        <f t="shared" si="1061"/>
        <v>7246.3747599999997</v>
      </c>
      <c r="AK215" s="4365">
        <f t="shared" si="1061"/>
        <v>1.6713400000000003</v>
      </c>
      <c r="AL215" s="4323">
        <f t="shared" si="993"/>
        <v>1086.8095949473254</v>
      </c>
      <c r="AM215" s="4323">
        <f t="shared" si="993"/>
        <v>1085.7932549473253</v>
      </c>
      <c r="AN215" s="4323">
        <f t="shared" si="993"/>
        <v>1.0163400000000002</v>
      </c>
      <c r="AO215" s="4362">
        <f t="shared" ref="AO215:BI215" si="1062">SUM(AO149)</f>
        <v>3080.6182525263371</v>
      </c>
      <c r="AP215" s="4362">
        <f t="shared" si="1062"/>
        <v>3080.2907525263372</v>
      </c>
      <c r="AQ215" s="4362">
        <f t="shared" si="1062"/>
        <v>0.32750000000000001</v>
      </c>
      <c r="AR215" s="4363">
        <f t="shared" si="1062"/>
        <v>986.06439</v>
      </c>
      <c r="AS215" s="4363">
        <f t="shared" si="1062"/>
        <v>985.76593000000003</v>
      </c>
      <c r="AT215" s="4363">
        <f t="shared" si="1062"/>
        <v>0.29846</v>
      </c>
      <c r="AU215" s="4363">
        <f t="shared" si="1062"/>
        <v>0</v>
      </c>
      <c r="AV215" s="4363">
        <f t="shared" si="1062"/>
        <v>0</v>
      </c>
      <c r="AW215" s="4363">
        <f t="shared" si="1062"/>
        <v>0</v>
      </c>
      <c r="AX215" s="4363">
        <f t="shared" si="1062"/>
        <v>0</v>
      </c>
      <c r="AY215" s="4363">
        <f t="shared" si="1062"/>
        <v>0</v>
      </c>
      <c r="AZ215" s="4363">
        <f t="shared" si="1062"/>
        <v>0</v>
      </c>
      <c r="BA215" s="4363">
        <f t="shared" si="1062"/>
        <v>986.06439</v>
      </c>
      <c r="BB215" s="4363">
        <f t="shared" si="1062"/>
        <v>985.76593000000003</v>
      </c>
      <c r="BC215" s="4363">
        <f t="shared" si="1062"/>
        <v>0.29846</v>
      </c>
      <c r="BD215" s="4364">
        <f t="shared" si="1062"/>
        <v>9241.8547575790126</v>
      </c>
      <c r="BE215" s="4364">
        <f t="shared" si="1062"/>
        <v>9240.8722575790125</v>
      </c>
      <c r="BF215" s="4364">
        <f t="shared" si="1062"/>
        <v>0.98250000000000004</v>
      </c>
      <c r="BG215" s="4365">
        <f t="shared" si="1062"/>
        <v>8234.1104899999991</v>
      </c>
      <c r="BH215" s="4365">
        <f t="shared" si="1062"/>
        <v>8232.1406900000002</v>
      </c>
      <c r="BI215" s="4365">
        <f t="shared" si="1062"/>
        <v>1.9698000000000002</v>
      </c>
      <c r="BJ215" s="4323">
        <f t="shared" si="995"/>
        <v>-1007.7442675790135</v>
      </c>
      <c r="BK215" s="4323">
        <f t="shared" si="996"/>
        <v>-1008.7315675790123</v>
      </c>
      <c r="BL215" s="4323">
        <f t="shared" si="996"/>
        <v>0.98730000000000018</v>
      </c>
      <c r="BM215" s="4362">
        <f t="shared" ref="BM215:CG215" si="1063">SUM(BM149)</f>
        <v>3080.6182525263371</v>
      </c>
      <c r="BN215" s="4362">
        <f t="shared" si="1063"/>
        <v>3080.2907525263372</v>
      </c>
      <c r="BO215" s="4362">
        <f t="shared" si="1063"/>
        <v>0.32750000000000001</v>
      </c>
      <c r="BP215" s="4363">
        <f t="shared" si="1063"/>
        <v>0</v>
      </c>
      <c r="BQ215" s="4363">
        <f t="shared" si="1063"/>
        <v>0</v>
      </c>
      <c r="BR215" s="4363">
        <f t="shared" si="1063"/>
        <v>0</v>
      </c>
      <c r="BS215" s="4363">
        <f t="shared" si="1063"/>
        <v>0</v>
      </c>
      <c r="BT215" s="4363">
        <f t="shared" si="1063"/>
        <v>0</v>
      </c>
      <c r="BU215" s="4363">
        <f t="shared" si="1063"/>
        <v>0</v>
      </c>
      <c r="BV215" s="4363">
        <f t="shared" si="1063"/>
        <v>0</v>
      </c>
      <c r="BW215" s="4363">
        <f t="shared" si="1063"/>
        <v>0</v>
      </c>
      <c r="BX215" s="4363">
        <f t="shared" si="1063"/>
        <v>0</v>
      </c>
      <c r="BY215" s="4363">
        <f t="shared" si="1063"/>
        <v>0</v>
      </c>
      <c r="BZ215" s="4363">
        <f t="shared" si="1063"/>
        <v>0</v>
      </c>
      <c r="CA215" s="4363">
        <f t="shared" si="1063"/>
        <v>0</v>
      </c>
      <c r="CB215" s="4364">
        <f t="shared" si="1063"/>
        <v>12322.473010105348</v>
      </c>
      <c r="CC215" s="4364">
        <f t="shared" si="1063"/>
        <v>12321.163010105349</v>
      </c>
      <c r="CD215" s="4364">
        <f t="shared" si="1063"/>
        <v>1.31</v>
      </c>
      <c r="CE215" s="4365">
        <f t="shared" si="1063"/>
        <v>8234.1104899999991</v>
      </c>
      <c r="CF215" s="4365">
        <f t="shared" si="1063"/>
        <v>8232.1406900000002</v>
      </c>
      <c r="CG215" s="4365">
        <f t="shared" si="1063"/>
        <v>1.9698000000000002</v>
      </c>
      <c r="CH215" s="4323">
        <f t="shared" si="998"/>
        <v>-4088.3625201053492</v>
      </c>
      <c r="CI215" s="4323">
        <f t="shared" si="999"/>
        <v>-4089.0223201053486</v>
      </c>
      <c r="CJ215" s="4323">
        <f t="shared" si="999"/>
        <v>0.65980000000000016</v>
      </c>
      <c r="CK215" s="2746"/>
      <c r="CL215" s="2746"/>
      <c r="CM215" s="2746"/>
      <c r="CN215" s="2746"/>
    </row>
    <row r="216" spans="1:92" ht="18.75" x14ac:dyDescent="0.3">
      <c r="A216" s="4343" t="s">
        <v>3708</v>
      </c>
      <c r="B216" s="4362">
        <f t="shared" ref="B216:AK216" si="1064">SUM(B150)</f>
        <v>924.18547575790114</v>
      </c>
      <c r="C216" s="4362">
        <f t="shared" si="1064"/>
        <v>924.08722575790114</v>
      </c>
      <c r="D216" s="4362">
        <f t="shared" si="1064"/>
        <v>9.8250000000000004E-2</v>
      </c>
      <c r="E216" s="4363">
        <f t="shared" si="1064"/>
        <v>333.428</v>
      </c>
      <c r="F216" s="4363">
        <f t="shared" si="1064"/>
        <v>333.428</v>
      </c>
      <c r="G216" s="4363">
        <f t="shared" si="1064"/>
        <v>0</v>
      </c>
      <c r="H216" s="4363">
        <f t="shared" si="1064"/>
        <v>335.03479999999996</v>
      </c>
      <c r="I216" s="4363">
        <f t="shared" si="1064"/>
        <v>335.03479999999996</v>
      </c>
      <c r="J216" s="4363">
        <f t="shared" si="1064"/>
        <v>0</v>
      </c>
      <c r="K216" s="4363">
        <f t="shared" si="1064"/>
        <v>363.34159</v>
      </c>
      <c r="L216" s="4363">
        <f t="shared" si="1064"/>
        <v>363.31759</v>
      </c>
      <c r="M216" s="4363">
        <f t="shared" si="1064"/>
        <v>2.4E-2</v>
      </c>
      <c r="N216" s="4363">
        <f t="shared" si="1064"/>
        <v>1031.8043899999998</v>
      </c>
      <c r="O216" s="4363">
        <f t="shared" si="1064"/>
        <v>1031.7803899999999</v>
      </c>
      <c r="P216" s="4363">
        <f t="shared" si="1064"/>
        <v>2.4E-2</v>
      </c>
      <c r="Q216" s="4362">
        <f t="shared" si="1064"/>
        <v>924.18547575790114</v>
      </c>
      <c r="R216" s="4362">
        <f t="shared" si="1064"/>
        <v>924.08722575790114</v>
      </c>
      <c r="S216" s="4362">
        <f t="shared" si="1064"/>
        <v>9.8250000000000004E-2</v>
      </c>
      <c r="T216" s="4363">
        <f t="shared" si="1064"/>
        <v>494.46098999999998</v>
      </c>
      <c r="U216" s="4363">
        <f t="shared" si="1064"/>
        <v>494.27699999999999</v>
      </c>
      <c r="V216" s="4363">
        <f t="shared" si="1064"/>
        <v>0.18398999999999999</v>
      </c>
      <c r="W216" s="4363">
        <f t="shared" si="1064"/>
        <v>321.57300000000004</v>
      </c>
      <c r="X216" s="4363">
        <f t="shared" si="1064"/>
        <v>321.40800000000002</v>
      </c>
      <c r="Y216" s="4363">
        <f t="shared" si="1064"/>
        <v>0.16500000000000001</v>
      </c>
      <c r="Z216" s="4363">
        <f t="shared" si="1064"/>
        <v>344.14771000000002</v>
      </c>
      <c r="AA216" s="4363">
        <f t="shared" si="1064"/>
        <v>344.02035000000001</v>
      </c>
      <c r="AB216" s="4363">
        <f t="shared" si="1064"/>
        <v>0.12736</v>
      </c>
      <c r="AC216" s="4363">
        <f t="shared" si="1064"/>
        <v>1160.1816999999999</v>
      </c>
      <c r="AD216" s="4363">
        <f t="shared" si="1064"/>
        <v>1159.70535</v>
      </c>
      <c r="AE216" s="4363">
        <f t="shared" si="1064"/>
        <v>0.47635000000000005</v>
      </c>
      <c r="AF216" s="4364">
        <f t="shared" si="1064"/>
        <v>1848.3709515158023</v>
      </c>
      <c r="AG216" s="4364">
        <f t="shared" si="1064"/>
        <v>1848.1744515158023</v>
      </c>
      <c r="AH216" s="4364">
        <f t="shared" si="1064"/>
        <v>0.19650000000000001</v>
      </c>
      <c r="AI216" s="4365">
        <f t="shared" si="1064"/>
        <v>2191.9860899999994</v>
      </c>
      <c r="AJ216" s="4365">
        <f t="shared" si="1064"/>
        <v>2191.4857400000001</v>
      </c>
      <c r="AK216" s="4365">
        <f t="shared" si="1064"/>
        <v>0.50035000000000007</v>
      </c>
      <c r="AL216" s="4323">
        <f t="shared" si="993"/>
        <v>343.61513848419713</v>
      </c>
      <c r="AM216" s="4323">
        <f t="shared" si="993"/>
        <v>343.3112884841978</v>
      </c>
      <c r="AN216" s="4323">
        <f t="shared" si="993"/>
        <v>0.30385000000000006</v>
      </c>
      <c r="AO216" s="4362">
        <f t="shared" ref="AO216:BI216" si="1065">SUM(AO150)</f>
        <v>924.18547575790114</v>
      </c>
      <c r="AP216" s="4362">
        <f t="shared" si="1065"/>
        <v>924.08722575790114</v>
      </c>
      <c r="AQ216" s="4362">
        <f t="shared" si="1065"/>
        <v>9.8250000000000004E-2</v>
      </c>
      <c r="AR216" s="4363">
        <f t="shared" si="1065"/>
        <v>295.62815000000001</v>
      </c>
      <c r="AS216" s="4363">
        <f t="shared" si="1065"/>
        <v>295.53867000000002</v>
      </c>
      <c r="AT216" s="4363">
        <f t="shared" si="1065"/>
        <v>8.9480000000000004E-2</v>
      </c>
      <c r="AU216" s="4363">
        <f t="shared" si="1065"/>
        <v>0</v>
      </c>
      <c r="AV216" s="4363">
        <f t="shared" si="1065"/>
        <v>0</v>
      </c>
      <c r="AW216" s="4363">
        <f t="shared" si="1065"/>
        <v>0</v>
      </c>
      <c r="AX216" s="4363">
        <f t="shared" si="1065"/>
        <v>0</v>
      </c>
      <c r="AY216" s="4363">
        <f t="shared" si="1065"/>
        <v>0</v>
      </c>
      <c r="AZ216" s="4363">
        <f t="shared" si="1065"/>
        <v>0</v>
      </c>
      <c r="BA216" s="4363">
        <f t="shared" si="1065"/>
        <v>295.62815000000001</v>
      </c>
      <c r="BB216" s="4363">
        <f t="shared" si="1065"/>
        <v>295.53867000000002</v>
      </c>
      <c r="BC216" s="4363">
        <f t="shared" si="1065"/>
        <v>8.9480000000000004E-2</v>
      </c>
      <c r="BD216" s="4364">
        <f t="shared" si="1065"/>
        <v>2772.5564272737033</v>
      </c>
      <c r="BE216" s="4364">
        <f t="shared" si="1065"/>
        <v>2772.2616772737033</v>
      </c>
      <c r="BF216" s="4364">
        <f t="shared" si="1065"/>
        <v>0.29475000000000001</v>
      </c>
      <c r="BG216" s="4365">
        <f t="shared" si="1065"/>
        <v>2487.6142399999994</v>
      </c>
      <c r="BH216" s="4365">
        <f t="shared" si="1065"/>
        <v>2487.02441</v>
      </c>
      <c r="BI216" s="4365">
        <f t="shared" si="1065"/>
        <v>0.58983000000000008</v>
      </c>
      <c r="BJ216" s="4323">
        <f t="shared" si="995"/>
        <v>-284.94218727370389</v>
      </c>
      <c r="BK216" s="4323">
        <f t="shared" si="996"/>
        <v>-285.23726727370331</v>
      </c>
      <c r="BL216" s="4323">
        <f t="shared" si="996"/>
        <v>0.29508000000000006</v>
      </c>
      <c r="BM216" s="4362">
        <f t="shared" ref="BM216:CG216" si="1066">SUM(BM150)</f>
        <v>924.18547575790114</v>
      </c>
      <c r="BN216" s="4362">
        <f t="shared" si="1066"/>
        <v>924.08722575790114</v>
      </c>
      <c r="BO216" s="4362">
        <f t="shared" si="1066"/>
        <v>9.8250000000000004E-2</v>
      </c>
      <c r="BP216" s="4363">
        <f t="shared" si="1066"/>
        <v>0</v>
      </c>
      <c r="BQ216" s="4363">
        <f t="shared" si="1066"/>
        <v>0</v>
      </c>
      <c r="BR216" s="4363">
        <f t="shared" si="1066"/>
        <v>0</v>
      </c>
      <c r="BS216" s="4363">
        <f t="shared" si="1066"/>
        <v>0</v>
      </c>
      <c r="BT216" s="4363">
        <f t="shared" si="1066"/>
        <v>0</v>
      </c>
      <c r="BU216" s="4363">
        <f t="shared" si="1066"/>
        <v>0</v>
      </c>
      <c r="BV216" s="4363">
        <f t="shared" si="1066"/>
        <v>0</v>
      </c>
      <c r="BW216" s="4363">
        <f t="shared" si="1066"/>
        <v>0</v>
      </c>
      <c r="BX216" s="4363">
        <f t="shared" si="1066"/>
        <v>0</v>
      </c>
      <c r="BY216" s="4363">
        <f t="shared" si="1066"/>
        <v>0</v>
      </c>
      <c r="BZ216" s="4363">
        <f t="shared" si="1066"/>
        <v>0</v>
      </c>
      <c r="CA216" s="4363">
        <f t="shared" si="1066"/>
        <v>0</v>
      </c>
      <c r="CB216" s="4364">
        <f t="shared" si="1066"/>
        <v>3696.7419030316046</v>
      </c>
      <c r="CC216" s="4364">
        <f t="shared" si="1066"/>
        <v>3696.3489030316046</v>
      </c>
      <c r="CD216" s="4364">
        <f t="shared" si="1066"/>
        <v>0.39300000000000002</v>
      </c>
      <c r="CE216" s="4365">
        <f t="shared" si="1066"/>
        <v>2487.6142399999994</v>
      </c>
      <c r="CF216" s="4365">
        <f t="shared" si="1066"/>
        <v>2487.02441</v>
      </c>
      <c r="CG216" s="4365">
        <f t="shared" si="1066"/>
        <v>0.58983000000000008</v>
      </c>
      <c r="CH216" s="4323">
        <f t="shared" si="998"/>
        <v>-1209.1276630316052</v>
      </c>
      <c r="CI216" s="4323">
        <f t="shared" si="999"/>
        <v>-1209.3244930316046</v>
      </c>
      <c r="CJ216" s="4323">
        <f t="shared" si="999"/>
        <v>0.19683000000000006</v>
      </c>
      <c r="CK216" s="2746"/>
      <c r="CL216" s="2746"/>
      <c r="CM216" s="2746"/>
      <c r="CN216" s="2746"/>
    </row>
    <row r="217" spans="1:92" ht="18.75" x14ac:dyDescent="0.3">
      <c r="A217" s="3046" t="s">
        <v>272</v>
      </c>
      <c r="B217" s="4362">
        <f t="shared" ref="B217:AK217" si="1067">SUM(B151)</f>
        <v>4.9820933109303871</v>
      </c>
      <c r="C217" s="4362">
        <f t="shared" si="1067"/>
        <v>4.9778433109303872</v>
      </c>
      <c r="D217" s="4362">
        <f t="shared" si="1067"/>
        <v>4.2500000000000003E-3</v>
      </c>
      <c r="E217" s="4363">
        <f t="shared" si="1067"/>
        <v>0</v>
      </c>
      <c r="F217" s="4363">
        <f t="shared" si="1067"/>
        <v>0</v>
      </c>
      <c r="G217" s="4363">
        <f t="shared" si="1067"/>
        <v>0</v>
      </c>
      <c r="H217" s="4363">
        <f t="shared" si="1067"/>
        <v>12.548550000000001</v>
      </c>
      <c r="I217" s="4363">
        <f t="shared" si="1067"/>
        <v>12.548550000000001</v>
      </c>
      <c r="J217" s="4363">
        <f t="shared" si="1067"/>
        <v>0</v>
      </c>
      <c r="K217" s="4363">
        <f t="shared" si="1067"/>
        <v>6.1760000000000002</v>
      </c>
      <c r="L217" s="4363">
        <f t="shared" si="1067"/>
        <v>6.1756000000000002</v>
      </c>
      <c r="M217" s="4363">
        <f t="shared" si="1067"/>
        <v>4.0000000000000002E-4</v>
      </c>
      <c r="N217" s="4363">
        <f t="shared" si="1067"/>
        <v>18.724550000000001</v>
      </c>
      <c r="O217" s="4363">
        <f t="shared" si="1067"/>
        <v>18.724150000000002</v>
      </c>
      <c r="P217" s="4363">
        <f t="shared" si="1067"/>
        <v>4.0000000000000002E-4</v>
      </c>
      <c r="Q217" s="4362">
        <f t="shared" si="1067"/>
        <v>4.9820933109303871</v>
      </c>
      <c r="R217" s="4362">
        <f t="shared" si="1067"/>
        <v>4.9778433109303872</v>
      </c>
      <c r="S217" s="4362">
        <f t="shared" si="1067"/>
        <v>4.2500000000000003E-3</v>
      </c>
      <c r="T217" s="4363">
        <f t="shared" si="1067"/>
        <v>5.98231</v>
      </c>
      <c r="U217" s="4363">
        <f t="shared" si="1067"/>
        <v>5.9800800000000001</v>
      </c>
      <c r="V217" s="4363">
        <f t="shared" si="1067"/>
        <v>2.2300000000000002E-3</v>
      </c>
      <c r="W217" s="4363">
        <f t="shared" si="1067"/>
        <v>6.9024999999999999</v>
      </c>
      <c r="X217" s="4363">
        <f t="shared" si="1067"/>
        <v>6.899</v>
      </c>
      <c r="Y217" s="4363">
        <f t="shared" si="1067"/>
        <v>3.5000000000000001E-3</v>
      </c>
      <c r="Z217" s="4363">
        <f t="shared" si="1067"/>
        <v>5.2838200000000004</v>
      </c>
      <c r="AA217" s="4363">
        <f t="shared" si="1067"/>
        <v>5.28186</v>
      </c>
      <c r="AB217" s="4363">
        <f t="shared" si="1067"/>
        <v>1.9599999999999999E-3</v>
      </c>
      <c r="AC217" s="4363">
        <f t="shared" si="1067"/>
        <v>18.16863</v>
      </c>
      <c r="AD217" s="4363">
        <f t="shared" si="1067"/>
        <v>18.16094</v>
      </c>
      <c r="AE217" s="4363">
        <f t="shared" si="1067"/>
        <v>7.6900000000000007E-3</v>
      </c>
      <c r="AF217" s="4364">
        <f t="shared" si="1067"/>
        <v>9.9641866218607742</v>
      </c>
      <c r="AG217" s="4364">
        <f t="shared" si="1067"/>
        <v>9.9556866218607745</v>
      </c>
      <c r="AH217" s="4364">
        <f t="shared" si="1067"/>
        <v>8.5000000000000006E-3</v>
      </c>
      <c r="AI217" s="4365">
        <f t="shared" si="1067"/>
        <v>36.893180000000001</v>
      </c>
      <c r="AJ217" s="4365">
        <f t="shared" si="1067"/>
        <v>36.885090000000005</v>
      </c>
      <c r="AK217" s="4365">
        <f t="shared" si="1067"/>
        <v>8.09E-3</v>
      </c>
      <c r="AL217" s="4323">
        <f t="shared" si="993"/>
        <v>26.928993378139225</v>
      </c>
      <c r="AM217" s="4323">
        <f t="shared" si="993"/>
        <v>26.929403378139231</v>
      </c>
      <c r="AN217" s="4323">
        <f t="shared" si="993"/>
        <v>-4.1000000000000064E-4</v>
      </c>
      <c r="AO217" s="4362">
        <f t="shared" ref="AO217:BI217" si="1068">SUM(AO151)</f>
        <v>4.9820933109303871</v>
      </c>
      <c r="AP217" s="4362">
        <f t="shared" si="1068"/>
        <v>4.9778433109303872</v>
      </c>
      <c r="AQ217" s="4362">
        <f t="shared" si="1068"/>
        <v>4.2500000000000003E-3</v>
      </c>
      <c r="AR217" s="4363">
        <f t="shared" si="1068"/>
        <v>6.5028600000000001</v>
      </c>
      <c r="AS217" s="4363">
        <f t="shared" si="1068"/>
        <v>6.5008900000000001</v>
      </c>
      <c r="AT217" s="4363">
        <f t="shared" si="1068"/>
        <v>1.97E-3</v>
      </c>
      <c r="AU217" s="4363">
        <f t="shared" si="1068"/>
        <v>0</v>
      </c>
      <c r="AV217" s="4363">
        <f t="shared" si="1068"/>
        <v>0</v>
      </c>
      <c r="AW217" s="4363">
        <f t="shared" si="1068"/>
        <v>0</v>
      </c>
      <c r="AX217" s="4363">
        <f t="shared" si="1068"/>
        <v>0</v>
      </c>
      <c r="AY217" s="4363">
        <f t="shared" si="1068"/>
        <v>0</v>
      </c>
      <c r="AZ217" s="4363">
        <f t="shared" si="1068"/>
        <v>0</v>
      </c>
      <c r="BA217" s="4363">
        <f t="shared" si="1068"/>
        <v>6.5028600000000001</v>
      </c>
      <c r="BB217" s="4363">
        <f t="shared" si="1068"/>
        <v>6.5008900000000001</v>
      </c>
      <c r="BC217" s="4363">
        <f t="shared" si="1068"/>
        <v>1.97E-3</v>
      </c>
      <c r="BD217" s="4364">
        <f t="shared" si="1068"/>
        <v>14.946279932791162</v>
      </c>
      <c r="BE217" s="4364">
        <f t="shared" si="1068"/>
        <v>14.933529932791162</v>
      </c>
      <c r="BF217" s="4364">
        <f t="shared" si="1068"/>
        <v>1.2750000000000001E-2</v>
      </c>
      <c r="BG217" s="4365">
        <f t="shared" si="1068"/>
        <v>43.396039999999999</v>
      </c>
      <c r="BH217" s="4365">
        <f t="shared" si="1068"/>
        <v>43.385980000000004</v>
      </c>
      <c r="BI217" s="4365">
        <f t="shared" si="1068"/>
        <v>1.0059999999999999E-2</v>
      </c>
      <c r="BJ217" s="4323">
        <f t="shared" si="995"/>
        <v>28.449760067208835</v>
      </c>
      <c r="BK217" s="4323">
        <f t="shared" si="996"/>
        <v>28.452450067208844</v>
      </c>
      <c r="BL217" s="4323">
        <f t="shared" si="996"/>
        <v>-2.6900000000000014E-3</v>
      </c>
      <c r="BM217" s="4362">
        <f t="shared" ref="BM217:CG217" si="1069">SUM(BM151)</f>
        <v>4.9820933109303871</v>
      </c>
      <c r="BN217" s="4362">
        <f t="shared" si="1069"/>
        <v>4.9778433109303872</v>
      </c>
      <c r="BO217" s="4362">
        <f t="shared" si="1069"/>
        <v>4.2500000000000003E-3</v>
      </c>
      <c r="BP217" s="4363">
        <f t="shared" si="1069"/>
        <v>0</v>
      </c>
      <c r="BQ217" s="4363">
        <f t="shared" si="1069"/>
        <v>0</v>
      </c>
      <c r="BR217" s="4363">
        <f t="shared" si="1069"/>
        <v>0</v>
      </c>
      <c r="BS217" s="4363">
        <f t="shared" si="1069"/>
        <v>0</v>
      </c>
      <c r="BT217" s="4363">
        <f t="shared" si="1069"/>
        <v>0</v>
      </c>
      <c r="BU217" s="4363">
        <f t="shared" si="1069"/>
        <v>0</v>
      </c>
      <c r="BV217" s="4363">
        <f t="shared" si="1069"/>
        <v>0</v>
      </c>
      <c r="BW217" s="4363">
        <f t="shared" si="1069"/>
        <v>0</v>
      </c>
      <c r="BX217" s="4363">
        <f t="shared" si="1069"/>
        <v>0</v>
      </c>
      <c r="BY217" s="4363">
        <f t="shared" si="1069"/>
        <v>0</v>
      </c>
      <c r="BZ217" s="4363">
        <f t="shared" si="1069"/>
        <v>0</v>
      </c>
      <c r="CA217" s="4363">
        <f t="shared" si="1069"/>
        <v>0</v>
      </c>
      <c r="CB217" s="4364">
        <f t="shared" si="1069"/>
        <v>19.928373243721548</v>
      </c>
      <c r="CC217" s="4364">
        <f t="shared" si="1069"/>
        <v>19.911373243721549</v>
      </c>
      <c r="CD217" s="4364">
        <f t="shared" si="1069"/>
        <v>1.7000000000000001E-2</v>
      </c>
      <c r="CE217" s="4365">
        <f t="shared" si="1069"/>
        <v>43.396039999999999</v>
      </c>
      <c r="CF217" s="4365">
        <f t="shared" si="1069"/>
        <v>43.385980000000004</v>
      </c>
      <c r="CG217" s="4365">
        <f t="shared" si="1069"/>
        <v>1.0059999999999999E-2</v>
      </c>
      <c r="CH217" s="4323">
        <f t="shared" si="998"/>
        <v>23.467666756278451</v>
      </c>
      <c r="CI217" s="4323">
        <f t="shared" si="999"/>
        <v>23.474606756278455</v>
      </c>
      <c r="CJ217" s="4323">
        <f t="shared" si="999"/>
        <v>-6.9400000000000017E-3</v>
      </c>
      <c r="CK217" s="2746"/>
      <c r="CL217" s="2746"/>
      <c r="CM217" s="2746"/>
      <c r="CN217" s="2746"/>
    </row>
    <row r="218" spans="1:92" ht="18.75" x14ac:dyDescent="0.3">
      <c r="A218" s="3046" t="s">
        <v>1543</v>
      </c>
      <c r="B218" s="4362">
        <f t="shared" ref="B218:AK218" si="1070">SUM(B152)</f>
        <v>3.0000000000000001E-3</v>
      </c>
      <c r="C218" s="4362">
        <f t="shared" si="1070"/>
        <v>0</v>
      </c>
      <c r="D218" s="4362">
        <f t="shared" si="1070"/>
        <v>3.0000000000000001E-3</v>
      </c>
      <c r="E218" s="4363">
        <f t="shared" si="1070"/>
        <v>0</v>
      </c>
      <c r="F218" s="4363">
        <f t="shared" si="1070"/>
        <v>0</v>
      </c>
      <c r="G218" s="4363">
        <f t="shared" si="1070"/>
        <v>0</v>
      </c>
      <c r="H218" s="4363">
        <f t="shared" si="1070"/>
        <v>0</v>
      </c>
      <c r="I218" s="4363">
        <f t="shared" si="1070"/>
        <v>0</v>
      </c>
      <c r="J218" s="4363">
        <f t="shared" si="1070"/>
        <v>0</v>
      </c>
      <c r="K218" s="4363">
        <f t="shared" si="1070"/>
        <v>0</v>
      </c>
      <c r="L218" s="4363">
        <f t="shared" si="1070"/>
        <v>0</v>
      </c>
      <c r="M218" s="4363">
        <f t="shared" si="1070"/>
        <v>0</v>
      </c>
      <c r="N218" s="4363">
        <f t="shared" si="1070"/>
        <v>0</v>
      </c>
      <c r="O218" s="4363">
        <f t="shared" si="1070"/>
        <v>0</v>
      </c>
      <c r="P218" s="4363">
        <f t="shared" si="1070"/>
        <v>0</v>
      </c>
      <c r="Q218" s="4362">
        <f t="shared" si="1070"/>
        <v>3.0000000000000001E-3</v>
      </c>
      <c r="R218" s="4362">
        <f t="shared" si="1070"/>
        <v>0</v>
      </c>
      <c r="S218" s="4362">
        <f t="shared" si="1070"/>
        <v>3.0000000000000001E-3</v>
      </c>
      <c r="T218" s="4363">
        <f t="shared" si="1070"/>
        <v>0</v>
      </c>
      <c r="U218" s="4363">
        <f t="shared" si="1070"/>
        <v>0</v>
      </c>
      <c r="V218" s="4363">
        <f t="shared" si="1070"/>
        <v>0</v>
      </c>
      <c r="W218" s="4363">
        <f t="shared" si="1070"/>
        <v>0</v>
      </c>
      <c r="X218" s="4363">
        <f t="shared" si="1070"/>
        <v>0</v>
      </c>
      <c r="Y218" s="4363">
        <f t="shared" si="1070"/>
        <v>0</v>
      </c>
      <c r="Z218" s="4363">
        <f t="shared" si="1070"/>
        <v>0</v>
      </c>
      <c r="AA218" s="4363">
        <f t="shared" si="1070"/>
        <v>0</v>
      </c>
      <c r="AB218" s="4363">
        <f t="shared" si="1070"/>
        <v>0</v>
      </c>
      <c r="AC218" s="4363">
        <f t="shared" si="1070"/>
        <v>0</v>
      </c>
      <c r="AD218" s="4363">
        <f t="shared" si="1070"/>
        <v>0</v>
      </c>
      <c r="AE218" s="4363">
        <f t="shared" si="1070"/>
        <v>0</v>
      </c>
      <c r="AF218" s="4364">
        <f t="shared" si="1070"/>
        <v>6.0000000000000001E-3</v>
      </c>
      <c r="AG218" s="4364">
        <f t="shared" si="1070"/>
        <v>0</v>
      </c>
      <c r="AH218" s="4364">
        <f t="shared" si="1070"/>
        <v>6.0000000000000001E-3</v>
      </c>
      <c r="AI218" s="4365">
        <f t="shared" si="1070"/>
        <v>0</v>
      </c>
      <c r="AJ218" s="4365">
        <f t="shared" si="1070"/>
        <v>0</v>
      </c>
      <c r="AK218" s="4365">
        <f t="shared" si="1070"/>
        <v>0</v>
      </c>
      <c r="AL218" s="4323">
        <f t="shared" si="993"/>
        <v>-6.0000000000000001E-3</v>
      </c>
      <c r="AM218" s="4323">
        <f t="shared" si="993"/>
        <v>0</v>
      </c>
      <c r="AN218" s="4323">
        <f t="shared" si="993"/>
        <v>-6.0000000000000001E-3</v>
      </c>
      <c r="AO218" s="4362">
        <f t="shared" ref="AO218:BI218" si="1071">SUM(AO152)</f>
        <v>3.0000000000000001E-3</v>
      </c>
      <c r="AP218" s="4362">
        <f t="shared" si="1071"/>
        <v>0</v>
      </c>
      <c r="AQ218" s="4362">
        <f t="shared" si="1071"/>
        <v>3.0000000000000001E-3</v>
      </c>
      <c r="AR218" s="4363">
        <f t="shared" si="1071"/>
        <v>0</v>
      </c>
      <c r="AS218" s="4363">
        <f t="shared" si="1071"/>
        <v>0</v>
      </c>
      <c r="AT218" s="4363">
        <f t="shared" si="1071"/>
        <v>0</v>
      </c>
      <c r="AU218" s="4363">
        <f t="shared" si="1071"/>
        <v>0</v>
      </c>
      <c r="AV218" s="4363">
        <f t="shared" si="1071"/>
        <v>0</v>
      </c>
      <c r="AW218" s="4363">
        <f t="shared" si="1071"/>
        <v>0</v>
      </c>
      <c r="AX218" s="4363">
        <f t="shared" si="1071"/>
        <v>0</v>
      </c>
      <c r="AY218" s="4363">
        <f t="shared" si="1071"/>
        <v>0</v>
      </c>
      <c r="AZ218" s="4363">
        <f t="shared" si="1071"/>
        <v>0</v>
      </c>
      <c r="BA218" s="4363">
        <f t="shared" si="1071"/>
        <v>0</v>
      </c>
      <c r="BB218" s="4363">
        <f t="shared" si="1071"/>
        <v>0</v>
      </c>
      <c r="BC218" s="4363">
        <f t="shared" si="1071"/>
        <v>0</v>
      </c>
      <c r="BD218" s="4364">
        <f t="shared" si="1071"/>
        <v>9.0000000000000011E-3</v>
      </c>
      <c r="BE218" s="4364">
        <f t="shared" si="1071"/>
        <v>0</v>
      </c>
      <c r="BF218" s="4364">
        <f t="shared" si="1071"/>
        <v>9.0000000000000011E-3</v>
      </c>
      <c r="BG218" s="4365">
        <f t="shared" si="1071"/>
        <v>0</v>
      </c>
      <c r="BH218" s="4365">
        <f t="shared" si="1071"/>
        <v>0</v>
      </c>
      <c r="BI218" s="4365">
        <f t="shared" si="1071"/>
        <v>0</v>
      </c>
      <c r="BJ218" s="4323">
        <f t="shared" si="995"/>
        <v>-9.0000000000000011E-3</v>
      </c>
      <c r="BK218" s="4323">
        <f t="shared" si="996"/>
        <v>0</v>
      </c>
      <c r="BL218" s="4323">
        <f t="shared" si="996"/>
        <v>-9.0000000000000011E-3</v>
      </c>
      <c r="BM218" s="4362">
        <f t="shared" ref="BM218:CG218" si="1072">SUM(BM152)</f>
        <v>3.0000000000000001E-3</v>
      </c>
      <c r="BN218" s="4362">
        <f t="shared" si="1072"/>
        <v>0</v>
      </c>
      <c r="BO218" s="4362">
        <f t="shared" si="1072"/>
        <v>3.0000000000000001E-3</v>
      </c>
      <c r="BP218" s="4363">
        <f t="shared" si="1072"/>
        <v>0</v>
      </c>
      <c r="BQ218" s="4363">
        <f t="shared" si="1072"/>
        <v>0</v>
      </c>
      <c r="BR218" s="4363">
        <f t="shared" si="1072"/>
        <v>0</v>
      </c>
      <c r="BS218" s="4363">
        <f t="shared" si="1072"/>
        <v>0</v>
      </c>
      <c r="BT218" s="4363">
        <f t="shared" si="1072"/>
        <v>0</v>
      </c>
      <c r="BU218" s="4363">
        <f t="shared" si="1072"/>
        <v>0</v>
      </c>
      <c r="BV218" s="4363">
        <f t="shared" si="1072"/>
        <v>0</v>
      </c>
      <c r="BW218" s="4363">
        <f t="shared" si="1072"/>
        <v>0</v>
      </c>
      <c r="BX218" s="4363">
        <f t="shared" si="1072"/>
        <v>0</v>
      </c>
      <c r="BY218" s="4363">
        <f t="shared" si="1072"/>
        <v>0</v>
      </c>
      <c r="BZ218" s="4363">
        <f t="shared" si="1072"/>
        <v>0</v>
      </c>
      <c r="CA218" s="4363">
        <f t="shared" si="1072"/>
        <v>0</v>
      </c>
      <c r="CB218" s="4364">
        <f t="shared" si="1072"/>
        <v>1.2E-2</v>
      </c>
      <c r="CC218" s="4364">
        <f t="shared" si="1072"/>
        <v>0</v>
      </c>
      <c r="CD218" s="4364">
        <f t="shared" si="1072"/>
        <v>1.2E-2</v>
      </c>
      <c r="CE218" s="4365">
        <f t="shared" si="1072"/>
        <v>0</v>
      </c>
      <c r="CF218" s="4365">
        <f t="shared" si="1072"/>
        <v>0</v>
      </c>
      <c r="CG218" s="4365">
        <f t="shared" si="1072"/>
        <v>0</v>
      </c>
      <c r="CH218" s="4323">
        <f t="shared" si="998"/>
        <v>-1.2E-2</v>
      </c>
      <c r="CI218" s="4323">
        <f t="shared" si="999"/>
        <v>0</v>
      </c>
      <c r="CJ218" s="4323">
        <f t="shared" si="999"/>
        <v>-1.2E-2</v>
      </c>
      <c r="CK218" s="2746"/>
      <c r="CL218" s="2746"/>
      <c r="CM218" s="2746"/>
      <c r="CN218" s="2746"/>
    </row>
    <row r="219" spans="1:92" ht="18.75" x14ac:dyDescent="0.3">
      <c r="A219" s="3046" t="s">
        <v>273</v>
      </c>
      <c r="B219" s="4362">
        <f t="shared" ref="B219:AK219" si="1073">SUM(B153)</f>
        <v>21.161999999999999</v>
      </c>
      <c r="C219" s="4362">
        <f t="shared" si="1073"/>
        <v>21.161999999999999</v>
      </c>
      <c r="D219" s="4362">
        <f t="shared" si="1073"/>
        <v>0</v>
      </c>
      <c r="E219" s="4363">
        <f t="shared" si="1073"/>
        <v>2.6619999999999999</v>
      </c>
      <c r="F219" s="4363">
        <f t="shared" si="1073"/>
        <v>2.6619999999999999</v>
      </c>
      <c r="G219" s="4363">
        <f t="shared" si="1073"/>
        <v>0</v>
      </c>
      <c r="H219" s="4363">
        <f t="shared" si="1073"/>
        <v>2.6397200000000001</v>
      </c>
      <c r="I219" s="4363">
        <f t="shared" si="1073"/>
        <v>2.6397200000000001</v>
      </c>
      <c r="J219" s="4363">
        <f t="shared" si="1073"/>
        <v>0</v>
      </c>
      <c r="K219" s="4363">
        <f t="shared" si="1073"/>
        <v>2.6781699999999997</v>
      </c>
      <c r="L219" s="4363">
        <f t="shared" si="1073"/>
        <v>2.6779999999999999</v>
      </c>
      <c r="M219" s="4363">
        <f t="shared" si="1073"/>
        <v>1.7000000000000001E-4</v>
      </c>
      <c r="N219" s="4363">
        <f t="shared" si="1073"/>
        <v>7.9798899999999993</v>
      </c>
      <c r="O219" s="4363">
        <f t="shared" si="1073"/>
        <v>7.9797199999999995</v>
      </c>
      <c r="P219" s="4363">
        <f t="shared" si="1073"/>
        <v>1.7000000000000001E-4</v>
      </c>
      <c r="Q219" s="4362">
        <f t="shared" si="1073"/>
        <v>21.161999999999999</v>
      </c>
      <c r="R219" s="4362">
        <f t="shared" si="1073"/>
        <v>21.161999999999999</v>
      </c>
      <c r="S219" s="4362">
        <f t="shared" si="1073"/>
        <v>0</v>
      </c>
      <c r="T219" s="4363">
        <f t="shared" si="1073"/>
        <v>2.7556400000000001</v>
      </c>
      <c r="U219" s="4363">
        <f t="shared" si="1073"/>
        <v>2.75461</v>
      </c>
      <c r="V219" s="4363">
        <f t="shared" si="1073"/>
        <v>1.0300000000000001E-3</v>
      </c>
      <c r="W219" s="4363">
        <f t="shared" si="1073"/>
        <v>2.6663700000000001</v>
      </c>
      <c r="X219" s="4363">
        <f t="shared" si="1073"/>
        <v>2.665</v>
      </c>
      <c r="Y219" s="4363">
        <f t="shared" si="1073"/>
        <v>1.3699999999999999E-3</v>
      </c>
      <c r="Z219" s="4363">
        <f t="shared" si="1073"/>
        <v>6.5508600000000001</v>
      </c>
      <c r="AA219" s="4363">
        <f t="shared" si="1073"/>
        <v>6.5484299999999998</v>
      </c>
      <c r="AB219" s="4363">
        <f t="shared" si="1073"/>
        <v>2.4299999999999999E-3</v>
      </c>
      <c r="AC219" s="4363">
        <f t="shared" si="1073"/>
        <v>11.97287</v>
      </c>
      <c r="AD219" s="4363">
        <f t="shared" si="1073"/>
        <v>11.96804</v>
      </c>
      <c r="AE219" s="4363">
        <f t="shared" si="1073"/>
        <v>4.8300000000000001E-3</v>
      </c>
      <c r="AF219" s="4364">
        <f t="shared" si="1073"/>
        <v>42.323999999999998</v>
      </c>
      <c r="AG219" s="4364">
        <f t="shared" si="1073"/>
        <v>42.323999999999998</v>
      </c>
      <c r="AH219" s="4364">
        <f t="shared" si="1073"/>
        <v>0</v>
      </c>
      <c r="AI219" s="4365">
        <f t="shared" si="1073"/>
        <v>19.952759999999998</v>
      </c>
      <c r="AJ219" s="4365">
        <f t="shared" si="1073"/>
        <v>19.947759999999999</v>
      </c>
      <c r="AK219" s="4365">
        <f t="shared" si="1073"/>
        <v>5.0000000000000001E-3</v>
      </c>
      <c r="AL219" s="4323">
        <f t="shared" si="993"/>
        <v>-22.37124</v>
      </c>
      <c r="AM219" s="4323">
        <f t="shared" si="993"/>
        <v>-22.376239999999999</v>
      </c>
      <c r="AN219" s="4323">
        <f t="shared" si="993"/>
        <v>5.0000000000000001E-3</v>
      </c>
      <c r="AO219" s="4362">
        <f t="shared" ref="AO219:BI219" si="1074">SUM(AO153)</f>
        <v>21.161999999999999</v>
      </c>
      <c r="AP219" s="4362">
        <f t="shared" si="1074"/>
        <v>21.161999999999999</v>
      </c>
      <c r="AQ219" s="4362">
        <f t="shared" si="1074"/>
        <v>0</v>
      </c>
      <c r="AR219" s="4363">
        <f t="shared" si="1074"/>
        <v>6.3975399999999993</v>
      </c>
      <c r="AS219" s="4363">
        <f t="shared" si="1074"/>
        <v>6.3956099999999996</v>
      </c>
      <c r="AT219" s="4363">
        <f t="shared" si="1074"/>
        <v>1.9300000000000001E-3</v>
      </c>
      <c r="AU219" s="4363">
        <f t="shared" si="1074"/>
        <v>0</v>
      </c>
      <c r="AV219" s="4363">
        <f t="shared" si="1074"/>
        <v>0</v>
      </c>
      <c r="AW219" s="4363">
        <f t="shared" si="1074"/>
        <v>0</v>
      </c>
      <c r="AX219" s="4363">
        <f t="shared" si="1074"/>
        <v>0</v>
      </c>
      <c r="AY219" s="4363">
        <f t="shared" si="1074"/>
        <v>0</v>
      </c>
      <c r="AZ219" s="4363">
        <f t="shared" si="1074"/>
        <v>0</v>
      </c>
      <c r="BA219" s="4363">
        <f t="shared" si="1074"/>
        <v>6.3975399999999993</v>
      </c>
      <c r="BB219" s="4363">
        <f t="shared" si="1074"/>
        <v>6.3956099999999996</v>
      </c>
      <c r="BC219" s="4363">
        <f t="shared" si="1074"/>
        <v>1.9300000000000001E-3</v>
      </c>
      <c r="BD219" s="4364">
        <f t="shared" si="1074"/>
        <v>63.485999999999997</v>
      </c>
      <c r="BE219" s="4364">
        <f t="shared" si="1074"/>
        <v>63.485999999999997</v>
      </c>
      <c r="BF219" s="4364">
        <f t="shared" si="1074"/>
        <v>0</v>
      </c>
      <c r="BG219" s="4365">
        <f t="shared" si="1074"/>
        <v>26.350299999999997</v>
      </c>
      <c r="BH219" s="4365">
        <f t="shared" si="1074"/>
        <v>26.34337</v>
      </c>
      <c r="BI219" s="4365">
        <f t="shared" si="1074"/>
        <v>6.9300000000000004E-3</v>
      </c>
      <c r="BJ219" s="4323">
        <f t="shared" si="995"/>
        <v>-37.1357</v>
      </c>
      <c r="BK219" s="4323">
        <f t="shared" si="996"/>
        <v>-37.142629999999997</v>
      </c>
      <c r="BL219" s="4323">
        <f t="shared" si="996"/>
        <v>6.9300000000000004E-3</v>
      </c>
      <c r="BM219" s="4362">
        <f t="shared" ref="BM219:CG219" si="1075">SUM(BM153)</f>
        <v>21.161999999999999</v>
      </c>
      <c r="BN219" s="4362">
        <f t="shared" si="1075"/>
        <v>21.161999999999999</v>
      </c>
      <c r="BO219" s="4362">
        <f t="shared" si="1075"/>
        <v>0</v>
      </c>
      <c r="BP219" s="4363">
        <f t="shared" si="1075"/>
        <v>0</v>
      </c>
      <c r="BQ219" s="4363">
        <f t="shared" si="1075"/>
        <v>0</v>
      </c>
      <c r="BR219" s="4363">
        <f t="shared" si="1075"/>
        <v>0</v>
      </c>
      <c r="BS219" s="4363">
        <f t="shared" si="1075"/>
        <v>0</v>
      </c>
      <c r="BT219" s="4363">
        <f t="shared" si="1075"/>
        <v>0</v>
      </c>
      <c r="BU219" s="4363">
        <f t="shared" si="1075"/>
        <v>0</v>
      </c>
      <c r="BV219" s="4363">
        <f t="shared" si="1075"/>
        <v>0</v>
      </c>
      <c r="BW219" s="4363">
        <f t="shared" si="1075"/>
        <v>0</v>
      </c>
      <c r="BX219" s="4363">
        <f t="shared" si="1075"/>
        <v>0</v>
      </c>
      <c r="BY219" s="4363">
        <f t="shared" si="1075"/>
        <v>0</v>
      </c>
      <c r="BZ219" s="4363">
        <f t="shared" si="1075"/>
        <v>0</v>
      </c>
      <c r="CA219" s="4363">
        <f t="shared" si="1075"/>
        <v>0</v>
      </c>
      <c r="CB219" s="4364">
        <f t="shared" si="1075"/>
        <v>84.647999999999996</v>
      </c>
      <c r="CC219" s="4364">
        <f t="shared" si="1075"/>
        <v>84.647999999999996</v>
      </c>
      <c r="CD219" s="4364">
        <f t="shared" si="1075"/>
        <v>0</v>
      </c>
      <c r="CE219" s="4365">
        <f t="shared" si="1075"/>
        <v>26.350299999999997</v>
      </c>
      <c r="CF219" s="4365">
        <f t="shared" si="1075"/>
        <v>26.34337</v>
      </c>
      <c r="CG219" s="4365">
        <f t="shared" si="1075"/>
        <v>6.9300000000000004E-3</v>
      </c>
      <c r="CH219" s="4323">
        <f t="shared" si="998"/>
        <v>-58.297699999999999</v>
      </c>
      <c r="CI219" s="4323">
        <f t="shared" si="999"/>
        <v>-58.304629999999996</v>
      </c>
      <c r="CJ219" s="4323">
        <f t="shared" si="999"/>
        <v>6.9300000000000004E-3</v>
      </c>
      <c r="CK219" s="2746"/>
      <c r="CL219" s="2746"/>
      <c r="CM219" s="2746"/>
      <c r="CN219" s="2746"/>
    </row>
    <row r="220" spans="1:92" ht="18.75" x14ac:dyDescent="0.3">
      <c r="A220" s="4339" t="s">
        <v>3709</v>
      </c>
      <c r="B220" s="4362">
        <f t="shared" ref="B220:AK220" si="1076">SUM(B154)</f>
        <v>545.95306795819567</v>
      </c>
      <c r="C220" s="4362">
        <f t="shared" si="1076"/>
        <v>545.92781795819565</v>
      </c>
      <c r="D220" s="4362">
        <f t="shared" si="1076"/>
        <v>2.5249999999999995E-2</v>
      </c>
      <c r="E220" s="4363">
        <f t="shared" si="1076"/>
        <v>434.197</v>
      </c>
      <c r="F220" s="4363">
        <f t="shared" si="1076"/>
        <v>434.197</v>
      </c>
      <c r="G220" s="4363">
        <f t="shared" si="1076"/>
        <v>0</v>
      </c>
      <c r="H220" s="4363">
        <f t="shared" si="1076"/>
        <v>347.16383000000002</v>
      </c>
      <c r="I220" s="4363">
        <f t="shared" si="1076"/>
        <v>347.16383000000002</v>
      </c>
      <c r="J220" s="4363">
        <f t="shared" si="1076"/>
        <v>0</v>
      </c>
      <c r="K220" s="4363">
        <f t="shared" si="1076"/>
        <v>472.61718999999999</v>
      </c>
      <c r="L220" s="4363">
        <f t="shared" si="1076"/>
        <v>472.58600000000001</v>
      </c>
      <c r="M220" s="4363">
        <f t="shared" si="1076"/>
        <v>3.1189999999999999E-2</v>
      </c>
      <c r="N220" s="4363">
        <f t="shared" si="1076"/>
        <v>1253.97802</v>
      </c>
      <c r="O220" s="4363">
        <f t="shared" si="1076"/>
        <v>1253.9468300000001</v>
      </c>
      <c r="P220" s="4363">
        <f t="shared" si="1076"/>
        <v>3.1189999999999999E-2</v>
      </c>
      <c r="Q220" s="4362">
        <f t="shared" si="1076"/>
        <v>545.95306795819567</v>
      </c>
      <c r="R220" s="4362">
        <f t="shared" si="1076"/>
        <v>545.92781795819565</v>
      </c>
      <c r="S220" s="4362">
        <f t="shared" si="1076"/>
        <v>2.5249999999999995E-2</v>
      </c>
      <c r="T220" s="4363">
        <f t="shared" si="1076"/>
        <v>459.34269</v>
      </c>
      <c r="U220" s="4363">
        <f t="shared" si="1076"/>
        <v>459.17178999999999</v>
      </c>
      <c r="V220" s="4363">
        <f t="shared" si="1076"/>
        <v>0.1709</v>
      </c>
      <c r="W220" s="4363">
        <f t="shared" si="1076"/>
        <v>506.61171999999999</v>
      </c>
      <c r="X220" s="4363">
        <f t="shared" si="1076"/>
        <v>506.35300000000001</v>
      </c>
      <c r="Y220" s="4363">
        <f t="shared" si="1076"/>
        <v>0.25872000000000001</v>
      </c>
      <c r="Z220" s="4363">
        <f t="shared" si="1076"/>
        <v>478.45263</v>
      </c>
      <c r="AA220" s="4363">
        <f t="shared" si="1076"/>
        <v>478.27553</v>
      </c>
      <c r="AB220" s="4363">
        <f t="shared" si="1076"/>
        <v>0.17710000000000001</v>
      </c>
      <c r="AC220" s="4363">
        <f t="shared" si="1076"/>
        <v>1444.4070399999998</v>
      </c>
      <c r="AD220" s="4363">
        <f t="shared" si="1076"/>
        <v>1443.8003199999998</v>
      </c>
      <c r="AE220" s="4363">
        <f t="shared" si="1076"/>
        <v>0.60672000000000004</v>
      </c>
      <c r="AF220" s="4364">
        <f t="shared" si="1076"/>
        <v>1091.9061359163913</v>
      </c>
      <c r="AG220" s="4364">
        <f t="shared" si="1076"/>
        <v>1091.8556359163913</v>
      </c>
      <c r="AH220" s="4364">
        <f t="shared" si="1076"/>
        <v>5.0499999999999989E-2</v>
      </c>
      <c r="AI220" s="4365">
        <f t="shared" si="1076"/>
        <v>2698.3850599999996</v>
      </c>
      <c r="AJ220" s="4365">
        <f t="shared" si="1076"/>
        <v>2697.7471500000001</v>
      </c>
      <c r="AK220" s="4365">
        <f t="shared" si="1076"/>
        <v>0.63791000000000009</v>
      </c>
      <c r="AL220" s="4323">
        <f t="shared" si="993"/>
        <v>1606.4789240836083</v>
      </c>
      <c r="AM220" s="4323">
        <f t="shared" si="993"/>
        <v>1605.8915140836089</v>
      </c>
      <c r="AN220" s="4323">
        <f t="shared" si="993"/>
        <v>0.5874100000000001</v>
      </c>
      <c r="AO220" s="4362">
        <f t="shared" ref="AO220:BI220" si="1077">SUM(AO154)</f>
        <v>545.95306795819567</v>
      </c>
      <c r="AP220" s="4362">
        <f t="shared" si="1077"/>
        <v>545.92781795819565</v>
      </c>
      <c r="AQ220" s="4362">
        <f t="shared" si="1077"/>
        <v>2.5249999999999995E-2</v>
      </c>
      <c r="AR220" s="4363">
        <f t="shared" si="1077"/>
        <v>406.41091</v>
      </c>
      <c r="AS220" s="4363">
        <f t="shared" si="1077"/>
        <v>406.28791000000001</v>
      </c>
      <c r="AT220" s="4363">
        <f t="shared" si="1077"/>
        <v>0.123</v>
      </c>
      <c r="AU220" s="4363">
        <f t="shared" si="1077"/>
        <v>0</v>
      </c>
      <c r="AV220" s="4363">
        <f t="shared" si="1077"/>
        <v>0</v>
      </c>
      <c r="AW220" s="4363">
        <f t="shared" si="1077"/>
        <v>0</v>
      </c>
      <c r="AX220" s="4363">
        <f t="shared" si="1077"/>
        <v>0</v>
      </c>
      <c r="AY220" s="4363">
        <f t="shared" si="1077"/>
        <v>0</v>
      </c>
      <c r="AZ220" s="4363">
        <f t="shared" si="1077"/>
        <v>0</v>
      </c>
      <c r="BA220" s="4363">
        <f t="shared" si="1077"/>
        <v>406.41091</v>
      </c>
      <c r="BB220" s="4363">
        <f t="shared" si="1077"/>
        <v>406.28791000000001</v>
      </c>
      <c r="BC220" s="4363">
        <f t="shared" si="1077"/>
        <v>0.123</v>
      </c>
      <c r="BD220" s="4364">
        <f t="shared" si="1077"/>
        <v>1637.8592038745869</v>
      </c>
      <c r="BE220" s="4364">
        <f t="shared" si="1077"/>
        <v>1637.7834538745869</v>
      </c>
      <c r="BF220" s="4364">
        <f t="shared" si="1077"/>
        <v>7.5749999999999984E-2</v>
      </c>
      <c r="BG220" s="4365">
        <f t="shared" si="1077"/>
        <v>3104.7959699999997</v>
      </c>
      <c r="BH220" s="4365">
        <f t="shared" si="1077"/>
        <v>3104.0350600000002</v>
      </c>
      <c r="BI220" s="4365">
        <f t="shared" si="1077"/>
        <v>0.76091000000000009</v>
      </c>
      <c r="BJ220" s="4323">
        <f t="shared" si="995"/>
        <v>1466.9367661254128</v>
      </c>
      <c r="BK220" s="4323">
        <f t="shared" si="996"/>
        <v>1466.2516061254132</v>
      </c>
      <c r="BL220" s="4323">
        <f t="shared" si="996"/>
        <v>0.6851600000000001</v>
      </c>
      <c r="BM220" s="4362">
        <f t="shared" ref="BM220:CG220" si="1078">SUM(BM154)</f>
        <v>545.95306795819567</v>
      </c>
      <c r="BN220" s="4362">
        <f t="shared" si="1078"/>
        <v>545.92781795819565</v>
      </c>
      <c r="BO220" s="4362">
        <f t="shared" si="1078"/>
        <v>2.5249999999999995E-2</v>
      </c>
      <c r="BP220" s="4363">
        <f t="shared" si="1078"/>
        <v>0</v>
      </c>
      <c r="BQ220" s="4363">
        <f t="shared" si="1078"/>
        <v>0</v>
      </c>
      <c r="BR220" s="4363">
        <f t="shared" si="1078"/>
        <v>0</v>
      </c>
      <c r="BS220" s="4363">
        <f t="shared" si="1078"/>
        <v>0</v>
      </c>
      <c r="BT220" s="4363">
        <f t="shared" si="1078"/>
        <v>0</v>
      </c>
      <c r="BU220" s="4363">
        <f t="shared" si="1078"/>
        <v>0</v>
      </c>
      <c r="BV220" s="4363">
        <f t="shared" si="1078"/>
        <v>0</v>
      </c>
      <c r="BW220" s="4363">
        <f t="shared" si="1078"/>
        <v>0</v>
      </c>
      <c r="BX220" s="4363">
        <f t="shared" si="1078"/>
        <v>0</v>
      </c>
      <c r="BY220" s="4363">
        <f t="shared" si="1078"/>
        <v>0</v>
      </c>
      <c r="BZ220" s="4363">
        <f t="shared" si="1078"/>
        <v>0</v>
      </c>
      <c r="CA220" s="4363">
        <f t="shared" si="1078"/>
        <v>0</v>
      </c>
      <c r="CB220" s="4364">
        <f t="shared" si="1078"/>
        <v>2183.8122718327827</v>
      </c>
      <c r="CC220" s="4364">
        <f t="shared" si="1078"/>
        <v>2183.7112718327826</v>
      </c>
      <c r="CD220" s="4364">
        <f t="shared" si="1078"/>
        <v>0.10099999999999998</v>
      </c>
      <c r="CE220" s="4365">
        <f t="shared" si="1078"/>
        <v>3104.7959699999997</v>
      </c>
      <c r="CF220" s="4365">
        <f t="shared" si="1078"/>
        <v>3104.0350600000002</v>
      </c>
      <c r="CG220" s="4365">
        <f t="shared" si="1078"/>
        <v>0.76091000000000009</v>
      </c>
      <c r="CH220" s="4323">
        <f t="shared" si="998"/>
        <v>920.98369816721697</v>
      </c>
      <c r="CI220" s="4323">
        <f t="shared" si="999"/>
        <v>920.32378816721757</v>
      </c>
      <c r="CJ220" s="4323">
        <f t="shared" si="999"/>
        <v>0.65991000000000011</v>
      </c>
      <c r="CK220" s="2746"/>
      <c r="CL220" s="2746"/>
      <c r="CM220" s="2746"/>
      <c r="CN220" s="2746"/>
    </row>
    <row r="221" spans="1:92" ht="18.75" x14ac:dyDescent="0.3">
      <c r="A221" s="4315" t="s">
        <v>3710</v>
      </c>
      <c r="B221" s="4355">
        <f t="shared" ref="B221:AK221" si="1079">SUM(B155)</f>
        <v>0</v>
      </c>
      <c r="C221" s="4355">
        <f t="shared" si="1079"/>
        <v>0</v>
      </c>
      <c r="D221" s="4355">
        <f t="shared" si="1079"/>
        <v>0</v>
      </c>
      <c r="E221" s="4356">
        <f t="shared" si="1079"/>
        <v>0</v>
      </c>
      <c r="F221" s="4356">
        <f t="shared" si="1079"/>
        <v>0</v>
      </c>
      <c r="G221" s="4356">
        <f t="shared" si="1079"/>
        <v>0</v>
      </c>
      <c r="H221" s="4356">
        <f t="shared" si="1079"/>
        <v>0</v>
      </c>
      <c r="I221" s="4356">
        <f t="shared" si="1079"/>
        <v>0</v>
      </c>
      <c r="J221" s="4356">
        <f t="shared" si="1079"/>
        <v>0</v>
      </c>
      <c r="K221" s="4356">
        <f t="shared" si="1079"/>
        <v>0</v>
      </c>
      <c r="L221" s="4356">
        <f t="shared" si="1079"/>
        <v>0</v>
      </c>
      <c r="M221" s="4356">
        <f t="shared" si="1079"/>
        <v>0</v>
      </c>
      <c r="N221" s="4356">
        <f t="shared" si="1079"/>
        <v>0</v>
      </c>
      <c r="O221" s="4356">
        <f t="shared" si="1079"/>
        <v>0</v>
      </c>
      <c r="P221" s="4356">
        <f t="shared" si="1079"/>
        <v>0</v>
      </c>
      <c r="Q221" s="4355">
        <f t="shared" si="1079"/>
        <v>0</v>
      </c>
      <c r="R221" s="4355">
        <f t="shared" si="1079"/>
        <v>0</v>
      </c>
      <c r="S221" s="4355">
        <f t="shared" si="1079"/>
        <v>0</v>
      </c>
      <c r="T221" s="4356">
        <f t="shared" si="1079"/>
        <v>0</v>
      </c>
      <c r="U221" s="4356">
        <f t="shared" si="1079"/>
        <v>0</v>
      </c>
      <c r="V221" s="4356">
        <f t="shared" si="1079"/>
        <v>0</v>
      </c>
      <c r="W221" s="4356">
        <f t="shared" si="1079"/>
        <v>0</v>
      </c>
      <c r="X221" s="4356">
        <f t="shared" si="1079"/>
        <v>0</v>
      </c>
      <c r="Y221" s="4356">
        <f t="shared" si="1079"/>
        <v>0</v>
      </c>
      <c r="Z221" s="4356">
        <f t="shared" si="1079"/>
        <v>0</v>
      </c>
      <c r="AA221" s="4356">
        <f t="shared" si="1079"/>
        <v>0</v>
      </c>
      <c r="AB221" s="4356">
        <f t="shared" si="1079"/>
        <v>0</v>
      </c>
      <c r="AC221" s="4356">
        <f t="shared" si="1079"/>
        <v>0</v>
      </c>
      <c r="AD221" s="4356">
        <f t="shared" si="1079"/>
        <v>0</v>
      </c>
      <c r="AE221" s="4356">
        <f t="shared" si="1079"/>
        <v>0</v>
      </c>
      <c r="AF221" s="4357">
        <f t="shared" si="1079"/>
        <v>0</v>
      </c>
      <c r="AG221" s="4357">
        <f t="shared" si="1079"/>
        <v>0</v>
      </c>
      <c r="AH221" s="4357">
        <f t="shared" si="1079"/>
        <v>0</v>
      </c>
      <c r="AI221" s="4358">
        <f t="shared" si="1079"/>
        <v>0</v>
      </c>
      <c r="AJ221" s="4358">
        <f t="shared" si="1079"/>
        <v>0</v>
      </c>
      <c r="AK221" s="4358">
        <f t="shared" si="1079"/>
        <v>0</v>
      </c>
      <c r="AL221" s="4319">
        <f t="shared" si="993"/>
        <v>0</v>
      </c>
      <c r="AM221" s="4319">
        <f t="shared" si="993"/>
        <v>0</v>
      </c>
      <c r="AN221" s="4319">
        <f t="shared" si="993"/>
        <v>0</v>
      </c>
      <c r="AO221" s="4355">
        <f t="shared" ref="AO221:BI221" si="1080">SUM(AO155)</f>
        <v>0</v>
      </c>
      <c r="AP221" s="4355">
        <f t="shared" si="1080"/>
        <v>0</v>
      </c>
      <c r="AQ221" s="4355">
        <f t="shared" si="1080"/>
        <v>0</v>
      </c>
      <c r="AR221" s="4356">
        <f t="shared" si="1080"/>
        <v>0</v>
      </c>
      <c r="AS221" s="4356">
        <f t="shared" si="1080"/>
        <v>0</v>
      </c>
      <c r="AT221" s="4356">
        <f t="shared" si="1080"/>
        <v>0</v>
      </c>
      <c r="AU221" s="4356">
        <f t="shared" si="1080"/>
        <v>0</v>
      </c>
      <c r="AV221" s="4356">
        <f t="shared" si="1080"/>
        <v>0</v>
      </c>
      <c r="AW221" s="4356">
        <f t="shared" si="1080"/>
        <v>0</v>
      </c>
      <c r="AX221" s="4356">
        <f t="shared" si="1080"/>
        <v>0</v>
      </c>
      <c r="AY221" s="4356">
        <f t="shared" si="1080"/>
        <v>0</v>
      </c>
      <c r="AZ221" s="4356">
        <f t="shared" si="1080"/>
        <v>0</v>
      </c>
      <c r="BA221" s="4356">
        <f t="shared" si="1080"/>
        <v>0</v>
      </c>
      <c r="BB221" s="4356">
        <f t="shared" si="1080"/>
        <v>0</v>
      </c>
      <c r="BC221" s="4356">
        <f t="shared" si="1080"/>
        <v>0</v>
      </c>
      <c r="BD221" s="4357">
        <f t="shared" si="1080"/>
        <v>0</v>
      </c>
      <c r="BE221" s="4357">
        <f t="shared" si="1080"/>
        <v>0</v>
      </c>
      <c r="BF221" s="4357">
        <f t="shared" si="1080"/>
        <v>0</v>
      </c>
      <c r="BG221" s="4358">
        <f t="shared" si="1080"/>
        <v>0</v>
      </c>
      <c r="BH221" s="4358">
        <f t="shared" si="1080"/>
        <v>0</v>
      </c>
      <c r="BI221" s="4358">
        <f t="shared" si="1080"/>
        <v>0</v>
      </c>
      <c r="BJ221" s="4319">
        <f t="shared" si="995"/>
        <v>0</v>
      </c>
      <c r="BK221" s="4319">
        <f t="shared" si="996"/>
        <v>0</v>
      </c>
      <c r="BL221" s="4319">
        <f t="shared" si="996"/>
        <v>0</v>
      </c>
      <c r="BM221" s="4355">
        <f t="shared" ref="BM221:CG221" si="1081">SUM(BM155)</f>
        <v>0</v>
      </c>
      <c r="BN221" s="4355">
        <f t="shared" si="1081"/>
        <v>0</v>
      </c>
      <c r="BO221" s="4355">
        <f t="shared" si="1081"/>
        <v>0</v>
      </c>
      <c r="BP221" s="4356">
        <f t="shared" si="1081"/>
        <v>0</v>
      </c>
      <c r="BQ221" s="4356">
        <f t="shared" si="1081"/>
        <v>0</v>
      </c>
      <c r="BR221" s="4356">
        <f t="shared" si="1081"/>
        <v>0</v>
      </c>
      <c r="BS221" s="4356">
        <f t="shared" si="1081"/>
        <v>0</v>
      </c>
      <c r="BT221" s="4356">
        <f t="shared" si="1081"/>
        <v>0</v>
      </c>
      <c r="BU221" s="4356">
        <f t="shared" si="1081"/>
        <v>0</v>
      </c>
      <c r="BV221" s="4356">
        <f t="shared" si="1081"/>
        <v>0</v>
      </c>
      <c r="BW221" s="4356">
        <f t="shared" si="1081"/>
        <v>0</v>
      </c>
      <c r="BX221" s="4356">
        <f t="shared" si="1081"/>
        <v>0</v>
      </c>
      <c r="BY221" s="4356">
        <f t="shared" si="1081"/>
        <v>0</v>
      </c>
      <c r="BZ221" s="4356">
        <f t="shared" si="1081"/>
        <v>0</v>
      </c>
      <c r="CA221" s="4356">
        <f t="shared" si="1081"/>
        <v>0</v>
      </c>
      <c r="CB221" s="4357">
        <f t="shared" si="1081"/>
        <v>0</v>
      </c>
      <c r="CC221" s="4357">
        <f t="shared" si="1081"/>
        <v>0</v>
      </c>
      <c r="CD221" s="4357">
        <f t="shared" si="1081"/>
        <v>0</v>
      </c>
      <c r="CE221" s="4358">
        <f t="shared" si="1081"/>
        <v>0</v>
      </c>
      <c r="CF221" s="4358">
        <f t="shared" si="1081"/>
        <v>0</v>
      </c>
      <c r="CG221" s="4358">
        <f t="shared" si="1081"/>
        <v>0</v>
      </c>
      <c r="CH221" s="4319">
        <f t="shared" si="998"/>
        <v>0</v>
      </c>
      <c r="CI221" s="4319">
        <f t="shared" si="999"/>
        <v>0</v>
      </c>
      <c r="CJ221" s="4319">
        <f t="shared" si="999"/>
        <v>0</v>
      </c>
      <c r="CK221" s="2746"/>
      <c r="CL221" s="2746"/>
      <c r="CM221" s="2746"/>
      <c r="CN221" s="2746"/>
    </row>
    <row r="222" spans="1:92" ht="18.75" x14ac:dyDescent="0.3">
      <c r="A222" s="4315" t="s">
        <v>3711</v>
      </c>
      <c r="B222" s="4355">
        <f t="shared" ref="B222:AK222" si="1082">SUM(B156)</f>
        <v>0</v>
      </c>
      <c r="C222" s="4355">
        <f t="shared" si="1082"/>
        <v>0</v>
      </c>
      <c r="D222" s="4355">
        <f t="shared" si="1082"/>
        <v>0</v>
      </c>
      <c r="E222" s="4356">
        <f t="shared" si="1082"/>
        <v>0</v>
      </c>
      <c r="F222" s="4356">
        <f t="shared" si="1082"/>
        <v>0</v>
      </c>
      <c r="G222" s="4356">
        <f t="shared" si="1082"/>
        <v>0</v>
      </c>
      <c r="H222" s="4356">
        <f t="shared" si="1082"/>
        <v>0</v>
      </c>
      <c r="I222" s="4356">
        <f t="shared" si="1082"/>
        <v>0</v>
      </c>
      <c r="J222" s="4356">
        <f t="shared" si="1082"/>
        <v>0</v>
      </c>
      <c r="K222" s="4356">
        <f t="shared" si="1082"/>
        <v>0</v>
      </c>
      <c r="L222" s="4356">
        <f t="shared" si="1082"/>
        <v>0</v>
      </c>
      <c r="M222" s="4356">
        <f t="shared" si="1082"/>
        <v>0</v>
      </c>
      <c r="N222" s="4356">
        <f t="shared" si="1082"/>
        <v>0</v>
      </c>
      <c r="O222" s="4356">
        <f t="shared" si="1082"/>
        <v>0</v>
      </c>
      <c r="P222" s="4356">
        <f t="shared" si="1082"/>
        <v>0</v>
      </c>
      <c r="Q222" s="4355">
        <f t="shared" si="1082"/>
        <v>0</v>
      </c>
      <c r="R222" s="4355">
        <f t="shared" si="1082"/>
        <v>0</v>
      </c>
      <c r="S222" s="4355">
        <f t="shared" si="1082"/>
        <v>0</v>
      </c>
      <c r="T222" s="4356">
        <f t="shared" si="1082"/>
        <v>0</v>
      </c>
      <c r="U222" s="4356">
        <f t="shared" si="1082"/>
        <v>0</v>
      </c>
      <c r="V222" s="4356">
        <f t="shared" si="1082"/>
        <v>0</v>
      </c>
      <c r="W222" s="4356">
        <f t="shared" si="1082"/>
        <v>0</v>
      </c>
      <c r="X222" s="4356">
        <f t="shared" si="1082"/>
        <v>0</v>
      </c>
      <c r="Y222" s="4356">
        <f t="shared" si="1082"/>
        <v>0</v>
      </c>
      <c r="Z222" s="4356">
        <f t="shared" si="1082"/>
        <v>0</v>
      </c>
      <c r="AA222" s="4356">
        <f t="shared" si="1082"/>
        <v>0</v>
      </c>
      <c r="AB222" s="4356">
        <f t="shared" si="1082"/>
        <v>0</v>
      </c>
      <c r="AC222" s="4356">
        <f t="shared" si="1082"/>
        <v>0</v>
      </c>
      <c r="AD222" s="4356">
        <f t="shared" si="1082"/>
        <v>0</v>
      </c>
      <c r="AE222" s="4356">
        <f t="shared" si="1082"/>
        <v>0</v>
      </c>
      <c r="AF222" s="4357">
        <f t="shared" si="1082"/>
        <v>0</v>
      </c>
      <c r="AG222" s="4357">
        <f t="shared" si="1082"/>
        <v>0</v>
      </c>
      <c r="AH222" s="4357">
        <f t="shared" si="1082"/>
        <v>0</v>
      </c>
      <c r="AI222" s="4358">
        <f t="shared" si="1082"/>
        <v>0</v>
      </c>
      <c r="AJ222" s="4358">
        <f t="shared" si="1082"/>
        <v>0</v>
      </c>
      <c r="AK222" s="4358">
        <f t="shared" si="1082"/>
        <v>0</v>
      </c>
      <c r="AL222" s="4323">
        <f t="shared" si="993"/>
        <v>0</v>
      </c>
      <c r="AM222" s="4323">
        <f t="shared" si="993"/>
        <v>0</v>
      </c>
      <c r="AN222" s="4323">
        <f t="shared" si="993"/>
        <v>0</v>
      </c>
      <c r="AO222" s="4355">
        <f t="shared" ref="AO222:BI222" si="1083">SUM(AO156)</f>
        <v>0</v>
      </c>
      <c r="AP222" s="4355">
        <f t="shared" si="1083"/>
        <v>0</v>
      </c>
      <c r="AQ222" s="4355">
        <f t="shared" si="1083"/>
        <v>0</v>
      </c>
      <c r="AR222" s="4356">
        <f t="shared" si="1083"/>
        <v>0</v>
      </c>
      <c r="AS222" s="4356">
        <f t="shared" si="1083"/>
        <v>0</v>
      </c>
      <c r="AT222" s="4356">
        <f t="shared" si="1083"/>
        <v>0</v>
      </c>
      <c r="AU222" s="4356">
        <f t="shared" si="1083"/>
        <v>0</v>
      </c>
      <c r="AV222" s="4356">
        <f t="shared" si="1083"/>
        <v>0</v>
      </c>
      <c r="AW222" s="4356">
        <f t="shared" si="1083"/>
        <v>0</v>
      </c>
      <c r="AX222" s="4356">
        <f t="shared" si="1083"/>
        <v>0</v>
      </c>
      <c r="AY222" s="4356">
        <f t="shared" si="1083"/>
        <v>0</v>
      </c>
      <c r="AZ222" s="4356">
        <f t="shared" si="1083"/>
        <v>0</v>
      </c>
      <c r="BA222" s="4356">
        <f t="shared" si="1083"/>
        <v>0</v>
      </c>
      <c r="BB222" s="4356">
        <f t="shared" si="1083"/>
        <v>0</v>
      </c>
      <c r="BC222" s="4356">
        <f t="shared" si="1083"/>
        <v>0</v>
      </c>
      <c r="BD222" s="4357">
        <f t="shared" si="1083"/>
        <v>0</v>
      </c>
      <c r="BE222" s="4357">
        <f t="shared" si="1083"/>
        <v>0</v>
      </c>
      <c r="BF222" s="4357">
        <f t="shared" si="1083"/>
        <v>0</v>
      </c>
      <c r="BG222" s="4358">
        <f t="shared" si="1083"/>
        <v>0</v>
      </c>
      <c r="BH222" s="4358">
        <f t="shared" si="1083"/>
        <v>0</v>
      </c>
      <c r="BI222" s="4358">
        <f t="shared" si="1083"/>
        <v>0</v>
      </c>
      <c r="BJ222" s="4323">
        <f t="shared" si="995"/>
        <v>0</v>
      </c>
      <c r="BK222" s="4323">
        <f t="shared" si="996"/>
        <v>0</v>
      </c>
      <c r="BL222" s="4323">
        <f t="shared" si="996"/>
        <v>0</v>
      </c>
      <c r="BM222" s="4355">
        <f t="shared" ref="BM222:CG222" si="1084">SUM(BM156)</f>
        <v>0</v>
      </c>
      <c r="BN222" s="4355">
        <f t="shared" si="1084"/>
        <v>0</v>
      </c>
      <c r="BO222" s="4355">
        <f t="shared" si="1084"/>
        <v>0</v>
      </c>
      <c r="BP222" s="4356">
        <f t="shared" si="1084"/>
        <v>0</v>
      </c>
      <c r="BQ222" s="4356">
        <f t="shared" si="1084"/>
        <v>0</v>
      </c>
      <c r="BR222" s="4356">
        <f t="shared" si="1084"/>
        <v>0</v>
      </c>
      <c r="BS222" s="4356">
        <f t="shared" si="1084"/>
        <v>0</v>
      </c>
      <c r="BT222" s="4356">
        <f t="shared" si="1084"/>
        <v>0</v>
      </c>
      <c r="BU222" s="4356">
        <f t="shared" si="1084"/>
        <v>0</v>
      </c>
      <c r="BV222" s="4356">
        <f t="shared" si="1084"/>
        <v>0</v>
      </c>
      <c r="BW222" s="4356">
        <f t="shared" si="1084"/>
        <v>0</v>
      </c>
      <c r="BX222" s="4356">
        <f t="shared" si="1084"/>
        <v>0</v>
      </c>
      <c r="BY222" s="4356">
        <f t="shared" si="1084"/>
        <v>0</v>
      </c>
      <c r="BZ222" s="4356">
        <f t="shared" si="1084"/>
        <v>0</v>
      </c>
      <c r="CA222" s="4356">
        <f t="shared" si="1084"/>
        <v>0</v>
      </c>
      <c r="CB222" s="4357">
        <f t="shared" si="1084"/>
        <v>0</v>
      </c>
      <c r="CC222" s="4357">
        <f t="shared" si="1084"/>
        <v>0</v>
      </c>
      <c r="CD222" s="4357">
        <f t="shared" si="1084"/>
        <v>0</v>
      </c>
      <c r="CE222" s="4358">
        <f t="shared" si="1084"/>
        <v>0</v>
      </c>
      <c r="CF222" s="4358">
        <f t="shared" si="1084"/>
        <v>0</v>
      </c>
      <c r="CG222" s="4358">
        <f t="shared" si="1084"/>
        <v>0</v>
      </c>
      <c r="CH222" s="4323">
        <f t="shared" si="998"/>
        <v>0</v>
      </c>
      <c r="CI222" s="4323">
        <f t="shared" si="999"/>
        <v>0</v>
      </c>
      <c r="CJ222" s="4323">
        <f t="shared" si="999"/>
        <v>0</v>
      </c>
      <c r="CK222" s="2746"/>
      <c r="CL222" s="2746"/>
      <c r="CM222" s="2746"/>
      <c r="CN222" s="2746"/>
    </row>
    <row r="223" spans="1:92" ht="18.75" customHeight="1" x14ac:dyDescent="0.3">
      <c r="A223" s="4315" t="s">
        <v>3920</v>
      </c>
      <c r="B223" s="4355">
        <f t="shared" ref="B223:AK223" si="1085">SUM(B157)</f>
        <v>46.960250000000002</v>
      </c>
      <c r="C223" s="4355">
        <f t="shared" si="1085"/>
        <v>46.960250000000002</v>
      </c>
      <c r="D223" s="4355">
        <f t="shared" si="1085"/>
        <v>0</v>
      </c>
      <c r="E223" s="4356">
        <f t="shared" si="1085"/>
        <v>0</v>
      </c>
      <c r="F223" s="4356">
        <f t="shared" si="1085"/>
        <v>0</v>
      </c>
      <c r="G223" s="4356">
        <f t="shared" si="1085"/>
        <v>0</v>
      </c>
      <c r="H223" s="4356">
        <f t="shared" si="1085"/>
        <v>0</v>
      </c>
      <c r="I223" s="4356">
        <f t="shared" si="1085"/>
        <v>0</v>
      </c>
      <c r="J223" s="4356">
        <f t="shared" si="1085"/>
        <v>0</v>
      </c>
      <c r="K223" s="4356">
        <f t="shared" si="1085"/>
        <v>0</v>
      </c>
      <c r="L223" s="4356">
        <f t="shared" si="1085"/>
        <v>0</v>
      </c>
      <c r="M223" s="4356">
        <f t="shared" si="1085"/>
        <v>0</v>
      </c>
      <c r="N223" s="4356">
        <f t="shared" si="1085"/>
        <v>0</v>
      </c>
      <c r="O223" s="4356">
        <f t="shared" si="1085"/>
        <v>0</v>
      </c>
      <c r="P223" s="4356">
        <f t="shared" si="1085"/>
        <v>0</v>
      </c>
      <c r="Q223" s="4355">
        <f t="shared" si="1085"/>
        <v>46.960250000000002</v>
      </c>
      <c r="R223" s="4355">
        <f t="shared" si="1085"/>
        <v>46.960250000000002</v>
      </c>
      <c r="S223" s="4355">
        <f t="shared" si="1085"/>
        <v>0</v>
      </c>
      <c r="T223" s="4356">
        <f t="shared" si="1085"/>
        <v>0</v>
      </c>
      <c r="U223" s="4356">
        <f t="shared" si="1085"/>
        <v>0</v>
      </c>
      <c r="V223" s="4356">
        <f t="shared" si="1085"/>
        <v>0</v>
      </c>
      <c r="W223" s="4356">
        <f t="shared" si="1085"/>
        <v>0</v>
      </c>
      <c r="X223" s="4356">
        <f t="shared" si="1085"/>
        <v>0</v>
      </c>
      <c r="Y223" s="4356">
        <f t="shared" si="1085"/>
        <v>0</v>
      </c>
      <c r="Z223" s="4356">
        <f t="shared" si="1085"/>
        <v>0</v>
      </c>
      <c r="AA223" s="4356">
        <f t="shared" si="1085"/>
        <v>0</v>
      </c>
      <c r="AB223" s="4356">
        <f t="shared" si="1085"/>
        <v>0</v>
      </c>
      <c r="AC223" s="4356">
        <f t="shared" si="1085"/>
        <v>0</v>
      </c>
      <c r="AD223" s="4356">
        <f t="shared" si="1085"/>
        <v>0</v>
      </c>
      <c r="AE223" s="4356">
        <f t="shared" si="1085"/>
        <v>0</v>
      </c>
      <c r="AF223" s="4357">
        <f t="shared" si="1085"/>
        <v>93.920500000000004</v>
      </c>
      <c r="AG223" s="4357">
        <f t="shared" si="1085"/>
        <v>93.920500000000004</v>
      </c>
      <c r="AH223" s="4357">
        <f t="shared" si="1085"/>
        <v>0</v>
      </c>
      <c r="AI223" s="4358">
        <f t="shared" si="1085"/>
        <v>0</v>
      </c>
      <c r="AJ223" s="4358">
        <f t="shared" si="1085"/>
        <v>0</v>
      </c>
      <c r="AK223" s="4358">
        <f t="shared" si="1085"/>
        <v>0</v>
      </c>
      <c r="AL223" s="4323">
        <f t="shared" si="993"/>
        <v>-93.920500000000004</v>
      </c>
      <c r="AM223" s="4323">
        <f t="shared" si="993"/>
        <v>-93.920500000000004</v>
      </c>
      <c r="AN223" s="4323">
        <f t="shared" si="993"/>
        <v>0</v>
      </c>
      <c r="AO223" s="4355">
        <f t="shared" ref="AO223:BI223" si="1086">SUM(AO157)</f>
        <v>46.960250000000002</v>
      </c>
      <c r="AP223" s="4355">
        <f t="shared" si="1086"/>
        <v>46.960250000000002</v>
      </c>
      <c r="AQ223" s="4355">
        <f t="shared" si="1086"/>
        <v>0</v>
      </c>
      <c r="AR223" s="4356">
        <f t="shared" si="1086"/>
        <v>0</v>
      </c>
      <c r="AS223" s="4356">
        <f t="shared" si="1086"/>
        <v>0</v>
      </c>
      <c r="AT223" s="4356">
        <f t="shared" si="1086"/>
        <v>0</v>
      </c>
      <c r="AU223" s="4356">
        <f t="shared" si="1086"/>
        <v>0</v>
      </c>
      <c r="AV223" s="4356">
        <f t="shared" si="1086"/>
        <v>0</v>
      </c>
      <c r="AW223" s="4356">
        <f t="shared" si="1086"/>
        <v>0</v>
      </c>
      <c r="AX223" s="4356">
        <f t="shared" si="1086"/>
        <v>0</v>
      </c>
      <c r="AY223" s="4356">
        <f t="shared" si="1086"/>
        <v>0</v>
      </c>
      <c r="AZ223" s="4356">
        <f t="shared" si="1086"/>
        <v>0</v>
      </c>
      <c r="BA223" s="4356">
        <f t="shared" si="1086"/>
        <v>0</v>
      </c>
      <c r="BB223" s="4356">
        <f t="shared" si="1086"/>
        <v>0</v>
      </c>
      <c r="BC223" s="4356">
        <f t="shared" si="1086"/>
        <v>0</v>
      </c>
      <c r="BD223" s="4357">
        <f t="shared" si="1086"/>
        <v>140.88075000000001</v>
      </c>
      <c r="BE223" s="4357">
        <f t="shared" si="1086"/>
        <v>140.88075000000001</v>
      </c>
      <c r="BF223" s="4357">
        <f t="shared" si="1086"/>
        <v>0</v>
      </c>
      <c r="BG223" s="4358">
        <f t="shared" si="1086"/>
        <v>0</v>
      </c>
      <c r="BH223" s="4358">
        <f t="shared" si="1086"/>
        <v>0</v>
      </c>
      <c r="BI223" s="4358">
        <f t="shared" si="1086"/>
        <v>0</v>
      </c>
      <c r="BJ223" s="4323">
        <f t="shared" ref="BJ223" si="1087">SUM(BG223-BD223)</f>
        <v>-140.88075000000001</v>
      </c>
      <c r="BK223" s="4323">
        <f t="shared" si="996"/>
        <v>-140.88075000000001</v>
      </c>
      <c r="BL223" s="4323">
        <f t="shared" si="996"/>
        <v>0</v>
      </c>
      <c r="BM223" s="4355">
        <f t="shared" ref="BM223:CG223" si="1088">SUM(BM157)</f>
        <v>46.960250000000002</v>
      </c>
      <c r="BN223" s="4355">
        <f t="shared" si="1088"/>
        <v>46.960250000000002</v>
      </c>
      <c r="BO223" s="4355">
        <f t="shared" si="1088"/>
        <v>0</v>
      </c>
      <c r="BP223" s="4356">
        <f t="shared" si="1088"/>
        <v>0</v>
      </c>
      <c r="BQ223" s="4356">
        <f t="shared" si="1088"/>
        <v>0</v>
      </c>
      <c r="BR223" s="4356">
        <f t="shared" si="1088"/>
        <v>0</v>
      </c>
      <c r="BS223" s="4356">
        <f t="shared" si="1088"/>
        <v>0</v>
      </c>
      <c r="BT223" s="4356">
        <f t="shared" si="1088"/>
        <v>0</v>
      </c>
      <c r="BU223" s="4356">
        <f t="shared" si="1088"/>
        <v>0</v>
      </c>
      <c r="BV223" s="4356">
        <f t="shared" si="1088"/>
        <v>0</v>
      </c>
      <c r="BW223" s="4356">
        <f t="shared" si="1088"/>
        <v>0</v>
      </c>
      <c r="BX223" s="4356">
        <f t="shared" si="1088"/>
        <v>0</v>
      </c>
      <c r="BY223" s="4356">
        <f t="shared" si="1088"/>
        <v>0</v>
      </c>
      <c r="BZ223" s="4356">
        <f t="shared" si="1088"/>
        <v>0</v>
      </c>
      <c r="CA223" s="4356">
        <f t="shared" si="1088"/>
        <v>0</v>
      </c>
      <c r="CB223" s="4357">
        <f t="shared" si="1088"/>
        <v>187.84100000000001</v>
      </c>
      <c r="CC223" s="4357">
        <f t="shared" si="1088"/>
        <v>187.84100000000001</v>
      </c>
      <c r="CD223" s="4357">
        <f t="shared" si="1088"/>
        <v>0</v>
      </c>
      <c r="CE223" s="4358">
        <f t="shared" si="1088"/>
        <v>0</v>
      </c>
      <c r="CF223" s="4358">
        <f t="shared" si="1088"/>
        <v>0</v>
      </c>
      <c r="CG223" s="4358">
        <f t="shared" si="1088"/>
        <v>0</v>
      </c>
      <c r="CH223" s="4323">
        <f t="shared" ref="CH223" si="1089">SUM(CE223-CB223)</f>
        <v>-187.84100000000001</v>
      </c>
      <c r="CI223" s="4323">
        <f t="shared" si="999"/>
        <v>-187.84100000000001</v>
      </c>
      <c r="CJ223" s="4323">
        <f t="shared" si="999"/>
        <v>0</v>
      </c>
      <c r="CK223" s="2746"/>
      <c r="CL223" s="2746"/>
      <c r="CM223" s="2746"/>
      <c r="CN223" s="2746"/>
    </row>
    <row r="224" spans="1:92" ht="18.75" x14ac:dyDescent="0.3">
      <c r="A224" s="4341" t="s">
        <v>12</v>
      </c>
      <c r="B224" s="4366">
        <f>SUM(B195+B196+B197+B198+B199+B200+B201+B203+B208+B214+B221+B222+B223)</f>
        <v>45186.827321488643</v>
      </c>
      <c r="C224" s="4366">
        <f t="shared" ref="C224:AE224" si="1090">SUM(C195+C196+C197+C198+C199+C200+C201+C203+C208+C214+C221+C222+C223)</f>
        <v>45178.047557845697</v>
      </c>
      <c r="D224" s="4366">
        <f t="shared" si="1090"/>
        <v>8.7797636429369224</v>
      </c>
      <c r="E224" s="4366">
        <f t="shared" si="1090"/>
        <v>17217.948</v>
      </c>
      <c r="F224" s="4366">
        <f t="shared" si="1090"/>
        <v>17217.948</v>
      </c>
      <c r="G224" s="4366">
        <f t="shared" si="1090"/>
        <v>0</v>
      </c>
      <c r="H224" s="4366">
        <f t="shared" si="1090"/>
        <v>14061.75128</v>
      </c>
      <c r="I224" s="4366">
        <f t="shared" si="1090"/>
        <v>14061.75128</v>
      </c>
      <c r="J224" s="4366">
        <f t="shared" si="1090"/>
        <v>0</v>
      </c>
      <c r="K224" s="4366">
        <f t="shared" si="1090"/>
        <v>15100.962800000003</v>
      </c>
      <c r="L224" s="4366">
        <f t="shared" si="1090"/>
        <v>15100.336370000003</v>
      </c>
      <c r="M224" s="4366">
        <f t="shared" si="1090"/>
        <v>0.62643000000000004</v>
      </c>
      <c r="N224" s="4366">
        <f t="shared" si="1090"/>
        <v>46380.662079999995</v>
      </c>
      <c r="O224" s="4366">
        <f t="shared" si="1090"/>
        <v>46380.035649999998</v>
      </c>
      <c r="P224" s="4366">
        <f t="shared" si="1090"/>
        <v>0.62643000000000004</v>
      </c>
      <c r="Q224" s="4366">
        <f t="shared" si="1090"/>
        <v>45186.827321488643</v>
      </c>
      <c r="R224" s="4366">
        <f t="shared" si="1090"/>
        <v>45178.047557845697</v>
      </c>
      <c r="S224" s="4366">
        <f t="shared" si="1090"/>
        <v>8.7797636429369224</v>
      </c>
      <c r="T224" s="4366">
        <f t="shared" si="1090"/>
        <v>15686.832549999999</v>
      </c>
      <c r="U224" s="4366">
        <f t="shared" si="1090"/>
        <v>15682.85203</v>
      </c>
      <c r="V224" s="4366">
        <f t="shared" si="1090"/>
        <v>3.9805199999999998</v>
      </c>
      <c r="W224" s="4366">
        <f t="shared" si="1090"/>
        <v>17633.094590000001</v>
      </c>
      <c r="X224" s="4366">
        <f t="shared" si="1090"/>
        <v>17627.933000000001</v>
      </c>
      <c r="Y224" s="4366">
        <f t="shared" si="1090"/>
        <v>5.1615899999999995</v>
      </c>
      <c r="Z224" s="4366">
        <f t="shared" si="1090"/>
        <v>19203.366319999997</v>
      </c>
      <c r="AA224" s="4366">
        <f t="shared" si="1090"/>
        <v>19199.924220000001</v>
      </c>
      <c r="AB224" s="4366">
        <f t="shared" si="1090"/>
        <v>3.4420999999999999</v>
      </c>
      <c r="AC224" s="4366">
        <f t="shared" si="1090"/>
        <v>52523.293460000008</v>
      </c>
      <c r="AD224" s="4366">
        <f t="shared" si="1090"/>
        <v>52510.709249999993</v>
      </c>
      <c r="AE224" s="4366">
        <f t="shared" si="1090"/>
        <v>12.584210000000001</v>
      </c>
      <c r="AF224" s="4367">
        <f>SUM(AF195+AF196+AF197+AF198+AF199+AF200+AF201+AF203+AF208+AF214+AF221+AF222+AF223)</f>
        <v>90373.654642977286</v>
      </c>
      <c r="AG224" s="4367">
        <f t="shared" ref="AG224:AK224" si="1091">SUM(AG195+AG196+AG197+AG198+AG199+AG200+AG201+AG203+AG208+AG214+AG221+AG222+AG223)</f>
        <v>90356.095115691394</v>
      </c>
      <c r="AH224" s="4367">
        <f t="shared" si="1091"/>
        <v>17.559527285873845</v>
      </c>
      <c r="AI224" s="4367">
        <f t="shared" si="1091"/>
        <v>98903.95554000001</v>
      </c>
      <c r="AJ224" s="4367">
        <f t="shared" si="1091"/>
        <v>98890.744900000005</v>
      </c>
      <c r="AK224" s="4367">
        <f t="shared" si="1091"/>
        <v>13.21064</v>
      </c>
      <c r="AL224" s="4314">
        <f t="shared" si="993"/>
        <v>8530.3008970227238</v>
      </c>
      <c r="AM224" s="4314">
        <f t="shared" si="993"/>
        <v>8534.6497843086108</v>
      </c>
      <c r="AN224" s="4314">
        <f t="shared" si="993"/>
        <v>-4.348887285873845</v>
      </c>
      <c r="AO224" s="4366">
        <f>SUM(AO195+AO196+AO197+AO198+AO199+AO200+AO201+AO203+AO208+AO214+AO221+AO222+AO223)</f>
        <v>45186.827321488643</v>
      </c>
      <c r="AP224" s="4366">
        <f t="shared" ref="AP224:BC224" si="1092">SUM(AP195+AP196+AP197+AP198+AP199+AP200+AP201+AP203+AP208+AP214+AP221+AP222+AP223)</f>
        <v>45178.047557845697</v>
      </c>
      <c r="AQ224" s="4366">
        <f t="shared" si="1092"/>
        <v>8.7797636429369224</v>
      </c>
      <c r="AR224" s="4366">
        <f t="shared" si="1092"/>
        <v>13049.248650000001</v>
      </c>
      <c r="AS224" s="4366">
        <f t="shared" si="1092"/>
        <v>13046.58401</v>
      </c>
      <c r="AT224" s="4366">
        <f t="shared" si="1092"/>
        <v>2.6646399999999999</v>
      </c>
      <c r="AU224" s="4366">
        <f t="shared" si="1092"/>
        <v>0</v>
      </c>
      <c r="AV224" s="4366">
        <f t="shared" si="1092"/>
        <v>0</v>
      </c>
      <c r="AW224" s="4366">
        <f t="shared" si="1092"/>
        <v>0</v>
      </c>
      <c r="AX224" s="4366">
        <f t="shared" si="1092"/>
        <v>0</v>
      </c>
      <c r="AY224" s="4366">
        <f t="shared" si="1092"/>
        <v>0</v>
      </c>
      <c r="AZ224" s="4366">
        <f t="shared" si="1092"/>
        <v>0</v>
      </c>
      <c r="BA224" s="4366">
        <f t="shared" si="1092"/>
        <v>13049.248650000001</v>
      </c>
      <c r="BB224" s="4366">
        <f t="shared" si="1092"/>
        <v>13046.58401</v>
      </c>
      <c r="BC224" s="4366">
        <f t="shared" si="1092"/>
        <v>2.6646399999999999</v>
      </c>
      <c r="BD224" s="4367">
        <f>SUM(BD195+BD196+BD197+BD198+BD199+BD200+BD201+BD203+BD208+BD214+BD221+BD222+BD223)</f>
        <v>135560.48196446596</v>
      </c>
      <c r="BE224" s="4367">
        <f t="shared" ref="BE224:BI224" si="1093">SUM(BE195+BE196+BE197+BE198+BE199+BE200+BE201+BE203+BE208+BE214+BE221+BE222+BE223)</f>
        <v>135534.14267353714</v>
      </c>
      <c r="BF224" s="4367">
        <f t="shared" si="1093"/>
        <v>26.339290928810769</v>
      </c>
      <c r="BG224" s="4367">
        <f t="shared" si="1093"/>
        <v>111953.20419000002</v>
      </c>
      <c r="BH224" s="4367">
        <f t="shared" si="1093"/>
        <v>111937.32891</v>
      </c>
      <c r="BI224" s="4367">
        <f t="shared" si="1093"/>
        <v>15.87528</v>
      </c>
      <c r="BJ224" s="4314">
        <f t="shared" si="995"/>
        <v>-23607.27777446594</v>
      </c>
      <c r="BK224" s="4314">
        <f t="shared" si="996"/>
        <v>-23596.813763537139</v>
      </c>
      <c r="BL224" s="4314">
        <f t="shared" si="996"/>
        <v>-10.464010928810769</v>
      </c>
      <c r="BM224" s="4366">
        <f>SUM(BM195+BM196+BM197+BM198+BM199+BM200+BM201+BM203+BM208+BM214+BM221+BM222+BM223)</f>
        <v>45186.827321488643</v>
      </c>
      <c r="BN224" s="4366">
        <f t="shared" ref="BN224:CA224" si="1094">SUM(BN195+BN196+BN197+BN198+BN199+BN200+BN201+BN203+BN208+BN214+BN221+BN222+BN223)</f>
        <v>45178.047557845697</v>
      </c>
      <c r="BO224" s="4366">
        <f t="shared" si="1094"/>
        <v>8.7797636429369224</v>
      </c>
      <c r="BP224" s="4366">
        <f t="shared" si="1094"/>
        <v>0</v>
      </c>
      <c r="BQ224" s="4366">
        <f t="shared" si="1094"/>
        <v>0</v>
      </c>
      <c r="BR224" s="4366">
        <f t="shared" si="1094"/>
        <v>0</v>
      </c>
      <c r="BS224" s="4366">
        <f t="shared" si="1094"/>
        <v>0</v>
      </c>
      <c r="BT224" s="4366">
        <f t="shared" si="1094"/>
        <v>0</v>
      </c>
      <c r="BU224" s="4366">
        <f t="shared" si="1094"/>
        <v>0</v>
      </c>
      <c r="BV224" s="4366">
        <f t="shared" si="1094"/>
        <v>0</v>
      </c>
      <c r="BW224" s="4366">
        <f t="shared" si="1094"/>
        <v>0</v>
      </c>
      <c r="BX224" s="4366">
        <f t="shared" si="1094"/>
        <v>0</v>
      </c>
      <c r="BY224" s="4366">
        <f t="shared" si="1094"/>
        <v>0</v>
      </c>
      <c r="BZ224" s="4366">
        <f t="shared" si="1094"/>
        <v>0</v>
      </c>
      <c r="CA224" s="4366">
        <f t="shared" si="1094"/>
        <v>0</v>
      </c>
      <c r="CB224" s="4368">
        <f>SUM(CB195+CB196+CB197+CB198+CB199+CB200+CB201+CB203+CB208+CB214+CB221+CB222+CB223)</f>
        <v>180747.30930553115</v>
      </c>
      <c r="CC224" s="4368">
        <f t="shared" ref="CC224:CD224" si="1095">SUM(CC195+CC196+CC197+CC198+CC199+CC200+CC201+CC203+CC208+CC214+CC221+CC222+CC223)</f>
        <v>180712.19025095936</v>
      </c>
      <c r="CD224" s="4368">
        <f t="shared" si="1095"/>
        <v>35.119054571747689</v>
      </c>
      <c r="CE224" s="4368">
        <f>SUM(CE195+CE196+CE197+CE198+CE199+CE200+CE201+CE203+CE208+CE214+CE221+CE222+CE223)</f>
        <v>111953.20419000002</v>
      </c>
      <c r="CF224" s="4368">
        <f t="shared" ref="CF224:CG224" si="1096">SUM(CF195+CF196+CF197+CF198+CF199+CF200+CF201+CF203+CF208+CF214+CF221+CF222+CF223)</f>
        <v>111937.32891</v>
      </c>
      <c r="CG224" s="4368">
        <f t="shared" si="1096"/>
        <v>15.87528</v>
      </c>
      <c r="CH224" s="4314">
        <f t="shared" si="998"/>
        <v>-68794.105115531129</v>
      </c>
      <c r="CI224" s="4314">
        <f t="shared" si="999"/>
        <v>-68774.861340959367</v>
      </c>
      <c r="CJ224" s="4314">
        <f t="shared" si="999"/>
        <v>-19.243774571747689</v>
      </c>
      <c r="CK224" s="2746"/>
      <c r="CL224" s="2746"/>
      <c r="CM224" s="2746"/>
      <c r="CN224" s="2746"/>
    </row>
    <row r="225" spans="1:92" ht="18.75" x14ac:dyDescent="0.3">
      <c r="A225" s="4341" t="s">
        <v>13</v>
      </c>
      <c r="B225" s="4366">
        <f t="shared" ref="B225:AK225" si="1097">SUM(B181)</f>
        <v>888.86101814628705</v>
      </c>
      <c r="C225" s="4366">
        <f t="shared" si="1097"/>
        <v>888.52326814628702</v>
      </c>
      <c r="D225" s="4366">
        <f t="shared" si="1097"/>
        <v>0.33774999999999999</v>
      </c>
      <c r="E225" s="4369">
        <f t="shared" si="1097"/>
        <v>301.68359800000002</v>
      </c>
      <c r="F225" s="4369">
        <f t="shared" si="1097"/>
        <v>301.68359800000002</v>
      </c>
      <c r="G225" s="4369">
        <f t="shared" si="1097"/>
        <v>0</v>
      </c>
      <c r="H225" s="4369">
        <f t="shared" si="1097"/>
        <v>303.98077699999999</v>
      </c>
      <c r="I225" s="4369">
        <f t="shared" si="1097"/>
        <v>303.98077699999999</v>
      </c>
      <c r="J225" s="4369">
        <f t="shared" si="1097"/>
        <v>0</v>
      </c>
      <c r="K225" s="4369">
        <f t="shared" si="1097"/>
        <v>287.72876300000001</v>
      </c>
      <c r="L225" s="4369">
        <f t="shared" si="1097"/>
        <v>287.72876300000001</v>
      </c>
      <c r="M225" s="4369">
        <f t="shared" si="1097"/>
        <v>0</v>
      </c>
      <c r="N225" s="4369">
        <f t="shared" si="1097"/>
        <v>893.39313800000002</v>
      </c>
      <c r="O225" s="4369">
        <f t="shared" si="1097"/>
        <v>893.39313800000002</v>
      </c>
      <c r="P225" s="4369">
        <f t="shared" si="1097"/>
        <v>0</v>
      </c>
      <c r="Q225" s="4366">
        <f t="shared" si="1097"/>
        <v>888.86101814628705</v>
      </c>
      <c r="R225" s="4366">
        <f t="shared" si="1097"/>
        <v>888.52326814628702</v>
      </c>
      <c r="S225" s="4366">
        <f t="shared" si="1097"/>
        <v>0.33774999999999999</v>
      </c>
      <c r="T225" s="4369">
        <f t="shared" si="1097"/>
        <v>284.123583</v>
      </c>
      <c r="U225" s="4369">
        <f t="shared" si="1097"/>
        <v>284.123583</v>
      </c>
      <c r="V225" s="4369">
        <f t="shared" si="1097"/>
        <v>0</v>
      </c>
      <c r="W225" s="4369">
        <f t="shared" si="1097"/>
        <v>289.24589500000002</v>
      </c>
      <c r="X225" s="4369">
        <f t="shared" si="1097"/>
        <v>289.24589500000002</v>
      </c>
      <c r="Y225" s="4369">
        <f t="shared" si="1097"/>
        <v>0</v>
      </c>
      <c r="Z225" s="4369">
        <f t="shared" si="1097"/>
        <v>281.88767899999999</v>
      </c>
      <c r="AA225" s="4369">
        <f t="shared" si="1097"/>
        <v>281.88767899999999</v>
      </c>
      <c r="AB225" s="4369">
        <f t="shared" si="1097"/>
        <v>0</v>
      </c>
      <c r="AC225" s="4369">
        <f t="shared" si="1097"/>
        <v>855.25715700000001</v>
      </c>
      <c r="AD225" s="4369">
        <f t="shared" si="1097"/>
        <v>855.25715700000001</v>
      </c>
      <c r="AE225" s="4369">
        <f t="shared" si="1097"/>
        <v>0</v>
      </c>
      <c r="AF225" s="4367">
        <f t="shared" si="1097"/>
        <v>1777.7220362925741</v>
      </c>
      <c r="AG225" s="4367">
        <f t="shared" si="1097"/>
        <v>1777.046536292574</v>
      </c>
      <c r="AH225" s="4367">
        <f t="shared" si="1097"/>
        <v>0.67549999999999999</v>
      </c>
      <c r="AI225" s="4368">
        <f t="shared" si="1097"/>
        <v>1748.6502949999999</v>
      </c>
      <c r="AJ225" s="4368">
        <f t="shared" si="1097"/>
        <v>1748.6502949999999</v>
      </c>
      <c r="AK225" s="4368">
        <f t="shared" si="1097"/>
        <v>0</v>
      </c>
      <c r="AL225" s="4314">
        <f t="shared" si="993"/>
        <v>-29.071741292574188</v>
      </c>
      <c r="AM225" s="4314">
        <f t="shared" si="993"/>
        <v>-28.396241292574132</v>
      </c>
      <c r="AN225" s="4314">
        <f t="shared" si="993"/>
        <v>-0.67549999999999999</v>
      </c>
      <c r="AO225" s="4366">
        <f t="shared" ref="AO225:BI225" si="1098">SUM(AO181)</f>
        <v>888.86101814628705</v>
      </c>
      <c r="AP225" s="4366">
        <f t="shared" si="1098"/>
        <v>888.52326814628702</v>
      </c>
      <c r="AQ225" s="4366">
        <f t="shared" si="1098"/>
        <v>0.33774999999999999</v>
      </c>
      <c r="AR225" s="4369">
        <f t="shared" si="1098"/>
        <v>257.66599199999996</v>
      </c>
      <c r="AS225" s="4369">
        <f t="shared" si="1098"/>
        <v>257.66599199999996</v>
      </c>
      <c r="AT225" s="4369">
        <f t="shared" si="1098"/>
        <v>0</v>
      </c>
      <c r="AU225" s="4369">
        <f t="shared" si="1098"/>
        <v>0</v>
      </c>
      <c r="AV225" s="4369">
        <f t="shared" si="1098"/>
        <v>0</v>
      </c>
      <c r="AW225" s="4369">
        <f t="shared" si="1098"/>
        <v>0</v>
      </c>
      <c r="AX225" s="4369">
        <f t="shared" si="1098"/>
        <v>0</v>
      </c>
      <c r="AY225" s="4369">
        <f t="shared" si="1098"/>
        <v>0</v>
      </c>
      <c r="AZ225" s="4369">
        <f t="shared" si="1098"/>
        <v>0</v>
      </c>
      <c r="BA225" s="4369">
        <f t="shared" si="1098"/>
        <v>257.66599199999996</v>
      </c>
      <c r="BB225" s="4369">
        <f t="shared" si="1098"/>
        <v>257.66599199999996</v>
      </c>
      <c r="BC225" s="4369">
        <f t="shared" si="1098"/>
        <v>0</v>
      </c>
      <c r="BD225" s="4367">
        <f t="shared" si="1098"/>
        <v>2666.5830544388609</v>
      </c>
      <c r="BE225" s="4367">
        <f t="shared" si="1098"/>
        <v>2665.569804438861</v>
      </c>
      <c r="BF225" s="4367">
        <f t="shared" si="1098"/>
        <v>1.01325</v>
      </c>
      <c r="BG225" s="4368">
        <f t="shared" si="1098"/>
        <v>2006.3162869999999</v>
      </c>
      <c r="BH225" s="4368">
        <f t="shared" si="1098"/>
        <v>2006.3162869999999</v>
      </c>
      <c r="BI225" s="4368">
        <f t="shared" si="1098"/>
        <v>0</v>
      </c>
      <c r="BJ225" s="4314">
        <f t="shared" si="995"/>
        <v>-660.26676743886105</v>
      </c>
      <c r="BK225" s="4314">
        <f t="shared" si="996"/>
        <v>-659.25351743886108</v>
      </c>
      <c r="BL225" s="4314">
        <f t="shared" si="996"/>
        <v>-1.01325</v>
      </c>
      <c r="BM225" s="4366">
        <f t="shared" ref="BM225:CG225" si="1099">SUM(BM181)</f>
        <v>888.86101814628705</v>
      </c>
      <c r="BN225" s="4366">
        <f t="shared" si="1099"/>
        <v>888.52326814628702</v>
      </c>
      <c r="BO225" s="4366">
        <f t="shared" si="1099"/>
        <v>0.33774999999999999</v>
      </c>
      <c r="BP225" s="4369">
        <f t="shared" si="1099"/>
        <v>0</v>
      </c>
      <c r="BQ225" s="4369">
        <f t="shared" si="1099"/>
        <v>0</v>
      </c>
      <c r="BR225" s="4369">
        <f t="shared" si="1099"/>
        <v>0</v>
      </c>
      <c r="BS225" s="4369">
        <f t="shared" si="1099"/>
        <v>0</v>
      </c>
      <c r="BT225" s="4369">
        <f t="shared" si="1099"/>
        <v>0</v>
      </c>
      <c r="BU225" s="4369">
        <f t="shared" si="1099"/>
        <v>0</v>
      </c>
      <c r="BV225" s="4369">
        <f t="shared" si="1099"/>
        <v>0</v>
      </c>
      <c r="BW225" s="4369">
        <f t="shared" si="1099"/>
        <v>0</v>
      </c>
      <c r="BX225" s="4369">
        <f t="shared" si="1099"/>
        <v>0</v>
      </c>
      <c r="BY225" s="4369">
        <f t="shared" si="1099"/>
        <v>0</v>
      </c>
      <c r="BZ225" s="4369">
        <f t="shared" si="1099"/>
        <v>0</v>
      </c>
      <c r="CA225" s="4369">
        <f t="shared" si="1099"/>
        <v>0</v>
      </c>
      <c r="CB225" s="4367">
        <f t="shared" si="1099"/>
        <v>3555.4440725851482</v>
      </c>
      <c r="CC225" s="4367">
        <f t="shared" si="1099"/>
        <v>3554.0930725851481</v>
      </c>
      <c r="CD225" s="4367">
        <f t="shared" si="1099"/>
        <v>1.351</v>
      </c>
      <c r="CE225" s="4368">
        <f t="shared" si="1099"/>
        <v>2006.3162869999999</v>
      </c>
      <c r="CF225" s="4368">
        <f t="shared" si="1099"/>
        <v>2006.3162869999999</v>
      </c>
      <c r="CG225" s="4368">
        <f t="shared" si="1099"/>
        <v>0</v>
      </c>
      <c r="CH225" s="4314">
        <f t="shared" si="998"/>
        <v>-1549.1277855851483</v>
      </c>
      <c r="CI225" s="4314">
        <f t="shared" si="999"/>
        <v>-1547.7767855851482</v>
      </c>
      <c r="CJ225" s="4314">
        <f t="shared" si="999"/>
        <v>-1.351</v>
      </c>
      <c r="CK225" s="2788"/>
      <c r="CL225" s="2746"/>
      <c r="CM225" s="2746"/>
      <c r="CN225" s="2746"/>
    </row>
    <row r="226" spans="1:92" ht="18.75" x14ac:dyDescent="0.3">
      <c r="A226" s="4341" t="s">
        <v>14</v>
      </c>
      <c r="B226" s="4366">
        <f t="shared" ref="B226:D226" si="1100">SUM(B224/B225)</f>
        <v>50.836774702669977</v>
      </c>
      <c r="C226" s="4366">
        <f t="shared" si="1100"/>
        <v>50.846217738450441</v>
      </c>
      <c r="D226" s="4366">
        <f t="shared" si="1100"/>
        <v>25.994859046445367</v>
      </c>
      <c r="E226" s="4369">
        <f t="shared" ref="E226:AK226" si="1101">SUM(E224/E225)</f>
        <v>57.072867448365557</v>
      </c>
      <c r="F226" s="4369">
        <f t="shared" si="1101"/>
        <v>57.072867448365557</v>
      </c>
      <c r="G226" s="4369" t="e">
        <f t="shared" si="1101"/>
        <v>#DIV/0!</v>
      </c>
      <c r="H226" s="4369">
        <f t="shared" si="1101"/>
        <v>46.258685890522614</v>
      </c>
      <c r="I226" s="4369">
        <f t="shared" si="1101"/>
        <v>46.258685890522614</v>
      </c>
      <c r="J226" s="4369" t="e">
        <f t="shared" si="1101"/>
        <v>#DIV/0!</v>
      </c>
      <c r="K226" s="4369">
        <f t="shared" si="1101"/>
        <v>52.483327153497001</v>
      </c>
      <c r="L226" s="4369">
        <f t="shared" si="1101"/>
        <v>52.481149998896711</v>
      </c>
      <c r="M226" s="4369" t="e">
        <f t="shared" si="1101"/>
        <v>#DIV/0!</v>
      </c>
      <c r="N226" s="4369">
        <f t="shared" si="1101"/>
        <v>51.915176093506098</v>
      </c>
      <c r="O226" s="4369">
        <f t="shared" si="1101"/>
        <v>51.914474912835068</v>
      </c>
      <c r="P226" s="4369" t="e">
        <f t="shared" si="1101"/>
        <v>#DIV/0!</v>
      </c>
      <c r="Q226" s="4366">
        <f t="shared" si="1101"/>
        <v>50.836774702669977</v>
      </c>
      <c r="R226" s="4366">
        <f t="shared" si="1101"/>
        <v>50.846217738450441</v>
      </c>
      <c r="S226" s="4366">
        <f t="shared" si="1101"/>
        <v>25.994859046445367</v>
      </c>
      <c r="T226" s="4369">
        <f t="shared" si="1101"/>
        <v>55.211300605060998</v>
      </c>
      <c r="U226" s="4369">
        <f t="shared" si="1101"/>
        <v>55.197290785960561</v>
      </c>
      <c r="V226" s="4369" t="e">
        <f t="shared" si="1101"/>
        <v>#DIV/0!</v>
      </c>
      <c r="W226" s="4369">
        <f t="shared" si="1101"/>
        <v>60.962298496924213</v>
      </c>
      <c r="X226" s="4369">
        <f t="shared" si="1101"/>
        <v>60.944453507283136</v>
      </c>
      <c r="Y226" s="4369" t="e">
        <f t="shared" si="1101"/>
        <v>#DIV/0!</v>
      </c>
      <c r="Z226" s="4369">
        <f t="shared" si="1101"/>
        <v>68.124177644529112</v>
      </c>
      <c r="AA226" s="4369">
        <f t="shared" si="1101"/>
        <v>68.111966752544731</v>
      </c>
      <c r="AB226" s="4369" t="e">
        <f t="shared" si="1101"/>
        <v>#DIV/0!</v>
      </c>
      <c r="AC226" s="4369">
        <f t="shared" si="1101"/>
        <v>61.412281709792239</v>
      </c>
      <c r="AD226" s="4369">
        <f t="shared" si="1101"/>
        <v>61.397567761014358</v>
      </c>
      <c r="AE226" s="4369" t="e">
        <f t="shared" si="1101"/>
        <v>#DIV/0!</v>
      </c>
      <c r="AF226" s="4367">
        <f t="shared" si="1101"/>
        <v>50.836774702669977</v>
      </c>
      <c r="AG226" s="4367">
        <f t="shared" si="1101"/>
        <v>50.846217738450441</v>
      </c>
      <c r="AH226" s="4367">
        <f t="shared" si="1101"/>
        <v>25.994859046445367</v>
      </c>
      <c r="AI226" s="4368">
        <f t="shared" si="1101"/>
        <v>56.560168618505863</v>
      </c>
      <c r="AJ226" s="4368">
        <f t="shared" si="1101"/>
        <v>56.552613854675847</v>
      </c>
      <c r="AK226" s="4368" t="e">
        <f t="shared" si="1101"/>
        <v>#DIV/0!</v>
      </c>
      <c r="AL226" s="4314">
        <f t="shared" si="993"/>
        <v>5.7233939158358851</v>
      </c>
      <c r="AM226" s="4314">
        <f t="shared" si="993"/>
        <v>5.706396116225406</v>
      </c>
      <c r="AN226" s="4314" t="e">
        <f t="shared" si="993"/>
        <v>#DIV/0!</v>
      </c>
      <c r="AO226" s="4366">
        <f t="shared" ref="AO226:BI226" si="1102">SUM(AO224/AO225)</f>
        <v>50.836774702669977</v>
      </c>
      <c r="AP226" s="4366">
        <f t="shared" si="1102"/>
        <v>50.846217738450441</v>
      </c>
      <c r="AQ226" s="4366">
        <f t="shared" si="1102"/>
        <v>25.994859046445367</v>
      </c>
      <c r="AR226" s="4369">
        <f t="shared" si="1102"/>
        <v>50.644047158540047</v>
      </c>
      <c r="AS226" s="4369">
        <f t="shared" si="1102"/>
        <v>50.633705708435137</v>
      </c>
      <c r="AT226" s="4369" t="e">
        <f t="shared" si="1102"/>
        <v>#DIV/0!</v>
      </c>
      <c r="AU226" s="4369" t="e">
        <f t="shared" si="1102"/>
        <v>#DIV/0!</v>
      </c>
      <c r="AV226" s="4369" t="e">
        <f t="shared" si="1102"/>
        <v>#DIV/0!</v>
      </c>
      <c r="AW226" s="4369" t="e">
        <f t="shared" si="1102"/>
        <v>#DIV/0!</v>
      </c>
      <c r="AX226" s="4369" t="e">
        <f t="shared" si="1102"/>
        <v>#DIV/0!</v>
      </c>
      <c r="AY226" s="4369" t="e">
        <f t="shared" si="1102"/>
        <v>#DIV/0!</v>
      </c>
      <c r="AZ226" s="4369" t="e">
        <f t="shared" si="1102"/>
        <v>#DIV/0!</v>
      </c>
      <c r="BA226" s="4369">
        <f t="shared" si="1102"/>
        <v>50.644047158540047</v>
      </c>
      <c r="BB226" s="4369">
        <f t="shared" si="1102"/>
        <v>50.633705708435137</v>
      </c>
      <c r="BC226" s="4369" t="e">
        <f t="shared" si="1102"/>
        <v>#DIV/0!</v>
      </c>
      <c r="BD226" s="4367">
        <f t="shared" si="1102"/>
        <v>50.836774702669992</v>
      </c>
      <c r="BE226" s="4367">
        <f t="shared" si="1102"/>
        <v>50.846217738450463</v>
      </c>
      <c r="BF226" s="4367">
        <f t="shared" si="1102"/>
        <v>25.994859046445367</v>
      </c>
      <c r="BG226" s="4368">
        <f t="shared" si="1102"/>
        <v>55.800376498663205</v>
      </c>
      <c r="BH226" s="4368">
        <f t="shared" si="1102"/>
        <v>55.792463847949612</v>
      </c>
      <c r="BI226" s="4368" t="e">
        <f t="shared" si="1102"/>
        <v>#DIV/0!</v>
      </c>
      <c r="BJ226" s="4314">
        <f t="shared" si="995"/>
        <v>4.9636017959932133</v>
      </c>
      <c r="BK226" s="4314">
        <f t="shared" si="996"/>
        <v>4.9462461094991497</v>
      </c>
      <c r="BL226" s="4314" t="e">
        <f t="shared" si="996"/>
        <v>#DIV/0!</v>
      </c>
      <c r="BM226" s="4366">
        <f t="shared" ref="BM226:CG226" si="1103">SUM(BM224/BM225)</f>
        <v>50.836774702669977</v>
      </c>
      <c r="BN226" s="4366">
        <f t="shared" si="1103"/>
        <v>50.846217738450441</v>
      </c>
      <c r="BO226" s="4366">
        <f t="shared" si="1103"/>
        <v>25.994859046445367</v>
      </c>
      <c r="BP226" s="4369" t="e">
        <f t="shared" si="1103"/>
        <v>#DIV/0!</v>
      </c>
      <c r="BQ226" s="4369" t="e">
        <f t="shared" si="1103"/>
        <v>#DIV/0!</v>
      </c>
      <c r="BR226" s="4369" t="e">
        <f t="shared" si="1103"/>
        <v>#DIV/0!</v>
      </c>
      <c r="BS226" s="4369" t="e">
        <f t="shared" si="1103"/>
        <v>#DIV/0!</v>
      </c>
      <c r="BT226" s="4369" t="e">
        <f t="shared" si="1103"/>
        <v>#DIV/0!</v>
      </c>
      <c r="BU226" s="4369" t="e">
        <f t="shared" si="1103"/>
        <v>#DIV/0!</v>
      </c>
      <c r="BV226" s="4369" t="e">
        <f t="shared" si="1103"/>
        <v>#DIV/0!</v>
      </c>
      <c r="BW226" s="4369" t="e">
        <f t="shared" si="1103"/>
        <v>#DIV/0!</v>
      </c>
      <c r="BX226" s="4369" t="e">
        <f t="shared" si="1103"/>
        <v>#DIV/0!</v>
      </c>
      <c r="BY226" s="4369" t="e">
        <f t="shared" si="1103"/>
        <v>#DIV/0!</v>
      </c>
      <c r="BZ226" s="4369" t="e">
        <f t="shared" si="1103"/>
        <v>#DIV/0!</v>
      </c>
      <c r="CA226" s="4369" t="e">
        <f t="shared" si="1103"/>
        <v>#DIV/0!</v>
      </c>
      <c r="CB226" s="4367">
        <f t="shared" si="1103"/>
        <v>50.836774708176058</v>
      </c>
      <c r="CC226" s="4367">
        <f t="shared" si="1103"/>
        <v>50.846217743958618</v>
      </c>
      <c r="CD226" s="4367">
        <f t="shared" si="1103"/>
        <v>25.994859046445367</v>
      </c>
      <c r="CE226" s="4368">
        <f t="shared" si="1103"/>
        <v>55.800376498663205</v>
      </c>
      <c r="CF226" s="4368">
        <f t="shared" si="1103"/>
        <v>55.792463847949612</v>
      </c>
      <c r="CG226" s="4368" t="e">
        <f t="shared" si="1103"/>
        <v>#DIV/0!</v>
      </c>
      <c r="CH226" s="4314">
        <f t="shared" si="998"/>
        <v>4.9636017904871466</v>
      </c>
      <c r="CI226" s="4314">
        <f t="shared" si="999"/>
        <v>4.946246103990994</v>
      </c>
      <c r="CJ226" s="4314" t="e">
        <f t="shared" si="999"/>
        <v>#DIV/0!</v>
      </c>
      <c r="CK226" s="2746"/>
      <c r="CL226" s="2746"/>
      <c r="CM226" s="2746"/>
      <c r="CN226" s="2746"/>
    </row>
    <row r="227" spans="1:92" ht="18.75" x14ac:dyDescent="0.3">
      <c r="A227" s="4350" t="s">
        <v>3712</v>
      </c>
      <c r="B227" s="5443">
        <f>SUM(B228:B230)</f>
        <v>661.87175000000002</v>
      </c>
      <c r="C227" s="5444"/>
      <c r="D227" s="5445"/>
      <c r="E227" s="5432">
        <f>SUM(E228:E230)</f>
        <v>263.75599999999997</v>
      </c>
      <c r="F227" s="5433"/>
      <c r="G227" s="5434"/>
      <c r="H227" s="5432">
        <f>SUM(H228:H230)</f>
        <v>127.26519</v>
      </c>
      <c r="I227" s="5433"/>
      <c r="J227" s="5434"/>
      <c r="K227" s="5432">
        <f>SUM(K228:K230)</f>
        <v>176.12356999999997</v>
      </c>
      <c r="L227" s="5433"/>
      <c r="M227" s="5434"/>
      <c r="N227" s="5432">
        <f>SUM(N228:N230)</f>
        <v>567.14476000000002</v>
      </c>
      <c r="O227" s="5433"/>
      <c r="P227" s="5434"/>
      <c r="Q227" s="5443">
        <f>SUM(Q228:Q230)</f>
        <v>661.87175000000002</v>
      </c>
      <c r="R227" s="5444"/>
      <c r="S227" s="5445"/>
      <c r="T227" s="5432">
        <f>SUM(T228:T230)</f>
        <v>359.92291999999998</v>
      </c>
      <c r="U227" s="5433"/>
      <c r="V227" s="5434"/>
      <c r="W227" s="5432">
        <f>SUM(W228:W230)</f>
        <v>212.82641000000001</v>
      </c>
      <c r="X227" s="5433"/>
      <c r="Y227" s="5434"/>
      <c r="Z227" s="5432">
        <f>SUM(Z228:Z230)</f>
        <v>249.44036</v>
      </c>
      <c r="AA227" s="5433"/>
      <c r="AB227" s="5434"/>
      <c r="AC227" s="5432">
        <f>SUM(AC228:AC230)</f>
        <v>822.18968999999993</v>
      </c>
      <c r="AD227" s="5433"/>
      <c r="AE227" s="5434"/>
      <c r="AF227" s="5435">
        <f>SUM(B227+Q227)</f>
        <v>1323.7435</v>
      </c>
      <c r="AG227" s="5436"/>
      <c r="AH227" s="5437"/>
      <c r="AI227" s="5475">
        <f>SUM(N227+AC227)</f>
        <v>1389.3344499999998</v>
      </c>
      <c r="AJ227" s="5476"/>
      <c r="AK227" s="5477"/>
      <c r="AL227" s="5475">
        <f>SUM(AI227-AF227)</f>
        <v>65.590949999999793</v>
      </c>
      <c r="AM227" s="5476"/>
      <c r="AN227" s="5477"/>
      <c r="AO227" s="5443">
        <f>SUM(AO228:AO230)</f>
        <v>661.87175000000002</v>
      </c>
      <c r="AP227" s="5444"/>
      <c r="AQ227" s="5445"/>
      <c r="AR227" s="5432">
        <f>SUM(AR228:AR230)</f>
        <v>277.82194000000004</v>
      </c>
      <c r="AS227" s="5433"/>
      <c r="AT227" s="5434"/>
      <c r="AU227" s="5432">
        <f>SUM(AU228:AU230)</f>
        <v>0</v>
      </c>
      <c r="AV227" s="5433"/>
      <c r="AW227" s="5434"/>
      <c r="AX227" s="5432">
        <f>SUM(AX228:AX230)</f>
        <v>0</v>
      </c>
      <c r="AY227" s="5433"/>
      <c r="AZ227" s="5434"/>
      <c r="BA227" s="5432">
        <f>SUM(BA228:BA230)</f>
        <v>277.82194000000004</v>
      </c>
      <c r="BB227" s="5433"/>
      <c r="BC227" s="5434"/>
      <c r="BD227" s="5435">
        <f t="shared" ref="BD227" si="1104">SUM(AF227+AO227)</f>
        <v>1985.6152500000001</v>
      </c>
      <c r="BE227" s="5436"/>
      <c r="BF227" s="5437"/>
      <c r="BG227" s="5475">
        <f>SUM(BA227+AI227)</f>
        <v>1667.1563899999999</v>
      </c>
      <c r="BH227" s="5476"/>
      <c r="BI227" s="5477"/>
      <c r="BJ227" s="5475">
        <f>SUM(BG227-BD227)</f>
        <v>-318.45886000000019</v>
      </c>
      <c r="BK227" s="5476"/>
      <c r="BL227" s="5477"/>
      <c r="BM227" s="5443">
        <f>SUM(BM228:BM230)</f>
        <v>661.87175000000002</v>
      </c>
      <c r="BN227" s="5444"/>
      <c r="BO227" s="5445"/>
      <c r="BP227" s="5432">
        <f>SUM(BP228:BP230)</f>
        <v>0</v>
      </c>
      <c r="BQ227" s="5433"/>
      <c r="BR227" s="5434"/>
      <c r="BS227" s="5432">
        <f>SUM(BS228:BS230)</f>
        <v>0</v>
      </c>
      <c r="BT227" s="5433"/>
      <c r="BU227" s="5434"/>
      <c r="BV227" s="5432">
        <f>SUM(BV228:BV230)</f>
        <v>0</v>
      </c>
      <c r="BW227" s="5433"/>
      <c r="BX227" s="5434"/>
      <c r="BY227" s="5432">
        <f>SUM(BY228:BY230)</f>
        <v>0</v>
      </c>
      <c r="BZ227" s="5433"/>
      <c r="CA227" s="5434"/>
      <c r="CB227" s="5435">
        <f t="shared" ref="CB227:CB231" si="1105">SUM(BM227+BD227)</f>
        <v>2647.4870000000001</v>
      </c>
      <c r="CC227" s="5436"/>
      <c r="CD227" s="5437"/>
      <c r="CE227" s="5475">
        <f>SUM(BY227+BG227)</f>
        <v>1667.1563899999999</v>
      </c>
      <c r="CF227" s="5476"/>
      <c r="CG227" s="5477"/>
      <c r="CH227" s="5475">
        <f>SUM(CE227-CB227)</f>
        <v>-980.33061000000021</v>
      </c>
      <c r="CI227" s="5476"/>
      <c r="CJ227" s="5477"/>
      <c r="CK227" s="2746"/>
      <c r="CL227" s="2746"/>
      <c r="CM227" s="2746"/>
      <c r="CN227" s="2746"/>
    </row>
    <row r="228" spans="1:92" ht="36" customHeight="1" x14ac:dyDescent="0.2">
      <c r="A228" s="4370" t="s">
        <v>3713</v>
      </c>
      <c r="B228" s="5457">
        <f>SUM(B162)</f>
        <v>277.37175000000002</v>
      </c>
      <c r="C228" s="5458"/>
      <c r="D228" s="5459"/>
      <c r="E228" s="5457">
        <f>SUM(E162)</f>
        <v>234.65199999999999</v>
      </c>
      <c r="F228" s="5458"/>
      <c r="G228" s="5459"/>
      <c r="H228" s="5457">
        <f>SUM(H162)</f>
        <v>95.234930000000006</v>
      </c>
      <c r="I228" s="5458"/>
      <c r="J228" s="5459"/>
      <c r="K228" s="5457">
        <f>SUM(K162)</f>
        <v>136.90056999999999</v>
      </c>
      <c r="L228" s="5458"/>
      <c r="M228" s="5459"/>
      <c r="N228" s="5457">
        <f>SUM(E228+H228+K228)</f>
        <v>466.78750000000002</v>
      </c>
      <c r="O228" s="5458"/>
      <c r="P228" s="5459"/>
      <c r="Q228" s="5457">
        <f>SUM(Q162)</f>
        <v>277.37175000000002</v>
      </c>
      <c r="R228" s="5458"/>
      <c r="S228" s="5459"/>
      <c r="T228" s="5457">
        <f>SUM(T162)</f>
        <v>255.91559000000001</v>
      </c>
      <c r="U228" s="5458"/>
      <c r="V228" s="5459"/>
      <c r="W228" s="5457">
        <f>SUM(W162)</f>
        <v>61.244459999999997</v>
      </c>
      <c r="X228" s="5458"/>
      <c r="Y228" s="5459"/>
      <c r="Z228" s="5457">
        <f>SUM(Z162)</f>
        <v>98.544529999999995</v>
      </c>
      <c r="AA228" s="5458"/>
      <c r="AB228" s="5459"/>
      <c r="AC228" s="5457">
        <f>SUM(T228+W228+Z228)</f>
        <v>415.70458000000002</v>
      </c>
      <c r="AD228" s="5458"/>
      <c r="AE228" s="5459"/>
      <c r="AF228" s="5465">
        <f>SUM(B228+Q228)</f>
        <v>554.74350000000004</v>
      </c>
      <c r="AG228" s="5466"/>
      <c r="AH228" s="5467"/>
      <c r="AI228" s="5478">
        <f t="shared" ref="AI228:AI231" si="1106">SUM(N228+AC228)</f>
        <v>882.49207999999999</v>
      </c>
      <c r="AJ228" s="5479"/>
      <c r="AK228" s="5480"/>
      <c r="AL228" s="5478">
        <f t="shared" ref="AL228:AL231" si="1107">SUM(AI228-AF228)</f>
        <v>327.74857999999995</v>
      </c>
      <c r="AM228" s="5479"/>
      <c r="AN228" s="5480"/>
      <c r="AO228" s="5457">
        <f>SUM(AO162)</f>
        <v>277.37175000000002</v>
      </c>
      <c r="AP228" s="5458"/>
      <c r="AQ228" s="5459"/>
      <c r="AR228" s="5457">
        <f>SUM(AR162)</f>
        <v>130.67715000000001</v>
      </c>
      <c r="AS228" s="5458"/>
      <c r="AT228" s="5459"/>
      <c r="AU228" s="5457">
        <f>SUM(AU162)</f>
        <v>0</v>
      </c>
      <c r="AV228" s="5458"/>
      <c r="AW228" s="5459"/>
      <c r="AX228" s="5457">
        <f>SUM(AX162)</f>
        <v>0</v>
      </c>
      <c r="AY228" s="5458"/>
      <c r="AZ228" s="5459"/>
      <c r="BA228" s="5457">
        <f>SUM(AR228+AU228+AX228)</f>
        <v>130.67715000000001</v>
      </c>
      <c r="BB228" s="5458"/>
      <c r="BC228" s="5459"/>
      <c r="BD228" s="5465">
        <f>SUM(AF228+AO228)</f>
        <v>832.11525000000006</v>
      </c>
      <c r="BE228" s="5466"/>
      <c r="BF228" s="5467"/>
      <c r="BG228" s="5478">
        <f t="shared" ref="BG228:BG231" si="1108">SUM(BA228+AI228)</f>
        <v>1013.16923</v>
      </c>
      <c r="BH228" s="5479"/>
      <c r="BI228" s="5480"/>
      <c r="BJ228" s="5478">
        <f>SUM(BG228-BD228)</f>
        <v>181.05397999999991</v>
      </c>
      <c r="BK228" s="5479"/>
      <c r="BL228" s="5480"/>
      <c r="BM228" s="5457">
        <f>SUM(BM162)</f>
        <v>277.37175000000002</v>
      </c>
      <c r="BN228" s="5458"/>
      <c r="BO228" s="5459"/>
      <c r="BP228" s="5457">
        <f>SUM(BP162)</f>
        <v>0</v>
      </c>
      <c r="BQ228" s="5458"/>
      <c r="BR228" s="5459"/>
      <c r="BS228" s="5457">
        <f>SUM(BS162)</f>
        <v>0</v>
      </c>
      <c r="BT228" s="5458"/>
      <c r="BU228" s="5459"/>
      <c r="BV228" s="5457">
        <f>SUM(BV162)</f>
        <v>0</v>
      </c>
      <c r="BW228" s="5458"/>
      <c r="BX228" s="5459"/>
      <c r="BY228" s="5457">
        <f>SUM(BP228+BS228+BV228)</f>
        <v>0</v>
      </c>
      <c r="BZ228" s="5458"/>
      <c r="CA228" s="5459"/>
      <c r="CB228" s="5465">
        <f t="shared" si="1105"/>
        <v>1109.4870000000001</v>
      </c>
      <c r="CC228" s="5466"/>
      <c r="CD228" s="5467"/>
      <c r="CE228" s="5481">
        <f t="shared" ref="CE228:CE231" si="1109">SUM(BY228+BG228)</f>
        <v>1013.16923</v>
      </c>
      <c r="CF228" s="5482"/>
      <c r="CG228" s="5483"/>
      <c r="CH228" s="5481">
        <f>SUM(CE228-CB228)</f>
        <v>-96.31777000000011</v>
      </c>
      <c r="CI228" s="5482"/>
      <c r="CJ228" s="5483"/>
      <c r="CK228" s="2746"/>
      <c r="CL228" s="2746"/>
      <c r="CM228" s="2746"/>
      <c r="CN228" s="2746"/>
    </row>
    <row r="229" spans="1:92" ht="35.25" customHeight="1" x14ac:dyDescent="0.2">
      <c r="A229" s="2685" t="s">
        <v>3714</v>
      </c>
      <c r="B229" s="5457">
        <f>SUM(B163)</f>
        <v>102.5</v>
      </c>
      <c r="C229" s="5458"/>
      <c r="D229" s="5459"/>
      <c r="E229" s="5457">
        <f>SUM(E163)</f>
        <v>0</v>
      </c>
      <c r="F229" s="5458"/>
      <c r="G229" s="5459"/>
      <c r="H229" s="5457">
        <f>SUM(H163)</f>
        <v>0</v>
      </c>
      <c r="I229" s="5458"/>
      <c r="J229" s="5459"/>
      <c r="K229" s="5457">
        <f>SUM(K163)</f>
        <v>0</v>
      </c>
      <c r="L229" s="5458"/>
      <c r="M229" s="5459"/>
      <c r="N229" s="5457">
        <f>SUM(E229+H229+K229)</f>
        <v>0</v>
      </c>
      <c r="O229" s="5458"/>
      <c r="P229" s="5459"/>
      <c r="Q229" s="5457">
        <f>SUM(Q163)</f>
        <v>102.5</v>
      </c>
      <c r="R229" s="5458"/>
      <c r="S229" s="5459"/>
      <c r="T229" s="5457">
        <f>SUM(T163)</f>
        <v>0</v>
      </c>
      <c r="U229" s="5458"/>
      <c r="V229" s="5459"/>
      <c r="W229" s="5457">
        <f>SUM(W163)</f>
        <v>0</v>
      </c>
      <c r="X229" s="5458"/>
      <c r="Y229" s="5459"/>
      <c r="Z229" s="5457">
        <f>SUM(Z163)</f>
        <v>0</v>
      </c>
      <c r="AA229" s="5458"/>
      <c r="AB229" s="5459"/>
      <c r="AC229" s="5457">
        <f>SUM(T229+W229+Z229)</f>
        <v>0</v>
      </c>
      <c r="AD229" s="5458"/>
      <c r="AE229" s="5459"/>
      <c r="AF229" s="5465">
        <f>SUM(B229+Q229)</f>
        <v>205</v>
      </c>
      <c r="AG229" s="5466"/>
      <c r="AH229" s="5467"/>
      <c r="AI229" s="5478">
        <f t="shared" si="1106"/>
        <v>0</v>
      </c>
      <c r="AJ229" s="5479"/>
      <c r="AK229" s="5480"/>
      <c r="AL229" s="5478">
        <f t="shared" si="1107"/>
        <v>-205</v>
      </c>
      <c r="AM229" s="5479"/>
      <c r="AN229" s="5480"/>
      <c r="AO229" s="5457">
        <f>SUM(AO163)</f>
        <v>102.5</v>
      </c>
      <c r="AP229" s="5458"/>
      <c r="AQ229" s="5459"/>
      <c r="AR229" s="5457">
        <f>SUM(AR163)</f>
        <v>0</v>
      </c>
      <c r="AS229" s="5458"/>
      <c r="AT229" s="5459"/>
      <c r="AU229" s="5457">
        <f>SUM(AU163)</f>
        <v>0</v>
      </c>
      <c r="AV229" s="5458"/>
      <c r="AW229" s="5459"/>
      <c r="AX229" s="5457">
        <f>SUM(AX163)</f>
        <v>0</v>
      </c>
      <c r="AY229" s="5458"/>
      <c r="AZ229" s="5459"/>
      <c r="BA229" s="5457">
        <f>SUM(AR229+AU229+AX229)</f>
        <v>0</v>
      </c>
      <c r="BB229" s="5458"/>
      <c r="BC229" s="5459"/>
      <c r="BD229" s="5465">
        <f>SUM(AF229+AO229)</f>
        <v>307.5</v>
      </c>
      <c r="BE229" s="5466"/>
      <c r="BF229" s="5467"/>
      <c r="BG229" s="5478">
        <f t="shared" si="1108"/>
        <v>0</v>
      </c>
      <c r="BH229" s="5479"/>
      <c r="BI229" s="5480"/>
      <c r="BJ229" s="5478">
        <f>SUM(BG229-BD229)</f>
        <v>-307.5</v>
      </c>
      <c r="BK229" s="5479"/>
      <c r="BL229" s="5480"/>
      <c r="BM229" s="5457">
        <f>SUM(BM163)</f>
        <v>102.5</v>
      </c>
      <c r="BN229" s="5458"/>
      <c r="BO229" s="5459"/>
      <c r="BP229" s="5457">
        <f>SUM(BP163)</f>
        <v>0</v>
      </c>
      <c r="BQ229" s="5458"/>
      <c r="BR229" s="5459"/>
      <c r="BS229" s="5457">
        <f>SUM(BS163)</f>
        <v>0</v>
      </c>
      <c r="BT229" s="5458"/>
      <c r="BU229" s="5459"/>
      <c r="BV229" s="5457">
        <f>SUM(BV163)</f>
        <v>0</v>
      </c>
      <c r="BW229" s="5458"/>
      <c r="BX229" s="5459"/>
      <c r="BY229" s="5457">
        <f>SUM(BP229+BS229+BV229)</f>
        <v>0</v>
      </c>
      <c r="BZ229" s="5458"/>
      <c r="CA229" s="5459"/>
      <c r="CB229" s="5465">
        <f t="shared" si="1105"/>
        <v>410</v>
      </c>
      <c r="CC229" s="5466"/>
      <c r="CD229" s="5467"/>
      <c r="CE229" s="5481">
        <f t="shared" si="1109"/>
        <v>0</v>
      </c>
      <c r="CF229" s="5482"/>
      <c r="CG229" s="5483"/>
      <c r="CH229" s="5481">
        <f>SUM(CE229-CB229)</f>
        <v>-410</v>
      </c>
      <c r="CI229" s="5482"/>
      <c r="CJ229" s="5483"/>
      <c r="CK229" s="2746"/>
      <c r="CL229" s="2746"/>
      <c r="CM229" s="2746"/>
      <c r="CN229" s="2746"/>
    </row>
    <row r="230" spans="1:92" ht="35.25" customHeight="1" x14ac:dyDescent="0.2">
      <c r="A230" s="2685" t="s">
        <v>3715</v>
      </c>
      <c r="B230" s="5457">
        <f>SUM(B164)</f>
        <v>282</v>
      </c>
      <c r="C230" s="5458"/>
      <c r="D230" s="5459"/>
      <c r="E230" s="5457">
        <f>SUM(E164)</f>
        <v>29.103999999999999</v>
      </c>
      <c r="F230" s="5458"/>
      <c r="G230" s="5459"/>
      <c r="H230" s="5457">
        <f>SUM(H164)</f>
        <v>32.030259999999998</v>
      </c>
      <c r="I230" s="5458"/>
      <c r="J230" s="5459"/>
      <c r="K230" s="5457">
        <f>SUM(K164)</f>
        <v>39.222999999999999</v>
      </c>
      <c r="L230" s="5458"/>
      <c r="M230" s="5459"/>
      <c r="N230" s="5457">
        <f>SUM(E230+H230+K230)</f>
        <v>100.35726</v>
      </c>
      <c r="O230" s="5458"/>
      <c r="P230" s="5459"/>
      <c r="Q230" s="5457">
        <f>SUM(Q164)</f>
        <v>282</v>
      </c>
      <c r="R230" s="5458"/>
      <c r="S230" s="5459"/>
      <c r="T230" s="5457">
        <f>SUM(T164)</f>
        <v>104.00733</v>
      </c>
      <c r="U230" s="5458"/>
      <c r="V230" s="5459"/>
      <c r="W230" s="5457">
        <f>SUM(W164)</f>
        <v>151.58195000000001</v>
      </c>
      <c r="X230" s="5458"/>
      <c r="Y230" s="5459"/>
      <c r="Z230" s="5457">
        <f>SUM(Z164)</f>
        <v>150.89582999999999</v>
      </c>
      <c r="AA230" s="5458"/>
      <c r="AB230" s="5459"/>
      <c r="AC230" s="5457">
        <f>SUM(T230+W230+Z230)</f>
        <v>406.48510999999996</v>
      </c>
      <c r="AD230" s="5458"/>
      <c r="AE230" s="5459"/>
      <c r="AF230" s="5465">
        <f>SUM(B230+Q230)</f>
        <v>564</v>
      </c>
      <c r="AG230" s="5466"/>
      <c r="AH230" s="5467"/>
      <c r="AI230" s="5478">
        <f t="shared" si="1106"/>
        <v>506.84236999999996</v>
      </c>
      <c r="AJ230" s="5479"/>
      <c r="AK230" s="5480"/>
      <c r="AL230" s="5478">
        <f t="shared" si="1107"/>
        <v>-57.15763000000004</v>
      </c>
      <c r="AM230" s="5479"/>
      <c r="AN230" s="5480"/>
      <c r="AO230" s="5457">
        <f>SUM(AO164)</f>
        <v>282</v>
      </c>
      <c r="AP230" s="5458"/>
      <c r="AQ230" s="5459"/>
      <c r="AR230" s="5457">
        <f>SUM(AR164)</f>
        <v>147.14479</v>
      </c>
      <c r="AS230" s="5458"/>
      <c r="AT230" s="5459"/>
      <c r="AU230" s="5457">
        <f>SUM(AU164)</f>
        <v>0</v>
      </c>
      <c r="AV230" s="5458"/>
      <c r="AW230" s="5459"/>
      <c r="AX230" s="5457">
        <f>SUM(AX164)</f>
        <v>0</v>
      </c>
      <c r="AY230" s="5458"/>
      <c r="AZ230" s="5459"/>
      <c r="BA230" s="5457">
        <f>SUM(AR230+AU230+AX230)</f>
        <v>147.14479</v>
      </c>
      <c r="BB230" s="5458"/>
      <c r="BC230" s="5459"/>
      <c r="BD230" s="5465">
        <f>SUM(AF230+AO230)</f>
        <v>846</v>
      </c>
      <c r="BE230" s="5466"/>
      <c r="BF230" s="5467"/>
      <c r="BG230" s="5478">
        <f t="shared" si="1108"/>
        <v>653.9871599999999</v>
      </c>
      <c r="BH230" s="5479"/>
      <c r="BI230" s="5480"/>
      <c r="BJ230" s="5478">
        <f>SUM(BG230-BD230)</f>
        <v>-192.0128400000001</v>
      </c>
      <c r="BK230" s="5479"/>
      <c r="BL230" s="5480"/>
      <c r="BM230" s="5457">
        <f>SUM(BM164)</f>
        <v>282</v>
      </c>
      <c r="BN230" s="5458"/>
      <c r="BO230" s="5459"/>
      <c r="BP230" s="5457">
        <f>SUM(BP164)</f>
        <v>0</v>
      </c>
      <c r="BQ230" s="5458"/>
      <c r="BR230" s="5459"/>
      <c r="BS230" s="5457">
        <f>SUM(BS164)</f>
        <v>0</v>
      </c>
      <c r="BT230" s="5458"/>
      <c r="BU230" s="5459"/>
      <c r="BV230" s="5457">
        <f>SUM(BV164)</f>
        <v>0</v>
      </c>
      <c r="BW230" s="5458"/>
      <c r="BX230" s="5459"/>
      <c r="BY230" s="5457">
        <f>SUM(BP230+BS230+BV230)</f>
        <v>0</v>
      </c>
      <c r="BZ230" s="5458"/>
      <c r="CA230" s="5459"/>
      <c r="CB230" s="5465">
        <f t="shared" si="1105"/>
        <v>1128</v>
      </c>
      <c r="CC230" s="5466"/>
      <c r="CD230" s="5467"/>
      <c r="CE230" s="5481">
        <f t="shared" si="1109"/>
        <v>653.9871599999999</v>
      </c>
      <c r="CF230" s="5482"/>
      <c r="CG230" s="5483"/>
      <c r="CH230" s="5481">
        <f>SUM(CE230-CB230)</f>
        <v>-474.0128400000001</v>
      </c>
      <c r="CI230" s="5482"/>
      <c r="CJ230" s="5483"/>
      <c r="CK230" s="2746"/>
      <c r="CL230" s="2746"/>
      <c r="CM230" s="2746"/>
      <c r="CN230" s="2746"/>
    </row>
    <row r="231" spans="1:92" ht="18.75" x14ac:dyDescent="0.3">
      <c r="A231" s="4350" t="s">
        <v>3716</v>
      </c>
      <c r="B231" s="5443">
        <f>SUM(B224+B227)</f>
        <v>45848.699071488641</v>
      </c>
      <c r="C231" s="5444"/>
      <c r="D231" s="5445"/>
      <c r="E231" s="5432">
        <f>SUM(E224+E227)</f>
        <v>17481.704000000002</v>
      </c>
      <c r="F231" s="5433"/>
      <c r="G231" s="5434"/>
      <c r="H231" s="5432">
        <f t="shared" ref="H231" si="1110">SUM(H224+H227)</f>
        <v>14189.01647</v>
      </c>
      <c r="I231" s="5433"/>
      <c r="J231" s="5434"/>
      <c r="K231" s="5432">
        <f t="shared" ref="K231" si="1111">SUM(K224+K227)</f>
        <v>15277.086370000003</v>
      </c>
      <c r="L231" s="5433"/>
      <c r="M231" s="5434"/>
      <c r="N231" s="5432">
        <f t="shared" ref="N231" si="1112">SUM(N224+N227)</f>
        <v>46947.806839999997</v>
      </c>
      <c r="O231" s="5433"/>
      <c r="P231" s="5434"/>
      <c r="Q231" s="5443">
        <f>SUM(Q224+Q227)</f>
        <v>45848.699071488641</v>
      </c>
      <c r="R231" s="5444"/>
      <c r="S231" s="5445"/>
      <c r="T231" s="5432">
        <f>SUM(T224+T227)</f>
        <v>16046.75547</v>
      </c>
      <c r="U231" s="5433"/>
      <c r="V231" s="5434"/>
      <c r="W231" s="5432">
        <f t="shared" ref="W231" si="1113">SUM(W224+W227)</f>
        <v>17845.921000000002</v>
      </c>
      <c r="X231" s="5433"/>
      <c r="Y231" s="5434"/>
      <c r="Z231" s="5432">
        <f t="shared" ref="Z231" si="1114">SUM(Z224+Z227)</f>
        <v>19452.806679999998</v>
      </c>
      <c r="AA231" s="5433"/>
      <c r="AB231" s="5434"/>
      <c r="AC231" s="5432">
        <f t="shared" ref="AC231" si="1115">SUM(AC224+AC227)</f>
        <v>53345.483150000007</v>
      </c>
      <c r="AD231" s="5433"/>
      <c r="AE231" s="5434"/>
      <c r="AF231" s="5435">
        <f>SUM(B231+Q231)</f>
        <v>91697.398142977283</v>
      </c>
      <c r="AG231" s="5436"/>
      <c r="AH231" s="5437"/>
      <c r="AI231" s="5475">
        <f t="shared" si="1106"/>
        <v>100293.28999</v>
      </c>
      <c r="AJ231" s="5476"/>
      <c r="AK231" s="5477"/>
      <c r="AL231" s="5475">
        <f t="shared" si="1107"/>
        <v>8595.8918470227218</v>
      </c>
      <c r="AM231" s="5476"/>
      <c r="AN231" s="5477"/>
      <c r="AO231" s="5443">
        <f>SUM(AO224+AO227)</f>
        <v>45848.699071488641</v>
      </c>
      <c r="AP231" s="5444"/>
      <c r="AQ231" s="5445"/>
      <c r="AR231" s="5432">
        <f>SUM(AR224+AR227)</f>
        <v>13327.070590000001</v>
      </c>
      <c r="AS231" s="5433"/>
      <c r="AT231" s="5434"/>
      <c r="AU231" s="5432">
        <f t="shared" ref="AU231" si="1116">SUM(AU224+AU227)</f>
        <v>0</v>
      </c>
      <c r="AV231" s="5433"/>
      <c r="AW231" s="5434"/>
      <c r="AX231" s="5432">
        <f t="shared" ref="AX231" si="1117">SUM(AX224+AX227)</f>
        <v>0</v>
      </c>
      <c r="AY231" s="5433"/>
      <c r="AZ231" s="5434"/>
      <c r="BA231" s="5432">
        <f t="shared" ref="BA231" si="1118">SUM(BA224+BA227)</f>
        <v>13327.070590000001</v>
      </c>
      <c r="BB231" s="5433"/>
      <c r="BC231" s="5434"/>
      <c r="BD231" s="5435">
        <f t="shared" ref="BD231" si="1119">SUM(AF231+AO231)</f>
        <v>137546.09721446593</v>
      </c>
      <c r="BE231" s="5436"/>
      <c r="BF231" s="5437"/>
      <c r="BG231" s="5475">
        <f t="shared" si="1108"/>
        <v>113620.36058000001</v>
      </c>
      <c r="BH231" s="5476"/>
      <c r="BI231" s="5477"/>
      <c r="BJ231" s="5475">
        <f>SUM(BG231-BD231)</f>
        <v>-23925.736634465924</v>
      </c>
      <c r="BK231" s="5476"/>
      <c r="BL231" s="5477"/>
      <c r="BM231" s="5443">
        <f>SUM(BM224+BM227)</f>
        <v>45848.699071488641</v>
      </c>
      <c r="BN231" s="5444"/>
      <c r="BO231" s="5445"/>
      <c r="BP231" s="5432">
        <f>SUM(BP224+BP227)</f>
        <v>0</v>
      </c>
      <c r="BQ231" s="5433"/>
      <c r="BR231" s="5434"/>
      <c r="BS231" s="5432">
        <f t="shared" ref="BS231" si="1120">SUM(BS224+BS227)</f>
        <v>0</v>
      </c>
      <c r="BT231" s="5433"/>
      <c r="BU231" s="5434"/>
      <c r="BV231" s="5432">
        <f t="shared" ref="BV231" si="1121">SUM(BV224+BV227)</f>
        <v>0</v>
      </c>
      <c r="BW231" s="5433"/>
      <c r="BX231" s="5434"/>
      <c r="BY231" s="5432">
        <f t="shared" ref="BY231" si="1122">SUM(BY224+BY227)</f>
        <v>0</v>
      </c>
      <c r="BZ231" s="5433"/>
      <c r="CA231" s="5434"/>
      <c r="CB231" s="5435">
        <f t="shared" si="1105"/>
        <v>183394.79628595457</v>
      </c>
      <c r="CC231" s="5436"/>
      <c r="CD231" s="5437"/>
      <c r="CE231" s="5475">
        <f t="shared" si="1109"/>
        <v>113620.36058000001</v>
      </c>
      <c r="CF231" s="5476"/>
      <c r="CG231" s="5477"/>
      <c r="CH231" s="5475">
        <f>SUM(CE231-CB231)</f>
        <v>-69774.435705954558</v>
      </c>
      <c r="CI231" s="5476"/>
      <c r="CJ231" s="5477"/>
      <c r="CK231" s="2746"/>
      <c r="CL231" s="2746"/>
      <c r="CM231" s="2746"/>
      <c r="CN231" s="2746"/>
    </row>
    <row r="232" spans="1:92" ht="18.75" x14ac:dyDescent="0.3">
      <c r="A232" s="2787"/>
      <c r="B232" s="2787"/>
      <c r="C232" s="2787"/>
      <c r="D232" s="2787"/>
      <c r="E232" s="2787"/>
      <c r="F232" s="2787"/>
      <c r="G232" s="2787"/>
      <c r="H232" s="2787"/>
      <c r="I232" s="2787"/>
      <c r="J232" s="2787"/>
      <c r="K232" s="2787"/>
      <c r="L232" s="2787"/>
      <c r="M232" s="2787"/>
      <c r="N232" s="2790"/>
      <c r="O232" s="2790"/>
      <c r="P232" s="2790"/>
      <c r="Q232" s="2790"/>
      <c r="R232" s="2790"/>
      <c r="S232" s="2790"/>
      <c r="T232" s="2790"/>
      <c r="U232" s="2790"/>
      <c r="V232" s="2790"/>
      <c r="W232" s="2790"/>
      <c r="X232" s="2790"/>
      <c r="Y232" s="2790"/>
      <c r="Z232" s="2790"/>
      <c r="AA232" s="2790"/>
      <c r="AB232" s="2790"/>
      <c r="AC232" s="2790"/>
      <c r="AD232" s="2790"/>
      <c r="AE232" s="2790"/>
      <c r="AF232" s="2790"/>
      <c r="AG232" s="2790"/>
      <c r="AH232" s="2790"/>
      <c r="AI232" s="2790"/>
      <c r="AJ232" s="2790"/>
      <c r="AK232" s="2790"/>
      <c r="AL232" s="2790"/>
      <c r="AM232" s="2790"/>
      <c r="AN232" s="2790"/>
      <c r="AO232" s="2790"/>
      <c r="AP232" s="2790"/>
      <c r="AQ232" s="2790"/>
      <c r="AR232" s="2790"/>
      <c r="AS232" s="2790"/>
      <c r="AT232" s="2790"/>
      <c r="AU232" s="2790"/>
      <c r="AV232" s="2790"/>
      <c r="AW232" s="2790"/>
      <c r="AX232" s="2790"/>
      <c r="AY232" s="2790"/>
      <c r="AZ232" s="2790"/>
      <c r="BA232" s="2790"/>
      <c r="BB232" s="2790"/>
      <c r="BC232" s="2790"/>
      <c r="BD232" s="2790"/>
      <c r="BE232" s="2790"/>
      <c r="BF232" s="2790"/>
      <c r="BG232" s="2790"/>
      <c r="BH232" s="2790"/>
      <c r="BI232" s="2790"/>
      <c r="BJ232" s="2790"/>
      <c r="BK232" s="2790"/>
      <c r="BL232" s="2790"/>
      <c r="BM232" s="2790"/>
      <c r="BN232" s="2790"/>
      <c r="BO232" s="2790"/>
      <c r="BP232" s="2790"/>
      <c r="BQ232" s="2790"/>
      <c r="BR232" s="2790"/>
      <c r="BS232" s="2790"/>
      <c r="BT232" s="2790"/>
      <c r="BU232" s="2790"/>
      <c r="BV232" s="2790"/>
      <c r="BW232" s="2790"/>
      <c r="BX232" s="2790"/>
      <c r="BY232" s="2790"/>
      <c r="BZ232" s="2790"/>
      <c r="CA232" s="2790"/>
      <c r="CB232" s="2790"/>
      <c r="CC232" s="2790"/>
      <c r="CD232" s="2790"/>
      <c r="CE232" s="2790"/>
      <c r="CF232" s="2790"/>
      <c r="CG232" s="2790"/>
      <c r="CH232" s="2790"/>
      <c r="CI232" s="2746"/>
      <c r="CJ232" s="2746"/>
      <c r="CK232" s="2746"/>
      <c r="CL232" s="2746"/>
      <c r="CM232" s="2746"/>
      <c r="CN232" s="2746"/>
    </row>
    <row r="233" spans="1:92" ht="20.25" x14ac:dyDescent="0.3">
      <c r="A233" s="2741" t="s">
        <v>4233</v>
      </c>
      <c r="B233" s="2746"/>
      <c r="C233" s="2746"/>
      <c r="D233" s="2746"/>
      <c r="E233" s="2746"/>
      <c r="F233" s="2746"/>
      <c r="G233" s="2746"/>
      <c r="H233" s="2746"/>
      <c r="I233" s="2746"/>
      <c r="J233" s="2746"/>
      <c r="K233" s="2746"/>
      <c r="L233" s="2746"/>
      <c r="M233" s="2746"/>
      <c r="N233" s="2746"/>
      <c r="O233" s="2746"/>
      <c r="P233" s="2746"/>
      <c r="Q233" s="2746"/>
      <c r="R233" s="2746"/>
      <c r="S233" s="2746"/>
      <c r="T233" s="2746"/>
      <c r="U233" s="2746"/>
      <c r="V233" s="2746"/>
      <c r="W233" s="2746"/>
      <c r="X233" s="2746"/>
      <c r="Y233" s="2746"/>
      <c r="Z233" s="2746"/>
      <c r="AA233" s="2746"/>
      <c r="AB233" s="2746"/>
      <c r="AC233" s="2746"/>
      <c r="AD233" s="2746"/>
      <c r="AE233" s="2746"/>
      <c r="AF233" s="2746"/>
      <c r="AG233" s="2746"/>
      <c r="AH233" s="2746"/>
      <c r="AI233" s="2746"/>
      <c r="AJ233" s="2746"/>
      <c r="AK233" s="2746"/>
      <c r="AL233" s="2746"/>
      <c r="AM233" s="2746"/>
      <c r="AN233" s="2746"/>
      <c r="AO233" s="2746"/>
      <c r="AP233" s="2746"/>
      <c r="AQ233" s="2746"/>
      <c r="AR233" s="2746"/>
      <c r="AS233" s="2746"/>
      <c r="AT233" s="2746"/>
      <c r="AU233" s="2746"/>
      <c r="AV233" s="2746"/>
      <c r="AW233" s="2746"/>
      <c r="AX233" s="2746"/>
      <c r="AY233" s="2746"/>
      <c r="AZ233" s="2746"/>
      <c r="BA233" s="2746"/>
      <c r="BB233" s="2746"/>
      <c r="BC233" s="2746"/>
      <c r="BD233" s="2746"/>
      <c r="BE233" s="2746"/>
      <c r="BF233" s="2746"/>
      <c r="BG233" s="2746"/>
      <c r="BH233" s="2746"/>
      <c r="BI233" s="2746"/>
      <c r="BJ233" s="2746"/>
      <c r="BK233" s="2746"/>
      <c r="BL233" s="2746"/>
      <c r="BM233" s="2746"/>
      <c r="BN233" s="2746"/>
      <c r="BO233" s="2746"/>
      <c r="BP233" s="2746"/>
      <c r="BQ233" s="2746"/>
      <c r="BR233" s="2746"/>
      <c r="BS233" s="2746"/>
      <c r="BT233" s="2746"/>
      <c r="BU233" s="2746"/>
      <c r="BV233" s="2746"/>
      <c r="BW233" s="2746"/>
      <c r="BX233" s="2746"/>
      <c r="BY233" s="2746"/>
      <c r="BZ233" s="2746"/>
      <c r="CA233" s="2746"/>
      <c r="CB233" s="2746"/>
      <c r="CC233" s="2746"/>
      <c r="CD233" s="2746"/>
      <c r="CE233" s="2746"/>
      <c r="CF233" s="2746"/>
      <c r="CG233" s="2746"/>
      <c r="CH233" s="2746"/>
      <c r="CI233" s="2746"/>
      <c r="CJ233" s="2746"/>
      <c r="CK233" s="2746"/>
      <c r="CL233" s="2746"/>
      <c r="CM233" s="2746"/>
      <c r="CN233" s="2746"/>
    </row>
    <row r="234" spans="1:92" ht="20.25" x14ac:dyDescent="0.3">
      <c r="A234" s="2747"/>
      <c r="B234" s="2746"/>
      <c r="C234" s="2746"/>
      <c r="D234" s="2746"/>
      <c r="E234" s="2746"/>
      <c r="F234" s="2746"/>
      <c r="G234" s="2746"/>
      <c r="H234" s="2746"/>
      <c r="I234" s="2746"/>
      <c r="J234" s="2746"/>
      <c r="K234" s="2746"/>
      <c r="L234" s="2746"/>
      <c r="M234" s="2746"/>
      <c r="N234" s="2746"/>
      <c r="O234" s="2746"/>
      <c r="P234" s="2746"/>
      <c r="Q234" s="2746"/>
      <c r="R234" s="2746"/>
      <c r="S234" s="2746"/>
      <c r="T234" s="2746"/>
      <c r="U234" s="2746"/>
      <c r="V234" s="2746"/>
      <c r="W234" s="2746"/>
      <c r="X234" s="2746"/>
      <c r="Y234" s="2746"/>
      <c r="Z234" s="2746"/>
      <c r="AA234" s="2746"/>
      <c r="AB234" s="2746"/>
      <c r="AC234" s="2746"/>
      <c r="AD234" s="2746"/>
      <c r="AE234" s="2746"/>
      <c r="AF234" s="2746"/>
      <c r="AG234" s="2746"/>
      <c r="AH234" s="2746"/>
      <c r="AI234" s="2746"/>
      <c r="AJ234" s="2746"/>
      <c r="AK234" s="2746"/>
      <c r="AL234" s="2746"/>
      <c r="AM234" s="2746"/>
      <c r="AN234" s="2746"/>
      <c r="AO234" s="2746"/>
      <c r="AP234" s="2746"/>
      <c r="AQ234" s="2746"/>
      <c r="AR234" s="2746"/>
      <c r="AS234" s="2746"/>
      <c r="AT234" s="2746"/>
      <c r="AU234" s="2746"/>
      <c r="AV234" s="2746"/>
      <c r="AW234" s="2746"/>
      <c r="AX234" s="2746"/>
      <c r="AY234" s="2746"/>
      <c r="AZ234" s="2746"/>
      <c r="BA234" s="2746"/>
      <c r="BB234" s="2746"/>
      <c r="BC234" s="2746"/>
      <c r="BD234" s="2746"/>
      <c r="BE234" s="2746"/>
      <c r="BF234" s="2746"/>
      <c r="BG234" s="2746"/>
      <c r="BH234" s="2746"/>
      <c r="BI234" s="2746"/>
      <c r="BJ234" s="2746"/>
      <c r="BK234" s="2746"/>
      <c r="BL234" s="2746"/>
      <c r="BM234" s="2746"/>
      <c r="BN234" s="2746"/>
      <c r="BO234" s="2746"/>
      <c r="BP234" s="2746"/>
      <c r="BQ234" s="2746"/>
      <c r="BR234" s="2746"/>
      <c r="BS234" s="2746"/>
      <c r="BT234" s="2746"/>
      <c r="BU234" s="2746"/>
      <c r="BV234" s="2746"/>
      <c r="BW234" s="2746"/>
      <c r="BX234" s="2746"/>
      <c r="BY234" s="2746"/>
      <c r="BZ234" s="2746"/>
      <c r="CA234" s="2746"/>
      <c r="CB234" s="2746"/>
      <c r="CC234" s="2746"/>
      <c r="CD234" s="2746"/>
      <c r="CE234" s="2746"/>
      <c r="CF234" s="2746"/>
      <c r="CG234" s="2746"/>
      <c r="CH234" s="2746"/>
      <c r="CI234" s="2746"/>
      <c r="CJ234" s="2746"/>
      <c r="CK234" s="2746"/>
      <c r="CL234" s="2746"/>
      <c r="CM234" s="2746"/>
      <c r="CN234" s="2746"/>
    </row>
    <row r="235" spans="1:92" ht="18.75" customHeight="1" x14ac:dyDescent="0.2">
      <c r="A235" s="5401" t="s">
        <v>525</v>
      </c>
      <c r="B235" s="5402" t="s">
        <v>3678</v>
      </c>
      <c r="C235" s="5403"/>
      <c r="D235" s="5403"/>
      <c r="E235" s="5403"/>
      <c r="F235" s="5403"/>
      <c r="G235" s="5403"/>
      <c r="H235" s="5403"/>
      <c r="I235" s="5403"/>
      <c r="J235" s="5403"/>
      <c r="K235" s="5403"/>
      <c r="L235" s="5403"/>
      <c r="M235" s="5403"/>
      <c r="N235" s="5403"/>
      <c r="O235" s="5403"/>
      <c r="P235" s="5404"/>
      <c r="Q235" s="5405" t="s">
        <v>3679</v>
      </c>
      <c r="R235" s="5406"/>
      <c r="S235" s="5406"/>
      <c r="T235" s="5406"/>
      <c r="U235" s="5406"/>
      <c r="V235" s="5406"/>
      <c r="W235" s="5406"/>
      <c r="X235" s="5406"/>
      <c r="Y235" s="5406"/>
      <c r="Z235" s="5406"/>
      <c r="AA235" s="5406"/>
      <c r="AB235" s="5406"/>
      <c r="AC235" s="5406"/>
      <c r="AD235" s="5407"/>
      <c r="AE235" s="5408"/>
      <c r="AF235" s="5409" t="s">
        <v>3680</v>
      </c>
      <c r="AG235" s="5410"/>
      <c r="AH235" s="5410"/>
      <c r="AI235" s="5410"/>
      <c r="AJ235" s="5410"/>
      <c r="AK235" s="5410"/>
      <c r="AL235" s="5410"/>
      <c r="AM235" s="5411"/>
      <c r="AN235" s="5412"/>
      <c r="AO235" s="5402" t="s">
        <v>3681</v>
      </c>
      <c r="AP235" s="5403"/>
      <c r="AQ235" s="5403"/>
      <c r="AR235" s="5403"/>
      <c r="AS235" s="5403"/>
      <c r="AT235" s="5403"/>
      <c r="AU235" s="5403"/>
      <c r="AV235" s="5403"/>
      <c r="AW235" s="5403"/>
      <c r="AX235" s="5403"/>
      <c r="AY235" s="5403"/>
      <c r="AZ235" s="5403"/>
      <c r="BA235" s="5403"/>
      <c r="BB235" s="5411"/>
      <c r="BC235" s="5412"/>
      <c r="BD235" s="5409" t="s">
        <v>3682</v>
      </c>
      <c r="BE235" s="5410"/>
      <c r="BF235" s="5410"/>
      <c r="BG235" s="5410"/>
      <c r="BH235" s="5410"/>
      <c r="BI235" s="5410"/>
      <c r="BJ235" s="5410"/>
      <c r="BK235" s="5411"/>
      <c r="BL235" s="5412"/>
      <c r="BM235" s="5414" t="s">
        <v>3683</v>
      </c>
      <c r="BN235" s="5415"/>
      <c r="BO235" s="5415"/>
      <c r="BP235" s="5415"/>
      <c r="BQ235" s="5415"/>
      <c r="BR235" s="5415"/>
      <c r="BS235" s="5415"/>
      <c r="BT235" s="5415"/>
      <c r="BU235" s="5415"/>
      <c r="BV235" s="5415"/>
      <c r="BW235" s="5415"/>
      <c r="BX235" s="5415"/>
      <c r="BY235" s="5415"/>
      <c r="BZ235" s="5214"/>
      <c r="CA235" s="5214"/>
      <c r="CB235" s="5409" t="s">
        <v>1991</v>
      </c>
      <c r="CC235" s="5410"/>
      <c r="CD235" s="5410"/>
      <c r="CE235" s="5410"/>
      <c r="CF235" s="5410"/>
      <c r="CG235" s="5410"/>
      <c r="CH235" s="5410"/>
      <c r="CI235" s="5416"/>
      <c r="CJ235" s="5417"/>
      <c r="CK235" s="2746"/>
      <c r="CL235" s="2746"/>
      <c r="CM235" s="2746"/>
      <c r="CN235" s="2746"/>
    </row>
    <row r="236" spans="1:92" ht="18.75" customHeight="1" x14ac:dyDescent="0.2">
      <c r="A236" s="5324"/>
      <c r="B236" s="5405" t="s">
        <v>3550</v>
      </c>
      <c r="C236" s="5406"/>
      <c r="D236" s="5418"/>
      <c r="E236" s="5414" t="s">
        <v>569</v>
      </c>
      <c r="F236" s="5415"/>
      <c r="G236" s="5419"/>
      <c r="H236" s="5414" t="s">
        <v>570</v>
      </c>
      <c r="I236" s="5415"/>
      <c r="J236" s="5419"/>
      <c r="K236" s="5414" t="s">
        <v>571</v>
      </c>
      <c r="L236" s="5415"/>
      <c r="M236" s="5419"/>
      <c r="N236" s="5405" t="s">
        <v>1674</v>
      </c>
      <c r="O236" s="5406"/>
      <c r="P236" s="5418"/>
      <c r="Q236" s="5405" t="s">
        <v>3550</v>
      </c>
      <c r="R236" s="5406"/>
      <c r="S236" s="5418"/>
      <c r="T236" s="5420" t="s">
        <v>3684</v>
      </c>
      <c r="U236" s="5421"/>
      <c r="V236" s="5422"/>
      <c r="W236" s="5420" t="s">
        <v>573</v>
      </c>
      <c r="X236" s="5421"/>
      <c r="Y236" s="5422"/>
      <c r="Z236" s="5420" t="s">
        <v>574</v>
      </c>
      <c r="AA236" s="5421"/>
      <c r="AB236" s="5422"/>
      <c r="AC236" s="5405" t="s">
        <v>1674</v>
      </c>
      <c r="AD236" s="5406"/>
      <c r="AE236" s="5418"/>
      <c r="AF236" s="5429" t="s">
        <v>3550</v>
      </c>
      <c r="AG236" s="5430"/>
      <c r="AH236" s="5431"/>
      <c r="AI236" s="5429" t="s">
        <v>1674</v>
      </c>
      <c r="AJ236" s="5430"/>
      <c r="AK236" s="5431"/>
      <c r="AL236" s="5429" t="s">
        <v>3685</v>
      </c>
      <c r="AM236" s="5430"/>
      <c r="AN236" s="5431"/>
      <c r="AO236" s="5423" t="s">
        <v>3550</v>
      </c>
      <c r="AP236" s="5424"/>
      <c r="AQ236" s="5425"/>
      <c r="AR236" s="5450" t="s">
        <v>575</v>
      </c>
      <c r="AS236" s="5451"/>
      <c r="AT236" s="5452"/>
      <c r="AU236" s="5450" t="s">
        <v>576</v>
      </c>
      <c r="AV236" s="5451"/>
      <c r="AW236" s="5452"/>
      <c r="AX236" s="5450" t="s">
        <v>577</v>
      </c>
      <c r="AY236" s="5451"/>
      <c r="AZ236" s="5452"/>
      <c r="BA236" s="5423" t="s">
        <v>1674</v>
      </c>
      <c r="BB236" s="5424"/>
      <c r="BC236" s="5425"/>
      <c r="BD236" s="5426" t="s">
        <v>3550</v>
      </c>
      <c r="BE236" s="5427"/>
      <c r="BF236" s="5428"/>
      <c r="BG236" s="5426" t="s">
        <v>1674</v>
      </c>
      <c r="BH236" s="5427"/>
      <c r="BI236" s="5428"/>
      <c r="BJ236" s="5426" t="s">
        <v>3685</v>
      </c>
      <c r="BK236" s="5427"/>
      <c r="BL236" s="5428"/>
      <c r="BM236" s="5441" t="s">
        <v>3550</v>
      </c>
      <c r="BN236" s="5442"/>
      <c r="BO236" s="5446"/>
      <c r="BP236" s="5447" t="s">
        <v>578</v>
      </c>
      <c r="BQ236" s="5448"/>
      <c r="BR236" s="5449"/>
      <c r="BS236" s="5447" t="s">
        <v>579</v>
      </c>
      <c r="BT236" s="5448"/>
      <c r="BU236" s="5449"/>
      <c r="BV236" s="5447" t="s">
        <v>580</v>
      </c>
      <c r="BW236" s="5448"/>
      <c r="BX236" s="5449"/>
      <c r="BY236" s="5441" t="s">
        <v>1674</v>
      </c>
      <c r="BZ236" s="5442"/>
      <c r="CA236" s="5442"/>
      <c r="CB236" s="5318" t="s">
        <v>3550</v>
      </c>
      <c r="CC236" s="5319"/>
      <c r="CD236" s="5320"/>
      <c r="CE236" s="5318" t="s">
        <v>1674</v>
      </c>
      <c r="CF236" s="5319"/>
      <c r="CG236" s="5320"/>
      <c r="CH236" s="5318" t="s">
        <v>3685</v>
      </c>
      <c r="CI236" s="5321"/>
      <c r="CJ236" s="5322"/>
      <c r="CK236" s="2746"/>
      <c r="CL236" s="2746"/>
      <c r="CM236" s="2746"/>
      <c r="CN236" s="2746"/>
    </row>
    <row r="237" spans="1:92" ht="18.75" customHeight="1" x14ac:dyDescent="0.2">
      <c r="A237" s="5324"/>
      <c r="B237" s="4308" t="s">
        <v>614</v>
      </c>
      <c r="C237" s="4308" t="s">
        <v>3686</v>
      </c>
      <c r="D237" s="4308" t="s">
        <v>3626</v>
      </c>
      <c r="E237" s="4308" t="s">
        <v>614</v>
      </c>
      <c r="F237" s="4308" t="s">
        <v>3686</v>
      </c>
      <c r="G237" s="4308" t="s">
        <v>3626</v>
      </c>
      <c r="H237" s="4308" t="s">
        <v>614</v>
      </c>
      <c r="I237" s="4308" t="s">
        <v>3686</v>
      </c>
      <c r="J237" s="4308" t="s">
        <v>3626</v>
      </c>
      <c r="K237" s="4308" t="s">
        <v>614</v>
      </c>
      <c r="L237" s="4308" t="s">
        <v>3686</v>
      </c>
      <c r="M237" s="4308" t="s">
        <v>3626</v>
      </c>
      <c r="N237" s="4308" t="s">
        <v>614</v>
      </c>
      <c r="O237" s="4308" t="s">
        <v>3686</v>
      </c>
      <c r="P237" s="4308" t="s">
        <v>3626</v>
      </c>
      <c r="Q237" s="4308" t="s">
        <v>614</v>
      </c>
      <c r="R237" s="4308" t="s">
        <v>3686</v>
      </c>
      <c r="S237" s="4308" t="s">
        <v>3626</v>
      </c>
      <c r="T237" s="4308" t="s">
        <v>614</v>
      </c>
      <c r="U237" s="4308" t="s">
        <v>3686</v>
      </c>
      <c r="V237" s="4308" t="s">
        <v>3626</v>
      </c>
      <c r="W237" s="4308" t="s">
        <v>614</v>
      </c>
      <c r="X237" s="4308" t="s">
        <v>3686</v>
      </c>
      <c r="Y237" s="4308" t="s">
        <v>3626</v>
      </c>
      <c r="Z237" s="4308" t="s">
        <v>614</v>
      </c>
      <c r="AA237" s="4308" t="s">
        <v>3686</v>
      </c>
      <c r="AB237" s="4308" t="s">
        <v>3626</v>
      </c>
      <c r="AC237" s="4308" t="s">
        <v>614</v>
      </c>
      <c r="AD237" s="4308" t="s">
        <v>3686</v>
      </c>
      <c r="AE237" s="4308" t="s">
        <v>3626</v>
      </c>
      <c r="AF237" s="4309" t="s">
        <v>614</v>
      </c>
      <c r="AG237" s="4309" t="s">
        <v>3686</v>
      </c>
      <c r="AH237" s="4309" t="s">
        <v>3626</v>
      </c>
      <c r="AI237" s="4309" t="s">
        <v>614</v>
      </c>
      <c r="AJ237" s="4309" t="s">
        <v>3686</v>
      </c>
      <c r="AK237" s="4309" t="s">
        <v>3626</v>
      </c>
      <c r="AL237" s="4309" t="s">
        <v>614</v>
      </c>
      <c r="AM237" s="4309" t="s">
        <v>3686</v>
      </c>
      <c r="AN237" s="4309" t="s">
        <v>3626</v>
      </c>
      <c r="AO237" s="4308" t="s">
        <v>614</v>
      </c>
      <c r="AP237" s="4308" t="s">
        <v>3686</v>
      </c>
      <c r="AQ237" s="4308" t="s">
        <v>3626</v>
      </c>
      <c r="AR237" s="4308" t="s">
        <v>614</v>
      </c>
      <c r="AS237" s="4308" t="s">
        <v>3686</v>
      </c>
      <c r="AT237" s="4308" t="s">
        <v>3626</v>
      </c>
      <c r="AU237" s="4308" t="s">
        <v>614</v>
      </c>
      <c r="AV237" s="4308" t="s">
        <v>3686</v>
      </c>
      <c r="AW237" s="4308" t="s">
        <v>3626</v>
      </c>
      <c r="AX237" s="4308" t="s">
        <v>614</v>
      </c>
      <c r="AY237" s="4308" t="s">
        <v>3686</v>
      </c>
      <c r="AZ237" s="4308" t="s">
        <v>3626</v>
      </c>
      <c r="BA237" s="4308" t="s">
        <v>614</v>
      </c>
      <c r="BB237" s="4308" t="s">
        <v>3686</v>
      </c>
      <c r="BC237" s="4308" t="s">
        <v>3626</v>
      </c>
      <c r="BD237" s="4309" t="s">
        <v>614</v>
      </c>
      <c r="BE237" s="4309" t="s">
        <v>3686</v>
      </c>
      <c r="BF237" s="4309" t="s">
        <v>3626</v>
      </c>
      <c r="BG237" s="4309" t="s">
        <v>614</v>
      </c>
      <c r="BH237" s="4309" t="s">
        <v>3686</v>
      </c>
      <c r="BI237" s="4309" t="s">
        <v>3626</v>
      </c>
      <c r="BJ237" s="4309" t="s">
        <v>614</v>
      </c>
      <c r="BK237" s="4309" t="s">
        <v>3686</v>
      </c>
      <c r="BL237" s="4309" t="s">
        <v>3626</v>
      </c>
      <c r="BM237" s="4308" t="s">
        <v>614</v>
      </c>
      <c r="BN237" s="4308" t="s">
        <v>3686</v>
      </c>
      <c r="BO237" s="4308" t="s">
        <v>3626</v>
      </c>
      <c r="BP237" s="4308" t="s">
        <v>614</v>
      </c>
      <c r="BQ237" s="4308" t="s">
        <v>3686</v>
      </c>
      <c r="BR237" s="4308" t="s">
        <v>3626</v>
      </c>
      <c r="BS237" s="4308" t="s">
        <v>614</v>
      </c>
      <c r="BT237" s="4308" t="s">
        <v>3686</v>
      </c>
      <c r="BU237" s="4308" t="s">
        <v>3626</v>
      </c>
      <c r="BV237" s="4308" t="s">
        <v>614</v>
      </c>
      <c r="BW237" s="4308" t="s">
        <v>3686</v>
      </c>
      <c r="BX237" s="4308" t="s">
        <v>3626</v>
      </c>
      <c r="BY237" s="4308" t="s">
        <v>614</v>
      </c>
      <c r="BZ237" s="4308" t="s">
        <v>3686</v>
      </c>
      <c r="CA237" s="4310" t="s">
        <v>3626</v>
      </c>
      <c r="CB237" s="4309" t="s">
        <v>614</v>
      </c>
      <c r="CC237" s="4309" t="s">
        <v>3686</v>
      </c>
      <c r="CD237" s="4309" t="s">
        <v>3626</v>
      </c>
      <c r="CE237" s="4309" t="s">
        <v>614</v>
      </c>
      <c r="CF237" s="4309" t="s">
        <v>3686</v>
      </c>
      <c r="CG237" s="4309" t="s">
        <v>3626</v>
      </c>
      <c r="CH237" s="4309" t="s">
        <v>614</v>
      </c>
      <c r="CI237" s="4309" t="s">
        <v>3686</v>
      </c>
      <c r="CJ237" s="4309" t="s">
        <v>3626</v>
      </c>
      <c r="CK237" s="2746"/>
      <c r="CL237" s="2746"/>
      <c r="CM237" s="2746"/>
      <c r="CN237" s="2746"/>
    </row>
    <row r="238" spans="1:92" ht="18.75" x14ac:dyDescent="0.3">
      <c r="A238" s="4342" t="s">
        <v>70</v>
      </c>
      <c r="B238" s="4355">
        <f t="shared" ref="B238:AK238" si="1123">SUM(B37+B71+B106+B130)</f>
        <v>2757.9645</v>
      </c>
      <c r="C238" s="4355">
        <f t="shared" si="1123"/>
        <v>2757.9645</v>
      </c>
      <c r="D238" s="4355">
        <f t="shared" si="1123"/>
        <v>0</v>
      </c>
      <c r="E238" s="4356">
        <f t="shared" si="1123"/>
        <v>1003.4369999999999</v>
      </c>
      <c r="F238" s="4356">
        <f t="shared" si="1123"/>
        <v>1003.4369999999999</v>
      </c>
      <c r="G238" s="4356">
        <f t="shared" si="1123"/>
        <v>0</v>
      </c>
      <c r="H238" s="4356">
        <f t="shared" si="1123"/>
        <v>781.20575000000008</v>
      </c>
      <c r="I238" s="4356">
        <f t="shared" si="1123"/>
        <v>781.20575000000008</v>
      </c>
      <c r="J238" s="4356">
        <f t="shared" si="1123"/>
        <v>0</v>
      </c>
      <c r="K238" s="4356">
        <f t="shared" si="1123"/>
        <v>802.50800000000004</v>
      </c>
      <c r="L238" s="4356">
        <f t="shared" si="1123"/>
        <v>802.50800000000004</v>
      </c>
      <c r="M238" s="4356">
        <f t="shared" si="1123"/>
        <v>0</v>
      </c>
      <c r="N238" s="4356">
        <f t="shared" si="1123"/>
        <v>2587.1507499999998</v>
      </c>
      <c r="O238" s="4356">
        <f t="shared" si="1123"/>
        <v>2587.1507499999998</v>
      </c>
      <c r="P238" s="4356">
        <f t="shared" si="1123"/>
        <v>0</v>
      </c>
      <c r="Q238" s="4355">
        <f t="shared" si="1123"/>
        <v>2757.9645</v>
      </c>
      <c r="R238" s="4355">
        <f t="shared" si="1123"/>
        <v>2757.9645</v>
      </c>
      <c r="S238" s="4355">
        <f t="shared" si="1123"/>
        <v>0</v>
      </c>
      <c r="T238" s="4356">
        <f t="shared" si="1123"/>
        <v>1288.4829999999999</v>
      </c>
      <c r="U238" s="4356">
        <f t="shared" si="1123"/>
        <v>1288.4829999999999</v>
      </c>
      <c r="V238" s="4356">
        <f t="shared" si="1123"/>
        <v>0</v>
      </c>
      <c r="W238" s="4356">
        <f t="shared" si="1123"/>
        <v>972.78399999999999</v>
      </c>
      <c r="X238" s="4356">
        <f t="shared" si="1123"/>
        <v>972.78399999999999</v>
      </c>
      <c r="Y238" s="4356">
        <f t="shared" si="1123"/>
        <v>0</v>
      </c>
      <c r="Z238" s="4356">
        <f t="shared" si="1123"/>
        <v>801.505</v>
      </c>
      <c r="AA238" s="4356">
        <f t="shared" si="1123"/>
        <v>801.505</v>
      </c>
      <c r="AB238" s="4356">
        <f t="shared" si="1123"/>
        <v>0</v>
      </c>
      <c r="AC238" s="4356">
        <f t="shared" si="1123"/>
        <v>3062.7719999999999</v>
      </c>
      <c r="AD238" s="4356">
        <f t="shared" si="1123"/>
        <v>3062.7719999999999</v>
      </c>
      <c r="AE238" s="4356">
        <f t="shared" si="1123"/>
        <v>0</v>
      </c>
      <c r="AF238" s="4357">
        <f t="shared" si="1123"/>
        <v>5515.9290000000001</v>
      </c>
      <c r="AG238" s="4357">
        <f t="shared" si="1123"/>
        <v>5515.9290000000001</v>
      </c>
      <c r="AH238" s="4357">
        <f t="shared" si="1123"/>
        <v>0</v>
      </c>
      <c r="AI238" s="4358">
        <f t="shared" si="1123"/>
        <v>5649.9227499999997</v>
      </c>
      <c r="AJ238" s="4358">
        <f t="shared" si="1123"/>
        <v>5649.9227499999997</v>
      </c>
      <c r="AK238" s="4358">
        <f t="shared" si="1123"/>
        <v>0</v>
      </c>
      <c r="AL238" s="4319">
        <f t="shared" ref="AL238:AL270" si="1124">SUM(AI238-AF238)</f>
        <v>133.99374999999964</v>
      </c>
      <c r="AM238" s="4319">
        <f t="shared" ref="AM238:AN270" si="1125">SUM(AJ238-AG238)</f>
        <v>133.99374999999964</v>
      </c>
      <c r="AN238" s="4319">
        <f t="shared" si="1125"/>
        <v>0</v>
      </c>
      <c r="AO238" s="4355">
        <f t="shared" ref="AO238:BI238" si="1126">SUM(AO37+AO71+AO106+AO130)</f>
        <v>2757.9645</v>
      </c>
      <c r="AP238" s="4355">
        <f t="shared" si="1126"/>
        <v>2757.9645</v>
      </c>
      <c r="AQ238" s="4355">
        <f t="shared" si="1126"/>
        <v>0</v>
      </c>
      <c r="AR238" s="4356">
        <f t="shared" si="1126"/>
        <v>943.74700000000007</v>
      </c>
      <c r="AS238" s="4356">
        <f t="shared" si="1126"/>
        <v>943.74700000000007</v>
      </c>
      <c r="AT238" s="4356">
        <f t="shared" si="1126"/>
        <v>0</v>
      </c>
      <c r="AU238" s="4356">
        <f t="shared" si="1126"/>
        <v>0</v>
      </c>
      <c r="AV238" s="4356">
        <f t="shared" si="1126"/>
        <v>0</v>
      </c>
      <c r="AW238" s="4356">
        <f t="shared" si="1126"/>
        <v>0</v>
      </c>
      <c r="AX238" s="4356">
        <f t="shared" si="1126"/>
        <v>0</v>
      </c>
      <c r="AY238" s="4356">
        <f t="shared" si="1126"/>
        <v>0</v>
      </c>
      <c r="AZ238" s="4356">
        <f t="shared" si="1126"/>
        <v>0</v>
      </c>
      <c r="BA238" s="4356">
        <f t="shared" si="1126"/>
        <v>943.74700000000007</v>
      </c>
      <c r="BB238" s="4356">
        <f t="shared" si="1126"/>
        <v>943.74700000000007</v>
      </c>
      <c r="BC238" s="4356">
        <f t="shared" si="1126"/>
        <v>0</v>
      </c>
      <c r="BD238" s="4357">
        <f t="shared" si="1126"/>
        <v>8273.8935000000001</v>
      </c>
      <c r="BE238" s="4357">
        <f t="shared" si="1126"/>
        <v>8273.8935000000001</v>
      </c>
      <c r="BF238" s="4357">
        <f t="shared" si="1126"/>
        <v>0</v>
      </c>
      <c r="BG238" s="4358">
        <f t="shared" si="1126"/>
        <v>6593.6697499999991</v>
      </c>
      <c r="BH238" s="4358">
        <f t="shared" si="1126"/>
        <v>6593.6697499999991</v>
      </c>
      <c r="BI238" s="4358">
        <f t="shared" si="1126"/>
        <v>0</v>
      </c>
      <c r="BJ238" s="4319">
        <f t="shared" ref="BJ238:BJ270" si="1127">SUM(BG238-BD238)</f>
        <v>-1680.223750000001</v>
      </c>
      <c r="BK238" s="4319">
        <f t="shared" ref="BK238:BL270" si="1128">SUM(BH238-BE238)</f>
        <v>-1680.223750000001</v>
      </c>
      <c r="BL238" s="4319">
        <f t="shared" si="1128"/>
        <v>0</v>
      </c>
      <c r="BM238" s="4355">
        <f t="shared" ref="BM238:CG238" si="1129">SUM(BM37+BM71+BM106+BM130)</f>
        <v>2757.9645</v>
      </c>
      <c r="BN238" s="4355">
        <f t="shared" si="1129"/>
        <v>2757.9645</v>
      </c>
      <c r="BO238" s="4355">
        <f t="shared" si="1129"/>
        <v>0</v>
      </c>
      <c r="BP238" s="4356">
        <f t="shared" si="1129"/>
        <v>0</v>
      </c>
      <c r="BQ238" s="4356">
        <f t="shared" si="1129"/>
        <v>0</v>
      </c>
      <c r="BR238" s="4356">
        <f t="shared" si="1129"/>
        <v>0</v>
      </c>
      <c r="BS238" s="4356">
        <f t="shared" si="1129"/>
        <v>0</v>
      </c>
      <c r="BT238" s="4356">
        <f t="shared" si="1129"/>
        <v>0</v>
      </c>
      <c r="BU238" s="4356">
        <f t="shared" si="1129"/>
        <v>0</v>
      </c>
      <c r="BV238" s="4356">
        <f t="shared" si="1129"/>
        <v>0</v>
      </c>
      <c r="BW238" s="4356">
        <f t="shared" si="1129"/>
        <v>0</v>
      </c>
      <c r="BX238" s="4356">
        <f t="shared" si="1129"/>
        <v>0</v>
      </c>
      <c r="BY238" s="4356">
        <f t="shared" si="1129"/>
        <v>0</v>
      </c>
      <c r="BZ238" s="4356">
        <f t="shared" si="1129"/>
        <v>0</v>
      </c>
      <c r="CA238" s="4356">
        <f t="shared" si="1129"/>
        <v>0</v>
      </c>
      <c r="CB238" s="4357">
        <f t="shared" si="1129"/>
        <v>11031.858</v>
      </c>
      <c r="CC238" s="4357">
        <f t="shared" si="1129"/>
        <v>11031.858</v>
      </c>
      <c r="CD238" s="4357">
        <f t="shared" si="1129"/>
        <v>0</v>
      </c>
      <c r="CE238" s="4358">
        <f t="shared" si="1129"/>
        <v>6593.6697499999991</v>
      </c>
      <c r="CF238" s="4358">
        <f t="shared" si="1129"/>
        <v>6593.6697499999991</v>
      </c>
      <c r="CG238" s="4358">
        <f t="shared" si="1129"/>
        <v>0</v>
      </c>
      <c r="CH238" s="4319">
        <f t="shared" ref="CH238:CH270" si="1130">SUM(CE238-CB238)</f>
        <v>-4438.1882500000011</v>
      </c>
      <c r="CI238" s="4319">
        <f t="shared" ref="CI238:CJ270" si="1131">SUM(CF238-CC238)</f>
        <v>-4438.1882500000011</v>
      </c>
      <c r="CJ238" s="4319">
        <f t="shared" si="1131"/>
        <v>0</v>
      </c>
      <c r="CK238" s="2746"/>
      <c r="CL238" s="2746"/>
      <c r="CM238" s="2746"/>
      <c r="CN238" s="2746"/>
    </row>
    <row r="239" spans="1:92" ht="18.75" x14ac:dyDescent="0.3">
      <c r="A239" s="4342" t="s">
        <v>113</v>
      </c>
      <c r="B239" s="4355">
        <f t="shared" ref="B239:AK239" si="1132">SUM(B38+B72+B107+B131)</f>
        <v>829.58096624999996</v>
      </c>
      <c r="C239" s="4355">
        <f t="shared" si="1132"/>
        <v>829.58096624999996</v>
      </c>
      <c r="D239" s="4355">
        <f t="shared" si="1132"/>
        <v>0</v>
      </c>
      <c r="E239" s="4356">
        <f t="shared" si="1132"/>
        <v>295.95999999999998</v>
      </c>
      <c r="F239" s="4356">
        <f t="shared" si="1132"/>
        <v>295.95999999999998</v>
      </c>
      <c r="G239" s="4356">
        <f t="shared" si="1132"/>
        <v>0</v>
      </c>
      <c r="H239" s="4356">
        <f t="shared" si="1132"/>
        <v>233.84143999999998</v>
      </c>
      <c r="I239" s="4356">
        <f t="shared" si="1132"/>
        <v>233.84143999999998</v>
      </c>
      <c r="J239" s="4356">
        <f t="shared" si="1132"/>
        <v>0</v>
      </c>
      <c r="K239" s="4356">
        <f t="shared" si="1132"/>
        <v>238.61</v>
      </c>
      <c r="L239" s="4356">
        <f t="shared" si="1132"/>
        <v>238.61</v>
      </c>
      <c r="M239" s="4356">
        <f t="shared" si="1132"/>
        <v>0</v>
      </c>
      <c r="N239" s="4356">
        <f t="shared" si="1132"/>
        <v>768.41143999999997</v>
      </c>
      <c r="O239" s="4356">
        <f t="shared" si="1132"/>
        <v>768.41143999999997</v>
      </c>
      <c r="P239" s="4356">
        <f t="shared" si="1132"/>
        <v>0</v>
      </c>
      <c r="Q239" s="4355">
        <f t="shared" si="1132"/>
        <v>829.58096624999996</v>
      </c>
      <c r="R239" s="4355">
        <f t="shared" si="1132"/>
        <v>829.58096624999996</v>
      </c>
      <c r="S239" s="4355">
        <f t="shared" si="1132"/>
        <v>0</v>
      </c>
      <c r="T239" s="4356">
        <f t="shared" si="1132"/>
        <v>385.15300000000002</v>
      </c>
      <c r="U239" s="4356">
        <f t="shared" si="1132"/>
        <v>385.15300000000002</v>
      </c>
      <c r="V239" s="4356">
        <f t="shared" si="1132"/>
        <v>0</v>
      </c>
      <c r="W239" s="4356">
        <f t="shared" si="1132"/>
        <v>297.32800000000003</v>
      </c>
      <c r="X239" s="4356">
        <f t="shared" si="1132"/>
        <v>297.32800000000003</v>
      </c>
      <c r="Y239" s="4356">
        <f t="shared" si="1132"/>
        <v>0</v>
      </c>
      <c r="Z239" s="4356">
        <f t="shared" si="1132"/>
        <v>249.44099999999997</v>
      </c>
      <c r="AA239" s="4356">
        <f t="shared" si="1132"/>
        <v>249.44099999999997</v>
      </c>
      <c r="AB239" s="4356">
        <f t="shared" si="1132"/>
        <v>0</v>
      </c>
      <c r="AC239" s="4356">
        <f t="shared" si="1132"/>
        <v>931.92200000000003</v>
      </c>
      <c r="AD239" s="4356">
        <f t="shared" si="1132"/>
        <v>931.92200000000003</v>
      </c>
      <c r="AE239" s="4356">
        <f t="shared" si="1132"/>
        <v>0</v>
      </c>
      <c r="AF239" s="4357">
        <f t="shared" si="1132"/>
        <v>1659.1619324999999</v>
      </c>
      <c r="AG239" s="4357">
        <f t="shared" si="1132"/>
        <v>1659.1619324999999</v>
      </c>
      <c r="AH239" s="4357">
        <f t="shared" si="1132"/>
        <v>0</v>
      </c>
      <c r="AI239" s="4358">
        <f t="shared" si="1132"/>
        <v>1700.3334399999999</v>
      </c>
      <c r="AJ239" s="4358">
        <f t="shared" si="1132"/>
        <v>1700.3334399999999</v>
      </c>
      <c r="AK239" s="4358">
        <f t="shared" si="1132"/>
        <v>0</v>
      </c>
      <c r="AL239" s="4319">
        <f t="shared" si="1124"/>
        <v>41.171507499999962</v>
      </c>
      <c r="AM239" s="4319">
        <f t="shared" si="1125"/>
        <v>41.171507499999962</v>
      </c>
      <c r="AN239" s="4319">
        <f t="shared" si="1125"/>
        <v>0</v>
      </c>
      <c r="AO239" s="4355">
        <f t="shared" ref="AO239:BI239" si="1133">SUM(AO38+AO72+AO107+AO131)</f>
        <v>829.58096624999996</v>
      </c>
      <c r="AP239" s="4355">
        <f t="shared" si="1133"/>
        <v>829.58096624999996</v>
      </c>
      <c r="AQ239" s="4355">
        <f t="shared" si="1133"/>
        <v>0</v>
      </c>
      <c r="AR239" s="4356">
        <f t="shared" si="1133"/>
        <v>285.19399999999996</v>
      </c>
      <c r="AS239" s="4356">
        <f t="shared" si="1133"/>
        <v>285.19399999999996</v>
      </c>
      <c r="AT239" s="4356">
        <f t="shared" si="1133"/>
        <v>0</v>
      </c>
      <c r="AU239" s="4356">
        <f t="shared" si="1133"/>
        <v>0</v>
      </c>
      <c r="AV239" s="4356">
        <f t="shared" si="1133"/>
        <v>0</v>
      </c>
      <c r="AW239" s="4356">
        <f t="shared" si="1133"/>
        <v>0</v>
      </c>
      <c r="AX239" s="4356">
        <f t="shared" si="1133"/>
        <v>0</v>
      </c>
      <c r="AY239" s="4356">
        <f t="shared" si="1133"/>
        <v>0</v>
      </c>
      <c r="AZ239" s="4356">
        <f t="shared" si="1133"/>
        <v>0</v>
      </c>
      <c r="BA239" s="4356">
        <f t="shared" si="1133"/>
        <v>285.19399999999996</v>
      </c>
      <c r="BB239" s="4356">
        <f t="shared" si="1133"/>
        <v>285.19399999999996</v>
      </c>
      <c r="BC239" s="4356">
        <f t="shared" si="1133"/>
        <v>0</v>
      </c>
      <c r="BD239" s="4357">
        <f t="shared" si="1133"/>
        <v>2488.7428987499998</v>
      </c>
      <c r="BE239" s="4357">
        <f t="shared" si="1133"/>
        <v>2488.7428987499998</v>
      </c>
      <c r="BF239" s="4357">
        <f t="shared" si="1133"/>
        <v>0</v>
      </c>
      <c r="BG239" s="4358">
        <f t="shared" si="1133"/>
        <v>1985.5274400000001</v>
      </c>
      <c r="BH239" s="4358">
        <f t="shared" si="1133"/>
        <v>1985.5274400000001</v>
      </c>
      <c r="BI239" s="4358">
        <f t="shared" si="1133"/>
        <v>0</v>
      </c>
      <c r="BJ239" s="4319">
        <f t="shared" si="1127"/>
        <v>-503.2154587499997</v>
      </c>
      <c r="BK239" s="4319">
        <f t="shared" si="1128"/>
        <v>-503.2154587499997</v>
      </c>
      <c r="BL239" s="4319">
        <f t="shared" si="1128"/>
        <v>0</v>
      </c>
      <c r="BM239" s="4355">
        <f t="shared" ref="BM239:CG239" si="1134">SUM(BM38+BM72+BM107+BM131)</f>
        <v>829.58096624999996</v>
      </c>
      <c r="BN239" s="4355">
        <f t="shared" si="1134"/>
        <v>829.58096624999996</v>
      </c>
      <c r="BO239" s="4355">
        <f t="shared" si="1134"/>
        <v>0</v>
      </c>
      <c r="BP239" s="4356">
        <f t="shared" si="1134"/>
        <v>0</v>
      </c>
      <c r="BQ239" s="4356">
        <f t="shared" si="1134"/>
        <v>0</v>
      </c>
      <c r="BR239" s="4356">
        <f t="shared" si="1134"/>
        <v>0</v>
      </c>
      <c r="BS239" s="4356">
        <f t="shared" si="1134"/>
        <v>0</v>
      </c>
      <c r="BT239" s="4356">
        <f t="shared" si="1134"/>
        <v>0</v>
      </c>
      <c r="BU239" s="4356">
        <f t="shared" si="1134"/>
        <v>0</v>
      </c>
      <c r="BV239" s="4356">
        <f t="shared" si="1134"/>
        <v>0</v>
      </c>
      <c r="BW239" s="4356">
        <f t="shared" si="1134"/>
        <v>0</v>
      </c>
      <c r="BX239" s="4356">
        <f t="shared" si="1134"/>
        <v>0</v>
      </c>
      <c r="BY239" s="4356">
        <f t="shared" si="1134"/>
        <v>0</v>
      </c>
      <c r="BZ239" s="4356">
        <f t="shared" si="1134"/>
        <v>0</v>
      </c>
      <c r="CA239" s="4356">
        <f t="shared" si="1134"/>
        <v>0</v>
      </c>
      <c r="CB239" s="4357">
        <f t="shared" si="1134"/>
        <v>3318.3238649999998</v>
      </c>
      <c r="CC239" s="4357">
        <f t="shared" si="1134"/>
        <v>3318.3238649999998</v>
      </c>
      <c r="CD239" s="4357">
        <f t="shared" si="1134"/>
        <v>0</v>
      </c>
      <c r="CE239" s="4358">
        <f t="shared" si="1134"/>
        <v>1985.5274400000001</v>
      </c>
      <c r="CF239" s="4358">
        <f t="shared" si="1134"/>
        <v>1985.5274400000001</v>
      </c>
      <c r="CG239" s="4358">
        <f t="shared" si="1134"/>
        <v>0</v>
      </c>
      <c r="CH239" s="4319">
        <f t="shared" si="1130"/>
        <v>-1332.7964249999998</v>
      </c>
      <c r="CI239" s="4319">
        <f t="shared" si="1131"/>
        <v>-1332.7964249999998</v>
      </c>
      <c r="CJ239" s="4319">
        <f t="shared" si="1131"/>
        <v>0</v>
      </c>
      <c r="CK239" s="2746"/>
      <c r="CL239" s="2746"/>
      <c r="CM239" s="2746"/>
      <c r="CN239" s="2746"/>
    </row>
    <row r="240" spans="1:92" ht="18.75" x14ac:dyDescent="0.3">
      <c r="A240" s="4342" t="s">
        <v>3694</v>
      </c>
      <c r="B240" s="4355">
        <f t="shared" ref="B240:AK240" si="1135">SUM(B39)</f>
        <v>224.12506025081817</v>
      </c>
      <c r="C240" s="4355">
        <f t="shared" si="1135"/>
        <v>224.12506025081817</v>
      </c>
      <c r="D240" s="4355">
        <f t="shared" si="1135"/>
        <v>0</v>
      </c>
      <c r="E240" s="4356">
        <f t="shared" si="1135"/>
        <v>66.349999999999994</v>
      </c>
      <c r="F240" s="4356">
        <f t="shared" si="1135"/>
        <v>66.349999999999994</v>
      </c>
      <c r="G240" s="4356">
        <f t="shared" si="1135"/>
        <v>0</v>
      </c>
      <c r="H240" s="4356">
        <f t="shared" si="1135"/>
        <v>69.349999999999994</v>
      </c>
      <c r="I240" s="4356">
        <f t="shared" si="1135"/>
        <v>69.349999999999994</v>
      </c>
      <c r="J240" s="4356">
        <f t="shared" si="1135"/>
        <v>0</v>
      </c>
      <c r="K240" s="4356">
        <f t="shared" si="1135"/>
        <v>69.349999999999994</v>
      </c>
      <c r="L240" s="4356">
        <f t="shared" si="1135"/>
        <v>69.349999999999994</v>
      </c>
      <c r="M240" s="4356">
        <f t="shared" si="1135"/>
        <v>0</v>
      </c>
      <c r="N240" s="4356">
        <f t="shared" si="1135"/>
        <v>205.04999999999998</v>
      </c>
      <c r="O240" s="4356">
        <f t="shared" si="1135"/>
        <v>205.04999999999998</v>
      </c>
      <c r="P240" s="4356">
        <f t="shared" si="1135"/>
        <v>0</v>
      </c>
      <c r="Q240" s="4355">
        <f t="shared" si="1135"/>
        <v>224.12506025081817</v>
      </c>
      <c r="R240" s="4355">
        <f t="shared" si="1135"/>
        <v>224.12506025081817</v>
      </c>
      <c r="S240" s="4355">
        <f t="shared" si="1135"/>
        <v>0</v>
      </c>
      <c r="T240" s="4356">
        <f t="shared" si="1135"/>
        <v>69.349999999999994</v>
      </c>
      <c r="U240" s="4356">
        <f t="shared" si="1135"/>
        <v>69.349999999999994</v>
      </c>
      <c r="V240" s="4356">
        <f t="shared" si="1135"/>
        <v>0</v>
      </c>
      <c r="W240" s="4356">
        <f t="shared" si="1135"/>
        <v>66.349999999999994</v>
      </c>
      <c r="X240" s="4356">
        <f t="shared" si="1135"/>
        <v>66.349999999999994</v>
      </c>
      <c r="Y240" s="4356">
        <f t="shared" si="1135"/>
        <v>0</v>
      </c>
      <c r="Z240" s="4356">
        <f t="shared" si="1135"/>
        <v>69.349999999999994</v>
      </c>
      <c r="AA240" s="4356">
        <f t="shared" si="1135"/>
        <v>69.349999999999994</v>
      </c>
      <c r="AB240" s="4356">
        <f t="shared" si="1135"/>
        <v>0</v>
      </c>
      <c r="AC240" s="4356">
        <f t="shared" si="1135"/>
        <v>205.04999999999998</v>
      </c>
      <c r="AD240" s="4356">
        <f t="shared" si="1135"/>
        <v>205.04999999999998</v>
      </c>
      <c r="AE240" s="4356">
        <f t="shared" si="1135"/>
        <v>0</v>
      </c>
      <c r="AF240" s="4357">
        <f t="shared" si="1135"/>
        <v>448.25012050163633</v>
      </c>
      <c r="AG240" s="4357">
        <f t="shared" si="1135"/>
        <v>448.25012050163633</v>
      </c>
      <c r="AH240" s="4357">
        <f t="shared" si="1135"/>
        <v>0</v>
      </c>
      <c r="AI240" s="4358">
        <f t="shared" si="1135"/>
        <v>410.09999999999997</v>
      </c>
      <c r="AJ240" s="4358">
        <f t="shared" si="1135"/>
        <v>410.09999999999997</v>
      </c>
      <c r="AK240" s="4358">
        <f t="shared" si="1135"/>
        <v>0</v>
      </c>
      <c r="AL240" s="4319">
        <f t="shared" si="1124"/>
        <v>-38.150120501636366</v>
      </c>
      <c r="AM240" s="4319">
        <f t="shared" si="1125"/>
        <v>-38.150120501636366</v>
      </c>
      <c r="AN240" s="4319">
        <f t="shared" si="1125"/>
        <v>0</v>
      </c>
      <c r="AO240" s="4355">
        <f t="shared" ref="AO240:BI240" si="1136">SUM(AO39)</f>
        <v>224.12506025081817</v>
      </c>
      <c r="AP240" s="4355">
        <f t="shared" si="1136"/>
        <v>224.12506025081817</v>
      </c>
      <c r="AQ240" s="4355">
        <f t="shared" si="1136"/>
        <v>0</v>
      </c>
      <c r="AR240" s="4356">
        <f t="shared" si="1136"/>
        <v>66.349999999999994</v>
      </c>
      <c r="AS240" s="4356">
        <f t="shared" si="1136"/>
        <v>66.349999999999994</v>
      </c>
      <c r="AT240" s="4356">
        <f t="shared" si="1136"/>
        <v>0</v>
      </c>
      <c r="AU240" s="4356">
        <f t="shared" si="1136"/>
        <v>0</v>
      </c>
      <c r="AV240" s="4356">
        <f t="shared" si="1136"/>
        <v>0</v>
      </c>
      <c r="AW240" s="4356">
        <f t="shared" si="1136"/>
        <v>0</v>
      </c>
      <c r="AX240" s="4356">
        <f t="shared" si="1136"/>
        <v>0</v>
      </c>
      <c r="AY240" s="4356">
        <f t="shared" si="1136"/>
        <v>0</v>
      </c>
      <c r="AZ240" s="4356">
        <f t="shared" si="1136"/>
        <v>0</v>
      </c>
      <c r="BA240" s="4356">
        <f t="shared" si="1136"/>
        <v>66.349999999999994</v>
      </c>
      <c r="BB240" s="4356">
        <f t="shared" si="1136"/>
        <v>66.349999999999994</v>
      </c>
      <c r="BC240" s="4356">
        <f t="shared" si="1136"/>
        <v>0</v>
      </c>
      <c r="BD240" s="4357">
        <f t="shared" si="1136"/>
        <v>672.37518075245453</v>
      </c>
      <c r="BE240" s="4357">
        <f t="shared" si="1136"/>
        <v>672.37518075245453</v>
      </c>
      <c r="BF240" s="4357">
        <f t="shared" si="1136"/>
        <v>0</v>
      </c>
      <c r="BG240" s="4358">
        <f t="shared" si="1136"/>
        <v>476.44999999999993</v>
      </c>
      <c r="BH240" s="4358">
        <f t="shared" si="1136"/>
        <v>476.44999999999993</v>
      </c>
      <c r="BI240" s="4358">
        <f t="shared" si="1136"/>
        <v>0</v>
      </c>
      <c r="BJ240" s="4319">
        <f t="shared" si="1127"/>
        <v>-195.92518075245459</v>
      </c>
      <c r="BK240" s="4319">
        <f t="shared" si="1128"/>
        <v>-195.92518075245459</v>
      </c>
      <c r="BL240" s="4319">
        <f t="shared" si="1128"/>
        <v>0</v>
      </c>
      <c r="BM240" s="4355">
        <f t="shared" ref="BM240:CG240" si="1137">SUM(BM39)</f>
        <v>224.12506025081817</v>
      </c>
      <c r="BN240" s="4355">
        <f t="shared" si="1137"/>
        <v>224.12506025081817</v>
      </c>
      <c r="BO240" s="4355">
        <f t="shared" si="1137"/>
        <v>0</v>
      </c>
      <c r="BP240" s="4356">
        <f t="shared" si="1137"/>
        <v>0</v>
      </c>
      <c r="BQ240" s="4356">
        <f t="shared" si="1137"/>
        <v>0</v>
      </c>
      <c r="BR240" s="4356">
        <f t="shared" si="1137"/>
        <v>0</v>
      </c>
      <c r="BS240" s="4356">
        <f t="shared" si="1137"/>
        <v>0</v>
      </c>
      <c r="BT240" s="4356">
        <f t="shared" si="1137"/>
        <v>0</v>
      </c>
      <c r="BU240" s="4356">
        <f t="shared" si="1137"/>
        <v>0</v>
      </c>
      <c r="BV240" s="4356">
        <f t="shared" si="1137"/>
        <v>0</v>
      </c>
      <c r="BW240" s="4356">
        <f t="shared" si="1137"/>
        <v>0</v>
      </c>
      <c r="BX240" s="4356">
        <f t="shared" si="1137"/>
        <v>0</v>
      </c>
      <c r="BY240" s="4356">
        <f t="shared" si="1137"/>
        <v>0</v>
      </c>
      <c r="BZ240" s="4356">
        <f t="shared" si="1137"/>
        <v>0</v>
      </c>
      <c r="CA240" s="4356">
        <f t="shared" si="1137"/>
        <v>0</v>
      </c>
      <c r="CB240" s="4357">
        <f t="shared" si="1137"/>
        <v>896.50024100327266</v>
      </c>
      <c r="CC240" s="4357">
        <f t="shared" si="1137"/>
        <v>896.50024100327266</v>
      </c>
      <c r="CD240" s="4357">
        <f t="shared" si="1137"/>
        <v>0</v>
      </c>
      <c r="CE240" s="4358">
        <f t="shared" si="1137"/>
        <v>476.44999999999993</v>
      </c>
      <c r="CF240" s="4358">
        <f t="shared" si="1137"/>
        <v>476.44999999999993</v>
      </c>
      <c r="CG240" s="4358">
        <f t="shared" si="1137"/>
        <v>0</v>
      </c>
      <c r="CH240" s="4319">
        <f t="shared" si="1130"/>
        <v>-420.05024100327273</v>
      </c>
      <c r="CI240" s="4319">
        <f t="shared" si="1131"/>
        <v>-420.05024100327273</v>
      </c>
      <c r="CJ240" s="4319">
        <f t="shared" si="1131"/>
        <v>0</v>
      </c>
      <c r="CK240" s="2746"/>
      <c r="CL240" s="2746"/>
      <c r="CM240" s="2746"/>
      <c r="CN240" s="2746"/>
    </row>
    <row r="241" spans="1:92" ht="18.75" x14ac:dyDescent="0.3">
      <c r="A241" s="4342" t="s">
        <v>52</v>
      </c>
      <c r="B241" s="4355">
        <f t="shared" ref="B241:AK241" si="1138">SUM(B40+B73+B108+B132)</f>
        <v>65.167469712674205</v>
      </c>
      <c r="C241" s="4355">
        <f t="shared" si="1138"/>
        <v>65.167469712674205</v>
      </c>
      <c r="D241" s="4355">
        <f t="shared" si="1138"/>
        <v>0</v>
      </c>
      <c r="E241" s="4356">
        <f t="shared" si="1138"/>
        <v>33.507999999999996</v>
      </c>
      <c r="F241" s="4356">
        <f t="shared" si="1138"/>
        <v>33.507999999999996</v>
      </c>
      <c r="G241" s="4356">
        <f t="shared" si="1138"/>
        <v>0</v>
      </c>
      <c r="H241" s="4356">
        <f t="shared" si="1138"/>
        <v>32.851000000000006</v>
      </c>
      <c r="I241" s="4356">
        <f t="shared" si="1138"/>
        <v>32.851000000000006</v>
      </c>
      <c r="J241" s="4356">
        <f t="shared" si="1138"/>
        <v>0</v>
      </c>
      <c r="K241" s="4356">
        <f t="shared" si="1138"/>
        <v>34.125</v>
      </c>
      <c r="L241" s="4356">
        <f t="shared" si="1138"/>
        <v>34.125</v>
      </c>
      <c r="M241" s="4356">
        <f t="shared" si="1138"/>
        <v>0</v>
      </c>
      <c r="N241" s="4356">
        <f t="shared" si="1138"/>
        <v>100.48399999999999</v>
      </c>
      <c r="O241" s="4356">
        <f t="shared" si="1138"/>
        <v>100.48399999999999</v>
      </c>
      <c r="P241" s="4356">
        <f t="shared" si="1138"/>
        <v>0</v>
      </c>
      <c r="Q241" s="4355">
        <f t="shared" si="1138"/>
        <v>65.167469712674205</v>
      </c>
      <c r="R241" s="4355">
        <f t="shared" si="1138"/>
        <v>65.167469712674205</v>
      </c>
      <c r="S241" s="4355">
        <f t="shared" si="1138"/>
        <v>0</v>
      </c>
      <c r="T241" s="4356">
        <f t="shared" si="1138"/>
        <v>33.827000000000005</v>
      </c>
      <c r="U241" s="4356">
        <f t="shared" si="1138"/>
        <v>33.827000000000005</v>
      </c>
      <c r="V241" s="4356">
        <f t="shared" si="1138"/>
        <v>0</v>
      </c>
      <c r="W241" s="4356">
        <f t="shared" si="1138"/>
        <v>42.301999999999992</v>
      </c>
      <c r="X241" s="4356">
        <f t="shared" si="1138"/>
        <v>42.301999999999992</v>
      </c>
      <c r="Y241" s="4356">
        <f t="shared" si="1138"/>
        <v>0</v>
      </c>
      <c r="Z241" s="4356">
        <f t="shared" si="1138"/>
        <v>37.300000000000004</v>
      </c>
      <c r="AA241" s="4356">
        <f t="shared" si="1138"/>
        <v>37.300000000000004</v>
      </c>
      <c r="AB241" s="4356">
        <f t="shared" si="1138"/>
        <v>0</v>
      </c>
      <c r="AC241" s="4356">
        <f t="shared" si="1138"/>
        <v>113.42899999999997</v>
      </c>
      <c r="AD241" s="4356">
        <f t="shared" si="1138"/>
        <v>113.42899999999997</v>
      </c>
      <c r="AE241" s="4356">
        <f t="shared" si="1138"/>
        <v>0</v>
      </c>
      <c r="AF241" s="4357">
        <f t="shared" si="1138"/>
        <v>130.33493942534841</v>
      </c>
      <c r="AG241" s="4357">
        <f t="shared" si="1138"/>
        <v>130.33493942534841</v>
      </c>
      <c r="AH241" s="4357">
        <f t="shared" si="1138"/>
        <v>0</v>
      </c>
      <c r="AI241" s="4358">
        <f t="shared" si="1138"/>
        <v>213.91299999999998</v>
      </c>
      <c r="AJ241" s="4358">
        <f t="shared" si="1138"/>
        <v>213.91299999999998</v>
      </c>
      <c r="AK241" s="4358">
        <f t="shared" si="1138"/>
        <v>0</v>
      </c>
      <c r="AL241" s="4319">
        <f t="shared" si="1124"/>
        <v>83.578060574651573</v>
      </c>
      <c r="AM241" s="4319">
        <f t="shared" si="1125"/>
        <v>83.578060574651573</v>
      </c>
      <c r="AN241" s="4319">
        <f t="shared" si="1125"/>
        <v>0</v>
      </c>
      <c r="AO241" s="4355">
        <f t="shared" ref="AO241:BI241" si="1139">SUM(AO40+AO73+AO108+AO132)</f>
        <v>65.167469712674205</v>
      </c>
      <c r="AP241" s="4355">
        <f t="shared" si="1139"/>
        <v>65.167469712674205</v>
      </c>
      <c r="AQ241" s="4355">
        <f t="shared" si="1139"/>
        <v>0</v>
      </c>
      <c r="AR241" s="4356">
        <f t="shared" si="1139"/>
        <v>36.823999999999998</v>
      </c>
      <c r="AS241" s="4356">
        <f t="shared" si="1139"/>
        <v>36.823999999999998</v>
      </c>
      <c r="AT241" s="4356">
        <f t="shared" si="1139"/>
        <v>0</v>
      </c>
      <c r="AU241" s="4356">
        <f t="shared" si="1139"/>
        <v>0</v>
      </c>
      <c r="AV241" s="4356">
        <f t="shared" si="1139"/>
        <v>0</v>
      </c>
      <c r="AW241" s="4356">
        <f t="shared" si="1139"/>
        <v>0</v>
      </c>
      <c r="AX241" s="4356">
        <f t="shared" si="1139"/>
        <v>0</v>
      </c>
      <c r="AY241" s="4356">
        <f t="shared" si="1139"/>
        <v>0</v>
      </c>
      <c r="AZ241" s="4356">
        <f t="shared" si="1139"/>
        <v>0</v>
      </c>
      <c r="BA241" s="4356">
        <f t="shared" si="1139"/>
        <v>36.823999999999998</v>
      </c>
      <c r="BB241" s="4356">
        <f t="shared" si="1139"/>
        <v>36.823999999999998</v>
      </c>
      <c r="BC241" s="4356">
        <f t="shared" si="1139"/>
        <v>0</v>
      </c>
      <c r="BD241" s="4357">
        <f t="shared" si="1139"/>
        <v>195.50240913802259</v>
      </c>
      <c r="BE241" s="4357">
        <f t="shared" si="1139"/>
        <v>195.50240913802259</v>
      </c>
      <c r="BF241" s="4357">
        <f t="shared" si="1139"/>
        <v>0</v>
      </c>
      <c r="BG241" s="4358">
        <f t="shared" si="1139"/>
        <v>250.73699999999997</v>
      </c>
      <c r="BH241" s="4358">
        <f t="shared" si="1139"/>
        <v>250.73699999999997</v>
      </c>
      <c r="BI241" s="4358">
        <f t="shared" si="1139"/>
        <v>0</v>
      </c>
      <c r="BJ241" s="4319">
        <f t="shared" si="1127"/>
        <v>55.234590861977381</v>
      </c>
      <c r="BK241" s="4319">
        <f t="shared" si="1128"/>
        <v>55.234590861977381</v>
      </c>
      <c r="BL241" s="4319">
        <f t="shared" si="1128"/>
        <v>0</v>
      </c>
      <c r="BM241" s="4355">
        <f t="shared" ref="BM241:CG241" si="1140">SUM(BM40+BM73+BM108+BM132)</f>
        <v>65.167469712674205</v>
      </c>
      <c r="BN241" s="4355">
        <f t="shared" si="1140"/>
        <v>65.167469712674205</v>
      </c>
      <c r="BO241" s="4355">
        <f t="shared" si="1140"/>
        <v>0</v>
      </c>
      <c r="BP241" s="4356">
        <f t="shared" si="1140"/>
        <v>0</v>
      </c>
      <c r="BQ241" s="4356">
        <f t="shared" si="1140"/>
        <v>0</v>
      </c>
      <c r="BR241" s="4356">
        <f t="shared" si="1140"/>
        <v>0</v>
      </c>
      <c r="BS241" s="4356">
        <f t="shared" si="1140"/>
        <v>0</v>
      </c>
      <c r="BT241" s="4356">
        <f t="shared" si="1140"/>
        <v>0</v>
      </c>
      <c r="BU241" s="4356">
        <f t="shared" si="1140"/>
        <v>0</v>
      </c>
      <c r="BV241" s="4356">
        <f t="shared" si="1140"/>
        <v>0</v>
      </c>
      <c r="BW241" s="4356">
        <f t="shared" si="1140"/>
        <v>0</v>
      </c>
      <c r="BX241" s="4356">
        <f t="shared" si="1140"/>
        <v>0</v>
      </c>
      <c r="BY241" s="4356">
        <f t="shared" si="1140"/>
        <v>0</v>
      </c>
      <c r="BZ241" s="4356">
        <f t="shared" si="1140"/>
        <v>0</v>
      </c>
      <c r="CA241" s="4356">
        <f t="shared" si="1140"/>
        <v>0</v>
      </c>
      <c r="CB241" s="4357">
        <f t="shared" si="1140"/>
        <v>260.66987885069682</v>
      </c>
      <c r="CC241" s="4357">
        <f t="shared" si="1140"/>
        <v>260.66987885069682</v>
      </c>
      <c r="CD241" s="4357">
        <f t="shared" si="1140"/>
        <v>0</v>
      </c>
      <c r="CE241" s="4358">
        <f t="shared" si="1140"/>
        <v>250.73699999999997</v>
      </c>
      <c r="CF241" s="4358">
        <f t="shared" si="1140"/>
        <v>250.73699999999997</v>
      </c>
      <c r="CG241" s="4358">
        <f t="shared" si="1140"/>
        <v>0</v>
      </c>
      <c r="CH241" s="4319">
        <f t="shared" si="1130"/>
        <v>-9.9328788506968522</v>
      </c>
      <c r="CI241" s="4319">
        <f t="shared" si="1131"/>
        <v>-9.9328788506968522</v>
      </c>
      <c r="CJ241" s="4319">
        <f t="shared" si="1131"/>
        <v>0</v>
      </c>
      <c r="CK241" s="2746"/>
      <c r="CL241" s="2746"/>
      <c r="CM241" s="2746"/>
      <c r="CN241" s="2746"/>
    </row>
    <row r="242" spans="1:92" ht="18.75" x14ac:dyDescent="0.3">
      <c r="A242" s="4342" t="s">
        <v>3695</v>
      </c>
      <c r="B242" s="4355">
        <f t="shared" ref="B242:AK242" si="1141">SUM(B41+B74)</f>
        <v>3.4024999999999999</v>
      </c>
      <c r="C242" s="4355">
        <f t="shared" si="1141"/>
        <v>3.4024999999999999</v>
      </c>
      <c r="D242" s="4355">
        <f t="shared" si="1141"/>
        <v>0</v>
      </c>
      <c r="E242" s="4356">
        <f t="shared" si="1141"/>
        <v>1.07</v>
      </c>
      <c r="F242" s="4356">
        <f t="shared" si="1141"/>
        <v>1.07</v>
      </c>
      <c r="G242" s="4356">
        <f t="shared" si="1141"/>
        <v>0</v>
      </c>
      <c r="H242" s="4356">
        <f t="shared" si="1141"/>
        <v>1.07</v>
      </c>
      <c r="I242" s="4356">
        <f t="shared" si="1141"/>
        <v>1.07</v>
      </c>
      <c r="J242" s="4356">
        <f t="shared" si="1141"/>
        <v>0</v>
      </c>
      <c r="K242" s="4356">
        <f t="shared" si="1141"/>
        <v>1.07</v>
      </c>
      <c r="L242" s="4356">
        <f t="shared" si="1141"/>
        <v>1.07</v>
      </c>
      <c r="M242" s="4356">
        <f t="shared" si="1141"/>
        <v>0</v>
      </c>
      <c r="N242" s="4356">
        <f t="shared" si="1141"/>
        <v>3.21</v>
      </c>
      <c r="O242" s="4356">
        <f t="shared" si="1141"/>
        <v>3.21</v>
      </c>
      <c r="P242" s="4356">
        <f t="shared" si="1141"/>
        <v>0</v>
      </c>
      <c r="Q242" s="4355">
        <f t="shared" si="1141"/>
        <v>3.4024999999999999</v>
      </c>
      <c r="R242" s="4355">
        <f t="shared" si="1141"/>
        <v>3.4024999999999999</v>
      </c>
      <c r="S242" s="4355">
        <f t="shared" si="1141"/>
        <v>0</v>
      </c>
      <c r="T242" s="4356">
        <f t="shared" si="1141"/>
        <v>1.07</v>
      </c>
      <c r="U242" s="4356">
        <f t="shared" si="1141"/>
        <v>1.07</v>
      </c>
      <c r="V242" s="4356">
        <f t="shared" si="1141"/>
        <v>0</v>
      </c>
      <c r="W242" s="4356">
        <f t="shared" si="1141"/>
        <v>1.07</v>
      </c>
      <c r="X242" s="4356">
        <f t="shared" si="1141"/>
        <v>1.07</v>
      </c>
      <c r="Y242" s="4356">
        <f t="shared" si="1141"/>
        <v>0</v>
      </c>
      <c r="Z242" s="4356">
        <f t="shared" si="1141"/>
        <v>1.07</v>
      </c>
      <c r="AA242" s="4356">
        <f t="shared" si="1141"/>
        <v>1.07</v>
      </c>
      <c r="AB242" s="4356">
        <f t="shared" si="1141"/>
        <v>0</v>
      </c>
      <c r="AC242" s="4356">
        <f t="shared" si="1141"/>
        <v>3.21</v>
      </c>
      <c r="AD242" s="4356">
        <f t="shared" si="1141"/>
        <v>3.21</v>
      </c>
      <c r="AE242" s="4356">
        <f t="shared" si="1141"/>
        <v>0</v>
      </c>
      <c r="AF242" s="4357">
        <f t="shared" si="1141"/>
        <v>6.8049999999999997</v>
      </c>
      <c r="AG242" s="4357">
        <f t="shared" si="1141"/>
        <v>6.8049999999999997</v>
      </c>
      <c r="AH242" s="4357">
        <f t="shared" si="1141"/>
        <v>0</v>
      </c>
      <c r="AI242" s="4358">
        <f t="shared" si="1141"/>
        <v>6.42</v>
      </c>
      <c r="AJ242" s="4358">
        <f t="shared" si="1141"/>
        <v>6.42</v>
      </c>
      <c r="AK242" s="4358">
        <f t="shared" si="1141"/>
        <v>0</v>
      </c>
      <c r="AL242" s="4319">
        <f t="shared" si="1124"/>
        <v>-0.38499999999999979</v>
      </c>
      <c r="AM242" s="4319">
        <f t="shared" si="1125"/>
        <v>-0.38499999999999979</v>
      </c>
      <c r="AN242" s="4319">
        <f t="shared" si="1125"/>
        <v>0</v>
      </c>
      <c r="AO242" s="4355">
        <f t="shared" ref="AO242:BI242" si="1142">SUM(AO41+AO74)</f>
        <v>3.4024999999999999</v>
      </c>
      <c r="AP242" s="4355">
        <f t="shared" si="1142"/>
        <v>3.4024999999999999</v>
      </c>
      <c r="AQ242" s="4355">
        <f t="shared" si="1142"/>
        <v>0</v>
      </c>
      <c r="AR242" s="4356">
        <f t="shared" si="1142"/>
        <v>1.07</v>
      </c>
      <c r="AS242" s="4356">
        <f t="shared" si="1142"/>
        <v>1.07</v>
      </c>
      <c r="AT242" s="4356">
        <f t="shared" si="1142"/>
        <v>0</v>
      </c>
      <c r="AU242" s="4356">
        <f t="shared" si="1142"/>
        <v>0</v>
      </c>
      <c r="AV242" s="4356">
        <f t="shared" si="1142"/>
        <v>0</v>
      </c>
      <c r="AW242" s="4356">
        <f t="shared" si="1142"/>
        <v>0</v>
      </c>
      <c r="AX242" s="4356">
        <f t="shared" si="1142"/>
        <v>0</v>
      </c>
      <c r="AY242" s="4356">
        <f t="shared" si="1142"/>
        <v>0</v>
      </c>
      <c r="AZ242" s="4356">
        <f t="shared" si="1142"/>
        <v>0</v>
      </c>
      <c r="BA242" s="4356">
        <f t="shared" si="1142"/>
        <v>1.07</v>
      </c>
      <c r="BB242" s="4356">
        <f t="shared" si="1142"/>
        <v>1.07</v>
      </c>
      <c r="BC242" s="4356">
        <f t="shared" si="1142"/>
        <v>0</v>
      </c>
      <c r="BD242" s="4357">
        <f t="shared" si="1142"/>
        <v>10.2075</v>
      </c>
      <c r="BE242" s="4357">
        <f t="shared" si="1142"/>
        <v>10.2075</v>
      </c>
      <c r="BF242" s="4357">
        <f t="shared" si="1142"/>
        <v>0</v>
      </c>
      <c r="BG242" s="4358">
        <f t="shared" si="1142"/>
        <v>7.49</v>
      </c>
      <c r="BH242" s="4358">
        <f t="shared" si="1142"/>
        <v>7.49</v>
      </c>
      <c r="BI242" s="4358">
        <f t="shared" si="1142"/>
        <v>0</v>
      </c>
      <c r="BJ242" s="4319">
        <f t="shared" si="1127"/>
        <v>-2.7174999999999994</v>
      </c>
      <c r="BK242" s="4319">
        <f t="shared" si="1128"/>
        <v>-2.7174999999999994</v>
      </c>
      <c r="BL242" s="4319">
        <f t="shared" si="1128"/>
        <v>0</v>
      </c>
      <c r="BM242" s="4355">
        <f t="shared" ref="BM242:CG242" si="1143">SUM(BM41+BM74)</f>
        <v>3.4024999999999999</v>
      </c>
      <c r="BN242" s="4355">
        <f t="shared" si="1143"/>
        <v>3.4024999999999999</v>
      </c>
      <c r="BO242" s="4355">
        <f t="shared" si="1143"/>
        <v>0</v>
      </c>
      <c r="BP242" s="4356">
        <f t="shared" si="1143"/>
        <v>0</v>
      </c>
      <c r="BQ242" s="4356">
        <f t="shared" si="1143"/>
        <v>0</v>
      </c>
      <c r="BR242" s="4356">
        <f t="shared" si="1143"/>
        <v>0</v>
      </c>
      <c r="BS242" s="4356">
        <f t="shared" si="1143"/>
        <v>0</v>
      </c>
      <c r="BT242" s="4356">
        <f t="shared" si="1143"/>
        <v>0</v>
      </c>
      <c r="BU242" s="4356">
        <f t="shared" si="1143"/>
        <v>0</v>
      </c>
      <c r="BV242" s="4356">
        <f t="shared" si="1143"/>
        <v>0</v>
      </c>
      <c r="BW242" s="4356">
        <f t="shared" si="1143"/>
        <v>0</v>
      </c>
      <c r="BX242" s="4356">
        <f t="shared" si="1143"/>
        <v>0</v>
      </c>
      <c r="BY242" s="4356">
        <f t="shared" si="1143"/>
        <v>0</v>
      </c>
      <c r="BZ242" s="4356">
        <f t="shared" si="1143"/>
        <v>0</v>
      </c>
      <c r="CA242" s="4356">
        <f t="shared" si="1143"/>
        <v>0</v>
      </c>
      <c r="CB242" s="4357">
        <f t="shared" si="1143"/>
        <v>13.61</v>
      </c>
      <c r="CC242" s="4357">
        <f t="shared" si="1143"/>
        <v>13.61</v>
      </c>
      <c r="CD242" s="4357">
        <f t="shared" si="1143"/>
        <v>0</v>
      </c>
      <c r="CE242" s="4358">
        <f t="shared" si="1143"/>
        <v>7.49</v>
      </c>
      <c r="CF242" s="4358">
        <f t="shared" si="1143"/>
        <v>7.49</v>
      </c>
      <c r="CG242" s="4358">
        <f t="shared" si="1143"/>
        <v>0</v>
      </c>
      <c r="CH242" s="4319">
        <f t="shared" si="1130"/>
        <v>-6.1199999999999992</v>
      </c>
      <c r="CI242" s="4319">
        <f t="shared" si="1131"/>
        <v>-6.1199999999999992</v>
      </c>
      <c r="CJ242" s="4319">
        <f t="shared" si="1131"/>
        <v>0</v>
      </c>
      <c r="CK242" s="2746"/>
      <c r="CL242" s="2746"/>
      <c r="CM242" s="2746"/>
      <c r="CN242" s="2746"/>
    </row>
    <row r="243" spans="1:92" ht="18.75" x14ac:dyDescent="0.3">
      <c r="A243" s="4342" t="s">
        <v>588</v>
      </c>
      <c r="B243" s="4355">
        <f t="shared" ref="B243:AK243" si="1144">SUM(B42+B75+B110+B133)</f>
        <v>225.07316322552762</v>
      </c>
      <c r="C243" s="4355">
        <f t="shared" si="1144"/>
        <v>225.07316322552762</v>
      </c>
      <c r="D243" s="4355">
        <f t="shared" si="1144"/>
        <v>0</v>
      </c>
      <c r="E243" s="4356">
        <f t="shared" si="1144"/>
        <v>107.782</v>
      </c>
      <c r="F243" s="4356">
        <f t="shared" si="1144"/>
        <v>107.782</v>
      </c>
      <c r="G243" s="4356">
        <f t="shared" si="1144"/>
        <v>0</v>
      </c>
      <c r="H243" s="4356">
        <f t="shared" si="1144"/>
        <v>64.866</v>
      </c>
      <c r="I243" s="4356">
        <f t="shared" si="1144"/>
        <v>64.866</v>
      </c>
      <c r="J243" s="4356">
        <f t="shared" si="1144"/>
        <v>0</v>
      </c>
      <c r="K243" s="4356">
        <f t="shared" si="1144"/>
        <v>93.243000000000009</v>
      </c>
      <c r="L243" s="4356">
        <f t="shared" si="1144"/>
        <v>93.243000000000009</v>
      </c>
      <c r="M243" s="4356">
        <f t="shared" si="1144"/>
        <v>0</v>
      </c>
      <c r="N243" s="4356">
        <f t="shared" si="1144"/>
        <v>265.89100000000002</v>
      </c>
      <c r="O243" s="4356">
        <f t="shared" si="1144"/>
        <v>265.89100000000002</v>
      </c>
      <c r="P243" s="4356">
        <f t="shared" si="1144"/>
        <v>0</v>
      </c>
      <c r="Q243" s="4355">
        <f t="shared" si="1144"/>
        <v>225.07316322552762</v>
      </c>
      <c r="R243" s="4355">
        <f t="shared" si="1144"/>
        <v>225.07316322552762</v>
      </c>
      <c r="S243" s="4355">
        <f t="shared" si="1144"/>
        <v>0</v>
      </c>
      <c r="T243" s="4356">
        <f t="shared" si="1144"/>
        <v>35.619999999999997</v>
      </c>
      <c r="U243" s="4356">
        <f t="shared" si="1144"/>
        <v>35.619999999999997</v>
      </c>
      <c r="V243" s="4356">
        <f t="shared" si="1144"/>
        <v>0</v>
      </c>
      <c r="W243" s="4356">
        <f t="shared" si="1144"/>
        <v>316.15199999999999</v>
      </c>
      <c r="X243" s="4356">
        <f t="shared" si="1144"/>
        <v>316.15199999999999</v>
      </c>
      <c r="Y243" s="4356">
        <f t="shared" si="1144"/>
        <v>0</v>
      </c>
      <c r="Z243" s="4356">
        <f t="shared" si="1144"/>
        <v>62.667999999999992</v>
      </c>
      <c r="AA243" s="4356">
        <f t="shared" si="1144"/>
        <v>62.667999999999992</v>
      </c>
      <c r="AB243" s="4356">
        <f t="shared" si="1144"/>
        <v>0</v>
      </c>
      <c r="AC243" s="4356">
        <f t="shared" si="1144"/>
        <v>414.43999999999994</v>
      </c>
      <c r="AD243" s="4356">
        <f t="shared" si="1144"/>
        <v>414.43999999999994</v>
      </c>
      <c r="AE243" s="4356">
        <f t="shared" si="1144"/>
        <v>0</v>
      </c>
      <c r="AF243" s="4357">
        <f t="shared" si="1144"/>
        <v>450.14632645105524</v>
      </c>
      <c r="AG243" s="4357">
        <f t="shared" si="1144"/>
        <v>450.14632645105524</v>
      </c>
      <c r="AH243" s="4357">
        <f t="shared" si="1144"/>
        <v>0</v>
      </c>
      <c r="AI243" s="4358">
        <f t="shared" si="1144"/>
        <v>680.33100000000002</v>
      </c>
      <c r="AJ243" s="4358">
        <f t="shared" si="1144"/>
        <v>680.33100000000002</v>
      </c>
      <c r="AK243" s="4358">
        <f t="shared" si="1144"/>
        <v>0</v>
      </c>
      <c r="AL243" s="4319">
        <f t="shared" si="1124"/>
        <v>230.18467354894477</v>
      </c>
      <c r="AM243" s="4319">
        <f t="shared" si="1125"/>
        <v>230.18467354894477</v>
      </c>
      <c r="AN243" s="4319">
        <f t="shared" si="1125"/>
        <v>0</v>
      </c>
      <c r="AO243" s="4355">
        <f t="shared" ref="AO243:BI243" si="1145">SUM(AO42+AO75+AO110+AO133)</f>
        <v>225.07316322552762</v>
      </c>
      <c r="AP243" s="4355">
        <f t="shared" si="1145"/>
        <v>225.07316322552762</v>
      </c>
      <c r="AQ243" s="4355">
        <f t="shared" si="1145"/>
        <v>0</v>
      </c>
      <c r="AR243" s="4356">
        <f t="shared" si="1145"/>
        <v>37.751000000000005</v>
      </c>
      <c r="AS243" s="4356">
        <f t="shared" si="1145"/>
        <v>37.751000000000005</v>
      </c>
      <c r="AT243" s="4356">
        <f t="shared" si="1145"/>
        <v>0</v>
      </c>
      <c r="AU243" s="4356">
        <f t="shared" si="1145"/>
        <v>0</v>
      </c>
      <c r="AV243" s="4356">
        <f t="shared" si="1145"/>
        <v>0</v>
      </c>
      <c r="AW243" s="4356">
        <f t="shared" si="1145"/>
        <v>0</v>
      </c>
      <c r="AX243" s="4356">
        <f t="shared" si="1145"/>
        <v>0</v>
      </c>
      <c r="AY243" s="4356">
        <f t="shared" si="1145"/>
        <v>0</v>
      </c>
      <c r="AZ243" s="4356">
        <f t="shared" si="1145"/>
        <v>0</v>
      </c>
      <c r="BA243" s="4356">
        <f t="shared" si="1145"/>
        <v>37.751000000000005</v>
      </c>
      <c r="BB243" s="4356">
        <f t="shared" si="1145"/>
        <v>37.751000000000005</v>
      </c>
      <c r="BC243" s="4356">
        <f t="shared" si="1145"/>
        <v>0</v>
      </c>
      <c r="BD243" s="4357">
        <f t="shared" si="1145"/>
        <v>675.21948967658284</v>
      </c>
      <c r="BE243" s="4357">
        <f t="shared" si="1145"/>
        <v>675.21948967658284</v>
      </c>
      <c r="BF243" s="4357">
        <f t="shared" si="1145"/>
        <v>0</v>
      </c>
      <c r="BG243" s="4358">
        <f t="shared" si="1145"/>
        <v>718.08199999999999</v>
      </c>
      <c r="BH243" s="4358">
        <f t="shared" si="1145"/>
        <v>718.08199999999999</v>
      </c>
      <c r="BI243" s="4358">
        <f t="shared" si="1145"/>
        <v>0</v>
      </c>
      <c r="BJ243" s="4319">
        <f t="shared" si="1127"/>
        <v>42.862510323417155</v>
      </c>
      <c r="BK243" s="4319">
        <f t="shared" si="1128"/>
        <v>42.862510323417155</v>
      </c>
      <c r="BL243" s="4319">
        <f t="shared" si="1128"/>
        <v>0</v>
      </c>
      <c r="BM243" s="4355">
        <f t="shared" ref="BM243:CG243" si="1146">SUM(BM42+BM75+BM110+BM133)</f>
        <v>225.07316322552762</v>
      </c>
      <c r="BN243" s="4355">
        <f t="shared" si="1146"/>
        <v>225.07316322552762</v>
      </c>
      <c r="BO243" s="4355">
        <f t="shared" si="1146"/>
        <v>0</v>
      </c>
      <c r="BP243" s="4356">
        <f t="shared" si="1146"/>
        <v>0</v>
      </c>
      <c r="BQ243" s="4356">
        <f t="shared" si="1146"/>
        <v>0</v>
      </c>
      <c r="BR243" s="4356">
        <f t="shared" si="1146"/>
        <v>0</v>
      </c>
      <c r="BS243" s="4356">
        <f t="shared" si="1146"/>
        <v>0</v>
      </c>
      <c r="BT243" s="4356">
        <f t="shared" si="1146"/>
        <v>0</v>
      </c>
      <c r="BU243" s="4356">
        <f t="shared" si="1146"/>
        <v>0</v>
      </c>
      <c r="BV243" s="4356">
        <f t="shared" si="1146"/>
        <v>0</v>
      </c>
      <c r="BW243" s="4356">
        <f t="shared" si="1146"/>
        <v>0</v>
      </c>
      <c r="BX243" s="4356">
        <f t="shared" si="1146"/>
        <v>0</v>
      </c>
      <c r="BY243" s="4356">
        <f t="shared" si="1146"/>
        <v>0</v>
      </c>
      <c r="BZ243" s="4356">
        <f t="shared" si="1146"/>
        <v>0</v>
      </c>
      <c r="CA243" s="4356">
        <f t="shared" si="1146"/>
        <v>0</v>
      </c>
      <c r="CB243" s="4357">
        <f t="shared" si="1146"/>
        <v>900.29265290211049</v>
      </c>
      <c r="CC243" s="4357">
        <f t="shared" si="1146"/>
        <v>900.29265290211049</v>
      </c>
      <c r="CD243" s="4357">
        <f t="shared" si="1146"/>
        <v>0</v>
      </c>
      <c r="CE243" s="4358">
        <f t="shared" si="1146"/>
        <v>718.08199999999999</v>
      </c>
      <c r="CF243" s="4358">
        <f t="shared" si="1146"/>
        <v>718.08199999999999</v>
      </c>
      <c r="CG243" s="4358">
        <f t="shared" si="1146"/>
        <v>0</v>
      </c>
      <c r="CH243" s="4319">
        <f t="shared" si="1130"/>
        <v>-182.2106529021105</v>
      </c>
      <c r="CI243" s="4319">
        <f t="shared" si="1131"/>
        <v>-182.2106529021105</v>
      </c>
      <c r="CJ243" s="4319">
        <f t="shared" si="1131"/>
        <v>0</v>
      </c>
      <c r="CK243" s="2746"/>
      <c r="CL243" s="2746"/>
      <c r="CM243" s="2746"/>
      <c r="CN243" s="2746"/>
    </row>
    <row r="244" spans="1:92" ht="18.75" x14ac:dyDescent="0.3">
      <c r="A244" s="4342" t="s">
        <v>3699</v>
      </c>
      <c r="B244" s="4355">
        <f t="shared" ref="B244:AK244" si="1147">SUM(B85)</f>
        <v>0</v>
      </c>
      <c r="C244" s="4355">
        <f t="shared" si="1147"/>
        <v>0</v>
      </c>
      <c r="D244" s="4355">
        <f t="shared" si="1147"/>
        <v>0</v>
      </c>
      <c r="E244" s="4356">
        <f t="shared" si="1147"/>
        <v>0</v>
      </c>
      <c r="F244" s="4356">
        <f t="shared" si="1147"/>
        <v>0</v>
      </c>
      <c r="G244" s="4356">
        <f t="shared" si="1147"/>
        <v>0</v>
      </c>
      <c r="H244" s="4356">
        <f t="shared" si="1147"/>
        <v>0</v>
      </c>
      <c r="I244" s="4356">
        <f t="shared" si="1147"/>
        <v>0</v>
      </c>
      <c r="J244" s="4356">
        <f t="shared" si="1147"/>
        <v>0</v>
      </c>
      <c r="K244" s="4356">
        <f t="shared" si="1147"/>
        <v>0</v>
      </c>
      <c r="L244" s="4356">
        <f t="shared" si="1147"/>
        <v>0</v>
      </c>
      <c r="M244" s="4356">
        <f t="shared" si="1147"/>
        <v>0</v>
      </c>
      <c r="N244" s="4356">
        <f t="shared" si="1147"/>
        <v>0</v>
      </c>
      <c r="O244" s="4356">
        <f t="shared" si="1147"/>
        <v>0</v>
      </c>
      <c r="P244" s="4356">
        <f t="shared" si="1147"/>
        <v>0</v>
      </c>
      <c r="Q244" s="4355">
        <f t="shared" si="1147"/>
        <v>0</v>
      </c>
      <c r="R244" s="4355">
        <f t="shared" si="1147"/>
        <v>0</v>
      </c>
      <c r="S244" s="4355">
        <f t="shared" si="1147"/>
        <v>0</v>
      </c>
      <c r="T244" s="4356">
        <f t="shared" si="1147"/>
        <v>0</v>
      </c>
      <c r="U244" s="4356">
        <f t="shared" si="1147"/>
        <v>0</v>
      </c>
      <c r="V244" s="4356">
        <f t="shared" si="1147"/>
        <v>0</v>
      </c>
      <c r="W244" s="4356">
        <f t="shared" si="1147"/>
        <v>0</v>
      </c>
      <c r="X244" s="4356">
        <f t="shared" si="1147"/>
        <v>0</v>
      </c>
      <c r="Y244" s="4356">
        <f t="shared" si="1147"/>
        <v>0</v>
      </c>
      <c r="Z244" s="4356">
        <f t="shared" si="1147"/>
        <v>0</v>
      </c>
      <c r="AA244" s="4356">
        <f t="shared" si="1147"/>
        <v>0</v>
      </c>
      <c r="AB244" s="4356">
        <f t="shared" si="1147"/>
        <v>0</v>
      </c>
      <c r="AC244" s="4356">
        <f t="shared" si="1147"/>
        <v>0</v>
      </c>
      <c r="AD244" s="4356">
        <f t="shared" si="1147"/>
        <v>0</v>
      </c>
      <c r="AE244" s="4356">
        <f t="shared" si="1147"/>
        <v>0</v>
      </c>
      <c r="AF244" s="4357">
        <f t="shared" si="1147"/>
        <v>0</v>
      </c>
      <c r="AG244" s="4357">
        <f t="shared" si="1147"/>
        <v>0</v>
      </c>
      <c r="AH244" s="4357">
        <f t="shared" si="1147"/>
        <v>0</v>
      </c>
      <c r="AI244" s="4358">
        <f t="shared" si="1147"/>
        <v>0</v>
      </c>
      <c r="AJ244" s="4358">
        <f t="shared" si="1147"/>
        <v>0</v>
      </c>
      <c r="AK244" s="4358">
        <f t="shared" si="1147"/>
        <v>0</v>
      </c>
      <c r="AL244" s="4319">
        <f t="shared" si="1124"/>
        <v>0</v>
      </c>
      <c r="AM244" s="4319">
        <f t="shared" si="1125"/>
        <v>0</v>
      </c>
      <c r="AN244" s="4319">
        <f t="shared" si="1125"/>
        <v>0</v>
      </c>
      <c r="AO244" s="4355">
        <f t="shared" ref="AO244:BI244" si="1148">SUM(AO85)</f>
        <v>0</v>
      </c>
      <c r="AP244" s="4355">
        <f t="shared" si="1148"/>
        <v>0</v>
      </c>
      <c r="AQ244" s="4355">
        <f t="shared" si="1148"/>
        <v>0</v>
      </c>
      <c r="AR244" s="4356">
        <f t="shared" si="1148"/>
        <v>0</v>
      </c>
      <c r="AS244" s="4356">
        <f t="shared" si="1148"/>
        <v>0</v>
      </c>
      <c r="AT244" s="4356">
        <f t="shared" si="1148"/>
        <v>0</v>
      </c>
      <c r="AU244" s="4356">
        <f t="shared" si="1148"/>
        <v>0</v>
      </c>
      <c r="AV244" s="4356">
        <f t="shared" si="1148"/>
        <v>0</v>
      </c>
      <c r="AW244" s="4356">
        <f t="shared" si="1148"/>
        <v>0</v>
      </c>
      <c r="AX244" s="4356">
        <f t="shared" si="1148"/>
        <v>0</v>
      </c>
      <c r="AY244" s="4356">
        <f t="shared" si="1148"/>
        <v>0</v>
      </c>
      <c r="AZ244" s="4356">
        <f t="shared" si="1148"/>
        <v>0</v>
      </c>
      <c r="BA244" s="4356">
        <f t="shared" si="1148"/>
        <v>0</v>
      </c>
      <c r="BB244" s="4356">
        <f t="shared" si="1148"/>
        <v>0</v>
      </c>
      <c r="BC244" s="4356">
        <f t="shared" si="1148"/>
        <v>0</v>
      </c>
      <c r="BD244" s="4357">
        <f t="shared" si="1148"/>
        <v>0</v>
      </c>
      <c r="BE244" s="4357">
        <f t="shared" si="1148"/>
        <v>0</v>
      </c>
      <c r="BF244" s="4357">
        <f t="shared" si="1148"/>
        <v>0</v>
      </c>
      <c r="BG244" s="4358">
        <f t="shared" si="1148"/>
        <v>0</v>
      </c>
      <c r="BH244" s="4358">
        <f t="shared" si="1148"/>
        <v>0</v>
      </c>
      <c r="BI244" s="4358">
        <f t="shared" si="1148"/>
        <v>0</v>
      </c>
      <c r="BJ244" s="4319">
        <f t="shared" si="1127"/>
        <v>0</v>
      </c>
      <c r="BK244" s="4319">
        <f t="shared" si="1128"/>
        <v>0</v>
      </c>
      <c r="BL244" s="4319">
        <f t="shared" si="1128"/>
        <v>0</v>
      </c>
      <c r="BM244" s="4355">
        <f t="shared" ref="BM244:CG244" si="1149">SUM(BM85)</f>
        <v>0</v>
      </c>
      <c r="BN244" s="4355">
        <f t="shared" si="1149"/>
        <v>0</v>
      </c>
      <c r="BO244" s="4355">
        <f t="shared" si="1149"/>
        <v>0</v>
      </c>
      <c r="BP244" s="4356">
        <f t="shared" si="1149"/>
        <v>0</v>
      </c>
      <c r="BQ244" s="4356">
        <f t="shared" si="1149"/>
        <v>0</v>
      </c>
      <c r="BR244" s="4356">
        <f t="shared" si="1149"/>
        <v>0</v>
      </c>
      <c r="BS244" s="4356">
        <f t="shared" si="1149"/>
        <v>0</v>
      </c>
      <c r="BT244" s="4356">
        <f t="shared" si="1149"/>
        <v>0</v>
      </c>
      <c r="BU244" s="4356">
        <f t="shared" si="1149"/>
        <v>0</v>
      </c>
      <c r="BV244" s="4356">
        <f t="shared" si="1149"/>
        <v>0</v>
      </c>
      <c r="BW244" s="4356">
        <f t="shared" si="1149"/>
        <v>0</v>
      </c>
      <c r="BX244" s="4356">
        <f t="shared" si="1149"/>
        <v>0</v>
      </c>
      <c r="BY244" s="4356">
        <f t="shared" si="1149"/>
        <v>0</v>
      </c>
      <c r="BZ244" s="4356">
        <f t="shared" si="1149"/>
        <v>0</v>
      </c>
      <c r="CA244" s="4356">
        <f t="shared" si="1149"/>
        <v>0</v>
      </c>
      <c r="CB244" s="4357">
        <f t="shared" si="1149"/>
        <v>0</v>
      </c>
      <c r="CC244" s="4357">
        <f t="shared" si="1149"/>
        <v>0</v>
      </c>
      <c r="CD244" s="4357">
        <f t="shared" si="1149"/>
        <v>0</v>
      </c>
      <c r="CE244" s="4358">
        <f t="shared" si="1149"/>
        <v>0</v>
      </c>
      <c r="CF244" s="4358">
        <f t="shared" si="1149"/>
        <v>0</v>
      </c>
      <c r="CG244" s="4358">
        <f t="shared" si="1149"/>
        <v>0</v>
      </c>
      <c r="CH244" s="4319">
        <f t="shared" si="1130"/>
        <v>0</v>
      </c>
      <c r="CI244" s="4319">
        <f t="shared" si="1131"/>
        <v>0</v>
      </c>
      <c r="CJ244" s="4319">
        <f t="shared" si="1131"/>
        <v>0</v>
      </c>
      <c r="CK244" s="2746"/>
      <c r="CL244" s="2746"/>
      <c r="CM244" s="2746"/>
      <c r="CN244" s="2746"/>
    </row>
    <row r="245" spans="1:92" ht="18.75" x14ac:dyDescent="0.3">
      <c r="A245" s="4342" t="s">
        <v>94</v>
      </c>
      <c r="B245" s="4355">
        <f t="shared" ref="B245:AK245" si="1150">SUM(B43+B78)</f>
        <v>32.582589410746799</v>
      </c>
      <c r="C245" s="4355">
        <f t="shared" si="1150"/>
        <v>32.582589410746799</v>
      </c>
      <c r="D245" s="4355">
        <f t="shared" si="1150"/>
        <v>0</v>
      </c>
      <c r="E245" s="4356">
        <f t="shared" si="1150"/>
        <v>0</v>
      </c>
      <c r="F245" s="4356">
        <f t="shared" si="1150"/>
        <v>0</v>
      </c>
      <c r="G245" s="4356">
        <f t="shared" si="1150"/>
        <v>0</v>
      </c>
      <c r="H245" s="4356">
        <f t="shared" si="1150"/>
        <v>0</v>
      </c>
      <c r="I245" s="4356">
        <f t="shared" si="1150"/>
        <v>0</v>
      </c>
      <c r="J245" s="4356">
        <f t="shared" si="1150"/>
        <v>0</v>
      </c>
      <c r="K245" s="4356">
        <f t="shared" si="1150"/>
        <v>21.175000000000001</v>
      </c>
      <c r="L245" s="4356">
        <f t="shared" si="1150"/>
        <v>21.175000000000001</v>
      </c>
      <c r="M245" s="4356">
        <f t="shared" si="1150"/>
        <v>0</v>
      </c>
      <c r="N245" s="4356">
        <f t="shared" si="1150"/>
        <v>21.175000000000001</v>
      </c>
      <c r="O245" s="4356">
        <f t="shared" si="1150"/>
        <v>21.175000000000001</v>
      </c>
      <c r="P245" s="4356">
        <f t="shared" si="1150"/>
        <v>0</v>
      </c>
      <c r="Q245" s="4355">
        <f t="shared" si="1150"/>
        <v>32.582589410746799</v>
      </c>
      <c r="R245" s="4355">
        <f t="shared" si="1150"/>
        <v>32.582589410746799</v>
      </c>
      <c r="S245" s="4355">
        <f t="shared" si="1150"/>
        <v>0</v>
      </c>
      <c r="T245" s="4356">
        <f t="shared" si="1150"/>
        <v>0</v>
      </c>
      <c r="U245" s="4356">
        <f t="shared" si="1150"/>
        <v>0</v>
      </c>
      <c r="V245" s="4356">
        <f t="shared" si="1150"/>
        <v>0</v>
      </c>
      <c r="W245" s="4356">
        <f t="shared" si="1150"/>
        <v>0</v>
      </c>
      <c r="X245" s="4356">
        <f t="shared" si="1150"/>
        <v>0</v>
      </c>
      <c r="Y245" s="4356">
        <f t="shared" si="1150"/>
        <v>0</v>
      </c>
      <c r="Z245" s="4356">
        <f t="shared" si="1150"/>
        <v>21.41</v>
      </c>
      <c r="AA245" s="4356">
        <f t="shared" si="1150"/>
        <v>21.41</v>
      </c>
      <c r="AB245" s="4356">
        <f t="shared" si="1150"/>
        <v>0</v>
      </c>
      <c r="AC245" s="4356">
        <f t="shared" si="1150"/>
        <v>21.41</v>
      </c>
      <c r="AD245" s="4356">
        <f t="shared" si="1150"/>
        <v>21.41</v>
      </c>
      <c r="AE245" s="4356">
        <f t="shared" si="1150"/>
        <v>0</v>
      </c>
      <c r="AF245" s="4357">
        <f t="shared" si="1150"/>
        <v>65.165178821493598</v>
      </c>
      <c r="AG245" s="4357">
        <f t="shared" si="1150"/>
        <v>65.165178821493598</v>
      </c>
      <c r="AH245" s="4357">
        <f t="shared" si="1150"/>
        <v>0</v>
      </c>
      <c r="AI245" s="4358">
        <f t="shared" si="1150"/>
        <v>42.585000000000001</v>
      </c>
      <c r="AJ245" s="4358">
        <f t="shared" si="1150"/>
        <v>42.585000000000001</v>
      </c>
      <c r="AK245" s="4358">
        <f t="shared" si="1150"/>
        <v>0</v>
      </c>
      <c r="AL245" s="4319">
        <f t="shared" si="1124"/>
        <v>-22.580178821493597</v>
      </c>
      <c r="AM245" s="4319">
        <f t="shared" si="1125"/>
        <v>-22.580178821493597</v>
      </c>
      <c r="AN245" s="4319">
        <f t="shared" si="1125"/>
        <v>0</v>
      </c>
      <c r="AO245" s="4355">
        <f t="shared" ref="AO245:BI245" si="1151">SUM(AO43+AO78)</f>
        <v>32.582589410746799</v>
      </c>
      <c r="AP245" s="4355">
        <f t="shared" si="1151"/>
        <v>32.582589410746799</v>
      </c>
      <c r="AQ245" s="4355">
        <f t="shared" si="1151"/>
        <v>0</v>
      </c>
      <c r="AR245" s="4356">
        <f t="shared" si="1151"/>
        <v>0</v>
      </c>
      <c r="AS245" s="4356">
        <f t="shared" si="1151"/>
        <v>0</v>
      </c>
      <c r="AT245" s="4356">
        <f t="shared" si="1151"/>
        <v>0</v>
      </c>
      <c r="AU245" s="4356">
        <f t="shared" si="1151"/>
        <v>0</v>
      </c>
      <c r="AV245" s="4356">
        <f t="shared" si="1151"/>
        <v>0</v>
      </c>
      <c r="AW245" s="4356">
        <f t="shared" si="1151"/>
        <v>0</v>
      </c>
      <c r="AX245" s="4356">
        <f t="shared" si="1151"/>
        <v>0</v>
      </c>
      <c r="AY245" s="4356">
        <f t="shared" si="1151"/>
        <v>0</v>
      </c>
      <c r="AZ245" s="4356">
        <f t="shared" si="1151"/>
        <v>0</v>
      </c>
      <c r="BA245" s="4356">
        <f t="shared" si="1151"/>
        <v>0</v>
      </c>
      <c r="BB245" s="4356">
        <f t="shared" si="1151"/>
        <v>0</v>
      </c>
      <c r="BC245" s="4356">
        <f t="shared" si="1151"/>
        <v>0</v>
      </c>
      <c r="BD245" s="4357">
        <f t="shared" si="1151"/>
        <v>97.747768232240389</v>
      </c>
      <c r="BE245" s="4357">
        <f t="shared" si="1151"/>
        <v>97.747768232240389</v>
      </c>
      <c r="BF245" s="4357">
        <f t="shared" si="1151"/>
        <v>0</v>
      </c>
      <c r="BG245" s="4358">
        <f t="shared" si="1151"/>
        <v>42.585000000000001</v>
      </c>
      <c r="BH245" s="4358">
        <f t="shared" si="1151"/>
        <v>42.585000000000001</v>
      </c>
      <c r="BI245" s="4358">
        <f t="shared" si="1151"/>
        <v>0</v>
      </c>
      <c r="BJ245" s="4319">
        <f t="shared" si="1127"/>
        <v>-55.162768232240388</v>
      </c>
      <c r="BK245" s="4319">
        <f t="shared" si="1128"/>
        <v>-55.162768232240388</v>
      </c>
      <c r="BL245" s="4319">
        <f t="shared" si="1128"/>
        <v>0</v>
      </c>
      <c r="BM245" s="4355">
        <f t="shared" ref="BM245:CG245" si="1152">SUM(BM43+BM78)</f>
        <v>32.582589410746799</v>
      </c>
      <c r="BN245" s="4355">
        <f t="shared" si="1152"/>
        <v>32.582589410746799</v>
      </c>
      <c r="BO245" s="4355">
        <f t="shared" si="1152"/>
        <v>0</v>
      </c>
      <c r="BP245" s="4356">
        <f t="shared" si="1152"/>
        <v>0</v>
      </c>
      <c r="BQ245" s="4356">
        <f t="shared" si="1152"/>
        <v>0</v>
      </c>
      <c r="BR245" s="4356">
        <f t="shared" si="1152"/>
        <v>0</v>
      </c>
      <c r="BS245" s="4356">
        <f t="shared" si="1152"/>
        <v>0</v>
      </c>
      <c r="BT245" s="4356">
        <f t="shared" si="1152"/>
        <v>0</v>
      </c>
      <c r="BU245" s="4356">
        <f t="shared" si="1152"/>
        <v>0</v>
      </c>
      <c r="BV245" s="4356">
        <f t="shared" si="1152"/>
        <v>0</v>
      </c>
      <c r="BW245" s="4356">
        <f t="shared" si="1152"/>
        <v>0</v>
      </c>
      <c r="BX245" s="4356">
        <f t="shared" si="1152"/>
        <v>0</v>
      </c>
      <c r="BY245" s="4356">
        <f t="shared" si="1152"/>
        <v>0</v>
      </c>
      <c r="BZ245" s="4356">
        <f t="shared" si="1152"/>
        <v>0</v>
      </c>
      <c r="CA245" s="4356">
        <f t="shared" si="1152"/>
        <v>0</v>
      </c>
      <c r="CB245" s="4357">
        <f t="shared" si="1152"/>
        <v>130.3303576429872</v>
      </c>
      <c r="CC245" s="4357">
        <f t="shared" si="1152"/>
        <v>130.3303576429872</v>
      </c>
      <c r="CD245" s="4357">
        <f t="shared" si="1152"/>
        <v>0</v>
      </c>
      <c r="CE245" s="4358">
        <f t="shared" si="1152"/>
        <v>42.585000000000001</v>
      </c>
      <c r="CF245" s="4358">
        <f t="shared" si="1152"/>
        <v>42.585000000000001</v>
      </c>
      <c r="CG245" s="4358">
        <f t="shared" si="1152"/>
        <v>0</v>
      </c>
      <c r="CH245" s="4319">
        <f t="shared" si="1130"/>
        <v>-87.745357642987187</v>
      </c>
      <c r="CI245" s="4319">
        <f t="shared" si="1131"/>
        <v>-87.745357642987187</v>
      </c>
      <c r="CJ245" s="4319">
        <f t="shared" si="1131"/>
        <v>0</v>
      </c>
      <c r="CK245" s="2746"/>
      <c r="CL245" s="2746"/>
      <c r="CM245" s="2746"/>
      <c r="CN245" s="2746"/>
    </row>
    <row r="246" spans="1:92" ht="18.75" x14ac:dyDescent="0.3">
      <c r="A246" s="4342" t="s">
        <v>590</v>
      </c>
      <c r="B246" s="4355">
        <f t="shared" ref="B246:AK246" si="1153">SUM(B77)</f>
        <v>0</v>
      </c>
      <c r="C246" s="4355">
        <f t="shared" si="1153"/>
        <v>0</v>
      </c>
      <c r="D246" s="4355">
        <f t="shared" si="1153"/>
        <v>0</v>
      </c>
      <c r="E246" s="4356">
        <f t="shared" si="1153"/>
        <v>0</v>
      </c>
      <c r="F246" s="4356">
        <f t="shared" si="1153"/>
        <v>0</v>
      </c>
      <c r="G246" s="4356">
        <f t="shared" si="1153"/>
        <v>0</v>
      </c>
      <c r="H246" s="4356">
        <f t="shared" si="1153"/>
        <v>0</v>
      </c>
      <c r="I246" s="4356">
        <f t="shared" si="1153"/>
        <v>0</v>
      </c>
      <c r="J246" s="4356">
        <f t="shared" si="1153"/>
        <v>0</v>
      </c>
      <c r="K246" s="4356">
        <f t="shared" si="1153"/>
        <v>0</v>
      </c>
      <c r="L246" s="4356">
        <f t="shared" si="1153"/>
        <v>0</v>
      </c>
      <c r="M246" s="4356">
        <f t="shared" si="1153"/>
        <v>0</v>
      </c>
      <c r="N246" s="4356">
        <f t="shared" si="1153"/>
        <v>0</v>
      </c>
      <c r="O246" s="4356">
        <f t="shared" si="1153"/>
        <v>0</v>
      </c>
      <c r="P246" s="4356">
        <f t="shared" si="1153"/>
        <v>0</v>
      </c>
      <c r="Q246" s="4355">
        <f t="shared" si="1153"/>
        <v>0</v>
      </c>
      <c r="R246" s="4355">
        <f t="shared" si="1153"/>
        <v>0</v>
      </c>
      <c r="S246" s="4355">
        <f t="shared" si="1153"/>
        <v>0</v>
      </c>
      <c r="T246" s="4356">
        <f t="shared" si="1153"/>
        <v>0</v>
      </c>
      <c r="U246" s="4356">
        <f t="shared" si="1153"/>
        <v>0</v>
      </c>
      <c r="V246" s="4356">
        <f t="shared" si="1153"/>
        <v>0</v>
      </c>
      <c r="W246" s="4356">
        <f t="shared" si="1153"/>
        <v>0</v>
      </c>
      <c r="X246" s="4356">
        <f t="shared" si="1153"/>
        <v>0</v>
      </c>
      <c r="Y246" s="4356">
        <f t="shared" si="1153"/>
        <v>0</v>
      </c>
      <c r="Z246" s="4356">
        <f t="shared" si="1153"/>
        <v>0</v>
      </c>
      <c r="AA246" s="4356">
        <f t="shared" si="1153"/>
        <v>0</v>
      </c>
      <c r="AB246" s="4356">
        <f t="shared" si="1153"/>
        <v>0</v>
      </c>
      <c r="AC246" s="4356">
        <f t="shared" si="1153"/>
        <v>0</v>
      </c>
      <c r="AD246" s="4356">
        <f t="shared" si="1153"/>
        <v>0</v>
      </c>
      <c r="AE246" s="4356">
        <f t="shared" si="1153"/>
        <v>0</v>
      </c>
      <c r="AF246" s="4357">
        <f t="shared" si="1153"/>
        <v>0</v>
      </c>
      <c r="AG246" s="4357">
        <f t="shared" si="1153"/>
        <v>0</v>
      </c>
      <c r="AH246" s="4357">
        <f t="shared" si="1153"/>
        <v>0</v>
      </c>
      <c r="AI246" s="4358">
        <f t="shared" si="1153"/>
        <v>0</v>
      </c>
      <c r="AJ246" s="4358">
        <f t="shared" si="1153"/>
        <v>0</v>
      </c>
      <c r="AK246" s="4358">
        <f t="shared" si="1153"/>
        <v>0</v>
      </c>
      <c r="AL246" s="4319">
        <f t="shared" si="1124"/>
        <v>0</v>
      </c>
      <c r="AM246" s="4319">
        <f t="shared" si="1125"/>
        <v>0</v>
      </c>
      <c r="AN246" s="4319">
        <f t="shared" si="1125"/>
        <v>0</v>
      </c>
      <c r="AO246" s="4355">
        <f t="shared" ref="AO246:BI246" si="1154">SUM(AO77)</f>
        <v>0</v>
      </c>
      <c r="AP246" s="4355">
        <f t="shared" si="1154"/>
        <v>0</v>
      </c>
      <c r="AQ246" s="4355">
        <f t="shared" si="1154"/>
        <v>0</v>
      </c>
      <c r="AR246" s="4356">
        <f t="shared" si="1154"/>
        <v>0</v>
      </c>
      <c r="AS246" s="4356">
        <f t="shared" si="1154"/>
        <v>0</v>
      </c>
      <c r="AT246" s="4356">
        <f t="shared" si="1154"/>
        <v>0</v>
      </c>
      <c r="AU246" s="4356">
        <f t="shared" si="1154"/>
        <v>0</v>
      </c>
      <c r="AV246" s="4356">
        <f t="shared" si="1154"/>
        <v>0</v>
      </c>
      <c r="AW246" s="4356">
        <f t="shared" si="1154"/>
        <v>0</v>
      </c>
      <c r="AX246" s="4356">
        <f t="shared" si="1154"/>
        <v>0</v>
      </c>
      <c r="AY246" s="4356">
        <f t="shared" si="1154"/>
        <v>0</v>
      </c>
      <c r="AZ246" s="4356">
        <f t="shared" si="1154"/>
        <v>0</v>
      </c>
      <c r="BA246" s="4356">
        <f t="shared" si="1154"/>
        <v>0</v>
      </c>
      <c r="BB246" s="4356">
        <f t="shared" si="1154"/>
        <v>0</v>
      </c>
      <c r="BC246" s="4356">
        <f t="shared" si="1154"/>
        <v>0</v>
      </c>
      <c r="BD246" s="4357">
        <f t="shared" si="1154"/>
        <v>0</v>
      </c>
      <c r="BE246" s="4357">
        <f t="shared" si="1154"/>
        <v>0</v>
      </c>
      <c r="BF246" s="4357">
        <f t="shared" si="1154"/>
        <v>0</v>
      </c>
      <c r="BG246" s="4358">
        <f t="shared" si="1154"/>
        <v>0</v>
      </c>
      <c r="BH246" s="4358">
        <f t="shared" si="1154"/>
        <v>0</v>
      </c>
      <c r="BI246" s="4358">
        <f t="shared" si="1154"/>
        <v>0</v>
      </c>
      <c r="BJ246" s="4319">
        <f t="shared" si="1127"/>
        <v>0</v>
      </c>
      <c r="BK246" s="4319">
        <f t="shared" si="1128"/>
        <v>0</v>
      </c>
      <c r="BL246" s="4319">
        <f t="shared" si="1128"/>
        <v>0</v>
      </c>
      <c r="BM246" s="4355">
        <f t="shared" ref="BM246:CG246" si="1155">SUM(BM77)</f>
        <v>0</v>
      </c>
      <c r="BN246" s="4355">
        <f t="shared" si="1155"/>
        <v>0</v>
      </c>
      <c r="BO246" s="4355">
        <f t="shared" si="1155"/>
        <v>0</v>
      </c>
      <c r="BP246" s="4356">
        <f t="shared" si="1155"/>
        <v>0</v>
      </c>
      <c r="BQ246" s="4356">
        <f t="shared" si="1155"/>
        <v>0</v>
      </c>
      <c r="BR246" s="4356">
        <f t="shared" si="1155"/>
        <v>0</v>
      </c>
      <c r="BS246" s="4356">
        <f t="shared" si="1155"/>
        <v>0</v>
      </c>
      <c r="BT246" s="4356">
        <f t="shared" si="1155"/>
        <v>0</v>
      </c>
      <c r="BU246" s="4356">
        <f t="shared" si="1155"/>
        <v>0</v>
      </c>
      <c r="BV246" s="4356">
        <f t="shared" si="1155"/>
        <v>0</v>
      </c>
      <c r="BW246" s="4356">
        <f t="shared" si="1155"/>
        <v>0</v>
      </c>
      <c r="BX246" s="4356">
        <f t="shared" si="1155"/>
        <v>0</v>
      </c>
      <c r="BY246" s="4356">
        <f t="shared" si="1155"/>
        <v>0</v>
      </c>
      <c r="BZ246" s="4356">
        <f t="shared" si="1155"/>
        <v>0</v>
      </c>
      <c r="CA246" s="4356">
        <f t="shared" si="1155"/>
        <v>0</v>
      </c>
      <c r="CB246" s="4357">
        <f t="shared" si="1155"/>
        <v>0</v>
      </c>
      <c r="CC246" s="4357">
        <f t="shared" si="1155"/>
        <v>0</v>
      </c>
      <c r="CD246" s="4357">
        <f t="shared" si="1155"/>
        <v>0</v>
      </c>
      <c r="CE246" s="4358">
        <f t="shared" si="1155"/>
        <v>0</v>
      </c>
      <c r="CF246" s="4358">
        <f t="shared" si="1155"/>
        <v>0</v>
      </c>
      <c r="CG246" s="4358">
        <f t="shared" si="1155"/>
        <v>0</v>
      </c>
      <c r="CH246" s="4319">
        <f t="shared" si="1130"/>
        <v>0</v>
      </c>
      <c r="CI246" s="4319">
        <f t="shared" si="1131"/>
        <v>0</v>
      </c>
      <c r="CJ246" s="4319">
        <f t="shared" si="1131"/>
        <v>0</v>
      </c>
      <c r="CK246" s="2746"/>
      <c r="CL246" s="2746"/>
      <c r="CM246" s="2746"/>
      <c r="CN246" s="2746"/>
    </row>
    <row r="247" spans="1:92" ht="18.75" x14ac:dyDescent="0.3">
      <c r="A247" s="4342" t="s">
        <v>42</v>
      </c>
      <c r="B247" s="4355">
        <f t="shared" ref="B247:AK247" si="1156">SUM(B79)</f>
        <v>24.579650000000001</v>
      </c>
      <c r="C247" s="4355">
        <f t="shared" si="1156"/>
        <v>24.579650000000001</v>
      </c>
      <c r="D247" s="4355">
        <f t="shared" si="1156"/>
        <v>0</v>
      </c>
      <c r="E247" s="4356">
        <f t="shared" si="1156"/>
        <v>0</v>
      </c>
      <c r="F247" s="4356">
        <f t="shared" si="1156"/>
        <v>0</v>
      </c>
      <c r="G247" s="4356">
        <f t="shared" si="1156"/>
        <v>0</v>
      </c>
      <c r="H247" s="4356">
        <f t="shared" si="1156"/>
        <v>0</v>
      </c>
      <c r="I247" s="4356">
        <f t="shared" si="1156"/>
        <v>0</v>
      </c>
      <c r="J247" s="4356">
        <f t="shared" si="1156"/>
        <v>0</v>
      </c>
      <c r="K247" s="4356">
        <f t="shared" si="1156"/>
        <v>7.0179999999999998</v>
      </c>
      <c r="L247" s="4356">
        <f t="shared" si="1156"/>
        <v>7.0179999999999998</v>
      </c>
      <c r="M247" s="4356">
        <f t="shared" si="1156"/>
        <v>0</v>
      </c>
      <c r="N247" s="4356">
        <f t="shared" si="1156"/>
        <v>7.0179999999999998</v>
      </c>
      <c r="O247" s="4356">
        <f t="shared" si="1156"/>
        <v>7.0179999999999998</v>
      </c>
      <c r="P247" s="4356">
        <f t="shared" si="1156"/>
        <v>0</v>
      </c>
      <c r="Q247" s="4355">
        <f t="shared" si="1156"/>
        <v>24.579650000000001</v>
      </c>
      <c r="R247" s="4355">
        <f t="shared" si="1156"/>
        <v>24.579650000000001</v>
      </c>
      <c r="S247" s="4355">
        <f t="shared" si="1156"/>
        <v>0</v>
      </c>
      <c r="T247" s="4356">
        <f t="shared" si="1156"/>
        <v>0</v>
      </c>
      <c r="U247" s="4356">
        <f t="shared" si="1156"/>
        <v>0</v>
      </c>
      <c r="V247" s="4356">
        <f t="shared" si="1156"/>
        <v>0</v>
      </c>
      <c r="W247" s="4356">
        <f t="shared" si="1156"/>
        <v>0</v>
      </c>
      <c r="X247" s="4356">
        <f t="shared" si="1156"/>
        <v>0</v>
      </c>
      <c r="Y247" s="4356">
        <f t="shared" si="1156"/>
        <v>0</v>
      </c>
      <c r="Z247" s="4356">
        <f t="shared" si="1156"/>
        <v>38.566000000000003</v>
      </c>
      <c r="AA247" s="4356">
        <f t="shared" si="1156"/>
        <v>38.566000000000003</v>
      </c>
      <c r="AB247" s="4356">
        <f t="shared" si="1156"/>
        <v>0</v>
      </c>
      <c r="AC247" s="4356">
        <f t="shared" si="1156"/>
        <v>38.566000000000003</v>
      </c>
      <c r="AD247" s="4356">
        <f t="shared" si="1156"/>
        <v>38.566000000000003</v>
      </c>
      <c r="AE247" s="4356">
        <f t="shared" si="1156"/>
        <v>0</v>
      </c>
      <c r="AF247" s="4357">
        <f t="shared" si="1156"/>
        <v>49.159300000000002</v>
      </c>
      <c r="AG247" s="4357">
        <f t="shared" si="1156"/>
        <v>49.159300000000002</v>
      </c>
      <c r="AH247" s="4357">
        <f t="shared" si="1156"/>
        <v>0</v>
      </c>
      <c r="AI247" s="4358">
        <f t="shared" si="1156"/>
        <v>45.584000000000003</v>
      </c>
      <c r="AJ247" s="4358">
        <f t="shared" si="1156"/>
        <v>45.584000000000003</v>
      </c>
      <c r="AK247" s="4358">
        <f t="shared" si="1156"/>
        <v>0</v>
      </c>
      <c r="AL247" s="4319">
        <f t="shared" si="1124"/>
        <v>-3.5752999999999986</v>
      </c>
      <c r="AM247" s="4319">
        <f t="shared" si="1125"/>
        <v>-3.5752999999999986</v>
      </c>
      <c r="AN247" s="4319">
        <f t="shared" si="1125"/>
        <v>0</v>
      </c>
      <c r="AO247" s="4355">
        <f t="shared" ref="AO247:BI247" si="1157">SUM(AO79)</f>
        <v>24.579650000000001</v>
      </c>
      <c r="AP247" s="4355">
        <f t="shared" si="1157"/>
        <v>24.579650000000001</v>
      </c>
      <c r="AQ247" s="4355">
        <f t="shared" si="1157"/>
        <v>0</v>
      </c>
      <c r="AR247" s="4356">
        <f t="shared" si="1157"/>
        <v>0</v>
      </c>
      <c r="AS247" s="4356">
        <f t="shared" si="1157"/>
        <v>0</v>
      </c>
      <c r="AT247" s="4356">
        <f t="shared" si="1157"/>
        <v>0</v>
      </c>
      <c r="AU247" s="4356">
        <f t="shared" si="1157"/>
        <v>0</v>
      </c>
      <c r="AV247" s="4356">
        <f t="shared" si="1157"/>
        <v>0</v>
      </c>
      <c r="AW247" s="4356">
        <f t="shared" si="1157"/>
        <v>0</v>
      </c>
      <c r="AX247" s="4356">
        <f t="shared" si="1157"/>
        <v>0</v>
      </c>
      <c r="AY247" s="4356">
        <f t="shared" si="1157"/>
        <v>0</v>
      </c>
      <c r="AZ247" s="4356">
        <f t="shared" si="1157"/>
        <v>0</v>
      </c>
      <c r="BA247" s="4356">
        <f t="shared" si="1157"/>
        <v>0</v>
      </c>
      <c r="BB247" s="4356">
        <f t="shared" si="1157"/>
        <v>0</v>
      </c>
      <c r="BC247" s="4356">
        <f t="shared" si="1157"/>
        <v>0</v>
      </c>
      <c r="BD247" s="4357">
        <f t="shared" si="1157"/>
        <v>73.738950000000003</v>
      </c>
      <c r="BE247" s="4357">
        <f t="shared" si="1157"/>
        <v>73.738950000000003</v>
      </c>
      <c r="BF247" s="4357">
        <f t="shared" si="1157"/>
        <v>0</v>
      </c>
      <c r="BG247" s="4358">
        <f t="shared" si="1157"/>
        <v>45.584000000000003</v>
      </c>
      <c r="BH247" s="4358">
        <f t="shared" si="1157"/>
        <v>45.584000000000003</v>
      </c>
      <c r="BI247" s="4358">
        <f t="shared" si="1157"/>
        <v>0</v>
      </c>
      <c r="BJ247" s="4319">
        <f t="shared" si="1127"/>
        <v>-28.154949999999999</v>
      </c>
      <c r="BK247" s="4319">
        <f t="shared" si="1128"/>
        <v>-28.154949999999999</v>
      </c>
      <c r="BL247" s="4319">
        <f t="shared" si="1128"/>
        <v>0</v>
      </c>
      <c r="BM247" s="4355">
        <f t="shared" ref="BM247:CG247" si="1158">SUM(BM79)</f>
        <v>24.579650000000001</v>
      </c>
      <c r="BN247" s="4355">
        <f t="shared" si="1158"/>
        <v>24.579650000000001</v>
      </c>
      <c r="BO247" s="4355">
        <f t="shared" si="1158"/>
        <v>0</v>
      </c>
      <c r="BP247" s="4356">
        <f t="shared" si="1158"/>
        <v>0</v>
      </c>
      <c r="BQ247" s="4356">
        <f t="shared" si="1158"/>
        <v>0</v>
      </c>
      <c r="BR247" s="4356">
        <f t="shared" si="1158"/>
        <v>0</v>
      </c>
      <c r="BS247" s="4356">
        <f t="shared" si="1158"/>
        <v>0</v>
      </c>
      <c r="BT247" s="4356">
        <f t="shared" si="1158"/>
        <v>0</v>
      </c>
      <c r="BU247" s="4356">
        <f t="shared" si="1158"/>
        <v>0</v>
      </c>
      <c r="BV247" s="4356">
        <f t="shared" si="1158"/>
        <v>0</v>
      </c>
      <c r="BW247" s="4356">
        <f t="shared" si="1158"/>
        <v>0</v>
      </c>
      <c r="BX247" s="4356">
        <f t="shared" si="1158"/>
        <v>0</v>
      </c>
      <c r="BY247" s="4356">
        <f t="shared" si="1158"/>
        <v>0</v>
      </c>
      <c r="BZ247" s="4356">
        <f t="shared" si="1158"/>
        <v>0</v>
      </c>
      <c r="CA247" s="4356">
        <f t="shared" si="1158"/>
        <v>0</v>
      </c>
      <c r="CB247" s="4357">
        <f t="shared" si="1158"/>
        <v>98.318600000000004</v>
      </c>
      <c r="CC247" s="4357">
        <f t="shared" si="1158"/>
        <v>98.318600000000004</v>
      </c>
      <c r="CD247" s="4357">
        <f t="shared" si="1158"/>
        <v>0</v>
      </c>
      <c r="CE247" s="4358">
        <f t="shared" si="1158"/>
        <v>45.584000000000003</v>
      </c>
      <c r="CF247" s="4358">
        <f t="shared" si="1158"/>
        <v>45.584000000000003</v>
      </c>
      <c r="CG247" s="4358">
        <f t="shared" si="1158"/>
        <v>0</v>
      </c>
      <c r="CH247" s="4319">
        <f t="shared" si="1130"/>
        <v>-52.7346</v>
      </c>
      <c r="CI247" s="4319">
        <f t="shared" si="1131"/>
        <v>-52.7346</v>
      </c>
      <c r="CJ247" s="4319">
        <f t="shared" si="1131"/>
        <v>0</v>
      </c>
      <c r="CK247" s="2746"/>
      <c r="CL247" s="2746"/>
      <c r="CM247" s="2746"/>
      <c r="CN247" s="2746"/>
    </row>
    <row r="248" spans="1:92" ht="18.75" x14ac:dyDescent="0.3">
      <c r="A248" s="4342" t="s">
        <v>3697</v>
      </c>
      <c r="B248" s="4355">
        <f t="shared" ref="B248:AK248" si="1159">SUM(B76)</f>
        <v>0</v>
      </c>
      <c r="C248" s="4355">
        <f t="shared" si="1159"/>
        <v>0</v>
      </c>
      <c r="D248" s="4355">
        <f t="shared" si="1159"/>
        <v>0</v>
      </c>
      <c r="E248" s="4356">
        <f t="shared" si="1159"/>
        <v>0</v>
      </c>
      <c r="F248" s="4356">
        <f t="shared" si="1159"/>
        <v>0</v>
      </c>
      <c r="G248" s="4356">
        <f t="shared" si="1159"/>
        <v>0</v>
      </c>
      <c r="H248" s="4356">
        <f t="shared" si="1159"/>
        <v>0</v>
      </c>
      <c r="I248" s="4356">
        <f t="shared" si="1159"/>
        <v>0</v>
      </c>
      <c r="J248" s="4356">
        <f t="shared" si="1159"/>
        <v>0</v>
      </c>
      <c r="K248" s="4356">
        <f t="shared" si="1159"/>
        <v>0</v>
      </c>
      <c r="L248" s="4356">
        <f t="shared" si="1159"/>
        <v>0</v>
      </c>
      <c r="M248" s="4356">
        <f t="shared" si="1159"/>
        <v>0</v>
      </c>
      <c r="N248" s="4356">
        <f t="shared" si="1159"/>
        <v>0</v>
      </c>
      <c r="O248" s="4356">
        <f t="shared" si="1159"/>
        <v>0</v>
      </c>
      <c r="P248" s="4356">
        <f t="shared" si="1159"/>
        <v>0</v>
      </c>
      <c r="Q248" s="4355">
        <f t="shared" si="1159"/>
        <v>0</v>
      </c>
      <c r="R248" s="4355">
        <f t="shared" si="1159"/>
        <v>0</v>
      </c>
      <c r="S248" s="4355">
        <f t="shared" si="1159"/>
        <v>0</v>
      </c>
      <c r="T248" s="4356">
        <f t="shared" si="1159"/>
        <v>0</v>
      </c>
      <c r="U248" s="4356">
        <f t="shared" si="1159"/>
        <v>0</v>
      </c>
      <c r="V248" s="4356">
        <f t="shared" si="1159"/>
        <v>0</v>
      </c>
      <c r="W248" s="4356">
        <f t="shared" si="1159"/>
        <v>0</v>
      </c>
      <c r="X248" s="4356">
        <f t="shared" si="1159"/>
        <v>0</v>
      </c>
      <c r="Y248" s="4356">
        <f t="shared" si="1159"/>
        <v>0</v>
      </c>
      <c r="Z248" s="4356">
        <f t="shared" si="1159"/>
        <v>0</v>
      </c>
      <c r="AA248" s="4356">
        <f t="shared" si="1159"/>
        <v>0</v>
      </c>
      <c r="AB248" s="4356">
        <f t="shared" si="1159"/>
        <v>0</v>
      </c>
      <c r="AC248" s="4356">
        <f t="shared" si="1159"/>
        <v>0</v>
      </c>
      <c r="AD248" s="4356">
        <f t="shared" si="1159"/>
        <v>0</v>
      </c>
      <c r="AE248" s="4356">
        <f t="shared" si="1159"/>
        <v>0</v>
      </c>
      <c r="AF248" s="4357">
        <f t="shared" si="1159"/>
        <v>0</v>
      </c>
      <c r="AG248" s="4357">
        <f t="shared" si="1159"/>
        <v>0</v>
      </c>
      <c r="AH248" s="4357">
        <f t="shared" si="1159"/>
        <v>0</v>
      </c>
      <c r="AI248" s="4358">
        <f t="shared" si="1159"/>
        <v>0</v>
      </c>
      <c r="AJ248" s="4358">
        <f t="shared" si="1159"/>
        <v>0</v>
      </c>
      <c r="AK248" s="4358">
        <f t="shared" si="1159"/>
        <v>0</v>
      </c>
      <c r="AL248" s="4319">
        <f t="shared" si="1124"/>
        <v>0</v>
      </c>
      <c r="AM248" s="4319">
        <f t="shared" si="1125"/>
        <v>0</v>
      </c>
      <c r="AN248" s="4319">
        <f t="shared" si="1125"/>
        <v>0</v>
      </c>
      <c r="AO248" s="4355">
        <f t="shared" ref="AO248:BI248" si="1160">SUM(AO76)</f>
        <v>0</v>
      </c>
      <c r="AP248" s="4355">
        <f t="shared" si="1160"/>
        <v>0</v>
      </c>
      <c r="AQ248" s="4355">
        <f t="shared" si="1160"/>
        <v>0</v>
      </c>
      <c r="AR248" s="4356">
        <f t="shared" si="1160"/>
        <v>0</v>
      </c>
      <c r="AS248" s="4356">
        <f t="shared" si="1160"/>
        <v>0</v>
      </c>
      <c r="AT248" s="4356">
        <f t="shared" si="1160"/>
        <v>0</v>
      </c>
      <c r="AU248" s="4356">
        <f t="shared" si="1160"/>
        <v>0</v>
      </c>
      <c r="AV248" s="4356">
        <f t="shared" si="1160"/>
        <v>0</v>
      </c>
      <c r="AW248" s="4356">
        <f t="shared" si="1160"/>
        <v>0</v>
      </c>
      <c r="AX248" s="4356">
        <f t="shared" si="1160"/>
        <v>0</v>
      </c>
      <c r="AY248" s="4356">
        <f t="shared" si="1160"/>
        <v>0</v>
      </c>
      <c r="AZ248" s="4356">
        <f t="shared" si="1160"/>
        <v>0</v>
      </c>
      <c r="BA248" s="4356">
        <f t="shared" si="1160"/>
        <v>0</v>
      </c>
      <c r="BB248" s="4356">
        <f t="shared" si="1160"/>
        <v>0</v>
      </c>
      <c r="BC248" s="4356">
        <f t="shared" si="1160"/>
        <v>0</v>
      </c>
      <c r="BD248" s="4357">
        <f t="shared" si="1160"/>
        <v>0</v>
      </c>
      <c r="BE248" s="4357">
        <f t="shared" si="1160"/>
        <v>0</v>
      </c>
      <c r="BF248" s="4357">
        <f t="shared" si="1160"/>
        <v>0</v>
      </c>
      <c r="BG248" s="4358">
        <f t="shared" si="1160"/>
        <v>0</v>
      </c>
      <c r="BH248" s="4358">
        <f t="shared" si="1160"/>
        <v>0</v>
      </c>
      <c r="BI248" s="4358">
        <f t="shared" si="1160"/>
        <v>0</v>
      </c>
      <c r="BJ248" s="4319">
        <f t="shared" si="1127"/>
        <v>0</v>
      </c>
      <c r="BK248" s="4319">
        <f t="shared" si="1128"/>
        <v>0</v>
      </c>
      <c r="BL248" s="4319">
        <f t="shared" si="1128"/>
        <v>0</v>
      </c>
      <c r="BM248" s="4355">
        <f t="shared" ref="BM248:CG248" si="1161">SUM(BM76)</f>
        <v>0</v>
      </c>
      <c r="BN248" s="4355">
        <f t="shared" si="1161"/>
        <v>0</v>
      </c>
      <c r="BO248" s="4355">
        <f t="shared" si="1161"/>
        <v>0</v>
      </c>
      <c r="BP248" s="4356">
        <f t="shared" si="1161"/>
        <v>0</v>
      </c>
      <c r="BQ248" s="4356">
        <f t="shared" si="1161"/>
        <v>0</v>
      </c>
      <c r="BR248" s="4356">
        <f t="shared" si="1161"/>
        <v>0</v>
      </c>
      <c r="BS248" s="4356">
        <f t="shared" si="1161"/>
        <v>0</v>
      </c>
      <c r="BT248" s="4356">
        <f t="shared" si="1161"/>
        <v>0</v>
      </c>
      <c r="BU248" s="4356">
        <f t="shared" si="1161"/>
        <v>0</v>
      </c>
      <c r="BV248" s="4356">
        <f t="shared" si="1161"/>
        <v>0</v>
      </c>
      <c r="BW248" s="4356">
        <f t="shared" si="1161"/>
        <v>0</v>
      </c>
      <c r="BX248" s="4356">
        <f t="shared" si="1161"/>
        <v>0</v>
      </c>
      <c r="BY248" s="4356">
        <f t="shared" si="1161"/>
        <v>0</v>
      </c>
      <c r="BZ248" s="4356">
        <f t="shared" si="1161"/>
        <v>0</v>
      </c>
      <c r="CA248" s="4356">
        <f t="shared" si="1161"/>
        <v>0</v>
      </c>
      <c r="CB248" s="4357">
        <f t="shared" si="1161"/>
        <v>0</v>
      </c>
      <c r="CC248" s="4357">
        <f t="shared" si="1161"/>
        <v>0</v>
      </c>
      <c r="CD248" s="4357">
        <f t="shared" si="1161"/>
        <v>0</v>
      </c>
      <c r="CE248" s="4358">
        <f t="shared" si="1161"/>
        <v>0</v>
      </c>
      <c r="CF248" s="4358">
        <f t="shared" si="1161"/>
        <v>0</v>
      </c>
      <c r="CG248" s="4358">
        <f t="shared" si="1161"/>
        <v>0</v>
      </c>
      <c r="CH248" s="4319">
        <f t="shared" si="1130"/>
        <v>0</v>
      </c>
      <c r="CI248" s="4319">
        <f t="shared" si="1131"/>
        <v>0</v>
      </c>
      <c r="CJ248" s="4319">
        <f t="shared" si="1131"/>
        <v>0</v>
      </c>
      <c r="CK248" s="2746"/>
      <c r="CL248" s="2746"/>
      <c r="CM248" s="2746"/>
      <c r="CN248" s="2746"/>
    </row>
    <row r="249" spans="1:92" ht="18.75" x14ac:dyDescent="0.3">
      <c r="A249" s="4342" t="s">
        <v>32</v>
      </c>
      <c r="B249" s="4355">
        <f t="shared" ref="B249:AK249" si="1162">SUM(B87+B115+B135)</f>
        <v>107.48700000000001</v>
      </c>
      <c r="C249" s="4355">
        <f t="shared" si="1162"/>
        <v>107.48700000000001</v>
      </c>
      <c r="D249" s="4355">
        <f t="shared" si="1162"/>
        <v>0</v>
      </c>
      <c r="E249" s="4356">
        <f t="shared" si="1162"/>
        <v>387.76599999999996</v>
      </c>
      <c r="F249" s="4356">
        <f t="shared" si="1162"/>
        <v>387.76599999999996</v>
      </c>
      <c r="G249" s="4356">
        <f t="shared" si="1162"/>
        <v>0</v>
      </c>
      <c r="H249" s="4356">
        <f t="shared" si="1162"/>
        <v>368.334</v>
      </c>
      <c r="I249" s="4356">
        <f t="shared" si="1162"/>
        <v>368.334</v>
      </c>
      <c r="J249" s="4356">
        <f t="shared" si="1162"/>
        <v>0</v>
      </c>
      <c r="K249" s="4356">
        <f t="shared" si="1162"/>
        <v>285.54499999999996</v>
      </c>
      <c r="L249" s="4356">
        <f t="shared" si="1162"/>
        <v>285.54499999999996</v>
      </c>
      <c r="M249" s="4356">
        <f t="shared" si="1162"/>
        <v>0</v>
      </c>
      <c r="N249" s="4356">
        <f t="shared" si="1162"/>
        <v>1041.645</v>
      </c>
      <c r="O249" s="4356">
        <f t="shared" si="1162"/>
        <v>1041.645</v>
      </c>
      <c r="P249" s="4356">
        <f t="shared" si="1162"/>
        <v>0</v>
      </c>
      <c r="Q249" s="4355">
        <f t="shared" si="1162"/>
        <v>107.48700000000001</v>
      </c>
      <c r="R249" s="4355">
        <f t="shared" si="1162"/>
        <v>107.48700000000001</v>
      </c>
      <c r="S249" s="4355">
        <f t="shared" si="1162"/>
        <v>0</v>
      </c>
      <c r="T249" s="4356">
        <f t="shared" si="1162"/>
        <v>464.10799999999995</v>
      </c>
      <c r="U249" s="4356">
        <f t="shared" si="1162"/>
        <v>464.10799999999995</v>
      </c>
      <c r="V249" s="4356">
        <f t="shared" si="1162"/>
        <v>0</v>
      </c>
      <c r="W249" s="4356">
        <f t="shared" si="1162"/>
        <v>297.334</v>
      </c>
      <c r="X249" s="4356">
        <f t="shared" si="1162"/>
        <v>297.334</v>
      </c>
      <c r="Y249" s="4356">
        <f t="shared" si="1162"/>
        <v>0</v>
      </c>
      <c r="Z249" s="4356">
        <f t="shared" si="1162"/>
        <v>688.22300000000007</v>
      </c>
      <c r="AA249" s="4356">
        <f t="shared" si="1162"/>
        <v>688.22300000000007</v>
      </c>
      <c r="AB249" s="4356">
        <f t="shared" si="1162"/>
        <v>0</v>
      </c>
      <c r="AC249" s="4356">
        <f t="shared" si="1162"/>
        <v>1449.665</v>
      </c>
      <c r="AD249" s="4356">
        <f t="shared" si="1162"/>
        <v>1449.665</v>
      </c>
      <c r="AE249" s="4356">
        <f t="shared" si="1162"/>
        <v>0</v>
      </c>
      <c r="AF249" s="4357">
        <f t="shared" si="1162"/>
        <v>214.97400000000002</v>
      </c>
      <c r="AG249" s="4357">
        <f t="shared" si="1162"/>
        <v>214.97400000000002</v>
      </c>
      <c r="AH249" s="4357">
        <f t="shared" si="1162"/>
        <v>0</v>
      </c>
      <c r="AI249" s="4358">
        <f t="shared" si="1162"/>
        <v>2491.31</v>
      </c>
      <c r="AJ249" s="4358">
        <f t="shared" si="1162"/>
        <v>2491.31</v>
      </c>
      <c r="AK249" s="4358">
        <f t="shared" si="1162"/>
        <v>0</v>
      </c>
      <c r="AL249" s="4319">
        <f t="shared" si="1124"/>
        <v>2276.3359999999998</v>
      </c>
      <c r="AM249" s="4319">
        <f t="shared" si="1125"/>
        <v>2276.3359999999998</v>
      </c>
      <c r="AN249" s="4319">
        <f t="shared" si="1125"/>
        <v>0</v>
      </c>
      <c r="AO249" s="4355">
        <f t="shared" ref="AO249:BI249" si="1163">SUM(AO87+AO115+AO135)</f>
        <v>107.48700000000001</v>
      </c>
      <c r="AP249" s="4355">
        <f t="shared" si="1163"/>
        <v>107.48700000000001</v>
      </c>
      <c r="AQ249" s="4355">
        <f t="shared" si="1163"/>
        <v>0</v>
      </c>
      <c r="AR249" s="4356">
        <f t="shared" si="1163"/>
        <v>131.256</v>
      </c>
      <c r="AS249" s="4356">
        <f t="shared" si="1163"/>
        <v>131.256</v>
      </c>
      <c r="AT249" s="4356">
        <f t="shared" si="1163"/>
        <v>0</v>
      </c>
      <c r="AU249" s="4356">
        <f t="shared" si="1163"/>
        <v>0</v>
      </c>
      <c r="AV249" s="4356">
        <f t="shared" si="1163"/>
        <v>0</v>
      </c>
      <c r="AW249" s="4356">
        <f t="shared" si="1163"/>
        <v>0</v>
      </c>
      <c r="AX249" s="4356">
        <f t="shared" si="1163"/>
        <v>0</v>
      </c>
      <c r="AY249" s="4356">
        <f t="shared" si="1163"/>
        <v>0</v>
      </c>
      <c r="AZ249" s="4356">
        <f t="shared" si="1163"/>
        <v>0</v>
      </c>
      <c r="BA249" s="4356">
        <f t="shared" si="1163"/>
        <v>131.256</v>
      </c>
      <c r="BB249" s="4356">
        <f t="shared" si="1163"/>
        <v>131.256</v>
      </c>
      <c r="BC249" s="4356">
        <f t="shared" si="1163"/>
        <v>0</v>
      </c>
      <c r="BD249" s="4357">
        <f t="shared" si="1163"/>
        <v>322.46100000000001</v>
      </c>
      <c r="BE249" s="4357">
        <f t="shared" si="1163"/>
        <v>322.46100000000001</v>
      </c>
      <c r="BF249" s="4357">
        <f t="shared" si="1163"/>
        <v>0</v>
      </c>
      <c r="BG249" s="4358">
        <f t="shared" si="1163"/>
        <v>2622.5659999999998</v>
      </c>
      <c r="BH249" s="4358">
        <f t="shared" si="1163"/>
        <v>2622.5659999999998</v>
      </c>
      <c r="BI249" s="4358">
        <f t="shared" si="1163"/>
        <v>0</v>
      </c>
      <c r="BJ249" s="4319">
        <f t="shared" si="1127"/>
        <v>2300.1049999999996</v>
      </c>
      <c r="BK249" s="4319">
        <f t="shared" si="1128"/>
        <v>2300.1049999999996</v>
      </c>
      <c r="BL249" s="4319">
        <f t="shared" si="1128"/>
        <v>0</v>
      </c>
      <c r="BM249" s="4355">
        <f t="shared" ref="BM249:CG249" si="1164">SUM(BM87+BM115+BM135)</f>
        <v>107.48700000000001</v>
      </c>
      <c r="BN249" s="4355">
        <f t="shared" si="1164"/>
        <v>107.48700000000001</v>
      </c>
      <c r="BO249" s="4355">
        <f t="shared" si="1164"/>
        <v>0</v>
      </c>
      <c r="BP249" s="4356">
        <f t="shared" si="1164"/>
        <v>0</v>
      </c>
      <c r="BQ249" s="4356">
        <f t="shared" si="1164"/>
        <v>0</v>
      </c>
      <c r="BR249" s="4356">
        <f t="shared" si="1164"/>
        <v>0</v>
      </c>
      <c r="BS249" s="4356">
        <f t="shared" si="1164"/>
        <v>0</v>
      </c>
      <c r="BT249" s="4356">
        <f t="shared" si="1164"/>
        <v>0</v>
      </c>
      <c r="BU249" s="4356">
        <f t="shared" si="1164"/>
        <v>0</v>
      </c>
      <c r="BV249" s="4356">
        <f t="shared" si="1164"/>
        <v>0</v>
      </c>
      <c r="BW249" s="4356">
        <f t="shared" si="1164"/>
        <v>0</v>
      </c>
      <c r="BX249" s="4356">
        <f t="shared" si="1164"/>
        <v>0</v>
      </c>
      <c r="BY249" s="4356">
        <f t="shared" si="1164"/>
        <v>0</v>
      </c>
      <c r="BZ249" s="4356">
        <f t="shared" si="1164"/>
        <v>0</v>
      </c>
      <c r="CA249" s="4356">
        <f t="shared" si="1164"/>
        <v>0</v>
      </c>
      <c r="CB249" s="4357">
        <f t="shared" si="1164"/>
        <v>429.94800000000004</v>
      </c>
      <c r="CC249" s="4357">
        <f t="shared" si="1164"/>
        <v>429.94800000000004</v>
      </c>
      <c r="CD249" s="4357">
        <f t="shared" si="1164"/>
        <v>0</v>
      </c>
      <c r="CE249" s="4358">
        <f t="shared" si="1164"/>
        <v>2622.5659999999998</v>
      </c>
      <c r="CF249" s="4358">
        <f t="shared" si="1164"/>
        <v>2622.5659999999998</v>
      </c>
      <c r="CG249" s="4358">
        <f t="shared" si="1164"/>
        <v>0</v>
      </c>
      <c r="CH249" s="4319">
        <f t="shared" si="1130"/>
        <v>2192.6179999999999</v>
      </c>
      <c r="CI249" s="4319">
        <f t="shared" si="1131"/>
        <v>2192.6179999999999</v>
      </c>
      <c r="CJ249" s="4319">
        <f t="shared" si="1131"/>
        <v>0</v>
      </c>
      <c r="CK249" s="2746"/>
      <c r="CL249" s="2746"/>
      <c r="CM249" s="2746"/>
      <c r="CN249" s="2746"/>
    </row>
    <row r="250" spans="1:92" ht="18.75" x14ac:dyDescent="0.3">
      <c r="A250" s="4342" t="s">
        <v>586</v>
      </c>
      <c r="B250" s="4355">
        <f t="shared" ref="B250:AK250" si="1165">SUM(B109)</f>
        <v>419.27716249999997</v>
      </c>
      <c r="C250" s="4355">
        <f t="shared" si="1165"/>
        <v>419.27716249999997</v>
      </c>
      <c r="D250" s="4355">
        <f t="shared" si="1165"/>
        <v>0</v>
      </c>
      <c r="E250" s="4356">
        <f t="shared" si="1165"/>
        <v>205.48099999999999</v>
      </c>
      <c r="F250" s="4356">
        <f t="shared" si="1165"/>
        <v>205.48099999999999</v>
      </c>
      <c r="G250" s="4356">
        <f t="shared" si="1165"/>
        <v>0</v>
      </c>
      <c r="H250" s="4356">
        <f t="shared" si="1165"/>
        <v>145.34200000000001</v>
      </c>
      <c r="I250" s="4356">
        <f t="shared" si="1165"/>
        <v>145.34200000000001</v>
      </c>
      <c r="J250" s="4356">
        <f t="shared" si="1165"/>
        <v>0</v>
      </c>
      <c r="K250" s="4356">
        <f t="shared" si="1165"/>
        <v>220.62400000000002</v>
      </c>
      <c r="L250" s="4356">
        <f t="shared" si="1165"/>
        <v>220.62400000000002</v>
      </c>
      <c r="M250" s="4356">
        <f t="shared" si="1165"/>
        <v>0</v>
      </c>
      <c r="N250" s="4356">
        <f t="shared" si="1165"/>
        <v>571.447</v>
      </c>
      <c r="O250" s="4356">
        <f t="shared" si="1165"/>
        <v>571.447</v>
      </c>
      <c r="P250" s="4356">
        <f t="shared" si="1165"/>
        <v>0</v>
      </c>
      <c r="Q250" s="4355">
        <f t="shared" si="1165"/>
        <v>419.27716249999997</v>
      </c>
      <c r="R250" s="4355">
        <f t="shared" si="1165"/>
        <v>419.27716249999997</v>
      </c>
      <c r="S250" s="4355">
        <f t="shared" si="1165"/>
        <v>0</v>
      </c>
      <c r="T250" s="4356">
        <f t="shared" si="1165"/>
        <v>126.02</v>
      </c>
      <c r="U250" s="4356">
        <f t="shared" si="1165"/>
        <v>126.02</v>
      </c>
      <c r="V250" s="4356">
        <f t="shared" si="1165"/>
        <v>0</v>
      </c>
      <c r="W250" s="4356">
        <f t="shared" si="1165"/>
        <v>153.155</v>
      </c>
      <c r="X250" s="4356">
        <f t="shared" si="1165"/>
        <v>153.155</v>
      </c>
      <c r="Y250" s="4356">
        <f t="shared" si="1165"/>
        <v>0</v>
      </c>
      <c r="Z250" s="4356">
        <f t="shared" si="1165"/>
        <v>98.515000000000001</v>
      </c>
      <c r="AA250" s="4356">
        <f t="shared" si="1165"/>
        <v>98.515000000000001</v>
      </c>
      <c r="AB250" s="4356">
        <f t="shared" si="1165"/>
        <v>0</v>
      </c>
      <c r="AC250" s="4356">
        <f t="shared" si="1165"/>
        <v>377.69</v>
      </c>
      <c r="AD250" s="4356">
        <f t="shared" si="1165"/>
        <v>377.69</v>
      </c>
      <c r="AE250" s="4356">
        <f t="shared" si="1165"/>
        <v>0</v>
      </c>
      <c r="AF250" s="4357">
        <f t="shared" si="1165"/>
        <v>838.55432499999995</v>
      </c>
      <c r="AG250" s="4357">
        <f t="shared" si="1165"/>
        <v>838.55432499999995</v>
      </c>
      <c r="AH250" s="4357">
        <f t="shared" si="1165"/>
        <v>0</v>
      </c>
      <c r="AI250" s="4358">
        <f t="shared" si="1165"/>
        <v>949.13699999999994</v>
      </c>
      <c r="AJ250" s="4358">
        <f t="shared" si="1165"/>
        <v>949.13699999999994</v>
      </c>
      <c r="AK250" s="4358">
        <f t="shared" si="1165"/>
        <v>0</v>
      </c>
      <c r="AL250" s="4319">
        <f t="shared" si="1124"/>
        <v>110.58267499999999</v>
      </c>
      <c r="AM250" s="4319">
        <f t="shared" si="1125"/>
        <v>110.58267499999999</v>
      </c>
      <c r="AN250" s="4319">
        <f t="shared" si="1125"/>
        <v>0</v>
      </c>
      <c r="AO250" s="4355">
        <f t="shared" ref="AO250:BI250" si="1166">SUM(AO109)</f>
        <v>419.27716249999997</v>
      </c>
      <c r="AP250" s="4355">
        <f t="shared" si="1166"/>
        <v>419.27716249999997</v>
      </c>
      <c r="AQ250" s="4355">
        <f t="shared" si="1166"/>
        <v>0</v>
      </c>
      <c r="AR250" s="4356">
        <f t="shared" si="1166"/>
        <v>166.21799999999999</v>
      </c>
      <c r="AS250" s="4356">
        <f t="shared" si="1166"/>
        <v>166.21799999999999</v>
      </c>
      <c r="AT250" s="4356">
        <f t="shared" si="1166"/>
        <v>0</v>
      </c>
      <c r="AU250" s="4356">
        <f t="shared" si="1166"/>
        <v>0</v>
      </c>
      <c r="AV250" s="4356">
        <f t="shared" si="1166"/>
        <v>0</v>
      </c>
      <c r="AW250" s="4356">
        <f t="shared" si="1166"/>
        <v>0</v>
      </c>
      <c r="AX250" s="4356">
        <f t="shared" si="1166"/>
        <v>0</v>
      </c>
      <c r="AY250" s="4356">
        <f t="shared" si="1166"/>
        <v>0</v>
      </c>
      <c r="AZ250" s="4356">
        <f t="shared" si="1166"/>
        <v>0</v>
      </c>
      <c r="BA250" s="4356">
        <f t="shared" si="1166"/>
        <v>166.21799999999999</v>
      </c>
      <c r="BB250" s="4356">
        <f t="shared" si="1166"/>
        <v>166.21799999999999</v>
      </c>
      <c r="BC250" s="4356">
        <f t="shared" si="1166"/>
        <v>0</v>
      </c>
      <c r="BD250" s="4357">
        <f t="shared" si="1166"/>
        <v>1257.8314874999999</v>
      </c>
      <c r="BE250" s="4357">
        <f t="shared" si="1166"/>
        <v>1257.8314874999999</v>
      </c>
      <c r="BF250" s="4357">
        <f t="shared" si="1166"/>
        <v>0</v>
      </c>
      <c r="BG250" s="4358">
        <f t="shared" si="1166"/>
        <v>1115.355</v>
      </c>
      <c r="BH250" s="4358">
        <f t="shared" si="1166"/>
        <v>1115.355</v>
      </c>
      <c r="BI250" s="4358">
        <f t="shared" si="1166"/>
        <v>0</v>
      </c>
      <c r="BJ250" s="4319">
        <f t="shared" si="1127"/>
        <v>-142.47648749999985</v>
      </c>
      <c r="BK250" s="4319">
        <f t="shared" si="1128"/>
        <v>-142.47648749999985</v>
      </c>
      <c r="BL250" s="4319">
        <f t="shared" si="1128"/>
        <v>0</v>
      </c>
      <c r="BM250" s="4355">
        <f t="shared" ref="BM250:CG250" si="1167">SUM(BM109)</f>
        <v>419.27716249999997</v>
      </c>
      <c r="BN250" s="4355">
        <f t="shared" si="1167"/>
        <v>419.27716249999997</v>
      </c>
      <c r="BO250" s="4355">
        <f t="shared" si="1167"/>
        <v>0</v>
      </c>
      <c r="BP250" s="4356">
        <f t="shared" si="1167"/>
        <v>0</v>
      </c>
      <c r="BQ250" s="4356">
        <f t="shared" si="1167"/>
        <v>0</v>
      </c>
      <c r="BR250" s="4356">
        <f t="shared" si="1167"/>
        <v>0</v>
      </c>
      <c r="BS250" s="4356">
        <f t="shared" si="1167"/>
        <v>0</v>
      </c>
      <c r="BT250" s="4356">
        <f t="shared" si="1167"/>
        <v>0</v>
      </c>
      <c r="BU250" s="4356">
        <f t="shared" si="1167"/>
        <v>0</v>
      </c>
      <c r="BV250" s="4356">
        <f t="shared" si="1167"/>
        <v>0</v>
      </c>
      <c r="BW250" s="4356">
        <f t="shared" si="1167"/>
        <v>0</v>
      </c>
      <c r="BX250" s="4356">
        <f t="shared" si="1167"/>
        <v>0</v>
      </c>
      <c r="BY250" s="4356">
        <f t="shared" si="1167"/>
        <v>0</v>
      </c>
      <c r="BZ250" s="4356">
        <f t="shared" si="1167"/>
        <v>0</v>
      </c>
      <c r="CA250" s="4356">
        <f t="shared" si="1167"/>
        <v>0</v>
      </c>
      <c r="CB250" s="4357">
        <f t="shared" si="1167"/>
        <v>1677.1086499999999</v>
      </c>
      <c r="CC250" s="4357">
        <f t="shared" si="1167"/>
        <v>1677.1086499999999</v>
      </c>
      <c r="CD250" s="4357">
        <f t="shared" si="1167"/>
        <v>0</v>
      </c>
      <c r="CE250" s="4358">
        <f t="shared" si="1167"/>
        <v>1115.355</v>
      </c>
      <c r="CF250" s="4358">
        <f t="shared" si="1167"/>
        <v>1115.355</v>
      </c>
      <c r="CG250" s="4358">
        <f t="shared" si="1167"/>
        <v>0</v>
      </c>
      <c r="CH250" s="4319">
        <f t="shared" si="1130"/>
        <v>-561.75364999999988</v>
      </c>
      <c r="CI250" s="4319">
        <f t="shared" si="1131"/>
        <v>-561.75364999999988</v>
      </c>
      <c r="CJ250" s="4319">
        <f t="shared" si="1131"/>
        <v>0</v>
      </c>
      <c r="CK250" s="2746"/>
      <c r="CL250" s="2746"/>
      <c r="CM250" s="2746"/>
      <c r="CN250" s="2746"/>
    </row>
    <row r="251" spans="1:92" ht="18.75" x14ac:dyDescent="0.3">
      <c r="A251" s="4342" t="s">
        <v>3722</v>
      </c>
      <c r="B251" s="4355">
        <f t="shared" ref="B251:AK251" si="1168">SUM(B111)</f>
        <v>28.712499999999999</v>
      </c>
      <c r="C251" s="4355">
        <f t="shared" si="1168"/>
        <v>28.712499999999999</v>
      </c>
      <c r="D251" s="4355">
        <f t="shared" si="1168"/>
        <v>0</v>
      </c>
      <c r="E251" s="4356">
        <f t="shared" si="1168"/>
        <v>25.224</v>
      </c>
      <c r="F251" s="4356">
        <f t="shared" si="1168"/>
        <v>25.224</v>
      </c>
      <c r="G251" s="4356">
        <f t="shared" si="1168"/>
        <v>0</v>
      </c>
      <c r="H251" s="4356">
        <f t="shared" si="1168"/>
        <v>25.225000000000001</v>
      </c>
      <c r="I251" s="4356">
        <f t="shared" si="1168"/>
        <v>25.225000000000001</v>
      </c>
      <c r="J251" s="4356">
        <f t="shared" si="1168"/>
        <v>0</v>
      </c>
      <c r="K251" s="4356">
        <f t="shared" si="1168"/>
        <v>24.901</v>
      </c>
      <c r="L251" s="4356">
        <f t="shared" si="1168"/>
        <v>24.901</v>
      </c>
      <c r="M251" s="4356">
        <f t="shared" si="1168"/>
        <v>0</v>
      </c>
      <c r="N251" s="4356">
        <f t="shared" si="1168"/>
        <v>75.349999999999994</v>
      </c>
      <c r="O251" s="4356">
        <f t="shared" si="1168"/>
        <v>75.349999999999994</v>
      </c>
      <c r="P251" s="4356">
        <f t="shared" si="1168"/>
        <v>0</v>
      </c>
      <c r="Q251" s="4355">
        <f t="shared" si="1168"/>
        <v>28.712499999999999</v>
      </c>
      <c r="R251" s="4355">
        <f t="shared" si="1168"/>
        <v>28.712499999999999</v>
      </c>
      <c r="S251" s="4355">
        <f t="shared" si="1168"/>
        <v>0</v>
      </c>
      <c r="T251" s="4356">
        <f t="shared" si="1168"/>
        <v>24.884</v>
      </c>
      <c r="U251" s="4356">
        <f t="shared" si="1168"/>
        <v>24.884</v>
      </c>
      <c r="V251" s="4356">
        <f t="shared" si="1168"/>
        <v>0</v>
      </c>
      <c r="W251" s="4356">
        <f t="shared" si="1168"/>
        <v>25.224</v>
      </c>
      <c r="X251" s="4356">
        <f t="shared" si="1168"/>
        <v>25.224</v>
      </c>
      <c r="Y251" s="4356">
        <f t="shared" si="1168"/>
        <v>0</v>
      </c>
      <c r="Z251" s="4356">
        <f t="shared" si="1168"/>
        <v>25.2</v>
      </c>
      <c r="AA251" s="4356">
        <f t="shared" si="1168"/>
        <v>25.2</v>
      </c>
      <c r="AB251" s="4356">
        <f t="shared" si="1168"/>
        <v>0</v>
      </c>
      <c r="AC251" s="4356">
        <f t="shared" si="1168"/>
        <v>75.308000000000007</v>
      </c>
      <c r="AD251" s="4356">
        <f t="shared" si="1168"/>
        <v>75.308000000000007</v>
      </c>
      <c r="AE251" s="4356">
        <f t="shared" si="1168"/>
        <v>0</v>
      </c>
      <c r="AF251" s="4357">
        <f t="shared" si="1168"/>
        <v>57.424999999999997</v>
      </c>
      <c r="AG251" s="4357">
        <f t="shared" si="1168"/>
        <v>57.424999999999997</v>
      </c>
      <c r="AH251" s="4357">
        <f t="shared" si="1168"/>
        <v>0</v>
      </c>
      <c r="AI251" s="4358">
        <f t="shared" si="1168"/>
        <v>150.65800000000002</v>
      </c>
      <c r="AJ251" s="4358">
        <f t="shared" si="1168"/>
        <v>150.65800000000002</v>
      </c>
      <c r="AK251" s="4358">
        <f t="shared" si="1168"/>
        <v>0</v>
      </c>
      <c r="AL251" s="4319">
        <f t="shared" si="1124"/>
        <v>93.233000000000018</v>
      </c>
      <c r="AM251" s="4319">
        <f t="shared" si="1125"/>
        <v>93.233000000000018</v>
      </c>
      <c r="AN251" s="4319">
        <f t="shared" si="1125"/>
        <v>0</v>
      </c>
      <c r="AO251" s="4355">
        <f t="shared" ref="AO251:BI251" si="1169">SUM(AO111)</f>
        <v>28.712499999999999</v>
      </c>
      <c r="AP251" s="4355">
        <f t="shared" si="1169"/>
        <v>28.712499999999999</v>
      </c>
      <c r="AQ251" s="4355">
        <f t="shared" si="1169"/>
        <v>0</v>
      </c>
      <c r="AR251" s="4356">
        <f t="shared" si="1169"/>
        <v>25.175000000000001</v>
      </c>
      <c r="AS251" s="4356">
        <f t="shared" si="1169"/>
        <v>25.175000000000001</v>
      </c>
      <c r="AT251" s="4356">
        <f t="shared" si="1169"/>
        <v>0</v>
      </c>
      <c r="AU251" s="4356">
        <f t="shared" si="1169"/>
        <v>0</v>
      </c>
      <c r="AV251" s="4356">
        <f t="shared" si="1169"/>
        <v>0</v>
      </c>
      <c r="AW251" s="4356">
        <f t="shared" si="1169"/>
        <v>0</v>
      </c>
      <c r="AX251" s="4356">
        <f t="shared" si="1169"/>
        <v>0</v>
      </c>
      <c r="AY251" s="4356">
        <f t="shared" si="1169"/>
        <v>0</v>
      </c>
      <c r="AZ251" s="4356">
        <f t="shared" si="1169"/>
        <v>0</v>
      </c>
      <c r="BA251" s="4356">
        <f t="shared" si="1169"/>
        <v>25.175000000000001</v>
      </c>
      <c r="BB251" s="4356">
        <f t="shared" si="1169"/>
        <v>25.175000000000001</v>
      </c>
      <c r="BC251" s="4356">
        <f t="shared" si="1169"/>
        <v>0</v>
      </c>
      <c r="BD251" s="4357">
        <f t="shared" si="1169"/>
        <v>86.137499999999989</v>
      </c>
      <c r="BE251" s="4357">
        <f t="shared" si="1169"/>
        <v>86.137499999999989</v>
      </c>
      <c r="BF251" s="4357">
        <f t="shared" si="1169"/>
        <v>0</v>
      </c>
      <c r="BG251" s="4358">
        <f t="shared" si="1169"/>
        <v>175.83300000000003</v>
      </c>
      <c r="BH251" s="4358">
        <f t="shared" si="1169"/>
        <v>175.83300000000003</v>
      </c>
      <c r="BI251" s="4358">
        <f t="shared" si="1169"/>
        <v>0</v>
      </c>
      <c r="BJ251" s="4319">
        <f t="shared" si="1127"/>
        <v>89.695500000000038</v>
      </c>
      <c r="BK251" s="4319">
        <f t="shared" si="1128"/>
        <v>89.695500000000038</v>
      </c>
      <c r="BL251" s="4319">
        <f t="shared" si="1128"/>
        <v>0</v>
      </c>
      <c r="BM251" s="4355">
        <f t="shared" ref="BM251:CG251" si="1170">SUM(BM111)</f>
        <v>28.712499999999999</v>
      </c>
      <c r="BN251" s="4355">
        <f t="shared" si="1170"/>
        <v>28.712499999999999</v>
      </c>
      <c r="BO251" s="4355">
        <f t="shared" si="1170"/>
        <v>0</v>
      </c>
      <c r="BP251" s="4356">
        <f t="shared" si="1170"/>
        <v>0</v>
      </c>
      <c r="BQ251" s="4356">
        <f t="shared" si="1170"/>
        <v>0</v>
      </c>
      <c r="BR251" s="4356">
        <f t="shared" si="1170"/>
        <v>0</v>
      </c>
      <c r="BS251" s="4356">
        <f t="shared" si="1170"/>
        <v>0</v>
      </c>
      <c r="BT251" s="4356">
        <f t="shared" si="1170"/>
        <v>0</v>
      </c>
      <c r="BU251" s="4356">
        <f t="shared" si="1170"/>
        <v>0</v>
      </c>
      <c r="BV251" s="4356">
        <f t="shared" si="1170"/>
        <v>0</v>
      </c>
      <c r="BW251" s="4356">
        <f t="shared" si="1170"/>
        <v>0</v>
      </c>
      <c r="BX251" s="4356">
        <f t="shared" si="1170"/>
        <v>0</v>
      </c>
      <c r="BY251" s="4356">
        <f t="shared" si="1170"/>
        <v>0</v>
      </c>
      <c r="BZ251" s="4356">
        <f t="shared" si="1170"/>
        <v>0</v>
      </c>
      <c r="CA251" s="4356">
        <f t="shared" si="1170"/>
        <v>0</v>
      </c>
      <c r="CB251" s="4357">
        <f t="shared" si="1170"/>
        <v>114.85</v>
      </c>
      <c r="CC251" s="4357">
        <f t="shared" si="1170"/>
        <v>114.85</v>
      </c>
      <c r="CD251" s="4357">
        <f t="shared" si="1170"/>
        <v>0</v>
      </c>
      <c r="CE251" s="4358">
        <f t="shared" si="1170"/>
        <v>175.83300000000003</v>
      </c>
      <c r="CF251" s="4358">
        <f t="shared" si="1170"/>
        <v>175.83300000000003</v>
      </c>
      <c r="CG251" s="4358">
        <f t="shared" si="1170"/>
        <v>0</v>
      </c>
      <c r="CH251" s="4319">
        <f t="shared" si="1130"/>
        <v>60.983000000000033</v>
      </c>
      <c r="CI251" s="4319">
        <f t="shared" si="1131"/>
        <v>60.983000000000033</v>
      </c>
      <c r="CJ251" s="4319">
        <f t="shared" si="1131"/>
        <v>0</v>
      </c>
      <c r="CK251" s="2746"/>
      <c r="CL251" s="2746"/>
      <c r="CM251" s="2746"/>
      <c r="CN251" s="2746"/>
    </row>
    <row r="252" spans="1:92" ht="18.75" x14ac:dyDescent="0.3">
      <c r="A252" s="4342" t="s">
        <v>597</v>
      </c>
      <c r="B252" s="4355">
        <f t="shared" ref="B252:AK252" si="1171">SUM(B112)</f>
        <v>6.5914999999999999</v>
      </c>
      <c r="C252" s="4355">
        <f t="shared" si="1171"/>
        <v>6.5914999999999999</v>
      </c>
      <c r="D252" s="4355">
        <f t="shared" si="1171"/>
        <v>0</v>
      </c>
      <c r="E252" s="4356">
        <f t="shared" si="1171"/>
        <v>0</v>
      </c>
      <c r="F252" s="4356">
        <f t="shared" si="1171"/>
        <v>0</v>
      </c>
      <c r="G252" s="4356">
        <f t="shared" si="1171"/>
        <v>0</v>
      </c>
      <c r="H252" s="4356">
        <f t="shared" si="1171"/>
        <v>0</v>
      </c>
      <c r="I252" s="4356">
        <f t="shared" si="1171"/>
        <v>0</v>
      </c>
      <c r="J252" s="4356">
        <f t="shared" si="1171"/>
        <v>0</v>
      </c>
      <c r="K252" s="4356">
        <f t="shared" si="1171"/>
        <v>0.91</v>
      </c>
      <c r="L252" s="4356">
        <f t="shared" si="1171"/>
        <v>0.91</v>
      </c>
      <c r="M252" s="4356">
        <f t="shared" si="1171"/>
        <v>0</v>
      </c>
      <c r="N252" s="4356">
        <f t="shared" si="1171"/>
        <v>0.91</v>
      </c>
      <c r="O252" s="4356">
        <f t="shared" si="1171"/>
        <v>0.91</v>
      </c>
      <c r="P252" s="4356">
        <f t="shared" si="1171"/>
        <v>0</v>
      </c>
      <c r="Q252" s="4355">
        <f t="shared" si="1171"/>
        <v>6.5914999999999999</v>
      </c>
      <c r="R252" s="4355">
        <f t="shared" si="1171"/>
        <v>6.5914999999999999</v>
      </c>
      <c r="S252" s="4355">
        <f t="shared" si="1171"/>
        <v>0</v>
      </c>
      <c r="T252" s="4356">
        <f t="shared" si="1171"/>
        <v>0</v>
      </c>
      <c r="U252" s="4356">
        <f t="shared" si="1171"/>
        <v>0</v>
      </c>
      <c r="V252" s="4356">
        <f t="shared" si="1171"/>
        <v>0</v>
      </c>
      <c r="W252" s="4356">
        <f t="shared" si="1171"/>
        <v>0</v>
      </c>
      <c r="X252" s="4356">
        <f t="shared" si="1171"/>
        <v>0</v>
      </c>
      <c r="Y252" s="4356">
        <f t="shared" si="1171"/>
        <v>0</v>
      </c>
      <c r="Z252" s="4356">
        <f t="shared" si="1171"/>
        <v>0</v>
      </c>
      <c r="AA252" s="4356">
        <f t="shared" si="1171"/>
        <v>0</v>
      </c>
      <c r="AB252" s="4356">
        <f t="shared" si="1171"/>
        <v>0</v>
      </c>
      <c r="AC252" s="4356">
        <f t="shared" si="1171"/>
        <v>0</v>
      </c>
      <c r="AD252" s="4356">
        <f t="shared" si="1171"/>
        <v>0</v>
      </c>
      <c r="AE252" s="4356">
        <f t="shared" si="1171"/>
        <v>0</v>
      </c>
      <c r="AF252" s="4357">
        <f t="shared" si="1171"/>
        <v>13.183</v>
      </c>
      <c r="AG252" s="4357">
        <f t="shared" si="1171"/>
        <v>13.183</v>
      </c>
      <c r="AH252" s="4357">
        <f t="shared" si="1171"/>
        <v>0</v>
      </c>
      <c r="AI252" s="4358">
        <f t="shared" si="1171"/>
        <v>0.91</v>
      </c>
      <c r="AJ252" s="4358">
        <f t="shared" si="1171"/>
        <v>0.91</v>
      </c>
      <c r="AK252" s="4358">
        <f t="shared" si="1171"/>
        <v>0</v>
      </c>
      <c r="AL252" s="4319">
        <f t="shared" si="1124"/>
        <v>-12.273</v>
      </c>
      <c r="AM252" s="4319">
        <f t="shared" si="1125"/>
        <v>-12.273</v>
      </c>
      <c r="AN252" s="4319">
        <f t="shared" si="1125"/>
        <v>0</v>
      </c>
      <c r="AO252" s="4355">
        <f t="shared" ref="AO252:BI252" si="1172">SUM(AO112)</f>
        <v>6.5914999999999999</v>
      </c>
      <c r="AP252" s="4355">
        <f t="shared" si="1172"/>
        <v>6.5914999999999999</v>
      </c>
      <c r="AQ252" s="4355">
        <f t="shared" si="1172"/>
        <v>0</v>
      </c>
      <c r="AR252" s="4356">
        <f t="shared" si="1172"/>
        <v>0</v>
      </c>
      <c r="AS252" s="4356">
        <f t="shared" si="1172"/>
        <v>0</v>
      </c>
      <c r="AT252" s="4356">
        <f t="shared" si="1172"/>
        <v>0</v>
      </c>
      <c r="AU252" s="4356">
        <f t="shared" si="1172"/>
        <v>0</v>
      </c>
      <c r="AV252" s="4356">
        <f t="shared" si="1172"/>
        <v>0</v>
      </c>
      <c r="AW252" s="4356">
        <f t="shared" si="1172"/>
        <v>0</v>
      </c>
      <c r="AX252" s="4356">
        <f t="shared" si="1172"/>
        <v>0</v>
      </c>
      <c r="AY252" s="4356">
        <f t="shared" si="1172"/>
        <v>0</v>
      </c>
      <c r="AZ252" s="4356">
        <f t="shared" si="1172"/>
        <v>0</v>
      </c>
      <c r="BA252" s="4356">
        <f t="shared" si="1172"/>
        <v>0</v>
      </c>
      <c r="BB252" s="4356">
        <f t="shared" si="1172"/>
        <v>0</v>
      </c>
      <c r="BC252" s="4356">
        <f t="shared" si="1172"/>
        <v>0</v>
      </c>
      <c r="BD252" s="4357">
        <f t="shared" si="1172"/>
        <v>19.7745</v>
      </c>
      <c r="BE252" s="4357">
        <f t="shared" si="1172"/>
        <v>19.7745</v>
      </c>
      <c r="BF252" s="4357">
        <f t="shared" si="1172"/>
        <v>0</v>
      </c>
      <c r="BG252" s="4358">
        <f t="shared" si="1172"/>
        <v>0.91</v>
      </c>
      <c r="BH252" s="4358">
        <f t="shared" si="1172"/>
        <v>0.91</v>
      </c>
      <c r="BI252" s="4358">
        <f t="shared" si="1172"/>
        <v>0</v>
      </c>
      <c r="BJ252" s="4319">
        <f t="shared" si="1127"/>
        <v>-18.8645</v>
      </c>
      <c r="BK252" s="4319">
        <f t="shared" si="1128"/>
        <v>-18.8645</v>
      </c>
      <c r="BL252" s="4319">
        <f t="shared" si="1128"/>
        <v>0</v>
      </c>
      <c r="BM252" s="4355">
        <f t="shared" ref="BM252:CG252" si="1173">SUM(BM112)</f>
        <v>6.5914999999999999</v>
      </c>
      <c r="BN252" s="4355">
        <f t="shared" si="1173"/>
        <v>6.5914999999999999</v>
      </c>
      <c r="BO252" s="4355">
        <f t="shared" si="1173"/>
        <v>0</v>
      </c>
      <c r="BP252" s="4356">
        <f t="shared" si="1173"/>
        <v>0</v>
      </c>
      <c r="BQ252" s="4356">
        <f t="shared" si="1173"/>
        <v>0</v>
      </c>
      <c r="BR252" s="4356">
        <f t="shared" si="1173"/>
        <v>0</v>
      </c>
      <c r="BS252" s="4356">
        <f t="shared" si="1173"/>
        <v>0</v>
      </c>
      <c r="BT252" s="4356">
        <f t="shared" si="1173"/>
        <v>0</v>
      </c>
      <c r="BU252" s="4356">
        <f t="shared" si="1173"/>
        <v>0</v>
      </c>
      <c r="BV252" s="4356">
        <f t="shared" si="1173"/>
        <v>0</v>
      </c>
      <c r="BW252" s="4356">
        <f t="shared" si="1173"/>
        <v>0</v>
      </c>
      <c r="BX252" s="4356">
        <f t="shared" si="1173"/>
        <v>0</v>
      </c>
      <c r="BY252" s="4356">
        <f t="shared" si="1173"/>
        <v>0</v>
      </c>
      <c r="BZ252" s="4356">
        <f t="shared" si="1173"/>
        <v>0</v>
      </c>
      <c r="CA252" s="4356">
        <f t="shared" si="1173"/>
        <v>0</v>
      </c>
      <c r="CB252" s="4357">
        <f t="shared" si="1173"/>
        <v>26.366</v>
      </c>
      <c r="CC252" s="4357">
        <f t="shared" si="1173"/>
        <v>26.366</v>
      </c>
      <c r="CD252" s="4357">
        <f t="shared" si="1173"/>
        <v>0</v>
      </c>
      <c r="CE252" s="4358">
        <f t="shared" si="1173"/>
        <v>0.91</v>
      </c>
      <c r="CF252" s="4358">
        <f t="shared" si="1173"/>
        <v>0.91</v>
      </c>
      <c r="CG252" s="4358">
        <f t="shared" si="1173"/>
        <v>0</v>
      </c>
      <c r="CH252" s="4319">
        <f t="shared" si="1130"/>
        <v>-25.456</v>
      </c>
      <c r="CI252" s="4319">
        <f t="shared" si="1131"/>
        <v>-25.456</v>
      </c>
      <c r="CJ252" s="4319">
        <f t="shared" si="1131"/>
        <v>0</v>
      </c>
      <c r="CK252" s="2746"/>
      <c r="CL252" s="2746"/>
      <c r="CM252" s="2746"/>
      <c r="CN252" s="2746"/>
    </row>
    <row r="253" spans="1:92" ht="18.75" x14ac:dyDescent="0.3">
      <c r="A253" s="4342" t="s">
        <v>41</v>
      </c>
      <c r="B253" s="4355">
        <f t="shared" ref="B253:AK253" si="1174">SUM(B113)</f>
        <v>0</v>
      </c>
      <c r="C253" s="4355">
        <f t="shared" si="1174"/>
        <v>0</v>
      </c>
      <c r="D253" s="4355">
        <f t="shared" si="1174"/>
        <v>0</v>
      </c>
      <c r="E253" s="4356">
        <f t="shared" si="1174"/>
        <v>0</v>
      </c>
      <c r="F253" s="4356">
        <f t="shared" si="1174"/>
        <v>0</v>
      </c>
      <c r="G253" s="4356">
        <f t="shared" si="1174"/>
        <v>0</v>
      </c>
      <c r="H253" s="4356">
        <f t="shared" si="1174"/>
        <v>0</v>
      </c>
      <c r="I253" s="4356">
        <f t="shared" si="1174"/>
        <v>0</v>
      </c>
      <c r="J253" s="4356">
        <f t="shared" si="1174"/>
        <v>0</v>
      </c>
      <c r="K253" s="4356">
        <f t="shared" si="1174"/>
        <v>0</v>
      </c>
      <c r="L253" s="4356">
        <f t="shared" si="1174"/>
        <v>0</v>
      </c>
      <c r="M253" s="4356">
        <f t="shared" si="1174"/>
        <v>0</v>
      </c>
      <c r="N253" s="4356">
        <f t="shared" si="1174"/>
        <v>0</v>
      </c>
      <c r="O253" s="4356">
        <f t="shared" si="1174"/>
        <v>0</v>
      </c>
      <c r="P253" s="4356">
        <f t="shared" si="1174"/>
        <v>0</v>
      </c>
      <c r="Q253" s="4355">
        <f t="shared" si="1174"/>
        <v>0</v>
      </c>
      <c r="R253" s="4355">
        <f t="shared" si="1174"/>
        <v>0</v>
      </c>
      <c r="S253" s="4355">
        <f t="shared" si="1174"/>
        <v>0</v>
      </c>
      <c r="T253" s="4356">
        <f t="shared" si="1174"/>
        <v>0</v>
      </c>
      <c r="U253" s="4356">
        <f t="shared" si="1174"/>
        <v>0</v>
      </c>
      <c r="V253" s="4356">
        <f t="shared" si="1174"/>
        <v>0</v>
      </c>
      <c r="W253" s="4356">
        <f t="shared" si="1174"/>
        <v>0</v>
      </c>
      <c r="X253" s="4356">
        <f t="shared" si="1174"/>
        <v>0</v>
      </c>
      <c r="Y253" s="4356">
        <f t="shared" si="1174"/>
        <v>0</v>
      </c>
      <c r="Z253" s="4356">
        <f t="shared" si="1174"/>
        <v>0</v>
      </c>
      <c r="AA253" s="4356">
        <f t="shared" si="1174"/>
        <v>0</v>
      </c>
      <c r="AB253" s="4356">
        <f t="shared" si="1174"/>
        <v>0</v>
      </c>
      <c r="AC253" s="4356">
        <f t="shared" si="1174"/>
        <v>0</v>
      </c>
      <c r="AD253" s="4356">
        <f t="shared" si="1174"/>
        <v>0</v>
      </c>
      <c r="AE253" s="4356">
        <f t="shared" si="1174"/>
        <v>0</v>
      </c>
      <c r="AF253" s="4357">
        <f t="shared" si="1174"/>
        <v>0</v>
      </c>
      <c r="AG253" s="4357">
        <f t="shared" si="1174"/>
        <v>0</v>
      </c>
      <c r="AH253" s="4357">
        <f t="shared" si="1174"/>
        <v>0</v>
      </c>
      <c r="AI253" s="4358">
        <f t="shared" si="1174"/>
        <v>0</v>
      </c>
      <c r="AJ253" s="4358">
        <f t="shared" si="1174"/>
        <v>0</v>
      </c>
      <c r="AK253" s="4358">
        <f t="shared" si="1174"/>
        <v>0</v>
      </c>
      <c r="AL253" s="4319">
        <f t="shared" si="1124"/>
        <v>0</v>
      </c>
      <c r="AM253" s="4319">
        <f t="shared" si="1125"/>
        <v>0</v>
      </c>
      <c r="AN253" s="4319">
        <f t="shared" si="1125"/>
        <v>0</v>
      </c>
      <c r="AO253" s="4355">
        <f t="shared" ref="AO253:BI253" si="1175">SUM(AO113)</f>
        <v>0</v>
      </c>
      <c r="AP253" s="4355">
        <f t="shared" si="1175"/>
        <v>0</v>
      </c>
      <c r="AQ253" s="4355">
        <f t="shared" si="1175"/>
        <v>0</v>
      </c>
      <c r="AR253" s="4356">
        <f t="shared" si="1175"/>
        <v>0</v>
      </c>
      <c r="AS253" s="4356">
        <f t="shared" si="1175"/>
        <v>0</v>
      </c>
      <c r="AT253" s="4356">
        <f t="shared" si="1175"/>
        <v>0</v>
      </c>
      <c r="AU253" s="4356">
        <f t="shared" si="1175"/>
        <v>0</v>
      </c>
      <c r="AV253" s="4356">
        <f t="shared" si="1175"/>
        <v>0</v>
      </c>
      <c r="AW253" s="4356">
        <f t="shared" si="1175"/>
        <v>0</v>
      </c>
      <c r="AX253" s="4356">
        <f t="shared" si="1175"/>
        <v>0</v>
      </c>
      <c r="AY253" s="4356">
        <f t="shared" si="1175"/>
        <v>0</v>
      </c>
      <c r="AZ253" s="4356">
        <f t="shared" si="1175"/>
        <v>0</v>
      </c>
      <c r="BA253" s="4356">
        <f t="shared" si="1175"/>
        <v>0</v>
      </c>
      <c r="BB253" s="4356">
        <f t="shared" si="1175"/>
        <v>0</v>
      </c>
      <c r="BC253" s="4356">
        <f t="shared" si="1175"/>
        <v>0</v>
      </c>
      <c r="BD253" s="4357">
        <f t="shared" si="1175"/>
        <v>0</v>
      </c>
      <c r="BE253" s="4357">
        <f t="shared" si="1175"/>
        <v>0</v>
      </c>
      <c r="BF253" s="4357">
        <f t="shared" si="1175"/>
        <v>0</v>
      </c>
      <c r="BG253" s="4358">
        <f t="shared" si="1175"/>
        <v>0</v>
      </c>
      <c r="BH253" s="4358">
        <f t="shared" si="1175"/>
        <v>0</v>
      </c>
      <c r="BI253" s="4358">
        <f t="shared" si="1175"/>
        <v>0</v>
      </c>
      <c r="BJ253" s="4319">
        <f t="shared" si="1127"/>
        <v>0</v>
      </c>
      <c r="BK253" s="4319">
        <f t="shared" si="1128"/>
        <v>0</v>
      </c>
      <c r="BL253" s="4319">
        <f t="shared" si="1128"/>
        <v>0</v>
      </c>
      <c r="BM253" s="4355">
        <f t="shared" ref="BM253:CG253" si="1176">SUM(BM113)</f>
        <v>0</v>
      </c>
      <c r="BN253" s="4355">
        <f t="shared" si="1176"/>
        <v>0</v>
      </c>
      <c r="BO253" s="4355">
        <f t="shared" si="1176"/>
        <v>0</v>
      </c>
      <c r="BP253" s="4356">
        <f t="shared" si="1176"/>
        <v>0</v>
      </c>
      <c r="BQ253" s="4356">
        <f t="shared" si="1176"/>
        <v>0</v>
      </c>
      <c r="BR253" s="4356">
        <f t="shared" si="1176"/>
        <v>0</v>
      </c>
      <c r="BS253" s="4356">
        <f t="shared" si="1176"/>
        <v>0</v>
      </c>
      <c r="BT253" s="4356">
        <f t="shared" si="1176"/>
        <v>0</v>
      </c>
      <c r="BU253" s="4356">
        <f t="shared" si="1176"/>
        <v>0</v>
      </c>
      <c r="BV253" s="4356">
        <f t="shared" si="1176"/>
        <v>0</v>
      </c>
      <c r="BW253" s="4356">
        <f t="shared" si="1176"/>
        <v>0</v>
      </c>
      <c r="BX253" s="4356">
        <f t="shared" si="1176"/>
        <v>0</v>
      </c>
      <c r="BY253" s="4356">
        <f t="shared" si="1176"/>
        <v>0</v>
      </c>
      <c r="BZ253" s="4356">
        <f t="shared" si="1176"/>
        <v>0</v>
      </c>
      <c r="CA253" s="4356">
        <f t="shared" si="1176"/>
        <v>0</v>
      </c>
      <c r="CB253" s="4357">
        <f t="shared" si="1176"/>
        <v>0</v>
      </c>
      <c r="CC253" s="4357">
        <f t="shared" si="1176"/>
        <v>0</v>
      </c>
      <c r="CD253" s="4357">
        <f t="shared" si="1176"/>
        <v>0</v>
      </c>
      <c r="CE253" s="4358">
        <f t="shared" si="1176"/>
        <v>0</v>
      </c>
      <c r="CF253" s="4358">
        <f t="shared" si="1176"/>
        <v>0</v>
      </c>
      <c r="CG253" s="4358">
        <f t="shared" si="1176"/>
        <v>0</v>
      </c>
      <c r="CH253" s="4319">
        <f t="shared" si="1130"/>
        <v>0</v>
      </c>
      <c r="CI253" s="4319">
        <f t="shared" si="1131"/>
        <v>0</v>
      </c>
      <c r="CJ253" s="4319">
        <f t="shared" si="1131"/>
        <v>0</v>
      </c>
      <c r="CK253" s="2746"/>
      <c r="CL253" s="2746"/>
      <c r="CM253" s="2746"/>
      <c r="CN253" s="2746"/>
    </row>
    <row r="254" spans="1:92" ht="18.75" x14ac:dyDescent="0.3">
      <c r="A254" s="4342" t="s">
        <v>38</v>
      </c>
      <c r="B254" s="4355">
        <f t="shared" ref="B254:AK254" si="1177">SUM(B44+B86+B114+B134)</f>
        <v>42.361750000000001</v>
      </c>
      <c r="C254" s="4355">
        <f t="shared" si="1177"/>
        <v>42.361750000000001</v>
      </c>
      <c r="D254" s="4355">
        <f t="shared" si="1177"/>
        <v>0</v>
      </c>
      <c r="E254" s="4356">
        <f t="shared" si="1177"/>
        <v>4</v>
      </c>
      <c r="F254" s="4356">
        <f t="shared" si="1177"/>
        <v>4</v>
      </c>
      <c r="G254" s="4356">
        <f t="shared" si="1177"/>
        <v>0</v>
      </c>
      <c r="H254" s="4356">
        <f t="shared" si="1177"/>
        <v>5.9</v>
      </c>
      <c r="I254" s="4356">
        <f t="shared" si="1177"/>
        <v>5.9</v>
      </c>
      <c r="J254" s="4356">
        <f t="shared" si="1177"/>
        <v>0</v>
      </c>
      <c r="K254" s="4356">
        <f t="shared" si="1177"/>
        <v>41.49</v>
      </c>
      <c r="L254" s="4356">
        <f t="shared" si="1177"/>
        <v>41.49</v>
      </c>
      <c r="M254" s="4356">
        <f t="shared" si="1177"/>
        <v>0</v>
      </c>
      <c r="N254" s="4356">
        <f t="shared" si="1177"/>
        <v>51.39</v>
      </c>
      <c r="O254" s="4356">
        <f t="shared" si="1177"/>
        <v>51.39</v>
      </c>
      <c r="P254" s="4356">
        <f t="shared" si="1177"/>
        <v>0</v>
      </c>
      <c r="Q254" s="4355">
        <f t="shared" si="1177"/>
        <v>42.361750000000001</v>
      </c>
      <c r="R254" s="4355">
        <f t="shared" si="1177"/>
        <v>42.361750000000001</v>
      </c>
      <c r="S254" s="4355">
        <f t="shared" si="1177"/>
        <v>0</v>
      </c>
      <c r="T254" s="4356">
        <f t="shared" si="1177"/>
        <v>7</v>
      </c>
      <c r="U254" s="4356">
        <f t="shared" si="1177"/>
        <v>7</v>
      </c>
      <c r="V254" s="4356">
        <f t="shared" si="1177"/>
        <v>0</v>
      </c>
      <c r="W254" s="4356">
        <f t="shared" si="1177"/>
        <v>5.96</v>
      </c>
      <c r="X254" s="4356">
        <f t="shared" si="1177"/>
        <v>5.96</v>
      </c>
      <c r="Y254" s="4356">
        <f t="shared" si="1177"/>
        <v>0</v>
      </c>
      <c r="Z254" s="4356">
        <f t="shared" si="1177"/>
        <v>38.100000000000009</v>
      </c>
      <c r="AA254" s="4356">
        <f t="shared" si="1177"/>
        <v>38.100000000000009</v>
      </c>
      <c r="AB254" s="4356">
        <f t="shared" si="1177"/>
        <v>0</v>
      </c>
      <c r="AC254" s="4356">
        <f t="shared" si="1177"/>
        <v>51.06</v>
      </c>
      <c r="AD254" s="4356">
        <f t="shared" si="1177"/>
        <v>51.06</v>
      </c>
      <c r="AE254" s="4356">
        <f t="shared" si="1177"/>
        <v>0</v>
      </c>
      <c r="AF254" s="4357">
        <f t="shared" si="1177"/>
        <v>84.723500000000001</v>
      </c>
      <c r="AG254" s="4357">
        <f t="shared" si="1177"/>
        <v>84.723500000000001</v>
      </c>
      <c r="AH254" s="4357">
        <f t="shared" si="1177"/>
        <v>0</v>
      </c>
      <c r="AI254" s="4358">
        <f t="shared" si="1177"/>
        <v>102.45</v>
      </c>
      <c r="AJ254" s="4358">
        <f t="shared" si="1177"/>
        <v>102.45</v>
      </c>
      <c r="AK254" s="4358">
        <f t="shared" si="1177"/>
        <v>0</v>
      </c>
      <c r="AL254" s="4319">
        <f t="shared" si="1124"/>
        <v>17.726500000000001</v>
      </c>
      <c r="AM254" s="4319">
        <f t="shared" si="1125"/>
        <v>17.726500000000001</v>
      </c>
      <c r="AN254" s="4319">
        <f t="shared" si="1125"/>
        <v>0</v>
      </c>
      <c r="AO254" s="4355">
        <f t="shared" ref="AO254:BI254" si="1178">SUM(AO44+AO86+AO114+AO134)</f>
        <v>42.361750000000001</v>
      </c>
      <c r="AP254" s="4355">
        <f t="shared" si="1178"/>
        <v>42.361750000000001</v>
      </c>
      <c r="AQ254" s="4355">
        <f t="shared" si="1178"/>
        <v>0</v>
      </c>
      <c r="AR254" s="4356">
        <f t="shared" si="1178"/>
        <v>29.4</v>
      </c>
      <c r="AS254" s="4356">
        <f t="shared" si="1178"/>
        <v>29.4</v>
      </c>
      <c r="AT254" s="4356">
        <f t="shared" si="1178"/>
        <v>0</v>
      </c>
      <c r="AU254" s="4356">
        <f t="shared" si="1178"/>
        <v>0</v>
      </c>
      <c r="AV254" s="4356">
        <f t="shared" si="1178"/>
        <v>0</v>
      </c>
      <c r="AW254" s="4356">
        <f t="shared" si="1178"/>
        <v>0</v>
      </c>
      <c r="AX254" s="4356">
        <f t="shared" si="1178"/>
        <v>0</v>
      </c>
      <c r="AY254" s="4356">
        <f t="shared" si="1178"/>
        <v>0</v>
      </c>
      <c r="AZ254" s="4356">
        <f t="shared" si="1178"/>
        <v>0</v>
      </c>
      <c r="BA254" s="4356">
        <f t="shared" si="1178"/>
        <v>29.4</v>
      </c>
      <c r="BB254" s="4356">
        <f t="shared" si="1178"/>
        <v>29.4</v>
      </c>
      <c r="BC254" s="4356">
        <f t="shared" si="1178"/>
        <v>0</v>
      </c>
      <c r="BD254" s="4357">
        <f t="shared" si="1178"/>
        <v>127.08525</v>
      </c>
      <c r="BE254" s="4357">
        <f t="shared" si="1178"/>
        <v>127.08525</v>
      </c>
      <c r="BF254" s="4357">
        <f t="shared" si="1178"/>
        <v>0</v>
      </c>
      <c r="BG254" s="4358">
        <f t="shared" si="1178"/>
        <v>131.85</v>
      </c>
      <c r="BH254" s="4358">
        <f t="shared" si="1178"/>
        <v>131.85</v>
      </c>
      <c r="BI254" s="4358">
        <f t="shared" si="1178"/>
        <v>0</v>
      </c>
      <c r="BJ254" s="4319">
        <f t="shared" si="1127"/>
        <v>4.7647499999999923</v>
      </c>
      <c r="BK254" s="4319">
        <f t="shared" si="1128"/>
        <v>4.7647499999999923</v>
      </c>
      <c r="BL254" s="4319">
        <f t="shared" si="1128"/>
        <v>0</v>
      </c>
      <c r="BM254" s="4355">
        <f t="shared" ref="BM254:CG254" si="1179">SUM(BM44+BM86+BM114+BM134)</f>
        <v>42.361750000000001</v>
      </c>
      <c r="BN254" s="4355">
        <f t="shared" si="1179"/>
        <v>42.361750000000001</v>
      </c>
      <c r="BO254" s="4355">
        <f t="shared" si="1179"/>
        <v>0</v>
      </c>
      <c r="BP254" s="4356">
        <f t="shared" si="1179"/>
        <v>0</v>
      </c>
      <c r="BQ254" s="4356">
        <f t="shared" si="1179"/>
        <v>0</v>
      </c>
      <c r="BR254" s="4356">
        <f t="shared" si="1179"/>
        <v>0</v>
      </c>
      <c r="BS254" s="4356">
        <f t="shared" si="1179"/>
        <v>0</v>
      </c>
      <c r="BT254" s="4356">
        <f t="shared" si="1179"/>
        <v>0</v>
      </c>
      <c r="BU254" s="4356">
        <f t="shared" si="1179"/>
        <v>0</v>
      </c>
      <c r="BV254" s="4356">
        <f t="shared" si="1179"/>
        <v>0</v>
      </c>
      <c r="BW254" s="4356">
        <f t="shared" si="1179"/>
        <v>0</v>
      </c>
      <c r="BX254" s="4356">
        <f t="shared" si="1179"/>
        <v>0</v>
      </c>
      <c r="BY254" s="4356">
        <f t="shared" si="1179"/>
        <v>0</v>
      </c>
      <c r="BZ254" s="4356">
        <f t="shared" si="1179"/>
        <v>0</v>
      </c>
      <c r="CA254" s="4356">
        <f t="shared" si="1179"/>
        <v>0</v>
      </c>
      <c r="CB254" s="4357">
        <f t="shared" si="1179"/>
        <v>169.447</v>
      </c>
      <c r="CC254" s="4357">
        <f t="shared" si="1179"/>
        <v>169.447</v>
      </c>
      <c r="CD254" s="4357">
        <f t="shared" si="1179"/>
        <v>0</v>
      </c>
      <c r="CE254" s="4358">
        <f t="shared" si="1179"/>
        <v>131.85</v>
      </c>
      <c r="CF254" s="4358">
        <f t="shared" si="1179"/>
        <v>131.85</v>
      </c>
      <c r="CG254" s="4358">
        <f t="shared" si="1179"/>
        <v>0</v>
      </c>
      <c r="CH254" s="4319">
        <f t="shared" si="1130"/>
        <v>-37.597000000000008</v>
      </c>
      <c r="CI254" s="4319">
        <f t="shared" si="1131"/>
        <v>-37.597000000000008</v>
      </c>
      <c r="CJ254" s="4319">
        <f t="shared" si="1131"/>
        <v>0</v>
      </c>
      <c r="CK254" s="2746"/>
      <c r="CL254" s="2746"/>
      <c r="CM254" s="2746"/>
      <c r="CN254" s="2746"/>
    </row>
    <row r="255" spans="1:92" ht="18.75" x14ac:dyDescent="0.3">
      <c r="A255" s="4342" t="s">
        <v>3723</v>
      </c>
      <c r="B255" s="4355">
        <f t="shared" ref="B255:AK255" si="1180">SUM(B80)</f>
        <v>34.267249999999997</v>
      </c>
      <c r="C255" s="4355">
        <f t="shared" si="1180"/>
        <v>34.267249999999997</v>
      </c>
      <c r="D255" s="4355">
        <f t="shared" si="1180"/>
        <v>0</v>
      </c>
      <c r="E255" s="4356">
        <f t="shared" si="1180"/>
        <v>0</v>
      </c>
      <c r="F255" s="4356">
        <f t="shared" si="1180"/>
        <v>0</v>
      </c>
      <c r="G255" s="4356">
        <f t="shared" si="1180"/>
        <v>0</v>
      </c>
      <c r="H255" s="4356">
        <f t="shared" si="1180"/>
        <v>0</v>
      </c>
      <c r="I255" s="4356">
        <f t="shared" si="1180"/>
        <v>0</v>
      </c>
      <c r="J255" s="4356">
        <f t="shared" si="1180"/>
        <v>0</v>
      </c>
      <c r="K255" s="4356">
        <f t="shared" si="1180"/>
        <v>14.272</v>
      </c>
      <c r="L255" s="4356">
        <f t="shared" si="1180"/>
        <v>14.272</v>
      </c>
      <c r="M255" s="4356">
        <f t="shared" si="1180"/>
        <v>0</v>
      </c>
      <c r="N255" s="4356">
        <f t="shared" si="1180"/>
        <v>14.272</v>
      </c>
      <c r="O255" s="4356">
        <f t="shared" si="1180"/>
        <v>14.272</v>
      </c>
      <c r="P255" s="4356">
        <f t="shared" si="1180"/>
        <v>0</v>
      </c>
      <c r="Q255" s="4355">
        <f t="shared" si="1180"/>
        <v>34.267249999999997</v>
      </c>
      <c r="R255" s="4355">
        <f t="shared" si="1180"/>
        <v>34.267249999999997</v>
      </c>
      <c r="S255" s="4355">
        <f t="shared" si="1180"/>
        <v>0</v>
      </c>
      <c r="T255" s="4356">
        <f t="shared" si="1180"/>
        <v>0</v>
      </c>
      <c r="U255" s="4356">
        <f t="shared" si="1180"/>
        <v>0</v>
      </c>
      <c r="V255" s="4356">
        <f t="shared" si="1180"/>
        <v>0</v>
      </c>
      <c r="W255" s="4356">
        <f t="shared" si="1180"/>
        <v>20.454000000000001</v>
      </c>
      <c r="X255" s="4356">
        <f t="shared" si="1180"/>
        <v>20.454000000000001</v>
      </c>
      <c r="Y255" s="4356">
        <f t="shared" si="1180"/>
        <v>0</v>
      </c>
      <c r="Z255" s="4356">
        <f t="shared" si="1180"/>
        <v>17.898</v>
      </c>
      <c r="AA255" s="4356">
        <f t="shared" si="1180"/>
        <v>17.898</v>
      </c>
      <c r="AB255" s="4356">
        <f t="shared" si="1180"/>
        <v>0</v>
      </c>
      <c r="AC255" s="4356">
        <f t="shared" si="1180"/>
        <v>38.352000000000004</v>
      </c>
      <c r="AD255" s="4356">
        <f t="shared" si="1180"/>
        <v>38.352000000000004</v>
      </c>
      <c r="AE255" s="4356">
        <f t="shared" si="1180"/>
        <v>0</v>
      </c>
      <c r="AF255" s="4357">
        <f t="shared" si="1180"/>
        <v>68.534499999999994</v>
      </c>
      <c r="AG255" s="4357">
        <f t="shared" si="1180"/>
        <v>68.534499999999994</v>
      </c>
      <c r="AH255" s="4357">
        <f t="shared" si="1180"/>
        <v>0</v>
      </c>
      <c r="AI255" s="4358">
        <f t="shared" si="1180"/>
        <v>52.624000000000002</v>
      </c>
      <c r="AJ255" s="4358">
        <f t="shared" si="1180"/>
        <v>52.624000000000002</v>
      </c>
      <c r="AK255" s="4358">
        <f t="shared" si="1180"/>
        <v>0</v>
      </c>
      <c r="AL255" s="4319">
        <f t="shared" si="1124"/>
        <v>-15.910499999999992</v>
      </c>
      <c r="AM255" s="4319">
        <f t="shared" si="1125"/>
        <v>-15.910499999999992</v>
      </c>
      <c r="AN255" s="4319">
        <f t="shared" si="1125"/>
        <v>0</v>
      </c>
      <c r="AO255" s="4355">
        <f t="shared" ref="AO255:BI255" si="1181">SUM(AO80)</f>
        <v>34.267249999999997</v>
      </c>
      <c r="AP255" s="4355">
        <f t="shared" si="1181"/>
        <v>34.267249999999997</v>
      </c>
      <c r="AQ255" s="4355">
        <f t="shared" si="1181"/>
        <v>0</v>
      </c>
      <c r="AR255" s="4356">
        <f t="shared" si="1181"/>
        <v>0</v>
      </c>
      <c r="AS255" s="4356">
        <f t="shared" si="1181"/>
        <v>0</v>
      </c>
      <c r="AT255" s="4356">
        <f t="shared" si="1181"/>
        <v>0</v>
      </c>
      <c r="AU255" s="4356">
        <f t="shared" si="1181"/>
        <v>0</v>
      </c>
      <c r="AV255" s="4356">
        <f t="shared" si="1181"/>
        <v>0</v>
      </c>
      <c r="AW255" s="4356">
        <f t="shared" si="1181"/>
        <v>0</v>
      </c>
      <c r="AX255" s="4356">
        <f t="shared" si="1181"/>
        <v>0</v>
      </c>
      <c r="AY255" s="4356">
        <f t="shared" si="1181"/>
        <v>0</v>
      </c>
      <c r="AZ255" s="4356">
        <f t="shared" si="1181"/>
        <v>0</v>
      </c>
      <c r="BA255" s="4356">
        <f t="shared" si="1181"/>
        <v>0</v>
      </c>
      <c r="BB255" s="4356">
        <f t="shared" si="1181"/>
        <v>0</v>
      </c>
      <c r="BC255" s="4356">
        <f t="shared" si="1181"/>
        <v>0</v>
      </c>
      <c r="BD255" s="4357">
        <f t="shared" si="1181"/>
        <v>102.80175</v>
      </c>
      <c r="BE255" s="4357">
        <f t="shared" si="1181"/>
        <v>102.80175</v>
      </c>
      <c r="BF255" s="4357">
        <f t="shared" si="1181"/>
        <v>0</v>
      </c>
      <c r="BG255" s="4358">
        <f t="shared" si="1181"/>
        <v>52.624000000000002</v>
      </c>
      <c r="BH255" s="4358">
        <f t="shared" si="1181"/>
        <v>52.624000000000002</v>
      </c>
      <c r="BI255" s="4358">
        <f t="shared" si="1181"/>
        <v>0</v>
      </c>
      <c r="BJ255" s="4319">
        <f t="shared" si="1127"/>
        <v>-50.177749999999996</v>
      </c>
      <c r="BK255" s="4319">
        <f t="shared" si="1128"/>
        <v>-50.177749999999996</v>
      </c>
      <c r="BL255" s="4319">
        <f t="shared" si="1128"/>
        <v>0</v>
      </c>
      <c r="BM255" s="4355">
        <f t="shared" ref="BM255:CG255" si="1182">SUM(BM80)</f>
        <v>34.267249999999997</v>
      </c>
      <c r="BN255" s="4355">
        <f t="shared" si="1182"/>
        <v>34.267249999999997</v>
      </c>
      <c r="BO255" s="4355">
        <f t="shared" si="1182"/>
        <v>0</v>
      </c>
      <c r="BP255" s="4356">
        <f t="shared" si="1182"/>
        <v>0</v>
      </c>
      <c r="BQ255" s="4356">
        <f t="shared" si="1182"/>
        <v>0</v>
      </c>
      <c r="BR255" s="4356">
        <f t="shared" si="1182"/>
        <v>0</v>
      </c>
      <c r="BS255" s="4356">
        <f t="shared" si="1182"/>
        <v>0</v>
      </c>
      <c r="BT255" s="4356">
        <f t="shared" si="1182"/>
        <v>0</v>
      </c>
      <c r="BU255" s="4356">
        <f t="shared" si="1182"/>
        <v>0</v>
      </c>
      <c r="BV255" s="4356">
        <f t="shared" si="1182"/>
        <v>0</v>
      </c>
      <c r="BW255" s="4356">
        <f t="shared" si="1182"/>
        <v>0</v>
      </c>
      <c r="BX255" s="4356">
        <f t="shared" si="1182"/>
        <v>0</v>
      </c>
      <c r="BY255" s="4356">
        <f t="shared" si="1182"/>
        <v>0</v>
      </c>
      <c r="BZ255" s="4356">
        <f t="shared" si="1182"/>
        <v>0</v>
      </c>
      <c r="CA255" s="4356">
        <f t="shared" si="1182"/>
        <v>0</v>
      </c>
      <c r="CB255" s="4357">
        <f t="shared" si="1182"/>
        <v>137.06899999999999</v>
      </c>
      <c r="CC255" s="4357">
        <f t="shared" si="1182"/>
        <v>137.06899999999999</v>
      </c>
      <c r="CD255" s="4357">
        <f t="shared" si="1182"/>
        <v>0</v>
      </c>
      <c r="CE255" s="4358">
        <f t="shared" si="1182"/>
        <v>52.624000000000002</v>
      </c>
      <c r="CF255" s="4358">
        <f t="shared" si="1182"/>
        <v>52.624000000000002</v>
      </c>
      <c r="CG255" s="4358">
        <f t="shared" si="1182"/>
        <v>0</v>
      </c>
      <c r="CH255" s="4319">
        <f t="shared" si="1130"/>
        <v>-84.444999999999993</v>
      </c>
      <c r="CI255" s="4319">
        <f t="shared" si="1131"/>
        <v>-84.444999999999993</v>
      </c>
      <c r="CJ255" s="4319">
        <f t="shared" si="1131"/>
        <v>0</v>
      </c>
      <c r="CK255" s="2746"/>
      <c r="CL255" s="2746"/>
      <c r="CM255" s="2746"/>
      <c r="CN255" s="2746"/>
    </row>
    <row r="256" spans="1:92" ht="18.75" x14ac:dyDescent="0.3">
      <c r="A256" s="4342" t="s">
        <v>3603</v>
      </c>
      <c r="B256" s="4355">
        <f t="shared" ref="B256:AK256" si="1183">SUM(B81)</f>
        <v>0</v>
      </c>
      <c r="C256" s="4355">
        <f t="shared" si="1183"/>
        <v>0</v>
      </c>
      <c r="D256" s="4355">
        <f t="shared" si="1183"/>
        <v>0</v>
      </c>
      <c r="E256" s="4356">
        <f t="shared" si="1183"/>
        <v>0</v>
      </c>
      <c r="F256" s="4356">
        <f t="shared" si="1183"/>
        <v>0</v>
      </c>
      <c r="G256" s="4356">
        <f t="shared" si="1183"/>
        <v>0</v>
      </c>
      <c r="H256" s="4356">
        <f t="shared" si="1183"/>
        <v>0</v>
      </c>
      <c r="I256" s="4356">
        <f t="shared" si="1183"/>
        <v>0</v>
      </c>
      <c r="J256" s="4356">
        <f t="shared" si="1183"/>
        <v>0</v>
      </c>
      <c r="K256" s="4356">
        <f t="shared" si="1183"/>
        <v>0</v>
      </c>
      <c r="L256" s="4356">
        <f t="shared" si="1183"/>
        <v>0</v>
      </c>
      <c r="M256" s="4356">
        <f t="shared" si="1183"/>
        <v>0</v>
      </c>
      <c r="N256" s="4356">
        <f t="shared" si="1183"/>
        <v>0</v>
      </c>
      <c r="O256" s="4356">
        <f t="shared" si="1183"/>
        <v>0</v>
      </c>
      <c r="P256" s="4356">
        <f t="shared" si="1183"/>
        <v>0</v>
      </c>
      <c r="Q256" s="4355">
        <f t="shared" si="1183"/>
        <v>0</v>
      </c>
      <c r="R256" s="4355">
        <f t="shared" si="1183"/>
        <v>0</v>
      </c>
      <c r="S256" s="4355">
        <f t="shared" si="1183"/>
        <v>0</v>
      </c>
      <c r="T256" s="4356">
        <f t="shared" si="1183"/>
        <v>0</v>
      </c>
      <c r="U256" s="4356">
        <f t="shared" si="1183"/>
        <v>0</v>
      </c>
      <c r="V256" s="4356">
        <f t="shared" si="1183"/>
        <v>0</v>
      </c>
      <c r="W256" s="4356">
        <f t="shared" si="1183"/>
        <v>0</v>
      </c>
      <c r="X256" s="4356">
        <f t="shared" si="1183"/>
        <v>0</v>
      </c>
      <c r="Y256" s="4356">
        <f t="shared" si="1183"/>
        <v>0</v>
      </c>
      <c r="Z256" s="4356">
        <f t="shared" si="1183"/>
        <v>0</v>
      </c>
      <c r="AA256" s="4356">
        <f t="shared" si="1183"/>
        <v>0</v>
      </c>
      <c r="AB256" s="4356">
        <f t="shared" si="1183"/>
        <v>0</v>
      </c>
      <c r="AC256" s="4356">
        <f t="shared" si="1183"/>
        <v>0</v>
      </c>
      <c r="AD256" s="4356">
        <f t="shared" si="1183"/>
        <v>0</v>
      </c>
      <c r="AE256" s="4356">
        <f t="shared" si="1183"/>
        <v>0</v>
      </c>
      <c r="AF256" s="4357">
        <f t="shared" si="1183"/>
        <v>0</v>
      </c>
      <c r="AG256" s="4357">
        <f t="shared" si="1183"/>
        <v>0</v>
      </c>
      <c r="AH256" s="4357">
        <f t="shared" si="1183"/>
        <v>0</v>
      </c>
      <c r="AI256" s="4358">
        <f t="shared" si="1183"/>
        <v>0</v>
      </c>
      <c r="AJ256" s="4358">
        <f t="shared" si="1183"/>
        <v>0</v>
      </c>
      <c r="AK256" s="4358">
        <f t="shared" si="1183"/>
        <v>0</v>
      </c>
      <c r="AL256" s="4319">
        <f t="shared" si="1124"/>
        <v>0</v>
      </c>
      <c r="AM256" s="4319">
        <f t="shared" si="1125"/>
        <v>0</v>
      </c>
      <c r="AN256" s="4319">
        <f t="shared" si="1125"/>
        <v>0</v>
      </c>
      <c r="AO256" s="4355">
        <f t="shared" ref="AO256:BI256" si="1184">SUM(AO81)</f>
        <v>0</v>
      </c>
      <c r="AP256" s="4355">
        <f t="shared" si="1184"/>
        <v>0</v>
      </c>
      <c r="AQ256" s="4355">
        <f t="shared" si="1184"/>
        <v>0</v>
      </c>
      <c r="AR256" s="4356">
        <f t="shared" si="1184"/>
        <v>0</v>
      </c>
      <c r="AS256" s="4356">
        <f t="shared" si="1184"/>
        <v>0</v>
      </c>
      <c r="AT256" s="4356">
        <f t="shared" si="1184"/>
        <v>0</v>
      </c>
      <c r="AU256" s="4356">
        <f t="shared" si="1184"/>
        <v>0</v>
      </c>
      <c r="AV256" s="4356">
        <f t="shared" si="1184"/>
        <v>0</v>
      </c>
      <c r="AW256" s="4356">
        <f t="shared" si="1184"/>
        <v>0</v>
      </c>
      <c r="AX256" s="4356">
        <f t="shared" si="1184"/>
        <v>0</v>
      </c>
      <c r="AY256" s="4356">
        <f t="shared" si="1184"/>
        <v>0</v>
      </c>
      <c r="AZ256" s="4356">
        <f t="shared" si="1184"/>
        <v>0</v>
      </c>
      <c r="BA256" s="4356">
        <f t="shared" si="1184"/>
        <v>0</v>
      </c>
      <c r="BB256" s="4356">
        <f t="shared" si="1184"/>
        <v>0</v>
      </c>
      <c r="BC256" s="4356">
        <f t="shared" si="1184"/>
        <v>0</v>
      </c>
      <c r="BD256" s="4357">
        <f t="shared" si="1184"/>
        <v>0</v>
      </c>
      <c r="BE256" s="4357">
        <f t="shared" si="1184"/>
        <v>0</v>
      </c>
      <c r="BF256" s="4357">
        <f t="shared" si="1184"/>
        <v>0</v>
      </c>
      <c r="BG256" s="4358">
        <f t="shared" si="1184"/>
        <v>0</v>
      </c>
      <c r="BH256" s="4358">
        <f t="shared" si="1184"/>
        <v>0</v>
      </c>
      <c r="BI256" s="4358">
        <f t="shared" si="1184"/>
        <v>0</v>
      </c>
      <c r="BJ256" s="4319">
        <f t="shared" si="1127"/>
        <v>0</v>
      </c>
      <c r="BK256" s="4319">
        <f t="shared" si="1128"/>
        <v>0</v>
      </c>
      <c r="BL256" s="4319">
        <f t="shared" si="1128"/>
        <v>0</v>
      </c>
      <c r="BM256" s="4355">
        <f t="shared" ref="BM256:CG256" si="1185">SUM(BM81)</f>
        <v>0</v>
      </c>
      <c r="BN256" s="4355">
        <f t="shared" si="1185"/>
        <v>0</v>
      </c>
      <c r="BO256" s="4355">
        <f t="shared" si="1185"/>
        <v>0</v>
      </c>
      <c r="BP256" s="4356">
        <f t="shared" si="1185"/>
        <v>0</v>
      </c>
      <c r="BQ256" s="4356">
        <f t="shared" si="1185"/>
        <v>0</v>
      </c>
      <c r="BR256" s="4356">
        <f t="shared" si="1185"/>
        <v>0</v>
      </c>
      <c r="BS256" s="4356">
        <f t="shared" si="1185"/>
        <v>0</v>
      </c>
      <c r="BT256" s="4356">
        <f t="shared" si="1185"/>
        <v>0</v>
      </c>
      <c r="BU256" s="4356">
        <f t="shared" si="1185"/>
        <v>0</v>
      </c>
      <c r="BV256" s="4356">
        <f t="shared" si="1185"/>
        <v>0</v>
      </c>
      <c r="BW256" s="4356">
        <f t="shared" si="1185"/>
        <v>0</v>
      </c>
      <c r="BX256" s="4356">
        <f t="shared" si="1185"/>
        <v>0</v>
      </c>
      <c r="BY256" s="4356">
        <f t="shared" si="1185"/>
        <v>0</v>
      </c>
      <c r="BZ256" s="4356">
        <f t="shared" si="1185"/>
        <v>0</v>
      </c>
      <c r="CA256" s="4356">
        <f t="shared" si="1185"/>
        <v>0</v>
      </c>
      <c r="CB256" s="4357">
        <f t="shared" si="1185"/>
        <v>0</v>
      </c>
      <c r="CC256" s="4357">
        <f t="shared" si="1185"/>
        <v>0</v>
      </c>
      <c r="CD256" s="4357">
        <f t="shared" si="1185"/>
        <v>0</v>
      </c>
      <c r="CE256" s="4358">
        <f t="shared" si="1185"/>
        <v>0</v>
      </c>
      <c r="CF256" s="4358">
        <f t="shared" si="1185"/>
        <v>0</v>
      </c>
      <c r="CG256" s="4358">
        <f t="shared" si="1185"/>
        <v>0</v>
      </c>
      <c r="CH256" s="4319">
        <f t="shared" si="1130"/>
        <v>0</v>
      </c>
      <c r="CI256" s="4319">
        <f t="shared" si="1131"/>
        <v>0</v>
      </c>
      <c r="CJ256" s="4319">
        <f t="shared" si="1131"/>
        <v>0</v>
      </c>
      <c r="CK256" s="2746"/>
      <c r="CL256" s="2746"/>
      <c r="CM256" s="2746"/>
      <c r="CN256" s="2746"/>
    </row>
    <row r="257" spans="1:92" ht="18.75" x14ac:dyDescent="0.3">
      <c r="A257" s="4342" t="s">
        <v>3604</v>
      </c>
      <c r="B257" s="4355">
        <f t="shared" ref="B257:AK257" si="1186">SUM(B82)</f>
        <v>50.057499999999997</v>
      </c>
      <c r="C257" s="4355">
        <f t="shared" si="1186"/>
        <v>50.057499999999997</v>
      </c>
      <c r="D257" s="4355">
        <f t="shared" si="1186"/>
        <v>0</v>
      </c>
      <c r="E257" s="4356">
        <f t="shared" si="1186"/>
        <v>24.462</v>
      </c>
      <c r="F257" s="4356">
        <f t="shared" si="1186"/>
        <v>24.462</v>
      </c>
      <c r="G257" s="4356">
        <f t="shared" si="1186"/>
        <v>0</v>
      </c>
      <c r="H257" s="4356">
        <f t="shared" si="1186"/>
        <v>0</v>
      </c>
      <c r="I257" s="4356">
        <f t="shared" si="1186"/>
        <v>0</v>
      </c>
      <c r="J257" s="4356">
        <f t="shared" si="1186"/>
        <v>0</v>
      </c>
      <c r="K257" s="4356">
        <f t="shared" si="1186"/>
        <v>19.2</v>
      </c>
      <c r="L257" s="4356">
        <f t="shared" si="1186"/>
        <v>19.2</v>
      </c>
      <c r="M257" s="4356">
        <f t="shared" si="1186"/>
        <v>0</v>
      </c>
      <c r="N257" s="4356">
        <f t="shared" si="1186"/>
        <v>43.661999999999999</v>
      </c>
      <c r="O257" s="4356">
        <f t="shared" si="1186"/>
        <v>43.661999999999999</v>
      </c>
      <c r="P257" s="4356">
        <f t="shared" si="1186"/>
        <v>0</v>
      </c>
      <c r="Q257" s="4355">
        <f t="shared" si="1186"/>
        <v>50.057499999999997</v>
      </c>
      <c r="R257" s="4355">
        <f t="shared" si="1186"/>
        <v>50.057499999999997</v>
      </c>
      <c r="S257" s="4355">
        <f t="shared" si="1186"/>
        <v>0</v>
      </c>
      <c r="T257" s="4356">
        <f t="shared" si="1186"/>
        <v>11.117000000000001</v>
      </c>
      <c r="U257" s="4356">
        <f t="shared" si="1186"/>
        <v>11.117000000000001</v>
      </c>
      <c r="V257" s="4356">
        <f t="shared" si="1186"/>
        <v>0</v>
      </c>
      <c r="W257" s="4356">
        <f t="shared" si="1186"/>
        <v>0</v>
      </c>
      <c r="X257" s="4356">
        <f t="shared" si="1186"/>
        <v>0</v>
      </c>
      <c r="Y257" s="4356">
        <f t="shared" si="1186"/>
        <v>0</v>
      </c>
      <c r="Z257" s="4356">
        <f t="shared" si="1186"/>
        <v>76.566999999999993</v>
      </c>
      <c r="AA257" s="4356">
        <f t="shared" si="1186"/>
        <v>76.566999999999993</v>
      </c>
      <c r="AB257" s="4356">
        <f t="shared" si="1186"/>
        <v>0</v>
      </c>
      <c r="AC257" s="4356">
        <f t="shared" si="1186"/>
        <v>87.683999999999997</v>
      </c>
      <c r="AD257" s="4356">
        <f t="shared" si="1186"/>
        <v>87.683999999999997</v>
      </c>
      <c r="AE257" s="4356">
        <f t="shared" si="1186"/>
        <v>0</v>
      </c>
      <c r="AF257" s="4357">
        <f t="shared" si="1186"/>
        <v>100.11499999999999</v>
      </c>
      <c r="AG257" s="4357">
        <f t="shared" si="1186"/>
        <v>100.11499999999999</v>
      </c>
      <c r="AH257" s="4357">
        <f t="shared" si="1186"/>
        <v>0</v>
      </c>
      <c r="AI257" s="4358">
        <f t="shared" si="1186"/>
        <v>131.346</v>
      </c>
      <c r="AJ257" s="4358">
        <f t="shared" si="1186"/>
        <v>131.346</v>
      </c>
      <c r="AK257" s="4358">
        <f t="shared" si="1186"/>
        <v>0</v>
      </c>
      <c r="AL257" s="4319">
        <f t="shared" si="1124"/>
        <v>31.231000000000009</v>
      </c>
      <c r="AM257" s="4319">
        <f t="shared" si="1125"/>
        <v>31.231000000000009</v>
      </c>
      <c r="AN257" s="4319">
        <f t="shared" si="1125"/>
        <v>0</v>
      </c>
      <c r="AO257" s="4355">
        <f t="shared" ref="AO257:BI257" si="1187">SUM(AO82)</f>
        <v>50.057499999999997</v>
      </c>
      <c r="AP257" s="4355">
        <f t="shared" si="1187"/>
        <v>50.057499999999997</v>
      </c>
      <c r="AQ257" s="4355">
        <f t="shared" si="1187"/>
        <v>0</v>
      </c>
      <c r="AR257" s="4356">
        <f t="shared" si="1187"/>
        <v>32.1</v>
      </c>
      <c r="AS257" s="4356">
        <f t="shared" si="1187"/>
        <v>32.1</v>
      </c>
      <c r="AT257" s="4356">
        <f t="shared" si="1187"/>
        <v>0</v>
      </c>
      <c r="AU257" s="4356">
        <f t="shared" si="1187"/>
        <v>0</v>
      </c>
      <c r="AV257" s="4356">
        <f t="shared" si="1187"/>
        <v>0</v>
      </c>
      <c r="AW257" s="4356">
        <f t="shared" si="1187"/>
        <v>0</v>
      </c>
      <c r="AX257" s="4356">
        <f t="shared" si="1187"/>
        <v>0</v>
      </c>
      <c r="AY257" s="4356">
        <f t="shared" si="1187"/>
        <v>0</v>
      </c>
      <c r="AZ257" s="4356">
        <f t="shared" si="1187"/>
        <v>0</v>
      </c>
      <c r="BA257" s="4356">
        <f t="shared" si="1187"/>
        <v>32.1</v>
      </c>
      <c r="BB257" s="4356">
        <f t="shared" si="1187"/>
        <v>32.1</v>
      </c>
      <c r="BC257" s="4356">
        <f t="shared" si="1187"/>
        <v>0</v>
      </c>
      <c r="BD257" s="4357">
        <f t="shared" si="1187"/>
        <v>150.17249999999999</v>
      </c>
      <c r="BE257" s="4357">
        <f t="shared" si="1187"/>
        <v>150.17249999999999</v>
      </c>
      <c r="BF257" s="4357">
        <f t="shared" si="1187"/>
        <v>0</v>
      </c>
      <c r="BG257" s="4358">
        <f t="shared" si="1187"/>
        <v>163.446</v>
      </c>
      <c r="BH257" s="4358">
        <f t="shared" si="1187"/>
        <v>163.446</v>
      </c>
      <c r="BI257" s="4358">
        <f t="shared" si="1187"/>
        <v>0</v>
      </c>
      <c r="BJ257" s="4319">
        <f t="shared" si="1127"/>
        <v>13.273500000000013</v>
      </c>
      <c r="BK257" s="4319">
        <f t="shared" si="1128"/>
        <v>13.273500000000013</v>
      </c>
      <c r="BL257" s="4319">
        <f t="shared" si="1128"/>
        <v>0</v>
      </c>
      <c r="BM257" s="4355">
        <f t="shared" ref="BM257:CG257" si="1188">SUM(BM82)</f>
        <v>50.057499999999997</v>
      </c>
      <c r="BN257" s="4355">
        <f t="shared" si="1188"/>
        <v>50.057499999999997</v>
      </c>
      <c r="BO257" s="4355">
        <f t="shared" si="1188"/>
        <v>0</v>
      </c>
      <c r="BP257" s="4356">
        <f t="shared" si="1188"/>
        <v>0</v>
      </c>
      <c r="BQ257" s="4356">
        <f t="shared" si="1188"/>
        <v>0</v>
      </c>
      <c r="BR257" s="4356">
        <f t="shared" si="1188"/>
        <v>0</v>
      </c>
      <c r="BS257" s="4356">
        <f t="shared" si="1188"/>
        <v>0</v>
      </c>
      <c r="BT257" s="4356">
        <f t="shared" si="1188"/>
        <v>0</v>
      </c>
      <c r="BU257" s="4356">
        <f t="shared" si="1188"/>
        <v>0</v>
      </c>
      <c r="BV257" s="4356">
        <f t="shared" si="1188"/>
        <v>0</v>
      </c>
      <c r="BW257" s="4356">
        <f t="shared" si="1188"/>
        <v>0</v>
      </c>
      <c r="BX257" s="4356">
        <f t="shared" si="1188"/>
        <v>0</v>
      </c>
      <c r="BY257" s="4356">
        <f t="shared" si="1188"/>
        <v>0</v>
      </c>
      <c r="BZ257" s="4356">
        <f t="shared" si="1188"/>
        <v>0</v>
      </c>
      <c r="CA257" s="4356">
        <f t="shared" si="1188"/>
        <v>0</v>
      </c>
      <c r="CB257" s="4357">
        <f t="shared" si="1188"/>
        <v>200.23</v>
      </c>
      <c r="CC257" s="4357">
        <f t="shared" si="1188"/>
        <v>200.23</v>
      </c>
      <c r="CD257" s="4357">
        <f t="shared" si="1188"/>
        <v>0</v>
      </c>
      <c r="CE257" s="4358">
        <f t="shared" si="1188"/>
        <v>163.446</v>
      </c>
      <c r="CF257" s="4358">
        <f t="shared" si="1188"/>
        <v>163.446</v>
      </c>
      <c r="CG257" s="4358">
        <f t="shared" si="1188"/>
        <v>0</v>
      </c>
      <c r="CH257" s="4319">
        <f t="shared" si="1130"/>
        <v>-36.783999999999992</v>
      </c>
      <c r="CI257" s="4319">
        <f t="shared" si="1131"/>
        <v>-36.783999999999992</v>
      </c>
      <c r="CJ257" s="4319">
        <f t="shared" si="1131"/>
        <v>0</v>
      </c>
      <c r="CK257" s="2746"/>
      <c r="CL257" s="2746"/>
      <c r="CM257" s="2746"/>
      <c r="CN257" s="2746"/>
    </row>
    <row r="258" spans="1:92" ht="18.75" x14ac:dyDescent="0.3">
      <c r="A258" s="4342" t="s">
        <v>619</v>
      </c>
      <c r="B258" s="4355">
        <f t="shared" ref="B258:AK258" si="1189">SUM(B83)</f>
        <v>0</v>
      </c>
      <c r="C258" s="4355">
        <f t="shared" si="1189"/>
        <v>0</v>
      </c>
      <c r="D258" s="4355">
        <f t="shared" si="1189"/>
        <v>0</v>
      </c>
      <c r="E258" s="4356">
        <f t="shared" si="1189"/>
        <v>272.43</v>
      </c>
      <c r="F258" s="4356">
        <f t="shared" si="1189"/>
        <v>272.43</v>
      </c>
      <c r="G258" s="4356">
        <f t="shared" si="1189"/>
        <v>0</v>
      </c>
      <c r="H258" s="4356">
        <f t="shared" si="1189"/>
        <v>272.44200000000001</v>
      </c>
      <c r="I258" s="4356">
        <f t="shared" si="1189"/>
        <v>272.44200000000001</v>
      </c>
      <c r="J258" s="4356">
        <f t="shared" si="1189"/>
        <v>0</v>
      </c>
      <c r="K258" s="4356">
        <f t="shared" si="1189"/>
        <v>276.96800000000002</v>
      </c>
      <c r="L258" s="4356">
        <f t="shared" si="1189"/>
        <v>276.96800000000002</v>
      </c>
      <c r="M258" s="4356">
        <f t="shared" si="1189"/>
        <v>0</v>
      </c>
      <c r="N258" s="4356">
        <f t="shared" si="1189"/>
        <v>821.84000000000015</v>
      </c>
      <c r="O258" s="4356">
        <f t="shared" si="1189"/>
        <v>821.84000000000015</v>
      </c>
      <c r="P258" s="4356">
        <f t="shared" si="1189"/>
        <v>0</v>
      </c>
      <c r="Q258" s="4355">
        <f t="shared" si="1189"/>
        <v>0</v>
      </c>
      <c r="R258" s="4355">
        <f t="shared" si="1189"/>
        <v>0</v>
      </c>
      <c r="S258" s="4355">
        <f t="shared" si="1189"/>
        <v>0</v>
      </c>
      <c r="T258" s="4356">
        <f t="shared" si="1189"/>
        <v>207.38900000000001</v>
      </c>
      <c r="U258" s="4356">
        <f t="shared" si="1189"/>
        <v>207.38900000000001</v>
      </c>
      <c r="V258" s="4356">
        <f t="shared" si="1189"/>
        <v>0</v>
      </c>
      <c r="W258" s="4356">
        <f t="shared" si="1189"/>
        <v>269.73200000000003</v>
      </c>
      <c r="X258" s="4356">
        <f t="shared" si="1189"/>
        <v>269.73200000000003</v>
      </c>
      <c r="Y258" s="4356">
        <f t="shared" si="1189"/>
        <v>0</v>
      </c>
      <c r="Z258" s="4356">
        <f t="shared" si="1189"/>
        <v>270.721</v>
      </c>
      <c r="AA258" s="4356">
        <f t="shared" si="1189"/>
        <v>270.721</v>
      </c>
      <c r="AB258" s="4356">
        <f t="shared" si="1189"/>
        <v>0</v>
      </c>
      <c r="AC258" s="4356">
        <f t="shared" si="1189"/>
        <v>747.8420000000001</v>
      </c>
      <c r="AD258" s="4356">
        <f t="shared" si="1189"/>
        <v>747.8420000000001</v>
      </c>
      <c r="AE258" s="4356">
        <f t="shared" si="1189"/>
        <v>0</v>
      </c>
      <c r="AF258" s="4357">
        <f t="shared" si="1189"/>
        <v>0</v>
      </c>
      <c r="AG258" s="4357">
        <f t="shared" si="1189"/>
        <v>0</v>
      </c>
      <c r="AH258" s="4357">
        <f t="shared" si="1189"/>
        <v>0</v>
      </c>
      <c r="AI258" s="4358">
        <f t="shared" si="1189"/>
        <v>1569.6820000000002</v>
      </c>
      <c r="AJ258" s="4358">
        <f t="shared" si="1189"/>
        <v>1569.6820000000002</v>
      </c>
      <c r="AK258" s="4358">
        <f t="shared" si="1189"/>
        <v>0</v>
      </c>
      <c r="AL258" s="4319">
        <f t="shared" si="1124"/>
        <v>1569.6820000000002</v>
      </c>
      <c r="AM258" s="4319">
        <f t="shared" si="1125"/>
        <v>1569.6820000000002</v>
      </c>
      <c r="AN258" s="4319">
        <f t="shared" si="1125"/>
        <v>0</v>
      </c>
      <c r="AO258" s="4355">
        <f t="shared" ref="AO258:BI258" si="1190">SUM(AO83)</f>
        <v>0</v>
      </c>
      <c r="AP258" s="4355">
        <f t="shared" si="1190"/>
        <v>0</v>
      </c>
      <c r="AQ258" s="4355">
        <f t="shared" si="1190"/>
        <v>0</v>
      </c>
      <c r="AR258" s="4356">
        <f t="shared" si="1190"/>
        <v>273.58300000000003</v>
      </c>
      <c r="AS258" s="4356">
        <f t="shared" si="1190"/>
        <v>273.58300000000003</v>
      </c>
      <c r="AT258" s="4356">
        <f t="shared" si="1190"/>
        <v>0</v>
      </c>
      <c r="AU258" s="4356">
        <f t="shared" si="1190"/>
        <v>0</v>
      </c>
      <c r="AV258" s="4356">
        <f t="shared" si="1190"/>
        <v>0</v>
      </c>
      <c r="AW258" s="4356">
        <f t="shared" si="1190"/>
        <v>0</v>
      </c>
      <c r="AX258" s="4356">
        <f t="shared" si="1190"/>
        <v>0</v>
      </c>
      <c r="AY258" s="4356">
        <f t="shared" si="1190"/>
        <v>0</v>
      </c>
      <c r="AZ258" s="4356">
        <f t="shared" si="1190"/>
        <v>0</v>
      </c>
      <c r="BA258" s="4356">
        <f t="shared" si="1190"/>
        <v>273.58300000000003</v>
      </c>
      <c r="BB258" s="4356">
        <f t="shared" si="1190"/>
        <v>273.58300000000003</v>
      </c>
      <c r="BC258" s="4356">
        <f t="shared" si="1190"/>
        <v>0</v>
      </c>
      <c r="BD258" s="4357">
        <f t="shared" si="1190"/>
        <v>0</v>
      </c>
      <c r="BE258" s="4357">
        <f t="shared" si="1190"/>
        <v>0</v>
      </c>
      <c r="BF258" s="4357">
        <f t="shared" si="1190"/>
        <v>0</v>
      </c>
      <c r="BG258" s="4358">
        <f t="shared" si="1190"/>
        <v>1843.2650000000003</v>
      </c>
      <c r="BH258" s="4358">
        <f t="shared" si="1190"/>
        <v>1843.2650000000003</v>
      </c>
      <c r="BI258" s="4358">
        <f t="shared" si="1190"/>
        <v>0</v>
      </c>
      <c r="BJ258" s="4319">
        <f t="shared" si="1127"/>
        <v>1843.2650000000003</v>
      </c>
      <c r="BK258" s="4319">
        <f t="shared" si="1128"/>
        <v>1843.2650000000003</v>
      </c>
      <c r="BL258" s="4319">
        <f t="shared" si="1128"/>
        <v>0</v>
      </c>
      <c r="BM258" s="4355">
        <f t="shared" ref="BM258:CG258" si="1191">SUM(BM83)</f>
        <v>0</v>
      </c>
      <c r="BN258" s="4355">
        <f t="shared" si="1191"/>
        <v>0</v>
      </c>
      <c r="BO258" s="4355">
        <f t="shared" si="1191"/>
        <v>0</v>
      </c>
      <c r="BP258" s="4356">
        <f t="shared" si="1191"/>
        <v>0</v>
      </c>
      <c r="BQ258" s="4356">
        <f t="shared" si="1191"/>
        <v>0</v>
      </c>
      <c r="BR258" s="4356">
        <f t="shared" si="1191"/>
        <v>0</v>
      </c>
      <c r="BS258" s="4356">
        <f t="shared" si="1191"/>
        <v>0</v>
      </c>
      <c r="BT258" s="4356">
        <f t="shared" si="1191"/>
        <v>0</v>
      </c>
      <c r="BU258" s="4356">
        <f t="shared" si="1191"/>
        <v>0</v>
      </c>
      <c r="BV258" s="4356">
        <f t="shared" si="1191"/>
        <v>0</v>
      </c>
      <c r="BW258" s="4356">
        <f t="shared" si="1191"/>
        <v>0</v>
      </c>
      <c r="BX258" s="4356">
        <f t="shared" si="1191"/>
        <v>0</v>
      </c>
      <c r="BY258" s="4356">
        <f t="shared" si="1191"/>
        <v>0</v>
      </c>
      <c r="BZ258" s="4356">
        <f t="shared" si="1191"/>
        <v>0</v>
      </c>
      <c r="CA258" s="4356">
        <f t="shared" si="1191"/>
        <v>0</v>
      </c>
      <c r="CB258" s="4357">
        <f t="shared" si="1191"/>
        <v>0</v>
      </c>
      <c r="CC258" s="4357">
        <f t="shared" si="1191"/>
        <v>0</v>
      </c>
      <c r="CD258" s="4357">
        <f t="shared" si="1191"/>
        <v>0</v>
      </c>
      <c r="CE258" s="4358">
        <f t="shared" si="1191"/>
        <v>1843.2650000000003</v>
      </c>
      <c r="CF258" s="4358">
        <f t="shared" si="1191"/>
        <v>1843.2650000000003</v>
      </c>
      <c r="CG258" s="4358">
        <f t="shared" si="1191"/>
        <v>0</v>
      </c>
      <c r="CH258" s="4319">
        <f t="shared" si="1130"/>
        <v>1843.2650000000003</v>
      </c>
      <c r="CI258" s="4319">
        <f t="shared" si="1131"/>
        <v>1843.2650000000003</v>
      </c>
      <c r="CJ258" s="4319">
        <f t="shared" si="1131"/>
        <v>0</v>
      </c>
      <c r="CK258" s="2746"/>
      <c r="CL258" s="2746"/>
      <c r="CM258" s="2746"/>
      <c r="CN258" s="2746"/>
    </row>
    <row r="259" spans="1:92" ht="18.75" x14ac:dyDescent="0.3">
      <c r="A259" s="4342" t="s">
        <v>595</v>
      </c>
      <c r="B259" s="4355">
        <f t="shared" ref="B259:AK259" si="1192">SUM(B84)</f>
        <v>0</v>
      </c>
      <c r="C259" s="4355">
        <f t="shared" si="1192"/>
        <v>0</v>
      </c>
      <c r="D259" s="4355">
        <f t="shared" si="1192"/>
        <v>0</v>
      </c>
      <c r="E259" s="4356">
        <f t="shared" si="1192"/>
        <v>0</v>
      </c>
      <c r="F259" s="4356">
        <f t="shared" si="1192"/>
        <v>0</v>
      </c>
      <c r="G259" s="4356">
        <f t="shared" si="1192"/>
        <v>0</v>
      </c>
      <c r="H259" s="4356">
        <f t="shared" si="1192"/>
        <v>0</v>
      </c>
      <c r="I259" s="4356">
        <f t="shared" si="1192"/>
        <v>0</v>
      </c>
      <c r="J259" s="4356">
        <f t="shared" si="1192"/>
        <v>0</v>
      </c>
      <c r="K259" s="4356">
        <f t="shared" si="1192"/>
        <v>0</v>
      </c>
      <c r="L259" s="4356">
        <f t="shared" si="1192"/>
        <v>0</v>
      </c>
      <c r="M259" s="4356">
        <f t="shared" si="1192"/>
        <v>0</v>
      </c>
      <c r="N259" s="4356">
        <f t="shared" si="1192"/>
        <v>0</v>
      </c>
      <c r="O259" s="4356">
        <f t="shared" si="1192"/>
        <v>0</v>
      </c>
      <c r="P259" s="4356">
        <f t="shared" si="1192"/>
        <v>0</v>
      </c>
      <c r="Q259" s="4355">
        <f t="shared" si="1192"/>
        <v>0</v>
      </c>
      <c r="R259" s="4355">
        <f t="shared" si="1192"/>
        <v>0</v>
      </c>
      <c r="S259" s="4355">
        <f t="shared" si="1192"/>
        <v>0</v>
      </c>
      <c r="T259" s="4356">
        <f t="shared" si="1192"/>
        <v>0</v>
      </c>
      <c r="U259" s="4356">
        <f t="shared" si="1192"/>
        <v>0</v>
      </c>
      <c r="V259" s="4356">
        <f t="shared" si="1192"/>
        <v>0</v>
      </c>
      <c r="W259" s="4356">
        <f t="shared" si="1192"/>
        <v>0</v>
      </c>
      <c r="X259" s="4356">
        <f t="shared" si="1192"/>
        <v>0</v>
      </c>
      <c r="Y259" s="4356">
        <f t="shared" si="1192"/>
        <v>0</v>
      </c>
      <c r="Z259" s="4356">
        <f t="shared" si="1192"/>
        <v>0</v>
      </c>
      <c r="AA259" s="4356">
        <f t="shared" si="1192"/>
        <v>0</v>
      </c>
      <c r="AB259" s="4356">
        <f t="shared" si="1192"/>
        <v>0</v>
      </c>
      <c r="AC259" s="4356">
        <f t="shared" si="1192"/>
        <v>0</v>
      </c>
      <c r="AD259" s="4356">
        <f t="shared" si="1192"/>
        <v>0</v>
      </c>
      <c r="AE259" s="4356">
        <f t="shared" si="1192"/>
        <v>0</v>
      </c>
      <c r="AF259" s="4357">
        <f t="shared" si="1192"/>
        <v>0</v>
      </c>
      <c r="AG259" s="4357">
        <f t="shared" si="1192"/>
        <v>0</v>
      </c>
      <c r="AH259" s="4357">
        <f t="shared" si="1192"/>
        <v>0</v>
      </c>
      <c r="AI259" s="4358">
        <f t="shared" si="1192"/>
        <v>0</v>
      </c>
      <c r="AJ259" s="4358">
        <f t="shared" si="1192"/>
        <v>0</v>
      </c>
      <c r="AK259" s="4358">
        <f t="shared" si="1192"/>
        <v>0</v>
      </c>
      <c r="AL259" s="4319">
        <f t="shared" si="1124"/>
        <v>0</v>
      </c>
      <c r="AM259" s="4319">
        <f t="shared" si="1125"/>
        <v>0</v>
      </c>
      <c r="AN259" s="4319">
        <f t="shared" si="1125"/>
        <v>0</v>
      </c>
      <c r="AO259" s="4355">
        <f t="shared" ref="AO259:BI259" si="1193">SUM(AO84)</f>
        <v>0</v>
      </c>
      <c r="AP259" s="4355">
        <f t="shared" si="1193"/>
        <v>0</v>
      </c>
      <c r="AQ259" s="4355">
        <f t="shared" si="1193"/>
        <v>0</v>
      </c>
      <c r="AR259" s="4356">
        <f t="shared" si="1193"/>
        <v>0</v>
      </c>
      <c r="AS259" s="4356">
        <f t="shared" si="1193"/>
        <v>0</v>
      </c>
      <c r="AT259" s="4356">
        <f t="shared" si="1193"/>
        <v>0</v>
      </c>
      <c r="AU259" s="4356">
        <f t="shared" si="1193"/>
        <v>0</v>
      </c>
      <c r="AV259" s="4356">
        <f t="shared" si="1193"/>
        <v>0</v>
      </c>
      <c r="AW259" s="4356">
        <f t="shared" si="1193"/>
        <v>0</v>
      </c>
      <c r="AX259" s="4356">
        <f t="shared" si="1193"/>
        <v>0</v>
      </c>
      <c r="AY259" s="4356">
        <f t="shared" si="1193"/>
        <v>0</v>
      </c>
      <c r="AZ259" s="4356">
        <f t="shared" si="1193"/>
        <v>0</v>
      </c>
      <c r="BA259" s="4356">
        <f t="shared" si="1193"/>
        <v>0</v>
      </c>
      <c r="BB259" s="4356">
        <f t="shared" si="1193"/>
        <v>0</v>
      </c>
      <c r="BC259" s="4356">
        <f t="shared" si="1193"/>
        <v>0</v>
      </c>
      <c r="BD259" s="4357">
        <f t="shared" si="1193"/>
        <v>0</v>
      </c>
      <c r="BE259" s="4357">
        <f t="shared" si="1193"/>
        <v>0</v>
      </c>
      <c r="BF259" s="4357">
        <f t="shared" si="1193"/>
        <v>0</v>
      </c>
      <c r="BG259" s="4358">
        <f t="shared" si="1193"/>
        <v>0</v>
      </c>
      <c r="BH259" s="4358">
        <f t="shared" si="1193"/>
        <v>0</v>
      </c>
      <c r="BI259" s="4358">
        <f t="shared" si="1193"/>
        <v>0</v>
      </c>
      <c r="BJ259" s="4319">
        <f t="shared" si="1127"/>
        <v>0</v>
      </c>
      <c r="BK259" s="4319">
        <f t="shared" si="1128"/>
        <v>0</v>
      </c>
      <c r="BL259" s="4319">
        <f t="shared" si="1128"/>
        <v>0</v>
      </c>
      <c r="BM259" s="4355">
        <f t="shared" ref="BM259:CG259" si="1194">SUM(BM84)</f>
        <v>0</v>
      </c>
      <c r="BN259" s="4355">
        <f t="shared" si="1194"/>
        <v>0</v>
      </c>
      <c r="BO259" s="4355">
        <f t="shared" si="1194"/>
        <v>0</v>
      </c>
      <c r="BP259" s="4356">
        <f t="shared" si="1194"/>
        <v>0</v>
      </c>
      <c r="BQ259" s="4356">
        <f t="shared" si="1194"/>
        <v>0</v>
      </c>
      <c r="BR259" s="4356">
        <f t="shared" si="1194"/>
        <v>0</v>
      </c>
      <c r="BS259" s="4356">
        <f t="shared" si="1194"/>
        <v>0</v>
      </c>
      <c r="BT259" s="4356">
        <f t="shared" si="1194"/>
        <v>0</v>
      </c>
      <c r="BU259" s="4356">
        <f t="shared" si="1194"/>
        <v>0</v>
      </c>
      <c r="BV259" s="4356">
        <f t="shared" si="1194"/>
        <v>0</v>
      </c>
      <c r="BW259" s="4356">
        <f t="shared" si="1194"/>
        <v>0</v>
      </c>
      <c r="BX259" s="4356">
        <f t="shared" si="1194"/>
        <v>0</v>
      </c>
      <c r="BY259" s="4356">
        <f t="shared" si="1194"/>
        <v>0</v>
      </c>
      <c r="BZ259" s="4356">
        <f t="shared" si="1194"/>
        <v>0</v>
      </c>
      <c r="CA259" s="4356">
        <f t="shared" si="1194"/>
        <v>0</v>
      </c>
      <c r="CB259" s="4357">
        <f t="shared" si="1194"/>
        <v>0</v>
      </c>
      <c r="CC259" s="4357">
        <f t="shared" si="1194"/>
        <v>0</v>
      </c>
      <c r="CD259" s="4357">
        <f t="shared" si="1194"/>
        <v>0</v>
      </c>
      <c r="CE259" s="4358">
        <f t="shared" si="1194"/>
        <v>0</v>
      </c>
      <c r="CF259" s="4358">
        <f t="shared" si="1194"/>
        <v>0</v>
      </c>
      <c r="CG259" s="4358">
        <f t="shared" si="1194"/>
        <v>0</v>
      </c>
      <c r="CH259" s="4319">
        <f t="shared" si="1130"/>
        <v>0</v>
      </c>
      <c r="CI259" s="4319">
        <f t="shared" si="1131"/>
        <v>0</v>
      </c>
      <c r="CJ259" s="4319">
        <f t="shared" si="1131"/>
        <v>0</v>
      </c>
      <c r="CK259" s="2746"/>
      <c r="CL259" s="2746"/>
      <c r="CM259" s="2746"/>
      <c r="CN259" s="2746"/>
    </row>
    <row r="260" spans="1:92" ht="18.75" x14ac:dyDescent="0.3">
      <c r="A260" s="4350" t="s">
        <v>589</v>
      </c>
      <c r="B260" s="4366">
        <f>SUM(B261:B264)</f>
        <v>730.73435442499988</v>
      </c>
      <c r="C260" s="4366">
        <f>SUM(C261:C264)</f>
        <v>730.73435442499988</v>
      </c>
      <c r="D260" s="4366">
        <f t="shared" ref="D260:AK260" si="1195">SUM(D261:D264)</f>
        <v>0</v>
      </c>
      <c r="E260" s="4369">
        <f t="shared" si="1195"/>
        <v>644.00300000000004</v>
      </c>
      <c r="F260" s="4369">
        <f t="shared" si="1195"/>
        <v>644.00300000000004</v>
      </c>
      <c r="G260" s="4369">
        <f t="shared" si="1195"/>
        <v>0</v>
      </c>
      <c r="H260" s="4369">
        <f t="shared" si="1195"/>
        <v>520.94600000000003</v>
      </c>
      <c r="I260" s="4369">
        <f t="shared" si="1195"/>
        <v>520.94600000000003</v>
      </c>
      <c r="J260" s="4369">
        <f t="shared" si="1195"/>
        <v>0</v>
      </c>
      <c r="K260" s="4369">
        <f t="shared" si="1195"/>
        <v>406.08100000000002</v>
      </c>
      <c r="L260" s="4369">
        <f t="shared" si="1195"/>
        <v>406.08100000000002</v>
      </c>
      <c r="M260" s="4369">
        <f t="shared" si="1195"/>
        <v>0</v>
      </c>
      <c r="N260" s="4369">
        <f t="shared" si="1195"/>
        <v>1571.03</v>
      </c>
      <c r="O260" s="4369">
        <f t="shared" si="1195"/>
        <v>1571.03</v>
      </c>
      <c r="P260" s="4369">
        <f t="shared" si="1195"/>
        <v>0</v>
      </c>
      <c r="Q260" s="4366">
        <f t="shared" si="1195"/>
        <v>730.73435442499988</v>
      </c>
      <c r="R260" s="4366">
        <f t="shared" si="1195"/>
        <v>730.73435442499988</v>
      </c>
      <c r="S260" s="4366">
        <f t="shared" si="1195"/>
        <v>0</v>
      </c>
      <c r="T260" s="4369">
        <f t="shared" si="1195"/>
        <v>357.52099999999996</v>
      </c>
      <c r="U260" s="4369">
        <f t="shared" si="1195"/>
        <v>357.52099999999996</v>
      </c>
      <c r="V260" s="4369">
        <f t="shared" si="1195"/>
        <v>0</v>
      </c>
      <c r="W260" s="4369">
        <f t="shared" si="1195"/>
        <v>177.38900000000001</v>
      </c>
      <c r="X260" s="4369">
        <f t="shared" si="1195"/>
        <v>177.38900000000001</v>
      </c>
      <c r="Y260" s="4369">
        <f t="shared" si="1195"/>
        <v>0</v>
      </c>
      <c r="Z260" s="4369">
        <f t="shared" si="1195"/>
        <v>83.256999999999991</v>
      </c>
      <c r="AA260" s="4369">
        <f t="shared" si="1195"/>
        <v>83.256999999999991</v>
      </c>
      <c r="AB260" s="4369">
        <f t="shared" si="1195"/>
        <v>0</v>
      </c>
      <c r="AC260" s="4369">
        <f t="shared" si="1195"/>
        <v>618.16699999999992</v>
      </c>
      <c r="AD260" s="4369">
        <f t="shared" si="1195"/>
        <v>618.16699999999992</v>
      </c>
      <c r="AE260" s="4369">
        <f t="shared" si="1195"/>
        <v>0</v>
      </c>
      <c r="AF260" s="4367">
        <f t="shared" si="1195"/>
        <v>1461.4687088499998</v>
      </c>
      <c r="AG260" s="4367">
        <f t="shared" si="1195"/>
        <v>1461.4687088499998</v>
      </c>
      <c r="AH260" s="4367">
        <f t="shared" si="1195"/>
        <v>0</v>
      </c>
      <c r="AI260" s="4368">
        <f t="shared" si="1195"/>
        <v>2189.1970000000001</v>
      </c>
      <c r="AJ260" s="4368">
        <f t="shared" si="1195"/>
        <v>2189.1970000000001</v>
      </c>
      <c r="AK260" s="4368">
        <f t="shared" si="1195"/>
        <v>0</v>
      </c>
      <c r="AL260" s="4319">
        <f t="shared" si="1124"/>
        <v>727.72829115000036</v>
      </c>
      <c r="AM260" s="4319">
        <f t="shared" si="1125"/>
        <v>727.72829115000036</v>
      </c>
      <c r="AN260" s="4319">
        <f t="shared" si="1125"/>
        <v>0</v>
      </c>
      <c r="AO260" s="4366">
        <f t="shared" ref="AO260:BI260" si="1196">SUM(AO261:AO264)</f>
        <v>730.73435442499988</v>
      </c>
      <c r="AP260" s="4366">
        <f t="shared" si="1196"/>
        <v>730.73435442499988</v>
      </c>
      <c r="AQ260" s="4366">
        <f t="shared" si="1196"/>
        <v>0</v>
      </c>
      <c r="AR260" s="4369">
        <f t="shared" si="1196"/>
        <v>30.584</v>
      </c>
      <c r="AS260" s="4369">
        <f t="shared" si="1196"/>
        <v>30.584</v>
      </c>
      <c r="AT260" s="4369">
        <f t="shared" si="1196"/>
        <v>0</v>
      </c>
      <c r="AU260" s="4369">
        <f t="shared" si="1196"/>
        <v>0</v>
      </c>
      <c r="AV260" s="4369">
        <f t="shared" si="1196"/>
        <v>0</v>
      </c>
      <c r="AW260" s="4369">
        <f t="shared" si="1196"/>
        <v>0</v>
      </c>
      <c r="AX260" s="4369">
        <f t="shared" si="1196"/>
        <v>0</v>
      </c>
      <c r="AY260" s="4369">
        <f t="shared" si="1196"/>
        <v>0</v>
      </c>
      <c r="AZ260" s="4369">
        <f t="shared" si="1196"/>
        <v>0</v>
      </c>
      <c r="BA260" s="4369">
        <f t="shared" si="1196"/>
        <v>30.584</v>
      </c>
      <c r="BB260" s="4369">
        <f t="shared" si="1196"/>
        <v>30.584</v>
      </c>
      <c r="BC260" s="4369">
        <f t="shared" si="1196"/>
        <v>0</v>
      </c>
      <c r="BD260" s="4367">
        <f t="shared" si="1196"/>
        <v>2192.2030632750002</v>
      </c>
      <c r="BE260" s="4367">
        <f t="shared" si="1196"/>
        <v>2192.2030632750002</v>
      </c>
      <c r="BF260" s="4367">
        <f t="shared" si="1196"/>
        <v>0</v>
      </c>
      <c r="BG260" s="4368">
        <f t="shared" si="1196"/>
        <v>2219.7810000000004</v>
      </c>
      <c r="BH260" s="4368">
        <f t="shared" si="1196"/>
        <v>2219.7810000000004</v>
      </c>
      <c r="BI260" s="4368">
        <f t="shared" si="1196"/>
        <v>0</v>
      </c>
      <c r="BJ260" s="4319">
        <f t="shared" si="1127"/>
        <v>27.5779367250002</v>
      </c>
      <c r="BK260" s="4319">
        <f t="shared" si="1128"/>
        <v>27.5779367250002</v>
      </c>
      <c r="BL260" s="4319">
        <f t="shared" si="1128"/>
        <v>0</v>
      </c>
      <c r="BM260" s="4366">
        <f t="shared" ref="BM260:CG260" si="1197">SUM(BM261:BM264)</f>
        <v>730.73435442499988</v>
      </c>
      <c r="BN260" s="4366">
        <f t="shared" si="1197"/>
        <v>730.73435442499988</v>
      </c>
      <c r="BO260" s="4366">
        <f t="shared" si="1197"/>
        <v>0</v>
      </c>
      <c r="BP260" s="4369">
        <f t="shared" si="1197"/>
        <v>0</v>
      </c>
      <c r="BQ260" s="4369">
        <f t="shared" si="1197"/>
        <v>0</v>
      </c>
      <c r="BR260" s="4369">
        <f t="shared" si="1197"/>
        <v>0</v>
      </c>
      <c r="BS260" s="4369">
        <f t="shared" si="1197"/>
        <v>0</v>
      </c>
      <c r="BT260" s="4369">
        <f t="shared" si="1197"/>
        <v>0</v>
      </c>
      <c r="BU260" s="4369">
        <f t="shared" si="1197"/>
        <v>0</v>
      </c>
      <c r="BV260" s="4369">
        <f t="shared" si="1197"/>
        <v>0</v>
      </c>
      <c r="BW260" s="4369">
        <f t="shared" si="1197"/>
        <v>0</v>
      </c>
      <c r="BX260" s="4369">
        <f t="shared" si="1197"/>
        <v>0</v>
      </c>
      <c r="BY260" s="4369">
        <f t="shared" si="1197"/>
        <v>0</v>
      </c>
      <c r="BZ260" s="4369">
        <f t="shared" si="1197"/>
        <v>0</v>
      </c>
      <c r="CA260" s="4369">
        <f t="shared" si="1197"/>
        <v>0</v>
      </c>
      <c r="CB260" s="4367">
        <f t="shared" si="1197"/>
        <v>2922.9374176999995</v>
      </c>
      <c r="CC260" s="4367">
        <f t="shared" si="1197"/>
        <v>2922.9374176999995</v>
      </c>
      <c r="CD260" s="4367">
        <f t="shared" si="1197"/>
        <v>0</v>
      </c>
      <c r="CE260" s="4368">
        <f t="shared" si="1197"/>
        <v>2219.7810000000004</v>
      </c>
      <c r="CF260" s="4368">
        <f t="shared" si="1197"/>
        <v>2219.7810000000004</v>
      </c>
      <c r="CG260" s="4368">
        <f t="shared" si="1197"/>
        <v>0</v>
      </c>
      <c r="CH260" s="4319">
        <f t="shared" si="1130"/>
        <v>-703.15641769999911</v>
      </c>
      <c r="CI260" s="4319">
        <f t="shared" si="1131"/>
        <v>-703.15641769999911</v>
      </c>
      <c r="CJ260" s="4319">
        <f t="shared" si="1131"/>
        <v>0</v>
      </c>
      <c r="CK260" s="2746"/>
      <c r="CL260" s="2746"/>
      <c r="CM260" s="2746"/>
      <c r="CN260" s="2746"/>
    </row>
    <row r="261" spans="1:92" ht="18.75" x14ac:dyDescent="0.3">
      <c r="A261" s="4343" t="s">
        <v>544</v>
      </c>
      <c r="B261" s="4355">
        <f t="shared" ref="B261:AK261" si="1198">SUM(B89+B68)</f>
        <v>616.32935442499991</v>
      </c>
      <c r="C261" s="4355">
        <f t="shared" si="1198"/>
        <v>616.32935442499991</v>
      </c>
      <c r="D261" s="4355">
        <f t="shared" si="1198"/>
        <v>0</v>
      </c>
      <c r="E261" s="4356">
        <f t="shared" si="1198"/>
        <v>465.55500000000001</v>
      </c>
      <c r="F261" s="4356">
        <f t="shared" si="1198"/>
        <v>465.55500000000001</v>
      </c>
      <c r="G261" s="4356">
        <f t="shared" si="1198"/>
        <v>0</v>
      </c>
      <c r="H261" s="4356">
        <f t="shared" si="1198"/>
        <v>447.54500000000002</v>
      </c>
      <c r="I261" s="4356">
        <f t="shared" si="1198"/>
        <v>447.54500000000002</v>
      </c>
      <c r="J261" s="4356">
        <f t="shared" si="1198"/>
        <v>0</v>
      </c>
      <c r="K261" s="4356">
        <f t="shared" si="1198"/>
        <v>319.90700000000004</v>
      </c>
      <c r="L261" s="4356">
        <f t="shared" si="1198"/>
        <v>319.90700000000004</v>
      </c>
      <c r="M261" s="4356">
        <f t="shared" si="1198"/>
        <v>0</v>
      </c>
      <c r="N261" s="4356">
        <f t="shared" si="1198"/>
        <v>1233.0070000000001</v>
      </c>
      <c r="O261" s="4356">
        <f t="shared" si="1198"/>
        <v>1233.0070000000001</v>
      </c>
      <c r="P261" s="4356">
        <f t="shared" si="1198"/>
        <v>0</v>
      </c>
      <c r="Q261" s="4355">
        <f t="shared" si="1198"/>
        <v>616.32935442499991</v>
      </c>
      <c r="R261" s="4355">
        <f t="shared" si="1198"/>
        <v>616.32935442499991</v>
      </c>
      <c r="S261" s="4355">
        <f t="shared" si="1198"/>
        <v>0</v>
      </c>
      <c r="T261" s="4356">
        <f t="shared" si="1198"/>
        <v>302.34499999999997</v>
      </c>
      <c r="U261" s="4356">
        <f t="shared" si="1198"/>
        <v>302.34499999999997</v>
      </c>
      <c r="V261" s="4356">
        <f t="shared" si="1198"/>
        <v>0</v>
      </c>
      <c r="W261" s="4356">
        <f t="shared" si="1198"/>
        <v>140.149</v>
      </c>
      <c r="X261" s="4356">
        <f t="shared" si="1198"/>
        <v>140.149</v>
      </c>
      <c r="Y261" s="4356">
        <f t="shared" si="1198"/>
        <v>0</v>
      </c>
      <c r="Z261" s="4356">
        <f t="shared" si="1198"/>
        <v>8.57</v>
      </c>
      <c r="AA261" s="4356">
        <f t="shared" si="1198"/>
        <v>8.57</v>
      </c>
      <c r="AB261" s="4356">
        <f t="shared" si="1198"/>
        <v>0</v>
      </c>
      <c r="AC261" s="4356">
        <f t="shared" si="1198"/>
        <v>451.06399999999996</v>
      </c>
      <c r="AD261" s="4356">
        <f t="shared" si="1198"/>
        <v>451.06399999999996</v>
      </c>
      <c r="AE261" s="4356">
        <f t="shared" si="1198"/>
        <v>0</v>
      </c>
      <c r="AF261" s="4357">
        <f t="shared" si="1198"/>
        <v>1232.6587088499998</v>
      </c>
      <c r="AG261" s="4357">
        <f t="shared" si="1198"/>
        <v>1232.6587088499998</v>
      </c>
      <c r="AH261" s="4357">
        <f t="shared" si="1198"/>
        <v>0</v>
      </c>
      <c r="AI261" s="4358">
        <f t="shared" si="1198"/>
        <v>1684.0710000000001</v>
      </c>
      <c r="AJ261" s="4358">
        <f t="shared" si="1198"/>
        <v>1684.0710000000001</v>
      </c>
      <c r="AK261" s="4358">
        <f t="shared" si="1198"/>
        <v>0</v>
      </c>
      <c r="AL261" s="4319">
        <f t="shared" si="1124"/>
        <v>451.41229115000033</v>
      </c>
      <c r="AM261" s="4319">
        <f t="shared" si="1125"/>
        <v>451.41229115000033</v>
      </c>
      <c r="AN261" s="4319">
        <f t="shared" si="1125"/>
        <v>0</v>
      </c>
      <c r="AO261" s="4355">
        <f t="shared" ref="AO261:BI261" si="1199">SUM(AO89+AO68)</f>
        <v>616.32935442499991</v>
      </c>
      <c r="AP261" s="4355">
        <f t="shared" si="1199"/>
        <v>616.32935442499991</v>
      </c>
      <c r="AQ261" s="4355">
        <f t="shared" si="1199"/>
        <v>0</v>
      </c>
      <c r="AR261" s="4356">
        <f t="shared" si="1199"/>
        <v>7.6859999999999999</v>
      </c>
      <c r="AS261" s="4356">
        <f t="shared" si="1199"/>
        <v>7.6859999999999999</v>
      </c>
      <c r="AT261" s="4356">
        <f t="shared" si="1199"/>
        <v>0</v>
      </c>
      <c r="AU261" s="4356">
        <f t="shared" si="1199"/>
        <v>0</v>
      </c>
      <c r="AV261" s="4356">
        <f t="shared" si="1199"/>
        <v>0</v>
      </c>
      <c r="AW261" s="4356">
        <f t="shared" si="1199"/>
        <v>0</v>
      </c>
      <c r="AX261" s="4356">
        <f t="shared" si="1199"/>
        <v>0</v>
      </c>
      <c r="AY261" s="4356">
        <f t="shared" si="1199"/>
        <v>0</v>
      </c>
      <c r="AZ261" s="4356">
        <f t="shared" si="1199"/>
        <v>0</v>
      </c>
      <c r="BA261" s="4356">
        <f t="shared" si="1199"/>
        <v>7.6859999999999999</v>
      </c>
      <c r="BB261" s="4356">
        <f t="shared" si="1199"/>
        <v>7.6859999999999999</v>
      </c>
      <c r="BC261" s="4356">
        <f t="shared" si="1199"/>
        <v>0</v>
      </c>
      <c r="BD261" s="4357">
        <f t="shared" si="1199"/>
        <v>1848.9880632749998</v>
      </c>
      <c r="BE261" s="4357">
        <f t="shared" si="1199"/>
        <v>1848.9880632749998</v>
      </c>
      <c r="BF261" s="4357">
        <f t="shared" si="1199"/>
        <v>0</v>
      </c>
      <c r="BG261" s="4358">
        <f t="shared" si="1199"/>
        <v>1691.7570000000001</v>
      </c>
      <c r="BH261" s="4358">
        <f t="shared" si="1199"/>
        <v>1691.7570000000001</v>
      </c>
      <c r="BI261" s="4358">
        <f t="shared" si="1199"/>
        <v>0</v>
      </c>
      <c r="BJ261" s="4319">
        <f t="shared" si="1127"/>
        <v>-157.23106327499977</v>
      </c>
      <c r="BK261" s="4319">
        <f t="shared" si="1128"/>
        <v>-157.23106327499977</v>
      </c>
      <c r="BL261" s="4319">
        <f t="shared" si="1128"/>
        <v>0</v>
      </c>
      <c r="BM261" s="4355">
        <f t="shared" ref="BM261:CG261" si="1200">SUM(BM89+BM68)</f>
        <v>616.32935442499991</v>
      </c>
      <c r="BN261" s="4355">
        <f t="shared" si="1200"/>
        <v>616.32935442499991</v>
      </c>
      <c r="BO261" s="4355">
        <f t="shared" si="1200"/>
        <v>0</v>
      </c>
      <c r="BP261" s="4356">
        <f t="shared" si="1200"/>
        <v>0</v>
      </c>
      <c r="BQ261" s="4356">
        <f t="shared" si="1200"/>
        <v>0</v>
      </c>
      <c r="BR261" s="4356">
        <f t="shared" si="1200"/>
        <v>0</v>
      </c>
      <c r="BS261" s="4356">
        <f t="shared" si="1200"/>
        <v>0</v>
      </c>
      <c r="BT261" s="4356">
        <f t="shared" si="1200"/>
        <v>0</v>
      </c>
      <c r="BU261" s="4356">
        <f t="shared" si="1200"/>
        <v>0</v>
      </c>
      <c r="BV261" s="4356">
        <f t="shared" si="1200"/>
        <v>0</v>
      </c>
      <c r="BW261" s="4356">
        <f t="shared" si="1200"/>
        <v>0</v>
      </c>
      <c r="BX261" s="4356">
        <f t="shared" si="1200"/>
        <v>0</v>
      </c>
      <c r="BY261" s="4356">
        <f t="shared" si="1200"/>
        <v>0</v>
      </c>
      <c r="BZ261" s="4356">
        <f t="shared" si="1200"/>
        <v>0</v>
      </c>
      <c r="CA261" s="4356">
        <f t="shared" si="1200"/>
        <v>0</v>
      </c>
      <c r="CB261" s="4357">
        <f t="shared" si="1200"/>
        <v>2465.3174176999996</v>
      </c>
      <c r="CC261" s="4357">
        <f t="shared" si="1200"/>
        <v>2465.3174176999996</v>
      </c>
      <c r="CD261" s="4357">
        <f t="shared" si="1200"/>
        <v>0</v>
      </c>
      <c r="CE261" s="4358">
        <f t="shared" si="1200"/>
        <v>1691.7570000000001</v>
      </c>
      <c r="CF261" s="4358">
        <f t="shared" si="1200"/>
        <v>1691.7570000000001</v>
      </c>
      <c r="CG261" s="4358">
        <f t="shared" si="1200"/>
        <v>0</v>
      </c>
      <c r="CH261" s="4319">
        <f t="shared" si="1130"/>
        <v>-773.56041769999956</v>
      </c>
      <c r="CI261" s="4319">
        <f t="shared" si="1131"/>
        <v>-773.56041769999956</v>
      </c>
      <c r="CJ261" s="4319">
        <f t="shared" si="1131"/>
        <v>0</v>
      </c>
      <c r="CK261" s="2746"/>
      <c r="CL261" s="2746"/>
      <c r="CM261" s="2746"/>
      <c r="CN261" s="2746"/>
    </row>
    <row r="262" spans="1:92" ht="18.75" x14ac:dyDescent="0.3">
      <c r="A262" s="4343" t="s">
        <v>546</v>
      </c>
      <c r="B262" s="4355">
        <f t="shared" ref="B262:AK262" si="1201">SUM(B46+B90+B117+B137)</f>
        <v>110.11</v>
      </c>
      <c r="C262" s="4355">
        <f t="shared" si="1201"/>
        <v>110.11</v>
      </c>
      <c r="D262" s="4355">
        <f t="shared" si="1201"/>
        <v>0</v>
      </c>
      <c r="E262" s="4356">
        <f t="shared" si="1201"/>
        <v>177.00800000000001</v>
      </c>
      <c r="F262" s="4356">
        <f t="shared" si="1201"/>
        <v>177.00800000000001</v>
      </c>
      <c r="G262" s="4356">
        <f t="shared" si="1201"/>
        <v>0</v>
      </c>
      <c r="H262" s="4356">
        <f t="shared" si="1201"/>
        <v>71.960999999999999</v>
      </c>
      <c r="I262" s="4356">
        <f t="shared" si="1201"/>
        <v>71.960999999999999</v>
      </c>
      <c r="J262" s="4356">
        <f t="shared" si="1201"/>
        <v>0</v>
      </c>
      <c r="K262" s="4356">
        <f t="shared" si="1201"/>
        <v>84.733999999999995</v>
      </c>
      <c r="L262" s="4356">
        <f t="shared" si="1201"/>
        <v>84.733999999999995</v>
      </c>
      <c r="M262" s="4356">
        <f t="shared" si="1201"/>
        <v>0</v>
      </c>
      <c r="N262" s="4356">
        <f t="shared" si="1201"/>
        <v>333.70299999999997</v>
      </c>
      <c r="O262" s="4356">
        <f t="shared" si="1201"/>
        <v>333.70299999999997</v>
      </c>
      <c r="P262" s="4356">
        <f t="shared" si="1201"/>
        <v>0</v>
      </c>
      <c r="Q262" s="4355">
        <f t="shared" si="1201"/>
        <v>110.11</v>
      </c>
      <c r="R262" s="4355">
        <f t="shared" si="1201"/>
        <v>110.11</v>
      </c>
      <c r="S262" s="4355">
        <f t="shared" si="1201"/>
        <v>0</v>
      </c>
      <c r="T262" s="4356">
        <f t="shared" si="1201"/>
        <v>53.736000000000004</v>
      </c>
      <c r="U262" s="4356">
        <f t="shared" si="1201"/>
        <v>53.736000000000004</v>
      </c>
      <c r="V262" s="4356">
        <f t="shared" si="1201"/>
        <v>0</v>
      </c>
      <c r="W262" s="4356">
        <f t="shared" si="1201"/>
        <v>35.799999999999997</v>
      </c>
      <c r="X262" s="4356">
        <f t="shared" si="1201"/>
        <v>35.799999999999997</v>
      </c>
      <c r="Y262" s="4356">
        <f t="shared" si="1201"/>
        <v>0</v>
      </c>
      <c r="Z262" s="4356">
        <f t="shared" si="1201"/>
        <v>72.887</v>
      </c>
      <c r="AA262" s="4356">
        <f t="shared" si="1201"/>
        <v>72.887</v>
      </c>
      <c r="AB262" s="4356">
        <f t="shared" si="1201"/>
        <v>0</v>
      </c>
      <c r="AC262" s="4356">
        <f t="shared" si="1201"/>
        <v>162.42300000000003</v>
      </c>
      <c r="AD262" s="4356">
        <f t="shared" si="1201"/>
        <v>162.42300000000003</v>
      </c>
      <c r="AE262" s="4356">
        <f t="shared" si="1201"/>
        <v>0</v>
      </c>
      <c r="AF262" s="4357">
        <f t="shared" si="1201"/>
        <v>220.22</v>
      </c>
      <c r="AG262" s="4357">
        <f t="shared" si="1201"/>
        <v>220.22</v>
      </c>
      <c r="AH262" s="4357">
        <f t="shared" si="1201"/>
        <v>0</v>
      </c>
      <c r="AI262" s="4358">
        <f t="shared" si="1201"/>
        <v>496.12599999999998</v>
      </c>
      <c r="AJ262" s="4358">
        <f t="shared" si="1201"/>
        <v>496.12599999999998</v>
      </c>
      <c r="AK262" s="4358">
        <f t="shared" si="1201"/>
        <v>0</v>
      </c>
      <c r="AL262" s="4319">
        <f t="shared" si="1124"/>
        <v>275.90599999999995</v>
      </c>
      <c r="AM262" s="4319">
        <f t="shared" si="1125"/>
        <v>275.90599999999995</v>
      </c>
      <c r="AN262" s="4319">
        <f t="shared" si="1125"/>
        <v>0</v>
      </c>
      <c r="AO262" s="4355">
        <f t="shared" ref="AO262:BI262" si="1202">SUM(AO46+AO90+AO117+AO137)</f>
        <v>110.11</v>
      </c>
      <c r="AP262" s="4355">
        <f t="shared" si="1202"/>
        <v>110.11</v>
      </c>
      <c r="AQ262" s="4355">
        <f t="shared" si="1202"/>
        <v>0</v>
      </c>
      <c r="AR262" s="4356">
        <f t="shared" si="1202"/>
        <v>21.097999999999999</v>
      </c>
      <c r="AS262" s="4356">
        <f t="shared" si="1202"/>
        <v>21.097999999999999</v>
      </c>
      <c r="AT262" s="4356">
        <f t="shared" si="1202"/>
        <v>0</v>
      </c>
      <c r="AU262" s="4356">
        <f t="shared" si="1202"/>
        <v>0</v>
      </c>
      <c r="AV262" s="4356">
        <f t="shared" si="1202"/>
        <v>0</v>
      </c>
      <c r="AW262" s="4356">
        <f t="shared" si="1202"/>
        <v>0</v>
      </c>
      <c r="AX262" s="4356">
        <f t="shared" si="1202"/>
        <v>0</v>
      </c>
      <c r="AY262" s="4356">
        <f t="shared" si="1202"/>
        <v>0</v>
      </c>
      <c r="AZ262" s="4356">
        <f t="shared" si="1202"/>
        <v>0</v>
      </c>
      <c r="BA262" s="4356">
        <f t="shared" si="1202"/>
        <v>21.097999999999999</v>
      </c>
      <c r="BB262" s="4356">
        <f t="shared" si="1202"/>
        <v>21.097999999999999</v>
      </c>
      <c r="BC262" s="4356">
        <f t="shared" si="1202"/>
        <v>0</v>
      </c>
      <c r="BD262" s="4357">
        <f t="shared" si="1202"/>
        <v>330.33</v>
      </c>
      <c r="BE262" s="4357">
        <f t="shared" si="1202"/>
        <v>330.33</v>
      </c>
      <c r="BF262" s="4357">
        <f t="shared" si="1202"/>
        <v>0</v>
      </c>
      <c r="BG262" s="4358">
        <f t="shared" si="1202"/>
        <v>517.22400000000005</v>
      </c>
      <c r="BH262" s="4358">
        <f t="shared" si="1202"/>
        <v>517.22400000000005</v>
      </c>
      <c r="BI262" s="4358">
        <f t="shared" si="1202"/>
        <v>0</v>
      </c>
      <c r="BJ262" s="4319">
        <f t="shared" si="1127"/>
        <v>186.89400000000006</v>
      </c>
      <c r="BK262" s="4319">
        <f t="shared" si="1128"/>
        <v>186.89400000000006</v>
      </c>
      <c r="BL262" s="4319">
        <f t="shared" si="1128"/>
        <v>0</v>
      </c>
      <c r="BM262" s="4355">
        <f t="shared" ref="BM262:CG262" si="1203">SUM(BM46+BM90+BM117+BM137)</f>
        <v>110.11</v>
      </c>
      <c r="BN262" s="4355">
        <f t="shared" si="1203"/>
        <v>110.11</v>
      </c>
      <c r="BO262" s="4355">
        <f t="shared" si="1203"/>
        <v>0</v>
      </c>
      <c r="BP262" s="4356">
        <f t="shared" si="1203"/>
        <v>0</v>
      </c>
      <c r="BQ262" s="4356">
        <f t="shared" si="1203"/>
        <v>0</v>
      </c>
      <c r="BR262" s="4356">
        <f t="shared" si="1203"/>
        <v>0</v>
      </c>
      <c r="BS262" s="4356">
        <f t="shared" si="1203"/>
        <v>0</v>
      </c>
      <c r="BT262" s="4356">
        <f t="shared" si="1203"/>
        <v>0</v>
      </c>
      <c r="BU262" s="4356">
        <f t="shared" si="1203"/>
        <v>0</v>
      </c>
      <c r="BV262" s="4356">
        <f t="shared" si="1203"/>
        <v>0</v>
      </c>
      <c r="BW262" s="4356">
        <f t="shared" si="1203"/>
        <v>0</v>
      </c>
      <c r="BX262" s="4356">
        <f t="shared" si="1203"/>
        <v>0</v>
      </c>
      <c r="BY262" s="4356">
        <f t="shared" si="1203"/>
        <v>0</v>
      </c>
      <c r="BZ262" s="4356">
        <f t="shared" si="1203"/>
        <v>0</v>
      </c>
      <c r="CA262" s="4356">
        <f t="shared" si="1203"/>
        <v>0</v>
      </c>
      <c r="CB262" s="4357">
        <f t="shared" si="1203"/>
        <v>440.44</v>
      </c>
      <c r="CC262" s="4357">
        <f t="shared" si="1203"/>
        <v>440.44</v>
      </c>
      <c r="CD262" s="4357">
        <f t="shared" si="1203"/>
        <v>0</v>
      </c>
      <c r="CE262" s="4358">
        <f t="shared" si="1203"/>
        <v>517.22400000000005</v>
      </c>
      <c r="CF262" s="4358">
        <f t="shared" si="1203"/>
        <v>517.22400000000005</v>
      </c>
      <c r="CG262" s="4358">
        <f t="shared" si="1203"/>
        <v>0</v>
      </c>
      <c r="CH262" s="4319">
        <f t="shared" si="1130"/>
        <v>76.784000000000049</v>
      </c>
      <c r="CI262" s="4319">
        <f t="shared" si="1131"/>
        <v>76.784000000000049</v>
      </c>
      <c r="CJ262" s="4319">
        <f t="shared" si="1131"/>
        <v>0</v>
      </c>
      <c r="CK262" s="2746"/>
      <c r="CL262" s="2746"/>
      <c r="CM262" s="2746"/>
      <c r="CN262" s="2746"/>
    </row>
    <row r="263" spans="1:92" ht="18.75" x14ac:dyDescent="0.3">
      <c r="A263" s="4343" t="s">
        <v>545</v>
      </c>
      <c r="B263" s="4355">
        <f t="shared" ref="B263:AK263" si="1204">SUM(B47+B91)</f>
        <v>0</v>
      </c>
      <c r="C263" s="4355">
        <f t="shared" si="1204"/>
        <v>0</v>
      </c>
      <c r="D263" s="4355">
        <f t="shared" si="1204"/>
        <v>0</v>
      </c>
      <c r="E263" s="4356">
        <f t="shared" si="1204"/>
        <v>0</v>
      </c>
      <c r="F263" s="4356">
        <f t="shared" si="1204"/>
        <v>0</v>
      </c>
      <c r="G263" s="4356">
        <f t="shared" si="1204"/>
        <v>0</v>
      </c>
      <c r="H263" s="4356">
        <f t="shared" si="1204"/>
        <v>0</v>
      </c>
      <c r="I263" s="4356">
        <f t="shared" si="1204"/>
        <v>0</v>
      </c>
      <c r="J263" s="4356">
        <f t="shared" si="1204"/>
        <v>0</v>
      </c>
      <c r="K263" s="4356">
        <f t="shared" si="1204"/>
        <v>0</v>
      </c>
      <c r="L263" s="4356">
        <f t="shared" si="1204"/>
        <v>0</v>
      </c>
      <c r="M263" s="4356">
        <f t="shared" si="1204"/>
        <v>0</v>
      </c>
      <c r="N263" s="4356">
        <f t="shared" si="1204"/>
        <v>0</v>
      </c>
      <c r="O263" s="4356">
        <f t="shared" si="1204"/>
        <v>0</v>
      </c>
      <c r="P263" s="4356">
        <f t="shared" si="1204"/>
        <v>0</v>
      </c>
      <c r="Q263" s="4355">
        <f t="shared" si="1204"/>
        <v>0</v>
      </c>
      <c r="R263" s="4355">
        <f t="shared" si="1204"/>
        <v>0</v>
      </c>
      <c r="S263" s="4355">
        <f t="shared" si="1204"/>
        <v>0</v>
      </c>
      <c r="T263" s="4356">
        <f t="shared" si="1204"/>
        <v>0</v>
      </c>
      <c r="U263" s="4356">
        <f t="shared" si="1204"/>
        <v>0</v>
      </c>
      <c r="V263" s="4356">
        <f t="shared" si="1204"/>
        <v>0</v>
      </c>
      <c r="W263" s="4356">
        <f t="shared" si="1204"/>
        <v>0</v>
      </c>
      <c r="X263" s="4356">
        <f t="shared" si="1204"/>
        <v>0</v>
      </c>
      <c r="Y263" s="4356">
        <f t="shared" si="1204"/>
        <v>0</v>
      </c>
      <c r="Z263" s="4356">
        <f t="shared" si="1204"/>
        <v>0</v>
      </c>
      <c r="AA263" s="4356">
        <f t="shared" si="1204"/>
        <v>0</v>
      </c>
      <c r="AB263" s="4356">
        <f t="shared" si="1204"/>
        <v>0</v>
      </c>
      <c r="AC263" s="4356">
        <f t="shared" si="1204"/>
        <v>0</v>
      </c>
      <c r="AD263" s="4356">
        <f t="shared" si="1204"/>
        <v>0</v>
      </c>
      <c r="AE263" s="4356">
        <f t="shared" si="1204"/>
        <v>0</v>
      </c>
      <c r="AF263" s="4357">
        <f t="shared" si="1204"/>
        <v>0</v>
      </c>
      <c r="AG263" s="4357">
        <f t="shared" si="1204"/>
        <v>0</v>
      </c>
      <c r="AH263" s="4357">
        <f t="shared" si="1204"/>
        <v>0</v>
      </c>
      <c r="AI263" s="4358">
        <f t="shared" si="1204"/>
        <v>0</v>
      </c>
      <c r="AJ263" s="4358">
        <f t="shared" si="1204"/>
        <v>0</v>
      </c>
      <c r="AK263" s="4358">
        <f t="shared" si="1204"/>
        <v>0</v>
      </c>
      <c r="AL263" s="4319">
        <f t="shared" si="1124"/>
        <v>0</v>
      </c>
      <c r="AM263" s="4319">
        <f t="shared" si="1125"/>
        <v>0</v>
      </c>
      <c r="AN263" s="4319">
        <f t="shared" si="1125"/>
        <v>0</v>
      </c>
      <c r="AO263" s="4355">
        <f t="shared" ref="AO263:BI263" si="1205">SUM(AO47+AO91)</f>
        <v>0</v>
      </c>
      <c r="AP263" s="4355">
        <f t="shared" si="1205"/>
        <v>0</v>
      </c>
      <c r="AQ263" s="4355">
        <f t="shared" si="1205"/>
        <v>0</v>
      </c>
      <c r="AR263" s="4356">
        <f t="shared" si="1205"/>
        <v>0</v>
      </c>
      <c r="AS263" s="4356">
        <f t="shared" si="1205"/>
        <v>0</v>
      </c>
      <c r="AT263" s="4356">
        <f t="shared" si="1205"/>
        <v>0</v>
      </c>
      <c r="AU263" s="4356">
        <f t="shared" si="1205"/>
        <v>0</v>
      </c>
      <c r="AV263" s="4356">
        <f t="shared" si="1205"/>
        <v>0</v>
      </c>
      <c r="AW263" s="4356">
        <f t="shared" si="1205"/>
        <v>0</v>
      </c>
      <c r="AX263" s="4356">
        <f t="shared" si="1205"/>
        <v>0</v>
      </c>
      <c r="AY263" s="4356">
        <f t="shared" si="1205"/>
        <v>0</v>
      </c>
      <c r="AZ263" s="4356">
        <f t="shared" si="1205"/>
        <v>0</v>
      </c>
      <c r="BA263" s="4356">
        <f t="shared" si="1205"/>
        <v>0</v>
      </c>
      <c r="BB263" s="4356">
        <f t="shared" si="1205"/>
        <v>0</v>
      </c>
      <c r="BC263" s="4356">
        <f t="shared" si="1205"/>
        <v>0</v>
      </c>
      <c r="BD263" s="4357">
        <f t="shared" si="1205"/>
        <v>0</v>
      </c>
      <c r="BE263" s="4357">
        <f t="shared" si="1205"/>
        <v>0</v>
      </c>
      <c r="BF263" s="4357">
        <f t="shared" si="1205"/>
        <v>0</v>
      </c>
      <c r="BG263" s="4358">
        <f t="shared" si="1205"/>
        <v>0</v>
      </c>
      <c r="BH263" s="4358">
        <f t="shared" si="1205"/>
        <v>0</v>
      </c>
      <c r="BI263" s="4358">
        <f t="shared" si="1205"/>
        <v>0</v>
      </c>
      <c r="BJ263" s="4319">
        <f t="shared" si="1127"/>
        <v>0</v>
      </c>
      <c r="BK263" s="4319">
        <f t="shared" si="1128"/>
        <v>0</v>
      </c>
      <c r="BL263" s="4319">
        <f t="shared" si="1128"/>
        <v>0</v>
      </c>
      <c r="BM263" s="4355">
        <f t="shared" ref="BM263:CG263" si="1206">SUM(BM47+BM91)</f>
        <v>0</v>
      </c>
      <c r="BN263" s="4355">
        <f t="shared" si="1206"/>
        <v>0</v>
      </c>
      <c r="BO263" s="4355">
        <f t="shared" si="1206"/>
        <v>0</v>
      </c>
      <c r="BP263" s="4356">
        <f t="shared" si="1206"/>
        <v>0</v>
      </c>
      <c r="BQ263" s="4356">
        <f t="shared" si="1206"/>
        <v>0</v>
      </c>
      <c r="BR263" s="4356">
        <f t="shared" si="1206"/>
        <v>0</v>
      </c>
      <c r="BS263" s="4356">
        <f t="shared" si="1206"/>
        <v>0</v>
      </c>
      <c r="BT263" s="4356">
        <f t="shared" si="1206"/>
        <v>0</v>
      </c>
      <c r="BU263" s="4356">
        <f t="shared" si="1206"/>
        <v>0</v>
      </c>
      <c r="BV263" s="4356">
        <f t="shared" si="1206"/>
        <v>0</v>
      </c>
      <c r="BW263" s="4356">
        <f t="shared" si="1206"/>
        <v>0</v>
      </c>
      <c r="BX263" s="4356">
        <f t="shared" si="1206"/>
        <v>0</v>
      </c>
      <c r="BY263" s="4356">
        <f t="shared" si="1206"/>
        <v>0</v>
      </c>
      <c r="BZ263" s="4356">
        <f t="shared" si="1206"/>
        <v>0</v>
      </c>
      <c r="CA263" s="4356">
        <f t="shared" si="1206"/>
        <v>0</v>
      </c>
      <c r="CB263" s="4357">
        <f t="shared" si="1206"/>
        <v>0</v>
      </c>
      <c r="CC263" s="4357">
        <f t="shared" si="1206"/>
        <v>0</v>
      </c>
      <c r="CD263" s="4357">
        <f t="shared" si="1206"/>
        <v>0</v>
      </c>
      <c r="CE263" s="4358">
        <f t="shared" si="1206"/>
        <v>0</v>
      </c>
      <c r="CF263" s="4358">
        <f t="shared" si="1206"/>
        <v>0</v>
      </c>
      <c r="CG263" s="4358">
        <f t="shared" si="1206"/>
        <v>0</v>
      </c>
      <c r="CH263" s="4319">
        <f t="shared" si="1130"/>
        <v>0</v>
      </c>
      <c r="CI263" s="4319">
        <f t="shared" si="1131"/>
        <v>0</v>
      </c>
      <c r="CJ263" s="4319">
        <f t="shared" si="1131"/>
        <v>0</v>
      </c>
      <c r="CK263" s="2746"/>
      <c r="CL263" s="2746"/>
      <c r="CM263" s="2746"/>
      <c r="CN263" s="2746"/>
    </row>
    <row r="264" spans="1:92" ht="18.75" x14ac:dyDescent="0.3">
      <c r="A264" s="4343" t="s">
        <v>3724</v>
      </c>
      <c r="B264" s="4355">
        <f t="shared" ref="B264:AK264" si="1207">SUM(B48+B92)</f>
        <v>4.2949999999999999</v>
      </c>
      <c r="C264" s="4355">
        <f t="shared" si="1207"/>
        <v>4.2949999999999999</v>
      </c>
      <c r="D264" s="4355">
        <f t="shared" si="1207"/>
        <v>0</v>
      </c>
      <c r="E264" s="4356">
        <f t="shared" si="1207"/>
        <v>1.44</v>
      </c>
      <c r="F264" s="4356">
        <f t="shared" si="1207"/>
        <v>1.44</v>
      </c>
      <c r="G264" s="4356">
        <f t="shared" si="1207"/>
        <v>0</v>
      </c>
      <c r="H264" s="4356">
        <f t="shared" si="1207"/>
        <v>1.44</v>
      </c>
      <c r="I264" s="4356">
        <f t="shared" si="1207"/>
        <v>1.44</v>
      </c>
      <c r="J264" s="4356">
        <f t="shared" si="1207"/>
        <v>0</v>
      </c>
      <c r="K264" s="4356">
        <f t="shared" si="1207"/>
        <v>1.44</v>
      </c>
      <c r="L264" s="4356">
        <f t="shared" si="1207"/>
        <v>1.44</v>
      </c>
      <c r="M264" s="4356">
        <f t="shared" si="1207"/>
        <v>0</v>
      </c>
      <c r="N264" s="4356">
        <f t="shared" si="1207"/>
        <v>4.32</v>
      </c>
      <c r="O264" s="4356">
        <f t="shared" si="1207"/>
        <v>4.32</v>
      </c>
      <c r="P264" s="4356">
        <f t="shared" si="1207"/>
        <v>0</v>
      </c>
      <c r="Q264" s="4355">
        <f t="shared" si="1207"/>
        <v>4.2949999999999999</v>
      </c>
      <c r="R264" s="4355">
        <f t="shared" si="1207"/>
        <v>4.2949999999999999</v>
      </c>
      <c r="S264" s="4355">
        <f t="shared" si="1207"/>
        <v>0</v>
      </c>
      <c r="T264" s="4356">
        <f t="shared" si="1207"/>
        <v>1.44</v>
      </c>
      <c r="U264" s="4356">
        <f t="shared" si="1207"/>
        <v>1.44</v>
      </c>
      <c r="V264" s="4356">
        <f t="shared" si="1207"/>
        <v>0</v>
      </c>
      <c r="W264" s="4356">
        <f t="shared" si="1207"/>
        <v>1.44</v>
      </c>
      <c r="X264" s="4356">
        <f t="shared" si="1207"/>
        <v>1.44</v>
      </c>
      <c r="Y264" s="4356">
        <f t="shared" si="1207"/>
        <v>0</v>
      </c>
      <c r="Z264" s="4356">
        <f t="shared" si="1207"/>
        <v>1.8</v>
      </c>
      <c r="AA264" s="4356">
        <f t="shared" si="1207"/>
        <v>1.8</v>
      </c>
      <c r="AB264" s="4356">
        <f t="shared" si="1207"/>
        <v>0</v>
      </c>
      <c r="AC264" s="4356">
        <f t="shared" si="1207"/>
        <v>4.68</v>
      </c>
      <c r="AD264" s="4356">
        <f t="shared" si="1207"/>
        <v>4.68</v>
      </c>
      <c r="AE264" s="4356">
        <f t="shared" si="1207"/>
        <v>0</v>
      </c>
      <c r="AF264" s="4357">
        <f t="shared" si="1207"/>
        <v>8.59</v>
      </c>
      <c r="AG264" s="4357">
        <f t="shared" si="1207"/>
        <v>8.59</v>
      </c>
      <c r="AH264" s="4357">
        <f t="shared" si="1207"/>
        <v>0</v>
      </c>
      <c r="AI264" s="4358">
        <f t="shared" si="1207"/>
        <v>9</v>
      </c>
      <c r="AJ264" s="4358">
        <f t="shared" si="1207"/>
        <v>9</v>
      </c>
      <c r="AK264" s="4358">
        <f t="shared" si="1207"/>
        <v>0</v>
      </c>
      <c r="AL264" s="4319">
        <f t="shared" si="1124"/>
        <v>0.41000000000000014</v>
      </c>
      <c r="AM264" s="4319">
        <f t="shared" si="1125"/>
        <v>0.41000000000000014</v>
      </c>
      <c r="AN264" s="4319">
        <f t="shared" si="1125"/>
        <v>0</v>
      </c>
      <c r="AO264" s="4355">
        <f t="shared" ref="AO264:BI264" si="1208">SUM(AO48+AO92)</f>
        <v>4.2949999999999999</v>
      </c>
      <c r="AP264" s="4355">
        <f t="shared" si="1208"/>
        <v>4.2949999999999999</v>
      </c>
      <c r="AQ264" s="4355">
        <f t="shared" si="1208"/>
        <v>0</v>
      </c>
      <c r="AR264" s="4356">
        <f t="shared" si="1208"/>
        <v>1.8</v>
      </c>
      <c r="AS264" s="4356">
        <f t="shared" si="1208"/>
        <v>1.8</v>
      </c>
      <c r="AT264" s="4356">
        <f t="shared" si="1208"/>
        <v>0</v>
      </c>
      <c r="AU264" s="4356">
        <f t="shared" si="1208"/>
        <v>0</v>
      </c>
      <c r="AV264" s="4356">
        <f t="shared" si="1208"/>
        <v>0</v>
      </c>
      <c r="AW264" s="4356">
        <f t="shared" si="1208"/>
        <v>0</v>
      </c>
      <c r="AX264" s="4356">
        <f t="shared" si="1208"/>
        <v>0</v>
      </c>
      <c r="AY264" s="4356">
        <f t="shared" si="1208"/>
        <v>0</v>
      </c>
      <c r="AZ264" s="4356">
        <f t="shared" si="1208"/>
        <v>0</v>
      </c>
      <c r="BA264" s="4356">
        <f t="shared" si="1208"/>
        <v>1.8</v>
      </c>
      <c r="BB264" s="4356">
        <f t="shared" si="1208"/>
        <v>1.8</v>
      </c>
      <c r="BC264" s="4356">
        <f t="shared" si="1208"/>
        <v>0</v>
      </c>
      <c r="BD264" s="4357">
        <f t="shared" si="1208"/>
        <v>12.885</v>
      </c>
      <c r="BE264" s="4357">
        <f t="shared" si="1208"/>
        <v>12.885</v>
      </c>
      <c r="BF264" s="4357">
        <f t="shared" si="1208"/>
        <v>0</v>
      </c>
      <c r="BG264" s="4358">
        <f t="shared" si="1208"/>
        <v>10.8</v>
      </c>
      <c r="BH264" s="4358">
        <f t="shared" si="1208"/>
        <v>10.8</v>
      </c>
      <c r="BI264" s="4358">
        <f t="shared" si="1208"/>
        <v>0</v>
      </c>
      <c r="BJ264" s="4319">
        <f t="shared" si="1127"/>
        <v>-2.0849999999999991</v>
      </c>
      <c r="BK264" s="4319">
        <f t="shared" si="1128"/>
        <v>-2.0849999999999991</v>
      </c>
      <c r="BL264" s="4319">
        <f t="shared" si="1128"/>
        <v>0</v>
      </c>
      <c r="BM264" s="4355">
        <f t="shared" ref="BM264:CG264" si="1209">SUM(BM48+BM92)</f>
        <v>4.2949999999999999</v>
      </c>
      <c r="BN264" s="4355">
        <f t="shared" si="1209"/>
        <v>4.2949999999999999</v>
      </c>
      <c r="BO264" s="4355">
        <f t="shared" si="1209"/>
        <v>0</v>
      </c>
      <c r="BP264" s="4356">
        <f t="shared" si="1209"/>
        <v>0</v>
      </c>
      <c r="BQ264" s="4356">
        <f t="shared" si="1209"/>
        <v>0</v>
      </c>
      <c r="BR264" s="4356">
        <f t="shared" si="1209"/>
        <v>0</v>
      </c>
      <c r="BS264" s="4356">
        <f t="shared" si="1209"/>
        <v>0</v>
      </c>
      <c r="BT264" s="4356">
        <f t="shared" si="1209"/>
        <v>0</v>
      </c>
      <c r="BU264" s="4356">
        <f t="shared" si="1209"/>
        <v>0</v>
      </c>
      <c r="BV264" s="4356">
        <f t="shared" si="1209"/>
        <v>0</v>
      </c>
      <c r="BW264" s="4356">
        <f t="shared" si="1209"/>
        <v>0</v>
      </c>
      <c r="BX264" s="4356">
        <f t="shared" si="1209"/>
        <v>0</v>
      </c>
      <c r="BY264" s="4356">
        <f t="shared" si="1209"/>
        <v>0</v>
      </c>
      <c r="BZ264" s="4356">
        <f t="shared" si="1209"/>
        <v>0</v>
      </c>
      <c r="CA264" s="4356">
        <f t="shared" si="1209"/>
        <v>0</v>
      </c>
      <c r="CB264" s="4357">
        <f t="shared" si="1209"/>
        <v>17.18</v>
      </c>
      <c r="CC264" s="4357">
        <f t="shared" si="1209"/>
        <v>17.18</v>
      </c>
      <c r="CD264" s="4357">
        <f t="shared" si="1209"/>
        <v>0</v>
      </c>
      <c r="CE264" s="4358">
        <f t="shared" si="1209"/>
        <v>10.8</v>
      </c>
      <c r="CF264" s="4358">
        <f t="shared" si="1209"/>
        <v>10.8</v>
      </c>
      <c r="CG264" s="4358">
        <f t="shared" si="1209"/>
        <v>0</v>
      </c>
      <c r="CH264" s="4319">
        <f t="shared" si="1130"/>
        <v>-6.379999999999999</v>
      </c>
      <c r="CI264" s="4319">
        <f t="shared" si="1131"/>
        <v>-6.379999999999999</v>
      </c>
      <c r="CJ264" s="4319">
        <f t="shared" si="1131"/>
        <v>0</v>
      </c>
      <c r="CK264" s="2746"/>
      <c r="CL264" s="2746"/>
      <c r="CM264" s="2746"/>
      <c r="CN264" s="2746"/>
    </row>
    <row r="265" spans="1:92" ht="18.75" x14ac:dyDescent="0.3">
      <c r="A265" s="4350" t="s">
        <v>592</v>
      </c>
      <c r="B265" s="4366">
        <f>SUM(B266:B269)</f>
        <v>179.52600000000001</v>
      </c>
      <c r="C265" s="4366">
        <f>SUM(C266:C269)</f>
        <v>179.52600000000001</v>
      </c>
      <c r="D265" s="4366">
        <f t="shared" ref="D265:AK265" si="1210">SUM(D266:D269)</f>
        <v>0</v>
      </c>
      <c r="E265" s="4369">
        <f t="shared" si="1210"/>
        <v>61.626000000000005</v>
      </c>
      <c r="F265" s="4369">
        <f t="shared" si="1210"/>
        <v>61.626000000000005</v>
      </c>
      <c r="G265" s="4369">
        <f t="shared" si="1210"/>
        <v>0</v>
      </c>
      <c r="H265" s="4369">
        <f t="shared" si="1210"/>
        <v>70.521000000000001</v>
      </c>
      <c r="I265" s="4369">
        <f t="shared" si="1210"/>
        <v>70.521000000000001</v>
      </c>
      <c r="J265" s="4369">
        <f t="shared" si="1210"/>
        <v>0</v>
      </c>
      <c r="K265" s="4369">
        <f t="shared" si="1210"/>
        <v>112.645</v>
      </c>
      <c r="L265" s="4369">
        <f t="shared" si="1210"/>
        <v>112.645</v>
      </c>
      <c r="M265" s="4369">
        <f t="shared" si="1210"/>
        <v>0</v>
      </c>
      <c r="N265" s="4369">
        <f t="shared" si="1210"/>
        <v>244.792</v>
      </c>
      <c r="O265" s="4369">
        <f t="shared" si="1210"/>
        <v>244.792</v>
      </c>
      <c r="P265" s="4369">
        <f t="shared" si="1210"/>
        <v>0</v>
      </c>
      <c r="Q265" s="4366">
        <f t="shared" si="1210"/>
        <v>179.52600000000001</v>
      </c>
      <c r="R265" s="4366">
        <f t="shared" si="1210"/>
        <v>179.52600000000001</v>
      </c>
      <c r="S265" s="4366">
        <f t="shared" si="1210"/>
        <v>0</v>
      </c>
      <c r="T265" s="4369">
        <f t="shared" si="1210"/>
        <v>101.511</v>
      </c>
      <c r="U265" s="4369">
        <f t="shared" si="1210"/>
        <v>101.511</v>
      </c>
      <c r="V265" s="4369">
        <f t="shared" si="1210"/>
        <v>0</v>
      </c>
      <c r="W265" s="4369">
        <f t="shared" si="1210"/>
        <v>94.885000000000005</v>
      </c>
      <c r="X265" s="4369">
        <f t="shared" si="1210"/>
        <v>94.885000000000005</v>
      </c>
      <c r="Y265" s="4369">
        <f t="shared" si="1210"/>
        <v>0</v>
      </c>
      <c r="Z265" s="4369">
        <f t="shared" si="1210"/>
        <v>67.290000000000006</v>
      </c>
      <c r="AA265" s="4369">
        <f t="shared" si="1210"/>
        <v>67.290000000000006</v>
      </c>
      <c r="AB265" s="4369">
        <f t="shared" si="1210"/>
        <v>0</v>
      </c>
      <c r="AC265" s="4369">
        <f t="shared" si="1210"/>
        <v>263.68600000000004</v>
      </c>
      <c r="AD265" s="4369">
        <f t="shared" si="1210"/>
        <v>263.68600000000004</v>
      </c>
      <c r="AE265" s="4369">
        <f t="shared" si="1210"/>
        <v>0</v>
      </c>
      <c r="AF265" s="4367">
        <f t="shared" si="1210"/>
        <v>359.05200000000002</v>
      </c>
      <c r="AG265" s="4367">
        <f t="shared" si="1210"/>
        <v>359.05200000000002</v>
      </c>
      <c r="AH265" s="4367">
        <f t="shared" si="1210"/>
        <v>0</v>
      </c>
      <c r="AI265" s="4368">
        <f t="shared" si="1210"/>
        <v>508.47800000000007</v>
      </c>
      <c r="AJ265" s="4368">
        <f t="shared" si="1210"/>
        <v>508.47800000000007</v>
      </c>
      <c r="AK265" s="4368">
        <f t="shared" si="1210"/>
        <v>0</v>
      </c>
      <c r="AL265" s="4319">
        <f t="shared" si="1124"/>
        <v>149.42600000000004</v>
      </c>
      <c r="AM265" s="4319">
        <f t="shared" si="1125"/>
        <v>149.42600000000004</v>
      </c>
      <c r="AN265" s="4319">
        <f t="shared" si="1125"/>
        <v>0</v>
      </c>
      <c r="AO265" s="4366">
        <f t="shared" ref="AO265:BI265" si="1211">SUM(AO266:AO269)</f>
        <v>179.52600000000001</v>
      </c>
      <c r="AP265" s="4366">
        <f t="shared" si="1211"/>
        <v>179.52600000000001</v>
      </c>
      <c r="AQ265" s="4366">
        <f t="shared" si="1211"/>
        <v>0</v>
      </c>
      <c r="AR265" s="4369">
        <f t="shared" si="1211"/>
        <v>257.226</v>
      </c>
      <c r="AS265" s="4369">
        <f t="shared" si="1211"/>
        <v>257.226</v>
      </c>
      <c r="AT265" s="4369">
        <f t="shared" si="1211"/>
        <v>0</v>
      </c>
      <c r="AU265" s="4369">
        <f t="shared" si="1211"/>
        <v>0</v>
      </c>
      <c r="AV265" s="4369">
        <f t="shared" si="1211"/>
        <v>0</v>
      </c>
      <c r="AW265" s="4369">
        <f t="shared" si="1211"/>
        <v>0</v>
      </c>
      <c r="AX265" s="4369">
        <f t="shared" si="1211"/>
        <v>0</v>
      </c>
      <c r="AY265" s="4369">
        <f t="shared" si="1211"/>
        <v>0</v>
      </c>
      <c r="AZ265" s="4369">
        <f t="shared" si="1211"/>
        <v>0</v>
      </c>
      <c r="BA265" s="4369">
        <f t="shared" si="1211"/>
        <v>257.226</v>
      </c>
      <c r="BB265" s="4369">
        <f t="shared" si="1211"/>
        <v>257.226</v>
      </c>
      <c r="BC265" s="4369">
        <f t="shared" si="1211"/>
        <v>0</v>
      </c>
      <c r="BD265" s="4367">
        <f t="shared" si="1211"/>
        <v>538.57800000000009</v>
      </c>
      <c r="BE265" s="4367">
        <f t="shared" si="1211"/>
        <v>538.57800000000009</v>
      </c>
      <c r="BF265" s="4367">
        <f t="shared" si="1211"/>
        <v>0</v>
      </c>
      <c r="BG265" s="4368">
        <f t="shared" si="1211"/>
        <v>765.70400000000006</v>
      </c>
      <c r="BH265" s="4368">
        <f t="shared" si="1211"/>
        <v>765.70400000000006</v>
      </c>
      <c r="BI265" s="4368">
        <f t="shared" si="1211"/>
        <v>0</v>
      </c>
      <c r="BJ265" s="4319">
        <f t="shared" si="1127"/>
        <v>227.12599999999998</v>
      </c>
      <c r="BK265" s="4319">
        <f t="shared" si="1128"/>
        <v>227.12599999999998</v>
      </c>
      <c r="BL265" s="4319">
        <f t="shared" si="1128"/>
        <v>0</v>
      </c>
      <c r="BM265" s="4366">
        <f t="shared" ref="BM265:CG265" si="1212">SUM(BM266:BM269)</f>
        <v>179.52600000000001</v>
      </c>
      <c r="BN265" s="4366">
        <f t="shared" si="1212"/>
        <v>179.52600000000001</v>
      </c>
      <c r="BO265" s="4366">
        <f t="shared" si="1212"/>
        <v>0</v>
      </c>
      <c r="BP265" s="4369">
        <f t="shared" si="1212"/>
        <v>0</v>
      </c>
      <c r="BQ265" s="4369">
        <f t="shared" si="1212"/>
        <v>0</v>
      </c>
      <c r="BR265" s="4369">
        <f t="shared" si="1212"/>
        <v>0</v>
      </c>
      <c r="BS265" s="4369">
        <f t="shared" si="1212"/>
        <v>0</v>
      </c>
      <c r="BT265" s="4369">
        <f t="shared" si="1212"/>
        <v>0</v>
      </c>
      <c r="BU265" s="4369">
        <f t="shared" si="1212"/>
        <v>0</v>
      </c>
      <c r="BV265" s="4369">
        <f t="shared" si="1212"/>
        <v>0</v>
      </c>
      <c r="BW265" s="4369">
        <f t="shared" si="1212"/>
        <v>0</v>
      </c>
      <c r="BX265" s="4369">
        <f t="shared" si="1212"/>
        <v>0</v>
      </c>
      <c r="BY265" s="4369">
        <f t="shared" si="1212"/>
        <v>0</v>
      </c>
      <c r="BZ265" s="4369">
        <f t="shared" si="1212"/>
        <v>0</v>
      </c>
      <c r="CA265" s="4369">
        <f t="shared" si="1212"/>
        <v>0</v>
      </c>
      <c r="CB265" s="4367">
        <f t="shared" si="1212"/>
        <v>718.10400000000004</v>
      </c>
      <c r="CC265" s="4367">
        <f t="shared" si="1212"/>
        <v>718.10400000000004</v>
      </c>
      <c r="CD265" s="4367">
        <f t="shared" si="1212"/>
        <v>0</v>
      </c>
      <c r="CE265" s="4368">
        <f t="shared" si="1212"/>
        <v>765.70400000000006</v>
      </c>
      <c r="CF265" s="4368">
        <f t="shared" si="1212"/>
        <v>765.70400000000006</v>
      </c>
      <c r="CG265" s="4368">
        <f t="shared" si="1212"/>
        <v>0</v>
      </c>
      <c r="CH265" s="4319">
        <f t="shared" si="1130"/>
        <v>47.600000000000023</v>
      </c>
      <c r="CI265" s="4319">
        <f t="shared" si="1131"/>
        <v>47.600000000000023</v>
      </c>
      <c r="CJ265" s="4319">
        <f t="shared" si="1131"/>
        <v>0</v>
      </c>
      <c r="CK265" s="2746"/>
      <c r="CL265" s="2746"/>
      <c r="CM265" s="2746"/>
      <c r="CN265" s="2746"/>
    </row>
    <row r="266" spans="1:92" ht="18.75" x14ac:dyDescent="0.3">
      <c r="A266" s="4343" t="s">
        <v>532</v>
      </c>
      <c r="B266" s="4355">
        <f t="shared" ref="B266:AK266" si="1213">SUM(B50+B94+B119+B139)</f>
        <v>127.37475000000001</v>
      </c>
      <c r="C266" s="4355">
        <f t="shared" si="1213"/>
        <v>127.37475000000001</v>
      </c>
      <c r="D266" s="4355">
        <f t="shared" si="1213"/>
        <v>0</v>
      </c>
      <c r="E266" s="4356">
        <f t="shared" si="1213"/>
        <v>6.5030000000000001</v>
      </c>
      <c r="F266" s="4356">
        <f t="shared" si="1213"/>
        <v>6.5030000000000001</v>
      </c>
      <c r="G266" s="4356">
        <f t="shared" si="1213"/>
        <v>0</v>
      </c>
      <c r="H266" s="4356">
        <f t="shared" si="1213"/>
        <v>0</v>
      </c>
      <c r="I266" s="4356">
        <f t="shared" si="1213"/>
        <v>0</v>
      </c>
      <c r="J266" s="4356">
        <f t="shared" si="1213"/>
        <v>0</v>
      </c>
      <c r="K266" s="4356">
        <f t="shared" si="1213"/>
        <v>0</v>
      </c>
      <c r="L266" s="4356">
        <f t="shared" si="1213"/>
        <v>0</v>
      </c>
      <c r="M266" s="4356">
        <f t="shared" si="1213"/>
        <v>0</v>
      </c>
      <c r="N266" s="4356">
        <f t="shared" si="1213"/>
        <v>6.5030000000000001</v>
      </c>
      <c r="O266" s="4356">
        <f t="shared" si="1213"/>
        <v>6.5030000000000001</v>
      </c>
      <c r="P266" s="4356">
        <f t="shared" si="1213"/>
        <v>0</v>
      </c>
      <c r="Q266" s="4355">
        <f t="shared" si="1213"/>
        <v>127.37475000000001</v>
      </c>
      <c r="R266" s="4355">
        <f t="shared" si="1213"/>
        <v>127.37475000000001</v>
      </c>
      <c r="S266" s="4355">
        <f t="shared" si="1213"/>
        <v>0</v>
      </c>
      <c r="T266" s="4356">
        <f t="shared" si="1213"/>
        <v>0</v>
      </c>
      <c r="U266" s="4356">
        <f t="shared" si="1213"/>
        <v>0</v>
      </c>
      <c r="V266" s="4356">
        <f t="shared" si="1213"/>
        <v>0</v>
      </c>
      <c r="W266" s="4356">
        <f t="shared" si="1213"/>
        <v>16.681999999999999</v>
      </c>
      <c r="X266" s="4356">
        <f t="shared" si="1213"/>
        <v>16.681999999999999</v>
      </c>
      <c r="Y266" s="4356">
        <f t="shared" si="1213"/>
        <v>0</v>
      </c>
      <c r="Z266" s="4356">
        <f t="shared" si="1213"/>
        <v>0</v>
      </c>
      <c r="AA266" s="4356">
        <f t="shared" si="1213"/>
        <v>0</v>
      </c>
      <c r="AB266" s="4356">
        <f t="shared" si="1213"/>
        <v>0</v>
      </c>
      <c r="AC266" s="4356">
        <f t="shared" si="1213"/>
        <v>16.681999999999999</v>
      </c>
      <c r="AD266" s="4356">
        <f t="shared" si="1213"/>
        <v>16.681999999999999</v>
      </c>
      <c r="AE266" s="4356">
        <f t="shared" si="1213"/>
        <v>0</v>
      </c>
      <c r="AF266" s="4357">
        <f t="shared" si="1213"/>
        <v>254.74950000000001</v>
      </c>
      <c r="AG266" s="4357">
        <f t="shared" si="1213"/>
        <v>254.74950000000001</v>
      </c>
      <c r="AH266" s="4357">
        <f t="shared" si="1213"/>
        <v>0</v>
      </c>
      <c r="AI266" s="4358">
        <f t="shared" si="1213"/>
        <v>23.184999999999999</v>
      </c>
      <c r="AJ266" s="4358">
        <f t="shared" si="1213"/>
        <v>23.184999999999999</v>
      </c>
      <c r="AK266" s="4358">
        <f t="shared" si="1213"/>
        <v>0</v>
      </c>
      <c r="AL266" s="4319">
        <f t="shared" si="1124"/>
        <v>-231.56450000000001</v>
      </c>
      <c r="AM266" s="4319">
        <f t="shared" si="1125"/>
        <v>-231.56450000000001</v>
      </c>
      <c r="AN266" s="4319">
        <f t="shared" si="1125"/>
        <v>0</v>
      </c>
      <c r="AO266" s="4355">
        <f t="shared" ref="AO266:BI266" si="1214">SUM(AO50+AO94+AO119+AO139)</f>
        <v>127.37475000000001</v>
      </c>
      <c r="AP266" s="4355">
        <f t="shared" si="1214"/>
        <v>127.37475000000001</v>
      </c>
      <c r="AQ266" s="4355">
        <f t="shared" si="1214"/>
        <v>0</v>
      </c>
      <c r="AR266" s="4356">
        <f t="shared" si="1214"/>
        <v>180.59899999999999</v>
      </c>
      <c r="AS266" s="4356">
        <f t="shared" si="1214"/>
        <v>180.59899999999999</v>
      </c>
      <c r="AT266" s="4356">
        <f t="shared" si="1214"/>
        <v>0</v>
      </c>
      <c r="AU266" s="4356">
        <f t="shared" si="1214"/>
        <v>0</v>
      </c>
      <c r="AV266" s="4356">
        <f t="shared" si="1214"/>
        <v>0</v>
      </c>
      <c r="AW266" s="4356">
        <f t="shared" si="1214"/>
        <v>0</v>
      </c>
      <c r="AX266" s="4356">
        <f t="shared" si="1214"/>
        <v>0</v>
      </c>
      <c r="AY266" s="4356">
        <f t="shared" si="1214"/>
        <v>0</v>
      </c>
      <c r="AZ266" s="4356">
        <f t="shared" si="1214"/>
        <v>0</v>
      </c>
      <c r="BA266" s="4356">
        <f t="shared" si="1214"/>
        <v>180.59899999999999</v>
      </c>
      <c r="BB266" s="4356">
        <f t="shared" si="1214"/>
        <v>180.59899999999999</v>
      </c>
      <c r="BC266" s="4356">
        <f t="shared" si="1214"/>
        <v>0</v>
      </c>
      <c r="BD266" s="4357">
        <f t="shared" si="1214"/>
        <v>382.12425000000007</v>
      </c>
      <c r="BE266" s="4357">
        <f t="shared" si="1214"/>
        <v>382.12425000000007</v>
      </c>
      <c r="BF266" s="4357">
        <f t="shared" si="1214"/>
        <v>0</v>
      </c>
      <c r="BG266" s="4358">
        <f t="shared" si="1214"/>
        <v>203.78399999999999</v>
      </c>
      <c r="BH266" s="4358">
        <f t="shared" si="1214"/>
        <v>203.78399999999999</v>
      </c>
      <c r="BI266" s="4358">
        <f t="shared" si="1214"/>
        <v>0</v>
      </c>
      <c r="BJ266" s="4319">
        <f t="shared" si="1127"/>
        <v>-178.34025000000008</v>
      </c>
      <c r="BK266" s="4319">
        <f t="shared" si="1128"/>
        <v>-178.34025000000008</v>
      </c>
      <c r="BL266" s="4319">
        <f t="shared" si="1128"/>
        <v>0</v>
      </c>
      <c r="BM266" s="4355">
        <f t="shared" ref="BM266:CG266" si="1215">SUM(BM50+BM94+BM119+BM139)</f>
        <v>127.37475000000001</v>
      </c>
      <c r="BN266" s="4355">
        <f t="shared" si="1215"/>
        <v>127.37475000000001</v>
      </c>
      <c r="BO266" s="4355">
        <f t="shared" si="1215"/>
        <v>0</v>
      </c>
      <c r="BP266" s="4356">
        <f t="shared" si="1215"/>
        <v>0</v>
      </c>
      <c r="BQ266" s="4356">
        <f t="shared" si="1215"/>
        <v>0</v>
      </c>
      <c r="BR266" s="4356">
        <f t="shared" si="1215"/>
        <v>0</v>
      </c>
      <c r="BS266" s="4356">
        <f t="shared" si="1215"/>
        <v>0</v>
      </c>
      <c r="BT266" s="4356">
        <f t="shared" si="1215"/>
        <v>0</v>
      </c>
      <c r="BU266" s="4356">
        <f t="shared" si="1215"/>
        <v>0</v>
      </c>
      <c r="BV266" s="4356">
        <f t="shared" si="1215"/>
        <v>0</v>
      </c>
      <c r="BW266" s="4356">
        <f t="shared" si="1215"/>
        <v>0</v>
      </c>
      <c r="BX266" s="4356">
        <f t="shared" si="1215"/>
        <v>0</v>
      </c>
      <c r="BY266" s="4356">
        <f t="shared" si="1215"/>
        <v>0</v>
      </c>
      <c r="BZ266" s="4356">
        <f t="shared" si="1215"/>
        <v>0</v>
      </c>
      <c r="CA266" s="4356">
        <f t="shared" si="1215"/>
        <v>0</v>
      </c>
      <c r="CB266" s="4357">
        <f t="shared" si="1215"/>
        <v>509.49900000000002</v>
      </c>
      <c r="CC266" s="4357">
        <f t="shared" si="1215"/>
        <v>509.49900000000002</v>
      </c>
      <c r="CD266" s="4357">
        <f t="shared" si="1215"/>
        <v>0</v>
      </c>
      <c r="CE266" s="4358">
        <f t="shared" si="1215"/>
        <v>203.78399999999999</v>
      </c>
      <c r="CF266" s="4358">
        <f t="shared" si="1215"/>
        <v>203.78399999999999</v>
      </c>
      <c r="CG266" s="4358">
        <f t="shared" si="1215"/>
        <v>0</v>
      </c>
      <c r="CH266" s="4319">
        <f t="shared" si="1130"/>
        <v>-305.71500000000003</v>
      </c>
      <c r="CI266" s="4319">
        <f t="shared" si="1131"/>
        <v>-305.71500000000003</v>
      </c>
      <c r="CJ266" s="4319">
        <f t="shared" si="1131"/>
        <v>0</v>
      </c>
      <c r="CK266" s="2746"/>
      <c r="CL266" s="2746"/>
      <c r="CM266" s="2746"/>
      <c r="CN266" s="2746"/>
    </row>
    <row r="267" spans="1:92" ht="18.75" x14ac:dyDescent="0.3">
      <c r="A267" s="4343" t="s">
        <v>541</v>
      </c>
      <c r="B267" s="4355">
        <f t="shared" ref="B267:AK267" si="1216">SUM(B96+B120)</f>
        <v>13.896999999999998</v>
      </c>
      <c r="C267" s="4355">
        <f t="shared" si="1216"/>
        <v>13.896999999999998</v>
      </c>
      <c r="D267" s="4355">
        <f t="shared" si="1216"/>
        <v>0</v>
      </c>
      <c r="E267" s="4356">
        <f t="shared" si="1216"/>
        <v>31.432000000000002</v>
      </c>
      <c r="F267" s="4356">
        <f t="shared" si="1216"/>
        <v>31.432000000000002</v>
      </c>
      <c r="G267" s="4356">
        <f t="shared" si="1216"/>
        <v>0</v>
      </c>
      <c r="H267" s="4356">
        <f t="shared" si="1216"/>
        <v>42.317999999999998</v>
      </c>
      <c r="I267" s="4356">
        <f t="shared" si="1216"/>
        <v>42.317999999999998</v>
      </c>
      <c r="J267" s="4356">
        <f t="shared" si="1216"/>
        <v>0</v>
      </c>
      <c r="K267" s="4356">
        <f t="shared" si="1216"/>
        <v>58.527999999999999</v>
      </c>
      <c r="L267" s="4356">
        <f t="shared" si="1216"/>
        <v>58.527999999999999</v>
      </c>
      <c r="M267" s="4356">
        <f t="shared" si="1216"/>
        <v>0</v>
      </c>
      <c r="N267" s="4356">
        <f t="shared" si="1216"/>
        <v>132.27799999999999</v>
      </c>
      <c r="O267" s="4356">
        <f t="shared" si="1216"/>
        <v>132.27799999999999</v>
      </c>
      <c r="P267" s="4356">
        <f t="shared" si="1216"/>
        <v>0</v>
      </c>
      <c r="Q267" s="4355">
        <f t="shared" si="1216"/>
        <v>13.896999999999998</v>
      </c>
      <c r="R267" s="4355">
        <f t="shared" si="1216"/>
        <v>13.896999999999998</v>
      </c>
      <c r="S267" s="4355">
        <f t="shared" si="1216"/>
        <v>0</v>
      </c>
      <c r="T267" s="4356">
        <f t="shared" si="1216"/>
        <v>32.153999999999996</v>
      </c>
      <c r="U267" s="4356">
        <f t="shared" si="1216"/>
        <v>32.153999999999996</v>
      </c>
      <c r="V267" s="4356">
        <f t="shared" si="1216"/>
        <v>0</v>
      </c>
      <c r="W267" s="4356">
        <f t="shared" si="1216"/>
        <v>39.11</v>
      </c>
      <c r="X267" s="4356">
        <f t="shared" si="1216"/>
        <v>39.11</v>
      </c>
      <c r="Y267" s="4356">
        <f t="shared" si="1216"/>
        <v>0</v>
      </c>
      <c r="Z267" s="4356">
        <f t="shared" si="1216"/>
        <v>12.238</v>
      </c>
      <c r="AA267" s="4356">
        <f t="shared" si="1216"/>
        <v>12.238</v>
      </c>
      <c r="AB267" s="4356">
        <f t="shared" si="1216"/>
        <v>0</v>
      </c>
      <c r="AC267" s="4356">
        <f t="shared" si="1216"/>
        <v>83.501999999999995</v>
      </c>
      <c r="AD267" s="4356">
        <f t="shared" si="1216"/>
        <v>83.501999999999995</v>
      </c>
      <c r="AE267" s="4356">
        <f t="shared" si="1216"/>
        <v>0</v>
      </c>
      <c r="AF267" s="4357">
        <f t="shared" si="1216"/>
        <v>27.793999999999997</v>
      </c>
      <c r="AG267" s="4357">
        <f t="shared" si="1216"/>
        <v>27.793999999999997</v>
      </c>
      <c r="AH267" s="4357">
        <f t="shared" si="1216"/>
        <v>0</v>
      </c>
      <c r="AI267" s="4358">
        <f t="shared" si="1216"/>
        <v>215.78</v>
      </c>
      <c r="AJ267" s="4358">
        <f t="shared" si="1216"/>
        <v>215.78</v>
      </c>
      <c r="AK267" s="4358">
        <f t="shared" si="1216"/>
        <v>0</v>
      </c>
      <c r="AL267" s="4319">
        <f t="shared" si="1124"/>
        <v>187.98599999999999</v>
      </c>
      <c r="AM267" s="4319">
        <f t="shared" si="1125"/>
        <v>187.98599999999999</v>
      </c>
      <c r="AN267" s="4319">
        <f t="shared" si="1125"/>
        <v>0</v>
      </c>
      <c r="AO267" s="4355">
        <f t="shared" ref="AO267:BI267" si="1217">SUM(AO96+AO120)</f>
        <v>13.896999999999998</v>
      </c>
      <c r="AP267" s="4355">
        <f t="shared" si="1217"/>
        <v>13.896999999999998</v>
      </c>
      <c r="AQ267" s="4355">
        <f t="shared" si="1217"/>
        <v>0</v>
      </c>
      <c r="AR267" s="4356">
        <f t="shared" si="1217"/>
        <v>61.96</v>
      </c>
      <c r="AS267" s="4356">
        <f t="shared" si="1217"/>
        <v>61.96</v>
      </c>
      <c r="AT267" s="4356">
        <f t="shared" si="1217"/>
        <v>0</v>
      </c>
      <c r="AU267" s="4356">
        <f t="shared" si="1217"/>
        <v>0</v>
      </c>
      <c r="AV267" s="4356">
        <f t="shared" si="1217"/>
        <v>0</v>
      </c>
      <c r="AW267" s="4356">
        <f t="shared" si="1217"/>
        <v>0</v>
      </c>
      <c r="AX267" s="4356">
        <f t="shared" si="1217"/>
        <v>0</v>
      </c>
      <c r="AY267" s="4356">
        <f t="shared" si="1217"/>
        <v>0</v>
      </c>
      <c r="AZ267" s="4356">
        <f t="shared" si="1217"/>
        <v>0</v>
      </c>
      <c r="BA267" s="4356">
        <f t="shared" si="1217"/>
        <v>61.96</v>
      </c>
      <c r="BB267" s="4356">
        <f t="shared" si="1217"/>
        <v>61.96</v>
      </c>
      <c r="BC267" s="4356">
        <f t="shared" si="1217"/>
        <v>0</v>
      </c>
      <c r="BD267" s="4357">
        <f t="shared" si="1217"/>
        <v>41.691000000000003</v>
      </c>
      <c r="BE267" s="4357">
        <f t="shared" si="1217"/>
        <v>41.691000000000003</v>
      </c>
      <c r="BF267" s="4357">
        <f t="shared" si="1217"/>
        <v>0</v>
      </c>
      <c r="BG267" s="4358">
        <f t="shared" si="1217"/>
        <v>277.74</v>
      </c>
      <c r="BH267" s="4358">
        <f t="shared" si="1217"/>
        <v>277.74</v>
      </c>
      <c r="BI267" s="4358">
        <f t="shared" si="1217"/>
        <v>0</v>
      </c>
      <c r="BJ267" s="4319">
        <f t="shared" si="1127"/>
        <v>236.04900000000001</v>
      </c>
      <c r="BK267" s="4319">
        <f t="shared" si="1128"/>
        <v>236.04900000000001</v>
      </c>
      <c r="BL267" s="4319">
        <f t="shared" si="1128"/>
        <v>0</v>
      </c>
      <c r="BM267" s="4355">
        <f t="shared" ref="BM267:CG267" si="1218">SUM(BM96+BM120)</f>
        <v>13.896999999999998</v>
      </c>
      <c r="BN267" s="4355">
        <f t="shared" si="1218"/>
        <v>13.896999999999998</v>
      </c>
      <c r="BO267" s="4355">
        <f t="shared" si="1218"/>
        <v>0</v>
      </c>
      <c r="BP267" s="4356">
        <f t="shared" si="1218"/>
        <v>0</v>
      </c>
      <c r="BQ267" s="4356">
        <f t="shared" si="1218"/>
        <v>0</v>
      </c>
      <c r="BR267" s="4356">
        <f t="shared" si="1218"/>
        <v>0</v>
      </c>
      <c r="BS267" s="4356">
        <f t="shared" si="1218"/>
        <v>0</v>
      </c>
      <c r="BT267" s="4356">
        <f t="shared" si="1218"/>
        <v>0</v>
      </c>
      <c r="BU267" s="4356">
        <f t="shared" si="1218"/>
        <v>0</v>
      </c>
      <c r="BV267" s="4356">
        <f t="shared" si="1218"/>
        <v>0</v>
      </c>
      <c r="BW267" s="4356">
        <f t="shared" si="1218"/>
        <v>0</v>
      </c>
      <c r="BX267" s="4356">
        <f t="shared" si="1218"/>
        <v>0</v>
      </c>
      <c r="BY267" s="4356">
        <f t="shared" si="1218"/>
        <v>0</v>
      </c>
      <c r="BZ267" s="4356">
        <f t="shared" si="1218"/>
        <v>0</v>
      </c>
      <c r="CA267" s="4356">
        <f t="shared" si="1218"/>
        <v>0</v>
      </c>
      <c r="CB267" s="4357">
        <f t="shared" si="1218"/>
        <v>55.587999999999994</v>
      </c>
      <c r="CC267" s="4357">
        <f t="shared" si="1218"/>
        <v>55.587999999999994</v>
      </c>
      <c r="CD267" s="4357">
        <f t="shared" si="1218"/>
        <v>0</v>
      </c>
      <c r="CE267" s="4358">
        <f t="shared" si="1218"/>
        <v>277.74</v>
      </c>
      <c r="CF267" s="4358">
        <f t="shared" si="1218"/>
        <v>277.74</v>
      </c>
      <c r="CG267" s="4358">
        <f t="shared" si="1218"/>
        <v>0</v>
      </c>
      <c r="CH267" s="4319">
        <f t="shared" si="1130"/>
        <v>222.15200000000002</v>
      </c>
      <c r="CI267" s="4319">
        <f t="shared" si="1131"/>
        <v>222.15200000000002</v>
      </c>
      <c r="CJ267" s="4319">
        <f t="shared" si="1131"/>
        <v>0</v>
      </c>
      <c r="CK267" s="2746"/>
      <c r="CL267" s="2746"/>
      <c r="CM267" s="2746"/>
      <c r="CN267" s="2746"/>
    </row>
    <row r="268" spans="1:92" ht="18.75" x14ac:dyDescent="0.3">
      <c r="A268" s="4343" t="s">
        <v>626</v>
      </c>
      <c r="B268" s="4355">
        <f t="shared" ref="B268:AK268" si="1219">SUM(B51+B95+B140)</f>
        <v>35.997500000000002</v>
      </c>
      <c r="C268" s="4355">
        <f t="shared" si="1219"/>
        <v>35.997500000000002</v>
      </c>
      <c r="D268" s="4355">
        <f t="shared" si="1219"/>
        <v>0</v>
      </c>
      <c r="E268" s="4356">
        <f t="shared" si="1219"/>
        <v>23.494</v>
      </c>
      <c r="F268" s="4356">
        <f t="shared" si="1219"/>
        <v>23.494</v>
      </c>
      <c r="G268" s="4356">
        <f t="shared" si="1219"/>
        <v>0</v>
      </c>
      <c r="H268" s="4356">
        <f t="shared" si="1219"/>
        <v>28.203000000000003</v>
      </c>
      <c r="I268" s="4356">
        <f t="shared" si="1219"/>
        <v>28.203000000000003</v>
      </c>
      <c r="J268" s="4356">
        <f t="shared" si="1219"/>
        <v>0</v>
      </c>
      <c r="K268" s="4356">
        <f t="shared" si="1219"/>
        <v>54.116999999999997</v>
      </c>
      <c r="L268" s="4356">
        <f t="shared" si="1219"/>
        <v>54.116999999999997</v>
      </c>
      <c r="M268" s="4356">
        <f t="shared" si="1219"/>
        <v>0</v>
      </c>
      <c r="N268" s="4356">
        <f t="shared" si="1219"/>
        <v>105.81399999999999</v>
      </c>
      <c r="O268" s="4356">
        <f t="shared" si="1219"/>
        <v>105.81399999999999</v>
      </c>
      <c r="P268" s="4356">
        <f t="shared" si="1219"/>
        <v>0</v>
      </c>
      <c r="Q268" s="4355">
        <f t="shared" si="1219"/>
        <v>35.997500000000002</v>
      </c>
      <c r="R268" s="4355">
        <f t="shared" si="1219"/>
        <v>35.997500000000002</v>
      </c>
      <c r="S268" s="4355">
        <f t="shared" si="1219"/>
        <v>0</v>
      </c>
      <c r="T268" s="4356">
        <f t="shared" si="1219"/>
        <v>69.356999999999999</v>
      </c>
      <c r="U268" s="4356">
        <f t="shared" si="1219"/>
        <v>69.356999999999999</v>
      </c>
      <c r="V268" s="4356">
        <f t="shared" si="1219"/>
        <v>0</v>
      </c>
      <c r="W268" s="4356">
        <f t="shared" si="1219"/>
        <v>39.093000000000004</v>
      </c>
      <c r="X268" s="4356">
        <f t="shared" si="1219"/>
        <v>39.093000000000004</v>
      </c>
      <c r="Y268" s="4356">
        <f t="shared" si="1219"/>
        <v>0</v>
      </c>
      <c r="Z268" s="4356">
        <f t="shared" si="1219"/>
        <v>55.052000000000007</v>
      </c>
      <c r="AA268" s="4356">
        <f t="shared" si="1219"/>
        <v>55.052000000000007</v>
      </c>
      <c r="AB268" s="4356">
        <f t="shared" si="1219"/>
        <v>0</v>
      </c>
      <c r="AC268" s="4356">
        <f t="shared" si="1219"/>
        <v>163.50200000000001</v>
      </c>
      <c r="AD268" s="4356">
        <f t="shared" si="1219"/>
        <v>163.50200000000001</v>
      </c>
      <c r="AE268" s="4356">
        <f t="shared" si="1219"/>
        <v>0</v>
      </c>
      <c r="AF268" s="4357">
        <f t="shared" si="1219"/>
        <v>71.995000000000005</v>
      </c>
      <c r="AG268" s="4357">
        <f t="shared" si="1219"/>
        <v>71.995000000000005</v>
      </c>
      <c r="AH268" s="4357">
        <f t="shared" si="1219"/>
        <v>0</v>
      </c>
      <c r="AI268" s="4358">
        <f t="shared" si="1219"/>
        <v>269.31600000000003</v>
      </c>
      <c r="AJ268" s="4358">
        <f t="shared" si="1219"/>
        <v>269.31600000000003</v>
      </c>
      <c r="AK268" s="4358">
        <f t="shared" si="1219"/>
        <v>0</v>
      </c>
      <c r="AL268" s="4319">
        <f t="shared" si="1124"/>
        <v>197.32100000000003</v>
      </c>
      <c r="AM268" s="4319">
        <f t="shared" si="1125"/>
        <v>197.32100000000003</v>
      </c>
      <c r="AN268" s="4319">
        <f t="shared" si="1125"/>
        <v>0</v>
      </c>
      <c r="AO268" s="4355">
        <f t="shared" ref="AO268:BI268" si="1220">SUM(AO51+AO95+AO140)</f>
        <v>35.997500000000002</v>
      </c>
      <c r="AP268" s="4355">
        <f t="shared" si="1220"/>
        <v>35.997500000000002</v>
      </c>
      <c r="AQ268" s="4355">
        <f t="shared" si="1220"/>
        <v>0</v>
      </c>
      <c r="AR268" s="4356">
        <f t="shared" si="1220"/>
        <v>13.85</v>
      </c>
      <c r="AS268" s="4356">
        <f t="shared" si="1220"/>
        <v>13.85</v>
      </c>
      <c r="AT268" s="4356">
        <f t="shared" si="1220"/>
        <v>0</v>
      </c>
      <c r="AU268" s="4356">
        <f t="shared" si="1220"/>
        <v>0</v>
      </c>
      <c r="AV268" s="4356">
        <f t="shared" si="1220"/>
        <v>0</v>
      </c>
      <c r="AW268" s="4356">
        <f t="shared" si="1220"/>
        <v>0</v>
      </c>
      <c r="AX268" s="4356">
        <f t="shared" si="1220"/>
        <v>0</v>
      </c>
      <c r="AY268" s="4356">
        <f t="shared" si="1220"/>
        <v>0</v>
      </c>
      <c r="AZ268" s="4356">
        <f t="shared" si="1220"/>
        <v>0</v>
      </c>
      <c r="BA268" s="4356">
        <f t="shared" si="1220"/>
        <v>13.85</v>
      </c>
      <c r="BB268" s="4356">
        <f t="shared" si="1220"/>
        <v>13.85</v>
      </c>
      <c r="BC268" s="4356">
        <f t="shared" si="1220"/>
        <v>0</v>
      </c>
      <c r="BD268" s="4357">
        <f t="shared" si="1220"/>
        <v>107.99249999999999</v>
      </c>
      <c r="BE268" s="4357">
        <f t="shared" si="1220"/>
        <v>107.99249999999999</v>
      </c>
      <c r="BF268" s="4357">
        <f t="shared" si="1220"/>
        <v>0</v>
      </c>
      <c r="BG268" s="4358">
        <f t="shared" si="1220"/>
        <v>283.166</v>
      </c>
      <c r="BH268" s="4358">
        <f t="shared" si="1220"/>
        <v>283.166</v>
      </c>
      <c r="BI268" s="4358">
        <f t="shared" si="1220"/>
        <v>0</v>
      </c>
      <c r="BJ268" s="4319">
        <f t="shared" si="1127"/>
        <v>175.17349999999999</v>
      </c>
      <c r="BK268" s="4319">
        <f t="shared" si="1128"/>
        <v>175.17349999999999</v>
      </c>
      <c r="BL268" s="4319">
        <f t="shared" si="1128"/>
        <v>0</v>
      </c>
      <c r="BM268" s="4355">
        <f t="shared" ref="BM268:CG268" si="1221">SUM(BM51+BM95+BM140)</f>
        <v>35.997500000000002</v>
      </c>
      <c r="BN268" s="4355">
        <f t="shared" si="1221"/>
        <v>35.997500000000002</v>
      </c>
      <c r="BO268" s="4355">
        <f t="shared" si="1221"/>
        <v>0</v>
      </c>
      <c r="BP268" s="4356">
        <f t="shared" si="1221"/>
        <v>0</v>
      </c>
      <c r="BQ268" s="4356">
        <f t="shared" si="1221"/>
        <v>0</v>
      </c>
      <c r="BR268" s="4356">
        <f t="shared" si="1221"/>
        <v>0</v>
      </c>
      <c r="BS268" s="4356">
        <f t="shared" si="1221"/>
        <v>0</v>
      </c>
      <c r="BT268" s="4356">
        <f t="shared" si="1221"/>
        <v>0</v>
      </c>
      <c r="BU268" s="4356">
        <f t="shared" si="1221"/>
        <v>0</v>
      </c>
      <c r="BV268" s="4356">
        <f t="shared" si="1221"/>
        <v>0</v>
      </c>
      <c r="BW268" s="4356">
        <f t="shared" si="1221"/>
        <v>0</v>
      </c>
      <c r="BX268" s="4356">
        <f t="shared" si="1221"/>
        <v>0</v>
      </c>
      <c r="BY268" s="4356">
        <f t="shared" si="1221"/>
        <v>0</v>
      </c>
      <c r="BZ268" s="4356">
        <f t="shared" si="1221"/>
        <v>0</v>
      </c>
      <c r="CA268" s="4356">
        <f t="shared" si="1221"/>
        <v>0</v>
      </c>
      <c r="CB268" s="4357">
        <f t="shared" si="1221"/>
        <v>143.99</v>
      </c>
      <c r="CC268" s="4357">
        <f t="shared" si="1221"/>
        <v>143.99</v>
      </c>
      <c r="CD268" s="4357">
        <f t="shared" si="1221"/>
        <v>0</v>
      </c>
      <c r="CE268" s="4358">
        <f t="shared" si="1221"/>
        <v>283.166</v>
      </c>
      <c r="CF268" s="4358">
        <f t="shared" si="1221"/>
        <v>283.166</v>
      </c>
      <c r="CG268" s="4358">
        <f t="shared" si="1221"/>
        <v>0</v>
      </c>
      <c r="CH268" s="4319">
        <f t="shared" si="1130"/>
        <v>139.17599999999999</v>
      </c>
      <c r="CI268" s="4319">
        <f t="shared" si="1131"/>
        <v>139.17599999999999</v>
      </c>
      <c r="CJ268" s="4319">
        <f t="shared" si="1131"/>
        <v>0</v>
      </c>
      <c r="CK268" s="2746"/>
      <c r="CL268" s="2746"/>
      <c r="CM268" s="2746"/>
      <c r="CN268" s="2746"/>
    </row>
    <row r="269" spans="1:92" ht="18.75" x14ac:dyDescent="0.3">
      <c r="A269" s="4343" t="s">
        <v>596</v>
      </c>
      <c r="B269" s="4355">
        <f t="shared" ref="B269:AK269" si="1222">SUM(B97+B121+B141)</f>
        <v>2.2567500000000003</v>
      </c>
      <c r="C269" s="4355">
        <f t="shared" si="1222"/>
        <v>2.2567500000000003</v>
      </c>
      <c r="D269" s="4355">
        <f t="shared" si="1222"/>
        <v>0</v>
      </c>
      <c r="E269" s="4356">
        <f t="shared" si="1222"/>
        <v>0.19700000000000001</v>
      </c>
      <c r="F269" s="4356">
        <f t="shared" si="1222"/>
        <v>0.19700000000000001</v>
      </c>
      <c r="G269" s="4356">
        <f t="shared" si="1222"/>
        <v>0</v>
      </c>
      <c r="H269" s="4356">
        <f t="shared" si="1222"/>
        <v>0</v>
      </c>
      <c r="I269" s="4356">
        <f t="shared" si="1222"/>
        <v>0</v>
      </c>
      <c r="J269" s="4356">
        <f t="shared" si="1222"/>
        <v>0</v>
      </c>
      <c r="K269" s="4356">
        <f t="shared" si="1222"/>
        <v>0</v>
      </c>
      <c r="L269" s="4356">
        <f t="shared" si="1222"/>
        <v>0</v>
      </c>
      <c r="M269" s="4356">
        <f t="shared" si="1222"/>
        <v>0</v>
      </c>
      <c r="N269" s="4356">
        <f t="shared" si="1222"/>
        <v>0.19700000000000001</v>
      </c>
      <c r="O269" s="4356">
        <f t="shared" si="1222"/>
        <v>0.19700000000000001</v>
      </c>
      <c r="P269" s="4356">
        <f t="shared" si="1222"/>
        <v>0</v>
      </c>
      <c r="Q269" s="4355">
        <f t="shared" si="1222"/>
        <v>2.2567500000000003</v>
      </c>
      <c r="R269" s="4355">
        <f t="shared" si="1222"/>
        <v>2.2567500000000003</v>
      </c>
      <c r="S269" s="4355">
        <f t="shared" si="1222"/>
        <v>0</v>
      </c>
      <c r="T269" s="4356">
        <f t="shared" si="1222"/>
        <v>0</v>
      </c>
      <c r="U269" s="4356">
        <f t="shared" si="1222"/>
        <v>0</v>
      </c>
      <c r="V269" s="4356">
        <f t="shared" si="1222"/>
        <v>0</v>
      </c>
      <c r="W269" s="4356">
        <f t="shared" si="1222"/>
        <v>0</v>
      </c>
      <c r="X269" s="4356">
        <f t="shared" si="1222"/>
        <v>0</v>
      </c>
      <c r="Y269" s="4356">
        <f t="shared" si="1222"/>
        <v>0</v>
      </c>
      <c r="Z269" s="4356">
        <f t="shared" si="1222"/>
        <v>0</v>
      </c>
      <c r="AA269" s="4356">
        <f t="shared" si="1222"/>
        <v>0</v>
      </c>
      <c r="AB269" s="4356">
        <f t="shared" si="1222"/>
        <v>0</v>
      </c>
      <c r="AC269" s="4356">
        <f t="shared" si="1222"/>
        <v>0</v>
      </c>
      <c r="AD269" s="4356">
        <f t="shared" si="1222"/>
        <v>0</v>
      </c>
      <c r="AE269" s="4356">
        <f t="shared" si="1222"/>
        <v>0</v>
      </c>
      <c r="AF269" s="4357">
        <f t="shared" si="1222"/>
        <v>4.5135000000000005</v>
      </c>
      <c r="AG269" s="4357">
        <f t="shared" si="1222"/>
        <v>4.5135000000000005</v>
      </c>
      <c r="AH269" s="4357">
        <f t="shared" si="1222"/>
        <v>0</v>
      </c>
      <c r="AI269" s="4358">
        <f t="shared" si="1222"/>
        <v>0.19700000000000001</v>
      </c>
      <c r="AJ269" s="4358">
        <f t="shared" si="1222"/>
        <v>0.19700000000000001</v>
      </c>
      <c r="AK269" s="4358">
        <f t="shared" si="1222"/>
        <v>0</v>
      </c>
      <c r="AL269" s="4319">
        <f t="shared" si="1124"/>
        <v>-4.3165000000000004</v>
      </c>
      <c r="AM269" s="4319">
        <f t="shared" si="1125"/>
        <v>-4.3165000000000004</v>
      </c>
      <c r="AN269" s="4319">
        <f t="shared" si="1125"/>
        <v>0</v>
      </c>
      <c r="AO269" s="4355">
        <f t="shared" ref="AO269:BI269" si="1223">SUM(AO97+AO121+AO141)</f>
        <v>2.2567500000000003</v>
      </c>
      <c r="AP269" s="4355">
        <f t="shared" si="1223"/>
        <v>2.2567500000000003</v>
      </c>
      <c r="AQ269" s="4355">
        <f t="shared" si="1223"/>
        <v>0</v>
      </c>
      <c r="AR269" s="4356">
        <f t="shared" si="1223"/>
        <v>0.81699999999999995</v>
      </c>
      <c r="AS269" s="4356">
        <f t="shared" si="1223"/>
        <v>0.81699999999999995</v>
      </c>
      <c r="AT269" s="4356">
        <f t="shared" si="1223"/>
        <v>0</v>
      </c>
      <c r="AU269" s="4356">
        <f t="shared" si="1223"/>
        <v>0</v>
      </c>
      <c r="AV269" s="4356">
        <f t="shared" si="1223"/>
        <v>0</v>
      </c>
      <c r="AW269" s="4356">
        <f t="shared" si="1223"/>
        <v>0</v>
      </c>
      <c r="AX269" s="4356">
        <f t="shared" si="1223"/>
        <v>0</v>
      </c>
      <c r="AY269" s="4356">
        <f t="shared" si="1223"/>
        <v>0</v>
      </c>
      <c r="AZ269" s="4356">
        <f t="shared" si="1223"/>
        <v>0</v>
      </c>
      <c r="BA269" s="4356">
        <f t="shared" si="1223"/>
        <v>0.81699999999999995</v>
      </c>
      <c r="BB269" s="4356">
        <f t="shared" si="1223"/>
        <v>0.81699999999999995</v>
      </c>
      <c r="BC269" s="4356">
        <f t="shared" si="1223"/>
        <v>0</v>
      </c>
      <c r="BD269" s="4357">
        <f t="shared" si="1223"/>
        <v>6.7702500000000008</v>
      </c>
      <c r="BE269" s="4357">
        <f t="shared" si="1223"/>
        <v>6.7702500000000008</v>
      </c>
      <c r="BF269" s="4357">
        <f t="shared" si="1223"/>
        <v>0</v>
      </c>
      <c r="BG269" s="4358">
        <f t="shared" si="1223"/>
        <v>1.014</v>
      </c>
      <c r="BH269" s="4358">
        <f t="shared" si="1223"/>
        <v>1.014</v>
      </c>
      <c r="BI269" s="4358">
        <f t="shared" si="1223"/>
        <v>0</v>
      </c>
      <c r="BJ269" s="4319">
        <f t="shared" si="1127"/>
        <v>-5.7562500000000005</v>
      </c>
      <c r="BK269" s="4319">
        <f t="shared" si="1128"/>
        <v>-5.7562500000000005</v>
      </c>
      <c r="BL269" s="4319">
        <f t="shared" si="1128"/>
        <v>0</v>
      </c>
      <c r="BM269" s="4355">
        <f t="shared" ref="BM269:CG269" si="1224">SUM(BM97+BM121+BM141)</f>
        <v>2.2567500000000003</v>
      </c>
      <c r="BN269" s="4355">
        <f t="shared" si="1224"/>
        <v>2.2567500000000003</v>
      </c>
      <c r="BO269" s="4355">
        <f t="shared" si="1224"/>
        <v>0</v>
      </c>
      <c r="BP269" s="4356">
        <f t="shared" si="1224"/>
        <v>0</v>
      </c>
      <c r="BQ269" s="4356">
        <f t="shared" si="1224"/>
        <v>0</v>
      </c>
      <c r="BR269" s="4356">
        <f t="shared" si="1224"/>
        <v>0</v>
      </c>
      <c r="BS269" s="4356">
        <f t="shared" si="1224"/>
        <v>0</v>
      </c>
      <c r="BT269" s="4356">
        <f t="shared" si="1224"/>
        <v>0</v>
      </c>
      <c r="BU269" s="4356">
        <f t="shared" si="1224"/>
        <v>0</v>
      </c>
      <c r="BV269" s="4356">
        <f t="shared" si="1224"/>
        <v>0</v>
      </c>
      <c r="BW269" s="4356">
        <f t="shared" si="1224"/>
        <v>0</v>
      </c>
      <c r="BX269" s="4356">
        <f t="shared" si="1224"/>
        <v>0</v>
      </c>
      <c r="BY269" s="4356">
        <f t="shared" si="1224"/>
        <v>0</v>
      </c>
      <c r="BZ269" s="4356">
        <f t="shared" si="1224"/>
        <v>0</v>
      </c>
      <c r="CA269" s="4356">
        <f t="shared" si="1224"/>
        <v>0</v>
      </c>
      <c r="CB269" s="4357">
        <f t="shared" si="1224"/>
        <v>9.027000000000001</v>
      </c>
      <c r="CC269" s="4357">
        <f t="shared" si="1224"/>
        <v>9.027000000000001</v>
      </c>
      <c r="CD269" s="4357">
        <f t="shared" si="1224"/>
        <v>0</v>
      </c>
      <c r="CE269" s="4358">
        <f t="shared" si="1224"/>
        <v>1.014</v>
      </c>
      <c r="CF269" s="4358">
        <f t="shared" si="1224"/>
        <v>1.014</v>
      </c>
      <c r="CG269" s="4358">
        <f t="shared" si="1224"/>
        <v>0</v>
      </c>
      <c r="CH269" s="4319">
        <f t="shared" si="1130"/>
        <v>-8.0130000000000017</v>
      </c>
      <c r="CI269" s="4319">
        <f t="shared" si="1131"/>
        <v>-8.0130000000000017</v>
      </c>
      <c r="CJ269" s="4319">
        <f t="shared" si="1131"/>
        <v>0</v>
      </c>
      <c r="CK269" s="2746"/>
      <c r="CL269" s="2746"/>
      <c r="CM269" s="2746"/>
      <c r="CN269" s="2746"/>
    </row>
    <row r="270" spans="1:92" ht="18.75" x14ac:dyDescent="0.3">
      <c r="A270" s="4350" t="s">
        <v>280</v>
      </c>
      <c r="B270" s="4366">
        <f>SUM(B238:B260)+B265</f>
        <v>5761.4909157747652</v>
      </c>
      <c r="C270" s="4366">
        <f>SUM(C238:C260)+C265</f>
        <v>5761.4909157747652</v>
      </c>
      <c r="D270" s="4366">
        <f t="shared" ref="D270:S270" si="1225">SUM(D238:D260)+D265</f>
        <v>0</v>
      </c>
      <c r="E270" s="4369">
        <f t="shared" si="1225"/>
        <v>3133.0989999999997</v>
      </c>
      <c r="F270" s="4369">
        <f t="shared" si="1225"/>
        <v>3133.0989999999997</v>
      </c>
      <c r="G270" s="4369">
        <f t="shared" si="1225"/>
        <v>0</v>
      </c>
      <c r="H270" s="4369">
        <f t="shared" si="1225"/>
        <v>2591.8941900000004</v>
      </c>
      <c r="I270" s="4369">
        <f t="shared" si="1225"/>
        <v>2591.8941900000004</v>
      </c>
      <c r="J270" s="4369">
        <f t="shared" si="1225"/>
        <v>0</v>
      </c>
      <c r="K270" s="4369">
        <f t="shared" si="1225"/>
        <v>2669.7350000000001</v>
      </c>
      <c r="L270" s="4369">
        <f t="shared" si="1225"/>
        <v>2669.7350000000001</v>
      </c>
      <c r="M270" s="4369">
        <f t="shared" si="1225"/>
        <v>0</v>
      </c>
      <c r="N270" s="4369">
        <f t="shared" si="1225"/>
        <v>8394.7281900000016</v>
      </c>
      <c r="O270" s="4369">
        <f t="shared" si="1225"/>
        <v>8394.7281900000016</v>
      </c>
      <c r="P270" s="4369">
        <f t="shared" si="1225"/>
        <v>0</v>
      </c>
      <c r="Q270" s="4366">
        <f t="shared" si="1225"/>
        <v>5761.4909157747652</v>
      </c>
      <c r="R270" s="4366">
        <f t="shared" si="1225"/>
        <v>5761.4909157747652</v>
      </c>
      <c r="S270" s="4366">
        <f t="shared" si="1225"/>
        <v>0</v>
      </c>
      <c r="T270" s="4369">
        <f t="shared" ref="T270:AE270" si="1226">SUM(T238:T260)+T265</f>
        <v>3113.0530000000003</v>
      </c>
      <c r="U270" s="4369">
        <f t="shared" si="1226"/>
        <v>3113.0530000000003</v>
      </c>
      <c r="V270" s="4369">
        <f t="shared" si="1226"/>
        <v>0</v>
      </c>
      <c r="W270" s="4369">
        <f t="shared" si="1226"/>
        <v>2740.1190000000006</v>
      </c>
      <c r="X270" s="4369">
        <f t="shared" si="1226"/>
        <v>2740.1190000000006</v>
      </c>
      <c r="Y270" s="4369">
        <f t="shared" si="1226"/>
        <v>0</v>
      </c>
      <c r="Z270" s="4369">
        <f t="shared" si="1226"/>
        <v>2647.0809999999997</v>
      </c>
      <c r="AA270" s="4369">
        <f t="shared" si="1226"/>
        <v>2647.0809999999997</v>
      </c>
      <c r="AB270" s="4369">
        <f t="shared" si="1226"/>
        <v>0</v>
      </c>
      <c r="AC270" s="4369">
        <f t="shared" si="1226"/>
        <v>8500.2529999999988</v>
      </c>
      <c r="AD270" s="4369">
        <f t="shared" si="1226"/>
        <v>8500.2529999999988</v>
      </c>
      <c r="AE270" s="4369">
        <f t="shared" si="1226"/>
        <v>0</v>
      </c>
      <c r="AF270" s="4367">
        <f t="shared" ref="AF270:AK270" si="1227">SUM(AF238:AF260)+AF265</f>
        <v>11522.98183154953</v>
      </c>
      <c r="AG270" s="4367">
        <f t="shared" si="1227"/>
        <v>11522.98183154953</v>
      </c>
      <c r="AH270" s="4367">
        <f t="shared" si="1227"/>
        <v>0</v>
      </c>
      <c r="AI270" s="4368">
        <f t="shared" si="1227"/>
        <v>16894.981189999999</v>
      </c>
      <c r="AJ270" s="4368">
        <f t="shared" si="1227"/>
        <v>16894.981189999999</v>
      </c>
      <c r="AK270" s="4368">
        <f t="shared" si="1227"/>
        <v>0</v>
      </c>
      <c r="AL270" s="4319">
        <f t="shared" si="1124"/>
        <v>5371.9993584504682</v>
      </c>
      <c r="AM270" s="4319">
        <f t="shared" si="1125"/>
        <v>5371.9993584504682</v>
      </c>
      <c r="AN270" s="4319">
        <f t="shared" si="1125"/>
        <v>0</v>
      </c>
      <c r="AO270" s="4366">
        <f t="shared" ref="AO270:BI270" si="1228">SUM(AO238:AO260)+AO265</f>
        <v>5761.4909157747652</v>
      </c>
      <c r="AP270" s="4366">
        <f t="shared" si="1228"/>
        <v>5761.4909157747652</v>
      </c>
      <c r="AQ270" s="4366">
        <f t="shared" si="1228"/>
        <v>0</v>
      </c>
      <c r="AR270" s="4369">
        <f t="shared" si="1228"/>
        <v>2316.4780000000001</v>
      </c>
      <c r="AS270" s="4369">
        <f t="shared" si="1228"/>
        <v>2316.4780000000001</v>
      </c>
      <c r="AT270" s="4369">
        <f t="shared" si="1228"/>
        <v>0</v>
      </c>
      <c r="AU270" s="4369">
        <f t="shared" si="1228"/>
        <v>0</v>
      </c>
      <c r="AV270" s="4369">
        <f t="shared" si="1228"/>
        <v>0</v>
      </c>
      <c r="AW270" s="4369">
        <f t="shared" si="1228"/>
        <v>0</v>
      </c>
      <c r="AX270" s="4369">
        <f t="shared" si="1228"/>
        <v>0</v>
      </c>
      <c r="AY270" s="4369">
        <f t="shared" si="1228"/>
        <v>0</v>
      </c>
      <c r="AZ270" s="4369">
        <f t="shared" si="1228"/>
        <v>0</v>
      </c>
      <c r="BA270" s="4369">
        <f t="shared" si="1228"/>
        <v>2316.4780000000001</v>
      </c>
      <c r="BB270" s="4369">
        <f t="shared" si="1228"/>
        <v>2316.4780000000001</v>
      </c>
      <c r="BC270" s="4369">
        <f t="shared" si="1228"/>
        <v>0</v>
      </c>
      <c r="BD270" s="4367">
        <f t="shared" si="1228"/>
        <v>17284.472747324304</v>
      </c>
      <c r="BE270" s="4367">
        <f t="shared" si="1228"/>
        <v>17284.472747324304</v>
      </c>
      <c r="BF270" s="4367">
        <f t="shared" si="1228"/>
        <v>0</v>
      </c>
      <c r="BG270" s="4368">
        <f t="shared" si="1228"/>
        <v>19211.459189999998</v>
      </c>
      <c r="BH270" s="4368">
        <f t="shared" si="1228"/>
        <v>19211.459189999998</v>
      </c>
      <c r="BI270" s="4368">
        <f t="shared" si="1228"/>
        <v>0</v>
      </c>
      <c r="BJ270" s="4319">
        <f t="shared" si="1127"/>
        <v>1926.986442675694</v>
      </c>
      <c r="BK270" s="4319">
        <f t="shared" si="1128"/>
        <v>1926.986442675694</v>
      </c>
      <c r="BL270" s="4319">
        <f t="shared" si="1128"/>
        <v>0</v>
      </c>
      <c r="BM270" s="4366">
        <f t="shared" ref="BM270:CG270" si="1229">SUM(BM238:BM260)+BM265</f>
        <v>5761.4909157747652</v>
      </c>
      <c r="BN270" s="4366">
        <f t="shared" si="1229"/>
        <v>5761.4909157747652</v>
      </c>
      <c r="BO270" s="4366">
        <f t="shared" si="1229"/>
        <v>0</v>
      </c>
      <c r="BP270" s="4369">
        <f t="shared" si="1229"/>
        <v>0</v>
      </c>
      <c r="BQ270" s="4369">
        <f t="shared" si="1229"/>
        <v>0</v>
      </c>
      <c r="BR270" s="4369">
        <f t="shared" si="1229"/>
        <v>0</v>
      </c>
      <c r="BS270" s="4369">
        <f t="shared" si="1229"/>
        <v>0</v>
      </c>
      <c r="BT270" s="4369">
        <f t="shared" si="1229"/>
        <v>0</v>
      </c>
      <c r="BU270" s="4369">
        <f t="shared" si="1229"/>
        <v>0</v>
      </c>
      <c r="BV270" s="4369">
        <f t="shared" si="1229"/>
        <v>0</v>
      </c>
      <c r="BW270" s="4369">
        <f t="shared" si="1229"/>
        <v>0</v>
      </c>
      <c r="BX270" s="4369">
        <f t="shared" si="1229"/>
        <v>0</v>
      </c>
      <c r="BY270" s="4369">
        <f t="shared" si="1229"/>
        <v>0</v>
      </c>
      <c r="BZ270" s="4369">
        <f t="shared" si="1229"/>
        <v>0</v>
      </c>
      <c r="CA270" s="4369">
        <f t="shared" si="1229"/>
        <v>0</v>
      </c>
      <c r="CB270" s="4367">
        <f t="shared" si="1229"/>
        <v>23045.963663099061</v>
      </c>
      <c r="CC270" s="4367">
        <f t="shared" si="1229"/>
        <v>23045.963663099061</v>
      </c>
      <c r="CD270" s="4367">
        <f t="shared" si="1229"/>
        <v>0</v>
      </c>
      <c r="CE270" s="4368">
        <f t="shared" si="1229"/>
        <v>19211.459189999998</v>
      </c>
      <c r="CF270" s="4368">
        <f t="shared" si="1229"/>
        <v>19211.459189999998</v>
      </c>
      <c r="CG270" s="4368">
        <f t="shared" si="1229"/>
        <v>0</v>
      </c>
      <c r="CH270" s="4319">
        <f t="shared" si="1130"/>
        <v>-3834.504473099063</v>
      </c>
      <c r="CI270" s="4319">
        <f t="shared" si="1131"/>
        <v>-3834.504473099063</v>
      </c>
      <c r="CJ270" s="4319">
        <f t="shared" si="1131"/>
        <v>0</v>
      </c>
      <c r="CK270" s="2746"/>
      <c r="CL270" s="2746"/>
      <c r="CM270" s="2746"/>
      <c r="CN270" s="2746"/>
    </row>
    <row r="271" spans="1:92" ht="18.75" x14ac:dyDescent="0.3">
      <c r="A271" s="2746"/>
      <c r="B271" s="2790"/>
      <c r="C271" s="2790"/>
      <c r="D271" s="2790"/>
      <c r="E271" s="2790"/>
      <c r="F271" s="2790"/>
      <c r="G271" s="2790"/>
      <c r="H271" s="2790"/>
      <c r="I271" s="2790"/>
      <c r="J271" s="2790"/>
      <c r="K271" s="2790"/>
      <c r="L271" s="2790"/>
      <c r="M271" s="2790"/>
      <c r="N271" s="2790"/>
      <c r="O271" s="2790"/>
      <c r="P271" s="2790"/>
      <c r="Q271" s="2790"/>
      <c r="R271" s="2790"/>
      <c r="S271" s="2790"/>
      <c r="T271" s="2790"/>
      <c r="U271" s="2790"/>
      <c r="V271" s="2790"/>
      <c r="W271" s="2790"/>
      <c r="X271" s="2790"/>
      <c r="Y271" s="2790"/>
      <c r="Z271" s="2790"/>
      <c r="AA271" s="2790"/>
      <c r="AB271" s="2790"/>
      <c r="AC271" s="2790"/>
      <c r="AD271" s="2790"/>
      <c r="AE271" s="2790"/>
      <c r="AF271" s="2790"/>
      <c r="AG271" s="2790"/>
      <c r="AH271" s="2790"/>
      <c r="AI271" s="2790"/>
      <c r="AJ271" s="2790"/>
      <c r="AK271" s="2790"/>
      <c r="AL271" s="2790"/>
      <c r="AM271" s="2790"/>
      <c r="AN271" s="2790"/>
      <c r="AO271" s="2790"/>
      <c r="AP271" s="2790"/>
      <c r="AQ271" s="2790"/>
      <c r="AR271" s="2790"/>
      <c r="AS271" s="2790"/>
      <c r="AT271" s="2790"/>
      <c r="AU271" s="2790"/>
      <c r="AV271" s="2790"/>
      <c r="AW271" s="2790"/>
      <c r="AX271" s="2790"/>
      <c r="AY271" s="2790"/>
      <c r="AZ271" s="2790"/>
      <c r="BA271" s="2790"/>
      <c r="BB271" s="2790"/>
      <c r="BC271" s="2790"/>
      <c r="BD271" s="2790"/>
      <c r="BE271" s="2790"/>
      <c r="BF271" s="2790"/>
      <c r="BG271" s="2790"/>
      <c r="BH271" s="2790"/>
      <c r="BI271" s="2790"/>
      <c r="BJ271" s="2746"/>
      <c r="BK271" s="2746"/>
      <c r="BL271" s="2746"/>
      <c r="BM271" s="2746"/>
      <c r="BN271" s="2746"/>
      <c r="BO271" s="2746"/>
      <c r="BP271" s="2746"/>
      <c r="BQ271" s="2746"/>
      <c r="BR271" s="2746"/>
      <c r="BS271" s="2746"/>
      <c r="BT271" s="2746"/>
      <c r="BU271" s="2746"/>
      <c r="BV271" s="2746"/>
      <c r="BW271" s="2746"/>
      <c r="BX271" s="2746"/>
      <c r="BY271" s="2746"/>
      <c r="BZ271" s="2746"/>
      <c r="CA271" s="2746"/>
      <c r="CB271" s="2746"/>
      <c r="CC271" s="2746"/>
      <c r="CD271" s="2746"/>
      <c r="CE271" s="2746"/>
      <c r="CF271" s="2746"/>
      <c r="CG271" s="2746"/>
      <c r="CH271" s="2746"/>
      <c r="CI271" s="2746"/>
      <c r="CJ271" s="2746"/>
      <c r="CK271" s="2746"/>
      <c r="CL271" s="2746"/>
      <c r="CM271" s="2746"/>
      <c r="CN271" s="2746"/>
    </row>
    <row r="272" spans="1:92" ht="18.75" x14ac:dyDescent="0.3">
      <c r="A272" s="2787"/>
      <c r="B272" s="2787"/>
      <c r="C272" s="2787"/>
      <c r="D272" s="2787"/>
      <c r="E272" s="2787"/>
      <c r="F272" s="2787"/>
      <c r="G272" s="2787"/>
      <c r="H272" s="2787"/>
      <c r="I272" s="2787"/>
      <c r="J272" s="2787"/>
      <c r="K272" s="2787"/>
      <c r="L272" s="2787"/>
      <c r="M272" s="2787"/>
      <c r="N272" s="2790"/>
      <c r="O272" s="2790"/>
      <c r="P272" s="2790"/>
      <c r="Q272" s="2790"/>
      <c r="R272" s="2790"/>
      <c r="S272" s="2790"/>
      <c r="T272" s="2790"/>
      <c r="U272" s="2790"/>
      <c r="V272" s="2790"/>
      <c r="W272" s="2790"/>
      <c r="X272" s="2790"/>
      <c r="Y272" s="2790"/>
      <c r="Z272" s="2790"/>
      <c r="AA272" s="2790"/>
      <c r="AB272" s="2790"/>
      <c r="AC272" s="2790"/>
      <c r="AD272" s="2790"/>
      <c r="AE272" s="2790"/>
      <c r="AF272" s="2790"/>
      <c r="AG272" s="2790"/>
      <c r="AH272" s="2790"/>
      <c r="AI272" s="2790"/>
      <c r="AJ272" s="2790"/>
      <c r="AK272" s="2790"/>
      <c r="AL272" s="2790"/>
      <c r="AM272" s="2790"/>
      <c r="AN272" s="2790"/>
      <c r="AO272" s="2790"/>
      <c r="AP272" s="2790"/>
      <c r="AQ272" s="2790"/>
      <c r="AR272" s="2790"/>
      <c r="AS272" s="2790"/>
      <c r="AT272" s="2790"/>
      <c r="AU272" s="2790"/>
      <c r="AV272" s="2790"/>
      <c r="AW272" s="2790"/>
      <c r="AX272" s="2790"/>
      <c r="AY272" s="2790"/>
      <c r="AZ272" s="2790"/>
      <c r="BA272" s="2790"/>
      <c r="BB272" s="2790"/>
      <c r="BC272" s="2790"/>
      <c r="BD272" s="2790"/>
      <c r="BE272" s="2790"/>
      <c r="BF272" s="2790"/>
      <c r="BG272" s="2790"/>
      <c r="BH272" s="2790"/>
      <c r="BI272" s="2790"/>
      <c r="BJ272" s="2746"/>
      <c r="BK272" s="2746"/>
      <c r="BL272" s="2746"/>
      <c r="BM272" s="2746"/>
      <c r="BN272" s="2746"/>
      <c r="BO272" s="2746"/>
      <c r="BP272" s="2746"/>
      <c r="BQ272" s="2746"/>
      <c r="BR272" s="2746"/>
      <c r="BS272" s="2746"/>
      <c r="BT272" s="2746"/>
      <c r="BU272" s="2746"/>
      <c r="BV272" s="2746"/>
      <c r="BW272" s="2746"/>
      <c r="BX272" s="2746"/>
      <c r="BY272" s="2746"/>
      <c r="BZ272" s="2746"/>
      <c r="CA272" s="2746"/>
      <c r="CB272" s="2746"/>
      <c r="CC272" s="2746"/>
      <c r="CD272" s="2746"/>
      <c r="CE272" s="2746"/>
      <c r="CF272" s="2746"/>
      <c r="CG272" s="2746"/>
      <c r="CH272" s="2746"/>
      <c r="CI272" s="2746"/>
      <c r="CJ272" s="2746"/>
      <c r="CK272" s="2746"/>
      <c r="CL272" s="2746"/>
      <c r="CM272" s="2746"/>
      <c r="CN272" s="2746"/>
    </row>
    <row r="273" spans="1:92" x14ac:dyDescent="0.2">
      <c r="A273" s="2746"/>
      <c r="B273" s="2746"/>
      <c r="C273" s="2746"/>
      <c r="D273" s="2746"/>
      <c r="E273" s="2746"/>
      <c r="F273" s="2746"/>
      <c r="G273" s="2746"/>
      <c r="H273" s="2746"/>
      <c r="I273" s="2746"/>
      <c r="J273" s="2746"/>
      <c r="K273" s="2746"/>
      <c r="L273" s="2746"/>
      <c r="M273" s="2746"/>
      <c r="N273" s="2746"/>
      <c r="O273" s="2746"/>
      <c r="P273" s="2746"/>
      <c r="Q273" s="2746"/>
      <c r="R273" s="2746"/>
      <c r="S273" s="2746"/>
      <c r="T273" s="2746"/>
      <c r="U273" s="2746"/>
      <c r="V273" s="2746"/>
      <c r="W273" s="2746"/>
      <c r="X273" s="2746"/>
      <c r="Y273" s="2746"/>
      <c r="Z273" s="2746"/>
      <c r="AA273" s="2746"/>
      <c r="AB273" s="2746"/>
      <c r="AC273" s="2746"/>
      <c r="AD273" s="2746"/>
      <c r="AE273" s="2746"/>
      <c r="AF273" s="2746"/>
      <c r="AG273" s="2746"/>
      <c r="AH273" s="2746"/>
      <c r="AI273" s="2746"/>
      <c r="AJ273" s="2746"/>
      <c r="AK273" s="2746"/>
      <c r="AL273" s="2746"/>
      <c r="AM273" s="2746"/>
      <c r="AN273" s="2746"/>
      <c r="AO273" s="2746"/>
      <c r="AP273" s="2746"/>
      <c r="AQ273" s="2746"/>
      <c r="AR273" s="2746"/>
      <c r="AS273" s="2746"/>
      <c r="AT273" s="2746"/>
      <c r="AU273" s="2746"/>
      <c r="AV273" s="2746"/>
      <c r="AW273" s="2746"/>
      <c r="AX273" s="2746"/>
      <c r="AY273" s="2746"/>
      <c r="AZ273" s="2746"/>
      <c r="BA273" s="2746"/>
      <c r="BB273" s="2746"/>
      <c r="BC273" s="2746"/>
      <c r="BD273" s="2746"/>
      <c r="BE273" s="2746"/>
      <c r="BF273" s="2746"/>
      <c r="BG273" s="2746"/>
      <c r="BH273" s="2746"/>
      <c r="BI273" s="2746"/>
      <c r="BJ273" s="2746"/>
      <c r="BK273" s="2746"/>
      <c r="BL273" s="2746"/>
      <c r="BM273" s="2746"/>
      <c r="BN273" s="2746"/>
      <c r="BO273" s="2746"/>
      <c r="BP273" s="2746"/>
      <c r="BQ273" s="2746"/>
      <c r="BR273" s="2746"/>
      <c r="BS273" s="2746"/>
      <c r="BT273" s="2746"/>
      <c r="BU273" s="2746"/>
      <c r="BV273" s="2746"/>
      <c r="BW273" s="2746"/>
      <c r="BX273" s="2746"/>
      <c r="BY273" s="2746"/>
      <c r="BZ273" s="2746"/>
      <c r="CA273" s="2746"/>
      <c r="CB273" s="2746"/>
      <c r="CC273" s="2746"/>
      <c r="CD273" s="2746"/>
      <c r="CE273" s="2746"/>
      <c r="CF273" s="2746"/>
      <c r="CG273" s="2746"/>
      <c r="CH273" s="2746"/>
      <c r="CI273" s="2746"/>
      <c r="CJ273" s="2746"/>
      <c r="CK273" s="2746"/>
      <c r="CL273" s="2746"/>
      <c r="CM273" s="2746"/>
      <c r="CN273" s="2746"/>
    </row>
    <row r="274" spans="1:92" x14ac:dyDescent="0.2">
      <c r="A274" s="2746"/>
      <c r="B274" s="2746"/>
      <c r="C274" s="2746"/>
      <c r="D274" s="2746"/>
      <c r="E274" s="2746"/>
      <c r="F274" s="2746"/>
      <c r="G274" s="2746"/>
      <c r="H274" s="2746"/>
      <c r="I274" s="2746"/>
      <c r="J274" s="2746"/>
      <c r="K274" s="2746"/>
      <c r="L274" s="2746"/>
      <c r="M274" s="2746"/>
      <c r="N274" s="2746"/>
      <c r="O274" s="2746"/>
      <c r="P274" s="2746"/>
      <c r="Q274" s="2746"/>
      <c r="R274" s="2746"/>
      <c r="S274" s="2746"/>
      <c r="T274" s="2746"/>
      <c r="U274" s="2746"/>
      <c r="V274" s="2746"/>
      <c r="W274" s="2746"/>
      <c r="X274" s="2746"/>
      <c r="Y274" s="2746"/>
      <c r="Z274" s="2746"/>
      <c r="AA274" s="2746"/>
      <c r="AB274" s="2746"/>
      <c r="AC274" s="2746"/>
      <c r="AD274" s="2746"/>
      <c r="AE274" s="2746"/>
      <c r="AF274" s="2746"/>
      <c r="AG274" s="2746"/>
      <c r="AH274" s="2746"/>
      <c r="AI274" s="2746"/>
      <c r="AJ274" s="2746"/>
      <c r="AK274" s="2746"/>
      <c r="AL274" s="2746"/>
      <c r="AM274" s="2746"/>
      <c r="AN274" s="2746"/>
      <c r="AO274" s="2746"/>
      <c r="AP274" s="2746"/>
      <c r="AQ274" s="2746"/>
      <c r="AR274" s="2746"/>
      <c r="AS274" s="2746"/>
      <c r="AT274" s="2746"/>
      <c r="AU274" s="2746"/>
      <c r="AV274" s="2746"/>
      <c r="AW274" s="2746"/>
      <c r="AX274" s="2746"/>
      <c r="AY274" s="2746"/>
      <c r="AZ274" s="2746"/>
      <c r="BA274" s="2746"/>
      <c r="BB274" s="2746"/>
      <c r="BC274" s="2746"/>
      <c r="BD274" s="2746"/>
      <c r="BE274" s="2746"/>
      <c r="BF274" s="2746"/>
      <c r="BG274" s="2746"/>
      <c r="BH274" s="2746"/>
      <c r="BI274" s="2746"/>
      <c r="BJ274" s="2746"/>
      <c r="BK274" s="2746"/>
      <c r="BL274" s="2746"/>
      <c r="BM274" s="2746"/>
      <c r="BN274" s="2746"/>
      <c r="BO274" s="2746"/>
      <c r="BP274" s="2746"/>
      <c r="BQ274" s="2746"/>
      <c r="BR274" s="2746"/>
      <c r="BS274" s="2746"/>
      <c r="BT274" s="2746"/>
      <c r="BU274" s="2746"/>
      <c r="BV274" s="2746"/>
      <c r="BW274" s="2746"/>
      <c r="BX274" s="2746"/>
      <c r="BY274" s="2746"/>
      <c r="BZ274" s="2746"/>
      <c r="CA274" s="2746"/>
      <c r="CB274" s="2746"/>
      <c r="CC274" s="2746"/>
      <c r="CD274" s="2746"/>
      <c r="CE274" s="2746"/>
      <c r="CF274" s="2746"/>
      <c r="CG274" s="2746"/>
      <c r="CH274" s="2746"/>
      <c r="CI274" s="2746"/>
      <c r="CJ274" s="2746"/>
      <c r="CK274" s="2746"/>
      <c r="CL274" s="2746"/>
      <c r="CM274" s="2746"/>
      <c r="CN274" s="2746"/>
    </row>
    <row r="275" spans="1:92" x14ac:dyDescent="0.2">
      <c r="A275" s="2746"/>
      <c r="B275" s="2746"/>
      <c r="C275" s="2746"/>
      <c r="D275" s="2746"/>
      <c r="E275" s="2746"/>
      <c r="F275" s="2746"/>
      <c r="G275" s="2746"/>
      <c r="H275" s="2746"/>
      <c r="I275" s="2746"/>
      <c r="J275" s="2746"/>
      <c r="K275" s="2746"/>
      <c r="L275" s="2746"/>
      <c r="M275" s="2746"/>
      <c r="N275" s="2746"/>
      <c r="O275" s="2746"/>
      <c r="P275" s="2746"/>
      <c r="Q275" s="2746"/>
      <c r="R275" s="2746"/>
      <c r="S275" s="2746"/>
      <c r="T275" s="2746"/>
      <c r="U275" s="2746"/>
      <c r="V275" s="2746"/>
      <c r="W275" s="2746"/>
      <c r="X275" s="2746"/>
      <c r="Y275" s="2746"/>
      <c r="Z275" s="2746"/>
      <c r="AA275" s="2746"/>
      <c r="AB275" s="2746"/>
      <c r="AC275" s="2746"/>
      <c r="AD275" s="2746"/>
      <c r="AE275" s="2746"/>
      <c r="AF275" s="2746"/>
      <c r="AG275" s="2746"/>
      <c r="AH275" s="2746"/>
      <c r="AI275" s="2746"/>
      <c r="AJ275" s="2746"/>
      <c r="AK275" s="2746"/>
      <c r="AL275" s="2746"/>
      <c r="AM275" s="2746"/>
      <c r="AN275" s="2746"/>
      <c r="AO275" s="2746"/>
      <c r="AP275" s="2746"/>
      <c r="AQ275" s="2746"/>
      <c r="AR275" s="2746"/>
      <c r="AS275" s="2746"/>
      <c r="AT275" s="2746"/>
      <c r="AU275" s="2746"/>
      <c r="AV275" s="2746"/>
      <c r="AW275" s="2746"/>
      <c r="AX275" s="2746"/>
      <c r="AY275" s="2746"/>
      <c r="AZ275" s="2746"/>
      <c r="BA275" s="2746"/>
      <c r="BB275" s="2746"/>
      <c r="BC275" s="2746"/>
      <c r="BD275" s="2746"/>
      <c r="BE275" s="2746"/>
      <c r="BF275" s="2746"/>
      <c r="BG275" s="2746"/>
      <c r="BH275" s="2746"/>
      <c r="BI275" s="2746"/>
      <c r="BJ275" s="2746"/>
      <c r="BK275" s="2746"/>
      <c r="BL275" s="2746"/>
      <c r="BM275" s="2746"/>
      <c r="BN275" s="2746"/>
      <c r="BO275" s="2746"/>
      <c r="BP275" s="2746"/>
      <c r="BQ275" s="2746"/>
      <c r="BR275" s="2746"/>
      <c r="BS275" s="2746"/>
      <c r="BT275" s="2746"/>
      <c r="BU275" s="2746"/>
      <c r="BV275" s="2746"/>
      <c r="BW275" s="2746"/>
      <c r="BX275" s="2746"/>
      <c r="BY275" s="2746"/>
      <c r="BZ275" s="2746"/>
      <c r="CA275" s="2746"/>
      <c r="CB275" s="2746"/>
      <c r="CC275" s="2746"/>
      <c r="CD275" s="2746"/>
      <c r="CE275" s="2746"/>
      <c r="CF275" s="2746"/>
      <c r="CG275" s="2746"/>
      <c r="CH275" s="2746"/>
      <c r="CI275" s="2746"/>
      <c r="CJ275" s="2746"/>
      <c r="CK275" s="2746"/>
      <c r="CL275" s="2746"/>
      <c r="CM275" s="2746"/>
      <c r="CN275" s="2746"/>
    </row>
    <row r="276" spans="1:92" x14ac:dyDescent="0.2">
      <c r="A276" s="2746"/>
      <c r="B276" s="2746"/>
      <c r="C276" s="2746"/>
      <c r="D276" s="2746"/>
      <c r="E276" s="2746"/>
      <c r="F276" s="2746"/>
      <c r="G276" s="2746"/>
      <c r="H276" s="2746"/>
      <c r="I276" s="2746"/>
      <c r="J276" s="2746"/>
      <c r="K276" s="2746"/>
      <c r="L276" s="2746"/>
      <c r="M276" s="2746"/>
      <c r="N276" s="2746"/>
      <c r="O276" s="2746"/>
      <c r="P276" s="2746"/>
      <c r="Q276" s="2746"/>
      <c r="R276" s="2746"/>
      <c r="S276" s="2746"/>
      <c r="T276" s="2746"/>
      <c r="U276" s="2746"/>
      <c r="V276" s="2746"/>
      <c r="W276" s="2746"/>
      <c r="X276" s="2746"/>
      <c r="Y276" s="2746"/>
      <c r="Z276" s="2746"/>
      <c r="AA276" s="2746"/>
      <c r="AB276" s="2746"/>
      <c r="AC276" s="2746"/>
      <c r="AD276" s="2746"/>
      <c r="AE276" s="2746"/>
      <c r="AF276" s="2746"/>
      <c r="AG276" s="2746"/>
      <c r="AH276" s="2746"/>
      <c r="AI276" s="2746"/>
      <c r="AJ276" s="2746"/>
      <c r="AK276" s="2746"/>
      <c r="AL276" s="2746"/>
      <c r="AM276" s="2746"/>
      <c r="AN276" s="2746"/>
      <c r="AO276" s="2746"/>
      <c r="AP276" s="2746"/>
      <c r="AQ276" s="2746"/>
      <c r="AR276" s="2746"/>
      <c r="AS276" s="2746"/>
      <c r="AT276" s="2746"/>
      <c r="AU276" s="2746"/>
      <c r="AV276" s="2746"/>
      <c r="AW276" s="2746"/>
      <c r="AX276" s="2746"/>
      <c r="AY276" s="2746"/>
      <c r="AZ276" s="2746"/>
      <c r="BA276" s="2746"/>
      <c r="BB276" s="2746"/>
      <c r="BC276" s="2746"/>
      <c r="BD276" s="2746"/>
      <c r="BE276" s="2746"/>
      <c r="BF276" s="2746"/>
      <c r="BG276" s="2746"/>
      <c r="BH276" s="2746"/>
      <c r="BI276" s="2746"/>
      <c r="BJ276" s="2746"/>
      <c r="BK276" s="2746"/>
      <c r="BL276" s="2746"/>
      <c r="BM276" s="2746"/>
      <c r="BN276" s="2746"/>
      <c r="BO276" s="2746"/>
      <c r="BP276" s="2746"/>
      <c r="BQ276" s="2746"/>
      <c r="BR276" s="2746"/>
      <c r="BS276" s="2746"/>
      <c r="BT276" s="2746"/>
      <c r="BU276" s="2746"/>
      <c r="BV276" s="2746"/>
      <c r="BW276" s="2746"/>
      <c r="BX276" s="2746"/>
      <c r="BY276" s="2746"/>
      <c r="BZ276" s="2746"/>
      <c r="CA276" s="2746"/>
      <c r="CB276" s="2746"/>
      <c r="CC276" s="2746"/>
      <c r="CD276" s="2746"/>
      <c r="CE276" s="2746"/>
      <c r="CF276" s="2746"/>
      <c r="CG276" s="2746"/>
      <c r="CH276" s="2746"/>
      <c r="CI276" s="2746"/>
      <c r="CJ276" s="2746"/>
      <c r="CK276" s="2746"/>
      <c r="CL276" s="2746"/>
      <c r="CM276" s="2746"/>
      <c r="CN276" s="2746"/>
    </row>
    <row r="277" spans="1:92" x14ac:dyDescent="0.2">
      <c r="A277" s="2746"/>
      <c r="B277" s="2746"/>
      <c r="C277" s="2746"/>
      <c r="D277" s="2746"/>
      <c r="E277" s="2746"/>
      <c r="F277" s="2746"/>
      <c r="G277" s="2746"/>
      <c r="H277" s="2746"/>
      <c r="I277" s="2746"/>
      <c r="J277" s="2746"/>
      <c r="K277" s="2746"/>
      <c r="L277" s="2746"/>
      <c r="M277" s="2746"/>
      <c r="N277" s="2746"/>
      <c r="O277" s="2746"/>
      <c r="P277" s="2746"/>
      <c r="Q277" s="2746"/>
      <c r="R277" s="2746"/>
      <c r="S277" s="2746"/>
      <c r="T277" s="2746"/>
      <c r="U277" s="2746"/>
      <c r="V277" s="2746"/>
      <c r="W277" s="2746"/>
      <c r="X277" s="2746"/>
      <c r="Y277" s="2746"/>
      <c r="Z277" s="2746"/>
      <c r="AA277" s="2746"/>
      <c r="AB277" s="2746"/>
      <c r="AC277" s="2746"/>
      <c r="AD277" s="2746"/>
      <c r="AE277" s="2746"/>
      <c r="AF277" s="2746"/>
      <c r="AG277" s="2746"/>
      <c r="AH277" s="2746"/>
      <c r="AI277" s="2746"/>
      <c r="AJ277" s="2746"/>
      <c r="AK277" s="2746"/>
      <c r="AL277" s="2746"/>
      <c r="AM277" s="2746"/>
      <c r="AN277" s="2746"/>
      <c r="AO277" s="2746"/>
      <c r="AP277" s="2746"/>
      <c r="AQ277" s="2746"/>
      <c r="AR277" s="2746"/>
      <c r="AS277" s="2746"/>
      <c r="AT277" s="2746"/>
      <c r="AU277" s="2746"/>
      <c r="AV277" s="2746"/>
      <c r="AW277" s="2746"/>
      <c r="AX277" s="2746"/>
      <c r="AY277" s="2746"/>
      <c r="AZ277" s="2746"/>
      <c r="BA277" s="2746"/>
      <c r="BB277" s="2746"/>
      <c r="BC277" s="2746"/>
      <c r="BD277" s="2746"/>
      <c r="BE277" s="2746"/>
      <c r="BF277" s="2746"/>
      <c r="BG277" s="2746"/>
      <c r="BH277" s="2746"/>
      <c r="BI277" s="2746"/>
      <c r="BJ277" s="2746"/>
      <c r="BK277" s="2746"/>
      <c r="BL277" s="2746"/>
      <c r="BM277" s="2746"/>
      <c r="BN277" s="2746"/>
      <c r="BO277" s="2746"/>
      <c r="BP277" s="2746"/>
      <c r="BQ277" s="2746"/>
      <c r="BR277" s="2746"/>
      <c r="BS277" s="2746"/>
      <c r="BT277" s="2746"/>
      <c r="BU277" s="2746"/>
      <c r="BV277" s="2746"/>
      <c r="BW277" s="2746"/>
      <c r="BX277" s="2746"/>
      <c r="BY277" s="2746"/>
      <c r="BZ277" s="2746"/>
      <c r="CA277" s="2746"/>
      <c r="CB277" s="2746"/>
      <c r="CC277" s="2746"/>
      <c r="CD277" s="2746"/>
      <c r="CE277" s="2746"/>
      <c r="CF277" s="2746"/>
      <c r="CG277" s="2746"/>
      <c r="CH277" s="2746"/>
      <c r="CI277" s="2746"/>
      <c r="CJ277" s="2746"/>
      <c r="CK277" s="2746"/>
      <c r="CL277" s="2746"/>
      <c r="CM277" s="2746"/>
      <c r="CN277" s="2746"/>
    </row>
    <row r="278" spans="1:92" x14ac:dyDescent="0.2">
      <c r="A278" s="2746"/>
      <c r="B278" s="2746"/>
      <c r="C278" s="2746"/>
      <c r="D278" s="2746"/>
      <c r="E278" s="2746"/>
      <c r="F278" s="2746"/>
      <c r="G278" s="2746"/>
      <c r="H278" s="2746"/>
      <c r="I278" s="2746"/>
      <c r="J278" s="2746"/>
      <c r="K278" s="2746"/>
      <c r="L278" s="2746"/>
      <c r="M278" s="2746"/>
      <c r="N278" s="2746"/>
      <c r="O278" s="2746"/>
      <c r="P278" s="2746"/>
      <c r="Q278" s="2746"/>
      <c r="R278" s="2746"/>
      <c r="S278" s="2746"/>
      <c r="T278" s="2746"/>
      <c r="U278" s="2746"/>
      <c r="V278" s="2746"/>
      <c r="W278" s="2746"/>
      <c r="X278" s="2746"/>
      <c r="Y278" s="2746"/>
      <c r="Z278" s="2746"/>
      <c r="AA278" s="2746"/>
      <c r="AB278" s="2746"/>
      <c r="AC278" s="2746"/>
      <c r="AD278" s="2746"/>
      <c r="AE278" s="2746"/>
      <c r="AF278" s="2746"/>
      <c r="AG278" s="2746"/>
      <c r="AH278" s="2746"/>
      <c r="AI278" s="2746"/>
      <c r="AJ278" s="2746"/>
      <c r="AK278" s="2746"/>
      <c r="AL278" s="2746"/>
      <c r="AM278" s="2746"/>
      <c r="AN278" s="2746"/>
      <c r="AO278" s="2746"/>
      <c r="AP278" s="2746"/>
      <c r="AQ278" s="2746"/>
      <c r="AR278" s="2746"/>
      <c r="AS278" s="2746"/>
      <c r="AT278" s="2746"/>
      <c r="AU278" s="2746"/>
      <c r="AV278" s="2746"/>
      <c r="AW278" s="2746"/>
      <c r="AX278" s="2746"/>
      <c r="AY278" s="2746"/>
      <c r="AZ278" s="2746"/>
      <c r="BA278" s="2746"/>
      <c r="BB278" s="2746"/>
      <c r="BC278" s="2746"/>
      <c r="BD278" s="2746"/>
      <c r="BE278" s="2746"/>
      <c r="BF278" s="2746"/>
      <c r="BG278" s="2746"/>
      <c r="BH278" s="2746"/>
      <c r="BI278" s="2746"/>
      <c r="BJ278" s="2746"/>
      <c r="BK278" s="2746"/>
      <c r="BL278" s="2746"/>
      <c r="BM278" s="2746"/>
      <c r="BN278" s="2746"/>
      <c r="BO278" s="2746"/>
      <c r="BP278" s="2746"/>
      <c r="BQ278" s="2746"/>
      <c r="BR278" s="2746"/>
      <c r="BS278" s="2746"/>
      <c r="BT278" s="2746"/>
      <c r="BU278" s="2746"/>
      <c r="BV278" s="2746"/>
      <c r="BW278" s="2746"/>
      <c r="BX278" s="2746"/>
      <c r="BY278" s="2746"/>
      <c r="BZ278" s="2746"/>
      <c r="CA278" s="2746"/>
      <c r="CB278" s="2746"/>
      <c r="CC278" s="2746"/>
      <c r="CD278" s="2746"/>
      <c r="CE278" s="2746"/>
      <c r="CF278" s="2746"/>
      <c r="CG278" s="2746"/>
      <c r="CH278" s="2746"/>
      <c r="CI278" s="2746"/>
      <c r="CJ278" s="2746"/>
      <c r="CK278" s="2746"/>
      <c r="CL278" s="2746"/>
      <c r="CM278" s="2746"/>
      <c r="CN278" s="2746"/>
    </row>
    <row r="279" spans="1:92" x14ac:dyDescent="0.2">
      <c r="A279" s="2746"/>
      <c r="B279" s="2746"/>
      <c r="C279" s="2746"/>
      <c r="D279" s="2746"/>
      <c r="E279" s="2746"/>
      <c r="F279" s="2746"/>
      <c r="G279" s="2746"/>
      <c r="H279" s="2746"/>
      <c r="I279" s="2746"/>
      <c r="J279" s="2746"/>
      <c r="K279" s="2746"/>
      <c r="L279" s="2746"/>
      <c r="M279" s="2746"/>
      <c r="N279" s="2746"/>
      <c r="O279" s="2746"/>
      <c r="P279" s="2746"/>
      <c r="Q279" s="2746"/>
      <c r="R279" s="2746"/>
      <c r="S279" s="2746"/>
      <c r="T279" s="2746"/>
      <c r="U279" s="2746"/>
      <c r="V279" s="2746"/>
      <c r="W279" s="2746"/>
      <c r="X279" s="2746"/>
      <c r="Y279" s="2746"/>
      <c r="Z279" s="2746"/>
      <c r="AA279" s="2746"/>
      <c r="AB279" s="2746"/>
      <c r="AC279" s="2746"/>
      <c r="AD279" s="2746"/>
      <c r="AE279" s="2746"/>
      <c r="AF279" s="2746"/>
      <c r="AG279" s="2746"/>
      <c r="AH279" s="2746"/>
      <c r="AI279" s="2746"/>
      <c r="AJ279" s="2746"/>
      <c r="AK279" s="2746"/>
      <c r="AL279" s="2746"/>
      <c r="AM279" s="2746"/>
      <c r="AN279" s="2746"/>
      <c r="AO279" s="2746"/>
      <c r="AP279" s="2746"/>
      <c r="AQ279" s="2746"/>
      <c r="AR279" s="2746"/>
      <c r="AS279" s="2746"/>
      <c r="AT279" s="2746"/>
      <c r="AU279" s="2746"/>
      <c r="AV279" s="2746"/>
      <c r="AW279" s="2746"/>
      <c r="AX279" s="2746"/>
      <c r="AY279" s="2746"/>
      <c r="AZ279" s="2746"/>
      <c r="BA279" s="2746"/>
      <c r="BB279" s="2746"/>
      <c r="BC279" s="2746"/>
      <c r="BD279" s="2746"/>
      <c r="BE279" s="2746"/>
      <c r="BF279" s="2746"/>
      <c r="BG279" s="2746"/>
      <c r="BH279" s="2746"/>
      <c r="BI279" s="2746"/>
      <c r="BJ279" s="2746"/>
      <c r="BK279" s="2746"/>
      <c r="BL279" s="2746"/>
      <c r="BM279" s="2746"/>
      <c r="BN279" s="2746"/>
      <c r="BO279" s="2746"/>
      <c r="BP279" s="2746"/>
      <c r="BQ279" s="2746"/>
      <c r="BR279" s="2746"/>
      <c r="BS279" s="2746"/>
      <c r="BT279" s="2746"/>
      <c r="BU279" s="2746"/>
      <c r="BV279" s="2746"/>
      <c r="BW279" s="2746"/>
      <c r="BX279" s="2746"/>
      <c r="BY279" s="2746"/>
      <c r="BZ279" s="2746"/>
      <c r="CA279" s="2746"/>
      <c r="CB279" s="2746"/>
      <c r="CC279" s="2746"/>
      <c r="CD279" s="2746"/>
      <c r="CE279" s="2746"/>
      <c r="CF279" s="2746"/>
      <c r="CG279" s="2746"/>
      <c r="CH279" s="2746"/>
      <c r="CI279" s="2746"/>
      <c r="CJ279" s="2746"/>
      <c r="CK279" s="2746"/>
      <c r="CL279" s="2746"/>
      <c r="CM279" s="2746"/>
      <c r="CN279" s="2746"/>
    </row>
    <row r="280" spans="1:92" x14ac:dyDescent="0.2">
      <c r="A280" s="2746"/>
      <c r="B280" s="2746"/>
      <c r="C280" s="2746"/>
      <c r="D280" s="2746"/>
      <c r="E280" s="2746"/>
      <c r="F280" s="2746"/>
      <c r="G280" s="2746"/>
      <c r="H280" s="2746"/>
      <c r="I280" s="2746"/>
      <c r="J280" s="2746"/>
      <c r="K280" s="2746"/>
      <c r="L280" s="2746"/>
      <c r="M280" s="2746"/>
      <c r="N280" s="2746"/>
      <c r="O280" s="2746"/>
      <c r="P280" s="2746"/>
      <c r="Q280" s="2746"/>
      <c r="R280" s="2746"/>
      <c r="S280" s="2746"/>
      <c r="T280" s="2746"/>
      <c r="U280" s="2746"/>
      <c r="V280" s="2746"/>
      <c r="W280" s="2746"/>
      <c r="X280" s="2746"/>
      <c r="Y280" s="2746"/>
      <c r="Z280" s="2746"/>
      <c r="AA280" s="2746"/>
      <c r="AB280" s="2746"/>
      <c r="AC280" s="2746"/>
      <c r="AD280" s="2746"/>
      <c r="AE280" s="2746"/>
      <c r="AF280" s="2746"/>
      <c r="AG280" s="2746"/>
      <c r="AH280" s="2746"/>
      <c r="AI280" s="2746"/>
      <c r="AJ280" s="2746"/>
      <c r="AK280" s="2746"/>
      <c r="AL280" s="2746"/>
      <c r="AM280" s="2746"/>
      <c r="AN280" s="2746"/>
      <c r="AO280" s="2746"/>
      <c r="AP280" s="2746"/>
      <c r="AQ280" s="2746"/>
      <c r="AR280" s="2746"/>
      <c r="AS280" s="2746"/>
      <c r="AT280" s="2746"/>
      <c r="AU280" s="2746"/>
      <c r="AV280" s="2746"/>
      <c r="AW280" s="2746"/>
      <c r="AX280" s="2746"/>
      <c r="AY280" s="2746"/>
      <c r="AZ280" s="2746"/>
      <c r="BA280" s="2746"/>
      <c r="BB280" s="2746"/>
      <c r="BC280" s="2746"/>
      <c r="BD280" s="2746"/>
      <c r="BE280" s="2746"/>
      <c r="BF280" s="2746"/>
      <c r="BG280" s="2746"/>
      <c r="BH280" s="2746"/>
      <c r="BI280" s="2746"/>
      <c r="BJ280" s="2746"/>
      <c r="BK280" s="2746"/>
      <c r="BL280" s="2746"/>
      <c r="BM280" s="2746"/>
      <c r="BN280" s="2746"/>
      <c r="BO280" s="2746"/>
      <c r="BP280" s="2746"/>
      <c r="BQ280" s="2746"/>
      <c r="BR280" s="2746"/>
      <c r="BS280" s="2746"/>
      <c r="BT280" s="2746"/>
      <c r="BU280" s="2746"/>
      <c r="BV280" s="2746"/>
      <c r="BW280" s="2746"/>
      <c r="BX280" s="2746"/>
      <c r="BY280" s="2746"/>
      <c r="BZ280" s="2746"/>
      <c r="CA280" s="2746"/>
      <c r="CB280" s="2746"/>
      <c r="CC280" s="2746"/>
      <c r="CD280" s="2746"/>
      <c r="CE280" s="2746"/>
      <c r="CF280" s="2746"/>
      <c r="CG280" s="2746"/>
      <c r="CH280" s="2746"/>
      <c r="CI280" s="2746"/>
      <c r="CJ280" s="2746"/>
      <c r="CK280" s="2746"/>
      <c r="CL280" s="2746"/>
      <c r="CM280" s="2746"/>
      <c r="CN280" s="2746"/>
    </row>
    <row r="281" spans="1:92" x14ac:dyDescent="0.2">
      <c r="A281" s="2746"/>
      <c r="B281" s="2746"/>
      <c r="C281" s="2746"/>
      <c r="D281" s="2746"/>
      <c r="E281" s="2746"/>
      <c r="F281" s="2746"/>
      <c r="G281" s="2746"/>
      <c r="H281" s="2746"/>
      <c r="I281" s="2746"/>
      <c r="J281" s="2746"/>
      <c r="K281" s="2746"/>
      <c r="L281" s="2746"/>
      <c r="M281" s="2746"/>
      <c r="N281" s="2746"/>
      <c r="O281" s="2746"/>
      <c r="P281" s="2746"/>
      <c r="Q281" s="2746"/>
      <c r="R281" s="2746"/>
      <c r="S281" s="2746"/>
      <c r="T281" s="2746"/>
      <c r="U281" s="2746"/>
      <c r="V281" s="2746"/>
      <c r="W281" s="2746"/>
      <c r="X281" s="2746"/>
      <c r="Y281" s="2746"/>
      <c r="Z281" s="2746"/>
      <c r="AA281" s="2746"/>
      <c r="AB281" s="2746"/>
      <c r="AC281" s="2746"/>
      <c r="AD281" s="2746"/>
      <c r="AE281" s="2746"/>
      <c r="AF281" s="2746"/>
      <c r="AG281" s="2746"/>
      <c r="AH281" s="2746"/>
      <c r="AI281" s="2746"/>
      <c r="AJ281" s="2746"/>
      <c r="AK281" s="2746"/>
      <c r="AL281" s="2746"/>
      <c r="AM281" s="2746"/>
      <c r="AN281" s="2746"/>
      <c r="AO281" s="2746"/>
      <c r="AP281" s="2746"/>
      <c r="AQ281" s="2746"/>
      <c r="AR281" s="2746"/>
      <c r="AS281" s="2746"/>
      <c r="AT281" s="2746"/>
      <c r="AU281" s="2746"/>
      <c r="AV281" s="2746"/>
      <c r="AW281" s="2746"/>
      <c r="AX281" s="2746"/>
      <c r="AY281" s="2746"/>
      <c r="AZ281" s="2746"/>
      <c r="BA281" s="2746"/>
      <c r="BB281" s="2746"/>
      <c r="BC281" s="2746"/>
      <c r="BD281" s="2746"/>
      <c r="BE281" s="2746"/>
      <c r="BF281" s="2746"/>
      <c r="BG281" s="2746"/>
      <c r="BH281" s="2746"/>
      <c r="BI281" s="2746"/>
      <c r="BJ281" s="2746"/>
      <c r="BK281" s="2746"/>
      <c r="BL281" s="2746"/>
      <c r="BM281" s="2746"/>
      <c r="BN281" s="2746"/>
      <c r="BO281" s="2746"/>
      <c r="BP281" s="2746"/>
      <c r="BQ281" s="2746"/>
      <c r="BR281" s="2746"/>
      <c r="BS281" s="2746"/>
      <c r="BT281" s="2746"/>
      <c r="BU281" s="2746"/>
      <c r="BV281" s="2746"/>
      <c r="BW281" s="2746"/>
      <c r="BX281" s="2746"/>
      <c r="BY281" s="2746"/>
      <c r="BZ281" s="2746"/>
      <c r="CA281" s="2746"/>
      <c r="CB281" s="2746"/>
      <c r="CC281" s="2746"/>
      <c r="CD281" s="2746"/>
      <c r="CE281" s="2746"/>
      <c r="CF281" s="2746"/>
      <c r="CG281" s="2746"/>
      <c r="CH281" s="2746"/>
      <c r="CI281" s="2746"/>
      <c r="CJ281" s="2746"/>
      <c r="CK281" s="2746"/>
      <c r="CL281" s="2746"/>
      <c r="CM281" s="2746"/>
      <c r="CN281" s="2746"/>
    </row>
    <row r="282" spans="1:92" x14ac:dyDescent="0.2">
      <c r="A282" s="2746"/>
      <c r="B282" s="2746"/>
      <c r="C282" s="2746"/>
      <c r="D282" s="2746"/>
      <c r="E282" s="2746"/>
      <c r="F282" s="2746"/>
      <c r="G282" s="2746"/>
      <c r="H282" s="2746"/>
      <c r="I282" s="2746"/>
      <c r="J282" s="2746"/>
      <c r="K282" s="2746"/>
      <c r="L282" s="2746"/>
      <c r="M282" s="2746"/>
      <c r="N282" s="2746"/>
      <c r="O282" s="2746"/>
      <c r="P282" s="2746"/>
      <c r="Q282" s="2746"/>
      <c r="R282" s="2746"/>
      <c r="S282" s="2746"/>
      <c r="T282" s="2746"/>
      <c r="U282" s="2746"/>
      <c r="V282" s="2746"/>
      <c r="W282" s="2746"/>
      <c r="X282" s="2746"/>
      <c r="Y282" s="2746"/>
      <c r="Z282" s="2746"/>
      <c r="AA282" s="2746"/>
      <c r="AB282" s="2746"/>
      <c r="AC282" s="2746"/>
      <c r="AD282" s="2746"/>
      <c r="AE282" s="2746"/>
      <c r="AF282" s="2746"/>
      <c r="AG282" s="2746"/>
      <c r="AH282" s="2746"/>
      <c r="AI282" s="2746"/>
      <c r="AJ282" s="2746"/>
      <c r="AK282" s="2746"/>
      <c r="AL282" s="2746"/>
      <c r="AM282" s="2746"/>
      <c r="AN282" s="2746"/>
      <c r="AO282" s="2746"/>
      <c r="AP282" s="2746"/>
      <c r="AQ282" s="2746"/>
      <c r="AR282" s="2746"/>
      <c r="AS282" s="2746"/>
      <c r="AT282" s="2746"/>
      <c r="AU282" s="2746"/>
      <c r="AV282" s="2746"/>
      <c r="AW282" s="2746"/>
      <c r="AX282" s="2746"/>
      <c r="AY282" s="2746"/>
      <c r="AZ282" s="2746"/>
      <c r="BA282" s="2746"/>
      <c r="BB282" s="2746"/>
      <c r="BC282" s="2746"/>
      <c r="BD282" s="2746"/>
      <c r="BE282" s="2746"/>
      <c r="BF282" s="2746"/>
      <c r="BG282" s="2746"/>
      <c r="BH282" s="2746"/>
      <c r="BI282" s="2746"/>
      <c r="BJ282" s="2746"/>
      <c r="BK282" s="2746"/>
      <c r="BL282" s="2746"/>
      <c r="BM282" s="2746"/>
      <c r="BN282" s="2746"/>
      <c r="BO282" s="2746"/>
      <c r="BP282" s="2746"/>
      <c r="BQ282" s="2746"/>
      <c r="BR282" s="2746"/>
      <c r="BS282" s="2746"/>
      <c r="BT282" s="2746"/>
      <c r="BU282" s="2746"/>
      <c r="BV282" s="2746"/>
      <c r="BW282" s="2746"/>
      <c r="BX282" s="2746"/>
      <c r="BY282" s="2746"/>
      <c r="BZ282" s="2746"/>
      <c r="CA282" s="2746"/>
      <c r="CB282" s="2746"/>
      <c r="CC282" s="2746"/>
      <c r="CD282" s="2746"/>
      <c r="CE282" s="2746"/>
      <c r="CF282" s="2746"/>
      <c r="CG282" s="2746"/>
      <c r="CH282" s="2746"/>
      <c r="CI282" s="2746"/>
      <c r="CJ282" s="2746"/>
      <c r="CK282" s="2746"/>
      <c r="CL282" s="2746"/>
      <c r="CM282" s="2746"/>
      <c r="CN282" s="2746"/>
    </row>
    <row r="283" spans="1:92" x14ac:dyDescent="0.2">
      <c r="A283" s="2746"/>
      <c r="B283" s="2746"/>
      <c r="C283" s="2746"/>
      <c r="D283" s="2746"/>
      <c r="E283" s="2746"/>
      <c r="F283" s="2746"/>
      <c r="G283" s="2746"/>
      <c r="H283" s="2746"/>
      <c r="I283" s="2746"/>
      <c r="J283" s="2746"/>
      <c r="K283" s="2746"/>
      <c r="L283" s="2746"/>
      <c r="M283" s="2746"/>
      <c r="N283" s="2746"/>
      <c r="O283" s="2746"/>
      <c r="P283" s="2746"/>
      <c r="Q283" s="2746"/>
      <c r="R283" s="2746"/>
      <c r="S283" s="2746"/>
      <c r="T283" s="2746"/>
      <c r="U283" s="2746"/>
      <c r="V283" s="2746"/>
      <c r="W283" s="2746"/>
      <c r="X283" s="2746"/>
      <c r="Y283" s="2746"/>
      <c r="Z283" s="2746"/>
      <c r="AA283" s="2746"/>
      <c r="AB283" s="2746"/>
      <c r="AC283" s="2746"/>
      <c r="AD283" s="2746"/>
      <c r="AE283" s="2746"/>
      <c r="AF283" s="2746"/>
      <c r="AG283" s="2746"/>
      <c r="AH283" s="2746"/>
      <c r="AI283" s="2746"/>
      <c r="AJ283" s="2746"/>
      <c r="AK283" s="2746"/>
      <c r="AL283" s="2746"/>
      <c r="AM283" s="2746"/>
      <c r="AN283" s="2746"/>
      <c r="AO283" s="2746"/>
      <c r="AP283" s="2746"/>
      <c r="AQ283" s="2746"/>
      <c r="AR283" s="2746"/>
      <c r="AS283" s="2746"/>
      <c r="AT283" s="2746"/>
      <c r="AU283" s="2746"/>
      <c r="AV283" s="2746"/>
      <c r="AW283" s="2746"/>
      <c r="AX283" s="2746"/>
      <c r="AY283" s="2746"/>
      <c r="AZ283" s="2746"/>
      <c r="BA283" s="2746"/>
      <c r="BB283" s="2746"/>
      <c r="BC283" s="2746"/>
      <c r="BD283" s="2746"/>
      <c r="BE283" s="2746"/>
      <c r="BF283" s="2746"/>
      <c r="BG283" s="2746"/>
      <c r="BH283" s="2746"/>
      <c r="BI283" s="2746"/>
      <c r="BJ283" s="2746"/>
      <c r="BK283" s="2746"/>
      <c r="BL283" s="2746"/>
      <c r="BM283" s="2746"/>
      <c r="BN283" s="2746"/>
      <c r="BO283" s="2746"/>
      <c r="BP283" s="2746"/>
      <c r="BQ283" s="2746"/>
      <c r="BR283" s="2746"/>
      <c r="BS283" s="2746"/>
      <c r="BT283" s="2746"/>
      <c r="BU283" s="2746"/>
      <c r="BV283" s="2746"/>
      <c r="BW283" s="2746"/>
      <c r="BX283" s="2746"/>
      <c r="BY283" s="2746"/>
      <c r="BZ283" s="2746"/>
      <c r="CA283" s="2746"/>
      <c r="CB283" s="2746"/>
      <c r="CC283" s="2746"/>
      <c r="CD283" s="2746"/>
      <c r="CE283" s="2746"/>
      <c r="CF283" s="2746"/>
      <c r="CG283" s="2746"/>
      <c r="CH283" s="2746"/>
      <c r="CI283" s="2746"/>
      <c r="CJ283" s="2746"/>
      <c r="CK283" s="2746"/>
      <c r="CL283" s="2746"/>
      <c r="CM283" s="2746"/>
      <c r="CN283" s="2746"/>
    </row>
    <row r="284" spans="1:92" x14ac:dyDescent="0.2">
      <c r="A284" s="2746"/>
      <c r="B284" s="2746"/>
      <c r="C284" s="2746"/>
      <c r="D284" s="2746"/>
      <c r="E284" s="2746"/>
      <c r="F284" s="2746"/>
      <c r="G284" s="2746"/>
      <c r="H284" s="2746"/>
      <c r="I284" s="2746"/>
      <c r="J284" s="2746"/>
      <c r="K284" s="2746"/>
      <c r="L284" s="2746"/>
      <c r="M284" s="2746"/>
      <c r="N284" s="2746"/>
      <c r="O284" s="2746"/>
      <c r="P284" s="2746"/>
      <c r="Q284" s="2746"/>
      <c r="R284" s="2746"/>
      <c r="S284" s="2746"/>
      <c r="T284" s="2746"/>
      <c r="U284" s="2746"/>
      <c r="V284" s="2746"/>
      <c r="W284" s="2746"/>
      <c r="X284" s="2746"/>
      <c r="Y284" s="2746"/>
      <c r="Z284" s="2746"/>
      <c r="AA284" s="2746"/>
      <c r="AB284" s="2746"/>
      <c r="AC284" s="2746"/>
      <c r="AD284" s="2746"/>
      <c r="AE284" s="2746"/>
      <c r="AF284" s="2746"/>
      <c r="AG284" s="2746"/>
      <c r="AH284" s="2746"/>
      <c r="AI284" s="2746"/>
      <c r="AJ284" s="2746"/>
      <c r="AK284" s="2746"/>
      <c r="AL284" s="2746"/>
      <c r="AM284" s="2746"/>
      <c r="AN284" s="2746"/>
      <c r="AO284" s="2746"/>
      <c r="AP284" s="2746"/>
      <c r="AQ284" s="2746"/>
      <c r="AR284" s="2746"/>
      <c r="AS284" s="2746"/>
      <c r="AT284" s="2746"/>
      <c r="AU284" s="2746"/>
      <c r="AV284" s="2746"/>
      <c r="AW284" s="2746"/>
      <c r="AX284" s="2746"/>
      <c r="AY284" s="2746"/>
      <c r="AZ284" s="2746"/>
      <c r="BA284" s="2746"/>
      <c r="BB284" s="2746"/>
      <c r="BC284" s="2746"/>
      <c r="BD284" s="2746"/>
      <c r="BE284" s="2746"/>
      <c r="BF284" s="2746"/>
      <c r="BG284" s="2746"/>
      <c r="BH284" s="2746"/>
      <c r="BI284" s="2746"/>
      <c r="BJ284" s="2746"/>
      <c r="BK284" s="2746"/>
      <c r="BL284" s="2746"/>
      <c r="BM284" s="2746"/>
      <c r="BN284" s="2746"/>
      <c r="BO284" s="2746"/>
      <c r="BP284" s="2746"/>
      <c r="BQ284" s="2746"/>
      <c r="BR284" s="2746"/>
      <c r="BS284" s="2746"/>
      <c r="BT284" s="2746"/>
      <c r="BU284" s="2746"/>
      <c r="BV284" s="2746"/>
      <c r="BW284" s="2746"/>
      <c r="BX284" s="2746"/>
      <c r="BY284" s="2746"/>
      <c r="BZ284" s="2746"/>
      <c r="CA284" s="2746"/>
      <c r="CB284" s="2746"/>
      <c r="CC284" s="2746"/>
      <c r="CD284" s="2746"/>
      <c r="CE284" s="2746"/>
      <c r="CF284" s="2746"/>
      <c r="CG284" s="2746"/>
      <c r="CH284" s="2746"/>
      <c r="CI284" s="2746"/>
      <c r="CJ284" s="2746"/>
      <c r="CK284" s="2746"/>
      <c r="CL284" s="2746"/>
      <c r="CM284" s="2746"/>
      <c r="CN284" s="2746"/>
    </row>
    <row r="285" spans="1:92" x14ac:dyDescent="0.2">
      <c r="A285" s="2746"/>
      <c r="B285" s="2746"/>
      <c r="C285" s="2746"/>
      <c r="D285" s="2746"/>
      <c r="E285" s="2746"/>
      <c r="F285" s="2746"/>
      <c r="G285" s="2746"/>
      <c r="H285" s="2746"/>
      <c r="I285" s="2746"/>
      <c r="J285" s="2746"/>
      <c r="K285" s="2746"/>
      <c r="L285" s="2746"/>
      <c r="M285" s="2746"/>
      <c r="N285" s="2746"/>
      <c r="O285" s="2746"/>
      <c r="P285" s="2746"/>
      <c r="Q285" s="2746"/>
      <c r="R285" s="2746"/>
      <c r="S285" s="2746"/>
      <c r="T285" s="2746"/>
      <c r="U285" s="2746"/>
      <c r="V285" s="2746"/>
      <c r="W285" s="2746"/>
      <c r="X285" s="2746"/>
      <c r="Y285" s="2746"/>
      <c r="Z285" s="2746"/>
      <c r="AA285" s="2746"/>
      <c r="AB285" s="2746"/>
      <c r="AC285" s="2746"/>
      <c r="AD285" s="2746"/>
      <c r="AE285" s="2746"/>
      <c r="AF285" s="2746"/>
      <c r="AG285" s="2746"/>
      <c r="AH285" s="2746"/>
      <c r="AI285" s="2746"/>
      <c r="AJ285" s="2746"/>
      <c r="AK285" s="2746"/>
      <c r="AL285" s="2746"/>
      <c r="AM285" s="2746"/>
      <c r="AN285" s="2746"/>
      <c r="AO285" s="2746"/>
      <c r="AP285" s="2746"/>
      <c r="AQ285" s="2746"/>
      <c r="AR285" s="2746"/>
      <c r="AS285" s="2746"/>
      <c r="AT285" s="2746"/>
      <c r="AU285" s="2746"/>
      <c r="AV285" s="2746"/>
      <c r="AW285" s="2746"/>
      <c r="AX285" s="2746"/>
      <c r="AY285" s="2746"/>
      <c r="AZ285" s="2746"/>
      <c r="BA285" s="2746"/>
      <c r="BB285" s="2746"/>
      <c r="BC285" s="2746"/>
      <c r="BD285" s="2746"/>
      <c r="BE285" s="2746"/>
      <c r="BF285" s="2746"/>
      <c r="BG285" s="2746"/>
      <c r="BH285" s="2746"/>
      <c r="BI285" s="2746"/>
      <c r="BJ285" s="2746"/>
      <c r="BK285" s="2746"/>
      <c r="BL285" s="2746"/>
      <c r="BM285" s="2746"/>
      <c r="BN285" s="2746"/>
      <c r="BO285" s="2746"/>
      <c r="BP285" s="2746"/>
      <c r="BQ285" s="2746"/>
      <c r="BR285" s="2746"/>
      <c r="BS285" s="2746"/>
      <c r="BT285" s="2746"/>
      <c r="BU285" s="2746"/>
      <c r="BV285" s="2746"/>
      <c r="BW285" s="2746"/>
      <c r="BX285" s="2746"/>
      <c r="BY285" s="2746"/>
      <c r="BZ285" s="2746"/>
      <c r="CA285" s="2746"/>
      <c r="CB285" s="2746"/>
      <c r="CC285" s="2746"/>
      <c r="CD285" s="2746"/>
      <c r="CE285" s="2746"/>
      <c r="CF285" s="2746"/>
      <c r="CG285" s="2746"/>
      <c r="CH285" s="2746"/>
      <c r="CI285" s="2746"/>
      <c r="CJ285" s="2746"/>
      <c r="CK285" s="2746"/>
      <c r="CL285" s="2746"/>
      <c r="CM285" s="2746"/>
      <c r="CN285" s="2746"/>
    </row>
    <row r="286" spans="1:92" x14ac:dyDescent="0.2">
      <c r="A286" s="2746"/>
      <c r="B286" s="2746"/>
      <c r="C286" s="2746"/>
      <c r="D286" s="2746"/>
      <c r="E286" s="2746"/>
      <c r="F286" s="2746"/>
      <c r="G286" s="2746"/>
      <c r="H286" s="2746"/>
      <c r="I286" s="2746"/>
      <c r="J286" s="2746"/>
      <c r="K286" s="2746"/>
      <c r="L286" s="2746"/>
      <c r="M286" s="2746"/>
      <c r="N286" s="2746"/>
      <c r="O286" s="2746"/>
      <c r="P286" s="2746"/>
      <c r="Q286" s="2746"/>
      <c r="R286" s="2746"/>
      <c r="S286" s="2746"/>
      <c r="T286" s="2746"/>
      <c r="U286" s="2746"/>
      <c r="V286" s="2746"/>
      <c r="W286" s="2746"/>
      <c r="X286" s="2746"/>
      <c r="Y286" s="2746"/>
      <c r="Z286" s="2746"/>
      <c r="AA286" s="2746"/>
      <c r="AB286" s="2746"/>
      <c r="AC286" s="2746"/>
      <c r="AD286" s="2746"/>
      <c r="AE286" s="2746"/>
      <c r="AF286" s="2746"/>
      <c r="AG286" s="2746"/>
      <c r="AH286" s="2746"/>
      <c r="AI286" s="2746"/>
      <c r="AJ286" s="2746"/>
      <c r="AK286" s="2746"/>
      <c r="AL286" s="2746"/>
      <c r="AM286" s="2746"/>
      <c r="AN286" s="2746"/>
      <c r="AO286" s="2746"/>
      <c r="AP286" s="2746"/>
      <c r="AQ286" s="2746"/>
      <c r="AR286" s="2746"/>
      <c r="AS286" s="2746"/>
      <c r="AT286" s="2746"/>
      <c r="AU286" s="2746"/>
      <c r="AV286" s="2746"/>
      <c r="AW286" s="2746"/>
      <c r="AX286" s="2746"/>
      <c r="AY286" s="2746"/>
      <c r="AZ286" s="2746"/>
      <c r="BA286" s="2746"/>
      <c r="BB286" s="2746"/>
      <c r="BC286" s="2746"/>
      <c r="BD286" s="2746"/>
      <c r="BE286" s="2746"/>
      <c r="BF286" s="2746"/>
      <c r="BG286" s="2746"/>
      <c r="BH286" s="2746"/>
      <c r="BI286" s="2746"/>
      <c r="BJ286" s="2746"/>
      <c r="BK286" s="2746"/>
      <c r="BL286" s="2746"/>
      <c r="BM286" s="2746"/>
      <c r="BN286" s="2746"/>
      <c r="BO286" s="2746"/>
      <c r="BP286" s="2746"/>
      <c r="BQ286" s="2746"/>
      <c r="BR286" s="2746"/>
      <c r="BS286" s="2746"/>
      <c r="BT286" s="2746"/>
      <c r="BU286" s="2746"/>
      <c r="BV286" s="2746"/>
      <c r="BW286" s="2746"/>
      <c r="BX286" s="2746"/>
      <c r="BY286" s="2746"/>
      <c r="BZ286" s="2746"/>
      <c r="CA286" s="2746"/>
      <c r="CB286" s="2746"/>
      <c r="CC286" s="2746"/>
      <c r="CD286" s="2746"/>
      <c r="CE286" s="2746"/>
      <c r="CF286" s="2746"/>
      <c r="CG286" s="2746"/>
      <c r="CH286" s="2746"/>
      <c r="CI286" s="2746"/>
      <c r="CJ286" s="2746"/>
      <c r="CK286" s="2746"/>
      <c r="CL286" s="2746"/>
      <c r="CM286" s="2746"/>
      <c r="CN286" s="2746"/>
    </row>
    <row r="287" spans="1:92" x14ac:dyDescent="0.2">
      <c r="A287" s="2746"/>
      <c r="B287" s="2746"/>
      <c r="C287" s="2746"/>
      <c r="D287" s="2746"/>
      <c r="E287" s="2746"/>
      <c r="F287" s="2746"/>
      <c r="G287" s="2746"/>
      <c r="H287" s="2746"/>
      <c r="I287" s="2746"/>
      <c r="J287" s="2746"/>
      <c r="K287" s="2746"/>
      <c r="L287" s="2746"/>
      <c r="M287" s="2746"/>
      <c r="N287" s="2746"/>
      <c r="O287" s="2746"/>
      <c r="P287" s="2746"/>
      <c r="Q287" s="2746"/>
      <c r="R287" s="2746"/>
      <c r="S287" s="2746"/>
      <c r="T287" s="2746"/>
      <c r="U287" s="2746"/>
      <c r="V287" s="2746"/>
      <c r="W287" s="2746"/>
      <c r="X287" s="2746"/>
      <c r="Y287" s="2746"/>
      <c r="Z287" s="2746"/>
      <c r="AA287" s="2746"/>
      <c r="AB287" s="2746"/>
      <c r="AC287" s="2746"/>
      <c r="AD287" s="2746"/>
      <c r="AE287" s="2746"/>
      <c r="AF287" s="2746"/>
      <c r="AG287" s="2746"/>
      <c r="AH287" s="2746"/>
      <c r="AI287" s="2746"/>
      <c r="AJ287" s="2746"/>
      <c r="AK287" s="2746"/>
      <c r="AL287" s="2746"/>
      <c r="AM287" s="2746"/>
      <c r="AN287" s="2746"/>
      <c r="AO287" s="2746"/>
      <c r="AP287" s="2746"/>
      <c r="AQ287" s="2746"/>
      <c r="AR287" s="2746"/>
      <c r="AS287" s="2746"/>
      <c r="AT287" s="2746"/>
      <c r="AU287" s="2746"/>
      <c r="AV287" s="2746"/>
      <c r="AW287" s="2746"/>
      <c r="AX287" s="2746"/>
      <c r="AY287" s="2746"/>
      <c r="AZ287" s="2746"/>
      <c r="BA287" s="2746"/>
      <c r="BB287" s="2746"/>
      <c r="BC287" s="2746"/>
      <c r="BD287" s="2746"/>
      <c r="BE287" s="2746"/>
      <c r="BF287" s="2746"/>
      <c r="BG287" s="2746"/>
      <c r="BH287" s="2746"/>
      <c r="BI287" s="2746"/>
      <c r="BJ287" s="2746"/>
      <c r="BK287" s="2746"/>
      <c r="BL287" s="2746"/>
      <c r="BM287" s="2746"/>
      <c r="BN287" s="2746"/>
      <c r="BO287" s="2746"/>
      <c r="BP287" s="2746"/>
      <c r="BQ287" s="2746"/>
      <c r="BR287" s="2746"/>
      <c r="BS287" s="2746"/>
      <c r="BT287" s="2746"/>
      <c r="BU287" s="2746"/>
      <c r="BV287" s="2746"/>
      <c r="BW287" s="2746"/>
      <c r="BX287" s="2746"/>
      <c r="BY287" s="2746"/>
      <c r="BZ287" s="2746"/>
      <c r="CA287" s="2746"/>
      <c r="CB287" s="2746"/>
      <c r="CC287" s="2746"/>
      <c r="CD287" s="2746"/>
      <c r="CE287" s="2746"/>
      <c r="CF287" s="2746"/>
      <c r="CG287" s="2746"/>
      <c r="CH287" s="2746"/>
      <c r="CI287" s="2746"/>
      <c r="CJ287" s="2746"/>
      <c r="CK287" s="2746"/>
      <c r="CL287" s="2746"/>
      <c r="CM287" s="2746"/>
      <c r="CN287" s="2746"/>
    </row>
    <row r="288" spans="1:92" x14ac:dyDescent="0.2">
      <c r="A288" s="2746"/>
      <c r="B288" s="2746"/>
      <c r="C288" s="2746"/>
      <c r="D288" s="2746"/>
      <c r="E288" s="2746"/>
      <c r="F288" s="2746"/>
      <c r="G288" s="2746"/>
      <c r="H288" s="2746"/>
      <c r="I288" s="2746"/>
      <c r="J288" s="2746"/>
      <c r="K288" s="2746"/>
      <c r="L288" s="2746"/>
      <c r="M288" s="2746"/>
      <c r="N288" s="2746"/>
      <c r="O288" s="2746"/>
      <c r="P288" s="2746"/>
      <c r="Q288" s="2746"/>
      <c r="R288" s="2746"/>
      <c r="S288" s="2746"/>
      <c r="T288" s="2746"/>
      <c r="U288" s="2746"/>
      <c r="V288" s="2746"/>
      <c r="W288" s="2746"/>
      <c r="X288" s="2746"/>
      <c r="Y288" s="2746"/>
      <c r="Z288" s="2746"/>
      <c r="AA288" s="2746"/>
      <c r="AB288" s="2746"/>
      <c r="AC288" s="2746"/>
      <c r="AD288" s="2746"/>
      <c r="AE288" s="2746"/>
      <c r="AF288" s="2746"/>
      <c r="AG288" s="2746"/>
      <c r="AH288" s="2746"/>
      <c r="AI288" s="2746"/>
      <c r="AJ288" s="2746"/>
      <c r="AK288" s="2746"/>
      <c r="AL288" s="2746"/>
      <c r="AM288" s="2746"/>
      <c r="AN288" s="2746"/>
      <c r="AO288" s="2746"/>
      <c r="AP288" s="2746"/>
      <c r="AQ288" s="2746"/>
      <c r="AR288" s="2746"/>
      <c r="AS288" s="2746"/>
      <c r="AT288" s="2746"/>
      <c r="AU288" s="2746"/>
      <c r="AV288" s="2746"/>
      <c r="AW288" s="2746"/>
      <c r="AX288" s="2746"/>
      <c r="AY288" s="2746"/>
      <c r="AZ288" s="2746"/>
      <c r="BA288" s="2746"/>
      <c r="BB288" s="2746"/>
      <c r="BC288" s="2746"/>
      <c r="BD288" s="2746"/>
      <c r="BE288" s="2746"/>
      <c r="BF288" s="2746"/>
      <c r="BG288" s="2746"/>
      <c r="BH288" s="2746"/>
      <c r="BI288" s="2746"/>
      <c r="BJ288" s="2746"/>
      <c r="BK288" s="2746"/>
      <c r="BL288" s="2746"/>
      <c r="BM288" s="2746"/>
      <c r="BN288" s="2746"/>
      <c r="BO288" s="2746"/>
      <c r="BP288" s="2746"/>
      <c r="BQ288" s="2746"/>
      <c r="BR288" s="2746"/>
      <c r="BS288" s="2746"/>
      <c r="BT288" s="2746"/>
      <c r="BU288" s="2746"/>
      <c r="BV288" s="2746"/>
      <c r="BW288" s="2746"/>
      <c r="BX288" s="2746"/>
      <c r="BY288" s="2746"/>
      <c r="BZ288" s="2746"/>
      <c r="CA288" s="2746"/>
      <c r="CB288" s="2746"/>
      <c r="CC288" s="2746"/>
      <c r="CD288" s="2746"/>
      <c r="CE288" s="2746"/>
      <c r="CF288" s="2746"/>
      <c r="CG288" s="2746"/>
      <c r="CH288" s="2746"/>
      <c r="CI288" s="2746"/>
      <c r="CJ288" s="2746"/>
      <c r="CK288" s="2746"/>
      <c r="CL288" s="2746"/>
      <c r="CM288" s="2746"/>
      <c r="CN288" s="2746"/>
    </row>
    <row r="289" spans="1:92" x14ac:dyDescent="0.2">
      <c r="A289" s="2746"/>
      <c r="B289" s="2746"/>
      <c r="C289" s="2746"/>
      <c r="D289" s="2746"/>
      <c r="E289" s="2746"/>
      <c r="F289" s="2746"/>
      <c r="G289" s="2746"/>
      <c r="H289" s="2746"/>
      <c r="I289" s="2746"/>
      <c r="J289" s="2746"/>
      <c r="K289" s="2746"/>
      <c r="L289" s="2746"/>
      <c r="M289" s="2746"/>
      <c r="N289" s="2746"/>
      <c r="O289" s="2746"/>
      <c r="P289" s="2746"/>
      <c r="Q289" s="2746"/>
      <c r="R289" s="2746"/>
      <c r="S289" s="2746"/>
      <c r="T289" s="2746"/>
      <c r="U289" s="2746"/>
      <c r="V289" s="2746"/>
      <c r="W289" s="2746"/>
      <c r="X289" s="2746"/>
      <c r="Y289" s="2746"/>
      <c r="Z289" s="2746"/>
      <c r="AA289" s="2746"/>
      <c r="AB289" s="2746"/>
      <c r="AC289" s="2746"/>
      <c r="AD289" s="2746"/>
      <c r="AE289" s="2746"/>
      <c r="AF289" s="2746"/>
      <c r="AG289" s="2746"/>
      <c r="AH289" s="2746"/>
      <c r="AI289" s="2746"/>
      <c r="AJ289" s="2746"/>
      <c r="AK289" s="2746"/>
      <c r="AL289" s="2746"/>
      <c r="AM289" s="2746"/>
      <c r="AN289" s="2746"/>
      <c r="AO289" s="2746"/>
      <c r="AP289" s="2746"/>
      <c r="AQ289" s="2746"/>
      <c r="AR289" s="2746"/>
      <c r="AS289" s="2746"/>
      <c r="AT289" s="2746"/>
      <c r="AU289" s="2746"/>
      <c r="AV289" s="2746"/>
      <c r="AW289" s="2746"/>
      <c r="AX289" s="2746"/>
      <c r="AY289" s="2746"/>
      <c r="AZ289" s="2746"/>
      <c r="BA289" s="2746"/>
      <c r="BB289" s="2746"/>
      <c r="BC289" s="2746"/>
      <c r="BD289" s="2746"/>
      <c r="BE289" s="2746"/>
      <c r="BF289" s="2746"/>
      <c r="BG289" s="2746"/>
      <c r="BH289" s="2746"/>
      <c r="BI289" s="2746"/>
      <c r="BJ289" s="2746"/>
      <c r="BK289" s="2746"/>
      <c r="BL289" s="2746"/>
      <c r="BM289" s="2746"/>
      <c r="BN289" s="2746"/>
      <c r="BO289" s="2746"/>
      <c r="BP289" s="2746"/>
      <c r="BQ289" s="2746"/>
      <c r="BR289" s="2746"/>
      <c r="BS289" s="2746"/>
      <c r="BT289" s="2746"/>
      <c r="BU289" s="2746"/>
      <c r="BV289" s="2746"/>
      <c r="BW289" s="2746"/>
      <c r="BX289" s="2746"/>
      <c r="BY289" s="2746"/>
      <c r="BZ289" s="2746"/>
      <c r="CA289" s="2746"/>
      <c r="CB289" s="2746"/>
      <c r="CC289" s="2746"/>
      <c r="CD289" s="2746"/>
      <c r="CE289" s="2746"/>
      <c r="CF289" s="2746"/>
      <c r="CG289" s="2746"/>
      <c r="CH289" s="2746"/>
      <c r="CI289" s="2746"/>
      <c r="CJ289" s="2746"/>
      <c r="CK289" s="2746"/>
      <c r="CL289" s="2746"/>
      <c r="CM289" s="2746"/>
      <c r="CN289" s="2746"/>
    </row>
    <row r="290" spans="1:92" x14ac:dyDescent="0.2">
      <c r="A290" s="2746"/>
      <c r="B290" s="2746"/>
      <c r="C290" s="2746"/>
      <c r="D290" s="2746"/>
      <c r="E290" s="2746"/>
      <c r="F290" s="2746"/>
      <c r="G290" s="2746"/>
      <c r="H290" s="2746"/>
      <c r="I290" s="2746"/>
      <c r="J290" s="2746"/>
      <c r="K290" s="2746"/>
      <c r="L290" s="2746"/>
      <c r="M290" s="2746"/>
      <c r="N290" s="2746"/>
      <c r="O290" s="2746"/>
      <c r="P290" s="2746"/>
      <c r="Q290" s="2746"/>
      <c r="R290" s="2746"/>
      <c r="S290" s="2746"/>
      <c r="T290" s="2746"/>
      <c r="U290" s="2746"/>
      <c r="V290" s="2746"/>
      <c r="W290" s="2746"/>
      <c r="X290" s="2746"/>
      <c r="Y290" s="2746"/>
      <c r="Z290" s="2746"/>
      <c r="AA290" s="2746"/>
      <c r="AB290" s="2746"/>
      <c r="AC290" s="2746"/>
      <c r="AD290" s="2746"/>
      <c r="AE290" s="2746"/>
      <c r="AF290" s="2746"/>
      <c r="AG290" s="2746"/>
      <c r="AH290" s="2746"/>
      <c r="AI290" s="2746"/>
      <c r="AJ290" s="2746"/>
      <c r="AK290" s="2746"/>
      <c r="AL290" s="2746"/>
      <c r="AM290" s="2746"/>
      <c r="AN290" s="2746"/>
      <c r="AO290" s="2746"/>
      <c r="AP290" s="2746"/>
      <c r="AQ290" s="2746"/>
      <c r="AR290" s="2746"/>
      <c r="AS290" s="2746"/>
      <c r="AT290" s="2746"/>
      <c r="AU290" s="2746"/>
      <c r="AV290" s="2746"/>
      <c r="AW290" s="2746"/>
      <c r="AX290" s="2746"/>
      <c r="AY290" s="2746"/>
      <c r="AZ290" s="2746"/>
      <c r="BA290" s="2746"/>
      <c r="BB290" s="2746"/>
      <c r="BC290" s="2746"/>
      <c r="BD290" s="2746"/>
      <c r="BE290" s="2746"/>
      <c r="BF290" s="2746"/>
      <c r="BG290" s="2746"/>
      <c r="BH290" s="2746"/>
      <c r="BI290" s="2746"/>
      <c r="BJ290" s="2746"/>
      <c r="BK290" s="2746"/>
      <c r="BL290" s="2746"/>
      <c r="BM290" s="2746"/>
      <c r="BN290" s="2746"/>
      <c r="BO290" s="2746"/>
      <c r="BP290" s="2746"/>
      <c r="BQ290" s="2746"/>
      <c r="BR290" s="2746"/>
      <c r="BS290" s="2746"/>
      <c r="BT290" s="2746"/>
      <c r="BU290" s="2746"/>
      <c r="BV290" s="2746"/>
      <c r="BW290" s="2746"/>
      <c r="BX290" s="2746"/>
      <c r="BY290" s="2746"/>
      <c r="BZ290" s="2746"/>
      <c r="CA290" s="2746"/>
      <c r="CB290" s="2746"/>
      <c r="CC290" s="2746"/>
      <c r="CD290" s="2746"/>
      <c r="CE290" s="2746"/>
      <c r="CF290" s="2746"/>
      <c r="CG290" s="2746"/>
      <c r="CH290" s="2746"/>
      <c r="CI290" s="2746"/>
      <c r="CJ290" s="2746"/>
      <c r="CK290" s="2746"/>
      <c r="CL290" s="2746"/>
      <c r="CM290" s="2746"/>
      <c r="CN290" s="2746"/>
    </row>
    <row r="291" spans="1:92" x14ac:dyDescent="0.2">
      <c r="A291" s="2746"/>
      <c r="B291" s="2746"/>
      <c r="C291" s="2746"/>
      <c r="D291" s="2746"/>
      <c r="E291" s="2746"/>
      <c r="F291" s="2746"/>
      <c r="G291" s="2746"/>
      <c r="H291" s="2746"/>
      <c r="I291" s="2746"/>
      <c r="J291" s="2746"/>
      <c r="K291" s="2746"/>
      <c r="L291" s="2746"/>
      <c r="M291" s="2746"/>
      <c r="N291" s="2746"/>
      <c r="O291" s="2746"/>
      <c r="P291" s="2746"/>
      <c r="Q291" s="2746"/>
      <c r="R291" s="2746"/>
      <c r="S291" s="2746"/>
      <c r="T291" s="2746"/>
      <c r="U291" s="2746"/>
      <c r="V291" s="2746"/>
      <c r="W291" s="2746"/>
      <c r="X291" s="2746"/>
      <c r="Y291" s="2746"/>
      <c r="Z291" s="2746"/>
      <c r="AA291" s="2746"/>
      <c r="AB291" s="2746"/>
      <c r="AC291" s="2746"/>
      <c r="AD291" s="2746"/>
      <c r="AE291" s="2746"/>
      <c r="AF291" s="2746"/>
      <c r="AG291" s="2746"/>
      <c r="AH291" s="2746"/>
      <c r="AI291" s="2746"/>
      <c r="AJ291" s="2746"/>
      <c r="AK291" s="2746"/>
      <c r="AL291" s="2746"/>
      <c r="AM291" s="2746"/>
      <c r="AN291" s="2746"/>
      <c r="AO291" s="2746"/>
      <c r="AP291" s="2746"/>
      <c r="AQ291" s="2746"/>
      <c r="AR291" s="2746"/>
      <c r="AS291" s="2746"/>
      <c r="AT291" s="2746"/>
      <c r="AU291" s="2746"/>
      <c r="AV291" s="2746"/>
      <c r="AW291" s="2746"/>
      <c r="AX291" s="2746"/>
      <c r="AY291" s="2746"/>
      <c r="AZ291" s="2746"/>
      <c r="BA291" s="2746"/>
      <c r="BB291" s="2746"/>
      <c r="BC291" s="2746"/>
      <c r="BD291" s="2746"/>
      <c r="BE291" s="2746"/>
      <c r="BF291" s="2746"/>
      <c r="BG291" s="2746"/>
      <c r="BH291" s="2746"/>
      <c r="BI291" s="2746"/>
      <c r="BJ291" s="2746"/>
      <c r="BK291" s="2746"/>
      <c r="BL291" s="2746"/>
      <c r="BM291" s="2746"/>
      <c r="BN291" s="2746"/>
      <c r="BO291" s="2746"/>
      <c r="BP291" s="2746"/>
      <c r="BQ291" s="2746"/>
      <c r="BR291" s="2746"/>
      <c r="BS291" s="2746"/>
      <c r="BT291" s="2746"/>
      <c r="BU291" s="2746"/>
      <c r="BV291" s="2746"/>
      <c r="BW291" s="2746"/>
      <c r="BX291" s="2746"/>
      <c r="BY291" s="2746"/>
      <c r="BZ291" s="2746"/>
      <c r="CA291" s="2746"/>
      <c r="CB291" s="2746"/>
      <c r="CC291" s="2746"/>
      <c r="CD291" s="2746"/>
      <c r="CE291" s="2746"/>
      <c r="CF291" s="2746"/>
      <c r="CG291" s="2746"/>
      <c r="CH291" s="2746"/>
      <c r="CI291" s="2746"/>
      <c r="CJ291" s="2746"/>
      <c r="CK291" s="2746"/>
      <c r="CL291" s="2746"/>
      <c r="CM291" s="2746"/>
      <c r="CN291" s="2746"/>
    </row>
    <row r="292" spans="1:92" x14ac:dyDescent="0.2">
      <c r="A292" s="2746"/>
      <c r="B292" s="2746"/>
      <c r="C292" s="2746"/>
      <c r="D292" s="2746"/>
      <c r="E292" s="2746"/>
      <c r="F292" s="2746"/>
      <c r="G292" s="2746"/>
      <c r="H292" s="2746"/>
      <c r="I292" s="2746"/>
      <c r="J292" s="2746"/>
      <c r="K292" s="2746"/>
      <c r="L292" s="2746"/>
      <c r="M292" s="2746"/>
      <c r="N292" s="2746"/>
      <c r="O292" s="2746"/>
      <c r="P292" s="2746"/>
      <c r="Q292" s="2746"/>
      <c r="R292" s="2746"/>
      <c r="S292" s="2746"/>
      <c r="T292" s="2746"/>
      <c r="U292" s="2746"/>
      <c r="V292" s="2746"/>
      <c r="W292" s="2746"/>
      <c r="X292" s="2746"/>
      <c r="Y292" s="2746"/>
      <c r="Z292" s="2746"/>
      <c r="AA292" s="2746"/>
      <c r="AB292" s="2746"/>
      <c r="AC292" s="2746"/>
      <c r="AD292" s="2746"/>
      <c r="AE292" s="2746"/>
      <c r="AF292" s="2746"/>
      <c r="AG292" s="2746"/>
      <c r="AH292" s="2746"/>
      <c r="AI292" s="2746"/>
      <c r="AJ292" s="2746"/>
      <c r="AK292" s="2746"/>
      <c r="AL292" s="2746"/>
      <c r="AM292" s="2746"/>
      <c r="AN292" s="2746"/>
      <c r="AO292" s="2746"/>
      <c r="AP292" s="2746"/>
      <c r="AQ292" s="2746"/>
      <c r="AR292" s="2746"/>
      <c r="AS292" s="2746"/>
      <c r="AT292" s="2746"/>
      <c r="AU292" s="2746"/>
      <c r="AV292" s="2746"/>
      <c r="AW292" s="2746"/>
      <c r="AX292" s="2746"/>
      <c r="AY292" s="2746"/>
      <c r="AZ292" s="2746"/>
      <c r="BA292" s="2746"/>
      <c r="BB292" s="2746"/>
      <c r="BC292" s="2746"/>
      <c r="BD292" s="2746"/>
      <c r="BE292" s="2746"/>
      <c r="BF292" s="2746"/>
      <c r="BG292" s="2746"/>
      <c r="BH292" s="2746"/>
      <c r="BI292" s="2746"/>
      <c r="BJ292" s="2746"/>
      <c r="BK292" s="2746"/>
      <c r="BL292" s="2746"/>
      <c r="BM292" s="2746"/>
      <c r="BN292" s="2746"/>
      <c r="BO292" s="2746"/>
      <c r="BP292" s="2746"/>
      <c r="BQ292" s="2746"/>
      <c r="BR292" s="2746"/>
      <c r="BS292" s="2746"/>
      <c r="BT292" s="2746"/>
      <c r="BU292" s="2746"/>
      <c r="BV292" s="2746"/>
      <c r="BW292" s="2746"/>
      <c r="BX292" s="2746"/>
      <c r="BY292" s="2746"/>
      <c r="BZ292" s="2746"/>
      <c r="CA292" s="2746"/>
      <c r="CB292" s="2746"/>
      <c r="CC292" s="2746"/>
      <c r="CD292" s="2746"/>
      <c r="CE292" s="2746"/>
      <c r="CF292" s="2746"/>
      <c r="CG292" s="2746"/>
      <c r="CH292" s="2746"/>
      <c r="CI292" s="2746"/>
      <c r="CJ292" s="2746"/>
      <c r="CK292" s="2746"/>
      <c r="CL292" s="2746"/>
      <c r="CM292" s="2746"/>
      <c r="CN292" s="2746"/>
    </row>
    <row r="293" spans="1:92" x14ac:dyDescent="0.2">
      <c r="A293" s="2746"/>
      <c r="B293" s="2746"/>
      <c r="C293" s="2746"/>
      <c r="D293" s="2746"/>
      <c r="E293" s="2746"/>
      <c r="F293" s="2746"/>
      <c r="G293" s="2746"/>
      <c r="H293" s="2746"/>
      <c r="I293" s="2746"/>
      <c r="J293" s="2746"/>
      <c r="K293" s="2746"/>
      <c r="L293" s="2746"/>
      <c r="M293" s="2746"/>
      <c r="N293" s="2746"/>
      <c r="O293" s="2746"/>
      <c r="P293" s="2746"/>
      <c r="Q293" s="2746"/>
      <c r="R293" s="2746"/>
      <c r="S293" s="2746"/>
      <c r="T293" s="2746"/>
      <c r="U293" s="2746"/>
      <c r="V293" s="2746"/>
      <c r="W293" s="2746"/>
      <c r="X293" s="2746"/>
      <c r="Y293" s="2746"/>
      <c r="Z293" s="2746"/>
      <c r="AA293" s="2746"/>
      <c r="AB293" s="2746"/>
      <c r="AC293" s="2746"/>
      <c r="AD293" s="2746"/>
      <c r="AE293" s="2746"/>
      <c r="AF293" s="2746"/>
      <c r="AG293" s="2746"/>
      <c r="AH293" s="2746"/>
      <c r="AI293" s="2746"/>
      <c r="AJ293" s="2746"/>
      <c r="AK293" s="2746"/>
      <c r="AL293" s="2746"/>
      <c r="AM293" s="2746"/>
      <c r="AN293" s="2746"/>
      <c r="AO293" s="2746"/>
      <c r="AP293" s="2746"/>
      <c r="AQ293" s="2746"/>
      <c r="AR293" s="2746"/>
      <c r="AS293" s="2746"/>
      <c r="AT293" s="2746"/>
      <c r="AU293" s="2746"/>
      <c r="AV293" s="2746"/>
      <c r="AW293" s="2746"/>
      <c r="AX293" s="2746"/>
      <c r="AY293" s="2746"/>
      <c r="AZ293" s="2746"/>
      <c r="BA293" s="2746"/>
      <c r="BB293" s="2746"/>
      <c r="BC293" s="2746"/>
      <c r="BD293" s="2746"/>
      <c r="BE293" s="2746"/>
      <c r="BF293" s="2746"/>
      <c r="BG293" s="2746"/>
      <c r="BH293" s="2746"/>
      <c r="BI293" s="2746"/>
      <c r="BJ293" s="2746"/>
      <c r="BK293" s="2746"/>
      <c r="BL293" s="2746"/>
      <c r="BM293" s="2746"/>
      <c r="BN293" s="2746"/>
      <c r="BO293" s="2746"/>
      <c r="BP293" s="2746"/>
      <c r="BQ293" s="2746"/>
      <c r="BR293" s="2746"/>
      <c r="BS293" s="2746"/>
      <c r="BT293" s="2746"/>
      <c r="BU293" s="2746"/>
      <c r="BV293" s="2746"/>
      <c r="BW293" s="2746"/>
      <c r="BX293" s="2746"/>
      <c r="BY293" s="2746"/>
      <c r="BZ293" s="2746"/>
      <c r="CA293" s="2746"/>
      <c r="CB293" s="2746"/>
      <c r="CC293" s="2746"/>
      <c r="CD293" s="2746"/>
      <c r="CE293" s="2746"/>
      <c r="CF293" s="2746"/>
      <c r="CG293" s="2746"/>
      <c r="CH293" s="2746"/>
      <c r="CI293" s="2746"/>
      <c r="CJ293" s="2746"/>
      <c r="CK293" s="2746"/>
      <c r="CL293" s="2746"/>
      <c r="CM293" s="2746"/>
      <c r="CN293" s="2746"/>
    </row>
    <row r="294" spans="1:92" x14ac:dyDescent="0.2">
      <c r="A294" s="2746"/>
      <c r="B294" s="2746"/>
      <c r="C294" s="2746"/>
      <c r="D294" s="2746"/>
      <c r="E294" s="2746"/>
      <c r="F294" s="2746"/>
      <c r="G294" s="2746"/>
      <c r="H294" s="2746"/>
      <c r="I294" s="2746"/>
      <c r="J294" s="2746"/>
      <c r="K294" s="2746"/>
      <c r="L294" s="2746"/>
      <c r="M294" s="2746"/>
      <c r="N294" s="2746"/>
      <c r="O294" s="2746"/>
      <c r="P294" s="2746"/>
      <c r="Q294" s="2746"/>
      <c r="R294" s="2746"/>
      <c r="S294" s="2746"/>
      <c r="T294" s="2746"/>
      <c r="U294" s="2746"/>
      <c r="V294" s="2746"/>
      <c r="W294" s="2746"/>
      <c r="X294" s="2746"/>
      <c r="Y294" s="2746"/>
      <c r="Z294" s="2746"/>
      <c r="AA294" s="2746"/>
      <c r="AB294" s="2746"/>
      <c r="AC294" s="2746"/>
      <c r="AD294" s="2746"/>
      <c r="AE294" s="2746"/>
      <c r="AF294" s="2746"/>
      <c r="AG294" s="2746"/>
      <c r="AH294" s="2746"/>
      <c r="AI294" s="2746"/>
      <c r="AJ294" s="2746"/>
      <c r="AK294" s="2746"/>
      <c r="AL294" s="2746"/>
      <c r="AM294" s="2746"/>
      <c r="AN294" s="2746"/>
      <c r="AO294" s="2746"/>
      <c r="AP294" s="2746"/>
      <c r="AQ294" s="2746"/>
      <c r="AR294" s="2746"/>
      <c r="AS294" s="2746"/>
      <c r="AT294" s="2746"/>
      <c r="AU294" s="2746"/>
      <c r="AV294" s="2746"/>
      <c r="AW294" s="2746"/>
      <c r="AX294" s="2746"/>
      <c r="AY294" s="2746"/>
      <c r="AZ294" s="2746"/>
      <c r="BA294" s="2746"/>
      <c r="BB294" s="2746"/>
      <c r="BC294" s="2746"/>
      <c r="BD294" s="2746"/>
      <c r="BE294" s="2746"/>
      <c r="BF294" s="2746"/>
      <c r="BG294" s="2746"/>
      <c r="BH294" s="2746"/>
      <c r="BI294" s="2746"/>
      <c r="BJ294" s="2746"/>
      <c r="BK294" s="2746"/>
      <c r="BL294" s="2746"/>
      <c r="BM294" s="2746"/>
      <c r="BN294" s="2746"/>
      <c r="BO294" s="2746"/>
      <c r="BP294" s="2746"/>
      <c r="BQ294" s="2746"/>
      <c r="BR294" s="2746"/>
      <c r="BS294" s="2746"/>
      <c r="BT294" s="2746"/>
      <c r="BU294" s="2746"/>
      <c r="BV294" s="2746"/>
      <c r="BW294" s="2746"/>
      <c r="BX294" s="2746"/>
      <c r="BY294" s="2746"/>
      <c r="BZ294" s="2746"/>
      <c r="CA294" s="2746"/>
      <c r="CB294" s="2746"/>
      <c r="CC294" s="2746"/>
      <c r="CD294" s="2746"/>
      <c r="CE294" s="2746"/>
      <c r="CF294" s="2746"/>
      <c r="CG294" s="2746"/>
      <c r="CH294" s="2746"/>
      <c r="CI294" s="2746"/>
      <c r="CJ294" s="2746"/>
      <c r="CK294" s="2746"/>
      <c r="CL294" s="2746"/>
      <c r="CM294" s="2746"/>
      <c r="CN294" s="2746"/>
    </row>
    <row r="295" spans="1:92" x14ac:dyDescent="0.2">
      <c r="A295" s="2746"/>
      <c r="B295" s="2746"/>
      <c r="C295" s="2746"/>
      <c r="D295" s="2746"/>
      <c r="E295" s="2746"/>
      <c r="F295" s="2746"/>
      <c r="G295" s="2746"/>
      <c r="H295" s="2746"/>
      <c r="I295" s="2746"/>
      <c r="J295" s="2746"/>
      <c r="K295" s="2746"/>
      <c r="L295" s="2746"/>
      <c r="M295" s="2746"/>
      <c r="N295" s="2746"/>
      <c r="O295" s="2746"/>
      <c r="P295" s="2746"/>
      <c r="Q295" s="2746"/>
      <c r="R295" s="2746"/>
      <c r="S295" s="2746"/>
      <c r="T295" s="2746"/>
      <c r="U295" s="2746"/>
      <c r="V295" s="2746"/>
      <c r="W295" s="2746"/>
      <c r="X295" s="2746"/>
      <c r="Y295" s="2746"/>
      <c r="Z295" s="2746"/>
      <c r="AA295" s="2746"/>
      <c r="AB295" s="2746"/>
      <c r="AC295" s="2746"/>
      <c r="AD295" s="2746"/>
      <c r="AE295" s="2746"/>
      <c r="AF295" s="2746"/>
      <c r="AG295" s="2746"/>
      <c r="AH295" s="2746"/>
      <c r="AI295" s="2746"/>
      <c r="AJ295" s="2746"/>
      <c r="AK295" s="2746"/>
      <c r="AL295" s="2746"/>
      <c r="AM295" s="2746"/>
      <c r="AN295" s="2746"/>
      <c r="AO295" s="2746"/>
      <c r="AP295" s="2746"/>
      <c r="AQ295" s="2746"/>
      <c r="AR295" s="2746"/>
      <c r="AS295" s="2746"/>
      <c r="AT295" s="2746"/>
      <c r="AU295" s="2746"/>
      <c r="AV295" s="2746"/>
      <c r="AW295" s="2746"/>
      <c r="AX295" s="2746"/>
      <c r="AY295" s="2746"/>
      <c r="AZ295" s="2746"/>
      <c r="BA295" s="2746"/>
      <c r="BB295" s="2746"/>
      <c r="BC295" s="2746"/>
      <c r="BD295" s="2746"/>
      <c r="BE295" s="2746"/>
      <c r="BF295" s="2746"/>
      <c r="BG295" s="2746"/>
      <c r="BH295" s="2746"/>
      <c r="BI295" s="2746"/>
      <c r="BJ295" s="2746"/>
      <c r="BK295" s="2746"/>
      <c r="BL295" s="2746"/>
      <c r="BM295" s="2746"/>
      <c r="BN295" s="2746"/>
      <c r="BO295" s="2746"/>
      <c r="BP295" s="2746"/>
      <c r="BQ295" s="2746"/>
      <c r="BR295" s="2746"/>
      <c r="BS295" s="2746"/>
      <c r="BT295" s="2746"/>
      <c r="BU295" s="2746"/>
      <c r="BV295" s="2746"/>
      <c r="BW295" s="2746"/>
      <c r="BX295" s="2746"/>
      <c r="BY295" s="2746"/>
      <c r="BZ295" s="2746"/>
      <c r="CA295" s="2746"/>
      <c r="CB295" s="2746"/>
      <c r="CC295" s="2746"/>
      <c r="CD295" s="2746"/>
      <c r="CE295" s="2746"/>
      <c r="CF295" s="2746"/>
      <c r="CG295" s="2746"/>
      <c r="CH295" s="2746"/>
      <c r="CI295" s="2746"/>
      <c r="CJ295" s="2746"/>
      <c r="CK295" s="2746"/>
      <c r="CL295" s="2746"/>
      <c r="CM295" s="2746"/>
      <c r="CN295" s="2746"/>
    </row>
    <row r="296" spans="1:92" x14ac:dyDescent="0.2">
      <c r="A296" s="2746"/>
      <c r="B296" s="2746"/>
      <c r="C296" s="2746"/>
      <c r="D296" s="2746"/>
      <c r="E296" s="2746"/>
      <c r="F296" s="2746"/>
      <c r="G296" s="2746"/>
      <c r="H296" s="2746"/>
      <c r="I296" s="2746"/>
      <c r="J296" s="2746"/>
      <c r="K296" s="2746"/>
      <c r="L296" s="2746"/>
      <c r="M296" s="2746"/>
      <c r="N296" s="2746"/>
      <c r="O296" s="2746"/>
      <c r="P296" s="2746"/>
      <c r="Q296" s="2746"/>
      <c r="R296" s="2746"/>
      <c r="S296" s="2746"/>
      <c r="T296" s="2746"/>
      <c r="U296" s="2746"/>
      <c r="V296" s="2746"/>
      <c r="W296" s="2746"/>
      <c r="X296" s="2746"/>
      <c r="Y296" s="2746"/>
      <c r="Z296" s="2746"/>
      <c r="AA296" s="2746"/>
      <c r="AB296" s="2746"/>
      <c r="AC296" s="2746"/>
      <c r="AD296" s="2746"/>
      <c r="AE296" s="2746"/>
      <c r="AF296" s="2746"/>
      <c r="AG296" s="2746"/>
      <c r="AH296" s="2746"/>
      <c r="AI296" s="2746"/>
      <c r="AJ296" s="2746"/>
      <c r="AK296" s="2746"/>
      <c r="AL296" s="2746"/>
      <c r="AM296" s="2746"/>
      <c r="AN296" s="2746"/>
      <c r="AO296" s="2746"/>
      <c r="AP296" s="2746"/>
      <c r="AQ296" s="2746"/>
      <c r="AR296" s="2746"/>
      <c r="AS296" s="2746"/>
      <c r="AT296" s="2746"/>
      <c r="AU296" s="2746"/>
      <c r="AV296" s="2746"/>
      <c r="AW296" s="2746"/>
      <c r="AX296" s="2746"/>
      <c r="AY296" s="2746"/>
      <c r="AZ296" s="2746"/>
      <c r="BA296" s="2746"/>
      <c r="BB296" s="2746"/>
      <c r="BC296" s="2746"/>
      <c r="BD296" s="2746"/>
      <c r="BE296" s="2746"/>
      <c r="BF296" s="2746"/>
      <c r="BG296" s="2746"/>
      <c r="BH296" s="2746"/>
      <c r="BI296" s="2746"/>
      <c r="BJ296" s="2746"/>
      <c r="BK296" s="2746"/>
      <c r="BL296" s="2746"/>
      <c r="BM296" s="2746"/>
      <c r="BN296" s="2746"/>
      <c r="BO296" s="2746"/>
      <c r="BP296" s="2746"/>
      <c r="BQ296" s="2746"/>
      <c r="BR296" s="2746"/>
      <c r="BS296" s="2746"/>
      <c r="BT296" s="2746"/>
      <c r="BU296" s="2746"/>
      <c r="BV296" s="2746"/>
      <c r="BW296" s="2746"/>
      <c r="BX296" s="2746"/>
      <c r="BY296" s="2746"/>
      <c r="BZ296" s="2746"/>
      <c r="CA296" s="2746"/>
      <c r="CB296" s="2746"/>
      <c r="CC296" s="2746"/>
      <c r="CD296" s="2746"/>
      <c r="CE296" s="2746"/>
      <c r="CF296" s="2746"/>
      <c r="CG296" s="2746"/>
      <c r="CH296" s="2746"/>
      <c r="CI296" s="2746"/>
      <c r="CJ296" s="2746"/>
      <c r="CK296" s="2746"/>
      <c r="CL296" s="2746"/>
      <c r="CM296" s="2746"/>
      <c r="CN296" s="2746"/>
    </row>
    <row r="297" spans="1:92" x14ac:dyDescent="0.2">
      <c r="A297" s="2746"/>
      <c r="B297" s="2746"/>
      <c r="C297" s="2746"/>
      <c r="D297" s="2746"/>
      <c r="E297" s="2746"/>
      <c r="F297" s="2746"/>
      <c r="G297" s="2746"/>
      <c r="H297" s="2746"/>
      <c r="I297" s="2746"/>
      <c r="J297" s="2746"/>
      <c r="K297" s="2746"/>
      <c r="L297" s="2746"/>
      <c r="M297" s="2746"/>
      <c r="N297" s="2746"/>
      <c r="O297" s="2746"/>
      <c r="P297" s="2746"/>
      <c r="Q297" s="2746"/>
      <c r="R297" s="2746"/>
      <c r="S297" s="2746"/>
      <c r="T297" s="2746"/>
      <c r="U297" s="2746"/>
      <c r="V297" s="2746"/>
      <c r="W297" s="2746"/>
      <c r="X297" s="2746"/>
      <c r="Y297" s="2746"/>
      <c r="Z297" s="2746"/>
      <c r="AA297" s="2746"/>
      <c r="AB297" s="2746"/>
      <c r="AC297" s="2746"/>
      <c r="AD297" s="2746"/>
      <c r="AE297" s="2746"/>
      <c r="AF297" s="2746"/>
      <c r="AG297" s="2746"/>
      <c r="AH297" s="2746"/>
      <c r="AI297" s="2746"/>
      <c r="AJ297" s="2746"/>
      <c r="AK297" s="2746"/>
      <c r="AL297" s="2746"/>
      <c r="AM297" s="2746"/>
      <c r="AN297" s="2746"/>
      <c r="AO297" s="2746"/>
      <c r="AP297" s="2746"/>
      <c r="AQ297" s="2746"/>
      <c r="AR297" s="2746"/>
      <c r="AS297" s="2746"/>
      <c r="AT297" s="2746"/>
      <c r="AU297" s="2746"/>
      <c r="AV297" s="2746"/>
      <c r="AW297" s="2746"/>
      <c r="AX297" s="2746"/>
      <c r="AY297" s="2746"/>
      <c r="AZ297" s="2746"/>
      <c r="BA297" s="2746"/>
      <c r="BB297" s="2746"/>
      <c r="BC297" s="2746"/>
      <c r="BD297" s="2746"/>
      <c r="BE297" s="2746"/>
      <c r="BF297" s="2746"/>
      <c r="BG297" s="2746"/>
      <c r="BH297" s="2746"/>
      <c r="BI297" s="2746"/>
      <c r="BJ297" s="2746"/>
      <c r="BK297" s="2746"/>
      <c r="BL297" s="2746"/>
      <c r="BM297" s="2746"/>
      <c r="BN297" s="2746"/>
      <c r="BO297" s="2746"/>
      <c r="BP297" s="2746"/>
      <c r="BQ297" s="2746"/>
      <c r="BR297" s="2746"/>
      <c r="BS297" s="2746"/>
      <c r="BT297" s="2746"/>
      <c r="BU297" s="2746"/>
      <c r="BV297" s="2746"/>
      <c r="BW297" s="2746"/>
      <c r="BX297" s="2746"/>
      <c r="BY297" s="2746"/>
      <c r="BZ297" s="2746"/>
      <c r="CA297" s="2746"/>
      <c r="CB297" s="2746"/>
      <c r="CC297" s="2746"/>
      <c r="CD297" s="2746"/>
      <c r="CE297" s="2746"/>
      <c r="CF297" s="2746"/>
      <c r="CG297" s="2746"/>
      <c r="CH297" s="2746"/>
      <c r="CI297" s="2746"/>
      <c r="CJ297" s="2746"/>
      <c r="CK297" s="2746"/>
      <c r="CL297" s="2746"/>
      <c r="CM297" s="2746"/>
      <c r="CN297" s="2746"/>
    </row>
    <row r="298" spans="1:92" x14ac:dyDescent="0.2">
      <c r="A298" s="2746"/>
      <c r="B298" s="2746"/>
      <c r="C298" s="2746"/>
      <c r="D298" s="2746"/>
      <c r="E298" s="2746"/>
      <c r="F298" s="2746"/>
      <c r="G298" s="2746"/>
      <c r="H298" s="2746"/>
      <c r="I298" s="2746"/>
      <c r="J298" s="2746"/>
      <c r="K298" s="2746"/>
      <c r="L298" s="2746"/>
      <c r="M298" s="2746"/>
      <c r="N298" s="2746"/>
      <c r="O298" s="2746"/>
      <c r="P298" s="2746"/>
      <c r="Q298" s="2746"/>
      <c r="R298" s="2746"/>
      <c r="S298" s="2746"/>
      <c r="T298" s="2746"/>
      <c r="U298" s="2746"/>
      <c r="V298" s="2746"/>
      <c r="W298" s="2746"/>
      <c r="X298" s="2746"/>
      <c r="Y298" s="2746"/>
      <c r="Z298" s="2746"/>
      <c r="AA298" s="2746"/>
      <c r="AB298" s="2746"/>
      <c r="AC298" s="2746"/>
      <c r="AD298" s="2746"/>
      <c r="AE298" s="2746"/>
      <c r="AF298" s="2746"/>
      <c r="AG298" s="2746"/>
      <c r="AH298" s="2746"/>
      <c r="AI298" s="2746"/>
      <c r="AJ298" s="2746"/>
      <c r="AK298" s="2746"/>
      <c r="AL298" s="2746"/>
      <c r="AM298" s="2746"/>
      <c r="AN298" s="2746"/>
      <c r="AO298" s="2746"/>
      <c r="AP298" s="2746"/>
      <c r="AQ298" s="2746"/>
      <c r="AR298" s="2746"/>
      <c r="AS298" s="2746"/>
      <c r="AT298" s="2746"/>
      <c r="AU298" s="2746"/>
      <c r="AV298" s="2746"/>
      <c r="AW298" s="2746"/>
      <c r="AX298" s="2746"/>
      <c r="AY298" s="2746"/>
      <c r="AZ298" s="2746"/>
      <c r="BA298" s="2746"/>
      <c r="BB298" s="2746"/>
      <c r="BC298" s="2746"/>
      <c r="BD298" s="2746"/>
      <c r="BE298" s="2746"/>
      <c r="BF298" s="2746"/>
      <c r="BG298" s="2746"/>
      <c r="BH298" s="2746"/>
      <c r="BI298" s="2746"/>
      <c r="BJ298" s="2746"/>
      <c r="BK298" s="2746"/>
      <c r="BL298" s="2746"/>
      <c r="BM298" s="2746"/>
      <c r="BN298" s="2746"/>
      <c r="BO298" s="2746"/>
      <c r="BP298" s="2746"/>
      <c r="BQ298" s="2746"/>
      <c r="BR298" s="2746"/>
      <c r="BS298" s="2746"/>
      <c r="BT298" s="2746"/>
      <c r="BU298" s="2746"/>
      <c r="BV298" s="2746"/>
      <c r="BW298" s="2746"/>
      <c r="BX298" s="2746"/>
      <c r="BY298" s="2746"/>
      <c r="BZ298" s="2746"/>
      <c r="CA298" s="2746"/>
      <c r="CB298" s="2746"/>
      <c r="CC298" s="2746"/>
      <c r="CD298" s="2746"/>
      <c r="CE298" s="2746"/>
      <c r="CF298" s="2746"/>
      <c r="CG298" s="2746"/>
      <c r="CH298" s="2746"/>
      <c r="CI298" s="2746"/>
      <c r="CJ298" s="2746"/>
      <c r="CK298" s="2746"/>
      <c r="CL298" s="2746"/>
      <c r="CM298" s="2746"/>
      <c r="CN298" s="2746"/>
    </row>
    <row r="299" spans="1:92" x14ac:dyDescent="0.2">
      <c r="A299" s="2746"/>
      <c r="B299" s="2746"/>
      <c r="C299" s="2746"/>
      <c r="D299" s="2746"/>
      <c r="E299" s="2746"/>
      <c r="F299" s="2746"/>
      <c r="G299" s="2746"/>
      <c r="H299" s="2746"/>
      <c r="I299" s="2746"/>
      <c r="J299" s="2746"/>
      <c r="K299" s="2746"/>
      <c r="L299" s="2746"/>
      <c r="M299" s="2746"/>
      <c r="N299" s="2746"/>
      <c r="O299" s="2746"/>
      <c r="P299" s="2746"/>
      <c r="Q299" s="2746"/>
      <c r="R299" s="2746"/>
      <c r="S299" s="2746"/>
      <c r="T299" s="2746"/>
      <c r="U299" s="2746"/>
      <c r="V299" s="2746"/>
      <c r="W299" s="2746"/>
      <c r="X299" s="2746"/>
      <c r="Y299" s="2746"/>
      <c r="Z299" s="2746"/>
      <c r="AA299" s="2746"/>
      <c r="AB299" s="2746"/>
      <c r="AC299" s="2746"/>
      <c r="AD299" s="2746"/>
      <c r="AE299" s="2746"/>
      <c r="AF299" s="2746"/>
      <c r="AG299" s="2746"/>
      <c r="AH299" s="2746"/>
      <c r="AI299" s="2746"/>
      <c r="AJ299" s="2746"/>
      <c r="AK299" s="2746"/>
      <c r="AL299" s="2746"/>
      <c r="AM299" s="2746"/>
      <c r="AN299" s="2746"/>
      <c r="AO299" s="2746"/>
      <c r="AP299" s="2746"/>
      <c r="AQ299" s="2746"/>
      <c r="AR299" s="2746"/>
      <c r="AS299" s="2746"/>
      <c r="AT299" s="2746"/>
      <c r="AU299" s="2746"/>
      <c r="AV299" s="2746"/>
      <c r="AW299" s="2746"/>
      <c r="AX299" s="2746"/>
      <c r="AY299" s="2746"/>
      <c r="AZ299" s="2746"/>
      <c r="BA299" s="2746"/>
      <c r="BB299" s="2746"/>
      <c r="BC299" s="2746"/>
      <c r="BD299" s="2746"/>
      <c r="BE299" s="2746"/>
      <c r="BF299" s="2746"/>
      <c r="BG299" s="2746"/>
      <c r="BH299" s="2746"/>
      <c r="BI299" s="2746"/>
      <c r="BJ299" s="2746"/>
      <c r="BK299" s="2746"/>
      <c r="BL299" s="2746"/>
      <c r="BM299" s="2746"/>
      <c r="BN299" s="2746"/>
      <c r="BO299" s="2746"/>
      <c r="BP299" s="2746"/>
      <c r="BQ299" s="2746"/>
      <c r="BR299" s="2746"/>
      <c r="BS299" s="2746"/>
      <c r="BT299" s="2746"/>
      <c r="BU299" s="2746"/>
      <c r="BV299" s="2746"/>
      <c r="BW299" s="2746"/>
      <c r="BX299" s="2746"/>
      <c r="BY299" s="2746"/>
      <c r="BZ299" s="2746"/>
      <c r="CA299" s="2746"/>
      <c r="CB299" s="2746"/>
      <c r="CC299" s="2746"/>
      <c r="CD299" s="2746"/>
      <c r="CE299" s="2746"/>
      <c r="CF299" s="2746"/>
      <c r="CG299" s="2746"/>
      <c r="CH299" s="2746"/>
      <c r="CI299" s="2746"/>
      <c r="CJ299" s="2746"/>
      <c r="CK299" s="2746"/>
      <c r="CL299" s="2746"/>
      <c r="CM299" s="2746"/>
      <c r="CN299" s="2746"/>
    </row>
    <row r="300" spans="1:92" x14ac:dyDescent="0.2">
      <c r="A300" s="2746"/>
      <c r="B300" s="2746"/>
      <c r="C300" s="2746"/>
      <c r="D300" s="2746"/>
      <c r="E300" s="2746"/>
      <c r="F300" s="2746"/>
      <c r="G300" s="2746"/>
      <c r="H300" s="2746"/>
      <c r="I300" s="2746"/>
      <c r="J300" s="2746"/>
      <c r="K300" s="2746"/>
      <c r="L300" s="2746"/>
      <c r="M300" s="2746"/>
      <c r="N300" s="2746"/>
      <c r="O300" s="2746"/>
      <c r="P300" s="2746"/>
      <c r="Q300" s="2746"/>
      <c r="R300" s="2746"/>
      <c r="S300" s="2746"/>
      <c r="T300" s="2746"/>
      <c r="U300" s="2746"/>
      <c r="V300" s="2746"/>
      <c r="W300" s="2746"/>
      <c r="X300" s="2746"/>
      <c r="Y300" s="2746"/>
      <c r="Z300" s="2746"/>
      <c r="AA300" s="2746"/>
      <c r="AB300" s="2746"/>
      <c r="AC300" s="2746"/>
      <c r="AD300" s="2746"/>
      <c r="AE300" s="2746"/>
      <c r="AF300" s="2746"/>
      <c r="AG300" s="2746"/>
      <c r="AH300" s="2746"/>
      <c r="AI300" s="2746"/>
      <c r="AJ300" s="2746"/>
      <c r="AK300" s="2746"/>
      <c r="AL300" s="2746"/>
      <c r="AM300" s="2746"/>
      <c r="AN300" s="2746"/>
      <c r="AO300" s="2746"/>
      <c r="AP300" s="2746"/>
      <c r="AQ300" s="2746"/>
      <c r="AR300" s="2746"/>
      <c r="AS300" s="2746"/>
      <c r="AT300" s="2746"/>
      <c r="AU300" s="2746"/>
      <c r="AV300" s="2746"/>
      <c r="AW300" s="2746"/>
      <c r="AX300" s="2746"/>
      <c r="AY300" s="2746"/>
      <c r="AZ300" s="2746"/>
      <c r="BA300" s="2746"/>
      <c r="BB300" s="2746"/>
      <c r="BC300" s="2746"/>
      <c r="BD300" s="2746"/>
      <c r="BE300" s="2746"/>
      <c r="BF300" s="2746"/>
      <c r="BG300" s="2746"/>
      <c r="BH300" s="2746"/>
      <c r="BI300" s="2746"/>
      <c r="BJ300" s="2746"/>
      <c r="BK300" s="2746"/>
      <c r="BL300" s="2746"/>
      <c r="BM300" s="2746"/>
      <c r="BN300" s="2746"/>
      <c r="BO300" s="2746"/>
      <c r="BP300" s="2746"/>
      <c r="BQ300" s="2746"/>
      <c r="BR300" s="2746"/>
      <c r="BS300" s="2746"/>
      <c r="BT300" s="2746"/>
      <c r="BU300" s="2746"/>
      <c r="BV300" s="2746"/>
      <c r="BW300" s="2746"/>
      <c r="BX300" s="2746"/>
      <c r="BY300" s="2746"/>
      <c r="BZ300" s="2746"/>
      <c r="CA300" s="2746"/>
      <c r="CB300" s="2746"/>
      <c r="CC300" s="2746"/>
      <c r="CD300" s="2746"/>
      <c r="CE300" s="2746"/>
      <c r="CF300" s="2746"/>
      <c r="CG300" s="2746"/>
      <c r="CH300" s="2746"/>
      <c r="CI300" s="2746"/>
      <c r="CJ300" s="2746"/>
      <c r="CK300" s="2746"/>
      <c r="CL300" s="2746"/>
      <c r="CM300" s="2746"/>
      <c r="CN300" s="2746"/>
    </row>
    <row r="301" spans="1:92" x14ac:dyDescent="0.2">
      <c r="A301" s="2746"/>
      <c r="B301" s="2746"/>
      <c r="C301" s="2746"/>
      <c r="D301" s="2746"/>
      <c r="E301" s="2746"/>
      <c r="F301" s="2746"/>
      <c r="G301" s="2746"/>
      <c r="H301" s="2746"/>
      <c r="I301" s="2746"/>
      <c r="J301" s="2746"/>
      <c r="K301" s="2746"/>
      <c r="L301" s="2746"/>
      <c r="M301" s="2746"/>
      <c r="N301" s="2746"/>
      <c r="O301" s="2746"/>
      <c r="P301" s="2746"/>
      <c r="Q301" s="2746"/>
      <c r="R301" s="2746"/>
      <c r="S301" s="2746"/>
      <c r="T301" s="2746"/>
      <c r="U301" s="2746"/>
      <c r="V301" s="2746"/>
      <c r="W301" s="2746"/>
      <c r="X301" s="2746"/>
      <c r="Y301" s="2746"/>
      <c r="Z301" s="2746"/>
      <c r="AA301" s="2746"/>
      <c r="AB301" s="2746"/>
      <c r="AC301" s="2746"/>
      <c r="AD301" s="2746"/>
      <c r="AE301" s="2746"/>
      <c r="AF301" s="2746"/>
      <c r="AG301" s="2746"/>
      <c r="AH301" s="2746"/>
      <c r="AI301" s="2746"/>
      <c r="AJ301" s="2746"/>
      <c r="AK301" s="2746"/>
      <c r="AL301" s="2746"/>
      <c r="AM301" s="2746"/>
      <c r="AN301" s="2746"/>
      <c r="AO301" s="2746"/>
      <c r="AP301" s="2746"/>
      <c r="AQ301" s="2746"/>
      <c r="AR301" s="2746"/>
      <c r="AS301" s="2746"/>
      <c r="AT301" s="2746"/>
      <c r="AU301" s="2746"/>
      <c r="AV301" s="2746"/>
      <c r="AW301" s="2746"/>
      <c r="AX301" s="2746"/>
      <c r="AY301" s="2746"/>
      <c r="AZ301" s="2746"/>
      <c r="BA301" s="2746"/>
      <c r="BB301" s="2746"/>
      <c r="BC301" s="2746"/>
      <c r="BD301" s="2746"/>
      <c r="BE301" s="2746"/>
      <c r="BF301" s="2746"/>
      <c r="BG301" s="2746"/>
      <c r="BH301" s="2746"/>
      <c r="BI301" s="2746"/>
      <c r="BJ301" s="2746"/>
      <c r="BK301" s="2746"/>
      <c r="BL301" s="2746"/>
      <c r="BM301" s="2746"/>
      <c r="BN301" s="2746"/>
      <c r="BO301" s="2746"/>
      <c r="BP301" s="2746"/>
      <c r="BQ301" s="2746"/>
      <c r="BR301" s="2746"/>
      <c r="BS301" s="2746"/>
      <c r="BT301" s="2746"/>
      <c r="BU301" s="2746"/>
      <c r="BV301" s="2746"/>
      <c r="BW301" s="2746"/>
      <c r="BX301" s="2746"/>
      <c r="BY301" s="2746"/>
      <c r="BZ301" s="2746"/>
      <c r="CA301" s="2746"/>
      <c r="CB301" s="2746"/>
      <c r="CC301" s="2746"/>
      <c r="CD301" s="2746"/>
      <c r="CE301" s="2746"/>
      <c r="CF301" s="2746"/>
      <c r="CG301" s="2746"/>
      <c r="CH301" s="2746"/>
      <c r="CI301" s="2746"/>
      <c r="CJ301" s="2746"/>
      <c r="CK301" s="2746"/>
      <c r="CL301" s="2746"/>
      <c r="CM301" s="2746"/>
      <c r="CN301" s="2746"/>
    </row>
    <row r="302" spans="1:92" x14ac:dyDescent="0.2">
      <c r="A302" s="2746"/>
      <c r="B302" s="2746"/>
      <c r="C302" s="2746"/>
      <c r="D302" s="2746"/>
      <c r="E302" s="2746"/>
      <c r="F302" s="2746"/>
      <c r="G302" s="2746"/>
      <c r="H302" s="2746"/>
      <c r="I302" s="2746"/>
      <c r="J302" s="2746"/>
      <c r="K302" s="2746"/>
      <c r="L302" s="2746"/>
      <c r="M302" s="2746"/>
      <c r="N302" s="2746"/>
      <c r="O302" s="2746"/>
      <c r="P302" s="2746"/>
      <c r="Q302" s="2746"/>
      <c r="R302" s="2746"/>
      <c r="S302" s="2746"/>
      <c r="T302" s="2746"/>
      <c r="U302" s="2746"/>
      <c r="V302" s="2746"/>
      <c r="W302" s="2746"/>
      <c r="X302" s="2746"/>
      <c r="Y302" s="2746"/>
      <c r="Z302" s="2746"/>
      <c r="AA302" s="2746"/>
      <c r="AB302" s="2746"/>
      <c r="AC302" s="2746"/>
      <c r="AD302" s="2746"/>
      <c r="AE302" s="2746"/>
      <c r="AF302" s="2746"/>
      <c r="AG302" s="2746"/>
      <c r="AH302" s="2746"/>
      <c r="AI302" s="2746"/>
      <c r="AJ302" s="2746"/>
      <c r="AK302" s="2746"/>
      <c r="AL302" s="2746"/>
      <c r="AM302" s="2746"/>
      <c r="AN302" s="2746"/>
      <c r="AO302" s="2746"/>
      <c r="AP302" s="2746"/>
      <c r="AQ302" s="2746"/>
      <c r="AR302" s="2746"/>
      <c r="AS302" s="2746"/>
      <c r="AT302" s="2746"/>
      <c r="AU302" s="2746"/>
      <c r="AV302" s="2746"/>
      <c r="AW302" s="2746"/>
      <c r="AX302" s="2746"/>
      <c r="AY302" s="2746"/>
      <c r="AZ302" s="2746"/>
      <c r="BA302" s="2746"/>
      <c r="BB302" s="2746"/>
      <c r="BC302" s="2746"/>
      <c r="BD302" s="2746"/>
      <c r="BE302" s="2746"/>
      <c r="BF302" s="2746"/>
      <c r="BG302" s="2746"/>
      <c r="BH302" s="2746"/>
      <c r="BI302" s="2746"/>
      <c r="BJ302" s="2746"/>
      <c r="BK302" s="2746"/>
      <c r="BL302" s="2746"/>
      <c r="BM302" s="2746"/>
      <c r="BN302" s="2746"/>
      <c r="BO302" s="2746"/>
      <c r="BP302" s="2746"/>
      <c r="BQ302" s="2746"/>
      <c r="BR302" s="2746"/>
      <c r="BS302" s="2746"/>
      <c r="BT302" s="2746"/>
      <c r="BU302" s="2746"/>
      <c r="BV302" s="2746"/>
      <c r="BW302" s="2746"/>
      <c r="BX302" s="2746"/>
      <c r="BY302" s="2746"/>
      <c r="BZ302" s="2746"/>
      <c r="CA302" s="2746"/>
      <c r="CB302" s="2746"/>
      <c r="CC302" s="2746"/>
      <c r="CD302" s="2746"/>
      <c r="CE302" s="2746"/>
      <c r="CF302" s="2746"/>
      <c r="CG302" s="2746"/>
      <c r="CH302" s="2746"/>
      <c r="CI302" s="2746"/>
      <c r="CJ302" s="2746"/>
      <c r="CK302" s="2746"/>
      <c r="CL302" s="2746"/>
      <c r="CM302" s="2746"/>
      <c r="CN302" s="2746"/>
    </row>
    <row r="303" spans="1:92" x14ac:dyDescent="0.2">
      <c r="A303" s="2746"/>
      <c r="B303" s="2746"/>
      <c r="C303" s="2746"/>
      <c r="D303" s="2746"/>
      <c r="E303" s="2746"/>
      <c r="F303" s="2746"/>
      <c r="G303" s="2746"/>
      <c r="H303" s="2746"/>
      <c r="I303" s="2746"/>
      <c r="J303" s="2746"/>
      <c r="K303" s="2746"/>
      <c r="L303" s="2746"/>
      <c r="M303" s="2746"/>
      <c r="N303" s="2746"/>
      <c r="O303" s="2746"/>
      <c r="P303" s="2746"/>
      <c r="Q303" s="2746"/>
      <c r="R303" s="2746"/>
      <c r="S303" s="2746"/>
      <c r="T303" s="2746"/>
      <c r="U303" s="2746"/>
      <c r="V303" s="2746"/>
      <c r="W303" s="2746"/>
      <c r="X303" s="2746"/>
      <c r="Y303" s="2746"/>
      <c r="Z303" s="2746"/>
      <c r="AA303" s="2746"/>
      <c r="AB303" s="2746"/>
      <c r="AC303" s="2746"/>
      <c r="AD303" s="2746"/>
      <c r="AE303" s="2746"/>
      <c r="AF303" s="2746"/>
      <c r="AG303" s="2746"/>
      <c r="AH303" s="2746"/>
      <c r="AI303" s="2746"/>
      <c r="AJ303" s="2746"/>
      <c r="AK303" s="2746"/>
      <c r="AL303" s="2746"/>
      <c r="AM303" s="2746"/>
      <c r="AN303" s="2746"/>
      <c r="AO303" s="2746"/>
      <c r="AP303" s="2746"/>
      <c r="AQ303" s="2746"/>
      <c r="AR303" s="2746"/>
      <c r="AS303" s="2746"/>
      <c r="AT303" s="2746"/>
      <c r="AU303" s="2746"/>
      <c r="AV303" s="2746"/>
      <c r="AW303" s="2746"/>
      <c r="AX303" s="2746"/>
      <c r="AY303" s="2746"/>
      <c r="AZ303" s="2746"/>
      <c r="BA303" s="2746"/>
      <c r="BB303" s="2746"/>
      <c r="BC303" s="2746"/>
      <c r="BD303" s="2746"/>
      <c r="BE303" s="2746"/>
      <c r="BF303" s="2746"/>
      <c r="BG303" s="2746"/>
      <c r="BH303" s="2746"/>
      <c r="BI303" s="2746"/>
      <c r="BJ303" s="2746"/>
      <c r="BK303" s="2746"/>
      <c r="BL303" s="2746"/>
      <c r="BM303" s="2746"/>
      <c r="BN303" s="2746"/>
      <c r="BO303" s="2746"/>
      <c r="BP303" s="2746"/>
      <c r="BQ303" s="2746"/>
      <c r="BR303" s="2746"/>
      <c r="BS303" s="2746"/>
      <c r="BT303" s="2746"/>
      <c r="BU303" s="2746"/>
      <c r="BV303" s="2746"/>
      <c r="BW303" s="2746"/>
      <c r="BX303" s="2746"/>
      <c r="BY303" s="2746"/>
      <c r="BZ303" s="2746"/>
      <c r="CA303" s="2746"/>
      <c r="CB303" s="2746"/>
      <c r="CC303" s="2746"/>
      <c r="CD303" s="2746"/>
      <c r="CE303" s="2746"/>
      <c r="CF303" s="2746"/>
      <c r="CG303" s="2746"/>
      <c r="CH303" s="2746"/>
      <c r="CI303" s="2746"/>
      <c r="CJ303" s="2746"/>
      <c r="CK303" s="2746"/>
      <c r="CL303" s="2746"/>
      <c r="CM303" s="2746"/>
      <c r="CN303" s="2746"/>
    </row>
    <row r="304" spans="1:92" x14ac:dyDescent="0.2">
      <c r="A304" s="2746"/>
      <c r="B304" s="2746"/>
      <c r="C304" s="2746"/>
      <c r="D304" s="2746"/>
      <c r="E304" s="2746"/>
      <c r="F304" s="2746"/>
      <c r="G304" s="2746"/>
      <c r="H304" s="2746"/>
      <c r="I304" s="2746"/>
      <c r="J304" s="2746"/>
      <c r="K304" s="2746"/>
      <c r="L304" s="2746"/>
      <c r="M304" s="2746"/>
      <c r="N304" s="2746"/>
      <c r="O304" s="2746"/>
      <c r="P304" s="2746"/>
      <c r="Q304" s="2746"/>
      <c r="R304" s="2746"/>
      <c r="S304" s="2746"/>
      <c r="T304" s="2746"/>
      <c r="U304" s="2746"/>
      <c r="V304" s="2746"/>
      <c r="W304" s="2746"/>
      <c r="X304" s="2746"/>
      <c r="Y304" s="2746"/>
      <c r="Z304" s="2746"/>
      <c r="AA304" s="2746"/>
      <c r="AB304" s="2746"/>
      <c r="AC304" s="2746"/>
      <c r="AD304" s="2746"/>
      <c r="AE304" s="2746"/>
      <c r="AF304" s="2746"/>
      <c r="AG304" s="2746"/>
      <c r="AH304" s="2746"/>
      <c r="AI304" s="2746"/>
      <c r="AJ304" s="2746"/>
      <c r="AK304" s="2746"/>
      <c r="AL304" s="2746"/>
      <c r="AM304" s="2746"/>
      <c r="AN304" s="2746"/>
      <c r="AO304" s="2746"/>
      <c r="AP304" s="2746"/>
      <c r="AQ304" s="2746"/>
      <c r="AR304" s="2746"/>
      <c r="AS304" s="2746"/>
      <c r="AT304" s="2746"/>
      <c r="AU304" s="2746"/>
      <c r="AV304" s="2746"/>
      <c r="AW304" s="2746"/>
      <c r="AX304" s="2746"/>
      <c r="AY304" s="2746"/>
      <c r="AZ304" s="2746"/>
      <c r="BA304" s="2746"/>
      <c r="BB304" s="2746"/>
      <c r="BC304" s="2746"/>
      <c r="BD304" s="2746"/>
      <c r="BE304" s="2746"/>
      <c r="BF304" s="2746"/>
      <c r="BG304" s="2746"/>
      <c r="BH304" s="2746"/>
      <c r="BI304" s="2746"/>
      <c r="BJ304" s="2746"/>
      <c r="BK304" s="2746"/>
      <c r="BL304" s="2746"/>
      <c r="BM304" s="2746"/>
      <c r="BN304" s="2746"/>
      <c r="BO304" s="2746"/>
      <c r="BP304" s="2746"/>
      <c r="BQ304" s="2746"/>
      <c r="BR304" s="2746"/>
      <c r="BS304" s="2746"/>
      <c r="BT304" s="2746"/>
      <c r="BU304" s="2746"/>
      <c r="BV304" s="2746"/>
      <c r="BW304" s="2746"/>
      <c r="BX304" s="2746"/>
      <c r="BY304" s="2746"/>
      <c r="BZ304" s="2746"/>
      <c r="CA304" s="2746"/>
      <c r="CB304" s="2746"/>
      <c r="CC304" s="2746"/>
      <c r="CD304" s="2746"/>
      <c r="CE304" s="2746"/>
      <c r="CF304" s="2746"/>
      <c r="CG304" s="2746"/>
      <c r="CH304" s="2746"/>
      <c r="CI304" s="2746"/>
      <c r="CJ304" s="2746"/>
      <c r="CK304" s="2746"/>
      <c r="CL304" s="2746"/>
      <c r="CM304" s="2746"/>
      <c r="CN304" s="2746"/>
    </row>
    <row r="305" spans="1:92" x14ac:dyDescent="0.2">
      <c r="A305" s="2746"/>
      <c r="B305" s="2746"/>
      <c r="C305" s="2746"/>
      <c r="D305" s="2746"/>
      <c r="E305" s="2746"/>
      <c r="F305" s="2746"/>
      <c r="G305" s="2746"/>
      <c r="H305" s="2746"/>
      <c r="I305" s="2746"/>
      <c r="J305" s="2746"/>
      <c r="K305" s="2746"/>
      <c r="L305" s="2746"/>
      <c r="M305" s="2746"/>
      <c r="N305" s="2746"/>
      <c r="O305" s="2746"/>
      <c r="P305" s="2746"/>
      <c r="Q305" s="2746"/>
      <c r="R305" s="2746"/>
      <c r="S305" s="2746"/>
      <c r="T305" s="2746"/>
      <c r="U305" s="2746"/>
      <c r="V305" s="2746"/>
      <c r="W305" s="2746"/>
      <c r="X305" s="2746"/>
      <c r="Y305" s="2746"/>
      <c r="Z305" s="2746"/>
      <c r="AA305" s="2746"/>
      <c r="AB305" s="2746"/>
      <c r="AC305" s="2746"/>
      <c r="AD305" s="2746"/>
      <c r="AE305" s="2746"/>
      <c r="AF305" s="2746"/>
      <c r="AG305" s="2746"/>
      <c r="AH305" s="2746"/>
      <c r="AI305" s="2746"/>
      <c r="AJ305" s="2746"/>
      <c r="AK305" s="2746"/>
      <c r="AL305" s="2746"/>
      <c r="AM305" s="2746"/>
      <c r="AN305" s="2746"/>
      <c r="AO305" s="2746"/>
      <c r="AP305" s="2746"/>
      <c r="AQ305" s="2746"/>
      <c r="AR305" s="2746"/>
      <c r="AS305" s="2746"/>
      <c r="AT305" s="2746"/>
      <c r="AU305" s="2746"/>
      <c r="AV305" s="2746"/>
      <c r="AW305" s="2746"/>
      <c r="AX305" s="2746"/>
      <c r="AY305" s="2746"/>
      <c r="AZ305" s="2746"/>
      <c r="BA305" s="2746"/>
      <c r="BB305" s="2746"/>
      <c r="BC305" s="2746"/>
      <c r="BD305" s="2746"/>
      <c r="BE305" s="2746"/>
      <c r="BF305" s="2746"/>
      <c r="BG305" s="2746"/>
      <c r="BH305" s="2746"/>
      <c r="BI305" s="2746"/>
      <c r="BJ305" s="2746"/>
      <c r="BK305" s="2746"/>
      <c r="BL305" s="2746"/>
      <c r="BM305" s="2746"/>
      <c r="BN305" s="2746"/>
      <c r="BO305" s="2746"/>
      <c r="BP305" s="2746"/>
      <c r="BQ305" s="2746"/>
      <c r="BR305" s="2746"/>
      <c r="BS305" s="2746"/>
      <c r="BT305" s="2746"/>
      <c r="BU305" s="2746"/>
      <c r="BV305" s="2746"/>
      <c r="BW305" s="2746"/>
      <c r="BX305" s="2746"/>
      <c r="BY305" s="2746"/>
      <c r="BZ305" s="2746"/>
      <c r="CA305" s="2746"/>
      <c r="CB305" s="2746"/>
      <c r="CC305" s="2746"/>
      <c r="CD305" s="2746"/>
      <c r="CE305" s="2746"/>
      <c r="CF305" s="2746"/>
      <c r="CG305" s="2746"/>
      <c r="CH305" s="2746"/>
      <c r="CI305" s="2746"/>
      <c r="CJ305" s="2746"/>
      <c r="CK305" s="2746"/>
      <c r="CL305" s="2746"/>
      <c r="CM305" s="2746"/>
      <c r="CN305" s="2746"/>
    </row>
    <row r="306" spans="1:92" x14ac:dyDescent="0.2">
      <c r="A306" s="2746"/>
      <c r="B306" s="2746"/>
      <c r="C306" s="2746"/>
      <c r="D306" s="2746"/>
      <c r="E306" s="2746"/>
      <c r="F306" s="2746"/>
      <c r="G306" s="2746"/>
      <c r="H306" s="2746"/>
      <c r="I306" s="2746"/>
      <c r="J306" s="2746"/>
      <c r="K306" s="2746"/>
      <c r="L306" s="2746"/>
      <c r="M306" s="2746"/>
      <c r="N306" s="2746"/>
      <c r="O306" s="2746"/>
      <c r="P306" s="2746"/>
      <c r="Q306" s="2746"/>
      <c r="R306" s="2746"/>
      <c r="S306" s="2746"/>
      <c r="T306" s="2746"/>
      <c r="U306" s="2746"/>
      <c r="V306" s="2746"/>
      <c r="W306" s="2746"/>
      <c r="X306" s="2746"/>
      <c r="Y306" s="2746"/>
      <c r="Z306" s="2746"/>
      <c r="AA306" s="2746"/>
      <c r="AB306" s="2746"/>
      <c r="AC306" s="2746"/>
      <c r="AD306" s="2746"/>
      <c r="AE306" s="2746"/>
      <c r="AF306" s="2746"/>
      <c r="AG306" s="2746"/>
      <c r="AH306" s="2746"/>
      <c r="AI306" s="2746"/>
      <c r="AJ306" s="2746"/>
      <c r="AK306" s="2746"/>
      <c r="AL306" s="2746"/>
      <c r="AM306" s="2746"/>
      <c r="AN306" s="2746"/>
      <c r="AO306" s="2746"/>
      <c r="AP306" s="2746"/>
      <c r="AQ306" s="2746"/>
      <c r="AR306" s="2746"/>
      <c r="AS306" s="2746"/>
      <c r="AT306" s="2746"/>
      <c r="AU306" s="2746"/>
      <c r="AV306" s="2746"/>
      <c r="AW306" s="2746"/>
      <c r="AX306" s="2746"/>
      <c r="AY306" s="2746"/>
      <c r="AZ306" s="2746"/>
      <c r="BA306" s="2746"/>
      <c r="BB306" s="2746"/>
      <c r="BC306" s="2746"/>
      <c r="BD306" s="2746"/>
      <c r="BE306" s="2746"/>
      <c r="BF306" s="2746"/>
      <c r="BG306" s="2746"/>
      <c r="BH306" s="2746"/>
      <c r="BI306" s="2746"/>
      <c r="BJ306" s="2746"/>
      <c r="BK306" s="2746"/>
      <c r="BL306" s="2746"/>
      <c r="BM306" s="2746"/>
      <c r="BN306" s="2746"/>
      <c r="BO306" s="2746"/>
      <c r="BP306" s="2746"/>
      <c r="BQ306" s="2746"/>
      <c r="BR306" s="2746"/>
      <c r="BS306" s="2746"/>
      <c r="BT306" s="2746"/>
      <c r="BU306" s="2746"/>
      <c r="BV306" s="2746"/>
      <c r="BW306" s="2746"/>
      <c r="BX306" s="2746"/>
      <c r="BY306" s="2746"/>
      <c r="BZ306" s="2746"/>
      <c r="CA306" s="2746"/>
      <c r="CB306" s="2746"/>
      <c r="CC306" s="2746"/>
      <c r="CD306" s="2746"/>
      <c r="CE306" s="2746"/>
      <c r="CF306" s="2746"/>
      <c r="CG306" s="2746"/>
      <c r="CH306" s="2746"/>
      <c r="CI306" s="2746"/>
      <c r="CJ306" s="2746"/>
      <c r="CK306" s="2746"/>
      <c r="CL306" s="2746"/>
      <c r="CM306" s="2746"/>
      <c r="CN306" s="2746"/>
    </row>
    <row r="307" spans="1:92" x14ac:dyDescent="0.2">
      <c r="A307" s="2746"/>
      <c r="B307" s="2746"/>
      <c r="C307" s="2746"/>
      <c r="D307" s="2746"/>
      <c r="E307" s="2746"/>
      <c r="F307" s="2746"/>
      <c r="G307" s="2746"/>
      <c r="H307" s="2746"/>
      <c r="I307" s="2746"/>
      <c r="J307" s="2746"/>
      <c r="K307" s="2746"/>
      <c r="L307" s="2746"/>
      <c r="M307" s="2746"/>
      <c r="N307" s="2746"/>
      <c r="O307" s="2746"/>
      <c r="P307" s="2746"/>
      <c r="Q307" s="2746"/>
      <c r="R307" s="2746"/>
      <c r="S307" s="2746"/>
      <c r="T307" s="2746"/>
      <c r="U307" s="2746"/>
      <c r="V307" s="2746"/>
      <c r="W307" s="2746"/>
      <c r="X307" s="2746"/>
      <c r="Y307" s="2746"/>
      <c r="Z307" s="2746"/>
      <c r="AA307" s="2746"/>
      <c r="AB307" s="2746"/>
      <c r="AC307" s="2746"/>
      <c r="AD307" s="2746"/>
      <c r="AE307" s="2746"/>
      <c r="AF307" s="2746"/>
      <c r="AG307" s="2746"/>
      <c r="AH307" s="2746"/>
      <c r="AI307" s="2746"/>
      <c r="AJ307" s="2746"/>
      <c r="AK307" s="2746"/>
      <c r="AL307" s="2746"/>
      <c r="AM307" s="2746"/>
      <c r="AN307" s="2746"/>
      <c r="AO307" s="2746"/>
      <c r="AP307" s="2746"/>
      <c r="AQ307" s="2746"/>
      <c r="AR307" s="2746"/>
      <c r="AS307" s="2746"/>
      <c r="AT307" s="2746"/>
      <c r="AU307" s="2746"/>
      <c r="AV307" s="2746"/>
      <c r="AW307" s="2746"/>
      <c r="AX307" s="2746"/>
      <c r="AY307" s="2746"/>
      <c r="AZ307" s="2746"/>
      <c r="BA307" s="2746"/>
      <c r="BB307" s="2746"/>
      <c r="BC307" s="2746"/>
      <c r="BD307" s="2746"/>
      <c r="BE307" s="2746"/>
      <c r="BF307" s="2746"/>
      <c r="BG307" s="2746"/>
      <c r="BH307" s="2746"/>
      <c r="BI307" s="2746"/>
      <c r="BJ307" s="2746"/>
      <c r="BK307" s="2746"/>
      <c r="BL307" s="2746"/>
      <c r="BM307" s="2746"/>
      <c r="BN307" s="2746"/>
      <c r="BO307" s="2746"/>
      <c r="BP307" s="2746"/>
      <c r="BQ307" s="2746"/>
      <c r="BR307" s="2746"/>
      <c r="BS307" s="2746"/>
      <c r="BT307" s="2746"/>
      <c r="BU307" s="2746"/>
      <c r="BV307" s="2746"/>
      <c r="BW307" s="2746"/>
      <c r="BX307" s="2746"/>
      <c r="BY307" s="2746"/>
      <c r="BZ307" s="2746"/>
      <c r="CA307" s="2746"/>
      <c r="CB307" s="2746"/>
      <c r="CC307" s="2746"/>
      <c r="CD307" s="2746"/>
      <c r="CE307" s="2746"/>
      <c r="CF307" s="2746"/>
      <c r="CG307" s="2746"/>
      <c r="CH307" s="2746"/>
      <c r="CI307" s="2746"/>
      <c r="CJ307" s="2746"/>
      <c r="CK307" s="2746"/>
      <c r="CL307" s="2746"/>
      <c r="CM307" s="2746"/>
      <c r="CN307" s="2746"/>
    </row>
    <row r="308" spans="1:92" x14ac:dyDescent="0.2">
      <c r="A308" s="2746"/>
      <c r="B308" s="2746"/>
      <c r="C308" s="2746"/>
      <c r="D308" s="2746"/>
      <c r="E308" s="2746"/>
      <c r="F308" s="2746"/>
      <c r="G308" s="2746"/>
      <c r="H308" s="2746"/>
      <c r="I308" s="2746"/>
      <c r="J308" s="2746"/>
      <c r="K308" s="2746"/>
      <c r="L308" s="2746"/>
      <c r="M308" s="2746"/>
      <c r="N308" s="2746"/>
      <c r="O308" s="2746"/>
      <c r="P308" s="2746"/>
      <c r="Q308" s="2746"/>
      <c r="R308" s="2746"/>
      <c r="S308" s="2746"/>
      <c r="T308" s="2746"/>
      <c r="U308" s="2746"/>
      <c r="V308" s="2746"/>
      <c r="W308" s="2746"/>
      <c r="X308" s="2746"/>
      <c r="Y308" s="2746"/>
      <c r="Z308" s="2746"/>
      <c r="AA308" s="2746"/>
      <c r="AB308" s="2746"/>
      <c r="AC308" s="2746"/>
      <c r="AD308" s="2746"/>
      <c r="AE308" s="2746"/>
      <c r="AF308" s="2746"/>
      <c r="AG308" s="2746"/>
      <c r="AH308" s="2746"/>
      <c r="AI308" s="2746"/>
      <c r="AJ308" s="2746"/>
      <c r="AK308" s="2746"/>
      <c r="AL308" s="2746"/>
      <c r="AM308" s="2746"/>
      <c r="AN308" s="2746"/>
      <c r="AO308" s="2746"/>
      <c r="AP308" s="2746"/>
      <c r="AQ308" s="2746"/>
      <c r="AR308" s="2746"/>
      <c r="AS308" s="2746"/>
      <c r="AT308" s="2746"/>
      <c r="AU308" s="2746"/>
      <c r="AV308" s="2746"/>
      <c r="AW308" s="2746"/>
      <c r="AX308" s="2746"/>
      <c r="AY308" s="2746"/>
      <c r="AZ308" s="2746"/>
      <c r="BA308" s="2746"/>
      <c r="BB308" s="2746"/>
      <c r="BC308" s="2746"/>
      <c r="BD308" s="2746"/>
      <c r="BE308" s="2746"/>
      <c r="BF308" s="2746"/>
      <c r="BG308" s="2746"/>
      <c r="BH308" s="2746"/>
      <c r="BI308" s="2746"/>
      <c r="BJ308" s="2746"/>
      <c r="BK308" s="2746"/>
      <c r="BL308" s="2746"/>
      <c r="BM308" s="2746"/>
      <c r="BN308" s="2746"/>
      <c r="BO308" s="2746"/>
      <c r="BP308" s="2746"/>
      <c r="BQ308" s="2746"/>
      <c r="BR308" s="2746"/>
      <c r="BS308" s="2746"/>
      <c r="BT308" s="2746"/>
      <c r="BU308" s="2746"/>
      <c r="BV308" s="2746"/>
      <c r="BW308" s="2746"/>
      <c r="BX308" s="2746"/>
      <c r="BY308" s="2746"/>
      <c r="BZ308" s="2746"/>
      <c r="CA308" s="2746"/>
      <c r="CB308" s="2746"/>
      <c r="CC308" s="2746"/>
      <c r="CD308" s="2746"/>
      <c r="CE308" s="2746"/>
      <c r="CF308" s="2746"/>
      <c r="CG308" s="2746"/>
      <c r="CH308" s="2746"/>
      <c r="CI308" s="2746"/>
      <c r="CJ308" s="2746"/>
      <c r="CK308" s="2746"/>
      <c r="CL308" s="2746"/>
      <c r="CM308" s="2746"/>
      <c r="CN308" s="2746"/>
    </row>
    <row r="309" spans="1:92" x14ac:dyDescent="0.2">
      <c r="A309" s="2746"/>
      <c r="B309" s="2746"/>
      <c r="C309" s="2746"/>
      <c r="D309" s="2746"/>
      <c r="E309" s="2746"/>
      <c r="F309" s="2746"/>
      <c r="G309" s="2746"/>
      <c r="H309" s="2746"/>
      <c r="I309" s="2746"/>
      <c r="J309" s="2746"/>
      <c r="K309" s="2746"/>
      <c r="L309" s="2746"/>
      <c r="M309" s="2746"/>
      <c r="N309" s="2746"/>
      <c r="O309" s="2746"/>
      <c r="P309" s="2746"/>
      <c r="Q309" s="2746"/>
      <c r="R309" s="2746"/>
      <c r="S309" s="2746"/>
      <c r="T309" s="2746"/>
      <c r="U309" s="2746"/>
      <c r="V309" s="2746"/>
      <c r="W309" s="2746"/>
      <c r="X309" s="2746"/>
      <c r="Y309" s="2746"/>
      <c r="Z309" s="2746"/>
      <c r="AA309" s="2746"/>
      <c r="AB309" s="2746"/>
      <c r="AC309" s="2746"/>
      <c r="AD309" s="2746"/>
      <c r="AE309" s="2746"/>
      <c r="AF309" s="2746"/>
      <c r="AG309" s="2746"/>
      <c r="AH309" s="2746"/>
      <c r="AI309" s="2746"/>
      <c r="AJ309" s="2746"/>
      <c r="AK309" s="2746"/>
      <c r="AL309" s="2746"/>
      <c r="AM309" s="2746"/>
      <c r="AN309" s="2746"/>
      <c r="AO309" s="2746"/>
      <c r="AP309" s="2746"/>
      <c r="AQ309" s="2746"/>
      <c r="AR309" s="2746"/>
      <c r="AS309" s="2746"/>
      <c r="AT309" s="2746"/>
      <c r="AU309" s="2746"/>
      <c r="AV309" s="2746"/>
      <c r="AW309" s="2746"/>
      <c r="AX309" s="2746"/>
      <c r="AY309" s="2746"/>
      <c r="AZ309" s="2746"/>
      <c r="BA309" s="2746"/>
      <c r="BB309" s="2746"/>
      <c r="BC309" s="2746"/>
      <c r="BD309" s="2746"/>
      <c r="BE309" s="2746"/>
      <c r="BF309" s="2746"/>
      <c r="BG309" s="2746"/>
      <c r="BH309" s="2746"/>
      <c r="BI309" s="2746"/>
      <c r="BJ309" s="2746"/>
      <c r="BK309" s="2746"/>
      <c r="BL309" s="2746"/>
      <c r="BM309" s="2746"/>
      <c r="BN309" s="2746"/>
      <c r="BO309" s="2746"/>
      <c r="BP309" s="2746"/>
      <c r="BQ309" s="2746"/>
      <c r="BR309" s="2746"/>
      <c r="BS309" s="2746"/>
      <c r="BT309" s="2746"/>
      <c r="BU309" s="2746"/>
      <c r="BV309" s="2746"/>
      <c r="BW309" s="2746"/>
      <c r="BX309" s="2746"/>
      <c r="BY309" s="2746"/>
      <c r="BZ309" s="2746"/>
      <c r="CA309" s="2746"/>
      <c r="CB309" s="2746"/>
      <c r="CC309" s="2746"/>
      <c r="CD309" s="2746"/>
      <c r="CE309" s="2746"/>
      <c r="CF309" s="2746"/>
      <c r="CG309" s="2746"/>
      <c r="CH309" s="2746"/>
      <c r="CI309" s="2746"/>
      <c r="CJ309" s="2746"/>
      <c r="CK309" s="2746"/>
      <c r="CL309" s="2746"/>
      <c r="CM309" s="2746"/>
      <c r="CN309" s="2746"/>
    </row>
    <row r="310" spans="1:92" x14ac:dyDescent="0.2">
      <c r="A310" s="2746"/>
      <c r="B310" s="2746"/>
      <c r="C310" s="2746"/>
      <c r="D310" s="2746"/>
      <c r="E310" s="2746"/>
      <c r="F310" s="2746"/>
      <c r="G310" s="2746"/>
      <c r="H310" s="2746"/>
      <c r="I310" s="2746"/>
      <c r="J310" s="2746"/>
      <c r="K310" s="2746"/>
      <c r="L310" s="2746"/>
      <c r="M310" s="2746"/>
      <c r="N310" s="2746"/>
      <c r="O310" s="2746"/>
      <c r="P310" s="2746"/>
      <c r="Q310" s="2746"/>
      <c r="R310" s="2746"/>
      <c r="S310" s="2746"/>
      <c r="T310" s="2746"/>
      <c r="U310" s="2746"/>
      <c r="V310" s="2746"/>
      <c r="W310" s="2746"/>
      <c r="X310" s="2746"/>
      <c r="Y310" s="2746"/>
      <c r="Z310" s="2746"/>
      <c r="AA310" s="2746"/>
      <c r="AB310" s="2746"/>
      <c r="AC310" s="2746"/>
      <c r="AD310" s="2746"/>
      <c r="AE310" s="2746"/>
      <c r="AF310" s="2746"/>
      <c r="AG310" s="2746"/>
      <c r="AH310" s="2746"/>
      <c r="AI310" s="2746"/>
      <c r="AJ310" s="2746"/>
      <c r="AK310" s="2746"/>
      <c r="AL310" s="2746"/>
      <c r="AM310" s="2746"/>
      <c r="AN310" s="2746"/>
      <c r="AO310" s="2746"/>
      <c r="AP310" s="2746"/>
      <c r="AQ310" s="2746"/>
      <c r="AR310" s="2746"/>
      <c r="AS310" s="2746"/>
      <c r="AT310" s="2746"/>
      <c r="AU310" s="2746"/>
      <c r="AV310" s="2746"/>
      <c r="AW310" s="2746"/>
      <c r="AX310" s="2746"/>
      <c r="AY310" s="2746"/>
      <c r="AZ310" s="2746"/>
      <c r="BA310" s="2746"/>
      <c r="BB310" s="2746"/>
      <c r="BC310" s="2746"/>
      <c r="BD310" s="2746"/>
      <c r="BE310" s="2746"/>
      <c r="BF310" s="2746"/>
      <c r="BG310" s="2746"/>
      <c r="BH310" s="2746"/>
      <c r="BI310" s="2746"/>
      <c r="BJ310" s="2746"/>
      <c r="BK310" s="2746"/>
      <c r="BL310" s="2746"/>
      <c r="BM310" s="2746"/>
      <c r="BN310" s="2746"/>
      <c r="BO310" s="2746"/>
      <c r="BP310" s="2746"/>
      <c r="BQ310" s="2746"/>
      <c r="BR310" s="2746"/>
      <c r="BS310" s="2746"/>
      <c r="BT310" s="2746"/>
      <c r="BU310" s="2746"/>
      <c r="BV310" s="2746"/>
      <c r="BW310" s="2746"/>
      <c r="BX310" s="2746"/>
      <c r="BY310" s="2746"/>
      <c r="BZ310" s="2746"/>
      <c r="CA310" s="2746"/>
      <c r="CB310" s="2746"/>
      <c r="CC310" s="2746"/>
      <c r="CD310" s="2746"/>
      <c r="CE310" s="2746"/>
      <c r="CF310" s="2746"/>
      <c r="CG310" s="2746"/>
      <c r="CH310" s="2746"/>
      <c r="CI310" s="2746"/>
      <c r="CJ310" s="2746"/>
      <c r="CK310" s="2746"/>
      <c r="CL310" s="2746"/>
      <c r="CM310" s="2746"/>
      <c r="CN310" s="2746"/>
    </row>
    <row r="311" spans="1:92" x14ac:dyDescent="0.2">
      <c r="A311" s="2746"/>
      <c r="B311" s="2746"/>
      <c r="C311" s="2746"/>
      <c r="D311" s="2746"/>
      <c r="E311" s="2746"/>
      <c r="F311" s="2746"/>
      <c r="G311" s="2746"/>
      <c r="H311" s="2746"/>
      <c r="I311" s="2746"/>
      <c r="J311" s="2746"/>
      <c r="K311" s="2746"/>
      <c r="L311" s="2746"/>
      <c r="M311" s="2746"/>
      <c r="N311" s="2746"/>
      <c r="O311" s="2746"/>
      <c r="P311" s="2746"/>
      <c r="Q311" s="2746"/>
      <c r="R311" s="2746"/>
      <c r="S311" s="2746"/>
      <c r="T311" s="2746"/>
      <c r="U311" s="2746"/>
      <c r="V311" s="2746"/>
      <c r="W311" s="2746"/>
      <c r="X311" s="2746"/>
      <c r="Y311" s="2746"/>
      <c r="Z311" s="2746"/>
      <c r="AA311" s="2746"/>
      <c r="AB311" s="2746"/>
      <c r="AC311" s="2746"/>
      <c r="AD311" s="2746"/>
      <c r="AE311" s="2746"/>
      <c r="AF311" s="2746"/>
      <c r="AG311" s="2746"/>
      <c r="AH311" s="2746"/>
      <c r="AI311" s="2746"/>
      <c r="AJ311" s="2746"/>
      <c r="AK311" s="2746"/>
      <c r="AL311" s="2746"/>
      <c r="AM311" s="2746"/>
      <c r="AN311" s="2746"/>
      <c r="AO311" s="2746"/>
      <c r="AP311" s="2746"/>
      <c r="AQ311" s="2746"/>
      <c r="AR311" s="2746"/>
      <c r="AS311" s="2746"/>
      <c r="AT311" s="2746"/>
      <c r="AU311" s="2746"/>
      <c r="AV311" s="2746"/>
      <c r="AW311" s="2746"/>
      <c r="AX311" s="2746"/>
      <c r="AY311" s="2746"/>
      <c r="AZ311" s="2746"/>
      <c r="BA311" s="2746"/>
      <c r="BB311" s="2746"/>
      <c r="BC311" s="2746"/>
      <c r="BD311" s="2746"/>
      <c r="BE311" s="2746"/>
      <c r="BF311" s="2746"/>
      <c r="BG311" s="2746"/>
      <c r="BH311" s="2746"/>
      <c r="BI311" s="2746"/>
      <c r="BJ311" s="2746"/>
      <c r="BK311" s="2746"/>
      <c r="BL311" s="2746"/>
      <c r="BM311" s="2746"/>
      <c r="BN311" s="2746"/>
      <c r="BO311" s="2746"/>
      <c r="BP311" s="2746"/>
      <c r="BQ311" s="2746"/>
      <c r="BR311" s="2746"/>
      <c r="BS311" s="2746"/>
      <c r="BT311" s="2746"/>
      <c r="BU311" s="2746"/>
      <c r="BV311" s="2746"/>
      <c r="BW311" s="2746"/>
      <c r="BX311" s="2746"/>
      <c r="BY311" s="2746"/>
      <c r="BZ311" s="2746"/>
      <c r="CA311" s="2746"/>
      <c r="CB311" s="2746"/>
      <c r="CC311" s="2746"/>
      <c r="CD311" s="2746"/>
      <c r="CE311" s="2746"/>
      <c r="CF311" s="2746"/>
      <c r="CG311" s="2746"/>
      <c r="CH311" s="2746"/>
      <c r="CI311" s="2746"/>
      <c r="CJ311" s="2746"/>
      <c r="CK311" s="2746"/>
      <c r="CL311" s="2746"/>
      <c r="CM311" s="2746"/>
      <c r="CN311" s="2746"/>
    </row>
    <row r="312" spans="1:92" x14ac:dyDescent="0.2">
      <c r="A312" s="2746"/>
      <c r="B312" s="2746"/>
      <c r="C312" s="2746"/>
      <c r="D312" s="2746"/>
      <c r="E312" s="2746"/>
      <c r="F312" s="2746"/>
      <c r="G312" s="2746"/>
      <c r="H312" s="2746"/>
      <c r="I312" s="2746"/>
      <c r="J312" s="2746"/>
      <c r="K312" s="2746"/>
      <c r="L312" s="2746"/>
      <c r="M312" s="2746"/>
      <c r="N312" s="2746"/>
      <c r="O312" s="2746"/>
      <c r="P312" s="2746"/>
      <c r="Q312" s="2746"/>
      <c r="R312" s="2746"/>
      <c r="S312" s="2746"/>
      <c r="T312" s="2746"/>
      <c r="U312" s="2746"/>
      <c r="V312" s="2746"/>
      <c r="W312" s="2746"/>
      <c r="X312" s="2746"/>
      <c r="Y312" s="2746"/>
      <c r="Z312" s="2746"/>
      <c r="AA312" s="2746"/>
      <c r="AB312" s="2746"/>
      <c r="AC312" s="2746"/>
      <c r="AD312" s="2746"/>
      <c r="AE312" s="2746"/>
      <c r="AF312" s="2746"/>
      <c r="AG312" s="2746"/>
      <c r="AH312" s="2746"/>
      <c r="AI312" s="2746"/>
      <c r="AJ312" s="2746"/>
      <c r="AK312" s="2746"/>
      <c r="AL312" s="2746"/>
      <c r="AM312" s="2746"/>
      <c r="AN312" s="2746"/>
      <c r="AO312" s="2746"/>
      <c r="AP312" s="2746"/>
      <c r="AQ312" s="2746"/>
      <c r="AR312" s="2746"/>
      <c r="AS312" s="2746"/>
      <c r="AT312" s="2746"/>
      <c r="AU312" s="2746"/>
      <c r="AV312" s="2746"/>
      <c r="AW312" s="2746"/>
      <c r="AX312" s="2746"/>
      <c r="AY312" s="2746"/>
      <c r="AZ312" s="2746"/>
      <c r="BA312" s="2746"/>
      <c r="BB312" s="2746"/>
      <c r="BC312" s="2746"/>
      <c r="BD312" s="2746"/>
      <c r="BE312" s="2746"/>
      <c r="BF312" s="2746"/>
      <c r="BG312" s="2746"/>
      <c r="BH312" s="2746"/>
      <c r="BI312" s="2746"/>
      <c r="BJ312" s="2746"/>
      <c r="BK312" s="2746"/>
      <c r="BL312" s="2746"/>
      <c r="BM312" s="2746"/>
      <c r="BN312" s="2746"/>
      <c r="BO312" s="2746"/>
      <c r="BP312" s="2746"/>
      <c r="BQ312" s="2746"/>
      <c r="BR312" s="2746"/>
      <c r="BS312" s="2746"/>
      <c r="BT312" s="2746"/>
      <c r="BU312" s="2746"/>
      <c r="BV312" s="2746"/>
      <c r="BW312" s="2746"/>
      <c r="BX312" s="2746"/>
      <c r="BY312" s="2746"/>
      <c r="BZ312" s="2746"/>
      <c r="CA312" s="2746"/>
      <c r="CB312" s="2746"/>
      <c r="CC312" s="2746"/>
      <c r="CD312" s="2746"/>
      <c r="CE312" s="2746"/>
      <c r="CF312" s="2746"/>
      <c r="CG312" s="2746"/>
      <c r="CH312" s="2746"/>
      <c r="CI312" s="2746"/>
      <c r="CJ312" s="2746"/>
      <c r="CK312" s="2746"/>
      <c r="CL312" s="2746"/>
      <c r="CM312" s="2746"/>
      <c r="CN312" s="2746"/>
    </row>
    <row r="313" spans="1:92" x14ac:dyDescent="0.2">
      <c r="A313" s="2746"/>
      <c r="B313" s="2746"/>
      <c r="C313" s="2746"/>
      <c r="D313" s="2746"/>
      <c r="E313" s="2746"/>
      <c r="F313" s="2746"/>
      <c r="G313" s="2746"/>
      <c r="H313" s="2746"/>
      <c r="I313" s="2746"/>
      <c r="J313" s="2746"/>
      <c r="K313" s="2746"/>
      <c r="L313" s="2746"/>
      <c r="M313" s="2746"/>
      <c r="N313" s="2746"/>
      <c r="O313" s="2746"/>
      <c r="P313" s="2746"/>
      <c r="Q313" s="2746"/>
      <c r="R313" s="2746"/>
      <c r="S313" s="2746"/>
      <c r="T313" s="2746"/>
      <c r="U313" s="2746"/>
      <c r="V313" s="2746"/>
      <c r="W313" s="2746"/>
      <c r="X313" s="2746"/>
      <c r="Y313" s="2746"/>
      <c r="Z313" s="2746"/>
      <c r="AA313" s="2746"/>
      <c r="AB313" s="2746"/>
      <c r="AC313" s="2746"/>
      <c r="AD313" s="2746"/>
      <c r="AE313" s="2746"/>
      <c r="AF313" s="2746"/>
      <c r="AG313" s="2746"/>
      <c r="AH313" s="2746"/>
      <c r="AI313" s="2746"/>
      <c r="AJ313" s="2746"/>
      <c r="AK313" s="2746"/>
      <c r="AL313" s="2746"/>
      <c r="AM313" s="2746"/>
      <c r="AN313" s="2746"/>
      <c r="AO313" s="2746"/>
      <c r="AP313" s="2746"/>
      <c r="AQ313" s="2746"/>
      <c r="AR313" s="2746"/>
      <c r="AS313" s="2746"/>
      <c r="AT313" s="2746"/>
      <c r="AU313" s="2746"/>
      <c r="AV313" s="2746"/>
      <c r="AW313" s="2746"/>
      <c r="AX313" s="2746"/>
      <c r="AY313" s="2746"/>
      <c r="AZ313" s="2746"/>
      <c r="BA313" s="2746"/>
      <c r="BB313" s="2746"/>
      <c r="BC313" s="2746"/>
      <c r="BD313" s="2746"/>
      <c r="BE313" s="2746"/>
      <c r="BF313" s="2746"/>
      <c r="BG313" s="2746"/>
      <c r="BH313" s="2746"/>
      <c r="BI313" s="2746"/>
      <c r="BJ313" s="2746"/>
      <c r="BK313" s="2746"/>
      <c r="BL313" s="2746"/>
      <c r="BM313" s="2746"/>
      <c r="BN313" s="2746"/>
      <c r="BO313" s="2746"/>
      <c r="BP313" s="2746"/>
      <c r="BQ313" s="2746"/>
      <c r="BR313" s="2746"/>
      <c r="BS313" s="2746"/>
      <c r="BT313" s="2746"/>
      <c r="BU313" s="2746"/>
      <c r="BV313" s="2746"/>
      <c r="BW313" s="2746"/>
      <c r="BX313" s="2746"/>
      <c r="BY313" s="2746"/>
      <c r="BZ313" s="2746"/>
      <c r="CA313" s="2746"/>
      <c r="CB313" s="2746"/>
      <c r="CC313" s="2746"/>
      <c r="CD313" s="2746"/>
      <c r="CE313" s="2746"/>
      <c r="CF313" s="2746"/>
      <c r="CG313" s="2746"/>
      <c r="CH313" s="2746"/>
      <c r="CI313" s="2746"/>
      <c r="CJ313" s="2746"/>
      <c r="CK313" s="2746"/>
      <c r="CL313" s="2746"/>
      <c r="CM313" s="2746"/>
      <c r="CN313" s="2746"/>
    </row>
    <row r="314" spans="1:92" x14ac:dyDescent="0.2">
      <c r="A314" s="2746"/>
      <c r="B314" s="2746"/>
      <c r="C314" s="2746"/>
      <c r="D314" s="2746"/>
      <c r="E314" s="2746"/>
      <c r="F314" s="2746"/>
      <c r="G314" s="2746"/>
      <c r="H314" s="2746"/>
      <c r="I314" s="2746"/>
      <c r="J314" s="2746"/>
      <c r="K314" s="2746"/>
      <c r="L314" s="2746"/>
      <c r="M314" s="2746"/>
      <c r="N314" s="2746"/>
      <c r="O314" s="2746"/>
      <c r="P314" s="2746"/>
      <c r="Q314" s="2746"/>
      <c r="R314" s="2746"/>
      <c r="S314" s="2746"/>
      <c r="T314" s="2746"/>
      <c r="U314" s="2746"/>
      <c r="V314" s="2746"/>
      <c r="W314" s="2746"/>
      <c r="X314" s="2746"/>
      <c r="Y314" s="2746"/>
      <c r="Z314" s="2746"/>
      <c r="AA314" s="2746"/>
      <c r="AB314" s="2746"/>
      <c r="AC314" s="2746"/>
      <c r="AD314" s="2746"/>
      <c r="AE314" s="2746"/>
      <c r="AF314" s="2746"/>
      <c r="AG314" s="2746"/>
      <c r="AH314" s="2746"/>
      <c r="AI314" s="2746"/>
      <c r="AJ314" s="2746"/>
      <c r="AK314" s="2746"/>
      <c r="AL314" s="2746"/>
      <c r="AM314" s="2746"/>
      <c r="AN314" s="2746"/>
      <c r="AO314" s="2746"/>
      <c r="AP314" s="2746"/>
      <c r="AQ314" s="2746"/>
      <c r="AR314" s="2746"/>
      <c r="AS314" s="2746"/>
      <c r="AT314" s="2746"/>
      <c r="AU314" s="2746"/>
      <c r="AV314" s="2746"/>
      <c r="AW314" s="2746"/>
      <c r="AX314" s="2746"/>
      <c r="AY314" s="2746"/>
      <c r="AZ314" s="2746"/>
      <c r="BA314" s="2746"/>
      <c r="BB314" s="2746"/>
      <c r="BC314" s="2746"/>
      <c r="BD314" s="2746"/>
      <c r="BE314" s="2746"/>
      <c r="BF314" s="2746"/>
      <c r="BG314" s="2746"/>
      <c r="BH314" s="2746"/>
      <c r="BI314" s="2746"/>
      <c r="BJ314" s="2746"/>
      <c r="BK314" s="2746"/>
      <c r="BL314" s="2746"/>
      <c r="BM314" s="2746"/>
      <c r="BN314" s="2746"/>
      <c r="BO314" s="2746"/>
      <c r="BP314" s="2746"/>
      <c r="BQ314" s="2746"/>
      <c r="BR314" s="2746"/>
      <c r="BS314" s="2746"/>
      <c r="BT314" s="2746"/>
      <c r="BU314" s="2746"/>
      <c r="BV314" s="2746"/>
      <c r="BW314" s="2746"/>
      <c r="BX314" s="2746"/>
      <c r="BY314" s="2746"/>
      <c r="BZ314" s="2746"/>
      <c r="CA314" s="2746"/>
      <c r="CB314" s="2746"/>
      <c r="CC314" s="2746"/>
      <c r="CD314" s="2746"/>
      <c r="CE314" s="2746"/>
      <c r="CF314" s="2746"/>
      <c r="CG314" s="2746"/>
      <c r="CH314" s="2746"/>
      <c r="CI314" s="2746"/>
      <c r="CJ314" s="2746"/>
      <c r="CK314" s="2746"/>
      <c r="CL314" s="2746"/>
      <c r="CM314" s="2746"/>
      <c r="CN314" s="2746"/>
    </row>
    <row r="315" spans="1:92" x14ac:dyDescent="0.2">
      <c r="A315" s="2746"/>
      <c r="B315" s="2746"/>
      <c r="C315" s="2746"/>
      <c r="D315" s="2746"/>
      <c r="E315" s="2746"/>
      <c r="F315" s="2746"/>
      <c r="G315" s="2746"/>
      <c r="H315" s="2746"/>
      <c r="I315" s="2746"/>
      <c r="J315" s="2746"/>
      <c r="K315" s="2746"/>
      <c r="L315" s="2746"/>
      <c r="M315" s="2746"/>
      <c r="N315" s="2746"/>
      <c r="O315" s="2746"/>
      <c r="P315" s="2746"/>
      <c r="Q315" s="2746"/>
      <c r="R315" s="2746"/>
      <c r="S315" s="2746"/>
      <c r="T315" s="2746"/>
      <c r="U315" s="2746"/>
      <c r="V315" s="2746"/>
      <c r="W315" s="2746"/>
      <c r="X315" s="2746"/>
      <c r="Y315" s="2746"/>
      <c r="Z315" s="2746"/>
      <c r="AA315" s="2746"/>
      <c r="AB315" s="2746"/>
      <c r="AC315" s="2746"/>
      <c r="AD315" s="2746"/>
      <c r="AE315" s="2746"/>
      <c r="AF315" s="2746"/>
      <c r="AG315" s="2746"/>
      <c r="AH315" s="2746"/>
      <c r="AI315" s="2746"/>
      <c r="AJ315" s="2746"/>
      <c r="AK315" s="2746"/>
      <c r="AL315" s="2746"/>
      <c r="AM315" s="2746"/>
      <c r="AN315" s="2746"/>
      <c r="AO315" s="2746"/>
      <c r="AP315" s="2746"/>
      <c r="AQ315" s="2746"/>
      <c r="AR315" s="2746"/>
      <c r="AS315" s="2746"/>
      <c r="AT315" s="2746"/>
      <c r="AU315" s="2746"/>
      <c r="AV315" s="2746"/>
      <c r="AW315" s="2746"/>
      <c r="AX315" s="2746"/>
      <c r="AY315" s="2746"/>
      <c r="AZ315" s="2746"/>
      <c r="BA315" s="2746"/>
      <c r="BB315" s="2746"/>
      <c r="BC315" s="2746"/>
      <c r="BD315" s="2746"/>
      <c r="BE315" s="2746"/>
      <c r="BF315" s="2746"/>
      <c r="BG315" s="2746"/>
      <c r="BH315" s="2746"/>
      <c r="BI315" s="2746"/>
      <c r="BJ315" s="2746"/>
      <c r="BK315" s="2746"/>
      <c r="BL315" s="2746"/>
      <c r="BM315" s="2746"/>
      <c r="BN315" s="2746"/>
      <c r="BO315" s="2746"/>
      <c r="BP315" s="2746"/>
      <c r="BQ315" s="2746"/>
      <c r="BR315" s="2746"/>
      <c r="BS315" s="2746"/>
      <c r="BT315" s="2746"/>
      <c r="BU315" s="2746"/>
      <c r="BV315" s="2746"/>
      <c r="BW315" s="2746"/>
      <c r="BX315" s="2746"/>
      <c r="BY315" s="2746"/>
      <c r="BZ315" s="2746"/>
      <c r="CA315" s="2746"/>
      <c r="CB315" s="2746"/>
      <c r="CC315" s="2746"/>
      <c r="CD315" s="2746"/>
      <c r="CE315" s="2746"/>
      <c r="CF315" s="2746"/>
      <c r="CG315" s="2746"/>
      <c r="CH315" s="2746"/>
      <c r="CI315" s="2746"/>
      <c r="CJ315" s="2746"/>
      <c r="CK315" s="2746"/>
      <c r="CL315" s="2746"/>
      <c r="CM315" s="2746"/>
      <c r="CN315" s="2746"/>
    </row>
    <row r="316" spans="1:92" x14ac:dyDescent="0.2">
      <c r="A316" s="2746"/>
      <c r="B316" s="2746"/>
      <c r="C316" s="2746"/>
      <c r="D316" s="2746"/>
      <c r="E316" s="2746"/>
      <c r="F316" s="2746"/>
      <c r="G316" s="2746"/>
      <c r="H316" s="2746"/>
      <c r="I316" s="2746"/>
      <c r="J316" s="2746"/>
      <c r="K316" s="2746"/>
      <c r="L316" s="2746"/>
      <c r="M316" s="2746"/>
      <c r="N316" s="2746"/>
      <c r="O316" s="2746"/>
      <c r="P316" s="2746"/>
      <c r="Q316" s="2746"/>
      <c r="R316" s="2746"/>
      <c r="S316" s="2746"/>
      <c r="T316" s="2746"/>
      <c r="U316" s="2746"/>
      <c r="V316" s="2746"/>
      <c r="W316" s="2746"/>
      <c r="X316" s="2746"/>
      <c r="Y316" s="2746"/>
      <c r="Z316" s="2746"/>
      <c r="AA316" s="2746"/>
      <c r="AB316" s="2746"/>
      <c r="AC316" s="2746"/>
      <c r="AD316" s="2746"/>
      <c r="AE316" s="2746"/>
      <c r="AF316" s="2746"/>
      <c r="AG316" s="2746"/>
      <c r="AH316" s="2746"/>
      <c r="AI316" s="2746"/>
      <c r="AJ316" s="2746"/>
      <c r="AK316" s="2746"/>
      <c r="AL316" s="2746"/>
      <c r="AM316" s="2746"/>
      <c r="AN316" s="2746"/>
      <c r="AO316" s="2746"/>
      <c r="AP316" s="2746"/>
      <c r="AQ316" s="2746"/>
      <c r="AR316" s="2746"/>
      <c r="AS316" s="2746"/>
      <c r="AT316" s="2746"/>
      <c r="AU316" s="2746"/>
      <c r="AV316" s="2746"/>
      <c r="AW316" s="2746"/>
      <c r="AX316" s="2746"/>
      <c r="AY316" s="2746"/>
      <c r="AZ316" s="2746"/>
      <c r="BA316" s="2746"/>
      <c r="BB316" s="2746"/>
      <c r="BC316" s="2746"/>
      <c r="BD316" s="2746"/>
      <c r="BE316" s="2746"/>
      <c r="BF316" s="2746"/>
      <c r="BG316" s="2746"/>
      <c r="BH316" s="2746"/>
      <c r="BI316" s="2746"/>
      <c r="BJ316" s="2746"/>
      <c r="BK316" s="2746"/>
      <c r="BL316" s="2746"/>
      <c r="BM316" s="2746"/>
      <c r="BN316" s="2746"/>
      <c r="BO316" s="2746"/>
      <c r="BP316" s="2746"/>
      <c r="BQ316" s="2746"/>
      <c r="BR316" s="2746"/>
      <c r="BS316" s="2746"/>
      <c r="BT316" s="2746"/>
      <c r="BU316" s="2746"/>
      <c r="BV316" s="2746"/>
      <c r="BW316" s="2746"/>
      <c r="BX316" s="2746"/>
      <c r="BY316" s="2746"/>
      <c r="BZ316" s="2746"/>
      <c r="CA316" s="2746"/>
      <c r="CB316" s="2746"/>
      <c r="CC316" s="2746"/>
      <c r="CD316" s="2746"/>
      <c r="CE316" s="2746"/>
      <c r="CF316" s="2746"/>
      <c r="CG316" s="2746"/>
      <c r="CH316" s="2746"/>
      <c r="CI316" s="2746"/>
      <c r="CJ316" s="2746"/>
      <c r="CK316" s="2746"/>
      <c r="CL316" s="2746"/>
      <c r="CM316" s="2746"/>
      <c r="CN316" s="2746"/>
    </row>
    <row r="317" spans="1:92" x14ac:dyDescent="0.2">
      <c r="A317" s="2746"/>
      <c r="B317" s="2746"/>
      <c r="C317" s="2746"/>
      <c r="D317" s="2746"/>
      <c r="E317" s="2746"/>
      <c r="F317" s="2746"/>
      <c r="G317" s="2746"/>
      <c r="H317" s="2746"/>
      <c r="I317" s="2746"/>
      <c r="J317" s="2746"/>
      <c r="K317" s="2746"/>
      <c r="L317" s="2746"/>
      <c r="M317" s="2746"/>
      <c r="N317" s="2746"/>
      <c r="O317" s="2746"/>
      <c r="P317" s="2746"/>
      <c r="Q317" s="2746"/>
      <c r="R317" s="2746"/>
      <c r="S317" s="2746"/>
      <c r="T317" s="2746"/>
      <c r="U317" s="2746"/>
      <c r="V317" s="2746"/>
      <c r="W317" s="2746"/>
      <c r="X317" s="2746"/>
      <c r="Y317" s="2746"/>
      <c r="Z317" s="2746"/>
      <c r="AA317" s="2746"/>
      <c r="AB317" s="2746"/>
      <c r="AC317" s="2746"/>
      <c r="AD317" s="2746"/>
      <c r="AE317" s="2746"/>
      <c r="AF317" s="2746"/>
      <c r="AG317" s="2746"/>
      <c r="AH317" s="2746"/>
      <c r="AI317" s="2746"/>
      <c r="AJ317" s="2746"/>
      <c r="AK317" s="2746"/>
      <c r="AL317" s="2746"/>
      <c r="AM317" s="2746"/>
      <c r="AN317" s="2746"/>
      <c r="AO317" s="2746"/>
      <c r="AP317" s="2746"/>
      <c r="AQ317" s="2746"/>
      <c r="AR317" s="2746"/>
      <c r="AS317" s="2746"/>
      <c r="AT317" s="2746"/>
      <c r="AU317" s="2746"/>
      <c r="AV317" s="2746"/>
      <c r="AW317" s="2746"/>
      <c r="AX317" s="2746"/>
      <c r="AY317" s="2746"/>
      <c r="AZ317" s="2746"/>
      <c r="BA317" s="2746"/>
      <c r="BB317" s="2746"/>
      <c r="BC317" s="2746"/>
      <c r="BD317" s="2746"/>
      <c r="BE317" s="2746"/>
      <c r="BF317" s="2746"/>
      <c r="BG317" s="2746"/>
      <c r="BH317" s="2746"/>
      <c r="BI317" s="2746"/>
      <c r="BJ317" s="2746"/>
      <c r="BK317" s="2746"/>
      <c r="BL317" s="2746"/>
      <c r="BM317" s="2746"/>
      <c r="BN317" s="2746"/>
      <c r="BO317" s="2746"/>
      <c r="BP317" s="2746"/>
      <c r="BQ317" s="2746"/>
      <c r="BR317" s="2746"/>
      <c r="BS317" s="2746"/>
      <c r="BT317" s="2746"/>
      <c r="BU317" s="2746"/>
      <c r="BV317" s="2746"/>
      <c r="BW317" s="2746"/>
      <c r="BX317" s="2746"/>
      <c r="BY317" s="2746"/>
      <c r="BZ317" s="2746"/>
      <c r="CA317" s="2746"/>
      <c r="CB317" s="2746"/>
      <c r="CC317" s="2746"/>
      <c r="CD317" s="2746"/>
      <c r="CE317" s="2746"/>
      <c r="CF317" s="2746"/>
      <c r="CG317" s="2746"/>
      <c r="CH317" s="2746"/>
      <c r="CI317" s="2746"/>
      <c r="CJ317" s="2746"/>
      <c r="CK317" s="2746"/>
      <c r="CL317" s="2746"/>
      <c r="CM317" s="2746"/>
      <c r="CN317" s="2746"/>
    </row>
    <row r="318" spans="1:92" x14ac:dyDescent="0.2">
      <c r="A318" s="2746"/>
      <c r="B318" s="2746"/>
      <c r="C318" s="2746"/>
      <c r="D318" s="2746"/>
      <c r="E318" s="2746"/>
      <c r="F318" s="2746"/>
      <c r="G318" s="2746"/>
      <c r="H318" s="2746"/>
      <c r="I318" s="2746"/>
      <c r="J318" s="2746"/>
      <c r="K318" s="2746"/>
      <c r="L318" s="2746"/>
      <c r="M318" s="2746"/>
      <c r="N318" s="2746"/>
      <c r="O318" s="2746"/>
      <c r="P318" s="2746"/>
      <c r="Q318" s="2746"/>
      <c r="R318" s="2746"/>
      <c r="S318" s="2746"/>
      <c r="T318" s="2746"/>
      <c r="U318" s="2746"/>
      <c r="V318" s="2746"/>
      <c r="W318" s="2746"/>
      <c r="X318" s="2746"/>
      <c r="Y318" s="2746"/>
      <c r="Z318" s="2746"/>
      <c r="AA318" s="2746"/>
      <c r="AB318" s="2746"/>
      <c r="AC318" s="2746"/>
      <c r="AD318" s="2746"/>
      <c r="AE318" s="2746"/>
      <c r="AF318" s="2746"/>
      <c r="AG318" s="2746"/>
      <c r="AH318" s="2746"/>
      <c r="AI318" s="2746"/>
      <c r="AJ318" s="2746"/>
      <c r="AK318" s="2746"/>
      <c r="AL318" s="2746"/>
      <c r="AM318" s="2746"/>
      <c r="AN318" s="2746"/>
      <c r="AO318" s="2746"/>
      <c r="AP318" s="2746"/>
      <c r="AQ318" s="2746"/>
      <c r="AR318" s="2746"/>
      <c r="AS318" s="2746"/>
      <c r="AT318" s="2746"/>
      <c r="AU318" s="2746"/>
      <c r="AV318" s="2746"/>
      <c r="AW318" s="2746"/>
      <c r="AX318" s="2746"/>
      <c r="AY318" s="2746"/>
      <c r="AZ318" s="2746"/>
      <c r="BA318" s="2746"/>
      <c r="BB318" s="2746"/>
      <c r="BC318" s="2746"/>
      <c r="BD318" s="2746"/>
      <c r="BE318" s="2746"/>
      <c r="BF318" s="2746"/>
      <c r="BG318" s="2746"/>
      <c r="BH318" s="2746"/>
      <c r="BI318" s="2746"/>
      <c r="BJ318" s="2746"/>
      <c r="BK318" s="2746"/>
      <c r="BL318" s="2746"/>
      <c r="BM318" s="2746"/>
      <c r="BN318" s="2746"/>
      <c r="BO318" s="2746"/>
      <c r="BP318" s="2746"/>
      <c r="BQ318" s="2746"/>
      <c r="BR318" s="2746"/>
      <c r="BS318" s="2746"/>
      <c r="BT318" s="2746"/>
      <c r="BU318" s="2746"/>
      <c r="BV318" s="2746"/>
      <c r="BW318" s="2746"/>
      <c r="BX318" s="2746"/>
      <c r="BY318" s="2746"/>
      <c r="BZ318" s="2746"/>
      <c r="CA318" s="2746"/>
      <c r="CB318" s="2746"/>
      <c r="CC318" s="2746"/>
      <c r="CD318" s="2746"/>
      <c r="CE318" s="2746"/>
      <c r="CF318" s="2746"/>
      <c r="CG318" s="2746"/>
      <c r="CH318" s="2746"/>
      <c r="CI318" s="2746"/>
      <c r="CJ318" s="2746"/>
      <c r="CK318" s="2746"/>
      <c r="CL318" s="2746"/>
      <c r="CM318" s="2746"/>
      <c r="CN318" s="2746"/>
    </row>
    <row r="319" spans="1:92" x14ac:dyDescent="0.2">
      <c r="A319" s="2746"/>
      <c r="B319" s="2746"/>
      <c r="C319" s="2746"/>
      <c r="D319" s="2746"/>
      <c r="E319" s="2746"/>
      <c r="F319" s="2746"/>
      <c r="G319" s="2746"/>
      <c r="H319" s="2746"/>
      <c r="I319" s="2746"/>
      <c r="J319" s="2746"/>
      <c r="K319" s="2746"/>
      <c r="L319" s="2746"/>
      <c r="M319" s="2746"/>
      <c r="N319" s="2746"/>
      <c r="O319" s="2746"/>
      <c r="P319" s="2746"/>
      <c r="Q319" s="2746"/>
      <c r="R319" s="2746"/>
      <c r="S319" s="2746"/>
      <c r="T319" s="2746"/>
      <c r="U319" s="2746"/>
      <c r="V319" s="2746"/>
      <c r="W319" s="2746"/>
      <c r="X319" s="2746"/>
      <c r="Y319" s="2746"/>
      <c r="Z319" s="2746"/>
      <c r="AA319" s="2746"/>
      <c r="AB319" s="2746"/>
      <c r="AC319" s="2746"/>
      <c r="AD319" s="2746"/>
      <c r="AE319" s="2746"/>
      <c r="AF319" s="2746"/>
      <c r="AG319" s="2746"/>
      <c r="AH319" s="2746"/>
      <c r="AI319" s="2746"/>
      <c r="AJ319" s="2746"/>
      <c r="AK319" s="2746"/>
      <c r="AL319" s="2746"/>
      <c r="AM319" s="2746"/>
      <c r="AN319" s="2746"/>
      <c r="AO319" s="2746"/>
      <c r="AP319" s="2746"/>
      <c r="AQ319" s="2746"/>
      <c r="AR319" s="2746"/>
      <c r="AS319" s="2746"/>
      <c r="AT319" s="2746"/>
      <c r="AU319" s="2746"/>
      <c r="AV319" s="2746"/>
      <c r="AW319" s="2746"/>
      <c r="AX319" s="2746"/>
      <c r="AY319" s="2746"/>
      <c r="AZ319" s="2746"/>
      <c r="BA319" s="2746"/>
      <c r="BB319" s="2746"/>
      <c r="BC319" s="2746"/>
      <c r="BD319" s="2746"/>
      <c r="BE319" s="2746"/>
      <c r="BF319" s="2746"/>
      <c r="BG319" s="2746"/>
      <c r="BH319" s="2746"/>
      <c r="BI319" s="2746"/>
      <c r="BJ319" s="2746"/>
      <c r="BK319" s="2746"/>
      <c r="BL319" s="2746"/>
      <c r="BM319" s="2746"/>
      <c r="BN319" s="2746"/>
      <c r="BO319" s="2746"/>
      <c r="BP319" s="2746"/>
      <c r="BQ319" s="2746"/>
      <c r="BR319" s="2746"/>
      <c r="BS319" s="2746"/>
      <c r="BT319" s="2746"/>
      <c r="BU319" s="2746"/>
      <c r="BV319" s="2746"/>
      <c r="BW319" s="2746"/>
      <c r="BX319" s="2746"/>
      <c r="BY319" s="2746"/>
      <c r="BZ319" s="2746"/>
      <c r="CA319" s="2746"/>
      <c r="CB319" s="2746"/>
      <c r="CC319" s="2746"/>
      <c r="CD319" s="2746"/>
      <c r="CE319" s="2746"/>
      <c r="CF319" s="2746"/>
      <c r="CG319" s="2746"/>
      <c r="CH319" s="2746"/>
      <c r="CI319" s="2746"/>
      <c r="CJ319" s="2746"/>
      <c r="CK319" s="2746"/>
      <c r="CL319" s="2746"/>
      <c r="CM319" s="2746"/>
      <c r="CN319" s="2746"/>
    </row>
    <row r="320" spans="1:92" x14ac:dyDescent="0.2">
      <c r="A320" s="2746"/>
      <c r="B320" s="2746"/>
      <c r="C320" s="2746"/>
      <c r="D320" s="2746"/>
      <c r="E320" s="2746"/>
      <c r="F320" s="2746"/>
      <c r="G320" s="2746"/>
      <c r="H320" s="2746"/>
      <c r="I320" s="2746"/>
      <c r="J320" s="2746"/>
      <c r="K320" s="2746"/>
      <c r="L320" s="2746"/>
      <c r="M320" s="2746"/>
      <c r="N320" s="2746"/>
      <c r="O320" s="2746"/>
      <c r="P320" s="2746"/>
      <c r="Q320" s="2746"/>
      <c r="R320" s="2746"/>
      <c r="S320" s="2746"/>
      <c r="T320" s="2746"/>
      <c r="U320" s="2746"/>
      <c r="V320" s="2746"/>
      <c r="W320" s="2746"/>
      <c r="X320" s="2746"/>
      <c r="Y320" s="2746"/>
      <c r="Z320" s="2746"/>
      <c r="AA320" s="2746"/>
      <c r="AB320" s="2746"/>
      <c r="AC320" s="2746"/>
      <c r="AD320" s="2746"/>
      <c r="AE320" s="2746"/>
      <c r="AF320" s="2746"/>
      <c r="AG320" s="2746"/>
      <c r="AH320" s="2746"/>
      <c r="AI320" s="2746"/>
      <c r="AJ320" s="2746"/>
      <c r="AK320" s="2746"/>
      <c r="AL320" s="2746"/>
      <c r="AM320" s="2746"/>
      <c r="AN320" s="2746"/>
      <c r="AO320" s="2746"/>
      <c r="AP320" s="2746"/>
      <c r="AQ320" s="2746"/>
      <c r="AR320" s="2746"/>
      <c r="AS320" s="2746"/>
      <c r="AT320" s="2746"/>
      <c r="AU320" s="2746"/>
      <c r="AV320" s="2746"/>
      <c r="AW320" s="2746"/>
      <c r="AX320" s="2746"/>
      <c r="AY320" s="2746"/>
      <c r="AZ320" s="2746"/>
      <c r="BA320" s="2746"/>
      <c r="BB320" s="2746"/>
      <c r="BC320" s="2746"/>
      <c r="BD320" s="2746"/>
      <c r="BE320" s="2746"/>
      <c r="BF320" s="2746"/>
      <c r="BG320" s="2746"/>
      <c r="BH320" s="2746"/>
      <c r="BI320" s="2746"/>
      <c r="BJ320" s="2746"/>
      <c r="BK320" s="2746"/>
      <c r="BL320" s="2746"/>
      <c r="BM320" s="2746"/>
      <c r="BN320" s="2746"/>
      <c r="BO320" s="2746"/>
      <c r="BP320" s="2746"/>
      <c r="BQ320" s="2746"/>
      <c r="BR320" s="2746"/>
      <c r="BS320" s="2746"/>
      <c r="BT320" s="2746"/>
      <c r="BU320" s="2746"/>
      <c r="BV320" s="2746"/>
      <c r="BW320" s="2746"/>
      <c r="BX320" s="2746"/>
      <c r="BY320" s="2746"/>
      <c r="BZ320" s="2746"/>
      <c r="CA320" s="2746"/>
      <c r="CB320" s="2746"/>
      <c r="CC320" s="2746"/>
      <c r="CD320" s="2746"/>
      <c r="CE320" s="2746"/>
      <c r="CF320" s="2746"/>
      <c r="CG320" s="2746"/>
      <c r="CH320" s="2746"/>
      <c r="CI320" s="2746"/>
      <c r="CJ320" s="2746"/>
      <c r="CK320" s="2746"/>
      <c r="CL320" s="2746"/>
      <c r="CM320" s="2746"/>
      <c r="CN320" s="2746"/>
    </row>
    <row r="321" spans="1:92" x14ac:dyDescent="0.2">
      <c r="A321" s="2746"/>
      <c r="B321" s="2746"/>
      <c r="C321" s="2746"/>
      <c r="D321" s="2746"/>
      <c r="E321" s="2746"/>
      <c r="F321" s="2746"/>
      <c r="G321" s="2746"/>
      <c r="H321" s="2746"/>
      <c r="I321" s="2746"/>
      <c r="J321" s="2746"/>
      <c r="K321" s="2746"/>
      <c r="L321" s="2746"/>
      <c r="M321" s="2746"/>
      <c r="N321" s="2746"/>
      <c r="O321" s="2746"/>
      <c r="P321" s="2746"/>
      <c r="Q321" s="2746"/>
      <c r="R321" s="2746"/>
      <c r="S321" s="2746"/>
      <c r="T321" s="2746"/>
      <c r="U321" s="2746"/>
      <c r="V321" s="2746"/>
      <c r="W321" s="2746"/>
      <c r="X321" s="2746"/>
      <c r="Y321" s="2746"/>
      <c r="Z321" s="2746"/>
      <c r="AA321" s="2746"/>
      <c r="AB321" s="2746"/>
      <c r="AC321" s="2746"/>
      <c r="AD321" s="2746"/>
      <c r="AE321" s="2746"/>
      <c r="AF321" s="2746"/>
      <c r="AG321" s="2746"/>
      <c r="AH321" s="2746"/>
      <c r="AI321" s="2746"/>
      <c r="AJ321" s="2746"/>
      <c r="AK321" s="2746"/>
      <c r="AL321" s="2746"/>
      <c r="AM321" s="2746"/>
      <c r="AN321" s="2746"/>
      <c r="AO321" s="2746"/>
      <c r="AP321" s="2746"/>
      <c r="AQ321" s="2746"/>
      <c r="AR321" s="2746"/>
      <c r="AS321" s="2746"/>
      <c r="AT321" s="2746"/>
      <c r="AU321" s="2746"/>
      <c r="AV321" s="2746"/>
      <c r="AW321" s="2746"/>
      <c r="AX321" s="2746"/>
      <c r="AY321" s="2746"/>
      <c r="AZ321" s="2746"/>
      <c r="BA321" s="2746"/>
      <c r="BB321" s="2746"/>
      <c r="BC321" s="2746"/>
      <c r="BD321" s="2746"/>
      <c r="BE321" s="2746"/>
      <c r="BF321" s="2746"/>
      <c r="BG321" s="2746"/>
      <c r="BH321" s="2746"/>
      <c r="BI321" s="2746"/>
      <c r="BJ321" s="2746"/>
      <c r="BK321" s="2746"/>
      <c r="BL321" s="2746"/>
      <c r="BM321" s="2746"/>
      <c r="BN321" s="2746"/>
      <c r="BO321" s="2746"/>
      <c r="BP321" s="2746"/>
      <c r="BQ321" s="2746"/>
      <c r="BR321" s="2746"/>
      <c r="BS321" s="2746"/>
      <c r="BT321" s="2746"/>
      <c r="BU321" s="2746"/>
      <c r="BV321" s="2746"/>
      <c r="BW321" s="2746"/>
      <c r="BX321" s="2746"/>
      <c r="BY321" s="2746"/>
      <c r="BZ321" s="2746"/>
      <c r="CA321" s="2746"/>
      <c r="CB321" s="2746"/>
      <c r="CC321" s="2746"/>
      <c r="CD321" s="2746"/>
      <c r="CE321" s="2746"/>
      <c r="CF321" s="2746"/>
      <c r="CG321" s="2746"/>
      <c r="CH321" s="2746"/>
      <c r="CI321" s="2746"/>
      <c r="CJ321" s="2746"/>
      <c r="CK321" s="2746"/>
      <c r="CL321" s="2746"/>
      <c r="CM321" s="2746"/>
      <c r="CN321" s="2746"/>
    </row>
    <row r="322" spans="1:92" x14ac:dyDescent="0.2">
      <c r="A322" s="2746"/>
      <c r="B322" s="2746"/>
      <c r="C322" s="2746"/>
      <c r="D322" s="2746"/>
      <c r="E322" s="2746"/>
      <c r="F322" s="2746"/>
      <c r="G322" s="2746"/>
      <c r="H322" s="2746"/>
      <c r="I322" s="2746"/>
      <c r="J322" s="2746"/>
      <c r="K322" s="2746"/>
      <c r="L322" s="2746"/>
      <c r="M322" s="2746"/>
      <c r="N322" s="2746"/>
      <c r="O322" s="2746"/>
      <c r="P322" s="2746"/>
      <c r="Q322" s="2746"/>
      <c r="R322" s="2746"/>
      <c r="S322" s="2746"/>
      <c r="T322" s="2746"/>
      <c r="U322" s="2746"/>
      <c r="V322" s="2746"/>
      <c r="W322" s="2746"/>
      <c r="X322" s="2746"/>
      <c r="Y322" s="2746"/>
      <c r="Z322" s="2746"/>
      <c r="AA322" s="2746"/>
      <c r="AB322" s="2746"/>
      <c r="AC322" s="2746"/>
      <c r="AD322" s="2746"/>
      <c r="AE322" s="2746"/>
      <c r="AF322" s="2746"/>
      <c r="AG322" s="2746"/>
      <c r="AH322" s="2746"/>
      <c r="AI322" s="2746"/>
      <c r="AJ322" s="2746"/>
      <c r="AK322" s="2746"/>
      <c r="AL322" s="2746"/>
      <c r="AM322" s="2746"/>
      <c r="AN322" s="2746"/>
      <c r="AO322" s="2746"/>
      <c r="AP322" s="2746"/>
      <c r="AQ322" s="2746"/>
      <c r="AR322" s="2746"/>
      <c r="AS322" s="2746"/>
      <c r="AT322" s="2746"/>
      <c r="AU322" s="2746"/>
      <c r="AV322" s="2746"/>
      <c r="AW322" s="2746"/>
      <c r="AX322" s="2746"/>
      <c r="AY322" s="2746"/>
      <c r="AZ322" s="2746"/>
      <c r="BA322" s="2746"/>
      <c r="BB322" s="2746"/>
      <c r="BC322" s="2746"/>
      <c r="BD322" s="2746"/>
      <c r="BE322" s="2746"/>
      <c r="BF322" s="2746"/>
      <c r="BG322" s="2746"/>
      <c r="BH322" s="2746"/>
      <c r="BI322" s="2746"/>
      <c r="BJ322" s="2746"/>
      <c r="BK322" s="2746"/>
      <c r="BL322" s="2746"/>
      <c r="BM322" s="2746"/>
      <c r="BN322" s="2746"/>
      <c r="BO322" s="2746"/>
      <c r="BP322" s="2746"/>
      <c r="BQ322" s="2746"/>
      <c r="BR322" s="2746"/>
      <c r="BS322" s="2746"/>
      <c r="BT322" s="2746"/>
      <c r="BU322" s="2746"/>
      <c r="BV322" s="2746"/>
      <c r="BW322" s="2746"/>
      <c r="BX322" s="2746"/>
      <c r="BY322" s="2746"/>
      <c r="BZ322" s="2746"/>
      <c r="CA322" s="2746"/>
      <c r="CB322" s="2746"/>
      <c r="CC322" s="2746"/>
      <c r="CD322" s="2746"/>
      <c r="CE322" s="2746"/>
      <c r="CF322" s="2746"/>
      <c r="CG322" s="2746"/>
      <c r="CH322" s="2746"/>
      <c r="CI322" s="2746"/>
      <c r="CJ322" s="2746"/>
      <c r="CK322" s="2746"/>
      <c r="CL322" s="2746"/>
      <c r="CM322" s="2746"/>
      <c r="CN322" s="2746"/>
    </row>
    <row r="323" spans="1:92" x14ac:dyDescent="0.2">
      <c r="A323" s="2746"/>
      <c r="B323" s="2746"/>
      <c r="C323" s="2746"/>
      <c r="D323" s="2746"/>
      <c r="E323" s="2746"/>
      <c r="F323" s="2746"/>
      <c r="G323" s="2746"/>
      <c r="H323" s="2746"/>
      <c r="I323" s="2746"/>
      <c r="J323" s="2746"/>
      <c r="K323" s="2746"/>
      <c r="L323" s="2746"/>
      <c r="M323" s="2746"/>
      <c r="N323" s="2746"/>
      <c r="O323" s="2746"/>
      <c r="P323" s="2746"/>
      <c r="Q323" s="2746"/>
      <c r="R323" s="2746"/>
      <c r="S323" s="2746"/>
      <c r="T323" s="2746"/>
      <c r="U323" s="2746"/>
      <c r="V323" s="2746"/>
      <c r="W323" s="2746"/>
      <c r="X323" s="2746"/>
      <c r="Y323" s="2746"/>
      <c r="Z323" s="2746"/>
      <c r="AA323" s="2746"/>
      <c r="AB323" s="2746"/>
      <c r="AC323" s="2746"/>
      <c r="AD323" s="2746"/>
      <c r="AE323" s="2746"/>
      <c r="AF323" s="2746"/>
      <c r="AG323" s="2746"/>
      <c r="AH323" s="2746"/>
      <c r="AI323" s="2746"/>
      <c r="AJ323" s="2746"/>
      <c r="AK323" s="2746"/>
      <c r="AL323" s="2746"/>
      <c r="AM323" s="2746"/>
      <c r="AN323" s="2746"/>
      <c r="AO323" s="2746"/>
      <c r="AP323" s="2746"/>
      <c r="AQ323" s="2746"/>
      <c r="AR323" s="2746"/>
      <c r="AS323" s="2746"/>
      <c r="AT323" s="2746"/>
      <c r="AU323" s="2746"/>
      <c r="AV323" s="2746"/>
      <c r="AW323" s="2746"/>
      <c r="AX323" s="2746"/>
      <c r="AY323" s="2746"/>
      <c r="AZ323" s="2746"/>
      <c r="BA323" s="2746"/>
      <c r="BB323" s="2746"/>
      <c r="BC323" s="2746"/>
      <c r="BD323" s="2746"/>
      <c r="BE323" s="2746"/>
      <c r="BF323" s="2746"/>
      <c r="BG323" s="2746"/>
      <c r="BH323" s="2746"/>
      <c r="BI323" s="2746"/>
      <c r="BJ323" s="2746"/>
      <c r="BK323" s="2746"/>
      <c r="BL323" s="2746"/>
      <c r="BM323" s="2746"/>
      <c r="BN323" s="2746"/>
      <c r="BO323" s="2746"/>
      <c r="BP323" s="2746"/>
      <c r="BQ323" s="2746"/>
      <c r="BR323" s="2746"/>
      <c r="BS323" s="2746"/>
      <c r="BT323" s="2746"/>
      <c r="BU323" s="2746"/>
      <c r="BV323" s="2746"/>
      <c r="BW323" s="2746"/>
      <c r="BX323" s="2746"/>
      <c r="BY323" s="2746"/>
      <c r="BZ323" s="2746"/>
      <c r="CA323" s="2746"/>
      <c r="CB323" s="2746"/>
      <c r="CC323" s="2746"/>
      <c r="CD323" s="2746"/>
      <c r="CE323" s="2746"/>
      <c r="CF323" s="2746"/>
      <c r="CG323" s="2746"/>
      <c r="CH323" s="2746"/>
      <c r="CI323" s="2746"/>
      <c r="CJ323" s="2746"/>
      <c r="CK323" s="2746"/>
      <c r="CL323" s="2746"/>
      <c r="CM323" s="2746"/>
      <c r="CN323" s="2746"/>
    </row>
    <row r="324" spans="1:92" x14ac:dyDescent="0.2">
      <c r="A324" s="2746"/>
      <c r="B324" s="2746"/>
      <c r="C324" s="2746"/>
      <c r="D324" s="2746"/>
      <c r="E324" s="2746"/>
      <c r="F324" s="2746"/>
      <c r="G324" s="2746"/>
      <c r="H324" s="2746"/>
      <c r="I324" s="2746"/>
      <c r="J324" s="2746"/>
      <c r="K324" s="2746"/>
      <c r="L324" s="2746"/>
      <c r="M324" s="2746"/>
      <c r="N324" s="2746"/>
      <c r="O324" s="2746"/>
      <c r="P324" s="2746"/>
      <c r="Q324" s="2746"/>
      <c r="R324" s="2746"/>
      <c r="S324" s="2746"/>
      <c r="T324" s="2746"/>
      <c r="U324" s="2746"/>
      <c r="V324" s="2746"/>
      <c r="W324" s="2746"/>
      <c r="X324" s="2746"/>
      <c r="Y324" s="2746"/>
      <c r="Z324" s="2746"/>
      <c r="AA324" s="2746"/>
      <c r="AB324" s="2746"/>
      <c r="AC324" s="2746"/>
      <c r="AD324" s="2746"/>
      <c r="AE324" s="2746"/>
      <c r="AF324" s="2746"/>
      <c r="AG324" s="2746"/>
      <c r="AH324" s="2746"/>
      <c r="AI324" s="2746"/>
      <c r="AJ324" s="2746"/>
      <c r="AK324" s="2746"/>
      <c r="AL324" s="2746"/>
      <c r="AM324" s="2746"/>
      <c r="AN324" s="2746"/>
      <c r="AO324" s="2746"/>
      <c r="AP324" s="2746"/>
      <c r="AQ324" s="2746"/>
      <c r="AR324" s="2746"/>
      <c r="AS324" s="2746"/>
      <c r="AT324" s="2746"/>
      <c r="AU324" s="2746"/>
      <c r="AV324" s="2746"/>
      <c r="AW324" s="2746"/>
      <c r="AX324" s="2746"/>
      <c r="AY324" s="2746"/>
      <c r="AZ324" s="2746"/>
      <c r="BA324" s="2746"/>
      <c r="BB324" s="2746"/>
      <c r="BC324" s="2746"/>
      <c r="BD324" s="2746"/>
      <c r="BE324" s="2746"/>
      <c r="BF324" s="2746"/>
      <c r="BG324" s="2746"/>
      <c r="BH324" s="2746"/>
      <c r="BI324" s="2746"/>
      <c r="BJ324" s="2746"/>
      <c r="BK324" s="2746"/>
      <c r="BL324" s="2746"/>
      <c r="BM324" s="2746"/>
      <c r="BN324" s="2746"/>
      <c r="BO324" s="2746"/>
      <c r="BP324" s="2746"/>
      <c r="BQ324" s="2746"/>
      <c r="BR324" s="2746"/>
      <c r="BS324" s="2746"/>
      <c r="BT324" s="2746"/>
      <c r="BU324" s="2746"/>
      <c r="BV324" s="2746"/>
      <c r="BW324" s="2746"/>
      <c r="BX324" s="2746"/>
      <c r="BY324" s="2746"/>
      <c r="BZ324" s="2746"/>
      <c r="CA324" s="2746"/>
      <c r="CB324" s="2746"/>
      <c r="CC324" s="2746"/>
      <c r="CD324" s="2746"/>
      <c r="CE324" s="2746"/>
      <c r="CF324" s="2746"/>
      <c r="CG324" s="2746"/>
      <c r="CH324" s="2746"/>
      <c r="CI324" s="2746"/>
      <c r="CJ324" s="2746"/>
      <c r="CK324" s="2746"/>
      <c r="CL324" s="2746"/>
      <c r="CM324" s="2746"/>
      <c r="CN324" s="2746"/>
    </row>
    <row r="325" spans="1:92" x14ac:dyDescent="0.2">
      <c r="A325" s="2746"/>
      <c r="B325" s="2746"/>
      <c r="C325" s="2746"/>
      <c r="D325" s="2746"/>
      <c r="E325" s="2746"/>
      <c r="F325" s="2746"/>
      <c r="G325" s="2746"/>
      <c r="H325" s="2746"/>
      <c r="I325" s="2746"/>
      <c r="J325" s="2746"/>
      <c r="K325" s="2746"/>
      <c r="L325" s="2746"/>
      <c r="M325" s="2746"/>
      <c r="N325" s="2746"/>
      <c r="O325" s="2746"/>
      <c r="P325" s="2746"/>
      <c r="Q325" s="2746"/>
      <c r="R325" s="2746"/>
      <c r="S325" s="2746"/>
      <c r="T325" s="2746"/>
      <c r="U325" s="2746"/>
      <c r="V325" s="2746"/>
      <c r="W325" s="2746"/>
      <c r="X325" s="2746"/>
      <c r="Y325" s="2746"/>
      <c r="Z325" s="2746"/>
      <c r="AA325" s="2746"/>
      <c r="AB325" s="2746"/>
      <c r="AC325" s="2746"/>
      <c r="AD325" s="2746"/>
      <c r="AE325" s="2746"/>
      <c r="AF325" s="2746"/>
      <c r="AG325" s="2746"/>
      <c r="AH325" s="2746"/>
      <c r="AI325" s="2746"/>
      <c r="AJ325" s="2746"/>
      <c r="AK325" s="2746"/>
      <c r="AL325" s="2746"/>
      <c r="AM325" s="2746"/>
      <c r="AN325" s="2746"/>
      <c r="AO325" s="2746"/>
      <c r="AP325" s="2746"/>
      <c r="AQ325" s="2746"/>
      <c r="AR325" s="2746"/>
      <c r="AS325" s="2746"/>
      <c r="AT325" s="2746"/>
      <c r="AU325" s="2746"/>
      <c r="AV325" s="2746"/>
      <c r="AW325" s="2746"/>
      <c r="AX325" s="2746"/>
      <c r="AY325" s="2746"/>
      <c r="AZ325" s="2746"/>
      <c r="BA325" s="2746"/>
      <c r="BB325" s="2746"/>
      <c r="BC325" s="2746"/>
      <c r="BD325" s="2746"/>
      <c r="BE325" s="2746"/>
      <c r="BF325" s="2746"/>
      <c r="BG325" s="2746"/>
      <c r="BH325" s="2746"/>
      <c r="BI325" s="2746"/>
      <c r="BJ325" s="2746"/>
      <c r="BK325" s="2746"/>
      <c r="BL325" s="2746"/>
      <c r="BM325" s="2746"/>
      <c r="BN325" s="2746"/>
      <c r="BO325" s="2746"/>
      <c r="BP325" s="2746"/>
      <c r="BQ325" s="2746"/>
      <c r="BR325" s="2746"/>
      <c r="BS325" s="2746"/>
      <c r="BT325" s="2746"/>
      <c r="BU325" s="2746"/>
      <c r="BV325" s="2746"/>
      <c r="BW325" s="2746"/>
      <c r="BX325" s="2746"/>
      <c r="BY325" s="2746"/>
      <c r="BZ325" s="2746"/>
      <c r="CA325" s="2746"/>
      <c r="CB325" s="2746"/>
      <c r="CC325" s="2746"/>
      <c r="CD325" s="2746"/>
      <c r="CE325" s="2746"/>
      <c r="CF325" s="2746"/>
      <c r="CG325" s="2746"/>
      <c r="CH325" s="2746"/>
      <c r="CI325" s="2746"/>
      <c r="CJ325" s="2746"/>
      <c r="CK325" s="2746"/>
      <c r="CL325" s="2746"/>
      <c r="CM325" s="2746"/>
      <c r="CN325" s="2746"/>
    </row>
    <row r="326" spans="1:92" x14ac:dyDescent="0.2">
      <c r="A326" s="2746"/>
      <c r="B326" s="2746"/>
      <c r="C326" s="2746"/>
      <c r="D326" s="2746"/>
      <c r="E326" s="2746"/>
      <c r="F326" s="2746"/>
      <c r="G326" s="2746"/>
      <c r="H326" s="2746"/>
      <c r="I326" s="2746"/>
      <c r="J326" s="2746"/>
      <c r="K326" s="2746"/>
      <c r="L326" s="2746"/>
      <c r="M326" s="2746"/>
      <c r="N326" s="2746"/>
      <c r="O326" s="2746"/>
      <c r="P326" s="2746"/>
      <c r="Q326" s="2746"/>
      <c r="R326" s="2746"/>
      <c r="S326" s="2746"/>
      <c r="T326" s="2746"/>
      <c r="U326" s="2746"/>
      <c r="V326" s="2746"/>
      <c r="W326" s="2746"/>
      <c r="X326" s="2746"/>
      <c r="Y326" s="2746"/>
      <c r="Z326" s="2746"/>
      <c r="AA326" s="2746"/>
      <c r="AB326" s="2746"/>
      <c r="AC326" s="2746"/>
      <c r="AD326" s="2746"/>
      <c r="AE326" s="2746"/>
      <c r="AF326" s="2746"/>
      <c r="AG326" s="2746"/>
      <c r="AH326" s="2746"/>
      <c r="AI326" s="2746"/>
      <c r="AJ326" s="2746"/>
      <c r="AK326" s="2746"/>
      <c r="AL326" s="2746"/>
      <c r="AM326" s="2746"/>
      <c r="AN326" s="2746"/>
      <c r="AO326" s="2746"/>
      <c r="AP326" s="2746"/>
      <c r="AQ326" s="2746"/>
      <c r="AR326" s="2746"/>
      <c r="AS326" s="2746"/>
      <c r="AT326" s="2746"/>
      <c r="AU326" s="2746"/>
      <c r="AV326" s="2746"/>
      <c r="AW326" s="2746"/>
      <c r="AX326" s="2746"/>
      <c r="AY326" s="2746"/>
      <c r="AZ326" s="2746"/>
      <c r="BA326" s="2746"/>
      <c r="BB326" s="2746"/>
      <c r="BC326" s="2746"/>
      <c r="BD326" s="2746"/>
      <c r="BE326" s="2746"/>
      <c r="BF326" s="2746"/>
      <c r="BG326" s="2746"/>
      <c r="BH326" s="2746"/>
      <c r="BI326" s="2746"/>
      <c r="BJ326" s="2746"/>
      <c r="BK326" s="2746"/>
      <c r="BL326" s="2746"/>
      <c r="BM326" s="2746"/>
      <c r="BN326" s="2746"/>
      <c r="BO326" s="2746"/>
      <c r="BP326" s="2746"/>
      <c r="BQ326" s="2746"/>
      <c r="BR326" s="2746"/>
      <c r="BS326" s="2746"/>
      <c r="BT326" s="2746"/>
      <c r="BU326" s="2746"/>
      <c r="BV326" s="2746"/>
      <c r="BW326" s="2746"/>
      <c r="BX326" s="2746"/>
      <c r="BY326" s="2746"/>
      <c r="BZ326" s="2746"/>
      <c r="CA326" s="2746"/>
      <c r="CB326" s="2746"/>
      <c r="CC326" s="2746"/>
      <c r="CD326" s="2746"/>
      <c r="CE326" s="2746"/>
      <c r="CF326" s="2746"/>
      <c r="CG326" s="2746"/>
      <c r="CH326" s="2746"/>
      <c r="CI326" s="2746"/>
      <c r="CJ326" s="2746"/>
      <c r="CK326" s="2746"/>
      <c r="CL326" s="2746"/>
      <c r="CM326" s="2746"/>
      <c r="CN326" s="2746"/>
    </row>
    <row r="327" spans="1:92" x14ac:dyDescent="0.2">
      <c r="A327" s="2746"/>
      <c r="B327" s="2746"/>
      <c r="C327" s="2746"/>
      <c r="D327" s="2746"/>
      <c r="E327" s="2746"/>
      <c r="F327" s="2746"/>
      <c r="G327" s="2746"/>
      <c r="H327" s="2746"/>
      <c r="I327" s="2746"/>
      <c r="J327" s="2746"/>
      <c r="K327" s="2746"/>
      <c r="L327" s="2746"/>
      <c r="M327" s="2746"/>
      <c r="N327" s="2746"/>
      <c r="O327" s="2746"/>
      <c r="P327" s="2746"/>
      <c r="Q327" s="2746"/>
      <c r="R327" s="2746"/>
      <c r="S327" s="2746"/>
      <c r="T327" s="2746"/>
      <c r="U327" s="2746"/>
      <c r="V327" s="2746"/>
      <c r="W327" s="2746"/>
      <c r="X327" s="2746"/>
      <c r="Y327" s="2746"/>
      <c r="Z327" s="2746"/>
      <c r="AA327" s="2746"/>
      <c r="AB327" s="2746"/>
      <c r="AC327" s="2746"/>
      <c r="AD327" s="2746"/>
      <c r="AE327" s="2746"/>
      <c r="AF327" s="2746"/>
      <c r="AG327" s="2746"/>
      <c r="AH327" s="2746"/>
      <c r="AI327" s="2746"/>
      <c r="AJ327" s="2746"/>
      <c r="AK327" s="2746"/>
      <c r="AL327" s="2746"/>
      <c r="AM327" s="2746"/>
      <c r="AN327" s="2746"/>
      <c r="AO327" s="2746"/>
      <c r="AP327" s="2746"/>
      <c r="AQ327" s="2746"/>
      <c r="AR327" s="2746"/>
      <c r="AS327" s="2746"/>
      <c r="AT327" s="2746"/>
      <c r="AU327" s="2746"/>
      <c r="AV327" s="2746"/>
      <c r="AW327" s="2746"/>
      <c r="AX327" s="2746"/>
      <c r="AY327" s="2746"/>
      <c r="AZ327" s="2746"/>
      <c r="BA327" s="2746"/>
      <c r="BB327" s="2746"/>
      <c r="BC327" s="2746"/>
      <c r="BD327" s="2746"/>
      <c r="BE327" s="2746"/>
      <c r="BF327" s="2746"/>
      <c r="BG327" s="2746"/>
      <c r="BH327" s="2746"/>
      <c r="BI327" s="2746"/>
      <c r="BJ327" s="2746"/>
      <c r="BK327" s="2746"/>
      <c r="BL327" s="2746"/>
      <c r="BM327" s="2746"/>
      <c r="BN327" s="2746"/>
      <c r="BO327" s="2746"/>
      <c r="BP327" s="2746"/>
      <c r="BQ327" s="2746"/>
      <c r="BR327" s="2746"/>
      <c r="BS327" s="2746"/>
      <c r="BT327" s="2746"/>
      <c r="BU327" s="2746"/>
      <c r="BV327" s="2746"/>
      <c r="BW327" s="2746"/>
      <c r="BX327" s="2746"/>
      <c r="BY327" s="2746"/>
      <c r="BZ327" s="2746"/>
      <c r="CA327" s="2746"/>
      <c r="CB327" s="2746"/>
      <c r="CC327" s="2746"/>
      <c r="CD327" s="2746"/>
      <c r="CE327" s="2746"/>
      <c r="CF327" s="2746"/>
      <c r="CG327" s="2746"/>
      <c r="CH327" s="2746"/>
      <c r="CI327" s="2746"/>
      <c r="CJ327" s="2746"/>
      <c r="CK327" s="2746"/>
      <c r="CL327" s="2746"/>
      <c r="CM327" s="2746"/>
      <c r="CN327" s="2746"/>
    </row>
    <row r="328" spans="1:92" x14ac:dyDescent="0.2">
      <c r="A328" s="2746"/>
      <c r="B328" s="2746"/>
      <c r="C328" s="2746"/>
      <c r="D328" s="2746"/>
      <c r="E328" s="2746"/>
      <c r="F328" s="2746"/>
      <c r="G328" s="2746"/>
      <c r="H328" s="2746"/>
      <c r="I328" s="2746"/>
      <c r="J328" s="2746"/>
      <c r="K328" s="2746"/>
      <c r="L328" s="2746"/>
      <c r="M328" s="2746"/>
      <c r="N328" s="2746"/>
      <c r="O328" s="2746"/>
      <c r="P328" s="2746"/>
      <c r="Q328" s="2746"/>
      <c r="R328" s="2746"/>
      <c r="S328" s="2746"/>
      <c r="T328" s="2746"/>
      <c r="U328" s="2746"/>
      <c r="V328" s="2746"/>
      <c r="W328" s="2746"/>
      <c r="X328" s="2746"/>
      <c r="Y328" s="2746"/>
      <c r="Z328" s="2746"/>
      <c r="AA328" s="2746"/>
      <c r="AB328" s="2746"/>
      <c r="AC328" s="2746"/>
      <c r="AD328" s="2746"/>
      <c r="AE328" s="2746"/>
      <c r="AF328" s="2746"/>
      <c r="AG328" s="2746"/>
      <c r="AH328" s="2746"/>
      <c r="AI328" s="2746"/>
      <c r="AJ328" s="2746"/>
      <c r="AK328" s="2746"/>
      <c r="AL328" s="2746"/>
      <c r="AM328" s="2746"/>
      <c r="AN328" s="2746"/>
      <c r="AO328" s="2746"/>
      <c r="AP328" s="2746"/>
      <c r="AQ328" s="2746"/>
      <c r="AR328" s="2746"/>
      <c r="AS328" s="2746"/>
      <c r="AT328" s="2746"/>
      <c r="AU328" s="2746"/>
      <c r="AV328" s="2746"/>
      <c r="AW328" s="2746"/>
      <c r="AX328" s="2746"/>
      <c r="AY328" s="2746"/>
      <c r="AZ328" s="2746"/>
      <c r="BA328" s="2746"/>
      <c r="BB328" s="2746"/>
      <c r="BC328" s="2746"/>
      <c r="BD328" s="2746"/>
      <c r="BE328" s="2746"/>
      <c r="BF328" s="2746"/>
      <c r="BG328" s="2746"/>
      <c r="BH328" s="2746"/>
      <c r="BI328" s="2746"/>
      <c r="BJ328" s="2746"/>
      <c r="BK328" s="2746"/>
      <c r="BL328" s="2746"/>
      <c r="BM328" s="2746"/>
      <c r="BN328" s="2746"/>
      <c r="BO328" s="2746"/>
      <c r="BP328" s="2746"/>
      <c r="BQ328" s="2746"/>
      <c r="BR328" s="2746"/>
      <c r="BS328" s="2746"/>
      <c r="BT328" s="2746"/>
      <c r="BU328" s="2746"/>
      <c r="BV328" s="2746"/>
      <c r="BW328" s="2746"/>
      <c r="BX328" s="2746"/>
      <c r="BY328" s="2746"/>
      <c r="BZ328" s="2746"/>
      <c r="CA328" s="2746"/>
      <c r="CB328" s="2746"/>
      <c r="CC328" s="2746"/>
      <c r="CD328" s="2746"/>
      <c r="CE328" s="2746"/>
      <c r="CF328" s="2746"/>
      <c r="CG328" s="2746"/>
      <c r="CH328" s="2746"/>
      <c r="CI328" s="2746"/>
      <c r="CJ328" s="2746"/>
      <c r="CK328" s="2746"/>
      <c r="CL328" s="2746"/>
      <c r="CM328" s="2746"/>
      <c r="CN328" s="2746"/>
    </row>
    <row r="329" spans="1:92" x14ac:dyDescent="0.2">
      <c r="A329" s="2746"/>
      <c r="B329" s="2746"/>
      <c r="C329" s="2746"/>
      <c r="D329" s="2746"/>
      <c r="E329" s="2746"/>
      <c r="F329" s="2746"/>
      <c r="G329" s="2746"/>
      <c r="H329" s="2746"/>
      <c r="I329" s="2746"/>
      <c r="J329" s="2746"/>
      <c r="K329" s="2746"/>
      <c r="L329" s="2746"/>
      <c r="M329" s="2746"/>
      <c r="N329" s="2746"/>
      <c r="O329" s="2746"/>
      <c r="P329" s="2746"/>
      <c r="Q329" s="2746"/>
      <c r="R329" s="2746"/>
      <c r="S329" s="2746"/>
      <c r="T329" s="2746"/>
      <c r="U329" s="2746"/>
      <c r="V329" s="2746"/>
      <c r="W329" s="2746"/>
      <c r="X329" s="2746"/>
      <c r="Y329" s="2746"/>
      <c r="Z329" s="2746"/>
      <c r="AA329" s="2746"/>
      <c r="AB329" s="2746"/>
      <c r="AC329" s="2746"/>
      <c r="AD329" s="2746"/>
      <c r="AE329" s="2746"/>
      <c r="AF329" s="2746"/>
      <c r="AG329" s="2746"/>
      <c r="AH329" s="2746"/>
      <c r="AI329" s="2746"/>
      <c r="AJ329" s="2746"/>
      <c r="AK329" s="2746"/>
      <c r="AL329" s="2746"/>
      <c r="AM329" s="2746"/>
      <c r="AN329" s="2746"/>
      <c r="AO329" s="2746"/>
      <c r="AP329" s="2746"/>
      <c r="AQ329" s="2746"/>
      <c r="AR329" s="2746"/>
      <c r="AS329" s="2746"/>
      <c r="AT329" s="2746"/>
      <c r="AU329" s="2746"/>
      <c r="AV329" s="2746"/>
      <c r="AW329" s="2746"/>
      <c r="AX329" s="2746"/>
      <c r="AY329" s="2746"/>
      <c r="AZ329" s="2746"/>
      <c r="BA329" s="2746"/>
      <c r="BB329" s="2746"/>
      <c r="BC329" s="2746"/>
      <c r="BD329" s="2746"/>
      <c r="BE329" s="2746"/>
      <c r="BF329" s="2746"/>
      <c r="BG329" s="2746"/>
      <c r="BH329" s="2746"/>
      <c r="BI329" s="2746"/>
      <c r="BJ329" s="2746"/>
      <c r="BK329" s="2746"/>
      <c r="BL329" s="2746"/>
      <c r="BM329" s="2746"/>
      <c r="BN329" s="2746"/>
      <c r="BO329" s="2746"/>
      <c r="BP329" s="2746"/>
      <c r="BQ329" s="2746"/>
      <c r="BR329" s="2746"/>
      <c r="BS329" s="2746"/>
      <c r="BT329" s="2746"/>
      <c r="BU329" s="2746"/>
      <c r="BV329" s="2746"/>
      <c r="BW329" s="2746"/>
      <c r="BX329" s="2746"/>
      <c r="BY329" s="2746"/>
      <c r="BZ329" s="2746"/>
      <c r="CA329" s="2746"/>
      <c r="CB329" s="2746"/>
      <c r="CC329" s="2746"/>
      <c r="CD329" s="2746"/>
      <c r="CE329" s="2746"/>
      <c r="CF329" s="2746"/>
      <c r="CG329" s="2746"/>
      <c r="CH329" s="2746"/>
      <c r="CI329" s="2746"/>
      <c r="CJ329" s="2746"/>
      <c r="CK329" s="2746"/>
      <c r="CL329" s="2746"/>
      <c r="CM329" s="2746"/>
      <c r="CN329" s="2746"/>
    </row>
    <row r="330" spans="1:92" x14ac:dyDescent="0.2">
      <c r="A330" s="2746"/>
      <c r="B330" s="2746"/>
      <c r="C330" s="2746"/>
      <c r="D330" s="2746"/>
      <c r="E330" s="2746"/>
      <c r="F330" s="2746"/>
      <c r="G330" s="2746"/>
      <c r="H330" s="2746"/>
      <c r="I330" s="2746"/>
      <c r="J330" s="2746"/>
      <c r="K330" s="2746"/>
      <c r="L330" s="2746"/>
      <c r="M330" s="2746"/>
      <c r="N330" s="2746"/>
      <c r="O330" s="2746"/>
      <c r="P330" s="2746"/>
      <c r="Q330" s="2746"/>
      <c r="R330" s="2746"/>
      <c r="S330" s="2746"/>
      <c r="T330" s="2746"/>
      <c r="U330" s="2746"/>
      <c r="V330" s="2746"/>
      <c r="W330" s="2746"/>
      <c r="X330" s="2746"/>
      <c r="Y330" s="2746"/>
      <c r="Z330" s="2746"/>
      <c r="AA330" s="2746"/>
      <c r="AB330" s="2746"/>
      <c r="AC330" s="2746"/>
      <c r="AD330" s="2746"/>
      <c r="AE330" s="2746"/>
      <c r="AF330" s="2746"/>
      <c r="AG330" s="2746"/>
      <c r="AH330" s="2746"/>
      <c r="AI330" s="2746"/>
      <c r="AJ330" s="2746"/>
      <c r="AK330" s="2746"/>
      <c r="AL330" s="2746"/>
      <c r="AM330" s="2746"/>
      <c r="AN330" s="2746"/>
      <c r="AO330" s="2746"/>
      <c r="AP330" s="2746"/>
      <c r="AQ330" s="2746"/>
      <c r="AR330" s="2746"/>
      <c r="AS330" s="2746"/>
      <c r="AT330" s="2746"/>
      <c r="AU330" s="2746"/>
      <c r="AV330" s="2746"/>
      <c r="AW330" s="2746"/>
      <c r="AX330" s="2746"/>
      <c r="AY330" s="2746"/>
      <c r="AZ330" s="2746"/>
      <c r="BA330" s="2746"/>
      <c r="BB330" s="2746"/>
      <c r="BC330" s="2746"/>
      <c r="BD330" s="2746"/>
      <c r="BE330" s="2746"/>
      <c r="BF330" s="2746"/>
      <c r="BG330" s="2746"/>
      <c r="BH330" s="2746"/>
      <c r="BI330" s="2746"/>
      <c r="BJ330" s="2746"/>
      <c r="BK330" s="2746"/>
      <c r="BL330" s="2746"/>
      <c r="BM330" s="2746"/>
      <c r="BN330" s="2746"/>
      <c r="BO330" s="2746"/>
      <c r="BP330" s="2746"/>
      <c r="BQ330" s="2746"/>
      <c r="BR330" s="2746"/>
      <c r="BS330" s="2746"/>
      <c r="BT330" s="2746"/>
      <c r="BU330" s="2746"/>
      <c r="BV330" s="2746"/>
      <c r="BW330" s="2746"/>
      <c r="BX330" s="2746"/>
      <c r="BY330" s="2746"/>
      <c r="BZ330" s="2746"/>
      <c r="CA330" s="2746"/>
      <c r="CB330" s="2746"/>
      <c r="CC330" s="2746"/>
      <c r="CD330" s="2746"/>
      <c r="CE330" s="2746"/>
      <c r="CF330" s="2746"/>
      <c r="CG330" s="2746"/>
      <c r="CH330" s="2746"/>
      <c r="CI330" s="2746"/>
      <c r="CJ330" s="2746"/>
      <c r="CK330" s="2746"/>
      <c r="CL330" s="2746"/>
      <c r="CM330" s="2746"/>
      <c r="CN330" s="2746"/>
    </row>
    <row r="331" spans="1:92" x14ac:dyDescent="0.2">
      <c r="A331" s="2746"/>
      <c r="B331" s="2746"/>
      <c r="C331" s="2746"/>
      <c r="D331" s="2746"/>
      <c r="E331" s="2746"/>
      <c r="F331" s="2746"/>
      <c r="G331" s="2746"/>
      <c r="H331" s="2746"/>
      <c r="I331" s="2746"/>
      <c r="J331" s="2746"/>
      <c r="K331" s="2746"/>
      <c r="L331" s="2746"/>
      <c r="M331" s="2746"/>
      <c r="N331" s="2746"/>
      <c r="O331" s="2746"/>
      <c r="P331" s="2746"/>
      <c r="Q331" s="2746"/>
      <c r="R331" s="2746"/>
      <c r="S331" s="2746"/>
      <c r="T331" s="2746"/>
      <c r="U331" s="2746"/>
      <c r="V331" s="2746"/>
      <c r="W331" s="2746"/>
      <c r="X331" s="2746"/>
      <c r="Y331" s="2746"/>
      <c r="Z331" s="2746"/>
      <c r="AA331" s="2746"/>
      <c r="AB331" s="2746"/>
      <c r="AC331" s="2746"/>
      <c r="AD331" s="2746"/>
      <c r="AE331" s="2746"/>
      <c r="AF331" s="2746"/>
      <c r="AG331" s="2746"/>
      <c r="AH331" s="2746"/>
      <c r="AI331" s="2746"/>
      <c r="AJ331" s="2746"/>
      <c r="AK331" s="2746"/>
      <c r="AL331" s="2746"/>
      <c r="AM331" s="2746"/>
      <c r="AN331" s="2746"/>
      <c r="AO331" s="2746"/>
      <c r="AP331" s="2746"/>
      <c r="AQ331" s="2746"/>
      <c r="AR331" s="2746"/>
      <c r="AS331" s="2746"/>
      <c r="AT331" s="2746"/>
      <c r="AU331" s="2746"/>
      <c r="AV331" s="2746"/>
      <c r="AW331" s="2746"/>
      <c r="AX331" s="2746"/>
      <c r="AY331" s="2746"/>
      <c r="AZ331" s="2746"/>
      <c r="BA331" s="2746"/>
      <c r="BB331" s="2746"/>
      <c r="BC331" s="2746"/>
      <c r="BD331" s="2746"/>
      <c r="BE331" s="2746"/>
      <c r="BF331" s="2746"/>
      <c r="BG331" s="2746"/>
      <c r="BH331" s="2746"/>
      <c r="BI331" s="2746"/>
      <c r="BJ331" s="2746"/>
      <c r="BK331" s="2746"/>
      <c r="BL331" s="2746"/>
      <c r="BM331" s="2746"/>
      <c r="BN331" s="2746"/>
      <c r="BO331" s="2746"/>
      <c r="BP331" s="2746"/>
      <c r="BQ331" s="2746"/>
      <c r="BR331" s="2746"/>
      <c r="BS331" s="2746"/>
      <c r="BT331" s="2746"/>
      <c r="BU331" s="2746"/>
      <c r="BV331" s="2746"/>
      <c r="BW331" s="2746"/>
      <c r="BX331" s="2746"/>
      <c r="BY331" s="2746"/>
      <c r="BZ331" s="2746"/>
      <c r="CA331" s="2746"/>
      <c r="CB331" s="2746"/>
      <c r="CC331" s="2746"/>
      <c r="CD331" s="2746"/>
      <c r="CE331" s="2746"/>
      <c r="CF331" s="2746"/>
      <c r="CG331" s="2746"/>
      <c r="CH331" s="2746"/>
      <c r="CI331" s="2746"/>
      <c r="CJ331" s="2746"/>
      <c r="CK331" s="2746"/>
      <c r="CL331" s="2746"/>
      <c r="CM331" s="2746"/>
      <c r="CN331" s="2746"/>
    </row>
    <row r="332" spans="1:92" x14ac:dyDescent="0.2">
      <c r="A332" s="2746"/>
      <c r="B332" s="2746"/>
      <c r="C332" s="2746"/>
      <c r="D332" s="2746"/>
      <c r="E332" s="2746"/>
      <c r="F332" s="2746"/>
      <c r="G332" s="2746"/>
      <c r="H332" s="2746"/>
      <c r="I332" s="2746"/>
      <c r="J332" s="2746"/>
      <c r="K332" s="2746"/>
      <c r="L332" s="2746"/>
      <c r="M332" s="2746"/>
      <c r="N332" s="2746"/>
      <c r="O332" s="2746"/>
      <c r="P332" s="2746"/>
      <c r="Q332" s="2746"/>
      <c r="R332" s="2746"/>
      <c r="S332" s="2746"/>
      <c r="T332" s="2746"/>
      <c r="U332" s="2746"/>
      <c r="V332" s="2746"/>
      <c r="W332" s="2746"/>
      <c r="X332" s="2746"/>
      <c r="Y332" s="2746"/>
      <c r="Z332" s="2746"/>
      <c r="AA332" s="2746"/>
      <c r="AB332" s="2746"/>
      <c r="AC332" s="2746"/>
      <c r="AD332" s="2746"/>
      <c r="AE332" s="2746"/>
      <c r="AF332" s="2746"/>
      <c r="AG332" s="2746"/>
      <c r="AH332" s="2746"/>
      <c r="AI332" s="2746"/>
      <c r="AJ332" s="2746"/>
      <c r="AK332" s="2746"/>
      <c r="AL332" s="2746"/>
      <c r="AM332" s="2746"/>
      <c r="AN332" s="2746"/>
      <c r="AO332" s="2746"/>
      <c r="AP332" s="2746"/>
      <c r="AQ332" s="2746"/>
      <c r="AR332" s="2746"/>
      <c r="AS332" s="2746"/>
      <c r="AT332" s="2746"/>
      <c r="AU332" s="2746"/>
      <c r="AV332" s="2746"/>
      <c r="AW332" s="2746"/>
      <c r="AX332" s="2746"/>
      <c r="AY332" s="2746"/>
      <c r="AZ332" s="2746"/>
      <c r="BA332" s="2746"/>
      <c r="BB332" s="2746"/>
      <c r="BC332" s="2746"/>
      <c r="BD332" s="2746"/>
      <c r="BE332" s="2746"/>
      <c r="BF332" s="2746"/>
      <c r="BG332" s="2746"/>
      <c r="BH332" s="2746"/>
      <c r="BI332" s="2746"/>
      <c r="BJ332" s="2746"/>
      <c r="BK332" s="2746"/>
      <c r="BL332" s="2746"/>
      <c r="BM332" s="2746"/>
      <c r="BN332" s="2746"/>
      <c r="BO332" s="2746"/>
      <c r="BP332" s="2746"/>
      <c r="BQ332" s="2746"/>
      <c r="BR332" s="2746"/>
      <c r="BS332" s="2746"/>
      <c r="BT332" s="2746"/>
      <c r="BU332" s="2746"/>
      <c r="BV332" s="2746"/>
      <c r="BW332" s="2746"/>
      <c r="BX332" s="2746"/>
      <c r="BY332" s="2746"/>
      <c r="BZ332" s="2746"/>
      <c r="CA332" s="2746"/>
      <c r="CB332" s="2746"/>
      <c r="CC332" s="2746"/>
      <c r="CD332" s="2746"/>
      <c r="CE332" s="2746"/>
      <c r="CF332" s="2746"/>
      <c r="CG332" s="2746"/>
      <c r="CH332" s="2746"/>
      <c r="CI332" s="2746"/>
      <c r="CJ332" s="2746"/>
      <c r="CK332" s="2746"/>
      <c r="CL332" s="2746"/>
      <c r="CM332" s="2746"/>
      <c r="CN332" s="2746"/>
    </row>
    <row r="333" spans="1:92" x14ac:dyDescent="0.2">
      <c r="A333" s="2746"/>
      <c r="B333" s="2746"/>
      <c r="C333" s="2746"/>
      <c r="D333" s="2746"/>
      <c r="E333" s="2746"/>
      <c r="F333" s="2746"/>
      <c r="G333" s="2746"/>
      <c r="H333" s="2746"/>
      <c r="I333" s="2746"/>
      <c r="J333" s="2746"/>
      <c r="K333" s="2746"/>
      <c r="L333" s="2746"/>
      <c r="M333" s="2746"/>
      <c r="N333" s="2746"/>
      <c r="O333" s="2746"/>
      <c r="P333" s="2746"/>
      <c r="Q333" s="2746"/>
      <c r="R333" s="2746"/>
      <c r="S333" s="2746"/>
      <c r="T333" s="2746"/>
      <c r="U333" s="2746"/>
      <c r="V333" s="2746"/>
      <c r="W333" s="2746"/>
      <c r="X333" s="2746"/>
      <c r="Y333" s="2746"/>
      <c r="Z333" s="2746"/>
      <c r="AA333" s="2746"/>
      <c r="AB333" s="2746"/>
      <c r="AC333" s="2746"/>
      <c r="AD333" s="2746"/>
      <c r="AE333" s="2746"/>
      <c r="AF333" s="2746"/>
      <c r="AG333" s="2746"/>
      <c r="AH333" s="2746"/>
      <c r="AI333" s="2746"/>
      <c r="AJ333" s="2746"/>
      <c r="AK333" s="2746"/>
      <c r="AL333" s="2746"/>
      <c r="AM333" s="2746"/>
      <c r="AN333" s="2746"/>
      <c r="AO333" s="2746"/>
      <c r="AP333" s="2746"/>
      <c r="AQ333" s="2746"/>
      <c r="AR333" s="2746"/>
      <c r="AS333" s="2746"/>
      <c r="AT333" s="2746"/>
      <c r="AU333" s="2746"/>
      <c r="AV333" s="2746"/>
      <c r="AW333" s="2746"/>
      <c r="AX333" s="2746"/>
      <c r="AY333" s="2746"/>
      <c r="AZ333" s="2746"/>
      <c r="BA333" s="2746"/>
      <c r="BB333" s="2746"/>
      <c r="BC333" s="2746"/>
      <c r="BD333" s="2746"/>
      <c r="BE333" s="2746"/>
      <c r="BF333" s="2746"/>
      <c r="BG333" s="2746"/>
      <c r="BH333" s="2746"/>
      <c r="BI333" s="2746"/>
      <c r="BJ333" s="2746"/>
      <c r="BK333" s="2746"/>
      <c r="BL333" s="2746"/>
      <c r="BM333" s="2746"/>
      <c r="BN333" s="2746"/>
      <c r="BO333" s="2746"/>
      <c r="BP333" s="2746"/>
      <c r="BQ333" s="2746"/>
      <c r="BR333" s="2746"/>
      <c r="BS333" s="2746"/>
      <c r="BT333" s="2746"/>
      <c r="BU333" s="2746"/>
      <c r="BV333" s="2746"/>
      <c r="BW333" s="2746"/>
      <c r="BX333" s="2746"/>
      <c r="BY333" s="2746"/>
      <c r="BZ333" s="2746"/>
      <c r="CA333" s="2746"/>
      <c r="CB333" s="2746"/>
      <c r="CC333" s="2746"/>
      <c r="CD333" s="2746"/>
      <c r="CE333" s="2746"/>
      <c r="CF333" s="2746"/>
      <c r="CG333" s="2746"/>
      <c r="CH333" s="2746"/>
      <c r="CI333" s="2746"/>
      <c r="CJ333" s="2746"/>
      <c r="CK333" s="2746"/>
      <c r="CL333" s="2746"/>
      <c r="CM333" s="2746"/>
      <c r="CN333" s="2746"/>
    </row>
    <row r="334" spans="1:92" x14ac:dyDescent="0.2">
      <c r="A334" s="2746"/>
      <c r="B334" s="2746"/>
      <c r="C334" s="2746"/>
      <c r="D334" s="2746"/>
      <c r="E334" s="2746"/>
      <c r="F334" s="2746"/>
      <c r="G334" s="2746"/>
      <c r="H334" s="2746"/>
      <c r="I334" s="2746"/>
      <c r="J334" s="2746"/>
      <c r="K334" s="2746"/>
      <c r="L334" s="2746"/>
      <c r="M334" s="2746"/>
      <c r="N334" s="2746"/>
      <c r="O334" s="2746"/>
      <c r="P334" s="2746"/>
      <c r="Q334" s="2746"/>
      <c r="R334" s="2746"/>
      <c r="S334" s="2746"/>
      <c r="T334" s="2746"/>
      <c r="U334" s="2746"/>
      <c r="V334" s="2746"/>
      <c r="W334" s="2746"/>
      <c r="X334" s="2746"/>
      <c r="Y334" s="2746"/>
      <c r="Z334" s="2746"/>
      <c r="AA334" s="2746"/>
      <c r="AB334" s="2746"/>
      <c r="AC334" s="2746"/>
      <c r="AD334" s="2746"/>
      <c r="AE334" s="2746"/>
      <c r="AF334" s="2746"/>
      <c r="AG334" s="2746"/>
      <c r="AH334" s="2746"/>
      <c r="AI334" s="2746"/>
      <c r="AJ334" s="2746"/>
      <c r="AK334" s="2746"/>
      <c r="AL334" s="2746"/>
      <c r="AM334" s="2746"/>
      <c r="AN334" s="2746"/>
      <c r="AO334" s="2746"/>
      <c r="AP334" s="2746"/>
      <c r="AQ334" s="2746"/>
      <c r="AR334" s="2746"/>
      <c r="AS334" s="2746"/>
      <c r="AT334" s="2746"/>
      <c r="AU334" s="2746"/>
      <c r="AV334" s="2746"/>
      <c r="AW334" s="2746"/>
      <c r="AX334" s="2746"/>
      <c r="AY334" s="2746"/>
      <c r="AZ334" s="2746"/>
      <c r="BA334" s="2746"/>
      <c r="BB334" s="2746"/>
      <c r="BC334" s="2746"/>
      <c r="BD334" s="2746"/>
      <c r="BE334" s="2746"/>
      <c r="BF334" s="2746"/>
      <c r="BG334" s="2746"/>
      <c r="BH334" s="2746"/>
      <c r="BI334" s="2746"/>
      <c r="BJ334" s="2746"/>
      <c r="BK334" s="2746"/>
      <c r="BL334" s="2746"/>
      <c r="BM334" s="2746"/>
      <c r="BN334" s="2746"/>
      <c r="BO334" s="2746"/>
      <c r="BP334" s="2746"/>
      <c r="BQ334" s="2746"/>
      <c r="BR334" s="2746"/>
      <c r="BS334" s="2746"/>
      <c r="BT334" s="2746"/>
      <c r="BU334" s="2746"/>
      <c r="BV334" s="2746"/>
      <c r="BW334" s="2746"/>
      <c r="BX334" s="2746"/>
      <c r="BY334" s="2746"/>
      <c r="BZ334" s="2746"/>
      <c r="CA334" s="2746"/>
      <c r="CB334" s="2746"/>
      <c r="CC334" s="2746"/>
      <c r="CD334" s="2746"/>
      <c r="CE334" s="2746"/>
      <c r="CF334" s="2746"/>
      <c r="CG334" s="2746"/>
      <c r="CH334" s="2746"/>
      <c r="CI334" s="2746"/>
      <c r="CJ334" s="2746"/>
      <c r="CK334" s="2746"/>
      <c r="CL334" s="2746"/>
      <c r="CM334" s="2746"/>
      <c r="CN334" s="2746"/>
    </row>
    <row r="335" spans="1:92" x14ac:dyDescent="0.2">
      <c r="A335" s="2746"/>
      <c r="B335" s="2746"/>
      <c r="C335" s="2746"/>
      <c r="D335" s="2746"/>
      <c r="E335" s="2746"/>
      <c r="F335" s="2746"/>
      <c r="G335" s="2746"/>
      <c r="H335" s="2746"/>
      <c r="I335" s="2746"/>
      <c r="J335" s="2746"/>
      <c r="K335" s="2746"/>
      <c r="L335" s="2746"/>
      <c r="M335" s="2746"/>
      <c r="N335" s="2746"/>
      <c r="O335" s="2746"/>
      <c r="P335" s="2746"/>
      <c r="Q335" s="2746"/>
      <c r="R335" s="2746"/>
      <c r="S335" s="2746"/>
      <c r="T335" s="2746"/>
      <c r="U335" s="2746"/>
      <c r="V335" s="2746"/>
      <c r="W335" s="2746"/>
      <c r="X335" s="2746"/>
      <c r="Y335" s="2746"/>
      <c r="Z335" s="2746"/>
      <c r="AA335" s="2746"/>
      <c r="AB335" s="2746"/>
      <c r="AC335" s="2746"/>
      <c r="AD335" s="2746"/>
      <c r="AE335" s="2746"/>
      <c r="AF335" s="2746"/>
      <c r="AG335" s="2746"/>
      <c r="AH335" s="2746"/>
      <c r="AI335" s="2746"/>
      <c r="AJ335" s="2746"/>
      <c r="AK335" s="2746"/>
      <c r="AL335" s="2746"/>
      <c r="AM335" s="2746"/>
      <c r="AN335" s="2746"/>
      <c r="AO335" s="2746"/>
      <c r="AP335" s="2746"/>
      <c r="AQ335" s="2746"/>
      <c r="AR335" s="2746"/>
      <c r="AS335" s="2746"/>
      <c r="AT335" s="2746"/>
      <c r="AU335" s="2746"/>
      <c r="AV335" s="2746"/>
      <c r="AW335" s="2746"/>
      <c r="AX335" s="2746"/>
      <c r="AY335" s="2746"/>
      <c r="AZ335" s="2746"/>
      <c r="BA335" s="2746"/>
      <c r="BB335" s="2746"/>
      <c r="BC335" s="2746"/>
      <c r="BD335" s="2746"/>
      <c r="BE335" s="2746"/>
      <c r="BF335" s="2746"/>
      <c r="BG335" s="2746"/>
      <c r="BH335" s="2746"/>
      <c r="BI335" s="2746"/>
      <c r="BJ335" s="2746"/>
      <c r="BK335" s="2746"/>
      <c r="BL335" s="2746"/>
      <c r="BM335" s="2746"/>
      <c r="BN335" s="2746"/>
      <c r="BO335" s="2746"/>
      <c r="BP335" s="2746"/>
      <c r="BQ335" s="2746"/>
      <c r="BR335" s="2746"/>
      <c r="BS335" s="2746"/>
      <c r="BT335" s="2746"/>
      <c r="BU335" s="2746"/>
      <c r="BV335" s="2746"/>
      <c r="BW335" s="2746"/>
      <c r="BX335" s="2746"/>
      <c r="BY335" s="2746"/>
      <c r="BZ335" s="2746"/>
      <c r="CA335" s="2746"/>
      <c r="CB335" s="2746"/>
      <c r="CC335" s="2746"/>
      <c r="CD335" s="2746"/>
      <c r="CE335" s="2746"/>
      <c r="CF335" s="2746"/>
      <c r="CG335" s="2746"/>
      <c r="CH335" s="2746"/>
      <c r="CI335" s="2746"/>
      <c r="CJ335" s="2746"/>
      <c r="CK335" s="2746"/>
      <c r="CL335" s="2746"/>
      <c r="CM335" s="2746"/>
      <c r="CN335" s="2746"/>
    </row>
    <row r="336" spans="1:92" x14ac:dyDescent="0.2">
      <c r="A336" s="2746"/>
      <c r="B336" s="2746"/>
      <c r="C336" s="2746"/>
      <c r="D336" s="2746"/>
      <c r="E336" s="2746"/>
      <c r="F336" s="2746"/>
      <c r="G336" s="2746"/>
      <c r="H336" s="2746"/>
      <c r="I336" s="2746"/>
      <c r="J336" s="2746"/>
      <c r="K336" s="2746"/>
      <c r="L336" s="2746"/>
      <c r="M336" s="2746"/>
      <c r="N336" s="2746"/>
      <c r="O336" s="2746"/>
      <c r="P336" s="2746"/>
      <c r="Q336" s="2746"/>
      <c r="R336" s="2746"/>
      <c r="S336" s="2746"/>
      <c r="T336" s="2746"/>
      <c r="U336" s="2746"/>
      <c r="V336" s="2746"/>
      <c r="W336" s="2746"/>
      <c r="X336" s="2746"/>
      <c r="Y336" s="2746"/>
      <c r="Z336" s="2746"/>
      <c r="AA336" s="2746"/>
      <c r="AB336" s="2746"/>
      <c r="AC336" s="2746"/>
      <c r="AD336" s="2746"/>
      <c r="AE336" s="2746"/>
      <c r="AF336" s="2746"/>
      <c r="AG336" s="2746"/>
      <c r="AH336" s="2746"/>
      <c r="AI336" s="2746"/>
      <c r="AJ336" s="2746"/>
      <c r="AK336" s="2746"/>
      <c r="AL336" s="2746"/>
      <c r="AM336" s="2746"/>
      <c r="AN336" s="2746"/>
      <c r="AO336" s="2746"/>
      <c r="AP336" s="2746"/>
      <c r="AQ336" s="2746"/>
      <c r="AR336" s="2746"/>
      <c r="AS336" s="2746"/>
      <c r="AT336" s="2746"/>
      <c r="AU336" s="2746"/>
      <c r="AV336" s="2746"/>
      <c r="AW336" s="2746"/>
      <c r="AX336" s="2746"/>
      <c r="AY336" s="2746"/>
      <c r="AZ336" s="2746"/>
      <c r="BA336" s="2746"/>
      <c r="BB336" s="2746"/>
      <c r="BC336" s="2746"/>
      <c r="BD336" s="2746"/>
      <c r="BE336" s="2746"/>
      <c r="BF336" s="2746"/>
      <c r="BG336" s="2746"/>
      <c r="BH336" s="2746"/>
      <c r="BI336" s="2746"/>
      <c r="BJ336" s="2746"/>
      <c r="BK336" s="2746"/>
      <c r="BL336" s="2746"/>
      <c r="BM336" s="2746"/>
      <c r="BN336" s="2746"/>
      <c r="BO336" s="2746"/>
      <c r="BP336" s="2746"/>
      <c r="BQ336" s="2746"/>
      <c r="BR336" s="2746"/>
      <c r="BS336" s="2746"/>
      <c r="BT336" s="2746"/>
      <c r="BU336" s="2746"/>
      <c r="BV336" s="2746"/>
      <c r="BW336" s="2746"/>
      <c r="BX336" s="2746"/>
      <c r="BY336" s="2746"/>
      <c r="BZ336" s="2746"/>
      <c r="CA336" s="2746"/>
      <c r="CB336" s="2746"/>
      <c r="CC336" s="2746"/>
      <c r="CD336" s="2746"/>
      <c r="CE336" s="2746"/>
      <c r="CF336" s="2746"/>
      <c r="CG336" s="2746"/>
      <c r="CH336" s="2746"/>
      <c r="CI336" s="2746"/>
      <c r="CJ336" s="2746"/>
      <c r="CK336" s="2746"/>
      <c r="CL336" s="2746"/>
      <c r="CM336" s="2746"/>
      <c r="CN336" s="2746"/>
    </row>
    <row r="337" spans="1:92" x14ac:dyDescent="0.2">
      <c r="A337" s="2746"/>
      <c r="B337" s="2746"/>
      <c r="C337" s="2746"/>
      <c r="D337" s="2746"/>
      <c r="E337" s="2746"/>
      <c r="F337" s="2746"/>
      <c r="G337" s="2746"/>
      <c r="H337" s="2746"/>
      <c r="I337" s="2746"/>
      <c r="J337" s="2746"/>
      <c r="K337" s="2746"/>
      <c r="L337" s="2746"/>
      <c r="M337" s="2746"/>
      <c r="N337" s="2746"/>
      <c r="O337" s="2746"/>
      <c r="P337" s="2746"/>
      <c r="Q337" s="2746"/>
      <c r="R337" s="2746"/>
      <c r="S337" s="2746"/>
      <c r="T337" s="2746"/>
      <c r="U337" s="2746"/>
      <c r="V337" s="2746"/>
      <c r="W337" s="2746"/>
      <c r="X337" s="2746"/>
      <c r="Y337" s="2746"/>
      <c r="Z337" s="2746"/>
      <c r="AA337" s="2746"/>
      <c r="AB337" s="2746"/>
      <c r="AC337" s="2746"/>
      <c r="AD337" s="2746"/>
      <c r="AE337" s="2746"/>
      <c r="AF337" s="2746"/>
      <c r="AG337" s="2746"/>
      <c r="AH337" s="2746"/>
      <c r="AI337" s="2746"/>
      <c r="AJ337" s="2746"/>
      <c r="AK337" s="2746"/>
      <c r="AL337" s="2746"/>
      <c r="AM337" s="2746"/>
      <c r="AN337" s="2746"/>
      <c r="AO337" s="2746"/>
      <c r="AP337" s="2746"/>
      <c r="AQ337" s="2746"/>
      <c r="AR337" s="2746"/>
      <c r="AS337" s="2746"/>
      <c r="AT337" s="2746"/>
      <c r="AU337" s="2746"/>
      <c r="AV337" s="2746"/>
      <c r="AW337" s="2746"/>
      <c r="AX337" s="2746"/>
      <c r="AY337" s="2746"/>
      <c r="AZ337" s="2746"/>
      <c r="BA337" s="2746"/>
      <c r="BB337" s="2746"/>
      <c r="BC337" s="2746"/>
      <c r="BD337" s="2746"/>
      <c r="BE337" s="2746"/>
      <c r="BF337" s="2746"/>
      <c r="BG337" s="2746"/>
      <c r="BH337" s="2746"/>
      <c r="BI337" s="2746"/>
      <c r="BJ337" s="2746"/>
      <c r="BK337" s="2746"/>
      <c r="BL337" s="2746"/>
      <c r="BM337" s="2746"/>
      <c r="BN337" s="2746"/>
      <c r="BO337" s="2746"/>
      <c r="BP337" s="2746"/>
      <c r="BQ337" s="2746"/>
      <c r="BR337" s="2746"/>
      <c r="BS337" s="2746"/>
      <c r="BT337" s="2746"/>
      <c r="BU337" s="2746"/>
      <c r="BV337" s="2746"/>
      <c r="BW337" s="2746"/>
      <c r="BX337" s="2746"/>
      <c r="BY337" s="2746"/>
      <c r="BZ337" s="2746"/>
      <c r="CA337" s="2746"/>
      <c r="CB337" s="2746"/>
      <c r="CC337" s="2746"/>
      <c r="CD337" s="2746"/>
      <c r="CE337" s="2746"/>
      <c r="CF337" s="2746"/>
      <c r="CG337" s="2746"/>
      <c r="CH337" s="2746"/>
      <c r="CI337" s="2746"/>
      <c r="CJ337" s="2746"/>
      <c r="CK337" s="2746"/>
      <c r="CL337" s="2746"/>
      <c r="CM337" s="2746"/>
      <c r="CN337" s="2746"/>
    </row>
    <row r="338" spans="1:92" x14ac:dyDescent="0.2">
      <c r="A338" s="2746"/>
      <c r="B338" s="2746"/>
      <c r="C338" s="2746"/>
      <c r="D338" s="2746"/>
      <c r="E338" s="2746"/>
      <c r="F338" s="2746"/>
      <c r="G338" s="2746"/>
      <c r="H338" s="2746"/>
      <c r="I338" s="2746"/>
      <c r="J338" s="2746"/>
      <c r="K338" s="2746"/>
      <c r="L338" s="2746"/>
      <c r="M338" s="2746"/>
      <c r="N338" s="2746"/>
      <c r="O338" s="2746"/>
      <c r="P338" s="2746"/>
      <c r="Q338" s="2746"/>
      <c r="R338" s="2746"/>
      <c r="S338" s="2746"/>
      <c r="T338" s="2746"/>
      <c r="U338" s="2746"/>
      <c r="V338" s="2746"/>
      <c r="W338" s="2746"/>
      <c r="X338" s="2746"/>
      <c r="Y338" s="2746"/>
      <c r="Z338" s="2746"/>
      <c r="AA338" s="2746"/>
      <c r="AB338" s="2746"/>
      <c r="AC338" s="2746"/>
      <c r="AD338" s="2746"/>
      <c r="AE338" s="2746"/>
      <c r="AF338" s="2746"/>
      <c r="AG338" s="2746"/>
      <c r="AH338" s="2746"/>
      <c r="AI338" s="2746"/>
      <c r="AJ338" s="2746"/>
      <c r="AK338" s="2746"/>
      <c r="AL338" s="2746"/>
      <c r="AM338" s="2746"/>
      <c r="AN338" s="2746"/>
      <c r="AO338" s="2746"/>
      <c r="AP338" s="2746"/>
      <c r="AQ338" s="2746"/>
      <c r="AR338" s="2746"/>
      <c r="AS338" s="2746"/>
      <c r="AT338" s="2746"/>
      <c r="AU338" s="2746"/>
      <c r="AV338" s="2746"/>
      <c r="AW338" s="2746"/>
      <c r="AX338" s="2746"/>
      <c r="AY338" s="2746"/>
      <c r="AZ338" s="2746"/>
      <c r="BA338" s="2746"/>
      <c r="BB338" s="2746"/>
      <c r="BC338" s="2746"/>
      <c r="BD338" s="2746"/>
      <c r="BE338" s="2746"/>
      <c r="BF338" s="2746"/>
      <c r="BG338" s="2746"/>
      <c r="BH338" s="2746"/>
      <c r="BI338" s="2746"/>
      <c r="BJ338" s="2746"/>
      <c r="BK338" s="2746"/>
      <c r="BL338" s="2746"/>
      <c r="BM338" s="2746"/>
      <c r="BN338" s="2746"/>
      <c r="BO338" s="2746"/>
      <c r="BP338" s="2746"/>
      <c r="BQ338" s="2746"/>
      <c r="BR338" s="2746"/>
      <c r="BS338" s="2746"/>
      <c r="BT338" s="2746"/>
      <c r="BU338" s="2746"/>
      <c r="BV338" s="2746"/>
      <c r="BW338" s="2746"/>
      <c r="BX338" s="2746"/>
      <c r="BY338" s="2746"/>
      <c r="BZ338" s="2746"/>
      <c r="CA338" s="2746"/>
      <c r="CB338" s="2746"/>
      <c r="CC338" s="2746"/>
      <c r="CD338" s="2746"/>
      <c r="CE338" s="2746"/>
      <c r="CF338" s="2746"/>
      <c r="CG338" s="2746"/>
      <c r="CH338" s="2746"/>
      <c r="CI338" s="2746"/>
      <c r="CJ338" s="2746"/>
      <c r="CK338" s="2746"/>
      <c r="CL338" s="2746"/>
      <c r="CM338" s="2746"/>
      <c r="CN338" s="2746"/>
    </row>
    <row r="339" spans="1:92" x14ac:dyDescent="0.2">
      <c r="A339" s="2746"/>
      <c r="B339" s="2746"/>
      <c r="C339" s="2746"/>
      <c r="D339" s="2746"/>
      <c r="E339" s="2746"/>
      <c r="F339" s="2746"/>
      <c r="G339" s="2746"/>
      <c r="H339" s="2746"/>
      <c r="I339" s="2746"/>
      <c r="J339" s="2746"/>
      <c r="K339" s="2746"/>
      <c r="L339" s="2746"/>
      <c r="M339" s="2746"/>
      <c r="N339" s="2746"/>
      <c r="O339" s="2746"/>
      <c r="P339" s="2746"/>
      <c r="Q339" s="2746"/>
      <c r="R339" s="2746"/>
      <c r="S339" s="2746"/>
      <c r="T339" s="2746"/>
      <c r="U339" s="2746"/>
      <c r="V339" s="2746"/>
      <c r="W339" s="2746"/>
      <c r="X339" s="2746"/>
      <c r="Y339" s="2746"/>
      <c r="Z339" s="2746"/>
      <c r="AA339" s="2746"/>
      <c r="AB339" s="2746"/>
      <c r="AC339" s="2746"/>
      <c r="AD339" s="2746"/>
      <c r="AE339" s="2746"/>
      <c r="AF339" s="2746"/>
      <c r="AG339" s="2746"/>
      <c r="AH339" s="2746"/>
      <c r="AI339" s="2746"/>
      <c r="AJ339" s="2746"/>
      <c r="AK339" s="2746"/>
      <c r="AL339" s="2746"/>
      <c r="AM339" s="2746"/>
      <c r="AN339" s="2746"/>
      <c r="AO339" s="2746"/>
      <c r="AP339" s="2746"/>
      <c r="AQ339" s="2746"/>
      <c r="AR339" s="2746"/>
      <c r="AS339" s="2746"/>
      <c r="AT339" s="2746"/>
      <c r="AU339" s="2746"/>
      <c r="AV339" s="2746"/>
      <c r="AW339" s="2746"/>
      <c r="AX339" s="2746"/>
      <c r="AY339" s="2746"/>
      <c r="AZ339" s="2746"/>
      <c r="BA339" s="2746"/>
      <c r="BB339" s="2746"/>
      <c r="BC339" s="2746"/>
      <c r="BD339" s="2746"/>
      <c r="BE339" s="2746"/>
      <c r="BF339" s="2746"/>
      <c r="BG339" s="2746"/>
      <c r="BH339" s="2746"/>
      <c r="BI339" s="2746"/>
      <c r="BJ339" s="2746"/>
      <c r="BK339" s="2746"/>
      <c r="BL339" s="2746"/>
      <c r="BM339" s="2746"/>
      <c r="BN339" s="2746"/>
      <c r="BO339" s="2746"/>
      <c r="BP339" s="2746"/>
      <c r="BQ339" s="2746"/>
      <c r="BR339" s="2746"/>
      <c r="BS339" s="2746"/>
      <c r="BT339" s="2746"/>
      <c r="BU339" s="2746"/>
      <c r="BV339" s="2746"/>
      <c r="BW339" s="2746"/>
      <c r="BX339" s="2746"/>
      <c r="BY339" s="2746"/>
      <c r="BZ339" s="2746"/>
      <c r="CA339" s="2746"/>
      <c r="CB339" s="2746"/>
      <c r="CC339" s="2746"/>
      <c r="CD339" s="2746"/>
      <c r="CE339" s="2746"/>
      <c r="CF339" s="2746"/>
      <c r="CG339" s="2746"/>
      <c r="CH339" s="2746"/>
      <c r="CI339" s="2746"/>
      <c r="CJ339" s="2746"/>
      <c r="CK339" s="2746"/>
      <c r="CL339" s="2746"/>
      <c r="CM339" s="2746"/>
      <c r="CN339" s="2746"/>
    </row>
    <row r="340" spans="1:92" x14ac:dyDescent="0.2">
      <c r="A340" s="2746"/>
      <c r="B340" s="2746"/>
      <c r="C340" s="2746"/>
      <c r="D340" s="2746"/>
      <c r="E340" s="2746"/>
      <c r="F340" s="2746"/>
      <c r="G340" s="2746"/>
      <c r="H340" s="2746"/>
      <c r="I340" s="2746"/>
      <c r="J340" s="2746"/>
      <c r="K340" s="2746"/>
      <c r="L340" s="2746"/>
      <c r="M340" s="2746"/>
      <c r="N340" s="2746"/>
      <c r="O340" s="2746"/>
      <c r="P340" s="2746"/>
      <c r="Q340" s="2746"/>
      <c r="R340" s="2746"/>
      <c r="S340" s="2746"/>
      <c r="T340" s="2746"/>
      <c r="U340" s="2746"/>
      <c r="V340" s="2746"/>
      <c r="W340" s="2746"/>
      <c r="X340" s="2746"/>
      <c r="Y340" s="2746"/>
      <c r="Z340" s="2746"/>
      <c r="AA340" s="2746"/>
      <c r="AB340" s="2746"/>
      <c r="AC340" s="2746"/>
      <c r="AD340" s="2746"/>
      <c r="AE340" s="2746"/>
      <c r="AF340" s="2746"/>
      <c r="AG340" s="2746"/>
      <c r="AH340" s="2746"/>
      <c r="AI340" s="2746"/>
      <c r="AJ340" s="2746"/>
      <c r="AK340" s="2746"/>
      <c r="AL340" s="2746"/>
      <c r="AM340" s="2746"/>
      <c r="AN340" s="2746"/>
      <c r="AO340" s="2746"/>
      <c r="AP340" s="2746"/>
      <c r="AQ340" s="2746"/>
      <c r="AR340" s="2746"/>
      <c r="AS340" s="2746"/>
      <c r="AT340" s="2746"/>
      <c r="AU340" s="2746"/>
      <c r="AV340" s="2746"/>
      <c r="AW340" s="2746"/>
      <c r="AX340" s="2746"/>
      <c r="AY340" s="2746"/>
      <c r="AZ340" s="2746"/>
      <c r="BA340" s="2746"/>
      <c r="BB340" s="2746"/>
      <c r="BC340" s="2746"/>
      <c r="BD340" s="2746"/>
      <c r="BE340" s="2746"/>
      <c r="BF340" s="2746"/>
      <c r="BG340" s="2746"/>
      <c r="BH340" s="2746"/>
      <c r="BI340" s="2746"/>
      <c r="BJ340" s="2746"/>
      <c r="BK340" s="2746"/>
      <c r="BL340" s="2746"/>
      <c r="BM340" s="2746"/>
      <c r="BN340" s="2746"/>
      <c r="BO340" s="2746"/>
      <c r="BP340" s="2746"/>
      <c r="BQ340" s="2746"/>
      <c r="BR340" s="2746"/>
      <c r="BS340" s="2746"/>
      <c r="BT340" s="2746"/>
      <c r="BU340" s="2746"/>
      <c r="BV340" s="2746"/>
      <c r="BW340" s="2746"/>
      <c r="BX340" s="2746"/>
      <c r="BY340" s="2746"/>
      <c r="BZ340" s="2746"/>
      <c r="CA340" s="2746"/>
      <c r="CB340" s="2746"/>
      <c r="CC340" s="2746"/>
      <c r="CD340" s="2746"/>
      <c r="CE340" s="2746"/>
      <c r="CF340" s="2746"/>
      <c r="CG340" s="2746"/>
      <c r="CH340" s="2746"/>
      <c r="CI340" s="2746"/>
      <c r="CJ340" s="2746"/>
      <c r="CK340" s="2746"/>
      <c r="CL340" s="2746"/>
      <c r="CM340" s="2746"/>
      <c r="CN340" s="2746"/>
    </row>
    <row r="341" spans="1:92" x14ac:dyDescent="0.2">
      <c r="A341" s="2746"/>
      <c r="B341" s="2746"/>
      <c r="C341" s="2746"/>
      <c r="D341" s="2746"/>
      <c r="E341" s="2746"/>
      <c r="F341" s="2746"/>
      <c r="G341" s="2746"/>
      <c r="H341" s="2746"/>
      <c r="I341" s="2746"/>
      <c r="J341" s="2746"/>
      <c r="K341" s="2746"/>
      <c r="L341" s="2746"/>
      <c r="M341" s="2746"/>
      <c r="N341" s="2746"/>
      <c r="O341" s="2746"/>
      <c r="P341" s="2746"/>
      <c r="Q341" s="2746"/>
      <c r="R341" s="2746"/>
      <c r="S341" s="2746"/>
      <c r="T341" s="2746"/>
      <c r="U341" s="2746"/>
      <c r="V341" s="2746"/>
      <c r="W341" s="2746"/>
      <c r="X341" s="2746"/>
      <c r="Y341" s="2746"/>
      <c r="Z341" s="2746"/>
      <c r="AA341" s="2746"/>
      <c r="AB341" s="2746"/>
      <c r="AC341" s="2746"/>
      <c r="AD341" s="2746"/>
      <c r="AE341" s="2746"/>
      <c r="AF341" s="2746"/>
      <c r="AG341" s="2746"/>
      <c r="AH341" s="2746"/>
      <c r="AI341" s="2746"/>
      <c r="AJ341" s="2746"/>
      <c r="AK341" s="2746"/>
      <c r="AL341" s="2746"/>
      <c r="AM341" s="2746"/>
      <c r="AN341" s="2746"/>
      <c r="AO341" s="2746"/>
      <c r="AP341" s="2746"/>
      <c r="AQ341" s="2746"/>
      <c r="AR341" s="2746"/>
      <c r="AS341" s="2746"/>
      <c r="AT341" s="2746"/>
      <c r="AU341" s="2746"/>
      <c r="AV341" s="2746"/>
      <c r="AW341" s="2746"/>
      <c r="AX341" s="2746"/>
      <c r="AY341" s="2746"/>
      <c r="AZ341" s="2746"/>
      <c r="BA341" s="2746"/>
      <c r="BB341" s="2746"/>
      <c r="BC341" s="2746"/>
      <c r="BD341" s="2746"/>
      <c r="BE341" s="2746"/>
      <c r="BF341" s="2746"/>
      <c r="BG341" s="2746"/>
      <c r="BH341" s="2746"/>
      <c r="BI341" s="2746"/>
      <c r="BJ341" s="2746"/>
      <c r="BK341" s="2746"/>
      <c r="BL341" s="2746"/>
      <c r="BM341" s="2746"/>
      <c r="BN341" s="2746"/>
      <c r="BO341" s="2746"/>
      <c r="BP341" s="2746"/>
      <c r="BQ341" s="2746"/>
      <c r="BR341" s="2746"/>
      <c r="BS341" s="2746"/>
      <c r="BT341" s="2746"/>
      <c r="BU341" s="2746"/>
      <c r="BV341" s="2746"/>
      <c r="BW341" s="2746"/>
      <c r="BX341" s="2746"/>
      <c r="BY341" s="2746"/>
      <c r="BZ341" s="2746"/>
      <c r="CA341" s="2746"/>
      <c r="CB341" s="2746"/>
      <c r="CC341" s="2746"/>
      <c r="CD341" s="2746"/>
      <c r="CE341" s="2746"/>
      <c r="CF341" s="2746"/>
      <c r="CG341" s="2746"/>
      <c r="CH341" s="2746"/>
      <c r="CI341" s="2746"/>
      <c r="CJ341" s="2746"/>
      <c r="CK341" s="2746"/>
      <c r="CL341" s="2746"/>
      <c r="CM341" s="2746"/>
      <c r="CN341" s="2746"/>
    </row>
    <row r="342" spans="1:92" x14ac:dyDescent="0.2">
      <c r="A342" s="2746"/>
      <c r="B342" s="2746"/>
      <c r="C342" s="2746"/>
      <c r="D342" s="2746"/>
      <c r="E342" s="2746"/>
      <c r="F342" s="2746"/>
      <c r="G342" s="2746"/>
      <c r="H342" s="2746"/>
      <c r="I342" s="2746"/>
      <c r="J342" s="2746"/>
      <c r="K342" s="2746"/>
      <c r="L342" s="2746"/>
      <c r="M342" s="2746"/>
      <c r="N342" s="2746"/>
      <c r="O342" s="2746"/>
      <c r="P342" s="2746"/>
      <c r="Q342" s="2746"/>
      <c r="R342" s="2746"/>
      <c r="S342" s="2746"/>
      <c r="T342" s="2746"/>
      <c r="U342" s="2746"/>
      <c r="V342" s="2746"/>
      <c r="W342" s="2746"/>
      <c r="X342" s="2746"/>
      <c r="Y342" s="2746"/>
      <c r="Z342" s="2746"/>
      <c r="AA342" s="2746"/>
      <c r="AB342" s="2746"/>
      <c r="AC342" s="2746"/>
      <c r="AD342" s="2746"/>
      <c r="AE342" s="2746"/>
      <c r="AF342" s="2746"/>
      <c r="AG342" s="2746"/>
      <c r="AH342" s="2746"/>
      <c r="AI342" s="2746"/>
      <c r="AJ342" s="2746"/>
      <c r="AK342" s="2746"/>
      <c r="AL342" s="2746"/>
      <c r="AM342" s="2746"/>
      <c r="AN342" s="2746"/>
      <c r="AO342" s="2746"/>
      <c r="AP342" s="2746"/>
      <c r="AQ342" s="2746"/>
      <c r="AR342" s="2746"/>
      <c r="AS342" s="2746"/>
      <c r="AT342" s="2746"/>
      <c r="AU342" s="2746"/>
      <c r="AV342" s="2746"/>
      <c r="AW342" s="2746"/>
      <c r="AX342" s="2746"/>
      <c r="AY342" s="2746"/>
      <c r="AZ342" s="2746"/>
      <c r="BA342" s="2746"/>
      <c r="BB342" s="2746"/>
      <c r="BC342" s="2746"/>
      <c r="BD342" s="2746"/>
      <c r="BE342" s="2746"/>
      <c r="BF342" s="2746"/>
      <c r="BG342" s="2746"/>
      <c r="BH342" s="2746"/>
      <c r="BI342" s="2746"/>
      <c r="BJ342" s="2746"/>
      <c r="BK342" s="2746"/>
      <c r="BL342" s="2746"/>
      <c r="BM342" s="2746"/>
      <c r="BN342" s="2746"/>
      <c r="BO342" s="2746"/>
      <c r="BP342" s="2746"/>
      <c r="BQ342" s="2746"/>
      <c r="BR342" s="2746"/>
      <c r="BS342" s="2746"/>
      <c r="BT342" s="2746"/>
      <c r="BU342" s="2746"/>
      <c r="BV342" s="2746"/>
      <c r="BW342" s="2746"/>
      <c r="BX342" s="2746"/>
      <c r="BY342" s="2746"/>
      <c r="BZ342" s="2746"/>
      <c r="CA342" s="2746"/>
      <c r="CB342" s="2746"/>
      <c r="CC342" s="2746"/>
      <c r="CD342" s="2746"/>
      <c r="CE342" s="2746"/>
      <c r="CF342" s="2746"/>
      <c r="CG342" s="2746"/>
      <c r="CH342" s="2746"/>
      <c r="CI342" s="2746"/>
      <c r="CJ342" s="2746"/>
      <c r="CK342" s="2746"/>
      <c r="CL342" s="2746"/>
      <c r="CM342" s="2746"/>
      <c r="CN342" s="2746"/>
    </row>
    <row r="343" spans="1:92" x14ac:dyDescent="0.2">
      <c r="A343" s="2746"/>
      <c r="B343" s="2746"/>
      <c r="C343" s="2746"/>
      <c r="D343" s="2746"/>
      <c r="E343" s="2746"/>
      <c r="F343" s="2746"/>
      <c r="G343" s="2746"/>
      <c r="H343" s="2746"/>
      <c r="I343" s="2746"/>
      <c r="J343" s="2746"/>
      <c r="K343" s="2746"/>
      <c r="L343" s="2746"/>
      <c r="M343" s="2746"/>
      <c r="N343" s="2746"/>
      <c r="O343" s="2746"/>
      <c r="P343" s="2746"/>
      <c r="Q343" s="2746"/>
      <c r="R343" s="2746"/>
      <c r="S343" s="2746"/>
      <c r="T343" s="2746"/>
      <c r="U343" s="2746"/>
      <c r="V343" s="2746"/>
      <c r="W343" s="2746"/>
      <c r="X343" s="2746"/>
      <c r="Y343" s="2746"/>
      <c r="Z343" s="2746"/>
      <c r="AA343" s="2746"/>
      <c r="AB343" s="2746"/>
      <c r="AC343" s="2746"/>
      <c r="AD343" s="2746"/>
      <c r="AE343" s="2746"/>
      <c r="AF343" s="2746"/>
      <c r="AG343" s="2746"/>
      <c r="AH343" s="2746"/>
      <c r="AI343" s="2746"/>
      <c r="AJ343" s="2746"/>
      <c r="AK343" s="2746"/>
      <c r="AL343" s="2746"/>
      <c r="AM343" s="2746"/>
      <c r="AN343" s="2746"/>
      <c r="AO343" s="2746"/>
      <c r="AP343" s="2746"/>
      <c r="AQ343" s="2746"/>
      <c r="AR343" s="2746"/>
      <c r="AS343" s="2746"/>
      <c r="AT343" s="2746"/>
      <c r="AU343" s="2746"/>
      <c r="AV343" s="2746"/>
      <c r="AW343" s="2746"/>
      <c r="AX343" s="2746"/>
      <c r="AY343" s="2746"/>
      <c r="AZ343" s="2746"/>
      <c r="BA343" s="2746"/>
      <c r="BB343" s="2746"/>
      <c r="BC343" s="2746"/>
      <c r="BD343" s="2746"/>
      <c r="BE343" s="2746"/>
      <c r="BF343" s="2746"/>
      <c r="BG343" s="2746"/>
      <c r="BH343" s="2746"/>
      <c r="BI343" s="2746"/>
      <c r="BJ343" s="2746"/>
      <c r="BK343" s="2746"/>
      <c r="BL343" s="2746"/>
      <c r="BM343" s="2746"/>
      <c r="BN343" s="2746"/>
      <c r="BO343" s="2746"/>
      <c r="BP343" s="2746"/>
      <c r="BQ343" s="2746"/>
      <c r="BR343" s="2746"/>
      <c r="BS343" s="2746"/>
      <c r="BT343" s="2746"/>
      <c r="BU343" s="2746"/>
      <c r="BV343" s="2746"/>
      <c r="BW343" s="2746"/>
      <c r="BX343" s="2746"/>
      <c r="BY343" s="2746"/>
      <c r="BZ343" s="2746"/>
      <c r="CA343" s="2746"/>
      <c r="CB343" s="2746"/>
      <c r="CC343" s="2746"/>
      <c r="CD343" s="2746"/>
      <c r="CE343" s="2746"/>
      <c r="CF343" s="2746"/>
      <c r="CG343" s="2746"/>
      <c r="CH343" s="2746"/>
      <c r="CI343" s="2746"/>
      <c r="CJ343" s="2746"/>
      <c r="CK343" s="2746"/>
      <c r="CL343" s="2746"/>
      <c r="CM343" s="2746"/>
      <c r="CN343" s="2746"/>
    </row>
    <row r="344" spans="1:92" x14ac:dyDescent="0.2">
      <c r="A344" s="2746"/>
      <c r="B344" s="2746"/>
      <c r="C344" s="2746"/>
      <c r="D344" s="2746"/>
      <c r="E344" s="2746"/>
      <c r="F344" s="2746"/>
      <c r="G344" s="2746"/>
      <c r="H344" s="2746"/>
      <c r="I344" s="2746"/>
      <c r="J344" s="2746"/>
      <c r="K344" s="2746"/>
      <c r="L344" s="2746"/>
      <c r="M344" s="2746"/>
      <c r="N344" s="2746"/>
      <c r="O344" s="2746"/>
      <c r="P344" s="2746"/>
      <c r="Q344" s="2746"/>
      <c r="R344" s="2746"/>
      <c r="S344" s="2746"/>
      <c r="T344" s="2746"/>
      <c r="U344" s="2746"/>
      <c r="V344" s="2746"/>
      <c r="W344" s="2746"/>
      <c r="X344" s="2746"/>
      <c r="Y344" s="2746"/>
      <c r="Z344" s="2746"/>
      <c r="AA344" s="2746"/>
      <c r="AB344" s="2746"/>
      <c r="AC344" s="2746"/>
      <c r="AD344" s="2746"/>
      <c r="AE344" s="2746"/>
      <c r="AF344" s="2746"/>
      <c r="AG344" s="2746"/>
      <c r="AH344" s="2746"/>
      <c r="AI344" s="2746"/>
      <c r="AJ344" s="2746"/>
      <c r="AK344" s="2746"/>
      <c r="AL344" s="2746"/>
      <c r="AM344" s="2746"/>
      <c r="AN344" s="2746"/>
      <c r="AO344" s="2746"/>
      <c r="AP344" s="2746"/>
      <c r="AQ344" s="2746"/>
      <c r="AR344" s="2746"/>
      <c r="AS344" s="2746"/>
      <c r="AT344" s="2746"/>
      <c r="AU344" s="2746"/>
      <c r="AV344" s="2746"/>
      <c r="AW344" s="2746"/>
      <c r="AX344" s="2746"/>
      <c r="AY344" s="2746"/>
      <c r="AZ344" s="2746"/>
      <c r="BA344" s="2746"/>
      <c r="BB344" s="2746"/>
      <c r="BC344" s="2746"/>
      <c r="BD344" s="2746"/>
      <c r="BE344" s="2746"/>
      <c r="BF344" s="2746"/>
      <c r="BG344" s="2746"/>
      <c r="BH344" s="2746"/>
      <c r="BI344" s="2746"/>
      <c r="BJ344" s="2746"/>
      <c r="BK344" s="2746"/>
      <c r="BL344" s="2746"/>
      <c r="BM344" s="2746"/>
      <c r="BN344" s="2746"/>
      <c r="BO344" s="2746"/>
      <c r="BP344" s="2746"/>
      <c r="BQ344" s="2746"/>
      <c r="BR344" s="2746"/>
      <c r="BS344" s="2746"/>
      <c r="BT344" s="2746"/>
      <c r="BU344" s="2746"/>
      <c r="BV344" s="2746"/>
      <c r="BW344" s="2746"/>
      <c r="BX344" s="2746"/>
      <c r="BY344" s="2746"/>
      <c r="BZ344" s="2746"/>
      <c r="CA344" s="2746"/>
      <c r="CB344" s="2746"/>
      <c r="CC344" s="2746"/>
      <c r="CD344" s="2746"/>
      <c r="CE344" s="2746"/>
      <c r="CF344" s="2746"/>
      <c r="CG344" s="2746"/>
      <c r="CH344" s="2746"/>
      <c r="CI344" s="2746"/>
      <c r="CJ344" s="2746"/>
      <c r="CK344" s="2746"/>
      <c r="CL344" s="2746"/>
      <c r="CM344" s="2746"/>
      <c r="CN344" s="2746"/>
    </row>
    <row r="345" spans="1:92" x14ac:dyDescent="0.2">
      <c r="A345" s="2746"/>
      <c r="B345" s="2746"/>
      <c r="C345" s="2746"/>
      <c r="D345" s="2746"/>
      <c r="E345" s="2746"/>
      <c r="F345" s="2746"/>
      <c r="G345" s="2746"/>
      <c r="H345" s="2746"/>
      <c r="I345" s="2746"/>
      <c r="J345" s="2746"/>
      <c r="K345" s="2746"/>
      <c r="L345" s="2746"/>
      <c r="M345" s="2746"/>
      <c r="N345" s="2746"/>
      <c r="O345" s="2746"/>
      <c r="P345" s="2746"/>
      <c r="Q345" s="2746"/>
      <c r="R345" s="2746"/>
      <c r="S345" s="2746"/>
      <c r="T345" s="2746"/>
      <c r="U345" s="2746"/>
      <c r="V345" s="2746"/>
      <c r="W345" s="2746"/>
      <c r="X345" s="2746"/>
      <c r="Y345" s="2746"/>
      <c r="Z345" s="2746"/>
      <c r="AA345" s="2746"/>
      <c r="AB345" s="2746"/>
      <c r="AC345" s="2746"/>
      <c r="AD345" s="2746"/>
      <c r="AE345" s="2746"/>
      <c r="AF345" s="2746"/>
      <c r="AG345" s="2746"/>
      <c r="AH345" s="2746"/>
      <c r="AI345" s="2746"/>
      <c r="AJ345" s="2746"/>
      <c r="AK345" s="2746"/>
      <c r="AL345" s="2746"/>
      <c r="AM345" s="2746"/>
      <c r="AN345" s="2746"/>
      <c r="AO345" s="2746"/>
      <c r="AP345" s="2746"/>
      <c r="AQ345" s="2746"/>
      <c r="AR345" s="2746"/>
      <c r="AS345" s="2746"/>
      <c r="AT345" s="2746"/>
      <c r="AU345" s="2746"/>
      <c r="AV345" s="2746"/>
      <c r="AW345" s="2746"/>
      <c r="AX345" s="2746"/>
      <c r="AY345" s="2746"/>
      <c r="AZ345" s="2746"/>
      <c r="BA345" s="2746"/>
      <c r="BB345" s="2746"/>
      <c r="BC345" s="2746"/>
      <c r="BD345" s="2746"/>
      <c r="BE345" s="2746"/>
      <c r="BF345" s="2746"/>
      <c r="BG345" s="2746"/>
      <c r="BH345" s="2746"/>
      <c r="BI345" s="2746"/>
      <c r="BJ345" s="2746"/>
      <c r="BK345" s="2746"/>
      <c r="BL345" s="2746"/>
      <c r="BM345" s="2746"/>
      <c r="BN345" s="2746"/>
      <c r="BO345" s="2746"/>
      <c r="BP345" s="2746"/>
      <c r="BQ345" s="2746"/>
      <c r="BR345" s="2746"/>
      <c r="BS345" s="2746"/>
      <c r="BT345" s="2746"/>
      <c r="BU345" s="2746"/>
      <c r="BV345" s="2746"/>
      <c r="BW345" s="2746"/>
      <c r="BX345" s="2746"/>
      <c r="BY345" s="2746"/>
      <c r="BZ345" s="2746"/>
      <c r="CA345" s="2746"/>
      <c r="CB345" s="2746"/>
      <c r="CC345" s="2746"/>
      <c r="CD345" s="2746"/>
      <c r="CE345" s="2746"/>
      <c r="CF345" s="2746"/>
      <c r="CG345" s="2746"/>
      <c r="CH345" s="2746"/>
      <c r="CI345" s="2746"/>
      <c r="CJ345" s="2746"/>
      <c r="CK345" s="2746"/>
      <c r="CL345" s="2746"/>
      <c r="CM345" s="2746"/>
      <c r="CN345" s="2746"/>
    </row>
    <row r="346" spans="1:92" x14ac:dyDescent="0.2">
      <c r="A346" s="2746"/>
      <c r="B346" s="2746"/>
      <c r="C346" s="2746"/>
      <c r="D346" s="2746"/>
      <c r="E346" s="2746"/>
      <c r="F346" s="2746"/>
      <c r="G346" s="2746"/>
      <c r="H346" s="2746"/>
      <c r="I346" s="2746"/>
      <c r="J346" s="2746"/>
      <c r="K346" s="2746"/>
      <c r="L346" s="2746"/>
      <c r="M346" s="2746"/>
      <c r="N346" s="2746"/>
      <c r="O346" s="2746"/>
      <c r="P346" s="2746"/>
      <c r="Q346" s="2746"/>
      <c r="R346" s="2746"/>
      <c r="S346" s="2746"/>
      <c r="T346" s="2746"/>
      <c r="U346" s="2746"/>
      <c r="V346" s="2746"/>
      <c r="W346" s="2746"/>
      <c r="X346" s="2746"/>
      <c r="Y346" s="2746"/>
      <c r="Z346" s="2746"/>
      <c r="AA346" s="2746"/>
      <c r="AB346" s="2746"/>
      <c r="AC346" s="2746"/>
      <c r="AD346" s="2746"/>
      <c r="AE346" s="2746"/>
      <c r="AF346" s="2746"/>
      <c r="AG346" s="2746"/>
      <c r="AH346" s="2746"/>
      <c r="AI346" s="2746"/>
      <c r="AJ346" s="2746"/>
      <c r="AK346" s="2746"/>
      <c r="AL346" s="2746"/>
      <c r="AM346" s="2746"/>
      <c r="AN346" s="2746"/>
      <c r="AO346" s="2746"/>
      <c r="AP346" s="2746"/>
      <c r="AQ346" s="2746"/>
      <c r="AR346" s="2746"/>
      <c r="AS346" s="2746"/>
      <c r="AT346" s="2746"/>
      <c r="AU346" s="2746"/>
      <c r="AV346" s="2746"/>
      <c r="AW346" s="2746"/>
      <c r="AX346" s="2746"/>
      <c r="AY346" s="2746"/>
      <c r="AZ346" s="2746"/>
      <c r="BA346" s="2746"/>
      <c r="BB346" s="2746"/>
      <c r="BC346" s="2746"/>
      <c r="BD346" s="2746"/>
      <c r="BE346" s="2746"/>
      <c r="BF346" s="2746"/>
      <c r="BG346" s="2746"/>
      <c r="BH346" s="2746"/>
      <c r="BI346" s="2746"/>
      <c r="BJ346" s="2746"/>
      <c r="BK346" s="2746"/>
      <c r="BL346" s="2746"/>
      <c r="BM346" s="2746"/>
      <c r="BN346" s="2746"/>
      <c r="BO346" s="2746"/>
      <c r="BP346" s="2746"/>
      <c r="BQ346" s="2746"/>
      <c r="BR346" s="2746"/>
      <c r="BS346" s="2746"/>
      <c r="BT346" s="2746"/>
      <c r="BU346" s="2746"/>
      <c r="BV346" s="2746"/>
      <c r="BW346" s="2746"/>
      <c r="BX346" s="2746"/>
      <c r="BY346" s="2746"/>
      <c r="BZ346" s="2746"/>
      <c r="CA346" s="2746"/>
      <c r="CB346" s="2746"/>
      <c r="CC346" s="2746"/>
      <c r="CD346" s="2746"/>
      <c r="CE346" s="2746"/>
      <c r="CF346" s="2746"/>
      <c r="CG346" s="2746"/>
      <c r="CH346" s="2746"/>
      <c r="CI346" s="2746"/>
      <c r="CJ346" s="2746"/>
      <c r="CK346" s="2746"/>
      <c r="CL346" s="2746"/>
      <c r="CM346" s="2746"/>
      <c r="CN346" s="2746"/>
    </row>
    <row r="347" spans="1:92" x14ac:dyDescent="0.2">
      <c r="A347" s="2746"/>
      <c r="B347" s="2746"/>
      <c r="C347" s="2746"/>
      <c r="D347" s="2746"/>
      <c r="E347" s="2746"/>
      <c r="F347" s="2746"/>
      <c r="G347" s="2746"/>
      <c r="H347" s="2746"/>
      <c r="I347" s="2746"/>
      <c r="J347" s="2746"/>
      <c r="K347" s="2746"/>
      <c r="L347" s="2746"/>
      <c r="M347" s="2746"/>
      <c r="N347" s="2746"/>
      <c r="O347" s="2746"/>
      <c r="P347" s="2746"/>
      <c r="Q347" s="2746"/>
      <c r="R347" s="2746"/>
      <c r="S347" s="2746"/>
      <c r="T347" s="2746"/>
      <c r="U347" s="2746"/>
      <c r="V347" s="2746"/>
      <c r="W347" s="2746"/>
      <c r="X347" s="2746"/>
      <c r="Y347" s="2746"/>
      <c r="Z347" s="2746"/>
      <c r="AA347" s="2746"/>
      <c r="AB347" s="2746"/>
      <c r="AC347" s="2746"/>
      <c r="AD347" s="2746"/>
      <c r="AE347" s="2746"/>
      <c r="AF347" s="2746"/>
      <c r="AG347" s="2746"/>
      <c r="AH347" s="2746"/>
      <c r="AI347" s="2746"/>
      <c r="AJ347" s="2746"/>
      <c r="AK347" s="2746"/>
      <c r="AL347" s="2746"/>
      <c r="AM347" s="2746"/>
      <c r="AN347" s="2746"/>
      <c r="AO347" s="2746"/>
      <c r="AP347" s="2746"/>
      <c r="AQ347" s="2746"/>
      <c r="AR347" s="2746"/>
      <c r="AS347" s="2746"/>
      <c r="AT347" s="2746"/>
      <c r="AU347" s="2746"/>
      <c r="AV347" s="2746"/>
      <c r="AW347" s="2746"/>
      <c r="AX347" s="2746"/>
      <c r="AY347" s="2746"/>
      <c r="AZ347" s="2746"/>
      <c r="BA347" s="2746"/>
      <c r="BB347" s="2746"/>
      <c r="BC347" s="2746"/>
      <c r="BD347" s="2746"/>
      <c r="BE347" s="2746"/>
      <c r="BF347" s="2746"/>
      <c r="BG347" s="2746"/>
      <c r="BH347" s="2746"/>
      <c r="BI347" s="2746"/>
      <c r="BJ347" s="2746"/>
      <c r="BK347" s="2746"/>
      <c r="BL347" s="2746"/>
      <c r="BM347" s="2746"/>
      <c r="BN347" s="2746"/>
      <c r="BO347" s="2746"/>
      <c r="BP347" s="2746"/>
      <c r="BQ347" s="2746"/>
      <c r="BR347" s="2746"/>
      <c r="BS347" s="2746"/>
      <c r="BT347" s="2746"/>
      <c r="BU347" s="2746"/>
      <c r="BV347" s="2746"/>
      <c r="BW347" s="2746"/>
      <c r="BX347" s="2746"/>
      <c r="BY347" s="2746"/>
      <c r="BZ347" s="2746"/>
      <c r="CA347" s="2746"/>
      <c r="CB347" s="2746"/>
      <c r="CC347" s="2746"/>
      <c r="CD347" s="2746"/>
      <c r="CE347" s="2746"/>
      <c r="CF347" s="2746"/>
      <c r="CG347" s="2746"/>
      <c r="CH347" s="2746"/>
      <c r="CI347" s="2746"/>
      <c r="CJ347" s="2746"/>
      <c r="CK347" s="2746"/>
      <c r="CL347" s="2746"/>
      <c r="CM347" s="2746"/>
      <c r="CN347" s="2746"/>
    </row>
    <row r="348" spans="1:92" x14ac:dyDescent="0.2">
      <c r="A348" s="2746"/>
      <c r="B348" s="2746"/>
      <c r="C348" s="2746"/>
      <c r="D348" s="2746"/>
      <c r="E348" s="2746"/>
      <c r="F348" s="2746"/>
      <c r="G348" s="2746"/>
      <c r="H348" s="2746"/>
      <c r="I348" s="2746"/>
      <c r="J348" s="2746"/>
      <c r="K348" s="2746"/>
      <c r="L348" s="2746"/>
      <c r="M348" s="2746"/>
      <c r="N348" s="2746"/>
      <c r="O348" s="2746"/>
      <c r="P348" s="2746"/>
      <c r="Q348" s="2746"/>
      <c r="R348" s="2746"/>
      <c r="S348" s="2746"/>
      <c r="T348" s="2746"/>
      <c r="U348" s="2746"/>
      <c r="V348" s="2746"/>
      <c r="W348" s="2746"/>
      <c r="X348" s="2746"/>
      <c r="Y348" s="2746"/>
      <c r="Z348" s="2746"/>
      <c r="AA348" s="2746"/>
      <c r="AB348" s="2746"/>
      <c r="AC348" s="2746"/>
      <c r="AD348" s="2746"/>
      <c r="AE348" s="2746"/>
      <c r="AF348" s="2746"/>
      <c r="AG348" s="2746"/>
      <c r="AH348" s="2746"/>
      <c r="AI348" s="2746"/>
      <c r="AJ348" s="2746"/>
      <c r="AK348" s="2746"/>
      <c r="AL348" s="2746"/>
      <c r="AM348" s="2746"/>
      <c r="AN348" s="2746"/>
      <c r="AO348" s="2746"/>
      <c r="AP348" s="2746"/>
      <c r="AQ348" s="2746"/>
      <c r="AR348" s="2746"/>
      <c r="AS348" s="2746"/>
      <c r="AT348" s="2746"/>
      <c r="AU348" s="2746"/>
      <c r="AV348" s="2746"/>
      <c r="AW348" s="2746"/>
      <c r="AX348" s="2746"/>
      <c r="AY348" s="2746"/>
      <c r="AZ348" s="2746"/>
      <c r="BA348" s="2746"/>
      <c r="BB348" s="2746"/>
      <c r="BC348" s="2746"/>
      <c r="BD348" s="2746"/>
      <c r="BE348" s="2746"/>
      <c r="BF348" s="2746"/>
      <c r="BG348" s="2746"/>
      <c r="BH348" s="2746"/>
      <c r="BI348" s="2746"/>
      <c r="BJ348" s="2746"/>
      <c r="BK348" s="2746"/>
      <c r="BL348" s="2746"/>
      <c r="BM348" s="2746"/>
      <c r="BN348" s="2746"/>
      <c r="BO348" s="2746"/>
      <c r="BP348" s="2746"/>
      <c r="BQ348" s="2746"/>
      <c r="BR348" s="2746"/>
      <c r="BS348" s="2746"/>
      <c r="BT348" s="2746"/>
      <c r="BU348" s="2746"/>
      <c r="BV348" s="2746"/>
      <c r="BW348" s="2746"/>
      <c r="BX348" s="2746"/>
      <c r="BY348" s="2746"/>
      <c r="BZ348" s="2746"/>
      <c r="CA348" s="2746"/>
      <c r="CB348" s="2746"/>
      <c r="CC348" s="2746"/>
      <c r="CD348" s="2746"/>
      <c r="CE348" s="2746"/>
      <c r="CF348" s="2746"/>
      <c r="CG348" s="2746"/>
      <c r="CH348" s="2746"/>
      <c r="CI348" s="2746"/>
      <c r="CJ348" s="2746"/>
      <c r="CK348" s="2746"/>
      <c r="CL348" s="2746"/>
      <c r="CM348" s="2746"/>
      <c r="CN348" s="2746"/>
    </row>
    <row r="349" spans="1:92" x14ac:dyDescent="0.2">
      <c r="A349" s="2746"/>
      <c r="B349" s="2746"/>
      <c r="C349" s="2746"/>
      <c r="D349" s="2746"/>
      <c r="E349" s="2746"/>
      <c r="F349" s="2746"/>
      <c r="G349" s="2746"/>
      <c r="H349" s="2746"/>
      <c r="I349" s="2746"/>
      <c r="J349" s="2746"/>
      <c r="K349" s="2746"/>
      <c r="L349" s="2746"/>
      <c r="M349" s="2746"/>
      <c r="N349" s="2746"/>
      <c r="O349" s="2746"/>
      <c r="P349" s="2746"/>
      <c r="Q349" s="2746"/>
      <c r="R349" s="2746"/>
      <c r="S349" s="2746"/>
      <c r="T349" s="2746"/>
      <c r="U349" s="2746"/>
      <c r="V349" s="2746"/>
      <c r="W349" s="2746"/>
      <c r="X349" s="2746"/>
      <c r="Y349" s="2746"/>
      <c r="Z349" s="2746"/>
      <c r="AA349" s="2746"/>
      <c r="AB349" s="2746"/>
      <c r="AC349" s="2746"/>
      <c r="AD349" s="2746"/>
      <c r="AE349" s="2746"/>
      <c r="AF349" s="2746"/>
      <c r="AG349" s="2746"/>
      <c r="AH349" s="2746"/>
      <c r="AI349" s="2746"/>
      <c r="AJ349" s="2746"/>
      <c r="AK349" s="2746"/>
      <c r="AL349" s="2746"/>
      <c r="AM349" s="2746"/>
      <c r="AN349" s="2746"/>
      <c r="AO349" s="2746"/>
      <c r="AP349" s="2746"/>
      <c r="AQ349" s="2746"/>
      <c r="AR349" s="2746"/>
      <c r="AS349" s="2746"/>
      <c r="AT349" s="2746"/>
      <c r="AU349" s="2746"/>
      <c r="AV349" s="2746"/>
      <c r="AW349" s="2746"/>
      <c r="AX349" s="2746"/>
      <c r="AY349" s="2746"/>
      <c r="AZ349" s="2746"/>
      <c r="BA349" s="2746"/>
      <c r="BB349" s="2746"/>
      <c r="BC349" s="2746"/>
      <c r="BD349" s="2746"/>
      <c r="BE349" s="2746"/>
      <c r="BF349" s="2746"/>
      <c r="BG349" s="2746"/>
      <c r="BH349" s="2746"/>
      <c r="BI349" s="2746"/>
      <c r="BJ349" s="2746"/>
      <c r="BK349" s="2746"/>
      <c r="BL349" s="2746"/>
      <c r="BM349" s="2746"/>
      <c r="BN349" s="2746"/>
      <c r="BO349" s="2746"/>
      <c r="BP349" s="2746"/>
      <c r="BQ349" s="2746"/>
      <c r="BR349" s="2746"/>
      <c r="BS349" s="2746"/>
      <c r="BT349" s="2746"/>
      <c r="BU349" s="2746"/>
      <c r="BV349" s="2746"/>
      <c r="BW349" s="2746"/>
      <c r="BX349" s="2746"/>
      <c r="BY349" s="2746"/>
      <c r="BZ349" s="2746"/>
      <c r="CA349" s="2746"/>
      <c r="CB349" s="2746"/>
      <c r="CC349" s="2746"/>
      <c r="CD349" s="2746"/>
      <c r="CE349" s="2746"/>
      <c r="CF349" s="2746"/>
      <c r="CG349" s="2746"/>
      <c r="CH349" s="2746"/>
      <c r="CI349" s="2746"/>
      <c r="CJ349" s="2746"/>
      <c r="CK349" s="2746"/>
      <c r="CL349" s="2746"/>
      <c r="CM349" s="2746"/>
      <c r="CN349" s="2746"/>
    </row>
    <row r="350" spans="1:92" x14ac:dyDescent="0.2">
      <c r="A350" s="2746"/>
      <c r="B350" s="2746"/>
      <c r="C350" s="2746"/>
      <c r="D350" s="2746"/>
      <c r="E350" s="2746"/>
      <c r="F350" s="2746"/>
      <c r="G350" s="2746"/>
      <c r="H350" s="2746"/>
      <c r="I350" s="2746"/>
      <c r="J350" s="2746"/>
      <c r="K350" s="2746"/>
      <c r="L350" s="2746"/>
      <c r="M350" s="2746"/>
      <c r="N350" s="2746"/>
      <c r="O350" s="2746"/>
      <c r="P350" s="2746"/>
      <c r="Q350" s="2746"/>
      <c r="R350" s="2746"/>
      <c r="S350" s="2746"/>
      <c r="T350" s="2746"/>
      <c r="U350" s="2746"/>
      <c r="V350" s="2746"/>
      <c r="W350" s="2746"/>
      <c r="X350" s="2746"/>
      <c r="Y350" s="2746"/>
      <c r="Z350" s="2746"/>
      <c r="AA350" s="2746"/>
      <c r="AB350" s="2746"/>
      <c r="AC350" s="2746"/>
      <c r="AD350" s="2746"/>
      <c r="AE350" s="2746"/>
      <c r="AF350" s="2746"/>
      <c r="AG350" s="2746"/>
      <c r="AH350" s="2746"/>
      <c r="AI350" s="2746"/>
      <c r="AJ350" s="2746"/>
      <c r="AK350" s="2746"/>
      <c r="AL350" s="2746"/>
      <c r="AM350" s="2746"/>
      <c r="AN350" s="2746"/>
      <c r="AO350" s="2746"/>
      <c r="AP350" s="2746"/>
      <c r="AQ350" s="2746"/>
      <c r="AR350" s="2746"/>
      <c r="AS350" s="2746"/>
      <c r="AT350" s="2746"/>
      <c r="AU350" s="2746"/>
      <c r="AV350" s="2746"/>
      <c r="AW350" s="2746"/>
      <c r="AX350" s="2746"/>
      <c r="AY350" s="2746"/>
      <c r="AZ350" s="2746"/>
      <c r="BA350" s="2746"/>
      <c r="BB350" s="2746"/>
      <c r="BC350" s="2746"/>
      <c r="BD350" s="2746"/>
      <c r="BE350" s="2746"/>
      <c r="BF350" s="2746"/>
      <c r="BG350" s="2746"/>
      <c r="BH350" s="2746"/>
      <c r="BI350" s="2746"/>
      <c r="BJ350" s="2746"/>
      <c r="BK350" s="2746"/>
      <c r="BL350" s="2746"/>
      <c r="BM350" s="2746"/>
      <c r="BN350" s="2746"/>
      <c r="BO350" s="2746"/>
      <c r="BP350" s="2746"/>
      <c r="BQ350" s="2746"/>
      <c r="BR350" s="2746"/>
      <c r="BS350" s="2746"/>
      <c r="BT350" s="2746"/>
      <c r="BU350" s="2746"/>
      <c r="BV350" s="2746"/>
      <c r="BW350" s="2746"/>
      <c r="BX350" s="2746"/>
      <c r="BY350" s="2746"/>
      <c r="BZ350" s="2746"/>
      <c r="CA350" s="2746"/>
      <c r="CB350" s="2746"/>
      <c r="CC350" s="2746"/>
      <c r="CD350" s="2746"/>
      <c r="CE350" s="2746"/>
      <c r="CF350" s="2746"/>
      <c r="CG350" s="2746"/>
      <c r="CH350" s="2746"/>
      <c r="CI350" s="2746"/>
      <c r="CJ350" s="2746"/>
      <c r="CK350" s="2746"/>
      <c r="CL350" s="2746"/>
      <c r="CM350" s="2746"/>
      <c r="CN350" s="2746"/>
    </row>
    <row r="351" spans="1:92" x14ac:dyDescent="0.2">
      <c r="A351" s="2746"/>
      <c r="B351" s="2746"/>
      <c r="C351" s="2746"/>
      <c r="D351" s="2746"/>
      <c r="E351" s="2746"/>
      <c r="F351" s="2746"/>
      <c r="G351" s="2746"/>
      <c r="H351" s="2746"/>
      <c r="I351" s="2746"/>
      <c r="J351" s="2746"/>
      <c r="K351" s="2746"/>
      <c r="L351" s="2746"/>
      <c r="M351" s="2746"/>
      <c r="N351" s="2746"/>
      <c r="O351" s="2746"/>
      <c r="P351" s="2746"/>
      <c r="Q351" s="2746"/>
      <c r="R351" s="2746"/>
      <c r="S351" s="2746"/>
      <c r="T351" s="2746"/>
      <c r="U351" s="2746"/>
      <c r="V351" s="2746"/>
      <c r="W351" s="2746"/>
      <c r="X351" s="2746"/>
      <c r="Y351" s="2746"/>
      <c r="Z351" s="2746"/>
      <c r="AA351" s="2746"/>
      <c r="AB351" s="2746"/>
      <c r="AC351" s="2746"/>
      <c r="AD351" s="2746"/>
      <c r="AE351" s="2746"/>
      <c r="AF351" s="2746"/>
      <c r="AG351" s="2746"/>
      <c r="AH351" s="2746"/>
      <c r="AI351" s="2746"/>
      <c r="AJ351" s="2746"/>
      <c r="AK351" s="2746"/>
      <c r="AL351" s="2746"/>
      <c r="AM351" s="2746"/>
      <c r="AN351" s="2746"/>
      <c r="AO351" s="2746"/>
      <c r="AP351" s="2746"/>
      <c r="AQ351" s="2746"/>
      <c r="AR351" s="2746"/>
      <c r="AS351" s="2746"/>
      <c r="AT351" s="2746"/>
      <c r="AU351" s="2746"/>
      <c r="AV351" s="2746"/>
      <c r="AW351" s="2746"/>
      <c r="AX351" s="2746"/>
      <c r="AY351" s="2746"/>
      <c r="AZ351" s="2746"/>
      <c r="BA351" s="2746"/>
      <c r="BB351" s="2746"/>
      <c r="BC351" s="2746"/>
      <c r="BD351" s="2746"/>
      <c r="BE351" s="2746"/>
      <c r="BF351" s="2746"/>
      <c r="BG351" s="2746"/>
      <c r="BH351" s="2746"/>
      <c r="BI351" s="2746"/>
      <c r="BJ351" s="2746"/>
      <c r="BK351" s="2746"/>
      <c r="BL351" s="2746"/>
      <c r="BM351" s="2746"/>
      <c r="BN351" s="2746"/>
      <c r="BO351" s="2746"/>
      <c r="BP351" s="2746"/>
      <c r="BQ351" s="2746"/>
      <c r="BR351" s="2746"/>
      <c r="BS351" s="2746"/>
      <c r="BT351" s="2746"/>
      <c r="BU351" s="2746"/>
      <c r="BV351" s="2746"/>
      <c r="BW351" s="2746"/>
      <c r="BX351" s="2746"/>
      <c r="BY351" s="2746"/>
      <c r="BZ351" s="2746"/>
      <c r="CA351" s="2746"/>
      <c r="CB351" s="2746"/>
      <c r="CC351" s="2746"/>
      <c r="CD351" s="2746"/>
      <c r="CE351" s="2746"/>
      <c r="CF351" s="2746"/>
      <c r="CG351" s="2746"/>
      <c r="CH351" s="2746"/>
      <c r="CI351" s="2746"/>
      <c r="CJ351" s="2746"/>
      <c r="CK351" s="2746"/>
      <c r="CL351" s="2746"/>
      <c r="CM351" s="2746"/>
      <c r="CN351" s="2746"/>
    </row>
    <row r="352" spans="1:92" x14ac:dyDescent="0.2">
      <c r="A352" s="2746"/>
      <c r="B352" s="2746"/>
      <c r="C352" s="2746"/>
      <c r="D352" s="2746"/>
      <c r="E352" s="2746"/>
      <c r="F352" s="2746"/>
      <c r="G352" s="2746"/>
      <c r="H352" s="2746"/>
      <c r="I352" s="2746"/>
      <c r="J352" s="2746"/>
      <c r="K352" s="2746"/>
      <c r="L352" s="2746"/>
      <c r="M352" s="2746"/>
      <c r="N352" s="2746"/>
      <c r="O352" s="2746"/>
      <c r="P352" s="2746"/>
      <c r="Q352" s="2746"/>
      <c r="R352" s="2746"/>
      <c r="S352" s="2746"/>
      <c r="T352" s="2746"/>
      <c r="U352" s="2746"/>
      <c r="V352" s="2746"/>
      <c r="W352" s="2746"/>
      <c r="X352" s="2746"/>
      <c r="Y352" s="2746"/>
      <c r="Z352" s="2746"/>
      <c r="AA352" s="2746"/>
      <c r="AB352" s="2746"/>
      <c r="AC352" s="2746"/>
      <c r="AD352" s="2746"/>
      <c r="AE352" s="2746"/>
      <c r="AF352" s="2746"/>
      <c r="AG352" s="2746"/>
      <c r="AH352" s="2746"/>
      <c r="AI352" s="2746"/>
      <c r="AJ352" s="2746"/>
      <c r="AK352" s="2746"/>
      <c r="AL352" s="2746"/>
      <c r="AM352" s="2746"/>
      <c r="AN352" s="2746"/>
      <c r="AO352" s="2746"/>
      <c r="AP352" s="2746"/>
      <c r="AQ352" s="2746"/>
      <c r="AR352" s="2746"/>
      <c r="AS352" s="2746"/>
      <c r="AT352" s="2746"/>
      <c r="AU352" s="2746"/>
      <c r="AV352" s="2746"/>
      <c r="AW352" s="2746"/>
      <c r="AX352" s="2746"/>
      <c r="AY352" s="2746"/>
      <c r="AZ352" s="2746"/>
      <c r="BA352" s="2746"/>
      <c r="BB352" s="2746"/>
      <c r="BC352" s="2746"/>
      <c r="BD352" s="2746"/>
      <c r="BE352" s="2746"/>
      <c r="BF352" s="2746"/>
      <c r="BG352" s="2746"/>
      <c r="BH352" s="2746"/>
      <c r="BI352" s="2746"/>
      <c r="BJ352" s="2746"/>
      <c r="BK352" s="2746"/>
      <c r="BL352" s="2746"/>
      <c r="BM352" s="2746"/>
      <c r="BN352" s="2746"/>
      <c r="BO352" s="2746"/>
      <c r="BP352" s="2746"/>
      <c r="BQ352" s="2746"/>
      <c r="BR352" s="2746"/>
      <c r="BS352" s="2746"/>
      <c r="BT352" s="2746"/>
      <c r="BU352" s="2746"/>
      <c r="BV352" s="2746"/>
      <c r="BW352" s="2746"/>
      <c r="BX352" s="2746"/>
      <c r="BY352" s="2746"/>
      <c r="BZ352" s="2746"/>
      <c r="CA352" s="2746"/>
      <c r="CB352" s="2746"/>
      <c r="CC352" s="2746"/>
      <c r="CD352" s="2746"/>
      <c r="CE352" s="2746"/>
      <c r="CF352" s="2746"/>
      <c r="CG352" s="2746"/>
      <c r="CH352" s="2746"/>
      <c r="CI352" s="2746"/>
      <c r="CJ352" s="2746"/>
      <c r="CK352" s="2746"/>
      <c r="CL352" s="2746"/>
      <c r="CM352" s="2746"/>
      <c r="CN352" s="2746"/>
    </row>
    <row r="353" spans="1:92" x14ac:dyDescent="0.2">
      <c r="A353" s="2746"/>
      <c r="B353" s="2746"/>
      <c r="C353" s="2746"/>
      <c r="D353" s="2746"/>
      <c r="E353" s="2746"/>
      <c r="F353" s="2746"/>
      <c r="G353" s="2746"/>
      <c r="H353" s="2746"/>
      <c r="I353" s="2746"/>
      <c r="J353" s="2746"/>
      <c r="K353" s="2746"/>
      <c r="L353" s="2746"/>
      <c r="M353" s="2746"/>
      <c r="N353" s="2746"/>
      <c r="O353" s="2746"/>
      <c r="P353" s="2746"/>
      <c r="Q353" s="2746"/>
      <c r="R353" s="2746"/>
      <c r="S353" s="2746"/>
      <c r="T353" s="2746"/>
      <c r="U353" s="2746"/>
      <c r="V353" s="2746"/>
      <c r="W353" s="2746"/>
      <c r="X353" s="2746"/>
      <c r="Y353" s="2746"/>
      <c r="Z353" s="2746"/>
      <c r="AA353" s="2746"/>
      <c r="AB353" s="2746"/>
      <c r="AC353" s="2746"/>
      <c r="AD353" s="2746"/>
      <c r="AE353" s="2746"/>
      <c r="AF353" s="2746"/>
      <c r="AG353" s="2746"/>
      <c r="AH353" s="2746"/>
      <c r="AI353" s="2746"/>
      <c r="AJ353" s="2746"/>
      <c r="AK353" s="2746"/>
      <c r="AL353" s="2746"/>
      <c r="AM353" s="2746"/>
      <c r="AN353" s="2746"/>
      <c r="AO353" s="2746"/>
      <c r="AP353" s="2746"/>
      <c r="AQ353" s="2746"/>
      <c r="AR353" s="2746"/>
      <c r="AS353" s="2746"/>
      <c r="AT353" s="2746"/>
      <c r="AU353" s="2746"/>
      <c r="AV353" s="2746"/>
      <c r="AW353" s="2746"/>
      <c r="AX353" s="2746"/>
      <c r="AY353" s="2746"/>
      <c r="AZ353" s="2746"/>
      <c r="BA353" s="2746"/>
      <c r="BB353" s="2746"/>
      <c r="BC353" s="2746"/>
      <c r="BD353" s="2746"/>
      <c r="BE353" s="2746"/>
      <c r="BF353" s="2746"/>
      <c r="BG353" s="2746"/>
      <c r="BH353" s="2746"/>
      <c r="BI353" s="2746"/>
      <c r="BJ353" s="2746"/>
      <c r="BK353" s="2746"/>
      <c r="BL353" s="2746"/>
      <c r="BM353" s="2746"/>
      <c r="BN353" s="2746"/>
      <c r="BO353" s="2746"/>
      <c r="BP353" s="2746"/>
      <c r="BQ353" s="2746"/>
      <c r="BR353" s="2746"/>
      <c r="BS353" s="2746"/>
      <c r="BT353" s="2746"/>
      <c r="BU353" s="2746"/>
      <c r="BV353" s="2746"/>
      <c r="BW353" s="2746"/>
      <c r="BX353" s="2746"/>
      <c r="BY353" s="2746"/>
      <c r="BZ353" s="2746"/>
      <c r="CA353" s="2746"/>
      <c r="CB353" s="2746"/>
      <c r="CC353" s="2746"/>
      <c r="CD353" s="2746"/>
      <c r="CE353" s="2746"/>
      <c r="CF353" s="2746"/>
      <c r="CG353" s="2746"/>
      <c r="CH353" s="2746"/>
      <c r="CI353" s="2746"/>
      <c r="CJ353" s="2746"/>
      <c r="CK353" s="2746"/>
      <c r="CL353" s="2746"/>
      <c r="CM353" s="2746"/>
      <c r="CN353" s="2746"/>
    </row>
    <row r="354" spans="1:92" x14ac:dyDescent="0.2">
      <c r="A354" s="2746"/>
      <c r="B354" s="2746"/>
      <c r="C354" s="2746"/>
      <c r="D354" s="2746"/>
      <c r="E354" s="2746"/>
      <c r="F354" s="2746"/>
      <c r="G354" s="2746"/>
      <c r="H354" s="2746"/>
      <c r="I354" s="2746"/>
      <c r="J354" s="2746"/>
      <c r="K354" s="2746"/>
      <c r="L354" s="2746"/>
      <c r="M354" s="2746"/>
      <c r="N354" s="2746"/>
      <c r="O354" s="2746"/>
      <c r="P354" s="2746"/>
      <c r="Q354" s="2746"/>
      <c r="R354" s="2746"/>
      <c r="S354" s="2746"/>
      <c r="T354" s="2746"/>
      <c r="U354" s="2746"/>
      <c r="V354" s="2746"/>
      <c r="W354" s="2746"/>
      <c r="X354" s="2746"/>
      <c r="Y354" s="2746"/>
      <c r="Z354" s="2746"/>
      <c r="AA354" s="2746"/>
      <c r="AB354" s="2746"/>
      <c r="AC354" s="2746"/>
      <c r="AD354" s="2746"/>
      <c r="AE354" s="2746"/>
      <c r="AF354" s="2746"/>
      <c r="AG354" s="2746"/>
      <c r="AH354" s="2746"/>
      <c r="AI354" s="2746"/>
      <c r="AJ354" s="2746"/>
      <c r="AK354" s="2746"/>
      <c r="AL354" s="2746"/>
      <c r="AM354" s="2746"/>
      <c r="AN354" s="2746"/>
      <c r="AO354" s="2746"/>
      <c r="AP354" s="2746"/>
      <c r="AQ354" s="2746"/>
      <c r="AR354" s="2746"/>
      <c r="AS354" s="2746"/>
      <c r="AT354" s="2746"/>
      <c r="AU354" s="2746"/>
      <c r="AV354" s="2746"/>
      <c r="AW354" s="2746"/>
      <c r="AX354" s="2746"/>
      <c r="AY354" s="2746"/>
      <c r="AZ354" s="2746"/>
      <c r="BA354" s="2746"/>
      <c r="BB354" s="2746"/>
      <c r="BC354" s="2746"/>
      <c r="BD354" s="2746"/>
      <c r="BE354" s="2746"/>
      <c r="BF354" s="2746"/>
      <c r="BG354" s="2746"/>
      <c r="BH354" s="2746"/>
      <c r="BI354" s="2746"/>
      <c r="BJ354" s="2746"/>
      <c r="BK354" s="2746"/>
      <c r="BL354" s="2746"/>
      <c r="BM354" s="2746"/>
      <c r="BN354" s="2746"/>
      <c r="BO354" s="2746"/>
      <c r="BP354" s="2746"/>
      <c r="BQ354" s="2746"/>
      <c r="BR354" s="2746"/>
      <c r="BS354" s="2746"/>
      <c r="BT354" s="2746"/>
      <c r="BU354" s="2746"/>
      <c r="BV354" s="2746"/>
      <c r="BW354" s="2746"/>
      <c r="BX354" s="2746"/>
      <c r="BY354" s="2746"/>
      <c r="BZ354" s="2746"/>
      <c r="CA354" s="2746"/>
      <c r="CB354" s="2746"/>
      <c r="CC354" s="2746"/>
      <c r="CD354" s="2746"/>
      <c r="CE354" s="2746"/>
      <c r="CF354" s="2746"/>
      <c r="CG354" s="2746"/>
      <c r="CH354" s="2746"/>
      <c r="CI354" s="2746"/>
      <c r="CJ354" s="2746"/>
      <c r="CK354" s="2746"/>
      <c r="CL354" s="2746"/>
      <c r="CM354" s="2746"/>
      <c r="CN354" s="2746"/>
    </row>
    <row r="355" spans="1:92" x14ac:dyDescent="0.2">
      <c r="A355" s="2746"/>
      <c r="B355" s="2746"/>
      <c r="C355" s="2746"/>
      <c r="D355" s="2746"/>
      <c r="E355" s="2746"/>
      <c r="F355" s="2746"/>
      <c r="G355" s="2746"/>
      <c r="H355" s="2746"/>
      <c r="I355" s="2746"/>
      <c r="J355" s="2746"/>
      <c r="K355" s="2746"/>
      <c r="L355" s="2746"/>
      <c r="M355" s="2746"/>
      <c r="N355" s="2746"/>
      <c r="O355" s="2746"/>
      <c r="P355" s="2746"/>
      <c r="Q355" s="2746"/>
      <c r="R355" s="2746"/>
      <c r="S355" s="2746"/>
      <c r="T355" s="2746"/>
      <c r="U355" s="2746"/>
      <c r="V355" s="2746"/>
      <c r="W355" s="2746"/>
      <c r="X355" s="2746"/>
      <c r="Y355" s="2746"/>
      <c r="Z355" s="2746"/>
      <c r="AA355" s="2746"/>
      <c r="AB355" s="2746"/>
      <c r="AC355" s="2746"/>
      <c r="AD355" s="2746"/>
      <c r="AE355" s="2746"/>
      <c r="AF355" s="2746"/>
      <c r="AG355" s="2746"/>
      <c r="AH355" s="2746"/>
      <c r="AI355" s="2746"/>
      <c r="AJ355" s="2746"/>
      <c r="AK355" s="2746"/>
      <c r="AL355" s="2746"/>
      <c r="AM355" s="2746"/>
      <c r="AN355" s="2746"/>
      <c r="AO355" s="2746"/>
      <c r="AP355" s="2746"/>
      <c r="AQ355" s="2746"/>
      <c r="AR355" s="2746"/>
      <c r="AS355" s="2746"/>
      <c r="AT355" s="2746"/>
      <c r="AU355" s="2746"/>
      <c r="AV355" s="2746"/>
      <c r="AW355" s="2746"/>
      <c r="AX355" s="2746"/>
      <c r="AY355" s="2746"/>
      <c r="AZ355" s="2746"/>
      <c r="BA355" s="2746"/>
      <c r="BB355" s="2746"/>
      <c r="BC355" s="2746"/>
      <c r="BD355" s="2746"/>
      <c r="BE355" s="2746"/>
      <c r="BF355" s="2746"/>
      <c r="BG355" s="2746"/>
      <c r="BH355" s="2746"/>
      <c r="BI355" s="2746"/>
      <c r="BJ355" s="2746"/>
      <c r="BK355" s="2746"/>
      <c r="BL355" s="2746"/>
      <c r="BM355" s="2746"/>
      <c r="BN355" s="2746"/>
      <c r="BO355" s="2746"/>
      <c r="BP355" s="2746"/>
      <c r="BQ355" s="2746"/>
      <c r="BR355" s="2746"/>
      <c r="BS355" s="2746"/>
      <c r="BT355" s="2746"/>
      <c r="BU355" s="2746"/>
      <c r="BV355" s="2746"/>
      <c r="BW355" s="2746"/>
      <c r="BX355" s="2746"/>
      <c r="BY355" s="2746"/>
      <c r="BZ355" s="2746"/>
      <c r="CA355" s="2746"/>
      <c r="CB355" s="2746"/>
      <c r="CC355" s="2746"/>
      <c r="CD355" s="2746"/>
      <c r="CE355" s="2746"/>
      <c r="CF355" s="2746"/>
      <c r="CG355" s="2746"/>
      <c r="CH355" s="2746"/>
      <c r="CI355" s="2746"/>
      <c r="CJ355" s="2746"/>
      <c r="CK355" s="2746"/>
      <c r="CL355" s="2746"/>
      <c r="CM355" s="2746"/>
      <c r="CN355" s="2746"/>
    </row>
    <row r="356" spans="1:92" x14ac:dyDescent="0.2">
      <c r="A356" s="2746"/>
      <c r="B356" s="2746"/>
      <c r="C356" s="2746"/>
      <c r="D356" s="2746"/>
      <c r="E356" s="2746"/>
      <c r="F356" s="2746"/>
      <c r="G356" s="2746"/>
      <c r="H356" s="2746"/>
      <c r="I356" s="2746"/>
      <c r="J356" s="2746"/>
      <c r="K356" s="2746"/>
      <c r="L356" s="2746"/>
      <c r="M356" s="2746"/>
      <c r="N356" s="2746"/>
      <c r="O356" s="2746"/>
      <c r="P356" s="2746"/>
      <c r="Q356" s="2746"/>
      <c r="R356" s="2746"/>
      <c r="S356" s="2746"/>
      <c r="T356" s="2746"/>
      <c r="U356" s="2746"/>
      <c r="V356" s="2746"/>
      <c r="W356" s="2746"/>
      <c r="X356" s="2746"/>
      <c r="Y356" s="2746"/>
      <c r="Z356" s="2746"/>
      <c r="AA356" s="2746"/>
      <c r="AB356" s="2746"/>
      <c r="AC356" s="2746"/>
      <c r="AD356" s="2746"/>
      <c r="AE356" s="2746"/>
      <c r="AF356" s="2746"/>
      <c r="AG356" s="2746"/>
      <c r="AH356" s="2746"/>
      <c r="AI356" s="2746"/>
      <c r="AJ356" s="2746"/>
      <c r="AK356" s="2746"/>
      <c r="AL356" s="2746"/>
      <c r="AM356" s="2746"/>
      <c r="AN356" s="2746"/>
      <c r="AO356" s="2746"/>
      <c r="AP356" s="2746"/>
      <c r="AQ356" s="2746"/>
      <c r="AR356" s="2746"/>
      <c r="AS356" s="2746"/>
      <c r="AT356" s="2746"/>
      <c r="AU356" s="2746"/>
      <c r="AV356" s="2746"/>
      <c r="AW356" s="2746"/>
      <c r="AX356" s="2746"/>
      <c r="AY356" s="2746"/>
      <c r="AZ356" s="2746"/>
      <c r="BA356" s="2746"/>
      <c r="BB356" s="2746"/>
      <c r="BC356" s="2746"/>
      <c r="BD356" s="2746"/>
      <c r="BE356" s="2746"/>
      <c r="BF356" s="2746"/>
      <c r="BG356" s="2746"/>
      <c r="BH356" s="2746"/>
      <c r="BI356" s="2746"/>
      <c r="BJ356" s="2746"/>
      <c r="BK356" s="2746"/>
      <c r="BL356" s="2746"/>
      <c r="BM356" s="2746"/>
      <c r="BN356" s="2746"/>
      <c r="BO356" s="2746"/>
      <c r="BP356" s="2746"/>
      <c r="BQ356" s="2746"/>
      <c r="BR356" s="2746"/>
      <c r="BS356" s="2746"/>
      <c r="BT356" s="2746"/>
      <c r="BU356" s="2746"/>
      <c r="BV356" s="2746"/>
      <c r="BW356" s="2746"/>
      <c r="BX356" s="2746"/>
      <c r="BY356" s="2746"/>
      <c r="BZ356" s="2746"/>
      <c r="CA356" s="2746"/>
      <c r="CB356" s="2746"/>
      <c r="CC356" s="2746"/>
      <c r="CD356" s="2746"/>
      <c r="CE356" s="2746"/>
      <c r="CF356" s="2746"/>
      <c r="CG356" s="2746"/>
      <c r="CH356" s="2746"/>
      <c r="CI356" s="2746"/>
      <c r="CJ356" s="2746"/>
      <c r="CK356" s="2746"/>
      <c r="CL356" s="2746"/>
      <c r="CM356" s="2746"/>
      <c r="CN356" s="2746"/>
    </row>
    <row r="357" spans="1:92" x14ac:dyDescent="0.2">
      <c r="A357" s="2746"/>
      <c r="B357" s="2746"/>
      <c r="C357" s="2746"/>
      <c r="D357" s="2746"/>
      <c r="E357" s="2746"/>
      <c r="F357" s="2746"/>
      <c r="G357" s="2746"/>
      <c r="H357" s="2746"/>
      <c r="I357" s="2746"/>
      <c r="J357" s="2746"/>
      <c r="K357" s="2746"/>
      <c r="L357" s="2746"/>
      <c r="M357" s="2746"/>
      <c r="N357" s="2746"/>
      <c r="O357" s="2746"/>
      <c r="P357" s="2746"/>
      <c r="Q357" s="2746"/>
      <c r="R357" s="2746"/>
      <c r="S357" s="2746"/>
      <c r="T357" s="2746"/>
      <c r="U357" s="2746"/>
      <c r="V357" s="2746"/>
      <c r="W357" s="2746"/>
      <c r="X357" s="2746"/>
      <c r="Y357" s="2746"/>
      <c r="Z357" s="2746"/>
      <c r="AA357" s="2746"/>
      <c r="AB357" s="2746"/>
      <c r="AC357" s="2746"/>
      <c r="AD357" s="2746"/>
      <c r="AE357" s="2746"/>
      <c r="AF357" s="2746"/>
      <c r="AG357" s="2746"/>
      <c r="AH357" s="2746"/>
      <c r="AI357" s="2746"/>
      <c r="AJ357" s="2746"/>
      <c r="AK357" s="2746"/>
      <c r="AL357" s="2746"/>
      <c r="AM357" s="2746"/>
      <c r="AN357" s="2746"/>
      <c r="AO357" s="2746"/>
      <c r="AP357" s="2746"/>
      <c r="AQ357" s="2746"/>
      <c r="AR357" s="2746"/>
      <c r="AS357" s="2746"/>
      <c r="AT357" s="2746"/>
      <c r="AU357" s="2746"/>
      <c r="AV357" s="2746"/>
      <c r="AW357" s="2746"/>
      <c r="AX357" s="2746"/>
      <c r="AY357" s="2746"/>
      <c r="AZ357" s="2746"/>
      <c r="BA357" s="2746"/>
      <c r="BB357" s="2746"/>
      <c r="BC357" s="2746"/>
      <c r="BD357" s="2746"/>
      <c r="BE357" s="2746"/>
      <c r="BF357" s="2746"/>
      <c r="BG357" s="2746"/>
      <c r="BH357" s="2746"/>
      <c r="BI357" s="2746"/>
      <c r="BJ357" s="2746"/>
      <c r="BK357" s="2746"/>
      <c r="BL357" s="2746"/>
      <c r="BM357" s="2746"/>
      <c r="BN357" s="2746"/>
      <c r="BO357" s="2746"/>
      <c r="BP357" s="2746"/>
      <c r="BQ357" s="2746"/>
      <c r="BR357" s="2746"/>
      <c r="BS357" s="2746"/>
      <c r="BT357" s="2746"/>
      <c r="BU357" s="2746"/>
      <c r="BV357" s="2746"/>
      <c r="BW357" s="2746"/>
      <c r="BX357" s="2746"/>
      <c r="BY357" s="2746"/>
      <c r="BZ357" s="2746"/>
      <c r="CA357" s="2746"/>
      <c r="CB357" s="2746"/>
      <c r="CC357" s="2746"/>
      <c r="CD357" s="2746"/>
      <c r="CE357" s="2746"/>
      <c r="CF357" s="2746"/>
      <c r="CG357" s="2746"/>
      <c r="CH357" s="2746"/>
      <c r="CI357" s="2746"/>
      <c r="CJ357" s="2746"/>
      <c r="CK357" s="2746"/>
      <c r="CL357" s="2746"/>
      <c r="CM357" s="2746"/>
      <c r="CN357" s="2746"/>
    </row>
    <row r="358" spans="1:92" x14ac:dyDescent="0.2">
      <c r="A358" s="2746"/>
      <c r="B358" s="2746"/>
      <c r="C358" s="2746"/>
      <c r="D358" s="2746"/>
      <c r="E358" s="2746"/>
      <c r="F358" s="2746"/>
      <c r="G358" s="2746"/>
      <c r="H358" s="2746"/>
      <c r="I358" s="2746"/>
      <c r="J358" s="2746"/>
      <c r="K358" s="2746"/>
      <c r="L358" s="2746"/>
      <c r="M358" s="2746"/>
      <c r="N358" s="2746"/>
      <c r="O358" s="2746"/>
      <c r="P358" s="2746"/>
      <c r="Q358" s="2746"/>
      <c r="R358" s="2746"/>
      <c r="S358" s="2746"/>
      <c r="T358" s="2746"/>
      <c r="U358" s="2746"/>
      <c r="V358" s="2746"/>
      <c r="W358" s="2746"/>
      <c r="X358" s="2746"/>
      <c r="Y358" s="2746"/>
      <c r="Z358" s="2746"/>
      <c r="AA358" s="2746"/>
      <c r="AB358" s="2746"/>
      <c r="AC358" s="2746"/>
      <c r="AD358" s="2746"/>
      <c r="AE358" s="2746"/>
      <c r="AF358" s="2746"/>
      <c r="AG358" s="2746"/>
      <c r="AH358" s="2746"/>
      <c r="AI358" s="2746"/>
      <c r="AJ358" s="2746"/>
      <c r="AK358" s="2746"/>
      <c r="AL358" s="2746"/>
      <c r="AM358" s="2746"/>
      <c r="AN358" s="2746"/>
      <c r="AO358" s="2746"/>
      <c r="AP358" s="2746"/>
      <c r="AQ358" s="2746"/>
      <c r="AR358" s="2746"/>
      <c r="AS358" s="2746"/>
      <c r="AT358" s="2746"/>
      <c r="AU358" s="2746"/>
      <c r="AV358" s="2746"/>
      <c r="AW358" s="2746"/>
      <c r="AX358" s="2746"/>
      <c r="AY358" s="2746"/>
      <c r="AZ358" s="2746"/>
      <c r="BA358" s="2746"/>
      <c r="BB358" s="2746"/>
      <c r="BC358" s="2746"/>
      <c r="BD358" s="2746"/>
      <c r="BE358" s="2746"/>
      <c r="BF358" s="2746"/>
      <c r="BG358" s="2746"/>
      <c r="BH358" s="2746"/>
      <c r="BI358" s="2746"/>
      <c r="BJ358" s="2746"/>
      <c r="BK358" s="2746"/>
      <c r="BL358" s="2746"/>
      <c r="BM358" s="2746"/>
      <c r="BN358" s="2746"/>
      <c r="BO358" s="2746"/>
      <c r="BP358" s="2746"/>
      <c r="BQ358" s="2746"/>
      <c r="BR358" s="2746"/>
      <c r="BS358" s="2746"/>
      <c r="BT358" s="2746"/>
      <c r="BU358" s="2746"/>
      <c r="BV358" s="2746"/>
      <c r="BW358" s="2746"/>
      <c r="BX358" s="2746"/>
      <c r="BY358" s="2746"/>
      <c r="BZ358" s="2746"/>
      <c r="CA358" s="2746"/>
      <c r="CB358" s="2746"/>
      <c r="CC358" s="2746"/>
      <c r="CD358" s="2746"/>
      <c r="CE358" s="2746"/>
      <c r="CF358" s="2746"/>
      <c r="CG358" s="2746"/>
      <c r="CH358" s="2746"/>
      <c r="CI358" s="2746"/>
      <c r="CJ358" s="2746"/>
      <c r="CK358" s="2746"/>
      <c r="CL358" s="2746"/>
      <c r="CM358" s="2746"/>
      <c r="CN358" s="2746"/>
    </row>
    <row r="359" spans="1:92" x14ac:dyDescent="0.2">
      <c r="A359" s="2746"/>
      <c r="B359" s="2746"/>
      <c r="C359" s="2746"/>
      <c r="D359" s="2746"/>
      <c r="E359" s="2746"/>
      <c r="F359" s="2746"/>
      <c r="G359" s="2746"/>
      <c r="H359" s="2746"/>
      <c r="I359" s="2746"/>
      <c r="J359" s="2746"/>
      <c r="K359" s="2746"/>
      <c r="L359" s="2746"/>
      <c r="M359" s="2746"/>
      <c r="N359" s="2746"/>
      <c r="O359" s="2746"/>
      <c r="P359" s="2746"/>
      <c r="Q359" s="2746"/>
      <c r="R359" s="2746"/>
      <c r="S359" s="2746"/>
      <c r="T359" s="2746"/>
      <c r="U359" s="2746"/>
      <c r="V359" s="2746"/>
      <c r="W359" s="2746"/>
      <c r="X359" s="2746"/>
      <c r="Y359" s="2746"/>
      <c r="Z359" s="2746"/>
      <c r="AA359" s="2746"/>
      <c r="AB359" s="2746"/>
      <c r="AC359" s="2746"/>
      <c r="AD359" s="2746"/>
      <c r="AE359" s="2746"/>
      <c r="AF359" s="2746"/>
      <c r="AG359" s="2746"/>
      <c r="AH359" s="2746"/>
      <c r="AI359" s="2746"/>
      <c r="AJ359" s="2746"/>
      <c r="AK359" s="2746"/>
      <c r="AL359" s="2746"/>
      <c r="AM359" s="2746"/>
      <c r="AN359" s="2746"/>
      <c r="AO359" s="2746"/>
      <c r="AP359" s="2746"/>
      <c r="AQ359" s="2746"/>
      <c r="AR359" s="2746"/>
      <c r="AS359" s="2746"/>
      <c r="AT359" s="2746"/>
      <c r="AU359" s="2746"/>
      <c r="AV359" s="2746"/>
      <c r="AW359" s="2746"/>
      <c r="AX359" s="2746"/>
      <c r="AY359" s="2746"/>
      <c r="AZ359" s="2746"/>
      <c r="BA359" s="2746"/>
      <c r="BB359" s="2746"/>
      <c r="BC359" s="2746"/>
      <c r="BD359" s="2746"/>
      <c r="BE359" s="2746"/>
      <c r="BF359" s="2746"/>
      <c r="BG359" s="2746"/>
      <c r="BH359" s="2746"/>
      <c r="BI359" s="2746"/>
      <c r="BJ359" s="2746"/>
      <c r="BK359" s="2746"/>
      <c r="BL359" s="2746"/>
      <c r="BM359" s="2746"/>
      <c r="BN359" s="2746"/>
      <c r="BO359" s="2746"/>
      <c r="BP359" s="2746"/>
      <c r="BQ359" s="2746"/>
      <c r="BR359" s="2746"/>
      <c r="BS359" s="2746"/>
      <c r="BT359" s="2746"/>
      <c r="BU359" s="2746"/>
      <c r="BV359" s="2746"/>
      <c r="BW359" s="2746"/>
      <c r="BX359" s="2746"/>
      <c r="BY359" s="2746"/>
      <c r="BZ359" s="2746"/>
      <c r="CA359" s="2746"/>
      <c r="CB359" s="2746"/>
      <c r="CC359" s="2746"/>
      <c r="CD359" s="2746"/>
      <c r="CE359" s="2746"/>
      <c r="CF359" s="2746"/>
      <c r="CG359" s="2746"/>
      <c r="CH359" s="2746"/>
      <c r="CI359" s="2746"/>
      <c r="CJ359" s="2746"/>
      <c r="CK359" s="2746"/>
      <c r="CL359" s="2746"/>
      <c r="CM359" s="2746"/>
      <c r="CN359" s="2746"/>
    </row>
    <row r="360" spans="1:92" x14ac:dyDescent="0.2">
      <c r="A360" s="2746"/>
      <c r="B360" s="2746"/>
      <c r="C360" s="2746"/>
      <c r="D360" s="2746"/>
      <c r="E360" s="2746"/>
      <c r="F360" s="2746"/>
      <c r="G360" s="2746"/>
      <c r="H360" s="2746"/>
      <c r="I360" s="2746"/>
      <c r="J360" s="2746"/>
      <c r="K360" s="2746"/>
      <c r="L360" s="2746"/>
      <c r="M360" s="2746"/>
      <c r="N360" s="2746"/>
      <c r="O360" s="2746"/>
      <c r="P360" s="2746"/>
      <c r="Q360" s="2746"/>
      <c r="R360" s="2746"/>
      <c r="S360" s="2746"/>
      <c r="T360" s="2746"/>
      <c r="U360" s="2746"/>
      <c r="V360" s="2746"/>
      <c r="W360" s="2746"/>
      <c r="X360" s="2746"/>
      <c r="Y360" s="2746"/>
      <c r="Z360" s="2746"/>
      <c r="AA360" s="2746"/>
      <c r="AB360" s="2746"/>
      <c r="AC360" s="2746"/>
      <c r="AD360" s="2746"/>
      <c r="AE360" s="2746"/>
      <c r="AF360" s="2746"/>
      <c r="AG360" s="2746"/>
      <c r="AH360" s="2746"/>
      <c r="AI360" s="2746"/>
      <c r="AJ360" s="2746"/>
      <c r="AK360" s="2746"/>
      <c r="AL360" s="2746"/>
      <c r="AM360" s="2746"/>
      <c r="AN360" s="2746"/>
      <c r="AO360" s="2746"/>
      <c r="AP360" s="2746"/>
      <c r="AQ360" s="2746"/>
      <c r="AR360" s="2746"/>
      <c r="AS360" s="2746"/>
      <c r="AT360" s="2746"/>
      <c r="AU360" s="2746"/>
      <c r="AV360" s="2746"/>
      <c r="AW360" s="2746"/>
      <c r="AX360" s="2746"/>
      <c r="AY360" s="2746"/>
      <c r="AZ360" s="2746"/>
      <c r="BA360" s="2746"/>
      <c r="BB360" s="2746"/>
      <c r="BC360" s="2746"/>
      <c r="BD360" s="2746"/>
      <c r="BE360" s="2746"/>
      <c r="BF360" s="2746"/>
      <c r="BG360" s="2746"/>
      <c r="BH360" s="2746"/>
      <c r="BI360" s="2746"/>
      <c r="BJ360" s="2746"/>
      <c r="BK360" s="2746"/>
      <c r="BL360" s="2746"/>
      <c r="BM360" s="2746"/>
      <c r="BN360" s="2746"/>
      <c r="BO360" s="2746"/>
      <c r="BP360" s="2746"/>
      <c r="BQ360" s="2746"/>
      <c r="BR360" s="2746"/>
      <c r="BS360" s="2746"/>
      <c r="BT360" s="2746"/>
      <c r="BU360" s="2746"/>
      <c r="BV360" s="2746"/>
      <c r="BW360" s="2746"/>
      <c r="BX360" s="2746"/>
      <c r="BY360" s="2746"/>
      <c r="BZ360" s="2746"/>
      <c r="CA360" s="2746"/>
      <c r="CB360" s="2746"/>
      <c r="CC360" s="2746"/>
      <c r="CD360" s="2746"/>
      <c r="CE360" s="2746"/>
      <c r="CF360" s="2746"/>
      <c r="CG360" s="2746"/>
      <c r="CH360" s="2746"/>
      <c r="CI360" s="2746"/>
      <c r="CJ360" s="2746"/>
      <c r="CK360" s="2746"/>
      <c r="CL360" s="2746"/>
      <c r="CM360" s="2746"/>
      <c r="CN360" s="2746"/>
    </row>
    <row r="361" spans="1:92" x14ac:dyDescent="0.2">
      <c r="A361" s="2746"/>
      <c r="B361" s="2746"/>
      <c r="C361" s="2746"/>
      <c r="D361" s="2746"/>
      <c r="E361" s="2746"/>
      <c r="F361" s="2746"/>
      <c r="G361" s="2746"/>
      <c r="H361" s="2746"/>
      <c r="I361" s="2746"/>
      <c r="J361" s="2746"/>
      <c r="K361" s="2746"/>
      <c r="L361" s="2746"/>
      <c r="M361" s="2746"/>
      <c r="N361" s="2746"/>
      <c r="O361" s="2746"/>
      <c r="P361" s="2746"/>
      <c r="Q361" s="2746"/>
      <c r="R361" s="2746"/>
      <c r="S361" s="2746"/>
      <c r="T361" s="2746"/>
      <c r="U361" s="2746"/>
      <c r="V361" s="2746"/>
      <c r="W361" s="2746"/>
      <c r="X361" s="2746"/>
      <c r="Y361" s="2746"/>
      <c r="Z361" s="2746"/>
      <c r="AA361" s="2746"/>
      <c r="AB361" s="2746"/>
      <c r="AC361" s="2746"/>
      <c r="AD361" s="2746"/>
      <c r="AE361" s="2746"/>
      <c r="AF361" s="2746"/>
      <c r="AG361" s="2746"/>
      <c r="AH361" s="2746"/>
      <c r="AI361" s="2746"/>
      <c r="AJ361" s="2746"/>
      <c r="AK361" s="2746"/>
      <c r="AL361" s="2746"/>
      <c r="AM361" s="2746"/>
      <c r="AN361" s="2746"/>
      <c r="AO361" s="2746"/>
      <c r="AP361" s="2746"/>
      <c r="AQ361" s="2746"/>
      <c r="AR361" s="2746"/>
      <c r="AS361" s="2746"/>
      <c r="AT361" s="2746"/>
      <c r="AU361" s="2746"/>
      <c r="AV361" s="2746"/>
      <c r="AW361" s="2746"/>
      <c r="AX361" s="2746"/>
      <c r="AY361" s="2746"/>
      <c r="AZ361" s="2746"/>
      <c r="BA361" s="2746"/>
      <c r="BB361" s="2746"/>
      <c r="BC361" s="2746"/>
      <c r="BD361" s="2746"/>
      <c r="BE361" s="2746"/>
      <c r="BF361" s="2746"/>
      <c r="BG361" s="2746"/>
      <c r="BH361" s="2746"/>
      <c r="BI361" s="2746"/>
      <c r="BJ361" s="2746"/>
      <c r="BK361" s="2746"/>
      <c r="BL361" s="2746"/>
      <c r="BM361" s="2746"/>
      <c r="BN361" s="2746"/>
      <c r="BO361" s="2746"/>
      <c r="BP361" s="2746"/>
      <c r="BQ361" s="2746"/>
      <c r="BR361" s="2746"/>
      <c r="BS361" s="2746"/>
      <c r="BT361" s="2746"/>
      <c r="BU361" s="2746"/>
      <c r="BV361" s="2746"/>
      <c r="BW361" s="2746"/>
      <c r="BX361" s="2746"/>
      <c r="BY361" s="2746"/>
      <c r="BZ361" s="2746"/>
      <c r="CA361" s="2746"/>
      <c r="CB361" s="2746"/>
      <c r="CC361" s="2746"/>
      <c r="CD361" s="2746"/>
      <c r="CE361" s="2746"/>
      <c r="CF361" s="2746"/>
      <c r="CG361" s="2746"/>
      <c r="CH361" s="2746"/>
      <c r="CI361" s="2746"/>
      <c r="CJ361" s="2746"/>
      <c r="CK361" s="2746"/>
      <c r="CL361" s="2746"/>
      <c r="CM361" s="2746"/>
      <c r="CN361" s="2746"/>
    </row>
    <row r="362" spans="1:92" x14ac:dyDescent="0.2">
      <c r="A362" s="2746"/>
      <c r="B362" s="2746"/>
      <c r="C362" s="2746"/>
      <c r="D362" s="2746"/>
      <c r="E362" s="2746"/>
      <c r="F362" s="2746"/>
      <c r="G362" s="2746"/>
      <c r="H362" s="2746"/>
      <c r="I362" s="2746"/>
      <c r="J362" s="2746"/>
      <c r="K362" s="2746"/>
      <c r="L362" s="2746"/>
      <c r="M362" s="2746"/>
      <c r="N362" s="2746"/>
      <c r="O362" s="2746"/>
      <c r="P362" s="2746"/>
      <c r="Q362" s="2746"/>
      <c r="R362" s="2746"/>
      <c r="S362" s="2746"/>
      <c r="T362" s="2746"/>
      <c r="U362" s="2746"/>
      <c r="V362" s="2746"/>
      <c r="W362" s="2746"/>
      <c r="X362" s="2746"/>
      <c r="Y362" s="2746"/>
      <c r="Z362" s="2746"/>
      <c r="AA362" s="2746"/>
      <c r="AB362" s="2746"/>
      <c r="AC362" s="2746"/>
      <c r="AD362" s="2746"/>
      <c r="AE362" s="2746"/>
      <c r="AF362" s="2746"/>
      <c r="AG362" s="2746"/>
      <c r="AH362" s="2746"/>
      <c r="AI362" s="2746"/>
      <c r="AJ362" s="2746"/>
      <c r="AK362" s="2746"/>
      <c r="AL362" s="2746"/>
      <c r="AM362" s="2746"/>
      <c r="AN362" s="2746"/>
      <c r="AO362" s="2746"/>
      <c r="AP362" s="2746"/>
      <c r="AQ362" s="2746"/>
      <c r="AR362" s="2746"/>
      <c r="AS362" s="2746"/>
      <c r="AT362" s="2746"/>
      <c r="AU362" s="2746"/>
      <c r="AV362" s="2746"/>
      <c r="AW362" s="2746"/>
      <c r="AX362" s="2746"/>
      <c r="AY362" s="2746"/>
      <c r="AZ362" s="2746"/>
      <c r="BA362" s="2746"/>
      <c r="BB362" s="2746"/>
      <c r="BC362" s="2746"/>
      <c r="BD362" s="2746"/>
      <c r="BE362" s="2746"/>
      <c r="BF362" s="2746"/>
      <c r="BG362" s="2746"/>
      <c r="BH362" s="2746"/>
      <c r="BI362" s="2746"/>
      <c r="BJ362" s="2746"/>
      <c r="BK362" s="2746"/>
      <c r="BL362" s="2746"/>
      <c r="BM362" s="2746"/>
      <c r="BN362" s="2746"/>
      <c r="BO362" s="2746"/>
      <c r="BP362" s="2746"/>
      <c r="BQ362" s="2746"/>
      <c r="BR362" s="2746"/>
      <c r="BS362" s="2746"/>
      <c r="BT362" s="2746"/>
      <c r="BU362" s="2746"/>
      <c r="BV362" s="2746"/>
      <c r="BW362" s="2746"/>
      <c r="BX362" s="2746"/>
      <c r="BY362" s="2746"/>
      <c r="BZ362" s="2746"/>
      <c r="CA362" s="2746"/>
      <c r="CB362" s="2746"/>
      <c r="CC362" s="2746"/>
      <c r="CD362" s="2746"/>
      <c r="CE362" s="2746"/>
      <c r="CF362" s="2746"/>
      <c r="CG362" s="2746"/>
      <c r="CH362" s="2746"/>
      <c r="CI362" s="2746"/>
      <c r="CJ362" s="2746"/>
      <c r="CK362" s="2746"/>
      <c r="CL362" s="2746"/>
      <c r="CM362" s="2746"/>
      <c r="CN362" s="2746"/>
    </row>
    <row r="363" spans="1:92" x14ac:dyDescent="0.2">
      <c r="A363" s="2746"/>
      <c r="B363" s="2746"/>
      <c r="C363" s="2746"/>
      <c r="D363" s="2746"/>
      <c r="E363" s="2746"/>
      <c r="F363" s="2746"/>
      <c r="G363" s="2746"/>
      <c r="H363" s="2746"/>
      <c r="I363" s="2746"/>
      <c r="J363" s="2746"/>
      <c r="K363" s="2746"/>
      <c r="L363" s="2746"/>
      <c r="M363" s="2746"/>
      <c r="N363" s="2746"/>
      <c r="O363" s="2746"/>
      <c r="P363" s="2746"/>
      <c r="Q363" s="2746"/>
      <c r="R363" s="2746"/>
      <c r="S363" s="2746"/>
      <c r="T363" s="2746"/>
      <c r="U363" s="2746"/>
      <c r="V363" s="2746"/>
      <c r="W363" s="2746"/>
      <c r="X363" s="2746"/>
      <c r="Y363" s="2746"/>
      <c r="Z363" s="2746"/>
      <c r="AA363" s="2746"/>
      <c r="AB363" s="2746"/>
      <c r="AC363" s="2746"/>
      <c r="AD363" s="2746"/>
      <c r="AE363" s="2746"/>
      <c r="AF363" s="2746"/>
      <c r="AG363" s="2746"/>
      <c r="AH363" s="2746"/>
      <c r="AI363" s="2746"/>
      <c r="AJ363" s="2746"/>
      <c r="AK363" s="2746"/>
      <c r="AL363" s="2746"/>
      <c r="AM363" s="2746"/>
      <c r="AN363" s="2746"/>
      <c r="AO363" s="2746"/>
      <c r="AP363" s="2746"/>
      <c r="AQ363" s="2746"/>
      <c r="AR363" s="2746"/>
      <c r="AS363" s="2746"/>
      <c r="AT363" s="2746"/>
      <c r="AU363" s="2746"/>
      <c r="AV363" s="2746"/>
      <c r="AW363" s="2746"/>
      <c r="AX363" s="2746"/>
      <c r="AY363" s="2746"/>
      <c r="AZ363" s="2746"/>
      <c r="BA363" s="2746"/>
      <c r="BB363" s="2746"/>
      <c r="BC363" s="2746"/>
      <c r="BD363" s="2746"/>
      <c r="BE363" s="2746"/>
      <c r="BF363" s="2746"/>
      <c r="BG363" s="2746"/>
      <c r="BH363" s="2746"/>
      <c r="BI363" s="2746"/>
      <c r="BJ363" s="2746"/>
      <c r="BK363" s="2746"/>
      <c r="BL363" s="2746"/>
      <c r="BM363" s="2746"/>
      <c r="BN363" s="2746"/>
      <c r="BO363" s="2746"/>
      <c r="BP363" s="2746"/>
      <c r="BQ363" s="2746"/>
      <c r="BR363" s="2746"/>
      <c r="BS363" s="2746"/>
      <c r="BT363" s="2746"/>
      <c r="BU363" s="2746"/>
      <c r="BV363" s="2746"/>
      <c r="BW363" s="2746"/>
      <c r="BX363" s="2746"/>
      <c r="BY363" s="2746"/>
      <c r="BZ363" s="2746"/>
      <c r="CA363" s="2746"/>
      <c r="CB363" s="2746"/>
      <c r="CC363" s="2746"/>
      <c r="CD363" s="2746"/>
      <c r="CE363" s="2746"/>
      <c r="CF363" s="2746"/>
      <c r="CG363" s="2746"/>
      <c r="CH363" s="2746"/>
      <c r="CI363" s="2746"/>
      <c r="CJ363" s="2746"/>
      <c r="CK363" s="2746"/>
      <c r="CL363" s="2746"/>
      <c r="CM363" s="2746"/>
      <c r="CN363" s="2746"/>
    </row>
    <row r="364" spans="1:92" x14ac:dyDescent="0.2">
      <c r="A364" s="2746"/>
      <c r="B364" s="2746"/>
      <c r="C364" s="2746"/>
      <c r="D364" s="2746"/>
      <c r="E364" s="2746"/>
      <c r="F364" s="2746"/>
      <c r="G364" s="2746"/>
      <c r="H364" s="2746"/>
      <c r="I364" s="2746"/>
      <c r="J364" s="2746"/>
      <c r="K364" s="2746"/>
      <c r="L364" s="2746"/>
      <c r="M364" s="2746"/>
      <c r="N364" s="2746"/>
      <c r="O364" s="2746"/>
      <c r="P364" s="2746"/>
      <c r="Q364" s="2746"/>
      <c r="R364" s="2746"/>
      <c r="S364" s="2746"/>
      <c r="T364" s="2746"/>
      <c r="U364" s="2746"/>
      <c r="V364" s="2746"/>
      <c r="W364" s="2746"/>
      <c r="X364" s="2746"/>
      <c r="Y364" s="2746"/>
      <c r="Z364" s="2746"/>
      <c r="AA364" s="2746"/>
      <c r="AB364" s="2746"/>
      <c r="AC364" s="2746"/>
      <c r="AD364" s="2746"/>
      <c r="AE364" s="2746"/>
      <c r="AF364" s="2746"/>
      <c r="AG364" s="2746"/>
      <c r="AH364" s="2746"/>
      <c r="AI364" s="2746"/>
      <c r="AJ364" s="2746"/>
      <c r="AK364" s="2746"/>
      <c r="AL364" s="2746"/>
      <c r="AM364" s="2746"/>
      <c r="AN364" s="2746"/>
      <c r="AO364" s="2746"/>
      <c r="AP364" s="2746"/>
      <c r="AQ364" s="2746"/>
      <c r="AR364" s="2746"/>
      <c r="AS364" s="2746"/>
      <c r="AT364" s="2746"/>
      <c r="AU364" s="2746"/>
      <c r="AV364" s="2746"/>
      <c r="AW364" s="2746"/>
      <c r="AX364" s="2746"/>
      <c r="AY364" s="2746"/>
      <c r="AZ364" s="2746"/>
      <c r="BA364" s="2746"/>
      <c r="BB364" s="2746"/>
      <c r="BC364" s="2746"/>
      <c r="BD364" s="2746"/>
      <c r="BE364" s="2746"/>
      <c r="BF364" s="2746"/>
      <c r="BG364" s="2746"/>
      <c r="BH364" s="2746"/>
      <c r="BI364" s="2746"/>
      <c r="BJ364" s="2746"/>
      <c r="BK364" s="2746"/>
      <c r="BL364" s="2746"/>
      <c r="BM364" s="2746"/>
      <c r="BN364" s="2746"/>
      <c r="BO364" s="2746"/>
      <c r="BP364" s="2746"/>
      <c r="BQ364" s="2746"/>
      <c r="BR364" s="2746"/>
      <c r="BS364" s="2746"/>
      <c r="BT364" s="2746"/>
      <c r="BU364" s="2746"/>
      <c r="BV364" s="2746"/>
      <c r="BW364" s="2746"/>
      <c r="BX364" s="2746"/>
      <c r="BY364" s="2746"/>
      <c r="BZ364" s="2746"/>
      <c r="CA364" s="2746"/>
      <c r="CB364" s="2746"/>
      <c r="CC364" s="2746"/>
      <c r="CD364" s="2746"/>
      <c r="CE364" s="2746"/>
      <c r="CF364" s="2746"/>
      <c r="CG364" s="2746"/>
      <c r="CH364" s="2746"/>
      <c r="CI364" s="2746"/>
      <c r="CJ364" s="2746"/>
      <c r="CK364" s="2746"/>
      <c r="CL364" s="2746"/>
      <c r="CM364" s="2746"/>
      <c r="CN364" s="2746"/>
    </row>
    <row r="365" spans="1:92" x14ac:dyDescent="0.2">
      <c r="A365" s="2746"/>
      <c r="B365" s="2746"/>
      <c r="C365" s="2746"/>
      <c r="D365" s="2746"/>
      <c r="E365" s="2746"/>
      <c r="F365" s="2746"/>
      <c r="G365" s="2746"/>
      <c r="H365" s="2746"/>
      <c r="I365" s="2746"/>
      <c r="J365" s="2746"/>
      <c r="K365" s="2746"/>
      <c r="L365" s="2746"/>
      <c r="M365" s="2746"/>
      <c r="N365" s="2746"/>
      <c r="O365" s="2746"/>
      <c r="P365" s="2746"/>
      <c r="Q365" s="2746"/>
      <c r="R365" s="2746"/>
      <c r="S365" s="2746"/>
      <c r="T365" s="2746"/>
      <c r="U365" s="2746"/>
      <c r="V365" s="2746"/>
      <c r="W365" s="2746"/>
      <c r="X365" s="2746"/>
      <c r="Y365" s="2746"/>
      <c r="Z365" s="2746"/>
      <c r="AA365" s="2746"/>
      <c r="AB365" s="2746"/>
      <c r="AC365" s="2746"/>
      <c r="AD365" s="2746"/>
      <c r="AE365" s="2746"/>
      <c r="AF365" s="2746"/>
      <c r="AG365" s="2746"/>
      <c r="AH365" s="2746"/>
      <c r="AI365" s="2746"/>
      <c r="AJ365" s="2746"/>
      <c r="AK365" s="2746"/>
      <c r="AL365" s="2746"/>
      <c r="AM365" s="2746"/>
      <c r="AN365" s="2746"/>
      <c r="AO365" s="2746"/>
      <c r="AP365" s="2746"/>
      <c r="AQ365" s="2746"/>
      <c r="AR365" s="2746"/>
      <c r="AS365" s="2746"/>
      <c r="AT365" s="2746"/>
      <c r="AU365" s="2746"/>
      <c r="AV365" s="2746"/>
      <c r="AW365" s="2746"/>
      <c r="AX365" s="2746"/>
      <c r="AY365" s="2746"/>
      <c r="AZ365" s="2746"/>
      <c r="BA365" s="2746"/>
      <c r="BB365" s="2746"/>
      <c r="BC365" s="2746"/>
      <c r="BD365" s="2746"/>
      <c r="BE365" s="2746"/>
      <c r="BF365" s="2746"/>
      <c r="BG365" s="2746"/>
      <c r="BH365" s="2746"/>
      <c r="BI365" s="2746"/>
      <c r="BJ365" s="2746"/>
      <c r="BK365" s="2746"/>
      <c r="BL365" s="2746"/>
      <c r="BM365" s="2746"/>
      <c r="BN365" s="2746"/>
      <c r="BO365" s="2746"/>
      <c r="BP365" s="2746"/>
      <c r="BQ365" s="2746"/>
      <c r="BR365" s="2746"/>
      <c r="BS365" s="2746"/>
      <c r="BT365" s="2746"/>
      <c r="BU365" s="2746"/>
      <c r="BV365" s="2746"/>
      <c r="BW365" s="2746"/>
      <c r="BX365" s="2746"/>
      <c r="BY365" s="2746"/>
      <c r="BZ365" s="2746"/>
      <c r="CA365" s="2746"/>
      <c r="CB365" s="2746"/>
      <c r="CC365" s="2746"/>
      <c r="CD365" s="2746"/>
      <c r="CE365" s="2746"/>
      <c r="CF365" s="2746"/>
      <c r="CG365" s="2746"/>
      <c r="CH365" s="2746"/>
      <c r="CI365" s="2746"/>
      <c r="CJ365" s="2746"/>
      <c r="CK365" s="2746"/>
      <c r="CL365" s="2746"/>
      <c r="CM365" s="2746"/>
      <c r="CN365" s="2746"/>
    </row>
    <row r="366" spans="1:92" x14ac:dyDescent="0.2">
      <c r="A366" s="2746"/>
      <c r="B366" s="2746"/>
      <c r="C366" s="2746"/>
      <c r="D366" s="2746"/>
      <c r="E366" s="2746"/>
      <c r="F366" s="2746"/>
      <c r="G366" s="2746"/>
      <c r="H366" s="2746"/>
      <c r="I366" s="2746"/>
      <c r="J366" s="2746"/>
      <c r="K366" s="2746"/>
      <c r="L366" s="2746"/>
      <c r="M366" s="2746"/>
      <c r="N366" s="2746"/>
      <c r="O366" s="2746"/>
      <c r="P366" s="2746"/>
      <c r="Q366" s="2746"/>
      <c r="R366" s="2746"/>
      <c r="S366" s="2746"/>
      <c r="T366" s="2746"/>
      <c r="U366" s="2746"/>
      <c r="V366" s="2746"/>
      <c r="W366" s="2746"/>
      <c r="X366" s="2746"/>
      <c r="Y366" s="2746"/>
      <c r="Z366" s="2746"/>
      <c r="AA366" s="2746"/>
      <c r="AB366" s="2746"/>
      <c r="AC366" s="2746"/>
      <c r="AD366" s="2746"/>
      <c r="AE366" s="2746"/>
      <c r="AF366" s="2746"/>
      <c r="AG366" s="2746"/>
      <c r="AH366" s="2746"/>
      <c r="AI366" s="2746"/>
      <c r="AJ366" s="2746"/>
      <c r="AK366" s="2746"/>
      <c r="AL366" s="2746"/>
      <c r="AM366" s="2746"/>
      <c r="AN366" s="2746"/>
      <c r="AO366" s="2746"/>
      <c r="AP366" s="2746"/>
      <c r="AQ366" s="2746"/>
      <c r="AR366" s="2746"/>
      <c r="AS366" s="2746"/>
      <c r="AT366" s="2746"/>
      <c r="AU366" s="2746"/>
      <c r="AV366" s="2746"/>
      <c r="AW366" s="2746"/>
      <c r="AX366" s="2746"/>
      <c r="AY366" s="2746"/>
      <c r="AZ366" s="2746"/>
      <c r="BA366" s="2746"/>
      <c r="BB366" s="2746"/>
      <c r="BC366" s="2746"/>
      <c r="BD366" s="2746"/>
      <c r="BE366" s="2746"/>
      <c r="BF366" s="2746"/>
      <c r="BG366" s="2746"/>
      <c r="BH366" s="2746"/>
      <c r="BI366" s="2746"/>
      <c r="BJ366" s="2746"/>
      <c r="BK366" s="2746"/>
      <c r="BL366" s="2746"/>
      <c r="BM366" s="2746"/>
      <c r="BN366" s="2746"/>
      <c r="BO366" s="2746"/>
      <c r="BP366" s="2746"/>
      <c r="BQ366" s="2746"/>
      <c r="BR366" s="2746"/>
      <c r="BS366" s="2746"/>
      <c r="BT366" s="2746"/>
      <c r="BU366" s="2746"/>
      <c r="BV366" s="2746"/>
      <c r="BW366" s="2746"/>
      <c r="BX366" s="2746"/>
      <c r="BY366" s="2746"/>
      <c r="BZ366" s="2746"/>
      <c r="CA366" s="2746"/>
      <c r="CB366" s="2746"/>
      <c r="CC366" s="2746"/>
      <c r="CD366" s="2746"/>
      <c r="CE366" s="2746"/>
      <c r="CF366" s="2746"/>
      <c r="CG366" s="2746"/>
      <c r="CH366" s="2746"/>
      <c r="CI366" s="2746"/>
      <c r="CJ366" s="2746"/>
      <c r="CK366" s="2746"/>
      <c r="CL366" s="2746"/>
      <c r="CM366" s="2746"/>
      <c r="CN366" s="2746"/>
    </row>
    <row r="367" spans="1:92" x14ac:dyDescent="0.2">
      <c r="A367" s="2746"/>
      <c r="B367" s="2746"/>
      <c r="C367" s="2746"/>
      <c r="D367" s="2746"/>
      <c r="E367" s="2746"/>
      <c r="F367" s="2746"/>
      <c r="G367" s="2746"/>
      <c r="H367" s="2746"/>
      <c r="I367" s="2746"/>
      <c r="J367" s="2746"/>
      <c r="K367" s="2746"/>
      <c r="L367" s="2746"/>
      <c r="M367" s="2746"/>
      <c r="N367" s="2746"/>
      <c r="O367" s="2746"/>
      <c r="P367" s="2746"/>
      <c r="Q367" s="2746"/>
      <c r="R367" s="2746"/>
      <c r="S367" s="2746"/>
      <c r="T367" s="2746"/>
      <c r="U367" s="2746"/>
      <c r="V367" s="2746"/>
      <c r="W367" s="2746"/>
      <c r="X367" s="2746"/>
      <c r="Y367" s="2746"/>
      <c r="Z367" s="2746"/>
      <c r="AA367" s="2746"/>
      <c r="AB367" s="2746"/>
      <c r="AC367" s="2746"/>
      <c r="AD367" s="2746"/>
      <c r="AE367" s="2746"/>
      <c r="AF367" s="2746"/>
      <c r="AG367" s="2746"/>
      <c r="AH367" s="2746"/>
      <c r="AI367" s="2746"/>
      <c r="AJ367" s="2746"/>
      <c r="AK367" s="2746"/>
      <c r="AL367" s="2746"/>
      <c r="AM367" s="2746"/>
      <c r="AN367" s="2746"/>
      <c r="AO367" s="2746"/>
      <c r="AP367" s="2746"/>
      <c r="AQ367" s="2746"/>
      <c r="AR367" s="2746"/>
      <c r="AS367" s="2746"/>
      <c r="AT367" s="2746"/>
      <c r="AU367" s="2746"/>
      <c r="AV367" s="2746"/>
      <c r="AW367" s="2746"/>
      <c r="AX367" s="2746"/>
      <c r="AY367" s="2746"/>
      <c r="AZ367" s="2746"/>
      <c r="BA367" s="2746"/>
      <c r="BB367" s="2746"/>
      <c r="BC367" s="2746"/>
      <c r="BD367" s="2746"/>
      <c r="BE367" s="2746"/>
      <c r="BF367" s="2746"/>
      <c r="BG367" s="2746"/>
      <c r="BH367" s="2746"/>
      <c r="BI367" s="2746"/>
      <c r="BJ367" s="2746"/>
      <c r="BK367" s="2746"/>
      <c r="BL367" s="2746"/>
      <c r="BM367" s="2746"/>
      <c r="BN367" s="2746"/>
      <c r="BO367" s="2746"/>
      <c r="BP367" s="2746"/>
      <c r="BQ367" s="2746"/>
      <c r="BR367" s="2746"/>
      <c r="BS367" s="2746"/>
      <c r="BT367" s="2746"/>
      <c r="BU367" s="2746"/>
      <c r="BV367" s="2746"/>
      <c r="BW367" s="2746"/>
      <c r="BX367" s="2746"/>
      <c r="BY367" s="2746"/>
      <c r="BZ367" s="2746"/>
      <c r="CA367" s="2746"/>
      <c r="CB367" s="2746"/>
      <c r="CC367" s="2746"/>
      <c r="CD367" s="2746"/>
      <c r="CE367" s="2746"/>
      <c r="CF367" s="2746"/>
      <c r="CG367" s="2746"/>
      <c r="CH367" s="2746"/>
      <c r="CI367" s="2746"/>
      <c r="CJ367" s="2746"/>
      <c r="CK367" s="2746"/>
      <c r="CL367" s="2746"/>
      <c r="CM367" s="2746"/>
      <c r="CN367" s="2746"/>
    </row>
    <row r="368" spans="1:92" x14ac:dyDescent="0.2">
      <c r="A368" s="2746"/>
      <c r="B368" s="2746"/>
      <c r="C368" s="2746"/>
      <c r="D368" s="2746"/>
      <c r="E368" s="2746"/>
      <c r="F368" s="2746"/>
      <c r="G368" s="2746"/>
      <c r="H368" s="2746"/>
      <c r="I368" s="2746"/>
      <c r="J368" s="2746"/>
      <c r="K368" s="2746"/>
      <c r="L368" s="2746"/>
      <c r="M368" s="2746"/>
      <c r="N368" s="2746"/>
      <c r="O368" s="2746"/>
      <c r="P368" s="2746"/>
      <c r="Q368" s="2746"/>
      <c r="R368" s="2746"/>
      <c r="S368" s="2746"/>
      <c r="T368" s="2746"/>
      <c r="U368" s="2746"/>
      <c r="V368" s="2746"/>
      <c r="W368" s="2746"/>
      <c r="X368" s="2746"/>
      <c r="Y368" s="2746"/>
      <c r="Z368" s="2746"/>
      <c r="AA368" s="2746"/>
      <c r="AB368" s="2746"/>
      <c r="AC368" s="2746"/>
      <c r="AD368" s="2746"/>
      <c r="AE368" s="2746"/>
      <c r="AF368" s="2746"/>
      <c r="AG368" s="2746"/>
      <c r="AH368" s="2746"/>
      <c r="AI368" s="2746"/>
      <c r="AJ368" s="2746"/>
      <c r="AK368" s="2746"/>
      <c r="AL368" s="2746"/>
      <c r="AM368" s="2746"/>
      <c r="AN368" s="2746"/>
      <c r="AO368" s="2746"/>
      <c r="AP368" s="2746"/>
      <c r="AQ368" s="2746"/>
      <c r="AR368" s="2746"/>
      <c r="AS368" s="2746"/>
      <c r="AT368" s="2746"/>
      <c r="AU368" s="2746"/>
      <c r="AV368" s="2746"/>
      <c r="AW368" s="2746"/>
      <c r="AX368" s="2746"/>
      <c r="AY368" s="2746"/>
      <c r="AZ368" s="2746"/>
      <c r="BA368" s="2746"/>
      <c r="BB368" s="2746"/>
      <c r="BC368" s="2746"/>
      <c r="BD368" s="2746"/>
      <c r="BE368" s="2746"/>
      <c r="BF368" s="2746"/>
      <c r="BG368" s="2746"/>
      <c r="BH368" s="2746"/>
      <c r="BI368" s="2746"/>
      <c r="BJ368" s="2746"/>
      <c r="BK368" s="2746"/>
      <c r="BL368" s="2746"/>
      <c r="BM368" s="2746"/>
      <c r="BN368" s="2746"/>
      <c r="BO368" s="2746"/>
      <c r="BP368" s="2746"/>
      <c r="BQ368" s="2746"/>
      <c r="BR368" s="2746"/>
      <c r="BS368" s="2746"/>
      <c r="BT368" s="2746"/>
      <c r="BU368" s="2746"/>
      <c r="BV368" s="2746"/>
      <c r="BW368" s="2746"/>
      <c r="BX368" s="2746"/>
      <c r="BY368" s="2746"/>
      <c r="BZ368" s="2746"/>
      <c r="CA368" s="2746"/>
      <c r="CB368" s="2746"/>
      <c r="CC368" s="2746"/>
      <c r="CD368" s="2746"/>
      <c r="CE368" s="2746"/>
      <c r="CF368" s="2746"/>
      <c r="CG368" s="2746"/>
      <c r="CH368" s="2746"/>
      <c r="CI368" s="2746"/>
      <c r="CJ368" s="2746"/>
      <c r="CK368" s="2746"/>
      <c r="CL368" s="2746"/>
      <c r="CM368" s="2746"/>
      <c r="CN368" s="2746"/>
    </row>
    <row r="369" spans="1:92" x14ac:dyDescent="0.2">
      <c r="A369" s="2746"/>
      <c r="B369" s="2746"/>
      <c r="C369" s="2746"/>
      <c r="D369" s="2746"/>
      <c r="E369" s="2746"/>
      <c r="F369" s="2746"/>
      <c r="G369" s="2746"/>
      <c r="H369" s="2746"/>
      <c r="I369" s="2746"/>
      <c r="J369" s="2746"/>
      <c r="K369" s="2746"/>
      <c r="L369" s="2746"/>
      <c r="M369" s="2746"/>
      <c r="N369" s="2746"/>
      <c r="O369" s="2746"/>
      <c r="P369" s="2746"/>
      <c r="Q369" s="2746"/>
      <c r="R369" s="2746"/>
      <c r="S369" s="2746"/>
      <c r="T369" s="2746"/>
      <c r="U369" s="2746"/>
      <c r="V369" s="2746"/>
      <c r="W369" s="2746"/>
      <c r="X369" s="2746"/>
      <c r="Y369" s="2746"/>
      <c r="Z369" s="2746"/>
      <c r="AA369" s="2746"/>
      <c r="AB369" s="2746"/>
      <c r="AC369" s="2746"/>
      <c r="AD369" s="2746"/>
      <c r="AE369" s="2746"/>
      <c r="AF369" s="2746"/>
      <c r="AG369" s="2746"/>
      <c r="AH369" s="2746"/>
      <c r="AI369" s="2746"/>
      <c r="AJ369" s="2746"/>
      <c r="AK369" s="2746"/>
      <c r="AL369" s="2746"/>
      <c r="AM369" s="2746"/>
      <c r="AN369" s="2746"/>
      <c r="AO369" s="2746"/>
      <c r="AP369" s="2746"/>
      <c r="AQ369" s="2746"/>
      <c r="AR369" s="2746"/>
      <c r="AS369" s="2746"/>
      <c r="AT369" s="2746"/>
      <c r="AU369" s="2746"/>
      <c r="AV369" s="2746"/>
      <c r="AW369" s="2746"/>
      <c r="AX369" s="2746"/>
      <c r="AY369" s="2746"/>
      <c r="AZ369" s="2746"/>
      <c r="BA369" s="2746"/>
      <c r="BB369" s="2746"/>
      <c r="BC369" s="2746"/>
      <c r="BD369" s="2746"/>
      <c r="BE369" s="2746"/>
      <c r="BF369" s="2746"/>
      <c r="BG369" s="2746"/>
      <c r="BH369" s="2746"/>
      <c r="BI369" s="2746"/>
      <c r="BJ369" s="2746"/>
      <c r="BK369" s="2746"/>
      <c r="BL369" s="2746"/>
      <c r="BM369" s="2746"/>
      <c r="BN369" s="2746"/>
      <c r="BO369" s="2746"/>
      <c r="BP369" s="2746"/>
      <c r="BQ369" s="2746"/>
      <c r="BR369" s="2746"/>
      <c r="BS369" s="2746"/>
      <c r="BT369" s="2746"/>
      <c r="BU369" s="2746"/>
      <c r="BV369" s="2746"/>
      <c r="BW369" s="2746"/>
      <c r="BX369" s="2746"/>
      <c r="BY369" s="2746"/>
      <c r="BZ369" s="2746"/>
      <c r="CA369" s="2746"/>
      <c r="CB369" s="2746"/>
      <c r="CC369" s="2746"/>
      <c r="CD369" s="2746"/>
      <c r="CE369" s="2746"/>
      <c r="CF369" s="2746"/>
      <c r="CG369" s="2746"/>
      <c r="CH369" s="2746"/>
      <c r="CI369" s="2746"/>
      <c r="CJ369" s="2746"/>
      <c r="CK369" s="2746"/>
      <c r="CL369" s="2746"/>
      <c r="CM369" s="2746"/>
      <c r="CN369" s="2746"/>
    </row>
    <row r="370" spans="1:92" x14ac:dyDescent="0.2">
      <c r="A370" s="2746"/>
      <c r="B370" s="2746"/>
      <c r="C370" s="2746"/>
      <c r="D370" s="2746"/>
      <c r="E370" s="2746"/>
      <c r="F370" s="2746"/>
      <c r="G370" s="2746"/>
      <c r="H370" s="2746"/>
      <c r="I370" s="2746"/>
      <c r="J370" s="2746"/>
      <c r="K370" s="2746"/>
      <c r="L370" s="2746"/>
      <c r="M370" s="2746"/>
      <c r="N370" s="2746"/>
      <c r="O370" s="2746"/>
      <c r="P370" s="2746"/>
      <c r="Q370" s="2746"/>
      <c r="R370" s="2746"/>
      <c r="S370" s="2746"/>
      <c r="T370" s="2746"/>
      <c r="U370" s="2746"/>
      <c r="V370" s="2746"/>
      <c r="W370" s="2746"/>
      <c r="X370" s="2746"/>
      <c r="Y370" s="2746"/>
      <c r="Z370" s="2746"/>
      <c r="AA370" s="2746"/>
      <c r="AB370" s="2746"/>
      <c r="AC370" s="2746"/>
      <c r="AD370" s="2746"/>
      <c r="AE370" s="2746"/>
      <c r="AF370" s="2746"/>
      <c r="AG370" s="2746"/>
      <c r="AH370" s="2746"/>
      <c r="AI370" s="2746"/>
      <c r="AJ370" s="2746"/>
      <c r="AK370" s="2746"/>
      <c r="AL370" s="2746"/>
      <c r="AM370" s="2746"/>
      <c r="AN370" s="2746"/>
      <c r="AO370" s="2746"/>
      <c r="AP370" s="2746"/>
      <c r="AQ370" s="2746"/>
      <c r="AR370" s="2746"/>
      <c r="AS370" s="2746"/>
      <c r="AT370" s="2746"/>
      <c r="AU370" s="2746"/>
      <c r="AV370" s="2746"/>
      <c r="AW370" s="2746"/>
      <c r="AX370" s="2746"/>
      <c r="AY370" s="2746"/>
      <c r="AZ370" s="2746"/>
      <c r="BA370" s="2746"/>
      <c r="BB370" s="2746"/>
      <c r="BC370" s="2746"/>
      <c r="BD370" s="2746"/>
      <c r="BE370" s="2746"/>
      <c r="BF370" s="2746"/>
      <c r="BG370" s="2746"/>
      <c r="BH370" s="2746"/>
      <c r="BI370" s="2746"/>
      <c r="BJ370" s="2746"/>
      <c r="BK370" s="2746"/>
      <c r="BL370" s="2746"/>
      <c r="BM370" s="2746"/>
      <c r="BN370" s="2746"/>
      <c r="BO370" s="2746"/>
      <c r="BP370" s="2746"/>
      <c r="BQ370" s="2746"/>
      <c r="BR370" s="2746"/>
      <c r="BS370" s="2746"/>
      <c r="BT370" s="2746"/>
      <c r="BU370" s="2746"/>
      <c r="BV370" s="2746"/>
      <c r="BW370" s="2746"/>
      <c r="BX370" s="2746"/>
      <c r="BY370" s="2746"/>
      <c r="BZ370" s="2746"/>
      <c r="CA370" s="2746"/>
      <c r="CB370" s="2746"/>
      <c r="CC370" s="2746"/>
      <c r="CD370" s="2746"/>
      <c r="CE370" s="2746"/>
      <c r="CF370" s="2746"/>
      <c r="CG370" s="2746"/>
      <c r="CH370" s="2746"/>
      <c r="CI370" s="2746"/>
      <c r="CJ370" s="2746"/>
      <c r="CK370" s="2746"/>
      <c r="CL370" s="2746"/>
      <c r="CM370" s="2746"/>
      <c r="CN370" s="2746"/>
    </row>
    <row r="371" spans="1:92" x14ac:dyDescent="0.2">
      <c r="A371" s="2746"/>
      <c r="B371" s="2746"/>
      <c r="C371" s="2746"/>
      <c r="D371" s="2746"/>
      <c r="E371" s="2746"/>
      <c r="F371" s="2746"/>
      <c r="G371" s="2746"/>
      <c r="H371" s="2746"/>
      <c r="I371" s="2746"/>
      <c r="J371" s="2746"/>
      <c r="K371" s="2746"/>
      <c r="L371" s="2746"/>
      <c r="M371" s="2746"/>
      <c r="N371" s="2746"/>
      <c r="O371" s="2746"/>
      <c r="P371" s="2746"/>
      <c r="Q371" s="2746"/>
      <c r="R371" s="2746"/>
      <c r="S371" s="2746"/>
      <c r="T371" s="2746"/>
      <c r="U371" s="2746"/>
      <c r="V371" s="2746"/>
      <c r="W371" s="2746"/>
      <c r="X371" s="2746"/>
      <c r="Y371" s="2746"/>
      <c r="Z371" s="2746"/>
      <c r="AA371" s="2746"/>
      <c r="AB371" s="2746"/>
      <c r="AC371" s="2746"/>
      <c r="AD371" s="2746"/>
      <c r="AE371" s="2746"/>
      <c r="AF371" s="2746"/>
      <c r="AG371" s="2746"/>
      <c r="AH371" s="2746"/>
      <c r="AI371" s="2746"/>
      <c r="AJ371" s="2746"/>
      <c r="AK371" s="2746"/>
      <c r="AL371" s="2746"/>
      <c r="AM371" s="2746"/>
      <c r="AN371" s="2746"/>
      <c r="AO371" s="2746"/>
      <c r="AP371" s="2746"/>
      <c r="AQ371" s="2746"/>
      <c r="AR371" s="2746"/>
      <c r="AS371" s="2746"/>
      <c r="AT371" s="2746"/>
      <c r="AU371" s="2746"/>
      <c r="AV371" s="2746"/>
      <c r="AW371" s="2746"/>
      <c r="AX371" s="2746"/>
      <c r="AY371" s="2746"/>
      <c r="AZ371" s="2746"/>
      <c r="BA371" s="2746"/>
      <c r="BB371" s="2746"/>
      <c r="BC371" s="2746"/>
      <c r="BD371" s="2746"/>
      <c r="BE371" s="2746"/>
      <c r="BF371" s="2746"/>
      <c r="BG371" s="2746"/>
      <c r="BH371" s="2746"/>
      <c r="BI371" s="2746"/>
      <c r="BJ371" s="2746"/>
      <c r="BK371" s="2746"/>
      <c r="BL371" s="2746"/>
      <c r="BM371" s="2746"/>
      <c r="BN371" s="2746"/>
      <c r="BO371" s="2746"/>
      <c r="BP371" s="2746"/>
      <c r="BQ371" s="2746"/>
      <c r="BR371" s="2746"/>
      <c r="BS371" s="2746"/>
      <c r="BT371" s="2746"/>
      <c r="BU371" s="2746"/>
      <c r="BV371" s="2746"/>
      <c r="BW371" s="2746"/>
      <c r="BX371" s="2746"/>
      <c r="BY371" s="2746"/>
      <c r="BZ371" s="2746"/>
      <c r="CA371" s="2746"/>
      <c r="CB371" s="2746"/>
      <c r="CC371" s="2746"/>
      <c r="CD371" s="2746"/>
      <c r="CE371" s="2746"/>
      <c r="CF371" s="2746"/>
      <c r="CG371" s="2746"/>
      <c r="CH371" s="2746"/>
      <c r="CI371" s="2746"/>
      <c r="CJ371" s="2746"/>
      <c r="CK371" s="2746"/>
      <c r="CL371" s="2746"/>
      <c r="CM371" s="2746"/>
      <c r="CN371" s="2746"/>
    </row>
    <row r="372" spans="1:92" x14ac:dyDescent="0.2">
      <c r="A372" s="2746"/>
      <c r="B372" s="2746"/>
      <c r="C372" s="2746"/>
      <c r="D372" s="2746"/>
      <c r="E372" s="2746"/>
      <c r="F372" s="2746"/>
      <c r="G372" s="2746"/>
      <c r="H372" s="2746"/>
      <c r="I372" s="2746"/>
      <c r="J372" s="2746"/>
      <c r="K372" s="2746"/>
      <c r="L372" s="2746"/>
      <c r="M372" s="2746"/>
      <c r="N372" s="2746"/>
      <c r="O372" s="2746"/>
      <c r="P372" s="2746"/>
      <c r="Q372" s="2746"/>
      <c r="R372" s="2746"/>
      <c r="S372" s="2746"/>
      <c r="T372" s="2746"/>
      <c r="U372" s="2746"/>
      <c r="V372" s="2746"/>
      <c r="W372" s="2746"/>
      <c r="X372" s="2746"/>
      <c r="Y372" s="2746"/>
      <c r="Z372" s="2746"/>
      <c r="AA372" s="2746"/>
      <c r="AB372" s="2746"/>
      <c r="AC372" s="2746"/>
      <c r="AD372" s="2746"/>
      <c r="AE372" s="2746"/>
      <c r="AF372" s="2746"/>
      <c r="AG372" s="2746"/>
      <c r="AH372" s="2746"/>
      <c r="AI372" s="2746"/>
      <c r="AJ372" s="2746"/>
      <c r="AK372" s="2746"/>
      <c r="AL372" s="2746"/>
      <c r="AM372" s="2746"/>
      <c r="AN372" s="2746"/>
      <c r="AO372" s="2746"/>
      <c r="AP372" s="2746"/>
      <c r="AQ372" s="2746"/>
      <c r="AR372" s="2746"/>
      <c r="AS372" s="2746"/>
      <c r="AT372" s="2746"/>
      <c r="AU372" s="2746"/>
      <c r="AV372" s="2746"/>
      <c r="AW372" s="2746"/>
      <c r="AX372" s="2746"/>
      <c r="AY372" s="2746"/>
      <c r="AZ372" s="2746"/>
      <c r="BA372" s="2746"/>
      <c r="BB372" s="2746"/>
      <c r="BC372" s="2746"/>
      <c r="BD372" s="2746"/>
      <c r="BE372" s="2746"/>
      <c r="BF372" s="2746"/>
      <c r="BG372" s="2746"/>
      <c r="BH372" s="2746"/>
      <c r="BI372" s="2746"/>
      <c r="BJ372" s="2746"/>
      <c r="BK372" s="2746"/>
      <c r="BL372" s="2746"/>
      <c r="BM372" s="2746"/>
      <c r="BN372" s="2746"/>
      <c r="BO372" s="2746"/>
      <c r="BP372" s="2746"/>
      <c r="BQ372" s="2746"/>
      <c r="BR372" s="2746"/>
      <c r="BS372" s="2746"/>
      <c r="BT372" s="2746"/>
      <c r="BU372" s="2746"/>
      <c r="BV372" s="2746"/>
      <c r="BW372" s="2746"/>
      <c r="BX372" s="2746"/>
      <c r="BY372" s="2746"/>
      <c r="BZ372" s="2746"/>
      <c r="CA372" s="2746"/>
      <c r="CB372" s="2746"/>
      <c r="CC372" s="2746"/>
      <c r="CD372" s="2746"/>
      <c r="CE372" s="2746"/>
      <c r="CF372" s="2746"/>
      <c r="CG372" s="2746"/>
      <c r="CH372" s="2746"/>
      <c r="CI372" s="2746"/>
      <c r="CJ372" s="2746"/>
      <c r="CK372" s="2746"/>
      <c r="CL372" s="2746"/>
      <c r="CM372" s="2746"/>
      <c r="CN372" s="2746"/>
    </row>
    <row r="373" spans="1:92" x14ac:dyDescent="0.2">
      <c r="A373" s="2746"/>
      <c r="B373" s="2746"/>
      <c r="C373" s="2746"/>
      <c r="D373" s="2746"/>
      <c r="E373" s="2746"/>
      <c r="F373" s="2746"/>
      <c r="G373" s="2746"/>
      <c r="H373" s="2746"/>
      <c r="I373" s="2746"/>
      <c r="J373" s="2746"/>
      <c r="K373" s="2746"/>
      <c r="L373" s="2746"/>
      <c r="M373" s="2746"/>
      <c r="N373" s="2746"/>
      <c r="O373" s="2746"/>
      <c r="P373" s="2746"/>
      <c r="Q373" s="2746"/>
      <c r="R373" s="2746"/>
      <c r="S373" s="2746"/>
      <c r="T373" s="2746"/>
      <c r="U373" s="2746"/>
      <c r="V373" s="2746"/>
      <c r="W373" s="2746"/>
      <c r="X373" s="2746"/>
      <c r="Y373" s="2746"/>
      <c r="Z373" s="2746"/>
      <c r="AA373" s="2746"/>
      <c r="AB373" s="2746"/>
      <c r="AC373" s="2746"/>
      <c r="AD373" s="2746"/>
      <c r="AE373" s="2746"/>
      <c r="AF373" s="2746"/>
      <c r="AG373" s="2746"/>
      <c r="AH373" s="2746"/>
      <c r="AI373" s="2746"/>
      <c r="AJ373" s="2746"/>
      <c r="AK373" s="2746"/>
      <c r="AL373" s="2746"/>
      <c r="AM373" s="2746"/>
      <c r="AN373" s="2746"/>
      <c r="AO373" s="2746"/>
      <c r="AP373" s="2746"/>
      <c r="AQ373" s="2746"/>
      <c r="AR373" s="2746"/>
      <c r="AS373" s="2746"/>
      <c r="AT373" s="2746"/>
      <c r="AU373" s="2746"/>
      <c r="AV373" s="2746"/>
      <c r="AW373" s="2746"/>
      <c r="AX373" s="2746"/>
      <c r="AY373" s="2746"/>
      <c r="AZ373" s="2746"/>
      <c r="BA373" s="2746"/>
      <c r="BB373" s="2746"/>
      <c r="BC373" s="2746"/>
      <c r="BD373" s="2746"/>
      <c r="BE373" s="2746"/>
      <c r="BF373" s="2746"/>
      <c r="BG373" s="2746"/>
      <c r="BH373" s="2746"/>
      <c r="BI373" s="2746"/>
      <c r="BJ373" s="2746"/>
      <c r="BK373" s="2746"/>
      <c r="BL373" s="2746"/>
      <c r="BM373" s="2746"/>
      <c r="BN373" s="2746"/>
      <c r="BO373" s="2746"/>
      <c r="BP373" s="2746"/>
      <c r="BQ373" s="2746"/>
      <c r="BR373" s="2746"/>
      <c r="BS373" s="2746"/>
      <c r="BT373" s="2746"/>
      <c r="BU373" s="2746"/>
      <c r="BV373" s="2746"/>
      <c r="BW373" s="2746"/>
      <c r="BX373" s="2746"/>
      <c r="BY373" s="2746"/>
      <c r="BZ373" s="2746"/>
      <c r="CA373" s="2746"/>
      <c r="CB373" s="2746"/>
      <c r="CC373" s="2746"/>
      <c r="CD373" s="2746"/>
      <c r="CE373" s="2746"/>
      <c r="CF373" s="2746"/>
      <c r="CG373" s="2746"/>
      <c r="CH373" s="2746"/>
      <c r="CI373" s="2746"/>
      <c r="CJ373" s="2746"/>
      <c r="CK373" s="2746"/>
      <c r="CL373" s="2746"/>
      <c r="CM373" s="2746"/>
      <c r="CN373" s="2746"/>
    </row>
    <row r="374" spans="1:92" x14ac:dyDescent="0.2">
      <c r="A374" s="2746"/>
      <c r="B374" s="2746"/>
      <c r="C374" s="2746"/>
      <c r="D374" s="2746"/>
      <c r="E374" s="2746"/>
      <c r="F374" s="2746"/>
      <c r="G374" s="2746"/>
      <c r="H374" s="2746"/>
      <c r="I374" s="2746"/>
      <c r="J374" s="2746"/>
      <c r="K374" s="2746"/>
      <c r="L374" s="2746"/>
      <c r="M374" s="2746"/>
      <c r="N374" s="2746"/>
      <c r="O374" s="2746"/>
      <c r="P374" s="2746"/>
      <c r="Q374" s="2746"/>
      <c r="R374" s="2746"/>
      <c r="S374" s="2746"/>
      <c r="T374" s="2746"/>
      <c r="U374" s="2746"/>
      <c r="V374" s="2746"/>
      <c r="W374" s="2746"/>
      <c r="X374" s="2746"/>
      <c r="Y374" s="2746"/>
      <c r="Z374" s="2746"/>
      <c r="AA374" s="2746"/>
      <c r="AB374" s="2746"/>
      <c r="AC374" s="2746"/>
      <c r="AD374" s="2746"/>
      <c r="AE374" s="2746"/>
      <c r="AF374" s="2746"/>
      <c r="AG374" s="2746"/>
      <c r="AH374" s="2746"/>
      <c r="AI374" s="2746"/>
      <c r="AJ374" s="2746"/>
      <c r="AK374" s="2746"/>
      <c r="AL374" s="2746"/>
      <c r="AM374" s="2746"/>
      <c r="AN374" s="2746"/>
      <c r="AO374" s="2746"/>
      <c r="AP374" s="2746"/>
      <c r="AQ374" s="2746"/>
      <c r="AR374" s="2746"/>
      <c r="AS374" s="2746"/>
      <c r="AT374" s="2746"/>
      <c r="AU374" s="2746"/>
      <c r="AV374" s="2746"/>
      <c r="AW374" s="2746"/>
      <c r="AX374" s="2746"/>
      <c r="AY374" s="2746"/>
      <c r="AZ374" s="2746"/>
      <c r="BA374" s="2746"/>
      <c r="BB374" s="2746"/>
      <c r="BC374" s="2746"/>
      <c r="BD374" s="2746"/>
      <c r="BE374" s="2746"/>
      <c r="BF374" s="2746"/>
      <c r="BG374" s="2746"/>
      <c r="BH374" s="2746"/>
      <c r="BI374" s="2746"/>
      <c r="BJ374" s="2746"/>
      <c r="BK374" s="2746"/>
      <c r="BL374" s="2746"/>
      <c r="BM374" s="2746"/>
      <c r="BN374" s="2746"/>
      <c r="BO374" s="2746"/>
      <c r="BP374" s="2746"/>
      <c r="BQ374" s="2746"/>
      <c r="BR374" s="2746"/>
      <c r="BS374" s="2746"/>
      <c r="BT374" s="2746"/>
      <c r="BU374" s="2746"/>
      <c r="BV374" s="2746"/>
      <c r="BW374" s="2746"/>
      <c r="BX374" s="2746"/>
      <c r="BY374" s="2746"/>
      <c r="BZ374" s="2746"/>
      <c r="CA374" s="2746"/>
      <c r="CB374" s="2746"/>
      <c r="CC374" s="2746"/>
      <c r="CD374" s="2746"/>
      <c r="CE374" s="2746"/>
      <c r="CF374" s="2746"/>
      <c r="CG374" s="2746"/>
      <c r="CH374" s="2746"/>
      <c r="CI374" s="2746"/>
      <c r="CJ374" s="2746"/>
      <c r="CK374" s="2746"/>
      <c r="CL374" s="2746"/>
      <c r="CM374" s="2746"/>
      <c r="CN374" s="2746"/>
    </row>
    <row r="375" spans="1:92" x14ac:dyDescent="0.2">
      <c r="A375" s="2746"/>
      <c r="B375" s="2746"/>
      <c r="C375" s="2746"/>
      <c r="D375" s="2746"/>
      <c r="E375" s="2746"/>
      <c r="F375" s="2746"/>
      <c r="G375" s="2746"/>
      <c r="H375" s="2746"/>
      <c r="I375" s="2746"/>
      <c r="J375" s="2746"/>
      <c r="K375" s="2746"/>
      <c r="L375" s="2746"/>
      <c r="M375" s="2746"/>
      <c r="N375" s="2746"/>
      <c r="O375" s="2746"/>
      <c r="P375" s="2746"/>
      <c r="Q375" s="2746"/>
      <c r="R375" s="2746"/>
      <c r="S375" s="2746"/>
      <c r="T375" s="2746"/>
      <c r="U375" s="2746"/>
      <c r="V375" s="2746"/>
      <c r="W375" s="2746"/>
      <c r="X375" s="2746"/>
      <c r="Y375" s="2746"/>
      <c r="Z375" s="2746"/>
      <c r="AA375" s="2746"/>
      <c r="AB375" s="2746"/>
      <c r="AC375" s="2746"/>
      <c r="AD375" s="2746"/>
      <c r="AE375" s="2746"/>
      <c r="AF375" s="2746"/>
      <c r="AG375" s="2746"/>
      <c r="AH375" s="2746"/>
      <c r="AI375" s="2746"/>
      <c r="AJ375" s="2746"/>
      <c r="AK375" s="2746"/>
      <c r="AL375" s="2746"/>
      <c r="AM375" s="2746"/>
      <c r="AN375" s="2746"/>
      <c r="AO375" s="2746"/>
      <c r="AP375" s="2746"/>
      <c r="AQ375" s="2746"/>
      <c r="AR375" s="2746"/>
      <c r="AS375" s="2746"/>
      <c r="AT375" s="2746"/>
      <c r="AU375" s="2746"/>
      <c r="AV375" s="2746"/>
      <c r="AW375" s="2746"/>
      <c r="AX375" s="2746"/>
      <c r="AY375" s="2746"/>
      <c r="AZ375" s="2746"/>
      <c r="BA375" s="2746"/>
      <c r="BB375" s="2746"/>
      <c r="BC375" s="2746"/>
      <c r="BD375" s="2746"/>
      <c r="BE375" s="2746"/>
      <c r="BF375" s="2746"/>
      <c r="BG375" s="2746"/>
      <c r="BH375" s="2746"/>
      <c r="BI375" s="2746"/>
      <c r="BJ375" s="2746"/>
      <c r="BK375" s="2746"/>
      <c r="BL375" s="2746"/>
      <c r="BM375" s="2746"/>
      <c r="BN375" s="2746"/>
      <c r="BO375" s="2746"/>
      <c r="BP375" s="2746"/>
      <c r="BQ375" s="2746"/>
      <c r="BR375" s="2746"/>
      <c r="BS375" s="2746"/>
      <c r="BT375" s="2746"/>
      <c r="BU375" s="2746"/>
      <c r="BV375" s="2746"/>
      <c r="BW375" s="2746"/>
      <c r="BX375" s="2746"/>
      <c r="BY375" s="2746"/>
      <c r="BZ375" s="2746"/>
      <c r="CA375" s="2746"/>
      <c r="CB375" s="2746"/>
      <c r="CC375" s="2746"/>
      <c r="CD375" s="2746"/>
      <c r="CE375" s="2746"/>
      <c r="CF375" s="2746"/>
      <c r="CG375" s="2746"/>
      <c r="CH375" s="2746"/>
      <c r="CI375" s="2746"/>
      <c r="CJ375" s="2746"/>
      <c r="CK375" s="2746"/>
      <c r="CL375" s="2746"/>
      <c r="CM375" s="2746"/>
      <c r="CN375" s="2746"/>
    </row>
    <row r="376" spans="1:92" x14ac:dyDescent="0.2">
      <c r="A376" s="2746"/>
      <c r="B376" s="2746"/>
      <c r="C376" s="2746"/>
      <c r="D376" s="2746"/>
      <c r="E376" s="2746"/>
      <c r="F376" s="2746"/>
      <c r="G376" s="2746"/>
      <c r="H376" s="2746"/>
      <c r="I376" s="2746"/>
      <c r="J376" s="2746"/>
      <c r="K376" s="2746"/>
      <c r="L376" s="2746"/>
      <c r="M376" s="2746"/>
      <c r="N376" s="2746"/>
      <c r="O376" s="2746"/>
      <c r="P376" s="2746"/>
      <c r="Q376" s="2746"/>
      <c r="R376" s="2746"/>
      <c r="S376" s="2746"/>
      <c r="T376" s="2746"/>
      <c r="U376" s="2746"/>
      <c r="V376" s="2746"/>
      <c r="W376" s="2746"/>
      <c r="X376" s="2746"/>
      <c r="Y376" s="2746"/>
      <c r="Z376" s="2746"/>
      <c r="AA376" s="2746"/>
      <c r="AB376" s="2746"/>
      <c r="AC376" s="2746"/>
      <c r="AD376" s="2746"/>
      <c r="AE376" s="2746"/>
      <c r="AF376" s="2746"/>
      <c r="AG376" s="2746"/>
      <c r="AH376" s="2746"/>
      <c r="AI376" s="2746"/>
      <c r="AJ376" s="2746"/>
      <c r="AK376" s="2746"/>
      <c r="AL376" s="2746"/>
      <c r="AM376" s="2746"/>
      <c r="AN376" s="2746"/>
      <c r="AO376" s="2746"/>
      <c r="AP376" s="2746"/>
      <c r="AQ376" s="2746"/>
      <c r="AR376" s="2746"/>
      <c r="AS376" s="2746"/>
      <c r="AT376" s="2746"/>
      <c r="AU376" s="2746"/>
      <c r="AV376" s="2746"/>
      <c r="AW376" s="2746"/>
      <c r="AX376" s="2746"/>
      <c r="AY376" s="2746"/>
      <c r="AZ376" s="2746"/>
      <c r="BA376" s="2746"/>
      <c r="BB376" s="2746"/>
      <c r="BC376" s="2746"/>
      <c r="BD376" s="2746"/>
      <c r="BE376" s="2746"/>
      <c r="BF376" s="2746"/>
      <c r="BG376" s="2746"/>
      <c r="BH376" s="2746"/>
      <c r="BI376" s="2746"/>
      <c r="BJ376" s="2746"/>
      <c r="BK376" s="2746"/>
      <c r="BL376" s="2746"/>
      <c r="BM376" s="2746"/>
      <c r="BN376" s="2746"/>
      <c r="BO376" s="2746"/>
      <c r="BP376" s="2746"/>
      <c r="BQ376" s="2746"/>
      <c r="BR376" s="2746"/>
      <c r="BS376" s="2746"/>
      <c r="BT376" s="2746"/>
      <c r="BU376" s="2746"/>
      <c r="BV376" s="2746"/>
      <c r="BW376" s="2746"/>
      <c r="BX376" s="2746"/>
      <c r="BY376" s="2746"/>
      <c r="BZ376" s="2746"/>
      <c r="CA376" s="2746"/>
      <c r="CB376" s="2746"/>
      <c r="CC376" s="2746"/>
      <c r="CD376" s="2746"/>
      <c r="CE376" s="2746"/>
      <c r="CF376" s="2746"/>
      <c r="CG376" s="2746"/>
      <c r="CH376" s="2746"/>
      <c r="CI376" s="2746"/>
      <c r="CJ376" s="2746"/>
      <c r="CK376" s="2746"/>
      <c r="CL376" s="2746"/>
      <c r="CM376" s="2746"/>
      <c r="CN376" s="2746"/>
    </row>
    <row r="377" spans="1:92" x14ac:dyDescent="0.2">
      <c r="A377" s="2746"/>
      <c r="B377" s="2746"/>
      <c r="C377" s="2746"/>
      <c r="D377" s="2746"/>
      <c r="E377" s="2746"/>
      <c r="F377" s="2746"/>
      <c r="G377" s="2746"/>
      <c r="H377" s="2746"/>
      <c r="I377" s="2746"/>
      <c r="J377" s="2746"/>
      <c r="K377" s="2746"/>
      <c r="L377" s="2746"/>
      <c r="M377" s="2746"/>
      <c r="N377" s="2746"/>
      <c r="O377" s="2746"/>
      <c r="P377" s="2746"/>
      <c r="Q377" s="2746"/>
      <c r="R377" s="2746"/>
      <c r="S377" s="2746"/>
      <c r="T377" s="2746"/>
      <c r="U377" s="2746"/>
      <c r="V377" s="2746"/>
      <c r="W377" s="2746"/>
      <c r="X377" s="2746"/>
      <c r="Y377" s="2746"/>
      <c r="Z377" s="2746"/>
      <c r="AA377" s="2746"/>
      <c r="AB377" s="2746"/>
      <c r="AC377" s="2746"/>
      <c r="AD377" s="2746"/>
      <c r="AE377" s="2746"/>
      <c r="AF377" s="2746"/>
      <c r="AG377" s="2746"/>
      <c r="AH377" s="2746"/>
      <c r="AI377" s="2746"/>
      <c r="AJ377" s="2746"/>
      <c r="AK377" s="2746"/>
      <c r="AL377" s="2746"/>
      <c r="AM377" s="2746"/>
      <c r="AN377" s="2746"/>
      <c r="AO377" s="2746"/>
      <c r="AP377" s="2746"/>
      <c r="AQ377" s="2746"/>
      <c r="AR377" s="2746"/>
      <c r="AS377" s="2746"/>
      <c r="AT377" s="2746"/>
      <c r="AU377" s="2746"/>
      <c r="AV377" s="2746"/>
      <c r="AW377" s="2746"/>
      <c r="AX377" s="2746"/>
      <c r="AY377" s="2746"/>
      <c r="AZ377" s="2746"/>
      <c r="BA377" s="2746"/>
      <c r="BB377" s="2746"/>
      <c r="BC377" s="2746"/>
      <c r="BD377" s="2746"/>
      <c r="BE377" s="2746"/>
      <c r="BF377" s="2746"/>
      <c r="BG377" s="2746"/>
      <c r="BH377" s="2746"/>
      <c r="BI377" s="2746"/>
      <c r="BJ377" s="2746"/>
      <c r="BK377" s="2746"/>
      <c r="BL377" s="2746"/>
      <c r="BM377" s="2746"/>
      <c r="BN377" s="2746"/>
      <c r="BO377" s="2746"/>
      <c r="BP377" s="2746"/>
      <c r="BQ377" s="2746"/>
      <c r="BR377" s="2746"/>
      <c r="BS377" s="2746"/>
      <c r="BT377" s="2746"/>
      <c r="BU377" s="2746"/>
      <c r="BV377" s="2746"/>
      <c r="BW377" s="2746"/>
      <c r="BX377" s="2746"/>
      <c r="BY377" s="2746"/>
      <c r="BZ377" s="2746"/>
      <c r="CA377" s="2746"/>
      <c r="CB377" s="2746"/>
      <c r="CC377" s="2746"/>
      <c r="CD377" s="2746"/>
      <c r="CE377" s="2746"/>
      <c r="CF377" s="2746"/>
      <c r="CG377" s="2746"/>
      <c r="CH377" s="2746"/>
      <c r="CI377" s="2746"/>
      <c r="CJ377" s="2746"/>
      <c r="CK377" s="2746"/>
      <c r="CL377" s="2746"/>
      <c r="CM377" s="2746"/>
      <c r="CN377" s="2746"/>
    </row>
    <row r="378" spans="1:92" x14ac:dyDescent="0.2">
      <c r="A378" s="2746"/>
      <c r="B378" s="2746"/>
      <c r="C378" s="2746"/>
      <c r="D378" s="2746"/>
      <c r="E378" s="2746"/>
      <c r="F378" s="2746"/>
      <c r="G378" s="2746"/>
      <c r="H378" s="2746"/>
      <c r="I378" s="2746"/>
      <c r="J378" s="2746"/>
      <c r="K378" s="2746"/>
      <c r="L378" s="2746"/>
      <c r="M378" s="2746"/>
      <c r="N378" s="2746"/>
      <c r="O378" s="2746"/>
      <c r="P378" s="2746"/>
      <c r="Q378" s="2746"/>
      <c r="R378" s="2746"/>
      <c r="S378" s="2746"/>
      <c r="T378" s="2746"/>
      <c r="U378" s="2746"/>
      <c r="V378" s="2746"/>
      <c r="W378" s="2746"/>
      <c r="X378" s="2746"/>
      <c r="Y378" s="2746"/>
      <c r="Z378" s="2746"/>
      <c r="AA378" s="2746"/>
      <c r="AB378" s="2746"/>
      <c r="AC378" s="2746"/>
      <c r="AD378" s="2746"/>
      <c r="AE378" s="2746"/>
      <c r="AF378" s="2746"/>
      <c r="AG378" s="2746"/>
      <c r="AH378" s="2746"/>
      <c r="AI378" s="2746"/>
      <c r="AJ378" s="2746"/>
      <c r="AK378" s="2746"/>
      <c r="AL378" s="2746"/>
      <c r="AM378" s="2746"/>
      <c r="AN378" s="2746"/>
      <c r="AO378" s="2746"/>
      <c r="AP378" s="2746"/>
      <c r="AQ378" s="2746"/>
      <c r="AR378" s="2746"/>
      <c r="AS378" s="2746"/>
      <c r="AT378" s="2746"/>
      <c r="AU378" s="2746"/>
      <c r="AV378" s="2746"/>
      <c r="AW378" s="2746"/>
      <c r="AX378" s="2746"/>
      <c r="AY378" s="2746"/>
      <c r="AZ378" s="2746"/>
      <c r="BA378" s="2746"/>
      <c r="BB378" s="2746"/>
      <c r="BC378" s="2746"/>
      <c r="BD378" s="2746"/>
      <c r="BE378" s="2746"/>
      <c r="BF378" s="2746"/>
      <c r="BG378" s="2746"/>
      <c r="BH378" s="2746"/>
      <c r="BI378" s="2746"/>
      <c r="BJ378" s="2746"/>
      <c r="BK378" s="2746"/>
      <c r="BL378" s="2746"/>
      <c r="BM378" s="2746"/>
      <c r="BN378" s="2746"/>
      <c r="BO378" s="2746"/>
      <c r="BP378" s="2746"/>
      <c r="BQ378" s="2746"/>
      <c r="BR378" s="2746"/>
      <c r="BS378" s="2746"/>
      <c r="BT378" s="2746"/>
      <c r="BU378" s="2746"/>
      <c r="BV378" s="2746"/>
      <c r="BW378" s="2746"/>
      <c r="BX378" s="2746"/>
      <c r="BY378" s="2746"/>
      <c r="BZ378" s="2746"/>
      <c r="CA378" s="2746"/>
      <c r="CB378" s="2746"/>
      <c r="CC378" s="2746"/>
      <c r="CD378" s="2746"/>
      <c r="CE378" s="2746"/>
      <c r="CF378" s="2746"/>
      <c r="CG378" s="2746"/>
      <c r="CH378" s="2746"/>
      <c r="CI378" s="2746"/>
      <c r="CJ378" s="2746"/>
      <c r="CK378" s="2746"/>
      <c r="CL378" s="2746"/>
      <c r="CM378" s="2746"/>
      <c r="CN378" s="2746"/>
    </row>
    <row r="379" spans="1:92" x14ac:dyDescent="0.2">
      <c r="A379" s="2746"/>
      <c r="B379" s="2746"/>
      <c r="C379" s="2746"/>
      <c r="D379" s="2746"/>
      <c r="E379" s="2746"/>
      <c r="F379" s="2746"/>
      <c r="G379" s="2746"/>
      <c r="H379" s="2746"/>
      <c r="I379" s="2746"/>
      <c r="J379" s="2746"/>
      <c r="K379" s="2746"/>
      <c r="L379" s="2746"/>
      <c r="M379" s="2746"/>
      <c r="N379" s="2746"/>
      <c r="O379" s="2746"/>
      <c r="P379" s="2746"/>
      <c r="Q379" s="2746"/>
      <c r="R379" s="2746"/>
      <c r="S379" s="2746"/>
      <c r="T379" s="2746"/>
      <c r="U379" s="2746"/>
      <c r="V379" s="2746"/>
      <c r="W379" s="2746"/>
      <c r="X379" s="2746"/>
      <c r="Y379" s="2746"/>
      <c r="Z379" s="2746"/>
      <c r="AA379" s="2746"/>
      <c r="AB379" s="2746"/>
      <c r="AC379" s="2746"/>
      <c r="AD379" s="2746"/>
      <c r="AE379" s="2746"/>
      <c r="AF379" s="2746"/>
      <c r="AG379" s="2746"/>
      <c r="AH379" s="2746"/>
      <c r="AI379" s="2746"/>
      <c r="AJ379" s="2746"/>
      <c r="AK379" s="2746"/>
      <c r="AL379" s="2746"/>
      <c r="AM379" s="2746"/>
      <c r="AN379" s="2746"/>
      <c r="AO379" s="2746"/>
      <c r="AP379" s="2746"/>
      <c r="AQ379" s="2746"/>
      <c r="AR379" s="2746"/>
      <c r="AS379" s="2746"/>
      <c r="AT379" s="2746"/>
      <c r="AU379" s="2746"/>
      <c r="AV379" s="2746"/>
      <c r="AW379" s="2746"/>
      <c r="AX379" s="2746"/>
      <c r="AY379" s="2746"/>
      <c r="AZ379" s="2746"/>
      <c r="BA379" s="2746"/>
      <c r="BB379" s="2746"/>
      <c r="BC379" s="2746"/>
      <c r="BD379" s="2746"/>
      <c r="BE379" s="2746"/>
      <c r="BF379" s="2746"/>
      <c r="BG379" s="2746"/>
      <c r="BH379" s="2746"/>
      <c r="BI379" s="2746"/>
      <c r="BJ379" s="2746"/>
      <c r="BK379" s="2746"/>
      <c r="BL379" s="2746"/>
      <c r="BM379" s="2746"/>
      <c r="BN379" s="2746"/>
      <c r="BO379" s="2746"/>
      <c r="BP379" s="2746"/>
      <c r="BQ379" s="2746"/>
      <c r="BR379" s="2746"/>
      <c r="BS379" s="2746"/>
      <c r="BT379" s="2746"/>
      <c r="BU379" s="2746"/>
      <c r="BV379" s="2746"/>
      <c r="BW379" s="2746"/>
      <c r="BX379" s="2746"/>
      <c r="BY379" s="2746"/>
      <c r="BZ379" s="2746"/>
      <c r="CA379" s="2746"/>
      <c r="CB379" s="2746"/>
      <c r="CC379" s="2746"/>
      <c r="CD379" s="2746"/>
      <c r="CE379" s="2746"/>
      <c r="CF379" s="2746"/>
      <c r="CG379" s="2746"/>
      <c r="CH379" s="2746"/>
      <c r="CI379" s="2746"/>
      <c r="CJ379" s="2746"/>
      <c r="CK379" s="2746"/>
      <c r="CL379" s="2746"/>
      <c r="CM379" s="2746"/>
      <c r="CN379" s="2746"/>
    </row>
    <row r="380" spans="1:92" x14ac:dyDescent="0.2">
      <c r="A380" s="2746"/>
      <c r="B380" s="2746"/>
      <c r="C380" s="2746"/>
      <c r="D380" s="2746"/>
      <c r="E380" s="2746"/>
      <c r="F380" s="2746"/>
      <c r="G380" s="2746"/>
      <c r="H380" s="2746"/>
      <c r="I380" s="2746"/>
      <c r="J380" s="2746"/>
      <c r="K380" s="2746"/>
      <c r="L380" s="2746"/>
      <c r="M380" s="2746"/>
      <c r="N380" s="2746"/>
      <c r="O380" s="2746"/>
      <c r="P380" s="2746"/>
      <c r="Q380" s="2746"/>
      <c r="R380" s="2746"/>
      <c r="S380" s="2746"/>
      <c r="T380" s="2746"/>
      <c r="U380" s="2746"/>
      <c r="V380" s="2746"/>
      <c r="W380" s="2746"/>
      <c r="X380" s="2746"/>
      <c r="Y380" s="2746"/>
      <c r="Z380" s="2746"/>
      <c r="AA380" s="2746"/>
      <c r="AB380" s="2746"/>
      <c r="AC380" s="2746"/>
      <c r="AD380" s="2746"/>
      <c r="AE380" s="2746"/>
      <c r="AF380" s="2746"/>
      <c r="AG380" s="2746"/>
      <c r="AH380" s="2746"/>
      <c r="AI380" s="2746"/>
      <c r="AJ380" s="2746"/>
      <c r="AK380" s="2746"/>
      <c r="AL380" s="2746"/>
      <c r="AM380" s="2746"/>
      <c r="AN380" s="2746"/>
      <c r="AO380" s="2746"/>
      <c r="AP380" s="2746"/>
      <c r="AQ380" s="2746"/>
      <c r="AR380" s="2746"/>
      <c r="AS380" s="2746"/>
      <c r="AT380" s="2746"/>
      <c r="AU380" s="2746"/>
      <c r="AV380" s="2746"/>
      <c r="AW380" s="2746"/>
      <c r="AX380" s="2746"/>
      <c r="AY380" s="2746"/>
      <c r="AZ380" s="2746"/>
      <c r="BA380" s="2746"/>
      <c r="BB380" s="2746"/>
      <c r="BC380" s="2746"/>
      <c r="BD380" s="2746"/>
      <c r="BE380" s="2746"/>
      <c r="BF380" s="2746"/>
      <c r="BG380" s="2746"/>
      <c r="BH380" s="2746"/>
      <c r="BI380" s="2746"/>
      <c r="BJ380" s="2746"/>
      <c r="BK380" s="2746"/>
      <c r="BL380" s="2746"/>
      <c r="BM380" s="2746"/>
      <c r="BN380" s="2746"/>
      <c r="BO380" s="2746"/>
      <c r="BP380" s="2746"/>
      <c r="BQ380" s="2746"/>
      <c r="BR380" s="2746"/>
      <c r="BS380" s="2746"/>
      <c r="BT380" s="2746"/>
      <c r="BU380" s="2746"/>
      <c r="BV380" s="2746"/>
      <c r="BW380" s="2746"/>
      <c r="BX380" s="2746"/>
      <c r="BY380" s="2746"/>
      <c r="BZ380" s="2746"/>
      <c r="CA380" s="2746"/>
      <c r="CB380" s="2746"/>
      <c r="CC380" s="2746"/>
      <c r="CD380" s="2746"/>
      <c r="CE380" s="2746"/>
      <c r="CF380" s="2746"/>
      <c r="CG380" s="2746"/>
      <c r="CH380" s="2746"/>
      <c r="CI380" s="2746"/>
      <c r="CJ380" s="2746"/>
      <c r="CK380" s="2746"/>
      <c r="CL380" s="2746"/>
      <c r="CM380" s="2746"/>
      <c r="CN380" s="2746"/>
    </row>
    <row r="381" spans="1:92" x14ac:dyDescent="0.2">
      <c r="A381" s="2746"/>
      <c r="B381" s="2746"/>
      <c r="C381" s="2746"/>
      <c r="D381" s="2746"/>
      <c r="E381" s="2746"/>
      <c r="F381" s="2746"/>
      <c r="G381" s="2746"/>
      <c r="H381" s="2746"/>
      <c r="I381" s="2746"/>
      <c r="J381" s="2746"/>
      <c r="K381" s="2746"/>
      <c r="L381" s="2746"/>
      <c r="M381" s="2746"/>
      <c r="N381" s="2746"/>
      <c r="O381" s="2746"/>
      <c r="P381" s="2746"/>
      <c r="Q381" s="2746"/>
      <c r="R381" s="2746"/>
      <c r="S381" s="2746"/>
      <c r="T381" s="2746"/>
      <c r="U381" s="2746"/>
      <c r="V381" s="2746"/>
      <c r="W381" s="2746"/>
      <c r="X381" s="2746"/>
      <c r="Y381" s="2746"/>
      <c r="Z381" s="2746"/>
      <c r="AA381" s="2746"/>
      <c r="AB381" s="2746"/>
      <c r="AC381" s="2746"/>
      <c r="AD381" s="2746"/>
      <c r="AE381" s="2746"/>
      <c r="AF381" s="2746"/>
      <c r="AG381" s="2746"/>
      <c r="AH381" s="2746"/>
      <c r="AI381" s="2746"/>
      <c r="AJ381" s="2746"/>
      <c r="AK381" s="2746"/>
      <c r="AL381" s="2746"/>
      <c r="AM381" s="2746"/>
      <c r="AN381" s="2746"/>
      <c r="AO381" s="2746"/>
      <c r="AP381" s="2746"/>
      <c r="AQ381" s="2746"/>
      <c r="AR381" s="2746"/>
      <c r="AS381" s="2746"/>
      <c r="AT381" s="2746"/>
      <c r="AU381" s="2746"/>
      <c r="AV381" s="2746"/>
      <c r="AW381" s="2746"/>
      <c r="AX381" s="2746"/>
      <c r="AY381" s="2746"/>
      <c r="AZ381" s="2746"/>
      <c r="BA381" s="2746"/>
      <c r="BB381" s="2746"/>
      <c r="BC381" s="2746"/>
      <c r="BD381" s="2746"/>
      <c r="BE381" s="2746"/>
      <c r="BF381" s="2746"/>
      <c r="BG381" s="2746"/>
      <c r="BH381" s="2746"/>
      <c r="BI381" s="2746"/>
      <c r="BJ381" s="2746"/>
      <c r="BK381" s="2746"/>
      <c r="BL381" s="2746"/>
      <c r="BM381" s="2746"/>
      <c r="BN381" s="2746"/>
      <c r="BO381" s="2746"/>
      <c r="BP381" s="2746"/>
      <c r="BQ381" s="2746"/>
      <c r="BR381" s="2746"/>
      <c r="BS381" s="2746"/>
      <c r="BT381" s="2746"/>
      <c r="BU381" s="2746"/>
      <c r="BV381" s="2746"/>
      <c r="BW381" s="2746"/>
      <c r="BX381" s="2746"/>
      <c r="BY381" s="2746"/>
      <c r="BZ381" s="2746"/>
      <c r="CA381" s="2746"/>
      <c r="CB381" s="2746"/>
      <c r="CC381" s="2746"/>
      <c r="CD381" s="2746"/>
      <c r="CE381" s="2746"/>
      <c r="CF381" s="2746"/>
      <c r="CG381" s="2746"/>
      <c r="CH381" s="2746"/>
      <c r="CI381" s="2746"/>
      <c r="CJ381" s="2746"/>
      <c r="CK381" s="2746"/>
      <c r="CL381" s="2746"/>
      <c r="CM381" s="2746"/>
      <c r="CN381" s="2746"/>
    </row>
    <row r="382" spans="1:92" x14ac:dyDescent="0.2">
      <c r="A382" s="2746"/>
      <c r="B382" s="2746"/>
      <c r="C382" s="2746"/>
      <c r="D382" s="2746"/>
      <c r="E382" s="2746"/>
      <c r="F382" s="2746"/>
      <c r="G382" s="2746"/>
      <c r="H382" s="2746"/>
      <c r="I382" s="2746"/>
      <c r="J382" s="2746"/>
      <c r="K382" s="2746"/>
      <c r="L382" s="2746"/>
      <c r="M382" s="2746"/>
      <c r="N382" s="2746"/>
      <c r="O382" s="2746"/>
      <c r="P382" s="2746"/>
      <c r="Q382" s="2746"/>
      <c r="R382" s="2746"/>
      <c r="S382" s="2746"/>
      <c r="T382" s="2746"/>
      <c r="U382" s="2746"/>
      <c r="V382" s="2746"/>
      <c r="W382" s="2746"/>
      <c r="X382" s="2746"/>
      <c r="Y382" s="2746"/>
      <c r="Z382" s="2746"/>
      <c r="AA382" s="2746"/>
      <c r="AB382" s="2746"/>
      <c r="AC382" s="2746"/>
      <c r="AD382" s="2746"/>
      <c r="AE382" s="2746"/>
      <c r="AF382" s="2746"/>
      <c r="AG382" s="2746"/>
      <c r="AH382" s="2746"/>
      <c r="AI382" s="2746"/>
      <c r="AJ382" s="2746"/>
      <c r="AK382" s="2746"/>
      <c r="AL382" s="2746"/>
      <c r="AM382" s="2746"/>
      <c r="AN382" s="2746"/>
      <c r="AO382" s="2746"/>
      <c r="AP382" s="2746"/>
      <c r="AQ382" s="2746"/>
      <c r="AR382" s="2746"/>
      <c r="AS382" s="2746"/>
      <c r="AT382" s="2746"/>
      <c r="AU382" s="2746"/>
      <c r="AV382" s="2746"/>
      <c r="AW382" s="2746"/>
      <c r="AX382" s="2746"/>
      <c r="AY382" s="2746"/>
      <c r="AZ382" s="2746"/>
      <c r="BA382" s="2746"/>
      <c r="BB382" s="2746"/>
      <c r="BC382" s="2746"/>
      <c r="BD382" s="2746"/>
      <c r="BE382" s="2746"/>
      <c r="BF382" s="2746"/>
      <c r="BG382" s="2746"/>
      <c r="BH382" s="2746"/>
      <c r="BI382" s="2746"/>
      <c r="BJ382" s="2746"/>
      <c r="BK382" s="2746"/>
      <c r="BL382" s="2746"/>
      <c r="BM382" s="2746"/>
      <c r="BN382" s="2746"/>
      <c r="BO382" s="2746"/>
      <c r="BP382" s="2746"/>
      <c r="BQ382" s="2746"/>
      <c r="BR382" s="2746"/>
      <c r="BS382" s="2746"/>
      <c r="BT382" s="2746"/>
      <c r="BU382" s="2746"/>
      <c r="BV382" s="2746"/>
      <c r="BW382" s="2746"/>
      <c r="BX382" s="2746"/>
      <c r="BY382" s="2746"/>
      <c r="BZ382" s="2746"/>
      <c r="CA382" s="2746"/>
      <c r="CB382" s="2746"/>
      <c r="CC382" s="2746"/>
      <c r="CD382" s="2746"/>
      <c r="CE382" s="2746"/>
      <c r="CF382" s="2746"/>
      <c r="CG382" s="2746"/>
      <c r="CH382" s="2746"/>
      <c r="CI382" s="2746"/>
      <c r="CJ382" s="2746"/>
      <c r="CK382" s="2746"/>
      <c r="CL382" s="2746"/>
      <c r="CM382" s="2746"/>
      <c r="CN382" s="2746"/>
    </row>
    <row r="383" spans="1:92" x14ac:dyDescent="0.2">
      <c r="A383" s="2746"/>
      <c r="B383" s="2746"/>
      <c r="C383" s="2746"/>
      <c r="D383" s="2746"/>
      <c r="E383" s="2746"/>
      <c r="F383" s="2746"/>
      <c r="G383" s="2746"/>
      <c r="H383" s="2746"/>
      <c r="I383" s="2746"/>
      <c r="J383" s="2746"/>
      <c r="K383" s="2746"/>
      <c r="L383" s="2746"/>
      <c r="M383" s="2746"/>
      <c r="N383" s="2746"/>
      <c r="O383" s="2746"/>
      <c r="P383" s="2746"/>
      <c r="Q383" s="2746"/>
      <c r="R383" s="2746"/>
      <c r="S383" s="2746"/>
      <c r="T383" s="2746"/>
      <c r="U383" s="2746"/>
      <c r="V383" s="2746"/>
      <c r="W383" s="2746"/>
      <c r="X383" s="2746"/>
      <c r="Y383" s="2746"/>
      <c r="Z383" s="2746"/>
      <c r="AA383" s="2746"/>
      <c r="AB383" s="2746"/>
      <c r="AC383" s="2746"/>
      <c r="AD383" s="2746"/>
      <c r="AE383" s="2746"/>
      <c r="AF383" s="2746"/>
      <c r="AG383" s="2746"/>
      <c r="AH383" s="2746"/>
      <c r="AI383" s="2746"/>
      <c r="AJ383" s="2746"/>
      <c r="AK383" s="2746"/>
      <c r="AL383" s="2746"/>
      <c r="AM383" s="2746"/>
      <c r="AN383" s="2746"/>
      <c r="AO383" s="2746"/>
      <c r="AP383" s="2746"/>
      <c r="AQ383" s="2746"/>
      <c r="AR383" s="2746"/>
      <c r="AS383" s="2746"/>
      <c r="AT383" s="2746"/>
      <c r="AU383" s="2746"/>
      <c r="AV383" s="2746"/>
      <c r="AW383" s="2746"/>
      <c r="AX383" s="2746"/>
      <c r="AY383" s="2746"/>
      <c r="AZ383" s="2746"/>
      <c r="BA383" s="2746"/>
      <c r="BB383" s="2746"/>
      <c r="BC383" s="2746"/>
      <c r="BD383" s="2746"/>
      <c r="BE383" s="2746"/>
      <c r="BF383" s="2746"/>
      <c r="BG383" s="2746"/>
      <c r="BH383" s="2746"/>
      <c r="BI383" s="2746"/>
      <c r="BJ383" s="2746"/>
      <c r="BK383" s="2746"/>
      <c r="BL383" s="2746"/>
      <c r="BM383" s="2746"/>
      <c r="BN383" s="2746"/>
      <c r="BO383" s="2746"/>
      <c r="BP383" s="2746"/>
      <c r="BQ383" s="2746"/>
      <c r="BR383" s="2746"/>
      <c r="BS383" s="2746"/>
      <c r="BT383" s="2746"/>
      <c r="BU383" s="2746"/>
      <c r="BV383" s="2746"/>
      <c r="BW383" s="2746"/>
      <c r="BX383" s="2746"/>
      <c r="BY383" s="2746"/>
      <c r="BZ383" s="2746"/>
      <c r="CA383" s="2746"/>
      <c r="CB383" s="2746"/>
      <c r="CC383" s="2746"/>
      <c r="CD383" s="2746"/>
      <c r="CE383" s="2746"/>
      <c r="CF383" s="2746"/>
      <c r="CG383" s="2746"/>
      <c r="CH383" s="2746"/>
      <c r="CI383" s="2746"/>
      <c r="CJ383" s="2746"/>
      <c r="CK383" s="2746"/>
      <c r="CL383" s="2746"/>
      <c r="CM383" s="2746"/>
      <c r="CN383" s="2746"/>
    </row>
    <row r="384" spans="1:92" x14ac:dyDescent="0.2">
      <c r="A384" s="2746"/>
      <c r="B384" s="2746"/>
      <c r="C384" s="2746"/>
      <c r="D384" s="2746"/>
      <c r="E384" s="2746"/>
      <c r="F384" s="2746"/>
      <c r="G384" s="2746"/>
      <c r="H384" s="2746"/>
      <c r="I384" s="2746"/>
      <c r="J384" s="2746"/>
      <c r="K384" s="2746"/>
      <c r="L384" s="2746"/>
      <c r="M384" s="2746"/>
      <c r="N384" s="2746"/>
      <c r="O384" s="2746"/>
      <c r="P384" s="2746"/>
      <c r="Q384" s="2746"/>
      <c r="R384" s="2746"/>
      <c r="S384" s="2746"/>
      <c r="T384" s="2746"/>
      <c r="U384" s="2746"/>
      <c r="V384" s="2746"/>
      <c r="W384" s="2746"/>
      <c r="X384" s="2746"/>
      <c r="Y384" s="2746"/>
      <c r="Z384" s="2746"/>
      <c r="AA384" s="2746"/>
      <c r="AB384" s="2746"/>
      <c r="AC384" s="2746"/>
      <c r="AD384" s="2746"/>
      <c r="AE384" s="2746"/>
      <c r="AF384" s="2746"/>
      <c r="AG384" s="2746"/>
      <c r="AH384" s="2746"/>
      <c r="AI384" s="2746"/>
      <c r="AJ384" s="2746"/>
      <c r="AK384" s="2746"/>
      <c r="AL384" s="2746"/>
      <c r="AM384" s="2746"/>
      <c r="AN384" s="2746"/>
      <c r="AO384" s="2746"/>
      <c r="AP384" s="2746"/>
      <c r="AQ384" s="2746"/>
      <c r="AR384" s="2746"/>
      <c r="AS384" s="2746"/>
      <c r="AT384" s="2746"/>
      <c r="AU384" s="2746"/>
      <c r="AV384" s="2746"/>
      <c r="AW384" s="2746"/>
      <c r="AX384" s="2746"/>
      <c r="AY384" s="2746"/>
      <c r="AZ384" s="2746"/>
      <c r="BA384" s="2746"/>
      <c r="BB384" s="2746"/>
      <c r="BC384" s="2746"/>
      <c r="BD384" s="2746"/>
      <c r="BE384" s="2746"/>
      <c r="BF384" s="2746"/>
      <c r="BG384" s="2746"/>
      <c r="BH384" s="2746"/>
      <c r="BI384" s="2746"/>
      <c r="BJ384" s="2746"/>
      <c r="BK384" s="2746"/>
      <c r="BL384" s="2746"/>
      <c r="BM384" s="2746"/>
      <c r="BN384" s="2746"/>
      <c r="BO384" s="2746"/>
      <c r="BP384" s="2746"/>
      <c r="BQ384" s="2746"/>
      <c r="BR384" s="2746"/>
      <c r="BS384" s="2746"/>
      <c r="BT384" s="2746"/>
      <c r="BU384" s="2746"/>
      <c r="BV384" s="2746"/>
      <c r="BW384" s="2746"/>
      <c r="BX384" s="2746"/>
      <c r="BY384" s="2746"/>
      <c r="BZ384" s="2746"/>
      <c r="CA384" s="2746"/>
      <c r="CB384" s="2746"/>
      <c r="CC384" s="2746"/>
      <c r="CD384" s="2746"/>
      <c r="CE384" s="2746"/>
      <c r="CF384" s="2746"/>
      <c r="CG384" s="2746"/>
      <c r="CH384" s="2746"/>
      <c r="CI384" s="2746"/>
      <c r="CJ384" s="2746"/>
      <c r="CK384" s="2746"/>
      <c r="CL384" s="2746"/>
      <c r="CM384" s="2746"/>
      <c r="CN384" s="2746"/>
    </row>
    <row r="385" spans="1:92" x14ac:dyDescent="0.2">
      <c r="A385" s="2746"/>
      <c r="B385" s="2746"/>
      <c r="C385" s="2746"/>
      <c r="D385" s="2746"/>
      <c r="E385" s="2746"/>
      <c r="F385" s="2746"/>
      <c r="G385" s="2746"/>
      <c r="H385" s="2746"/>
      <c r="I385" s="2746"/>
      <c r="J385" s="2746"/>
      <c r="K385" s="2746"/>
      <c r="L385" s="2746"/>
      <c r="M385" s="2746"/>
      <c r="N385" s="2746"/>
      <c r="O385" s="2746"/>
      <c r="P385" s="2746"/>
      <c r="Q385" s="2746"/>
      <c r="R385" s="2746"/>
      <c r="S385" s="2746"/>
      <c r="T385" s="2746"/>
      <c r="U385" s="2746"/>
      <c r="V385" s="2746"/>
      <c r="W385" s="2746"/>
      <c r="X385" s="2746"/>
      <c r="Y385" s="2746"/>
      <c r="Z385" s="2746"/>
      <c r="AA385" s="2746"/>
      <c r="AB385" s="2746"/>
      <c r="AC385" s="2746"/>
      <c r="AD385" s="2746"/>
      <c r="AE385" s="2746"/>
      <c r="AF385" s="2746"/>
      <c r="AG385" s="2746"/>
      <c r="AH385" s="2746"/>
      <c r="AI385" s="2746"/>
      <c r="AJ385" s="2746"/>
      <c r="AK385" s="2746"/>
      <c r="AL385" s="2746"/>
      <c r="AM385" s="2746"/>
      <c r="AN385" s="2746"/>
      <c r="AO385" s="2746"/>
      <c r="AP385" s="2746"/>
      <c r="AQ385" s="2746"/>
      <c r="AR385" s="2746"/>
      <c r="AS385" s="2746"/>
      <c r="AT385" s="2746"/>
      <c r="AU385" s="2746"/>
      <c r="AV385" s="2746"/>
      <c r="AW385" s="2746"/>
      <c r="AX385" s="2746"/>
      <c r="AY385" s="2746"/>
      <c r="AZ385" s="2746"/>
      <c r="BA385" s="2746"/>
      <c r="BB385" s="2746"/>
      <c r="BC385" s="2746"/>
      <c r="BD385" s="2746"/>
      <c r="BE385" s="2746"/>
      <c r="BF385" s="2746"/>
      <c r="BG385" s="2746"/>
      <c r="BH385" s="2746"/>
      <c r="BI385" s="2746"/>
      <c r="BJ385" s="2746"/>
      <c r="BK385" s="2746"/>
      <c r="BL385" s="2746"/>
      <c r="BM385" s="2746"/>
      <c r="BN385" s="2746"/>
      <c r="BO385" s="2746"/>
      <c r="BP385" s="2746"/>
      <c r="BQ385" s="2746"/>
      <c r="BR385" s="2746"/>
      <c r="BS385" s="2746"/>
      <c r="BT385" s="2746"/>
      <c r="BU385" s="2746"/>
      <c r="BV385" s="2746"/>
      <c r="BW385" s="2746"/>
      <c r="BX385" s="2746"/>
      <c r="BY385" s="2746"/>
      <c r="BZ385" s="2746"/>
      <c r="CA385" s="2746"/>
      <c r="CB385" s="2746"/>
      <c r="CC385" s="2746"/>
      <c r="CD385" s="2746"/>
      <c r="CE385" s="2746"/>
      <c r="CF385" s="2746"/>
      <c r="CG385" s="2746"/>
      <c r="CH385" s="2746"/>
      <c r="CI385" s="2746"/>
      <c r="CJ385" s="2746"/>
      <c r="CK385" s="2746"/>
      <c r="CL385" s="2746"/>
      <c r="CM385" s="2746"/>
      <c r="CN385" s="2746"/>
    </row>
    <row r="386" spans="1:92" x14ac:dyDescent="0.2">
      <c r="A386" s="2746"/>
      <c r="B386" s="2746"/>
      <c r="C386" s="2746"/>
      <c r="D386" s="2746"/>
      <c r="E386" s="2746"/>
      <c r="F386" s="2746"/>
      <c r="G386" s="2746"/>
      <c r="H386" s="2746"/>
      <c r="I386" s="2746"/>
      <c r="J386" s="2746"/>
      <c r="K386" s="2746"/>
      <c r="L386" s="2746"/>
      <c r="M386" s="2746"/>
      <c r="N386" s="2746"/>
      <c r="O386" s="2746"/>
      <c r="P386" s="2746"/>
      <c r="Q386" s="2746"/>
      <c r="R386" s="2746"/>
      <c r="S386" s="2746"/>
      <c r="T386" s="2746"/>
      <c r="U386" s="2746"/>
      <c r="V386" s="2746"/>
      <c r="W386" s="2746"/>
      <c r="X386" s="2746"/>
      <c r="Y386" s="2746"/>
      <c r="Z386" s="2746"/>
      <c r="AA386" s="2746"/>
      <c r="AB386" s="2746"/>
      <c r="AC386" s="2746"/>
      <c r="AD386" s="2746"/>
      <c r="AE386" s="2746"/>
      <c r="AF386" s="2746"/>
      <c r="AG386" s="2746"/>
      <c r="AH386" s="2746"/>
      <c r="AI386" s="2746"/>
      <c r="AJ386" s="2746"/>
      <c r="AK386" s="2746"/>
      <c r="AL386" s="2746"/>
      <c r="AM386" s="2746"/>
      <c r="AN386" s="2746"/>
      <c r="AO386" s="2746"/>
      <c r="AP386" s="2746"/>
      <c r="AQ386" s="2746"/>
      <c r="AR386" s="2746"/>
      <c r="AS386" s="2746"/>
      <c r="AT386" s="2746"/>
      <c r="AU386" s="2746"/>
      <c r="AV386" s="2746"/>
      <c r="AW386" s="2746"/>
      <c r="AX386" s="2746"/>
      <c r="AY386" s="2746"/>
      <c r="AZ386" s="2746"/>
      <c r="BA386" s="2746"/>
      <c r="BB386" s="2746"/>
      <c r="BC386" s="2746"/>
      <c r="BD386" s="2746"/>
      <c r="BE386" s="2746"/>
      <c r="BF386" s="2746"/>
      <c r="BG386" s="2746"/>
      <c r="BH386" s="2746"/>
      <c r="BI386" s="2746"/>
      <c r="BJ386" s="2746"/>
      <c r="BK386" s="2746"/>
      <c r="BL386" s="2746"/>
      <c r="BM386" s="2746"/>
      <c r="BN386" s="2746"/>
      <c r="BO386" s="2746"/>
      <c r="BP386" s="2746"/>
      <c r="BQ386" s="2746"/>
      <c r="BR386" s="2746"/>
      <c r="BS386" s="2746"/>
      <c r="BT386" s="2746"/>
      <c r="BU386" s="2746"/>
      <c r="BV386" s="2746"/>
      <c r="BW386" s="2746"/>
      <c r="BX386" s="2746"/>
      <c r="BY386" s="2746"/>
      <c r="BZ386" s="2746"/>
      <c r="CA386" s="2746"/>
      <c r="CB386" s="2746"/>
      <c r="CC386" s="2746"/>
      <c r="CD386" s="2746"/>
      <c r="CE386" s="2746"/>
      <c r="CF386" s="2746"/>
      <c r="CG386" s="2746"/>
      <c r="CH386" s="2746"/>
      <c r="CI386" s="2746"/>
      <c r="CJ386" s="2746"/>
      <c r="CK386" s="2746"/>
      <c r="CL386" s="2746"/>
      <c r="CM386" s="2746"/>
      <c r="CN386" s="2746"/>
    </row>
    <row r="387" spans="1:92" x14ac:dyDescent="0.2">
      <c r="A387" s="2746"/>
      <c r="B387" s="2746"/>
      <c r="C387" s="2746"/>
      <c r="D387" s="2746"/>
      <c r="E387" s="2746"/>
      <c r="F387" s="2746"/>
      <c r="G387" s="2746"/>
      <c r="H387" s="2746"/>
      <c r="I387" s="2746"/>
      <c r="J387" s="2746"/>
      <c r="K387" s="2746"/>
      <c r="L387" s="2746"/>
      <c r="M387" s="2746"/>
      <c r="N387" s="2746"/>
      <c r="O387" s="2746"/>
      <c r="P387" s="2746"/>
      <c r="Q387" s="2746"/>
      <c r="R387" s="2746"/>
      <c r="S387" s="2746"/>
      <c r="T387" s="2746"/>
      <c r="U387" s="2746"/>
      <c r="V387" s="2746"/>
      <c r="W387" s="2746"/>
      <c r="X387" s="2746"/>
      <c r="Y387" s="2746"/>
      <c r="Z387" s="2746"/>
      <c r="AA387" s="2746"/>
      <c r="AB387" s="2746"/>
      <c r="AC387" s="2746"/>
      <c r="AD387" s="2746"/>
      <c r="AE387" s="2746"/>
      <c r="AF387" s="2746"/>
      <c r="AG387" s="2746"/>
      <c r="AH387" s="2746"/>
      <c r="AI387" s="2746"/>
      <c r="AJ387" s="2746"/>
      <c r="AK387" s="2746"/>
      <c r="AL387" s="2746"/>
      <c r="AM387" s="2746"/>
      <c r="AN387" s="2746"/>
      <c r="AO387" s="2746"/>
      <c r="AP387" s="2746"/>
      <c r="AQ387" s="2746"/>
      <c r="AR387" s="2746"/>
      <c r="AS387" s="2746"/>
      <c r="AT387" s="2746"/>
      <c r="AU387" s="2746"/>
      <c r="AV387" s="2746"/>
      <c r="AW387" s="2746"/>
      <c r="AX387" s="2746"/>
      <c r="AY387" s="2746"/>
      <c r="AZ387" s="2746"/>
      <c r="BA387" s="2746"/>
      <c r="BB387" s="2746"/>
      <c r="BC387" s="2746"/>
      <c r="BD387" s="2746"/>
      <c r="BE387" s="2746"/>
      <c r="BF387" s="2746"/>
      <c r="BG387" s="2746"/>
      <c r="BH387" s="2746"/>
      <c r="BI387" s="2746"/>
      <c r="BJ387" s="2746"/>
      <c r="BK387" s="2746"/>
      <c r="BL387" s="2746"/>
      <c r="BM387" s="2746"/>
      <c r="BN387" s="2746"/>
      <c r="BO387" s="2746"/>
      <c r="BP387" s="2746"/>
      <c r="BQ387" s="2746"/>
      <c r="BR387" s="2746"/>
      <c r="BS387" s="2746"/>
      <c r="BT387" s="2746"/>
      <c r="BU387" s="2746"/>
      <c r="BV387" s="2746"/>
      <c r="BW387" s="2746"/>
      <c r="BX387" s="2746"/>
      <c r="BY387" s="2746"/>
      <c r="BZ387" s="2746"/>
      <c r="CA387" s="2746"/>
      <c r="CB387" s="2746"/>
      <c r="CC387" s="2746"/>
      <c r="CD387" s="2746"/>
      <c r="CE387" s="2746"/>
      <c r="CF387" s="2746"/>
      <c r="CG387" s="2746"/>
      <c r="CH387" s="2746"/>
      <c r="CI387" s="2746"/>
      <c r="CJ387" s="2746"/>
      <c r="CK387" s="2746"/>
      <c r="CL387" s="2746"/>
      <c r="CM387" s="2746"/>
      <c r="CN387" s="2746"/>
    </row>
    <row r="388" spans="1:92" x14ac:dyDescent="0.2">
      <c r="A388" s="2746"/>
      <c r="B388" s="2746"/>
      <c r="C388" s="2746"/>
      <c r="D388" s="2746"/>
      <c r="E388" s="2746"/>
      <c r="F388" s="2746"/>
      <c r="G388" s="2746"/>
      <c r="H388" s="2746"/>
      <c r="I388" s="2746"/>
      <c r="J388" s="2746"/>
      <c r="K388" s="2746"/>
      <c r="L388" s="2746"/>
      <c r="M388" s="2746"/>
      <c r="N388" s="2746"/>
      <c r="O388" s="2746"/>
      <c r="P388" s="2746"/>
      <c r="Q388" s="2746"/>
      <c r="R388" s="2746"/>
      <c r="S388" s="2746"/>
      <c r="T388" s="2746"/>
      <c r="U388" s="2746"/>
      <c r="V388" s="2746"/>
      <c r="W388" s="2746"/>
      <c r="X388" s="2746"/>
      <c r="Y388" s="2746"/>
      <c r="Z388" s="2746"/>
      <c r="AA388" s="2746"/>
      <c r="AB388" s="2746"/>
      <c r="AC388" s="2746"/>
      <c r="AD388" s="2746"/>
      <c r="AE388" s="2746"/>
      <c r="AF388" s="2746"/>
      <c r="AG388" s="2746"/>
      <c r="AH388" s="2746"/>
      <c r="AI388" s="2746"/>
      <c r="AJ388" s="2746"/>
      <c r="AK388" s="2746"/>
      <c r="AL388" s="2746"/>
      <c r="AM388" s="2746"/>
      <c r="AN388" s="2746"/>
      <c r="AO388" s="2746"/>
      <c r="AP388" s="2746"/>
      <c r="AQ388" s="2746"/>
      <c r="AR388" s="2746"/>
      <c r="AS388" s="2746"/>
      <c r="AT388" s="2746"/>
      <c r="AU388" s="2746"/>
      <c r="AV388" s="2746"/>
      <c r="AW388" s="2746"/>
      <c r="AX388" s="2746"/>
      <c r="AY388" s="2746"/>
      <c r="AZ388" s="2746"/>
      <c r="BA388" s="2746"/>
      <c r="BB388" s="2746"/>
      <c r="BC388" s="2746"/>
      <c r="BD388" s="2746"/>
      <c r="BE388" s="2746"/>
      <c r="BF388" s="2746"/>
      <c r="BG388" s="2746"/>
      <c r="BH388" s="2746"/>
      <c r="BI388" s="2746"/>
      <c r="BJ388" s="2746"/>
      <c r="BK388" s="2746"/>
      <c r="BL388" s="2746"/>
      <c r="BM388" s="2746"/>
      <c r="BN388" s="2746"/>
      <c r="BO388" s="2746"/>
      <c r="BP388" s="2746"/>
      <c r="BQ388" s="2746"/>
      <c r="BR388" s="2746"/>
      <c r="BS388" s="2746"/>
      <c r="BT388" s="2746"/>
      <c r="BU388" s="2746"/>
      <c r="BV388" s="2746"/>
      <c r="BW388" s="2746"/>
      <c r="BX388" s="2746"/>
      <c r="BY388" s="2746"/>
      <c r="BZ388" s="2746"/>
      <c r="CA388" s="2746"/>
      <c r="CB388" s="2746"/>
      <c r="CC388" s="2746"/>
      <c r="CD388" s="2746"/>
      <c r="CE388" s="2746"/>
      <c r="CF388" s="2746"/>
      <c r="CG388" s="2746"/>
      <c r="CH388" s="2746"/>
      <c r="CI388" s="2746"/>
      <c r="CJ388" s="2746"/>
      <c r="CK388" s="2746"/>
      <c r="CL388" s="2746"/>
      <c r="CM388" s="2746"/>
      <c r="CN388" s="2746"/>
    </row>
    <row r="389" spans="1:92" x14ac:dyDescent="0.2">
      <c r="A389" s="2746"/>
      <c r="B389" s="2746"/>
      <c r="C389" s="2746"/>
      <c r="D389" s="2746"/>
      <c r="E389" s="2746"/>
      <c r="F389" s="2746"/>
      <c r="G389" s="2746"/>
      <c r="H389" s="2746"/>
      <c r="I389" s="2746"/>
      <c r="J389" s="2746"/>
      <c r="K389" s="2746"/>
      <c r="L389" s="2746"/>
      <c r="M389" s="2746"/>
      <c r="N389" s="2746"/>
      <c r="O389" s="2746"/>
      <c r="P389" s="2746"/>
      <c r="Q389" s="2746"/>
      <c r="R389" s="2746"/>
      <c r="S389" s="2746"/>
      <c r="T389" s="2746"/>
      <c r="U389" s="2746"/>
      <c r="V389" s="2746"/>
      <c r="W389" s="2746"/>
      <c r="X389" s="2746"/>
      <c r="Y389" s="2746"/>
      <c r="Z389" s="2746"/>
      <c r="AA389" s="2746"/>
      <c r="AB389" s="2746"/>
      <c r="AC389" s="2746"/>
      <c r="AD389" s="2746"/>
      <c r="AE389" s="2746"/>
      <c r="AF389" s="2746"/>
      <c r="AG389" s="2746"/>
      <c r="AH389" s="2746"/>
      <c r="AI389" s="2746"/>
      <c r="AJ389" s="2746"/>
      <c r="AK389" s="2746"/>
      <c r="AL389" s="2746"/>
      <c r="AM389" s="2746"/>
      <c r="AN389" s="2746"/>
      <c r="AO389" s="2746"/>
      <c r="AP389" s="2746"/>
      <c r="AQ389" s="2746"/>
      <c r="AR389" s="2746"/>
      <c r="AS389" s="2746"/>
      <c r="AT389" s="2746"/>
      <c r="AU389" s="2746"/>
      <c r="AV389" s="2746"/>
      <c r="AW389" s="2746"/>
      <c r="AX389" s="2746"/>
      <c r="AY389" s="2746"/>
      <c r="AZ389" s="2746"/>
      <c r="BA389" s="2746"/>
      <c r="BB389" s="2746"/>
      <c r="BC389" s="2746"/>
      <c r="BD389" s="2746"/>
      <c r="BE389" s="2746"/>
      <c r="BF389" s="2746"/>
      <c r="BG389" s="2746"/>
      <c r="BH389" s="2746"/>
      <c r="BI389" s="2746"/>
      <c r="BJ389" s="2746"/>
      <c r="BK389" s="2746"/>
      <c r="BL389" s="2746"/>
      <c r="BM389" s="2746"/>
      <c r="BN389" s="2746"/>
      <c r="BO389" s="2746"/>
      <c r="BP389" s="2746"/>
      <c r="BQ389" s="2746"/>
      <c r="BR389" s="2746"/>
      <c r="BS389" s="2746"/>
      <c r="BT389" s="2746"/>
      <c r="BU389" s="2746"/>
      <c r="BV389" s="2746"/>
      <c r="BW389" s="2746"/>
      <c r="BX389" s="2746"/>
      <c r="BY389" s="2746"/>
      <c r="BZ389" s="2746"/>
      <c r="CA389" s="2746"/>
      <c r="CB389" s="2746"/>
      <c r="CC389" s="2746"/>
      <c r="CD389" s="2746"/>
      <c r="CE389" s="2746"/>
      <c r="CF389" s="2746"/>
      <c r="CG389" s="2746"/>
      <c r="CH389" s="2746"/>
      <c r="CI389" s="2746"/>
      <c r="CJ389" s="2746"/>
      <c r="CK389" s="2746"/>
      <c r="CL389" s="2746"/>
      <c r="CM389" s="2746"/>
      <c r="CN389" s="2746"/>
    </row>
    <row r="390" spans="1:92" x14ac:dyDescent="0.2">
      <c r="A390" s="2746"/>
      <c r="B390" s="2746"/>
      <c r="C390" s="2746"/>
      <c r="D390" s="2746"/>
      <c r="E390" s="2746"/>
      <c r="F390" s="2746"/>
      <c r="G390" s="2746"/>
      <c r="H390" s="2746"/>
      <c r="I390" s="2746"/>
      <c r="J390" s="2746"/>
      <c r="K390" s="2746"/>
      <c r="L390" s="2746"/>
      <c r="M390" s="2746"/>
      <c r="N390" s="2746"/>
      <c r="O390" s="2746"/>
      <c r="P390" s="2746"/>
      <c r="Q390" s="2746"/>
      <c r="R390" s="2746"/>
      <c r="S390" s="2746"/>
      <c r="T390" s="2746"/>
      <c r="U390" s="2746"/>
      <c r="V390" s="2746"/>
      <c r="W390" s="2746"/>
      <c r="X390" s="2746"/>
      <c r="Y390" s="2746"/>
      <c r="Z390" s="2746"/>
      <c r="AA390" s="2746"/>
      <c r="AB390" s="2746"/>
      <c r="AC390" s="2746"/>
      <c r="AD390" s="2746"/>
      <c r="AE390" s="2746"/>
      <c r="AF390" s="2746"/>
      <c r="AG390" s="2746"/>
      <c r="AH390" s="2746"/>
      <c r="AI390" s="2746"/>
      <c r="AJ390" s="2746"/>
      <c r="AK390" s="2746"/>
      <c r="AL390" s="2746"/>
      <c r="AM390" s="2746"/>
      <c r="AN390" s="2746"/>
      <c r="AO390" s="2746"/>
      <c r="AP390" s="2746"/>
      <c r="AQ390" s="2746"/>
      <c r="AR390" s="2746"/>
      <c r="AS390" s="2746"/>
      <c r="AT390" s="2746"/>
      <c r="AU390" s="2746"/>
      <c r="AV390" s="2746"/>
      <c r="AW390" s="2746"/>
      <c r="AX390" s="2746"/>
      <c r="AY390" s="2746"/>
      <c r="AZ390" s="2746"/>
      <c r="BA390" s="2746"/>
      <c r="BB390" s="2746"/>
      <c r="BC390" s="2746"/>
      <c r="BD390" s="2746"/>
      <c r="BE390" s="2746"/>
      <c r="BF390" s="2746"/>
      <c r="BG390" s="2746"/>
      <c r="BH390" s="2746"/>
      <c r="BI390" s="2746"/>
      <c r="BJ390" s="2746"/>
      <c r="BK390" s="2746"/>
      <c r="BL390" s="2746"/>
      <c r="BM390" s="2746"/>
      <c r="BN390" s="2746"/>
      <c r="BO390" s="2746"/>
      <c r="BP390" s="2746"/>
      <c r="BQ390" s="2746"/>
      <c r="BR390" s="2746"/>
      <c r="BS390" s="2746"/>
      <c r="BT390" s="2746"/>
      <c r="BU390" s="2746"/>
      <c r="BV390" s="2746"/>
      <c r="BW390" s="2746"/>
      <c r="BX390" s="2746"/>
      <c r="BY390" s="2746"/>
      <c r="BZ390" s="2746"/>
      <c r="CA390" s="2746"/>
      <c r="CB390" s="2746"/>
      <c r="CC390" s="2746"/>
      <c r="CD390" s="2746"/>
      <c r="CE390" s="2746"/>
      <c r="CF390" s="2746"/>
      <c r="CG390" s="2746"/>
      <c r="CH390" s="2746"/>
      <c r="CI390" s="2746"/>
      <c r="CJ390" s="2746"/>
      <c r="CK390" s="2746"/>
      <c r="CL390" s="2746"/>
      <c r="CM390" s="2746"/>
      <c r="CN390" s="2746"/>
    </row>
    <row r="391" spans="1:92" x14ac:dyDescent="0.2">
      <c r="A391" s="2746"/>
      <c r="B391" s="2746"/>
      <c r="C391" s="2746"/>
      <c r="D391" s="2746"/>
      <c r="E391" s="2746"/>
      <c r="F391" s="2746"/>
      <c r="G391" s="2746"/>
      <c r="H391" s="2746"/>
      <c r="I391" s="2746"/>
      <c r="J391" s="2746"/>
      <c r="K391" s="2746"/>
      <c r="L391" s="2746"/>
      <c r="M391" s="2746"/>
      <c r="N391" s="2746"/>
      <c r="O391" s="2746"/>
      <c r="P391" s="2746"/>
      <c r="Q391" s="2746"/>
      <c r="R391" s="2746"/>
      <c r="S391" s="2746"/>
      <c r="T391" s="2746"/>
      <c r="U391" s="2746"/>
      <c r="V391" s="2746"/>
      <c r="W391" s="2746"/>
      <c r="X391" s="2746"/>
      <c r="Y391" s="2746"/>
      <c r="Z391" s="2746"/>
      <c r="AA391" s="2746"/>
      <c r="AB391" s="2746"/>
      <c r="AC391" s="2746"/>
      <c r="AD391" s="2746"/>
      <c r="AE391" s="2746"/>
      <c r="AF391" s="2746"/>
      <c r="AG391" s="2746"/>
      <c r="AH391" s="2746"/>
      <c r="AI391" s="2746"/>
      <c r="AJ391" s="2746"/>
      <c r="AK391" s="2746"/>
      <c r="AL391" s="2746"/>
      <c r="AM391" s="2746"/>
      <c r="AN391" s="2746"/>
      <c r="AO391" s="2746"/>
      <c r="AP391" s="2746"/>
      <c r="AQ391" s="2746"/>
      <c r="AR391" s="2746"/>
      <c r="AS391" s="2746"/>
      <c r="AT391" s="2746"/>
      <c r="AU391" s="2746"/>
      <c r="AV391" s="2746"/>
      <c r="AW391" s="2746"/>
      <c r="AX391" s="2746"/>
      <c r="AY391" s="2746"/>
      <c r="AZ391" s="2746"/>
      <c r="BA391" s="2746"/>
      <c r="BB391" s="2746"/>
      <c r="BC391" s="2746"/>
      <c r="BD391" s="2746"/>
      <c r="BE391" s="2746"/>
      <c r="BF391" s="2746"/>
      <c r="BG391" s="2746"/>
      <c r="BH391" s="2746"/>
      <c r="BI391" s="2746"/>
      <c r="BJ391" s="2746"/>
      <c r="BK391" s="2746"/>
      <c r="BL391" s="2746"/>
      <c r="BM391" s="2746"/>
      <c r="BN391" s="2746"/>
      <c r="BO391" s="2746"/>
      <c r="BP391" s="2746"/>
      <c r="BQ391" s="2746"/>
      <c r="BR391" s="2746"/>
      <c r="BS391" s="2746"/>
      <c r="BT391" s="2746"/>
      <c r="BU391" s="2746"/>
      <c r="BV391" s="2746"/>
      <c r="BW391" s="2746"/>
      <c r="BX391" s="2746"/>
      <c r="BY391" s="2746"/>
      <c r="BZ391" s="2746"/>
      <c r="CA391" s="2746"/>
      <c r="CB391" s="2746"/>
      <c r="CC391" s="2746"/>
      <c r="CD391" s="2746"/>
      <c r="CE391" s="2746"/>
      <c r="CF391" s="2746"/>
      <c r="CG391" s="2746"/>
      <c r="CH391" s="2746"/>
      <c r="CI391" s="2746"/>
      <c r="CJ391" s="2746"/>
      <c r="CK391" s="2746"/>
      <c r="CL391" s="2746"/>
      <c r="CM391" s="2746"/>
      <c r="CN391" s="2746"/>
    </row>
    <row r="392" spans="1:92" x14ac:dyDescent="0.2">
      <c r="A392" s="2746"/>
      <c r="B392" s="2746"/>
      <c r="C392" s="2746"/>
      <c r="D392" s="2746"/>
      <c r="E392" s="2746"/>
      <c r="F392" s="2746"/>
      <c r="G392" s="2746"/>
      <c r="H392" s="2746"/>
      <c r="I392" s="2746"/>
      <c r="J392" s="2746"/>
      <c r="K392" s="2746"/>
      <c r="L392" s="2746"/>
      <c r="M392" s="2746"/>
      <c r="N392" s="2746"/>
      <c r="O392" s="2746"/>
      <c r="P392" s="2746"/>
      <c r="Q392" s="2746"/>
      <c r="R392" s="2746"/>
      <c r="S392" s="2746"/>
      <c r="T392" s="2746"/>
      <c r="U392" s="2746"/>
      <c r="V392" s="2746"/>
      <c r="W392" s="2746"/>
      <c r="X392" s="2746"/>
      <c r="Y392" s="2746"/>
      <c r="Z392" s="2746"/>
      <c r="AA392" s="2746"/>
      <c r="AB392" s="2746"/>
      <c r="AC392" s="2746"/>
      <c r="AD392" s="2746"/>
      <c r="AE392" s="2746"/>
      <c r="AF392" s="2746"/>
      <c r="AG392" s="2746"/>
      <c r="AH392" s="2746"/>
      <c r="AI392" s="2746"/>
      <c r="AJ392" s="2746"/>
      <c r="AK392" s="2746"/>
      <c r="AL392" s="2746"/>
      <c r="AM392" s="2746"/>
      <c r="AN392" s="2746"/>
      <c r="AO392" s="2746"/>
      <c r="AP392" s="2746"/>
      <c r="AQ392" s="2746"/>
      <c r="AR392" s="2746"/>
      <c r="AS392" s="2746"/>
      <c r="AT392" s="2746"/>
      <c r="AU392" s="2746"/>
      <c r="AV392" s="2746"/>
      <c r="AW392" s="2746"/>
      <c r="AX392" s="2746"/>
      <c r="AY392" s="2746"/>
      <c r="AZ392" s="2746"/>
      <c r="BA392" s="2746"/>
      <c r="BB392" s="2746"/>
      <c r="BC392" s="2746"/>
      <c r="BD392" s="2746"/>
      <c r="BE392" s="2746"/>
      <c r="BF392" s="2746"/>
      <c r="BG392" s="2746"/>
      <c r="BH392" s="2746"/>
      <c r="BI392" s="2746"/>
      <c r="BJ392" s="2746"/>
      <c r="BK392" s="2746"/>
      <c r="BL392" s="2746"/>
      <c r="BM392" s="2746"/>
      <c r="BN392" s="2746"/>
      <c r="BO392" s="2746"/>
      <c r="BP392" s="2746"/>
      <c r="BQ392" s="2746"/>
      <c r="BR392" s="2746"/>
      <c r="BS392" s="2746"/>
      <c r="BT392" s="2746"/>
      <c r="BU392" s="2746"/>
      <c r="BV392" s="2746"/>
      <c r="BW392" s="2746"/>
      <c r="BX392" s="2746"/>
      <c r="BY392" s="2746"/>
      <c r="BZ392" s="2746"/>
      <c r="CA392" s="2746"/>
      <c r="CB392" s="2746"/>
      <c r="CC392" s="2746"/>
      <c r="CD392" s="2746"/>
      <c r="CE392" s="2746"/>
      <c r="CF392" s="2746"/>
      <c r="CG392" s="2746"/>
      <c r="CH392" s="2746"/>
      <c r="CI392" s="2746"/>
      <c r="CJ392" s="2746"/>
      <c r="CK392" s="2746"/>
      <c r="CL392" s="2746"/>
      <c r="CM392" s="2746"/>
      <c r="CN392" s="2746"/>
    </row>
    <row r="393" spans="1:92" x14ac:dyDescent="0.2">
      <c r="A393" s="2746"/>
      <c r="B393" s="2746"/>
      <c r="C393" s="2746"/>
      <c r="D393" s="2746"/>
      <c r="E393" s="2746"/>
      <c r="F393" s="2746"/>
      <c r="G393" s="2746"/>
      <c r="H393" s="2746"/>
      <c r="I393" s="2746"/>
      <c r="J393" s="2746"/>
      <c r="K393" s="2746"/>
      <c r="L393" s="2746"/>
      <c r="M393" s="2746"/>
      <c r="N393" s="2746"/>
      <c r="O393" s="2746"/>
      <c r="P393" s="2746"/>
      <c r="Q393" s="2746"/>
      <c r="R393" s="2746"/>
      <c r="S393" s="2746"/>
      <c r="T393" s="2746"/>
      <c r="U393" s="2746"/>
      <c r="V393" s="2746"/>
      <c r="W393" s="2746"/>
      <c r="X393" s="2746"/>
      <c r="Y393" s="2746"/>
      <c r="Z393" s="2746"/>
      <c r="AA393" s="2746"/>
      <c r="AB393" s="2746"/>
      <c r="AC393" s="2746"/>
      <c r="AD393" s="2746"/>
      <c r="AE393" s="2746"/>
      <c r="AF393" s="2746"/>
      <c r="AG393" s="2746"/>
      <c r="AH393" s="2746"/>
      <c r="AI393" s="2746"/>
      <c r="AJ393" s="2746"/>
      <c r="AK393" s="2746"/>
      <c r="AL393" s="2746"/>
      <c r="AM393" s="2746"/>
      <c r="AN393" s="2746"/>
      <c r="AO393" s="2746"/>
      <c r="AP393" s="2746"/>
      <c r="AQ393" s="2746"/>
      <c r="AR393" s="2746"/>
      <c r="AS393" s="2746"/>
      <c r="AT393" s="2746"/>
      <c r="AU393" s="2746"/>
      <c r="AV393" s="2746"/>
      <c r="AW393" s="2746"/>
      <c r="AX393" s="2746"/>
      <c r="AY393" s="2746"/>
      <c r="AZ393" s="2746"/>
      <c r="BA393" s="2746"/>
      <c r="BB393" s="2746"/>
      <c r="BC393" s="2746"/>
      <c r="BD393" s="2746"/>
      <c r="BE393" s="2746"/>
      <c r="BF393" s="2746"/>
      <c r="BG393" s="2746"/>
      <c r="BH393" s="2746"/>
      <c r="BI393" s="2746"/>
      <c r="BJ393" s="2746"/>
      <c r="BK393" s="2746"/>
      <c r="BL393" s="2746"/>
      <c r="BM393" s="2746"/>
      <c r="BN393" s="2746"/>
      <c r="BO393" s="2746"/>
      <c r="BP393" s="2746"/>
      <c r="BQ393" s="2746"/>
      <c r="BR393" s="2746"/>
      <c r="BS393" s="2746"/>
      <c r="BT393" s="2746"/>
      <c r="BU393" s="2746"/>
      <c r="BV393" s="2746"/>
      <c r="BW393" s="2746"/>
      <c r="BX393" s="2746"/>
      <c r="BY393" s="2746"/>
      <c r="BZ393" s="2746"/>
      <c r="CA393" s="2746"/>
      <c r="CB393" s="2746"/>
      <c r="CC393" s="2746"/>
      <c r="CD393" s="2746"/>
      <c r="CE393" s="2746"/>
      <c r="CF393" s="2746"/>
      <c r="CG393" s="2746"/>
      <c r="CH393" s="2746"/>
      <c r="CI393" s="2746"/>
      <c r="CJ393" s="2746"/>
      <c r="CK393" s="2746"/>
      <c r="CL393" s="2746"/>
      <c r="CM393" s="2746"/>
      <c r="CN393" s="2746"/>
    </row>
    <row r="394" spans="1:92" x14ac:dyDescent="0.2">
      <c r="A394" s="2746"/>
      <c r="B394" s="2746"/>
      <c r="C394" s="2746"/>
      <c r="D394" s="2746"/>
      <c r="E394" s="2746"/>
      <c r="F394" s="2746"/>
      <c r="G394" s="2746"/>
      <c r="H394" s="2746"/>
      <c r="I394" s="2746"/>
      <c r="J394" s="2746"/>
      <c r="K394" s="2746"/>
      <c r="L394" s="2746"/>
      <c r="M394" s="2746"/>
      <c r="N394" s="2746"/>
      <c r="O394" s="2746"/>
      <c r="P394" s="2746"/>
      <c r="Q394" s="2746"/>
      <c r="R394" s="2746"/>
      <c r="S394" s="2746"/>
      <c r="T394" s="2746"/>
      <c r="U394" s="2746"/>
      <c r="V394" s="2746"/>
      <c r="W394" s="2746"/>
      <c r="X394" s="2746"/>
      <c r="Y394" s="2746"/>
      <c r="Z394" s="2746"/>
      <c r="AA394" s="2746"/>
      <c r="AB394" s="2746"/>
      <c r="AC394" s="2746"/>
      <c r="AD394" s="2746"/>
      <c r="AE394" s="2746"/>
      <c r="AF394" s="2746"/>
      <c r="AG394" s="2746"/>
      <c r="AH394" s="2746"/>
      <c r="AI394" s="2746"/>
      <c r="AJ394" s="2746"/>
      <c r="AK394" s="2746"/>
      <c r="AL394" s="2746"/>
      <c r="AM394" s="2746"/>
      <c r="AN394" s="2746"/>
      <c r="AO394" s="2746"/>
      <c r="AP394" s="2746"/>
      <c r="AQ394" s="2746"/>
      <c r="AR394" s="2746"/>
      <c r="AS394" s="2746"/>
      <c r="AT394" s="2746"/>
      <c r="AU394" s="2746"/>
      <c r="AV394" s="2746"/>
      <c r="AW394" s="2746"/>
      <c r="AX394" s="2746"/>
      <c r="AY394" s="2746"/>
      <c r="AZ394" s="2746"/>
      <c r="BA394" s="2746"/>
      <c r="BB394" s="2746"/>
      <c r="BC394" s="2746"/>
      <c r="BD394" s="2746"/>
      <c r="BE394" s="2746"/>
      <c r="BF394" s="2746"/>
      <c r="BG394" s="2746"/>
      <c r="BH394" s="2746"/>
      <c r="BI394" s="2746"/>
      <c r="BJ394" s="2746"/>
      <c r="BK394" s="2746"/>
      <c r="BL394" s="2746"/>
      <c r="BM394" s="2746"/>
      <c r="BN394" s="2746"/>
      <c r="BO394" s="2746"/>
      <c r="BP394" s="2746"/>
      <c r="BQ394" s="2746"/>
      <c r="BR394" s="2746"/>
      <c r="BS394" s="2746"/>
      <c r="BT394" s="2746"/>
      <c r="BU394" s="2746"/>
      <c r="BV394" s="2746"/>
      <c r="BW394" s="2746"/>
      <c r="BX394" s="2746"/>
      <c r="BY394" s="2746"/>
      <c r="BZ394" s="2746"/>
      <c r="CA394" s="2746"/>
      <c r="CB394" s="2746"/>
      <c r="CC394" s="2746"/>
      <c r="CD394" s="2746"/>
      <c r="CE394" s="2746"/>
      <c r="CF394" s="2746"/>
      <c r="CG394" s="2746"/>
      <c r="CH394" s="2746"/>
      <c r="CI394" s="2746"/>
      <c r="CJ394" s="2746"/>
      <c r="CK394" s="2746"/>
      <c r="CL394" s="2746"/>
      <c r="CM394" s="2746"/>
      <c r="CN394" s="2746"/>
    </row>
    <row r="395" spans="1:92" x14ac:dyDescent="0.2">
      <c r="A395" s="2746"/>
      <c r="B395" s="2746"/>
      <c r="C395" s="2746"/>
      <c r="D395" s="2746"/>
      <c r="E395" s="2746"/>
      <c r="F395" s="2746"/>
      <c r="G395" s="2746"/>
      <c r="H395" s="2746"/>
      <c r="I395" s="2746"/>
      <c r="J395" s="2746"/>
      <c r="K395" s="2746"/>
      <c r="L395" s="2746"/>
      <c r="M395" s="2746"/>
      <c r="N395" s="2746"/>
      <c r="O395" s="2746"/>
      <c r="P395" s="2746"/>
      <c r="Q395" s="2746"/>
      <c r="R395" s="2746"/>
      <c r="S395" s="2746"/>
      <c r="T395" s="2746"/>
      <c r="U395" s="2746"/>
      <c r="V395" s="2746"/>
      <c r="W395" s="2746"/>
      <c r="X395" s="2746"/>
      <c r="Y395" s="2746"/>
      <c r="Z395" s="2746"/>
      <c r="AA395" s="2746"/>
      <c r="AB395" s="2746"/>
      <c r="AC395" s="2746"/>
      <c r="AD395" s="2746"/>
      <c r="AE395" s="2746"/>
      <c r="AF395" s="2746"/>
      <c r="AG395" s="2746"/>
      <c r="AH395" s="2746"/>
      <c r="AI395" s="2746"/>
      <c r="AJ395" s="2746"/>
      <c r="AK395" s="2746"/>
      <c r="AL395" s="2746"/>
      <c r="AM395" s="2746"/>
      <c r="AN395" s="2746"/>
      <c r="AO395" s="2746"/>
      <c r="AP395" s="2746"/>
      <c r="AQ395" s="2746"/>
      <c r="AR395" s="2746"/>
      <c r="AS395" s="2746"/>
      <c r="AT395" s="2746"/>
      <c r="AU395" s="2746"/>
      <c r="AV395" s="2746"/>
      <c r="AW395" s="2746"/>
      <c r="AX395" s="2746"/>
      <c r="AY395" s="2746"/>
      <c r="AZ395" s="2746"/>
      <c r="BA395" s="2746"/>
      <c r="BB395" s="2746"/>
      <c r="BC395" s="2746"/>
      <c r="BD395" s="2746"/>
      <c r="BE395" s="2746"/>
      <c r="BF395" s="2746"/>
      <c r="BG395" s="2746"/>
      <c r="BH395" s="2746"/>
      <c r="BI395" s="2746"/>
      <c r="BJ395" s="2746"/>
      <c r="BK395" s="2746"/>
      <c r="BL395" s="2746"/>
      <c r="BM395" s="2746"/>
      <c r="BN395" s="2746"/>
      <c r="BO395" s="2746"/>
      <c r="BP395" s="2746"/>
      <c r="BQ395" s="2746"/>
      <c r="BR395" s="2746"/>
      <c r="BS395" s="2746"/>
      <c r="BT395" s="2746"/>
      <c r="BU395" s="2746"/>
      <c r="BV395" s="2746"/>
      <c r="BW395" s="2746"/>
      <c r="BX395" s="2746"/>
      <c r="BY395" s="2746"/>
      <c r="BZ395" s="2746"/>
      <c r="CA395" s="2746"/>
      <c r="CB395" s="2746"/>
      <c r="CC395" s="2746"/>
      <c r="CD395" s="2746"/>
      <c r="CE395" s="2746"/>
      <c r="CF395" s="2746"/>
      <c r="CG395" s="2746"/>
      <c r="CH395" s="2746"/>
      <c r="CI395" s="2746"/>
      <c r="CJ395" s="2746"/>
      <c r="CK395" s="2746"/>
      <c r="CL395" s="2746"/>
      <c r="CM395" s="2746"/>
      <c r="CN395" s="2746"/>
    </row>
    <row r="396" spans="1:92" x14ac:dyDescent="0.2">
      <c r="A396" s="2746"/>
      <c r="B396" s="2746"/>
      <c r="C396" s="2746"/>
      <c r="D396" s="2746"/>
      <c r="E396" s="2746"/>
      <c r="F396" s="2746"/>
      <c r="G396" s="2746"/>
      <c r="H396" s="2746"/>
      <c r="I396" s="2746"/>
      <c r="J396" s="2746"/>
      <c r="K396" s="2746"/>
      <c r="L396" s="2746"/>
      <c r="M396" s="2746"/>
      <c r="N396" s="2746"/>
      <c r="O396" s="2746"/>
      <c r="P396" s="2746"/>
      <c r="Q396" s="2746"/>
      <c r="R396" s="2746"/>
      <c r="S396" s="2746"/>
      <c r="T396" s="2746"/>
      <c r="U396" s="2746"/>
      <c r="V396" s="2746"/>
      <c r="W396" s="2746"/>
      <c r="X396" s="2746"/>
      <c r="Y396" s="2746"/>
      <c r="Z396" s="2746"/>
      <c r="AA396" s="2746"/>
      <c r="AB396" s="2746"/>
      <c r="AC396" s="2746"/>
      <c r="AD396" s="2746"/>
      <c r="AE396" s="2746"/>
      <c r="AF396" s="2746"/>
      <c r="AG396" s="2746"/>
      <c r="AH396" s="2746"/>
      <c r="AI396" s="2746"/>
      <c r="AJ396" s="2746"/>
      <c r="AK396" s="2746"/>
      <c r="AL396" s="2746"/>
      <c r="AM396" s="2746"/>
      <c r="AN396" s="2746"/>
      <c r="AO396" s="2746"/>
      <c r="AP396" s="2746"/>
      <c r="AQ396" s="2746"/>
      <c r="AR396" s="2746"/>
      <c r="AS396" s="2746"/>
      <c r="AT396" s="2746"/>
      <c r="AU396" s="2746"/>
      <c r="AV396" s="2746"/>
      <c r="AW396" s="2746"/>
      <c r="AX396" s="2746"/>
      <c r="AY396" s="2746"/>
      <c r="AZ396" s="2746"/>
      <c r="BA396" s="2746"/>
      <c r="BB396" s="2746"/>
      <c r="BC396" s="2746"/>
      <c r="BD396" s="2746"/>
      <c r="BE396" s="2746"/>
      <c r="BF396" s="2746"/>
      <c r="BG396" s="2746"/>
      <c r="BH396" s="2746"/>
      <c r="BI396" s="2746"/>
      <c r="BJ396" s="2746"/>
      <c r="BK396" s="2746"/>
      <c r="BL396" s="2746"/>
      <c r="BM396" s="2746"/>
      <c r="BN396" s="2746"/>
      <c r="BO396" s="2746"/>
      <c r="BP396" s="2746"/>
      <c r="BQ396" s="2746"/>
      <c r="BR396" s="2746"/>
      <c r="BS396" s="2746"/>
      <c r="BT396" s="2746"/>
      <c r="BU396" s="2746"/>
      <c r="BV396" s="2746"/>
      <c r="BW396" s="2746"/>
      <c r="BX396" s="2746"/>
      <c r="BY396" s="2746"/>
      <c r="BZ396" s="2746"/>
      <c r="CA396" s="2746"/>
      <c r="CB396" s="2746"/>
      <c r="CC396" s="2746"/>
      <c r="CD396" s="2746"/>
      <c r="CE396" s="2746"/>
      <c r="CF396" s="2746"/>
      <c r="CG396" s="2746"/>
      <c r="CH396" s="2746"/>
      <c r="CI396" s="2746"/>
      <c r="CJ396" s="2746"/>
      <c r="CK396" s="2746"/>
      <c r="CL396" s="2746"/>
      <c r="CM396" s="2746"/>
      <c r="CN396" s="2746"/>
    </row>
    <row r="397" spans="1:92" x14ac:dyDescent="0.2">
      <c r="A397" s="2746"/>
      <c r="B397" s="2746"/>
      <c r="C397" s="2746"/>
      <c r="D397" s="2746"/>
      <c r="E397" s="2746"/>
      <c r="F397" s="2746"/>
      <c r="G397" s="2746"/>
      <c r="H397" s="2746"/>
      <c r="I397" s="2746"/>
      <c r="J397" s="2746"/>
      <c r="K397" s="2746"/>
      <c r="L397" s="2746"/>
      <c r="M397" s="2746"/>
      <c r="N397" s="2746"/>
      <c r="O397" s="2746"/>
      <c r="P397" s="2746"/>
      <c r="Q397" s="2746"/>
      <c r="R397" s="2746"/>
      <c r="S397" s="2746"/>
      <c r="T397" s="2746"/>
      <c r="U397" s="2746"/>
      <c r="V397" s="2746"/>
      <c r="W397" s="2746"/>
      <c r="X397" s="2746"/>
      <c r="Y397" s="2746"/>
      <c r="Z397" s="2746"/>
      <c r="AA397" s="2746"/>
      <c r="AB397" s="2746"/>
      <c r="AC397" s="2746"/>
      <c r="AD397" s="2746"/>
      <c r="AE397" s="2746"/>
      <c r="AF397" s="2746"/>
      <c r="AG397" s="2746"/>
      <c r="AH397" s="2746"/>
      <c r="AI397" s="2746"/>
      <c r="AJ397" s="2746"/>
      <c r="AK397" s="2746"/>
      <c r="AL397" s="2746"/>
      <c r="AM397" s="2746"/>
      <c r="AN397" s="2746"/>
      <c r="AO397" s="2746"/>
      <c r="AP397" s="2746"/>
      <c r="AQ397" s="2746"/>
      <c r="AR397" s="2746"/>
      <c r="AS397" s="2746"/>
      <c r="AT397" s="2746"/>
      <c r="AU397" s="2746"/>
      <c r="AV397" s="2746"/>
      <c r="AW397" s="2746"/>
      <c r="AX397" s="2746"/>
      <c r="AY397" s="2746"/>
      <c r="AZ397" s="2746"/>
      <c r="BA397" s="2746"/>
      <c r="BB397" s="2746"/>
      <c r="BC397" s="2746"/>
      <c r="BD397" s="2746"/>
      <c r="BE397" s="2746"/>
      <c r="BF397" s="2746"/>
      <c r="BG397" s="2746"/>
      <c r="BH397" s="2746"/>
      <c r="BI397" s="2746"/>
      <c r="BJ397" s="2746"/>
      <c r="BK397" s="2746"/>
      <c r="BL397" s="2746"/>
      <c r="BM397" s="2746"/>
      <c r="BN397" s="2746"/>
      <c r="BO397" s="2746"/>
      <c r="BP397" s="2746"/>
      <c r="BQ397" s="2746"/>
      <c r="BR397" s="2746"/>
      <c r="BS397" s="2746"/>
      <c r="BT397" s="2746"/>
      <c r="BU397" s="2746"/>
      <c r="BV397" s="2746"/>
      <c r="BW397" s="2746"/>
      <c r="BX397" s="2746"/>
      <c r="BY397" s="2746"/>
      <c r="BZ397" s="2746"/>
      <c r="CA397" s="2746"/>
      <c r="CB397" s="2746"/>
      <c r="CC397" s="2746"/>
      <c r="CD397" s="2746"/>
      <c r="CE397" s="2746"/>
      <c r="CF397" s="2746"/>
      <c r="CG397" s="2746"/>
      <c r="CH397" s="2746"/>
      <c r="CI397" s="2746"/>
      <c r="CJ397" s="2746"/>
      <c r="CK397" s="2746"/>
      <c r="CL397" s="2746"/>
      <c r="CM397" s="2746"/>
      <c r="CN397" s="2746"/>
    </row>
    <row r="398" spans="1:92" x14ac:dyDescent="0.2">
      <c r="A398" s="2746"/>
      <c r="B398" s="2746"/>
      <c r="C398" s="2746"/>
      <c r="D398" s="2746"/>
      <c r="E398" s="2746"/>
      <c r="F398" s="2746"/>
      <c r="G398" s="2746"/>
      <c r="H398" s="2746"/>
      <c r="I398" s="2746"/>
      <c r="J398" s="2746"/>
      <c r="K398" s="2746"/>
      <c r="L398" s="2746"/>
      <c r="M398" s="2746"/>
      <c r="N398" s="2746"/>
      <c r="O398" s="2746"/>
      <c r="P398" s="2746"/>
      <c r="Q398" s="2746"/>
      <c r="R398" s="2746"/>
      <c r="S398" s="2746"/>
      <c r="T398" s="2746"/>
      <c r="U398" s="2746"/>
      <c r="V398" s="2746"/>
      <c r="W398" s="2746"/>
      <c r="X398" s="2746"/>
      <c r="Y398" s="2746"/>
      <c r="Z398" s="2746"/>
      <c r="AA398" s="2746"/>
      <c r="AB398" s="2746"/>
      <c r="AC398" s="2746"/>
      <c r="AD398" s="2746"/>
      <c r="AE398" s="2746"/>
      <c r="AF398" s="2746"/>
      <c r="AG398" s="2746"/>
      <c r="AH398" s="2746"/>
      <c r="AI398" s="2746"/>
      <c r="AJ398" s="2746"/>
      <c r="AK398" s="2746"/>
      <c r="AL398" s="2746"/>
      <c r="AM398" s="2746"/>
      <c r="AN398" s="2746"/>
      <c r="AO398" s="2746"/>
      <c r="AP398" s="2746"/>
      <c r="AQ398" s="2746"/>
      <c r="AR398" s="2746"/>
      <c r="AS398" s="2746"/>
      <c r="AT398" s="2746"/>
      <c r="AU398" s="2746"/>
      <c r="AV398" s="2746"/>
      <c r="AW398" s="2746"/>
      <c r="AX398" s="2746"/>
      <c r="AY398" s="2746"/>
      <c r="AZ398" s="2746"/>
      <c r="BA398" s="2746"/>
      <c r="BB398" s="2746"/>
      <c r="BC398" s="2746"/>
      <c r="BD398" s="2746"/>
      <c r="BE398" s="2746"/>
      <c r="BF398" s="2746"/>
      <c r="BG398" s="2746"/>
      <c r="BH398" s="2746"/>
      <c r="BI398" s="2746"/>
      <c r="BJ398" s="2746"/>
      <c r="BK398" s="2746"/>
      <c r="BL398" s="2746"/>
      <c r="BM398" s="2746"/>
      <c r="BN398" s="2746"/>
      <c r="BO398" s="2746"/>
      <c r="BP398" s="2746"/>
      <c r="BQ398" s="2746"/>
      <c r="BR398" s="2746"/>
      <c r="BS398" s="2746"/>
      <c r="BT398" s="2746"/>
      <c r="BU398" s="2746"/>
      <c r="BV398" s="2746"/>
      <c r="BW398" s="2746"/>
      <c r="BX398" s="2746"/>
      <c r="BY398" s="2746"/>
      <c r="BZ398" s="2746"/>
      <c r="CA398" s="2746"/>
      <c r="CB398" s="2746"/>
      <c r="CC398" s="2746"/>
      <c r="CD398" s="2746"/>
      <c r="CE398" s="2746"/>
      <c r="CF398" s="2746"/>
      <c r="CG398" s="2746"/>
      <c r="CH398" s="2746"/>
      <c r="CI398" s="2746"/>
      <c r="CJ398" s="2746"/>
      <c r="CK398" s="2746"/>
      <c r="CL398" s="2746"/>
      <c r="CM398" s="2746"/>
      <c r="CN398" s="2746"/>
    </row>
    <row r="399" spans="1:92" x14ac:dyDescent="0.2">
      <c r="A399" s="2746"/>
      <c r="B399" s="2746"/>
      <c r="C399" s="2746"/>
      <c r="D399" s="2746"/>
      <c r="E399" s="2746"/>
      <c r="F399" s="2746"/>
      <c r="G399" s="2746"/>
      <c r="H399" s="2746"/>
      <c r="I399" s="2746"/>
      <c r="J399" s="2746"/>
      <c r="K399" s="2746"/>
      <c r="L399" s="2746"/>
      <c r="M399" s="2746"/>
      <c r="N399" s="2746"/>
      <c r="O399" s="2746"/>
      <c r="P399" s="2746"/>
      <c r="Q399" s="2746"/>
      <c r="R399" s="2746"/>
      <c r="S399" s="2746"/>
      <c r="T399" s="2746"/>
      <c r="U399" s="2746"/>
      <c r="V399" s="2746"/>
      <c r="W399" s="2746"/>
      <c r="X399" s="2746"/>
      <c r="Y399" s="2746"/>
      <c r="Z399" s="2746"/>
      <c r="AA399" s="2746"/>
      <c r="AB399" s="2746"/>
      <c r="AC399" s="2746"/>
      <c r="AD399" s="2746"/>
      <c r="AE399" s="2746"/>
      <c r="AF399" s="2746"/>
      <c r="AG399" s="2746"/>
      <c r="AH399" s="2746"/>
      <c r="AI399" s="2746"/>
      <c r="AJ399" s="2746"/>
      <c r="AK399" s="2746"/>
      <c r="AL399" s="2746"/>
      <c r="AM399" s="2746"/>
      <c r="AN399" s="2746"/>
      <c r="AO399" s="2746"/>
      <c r="AP399" s="2746"/>
      <c r="AQ399" s="2746"/>
      <c r="AR399" s="2746"/>
      <c r="AS399" s="2746"/>
      <c r="AT399" s="2746"/>
      <c r="AU399" s="2746"/>
      <c r="AV399" s="2746"/>
      <c r="AW399" s="2746"/>
      <c r="AX399" s="2746"/>
      <c r="AY399" s="2746"/>
      <c r="AZ399" s="2746"/>
      <c r="BA399" s="2746"/>
      <c r="BB399" s="2746"/>
      <c r="BC399" s="2746"/>
      <c r="BD399" s="2746"/>
      <c r="BE399" s="2746"/>
      <c r="BF399" s="2746"/>
      <c r="BG399" s="2746"/>
      <c r="BH399" s="2746"/>
      <c r="BI399" s="2746"/>
      <c r="BJ399" s="2746"/>
      <c r="BK399" s="2746"/>
      <c r="BL399" s="2746"/>
      <c r="BM399" s="2746"/>
      <c r="BN399" s="2746"/>
      <c r="BO399" s="2746"/>
      <c r="BP399" s="2746"/>
      <c r="BQ399" s="2746"/>
      <c r="BR399" s="2746"/>
      <c r="BS399" s="2746"/>
      <c r="BT399" s="2746"/>
      <c r="BU399" s="2746"/>
      <c r="BV399" s="2746"/>
      <c r="BW399" s="2746"/>
      <c r="BX399" s="2746"/>
      <c r="BY399" s="2746"/>
      <c r="BZ399" s="2746"/>
      <c r="CA399" s="2746"/>
      <c r="CB399" s="2746"/>
      <c r="CC399" s="2746"/>
      <c r="CD399" s="2746"/>
      <c r="CE399" s="2746"/>
      <c r="CF399" s="2746"/>
      <c r="CG399" s="2746"/>
      <c r="CH399" s="2746"/>
      <c r="CI399" s="2746"/>
      <c r="CJ399" s="2746"/>
      <c r="CK399" s="2746"/>
      <c r="CL399" s="2746"/>
      <c r="CM399" s="2746"/>
      <c r="CN399" s="2746"/>
    </row>
    <row r="400" spans="1:92" x14ac:dyDescent="0.2">
      <c r="A400" s="2746"/>
      <c r="B400" s="2746"/>
      <c r="C400" s="2746"/>
      <c r="D400" s="2746"/>
      <c r="E400" s="2746"/>
      <c r="F400" s="2746"/>
      <c r="G400" s="2746"/>
      <c r="H400" s="2746"/>
      <c r="I400" s="2746"/>
      <c r="J400" s="2746"/>
      <c r="K400" s="2746"/>
      <c r="L400" s="2746"/>
      <c r="M400" s="2746"/>
      <c r="N400" s="2746"/>
      <c r="O400" s="2746"/>
      <c r="P400" s="2746"/>
      <c r="Q400" s="2746"/>
      <c r="R400" s="2746"/>
      <c r="S400" s="2746"/>
      <c r="T400" s="2746"/>
      <c r="U400" s="2746"/>
      <c r="V400" s="2746"/>
      <c r="W400" s="2746"/>
      <c r="X400" s="2746"/>
      <c r="Y400" s="2746"/>
      <c r="Z400" s="2746"/>
      <c r="AA400" s="2746"/>
      <c r="AB400" s="2746"/>
      <c r="AC400" s="2746"/>
      <c r="AD400" s="2746"/>
      <c r="AE400" s="2746"/>
      <c r="AF400" s="2746"/>
      <c r="AG400" s="2746"/>
      <c r="AH400" s="2746"/>
      <c r="AI400" s="2746"/>
      <c r="AJ400" s="2746"/>
      <c r="AK400" s="2746"/>
      <c r="AL400" s="2746"/>
      <c r="AM400" s="2746"/>
      <c r="AN400" s="2746"/>
      <c r="AO400" s="2746"/>
      <c r="AP400" s="2746"/>
      <c r="AQ400" s="2746"/>
      <c r="AR400" s="2746"/>
      <c r="AS400" s="2746"/>
      <c r="AT400" s="2746"/>
      <c r="AU400" s="2746"/>
      <c r="AV400" s="2746"/>
      <c r="AW400" s="2746"/>
      <c r="AX400" s="2746"/>
      <c r="AY400" s="2746"/>
      <c r="AZ400" s="2746"/>
      <c r="BA400" s="2746"/>
      <c r="BB400" s="2746"/>
      <c r="BC400" s="2746"/>
      <c r="BD400" s="2746"/>
      <c r="BE400" s="2746"/>
      <c r="BF400" s="2746"/>
      <c r="BG400" s="2746"/>
      <c r="BH400" s="2746"/>
      <c r="BI400" s="2746"/>
      <c r="BJ400" s="2746"/>
      <c r="BK400" s="2746"/>
      <c r="BL400" s="2746"/>
      <c r="BM400" s="2746"/>
      <c r="BN400" s="2746"/>
      <c r="BO400" s="2746"/>
      <c r="BP400" s="2746"/>
      <c r="BQ400" s="2746"/>
      <c r="BR400" s="2746"/>
      <c r="BS400" s="2746"/>
      <c r="BT400" s="2746"/>
      <c r="BU400" s="2746"/>
      <c r="BV400" s="2746"/>
      <c r="BW400" s="2746"/>
      <c r="BX400" s="2746"/>
      <c r="BY400" s="2746"/>
      <c r="BZ400" s="2746"/>
      <c r="CA400" s="2746"/>
      <c r="CB400" s="2746"/>
      <c r="CC400" s="2746"/>
      <c r="CD400" s="2746"/>
      <c r="CE400" s="2746"/>
      <c r="CF400" s="2746"/>
      <c r="CG400" s="2746"/>
      <c r="CH400" s="2746"/>
      <c r="CI400" s="2746"/>
      <c r="CJ400" s="2746"/>
      <c r="CK400" s="2746"/>
      <c r="CL400" s="2746"/>
      <c r="CM400" s="2746"/>
      <c r="CN400" s="2746"/>
    </row>
    <row r="401" spans="1:92" x14ac:dyDescent="0.2">
      <c r="A401" s="2746"/>
      <c r="B401" s="2746"/>
      <c r="C401" s="2746"/>
      <c r="D401" s="2746"/>
      <c r="E401" s="2746"/>
      <c r="F401" s="2746"/>
      <c r="G401" s="2746"/>
      <c r="H401" s="2746"/>
      <c r="I401" s="2746"/>
      <c r="J401" s="2746"/>
      <c r="K401" s="2746"/>
      <c r="L401" s="2746"/>
      <c r="M401" s="2746"/>
      <c r="N401" s="2746"/>
      <c r="O401" s="2746"/>
      <c r="P401" s="2746"/>
      <c r="Q401" s="2746"/>
      <c r="R401" s="2746"/>
      <c r="S401" s="2746"/>
      <c r="T401" s="2746"/>
      <c r="U401" s="2746"/>
      <c r="V401" s="2746"/>
      <c r="W401" s="2746"/>
      <c r="X401" s="2746"/>
      <c r="Y401" s="2746"/>
      <c r="Z401" s="2746"/>
      <c r="AA401" s="2746"/>
      <c r="AB401" s="2746"/>
      <c r="AC401" s="2746"/>
      <c r="AD401" s="2746"/>
      <c r="AE401" s="2746"/>
      <c r="AF401" s="2746"/>
      <c r="AG401" s="2746"/>
      <c r="AH401" s="2746"/>
      <c r="AI401" s="2746"/>
      <c r="AJ401" s="2746"/>
      <c r="AK401" s="2746"/>
      <c r="AL401" s="2746"/>
      <c r="AM401" s="2746"/>
      <c r="AN401" s="2746"/>
      <c r="AO401" s="2746"/>
      <c r="AP401" s="2746"/>
      <c r="AQ401" s="2746"/>
      <c r="AR401" s="2746"/>
      <c r="AS401" s="2746"/>
      <c r="AT401" s="2746"/>
      <c r="AU401" s="2746"/>
      <c r="AV401" s="2746"/>
      <c r="AW401" s="2746"/>
      <c r="AX401" s="2746"/>
      <c r="AY401" s="2746"/>
      <c r="AZ401" s="2746"/>
      <c r="BA401" s="2746"/>
      <c r="BB401" s="2746"/>
      <c r="BC401" s="2746"/>
      <c r="BD401" s="2746"/>
      <c r="BE401" s="2746"/>
      <c r="BF401" s="2746"/>
      <c r="BG401" s="2746"/>
      <c r="BH401" s="2746"/>
      <c r="BI401" s="2746"/>
      <c r="BJ401" s="2746"/>
      <c r="BK401" s="2746"/>
      <c r="BL401" s="2746"/>
      <c r="BM401" s="2746"/>
      <c r="BN401" s="2746"/>
      <c r="BO401" s="2746"/>
      <c r="BP401" s="2746"/>
      <c r="BQ401" s="2746"/>
      <c r="BR401" s="2746"/>
      <c r="BS401" s="2746"/>
      <c r="BT401" s="2746"/>
      <c r="BU401" s="2746"/>
      <c r="BV401" s="2746"/>
      <c r="BW401" s="2746"/>
      <c r="BX401" s="2746"/>
      <c r="BY401" s="2746"/>
      <c r="BZ401" s="2746"/>
      <c r="CA401" s="2746"/>
      <c r="CB401" s="2746"/>
      <c r="CC401" s="2746"/>
      <c r="CD401" s="2746"/>
      <c r="CE401" s="2746"/>
      <c r="CF401" s="2746"/>
      <c r="CG401" s="2746"/>
      <c r="CH401" s="2746"/>
      <c r="CI401" s="2746"/>
      <c r="CJ401" s="2746"/>
      <c r="CK401" s="2746"/>
      <c r="CL401" s="2746"/>
      <c r="CM401" s="2746"/>
      <c r="CN401" s="2746"/>
    </row>
    <row r="402" spans="1:92" x14ac:dyDescent="0.2">
      <c r="A402" s="2746"/>
      <c r="B402" s="2746"/>
      <c r="C402" s="2746"/>
      <c r="D402" s="2746"/>
      <c r="E402" s="2746"/>
      <c r="F402" s="2746"/>
      <c r="G402" s="2746"/>
      <c r="H402" s="2746"/>
      <c r="I402" s="2746"/>
      <c r="J402" s="2746"/>
      <c r="K402" s="2746"/>
      <c r="L402" s="2746"/>
      <c r="M402" s="2746"/>
      <c r="N402" s="2746"/>
      <c r="O402" s="2746"/>
      <c r="P402" s="2746"/>
      <c r="Q402" s="2746"/>
      <c r="R402" s="2746"/>
      <c r="S402" s="2746"/>
      <c r="T402" s="2746"/>
      <c r="U402" s="2746"/>
      <c r="V402" s="2746"/>
      <c r="W402" s="2746"/>
      <c r="X402" s="2746"/>
      <c r="Y402" s="2746"/>
      <c r="Z402" s="2746"/>
      <c r="AA402" s="2746"/>
      <c r="AB402" s="2746"/>
      <c r="AC402" s="2746"/>
      <c r="AD402" s="2746"/>
      <c r="AE402" s="2746"/>
      <c r="AF402" s="2746"/>
      <c r="AG402" s="2746"/>
      <c r="AH402" s="2746"/>
      <c r="AI402" s="2746"/>
      <c r="AJ402" s="2746"/>
      <c r="AK402" s="2746"/>
      <c r="AL402" s="2746"/>
      <c r="AM402" s="2746"/>
      <c r="AN402" s="2746"/>
      <c r="AO402" s="2746"/>
      <c r="AP402" s="2746"/>
      <c r="AQ402" s="2746"/>
      <c r="AR402" s="2746"/>
      <c r="AS402" s="2746"/>
      <c r="AT402" s="2746"/>
      <c r="AU402" s="2746"/>
      <c r="AV402" s="2746"/>
      <c r="AW402" s="2746"/>
      <c r="AX402" s="2746"/>
      <c r="AY402" s="2746"/>
      <c r="AZ402" s="2746"/>
      <c r="BA402" s="2746"/>
      <c r="BB402" s="2746"/>
      <c r="BC402" s="2746"/>
      <c r="BD402" s="2746"/>
      <c r="BE402" s="2746"/>
      <c r="BF402" s="2746"/>
      <c r="BG402" s="2746"/>
      <c r="BH402" s="2746"/>
      <c r="BI402" s="2746"/>
      <c r="BJ402" s="2746"/>
      <c r="BK402" s="2746"/>
      <c r="BL402" s="2746"/>
      <c r="BM402" s="2746"/>
      <c r="BN402" s="2746"/>
      <c r="BO402" s="2746"/>
      <c r="BP402" s="2746"/>
      <c r="BQ402" s="2746"/>
      <c r="BR402" s="2746"/>
      <c r="BS402" s="2746"/>
      <c r="BT402" s="2746"/>
      <c r="BU402" s="2746"/>
      <c r="BV402" s="2746"/>
      <c r="BW402" s="2746"/>
      <c r="BX402" s="2746"/>
      <c r="BY402" s="2746"/>
      <c r="BZ402" s="2746"/>
      <c r="CA402" s="2746"/>
      <c r="CB402" s="2746"/>
      <c r="CC402" s="2746"/>
      <c r="CD402" s="2746"/>
      <c r="CE402" s="2746"/>
      <c r="CF402" s="2746"/>
      <c r="CG402" s="2746"/>
      <c r="CH402" s="2746"/>
      <c r="CI402" s="2746"/>
      <c r="CJ402" s="2746"/>
      <c r="CK402" s="2746"/>
      <c r="CL402" s="2746"/>
      <c r="CM402" s="2746"/>
      <c r="CN402" s="2746"/>
    </row>
    <row r="403" spans="1:92" x14ac:dyDescent="0.2">
      <c r="A403" s="2746"/>
      <c r="B403" s="2746"/>
      <c r="C403" s="2746"/>
      <c r="D403" s="2746"/>
      <c r="E403" s="2746"/>
      <c r="F403" s="2746"/>
      <c r="G403" s="2746"/>
      <c r="H403" s="2746"/>
      <c r="I403" s="2746"/>
      <c r="J403" s="2746"/>
      <c r="K403" s="2746"/>
      <c r="L403" s="2746"/>
      <c r="M403" s="2746"/>
      <c r="N403" s="2746"/>
      <c r="O403" s="2746"/>
      <c r="P403" s="2746"/>
      <c r="Q403" s="2746"/>
      <c r="R403" s="2746"/>
      <c r="S403" s="2746"/>
      <c r="T403" s="2746"/>
      <c r="U403" s="2746"/>
      <c r="V403" s="2746"/>
      <c r="W403" s="2746"/>
      <c r="X403" s="2746"/>
      <c r="Y403" s="2746"/>
      <c r="Z403" s="2746"/>
      <c r="AA403" s="2746"/>
      <c r="AB403" s="2746"/>
      <c r="AC403" s="2746"/>
      <c r="AD403" s="2746"/>
      <c r="AE403" s="2746"/>
      <c r="AF403" s="2746"/>
      <c r="AG403" s="2746"/>
      <c r="AH403" s="2746"/>
      <c r="AI403" s="2746"/>
      <c r="AJ403" s="2746"/>
      <c r="AK403" s="2746"/>
      <c r="AL403" s="2746"/>
      <c r="AM403" s="2746"/>
      <c r="AN403" s="2746"/>
      <c r="AO403" s="2746"/>
      <c r="AP403" s="2746"/>
      <c r="AQ403" s="2746"/>
      <c r="AR403" s="2746"/>
      <c r="AS403" s="2746"/>
      <c r="AT403" s="2746"/>
      <c r="AU403" s="2746"/>
      <c r="AV403" s="2746"/>
      <c r="AW403" s="2746"/>
      <c r="AX403" s="2746"/>
      <c r="AY403" s="2746"/>
      <c r="AZ403" s="2746"/>
      <c r="BA403" s="2746"/>
      <c r="BB403" s="2746"/>
      <c r="BC403" s="2746"/>
      <c r="BD403" s="2746"/>
      <c r="BE403" s="2746"/>
      <c r="BF403" s="2746"/>
      <c r="BG403" s="2746"/>
      <c r="BH403" s="2746"/>
      <c r="BI403" s="2746"/>
      <c r="BJ403" s="2746"/>
      <c r="BK403" s="2746"/>
      <c r="BL403" s="2746"/>
      <c r="BM403" s="2746"/>
      <c r="BN403" s="2746"/>
      <c r="BO403" s="2746"/>
      <c r="BP403" s="2746"/>
      <c r="BQ403" s="2746"/>
      <c r="BR403" s="2746"/>
      <c r="BS403" s="2746"/>
      <c r="BT403" s="2746"/>
      <c r="BU403" s="2746"/>
      <c r="BV403" s="2746"/>
      <c r="BW403" s="2746"/>
      <c r="BX403" s="2746"/>
      <c r="BY403" s="2746"/>
      <c r="BZ403" s="2746"/>
      <c r="CA403" s="2746"/>
      <c r="CB403" s="2746"/>
      <c r="CC403" s="2746"/>
      <c r="CD403" s="2746"/>
      <c r="CE403" s="2746"/>
      <c r="CF403" s="2746"/>
      <c r="CG403" s="2746"/>
      <c r="CH403" s="2746"/>
      <c r="CI403" s="2746"/>
      <c r="CJ403" s="2746"/>
      <c r="CK403" s="2746"/>
      <c r="CL403" s="2746"/>
      <c r="CM403" s="2746"/>
      <c r="CN403" s="2746"/>
    </row>
    <row r="404" spans="1:92" x14ac:dyDescent="0.2">
      <c r="A404" s="2746"/>
      <c r="B404" s="2746"/>
      <c r="C404" s="2746"/>
      <c r="D404" s="2746"/>
      <c r="E404" s="2746"/>
      <c r="F404" s="2746"/>
      <c r="G404" s="2746"/>
      <c r="H404" s="2746"/>
      <c r="I404" s="2746"/>
      <c r="J404" s="2746"/>
      <c r="K404" s="2746"/>
      <c r="L404" s="2746"/>
      <c r="M404" s="2746"/>
      <c r="N404" s="2746"/>
      <c r="O404" s="2746"/>
      <c r="P404" s="2746"/>
      <c r="Q404" s="2746"/>
      <c r="R404" s="2746"/>
      <c r="S404" s="2746"/>
      <c r="T404" s="2746"/>
      <c r="U404" s="2746"/>
      <c r="V404" s="2746"/>
      <c r="W404" s="2746"/>
      <c r="X404" s="2746"/>
      <c r="Y404" s="2746"/>
      <c r="Z404" s="2746"/>
      <c r="AA404" s="2746"/>
      <c r="AB404" s="2746"/>
      <c r="AC404" s="2746"/>
      <c r="AD404" s="2746"/>
      <c r="AE404" s="2746"/>
      <c r="AF404" s="2746"/>
      <c r="AG404" s="2746"/>
      <c r="AH404" s="2746"/>
      <c r="AI404" s="2746"/>
      <c r="AJ404" s="2746"/>
      <c r="AK404" s="2746"/>
      <c r="AL404" s="2746"/>
      <c r="AM404" s="2746"/>
      <c r="AN404" s="2746"/>
      <c r="AO404" s="2746"/>
      <c r="AP404" s="2746"/>
      <c r="AQ404" s="2746"/>
      <c r="AR404" s="2746"/>
      <c r="AS404" s="2746"/>
      <c r="AT404" s="2746"/>
      <c r="AU404" s="2746"/>
      <c r="AV404" s="2746"/>
      <c r="AW404" s="2746"/>
      <c r="AX404" s="2746"/>
      <c r="AY404" s="2746"/>
      <c r="AZ404" s="2746"/>
      <c r="BA404" s="2746"/>
      <c r="BB404" s="2746"/>
      <c r="BC404" s="2746"/>
      <c r="BD404" s="2746"/>
      <c r="BE404" s="2746"/>
      <c r="BF404" s="2746"/>
      <c r="BG404" s="2746"/>
      <c r="BH404" s="2746"/>
      <c r="BI404" s="2746"/>
      <c r="BJ404" s="2746"/>
      <c r="BK404" s="2746"/>
      <c r="BL404" s="2746"/>
      <c r="BM404" s="2746"/>
      <c r="BN404" s="2746"/>
      <c r="BO404" s="2746"/>
      <c r="BP404" s="2746"/>
      <c r="BQ404" s="2746"/>
      <c r="BR404" s="2746"/>
      <c r="BS404" s="2746"/>
      <c r="BT404" s="2746"/>
      <c r="BU404" s="2746"/>
      <c r="BV404" s="2746"/>
      <c r="BW404" s="2746"/>
      <c r="BX404" s="2746"/>
      <c r="BY404" s="2746"/>
      <c r="BZ404" s="2746"/>
      <c r="CA404" s="2746"/>
      <c r="CB404" s="2746"/>
      <c r="CC404" s="2746"/>
      <c r="CD404" s="2746"/>
      <c r="CE404" s="2746"/>
      <c r="CF404" s="2746"/>
      <c r="CG404" s="2746"/>
      <c r="CH404" s="2746"/>
      <c r="CI404" s="2746"/>
      <c r="CJ404" s="2746"/>
      <c r="CK404" s="2746"/>
      <c r="CL404" s="2746"/>
      <c r="CM404" s="2746"/>
      <c r="CN404" s="2746"/>
    </row>
    <row r="405" spans="1:92" x14ac:dyDescent="0.2">
      <c r="A405" s="2746"/>
      <c r="B405" s="2746"/>
      <c r="C405" s="2746"/>
      <c r="D405" s="2746"/>
      <c r="E405" s="2746"/>
      <c r="F405" s="2746"/>
      <c r="G405" s="2746"/>
      <c r="H405" s="2746"/>
      <c r="I405" s="2746"/>
      <c r="J405" s="2746"/>
      <c r="K405" s="2746"/>
      <c r="L405" s="2746"/>
      <c r="M405" s="2746"/>
      <c r="N405" s="2746"/>
      <c r="O405" s="2746"/>
      <c r="P405" s="2746"/>
      <c r="Q405" s="2746"/>
      <c r="R405" s="2746"/>
      <c r="S405" s="2746"/>
      <c r="T405" s="2746"/>
      <c r="U405" s="2746"/>
      <c r="V405" s="2746"/>
      <c r="W405" s="2746"/>
      <c r="X405" s="2746"/>
      <c r="Y405" s="2746"/>
      <c r="Z405" s="2746"/>
      <c r="AA405" s="2746"/>
      <c r="AB405" s="2746"/>
      <c r="AC405" s="2746"/>
      <c r="AD405" s="2746"/>
      <c r="AE405" s="2746"/>
      <c r="AF405" s="2746"/>
      <c r="AG405" s="2746"/>
      <c r="AH405" s="2746"/>
      <c r="AI405" s="2746"/>
      <c r="AJ405" s="2746"/>
      <c r="AK405" s="2746"/>
      <c r="AL405" s="2746"/>
      <c r="AM405" s="2746"/>
      <c r="AN405" s="2746"/>
      <c r="AO405" s="2746"/>
      <c r="AP405" s="2746"/>
      <c r="AQ405" s="2746"/>
      <c r="AR405" s="2746"/>
      <c r="AS405" s="2746"/>
      <c r="AT405" s="2746"/>
      <c r="AU405" s="2746"/>
      <c r="AV405" s="2746"/>
      <c r="AW405" s="2746"/>
      <c r="AX405" s="2746"/>
      <c r="AY405" s="2746"/>
      <c r="AZ405" s="2746"/>
      <c r="BA405" s="2746"/>
      <c r="BB405" s="2746"/>
      <c r="BC405" s="2746"/>
      <c r="BD405" s="2746"/>
      <c r="BE405" s="2746"/>
      <c r="BF405" s="2746"/>
      <c r="BG405" s="2746"/>
      <c r="BH405" s="2746"/>
      <c r="BI405" s="2746"/>
      <c r="BJ405" s="2746"/>
      <c r="BK405" s="2746"/>
      <c r="BL405" s="2746"/>
      <c r="BM405" s="2746"/>
      <c r="BN405" s="2746"/>
      <c r="BO405" s="2746"/>
      <c r="BP405" s="2746"/>
      <c r="BQ405" s="2746"/>
      <c r="BR405" s="2746"/>
      <c r="BS405" s="2746"/>
      <c r="BT405" s="2746"/>
      <c r="BU405" s="2746"/>
      <c r="BV405" s="2746"/>
      <c r="BW405" s="2746"/>
      <c r="BX405" s="2746"/>
      <c r="BY405" s="2746"/>
      <c r="BZ405" s="2746"/>
      <c r="CA405" s="2746"/>
      <c r="CB405" s="2746"/>
      <c r="CC405" s="2746"/>
      <c r="CD405" s="2746"/>
      <c r="CE405" s="2746"/>
      <c r="CF405" s="2746"/>
      <c r="CG405" s="2746"/>
      <c r="CH405" s="2746"/>
      <c r="CI405" s="2746"/>
      <c r="CJ405" s="2746"/>
      <c r="CK405" s="2746"/>
      <c r="CL405" s="2746"/>
      <c r="CM405" s="2746"/>
      <c r="CN405" s="2746"/>
    </row>
    <row r="406" spans="1:92" x14ac:dyDescent="0.2">
      <c r="A406" s="2746"/>
      <c r="B406" s="2746"/>
      <c r="C406" s="2746"/>
      <c r="D406" s="2746"/>
      <c r="E406" s="2746"/>
      <c r="F406" s="2746"/>
      <c r="G406" s="2746"/>
      <c r="H406" s="2746"/>
      <c r="I406" s="2746"/>
      <c r="J406" s="2746"/>
      <c r="K406" s="2746"/>
      <c r="L406" s="2746"/>
      <c r="M406" s="2746"/>
      <c r="N406" s="2746"/>
      <c r="O406" s="2746"/>
      <c r="P406" s="2746"/>
      <c r="Q406" s="2746"/>
      <c r="R406" s="2746"/>
      <c r="S406" s="2746"/>
      <c r="T406" s="2746"/>
      <c r="U406" s="2746"/>
      <c r="V406" s="2746"/>
      <c r="W406" s="2746"/>
      <c r="X406" s="2746"/>
      <c r="Y406" s="2746"/>
      <c r="Z406" s="2746"/>
      <c r="AA406" s="2746"/>
      <c r="AB406" s="2746"/>
      <c r="AC406" s="2746"/>
      <c r="AD406" s="2746"/>
      <c r="AE406" s="2746"/>
      <c r="AF406" s="2746"/>
      <c r="AG406" s="2746"/>
      <c r="AH406" s="2746"/>
      <c r="AI406" s="2746"/>
      <c r="AJ406" s="2746"/>
      <c r="AK406" s="2746"/>
      <c r="AL406" s="2746"/>
      <c r="AM406" s="2746"/>
      <c r="AN406" s="2746"/>
      <c r="AO406" s="2746"/>
      <c r="AP406" s="2746"/>
      <c r="AQ406" s="2746"/>
      <c r="AR406" s="2746"/>
      <c r="AS406" s="2746"/>
      <c r="AT406" s="2746"/>
      <c r="AU406" s="2746"/>
      <c r="AV406" s="2746"/>
      <c r="AW406" s="2746"/>
      <c r="AX406" s="2746"/>
      <c r="AY406" s="2746"/>
      <c r="AZ406" s="2746"/>
      <c r="BA406" s="2746"/>
      <c r="BB406" s="2746"/>
      <c r="BC406" s="2746"/>
      <c r="BD406" s="2746"/>
      <c r="BE406" s="2746"/>
      <c r="BF406" s="2746"/>
      <c r="BG406" s="2746"/>
      <c r="BH406" s="2746"/>
      <c r="BI406" s="2746"/>
      <c r="BJ406" s="2746"/>
      <c r="BK406" s="2746"/>
      <c r="BL406" s="2746"/>
      <c r="BM406" s="2746"/>
      <c r="BN406" s="2746"/>
      <c r="BO406" s="2746"/>
      <c r="BP406" s="2746"/>
      <c r="BQ406" s="2746"/>
      <c r="BR406" s="2746"/>
      <c r="BS406" s="2746"/>
      <c r="BT406" s="2746"/>
      <c r="BU406" s="2746"/>
      <c r="BV406" s="2746"/>
      <c r="BW406" s="2746"/>
      <c r="BX406" s="2746"/>
      <c r="BY406" s="2746"/>
      <c r="BZ406" s="2746"/>
      <c r="CA406" s="2746"/>
      <c r="CB406" s="2746"/>
      <c r="CC406" s="2746"/>
      <c r="CD406" s="2746"/>
      <c r="CE406" s="2746"/>
      <c r="CF406" s="2746"/>
      <c r="CG406" s="2746"/>
      <c r="CH406" s="2746"/>
      <c r="CI406" s="2746"/>
      <c r="CJ406" s="2746"/>
      <c r="CK406" s="2746"/>
      <c r="CL406" s="2746"/>
      <c r="CM406" s="2746"/>
      <c r="CN406" s="2746"/>
    </row>
    <row r="407" spans="1:92" x14ac:dyDescent="0.2">
      <c r="A407" s="2746"/>
      <c r="B407" s="2746"/>
      <c r="C407" s="2746"/>
      <c r="D407" s="2746"/>
      <c r="E407" s="2746"/>
      <c r="F407" s="2746"/>
      <c r="G407" s="2746"/>
      <c r="H407" s="2746"/>
      <c r="I407" s="2746"/>
      <c r="J407" s="2746"/>
      <c r="K407" s="2746"/>
      <c r="L407" s="2746"/>
      <c r="M407" s="2746"/>
      <c r="N407" s="2746"/>
      <c r="O407" s="2746"/>
      <c r="P407" s="2746"/>
      <c r="Q407" s="2746"/>
      <c r="R407" s="2746"/>
      <c r="S407" s="2746"/>
      <c r="T407" s="2746"/>
      <c r="U407" s="2746"/>
      <c r="V407" s="2746"/>
      <c r="W407" s="2746"/>
      <c r="X407" s="2746"/>
      <c r="Y407" s="2746"/>
      <c r="Z407" s="2746"/>
      <c r="AA407" s="2746"/>
      <c r="AB407" s="2746"/>
      <c r="AC407" s="2746"/>
      <c r="AD407" s="2746"/>
      <c r="AE407" s="2746"/>
      <c r="AF407" s="2746"/>
      <c r="AG407" s="2746"/>
      <c r="AH407" s="2746"/>
      <c r="AI407" s="2746"/>
      <c r="AJ407" s="2746"/>
      <c r="AK407" s="2746"/>
      <c r="AL407" s="2746"/>
      <c r="AM407" s="2746"/>
      <c r="AN407" s="2746"/>
      <c r="AO407" s="2746"/>
      <c r="AP407" s="2746"/>
      <c r="AQ407" s="2746"/>
      <c r="AR407" s="2746"/>
      <c r="AS407" s="2746"/>
      <c r="AT407" s="2746"/>
      <c r="AU407" s="2746"/>
      <c r="AV407" s="2746"/>
      <c r="AW407" s="2746"/>
      <c r="AX407" s="2746"/>
      <c r="AY407" s="2746"/>
      <c r="AZ407" s="2746"/>
      <c r="BA407" s="2746"/>
      <c r="BB407" s="2746"/>
      <c r="BC407" s="2746"/>
      <c r="BD407" s="2746"/>
      <c r="BE407" s="2746"/>
      <c r="BF407" s="2746"/>
      <c r="BG407" s="2746"/>
      <c r="BH407" s="2746"/>
      <c r="BI407" s="2746"/>
      <c r="BJ407" s="2746"/>
      <c r="BK407" s="2746"/>
      <c r="BL407" s="2746"/>
      <c r="BM407" s="2746"/>
      <c r="BN407" s="2746"/>
      <c r="BO407" s="2746"/>
      <c r="BP407" s="2746"/>
      <c r="BQ407" s="2746"/>
      <c r="BR407" s="2746"/>
      <c r="BS407" s="2746"/>
      <c r="BT407" s="2746"/>
      <c r="BU407" s="2746"/>
      <c r="BV407" s="2746"/>
      <c r="BW407" s="2746"/>
      <c r="BX407" s="2746"/>
      <c r="BY407" s="2746"/>
      <c r="BZ407" s="2746"/>
      <c r="CA407" s="2746"/>
      <c r="CB407" s="2746"/>
      <c r="CC407" s="2746"/>
      <c r="CD407" s="2746"/>
      <c r="CE407" s="2746"/>
      <c r="CF407" s="2746"/>
      <c r="CG407" s="2746"/>
      <c r="CH407" s="2746"/>
      <c r="CI407" s="2746"/>
      <c r="CJ407" s="2746"/>
      <c r="CK407" s="2746"/>
      <c r="CL407" s="2746"/>
      <c r="CM407" s="2746"/>
      <c r="CN407" s="2746"/>
    </row>
    <row r="408" spans="1:92" x14ac:dyDescent="0.2">
      <c r="A408" s="2746"/>
      <c r="B408" s="2746"/>
      <c r="C408" s="2746"/>
      <c r="D408" s="2746"/>
      <c r="E408" s="2746"/>
      <c r="F408" s="2746"/>
      <c r="G408" s="2746"/>
      <c r="H408" s="2746"/>
      <c r="I408" s="2746"/>
      <c r="J408" s="2746"/>
      <c r="K408" s="2746"/>
      <c r="L408" s="2746"/>
      <c r="M408" s="2746"/>
      <c r="N408" s="2746"/>
      <c r="O408" s="2746"/>
      <c r="P408" s="2746"/>
      <c r="Q408" s="2746"/>
      <c r="R408" s="2746"/>
      <c r="S408" s="2746"/>
      <c r="T408" s="2746"/>
      <c r="U408" s="2746"/>
      <c r="V408" s="2746"/>
      <c r="W408" s="2746"/>
      <c r="X408" s="2746"/>
      <c r="Y408" s="2746"/>
      <c r="Z408" s="2746"/>
      <c r="AA408" s="2746"/>
      <c r="AB408" s="2746"/>
      <c r="AC408" s="2746"/>
      <c r="AD408" s="2746"/>
      <c r="AE408" s="2746"/>
      <c r="AF408" s="2746"/>
      <c r="AG408" s="2746"/>
      <c r="AH408" s="2746"/>
      <c r="AI408" s="2746"/>
      <c r="AJ408" s="2746"/>
      <c r="AK408" s="2746"/>
      <c r="AL408" s="2746"/>
      <c r="AM408" s="2746"/>
      <c r="AN408" s="2746"/>
      <c r="AO408" s="2746"/>
      <c r="AP408" s="2746"/>
      <c r="AQ408" s="2746"/>
      <c r="AR408" s="2746"/>
      <c r="AS408" s="2746"/>
      <c r="AT408" s="2746"/>
      <c r="AU408" s="2746"/>
      <c r="AV408" s="2746"/>
      <c r="AW408" s="2746"/>
      <c r="AX408" s="2746"/>
      <c r="AY408" s="2746"/>
      <c r="AZ408" s="2746"/>
      <c r="BA408" s="2746"/>
      <c r="BB408" s="2746"/>
      <c r="BC408" s="2746"/>
      <c r="BD408" s="2746"/>
      <c r="BE408" s="2746"/>
      <c r="BF408" s="2746"/>
      <c r="BG408" s="2746"/>
      <c r="BH408" s="2746"/>
      <c r="BI408" s="2746"/>
      <c r="BJ408" s="2746"/>
      <c r="BK408" s="2746"/>
      <c r="BL408" s="2746"/>
      <c r="BM408" s="2746"/>
      <c r="BN408" s="2746"/>
      <c r="BO408" s="2746"/>
      <c r="BP408" s="2746"/>
      <c r="BQ408" s="2746"/>
      <c r="BR408" s="2746"/>
      <c r="BS408" s="2746"/>
      <c r="BT408" s="2746"/>
      <c r="BU408" s="2746"/>
      <c r="BV408" s="2746"/>
      <c r="BW408" s="2746"/>
      <c r="BX408" s="2746"/>
      <c r="BY408" s="2746"/>
      <c r="BZ408" s="2746"/>
      <c r="CA408" s="2746"/>
      <c r="CB408" s="2746"/>
      <c r="CC408" s="2746"/>
      <c r="CD408" s="2746"/>
      <c r="CE408" s="2746"/>
      <c r="CF408" s="2746"/>
      <c r="CG408" s="2746"/>
      <c r="CH408" s="2746"/>
      <c r="CI408" s="2746"/>
      <c r="CJ408" s="2746"/>
      <c r="CK408" s="2746"/>
      <c r="CL408" s="2746"/>
      <c r="CM408" s="2746"/>
      <c r="CN408" s="2746"/>
    </row>
    <row r="409" spans="1:92" x14ac:dyDescent="0.2">
      <c r="A409" s="2746"/>
      <c r="B409" s="2746"/>
      <c r="C409" s="2746"/>
      <c r="D409" s="2746"/>
      <c r="E409" s="2746"/>
      <c r="F409" s="2746"/>
      <c r="G409" s="2746"/>
      <c r="H409" s="2746"/>
      <c r="I409" s="2746"/>
      <c r="J409" s="2746"/>
      <c r="K409" s="2746"/>
      <c r="L409" s="2746"/>
      <c r="M409" s="2746"/>
      <c r="N409" s="2746"/>
      <c r="O409" s="2746"/>
      <c r="P409" s="2746"/>
      <c r="Q409" s="2746"/>
      <c r="R409" s="2746"/>
      <c r="S409" s="2746"/>
      <c r="T409" s="2746"/>
      <c r="U409" s="2746"/>
      <c r="V409" s="2746"/>
      <c r="W409" s="2746"/>
      <c r="X409" s="2746"/>
      <c r="Y409" s="2746"/>
      <c r="Z409" s="2746"/>
      <c r="AA409" s="2746"/>
      <c r="AB409" s="2746"/>
      <c r="AC409" s="2746"/>
      <c r="AD409" s="2746"/>
      <c r="AE409" s="2746"/>
      <c r="AF409" s="2746"/>
      <c r="AG409" s="2746"/>
      <c r="AH409" s="2746"/>
      <c r="AI409" s="2746"/>
      <c r="AJ409" s="2746"/>
      <c r="AK409" s="2746"/>
      <c r="AL409" s="2746"/>
      <c r="AM409" s="2746"/>
      <c r="AN409" s="2746"/>
      <c r="AO409" s="2746"/>
      <c r="AP409" s="2746"/>
      <c r="AQ409" s="2746"/>
      <c r="AR409" s="2746"/>
      <c r="AS409" s="2746"/>
      <c r="AT409" s="2746"/>
      <c r="AU409" s="2746"/>
      <c r="AV409" s="2746"/>
      <c r="AW409" s="2746"/>
      <c r="AX409" s="2746"/>
      <c r="AY409" s="2746"/>
      <c r="AZ409" s="2746"/>
      <c r="BA409" s="2746"/>
      <c r="BB409" s="2746"/>
      <c r="BC409" s="2746"/>
      <c r="BD409" s="2746"/>
      <c r="BE409" s="2746"/>
      <c r="BF409" s="2746"/>
      <c r="BG409" s="2746"/>
      <c r="BH409" s="2746"/>
      <c r="BI409" s="2746"/>
      <c r="BJ409" s="2746"/>
      <c r="BK409" s="2746"/>
      <c r="BL409" s="2746"/>
      <c r="BM409" s="2746"/>
      <c r="BN409" s="2746"/>
      <c r="BO409" s="2746"/>
      <c r="BP409" s="2746"/>
      <c r="BQ409" s="2746"/>
      <c r="BR409" s="2746"/>
      <c r="BS409" s="2746"/>
      <c r="BT409" s="2746"/>
      <c r="BU409" s="2746"/>
      <c r="BV409" s="2746"/>
      <c r="BW409" s="2746"/>
      <c r="BX409" s="2746"/>
      <c r="BY409" s="2746"/>
      <c r="BZ409" s="2746"/>
      <c r="CA409" s="2746"/>
      <c r="CB409" s="2746"/>
      <c r="CC409" s="2746"/>
      <c r="CD409" s="2746"/>
      <c r="CE409" s="2746"/>
      <c r="CF409" s="2746"/>
      <c r="CG409" s="2746"/>
      <c r="CH409" s="2746"/>
      <c r="CI409" s="2746"/>
      <c r="CJ409" s="2746"/>
      <c r="CK409" s="2746"/>
      <c r="CL409" s="2746"/>
      <c r="CM409" s="2746"/>
      <c r="CN409" s="2746"/>
    </row>
    <row r="410" spans="1:92" x14ac:dyDescent="0.2">
      <c r="A410" s="2746"/>
      <c r="B410" s="2746"/>
      <c r="C410" s="2746"/>
      <c r="D410" s="2746"/>
      <c r="E410" s="2746"/>
      <c r="F410" s="2746"/>
      <c r="G410" s="2746"/>
      <c r="H410" s="2746"/>
      <c r="I410" s="2746"/>
      <c r="J410" s="2746"/>
      <c r="K410" s="2746"/>
      <c r="L410" s="2746"/>
      <c r="M410" s="2746"/>
      <c r="N410" s="2746"/>
      <c r="O410" s="2746"/>
      <c r="P410" s="2746"/>
      <c r="Q410" s="2746"/>
      <c r="R410" s="2746"/>
      <c r="S410" s="2746"/>
      <c r="T410" s="2746"/>
      <c r="U410" s="2746"/>
      <c r="V410" s="2746"/>
      <c r="W410" s="2746"/>
      <c r="X410" s="2746"/>
      <c r="Y410" s="2746"/>
      <c r="Z410" s="2746"/>
      <c r="AA410" s="2746"/>
      <c r="AB410" s="2746"/>
      <c r="AC410" s="2746"/>
      <c r="AD410" s="2746"/>
      <c r="AE410" s="2746"/>
      <c r="AF410" s="2746"/>
      <c r="AG410" s="2746"/>
      <c r="AH410" s="2746"/>
      <c r="AI410" s="2746"/>
      <c r="AJ410" s="2746"/>
      <c r="AK410" s="2746"/>
      <c r="AL410" s="2746"/>
      <c r="AM410" s="2746"/>
      <c r="AN410" s="2746"/>
      <c r="AO410" s="2746"/>
      <c r="AP410" s="2746"/>
      <c r="AQ410" s="2746"/>
      <c r="AR410" s="2746"/>
      <c r="AS410" s="2746"/>
      <c r="AT410" s="2746"/>
      <c r="AU410" s="2746"/>
      <c r="AV410" s="2746"/>
      <c r="AW410" s="2746"/>
      <c r="AX410" s="2746"/>
      <c r="AY410" s="2746"/>
      <c r="AZ410" s="2746"/>
      <c r="BA410" s="2746"/>
      <c r="BB410" s="2746"/>
      <c r="BC410" s="2746"/>
      <c r="BD410" s="2746"/>
      <c r="BE410" s="2746"/>
      <c r="BF410" s="2746"/>
      <c r="BG410" s="2746"/>
      <c r="BH410" s="2746"/>
      <c r="BI410" s="2746"/>
      <c r="BJ410" s="2746"/>
      <c r="BK410" s="2746"/>
      <c r="BL410" s="2746"/>
      <c r="BM410" s="2746"/>
      <c r="BN410" s="2746"/>
      <c r="BO410" s="2746"/>
      <c r="BP410" s="2746"/>
      <c r="BQ410" s="2746"/>
      <c r="BR410" s="2746"/>
      <c r="BS410" s="2746"/>
      <c r="BT410" s="2746"/>
      <c r="BU410" s="2746"/>
      <c r="BV410" s="2746"/>
      <c r="BW410" s="2746"/>
      <c r="BX410" s="2746"/>
      <c r="BY410" s="2746"/>
      <c r="BZ410" s="2746"/>
      <c r="CA410" s="2746"/>
      <c r="CB410" s="2746"/>
      <c r="CC410" s="2746"/>
      <c r="CD410" s="2746"/>
      <c r="CE410" s="2746"/>
      <c r="CF410" s="2746"/>
      <c r="CG410" s="2746"/>
      <c r="CH410" s="2746"/>
      <c r="CI410" s="2746"/>
      <c r="CJ410" s="2746"/>
      <c r="CK410" s="2746"/>
      <c r="CL410" s="2746"/>
      <c r="CM410" s="2746"/>
      <c r="CN410" s="2746"/>
    </row>
    <row r="411" spans="1:92" x14ac:dyDescent="0.2">
      <c r="A411" s="2746"/>
      <c r="B411" s="2746"/>
      <c r="C411" s="2746"/>
      <c r="D411" s="2746"/>
      <c r="E411" s="2746"/>
      <c r="F411" s="2746"/>
      <c r="G411" s="2746"/>
      <c r="H411" s="2746"/>
      <c r="I411" s="2746"/>
      <c r="J411" s="2746"/>
      <c r="K411" s="2746"/>
      <c r="L411" s="2746"/>
      <c r="M411" s="2746"/>
      <c r="N411" s="2746"/>
      <c r="O411" s="2746"/>
      <c r="P411" s="2746"/>
      <c r="Q411" s="2746"/>
      <c r="R411" s="2746"/>
      <c r="S411" s="2746"/>
      <c r="T411" s="2746"/>
      <c r="U411" s="2746"/>
      <c r="V411" s="2746"/>
      <c r="W411" s="2746"/>
      <c r="X411" s="2746"/>
      <c r="Y411" s="2746"/>
      <c r="Z411" s="2746"/>
      <c r="AA411" s="2746"/>
      <c r="AB411" s="2746"/>
      <c r="AC411" s="2746"/>
      <c r="AD411" s="2746"/>
      <c r="AE411" s="2746"/>
      <c r="AF411" s="2746"/>
      <c r="AG411" s="2746"/>
      <c r="AH411" s="2746"/>
      <c r="AI411" s="2746"/>
      <c r="AJ411" s="2746"/>
      <c r="AK411" s="2746"/>
      <c r="AL411" s="2746"/>
      <c r="AM411" s="2746"/>
      <c r="AN411" s="2746"/>
      <c r="AO411" s="2746"/>
      <c r="AP411" s="2746"/>
      <c r="AQ411" s="2746"/>
      <c r="AR411" s="2746"/>
      <c r="AS411" s="2746"/>
      <c r="AT411" s="2746"/>
      <c r="AU411" s="2746"/>
      <c r="AV411" s="2746"/>
      <c r="AW411" s="2746"/>
      <c r="AX411" s="2746"/>
      <c r="AY411" s="2746"/>
      <c r="AZ411" s="2746"/>
      <c r="BA411" s="2746"/>
      <c r="BB411" s="2746"/>
      <c r="BC411" s="2746"/>
      <c r="BD411" s="2746"/>
      <c r="BE411" s="2746"/>
      <c r="BF411" s="2746"/>
      <c r="BG411" s="2746"/>
      <c r="BH411" s="2746"/>
      <c r="BI411" s="2746"/>
      <c r="BJ411" s="2746"/>
      <c r="BK411" s="2746"/>
      <c r="BL411" s="2746"/>
      <c r="BM411" s="2746"/>
      <c r="BN411" s="2746"/>
      <c r="BO411" s="2746"/>
      <c r="BP411" s="2746"/>
      <c r="BQ411" s="2746"/>
      <c r="BR411" s="2746"/>
      <c r="BS411" s="2746"/>
      <c r="BT411" s="2746"/>
      <c r="BU411" s="2746"/>
      <c r="BV411" s="2746"/>
      <c r="BW411" s="2746"/>
      <c r="BX411" s="2746"/>
      <c r="BY411" s="2746"/>
      <c r="BZ411" s="2746"/>
      <c r="CA411" s="2746"/>
      <c r="CB411" s="2746"/>
      <c r="CC411" s="2746"/>
      <c r="CD411" s="2746"/>
      <c r="CE411" s="2746"/>
      <c r="CF411" s="2746"/>
      <c r="CG411" s="2746"/>
      <c r="CH411" s="2746"/>
      <c r="CI411" s="2746"/>
      <c r="CJ411" s="2746"/>
      <c r="CK411" s="2746"/>
      <c r="CL411" s="2746"/>
      <c r="CM411" s="2746"/>
      <c r="CN411" s="2746"/>
    </row>
    <row r="412" spans="1:92" x14ac:dyDescent="0.2">
      <c r="A412" s="2746"/>
      <c r="B412" s="2746"/>
      <c r="C412" s="2746"/>
      <c r="D412" s="2746"/>
      <c r="E412" s="2746"/>
      <c r="F412" s="2746"/>
      <c r="G412" s="2746"/>
      <c r="H412" s="2746"/>
      <c r="I412" s="2746"/>
      <c r="J412" s="2746"/>
      <c r="K412" s="2746"/>
      <c r="L412" s="2746"/>
      <c r="M412" s="2746"/>
      <c r="N412" s="2746"/>
      <c r="O412" s="2746"/>
      <c r="P412" s="2746"/>
      <c r="Q412" s="2746"/>
      <c r="R412" s="2746"/>
      <c r="S412" s="2746"/>
      <c r="T412" s="2746"/>
      <c r="U412" s="2746"/>
      <c r="V412" s="2746"/>
      <c r="W412" s="2746"/>
      <c r="X412" s="2746"/>
      <c r="Y412" s="2746"/>
      <c r="Z412" s="2746"/>
      <c r="AA412" s="2746"/>
      <c r="AB412" s="2746"/>
      <c r="AC412" s="2746"/>
      <c r="AD412" s="2746"/>
      <c r="AE412" s="2746"/>
      <c r="AF412" s="2746"/>
      <c r="AG412" s="2746"/>
      <c r="AH412" s="2746"/>
      <c r="AI412" s="2746"/>
      <c r="AJ412" s="2746"/>
      <c r="AK412" s="2746"/>
      <c r="AL412" s="2746"/>
      <c r="AM412" s="2746"/>
      <c r="AN412" s="2746"/>
      <c r="AO412" s="2746"/>
      <c r="AP412" s="2746"/>
      <c r="AQ412" s="2746"/>
      <c r="AR412" s="2746"/>
      <c r="AS412" s="2746"/>
      <c r="AT412" s="2746"/>
      <c r="AU412" s="2746"/>
      <c r="AV412" s="2746"/>
      <c r="AW412" s="2746"/>
      <c r="AX412" s="2746"/>
      <c r="AY412" s="2746"/>
      <c r="AZ412" s="2746"/>
      <c r="BA412" s="2746"/>
      <c r="BB412" s="2746"/>
      <c r="BC412" s="2746"/>
      <c r="BD412" s="2746"/>
      <c r="BE412" s="2746"/>
      <c r="BF412" s="2746"/>
      <c r="BG412" s="2746"/>
      <c r="BH412" s="2746"/>
      <c r="BI412" s="2746"/>
      <c r="BJ412" s="2746"/>
      <c r="BK412" s="2746"/>
      <c r="BL412" s="2746"/>
      <c r="BM412" s="2746"/>
      <c r="BN412" s="2746"/>
      <c r="BO412" s="2746"/>
      <c r="BP412" s="2746"/>
      <c r="BQ412" s="2746"/>
      <c r="BR412" s="2746"/>
      <c r="BS412" s="2746"/>
      <c r="BT412" s="2746"/>
      <c r="BU412" s="2746"/>
      <c r="BV412" s="2746"/>
      <c r="BW412" s="2746"/>
      <c r="BX412" s="2746"/>
      <c r="BY412" s="2746"/>
      <c r="BZ412" s="2746"/>
      <c r="CA412" s="2746"/>
      <c r="CB412" s="2746"/>
      <c r="CC412" s="2746"/>
      <c r="CD412" s="2746"/>
      <c r="CE412" s="2746"/>
      <c r="CF412" s="2746"/>
      <c r="CG412" s="2746"/>
      <c r="CH412" s="2746"/>
      <c r="CI412" s="2746"/>
      <c r="CJ412" s="2746"/>
      <c r="CK412" s="2746"/>
      <c r="CL412" s="2746"/>
      <c r="CM412" s="2746"/>
      <c r="CN412" s="2746"/>
    </row>
    <row r="413" spans="1:92" x14ac:dyDescent="0.2">
      <c r="A413" s="2746"/>
      <c r="B413" s="2746"/>
      <c r="C413" s="2746"/>
      <c r="D413" s="2746"/>
      <c r="E413" s="2746"/>
      <c r="F413" s="2746"/>
      <c r="G413" s="2746"/>
      <c r="H413" s="2746"/>
      <c r="I413" s="2746"/>
      <c r="J413" s="2746"/>
      <c r="K413" s="2746"/>
      <c r="L413" s="2746"/>
      <c r="M413" s="2746"/>
      <c r="N413" s="2746"/>
      <c r="O413" s="2746"/>
      <c r="P413" s="2746"/>
      <c r="Q413" s="2746"/>
      <c r="R413" s="2746"/>
      <c r="S413" s="2746"/>
      <c r="T413" s="2746"/>
      <c r="U413" s="2746"/>
      <c r="V413" s="2746"/>
      <c r="W413" s="2746"/>
      <c r="X413" s="2746"/>
      <c r="Y413" s="2746"/>
      <c r="Z413" s="2746"/>
      <c r="AA413" s="2746"/>
      <c r="AB413" s="2746"/>
      <c r="AC413" s="2746"/>
      <c r="AD413" s="2746"/>
      <c r="AE413" s="2746"/>
      <c r="AF413" s="2746"/>
      <c r="AG413" s="2746"/>
      <c r="AH413" s="2746"/>
      <c r="AI413" s="2746"/>
      <c r="AJ413" s="2746"/>
      <c r="AK413" s="2746"/>
      <c r="AL413" s="2746"/>
      <c r="AM413" s="2746"/>
      <c r="AN413" s="2746"/>
      <c r="AO413" s="2746"/>
      <c r="AP413" s="2746"/>
      <c r="AQ413" s="2746"/>
      <c r="AR413" s="2746"/>
      <c r="AS413" s="2746"/>
      <c r="AT413" s="2746"/>
      <c r="AU413" s="2746"/>
      <c r="AV413" s="2746"/>
      <c r="AW413" s="2746"/>
      <c r="AX413" s="2746"/>
      <c r="AY413" s="2746"/>
      <c r="AZ413" s="2746"/>
      <c r="BA413" s="2746"/>
      <c r="BB413" s="2746"/>
      <c r="BC413" s="2746"/>
      <c r="BD413" s="2746"/>
      <c r="BE413" s="2746"/>
      <c r="BF413" s="2746"/>
      <c r="BG413" s="2746"/>
      <c r="BH413" s="2746"/>
      <c r="BI413" s="2746"/>
      <c r="BJ413" s="2746"/>
      <c r="BK413" s="2746"/>
      <c r="BL413" s="2746"/>
      <c r="BM413" s="2746"/>
      <c r="BN413" s="2746"/>
      <c r="BO413" s="2746"/>
      <c r="BP413" s="2746"/>
      <c r="BQ413" s="2746"/>
      <c r="BR413" s="2746"/>
      <c r="BS413" s="2746"/>
      <c r="BT413" s="2746"/>
      <c r="BU413" s="2746"/>
      <c r="BV413" s="2746"/>
      <c r="BW413" s="2746"/>
      <c r="BX413" s="2746"/>
      <c r="BY413" s="2746"/>
      <c r="BZ413" s="2746"/>
      <c r="CA413" s="2746"/>
      <c r="CB413" s="2746"/>
      <c r="CC413" s="2746"/>
      <c r="CD413" s="2746"/>
      <c r="CE413" s="2746"/>
      <c r="CF413" s="2746"/>
      <c r="CG413" s="2746"/>
      <c r="CH413" s="2746"/>
      <c r="CI413" s="2746"/>
      <c r="CJ413" s="2746"/>
      <c r="CK413" s="2746"/>
      <c r="CL413" s="2746"/>
      <c r="CM413" s="2746"/>
      <c r="CN413" s="2746"/>
    </row>
    <row r="414" spans="1:92" x14ac:dyDescent="0.2">
      <c r="A414" s="2746"/>
      <c r="B414" s="2746"/>
      <c r="C414" s="2746"/>
      <c r="D414" s="2746"/>
      <c r="E414" s="2746"/>
      <c r="F414" s="2746"/>
      <c r="G414" s="2746"/>
      <c r="H414" s="2746"/>
      <c r="I414" s="2746"/>
      <c r="J414" s="2746"/>
      <c r="K414" s="2746"/>
      <c r="L414" s="2746"/>
      <c r="M414" s="2746"/>
      <c r="N414" s="2746"/>
      <c r="O414" s="2746"/>
      <c r="P414" s="2746"/>
      <c r="Q414" s="2746"/>
      <c r="R414" s="2746"/>
      <c r="S414" s="2746"/>
      <c r="T414" s="2746"/>
      <c r="U414" s="2746"/>
      <c r="V414" s="2746"/>
      <c r="W414" s="2746"/>
      <c r="X414" s="2746"/>
      <c r="Y414" s="2746"/>
      <c r="Z414" s="2746"/>
      <c r="AA414" s="2746"/>
      <c r="AB414" s="2746"/>
      <c r="AC414" s="2746"/>
      <c r="AD414" s="2746"/>
      <c r="AE414" s="2746"/>
      <c r="AF414" s="2746"/>
      <c r="AG414" s="2746"/>
      <c r="AH414" s="2746"/>
      <c r="AI414" s="2746"/>
      <c r="AJ414" s="2746"/>
      <c r="AK414" s="2746"/>
      <c r="AL414" s="2746"/>
      <c r="AM414" s="2746"/>
      <c r="AN414" s="2746"/>
      <c r="AO414" s="2746"/>
      <c r="AP414" s="2746"/>
      <c r="AQ414" s="2746"/>
      <c r="AR414" s="2746"/>
      <c r="AS414" s="2746"/>
      <c r="AT414" s="2746"/>
      <c r="AU414" s="2746"/>
      <c r="AV414" s="2746"/>
      <c r="AW414" s="2746"/>
      <c r="AX414" s="2746"/>
      <c r="AY414" s="2746"/>
      <c r="AZ414" s="2746"/>
      <c r="BA414" s="2746"/>
      <c r="BB414" s="2746"/>
      <c r="BC414" s="2746"/>
      <c r="BD414" s="2746"/>
      <c r="BE414" s="2746"/>
      <c r="BF414" s="2746"/>
      <c r="BG414" s="2746"/>
      <c r="BH414" s="2746"/>
      <c r="BI414" s="2746"/>
      <c r="BJ414" s="2746"/>
      <c r="BK414" s="2746"/>
      <c r="BL414" s="2746"/>
      <c r="BM414" s="2746"/>
      <c r="BN414" s="2746"/>
      <c r="BO414" s="2746"/>
      <c r="BP414" s="2746"/>
      <c r="BQ414" s="2746"/>
      <c r="BR414" s="2746"/>
      <c r="BS414" s="2746"/>
      <c r="BT414" s="2746"/>
      <c r="BU414" s="2746"/>
      <c r="BV414" s="2746"/>
      <c r="BW414" s="2746"/>
      <c r="BX414" s="2746"/>
      <c r="BY414" s="2746"/>
      <c r="BZ414" s="2746"/>
      <c r="CA414" s="2746"/>
      <c r="CB414" s="2746"/>
      <c r="CC414" s="2746"/>
      <c r="CD414" s="2746"/>
      <c r="CE414" s="2746"/>
      <c r="CF414" s="2746"/>
      <c r="CG414" s="2746"/>
      <c r="CH414" s="2746"/>
      <c r="CI414" s="2746"/>
      <c r="CJ414" s="2746"/>
      <c r="CK414" s="2746"/>
      <c r="CL414" s="2746"/>
      <c r="CM414" s="2746"/>
      <c r="CN414" s="2746"/>
    </row>
    <row r="415" spans="1:92" x14ac:dyDescent="0.2">
      <c r="A415" s="2746"/>
      <c r="B415" s="2746"/>
      <c r="C415" s="2746"/>
      <c r="D415" s="2746"/>
      <c r="E415" s="2746"/>
      <c r="F415" s="2746"/>
      <c r="G415" s="2746"/>
      <c r="H415" s="2746"/>
      <c r="I415" s="2746"/>
      <c r="J415" s="2746"/>
      <c r="K415" s="2746"/>
      <c r="L415" s="2746"/>
      <c r="M415" s="2746"/>
      <c r="N415" s="2746"/>
      <c r="O415" s="2746"/>
      <c r="P415" s="2746"/>
      <c r="Q415" s="2746"/>
      <c r="R415" s="2746"/>
      <c r="S415" s="2746"/>
      <c r="T415" s="2746"/>
      <c r="U415" s="2746"/>
      <c r="V415" s="2746"/>
      <c r="W415" s="2746"/>
      <c r="X415" s="2746"/>
      <c r="Y415" s="2746"/>
      <c r="Z415" s="2746"/>
      <c r="AA415" s="2746"/>
      <c r="AB415" s="2746"/>
      <c r="AC415" s="2746"/>
      <c r="AD415" s="2746"/>
      <c r="AE415" s="2746"/>
      <c r="AF415" s="2746"/>
      <c r="AG415" s="2746"/>
      <c r="AH415" s="2746"/>
      <c r="AI415" s="2746"/>
      <c r="AJ415" s="2746"/>
      <c r="AK415" s="2746"/>
      <c r="AL415" s="2746"/>
      <c r="AM415" s="2746"/>
      <c r="AN415" s="2746"/>
      <c r="AO415" s="2746"/>
      <c r="AP415" s="2746"/>
      <c r="AQ415" s="2746"/>
      <c r="AR415" s="2746"/>
      <c r="AS415" s="2746"/>
      <c r="AT415" s="2746"/>
      <c r="AU415" s="2746"/>
      <c r="AV415" s="2746"/>
      <c r="AW415" s="2746"/>
      <c r="AX415" s="2746"/>
      <c r="AY415" s="2746"/>
      <c r="AZ415" s="2746"/>
      <c r="BA415" s="2746"/>
      <c r="BB415" s="2746"/>
      <c r="BC415" s="2746"/>
      <c r="BD415" s="2746"/>
      <c r="BE415" s="2746"/>
      <c r="BF415" s="2746"/>
      <c r="BG415" s="2746"/>
      <c r="BH415" s="2746"/>
      <c r="BI415" s="2746"/>
      <c r="BJ415" s="2746"/>
      <c r="BK415" s="2746"/>
      <c r="BL415" s="2746"/>
      <c r="BM415" s="2746"/>
      <c r="BN415" s="2746"/>
      <c r="BO415" s="2746"/>
      <c r="BP415" s="2746"/>
      <c r="BQ415" s="2746"/>
      <c r="BR415" s="2746"/>
      <c r="BS415" s="2746"/>
      <c r="BT415" s="2746"/>
      <c r="BU415" s="2746"/>
      <c r="BV415" s="2746"/>
      <c r="BW415" s="2746"/>
      <c r="BX415" s="2746"/>
      <c r="BY415" s="2746"/>
      <c r="BZ415" s="2746"/>
      <c r="CA415" s="2746"/>
      <c r="CB415" s="2746"/>
      <c r="CC415" s="2746"/>
      <c r="CD415" s="2746"/>
      <c r="CE415" s="2746"/>
      <c r="CF415" s="2746"/>
      <c r="CG415" s="2746"/>
      <c r="CH415" s="2746"/>
      <c r="CI415" s="2746"/>
      <c r="CJ415" s="2746"/>
      <c r="CK415" s="2746"/>
      <c r="CL415" s="2746"/>
      <c r="CM415" s="2746"/>
      <c r="CN415" s="2746"/>
    </row>
    <row r="416" spans="1:92" x14ac:dyDescent="0.2">
      <c r="A416" s="2746"/>
      <c r="B416" s="2746"/>
      <c r="C416" s="2746"/>
      <c r="D416" s="2746"/>
      <c r="E416" s="2746"/>
      <c r="F416" s="2746"/>
      <c r="G416" s="2746"/>
      <c r="H416" s="2746"/>
      <c r="I416" s="2746"/>
      <c r="J416" s="2746"/>
      <c r="K416" s="2746"/>
      <c r="L416" s="2746"/>
      <c r="M416" s="2746"/>
      <c r="N416" s="2746"/>
      <c r="O416" s="2746"/>
      <c r="P416" s="2746"/>
      <c r="Q416" s="2746"/>
      <c r="R416" s="2746"/>
      <c r="S416" s="2746"/>
      <c r="T416" s="2746"/>
      <c r="U416" s="2746"/>
      <c r="V416" s="2746"/>
      <c r="W416" s="2746"/>
      <c r="X416" s="2746"/>
      <c r="Y416" s="2746"/>
      <c r="Z416" s="2746"/>
      <c r="AA416" s="2746"/>
      <c r="AB416" s="2746"/>
      <c r="AC416" s="2746"/>
      <c r="AD416" s="2746"/>
      <c r="AE416" s="2746"/>
      <c r="AF416" s="2746"/>
      <c r="AG416" s="2746"/>
      <c r="AH416" s="2746"/>
      <c r="AI416" s="2746"/>
      <c r="AJ416" s="2746"/>
      <c r="AK416" s="2746"/>
      <c r="AL416" s="2746"/>
      <c r="AM416" s="2746"/>
      <c r="AN416" s="2746"/>
      <c r="AO416" s="2746"/>
      <c r="AP416" s="2746"/>
      <c r="AQ416" s="2746"/>
      <c r="AR416" s="2746"/>
      <c r="AS416" s="2746"/>
      <c r="AT416" s="2746"/>
      <c r="AU416" s="2746"/>
      <c r="AV416" s="2746"/>
      <c r="AW416" s="2746"/>
      <c r="AX416" s="2746"/>
      <c r="AY416" s="2746"/>
      <c r="AZ416" s="2746"/>
      <c r="BA416" s="2746"/>
      <c r="BB416" s="2746"/>
      <c r="BC416" s="2746"/>
      <c r="BD416" s="2746"/>
      <c r="BE416" s="2746"/>
      <c r="BF416" s="2746"/>
      <c r="BG416" s="2746"/>
      <c r="BH416" s="2746"/>
      <c r="BI416" s="2746"/>
      <c r="BJ416" s="2746"/>
      <c r="BK416" s="2746"/>
      <c r="BL416" s="2746"/>
      <c r="BM416" s="2746"/>
      <c r="BN416" s="2746"/>
      <c r="BO416" s="2746"/>
      <c r="BP416" s="2746"/>
      <c r="BQ416" s="2746"/>
      <c r="BR416" s="2746"/>
      <c r="BS416" s="2746"/>
      <c r="BT416" s="2746"/>
      <c r="BU416" s="2746"/>
      <c r="BV416" s="2746"/>
      <c r="BW416" s="2746"/>
      <c r="BX416" s="2746"/>
      <c r="BY416" s="2746"/>
      <c r="BZ416" s="2746"/>
      <c r="CA416" s="2746"/>
      <c r="CB416" s="2746"/>
      <c r="CC416" s="2746"/>
      <c r="CD416" s="2746"/>
      <c r="CE416" s="2746"/>
      <c r="CF416" s="2746"/>
      <c r="CG416" s="2746"/>
      <c r="CH416" s="2746"/>
      <c r="CI416" s="2746"/>
      <c r="CJ416" s="2746"/>
      <c r="CK416" s="2746"/>
      <c r="CL416" s="2746"/>
      <c r="CM416" s="2746"/>
      <c r="CN416" s="2746"/>
    </row>
    <row r="417" spans="1:92" x14ac:dyDescent="0.2">
      <c r="A417" s="2746"/>
      <c r="B417" s="2746"/>
      <c r="C417" s="2746"/>
      <c r="D417" s="2746"/>
      <c r="E417" s="2746"/>
      <c r="F417" s="2746"/>
      <c r="G417" s="2746"/>
      <c r="H417" s="2746"/>
      <c r="I417" s="2746"/>
      <c r="J417" s="2746"/>
      <c r="K417" s="2746"/>
      <c r="L417" s="2746"/>
      <c r="M417" s="2746"/>
      <c r="N417" s="2746"/>
      <c r="O417" s="2746"/>
      <c r="P417" s="2746"/>
      <c r="Q417" s="2746"/>
      <c r="R417" s="2746"/>
      <c r="S417" s="2746"/>
      <c r="T417" s="2746"/>
      <c r="U417" s="2746"/>
      <c r="V417" s="2746"/>
      <c r="W417" s="2746"/>
      <c r="X417" s="2746"/>
      <c r="Y417" s="2746"/>
      <c r="Z417" s="2746"/>
      <c r="AA417" s="2746"/>
      <c r="AB417" s="2746"/>
      <c r="AC417" s="2746"/>
      <c r="AD417" s="2746"/>
      <c r="AE417" s="2746"/>
      <c r="AF417" s="2746"/>
      <c r="AG417" s="2746"/>
      <c r="AH417" s="2746"/>
      <c r="AI417" s="2746"/>
      <c r="AJ417" s="2746"/>
      <c r="AK417" s="2746"/>
      <c r="AL417" s="2746"/>
      <c r="AM417" s="2746"/>
      <c r="AN417" s="2746"/>
      <c r="AO417" s="2746"/>
      <c r="AP417" s="2746"/>
      <c r="AQ417" s="2746"/>
      <c r="AR417" s="2746"/>
      <c r="AS417" s="2746"/>
      <c r="AT417" s="2746"/>
      <c r="AU417" s="2746"/>
      <c r="AV417" s="2746"/>
      <c r="AW417" s="2746"/>
      <c r="AX417" s="2746"/>
      <c r="AY417" s="2746"/>
      <c r="AZ417" s="2746"/>
      <c r="BA417" s="2746"/>
      <c r="BB417" s="2746"/>
      <c r="BC417" s="2746"/>
      <c r="BD417" s="2746"/>
      <c r="BE417" s="2746"/>
      <c r="BF417" s="2746"/>
      <c r="BG417" s="2746"/>
      <c r="BH417" s="2746"/>
      <c r="BI417" s="2746"/>
      <c r="BJ417" s="2746"/>
      <c r="BK417" s="2746"/>
      <c r="BL417" s="2746"/>
      <c r="BM417" s="2746"/>
      <c r="BN417" s="2746"/>
      <c r="BO417" s="2746"/>
      <c r="BP417" s="2746"/>
      <c r="BQ417" s="2746"/>
      <c r="BR417" s="2746"/>
      <c r="BS417" s="2746"/>
      <c r="BT417" s="2746"/>
      <c r="BU417" s="2746"/>
      <c r="BV417" s="2746"/>
      <c r="BW417" s="2746"/>
      <c r="BX417" s="2746"/>
      <c r="BY417" s="2746"/>
      <c r="BZ417" s="2746"/>
      <c r="CA417" s="2746"/>
      <c r="CB417" s="2746"/>
      <c r="CC417" s="2746"/>
      <c r="CD417" s="2746"/>
      <c r="CE417" s="2746"/>
      <c r="CF417" s="2746"/>
      <c r="CG417" s="2746"/>
      <c r="CH417" s="2746"/>
      <c r="CI417" s="2746"/>
      <c r="CJ417" s="2746"/>
      <c r="CK417" s="2746"/>
      <c r="CL417" s="2746"/>
      <c r="CM417" s="2746"/>
      <c r="CN417" s="2746"/>
    </row>
    <row r="418" spans="1:92" x14ac:dyDescent="0.2">
      <c r="A418" s="2746"/>
      <c r="B418" s="2746"/>
      <c r="C418" s="2746"/>
      <c r="D418" s="2746"/>
      <c r="E418" s="2746"/>
      <c r="F418" s="2746"/>
      <c r="G418" s="2746"/>
      <c r="H418" s="2746"/>
      <c r="I418" s="2746"/>
      <c r="J418" s="2746"/>
      <c r="K418" s="2746"/>
      <c r="L418" s="2746"/>
      <c r="M418" s="2746"/>
      <c r="N418" s="2746"/>
      <c r="O418" s="2746"/>
      <c r="P418" s="2746"/>
      <c r="Q418" s="2746"/>
      <c r="R418" s="2746"/>
      <c r="S418" s="2746"/>
      <c r="T418" s="2746"/>
      <c r="U418" s="2746"/>
      <c r="V418" s="2746"/>
      <c r="W418" s="2746"/>
      <c r="X418" s="2746"/>
      <c r="Y418" s="2746"/>
      <c r="Z418" s="2746"/>
      <c r="AA418" s="2746"/>
      <c r="AB418" s="2746"/>
      <c r="AC418" s="2746"/>
      <c r="AD418" s="2746"/>
      <c r="AE418" s="2746"/>
      <c r="AF418" s="2746"/>
      <c r="AG418" s="2746"/>
      <c r="AH418" s="2746"/>
      <c r="AI418" s="2746"/>
      <c r="AJ418" s="2746"/>
      <c r="AK418" s="2746"/>
      <c r="AL418" s="2746"/>
      <c r="AM418" s="2746"/>
      <c r="AN418" s="2746"/>
      <c r="AO418" s="2746"/>
      <c r="AP418" s="2746"/>
      <c r="AQ418" s="2746"/>
      <c r="AR418" s="2746"/>
      <c r="AS418" s="2746"/>
      <c r="AT418" s="2746"/>
      <c r="AU418" s="2746"/>
      <c r="AV418" s="2746"/>
      <c r="AW418" s="2746"/>
      <c r="AX418" s="2746"/>
      <c r="AY418" s="2746"/>
      <c r="AZ418" s="2746"/>
      <c r="BA418" s="2746"/>
      <c r="BB418" s="2746"/>
      <c r="BC418" s="2746"/>
      <c r="BD418" s="2746"/>
      <c r="BE418" s="2746"/>
      <c r="BF418" s="2746"/>
      <c r="BG418" s="2746"/>
      <c r="BH418" s="2746"/>
      <c r="BI418" s="2746"/>
      <c r="BJ418" s="2746"/>
      <c r="BK418" s="2746"/>
      <c r="BL418" s="2746"/>
      <c r="BM418" s="2746"/>
      <c r="BN418" s="2746"/>
      <c r="BO418" s="2746"/>
      <c r="BP418" s="2746"/>
      <c r="BQ418" s="2746"/>
      <c r="BR418" s="2746"/>
      <c r="BS418" s="2746"/>
      <c r="BT418" s="2746"/>
      <c r="BU418" s="2746"/>
      <c r="BV418" s="2746"/>
      <c r="BW418" s="2746"/>
      <c r="BX418" s="2746"/>
      <c r="BY418" s="2746"/>
      <c r="BZ418" s="2746"/>
      <c r="CA418" s="2746"/>
      <c r="CB418" s="2746"/>
      <c r="CC418" s="2746"/>
      <c r="CD418" s="2746"/>
      <c r="CE418" s="2746"/>
      <c r="CF418" s="2746"/>
      <c r="CG418" s="2746"/>
      <c r="CH418" s="2746"/>
      <c r="CI418" s="2746"/>
      <c r="CJ418" s="2746"/>
      <c r="CK418" s="2746"/>
      <c r="CL418" s="2746"/>
      <c r="CM418" s="2746"/>
      <c r="CN418" s="2746"/>
    </row>
    <row r="419" spans="1:92" x14ac:dyDescent="0.2">
      <c r="A419" s="2746"/>
      <c r="B419" s="2746"/>
      <c r="C419" s="2746"/>
      <c r="D419" s="2746"/>
      <c r="E419" s="2746"/>
      <c r="F419" s="2746"/>
      <c r="G419" s="2746"/>
      <c r="H419" s="2746"/>
      <c r="I419" s="2746"/>
      <c r="J419" s="2746"/>
      <c r="K419" s="2746"/>
      <c r="L419" s="2746"/>
      <c r="M419" s="2746"/>
      <c r="N419" s="2746"/>
      <c r="O419" s="2746"/>
      <c r="P419" s="2746"/>
      <c r="Q419" s="2746"/>
      <c r="R419" s="2746"/>
      <c r="S419" s="2746"/>
      <c r="T419" s="2746"/>
      <c r="U419" s="2746"/>
      <c r="V419" s="2746"/>
      <c r="W419" s="2746"/>
      <c r="X419" s="2746"/>
      <c r="Y419" s="2746"/>
      <c r="Z419" s="2746"/>
      <c r="AA419" s="2746"/>
      <c r="AB419" s="2746"/>
      <c r="AC419" s="2746"/>
      <c r="AD419" s="2746"/>
      <c r="AE419" s="2746"/>
      <c r="AF419" s="2746"/>
      <c r="AG419" s="2746"/>
      <c r="AH419" s="2746"/>
      <c r="AI419" s="2746"/>
      <c r="AJ419" s="2746"/>
      <c r="AK419" s="2746"/>
      <c r="AL419" s="2746"/>
      <c r="AM419" s="2746"/>
      <c r="AN419" s="2746"/>
      <c r="AO419" s="2746"/>
      <c r="AP419" s="2746"/>
      <c r="AQ419" s="2746"/>
      <c r="AR419" s="2746"/>
      <c r="AS419" s="2746"/>
      <c r="AT419" s="2746"/>
      <c r="AU419" s="2746"/>
      <c r="AV419" s="2746"/>
      <c r="AW419" s="2746"/>
      <c r="AX419" s="2746"/>
      <c r="AY419" s="2746"/>
      <c r="AZ419" s="2746"/>
      <c r="BA419" s="2746"/>
      <c r="BB419" s="2746"/>
      <c r="BC419" s="2746"/>
      <c r="BD419" s="2746"/>
      <c r="BE419" s="2746"/>
      <c r="BF419" s="2746"/>
      <c r="BG419" s="2746"/>
      <c r="BH419" s="2746"/>
      <c r="BI419" s="2746"/>
      <c r="BJ419" s="2746"/>
      <c r="BK419" s="2746"/>
      <c r="BL419" s="2746"/>
      <c r="BM419" s="2746"/>
      <c r="BN419" s="2746"/>
      <c r="BO419" s="2746"/>
      <c r="BP419" s="2746"/>
      <c r="BQ419" s="2746"/>
      <c r="BR419" s="2746"/>
      <c r="BS419" s="2746"/>
      <c r="BT419" s="2746"/>
      <c r="BU419" s="2746"/>
      <c r="BV419" s="2746"/>
      <c r="BW419" s="2746"/>
      <c r="BX419" s="2746"/>
      <c r="BY419" s="2746"/>
      <c r="BZ419" s="2746"/>
      <c r="CA419" s="2746"/>
      <c r="CB419" s="2746"/>
      <c r="CC419" s="2746"/>
      <c r="CD419" s="2746"/>
      <c r="CE419" s="2746"/>
      <c r="CF419" s="2746"/>
      <c r="CG419" s="2746"/>
      <c r="CH419" s="2746"/>
      <c r="CI419" s="2746"/>
      <c r="CJ419" s="2746"/>
      <c r="CK419" s="2746"/>
      <c r="CL419" s="2746"/>
      <c r="CM419" s="2746"/>
      <c r="CN419" s="2746"/>
    </row>
    <row r="420" spans="1:92" x14ac:dyDescent="0.2">
      <c r="A420" s="2746"/>
      <c r="B420" s="2746"/>
      <c r="C420" s="2746"/>
      <c r="D420" s="2746"/>
      <c r="E420" s="2746"/>
      <c r="F420" s="2746"/>
      <c r="G420" s="2746"/>
      <c r="H420" s="2746"/>
      <c r="I420" s="2746"/>
      <c r="J420" s="2746"/>
      <c r="K420" s="2746"/>
      <c r="L420" s="2746"/>
      <c r="M420" s="2746"/>
      <c r="N420" s="2746"/>
      <c r="O420" s="2746"/>
      <c r="P420" s="2746"/>
      <c r="Q420" s="2746"/>
      <c r="R420" s="2746"/>
      <c r="S420" s="2746"/>
      <c r="T420" s="2746"/>
      <c r="U420" s="2746"/>
      <c r="V420" s="2746"/>
      <c r="W420" s="2746"/>
      <c r="X420" s="2746"/>
      <c r="Y420" s="2746"/>
      <c r="Z420" s="2746"/>
      <c r="AA420" s="2746"/>
      <c r="AB420" s="2746"/>
      <c r="AC420" s="2746"/>
      <c r="AD420" s="2746"/>
      <c r="AE420" s="2746"/>
      <c r="AF420" s="2746"/>
      <c r="AG420" s="2746"/>
      <c r="AH420" s="2746"/>
      <c r="AI420" s="2746"/>
      <c r="AJ420" s="2746"/>
      <c r="AK420" s="2746"/>
      <c r="AL420" s="2746"/>
      <c r="AM420" s="2746"/>
      <c r="AN420" s="2746"/>
      <c r="AO420" s="2746"/>
      <c r="AP420" s="2746"/>
      <c r="AQ420" s="2746"/>
      <c r="AR420" s="2746"/>
      <c r="AS420" s="2746"/>
      <c r="AT420" s="2746"/>
      <c r="AU420" s="2746"/>
      <c r="AV420" s="2746"/>
      <c r="AW420" s="2746"/>
      <c r="AX420" s="2746"/>
      <c r="AY420" s="2746"/>
      <c r="AZ420" s="2746"/>
      <c r="BA420" s="2746"/>
      <c r="BB420" s="2746"/>
      <c r="BC420" s="2746"/>
      <c r="BD420" s="2746"/>
      <c r="BE420" s="2746"/>
      <c r="BF420" s="2746"/>
      <c r="BG420" s="2746"/>
      <c r="BH420" s="2746"/>
      <c r="BI420" s="2746"/>
      <c r="BJ420" s="2746"/>
      <c r="BK420" s="2746"/>
      <c r="BL420" s="2746"/>
      <c r="BM420" s="2746"/>
      <c r="BN420" s="2746"/>
      <c r="BO420" s="2746"/>
      <c r="BP420" s="2746"/>
      <c r="BQ420" s="2746"/>
      <c r="BR420" s="2746"/>
      <c r="BS420" s="2746"/>
      <c r="BT420" s="2746"/>
      <c r="BU420" s="2746"/>
      <c r="BV420" s="2746"/>
      <c r="BW420" s="2746"/>
      <c r="BX420" s="2746"/>
      <c r="BY420" s="2746"/>
      <c r="BZ420" s="2746"/>
      <c r="CA420" s="2746"/>
      <c r="CB420" s="2746"/>
      <c r="CC420" s="2746"/>
      <c r="CD420" s="2746"/>
      <c r="CE420" s="2746"/>
      <c r="CF420" s="2746"/>
      <c r="CG420" s="2746"/>
      <c r="CH420" s="2746"/>
      <c r="CI420" s="2746"/>
      <c r="CJ420" s="2746"/>
      <c r="CK420" s="2746"/>
      <c r="CL420" s="2746"/>
      <c r="CM420" s="2746"/>
      <c r="CN420" s="2746"/>
    </row>
    <row r="421" spans="1:92" x14ac:dyDescent="0.2">
      <c r="A421" s="2746"/>
      <c r="B421" s="2746"/>
      <c r="C421" s="2746"/>
      <c r="D421" s="2746"/>
      <c r="E421" s="2746"/>
      <c r="F421" s="2746"/>
      <c r="G421" s="2746"/>
      <c r="H421" s="2746"/>
      <c r="I421" s="2746"/>
      <c r="J421" s="2746"/>
      <c r="K421" s="2746"/>
      <c r="L421" s="2746"/>
      <c r="M421" s="2746"/>
      <c r="N421" s="2746"/>
      <c r="O421" s="2746"/>
      <c r="P421" s="2746"/>
      <c r="Q421" s="2746"/>
      <c r="R421" s="2746"/>
      <c r="S421" s="2746"/>
      <c r="T421" s="2746"/>
      <c r="U421" s="2746"/>
      <c r="V421" s="2746"/>
      <c r="W421" s="2746"/>
      <c r="X421" s="2746"/>
      <c r="Y421" s="2746"/>
      <c r="Z421" s="2746"/>
      <c r="AA421" s="2746"/>
      <c r="AB421" s="2746"/>
      <c r="AC421" s="2746"/>
      <c r="AD421" s="2746"/>
      <c r="AE421" s="2746"/>
      <c r="AF421" s="2746"/>
      <c r="AG421" s="2746"/>
      <c r="AH421" s="2746"/>
      <c r="AI421" s="2746"/>
      <c r="AJ421" s="2746"/>
      <c r="AK421" s="2746"/>
      <c r="AL421" s="2746"/>
      <c r="AM421" s="2746"/>
      <c r="AN421" s="2746"/>
      <c r="AO421" s="2746"/>
      <c r="AP421" s="2746"/>
      <c r="AQ421" s="2746"/>
      <c r="AR421" s="2746"/>
      <c r="AS421" s="2746"/>
      <c r="AT421" s="2746"/>
      <c r="AU421" s="2746"/>
      <c r="AV421" s="2746"/>
      <c r="AW421" s="2746"/>
      <c r="AX421" s="2746"/>
      <c r="AY421" s="2746"/>
      <c r="AZ421" s="2746"/>
      <c r="BA421" s="2746"/>
      <c r="BB421" s="2746"/>
      <c r="BC421" s="2746"/>
      <c r="BD421" s="2746"/>
      <c r="BE421" s="2746"/>
      <c r="BF421" s="2746"/>
      <c r="BG421" s="2746"/>
      <c r="BH421" s="2746"/>
      <c r="BI421" s="2746"/>
      <c r="BJ421" s="2746"/>
      <c r="BK421" s="2746"/>
      <c r="BL421" s="2746"/>
      <c r="BM421" s="2746"/>
      <c r="BN421" s="2746"/>
      <c r="BO421" s="2746"/>
      <c r="BP421" s="2746"/>
      <c r="BQ421" s="2746"/>
      <c r="BR421" s="2746"/>
      <c r="BS421" s="2746"/>
      <c r="BT421" s="2746"/>
      <c r="BU421" s="2746"/>
      <c r="BV421" s="2746"/>
      <c r="BW421" s="2746"/>
      <c r="BX421" s="2746"/>
      <c r="BY421" s="2746"/>
      <c r="BZ421" s="2746"/>
      <c r="CA421" s="2746"/>
      <c r="CB421" s="2746"/>
      <c r="CC421" s="2746"/>
      <c r="CD421" s="2746"/>
      <c r="CE421" s="2746"/>
      <c r="CF421" s="2746"/>
      <c r="CG421" s="2746"/>
      <c r="CH421" s="2746"/>
      <c r="CI421" s="2746"/>
      <c r="CJ421" s="2746"/>
      <c r="CK421" s="2746"/>
      <c r="CL421" s="2746"/>
      <c r="CM421" s="2746"/>
      <c r="CN421" s="2746"/>
    </row>
    <row r="422" spans="1:92" x14ac:dyDescent="0.2">
      <c r="A422" s="2746"/>
      <c r="B422" s="2746"/>
      <c r="C422" s="2746"/>
      <c r="D422" s="2746"/>
      <c r="E422" s="2746"/>
      <c r="F422" s="2746"/>
      <c r="G422" s="2746"/>
      <c r="H422" s="2746"/>
      <c r="I422" s="2746"/>
      <c r="J422" s="2746"/>
      <c r="K422" s="2746"/>
      <c r="L422" s="2746"/>
      <c r="M422" s="2746"/>
      <c r="N422" s="2746"/>
      <c r="O422" s="2746"/>
      <c r="P422" s="2746"/>
      <c r="Q422" s="2746"/>
      <c r="R422" s="2746"/>
      <c r="S422" s="2746"/>
      <c r="T422" s="2746"/>
      <c r="U422" s="2746"/>
      <c r="V422" s="2746"/>
      <c r="W422" s="2746"/>
      <c r="X422" s="2746"/>
      <c r="Y422" s="2746"/>
      <c r="Z422" s="2746"/>
      <c r="AA422" s="2746"/>
      <c r="AB422" s="2746"/>
      <c r="AC422" s="2746"/>
      <c r="AD422" s="2746"/>
      <c r="AE422" s="2746"/>
      <c r="AF422" s="2746"/>
      <c r="AG422" s="2746"/>
      <c r="AH422" s="2746"/>
      <c r="AI422" s="2746"/>
      <c r="AJ422" s="2746"/>
      <c r="AK422" s="2746"/>
      <c r="AL422" s="2746"/>
      <c r="AM422" s="2746"/>
      <c r="AN422" s="2746"/>
      <c r="AO422" s="2746"/>
      <c r="AP422" s="2746"/>
      <c r="AQ422" s="2746"/>
      <c r="AR422" s="2746"/>
      <c r="AS422" s="2746"/>
      <c r="AT422" s="2746"/>
      <c r="AU422" s="2746"/>
      <c r="AV422" s="2746"/>
      <c r="AW422" s="2746"/>
      <c r="AX422" s="2746"/>
      <c r="AY422" s="2746"/>
      <c r="AZ422" s="2746"/>
      <c r="BA422" s="2746"/>
      <c r="BB422" s="2746"/>
      <c r="BC422" s="2746"/>
      <c r="BD422" s="2746"/>
      <c r="BE422" s="2746"/>
      <c r="BF422" s="2746"/>
      <c r="BG422" s="2746"/>
      <c r="BH422" s="2746"/>
      <c r="BI422" s="2746"/>
      <c r="BJ422" s="2746"/>
      <c r="BK422" s="2746"/>
      <c r="BL422" s="2746"/>
      <c r="BM422" s="2746"/>
      <c r="BN422" s="2746"/>
      <c r="BO422" s="2746"/>
      <c r="BP422" s="2746"/>
      <c r="BQ422" s="2746"/>
      <c r="BR422" s="2746"/>
      <c r="BS422" s="2746"/>
      <c r="BT422" s="2746"/>
      <c r="BU422" s="2746"/>
      <c r="BV422" s="2746"/>
      <c r="BW422" s="2746"/>
      <c r="BX422" s="2746"/>
      <c r="BY422" s="2746"/>
      <c r="BZ422" s="2746"/>
      <c r="CA422" s="2746"/>
      <c r="CB422" s="2746"/>
      <c r="CC422" s="2746"/>
      <c r="CD422" s="2746"/>
      <c r="CE422" s="2746"/>
      <c r="CF422" s="2746"/>
      <c r="CG422" s="2746"/>
      <c r="CH422" s="2746"/>
      <c r="CI422" s="2746"/>
      <c r="CJ422" s="2746"/>
      <c r="CK422" s="2746"/>
      <c r="CL422" s="2746"/>
      <c r="CM422" s="2746"/>
      <c r="CN422" s="2746"/>
    </row>
    <row r="423" spans="1:92" x14ac:dyDescent="0.2">
      <c r="A423" s="2746"/>
      <c r="B423" s="2746"/>
      <c r="C423" s="2746"/>
      <c r="D423" s="2746"/>
      <c r="E423" s="2746"/>
      <c r="F423" s="2746"/>
      <c r="G423" s="2746"/>
      <c r="H423" s="2746"/>
      <c r="I423" s="2746"/>
      <c r="J423" s="2746"/>
      <c r="K423" s="2746"/>
      <c r="L423" s="2746"/>
      <c r="M423" s="2746"/>
      <c r="N423" s="2746"/>
      <c r="O423" s="2746"/>
      <c r="P423" s="2746"/>
      <c r="Q423" s="2746"/>
      <c r="R423" s="2746"/>
      <c r="S423" s="2746"/>
      <c r="T423" s="2746"/>
      <c r="U423" s="2746"/>
      <c r="V423" s="2746"/>
      <c r="W423" s="2746"/>
      <c r="X423" s="2746"/>
      <c r="Y423" s="2746"/>
      <c r="Z423" s="2746"/>
      <c r="AA423" s="2746"/>
      <c r="AB423" s="2746"/>
      <c r="AC423" s="2746"/>
      <c r="AD423" s="2746"/>
      <c r="AE423" s="2746"/>
      <c r="AF423" s="2746"/>
      <c r="AG423" s="2746"/>
      <c r="AH423" s="2746"/>
      <c r="AI423" s="2746"/>
      <c r="AJ423" s="2746"/>
      <c r="AK423" s="2746"/>
      <c r="AL423" s="2746"/>
      <c r="AM423" s="2746"/>
      <c r="AN423" s="2746"/>
      <c r="AO423" s="2746"/>
      <c r="AP423" s="2746"/>
      <c r="AQ423" s="2746"/>
      <c r="AR423" s="2746"/>
      <c r="AS423" s="2746"/>
      <c r="AT423" s="2746"/>
      <c r="AU423" s="2746"/>
      <c r="AV423" s="2746"/>
      <c r="AW423" s="2746"/>
      <c r="AX423" s="2746"/>
      <c r="AY423" s="2746"/>
      <c r="AZ423" s="2746"/>
      <c r="BA423" s="2746"/>
      <c r="BB423" s="2746"/>
      <c r="BC423" s="2746"/>
      <c r="BD423" s="2746"/>
      <c r="BE423" s="2746"/>
      <c r="BF423" s="2746"/>
      <c r="BG423" s="2746"/>
      <c r="BH423" s="2746"/>
      <c r="BI423" s="2746"/>
      <c r="BJ423" s="2746"/>
      <c r="BK423" s="2746"/>
      <c r="BL423" s="2746"/>
      <c r="BM423" s="2746"/>
      <c r="BN423" s="2746"/>
      <c r="BO423" s="2746"/>
      <c r="BP423" s="2746"/>
      <c r="BQ423" s="2746"/>
      <c r="BR423" s="2746"/>
      <c r="BS423" s="2746"/>
      <c r="BT423" s="2746"/>
      <c r="BU423" s="2746"/>
      <c r="BV423" s="2746"/>
      <c r="BW423" s="2746"/>
      <c r="BX423" s="2746"/>
      <c r="BY423" s="2746"/>
      <c r="BZ423" s="2746"/>
      <c r="CA423" s="2746"/>
      <c r="CB423" s="2746"/>
      <c r="CC423" s="2746"/>
      <c r="CD423" s="2746"/>
      <c r="CE423" s="2746"/>
      <c r="CF423" s="2746"/>
      <c r="CG423" s="2746"/>
      <c r="CH423" s="2746"/>
      <c r="CI423" s="2746"/>
      <c r="CJ423" s="2746"/>
      <c r="CK423" s="2746"/>
      <c r="CL423" s="2746"/>
      <c r="CM423" s="2746"/>
      <c r="CN423" s="2746"/>
    </row>
    <row r="424" spans="1:92" x14ac:dyDescent="0.2">
      <c r="A424" s="2746"/>
      <c r="B424" s="2746"/>
      <c r="C424" s="2746"/>
      <c r="D424" s="2746"/>
      <c r="E424" s="2746"/>
      <c r="F424" s="2746"/>
      <c r="G424" s="2746"/>
      <c r="H424" s="2746"/>
      <c r="I424" s="2746"/>
      <c r="J424" s="2746"/>
      <c r="K424" s="2746"/>
      <c r="L424" s="2746"/>
      <c r="M424" s="2746"/>
      <c r="N424" s="2746"/>
      <c r="O424" s="2746"/>
      <c r="P424" s="2746"/>
      <c r="Q424" s="2746"/>
      <c r="R424" s="2746"/>
      <c r="S424" s="2746"/>
      <c r="T424" s="2746"/>
      <c r="U424" s="2746"/>
      <c r="V424" s="2746"/>
      <c r="W424" s="2746"/>
      <c r="X424" s="2746"/>
      <c r="Y424" s="2746"/>
      <c r="Z424" s="2746"/>
      <c r="AA424" s="2746"/>
      <c r="AB424" s="2746"/>
      <c r="AC424" s="2746"/>
      <c r="AD424" s="2746"/>
      <c r="AE424" s="2746"/>
      <c r="AF424" s="2746"/>
      <c r="AG424" s="2746"/>
      <c r="AH424" s="2746"/>
      <c r="AI424" s="2746"/>
      <c r="AJ424" s="2746"/>
      <c r="AK424" s="2746"/>
      <c r="AL424" s="2746"/>
      <c r="AM424" s="2746"/>
      <c r="AN424" s="2746"/>
      <c r="AO424" s="2746"/>
      <c r="AP424" s="2746"/>
      <c r="AQ424" s="2746"/>
      <c r="AR424" s="2746"/>
      <c r="AS424" s="2746"/>
      <c r="AT424" s="2746"/>
      <c r="AU424" s="2746"/>
      <c r="AV424" s="2746"/>
      <c r="AW424" s="2746"/>
      <c r="AX424" s="2746"/>
      <c r="AY424" s="2746"/>
      <c r="AZ424" s="2746"/>
      <c r="BA424" s="2746"/>
      <c r="BB424" s="2746"/>
      <c r="BC424" s="2746"/>
      <c r="BD424" s="2746"/>
      <c r="BE424" s="2746"/>
      <c r="BF424" s="2746"/>
      <c r="BG424" s="2746"/>
      <c r="BH424" s="2746"/>
      <c r="BI424" s="2746"/>
      <c r="BJ424" s="2746"/>
      <c r="BK424" s="2746"/>
      <c r="BL424" s="2746"/>
      <c r="BM424" s="2746"/>
      <c r="BN424" s="2746"/>
      <c r="BO424" s="2746"/>
      <c r="BP424" s="2746"/>
      <c r="BQ424" s="2746"/>
      <c r="BR424" s="2746"/>
      <c r="BS424" s="2746"/>
      <c r="BT424" s="2746"/>
      <c r="BU424" s="2746"/>
      <c r="BV424" s="2746"/>
      <c r="BW424" s="2746"/>
      <c r="BX424" s="2746"/>
      <c r="BY424" s="2746"/>
      <c r="BZ424" s="2746"/>
      <c r="CA424" s="2746"/>
      <c r="CB424" s="2746"/>
      <c r="CC424" s="2746"/>
      <c r="CD424" s="2746"/>
      <c r="CE424" s="2746"/>
      <c r="CF424" s="2746"/>
      <c r="CG424" s="2746"/>
      <c r="CH424" s="2746"/>
      <c r="CI424" s="2746"/>
      <c r="CJ424" s="2746"/>
      <c r="CK424" s="2746"/>
      <c r="CL424" s="2746"/>
      <c r="CM424" s="2746"/>
      <c r="CN424" s="2746"/>
    </row>
    <row r="425" spans="1:92" x14ac:dyDescent="0.2">
      <c r="A425" s="2746"/>
      <c r="B425" s="2746"/>
      <c r="C425" s="2746"/>
      <c r="D425" s="2746"/>
      <c r="E425" s="2746"/>
      <c r="F425" s="2746"/>
      <c r="G425" s="2746"/>
      <c r="H425" s="2746"/>
      <c r="I425" s="2746"/>
      <c r="J425" s="2746"/>
      <c r="K425" s="2746"/>
      <c r="L425" s="2746"/>
      <c r="M425" s="2746"/>
      <c r="N425" s="2746"/>
      <c r="O425" s="2746"/>
      <c r="P425" s="2746"/>
      <c r="Q425" s="2746"/>
      <c r="R425" s="2746"/>
      <c r="S425" s="2746"/>
      <c r="T425" s="2746"/>
      <c r="U425" s="2746"/>
      <c r="V425" s="2746"/>
      <c r="W425" s="2746"/>
      <c r="X425" s="2746"/>
      <c r="Y425" s="2746"/>
      <c r="Z425" s="2746"/>
      <c r="AA425" s="2746"/>
      <c r="AB425" s="2746"/>
      <c r="AC425" s="2746"/>
      <c r="AD425" s="2746"/>
      <c r="AE425" s="2746"/>
      <c r="AF425" s="2746"/>
      <c r="AG425" s="2746"/>
      <c r="AH425" s="2746"/>
      <c r="AI425" s="2746"/>
      <c r="AJ425" s="2746"/>
      <c r="AK425" s="2746"/>
      <c r="AL425" s="2746"/>
      <c r="AM425" s="2746"/>
      <c r="AN425" s="2746"/>
      <c r="AO425" s="2746"/>
      <c r="AP425" s="2746"/>
      <c r="AQ425" s="2746"/>
      <c r="AR425" s="2746"/>
      <c r="AS425" s="2746"/>
      <c r="AT425" s="2746"/>
      <c r="AU425" s="2746"/>
      <c r="AV425" s="2746"/>
      <c r="AW425" s="2746"/>
      <c r="AX425" s="2746"/>
      <c r="AY425" s="2746"/>
      <c r="AZ425" s="2746"/>
      <c r="BA425" s="2746"/>
      <c r="BB425" s="2746"/>
      <c r="BC425" s="2746"/>
      <c r="BD425" s="2746"/>
      <c r="BE425" s="2746"/>
      <c r="BF425" s="2746"/>
      <c r="BG425" s="2746"/>
      <c r="BH425" s="2746"/>
      <c r="BI425" s="2746"/>
      <c r="BJ425" s="2746"/>
      <c r="BK425" s="2746"/>
      <c r="BL425" s="2746"/>
      <c r="BM425" s="2746"/>
      <c r="BN425" s="2746"/>
      <c r="BO425" s="2746"/>
      <c r="BP425" s="2746"/>
      <c r="BQ425" s="2746"/>
      <c r="BR425" s="2746"/>
      <c r="BS425" s="2746"/>
      <c r="BT425" s="2746"/>
      <c r="BU425" s="2746"/>
      <c r="BV425" s="2746"/>
      <c r="BW425" s="2746"/>
      <c r="BX425" s="2746"/>
      <c r="BY425" s="2746"/>
      <c r="BZ425" s="2746"/>
      <c r="CA425" s="2746"/>
      <c r="CB425" s="2746"/>
      <c r="CC425" s="2746"/>
      <c r="CD425" s="2746"/>
      <c r="CE425" s="2746"/>
      <c r="CF425" s="2746"/>
      <c r="CG425" s="2746"/>
      <c r="CH425" s="2746"/>
      <c r="CI425" s="2746"/>
      <c r="CJ425" s="2746"/>
      <c r="CK425" s="2746"/>
      <c r="CL425" s="2746"/>
      <c r="CM425" s="2746"/>
      <c r="CN425" s="2746"/>
    </row>
    <row r="426" spans="1:92" x14ac:dyDescent="0.2">
      <c r="A426" s="2746"/>
      <c r="B426" s="2746"/>
      <c r="C426" s="2746"/>
      <c r="D426" s="2746"/>
      <c r="E426" s="2746"/>
      <c r="F426" s="2746"/>
      <c r="G426" s="2746"/>
      <c r="H426" s="2746"/>
      <c r="I426" s="2746"/>
      <c r="J426" s="2746"/>
      <c r="K426" s="2746"/>
      <c r="L426" s="2746"/>
      <c r="M426" s="2746"/>
      <c r="N426" s="2746"/>
      <c r="O426" s="2746"/>
      <c r="P426" s="2746"/>
      <c r="Q426" s="2746"/>
      <c r="R426" s="2746"/>
      <c r="S426" s="2746"/>
      <c r="T426" s="2746"/>
      <c r="U426" s="2746"/>
      <c r="V426" s="2746"/>
      <c r="W426" s="2746"/>
      <c r="X426" s="2746"/>
      <c r="Y426" s="2746"/>
      <c r="Z426" s="2746"/>
      <c r="AA426" s="2746"/>
      <c r="AB426" s="2746"/>
      <c r="AC426" s="2746"/>
      <c r="AD426" s="2746"/>
      <c r="AE426" s="2746"/>
      <c r="AF426" s="2746"/>
      <c r="AG426" s="2746"/>
      <c r="AH426" s="2746"/>
      <c r="AI426" s="2746"/>
      <c r="AJ426" s="2746"/>
      <c r="AK426" s="2746"/>
      <c r="AL426" s="2746"/>
      <c r="AM426" s="2746"/>
      <c r="AN426" s="2746"/>
      <c r="AO426" s="2746"/>
      <c r="AP426" s="2746"/>
      <c r="AQ426" s="2746"/>
      <c r="AR426" s="2746"/>
      <c r="AS426" s="2746"/>
      <c r="AT426" s="2746"/>
      <c r="AU426" s="2746"/>
      <c r="AV426" s="2746"/>
      <c r="AW426" s="2746"/>
      <c r="AX426" s="2746"/>
      <c r="AY426" s="2746"/>
      <c r="AZ426" s="2746"/>
      <c r="BA426" s="2746"/>
      <c r="BB426" s="2746"/>
      <c r="BC426" s="2746"/>
      <c r="BD426" s="2746"/>
      <c r="BE426" s="2746"/>
      <c r="BF426" s="2746"/>
      <c r="BG426" s="2746"/>
      <c r="BH426" s="2746"/>
      <c r="BI426" s="2746"/>
      <c r="BJ426" s="2746"/>
      <c r="BK426" s="2746"/>
      <c r="BL426" s="2746"/>
      <c r="BM426" s="2746"/>
      <c r="BN426" s="2746"/>
      <c r="BO426" s="2746"/>
      <c r="BP426" s="2746"/>
      <c r="BQ426" s="2746"/>
      <c r="BR426" s="2746"/>
      <c r="BS426" s="2746"/>
      <c r="BT426" s="2746"/>
      <c r="BU426" s="2746"/>
      <c r="BV426" s="2746"/>
      <c r="BW426" s="2746"/>
      <c r="BX426" s="2746"/>
      <c r="BY426" s="2746"/>
      <c r="BZ426" s="2746"/>
      <c r="CA426" s="2746"/>
      <c r="CB426" s="2746"/>
      <c r="CC426" s="2746"/>
      <c r="CD426" s="2746"/>
      <c r="CE426" s="2746"/>
      <c r="CF426" s="2746"/>
      <c r="CG426" s="2746"/>
      <c r="CH426" s="2746"/>
      <c r="CI426" s="2746"/>
      <c r="CJ426" s="2746"/>
      <c r="CK426" s="2746"/>
      <c r="CL426" s="2746"/>
      <c r="CM426" s="2746"/>
      <c r="CN426" s="2746"/>
    </row>
    <row r="427" spans="1:92" x14ac:dyDescent="0.2">
      <c r="A427" s="2746"/>
      <c r="B427" s="2746"/>
      <c r="C427" s="2746"/>
      <c r="D427" s="2746"/>
      <c r="E427" s="2746"/>
      <c r="F427" s="2746"/>
      <c r="G427" s="2746"/>
      <c r="H427" s="2746"/>
      <c r="I427" s="2746"/>
      <c r="J427" s="2746"/>
      <c r="K427" s="2746"/>
      <c r="L427" s="2746"/>
      <c r="M427" s="2746"/>
      <c r="N427" s="2746"/>
      <c r="O427" s="2746"/>
      <c r="P427" s="2746"/>
      <c r="Q427" s="2746"/>
      <c r="R427" s="2746"/>
      <c r="S427" s="2746"/>
      <c r="T427" s="2746"/>
      <c r="U427" s="2746"/>
      <c r="V427" s="2746"/>
      <c r="W427" s="2746"/>
      <c r="X427" s="2746"/>
      <c r="Y427" s="2746"/>
      <c r="Z427" s="2746"/>
      <c r="AA427" s="2746"/>
      <c r="AB427" s="2746"/>
      <c r="AC427" s="2746"/>
      <c r="AD427" s="2746"/>
      <c r="AE427" s="2746"/>
      <c r="AF427" s="2746"/>
      <c r="AG427" s="2746"/>
      <c r="AH427" s="2746"/>
      <c r="AI427" s="2746"/>
      <c r="AJ427" s="2746"/>
      <c r="AK427" s="2746"/>
      <c r="AL427" s="2746"/>
      <c r="AM427" s="2746"/>
      <c r="AN427" s="2746"/>
      <c r="AO427" s="2746"/>
      <c r="AP427" s="2746"/>
      <c r="AQ427" s="2746"/>
      <c r="AR427" s="2746"/>
      <c r="AS427" s="2746"/>
      <c r="AT427" s="2746"/>
      <c r="AU427" s="2746"/>
      <c r="AV427" s="2746"/>
      <c r="AW427" s="2746"/>
      <c r="AX427" s="2746"/>
      <c r="AY427" s="2746"/>
      <c r="AZ427" s="2746"/>
      <c r="BA427" s="2746"/>
      <c r="BB427" s="2746"/>
      <c r="BC427" s="2746"/>
      <c r="BD427" s="2746"/>
      <c r="BE427" s="2746"/>
      <c r="BF427" s="2746"/>
      <c r="BG427" s="2746"/>
      <c r="BH427" s="2746"/>
      <c r="BI427" s="2746"/>
      <c r="BJ427" s="2746"/>
      <c r="BK427" s="2746"/>
      <c r="BL427" s="2746"/>
      <c r="BM427" s="2746"/>
      <c r="BN427" s="2746"/>
      <c r="BO427" s="2746"/>
      <c r="BP427" s="2746"/>
      <c r="BQ427" s="2746"/>
      <c r="BR427" s="2746"/>
      <c r="BS427" s="2746"/>
      <c r="BT427" s="2746"/>
      <c r="BU427" s="2746"/>
      <c r="BV427" s="2746"/>
      <c r="BW427" s="2746"/>
      <c r="BX427" s="2746"/>
      <c r="BY427" s="2746"/>
      <c r="BZ427" s="2746"/>
      <c r="CA427" s="2746"/>
      <c r="CB427" s="2746"/>
      <c r="CC427" s="2746"/>
      <c r="CD427" s="2746"/>
      <c r="CE427" s="2746"/>
      <c r="CF427" s="2746"/>
      <c r="CG427" s="2746"/>
      <c r="CH427" s="2746"/>
      <c r="CI427" s="2746"/>
      <c r="CJ427" s="2746"/>
      <c r="CK427" s="2746"/>
      <c r="CL427" s="2746"/>
      <c r="CM427" s="2746"/>
      <c r="CN427" s="2746"/>
    </row>
    <row r="428" spans="1:92" x14ac:dyDescent="0.2">
      <c r="A428" s="2746"/>
      <c r="B428" s="2746"/>
      <c r="C428" s="2746"/>
      <c r="D428" s="2746"/>
      <c r="E428" s="2746"/>
      <c r="F428" s="2746"/>
      <c r="G428" s="2746"/>
      <c r="H428" s="2746"/>
      <c r="I428" s="2746"/>
      <c r="J428" s="2746"/>
      <c r="K428" s="2746"/>
      <c r="L428" s="2746"/>
      <c r="M428" s="2746"/>
      <c r="N428" s="2746"/>
      <c r="O428" s="2746"/>
      <c r="P428" s="2746"/>
      <c r="Q428" s="2746"/>
      <c r="R428" s="2746"/>
      <c r="S428" s="2746"/>
      <c r="T428" s="2746"/>
      <c r="U428" s="2746"/>
      <c r="V428" s="2746"/>
      <c r="W428" s="2746"/>
      <c r="X428" s="2746"/>
      <c r="Y428" s="2746"/>
      <c r="Z428" s="2746"/>
      <c r="AA428" s="2746"/>
      <c r="AB428" s="2746"/>
      <c r="AC428" s="2746"/>
      <c r="AD428" s="2746"/>
      <c r="AE428" s="2746"/>
      <c r="AF428" s="2746"/>
      <c r="AG428" s="2746"/>
      <c r="AH428" s="2746"/>
      <c r="AI428" s="2746"/>
      <c r="AJ428" s="2746"/>
      <c r="AK428" s="2746"/>
      <c r="AL428" s="2746"/>
      <c r="AM428" s="2746"/>
      <c r="AN428" s="2746"/>
      <c r="AO428" s="2746"/>
      <c r="AP428" s="2746"/>
      <c r="AQ428" s="2746"/>
      <c r="AR428" s="2746"/>
      <c r="AS428" s="2746"/>
      <c r="AT428" s="2746"/>
      <c r="AU428" s="2746"/>
      <c r="AV428" s="2746"/>
      <c r="AW428" s="2746"/>
      <c r="AX428" s="2746"/>
      <c r="AY428" s="2746"/>
      <c r="AZ428" s="2746"/>
      <c r="BA428" s="2746"/>
      <c r="BB428" s="2746"/>
      <c r="BC428" s="2746"/>
      <c r="BD428" s="2746"/>
      <c r="BE428" s="2746"/>
      <c r="BF428" s="2746"/>
      <c r="BG428" s="2746"/>
      <c r="BH428" s="2746"/>
      <c r="BI428" s="2746"/>
      <c r="BJ428" s="2746"/>
      <c r="BK428" s="2746"/>
      <c r="BL428" s="2746"/>
      <c r="BM428" s="2746"/>
      <c r="BN428" s="2746"/>
      <c r="BO428" s="2746"/>
      <c r="BP428" s="2746"/>
      <c r="BQ428" s="2746"/>
      <c r="BR428" s="2746"/>
      <c r="BS428" s="2746"/>
      <c r="BT428" s="2746"/>
      <c r="BU428" s="2746"/>
      <c r="BV428" s="2746"/>
      <c r="BW428" s="2746"/>
      <c r="BX428" s="2746"/>
      <c r="BY428" s="2746"/>
      <c r="BZ428" s="2746"/>
      <c r="CA428" s="2746"/>
      <c r="CB428" s="2746"/>
      <c r="CC428" s="2746"/>
      <c r="CD428" s="2746"/>
      <c r="CE428" s="2746"/>
      <c r="CF428" s="2746"/>
      <c r="CG428" s="2746"/>
      <c r="CH428" s="2746"/>
      <c r="CI428" s="2746"/>
      <c r="CJ428" s="2746"/>
      <c r="CK428" s="2746"/>
      <c r="CL428" s="2746"/>
      <c r="CM428" s="2746"/>
      <c r="CN428" s="2746"/>
    </row>
    <row r="429" spans="1:92" x14ac:dyDescent="0.2">
      <c r="A429" s="2746"/>
      <c r="B429" s="2746"/>
      <c r="C429" s="2746"/>
      <c r="D429" s="2746"/>
      <c r="E429" s="2746"/>
      <c r="F429" s="2746"/>
      <c r="G429" s="2746"/>
      <c r="H429" s="2746"/>
      <c r="I429" s="2746"/>
      <c r="J429" s="2746"/>
      <c r="K429" s="2746"/>
      <c r="L429" s="2746"/>
      <c r="M429" s="2746"/>
      <c r="N429" s="2746"/>
      <c r="O429" s="2746"/>
      <c r="P429" s="2746"/>
      <c r="Q429" s="2746"/>
      <c r="R429" s="2746"/>
      <c r="S429" s="2746"/>
      <c r="T429" s="2746"/>
      <c r="U429" s="2746"/>
      <c r="V429" s="2746"/>
      <c r="W429" s="2746"/>
      <c r="X429" s="2746"/>
      <c r="Y429" s="2746"/>
      <c r="Z429" s="2746"/>
      <c r="AA429" s="2746"/>
      <c r="AB429" s="2746"/>
      <c r="AC429" s="2746"/>
      <c r="AD429" s="2746"/>
      <c r="AE429" s="2746"/>
      <c r="AF429" s="2746"/>
      <c r="AG429" s="2746"/>
      <c r="AH429" s="2746"/>
      <c r="AI429" s="2746"/>
      <c r="AJ429" s="2746"/>
      <c r="AK429" s="2746"/>
      <c r="AL429" s="2746"/>
      <c r="AM429" s="2746"/>
      <c r="AN429" s="2746"/>
      <c r="AO429" s="2746"/>
      <c r="AP429" s="2746"/>
      <c r="AQ429" s="2746"/>
      <c r="AR429" s="2746"/>
      <c r="AS429" s="2746"/>
      <c r="AT429" s="2746"/>
      <c r="AU429" s="2746"/>
      <c r="AV429" s="2746"/>
      <c r="AW429" s="2746"/>
      <c r="AX429" s="2746"/>
      <c r="AY429" s="2746"/>
      <c r="AZ429" s="2746"/>
      <c r="BA429" s="2746"/>
      <c r="BB429" s="2746"/>
      <c r="BC429" s="2746"/>
      <c r="BD429" s="2746"/>
      <c r="BE429" s="2746"/>
      <c r="BF429" s="2746"/>
      <c r="BG429" s="2746"/>
      <c r="BH429" s="2746"/>
      <c r="BI429" s="2746"/>
      <c r="BJ429" s="2746"/>
      <c r="BK429" s="2746"/>
      <c r="BL429" s="2746"/>
      <c r="BM429" s="2746"/>
      <c r="BN429" s="2746"/>
      <c r="BO429" s="2746"/>
      <c r="BP429" s="2746"/>
      <c r="BQ429" s="2746"/>
      <c r="BR429" s="2746"/>
      <c r="BS429" s="2746"/>
      <c r="BT429" s="2746"/>
      <c r="BU429" s="2746"/>
      <c r="BV429" s="2746"/>
      <c r="BW429" s="2746"/>
      <c r="BX429" s="2746"/>
      <c r="BY429" s="2746"/>
      <c r="BZ429" s="2746"/>
      <c r="CA429" s="2746"/>
      <c r="CB429" s="2746"/>
      <c r="CC429" s="2746"/>
      <c r="CD429" s="2746"/>
      <c r="CE429" s="2746"/>
      <c r="CF429" s="2746"/>
      <c r="CG429" s="2746"/>
      <c r="CH429" s="2746"/>
      <c r="CI429" s="2746"/>
      <c r="CJ429" s="2746"/>
      <c r="CK429" s="2746"/>
      <c r="CL429" s="2746"/>
      <c r="CM429" s="2746"/>
      <c r="CN429" s="2746"/>
    </row>
    <row r="430" spans="1:92" x14ac:dyDescent="0.2">
      <c r="A430" s="2746"/>
      <c r="B430" s="2746"/>
      <c r="C430" s="2746"/>
      <c r="D430" s="2746"/>
      <c r="E430" s="2746"/>
      <c r="F430" s="2746"/>
      <c r="G430" s="2746"/>
      <c r="H430" s="2746"/>
      <c r="I430" s="2746"/>
      <c r="J430" s="2746"/>
      <c r="K430" s="2746"/>
      <c r="L430" s="2746"/>
      <c r="M430" s="2746"/>
      <c r="N430" s="2746"/>
      <c r="O430" s="2746"/>
      <c r="P430" s="2746"/>
      <c r="Q430" s="2746"/>
      <c r="R430" s="2746"/>
      <c r="S430" s="2746"/>
      <c r="T430" s="2746"/>
      <c r="U430" s="2746"/>
      <c r="V430" s="2746"/>
      <c r="W430" s="2746"/>
      <c r="X430" s="2746"/>
      <c r="Y430" s="2746"/>
      <c r="Z430" s="2746"/>
      <c r="AA430" s="2746"/>
      <c r="AB430" s="2746"/>
      <c r="AC430" s="2746"/>
      <c r="AD430" s="2746"/>
      <c r="AE430" s="2746"/>
      <c r="AF430" s="2746"/>
      <c r="AG430" s="2746"/>
      <c r="AH430" s="2746"/>
      <c r="AI430" s="2746"/>
      <c r="AJ430" s="2746"/>
      <c r="AK430" s="2746"/>
      <c r="AL430" s="2746"/>
      <c r="AM430" s="2746"/>
      <c r="AN430" s="2746"/>
      <c r="AO430" s="2746"/>
      <c r="AP430" s="2746"/>
      <c r="AQ430" s="2746"/>
      <c r="AR430" s="2746"/>
      <c r="AS430" s="2746"/>
      <c r="AT430" s="2746"/>
      <c r="AU430" s="2746"/>
      <c r="AV430" s="2746"/>
      <c r="AW430" s="2746"/>
      <c r="AX430" s="2746"/>
      <c r="AY430" s="2746"/>
      <c r="AZ430" s="2746"/>
      <c r="BA430" s="2746"/>
      <c r="BB430" s="2746"/>
      <c r="BC430" s="2746"/>
      <c r="BD430" s="2746"/>
      <c r="BE430" s="2746"/>
      <c r="BF430" s="2746"/>
      <c r="BG430" s="2746"/>
      <c r="BH430" s="2746"/>
      <c r="BI430" s="2746"/>
      <c r="BJ430" s="2746"/>
      <c r="BK430" s="2746"/>
      <c r="BL430" s="2746"/>
      <c r="BM430" s="2746"/>
      <c r="BN430" s="2746"/>
      <c r="BO430" s="2746"/>
      <c r="BP430" s="2746"/>
      <c r="BQ430" s="2746"/>
      <c r="BR430" s="2746"/>
      <c r="BS430" s="2746"/>
      <c r="BT430" s="2746"/>
      <c r="BU430" s="2746"/>
      <c r="BV430" s="2746"/>
      <c r="BW430" s="2746"/>
      <c r="BX430" s="2746"/>
      <c r="BY430" s="2746"/>
      <c r="BZ430" s="2746"/>
      <c r="CA430" s="2746"/>
      <c r="CB430" s="2746"/>
      <c r="CC430" s="2746"/>
      <c r="CD430" s="2746"/>
      <c r="CE430" s="2746"/>
      <c r="CF430" s="2746"/>
      <c r="CG430" s="2746"/>
      <c r="CH430" s="2746"/>
      <c r="CI430" s="2746"/>
      <c r="CJ430" s="2746"/>
      <c r="CK430" s="2746"/>
      <c r="CL430" s="2746"/>
      <c r="CM430" s="2746"/>
      <c r="CN430" s="2746"/>
    </row>
    <row r="431" spans="1:92" x14ac:dyDescent="0.2">
      <c r="A431" s="2746"/>
      <c r="B431" s="2746"/>
      <c r="C431" s="2746"/>
      <c r="D431" s="2746"/>
      <c r="E431" s="2746"/>
      <c r="F431" s="2746"/>
      <c r="G431" s="2746"/>
      <c r="H431" s="2746"/>
      <c r="I431" s="2746"/>
      <c r="J431" s="2746"/>
      <c r="K431" s="2746"/>
      <c r="L431" s="2746"/>
      <c r="M431" s="2746"/>
      <c r="N431" s="2746"/>
      <c r="O431" s="2746"/>
      <c r="P431" s="2746"/>
      <c r="Q431" s="2746"/>
      <c r="R431" s="2746"/>
      <c r="S431" s="2746"/>
      <c r="T431" s="2746"/>
      <c r="U431" s="2746"/>
      <c r="V431" s="2746"/>
      <c r="W431" s="2746"/>
      <c r="X431" s="2746"/>
      <c r="Y431" s="2746"/>
      <c r="Z431" s="2746"/>
      <c r="AA431" s="2746"/>
      <c r="AB431" s="2746"/>
      <c r="AC431" s="2746"/>
      <c r="AD431" s="2746"/>
      <c r="AE431" s="2746"/>
      <c r="AF431" s="2746"/>
      <c r="AG431" s="2746"/>
      <c r="AH431" s="2746"/>
      <c r="AI431" s="2746"/>
      <c r="AJ431" s="2746"/>
      <c r="AK431" s="2746"/>
      <c r="AL431" s="2746"/>
      <c r="AM431" s="2746"/>
      <c r="AN431" s="2746"/>
      <c r="AO431" s="2746"/>
      <c r="AP431" s="2746"/>
      <c r="AQ431" s="2746"/>
      <c r="AR431" s="2746"/>
      <c r="AS431" s="2746"/>
      <c r="AT431" s="2746"/>
      <c r="AU431" s="2746"/>
      <c r="AV431" s="2746"/>
      <c r="AW431" s="2746"/>
      <c r="AX431" s="2746"/>
      <c r="AY431" s="2746"/>
      <c r="AZ431" s="2746"/>
      <c r="BA431" s="2746"/>
      <c r="BB431" s="2746"/>
      <c r="BC431" s="2746"/>
      <c r="BD431" s="2746"/>
      <c r="BE431" s="2746"/>
      <c r="BF431" s="2746"/>
      <c r="BG431" s="2746"/>
      <c r="BH431" s="2746"/>
      <c r="BI431" s="2746"/>
      <c r="BJ431" s="2746"/>
      <c r="BK431" s="2746"/>
      <c r="BL431" s="2746"/>
      <c r="BM431" s="2746"/>
      <c r="BN431" s="2746"/>
      <c r="BO431" s="2746"/>
      <c r="BP431" s="2746"/>
      <c r="BQ431" s="2746"/>
      <c r="BR431" s="2746"/>
      <c r="BS431" s="2746"/>
      <c r="BT431" s="2746"/>
      <c r="BU431" s="2746"/>
      <c r="BV431" s="2746"/>
      <c r="BW431" s="2746"/>
      <c r="BX431" s="2746"/>
      <c r="BY431" s="2746"/>
      <c r="BZ431" s="2746"/>
      <c r="CA431" s="2746"/>
      <c r="CB431" s="2746"/>
      <c r="CC431" s="2746"/>
      <c r="CD431" s="2746"/>
      <c r="CE431" s="2746"/>
      <c r="CF431" s="2746"/>
      <c r="CG431" s="2746"/>
      <c r="CH431" s="2746"/>
      <c r="CI431" s="2746"/>
      <c r="CJ431" s="2746"/>
      <c r="CK431" s="2746"/>
      <c r="CL431" s="2746"/>
      <c r="CM431" s="2746"/>
      <c r="CN431" s="2746"/>
    </row>
    <row r="432" spans="1:92" x14ac:dyDescent="0.2">
      <c r="A432" s="2746"/>
      <c r="B432" s="2746"/>
      <c r="C432" s="2746"/>
      <c r="D432" s="2746"/>
      <c r="E432" s="2746"/>
      <c r="F432" s="2746"/>
      <c r="G432" s="2746"/>
      <c r="H432" s="2746"/>
      <c r="I432" s="2746"/>
      <c r="J432" s="2746"/>
      <c r="K432" s="2746"/>
      <c r="L432" s="2746"/>
      <c r="M432" s="2746"/>
      <c r="N432" s="2746"/>
      <c r="O432" s="2746"/>
      <c r="P432" s="2746"/>
      <c r="Q432" s="2746"/>
      <c r="R432" s="2746"/>
      <c r="S432" s="2746"/>
      <c r="T432" s="2746"/>
      <c r="U432" s="2746"/>
      <c r="V432" s="2746"/>
      <c r="W432" s="2746"/>
      <c r="X432" s="2746"/>
      <c r="Y432" s="2746"/>
      <c r="Z432" s="2746"/>
      <c r="AA432" s="2746"/>
      <c r="AB432" s="2746"/>
      <c r="AC432" s="2746"/>
      <c r="AD432" s="2746"/>
      <c r="AE432" s="2746"/>
      <c r="AF432" s="2746"/>
      <c r="AG432" s="2746"/>
      <c r="AH432" s="2746"/>
      <c r="AI432" s="2746"/>
      <c r="AJ432" s="2746"/>
      <c r="AK432" s="2746"/>
      <c r="AL432" s="2746"/>
      <c r="AM432" s="2746"/>
      <c r="AN432" s="2746"/>
      <c r="AO432" s="2746"/>
      <c r="AP432" s="2746"/>
      <c r="AQ432" s="2746"/>
      <c r="AR432" s="2746"/>
      <c r="AS432" s="2746"/>
      <c r="AT432" s="2746"/>
      <c r="AU432" s="2746"/>
      <c r="AV432" s="2746"/>
      <c r="AW432" s="2746"/>
      <c r="AX432" s="2746"/>
      <c r="AY432" s="2746"/>
      <c r="AZ432" s="2746"/>
      <c r="BA432" s="2746"/>
      <c r="BB432" s="2746"/>
      <c r="BC432" s="2746"/>
      <c r="BD432" s="2746"/>
      <c r="BE432" s="2746"/>
      <c r="BF432" s="2746"/>
      <c r="BG432" s="2746"/>
      <c r="BH432" s="2746"/>
      <c r="BI432" s="2746"/>
      <c r="BJ432" s="2746"/>
      <c r="BK432" s="2746"/>
      <c r="BL432" s="2746"/>
      <c r="BM432" s="2746"/>
      <c r="BN432" s="2746"/>
      <c r="BO432" s="2746"/>
      <c r="BP432" s="2746"/>
      <c r="BQ432" s="2746"/>
      <c r="BR432" s="2746"/>
      <c r="BS432" s="2746"/>
      <c r="BT432" s="2746"/>
      <c r="BU432" s="2746"/>
      <c r="BV432" s="2746"/>
      <c r="BW432" s="2746"/>
      <c r="BX432" s="2746"/>
      <c r="BY432" s="2746"/>
      <c r="BZ432" s="2746"/>
      <c r="CA432" s="2746"/>
      <c r="CB432" s="2746"/>
      <c r="CC432" s="2746"/>
      <c r="CD432" s="2746"/>
      <c r="CE432" s="2746"/>
      <c r="CF432" s="2746"/>
      <c r="CG432" s="2746"/>
      <c r="CH432" s="2746"/>
      <c r="CI432" s="2746"/>
      <c r="CJ432" s="2746"/>
      <c r="CK432" s="2746"/>
      <c r="CL432" s="2746"/>
      <c r="CM432" s="2746"/>
      <c r="CN432" s="2746"/>
    </row>
  </sheetData>
  <sheetProtection formatCells="0" formatColumns="0" formatRows="0" insertColumns="0" insertRows="0" insertHyperlinks="0" deleteColumns="0" deleteRows="0" sort="0" autoFilter="0" pivotTables="0"/>
  <mergeCells count="475">
    <mergeCell ref="BM235:CA235"/>
    <mergeCell ref="CB235:CJ235"/>
    <mergeCell ref="B236:D236"/>
    <mergeCell ref="E236:G236"/>
    <mergeCell ref="H236:J236"/>
    <mergeCell ref="K236:M236"/>
    <mergeCell ref="N236:P236"/>
    <mergeCell ref="Q236:S236"/>
    <mergeCell ref="T236:V236"/>
    <mergeCell ref="W236:Y236"/>
    <mergeCell ref="BV236:BX236"/>
    <mergeCell ref="BY236:CA236"/>
    <mergeCell ref="CB236:CD236"/>
    <mergeCell ref="CE236:CG236"/>
    <mergeCell ref="CH236:CJ236"/>
    <mergeCell ref="BD236:BF236"/>
    <mergeCell ref="BG236:BI236"/>
    <mergeCell ref="BJ236:BL236"/>
    <mergeCell ref="BM236:BO236"/>
    <mergeCell ref="BP236:BR236"/>
    <mergeCell ref="BS236:BU236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A235:A237"/>
    <mergeCell ref="B235:P235"/>
    <mergeCell ref="Q235:AE235"/>
    <mergeCell ref="AF235:AN235"/>
    <mergeCell ref="AO235:BC235"/>
    <mergeCell ref="BD235:BL235"/>
    <mergeCell ref="Z236:AB236"/>
    <mergeCell ref="AC236:AE236"/>
    <mergeCell ref="AF236:AH236"/>
    <mergeCell ref="AI236:AK236"/>
    <mergeCell ref="AL236:AN236"/>
    <mergeCell ref="AO236:AQ236"/>
    <mergeCell ref="AR236:AT236"/>
    <mergeCell ref="AU236:AW236"/>
    <mergeCell ref="AX236:AZ236"/>
    <mergeCell ref="BA236:BC236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B230:D230"/>
    <mergeCell ref="E230:G230"/>
    <mergeCell ref="H230:J230"/>
    <mergeCell ref="K230:M230"/>
    <mergeCell ref="N230:P230"/>
    <mergeCell ref="Q230:S230"/>
    <mergeCell ref="BV230:BX230"/>
    <mergeCell ref="BY230:CA230"/>
    <mergeCell ref="CB230:CD230"/>
    <mergeCell ref="BP230:BR230"/>
    <mergeCell ref="BS230:BU230"/>
    <mergeCell ref="CE229:CG229"/>
    <mergeCell ref="CH229:CJ229"/>
    <mergeCell ref="BA229:BC229"/>
    <mergeCell ref="BD229:BF229"/>
    <mergeCell ref="BG229:BI229"/>
    <mergeCell ref="BJ229:BL229"/>
    <mergeCell ref="BM229:BO229"/>
    <mergeCell ref="BP229:BR229"/>
    <mergeCell ref="Z230:AB230"/>
    <mergeCell ref="AC230:AE230"/>
    <mergeCell ref="AF230:AH230"/>
    <mergeCell ref="AI230:AK230"/>
    <mergeCell ref="CE230:CG230"/>
    <mergeCell ref="CH230:CJ230"/>
    <mergeCell ref="T229:V229"/>
    <mergeCell ref="W229:Y229"/>
    <mergeCell ref="Z229:AB229"/>
    <mergeCell ref="AC229:AE229"/>
    <mergeCell ref="AF229:AH229"/>
    <mergeCell ref="BS229:BU229"/>
    <mergeCell ref="BV229:BX229"/>
    <mergeCell ref="BY229:CA229"/>
    <mergeCell ref="CB229:CD229"/>
    <mergeCell ref="B229:D229"/>
    <mergeCell ref="E229:G229"/>
    <mergeCell ref="H229:J229"/>
    <mergeCell ref="K229:M229"/>
    <mergeCell ref="N229:P229"/>
    <mergeCell ref="BD228:BF228"/>
    <mergeCell ref="BG228:BI228"/>
    <mergeCell ref="BJ228:BL228"/>
    <mergeCell ref="BM228:BO228"/>
    <mergeCell ref="AL228:AN228"/>
    <mergeCell ref="AO228:AQ228"/>
    <mergeCell ref="AR228:AT228"/>
    <mergeCell ref="AU228:AW228"/>
    <mergeCell ref="AX228:AZ228"/>
    <mergeCell ref="BA228:BC228"/>
    <mergeCell ref="T228:V228"/>
    <mergeCell ref="W228:Y228"/>
    <mergeCell ref="AI229:AK229"/>
    <mergeCell ref="AL229:AN229"/>
    <mergeCell ref="AO229:AQ229"/>
    <mergeCell ref="AR229:AT229"/>
    <mergeCell ref="AU229:AW229"/>
    <mergeCell ref="AX229:AZ229"/>
    <mergeCell ref="Q229:S229"/>
    <mergeCell ref="CE227:CG227"/>
    <mergeCell ref="CH227:CJ227"/>
    <mergeCell ref="B228:D228"/>
    <mergeCell ref="E228:G228"/>
    <mergeCell ref="H228:J228"/>
    <mergeCell ref="K228:M228"/>
    <mergeCell ref="N228:P228"/>
    <mergeCell ref="Q228:S228"/>
    <mergeCell ref="BG227:BI227"/>
    <mergeCell ref="BJ227:BL227"/>
    <mergeCell ref="BM227:BO227"/>
    <mergeCell ref="BP227:BR227"/>
    <mergeCell ref="BS227:BU227"/>
    <mergeCell ref="BV227:BX227"/>
    <mergeCell ref="AO227:AQ227"/>
    <mergeCell ref="AR227:AT227"/>
    <mergeCell ref="AU227:AW227"/>
    <mergeCell ref="AX227:AZ227"/>
    <mergeCell ref="BV228:BX228"/>
    <mergeCell ref="BY228:CA228"/>
    <mergeCell ref="CB228:CD228"/>
    <mergeCell ref="CE228:CG228"/>
    <mergeCell ref="CH228:CJ228"/>
    <mergeCell ref="BP228:BR228"/>
    <mergeCell ref="AI227:AK227"/>
    <mergeCell ref="AL227:AN227"/>
    <mergeCell ref="CB193:CD193"/>
    <mergeCell ref="AI193:AK193"/>
    <mergeCell ref="AL193:AN193"/>
    <mergeCell ref="AO193:AQ193"/>
    <mergeCell ref="Z228:AB228"/>
    <mergeCell ref="AC228:AE228"/>
    <mergeCell ref="AF228:AH228"/>
    <mergeCell ref="AI228:AK228"/>
    <mergeCell ref="BY227:CA227"/>
    <mergeCell ref="CB227:CD227"/>
    <mergeCell ref="BS228:BU228"/>
    <mergeCell ref="B227:D227"/>
    <mergeCell ref="E227:G227"/>
    <mergeCell ref="H227:J227"/>
    <mergeCell ref="K227:M227"/>
    <mergeCell ref="N227:P227"/>
    <mergeCell ref="Q227:S227"/>
    <mergeCell ref="T227:V227"/>
    <mergeCell ref="BJ193:BL193"/>
    <mergeCell ref="BM193:BO193"/>
    <mergeCell ref="AR193:AT193"/>
    <mergeCell ref="AU193:AW193"/>
    <mergeCell ref="AX193:AZ193"/>
    <mergeCell ref="BA193:BC193"/>
    <mergeCell ref="BD193:BF193"/>
    <mergeCell ref="BG193:BI193"/>
    <mergeCell ref="Z193:AB193"/>
    <mergeCell ref="AC193:AE193"/>
    <mergeCell ref="AF193:AH193"/>
    <mergeCell ref="BA227:BC227"/>
    <mergeCell ref="BD227:BF227"/>
    <mergeCell ref="W227:Y227"/>
    <mergeCell ref="Z227:AB227"/>
    <mergeCell ref="AC227:AE227"/>
    <mergeCell ref="AF227:AH227"/>
    <mergeCell ref="CB192:CJ192"/>
    <mergeCell ref="B193:D193"/>
    <mergeCell ref="E193:G193"/>
    <mergeCell ref="H193:J193"/>
    <mergeCell ref="K193:M193"/>
    <mergeCell ref="N193:P193"/>
    <mergeCell ref="Q193:S193"/>
    <mergeCell ref="T193:V193"/>
    <mergeCell ref="W193:Y193"/>
    <mergeCell ref="CE193:CG193"/>
    <mergeCell ref="CH193:CJ193"/>
    <mergeCell ref="BP193:BR193"/>
    <mergeCell ref="BS193:BU193"/>
    <mergeCell ref="BV193:BX193"/>
    <mergeCell ref="BY193:CA193"/>
    <mergeCell ref="A192:A194"/>
    <mergeCell ref="B192:P192"/>
    <mergeCell ref="Q192:AE192"/>
    <mergeCell ref="AF192:AN192"/>
    <mergeCell ref="AO192:BC192"/>
    <mergeCell ref="BD192:BL192"/>
    <mergeCell ref="BG173:BI173"/>
    <mergeCell ref="BJ173:BL173"/>
    <mergeCell ref="BM173:BO173"/>
    <mergeCell ref="AO173:AQ173"/>
    <mergeCell ref="AR173:AT173"/>
    <mergeCell ref="AU173:AW173"/>
    <mergeCell ref="AX173:AZ173"/>
    <mergeCell ref="BA173:BC173"/>
    <mergeCell ref="BD173:BF173"/>
    <mergeCell ref="W173:Y173"/>
    <mergeCell ref="Z173:AB173"/>
    <mergeCell ref="BM192:CA192"/>
    <mergeCell ref="AC173:AE173"/>
    <mergeCell ref="AF173:AH173"/>
    <mergeCell ref="AI173:AK173"/>
    <mergeCell ref="AL173:AN173"/>
    <mergeCell ref="BD172:BL172"/>
    <mergeCell ref="BM172:CA172"/>
    <mergeCell ref="CB172:CJ172"/>
    <mergeCell ref="B173:D173"/>
    <mergeCell ref="E173:G173"/>
    <mergeCell ref="H173:J173"/>
    <mergeCell ref="K173:M173"/>
    <mergeCell ref="N173:P173"/>
    <mergeCell ref="Q173:S173"/>
    <mergeCell ref="T173:V173"/>
    <mergeCell ref="BY173:CA173"/>
    <mergeCell ref="CB173:CD173"/>
    <mergeCell ref="CE173:CG173"/>
    <mergeCell ref="CH173:CJ173"/>
    <mergeCell ref="BP173:BR173"/>
    <mergeCell ref="BS173:BU173"/>
    <mergeCell ref="BV173:BX173"/>
    <mergeCell ref="BV165:BX165"/>
    <mergeCell ref="BY165:CA165"/>
    <mergeCell ref="CB165:CD165"/>
    <mergeCell ref="CE165:CG165"/>
    <mergeCell ref="CH165:CJ165"/>
    <mergeCell ref="A172:A174"/>
    <mergeCell ref="B172:P172"/>
    <mergeCell ref="Q172:AE172"/>
    <mergeCell ref="AF172:AN172"/>
    <mergeCell ref="AO172:BC172"/>
    <mergeCell ref="BD165:BF165"/>
    <mergeCell ref="BG165:BI165"/>
    <mergeCell ref="BJ165:BL165"/>
    <mergeCell ref="BM165:BO165"/>
    <mergeCell ref="BP165:BR165"/>
    <mergeCell ref="BS165:BU165"/>
    <mergeCell ref="AL165:AN165"/>
    <mergeCell ref="AO165:AQ165"/>
    <mergeCell ref="AR165:AT165"/>
    <mergeCell ref="AU165:AW165"/>
    <mergeCell ref="AX165:AZ165"/>
    <mergeCell ref="BA165:BC165"/>
    <mergeCell ref="T165:V165"/>
    <mergeCell ref="W165:Y165"/>
    <mergeCell ref="Z165:AB165"/>
    <mergeCell ref="AC165:AE165"/>
    <mergeCell ref="AF165:AH165"/>
    <mergeCell ref="AI165:AK165"/>
    <mergeCell ref="B165:D165"/>
    <mergeCell ref="E165:G165"/>
    <mergeCell ref="H165:J165"/>
    <mergeCell ref="K165:M165"/>
    <mergeCell ref="N165:P165"/>
    <mergeCell ref="Q165:S165"/>
    <mergeCell ref="BS164:BU164"/>
    <mergeCell ref="BV164:BX164"/>
    <mergeCell ref="BY164:CA164"/>
    <mergeCell ref="CB164:CD164"/>
    <mergeCell ref="CE164:CG164"/>
    <mergeCell ref="CH164:CJ164"/>
    <mergeCell ref="BA164:BC164"/>
    <mergeCell ref="BD164:BF164"/>
    <mergeCell ref="BG164:BI164"/>
    <mergeCell ref="BJ164:BL164"/>
    <mergeCell ref="BM164:BO164"/>
    <mergeCell ref="BP164:BR164"/>
    <mergeCell ref="AI164:AK164"/>
    <mergeCell ref="AL164:AN164"/>
    <mergeCell ref="AO164:AQ164"/>
    <mergeCell ref="AR164:AT164"/>
    <mergeCell ref="AU164:AW164"/>
    <mergeCell ref="AX164:AZ164"/>
    <mergeCell ref="Q164:S164"/>
    <mergeCell ref="T164:V164"/>
    <mergeCell ref="W164:Y164"/>
    <mergeCell ref="Z164:AB164"/>
    <mergeCell ref="AC164:AE164"/>
    <mergeCell ref="AF164:AH164"/>
    <mergeCell ref="BV163:BX163"/>
    <mergeCell ref="BY163:CA163"/>
    <mergeCell ref="CB163:CD163"/>
    <mergeCell ref="CE163:CG163"/>
    <mergeCell ref="CH163:CJ163"/>
    <mergeCell ref="B164:D164"/>
    <mergeCell ref="E164:G164"/>
    <mergeCell ref="H164:J164"/>
    <mergeCell ref="K164:M164"/>
    <mergeCell ref="N164:P164"/>
    <mergeCell ref="BD163:BF163"/>
    <mergeCell ref="BG163:BI163"/>
    <mergeCell ref="BJ163:BL163"/>
    <mergeCell ref="BM163:BO163"/>
    <mergeCell ref="BP163:BR163"/>
    <mergeCell ref="BS163:BU163"/>
    <mergeCell ref="AL163:AN163"/>
    <mergeCell ref="AO163:AQ163"/>
    <mergeCell ref="AR163:AT163"/>
    <mergeCell ref="AU163:AW163"/>
    <mergeCell ref="AX163:AZ163"/>
    <mergeCell ref="BA163:BC163"/>
    <mergeCell ref="T163:V163"/>
    <mergeCell ref="W163:Y163"/>
    <mergeCell ref="Z163:AB163"/>
    <mergeCell ref="AC163:AE163"/>
    <mergeCell ref="AF163:AH163"/>
    <mergeCell ref="AI163:AK163"/>
    <mergeCell ref="B163:D163"/>
    <mergeCell ref="E163:G163"/>
    <mergeCell ref="H163:J163"/>
    <mergeCell ref="K163:M163"/>
    <mergeCell ref="N163:P163"/>
    <mergeCell ref="Q163:S163"/>
    <mergeCell ref="BS162:BU162"/>
    <mergeCell ref="BV162:BX162"/>
    <mergeCell ref="BY162:CA162"/>
    <mergeCell ref="CB162:CD162"/>
    <mergeCell ref="CE162:CG162"/>
    <mergeCell ref="CH162:CJ162"/>
    <mergeCell ref="BA162:BC162"/>
    <mergeCell ref="BD162:BF162"/>
    <mergeCell ref="BG162:BI162"/>
    <mergeCell ref="BJ162:BL162"/>
    <mergeCell ref="BM162:BO162"/>
    <mergeCell ref="BP162:BR162"/>
    <mergeCell ref="AI162:AK162"/>
    <mergeCell ref="AL162:AN162"/>
    <mergeCell ref="AO162:AQ162"/>
    <mergeCell ref="AR162:AT162"/>
    <mergeCell ref="AU162:AW162"/>
    <mergeCell ref="AX162:AZ162"/>
    <mergeCell ref="Q162:S162"/>
    <mergeCell ref="T162:V162"/>
    <mergeCell ref="W162:Y162"/>
    <mergeCell ref="Z162:AB162"/>
    <mergeCell ref="AC162:AE162"/>
    <mergeCell ref="AF162:AH162"/>
    <mergeCell ref="BV161:BX161"/>
    <mergeCell ref="BY161:CA161"/>
    <mergeCell ref="CB161:CD161"/>
    <mergeCell ref="CE161:CG161"/>
    <mergeCell ref="CH161:CJ161"/>
    <mergeCell ref="B162:D162"/>
    <mergeCell ref="E162:G162"/>
    <mergeCell ref="H162:J162"/>
    <mergeCell ref="K162:M162"/>
    <mergeCell ref="N162:P162"/>
    <mergeCell ref="BD161:BF161"/>
    <mergeCell ref="BG161:BI161"/>
    <mergeCell ref="BJ161:BL161"/>
    <mergeCell ref="BM161:BO161"/>
    <mergeCell ref="BP161:BR161"/>
    <mergeCell ref="BS161:BU161"/>
    <mergeCell ref="AL161:AN161"/>
    <mergeCell ref="AO161:AQ161"/>
    <mergeCell ref="AR161:AT161"/>
    <mergeCell ref="AU161:AW161"/>
    <mergeCell ref="AX161:AZ161"/>
    <mergeCell ref="BA161:BC161"/>
    <mergeCell ref="T161:V161"/>
    <mergeCell ref="W161:Y161"/>
    <mergeCell ref="Z161:AB161"/>
    <mergeCell ref="AC161:AE161"/>
    <mergeCell ref="AF161:AH161"/>
    <mergeCell ref="AI161:AK161"/>
    <mergeCell ref="BY26:CA26"/>
    <mergeCell ref="CB26:CD26"/>
    <mergeCell ref="CE26:CG26"/>
    <mergeCell ref="CH26:CJ26"/>
    <mergeCell ref="B161:D161"/>
    <mergeCell ref="E161:G161"/>
    <mergeCell ref="H161:J161"/>
    <mergeCell ref="K161:M161"/>
    <mergeCell ref="N161:P161"/>
    <mergeCell ref="Q161:S161"/>
    <mergeCell ref="BG26:BI26"/>
    <mergeCell ref="BJ26:BL26"/>
    <mergeCell ref="BM26:BO26"/>
    <mergeCell ref="BP26:BR26"/>
    <mergeCell ref="BS26:BU26"/>
    <mergeCell ref="BV26:BX26"/>
    <mergeCell ref="AO26:AQ26"/>
    <mergeCell ref="AR26:AT26"/>
    <mergeCell ref="AU26:AW26"/>
    <mergeCell ref="AX26:AZ26"/>
    <mergeCell ref="CB25:CJ25"/>
    <mergeCell ref="B26:D26"/>
    <mergeCell ref="E26:G26"/>
    <mergeCell ref="H26:J26"/>
    <mergeCell ref="K26:M26"/>
    <mergeCell ref="N26:P26"/>
    <mergeCell ref="Q26:S26"/>
    <mergeCell ref="T26:V26"/>
    <mergeCell ref="BA26:BC26"/>
    <mergeCell ref="BD26:BF26"/>
    <mergeCell ref="W26:Y26"/>
    <mergeCell ref="Z26:AB26"/>
    <mergeCell ref="AC26:AE26"/>
    <mergeCell ref="AF26:AH26"/>
    <mergeCell ref="AI26:AK26"/>
    <mergeCell ref="AL26:AN26"/>
    <mergeCell ref="BD25:BL25"/>
    <mergeCell ref="A25:A27"/>
    <mergeCell ref="B25:P25"/>
    <mergeCell ref="Q25:AE25"/>
    <mergeCell ref="AF25:AN25"/>
    <mergeCell ref="AO25:BC25"/>
    <mergeCell ref="BD6:BF6"/>
    <mergeCell ref="BG6:BI6"/>
    <mergeCell ref="BJ6:BL6"/>
    <mergeCell ref="BM6:BO6"/>
    <mergeCell ref="BM25:CA25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</mergeCells>
  <printOptions horizontalCentered="1"/>
  <pageMargins left="0" right="0" top="0.19685039370078741" bottom="0.19685039370078741" header="0" footer="0"/>
  <pageSetup paperSize="9" scale="40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pageSetUpPr fitToPage="1"/>
  </sheetPr>
  <dimension ref="A1:G68"/>
  <sheetViews>
    <sheetView workbookViewId="0">
      <selection activeCell="B5" sqref="B5"/>
    </sheetView>
  </sheetViews>
  <sheetFormatPr defaultRowHeight="12.75" x14ac:dyDescent="0.2"/>
  <cols>
    <col min="1" max="7" width="12.7109375" style="2482" customWidth="1"/>
    <col min="8" max="258" width="9.140625" style="2482"/>
    <col min="259" max="259" width="20.7109375" style="2482" customWidth="1"/>
    <col min="260" max="262" width="14.7109375" style="2482" customWidth="1"/>
    <col min="263" max="514" width="9.140625" style="2482"/>
    <col min="515" max="515" width="20.7109375" style="2482" customWidth="1"/>
    <col min="516" max="518" width="14.7109375" style="2482" customWidth="1"/>
    <col min="519" max="770" width="9.140625" style="2482"/>
    <col min="771" max="771" width="20.7109375" style="2482" customWidth="1"/>
    <col min="772" max="774" width="14.7109375" style="2482" customWidth="1"/>
    <col min="775" max="1026" width="9.140625" style="2482"/>
    <col min="1027" max="1027" width="20.7109375" style="2482" customWidth="1"/>
    <col min="1028" max="1030" width="14.7109375" style="2482" customWidth="1"/>
    <col min="1031" max="1282" width="9.140625" style="2482"/>
    <col min="1283" max="1283" width="20.7109375" style="2482" customWidth="1"/>
    <col min="1284" max="1286" width="14.7109375" style="2482" customWidth="1"/>
    <col min="1287" max="1538" width="9.140625" style="2482"/>
    <col min="1539" max="1539" width="20.7109375" style="2482" customWidth="1"/>
    <col min="1540" max="1542" width="14.7109375" style="2482" customWidth="1"/>
    <col min="1543" max="1794" width="9.140625" style="2482"/>
    <col min="1795" max="1795" width="20.7109375" style="2482" customWidth="1"/>
    <col min="1796" max="1798" width="14.7109375" style="2482" customWidth="1"/>
    <col min="1799" max="2050" width="9.140625" style="2482"/>
    <col min="2051" max="2051" width="20.7109375" style="2482" customWidth="1"/>
    <col min="2052" max="2054" width="14.7109375" style="2482" customWidth="1"/>
    <col min="2055" max="2306" width="9.140625" style="2482"/>
    <col min="2307" max="2307" width="20.7109375" style="2482" customWidth="1"/>
    <col min="2308" max="2310" width="14.7109375" style="2482" customWidth="1"/>
    <col min="2311" max="2562" width="9.140625" style="2482"/>
    <col min="2563" max="2563" width="20.7109375" style="2482" customWidth="1"/>
    <col min="2564" max="2566" width="14.7109375" style="2482" customWidth="1"/>
    <col min="2567" max="2818" width="9.140625" style="2482"/>
    <col min="2819" max="2819" width="20.7109375" style="2482" customWidth="1"/>
    <col min="2820" max="2822" width="14.7109375" style="2482" customWidth="1"/>
    <col min="2823" max="3074" width="9.140625" style="2482"/>
    <col min="3075" max="3075" width="20.7109375" style="2482" customWidth="1"/>
    <col min="3076" max="3078" width="14.7109375" style="2482" customWidth="1"/>
    <col min="3079" max="3330" width="9.140625" style="2482"/>
    <col min="3331" max="3331" width="20.7109375" style="2482" customWidth="1"/>
    <col min="3332" max="3334" width="14.7109375" style="2482" customWidth="1"/>
    <col min="3335" max="3586" width="9.140625" style="2482"/>
    <col min="3587" max="3587" width="20.7109375" style="2482" customWidth="1"/>
    <col min="3588" max="3590" width="14.7109375" style="2482" customWidth="1"/>
    <col min="3591" max="3842" width="9.140625" style="2482"/>
    <col min="3843" max="3843" width="20.7109375" style="2482" customWidth="1"/>
    <col min="3844" max="3846" width="14.7109375" style="2482" customWidth="1"/>
    <col min="3847" max="4098" width="9.140625" style="2482"/>
    <col min="4099" max="4099" width="20.7109375" style="2482" customWidth="1"/>
    <col min="4100" max="4102" width="14.7109375" style="2482" customWidth="1"/>
    <col min="4103" max="4354" width="9.140625" style="2482"/>
    <col min="4355" max="4355" width="20.7109375" style="2482" customWidth="1"/>
    <col min="4356" max="4358" width="14.7109375" style="2482" customWidth="1"/>
    <col min="4359" max="4610" width="9.140625" style="2482"/>
    <col min="4611" max="4611" width="20.7109375" style="2482" customWidth="1"/>
    <col min="4612" max="4614" width="14.7109375" style="2482" customWidth="1"/>
    <col min="4615" max="4866" width="9.140625" style="2482"/>
    <col min="4867" max="4867" width="20.7109375" style="2482" customWidth="1"/>
    <col min="4868" max="4870" width="14.7109375" style="2482" customWidth="1"/>
    <col min="4871" max="5122" width="9.140625" style="2482"/>
    <col min="5123" max="5123" width="20.7109375" style="2482" customWidth="1"/>
    <col min="5124" max="5126" width="14.7109375" style="2482" customWidth="1"/>
    <col min="5127" max="5378" width="9.140625" style="2482"/>
    <col min="5379" max="5379" width="20.7109375" style="2482" customWidth="1"/>
    <col min="5380" max="5382" width="14.7109375" style="2482" customWidth="1"/>
    <col min="5383" max="5634" width="9.140625" style="2482"/>
    <col min="5635" max="5635" width="20.7109375" style="2482" customWidth="1"/>
    <col min="5636" max="5638" width="14.7109375" style="2482" customWidth="1"/>
    <col min="5639" max="5890" width="9.140625" style="2482"/>
    <col min="5891" max="5891" width="20.7109375" style="2482" customWidth="1"/>
    <col min="5892" max="5894" width="14.7109375" style="2482" customWidth="1"/>
    <col min="5895" max="6146" width="9.140625" style="2482"/>
    <col min="6147" max="6147" width="20.7109375" style="2482" customWidth="1"/>
    <col min="6148" max="6150" width="14.7109375" style="2482" customWidth="1"/>
    <col min="6151" max="6402" width="9.140625" style="2482"/>
    <col min="6403" max="6403" width="20.7109375" style="2482" customWidth="1"/>
    <col min="6404" max="6406" width="14.7109375" style="2482" customWidth="1"/>
    <col min="6407" max="6658" width="9.140625" style="2482"/>
    <col min="6659" max="6659" width="20.7109375" style="2482" customWidth="1"/>
    <col min="6660" max="6662" width="14.7109375" style="2482" customWidth="1"/>
    <col min="6663" max="6914" width="9.140625" style="2482"/>
    <col min="6915" max="6915" width="20.7109375" style="2482" customWidth="1"/>
    <col min="6916" max="6918" width="14.7109375" style="2482" customWidth="1"/>
    <col min="6919" max="7170" width="9.140625" style="2482"/>
    <col min="7171" max="7171" width="20.7109375" style="2482" customWidth="1"/>
    <col min="7172" max="7174" width="14.7109375" style="2482" customWidth="1"/>
    <col min="7175" max="7426" width="9.140625" style="2482"/>
    <col min="7427" max="7427" width="20.7109375" style="2482" customWidth="1"/>
    <col min="7428" max="7430" width="14.7109375" style="2482" customWidth="1"/>
    <col min="7431" max="7682" width="9.140625" style="2482"/>
    <col min="7683" max="7683" width="20.7109375" style="2482" customWidth="1"/>
    <col min="7684" max="7686" width="14.7109375" style="2482" customWidth="1"/>
    <col min="7687" max="7938" width="9.140625" style="2482"/>
    <col min="7939" max="7939" width="20.7109375" style="2482" customWidth="1"/>
    <col min="7940" max="7942" width="14.7109375" style="2482" customWidth="1"/>
    <col min="7943" max="8194" width="9.140625" style="2482"/>
    <col min="8195" max="8195" width="20.7109375" style="2482" customWidth="1"/>
    <col min="8196" max="8198" width="14.7109375" style="2482" customWidth="1"/>
    <col min="8199" max="8450" width="9.140625" style="2482"/>
    <col min="8451" max="8451" width="20.7109375" style="2482" customWidth="1"/>
    <col min="8452" max="8454" width="14.7109375" style="2482" customWidth="1"/>
    <col min="8455" max="8706" width="9.140625" style="2482"/>
    <col min="8707" max="8707" width="20.7109375" style="2482" customWidth="1"/>
    <col min="8708" max="8710" width="14.7109375" style="2482" customWidth="1"/>
    <col min="8711" max="8962" width="9.140625" style="2482"/>
    <col min="8963" max="8963" width="20.7109375" style="2482" customWidth="1"/>
    <col min="8964" max="8966" width="14.7109375" style="2482" customWidth="1"/>
    <col min="8967" max="9218" width="9.140625" style="2482"/>
    <col min="9219" max="9219" width="20.7109375" style="2482" customWidth="1"/>
    <col min="9220" max="9222" width="14.7109375" style="2482" customWidth="1"/>
    <col min="9223" max="9474" width="9.140625" style="2482"/>
    <col min="9475" max="9475" width="20.7109375" style="2482" customWidth="1"/>
    <col min="9476" max="9478" width="14.7109375" style="2482" customWidth="1"/>
    <col min="9479" max="9730" width="9.140625" style="2482"/>
    <col min="9731" max="9731" width="20.7109375" style="2482" customWidth="1"/>
    <col min="9732" max="9734" width="14.7109375" style="2482" customWidth="1"/>
    <col min="9735" max="9986" width="9.140625" style="2482"/>
    <col min="9987" max="9987" width="20.7109375" style="2482" customWidth="1"/>
    <col min="9988" max="9990" width="14.7109375" style="2482" customWidth="1"/>
    <col min="9991" max="10242" width="9.140625" style="2482"/>
    <col min="10243" max="10243" width="20.7109375" style="2482" customWidth="1"/>
    <col min="10244" max="10246" width="14.7109375" style="2482" customWidth="1"/>
    <col min="10247" max="10498" width="9.140625" style="2482"/>
    <col min="10499" max="10499" width="20.7109375" style="2482" customWidth="1"/>
    <col min="10500" max="10502" width="14.7109375" style="2482" customWidth="1"/>
    <col min="10503" max="10754" width="9.140625" style="2482"/>
    <col min="10755" max="10755" width="20.7109375" style="2482" customWidth="1"/>
    <col min="10756" max="10758" width="14.7109375" style="2482" customWidth="1"/>
    <col min="10759" max="11010" width="9.140625" style="2482"/>
    <col min="11011" max="11011" width="20.7109375" style="2482" customWidth="1"/>
    <col min="11012" max="11014" width="14.7109375" style="2482" customWidth="1"/>
    <col min="11015" max="11266" width="9.140625" style="2482"/>
    <col min="11267" max="11267" width="20.7109375" style="2482" customWidth="1"/>
    <col min="11268" max="11270" width="14.7109375" style="2482" customWidth="1"/>
    <col min="11271" max="11522" width="9.140625" style="2482"/>
    <col min="11523" max="11523" width="20.7109375" style="2482" customWidth="1"/>
    <col min="11524" max="11526" width="14.7109375" style="2482" customWidth="1"/>
    <col min="11527" max="11778" width="9.140625" style="2482"/>
    <col min="11779" max="11779" width="20.7109375" style="2482" customWidth="1"/>
    <col min="11780" max="11782" width="14.7109375" style="2482" customWidth="1"/>
    <col min="11783" max="12034" width="9.140625" style="2482"/>
    <col min="12035" max="12035" width="20.7109375" style="2482" customWidth="1"/>
    <col min="12036" max="12038" width="14.7109375" style="2482" customWidth="1"/>
    <col min="12039" max="12290" width="9.140625" style="2482"/>
    <col min="12291" max="12291" width="20.7109375" style="2482" customWidth="1"/>
    <col min="12292" max="12294" width="14.7109375" style="2482" customWidth="1"/>
    <col min="12295" max="12546" width="9.140625" style="2482"/>
    <col min="12547" max="12547" width="20.7109375" style="2482" customWidth="1"/>
    <col min="12548" max="12550" width="14.7109375" style="2482" customWidth="1"/>
    <col min="12551" max="12802" width="9.140625" style="2482"/>
    <col min="12803" max="12803" width="20.7109375" style="2482" customWidth="1"/>
    <col min="12804" max="12806" width="14.7109375" style="2482" customWidth="1"/>
    <col min="12807" max="13058" width="9.140625" style="2482"/>
    <col min="13059" max="13059" width="20.7109375" style="2482" customWidth="1"/>
    <col min="13060" max="13062" width="14.7109375" style="2482" customWidth="1"/>
    <col min="13063" max="13314" width="9.140625" style="2482"/>
    <col min="13315" max="13315" width="20.7109375" style="2482" customWidth="1"/>
    <col min="13316" max="13318" width="14.7109375" style="2482" customWidth="1"/>
    <col min="13319" max="13570" width="9.140625" style="2482"/>
    <col min="13571" max="13571" width="20.7109375" style="2482" customWidth="1"/>
    <col min="13572" max="13574" width="14.7109375" style="2482" customWidth="1"/>
    <col min="13575" max="13826" width="9.140625" style="2482"/>
    <col min="13827" max="13827" width="20.7109375" style="2482" customWidth="1"/>
    <col min="13828" max="13830" width="14.7109375" style="2482" customWidth="1"/>
    <col min="13831" max="14082" width="9.140625" style="2482"/>
    <col min="14083" max="14083" width="20.7109375" style="2482" customWidth="1"/>
    <col min="14084" max="14086" width="14.7109375" style="2482" customWidth="1"/>
    <col min="14087" max="14338" width="9.140625" style="2482"/>
    <col min="14339" max="14339" width="20.7109375" style="2482" customWidth="1"/>
    <col min="14340" max="14342" width="14.7109375" style="2482" customWidth="1"/>
    <col min="14343" max="14594" width="9.140625" style="2482"/>
    <col min="14595" max="14595" width="20.7109375" style="2482" customWidth="1"/>
    <col min="14596" max="14598" width="14.7109375" style="2482" customWidth="1"/>
    <col min="14599" max="14850" width="9.140625" style="2482"/>
    <col min="14851" max="14851" width="20.7109375" style="2482" customWidth="1"/>
    <col min="14852" max="14854" width="14.7109375" style="2482" customWidth="1"/>
    <col min="14855" max="15106" width="9.140625" style="2482"/>
    <col min="15107" max="15107" width="20.7109375" style="2482" customWidth="1"/>
    <col min="15108" max="15110" width="14.7109375" style="2482" customWidth="1"/>
    <col min="15111" max="15362" width="9.140625" style="2482"/>
    <col min="15363" max="15363" width="20.7109375" style="2482" customWidth="1"/>
    <col min="15364" max="15366" width="14.7109375" style="2482" customWidth="1"/>
    <col min="15367" max="15618" width="9.140625" style="2482"/>
    <col min="15619" max="15619" width="20.7109375" style="2482" customWidth="1"/>
    <col min="15620" max="15622" width="14.7109375" style="2482" customWidth="1"/>
    <col min="15623" max="15874" width="9.140625" style="2482"/>
    <col min="15875" max="15875" width="20.7109375" style="2482" customWidth="1"/>
    <col min="15876" max="15878" width="14.7109375" style="2482" customWidth="1"/>
    <col min="15879" max="16130" width="9.140625" style="2482"/>
    <col min="16131" max="16131" width="20.7109375" style="2482" customWidth="1"/>
    <col min="16132" max="16134" width="14.7109375" style="2482" customWidth="1"/>
    <col min="16135" max="16384" width="9.140625" style="2482"/>
  </cols>
  <sheetData>
    <row r="1" spans="1:7" ht="15.75" x14ac:dyDescent="0.25">
      <c r="A1" s="5222" t="s">
        <v>3861</v>
      </c>
      <c r="B1" s="5222"/>
      <c r="C1" s="5222"/>
      <c r="D1" s="5222"/>
      <c r="E1" s="5222"/>
      <c r="F1" s="5222"/>
      <c r="G1" s="4910"/>
    </row>
    <row r="2" spans="1:7" ht="15.75" x14ac:dyDescent="0.2">
      <c r="A2" s="5223" t="s">
        <v>366</v>
      </c>
      <c r="B2" s="5223"/>
      <c r="C2" s="5223"/>
      <c r="D2" s="5224"/>
      <c r="E2" s="5224"/>
      <c r="F2" s="5224"/>
      <c r="G2" s="5224"/>
    </row>
    <row r="3" spans="1:7" ht="13.5" x14ac:dyDescent="0.25">
      <c r="A3" s="5225" t="s">
        <v>1557</v>
      </c>
      <c r="B3" s="5227" t="s">
        <v>1705</v>
      </c>
      <c r="C3" s="5228"/>
      <c r="D3" s="5229" t="s">
        <v>1706</v>
      </c>
      <c r="E3" s="5227" t="s">
        <v>3549</v>
      </c>
      <c r="F3" s="5231"/>
      <c r="G3" s="5232"/>
    </row>
    <row r="4" spans="1:7" ht="15.75" x14ac:dyDescent="0.25">
      <c r="A4" s="5226"/>
      <c r="B4" s="2483" t="s">
        <v>3550</v>
      </c>
      <c r="C4" s="2483" t="s">
        <v>1674</v>
      </c>
      <c r="D4" s="5230"/>
      <c r="E4" s="2483" t="s">
        <v>3550</v>
      </c>
      <c r="F4" s="2483" t="s">
        <v>1674</v>
      </c>
      <c r="G4" s="2483" t="s">
        <v>1593</v>
      </c>
    </row>
    <row r="5" spans="1:7" ht="15.75" x14ac:dyDescent="0.25">
      <c r="A5" s="2484" t="s">
        <v>256</v>
      </c>
      <c r="B5" s="2485">
        <f>SUM('[43]ФАКТИЧЕСКАЯ СЕБЕСТ ВОДА 2019'!C14)*1000</f>
        <v>305052.07694444444</v>
      </c>
      <c r="C5" s="2485">
        <f>SUM('[43]ФАКТИЧЕСКАЯ СЕБЕСТ ВОДА 2019'!F14)*1000</f>
        <v>311435</v>
      </c>
      <c r="D5" s="2487">
        <v>36.85</v>
      </c>
      <c r="E5" s="2488">
        <f>B5*D5/1000</f>
        <v>11241.169035402778</v>
      </c>
      <c r="F5" s="2488">
        <f>C5*D5/1000</f>
        <v>11476.37975</v>
      </c>
      <c r="G5" s="2488">
        <f>SUM(F5-E5)</f>
        <v>235.21071459722225</v>
      </c>
    </row>
    <row r="6" spans="1:7" ht="15.75" x14ac:dyDescent="0.25">
      <c r="A6" s="2484" t="s">
        <v>257</v>
      </c>
      <c r="B6" s="2485">
        <f>SUM('[43]ФАКТИЧЕСКАЯ СЕБЕСТ ВОДА 2019'!L14)*1000</f>
        <v>305052.07694444444</v>
      </c>
      <c r="C6" s="2485">
        <f>SUM('[43]ФАКТИЧЕСКАЯ СЕБЕСТ ВОДА 2019'!O14)*1000</f>
        <v>296910</v>
      </c>
      <c r="D6" s="2487">
        <v>36.85</v>
      </c>
      <c r="E6" s="2488">
        <f t="shared" ref="E6:E16" si="0">B6*D6/1000</f>
        <v>11241.169035402778</v>
      </c>
      <c r="F6" s="2488">
        <f t="shared" ref="F6:F16" si="1">C6*D6/1000</f>
        <v>10941.1335</v>
      </c>
      <c r="G6" s="2488">
        <f t="shared" ref="G6:G16" si="2">SUM(F6-E6)</f>
        <v>-300.0355354027779</v>
      </c>
    </row>
    <row r="7" spans="1:7" ht="15.75" x14ac:dyDescent="0.25">
      <c r="A7" s="2484" t="s">
        <v>258</v>
      </c>
      <c r="B7" s="2485">
        <f>SUM('[43]ФАКТИЧЕСКАЯ СЕБЕСТ ВОДА 2019'!U14)*1000</f>
        <v>305052.07694444444</v>
      </c>
      <c r="C7" s="2485">
        <f>SUM('[43]ФАКТИЧЕСКАЯ СЕБЕСТ ВОДА 2019'!X14)*1000</f>
        <v>282129</v>
      </c>
      <c r="D7" s="2487">
        <v>36.85</v>
      </c>
      <c r="E7" s="2488">
        <f t="shared" si="0"/>
        <v>11241.169035402778</v>
      </c>
      <c r="F7" s="2488">
        <f t="shared" si="1"/>
        <v>10396.453649999999</v>
      </c>
      <c r="G7" s="2488">
        <f t="shared" si="2"/>
        <v>-844.71538540277834</v>
      </c>
    </row>
    <row r="8" spans="1:7" ht="15.75" x14ac:dyDescent="0.25">
      <c r="A8" s="2484" t="s">
        <v>259</v>
      </c>
      <c r="B8" s="2485">
        <f>SUM('[43]ФАКТИЧЕСКАЯ СЕБЕСТ ВОДА 2019'!AP14)*1000</f>
        <v>305052.07694444444</v>
      </c>
      <c r="C8" s="2485">
        <f>SUM('[43]ФАКТИЧЕСКАЯ СЕБЕСТ ВОДА 2019'!AS14)*1000</f>
        <v>295099.99999999994</v>
      </c>
      <c r="D8" s="2487">
        <v>36.85</v>
      </c>
      <c r="E8" s="2488">
        <f t="shared" si="0"/>
        <v>11241.169035402778</v>
      </c>
      <c r="F8" s="2488">
        <f t="shared" si="1"/>
        <v>10874.434999999998</v>
      </c>
      <c r="G8" s="2488">
        <f t="shared" si="2"/>
        <v>-366.73403540278014</v>
      </c>
    </row>
    <row r="9" spans="1:7" ht="15.75" x14ac:dyDescent="0.25">
      <c r="A9" s="2484" t="s">
        <v>260</v>
      </c>
      <c r="B9" s="2485">
        <f>SUM('[43]ФАКТИЧЕСКАЯ СЕБЕСТ ВОДА 2019'!AY14)*1000</f>
        <v>305052.07694444444</v>
      </c>
      <c r="C9" s="2485">
        <f>SUM('[43]ФАКТИЧЕСКАЯ СЕБЕСТ ВОДА 2019'!BB14)*1000</f>
        <v>283635</v>
      </c>
      <c r="D9" s="2487">
        <v>36.85</v>
      </c>
      <c r="E9" s="2488">
        <f t="shared" si="0"/>
        <v>11241.169035402778</v>
      </c>
      <c r="F9" s="2488">
        <f t="shared" si="1"/>
        <v>10451.94975</v>
      </c>
      <c r="G9" s="2488">
        <f t="shared" si="2"/>
        <v>-789.21928540277804</v>
      </c>
    </row>
    <row r="10" spans="1:7" ht="15.75" x14ac:dyDescent="0.25">
      <c r="A10" s="2484" t="s">
        <v>261</v>
      </c>
      <c r="B10" s="2485">
        <f>SUM('[43]ФАКТИЧЕСКАЯ СЕБЕСТ ВОДА 2019'!BH14)*1000</f>
        <v>305052.07694444444</v>
      </c>
      <c r="C10" s="2485">
        <f>SUM('[43]ФАКТИЧЕСКАЯ СЕБЕСТ ВОДА 2019'!BK14)*1000</f>
        <v>281722.00000000006</v>
      </c>
      <c r="D10" s="2487">
        <v>36.85</v>
      </c>
      <c r="E10" s="2488">
        <f t="shared" si="0"/>
        <v>11241.169035402778</v>
      </c>
      <c r="F10" s="2488">
        <f t="shared" si="1"/>
        <v>10381.455700000002</v>
      </c>
      <c r="G10" s="2488">
        <f t="shared" si="2"/>
        <v>-859.71333540277556</v>
      </c>
    </row>
    <row r="11" spans="1:7" ht="15.75" x14ac:dyDescent="0.25">
      <c r="A11" s="2484" t="s">
        <v>1207</v>
      </c>
      <c r="B11" s="2485">
        <f>SUM('[43]ФАКТИЧЕСКАЯ СЕБЕСТ ВОДА 2019'!CO14)*1000</f>
        <v>305052.07694444444</v>
      </c>
      <c r="C11" s="2485">
        <f>SUM('[43]ФАКТИЧЕСКАЯ СЕБЕСТ ВОДА 2019'!CR14)*1000</f>
        <v>275601</v>
      </c>
      <c r="D11" s="2487">
        <v>38.11</v>
      </c>
      <c r="E11" s="2488">
        <f t="shared" si="0"/>
        <v>11625.534652352779</v>
      </c>
      <c r="F11" s="2488">
        <f t="shared" si="1"/>
        <v>10503.154109999999</v>
      </c>
      <c r="G11" s="2488">
        <f t="shared" si="2"/>
        <v>-1122.3805423527792</v>
      </c>
    </row>
    <row r="12" spans="1:7" ht="15.75" x14ac:dyDescent="0.25">
      <c r="A12" s="2484" t="s">
        <v>262</v>
      </c>
      <c r="B12" s="2485">
        <f>SUM('[43]ФАКТИЧЕСКАЯ СЕБЕСТ ВОДА 2019'!CX14)*1000</f>
        <v>305052.07694444444</v>
      </c>
      <c r="C12" s="2485">
        <f>SUM('[43]ФАКТИЧЕСКАЯ СЕБЕСТ ВОДА 2019'!DA14)*1000</f>
        <v>310862</v>
      </c>
      <c r="D12" s="2487">
        <v>38.11</v>
      </c>
      <c r="E12" s="2488">
        <f t="shared" si="0"/>
        <v>11625.534652352779</v>
      </c>
      <c r="F12" s="2488">
        <f t="shared" si="1"/>
        <v>11846.95082</v>
      </c>
      <c r="G12" s="2488">
        <f t="shared" si="2"/>
        <v>221.4161676472213</v>
      </c>
    </row>
    <row r="13" spans="1:7" ht="15.75" x14ac:dyDescent="0.25">
      <c r="A13" s="2484" t="s">
        <v>1225</v>
      </c>
      <c r="B13" s="2485">
        <f>SUM('[43]ФАКТИЧЕСКАЯ СЕБЕСТ ВОДА 2019'!DG14)*1000</f>
        <v>305052.07694444444</v>
      </c>
      <c r="C13" s="2485">
        <f>SUM('[43]ФАКТИЧЕСКАЯ СЕБЕСТ ВОДА 2019'!DJ14)*1000</f>
        <v>301030.99999999994</v>
      </c>
      <c r="D13" s="2487">
        <v>38.11</v>
      </c>
      <c r="E13" s="2488">
        <f t="shared" si="0"/>
        <v>11625.534652352779</v>
      </c>
      <c r="F13" s="2488">
        <f t="shared" si="1"/>
        <v>11472.291409999998</v>
      </c>
      <c r="G13" s="2488">
        <f t="shared" si="2"/>
        <v>-153.24324235278073</v>
      </c>
    </row>
    <row r="14" spans="1:7" ht="15.75" x14ac:dyDescent="0.25">
      <c r="A14" s="2484" t="s">
        <v>263</v>
      </c>
      <c r="B14" s="2485">
        <f>SUM('[43]ФАКТИЧЕСКАЯ СЕБЕСТ ВОДА 2019'!EN14)*1000</f>
        <v>305052.07694444444</v>
      </c>
      <c r="C14" s="2485">
        <f>SUM('[43]ФАКТИЧЕСКАЯ СЕБЕСТ ВОДА 2019'!EQ14)*1000</f>
        <v>302602</v>
      </c>
      <c r="D14" s="2487">
        <v>38.11</v>
      </c>
      <c r="E14" s="2488">
        <f t="shared" si="0"/>
        <v>11625.534652352779</v>
      </c>
      <c r="F14" s="2488">
        <f t="shared" si="1"/>
        <v>11532.16222</v>
      </c>
      <c r="G14" s="2488">
        <f t="shared" si="2"/>
        <v>-93.37243235277856</v>
      </c>
    </row>
    <row r="15" spans="1:7" ht="15.75" x14ac:dyDescent="0.25">
      <c r="A15" s="2484" t="s">
        <v>264</v>
      </c>
      <c r="B15" s="2485">
        <f>SUM('[43]ФАКТИЧЕСКАЯ СЕБЕСТ ВОДА 2019'!EW14)*1000</f>
        <v>305052.07694444444</v>
      </c>
      <c r="C15" s="2485">
        <f>SUM('[43]ФАКТИЧЕСКАЯ СЕБЕСТ ВОДА 2019'!EZ14)*1000</f>
        <v>293135</v>
      </c>
      <c r="D15" s="2487">
        <v>38.11</v>
      </c>
      <c r="E15" s="2488">
        <f t="shared" si="0"/>
        <v>11625.534652352779</v>
      </c>
      <c r="F15" s="2488">
        <f t="shared" si="1"/>
        <v>11171.37485</v>
      </c>
      <c r="G15" s="2488">
        <f t="shared" si="2"/>
        <v>-454.15980235277857</v>
      </c>
    </row>
    <row r="16" spans="1:7" ht="15.75" x14ac:dyDescent="0.25">
      <c r="A16" s="2484" t="s">
        <v>1316</v>
      </c>
      <c r="B16" s="2485">
        <f>SUM('[43]ФАКТИЧЕСКАЯ СЕБЕСТ ВОДА 2019'!FF14)*1000</f>
        <v>305052.07694444444</v>
      </c>
      <c r="C16" s="2485">
        <f>SUM('[43]ФАКТИЧЕСКАЯ СЕБЕСТ ВОДА 2019'!FI14)*1000</f>
        <v>293711</v>
      </c>
      <c r="D16" s="2487">
        <v>38.11</v>
      </c>
      <c r="E16" s="2488">
        <f t="shared" si="0"/>
        <v>11625.534652352779</v>
      </c>
      <c r="F16" s="2488">
        <f t="shared" si="1"/>
        <v>11193.326209999999</v>
      </c>
      <c r="G16" s="2488">
        <f t="shared" si="2"/>
        <v>-432.20844235277946</v>
      </c>
    </row>
    <row r="17" spans="1:7" ht="15.75" x14ac:dyDescent="0.25">
      <c r="A17" s="2490" t="s">
        <v>280</v>
      </c>
      <c r="B17" s="2491">
        <f>SUM(B5:B16)</f>
        <v>3660624.9233333324</v>
      </c>
      <c r="C17" s="2491">
        <f>SUM(C5:C16)</f>
        <v>3527873</v>
      </c>
      <c r="D17" s="2491">
        <f>F17/C17*1000</f>
        <v>37.484644988637626</v>
      </c>
      <c r="E17" s="2492">
        <f>SUM(E5:E16)</f>
        <v>137200.22212653336</v>
      </c>
      <c r="F17" s="2492">
        <f>SUM(F5:F16)</f>
        <v>132241.06696999999</v>
      </c>
      <c r="G17" s="2492">
        <f>SUM(G5:G16)</f>
        <v>-4959.155156533343</v>
      </c>
    </row>
    <row r="18" spans="1:7" ht="15" x14ac:dyDescent="0.2">
      <c r="A18" s="2493"/>
      <c r="B18" s="2493"/>
      <c r="C18" s="2493"/>
      <c r="D18" s="2493"/>
      <c r="E18" s="2493"/>
      <c r="F18" s="2493"/>
    </row>
    <row r="19" spans="1:7" ht="15.75" x14ac:dyDescent="0.2">
      <c r="A19" s="5223" t="s">
        <v>25</v>
      </c>
      <c r="B19" s="5223"/>
      <c r="C19" s="5223"/>
      <c r="D19" s="5224"/>
      <c r="E19" s="5224"/>
      <c r="F19" s="5224"/>
      <c r="G19" s="5224"/>
    </row>
    <row r="20" spans="1:7" ht="15.75" customHeight="1" x14ac:dyDescent="0.25">
      <c r="A20" s="5225" t="s">
        <v>1557</v>
      </c>
      <c r="B20" s="5227" t="s">
        <v>1705</v>
      </c>
      <c r="C20" s="5228"/>
      <c r="D20" s="5229" t="s">
        <v>1706</v>
      </c>
      <c r="E20" s="5227" t="s">
        <v>3549</v>
      </c>
      <c r="F20" s="5231"/>
      <c r="G20" s="5232"/>
    </row>
    <row r="21" spans="1:7" ht="15.75" customHeight="1" x14ac:dyDescent="0.25">
      <c r="A21" s="5226"/>
      <c r="B21" s="2483" t="s">
        <v>3550</v>
      </c>
      <c r="C21" s="2483" t="s">
        <v>1674</v>
      </c>
      <c r="D21" s="5230"/>
      <c r="E21" s="2483" t="s">
        <v>3550</v>
      </c>
      <c r="F21" s="2483" t="s">
        <v>1674</v>
      </c>
      <c r="G21" s="2483" t="s">
        <v>1593</v>
      </c>
    </row>
    <row r="22" spans="1:7" ht="15.75" x14ac:dyDescent="0.25">
      <c r="A22" s="2484" t="s">
        <v>256</v>
      </c>
      <c r="B22" s="3280">
        <f>SUM('[43]ФАКТИЧЕСКАЯ СЕБЕСТ ВОДА 2019'!D14)*1000</f>
        <v>147.5</v>
      </c>
      <c r="C22" s="2486">
        <f>SUM('[43]ФАКТИЧЕСКАЯ СЕБЕСТ ВОДА 2019'!G14)*1000</f>
        <v>120</v>
      </c>
      <c r="D22" s="2486">
        <v>17.41</v>
      </c>
      <c r="E22" s="2488">
        <f>B22*D22/1000</f>
        <v>2.5679750000000001</v>
      </c>
      <c r="F22" s="2488">
        <f>C22*D22/1000</f>
        <v>2.0891999999999999</v>
      </c>
      <c r="G22" s="2488">
        <f>SUM(F22-E22)</f>
        <v>-0.47877500000000017</v>
      </c>
    </row>
    <row r="23" spans="1:7" ht="15.75" x14ac:dyDescent="0.25">
      <c r="A23" s="2484" t="s">
        <v>257</v>
      </c>
      <c r="B23" s="3280">
        <f>SUM('[43]ФАКТИЧЕСКАЯ СЕБЕСТ ВОДА 2019'!M14)*1000</f>
        <v>147.5</v>
      </c>
      <c r="C23" s="2486">
        <f>SUM('[43]ФАКТИЧЕСКАЯ СЕБЕСТ ВОДА 2019'!P14)*1000</f>
        <v>90</v>
      </c>
      <c r="D23" s="2486">
        <v>17.41</v>
      </c>
      <c r="E23" s="2488">
        <f t="shared" ref="E23:E33" si="3">B23*D23/1000</f>
        <v>2.5679750000000001</v>
      </c>
      <c r="F23" s="2488">
        <f t="shared" ref="F23:F33" si="4">C23*D23/1000</f>
        <v>1.5669000000000002</v>
      </c>
      <c r="G23" s="2488">
        <f t="shared" ref="G23:G33" si="5">SUM(F23-E23)</f>
        <v>-1.0010749999999999</v>
      </c>
    </row>
    <row r="24" spans="1:7" ht="15.75" x14ac:dyDescent="0.25">
      <c r="A24" s="2484" t="s">
        <v>258</v>
      </c>
      <c r="B24" s="3280">
        <f>SUM('[43]ФАКТИЧЕСКАЯ СЕБЕСТ ВОДА 2019'!V14)*1000</f>
        <v>147.5</v>
      </c>
      <c r="C24" s="2486">
        <f>SUM('[43]ФАКТИЧЕСКАЯ СЕБЕСТ ВОДА 2019'!Y14)*1000</f>
        <v>75</v>
      </c>
      <c r="D24" s="2486">
        <v>17.41</v>
      </c>
      <c r="E24" s="2488">
        <f t="shared" si="3"/>
        <v>2.5679750000000001</v>
      </c>
      <c r="F24" s="2488">
        <f t="shared" si="4"/>
        <v>1.30575</v>
      </c>
      <c r="G24" s="2488">
        <f t="shared" si="5"/>
        <v>-1.2622250000000002</v>
      </c>
    </row>
    <row r="25" spans="1:7" ht="15.75" x14ac:dyDescent="0.25">
      <c r="A25" s="2484" t="s">
        <v>259</v>
      </c>
      <c r="B25" s="3280">
        <f>SUM('[43]ФАКТИЧЕСКАЯ СЕБЕСТ ВОДА 2019'!AQ14)*1000</f>
        <v>147.5</v>
      </c>
      <c r="C25" s="2486">
        <f>SUM('[43]ФАКТИЧЕСКАЯ СЕБЕСТ ВОДА 2019'!AT14)*1000</f>
        <v>95</v>
      </c>
      <c r="D25" s="2486">
        <v>17.41</v>
      </c>
      <c r="E25" s="2488">
        <f t="shared" si="3"/>
        <v>2.5679750000000001</v>
      </c>
      <c r="F25" s="2488">
        <f t="shared" si="4"/>
        <v>1.65395</v>
      </c>
      <c r="G25" s="2488">
        <f t="shared" si="5"/>
        <v>-0.91402500000000009</v>
      </c>
    </row>
    <row r="26" spans="1:7" ht="15.75" x14ac:dyDescent="0.25">
      <c r="A26" s="2484" t="s">
        <v>260</v>
      </c>
      <c r="B26" s="3280">
        <f>SUM('[43]ФАКТИЧЕСКАЯ СЕБЕСТ ВОДА 2019'!AZ14)*1000</f>
        <v>147.5</v>
      </c>
      <c r="C26" s="2486">
        <f>SUM('[43]ФАКТИЧЕСКАЯ СЕБЕСТ ВОДА 2019'!BC14)*1000</f>
        <v>97</v>
      </c>
      <c r="D26" s="2486">
        <v>17.41</v>
      </c>
      <c r="E26" s="2488">
        <f t="shared" si="3"/>
        <v>2.5679750000000001</v>
      </c>
      <c r="F26" s="2488">
        <f t="shared" si="4"/>
        <v>1.6887699999999999</v>
      </c>
      <c r="G26" s="2488">
        <f t="shared" si="5"/>
        <v>-0.87920500000000024</v>
      </c>
    </row>
    <row r="27" spans="1:7" ht="15.75" x14ac:dyDescent="0.25">
      <c r="A27" s="2484" t="s">
        <v>261</v>
      </c>
      <c r="B27" s="3280">
        <f>SUM('[43]ФАКТИЧЕСКАЯ СЕБЕСТ ВОДА 2019'!BI14)*1000</f>
        <v>147.5</v>
      </c>
      <c r="C27" s="2486">
        <f>SUM('[43]ФАКТИЧЕСКАЯ СЕБЕСТ ВОДА 2019'!BL14)*1000</f>
        <v>81</v>
      </c>
      <c r="D27" s="2486">
        <v>17.41</v>
      </c>
      <c r="E27" s="2488">
        <f t="shared" si="3"/>
        <v>2.5679750000000001</v>
      </c>
      <c r="F27" s="2488">
        <f t="shared" si="4"/>
        <v>1.41021</v>
      </c>
      <c r="G27" s="2488">
        <f t="shared" si="5"/>
        <v>-1.1577650000000002</v>
      </c>
    </row>
    <row r="28" spans="1:7" ht="15.75" x14ac:dyDescent="0.25">
      <c r="A28" s="2484" t="s">
        <v>1207</v>
      </c>
      <c r="B28" s="3280">
        <f>SUM('[43]ФАКТИЧЕСКАЯ СЕБЕСТ ВОДА 2019'!CP14)*1000</f>
        <v>147.5</v>
      </c>
      <c r="C28" s="2486">
        <f>SUM('[43]ФАКТИЧЕСКАЯ СЕБЕСТ ВОДА 2019'!CS14)*1000</f>
        <v>91</v>
      </c>
      <c r="D28" s="2486">
        <v>17.41</v>
      </c>
      <c r="E28" s="2488">
        <f t="shared" si="3"/>
        <v>2.5679750000000001</v>
      </c>
      <c r="F28" s="2488">
        <f t="shared" si="4"/>
        <v>1.5843099999999999</v>
      </c>
      <c r="G28" s="2488">
        <f t="shared" si="5"/>
        <v>-0.98366500000000023</v>
      </c>
    </row>
    <row r="29" spans="1:7" ht="15.75" x14ac:dyDescent="0.25">
      <c r="A29" s="2484" t="s">
        <v>262</v>
      </c>
      <c r="B29" s="3280">
        <f>SUM('[43]ФАКТИЧЕСКАЯ СЕБЕСТ ВОДА 2019'!CY14)*1000</f>
        <v>147.5</v>
      </c>
      <c r="C29" s="2486">
        <f>SUM('[43]ФАКТИЧЕСКАЯ СЕБЕСТ ВОДА 2019'!DB14)*1000</f>
        <v>90</v>
      </c>
      <c r="D29" s="2486">
        <v>17.41</v>
      </c>
      <c r="E29" s="2488">
        <f t="shared" si="3"/>
        <v>2.5679750000000001</v>
      </c>
      <c r="F29" s="2488">
        <f t="shared" si="4"/>
        <v>1.5669000000000002</v>
      </c>
      <c r="G29" s="2488">
        <f t="shared" si="5"/>
        <v>-1.0010749999999999</v>
      </c>
    </row>
    <row r="30" spans="1:7" ht="15.75" x14ac:dyDescent="0.25">
      <c r="A30" s="2484" t="s">
        <v>1225</v>
      </c>
      <c r="B30" s="3280">
        <f>SUM('[43]ФАКТИЧЕСКАЯ СЕБЕСТ ВОДА 2019'!DH14)*1000</f>
        <v>147.5</v>
      </c>
      <c r="C30" s="2486">
        <f>SUM('[43]ФАКТИЧЕСКАЯ СЕБЕСТ ВОДА 2019'!DK14)*1000</f>
        <v>90</v>
      </c>
      <c r="D30" s="2486">
        <v>17.41</v>
      </c>
      <c r="E30" s="2488">
        <f t="shared" si="3"/>
        <v>2.5679750000000001</v>
      </c>
      <c r="F30" s="2488">
        <f t="shared" si="4"/>
        <v>1.5669000000000002</v>
      </c>
      <c r="G30" s="2488">
        <f t="shared" si="5"/>
        <v>-1.0010749999999999</v>
      </c>
    </row>
    <row r="31" spans="1:7" ht="15.75" x14ac:dyDescent="0.25">
      <c r="A31" s="2484" t="s">
        <v>263</v>
      </c>
      <c r="B31" s="3280">
        <f>SUM('[43]ФАКТИЧЕСКАЯ СЕБЕСТ ВОДА 2019'!EO14)*1000</f>
        <v>147.5</v>
      </c>
      <c r="C31" s="2486">
        <f>SUM('[43]ФАКТИЧЕСКАЯ СЕБЕСТ ВОДА 2019'!ER14)*1000</f>
        <v>76</v>
      </c>
      <c r="D31" s="2486">
        <v>17.41</v>
      </c>
      <c r="E31" s="2488">
        <f t="shared" si="3"/>
        <v>2.5679750000000001</v>
      </c>
      <c r="F31" s="2488">
        <f t="shared" si="4"/>
        <v>1.3231600000000001</v>
      </c>
      <c r="G31" s="2488">
        <f t="shared" si="5"/>
        <v>-1.244815</v>
      </c>
    </row>
    <row r="32" spans="1:7" ht="15.75" x14ac:dyDescent="0.25">
      <c r="A32" s="2484" t="s">
        <v>264</v>
      </c>
      <c r="B32" s="3280">
        <f>SUM('[43]ФАКТИЧЕСКАЯ СЕБЕСТ ВОДА 2019'!EX14)*1000</f>
        <v>147.5</v>
      </c>
      <c r="C32" s="2486">
        <f>SUM('[43]ФАКТИЧЕСКАЯ СЕБЕСТ ВОДА 2019'!FA14)*1000</f>
        <v>157</v>
      </c>
      <c r="D32" s="2486">
        <v>17.41</v>
      </c>
      <c r="E32" s="2488">
        <f t="shared" si="3"/>
        <v>2.5679750000000001</v>
      </c>
      <c r="F32" s="2488">
        <f t="shared" si="4"/>
        <v>2.7333699999999999</v>
      </c>
      <c r="G32" s="2488">
        <f t="shared" si="5"/>
        <v>0.16539499999999974</v>
      </c>
    </row>
    <row r="33" spans="1:7" ht="15.75" x14ac:dyDescent="0.25">
      <c r="A33" s="2484" t="s">
        <v>1316</v>
      </c>
      <c r="B33" s="3280">
        <f>SUM('[43]ФАКТИЧЕСКАЯ СЕБЕСТ ВОДА 2019'!FG14)*1000</f>
        <v>147.5</v>
      </c>
      <c r="C33" s="2486">
        <f>SUM('[43]ФАКТИЧЕСКАЯ СЕБЕСТ ВОДА 2019'!FJ14)*1000</f>
        <v>67</v>
      </c>
      <c r="D33" s="2486">
        <v>17.41</v>
      </c>
      <c r="E33" s="2488">
        <f t="shared" si="3"/>
        <v>2.5679750000000001</v>
      </c>
      <c r="F33" s="2488">
        <f t="shared" si="4"/>
        <v>1.1664700000000001</v>
      </c>
      <c r="G33" s="2488">
        <f t="shared" si="5"/>
        <v>-1.401505</v>
      </c>
    </row>
    <row r="34" spans="1:7" ht="15.75" x14ac:dyDescent="0.25">
      <c r="A34" s="2490" t="s">
        <v>280</v>
      </c>
      <c r="B34" s="3281">
        <f>SUM(B22:B33)</f>
        <v>1770</v>
      </c>
      <c r="C34" s="2492">
        <f>SUM(C22:C33)</f>
        <v>1129</v>
      </c>
      <c r="D34" s="2492">
        <f>F34/C34*1000</f>
        <v>17.41</v>
      </c>
      <c r="E34" s="2492">
        <f>SUM(E22:E33)</f>
        <v>30.815700000000003</v>
      </c>
      <c r="F34" s="2492">
        <f>SUM(F22:F33)</f>
        <v>19.655889999999999</v>
      </c>
      <c r="G34" s="2492">
        <f>SUM(G22:G33)</f>
        <v>-11.15981</v>
      </c>
    </row>
    <row r="35" spans="1:7" ht="15" x14ac:dyDescent="0.2">
      <c r="A35" s="2493"/>
      <c r="B35" s="2493"/>
      <c r="C35" s="2493"/>
      <c r="D35" s="2493"/>
      <c r="E35" s="2493"/>
      <c r="F35" s="2493"/>
    </row>
    <row r="36" spans="1:7" ht="15.75" x14ac:dyDescent="0.2">
      <c r="A36" s="5223" t="s">
        <v>47</v>
      </c>
      <c r="B36" s="5223"/>
      <c r="C36" s="5223"/>
      <c r="D36" s="5224"/>
      <c r="E36" s="5224"/>
      <c r="F36" s="5224"/>
      <c r="G36" s="5224"/>
    </row>
    <row r="37" spans="1:7" ht="12.75" customHeight="1" x14ac:dyDescent="0.25">
      <c r="A37" s="5225" t="s">
        <v>1557</v>
      </c>
      <c r="B37" s="5227" t="s">
        <v>1705</v>
      </c>
      <c r="C37" s="5228"/>
      <c r="D37" s="5229" t="s">
        <v>1706</v>
      </c>
      <c r="E37" s="5227" t="s">
        <v>3549</v>
      </c>
      <c r="F37" s="5231"/>
      <c r="G37" s="5232"/>
    </row>
    <row r="38" spans="1:7" ht="15.75" x14ac:dyDescent="0.25">
      <c r="A38" s="5226"/>
      <c r="B38" s="2483" t="s">
        <v>3550</v>
      </c>
      <c r="C38" s="2483" t="s">
        <v>1674</v>
      </c>
      <c r="D38" s="5230"/>
      <c r="E38" s="2483" t="s">
        <v>3550</v>
      </c>
      <c r="F38" s="2483" t="s">
        <v>1674</v>
      </c>
      <c r="G38" s="2483" t="s">
        <v>1593</v>
      </c>
    </row>
    <row r="39" spans="1:7" ht="15.75" x14ac:dyDescent="0.25">
      <c r="A39" s="2484" t="s">
        <v>256</v>
      </c>
      <c r="B39" s="2485">
        <f>SUM('[43]ФАКТИЧЕСКАЯ СЕБЕСТ. СТОКИ 2019'!C9)*1000</f>
        <v>250194.74804095269</v>
      </c>
      <c r="C39" s="2485">
        <f>SUM('[43]ФАКТИЧЕСКАЯ СЕБЕСТ. СТОКИ 2019'!F9)*1000</f>
        <v>266293</v>
      </c>
      <c r="D39" s="2486">
        <v>32.06</v>
      </c>
      <c r="E39" s="2488">
        <f>B39*D39/1000</f>
        <v>8021.2436221929438</v>
      </c>
      <c r="F39" s="2488">
        <f>C39*D39/1000</f>
        <v>8537.3535800000009</v>
      </c>
      <c r="G39" s="2488">
        <f>SUM(F39-E39)</f>
        <v>516.10995780705707</v>
      </c>
    </row>
    <row r="40" spans="1:7" ht="15.75" x14ac:dyDescent="0.25">
      <c r="A40" s="2484" t="s">
        <v>257</v>
      </c>
      <c r="B40" s="2485">
        <f>SUM('[43]ФАКТИЧЕСКАЯ СЕБЕСТ. СТОКИ 2019'!L9)*1000</f>
        <v>250194.74804095269</v>
      </c>
      <c r="C40" s="2485">
        <f>SUM('[43]ФАКТИЧЕСКАЯ СЕБЕСТ. СТОКИ 2019'!O9)*1000</f>
        <v>256132.99999999997</v>
      </c>
      <c r="D40" s="2486">
        <v>32.06</v>
      </c>
      <c r="E40" s="2488">
        <f t="shared" ref="E40:E50" si="6">B40*D40/1000</f>
        <v>8021.2436221929438</v>
      </c>
      <c r="F40" s="2488">
        <f t="shared" ref="F40:F50" si="7">C40*D40/1000</f>
        <v>8211.6239800000003</v>
      </c>
      <c r="G40" s="2488">
        <f t="shared" ref="G40:G50" si="8">SUM(F40-E40)</f>
        <v>190.3803578070565</v>
      </c>
    </row>
    <row r="41" spans="1:7" ht="15.75" x14ac:dyDescent="0.25">
      <c r="A41" s="2484" t="s">
        <v>258</v>
      </c>
      <c r="B41" s="2485">
        <f>SUM('[43]ФАКТИЧЕСКАЯ СЕБЕСТ. СТОКИ 2019'!U9)*1000</f>
        <v>250194.74804095269</v>
      </c>
      <c r="C41" s="2485">
        <f>SUM('[43]ФАКТИЧЕСКАЯ СЕБЕСТ. СТОКИ 2019'!X9)*1000</f>
        <v>248363</v>
      </c>
      <c r="D41" s="2486">
        <v>32.06</v>
      </c>
      <c r="E41" s="2488">
        <f t="shared" si="6"/>
        <v>8021.2436221929438</v>
      </c>
      <c r="F41" s="2488">
        <f t="shared" si="7"/>
        <v>7962.5177800000001</v>
      </c>
      <c r="G41" s="2488">
        <f t="shared" si="8"/>
        <v>-58.725842192943674</v>
      </c>
    </row>
    <row r="42" spans="1:7" ht="15.75" x14ac:dyDescent="0.25">
      <c r="A42" s="2484" t="s">
        <v>259</v>
      </c>
      <c r="B42" s="2485">
        <f>SUM('[43]ФАКТИЧЕСКАЯ СЕБЕСТ. СТОКИ 2019'!AP9)*1000</f>
        <v>250194.74804095269</v>
      </c>
      <c r="C42" s="2485">
        <f>SUM('[43]ФАКТИЧЕСКАЯ СЕБЕСТ. СТОКИ 2019'!AS9)*1000</f>
        <v>259787.00000000003</v>
      </c>
      <c r="D42" s="2486">
        <v>32.06</v>
      </c>
      <c r="E42" s="2488">
        <f t="shared" si="6"/>
        <v>8021.2436221929438</v>
      </c>
      <c r="F42" s="2488">
        <f t="shared" si="7"/>
        <v>8328.7712200000024</v>
      </c>
      <c r="G42" s="2488">
        <f t="shared" si="8"/>
        <v>307.52759780705856</v>
      </c>
    </row>
    <row r="43" spans="1:7" ht="15.75" x14ac:dyDescent="0.25">
      <c r="A43" s="2484" t="s">
        <v>260</v>
      </c>
      <c r="B43" s="2485">
        <f>SUM('[43]ФАКТИЧЕСКАЯ СЕБЕСТ. СТОКИ 2019'!AY9)*1000</f>
        <v>250194.74804095269</v>
      </c>
      <c r="C43" s="2485">
        <f>SUM('[43]ФАКТИЧЕСКАЯ СЕБЕСТ. СТОКИ 2019'!BB9)*1000</f>
        <v>253662.00000000003</v>
      </c>
      <c r="D43" s="2486">
        <v>32.06</v>
      </c>
      <c r="E43" s="2488">
        <f t="shared" si="6"/>
        <v>8021.2436221929438</v>
      </c>
      <c r="F43" s="2488">
        <f t="shared" si="7"/>
        <v>8132.4037200000012</v>
      </c>
      <c r="G43" s="2488">
        <f t="shared" si="8"/>
        <v>111.16009780705735</v>
      </c>
    </row>
    <row r="44" spans="1:7" ht="15.75" x14ac:dyDescent="0.25">
      <c r="A44" s="2484" t="s">
        <v>261</v>
      </c>
      <c r="B44" s="2485">
        <f>SUM('[43]ФАКТИЧЕСКАЯ СЕБЕСТ. СТОКИ 2019'!BH9)*1000</f>
        <v>250194.74804095269</v>
      </c>
      <c r="C44" s="2485">
        <f>SUM('[43]ФАКТИЧЕСКАЯ СЕБЕСТ. СТОКИ 2019'!BK9)*1000</f>
        <v>254412.99999999997</v>
      </c>
      <c r="D44" s="2486">
        <v>32.06</v>
      </c>
      <c r="E44" s="2488">
        <f t="shared" si="6"/>
        <v>8021.2436221929438</v>
      </c>
      <c r="F44" s="2488">
        <f t="shared" si="7"/>
        <v>8156.480779999999</v>
      </c>
      <c r="G44" s="2488">
        <f t="shared" si="8"/>
        <v>135.23715780705515</v>
      </c>
    </row>
    <row r="45" spans="1:7" ht="15.75" x14ac:dyDescent="0.25">
      <c r="A45" s="2484" t="s">
        <v>1207</v>
      </c>
      <c r="B45" s="2485">
        <f>SUM('[43]ФАКТИЧЕСКАЯ СЕБЕСТ. СТОКИ 2019'!CO9)*1000</f>
        <v>250194.74804095269</v>
      </c>
      <c r="C45" s="2485">
        <f>SUM('[43]ФАКТИЧЕСКАЯ СЕБЕСТ. СТОКИ 2019'!CR9)*1000</f>
        <v>241745</v>
      </c>
      <c r="D45" s="2486">
        <v>32.06</v>
      </c>
      <c r="E45" s="2488">
        <f t="shared" si="6"/>
        <v>8021.2436221929438</v>
      </c>
      <c r="F45" s="2488">
        <f t="shared" si="7"/>
        <v>7750.3447000000006</v>
      </c>
      <c r="G45" s="2488">
        <f t="shared" si="8"/>
        <v>-270.89892219294325</v>
      </c>
    </row>
    <row r="46" spans="1:7" ht="15.75" x14ac:dyDescent="0.25">
      <c r="A46" s="2484" t="s">
        <v>262</v>
      </c>
      <c r="B46" s="2485">
        <f>SUM('[43]ФАКТИЧЕСКАЯ СЕБЕСТ. СТОКИ 2019'!CX9)*1000</f>
        <v>250194.74804095269</v>
      </c>
      <c r="C46" s="2485">
        <f>SUM('[43]ФАКТИЧЕСКАЯ СЕБЕСТ. СТОКИ 2019'!DA9)*1000</f>
        <v>275254</v>
      </c>
      <c r="D46" s="2486">
        <v>32.06</v>
      </c>
      <c r="E46" s="2488">
        <f t="shared" si="6"/>
        <v>8021.2436221929438</v>
      </c>
      <c r="F46" s="2488">
        <f t="shared" si="7"/>
        <v>8824.6432399999994</v>
      </c>
      <c r="G46" s="2488">
        <f t="shared" si="8"/>
        <v>803.39961780705562</v>
      </c>
    </row>
    <row r="47" spans="1:7" ht="15.75" x14ac:dyDescent="0.25">
      <c r="A47" s="2484" t="s">
        <v>1225</v>
      </c>
      <c r="B47" s="2485">
        <f>SUM('[43]ФАКТИЧЕСКАЯ СЕБЕСТ. СТОКИ 2019'!DG9)*1000</f>
        <v>250194.74804095269</v>
      </c>
      <c r="C47" s="2485">
        <f>SUM('[43]ФАКТИЧЕСКАЯ СЕБЕСТ. СТОКИ 2019'!DJ9)*1000</f>
        <v>253471</v>
      </c>
      <c r="D47" s="2486">
        <v>32.06</v>
      </c>
      <c r="E47" s="2488">
        <f t="shared" si="6"/>
        <v>8021.2436221929438</v>
      </c>
      <c r="F47" s="2488">
        <f t="shared" si="7"/>
        <v>8126.2802600000005</v>
      </c>
      <c r="G47" s="2488">
        <f t="shared" si="8"/>
        <v>105.03663780705665</v>
      </c>
    </row>
    <row r="48" spans="1:7" ht="15.75" x14ac:dyDescent="0.25">
      <c r="A48" s="2484" t="s">
        <v>263</v>
      </c>
      <c r="B48" s="2485">
        <f>SUM('[43]ФАКТИЧЕСКАЯ СЕБЕСТ. СТОКИ 2019'!EN9)*1000</f>
        <v>250194.74804095269</v>
      </c>
      <c r="C48" s="2485">
        <f>SUM('[43]ФАКТИЧЕСКАЯ СЕБЕСТ. СТОКИ 2019'!EQ9)*1000</f>
        <v>258966</v>
      </c>
      <c r="D48" s="2486">
        <v>32.06</v>
      </c>
      <c r="E48" s="2488">
        <f t="shared" si="6"/>
        <v>8021.2436221929438</v>
      </c>
      <c r="F48" s="2488">
        <f t="shared" si="7"/>
        <v>8302.4499600000017</v>
      </c>
      <c r="G48" s="2488">
        <f t="shared" si="8"/>
        <v>281.20633780705793</v>
      </c>
    </row>
    <row r="49" spans="1:7" ht="15.75" x14ac:dyDescent="0.25">
      <c r="A49" s="2484" t="s">
        <v>264</v>
      </c>
      <c r="B49" s="2485">
        <f>SUM('[43]ФАКТИЧЕСКАЯ СЕБЕСТ. СТОКИ 2019'!EW9)*1000</f>
        <v>250194.74804095269</v>
      </c>
      <c r="C49" s="2485">
        <f>SUM('[43]ФАКТИЧЕСКАЯ СЕБЕСТ. СТОКИ 2019'!EZ9)*1000</f>
        <v>269019</v>
      </c>
      <c r="D49" s="2486">
        <v>32.06</v>
      </c>
      <c r="E49" s="2488">
        <f t="shared" si="6"/>
        <v>8021.2436221929438</v>
      </c>
      <c r="F49" s="2488">
        <f t="shared" si="7"/>
        <v>8624.7491399999999</v>
      </c>
      <c r="G49" s="2488">
        <f t="shared" si="8"/>
        <v>603.50551780705609</v>
      </c>
    </row>
    <row r="50" spans="1:7" ht="15.75" x14ac:dyDescent="0.25">
      <c r="A50" s="2484" t="s">
        <v>1316</v>
      </c>
      <c r="B50" s="2485">
        <f>SUM('[43]ФАКТИЧЕСКАЯ СЕБЕСТ. СТОКИ 2019'!FF9)*1000</f>
        <v>250194.74804095269</v>
      </c>
      <c r="C50" s="2485">
        <f>SUM('[43]ФАКТИЧЕСКАЯ СЕБЕСТ. СТОКИ 2019'!FI9)*1000</f>
        <v>268492</v>
      </c>
      <c r="D50" s="2486">
        <v>32.06</v>
      </c>
      <c r="E50" s="2488">
        <f t="shared" si="6"/>
        <v>8021.2436221929438</v>
      </c>
      <c r="F50" s="2488">
        <f t="shared" si="7"/>
        <v>8607.8535200000006</v>
      </c>
      <c r="G50" s="2488">
        <f t="shared" si="8"/>
        <v>586.60989780705677</v>
      </c>
    </row>
    <row r="51" spans="1:7" ht="15.75" x14ac:dyDescent="0.25">
      <c r="A51" s="2490" t="s">
        <v>280</v>
      </c>
      <c r="B51" s="2491">
        <f>SUM(B39:B50)</f>
        <v>3002336.9764914322</v>
      </c>
      <c r="C51" s="2492">
        <f>SUM(C39:C50)</f>
        <v>3105598</v>
      </c>
      <c r="D51" s="2492">
        <f>F51/C51*1000</f>
        <v>32.06</v>
      </c>
      <c r="E51" s="2492">
        <f>SUM(E39:E50)</f>
        <v>96254.923466315318</v>
      </c>
      <c r="F51" s="2492">
        <f>SUM(F39:F50)</f>
        <v>99565.471880000012</v>
      </c>
      <c r="G51" s="2492">
        <f>SUM(G39:G50)</f>
        <v>3310.5484136846808</v>
      </c>
    </row>
    <row r="52" spans="1:7" ht="15" x14ac:dyDescent="0.2">
      <c r="A52" s="2493"/>
      <c r="B52" s="2493"/>
      <c r="C52" s="2493"/>
      <c r="D52" s="2493"/>
      <c r="E52" s="2493"/>
      <c r="F52" s="2493"/>
    </row>
    <row r="53" spans="1:7" ht="15.75" x14ac:dyDescent="0.2">
      <c r="A53" s="5223" t="s">
        <v>1749</v>
      </c>
      <c r="B53" s="5223"/>
      <c r="C53" s="5223"/>
      <c r="D53" s="5224"/>
      <c r="E53" s="5224"/>
      <c r="F53" s="5224"/>
      <c r="G53" s="5224"/>
    </row>
    <row r="54" spans="1:7" ht="12.75" customHeight="1" x14ac:dyDescent="0.25">
      <c r="A54" s="5225" t="s">
        <v>1557</v>
      </c>
      <c r="B54" s="5227" t="s">
        <v>1705</v>
      </c>
      <c r="C54" s="5228"/>
      <c r="D54" s="5229" t="s">
        <v>1706</v>
      </c>
      <c r="E54" s="5227" t="s">
        <v>3549</v>
      </c>
      <c r="F54" s="5231"/>
      <c r="G54" s="5232"/>
    </row>
    <row r="55" spans="1:7" ht="15.75" x14ac:dyDescent="0.25">
      <c r="A55" s="5226"/>
      <c r="B55" s="2483" t="s">
        <v>3550</v>
      </c>
      <c r="C55" s="2483" t="s">
        <v>1674</v>
      </c>
      <c r="D55" s="5230"/>
      <c r="E55" s="2483" t="s">
        <v>3550</v>
      </c>
      <c r="F55" s="2483" t="s">
        <v>1674</v>
      </c>
      <c r="G55" s="2483" t="s">
        <v>1593</v>
      </c>
    </row>
    <row r="56" spans="1:7" ht="15.75" x14ac:dyDescent="0.25">
      <c r="A56" s="2484" t="s">
        <v>256</v>
      </c>
      <c r="B56" s="2485">
        <f>SUM('[43]ФАКТИЧЕСКАЯ СЕБЕСТ. СТОКИ 2019'!D9)*1000</f>
        <v>1472.2222222222224</v>
      </c>
      <c r="C56" s="2485">
        <f>SUM('[43]ФАКТИЧЕСКАЯ СЕБЕСТ. СТОКИ 2019'!G9)*1000</f>
        <v>202.5</v>
      </c>
      <c r="D56" s="2487">
        <v>14.24</v>
      </c>
      <c r="E56" s="2488">
        <f>B56*D56/1000</f>
        <v>20.96444444444445</v>
      </c>
      <c r="F56" s="2488">
        <f>C56*D56/1000</f>
        <v>2.8835999999999999</v>
      </c>
      <c r="G56" s="2488">
        <f>SUM(F56-E56)</f>
        <v>-18.080844444444448</v>
      </c>
    </row>
    <row r="57" spans="1:7" ht="15.75" x14ac:dyDescent="0.25">
      <c r="A57" s="2484" t="s">
        <v>257</v>
      </c>
      <c r="B57" s="2485">
        <f>SUM('[43]ФАКТИЧЕСКАЯ СЕБЕСТ. СТОКИ 2019'!M9)*1000</f>
        <v>1472.2222222222224</v>
      </c>
      <c r="C57" s="2485">
        <f>SUM('[43]ФАКТИЧЕСКАЯ СЕБЕСТ. СТОКИ 2019'!P9)*1000</f>
        <v>173</v>
      </c>
      <c r="D57" s="2487">
        <v>14.24</v>
      </c>
      <c r="E57" s="2488">
        <f t="shared" ref="E57:E67" si="9">B57*D57/1000</f>
        <v>20.96444444444445</v>
      </c>
      <c r="F57" s="2488">
        <f t="shared" ref="F57:F67" si="10">C57*D57/1000</f>
        <v>2.4635199999999999</v>
      </c>
      <c r="G57" s="2488">
        <f t="shared" ref="G57:G67" si="11">SUM(F57-E57)</f>
        <v>-18.500924444444451</v>
      </c>
    </row>
    <row r="58" spans="1:7" ht="15.75" x14ac:dyDescent="0.25">
      <c r="A58" s="2484" t="s">
        <v>258</v>
      </c>
      <c r="B58" s="2485">
        <f>SUM('[43]ФАКТИЧЕСКАЯ СЕБЕСТ. СТОКИ 2019'!V9)*1000</f>
        <v>1472.2222222222224</v>
      </c>
      <c r="C58" s="2485">
        <f>SUM('[43]ФАКТИЧЕСКАЯ СЕБЕСТ. СТОКИ 2019'!Y9)*1000</f>
        <v>3680</v>
      </c>
      <c r="D58" s="2487">
        <v>14.24</v>
      </c>
      <c r="E58" s="2488">
        <f t="shared" si="9"/>
        <v>20.96444444444445</v>
      </c>
      <c r="F58" s="2488">
        <f t="shared" si="10"/>
        <v>52.403200000000005</v>
      </c>
      <c r="G58" s="2488">
        <f t="shared" si="11"/>
        <v>31.438755555555556</v>
      </c>
    </row>
    <row r="59" spans="1:7" ht="15.75" x14ac:dyDescent="0.25">
      <c r="A59" s="2484" t="s">
        <v>259</v>
      </c>
      <c r="B59" s="2485">
        <f>SUM('[43]ФАКТИЧЕСКАЯ СЕБЕСТ. СТОКИ 2019'!AQ9)*1000</f>
        <v>1472.2222222222224</v>
      </c>
      <c r="C59" s="2485">
        <f>SUM('[43]ФАКТИЧЕСКАЯ СЕБЕСТ. СТОКИ 2019'!AT9)*1000</f>
        <v>300</v>
      </c>
      <c r="D59" s="2487">
        <v>14.24</v>
      </c>
      <c r="E59" s="2488">
        <f t="shared" si="9"/>
        <v>20.96444444444445</v>
      </c>
      <c r="F59" s="2488">
        <f t="shared" si="10"/>
        <v>4.2720000000000002</v>
      </c>
      <c r="G59" s="2488">
        <f t="shared" si="11"/>
        <v>-16.692444444444448</v>
      </c>
    </row>
    <row r="60" spans="1:7" ht="15.75" x14ac:dyDescent="0.25">
      <c r="A60" s="2484" t="s">
        <v>260</v>
      </c>
      <c r="B60" s="2485">
        <f>SUM('[43]ФАКТИЧЕСКАЯ СЕБЕСТ. СТОКИ 2019'!AZ9)*1000</f>
        <v>1472.2222222222224</v>
      </c>
      <c r="C60" s="2485">
        <f>SUM('[43]ФАКТИЧЕСКАЯ СЕБЕСТ. СТОКИ 2019'!BC9)*1000</f>
        <v>510</v>
      </c>
      <c r="D60" s="2487">
        <v>14.24</v>
      </c>
      <c r="E60" s="2488">
        <f t="shared" si="9"/>
        <v>20.96444444444445</v>
      </c>
      <c r="F60" s="2488">
        <f t="shared" si="10"/>
        <v>7.2624000000000004</v>
      </c>
      <c r="G60" s="2488">
        <f t="shared" si="11"/>
        <v>-13.70204444444445</v>
      </c>
    </row>
    <row r="61" spans="1:7" ht="15.75" x14ac:dyDescent="0.25">
      <c r="A61" s="2484" t="s">
        <v>261</v>
      </c>
      <c r="B61" s="2485">
        <f>SUM('[43]ФАКТИЧЕСКАЯ СЕБЕСТ. СТОКИ 2019'!BI9)*1000</f>
        <v>1472.2222222222224</v>
      </c>
      <c r="C61" s="2485">
        <f>SUM('[43]ФАКТИЧЕСКАЯ СЕБЕСТ. СТОКИ 2019'!BL9)*1000</f>
        <v>3866</v>
      </c>
      <c r="D61" s="2487">
        <v>14.24</v>
      </c>
      <c r="E61" s="2488">
        <f t="shared" si="9"/>
        <v>20.96444444444445</v>
      </c>
      <c r="F61" s="2488">
        <f t="shared" si="10"/>
        <v>55.051840000000006</v>
      </c>
      <c r="G61" s="2488">
        <f t="shared" si="11"/>
        <v>34.08739555555556</v>
      </c>
    </row>
    <row r="62" spans="1:7" ht="15.75" x14ac:dyDescent="0.25">
      <c r="A62" s="2484" t="s">
        <v>1207</v>
      </c>
      <c r="B62" s="2485">
        <f>SUM('[43]ФАКТИЧЕСКАЯ СЕБЕСТ. СТОКИ 2019'!CP9)*1000</f>
        <v>1472.2222222222224</v>
      </c>
      <c r="C62" s="2485">
        <f>SUM('[43]ФАКТИЧЕСКАЯ СЕБЕСТ. СТОКИ 2019'!CS9)*1000</f>
        <v>311</v>
      </c>
      <c r="D62" s="2487">
        <v>14.56</v>
      </c>
      <c r="E62" s="2488">
        <f t="shared" si="9"/>
        <v>21.43555555555556</v>
      </c>
      <c r="F62" s="2488">
        <f t="shared" si="10"/>
        <v>4.5281599999999997</v>
      </c>
      <c r="G62" s="2488">
        <f t="shared" si="11"/>
        <v>-16.90739555555556</v>
      </c>
    </row>
    <row r="63" spans="1:7" ht="15.75" x14ac:dyDescent="0.25">
      <c r="A63" s="2484" t="s">
        <v>262</v>
      </c>
      <c r="B63" s="2485">
        <f>SUM('[43]ФАКТИЧЕСКАЯ СЕБЕСТ. СТОКИ 2019'!CY9)*1000</f>
        <v>1472.2222222222224</v>
      </c>
      <c r="C63" s="2485">
        <f>SUM('[43]ФАКТИЧЕСКАЯ СЕБЕСТ. СТОКИ 2019'!DB9)*1000</f>
        <v>379</v>
      </c>
      <c r="D63" s="2487">
        <v>14.56</v>
      </c>
      <c r="E63" s="2488">
        <f t="shared" si="9"/>
        <v>21.43555555555556</v>
      </c>
      <c r="F63" s="2488">
        <f t="shared" si="10"/>
        <v>5.5182399999999996</v>
      </c>
      <c r="G63" s="2488">
        <f t="shared" si="11"/>
        <v>-15.917315555555561</v>
      </c>
    </row>
    <row r="64" spans="1:7" ht="15.75" x14ac:dyDescent="0.25">
      <c r="A64" s="2484" t="s">
        <v>1225</v>
      </c>
      <c r="B64" s="2485">
        <f>SUM('[43]ФАКТИЧЕСКАЯ СЕБЕСТ. СТОКИ 2019'!DH9)*1000</f>
        <v>1472.2222222222224</v>
      </c>
      <c r="C64" s="2485">
        <f>SUM('[43]ФАКТИЧЕСКАЯ СЕБЕСТ. СТОКИ 2019'!DK9)*1000</f>
        <v>3908</v>
      </c>
      <c r="D64" s="2487">
        <v>14.56</v>
      </c>
      <c r="E64" s="2488">
        <f t="shared" si="9"/>
        <v>21.43555555555556</v>
      </c>
      <c r="F64" s="2488">
        <f t="shared" si="10"/>
        <v>56.900480000000002</v>
      </c>
      <c r="G64" s="2488">
        <f t="shared" si="11"/>
        <v>35.464924444444442</v>
      </c>
    </row>
    <row r="65" spans="1:7" ht="15.75" x14ac:dyDescent="0.25">
      <c r="A65" s="2484" t="s">
        <v>263</v>
      </c>
      <c r="B65" s="2485">
        <f>SUM('[43]ФАКТИЧЕСКАЯ СЕБЕСТ. СТОКИ 2019'!EO9)*1000</f>
        <v>1472.2222222222224</v>
      </c>
      <c r="C65" s="2485">
        <f>SUM('[43]ФАКТИЧЕСКАЯ СЕБЕСТ. СТОКИ 2019'!ER9)*1000</f>
        <v>371</v>
      </c>
      <c r="D65" s="2487">
        <v>14.56</v>
      </c>
      <c r="E65" s="2488">
        <f t="shared" si="9"/>
        <v>21.43555555555556</v>
      </c>
      <c r="F65" s="2488">
        <f t="shared" si="10"/>
        <v>5.4017600000000003</v>
      </c>
      <c r="G65" s="2488">
        <f t="shared" si="11"/>
        <v>-16.03379555555556</v>
      </c>
    </row>
    <row r="66" spans="1:7" ht="15.75" x14ac:dyDescent="0.25">
      <c r="A66" s="2484" t="s">
        <v>264</v>
      </c>
      <c r="B66" s="2485">
        <f>SUM('[43]ФАКТИЧЕСКАЯ СЕБЕСТ. СТОКИ 2019'!EX9)*1000</f>
        <v>1472.2222222222224</v>
      </c>
      <c r="C66" s="2485">
        <f>SUM('[43]ФАКТИЧЕСКАЯ СЕБЕСТ. СТОКИ 2019'!FA9)*1000</f>
        <v>409</v>
      </c>
      <c r="D66" s="2487">
        <v>14.56</v>
      </c>
      <c r="E66" s="2488">
        <f t="shared" si="9"/>
        <v>21.43555555555556</v>
      </c>
      <c r="F66" s="2488">
        <f t="shared" si="10"/>
        <v>5.9550400000000003</v>
      </c>
      <c r="G66" s="2488">
        <f t="shared" si="11"/>
        <v>-15.480515555555559</v>
      </c>
    </row>
    <row r="67" spans="1:7" ht="15.75" x14ac:dyDescent="0.25">
      <c r="A67" s="2484" t="s">
        <v>1316</v>
      </c>
      <c r="B67" s="2485">
        <f>SUM('[43]ФАКТИЧЕСКАЯ СЕБЕСТ. СТОКИ 2019'!FG9)*1000</f>
        <v>1472.2222222222224</v>
      </c>
      <c r="C67" s="2485">
        <f>SUM('[43]ФАКТИЧЕСКАЯ СЕБЕСТ. СТОКИ 2019'!FJ9)*1000</f>
        <v>725</v>
      </c>
      <c r="D67" s="2487">
        <v>14.56</v>
      </c>
      <c r="E67" s="2488">
        <f t="shared" si="9"/>
        <v>21.43555555555556</v>
      </c>
      <c r="F67" s="2488">
        <f t="shared" si="10"/>
        <v>10.555999999999999</v>
      </c>
      <c r="G67" s="2488">
        <f t="shared" si="11"/>
        <v>-10.879555555555561</v>
      </c>
    </row>
    <row r="68" spans="1:7" ht="15.75" x14ac:dyDescent="0.25">
      <c r="A68" s="2490" t="s">
        <v>280</v>
      </c>
      <c r="B68" s="2491">
        <f>SUM(B56:B67)</f>
        <v>17666.666666666668</v>
      </c>
      <c r="C68" s="2492">
        <f>SUM(C56:C67)</f>
        <v>14834.5</v>
      </c>
      <c r="D68" s="2492">
        <f>F68/C68*1000</f>
        <v>14.371649870234927</v>
      </c>
      <c r="E68" s="2492">
        <f>SUM(E56:E67)</f>
        <v>254.40000000000009</v>
      </c>
      <c r="F68" s="2492">
        <f>SUM(F56:F67)</f>
        <v>213.19624000000005</v>
      </c>
      <c r="G68" s="2492">
        <f>SUM(G56:G67)</f>
        <v>-41.203760000000045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rintOptions horizontalCentered="1"/>
  <pageMargins left="0.70866141732283472" right="0.70866141732283472" top="0.35433070866141736" bottom="0.35433070866141736" header="0.31496062992125984" footer="0.31496062992125984"/>
  <pageSetup paperSize="9" scale="7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Лист21">
    <tabColor rgb="FFFF66FF"/>
    <pageSetUpPr fitToPage="1"/>
  </sheetPr>
  <dimension ref="A1:CN90"/>
  <sheetViews>
    <sheetView zoomScale="73" zoomScaleNormal="73" zoomScalePageLayoutView="90" workbookViewId="0">
      <pane xSplit="26" ySplit="38" topLeftCell="BX45" activePane="bottomRight" state="frozen"/>
      <selection pane="topRight" activeCell="AA1" sqref="AA1"/>
      <selection pane="bottomLeft" activeCell="A39" sqref="A39"/>
      <selection pane="bottomRight" activeCell="CM50" sqref="CM50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hidden="1" customWidth="1"/>
    <col min="28" max="28" width="15.7109375" hidden="1" customWidth="1"/>
    <col min="29" max="30" width="12.5703125" hidden="1" customWidth="1"/>
    <col min="31" max="31" width="16.85546875" hidden="1" customWidth="1"/>
    <col min="32" max="32" width="15.140625" hidden="1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hidden="1" customWidth="1"/>
    <col min="37" max="37" width="15.42578125" hidden="1" customWidth="1"/>
    <col min="38" max="41" width="20" hidden="1" customWidth="1"/>
    <col min="42" max="42" width="16.42578125" hidden="1" customWidth="1"/>
    <col min="43" max="43" width="15.42578125" hidden="1" customWidth="1"/>
    <col min="44" max="44" width="15.7109375" hidden="1" customWidth="1"/>
    <col min="45" max="45" width="15.42578125" hidden="1" customWidth="1"/>
    <col min="46" max="46" width="16.85546875" hidden="1" customWidth="1"/>
    <col min="47" max="47" width="15.42578125" hidden="1" customWidth="1"/>
    <col min="48" max="48" width="20" hidden="1" customWidth="1"/>
    <col min="49" max="50" width="15.7109375" hidden="1" customWidth="1"/>
    <col min="51" max="51" width="15.140625" hidden="1" customWidth="1"/>
    <col min="52" max="52" width="15.7109375" hidden="1" customWidth="1"/>
    <col min="53" max="53" width="15" hidden="1" customWidth="1"/>
    <col min="54" max="54" width="18" customWidth="1"/>
    <col min="55" max="57" width="18.28515625" customWidth="1"/>
    <col min="58" max="61" width="18.28515625" hidden="1" customWidth="1"/>
    <col min="62" max="62" width="15.7109375" customWidth="1"/>
    <col min="63" max="63" width="15" customWidth="1"/>
    <col min="64" max="67" width="18" customWidth="1"/>
    <col min="68" max="68" width="46" hidden="1" customWidth="1"/>
    <col min="69" max="69" width="14.7109375" hidden="1" customWidth="1"/>
    <col min="70" max="70" width="15" hidden="1" customWidth="1"/>
    <col min="71" max="71" width="14.7109375" hidden="1" customWidth="1"/>
    <col min="72" max="72" width="15" hidden="1" customWidth="1"/>
    <col min="73" max="73" width="15.7109375" customWidth="1"/>
    <col min="74" max="74" width="15" customWidth="1"/>
    <col min="75" max="76" width="18" customWidth="1"/>
    <col min="77" max="77" width="15.7109375" customWidth="1"/>
    <col min="78" max="78" width="15" customWidth="1"/>
    <col min="79" max="82" width="15.7109375" hidden="1" customWidth="1"/>
    <col min="83" max="84" width="15.7109375" customWidth="1"/>
    <col min="85" max="86" width="18" customWidth="1"/>
    <col min="87" max="92" width="15.7109375" customWidth="1"/>
  </cols>
  <sheetData>
    <row r="1" spans="1:92" x14ac:dyDescent="0.2">
      <c r="A1" s="5484" t="s">
        <v>1491</v>
      </c>
      <c r="B1" s="5484"/>
      <c r="C1" s="5484"/>
      <c r="D1" s="5484"/>
      <c r="E1" s="5484"/>
      <c r="F1" s="5484"/>
      <c r="G1" s="5484"/>
      <c r="H1" s="5484"/>
      <c r="I1" s="5484"/>
      <c r="J1" s="5484"/>
      <c r="K1" s="5484"/>
      <c r="L1" s="5484"/>
      <c r="M1" s="5484"/>
      <c r="N1" s="5484"/>
      <c r="O1" s="5484"/>
      <c r="P1" s="5484"/>
      <c r="Q1" s="5484"/>
      <c r="R1" s="5484"/>
      <c r="S1" s="5484"/>
      <c r="T1" s="5484"/>
      <c r="U1" s="5484"/>
      <c r="V1" s="5484"/>
      <c r="W1" s="5484"/>
      <c r="X1" s="5484"/>
      <c r="Y1" s="5484"/>
      <c r="Z1" s="5484"/>
      <c r="AA1" s="5484"/>
      <c r="AB1" s="5484"/>
      <c r="AC1" s="5484"/>
      <c r="AD1" s="5484"/>
      <c r="AE1" s="5484"/>
      <c r="AF1" s="5484"/>
      <c r="AG1" s="5484"/>
      <c r="AH1" s="5484"/>
      <c r="AI1" s="5484"/>
      <c r="AJ1" s="5484"/>
      <c r="AK1" s="5484"/>
      <c r="AL1" s="5484"/>
      <c r="AM1" s="5484"/>
      <c r="AN1" s="5484"/>
      <c r="AO1" s="5484"/>
      <c r="AP1" s="5484"/>
      <c r="AQ1" s="5484"/>
      <c r="AR1" s="5484"/>
      <c r="AS1" s="5484"/>
      <c r="AT1" s="5484"/>
      <c r="AU1" s="5484"/>
      <c r="AV1" s="5484"/>
      <c r="AW1" s="5484"/>
      <c r="AX1" s="5484"/>
      <c r="AY1" s="5484"/>
      <c r="AZ1" s="5484"/>
      <c r="BA1" s="5484"/>
      <c r="BB1" s="5484"/>
      <c r="BC1" s="5484"/>
      <c r="BD1" s="5484"/>
      <c r="BE1" s="5484"/>
      <c r="BF1" s="5484"/>
      <c r="BG1" s="5484"/>
      <c r="BH1" s="5484"/>
      <c r="BI1" s="5484"/>
      <c r="BJ1" s="5484"/>
      <c r="BK1" s="5484"/>
      <c r="BL1" s="4910"/>
      <c r="BM1" s="4910"/>
      <c r="BN1" s="4910"/>
      <c r="BO1" s="4910"/>
      <c r="BP1" s="4910"/>
      <c r="BQ1" s="4910"/>
      <c r="BR1" s="4910"/>
      <c r="BS1" s="4910"/>
      <c r="BT1" s="4910"/>
      <c r="BU1" s="4910"/>
      <c r="BV1" s="4910"/>
      <c r="BW1" s="4910"/>
      <c r="BX1" s="4910"/>
      <c r="BY1" s="4910"/>
      <c r="BZ1" s="4910"/>
      <c r="CA1" s="4910"/>
      <c r="CB1" s="4910"/>
      <c r="CC1" s="4910"/>
      <c r="CD1" s="4910"/>
      <c r="CE1" s="4910"/>
      <c r="CF1" s="4910"/>
      <c r="CG1" s="4910"/>
      <c r="CH1" s="4910"/>
      <c r="CI1" s="4910"/>
      <c r="CJ1" s="4910"/>
      <c r="CK1" s="4910"/>
      <c r="CL1" s="4910"/>
      <c r="CM1" s="4910"/>
      <c r="CN1" s="4910"/>
    </row>
    <row r="2" spans="1:92" ht="25.5" x14ac:dyDescent="0.35">
      <c r="A2" s="5485" t="s">
        <v>3983</v>
      </c>
      <c r="B2" s="5485"/>
      <c r="C2" s="5485"/>
      <c r="D2" s="5485"/>
      <c r="E2" s="5485"/>
      <c r="F2" s="5485"/>
      <c r="G2" s="5485"/>
      <c r="H2" s="5485"/>
      <c r="I2" s="5485"/>
      <c r="J2" s="5485"/>
      <c r="K2" s="5485"/>
      <c r="L2" s="5485"/>
      <c r="M2" s="5485"/>
      <c r="N2" s="5485"/>
      <c r="O2" s="5485"/>
      <c r="P2" s="5485"/>
      <c r="Q2" s="5485"/>
      <c r="R2" s="5485"/>
      <c r="S2" s="5485"/>
      <c r="T2" s="5485"/>
      <c r="U2" s="5485"/>
      <c r="V2" s="5485"/>
      <c r="W2" s="5485"/>
      <c r="X2" s="5485"/>
      <c r="Y2" s="5485"/>
      <c r="Z2" s="5485"/>
      <c r="AA2" s="5485"/>
      <c r="AB2" s="5485"/>
      <c r="AC2" s="5485"/>
      <c r="AD2" s="5485"/>
      <c r="AE2" s="5485"/>
      <c r="AF2" s="5485"/>
      <c r="AG2" s="5485"/>
      <c r="AH2" s="5485"/>
      <c r="AI2" s="5485"/>
      <c r="AJ2" s="5485"/>
      <c r="AK2" s="5485"/>
      <c r="AL2" s="5485"/>
      <c r="AM2" s="5485"/>
      <c r="AN2" s="5485"/>
      <c r="AO2" s="5485"/>
      <c r="AP2" s="5485"/>
      <c r="AQ2" s="5485"/>
      <c r="AR2" s="5485"/>
      <c r="AS2" s="5485"/>
      <c r="AT2" s="5485"/>
      <c r="AU2" s="5485"/>
      <c r="AV2" s="5485"/>
      <c r="AW2" s="5485"/>
      <c r="AX2" s="5485"/>
      <c r="AY2" s="5485"/>
      <c r="AZ2" s="5485"/>
      <c r="BA2" s="5485"/>
      <c r="BB2" s="5485"/>
      <c r="BC2" s="5485"/>
      <c r="BD2" s="5485"/>
      <c r="BE2" s="5485"/>
      <c r="BF2" s="5485"/>
      <c r="BG2" s="5485"/>
      <c r="BH2" s="5485"/>
      <c r="BI2" s="5485"/>
      <c r="BJ2" s="5485"/>
      <c r="BK2" s="5485"/>
      <c r="BL2" s="4910"/>
      <c r="BM2" s="4910"/>
      <c r="BN2" s="4910"/>
      <c r="BO2" s="4910"/>
      <c r="BP2" s="4910"/>
      <c r="BQ2" s="4910"/>
      <c r="BR2" s="4910"/>
      <c r="BS2" s="4910"/>
      <c r="BT2" s="4910"/>
      <c r="BU2" s="4910"/>
      <c r="BV2" s="4910"/>
      <c r="BW2" s="4910"/>
      <c r="BX2" s="4910"/>
      <c r="BY2" s="4910"/>
      <c r="BZ2" s="4910"/>
      <c r="CA2" s="4910"/>
      <c r="CB2" s="4910"/>
      <c r="CC2" s="4910"/>
      <c r="CD2" s="4910"/>
      <c r="CE2" s="4910"/>
      <c r="CF2" s="4910"/>
      <c r="CG2" s="4910"/>
      <c r="CH2" s="4910"/>
      <c r="CI2" s="4910"/>
      <c r="CJ2" s="4910"/>
      <c r="CK2" s="4910"/>
      <c r="CL2" s="4910"/>
      <c r="CM2" s="4910"/>
      <c r="CN2" s="4910"/>
    </row>
    <row r="3" spans="1:92" ht="18.75" x14ac:dyDescent="0.3">
      <c r="A3" s="5076" t="s">
        <v>56</v>
      </c>
      <c r="B3" s="5076"/>
      <c r="C3" s="5076"/>
      <c r="D3" s="5076"/>
      <c r="E3" s="5076"/>
      <c r="F3" s="5076"/>
      <c r="G3" s="5076"/>
      <c r="H3" s="5076"/>
      <c r="I3" s="5076"/>
      <c r="J3" s="5076"/>
      <c r="K3" s="5076"/>
      <c r="L3" s="5076"/>
      <c r="M3" s="5076"/>
      <c r="N3" s="5076"/>
      <c r="O3" s="5076"/>
      <c r="P3" s="5076"/>
      <c r="Q3" s="5076"/>
      <c r="R3" s="5076"/>
      <c r="S3" s="5076"/>
      <c r="T3" s="5076"/>
      <c r="U3" s="5076"/>
      <c r="V3" s="5076"/>
      <c r="W3" s="5076"/>
      <c r="X3" s="5076"/>
      <c r="Y3" s="5076"/>
      <c r="Z3" s="5076"/>
      <c r="AA3" s="5076"/>
      <c r="AB3" s="5076"/>
      <c r="AC3" s="5076"/>
      <c r="AD3" s="5076"/>
      <c r="AE3" s="5076"/>
      <c r="AF3" s="5076"/>
      <c r="AG3" s="5076"/>
      <c r="AH3" s="5076"/>
      <c r="AI3" s="5076"/>
      <c r="AJ3" s="5076"/>
      <c r="AK3" s="5076"/>
      <c r="AL3" s="5076"/>
      <c r="AM3" s="5076"/>
      <c r="AN3" s="5076"/>
      <c r="AO3" s="5076"/>
      <c r="AP3" s="5076"/>
      <c r="AQ3" s="5076"/>
      <c r="AR3" s="5076"/>
      <c r="AS3" s="5076"/>
      <c r="AT3" s="5076"/>
      <c r="AU3" s="5076"/>
      <c r="AV3" s="5076"/>
      <c r="AW3" s="5076"/>
      <c r="AX3" s="5076"/>
      <c r="AY3" s="5076"/>
      <c r="AZ3" s="5076"/>
      <c r="BA3" s="5076"/>
      <c r="BB3" s="5076"/>
      <c r="BC3" s="5076"/>
      <c r="BD3" s="5076"/>
      <c r="BE3" s="5076"/>
      <c r="BF3" s="5076"/>
      <c r="BG3" s="5076"/>
      <c r="BH3" s="5076"/>
      <c r="BI3" s="5076"/>
      <c r="BJ3" s="5076"/>
      <c r="BK3" s="5076"/>
      <c r="BL3" s="4910"/>
      <c r="BM3" s="4910"/>
      <c r="BN3" s="4910"/>
      <c r="BO3" s="4910"/>
      <c r="BP3" s="4910"/>
      <c r="BQ3" s="4910"/>
      <c r="BR3" s="4910"/>
      <c r="BS3" s="4910"/>
      <c r="BT3" s="4910"/>
      <c r="BU3" s="4910"/>
      <c r="BV3" s="4910"/>
      <c r="BW3" s="4910"/>
      <c r="BX3" s="4910"/>
      <c r="BY3" s="4910"/>
      <c r="BZ3" s="4910"/>
      <c r="CA3" s="4910"/>
      <c r="CB3" s="4910"/>
      <c r="CC3" s="4910"/>
      <c r="CD3" s="4910"/>
      <c r="CE3" s="4910"/>
      <c r="CF3" s="4910"/>
      <c r="CG3" s="4910"/>
      <c r="CH3" s="4910"/>
      <c r="CI3" s="4910"/>
      <c r="CJ3" s="4910"/>
      <c r="CK3" s="4910"/>
      <c r="CL3" s="4910"/>
      <c r="CM3" s="4910"/>
      <c r="CN3" s="4910"/>
    </row>
    <row r="4" spans="1:92" x14ac:dyDescent="0.2">
      <c r="A4" s="5077" t="s">
        <v>19</v>
      </c>
      <c r="B4" s="5078"/>
      <c r="C4" s="5078"/>
      <c r="D4" s="5078"/>
      <c r="E4" s="5078"/>
      <c r="F4" s="5078"/>
      <c r="G4" s="5078"/>
      <c r="H4" s="5078"/>
      <c r="I4" s="5078"/>
      <c r="J4" s="5078"/>
      <c r="K4" s="5078"/>
      <c r="L4" s="5078"/>
      <c r="M4" s="5078"/>
      <c r="N4" s="5078"/>
      <c r="O4" s="5078"/>
      <c r="P4" s="5078"/>
      <c r="Q4" s="5078"/>
      <c r="R4" s="5078"/>
      <c r="S4" s="5078"/>
      <c r="T4" s="5078"/>
      <c r="U4" s="5078"/>
      <c r="V4" s="5078"/>
      <c r="W4" s="5078"/>
      <c r="X4" s="5078"/>
      <c r="Y4" s="5078"/>
      <c r="Z4" s="5078"/>
      <c r="AA4" s="5078"/>
      <c r="AB4" s="5078"/>
      <c r="AC4" s="5078"/>
      <c r="AD4" s="5078"/>
      <c r="AE4" s="5078"/>
      <c r="AF4" s="5078"/>
      <c r="AG4" s="5078"/>
      <c r="AH4" s="5078"/>
      <c r="AI4" s="5078"/>
      <c r="AJ4" s="5078"/>
      <c r="AK4" s="5078"/>
      <c r="AL4" s="5078"/>
      <c r="AM4" s="5078"/>
      <c r="AN4" s="5078"/>
      <c r="AO4" s="5078"/>
      <c r="AP4" s="5078"/>
      <c r="AQ4" s="5078"/>
      <c r="AR4" s="5078"/>
      <c r="AS4" s="5078"/>
      <c r="AT4" s="5078"/>
      <c r="AU4" s="5078"/>
      <c r="AV4" s="5078"/>
      <c r="AW4" s="5078"/>
      <c r="AX4" s="5078"/>
      <c r="AY4" s="5078"/>
      <c r="AZ4" s="5078"/>
      <c r="BA4" s="5078"/>
      <c r="BB4" s="5078"/>
      <c r="BC4" s="5078"/>
      <c r="BD4" s="5078"/>
      <c r="BE4" s="5078"/>
      <c r="BF4" s="5078"/>
      <c r="BG4" s="5078"/>
      <c r="BH4" s="5078"/>
      <c r="BI4" s="5078"/>
      <c r="BJ4" s="5078"/>
      <c r="BK4" s="5078"/>
      <c r="BL4" s="4910"/>
      <c r="BM4" s="4910"/>
      <c r="BN4" s="4910"/>
      <c r="BO4" s="4910"/>
      <c r="BP4" s="4910"/>
      <c r="BQ4" s="4910"/>
      <c r="BR4" s="4910"/>
      <c r="BS4" s="4910"/>
      <c r="BT4" s="4910"/>
      <c r="BU4" s="4910"/>
      <c r="BV4" s="4910"/>
      <c r="BW4" s="4910"/>
      <c r="BX4" s="4910"/>
      <c r="BY4" s="4910"/>
      <c r="BZ4" s="4910"/>
      <c r="CA4" s="4910"/>
      <c r="CB4" s="4910"/>
      <c r="CC4" s="4910"/>
      <c r="CD4" s="4910"/>
      <c r="CE4" s="4910"/>
      <c r="CF4" s="4910"/>
      <c r="CG4" s="4910"/>
      <c r="CH4" s="4910"/>
      <c r="CI4" s="4910"/>
      <c r="CJ4" s="4910"/>
      <c r="CK4" s="4910"/>
      <c r="CL4" s="4910"/>
      <c r="CM4" s="4910"/>
      <c r="CN4" s="4910"/>
    </row>
    <row r="5" spans="1:92" ht="12.75" hidden="1" customHeight="1" x14ac:dyDescent="0.2">
      <c r="A5" s="5079"/>
      <c r="B5" s="5081" t="s">
        <v>57</v>
      </c>
      <c r="C5" s="5083" t="s">
        <v>58</v>
      </c>
      <c r="D5" s="5085"/>
      <c r="E5" s="5083" t="s">
        <v>66</v>
      </c>
      <c r="F5" s="5085"/>
      <c r="G5" s="5083" t="s">
        <v>91</v>
      </c>
      <c r="H5" s="5085"/>
      <c r="I5" s="5083" t="s">
        <v>116</v>
      </c>
      <c r="J5" s="5084"/>
      <c r="K5" s="5084"/>
      <c r="L5" s="5084"/>
      <c r="M5" s="5006" t="s">
        <v>153</v>
      </c>
      <c r="N5" s="5086"/>
      <c r="O5" s="5086"/>
      <c r="P5" s="5086"/>
      <c r="Q5" s="5086"/>
      <c r="R5" s="5086"/>
      <c r="S5" s="5086"/>
      <c r="T5" s="5086"/>
      <c r="U5" s="5086"/>
      <c r="V5" s="5086"/>
      <c r="W5" s="5086"/>
      <c r="X5" s="5086"/>
      <c r="Y5" s="5086"/>
      <c r="Z5" s="5086"/>
      <c r="AA5" s="5086"/>
      <c r="AB5" s="5086"/>
      <c r="AC5" s="5086"/>
      <c r="AD5" s="5086"/>
      <c r="AE5" s="5086"/>
      <c r="AF5" s="5086"/>
      <c r="AG5" s="5086"/>
      <c r="AH5" s="5086"/>
      <c r="AI5" s="5086"/>
      <c r="AJ5" s="5086"/>
      <c r="AK5" s="5086"/>
      <c r="AL5" s="5086"/>
      <c r="AM5" s="5086"/>
      <c r="AN5" s="5086"/>
      <c r="AO5" s="5086"/>
      <c r="AP5" s="5086"/>
      <c r="AQ5" s="5086"/>
      <c r="AR5" s="5086"/>
      <c r="AS5" s="5086"/>
      <c r="AT5" s="5086"/>
      <c r="AU5" s="5086"/>
      <c r="AV5" s="5086"/>
      <c r="AW5" s="5086"/>
      <c r="AX5" s="5086"/>
      <c r="AY5" s="5086"/>
      <c r="AZ5" s="5086"/>
      <c r="BA5" s="5086"/>
      <c r="BB5" s="5086"/>
      <c r="BC5" s="5086"/>
      <c r="BD5" s="5086"/>
      <c r="BE5" s="5086"/>
      <c r="BF5" s="5086"/>
      <c r="BG5" s="5086"/>
      <c r="BH5" s="5086"/>
      <c r="BI5" s="5086"/>
      <c r="BJ5" s="5086"/>
      <c r="BK5" s="5086"/>
    </row>
    <row r="6" spans="1:92" ht="12.75" hidden="1" customHeight="1" x14ac:dyDescent="0.2">
      <c r="A6" s="5079"/>
      <c r="B6" s="5081"/>
      <c r="C6" s="5071" t="s">
        <v>60</v>
      </c>
      <c r="D6" s="5074" t="s">
        <v>61</v>
      </c>
      <c r="E6" s="5071" t="s">
        <v>60</v>
      </c>
      <c r="F6" s="5074" t="s">
        <v>65</v>
      </c>
      <c r="G6" s="5071" t="s">
        <v>60</v>
      </c>
      <c r="H6" s="5074" t="s">
        <v>108</v>
      </c>
      <c r="I6" s="5071" t="s">
        <v>59</v>
      </c>
      <c r="J6" s="5068" t="s">
        <v>62</v>
      </c>
      <c r="K6" s="590"/>
      <c r="L6" s="5068" t="s">
        <v>106</v>
      </c>
      <c r="M6" s="5071" t="s">
        <v>92</v>
      </c>
      <c r="N6" s="974"/>
      <c r="O6" s="359"/>
      <c r="P6" s="590"/>
      <c r="Q6" s="1181"/>
      <c r="R6" s="1253"/>
      <c r="S6" s="590"/>
      <c r="T6" s="590"/>
      <c r="U6" s="1732"/>
      <c r="V6" s="1732"/>
      <c r="W6" s="1732"/>
      <c r="X6" s="1732"/>
      <c r="Y6" s="1732"/>
      <c r="Z6" s="1732"/>
      <c r="AA6" s="590"/>
      <c r="AB6" s="967"/>
      <c r="AC6" s="590"/>
      <c r="AD6" s="1561"/>
      <c r="AE6" s="1561"/>
      <c r="AF6" s="1561"/>
      <c r="AG6" s="1561"/>
      <c r="AH6" s="1582"/>
      <c r="AI6" s="1582"/>
      <c r="AJ6" s="1582"/>
      <c r="AK6" s="1582"/>
      <c r="AL6" s="1732"/>
      <c r="AM6" s="1732"/>
      <c r="AN6" s="2073"/>
      <c r="AO6" s="2073"/>
      <c r="AP6" s="2073"/>
      <c r="AQ6" s="2073"/>
      <c r="AR6" s="1732"/>
      <c r="AS6" s="1732"/>
      <c r="AT6" s="2073"/>
      <c r="AU6" s="2073"/>
      <c r="AV6" s="2073"/>
      <c r="AW6" s="2073"/>
      <c r="AX6" s="2073"/>
      <c r="AY6" s="2073"/>
      <c r="AZ6" s="2073"/>
      <c r="BA6" s="2073"/>
      <c r="BB6" s="2073"/>
      <c r="BC6" s="2073"/>
      <c r="BD6" s="2668"/>
      <c r="BE6" s="2668"/>
      <c r="BF6" s="2543"/>
      <c r="BG6" s="2543"/>
      <c r="BH6" s="2543"/>
      <c r="BI6" s="2543"/>
      <c r="BJ6" s="2543"/>
      <c r="BK6" s="2543"/>
    </row>
    <row r="7" spans="1:92" ht="12.75" hidden="1" customHeight="1" x14ac:dyDescent="0.2">
      <c r="A7" s="5079"/>
      <c r="B7" s="5081"/>
      <c r="C7" s="5072"/>
      <c r="D7" s="5075"/>
      <c r="E7" s="5072"/>
      <c r="F7" s="5075"/>
      <c r="G7" s="5072"/>
      <c r="H7" s="5075"/>
      <c r="I7" s="5072"/>
      <c r="J7" s="5069"/>
      <c r="K7" s="582"/>
      <c r="L7" s="5069"/>
      <c r="M7" s="5072"/>
      <c r="N7" s="975"/>
      <c r="O7" s="360"/>
      <c r="P7" s="582"/>
      <c r="Q7" s="1174"/>
      <c r="R7" s="1251"/>
      <c r="S7" s="582"/>
      <c r="T7" s="582"/>
      <c r="U7" s="1572"/>
      <c r="V7" s="1572"/>
      <c r="W7" s="1885"/>
      <c r="X7" s="1885"/>
      <c r="Y7" s="1885"/>
      <c r="Z7" s="1885"/>
      <c r="AA7" s="582"/>
      <c r="AB7" s="941"/>
      <c r="AC7" s="582"/>
      <c r="AD7" s="1369"/>
      <c r="AE7" s="1369"/>
      <c r="AF7" s="1369"/>
      <c r="AG7" s="1369"/>
      <c r="AH7" s="1568"/>
      <c r="AI7" s="1568"/>
      <c r="AJ7" s="1568"/>
      <c r="AK7" s="1568"/>
      <c r="AL7" s="1885"/>
      <c r="AM7" s="1885"/>
      <c r="AN7" s="2051"/>
      <c r="AO7" s="2051"/>
      <c r="AP7" s="2051"/>
      <c r="AQ7" s="2051"/>
      <c r="AR7" s="1885"/>
      <c r="AS7" s="1885"/>
      <c r="AT7" s="2211"/>
      <c r="AU7" s="2211"/>
      <c r="AV7" s="2364"/>
      <c r="AW7" s="2364"/>
      <c r="AX7" s="2051"/>
      <c r="AY7" s="2051"/>
      <c r="AZ7" s="2051"/>
      <c r="BA7" s="2051"/>
      <c r="BB7" s="2366"/>
      <c r="BC7" s="2366"/>
      <c r="BD7" s="2654"/>
      <c r="BE7" s="2654"/>
      <c r="BF7" s="2533"/>
      <c r="BG7" s="2533"/>
      <c r="BH7" s="2533"/>
      <c r="BI7" s="2533"/>
      <c r="BJ7" s="2533"/>
      <c r="BK7" s="2533"/>
    </row>
    <row r="8" spans="1:92" ht="13.5" hidden="1" customHeight="1" thickBot="1" x14ac:dyDescent="0.25">
      <c r="A8" s="5080"/>
      <c r="B8" s="5082"/>
      <c r="C8" s="5073"/>
      <c r="D8" s="4947"/>
      <c r="E8" s="5073"/>
      <c r="F8" s="4947"/>
      <c r="G8" s="5073"/>
      <c r="H8" s="4947"/>
      <c r="I8" s="5073"/>
      <c r="J8" s="5070"/>
      <c r="K8" s="583"/>
      <c r="L8" s="5070"/>
      <c r="M8" s="5073"/>
      <c r="N8" s="976"/>
      <c r="O8" s="265"/>
      <c r="P8" s="583"/>
      <c r="Q8" s="1175"/>
      <c r="R8" s="1252"/>
      <c r="S8" s="583"/>
      <c r="T8" s="583"/>
      <c r="U8" s="1573"/>
      <c r="V8" s="1573"/>
      <c r="W8" s="1886"/>
      <c r="X8" s="1886"/>
      <c r="Y8" s="1886"/>
      <c r="Z8" s="1886"/>
      <c r="AA8" s="583"/>
      <c r="AB8" s="942"/>
      <c r="AC8" s="583"/>
      <c r="AD8" s="1370"/>
      <c r="AE8" s="1370"/>
      <c r="AF8" s="1370"/>
      <c r="AG8" s="1370"/>
      <c r="AH8" s="1569"/>
      <c r="AI8" s="1569"/>
      <c r="AJ8" s="1569"/>
      <c r="AK8" s="1569"/>
      <c r="AL8" s="1886"/>
      <c r="AM8" s="1886"/>
      <c r="AN8" s="2052"/>
      <c r="AO8" s="2052"/>
      <c r="AP8" s="2052"/>
      <c r="AQ8" s="2052"/>
      <c r="AR8" s="1886"/>
      <c r="AS8" s="1886"/>
      <c r="AT8" s="2212"/>
      <c r="AU8" s="2212"/>
      <c r="AV8" s="2365"/>
      <c r="AW8" s="2365"/>
      <c r="AX8" s="2052"/>
      <c r="AY8" s="2052"/>
      <c r="AZ8" s="2052"/>
      <c r="BA8" s="2052"/>
      <c r="BB8" s="2367"/>
      <c r="BC8" s="2367"/>
      <c r="BD8" s="2655"/>
      <c r="BE8" s="2655"/>
      <c r="BF8" s="2534"/>
      <c r="BG8" s="2534"/>
      <c r="BH8" s="2534"/>
      <c r="BI8" s="2534"/>
      <c r="BJ8" s="2534"/>
      <c r="BK8" s="2534"/>
    </row>
    <row r="9" spans="1:92" ht="13.5" hidden="1" thickBot="1" x14ac:dyDescent="0.25">
      <c r="A9" s="5036" t="s">
        <v>46</v>
      </c>
      <c r="B9" s="5037"/>
      <c r="C9" s="5037"/>
      <c r="D9" s="5037"/>
      <c r="E9" s="5037"/>
      <c r="F9" s="5037"/>
      <c r="G9" s="5037"/>
      <c r="H9" s="5037"/>
      <c r="I9" s="5037"/>
      <c r="J9" s="5037"/>
      <c r="K9" s="5037"/>
      <c r="L9" s="5037"/>
      <c r="M9" s="5037"/>
      <c r="N9" s="5037"/>
      <c r="O9" s="5037"/>
      <c r="P9" s="5037"/>
      <c r="Q9" s="5037"/>
      <c r="R9" s="5037"/>
      <c r="S9" s="5037"/>
      <c r="T9" s="5037"/>
      <c r="U9" s="5037"/>
      <c r="V9" s="5037"/>
      <c r="W9" s="5037"/>
      <c r="X9" s="5037"/>
      <c r="Y9" s="5037"/>
      <c r="Z9" s="5037"/>
      <c r="AA9" s="5037"/>
      <c r="AB9" s="5037"/>
      <c r="AC9" s="5037"/>
      <c r="AD9" s="5037"/>
      <c r="AE9" s="5037"/>
      <c r="AF9" s="5037"/>
      <c r="AG9" s="5037"/>
      <c r="AH9" s="5037"/>
      <c r="AI9" s="5037"/>
      <c r="AJ9" s="5037"/>
      <c r="AK9" s="5037"/>
      <c r="AL9" s="5037"/>
      <c r="AM9" s="5037"/>
      <c r="AN9" s="5037"/>
      <c r="AO9" s="5037"/>
      <c r="AP9" s="5037"/>
      <c r="AQ9" s="5037"/>
      <c r="AR9" s="5037"/>
      <c r="AS9" s="5037"/>
      <c r="AT9" s="5037"/>
      <c r="AU9" s="5037"/>
      <c r="AV9" s="5037"/>
      <c r="AW9" s="5037"/>
      <c r="AX9" s="5037"/>
      <c r="AY9" s="5037"/>
      <c r="AZ9" s="5037"/>
      <c r="BA9" s="5037"/>
      <c r="BB9" s="5037"/>
      <c r="BC9" s="5037"/>
      <c r="BD9" s="5037"/>
      <c r="BE9" s="5037"/>
      <c r="BF9" s="5037"/>
      <c r="BG9" s="5037"/>
      <c r="BH9" s="5037"/>
      <c r="BI9" s="5037"/>
      <c r="BJ9" s="5037"/>
      <c r="BK9" s="5037"/>
    </row>
    <row r="10" spans="1:92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</row>
    <row r="11" spans="1:92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0">G11/E11*100</f>
        <v>107.9443281192265</v>
      </c>
      <c r="I11" s="113">
        <v>841.6</v>
      </c>
      <c r="J11" s="11"/>
      <c r="K11" s="591"/>
      <c r="L11" s="11">
        <v>580.70000000000005</v>
      </c>
      <c r="M11" s="44">
        <v>876</v>
      </c>
      <c r="N11" s="977"/>
      <c r="O11" s="6"/>
      <c r="P11" s="595"/>
      <c r="Q11" s="1182"/>
      <c r="R11" s="1254"/>
      <c r="S11" s="595"/>
      <c r="T11" s="595"/>
      <c r="U11" s="1733"/>
      <c r="V11" s="1733"/>
      <c r="W11" s="1733"/>
      <c r="X11" s="1733"/>
      <c r="Y11" s="1733"/>
      <c r="Z11" s="1733"/>
      <c r="AA11" s="595"/>
      <c r="AB11" s="968"/>
      <c r="AC11" s="595"/>
      <c r="AD11" s="1559"/>
      <c r="AE11" s="1559"/>
      <c r="AF11" s="1559"/>
      <c r="AG11" s="1559"/>
      <c r="AH11" s="1583"/>
      <c r="AI11" s="1583"/>
      <c r="AJ11" s="1583"/>
      <c r="AK11" s="1583"/>
      <c r="AL11" s="1733"/>
      <c r="AM11" s="1733"/>
      <c r="AN11" s="2074"/>
      <c r="AO11" s="2074"/>
      <c r="AP11" s="2074"/>
      <c r="AQ11" s="2074"/>
      <c r="AR11" s="1733"/>
      <c r="AS11" s="1733"/>
      <c r="AT11" s="2074"/>
      <c r="AU11" s="2074"/>
      <c r="AV11" s="2074"/>
      <c r="AW11" s="2074"/>
      <c r="AX11" s="2074"/>
      <c r="AY11" s="2074"/>
      <c r="AZ11" s="2074"/>
      <c r="BA11" s="2074"/>
      <c r="BB11" s="2074"/>
      <c r="BC11" s="2074"/>
      <c r="BD11" s="2074"/>
      <c r="BE11" s="2074"/>
      <c r="BF11" s="2382"/>
      <c r="BG11" s="2382"/>
      <c r="BH11" s="2382"/>
      <c r="BI11" s="2382"/>
      <c r="BJ11" s="2382"/>
      <c r="BK11" s="2382"/>
    </row>
    <row r="12" spans="1:92" hidden="1" x14ac:dyDescent="0.2">
      <c r="A12" s="55" t="s">
        <v>109</v>
      </c>
      <c r="B12" s="32"/>
      <c r="C12" s="2"/>
      <c r="D12" s="47"/>
      <c r="E12" s="2">
        <v>54.2</v>
      </c>
      <c r="F12" s="109"/>
      <c r="G12" s="56">
        <v>0</v>
      </c>
      <c r="H12" s="45">
        <f t="shared" si="0"/>
        <v>0</v>
      </c>
      <c r="I12" s="112">
        <v>22.5</v>
      </c>
      <c r="J12" s="17"/>
      <c r="K12" s="592"/>
      <c r="L12" s="31"/>
      <c r="M12" s="56"/>
      <c r="N12" s="978"/>
      <c r="O12" s="6"/>
      <c r="P12" s="595"/>
      <c r="Q12" s="1182"/>
      <c r="R12" s="1254"/>
      <c r="S12" s="595"/>
      <c r="T12" s="595"/>
      <c r="U12" s="1733"/>
      <c r="V12" s="1733"/>
      <c r="W12" s="1733"/>
      <c r="X12" s="1733"/>
      <c r="Y12" s="1733"/>
      <c r="Z12" s="1733"/>
      <c r="AA12" s="595"/>
      <c r="AB12" s="968"/>
      <c r="AC12" s="595"/>
      <c r="AD12" s="1559"/>
      <c r="AE12" s="1559"/>
      <c r="AF12" s="1559"/>
      <c r="AG12" s="1559"/>
      <c r="AH12" s="1583"/>
      <c r="AI12" s="1583"/>
      <c r="AJ12" s="1583"/>
      <c r="AK12" s="1583"/>
      <c r="AL12" s="1733"/>
      <c r="AM12" s="1733"/>
      <c r="AN12" s="2074"/>
      <c r="AO12" s="2074"/>
      <c r="AP12" s="2074"/>
      <c r="AQ12" s="2074"/>
      <c r="AR12" s="1733"/>
      <c r="AS12" s="1733"/>
      <c r="AT12" s="2074"/>
      <c r="AU12" s="2074"/>
      <c r="AV12" s="2074"/>
      <c r="AW12" s="2074"/>
      <c r="AX12" s="2074"/>
      <c r="AY12" s="2074"/>
      <c r="AZ12" s="2074"/>
      <c r="BA12" s="2074"/>
      <c r="BB12" s="2074"/>
      <c r="BC12" s="2074"/>
      <c r="BD12" s="2074"/>
      <c r="BE12" s="2074"/>
      <c r="BF12" s="2382"/>
      <c r="BG12" s="2382"/>
      <c r="BH12" s="2382"/>
      <c r="BI12" s="2382"/>
      <c r="BJ12" s="2382"/>
      <c r="BK12" s="2382"/>
    </row>
    <row r="13" spans="1:92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0"/>
        <v>93.74374749899961</v>
      </c>
      <c r="I13" s="113">
        <f>I14+I16</f>
        <v>5795</v>
      </c>
      <c r="J13" s="4">
        <f>J14+J16</f>
        <v>0</v>
      </c>
      <c r="K13" s="593"/>
      <c r="L13" s="4">
        <f>L14+L16</f>
        <v>6086.2000000000007</v>
      </c>
      <c r="M13" s="44">
        <f>M14+M16</f>
        <v>5783.1</v>
      </c>
      <c r="N13" s="977"/>
      <c r="O13" s="6"/>
      <c r="P13" s="595"/>
      <c r="Q13" s="1182"/>
      <c r="R13" s="1254"/>
      <c r="S13" s="595"/>
      <c r="T13" s="595"/>
      <c r="U13" s="1733"/>
      <c r="V13" s="1733"/>
      <c r="W13" s="1733"/>
      <c r="X13" s="1733"/>
      <c r="Y13" s="1733"/>
      <c r="Z13" s="1733"/>
      <c r="AA13" s="595"/>
      <c r="AB13" s="968"/>
      <c r="AC13" s="595"/>
      <c r="AD13" s="1559"/>
      <c r="AE13" s="1559"/>
      <c r="AF13" s="1559"/>
      <c r="AG13" s="1559"/>
      <c r="AH13" s="1583"/>
      <c r="AI13" s="1583"/>
      <c r="AJ13" s="1583"/>
      <c r="AK13" s="1583"/>
      <c r="AL13" s="1733"/>
      <c r="AM13" s="1733"/>
      <c r="AN13" s="2074"/>
      <c r="AO13" s="2074"/>
      <c r="AP13" s="2074"/>
      <c r="AQ13" s="2074"/>
      <c r="AR13" s="1733"/>
      <c r="AS13" s="1733"/>
      <c r="AT13" s="2074"/>
      <c r="AU13" s="2074"/>
      <c r="AV13" s="2074"/>
      <c r="AW13" s="2074"/>
      <c r="AX13" s="2074"/>
      <c r="AY13" s="2074"/>
      <c r="AZ13" s="2074"/>
      <c r="BA13" s="2074"/>
      <c r="BB13" s="2074"/>
      <c r="BC13" s="2074"/>
      <c r="BD13" s="2074"/>
      <c r="BE13" s="2074"/>
      <c r="BF13" s="2382"/>
      <c r="BG13" s="2382"/>
      <c r="BH13" s="2382"/>
      <c r="BI13" s="2382"/>
      <c r="BJ13" s="2382"/>
      <c r="BK13" s="2382"/>
    </row>
    <row r="14" spans="1:92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0"/>
        <v>96.063348416289585</v>
      </c>
      <c r="I14" s="113">
        <v>1150</v>
      </c>
      <c r="J14" s="11"/>
      <c r="K14" s="591"/>
      <c r="L14" s="11">
        <v>2822.4</v>
      </c>
      <c r="M14" s="44">
        <v>1683.1</v>
      </c>
      <c r="N14" s="977"/>
      <c r="O14" s="6"/>
      <c r="P14" s="595"/>
      <c r="Q14" s="1182"/>
      <c r="R14" s="1254"/>
      <c r="S14" s="595"/>
      <c r="T14" s="595"/>
      <c r="U14" s="1733"/>
      <c r="V14" s="1733"/>
      <c r="W14" s="1733"/>
      <c r="X14" s="1733"/>
      <c r="Y14" s="1733"/>
      <c r="Z14" s="1733"/>
      <c r="AA14" s="595"/>
      <c r="AB14" s="968"/>
      <c r="AC14" s="595"/>
      <c r="AD14" s="1559"/>
      <c r="AE14" s="1559"/>
      <c r="AF14" s="1559"/>
      <c r="AG14" s="1559"/>
      <c r="AH14" s="1583"/>
      <c r="AI14" s="1583"/>
      <c r="AJ14" s="1583"/>
      <c r="AK14" s="1583"/>
      <c r="AL14" s="1733"/>
      <c r="AM14" s="1733"/>
      <c r="AN14" s="2074"/>
      <c r="AO14" s="2074"/>
      <c r="AP14" s="2074"/>
      <c r="AQ14" s="2074"/>
      <c r="AR14" s="1733"/>
      <c r="AS14" s="1733"/>
      <c r="AT14" s="2074"/>
      <c r="AU14" s="2074"/>
      <c r="AV14" s="2074"/>
      <c r="AW14" s="2074"/>
      <c r="AX14" s="2074"/>
      <c r="AY14" s="2074"/>
      <c r="AZ14" s="2074"/>
      <c r="BA14" s="2074"/>
      <c r="BB14" s="2074"/>
      <c r="BC14" s="2074"/>
      <c r="BD14" s="2074"/>
      <c r="BE14" s="2074"/>
      <c r="BF14" s="2382"/>
      <c r="BG14" s="2382"/>
      <c r="BH14" s="2382"/>
      <c r="BI14" s="2382"/>
      <c r="BJ14" s="2382"/>
      <c r="BK14" s="2382"/>
    </row>
    <row r="15" spans="1:92" ht="27.75" hidden="1" customHeight="1" x14ac:dyDescent="0.2">
      <c r="A15" s="35" t="s">
        <v>110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592"/>
      <c r="L15" s="31">
        <f>L14/L13*100</f>
        <v>46.373763596332687</v>
      </c>
      <c r="M15" s="46">
        <f>M14/M13*100</f>
        <v>29.103767875360965</v>
      </c>
      <c r="N15" s="979"/>
      <c r="O15" s="6"/>
      <c r="P15" s="595"/>
      <c r="Q15" s="1182"/>
      <c r="R15" s="1254"/>
      <c r="S15" s="595"/>
      <c r="T15" s="595"/>
      <c r="U15" s="1733"/>
      <c r="V15" s="1733"/>
      <c r="W15" s="1733"/>
      <c r="X15" s="1733"/>
      <c r="Y15" s="1733"/>
      <c r="Z15" s="1733"/>
      <c r="AA15" s="595"/>
      <c r="AB15" s="968"/>
      <c r="AC15" s="595"/>
      <c r="AD15" s="1559"/>
      <c r="AE15" s="1559"/>
      <c r="AF15" s="1559"/>
      <c r="AG15" s="1559"/>
      <c r="AH15" s="1583"/>
      <c r="AI15" s="1583"/>
      <c r="AJ15" s="1583"/>
      <c r="AK15" s="1583"/>
      <c r="AL15" s="1733"/>
      <c r="AM15" s="1733"/>
      <c r="AN15" s="2074"/>
      <c r="AO15" s="2074"/>
      <c r="AP15" s="2074"/>
      <c r="AQ15" s="2074"/>
      <c r="AR15" s="1733"/>
      <c r="AS15" s="1733"/>
      <c r="AT15" s="2074"/>
      <c r="AU15" s="2074"/>
      <c r="AV15" s="2074"/>
      <c r="AW15" s="2074"/>
      <c r="AX15" s="2074"/>
      <c r="AY15" s="2074"/>
      <c r="AZ15" s="2074"/>
      <c r="BA15" s="2074"/>
      <c r="BB15" s="2074"/>
      <c r="BC15" s="2074"/>
      <c r="BD15" s="2074"/>
      <c r="BE15" s="2074"/>
      <c r="BF15" s="2382"/>
      <c r="BG15" s="2382"/>
      <c r="BH15" s="2382"/>
      <c r="BI15" s="2382"/>
      <c r="BJ15" s="2382"/>
      <c r="BK15" s="2382"/>
    </row>
    <row r="16" spans="1:92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0"/>
        <v>92.279921677408851</v>
      </c>
      <c r="I16" s="113">
        <f>SUM(I18:I20)</f>
        <v>4645</v>
      </c>
      <c r="J16" s="4">
        <f>SUM(J18:J20)</f>
        <v>0</v>
      </c>
      <c r="K16" s="593"/>
      <c r="L16" s="4">
        <f>SUM(L18:L20)</f>
        <v>3263.8</v>
      </c>
      <c r="M16" s="44">
        <f>SUM(M18:M20)</f>
        <v>4100</v>
      </c>
      <c r="N16" s="977"/>
      <c r="O16" s="6"/>
      <c r="P16" s="595"/>
      <c r="Q16" s="1182"/>
      <c r="R16" s="1254"/>
      <c r="S16" s="595"/>
      <c r="T16" s="595"/>
      <c r="U16" s="1733"/>
      <c r="V16" s="1733"/>
      <c r="W16" s="1733"/>
      <c r="X16" s="1733"/>
      <c r="Y16" s="1733"/>
      <c r="Z16" s="1733"/>
      <c r="AA16" s="595"/>
      <c r="AB16" s="968"/>
      <c r="AC16" s="595"/>
      <c r="AD16" s="1559"/>
      <c r="AE16" s="1559"/>
      <c r="AF16" s="1559"/>
      <c r="AG16" s="1559"/>
      <c r="AH16" s="1583"/>
      <c r="AI16" s="1583"/>
      <c r="AJ16" s="1583"/>
      <c r="AK16" s="1583"/>
      <c r="AL16" s="1733"/>
      <c r="AM16" s="1733"/>
      <c r="AN16" s="2074"/>
      <c r="AO16" s="2074"/>
      <c r="AP16" s="2074"/>
      <c r="AQ16" s="2074"/>
      <c r="AR16" s="1733"/>
      <c r="AS16" s="1733"/>
      <c r="AT16" s="2074"/>
      <c r="AU16" s="2074"/>
      <c r="AV16" s="2074"/>
      <c r="AW16" s="2074"/>
      <c r="AX16" s="2074"/>
      <c r="AY16" s="2074"/>
      <c r="AZ16" s="2074"/>
      <c r="BA16" s="2074"/>
      <c r="BB16" s="2074"/>
      <c r="BC16" s="2074"/>
      <c r="BD16" s="2074"/>
      <c r="BE16" s="2074"/>
      <c r="BF16" s="2382"/>
      <c r="BG16" s="2382"/>
      <c r="BH16" s="2382"/>
      <c r="BI16" s="2382"/>
      <c r="BJ16" s="2382"/>
      <c r="BK16" s="2382"/>
    </row>
    <row r="17" spans="1:63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591"/>
      <c r="L17" s="6"/>
      <c r="M17" s="44"/>
      <c r="N17" s="977"/>
      <c r="O17" s="6"/>
      <c r="P17" s="595"/>
      <c r="Q17" s="1182"/>
      <c r="R17" s="1254"/>
      <c r="S17" s="595"/>
      <c r="T17" s="595"/>
      <c r="U17" s="1733"/>
      <c r="V17" s="1733"/>
      <c r="W17" s="1733"/>
      <c r="X17" s="1733"/>
      <c r="Y17" s="1733"/>
      <c r="Z17" s="1733"/>
      <c r="AA17" s="595"/>
      <c r="AB17" s="968"/>
      <c r="AC17" s="595"/>
      <c r="AD17" s="1559"/>
      <c r="AE17" s="1559"/>
      <c r="AF17" s="1559"/>
      <c r="AG17" s="1559"/>
      <c r="AH17" s="1583"/>
      <c r="AI17" s="1583"/>
      <c r="AJ17" s="1583"/>
      <c r="AK17" s="1583"/>
      <c r="AL17" s="1733"/>
      <c r="AM17" s="1733"/>
      <c r="AN17" s="2074"/>
      <c r="AO17" s="2074"/>
      <c r="AP17" s="2074"/>
      <c r="AQ17" s="2074"/>
      <c r="AR17" s="1733"/>
      <c r="AS17" s="1733"/>
      <c r="AT17" s="2074"/>
      <c r="AU17" s="2074"/>
      <c r="AV17" s="2074"/>
      <c r="AW17" s="2074"/>
      <c r="AX17" s="2074"/>
      <c r="AY17" s="2074"/>
      <c r="AZ17" s="2074"/>
      <c r="BA17" s="2074"/>
      <c r="BB17" s="2074"/>
      <c r="BC17" s="2074"/>
      <c r="BD17" s="2074"/>
      <c r="BE17" s="2074"/>
      <c r="BF17" s="2382"/>
      <c r="BG17" s="2382"/>
      <c r="BH17" s="2382"/>
      <c r="BI17" s="2382"/>
      <c r="BJ17" s="2382"/>
      <c r="BK17" s="2382"/>
    </row>
    <row r="18" spans="1:63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0"/>
        <v>92.735757682486579</v>
      </c>
      <c r="I18" s="113">
        <v>3192</v>
      </c>
      <c r="J18" s="11"/>
      <c r="K18" s="591"/>
      <c r="L18" s="11">
        <v>2288.1</v>
      </c>
      <c r="M18" s="44">
        <v>2860</v>
      </c>
      <c r="N18" s="977"/>
      <c r="O18" s="6"/>
      <c r="P18" s="595"/>
      <c r="Q18" s="1182"/>
      <c r="R18" s="1254"/>
      <c r="S18" s="595"/>
      <c r="T18" s="595"/>
      <c r="U18" s="1733"/>
      <c r="V18" s="1733"/>
      <c r="W18" s="1733"/>
      <c r="X18" s="1733"/>
      <c r="Y18" s="1733"/>
      <c r="Z18" s="1733"/>
      <c r="AA18" s="595"/>
      <c r="AB18" s="968"/>
      <c r="AC18" s="595"/>
      <c r="AD18" s="1559"/>
      <c r="AE18" s="1559"/>
      <c r="AF18" s="1559"/>
      <c r="AG18" s="1559"/>
      <c r="AH18" s="1583"/>
      <c r="AI18" s="1583"/>
      <c r="AJ18" s="1583"/>
      <c r="AK18" s="1583"/>
      <c r="AL18" s="1733"/>
      <c r="AM18" s="1733"/>
      <c r="AN18" s="2074"/>
      <c r="AO18" s="2074"/>
      <c r="AP18" s="2074"/>
      <c r="AQ18" s="2074"/>
      <c r="AR18" s="1733"/>
      <c r="AS18" s="1733"/>
      <c r="AT18" s="2074"/>
      <c r="AU18" s="2074"/>
      <c r="AV18" s="2074"/>
      <c r="AW18" s="2074"/>
      <c r="AX18" s="2074"/>
      <c r="AY18" s="2074"/>
      <c r="AZ18" s="2074"/>
      <c r="BA18" s="2074"/>
      <c r="BB18" s="2074"/>
      <c r="BC18" s="2074"/>
      <c r="BD18" s="2074"/>
      <c r="BE18" s="2074"/>
      <c r="BF18" s="2382"/>
      <c r="BG18" s="2382"/>
      <c r="BH18" s="2382"/>
      <c r="BI18" s="2382"/>
      <c r="BJ18" s="2382"/>
      <c r="BK18" s="2382"/>
    </row>
    <row r="19" spans="1:63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0"/>
        <v>119.08893709327548</v>
      </c>
      <c r="I19" s="113">
        <v>59</v>
      </c>
      <c r="J19" s="11"/>
      <c r="K19" s="591"/>
      <c r="L19" s="11">
        <v>36.799999999999997</v>
      </c>
      <c r="M19" s="44">
        <v>55</v>
      </c>
      <c r="N19" s="977"/>
      <c r="O19" s="6"/>
      <c r="P19" s="595"/>
      <c r="Q19" s="1182"/>
      <c r="R19" s="1254"/>
      <c r="S19" s="595"/>
      <c r="T19" s="595"/>
      <c r="U19" s="1733"/>
      <c r="V19" s="1733"/>
      <c r="W19" s="1733"/>
      <c r="X19" s="1733"/>
      <c r="Y19" s="1733"/>
      <c r="Z19" s="1733"/>
      <c r="AA19" s="595"/>
      <c r="AB19" s="968"/>
      <c r="AC19" s="595"/>
      <c r="AD19" s="1559"/>
      <c r="AE19" s="1559"/>
      <c r="AF19" s="1559"/>
      <c r="AG19" s="1559"/>
      <c r="AH19" s="1583"/>
      <c r="AI19" s="1583"/>
      <c r="AJ19" s="1583"/>
      <c r="AK19" s="1583"/>
      <c r="AL19" s="1733"/>
      <c r="AM19" s="1733"/>
      <c r="AN19" s="2074"/>
      <c r="AO19" s="2074"/>
      <c r="AP19" s="2074"/>
      <c r="AQ19" s="2074"/>
      <c r="AR19" s="1733"/>
      <c r="AS19" s="1733"/>
      <c r="AT19" s="2074"/>
      <c r="AU19" s="2074"/>
      <c r="AV19" s="2074"/>
      <c r="AW19" s="2074"/>
      <c r="AX19" s="2074"/>
      <c r="AY19" s="2074"/>
      <c r="AZ19" s="2074"/>
      <c r="BA19" s="2074"/>
      <c r="BB19" s="2074"/>
      <c r="BC19" s="2074"/>
      <c r="BD19" s="2074"/>
      <c r="BE19" s="2074"/>
      <c r="BF19" s="2382"/>
      <c r="BG19" s="2382"/>
      <c r="BH19" s="2382"/>
      <c r="BI19" s="2382"/>
      <c r="BJ19" s="2382"/>
      <c r="BK19" s="2382"/>
    </row>
    <row r="20" spans="1:63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0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980"/>
      <c r="O20" s="53"/>
      <c r="P20" s="53"/>
      <c r="Q20" s="969"/>
      <c r="R20" s="1255"/>
      <c r="S20" s="53"/>
      <c r="T20" s="53"/>
      <c r="U20" s="1584"/>
      <c r="V20" s="1584"/>
      <c r="W20" s="1584"/>
      <c r="X20" s="1584"/>
      <c r="Y20" s="1584"/>
      <c r="Z20" s="1584"/>
      <c r="AA20" s="53"/>
      <c r="AB20" s="969"/>
      <c r="AC20" s="53"/>
      <c r="AD20" s="1255"/>
      <c r="AE20" s="1255"/>
      <c r="AF20" s="1255"/>
      <c r="AG20" s="1255"/>
      <c r="AH20" s="1584"/>
      <c r="AI20" s="1584"/>
      <c r="AJ20" s="1584"/>
      <c r="AK20" s="1584"/>
      <c r="AL20" s="1584"/>
      <c r="AM20" s="1584"/>
      <c r="AN20" s="2075"/>
      <c r="AO20" s="2075"/>
      <c r="AP20" s="2075"/>
      <c r="AQ20" s="2075"/>
      <c r="AR20" s="1584"/>
      <c r="AS20" s="1584"/>
      <c r="AT20" s="2075"/>
      <c r="AU20" s="2075"/>
      <c r="AV20" s="2075"/>
      <c r="AW20" s="2075"/>
      <c r="AX20" s="2075"/>
      <c r="AY20" s="2075"/>
      <c r="AZ20" s="2075"/>
      <c r="BA20" s="2075"/>
      <c r="BB20" s="2075"/>
      <c r="BC20" s="2075"/>
      <c r="BD20" s="2075"/>
      <c r="BE20" s="2075"/>
      <c r="BF20" s="2585"/>
      <c r="BG20" s="2585"/>
      <c r="BH20" s="2585"/>
      <c r="BI20" s="2585"/>
      <c r="BJ20" s="2585"/>
      <c r="BK20" s="2585"/>
    </row>
    <row r="21" spans="1:63" ht="13.5" hidden="1" thickBot="1" x14ac:dyDescent="0.25">
      <c r="A21" s="5039" t="s">
        <v>47</v>
      </c>
      <c r="B21" s="5040"/>
      <c r="C21" s="5040"/>
      <c r="D21" s="5040"/>
      <c r="E21" s="5040"/>
      <c r="F21" s="5040"/>
      <c r="G21" s="5040"/>
      <c r="H21" s="5040"/>
      <c r="I21" s="5040"/>
      <c r="J21" s="5040"/>
      <c r="K21" s="5040"/>
      <c r="L21" s="5040"/>
      <c r="M21" s="5040"/>
      <c r="N21" s="5040"/>
      <c r="O21" s="5040"/>
      <c r="P21" s="5040"/>
      <c r="Q21" s="5040"/>
      <c r="R21" s="5040"/>
      <c r="S21" s="5040"/>
      <c r="T21" s="5040"/>
      <c r="U21" s="5040"/>
      <c r="V21" s="5040"/>
      <c r="W21" s="5040"/>
      <c r="X21" s="5040"/>
      <c r="Y21" s="5040"/>
      <c r="Z21" s="5040"/>
      <c r="AA21" s="5040"/>
      <c r="AB21" s="5040"/>
      <c r="AC21" s="5040"/>
      <c r="AD21" s="5040"/>
      <c r="AE21" s="5040"/>
      <c r="AF21" s="5040"/>
      <c r="AG21" s="5040"/>
      <c r="AH21" s="5040"/>
      <c r="AI21" s="5040"/>
      <c r="AJ21" s="5040"/>
      <c r="AK21" s="5040"/>
      <c r="AL21" s="5040"/>
      <c r="AM21" s="5040"/>
      <c r="AN21" s="5040"/>
      <c r="AO21" s="5040"/>
      <c r="AP21" s="5040"/>
      <c r="AQ21" s="5040"/>
      <c r="AR21" s="5040"/>
      <c r="AS21" s="5040"/>
      <c r="AT21" s="5040"/>
      <c r="AU21" s="5040"/>
      <c r="AV21" s="5040"/>
      <c r="AW21" s="5040"/>
      <c r="AX21" s="5040"/>
      <c r="AY21" s="5040"/>
      <c r="AZ21" s="5040"/>
      <c r="BA21" s="5040"/>
      <c r="BB21" s="5040"/>
      <c r="BC21" s="5040"/>
      <c r="BD21" s="5040"/>
      <c r="BE21" s="5040"/>
      <c r="BF21" s="5040"/>
      <c r="BG21" s="5040"/>
      <c r="BH21" s="5040"/>
      <c r="BI21" s="5040"/>
      <c r="BJ21" s="5040"/>
      <c r="BK21" s="5040"/>
    </row>
    <row r="22" spans="1:63" hidden="1" x14ac:dyDescent="0.2">
      <c r="A22" s="148" t="s">
        <v>114</v>
      </c>
      <c r="B22" s="149">
        <f>SUM(B24:B27)</f>
        <v>4738.2</v>
      </c>
      <c r="C22" s="145">
        <f>SUM(C24:C27)</f>
        <v>4585.8</v>
      </c>
      <c r="D22" s="150">
        <f>C22/B22*100</f>
        <v>96.783588704571372</v>
      </c>
      <c r="E22" s="149">
        <f>SUM(E24:E27)</f>
        <v>4415.2</v>
      </c>
      <c r="F22" s="151">
        <f>SUM(F24:F27)</f>
        <v>389.68342743817789</v>
      </c>
      <c r="G22" s="152">
        <f>SUM(G24:G27)</f>
        <v>4093.2000000000003</v>
      </c>
      <c r="H22" s="153">
        <f>G22/E22*100</f>
        <v>92.707012139880419</v>
      </c>
      <c r="I22" s="116">
        <f>SUM(I24:I27)</f>
        <v>4224.5</v>
      </c>
      <c r="J22" s="145">
        <f>SUM(J24:J27)</f>
        <v>0</v>
      </c>
      <c r="K22" s="145"/>
      <c r="L22" s="145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</row>
    <row r="23" spans="1:63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591"/>
      <c r="L23" s="6"/>
      <c r="M23" s="44"/>
      <c r="N23" s="977"/>
      <c r="O23" s="6"/>
      <c r="P23" s="595"/>
      <c r="Q23" s="1182"/>
      <c r="R23" s="1254"/>
      <c r="S23" s="595"/>
      <c r="T23" s="595"/>
      <c r="U23" s="1733"/>
      <c r="V23" s="1733"/>
      <c r="W23" s="1733"/>
      <c r="X23" s="1733"/>
      <c r="Y23" s="1733"/>
      <c r="Z23" s="1733"/>
      <c r="AA23" s="595"/>
      <c r="AB23" s="968"/>
      <c r="AC23" s="595"/>
      <c r="AD23" s="1559"/>
      <c r="AE23" s="1559"/>
      <c r="AF23" s="1559"/>
      <c r="AG23" s="1559"/>
      <c r="AH23" s="1583"/>
      <c r="AI23" s="1583"/>
      <c r="AJ23" s="1583"/>
      <c r="AK23" s="1583"/>
      <c r="AL23" s="1733"/>
      <c r="AM23" s="1733"/>
      <c r="AN23" s="2074"/>
      <c r="AO23" s="2074"/>
      <c r="AP23" s="2074"/>
      <c r="AQ23" s="2074"/>
      <c r="AR23" s="1733"/>
      <c r="AS23" s="1733"/>
      <c r="AT23" s="2074"/>
      <c r="AU23" s="2074"/>
      <c r="AV23" s="2074"/>
      <c r="AW23" s="2074"/>
      <c r="AX23" s="2074"/>
      <c r="AY23" s="2074"/>
      <c r="AZ23" s="2074"/>
      <c r="BA23" s="2074"/>
      <c r="BB23" s="2074"/>
      <c r="BC23" s="2074"/>
      <c r="BD23" s="2074"/>
      <c r="BE23" s="2074"/>
      <c r="BF23" s="2382"/>
      <c r="BG23" s="2382"/>
      <c r="BH23" s="2382"/>
      <c r="BI23" s="2382"/>
      <c r="BJ23" s="2382"/>
      <c r="BK23" s="2382"/>
    </row>
    <row r="24" spans="1:63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591"/>
      <c r="L24" s="11">
        <v>2188.8000000000002</v>
      </c>
      <c r="M24" s="44">
        <v>2632</v>
      </c>
      <c r="N24" s="977"/>
      <c r="O24" s="6"/>
      <c r="P24" s="595"/>
      <c r="Q24" s="1182"/>
      <c r="R24" s="1254"/>
      <c r="S24" s="595"/>
      <c r="T24" s="595"/>
      <c r="U24" s="1733"/>
      <c r="V24" s="1733"/>
      <c r="W24" s="1733"/>
      <c r="X24" s="1733"/>
      <c r="Y24" s="1733"/>
      <c r="Z24" s="1733"/>
      <c r="AA24" s="595"/>
      <c r="AB24" s="968"/>
      <c r="AC24" s="595"/>
      <c r="AD24" s="1559"/>
      <c r="AE24" s="1559"/>
      <c r="AF24" s="1559"/>
      <c r="AG24" s="1559"/>
      <c r="AH24" s="1583"/>
      <c r="AI24" s="1583"/>
      <c r="AJ24" s="1583"/>
      <c r="AK24" s="1583"/>
      <c r="AL24" s="1733"/>
      <c r="AM24" s="1733"/>
      <c r="AN24" s="2074"/>
      <c r="AO24" s="2074"/>
      <c r="AP24" s="2074"/>
      <c r="AQ24" s="2074"/>
      <c r="AR24" s="1733"/>
      <c r="AS24" s="1733"/>
      <c r="AT24" s="2074"/>
      <c r="AU24" s="2074"/>
      <c r="AV24" s="2074"/>
      <c r="AW24" s="2074"/>
      <c r="AX24" s="2074"/>
      <c r="AY24" s="2074"/>
      <c r="AZ24" s="2074"/>
      <c r="BA24" s="2074"/>
      <c r="BB24" s="2074"/>
      <c r="BC24" s="2074"/>
      <c r="BD24" s="2074"/>
      <c r="BE24" s="2074"/>
      <c r="BF24" s="2382"/>
      <c r="BG24" s="2382"/>
      <c r="BH24" s="2382"/>
      <c r="BI24" s="2382"/>
      <c r="BJ24" s="2382"/>
      <c r="BK24" s="2382"/>
    </row>
    <row r="25" spans="1:63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591"/>
      <c r="L25" s="11"/>
      <c r="M25" s="44"/>
      <c r="N25" s="977"/>
      <c r="O25" s="6"/>
      <c r="P25" s="595"/>
      <c r="Q25" s="1182"/>
      <c r="R25" s="1254"/>
      <c r="S25" s="595"/>
      <c r="T25" s="595"/>
      <c r="U25" s="1733"/>
      <c r="V25" s="1733"/>
      <c r="W25" s="1733"/>
      <c r="X25" s="1733"/>
      <c r="Y25" s="1733"/>
      <c r="Z25" s="1733"/>
      <c r="AA25" s="595"/>
      <c r="AB25" s="968"/>
      <c r="AC25" s="595"/>
      <c r="AD25" s="1559"/>
      <c r="AE25" s="1559"/>
      <c r="AF25" s="1559"/>
      <c r="AG25" s="1559"/>
      <c r="AH25" s="1583"/>
      <c r="AI25" s="1583"/>
      <c r="AJ25" s="1583"/>
      <c r="AK25" s="1583"/>
      <c r="AL25" s="1733"/>
      <c r="AM25" s="1733"/>
      <c r="AN25" s="2074"/>
      <c r="AO25" s="2074"/>
      <c r="AP25" s="2074"/>
      <c r="AQ25" s="2074"/>
      <c r="AR25" s="1733"/>
      <c r="AS25" s="1733"/>
      <c r="AT25" s="2074"/>
      <c r="AU25" s="2074"/>
      <c r="AV25" s="2074"/>
      <c r="AW25" s="2074"/>
      <c r="AX25" s="2074"/>
      <c r="AY25" s="2074"/>
      <c r="AZ25" s="2074"/>
      <c r="BA25" s="2074"/>
      <c r="BB25" s="2074"/>
      <c r="BC25" s="2074"/>
      <c r="BD25" s="2074"/>
      <c r="BE25" s="2074"/>
      <c r="BF25" s="2382"/>
      <c r="BG25" s="2382"/>
      <c r="BH25" s="2382"/>
      <c r="BI25" s="2382"/>
      <c r="BJ25" s="2382"/>
      <c r="BK25" s="2382"/>
    </row>
    <row r="26" spans="1:63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591"/>
      <c r="L26" s="11">
        <v>755.4</v>
      </c>
      <c r="M26" s="44">
        <v>1035</v>
      </c>
      <c r="N26" s="977"/>
      <c r="O26" s="6"/>
      <c r="P26" s="595"/>
      <c r="Q26" s="1182"/>
      <c r="R26" s="1254"/>
      <c r="S26" s="595"/>
      <c r="T26" s="595"/>
      <c r="U26" s="1733"/>
      <c r="V26" s="1733"/>
      <c r="W26" s="1733"/>
      <c r="X26" s="1733"/>
      <c r="Y26" s="1733"/>
      <c r="Z26" s="1733"/>
      <c r="AA26" s="595"/>
      <c r="AB26" s="968"/>
      <c r="AC26" s="595"/>
      <c r="AD26" s="1559"/>
      <c r="AE26" s="1559"/>
      <c r="AF26" s="1559"/>
      <c r="AG26" s="1559"/>
      <c r="AH26" s="1583"/>
      <c r="AI26" s="1583"/>
      <c r="AJ26" s="1583"/>
      <c r="AK26" s="1583"/>
      <c r="AL26" s="1733"/>
      <c r="AM26" s="1733"/>
      <c r="AN26" s="2074"/>
      <c r="AO26" s="2074"/>
      <c r="AP26" s="2074"/>
      <c r="AQ26" s="2074"/>
      <c r="AR26" s="1733"/>
      <c r="AS26" s="1733"/>
      <c r="AT26" s="2074"/>
      <c r="AU26" s="2074"/>
      <c r="AV26" s="2074"/>
      <c r="AW26" s="2074"/>
      <c r="AX26" s="2074"/>
      <c r="AY26" s="2074"/>
      <c r="AZ26" s="2074"/>
      <c r="BA26" s="2074"/>
      <c r="BB26" s="2074"/>
      <c r="BC26" s="2074"/>
      <c r="BD26" s="2074"/>
      <c r="BE26" s="2074"/>
      <c r="BF26" s="2382"/>
      <c r="BG26" s="2382"/>
      <c r="BH26" s="2382"/>
      <c r="BI26" s="2382"/>
      <c r="BJ26" s="2382"/>
      <c r="BK26" s="2382"/>
    </row>
    <row r="27" spans="1:63" ht="13.5" hidden="1" thickBot="1" x14ac:dyDescent="0.25">
      <c r="A27" s="36" t="s">
        <v>67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980"/>
      <c r="O27" s="53"/>
      <c r="P27" s="53"/>
      <c r="Q27" s="969"/>
      <c r="R27" s="1255"/>
      <c r="S27" s="53"/>
      <c r="T27" s="53"/>
      <c r="U27" s="1584"/>
      <c r="V27" s="1584"/>
      <c r="W27" s="1584"/>
      <c r="X27" s="1584"/>
      <c r="Y27" s="1584"/>
      <c r="Z27" s="1584"/>
      <c r="AA27" s="53"/>
      <c r="AB27" s="969"/>
      <c r="AC27" s="53"/>
      <c r="AD27" s="1255"/>
      <c r="AE27" s="1255"/>
      <c r="AF27" s="1255"/>
      <c r="AG27" s="1255"/>
      <c r="AH27" s="1584"/>
      <c r="AI27" s="1584"/>
      <c r="AJ27" s="1584"/>
      <c r="AK27" s="1584"/>
      <c r="AL27" s="1584"/>
      <c r="AM27" s="1584"/>
      <c r="AN27" s="2075"/>
      <c r="AO27" s="2075"/>
      <c r="AP27" s="2075"/>
      <c r="AQ27" s="2075"/>
      <c r="AR27" s="1584"/>
      <c r="AS27" s="1584"/>
      <c r="AT27" s="2075"/>
      <c r="AU27" s="2075"/>
      <c r="AV27" s="2075"/>
      <c r="AW27" s="2075"/>
      <c r="AX27" s="2075"/>
      <c r="AY27" s="2075"/>
      <c r="AZ27" s="2075"/>
      <c r="BA27" s="2075"/>
      <c r="BB27" s="2075"/>
      <c r="BC27" s="2075"/>
      <c r="BD27" s="2075"/>
      <c r="BE27" s="2075"/>
      <c r="BF27" s="2585"/>
      <c r="BG27" s="2585"/>
      <c r="BH27" s="2585"/>
      <c r="BI27" s="2585"/>
      <c r="BJ27" s="2585"/>
      <c r="BK27" s="2585"/>
    </row>
    <row r="28" spans="1:63" hidden="1" x14ac:dyDescent="0.2">
      <c r="A28" s="231" t="s">
        <v>352</v>
      </c>
      <c r="E28" s="159">
        <f>E11/E10</f>
        <v>9.1606584752169151E-2</v>
      </c>
      <c r="F28" s="159">
        <f t="shared" ref="F28:M28" si="1">F11/F10</f>
        <v>1.257886347624589</v>
      </c>
      <c r="G28" s="159">
        <f t="shared" si="1"/>
        <v>0.10467102198760286</v>
      </c>
      <c r="I28" s="159">
        <f t="shared" si="1"/>
        <v>0.12638344521031369</v>
      </c>
      <c r="J28" s="159" t="e">
        <f t="shared" si="1"/>
        <v>#DIV/0!</v>
      </c>
      <c r="K28" s="159"/>
      <c r="L28" s="159">
        <f t="shared" si="1"/>
        <v>8.7101951431699895E-2</v>
      </c>
      <c r="M28" s="159">
        <f t="shared" si="1"/>
        <v>0.1315493084651079</v>
      </c>
      <c r="N28" s="159"/>
    </row>
    <row r="29" spans="1:63" hidden="1" x14ac:dyDescent="0.2">
      <c r="A29" s="105" t="s">
        <v>239</v>
      </c>
    </row>
    <row r="30" spans="1:63" hidden="1" x14ac:dyDescent="0.2">
      <c r="A30" s="105"/>
    </row>
    <row r="31" spans="1:63" hidden="1" x14ac:dyDescent="0.2">
      <c r="A31" s="105"/>
    </row>
    <row r="32" spans="1:63" ht="34.5" hidden="1" customHeight="1" x14ac:dyDescent="0.25">
      <c r="A32" s="5042" t="s">
        <v>231</v>
      </c>
      <c r="B32" s="5042"/>
      <c r="C32" s="5042"/>
      <c r="D32" s="5042"/>
      <c r="E32" s="5042"/>
      <c r="F32" s="5042"/>
      <c r="G32" s="5042"/>
      <c r="H32" s="5042"/>
      <c r="I32" s="5042"/>
      <c r="J32" s="5042"/>
      <c r="K32" s="5042"/>
      <c r="L32" s="5042"/>
    </row>
    <row r="33" spans="1:92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92" ht="34.5" customHeight="1" thickBot="1" x14ac:dyDescent="0.35">
      <c r="A34" s="5513" t="s">
        <v>525</v>
      </c>
      <c r="B34" s="2369"/>
      <c r="C34" s="2369"/>
      <c r="D34" s="2369"/>
      <c r="E34" s="5500" t="s">
        <v>230</v>
      </c>
      <c r="F34" s="5500"/>
      <c r="G34" s="5500"/>
      <c r="H34" s="5500"/>
      <c r="I34" s="5500"/>
      <c r="J34" s="5500"/>
      <c r="K34" s="5500"/>
      <c r="L34" s="5500" t="s">
        <v>360</v>
      </c>
      <c r="M34" s="5500"/>
      <c r="N34" s="5500"/>
      <c r="O34" s="5500"/>
      <c r="P34" s="5500"/>
      <c r="Q34" s="5500"/>
      <c r="R34" s="5500"/>
      <c r="S34" s="5500"/>
      <c r="T34" s="2370" t="s">
        <v>1512</v>
      </c>
      <c r="U34" s="5500" t="s">
        <v>815</v>
      </c>
      <c r="V34" s="5500"/>
      <c r="W34" s="5500" t="s">
        <v>1795</v>
      </c>
      <c r="X34" s="5500"/>
      <c r="Y34" s="5500"/>
      <c r="Z34" s="5500"/>
      <c r="AA34" s="5500"/>
      <c r="AB34" s="5500"/>
      <c r="AC34" s="5500"/>
      <c r="AD34" s="5500"/>
      <c r="AE34" s="5500"/>
      <c r="AF34" s="5500"/>
      <c r="AG34" s="5500"/>
      <c r="AH34" s="5500"/>
      <c r="AI34" s="5500"/>
      <c r="AJ34" s="5500"/>
      <c r="AK34" s="5500"/>
      <c r="AL34" s="5500"/>
      <c r="AM34" s="5500"/>
      <c r="AN34" s="5500"/>
      <c r="AO34" s="5500"/>
      <c r="AP34" s="5500"/>
      <c r="AQ34" s="5500"/>
      <c r="AR34" s="5500"/>
      <c r="AS34" s="5500"/>
      <c r="AT34" s="5500"/>
      <c r="AU34" s="5500"/>
      <c r="AV34" s="5501"/>
      <c r="AW34" s="5517"/>
      <c r="AX34" s="5491" t="s">
        <v>1797</v>
      </c>
      <c r="AY34" s="5492"/>
      <c r="AZ34" s="5492"/>
      <c r="BA34" s="5492"/>
      <c r="BB34" s="5493"/>
      <c r="BC34" s="5493"/>
      <c r="BD34" s="5493"/>
      <c r="BE34" s="5493"/>
      <c r="BF34" s="5493"/>
      <c r="BG34" s="5493"/>
      <c r="BH34" s="5493"/>
      <c r="BI34" s="5493"/>
      <c r="BJ34" s="5493"/>
      <c r="BK34" s="5493"/>
      <c r="BL34" s="5494"/>
      <c r="BM34" s="5494"/>
      <c r="BN34" s="5494"/>
      <c r="BO34" s="5494"/>
      <c r="BP34" s="5494"/>
      <c r="BQ34" s="5494"/>
      <c r="BR34" s="5494"/>
      <c r="BS34" s="5494"/>
      <c r="BT34" s="5494"/>
      <c r="BU34" s="5494"/>
      <c r="BV34" s="5494"/>
      <c r="BW34" s="5494"/>
      <c r="BX34" s="5494"/>
      <c r="BY34" s="5494"/>
      <c r="BZ34" s="5494"/>
      <c r="CA34" s="5495"/>
      <c r="CB34" s="5495"/>
      <c r="CC34" s="5495"/>
      <c r="CD34" s="5495"/>
      <c r="CE34" s="5495"/>
      <c r="CF34" s="5495"/>
      <c r="CG34" s="5495"/>
      <c r="CH34" s="5495"/>
      <c r="CI34" s="5495"/>
      <c r="CJ34" s="5495"/>
      <c r="CK34" s="5495"/>
      <c r="CL34" s="5495"/>
      <c r="CM34" s="5495"/>
      <c r="CN34" s="5496"/>
    </row>
    <row r="35" spans="1:92" ht="34.5" customHeight="1" x14ac:dyDescent="0.3">
      <c r="A35" s="5514"/>
      <c r="B35" s="4577"/>
      <c r="C35" s="4577"/>
      <c r="D35" s="4577"/>
      <c r="E35" s="5497"/>
      <c r="F35" s="5497"/>
      <c r="G35" s="5497"/>
      <c r="H35" s="5497"/>
      <c r="I35" s="5497"/>
      <c r="J35" s="5497"/>
      <c r="K35" s="5497"/>
      <c r="L35" s="5497"/>
      <c r="M35" s="5497"/>
      <c r="N35" s="5497"/>
      <c r="O35" s="5497"/>
      <c r="P35" s="5497"/>
      <c r="Q35" s="5497"/>
      <c r="R35" s="5497"/>
      <c r="S35" s="5497"/>
      <c r="T35" s="4578"/>
      <c r="U35" s="4579"/>
      <c r="V35" s="4579"/>
      <c r="W35" s="5497" t="s">
        <v>815</v>
      </c>
      <c r="X35" s="5497"/>
      <c r="Y35" s="5497"/>
      <c r="Z35" s="5497"/>
      <c r="AA35" s="5497" t="s">
        <v>1796</v>
      </c>
      <c r="AB35" s="5497"/>
      <c r="AC35" s="5497"/>
      <c r="AD35" s="5497"/>
      <c r="AE35" s="5497"/>
      <c r="AF35" s="5497"/>
      <c r="AG35" s="4578"/>
      <c r="AH35" s="4579"/>
      <c r="AI35" s="4579"/>
      <c r="AJ35" s="5497" t="s">
        <v>1514</v>
      </c>
      <c r="AK35" s="5497"/>
      <c r="AL35" s="4578"/>
      <c r="AM35" s="4578"/>
      <c r="AN35" s="5497" t="s">
        <v>892</v>
      </c>
      <c r="AO35" s="5497"/>
      <c r="AP35" s="5497"/>
      <c r="AQ35" s="5497"/>
      <c r="AR35" s="5497" t="s">
        <v>1673</v>
      </c>
      <c r="AS35" s="5497"/>
      <c r="AT35" s="5497" t="s">
        <v>893</v>
      </c>
      <c r="AU35" s="5497"/>
      <c r="AV35" s="5497" t="s">
        <v>3508</v>
      </c>
      <c r="AW35" s="5512"/>
      <c r="AX35" s="5510" t="s">
        <v>3654</v>
      </c>
      <c r="AY35" s="5511"/>
      <c r="AZ35" s="5511"/>
      <c r="BA35" s="5506"/>
      <c r="BB35" s="5510" t="s">
        <v>3657</v>
      </c>
      <c r="BC35" s="5511"/>
      <c r="BD35" s="5511"/>
      <c r="BE35" s="5506"/>
      <c r="BF35" s="5503" t="s">
        <v>3609</v>
      </c>
      <c r="BG35" s="5504"/>
      <c r="BH35" s="5503" t="s">
        <v>3610</v>
      </c>
      <c r="BI35" s="5504"/>
      <c r="BJ35" s="5503" t="s">
        <v>3608</v>
      </c>
      <c r="BK35" s="5504"/>
      <c r="BL35" s="5510" t="s">
        <v>3843</v>
      </c>
      <c r="BM35" s="5511"/>
      <c r="BN35" s="5511"/>
      <c r="BO35" s="5506"/>
      <c r="BP35" s="279"/>
      <c r="BQ35" s="5503" t="s">
        <v>3864</v>
      </c>
      <c r="BR35" s="5504"/>
      <c r="BS35" s="5503" t="s">
        <v>3865</v>
      </c>
      <c r="BT35" s="5504"/>
      <c r="BU35" s="5503" t="s">
        <v>3866</v>
      </c>
      <c r="BV35" s="5504"/>
      <c r="BW35" s="5500" t="s">
        <v>3892</v>
      </c>
      <c r="BX35" s="5501"/>
      <c r="BY35" s="5501"/>
      <c r="BZ35" s="5501"/>
      <c r="CA35" s="5486" t="s">
        <v>3926</v>
      </c>
      <c r="CB35" s="5487"/>
      <c r="CC35" s="5486" t="s">
        <v>3941</v>
      </c>
      <c r="CD35" s="5487"/>
      <c r="CE35" s="5486" t="s">
        <v>3927</v>
      </c>
      <c r="CF35" s="5487"/>
      <c r="CG35" s="5500" t="s">
        <v>3982</v>
      </c>
      <c r="CH35" s="5501"/>
      <c r="CI35" s="5501"/>
      <c r="CJ35" s="5501"/>
      <c r="CK35" s="5486" t="s">
        <v>4254</v>
      </c>
      <c r="CL35" s="5487"/>
      <c r="CM35" s="5486" t="s">
        <v>4252</v>
      </c>
      <c r="CN35" s="5489"/>
    </row>
    <row r="36" spans="1:92" ht="35.25" customHeight="1" x14ac:dyDescent="0.3">
      <c r="A36" s="5514"/>
      <c r="B36" s="4577"/>
      <c r="C36" s="4577"/>
      <c r="D36" s="4577"/>
      <c r="E36" s="5498" t="s">
        <v>510</v>
      </c>
      <c r="F36" s="5498" t="s">
        <v>152</v>
      </c>
      <c r="G36" s="5498" t="s">
        <v>511</v>
      </c>
      <c r="H36" s="5498" t="s">
        <v>512</v>
      </c>
      <c r="I36" s="5498" t="s">
        <v>513</v>
      </c>
      <c r="J36" s="4580"/>
      <c r="K36" s="5498" t="s">
        <v>641</v>
      </c>
      <c r="L36" s="5498" t="s">
        <v>510</v>
      </c>
      <c r="M36" s="5498" t="s">
        <v>511</v>
      </c>
      <c r="N36" s="5498"/>
      <c r="O36" s="5498" t="s">
        <v>514</v>
      </c>
      <c r="P36" s="5498" t="s">
        <v>512</v>
      </c>
      <c r="Q36" s="5498"/>
      <c r="R36" s="5498" t="s">
        <v>875</v>
      </c>
      <c r="S36" s="5498"/>
      <c r="T36" s="5498" t="s">
        <v>510</v>
      </c>
      <c r="U36" s="5498" t="s">
        <v>237</v>
      </c>
      <c r="V36" s="5498"/>
      <c r="W36" s="5498" t="s">
        <v>1516</v>
      </c>
      <c r="X36" s="5498"/>
      <c r="Y36" s="5498" t="s">
        <v>1675</v>
      </c>
      <c r="Z36" s="5498"/>
      <c r="AA36" s="5498" t="s">
        <v>815</v>
      </c>
      <c r="AB36" s="5498"/>
      <c r="AC36" s="5498" t="s">
        <v>514</v>
      </c>
      <c r="AD36" s="5498" t="s">
        <v>510</v>
      </c>
      <c r="AE36" s="5498" t="s">
        <v>1513</v>
      </c>
      <c r="AF36" s="5498"/>
      <c r="AG36" s="5498" t="s">
        <v>514</v>
      </c>
      <c r="AH36" s="5498" t="s">
        <v>118</v>
      </c>
      <c r="AI36" s="5498"/>
      <c r="AJ36" s="5498" t="s">
        <v>119</v>
      </c>
      <c r="AK36" s="5498"/>
      <c r="AL36" s="5498" t="s">
        <v>118</v>
      </c>
      <c r="AM36" s="5498"/>
      <c r="AN36" s="5498" t="s">
        <v>1516</v>
      </c>
      <c r="AO36" s="5498"/>
      <c r="AP36" s="5498" t="s">
        <v>1675</v>
      </c>
      <c r="AQ36" s="5498"/>
      <c r="AR36" s="5498" t="s">
        <v>119</v>
      </c>
      <c r="AS36" s="5498"/>
      <c r="AT36" s="5498" t="s">
        <v>237</v>
      </c>
      <c r="AU36" s="5498"/>
      <c r="AV36" s="5498" t="s">
        <v>3509</v>
      </c>
      <c r="AW36" s="5512"/>
      <c r="AX36" s="5507" t="s">
        <v>3652</v>
      </c>
      <c r="AY36" s="5508"/>
      <c r="AZ36" s="5507" t="s">
        <v>3653</v>
      </c>
      <c r="BA36" s="5508"/>
      <c r="BB36" s="5507" t="s">
        <v>3655</v>
      </c>
      <c r="BC36" s="5508"/>
      <c r="BD36" s="5507" t="s">
        <v>3656</v>
      </c>
      <c r="BE36" s="5508"/>
      <c r="BF36" s="5505"/>
      <c r="BG36" s="5506"/>
      <c r="BH36" s="5505"/>
      <c r="BI36" s="5506"/>
      <c r="BJ36" s="5505"/>
      <c r="BK36" s="5506"/>
      <c r="BL36" s="5507" t="s">
        <v>3844</v>
      </c>
      <c r="BM36" s="5508"/>
      <c r="BN36" s="5507" t="s">
        <v>3845</v>
      </c>
      <c r="BO36" s="5508"/>
      <c r="BP36" s="279"/>
      <c r="BQ36" s="5505"/>
      <c r="BR36" s="5506"/>
      <c r="BS36" s="5505"/>
      <c r="BT36" s="5506"/>
      <c r="BU36" s="5505"/>
      <c r="BV36" s="5506"/>
      <c r="BW36" s="5497" t="s">
        <v>3894</v>
      </c>
      <c r="BX36" s="5502"/>
      <c r="BY36" s="5497" t="s">
        <v>3893</v>
      </c>
      <c r="BZ36" s="5502"/>
      <c r="CA36" s="5488"/>
      <c r="CB36" s="5488"/>
      <c r="CC36" s="5488"/>
      <c r="CD36" s="5488"/>
      <c r="CE36" s="5488"/>
      <c r="CF36" s="5488"/>
      <c r="CG36" s="5497" t="s">
        <v>3984</v>
      </c>
      <c r="CH36" s="5502"/>
      <c r="CI36" s="5497" t="s">
        <v>3985</v>
      </c>
      <c r="CJ36" s="5502"/>
      <c r="CK36" s="5488"/>
      <c r="CL36" s="5488"/>
      <c r="CM36" s="5488"/>
      <c r="CN36" s="5490"/>
    </row>
    <row r="37" spans="1:92" ht="38.25" thickBot="1" x14ac:dyDescent="0.3">
      <c r="A37" s="5515"/>
      <c r="B37" s="4581"/>
      <c r="C37" s="4581"/>
      <c r="D37" s="4581"/>
      <c r="E37" s="5509"/>
      <c r="F37" s="5509"/>
      <c r="G37" s="5509"/>
      <c r="H37" s="5509"/>
      <c r="I37" s="5509"/>
      <c r="J37" s="4581"/>
      <c r="K37" s="5509"/>
      <c r="L37" s="5509"/>
      <c r="M37" s="4582" t="s">
        <v>366</v>
      </c>
      <c r="N37" s="4582" t="s">
        <v>25</v>
      </c>
      <c r="O37" s="5516"/>
      <c r="P37" s="4582" t="s">
        <v>366</v>
      </c>
      <c r="Q37" s="4582" t="s">
        <v>25</v>
      </c>
      <c r="R37" s="4582" t="s">
        <v>366</v>
      </c>
      <c r="S37" s="4582" t="s">
        <v>25</v>
      </c>
      <c r="T37" s="5509"/>
      <c r="U37" s="4582" t="s">
        <v>366</v>
      </c>
      <c r="V37" s="4582" t="s">
        <v>25</v>
      </c>
      <c r="W37" s="4582" t="s">
        <v>366</v>
      </c>
      <c r="X37" s="4582" t="s">
        <v>25</v>
      </c>
      <c r="Y37" s="4582" t="s">
        <v>366</v>
      </c>
      <c r="Z37" s="4582" t="s">
        <v>25</v>
      </c>
      <c r="AA37" s="4582" t="s">
        <v>366</v>
      </c>
      <c r="AB37" s="4582" t="s">
        <v>25</v>
      </c>
      <c r="AC37" s="5516"/>
      <c r="AD37" s="5509"/>
      <c r="AE37" s="4582" t="s">
        <v>366</v>
      </c>
      <c r="AF37" s="4582" t="s">
        <v>25</v>
      </c>
      <c r="AG37" s="5516"/>
      <c r="AH37" s="4582" t="s">
        <v>366</v>
      </c>
      <c r="AI37" s="4582" t="s">
        <v>25</v>
      </c>
      <c r="AJ37" s="4582" t="s">
        <v>366</v>
      </c>
      <c r="AK37" s="4582" t="s">
        <v>25</v>
      </c>
      <c r="AL37" s="4582" t="s">
        <v>366</v>
      </c>
      <c r="AM37" s="4582" t="s">
        <v>25</v>
      </c>
      <c r="AN37" s="4582" t="s">
        <v>366</v>
      </c>
      <c r="AO37" s="4582" t="s">
        <v>25</v>
      </c>
      <c r="AP37" s="4582" t="s">
        <v>366</v>
      </c>
      <c r="AQ37" s="4582" t="s">
        <v>25</v>
      </c>
      <c r="AR37" s="4582" t="s">
        <v>366</v>
      </c>
      <c r="AS37" s="4582" t="s">
        <v>25</v>
      </c>
      <c r="AT37" s="4582" t="s">
        <v>366</v>
      </c>
      <c r="AU37" s="4582" t="s">
        <v>25</v>
      </c>
      <c r="AV37" s="4582" t="s">
        <v>366</v>
      </c>
      <c r="AW37" s="4582" t="s">
        <v>25</v>
      </c>
      <c r="AX37" s="4582" t="s">
        <v>366</v>
      </c>
      <c r="AY37" s="4582" t="s">
        <v>25</v>
      </c>
      <c r="AZ37" s="4582" t="s">
        <v>366</v>
      </c>
      <c r="BA37" s="4582" t="s">
        <v>25</v>
      </c>
      <c r="BB37" s="4582" t="s">
        <v>366</v>
      </c>
      <c r="BC37" s="4582" t="s">
        <v>25</v>
      </c>
      <c r="BD37" s="4582" t="s">
        <v>366</v>
      </c>
      <c r="BE37" s="4582" t="s">
        <v>25</v>
      </c>
      <c r="BF37" s="4582" t="s">
        <v>366</v>
      </c>
      <c r="BG37" s="4582" t="s">
        <v>25</v>
      </c>
      <c r="BH37" s="4582" t="s">
        <v>366</v>
      </c>
      <c r="BI37" s="4582" t="s">
        <v>25</v>
      </c>
      <c r="BJ37" s="4582" t="s">
        <v>366</v>
      </c>
      <c r="BK37" s="4582" t="s">
        <v>25</v>
      </c>
      <c r="BL37" s="4582" t="s">
        <v>366</v>
      </c>
      <c r="BM37" s="4582" t="s">
        <v>25</v>
      </c>
      <c r="BN37" s="4582" t="s">
        <v>366</v>
      </c>
      <c r="BO37" s="4582" t="s">
        <v>25</v>
      </c>
      <c r="BP37" s="279"/>
      <c r="BQ37" s="4582" t="s">
        <v>366</v>
      </c>
      <c r="BR37" s="4582" t="s">
        <v>25</v>
      </c>
      <c r="BS37" s="4582" t="s">
        <v>366</v>
      </c>
      <c r="BT37" s="4582" t="s">
        <v>25</v>
      </c>
      <c r="BU37" s="4582" t="s">
        <v>366</v>
      </c>
      <c r="BV37" s="4582" t="s">
        <v>25</v>
      </c>
      <c r="BW37" s="4583" t="s">
        <v>366</v>
      </c>
      <c r="BX37" s="4583" t="s">
        <v>25</v>
      </c>
      <c r="BY37" s="4583" t="s">
        <v>366</v>
      </c>
      <c r="BZ37" s="4583" t="s">
        <v>25</v>
      </c>
      <c r="CA37" s="4583" t="s">
        <v>366</v>
      </c>
      <c r="CB37" s="4583" t="s">
        <v>25</v>
      </c>
      <c r="CC37" s="4583" t="s">
        <v>366</v>
      </c>
      <c r="CD37" s="4583" t="s">
        <v>25</v>
      </c>
      <c r="CE37" s="4583" t="s">
        <v>366</v>
      </c>
      <c r="CF37" s="4583" t="s">
        <v>25</v>
      </c>
      <c r="CG37" s="4583" t="s">
        <v>366</v>
      </c>
      <c r="CH37" s="4583" t="s">
        <v>25</v>
      </c>
      <c r="CI37" s="4583" t="s">
        <v>366</v>
      </c>
      <c r="CJ37" s="4583" t="s">
        <v>25</v>
      </c>
      <c r="CK37" s="3909" t="s">
        <v>366</v>
      </c>
      <c r="CL37" s="3909" t="s">
        <v>25</v>
      </c>
      <c r="CM37" s="3909" t="s">
        <v>366</v>
      </c>
      <c r="CN37" s="4584" t="s">
        <v>25</v>
      </c>
    </row>
    <row r="38" spans="1:92" ht="20.100000000000001" customHeight="1" thickBot="1" x14ac:dyDescent="0.3">
      <c r="A38" s="4999" t="s">
        <v>508</v>
      </c>
      <c r="B38" s="5000"/>
      <c r="C38" s="5000"/>
      <c r="D38" s="5000"/>
      <c r="E38" s="5000"/>
      <c r="F38" s="5000"/>
      <c r="G38" s="5000"/>
      <c r="H38" s="5000"/>
      <c r="I38" s="5000"/>
      <c r="J38" s="5000"/>
      <c r="K38" s="5000"/>
      <c r="L38" s="5000"/>
      <c r="M38" s="5000"/>
      <c r="N38" s="5000"/>
      <c r="O38" s="5000"/>
      <c r="P38" s="5000"/>
      <c r="Q38" s="5000"/>
      <c r="R38" s="5000"/>
      <c r="S38" s="5000"/>
      <c r="T38" s="5000"/>
      <c r="U38" s="5000"/>
      <c r="V38" s="5000"/>
      <c r="W38" s="5000"/>
      <c r="X38" s="5000"/>
      <c r="Y38" s="5000"/>
      <c r="Z38" s="5000"/>
      <c r="AA38" s="5000"/>
      <c r="AB38" s="5000"/>
      <c r="AC38" s="5000"/>
      <c r="AD38" s="5000"/>
      <c r="AE38" s="5000"/>
      <c r="AF38" s="5000"/>
      <c r="AG38" s="5000"/>
      <c r="AH38" s="5000"/>
      <c r="AI38" s="5000"/>
      <c r="AJ38" s="5000"/>
      <c r="AK38" s="5000"/>
      <c r="AL38" s="5000"/>
      <c r="AM38" s="5000"/>
      <c r="AN38" s="5000"/>
      <c r="AO38" s="5000"/>
      <c r="AP38" s="5000"/>
      <c r="AQ38" s="5000"/>
      <c r="AR38" s="5000"/>
      <c r="AS38" s="5000"/>
      <c r="AT38" s="5000"/>
      <c r="AU38" s="5000"/>
      <c r="AV38" s="5000"/>
      <c r="AW38" s="5000"/>
      <c r="AX38" s="5000"/>
      <c r="AY38" s="5000"/>
      <c r="AZ38" s="5000"/>
      <c r="BA38" s="5000"/>
      <c r="BB38" s="5000"/>
      <c r="BC38" s="5000"/>
      <c r="BD38" s="5000"/>
      <c r="BE38" s="5000"/>
      <c r="BF38" s="5000"/>
      <c r="BG38" s="5000"/>
      <c r="BH38" s="5000"/>
      <c r="BI38" s="5000"/>
      <c r="BJ38" s="5000"/>
      <c r="BK38" s="5000"/>
      <c r="BL38" s="5495"/>
      <c r="BM38" s="5495"/>
      <c r="BN38" s="5495"/>
      <c r="BO38" s="5495"/>
      <c r="BP38" s="5495"/>
      <c r="BQ38" s="5495"/>
      <c r="BR38" s="5495"/>
      <c r="BS38" s="5495"/>
      <c r="BT38" s="5495"/>
      <c r="BU38" s="5495"/>
      <c r="BV38" s="5495"/>
      <c r="BW38" s="5495"/>
      <c r="BX38" s="5495"/>
      <c r="BY38" s="5495"/>
      <c r="BZ38" s="5495"/>
      <c r="CA38" s="5495"/>
      <c r="CB38" s="5495"/>
      <c r="CC38" s="5495"/>
      <c r="CD38" s="5495"/>
      <c r="CE38" s="5495"/>
      <c r="CF38" s="5495"/>
      <c r="CG38" s="5495"/>
      <c r="CH38" s="5495"/>
      <c r="CI38" s="5495"/>
      <c r="CJ38" s="5495"/>
      <c r="CK38" s="5495"/>
      <c r="CL38" s="5495"/>
      <c r="CM38" s="5495"/>
      <c r="CN38" s="5496"/>
    </row>
    <row r="39" spans="1:92" ht="36" customHeight="1" x14ac:dyDescent="0.2">
      <c r="A39" s="3041" t="s">
        <v>519</v>
      </c>
      <c r="B39" s="3042"/>
      <c r="C39" s="3042"/>
      <c r="D39" s="3042"/>
      <c r="E39" s="3043">
        <f>E42+E44</f>
        <v>5875</v>
      </c>
      <c r="F39" s="3044" t="e">
        <f>E39/C39*100</f>
        <v>#DIV/0!</v>
      </c>
      <c r="G39" s="3043" t="e">
        <f>SUM(G42:G44)</f>
        <v>#REF!</v>
      </c>
      <c r="H39" s="3043">
        <f>SUM(H42:H44)-H43</f>
        <v>3493.3</v>
      </c>
      <c r="I39" s="3043">
        <f>SUM(I42:I44)-I43</f>
        <v>5158</v>
      </c>
      <c r="J39" s="3043">
        <f>SUM(J42:J44)-J43</f>
        <v>0</v>
      </c>
      <c r="K39" s="3045">
        <f>SUM(K40:K41)</f>
        <v>6977.9000000000005</v>
      </c>
      <c r="L39" s="3045">
        <f>SUM(L40:L41)</f>
        <v>5800.03</v>
      </c>
      <c r="M39" s="3045">
        <f>SUM(M40:M41)</f>
        <v>5561.39</v>
      </c>
      <c r="N39" s="3045">
        <f>N41</f>
        <v>46.13</v>
      </c>
      <c r="O39" s="3045" t="e">
        <f>SUM(M39/G39*100)</f>
        <v>#REF!</v>
      </c>
      <c r="P39" s="3045">
        <f t="shared" ref="P39:Q39" si="2">SUM(P40:P41)</f>
        <v>3367.79</v>
      </c>
      <c r="Q39" s="3045">
        <f t="shared" si="2"/>
        <v>13.7</v>
      </c>
      <c r="R39" s="3045">
        <f>SUM(R40:R41)</f>
        <v>6697.91</v>
      </c>
      <c r="S39" s="3045">
        <f>SUM(S40:S41)</f>
        <v>18.22</v>
      </c>
      <c r="T39" s="3045">
        <f t="shared" ref="T39:V39" si="3">SUM(T40:T41)</f>
        <v>5779.357</v>
      </c>
      <c r="U39" s="3045">
        <f t="shared" si="3"/>
        <v>4681.12</v>
      </c>
      <c r="V39" s="3045">
        <f t="shared" si="3"/>
        <v>1.95</v>
      </c>
      <c r="W39" s="3045">
        <f t="shared" ref="W39:X39" si="4">SUM(W40:W41)</f>
        <v>6329.630000000001</v>
      </c>
      <c r="X39" s="3045">
        <f t="shared" si="4"/>
        <v>2.4</v>
      </c>
      <c r="Y39" s="3045">
        <f t="shared" ref="Y39:Z39" si="5">SUM(Y40:Y41)</f>
        <v>5627.2590286425911</v>
      </c>
      <c r="Z39" s="3045">
        <f t="shared" si="5"/>
        <v>2.4</v>
      </c>
      <c r="AA39" s="2587">
        <f>SUM(AA40:AA41)</f>
        <v>5654.317</v>
      </c>
      <c r="AB39" s="2587">
        <f>SUM(AB40:AB41)</f>
        <v>21.42</v>
      </c>
      <c r="AC39" s="3045">
        <f>SUM(AA39/M39*100)</f>
        <v>101.67093118806629</v>
      </c>
      <c r="AD39" s="2587">
        <f>SUM(AD40:AD41)</f>
        <v>5782.63</v>
      </c>
      <c r="AE39" s="2587">
        <f>SUM(AE40:AE41)</f>
        <v>5538.98</v>
      </c>
      <c r="AF39" s="2587">
        <f>SUM(AF40:AF41)</f>
        <v>21.42</v>
      </c>
      <c r="AG39" s="3043">
        <f>SUM(AE39/Q39*100)</f>
        <v>40430.510948905103</v>
      </c>
      <c r="AH39" s="2587">
        <f t="shared" ref="AH39:BA39" si="6">SUM(AH40:AH41)</f>
        <v>5618.25</v>
      </c>
      <c r="AI39" s="2587">
        <f t="shared" si="6"/>
        <v>18</v>
      </c>
      <c r="AJ39" s="2587">
        <f t="shared" si="6"/>
        <v>5550.3362214411945</v>
      </c>
      <c r="AK39" s="2587">
        <f t="shared" si="6"/>
        <v>20.349</v>
      </c>
      <c r="AL39" s="2587">
        <f t="shared" si="6"/>
        <v>1850</v>
      </c>
      <c r="AM39" s="2587">
        <f t="shared" si="6"/>
        <v>20</v>
      </c>
      <c r="AN39" s="2587">
        <f t="shared" si="6"/>
        <v>6766</v>
      </c>
      <c r="AO39" s="2587">
        <f t="shared" si="6"/>
        <v>1.77</v>
      </c>
      <c r="AP39" s="2587">
        <f t="shared" si="6"/>
        <v>5955.747459526774</v>
      </c>
      <c r="AQ39" s="2587">
        <f t="shared" si="6"/>
        <v>1.77</v>
      </c>
      <c r="AR39" s="2587">
        <f t="shared" si="6"/>
        <v>5304.8611437166173</v>
      </c>
      <c r="AS39" s="2587">
        <f t="shared" si="6"/>
        <v>21.42</v>
      </c>
      <c r="AT39" s="2587">
        <f t="shared" ref="AT39:AU39" si="7">SUM(AT40:AT41)</f>
        <v>5254.5210000000006</v>
      </c>
      <c r="AU39" s="2587">
        <f t="shared" si="7"/>
        <v>1.171</v>
      </c>
      <c r="AV39" s="2587">
        <f t="shared" ref="AV39:AW39" si="8">SUM(AV40:AV41)</f>
        <v>7136.38</v>
      </c>
      <c r="AW39" s="2587">
        <f t="shared" si="8"/>
        <v>1.33</v>
      </c>
      <c r="AX39" s="2587">
        <f t="shared" si="6"/>
        <v>6145</v>
      </c>
      <c r="AY39" s="2587">
        <f t="shared" si="6"/>
        <v>5</v>
      </c>
      <c r="AZ39" s="2587">
        <f t="shared" si="6"/>
        <v>6253.3816796622659</v>
      </c>
      <c r="BA39" s="2587">
        <f t="shared" si="6"/>
        <v>1.77</v>
      </c>
      <c r="BB39" s="2587">
        <f t="shared" ref="BB39:BC39" si="9">SUM(BB40:BB41)</f>
        <v>6253.3816796622659</v>
      </c>
      <c r="BC39" s="2587">
        <f t="shared" si="9"/>
        <v>1.77</v>
      </c>
      <c r="BD39" s="2587">
        <f t="shared" ref="BD39:BE39" si="10">SUM(BD40:BD41)</f>
        <v>5933.7859999999991</v>
      </c>
      <c r="BE39" s="2587">
        <f t="shared" si="10"/>
        <v>1.77</v>
      </c>
      <c r="BF39" s="2587">
        <f t="shared" ref="BF39:BG39" si="11">SUM(BF40:BF41)</f>
        <v>3480.3870000000002</v>
      </c>
      <c r="BG39" s="2587">
        <f t="shared" si="11"/>
        <v>0.55800000000000005</v>
      </c>
      <c r="BH39" s="2587">
        <f t="shared" ref="BH39:BI39" si="12">SUM(BH40:BH41)</f>
        <v>5262.8230000000003</v>
      </c>
      <c r="BI39" s="2587">
        <f t="shared" si="12"/>
        <v>0.82899999999999996</v>
      </c>
      <c r="BJ39" s="2587">
        <f t="shared" ref="BJ39:BM39" si="13">SUM(BJ40:BJ41)</f>
        <v>6957.982</v>
      </c>
      <c r="BK39" s="2587">
        <f t="shared" si="13"/>
        <v>1.129</v>
      </c>
      <c r="BL39" s="2587">
        <f t="shared" si="13"/>
        <v>5933.7859999999991</v>
      </c>
      <c r="BM39" s="2587">
        <f t="shared" si="13"/>
        <v>1.77</v>
      </c>
      <c r="BN39" s="2587">
        <f t="shared" ref="BN39:BO39" si="14">SUM(BN40:BN41)</f>
        <v>5987.92</v>
      </c>
      <c r="BO39" s="2587">
        <f t="shared" si="14"/>
        <v>1.7698</v>
      </c>
      <c r="BP39" s="279"/>
      <c r="BQ39" s="3605">
        <f t="shared" ref="BQ39:BX39" si="15">SUM(BQ40:BQ41)</f>
        <v>3251.1729999999998</v>
      </c>
      <c r="BR39" s="2381">
        <f t="shared" si="15"/>
        <v>0.54100000000000004</v>
      </c>
      <c r="BS39" s="2381">
        <f t="shared" si="15"/>
        <v>4710.8989999999994</v>
      </c>
      <c r="BT39" s="2381">
        <f t="shared" si="15"/>
        <v>0.72599999999999998</v>
      </c>
      <c r="BU39" s="2587">
        <f t="shared" si="15"/>
        <v>6222.817</v>
      </c>
      <c r="BV39" s="3607">
        <f t="shared" si="15"/>
        <v>0.93200000000000005</v>
      </c>
      <c r="BW39" s="3898">
        <f t="shared" si="15"/>
        <v>5987.92</v>
      </c>
      <c r="BX39" s="3898">
        <f t="shared" si="15"/>
        <v>1.7698</v>
      </c>
      <c r="BY39" s="3898">
        <f t="shared" ref="BY39:CB39" si="16">SUM(BY40:BY41)</f>
        <v>5981.942</v>
      </c>
      <c r="BZ39" s="3898">
        <f t="shared" si="16"/>
        <v>1.7698</v>
      </c>
      <c r="CA39" s="3899">
        <f t="shared" si="16"/>
        <v>2917.3690000000001</v>
      </c>
      <c r="CB39" s="3899">
        <f t="shared" si="16"/>
        <v>0.41399999999999998</v>
      </c>
      <c r="CC39" s="3899">
        <f t="shared" ref="CC39:CD39" si="17">SUM(CC40:CC41)</f>
        <v>4157.8069999999998</v>
      </c>
      <c r="CD39" s="3899">
        <f t="shared" si="17"/>
        <v>0.59799999999999998</v>
      </c>
      <c r="CE39" s="3898">
        <f t="shared" ref="CE39:CH39" si="18">SUM(CE40:CE41)</f>
        <v>5586.9679999999998</v>
      </c>
      <c r="CF39" s="3898">
        <f t="shared" si="18"/>
        <v>0.78200000000000003</v>
      </c>
      <c r="CG39" s="3563">
        <f t="shared" si="18"/>
        <v>5981.942</v>
      </c>
      <c r="CH39" s="3563">
        <f t="shared" si="18"/>
        <v>1.7698</v>
      </c>
      <c r="CI39" s="3563">
        <f t="shared" ref="CI39:CN39" si="19">SUM(CI40:CI41)</f>
        <v>6071.3003322000004</v>
      </c>
      <c r="CJ39" s="3563">
        <f t="shared" si="19"/>
        <v>1.351</v>
      </c>
      <c r="CK39" s="3899">
        <f t="shared" ref="CK39:CL39" si="20">SUM(CK40:CK41)</f>
        <v>2574.81</v>
      </c>
      <c r="CL39" s="3899">
        <f t="shared" si="20"/>
        <v>0.79100000000000004</v>
      </c>
      <c r="CM39" s="3899">
        <f t="shared" si="19"/>
        <v>4915.5959999999995</v>
      </c>
      <c r="CN39" s="4670">
        <f t="shared" si="19"/>
        <v>0.79100000000000004</v>
      </c>
    </row>
    <row r="40" spans="1:92" ht="36" customHeight="1" x14ac:dyDescent="0.2">
      <c r="A40" s="4484" t="s">
        <v>518</v>
      </c>
      <c r="B40" s="4585"/>
      <c r="C40" s="4585"/>
      <c r="D40" s="4585"/>
      <c r="E40" s="4586">
        <f>SUM(E39-E41)</f>
        <v>5850</v>
      </c>
      <c r="F40" s="4587"/>
      <c r="G40" s="4586" t="e">
        <f>SUM(G39-G41)</f>
        <v>#REF!</v>
      </c>
      <c r="H40" s="4586">
        <f>SUM(H39-H41)</f>
        <v>3465.3</v>
      </c>
      <c r="I40" s="4586">
        <f>SUM(I39-I41)</f>
        <v>5119.5</v>
      </c>
      <c r="J40" s="4588"/>
      <c r="K40" s="4589">
        <v>6928.1</v>
      </c>
      <c r="L40" s="4589">
        <v>5753.9</v>
      </c>
      <c r="M40" s="4590">
        <f>M42+M44</f>
        <v>5561.39</v>
      </c>
      <c r="N40" s="4589"/>
      <c r="O40" s="4589" t="e">
        <f t="shared" ref="O40:O70" si="21">SUM(M40/G40*100)</f>
        <v>#REF!</v>
      </c>
      <c r="P40" s="4591">
        <v>3367.79</v>
      </c>
      <c r="Q40" s="4591"/>
      <c r="R40" s="4590">
        <f>R42+R44</f>
        <v>6697.91</v>
      </c>
      <c r="S40" s="4590">
        <v>0</v>
      </c>
      <c r="T40" s="4590">
        <f t="shared" ref="T40:U40" si="22">T42+T44</f>
        <v>5757.9369999999999</v>
      </c>
      <c r="U40" s="4590">
        <f t="shared" si="22"/>
        <v>4681.12</v>
      </c>
      <c r="V40" s="4590"/>
      <c r="W40" s="4590">
        <f t="shared" ref="W40" si="23">W42+W44</f>
        <v>6329.630000000001</v>
      </c>
      <c r="X40" s="4590"/>
      <c r="Y40" s="4590">
        <f t="shared" ref="Y40" si="24">Y42+Y44</f>
        <v>5627.2590286425911</v>
      </c>
      <c r="Z40" s="4590"/>
      <c r="AA40" s="4590">
        <f>AA42+AA44</f>
        <v>5654.317</v>
      </c>
      <c r="AB40" s="4590"/>
      <c r="AC40" s="4589">
        <f>SUM(AA40/M40*100)</f>
        <v>101.67093118806629</v>
      </c>
      <c r="AD40" s="4592">
        <v>5736.5</v>
      </c>
      <c r="AE40" s="4590">
        <f>AE42+AE44</f>
        <v>5538.98</v>
      </c>
      <c r="AF40" s="4590"/>
      <c r="AG40" s="4586" t="e">
        <f>SUM(AE40/Q40*100)</f>
        <v>#DIV/0!</v>
      </c>
      <c r="AH40" s="4590">
        <f>AH42+AH44</f>
        <v>5618.25</v>
      </c>
      <c r="AI40" s="4590"/>
      <c r="AJ40" s="4590">
        <f>AJ42+AJ44</f>
        <v>5550.3362214411945</v>
      </c>
      <c r="AK40" s="4590"/>
      <c r="AL40" s="4590">
        <f>AL42+AL44</f>
        <v>1850</v>
      </c>
      <c r="AM40" s="4590"/>
      <c r="AN40" s="4590">
        <f>AN42+AN44</f>
        <v>6766</v>
      </c>
      <c r="AO40" s="4590">
        <v>0</v>
      </c>
      <c r="AP40" s="4590">
        <f t="shared" ref="AP40" si="25">AP42+AP44</f>
        <v>5955.747459526774</v>
      </c>
      <c r="AQ40" s="4590">
        <v>0</v>
      </c>
      <c r="AR40" s="4590">
        <f>AR42+AR44</f>
        <v>5304.8611437166173</v>
      </c>
      <c r="AS40" s="4590"/>
      <c r="AT40" s="4590">
        <f>AT42+AT44</f>
        <v>5254.5210000000006</v>
      </c>
      <c r="AU40" s="4590"/>
      <c r="AV40" s="4590">
        <v>7136.38</v>
      </c>
      <c r="AW40" s="4590"/>
      <c r="AX40" s="4590">
        <f>AX42+AX44</f>
        <v>6145</v>
      </c>
      <c r="AY40" s="4590"/>
      <c r="AZ40" s="4590">
        <f>AZ42+AZ44</f>
        <v>6253.3816796622659</v>
      </c>
      <c r="BA40" s="4590"/>
      <c r="BB40" s="4590">
        <f>BB42+BB44</f>
        <v>6253.3816796622659</v>
      </c>
      <c r="BC40" s="4590"/>
      <c r="BD40" s="4590">
        <f>BD42+BD44</f>
        <v>5933.7859999999991</v>
      </c>
      <c r="BE40" s="4590"/>
      <c r="BF40" s="4590">
        <f>BF42+BF44</f>
        <v>3480.3870000000002</v>
      </c>
      <c r="BG40" s="4590"/>
      <c r="BH40" s="4590">
        <f>BH42+BH44</f>
        <v>5262.8230000000003</v>
      </c>
      <c r="BI40" s="4590"/>
      <c r="BJ40" s="4590">
        <f>BJ42+BJ44</f>
        <v>6957.982</v>
      </c>
      <c r="BK40" s="4590"/>
      <c r="BL40" s="4590">
        <f>BL42+BL44</f>
        <v>5933.7859999999991</v>
      </c>
      <c r="BM40" s="4590"/>
      <c r="BN40" s="4590">
        <v>5987.92</v>
      </c>
      <c r="BO40" s="4590"/>
      <c r="BP40" s="279"/>
      <c r="BQ40" s="4593">
        <f>BQ42+BQ44</f>
        <v>3251.1729999999998</v>
      </c>
      <c r="BR40" s="4594"/>
      <c r="BS40" s="4594">
        <f>BS42+BS44</f>
        <v>4710.8989999999994</v>
      </c>
      <c r="BT40" s="4594"/>
      <c r="BU40" s="4590">
        <f>BU42+BU44</f>
        <v>6222.817</v>
      </c>
      <c r="BV40" s="4595"/>
      <c r="BW40" s="4590">
        <v>5987.92</v>
      </c>
      <c r="BX40" s="4590"/>
      <c r="BY40" s="4590">
        <v>5981.942</v>
      </c>
      <c r="BZ40" s="4590"/>
      <c r="CA40" s="4596">
        <v>2917.3690000000001</v>
      </c>
      <c r="CB40" s="4596"/>
      <c r="CC40" s="4596">
        <v>4157.8069999999998</v>
      </c>
      <c r="CD40" s="4596"/>
      <c r="CE40" s="4590">
        <v>5586.9679999999998</v>
      </c>
      <c r="CF40" s="4590"/>
      <c r="CG40" s="4594">
        <v>5981.942</v>
      </c>
      <c r="CH40" s="4594"/>
      <c r="CI40" s="4594">
        <v>6071.3003322000004</v>
      </c>
      <c r="CJ40" s="4594"/>
      <c r="CK40" s="4596">
        <v>2574.81</v>
      </c>
      <c r="CL40" s="4596"/>
      <c r="CM40" s="4596">
        <v>4915.5959999999995</v>
      </c>
      <c r="CN40" s="4671"/>
    </row>
    <row r="41" spans="1:92" ht="36" customHeight="1" x14ac:dyDescent="0.2">
      <c r="A41" s="4484" t="s">
        <v>517</v>
      </c>
      <c r="B41" s="4585"/>
      <c r="C41" s="4585"/>
      <c r="D41" s="4585"/>
      <c r="E41" s="4586">
        <v>25</v>
      </c>
      <c r="F41" s="4587"/>
      <c r="G41" s="4586">
        <v>46</v>
      </c>
      <c r="H41" s="4586">
        <v>28</v>
      </c>
      <c r="I41" s="4586">
        <v>38.5</v>
      </c>
      <c r="J41" s="4588"/>
      <c r="K41" s="4589">
        <v>49.8</v>
      </c>
      <c r="L41" s="4589">
        <v>46.13</v>
      </c>
      <c r="M41" s="4589">
        <v>0</v>
      </c>
      <c r="N41" s="4589">
        <v>46.13</v>
      </c>
      <c r="O41" s="4589">
        <f t="shared" si="21"/>
        <v>0</v>
      </c>
      <c r="P41" s="4591"/>
      <c r="Q41" s="4591">
        <v>13.7</v>
      </c>
      <c r="R41" s="4589">
        <v>0</v>
      </c>
      <c r="S41" s="4589">
        <v>18.22</v>
      </c>
      <c r="T41" s="4592">
        <v>21.42</v>
      </c>
      <c r="U41" s="4592"/>
      <c r="V41" s="4592">
        <v>1.95</v>
      </c>
      <c r="W41" s="4592"/>
      <c r="X41" s="4592">
        <v>2.4</v>
      </c>
      <c r="Y41" s="4592"/>
      <c r="Z41" s="4592">
        <v>2.4</v>
      </c>
      <c r="AA41" s="4590"/>
      <c r="AB41" s="4590">
        <f>AB49</f>
        <v>21.42</v>
      </c>
      <c r="AC41" s="4589">
        <f>SUM(AA41/40*100)</f>
        <v>0</v>
      </c>
      <c r="AD41" s="4592">
        <v>46.13</v>
      </c>
      <c r="AE41" s="4590"/>
      <c r="AF41" s="4590">
        <f>AF49</f>
        <v>21.42</v>
      </c>
      <c r="AG41" s="4586">
        <f>SUM(AE41/40*100)</f>
        <v>0</v>
      </c>
      <c r="AH41" s="4590"/>
      <c r="AI41" s="4590">
        <f>AI49</f>
        <v>18</v>
      </c>
      <c r="AJ41" s="4590"/>
      <c r="AK41" s="4590">
        <f>AK44</f>
        <v>20.349</v>
      </c>
      <c r="AL41" s="4590"/>
      <c r="AM41" s="4590">
        <f>AM49</f>
        <v>20</v>
      </c>
      <c r="AN41" s="4590"/>
      <c r="AO41" s="4590">
        <f>AO46</f>
        <v>1.77</v>
      </c>
      <c r="AP41" s="4590">
        <f t="shared" ref="AP41:AQ41" si="26">AP46</f>
        <v>0</v>
      </c>
      <c r="AQ41" s="4590">
        <f t="shared" si="26"/>
        <v>1.77</v>
      </c>
      <c r="AR41" s="4590"/>
      <c r="AS41" s="4590">
        <f>AS44</f>
        <v>21.42</v>
      </c>
      <c r="AT41" s="4590"/>
      <c r="AU41" s="4590">
        <f>AU44</f>
        <v>1.171</v>
      </c>
      <c r="AV41" s="4590"/>
      <c r="AW41" s="4590">
        <f>AW44</f>
        <v>1.33</v>
      </c>
      <c r="AX41" s="4590"/>
      <c r="AY41" s="4590">
        <f>AY42+AY44</f>
        <v>5</v>
      </c>
      <c r="AZ41" s="4590"/>
      <c r="BA41" s="4590">
        <f>BA44</f>
        <v>1.77</v>
      </c>
      <c r="BB41" s="4590"/>
      <c r="BC41" s="4590">
        <f>BC44</f>
        <v>1.77</v>
      </c>
      <c r="BD41" s="4590"/>
      <c r="BE41" s="4590">
        <f>BE44</f>
        <v>1.77</v>
      </c>
      <c r="BF41" s="4590"/>
      <c r="BG41" s="4590">
        <f>BG44</f>
        <v>0.55800000000000005</v>
      </c>
      <c r="BH41" s="4590"/>
      <c r="BI41" s="4590">
        <f>BI44</f>
        <v>0.82899999999999996</v>
      </c>
      <c r="BJ41" s="4590"/>
      <c r="BK41" s="4590">
        <f>BK44</f>
        <v>1.129</v>
      </c>
      <c r="BL41" s="4590"/>
      <c r="BM41" s="4590">
        <f>BM44</f>
        <v>1.77</v>
      </c>
      <c r="BN41" s="4590"/>
      <c r="BO41" s="4590">
        <f>BO44</f>
        <v>1.7698</v>
      </c>
      <c r="BP41" s="279"/>
      <c r="BQ41" s="4593"/>
      <c r="BR41" s="4594">
        <f>BR44</f>
        <v>0.54100000000000004</v>
      </c>
      <c r="BS41" s="4594"/>
      <c r="BT41" s="4594">
        <f>BT44</f>
        <v>0.72599999999999998</v>
      </c>
      <c r="BU41" s="4590"/>
      <c r="BV41" s="4595">
        <f>BV44</f>
        <v>0.93200000000000005</v>
      </c>
      <c r="BW41" s="4590"/>
      <c r="BX41" s="4590">
        <f>BX44</f>
        <v>1.7698</v>
      </c>
      <c r="BY41" s="4590"/>
      <c r="BZ41" s="4590">
        <f>BZ44</f>
        <v>1.7698</v>
      </c>
      <c r="CA41" s="4596"/>
      <c r="CB41" s="4596">
        <f>CB44</f>
        <v>0.41399999999999998</v>
      </c>
      <c r="CC41" s="4596"/>
      <c r="CD41" s="4596">
        <f>CD44</f>
        <v>0.59799999999999998</v>
      </c>
      <c r="CE41" s="4590"/>
      <c r="CF41" s="4590">
        <f>CF44</f>
        <v>0.78200000000000003</v>
      </c>
      <c r="CG41" s="4594"/>
      <c r="CH41" s="4594">
        <f>CH44</f>
        <v>1.7698</v>
      </c>
      <c r="CI41" s="4594"/>
      <c r="CJ41" s="4594">
        <v>1.351</v>
      </c>
      <c r="CK41" s="4596"/>
      <c r="CL41" s="4596">
        <v>0.79100000000000004</v>
      </c>
      <c r="CM41" s="4596"/>
      <c r="CN41" s="4671">
        <v>0.79100000000000004</v>
      </c>
    </row>
    <row r="42" spans="1:92" ht="36" customHeight="1" x14ac:dyDescent="0.2">
      <c r="A42" s="4484" t="s">
        <v>20</v>
      </c>
      <c r="B42" s="4445"/>
      <c r="C42" s="4445"/>
      <c r="D42" s="4445"/>
      <c r="E42" s="4586">
        <v>876</v>
      </c>
      <c r="F42" s="4586" t="e">
        <f>E42/C42*100</f>
        <v>#DIV/0!</v>
      </c>
      <c r="G42" s="4586">
        <v>507</v>
      </c>
      <c r="H42" s="4586">
        <f>3493.3-3054.18</f>
        <v>439.12000000000035</v>
      </c>
      <c r="I42" s="4586">
        <v>648.79999999999995</v>
      </c>
      <c r="J42" s="4597"/>
      <c r="K42" s="4598">
        <v>841</v>
      </c>
      <c r="L42" s="4589">
        <v>754</v>
      </c>
      <c r="M42" s="4589">
        <v>557.12</v>
      </c>
      <c r="N42" s="4589"/>
      <c r="O42" s="4589">
        <f t="shared" si="21"/>
        <v>109.88560157790927</v>
      </c>
      <c r="P42" s="4598">
        <v>479.3</v>
      </c>
      <c r="Q42" s="4598">
        <v>0</v>
      </c>
      <c r="R42" s="4589">
        <v>1030.98</v>
      </c>
      <c r="S42" s="4589"/>
      <c r="T42" s="4592">
        <v>750</v>
      </c>
      <c r="U42" s="4592">
        <v>877.4</v>
      </c>
      <c r="V42" s="4592"/>
      <c r="W42" s="4592">
        <v>1185.4000000000001</v>
      </c>
      <c r="X42" s="4592"/>
      <c r="Y42" s="4592">
        <v>1185.4000000000001</v>
      </c>
      <c r="Z42" s="4592"/>
      <c r="AA42" s="4592">
        <v>686.4</v>
      </c>
      <c r="AB42" s="4592"/>
      <c r="AC42" s="4589">
        <f>SUM(AA42/41*100)</f>
        <v>1674.1463414634147</v>
      </c>
      <c r="AD42" s="4592">
        <v>750</v>
      </c>
      <c r="AE42" s="4592">
        <v>686.4</v>
      </c>
      <c r="AF42" s="4592"/>
      <c r="AG42" s="4586">
        <f>SUM(AE42/41*100)</f>
        <v>1674.1463414634147</v>
      </c>
      <c r="AH42" s="4592">
        <v>900</v>
      </c>
      <c r="AI42" s="4592"/>
      <c r="AJ42" s="4592">
        <f>AJ44*15.39/84.61</f>
        <v>854.19674447979992</v>
      </c>
      <c r="AK42" s="4592"/>
      <c r="AL42" s="4592">
        <v>920</v>
      </c>
      <c r="AM42" s="4592"/>
      <c r="AN42" s="4592">
        <v>1403.07</v>
      </c>
      <c r="AO42" s="4592"/>
      <c r="AP42" s="4592">
        <f>AN42</f>
        <v>1403.07</v>
      </c>
      <c r="AQ42" s="4592"/>
      <c r="AR42" s="4592">
        <f>AR44*15.39/84.61</f>
        <v>816.41813001798744</v>
      </c>
      <c r="AS42" s="4592"/>
      <c r="AT42" s="4592">
        <v>895.72299999999996</v>
      </c>
      <c r="AU42" s="4592"/>
      <c r="AV42" s="4592">
        <v>1314.27</v>
      </c>
      <c r="AW42" s="4592"/>
      <c r="AX42" s="4592">
        <v>1000</v>
      </c>
      <c r="AY42" s="4592"/>
      <c r="AZ42" s="4592">
        <f>AT42/9*12</f>
        <v>1194.2973333333332</v>
      </c>
      <c r="BA42" s="4592"/>
      <c r="BB42" s="4592">
        <f>SUM(AZ42)</f>
        <v>1194.2973333333332</v>
      </c>
      <c r="BC42" s="4592"/>
      <c r="BD42" s="4592">
        <v>1133.3530000000001</v>
      </c>
      <c r="BE42" s="4592"/>
      <c r="BF42" s="4592">
        <v>494.08300000000003</v>
      </c>
      <c r="BG42" s="4592"/>
      <c r="BH42" s="4592">
        <v>989.60299999999995</v>
      </c>
      <c r="BI42" s="4592"/>
      <c r="BJ42" s="4592">
        <v>1446.1365000000001</v>
      </c>
      <c r="BK42" s="4592"/>
      <c r="BL42" s="4592">
        <v>1133.3530000000001</v>
      </c>
      <c r="BM42" s="4592"/>
      <c r="BN42" s="4592">
        <v>1143.693</v>
      </c>
      <c r="BO42" s="4592"/>
      <c r="BP42" s="279"/>
      <c r="BQ42" s="4599">
        <v>780.14200000000005</v>
      </c>
      <c r="BR42" s="4600"/>
      <c r="BS42" s="4600">
        <v>987.29700000000003</v>
      </c>
      <c r="BT42" s="4600"/>
      <c r="BU42" s="4592">
        <v>1293.8399999999999</v>
      </c>
      <c r="BV42" s="4601"/>
      <c r="BW42" s="4592">
        <v>1143.693</v>
      </c>
      <c r="BX42" s="4592"/>
      <c r="BY42" s="4592">
        <v>1142.5509999999999</v>
      </c>
      <c r="BZ42" s="4592"/>
      <c r="CA42" s="4602">
        <v>336.68700000000001</v>
      </c>
      <c r="CB42" s="4602"/>
      <c r="CC42" s="4602">
        <v>438.291</v>
      </c>
      <c r="CD42" s="4602"/>
      <c r="CE42" s="4592">
        <v>723.86500000000001</v>
      </c>
      <c r="CF42" s="4592"/>
      <c r="CG42" s="4600">
        <v>1142.5509999999999</v>
      </c>
      <c r="CH42" s="4600"/>
      <c r="CI42" s="4600">
        <v>1159.6183634494</v>
      </c>
      <c r="CJ42" s="4600"/>
      <c r="CK42" s="4602">
        <v>427.30599999999998</v>
      </c>
      <c r="CL42" s="4602"/>
      <c r="CM42" s="4602">
        <v>713.80799999999999</v>
      </c>
      <c r="CN42" s="4672"/>
    </row>
    <row r="43" spans="1:92" s="181" customFormat="1" ht="31.5" customHeight="1" x14ac:dyDescent="0.2">
      <c r="A43" s="4390" t="s">
        <v>371</v>
      </c>
      <c r="B43" s="4412"/>
      <c r="C43" s="4412"/>
      <c r="D43" s="4412"/>
      <c r="E43" s="4603">
        <f>E42/E39</f>
        <v>0.14910638297872342</v>
      </c>
      <c r="F43" s="4587"/>
      <c r="G43" s="4603">
        <f>507/5558.2</f>
        <v>9.1216580907488035E-2</v>
      </c>
      <c r="H43" s="4603">
        <f>439.12/3493</f>
        <v>0.12571428571428572</v>
      </c>
      <c r="I43" s="4603">
        <f>SUM(648.8/5158)</f>
        <v>0.12578518805738659</v>
      </c>
      <c r="J43" s="4604"/>
      <c r="K43" s="4605">
        <f>SUM(K42/K39)</f>
        <v>0.12052336662892847</v>
      </c>
      <c r="L43" s="4605">
        <f>SUM(L42/L39)</f>
        <v>0.12999932758968488</v>
      </c>
      <c r="M43" s="4605">
        <f>SUM(M42/M39)</f>
        <v>0.10017639475023329</v>
      </c>
      <c r="N43" s="4605"/>
      <c r="O43" s="4589">
        <f t="shared" si="21"/>
        <v>109.82257145971334</v>
      </c>
      <c r="P43" s="4605">
        <f t="shared" ref="P43:Q43" si="27">SUM(P42/P39)</f>
        <v>0.14231885004706352</v>
      </c>
      <c r="Q43" s="4605">
        <f t="shared" si="27"/>
        <v>0</v>
      </c>
      <c r="R43" s="4605">
        <f>SUM(R42/R39)</f>
        <v>0.15392562754650332</v>
      </c>
      <c r="S43" s="4605"/>
      <c r="T43" s="4605">
        <f>SUM(T42/T39)</f>
        <v>0.12977222206553429</v>
      </c>
      <c r="U43" s="4605"/>
      <c r="V43" s="4605"/>
      <c r="W43" s="4605">
        <f>SUM(W42/W39)</f>
        <v>0.18727792935764015</v>
      </c>
      <c r="X43" s="4605"/>
      <c r="Y43" s="4605">
        <f>SUM(Y42/Y39)</f>
        <v>0.2106531783886875</v>
      </c>
      <c r="Z43" s="4605"/>
      <c r="AA43" s="4605">
        <f>SUM(AA42/AA39)</f>
        <v>0.12139397207478816</v>
      </c>
      <c r="AB43" s="4606"/>
      <c r="AC43" s="4589">
        <f>SUM(AA43/M43*100)</f>
        <v>121.18021653449998</v>
      </c>
      <c r="AD43" s="4605">
        <f>SUM(AD42/AD39)</f>
        <v>0.12969877028272603</v>
      </c>
      <c r="AE43" s="4605">
        <f>SUM(AE42/AE39)</f>
        <v>0.12392173288222742</v>
      </c>
      <c r="AF43" s="4606"/>
      <c r="AG43" s="4586" t="e">
        <f>SUM(AE43/Q43*100)</f>
        <v>#DIV/0!</v>
      </c>
      <c r="AH43" s="4605">
        <f>SUM(AH42/AH39)</f>
        <v>0.16019223067681218</v>
      </c>
      <c r="AI43" s="4606"/>
      <c r="AJ43" s="4605">
        <f>SUM(AJ42/AJ39)</f>
        <v>0.15390000000000001</v>
      </c>
      <c r="AK43" s="4606"/>
      <c r="AL43" s="4605">
        <f>SUM(AL42/AL39)</f>
        <v>0.49729729729729732</v>
      </c>
      <c r="AM43" s="4606"/>
      <c r="AN43" s="4605">
        <f>SUM(AN42/AN39)</f>
        <v>0.20737067691398167</v>
      </c>
      <c r="AO43" s="4605">
        <f t="shared" ref="AO43:AQ43" si="28">SUM(AO42/AO39)</f>
        <v>0</v>
      </c>
      <c r="AP43" s="4605">
        <f t="shared" si="28"/>
        <v>0.23558252083970729</v>
      </c>
      <c r="AQ43" s="4605">
        <f t="shared" si="28"/>
        <v>0</v>
      </c>
      <c r="AR43" s="4605">
        <f>SUM(AR42/AR39)</f>
        <v>0.15390000000000001</v>
      </c>
      <c r="AS43" s="4606"/>
      <c r="AT43" s="4605">
        <f>SUM(AT42/AT39)</f>
        <v>0.1704671082292753</v>
      </c>
      <c r="AU43" s="4606"/>
      <c r="AV43" s="4605">
        <f>SUM(AV42/AV39)</f>
        <v>0.18416480064122145</v>
      </c>
      <c r="AW43" s="4606"/>
      <c r="AX43" s="4607">
        <f>AX42/AX40</f>
        <v>0.16273393002441008</v>
      </c>
      <c r="AY43" s="4606"/>
      <c r="AZ43" s="4606">
        <f>AZ42/AZ40</f>
        <v>0.19098423773132542</v>
      </c>
      <c r="BA43" s="4606"/>
      <c r="BB43" s="4606">
        <f>BB42/BB40</f>
        <v>0.19098423773132542</v>
      </c>
      <c r="BC43" s="4606"/>
      <c r="BD43" s="4606">
        <f>BD42/BD40</f>
        <v>0.19099997876566499</v>
      </c>
      <c r="BE43" s="4606"/>
      <c r="BF43" s="4606">
        <f>BF42/BF40</f>
        <v>0.14196208640016184</v>
      </c>
      <c r="BG43" s="4606"/>
      <c r="BH43" s="4606">
        <f>BH42/BH40</f>
        <v>0.18803653476470705</v>
      </c>
      <c r="BI43" s="4606"/>
      <c r="BJ43" s="4606">
        <f>BJ42/BJ40</f>
        <v>0.20783849397713303</v>
      </c>
      <c r="BK43" s="4606"/>
      <c r="BL43" s="4606">
        <f>BL42/BL40</f>
        <v>0.19099997876566499</v>
      </c>
      <c r="BM43" s="4606"/>
      <c r="BN43" s="4606">
        <f>BN42/BN40</f>
        <v>0.19100004676081175</v>
      </c>
      <c r="BO43" s="4606"/>
      <c r="BP43" s="3779"/>
      <c r="BQ43" s="4608">
        <f>BQ42/BQ40</f>
        <v>0.23995708625779069</v>
      </c>
      <c r="BR43" s="4609"/>
      <c r="BS43" s="4609">
        <f>BS42/BS40</f>
        <v>0.20957719535061145</v>
      </c>
      <c r="BT43" s="4609"/>
      <c r="BU43" s="4606">
        <f>BU42/BU40</f>
        <v>0.20791869662887402</v>
      </c>
      <c r="BV43" s="4610"/>
      <c r="BW43" s="4606">
        <f>BW42/BW40</f>
        <v>0.19100004676081175</v>
      </c>
      <c r="BX43" s="4606"/>
      <c r="BY43" s="4606">
        <f>BY42/BY40</f>
        <v>0.19100001303924377</v>
      </c>
      <c r="BZ43" s="4606"/>
      <c r="CA43" s="4611">
        <f>CA42/CA40</f>
        <v>0.11540775267029985</v>
      </c>
      <c r="CB43" s="4611"/>
      <c r="CC43" s="4611">
        <f>CC42/CC40</f>
        <v>0.1054139838621658</v>
      </c>
      <c r="CD43" s="4611"/>
      <c r="CE43" s="4606">
        <f>CE42/CE40</f>
        <v>0.12956311902985662</v>
      </c>
      <c r="CF43" s="4606"/>
      <c r="CG43" s="4609">
        <f>CG42/CG40</f>
        <v>0.19100001303924377</v>
      </c>
      <c r="CH43" s="4609"/>
      <c r="CI43" s="4609">
        <f>CI42/CI40</f>
        <v>0.19099999999986822</v>
      </c>
      <c r="CJ43" s="4609"/>
      <c r="CK43" s="4611">
        <f>CK42/CK40</f>
        <v>0.16595632299082261</v>
      </c>
      <c r="CL43" s="4611"/>
      <c r="CM43" s="4611">
        <f>CM42/CM40</f>
        <v>0.14521291009269274</v>
      </c>
      <c r="CN43" s="4673"/>
    </row>
    <row r="44" spans="1:92" ht="36" customHeight="1" x14ac:dyDescent="0.2">
      <c r="A44" s="4481" t="s">
        <v>520</v>
      </c>
      <c r="B44" s="4418"/>
      <c r="C44" s="4418"/>
      <c r="D44" s="4418"/>
      <c r="E44" s="4588">
        <f>E47+E49</f>
        <v>4999</v>
      </c>
      <c r="F44" s="4612" t="e">
        <f>E44/C44*100</f>
        <v>#DIV/0!</v>
      </c>
      <c r="G44" s="4588" t="e">
        <f>G47+G49</f>
        <v>#REF!</v>
      </c>
      <c r="H44" s="4588">
        <f>H47+H49</f>
        <v>3054.18</v>
      </c>
      <c r="I44" s="4588">
        <f>I47+I49</f>
        <v>4509.2</v>
      </c>
      <c r="J44" s="4613"/>
      <c r="K44" s="4591">
        <f>SUM(K45:K46)</f>
        <v>6136.9000000000005</v>
      </c>
      <c r="L44" s="4591">
        <f>L47+L49</f>
        <v>5046.03</v>
      </c>
      <c r="M44" s="4591">
        <f>M47+M49</f>
        <v>5004.2700000000004</v>
      </c>
      <c r="N44" s="4591">
        <f>N47+N49</f>
        <v>46.13</v>
      </c>
      <c r="O44" s="4591" t="e">
        <f t="shared" si="21"/>
        <v>#REF!</v>
      </c>
      <c r="P44" s="4591">
        <f t="shared" ref="P44:Q44" si="29">SUM(P45:P46)</f>
        <v>2888.49</v>
      </c>
      <c r="Q44" s="4591">
        <f t="shared" si="29"/>
        <v>13.7</v>
      </c>
      <c r="R44" s="4591">
        <f>R47+R49</f>
        <v>5666.93</v>
      </c>
      <c r="S44" s="4591">
        <f t="shared" ref="S44:V44" si="30">S47+S49</f>
        <v>18.22</v>
      </c>
      <c r="T44" s="4591">
        <f t="shared" si="30"/>
        <v>5007.9369999999999</v>
      </c>
      <c r="U44" s="4591">
        <f t="shared" si="30"/>
        <v>3803.72</v>
      </c>
      <c r="V44" s="4591">
        <f t="shared" si="30"/>
        <v>1.95</v>
      </c>
      <c r="W44" s="4591">
        <f t="shared" ref="W44:X44" si="31">W47+W49</f>
        <v>5144.2300000000005</v>
      </c>
      <c r="X44" s="4591">
        <f t="shared" si="31"/>
        <v>2.4</v>
      </c>
      <c r="Y44" s="4591">
        <f t="shared" ref="Y44:Z44" si="32">Y47+Y49</f>
        <v>4441.8590286425906</v>
      </c>
      <c r="Z44" s="4591">
        <f t="shared" si="32"/>
        <v>2.4</v>
      </c>
      <c r="AA44" s="4590">
        <f>SUM(AA45:AA46)</f>
        <v>4967.9170000000004</v>
      </c>
      <c r="AB44" s="4590">
        <f>SUM(AB45:AB46)</f>
        <v>21.42</v>
      </c>
      <c r="AC44" s="4591">
        <f>SUM(AA44/M44*100)</f>
        <v>99.273560379435963</v>
      </c>
      <c r="AD44" s="4590">
        <f>SUM(AD45:AD46)</f>
        <v>5032.63</v>
      </c>
      <c r="AE44" s="4590">
        <f>SUM(AE45:AE46)</f>
        <v>4852.58</v>
      </c>
      <c r="AF44" s="4590">
        <f>SUM(AF45:AF46)</f>
        <v>21.42</v>
      </c>
      <c r="AG44" s="4588">
        <f>SUM(AE44/Q44*100)</f>
        <v>35420.291970802922</v>
      </c>
      <c r="AH44" s="4590">
        <f>SUM(AH45:AH46)</f>
        <v>4718.25</v>
      </c>
      <c r="AI44" s="4590">
        <f>SUM(AI45:AI46)</f>
        <v>18</v>
      </c>
      <c r="AJ44" s="4590">
        <f>SUM(AJ45:AJ46)</f>
        <v>4696.1394769613944</v>
      </c>
      <c r="AK44" s="4590">
        <f>AK46+AK47</f>
        <v>20.349</v>
      </c>
      <c r="AL44" s="4590">
        <f t="shared" ref="AL44:AM44" si="33">AL46+AL47</f>
        <v>930</v>
      </c>
      <c r="AM44" s="4590">
        <f t="shared" si="33"/>
        <v>20</v>
      </c>
      <c r="AN44" s="4590">
        <f>SUM(AN45:AN46)</f>
        <v>5362.93</v>
      </c>
      <c r="AO44" s="4590">
        <f t="shared" ref="AO44:AQ44" si="34">SUM(AO45:AO46)</f>
        <v>1.77</v>
      </c>
      <c r="AP44" s="4590">
        <f t="shared" si="34"/>
        <v>4552.6774595267743</v>
      </c>
      <c r="AQ44" s="4590">
        <f t="shared" si="34"/>
        <v>1.77</v>
      </c>
      <c r="AR44" s="4590">
        <f>SUM(AR45:AR46)</f>
        <v>4488.4430136986302</v>
      </c>
      <c r="AS44" s="4590">
        <f>AS46+AS47</f>
        <v>21.42</v>
      </c>
      <c r="AT44" s="4590">
        <f>AT45</f>
        <v>4358.7980000000007</v>
      </c>
      <c r="AU44" s="4590">
        <f t="shared" ref="AU44:AW44" si="35">AU46+AU47</f>
        <v>1.171</v>
      </c>
      <c r="AV44" s="4590">
        <f>AV45</f>
        <v>5822.11</v>
      </c>
      <c r="AW44" s="4590">
        <f t="shared" si="35"/>
        <v>1.33</v>
      </c>
      <c r="AX44" s="4590">
        <f>AX45</f>
        <v>5145</v>
      </c>
      <c r="AY44" s="4590">
        <f t="shared" ref="AY44:BA44" si="36">AY46+AY47</f>
        <v>5</v>
      </c>
      <c r="AZ44" s="4590">
        <f>AZ45</f>
        <v>5059.084346328933</v>
      </c>
      <c r="BA44" s="4590">
        <f t="shared" si="36"/>
        <v>1.77</v>
      </c>
      <c r="BB44" s="4590">
        <f>BB45</f>
        <v>5059.084346328933</v>
      </c>
      <c r="BC44" s="4590">
        <f t="shared" ref="BC44:BG44" si="37">BC46+BC47</f>
        <v>1.77</v>
      </c>
      <c r="BD44" s="4590">
        <f>BD45</f>
        <v>4800.4329999999991</v>
      </c>
      <c r="BE44" s="4590">
        <f t="shared" ref="BE44" si="38">BE46+BE47</f>
        <v>1.77</v>
      </c>
      <c r="BF44" s="4590">
        <f>BF45</f>
        <v>2986.3040000000001</v>
      </c>
      <c r="BG44" s="4590">
        <f t="shared" si="37"/>
        <v>0.55800000000000005</v>
      </c>
      <c r="BH44" s="4590">
        <f>BH45</f>
        <v>4273.22</v>
      </c>
      <c r="BI44" s="4590">
        <f t="shared" ref="BI44:BK44" si="39">BI46+BI47</f>
        <v>0.82899999999999996</v>
      </c>
      <c r="BJ44" s="4590">
        <f>BJ45</f>
        <v>5511.8455000000004</v>
      </c>
      <c r="BK44" s="4590">
        <f t="shared" si="39"/>
        <v>1.129</v>
      </c>
      <c r="BL44" s="4590">
        <f>BL45</f>
        <v>4800.4329999999991</v>
      </c>
      <c r="BM44" s="4590">
        <f t="shared" ref="BM44:BO44" si="40">BM46+BM47</f>
        <v>1.77</v>
      </c>
      <c r="BN44" s="4590">
        <f>BN45</f>
        <v>4844.2269999999999</v>
      </c>
      <c r="BO44" s="4590">
        <f t="shared" si="40"/>
        <v>1.7698</v>
      </c>
      <c r="BP44" s="279"/>
      <c r="BQ44" s="4593">
        <f>BQ45</f>
        <v>2471.0309999999999</v>
      </c>
      <c r="BR44" s="4594">
        <f t="shared" ref="BR44" si="41">BR46+BR47</f>
        <v>0.54100000000000004</v>
      </c>
      <c r="BS44" s="4594">
        <f>BS45</f>
        <v>3723.6019999999999</v>
      </c>
      <c r="BT44" s="4594">
        <f t="shared" ref="BT44" si="42">BT46+BT47</f>
        <v>0.72599999999999998</v>
      </c>
      <c r="BU44" s="4590">
        <f>BU45</f>
        <v>4928.9769999999999</v>
      </c>
      <c r="BV44" s="4595">
        <f t="shared" ref="BV44" si="43">BV46+BV47</f>
        <v>0.93200000000000005</v>
      </c>
      <c r="BW44" s="4590">
        <f>BW45</f>
        <v>4844.2269999999999</v>
      </c>
      <c r="BX44" s="4590">
        <f t="shared" ref="BX44:BZ44" si="44">BX46+BX47</f>
        <v>1.7698</v>
      </c>
      <c r="BY44" s="4590">
        <f>BY45</f>
        <v>4839.3909000000003</v>
      </c>
      <c r="BZ44" s="4590">
        <f t="shared" si="44"/>
        <v>1.7698</v>
      </c>
      <c r="CA44" s="4596">
        <f>CA45</f>
        <v>2580.6819999999998</v>
      </c>
      <c r="CB44" s="4596">
        <f t="shared" ref="CB44:CD44" si="45">CB46+CB47</f>
        <v>0.41399999999999998</v>
      </c>
      <c r="CC44" s="4596">
        <f>CC45</f>
        <v>3719.5163000000002</v>
      </c>
      <c r="CD44" s="4596">
        <f t="shared" si="45"/>
        <v>0.59799999999999998</v>
      </c>
      <c r="CE44" s="4590">
        <f>CE45</f>
        <v>4863.1029999999992</v>
      </c>
      <c r="CF44" s="4590">
        <f t="shared" ref="CF44" si="46">CF46+CF47</f>
        <v>0.78200000000000003</v>
      </c>
      <c r="CG44" s="4594">
        <f>CG45</f>
        <v>4839.3909000000003</v>
      </c>
      <c r="CH44" s="4594">
        <f t="shared" ref="CH44:CJ44" si="47">CH46+CH47</f>
        <v>1.7698</v>
      </c>
      <c r="CI44" s="4594">
        <f>CI45</f>
        <v>4911.6819687466577</v>
      </c>
      <c r="CJ44" s="4594">
        <f t="shared" si="47"/>
        <v>1.351</v>
      </c>
      <c r="CK44" s="4596">
        <f>CK45</f>
        <v>2147.5039999999999</v>
      </c>
      <c r="CL44" s="4596">
        <f t="shared" ref="CL44:CN44" si="48">CL46+CL47</f>
        <v>0.79100000000000004</v>
      </c>
      <c r="CM44" s="4596">
        <f>CM45</f>
        <v>4201.7883999999995</v>
      </c>
      <c r="CN44" s="4671">
        <f t="shared" si="48"/>
        <v>0.79100000000000004</v>
      </c>
    </row>
    <row r="45" spans="1:92" ht="36" customHeight="1" x14ac:dyDescent="0.2">
      <c r="A45" s="4484" t="s">
        <v>518</v>
      </c>
      <c r="B45" s="4418"/>
      <c r="C45" s="4418"/>
      <c r="D45" s="4418"/>
      <c r="E45" s="4586">
        <f>SUM(E44-E46)</f>
        <v>4974</v>
      </c>
      <c r="F45" s="4587"/>
      <c r="G45" s="4586" t="e">
        <f>SUM(G44-G46)</f>
        <v>#REF!</v>
      </c>
      <c r="H45" s="4586">
        <f>SUM(H44-H46)</f>
        <v>3026.18</v>
      </c>
      <c r="I45" s="4586">
        <f>SUM(I44-I46)</f>
        <v>4470.7</v>
      </c>
      <c r="J45" s="4613"/>
      <c r="K45" s="4589">
        <f>SUM(K40-K42)</f>
        <v>6087.1</v>
      </c>
      <c r="L45" s="4589">
        <f>SUM(L44-L46)</f>
        <v>4999.8999999999996</v>
      </c>
      <c r="M45" s="4592">
        <f>M49+M47</f>
        <v>5004.2700000000004</v>
      </c>
      <c r="N45" s="4589"/>
      <c r="O45" s="4589" t="e">
        <f t="shared" si="21"/>
        <v>#REF!</v>
      </c>
      <c r="P45" s="4589">
        <f t="shared" ref="P45" si="49">SUM(P40-P42)</f>
        <v>2888.49</v>
      </c>
      <c r="Q45" s="4589"/>
      <c r="R45" s="4592">
        <f>R49+R47</f>
        <v>5666.93</v>
      </c>
      <c r="S45" s="4589"/>
      <c r="T45" s="4592">
        <f>SUM(T40-T42)</f>
        <v>5007.9369999999999</v>
      </c>
      <c r="U45" s="4592"/>
      <c r="V45" s="4592"/>
      <c r="W45" s="4592"/>
      <c r="X45" s="4592"/>
      <c r="Y45" s="4592"/>
      <c r="Z45" s="4592"/>
      <c r="AA45" s="4592">
        <f>AA49+AA47</f>
        <v>4967.9170000000004</v>
      </c>
      <c r="AB45" s="4592"/>
      <c r="AC45" s="4589">
        <f>SUM(AA45/45*100)</f>
        <v>11039.815555555557</v>
      </c>
      <c r="AD45" s="4592">
        <f>SUM(AD40-AD42)</f>
        <v>4986.5</v>
      </c>
      <c r="AE45" s="4592">
        <f>AE49+AE47</f>
        <v>4852.58</v>
      </c>
      <c r="AF45" s="4592"/>
      <c r="AG45" s="4586">
        <f>SUM(AE45/45*100)</f>
        <v>10783.511111111111</v>
      </c>
      <c r="AH45" s="4592">
        <f>AH49+AH47</f>
        <v>4718.25</v>
      </c>
      <c r="AI45" s="4592"/>
      <c r="AJ45" s="4592">
        <f>AJ49+AJ47</f>
        <v>4696.1394769613944</v>
      </c>
      <c r="AK45" s="4592">
        <v>0</v>
      </c>
      <c r="AL45" s="4592">
        <f>AL49+AL47</f>
        <v>4530</v>
      </c>
      <c r="AM45" s="4592"/>
      <c r="AN45" s="4592">
        <f>AN49+AN47</f>
        <v>5362.93</v>
      </c>
      <c r="AO45" s="4592"/>
      <c r="AP45" s="4592">
        <f>AP49+AP47</f>
        <v>4552.6774595267743</v>
      </c>
      <c r="AQ45" s="4592">
        <v>0</v>
      </c>
      <c r="AR45" s="4592">
        <f>AR49+AR47</f>
        <v>4488.4430136986302</v>
      </c>
      <c r="AS45" s="4592">
        <v>0</v>
      </c>
      <c r="AT45" s="4592">
        <f>AT47+AT49</f>
        <v>4358.7980000000007</v>
      </c>
      <c r="AU45" s="4592"/>
      <c r="AV45" s="4592">
        <f>AV47+AV49</f>
        <v>5822.11</v>
      </c>
      <c r="AW45" s="4592"/>
      <c r="AX45" s="4592">
        <f>AX49+AX47</f>
        <v>5145</v>
      </c>
      <c r="AY45" s="4592"/>
      <c r="AZ45" s="4592">
        <f>AZ49+AZ47</f>
        <v>5059.084346328933</v>
      </c>
      <c r="BA45" s="4592"/>
      <c r="BB45" s="4592">
        <f>BB49+BB47</f>
        <v>5059.084346328933</v>
      </c>
      <c r="BC45" s="4592"/>
      <c r="BD45" s="4592">
        <f>BD49+BD47</f>
        <v>4800.4329999999991</v>
      </c>
      <c r="BE45" s="4592"/>
      <c r="BF45" s="4592">
        <f>BF49+BF47</f>
        <v>2986.3040000000001</v>
      </c>
      <c r="BG45" s="4592"/>
      <c r="BH45" s="4592">
        <f>BH49+BH47</f>
        <v>4273.22</v>
      </c>
      <c r="BI45" s="4592"/>
      <c r="BJ45" s="4592">
        <f>BJ49+BJ47</f>
        <v>5511.8455000000004</v>
      </c>
      <c r="BK45" s="4592"/>
      <c r="BL45" s="4592">
        <f>BL49+BL47</f>
        <v>4800.4329999999991</v>
      </c>
      <c r="BM45" s="4592"/>
      <c r="BN45" s="4592">
        <f>BN49+BN47</f>
        <v>4844.2269999999999</v>
      </c>
      <c r="BO45" s="4592"/>
      <c r="BP45" s="3780">
        <f>S44-Q44</f>
        <v>4.5199999999999996</v>
      </c>
      <c r="BQ45" s="4599">
        <f>BQ49+BQ47</f>
        <v>2471.0309999999999</v>
      </c>
      <c r="BR45" s="4600"/>
      <c r="BS45" s="4600">
        <f>BS49+BS47</f>
        <v>3723.6019999999999</v>
      </c>
      <c r="BT45" s="4600"/>
      <c r="BU45" s="4592">
        <f>BU49+BU47</f>
        <v>4928.9769999999999</v>
      </c>
      <c r="BV45" s="4601"/>
      <c r="BW45" s="4592">
        <f>BW49+BW47</f>
        <v>4844.2269999999999</v>
      </c>
      <c r="BX45" s="4592"/>
      <c r="BY45" s="4592">
        <f>BY49+BY47</f>
        <v>4839.3909000000003</v>
      </c>
      <c r="BZ45" s="4592"/>
      <c r="CA45" s="4602">
        <f>CA49+CA47</f>
        <v>2580.6819999999998</v>
      </c>
      <c r="CB45" s="4602"/>
      <c r="CC45" s="4602">
        <f>CC49+CC47</f>
        <v>3719.5163000000002</v>
      </c>
      <c r="CD45" s="4602"/>
      <c r="CE45" s="4592">
        <f>CE49+CE47</f>
        <v>4863.1029999999992</v>
      </c>
      <c r="CF45" s="4592"/>
      <c r="CG45" s="4600">
        <f>CG49+CG47</f>
        <v>4839.3909000000003</v>
      </c>
      <c r="CH45" s="4600"/>
      <c r="CI45" s="4600">
        <f>CI49+CI47</f>
        <v>4911.6819687466577</v>
      </c>
      <c r="CJ45" s="4600"/>
      <c r="CK45" s="4602">
        <f>CK49+CK47</f>
        <v>2147.5039999999999</v>
      </c>
      <c r="CL45" s="4602"/>
      <c r="CM45" s="4602">
        <f>CM49+CM47</f>
        <v>4201.7883999999995</v>
      </c>
      <c r="CN45" s="4672"/>
    </row>
    <row r="46" spans="1:92" ht="36" customHeight="1" x14ac:dyDescent="0.2">
      <c r="A46" s="4484" t="s">
        <v>517</v>
      </c>
      <c r="B46" s="4418"/>
      <c r="C46" s="4418"/>
      <c r="D46" s="4418"/>
      <c r="E46" s="4586">
        <v>25</v>
      </c>
      <c r="F46" s="4587"/>
      <c r="G46" s="4586">
        <v>46</v>
      </c>
      <c r="H46" s="4586">
        <v>28</v>
      </c>
      <c r="I46" s="4586">
        <v>38.5</v>
      </c>
      <c r="J46" s="4613"/>
      <c r="K46" s="4589">
        <f>SUM(K41)</f>
        <v>49.8</v>
      </c>
      <c r="L46" s="4589">
        <v>46.13</v>
      </c>
      <c r="M46" s="4589">
        <v>46.13</v>
      </c>
      <c r="N46" s="4589">
        <v>0</v>
      </c>
      <c r="O46" s="4589">
        <f t="shared" si="21"/>
        <v>100.28260869565217</v>
      </c>
      <c r="P46" s="4589">
        <f t="shared" ref="P46" si="50">SUM(P41)</f>
        <v>0</v>
      </c>
      <c r="Q46" s="4589">
        <f>Q39-Q42</f>
        <v>13.7</v>
      </c>
      <c r="R46" s="4589">
        <v>0</v>
      </c>
      <c r="S46" s="4589">
        <v>18.22</v>
      </c>
      <c r="T46" s="4592">
        <f>SUM(T41)</f>
        <v>21.42</v>
      </c>
      <c r="U46" s="4592"/>
      <c r="V46" s="4592"/>
      <c r="W46" s="4592"/>
      <c r="X46" s="4592"/>
      <c r="Y46" s="4592"/>
      <c r="Z46" s="4592"/>
      <c r="AA46" s="4592">
        <f>SUM(AA41)</f>
        <v>0</v>
      </c>
      <c r="AB46" s="4592">
        <f>AB49</f>
        <v>21.42</v>
      </c>
      <c r="AC46" s="4589">
        <f>SUM(AA46/46*100)</f>
        <v>0</v>
      </c>
      <c r="AD46" s="4592">
        <f>SUM(AD41)</f>
        <v>46.13</v>
      </c>
      <c r="AE46" s="4592">
        <f>SUM(AE41)</f>
        <v>0</v>
      </c>
      <c r="AF46" s="4592">
        <f>AF49</f>
        <v>21.42</v>
      </c>
      <c r="AG46" s="4586">
        <f>SUM(AE46/46*100)</f>
        <v>0</v>
      </c>
      <c r="AH46" s="4592">
        <f>SUM(AH41)</f>
        <v>0</v>
      </c>
      <c r="AI46" s="4592">
        <f>AI49</f>
        <v>18</v>
      </c>
      <c r="AJ46" s="4592">
        <f>SUM(AJ41)</f>
        <v>0</v>
      </c>
      <c r="AK46" s="4592">
        <f>AK49</f>
        <v>20.349</v>
      </c>
      <c r="AL46" s="4592">
        <f>SUM(AL41)</f>
        <v>0</v>
      </c>
      <c r="AM46" s="4592">
        <f>AM49</f>
        <v>20</v>
      </c>
      <c r="AN46" s="4592">
        <v>0</v>
      </c>
      <c r="AO46" s="4592">
        <f>AO49</f>
        <v>1.77</v>
      </c>
      <c r="AP46" s="4592">
        <v>0</v>
      </c>
      <c r="AQ46" s="4592">
        <f>AQ49</f>
        <v>1.77</v>
      </c>
      <c r="AR46" s="4592">
        <f>SUM(AR41)</f>
        <v>0</v>
      </c>
      <c r="AS46" s="4592">
        <f>AS49</f>
        <v>21.42</v>
      </c>
      <c r="AT46" s="4592"/>
      <c r="AU46" s="4592">
        <v>1.171</v>
      </c>
      <c r="AV46" s="4592"/>
      <c r="AW46" s="4592">
        <v>1.33</v>
      </c>
      <c r="AX46" s="4592"/>
      <c r="AY46" s="4592">
        <f>AY49+AY47</f>
        <v>5</v>
      </c>
      <c r="AZ46" s="4592"/>
      <c r="BA46" s="4592">
        <f>BA49</f>
        <v>1.77</v>
      </c>
      <c r="BB46" s="4592"/>
      <c r="BC46" s="4592">
        <f>BC49</f>
        <v>1.77</v>
      </c>
      <c r="BD46" s="4592"/>
      <c r="BE46" s="4592">
        <f>BE49</f>
        <v>1.77</v>
      </c>
      <c r="BF46" s="4592"/>
      <c r="BG46" s="4592">
        <f>BG49</f>
        <v>0.55800000000000005</v>
      </c>
      <c r="BH46" s="4592"/>
      <c r="BI46" s="4592">
        <f>BI49</f>
        <v>0.82899999999999996</v>
      </c>
      <c r="BJ46" s="4592"/>
      <c r="BK46" s="4592">
        <f>BK49</f>
        <v>1.129</v>
      </c>
      <c r="BL46" s="4592"/>
      <c r="BM46" s="4592">
        <f>BM49</f>
        <v>1.77</v>
      </c>
      <c r="BN46" s="4592"/>
      <c r="BO46" s="4592">
        <f>BO49</f>
        <v>1.7698</v>
      </c>
      <c r="BP46" s="279"/>
      <c r="BQ46" s="4599"/>
      <c r="BR46" s="4600">
        <f>BR49</f>
        <v>0.54100000000000004</v>
      </c>
      <c r="BS46" s="4600"/>
      <c r="BT46" s="4600">
        <f>BT49</f>
        <v>0.72599999999999998</v>
      </c>
      <c r="BU46" s="4592"/>
      <c r="BV46" s="4601">
        <f>BV49</f>
        <v>0.93200000000000005</v>
      </c>
      <c r="BW46" s="4592"/>
      <c r="BX46" s="4592">
        <f>BX49</f>
        <v>1.7698</v>
      </c>
      <c r="BY46" s="4592"/>
      <c r="BZ46" s="4592">
        <f>BZ49</f>
        <v>1.7698</v>
      </c>
      <c r="CA46" s="4602"/>
      <c r="CB46" s="4602">
        <f>CB49</f>
        <v>0.41399999999999998</v>
      </c>
      <c r="CC46" s="4602"/>
      <c r="CD46" s="4602">
        <f>CD49</f>
        <v>0.59799999999999998</v>
      </c>
      <c r="CE46" s="4592"/>
      <c r="CF46" s="4592">
        <f>CF49</f>
        <v>0.78200000000000003</v>
      </c>
      <c r="CG46" s="4600"/>
      <c r="CH46" s="4600">
        <f>CH49</f>
        <v>1.7698</v>
      </c>
      <c r="CI46" s="4600"/>
      <c r="CJ46" s="4600">
        <v>1.351</v>
      </c>
      <c r="CK46" s="4602"/>
      <c r="CL46" s="4602">
        <v>0.79100000000000004</v>
      </c>
      <c r="CM46" s="4602"/>
      <c r="CN46" s="4672">
        <v>0.79100000000000004</v>
      </c>
    </row>
    <row r="47" spans="1:92" ht="36" customHeight="1" x14ac:dyDescent="0.2">
      <c r="A47" s="4484" t="s">
        <v>51</v>
      </c>
      <c r="B47" s="4445"/>
      <c r="C47" s="4445"/>
      <c r="D47" s="4445"/>
      <c r="E47" s="4586">
        <v>999</v>
      </c>
      <c r="F47" s="4586" t="e">
        <f>E47/C47*100</f>
        <v>#DIV/0!</v>
      </c>
      <c r="G47" s="4586">
        <f>E47</f>
        <v>999</v>
      </c>
      <c r="H47" s="4586">
        <v>981.98</v>
      </c>
      <c r="I47" s="4586">
        <v>1481.3</v>
      </c>
      <c r="J47" s="4597"/>
      <c r="K47" s="4589">
        <v>2097.9</v>
      </c>
      <c r="L47" s="4589">
        <v>1007.9</v>
      </c>
      <c r="M47" s="4589">
        <v>998</v>
      </c>
      <c r="N47" s="4589"/>
      <c r="O47" s="4589">
        <f t="shared" si="21"/>
        <v>99.899899899899907</v>
      </c>
      <c r="P47" s="4589">
        <v>911.71</v>
      </c>
      <c r="Q47" s="4589">
        <v>0</v>
      </c>
      <c r="R47" s="4589">
        <v>1904.73</v>
      </c>
      <c r="S47" s="4589"/>
      <c r="T47" s="4592">
        <v>997.3</v>
      </c>
      <c r="U47" s="4592">
        <v>1134.54</v>
      </c>
      <c r="V47" s="4592"/>
      <c r="W47" s="4592">
        <v>1577.89</v>
      </c>
      <c r="X47" s="4592"/>
      <c r="Y47" s="4592">
        <f>(Y49+Z49)/80.3*19.7</f>
        <v>875.51902864259023</v>
      </c>
      <c r="Z47" s="4592"/>
      <c r="AA47" s="4592">
        <v>978.7</v>
      </c>
      <c r="AB47" s="4592"/>
      <c r="AC47" s="4589">
        <f t="shared" ref="AC47:AC59" si="51">SUM(AA47/M47*100)</f>
        <v>98.06613226452906</v>
      </c>
      <c r="AD47" s="4592">
        <v>997.3</v>
      </c>
      <c r="AE47" s="4592">
        <v>956</v>
      </c>
      <c r="AF47" s="4592"/>
      <c r="AG47" s="4586" t="e">
        <f t="shared" ref="AG47:AG59" si="52">SUM(AE47/Q47*100)</f>
        <v>#DIV/0!</v>
      </c>
      <c r="AH47" s="4592">
        <v>947.25</v>
      </c>
      <c r="AI47" s="4592"/>
      <c r="AJ47" s="4592">
        <f>(AJ49)*19.7/80.3</f>
        <v>925.13947696139473</v>
      </c>
      <c r="AK47" s="4592"/>
      <c r="AL47" s="4592">
        <v>930</v>
      </c>
      <c r="AM47" s="4592"/>
      <c r="AN47" s="4592">
        <v>1707.13</v>
      </c>
      <c r="AO47" s="4592">
        <v>0</v>
      </c>
      <c r="AP47" s="4592">
        <f>(AP49)*19.7/80.3</f>
        <v>896.8774595267746</v>
      </c>
      <c r="AQ47" s="4592"/>
      <c r="AR47" s="4592">
        <f>(AR49+AS49)*19.7/80.3</f>
        <v>888.44301369863024</v>
      </c>
      <c r="AS47" s="4592"/>
      <c r="AT47" s="4592">
        <v>1590.7380000000001</v>
      </c>
      <c r="AU47" s="4592"/>
      <c r="AV47" s="4592">
        <v>2163.58</v>
      </c>
      <c r="AW47" s="4592"/>
      <c r="AX47" s="4592">
        <v>1545</v>
      </c>
      <c r="AY47" s="4592">
        <v>0</v>
      </c>
      <c r="AZ47" s="4592">
        <f>потери!H122/1000</f>
        <v>1398.4594229955999</v>
      </c>
      <c r="BA47" s="4592"/>
      <c r="BB47" s="4592">
        <f>SUM(AZ47)</f>
        <v>1398.4594229955999</v>
      </c>
      <c r="BC47" s="4592"/>
      <c r="BD47" s="4592">
        <v>1327.473</v>
      </c>
      <c r="BE47" s="4592"/>
      <c r="BF47" s="4592">
        <v>1235.373</v>
      </c>
      <c r="BG47" s="4592"/>
      <c r="BH47" s="4592">
        <v>1634.7919999999999</v>
      </c>
      <c r="BI47" s="4592"/>
      <c r="BJ47" s="4592">
        <v>1983.9725000000001</v>
      </c>
      <c r="BK47" s="4592"/>
      <c r="BL47" s="4592">
        <v>1327.473</v>
      </c>
      <c r="BM47" s="4592"/>
      <c r="BN47" s="4592">
        <v>1339.557</v>
      </c>
      <c r="BO47" s="4592"/>
      <c r="BP47" s="279"/>
      <c r="BQ47" s="4599">
        <v>702.649</v>
      </c>
      <c r="BR47" s="4600"/>
      <c r="BS47" s="4600">
        <v>1091.2809999999999</v>
      </c>
      <c r="BT47" s="4600"/>
      <c r="BU47" s="4592">
        <v>1394.54</v>
      </c>
      <c r="BV47" s="4601"/>
      <c r="BW47" s="4592">
        <v>1339.557</v>
      </c>
      <c r="BX47" s="4592"/>
      <c r="BY47" s="4592">
        <v>1338.0969</v>
      </c>
      <c r="BZ47" s="4592"/>
      <c r="CA47" s="4602">
        <v>770.68299999999999</v>
      </c>
      <c r="CB47" s="4602"/>
      <c r="CC47" s="4602">
        <v>1057.3710000000001</v>
      </c>
      <c r="CD47" s="4602"/>
      <c r="CE47" s="4592">
        <v>1300.6869999999999</v>
      </c>
      <c r="CF47" s="4592"/>
      <c r="CG47" s="4600">
        <v>1338.0969</v>
      </c>
      <c r="CH47" s="4600"/>
      <c r="CI47" s="4600">
        <v>1357.5888961615101</v>
      </c>
      <c r="CJ47" s="4600"/>
      <c r="CK47" s="4602">
        <v>239.65899999999999</v>
      </c>
      <c r="CL47" s="4602"/>
      <c r="CM47" s="4602">
        <v>427.02850000000001</v>
      </c>
      <c r="CN47" s="4672"/>
    </row>
    <row r="48" spans="1:92" s="181" customFormat="1" ht="36" customHeight="1" x14ac:dyDescent="0.2">
      <c r="A48" s="4390" t="s">
        <v>110</v>
      </c>
      <c r="B48" s="4412"/>
      <c r="C48" s="4412"/>
      <c r="D48" s="4412"/>
      <c r="E48" s="4614">
        <f>E47/E44*100</f>
        <v>19.983996799359872</v>
      </c>
      <c r="F48" s="4587"/>
      <c r="G48" s="4587" t="e">
        <f>G47/G44*100</f>
        <v>#REF!</v>
      </c>
      <c r="H48" s="4587">
        <f>H47/H44*100</f>
        <v>32.152001519229387</v>
      </c>
      <c r="I48" s="4587">
        <f>I47/I44*100</f>
        <v>32.850616517342324</v>
      </c>
      <c r="J48" s="4604"/>
      <c r="K48" s="4615">
        <f>K47/K44*100</f>
        <v>34.18501197673092</v>
      </c>
      <c r="L48" s="4616">
        <f>L47/L44*100</f>
        <v>19.974118267231862</v>
      </c>
      <c r="M48" s="4616">
        <f>M47/(M44+N44)*100</f>
        <v>19.760811024869316</v>
      </c>
      <c r="N48" s="4616"/>
      <c r="O48" s="4589" t="e">
        <f t="shared" si="21"/>
        <v>#REF!</v>
      </c>
      <c r="P48" s="4615">
        <f t="shared" ref="P48:Q48" si="53">P47/P44*100</f>
        <v>31.563550505627514</v>
      </c>
      <c r="Q48" s="4615">
        <f t="shared" si="53"/>
        <v>0</v>
      </c>
      <c r="R48" s="4616">
        <f>R47/R44*100</f>
        <v>33.611320415110121</v>
      </c>
      <c r="S48" s="4616"/>
      <c r="T48" s="4617">
        <f>T47/T44*100</f>
        <v>19.914387900646513</v>
      </c>
      <c r="U48" s="4618">
        <f>U47/U44</f>
        <v>0.29827116612158622</v>
      </c>
      <c r="V48" s="4617"/>
      <c r="W48" s="4618">
        <f>W47/W44</f>
        <v>0.30673006455776664</v>
      </c>
      <c r="X48" s="4617"/>
      <c r="Y48" s="4618">
        <f>Y47/Y44</f>
        <v>0.19710644191923946</v>
      </c>
      <c r="Z48" s="4617"/>
      <c r="AA48" s="4617">
        <f>AA47/AA44*100</f>
        <v>19.700409648550892</v>
      </c>
      <c r="AB48" s="4617"/>
      <c r="AC48" s="4589">
        <f t="shared" si="51"/>
        <v>99.694337564169771</v>
      </c>
      <c r="AD48" s="4617">
        <f>AD47/AD44*100</f>
        <v>19.816676370009318</v>
      </c>
      <c r="AE48" s="4617">
        <f>AE47/AE44*100</f>
        <v>19.700860160986526</v>
      </c>
      <c r="AF48" s="4617"/>
      <c r="AG48" s="4586" t="e">
        <f t="shared" si="52"/>
        <v>#DIV/0!</v>
      </c>
      <c r="AH48" s="4617">
        <f>AH47/AH44*100</f>
        <v>20.076299475441107</v>
      </c>
      <c r="AI48" s="4617"/>
      <c r="AJ48" s="4615">
        <f>AJ47/(AJ44+AK44)*100</f>
        <v>19.615005559335476</v>
      </c>
      <c r="AK48" s="4615">
        <f t="shared" ref="AK48:AQ48" si="54">AK47/(AK44+AL44)*100</f>
        <v>0</v>
      </c>
      <c r="AL48" s="4615">
        <f t="shared" si="54"/>
        <v>97.894736842105274</v>
      </c>
      <c r="AM48" s="4615">
        <f t="shared" si="54"/>
        <v>0</v>
      </c>
      <c r="AN48" s="4615">
        <f t="shared" si="54"/>
        <v>31.821537085018729</v>
      </c>
      <c r="AO48" s="4615">
        <f t="shared" si="54"/>
        <v>0</v>
      </c>
      <c r="AP48" s="4615">
        <f>AP47/(AP44+AQ44)*100</f>
        <v>19.692343967010299</v>
      </c>
      <c r="AQ48" s="4615">
        <f t="shared" si="54"/>
        <v>0</v>
      </c>
      <c r="AR48" s="4615">
        <f>AR47/(AR44+AS44)*100</f>
        <v>19.7</v>
      </c>
      <c r="AS48" s="4617"/>
      <c r="AT48" s="4615">
        <f>AT47/(AT44+AU44)*100</f>
        <v>36.485075925998551</v>
      </c>
      <c r="AU48" s="4617"/>
      <c r="AV48" s="4615">
        <f>AV47/(AV44+AW44)*100</f>
        <v>37.152954267580675</v>
      </c>
      <c r="AW48" s="4617"/>
      <c r="AX48" s="4617">
        <f>AX47/AX44*100</f>
        <v>30.029154518950435</v>
      </c>
      <c r="AY48" s="4617">
        <f t="shared" ref="AY48:BJ48" si="55">AY47/AY44*100</f>
        <v>0</v>
      </c>
      <c r="AZ48" s="4619">
        <f t="shared" si="55"/>
        <v>27.642540176472369</v>
      </c>
      <c r="BA48" s="4617">
        <v>0</v>
      </c>
      <c r="BB48" s="4619">
        <f>SUM(AZ48)</f>
        <v>27.642540176472369</v>
      </c>
      <c r="BC48" s="4617">
        <v>0</v>
      </c>
      <c r="BD48" s="4619">
        <f t="shared" si="55"/>
        <v>27.653192951552501</v>
      </c>
      <c r="BE48" s="4617">
        <v>0</v>
      </c>
      <c r="BF48" s="4619">
        <f t="shared" si="55"/>
        <v>41.367958519963139</v>
      </c>
      <c r="BG48" s="4619">
        <v>0</v>
      </c>
      <c r="BH48" s="4619">
        <f t="shared" si="55"/>
        <v>38.256677634196222</v>
      </c>
      <c r="BI48" s="4619">
        <v>0</v>
      </c>
      <c r="BJ48" s="4619">
        <f t="shared" si="55"/>
        <v>35.994704495980514</v>
      </c>
      <c r="BK48" s="4619">
        <v>0</v>
      </c>
      <c r="BL48" s="4619">
        <f t="shared" ref="BL48:BN48" si="56">BL47/BL44*100</f>
        <v>27.653192951552501</v>
      </c>
      <c r="BM48" s="4617">
        <v>0</v>
      </c>
      <c r="BN48" s="4619">
        <f t="shared" si="56"/>
        <v>27.652647161249877</v>
      </c>
      <c r="BO48" s="4617">
        <v>0</v>
      </c>
      <c r="BP48" s="3779"/>
      <c r="BQ48" s="4620">
        <f t="shared" ref="BQ48" si="57">BQ47/BQ44*100</f>
        <v>28.435458721481034</v>
      </c>
      <c r="BR48" s="4621">
        <v>0</v>
      </c>
      <c r="BS48" s="4621">
        <f t="shared" ref="BS48" si="58">BS47/BS44*100</f>
        <v>29.30713325430591</v>
      </c>
      <c r="BT48" s="4621">
        <v>0</v>
      </c>
      <c r="BU48" s="4619">
        <f t="shared" ref="BU48" si="59">BU47/BU44*100</f>
        <v>28.29268629169907</v>
      </c>
      <c r="BV48" s="4622">
        <v>0</v>
      </c>
      <c r="BW48" s="4619">
        <f t="shared" ref="BW48" si="60">BW47/BW44*100</f>
        <v>27.652647161249877</v>
      </c>
      <c r="BX48" s="4617">
        <v>0</v>
      </c>
      <c r="BY48" s="4619">
        <f t="shared" ref="BY48" si="61">BY47/BY44*100</f>
        <v>27.650109851634426</v>
      </c>
      <c r="BZ48" s="4617">
        <v>0</v>
      </c>
      <c r="CA48" s="4623">
        <f t="shared" ref="CA48:CC48" si="62">CA47/CA44*100</f>
        <v>29.863539947967244</v>
      </c>
      <c r="CB48" s="4624">
        <v>0</v>
      </c>
      <c r="CC48" s="4623">
        <f t="shared" si="62"/>
        <v>28.427647971323584</v>
      </c>
      <c r="CD48" s="4624">
        <v>0</v>
      </c>
      <c r="CE48" s="4619">
        <f t="shared" ref="CE48" si="63">CE47/CE44*100</f>
        <v>26.746030260926002</v>
      </c>
      <c r="CF48" s="4617">
        <v>0</v>
      </c>
      <c r="CG48" s="4621">
        <f t="shared" ref="CG48:CI48" si="64">CG47/CG44*100</f>
        <v>27.650109851634426</v>
      </c>
      <c r="CH48" s="4625">
        <v>0</v>
      </c>
      <c r="CI48" s="4621">
        <f t="shared" si="64"/>
        <v>27.639999999998654</v>
      </c>
      <c r="CJ48" s="4625">
        <v>0</v>
      </c>
      <c r="CK48" s="4623">
        <f t="shared" ref="CK48:CM48" si="65">CK47/CK44*100</f>
        <v>11.159886081702293</v>
      </c>
      <c r="CL48" s="4624">
        <v>0</v>
      </c>
      <c r="CM48" s="4623">
        <f t="shared" si="65"/>
        <v>10.163017728355861</v>
      </c>
      <c r="CN48" s="4674">
        <v>0</v>
      </c>
    </row>
    <row r="49" spans="1:92" ht="36" customHeight="1" x14ac:dyDescent="0.2">
      <c r="A49" s="4481" t="s">
        <v>515</v>
      </c>
      <c r="B49" s="4418"/>
      <c r="C49" s="4418"/>
      <c r="D49" s="4418"/>
      <c r="E49" s="4588">
        <f>SUM(E50:E52)</f>
        <v>4000</v>
      </c>
      <c r="F49" s="4612" t="e">
        <f>E49/C49*100</f>
        <v>#DIV/0!</v>
      </c>
      <c r="G49" s="4588" t="e">
        <f>SUM(G50:G52)</f>
        <v>#REF!</v>
      </c>
      <c r="H49" s="4588">
        <f>SUM(H50:H52)</f>
        <v>2072.1999999999998</v>
      </c>
      <c r="I49" s="4588">
        <f>SUM(I50:I52)</f>
        <v>3027.8999999999996</v>
      </c>
      <c r="J49" s="4613"/>
      <c r="K49" s="4626">
        <f>SUM(K50:K52)</f>
        <v>4039</v>
      </c>
      <c r="L49" s="4591">
        <f>SUM(L50:L52)</f>
        <v>4038.13</v>
      </c>
      <c r="M49" s="4591">
        <f>SUM(M50:M57)</f>
        <v>4006.27</v>
      </c>
      <c r="N49" s="4591">
        <f>SUM(N50:N57)</f>
        <v>46.13</v>
      </c>
      <c r="O49" s="4591" t="e">
        <f t="shared" si="21"/>
        <v>#REF!</v>
      </c>
      <c r="P49" s="4626">
        <f>SUM(P50:P57)</f>
        <v>1976.78</v>
      </c>
      <c r="Q49" s="4626">
        <f t="shared" ref="Q49" si="66">SUM(Q50:Q52)</f>
        <v>13.7</v>
      </c>
      <c r="R49" s="4591">
        <f t="shared" ref="R49:AB49" si="67">SUM(R50:R57)</f>
        <v>3762.2000000000003</v>
      </c>
      <c r="S49" s="4591">
        <f t="shared" si="67"/>
        <v>18.22</v>
      </c>
      <c r="T49" s="4591">
        <f t="shared" si="67"/>
        <v>4010.6369999999997</v>
      </c>
      <c r="U49" s="4591">
        <f t="shared" si="67"/>
        <v>2669.18</v>
      </c>
      <c r="V49" s="4591">
        <f t="shared" si="67"/>
        <v>1.95</v>
      </c>
      <c r="W49" s="4591">
        <f t="shared" si="67"/>
        <v>3566.34</v>
      </c>
      <c r="X49" s="4591">
        <f t="shared" si="67"/>
        <v>2.4</v>
      </c>
      <c r="Y49" s="4591">
        <f t="shared" si="67"/>
        <v>3566.34</v>
      </c>
      <c r="Z49" s="4591">
        <f t="shared" si="67"/>
        <v>2.4</v>
      </c>
      <c r="AA49" s="4590">
        <f t="shared" si="67"/>
        <v>3989.2170000000001</v>
      </c>
      <c r="AB49" s="4590">
        <f t="shared" si="67"/>
        <v>21.42</v>
      </c>
      <c r="AC49" s="4627">
        <f t="shared" si="51"/>
        <v>99.574342218572383</v>
      </c>
      <c r="AD49" s="4590">
        <f>SUM(AD50:AD57)</f>
        <v>4039.0169999999998</v>
      </c>
      <c r="AE49" s="4590">
        <f>SUM(AE50:AE57)</f>
        <v>3896.5800000000004</v>
      </c>
      <c r="AF49" s="4590">
        <f>SUM(AF50:AF57)</f>
        <v>21.42</v>
      </c>
      <c r="AG49" s="4628">
        <f t="shared" si="52"/>
        <v>28442.189781021905</v>
      </c>
      <c r="AH49" s="4590">
        <f t="shared" ref="AH49:AU49" si="68">SUM(AH50:AH57)</f>
        <v>3771</v>
      </c>
      <c r="AI49" s="4590">
        <f t="shared" si="68"/>
        <v>18</v>
      </c>
      <c r="AJ49" s="4590">
        <f t="shared" si="68"/>
        <v>3771</v>
      </c>
      <c r="AK49" s="4590">
        <f t="shared" si="68"/>
        <v>20.349</v>
      </c>
      <c r="AL49" s="4590">
        <f t="shared" si="68"/>
        <v>3600</v>
      </c>
      <c r="AM49" s="4590">
        <f t="shared" si="68"/>
        <v>20</v>
      </c>
      <c r="AN49" s="4590">
        <f t="shared" si="68"/>
        <v>3655.8</v>
      </c>
      <c r="AO49" s="4590">
        <f t="shared" si="68"/>
        <v>1.77</v>
      </c>
      <c r="AP49" s="4590">
        <f t="shared" si="68"/>
        <v>3655.8</v>
      </c>
      <c r="AQ49" s="4590">
        <f t="shared" si="68"/>
        <v>1.77</v>
      </c>
      <c r="AR49" s="4590">
        <f t="shared" si="68"/>
        <v>3600</v>
      </c>
      <c r="AS49" s="4590">
        <f t="shared" si="68"/>
        <v>21.42</v>
      </c>
      <c r="AT49" s="4590">
        <f t="shared" si="68"/>
        <v>2768.0600000000004</v>
      </c>
      <c r="AU49" s="4590">
        <f t="shared" si="68"/>
        <v>1.171</v>
      </c>
      <c r="AV49" s="4590">
        <f>SUM(AV50:AV57)-AV53-AV54-AV55-AV56</f>
        <v>3658.5299999999997</v>
      </c>
      <c r="AW49" s="4590">
        <f>SUM(AW50:AW57)</f>
        <v>1.33</v>
      </c>
      <c r="AX49" s="4590">
        <f>SUM(AX50:AX57)</f>
        <v>3600</v>
      </c>
      <c r="AY49" s="4590">
        <f>SUM(AY50:AY57)</f>
        <v>5</v>
      </c>
      <c r="AZ49" s="4590">
        <f>AZ50+AZ52+AZ57</f>
        <v>3660.6249233333333</v>
      </c>
      <c r="BA49" s="4590">
        <f>BA50+BA51+BA52+BA57</f>
        <v>1.77</v>
      </c>
      <c r="BB49" s="4590">
        <f>BB50+BB52+BB57</f>
        <v>3660.6249233333333</v>
      </c>
      <c r="BC49" s="4590">
        <f>BC50+BC51+BC52+BC57</f>
        <v>1.77</v>
      </c>
      <c r="BD49" s="4590">
        <f>BD50+BD52+BD57</f>
        <v>3472.9599999999996</v>
      </c>
      <c r="BE49" s="4590">
        <f>BE50+BE51+BE52+BE57</f>
        <v>1.77</v>
      </c>
      <c r="BF49" s="4590">
        <f>BF50+BF52+BF57</f>
        <v>1750.931</v>
      </c>
      <c r="BG49" s="4590">
        <f>BG50+BG51+BG52+BG57</f>
        <v>0.55800000000000005</v>
      </c>
      <c r="BH49" s="4590">
        <f>BH50+BH52+BH57</f>
        <v>2638.4280000000003</v>
      </c>
      <c r="BI49" s="4590">
        <f>BI50+BI51+BI52+BI57</f>
        <v>0.82899999999999996</v>
      </c>
      <c r="BJ49" s="4590">
        <f>BJ50+BJ52+BJ57</f>
        <v>3527.873</v>
      </c>
      <c r="BK49" s="4590">
        <f>BK50+BK51+BK52+BK57</f>
        <v>1.129</v>
      </c>
      <c r="BL49" s="4590">
        <f>BL50+BL52+BL57</f>
        <v>3472.9599999999996</v>
      </c>
      <c r="BM49" s="4590">
        <f>BM50+BM51+BM52+BM57</f>
        <v>1.77</v>
      </c>
      <c r="BN49" s="4590">
        <f>BN50+BN52+BN57</f>
        <v>3504.67</v>
      </c>
      <c r="BO49" s="4590">
        <f>BO50+BO51+BO52+BO57</f>
        <v>1.7698</v>
      </c>
      <c r="BP49" s="279"/>
      <c r="BQ49" s="4593">
        <f>BQ50+BQ52+BQ57</f>
        <v>1768.3819999999998</v>
      </c>
      <c r="BR49" s="4594">
        <f>BR50+BR51+BR52+BR57</f>
        <v>0.54100000000000004</v>
      </c>
      <c r="BS49" s="4594">
        <f>BS50+BS52+BS57</f>
        <v>2632.3209999999999</v>
      </c>
      <c r="BT49" s="4594">
        <f>BT50+BT51+BT52+BT57</f>
        <v>0.72599999999999998</v>
      </c>
      <c r="BU49" s="4590">
        <f>BU50+BU52+BU57</f>
        <v>3534.4369999999999</v>
      </c>
      <c r="BV49" s="4595">
        <f>BV50+BV51+BV52+BV57</f>
        <v>0.93200000000000005</v>
      </c>
      <c r="BW49" s="4590">
        <f>BW50+BW52+BW57</f>
        <v>3504.67</v>
      </c>
      <c r="BX49" s="4590">
        <f>BX50+BX51+BX52+BX57</f>
        <v>1.7698</v>
      </c>
      <c r="BY49" s="4590">
        <f>BY50+BY52+BY57</f>
        <v>3501.2939999999999</v>
      </c>
      <c r="BZ49" s="4590">
        <f>BZ50+BZ51+BZ52+BZ57</f>
        <v>1.7698</v>
      </c>
      <c r="CA49" s="4596">
        <f>CA50+CA52+CA57</f>
        <v>1809.999</v>
      </c>
      <c r="CB49" s="4596">
        <f>CB50+CB51+CB52+CB57</f>
        <v>0.41399999999999998</v>
      </c>
      <c r="CC49" s="4596">
        <f>CC50+CC52+CC57</f>
        <v>2662.1453000000001</v>
      </c>
      <c r="CD49" s="4596">
        <f>CD50+CD51+CD52+CD57</f>
        <v>0.59799999999999998</v>
      </c>
      <c r="CE49" s="4590">
        <f>CE50+CE52+CE57</f>
        <v>3562.4159999999997</v>
      </c>
      <c r="CF49" s="4590">
        <f>CF50+CF51+CF52+CF57</f>
        <v>0.78200000000000003</v>
      </c>
      <c r="CG49" s="4594">
        <f>CG50+CG52+CG57</f>
        <v>3501.2939999999999</v>
      </c>
      <c r="CH49" s="4594">
        <f>CH50+CH51+CH52+CH57</f>
        <v>1.7698</v>
      </c>
      <c r="CI49" s="4594">
        <f>CI50+CI52+CI57</f>
        <v>3554.0930725851481</v>
      </c>
      <c r="CJ49" s="4594">
        <f>CJ50+CJ51+CJ52+CJ57</f>
        <v>1.351</v>
      </c>
      <c r="CK49" s="4596">
        <f>CK50+CK52+CK57</f>
        <v>1907.845</v>
      </c>
      <c r="CL49" s="4596">
        <f>CL50+CL51+CL52+CL57</f>
        <v>0.79100000000000004</v>
      </c>
      <c r="CM49" s="4596">
        <f>CM50+CM52+CM57</f>
        <v>3774.7598999999996</v>
      </c>
      <c r="CN49" s="4671">
        <f>CN50+CN51+CN52+CN57</f>
        <v>0.79100000000000004</v>
      </c>
    </row>
    <row r="50" spans="1:92" ht="30" customHeight="1" x14ac:dyDescent="0.2">
      <c r="A50" s="4484" t="s">
        <v>24</v>
      </c>
      <c r="B50" s="4445"/>
      <c r="C50" s="4445"/>
      <c r="D50" s="4445"/>
      <c r="E50" s="4586">
        <v>2800</v>
      </c>
      <c r="F50" s="4586" t="e">
        <f>E50/C50*100</f>
        <v>#DIV/0!</v>
      </c>
      <c r="G50" s="4586">
        <f>E50</f>
        <v>2800</v>
      </c>
      <c r="H50" s="4586">
        <f>1426.4</f>
        <v>1426.4</v>
      </c>
      <c r="I50" s="4586">
        <v>2084.6999999999998</v>
      </c>
      <c r="J50" s="4597"/>
      <c r="K50" s="4598">
        <v>2780.7</v>
      </c>
      <c r="L50" s="4589">
        <v>2800</v>
      </c>
      <c r="M50" s="4589">
        <v>2445.42</v>
      </c>
      <c r="N50" s="4589"/>
      <c r="O50" s="4589">
        <f t="shared" si="21"/>
        <v>87.33642857142857</v>
      </c>
      <c r="P50" s="4598">
        <v>1238.5999999999999</v>
      </c>
      <c r="Q50" s="4598"/>
      <c r="R50" s="4589">
        <v>2377.86</v>
      </c>
      <c r="S50" s="4589"/>
      <c r="T50" s="4592">
        <v>2428.56</v>
      </c>
      <c r="U50" s="4592">
        <v>1744.17</v>
      </c>
      <c r="V50" s="4592"/>
      <c r="W50" s="4592">
        <v>2311.15</v>
      </c>
      <c r="X50" s="4592"/>
      <c r="Y50" s="4592">
        <v>2311.15</v>
      </c>
      <c r="Z50" s="4592"/>
      <c r="AA50" s="4592">
        <f>T50</f>
        <v>2428.56</v>
      </c>
      <c r="AB50" s="4592">
        <v>0</v>
      </c>
      <c r="AC50" s="4589">
        <f t="shared" si="51"/>
        <v>99.310547881345528</v>
      </c>
      <c r="AD50" s="4592">
        <v>2428.56</v>
      </c>
      <c r="AE50" s="4592">
        <v>2388.7330000000002</v>
      </c>
      <c r="AF50" s="4592">
        <v>0</v>
      </c>
      <c r="AG50" s="4586" t="e">
        <f t="shared" si="52"/>
        <v>#DIV/0!</v>
      </c>
      <c r="AH50" s="4592">
        <v>2380</v>
      </c>
      <c r="AI50" s="4592">
        <v>0</v>
      </c>
      <c r="AJ50" s="4592">
        <v>2380</v>
      </c>
      <c r="AK50" s="4592">
        <v>0</v>
      </c>
      <c r="AL50" s="4592">
        <v>2360</v>
      </c>
      <c r="AM50" s="4592">
        <v>0</v>
      </c>
      <c r="AN50" s="4592">
        <v>2447.77</v>
      </c>
      <c r="AO50" s="4592">
        <v>0</v>
      </c>
      <c r="AP50" s="4592">
        <v>2447.77</v>
      </c>
      <c r="AQ50" s="4592"/>
      <c r="AR50" s="4592">
        <v>2360</v>
      </c>
      <c r="AS50" s="4592">
        <v>0</v>
      </c>
      <c r="AT50" s="4592">
        <v>1845.43</v>
      </c>
      <c r="AU50" s="4592"/>
      <c r="AV50" s="4592">
        <v>2423.98</v>
      </c>
      <c r="AW50" s="4592"/>
      <c r="AX50" s="4592">
        <v>2360</v>
      </c>
      <c r="AY50" s="4592"/>
      <c r="AZ50" s="4592">
        <f>AT50/9*12</f>
        <v>2460.5733333333333</v>
      </c>
      <c r="BA50" s="4592"/>
      <c r="BB50" s="4592">
        <f>SUM(AZ50)</f>
        <v>2460.5733333333333</v>
      </c>
      <c r="BC50" s="4592"/>
      <c r="BD50" s="4592">
        <v>2302.7809999999999</v>
      </c>
      <c r="BE50" s="4592"/>
      <c r="BF50" s="4592">
        <v>1191.5940000000001</v>
      </c>
      <c r="BG50" s="4592"/>
      <c r="BH50" s="4592">
        <v>1796.0029999999999</v>
      </c>
      <c r="BI50" s="4592"/>
      <c r="BJ50" s="4592">
        <v>2389.7370000000001</v>
      </c>
      <c r="BK50" s="4592"/>
      <c r="BL50" s="4592">
        <v>2302.7809999999999</v>
      </c>
      <c r="BM50" s="4592"/>
      <c r="BN50" s="4592">
        <v>2374.02</v>
      </c>
      <c r="BO50" s="4592"/>
      <c r="BP50" s="279"/>
      <c r="BQ50" s="4599">
        <v>1221.021</v>
      </c>
      <c r="BR50" s="4600"/>
      <c r="BS50" s="4600">
        <v>1813.961</v>
      </c>
      <c r="BT50" s="4600"/>
      <c r="BU50" s="4592">
        <v>2417.0459999999998</v>
      </c>
      <c r="BV50" s="4601"/>
      <c r="BW50" s="4592">
        <v>2374.02</v>
      </c>
      <c r="BX50" s="4592"/>
      <c r="BY50" s="4592">
        <v>2374.02</v>
      </c>
      <c r="BZ50" s="4592"/>
      <c r="CA50" s="4602">
        <v>1242.634</v>
      </c>
      <c r="CB50" s="4602"/>
      <c r="CC50" s="4602">
        <v>1829.7835</v>
      </c>
      <c r="CD50" s="4602"/>
      <c r="CE50" s="4592">
        <v>2443.2674999999999</v>
      </c>
      <c r="CF50" s="4592"/>
      <c r="CG50" s="4600">
        <v>2374.02</v>
      </c>
      <c r="CH50" s="4600"/>
      <c r="CI50" s="4600">
        <v>2413.1433086400002</v>
      </c>
      <c r="CJ50" s="4600"/>
      <c r="CK50" s="4602">
        <v>1351.952</v>
      </c>
      <c r="CL50" s="4602"/>
      <c r="CM50" s="4602">
        <v>2668.85</v>
      </c>
      <c r="CN50" s="4672"/>
    </row>
    <row r="51" spans="1:92" ht="28.5" customHeight="1" x14ac:dyDescent="0.2">
      <c r="A51" s="4484" t="s">
        <v>25</v>
      </c>
      <c r="B51" s="4445"/>
      <c r="C51" s="4445"/>
      <c r="D51" s="4445"/>
      <c r="E51" s="4586">
        <v>25</v>
      </c>
      <c r="F51" s="4586" t="e">
        <f>E51/C51*100</f>
        <v>#DIV/0!</v>
      </c>
      <c r="G51" s="4586" t="e">
        <f>#REF!</f>
        <v>#REF!</v>
      </c>
      <c r="H51" s="4586">
        <v>28</v>
      </c>
      <c r="I51" s="4586">
        <v>38.5</v>
      </c>
      <c r="J51" s="4597"/>
      <c r="K51" s="4598">
        <v>49.8</v>
      </c>
      <c r="L51" s="4589">
        <v>46.13</v>
      </c>
      <c r="M51" s="4589">
        <v>0</v>
      </c>
      <c r="N51" s="4589">
        <v>46.13</v>
      </c>
      <c r="O51" s="4589" t="e">
        <f t="shared" si="21"/>
        <v>#REF!</v>
      </c>
      <c r="P51" s="4598"/>
      <c r="Q51" s="4598">
        <v>13.7</v>
      </c>
      <c r="R51" s="4589">
        <v>0</v>
      </c>
      <c r="S51" s="4589">
        <v>18.22</v>
      </c>
      <c r="T51" s="4592">
        <v>21.42</v>
      </c>
      <c r="U51" s="4592"/>
      <c r="V51" s="4592">
        <v>1.95</v>
      </c>
      <c r="W51" s="4592"/>
      <c r="X51" s="4592">
        <v>2.4</v>
      </c>
      <c r="Y51" s="4592"/>
      <c r="Z51" s="4592">
        <v>2.4</v>
      </c>
      <c r="AA51" s="4592"/>
      <c r="AB51" s="4592">
        <v>21.42</v>
      </c>
      <c r="AC51" s="4589" t="e">
        <f t="shared" si="51"/>
        <v>#DIV/0!</v>
      </c>
      <c r="AD51" s="4592">
        <v>49.8</v>
      </c>
      <c r="AE51" s="4592"/>
      <c r="AF51" s="4592">
        <f>AB51</f>
        <v>21.42</v>
      </c>
      <c r="AG51" s="4586">
        <f t="shared" si="52"/>
        <v>0</v>
      </c>
      <c r="AH51" s="4592"/>
      <c r="AI51" s="4592">
        <v>18</v>
      </c>
      <c r="AJ51" s="4592"/>
      <c r="AK51" s="4592">
        <f>AB51*(1-0.05)</f>
        <v>20.349</v>
      </c>
      <c r="AL51" s="4592"/>
      <c r="AM51" s="4592">
        <v>20</v>
      </c>
      <c r="AN51" s="4592">
        <v>0</v>
      </c>
      <c r="AO51" s="4592">
        <v>1.77</v>
      </c>
      <c r="AP51" s="4592">
        <v>0</v>
      </c>
      <c r="AQ51" s="4592">
        <v>1.77</v>
      </c>
      <c r="AR51" s="4592"/>
      <c r="AS51" s="4592">
        <f>AF51</f>
        <v>21.42</v>
      </c>
      <c r="AT51" s="4592"/>
      <c r="AU51" s="4592">
        <v>1.171</v>
      </c>
      <c r="AV51" s="4592"/>
      <c r="AW51" s="4592">
        <v>1.33</v>
      </c>
      <c r="AX51" s="4592"/>
      <c r="AY51" s="4592">
        <v>5</v>
      </c>
      <c r="AZ51" s="4592"/>
      <c r="BA51" s="4592">
        <f>AQ51</f>
        <v>1.77</v>
      </c>
      <c r="BB51" s="4592"/>
      <c r="BC51" s="4592">
        <v>1.77</v>
      </c>
      <c r="BD51" s="4592"/>
      <c r="BE51" s="4592">
        <v>1.77</v>
      </c>
      <c r="BF51" s="4592"/>
      <c r="BG51" s="4592">
        <v>0.55800000000000005</v>
      </c>
      <c r="BH51" s="4592"/>
      <c r="BI51" s="4592">
        <v>0.82899999999999996</v>
      </c>
      <c r="BJ51" s="4592"/>
      <c r="BK51" s="4592">
        <v>1.129</v>
      </c>
      <c r="BL51" s="4592"/>
      <c r="BM51" s="4592">
        <v>1.77</v>
      </c>
      <c r="BN51" s="4592"/>
      <c r="BO51" s="4592">
        <v>1.7698</v>
      </c>
      <c r="BP51" s="279"/>
      <c r="BQ51" s="4599"/>
      <c r="BR51" s="4600">
        <v>0.54100000000000004</v>
      </c>
      <c r="BS51" s="4600"/>
      <c r="BT51" s="4600">
        <v>0.72599999999999998</v>
      </c>
      <c r="BU51" s="4592"/>
      <c r="BV51" s="4601">
        <v>0.93200000000000005</v>
      </c>
      <c r="BW51" s="4592"/>
      <c r="BX51" s="4592">
        <v>1.7698</v>
      </c>
      <c r="BY51" s="4592"/>
      <c r="BZ51" s="4592">
        <v>1.7698</v>
      </c>
      <c r="CA51" s="4602"/>
      <c r="CB51" s="4602">
        <v>0.41399999999999998</v>
      </c>
      <c r="CC51" s="4602"/>
      <c r="CD51" s="4602">
        <v>0.59799999999999998</v>
      </c>
      <c r="CE51" s="4592"/>
      <c r="CF51" s="4592">
        <v>0.78200000000000003</v>
      </c>
      <c r="CG51" s="4600"/>
      <c r="CH51" s="4600">
        <v>1.7698</v>
      </c>
      <c r="CI51" s="4600"/>
      <c r="CJ51" s="4600">
        <v>1.351</v>
      </c>
      <c r="CK51" s="4602"/>
      <c r="CL51" s="4602">
        <v>0.79100000000000004</v>
      </c>
      <c r="CM51" s="4602"/>
      <c r="CN51" s="4672">
        <v>0.79100000000000004</v>
      </c>
    </row>
    <row r="52" spans="1:92" ht="27.75" customHeight="1" x14ac:dyDescent="0.2">
      <c r="A52" s="4484" t="s">
        <v>3643</v>
      </c>
      <c r="B52" s="4445"/>
      <c r="C52" s="4445"/>
      <c r="D52" s="4445"/>
      <c r="E52" s="4586">
        <v>1175</v>
      </c>
      <c r="F52" s="4586" t="e">
        <f>E52/C52*100</f>
        <v>#DIV/0!</v>
      </c>
      <c r="G52" s="4586" t="e">
        <f>#REF!</f>
        <v>#REF!</v>
      </c>
      <c r="H52" s="4586">
        <v>617.79999999999995</v>
      </c>
      <c r="I52" s="4586">
        <v>904.7</v>
      </c>
      <c r="J52" s="4597"/>
      <c r="K52" s="4598">
        <v>1208.5</v>
      </c>
      <c r="L52" s="4589">
        <v>1192</v>
      </c>
      <c r="M52" s="4589">
        <v>1003.29</v>
      </c>
      <c r="N52" s="4589"/>
      <c r="O52" s="4589" t="e">
        <f t="shared" si="21"/>
        <v>#REF!</v>
      </c>
      <c r="P52" s="4598">
        <v>539.03</v>
      </c>
      <c r="Q52" s="4598"/>
      <c r="R52" s="4589">
        <v>995.48</v>
      </c>
      <c r="S52" s="4589"/>
      <c r="T52" s="4592">
        <v>1003.1</v>
      </c>
      <c r="U52" s="4592">
        <f>671.02-1.95</f>
        <v>669.06999999999994</v>
      </c>
      <c r="V52" s="4592"/>
      <c r="W52" s="4592">
        <v>914.56</v>
      </c>
      <c r="X52" s="4592"/>
      <c r="Y52" s="4592">
        <v>914.56</v>
      </c>
      <c r="Z52" s="4592"/>
      <c r="AA52" s="4592">
        <f>T52+13.577</f>
        <v>1016.677</v>
      </c>
      <c r="AB52" s="4592">
        <v>0</v>
      </c>
      <c r="AC52" s="4589">
        <f t="shared" si="51"/>
        <v>101.33431011970617</v>
      </c>
      <c r="AD52" s="4592">
        <v>1003.1</v>
      </c>
      <c r="AE52" s="4592">
        <v>977.11300000000006</v>
      </c>
      <c r="AF52" s="4592">
        <v>0</v>
      </c>
      <c r="AG52" s="4586" t="e">
        <f t="shared" si="52"/>
        <v>#DIV/0!</v>
      </c>
      <c r="AH52" s="4592">
        <v>996</v>
      </c>
      <c r="AI52" s="4592">
        <v>0</v>
      </c>
      <c r="AJ52" s="4592">
        <v>996</v>
      </c>
      <c r="AK52" s="4592">
        <v>0</v>
      </c>
      <c r="AL52" s="4592">
        <v>920</v>
      </c>
      <c r="AM52" s="4592">
        <v>0</v>
      </c>
      <c r="AN52" s="4592">
        <v>895.28</v>
      </c>
      <c r="AO52" s="4592">
        <v>0</v>
      </c>
      <c r="AP52" s="4592">
        <v>895.28</v>
      </c>
      <c r="AQ52" s="4592"/>
      <c r="AR52" s="4592">
        <v>920</v>
      </c>
      <c r="AS52" s="4592">
        <v>0</v>
      </c>
      <c r="AT52" s="4592">
        <v>693.83</v>
      </c>
      <c r="AU52" s="4592"/>
      <c r="AV52" s="4592">
        <v>924.27</v>
      </c>
      <c r="AW52" s="4592"/>
      <c r="AX52" s="4592">
        <v>920</v>
      </c>
      <c r="AY52" s="4592"/>
      <c r="AZ52" s="4592">
        <f>AN52</f>
        <v>895.28</v>
      </c>
      <c r="BA52" s="4592"/>
      <c r="BB52" s="4592">
        <f>AP52</f>
        <v>895.28</v>
      </c>
      <c r="BC52" s="4592"/>
      <c r="BD52" s="4592">
        <v>895.28</v>
      </c>
      <c r="BE52" s="4592"/>
      <c r="BF52" s="4592">
        <v>421.73399999999998</v>
      </c>
      <c r="BG52" s="4592"/>
      <c r="BH52" s="4592">
        <v>644.04700000000003</v>
      </c>
      <c r="BI52" s="4592"/>
      <c r="BJ52" s="4592">
        <v>864.65</v>
      </c>
      <c r="BK52" s="4592"/>
      <c r="BL52" s="4592">
        <v>895.28</v>
      </c>
      <c r="BM52" s="4592"/>
      <c r="BN52" s="4592">
        <v>858.15800000000002</v>
      </c>
      <c r="BO52" s="4592"/>
      <c r="BP52" s="279"/>
      <c r="BQ52" s="4599">
        <v>372.77499999999998</v>
      </c>
      <c r="BR52" s="4600"/>
      <c r="BS52" s="4600">
        <v>577.91300000000001</v>
      </c>
      <c r="BT52" s="4600"/>
      <c r="BU52" s="4592">
        <v>804.16600000000005</v>
      </c>
      <c r="BV52" s="4601"/>
      <c r="BW52" s="4592">
        <v>858.15800000000002</v>
      </c>
      <c r="BX52" s="4592"/>
      <c r="BY52" s="4592">
        <v>858.15800000000002</v>
      </c>
      <c r="BZ52" s="4592"/>
      <c r="CA52" s="4602">
        <v>423.46699999999998</v>
      </c>
      <c r="CB52" s="4602"/>
      <c r="CC52" s="4602">
        <v>627.83900000000006</v>
      </c>
      <c r="CD52" s="4602"/>
      <c r="CE52" s="4592">
        <v>841.32299999999998</v>
      </c>
      <c r="CF52" s="4592"/>
      <c r="CG52" s="4600">
        <v>858.15800000000002</v>
      </c>
      <c r="CH52" s="4600"/>
      <c r="CI52" s="4600">
        <v>830.94976394514799</v>
      </c>
      <c r="CJ52" s="4600"/>
      <c r="CK52" s="4602">
        <v>417.50599999999997</v>
      </c>
      <c r="CL52" s="4602"/>
      <c r="CM52" s="4602">
        <v>837.46889999999996</v>
      </c>
      <c r="CN52" s="4672"/>
    </row>
    <row r="53" spans="1:92" ht="27.75" customHeight="1" x14ac:dyDescent="0.2">
      <c r="A53" s="4390" t="s">
        <v>3644</v>
      </c>
      <c r="B53" s="4445"/>
      <c r="C53" s="4445"/>
      <c r="D53" s="4445"/>
      <c r="E53" s="4586"/>
      <c r="F53" s="4586"/>
      <c r="G53" s="4586"/>
      <c r="H53" s="4586"/>
      <c r="I53" s="4586"/>
      <c r="J53" s="4597"/>
      <c r="K53" s="4598"/>
      <c r="L53" s="4589"/>
      <c r="M53" s="4589"/>
      <c r="N53" s="4589"/>
      <c r="O53" s="4589"/>
      <c r="P53" s="4598"/>
      <c r="Q53" s="4598"/>
      <c r="R53" s="4589"/>
      <c r="S53" s="4589"/>
      <c r="T53" s="4592"/>
      <c r="U53" s="4592"/>
      <c r="V53" s="4592"/>
      <c r="W53" s="4592"/>
      <c r="X53" s="4592"/>
      <c r="Y53" s="4592"/>
      <c r="Z53" s="4592"/>
      <c r="AA53" s="4592"/>
      <c r="AB53" s="4592"/>
      <c r="AC53" s="4589"/>
      <c r="AD53" s="4592"/>
      <c r="AE53" s="4592"/>
      <c r="AF53" s="4592"/>
      <c r="AG53" s="4586"/>
      <c r="AH53" s="4592"/>
      <c r="AI53" s="4592"/>
      <c r="AJ53" s="4592"/>
      <c r="AK53" s="4592"/>
      <c r="AL53" s="4592"/>
      <c r="AM53" s="4592"/>
      <c r="AN53" s="4592"/>
      <c r="AO53" s="4592"/>
      <c r="AP53" s="4592"/>
      <c r="AQ53" s="4592"/>
      <c r="AR53" s="4592"/>
      <c r="AS53" s="4592"/>
      <c r="AT53" s="4592"/>
      <c r="AU53" s="4592"/>
      <c r="AV53" s="4629">
        <f>SUM(AV54:AV56)</f>
        <v>310.53699999999998</v>
      </c>
      <c r="AW53" s="4592"/>
      <c r="AX53" s="4592"/>
      <c r="AY53" s="4592"/>
      <c r="AZ53" s="4629">
        <f>SUM(AZ54:AZ56)</f>
        <v>300.80400000000003</v>
      </c>
      <c r="BA53" s="4592"/>
      <c r="BB53" s="4629">
        <f>SUM(BB54:BB56)</f>
        <v>300.80400000000003</v>
      </c>
      <c r="BC53" s="4592"/>
      <c r="BD53" s="4629">
        <f>SUM(BD54:BD56)</f>
        <v>300.80400000000003</v>
      </c>
      <c r="BE53" s="4592"/>
      <c r="BF53" s="4629">
        <f>SUM(BF54:BF56)</f>
        <v>141.69400000000002</v>
      </c>
      <c r="BG53" s="4592"/>
      <c r="BH53" s="4629">
        <f>SUM(BH54:BH56)</f>
        <v>209.55100000000002</v>
      </c>
      <c r="BI53" s="4629"/>
      <c r="BJ53" s="4629">
        <v>290.233</v>
      </c>
      <c r="BK53" s="4592"/>
      <c r="BL53" s="4629">
        <f>SUM(BL54:BL56)</f>
        <v>300.80400000000003</v>
      </c>
      <c r="BM53" s="4592"/>
      <c r="BN53" s="4629">
        <f>SUM(BN54:BN56)</f>
        <v>288.32399999999996</v>
      </c>
      <c r="BO53" s="4592"/>
      <c r="BP53" s="279"/>
      <c r="BQ53" s="4630">
        <f>SUM(BQ54:BQ56)</f>
        <v>124.25999999999999</v>
      </c>
      <c r="BR53" s="4600"/>
      <c r="BS53" s="4631">
        <f>SUM(BS54:BS56)</f>
        <v>186.98699999999999</v>
      </c>
      <c r="BT53" s="4631"/>
      <c r="BU53" s="4629">
        <f>SUM(BU54:BU56)</f>
        <v>268.38900000000001</v>
      </c>
      <c r="BV53" s="4601"/>
      <c r="BW53" s="4629">
        <f>SUM(BW54:BW56)</f>
        <v>288.32399999999996</v>
      </c>
      <c r="BX53" s="4592"/>
      <c r="BY53" s="4629">
        <f>SUM(BY54:BY56)</f>
        <v>288.32399999999996</v>
      </c>
      <c r="BZ53" s="4592"/>
      <c r="CA53" s="4632">
        <f>SUM(CA54:CA56)</f>
        <v>144.255</v>
      </c>
      <c r="CB53" s="4602"/>
      <c r="CC53" s="4632">
        <f>SUM(CC54:CC56)</f>
        <v>209.173</v>
      </c>
      <c r="CD53" s="4602"/>
      <c r="CE53" s="4629">
        <f>SUM(CE54:CE56)</f>
        <v>288.69</v>
      </c>
      <c r="CF53" s="4592"/>
      <c r="CG53" s="4631">
        <f>SUM(CG54:CG56)</f>
        <v>288.32399999999996</v>
      </c>
      <c r="CH53" s="4600"/>
      <c r="CI53" s="4631">
        <v>285.13054718975297</v>
      </c>
      <c r="CJ53" s="4600"/>
      <c r="CK53" s="4632">
        <f>SUM(CK54:CK56)</f>
        <v>149.678</v>
      </c>
      <c r="CL53" s="4602"/>
      <c r="CM53" s="4632">
        <f>SUM(CM54:CM56)</f>
        <v>301.60699999999997</v>
      </c>
      <c r="CN53" s="4672"/>
    </row>
    <row r="54" spans="1:92" ht="27.75" customHeight="1" x14ac:dyDescent="0.2">
      <c r="A54" s="4633" t="s">
        <v>3646</v>
      </c>
      <c r="B54" s="4445"/>
      <c r="C54" s="4445"/>
      <c r="D54" s="4445"/>
      <c r="E54" s="4586"/>
      <c r="F54" s="4586"/>
      <c r="G54" s="4586"/>
      <c r="H54" s="4586"/>
      <c r="I54" s="4586"/>
      <c r="J54" s="4597"/>
      <c r="K54" s="4598"/>
      <c r="L54" s="4589"/>
      <c r="M54" s="4589"/>
      <c r="N54" s="4589"/>
      <c r="O54" s="4589"/>
      <c r="P54" s="4598"/>
      <c r="Q54" s="4598"/>
      <c r="R54" s="4589"/>
      <c r="S54" s="4589"/>
      <c r="T54" s="4592"/>
      <c r="U54" s="4592"/>
      <c r="V54" s="4592"/>
      <c r="W54" s="4592"/>
      <c r="X54" s="4592"/>
      <c r="Y54" s="4592"/>
      <c r="Z54" s="4592"/>
      <c r="AA54" s="4592"/>
      <c r="AB54" s="4592"/>
      <c r="AC54" s="4589"/>
      <c r="AD54" s="4592"/>
      <c r="AE54" s="4592"/>
      <c r="AF54" s="4592"/>
      <c r="AG54" s="4586"/>
      <c r="AH54" s="4592"/>
      <c r="AI54" s="4592"/>
      <c r="AJ54" s="4592"/>
      <c r="AK54" s="4592"/>
      <c r="AL54" s="4592"/>
      <c r="AM54" s="4592"/>
      <c r="AN54" s="4592"/>
      <c r="AO54" s="4592"/>
      <c r="AP54" s="4592"/>
      <c r="AQ54" s="4592"/>
      <c r="AR54" s="4592"/>
      <c r="AS54" s="4592"/>
      <c r="AT54" s="4592"/>
      <c r="AU54" s="4592"/>
      <c r="AV54" s="4629">
        <v>119.095</v>
      </c>
      <c r="AW54" s="4592"/>
      <c r="AX54" s="4592"/>
      <c r="AY54" s="4592"/>
      <c r="AZ54" s="4629">
        <v>115.357</v>
      </c>
      <c r="BA54" s="4592"/>
      <c r="BB54" s="4629">
        <v>115.357</v>
      </c>
      <c r="BC54" s="4592"/>
      <c r="BD54" s="4629">
        <v>115.357</v>
      </c>
      <c r="BE54" s="4592"/>
      <c r="BF54" s="4629">
        <v>54.34</v>
      </c>
      <c r="BG54" s="4592"/>
      <c r="BH54" s="4629">
        <v>74.677000000000007</v>
      </c>
      <c r="BI54" s="4629"/>
      <c r="BJ54" s="4629">
        <v>104.788</v>
      </c>
      <c r="BK54" s="4592"/>
      <c r="BL54" s="4629">
        <v>115.357</v>
      </c>
      <c r="BM54" s="4592"/>
      <c r="BN54" s="4629">
        <v>110.428</v>
      </c>
      <c r="BO54" s="4592"/>
      <c r="BP54" s="279"/>
      <c r="BQ54" s="4630">
        <v>47.325000000000003</v>
      </c>
      <c r="BR54" s="4600"/>
      <c r="BS54" s="4631">
        <v>78.103999999999999</v>
      </c>
      <c r="BT54" s="4631"/>
      <c r="BU54" s="4629">
        <v>109.983</v>
      </c>
      <c r="BV54" s="4601"/>
      <c r="BW54" s="4629">
        <v>110.428</v>
      </c>
      <c r="BX54" s="4592"/>
      <c r="BY54" s="4629">
        <v>110.428</v>
      </c>
      <c r="BZ54" s="4592"/>
      <c r="CA54" s="4632">
        <v>51.213000000000001</v>
      </c>
      <c r="CB54" s="4602"/>
      <c r="CC54" s="4632">
        <v>73.421000000000006</v>
      </c>
      <c r="CD54" s="4602"/>
      <c r="CE54" s="4629">
        <v>105.276</v>
      </c>
      <c r="CF54" s="4592"/>
      <c r="CG54" s="4631">
        <v>110.428</v>
      </c>
      <c r="CH54" s="4600"/>
      <c r="CI54" s="4631"/>
      <c r="CJ54" s="4600"/>
      <c r="CK54" s="4632">
        <v>45.91</v>
      </c>
      <c r="CL54" s="4602"/>
      <c r="CM54" s="4632">
        <v>98.36</v>
      </c>
      <c r="CN54" s="4672"/>
    </row>
    <row r="55" spans="1:92" ht="27.75" customHeight="1" x14ac:dyDescent="0.2">
      <c r="A55" s="4633" t="s">
        <v>3645</v>
      </c>
      <c r="B55" s="4445"/>
      <c r="C55" s="4445"/>
      <c r="D55" s="4445"/>
      <c r="E55" s="4586"/>
      <c r="F55" s="4586"/>
      <c r="G55" s="4586"/>
      <c r="H55" s="4586"/>
      <c r="I55" s="4586"/>
      <c r="J55" s="4597"/>
      <c r="K55" s="4598"/>
      <c r="L55" s="4589"/>
      <c r="M55" s="4589"/>
      <c r="N55" s="4589"/>
      <c r="O55" s="4589"/>
      <c r="P55" s="4598"/>
      <c r="Q55" s="4598"/>
      <c r="R55" s="4589"/>
      <c r="S55" s="4589"/>
      <c r="T55" s="4592"/>
      <c r="U55" s="4592"/>
      <c r="V55" s="4592"/>
      <c r="W55" s="4592"/>
      <c r="X55" s="4592"/>
      <c r="Y55" s="4592"/>
      <c r="Z55" s="4592"/>
      <c r="AA55" s="4592"/>
      <c r="AB55" s="4592"/>
      <c r="AC55" s="4589"/>
      <c r="AD55" s="4592"/>
      <c r="AE55" s="4592"/>
      <c r="AF55" s="4592"/>
      <c r="AG55" s="4586"/>
      <c r="AH55" s="4592"/>
      <c r="AI55" s="4592"/>
      <c r="AJ55" s="4592"/>
      <c r="AK55" s="4592"/>
      <c r="AL55" s="4592"/>
      <c r="AM55" s="4592"/>
      <c r="AN55" s="4592"/>
      <c r="AO55" s="4592"/>
      <c r="AP55" s="4592"/>
      <c r="AQ55" s="4592"/>
      <c r="AR55" s="4592"/>
      <c r="AS55" s="4592"/>
      <c r="AT55" s="4592"/>
      <c r="AU55" s="4592"/>
      <c r="AV55" s="4629">
        <v>91.5</v>
      </c>
      <c r="AW55" s="4592"/>
      <c r="AX55" s="4592"/>
      <c r="AY55" s="4592"/>
      <c r="AZ55" s="4629">
        <v>88.64</v>
      </c>
      <c r="BA55" s="4592"/>
      <c r="BB55" s="4629">
        <v>88.64</v>
      </c>
      <c r="BC55" s="4592"/>
      <c r="BD55" s="4629">
        <v>88.64</v>
      </c>
      <c r="BE55" s="4592"/>
      <c r="BF55" s="4629">
        <v>41.752000000000002</v>
      </c>
      <c r="BG55" s="4592"/>
      <c r="BH55" s="4629">
        <v>66.778000000000006</v>
      </c>
      <c r="BI55" s="4629"/>
      <c r="BJ55" s="4629">
        <v>89.426000000000002</v>
      </c>
      <c r="BK55" s="4592"/>
      <c r="BL55" s="4629">
        <v>88.64</v>
      </c>
      <c r="BM55" s="4592"/>
      <c r="BN55" s="4629">
        <v>85.055999999999997</v>
      </c>
      <c r="BO55" s="4592"/>
      <c r="BP55" s="279"/>
      <c r="BQ55" s="4630">
        <v>40.710999999999999</v>
      </c>
      <c r="BR55" s="4600"/>
      <c r="BS55" s="4631">
        <v>61.357999999999997</v>
      </c>
      <c r="BT55" s="4631"/>
      <c r="BU55" s="4629">
        <v>81.251000000000005</v>
      </c>
      <c r="BV55" s="4601"/>
      <c r="BW55" s="4629">
        <v>85.055999999999997</v>
      </c>
      <c r="BX55" s="4592"/>
      <c r="BY55" s="4629">
        <v>85.055999999999997</v>
      </c>
      <c r="BZ55" s="4592"/>
      <c r="CA55" s="4632">
        <v>51.247</v>
      </c>
      <c r="CB55" s="4602"/>
      <c r="CC55" s="4632">
        <v>81.37</v>
      </c>
      <c r="CD55" s="4602"/>
      <c r="CE55" s="4629">
        <v>105.443</v>
      </c>
      <c r="CF55" s="4592"/>
      <c r="CG55" s="4631">
        <v>85.055999999999997</v>
      </c>
      <c r="CH55" s="4600"/>
      <c r="CI55" s="4631"/>
      <c r="CJ55" s="4600"/>
      <c r="CK55" s="4632">
        <v>52.433</v>
      </c>
      <c r="CL55" s="4602"/>
      <c r="CM55" s="4632">
        <v>105.206</v>
      </c>
      <c r="CN55" s="4672"/>
    </row>
    <row r="56" spans="1:92" ht="27.75" customHeight="1" x14ac:dyDescent="0.2">
      <c r="A56" s="4633" t="s">
        <v>3647</v>
      </c>
      <c r="B56" s="4445"/>
      <c r="C56" s="4445"/>
      <c r="D56" s="4445"/>
      <c r="E56" s="4586"/>
      <c r="F56" s="4586"/>
      <c r="G56" s="4586"/>
      <c r="H56" s="4586"/>
      <c r="I56" s="4586"/>
      <c r="J56" s="4597"/>
      <c r="K56" s="4598"/>
      <c r="L56" s="4589"/>
      <c r="M56" s="4589"/>
      <c r="N56" s="4589"/>
      <c r="O56" s="4589"/>
      <c r="P56" s="4598"/>
      <c r="Q56" s="4598"/>
      <c r="R56" s="4589"/>
      <c r="S56" s="4589"/>
      <c r="T56" s="4592"/>
      <c r="U56" s="4592"/>
      <c r="V56" s="4592"/>
      <c r="W56" s="4592"/>
      <c r="X56" s="4592"/>
      <c r="Y56" s="4592"/>
      <c r="Z56" s="4592"/>
      <c r="AA56" s="4592"/>
      <c r="AB56" s="4592"/>
      <c r="AC56" s="4589"/>
      <c r="AD56" s="4592"/>
      <c r="AE56" s="4592"/>
      <c r="AF56" s="4592"/>
      <c r="AG56" s="4586"/>
      <c r="AH56" s="4592"/>
      <c r="AI56" s="4592"/>
      <c r="AJ56" s="4592"/>
      <c r="AK56" s="4592"/>
      <c r="AL56" s="4592"/>
      <c r="AM56" s="4592"/>
      <c r="AN56" s="4592"/>
      <c r="AO56" s="4592"/>
      <c r="AP56" s="4592"/>
      <c r="AQ56" s="4592"/>
      <c r="AR56" s="4592"/>
      <c r="AS56" s="4592"/>
      <c r="AT56" s="4592"/>
      <c r="AU56" s="4592"/>
      <c r="AV56" s="4629">
        <v>99.941999999999993</v>
      </c>
      <c r="AW56" s="4592"/>
      <c r="AX56" s="4592"/>
      <c r="AY56" s="4592"/>
      <c r="AZ56" s="4629">
        <v>96.807000000000002</v>
      </c>
      <c r="BA56" s="4592"/>
      <c r="BB56" s="4629">
        <v>96.807000000000002</v>
      </c>
      <c r="BC56" s="4592"/>
      <c r="BD56" s="4629">
        <v>96.807000000000002</v>
      </c>
      <c r="BE56" s="4592"/>
      <c r="BF56" s="4629">
        <v>45.601999999999997</v>
      </c>
      <c r="BG56" s="4592"/>
      <c r="BH56" s="4629">
        <v>68.096000000000004</v>
      </c>
      <c r="BI56" s="4629"/>
      <c r="BJ56" s="4629">
        <v>96.019000000000005</v>
      </c>
      <c r="BK56" s="4592"/>
      <c r="BL56" s="4629">
        <v>96.807000000000002</v>
      </c>
      <c r="BM56" s="4592"/>
      <c r="BN56" s="4629">
        <v>92.84</v>
      </c>
      <c r="BO56" s="4592"/>
      <c r="BP56" s="279"/>
      <c r="BQ56" s="4630">
        <v>36.223999999999997</v>
      </c>
      <c r="BR56" s="4600"/>
      <c r="BS56" s="4631">
        <v>47.524999999999999</v>
      </c>
      <c r="BT56" s="4631"/>
      <c r="BU56" s="4629">
        <v>77.155000000000001</v>
      </c>
      <c r="BV56" s="4601"/>
      <c r="BW56" s="4629">
        <v>92.84</v>
      </c>
      <c r="BX56" s="4592"/>
      <c r="BY56" s="4629">
        <v>92.84</v>
      </c>
      <c r="BZ56" s="4592"/>
      <c r="CA56" s="4632">
        <v>41.795000000000002</v>
      </c>
      <c r="CB56" s="4602"/>
      <c r="CC56" s="4632">
        <v>54.381999999999998</v>
      </c>
      <c r="CD56" s="4602"/>
      <c r="CE56" s="4629">
        <v>77.971000000000004</v>
      </c>
      <c r="CF56" s="4592"/>
      <c r="CG56" s="4631">
        <v>92.84</v>
      </c>
      <c r="CH56" s="4600"/>
      <c r="CI56" s="4631"/>
      <c r="CJ56" s="4600"/>
      <c r="CK56" s="4632">
        <v>51.335000000000001</v>
      </c>
      <c r="CL56" s="4602"/>
      <c r="CM56" s="4632">
        <v>98.040999999999997</v>
      </c>
      <c r="CN56" s="4672"/>
    </row>
    <row r="57" spans="1:92" ht="36" customHeight="1" x14ac:dyDescent="0.2">
      <c r="A57" s="4484" t="s">
        <v>825</v>
      </c>
      <c r="B57" s="4445"/>
      <c r="C57" s="4445"/>
      <c r="D57" s="4445"/>
      <c r="E57" s="4586"/>
      <c r="F57" s="4586"/>
      <c r="G57" s="4586"/>
      <c r="H57" s="4586"/>
      <c r="I57" s="4586"/>
      <c r="J57" s="4597"/>
      <c r="K57" s="4598"/>
      <c r="L57" s="4589"/>
      <c r="M57" s="4589">
        <f>SUM(M58:M59)</f>
        <v>557.56000000000006</v>
      </c>
      <c r="N57" s="4589"/>
      <c r="O57" s="4589"/>
      <c r="P57" s="4598">
        <v>199.15</v>
      </c>
      <c r="Q57" s="4598"/>
      <c r="R57" s="4589">
        <f>SUM(R58:R59)</f>
        <v>388.86</v>
      </c>
      <c r="S57" s="4589"/>
      <c r="T57" s="4589">
        <f t="shared" ref="T57:U57" si="69">SUM(T58:T59)</f>
        <v>557.55700000000002</v>
      </c>
      <c r="U57" s="4589">
        <f t="shared" si="69"/>
        <v>255.94</v>
      </c>
      <c r="V57" s="4592"/>
      <c r="W57" s="4589">
        <f t="shared" ref="W57" si="70">SUM(W58:W59)</f>
        <v>340.63</v>
      </c>
      <c r="X57" s="4592"/>
      <c r="Y57" s="4589">
        <f t="shared" ref="Y57" si="71">SUM(Y58:Y59)</f>
        <v>340.63</v>
      </c>
      <c r="Z57" s="4592"/>
      <c r="AA57" s="4592">
        <f>SUM(AA58:AA59)</f>
        <v>543.98</v>
      </c>
      <c r="AB57" s="4592"/>
      <c r="AC57" s="4589">
        <f t="shared" si="51"/>
        <v>97.564387689217298</v>
      </c>
      <c r="AD57" s="4592">
        <f>SUM(AD58:AD59)</f>
        <v>557.55700000000002</v>
      </c>
      <c r="AE57" s="4592">
        <v>530.73400000000004</v>
      </c>
      <c r="AF57" s="4592"/>
      <c r="AG57" s="4586" t="e">
        <f t="shared" si="52"/>
        <v>#DIV/0!</v>
      </c>
      <c r="AH57" s="4592">
        <v>395</v>
      </c>
      <c r="AI57" s="4592"/>
      <c r="AJ57" s="4592">
        <f>AJ58+AJ59</f>
        <v>395</v>
      </c>
      <c r="AK57" s="4592"/>
      <c r="AL57" s="4592">
        <v>320</v>
      </c>
      <c r="AM57" s="4592"/>
      <c r="AN57" s="4592">
        <f>AN58+AN59</f>
        <v>312.75</v>
      </c>
      <c r="AO57" s="4592">
        <f t="shared" ref="AO57:AQ57" si="72">AO58+AO59</f>
        <v>0</v>
      </c>
      <c r="AP57" s="4592">
        <f t="shared" si="72"/>
        <v>312.75</v>
      </c>
      <c r="AQ57" s="4592">
        <f t="shared" si="72"/>
        <v>0</v>
      </c>
      <c r="AR57" s="4592">
        <v>320</v>
      </c>
      <c r="AS57" s="4592"/>
      <c r="AT57" s="4592">
        <f>AT58+AT59</f>
        <v>228.8</v>
      </c>
      <c r="AU57" s="4592"/>
      <c r="AV57" s="4592">
        <f>AV58+AV59</f>
        <v>310.27999999999997</v>
      </c>
      <c r="AW57" s="4592"/>
      <c r="AX57" s="4592">
        <v>320</v>
      </c>
      <c r="AY57" s="4592"/>
      <c r="AZ57" s="4592">
        <f>AZ58+AZ59</f>
        <v>304.77159</v>
      </c>
      <c r="BA57" s="4592"/>
      <c r="BB57" s="4592">
        <f>BB58+BB59</f>
        <v>304.77159</v>
      </c>
      <c r="BC57" s="4592"/>
      <c r="BD57" s="4592">
        <f>BD58+BD59</f>
        <v>274.899</v>
      </c>
      <c r="BE57" s="4592"/>
      <c r="BF57" s="4592">
        <f>BF58+BF59</f>
        <v>137.60300000000001</v>
      </c>
      <c r="BG57" s="4592"/>
      <c r="BH57" s="4592">
        <f>BH58+BH59</f>
        <v>198.37799999999999</v>
      </c>
      <c r="BI57" s="4592"/>
      <c r="BJ57" s="4592">
        <f>BJ58+BJ59</f>
        <v>273.48599999999999</v>
      </c>
      <c r="BK57" s="4592"/>
      <c r="BL57" s="4592">
        <f>BL58+BL59</f>
        <v>274.899</v>
      </c>
      <c r="BM57" s="4592"/>
      <c r="BN57" s="4592">
        <f>BN58+BN59</f>
        <v>272.49200000000002</v>
      </c>
      <c r="BO57" s="4592"/>
      <c r="BP57" s="279"/>
      <c r="BQ57" s="4599">
        <f>BQ58+BQ59</f>
        <v>174.58600000000001</v>
      </c>
      <c r="BR57" s="4600"/>
      <c r="BS57" s="4600">
        <f>BS58+BS59</f>
        <v>240.447</v>
      </c>
      <c r="BT57" s="4600"/>
      <c r="BU57" s="4592">
        <f>BU58+BU59</f>
        <v>313.22500000000002</v>
      </c>
      <c r="BV57" s="4601"/>
      <c r="BW57" s="4592">
        <f>BW58+BW59</f>
        <v>272.49200000000002</v>
      </c>
      <c r="BX57" s="4592"/>
      <c r="BY57" s="4592">
        <f>BY58+BY59</f>
        <v>269.11599999999999</v>
      </c>
      <c r="BZ57" s="4592"/>
      <c r="CA57" s="4602">
        <f>CA58+CA59</f>
        <v>143.898</v>
      </c>
      <c r="CB57" s="4602"/>
      <c r="CC57" s="4602">
        <f>CC58+CC59</f>
        <v>204.52279999999999</v>
      </c>
      <c r="CD57" s="4602"/>
      <c r="CE57" s="4592">
        <f>CE58+CE59</f>
        <v>277.82549999999998</v>
      </c>
      <c r="CF57" s="4592"/>
      <c r="CG57" s="4600">
        <f>CG58+CG59</f>
        <v>269.11599999999999</v>
      </c>
      <c r="CH57" s="4600"/>
      <c r="CI57" s="4600">
        <f>CI58+CI59</f>
        <v>310</v>
      </c>
      <c r="CJ57" s="4600"/>
      <c r="CK57" s="4602">
        <f>CK58+CK59</f>
        <v>138.387</v>
      </c>
      <c r="CL57" s="4602"/>
      <c r="CM57" s="4602">
        <f>CM58+CM59</f>
        <v>268.44099999999997</v>
      </c>
      <c r="CN57" s="4672"/>
    </row>
    <row r="58" spans="1:92" ht="24.75" customHeight="1" x14ac:dyDescent="0.2">
      <c r="A58" s="4390" t="s">
        <v>637</v>
      </c>
      <c r="B58" s="4445"/>
      <c r="C58" s="4445"/>
      <c r="D58" s="4445"/>
      <c r="E58" s="4586"/>
      <c r="F58" s="4586"/>
      <c r="G58" s="4586"/>
      <c r="H58" s="4586"/>
      <c r="I58" s="4586"/>
      <c r="J58" s="4597"/>
      <c r="K58" s="4598"/>
      <c r="L58" s="4589"/>
      <c r="M58" s="4589">
        <v>509.79</v>
      </c>
      <c r="N58" s="4589"/>
      <c r="O58" s="4589"/>
      <c r="P58" s="4598">
        <v>177.62</v>
      </c>
      <c r="Q58" s="4598"/>
      <c r="R58" s="4589">
        <v>347.5</v>
      </c>
      <c r="S58" s="4589"/>
      <c r="T58" s="4592">
        <v>509.79</v>
      </c>
      <c r="U58" s="4592">
        <v>234.95</v>
      </c>
      <c r="V58" s="4592"/>
      <c r="W58" s="4592">
        <v>319.64</v>
      </c>
      <c r="X58" s="4592"/>
      <c r="Y58" s="4629">
        <v>319.64</v>
      </c>
      <c r="Z58" s="4629"/>
      <c r="AA58" s="4629">
        <v>494.28</v>
      </c>
      <c r="AB58" s="4629">
        <v>0</v>
      </c>
      <c r="AC58" s="4616">
        <f t="shared" si="51"/>
        <v>96.957570764432404</v>
      </c>
      <c r="AD58" s="4629">
        <v>509.79</v>
      </c>
      <c r="AE58" s="4629"/>
      <c r="AF58" s="4629"/>
      <c r="AG58" s="4587" t="e">
        <f t="shared" si="52"/>
        <v>#DIV/0!</v>
      </c>
      <c r="AH58" s="4629">
        <v>350</v>
      </c>
      <c r="AI58" s="4629"/>
      <c r="AJ58" s="4629">
        <v>350</v>
      </c>
      <c r="AK58" s="4629"/>
      <c r="AL58" s="4629"/>
      <c r="AM58" s="4629"/>
      <c r="AN58" s="4629">
        <v>312.75</v>
      </c>
      <c r="AO58" s="4629"/>
      <c r="AP58" s="4629">
        <v>312.75</v>
      </c>
      <c r="AQ58" s="4629"/>
      <c r="AR58" s="4629">
        <v>284.24099999999999</v>
      </c>
      <c r="AS58" s="4629"/>
      <c r="AT58" s="4629">
        <v>228.8</v>
      </c>
      <c r="AU58" s="4629"/>
      <c r="AV58" s="4629">
        <v>310.27999999999997</v>
      </c>
      <c r="AW58" s="4629"/>
      <c r="AX58" s="4629">
        <v>320</v>
      </c>
      <c r="AY58" s="4629"/>
      <c r="AZ58" s="4629">
        <v>266.33958999999999</v>
      </c>
      <c r="BA58" s="4629"/>
      <c r="BB58" s="4629">
        <v>266.33958999999999</v>
      </c>
      <c r="BC58" s="4629"/>
      <c r="BD58" s="4629">
        <v>240.23400000000001</v>
      </c>
      <c r="BE58" s="4629"/>
      <c r="BF58" s="4629">
        <v>137.60300000000001</v>
      </c>
      <c r="BG58" s="4629"/>
      <c r="BH58" s="4629">
        <v>198.37799999999999</v>
      </c>
      <c r="BI58" s="4629"/>
      <c r="BJ58" s="4629">
        <v>273.48599999999999</v>
      </c>
      <c r="BK58" s="4629"/>
      <c r="BL58" s="4629">
        <v>240.23400000000001</v>
      </c>
      <c r="BM58" s="4629"/>
      <c r="BN58" s="4629">
        <v>237.143</v>
      </c>
      <c r="BO58" s="4629"/>
      <c r="BP58" s="279"/>
      <c r="BQ58" s="4630">
        <v>174.58600000000001</v>
      </c>
      <c r="BR58" s="4631"/>
      <c r="BS58" s="4631">
        <v>240.447</v>
      </c>
      <c r="BT58" s="4631"/>
      <c r="BU58" s="4629">
        <v>313.22500000000002</v>
      </c>
      <c r="BV58" s="4634"/>
      <c r="BW58" s="4629">
        <v>237.143</v>
      </c>
      <c r="BX58" s="4629"/>
      <c r="BY58" s="4629">
        <v>234.02600000000001</v>
      </c>
      <c r="BZ58" s="4629"/>
      <c r="CA58" s="4632">
        <v>143.898</v>
      </c>
      <c r="CB58" s="4632"/>
      <c r="CC58" s="4632">
        <v>204.52279999999999</v>
      </c>
      <c r="CD58" s="4632"/>
      <c r="CE58" s="4629">
        <v>277.82549999999998</v>
      </c>
      <c r="CF58" s="4629"/>
      <c r="CG58" s="4631">
        <v>234.02600000000001</v>
      </c>
      <c r="CH58" s="4631"/>
      <c r="CI58" s="4631">
        <v>310</v>
      </c>
      <c r="CJ58" s="4631"/>
      <c r="CK58" s="4632">
        <v>138.387</v>
      </c>
      <c r="CL58" s="4632"/>
      <c r="CM58" s="4632">
        <v>268.44099999999997</v>
      </c>
      <c r="CN58" s="4675"/>
    </row>
    <row r="59" spans="1:92" ht="30" customHeight="1" thickBot="1" x14ac:dyDescent="0.25">
      <c r="A59" s="4635" t="s">
        <v>638</v>
      </c>
      <c r="B59" s="4636"/>
      <c r="C59" s="4636"/>
      <c r="D59" s="4636"/>
      <c r="E59" s="4637"/>
      <c r="F59" s="4637"/>
      <c r="G59" s="4637"/>
      <c r="H59" s="4637"/>
      <c r="I59" s="4637"/>
      <c r="J59" s="4638"/>
      <c r="K59" s="4639"/>
      <c r="L59" s="4640"/>
      <c r="M59" s="4640">
        <v>47.77</v>
      </c>
      <c r="N59" s="4640"/>
      <c r="O59" s="4640"/>
      <c r="P59" s="4639">
        <v>21.53</v>
      </c>
      <c r="Q59" s="4639"/>
      <c r="R59" s="4640">
        <v>41.36</v>
      </c>
      <c r="S59" s="4640"/>
      <c r="T59" s="4641">
        <v>47.767000000000003</v>
      </c>
      <c r="U59" s="4641">
        <v>20.99</v>
      </c>
      <c r="V59" s="4641"/>
      <c r="W59" s="4641">
        <v>20.99</v>
      </c>
      <c r="X59" s="4641"/>
      <c r="Y59" s="4642">
        <v>20.99</v>
      </c>
      <c r="Z59" s="4642"/>
      <c r="AA59" s="4642">
        <v>49.7</v>
      </c>
      <c r="AB59" s="4642">
        <v>0</v>
      </c>
      <c r="AC59" s="4643">
        <f t="shared" si="51"/>
        <v>104.04019258949131</v>
      </c>
      <c r="AD59" s="4642">
        <v>47.767000000000003</v>
      </c>
      <c r="AE59" s="4642"/>
      <c r="AF59" s="4642"/>
      <c r="AG59" s="4644" t="e">
        <f t="shared" si="52"/>
        <v>#DIV/0!</v>
      </c>
      <c r="AH59" s="4642">
        <v>45</v>
      </c>
      <c r="AI59" s="4642"/>
      <c r="AJ59" s="4642">
        <v>45</v>
      </c>
      <c r="AK59" s="4642"/>
      <c r="AL59" s="4642"/>
      <c r="AM59" s="4642"/>
      <c r="AN59" s="4642"/>
      <c r="AO59" s="4642"/>
      <c r="AP59" s="4642"/>
      <c r="AQ59" s="4642"/>
      <c r="AR59" s="4642">
        <v>46.085000000000001</v>
      </c>
      <c r="AS59" s="4642"/>
      <c r="AT59" s="4642">
        <v>0</v>
      </c>
      <c r="AU59" s="4642"/>
      <c r="AV59" s="4642">
        <v>0</v>
      </c>
      <c r="AW59" s="4642"/>
      <c r="AX59" s="4642">
        <v>0</v>
      </c>
      <c r="AY59" s="4642"/>
      <c r="AZ59" s="4642">
        <v>38.432000000000002</v>
      </c>
      <c r="BA59" s="4642"/>
      <c r="BB59" s="4642">
        <v>38.432000000000002</v>
      </c>
      <c r="BC59" s="4642"/>
      <c r="BD59" s="4642">
        <v>34.664999999999999</v>
      </c>
      <c r="BE59" s="4642"/>
      <c r="BF59" s="4642"/>
      <c r="BG59" s="4642"/>
      <c r="BH59" s="4642"/>
      <c r="BI59" s="4642"/>
      <c r="BJ59" s="4642"/>
      <c r="BK59" s="4642"/>
      <c r="BL59" s="4642">
        <v>34.664999999999999</v>
      </c>
      <c r="BM59" s="4642"/>
      <c r="BN59" s="4642">
        <v>35.348999999999997</v>
      </c>
      <c r="BO59" s="4642"/>
      <c r="BP59" s="279"/>
      <c r="BQ59" s="4645"/>
      <c r="BR59" s="4646"/>
      <c r="BS59" s="4646"/>
      <c r="BT59" s="4646"/>
      <c r="BU59" s="4642"/>
      <c r="BV59" s="4647"/>
      <c r="BW59" s="4648">
        <v>35.348999999999997</v>
      </c>
      <c r="BX59" s="4648"/>
      <c r="BY59" s="4648">
        <v>35.090000000000003</v>
      </c>
      <c r="BZ59" s="4648"/>
      <c r="CA59" s="4649">
        <v>0</v>
      </c>
      <c r="CB59" s="4649"/>
      <c r="CC59" s="4649">
        <v>0</v>
      </c>
      <c r="CD59" s="4649"/>
      <c r="CE59" s="4648">
        <v>0</v>
      </c>
      <c r="CF59" s="4648"/>
      <c r="CG59" s="4650">
        <v>35.090000000000003</v>
      </c>
      <c r="CH59" s="4650"/>
      <c r="CI59" s="4650">
        <v>0</v>
      </c>
      <c r="CJ59" s="4650"/>
      <c r="CK59" s="4649">
        <v>0</v>
      </c>
      <c r="CL59" s="3910"/>
      <c r="CM59" s="3910">
        <v>0</v>
      </c>
      <c r="CN59" s="4676"/>
    </row>
    <row r="60" spans="1:92" ht="20.100000000000001" customHeight="1" thickBot="1" x14ac:dyDescent="0.25">
      <c r="A60" s="5518" t="s">
        <v>509</v>
      </c>
      <c r="B60" s="5519"/>
      <c r="C60" s="5519"/>
      <c r="D60" s="5519"/>
      <c r="E60" s="5519"/>
      <c r="F60" s="5519"/>
      <c r="G60" s="5519"/>
      <c r="H60" s="5519"/>
      <c r="I60" s="5519"/>
      <c r="J60" s="5519"/>
      <c r="K60" s="5519"/>
      <c r="L60" s="5519"/>
      <c r="M60" s="5519"/>
      <c r="N60" s="5519"/>
      <c r="O60" s="5519"/>
      <c r="P60" s="5519"/>
      <c r="Q60" s="5519"/>
      <c r="R60" s="5519"/>
      <c r="S60" s="5519"/>
      <c r="T60" s="5519"/>
      <c r="U60" s="5519"/>
      <c r="V60" s="5519"/>
      <c r="W60" s="5519"/>
      <c r="X60" s="5519"/>
      <c r="Y60" s="5519"/>
      <c r="Z60" s="5519"/>
      <c r="AA60" s="5519"/>
      <c r="AB60" s="5519"/>
      <c r="AC60" s="5519"/>
      <c r="AD60" s="5519"/>
      <c r="AE60" s="5519"/>
      <c r="AF60" s="5519"/>
      <c r="AG60" s="5519"/>
      <c r="AH60" s="5519"/>
      <c r="AI60" s="5519"/>
      <c r="AJ60" s="5519"/>
      <c r="AK60" s="5519"/>
      <c r="AL60" s="5519"/>
      <c r="AM60" s="5519"/>
      <c r="AN60" s="5519"/>
      <c r="AO60" s="5519"/>
      <c r="AP60" s="5519"/>
      <c r="AQ60" s="5519"/>
      <c r="AR60" s="5519"/>
      <c r="AS60" s="5519"/>
      <c r="AT60" s="5519"/>
      <c r="AU60" s="5519"/>
      <c r="AV60" s="5519"/>
      <c r="AW60" s="5519"/>
      <c r="AX60" s="5519"/>
      <c r="AY60" s="5519"/>
      <c r="AZ60" s="5519"/>
      <c r="BA60" s="5519"/>
      <c r="BB60" s="5519"/>
      <c r="BC60" s="5519"/>
      <c r="BD60" s="5519"/>
      <c r="BE60" s="5519"/>
      <c r="BF60" s="5519"/>
      <c r="BG60" s="5519"/>
      <c r="BH60" s="5519"/>
      <c r="BI60" s="5519"/>
      <c r="BJ60" s="5519"/>
      <c r="BK60" s="5519"/>
      <c r="BL60" s="5495"/>
      <c r="BM60" s="5495"/>
      <c r="BN60" s="5495"/>
      <c r="BO60" s="5495"/>
      <c r="BP60" s="5495"/>
      <c r="BQ60" s="5495"/>
      <c r="BR60" s="5495"/>
      <c r="BS60" s="5495"/>
      <c r="BT60" s="5495"/>
      <c r="BU60" s="5495"/>
      <c r="BV60" s="5495"/>
      <c r="BW60" s="5495"/>
      <c r="BX60" s="5495"/>
      <c r="BY60" s="5495"/>
      <c r="BZ60" s="5495"/>
      <c r="CA60" s="5495"/>
      <c r="CB60" s="5495"/>
      <c r="CC60" s="5495"/>
      <c r="CD60" s="5495"/>
      <c r="CE60" s="5495"/>
      <c r="CF60" s="5495"/>
      <c r="CG60" s="5495"/>
      <c r="CH60" s="5495"/>
      <c r="CI60" s="5495"/>
      <c r="CJ60" s="5495"/>
      <c r="CK60" s="5495"/>
      <c r="CL60" s="5495"/>
      <c r="CM60" s="5495"/>
      <c r="CN60" s="5496"/>
    </row>
    <row r="61" spans="1:92" s="1588" customFormat="1" ht="45" customHeight="1" x14ac:dyDescent="1.8">
      <c r="A61" s="3047"/>
      <c r="B61" s="3048"/>
      <c r="C61" s="3048"/>
      <c r="D61" s="3048"/>
      <c r="E61" s="3048"/>
      <c r="F61" s="3048"/>
      <c r="G61" s="3048"/>
      <c r="H61" s="3048"/>
      <c r="I61" s="3048"/>
      <c r="J61" s="3048"/>
      <c r="K61" s="3049"/>
      <c r="L61" s="3049"/>
      <c r="M61" s="3049" t="s">
        <v>47</v>
      </c>
      <c r="N61" s="3049" t="s">
        <v>1515</v>
      </c>
      <c r="O61" s="3048"/>
      <c r="P61" s="3048"/>
      <c r="Q61" s="3048"/>
      <c r="R61" s="3049" t="s">
        <v>47</v>
      </c>
      <c r="S61" s="3049" t="s">
        <v>1515</v>
      </c>
      <c r="T61" s="3048"/>
      <c r="U61" s="3049" t="s">
        <v>47</v>
      </c>
      <c r="V61" s="3049" t="s">
        <v>1515</v>
      </c>
      <c r="W61" s="3049" t="s">
        <v>47</v>
      </c>
      <c r="X61" s="3049" t="s">
        <v>1515</v>
      </c>
      <c r="Y61" s="3049" t="s">
        <v>47</v>
      </c>
      <c r="Z61" s="3049" t="s">
        <v>1515</v>
      </c>
      <c r="AA61" s="3049" t="s">
        <v>47</v>
      </c>
      <c r="AB61" s="3049" t="s">
        <v>1515</v>
      </c>
      <c r="AC61" s="3048"/>
      <c r="AD61" s="3048"/>
      <c r="AE61" s="3049" t="s">
        <v>47</v>
      </c>
      <c r="AF61" s="3049" t="s">
        <v>1515</v>
      </c>
      <c r="AG61" s="3048"/>
      <c r="AH61" s="3049" t="s">
        <v>47</v>
      </c>
      <c r="AI61" s="3049" t="s">
        <v>1515</v>
      </c>
      <c r="AJ61" s="3049" t="s">
        <v>47</v>
      </c>
      <c r="AK61" s="3049" t="s">
        <v>1515</v>
      </c>
      <c r="AL61" s="3049" t="s">
        <v>47</v>
      </c>
      <c r="AM61" s="3049" t="s">
        <v>1515</v>
      </c>
      <c r="AN61" s="3049" t="s">
        <v>47</v>
      </c>
      <c r="AO61" s="3049" t="s">
        <v>1515</v>
      </c>
      <c r="AP61" s="3049" t="s">
        <v>47</v>
      </c>
      <c r="AQ61" s="3049" t="s">
        <v>1515</v>
      </c>
      <c r="AR61" s="3049" t="s">
        <v>47</v>
      </c>
      <c r="AS61" s="3049" t="s">
        <v>1515</v>
      </c>
      <c r="AT61" s="3049" t="s">
        <v>47</v>
      </c>
      <c r="AU61" s="3049" t="s">
        <v>1515</v>
      </c>
      <c r="AV61" s="3049" t="s">
        <v>47</v>
      </c>
      <c r="AW61" s="3049" t="s">
        <v>1515</v>
      </c>
      <c r="AX61" s="3049" t="s">
        <v>47</v>
      </c>
      <c r="AY61" s="3049" t="s">
        <v>1515</v>
      </c>
      <c r="AZ61" s="3049" t="s">
        <v>47</v>
      </c>
      <c r="BA61" s="3049" t="s">
        <v>1515</v>
      </c>
      <c r="BB61" s="3049" t="s">
        <v>47</v>
      </c>
      <c r="BC61" s="3049" t="s">
        <v>1515</v>
      </c>
      <c r="BD61" s="3049" t="s">
        <v>47</v>
      </c>
      <c r="BE61" s="3049" t="s">
        <v>1515</v>
      </c>
      <c r="BF61" s="3049" t="s">
        <v>47</v>
      </c>
      <c r="BG61" s="3049" t="s">
        <v>1515</v>
      </c>
      <c r="BH61" s="3049" t="s">
        <v>47</v>
      </c>
      <c r="BI61" s="3049" t="s">
        <v>1515</v>
      </c>
      <c r="BJ61" s="3049" t="s">
        <v>47</v>
      </c>
      <c r="BK61" s="3049" t="s">
        <v>1515</v>
      </c>
      <c r="BL61" s="3049" t="s">
        <v>47</v>
      </c>
      <c r="BM61" s="3049" t="s">
        <v>1515</v>
      </c>
      <c r="BN61" s="3049" t="s">
        <v>47</v>
      </c>
      <c r="BO61" s="3049" t="s">
        <v>1515</v>
      </c>
      <c r="BP61" s="3781"/>
      <c r="BQ61" s="3606" t="s">
        <v>47</v>
      </c>
      <c r="BR61" s="3049" t="s">
        <v>1515</v>
      </c>
      <c r="BS61" s="3049" t="s">
        <v>47</v>
      </c>
      <c r="BT61" s="3049" t="s">
        <v>1515</v>
      </c>
      <c r="BU61" s="3049" t="s">
        <v>47</v>
      </c>
      <c r="BV61" s="3608" t="s">
        <v>1515</v>
      </c>
      <c r="BW61" s="3900" t="s">
        <v>47</v>
      </c>
      <c r="BX61" s="3900" t="s">
        <v>1515</v>
      </c>
      <c r="BY61" s="3900" t="s">
        <v>47</v>
      </c>
      <c r="BZ61" s="3900" t="s">
        <v>1515</v>
      </c>
      <c r="CA61" s="3900" t="s">
        <v>47</v>
      </c>
      <c r="CB61" s="3900" t="s">
        <v>1515</v>
      </c>
      <c r="CC61" s="3900" t="s">
        <v>47</v>
      </c>
      <c r="CD61" s="3900" t="s">
        <v>1515</v>
      </c>
      <c r="CE61" s="3900" t="s">
        <v>47</v>
      </c>
      <c r="CF61" s="3900" t="s">
        <v>1515</v>
      </c>
      <c r="CG61" s="3565" t="s">
        <v>47</v>
      </c>
      <c r="CH61" s="3565" t="s">
        <v>1515</v>
      </c>
      <c r="CI61" s="3565" t="s">
        <v>47</v>
      </c>
      <c r="CJ61" s="3565" t="s">
        <v>1515</v>
      </c>
      <c r="CK61" s="3900" t="s">
        <v>47</v>
      </c>
      <c r="CL61" s="3900" t="s">
        <v>1515</v>
      </c>
      <c r="CM61" s="3900" t="s">
        <v>47</v>
      </c>
      <c r="CN61" s="4651" t="s">
        <v>1515</v>
      </c>
    </row>
    <row r="62" spans="1:92" ht="20.100000000000001" customHeight="1" x14ac:dyDescent="0.2">
      <c r="A62" s="4481" t="s">
        <v>881</v>
      </c>
      <c r="B62" s="4445"/>
      <c r="C62" s="4445"/>
      <c r="D62" s="4445"/>
      <c r="E62" s="4588"/>
      <c r="F62" s="4612"/>
      <c r="G62" s="4588">
        <v>3672.7</v>
      </c>
      <c r="H62" s="4588">
        <v>2386.9</v>
      </c>
      <c r="I62" s="4588">
        <v>3499.5</v>
      </c>
      <c r="J62" s="4613"/>
      <c r="K62" s="4627">
        <v>4393.3999999999996</v>
      </c>
      <c r="L62" s="4627"/>
      <c r="M62" s="4627">
        <f>M63</f>
        <v>3644.7</v>
      </c>
      <c r="N62" s="4627">
        <f>N63</f>
        <v>28</v>
      </c>
      <c r="O62" s="4627"/>
      <c r="P62" s="4627">
        <v>2027.43</v>
      </c>
      <c r="Q62" s="4627"/>
      <c r="R62" s="4627">
        <v>3840.95</v>
      </c>
      <c r="S62" s="4627"/>
      <c r="T62" s="4627">
        <v>4618.88</v>
      </c>
      <c r="U62" s="4627">
        <f>U63+V63+U71</f>
        <v>3278.7200000000003</v>
      </c>
      <c r="V62" s="4627"/>
      <c r="W62" s="4627">
        <f>W63+X63</f>
        <v>4217.37</v>
      </c>
      <c r="X62" s="4627"/>
      <c r="Y62" s="4627">
        <f>Y63+Z63</f>
        <v>3061.4900000000002</v>
      </c>
      <c r="Z62" s="4627"/>
      <c r="AA62" s="4627">
        <v>3445</v>
      </c>
      <c r="AB62" s="4627">
        <f>AB63</f>
        <v>18.93</v>
      </c>
      <c r="AC62" s="4627">
        <v>3445</v>
      </c>
      <c r="AD62" s="4627">
        <v>3445</v>
      </c>
      <c r="AE62" s="4627">
        <v>3445</v>
      </c>
      <c r="AF62" s="4627">
        <f>AF63</f>
        <v>18.93</v>
      </c>
      <c r="AG62" s="4627">
        <v>3445</v>
      </c>
      <c r="AH62" s="4627">
        <f>AH63</f>
        <v>3200</v>
      </c>
      <c r="AI62" s="4627">
        <f>AI63</f>
        <v>23</v>
      </c>
      <c r="AJ62" s="4627">
        <f t="shared" ref="AJ62:AQ62" si="73">AJ63</f>
        <v>3272.75</v>
      </c>
      <c r="AK62" s="4627">
        <f t="shared" si="73"/>
        <v>23</v>
      </c>
      <c r="AL62" s="4627">
        <f t="shared" si="73"/>
        <v>3230</v>
      </c>
      <c r="AM62" s="4627">
        <f t="shared" si="73"/>
        <v>23</v>
      </c>
      <c r="AN62" s="4627">
        <f>AN63+AO63+AN71</f>
        <v>4359.4799999999996</v>
      </c>
      <c r="AO62" s="4627">
        <v>0</v>
      </c>
      <c r="AP62" s="4627">
        <f t="shared" si="73"/>
        <v>3178.1</v>
      </c>
      <c r="AQ62" s="4627">
        <f t="shared" si="73"/>
        <v>19.22</v>
      </c>
      <c r="AR62" s="4627">
        <f>AR63+AS63</f>
        <v>3248.93</v>
      </c>
      <c r="AS62" s="4627"/>
      <c r="AT62" s="4627"/>
      <c r="AU62" s="4627"/>
      <c r="AV62" s="4627">
        <f>SUM(AV63:AW63)</f>
        <v>3150.37</v>
      </c>
      <c r="AW62" s="4627"/>
      <c r="AX62" s="4627">
        <f>AX63+AY63+AX71</f>
        <v>4217.37</v>
      </c>
      <c r="AY62" s="4627"/>
      <c r="AZ62" s="4627">
        <f>AZ63+BA63</f>
        <v>3020.0036431580988</v>
      </c>
      <c r="BA62" s="4627"/>
      <c r="BB62" s="4627">
        <f>SUM(BB63:BC63)</f>
        <v>3020.0036431580988</v>
      </c>
      <c r="BC62" s="4627"/>
      <c r="BD62" s="4627">
        <f>SUM(BD63:BE63)</f>
        <v>2844.4046666666663</v>
      </c>
      <c r="BE62" s="4627"/>
      <c r="BF62" s="4627">
        <f>SUM(BF63:BG63)</f>
        <v>1547.3829999999998</v>
      </c>
      <c r="BG62" s="4627"/>
      <c r="BH62" s="4627">
        <f>SUM(BH63:BI63)</f>
        <v>2322.4540000000002</v>
      </c>
      <c r="BI62" s="4627"/>
      <c r="BJ62" s="4627">
        <f>SUM(BJ63:BK63)</f>
        <v>3120.433</v>
      </c>
      <c r="BK62" s="4627"/>
      <c r="BL62" s="4627">
        <f>SUM(BL63:BM63)</f>
        <v>2844.4046666666663</v>
      </c>
      <c r="BM62" s="4627"/>
      <c r="BN62" s="4627">
        <f>SUM(BN63:BO63)</f>
        <v>2844.4049999999997</v>
      </c>
      <c r="BO62" s="4627"/>
      <c r="BP62" s="3782"/>
      <c r="BQ62" s="4652">
        <f>SUM(BQ63:BR63)</f>
        <v>1567.3310000000001</v>
      </c>
      <c r="BR62" s="4627"/>
      <c r="BS62" s="4627">
        <f>SUM(BS63:BT63)</f>
        <v>2286.9459999999999</v>
      </c>
      <c r="BT62" s="4627"/>
      <c r="BU62" s="4627">
        <f>SUM(BU63:BV63)</f>
        <v>3075.5420000000004</v>
      </c>
      <c r="BV62" s="4653"/>
      <c r="BW62" s="4627">
        <f>SUM(BW63:BX63)</f>
        <v>2844.4049999999997</v>
      </c>
      <c r="BX62" s="4627"/>
      <c r="BY62" s="4627">
        <f>SUM(BY63:BZ63)</f>
        <v>2997.3360299999999</v>
      </c>
      <c r="BZ62" s="4627"/>
      <c r="CA62" s="4627">
        <f>SUM(CA63:CB63)</f>
        <v>1585.1690000000001</v>
      </c>
      <c r="CB62" s="4627"/>
      <c r="CC62" s="4627">
        <f>SUM(CC63:CD63)</f>
        <v>2327.3589999999999</v>
      </c>
      <c r="CD62" s="4627"/>
      <c r="CE62" s="4627">
        <f>SUM(CE63:CF63)</f>
        <v>3104.08</v>
      </c>
      <c r="CF62" s="4627"/>
      <c r="CG62" s="4654">
        <f>SUM(CG63:CH63)</f>
        <v>2997.3360299999999</v>
      </c>
      <c r="CH62" s="3896"/>
      <c r="CI62" s="4654">
        <f>SUM(CI63:CJ63)</f>
        <v>3074.2522484906162</v>
      </c>
      <c r="CJ62" s="3896"/>
      <c r="CK62" s="4677">
        <f>SUM(CK63:CL63)</f>
        <v>1652.5140000000001</v>
      </c>
      <c r="CL62" s="4677"/>
      <c r="CM62" s="4677">
        <f>SUM(CM63:CN63)</f>
        <v>3225.5614</v>
      </c>
      <c r="CN62" s="4678"/>
    </row>
    <row r="63" spans="1:92" ht="36" customHeight="1" x14ac:dyDescent="0.2">
      <c r="A63" s="4481" t="s">
        <v>882</v>
      </c>
      <c r="B63" s="4445"/>
      <c r="C63" s="4445"/>
      <c r="D63" s="4445"/>
      <c r="E63" s="4588">
        <v>3600</v>
      </c>
      <c r="F63" s="4612" t="e">
        <f>E63/#REF!*100</f>
        <v>#REF!</v>
      </c>
      <c r="G63" s="4588" t="e">
        <f>SUM(G64:G70)</f>
        <v>#REF!</v>
      </c>
      <c r="H63" s="4588">
        <f>SUM(H64:H70)</f>
        <v>1773.7999999999997</v>
      </c>
      <c r="I63" s="4588">
        <f>SUM(I64:I70)</f>
        <v>2603.1999999999998</v>
      </c>
      <c r="J63" s="4613"/>
      <c r="K63" s="4627">
        <f>SUM(K64:K70)</f>
        <v>3476.2</v>
      </c>
      <c r="L63" s="4627">
        <f>SUM(L64:L70)</f>
        <v>3672.7</v>
      </c>
      <c r="M63" s="4627">
        <f>SUM(M64:M70)</f>
        <v>3644.7</v>
      </c>
      <c r="N63" s="4627">
        <f>SUM(N64:N70)</f>
        <v>28</v>
      </c>
      <c r="O63" s="4627" t="e">
        <f t="shared" si="21"/>
        <v>#REF!</v>
      </c>
      <c r="P63" s="4627">
        <f>SUM(P64:P70)</f>
        <v>1670.74</v>
      </c>
      <c r="Q63" s="4627">
        <f>SUM(Q64:Q70)</f>
        <v>0</v>
      </c>
      <c r="R63" s="4627">
        <f>R64+R65</f>
        <v>3186.5699999999997</v>
      </c>
      <c r="S63" s="4627">
        <f>SUM(S64:S70)</f>
        <v>23.38</v>
      </c>
      <c r="T63" s="4627">
        <f>SUM(T64:T70)</f>
        <v>3473</v>
      </c>
      <c r="U63" s="4627">
        <f>SUM(U64:U70)</f>
        <v>2289.52</v>
      </c>
      <c r="V63" s="4627">
        <f>SUM(V64:V70)</f>
        <v>15.34</v>
      </c>
      <c r="W63" s="4627">
        <f>W64+W65+W71</f>
        <v>4196.72</v>
      </c>
      <c r="X63" s="4627">
        <f>X64+X65+X70</f>
        <v>20.65</v>
      </c>
      <c r="Y63" s="4627">
        <f>Y64+Y65+Y71</f>
        <v>3040.84</v>
      </c>
      <c r="Z63" s="4627">
        <f>Z64+Z65+Z70</f>
        <v>20.65</v>
      </c>
      <c r="AA63" s="4627">
        <f>SUM(AA64:AA70)</f>
        <v>3445</v>
      </c>
      <c r="AB63" s="4627">
        <f>SUM(AB64:AB70)</f>
        <v>18.93</v>
      </c>
      <c r="AC63" s="4655">
        <f>SUM(AA63/M63*100)</f>
        <v>94.520811040689225</v>
      </c>
      <c r="AD63" s="4627">
        <f>SUM(AD64:AD70)</f>
        <v>3473</v>
      </c>
      <c r="AE63" s="4627">
        <f>SUM(AE64:AE70)</f>
        <v>3445</v>
      </c>
      <c r="AF63" s="4627">
        <f>SUM(AF64:AF70)</f>
        <v>18.93</v>
      </c>
      <c r="AG63" s="4586" t="e">
        <f>SUM(AE63/Q63*100)</f>
        <v>#DIV/0!</v>
      </c>
      <c r="AH63" s="4627">
        <f>SUM(AH64:AH70)</f>
        <v>3200</v>
      </c>
      <c r="AI63" s="4627">
        <f>SUM(AI64:AI70)</f>
        <v>23</v>
      </c>
      <c r="AJ63" s="4627">
        <f>AE63*(1-0.05)</f>
        <v>3272.75</v>
      </c>
      <c r="AK63" s="4627">
        <f t="shared" ref="AK63:AQ63" si="74">SUM(AK64:AK70)</f>
        <v>23</v>
      </c>
      <c r="AL63" s="4627">
        <f t="shared" si="74"/>
        <v>3230</v>
      </c>
      <c r="AM63" s="4627">
        <f t="shared" si="74"/>
        <v>23</v>
      </c>
      <c r="AN63" s="4627">
        <f t="shared" si="74"/>
        <v>3178.1</v>
      </c>
      <c r="AO63" s="4627">
        <f t="shared" si="74"/>
        <v>19.22</v>
      </c>
      <c r="AP63" s="4627">
        <f t="shared" si="74"/>
        <v>3178.1</v>
      </c>
      <c r="AQ63" s="4627">
        <f t="shared" si="74"/>
        <v>19.22</v>
      </c>
      <c r="AR63" s="4627">
        <f>AR64+AR65</f>
        <v>3230</v>
      </c>
      <c r="AS63" s="4627">
        <f>SUM(AS64:AS70)</f>
        <v>18.93</v>
      </c>
      <c r="AT63" s="4627">
        <f>AT64+AT65</f>
        <v>2357.9</v>
      </c>
      <c r="AU63" s="4627">
        <f>SUM(AU64:AU70)</f>
        <v>13.25</v>
      </c>
      <c r="AV63" s="4627">
        <f>AV64+AV65</f>
        <v>3132.12</v>
      </c>
      <c r="AW63" s="4627">
        <f>SUM(AW64:AW70)</f>
        <v>18.25</v>
      </c>
      <c r="AX63" s="4627">
        <f>SUM(AX64:AX70)</f>
        <v>3230</v>
      </c>
      <c r="AY63" s="4627">
        <f>SUM(AY64:AY70)</f>
        <v>18.93</v>
      </c>
      <c r="AZ63" s="4627">
        <f>'ф1.1. п5 МУ'!J33</f>
        <v>3002.3369764914323</v>
      </c>
      <c r="BA63" s="4627">
        <f>SUM(BA64:BA70)</f>
        <v>17.666666666666668</v>
      </c>
      <c r="BB63" s="4627">
        <f>BB64+BB65</f>
        <v>3002.3369764914323</v>
      </c>
      <c r="BC63" s="4627">
        <f t="shared" ref="BC63:BK63" si="75">SUM(BC64:BC71)</f>
        <v>17.666666666666668</v>
      </c>
      <c r="BD63" s="4627">
        <f>BD64+BD65</f>
        <v>2826.7379999999998</v>
      </c>
      <c r="BE63" s="4627">
        <f t="shared" ref="BE63" si="76">SUM(BE64:BE71)</f>
        <v>17.666666666666668</v>
      </c>
      <c r="BF63" s="4627">
        <f>SUM(BF64+BF65)</f>
        <v>1538.6509999999998</v>
      </c>
      <c r="BG63" s="4627">
        <f t="shared" si="75"/>
        <v>8.7319999999999993</v>
      </c>
      <c r="BH63" s="4627">
        <f>SUM(BH64+BH65)</f>
        <v>2309.123</v>
      </c>
      <c r="BI63" s="4627">
        <f t="shared" si="75"/>
        <v>13.331</v>
      </c>
      <c r="BJ63" s="4627">
        <f>SUM(BJ64+BJ65)</f>
        <v>3105.598</v>
      </c>
      <c r="BK63" s="4627">
        <f t="shared" si="75"/>
        <v>14.835000000000001</v>
      </c>
      <c r="BL63" s="4627">
        <f>BL64+BL65</f>
        <v>2826.7379999999998</v>
      </c>
      <c r="BM63" s="4627">
        <f t="shared" ref="BM63:BO63" si="77">SUM(BM64:BM71)</f>
        <v>17.666666666666668</v>
      </c>
      <c r="BN63" s="4627">
        <f>BN64+BN65</f>
        <v>2826.7379999999998</v>
      </c>
      <c r="BO63" s="4627">
        <f t="shared" si="77"/>
        <v>17.667000000000002</v>
      </c>
      <c r="BP63" s="3782"/>
      <c r="BQ63" s="4652">
        <f>SUM(BQ64+BQ65)</f>
        <v>1559.5720000000001</v>
      </c>
      <c r="BR63" s="4627">
        <f t="shared" ref="BR63" si="78">SUM(BR64:BR71)</f>
        <v>7.7590000000000003</v>
      </c>
      <c r="BS63" s="4627">
        <f>SUM(BS64+BS65)</f>
        <v>2275.0949999999998</v>
      </c>
      <c r="BT63" s="4627">
        <f t="shared" ref="BT63" si="79">SUM(BT64:BT71)</f>
        <v>11.851000000000001</v>
      </c>
      <c r="BU63" s="4627">
        <f>SUM(BU64+BU65)</f>
        <v>3059.2510000000002</v>
      </c>
      <c r="BV63" s="4653">
        <f t="shared" ref="BV63" si="80">SUM(BV64:BV71)</f>
        <v>16.291</v>
      </c>
      <c r="BW63" s="4627">
        <f>BW64+BW65</f>
        <v>2826.7379999999998</v>
      </c>
      <c r="BX63" s="4627">
        <f t="shared" ref="BX63:BZ63" si="81">SUM(BX64:BX71)</f>
        <v>17.667000000000002</v>
      </c>
      <c r="BY63" s="4627">
        <f>BY64+BY65</f>
        <v>2982.5243</v>
      </c>
      <c r="BZ63" s="4627">
        <f t="shared" si="81"/>
        <v>14.811730000000001</v>
      </c>
      <c r="CA63" s="4627">
        <f>CA64+CA65</f>
        <v>1577.7370000000001</v>
      </c>
      <c r="CB63" s="4627">
        <f t="shared" ref="CB63:CD63" si="82">SUM(CB64:CB71)</f>
        <v>7.4320000000000004</v>
      </c>
      <c r="CC63" s="4627">
        <f>CC64+CC65</f>
        <v>2315.75</v>
      </c>
      <c r="CD63" s="4627">
        <f t="shared" si="82"/>
        <v>11.609</v>
      </c>
      <c r="CE63" s="4627">
        <f>CE64+CE65</f>
        <v>3087.8620000000001</v>
      </c>
      <c r="CF63" s="4627">
        <f t="shared" ref="CF63" si="83">SUM(CF64:CF71)</f>
        <v>16.218</v>
      </c>
      <c r="CG63" s="4654">
        <f>CG64+CG65</f>
        <v>2982.5243</v>
      </c>
      <c r="CH63" s="4654">
        <f t="shared" ref="CH63:CJ63" si="84">SUM(CH64:CH71)</f>
        <v>14.811730000000001</v>
      </c>
      <c r="CI63" s="4654">
        <f>CI64+CI65</f>
        <v>3059.0289771459002</v>
      </c>
      <c r="CJ63" s="4654">
        <f t="shared" si="84"/>
        <v>15.2232713447161</v>
      </c>
      <c r="CK63" s="4677">
        <f>CK64+CK65</f>
        <v>1645.6220000000001</v>
      </c>
      <c r="CL63" s="4677">
        <f t="shared" ref="CL63:CN63" si="85">SUM(CL64:CL71)</f>
        <v>6.8920000000000003</v>
      </c>
      <c r="CM63" s="4677">
        <f>CM64+CM65</f>
        <v>3210.7348999999999</v>
      </c>
      <c r="CN63" s="4678">
        <f t="shared" si="85"/>
        <v>14.826499999999999</v>
      </c>
    </row>
    <row r="64" spans="1:92" ht="36" customHeight="1" x14ac:dyDescent="0.2">
      <c r="A64" s="4484" t="s">
        <v>27</v>
      </c>
      <c r="B64" s="4445"/>
      <c r="C64" s="4445"/>
      <c r="D64" s="4445"/>
      <c r="E64" s="4586">
        <v>2600</v>
      </c>
      <c r="F64" s="4587" t="e">
        <f>E64/#REF!*100</f>
        <v>#REF!</v>
      </c>
      <c r="G64" s="4586">
        <f>E64</f>
        <v>2600</v>
      </c>
      <c r="H64" s="4586">
        <v>1250.8</v>
      </c>
      <c r="I64" s="4597">
        <v>1837.1</v>
      </c>
      <c r="J64" s="4597"/>
      <c r="K64" s="4598">
        <v>2448.6999999999998</v>
      </c>
      <c r="L64" s="4589">
        <v>2600</v>
      </c>
      <c r="M64" s="4589">
        <v>2600</v>
      </c>
      <c r="N64" s="4589"/>
      <c r="O64" s="4589">
        <f t="shared" si="21"/>
        <v>100</v>
      </c>
      <c r="P64" s="4598">
        <v>1186.01</v>
      </c>
      <c r="Q64" s="4598"/>
      <c r="R64" s="4598">
        <v>2289.52</v>
      </c>
      <c r="S64" s="4598"/>
      <c r="T64" s="4589">
        <v>2448</v>
      </c>
      <c r="U64" s="4589">
        <v>1686.35</v>
      </c>
      <c r="V64" s="4589"/>
      <c r="W64" s="4589">
        <v>2239.89</v>
      </c>
      <c r="X64" s="4589"/>
      <c r="Y64" s="4589">
        <v>2239.89</v>
      </c>
      <c r="Z64" s="4589"/>
      <c r="AA64" s="4589">
        <f>T64</f>
        <v>2448</v>
      </c>
      <c r="AB64" s="4589"/>
      <c r="AC64" s="4589">
        <f>SUM(AA64/M64*100)</f>
        <v>94.15384615384616</v>
      </c>
      <c r="AD64" s="4589">
        <v>2448</v>
      </c>
      <c r="AE64" s="4589">
        <f>AD64</f>
        <v>2448</v>
      </c>
      <c r="AF64" s="4589"/>
      <c r="AG64" s="4586" t="e">
        <f>SUM(AE64/Q64*100)</f>
        <v>#DIV/0!</v>
      </c>
      <c r="AH64" s="4592">
        <v>2300</v>
      </c>
      <c r="AI64" s="4592"/>
      <c r="AJ64" s="4656">
        <f>AH64</f>
        <v>2300</v>
      </c>
      <c r="AK64" s="4656"/>
      <c r="AL64" s="4656">
        <v>2280</v>
      </c>
      <c r="AM64" s="4656"/>
      <c r="AN64" s="4656">
        <v>2420.66</v>
      </c>
      <c r="AO64" s="4656"/>
      <c r="AP64" s="4656">
        <v>2420.66</v>
      </c>
      <c r="AQ64" s="4656"/>
      <c r="AR64" s="4656">
        <v>2280</v>
      </c>
      <c r="AS64" s="4656"/>
      <c r="AT64" s="4656">
        <v>1805.9</v>
      </c>
      <c r="AU64" s="4656"/>
      <c r="AV64" s="4656">
        <v>2384.92</v>
      </c>
      <c r="AW64" s="4656"/>
      <c r="AX64" s="4656">
        <v>2280</v>
      </c>
      <c r="AY64" s="4656"/>
      <c r="AZ64" s="4656">
        <f>AX64</f>
        <v>2280</v>
      </c>
      <c r="BA64" s="4656"/>
      <c r="BB64" s="4656">
        <f>SUM(AZ64)</f>
        <v>2280</v>
      </c>
      <c r="BC64" s="4656"/>
      <c r="BD64" s="4656">
        <v>2146.6489999999999</v>
      </c>
      <c r="BE64" s="4656"/>
      <c r="BF64" s="4656">
        <v>1172.6869999999999</v>
      </c>
      <c r="BG64" s="4656"/>
      <c r="BH64" s="4656">
        <v>1750.2370000000001</v>
      </c>
      <c r="BI64" s="4656"/>
      <c r="BJ64" s="4656">
        <v>2347.616</v>
      </c>
      <c r="BK64" s="4656"/>
      <c r="BL64" s="4592">
        <v>2146.6489999999999</v>
      </c>
      <c r="BM64" s="4592"/>
      <c r="BN64" s="4592">
        <v>2146.6489999999999</v>
      </c>
      <c r="BO64" s="4592"/>
      <c r="BP64" s="3782"/>
      <c r="BQ64" s="4657">
        <v>1225.816</v>
      </c>
      <c r="BR64" s="4592"/>
      <c r="BS64" s="4592">
        <v>1807.895</v>
      </c>
      <c r="BT64" s="4592"/>
      <c r="BU64" s="4592">
        <v>2407.279</v>
      </c>
      <c r="BV64" s="4601"/>
      <c r="BW64" s="4592">
        <v>2146.6489999999999</v>
      </c>
      <c r="BX64" s="4592"/>
      <c r="BY64" s="4592">
        <v>2346.9039299999999</v>
      </c>
      <c r="BZ64" s="4592"/>
      <c r="CA64" s="4592">
        <v>1224.876</v>
      </c>
      <c r="CB64" s="4592"/>
      <c r="CC64" s="4592">
        <v>1795.617</v>
      </c>
      <c r="CD64" s="4592"/>
      <c r="CE64" s="4592">
        <v>2391.0459999999998</v>
      </c>
      <c r="CF64" s="4592"/>
      <c r="CG64" s="4600">
        <v>2346.9039299999999</v>
      </c>
      <c r="CH64" s="4600"/>
      <c r="CI64" s="4600">
        <v>2368.7195216918999</v>
      </c>
      <c r="CJ64" s="4600"/>
      <c r="CK64" s="4602">
        <v>1250.4010000000001</v>
      </c>
      <c r="CL64" s="4602"/>
      <c r="CM64" s="4602">
        <v>2444.7269999999999</v>
      </c>
      <c r="CN64" s="4672"/>
    </row>
    <row r="65" spans="1:92" ht="36" customHeight="1" x14ac:dyDescent="0.2">
      <c r="A65" s="4484" t="s">
        <v>3648</v>
      </c>
      <c r="B65" s="4445"/>
      <c r="C65" s="4445"/>
      <c r="D65" s="4445"/>
      <c r="E65" s="4586">
        <v>972</v>
      </c>
      <c r="F65" s="4587" t="e">
        <f>E65/#REF!*100</f>
        <v>#REF!</v>
      </c>
      <c r="G65" s="4586" t="e">
        <f>#REF!+2.4</f>
        <v>#REF!</v>
      </c>
      <c r="H65" s="4586">
        <v>513.4</v>
      </c>
      <c r="I65" s="4597">
        <v>751.9</v>
      </c>
      <c r="J65" s="4597"/>
      <c r="K65" s="4598">
        <v>997.3</v>
      </c>
      <c r="L65" s="4589">
        <v>1044.7</v>
      </c>
      <c r="M65" s="4589">
        <v>1044.7</v>
      </c>
      <c r="N65" s="4589"/>
      <c r="O65" s="4589" t="e">
        <f t="shared" si="21"/>
        <v>#REF!</v>
      </c>
      <c r="P65" s="4598">
        <v>475.06</v>
      </c>
      <c r="Q65" s="4598"/>
      <c r="R65" s="4598">
        <v>897.05</v>
      </c>
      <c r="S65" s="4598"/>
      <c r="T65" s="4589">
        <v>997</v>
      </c>
      <c r="U65" s="4589">
        <v>603.16999999999996</v>
      </c>
      <c r="V65" s="4589"/>
      <c r="W65" s="4589">
        <v>800.95</v>
      </c>
      <c r="X65" s="4589"/>
      <c r="Y65" s="4589">
        <v>800.95</v>
      </c>
      <c r="Z65" s="4589"/>
      <c r="AA65" s="4589">
        <f>T65</f>
        <v>997</v>
      </c>
      <c r="AB65" s="4589"/>
      <c r="AC65" s="4589">
        <f>SUM(AA65/M65*100)</f>
        <v>95.434095912702205</v>
      </c>
      <c r="AD65" s="4589">
        <v>997</v>
      </c>
      <c r="AE65" s="4589">
        <f>AD65</f>
        <v>997</v>
      </c>
      <c r="AF65" s="4589"/>
      <c r="AG65" s="4586" t="e">
        <f>SUM(AE65/Q65*100)</f>
        <v>#DIV/0!</v>
      </c>
      <c r="AH65" s="4592">
        <v>900</v>
      </c>
      <c r="AI65" s="4592"/>
      <c r="AJ65" s="4656">
        <f>AJ63-AJ64</f>
        <v>972.75</v>
      </c>
      <c r="AK65" s="4656"/>
      <c r="AL65" s="4656">
        <v>950</v>
      </c>
      <c r="AM65" s="4656"/>
      <c r="AN65" s="4656">
        <v>757.44</v>
      </c>
      <c r="AO65" s="4656"/>
      <c r="AP65" s="4656">
        <v>757.44</v>
      </c>
      <c r="AQ65" s="4656"/>
      <c r="AR65" s="4656">
        <v>950</v>
      </c>
      <c r="AS65" s="4656"/>
      <c r="AT65" s="4656">
        <v>552</v>
      </c>
      <c r="AU65" s="4656"/>
      <c r="AV65" s="4656">
        <v>747.2</v>
      </c>
      <c r="AW65" s="4656"/>
      <c r="AX65" s="4656">
        <v>950</v>
      </c>
      <c r="AY65" s="4656"/>
      <c r="AZ65" s="4656">
        <f>AZ63-AZ64</f>
        <v>722.33697649143232</v>
      </c>
      <c r="BA65" s="4656"/>
      <c r="BB65" s="4656">
        <f>SUM(AZ65)</f>
        <v>722.33697649143232</v>
      </c>
      <c r="BC65" s="4656"/>
      <c r="BD65" s="4656">
        <v>680.08900000000006</v>
      </c>
      <c r="BE65" s="4656"/>
      <c r="BF65" s="4656">
        <v>365.964</v>
      </c>
      <c r="BG65" s="4656"/>
      <c r="BH65" s="4656">
        <v>558.88599999999997</v>
      </c>
      <c r="BI65" s="4656"/>
      <c r="BJ65" s="4656">
        <v>757.98199999999997</v>
      </c>
      <c r="BK65" s="4656"/>
      <c r="BL65" s="4592">
        <v>680.08900000000006</v>
      </c>
      <c r="BM65" s="4592"/>
      <c r="BN65" s="4592">
        <v>680.08900000000006</v>
      </c>
      <c r="BO65" s="4592"/>
      <c r="BP65" s="3782"/>
      <c r="BQ65" s="4657">
        <v>333.75599999999997</v>
      </c>
      <c r="BR65" s="4592"/>
      <c r="BS65" s="4592">
        <v>467.2</v>
      </c>
      <c r="BT65" s="4592"/>
      <c r="BU65" s="4592">
        <v>651.97199999999998</v>
      </c>
      <c r="BV65" s="4601"/>
      <c r="BW65" s="4592">
        <v>680.08900000000006</v>
      </c>
      <c r="BX65" s="4592"/>
      <c r="BY65" s="4592">
        <v>635.62036999999998</v>
      </c>
      <c r="BZ65" s="4592"/>
      <c r="CA65" s="4592">
        <v>352.86099999999999</v>
      </c>
      <c r="CB65" s="4592"/>
      <c r="CC65" s="4592">
        <v>520.13300000000004</v>
      </c>
      <c r="CD65" s="4592"/>
      <c r="CE65" s="4592">
        <v>696.81600000000003</v>
      </c>
      <c r="CF65" s="4592"/>
      <c r="CG65" s="4600">
        <v>635.62036999999998</v>
      </c>
      <c r="CH65" s="4600"/>
      <c r="CI65" s="4600">
        <v>690.30945545400004</v>
      </c>
      <c r="CJ65" s="4600"/>
      <c r="CK65" s="4602">
        <v>395.221</v>
      </c>
      <c r="CL65" s="4602"/>
      <c r="CM65" s="4602">
        <v>766.00789999999995</v>
      </c>
      <c r="CN65" s="4672"/>
    </row>
    <row r="66" spans="1:92" ht="36" customHeight="1" x14ac:dyDescent="0.2">
      <c r="A66" s="4390" t="s">
        <v>3644</v>
      </c>
      <c r="B66" s="4445"/>
      <c r="C66" s="4445"/>
      <c r="D66" s="4445"/>
      <c r="E66" s="4586"/>
      <c r="F66" s="4587"/>
      <c r="G66" s="4586"/>
      <c r="H66" s="4586"/>
      <c r="I66" s="4597"/>
      <c r="J66" s="4597"/>
      <c r="K66" s="4598"/>
      <c r="L66" s="4589"/>
      <c r="M66" s="4589"/>
      <c r="N66" s="4589"/>
      <c r="O66" s="4589"/>
      <c r="P66" s="4598"/>
      <c r="Q66" s="4598"/>
      <c r="R66" s="4598"/>
      <c r="S66" s="4598"/>
      <c r="T66" s="4589"/>
      <c r="U66" s="4589"/>
      <c r="V66" s="4589"/>
      <c r="W66" s="4589"/>
      <c r="X66" s="4589"/>
      <c r="Y66" s="4589"/>
      <c r="Z66" s="4589"/>
      <c r="AA66" s="4589"/>
      <c r="AB66" s="4589"/>
      <c r="AC66" s="4589"/>
      <c r="AD66" s="4589"/>
      <c r="AE66" s="4589"/>
      <c r="AF66" s="4589"/>
      <c r="AG66" s="4586"/>
      <c r="AH66" s="4592"/>
      <c r="AI66" s="4592"/>
      <c r="AJ66" s="4656"/>
      <c r="AK66" s="4656"/>
      <c r="AL66" s="4656"/>
      <c r="AM66" s="4656"/>
      <c r="AN66" s="4656"/>
      <c r="AO66" s="4656"/>
      <c r="AP66" s="4656"/>
      <c r="AQ66" s="4656"/>
      <c r="AR66" s="4656"/>
      <c r="AS66" s="4656"/>
      <c r="AT66" s="4656"/>
      <c r="AU66" s="4656"/>
      <c r="AV66" s="4658">
        <f>SUM(AV67:AV69)</f>
        <v>327.62799999999999</v>
      </c>
      <c r="AW66" s="4656"/>
      <c r="AX66" s="4656"/>
      <c r="AY66" s="4656"/>
      <c r="AZ66" s="4658">
        <f>SUM(AZ67:AZ69)</f>
        <v>316.72300000000001</v>
      </c>
      <c r="BA66" s="4656"/>
      <c r="BB66" s="4658">
        <f>SUM(BB67:BB69)</f>
        <v>316.72300000000001</v>
      </c>
      <c r="BC66" s="4656"/>
      <c r="BD66" s="4658">
        <f>SUM(BD67:BD69)</f>
        <v>298.20000000000005</v>
      </c>
      <c r="BE66" s="4656"/>
      <c r="BF66" s="4658">
        <f>SUM(BF67:BF69)</f>
        <v>160.46299999999999</v>
      </c>
      <c r="BG66" s="4656"/>
      <c r="BH66" s="4658">
        <f>SUM(BH67:BH69)</f>
        <v>219.98500000000001</v>
      </c>
      <c r="BI66" s="4658"/>
      <c r="BJ66" s="4658">
        <v>305.94</v>
      </c>
      <c r="BK66" s="4656"/>
      <c r="BL66" s="4629">
        <f>SUM(BL67:BL69)</f>
        <v>298.20000000000005</v>
      </c>
      <c r="BM66" s="4592"/>
      <c r="BN66" s="4629">
        <f>SUM(BN67:BN69)</f>
        <v>298.20000000000005</v>
      </c>
      <c r="BO66" s="4592"/>
      <c r="BP66" s="3782"/>
      <c r="BQ66" s="4659">
        <f>SUM(BQ67:BQ69)</f>
        <v>130.74200000000002</v>
      </c>
      <c r="BR66" s="4592"/>
      <c r="BS66" s="4629">
        <f>SUM(BS67:BS69)</f>
        <v>189.316</v>
      </c>
      <c r="BT66" s="4629"/>
      <c r="BU66" s="4629">
        <f>SUM(BU67:BU69)</f>
        <v>274.49200000000002</v>
      </c>
      <c r="BV66" s="4601"/>
      <c r="BW66" s="4629">
        <f>SUM(BW67:BW69)</f>
        <v>298.20000000000005</v>
      </c>
      <c r="BX66" s="4592"/>
      <c r="BY66" s="4629">
        <f>SUM(BY67:BY69)</f>
        <v>267.60767999999996</v>
      </c>
      <c r="BZ66" s="4592"/>
      <c r="CA66" s="4629">
        <f>SUM(CA67:CA69)</f>
        <v>150.27800000000002</v>
      </c>
      <c r="CB66" s="4592"/>
      <c r="CC66" s="4629">
        <f>SUM(CC67:CC69)</f>
        <v>216.661</v>
      </c>
      <c r="CD66" s="4592"/>
      <c r="CE66" s="4629">
        <f>SUM(CE67:CE69)</f>
        <v>300.24599999999998</v>
      </c>
      <c r="CF66" s="4592"/>
      <c r="CG66" s="4631">
        <f>SUM(CG67:CG69)</f>
        <v>267.60767999999996</v>
      </c>
      <c r="CH66" s="4600"/>
      <c r="CI66" s="4631">
        <v>297.44244214034597</v>
      </c>
      <c r="CJ66" s="4600"/>
      <c r="CK66" s="4632">
        <f>SUM(CK67:CK69)</f>
        <v>156.99199999999999</v>
      </c>
      <c r="CL66" s="4602"/>
      <c r="CM66" s="4632">
        <f>SUM(CM67:CM69)</f>
        <v>311.726</v>
      </c>
      <c r="CN66" s="4672"/>
    </row>
    <row r="67" spans="1:92" ht="36" customHeight="1" x14ac:dyDescent="0.2">
      <c r="A67" s="4633" t="s">
        <v>3646</v>
      </c>
      <c r="B67" s="4445"/>
      <c r="C67" s="4445"/>
      <c r="D67" s="4445"/>
      <c r="E67" s="4586"/>
      <c r="F67" s="4587"/>
      <c r="G67" s="4586"/>
      <c r="H67" s="4586"/>
      <c r="I67" s="4597"/>
      <c r="J67" s="4597"/>
      <c r="K67" s="4598"/>
      <c r="L67" s="4589"/>
      <c r="M67" s="4589"/>
      <c r="N67" s="4589"/>
      <c r="O67" s="4589"/>
      <c r="P67" s="4598"/>
      <c r="Q67" s="4598"/>
      <c r="R67" s="4598"/>
      <c r="S67" s="4598"/>
      <c r="T67" s="4589"/>
      <c r="U67" s="4589"/>
      <c r="V67" s="4589"/>
      <c r="W67" s="4589"/>
      <c r="X67" s="4589"/>
      <c r="Y67" s="4589"/>
      <c r="Z67" s="4589"/>
      <c r="AA67" s="4589"/>
      <c r="AB67" s="4589"/>
      <c r="AC67" s="4589"/>
      <c r="AD67" s="4589"/>
      <c r="AE67" s="4589"/>
      <c r="AF67" s="4589"/>
      <c r="AG67" s="4586"/>
      <c r="AH67" s="4592"/>
      <c r="AI67" s="4592"/>
      <c r="AJ67" s="4656"/>
      <c r="AK67" s="4656"/>
      <c r="AL67" s="4656"/>
      <c r="AM67" s="4656"/>
      <c r="AN67" s="4656"/>
      <c r="AO67" s="4656"/>
      <c r="AP67" s="4656"/>
      <c r="AQ67" s="4656"/>
      <c r="AR67" s="4656"/>
      <c r="AS67" s="4656"/>
      <c r="AT67" s="4656"/>
      <c r="AU67" s="4656"/>
      <c r="AV67" s="4658">
        <v>120.295</v>
      </c>
      <c r="AW67" s="4656"/>
      <c r="AX67" s="4656"/>
      <c r="AY67" s="4656"/>
      <c r="AZ67" s="4658">
        <v>116.289</v>
      </c>
      <c r="BA67" s="4656"/>
      <c r="BB67" s="4658">
        <v>116.289</v>
      </c>
      <c r="BC67" s="4656"/>
      <c r="BD67" s="4658">
        <v>109.488</v>
      </c>
      <c r="BE67" s="4656"/>
      <c r="BF67" s="4658">
        <v>58.915999999999997</v>
      </c>
      <c r="BG67" s="4656"/>
      <c r="BH67" s="4658">
        <v>76.165000000000006</v>
      </c>
      <c r="BI67" s="4658"/>
      <c r="BJ67" s="4658">
        <v>107.04300000000001</v>
      </c>
      <c r="BK67" s="4656"/>
      <c r="BL67" s="4629">
        <v>109.488</v>
      </c>
      <c r="BM67" s="4592"/>
      <c r="BN67" s="4629">
        <v>109.488</v>
      </c>
      <c r="BO67" s="4592"/>
      <c r="BP67" s="3782"/>
      <c r="BQ67" s="4659">
        <v>47.767000000000003</v>
      </c>
      <c r="BR67" s="4592"/>
      <c r="BS67" s="4629">
        <v>72.343999999999994</v>
      </c>
      <c r="BT67" s="4629"/>
      <c r="BU67" s="4629">
        <v>105.3125</v>
      </c>
      <c r="BV67" s="4601"/>
      <c r="BW67" s="4629">
        <v>109.488</v>
      </c>
      <c r="BX67" s="4592"/>
      <c r="BY67" s="4629">
        <v>98.255679999999998</v>
      </c>
      <c r="BZ67" s="4592"/>
      <c r="CA67" s="4629">
        <v>49.762</v>
      </c>
      <c r="CB67" s="4592"/>
      <c r="CC67" s="4629">
        <v>72.028000000000006</v>
      </c>
      <c r="CD67" s="4592"/>
      <c r="CE67" s="4629">
        <v>104.34099999999999</v>
      </c>
      <c r="CF67" s="4592"/>
      <c r="CG67" s="4631">
        <v>98.255679999999998</v>
      </c>
      <c r="CH67" s="4600"/>
      <c r="CI67" s="4631"/>
      <c r="CJ67" s="4600"/>
      <c r="CK67" s="4632">
        <v>46.390999999999998</v>
      </c>
      <c r="CL67" s="4602"/>
      <c r="CM67" s="4632">
        <v>98.445999999999998</v>
      </c>
      <c r="CN67" s="4672"/>
    </row>
    <row r="68" spans="1:92" ht="36" customHeight="1" x14ac:dyDescent="0.2">
      <c r="A68" s="4633" t="s">
        <v>3645</v>
      </c>
      <c r="B68" s="4445"/>
      <c r="C68" s="4445"/>
      <c r="D68" s="4445"/>
      <c r="E68" s="4586"/>
      <c r="F68" s="4587"/>
      <c r="G68" s="4586"/>
      <c r="H68" s="4586"/>
      <c r="I68" s="4597"/>
      <c r="J68" s="4597"/>
      <c r="K68" s="4598"/>
      <c r="L68" s="4589"/>
      <c r="M68" s="4589"/>
      <c r="N68" s="4589"/>
      <c r="O68" s="4589"/>
      <c r="P68" s="4598"/>
      <c r="Q68" s="4598"/>
      <c r="R68" s="4598"/>
      <c r="S68" s="4598"/>
      <c r="T68" s="4589"/>
      <c r="U68" s="4589"/>
      <c r="V68" s="4589"/>
      <c r="W68" s="4589"/>
      <c r="X68" s="4589"/>
      <c r="Y68" s="4589"/>
      <c r="Z68" s="4589"/>
      <c r="AA68" s="4589"/>
      <c r="AB68" s="4589"/>
      <c r="AC68" s="4589"/>
      <c r="AD68" s="4589"/>
      <c r="AE68" s="4589"/>
      <c r="AF68" s="4589"/>
      <c r="AG68" s="4586"/>
      <c r="AH68" s="4592"/>
      <c r="AI68" s="4592"/>
      <c r="AJ68" s="4656"/>
      <c r="AK68" s="4656"/>
      <c r="AL68" s="4656"/>
      <c r="AM68" s="4656"/>
      <c r="AN68" s="4656"/>
      <c r="AO68" s="4656"/>
      <c r="AP68" s="4656"/>
      <c r="AQ68" s="4656"/>
      <c r="AR68" s="4656"/>
      <c r="AS68" s="4656"/>
      <c r="AT68" s="4656"/>
      <c r="AU68" s="4656"/>
      <c r="AV68" s="4658">
        <v>93.442999999999998</v>
      </c>
      <c r="AW68" s="4656"/>
      <c r="AX68" s="4656"/>
      <c r="AY68" s="4656"/>
      <c r="AZ68" s="4658">
        <v>90.334999999999994</v>
      </c>
      <c r="BA68" s="4656"/>
      <c r="BB68" s="4658">
        <v>90.334999999999994</v>
      </c>
      <c r="BC68" s="4656"/>
      <c r="BD68" s="4658">
        <v>85.052000000000007</v>
      </c>
      <c r="BE68" s="4656"/>
      <c r="BF68" s="4658">
        <v>45.767000000000003</v>
      </c>
      <c r="BG68" s="4656"/>
      <c r="BH68" s="4658">
        <v>68.283000000000001</v>
      </c>
      <c r="BI68" s="4658"/>
      <c r="BJ68" s="4658">
        <v>91.513000000000005</v>
      </c>
      <c r="BK68" s="4656"/>
      <c r="BL68" s="4629">
        <v>85.052000000000007</v>
      </c>
      <c r="BM68" s="4592"/>
      <c r="BN68" s="4629">
        <v>85.052000000000007</v>
      </c>
      <c r="BO68" s="4592"/>
      <c r="BP68" s="3782"/>
      <c r="BQ68" s="4659">
        <v>41.579000000000001</v>
      </c>
      <c r="BR68" s="4592"/>
      <c r="BS68" s="4629">
        <v>62.764000000000003</v>
      </c>
      <c r="BT68" s="4629"/>
      <c r="BU68" s="4629">
        <v>82.711500000000001</v>
      </c>
      <c r="BV68" s="4601"/>
      <c r="BW68" s="4629">
        <v>85.052000000000007</v>
      </c>
      <c r="BX68" s="4592"/>
      <c r="BY68" s="4629">
        <v>76.326499999999996</v>
      </c>
      <c r="BZ68" s="4592"/>
      <c r="CA68" s="4629">
        <v>51.506999999999998</v>
      </c>
      <c r="CB68" s="4592"/>
      <c r="CC68" s="4629">
        <v>81.671000000000006</v>
      </c>
      <c r="CD68" s="4592"/>
      <c r="CE68" s="4629">
        <v>106.069</v>
      </c>
      <c r="CF68" s="4592"/>
      <c r="CG68" s="4631">
        <v>76.326499999999996</v>
      </c>
      <c r="CH68" s="4600"/>
      <c r="CI68" s="4631"/>
      <c r="CJ68" s="4600"/>
      <c r="CK68" s="4632">
        <v>52.905000000000001</v>
      </c>
      <c r="CL68" s="4602"/>
      <c r="CM68" s="4632">
        <v>105.66800000000001</v>
      </c>
      <c r="CN68" s="4672"/>
    </row>
    <row r="69" spans="1:92" ht="36" customHeight="1" x14ac:dyDescent="0.2">
      <c r="A69" s="4633" t="s">
        <v>3647</v>
      </c>
      <c r="B69" s="4445"/>
      <c r="C69" s="4445"/>
      <c r="D69" s="4445"/>
      <c r="E69" s="4586"/>
      <c r="F69" s="4587"/>
      <c r="G69" s="4586"/>
      <c r="H69" s="4586"/>
      <c r="I69" s="4597"/>
      <c r="J69" s="4597"/>
      <c r="K69" s="4598"/>
      <c r="L69" s="4589"/>
      <c r="M69" s="4589"/>
      <c r="N69" s="4589"/>
      <c r="O69" s="4589"/>
      <c r="P69" s="4598"/>
      <c r="Q69" s="4598"/>
      <c r="R69" s="4598"/>
      <c r="S69" s="4598"/>
      <c r="T69" s="4589"/>
      <c r="U69" s="4589"/>
      <c r="V69" s="4589"/>
      <c r="W69" s="4589"/>
      <c r="X69" s="4589"/>
      <c r="Y69" s="4589"/>
      <c r="Z69" s="4589"/>
      <c r="AA69" s="4589"/>
      <c r="AB69" s="4589"/>
      <c r="AC69" s="4589"/>
      <c r="AD69" s="4589"/>
      <c r="AE69" s="4589"/>
      <c r="AF69" s="4589"/>
      <c r="AG69" s="4586"/>
      <c r="AH69" s="4592"/>
      <c r="AI69" s="4592"/>
      <c r="AJ69" s="4656"/>
      <c r="AK69" s="4656"/>
      <c r="AL69" s="4656"/>
      <c r="AM69" s="4656"/>
      <c r="AN69" s="4656"/>
      <c r="AO69" s="4656"/>
      <c r="AP69" s="4656"/>
      <c r="AQ69" s="4656"/>
      <c r="AR69" s="4656"/>
      <c r="AS69" s="4656"/>
      <c r="AT69" s="4656"/>
      <c r="AU69" s="4656"/>
      <c r="AV69" s="4658">
        <v>113.89</v>
      </c>
      <c r="AW69" s="4656"/>
      <c r="AX69" s="4656"/>
      <c r="AY69" s="4656"/>
      <c r="AZ69" s="4658">
        <v>110.099</v>
      </c>
      <c r="BA69" s="4656"/>
      <c r="BB69" s="4658">
        <v>110.099</v>
      </c>
      <c r="BC69" s="4656"/>
      <c r="BD69" s="4658">
        <v>103.66</v>
      </c>
      <c r="BE69" s="4656"/>
      <c r="BF69" s="4658">
        <v>55.78</v>
      </c>
      <c r="BG69" s="4656"/>
      <c r="BH69" s="4658">
        <v>75.537000000000006</v>
      </c>
      <c r="BI69" s="4658"/>
      <c r="BJ69" s="4658">
        <v>107.384</v>
      </c>
      <c r="BK69" s="4656"/>
      <c r="BL69" s="4629">
        <v>103.66</v>
      </c>
      <c r="BM69" s="4592"/>
      <c r="BN69" s="4629">
        <v>103.66</v>
      </c>
      <c r="BO69" s="4592"/>
      <c r="BP69" s="3782"/>
      <c r="BQ69" s="4659">
        <v>41.396000000000001</v>
      </c>
      <c r="BR69" s="4592"/>
      <c r="BS69" s="4629">
        <v>54.207999999999998</v>
      </c>
      <c r="BT69" s="4629"/>
      <c r="BU69" s="4629">
        <v>86.468000000000004</v>
      </c>
      <c r="BV69" s="4601"/>
      <c r="BW69" s="4629">
        <v>103.66</v>
      </c>
      <c r="BX69" s="4592"/>
      <c r="BY69" s="4629">
        <v>93.025499999999994</v>
      </c>
      <c r="BZ69" s="4592"/>
      <c r="CA69" s="4629">
        <v>49.009</v>
      </c>
      <c r="CB69" s="4592"/>
      <c r="CC69" s="4629">
        <v>62.962000000000003</v>
      </c>
      <c r="CD69" s="4592"/>
      <c r="CE69" s="4629">
        <v>89.835999999999999</v>
      </c>
      <c r="CF69" s="4592"/>
      <c r="CG69" s="4631">
        <v>93.025499999999994</v>
      </c>
      <c r="CH69" s="4600"/>
      <c r="CI69" s="4631"/>
      <c r="CJ69" s="4600"/>
      <c r="CK69" s="4632">
        <v>57.695999999999998</v>
      </c>
      <c r="CL69" s="4602"/>
      <c r="CM69" s="4632">
        <v>107.61199999999999</v>
      </c>
      <c r="CN69" s="4672"/>
    </row>
    <row r="70" spans="1:92" ht="36" customHeight="1" x14ac:dyDescent="0.2">
      <c r="A70" s="4484" t="s">
        <v>67</v>
      </c>
      <c r="B70" s="4445"/>
      <c r="C70" s="4445"/>
      <c r="D70" s="4445"/>
      <c r="E70" s="4586">
        <v>28</v>
      </c>
      <c r="F70" s="4587" t="e">
        <f>E70/#REF!*100</f>
        <v>#REF!</v>
      </c>
      <c r="G70" s="4586">
        <v>28</v>
      </c>
      <c r="H70" s="4586">
        <v>9.6</v>
      </c>
      <c r="I70" s="4597">
        <v>14.2</v>
      </c>
      <c r="J70" s="4597"/>
      <c r="K70" s="4598">
        <v>30.2</v>
      </c>
      <c r="L70" s="4589">
        <v>28</v>
      </c>
      <c r="M70" s="4589"/>
      <c r="N70" s="4589">
        <v>28</v>
      </c>
      <c r="O70" s="4589">
        <f t="shared" si="21"/>
        <v>0</v>
      </c>
      <c r="P70" s="4598">
        <v>9.67</v>
      </c>
      <c r="Q70" s="4598"/>
      <c r="R70" s="4598"/>
      <c r="S70" s="4598">
        <v>23.38</v>
      </c>
      <c r="T70" s="4589">
        <v>28</v>
      </c>
      <c r="U70" s="4589"/>
      <c r="V70" s="4589">
        <v>15.34</v>
      </c>
      <c r="W70" s="4589"/>
      <c r="X70" s="4589">
        <v>20.65</v>
      </c>
      <c r="Y70" s="4589"/>
      <c r="Z70" s="4589">
        <v>20.65</v>
      </c>
      <c r="AA70" s="4589"/>
      <c r="AB70" s="4589">
        <v>18.93</v>
      </c>
      <c r="AC70" s="4589" t="e">
        <f>SUM(AA70/M70*100)</f>
        <v>#DIV/0!</v>
      </c>
      <c r="AD70" s="4589">
        <v>28</v>
      </c>
      <c r="AE70" s="4589"/>
      <c r="AF70" s="4589">
        <f>AB70</f>
        <v>18.93</v>
      </c>
      <c r="AG70" s="4586" t="e">
        <f>SUM(AE70/Q70*100)</f>
        <v>#DIV/0!</v>
      </c>
      <c r="AH70" s="4592"/>
      <c r="AI70" s="4592">
        <v>23</v>
      </c>
      <c r="AJ70" s="4656"/>
      <c r="AK70" s="4656">
        <v>23</v>
      </c>
      <c r="AL70" s="4656"/>
      <c r="AM70" s="4656">
        <v>23</v>
      </c>
      <c r="AN70" s="4656"/>
      <c r="AO70" s="4656">
        <v>19.22</v>
      </c>
      <c r="AP70" s="4656"/>
      <c r="AQ70" s="4656">
        <v>19.22</v>
      </c>
      <c r="AR70" s="4656"/>
      <c r="AS70" s="4656">
        <f>AF70</f>
        <v>18.93</v>
      </c>
      <c r="AT70" s="4656"/>
      <c r="AU70" s="4656">
        <v>13.25</v>
      </c>
      <c r="AV70" s="4656"/>
      <c r="AW70" s="4656">
        <v>18.25</v>
      </c>
      <c r="AX70" s="4656"/>
      <c r="AY70" s="4656">
        <v>18.93</v>
      </c>
      <c r="AZ70" s="4656"/>
      <c r="BA70" s="4656">
        <f>AU70/9*12</f>
        <v>17.666666666666668</v>
      </c>
      <c r="BB70" s="4656"/>
      <c r="BC70" s="4656">
        <f>SUM(BA70)</f>
        <v>17.666666666666668</v>
      </c>
      <c r="BD70" s="4656"/>
      <c r="BE70" s="4656">
        <f>SUM(BC70)</f>
        <v>17.666666666666668</v>
      </c>
      <c r="BF70" s="4656"/>
      <c r="BG70" s="4656">
        <v>8.7319999999999993</v>
      </c>
      <c r="BH70" s="4656"/>
      <c r="BI70" s="4656">
        <v>13.331</v>
      </c>
      <c r="BJ70" s="4656"/>
      <c r="BK70" s="4656">
        <v>14.835000000000001</v>
      </c>
      <c r="BL70" s="4592"/>
      <c r="BM70" s="4592">
        <f>SUM(BE70)</f>
        <v>17.666666666666668</v>
      </c>
      <c r="BN70" s="4592"/>
      <c r="BO70" s="4592">
        <v>17.667000000000002</v>
      </c>
      <c r="BP70" s="3782"/>
      <c r="BQ70" s="4657"/>
      <c r="BR70" s="4592">
        <v>7.7590000000000003</v>
      </c>
      <c r="BS70" s="4592"/>
      <c r="BT70" s="4592">
        <v>11.851000000000001</v>
      </c>
      <c r="BU70" s="4592"/>
      <c r="BV70" s="4601">
        <v>16.291</v>
      </c>
      <c r="BW70" s="4592"/>
      <c r="BX70" s="4592">
        <v>17.667000000000002</v>
      </c>
      <c r="BY70" s="4592"/>
      <c r="BZ70" s="4592">
        <v>14.811730000000001</v>
      </c>
      <c r="CA70" s="4592"/>
      <c r="CB70" s="4592">
        <v>7.4320000000000004</v>
      </c>
      <c r="CC70" s="4592"/>
      <c r="CD70" s="4592">
        <v>11.609</v>
      </c>
      <c r="CE70" s="4592"/>
      <c r="CF70" s="4592">
        <v>16.218</v>
      </c>
      <c r="CG70" s="4600"/>
      <c r="CH70" s="4600">
        <v>14.811730000000001</v>
      </c>
      <c r="CI70" s="4600"/>
      <c r="CJ70" s="4600">
        <v>15.2232713447161</v>
      </c>
      <c r="CK70" s="4602"/>
      <c r="CL70" s="4602">
        <v>6.8920000000000003</v>
      </c>
      <c r="CM70" s="4602"/>
      <c r="CN70" s="4672">
        <v>14.826499999999999</v>
      </c>
    </row>
    <row r="71" spans="1:92" ht="19.5" thickBot="1" x14ac:dyDescent="0.25">
      <c r="A71" s="4660" t="s">
        <v>1533</v>
      </c>
      <c r="B71" s="4661"/>
      <c r="C71" s="4661"/>
      <c r="D71" s="4661"/>
      <c r="E71" s="4662">
        <v>29</v>
      </c>
      <c r="F71" s="4663" t="e">
        <f>E71/#REF!*100</f>
        <v>#REF!</v>
      </c>
      <c r="G71" s="4662">
        <v>28</v>
      </c>
      <c r="H71" s="4662">
        <v>9.6</v>
      </c>
      <c r="I71" s="4664">
        <v>14.2</v>
      </c>
      <c r="J71" s="4664"/>
      <c r="K71" s="4665">
        <f>K62-K63</f>
        <v>917.19999999999982</v>
      </c>
      <c r="L71" s="4666"/>
      <c r="M71" s="4666"/>
      <c r="N71" s="4666"/>
      <c r="O71" s="4666"/>
      <c r="P71" s="4667"/>
      <c r="Q71" s="4667"/>
      <c r="R71" s="4665">
        <f>R62-R63-S63</f>
        <v>631.00000000000011</v>
      </c>
      <c r="S71" s="4667"/>
      <c r="T71" s="4666"/>
      <c r="U71" s="4666">
        <v>973.86</v>
      </c>
      <c r="V71" s="4666"/>
      <c r="W71" s="4666">
        <v>1155.8800000000001</v>
      </c>
      <c r="X71" s="4666"/>
      <c r="Y71" s="4666">
        <v>0</v>
      </c>
      <c r="Z71" s="4666"/>
      <c r="AA71" s="4666"/>
      <c r="AB71" s="4666"/>
      <c r="AC71" s="4666"/>
      <c r="AD71" s="4666"/>
      <c r="AE71" s="4666"/>
      <c r="AF71" s="4666"/>
      <c r="AG71" s="4662"/>
      <c r="AH71" s="4666"/>
      <c r="AI71" s="4666"/>
      <c r="AJ71" s="4662"/>
      <c r="AK71" s="4662"/>
      <c r="AL71" s="4662"/>
      <c r="AM71" s="4662"/>
      <c r="AN71" s="4662">
        <v>1162.1600000000001</v>
      </c>
      <c r="AO71" s="4662"/>
      <c r="AP71" s="4662">
        <v>0</v>
      </c>
      <c r="AQ71" s="4662">
        <v>0</v>
      </c>
      <c r="AR71" s="4662"/>
      <c r="AS71" s="4662"/>
      <c r="AT71" s="4662"/>
      <c r="AU71" s="4662"/>
      <c r="AV71" s="4662"/>
      <c r="AW71" s="4662"/>
      <c r="AX71" s="4662">
        <v>968.44</v>
      </c>
      <c r="AY71" s="4662"/>
      <c r="AZ71" s="4662"/>
      <c r="BA71" s="4662"/>
      <c r="BB71" s="4662"/>
      <c r="BC71" s="4662"/>
      <c r="BD71" s="4662"/>
      <c r="BE71" s="4662"/>
      <c r="BF71" s="4662"/>
      <c r="BG71" s="4662"/>
      <c r="BH71" s="4662"/>
      <c r="BI71" s="4662"/>
      <c r="BJ71" s="4662"/>
      <c r="BK71" s="4662"/>
      <c r="BL71" s="4662"/>
      <c r="BM71" s="4662"/>
      <c r="BN71" s="4662"/>
      <c r="BO71" s="4662"/>
      <c r="BP71" s="3783"/>
      <c r="BQ71" s="4668"/>
      <c r="BR71" s="4662"/>
      <c r="BS71" s="4662"/>
      <c r="BT71" s="4662"/>
      <c r="BU71" s="4662"/>
      <c r="BV71" s="4669"/>
      <c r="BW71" s="3911"/>
      <c r="BX71" s="3911"/>
      <c r="BY71" s="3911"/>
      <c r="BZ71" s="3911"/>
      <c r="CA71" s="3911"/>
      <c r="CB71" s="3911"/>
      <c r="CC71" s="3911"/>
      <c r="CD71" s="3911"/>
      <c r="CE71" s="3911"/>
      <c r="CF71" s="3911"/>
      <c r="CG71" s="3912"/>
      <c r="CH71" s="3912"/>
      <c r="CI71" s="3912"/>
      <c r="CJ71" s="3912"/>
      <c r="CK71" s="4679"/>
      <c r="CL71" s="4679"/>
      <c r="CM71" s="4679"/>
      <c r="CN71" s="4680"/>
    </row>
    <row r="72" spans="1:92" hidden="1" outlineLevel="1" x14ac:dyDescent="0.2">
      <c r="A72" s="157" t="s">
        <v>265</v>
      </c>
    </row>
    <row r="73" spans="1:92" hidden="1" outlineLevel="1" x14ac:dyDescent="0.2">
      <c r="A73" s="25"/>
      <c r="B73" s="25"/>
      <c r="C73" s="25"/>
      <c r="D73" s="25"/>
      <c r="E73" s="25" t="s">
        <v>256</v>
      </c>
      <c r="F73" s="25" t="s">
        <v>257</v>
      </c>
      <c r="G73" s="25" t="s">
        <v>257</v>
      </c>
      <c r="H73" s="25" t="s">
        <v>258</v>
      </c>
      <c r="I73" s="25" t="s">
        <v>259</v>
      </c>
      <c r="J73" s="25" t="s">
        <v>261</v>
      </c>
      <c r="K73" s="579"/>
      <c r="L73" s="25" t="s">
        <v>260</v>
      </c>
      <c r="M73" s="25" t="s">
        <v>262</v>
      </c>
      <c r="N73" s="971"/>
      <c r="O73" s="25"/>
      <c r="P73" s="579"/>
      <c r="Q73" s="1183"/>
      <c r="R73" s="1256"/>
      <c r="S73" s="579"/>
      <c r="T73" s="579"/>
      <c r="U73" s="1734"/>
      <c r="V73" s="1734"/>
      <c r="W73" s="1734"/>
      <c r="X73" s="1734"/>
      <c r="Y73" s="1734"/>
      <c r="Z73" s="1734"/>
      <c r="AA73" s="579"/>
      <c r="AB73" s="971"/>
      <c r="AC73" s="579"/>
      <c r="AD73" s="1362"/>
      <c r="AE73" s="1362"/>
      <c r="AF73" s="1362"/>
      <c r="AG73" s="1362"/>
      <c r="AH73" s="1586"/>
      <c r="AI73" s="1586"/>
      <c r="AJ73" s="1586"/>
      <c r="AK73" s="1586"/>
      <c r="AL73" s="1734"/>
      <c r="AM73" s="1734"/>
      <c r="AN73" s="2076"/>
      <c r="AO73" s="2076"/>
      <c r="AP73" s="2076"/>
      <c r="AQ73" s="2076"/>
      <c r="AR73" s="1734"/>
      <c r="AS73" s="1734"/>
      <c r="AT73" s="2076"/>
      <c r="AU73" s="2076"/>
      <c r="AV73" s="2076"/>
      <c r="AW73" s="2076"/>
      <c r="AX73" s="2076"/>
      <c r="AY73" s="2076"/>
      <c r="AZ73" s="2076"/>
      <c r="BA73" s="2076"/>
      <c r="BB73" s="2076"/>
      <c r="BC73" s="2076"/>
      <c r="BD73" s="2076"/>
      <c r="BE73" s="2076"/>
      <c r="BF73" s="2586"/>
      <c r="BG73" s="2586"/>
      <c r="BH73" s="2586"/>
      <c r="BI73" s="2586"/>
      <c r="BJ73" s="2586"/>
      <c r="BK73" s="2586"/>
    </row>
    <row r="74" spans="1:92" hidden="1" outlineLevel="1" x14ac:dyDescent="0.2">
      <c r="A74" s="25" t="s">
        <v>252</v>
      </c>
      <c r="B74" s="25"/>
      <c r="C74" s="25"/>
      <c r="D74" s="25"/>
      <c r="E74" s="25"/>
      <c r="F74" s="25"/>
      <c r="G74" s="25"/>
      <c r="H74" s="25"/>
      <c r="I74" s="25"/>
      <c r="J74" s="25"/>
      <c r="K74" s="579"/>
      <c r="L74" s="25"/>
      <c r="M74" s="25"/>
      <c r="N74" s="971"/>
      <c r="O74" s="25"/>
      <c r="P74" s="579"/>
      <c r="Q74" s="1183"/>
      <c r="R74" s="1256"/>
      <c r="S74" s="579"/>
      <c r="T74" s="579"/>
      <c r="U74" s="1734"/>
      <c r="V74" s="1734"/>
      <c r="W74" s="1734"/>
      <c r="X74" s="1734"/>
      <c r="Y74" s="1734"/>
      <c r="Z74" s="1734"/>
      <c r="AA74" s="579"/>
      <c r="AB74" s="971"/>
      <c r="AC74" s="579"/>
      <c r="AD74" s="1362"/>
      <c r="AE74" s="1362"/>
      <c r="AF74" s="1362"/>
      <c r="AG74" s="1362"/>
      <c r="AH74" s="1586"/>
      <c r="AI74" s="1586"/>
      <c r="AJ74" s="1586"/>
      <c r="AK74" s="1586"/>
      <c r="AL74" s="1734"/>
      <c r="AM74" s="1734"/>
      <c r="AN74" s="2076"/>
      <c r="AO74" s="2076"/>
      <c r="AP74" s="2076"/>
      <c r="AQ74" s="2076"/>
      <c r="AR74" s="1734"/>
      <c r="AS74" s="1734"/>
      <c r="AT74" s="2076"/>
      <c r="AU74" s="2076"/>
      <c r="AV74" s="2076"/>
      <c r="AW74" s="2076"/>
      <c r="AX74" s="2076"/>
      <c r="AY74" s="2076"/>
      <c r="AZ74" s="2076"/>
      <c r="BA74" s="2076"/>
      <c r="BB74" s="2076"/>
      <c r="BC74" s="2076"/>
      <c r="BD74" s="2076"/>
      <c r="BE74" s="2076"/>
      <c r="BF74" s="2586"/>
      <c r="BG74" s="2586"/>
      <c r="BH74" s="2586"/>
      <c r="BI74" s="2586"/>
      <c r="BJ74" s="2586"/>
      <c r="BK74" s="2586"/>
    </row>
    <row r="75" spans="1:92" hidden="1" outlineLevel="1" x14ac:dyDescent="0.2">
      <c r="A75" s="156" t="s">
        <v>228</v>
      </c>
      <c r="B75" s="25"/>
      <c r="C75" s="25"/>
      <c r="D75" s="25"/>
      <c r="E75" s="25"/>
      <c r="F75" s="25"/>
      <c r="G75" s="25"/>
      <c r="H75" s="25"/>
      <c r="I75" s="25"/>
      <c r="J75" s="25"/>
      <c r="K75" s="579"/>
      <c r="L75" s="25"/>
      <c r="M75" s="25"/>
      <c r="N75" s="971"/>
      <c r="O75" s="25"/>
      <c r="P75" s="579"/>
      <c r="Q75" s="1183"/>
      <c r="R75" s="1256"/>
      <c r="S75" s="579"/>
      <c r="T75" s="579"/>
      <c r="U75" s="1734"/>
      <c r="V75" s="1734"/>
      <c r="W75" s="1734"/>
      <c r="X75" s="1734"/>
      <c r="Y75" s="1734"/>
      <c r="Z75" s="1734"/>
      <c r="AA75" s="579"/>
      <c r="AB75" s="971"/>
      <c r="AC75" s="579"/>
      <c r="AD75" s="1362"/>
      <c r="AE75" s="1362"/>
      <c r="AF75" s="1362"/>
      <c r="AG75" s="1362"/>
      <c r="AH75" s="1586"/>
      <c r="AI75" s="1586"/>
      <c r="AJ75" s="1586"/>
      <c r="AK75" s="1586"/>
      <c r="AL75" s="1734"/>
      <c r="AM75" s="1734"/>
      <c r="AN75" s="2076"/>
      <c r="AO75" s="2076"/>
      <c r="AP75" s="2076"/>
      <c r="AQ75" s="2076"/>
      <c r="AR75" s="1734"/>
      <c r="AS75" s="1734"/>
      <c r="AT75" s="2076"/>
      <c r="AU75" s="2076"/>
      <c r="AV75" s="2076"/>
      <c r="AW75" s="2076"/>
      <c r="AX75" s="2076"/>
      <c r="AY75" s="2076"/>
      <c r="AZ75" s="2076"/>
      <c r="BA75" s="2076"/>
      <c r="BB75" s="2076"/>
      <c r="BC75" s="2076"/>
      <c r="BD75" s="2076"/>
      <c r="BE75" s="2076"/>
      <c r="BF75" s="2586"/>
      <c r="BG75" s="2586"/>
      <c r="BH75" s="2586"/>
      <c r="BI75" s="2586"/>
      <c r="BJ75" s="2586"/>
      <c r="BK75" s="2586"/>
    </row>
    <row r="76" spans="1:92" hidden="1" outlineLevel="1" x14ac:dyDescent="0.2">
      <c r="A76" s="25" t="s">
        <v>253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579"/>
      <c r="L76" s="25">
        <f>I76</f>
        <v>236.8</v>
      </c>
      <c r="M76" s="25">
        <v>229.09</v>
      </c>
      <c r="N76" s="971"/>
      <c r="O76" s="25"/>
      <c r="P76" s="579"/>
      <c r="Q76" s="1183"/>
      <c r="R76" s="1256"/>
      <c r="S76" s="579"/>
      <c r="T76" s="579"/>
      <c r="U76" s="1734"/>
      <c r="V76" s="1734"/>
      <c r="W76" s="1734"/>
      <c r="X76" s="1734"/>
      <c r="Y76" s="1734"/>
      <c r="Z76" s="1734"/>
      <c r="AA76" s="579"/>
      <c r="AB76" s="971"/>
      <c r="AC76" s="579"/>
      <c r="AD76" s="1362"/>
      <c r="AE76" s="1362"/>
      <c r="AF76" s="1362"/>
      <c r="AG76" s="1362"/>
      <c r="AH76" s="1586"/>
      <c r="AI76" s="1586"/>
      <c r="AJ76" s="1586"/>
      <c r="AK76" s="1586"/>
      <c r="AL76" s="1734"/>
      <c r="AM76" s="1734"/>
      <c r="AN76" s="2076"/>
      <c r="AO76" s="2076"/>
      <c r="AP76" s="2076"/>
      <c r="AQ76" s="2076"/>
      <c r="AR76" s="1734"/>
      <c r="AS76" s="1734"/>
      <c r="AT76" s="2076"/>
      <c r="AU76" s="2076"/>
      <c r="AV76" s="2076"/>
      <c r="AW76" s="2076"/>
      <c r="AX76" s="2076"/>
      <c r="AY76" s="2076"/>
      <c r="AZ76" s="2076"/>
      <c r="BA76" s="2076"/>
      <c r="BB76" s="2076"/>
      <c r="BC76" s="2076"/>
      <c r="BD76" s="2076"/>
      <c r="BE76" s="2076"/>
      <c r="BF76" s="2586"/>
      <c r="BG76" s="2586"/>
      <c r="BH76" s="2586"/>
      <c r="BI76" s="2586"/>
      <c r="BJ76" s="2586"/>
      <c r="BK76" s="2586"/>
    </row>
    <row r="77" spans="1:92" hidden="1" outlineLevel="1" x14ac:dyDescent="0.2">
      <c r="A77" s="25" t="s">
        <v>254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579"/>
      <c r="L77" s="25">
        <f>I77</f>
        <v>100.3</v>
      </c>
      <c r="M77" s="25">
        <v>87.4</v>
      </c>
      <c r="N77" s="971"/>
      <c r="O77" s="25"/>
      <c r="P77" s="579"/>
      <c r="Q77" s="1183"/>
      <c r="R77" s="1256"/>
      <c r="S77" s="579"/>
      <c r="T77" s="579"/>
      <c r="U77" s="1734"/>
      <c r="V77" s="1734"/>
      <c r="W77" s="1734"/>
      <c r="X77" s="1734"/>
      <c r="Y77" s="1734"/>
      <c r="Z77" s="1734"/>
      <c r="AA77" s="579"/>
      <c r="AB77" s="971"/>
      <c r="AC77" s="579"/>
      <c r="AD77" s="1362"/>
      <c r="AE77" s="1362"/>
      <c r="AF77" s="1362"/>
      <c r="AG77" s="1362"/>
      <c r="AH77" s="1586"/>
      <c r="AI77" s="1586"/>
      <c r="AJ77" s="1586"/>
      <c r="AK77" s="1586"/>
      <c r="AL77" s="1734"/>
      <c r="AM77" s="1734"/>
      <c r="AN77" s="2076"/>
      <c r="AO77" s="2076"/>
      <c r="AP77" s="2076"/>
      <c r="AQ77" s="2076"/>
      <c r="AR77" s="1734"/>
      <c r="AS77" s="1734"/>
      <c r="AT77" s="2076"/>
      <c r="AU77" s="2076"/>
      <c r="AV77" s="2076"/>
      <c r="AW77" s="2076"/>
      <c r="AX77" s="2076"/>
      <c r="AY77" s="2076"/>
      <c r="AZ77" s="2076"/>
      <c r="BA77" s="2076"/>
      <c r="BB77" s="2076"/>
      <c r="BC77" s="2076"/>
      <c r="BD77" s="2076"/>
      <c r="BE77" s="2076"/>
      <c r="BF77" s="2586"/>
      <c r="BG77" s="2586"/>
      <c r="BH77" s="2586"/>
      <c r="BI77" s="2586"/>
      <c r="BJ77" s="2586"/>
      <c r="BK77" s="2586"/>
    </row>
    <row r="78" spans="1:92" hidden="1" outlineLevel="1" x14ac:dyDescent="0.2">
      <c r="A78" s="25" t="s">
        <v>255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579"/>
      <c r="L78" s="25">
        <f>I78</f>
        <v>3.6</v>
      </c>
      <c r="M78" s="25">
        <v>2.1</v>
      </c>
      <c r="N78" s="971"/>
      <c r="O78" s="25"/>
      <c r="P78" s="579"/>
      <c r="Q78" s="1183"/>
      <c r="R78" s="1256"/>
      <c r="S78" s="579"/>
      <c r="T78" s="579"/>
      <c r="U78" s="1734"/>
      <c r="V78" s="1734"/>
      <c r="W78" s="1734"/>
      <c r="X78" s="1734"/>
      <c r="Y78" s="1734"/>
      <c r="Z78" s="1734"/>
      <c r="AA78" s="579"/>
      <c r="AB78" s="971"/>
      <c r="AC78" s="579"/>
      <c r="AD78" s="1362"/>
      <c r="AE78" s="1362"/>
      <c r="AF78" s="1362"/>
      <c r="AG78" s="1362"/>
      <c r="AH78" s="1586"/>
      <c r="AI78" s="1586"/>
      <c r="AJ78" s="1586"/>
      <c r="AK78" s="1586"/>
      <c r="AL78" s="1734"/>
      <c r="AM78" s="1734"/>
      <c r="AN78" s="2076"/>
      <c r="AO78" s="2076"/>
      <c r="AP78" s="2076"/>
      <c r="AQ78" s="2076"/>
      <c r="AR78" s="1734"/>
      <c r="AS78" s="1734"/>
      <c r="AT78" s="2076"/>
      <c r="AU78" s="2076"/>
      <c r="AV78" s="2076"/>
      <c r="AW78" s="2076"/>
      <c r="AX78" s="2076"/>
      <c r="AY78" s="2076"/>
      <c r="AZ78" s="2076"/>
      <c r="BA78" s="2076"/>
      <c r="BB78" s="2076"/>
      <c r="BC78" s="2076"/>
      <c r="BD78" s="2076"/>
      <c r="BE78" s="2076"/>
      <c r="BF78" s="2586"/>
      <c r="BG78" s="2586"/>
      <c r="BH78" s="2586"/>
      <c r="BI78" s="2586"/>
      <c r="BJ78" s="2586"/>
      <c r="BK78" s="2586"/>
    </row>
    <row r="79" spans="1:92" hidden="1" outlineLevel="1" x14ac:dyDescent="0.2">
      <c r="A79" s="25"/>
      <c r="B79" s="25"/>
      <c r="C79" s="25"/>
      <c r="D79" s="25"/>
      <c r="E79" s="5012" t="s">
        <v>266</v>
      </c>
      <c r="F79" s="5013"/>
      <c r="G79" s="5013"/>
      <c r="H79" s="5013"/>
      <c r="I79" s="5013"/>
      <c r="J79" s="158"/>
      <c r="K79" s="594"/>
      <c r="L79" s="5013" t="s">
        <v>267</v>
      </c>
      <c r="M79" s="5013"/>
      <c r="N79" s="981"/>
      <c r="O79" s="260"/>
      <c r="P79" s="596"/>
      <c r="Q79" s="1184"/>
      <c r="R79" s="1257"/>
      <c r="S79" s="596"/>
      <c r="T79" s="596"/>
      <c r="U79" s="1735"/>
      <c r="V79" s="1735"/>
      <c r="W79" s="1735"/>
      <c r="X79" s="1735"/>
      <c r="Y79" s="1735"/>
      <c r="Z79" s="1735"/>
      <c r="AA79" s="596"/>
      <c r="AB79" s="972"/>
      <c r="AC79" s="596"/>
      <c r="AD79" s="1562"/>
      <c r="AE79" s="1562"/>
      <c r="AF79" s="1562"/>
      <c r="AG79" s="1562"/>
      <c r="AH79" s="1587"/>
      <c r="AI79" s="1587"/>
      <c r="AJ79" s="1587"/>
      <c r="AK79" s="1587"/>
      <c r="AL79" s="1735"/>
      <c r="AM79" s="1735"/>
      <c r="AN79" s="2077"/>
      <c r="AO79" s="2077"/>
      <c r="AP79" s="2077"/>
      <c r="AQ79" s="2077"/>
      <c r="AR79" s="1735"/>
      <c r="AS79" s="1735"/>
      <c r="AT79" s="2077"/>
      <c r="AU79" s="2077"/>
      <c r="AV79" s="2077"/>
      <c r="AW79" s="2077"/>
      <c r="AX79" s="2077"/>
      <c r="AY79" s="2077"/>
      <c r="AZ79" s="2077"/>
      <c r="BA79" s="2077"/>
      <c r="BB79" s="2077"/>
      <c r="BC79" s="2077"/>
      <c r="BD79" s="2077"/>
      <c r="BE79" s="2077"/>
      <c r="BF79" s="2077"/>
      <c r="BG79" s="2077"/>
      <c r="BH79" s="2077"/>
      <c r="BI79" s="2077"/>
      <c r="BJ79" s="2077"/>
      <c r="BK79" s="2077"/>
    </row>
    <row r="80" spans="1:92" collapsed="1" x14ac:dyDescent="0.2"/>
    <row r="85" spans="1:92" ht="27.75" x14ac:dyDescent="0.4">
      <c r="A85" s="5499" t="s">
        <v>3988</v>
      </c>
      <c r="B85" s="5499"/>
      <c r="C85" s="5499"/>
      <c r="D85" s="5499"/>
      <c r="E85" s="5499"/>
      <c r="F85" s="5499"/>
      <c r="G85" s="5499"/>
      <c r="H85" s="5499"/>
      <c r="I85" s="5499"/>
      <c r="J85" s="5499"/>
      <c r="K85" s="5499"/>
      <c r="L85" s="5499"/>
      <c r="M85" s="5499"/>
      <c r="N85" s="5499"/>
      <c r="O85" s="5499"/>
      <c r="P85" s="5499"/>
      <c r="Q85" s="5499"/>
      <c r="R85" s="5499"/>
      <c r="S85" s="5499"/>
      <c r="T85" s="5499"/>
      <c r="U85" s="5499"/>
      <c r="V85" s="5499"/>
      <c r="W85" s="5499"/>
      <c r="X85" s="5499"/>
      <c r="Y85" s="5499"/>
      <c r="Z85" s="5499"/>
      <c r="AA85" s="5499"/>
      <c r="AB85" s="5499"/>
      <c r="AC85" s="5499"/>
      <c r="AD85" s="5499"/>
      <c r="AE85" s="5499"/>
      <c r="AF85" s="5499"/>
      <c r="AG85" s="5499"/>
      <c r="AH85" s="5499"/>
      <c r="AI85" s="5499"/>
      <c r="AJ85" s="5499"/>
      <c r="AK85" s="5499"/>
      <c r="AL85" s="5499"/>
      <c r="AM85" s="5499"/>
      <c r="AN85" s="5499"/>
      <c r="AO85" s="5499"/>
      <c r="AP85" s="5499"/>
      <c r="AQ85" s="5499"/>
      <c r="AR85" s="5499"/>
      <c r="AS85" s="5499"/>
      <c r="AT85" s="5499"/>
      <c r="AU85" s="5499"/>
      <c r="AV85" s="5499"/>
      <c r="AW85" s="5499"/>
      <c r="AX85" s="5499"/>
      <c r="AY85" s="5499"/>
      <c r="AZ85" s="5499"/>
      <c r="BA85" s="5499"/>
      <c r="BB85" s="5499"/>
      <c r="BC85" s="5499"/>
      <c r="BD85" s="4910"/>
      <c r="BE85" s="4910"/>
      <c r="BF85" s="4910"/>
      <c r="BG85" s="4910"/>
      <c r="BH85" s="4910"/>
      <c r="BI85" s="4910"/>
      <c r="BJ85" s="4910"/>
      <c r="BK85" s="4910"/>
      <c r="BL85" s="4910"/>
      <c r="BM85" s="4910"/>
      <c r="BN85" s="4910"/>
      <c r="BO85" s="4910"/>
      <c r="BP85" s="4910"/>
      <c r="BQ85" s="4910"/>
      <c r="BR85" s="4910"/>
      <c r="BS85" s="4910"/>
      <c r="BT85" s="4910"/>
      <c r="BU85" s="4910"/>
      <c r="BV85" s="4910"/>
      <c r="BW85" s="4910"/>
      <c r="BX85" s="4910"/>
      <c r="BY85" s="4910"/>
      <c r="BZ85" s="4910"/>
      <c r="CA85" s="4910"/>
      <c r="CB85" s="4910"/>
      <c r="CC85" s="4910"/>
      <c r="CD85" s="4910"/>
      <c r="CE85" s="4910"/>
      <c r="CF85" s="4910"/>
      <c r="CG85" s="4910"/>
      <c r="CH85" s="4910"/>
      <c r="CI85" s="4910"/>
      <c r="CJ85" s="4910"/>
      <c r="CK85" s="4910"/>
      <c r="CL85" s="4910"/>
      <c r="CM85" s="4910"/>
      <c r="CN85" s="4910"/>
    </row>
    <row r="86" spans="1:92" x14ac:dyDescent="0.2">
      <c r="V86">
        <f>V70/9*12</f>
        <v>20.453333333333333</v>
      </c>
    </row>
    <row r="90" spans="1:92" hidden="1" x14ac:dyDescent="0.2">
      <c r="AB90">
        <f>AA62/T62</f>
        <v>0.74585180823056674</v>
      </c>
    </row>
  </sheetData>
  <mergeCells count="96">
    <mergeCell ref="E79:I79"/>
    <mergeCell ref="L79:M79"/>
    <mergeCell ref="AC36:AC37"/>
    <mergeCell ref="Y36:Z36"/>
    <mergeCell ref="AT35:AU35"/>
    <mergeCell ref="F36:F37"/>
    <mergeCell ref="G36:G37"/>
    <mergeCell ref="AR35:AS35"/>
    <mergeCell ref="A38:CN38"/>
    <mergeCell ref="A60:CN60"/>
    <mergeCell ref="BW35:BZ35"/>
    <mergeCell ref="BW36:BX36"/>
    <mergeCell ref="BY36:BZ36"/>
    <mergeCell ref="BL35:BO35"/>
    <mergeCell ref="BL36:BM36"/>
    <mergeCell ref="BN36:BO36"/>
    <mergeCell ref="BQ35:BR36"/>
    <mergeCell ref="BS35:BT36"/>
    <mergeCell ref="BU35:BV36"/>
    <mergeCell ref="M5:BK5"/>
    <mergeCell ref="A21:BK21"/>
    <mergeCell ref="AT36:AU36"/>
    <mergeCell ref="AV35:AW35"/>
    <mergeCell ref="C5:D5"/>
    <mergeCell ref="E36:E37"/>
    <mergeCell ref="BJ35:BK36"/>
    <mergeCell ref="L36:L37"/>
    <mergeCell ref="T36:T37"/>
    <mergeCell ref="AN35:AQ35"/>
    <mergeCell ref="L34:S35"/>
    <mergeCell ref="U36:V36"/>
    <mergeCell ref="W36:X36"/>
    <mergeCell ref="M36:N36"/>
    <mergeCell ref="R36:S36"/>
    <mergeCell ref="E6:E8"/>
    <mergeCell ref="AA35:AF35"/>
    <mergeCell ref="U34:V34"/>
    <mergeCell ref="A32:L32"/>
    <mergeCell ref="A34:A37"/>
    <mergeCell ref="O36:O37"/>
    <mergeCell ref="F6:F8"/>
    <mergeCell ref="G6:G8"/>
    <mergeCell ref="W34:AW34"/>
    <mergeCell ref="AE36:AF36"/>
    <mergeCell ref="AA36:AB36"/>
    <mergeCell ref="AJ35:AK35"/>
    <mergeCell ref="AL36:AM36"/>
    <mergeCell ref="AG36:AG37"/>
    <mergeCell ref="BD36:BE36"/>
    <mergeCell ref="B5:B8"/>
    <mergeCell ref="M6:M8"/>
    <mergeCell ref="K36:K37"/>
    <mergeCell ref="A9:BK9"/>
    <mergeCell ref="H36:H37"/>
    <mergeCell ref="I36:I37"/>
    <mergeCell ref="AX35:BA35"/>
    <mergeCell ref="BB36:BC36"/>
    <mergeCell ref="AX36:AY36"/>
    <mergeCell ref="AZ36:BA36"/>
    <mergeCell ref="P36:Q36"/>
    <mergeCell ref="AD36:AD37"/>
    <mergeCell ref="A5:A8"/>
    <mergeCell ref="AV36:AW36"/>
    <mergeCell ref="BB35:BE35"/>
    <mergeCell ref="A85:CN85"/>
    <mergeCell ref="CG35:CJ35"/>
    <mergeCell ref="L6:L8"/>
    <mergeCell ref="J6:J8"/>
    <mergeCell ref="D6:D8"/>
    <mergeCell ref="C6:C8"/>
    <mergeCell ref="H6:H8"/>
    <mergeCell ref="E34:K35"/>
    <mergeCell ref="I6:I8"/>
    <mergeCell ref="CG36:CH36"/>
    <mergeCell ref="CI36:CJ36"/>
    <mergeCell ref="CA35:CB36"/>
    <mergeCell ref="CC35:CD36"/>
    <mergeCell ref="CE35:CF36"/>
    <mergeCell ref="BH35:BI36"/>
    <mergeCell ref="BF35:BG36"/>
    <mergeCell ref="A1:CN1"/>
    <mergeCell ref="A2:CN2"/>
    <mergeCell ref="A3:CN3"/>
    <mergeCell ref="A4:CN4"/>
    <mergeCell ref="CK35:CL36"/>
    <mergeCell ref="CM35:CN36"/>
    <mergeCell ref="AX34:CN34"/>
    <mergeCell ref="I5:L5"/>
    <mergeCell ref="G5:H5"/>
    <mergeCell ref="E5:F5"/>
    <mergeCell ref="W35:Z35"/>
    <mergeCell ref="AR36:AS36"/>
    <mergeCell ref="AP36:AQ36"/>
    <mergeCell ref="AN36:AO36"/>
    <mergeCell ref="AH36:AI36"/>
    <mergeCell ref="AJ36:AK36"/>
  </mergeCells>
  <phoneticPr fontId="10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5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Лист22">
    <tabColor rgb="FFFF66FF"/>
    <pageSetUpPr fitToPage="1"/>
  </sheetPr>
  <dimension ref="A1:EP205"/>
  <sheetViews>
    <sheetView zoomScale="80" zoomScaleNormal="80" zoomScaleSheetLayoutView="75" zoomScalePageLayoutView="70" workbookViewId="0">
      <pane xSplit="24" ySplit="7" topLeftCell="DK168" activePane="bottomRight" state="frozen"/>
      <selection pane="topRight" activeCell="Y1" sqref="Y1"/>
      <selection pane="bottomLeft" activeCell="A7" sqref="A7"/>
      <selection pane="bottomRight" activeCell="EK144" sqref="EK144:EM174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72" width="13.7109375" style="1655" hidden="1" customWidth="1" outlineLevel="1"/>
    <col min="73" max="73" width="10.7109375" style="1655" hidden="1" customWidth="1" outlineLevel="1"/>
    <col min="74" max="75" width="13.7109375" style="1655" hidden="1" customWidth="1" outlineLevel="1"/>
    <col min="76" max="76" width="10.7109375" style="1655" hidden="1" customWidth="1" outlineLevel="1"/>
    <col min="77" max="78" width="13.7109375" style="1655" hidden="1" customWidth="1" outlineLevel="1"/>
    <col min="79" max="79" width="10.7109375" style="1655" hidden="1" customWidth="1" outlineLevel="1"/>
    <col min="80" max="80" width="43.42578125" hidden="1" customWidth="1"/>
    <col min="81" max="83" width="0" hidden="1" customWidth="1"/>
    <col min="84" max="84" width="13.85546875" hidden="1" customWidth="1"/>
    <col min="85" max="85" width="13.7109375" hidden="1" customWidth="1"/>
    <col min="86" max="86" width="10.7109375" hidden="1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4" width="13.7109375" hidden="1" customWidth="1"/>
    <col min="95" max="95" width="10.7109375" hidden="1" customWidth="1"/>
    <col min="96" max="96" width="13.7109375" hidden="1" customWidth="1"/>
    <col min="97" max="97" width="13.85546875" hidden="1" customWidth="1"/>
    <col min="98" max="98" width="10.7109375" hidden="1" customWidth="1"/>
    <col min="99" max="99" width="14.85546875" hidden="1" customWidth="1"/>
    <col min="100" max="100" width="14.140625" hidden="1" customWidth="1"/>
    <col min="101" max="101" width="10.7109375" hidden="1" customWidth="1"/>
    <col min="102" max="109" width="13.7109375" hidden="1" customWidth="1"/>
    <col min="110" max="110" width="10.7109375" hidden="1" customWidth="1"/>
    <col min="111" max="111" width="14.85546875" customWidth="1"/>
    <col min="112" max="112" width="14" customWidth="1"/>
    <col min="113" max="113" width="11.28515625" customWidth="1"/>
    <col min="114" max="114" width="14.85546875" customWidth="1"/>
    <col min="115" max="115" width="14" customWidth="1"/>
    <col min="116" max="116" width="11.28515625" customWidth="1"/>
    <col min="117" max="118" width="13.85546875" hidden="1" customWidth="1"/>
    <col min="119" max="119" width="10.85546875" hidden="1" customWidth="1"/>
    <col min="120" max="121" width="13.85546875" hidden="1" customWidth="1"/>
    <col min="122" max="122" width="11.5703125" hidden="1" customWidth="1"/>
    <col min="123" max="124" width="13.85546875" customWidth="1"/>
    <col min="125" max="125" width="10.7109375" customWidth="1"/>
    <col min="126" max="126" width="14.85546875" hidden="1" customWidth="1"/>
    <col min="127" max="127" width="14" hidden="1" customWidth="1"/>
    <col min="128" max="128" width="10.7109375" hidden="1" customWidth="1"/>
    <col min="129" max="129" width="14.85546875" hidden="1" customWidth="1"/>
    <col min="130" max="130" width="14" hidden="1" customWidth="1"/>
    <col min="131" max="131" width="10.7109375" hidden="1" customWidth="1"/>
    <col min="132" max="132" width="14.85546875" customWidth="1"/>
    <col min="133" max="133" width="14.140625" customWidth="1"/>
    <col min="134" max="134" width="11.85546875" customWidth="1"/>
    <col min="135" max="140" width="15.28515625" customWidth="1"/>
    <col min="141" max="142" width="14" customWidth="1"/>
    <col min="143" max="143" width="11.85546875" bestFit="1" customWidth="1"/>
  </cols>
  <sheetData>
    <row r="1" spans="1:143" x14ac:dyDescent="0.25">
      <c r="CB1" t="s">
        <v>1490</v>
      </c>
      <c r="CW1" s="155"/>
    </row>
    <row r="2" spans="1:143" ht="25.5" x14ac:dyDescent="0.2">
      <c r="A2" s="5524" t="s">
        <v>4079</v>
      </c>
      <c r="B2" s="5524"/>
      <c r="C2" s="5524"/>
      <c r="D2" s="5524"/>
      <c r="E2" s="5524"/>
      <c r="F2" s="5524"/>
      <c r="G2" s="5524"/>
      <c r="H2" s="5524"/>
      <c r="I2" s="5524"/>
      <c r="J2" s="5524"/>
      <c r="K2" s="5524"/>
      <c r="L2" s="5524"/>
      <c r="M2" s="5524"/>
      <c r="N2" s="5524"/>
      <c r="O2" s="5524"/>
      <c r="P2" s="5524"/>
      <c r="Q2" s="5524"/>
      <c r="R2" s="5524"/>
      <c r="S2" s="5524"/>
      <c r="T2" s="5524"/>
      <c r="U2" s="5524"/>
      <c r="V2" s="5524"/>
      <c r="W2" s="5524"/>
      <c r="X2" s="5524"/>
      <c r="Y2" s="5524"/>
      <c r="Z2" s="5524"/>
      <c r="AA2" s="5524"/>
      <c r="AB2" s="5524"/>
      <c r="AC2" s="5524"/>
      <c r="AD2" s="5524"/>
      <c r="AE2" s="5524"/>
      <c r="AF2" s="5524"/>
      <c r="AG2" s="5524"/>
      <c r="AH2" s="5524"/>
      <c r="AI2" s="5524"/>
      <c r="AJ2" s="5524"/>
      <c r="AK2" s="5524"/>
      <c r="AL2" s="5524"/>
      <c r="AM2" s="5524"/>
      <c r="AN2" s="5524"/>
      <c r="AO2" s="5524"/>
      <c r="AP2" s="5524"/>
      <c r="AQ2" s="5524"/>
      <c r="AR2" s="5524"/>
      <c r="AS2" s="5524"/>
      <c r="AT2" s="5524"/>
      <c r="AU2" s="5524"/>
      <c r="AV2" s="5524"/>
      <c r="AW2" s="5524"/>
      <c r="AX2" s="5524"/>
      <c r="AY2" s="5524"/>
      <c r="AZ2" s="5524"/>
      <c r="BA2" s="5524"/>
      <c r="BB2" s="5524"/>
      <c r="BC2" s="5524"/>
      <c r="BD2" s="5524"/>
      <c r="BE2" s="5524"/>
      <c r="BF2" s="5524"/>
      <c r="BG2" s="5524"/>
      <c r="BH2" s="5524"/>
      <c r="BI2" s="5524"/>
      <c r="BJ2" s="5524"/>
      <c r="BK2" s="5524"/>
      <c r="BL2" s="5524"/>
      <c r="BM2" s="5524"/>
      <c r="BN2" s="5524"/>
      <c r="BO2" s="5524"/>
      <c r="BP2" s="5524"/>
      <c r="BQ2" s="5524"/>
      <c r="BR2" s="5524"/>
      <c r="BS2" s="5524"/>
      <c r="BT2" s="5524"/>
      <c r="BU2" s="5524"/>
      <c r="BV2" s="5524"/>
      <c r="BW2" s="5524"/>
      <c r="BX2" s="5524"/>
      <c r="BY2" s="5524"/>
      <c r="BZ2" s="5524"/>
      <c r="CA2" s="5524"/>
      <c r="CB2" s="5524"/>
      <c r="CC2" s="5525"/>
      <c r="CD2" s="5525"/>
      <c r="CE2" s="5525"/>
      <c r="CF2" s="5525"/>
      <c r="CG2" s="5525"/>
      <c r="CH2" s="5525"/>
      <c r="CI2" s="5525"/>
      <c r="CJ2" s="5525"/>
      <c r="CK2" s="5525"/>
      <c r="CL2" s="5525"/>
      <c r="CM2" s="5525"/>
      <c r="CN2" s="5525"/>
      <c r="CO2" s="5525"/>
      <c r="CP2" s="5525"/>
      <c r="CQ2" s="5525"/>
      <c r="CR2" s="5525"/>
      <c r="CS2" s="5525"/>
      <c r="CT2" s="5525"/>
      <c r="CU2" s="5525"/>
      <c r="CV2" s="5525"/>
      <c r="CW2" s="5525"/>
      <c r="CX2" s="5525"/>
      <c r="CY2" s="5525"/>
      <c r="CZ2" s="5525"/>
      <c r="DA2" s="5525"/>
      <c r="DB2" s="5525"/>
      <c r="DC2" s="5525"/>
      <c r="DD2" s="5525"/>
      <c r="DE2" s="5525"/>
      <c r="DF2" s="5525"/>
      <c r="DG2" s="5525"/>
      <c r="DH2" s="5525"/>
      <c r="DI2" s="5525"/>
      <c r="DJ2" s="5525"/>
      <c r="DK2" s="5525"/>
      <c r="DL2" s="5525"/>
      <c r="DM2" s="5525"/>
      <c r="DN2" s="5525"/>
      <c r="DO2" s="5525"/>
      <c r="DP2" s="5525"/>
      <c r="DQ2" s="5525"/>
      <c r="DR2" s="5525"/>
      <c r="DS2" s="5525"/>
      <c r="DT2" s="5525"/>
      <c r="DU2" s="5525"/>
      <c r="DV2" s="5525"/>
      <c r="DW2" s="5525"/>
      <c r="DX2" s="5525"/>
      <c r="DY2" s="5525"/>
      <c r="DZ2" s="5525"/>
      <c r="EA2" s="5525"/>
      <c r="EB2" s="5525"/>
      <c r="EC2" s="5525"/>
      <c r="ED2" s="5525"/>
      <c r="EE2" s="5525"/>
      <c r="EF2" s="5525"/>
      <c r="EG2" s="5525"/>
      <c r="EH2" s="5525"/>
      <c r="EI2" s="5525"/>
      <c r="EJ2" s="5525"/>
      <c r="EK2" s="4910"/>
      <c r="EL2" s="4910"/>
      <c r="EM2" s="4910"/>
    </row>
    <row r="3" spans="1:143" x14ac:dyDescent="0.2">
      <c r="A3" s="367"/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/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367"/>
      <c r="AD3" s="367"/>
      <c r="AE3" s="855"/>
      <c r="AF3" s="855"/>
      <c r="AG3" s="855"/>
      <c r="AH3" s="855"/>
      <c r="AI3" s="367"/>
      <c r="AJ3" s="368"/>
      <c r="AK3" s="368"/>
      <c r="AL3" s="367"/>
      <c r="AM3" s="367"/>
      <c r="AN3" s="367"/>
      <c r="AO3" s="367"/>
      <c r="AP3" s="367"/>
      <c r="AQ3" s="367"/>
      <c r="AR3" s="367"/>
      <c r="AS3" s="367"/>
      <c r="AT3" s="855"/>
      <c r="AU3" s="855"/>
      <c r="AV3" s="855"/>
      <c r="AW3" s="855"/>
      <c r="AX3" s="855"/>
      <c r="AY3" s="855"/>
      <c r="AZ3" s="855"/>
      <c r="BA3" s="1363"/>
      <c r="BB3" s="855"/>
      <c r="BC3" s="855"/>
      <c r="BD3" s="855"/>
      <c r="BE3" s="855"/>
      <c r="BF3" s="855"/>
      <c r="BG3" s="1659"/>
      <c r="BH3" s="1659"/>
      <c r="BI3" s="1659"/>
      <c r="BJ3" s="1659"/>
      <c r="BK3" s="1659"/>
      <c r="BL3" s="1659"/>
      <c r="BM3" s="1659"/>
      <c r="BN3" s="1659"/>
      <c r="BO3" s="1659"/>
      <c r="BP3" s="1659"/>
      <c r="BQ3" s="1659"/>
      <c r="BR3" s="1659"/>
      <c r="BS3" s="1659"/>
      <c r="BT3" s="1659"/>
      <c r="BU3" s="1659"/>
      <c r="BV3" s="1659"/>
      <c r="BW3" s="1659"/>
      <c r="BX3" s="1659"/>
      <c r="BY3" s="1659"/>
      <c r="BZ3" s="1659"/>
      <c r="CA3" s="1659"/>
      <c r="CB3" s="367"/>
    </row>
    <row r="4" spans="1:143" ht="38.25" customHeight="1" x14ac:dyDescent="0.2">
      <c r="A4" s="5557" t="s">
        <v>525</v>
      </c>
      <c r="B4" s="5522" t="s">
        <v>57</v>
      </c>
      <c r="C4" s="5557" t="s">
        <v>58</v>
      </c>
      <c r="D4" s="5557"/>
      <c r="E4" s="5555" t="s">
        <v>66</v>
      </c>
      <c r="F4" s="5555"/>
      <c r="G4" s="5555" t="s">
        <v>91</v>
      </c>
      <c r="H4" s="5555"/>
      <c r="I4" s="5555" t="s">
        <v>116</v>
      </c>
      <c r="J4" s="5555"/>
      <c r="K4" s="5555"/>
      <c r="L4" s="5555"/>
      <c r="M4" s="5555"/>
      <c r="N4" s="5555"/>
      <c r="O4" s="5543" t="s">
        <v>154</v>
      </c>
      <c r="P4" s="5543"/>
      <c r="Q4" s="5543"/>
      <c r="R4" s="5543"/>
      <c r="S4" s="5543"/>
      <c r="T4" s="5543"/>
      <c r="U4" s="5543"/>
      <c r="V4" s="5543"/>
      <c r="W4" s="5543"/>
      <c r="X4" s="5543"/>
      <c r="Y4" s="5520" t="s">
        <v>227</v>
      </c>
      <c r="Z4" s="5520"/>
      <c r="AA4" s="5520"/>
      <c r="AB4" s="5520"/>
      <c r="AC4" s="5520"/>
      <c r="AD4" s="5520"/>
      <c r="AE4" s="5556"/>
      <c r="AF4" s="5556"/>
      <c r="AG4" s="5556"/>
      <c r="AH4" s="5520" t="s">
        <v>362</v>
      </c>
      <c r="AI4" s="5523"/>
      <c r="AJ4" s="5523"/>
      <c r="AK4" s="5523"/>
      <c r="AL4" s="5523"/>
      <c r="AM4" s="5523"/>
      <c r="AN4" s="5523"/>
      <c r="AO4" s="5523"/>
      <c r="AP4" s="5523"/>
      <c r="AQ4" s="5523"/>
      <c r="AR4" s="5523"/>
      <c r="AS4" s="5523"/>
      <c r="AT4" s="5523"/>
      <c r="AU4" s="5523"/>
      <c r="AV4" s="5523"/>
      <c r="AW4" s="5523"/>
      <c r="AX4" s="5523"/>
      <c r="AY4" s="5523"/>
      <c r="AZ4" s="5520" t="s">
        <v>815</v>
      </c>
      <c r="BA4" s="5520"/>
      <c r="BB4" s="5520"/>
      <c r="BC4" s="5520"/>
      <c r="BD4" s="5520"/>
      <c r="BE4" s="5520"/>
      <c r="BF4" s="5520"/>
      <c r="BG4" s="5520"/>
      <c r="BH4" s="5520"/>
      <c r="BI4" s="5520"/>
      <c r="BJ4" s="5520" t="s">
        <v>892</v>
      </c>
      <c r="BK4" s="5520"/>
      <c r="BL4" s="5520"/>
      <c r="BM4" s="5520" t="s">
        <v>893</v>
      </c>
      <c r="BN4" s="5521"/>
      <c r="BO4" s="5521"/>
      <c r="BP4" s="5521"/>
      <c r="BQ4" s="5521"/>
      <c r="BR4" s="5521"/>
      <c r="BS4" s="5520" t="s">
        <v>1799</v>
      </c>
      <c r="BT4" s="5520"/>
      <c r="BU4" s="5520"/>
      <c r="BV4" s="5520"/>
      <c r="BW4" s="5520"/>
      <c r="BX4" s="5520"/>
      <c r="BY4" s="5520" t="s">
        <v>3517</v>
      </c>
      <c r="BZ4" s="5526"/>
      <c r="CA4" s="5526"/>
      <c r="CB4" s="5526"/>
      <c r="CC4" s="5526"/>
      <c r="CD4" s="5526"/>
      <c r="CE4" s="5526"/>
      <c r="CF4" s="5526"/>
      <c r="CG4" s="5526"/>
      <c r="CH4" s="5526"/>
      <c r="CI4" s="5520" t="s">
        <v>3614</v>
      </c>
      <c r="CJ4" s="5521"/>
      <c r="CK4" s="5521"/>
      <c r="CL4" s="5520" t="s">
        <v>3615</v>
      </c>
      <c r="CM4" s="5521"/>
      <c r="CN4" s="5521"/>
      <c r="CO4" s="5520" t="s">
        <v>3608</v>
      </c>
      <c r="CP4" s="5521"/>
      <c r="CQ4" s="5521"/>
      <c r="CR4" s="5520" t="s">
        <v>3862</v>
      </c>
      <c r="CS4" s="5526"/>
      <c r="CT4" s="5526"/>
      <c r="CU4" s="5526"/>
      <c r="CV4" s="5526"/>
      <c r="CW4" s="5526"/>
      <c r="CX4" s="5520" t="s">
        <v>3867</v>
      </c>
      <c r="CY4" s="5521"/>
      <c r="CZ4" s="5521"/>
      <c r="DA4" s="5520" t="s">
        <v>3868</v>
      </c>
      <c r="DB4" s="5521"/>
      <c r="DC4" s="5521"/>
      <c r="DD4" s="5520" t="s">
        <v>3866</v>
      </c>
      <c r="DE4" s="5521"/>
      <c r="DF4" s="5521"/>
      <c r="DG4" s="5520" t="s">
        <v>3905</v>
      </c>
      <c r="DH4" s="5526"/>
      <c r="DI4" s="5526"/>
      <c r="DJ4" s="5526"/>
      <c r="DK4" s="5526"/>
      <c r="DL4" s="5526"/>
      <c r="DM4" s="5520" t="s">
        <v>3926</v>
      </c>
      <c r="DN4" s="5521"/>
      <c r="DO4" s="5521"/>
      <c r="DP4" s="5520" t="s">
        <v>3928</v>
      </c>
      <c r="DQ4" s="5521"/>
      <c r="DR4" s="5521"/>
      <c r="DS4" s="5520" t="s">
        <v>3927</v>
      </c>
      <c r="DT4" s="5521"/>
      <c r="DU4" s="5521"/>
      <c r="DV4" s="5520" t="s">
        <v>4103</v>
      </c>
      <c r="DW4" s="5526"/>
      <c r="DX4" s="5526"/>
      <c r="DY4" s="5526"/>
      <c r="DZ4" s="5526"/>
      <c r="EA4" s="5527"/>
      <c r="EB4" s="5520" t="s">
        <v>4228</v>
      </c>
      <c r="EC4" s="5526"/>
      <c r="ED4" s="5526"/>
      <c r="EE4" s="5526"/>
      <c r="EF4" s="5526"/>
      <c r="EG4" s="5526"/>
      <c r="EH4" s="5520" t="s">
        <v>4254</v>
      </c>
      <c r="EI4" s="5521"/>
      <c r="EJ4" s="5521"/>
      <c r="EK4" s="5520" t="s">
        <v>4252</v>
      </c>
      <c r="EL4" s="5521"/>
      <c r="EM4" s="5521"/>
    </row>
    <row r="5" spans="1:143" ht="24" customHeight="1" x14ac:dyDescent="0.2">
      <c r="A5" s="5557"/>
      <c r="B5" s="5522"/>
      <c r="C5" s="5522" t="s">
        <v>60</v>
      </c>
      <c r="D5" s="5522" t="s">
        <v>61</v>
      </c>
      <c r="E5" s="5522" t="s">
        <v>60</v>
      </c>
      <c r="F5" s="5522" t="s">
        <v>65</v>
      </c>
      <c r="G5" s="5522" t="s">
        <v>60</v>
      </c>
      <c r="H5" s="5522" t="s">
        <v>108</v>
      </c>
      <c r="I5" s="5522" t="s">
        <v>59</v>
      </c>
      <c r="J5" s="5522" t="s">
        <v>112</v>
      </c>
      <c r="K5" s="5522" t="s">
        <v>106</v>
      </c>
      <c r="L5" s="5522" t="s">
        <v>60</v>
      </c>
      <c r="M5" s="5522" t="s">
        <v>64</v>
      </c>
      <c r="N5" s="5522" t="s">
        <v>212</v>
      </c>
      <c r="O5" s="5522" t="s">
        <v>118</v>
      </c>
      <c r="P5" s="5522" t="s">
        <v>93</v>
      </c>
      <c r="Q5" s="5522" t="s">
        <v>119</v>
      </c>
      <c r="R5" s="5522" t="s">
        <v>93</v>
      </c>
      <c r="S5" s="5522" t="s">
        <v>152</v>
      </c>
      <c r="T5" s="5522" t="s">
        <v>23</v>
      </c>
      <c r="U5" s="5522"/>
      <c r="V5" s="5522" t="s">
        <v>106</v>
      </c>
      <c r="W5" s="5552" t="s">
        <v>368</v>
      </c>
      <c r="X5" s="5552"/>
      <c r="Y5" s="5522" t="s">
        <v>118</v>
      </c>
      <c r="Z5" s="5522" t="s">
        <v>93</v>
      </c>
      <c r="AA5" s="5543" t="s">
        <v>119</v>
      </c>
      <c r="AB5" s="5544"/>
      <c r="AC5" s="5544"/>
      <c r="AD5" s="5544"/>
      <c r="AE5" s="5543" t="s">
        <v>814</v>
      </c>
      <c r="AF5" s="5544"/>
      <c r="AG5" s="5544"/>
      <c r="AH5" s="5543" t="str">
        <f>Y5</f>
        <v>предложение предприятия</v>
      </c>
      <c r="AI5" s="5544"/>
      <c r="AJ5" s="5544"/>
      <c r="AK5" s="5544"/>
      <c r="AL5" s="5543" t="s">
        <v>236</v>
      </c>
      <c r="AM5" s="5544"/>
      <c r="AN5" s="5544"/>
      <c r="AO5" s="5544"/>
      <c r="AP5" s="3284"/>
      <c r="AQ5" s="3284"/>
      <c r="AR5" s="3284"/>
      <c r="AS5" s="3284"/>
      <c r="AT5" s="5543" t="s">
        <v>844</v>
      </c>
      <c r="AU5" s="5544"/>
      <c r="AV5" s="5544"/>
      <c r="AW5" s="5543" t="s">
        <v>1516</v>
      </c>
      <c r="AX5" s="5544"/>
      <c r="AY5" s="5544"/>
      <c r="AZ5" s="5543" t="s">
        <v>1484</v>
      </c>
      <c r="BA5" s="5543"/>
      <c r="BB5" s="5544"/>
      <c r="BC5" s="5544"/>
      <c r="BD5" s="5543" t="s">
        <v>1585</v>
      </c>
      <c r="BE5" s="5544"/>
      <c r="BF5" s="5544"/>
      <c r="BG5" s="5528" t="s">
        <v>1674</v>
      </c>
      <c r="BH5" s="5528"/>
      <c r="BI5" s="5528"/>
      <c r="BJ5" s="5528" t="s">
        <v>1674</v>
      </c>
      <c r="BK5" s="5528"/>
      <c r="BL5" s="5528"/>
      <c r="BM5" s="5543" t="s">
        <v>1585</v>
      </c>
      <c r="BN5" s="5544"/>
      <c r="BO5" s="5544"/>
      <c r="BP5" s="5528" t="s">
        <v>1674</v>
      </c>
      <c r="BQ5" s="5528"/>
      <c r="BR5" s="5528"/>
      <c r="BS5" s="5528" t="s">
        <v>1817</v>
      </c>
      <c r="BT5" s="5528"/>
      <c r="BU5" s="5528"/>
      <c r="BV5" s="5528" t="s">
        <v>1521</v>
      </c>
      <c r="BW5" s="5528"/>
      <c r="BX5" s="5528"/>
      <c r="BY5" s="5528" t="s">
        <v>118</v>
      </c>
      <c r="BZ5" s="5521"/>
      <c r="CA5" s="5521"/>
      <c r="CB5" s="3285"/>
      <c r="CC5" s="3283"/>
      <c r="CD5" s="3283"/>
      <c r="CE5" s="3283"/>
      <c r="CF5" s="5528" t="s">
        <v>1521</v>
      </c>
      <c r="CG5" s="5521"/>
      <c r="CH5" s="5521"/>
      <c r="CI5" s="5521"/>
      <c r="CJ5" s="5521"/>
      <c r="CK5" s="5521"/>
      <c r="CL5" s="5521"/>
      <c r="CM5" s="5521"/>
      <c r="CN5" s="5521"/>
      <c r="CO5" s="5521"/>
      <c r="CP5" s="5521"/>
      <c r="CQ5" s="5521"/>
      <c r="CR5" s="5528" t="s">
        <v>118</v>
      </c>
      <c r="CS5" s="5521"/>
      <c r="CT5" s="5521"/>
      <c r="CU5" s="5528" t="s">
        <v>1521</v>
      </c>
      <c r="CV5" s="5521"/>
      <c r="CW5" s="5521"/>
      <c r="CX5" s="5521"/>
      <c r="CY5" s="5521"/>
      <c r="CZ5" s="5521"/>
      <c r="DA5" s="5521"/>
      <c r="DB5" s="5521"/>
      <c r="DC5" s="5521"/>
      <c r="DD5" s="5521"/>
      <c r="DE5" s="5521"/>
      <c r="DF5" s="5521"/>
      <c r="DG5" s="5528" t="s">
        <v>118</v>
      </c>
      <c r="DH5" s="5521"/>
      <c r="DI5" s="5521"/>
      <c r="DJ5" s="5528" t="s">
        <v>1521</v>
      </c>
      <c r="DK5" s="5521"/>
      <c r="DL5" s="5521"/>
      <c r="DM5" s="5521"/>
      <c r="DN5" s="5521"/>
      <c r="DO5" s="5521"/>
      <c r="DP5" s="5521"/>
      <c r="DQ5" s="5521"/>
      <c r="DR5" s="5521"/>
      <c r="DS5" s="5521"/>
      <c r="DT5" s="5521"/>
      <c r="DU5" s="5521"/>
      <c r="DV5" s="5528" t="s">
        <v>118</v>
      </c>
      <c r="DW5" s="5521"/>
      <c r="DX5" s="5521"/>
      <c r="DY5" s="5528" t="s">
        <v>1521</v>
      </c>
      <c r="DZ5" s="5521"/>
      <c r="EA5" s="5565"/>
      <c r="EB5" s="5529" t="s">
        <v>118</v>
      </c>
      <c r="EC5" s="5545"/>
      <c r="ED5" s="5546"/>
      <c r="EE5" s="5529" t="s">
        <v>1521</v>
      </c>
      <c r="EF5" s="5545"/>
      <c r="EG5" s="5546"/>
      <c r="EH5" s="5521"/>
      <c r="EI5" s="5521"/>
      <c r="EJ5" s="5521"/>
      <c r="EK5" s="5521"/>
      <c r="EL5" s="5521"/>
      <c r="EM5" s="5521"/>
    </row>
    <row r="6" spans="1:143" ht="18.75" customHeight="1" x14ac:dyDescent="0.2">
      <c r="A6" s="5557"/>
      <c r="B6" s="5522"/>
      <c r="C6" s="5522"/>
      <c r="D6" s="5522"/>
      <c r="E6" s="5522"/>
      <c r="F6" s="5522"/>
      <c r="G6" s="5522"/>
      <c r="H6" s="5522"/>
      <c r="I6" s="5522"/>
      <c r="J6" s="5522"/>
      <c r="K6" s="5522"/>
      <c r="L6" s="5522"/>
      <c r="M6" s="5522"/>
      <c r="N6" s="5522"/>
      <c r="O6" s="5522"/>
      <c r="P6" s="5522"/>
      <c r="Q6" s="5522"/>
      <c r="R6" s="5522"/>
      <c r="S6" s="5522"/>
      <c r="T6" s="5522" t="s">
        <v>155</v>
      </c>
      <c r="U6" s="5522" t="s">
        <v>156</v>
      </c>
      <c r="V6" s="5522"/>
      <c r="W6" s="5552"/>
      <c r="X6" s="5552"/>
      <c r="Y6" s="5522"/>
      <c r="Z6" s="5522"/>
      <c r="AA6" s="5522" t="s">
        <v>288</v>
      </c>
      <c r="AB6" s="3282"/>
      <c r="AC6" s="5522" t="s">
        <v>50</v>
      </c>
      <c r="AD6" s="5523"/>
      <c r="AE6" s="5522" t="s">
        <v>288</v>
      </c>
      <c r="AF6" s="5522" t="s">
        <v>50</v>
      </c>
      <c r="AG6" s="5523"/>
      <c r="AH6" s="5522" t="s">
        <v>288</v>
      </c>
      <c r="AI6" s="5522" t="s">
        <v>93</v>
      </c>
      <c r="AJ6" s="5522" t="s">
        <v>50</v>
      </c>
      <c r="AK6" s="5523"/>
      <c r="AL6" s="5522" t="s">
        <v>288</v>
      </c>
      <c r="AM6" s="5522" t="s">
        <v>93</v>
      </c>
      <c r="AN6" s="5522" t="s">
        <v>50</v>
      </c>
      <c r="AO6" s="5523"/>
      <c r="AP6" s="3284"/>
      <c r="AQ6" s="3284"/>
      <c r="AR6" s="3284"/>
      <c r="AS6" s="3284"/>
      <c r="AT6" s="5522" t="s">
        <v>288</v>
      </c>
      <c r="AU6" s="5522" t="s">
        <v>50</v>
      </c>
      <c r="AV6" s="5523"/>
      <c r="AW6" s="5522" t="s">
        <v>288</v>
      </c>
      <c r="AX6" s="5522" t="s">
        <v>50</v>
      </c>
      <c r="AY6" s="5523"/>
      <c r="AZ6" s="5522" t="s">
        <v>288</v>
      </c>
      <c r="BA6" s="5553" t="s">
        <v>93</v>
      </c>
      <c r="BB6" s="5522" t="s">
        <v>50</v>
      </c>
      <c r="BC6" s="5523"/>
      <c r="BD6" s="5522" t="s">
        <v>288</v>
      </c>
      <c r="BE6" s="5522" t="s">
        <v>50</v>
      </c>
      <c r="BF6" s="5523"/>
      <c r="BG6" s="5522" t="s">
        <v>288</v>
      </c>
      <c r="BH6" s="5522" t="s">
        <v>50</v>
      </c>
      <c r="BI6" s="5523"/>
      <c r="BJ6" s="5522" t="s">
        <v>288</v>
      </c>
      <c r="BK6" s="5522" t="s">
        <v>50</v>
      </c>
      <c r="BL6" s="5523"/>
      <c r="BM6" s="5522" t="s">
        <v>288</v>
      </c>
      <c r="BN6" s="5522" t="s">
        <v>50</v>
      </c>
      <c r="BO6" s="5523"/>
      <c r="BP6" s="5522" t="s">
        <v>288</v>
      </c>
      <c r="BQ6" s="5522" t="s">
        <v>50</v>
      </c>
      <c r="BR6" s="5523"/>
      <c r="BS6" s="5522" t="s">
        <v>288</v>
      </c>
      <c r="BT6" s="5522" t="s">
        <v>50</v>
      </c>
      <c r="BU6" s="5523"/>
      <c r="BV6" s="5522" t="s">
        <v>288</v>
      </c>
      <c r="BW6" s="5522" t="s">
        <v>50</v>
      </c>
      <c r="BX6" s="5523"/>
      <c r="BY6" s="5522" t="s">
        <v>288</v>
      </c>
      <c r="BZ6" s="5522" t="s">
        <v>50</v>
      </c>
      <c r="CA6" s="5523"/>
      <c r="CB6" s="5522" t="s">
        <v>288</v>
      </c>
      <c r="CC6" s="5522" t="s">
        <v>50</v>
      </c>
      <c r="CD6" s="5523"/>
      <c r="CE6" s="3283"/>
      <c r="CF6" s="5522" t="s">
        <v>288</v>
      </c>
      <c r="CG6" s="5522" t="s">
        <v>50</v>
      </c>
      <c r="CH6" s="5522"/>
      <c r="CI6" s="5522" t="s">
        <v>288</v>
      </c>
      <c r="CJ6" s="5522" t="s">
        <v>50</v>
      </c>
      <c r="CK6" s="5522"/>
      <c r="CL6" s="5522" t="s">
        <v>288</v>
      </c>
      <c r="CM6" s="5522" t="s">
        <v>50</v>
      </c>
      <c r="CN6" s="5523"/>
      <c r="CO6" s="5522" t="s">
        <v>288</v>
      </c>
      <c r="CP6" s="5522" t="s">
        <v>50</v>
      </c>
      <c r="CQ6" s="5523"/>
      <c r="CR6" s="5522" t="s">
        <v>288</v>
      </c>
      <c r="CS6" s="5522" t="s">
        <v>50</v>
      </c>
      <c r="CT6" s="5523"/>
      <c r="CU6" s="5522" t="s">
        <v>288</v>
      </c>
      <c r="CV6" s="5522" t="s">
        <v>50</v>
      </c>
      <c r="CW6" s="5522"/>
      <c r="CX6" s="5522" t="s">
        <v>288</v>
      </c>
      <c r="CY6" s="5522" t="s">
        <v>50</v>
      </c>
      <c r="CZ6" s="5522"/>
      <c r="DA6" s="5522" t="s">
        <v>288</v>
      </c>
      <c r="DB6" s="5522" t="s">
        <v>50</v>
      </c>
      <c r="DC6" s="5523"/>
      <c r="DD6" s="5522" t="s">
        <v>288</v>
      </c>
      <c r="DE6" s="5522" t="s">
        <v>50</v>
      </c>
      <c r="DF6" s="5523"/>
      <c r="DG6" s="5522" t="s">
        <v>288</v>
      </c>
      <c r="DH6" s="5522" t="s">
        <v>50</v>
      </c>
      <c r="DI6" s="5523"/>
      <c r="DJ6" s="5522" t="s">
        <v>288</v>
      </c>
      <c r="DK6" s="5522" t="s">
        <v>50</v>
      </c>
      <c r="DL6" s="5522"/>
      <c r="DM6" s="5522" t="s">
        <v>288</v>
      </c>
      <c r="DN6" s="5522" t="s">
        <v>50</v>
      </c>
      <c r="DO6" s="5523"/>
      <c r="DP6" s="5522" t="s">
        <v>288</v>
      </c>
      <c r="DQ6" s="5522" t="s">
        <v>50</v>
      </c>
      <c r="DR6" s="5523"/>
      <c r="DS6" s="5522" t="s">
        <v>288</v>
      </c>
      <c r="DT6" s="5522" t="s">
        <v>50</v>
      </c>
      <c r="DU6" s="5523"/>
      <c r="DV6" s="5522" t="s">
        <v>288</v>
      </c>
      <c r="DW6" s="5522" t="s">
        <v>50</v>
      </c>
      <c r="DX6" s="5523"/>
      <c r="DY6" s="5522" t="s">
        <v>288</v>
      </c>
      <c r="DZ6" s="5522" t="s">
        <v>50</v>
      </c>
      <c r="EA6" s="5540"/>
      <c r="EB6" s="5522" t="s">
        <v>288</v>
      </c>
      <c r="EC6" s="5522" t="s">
        <v>50</v>
      </c>
      <c r="ED6" s="5523"/>
      <c r="EE6" s="5522" t="s">
        <v>288</v>
      </c>
      <c r="EF6" s="5522" t="s">
        <v>50</v>
      </c>
      <c r="EG6" s="5522"/>
      <c r="EH6" s="5522" t="s">
        <v>288</v>
      </c>
      <c r="EI6" s="5522" t="s">
        <v>50</v>
      </c>
      <c r="EJ6" s="5523"/>
      <c r="EK6" s="5522" t="s">
        <v>288</v>
      </c>
      <c r="EL6" s="5522" t="s">
        <v>50</v>
      </c>
      <c r="EM6" s="5523"/>
    </row>
    <row r="7" spans="1:143" ht="39.75" customHeight="1" x14ac:dyDescent="0.2">
      <c r="A7" s="5557"/>
      <c r="B7" s="5522"/>
      <c r="C7" s="5522"/>
      <c r="D7" s="5522"/>
      <c r="E7" s="5522"/>
      <c r="F7" s="5522"/>
      <c r="G7" s="5522"/>
      <c r="H7" s="5522"/>
      <c r="I7" s="5522"/>
      <c r="J7" s="5522"/>
      <c r="K7" s="5522"/>
      <c r="L7" s="5522"/>
      <c r="M7" s="5522"/>
      <c r="N7" s="5522"/>
      <c r="O7" s="5522"/>
      <c r="P7" s="5522"/>
      <c r="Q7" s="5522"/>
      <c r="R7" s="5522"/>
      <c r="S7" s="5522"/>
      <c r="T7" s="5522"/>
      <c r="U7" s="5522"/>
      <c r="V7" s="5522"/>
      <c r="W7" s="3282" t="str">
        <f>T6</f>
        <v>питьевая</v>
      </c>
      <c r="X7" s="1609" t="str">
        <f>U6</f>
        <v>техническая</v>
      </c>
      <c r="Y7" s="5522"/>
      <c r="Z7" s="5522"/>
      <c r="AA7" s="5523"/>
      <c r="AB7" s="3282"/>
      <c r="AC7" s="3282" t="s">
        <v>366</v>
      </c>
      <c r="AD7" s="3282" t="s">
        <v>367</v>
      </c>
      <c r="AE7" s="5522"/>
      <c r="AF7" s="3282" t="s">
        <v>366</v>
      </c>
      <c r="AG7" s="3282" t="s">
        <v>367</v>
      </c>
      <c r="AH7" s="5523"/>
      <c r="AI7" s="5523"/>
      <c r="AJ7" s="3282" t="s">
        <v>366</v>
      </c>
      <c r="AK7" s="3282" t="s">
        <v>367</v>
      </c>
      <c r="AL7" s="5522"/>
      <c r="AM7" s="5523"/>
      <c r="AN7" s="3282" t="s">
        <v>366</v>
      </c>
      <c r="AO7" s="3282" t="s">
        <v>367</v>
      </c>
      <c r="AP7" s="3284"/>
      <c r="AQ7" s="3284" t="s">
        <v>353</v>
      </c>
      <c r="AR7" s="3284" t="s">
        <v>354</v>
      </c>
      <c r="AS7" s="3284"/>
      <c r="AT7" s="5522"/>
      <c r="AU7" s="3282" t="s">
        <v>366</v>
      </c>
      <c r="AV7" s="3282" t="s">
        <v>367</v>
      </c>
      <c r="AW7" s="5522"/>
      <c r="AX7" s="3282" t="s">
        <v>366</v>
      </c>
      <c r="AY7" s="3282" t="s">
        <v>367</v>
      </c>
      <c r="AZ7" s="5523"/>
      <c r="BA7" s="5554"/>
      <c r="BB7" s="3282" t="s">
        <v>366</v>
      </c>
      <c r="BC7" s="3282" t="s">
        <v>367</v>
      </c>
      <c r="BD7" s="5523"/>
      <c r="BE7" s="3282" t="s">
        <v>366</v>
      </c>
      <c r="BF7" s="3282" t="s">
        <v>367</v>
      </c>
      <c r="BG7" s="5523"/>
      <c r="BH7" s="3282" t="s">
        <v>366</v>
      </c>
      <c r="BI7" s="3282" t="s">
        <v>367</v>
      </c>
      <c r="BJ7" s="5523"/>
      <c r="BK7" s="3282" t="s">
        <v>366</v>
      </c>
      <c r="BL7" s="3282" t="s">
        <v>367</v>
      </c>
      <c r="BM7" s="5523"/>
      <c r="BN7" s="3282" t="s">
        <v>366</v>
      </c>
      <c r="BO7" s="3282" t="s">
        <v>367</v>
      </c>
      <c r="BP7" s="5523"/>
      <c r="BQ7" s="3282" t="s">
        <v>366</v>
      </c>
      <c r="BR7" s="3282" t="s">
        <v>367</v>
      </c>
      <c r="BS7" s="5523"/>
      <c r="BT7" s="3282" t="s">
        <v>366</v>
      </c>
      <c r="BU7" s="3282" t="s">
        <v>367</v>
      </c>
      <c r="BV7" s="5523"/>
      <c r="BW7" s="3282" t="s">
        <v>366</v>
      </c>
      <c r="BX7" s="3282" t="s">
        <v>367</v>
      </c>
      <c r="BY7" s="5523"/>
      <c r="BZ7" s="3282" t="s">
        <v>366</v>
      </c>
      <c r="CA7" s="3282" t="s">
        <v>367</v>
      </c>
      <c r="CB7" s="5523"/>
      <c r="CC7" s="3282" t="s">
        <v>366</v>
      </c>
      <c r="CD7" s="3282" t="s">
        <v>367</v>
      </c>
      <c r="CE7" s="3283"/>
      <c r="CF7" s="5522"/>
      <c r="CG7" s="3282" t="s">
        <v>366</v>
      </c>
      <c r="CH7" s="3282" t="s">
        <v>367</v>
      </c>
      <c r="CI7" s="5522"/>
      <c r="CJ7" s="3282" t="s">
        <v>366</v>
      </c>
      <c r="CK7" s="3282" t="s">
        <v>367</v>
      </c>
      <c r="CL7" s="5523"/>
      <c r="CM7" s="3282" t="s">
        <v>366</v>
      </c>
      <c r="CN7" s="3282" t="s">
        <v>367</v>
      </c>
      <c r="CO7" s="5523"/>
      <c r="CP7" s="3282" t="s">
        <v>366</v>
      </c>
      <c r="CQ7" s="3282" t="s">
        <v>367</v>
      </c>
      <c r="CR7" s="5523"/>
      <c r="CS7" s="3282" t="s">
        <v>366</v>
      </c>
      <c r="CT7" s="3282" t="s">
        <v>367</v>
      </c>
      <c r="CU7" s="5522"/>
      <c r="CV7" s="3282" t="s">
        <v>366</v>
      </c>
      <c r="CW7" s="3282" t="s">
        <v>367</v>
      </c>
      <c r="CX7" s="5522"/>
      <c r="CY7" s="3553" t="s">
        <v>366</v>
      </c>
      <c r="CZ7" s="3553" t="s">
        <v>367</v>
      </c>
      <c r="DA7" s="5523"/>
      <c r="DB7" s="3553" t="s">
        <v>366</v>
      </c>
      <c r="DC7" s="3553" t="s">
        <v>367</v>
      </c>
      <c r="DD7" s="5523"/>
      <c r="DE7" s="3553" t="s">
        <v>366</v>
      </c>
      <c r="DF7" s="3553" t="s">
        <v>367</v>
      </c>
      <c r="DG7" s="5523"/>
      <c r="DH7" s="3650" t="s">
        <v>366</v>
      </c>
      <c r="DI7" s="3650" t="s">
        <v>367</v>
      </c>
      <c r="DJ7" s="5522"/>
      <c r="DK7" s="3650" t="s">
        <v>366</v>
      </c>
      <c r="DL7" s="3650" t="s">
        <v>367</v>
      </c>
      <c r="DM7" s="5523"/>
      <c r="DN7" s="3778" t="s">
        <v>366</v>
      </c>
      <c r="DO7" s="3778" t="s">
        <v>367</v>
      </c>
      <c r="DP7" s="5523"/>
      <c r="DQ7" s="3778" t="s">
        <v>366</v>
      </c>
      <c r="DR7" s="3778" t="s">
        <v>367</v>
      </c>
      <c r="DS7" s="5523"/>
      <c r="DT7" s="3778" t="s">
        <v>366</v>
      </c>
      <c r="DU7" s="3778" t="s">
        <v>367</v>
      </c>
      <c r="DV7" s="5523"/>
      <c r="DW7" s="4007" t="s">
        <v>366</v>
      </c>
      <c r="DX7" s="4007" t="s">
        <v>367</v>
      </c>
      <c r="DY7" s="5522"/>
      <c r="DZ7" s="4007" t="s">
        <v>366</v>
      </c>
      <c r="EA7" s="4057" t="s">
        <v>367</v>
      </c>
      <c r="EB7" s="5523"/>
      <c r="EC7" s="4056" t="s">
        <v>366</v>
      </c>
      <c r="ED7" s="4056" t="s">
        <v>367</v>
      </c>
      <c r="EE7" s="5522"/>
      <c r="EF7" s="4056" t="s">
        <v>366</v>
      </c>
      <c r="EG7" s="4056" t="s">
        <v>367</v>
      </c>
      <c r="EH7" s="5523"/>
      <c r="EI7" s="4565" t="s">
        <v>366</v>
      </c>
      <c r="EJ7" s="4565" t="s">
        <v>367</v>
      </c>
      <c r="EK7" s="5523"/>
      <c r="EL7" s="4565" t="s">
        <v>366</v>
      </c>
      <c r="EM7" s="4565" t="s">
        <v>367</v>
      </c>
    </row>
    <row r="8" spans="1:143" s="2196" customFormat="1" ht="21" customHeight="1" x14ac:dyDescent="0.2">
      <c r="A8" s="3390" t="s">
        <v>15</v>
      </c>
      <c r="B8" s="3391"/>
      <c r="C8" s="3391"/>
      <c r="D8" s="3391"/>
      <c r="E8" s="3392">
        <f t="shared" ref="E8:U8" si="0">SUM(E9:E16)-E15</f>
        <v>14586.3</v>
      </c>
      <c r="F8" s="3392">
        <f t="shared" si="0"/>
        <v>599.44377737908462</v>
      </c>
      <c r="G8" s="3392">
        <f t="shared" si="0"/>
        <v>17580.600000000002</v>
      </c>
      <c r="H8" s="3392">
        <f t="shared" si="0"/>
        <v>1301.6186267528969</v>
      </c>
      <c r="I8" s="3392">
        <f t="shared" si="0"/>
        <v>15573.576100000002</v>
      </c>
      <c r="J8" s="3392">
        <f t="shared" si="0"/>
        <v>8330.6</v>
      </c>
      <c r="K8" s="3392">
        <f t="shared" si="0"/>
        <v>12986.934203563882</v>
      </c>
      <c r="L8" s="3392">
        <f t="shared" si="0"/>
        <v>18032</v>
      </c>
      <c r="M8" s="3392">
        <f t="shared" si="0"/>
        <v>765.16293628894141</v>
      </c>
      <c r="N8" s="3392">
        <f t="shared" si="0"/>
        <v>578.89100723393869</v>
      </c>
      <c r="O8" s="3392">
        <f t="shared" si="0"/>
        <v>21075.699999999997</v>
      </c>
      <c r="P8" s="3392">
        <f t="shared" si="0"/>
        <v>940.91457929714295</v>
      </c>
      <c r="Q8" s="3393">
        <f t="shared" si="0"/>
        <v>18706.910516308828</v>
      </c>
      <c r="R8" s="3392">
        <f t="shared" si="0"/>
        <v>790.298382141395</v>
      </c>
      <c r="S8" s="3392">
        <f t="shared" si="0"/>
        <v>659.14699828891662</v>
      </c>
      <c r="T8" s="3392" t="e">
        <f t="shared" si="0"/>
        <v>#REF!</v>
      </c>
      <c r="U8" s="3392" t="e">
        <f t="shared" si="0"/>
        <v>#REF!</v>
      </c>
      <c r="V8" s="3392">
        <f>SUM(V9:V16)-V15</f>
        <v>13489.2</v>
      </c>
      <c r="W8" s="3392" t="e">
        <f>SUM(W9:W16)-W15</f>
        <v>#REF!</v>
      </c>
      <c r="X8" s="3392" t="e">
        <f>SUM(X9:X16)-X15</f>
        <v>#REF!</v>
      </c>
      <c r="Y8" s="3394">
        <f>SUM(Y9:Y16)-Y15</f>
        <v>21736.2</v>
      </c>
      <c r="Z8" s="3395">
        <f>Y8/Q8</f>
        <v>1.1619342478305124</v>
      </c>
      <c r="AA8" s="3394" t="e">
        <f>SUM(AA9:AA16)-AA15</f>
        <v>#REF!</v>
      </c>
      <c r="AB8" s="3395" t="e">
        <f t="shared" ref="AB8:AB56" si="1">AA8/Q8</f>
        <v>#REF!</v>
      </c>
      <c r="AC8" s="3394" t="e">
        <f>SUM(AC9:AC16)</f>
        <v>#REF!</v>
      </c>
      <c r="AD8" s="3394" t="e">
        <f>SUM(AD9:AD16)</f>
        <v>#REF!</v>
      </c>
      <c r="AE8" s="3394">
        <f>SUM(AE9:AE16)-AE15</f>
        <v>18010.500000000004</v>
      </c>
      <c r="AF8" s="3394">
        <f>SUM(AF9:AF16)-AF15</f>
        <v>17789.478747214656</v>
      </c>
      <c r="AG8" s="3394">
        <f>SUM(AG9:AG16)-AG15</f>
        <v>221.02125278534345</v>
      </c>
      <c r="AH8" s="3394">
        <f>SUM(AJ8+AK8)</f>
        <v>19788.650000000001</v>
      </c>
      <c r="AI8" s="3396" t="e">
        <f>SUM(AH8/AA8)</f>
        <v>#REF!</v>
      </c>
      <c r="AJ8" s="3394">
        <f>SUM(AJ9:AJ16)-AJ15</f>
        <v>19566.560000000001</v>
      </c>
      <c r="AK8" s="3394">
        <f>SUM(AK9:AK16)-AK15</f>
        <v>222.09</v>
      </c>
      <c r="AL8" s="3394">
        <f>SUM(AN8+AO8)</f>
        <v>17147.985534335643</v>
      </c>
      <c r="AM8" s="3396" t="e">
        <f>SUM(AL8/AA8)</f>
        <v>#REF!</v>
      </c>
      <c r="AN8" s="3394">
        <f>SUM(AN9:AN16)-AN15</f>
        <v>16952.7835373218</v>
      </c>
      <c r="AO8" s="3394">
        <f>SUM(AO9:AO16)-AO15</f>
        <v>195.20199701384391</v>
      </c>
      <c r="AP8" s="3392" t="e">
        <f>AA8-Y8</f>
        <v>#REF!</v>
      </c>
      <c r="AQ8" s="3392" t="e">
        <f>AP8*AC8/AA8</f>
        <v>#REF!</v>
      </c>
      <c r="AR8" s="3392" t="e">
        <f>AP8-AQ8</f>
        <v>#REF!</v>
      </c>
      <c r="AS8" s="3392" t="e">
        <f t="shared" ref="AS8:AS35" si="2">AQ8+AR8</f>
        <v>#REF!</v>
      </c>
      <c r="AT8" s="3394">
        <f t="shared" ref="AT8:AZ8" si="3">SUM(AT9:AT16)-AT15</f>
        <v>8911.48</v>
      </c>
      <c r="AU8" s="3394">
        <f t="shared" si="3"/>
        <v>8850.280179956595</v>
      </c>
      <c r="AV8" s="3394">
        <f t="shared" si="3"/>
        <v>61.199820043406589</v>
      </c>
      <c r="AW8" s="3394">
        <f t="shared" si="3"/>
        <v>17487.72</v>
      </c>
      <c r="AX8" s="3394">
        <f t="shared" si="3"/>
        <v>17403.669999999998</v>
      </c>
      <c r="AY8" s="3394">
        <f t="shared" si="3"/>
        <v>84.05</v>
      </c>
      <c r="AZ8" s="3394">
        <f t="shared" si="3"/>
        <v>20844.7973009989</v>
      </c>
      <c r="BA8" s="3397">
        <f>SUM(AZ8/AL8)</f>
        <v>1.2155828601126983</v>
      </c>
      <c r="BB8" s="3394">
        <f>SUM(BB9:BB16)-BB15</f>
        <v>20733.921825560112</v>
      </c>
      <c r="BC8" s="3394">
        <f>SUM(BC9:BC16)-BC15</f>
        <v>110.87547543878928</v>
      </c>
      <c r="BD8" s="3394">
        <f>SUM(BD9:BD16)-BD15</f>
        <v>18195.358581097094</v>
      </c>
      <c r="BE8" s="3394">
        <f t="shared" ref="BE8:BU8" si="4">SUM(BE9:BE16)-BE15</f>
        <v>18098.18085576142</v>
      </c>
      <c r="BF8" s="3394">
        <f t="shared" si="4"/>
        <v>97.177725335676428</v>
      </c>
      <c r="BG8" s="3394">
        <f t="shared" si="4"/>
        <v>16263.019999999999</v>
      </c>
      <c r="BH8" s="3394">
        <f t="shared" si="4"/>
        <v>16252.11</v>
      </c>
      <c r="BI8" s="3394">
        <f t="shared" si="4"/>
        <v>10.910000000000002</v>
      </c>
      <c r="BJ8" s="3394">
        <f t="shared" si="4"/>
        <v>15380.949999999999</v>
      </c>
      <c r="BK8" s="3394">
        <f t="shared" si="4"/>
        <v>15373.61</v>
      </c>
      <c r="BL8" s="3394">
        <f t="shared" si="4"/>
        <v>7.3400000000000007</v>
      </c>
      <c r="BM8" s="3394">
        <f>SUM(BM9:BM16)-BM15</f>
        <v>18922.29</v>
      </c>
      <c r="BN8" s="3394">
        <f t="shared" ref="BN8:BO8" si="5">SUM(BN9:BN16)-BN15</f>
        <v>18812.309999999998</v>
      </c>
      <c r="BO8" s="3394">
        <f t="shared" si="5"/>
        <v>109.97999999999999</v>
      </c>
      <c r="BP8" s="3394">
        <f>SUM(BP9:BP16)-BP15</f>
        <v>16519.018</v>
      </c>
      <c r="BQ8" s="3394">
        <f t="shared" ref="BQ8:BR8" si="6">SUM(BQ9:BQ16)-BQ15</f>
        <v>16513.018</v>
      </c>
      <c r="BR8" s="3394">
        <f t="shared" si="6"/>
        <v>6.0000000000000009</v>
      </c>
      <c r="BS8" s="3394">
        <f t="shared" si="4"/>
        <v>22980.91</v>
      </c>
      <c r="BT8" s="3394">
        <f t="shared" si="4"/>
        <v>22949.21</v>
      </c>
      <c r="BU8" s="3394">
        <f t="shared" si="4"/>
        <v>31.7</v>
      </c>
      <c r="BV8" s="3394">
        <f>SUM(BV9:BV16)-BV15</f>
        <v>19573.094654397479</v>
      </c>
      <c r="BW8" s="3394">
        <f t="shared" ref="BW8" si="7">SUM(BW9:BW16)-BW15</f>
        <v>19564.497707176608</v>
      </c>
      <c r="BX8" s="3394">
        <f t="shared" ref="BX8" si="8">SUM(BX9:BX16)-BX15</f>
        <v>8.596947220871904</v>
      </c>
      <c r="BY8" s="3394">
        <f>SUM(BY9:BY16)-BY15</f>
        <v>20079.808741292542</v>
      </c>
      <c r="BZ8" s="3394">
        <f t="shared" ref="BZ8" si="9">SUM(BZ9:BZ16)-BZ15</f>
        <v>20071.016242401733</v>
      </c>
      <c r="CA8" s="3394">
        <f t="shared" ref="CA8" si="10">SUM(CA9:CA16)-CA15</f>
        <v>8.8056105570836145</v>
      </c>
      <c r="CB8" s="3293"/>
      <c r="CC8" s="365"/>
      <c r="CD8" s="365"/>
      <c r="CE8" s="365"/>
      <c r="CF8" s="3394">
        <f>SUM(CF9:CF16)-CF15</f>
        <v>18466.557734312253</v>
      </c>
      <c r="CG8" s="3394">
        <f t="shared" ref="CG8" si="11">SUM(CG9:CG16)-CG15</f>
        <v>18457.8828242604</v>
      </c>
      <c r="CH8" s="3394">
        <f t="shared" ref="CH8" si="12">SUM(CH9:CH16)-CH15</f>
        <v>8.6749100518532334</v>
      </c>
      <c r="CI8" s="3394">
        <f>SUM(CI9:CI16)-CI15</f>
        <v>8397.23</v>
      </c>
      <c r="CJ8" s="3394">
        <f t="shared" ref="CJ8" si="13">SUM(CJ9:CJ16)-CJ15</f>
        <v>8386.9600000000009</v>
      </c>
      <c r="CK8" s="3394">
        <f t="shared" ref="CK8" si="14">SUM(CK9:CK16)-CK15</f>
        <v>10.27</v>
      </c>
      <c r="CL8" s="3394">
        <f>SUM(CL9:CL16)-CL15</f>
        <v>13117.258</v>
      </c>
      <c r="CM8" s="3394">
        <f t="shared" ref="CM8" si="15">SUM(CM9:CM16)-CM15</f>
        <v>13101.662</v>
      </c>
      <c r="CN8" s="3394">
        <f t="shared" ref="CN8" si="16">SUM(CN9:CN16)-CN15</f>
        <v>15.596</v>
      </c>
      <c r="CO8" s="3394">
        <f>SUM(CO9:CO16)-CO15</f>
        <v>18107.37</v>
      </c>
      <c r="CP8" s="3394">
        <f t="shared" ref="CP8" si="17">SUM(CP9:CP16)-CP15</f>
        <v>18087.589999999997</v>
      </c>
      <c r="CQ8" s="3394">
        <f t="shared" ref="CQ8" si="18">SUM(CQ9:CQ16)-CQ15</f>
        <v>19.78</v>
      </c>
      <c r="CR8" s="3394">
        <f>SUM(CR9:CR16)-CR15</f>
        <v>19634.129037689581</v>
      </c>
      <c r="CS8" s="3394">
        <f t="shared" ref="CS8" si="19">SUM(CS9:CS16)-CS15</f>
        <v>19607.034647210352</v>
      </c>
      <c r="CT8" s="3394">
        <f t="shared" ref="CT8" si="20">SUM(CT9:CT16)-CT15</f>
        <v>27.094390479228036</v>
      </c>
      <c r="CU8" s="3394">
        <f>SUM(CU9:CU16)-CU15</f>
        <v>17599.20792039295</v>
      </c>
      <c r="CV8" s="3394">
        <f t="shared" ref="CV8" si="21">SUM(CV9:CV16)-CV15</f>
        <v>17576.241024156883</v>
      </c>
      <c r="CW8" s="3394">
        <f t="shared" ref="CW8" si="22">SUM(CW9:CW16)-CW15</f>
        <v>22.966896236068596</v>
      </c>
      <c r="CX8" s="3394">
        <f>SUM(CX9:CX16)-CX15</f>
        <v>9987.2237400000013</v>
      </c>
      <c r="CY8" s="3394">
        <f t="shared" ref="CY8" si="23">SUM(CY9:CY16)-CY15</f>
        <v>9978.4321199999995</v>
      </c>
      <c r="CZ8" s="3394">
        <f t="shared" ref="CZ8" si="24">SUM(CZ9:CZ16)-CZ15</f>
        <v>8.79162</v>
      </c>
      <c r="DA8" s="3394">
        <f>SUM(DA9:DA16)-DA15</f>
        <v>14515.532000000001</v>
      </c>
      <c r="DB8" s="3394">
        <f t="shared" ref="DB8" si="25">SUM(DB9:DB16)-DB15</f>
        <v>14500.924000000001</v>
      </c>
      <c r="DC8" s="3394">
        <f t="shared" ref="DC8" si="26">SUM(DC9:DC16)-DC15</f>
        <v>14.608000000000001</v>
      </c>
      <c r="DD8" s="3394">
        <f>SUM(DD9:DD16)-DD15</f>
        <v>19279.80097</v>
      </c>
      <c r="DE8" s="3394">
        <f t="shared" ref="DE8" si="27">SUM(DE9:DE16)-DE15</f>
        <v>19262.652999999998</v>
      </c>
      <c r="DF8" s="3394">
        <f t="shared" ref="DF8" si="28">SUM(DF9:DF16)-DF15</f>
        <v>17.147970000000001</v>
      </c>
      <c r="DG8" s="3394">
        <f>SUM(DG9:DG16)-DG15</f>
        <v>23723.322237234122</v>
      </c>
      <c r="DH8" s="3394">
        <f t="shared" ref="DH8" si="29">SUM(DH9:DH16)-DH15</f>
        <v>23693.887350350509</v>
      </c>
      <c r="DI8" s="3394">
        <f t="shared" ref="DI8" si="30">SUM(DI9:DI16)-DI15</f>
        <v>29.434886883614379</v>
      </c>
      <c r="DJ8" s="3394">
        <f>SUM(DJ9:DJ16)-DJ15</f>
        <v>20069.104532117846</v>
      </c>
      <c r="DK8" s="3394">
        <f t="shared" ref="DK8" si="31">SUM(DK9:DK16)-DK15</f>
        <v>20044.870027383738</v>
      </c>
      <c r="DL8" s="3394">
        <f t="shared" ref="DL8" si="32">SUM(DL9:DL16)-DL15</f>
        <v>24.234504734108299</v>
      </c>
      <c r="DM8" s="3394">
        <f>SUM(DM9:DM16)-DM15</f>
        <v>9603.9700999999986</v>
      </c>
      <c r="DN8" s="3394">
        <f t="shared" ref="DN8" si="33">SUM(DN9:DN16)-DN15</f>
        <v>9596.2092899999989</v>
      </c>
      <c r="DO8" s="3394">
        <f t="shared" ref="DO8" si="34">SUM(DO9:DO16)-DO15</f>
        <v>7.7608099999999993</v>
      </c>
      <c r="DP8" s="3394">
        <f>SUM(DP9:DP16)-DP15</f>
        <v>16811.66531</v>
      </c>
      <c r="DQ8" s="3394">
        <f t="shared" ref="DQ8" si="35">SUM(DQ9:DQ16)-DQ15</f>
        <v>13931.650000000001</v>
      </c>
      <c r="DR8" s="3394">
        <f t="shared" ref="DR8" si="36">SUM(DR9:DR16)-DR15</f>
        <v>2880.0153100000002</v>
      </c>
      <c r="DS8" s="3394">
        <f>SUM(DS9:DS16)-DS15</f>
        <v>19026.581000000002</v>
      </c>
      <c r="DT8" s="3394">
        <f t="shared" ref="DT8" si="37">SUM(DT9:DT16)-DT15</f>
        <v>18509.812000000002</v>
      </c>
      <c r="DU8" s="3394">
        <f t="shared" ref="DU8" si="38">SUM(DU9:DU16)-DU15</f>
        <v>516.76899999999989</v>
      </c>
      <c r="DV8" s="3398">
        <f>SUM(DV9:DV16)-DV15</f>
        <v>24906.261525172857</v>
      </c>
      <c r="DW8" s="3398">
        <f t="shared" ref="DW8" si="39">SUM(DW9:DW16)-DW15</f>
        <v>24873.187156408709</v>
      </c>
      <c r="DX8" s="3398">
        <f t="shared" ref="DX8" si="40">SUM(DX9:DX16)-DX15</f>
        <v>33.074368764149</v>
      </c>
      <c r="DY8" s="4019">
        <f>SUM(DY9:DY16)-DY15</f>
        <v>13075.941296537447</v>
      </c>
      <c r="DZ8" s="4019">
        <f t="shared" ref="DZ8" si="41">SUM(DZ9:DZ16)-DZ15</f>
        <v>13070.415208331717</v>
      </c>
      <c r="EA8" s="4070">
        <f t="shared" ref="EA8" si="42">SUM(EA9:EA16)-EA15</f>
        <v>30.844745591782921</v>
      </c>
      <c r="EB8" s="3398">
        <f>SUM(EB9:EB16)-EB15</f>
        <v>24906.261525172857</v>
      </c>
      <c r="EC8" s="3398">
        <f t="shared" ref="EC8" si="43">SUM(EC9:EC16)-EC15</f>
        <v>24873.187156408709</v>
      </c>
      <c r="ED8" s="3398">
        <f t="shared" ref="ED8" si="44">SUM(ED9:ED16)-ED15</f>
        <v>33.074368764149</v>
      </c>
      <c r="EE8" s="3398">
        <f>SUM(EE9:EE16)-EE15</f>
        <v>22263.155702525124</v>
      </c>
      <c r="EF8" s="3398">
        <f t="shared" ref="EF8" si="45">SUM(EF9:EF16)-EF15</f>
        <v>22231.096572113376</v>
      </c>
      <c r="EG8" s="3398">
        <f t="shared" ref="EG8" si="46">SUM(EG9:EG16)-EG15</f>
        <v>32.059130411747688</v>
      </c>
      <c r="EH8" s="4832">
        <f>SUM(EH9:EH16)-EH15</f>
        <v>10101.097205799999</v>
      </c>
      <c r="EI8" s="4832">
        <f t="shared" ref="EI8" si="47">SUM(EI9:EI16)-EI15</f>
        <v>10089.89289528</v>
      </c>
      <c r="EJ8" s="4832">
        <f t="shared" ref="EJ8" si="48">SUM(EJ9:EJ16)-EJ15</f>
        <v>11.20431052</v>
      </c>
      <c r="EK8" s="4832">
        <f>SUM(EK9:EK16)-EK15</f>
        <v>23117.635533680001</v>
      </c>
      <c r="EL8" s="4832">
        <f t="shared" ref="EL8" si="49">SUM(EL9:EL16)-EL15</f>
        <v>23102.560325640003</v>
      </c>
      <c r="EM8" s="4832">
        <f t="shared" ref="EM8" si="50">SUM(EM9:EM16)-EM15</f>
        <v>15.07520804</v>
      </c>
    </row>
    <row r="9" spans="1:143" ht="21" customHeight="1" x14ac:dyDescent="0.2">
      <c r="A9" s="3191" t="s">
        <v>1</v>
      </c>
      <c r="B9" s="3289">
        <v>4424.7</v>
      </c>
      <c r="C9" s="2110">
        <v>4746.7</v>
      </c>
      <c r="D9" s="3079">
        <f t="shared" ref="D9:D42" si="51">C9/B9*100</f>
        <v>107.27732953646576</v>
      </c>
      <c r="E9" s="2110">
        <v>5856.8</v>
      </c>
      <c r="F9" s="3079">
        <f t="shared" ref="F9:F29" si="52">E9/C9*100</f>
        <v>123.38677396928392</v>
      </c>
      <c r="G9" s="2110">
        <v>6391.7</v>
      </c>
      <c r="H9" s="3079">
        <f t="shared" ref="H9:H88" si="53">G9/E9*100</f>
        <v>109.1329736374812</v>
      </c>
      <c r="I9" s="3291">
        <v>4954.6000000000004</v>
      </c>
      <c r="J9" s="3291">
        <v>3215.8</v>
      </c>
      <c r="K9" s="3291">
        <v>4218.5</v>
      </c>
      <c r="L9" s="3291">
        <v>6305.3</v>
      </c>
      <c r="M9" s="3308">
        <f t="shared" ref="M9:M89" si="54">L9/I9*100</f>
        <v>127.2615347353974</v>
      </c>
      <c r="N9" s="3308">
        <f t="shared" ref="N9:N88" si="55">L9/G9*100</f>
        <v>98.648246945257128</v>
      </c>
      <c r="O9" s="3291">
        <v>5985</v>
      </c>
      <c r="P9" s="3308">
        <f t="shared" ref="P9:P91" si="56">O9/I9*100</f>
        <v>120.7968352641989</v>
      </c>
      <c r="Q9" s="3309">
        <f>электр!AC9</f>
        <v>5549</v>
      </c>
      <c r="R9" s="3308">
        <f>Q9/I9*100</f>
        <v>111.9969321438663</v>
      </c>
      <c r="S9" s="3308">
        <f>Q9/L9*100</f>
        <v>88.005328850332248</v>
      </c>
      <c r="T9" s="3291" t="e">
        <f>Q9/Q87*T87</f>
        <v>#REF!</v>
      </c>
      <c r="U9" s="3291" t="e">
        <f>Q9-T9</f>
        <v>#REF!</v>
      </c>
      <c r="V9" s="3291">
        <v>4317.3</v>
      </c>
      <c r="W9" s="3291" t="e">
        <f>1138.8*('объемы ВС и ВО 2023'!#REF!-'объемы ВС и ВО 2023'!#REF!)/'объемы ВС и ВО 2023'!#REF!</f>
        <v>#REF!</v>
      </c>
      <c r="X9" s="3291" t="e">
        <f>1138.8-W9</f>
        <v>#REF!</v>
      </c>
      <c r="Y9" s="1597">
        <v>6269</v>
      </c>
      <c r="Z9" s="1591">
        <f t="shared" ref="Z9:Z91" si="57">Y9/Q9</f>
        <v>1.1297531086682284</v>
      </c>
      <c r="AA9" s="1597" t="e">
        <f>электр!Q48</f>
        <v>#REF!</v>
      </c>
      <c r="AB9" s="1591" t="e">
        <f t="shared" si="1"/>
        <v>#REF!</v>
      </c>
      <c r="AC9" s="1597" t="e">
        <f t="shared" ref="AC9:AC14" si="58">$AC$87/$AA$87*AA9</f>
        <v>#REF!</v>
      </c>
      <c r="AD9" s="1597" t="e">
        <f>AA9-AC9</f>
        <v>#REF!</v>
      </c>
      <c r="AE9" s="1597">
        <f>SUM(электр!AG48)</f>
        <v>4561</v>
      </c>
      <c r="AF9" s="1597">
        <f>AE9*AF87/(AF87+AG87)</f>
        <v>4504.7638524387221</v>
      </c>
      <c r="AG9" s="1597">
        <f>SUM(AE9-AF9)</f>
        <v>56.236147561277903</v>
      </c>
      <c r="AH9" s="1598">
        <f t="shared" ref="AH9:AH92" si="59">SUM(AJ9+AK9)</f>
        <v>5268.12</v>
      </c>
      <c r="AI9" s="1592" t="e">
        <f t="shared" ref="AI9:AI94" si="60">SUM(AH9/AA9)</f>
        <v>#REF!</v>
      </c>
      <c r="AJ9" s="1597">
        <v>5208.1499999999996</v>
      </c>
      <c r="AK9" s="1597">
        <v>59.97</v>
      </c>
      <c r="AL9" s="1598">
        <f t="shared" ref="AL9:AL92" si="61">SUM(AN9+AO9)</f>
        <v>4595.8327049355248</v>
      </c>
      <c r="AM9" s="1592" t="e">
        <f t="shared" ref="AM9:AM94" si="62">SUM(AL9/AA9)</f>
        <v>#REF!</v>
      </c>
      <c r="AN9" s="1597">
        <f>электр!AN48*AN87/(AN87+AO87)</f>
        <v>4543.5166051727483</v>
      </c>
      <c r="AO9" s="1597">
        <f>-AN9+электр!AN48</f>
        <v>52.316099762776503</v>
      </c>
      <c r="AP9" s="1593" t="e">
        <f t="shared" ref="AP9:AP94" si="63">AA9-Y9</f>
        <v>#REF!</v>
      </c>
      <c r="AQ9" s="1593" t="e">
        <f>AP9*AC9/AA9</f>
        <v>#REF!</v>
      </c>
      <c r="AR9" s="1593" t="e">
        <f t="shared" ref="AR9:AR94" si="64">AP9-AQ9</f>
        <v>#REF!</v>
      </c>
      <c r="AS9" s="1593" t="e">
        <f t="shared" si="2"/>
        <v>#REF!</v>
      </c>
      <c r="AT9" s="1597">
        <f>SUM(электр!AT48)</f>
        <v>2048.4</v>
      </c>
      <c r="AU9" s="1597">
        <f>AT9*AU87/(AU87+AV87)</f>
        <v>2034.3013504280375</v>
      </c>
      <c r="AV9" s="1597">
        <f>SUM(AT9-AU9)</f>
        <v>14.098649571962596</v>
      </c>
      <c r="AW9" s="1597">
        <f>AX9+AY9</f>
        <v>3813.4100000000003</v>
      </c>
      <c r="AX9" s="1597">
        <v>3795.03</v>
      </c>
      <c r="AY9" s="1597">
        <v>18.38</v>
      </c>
      <c r="AZ9" s="1597">
        <v>5274.76</v>
      </c>
      <c r="BA9" s="1594">
        <f>SUM(AZ9/AL9)</f>
        <v>1.1477267208476423</v>
      </c>
      <c r="BB9" s="1597">
        <f>AZ9*BB87/(BB87+BC87)</f>
        <v>5246.5885750617672</v>
      </c>
      <c r="BC9" s="1597">
        <f>SUM(AZ9-BB9)</f>
        <v>28.171424938233031</v>
      </c>
      <c r="BD9" s="1597">
        <f>SUM(электр!BD48)</f>
        <v>3864.6286869024211</v>
      </c>
      <c r="BE9" s="1597">
        <f>BD9*BE87/(BE87+BF87)</f>
        <v>3843.9884877336981</v>
      </c>
      <c r="BF9" s="1597">
        <f>SUM(BD9-BE9)</f>
        <v>20.640199168723029</v>
      </c>
      <c r="BG9" s="1597">
        <f>BH9+BI9</f>
        <v>1929.8899999999999</v>
      </c>
      <c r="BH9" s="1597">
        <v>1928.59</v>
      </c>
      <c r="BI9" s="1597">
        <v>1.3</v>
      </c>
      <c r="BJ9" s="1597">
        <f>BK9+BL9</f>
        <v>2203.6800000000003</v>
      </c>
      <c r="BK9" s="1597">
        <v>2202.61</v>
      </c>
      <c r="BL9" s="1597">
        <v>1.07</v>
      </c>
      <c r="BM9" s="1597">
        <f>SUM(BN9:BO9)</f>
        <v>3989.03</v>
      </c>
      <c r="BN9" s="1597">
        <v>3965.44</v>
      </c>
      <c r="BO9" s="1597">
        <v>23.59</v>
      </c>
      <c r="BP9" s="1597">
        <f>SUM(BQ9:BR9)</f>
        <v>3108.1840000000002</v>
      </c>
      <c r="BQ9" s="1597">
        <v>3107.0540000000001</v>
      </c>
      <c r="BR9" s="1597">
        <v>1.1299999999999999</v>
      </c>
      <c r="BS9" s="1597">
        <f>BT9+BU9</f>
        <v>4869.12</v>
      </c>
      <c r="BT9" s="1597">
        <v>4862.37</v>
      </c>
      <c r="BU9" s="1597">
        <v>6.75</v>
      </c>
      <c r="BV9" s="1597">
        <f>BW9+BX9</f>
        <v>4305.7336586955207</v>
      </c>
      <c r="BW9" s="1597">
        <f>'ЭЭ вода'!T20</f>
        <v>4304.5152791955206</v>
      </c>
      <c r="BX9" s="1597">
        <f>'ЭЭ вода'!T21</f>
        <v>1.2183794999999999</v>
      </c>
      <c r="BY9" s="1597">
        <f>BZ9+CA9</f>
        <v>4486.5744723607322</v>
      </c>
      <c r="BZ9" s="1597">
        <f>SUM('ЭЭ вода'!Z20)</f>
        <v>4485.3049209217324</v>
      </c>
      <c r="CA9" s="1597">
        <f>SUM('ЭЭ вода'!Z21)</f>
        <v>1.269551439</v>
      </c>
      <c r="CB9" s="3286" t="s">
        <v>960</v>
      </c>
      <c r="CC9" s="365"/>
      <c r="CD9" s="365"/>
      <c r="CE9" s="365"/>
      <c r="CF9" s="1597">
        <f>CG9+CH9</f>
        <v>2991.6705692592573</v>
      </c>
      <c r="CG9" s="1597">
        <f>SUM('ЭЭ вода'!AE20)</f>
        <v>2990.7784444258655</v>
      </c>
      <c r="CH9" s="1597">
        <f>SUM('ЭЭ вода'!AE21)</f>
        <v>0.89212483339199999</v>
      </c>
      <c r="CI9" s="1597">
        <f>CJ9+CK9</f>
        <v>2332.87</v>
      </c>
      <c r="CJ9" s="1597">
        <f>SUM('ЭЭ вода'!AF20)</f>
        <v>2332.46</v>
      </c>
      <c r="CK9" s="1597">
        <f>SUM('ЭЭ вода'!AF21)</f>
        <v>0.41</v>
      </c>
      <c r="CL9" s="1597">
        <f>CM9+CN9</f>
        <v>3926.018</v>
      </c>
      <c r="CM9" s="1597">
        <f>SUM('ЭЭ вода'!AG20)</f>
        <v>3925.4119999999998</v>
      </c>
      <c r="CN9" s="1597">
        <f>SUM('ЭЭ вода'!AG21)</f>
        <v>0.60599999999999998</v>
      </c>
      <c r="CO9" s="1597">
        <f>CP9+CQ9</f>
        <v>5647.2300000000005</v>
      </c>
      <c r="CP9" s="1597">
        <f>SUM('ЭЭ вода'!AH20)</f>
        <v>5646.39</v>
      </c>
      <c r="CQ9" s="1597">
        <f>SUM('ЭЭ вода'!AH21)+0.01</f>
        <v>0.84</v>
      </c>
      <c r="CR9" s="1597">
        <f>CS9+CT9</f>
        <v>3129.2874154451833</v>
      </c>
      <c r="CS9" s="1597">
        <f>SUM('ЭЭ вода'!AI20)</f>
        <v>3128.3542528694552</v>
      </c>
      <c r="CT9" s="1597">
        <f>SUM('ЭЭ вода'!AI21)</f>
        <v>0.93316257572803196</v>
      </c>
      <c r="CU9" s="1597">
        <f>CV9+CW9</f>
        <v>4994.2281316503177</v>
      </c>
      <c r="CV9" s="1597">
        <f>SUM('ЭЭ вода'!AJ20)</f>
        <v>4992.752465089523</v>
      </c>
      <c r="CW9" s="1597">
        <f>SUM('ЭЭ вода'!AJ21)</f>
        <v>1.4756665607949733</v>
      </c>
      <c r="CX9" s="1597">
        <f>CY9+CZ9</f>
        <v>3122.0537399999998</v>
      </c>
      <c r="CY9" s="1597">
        <f>SUM('ЭЭ вода'!AK20)</f>
        <v>3121.66212</v>
      </c>
      <c r="CZ9" s="1597">
        <f>SUM('ЭЭ вода'!AK21)</f>
        <v>0.39162000000000002</v>
      </c>
      <c r="DA9" s="1597">
        <f>DB9+DC9</f>
        <v>4140.3710000000001</v>
      </c>
      <c r="DB9" s="1597">
        <f>SUM('ЭЭ вода'!AL20)</f>
        <v>4139.8310000000001</v>
      </c>
      <c r="DC9" s="1597">
        <f>SUM('ЭЭ вода'!AL21)</f>
        <v>0.54</v>
      </c>
      <c r="DD9" s="1597">
        <f>DE9+DF9</f>
        <v>5505.5909700000002</v>
      </c>
      <c r="DE9" s="1597">
        <f>SUM('ЭЭ вода'!AM20)</f>
        <v>5504.893</v>
      </c>
      <c r="DF9" s="1597">
        <f>SUM('ЭЭ вода'!AM21)</f>
        <v>0.69796999999999998</v>
      </c>
      <c r="DG9" s="1597">
        <f>DH9+DI9</f>
        <v>5889.347481399951</v>
      </c>
      <c r="DH9" s="1597">
        <f>SUM('ЭЭ вода'!AN20)</f>
        <v>5887.6073299863365</v>
      </c>
      <c r="DI9" s="1597">
        <f>SUM('ЭЭ вода'!AN21)</f>
        <v>1.7401514136143799</v>
      </c>
      <c r="DJ9" s="1597">
        <f>DK9+DL9</f>
        <v>5032.7206414045122</v>
      </c>
      <c r="DK9" s="1597">
        <f>SUM('ЭЭ вода'!AO20)</f>
        <v>5031.2321156718463</v>
      </c>
      <c r="DL9" s="1597">
        <f>SUM('ЭЭ вода'!AO21)</f>
        <v>1.4885257326660863</v>
      </c>
      <c r="DM9" s="1597">
        <f>DN9+DO9</f>
        <v>2499.8970999999997</v>
      </c>
      <c r="DN9" s="1597">
        <f>SUM('ЭЭ вода'!AP20)</f>
        <v>2499.5712899999999</v>
      </c>
      <c r="DO9" s="1597">
        <f>SUM('ЭЭ вода'!AP21)</f>
        <v>0.32580999999999999</v>
      </c>
      <c r="DP9" s="1597">
        <f>DQ9+DR9</f>
        <v>3562.5039999999999</v>
      </c>
      <c r="DQ9" s="1597">
        <f>SUM('ЭЭ вода'!AQ20)</f>
        <v>3562.0309999999999</v>
      </c>
      <c r="DR9" s="1597">
        <f>SUM('ЭЭ вода'!AQ21)</f>
        <v>0.47299999999999998</v>
      </c>
      <c r="DS9" s="1597">
        <f>DT9+DU9</f>
        <v>5052.4959999999992</v>
      </c>
      <c r="DT9" s="1597">
        <f>SUM('ЭЭ вода'!AR20)</f>
        <v>5051.8729999999996</v>
      </c>
      <c r="DU9" s="1597">
        <f>SUM('ЭЭ вода'!AR21)</f>
        <v>0.623</v>
      </c>
      <c r="DV9" s="2343">
        <f>DW9+DX9</f>
        <v>5310.9840552358601</v>
      </c>
      <c r="DW9" s="2343">
        <f>SUM('ЭЭ вода'!AS20)</f>
        <v>5309.4132276467108</v>
      </c>
      <c r="DX9" s="2343">
        <f>SUM('ЭЭ вода'!AS21)</f>
        <v>1.570827589149</v>
      </c>
      <c r="DY9" s="3211">
        <f>DZ9+EA9</f>
        <v>0</v>
      </c>
      <c r="DZ9" s="3211">
        <f>SUM('ЭЭ вода'!BD20)</f>
        <v>0</v>
      </c>
      <c r="EA9" s="4071">
        <f>SUM('ЭЭ вода'!BD21)</f>
        <v>0</v>
      </c>
      <c r="EB9" s="2343">
        <f>EC9+ED9</f>
        <v>5310.9840552358601</v>
      </c>
      <c r="EC9" s="2343">
        <f>SUM('ЭЭ вода'!AS20)</f>
        <v>5309.4132276467108</v>
      </c>
      <c r="ED9" s="2343">
        <f>SUM('ЭЭ вода'!AS21)</f>
        <v>1.570827589149</v>
      </c>
      <c r="EE9" s="2343">
        <f>EF9+EG9</f>
        <v>5704.7742572580637</v>
      </c>
      <c r="EF9" s="2343">
        <f>SUM('ЭЭ вода'!AT20)</f>
        <v>5703.5050999164114</v>
      </c>
      <c r="EG9" s="2343">
        <f>SUM('ЭЭ вода'!AT21)</f>
        <v>1.2691573416522</v>
      </c>
      <c r="EH9" s="3662">
        <f>EI9+EJ9</f>
        <v>2454.8022057999997</v>
      </c>
      <c r="EI9" s="3662">
        <f>SUM('ЭЭ вода'!AU20)</f>
        <v>2454.1718952799997</v>
      </c>
      <c r="EJ9" s="3662">
        <f>SUM('ЭЭ вода'!AU21)</f>
        <v>0.63031051999999999</v>
      </c>
      <c r="EK9" s="3662">
        <f>EL9+EM9</f>
        <v>4746.6155336800011</v>
      </c>
      <c r="EL9" s="3662">
        <f>SUM('ЭЭ вода'!AV20)+0.02</f>
        <v>4745.9843256400009</v>
      </c>
      <c r="EM9" s="3662">
        <f>SUM('ЭЭ вода'!AV21)-0.02</f>
        <v>0.63120804000000008</v>
      </c>
    </row>
    <row r="10" spans="1:143" ht="21" customHeight="1" x14ac:dyDescent="0.2">
      <c r="A10" s="3191" t="s">
        <v>2</v>
      </c>
      <c r="B10" s="3289">
        <v>332.4</v>
      </c>
      <c r="C10" s="2110">
        <v>358.9</v>
      </c>
      <c r="D10" s="3079">
        <f t="shared" si="51"/>
        <v>107.97232250300843</v>
      </c>
      <c r="E10" s="2110">
        <v>315.89999999999998</v>
      </c>
      <c r="F10" s="3079">
        <f t="shared" si="52"/>
        <v>88.018946781833378</v>
      </c>
      <c r="G10" s="2110">
        <v>2033.4</v>
      </c>
      <c r="H10" s="3079">
        <f t="shared" si="53"/>
        <v>643.68471035137713</v>
      </c>
      <c r="I10" s="3291">
        <v>1050</v>
      </c>
      <c r="J10" s="3291">
        <v>158.4</v>
      </c>
      <c r="K10" s="3291">
        <v>2823.9</v>
      </c>
      <c r="L10" s="3291">
        <v>3765.8</v>
      </c>
      <c r="M10" s="3308">
        <f t="shared" si="54"/>
        <v>358.64761904761906</v>
      </c>
      <c r="N10" s="3308">
        <f t="shared" si="55"/>
        <v>185.19720664896232</v>
      </c>
      <c r="O10" s="3291">
        <v>3856</v>
      </c>
      <c r="P10" s="3308">
        <f t="shared" si="56"/>
        <v>367.23809523809524</v>
      </c>
      <c r="Q10" s="3309">
        <v>3772</v>
      </c>
      <c r="R10" s="3308">
        <f t="shared" ref="R10:R91" si="65">Q10/I10*100</f>
        <v>359.23809523809524</v>
      </c>
      <c r="S10" s="3308">
        <f t="shared" ref="S10:S88" si="66">Q10/L10*100</f>
        <v>100.16463965160125</v>
      </c>
      <c r="T10" s="3291" t="e">
        <f>Q10/Q87*T87</f>
        <v>#REF!</v>
      </c>
      <c r="U10" s="3291" t="e">
        <f t="shared" ref="U10:U16" si="67">Q10-T10</f>
        <v>#REF!</v>
      </c>
      <c r="V10" s="3291">
        <v>2819.3</v>
      </c>
      <c r="W10" s="3291" t="e">
        <f>3756.7*('объемы ВС и ВО 2023'!#REF!-'объемы ВС и ВО 2023'!#REF!)/'объемы ВС и ВО 2023'!#REF!</f>
        <v>#REF!</v>
      </c>
      <c r="X10" s="3291" t="e">
        <f>3756.7-W10</f>
        <v>#REF!</v>
      </c>
      <c r="Y10" s="1597">
        <v>3847.4</v>
      </c>
      <c r="Z10" s="1591">
        <f t="shared" si="57"/>
        <v>1.0199893955461294</v>
      </c>
      <c r="AA10" s="1597" t="e">
        <f>Аморт!G7</f>
        <v>#REF!</v>
      </c>
      <c r="AB10" s="1591" t="e">
        <f t="shared" si="1"/>
        <v>#REF!</v>
      </c>
      <c r="AC10" s="1597" t="e">
        <f t="shared" si="58"/>
        <v>#REF!</v>
      </c>
      <c r="AD10" s="1597" t="e">
        <f t="shared" ref="AD10:AD55" si="68">AA10-AC10</f>
        <v>#REF!</v>
      </c>
      <c r="AE10" s="1597">
        <f>SUM(Аморт!L7)</f>
        <v>3695.7</v>
      </c>
      <c r="AF10" s="1597">
        <f>AE10*AF87/(AF87+AG87)</f>
        <v>3650.1328150532308</v>
      </c>
      <c r="AG10" s="1597">
        <f>SUM(AE10-AF10)</f>
        <v>45.567184946768975</v>
      </c>
      <c r="AH10" s="1598">
        <f t="shared" si="59"/>
        <v>3759.1</v>
      </c>
      <c r="AI10" s="1592" t="e">
        <f t="shared" si="60"/>
        <v>#REF!</v>
      </c>
      <c r="AJ10" s="1597">
        <v>3716.31</v>
      </c>
      <c r="AK10" s="1597">
        <v>42.79</v>
      </c>
      <c r="AL10" s="1598">
        <f t="shared" si="61"/>
        <v>3759.1</v>
      </c>
      <c r="AM10" s="1592" t="e">
        <f t="shared" si="62"/>
        <v>#REF!</v>
      </c>
      <c r="AN10" s="1597">
        <f>Аморт!O7*AN87/(AN87+AO87)</f>
        <v>3716.3087446945019</v>
      </c>
      <c r="AO10" s="1597">
        <f>-AN10+Аморт!O7</f>
        <v>42.791255305497998</v>
      </c>
      <c r="AP10" s="1593" t="e">
        <f t="shared" si="63"/>
        <v>#REF!</v>
      </c>
      <c r="AQ10" s="1593" t="e">
        <f>AP10*AC10/AA10</f>
        <v>#REF!</v>
      </c>
      <c r="AR10" s="1593" t="e">
        <f t="shared" si="64"/>
        <v>#REF!</v>
      </c>
      <c r="AS10" s="1593" t="e">
        <f t="shared" si="2"/>
        <v>#REF!</v>
      </c>
      <c r="AT10" s="1597">
        <f>SUM(Аморт!Q7)</f>
        <v>1827.75</v>
      </c>
      <c r="AU10" s="1597">
        <f>AT10*AU87/(AU87+AV87)</f>
        <v>1815.1700318516137</v>
      </c>
      <c r="AV10" s="1597">
        <f>SUM(AT10-AU10)</f>
        <v>12.579968148386342</v>
      </c>
      <c r="AW10" s="1597">
        <f t="shared" ref="AW10:AW16" si="69">AX10+AY10</f>
        <v>3621.84</v>
      </c>
      <c r="AX10" s="1597">
        <v>3604.38</v>
      </c>
      <c r="AY10" s="1597">
        <v>17.46</v>
      </c>
      <c r="AZ10" s="1597">
        <f>SUM(Аморт!T7)</f>
        <v>3759.1</v>
      </c>
      <c r="BA10" s="1594">
        <f t="shared" ref="BA10:BA94" si="70">SUM(AZ10/AL10)</f>
        <v>1</v>
      </c>
      <c r="BB10" s="1597">
        <f>AZ10*BB87/(BB87+BC87)</f>
        <v>3739.0234081768058</v>
      </c>
      <c r="BC10" s="1597">
        <f>SUM(AZ10-BB10)</f>
        <v>20.076591823194121</v>
      </c>
      <c r="BD10" s="1597">
        <f>SUM(Аморт!U7)</f>
        <v>3644.55</v>
      </c>
      <c r="BE10" s="1597">
        <f>BD10*BE87/(BE87+BF87)</f>
        <v>3625.0851965286315</v>
      </c>
      <c r="BF10" s="1597">
        <f>SUM(BD10-BE10)</f>
        <v>19.464803471368668</v>
      </c>
      <c r="BG10" s="1597">
        <f t="shared" ref="BG10:BG59" si="71">BH10+BI10</f>
        <v>3566.58</v>
      </c>
      <c r="BH10" s="1597">
        <v>3564.18</v>
      </c>
      <c r="BI10" s="1597">
        <v>2.4</v>
      </c>
      <c r="BJ10" s="1597">
        <f t="shared" ref="BJ10:BJ14" si="72">BK10+BL10</f>
        <v>3595.1099999999997</v>
      </c>
      <c r="BK10" s="1597">
        <v>3593.37</v>
      </c>
      <c r="BL10" s="1597">
        <v>1.74</v>
      </c>
      <c r="BM10" s="1597">
        <f t="shared" ref="BM10:BM16" si="73">SUM(BN10:BO10)</f>
        <v>3566.58</v>
      </c>
      <c r="BN10" s="1597">
        <v>3545.48</v>
      </c>
      <c r="BO10" s="1597">
        <v>21.1</v>
      </c>
      <c r="BP10" s="1597">
        <f t="shared" ref="BP10:BP14" si="74">SUM(BQ10:BR10)</f>
        <v>2969.39</v>
      </c>
      <c r="BQ10" s="1597">
        <v>2968.31</v>
      </c>
      <c r="BR10" s="1597">
        <v>1.08</v>
      </c>
      <c r="BS10" s="1597">
        <f t="shared" ref="BS10:BS14" si="75">BT10+BU10</f>
        <v>3595.1099999999997</v>
      </c>
      <c r="BT10" s="1597">
        <v>3590.12</v>
      </c>
      <c r="BU10" s="1597">
        <v>4.99</v>
      </c>
      <c r="BV10" s="1597">
        <f>Аморт!AM7</f>
        <v>3595.11</v>
      </c>
      <c r="BW10" s="1597">
        <f>BV10/$BV$87*$BW$87</f>
        <v>3593.3725181518635</v>
      </c>
      <c r="BX10" s="1597">
        <f>BV10/$BV$87*$BX$87</f>
        <v>1.7374818481367909</v>
      </c>
      <c r="BY10" s="1597">
        <f>SUM(Аморт!AS7)</f>
        <v>3595.11</v>
      </c>
      <c r="BZ10" s="1597">
        <f>BY10/$BV$87*$BW$87</f>
        <v>3593.3725181518635</v>
      </c>
      <c r="CA10" s="1597">
        <f>BY10/$BV$87*$BX$87</f>
        <v>1.7374818481367909</v>
      </c>
      <c r="CB10" s="3286" t="s">
        <v>960</v>
      </c>
      <c r="CC10" s="365"/>
      <c r="CD10" s="365"/>
      <c r="CE10" s="365"/>
      <c r="CF10" s="1597">
        <f>SUM(Аморт!AT7)</f>
        <v>3595.11</v>
      </c>
      <c r="CG10" s="1597">
        <f>CF10/CF167*CG167+0.1</f>
        <v>3593.3786793794047</v>
      </c>
      <c r="CH10" s="1597">
        <f>CF10/CF167*CH167-0.1</f>
        <v>1.7313206205949816</v>
      </c>
      <c r="CI10" s="1597">
        <f>SUM(CJ10:CK10)</f>
        <v>1155.57</v>
      </c>
      <c r="CJ10" s="1597">
        <f>SUM(Аморт!AV7)</f>
        <v>1155.57</v>
      </c>
      <c r="CK10" s="1597">
        <f>SUM(Аморт!AW7)</f>
        <v>0</v>
      </c>
      <c r="CL10" s="1597">
        <f>SUM(CM10:CN10)</f>
        <v>1731.27</v>
      </c>
      <c r="CM10" s="1597">
        <f>SUM(Аморт!AY7)</f>
        <v>1731.27</v>
      </c>
      <c r="CN10" s="1597">
        <f>SUM(Аморт!AZ7)</f>
        <v>0</v>
      </c>
      <c r="CO10" s="1597">
        <f>SUM(CP10:CQ10)</f>
        <v>2385.85</v>
      </c>
      <c r="CP10" s="1597">
        <f>SUM(Аморт!BB7)</f>
        <v>2385.85</v>
      </c>
      <c r="CQ10" s="1597">
        <f>SUM(Аморт!BC7)</f>
        <v>0</v>
      </c>
      <c r="CR10" s="1597">
        <f>SUM(CS10:CT10)</f>
        <v>2385.85</v>
      </c>
      <c r="CS10" s="1597">
        <f>SUM(Аморт!BD7)</f>
        <v>2385.85</v>
      </c>
      <c r="CT10" s="1597">
        <v>0</v>
      </c>
      <c r="CU10" s="1597">
        <f>SUM(CV10:CW10)</f>
        <v>1251.653402217785</v>
      </c>
      <c r="CV10" s="1597">
        <f>SUM(Аморт!BE7)</f>
        <v>1251.653402217785</v>
      </c>
      <c r="CW10" s="1597">
        <v>0</v>
      </c>
      <c r="CX10" s="1597">
        <f>SUM(CY10:CZ10)</f>
        <v>1443.085</v>
      </c>
      <c r="CY10" s="1597">
        <f>SUM(Аморт!BJ7)</f>
        <v>1443.085</v>
      </c>
      <c r="CZ10" s="1597">
        <v>0</v>
      </c>
      <c r="DA10" s="1597">
        <f>SUM(DB10:DC10)</f>
        <v>2164.8000000000002</v>
      </c>
      <c r="DB10" s="1597">
        <f>SUM(Аморт!BM7)</f>
        <v>2164.8000000000002</v>
      </c>
      <c r="DC10" s="1597">
        <f>SUM(Аморт!BN7)</f>
        <v>0</v>
      </c>
      <c r="DD10" s="1597">
        <f>SUM(DE10:DF10)</f>
        <v>2885.46</v>
      </c>
      <c r="DE10" s="1597">
        <f>SUM(Аморт!BP7)</f>
        <v>2885.46</v>
      </c>
      <c r="DF10" s="1597">
        <f>SUM(Аморт!BQ7)</f>
        <v>0</v>
      </c>
      <c r="DG10" s="1597">
        <f>SUM(DH10:DI10)</f>
        <v>2885.46</v>
      </c>
      <c r="DH10" s="1597">
        <f>SUM(Аморт!BR7)</f>
        <v>2885.46</v>
      </c>
      <c r="DI10" s="1597">
        <v>0</v>
      </c>
      <c r="DJ10" s="1597">
        <f>SUM(DK10:DL10)</f>
        <v>2867.6223122571282</v>
      </c>
      <c r="DK10" s="1597">
        <f>SUM(Аморт!BS7)</f>
        <v>2867.6223122571282</v>
      </c>
      <c r="DL10" s="1597">
        <v>0</v>
      </c>
      <c r="DM10" s="1597">
        <f>SUM(DN10:DO10)</f>
        <v>1388.0429999999999</v>
      </c>
      <c r="DN10" s="1597">
        <f>SUM(Аморт!BU7)</f>
        <v>1388.0429999999999</v>
      </c>
      <c r="DO10" s="1597">
        <v>0</v>
      </c>
      <c r="DP10" s="1597">
        <f>SUM(DQ10:DR10)</f>
        <v>4524.84231</v>
      </c>
      <c r="DQ10" s="1597">
        <f>SUM(Аморт!BX7)</f>
        <v>1657.22</v>
      </c>
      <c r="DR10" s="1597">
        <f>SUM(Аморт!CC7)</f>
        <v>2867.6223100000002</v>
      </c>
      <c r="DS10" s="1597">
        <f>SUM(DT10:DU10)</f>
        <v>2408.7290000000003</v>
      </c>
      <c r="DT10" s="1597">
        <f>SUM(Аморт!CA7)</f>
        <v>1908.3240000000001</v>
      </c>
      <c r="DU10" s="1597">
        <f>SUM(Аморт!CE7)</f>
        <v>500.40499999999997</v>
      </c>
      <c r="DV10" s="2343">
        <f>SUM(DW10:DX10)</f>
        <v>2867.6223100000002</v>
      </c>
      <c r="DW10" s="2343">
        <f>SUM(Аморт!CC7)</f>
        <v>2867.6223100000002</v>
      </c>
      <c r="DX10" s="2343">
        <v>0</v>
      </c>
      <c r="DY10" s="3211">
        <f>SUM(DZ10:EA10)</f>
        <v>0</v>
      </c>
      <c r="DZ10" s="3211">
        <f>SUM(Аморт!CG7)</f>
        <v>0</v>
      </c>
      <c r="EA10" s="4071">
        <v>0</v>
      </c>
      <c r="EB10" s="2343">
        <f>SUM(EC10:ED10)</f>
        <v>2867.6223100000002</v>
      </c>
      <c r="EC10" s="2343">
        <f>SUM(Аморт!CC7)</f>
        <v>2867.6223100000002</v>
      </c>
      <c r="ED10" s="2343">
        <v>0</v>
      </c>
      <c r="EE10" s="2343">
        <f>SUM(EF10:EG10)</f>
        <v>2531.7942361776049</v>
      </c>
      <c r="EF10" s="2343">
        <f>SUM(Аморт!CD7)</f>
        <v>2531.7942361776049</v>
      </c>
      <c r="EG10" s="2343">
        <v>0</v>
      </c>
      <c r="EH10" s="3662">
        <f>SUM(EI10:EJ10)</f>
        <v>500.40499999999997</v>
      </c>
      <c r="EI10" s="3662">
        <f>SUM(Аморт!CE7)</f>
        <v>500.40499999999997</v>
      </c>
      <c r="EJ10" s="3662">
        <v>0</v>
      </c>
      <c r="EK10" s="3662">
        <f>SUM(EL10:EM10)</f>
        <v>1000.807</v>
      </c>
      <c r="EL10" s="3662">
        <f>SUM(Аморт!CF7)</f>
        <v>1000.807</v>
      </c>
      <c r="EM10" s="3662">
        <v>0</v>
      </c>
    </row>
    <row r="11" spans="1:143" ht="21" customHeight="1" x14ac:dyDescent="0.2">
      <c r="A11" s="3191" t="s">
        <v>4280</v>
      </c>
      <c r="B11" s="3289"/>
      <c r="C11" s="2110"/>
      <c r="D11" s="3079"/>
      <c r="E11" s="2110"/>
      <c r="F11" s="3079"/>
      <c r="G11" s="2110"/>
      <c r="H11" s="3079"/>
      <c r="I11" s="3291"/>
      <c r="J11" s="3291"/>
      <c r="K11" s="3291">
        <v>9.1999999999999993</v>
      </c>
      <c r="L11" s="3291">
        <v>9.1999999999999993</v>
      </c>
      <c r="M11" s="3308"/>
      <c r="N11" s="3308"/>
      <c r="O11" s="3291"/>
      <c r="P11" s="3308"/>
      <c r="Q11" s="3309"/>
      <c r="R11" s="3308"/>
      <c r="S11" s="3308">
        <f t="shared" si="66"/>
        <v>0</v>
      </c>
      <c r="T11" s="3291"/>
      <c r="U11" s="3291">
        <f t="shared" si="67"/>
        <v>0</v>
      </c>
      <c r="V11" s="3291">
        <v>0</v>
      </c>
      <c r="W11" s="3291">
        <v>0</v>
      </c>
      <c r="X11" s="3291">
        <v>0</v>
      </c>
      <c r="Y11" s="1597"/>
      <c r="Z11" s="1591"/>
      <c r="AA11" s="1597"/>
      <c r="AB11" s="1591"/>
      <c r="AC11" s="1597" t="e">
        <f t="shared" si="58"/>
        <v>#REF!</v>
      </c>
      <c r="AD11" s="1597" t="e">
        <f t="shared" si="68"/>
        <v>#REF!</v>
      </c>
      <c r="AE11" s="1597">
        <f>SUM(AF11:AG11)</f>
        <v>0</v>
      </c>
      <c r="AF11" s="1597">
        <v>0</v>
      </c>
      <c r="AG11" s="1597">
        <v>0</v>
      </c>
      <c r="AH11" s="1598">
        <v>0</v>
      </c>
      <c r="AI11" s="1592"/>
      <c r="AJ11" s="1597">
        <v>0</v>
      </c>
      <c r="AK11" s="1597">
        <v>0</v>
      </c>
      <c r="AL11" s="1598">
        <v>0</v>
      </c>
      <c r="AM11" s="1592"/>
      <c r="AN11" s="1597">
        <v>0</v>
      </c>
      <c r="AO11" s="1597">
        <v>0</v>
      </c>
      <c r="AP11" s="1593">
        <f t="shared" si="63"/>
        <v>0</v>
      </c>
      <c r="AQ11" s="1593"/>
      <c r="AR11" s="1593"/>
      <c r="AS11" s="1593">
        <f t="shared" si="2"/>
        <v>0</v>
      </c>
      <c r="AT11" s="1597">
        <v>0</v>
      </c>
      <c r="AU11" s="1597">
        <v>0</v>
      </c>
      <c r="AV11" s="1597">
        <v>0</v>
      </c>
      <c r="AW11" s="1597">
        <f t="shared" si="69"/>
        <v>0</v>
      </c>
      <c r="AX11" s="1597">
        <v>0</v>
      </c>
      <c r="AY11" s="1597">
        <v>0</v>
      </c>
      <c r="AZ11" s="1598">
        <v>0</v>
      </c>
      <c r="BA11" s="1594"/>
      <c r="BB11" s="1597">
        <v>0</v>
      </c>
      <c r="BC11" s="1597">
        <v>0</v>
      </c>
      <c r="BD11" s="1598">
        <v>0</v>
      </c>
      <c r="BE11" s="1597">
        <v>0</v>
      </c>
      <c r="BF11" s="1597">
        <v>0</v>
      </c>
      <c r="BG11" s="1597">
        <f t="shared" si="71"/>
        <v>0</v>
      </c>
      <c r="BH11" s="1597">
        <v>0</v>
      </c>
      <c r="BI11" s="1597">
        <v>0</v>
      </c>
      <c r="BJ11" s="1597">
        <f t="shared" si="72"/>
        <v>0</v>
      </c>
      <c r="BK11" s="1597">
        <v>0</v>
      </c>
      <c r="BL11" s="1597">
        <v>0</v>
      </c>
      <c r="BM11" s="1597">
        <f t="shared" si="73"/>
        <v>0</v>
      </c>
      <c r="BN11" s="1597">
        <v>0</v>
      </c>
      <c r="BO11" s="1597">
        <v>0</v>
      </c>
      <c r="BP11" s="1597">
        <f t="shared" si="74"/>
        <v>0</v>
      </c>
      <c r="BQ11" s="1597">
        <v>0</v>
      </c>
      <c r="BR11" s="1597">
        <v>0</v>
      </c>
      <c r="BS11" s="1597">
        <f t="shared" si="75"/>
        <v>0</v>
      </c>
      <c r="BT11" s="1597">
        <v>0</v>
      </c>
      <c r="BU11" s="1597">
        <v>0</v>
      </c>
      <c r="BV11" s="1597">
        <f t="shared" ref="BV11" si="76">BW11+BX11</f>
        <v>0</v>
      </c>
      <c r="BW11" s="1597">
        <v>0</v>
      </c>
      <c r="BX11" s="1597">
        <v>0</v>
      </c>
      <c r="BY11" s="1597">
        <f t="shared" ref="BY11" si="77">BZ11+CA11</f>
        <v>0</v>
      </c>
      <c r="BZ11" s="1597">
        <v>0</v>
      </c>
      <c r="CA11" s="1597">
        <v>0</v>
      </c>
      <c r="CB11" s="3287"/>
      <c r="CC11" s="365"/>
      <c r="CD11" s="365"/>
      <c r="CE11" s="365"/>
      <c r="CF11" s="1597">
        <f t="shared" ref="CF11" si="78">CG11+CH11</f>
        <v>0</v>
      </c>
      <c r="CG11" s="1597">
        <v>0</v>
      </c>
      <c r="CH11" s="1597">
        <v>0</v>
      </c>
      <c r="CI11" s="1597">
        <f t="shared" ref="CI11:CI14" si="79">CJ11+CK11</f>
        <v>0</v>
      </c>
      <c r="CJ11" s="1597">
        <v>0</v>
      </c>
      <c r="CK11" s="1597">
        <v>0</v>
      </c>
      <c r="CL11" s="1597">
        <f t="shared" ref="CL11:CL14" si="80">CM11+CN11</f>
        <v>0</v>
      </c>
      <c r="CM11" s="1597">
        <v>0</v>
      </c>
      <c r="CN11" s="1597">
        <v>0</v>
      </c>
      <c r="CO11" s="1597">
        <f t="shared" ref="CO11:CO14" si="81">CP11+CQ11</f>
        <v>0</v>
      </c>
      <c r="CP11" s="1597">
        <v>0</v>
      </c>
      <c r="CQ11" s="1597">
        <v>0</v>
      </c>
      <c r="CR11" s="1597">
        <f t="shared" ref="CR11:CR14" si="82">CS11+CT11</f>
        <v>0</v>
      </c>
      <c r="CS11" s="1597">
        <v>0</v>
      </c>
      <c r="CT11" s="1597">
        <v>0</v>
      </c>
      <c r="CU11" s="1597">
        <f t="shared" ref="CU11:CU13" si="83">CV11+CW11</f>
        <v>0</v>
      </c>
      <c r="CV11" s="1597">
        <v>0</v>
      </c>
      <c r="CW11" s="1597">
        <v>0</v>
      </c>
      <c r="CX11" s="1597">
        <f t="shared" ref="CX11:CX14" si="84">CY11+CZ11</f>
        <v>0</v>
      </c>
      <c r="CY11" s="1597">
        <v>0</v>
      </c>
      <c r="CZ11" s="1597">
        <v>0</v>
      </c>
      <c r="DA11" s="1597">
        <f t="shared" ref="DA11:DA14" si="85">DB11+DC11</f>
        <v>0</v>
      </c>
      <c r="DB11" s="1597">
        <v>0</v>
      </c>
      <c r="DC11" s="1597">
        <v>0</v>
      </c>
      <c r="DD11" s="1597">
        <f t="shared" ref="DD11:DD14" si="86">DE11+DF11</f>
        <v>0</v>
      </c>
      <c r="DE11" s="1597">
        <v>0</v>
      </c>
      <c r="DF11" s="1597">
        <v>0</v>
      </c>
      <c r="DG11" s="1597">
        <f t="shared" ref="DG11:DG14" si="87">DH11+DI11</f>
        <v>0</v>
      </c>
      <c r="DH11" s="1597">
        <v>0</v>
      </c>
      <c r="DI11" s="1597">
        <v>0</v>
      </c>
      <c r="DJ11" s="1597">
        <f t="shared" ref="DJ11:DJ13" si="88">DK11+DL11</f>
        <v>0</v>
      </c>
      <c r="DK11" s="1597">
        <v>0</v>
      </c>
      <c r="DL11" s="1597">
        <v>0</v>
      </c>
      <c r="DM11" s="1597">
        <f t="shared" ref="DM11:DM14" si="89">DN11+DO11</f>
        <v>0</v>
      </c>
      <c r="DN11" s="1597">
        <v>0</v>
      </c>
      <c r="DO11" s="1597">
        <v>0</v>
      </c>
      <c r="DP11" s="1597">
        <f t="shared" ref="DP11:DP14" si="90">DQ11+DR11</f>
        <v>0</v>
      </c>
      <c r="DQ11" s="1597">
        <v>0</v>
      </c>
      <c r="DR11" s="1597">
        <v>0</v>
      </c>
      <c r="DS11" s="1597">
        <f t="shared" ref="DS11:DS14" si="91">DT11+DU11</f>
        <v>0</v>
      </c>
      <c r="DT11" s="1597">
        <v>0</v>
      </c>
      <c r="DU11" s="1597">
        <v>0</v>
      </c>
      <c r="DV11" s="2343">
        <f t="shared" ref="DV11:DV14" si="92">DW11+DX11</f>
        <v>0</v>
      </c>
      <c r="DW11" s="2343">
        <v>0</v>
      </c>
      <c r="DX11" s="2343">
        <v>0</v>
      </c>
      <c r="DY11" s="3211">
        <f t="shared" ref="DY11:DY13" si="93">DZ11+EA11</f>
        <v>0</v>
      </c>
      <c r="DZ11" s="3211">
        <v>0</v>
      </c>
      <c r="EA11" s="4071">
        <v>0</v>
      </c>
      <c r="EB11" s="2343">
        <f t="shared" ref="EB11:EB14" si="94">EC11+ED11</f>
        <v>0</v>
      </c>
      <c r="EC11" s="2343">
        <v>0</v>
      </c>
      <c r="ED11" s="2343">
        <v>0</v>
      </c>
      <c r="EE11" s="2343">
        <f t="shared" ref="EE11:EE14" si="95">EF11+EG11</f>
        <v>0</v>
      </c>
      <c r="EF11" s="2343">
        <v>0</v>
      </c>
      <c r="EG11" s="2343">
        <v>0</v>
      </c>
      <c r="EH11" s="3662">
        <f t="shared" ref="EH11:EH14" si="96">EI11+EJ11</f>
        <v>0</v>
      </c>
      <c r="EI11" s="3662">
        <v>0</v>
      </c>
      <c r="EJ11" s="3662">
        <v>0</v>
      </c>
      <c r="EK11" s="3662">
        <f t="shared" ref="EK11:EK14" si="97">EL11+EM11</f>
        <v>0</v>
      </c>
      <c r="EL11" s="3662">
        <v>0</v>
      </c>
      <c r="EM11" s="3662">
        <v>0</v>
      </c>
    </row>
    <row r="12" spans="1:143" s="385" customFormat="1" ht="21" customHeight="1" x14ac:dyDescent="0.2">
      <c r="A12" s="3191" t="s">
        <v>3</v>
      </c>
      <c r="B12" s="3289">
        <v>430.7</v>
      </c>
      <c r="C12" s="2110">
        <v>299.2</v>
      </c>
      <c r="D12" s="3079">
        <f t="shared" si="51"/>
        <v>69.468307406547481</v>
      </c>
      <c r="E12" s="2110">
        <v>196.7</v>
      </c>
      <c r="F12" s="3079">
        <f t="shared" si="52"/>
        <v>65.741978609625662</v>
      </c>
      <c r="G12" s="2110">
        <v>430.7</v>
      </c>
      <c r="H12" s="3079">
        <f t="shared" si="53"/>
        <v>218.96288764616165</v>
      </c>
      <c r="I12" s="3291">
        <v>477.1</v>
      </c>
      <c r="J12" s="3291">
        <v>283.5</v>
      </c>
      <c r="K12" s="3291">
        <v>89</v>
      </c>
      <c r="L12" s="3291">
        <v>94.7</v>
      </c>
      <c r="M12" s="3308">
        <f t="shared" si="54"/>
        <v>19.849088241458812</v>
      </c>
      <c r="N12" s="3308">
        <f t="shared" si="55"/>
        <v>21.987462270722084</v>
      </c>
      <c r="O12" s="3291">
        <v>524.79999999999995</v>
      </c>
      <c r="P12" s="3308">
        <f t="shared" si="56"/>
        <v>109.99790400335358</v>
      </c>
      <c r="Q12" s="3309">
        <v>124.5</v>
      </c>
      <c r="R12" s="3308">
        <f t="shared" si="65"/>
        <v>26.095158247746802</v>
      </c>
      <c r="S12" s="3308">
        <f t="shared" si="66"/>
        <v>131.46779303062303</v>
      </c>
      <c r="T12" s="3291" t="e">
        <f>Q12/Q87*T87</f>
        <v>#REF!</v>
      </c>
      <c r="U12" s="3291" t="e">
        <f t="shared" si="67"/>
        <v>#REF!</v>
      </c>
      <c r="V12" s="3291">
        <v>9.9</v>
      </c>
      <c r="W12" s="3291">
        <v>20</v>
      </c>
      <c r="X12" s="3291">
        <v>0</v>
      </c>
      <c r="Y12" s="1597">
        <v>478</v>
      </c>
      <c r="Z12" s="1591">
        <f t="shared" si="57"/>
        <v>3.8393574297188753</v>
      </c>
      <c r="AA12" s="1597">
        <v>0</v>
      </c>
      <c r="AB12" s="1591">
        <f t="shared" si="1"/>
        <v>0</v>
      </c>
      <c r="AC12" s="1597" t="e">
        <f t="shared" si="58"/>
        <v>#REF!</v>
      </c>
      <c r="AD12" s="1597" t="e">
        <f t="shared" si="68"/>
        <v>#REF!</v>
      </c>
      <c r="AE12" s="1597">
        <f>SUM(AF12:AG12)</f>
        <v>84.7</v>
      </c>
      <c r="AF12" s="1597">
        <v>84.7</v>
      </c>
      <c r="AG12" s="1597">
        <v>0</v>
      </c>
      <c r="AH12" s="1598">
        <f t="shared" si="59"/>
        <v>278</v>
      </c>
      <c r="AI12" s="1592"/>
      <c r="AJ12" s="1597">
        <v>278</v>
      </c>
      <c r="AK12" s="1597">
        <v>0</v>
      </c>
      <c r="AL12" s="1598">
        <f t="shared" si="61"/>
        <v>0</v>
      </c>
      <c r="AM12" s="1592"/>
      <c r="AN12" s="1597">
        <v>0</v>
      </c>
      <c r="AO12" s="1597">
        <v>0</v>
      </c>
      <c r="AP12" s="1593">
        <f t="shared" si="63"/>
        <v>-478</v>
      </c>
      <c r="AQ12" s="1593">
        <f>AP12</f>
        <v>-478</v>
      </c>
      <c r="AR12" s="1593">
        <f t="shared" si="64"/>
        <v>0</v>
      </c>
      <c r="AS12" s="1593">
        <f t="shared" si="2"/>
        <v>-478</v>
      </c>
      <c r="AT12" s="1597">
        <f>SUM(AU12:AV12)</f>
        <v>20.11</v>
      </c>
      <c r="AU12" s="1597">
        <v>20.11</v>
      </c>
      <c r="AV12" s="1597">
        <v>0</v>
      </c>
      <c r="AW12" s="1597">
        <f t="shared" si="69"/>
        <v>50.2</v>
      </c>
      <c r="AX12" s="1597">
        <v>50.2</v>
      </c>
      <c r="AY12" s="1597"/>
      <c r="AZ12" s="1598">
        <f>SUM(BB12:BC12)</f>
        <v>84.7</v>
      </c>
      <c r="BA12" s="1594"/>
      <c r="BB12" s="1597">
        <f>SUM(AF12)</f>
        <v>84.7</v>
      </c>
      <c r="BC12" s="1597">
        <v>0</v>
      </c>
      <c r="BD12" s="1598">
        <f>SUM(BE12:BF12)</f>
        <v>0</v>
      </c>
      <c r="BE12" s="1597">
        <v>0</v>
      </c>
      <c r="BF12" s="1597">
        <v>0</v>
      </c>
      <c r="BG12" s="1597">
        <f t="shared" si="71"/>
        <v>45.07</v>
      </c>
      <c r="BH12" s="1597">
        <v>45.07</v>
      </c>
      <c r="BI12" s="1597">
        <v>0</v>
      </c>
      <c r="BJ12" s="1597">
        <f t="shared" si="72"/>
        <v>209.65</v>
      </c>
      <c r="BK12" s="1597">
        <v>209.65</v>
      </c>
      <c r="BL12" s="1597">
        <v>0</v>
      </c>
      <c r="BM12" s="1597">
        <f t="shared" si="73"/>
        <v>0</v>
      </c>
      <c r="BN12" s="1597">
        <v>0</v>
      </c>
      <c r="BO12" s="1597">
        <v>0</v>
      </c>
      <c r="BP12" s="1597">
        <f t="shared" si="74"/>
        <v>27.13</v>
      </c>
      <c r="BQ12" s="1597">
        <v>27.13</v>
      </c>
      <c r="BR12" s="1597">
        <v>0</v>
      </c>
      <c r="BS12" s="1597">
        <f t="shared" si="75"/>
        <v>131.51</v>
      </c>
      <c r="BT12" s="1597">
        <v>131.51</v>
      </c>
      <c r="BU12" s="1597">
        <v>0</v>
      </c>
      <c r="BV12" s="1597">
        <f>BW12</f>
        <v>0</v>
      </c>
      <c r="BW12" s="1597">
        <v>0</v>
      </c>
      <c r="BX12" s="1597">
        <f>BV12/$BV$87*$BX$87</f>
        <v>0</v>
      </c>
      <c r="BY12" s="1597">
        <f>BZ12</f>
        <v>27.13</v>
      </c>
      <c r="BZ12" s="1597">
        <f>SUM('рем программа'!I27:J27)</f>
        <v>27.13</v>
      </c>
      <c r="CA12" s="1597">
        <f>BY12/$BV$87*$BX$87</f>
        <v>1.3111666274453669E-2</v>
      </c>
      <c r="CB12" s="3286" t="s">
        <v>1489</v>
      </c>
      <c r="CC12" s="365"/>
      <c r="CD12" s="365"/>
      <c r="CE12" s="365"/>
      <c r="CF12" s="1597">
        <f>SUM('рем программа'!K27)</f>
        <v>0</v>
      </c>
      <c r="CG12" s="1597">
        <v>0</v>
      </c>
      <c r="CH12" s="1597">
        <v>0</v>
      </c>
      <c r="CI12" s="1597">
        <f t="shared" si="79"/>
        <v>0</v>
      </c>
      <c r="CJ12" s="1597">
        <f>SUM('рем программа'!L27)</f>
        <v>0</v>
      </c>
      <c r="CK12" s="1597">
        <v>0</v>
      </c>
      <c r="CL12" s="1597">
        <f t="shared" si="80"/>
        <v>0</v>
      </c>
      <c r="CM12" s="1597">
        <f>SUM('рем программа'!M27)</f>
        <v>0</v>
      </c>
      <c r="CN12" s="1597">
        <v>0</v>
      </c>
      <c r="CO12" s="1597">
        <f t="shared" si="81"/>
        <v>0</v>
      </c>
      <c r="CP12" s="1597">
        <f>SUM('рем программа'!N27)</f>
        <v>0</v>
      </c>
      <c r="CQ12" s="1597">
        <v>0</v>
      </c>
      <c r="CR12" s="1597">
        <f t="shared" si="82"/>
        <v>144.47854080000002</v>
      </c>
      <c r="CS12" s="1597">
        <f>SUM('рем программа'!O27)</f>
        <v>144.47854080000002</v>
      </c>
      <c r="CT12" s="1597">
        <v>0</v>
      </c>
      <c r="CU12" s="1597">
        <f t="shared" si="83"/>
        <v>0</v>
      </c>
      <c r="CV12" s="1597">
        <f>SUM('рем программа'!P27)</f>
        <v>0</v>
      </c>
      <c r="CW12" s="1597">
        <v>0</v>
      </c>
      <c r="CX12" s="1597">
        <f t="shared" si="84"/>
        <v>0</v>
      </c>
      <c r="CY12" s="1597">
        <f>SUM('рем программа'!Q27)</f>
        <v>0</v>
      </c>
      <c r="CZ12" s="1597">
        <v>0</v>
      </c>
      <c r="DA12" s="1597">
        <f t="shared" si="85"/>
        <v>0</v>
      </c>
      <c r="DB12" s="1597">
        <f>SUM('рем программа'!R27)</f>
        <v>0</v>
      </c>
      <c r="DC12" s="1597">
        <v>0</v>
      </c>
      <c r="DD12" s="1597">
        <f t="shared" si="86"/>
        <v>0</v>
      </c>
      <c r="DE12" s="1597">
        <f>SUM('рем программа'!S27)</f>
        <v>0</v>
      </c>
      <c r="DF12" s="1597">
        <v>0</v>
      </c>
      <c r="DG12" s="1597">
        <f t="shared" si="87"/>
        <v>149.37615</v>
      </c>
      <c r="DH12" s="1597">
        <f>SUM('рем программа'!T27)</f>
        <v>149.37615</v>
      </c>
      <c r="DI12" s="1597">
        <v>0</v>
      </c>
      <c r="DJ12" s="1597">
        <f t="shared" si="88"/>
        <v>0</v>
      </c>
      <c r="DK12" s="1597">
        <f>SUM('рем программа'!U27)</f>
        <v>0</v>
      </c>
      <c r="DL12" s="1597">
        <v>0</v>
      </c>
      <c r="DM12" s="1597">
        <f t="shared" si="89"/>
        <v>0</v>
      </c>
      <c r="DN12" s="1597">
        <f>SUM('рем программа'!V27)</f>
        <v>0</v>
      </c>
      <c r="DO12" s="1597">
        <v>0</v>
      </c>
      <c r="DP12" s="1597">
        <f t="shared" si="90"/>
        <v>6.5339999999999998</v>
      </c>
      <c r="DQ12" s="1597">
        <f>SUM('рем программа'!W27)</f>
        <v>6.5339999999999998</v>
      </c>
      <c r="DR12" s="1597">
        <v>0</v>
      </c>
      <c r="DS12" s="1597">
        <f t="shared" si="91"/>
        <v>18.009</v>
      </c>
      <c r="DT12" s="1597">
        <f>SUM('рем программа'!X27)</f>
        <v>18.009</v>
      </c>
      <c r="DU12" s="1597">
        <v>0</v>
      </c>
      <c r="DV12" s="2343">
        <f t="shared" si="92"/>
        <v>153.86679000000001</v>
      </c>
      <c r="DW12" s="2343">
        <f>SUM('рем программа'!Y27)</f>
        <v>153.86679000000001</v>
      </c>
      <c r="DX12" s="2343">
        <v>0</v>
      </c>
      <c r="DY12" s="3211">
        <f t="shared" si="93"/>
        <v>0</v>
      </c>
      <c r="DZ12" s="3211">
        <f>SUM('рем программа'!AJ27)</f>
        <v>0</v>
      </c>
      <c r="EA12" s="4071">
        <v>0</v>
      </c>
      <c r="EB12" s="2343">
        <f t="shared" si="94"/>
        <v>153.86679000000001</v>
      </c>
      <c r="EC12" s="2343">
        <f>SUM('рем программа'!Y27)</f>
        <v>153.86679000000001</v>
      </c>
      <c r="ED12" s="2343">
        <v>0</v>
      </c>
      <c r="EE12" s="2343">
        <f t="shared" si="95"/>
        <v>0</v>
      </c>
      <c r="EF12" s="2343">
        <f>SUM('рем программа'!Z27)</f>
        <v>0</v>
      </c>
      <c r="EG12" s="2343">
        <v>0</v>
      </c>
      <c r="EH12" s="3662">
        <f t="shared" si="96"/>
        <v>50.427999999999997</v>
      </c>
      <c r="EI12" s="3662">
        <f>SUM('рем программа'!AA27)</f>
        <v>50.427999999999997</v>
      </c>
      <c r="EJ12" s="3662">
        <v>0</v>
      </c>
      <c r="EK12" s="3662">
        <f t="shared" si="97"/>
        <v>3883.761</v>
      </c>
      <c r="EL12" s="3662">
        <f>SUM('рем программа'!AB27)</f>
        <v>3883.761</v>
      </c>
      <c r="EM12" s="3662">
        <v>0</v>
      </c>
    </row>
    <row r="13" spans="1:143" ht="21" customHeight="1" x14ac:dyDescent="0.2">
      <c r="A13" s="3191" t="s">
        <v>4</v>
      </c>
      <c r="B13" s="3289">
        <v>3660.5</v>
      </c>
      <c r="C13" s="2110">
        <v>4691.6000000000004</v>
      </c>
      <c r="D13" s="3079">
        <f t="shared" si="51"/>
        <v>128.16828302144515</v>
      </c>
      <c r="E13" s="2110">
        <v>5232.7</v>
      </c>
      <c r="F13" s="3079">
        <f t="shared" si="52"/>
        <v>111.53337880467218</v>
      </c>
      <c r="G13" s="2110">
        <v>5489.3</v>
      </c>
      <c r="H13" s="3079">
        <f t="shared" si="53"/>
        <v>104.90377816423644</v>
      </c>
      <c r="I13" s="3291">
        <v>5688.7</v>
      </c>
      <c r="J13" s="3291">
        <v>2902.6</v>
      </c>
      <c r="K13" s="3291">
        <v>3448.6</v>
      </c>
      <c r="L13" s="3291">
        <v>4913.3999999999996</v>
      </c>
      <c r="M13" s="3308">
        <f t="shared" si="54"/>
        <v>86.371227169652116</v>
      </c>
      <c r="N13" s="3308">
        <f t="shared" si="55"/>
        <v>89.508680523928362</v>
      </c>
      <c r="O13" s="3291">
        <v>6949</v>
      </c>
      <c r="P13" s="3308">
        <f t="shared" si="56"/>
        <v>122.15444653435759</v>
      </c>
      <c r="Q13" s="3309">
        <f>ЗП!AP9</f>
        <v>6092.5977000000012</v>
      </c>
      <c r="R13" s="3308">
        <f t="shared" si="65"/>
        <v>107.10000000000002</v>
      </c>
      <c r="S13" s="3308">
        <f t="shared" si="66"/>
        <v>123.99962754915133</v>
      </c>
      <c r="T13" s="3291" t="e">
        <f>Q13/Q87*T87</f>
        <v>#REF!</v>
      </c>
      <c r="U13" s="3291" t="e">
        <f t="shared" si="67"/>
        <v>#REF!</v>
      </c>
      <c r="V13" s="3291">
        <v>4239.5</v>
      </c>
      <c r="W13" s="3291" t="e">
        <f>5586.1*('объемы ВС и ВО 2023'!#REF!-'объемы ВС и ВО 2023'!#REF!)/'объемы ВС и ВО 2023'!#REF!</f>
        <v>#REF!</v>
      </c>
      <c r="X13" s="3291" t="e">
        <f>5586.1-W13</f>
        <v>#REF!</v>
      </c>
      <c r="Y13" s="1597">
        <v>7172.3</v>
      </c>
      <c r="Z13" s="1591">
        <f t="shared" si="57"/>
        <v>1.1772154265166725</v>
      </c>
      <c r="AA13" s="1597">
        <f>ЗП!U25</f>
        <v>6433.7831712000025</v>
      </c>
      <c r="AB13" s="1591">
        <f t="shared" si="1"/>
        <v>1.0560000000000003</v>
      </c>
      <c r="AC13" s="1597" t="e">
        <f t="shared" si="58"/>
        <v>#REF!</v>
      </c>
      <c r="AD13" s="1597" t="e">
        <f t="shared" si="68"/>
        <v>#REF!</v>
      </c>
      <c r="AE13" s="1597">
        <f>SUM(ЗП!AS25)</f>
        <v>6293.5</v>
      </c>
      <c r="AF13" s="1597">
        <f>AE13*AF87/(AF87+AG87)</f>
        <v>6215.902500618965</v>
      </c>
      <c r="AG13" s="1597">
        <f>SUM(AE13-AF13)</f>
        <v>77.59749938103505</v>
      </c>
      <c r="AH13" s="1598">
        <f t="shared" si="59"/>
        <v>6900.59</v>
      </c>
      <c r="AI13" s="1592">
        <f t="shared" si="60"/>
        <v>1.0725555736614809</v>
      </c>
      <c r="AJ13" s="1597">
        <v>6822.04</v>
      </c>
      <c r="AK13" s="1597">
        <v>78.55</v>
      </c>
      <c r="AL13" s="1598">
        <f t="shared" si="61"/>
        <v>5622.7018867924526</v>
      </c>
      <c r="AM13" s="1592">
        <f t="shared" si="62"/>
        <v>0.87393400386288267</v>
      </c>
      <c r="AN13" s="1597">
        <f>ЗП!BB25*AN87/(AN87+AO87)</f>
        <v>5558.6965472312704</v>
      </c>
      <c r="AO13" s="1597">
        <f>-AN13+ЗП!BB25</f>
        <v>64.005339561182154</v>
      </c>
      <c r="AP13" s="1593">
        <f t="shared" si="63"/>
        <v>-738.51682879999771</v>
      </c>
      <c r="AQ13" s="1593" t="e">
        <f t="shared" ref="AQ13:AQ20" si="98">AP13*AC13/AA13</f>
        <v>#REF!</v>
      </c>
      <c r="AR13" s="1593" t="e">
        <f t="shared" si="64"/>
        <v>#REF!</v>
      </c>
      <c r="AS13" s="1593" t="e">
        <f t="shared" si="2"/>
        <v>#REF!</v>
      </c>
      <c r="AT13" s="1597">
        <f>SUM(ЗП!BG25)</f>
        <v>3051.5</v>
      </c>
      <c r="AU13" s="1597">
        <f>AT13*AU87/(AU87+AV87)</f>
        <v>3030.4972519191351</v>
      </c>
      <c r="AV13" s="1597">
        <f>SUM(AT13-AU13)</f>
        <v>21.002748080864876</v>
      </c>
      <c r="AW13" s="1597">
        <f t="shared" si="69"/>
        <v>6226.66</v>
      </c>
      <c r="AX13" s="1597">
        <v>6196.65</v>
      </c>
      <c r="AY13" s="1597">
        <v>30.01</v>
      </c>
      <c r="AZ13" s="1597">
        <v>7590.65</v>
      </c>
      <c r="BA13" s="1594">
        <f t="shared" si="70"/>
        <v>1.3500004362369262</v>
      </c>
      <c r="BB13" s="1597">
        <f>AZ13*BB87/(BB87+BC87)</f>
        <v>7550.109875575874</v>
      </c>
      <c r="BC13" s="1597">
        <f>SUM(AZ13-BB13)</f>
        <v>40.540124424125679</v>
      </c>
      <c r="BD13" s="1597">
        <f>SUM(ЗП!BS25)</f>
        <v>6975.4151999999985</v>
      </c>
      <c r="BE13" s="1597">
        <f>BD13*BE87/(BE87+BF87)</f>
        <v>6938.1609200479606</v>
      </c>
      <c r="BF13" s="1597">
        <f>SUM(BD13-BE13)</f>
        <v>37.254279952037905</v>
      </c>
      <c r="BG13" s="1597">
        <f t="shared" si="71"/>
        <v>6840.58</v>
      </c>
      <c r="BH13" s="1597">
        <v>6835.98</v>
      </c>
      <c r="BI13" s="1597">
        <v>4.5999999999999996</v>
      </c>
      <c r="BJ13" s="1597">
        <f t="shared" si="72"/>
        <v>6200.02</v>
      </c>
      <c r="BK13" s="1597">
        <v>6197.02</v>
      </c>
      <c r="BL13" s="1597">
        <v>3</v>
      </c>
      <c r="BM13" s="1597">
        <f t="shared" si="73"/>
        <v>7614.89</v>
      </c>
      <c r="BN13" s="1597">
        <v>7572.79</v>
      </c>
      <c r="BO13" s="1597">
        <v>42.1</v>
      </c>
      <c r="BP13" s="1597">
        <f t="shared" si="74"/>
        <v>7384.28</v>
      </c>
      <c r="BQ13" s="1597">
        <v>7381.59</v>
      </c>
      <c r="BR13" s="1597">
        <v>2.69</v>
      </c>
      <c r="BS13" s="1597">
        <f t="shared" si="75"/>
        <v>9717.7199999999993</v>
      </c>
      <c r="BT13" s="1597">
        <v>9704.24</v>
      </c>
      <c r="BU13" s="1597">
        <v>13.48</v>
      </c>
      <c r="BV13" s="1597">
        <f>ЗП!CR25</f>
        <v>7837.6569480000007</v>
      </c>
      <c r="BW13" s="1597">
        <f>BV13/$BV$87*$BW$87</f>
        <v>7833.8690842965052</v>
      </c>
      <c r="BX13" s="1597">
        <f>BV13/$BV$87*$BX$87</f>
        <v>3.7878637034953591</v>
      </c>
      <c r="BY13" s="1597">
        <f>SUM(ЗП!CU25)</f>
        <v>8539.7803829250006</v>
      </c>
      <c r="BZ13" s="1597">
        <f>BY13/$BV$87*$BW$87</f>
        <v>8535.6531897647346</v>
      </c>
      <c r="CA13" s="1597">
        <f>BY13/$BV$87*$BX$87</f>
        <v>4.1271931602668186</v>
      </c>
      <c r="CB13" s="3286" t="s">
        <v>960</v>
      </c>
      <c r="CC13" s="365"/>
      <c r="CD13" s="365"/>
      <c r="CE13" s="365"/>
      <c r="CF13" s="1597">
        <f>SUM(ЗП!CX25)</f>
        <v>7992.0587898756003</v>
      </c>
      <c r="CG13" s="1597">
        <f>CF13/CF167*CG167</f>
        <v>7987.9876982920587</v>
      </c>
      <c r="CH13" s="1597">
        <f>CF13/CF167*CH167</f>
        <v>4.0710915835416897</v>
      </c>
      <c r="CI13" s="1597">
        <f t="shared" si="79"/>
        <v>3497.87</v>
      </c>
      <c r="CJ13" s="1597">
        <f>SUM(ЗП!DA25)</f>
        <v>3490.29</v>
      </c>
      <c r="CK13" s="1597">
        <f>SUM(ЗП!DA30)</f>
        <v>7.58</v>
      </c>
      <c r="CL13" s="1597">
        <f t="shared" si="80"/>
        <v>5320.46</v>
      </c>
      <c r="CM13" s="1597">
        <f>SUM(ЗП!DD25)</f>
        <v>5308.94</v>
      </c>
      <c r="CN13" s="1597">
        <f>SUM(ЗП!DD30)</f>
        <v>11.52</v>
      </c>
      <c r="CO13" s="1597">
        <f t="shared" si="81"/>
        <v>7199.77</v>
      </c>
      <c r="CP13" s="1597">
        <f>SUM(ЗП!DG25)</f>
        <v>7185.22</v>
      </c>
      <c r="CQ13" s="1597">
        <f>SUM(ЗП!DG30)</f>
        <v>14.55</v>
      </c>
      <c r="CR13" s="1597">
        <f t="shared" si="82"/>
        <v>10054.11395175</v>
      </c>
      <c r="CS13" s="1597">
        <f>SUM(ЗП!DJ25)</f>
        <v>10034.0057238465</v>
      </c>
      <c r="CT13" s="1597">
        <f>SUM(ЗП!DJ30)</f>
        <v>20.108227903500001</v>
      </c>
      <c r="CU13" s="1597">
        <f t="shared" si="83"/>
        <v>8229.4106339028622</v>
      </c>
      <c r="CV13" s="1597">
        <f>SUM(ЗП!DM25)</f>
        <v>8212.8916339028619</v>
      </c>
      <c r="CW13" s="1597">
        <f>SUM(ЗП!DM30)</f>
        <v>16.518999999999998</v>
      </c>
      <c r="CX13" s="1597">
        <f t="shared" si="84"/>
        <v>3885.5299999999997</v>
      </c>
      <c r="CY13" s="1597">
        <f>SUM(ЗП!DR25)</f>
        <v>3879.08</v>
      </c>
      <c r="CZ13" s="1597">
        <f>SUM(ЗП!DR30)</f>
        <v>6.45</v>
      </c>
      <c r="DA13" s="1597">
        <f t="shared" si="85"/>
        <v>5887.03</v>
      </c>
      <c r="DB13" s="1597">
        <f>SUM(ЗП!DU25)</f>
        <v>5876.23</v>
      </c>
      <c r="DC13" s="1597">
        <f>SUM(ЗП!DU30)-0.01</f>
        <v>10.8</v>
      </c>
      <c r="DD13" s="1597">
        <f t="shared" si="86"/>
        <v>7806.43</v>
      </c>
      <c r="DE13" s="1597">
        <f>SUM(ЗП!DX25)</f>
        <v>7793.8</v>
      </c>
      <c r="DF13" s="1597">
        <f>SUM(ЗП!DX30)</f>
        <v>12.63</v>
      </c>
      <c r="DG13" s="1597">
        <f t="shared" si="87"/>
        <v>10643.367734999996</v>
      </c>
      <c r="DH13" s="1597">
        <f>SUM(ЗП!EA25)</f>
        <v>10622.080999529997</v>
      </c>
      <c r="DI13" s="1597">
        <f>SUM(ЗП!EA30)</f>
        <v>21.286735469999996</v>
      </c>
      <c r="DJ13" s="1597">
        <f t="shared" si="88"/>
        <v>8711.1413570234417</v>
      </c>
      <c r="DK13" s="1597">
        <f>SUM(ЗП!ED25)</f>
        <v>8693.6579075976915</v>
      </c>
      <c r="DL13" s="1597">
        <f>SUM(ЗП!ED30)</f>
        <v>17.483449425749995</v>
      </c>
      <c r="DM13" s="1597">
        <f t="shared" si="89"/>
        <v>4120.2700000000004</v>
      </c>
      <c r="DN13" s="1597">
        <f>SUM(ЗП!EG25)</f>
        <v>4114.5600000000004</v>
      </c>
      <c r="DO13" s="1597">
        <f>SUM(ЗП!EG30)</f>
        <v>5.71</v>
      </c>
      <c r="DP13" s="1597">
        <f t="shared" si="90"/>
        <v>6289.09</v>
      </c>
      <c r="DQ13" s="1597">
        <f>SUM(ЗП!EJ25)</f>
        <v>6279.9350000000004</v>
      </c>
      <c r="DR13" s="1597">
        <f>SUM(ЗП!EJ30)</f>
        <v>9.1549999999999994</v>
      </c>
      <c r="DS13" s="1597">
        <f t="shared" si="91"/>
        <v>8322.8330000000005</v>
      </c>
      <c r="DT13" s="1597">
        <f>SUM(ЗП!EM25)</f>
        <v>8310.7430000000004</v>
      </c>
      <c r="DU13" s="1597">
        <f>SUM(ЗП!EM30)</f>
        <v>12.09</v>
      </c>
      <c r="DV13" s="2343">
        <f t="shared" si="92"/>
        <v>12107.270587500001</v>
      </c>
      <c r="DW13" s="2343">
        <f>SUM(ЗП!EP25)</f>
        <v>12083.056046325</v>
      </c>
      <c r="DX13" s="2343">
        <f>SUM(ЗП!EP30)</f>
        <v>24.214541175000001</v>
      </c>
      <c r="DY13" s="3211">
        <f t="shared" si="93"/>
        <v>10052.295641760025</v>
      </c>
      <c r="DZ13" s="3211">
        <f>SUM(ЗП!ES25)</f>
        <v>10028.629259760026</v>
      </c>
      <c r="EA13" s="4071">
        <f>SUM(ЗП!ES30)</f>
        <v>23.666382000000002</v>
      </c>
      <c r="EB13" s="2343">
        <f t="shared" si="94"/>
        <v>12107.270587500001</v>
      </c>
      <c r="EC13" s="2343">
        <f>SUM(ЗП!EP25)</f>
        <v>12083.056046325</v>
      </c>
      <c r="ED13" s="2343">
        <f>SUM(ЗП!EP30)</f>
        <v>24.214541175000001</v>
      </c>
      <c r="EE13" s="2343">
        <f t="shared" si="95"/>
        <v>10052.295641760025</v>
      </c>
      <c r="EF13" s="2343">
        <f>SUM(ЗП!ES25)</f>
        <v>10028.629259760026</v>
      </c>
      <c r="EG13" s="2343">
        <f>SUM(ЗП!ES30)</f>
        <v>23.666382000000002</v>
      </c>
      <c r="EH13" s="3662">
        <f t="shared" si="96"/>
        <v>5137.3680000000004</v>
      </c>
      <c r="EI13" s="3662">
        <f>SUM(ЗП!EV25)</f>
        <v>5129.2470000000003</v>
      </c>
      <c r="EJ13" s="3662">
        <f>SUM(ЗП!EV30)</f>
        <v>8.1210000000000004</v>
      </c>
      <c r="EK13" s="3662">
        <f t="shared" si="97"/>
        <v>9637.2250000000004</v>
      </c>
      <c r="EL13" s="3662">
        <f>SUM(ЗП!EY25)</f>
        <v>9626.1319999999996</v>
      </c>
      <c r="EM13" s="3662">
        <f>SUM(ЗП!EY30)</f>
        <v>11.093</v>
      </c>
    </row>
    <row r="14" spans="1:143" ht="21" customHeight="1" x14ac:dyDescent="0.2">
      <c r="A14" s="3191" t="s">
        <v>5</v>
      </c>
      <c r="B14" s="3289">
        <v>941.4</v>
      </c>
      <c r="C14" s="2110">
        <v>1188.5999999999999</v>
      </c>
      <c r="D14" s="3079">
        <f t="shared" si="51"/>
        <v>126.25876354365838</v>
      </c>
      <c r="E14" s="2110">
        <v>1266.7</v>
      </c>
      <c r="F14" s="3079">
        <f t="shared" si="52"/>
        <v>106.57075551068485</v>
      </c>
      <c r="G14" s="2110">
        <v>1763.9</v>
      </c>
      <c r="H14" s="3079">
        <f t="shared" si="53"/>
        <v>139.251598642141</v>
      </c>
      <c r="I14" s="3291">
        <f>I13*30.3/100</f>
        <v>1723.6760999999999</v>
      </c>
      <c r="J14" s="3291">
        <v>893.7</v>
      </c>
      <c r="K14" s="3291">
        <v>1027.5999999999999</v>
      </c>
      <c r="L14" s="3291">
        <v>1463.3</v>
      </c>
      <c r="M14" s="3308">
        <f t="shared" si="54"/>
        <v>84.894139914105665</v>
      </c>
      <c r="N14" s="3308">
        <f t="shared" si="55"/>
        <v>82.958217586030941</v>
      </c>
      <c r="O14" s="3291">
        <v>2098.6</v>
      </c>
      <c r="P14" s="3308">
        <f t="shared" si="56"/>
        <v>121.75141257687568</v>
      </c>
      <c r="Q14" s="3309">
        <f>Q13*0.302</f>
        <v>1839.9645054000002</v>
      </c>
      <c r="R14" s="3308">
        <f t="shared" si="65"/>
        <v>106.74653465346537</v>
      </c>
      <c r="S14" s="3308">
        <f t="shared" si="66"/>
        <v>125.74075756167569</v>
      </c>
      <c r="T14" s="3291" t="e">
        <f>Q14/Q87*T87</f>
        <v>#REF!</v>
      </c>
      <c r="U14" s="3291" t="e">
        <f t="shared" si="67"/>
        <v>#REF!</v>
      </c>
      <c r="V14" s="3291">
        <v>1271.0999999999999</v>
      </c>
      <c r="W14" s="3291"/>
      <c r="X14" s="3291"/>
      <c r="Y14" s="1597">
        <v>2166</v>
      </c>
      <c r="Z14" s="1591">
        <f t="shared" si="57"/>
        <v>1.1771966218060934</v>
      </c>
      <c r="AA14" s="1597">
        <f>AA13*V15</f>
        <v>1928.9967658715232</v>
      </c>
      <c r="AB14" s="1591">
        <f t="shared" si="1"/>
        <v>1.0483880315137752</v>
      </c>
      <c r="AC14" s="1597" t="e">
        <f t="shared" si="58"/>
        <v>#REF!</v>
      </c>
      <c r="AD14" s="1597" t="e">
        <f t="shared" si="68"/>
        <v>#REF!</v>
      </c>
      <c r="AE14" s="1597">
        <v>1885.2</v>
      </c>
      <c r="AF14" s="1597">
        <f>AE14*AF87/(AF87+AG87)</f>
        <v>1861.9558900718</v>
      </c>
      <c r="AG14" s="1597">
        <f>SUM(AE14-AF14)</f>
        <v>23.244109928200032</v>
      </c>
      <c r="AH14" s="1598">
        <f t="shared" si="59"/>
        <v>2077.0699999999997</v>
      </c>
      <c r="AI14" s="1592">
        <f t="shared" si="60"/>
        <v>1.0767617845442976</v>
      </c>
      <c r="AJ14" s="1597">
        <v>2053.4299999999998</v>
      </c>
      <c r="AK14" s="1597">
        <v>23.64</v>
      </c>
      <c r="AL14" s="1598">
        <f t="shared" si="61"/>
        <v>1685.815867036652</v>
      </c>
      <c r="AM14" s="1592">
        <f t="shared" si="62"/>
        <v>0.87393400386288267</v>
      </c>
      <c r="AN14" s="1597">
        <f>AN13*AA15</f>
        <v>1666.6255882027756</v>
      </c>
      <c r="AO14" s="1597">
        <f>AO13*AA15</f>
        <v>19.190278833876313</v>
      </c>
      <c r="AP14" s="1593">
        <f t="shared" si="63"/>
        <v>-237.00323412847683</v>
      </c>
      <c r="AQ14" s="1593" t="e">
        <f t="shared" si="98"/>
        <v>#REF!</v>
      </c>
      <c r="AR14" s="1593" t="e">
        <f t="shared" si="64"/>
        <v>#REF!</v>
      </c>
      <c r="AS14" s="1593" t="e">
        <f t="shared" si="2"/>
        <v>#REF!</v>
      </c>
      <c r="AT14" s="1597">
        <v>916.4</v>
      </c>
      <c r="AU14" s="1597">
        <v>910.09</v>
      </c>
      <c r="AV14" s="1597">
        <f>AT14-AU14</f>
        <v>6.3099999999999454</v>
      </c>
      <c r="AW14" s="1597">
        <f t="shared" si="69"/>
        <v>1871.76</v>
      </c>
      <c r="AX14" s="1597">
        <v>1862.74</v>
      </c>
      <c r="AY14" s="1597">
        <v>9.02</v>
      </c>
      <c r="AZ14" s="1598">
        <f t="shared" ref="AZ14" si="99">SUM(BB14+BC14)</f>
        <v>2284.7773009988996</v>
      </c>
      <c r="BA14" s="1594">
        <f t="shared" si="70"/>
        <v>1.3552946947967155</v>
      </c>
      <c r="BB14" s="1597">
        <f>SUM(BB13*AH15)</f>
        <v>2272.5747681375619</v>
      </c>
      <c r="BC14" s="1597">
        <f>SUM(BC13*AH15)</f>
        <v>12.202532861337756</v>
      </c>
      <c r="BD14" s="1598">
        <f t="shared" ref="BD14" si="100">SUM(BE14+BF14)</f>
        <v>2099.5923028993166</v>
      </c>
      <c r="BE14" s="1597">
        <f>SUM(BE13*AZ15)</f>
        <v>2088.3788056099575</v>
      </c>
      <c r="BF14" s="1597">
        <f>SUM(BF13*AZ15)</f>
        <v>11.213497289359223</v>
      </c>
      <c r="BG14" s="1597">
        <f t="shared" si="71"/>
        <v>2063.7199999999998</v>
      </c>
      <c r="BH14" s="1597">
        <v>2062.33</v>
      </c>
      <c r="BI14" s="1597">
        <v>1.39</v>
      </c>
      <c r="BJ14" s="1597">
        <f t="shared" si="72"/>
        <v>1863.0900000000001</v>
      </c>
      <c r="BK14" s="1597">
        <v>1862.19</v>
      </c>
      <c r="BL14" s="1597">
        <v>0.9</v>
      </c>
      <c r="BM14" s="1597">
        <f t="shared" si="73"/>
        <v>2292.08</v>
      </c>
      <c r="BN14" s="1597">
        <v>2279.41</v>
      </c>
      <c r="BO14" s="1597">
        <v>12.67</v>
      </c>
      <c r="BP14" s="1597">
        <f t="shared" si="74"/>
        <v>2237.61</v>
      </c>
      <c r="BQ14" s="1597">
        <v>2236.8000000000002</v>
      </c>
      <c r="BR14" s="1597">
        <v>0.81</v>
      </c>
      <c r="BS14" s="1597">
        <f t="shared" si="75"/>
        <v>2925.04</v>
      </c>
      <c r="BT14" s="1597">
        <v>2920.98</v>
      </c>
      <c r="BU14" s="1597">
        <v>4.0599999999999996</v>
      </c>
      <c r="BV14" s="1597">
        <f>BV13*BS15</f>
        <v>2359.1398063720626</v>
      </c>
      <c r="BW14" s="1597">
        <f>BV14/$BV$87*$BW$87</f>
        <v>2357.9996569494333</v>
      </c>
      <c r="BX14" s="1597">
        <f>BV14/$BV$87*$BX$87</f>
        <v>1.1401494226291831</v>
      </c>
      <c r="BY14" s="1597">
        <f>SUM(BY13*BY15)</f>
        <v>2587.7537122965018</v>
      </c>
      <c r="BZ14" s="1597">
        <f t="shared" ref="BZ14:CA14" si="101">SUM(BZ13*BZ15)</f>
        <v>2586.5030759870251</v>
      </c>
      <c r="CA14" s="1597">
        <f t="shared" si="101"/>
        <v>1.250636309476975</v>
      </c>
      <c r="CB14" s="3286" t="s">
        <v>239</v>
      </c>
      <c r="CC14" s="365"/>
      <c r="CD14" s="365"/>
      <c r="CE14" s="365"/>
      <c r="CF14" s="1597">
        <f>SUM(CF13*CF15)</f>
        <v>2405.6148605575918</v>
      </c>
      <c r="CG14" s="1597">
        <f t="shared" ref="CG14:CH14" si="102">SUM(CG13*CG15)</f>
        <v>2404.3894593600348</v>
      </c>
      <c r="CH14" s="1597">
        <f t="shared" si="102"/>
        <v>1.2254011975569148</v>
      </c>
      <c r="CI14" s="1597">
        <f t="shared" si="79"/>
        <v>1064.75</v>
      </c>
      <c r="CJ14" s="1597">
        <v>1062.47</v>
      </c>
      <c r="CK14" s="1597">
        <v>2.2799999999999998</v>
      </c>
      <c r="CL14" s="1597">
        <f t="shared" si="80"/>
        <v>1613.75</v>
      </c>
      <c r="CM14" s="1597">
        <v>1610.28</v>
      </c>
      <c r="CN14" s="1597">
        <v>3.47</v>
      </c>
      <c r="CO14" s="1597">
        <f t="shared" si="81"/>
        <v>2179.3799999999997</v>
      </c>
      <c r="CP14" s="1597">
        <v>2174.9899999999998</v>
      </c>
      <c r="CQ14" s="1597">
        <v>4.3899999999999997</v>
      </c>
      <c r="CR14" s="1597">
        <f t="shared" si="82"/>
        <v>3026.2929999999997</v>
      </c>
      <c r="CS14" s="1597">
        <v>3020.24</v>
      </c>
      <c r="CT14" s="1597">
        <v>6.0529999999999999</v>
      </c>
      <c r="CU14" s="1597">
        <f>SUM(CU13*CU15)</f>
        <v>2477.0579189965574</v>
      </c>
      <c r="CV14" s="1597">
        <f t="shared" ref="CV14:CW14" si="103">SUM(CV13*CV15)</f>
        <v>2472.0856893212836</v>
      </c>
      <c r="CW14" s="1597">
        <f t="shared" si="103"/>
        <v>4.9722296752736233</v>
      </c>
      <c r="CX14" s="1597">
        <f t="shared" si="84"/>
        <v>1169.7250000000001</v>
      </c>
      <c r="CY14" s="1597">
        <v>1167.7750000000001</v>
      </c>
      <c r="CZ14" s="1597">
        <v>1.95</v>
      </c>
      <c r="DA14" s="1597">
        <f t="shared" si="85"/>
        <v>1773.402</v>
      </c>
      <c r="DB14" s="1597">
        <v>1770.134</v>
      </c>
      <c r="DC14" s="1597">
        <v>3.2679999999999998</v>
      </c>
      <c r="DD14" s="1597">
        <f t="shared" si="86"/>
        <v>2346.36</v>
      </c>
      <c r="DE14" s="1597">
        <v>2342.54</v>
      </c>
      <c r="DF14" s="1597">
        <v>3.82</v>
      </c>
      <c r="DG14" s="1597">
        <f t="shared" si="87"/>
        <v>3203.6579999999999</v>
      </c>
      <c r="DH14" s="1597">
        <v>3197.25</v>
      </c>
      <c r="DI14" s="1597">
        <v>6.4080000000000004</v>
      </c>
      <c r="DJ14" s="1597">
        <f>SUM(DJ13*DJ15)</f>
        <v>2622.0591779705373</v>
      </c>
      <c r="DK14" s="1597">
        <f t="shared" ref="DK14:DL14" si="104">SUM(DK13*DK15)</f>
        <v>2616.7966483948444</v>
      </c>
      <c r="DL14" s="1597">
        <f t="shared" si="104"/>
        <v>5.2625295756922164</v>
      </c>
      <c r="DM14" s="1597">
        <f t="shared" si="89"/>
        <v>1227.55</v>
      </c>
      <c r="DN14" s="1597">
        <v>1225.825</v>
      </c>
      <c r="DO14" s="1597">
        <v>1.7250000000000001</v>
      </c>
      <c r="DP14" s="1597">
        <f t="shared" si="90"/>
        <v>1876.7650000000001</v>
      </c>
      <c r="DQ14" s="1597">
        <v>1874</v>
      </c>
      <c r="DR14" s="1597">
        <v>2.7650000000000001</v>
      </c>
      <c r="DS14" s="1597">
        <f t="shared" si="91"/>
        <v>2482.7199999999998</v>
      </c>
      <c r="DT14" s="1597">
        <v>2479.069</v>
      </c>
      <c r="DU14" s="1597">
        <v>3.6509999999999998</v>
      </c>
      <c r="DV14" s="2343">
        <f t="shared" si="92"/>
        <v>3644.2890000000002</v>
      </c>
      <c r="DW14" s="2343">
        <v>3637</v>
      </c>
      <c r="DX14" s="2343">
        <v>7.2889999999999997</v>
      </c>
      <c r="DY14" s="3211">
        <f>SUM(DY13*DY15)</f>
        <v>3023.6456547774214</v>
      </c>
      <c r="DZ14" s="3211">
        <f t="shared" ref="DZ14:EA14" si="105">SUM(DZ13*DZ15)</f>
        <v>3041.7859485716917</v>
      </c>
      <c r="EA14" s="4071">
        <f t="shared" si="105"/>
        <v>7.1783635917829178</v>
      </c>
      <c r="EB14" s="2343">
        <f t="shared" si="94"/>
        <v>3644.2890000000002</v>
      </c>
      <c r="EC14" s="2343">
        <v>3637</v>
      </c>
      <c r="ED14" s="2343">
        <v>7.2889999999999997</v>
      </c>
      <c r="EE14" s="2343">
        <f t="shared" si="95"/>
        <v>3025.7456868664458</v>
      </c>
      <c r="EF14" s="2343">
        <v>3018.6220957963501</v>
      </c>
      <c r="EG14" s="2343">
        <v>7.1235910700954896</v>
      </c>
      <c r="EH14" s="3662">
        <f t="shared" si="96"/>
        <v>1542.7839999999999</v>
      </c>
      <c r="EI14" s="3662">
        <v>1540.3309999999999</v>
      </c>
      <c r="EJ14" s="3662">
        <v>2.4529999999999998</v>
      </c>
      <c r="EK14" s="3662">
        <f t="shared" si="97"/>
        <v>2894.4670000000001</v>
      </c>
      <c r="EL14" s="3662">
        <v>2891.116</v>
      </c>
      <c r="EM14" s="3662">
        <v>3.351</v>
      </c>
    </row>
    <row r="15" spans="1:143" s="181" customFormat="1" ht="21" customHeight="1" x14ac:dyDescent="0.2">
      <c r="A15" s="3195" t="s">
        <v>308</v>
      </c>
      <c r="B15" s="3088"/>
      <c r="C15" s="3079"/>
      <c r="D15" s="3079"/>
      <c r="E15" s="3310">
        <f t="shared" ref="E15:K15" si="106">E14/E13</f>
        <v>0.24207388155254458</v>
      </c>
      <c r="F15" s="3310">
        <f t="shared" si="106"/>
        <v>0.95550548770984201</v>
      </c>
      <c r="G15" s="3310">
        <f t="shared" si="106"/>
        <v>0.32133423205144557</v>
      </c>
      <c r="H15" s="3310"/>
      <c r="I15" s="3310">
        <f t="shared" si="106"/>
        <v>0.30299999999999999</v>
      </c>
      <c r="J15" s="3310">
        <f t="shared" si="106"/>
        <v>0.30789636877282439</v>
      </c>
      <c r="K15" s="3310">
        <f t="shared" si="106"/>
        <v>0.29797599025691585</v>
      </c>
      <c r="L15" s="3310">
        <f>L14/L13</f>
        <v>0.29781821142182602</v>
      </c>
      <c r="M15" s="3308"/>
      <c r="N15" s="3308"/>
      <c r="O15" s="3308"/>
      <c r="P15" s="3308"/>
      <c r="Q15" s="3311">
        <f>Q14/Q13</f>
        <v>0.30199999999999999</v>
      </c>
      <c r="R15" s="3308"/>
      <c r="S15" s="3308"/>
      <c r="T15" s="3308"/>
      <c r="U15" s="3308"/>
      <c r="V15" s="3310">
        <f>V14/V13</f>
        <v>0.29982309234579546</v>
      </c>
      <c r="W15" s="3310"/>
      <c r="X15" s="3308"/>
      <c r="Y15" s="1599">
        <f>Y14/Y13</f>
        <v>0.30199517588500202</v>
      </c>
      <c r="Z15" s="1591">
        <f t="shared" si="57"/>
        <v>0.99998402610927828</v>
      </c>
      <c r="AA15" s="1599">
        <f>AA14/AA13</f>
        <v>0.29982309234579546</v>
      </c>
      <c r="AB15" s="1591"/>
      <c r="AC15" s="1600"/>
      <c r="AD15" s="1600"/>
      <c r="AE15" s="1599">
        <f>AE14/AE13</f>
        <v>0.29954715182330977</v>
      </c>
      <c r="AF15" s="1599">
        <f>AF14/AF13</f>
        <v>0.29954715182330977</v>
      </c>
      <c r="AG15" s="1599">
        <f>AG14/AG13</f>
        <v>0.29954715182330899</v>
      </c>
      <c r="AH15" s="1599">
        <f>SUM(AH14/AH13)</f>
        <v>0.30099890009404989</v>
      </c>
      <c r="AI15" s="1592"/>
      <c r="AJ15" s="1599">
        <f>SUM(AJ14/AJ13)</f>
        <v>0.30099940780177187</v>
      </c>
      <c r="AK15" s="1599">
        <f>SUM(AK14/AK13)</f>
        <v>0.30095480585614259</v>
      </c>
      <c r="AL15" s="1599">
        <f>SUM(AL14/AL13)</f>
        <v>0.29982309234579546</v>
      </c>
      <c r="AM15" s="1592">
        <f t="shared" si="62"/>
        <v>1</v>
      </c>
      <c r="AN15" s="1599">
        <f>AN14/AN13</f>
        <v>0.29982309234579546</v>
      </c>
      <c r="AO15" s="1599">
        <f>AO14/AO13</f>
        <v>0.29982309234579546</v>
      </c>
      <c r="AP15" s="1593">
        <f t="shared" si="63"/>
        <v>-2.1720835392065596E-3</v>
      </c>
      <c r="AQ15" s="1593">
        <f t="shared" si="98"/>
        <v>0</v>
      </c>
      <c r="AR15" s="1593">
        <f t="shared" si="64"/>
        <v>-2.1720835392065596E-3</v>
      </c>
      <c r="AS15" s="1593">
        <f t="shared" si="2"/>
        <v>-2.1720835392065596E-3</v>
      </c>
      <c r="AT15" s="1599">
        <f>AT14/AT13</f>
        <v>0.30031132230050794</v>
      </c>
      <c r="AU15" s="1599">
        <f t="shared" ref="AU15:AV15" si="107">AU14/AU13</f>
        <v>0.3003104521621538</v>
      </c>
      <c r="AV15" s="1599">
        <f t="shared" si="107"/>
        <v>0.30043687500822058</v>
      </c>
      <c r="AW15" s="1599">
        <f>AW14/AW13</f>
        <v>0.30060417623573471</v>
      </c>
      <c r="AX15" s="1599">
        <f t="shared" ref="AX15:AY15" si="108">AX14/AX13</f>
        <v>0.30060435880677466</v>
      </c>
      <c r="AY15" s="1599">
        <f t="shared" si="108"/>
        <v>0.30056647784071971</v>
      </c>
      <c r="AZ15" s="1599">
        <f>SUM(AZ14/AZ13)</f>
        <v>0.30099890009404989</v>
      </c>
      <c r="BA15" s="1594">
        <f t="shared" si="70"/>
        <v>1.0039216717400083</v>
      </c>
      <c r="BB15" s="1599">
        <f>SUM(BB14/BB13)</f>
        <v>0.30099890009404989</v>
      </c>
      <c r="BC15" s="1599">
        <f>SUM(BC14/BC13)</f>
        <v>0.30099890009404989</v>
      </c>
      <c r="BD15" s="1599">
        <f>SUM(BD14/BD13)</f>
        <v>0.30099890009404989</v>
      </c>
      <c r="BE15" s="1599">
        <f t="shared" ref="BE15:BX15" si="109">SUM(BE14/BE13)</f>
        <v>0.30099890009404989</v>
      </c>
      <c r="BF15" s="1599">
        <f t="shared" si="109"/>
        <v>0.30099890009404989</v>
      </c>
      <c r="BG15" s="1599">
        <f t="shared" si="109"/>
        <v>0.30168786857254792</v>
      </c>
      <c r="BH15" s="1599">
        <f t="shared" si="109"/>
        <v>0.30168754150831339</v>
      </c>
      <c r="BI15" s="1599">
        <f t="shared" si="109"/>
        <v>0.30217391304347824</v>
      </c>
      <c r="BJ15" s="1599">
        <f t="shared" si="109"/>
        <v>0.30049741775026534</v>
      </c>
      <c r="BK15" s="1599">
        <f t="shared" si="109"/>
        <v>0.30049765855201371</v>
      </c>
      <c r="BL15" s="1599">
        <f t="shared" si="109"/>
        <v>0.3</v>
      </c>
      <c r="BM15" s="1599">
        <f t="shared" ref="BM15:BO15" si="110">SUM(BM14/BM13)</f>
        <v>0.30099975180206145</v>
      </c>
      <c r="BN15" s="1599">
        <f t="shared" si="110"/>
        <v>0.30100002773086271</v>
      </c>
      <c r="BO15" s="1599">
        <f t="shared" si="110"/>
        <v>0.30095011876484562</v>
      </c>
      <c r="BP15" s="1599">
        <f t="shared" ref="BP15:BR15" si="111">SUM(BP14/BP13)</f>
        <v>0.30302344981501245</v>
      </c>
      <c r="BQ15" s="1599">
        <f t="shared" si="111"/>
        <v>0.3030241452044885</v>
      </c>
      <c r="BR15" s="1599">
        <f t="shared" si="111"/>
        <v>0.30111524163568776</v>
      </c>
      <c r="BS15" s="1599">
        <f t="shared" si="109"/>
        <v>0.30100064624212264</v>
      </c>
      <c r="BT15" s="1599">
        <f t="shared" si="109"/>
        <v>0.30100038745950225</v>
      </c>
      <c r="BU15" s="1599">
        <f t="shared" si="109"/>
        <v>0.301186943620178</v>
      </c>
      <c r="BV15" s="1599">
        <f t="shared" si="109"/>
        <v>0.30100064624212264</v>
      </c>
      <c r="BW15" s="1599">
        <f t="shared" si="109"/>
        <v>0.30100064624212258</v>
      </c>
      <c r="BX15" s="1599">
        <f t="shared" si="109"/>
        <v>0.30100064624212264</v>
      </c>
      <c r="BY15" s="1599">
        <f>SUM(BP15)</f>
        <v>0.30302344981501245</v>
      </c>
      <c r="BZ15" s="1599">
        <f>SUM(BY15)</f>
        <v>0.30302344981501245</v>
      </c>
      <c r="CA15" s="1599">
        <f>SUM(BY15)</f>
        <v>0.30302344981501245</v>
      </c>
      <c r="CB15" s="3312"/>
      <c r="CC15" s="3313"/>
      <c r="CD15" s="3313"/>
      <c r="CE15" s="3313"/>
      <c r="CF15" s="1599">
        <f>SUM(BW15)</f>
        <v>0.30100064624212258</v>
      </c>
      <c r="CG15" s="1599">
        <f>SUM(CF15)</f>
        <v>0.30100064624212258</v>
      </c>
      <c r="CH15" s="1599">
        <f>SUM(CF15)</f>
        <v>0.30100064624212258</v>
      </c>
      <c r="CI15" s="1599">
        <f>SUM(CI14/CI13)</f>
        <v>0.30439953457389785</v>
      </c>
      <c r="CJ15" s="1599">
        <f t="shared" ref="CJ15:CQ15" si="112">SUM(CJ14/CJ13)</f>
        <v>0.30440737016121872</v>
      </c>
      <c r="CK15" s="1599">
        <f t="shared" si="112"/>
        <v>0.30079155672823216</v>
      </c>
      <c r="CL15" s="1599">
        <f t="shared" si="112"/>
        <v>0.30331024009202212</v>
      </c>
      <c r="CM15" s="1599">
        <f t="shared" si="112"/>
        <v>0.30331478600247885</v>
      </c>
      <c r="CN15" s="1599">
        <f t="shared" si="112"/>
        <v>0.30121527777777779</v>
      </c>
      <c r="CO15" s="1599">
        <f t="shared" si="112"/>
        <v>0.30270133629268708</v>
      </c>
      <c r="CP15" s="1599">
        <f t="shared" si="112"/>
        <v>0.30270332710759024</v>
      </c>
      <c r="CQ15" s="1599">
        <f t="shared" si="112"/>
        <v>0.30171821305841923</v>
      </c>
      <c r="CR15" s="1599">
        <f t="shared" ref="CR15:CT15" si="113">SUM(CR14/CR13)</f>
        <v>0.30100046752237664</v>
      </c>
      <c r="CS15" s="1599">
        <f t="shared" si="113"/>
        <v>0.30100042626268325</v>
      </c>
      <c r="CT15" s="1599">
        <f t="shared" si="113"/>
        <v>0.30102105610939617</v>
      </c>
      <c r="CU15" s="1599">
        <f>SUM(BV15)</f>
        <v>0.30100064624212264</v>
      </c>
      <c r="CV15" s="1599">
        <f>SUM(BW15)</f>
        <v>0.30100064624212258</v>
      </c>
      <c r="CW15" s="1599">
        <f>SUM(BX15)</f>
        <v>0.30100064624212264</v>
      </c>
      <c r="CX15" s="1599">
        <f>SUM(CX14/CX13)</f>
        <v>0.30104644668809666</v>
      </c>
      <c r="CY15" s="1599">
        <f t="shared" ref="CY15:DI15" si="114">SUM(CY14/CY13)</f>
        <v>0.30104431978716606</v>
      </c>
      <c r="CZ15" s="1599">
        <f t="shared" si="114"/>
        <v>0.30232558139534882</v>
      </c>
      <c r="DA15" s="1599">
        <f t="shared" si="114"/>
        <v>0.30123882501023436</v>
      </c>
      <c r="DB15" s="1599">
        <f t="shared" si="114"/>
        <v>0.30123633690308244</v>
      </c>
      <c r="DC15" s="1599">
        <f t="shared" si="114"/>
        <v>0.30259259259259258</v>
      </c>
      <c r="DD15" s="1599">
        <f t="shared" si="114"/>
        <v>0.30056760900949603</v>
      </c>
      <c r="DE15" s="1599">
        <f t="shared" si="114"/>
        <v>0.30056455131001564</v>
      </c>
      <c r="DF15" s="1599">
        <f t="shared" si="114"/>
        <v>0.30245447347585114</v>
      </c>
      <c r="DG15" s="1599">
        <f t="shared" si="114"/>
        <v>0.30100040511284665</v>
      </c>
      <c r="DH15" s="1599">
        <f t="shared" si="114"/>
        <v>0.30100034071868509</v>
      </c>
      <c r="DI15" s="1599">
        <f t="shared" si="114"/>
        <v>0.30103253779946565</v>
      </c>
      <c r="DJ15" s="1599">
        <f>SUM(BV15)</f>
        <v>0.30100064624212264</v>
      </c>
      <c r="DK15" s="1599">
        <f t="shared" ref="DK15:DL15" si="115">SUM(BW15)</f>
        <v>0.30100064624212258</v>
      </c>
      <c r="DL15" s="1599">
        <f t="shared" si="115"/>
        <v>0.30100064624212264</v>
      </c>
      <c r="DM15" s="1599">
        <f t="shared" ref="DM15:DO15" si="116">SUM(DM14/DM13)</f>
        <v>0.29792950461984286</v>
      </c>
      <c r="DN15" s="1599">
        <f t="shared" si="116"/>
        <v>0.2979237148079017</v>
      </c>
      <c r="DO15" s="1599">
        <f t="shared" si="116"/>
        <v>0.30210157618213662</v>
      </c>
      <c r="DP15" s="1599">
        <f t="shared" ref="DP15:DR15" si="117">SUM(DP14/DP13)</f>
        <v>0.2984159870505908</v>
      </c>
      <c r="DQ15" s="1599">
        <f t="shared" si="117"/>
        <v>0.29841073195821294</v>
      </c>
      <c r="DR15" s="1599">
        <f t="shared" si="117"/>
        <v>0.30202075368651016</v>
      </c>
      <c r="DS15" s="1599">
        <f t="shared" ref="DS15:DX15" si="118">SUM(DS14/DS13)</f>
        <v>0.29830227279581362</v>
      </c>
      <c r="DT15" s="1599">
        <f t="shared" si="118"/>
        <v>0.29829691520962687</v>
      </c>
      <c r="DU15" s="1599">
        <f t="shared" si="118"/>
        <v>0.301985111662531</v>
      </c>
      <c r="DV15" s="3690">
        <f t="shared" si="118"/>
        <v>0.30100004568845601</v>
      </c>
      <c r="DW15" s="3690">
        <f t="shared" si="118"/>
        <v>0.30100001076351662</v>
      </c>
      <c r="DX15" s="3690">
        <f t="shared" si="118"/>
        <v>0.30101747323320899</v>
      </c>
      <c r="DY15" s="3413">
        <f>SUM(CK15)</f>
        <v>0.30079155672823216</v>
      </c>
      <c r="DZ15" s="3413">
        <f t="shared" ref="DZ15" si="119">SUM(CL15)</f>
        <v>0.30331024009202212</v>
      </c>
      <c r="EA15" s="4072">
        <f t="shared" ref="EA15" si="120">SUM(CM15)</f>
        <v>0.30331478600247885</v>
      </c>
      <c r="EB15" s="3690">
        <f t="shared" ref="EB15:ED15" si="121">SUM(EB14/EB13)</f>
        <v>0.30100004568845601</v>
      </c>
      <c r="EC15" s="3690">
        <f t="shared" si="121"/>
        <v>0.30100001076351662</v>
      </c>
      <c r="ED15" s="3690">
        <f t="shared" si="121"/>
        <v>0.30101747323320899</v>
      </c>
      <c r="EE15" s="3690">
        <f t="shared" ref="EE15:EM15" si="122">SUM(EE14/EE13)</f>
        <v>0.30100046742523756</v>
      </c>
      <c r="EF15" s="4160">
        <f t="shared" si="122"/>
        <v>0.30100046752237625</v>
      </c>
      <c r="EG15" s="4160">
        <f t="shared" si="122"/>
        <v>0.30100042626268303</v>
      </c>
      <c r="EH15" s="3663">
        <f t="shared" ref="EH15:EJ15" si="123">SUM(EH14/EH13)</f>
        <v>0.30030630470700165</v>
      </c>
      <c r="EI15" s="3663">
        <f t="shared" si="123"/>
        <v>0.30030353383254887</v>
      </c>
      <c r="EJ15" s="3663">
        <f t="shared" si="123"/>
        <v>0.3020563969954439</v>
      </c>
      <c r="EK15" s="3663">
        <f t="shared" si="122"/>
        <v>0.30034237034000971</v>
      </c>
      <c r="EL15" s="3663">
        <f t="shared" si="122"/>
        <v>0.30034036516432561</v>
      </c>
      <c r="EM15" s="3663">
        <f t="shared" si="122"/>
        <v>0.30208239430271344</v>
      </c>
    </row>
    <row r="16" spans="1:143" ht="21" customHeight="1" x14ac:dyDescent="0.2">
      <c r="A16" s="3191" t="s">
        <v>6</v>
      </c>
      <c r="B16" s="3289">
        <v>1425.4</v>
      </c>
      <c r="C16" s="2110">
        <v>1648.4</v>
      </c>
      <c r="D16" s="3079">
        <f t="shared" si="51"/>
        <v>115.64473130349376</v>
      </c>
      <c r="E16" s="2110">
        <v>1717.5</v>
      </c>
      <c r="F16" s="3079">
        <f t="shared" si="52"/>
        <v>104.1919437029847</v>
      </c>
      <c r="G16" s="2110">
        <v>1471.6</v>
      </c>
      <c r="H16" s="3079">
        <f t="shared" si="53"/>
        <v>85.682678311499274</v>
      </c>
      <c r="I16" s="3291">
        <v>1679.5</v>
      </c>
      <c r="J16" s="3291">
        <v>876.6</v>
      </c>
      <c r="K16" s="3291">
        <f>'цех вода 2023'!K48</f>
        <v>1370.1342035638834</v>
      </c>
      <c r="L16" s="3291">
        <v>1480.3</v>
      </c>
      <c r="M16" s="3308">
        <f t="shared" si="54"/>
        <v>88.139327180708534</v>
      </c>
      <c r="N16" s="3308">
        <f t="shared" si="55"/>
        <v>100.59119325903778</v>
      </c>
      <c r="O16" s="3291">
        <v>1662.3</v>
      </c>
      <c r="P16" s="3308">
        <f t="shared" si="56"/>
        <v>98.975885680261982</v>
      </c>
      <c r="Q16" s="3309">
        <f>'цех вода 2023'!P48</f>
        <v>1328.848310908827</v>
      </c>
      <c r="R16" s="3308">
        <f t="shared" si="65"/>
        <v>79.121661858221316</v>
      </c>
      <c r="S16" s="3308">
        <f t="shared" si="66"/>
        <v>89.768851645533132</v>
      </c>
      <c r="T16" s="3291" t="e">
        <f>Q16/Q87*T87</f>
        <v>#REF!</v>
      </c>
      <c r="U16" s="3291" t="e">
        <f t="shared" si="67"/>
        <v>#REF!</v>
      </c>
      <c r="V16" s="3291">
        <v>832.1</v>
      </c>
      <c r="W16" s="3291"/>
      <c r="X16" s="3291"/>
      <c r="Y16" s="1597">
        <v>1803.5</v>
      </c>
      <c r="Z16" s="1591">
        <f t="shared" si="57"/>
        <v>1.357190271601842</v>
      </c>
      <c r="AA16" s="1597">
        <f>'цех вода 2023'!W48</f>
        <v>1410.9363841017698</v>
      </c>
      <c r="AB16" s="1591">
        <f t="shared" si="1"/>
        <v>1.0617738477138907</v>
      </c>
      <c r="AC16" s="1597">
        <f>AA16-AD16</f>
        <v>1338.8363841017699</v>
      </c>
      <c r="AD16" s="1597">
        <v>72.099999999999994</v>
      </c>
      <c r="AE16" s="1597">
        <v>1490.4</v>
      </c>
      <c r="AF16" s="1597">
        <f>AE16*AF87/(AF87+AG87)</f>
        <v>1472.0236890319386</v>
      </c>
      <c r="AG16" s="1597">
        <f>SUM(AE16-AF16)</f>
        <v>18.376310968061489</v>
      </c>
      <c r="AH16" s="1598">
        <f t="shared" si="59"/>
        <v>1505.7700000000002</v>
      </c>
      <c r="AI16" s="1592">
        <f t="shared" si="60"/>
        <v>1.0672132471504754</v>
      </c>
      <c r="AJ16" s="1597">
        <v>1488.63</v>
      </c>
      <c r="AK16" s="1597">
        <v>17.14</v>
      </c>
      <c r="AL16" s="1598">
        <f t="shared" si="61"/>
        <v>1484.5350755710156</v>
      </c>
      <c r="AM16" s="1592">
        <f t="shared" si="62"/>
        <v>1.0521630119532994</v>
      </c>
      <c r="AN16" s="1597">
        <f>'цех вода 2023'!AB48*AN87/(AN87+AO87)</f>
        <v>1467.6360520205046</v>
      </c>
      <c r="AO16" s="1597">
        <f>-AN16+'цех вода 2023'!AB48</f>
        <v>16.899023550510947</v>
      </c>
      <c r="AP16" s="1593">
        <f t="shared" si="63"/>
        <v>-392.56361589823018</v>
      </c>
      <c r="AQ16" s="1593">
        <f t="shared" si="98"/>
        <v>-372.50329494741624</v>
      </c>
      <c r="AR16" s="1593">
        <f t="shared" si="64"/>
        <v>-20.060320950813946</v>
      </c>
      <c r="AS16" s="1593">
        <f t="shared" si="2"/>
        <v>-392.56361589823018</v>
      </c>
      <c r="AT16" s="1597">
        <v>1047.32</v>
      </c>
      <c r="AU16" s="1597">
        <f>AT16*AU87/(AU87+AV87)</f>
        <v>1040.1115457578071</v>
      </c>
      <c r="AV16" s="1597">
        <f>SUM(AT16-AU16)</f>
        <v>7.208454242192829</v>
      </c>
      <c r="AW16" s="1597">
        <f t="shared" si="69"/>
        <v>1903.8500000000001</v>
      </c>
      <c r="AX16" s="1597">
        <v>1894.67</v>
      </c>
      <c r="AY16" s="1597">
        <v>9.18</v>
      </c>
      <c r="AZ16" s="1597">
        <v>1850.81</v>
      </c>
      <c r="BA16" s="1594">
        <f t="shared" ref="BA16" si="124">SUM(AZ16/AL16)</f>
        <v>1.2467270261621131</v>
      </c>
      <c r="BB16" s="1597">
        <f>AZ16*BB87/(BB87+BC87)</f>
        <v>1840.9251986081013</v>
      </c>
      <c r="BC16" s="1597">
        <f>SUM(AZ16-BB16)</f>
        <v>9.8848013918986908</v>
      </c>
      <c r="BD16" s="1597">
        <f>SUM('цех вода 2023'!AG48)</f>
        <v>1611.1723912953566</v>
      </c>
      <c r="BE16" s="1597">
        <f>BD16*BE87/(BE87+BF87)</f>
        <v>1602.567445841169</v>
      </c>
      <c r="BF16" s="1597">
        <f>SUM(BD16-BE16)</f>
        <v>8.6049454541876003</v>
      </c>
      <c r="BG16" s="1597">
        <f t="shared" si="71"/>
        <v>1817.18</v>
      </c>
      <c r="BH16" s="1597">
        <v>1815.96</v>
      </c>
      <c r="BI16" s="1597">
        <v>1.22</v>
      </c>
      <c r="BJ16" s="1597">
        <f t="shared" ref="BJ16" si="125">BK16+BL16</f>
        <v>1309.4000000000001</v>
      </c>
      <c r="BK16" s="1597">
        <v>1308.77</v>
      </c>
      <c r="BL16" s="1597">
        <v>0.63</v>
      </c>
      <c r="BM16" s="1597">
        <f t="shared" si="73"/>
        <v>1459.71</v>
      </c>
      <c r="BN16" s="1597">
        <v>1449.19</v>
      </c>
      <c r="BO16" s="1597">
        <v>10.52</v>
      </c>
      <c r="BP16" s="1597">
        <f t="shared" ref="BP16" si="126">SUM(BQ16:BR16)</f>
        <v>792.42399999999998</v>
      </c>
      <c r="BQ16" s="1597">
        <v>792.13400000000001</v>
      </c>
      <c r="BR16" s="1597">
        <v>0.28999999999999998</v>
      </c>
      <c r="BS16" s="1597">
        <f t="shared" ref="BS16" si="127">BT16+BU16</f>
        <v>1742.41</v>
      </c>
      <c r="BT16" s="1597">
        <v>1739.99</v>
      </c>
      <c r="BU16" s="1597">
        <v>2.42</v>
      </c>
      <c r="BV16" s="1597">
        <f>'цех вода 2023'!AM48</f>
        <v>1475.4542413298955</v>
      </c>
      <c r="BW16" s="1597">
        <f>BV16/$BV$87*$BW$87</f>
        <v>1474.7411685832849</v>
      </c>
      <c r="BX16" s="1597">
        <f>BV16/$BV$87*$BX$87</f>
        <v>0.71307274661057185</v>
      </c>
      <c r="BY16" s="1597">
        <f>SUM('цех вода 2023'!AN48)</f>
        <v>843.46017371030848</v>
      </c>
      <c r="BZ16" s="1597">
        <f>BY16/$BV$87*$BW$87</f>
        <v>843.0525375763799</v>
      </c>
      <c r="CA16" s="1597">
        <f>BY16/$BV$87*$BX$87</f>
        <v>0.40763613392857673</v>
      </c>
      <c r="CB16" s="3286" t="s">
        <v>960</v>
      </c>
      <c r="CC16" s="365"/>
      <c r="CD16" s="365"/>
      <c r="CE16" s="365"/>
      <c r="CF16" s="1597">
        <f>SUM('цех вода 2023'!AX48)</f>
        <v>1482.103514619803</v>
      </c>
      <c r="CG16" s="1597">
        <f>CF16/CF167*CG167</f>
        <v>1481.3485428030356</v>
      </c>
      <c r="CH16" s="1597">
        <f>CF16/CF167*CH167</f>
        <v>0.75497181676764868</v>
      </c>
      <c r="CI16" s="1597">
        <f>SUM(CJ16:CK16)</f>
        <v>346.17</v>
      </c>
      <c r="CJ16" s="1597">
        <f>SUM('цех вода 2023'!AY48)</f>
        <v>346.17</v>
      </c>
      <c r="CK16" s="1597">
        <v>0</v>
      </c>
      <c r="CL16" s="1597">
        <f>SUM(CM16:CN16)</f>
        <v>525.76</v>
      </c>
      <c r="CM16" s="1597">
        <f>SUM('цех вода 2023'!AZ48)</f>
        <v>525.76</v>
      </c>
      <c r="CN16" s="1597">
        <v>0</v>
      </c>
      <c r="CO16" s="1597">
        <f>SUM(CP16:CQ16)</f>
        <v>695.14</v>
      </c>
      <c r="CP16" s="1597">
        <f>SUM('цех вода 2023'!BA48)</f>
        <v>695.14</v>
      </c>
      <c r="CQ16" s="1597">
        <v>0</v>
      </c>
      <c r="CR16" s="1597">
        <f>SUM(CS16:CT16)</f>
        <v>894.10612969439967</v>
      </c>
      <c r="CS16" s="1597">
        <f>SUM('цех вода 2023'!BB48)</f>
        <v>894.10612969439967</v>
      </c>
      <c r="CT16" s="1597">
        <v>0</v>
      </c>
      <c r="CU16" s="1597">
        <f>SUM(CV16:CW16)</f>
        <v>646.85783362542975</v>
      </c>
      <c r="CV16" s="1597">
        <f>SUM('цех вода 2023'!BC48)</f>
        <v>646.85783362542975</v>
      </c>
      <c r="CW16" s="1597">
        <v>0</v>
      </c>
      <c r="CX16" s="1597">
        <f>SUM(CY16:CZ16)</f>
        <v>366.83</v>
      </c>
      <c r="CY16" s="1597">
        <f>SUM('цех вода 2023'!BD48)</f>
        <v>366.83</v>
      </c>
      <c r="CZ16" s="1597">
        <v>0</v>
      </c>
      <c r="DA16" s="1597">
        <f>SUM(DB16:DC16)</f>
        <v>549.92899999999997</v>
      </c>
      <c r="DB16" s="1597">
        <f>SUM('цех вода 2023'!BE48)</f>
        <v>549.92899999999997</v>
      </c>
      <c r="DC16" s="1597">
        <v>0</v>
      </c>
      <c r="DD16" s="1597">
        <f>SUM(DE16:DF16)</f>
        <v>735.96</v>
      </c>
      <c r="DE16" s="1597">
        <f>SUM('цех вода 2023'!BF48)</f>
        <v>735.96</v>
      </c>
      <c r="DF16" s="1597">
        <v>0</v>
      </c>
      <c r="DG16" s="1597">
        <f>SUM(DH16:DI16)</f>
        <v>952.11287083417631</v>
      </c>
      <c r="DH16" s="1597">
        <f>SUM('цех вода 2023'!BG48)</f>
        <v>952.11287083417631</v>
      </c>
      <c r="DI16" s="1597">
        <v>0</v>
      </c>
      <c r="DJ16" s="1597">
        <f>SUM(DK16:DL16)</f>
        <v>835.56104346222924</v>
      </c>
      <c r="DK16" s="1597">
        <f>SUM('цех вода 2023'!BH48)</f>
        <v>835.56104346222924</v>
      </c>
      <c r="DL16" s="1597">
        <v>0</v>
      </c>
      <c r="DM16" s="1597">
        <f>SUM(DN16:DO16)</f>
        <v>368.21</v>
      </c>
      <c r="DN16" s="1597">
        <f>SUM('цех вода 2023'!BI48)</f>
        <v>368.21</v>
      </c>
      <c r="DO16" s="1597">
        <v>0</v>
      </c>
      <c r="DP16" s="1597">
        <f>SUM(DQ16:DR16)</f>
        <v>551.92999999999995</v>
      </c>
      <c r="DQ16" s="1597">
        <f>SUM('цех вода 2023'!BJ48)</f>
        <v>551.92999999999995</v>
      </c>
      <c r="DR16" s="1597">
        <v>0</v>
      </c>
      <c r="DS16" s="1597">
        <f>SUM(DT16:DU16)</f>
        <v>741.79399999999998</v>
      </c>
      <c r="DT16" s="1597">
        <f>SUM('цех вода 2023'!BK48)</f>
        <v>741.79399999999998</v>
      </c>
      <c r="DU16" s="1597">
        <v>0</v>
      </c>
      <c r="DV16" s="2343">
        <f>SUM(DW16:DX16)</f>
        <v>822.22878243699699</v>
      </c>
      <c r="DW16" s="2343">
        <f>SUM('цех вода 2023'!BL48)</f>
        <v>822.22878243699699</v>
      </c>
      <c r="DX16" s="2343">
        <v>0</v>
      </c>
      <c r="DY16" s="3211">
        <f>SUM(DZ16:EA16)</f>
        <v>0</v>
      </c>
      <c r="DZ16" s="3211">
        <f>SUM('цех вода 2023'!BX48)</f>
        <v>0</v>
      </c>
      <c r="EA16" s="4071">
        <v>0</v>
      </c>
      <c r="EB16" s="2343">
        <f>SUM(EC16:ED16)</f>
        <v>822.22878243699699</v>
      </c>
      <c r="EC16" s="2343">
        <f>SUM('цех вода 2023'!BL48)</f>
        <v>822.22878243699699</v>
      </c>
      <c r="ED16" s="2343">
        <v>0</v>
      </c>
      <c r="EE16" s="2343">
        <f>SUM(EF16:EG16)</f>
        <v>948.54588046298636</v>
      </c>
      <c r="EF16" s="2343">
        <f>SUM('цех вода 2023'!BM48)</f>
        <v>948.54588046298636</v>
      </c>
      <c r="EG16" s="2343">
        <v>0</v>
      </c>
      <c r="EH16" s="3662">
        <f>SUM(EI16:EJ16)</f>
        <v>415.31</v>
      </c>
      <c r="EI16" s="3662">
        <f>SUM('цех вода 2023'!BN48)</f>
        <v>415.31</v>
      </c>
      <c r="EJ16" s="3662">
        <v>0</v>
      </c>
      <c r="EK16" s="3662">
        <f>SUM(EL16:EM16)</f>
        <v>954.76</v>
      </c>
      <c r="EL16" s="3662">
        <f>SUM('цех вода 2023'!BO48)</f>
        <v>954.76</v>
      </c>
      <c r="EM16" s="3662">
        <v>0</v>
      </c>
    </row>
    <row r="17" spans="1:143" s="2196" customFormat="1" ht="21" customHeight="1" x14ac:dyDescent="0.2">
      <c r="A17" s="3314" t="s">
        <v>7</v>
      </c>
      <c r="B17" s="2600">
        <f>SUM(B18:B26)</f>
        <v>32241.4</v>
      </c>
      <c r="C17" s="3315">
        <f>SUM(C18:C26)</f>
        <v>38466.400000000001</v>
      </c>
      <c r="D17" s="3079">
        <f t="shared" si="51"/>
        <v>119.30747424119299</v>
      </c>
      <c r="E17" s="3315">
        <f>SUM(E18:E26)-E25</f>
        <v>40420.1</v>
      </c>
      <c r="F17" s="3315">
        <f t="shared" ref="F17:AO17" si="128">SUM(F18:F26)-F25</f>
        <v>846.38801117543824</v>
      </c>
      <c r="G17" s="3315">
        <f t="shared" si="128"/>
        <v>43502.200000000004</v>
      </c>
      <c r="H17" s="3079">
        <f t="shared" si="53"/>
        <v>107.62516668687114</v>
      </c>
      <c r="I17" s="3315">
        <f t="shared" si="128"/>
        <v>42972.08265199999</v>
      </c>
      <c r="J17" s="3315">
        <f t="shared" si="128"/>
        <v>22818.600000000002</v>
      </c>
      <c r="K17" s="3315">
        <f t="shared" si="128"/>
        <v>33887.847162203478</v>
      </c>
      <c r="L17" s="3315">
        <f t="shared" si="128"/>
        <v>49679.3</v>
      </c>
      <c r="M17" s="3315">
        <f t="shared" si="128"/>
        <v>811.78554777666386</v>
      </c>
      <c r="N17" s="3315">
        <f t="shared" si="128"/>
        <v>826.1004360911046</v>
      </c>
      <c r="O17" s="3315">
        <f t="shared" si="128"/>
        <v>55955.439999999995</v>
      </c>
      <c r="P17" s="3315">
        <f t="shared" si="128"/>
        <v>885.33762958856801</v>
      </c>
      <c r="Q17" s="3316" t="e">
        <f t="shared" si="128"/>
        <v>#REF!</v>
      </c>
      <c r="R17" s="3315" t="e">
        <f t="shared" si="128"/>
        <v>#REF!</v>
      </c>
      <c r="S17" s="3315" t="e">
        <f t="shared" si="128"/>
        <v>#REF!</v>
      </c>
      <c r="T17" s="3292" t="e">
        <f t="shared" si="128"/>
        <v>#REF!</v>
      </c>
      <c r="U17" s="3292">
        <f t="shared" si="128"/>
        <v>0</v>
      </c>
      <c r="V17" s="3292">
        <f t="shared" si="128"/>
        <v>37348.199999999997</v>
      </c>
      <c r="W17" s="3292">
        <f t="shared" si="128"/>
        <v>26965.47</v>
      </c>
      <c r="X17" s="3292">
        <f t="shared" si="128"/>
        <v>0</v>
      </c>
      <c r="Y17" s="1601">
        <f t="shared" si="128"/>
        <v>58405.5</v>
      </c>
      <c r="Z17" s="3317" t="e">
        <f t="shared" si="57"/>
        <v>#REF!</v>
      </c>
      <c r="AA17" s="1601" t="e">
        <f t="shared" si="128"/>
        <v>#REF!</v>
      </c>
      <c r="AB17" s="3317" t="e">
        <f t="shared" si="1"/>
        <v>#REF!</v>
      </c>
      <c r="AC17" s="1601" t="e">
        <f t="shared" si="128"/>
        <v>#REF!</v>
      </c>
      <c r="AD17" s="1601">
        <f t="shared" si="128"/>
        <v>0</v>
      </c>
      <c r="AE17" s="1601">
        <f t="shared" ref="AE17:AG17" si="129">SUM(AE18:AE26)-AE25</f>
        <v>46595.739391100004</v>
      </c>
      <c r="AF17" s="1601">
        <f t="shared" si="129"/>
        <v>46595.739391100004</v>
      </c>
      <c r="AG17" s="1601">
        <f t="shared" si="129"/>
        <v>0</v>
      </c>
      <c r="AH17" s="1590">
        <f t="shared" si="59"/>
        <v>48828.71</v>
      </c>
      <c r="AI17" s="1592" t="e">
        <f t="shared" si="60"/>
        <v>#REF!</v>
      </c>
      <c r="AJ17" s="1601">
        <f t="shared" si="128"/>
        <v>48828.71</v>
      </c>
      <c r="AK17" s="1601">
        <f t="shared" si="128"/>
        <v>0</v>
      </c>
      <c r="AL17" s="1590">
        <f t="shared" si="61"/>
        <v>46188.131916917446</v>
      </c>
      <c r="AM17" s="1592" t="e">
        <f t="shared" si="62"/>
        <v>#REF!</v>
      </c>
      <c r="AN17" s="1601">
        <f t="shared" si="128"/>
        <v>46188.131916917446</v>
      </c>
      <c r="AO17" s="1601">
        <f t="shared" si="128"/>
        <v>0</v>
      </c>
      <c r="AP17" s="1593" t="e">
        <f t="shared" si="63"/>
        <v>#REF!</v>
      </c>
      <c r="AQ17" s="1593" t="e">
        <f t="shared" si="98"/>
        <v>#REF!</v>
      </c>
      <c r="AR17" s="1593" t="e">
        <f t="shared" si="64"/>
        <v>#REF!</v>
      </c>
      <c r="AS17" s="1593" t="e">
        <f t="shared" si="2"/>
        <v>#REF!</v>
      </c>
      <c r="AT17" s="1601">
        <f t="shared" ref="AT17:BD17" si="130">SUM(AT18:AT26)-AT25</f>
        <v>25684.637081399997</v>
      </c>
      <c r="AU17" s="1601">
        <f t="shared" si="130"/>
        <v>25684.637081399997</v>
      </c>
      <c r="AV17" s="1601">
        <f t="shared" si="130"/>
        <v>0</v>
      </c>
      <c r="AW17" s="1601">
        <f t="shared" si="130"/>
        <v>50837.42</v>
      </c>
      <c r="AX17" s="1601">
        <f t="shared" si="130"/>
        <v>50837.42</v>
      </c>
      <c r="AY17" s="1601">
        <f t="shared" si="130"/>
        <v>0</v>
      </c>
      <c r="AZ17" s="1601">
        <f t="shared" si="130"/>
        <v>53392.06897</v>
      </c>
      <c r="BA17" s="1594">
        <f t="shared" si="70"/>
        <v>1.1559694396396221</v>
      </c>
      <c r="BB17" s="1601">
        <f t="shared" si="130"/>
        <v>53392.06897</v>
      </c>
      <c r="BC17" s="1601">
        <f t="shared" si="130"/>
        <v>0</v>
      </c>
      <c r="BD17" s="1601">
        <f t="shared" si="130"/>
        <v>53576.313206309816</v>
      </c>
      <c r="BE17" s="1601">
        <f t="shared" ref="BE17:BF17" si="131">SUM(BE18:BE26)-BE25</f>
        <v>53576.313206309816</v>
      </c>
      <c r="BF17" s="1601">
        <f t="shared" si="131"/>
        <v>0</v>
      </c>
      <c r="BG17" s="1601">
        <f>SUM(BG18:BG26)-BG25</f>
        <v>56590.159999999996</v>
      </c>
      <c r="BH17" s="1601">
        <f t="shared" ref="BH17:BI17" si="132">SUM(BH18:BH26)-BH25</f>
        <v>56590.159999999996</v>
      </c>
      <c r="BI17" s="1601">
        <f t="shared" si="132"/>
        <v>0</v>
      </c>
      <c r="BJ17" s="1601">
        <f>SUM(BJ18:BJ26)-BJ25</f>
        <v>72363.720000000016</v>
      </c>
      <c r="BK17" s="1601">
        <f t="shared" ref="BK17:BL17" si="133">SUM(BK18:BK26)-BK25</f>
        <v>72363.720000000016</v>
      </c>
      <c r="BL17" s="1601">
        <f t="shared" si="133"/>
        <v>0</v>
      </c>
      <c r="BM17" s="1601">
        <f t="shared" ref="BM17:BN17" si="134">SUM(BM18:BM26)-BM25</f>
        <v>59040.708000000006</v>
      </c>
      <c r="BN17" s="1601">
        <f t="shared" si="134"/>
        <v>59040.708000000006</v>
      </c>
      <c r="BO17" s="1601">
        <v>0</v>
      </c>
      <c r="BP17" s="1601">
        <f t="shared" ref="BP17:BQ17" si="135">SUM(BP18:BP26)-BP25</f>
        <v>69144.41</v>
      </c>
      <c r="BQ17" s="1601">
        <f t="shared" si="135"/>
        <v>69144.41</v>
      </c>
      <c r="BR17" s="1601">
        <v>0</v>
      </c>
      <c r="BS17" s="1601">
        <f>SUM(BS18:BS26)-BS25</f>
        <v>77581.809999999983</v>
      </c>
      <c r="BT17" s="1601">
        <f t="shared" ref="BT17" si="136">SUM(BT18:BT26)-BT25</f>
        <v>77581.809999999983</v>
      </c>
      <c r="BU17" s="1601"/>
      <c r="BV17" s="1601">
        <f>SUM(BV18:BV26)-BV25</f>
        <v>71098.324250721693</v>
      </c>
      <c r="BW17" s="1601">
        <f t="shared" ref="BW17:BX17" si="137">SUM(BW18:BW26)-BW25</f>
        <v>71098.324250721693</v>
      </c>
      <c r="BX17" s="1601">
        <f t="shared" si="137"/>
        <v>0</v>
      </c>
      <c r="BY17" s="1601">
        <f>SUM(BY18:BY26)-BY25</f>
        <v>77777.633966200607</v>
      </c>
      <c r="BZ17" s="1601">
        <f t="shared" ref="BZ17:CA17" si="138">SUM(BZ18:BZ26)-BZ25</f>
        <v>77777.633966200607</v>
      </c>
      <c r="CA17" s="1601">
        <f t="shared" si="138"/>
        <v>0</v>
      </c>
      <c r="CB17" s="3286"/>
      <c r="CC17" s="365"/>
      <c r="CD17" s="365"/>
      <c r="CE17" s="365"/>
      <c r="CF17" s="1601">
        <f>SUM(CF18:CF26)-CF25</f>
        <v>73190.515983078236</v>
      </c>
      <c r="CG17" s="1601">
        <f t="shared" ref="CG17:CH17" si="139">SUM(CG18:CG26)-CG25</f>
        <v>73190.515983078236</v>
      </c>
      <c r="CH17" s="1601">
        <f t="shared" si="139"/>
        <v>0</v>
      </c>
      <c r="CI17" s="1601">
        <f>SUM(CI18:CI26)-CI25</f>
        <v>35383.430959999998</v>
      </c>
      <c r="CJ17" s="1601">
        <f t="shared" ref="CJ17:CK17" si="140">SUM(CJ18:CJ26)-CJ25</f>
        <v>35383.430959999998</v>
      </c>
      <c r="CK17" s="1601">
        <f t="shared" si="140"/>
        <v>0</v>
      </c>
      <c r="CL17" s="1601">
        <f>SUM(CL18:CL26)-CL25</f>
        <v>53306.273549999991</v>
      </c>
      <c r="CM17" s="1601">
        <f t="shared" ref="CM17:CN17" si="141">SUM(CM18:CM26)-CM25</f>
        <v>53306.273549999991</v>
      </c>
      <c r="CN17" s="1601">
        <f t="shared" si="141"/>
        <v>0</v>
      </c>
      <c r="CO17" s="1601">
        <f>SUM(CO18:CO26)-CO25</f>
        <v>69985.792000000001</v>
      </c>
      <c r="CP17" s="1601">
        <f t="shared" ref="CP17:CQ17" si="142">SUM(CP18:CP26)-CP25</f>
        <v>69985.792000000001</v>
      </c>
      <c r="CQ17" s="1601">
        <f t="shared" si="142"/>
        <v>0</v>
      </c>
      <c r="CR17" s="1601">
        <f>SUM(CR18:CR26)-CR25</f>
        <v>85031.297633093272</v>
      </c>
      <c r="CS17" s="1601">
        <f t="shared" ref="CS17:CT17" si="143">SUM(CS18:CS26)-CS25</f>
        <v>85031.297633093272</v>
      </c>
      <c r="CT17" s="1601">
        <f t="shared" si="143"/>
        <v>0</v>
      </c>
      <c r="CU17" s="1601">
        <f>SUM(CU18:CU26)-CU25</f>
        <v>70769.358887994051</v>
      </c>
      <c r="CV17" s="1601">
        <f t="shared" ref="CV17:CW17" si="144">SUM(CV18:CV26)-CV25</f>
        <v>70769.358887994051</v>
      </c>
      <c r="CW17" s="1601">
        <f t="shared" si="144"/>
        <v>0</v>
      </c>
      <c r="CX17" s="1601">
        <f>SUM(CX18:CX26)-CX25</f>
        <v>35825.705649999996</v>
      </c>
      <c r="CY17" s="1601">
        <f t="shared" ref="CY17:CZ17" si="145">SUM(CY18:CY26)-CY25</f>
        <v>35825.705649999996</v>
      </c>
      <c r="CZ17" s="1601">
        <f t="shared" si="145"/>
        <v>0</v>
      </c>
      <c r="DA17" s="1601">
        <f>SUM(DA18:DA26)-DA25</f>
        <v>49904.981399999997</v>
      </c>
      <c r="DB17" s="1601">
        <f t="shared" ref="DB17:DC17" si="146">SUM(DB18:DB26)-DB25</f>
        <v>49904.981399999997</v>
      </c>
      <c r="DC17" s="1601">
        <f t="shared" si="146"/>
        <v>0</v>
      </c>
      <c r="DD17" s="1601">
        <f>SUM(DD18:DD26)-DD25</f>
        <v>63651.72481</v>
      </c>
      <c r="DE17" s="1601">
        <f t="shared" ref="DE17:DF17" si="147">SUM(DE18:DE26)-DE25</f>
        <v>63651.72481</v>
      </c>
      <c r="DF17" s="1601">
        <f t="shared" si="147"/>
        <v>0</v>
      </c>
      <c r="DG17" s="3682">
        <f>SUM(DG18:DG26)-DG25</f>
        <v>81817.348291072427</v>
      </c>
      <c r="DH17" s="3682">
        <f t="shared" ref="DH17:DI17" si="148">SUM(DH18:DH26)-DH25</f>
        <v>81817.348291072427</v>
      </c>
      <c r="DI17" s="3682">
        <f t="shared" si="148"/>
        <v>0</v>
      </c>
      <c r="DJ17" s="3682">
        <f>SUM(DJ18:DJ26)-DJ25</f>
        <v>74105.652837613205</v>
      </c>
      <c r="DK17" s="3682">
        <f t="shared" ref="DK17:DL17" si="149">SUM(DK18:DK26)-DK25</f>
        <v>74105.652837613205</v>
      </c>
      <c r="DL17" s="3682">
        <f t="shared" si="149"/>
        <v>0</v>
      </c>
      <c r="DM17" s="3682">
        <f>SUM(DM18:DM26)-DM25</f>
        <v>30543.336670000001</v>
      </c>
      <c r="DN17" s="3682">
        <f t="shared" ref="DN17:DO17" si="150">SUM(DN18:DN26)-DN25</f>
        <v>30543.336670000001</v>
      </c>
      <c r="DO17" s="3682">
        <f t="shared" si="150"/>
        <v>0</v>
      </c>
      <c r="DP17" s="3682">
        <f>SUM(DP18:DP26)-DP25</f>
        <v>46229.519630000003</v>
      </c>
      <c r="DQ17" s="3682">
        <f t="shared" ref="DQ17:DR17" si="151">SUM(DQ18:DQ26)-DQ25</f>
        <v>46229.519630000003</v>
      </c>
      <c r="DR17" s="3682">
        <f t="shared" si="151"/>
        <v>0</v>
      </c>
      <c r="DS17" s="3682">
        <f>SUM(DS18:DS26)-DS25</f>
        <v>62376.958079999997</v>
      </c>
      <c r="DT17" s="3682">
        <f t="shared" ref="DT17:DU17" si="152">SUM(DT18:DT26)-DT25</f>
        <v>62376.958079999997</v>
      </c>
      <c r="DU17" s="3682">
        <f t="shared" si="152"/>
        <v>0</v>
      </c>
      <c r="DV17" s="2346">
        <f>SUM(DV18:DV26)-DV25</f>
        <v>88184.491771502129</v>
      </c>
      <c r="DW17" s="2346">
        <f t="shared" ref="DW17:DX17" si="153">SUM(DW18:DW26)-DW25</f>
        <v>88184.491771502129</v>
      </c>
      <c r="DX17" s="2346">
        <f t="shared" si="153"/>
        <v>0</v>
      </c>
      <c r="DY17" s="3212">
        <f>SUM(DY18:DY26)-DY25</f>
        <v>43126.148589561984</v>
      </c>
      <c r="DZ17" s="3212">
        <f t="shared" ref="DZ17:EA17" si="154">SUM(DZ18:DZ26)-DZ25</f>
        <v>43126.148589561984</v>
      </c>
      <c r="EA17" s="4073">
        <f t="shared" si="154"/>
        <v>0</v>
      </c>
      <c r="EB17" s="2346">
        <f>SUM(EB18:EB26)-EB25</f>
        <v>92351.182908015035</v>
      </c>
      <c r="EC17" s="2346">
        <f t="shared" ref="EC17:ED17" si="155">SUM(EC18:EC26)-EC25</f>
        <v>92351.182908015035</v>
      </c>
      <c r="ED17" s="2346">
        <f t="shared" si="155"/>
        <v>0</v>
      </c>
      <c r="EE17" s="2346">
        <f>SUM(EE18:EE26)-EE25</f>
        <v>83351.350588496032</v>
      </c>
      <c r="EF17" s="2346">
        <f t="shared" ref="EF17:EG17" si="156">SUM(EF18:EF26)-EF25</f>
        <v>83351.350588496032</v>
      </c>
      <c r="EG17" s="2346">
        <f t="shared" si="156"/>
        <v>0</v>
      </c>
      <c r="EH17" s="4683">
        <f>SUM(EH18:EH26)-EH25</f>
        <v>38414.892979999997</v>
      </c>
      <c r="EI17" s="4683">
        <f t="shared" ref="EI17:EJ17" si="157">SUM(EI18:EI26)-EI25</f>
        <v>38414.892979999997</v>
      </c>
      <c r="EJ17" s="4683">
        <f t="shared" si="157"/>
        <v>0</v>
      </c>
      <c r="EK17" s="4683">
        <f>SUM(EK18:EK26)-EK25</f>
        <v>78994.721070000014</v>
      </c>
      <c r="EL17" s="4683">
        <f t="shared" ref="EL17:EM17" si="158">SUM(EL18:EL26)-EL25</f>
        <v>78994.721070000014</v>
      </c>
      <c r="EM17" s="4683">
        <f t="shared" si="158"/>
        <v>0</v>
      </c>
    </row>
    <row r="18" spans="1:143" ht="21" customHeight="1" x14ac:dyDescent="0.2">
      <c r="A18" s="3191" t="s">
        <v>1</v>
      </c>
      <c r="B18" s="3289">
        <v>3989.5</v>
      </c>
      <c r="C18" s="2110">
        <v>6013.8</v>
      </c>
      <c r="D18" s="3079">
        <f t="shared" si="51"/>
        <v>150.74069432259682</v>
      </c>
      <c r="E18" s="2110">
        <v>6816.9</v>
      </c>
      <c r="F18" s="3079">
        <f t="shared" si="52"/>
        <v>113.35428514416841</v>
      </c>
      <c r="G18" s="2110">
        <v>6550.5</v>
      </c>
      <c r="H18" s="3079">
        <f t="shared" si="53"/>
        <v>96.092065308277967</v>
      </c>
      <c r="I18" s="3291">
        <v>6178.2</v>
      </c>
      <c r="J18" s="3291">
        <v>3776.7</v>
      </c>
      <c r="K18" s="3291">
        <v>4790</v>
      </c>
      <c r="L18" s="3291">
        <v>7070.5</v>
      </c>
      <c r="M18" s="3308">
        <f t="shared" si="54"/>
        <v>114.44271794373766</v>
      </c>
      <c r="N18" s="3308">
        <f t="shared" si="55"/>
        <v>107.93832531867797</v>
      </c>
      <c r="O18" s="3291">
        <v>7686</v>
      </c>
      <c r="P18" s="3308">
        <f t="shared" si="56"/>
        <v>124.40516655336506</v>
      </c>
      <c r="Q18" s="3309" t="e">
        <f>электр!AC11</f>
        <v>#REF!</v>
      </c>
      <c r="R18" s="3308" t="e">
        <f t="shared" si="65"/>
        <v>#REF!</v>
      </c>
      <c r="S18" s="3308" t="e">
        <f t="shared" si="66"/>
        <v>#REF!</v>
      </c>
      <c r="T18" s="3291" t="e">
        <f>Q18</f>
        <v>#REF!</v>
      </c>
      <c r="U18" s="3291"/>
      <c r="V18" s="3291">
        <v>5782</v>
      </c>
      <c r="W18" s="3291">
        <v>1930.37</v>
      </c>
      <c r="X18" s="3291">
        <v>0</v>
      </c>
      <c r="Y18" s="1597">
        <v>7979.9</v>
      </c>
      <c r="Z18" s="1591" t="e">
        <f t="shared" si="57"/>
        <v>#REF!</v>
      </c>
      <c r="AA18" s="1597" t="e">
        <f>электр!Q50</f>
        <v>#REF!</v>
      </c>
      <c r="AB18" s="1591" t="e">
        <f t="shared" si="1"/>
        <v>#REF!</v>
      </c>
      <c r="AC18" s="1597" t="e">
        <f>AA18</f>
        <v>#REF!</v>
      </c>
      <c r="AD18" s="1597">
        <v>0</v>
      </c>
      <c r="AE18" s="1597">
        <f>SUM(электр!AG50)</f>
        <v>6145.2</v>
      </c>
      <c r="AF18" s="1597">
        <f>SUM(AE18)</f>
        <v>6145.2</v>
      </c>
      <c r="AG18" s="1597">
        <v>0</v>
      </c>
      <c r="AH18" s="1598">
        <f t="shared" si="59"/>
        <v>5917.63</v>
      </c>
      <c r="AI18" s="1592" t="e">
        <f t="shared" si="60"/>
        <v>#REF!</v>
      </c>
      <c r="AJ18" s="1597">
        <v>5917.63</v>
      </c>
      <c r="AK18" s="1597">
        <v>0</v>
      </c>
      <c r="AL18" s="1598">
        <f t="shared" si="61"/>
        <v>5121.0862883337822</v>
      </c>
      <c r="AM18" s="1592" t="e">
        <f t="shared" si="62"/>
        <v>#REF!</v>
      </c>
      <c r="AN18" s="1597">
        <f>электр!AN50</f>
        <v>5121.0862883337822</v>
      </c>
      <c r="AO18" s="1597">
        <v>0</v>
      </c>
      <c r="AP18" s="1593" t="e">
        <f t="shared" si="63"/>
        <v>#REF!</v>
      </c>
      <c r="AQ18" s="1593" t="e">
        <f t="shared" si="98"/>
        <v>#REF!</v>
      </c>
      <c r="AR18" s="1593" t="e">
        <f t="shared" si="64"/>
        <v>#REF!</v>
      </c>
      <c r="AS18" s="1593" t="e">
        <f t="shared" si="2"/>
        <v>#REF!</v>
      </c>
      <c r="AT18" s="1597">
        <v>2722.6</v>
      </c>
      <c r="AU18" s="1597">
        <f>SUM(AT18)</f>
        <v>2722.6</v>
      </c>
      <c r="AV18" s="1597">
        <v>0</v>
      </c>
      <c r="AW18" s="1597">
        <f>AX18+AY18</f>
        <v>6087.79</v>
      </c>
      <c r="AX18" s="1597">
        <v>6087.79</v>
      </c>
      <c r="AY18" s="1597">
        <v>0</v>
      </c>
      <c r="AZ18" s="1597">
        <v>5514.45</v>
      </c>
      <c r="BA18" s="1594">
        <f t="shared" si="70"/>
        <v>1.0768125529464969</v>
      </c>
      <c r="BB18" s="1597">
        <f>SUM(AZ18)</f>
        <v>5514.45</v>
      </c>
      <c r="BC18" s="1597">
        <v>0</v>
      </c>
      <c r="BD18" s="1597">
        <f>SUM(электр!BD50)</f>
        <v>5376.3079941809738</v>
      </c>
      <c r="BE18" s="1597">
        <f>SUM(BD18)</f>
        <v>5376.3079941809738</v>
      </c>
      <c r="BF18" s="1597">
        <v>0</v>
      </c>
      <c r="BG18" s="1597">
        <f t="shared" si="71"/>
        <v>8522.8700000000008</v>
      </c>
      <c r="BH18" s="1597">
        <v>8522.8700000000008</v>
      </c>
      <c r="BI18" s="1597">
        <v>0</v>
      </c>
      <c r="BJ18" s="1597">
        <f t="shared" ref="BJ18:BJ24" si="159">BK18+BL18</f>
        <v>9131.09</v>
      </c>
      <c r="BK18" s="1597">
        <v>9131.09</v>
      </c>
      <c r="BL18" s="1597"/>
      <c r="BM18" s="1597">
        <f t="shared" ref="BM18:BM24" si="160">SUM(BN18:BO18)</f>
        <v>5035.26</v>
      </c>
      <c r="BN18" s="1597">
        <v>5035.26</v>
      </c>
      <c r="BO18" s="1597">
        <v>0</v>
      </c>
      <c r="BP18" s="1597">
        <f t="shared" ref="BP18:BP24" si="161">SUM(BQ18:BR18)</f>
        <v>7834.96</v>
      </c>
      <c r="BQ18" s="1597">
        <v>7834.96</v>
      </c>
      <c r="BR18" s="1597">
        <v>0</v>
      </c>
      <c r="BS18" s="1597">
        <f t="shared" ref="BS18:BS24" si="162">BT18+BU18</f>
        <v>6755.79</v>
      </c>
      <c r="BT18" s="1597">
        <v>6755.79</v>
      </c>
      <c r="BU18" s="1597"/>
      <c r="BV18" s="1597">
        <f t="shared" ref="BV18:BV21" si="163">BW18+BX18</f>
        <v>7714.901264777769</v>
      </c>
      <c r="BW18" s="1597">
        <f>'ЭЭ вода'!T45</f>
        <v>7714.901264777769</v>
      </c>
      <c r="BX18" s="1597"/>
      <c r="BY18" s="1597">
        <f t="shared" ref="BY18:BY19" si="164">BZ18+CA18</f>
        <v>8038.9271178984354</v>
      </c>
      <c r="BZ18" s="1597">
        <f>SUM('ЭЭ вода'!Z43)</f>
        <v>8038.9271178984354</v>
      </c>
      <c r="CA18" s="1597">
        <v>0</v>
      </c>
      <c r="CB18" s="3286" t="str">
        <f>CB9</f>
        <v>Приложение</v>
      </c>
      <c r="CC18" s="365"/>
      <c r="CD18" s="365"/>
      <c r="CE18" s="365"/>
      <c r="CF18" s="1597">
        <f t="shared" ref="CF18:CF19" si="165">CG18+CH18</f>
        <v>8689.34539141397</v>
      </c>
      <c r="CG18" s="1597">
        <f>SUM('ЭЭ вода'!AE43)</f>
        <v>8689.34539141397</v>
      </c>
      <c r="CH18" s="1597">
        <v>0</v>
      </c>
      <c r="CI18" s="1597">
        <f t="shared" ref="CI18:CI19" si="166">CJ18+CK18</f>
        <v>3173.4270000000001</v>
      </c>
      <c r="CJ18" s="1597">
        <f>SUM('ЭЭ вода'!AF43)</f>
        <v>3173.4270000000001</v>
      </c>
      <c r="CK18" s="1597">
        <v>0</v>
      </c>
      <c r="CL18" s="1597">
        <f t="shared" ref="CL18:CL19" si="167">CM18+CN18</f>
        <v>5104.1189999999997</v>
      </c>
      <c r="CM18" s="1597">
        <f>SUM('ЭЭ вода'!AG43)</f>
        <v>5104.1189999999997</v>
      </c>
      <c r="CN18" s="1597">
        <v>0</v>
      </c>
      <c r="CO18" s="1597">
        <f t="shared" ref="CO18:CO19" si="168">CP18+CQ18</f>
        <v>7190.16</v>
      </c>
      <c r="CP18" s="1597">
        <f>SUM('ЭЭ вода'!AH43)</f>
        <v>7190.16</v>
      </c>
      <c r="CQ18" s="1597">
        <v>0</v>
      </c>
      <c r="CR18" s="1597">
        <f t="shared" ref="CR18:CR19" si="169">CS18+CT18</f>
        <v>9089.0552794190116</v>
      </c>
      <c r="CS18" s="1597">
        <f>SUM('ЭЭ вода'!AI43)</f>
        <v>9089.0552794190116</v>
      </c>
      <c r="CT18" s="1597">
        <v>0</v>
      </c>
      <c r="CU18" s="1597">
        <f t="shared" ref="CU18:CU19" si="170">CV18+CW18</f>
        <v>7034.7116053485497</v>
      </c>
      <c r="CV18" s="1597">
        <f>SUM('ЭЭ вода'!AJ43)</f>
        <v>7034.7116053485497</v>
      </c>
      <c r="CW18" s="1597">
        <v>0</v>
      </c>
      <c r="CX18" s="1597">
        <f t="shared" ref="CX18:CX19" si="171">CY18+CZ18</f>
        <v>3549.7312700000002</v>
      </c>
      <c r="CY18" s="1597">
        <f>SUM('ЭЭ вода'!AK43)</f>
        <v>3549.7312700000002</v>
      </c>
      <c r="CZ18" s="1597">
        <v>0</v>
      </c>
      <c r="DA18" s="1597">
        <f t="shared" ref="DA18:DA19" si="172">DB18+DC18</f>
        <v>5097.884</v>
      </c>
      <c r="DB18" s="1597">
        <f>SUM('ЭЭ вода'!AL43)</f>
        <v>5097.884</v>
      </c>
      <c r="DC18" s="1597">
        <v>0</v>
      </c>
      <c r="DD18" s="1597">
        <f t="shared" ref="DD18:DD19" si="173">DE18+DF18</f>
        <v>6947.7280000000001</v>
      </c>
      <c r="DE18" s="1597">
        <f>SUM('ЭЭ вода'!AM43)</f>
        <v>6947.7280000000001</v>
      </c>
      <c r="DF18" s="1597">
        <v>0</v>
      </c>
      <c r="DG18" s="1597">
        <f t="shared" ref="DG18:DG19" si="174">DH18+DI18</f>
        <v>7540.3315019829779</v>
      </c>
      <c r="DH18" s="1597">
        <f>SUM('ЭЭ вода'!AN43)</f>
        <v>7540.3315019829779</v>
      </c>
      <c r="DI18" s="1597">
        <v>0</v>
      </c>
      <c r="DJ18" s="1597">
        <f t="shared" ref="DJ18:DJ19" si="175">DK18+DL18</f>
        <v>7066.232783631428</v>
      </c>
      <c r="DK18" s="1597">
        <f>SUM('ЭЭ вода'!AO43)</f>
        <v>7066.232783631428</v>
      </c>
      <c r="DL18" s="1597">
        <v>0</v>
      </c>
      <c r="DM18" s="1597">
        <f t="shared" ref="DM18:DM19" si="176">DN18+DO18</f>
        <v>3197.1039999999998</v>
      </c>
      <c r="DN18" s="1597">
        <f>SUM('ЭЭ вода'!AP43)</f>
        <v>3197.1039999999998</v>
      </c>
      <c r="DO18" s="1597">
        <v>0</v>
      </c>
      <c r="DP18" s="1597">
        <f t="shared" ref="DP18:DP19" si="177">DQ18+DR18</f>
        <v>4674.5140000000001</v>
      </c>
      <c r="DQ18" s="1597">
        <f>SUM('ЭЭ вода'!AQ43)</f>
        <v>4674.5140000000001</v>
      </c>
      <c r="DR18" s="1597">
        <v>0</v>
      </c>
      <c r="DS18" s="1597">
        <f t="shared" ref="DS18:DS19" si="178">DT18+DU18</f>
        <v>6427.5749999999998</v>
      </c>
      <c r="DT18" s="1597">
        <f>SUM('ЭЭ вода'!AR43)</f>
        <v>6427.5749999999998</v>
      </c>
      <c r="DU18" s="1597">
        <v>0</v>
      </c>
      <c r="DV18" s="2343">
        <f t="shared" ref="DV18:DV19" si="179">DW18+DX18</f>
        <v>7492.7708577792009</v>
      </c>
      <c r="DW18" s="2343">
        <f>SUM('ЭЭ вода'!AS43)</f>
        <v>7492.7708577792009</v>
      </c>
      <c r="DX18" s="2343">
        <v>0</v>
      </c>
      <c r="DY18" s="3211">
        <f t="shared" ref="DY18:DY19" si="180">DZ18+EA18</f>
        <v>0</v>
      </c>
      <c r="DZ18" s="3211">
        <f>SUM('ЭЭ вода'!BD43)</f>
        <v>0</v>
      </c>
      <c r="EA18" s="4071">
        <v>0</v>
      </c>
      <c r="EB18" s="2343">
        <f t="shared" ref="EB18:EB19" si="181">EC18+ED18</f>
        <v>7492.7708577792009</v>
      </c>
      <c r="EC18" s="2343">
        <f>SUM('ЭЭ вода'!AS43)</f>
        <v>7492.7708577792009</v>
      </c>
      <c r="ED18" s="2343">
        <v>0</v>
      </c>
      <c r="EE18" s="2343">
        <f t="shared" ref="EE18:EE19" si="182">EF18+EG18</f>
        <v>7904.273652184781</v>
      </c>
      <c r="EF18" s="2343">
        <f>SUM('ЭЭ вода'!AT43)</f>
        <v>7904.273652184781</v>
      </c>
      <c r="EG18" s="2343">
        <v>0</v>
      </c>
      <c r="EH18" s="3662">
        <f t="shared" ref="EH18:EH19" si="183">EI18+EJ18</f>
        <v>3328.5299200000004</v>
      </c>
      <c r="EI18" s="3662">
        <f>SUM('ЭЭ вода'!AU43)-EI45</f>
        <v>3328.5299200000004</v>
      </c>
      <c r="EJ18" s="3662">
        <v>0</v>
      </c>
      <c r="EK18" s="3662">
        <f t="shared" ref="EK18:EK19" si="184">EL18+EM18</f>
        <v>6653.6211300000004</v>
      </c>
      <c r="EL18" s="3662">
        <f>SUM('ЭЭ вода'!AV43)-EL45</f>
        <v>6653.6211300000004</v>
      </c>
      <c r="EM18" s="3662">
        <v>0</v>
      </c>
    </row>
    <row r="19" spans="1:143" ht="21" customHeight="1" x14ac:dyDescent="0.2">
      <c r="A19" s="3191" t="s">
        <v>1903</v>
      </c>
      <c r="B19" s="3289">
        <v>5737.6</v>
      </c>
      <c r="C19" s="2110">
        <v>5889.5</v>
      </c>
      <c r="D19" s="3079">
        <f t="shared" si="51"/>
        <v>102.64744841048521</v>
      </c>
      <c r="E19" s="2110">
        <v>4309.1000000000004</v>
      </c>
      <c r="F19" s="3079">
        <f t="shared" si="52"/>
        <v>73.165803548688345</v>
      </c>
      <c r="G19" s="2110">
        <v>3796.7</v>
      </c>
      <c r="H19" s="3079">
        <f t="shared" si="53"/>
        <v>88.108885846232383</v>
      </c>
      <c r="I19" s="3291">
        <f>6071.7*0.95756</f>
        <v>5814.0170519999992</v>
      </c>
      <c r="J19" s="3291">
        <v>1709.7</v>
      </c>
      <c r="K19" s="3291">
        <v>5672.4</v>
      </c>
      <c r="L19" s="3291">
        <v>8063.5</v>
      </c>
      <c r="M19" s="3308">
        <f t="shared" si="54"/>
        <v>138.69068370252177</v>
      </c>
      <c r="N19" s="3308">
        <f t="shared" si="55"/>
        <v>212.38180525192934</v>
      </c>
      <c r="O19" s="3291">
        <f>ХР!AB15</f>
        <v>6597.94</v>
      </c>
      <c r="P19" s="3308">
        <f t="shared" si="56"/>
        <v>113.48332729313778</v>
      </c>
      <c r="Q19" s="3309" t="e">
        <f>ХР!AK15</f>
        <v>#REF!</v>
      </c>
      <c r="R19" s="3308" t="e">
        <f t="shared" si="65"/>
        <v>#REF!</v>
      </c>
      <c r="S19" s="3308" t="e">
        <f t="shared" si="66"/>
        <v>#REF!</v>
      </c>
      <c r="T19" s="3291" t="e">
        <f t="shared" ref="T19:T26" si="185">Q19</f>
        <v>#REF!</v>
      </c>
      <c r="U19" s="3291"/>
      <c r="V19" s="3291">
        <v>3670.1</v>
      </c>
      <c r="W19" s="3291">
        <v>4408.3999999999996</v>
      </c>
      <c r="X19" s="3291">
        <v>0</v>
      </c>
      <c r="Y19" s="1597">
        <v>6984.1</v>
      </c>
      <c r="Z19" s="1591" t="e">
        <f t="shared" si="57"/>
        <v>#REF!</v>
      </c>
      <c r="AA19" s="1597" t="e">
        <f>ХР!O39</f>
        <v>#REF!</v>
      </c>
      <c r="AB19" s="1591" t="e">
        <f t="shared" si="1"/>
        <v>#REF!</v>
      </c>
      <c r="AC19" s="1597" t="e">
        <f t="shared" ref="AC19:AC26" si="186">AA19</f>
        <v>#REF!</v>
      </c>
      <c r="AD19" s="1597">
        <v>0</v>
      </c>
      <c r="AE19" s="1597">
        <f>SUM(ХР!AF39)</f>
        <v>4087.3393910999998</v>
      </c>
      <c r="AF19" s="1597">
        <f>SUM(AE19)</f>
        <v>4087.3393910999998</v>
      </c>
      <c r="AG19" s="1597">
        <v>0</v>
      </c>
      <c r="AH19" s="1598">
        <f t="shared" si="59"/>
        <v>4631.88</v>
      </c>
      <c r="AI19" s="1592" t="e">
        <f t="shared" si="60"/>
        <v>#REF!</v>
      </c>
      <c r="AJ19" s="1597">
        <v>4631.88</v>
      </c>
      <c r="AK19" s="1597">
        <v>0</v>
      </c>
      <c r="AL19" s="1598">
        <f t="shared" si="61"/>
        <v>3968.311174693004</v>
      </c>
      <c r="AM19" s="1592" t="e">
        <f t="shared" si="62"/>
        <v>#REF!</v>
      </c>
      <c r="AN19" s="1597">
        <f>ХР!AP39</f>
        <v>3968.311174693004</v>
      </c>
      <c r="AO19" s="1597">
        <v>0</v>
      </c>
      <c r="AP19" s="1593" t="e">
        <f t="shared" si="63"/>
        <v>#REF!</v>
      </c>
      <c r="AQ19" s="1593" t="e">
        <f t="shared" si="98"/>
        <v>#REF!</v>
      </c>
      <c r="AR19" s="1593" t="e">
        <f t="shared" si="64"/>
        <v>#REF!</v>
      </c>
      <c r="AS19" s="1593" t="e">
        <f t="shared" si="2"/>
        <v>#REF!</v>
      </c>
      <c r="AT19" s="1597">
        <f>SUM(ХР!AT39)</f>
        <v>2640.0770813999998</v>
      </c>
      <c r="AU19" s="1597">
        <f>SUM(AT19)</f>
        <v>2640.0770813999998</v>
      </c>
      <c r="AV19" s="1597">
        <v>0</v>
      </c>
      <c r="AW19" s="1597">
        <f t="shared" ref="AW19:AW42" si="187">AX19+AY19</f>
        <v>5707.19</v>
      </c>
      <c r="AX19" s="1597">
        <v>5707.19</v>
      </c>
      <c r="AY19" s="1597">
        <v>0</v>
      </c>
      <c r="AZ19" s="1597">
        <v>6791.38</v>
      </c>
      <c r="BA19" s="1594">
        <f t="shared" ref="BA19" si="188">SUM(AZ19/AL19)</f>
        <v>1.711403088374337</v>
      </c>
      <c r="BB19" s="1597">
        <f>SUM(AZ19)</f>
        <v>6791.38</v>
      </c>
      <c r="BC19" s="1597">
        <v>0</v>
      </c>
      <c r="BD19" s="1597">
        <f>SUM(ХР!BH39)</f>
        <v>6985.4283978386675</v>
      </c>
      <c r="BE19" s="1597">
        <f>SUM(BD19)</f>
        <v>6985.4283978386675</v>
      </c>
      <c r="BF19" s="1597">
        <v>0</v>
      </c>
      <c r="BG19" s="1597">
        <f t="shared" si="71"/>
        <v>8877.36</v>
      </c>
      <c r="BH19" s="1597">
        <v>8877.36</v>
      </c>
      <c r="BI19" s="1597">
        <v>0</v>
      </c>
      <c r="BJ19" s="1597">
        <f t="shared" si="159"/>
        <v>14052.2</v>
      </c>
      <c r="BK19" s="1597">
        <v>14052.2</v>
      </c>
      <c r="BL19" s="1597"/>
      <c r="BM19" s="1597">
        <f t="shared" si="160"/>
        <v>7625.8140000000003</v>
      </c>
      <c r="BN19" s="1597">
        <v>7625.8140000000003</v>
      </c>
      <c r="BO19" s="1597">
        <v>0</v>
      </c>
      <c r="BP19" s="1597">
        <f t="shared" si="161"/>
        <v>12899.94</v>
      </c>
      <c r="BQ19" s="1597">
        <v>12899.94</v>
      </c>
      <c r="BR19" s="1597">
        <v>0</v>
      </c>
      <c r="BS19" s="1597">
        <f t="shared" si="162"/>
        <v>13684.63</v>
      </c>
      <c r="BT19" s="1597">
        <v>13684.63</v>
      </c>
      <c r="BU19" s="1597"/>
      <c r="BV19" s="1597">
        <f t="shared" si="163"/>
        <v>11981.832285756163</v>
      </c>
      <c r="BW19" s="1597">
        <f>'хим реагенты'!I44</f>
        <v>11981.832285756163</v>
      </c>
      <c r="BX19" s="1597"/>
      <c r="BY19" s="1597">
        <f t="shared" si="164"/>
        <v>13937.242556447221</v>
      </c>
      <c r="BZ19" s="1597">
        <f>SUM('хим реагенты'!J44)</f>
        <v>13937.242556447221</v>
      </c>
      <c r="CA19" s="1597">
        <v>0</v>
      </c>
      <c r="CB19" s="3286" t="str">
        <f t="shared" ref="CB19" si="189">CB10</f>
        <v>Приложение</v>
      </c>
      <c r="CC19" s="363">
        <f>BD19/BE93</f>
        <v>5.3667614302372997E-2</v>
      </c>
      <c r="CD19" s="365"/>
      <c r="CE19" s="365"/>
      <c r="CF19" s="1597">
        <f t="shared" si="165"/>
        <v>12217.874381785559</v>
      </c>
      <c r="CG19" s="1597">
        <f>SUM('хим реагенты'!L44)</f>
        <v>12217.874381785559</v>
      </c>
      <c r="CH19" s="1597">
        <v>0</v>
      </c>
      <c r="CI19" s="1597">
        <f t="shared" si="166"/>
        <v>5300.6039599999995</v>
      </c>
      <c r="CJ19" s="1597">
        <f>SUM('хим реагенты'!M44)</f>
        <v>5300.6039599999995</v>
      </c>
      <c r="CK19" s="1597">
        <v>0</v>
      </c>
      <c r="CL19" s="1597">
        <f t="shared" si="167"/>
        <v>9302.0645499999991</v>
      </c>
      <c r="CM19" s="1597">
        <f>SUM('хим реагенты'!N44)</f>
        <v>9302.0645499999991</v>
      </c>
      <c r="CN19" s="1597">
        <v>0</v>
      </c>
      <c r="CO19" s="1597">
        <f t="shared" si="168"/>
        <v>12289.241999999998</v>
      </c>
      <c r="CP19" s="1597">
        <f>SUM('хим реагенты'!O44)</f>
        <v>12289.241999999998</v>
      </c>
      <c r="CQ19" s="1597">
        <v>0</v>
      </c>
      <c r="CR19" s="1597">
        <f t="shared" si="169"/>
        <v>12854.547132000002</v>
      </c>
      <c r="CS19" s="1597">
        <f>SUM('хим реагенты'!P44)</f>
        <v>12854.547132000002</v>
      </c>
      <c r="CT19" s="1597">
        <v>0</v>
      </c>
      <c r="CU19" s="1597">
        <f t="shared" si="170"/>
        <v>12555.472992936357</v>
      </c>
      <c r="CV19" s="1597">
        <f>SUM('хим реагенты'!Q44)</f>
        <v>12555.472992936357</v>
      </c>
      <c r="CW19" s="1597">
        <v>0</v>
      </c>
      <c r="CX19" s="1597">
        <f t="shared" si="171"/>
        <v>9670.8643799999991</v>
      </c>
      <c r="CY19" s="1597">
        <f>SUM('хим реагенты'!R44)</f>
        <v>9670.8643799999991</v>
      </c>
      <c r="CZ19" s="1597">
        <v>0</v>
      </c>
      <c r="DA19" s="1597">
        <f t="shared" si="172"/>
        <v>12168.492399999999</v>
      </c>
      <c r="DB19" s="1597">
        <f>SUM('хим реагенты'!S44)</f>
        <v>12168.492399999999</v>
      </c>
      <c r="DC19" s="1597">
        <v>0</v>
      </c>
      <c r="DD19" s="1597">
        <f t="shared" si="173"/>
        <v>13798.582809999998</v>
      </c>
      <c r="DE19" s="1597">
        <f>SUM('хим реагенты'!T44)</f>
        <v>13798.582809999998</v>
      </c>
      <c r="DF19" s="1597">
        <v>0</v>
      </c>
      <c r="DG19" s="1597">
        <f t="shared" si="174"/>
        <v>14431.544161535001</v>
      </c>
      <c r="DH19" s="1597">
        <f>SUM('хим реагенты'!U44)</f>
        <v>14431.544161535001</v>
      </c>
      <c r="DI19" s="1597">
        <v>0</v>
      </c>
      <c r="DJ19" s="1597">
        <f t="shared" si="175"/>
        <v>13290.445306508884</v>
      </c>
      <c r="DK19" s="1597">
        <f>SUM('хим реагенты'!V44)</f>
        <v>13290.445306508884</v>
      </c>
      <c r="DL19" s="1597">
        <v>0</v>
      </c>
      <c r="DM19" s="1597">
        <f t="shared" si="176"/>
        <v>5227.31567</v>
      </c>
      <c r="DN19" s="1597">
        <f>SUM('хим реагенты'!W44)</f>
        <v>5227.31567</v>
      </c>
      <c r="DO19" s="1597">
        <v>0</v>
      </c>
      <c r="DP19" s="1597">
        <f t="shared" si="177"/>
        <v>8613.9956299999994</v>
      </c>
      <c r="DQ19" s="1597">
        <f>SUM('хим реагенты'!X44)</f>
        <v>8613.9956299999994</v>
      </c>
      <c r="DR19" s="1597">
        <v>0</v>
      </c>
      <c r="DS19" s="1597">
        <f t="shared" si="178"/>
        <v>10969.913079999998</v>
      </c>
      <c r="DT19" s="1597">
        <f>SUM('хим реагенты'!Y44)</f>
        <v>10969.913079999998</v>
      </c>
      <c r="DU19" s="1597">
        <v>0</v>
      </c>
      <c r="DV19" s="2343">
        <f t="shared" si="179"/>
        <v>14537.466925155473</v>
      </c>
      <c r="DW19" s="2343">
        <f>SUM('хим реагенты'!Z44)</f>
        <v>14537.466925155473</v>
      </c>
      <c r="DX19" s="2343">
        <v>0</v>
      </c>
      <c r="DY19" s="3211">
        <f t="shared" si="180"/>
        <v>0</v>
      </c>
      <c r="DZ19" s="3211">
        <f>SUM('хим реагенты'!AK44)</f>
        <v>0</v>
      </c>
      <c r="EA19" s="4071">
        <v>0</v>
      </c>
      <c r="EB19" s="2343">
        <f t="shared" si="181"/>
        <v>18704.158061668386</v>
      </c>
      <c r="EC19" s="2343">
        <f>SUM('хим реагенты'!AB44)</f>
        <v>18704.158061668386</v>
      </c>
      <c r="ED19" s="2343">
        <v>0</v>
      </c>
      <c r="EE19" s="2343">
        <f t="shared" si="182"/>
        <v>15922.770902590104</v>
      </c>
      <c r="EF19" s="2343">
        <f>SUM('хим реагенты'!AC44)</f>
        <v>15922.770902590104</v>
      </c>
      <c r="EG19" s="2343">
        <v>0</v>
      </c>
      <c r="EH19" s="3662">
        <f t="shared" si="183"/>
        <v>7131.6000599999998</v>
      </c>
      <c r="EI19" s="3662">
        <f>SUM('хим реагенты'!AD44)</f>
        <v>7131.6000599999998</v>
      </c>
      <c r="EJ19" s="3662">
        <v>0</v>
      </c>
      <c r="EK19" s="3662">
        <f t="shared" si="184"/>
        <v>14282.510940000002</v>
      </c>
      <c r="EL19" s="3662">
        <f>SUM('хим реагенты'!AE44)</f>
        <v>14282.510940000002</v>
      </c>
      <c r="EM19" s="3662">
        <v>0</v>
      </c>
    </row>
    <row r="20" spans="1:143" ht="21" customHeight="1" x14ac:dyDescent="0.2">
      <c r="A20" s="3191" t="s">
        <v>2</v>
      </c>
      <c r="B20" s="3289">
        <v>401</v>
      </c>
      <c r="C20" s="2110">
        <v>472.2</v>
      </c>
      <c r="D20" s="3079">
        <f t="shared" si="51"/>
        <v>117.75561097256858</v>
      </c>
      <c r="E20" s="2110">
        <v>481.5</v>
      </c>
      <c r="F20" s="3079">
        <f t="shared" si="52"/>
        <v>101.96950444726811</v>
      </c>
      <c r="G20" s="2110">
        <v>782.8</v>
      </c>
      <c r="H20" s="3079">
        <f t="shared" si="53"/>
        <v>162.57528556593977</v>
      </c>
      <c r="I20" s="3291">
        <v>542</v>
      </c>
      <c r="J20" s="3291">
        <v>268.7</v>
      </c>
      <c r="K20" s="3291">
        <v>396.5</v>
      </c>
      <c r="L20" s="3291">
        <v>535</v>
      </c>
      <c r="M20" s="3308">
        <f t="shared" si="54"/>
        <v>98.708487084870839</v>
      </c>
      <c r="N20" s="3308">
        <f t="shared" si="55"/>
        <v>68.344404701073074</v>
      </c>
      <c r="O20" s="3291">
        <v>698</v>
      </c>
      <c r="P20" s="3308">
        <f t="shared" si="56"/>
        <v>128.78228782287823</v>
      </c>
      <c r="Q20" s="3309">
        <v>542</v>
      </c>
      <c r="R20" s="3308">
        <f t="shared" si="65"/>
        <v>100</v>
      </c>
      <c r="S20" s="3308">
        <f t="shared" si="66"/>
        <v>101.30841121495327</v>
      </c>
      <c r="T20" s="3291">
        <f t="shared" si="185"/>
        <v>542</v>
      </c>
      <c r="U20" s="3291"/>
      <c r="V20" s="3291">
        <v>461.2</v>
      </c>
      <c r="W20" s="3291">
        <v>635.20000000000005</v>
      </c>
      <c r="X20" s="3291">
        <v>0</v>
      </c>
      <c r="Y20" s="1597">
        <v>575.29999999999995</v>
      </c>
      <c r="Z20" s="1591">
        <f t="shared" si="57"/>
        <v>1.0614391143911439</v>
      </c>
      <c r="AA20" s="1597">
        <f>Аморт!G8</f>
        <v>575.29999999999995</v>
      </c>
      <c r="AB20" s="1591">
        <f t="shared" si="1"/>
        <v>1.0614391143911439</v>
      </c>
      <c r="AC20" s="1597">
        <f t="shared" si="186"/>
        <v>575.29999999999995</v>
      </c>
      <c r="AD20" s="1597">
        <v>0</v>
      </c>
      <c r="AE20" s="1597">
        <f>SUM(Аморт!L8)</f>
        <v>1043.5999999999999</v>
      </c>
      <c r="AF20" s="1597">
        <f>SUM(AE20)</f>
        <v>1043.5999999999999</v>
      </c>
      <c r="AG20" s="1597">
        <v>0</v>
      </c>
      <c r="AH20" s="1598">
        <f t="shared" si="59"/>
        <v>721.2</v>
      </c>
      <c r="AI20" s="1592">
        <f t="shared" si="60"/>
        <v>1.2536068138362595</v>
      </c>
      <c r="AJ20" s="1597">
        <v>721.2</v>
      </c>
      <c r="AK20" s="1597">
        <v>0</v>
      </c>
      <c r="AL20" s="1598">
        <f t="shared" si="61"/>
        <v>721.2</v>
      </c>
      <c r="AM20" s="1592">
        <f t="shared" si="62"/>
        <v>1.2536068138362595</v>
      </c>
      <c r="AN20" s="1597">
        <f>Аморт!O8</f>
        <v>721.2</v>
      </c>
      <c r="AO20" s="1597">
        <v>0</v>
      </c>
      <c r="AP20" s="1593">
        <f t="shared" si="63"/>
        <v>0</v>
      </c>
      <c r="AQ20" s="1593">
        <f t="shared" si="98"/>
        <v>0</v>
      </c>
      <c r="AR20" s="1593">
        <f t="shared" si="64"/>
        <v>0</v>
      </c>
      <c r="AS20" s="1593">
        <f t="shared" si="2"/>
        <v>0</v>
      </c>
      <c r="AT20" s="1597">
        <f>SUM(Аморт!Q8)</f>
        <v>725.7</v>
      </c>
      <c r="AU20" s="1597">
        <f>SUM(AT20)</f>
        <v>725.7</v>
      </c>
      <c r="AV20" s="1597">
        <v>0</v>
      </c>
      <c r="AW20" s="1597">
        <f t="shared" si="187"/>
        <v>1561.14</v>
      </c>
      <c r="AX20" s="1597">
        <v>1561.14</v>
      </c>
      <c r="AY20" s="1597">
        <v>0</v>
      </c>
      <c r="AZ20" s="1597">
        <f>SUM(Аморт!T8)</f>
        <v>721.2</v>
      </c>
      <c r="BA20" s="1594">
        <f t="shared" si="70"/>
        <v>1</v>
      </c>
      <c r="BB20" s="1597">
        <f>SUM(AZ20)</f>
        <v>721.2</v>
      </c>
      <c r="BC20" s="1597">
        <f>SUM(AZ20-BB20)</f>
        <v>0</v>
      </c>
      <c r="BD20" s="1597">
        <f>SUM(Аморт!U8)</f>
        <v>1535.71</v>
      </c>
      <c r="BE20" s="1597">
        <f>SUM(BD20)</f>
        <v>1535.71</v>
      </c>
      <c r="BF20" s="1597">
        <f>SUM(BD20-BE20)</f>
        <v>0</v>
      </c>
      <c r="BG20" s="1597">
        <f t="shared" si="71"/>
        <v>1344.19</v>
      </c>
      <c r="BH20" s="1597">
        <v>1344.19</v>
      </c>
      <c r="BI20" s="1597">
        <v>0</v>
      </c>
      <c r="BJ20" s="1597">
        <f t="shared" si="159"/>
        <v>2802.12</v>
      </c>
      <c r="BK20" s="1597">
        <v>2802.12</v>
      </c>
      <c r="BL20" s="1597"/>
      <c r="BM20" s="1597">
        <f t="shared" si="160"/>
        <v>1344.194</v>
      </c>
      <c r="BN20" s="1597">
        <v>1344.194</v>
      </c>
      <c r="BO20" s="1597">
        <v>0</v>
      </c>
      <c r="BP20" s="1597">
        <f t="shared" si="161"/>
        <v>3021.59</v>
      </c>
      <c r="BQ20" s="1597">
        <v>3021.59</v>
      </c>
      <c r="BR20" s="1597">
        <v>0</v>
      </c>
      <c r="BS20" s="1597">
        <f t="shared" si="162"/>
        <v>2802.12</v>
      </c>
      <c r="BT20" s="1597">
        <v>2802.12</v>
      </c>
      <c r="BU20" s="1597"/>
      <c r="BV20" s="1597">
        <f>Аморт!AM8</f>
        <v>2802.12</v>
      </c>
      <c r="BW20" s="1597">
        <f>Аморт!AM8</f>
        <v>2802.12</v>
      </c>
      <c r="BX20" s="1597"/>
      <c r="BY20" s="1597">
        <f>SUM(Аморт!AS8)</f>
        <v>3021.59</v>
      </c>
      <c r="BZ20" s="1597">
        <f>SUM(Аморт!AS8)</f>
        <v>3021.59</v>
      </c>
      <c r="CA20" s="1597">
        <v>0</v>
      </c>
      <c r="CB20" s="3286" t="s">
        <v>960</v>
      </c>
      <c r="CC20" s="365"/>
      <c r="CD20" s="365"/>
      <c r="CE20" s="365"/>
      <c r="CF20" s="1597">
        <f>SUM(CG20:CH20)</f>
        <v>3021.59</v>
      </c>
      <c r="CG20" s="1597">
        <f>SUM(Аморт!AT8)</f>
        <v>3021.59</v>
      </c>
      <c r="CH20" s="1597">
        <v>0</v>
      </c>
      <c r="CI20" s="1597">
        <f>SUM(CJ20:CK20)</f>
        <v>3307.34</v>
      </c>
      <c r="CJ20" s="1597">
        <f>SUM(Аморт!AV8)</f>
        <v>3307.34</v>
      </c>
      <c r="CK20" s="1597">
        <f>SUM(Аморт!AW8)</f>
        <v>0</v>
      </c>
      <c r="CL20" s="1597">
        <f>SUM(CM20:CN20)</f>
        <v>4757.53</v>
      </c>
      <c r="CM20" s="1597">
        <f>SUM(Аморт!AY8)</f>
        <v>4757.53</v>
      </c>
      <c r="CN20" s="1597">
        <f>SUM(Аморт!AZ8)</f>
        <v>0</v>
      </c>
      <c r="CO20" s="1597">
        <f>SUM(CP20:CQ20)</f>
        <v>5705.59</v>
      </c>
      <c r="CP20" s="1597">
        <f>SUM(Аморт!BB8)</f>
        <v>5705.59</v>
      </c>
      <c r="CQ20" s="1597">
        <f>SUM(Аморт!BC8)</f>
        <v>0</v>
      </c>
      <c r="CR20" s="1597">
        <f>SUM(CS20:CT20)</f>
        <v>5705.59</v>
      </c>
      <c r="CS20" s="1597">
        <f>SUM(Аморт!BD8)</f>
        <v>5705.59</v>
      </c>
      <c r="CT20" s="1597">
        <f>SUM(Аморт!BF8)</f>
        <v>0</v>
      </c>
      <c r="CU20" s="1597">
        <f>SUM(CV20:CW20)</f>
        <v>2993.239782534431</v>
      </c>
      <c r="CV20" s="1597">
        <f>SUM(Аморт!BE8)</f>
        <v>2993.239782534431</v>
      </c>
      <c r="CW20" s="1597">
        <v>0</v>
      </c>
      <c r="CX20" s="1597">
        <f>SUM(CY20:CZ20)</f>
        <v>2500.84</v>
      </c>
      <c r="CY20" s="1597">
        <f>SUM(Аморт!BJ8)</f>
        <v>2500.84</v>
      </c>
      <c r="CZ20" s="1597">
        <v>0</v>
      </c>
      <c r="DA20" s="1597">
        <f>SUM(DB20:DC20)</f>
        <v>3748.76</v>
      </c>
      <c r="DB20" s="1597">
        <f>SUM(Аморт!BM8)</f>
        <v>3748.76</v>
      </c>
      <c r="DC20" s="1597">
        <v>0</v>
      </c>
      <c r="DD20" s="1597">
        <f>SUM(DE20:DF20)</f>
        <v>4993.4399999999996</v>
      </c>
      <c r="DE20" s="1597">
        <f>SUM(Аморт!BP8)</f>
        <v>4993.4399999999996</v>
      </c>
      <c r="DF20" s="1597">
        <v>0</v>
      </c>
      <c r="DG20" s="1597">
        <f>SUM(DH20:DI20)</f>
        <v>4993.4399999999996</v>
      </c>
      <c r="DH20" s="1597">
        <f>SUM(Аморт!BR8)</f>
        <v>4993.4399999999996</v>
      </c>
      <c r="DI20" s="1597">
        <v>0</v>
      </c>
      <c r="DJ20" s="1597">
        <f>SUM(DK20:DL20)</f>
        <v>4962.5709449852829</v>
      </c>
      <c r="DK20" s="1597">
        <f>SUM(Аморт!BS8)</f>
        <v>4962.5709449852829</v>
      </c>
      <c r="DL20" s="1597">
        <v>0</v>
      </c>
      <c r="DM20" s="1597">
        <f>SUM(DN20:DO20)</f>
        <v>2140.0729999999999</v>
      </c>
      <c r="DN20" s="1597">
        <f>SUM(Аморт!BU8)</f>
        <v>2140.0729999999999</v>
      </c>
      <c r="DO20" s="1597">
        <v>0</v>
      </c>
      <c r="DP20" s="1597">
        <f>SUM(DQ20:DR20)</f>
        <v>3333</v>
      </c>
      <c r="DQ20" s="1597">
        <f>SUM(Аморт!BX8)</f>
        <v>3333</v>
      </c>
      <c r="DR20" s="1597">
        <v>0</v>
      </c>
      <c r="DS20" s="1597">
        <f>SUM(DT20:DU20)</f>
        <v>4529.4059999999999</v>
      </c>
      <c r="DT20" s="1597">
        <f>SUM(Аморт!CA8)</f>
        <v>4529.4059999999999</v>
      </c>
      <c r="DU20" s="1597">
        <v>0</v>
      </c>
      <c r="DV20" s="2343">
        <f>SUM(DW20:DX20)</f>
        <v>4962.5709399999996</v>
      </c>
      <c r="DW20" s="2343">
        <f>SUM(Аморт!CC8)</f>
        <v>4962.5709399999996</v>
      </c>
      <c r="DX20" s="2343">
        <v>0</v>
      </c>
      <c r="DY20" s="3211">
        <f>SUM(DZ20:EA20)</f>
        <v>0</v>
      </c>
      <c r="DZ20" s="3211">
        <f>SUM(Аморт!CG8)</f>
        <v>0</v>
      </c>
      <c r="EA20" s="4071">
        <v>0</v>
      </c>
      <c r="EB20" s="2343">
        <f>SUM(EC20:ED20)</f>
        <v>4962.5709399999996</v>
      </c>
      <c r="EC20" s="2343">
        <f>SUM(Аморт!CC8)</f>
        <v>4962.5709399999996</v>
      </c>
      <c r="ED20" s="2343">
        <v>0</v>
      </c>
      <c r="EE20" s="2343">
        <f>SUM(EF20:EG20)</f>
        <v>4381.4028293406873</v>
      </c>
      <c r="EF20" s="2343">
        <f>SUM(Аморт!CD8)</f>
        <v>4381.4028293406873</v>
      </c>
      <c r="EG20" s="2343">
        <v>0</v>
      </c>
      <c r="EH20" s="3662">
        <f>SUM(EI20:EJ20)</f>
        <v>2375.0070000000001</v>
      </c>
      <c r="EI20" s="3662">
        <f>SUM(Аморт!CE8)</f>
        <v>2375.0070000000001</v>
      </c>
      <c r="EJ20" s="3662">
        <v>0</v>
      </c>
      <c r="EK20" s="3662">
        <f>SUM(EL20:EM20)</f>
        <v>3912.3330000000001</v>
      </c>
      <c r="EL20" s="3662">
        <f>SUM(Аморт!CF8)</f>
        <v>3912.3330000000001</v>
      </c>
      <c r="EM20" s="3662">
        <v>0</v>
      </c>
    </row>
    <row r="21" spans="1:143" ht="21" customHeight="1" x14ac:dyDescent="0.2">
      <c r="A21" s="3191" t="s">
        <v>4280</v>
      </c>
      <c r="B21" s="3289">
        <v>90.7</v>
      </c>
      <c r="C21" s="2110">
        <v>52.1</v>
      </c>
      <c r="D21" s="3079">
        <f t="shared" si="51"/>
        <v>57.44211686879823</v>
      </c>
      <c r="E21" s="2110">
        <v>49</v>
      </c>
      <c r="F21" s="3079">
        <f t="shared" si="52"/>
        <v>94.049904030710181</v>
      </c>
      <c r="G21" s="2110"/>
      <c r="H21" s="3079">
        <f t="shared" si="53"/>
        <v>0</v>
      </c>
      <c r="I21" s="3291">
        <v>0</v>
      </c>
      <c r="J21" s="3291">
        <v>216.7</v>
      </c>
      <c r="K21" s="3291">
        <v>125.5</v>
      </c>
      <c r="L21" s="3291">
        <v>169.7</v>
      </c>
      <c r="M21" s="3308"/>
      <c r="N21" s="3308"/>
      <c r="O21" s="3291">
        <v>0</v>
      </c>
      <c r="P21" s="3308"/>
      <c r="Q21" s="3309"/>
      <c r="R21" s="3308"/>
      <c r="S21" s="3308">
        <f t="shared" si="66"/>
        <v>0</v>
      </c>
      <c r="T21" s="3291">
        <f t="shared" si="185"/>
        <v>0</v>
      </c>
      <c r="U21" s="3291"/>
      <c r="V21" s="3291">
        <v>0</v>
      </c>
      <c r="W21" s="3291">
        <v>0</v>
      </c>
      <c r="X21" s="3291">
        <v>0</v>
      </c>
      <c r="Y21" s="1597">
        <v>0</v>
      </c>
      <c r="Z21" s="1591"/>
      <c r="AA21" s="1597">
        <v>0</v>
      </c>
      <c r="AB21" s="1591"/>
      <c r="AC21" s="1597">
        <f t="shared" si="186"/>
        <v>0</v>
      </c>
      <c r="AD21" s="1597">
        <v>0</v>
      </c>
      <c r="AE21" s="1597">
        <v>0</v>
      </c>
      <c r="AF21" s="1597">
        <f t="shared" ref="AF21" si="190">AD21</f>
        <v>0</v>
      </c>
      <c r="AG21" s="1597">
        <v>0</v>
      </c>
      <c r="AH21" s="1598">
        <f t="shared" si="59"/>
        <v>0</v>
      </c>
      <c r="AI21" s="1592"/>
      <c r="AJ21" s="1597">
        <v>0</v>
      </c>
      <c r="AK21" s="1597">
        <v>0</v>
      </c>
      <c r="AL21" s="1598">
        <f t="shared" si="61"/>
        <v>0</v>
      </c>
      <c r="AM21" s="1592"/>
      <c r="AN21" s="1597">
        <v>0</v>
      </c>
      <c r="AO21" s="1597">
        <v>0</v>
      </c>
      <c r="AP21" s="1593">
        <f t="shared" si="63"/>
        <v>0</v>
      </c>
      <c r="AQ21" s="1593"/>
      <c r="AR21" s="1593"/>
      <c r="AS21" s="1593">
        <f t="shared" si="2"/>
        <v>0</v>
      </c>
      <c r="AT21" s="1597">
        <v>0</v>
      </c>
      <c r="AU21" s="1597">
        <f t="shared" ref="AU21" si="191">AS21</f>
        <v>0</v>
      </c>
      <c r="AV21" s="1597">
        <v>0</v>
      </c>
      <c r="AW21" s="1597">
        <f t="shared" si="187"/>
        <v>0</v>
      </c>
      <c r="AX21" s="1597">
        <v>0</v>
      </c>
      <c r="AY21" s="1597">
        <v>0</v>
      </c>
      <c r="AZ21" s="1598">
        <f t="shared" ref="AZ21:AZ22" si="192">SUM(BB21+BC21)</f>
        <v>0</v>
      </c>
      <c r="BA21" s="1594"/>
      <c r="BB21" s="1597">
        <v>0</v>
      </c>
      <c r="BC21" s="1597">
        <v>0</v>
      </c>
      <c r="BD21" s="1598">
        <f t="shared" ref="BD21:BD22" si="193">SUM(BE21+BF21)</f>
        <v>0</v>
      </c>
      <c r="BE21" s="1597">
        <v>0</v>
      </c>
      <c r="BF21" s="1597">
        <v>0</v>
      </c>
      <c r="BG21" s="1597">
        <f t="shared" si="71"/>
        <v>0</v>
      </c>
      <c r="BH21" s="1597">
        <v>0</v>
      </c>
      <c r="BI21" s="1597">
        <v>0</v>
      </c>
      <c r="BJ21" s="1597">
        <f t="shared" si="159"/>
        <v>0</v>
      </c>
      <c r="BK21" s="1597">
        <v>0</v>
      </c>
      <c r="BL21" s="1597"/>
      <c r="BM21" s="1597">
        <f t="shared" si="160"/>
        <v>0</v>
      </c>
      <c r="BN21" s="1597">
        <v>0</v>
      </c>
      <c r="BO21" s="1597">
        <v>0</v>
      </c>
      <c r="BP21" s="1597">
        <f t="shared" si="161"/>
        <v>0</v>
      </c>
      <c r="BQ21" s="1597">
        <v>0</v>
      </c>
      <c r="BR21" s="1597">
        <v>0</v>
      </c>
      <c r="BS21" s="1597">
        <f t="shared" si="162"/>
        <v>0</v>
      </c>
      <c r="BT21" s="1597">
        <v>0</v>
      </c>
      <c r="BU21" s="1597"/>
      <c r="BV21" s="1597">
        <f t="shared" si="163"/>
        <v>0</v>
      </c>
      <c r="BW21" s="1597">
        <v>0</v>
      </c>
      <c r="BX21" s="1597"/>
      <c r="BY21" s="1597">
        <f t="shared" ref="BY21" si="194">BZ21+CA21</f>
        <v>0</v>
      </c>
      <c r="BZ21" s="1597">
        <v>0</v>
      </c>
      <c r="CA21" s="1597">
        <v>0</v>
      </c>
      <c r="CB21" s="3286"/>
      <c r="CC21" s="365"/>
      <c r="CD21" s="365"/>
      <c r="CE21" s="365"/>
      <c r="CF21" s="1597">
        <f t="shared" ref="CF21" si="195">CG21+CH21</f>
        <v>0</v>
      </c>
      <c r="CG21" s="1597">
        <v>0</v>
      </c>
      <c r="CH21" s="1597">
        <v>0</v>
      </c>
      <c r="CI21" s="1597">
        <f t="shared" ref="CI21:CI22" si="196">CJ21+CK21</f>
        <v>0</v>
      </c>
      <c r="CJ21" s="1597">
        <v>0</v>
      </c>
      <c r="CK21" s="1597">
        <v>0</v>
      </c>
      <c r="CL21" s="1597">
        <f t="shared" ref="CL21:CL22" si="197">CM21+CN21</f>
        <v>0</v>
      </c>
      <c r="CM21" s="1597">
        <v>0</v>
      </c>
      <c r="CN21" s="1597">
        <v>0</v>
      </c>
      <c r="CO21" s="1597">
        <f t="shared" ref="CO21:CO22" si="198">CP21+CQ21</f>
        <v>0</v>
      </c>
      <c r="CP21" s="1597">
        <v>0</v>
      </c>
      <c r="CQ21" s="1597">
        <v>0</v>
      </c>
      <c r="CR21" s="1597">
        <f t="shared" ref="CR21:CR22" si="199">CS21+CT21</f>
        <v>0</v>
      </c>
      <c r="CS21" s="1597">
        <v>0</v>
      </c>
      <c r="CT21" s="1597">
        <v>0</v>
      </c>
      <c r="CU21" s="1597">
        <f t="shared" ref="CU21:CU22" si="200">CV21+CW21</f>
        <v>0</v>
      </c>
      <c r="CV21" s="1597">
        <v>0</v>
      </c>
      <c r="CW21" s="1597">
        <v>0</v>
      </c>
      <c r="CX21" s="1597">
        <f t="shared" ref="CX21:CX22" si="201">CY21+CZ21</f>
        <v>0</v>
      </c>
      <c r="CY21" s="1597">
        <v>0</v>
      </c>
      <c r="CZ21" s="1597">
        <v>0</v>
      </c>
      <c r="DA21" s="1597">
        <f t="shared" ref="DA21:DA22" si="202">DB21+DC21</f>
        <v>0</v>
      </c>
      <c r="DB21" s="1597">
        <v>0</v>
      </c>
      <c r="DC21" s="1597">
        <v>0</v>
      </c>
      <c r="DD21" s="1597">
        <f t="shared" ref="DD21:DD22" si="203">DE21+DF21</f>
        <v>0</v>
      </c>
      <c r="DE21" s="1597">
        <v>0</v>
      </c>
      <c r="DF21" s="1597">
        <v>0</v>
      </c>
      <c r="DG21" s="1597">
        <f t="shared" ref="DG21:DG22" si="204">DH21+DI21</f>
        <v>0</v>
      </c>
      <c r="DH21" s="1597">
        <v>0</v>
      </c>
      <c r="DI21" s="1597">
        <v>0</v>
      </c>
      <c r="DJ21" s="1597">
        <f t="shared" ref="DJ21:DJ22" si="205">DK21+DL21</f>
        <v>0</v>
      </c>
      <c r="DK21" s="1597">
        <v>0</v>
      </c>
      <c r="DL21" s="1597">
        <v>0</v>
      </c>
      <c r="DM21" s="1597">
        <f t="shared" ref="DM21:DM22" si="206">DN21+DO21</f>
        <v>0</v>
      </c>
      <c r="DN21" s="1597">
        <v>0</v>
      </c>
      <c r="DO21" s="1597">
        <v>0</v>
      </c>
      <c r="DP21" s="1597">
        <f t="shared" ref="DP21:DP22" si="207">DQ21+DR21</f>
        <v>0</v>
      </c>
      <c r="DQ21" s="1597">
        <v>0</v>
      </c>
      <c r="DR21" s="1597">
        <v>0</v>
      </c>
      <c r="DS21" s="1597">
        <f t="shared" ref="DS21:DS22" si="208">DT21+DU21</f>
        <v>0</v>
      </c>
      <c r="DT21" s="1597">
        <v>0</v>
      </c>
      <c r="DU21" s="1597">
        <v>0</v>
      </c>
      <c r="DV21" s="2343">
        <f t="shared" ref="DV21:DV22" si="209">DW21+DX21</f>
        <v>0</v>
      </c>
      <c r="DW21" s="2343">
        <v>0</v>
      </c>
      <c r="DX21" s="2343">
        <v>0</v>
      </c>
      <c r="DY21" s="3211">
        <f t="shared" ref="DY21:DY22" si="210">DZ21+EA21</f>
        <v>0</v>
      </c>
      <c r="DZ21" s="3211">
        <v>0</v>
      </c>
      <c r="EA21" s="4071">
        <v>0</v>
      </c>
      <c r="EB21" s="2343">
        <f t="shared" ref="EB21:EB22" si="211">EC21+ED21</f>
        <v>0</v>
      </c>
      <c r="EC21" s="2343">
        <v>0</v>
      </c>
      <c r="ED21" s="2343">
        <v>0</v>
      </c>
      <c r="EE21" s="2343">
        <f t="shared" ref="EE21:EE22" si="212">EF21+EG21</f>
        <v>0</v>
      </c>
      <c r="EF21" s="2343">
        <v>0</v>
      </c>
      <c r="EG21" s="2343">
        <v>0</v>
      </c>
      <c r="EH21" s="3662">
        <f t="shared" ref="EH21:EH22" si="213">EI21+EJ21</f>
        <v>189.08699999999999</v>
      </c>
      <c r="EI21" s="3662">
        <v>189.08699999999999</v>
      </c>
      <c r="EJ21" s="3662">
        <v>0</v>
      </c>
      <c r="EK21" s="3662">
        <f t="shared" ref="EK21:EK22" si="214">EL21+EM21</f>
        <v>625.20000000000005</v>
      </c>
      <c r="EL21" s="3662">
        <v>625.20000000000005</v>
      </c>
      <c r="EM21" s="3662">
        <v>0</v>
      </c>
    </row>
    <row r="22" spans="1:143" s="385" customFormat="1" ht="21" customHeight="1" x14ac:dyDescent="0.2">
      <c r="A22" s="3191" t="s">
        <v>3</v>
      </c>
      <c r="B22" s="3289">
        <v>2355.1999999999998</v>
      </c>
      <c r="C22" s="2110">
        <v>1131.3</v>
      </c>
      <c r="D22" s="3079">
        <f t="shared" si="51"/>
        <v>48.034137228260867</v>
      </c>
      <c r="E22" s="2110">
        <v>1504.8</v>
      </c>
      <c r="F22" s="3079">
        <f t="shared" si="52"/>
        <v>133.0151153540175</v>
      </c>
      <c r="G22" s="2110">
        <v>822.8</v>
      </c>
      <c r="H22" s="3079">
        <f t="shared" si="53"/>
        <v>54.678362573099413</v>
      </c>
      <c r="I22" s="3291">
        <v>864.8</v>
      </c>
      <c r="J22" s="3291">
        <v>479</v>
      </c>
      <c r="K22" s="3291">
        <v>683.2</v>
      </c>
      <c r="L22" s="3291">
        <v>1076.5999999999999</v>
      </c>
      <c r="M22" s="3308">
        <f t="shared" si="54"/>
        <v>124.49121184088807</v>
      </c>
      <c r="N22" s="3308">
        <f t="shared" si="55"/>
        <v>130.84589207583858</v>
      </c>
      <c r="O22" s="3291">
        <v>951.3</v>
      </c>
      <c r="P22" s="3308">
        <f t="shared" si="56"/>
        <v>110.0023126734505</v>
      </c>
      <c r="Q22" s="3309">
        <v>0</v>
      </c>
      <c r="R22" s="3308">
        <f t="shared" si="65"/>
        <v>0</v>
      </c>
      <c r="S22" s="3308">
        <f t="shared" si="66"/>
        <v>0</v>
      </c>
      <c r="T22" s="3291">
        <f t="shared" si="185"/>
        <v>0</v>
      </c>
      <c r="U22" s="3291"/>
      <c r="V22" s="3291">
        <f>936.5+417.8+6.4</f>
        <v>1360.7</v>
      </c>
      <c r="W22" s="3291">
        <v>1500</v>
      </c>
      <c r="X22" s="3291">
        <v>0</v>
      </c>
      <c r="Y22" s="1597">
        <v>1076</v>
      </c>
      <c r="Z22" s="1591"/>
      <c r="AA22" s="1597">
        <v>0</v>
      </c>
      <c r="AB22" s="1591"/>
      <c r="AC22" s="1597">
        <f t="shared" si="186"/>
        <v>0</v>
      </c>
      <c r="AD22" s="1597">
        <v>0</v>
      </c>
      <c r="AE22" s="1597">
        <f>SUM(AF22:AG22)</f>
        <v>1500</v>
      </c>
      <c r="AF22" s="1597">
        <v>1500</v>
      </c>
      <c r="AG22" s="1597">
        <v>0</v>
      </c>
      <c r="AH22" s="1598">
        <f t="shared" si="59"/>
        <v>998</v>
      </c>
      <c r="AI22" s="1592"/>
      <c r="AJ22" s="1597">
        <v>998</v>
      </c>
      <c r="AK22" s="1597">
        <v>0</v>
      </c>
      <c r="AL22" s="1598">
        <f t="shared" si="61"/>
        <v>0</v>
      </c>
      <c r="AM22" s="1592"/>
      <c r="AN22" s="1597">
        <v>0</v>
      </c>
      <c r="AO22" s="1597">
        <v>0</v>
      </c>
      <c r="AP22" s="1593">
        <f t="shared" si="63"/>
        <v>-1076</v>
      </c>
      <c r="AQ22" s="1593">
        <f>AP22</f>
        <v>-1076</v>
      </c>
      <c r="AR22" s="1593">
        <f t="shared" si="64"/>
        <v>0</v>
      </c>
      <c r="AS22" s="1593">
        <f t="shared" si="2"/>
        <v>-1076</v>
      </c>
      <c r="AT22" s="1597">
        <v>2401.02</v>
      </c>
      <c r="AU22" s="1597">
        <v>2401.02</v>
      </c>
      <c r="AV22" s="1597">
        <v>0</v>
      </c>
      <c r="AW22" s="1597">
        <f t="shared" si="187"/>
        <v>2704.14</v>
      </c>
      <c r="AX22" s="1597">
        <v>2704.14</v>
      </c>
      <c r="AY22" s="1597">
        <v>0</v>
      </c>
      <c r="AZ22" s="1598">
        <f t="shared" si="192"/>
        <v>1500</v>
      </c>
      <c r="BA22" s="1594"/>
      <c r="BB22" s="1597">
        <f>SUM(AF22)</f>
        <v>1500</v>
      </c>
      <c r="BC22" s="1597">
        <v>0</v>
      </c>
      <c r="BD22" s="1598">
        <f t="shared" si="193"/>
        <v>0</v>
      </c>
      <c r="BE22" s="1597">
        <v>0</v>
      </c>
      <c r="BF22" s="1597">
        <v>0</v>
      </c>
      <c r="BG22" s="1597">
        <f t="shared" si="71"/>
        <v>1296.07</v>
      </c>
      <c r="BH22" s="1597">
        <v>1296.07</v>
      </c>
      <c r="BI22" s="1597">
        <v>0</v>
      </c>
      <c r="BJ22" s="1597">
        <f t="shared" si="159"/>
        <v>4707.6899999999996</v>
      </c>
      <c r="BK22" s="1597">
        <v>4707.6899999999996</v>
      </c>
      <c r="BL22" s="1597"/>
      <c r="BM22" s="1597">
        <f t="shared" si="160"/>
        <v>0</v>
      </c>
      <c r="BN22" s="1597">
        <v>0</v>
      </c>
      <c r="BO22" s="1597">
        <v>0</v>
      </c>
      <c r="BP22" s="1597">
        <f t="shared" si="161"/>
        <v>2275</v>
      </c>
      <c r="BQ22" s="1597">
        <v>2275</v>
      </c>
      <c r="BR22" s="1597">
        <v>0</v>
      </c>
      <c r="BS22" s="1597">
        <f t="shared" si="162"/>
        <v>1398.9</v>
      </c>
      <c r="BT22" s="1597">
        <v>1398.9</v>
      </c>
      <c r="BU22" s="1597"/>
      <c r="BV22" s="1597">
        <f>BW22</f>
        <v>0</v>
      </c>
      <c r="BW22" s="1597">
        <v>0</v>
      </c>
      <c r="BX22" s="1597"/>
      <c r="BY22" s="1597">
        <f>BZ22</f>
        <v>720.43499999999995</v>
      </c>
      <c r="BZ22" s="1597">
        <f>SUM('рем программа'!I28:J28)</f>
        <v>720.43499999999995</v>
      </c>
      <c r="CA22" s="1597">
        <v>0</v>
      </c>
      <c r="CB22" s="3286"/>
      <c r="CC22" s="365"/>
      <c r="CD22" s="365"/>
      <c r="CE22" s="365"/>
      <c r="CF22" s="1597">
        <f>SUM('рем программа'!K28)</f>
        <v>0</v>
      </c>
      <c r="CG22" s="1597">
        <v>0</v>
      </c>
      <c r="CH22" s="1597">
        <v>0</v>
      </c>
      <c r="CI22" s="1597">
        <f t="shared" si="196"/>
        <v>2353.4699999999998</v>
      </c>
      <c r="CJ22" s="1597">
        <f>SUM('рем программа'!L28)</f>
        <v>2353.4699999999998</v>
      </c>
      <c r="CK22" s="1597">
        <v>0</v>
      </c>
      <c r="CL22" s="1597">
        <f t="shared" si="197"/>
        <v>3415.99</v>
      </c>
      <c r="CM22" s="1597">
        <f>SUM('рем программа'!M28)</f>
        <v>3415.99</v>
      </c>
      <c r="CN22" s="1597">
        <v>0</v>
      </c>
      <c r="CO22" s="1597">
        <f t="shared" si="198"/>
        <v>3651.89</v>
      </c>
      <c r="CP22" s="1597">
        <f>SUM('рем программа'!N28)</f>
        <v>3651.89</v>
      </c>
      <c r="CQ22" s="1597">
        <v>0</v>
      </c>
      <c r="CR22" s="1597">
        <f t="shared" si="199"/>
        <v>1536.8345586</v>
      </c>
      <c r="CS22" s="1597">
        <f>SUM('рем программа'!O28)</f>
        <v>1536.8345586</v>
      </c>
      <c r="CT22" s="1597">
        <v>0</v>
      </c>
      <c r="CU22" s="1597">
        <f t="shared" si="200"/>
        <v>0</v>
      </c>
      <c r="CV22" s="1597">
        <f>SUM('рем программа'!P28)</f>
        <v>0</v>
      </c>
      <c r="CW22" s="1597">
        <v>0</v>
      </c>
      <c r="CX22" s="1597">
        <f t="shared" si="201"/>
        <v>1768.05</v>
      </c>
      <c r="CY22" s="1597">
        <f>SUM('рем программа'!Q28)</f>
        <v>1768.05</v>
      </c>
      <c r="CZ22" s="1597">
        <v>0</v>
      </c>
      <c r="DA22" s="1597">
        <f t="shared" si="202"/>
        <v>1919.63</v>
      </c>
      <c r="DB22" s="1597">
        <f>SUM('рем программа'!R28)</f>
        <v>1919.63</v>
      </c>
      <c r="DC22" s="1597">
        <v>0</v>
      </c>
      <c r="DD22" s="1597">
        <f t="shared" si="203"/>
        <v>2037.85</v>
      </c>
      <c r="DE22" s="1597">
        <f>SUM('рем программа'!S28)</f>
        <v>2037.85</v>
      </c>
      <c r="DF22" s="1597">
        <v>0</v>
      </c>
      <c r="DG22" s="1597">
        <f t="shared" si="204"/>
        <v>1589.0004899999999</v>
      </c>
      <c r="DH22" s="1597">
        <f>SUM('рем программа'!T28)</f>
        <v>1589.0004899999999</v>
      </c>
      <c r="DI22" s="1597">
        <v>0</v>
      </c>
      <c r="DJ22" s="1597">
        <f t="shared" si="205"/>
        <v>0</v>
      </c>
      <c r="DK22" s="1597">
        <f>SUM('рем программа'!U28)</f>
        <v>0</v>
      </c>
      <c r="DL22" s="1597">
        <v>0</v>
      </c>
      <c r="DM22" s="1597">
        <f t="shared" si="206"/>
        <v>562.10400000000004</v>
      </c>
      <c r="DN22" s="1597">
        <f>SUM('рем программа'!V28)</f>
        <v>562.10400000000004</v>
      </c>
      <c r="DO22" s="1597">
        <v>0</v>
      </c>
      <c r="DP22" s="1597">
        <f t="shared" si="207"/>
        <v>715.3</v>
      </c>
      <c r="DQ22" s="1597">
        <f>SUM('рем программа'!W28)</f>
        <v>715.3</v>
      </c>
      <c r="DR22" s="1597">
        <v>0</v>
      </c>
      <c r="DS22" s="1597">
        <f t="shared" si="208"/>
        <v>959.23500000000001</v>
      </c>
      <c r="DT22" s="1597">
        <f>SUM('рем программа'!X28)</f>
        <v>959.23500000000001</v>
      </c>
      <c r="DU22" s="1597">
        <v>0</v>
      </c>
      <c r="DV22" s="2343">
        <f t="shared" si="209"/>
        <v>1636.6615650000001</v>
      </c>
      <c r="DW22" s="2343">
        <f>SUM('рем программа'!Y28)</f>
        <v>1636.6615650000001</v>
      </c>
      <c r="DX22" s="2343">
        <v>0</v>
      </c>
      <c r="DY22" s="3211">
        <f t="shared" si="210"/>
        <v>0</v>
      </c>
      <c r="DZ22" s="3211">
        <f>SUM('рем программа'!AJ28)</f>
        <v>0</v>
      </c>
      <c r="EA22" s="4071">
        <v>0</v>
      </c>
      <c r="EB22" s="2343">
        <f t="shared" si="211"/>
        <v>1636.6615650000001</v>
      </c>
      <c r="EC22" s="2343">
        <f>SUM('рем программа'!Y28)</f>
        <v>1636.6615650000001</v>
      </c>
      <c r="ED22" s="2343">
        <v>0</v>
      </c>
      <c r="EE22" s="2343">
        <f t="shared" si="212"/>
        <v>0</v>
      </c>
      <c r="EF22" s="2343">
        <f>SUM('рем программа'!Z28)</f>
        <v>0</v>
      </c>
      <c r="EG22" s="2343">
        <v>0</v>
      </c>
      <c r="EH22" s="3662">
        <f t="shared" si="213"/>
        <v>1074.376</v>
      </c>
      <c r="EI22" s="3662">
        <f>SUM('рем программа'!AA28)</f>
        <v>1074.376</v>
      </c>
      <c r="EJ22" s="3662">
        <v>0</v>
      </c>
      <c r="EK22" s="3662">
        <f t="shared" si="214"/>
        <v>2571.9540000000002</v>
      </c>
      <c r="EL22" s="3662">
        <f>SUM('рем программа'!AB28)</f>
        <v>2571.9540000000002</v>
      </c>
      <c r="EM22" s="3662">
        <v>0</v>
      </c>
    </row>
    <row r="23" spans="1:143" ht="21" customHeight="1" x14ac:dyDescent="0.2">
      <c r="A23" s="3191" t="s">
        <v>4</v>
      </c>
      <c r="B23" s="3289">
        <v>10759.4</v>
      </c>
      <c r="C23" s="2110">
        <v>14019.6</v>
      </c>
      <c r="D23" s="3079">
        <f t="shared" si="51"/>
        <v>130.30094614941353</v>
      </c>
      <c r="E23" s="2110">
        <v>14545.3</v>
      </c>
      <c r="F23" s="3079">
        <f t="shared" si="52"/>
        <v>103.74975034951068</v>
      </c>
      <c r="G23" s="2110">
        <v>15741.5</v>
      </c>
      <c r="H23" s="3079">
        <f t="shared" si="53"/>
        <v>108.22396237960028</v>
      </c>
      <c r="I23" s="3291">
        <v>16062.8</v>
      </c>
      <c r="J23" s="3291">
        <v>8015.8</v>
      </c>
      <c r="K23" s="3291">
        <v>11685.6</v>
      </c>
      <c r="L23" s="3291">
        <v>16509</v>
      </c>
      <c r="M23" s="3308">
        <f t="shared" si="54"/>
        <v>102.77784695071843</v>
      </c>
      <c r="N23" s="3308">
        <f t="shared" si="55"/>
        <v>104.87564717466569</v>
      </c>
      <c r="O23" s="3291">
        <v>20707.5</v>
      </c>
      <c r="P23" s="3308">
        <f t="shared" si="56"/>
        <v>128.91588017033146</v>
      </c>
      <c r="Q23" s="3309">
        <f>ЗП!AP10</f>
        <v>17203.258799999996</v>
      </c>
      <c r="R23" s="3308">
        <f t="shared" si="65"/>
        <v>107.09999999999997</v>
      </c>
      <c r="S23" s="3308">
        <f t="shared" si="66"/>
        <v>104.20533527166998</v>
      </c>
      <c r="T23" s="3291">
        <f t="shared" si="185"/>
        <v>17203.258799999996</v>
      </c>
      <c r="U23" s="3291"/>
      <c r="V23" s="3291">
        <v>13934.4</v>
      </c>
      <c r="W23" s="3291">
        <f>18491.5</f>
        <v>18491.5</v>
      </c>
      <c r="X23" s="3291">
        <f>18491.5-W23</f>
        <v>0</v>
      </c>
      <c r="Y23" s="1597">
        <v>21702.3</v>
      </c>
      <c r="Z23" s="1591">
        <f t="shared" si="57"/>
        <v>1.2615226133783446</v>
      </c>
      <c r="AA23" s="1597">
        <f>ЗП!U26</f>
        <v>18166.641292799999</v>
      </c>
      <c r="AB23" s="1591">
        <f t="shared" si="1"/>
        <v>1.0560000000000003</v>
      </c>
      <c r="AC23" s="1597">
        <f t="shared" si="186"/>
        <v>18166.641292799999</v>
      </c>
      <c r="AD23" s="1597">
        <v>0</v>
      </c>
      <c r="AE23" s="1597">
        <f>SUM(ЗП!AS26)</f>
        <v>18581.7</v>
      </c>
      <c r="AF23" s="1597">
        <f>SUM(AE23)</f>
        <v>18581.7</v>
      </c>
      <c r="AG23" s="1597">
        <v>0</v>
      </c>
      <c r="AH23" s="1598">
        <f t="shared" si="59"/>
        <v>19007.599999999999</v>
      </c>
      <c r="AI23" s="1592">
        <f t="shared" si="60"/>
        <v>1.0462913696398739</v>
      </c>
      <c r="AJ23" s="1597">
        <v>19007.599999999999</v>
      </c>
      <c r="AK23" s="1597">
        <v>0</v>
      </c>
      <c r="AL23" s="1598">
        <f t="shared" si="61"/>
        <v>19007.602758620687</v>
      </c>
      <c r="AM23" s="1592">
        <f t="shared" si="62"/>
        <v>1.046291521490766</v>
      </c>
      <c r="AN23" s="1597">
        <f>ЗП!BB26</f>
        <v>19007.602758620687</v>
      </c>
      <c r="AO23" s="1597">
        <v>0</v>
      </c>
      <c r="AP23" s="1593">
        <f t="shared" si="63"/>
        <v>-3535.6587072000002</v>
      </c>
      <c r="AQ23" s="1593">
        <f t="shared" ref="AQ23:AQ29" si="215">AP23*AC23/AA23</f>
        <v>-3535.6587072000002</v>
      </c>
      <c r="AR23" s="1593">
        <f t="shared" si="64"/>
        <v>0</v>
      </c>
      <c r="AS23" s="1593">
        <f t="shared" si="2"/>
        <v>-3535.6587072000002</v>
      </c>
      <c r="AT23" s="1597">
        <f>SUM(ЗП!BG26)</f>
        <v>9180.1</v>
      </c>
      <c r="AU23" s="1597">
        <f>SUM(AT23)</f>
        <v>9180.1</v>
      </c>
      <c r="AV23" s="1597">
        <v>0</v>
      </c>
      <c r="AW23" s="1597">
        <f t="shared" si="187"/>
        <v>19270.03</v>
      </c>
      <c r="AX23" s="1597">
        <v>19270.03</v>
      </c>
      <c r="AY23" s="1597">
        <v>0</v>
      </c>
      <c r="AZ23" s="1597">
        <v>20617.97</v>
      </c>
      <c r="BA23" s="1594">
        <f t="shared" si="70"/>
        <v>1.0847222693902812</v>
      </c>
      <c r="BB23" s="1597">
        <f>SUM(AZ23)</f>
        <v>20617.97</v>
      </c>
      <c r="BC23" s="1597">
        <v>0</v>
      </c>
      <c r="BD23" s="1598">
        <f>SUM(ЗП!BS26)</f>
        <v>22489.748317808218</v>
      </c>
      <c r="BE23" s="1597">
        <f>SUM(BD23)</f>
        <v>22489.748317808218</v>
      </c>
      <c r="BF23" s="1597">
        <v>0</v>
      </c>
      <c r="BG23" s="1597">
        <f t="shared" si="71"/>
        <v>19819.95</v>
      </c>
      <c r="BH23" s="1597">
        <v>19819.95</v>
      </c>
      <c r="BI23" s="1597">
        <v>0</v>
      </c>
      <c r="BJ23" s="1597">
        <f t="shared" si="159"/>
        <v>21790.06</v>
      </c>
      <c r="BK23" s="1597">
        <v>21790.06</v>
      </c>
      <c r="BL23" s="1597"/>
      <c r="BM23" s="1597">
        <f t="shared" si="160"/>
        <v>24551.49</v>
      </c>
      <c r="BN23" s="1597">
        <v>24551.49</v>
      </c>
      <c r="BO23" s="1597">
        <v>0</v>
      </c>
      <c r="BP23" s="1597">
        <f t="shared" si="161"/>
        <v>21020.13</v>
      </c>
      <c r="BQ23" s="1597">
        <v>21020.13</v>
      </c>
      <c r="BR23" s="1597">
        <v>0</v>
      </c>
      <c r="BS23" s="1597">
        <f t="shared" si="162"/>
        <v>27149.85</v>
      </c>
      <c r="BT23" s="1597">
        <v>27149.85</v>
      </c>
      <c r="BU23" s="1597"/>
      <c r="BV23" s="1597">
        <f>ЗП!CR26</f>
        <v>25894.323839999997</v>
      </c>
      <c r="BW23" s="1597">
        <f>BV23</f>
        <v>25894.323839999997</v>
      </c>
      <c r="BX23" s="1597"/>
      <c r="BY23" s="1597">
        <f>SUM(ЗП!CU26)</f>
        <v>27085.462736639998</v>
      </c>
      <c r="BZ23" s="1597">
        <f>BY23</f>
        <v>27085.462736639998</v>
      </c>
      <c r="CA23" s="1597">
        <v>0</v>
      </c>
      <c r="CB23" s="3286" t="str">
        <f>CB13</f>
        <v>Приложение</v>
      </c>
      <c r="CC23" s="365"/>
      <c r="CD23" s="365"/>
      <c r="CE23" s="365"/>
      <c r="CF23" s="1597">
        <f>SUM(ЗП!CX26)</f>
        <v>26404.442019648002</v>
      </c>
      <c r="CG23" s="1597">
        <f>CF23</f>
        <v>26404.442019648002</v>
      </c>
      <c r="CH23" s="1597">
        <v>0</v>
      </c>
      <c r="CI23" s="1597">
        <f>SUM(CJ23:CK23)</f>
        <v>10157.24</v>
      </c>
      <c r="CJ23" s="1597">
        <f>SUM(ЗП!DA26)</f>
        <v>10157.24</v>
      </c>
      <c r="CK23" s="1597">
        <v>0</v>
      </c>
      <c r="CL23" s="1597">
        <f>SUM(CM23:CN23)</f>
        <v>15929.13</v>
      </c>
      <c r="CM23" s="1597">
        <f>SUM(ЗП!DD26)</f>
        <v>15929.13</v>
      </c>
      <c r="CN23" s="1597">
        <v>0</v>
      </c>
      <c r="CO23" s="1597">
        <f>SUM(CP23:CQ23)</f>
        <v>20892.52</v>
      </c>
      <c r="CP23" s="1597">
        <f>SUM(ЗП!DG26)</f>
        <v>20892.52</v>
      </c>
      <c r="CQ23" s="1597">
        <v>0</v>
      </c>
      <c r="CR23" s="1597">
        <f>SUM(CS23:CT23)</f>
        <v>29155.15097088</v>
      </c>
      <c r="CS23" s="1597">
        <f>SUM(ЗП!DJ26)</f>
        <v>29155.15097088</v>
      </c>
      <c r="CT23" s="1597">
        <v>0</v>
      </c>
      <c r="CU23" s="1597">
        <f>SUM(CV23:CW23)</f>
        <v>27134.037256552227</v>
      </c>
      <c r="CV23" s="1597">
        <f>SUM(ЗП!DM26)</f>
        <v>27134.037256552227</v>
      </c>
      <c r="CW23" s="1597">
        <v>0</v>
      </c>
      <c r="CX23" s="1597">
        <f>SUM(CY23:CZ23)</f>
        <v>10141.36</v>
      </c>
      <c r="CY23" s="1597">
        <f>SUM(ЗП!DR26)</f>
        <v>10141.36</v>
      </c>
      <c r="CZ23" s="1597">
        <v>0</v>
      </c>
      <c r="DA23" s="1597">
        <f>SUM(DB23:DC23)</f>
        <v>15150.65</v>
      </c>
      <c r="DB23" s="1597">
        <f>SUM(ЗП!DU26)</f>
        <v>15150.65</v>
      </c>
      <c r="DC23" s="1597">
        <v>0</v>
      </c>
      <c r="DD23" s="1597">
        <f>SUM(DE23:DF23)</f>
        <v>19785.599999999999</v>
      </c>
      <c r="DE23" s="1597">
        <f>SUM(ЗП!DX26)</f>
        <v>19785.599999999999</v>
      </c>
      <c r="DF23" s="1597">
        <v>0</v>
      </c>
      <c r="DG23" s="1597">
        <f>SUM(DH23:DI23)</f>
        <v>30863.882649600004</v>
      </c>
      <c r="DH23" s="1597">
        <f>SUM(ЗП!EA26)</f>
        <v>30863.882649600004</v>
      </c>
      <c r="DI23" s="1597">
        <v>0</v>
      </c>
      <c r="DJ23" s="1597">
        <f>SUM(DK23:DL23)</f>
        <v>28722.409606222449</v>
      </c>
      <c r="DK23" s="1597">
        <f>SUM(ЗП!ED26)</f>
        <v>28722.409606222449</v>
      </c>
      <c r="DL23" s="1597">
        <v>0</v>
      </c>
      <c r="DM23" s="1597">
        <f>SUM(DN23:DO23)</f>
        <v>10706.66</v>
      </c>
      <c r="DN23" s="1597">
        <f>SUM(ЗП!EG26)</f>
        <v>10706.66</v>
      </c>
      <c r="DO23" s="1597">
        <v>0</v>
      </c>
      <c r="DP23" s="1597">
        <f>SUM(DQ23:DR23)</f>
        <v>16391.084999999999</v>
      </c>
      <c r="DQ23" s="1597">
        <f>SUM(ЗП!EJ26)</f>
        <v>16391.084999999999</v>
      </c>
      <c r="DR23" s="1597">
        <v>0</v>
      </c>
      <c r="DS23" s="1597">
        <f>SUM(DT23:DU23)</f>
        <v>22309.243999999999</v>
      </c>
      <c r="DT23" s="1597">
        <f>SUM(ЗП!EM26)</f>
        <v>22309.243999999999</v>
      </c>
      <c r="DU23" s="1597">
        <v>0</v>
      </c>
      <c r="DV23" s="2343">
        <f>SUM(DW23:DX23)</f>
        <v>36754.673471999995</v>
      </c>
      <c r="DW23" s="2343">
        <f>SUM(ЗП!EP26)</f>
        <v>36754.673471999995</v>
      </c>
      <c r="DX23" s="2343">
        <v>0</v>
      </c>
      <c r="DY23" s="3211">
        <f>SUM(DZ23:EA23)</f>
        <v>33132.934427525754</v>
      </c>
      <c r="DZ23" s="3211">
        <f>SUM(ЗП!ES26)</f>
        <v>33132.934427525754</v>
      </c>
      <c r="EA23" s="4071">
        <v>0</v>
      </c>
      <c r="EB23" s="2343">
        <f>SUM(EC23:ED23)</f>
        <v>36754.673471999995</v>
      </c>
      <c r="EC23" s="2343">
        <f>SUM(ЗП!EP26)</f>
        <v>36754.673471999995</v>
      </c>
      <c r="ED23" s="2343">
        <v>0</v>
      </c>
      <c r="EE23" s="2343">
        <f>SUM(EF23:EG23)</f>
        <v>33132.934427525754</v>
      </c>
      <c r="EF23" s="2343">
        <f>SUM(ЗП!ES26)</f>
        <v>33132.934427525754</v>
      </c>
      <c r="EG23" s="2343">
        <v>0</v>
      </c>
      <c r="EH23" s="3662">
        <f>SUM(EI23:EJ23)</f>
        <v>13953.486000000001</v>
      </c>
      <c r="EI23" s="3662">
        <f>SUM(ЗП!EV26)</f>
        <v>13953.486000000001</v>
      </c>
      <c r="EJ23" s="3662">
        <v>0</v>
      </c>
      <c r="EK23" s="3662">
        <f>SUM(EL23:EM23)</f>
        <v>27931.14</v>
      </c>
      <c r="EL23" s="3662">
        <f>SUM(ЗП!EY26)</f>
        <v>27931.14</v>
      </c>
      <c r="EM23" s="3662">
        <v>0</v>
      </c>
    </row>
    <row r="24" spans="1:143" ht="21" customHeight="1" x14ac:dyDescent="0.2">
      <c r="A24" s="3191" t="s">
        <v>5</v>
      </c>
      <c r="B24" s="3289">
        <v>2718.6</v>
      </c>
      <c r="C24" s="2110">
        <v>3582.5</v>
      </c>
      <c r="D24" s="3079">
        <f t="shared" si="51"/>
        <v>131.77738541896565</v>
      </c>
      <c r="E24" s="2110">
        <v>3729.7</v>
      </c>
      <c r="F24" s="3079">
        <f t="shared" si="52"/>
        <v>104.10886252616886</v>
      </c>
      <c r="G24" s="2110">
        <v>5216.5</v>
      </c>
      <c r="H24" s="3079">
        <f t="shared" si="53"/>
        <v>139.86379601576536</v>
      </c>
      <c r="I24" s="3291">
        <f>I23*30.2/100</f>
        <v>4850.9655999999995</v>
      </c>
      <c r="J24" s="3291">
        <v>2641.4</v>
      </c>
      <c r="K24" s="3291">
        <v>3470.4</v>
      </c>
      <c r="L24" s="3291">
        <v>4958.8</v>
      </c>
      <c r="M24" s="3308">
        <f t="shared" si="54"/>
        <v>102.22294711799236</v>
      </c>
      <c r="N24" s="3308">
        <f t="shared" si="55"/>
        <v>95.059906067286505</v>
      </c>
      <c r="O24" s="3291">
        <v>6253.7</v>
      </c>
      <c r="P24" s="3308">
        <f t="shared" si="56"/>
        <v>128.91660167616939</v>
      </c>
      <c r="Q24" s="3309">
        <f>Q23*0.302</f>
        <v>5195.3841575999986</v>
      </c>
      <c r="R24" s="3308">
        <f t="shared" si="65"/>
        <v>107.09999999999997</v>
      </c>
      <c r="S24" s="3308">
        <f t="shared" si="66"/>
        <v>104.77099616036134</v>
      </c>
      <c r="T24" s="3291">
        <f t="shared" si="185"/>
        <v>5195.3841575999986</v>
      </c>
      <c r="U24" s="3291"/>
      <c r="V24" s="3291">
        <v>4182.8</v>
      </c>
      <c r="W24" s="3291"/>
      <c r="X24" s="3291">
        <v>0</v>
      </c>
      <c r="Y24" s="1597">
        <v>6554.1</v>
      </c>
      <c r="Z24" s="1591">
        <f t="shared" si="57"/>
        <v>1.2615236527625051</v>
      </c>
      <c r="AA24" s="1597">
        <f>AA23*V25</f>
        <v>5453.2256286258353</v>
      </c>
      <c r="AB24" s="1591">
        <f t="shared" si="1"/>
        <v>1.0496289520089976</v>
      </c>
      <c r="AC24" s="1597">
        <f t="shared" si="186"/>
        <v>5453.2256286258353</v>
      </c>
      <c r="AD24" s="1597">
        <v>0</v>
      </c>
      <c r="AE24" s="1597">
        <v>5541.6</v>
      </c>
      <c r="AF24" s="1597">
        <f>SUM(AE24)</f>
        <v>5541.6</v>
      </c>
      <c r="AG24" s="1597">
        <v>0</v>
      </c>
      <c r="AH24" s="1598">
        <f t="shared" si="59"/>
        <v>5721.29</v>
      </c>
      <c r="AI24" s="1592">
        <f t="shared" si="60"/>
        <v>1.0491570291841592</v>
      </c>
      <c r="AJ24" s="1597">
        <v>5721.29</v>
      </c>
      <c r="AK24" s="1597">
        <v>0</v>
      </c>
      <c r="AL24" s="1598">
        <f t="shared" si="61"/>
        <v>5705.6637400073641</v>
      </c>
      <c r="AM24" s="1592">
        <f t="shared" si="62"/>
        <v>1.046291521490766</v>
      </c>
      <c r="AN24" s="1597">
        <f>AN23*AA25</f>
        <v>5705.6637400073641</v>
      </c>
      <c r="AO24" s="1597">
        <v>0</v>
      </c>
      <c r="AP24" s="1593">
        <f t="shared" si="63"/>
        <v>-1100.8743713741651</v>
      </c>
      <c r="AQ24" s="1593">
        <f t="shared" si="215"/>
        <v>-1100.8743713741651</v>
      </c>
      <c r="AR24" s="1593">
        <f t="shared" si="64"/>
        <v>0</v>
      </c>
      <c r="AS24" s="1593">
        <f t="shared" si="2"/>
        <v>-1100.8743713741651</v>
      </c>
      <c r="AT24" s="1597">
        <v>2693.1</v>
      </c>
      <c r="AU24" s="1597">
        <f>SUM(AT24)</f>
        <v>2693.1</v>
      </c>
      <c r="AV24" s="1597">
        <v>0</v>
      </c>
      <c r="AW24" s="1597">
        <f t="shared" si="187"/>
        <v>5698.26</v>
      </c>
      <c r="AX24" s="1597">
        <v>5698.26</v>
      </c>
      <c r="AY24" s="1597">
        <v>0</v>
      </c>
      <c r="AZ24" s="1598">
        <f t="shared" ref="AZ24" si="216">SUM(BB24+BC24)</f>
        <v>6206.0089699999999</v>
      </c>
      <c r="BA24" s="1594">
        <f t="shared" si="70"/>
        <v>1.0876927300296861</v>
      </c>
      <c r="BB24" s="1597">
        <f>SUM(BB23*AH25)</f>
        <v>6206.0089699999999</v>
      </c>
      <c r="BC24" s="1597">
        <f>SUM(BC23*AH25)</f>
        <v>0</v>
      </c>
      <c r="BD24" s="1598">
        <f t="shared" ref="BD24" si="217">SUM(BE24+BF24)</f>
        <v>6707.09296124499</v>
      </c>
      <c r="BE24" s="1597">
        <f>BE23*BE25</f>
        <v>6707.09296124499</v>
      </c>
      <c r="BF24" s="1597">
        <f>SUM(BF23*AZ25)</f>
        <v>0</v>
      </c>
      <c r="BG24" s="1597">
        <f t="shared" si="71"/>
        <v>5984.48</v>
      </c>
      <c r="BH24" s="1597">
        <v>5984.48</v>
      </c>
      <c r="BI24" s="1597">
        <f>SUM(BI23*BC25)</f>
        <v>0</v>
      </c>
      <c r="BJ24" s="1597">
        <f t="shared" si="159"/>
        <v>6583.41</v>
      </c>
      <c r="BK24" s="1597">
        <v>6583.41</v>
      </c>
      <c r="BL24" s="1597"/>
      <c r="BM24" s="1597">
        <f t="shared" si="160"/>
        <v>7321.25</v>
      </c>
      <c r="BN24" s="1597">
        <v>7321.25</v>
      </c>
      <c r="BO24" s="1597">
        <f>SUM(BO23*BI25)</f>
        <v>0</v>
      </c>
      <c r="BP24" s="1597">
        <f t="shared" si="161"/>
        <v>6314.9</v>
      </c>
      <c r="BQ24" s="1597">
        <v>6314.9</v>
      </c>
      <c r="BR24" s="1597">
        <f>SUM(BR23*BL25)</f>
        <v>0</v>
      </c>
      <c r="BS24" s="1597">
        <f t="shared" si="162"/>
        <v>8096.09</v>
      </c>
      <c r="BT24" s="1597">
        <v>8096.09</v>
      </c>
      <c r="BU24" s="1597"/>
      <c r="BV24" s="1597">
        <f>BV23*BS25</f>
        <v>7721.6918803523995</v>
      </c>
      <c r="BW24" s="1597">
        <f>BV24</f>
        <v>7721.6918803523995</v>
      </c>
      <c r="BX24" s="1597"/>
      <c r="BY24" s="1597">
        <f>SUM(BY23*BY25)</f>
        <v>8137.0566516766503</v>
      </c>
      <c r="BZ24" s="1597">
        <f t="shared" ref="BZ24" si="218">SUM(BZ23*BZ25)</f>
        <v>8137.0566516766503</v>
      </c>
      <c r="CA24" s="1597">
        <f t="shared" ref="CA24" si="219">SUM(CA23*CA25)</f>
        <v>0</v>
      </c>
      <c r="CB24" s="3286" t="s">
        <v>239</v>
      </c>
      <c r="CC24" s="365"/>
      <c r="CD24" s="365"/>
      <c r="CE24" s="365"/>
      <c r="CF24" s="1597">
        <f>SUM(CF23*CF25)</f>
        <v>7873.8092103953431</v>
      </c>
      <c r="CG24" s="1597">
        <f t="shared" ref="CG24:CH24" si="220">SUM(CG23*CG25)</f>
        <v>7873.8092103953431</v>
      </c>
      <c r="CH24" s="1597">
        <f t="shared" si="220"/>
        <v>0</v>
      </c>
      <c r="CI24" s="1597">
        <f t="shared" ref="CI24" si="221">CJ24+CK24</f>
        <v>3079.36</v>
      </c>
      <c r="CJ24" s="1597">
        <v>3079.36</v>
      </c>
      <c r="CK24" s="1597">
        <v>0</v>
      </c>
      <c r="CL24" s="1597">
        <f t="shared" ref="CL24" si="222">CM24+CN24</f>
        <v>4804.38</v>
      </c>
      <c r="CM24" s="1597">
        <v>4804.38</v>
      </c>
      <c r="CN24" s="1597">
        <v>0</v>
      </c>
      <c r="CO24" s="1597">
        <f t="shared" ref="CO24" si="223">CP24+CQ24</f>
        <v>6328.48</v>
      </c>
      <c r="CP24" s="1597">
        <v>6328.48</v>
      </c>
      <c r="CQ24" s="1597">
        <v>0</v>
      </c>
      <c r="CR24" s="1597">
        <f t="shared" ref="CR24" si="224">CS24+CT24</f>
        <v>8775.7000000000007</v>
      </c>
      <c r="CS24" s="1597">
        <v>8775.7000000000007</v>
      </c>
      <c r="CT24" s="1597">
        <v>0</v>
      </c>
      <c r="CU24" s="1597">
        <f t="shared" ref="CU24" si="225">CV24+CW24</f>
        <v>8091.3746371490051</v>
      </c>
      <c r="CV24" s="1597">
        <f t="shared" ref="CV24" si="226">SUM(CV23*CV25)</f>
        <v>8091.3746371490051</v>
      </c>
      <c r="CW24" s="1597">
        <v>0</v>
      </c>
      <c r="CX24" s="1597">
        <f t="shared" ref="CX24" si="227">CY24+CZ24</f>
        <v>3056.71</v>
      </c>
      <c r="CY24" s="1597">
        <v>3056.71</v>
      </c>
      <c r="CZ24" s="1597">
        <v>0</v>
      </c>
      <c r="DA24" s="1597">
        <f t="shared" ref="DA24" si="228">DB24+DC24</f>
        <v>4561.96</v>
      </c>
      <c r="DB24" s="1597">
        <v>4561.96</v>
      </c>
      <c r="DC24" s="1597">
        <v>0</v>
      </c>
      <c r="DD24" s="1597">
        <f t="shared" ref="DD24" si="229">DE24+DF24</f>
        <v>5960.2640000000001</v>
      </c>
      <c r="DE24" s="1597">
        <v>5960.2640000000001</v>
      </c>
      <c r="DF24" s="1597">
        <v>0</v>
      </c>
      <c r="DG24" s="1597">
        <f t="shared" ref="DG24" si="230">DH24+DI24</f>
        <v>9296.2000000000007</v>
      </c>
      <c r="DH24" s="1597">
        <v>9296.2000000000007</v>
      </c>
      <c r="DI24" s="1597">
        <v>0</v>
      </c>
      <c r="DJ24" s="1597">
        <f t="shared" ref="DJ24" si="231">DK24+DL24</f>
        <v>8565.0275485441543</v>
      </c>
      <c r="DK24" s="1597">
        <f t="shared" ref="DK24" si="232">SUM(DK23*DK25)</f>
        <v>8565.0275485441543</v>
      </c>
      <c r="DL24" s="1597">
        <v>0</v>
      </c>
      <c r="DM24" s="1597">
        <f t="shared" ref="DM24" si="233">DN24+DO24</f>
        <v>3222.24</v>
      </c>
      <c r="DN24" s="1597">
        <v>3222.24</v>
      </c>
      <c r="DO24" s="1597">
        <v>0</v>
      </c>
      <c r="DP24" s="1597">
        <f t="shared" ref="DP24" si="234">DQ24+DR24</f>
        <v>4943.2849999999999</v>
      </c>
      <c r="DQ24" s="1597">
        <v>4943.2849999999999</v>
      </c>
      <c r="DR24" s="1597">
        <v>0</v>
      </c>
      <c r="DS24" s="1597">
        <f t="shared" ref="DS24" si="235">DT24+DU24</f>
        <v>6592.5910000000003</v>
      </c>
      <c r="DT24" s="1597">
        <v>6592.5910000000003</v>
      </c>
      <c r="DU24" s="1597">
        <v>0</v>
      </c>
      <c r="DV24" s="2343">
        <f t="shared" ref="DV24" si="236">DW24+DX24</f>
        <v>11063.16</v>
      </c>
      <c r="DW24" s="2343">
        <v>11063.16</v>
      </c>
      <c r="DX24" s="2343">
        <v>0</v>
      </c>
      <c r="DY24" s="3211">
        <f t="shared" ref="DY24" si="237">DZ24+EA24</f>
        <v>9993.2141620362308</v>
      </c>
      <c r="DZ24" s="3211">
        <f t="shared" ref="DZ24" si="238">SUM(DZ23*DZ25)</f>
        <v>9993.2141620362308</v>
      </c>
      <c r="EA24" s="4071">
        <v>0</v>
      </c>
      <c r="EB24" s="2343">
        <f t="shared" ref="EB24" si="239">EC24+ED24</f>
        <v>11063.16</v>
      </c>
      <c r="EC24" s="2343">
        <v>11063.16</v>
      </c>
      <c r="ED24" s="2343">
        <v>0</v>
      </c>
      <c r="EE24" s="2343">
        <f t="shared" ref="EE24" si="240">EF24+EG24</f>
        <v>9973.0127601140503</v>
      </c>
      <c r="EF24" s="2343">
        <v>9973.0127601140503</v>
      </c>
      <c r="EG24" s="2343">
        <v>0</v>
      </c>
      <c r="EH24" s="3662">
        <f t="shared" ref="EH24" si="241">EI24+EJ24</f>
        <v>4187.8980000000001</v>
      </c>
      <c r="EI24" s="3662">
        <v>4187.8980000000001</v>
      </c>
      <c r="EJ24" s="3662">
        <v>0</v>
      </c>
      <c r="EK24" s="3662">
        <f t="shared" ref="EK24" si="242">EL24+EM24</f>
        <v>8369.5310000000009</v>
      </c>
      <c r="EL24" s="3662">
        <v>8369.5310000000009</v>
      </c>
      <c r="EM24" s="3662">
        <v>0</v>
      </c>
    </row>
    <row r="25" spans="1:143" s="181" customFormat="1" ht="21" customHeight="1" x14ac:dyDescent="0.2">
      <c r="A25" s="3195" t="str">
        <f>A15</f>
        <v>то же в %</v>
      </c>
      <c r="B25" s="3088"/>
      <c r="C25" s="3079"/>
      <c r="D25" s="3079"/>
      <c r="E25" s="3310">
        <f>E24/E23</f>
        <v>0.25641959945824422</v>
      </c>
      <c r="F25" s="3310">
        <f t="shared" ref="F25:AC25" si="243">F24/F23</f>
        <v>1.0034613305135522</v>
      </c>
      <c r="G25" s="3310">
        <f t="shared" si="243"/>
        <v>0.33138519200838545</v>
      </c>
      <c r="H25" s="3310"/>
      <c r="I25" s="3310">
        <f t="shared" si="243"/>
        <v>0.30199999999999999</v>
      </c>
      <c r="J25" s="3310">
        <f t="shared" si="243"/>
        <v>0.32952418972529257</v>
      </c>
      <c r="K25" s="3310">
        <f t="shared" si="243"/>
        <v>0.29698089956869994</v>
      </c>
      <c r="L25" s="3310">
        <f t="shared" si="243"/>
        <v>0.30036949542673697</v>
      </c>
      <c r="M25" s="3310">
        <f t="shared" si="243"/>
        <v>0.99460097823422844</v>
      </c>
      <c r="N25" s="3310">
        <f t="shared" si="243"/>
        <v>0.90640590669222276</v>
      </c>
      <c r="O25" s="3310">
        <f t="shared" si="243"/>
        <v>0.30200169020886153</v>
      </c>
      <c r="P25" s="3310">
        <f t="shared" si="243"/>
        <v>1.0000055967180845</v>
      </c>
      <c r="Q25" s="3311">
        <f t="shared" si="243"/>
        <v>0.30199999999999999</v>
      </c>
      <c r="R25" s="3310">
        <f t="shared" si="243"/>
        <v>1</v>
      </c>
      <c r="S25" s="3310">
        <f t="shared" si="243"/>
        <v>1.0054283294345403</v>
      </c>
      <c r="T25" s="3310">
        <f t="shared" si="243"/>
        <v>0.30199999999999999</v>
      </c>
      <c r="U25" s="3310"/>
      <c r="V25" s="3310">
        <f t="shared" si="243"/>
        <v>0.30017797680560343</v>
      </c>
      <c r="W25" s="3310"/>
      <c r="X25" s="3310">
        <v>0</v>
      </c>
      <c r="Y25" s="1599">
        <f t="shared" si="243"/>
        <v>0.30200024882155352</v>
      </c>
      <c r="Z25" s="1591">
        <f t="shared" si="57"/>
        <v>1.0000008239124289</v>
      </c>
      <c r="AA25" s="1599">
        <f t="shared" si="243"/>
        <v>0.30017797680560343</v>
      </c>
      <c r="AB25" s="1599"/>
      <c r="AC25" s="1599">
        <f t="shared" si="243"/>
        <v>0.30017797680560343</v>
      </c>
      <c r="AD25" s="1599"/>
      <c r="AE25" s="1599">
        <f t="shared" ref="AE25" si="244">AE24/AE23</f>
        <v>0.29822890263000695</v>
      </c>
      <c r="AF25" s="1599">
        <f t="shared" ref="AF25" si="245">AF24/AF23</f>
        <v>0.29822890263000695</v>
      </c>
      <c r="AG25" s="1599"/>
      <c r="AH25" s="1599">
        <v>0.30099999999999999</v>
      </c>
      <c r="AI25" s="1592">
        <f t="shared" si="60"/>
        <v>1.0027384527111025</v>
      </c>
      <c r="AJ25" s="1599">
        <v>0.30099999999999999</v>
      </c>
      <c r="AK25" s="1599">
        <v>0</v>
      </c>
      <c r="AL25" s="1599">
        <f>SUM(AL24/AL23)</f>
        <v>0.30017797680560343</v>
      </c>
      <c r="AM25" s="1592">
        <f t="shared" si="62"/>
        <v>1</v>
      </c>
      <c r="AN25" s="1599">
        <f>AA25</f>
        <v>0.30017797680560343</v>
      </c>
      <c r="AO25" s="1599">
        <v>0</v>
      </c>
      <c r="AP25" s="1593">
        <f t="shared" si="63"/>
        <v>-1.8222720159500883E-3</v>
      </c>
      <c r="AQ25" s="1593">
        <f t="shared" si="215"/>
        <v>-1.8222720159500883E-3</v>
      </c>
      <c r="AR25" s="1593">
        <f t="shared" si="64"/>
        <v>0</v>
      </c>
      <c r="AS25" s="1593">
        <f t="shared" si="2"/>
        <v>-1.8222720159500883E-3</v>
      </c>
      <c r="AT25" s="1599">
        <f>AT24/AT23</f>
        <v>0.29336281739850328</v>
      </c>
      <c r="AU25" s="1599">
        <f t="shared" ref="AU25" si="246">AU24/AU23</f>
        <v>0.29336281739850328</v>
      </c>
      <c r="AV25" s="1599">
        <v>0</v>
      </c>
      <c r="AW25" s="1599">
        <f>AW24/AW23</f>
        <v>0.29570581882851249</v>
      </c>
      <c r="AX25" s="1599">
        <f t="shared" ref="AX25" si="247">AX24/AX23</f>
        <v>0.29570581882851249</v>
      </c>
      <c r="AY25" s="1599">
        <v>0</v>
      </c>
      <c r="AZ25" s="1599">
        <f>SUM(AZ24/AZ23)</f>
        <v>0.30099999999999999</v>
      </c>
      <c r="BA25" s="1594">
        <f t="shared" si="70"/>
        <v>1.0027384527111025</v>
      </c>
      <c r="BB25" s="1599">
        <f>SUM(BB24/BB23)</f>
        <v>0.30099999999999999</v>
      </c>
      <c r="BC25" s="1599"/>
      <c r="BD25" s="1599">
        <f>AF25</f>
        <v>0.29822890263000695</v>
      </c>
      <c r="BE25" s="1599">
        <f>BD25</f>
        <v>0.29822890263000695</v>
      </c>
      <c r="BF25" s="1599"/>
      <c r="BG25" s="1599">
        <f>SUM(BG24/BG23)</f>
        <v>0.3019422349703203</v>
      </c>
      <c r="BH25" s="1599">
        <f>BF25</f>
        <v>0</v>
      </c>
      <c r="BI25" s="1599">
        <f>BG25</f>
        <v>0.3019422349703203</v>
      </c>
      <c r="BJ25" s="1599">
        <f t="shared" ref="BJ25:BV25" si="248">SUM(BJ24/BJ23)</f>
        <v>0.30212904416050251</v>
      </c>
      <c r="BK25" s="1599">
        <f t="shared" si="248"/>
        <v>0.30212904416050251</v>
      </c>
      <c r="BL25" s="1599"/>
      <c r="BM25" s="1599">
        <f t="shared" ref="BM25:BN25" si="249">SUM(BM24/BM23)</f>
        <v>0.29819982412472723</v>
      </c>
      <c r="BN25" s="1599">
        <f t="shared" si="249"/>
        <v>0.29819982412472723</v>
      </c>
      <c r="BO25" s="1599">
        <v>0</v>
      </c>
      <c r="BP25" s="1599">
        <f t="shared" ref="BP25:BQ25" si="250">SUM(BP24/BP23)</f>
        <v>0.30042154829679929</v>
      </c>
      <c r="BQ25" s="1599">
        <f t="shared" si="250"/>
        <v>0.30042154829679929</v>
      </c>
      <c r="BR25" s="1599">
        <v>0</v>
      </c>
      <c r="BS25" s="1599">
        <f t="shared" si="248"/>
        <v>0.29820017421827377</v>
      </c>
      <c r="BT25" s="1599">
        <f t="shared" si="248"/>
        <v>0.29820017421827377</v>
      </c>
      <c r="BU25" s="1599"/>
      <c r="BV25" s="1599">
        <f t="shared" si="248"/>
        <v>0.29820017421827377</v>
      </c>
      <c r="BW25" s="1599">
        <f t="shared" ref="BW25" si="251">SUM(BW24/BW23)</f>
        <v>0.29820017421827377</v>
      </c>
      <c r="BX25" s="1599"/>
      <c r="BY25" s="1599">
        <f>SUM(BP25)</f>
        <v>0.30042154829679929</v>
      </c>
      <c r="BZ25" s="1599">
        <f>SUM(BY25)</f>
        <v>0.30042154829679929</v>
      </c>
      <c r="CA25" s="1599">
        <v>0</v>
      </c>
      <c r="CB25" s="3312"/>
      <c r="CC25" s="3313"/>
      <c r="CD25" s="3313"/>
      <c r="CE25" s="3313"/>
      <c r="CF25" s="1599">
        <f>SUM(BW25)</f>
        <v>0.29820017421827377</v>
      </c>
      <c r="CG25" s="1599">
        <f>SUM(CF25)</f>
        <v>0.29820017421827377</v>
      </c>
      <c r="CH25" s="1599">
        <v>0</v>
      </c>
      <c r="CI25" s="1599">
        <f>SUM(CI24/CI23)</f>
        <v>0.30316897109844804</v>
      </c>
      <c r="CJ25" s="1599">
        <f t="shared" ref="CJ25" si="252">SUM(CJ24/CJ23)</f>
        <v>0.30316897109844804</v>
      </c>
      <c r="CK25" s="1599">
        <v>0</v>
      </c>
      <c r="CL25" s="1599">
        <f t="shared" ref="CL25" si="253">SUM(CL24/CL23)</f>
        <v>0.30160969243141339</v>
      </c>
      <c r="CM25" s="1599">
        <f t="shared" ref="CM25" si="254">SUM(CM24/CM23)</f>
        <v>0.30160969243141339</v>
      </c>
      <c r="CN25" s="1599">
        <v>0</v>
      </c>
      <c r="CO25" s="1599">
        <f t="shared" ref="CO25" si="255">SUM(CO24/CO23)</f>
        <v>0.30290649476463344</v>
      </c>
      <c r="CP25" s="1599">
        <f t="shared" ref="CP25" si="256">SUM(CP24/CP23)</f>
        <v>0.30290649476463344</v>
      </c>
      <c r="CQ25" s="1599">
        <v>0</v>
      </c>
      <c r="CR25" s="1599">
        <f t="shared" ref="CR25:CS25" si="257">SUM(CR24/CR23)</f>
        <v>0.30099998483167245</v>
      </c>
      <c r="CS25" s="1599">
        <f t="shared" si="257"/>
        <v>0.30099998483167245</v>
      </c>
      <c r="CT25" s="1599">
        <v>0</v>
      </c>
      <c r="CU25" s="1599">
        <f>SUM(BV25)</f>
        <v>0.29820017421827377</v>
      </c>
      <c r="CV25" s="1599">
        <f>SUM(BW25)</f>
        <v>0.29820017421827377</v>
      </c>
      <c r="CW25" s="1599">
        <v>0</v>
      </c>
      <c r="CX25" s="1599">
        <f>SUM(CX24/CX23)</f>
        <v>0.30141026450101366</v>
      </c>
      <c r="CY25" s="1599">
        <f t="shared" ref="CY25" si="258">SUM(CY24/CY23)</f>
        <v>0.30141026450101366</v>
      </c>
      <c r="CZ25" s="1599">
        <v>0</v>
      </c>
      <c r="DA25" s="1599">
        <f t="shared" ref="DA25:DB25" si="259">SUM(DA24/DA23)</f>
        <v>0.30110655318418683</v>
      </c>
      <c r="DB25" s="1599">
        <f t="shared" si="259"/>
        <v>0.30110655318418683</v>
      </c>
      <c r="DC25" s="1599">
        <v>0</v>
      </c>
      <c r="DD25" s="1599">
        <f t="shared" ref="DD25:DE25" si="260">SUM(DD24/DD23)</f>
        <v>0.30124251981238881</v>
      </c>
      <c r="DE25" s="1599">
        <f t="shared" si="260"/>
        <v>0.30124251981238881</v>
      </c>
      <c r="DF25" s="1599">
        <v>0</v>
      </c>
      <c r="DG25" s="1599">
        <f t="shared" ref="DG25:DH25" si="261">SUM(DG24/DG23)</f>
        <v>0.3011999528879909</v>
      </c>
      <c r="DH25" s="1599">
        <f t="shared" si="261"/>
        <v>0.3011999528879909</v>
      </c>
      <c r="DI25" s="1599">
        <v>0</v>
      </c>
      <c r="DJ25" s="1599">
        <f>SUM(BV25)</f>
        <v>0.29820017421827377</v>
      </c>
      <c r="DK25" s="1599">
        <f t="shared" ref="DK25" si="262">SUM(BW25)</f>
        <v>0.29820017421827377</v>
      </c>
      <c r="DL25" s="1599">
        <f t="shared" ref="DL25" si="263">SUM(BX25)</f>
        <v>0</v>
      </c>
      <c r="DM25" s="1599">
        <f t="shared" ref="DM25:DN25" si="264">SUM(DM24/DM23)</f>
        <v>0.30095660084470788</v>
      </c>
      <c r="DN25" s="1599">
        <f t="shared" si="264"/>
        <v>0.30095660084470788</v>
      </c>
      <c r="DO25" s="1599">
        <v>0</v>
      </c>
      <c r="DP25" s="1599">
        <f t="shared" ref="DP25:DQ25" si="265">SUM(DP24/DP23)</f>
        <v>0.30158375726805153</v>
      </c>
      <c r="DQ25" s="1599">
        <f t="shared" si="265"/>
        <v>0.30158375726805153</v>
      </c>
      <c r="DR25" s="1599">
        <v>0</v>
      </c>
      <c r="DS25" s="1599">
        <f t="shared" ref="DS25:DT25" si="266">SUM(DS24/DS23)</f>
        <v>0.29550938615400868</v>
      </c>
      <c r="DT25" s="1599">
        <f t="shared" si="266"/>
        <v>0.29550938615400868</v>
      </c>
      <c r="DU25" s="1599">
        <v>0</v>
      </c>
      <c r="DV25" s="3690">
        <f t="shared" ref="DV25:DW25" si="267">SUM(DV24/DV23)</f>
        <v>0.30100008937443029</v>
      </c>
      <c r="DW25" s="3690">
        <f t="shared" si="267"/>
        <v>0.30100008937443029</v>
      </c>
      <c r="DX25" s="3690">
        <v>0</v>
      </c>
      <c r="DY25" s="3413">
        <f>SUM(CK25)</f>
        <v>0</v>
      </c>
      <c r="DZ25" s="3413">
        <f t="shared" ref="DZ25" si="268">SUM(CL25)</f>
        <v>0.30160969243141339</v>
      </c>
      <c r="EA25" s="4072">
        <f t="shared" ref="EA25" si="269">SUM(CM25)</f>
        <v>0.30160969243141339</v>
      </c>
      <c r="EB25" s="3690">
        <f t="shared" ref="EB25:EC25" si="270">SUM(EB24/EB23)</f>
        <v>0.30100008937443029</v>
      </c>
      <c r="EC25" s="3690">
        <f t="shared" si="270"/>
        <v>0.30100008937443029</v>
      </c>
      <c r="ED25" s="3690">
        <v>0</v>
      </c>
      <c r="EE25" s="3690">
        <f t="shared" ref="EE25:EF25" si="271">SUM(EE24/EE23)</f>
        <v>0.30099998483167245</v>
      </c>
      <c r="EF25" s="3690">
        <f t="shared" si="271"/>
        <v>0.30099998483167245</v>
      </c>
      <c r="EG25" s="3690">
        <v>0</v>
      </c>
      <c r="EH25" s="3663">
        <f t="shared" ref="EH25:EI25" si="272">SUM(EH24/EH23)</f>
        <v>0.30013274102256599</v>
      </c>
      <c r="EI25" s="3663">
        <f t="shared" si="272"/>
        <v>0.30013274102256599</v>
      </c>
      <c r="EJ25" s="3663">
        <v>0</v>
      </c>
      <c r="EK25" s="3663">
        <f t="shared" ref="EK25:EL25" si="273">SUM(EK24/EK23)</f>
        <v>0.29964874330227842</v>
      </c>
      <c r="EL25" s="3663">
        <f t="shared" si="273"/>
        <v>0.29964874330227842</v>
      </c>
      <c r="EM25" s="3663">
        <v>0</v>
      </c>
    </row>
    <row r="26" spans="1:143" ht="21" customHeight="1" x14ac:dyDescent="0.2">
      <c r="A26" s="3191" t="s">
        <v>6</v>
      </c>
      <c r="B26" s="3289">
        <v>6189.4</v>
      </c>
      <c r="C26" s="2110">
        <v>7305.4</v>
      </c>
      <c r="D26" s="3079">
        <f t="shared" si="51"/>
        <v>118.03082689759911</v>
      </c>
      <c r="E26" s="2110">
        <v>8983.7999999999993</v>
      </c>
      <c r="F26" s="3079">
        <f t="shared" si="52"/>
        <v>122.97478577490624</v>
      </c>
      <c r="G26" s="2110">
        <v>10591.4</v>
      </c>
      <c r="H26" s="3079">
        <f t="shared" si="53"/>
        <v>117.89443220018256</v>
      </c>
      <c r="I26" s="3291">
        <v>8659.2999999999993</v>
      </c>
      <c r="J26" s="3291">
        <v>5710.6</v>
      </c>
      <c r="K26" s="3291">
        <f>'цех вода 2023'!K49</f>
        <v>7064.2471622034736</v>
      </c>
      <c r="L26" s="3291">
        <v>11296.2</v>
      </c>
      <c r="M26" s="3308">
        <f t="shared" si="54"/>
        <v>130.45165313593478</v>
      </c>
      <c r="N26" s="3308">
        <f t="shared" si="55"/>
        <v>106.65445550163342</v>
      </c>
      <c r="O26" s="3291">
        <v>13061</v>
      </c>
      <c r="P26" s="3308">
        <f t="shared" si="56"/>
        <v>150.83205339923552</v>
      </c>
      <c r="Q26" s="3309">
        <f>'цех вода 2023'!P49</f>
        <v>10441.008114528178</v>
      </c>
      <c r="R26" s="3308">
        <f t="shared" si="65"/>
        <v>120.57565986313188</v>
      </c>
      <c r="S26" s="3308">
        <f t="shared" si="66"/>
        <v>92.42938434631273</v>
      </c>
      <c r="T26" s="3291">
        <f t="shared" si="185"/>
        <v>10441.008114528178</v>
      </c>
      <c r="U26" s="3291"/>
      <c r="V26" s="3291">
        <v>7957</v>
      </c>
      <c r="W26" s="3291"/>
      <c r="X26" s="3291">
        <v>0</v>
      </c>
      <c r="Y26" s="1597">
        <v>13533.8</v>
      </c>
      <c r="Z26" s="1591">
        <f t="shared" si="57"/>
        <v>1.2962158300756748</v>
      </c>
      <c r="AA26" s="1597">
        <f>'цех вода 2023'!W49</f>
        <v>11085.989359774539</v>
      </c>
      <c r="AB26" s="1591">
        <f t="shared" si="1"/>
        <v>1.0617738477138907</v>
      </c>
      <c r="AC26" s="1597">
        <f t="shared" si="186"/>
        <v>11085.989359774539</v>
      </c>
      <c r="AD26" s="1597">
        <v>0</v>
      </c>
      <c r="AE26" s="1597">
        <v>9696.2999999999993</v>
      </c>
      <c r="AF26" s="1597">
        <f>SUM(AE26)</f>
        <v>9696.2999999999993</v>
      </c>
      <c r="AG26" s="1597">
        <v>0</v>
      </c>
      <c r="AH26" s="1598">
        <f t="shared" si="59"/>
        <v>11831.11</v>
      </c>
      <c r="AI26" s="1592">
        <f t="shared" si="60"/>
        <v>1.0672128229645546</v>
      </c>
      <c r="AJ26" s="1597">
        <v>11831.11</v>
      </c>
      <c r="AK26" s="1597">
        <v>0</v>
      </c>
      <c r="AL26" s="1598">
        <f t="shared" si="61"/>
        <v>11664.267955262609</v>
      </c>
      <c r="AM26" s="1592">
        <f t="shared" si="62"/>
        <v>1.0521630119532994</v>
      </c>
      <c r="AN26" s="1597">
        <f>'цех вода 2023'!AB49</f>
        <v>11664.267955262609</v>
      </c>
      <c r="AO26" s="1597">
        <v>0</v>
      </c>
      <c r="AP26" s="1593">
        <f t="shared" si="63"/>
        <v>-2447.8106402254598</v>
      </c>
      <c r="AQ26" s="1593">
        <f t="shared" si="215"/>
        <v>-2447.8106402254598</v>
      </c>
      <c r="AR26" s="1593">
        <f t="shared" si="64"/>
        <v>0</v>
      </c>
      <c r="AS26" s="1593">
        <f t="shared" si="2"/>
        <v>-2447.8106402254598</v>
      </c>
      <c r="AT26" s="1597">
        <v>5322.04</v>
      </c>
      <c r="AU26" s="1597">
        <f>SUM(AT26)</f>
        <v>5322.04</v>
      </c>
      <c r="AV26" s="1597">
        <v>0</v>
      </c>
      <c r="AW26" s="1597">
        <f t="shared" si="187"/>
        <v>9808.8700000000008</v>
      </c>
      <c r="AX26" s="1597">
        <v>9808.8700000000008</v>
      </c>
      <c r="AY26" s="1597">
        <v>0</v>
      </c>
      <c r="AZ26" s="1597">
        <v>12041.06</v>
      </c>
      <c r="BA26" s="1594">
        <f t="shared" ref="BA26" si="274">SUM(AZ26/AL26)</f>
        <v>1.0323031026192597</v>
      </c>
      <c r="BB26" s="1597">
        <f>SUM(AZ26)</f>
        <v>12041.06</v>
      </c>
      <c r="BC26" s="1597">
        <v>0</v>
      </c>
      <c r="BD26" s="1598">
        <f>'цех вода 2023'!AG49</f>
        <v>10482.025535236962</v>
      </c>
      <c r="BE26" s="1597">
        <f>SUM(BD26)</f>
        <v>10482.025535236962</v>
      </c>
      <c r="BF26" s="1597">
        <v>0</v>
      </c>
      <c r="BG26" s="1597">
        <f t="shared" si="71"/>
        <v>10745.24</v>
      </c>
      <c r="BH26" s="1597">
        <v>10745.24</v>
      </c>
      <c r="BI26" s="1597">
        <v>0</v>
      </c>
      <c r="BJ26" s="1597">
        <f t="shared" ref="BJ26" si="275">BK26+BL26</f>
        <v>13297.15</v>
      </c>
      <c r="BK26" s="1597">
        <v>13297.15</v>
      </c>
      <c r="BL26" s="1597"/>
      <c r="BM26" s="1598">
        <f t="shared" ref="BM26" si="276">SUM(BN26+BO26)</f>
        <v>13162.7</v>
      </c>
      <c r="BN26" s="1597">
        <v>13162.7</v>
      </c>
      <c r="BO26" s="1597">
        <v>0</v>
      </c>
      <c r="BP26" s="1598">
        <f t="shared" ref="BP26" si="277">SUM(BQ26+BR26)</f>
        <v>15777.89</v>
      </c>
      <c r="BQ26" s="1597">
        <v>15777.89</v>
      </c>
      <c r="BR26" s="1597">
        <v>0</v>
      </c>
      <c r="BS26" s="1597">
        <f t="shared" ref="BS26" si="278">BT26+BU26</f>
        <v>17694.43</v>
      </c>
      <c r="BT26" s="1597">
        <v>17694.43</v>
      </c>
      <c r="BU26" s="1597"/>
      <c r="BV26" s="1597">
        <f t="shared" ref="BV26" si="279">BW26+BX26</f>
        <v>14983.454979835366</v>
      </c>
      <c r="BW26" s="1597">
        <f>'цех вода 2023'!AM49</f>
        <v>14983.454979835366</v>
      </c>
      <c r="BX26" s="1597"/>
      <c r="BY26" s="1597">
        <f t="shared" ref="BY26" si="280">BZ26+CA26</f>
        <v>16836.919903538299</v>
      </c>
      <c r="BZ26" s="1597">
        <f>SUM('цех вода 2023'!AN49)</f>
        <v>16836.919903538299</v>
      </c>
      <c r="CA26" s="1597">
        <v>0</v>
      </c>
      <c r="CB26" s="3286" t="str">
        <f>CB16</f>
        <v>Приложение</v>
      </c>
      <c r="CC26" s="365"/>
      <c r="CD26" s="365"/>
      <c r="CE26" s="365"/>
      <c r="CF26" s="1597">
        <f t="shared" ref="CF26" si="281">CG26+CH26</f>
        <v>14983.454979835366</v>
      </c>
      <c r="CG26" s="1597">
        <f>SUM('цех вода 2023'!AM49)</f>
        <v>14983.454979835366</v>
      </c>
      <c r="CH26" s="1597">
        <v>0</v>
      </c>
      <c r="CI26" s="1597">
        <f t="shared" ref="CI26" si="282">CJ26+CK26</f>
        <v>8011.99</v>
      </c>
      <c r="CJ26" s="1597">
        <f>SUM('цех вода 2023'!AY49)</f>
        <v>8011.99</v>
      </c>
      <c r="CK26" s="1597">
        <v>0</v>
      </c>
      <c r="CL26" s="1597">
        <f t="shared" ref="CL26" si="283">CM26+CN26</f>
        <v>9993.06</v>
      </c>
      <c r="CM26" s="1597">
        <f>SUM('цех вода 2023'!AZ49)</f>
        <v>9993.06</v>
      </c>
      <c r="CN26" s="1597">
        <v>0</v>
      </c>
      <c r="CO26" s="1597">
        <f t="shared" ref="CO26" si="284">CP26+CQ26</f>
        <v>13927.91</v>
      </c>
      <c r="CP26" s="1597">
        <f>SUM('цех вода 2023'!BA49)</f>
        <v>13927.91</v>
      </c>
      <c r="CQ26" s="1597">
        <v>0</v>
      </c>
      <c r="CR26" s="1597">
        <f t="shared" ref="CR26" si="285">CS26+CT26</f>
        <v>17914.419692194271</v>
      </c>
      <c r="CS26" s="1597">
        <f>SUM('цех вода 2023'!BB49)</f>
        <v>17914.419692194271</v>
      </c>
      <c r="CT26" s="1597">
        <v>0</v>
      </c>
      <c r="CU26" s="1597">
        <f t="shared" ref="CU26" si="286">CV26+CW26</f>
        <v>12960.522613473488</v>
      </c>
      <c r="CV26" s="1597">
        <f>SUM('цех вода 2023'!BC49)</f>
        <v>12960.522613473488</v>
      </c>
      <c r="CW26" s="1597">
        <v>0</v>
      </c>
      <c r="CX26" s="1597">
        <f t="shared" ref="CX26" si="287">CY26+CZ26</f>
        <v>5138.1499999999996</v>
      </c>
      <c r="CY26" s="1597">
        <f>SUM('цех вода 2023'!BD49)</f>
        <v>5138.1499999999996</v>
      </c>
      <c r="CZ26" s="1597">
        <v>0</v>
      </c>
      <c r="DA26" s="1597">
        <f t="shared" ref="DA26" si="288">DB26+DC26</f>
        <v>7257.6049999999996</v>
      </c>
      <c r="DB26" s="1597">
        <f>SUM('цех вода 2023'!BE49)</f>
        <v>7257.6049999999996</v>
      </c>
      <c r="DC26" s="1597">
        <v>0</v>
      </c>
      <c r="DD26" s="1597">
        <f t="shared" ref="DD26" si="289">DE26+DF26</f>
        <v>10128.26</v>
      </c>
      <c r="DE26" s="1597">
        <f>SUM('цех вода 2023'!BF49)</f>
        <v>10128.26</v>
      </c>
      <c r="DF26" s="1597">
        <v>0</v>
      </c>
      <c r="DG26" s="1597">
        <f t="shared" ref="DG26" si="290">DH26+DI26</f>
        <v>13102.949487954445</v>
      </c>
      <c r="DH26" s="1597">
        <f>SUM('цех вода 2023'!BG49)</f>
        <v>13102.949487954445</v>
      </c>
      <c r="DI26" s="1597">
        <v>0</v>
      </c>
      <c r="DJ26" s="1597">
        <f t="shared" ref="DJ26" si="291">DK26+DL26</f>
        <v>11498.966647721014</v>
      </c>
      <c r="DK26" s="1597">
        <f>SUM('цех вода 2023'!BH49)</f>
        <v>11498.966647721014</v>
      </c>
      <c r="DL26" s="1597">
        <v>0</v>
      </c>
      <c r="DM26" s="1597">
        <f t="shared" ref="DM26" si="292">DN26+DO26</f>
        <v>5487.84</v>
      </c>
      <c r="DN26" s="1597">
        <f>SUM('цех вода 2023'!BI49)</f>
        <v>5487.84</v>
      </c>
      <c r="DO26" s="1597">
        <v>0</v>
      </c>
      <c r="DP26" s="1597">
        <f t="shared" ref="DP26" si="293">DQ26+DR26</f>
        <v>7558.34</v>
      </c>
      <c r="DQ26" s="1597">
        <f>SUM('цех вода 2023'!BJ49)</f>
        <v>7558.34</v>
      </c>
      <c r="DR26" s="1597">
        <v>0</v>
      </c>
      <c r="DS26" s="1597">
        <f t="shared" ref="DS26" si="294">DT26+DU26</f>
        <v>10588.994000000001</v>
      </c>
      <c r="DT26" s="1597">
        <f>SUM('цех вода 2023'!BK49)</f>
        <v>10588.994000000001</v>
      </c>
      <c r="DU26" s="1597">
        <v>0</v>
      </c>
      <c r="DV26" s="2343">
        <f t="shared" ref="DV26" si="295">DW26+DX26</f>
        <v>11737.188011567454</v>
      </c>
      <c r="DW26" s="2343">
        <f>SUM('цех вода 2023'!BL49)</f>
        <v>11737.188011567454</v>
      </c>
      <c r="DX26" s="2343">
        <v>0</v>
      </c>
      <c r="DY26" s="3211">
        <f t="shared" ref="DY26" si="296">DZ26+EA26</f>
        <v>0</v>
      </c>
      <c r="DZ26" s="3211">
        <f>SUM('цех вода 2023'!BX49)</f>
        <v>0</v>
      </c>
      <c r="EA26" s="4071">
        <v>0</v>
      </c>
      <c r="EB26" s="2343">
        <f t="shared" ref="EB26" si="297">EC26+ED26</f>
        <v>11737.188011567454</v>
      </c>
      <c r="EC26" s="2343">
        <f>SUM('цех вода 2023'!BL49)</f>
        <v>11737.188011567454</v>
      </c>
      <c r="ED26" s="2343">
        <v>0</v>
      </c>
      <c r="EE26" s="2343">
        <f t="shared" ref="EE26" si="298">EF26+EG26</f>
        <v>12036.956016740638</v>
      </c>
      <c r="EF26" s="2343">
        <f>SUM('цех вода 2023'!BM49)</f>
        <v>12036.956016740638</v>
      </c>
      <c r="EG26" s="2343">
        <v>0</v>
      </c>
      <c r="EH26" s="3662">
        <f t="shared" ref="EH26" si="299">EI26+EJ26</f>
        <v>6174.9089999999997</v>
      </c>
      <c r="EI26" s="3662">
        <v>6174.9089999999997</v>
      </c>
      <c r="EJ26" s="3662">
        <v>0</v>
      </c>
      <c r="EK26" s="3662">
        <f t="shared" ref="EK26" si="300">EL26+EM26</f>
        <v>14648.431</v>
      </c>
      <c r="EL26" s="3662">
        <v>14648.431</v>
      </c>
      <c r="EM26" s="3662">
        <v>0</v>
      </c>
    </row>
    <row r="27" spans="1:143" s="2196" customFormat="1" ht="21" customHeight="1" x14ac:dyDescent="0.2">
      <c r="A27" s="3314" t="s">
        <v>16</v>
      </c>
      <c r="B27" s="2600">
        <f>SUM(B28:B34)</f>
        <v>12845.2</v>
      </c>
      <c r="C27" s="3315">
        <f>SUM(C28:C34)</f>
        <v>12180.900000000001</v>
      </c>
      <c r="D27" s="3079">
        <f t="shared" si="51"/>
        <v>94.828418397533724</v>
      </c>
      <c r="E27" s="3315">
        <f>SUM(E28:E34)-E33</f>
        <v>13961.699999999999</v>
      </c>
      <c r="F27" s="3315">
        <f>SUM(F28:F34)-F33</f>
        <v>568.47806769444355</v>
      </c>
      <c r="G27" s="3315">
        <f>SUM(G28:G34)-G33</f>
        <v>16318.199999999999</v>
      </c>
      <c r="H27" s="3079">
        <f t="shared" si="53"/>
        <v>116.87831711038055</v>
      </c>
      <c r="I27" s="3292">
        <f>SUM(I28:I34)-I33</f>
        <v>15689.528200000002</v>
      </c>
      <c r="J27" s="3292">
        <f>SUM(J28:J34)-J33</f>
        <v>8282.6</v>
      </c>
      <c r="K27" s="3292">
        <f>SUM(K28:K34)-K33</f>
        <v>11231.541001831447</v>
      </c>
      <c r="L27" s="3292">
        <f>SUM(L28:L34)-L33</f>
        <v>16770.900000000001</v>
      </c>
      <c r="M27" s="3318">
        <f t="shared" si="54"/>
        <v>106.89231560194396</v>
      </c>
      <c r="N27" s="3308">
        <f t="shared" si="55"/>
        <v>102.7742030370997</v>
      </c>
      <c r="O27" s="3292">
        <f>SUM(O28:O34)</f>
        <v>19432.602000566199</v>
      </c>
      <c r="P27" s="3308">
        <f t="shared" si="56"/>
        <v>123.85714696357917</v>
      </c>
      <c r="Q27" s="3319">
        <f>SUM(Q28:Q34)-Q33</f>
        <v>16138.03883700253</v>
      </c>
      <c r="R27" s="3308">
        <f t="shared" si="65"/>
        <v>102.85866235928323</v>
      </c>
      <c r="S27" s="3308">
        <f t="shared" si="66"/>
        <v>96.226432910592337</v>
      </c>
      <c r="T27" s="3292" t="e">
        <f>SUM(T28:T34)-T33</f>
        <v>#REF!</v>
      </c>
      <c r="U27" s="3292" t="e">
        <f>SUM(U28:U34)</f>
        <v>#REF!</v>
      </c>
      <c r="V27" s="3292">
        <f>SUM(V28:V34)-V33</f>
        <v>13925.8</v>
      </c>
      <c r="W27" s="3292" t="e">
        <f>SUM(W28:W34)-W33</f>
        <v>#REF!</v>
      </c>
      <c r="X27" s="3292" t="e">
        <f>SUM(X28:X34)-X33</f>
        <v>#REF!</v>
      </c>
      <c r="Y27" s="1601">
        <f>SUM(Y28:Y34)-Y33</f>
        <v>20746.8</v>
      </c>
      <c r="Z27" s="1591">
        <f t="shared" si="57"/>
        <v>1.2855837199022071</v>
      </c>
      <c r="AA27" s="1601" t="e">
        <f>SUM(AA28:AA34)-AA33</f>
        <v>#REF!</v>
      </c>
      <c r="AB27" s="1591" t="e">
        <f t="shared" si="1"/>
        <v>#REF!</v>
      </c>
      <c r="AC27" s="1601" t="e">
        <f>SUM(AC28:AC34)-AC33</f>
        <v>#REF!</v>
      </c>
      <c r="AD27" s="1601" t="e">
        <f>SUM(AD28:AD34)-AD33</f>
        <v>#REF!</v>
      </c>
      <c r="AE27" s="1601">
        <f>SUM(AE28:AE34)-AE33</f>
        <v>16058.300000000001</v>
      </c>
      <c r="AF27" s="1601">
        <f>SUM(AF28:AF34)-AF33</f>
        <v>15863.911081950979</v>
      </c>
      <c r="AG27" s="1601">
        <f>SUM(AG28:AG34)-AG33</f>
        <v>194.38891804902261</v>
      </c>
      <c r="AH27" s="1590">
        <f t="shared" si="59"/>
        <v>18846.049999999996</v>
      </c>
      <c r="AI27" s="1592" t="e">
        <f t="shared" si="60"/>
        <v>#REF!</v>
      </c>
      <c r="AJ27" s="1601">
        <f>SUM(AJ28:AJ34)-AJ33</f>
        <v>18631.679999999997</v>
      </c>
      <c r="AK27" s="1601">
        <f>SUM(AK28:AK34)-AK33</f>
        <v>214.36999999999998</v>
      </c>
      <c r="AL27" s="1590">
        <f t="shared" si="61"/>
        <v>18173.702953335123</v>
      </c>
      <c r="AM27" s="1592" t="e">
        <f t="shared" si="62"/>
        <v>#REF!</v>
      </c>
      <c r="AN27" s="1601">
        <f>SUM(AN28:AN34)-AN33</f>
        <v>17969.281918178833</v>
      </c>
      <c r="AO27" s="1601">
        <f>SUM(AO28:AO34)-AO33</f>
        <v>204.42103515629208</v>
      </c>
      <c r="AP27" s="1593" t="e">
        <f t="shared" si="63"/>
        <v>#REF!</v>
      </c>
      <c r="AQ27" s="1593" t="e">
        <f t="shared" si="215"/>
        <v>#REF!</v>
      </c>
      <c r="AR27" s="1593" t="e">
        <f t="shared" si="64"/>
        <v>#REF!</v>
      </c>
      <c r="AS27" s="1593" t="e">
        <f t="shared" si="2"/>
        <v>#REF!</v>
      </c>
      <c r="AT27" s="1601">
        <f t="shared" ref="AT27:AZ27" si="301">SUM(AT28:AT34)-AT33</f>
        <v>7881.34</v>
      </c>
      <c r="AU27" s="1601">
        <f t="shared" si="301"/>
        <v>7828.1401733250268</v>
      </c>
      <c r="AV27" s="1601">
        <f t="shared" si="301"/>
        <v>53.19982667497321</v>
      </c>
      <c r="AW27" s="1601">
        <f t="shared" si="301"/>
        <v>16393.490000000002</v>
      </c>
      <c r="AX27" s="1601">
        <f t="shared" si="301"/>
        <v>16316.11</v>
      </c>
      <c r="AY27" s="1601">
        <f t="shared" si="301"/>
        <v>77.38000000000001</v>
      </c>
      <c r="AZ27" s="1601">
        <f t="shared" si="301"/>
        <v>20142.307000000001</v>
      </c>
      <c r="BA27" s="1594">
        <f t="shared" si="70"/>
        <v>1.1083215705527756</v>
      </c>
      <c r="BB27" s="1601">
        <f>SUM(BB28:BB34)-BB33</f>
        <v>21373.584955906259</v>
      </c>
      <c r="BC27" s="1601">
        <f>SUM(BC28:BC34)-BC33</f>
        <v>106.20804409374369</v>
      </c>
      <c r="BD27" s="1601">
        <f>SUM(BD28:BD34)-BD33</f>
        <v>18282.658427547103</v>
      </c>
      <c r="BE27" s="1601">
        <f t="shared" ref="BE27:BU27" si="302">SUM(BE28:BE34)-BE33</f>
        <v>18186.382405893168</v>
      </c>
      <c r="BF27" s="1601">
        <f t="shared" si="302"/>
        <v>96.276021653932204</v>
      </c>
      <c r="BG27" s="1601">
        <f t="shared" si="302"/>
        <v>16673.330000000002</v>
      </c>
      <c r="BH27" s="1601">
        <f t="shared" si="302"/>
        <v>16662.309999999998</v>
      </c>
      <c r="BI27" s="1601">
        <f t="shared" si="302"/>
        <v>11.02</v>
      </c>
      <c r="BJ27" s="1601">
        <f t="shared" si="302"/>
        <v>14443.529999999999</v>
      </c>
      <c r="BK27" s="1601">
        <f t="shared" si="302"/>
        <v>14436.84</v>
      </c>
      <c r="BL27" s="1601">
        <f t="shared" si="302"/>
        <v>6.69</v>
      </c>
      <c r="BM27" s="1601">
        <f>SUM(BM28:BM34)-BM33</f>
        <v>18691.259999999998</v>
      </c>
      <c r="BN27" s="1601">
        <f t="shared" ref="BN27:BO27" si="303">SUM(BN28:BN34)-BN33</f>
        <v>18582.63</v>
      </c>
      <c r="BO27" s="1601">
        <f t="shared" si="303"/>
        <v>108.63000000000001</v>
      </c>
      <c r="BP27" s="1601">
        <f>SUM(BP28:BP34)-BP33</f>
        <v>15193.307999999997</v>
      </c>
      <c r="BQ27" s="1601">
        <f t="shared" ref="BQ27:BR27" si="304">SUM(BQ28:BQ34)-BQ33</f>
        <v>15187.779999999999</v>
      </c>
      <c r="BR27" s="1601">
        <f t="shared" si="304"/>
        <v>5.5279999999999996</v>
      </c>
      <c r="BS27" s="1601">
        <f t="shared" si="302"/>
        <v>20387.870000000003</v>
      </c>
      <c r="BT27" s="1601">
        <f t="shared" si="302"/>
        <v>20359.66</v>
      </c>
      <c r="BU27" s="1601">
        <f t="shared" si="302"/>
        <v>28.209999999999997</v>
      </c>
      <c r="BV27" s="1601">
        <f>SUM(BV28:BV34)-BV33</f>
        <v>19441.441874880904</v>
      </c>
      <c r="BW27" s="1601">
        <f t="shared" ref="BW27" si="305">SUM(BW28:BW34)-BW33</f>
        <v>19432.046014292711</v>
      </c>
      <c r="BX27" s="1601">
        <f t="shared" ref="BX27" si="306">SUM(BX28:BX34)-BX33</f>
        <v>9.3958605881912014</v>
      </c>
      <c r="BY27" s="1601">
        <f>SUM(BY28:BY34)-BY33</f>
        <v>19735.290397455257</v>
      </c>
      <c r="BZ27" s="1601">
        <f t="shared" ref="BZ27" si="307">SUM(BZ28:BZ34)-BZ33</f>
        <v>19725.752522721719</v>
      </c>
      <c r="CA27" s="1601">
        <f t="shared" ref="CA27" si="308">SUM(CA28:CA34)-CA33</f>
        <v>9.537874733537171</v>
      </c>
      <c r="CB27" s="3169"/>
      <c r="CC27" s="365"/>
      <c r="CD27" s="365"/>
      <c r="CE27" s="365"/>
      <c r="CF27" s="1601">
        <f>SUM(CF28:CF34)-CF33</f>
        <v>19774.965723815749</v>
      </c>
      <c r="CG27" s="1601">
        <f t="shared" ref="CG27" si="309">SUM(CG28:CG34)-CG33</f>
        <v>19764.892512564471</v>
      </c>
      <c r="CH27" s="1601">
        <f t="shared" ref="CH27" si="310">SUM(CH28:CH34)-CH33</f>
        <v>10.073211251278194</v>
      </c>
      <c r="CI27" s="1601">
        <f>SUM(CI28:CI34)-CI33</f>
        <v>7259.7899999999991</v>
      </c>
      <c r="CJ27" s="1601">
        <f t="shared" ref="CJ27" si="311">SUM(CJ28:CJ34)-CJ33</f>
        <v>7259.7899999999991</v>
      </c>
      <c r="CK27" s="1601">
        <f t="shared" ref="CK27" si="312">SUM(CK28:CK34)-CK33</f>
        <v>0</v>
      </c>
      <c r="CL27" s="1601">
        <f>SUM(CL28:CL34)-CL33</f>
        <v>11455.82</v>
      </c>
      <c r="CM27" s="1601">
        <f t="shared" ref="CM27" si="313">SUM(CM28:CM34)-CM33</f>
        <v>11455.82</v>
      </c>
      <c r="CN27" s="1601">
        <f t="shared" ref="CN27" si="314">SUM(CN28:CN34)-CN33</f>
        <v>0</v>
      </c>
      <c r="CO27" s="1601">
        <f>SUM(CO28:CO34)-CO33</f>
        <v>14344.080000000002</v>
      </c>
      <c r="CP27" s="1601">
        <f t="shared" ref="CP27" si="315">SUM(CP28:CP34)-CP33</f>
        <v>14344.080000000002</v>
      </c>
      <c r="CQ27" s="1601">
        <f t="shared" ref="CQ27" si="316">SUM(CQ28:CQ34)-CQ33</f>
        <v>0</v>
      </c>
      <c r="CR27" s="1601">
        <f>SUM(CR28:CR34)-CR33</f>
        <v>22321.509050483292</v>
      </c>
      <c r="CS27" s="1601">
        <f t="shared" ref="CS27" si="317">SUM(CS28:CS34)-CS33</f>
        <v>22295.347822579792</v>
      </c>
      <c r="CT27" s="1601">
        <f t="shared" ref="CT27" si="318">SUM(CT28:CT34)-CT33</f>
        <v>26.161227903500002</v>
      </c>
      <c r="CU27" s="1601">
        <f>SUM(CU28:CU34)-CU33</f>
        <v>19240.069710719687</v>
      </c>
      <c r="CV27" s="1601">
        <f t="shared" ref="CV27" si="319">SUM(CV28:CV34)-CV33</f>
        <v>19240.069710719687</v>
      </c>
      <c r="CW27" s="1601">
        <f t="shared" ref="CW27" si="320">SUM(CW28:CW34)-CW33</f>
        <v>0</v>
      </c>
      <c r="CX27" s="1601">
        <f>SUM(CX28:CX34)-CX33</f>
        <v>6673.9349999999995</v>
      </c>
      <c r="CY27" s="1601">
        <f t="shared" ref="CY27" si="321">SUM(CY28:CY34)-CY33</f>
        <v>6673.9349999999995</v>
      </c>
      <c r="CZ27" s="1601">
        <f t="shared" ref="CZ27" si="322">SUM(CZ28:CZ34)-CZ33</f>
        <v>0</v>
      </c>
      <c r="DA27" s="1601">
        <f>SUM(DA28:DA34)-DA33</f>
        <v>10373.984</v>
      </c>
      <c r="DB27" s="1601">
        <f t="shared" ref="DB27" si="323">SUM(DB28:DB34)-DB33</f>
        <v>10373.984</v>
      </c>
      <c r="DC27" s="1601">
        <f t="shared" ref="DC27" si="324">SUM(DC28:DC34)-DC33</f>
        <v>0</v>
      </c>
      <c r="DD27" s="1601">
        <f>SUM(DD28:DD34)-DD33</f>
        <v>13376.74</v>
      </c>
      <c r="DE27" s="1601">
        <f t="shared" ref="DE27" si="325">SUM(DE28:DE34)-DE33</f>
        <v>13376.74</v>
      </c>
      <c r="DF27" s="1601">
        <f t="shared" ref="DF27" si="326">SUM(DF28:DF34)-DF33</f>
        <v>0</v>
      </c>
      <c r="DG27" s="3682">
        <f>SUM(DG28:DG34)-DG33</f>
        <v>22431.600528602481</v>
      </c>
      <c r="DH27" s="3682">
        <f t="shared" ref="DH27" si="327">SUM(DH28:DH34)-DH33</f>
        <v>22431.600528602481</v>
      </c>
      <c r="DI27" s="3682">
        <f t="shared" ref="DI27" si="328">SUM(DI28:DI34)-DI33</f>
        <v>0</v>
      </c>
      <c r="DJ27" s="3682">
        <f>SUM(DJ28:DJ34)-DJ33</f>
        <v>19895.469459729084</v>
      </c>
      <c r="DK27" s="3682">
        <f t="shared" ref="DK27" si="329">SUM(DK28:DK34)-DK33</f>
        <v>19895.469459729084</v>
      </c>
      <c r="DL27" s="3682">
        <f t="shared" ref="DL27" si="330">SUM(DL28:DL34)-DL33</f>
        <v>0</v>
      </c>
      <c r="DM27" s="3682">
        <f>SUM(DM28:DM34)-DM33</f>
        <v>8355.6319999999996</v>
      </c>
      <c r="DN27" s="3682">
        <f t="shared" ref="DN27" si="331">SUM(DN28:DN34)-DN33</f>
        <v>8355.6319999999996</v>
      </c>
      <c r="DO27" s="3682">
        <f t="shared" ref="DO27" si="332">SUM(DO28:DO34)-DO33</f>
        <v>0</v>
      </c>
      <c r="DP27" s="3682">
        <f>SUM(DP28:DP34)-DP33</f>
        <v>12527.253000000001</v>
      </c>
      <c r="DQ27" s="3682">
        <f t="shared" ref="DQ27" si="333">SUM(DQ28:DQ34)-DQ33</f>
        <v>12527.253000000001</v>
      </c>
      <c r="DR27" s="3682">
        <f t="shared" ref="DR27" si="334">SUM(DR28:DR34)-DR33</f>
        <v>0</v>
      </c>
      <c r="DS27" s="3682">
        <f>SUM(DS28:DS34)-DS33</f>
        <v>16543.339000000004</v>
      </c>
      <c r="DT27" s="3682">
        <f t="shared" ref="DT27" si="335">SUM(DT28:DT34)-DT33</f>
        <v>16543.339000000004</v>
      </c>
      <c r="DU27" s="3682">
        <f t="shared" ref="DU27" si="336">SUM(DU28:DU34)-DU33</f>
        <v>0</v>
      </c>
      <c r="DV27" s="2346">
        <f>SUM(DV28:DV34)-DV33</f>
        <v>24800.025988265665</v>
      </c>
      <c r="DW27" s="2346">
        <f t="shared" ref="DW27" si="337">SUM(DW28:DW34)-DW33</f>
        <v>24800.025988265665</v>
      </c>
      <c r="DX27" s="2346">
        <f t="shared" ref="DX27" si="338">SUM(DX28:DX34)-DX33</f>
        <v>0</v>
      </c>
      <c r="DY27" s="3212">
        <f>SUM(DY28:DY34)-DY33</f>
        <v>19387.234536291016</v>
      </c>
      <c r="DZ27" s="3212">
        <f t="shared" ref="DZ27" si="339">SUM(DZ28:DZ34)-DZ33</f>
        <v>19387.234536291016</v>
      </c>
      <c r="EA27" s="4073">
        <f t="shared" ref="EA27" si="340">SUM(EA28:EA34)-EA33</f>
        <v>0</v>
      </c>
      <c r="EB27" s="2346">
        <f>SUM(EB28:EB34)-EB33</f>
        <v>24800.025988265665</v>
      </c>
      <c r="EC27" s="2346">
        <f t="shared" ref="EC27" si="341">SUM(EC28:EC34)-EC33</f>
        <v>24800.025988265665</v>
      </c>
      <c r="ED27" s="2346">
        <f t="shared" ref="ED27" si="342">SUM(ED28:ED34)-ED33</f>
        <v>0</v>
      </c>
      <c r="EE27" s="2346">
        <f>SUM(EE28:EE34)-EE33</f>
        <v>22973.520863677757</v>
      </c>
      <c r="EF27" s="2346">
        <f t="shared" ref="EF27" si="343">SUM(EF28:EF34)-EF33</f>
        <v>22973.520863677757</v>
      </c>
      <c r="EG27" s="2346">
        <f t="shared" ref="EG27" si="344">SUM(EG28:EG34)-EG33</f>
        <v>0</v>
      </c>
      <c r="EH27" s="4683">
        <f>SUM(EH28:EH34)-EH33</f>
        <v>9674.9060000000009</v>
      </c>
      <c r="EI27" s="4683">
        <f t="shared" ref="EI27" si="345">SUM(EI28:EI34)-EI33</f>
        <v>9674.9060000000009</v>
      </c>
      <c r="EJ27" s="4683">
        <f t="shared" ref="EJ27" si="346">SUM(EJ28:EJ34)-EJ33</f>
        <v>0</v>
      </c>
      <c r="EK27" s="4683">
        <f>SUM(EK28:EK34)-EK33</f>
        <v>18595.026000000002</v>
      </c>
      <c r="EL27" s="4683">
        <f t="shared" ref="EL27" si="347">SUM(EL28:EL34)-EL33</f>
        <v>18595.026000000002</v>
      </c>
      <c r="EM27" s="4683">
        <f t="shared" ref="EM27" si="348">SUM(EM28:EM34)-EM33</f>
        <v>0</v>
      </c>
    </row>
    <row r="28" spans="1:143" s="385" customFormat="1" ht="20.25" customHeight="1" x14ac:dyDescent="0.2">
      <c r="A28" s="3191" t="s">
        <v>3</v>
      </c>
      <c r="B28" s="3289">
        <v>853.3</v>
      </c>
      <c r="C28" s="2110">
        <v>417.9</v>
      </c>
      <c r="D28" s="3079">
        <f t="shared" si="51"/>
        <v>48.974569319114025</v>
      </c>
      <c r="E28" s="2110">
        <v>562.4</v>
      </c>
      <c r="F28" s="3079">
        <f t="shared" si="52"/>
        <v>134.5776501555396</v>
      </c>
      <c r="G28" s="2110">
        <v>623.79999999999995</v>
      </c>
      <c r="H28" s="3079">
        <f t="shared" si="53"/>
        <v>110.91749644381224</v>
      </c>
      <c r="I28" s="3291">
        <v>583.20000000000005</v>
      </c>
      <c r="J28" s="3291">
        <v>332.5</v>
      </c>
      <c r="K28" s="3291">
        <v>504.5</v>
      </c>
      <c r="L28" s="3291">
        <v>710</v>
      </c>
      <c r="M28" s="3308">
        <f t="shared" si="54"/>
        <v>121.7421124828532</v>
      </c>
      <c r="N28" s="3308">
        <f t="shared" si="55"/>
        <v>113.81853158063481</v>
      </c>
      <c r="O28" s="3291">
        <v>686.4</v>
      </c>
      <c r="P28" s="3308">
        <f t="shared" si="56"/>
        <v>117.6954732510288</v>
      </c>
      <c r="Q28" s="3309">
        <v>0</v>
      </c>
      <c r="R28" s="3308">
        <f t="shared" si="65"/>
        <v>0</v>
      </c>
      <c r="S28" s="3308">
        <f t="shared" si="66"/>
        <v>0</v>
      </c>
      <c r="T28" s="3291" t="e">
        <f>Q28/Q87*T87</f>
        <v>#REF!</v>
      </c>
      <c r="U28" s="3291" t="e">
        <f t="shared" ref="U28:U34" si="349">Q28-T28</f>
        <v>#REF!</v>
      </c>
      <c r="V28" s="3291">
        <v>286</v>
      </c>
      <c r="W28" s="3291">
        <v>300</v>
      </c>
      <c r="X28" s="3291"/>
      <c r="Y28" s="1597">
        <v>780</v>
      </c>
      <c r="Z28" s="1591"/>
      <c r="AA28" s="1597">
        <f>Y28</f>
        <v>780</v>
      </c>
      <c r="AB28" s="1591"/>
      <c r="AC28" s="1597" t="e">
        <f>$AC$87/$AA$87*AA28</f>
        <v>#REF!</v>
      </c>
      <c r="AD28" s="1597" t="e">
        <f t="shared" si="68"/>
        <v>#REF!</v>
      </c>
      <c r="AE28" s="1597">
        <f>SUM(AF28:AG28)</f>
        <v>292.5</v>
      </c>
      <c r="AF28" s="1597">
        <v>292.5</v>
      </c>
      <c r="AG28" s="1597">
        <v>0</v>
      </c>
      <c r="AH28" s="1598">
        <f t="shared" si="59"/>
        <v>828.26</v>
      </c>
      <c r="AI28" s="1592">
        <f t="shared" si="60"/>
        <v>1.0618717948717948</v>
      </c>
      <c r="AJ28" s="1597">
        <v>819</v>
      </c>
      <c r="AK28" s="1597">
        <v>9.26</v>
      </c>
      <c r="AL28" s="1598">
        <f t="shared" si="61"/>
        <v>215.84899999999999</v>
      </c>
      <c r="AM28" s="1592">
        <f t="shared" si="62"/>
        <v>0.27672948717948714</v>
      </c>
      <c r="AN28" s="1597">
        <f>'Ремонт вода 2015'!G49/1000</f>
        <v>215.84899999999999</v>
      </c>
      <c r="AO28" s="1597">
        <v>0</v>
      </c>
      <c r="AP28" s="1593">
        <f t="shared" si="63"/>
        <v>0</v>
      </c>
      <c r="AQ28" s="1593" t="e">
        <f t="shared" si="215"/>
        <v>#REF!</v>
      </c>
      <c r="AR28" s="1593" t="e">
        <f t="shared" si="64"/>
        <v>#REF!</v>
      </c>
      <c r="AS28" s="1593" t="e">
        <f t="shared" si="2"/>
        <v>#REF!</v>
      </c>
      <c r="AT28" s="1597">
        <v>151.91</v>
      </c>
      <c r="AU28" s="1597">
        <v>151.91</v>
      </c>
      <c r="AV28" s="1597">
        <v>0</v>
      </c>
      <c r="AW28" s="1597">
        <f t="shared" si="187"/>
        <v>339.39</v>
      </c>
      <c r="AX28" s="1597">
        <v>339.39</v>
      </c>
      <c r="AY28" s="1597"/>
      <c r="AZ28" s="1598">
        <v>256.13</v>
      </c>
      <c r="BA28" s="1594">
        <f t="shared" si="70"/>
        <v>1.1866165699169327</v>
      </c>
      <c r="BB28" s="1597">
        <f>SUM('Ремонт вода 2016'!K191/1000)</f>
        <v>1593.616</v>
      </c>
      <c r="BC28" s="1597">
        <v>0</v>
      </c>
      <c r="BD28" s="1598">
        <f>' текРемвода 2016'!I197/1000</f>
        <v>256.13299999999998</v>
      </c>
      <c r="BE28" s="1597">
        <f>BD28</f>
        <v>256.13299999999998</v>
      </c>
      <c r="BF28" s="1597">
        <v>0</v>
      </c>
      <c r="BG28" s="1597">
        <f t="shared" si="71"/>
        <v>291.54000000000002</v>
      </c>
      <c r="BH28" s="1597">
        <v>291.54000000000002</v>
      </c>
      <c r="BI28" s="1597">
        <v>0</v>
      </c>
      <c r="BJ28" s="1597">
        <f t="shared" ref="BJ28:BJ32" si="350">BK28+BL28</f>
        <v>566.03</v>
      </c>
      <c r="BK28" s="1597">
        <v>566.03</v>
      </c>
      <c r="BL28" s="1597">
        <v>0</v>
      </c>
      <c r="BM28" s="1598">
        <f>SUM(BN28:BO28)</f>
        <v>279.61</v>
      </c>
      <c r="BN28" s="1597">
        <v>279.61</v>
      </c>
      <c r="BO28" s="1597">
        <v>0</v>
      </c>
      <c r="BP28" s="1598">
        <f>SUM(BQ28:BR28)</f>
        <v>996.73</v>
      </c>
      <c r="BQ28" s="1597">
        <v>996.37</v>
      </c>
      <c r="BR28" s="1597">
        <v>0.36</v>
      </c>
      <c r="BS28" s="1597">
        <f t="shared" ref="BS28:BS32" si="351">BT28+BU28</f>
        <v>1049.73</v>
      </c>
      <c r="BT28" s="1597">
        <v>1048.27</v>
      </c>
      <c r="BU28" s="1597">
        <v>1.46</v>
      </c>
      <c r="BV28" s="1597">
        <f>'рем программа'!B30</f>
        <v>1049.5662500000001</v>
      </c>
      <c r="BW28" s="1597">
        <f>BV28/$BV$87*$BW$87</f>
        <v>1049.0590047953215</v>
      </c>
      <c r="BX28" s="1597">
        <f>BV28/$BV$87*$BX$87</f>
        <v>0.50724520467857759</v>
      </c>
      <c r="BY28" s="1597">
        <f>SUM('рем программа'!I30:J30)</f>
        <v>1052.53394</v>
      </c>
      <c r="BZ28" s="1597">
        <f>BY28/$BV$87*$BW$87</f>
        <v>1052.0252605394835</v>
      </c>
      <c r="CA28" s="1597">
        <f>BY28/$BV$87*$BX$87</f>
        <v>0.50867946051661794</v>
      </c>
      <c r="CB28" s="3286" t="s">
        <v>3505</v>
      </c>
      <c r="CC28" s="365"/>
      <c r="CD28" s="365"/>
      <c r="CE28" s="365"/>
      <c r="CF28" s="1597">
        <f>SUM('рем программа'!K30)</f>
        <v>1070.2427051249999</v>
      </c>
      <c r="CG28" s="1597">
        <f>CF28/CF167*CG167</f>
        <v>1069.6975319495098</v>
      </c>
      <c r="CH28" s="1597">
        <f>CF28/CF167*CH167</f>
        <v>0.5451731754902539</v>
      </c>
      <c r="CI28" s="1597">
        <f>SUM(CJ28:CK28)</f>
        <v>197.37</v>
      </c>
      <c r="CJ28" s="1597">
        <f>SUM('рем программа'!L30)</f>
        <v>197.37</v>
      </c>
      <c r="CK28" s="1597">
        <v>0</v>
      </c>
      <c r="CL28" s="1597">
        <f>SUM(CM28:CN28)</f>
        <v>294.45</v>
      </c>
      <c r="CM28" s="1597">
        <f>SUM('рем программа'!M30)</f>
        <v>294.45</v>
      </c>
      <c r="CN28" s="1597">
        <v>0</v>
      </c>
      <c r="CO28" s="1597">
        <f>SUM(CP28:CQ28)</f>
        <v>515.79999999999995</v>
      </c>
      <c r="CP28" s="1597">
        <f>SUM('рем программа'!N30)</f>
        <v>515.79999999999995</v>
      </c>
      <c r="CQ28" s="1597">
        <v>0</v>
      </c>
      <c r="CR28" s="1597">
        <f>SUM(CS28:CT28)</f>
        <v>1153.2394764000001</v>
      </c>
      <c r="CS28" s="1597">
        <f>SUM('рем программа'!O30)</f>
        <v>1153.2394764000001</v>
      </c>
      <c r="CT28" s="1597">
        <v>0</v>
      </c>
      <c r="CU28" s="1597">
        <f>SUM(CV28:CW28)</f>
        <v>1099.8151527991322</v>
      </c>
      <c r="CV28" s="1597">
        <f>SUM('рем программа'!P30)</f>
        <v>1099.8151527991322</v>
      </c>
      <c r="CW28" s="1597">
        <v>0</v>
      </c>
      <c r="CX28" s="1597">
        <f>SUM(CY28:CZ28)</f>
        <v>379.27</v>
      </c>
      <c r="CY28" s="1597">
        <f>SUM('рем программа'!Q30)</f>
        <v>379.27</v>
      </c>
      <c r="CZ28" s="1597">
        <v>0</v>
      </c>
      <c r="DA28" s="1597">
        <f>SUM(DB28:DC28)</f>
        <v>496.94</v>
      </c>
      <c r="DB28" s="1597">
        <f>SUM('рем программа'!R30)</f>
        <v>496.94</v>
      </c>
      <c r="DC28" s="1597">
        <v>0</v>
      </c>
      <c r="DD28" s="1597">
        <f>SUM(DE28:DF28)</f>
        <v>712.22</v>
      </c>
      <c r="DE28" s="1597">
        <f>SUM('рем программа'!S30)</f>
        <v>712.22</v>
      </c>
      <c r="DF28" s="1597">
        <v>0</v>
      </c>
      <c r="DG28" s="1597">
        <f>SUM(DH28:DI28)</f>
        <v>1192.3792649999998</v>
      </c>
      <c r="DH28" s="1597">
        <f>SUM('рем программа'!T30)</f>
        <v>1192.3792649999998</v>
      </c>
      <c r="DI28" s="1597">
        <v>0</v>
      </c>
      <c r="DJ28" s="1597">
        <f>SUM(DK28:DL28)</f>
        <v>1164.1961353244155</v>
      </c>
      <c r="DK28" s="1597">
        <f>SUM('рем программа'!U30)</f>
        <v>1164.1961353244155</v>
      </c>
      <c r="DL28" s="1597">
        <v>0</v>
      </c>
      <c r="DM28" s="1597">
        <f>SUM(DN28:DO28)</f>
        <v>355.38499999999999</v>
      </c>
      <c r="DN28" s="1597">
        <f>SUM('рем программа'!V30)</f>
        <v>355.38499999999999</v>
      </c>
      <c r="DO28" s="1597">
        <v>0</v>
      </c>
      <c r="DP28" s="1597">
        <f>SUM(DQ28:DR28)</f>
        <v>595.51400000000001</v>
      </c>
      <c r="DQ28" s="1597">
        <f>SUM('рем программа'!W30)</f>
        <v>595.51400000000001</v>
      </c>
      <c r="DR28" s="1597">
        <v>0</v>
      </c>
      <c r="DS28" s="1597">
        <f>SUM(DT28:DU28)</f>
        <v>790.53700000000003</v>
      </c>
      <c r="DT28" s="1597">
        <f>SUM('рем программа'!X30)</f>
        <v>790.53700000000003</v>
      </c>
      <c r="DU28" s="1597">
        <v>0</v>
      </c>
      <c r="DV28" s="2343">
        <f>SUM(DW28:DX28)</f>
        <v>1228.1484600000001</v>
      </c>
      <c r="DW28" s="2343">
        <f>SUM('рем программа'!Y30)</f>
        <v>1228.1484600000001</v>
      </c>
      <c r="DX28" s="2343">
        <v>0</v>
      </c>
      <c r="DY28" s="3211">
        <f>SUM(DZ28:EA28)</f>
        <v>0</v>
      </c>
      <c r="DZ28" s="3211">
        <f>SUM('рем программа'!AJ30)</f>
        <v>0</v>
      </c>
      <c r="EA28" s="4071">
        <v>0</v>
      </c>
      <c r="EB28" s="2343">
        <f>SUM(EC28:ED28)</f>
        <v>1228.1484600000001</v>
      </c>
      <c r="EC28" s="2343">
        <f>SUM('рем программа'!Y30)</f>
        <v>1228.1484600000001</v>
      </c>
      <c r="ED28" s="2343">
        <v>0</v>
      </c>
      <c r="EE28" s="2343">
        <f>SUM(EF28:EG28)</f>
        <v>1342.9665108642632</v>
      </c>
      <c r="EF28" s="2343">
        <f>SUM('рем программа'!Z30)</f>
        <v>1342.9665108642632</v>
      </c>
      <c r="EG28" s="2343">
        <v>0</v>
      </c>
      <c r="EH28" s="3662">
        <f>SUM(EI28:EJ28)</f>
        <v>1182.924</v>
      </c>
      <c r="EI28" s="3662">
        <f>SUM('рем программа'!AA30)</f>
        <v>1182.924</v>
      </c>
      <c r="EJ28" s="3662">
        <v>0</v>
      </c>
      <c r="EK28" s="3662">
        <f>SUM(EL28:EM28)</f>
        <v>2299.4969999999998</v>
      </c>
      <c r="EL28" s="3662">
        <f>SUM('рем программа'!AB30)</f>
        <v>2299.4969999999998</v>
      </c>
      <c r="EM28" s="3662">
        <v>0</v>
      </c>
    </row>
    <row r="29" spans="1:143" ht="21" customHeight="1" x14ac:dyDescent="0.2">
      <c r="A29" s="3191" t="s">
        <v>2</v>
      </c>
      <c r="B29" s="3289">
        <v>332.9</v>
      </c>
      <c r="C29" s="2110">
        <v>352.9</v>
      </c>
      <c r="D29" s="3079">
        <f t="shared" si="51"/>
        <v>106.00781015319916</v>
      </c>
      <c r="E29" s="2110">
        <v>309.39999999999998</v>
      </c>
      <c r="F29" s="3079">
        <f t="shared" si="52"/>
        <v>87.673561915556817</v>
      </c>
      <c r="G29" s="2110">
        <v>267</v>
      </c>
      <c r="H29" s="3079">
        <f t="shared" si="53"/>
        <v>86.296056884292184</v>
      </c>
      <c r="I29" s="3291">
        <v>257</v>
      </c>
      <c r="J29" s="3291">
        <v>129.80000000000001</v>
      </c>
      <c r="K29" s="3291">
        <v>203.5</v>
      </c>
      <c r="L29" s="3291">
        <v>272.89999999999998</v>
      </c>
      <c r="M29" s="3308">
        <f t="shared" si="54"/>
        <v>106.18677042801556</v>
      </c>
      <c r="N29" s="3308">
        <f t="shared" si="55"/>
        <v>102.20973782771534</v>
      </c>
      <c r="O29" s="3291">
        <v>257</v>
      </c>
      <c r="P29" s="3308">
        <f t="shared" si="56"/>
        <v>100</v>
      </c>
      <c r="Q29" s="3309">
        <v>257</v>
      </c>
      <c r="R29" s="3308">
        <f t="shared" si="65"/>
        <v>100</v>
      </c>
      <c r="S29" s="3308">
        <f t="shared" si="66"/>
        <v>94.173689996335668</v>
      </c>
      <c r="T29" s="3291" t="e">
        <f>Q29/Q87*T87</f>
        <v>#REF!</v>
      </c>
      <c r="U29" s="3291" t="e">
        <f t="shared" si="349"/>
        <v>#REF!</v>
      </c>
      <c r="V29" s="3291">
        <v>205.4</v>
      </c>
      <c r="W29" s="3291" t="e">
        <f>272.9*('объемы ВС и ВО 2023'!#REF!-'объемы ВС и ВО 2023'!#REF!)/'объемы ВС и ВО 2023'!#REF!</f>
        <v>#REF!</v>
      </c>
      <c r="X29" s="3291" t="e">
        <f>272.9-W29</f>
        <v>#REF!</v>
      </c>
      <c r="Y29" s="1597">
        <v>298.89999999999998</v>
      </c>
      <c r="Z29" s="1591">
        <f t="shared" si="57"/>
        <v>1.1630350194552528</v>
      </c>
      <c r="AA29" s="1597" t="e">
        <f>Аморт!G9</f>
        <v>#REF!</v>
      </c>
      <c r="AB29" s="1591" t="e">
        <f t="shared" si="1"/>
        <v>#REF!</v>
      </c>
      <c r="AC29" s="1597" t="e">
        <f>$AC$87/$AA$87*AA29</f>
        <v>#REF!</v>
      </c>
      <c r="AD29" s="1597" t="e">
        <f t="shared" si="68"/>
        <v>#REF!</v>
      </c>
      <c r="AE29" s="1597">
        <f>SUM(Аморт!L9)</f>
        <v>72.099999999999994</v>
      </c>
      <c r="AF29" s="1597">
        <f>AF87/AE87*AE29</f>
        <v>71.211022530329288</v>
      </c>
      <c r="AG29" s="1597">
        <f>AE29-AF29</f>
        <v>0.88897746967070645</v>
      </c>
      <c r="AH29" s="1598">
        <f t="shared" si="59"/>
        <v>273</v>
      </c>
      <c r="AI29" s="1592" t="e">
        <f t="shared" si="60"/>
        <v>#REF!</v>
      </c>
      <c r="AJ29" s="1597">
        <v>269.89</v>
      </c>
      <c r="AK29" s="1597">
        <v>3.11</v>
      </c>
      <c r="AL29" s="1598">
        <f t="shared" si="61"/>
        <v>273</v>
      </c>
      <c r="AM29" s="1592" t="e">
        <f t="shared" si="62"/>
        <v>#REF!</v>
      </c>
      <c r="AN29" s="1597">
        <f>Аморт!O9*AN87/(AN87+AO87)</f>
        <v>269.89233787385251</v>
      </c>
      <c r="AO29" s="1597">
        <f>-AN29+Аморт!O9</f>
        <v>3.1076621261474884</v>
      </c>
      <c r="AP29" s="1593" t="e">
        <f t="shared" si="63"/>
        <v>#REF!</v>
      </c>
      <c r="AQ29" s="1593" t="e">
        <f t="shared" si="215"/>
        <v>#REF!</v>
      </c>
      <c r="AR29" s="1593" t="e">
        <f t="shared" si="64"/>
        <v>#REF!</v>
      </c>
      <c r="AS29" s="1593" t="e">
        <f t="shared" si="2"/>
        <v>#REF!</v>
      </c>
      <c r="AT29" s="1597">
        <f>SUM(Аморт!Q9)</f>
        <v>26.95</v>
      </c>
      <c r="AU29" s="1597">
        <f>AU87/AT87*AT29</f>
        <v>26.764509565531931</v>
      </c>
      <c r="AV29" s="1597">
        <f>AT29-AU29</f>
        <v>0.18549043446806834</v>
      </c>
      <c r="AW29" s="1597">
        <f t="shared" si="187"/>
        <v>53.89</v>
      </c>
      <c r="AX29" s="1597">
        <v>53.63</v>
      </c>
      <c r="AY29" s="1597">
        <v>0.26</v>
      </c>
      <c r="AZ29" s="1598">
        <f>SUM(Аморт!T9)</f>
        <v>273</v>
      </c>
      <c r="BA29" s="1594">
        <f t="shared" si="70"/>
        <v>1</v>
      </c>
      <c r="BB29" s="1597">
        <f>BB87/AZ87*AZ29</f>
        <v>271.54196228678882</v>
      </c>
      <c r="BC29" s="1597">
        <f>AZ29-BB29</f>
        <v>1.4580377132111835</v>
      </c>
      <c r="BD29" s="1598">
        <f>SUM(Аморт!U9)</f>
        <v>53.89</v>
      </c>
      <c r="BE29" s="1597">
        <f>BE87/BD87*BD29</f>
        <v>53.602184423571615</v>
      </c>
      <c r="BF29" s="1597">
        <f>BD29-BE29</f>
        <v>0.28781557642838607</v>
      </c>
      <c r="BG29" s="1597">
        <f t="shared" si="71"/>
        <v>53.89</v>
      </c>
      <c r="BH29" s="1597">
        <v>53.85</v>
      </c>
      <c r="BI29" s="1597">
        <v>0.04</v>
      </c>
      <c r="BJ29" s="1597">
        <f t="shared" si="350"/>
        <v>53.88</v>
      </c>
      <c r="BK29" s="1597">
        <v>53.88</v>
      </c>
      <c r="BL29" s="1597">
        <v>0</v>
      </c>
      <c r="BM29" s="1598">
        <f t="shared" ref="BM29:BM42" si="352">SUM(BN29+BO29)</f>
        <v>53.89</v>
      </c>
      <c r="BN29" s="1597">
        <v>53.89</v>
      </c>
      <c r="BO29" s="1597">
        <v>0</v>
      </c>
      <c r="BP29" s="1598">
        <f t="shared" ref="BP29:BP32" si="353">SUM(BQ29+BR29)</f>
        <v>51.454000000000001</v>
      </c>
      <c r="BQ29" s="1597">
        <v>51.43</v>
      </c>
      <c r="BR29" s="1597">
        <v>2.4E-2</v>
      </c>
      <c r="BS29" s="1597">
        <f t="shared" si="351"/>
        <v>53.88</v>
      </c>
      <c r="BT29" s="1597">
        <v>53.88</v>
      </c>
      <c r="BU29" s="1597">
        <v>0</v>
      </c>
      <c r="BV29" s="1597">
        <f>Аморт!AM9</f>
        <v>53.88</v>
      </c>
      <c r="BW29" s="1597">
        <f>BV29/$BV$87*$BW$87</f>
        <v>53.853960317771197</v>
      </c>
      <c r="BX29" s="1597">
        <f>BV29/$BV$87*$BX$87</f>
        <v>2.6039682228808099E-2</v>
      </c>
      <c r="BY29" s="1597">
        <f>SUM(Аморт!AS9)</f>
        <v>53.88</v>
      </c>
      <c r="BZ29" s="1597">
        <f>BY29/$BV$87*$BW$87</f>
        <v>53.853960317771197</v>
      </c>
      <c r="CA29" s="1597">
        <f>BY29/$BV$87*$BX$87</f>
        <v>2.6039682228808099E-2</v>
      </c>
      <c r="CB29" s="3286" t="str">
        <f>CB20</f>
        <v>Приложение</v>
      </c>
      <c r="CC29" s="365"/>
      <c r="CD29" s="365"/>
      <c r="CE29" s="365"/>
      <c r="CF29" s="1597">
        <f>SUM(Аморт!AT9)</f>
        <v>53.88</v>
      </c>
      <c r="CG29" s="1597">
        <f>CF29/CF167*CG167</f>
        <v>53.852553953832384</v>
      </c>
      <c r="CH29" s="1597">
        <f>CF29/CF167*CH167</f>
        <v>2.7446046167615906E-2</v>
      </c>
      <c r="CI29" s="1597">
        <f>SUM(CJ29:CK29)</f>
        <v>22.59</v>
      </c>
      <c r="CJ29" s="1597">
        <f>SUM(Аморт!AV9)</f>
        <v>22.59</v>
      </c>
      <c r="CK29" s="1597">
        <f>SUM(Аморт!AW9)</f>
        <v>0</v>
      </c>
      <c r="CL29" s="1597">
        <f>SUM(CM29:CN29)</f>
        <v>34.06</v>
      </c>
      <c r="CM29" s="1597">
        <f>SUM(Аморт!AY9)</f>
        <v>34.06</v>
      </c>
      <c r="CN29" s="1597">
        <f>SUM(Аморт!AZ9)</f>
        <v>0</v>
      </c>
      <c r="CO29" s="1597">
        <f>SUM(CP29:CQ29)</f>
        <v>41.95</v>
      </c>
      <c r="CP29" s="1597">
        <f>SUM(Аморт!BB9)</f>
        <v>41.95</v>
      </c>
      <c r="CQ29" s="1597">
        <f>SUM(Аморт!BC9)</f>
        <v>0</v>
      </c>
      <c r="CR29" s="1597">
        <f>SUM(CS29:CT29)</f>
        <v>41.95</v>
      </c>
      <c r="CS29" s="1597">
        <f>SUM(Аморт!BD9)</f>
        <v>41.95</v>
      </c>
      <c r="CT29" s="1597">
        <v>0</v>
      </c>
      <c r="CU29" s="1597">
        <f>SUM(CV29:CW29)</f>
        <v>22.007611636538794</v>
      </c>
      <c r="CV29" s="1597">
        <f>SUM(Аморт!BE9)</f>
        <v>22.007611636538794</v>
      </c>
      <c r="CW29" s="1597">
        <v>0</v>
      </c>
      <c r="CX29" s="1597">
        <f>SUM(CY29:CZ29)</f>
        <v>23.655000000000001</v>
      </c>
      <c r="CY29" s="1597">
        <f>SUM(Аморт!BJ9)</f>
        <v>23.655000000000001</v>
      </c>
      <c r="CZ29" s="1597">
        <v>0</v>
      </c>
      <c r="DA29" s="1597">
        <f>SUM(DB29:DC29)</f>
        <v>55.16</v>
      </c>
      <c r="DB29" s="1597">
        <f>SUM(Аморт!BM9)</f>
        <v>55.16</v>
      </c>
      <c r="DC29" s="1597">
        <v>0</v>
      </c>
      <c r="DD29" s="1597">
        <f>SUM(DE29:DF29)</f>
        <v>86.64</v>
      </c>
      <c r="DE29" s="1597">
        <f>SUM(Аморт!BP9)</f>
        <v>86.64</v>
      </c>
      <c r="DF29" s="1597">
        <v>0</v>
      </c>
      <c r="DG29" s="1597">
        <f>SUM(DH29:DI29)</f>
        <v>86.64</v>
      </c>
      <c r="DH29" s="1597">
        <f>SUM(Аморт!BR9)</f>
        <v>86.64</v>
      </c>
      <c r="DI29" s="1597">
        <v>0</v>
      </c>
      <c r="DJ29" s="1597">
        <f>SUM(DK29:DL29)</f>
        <v>86.104398305281507</v>
      </c>
      <c r="DK29" s="1597">
        <f>SUM(Аморт!BS9)</f>
        <v>86.104398305281507</v>
      </c>
      <c r="DL29" s="1597">
        <v>0</v>
      </c>
      <c r="DM29" s="1597">
        <f>SUM(DN29:DO29)</f>
        <v>62.993000000000002</v>
      </c>
      <c r="DN29" s="1597">
        <f>SUM(Аморт!BU9)</f>
        <v>62.993000000000002</v>
      </c>
      <c r="DO29" s="1597">
        <v>0</v>
      </c>
      <c r="DP29" s="1597">
        <f>SUM(DQ29:DR29)</f>
        <v>94.494</v>
      </c>
      <c r="DQ29" s="1597">
        <f>SUM(Аморт!BX9)</f>
        <v>94.494</v>
      </c>
      <c r="DR29" s="1597">
        <v>0</v>
      </c>
      <c r="DS29" s="1597">
        <f>SUM(DT29:DU29)</f>
        <v>133.28399999999999</v>
      </c>
      <c r="DT29" s="1597">
        <f>SUM(Аморт!CA9)</f>
        <v>133.28399999999999</v>
      </c>
      <c r="DU29" s="1597">
        <v>0</v>
      </c>
      <c r="DV29" s="2343">
        <f>SUM(DW29:DX29)</f>
        <v>133.28399999999999</v>
      </c>
      <c r="DW29" s="2343">
        <f>SUM(Аморт!CC9)</f>
        <v>133.28399999999999</v>
      </c>
      <c r="DX29" s="2343">
        <v>0</v>
      </c>
      <c r="DY29" s="3211">
        <f>SUM(DZ29:EA29)</f>
        <v>0</v>
      </c>
      <c r="DZ29" s="3211">
        <f>SUM(Аморт!CG9)</f>
        <v>0</v>
      </c>
      <c r="EA29" s="4071">
        <v>0</v>
      </c>
      <c r="EB29" s="2343">
        <f>SUM(EC29:ED29)</f>
        <v>133.28399999999999</v>
      </c>
      <c r="EC29" s="2343">
        <f>SUM(Аморт!CC9)</f>
        <v>133.28399999999999</v>
      </c>
      <c r="ED29" s="2343">
        <v>0</v>
      </c>
      <c r="EE29" s="2343">
        <f>SUM(EF29:EG29)</f>
        <v>117.67507241031886</v>
      </c>
      <c r="EF29" s="2343">
        <f>SUM(Аморт!CD9)</f>
        <v>117.67507241031886</v>
      </c>
      <c r="EG29" s="2343">
        <v>0</v>
      </c>
      <c r="EH29" s="3662">
        <f>SUM(EI29:EJ29)</f>
        <v>106.872</v>
      </c>
      <c r="EI29" s="3662">
        <f>SUM(Аморт!CE9)</f>
        <v>106.872</v>
      </c>
      <c r="EJ29" s="3662">
        <v>0</v>
      </c>
      <c r="EK29" s="3662">
        <f>SUM(EL29:EM29)</f>
        <v>213.744</v>
      </c>
      <c r="EL29" s="3662">
        <f>SUM(Аморт!CF9)</f>
        <v>213.744</v>
      </c>
      <c r="EM29" s="3662">
        <v>0</v>
      </c>
    </row>
    <row r="30" spans="1:143" ht="21" customHeight="1" x14ac:dyDescent="0.2">
      <c r="A30" s="3191" t="s">
        <v>4280</v>
      </c>
      <c r="B30" s="3289">
        <v>35.4</v>
      </c>
      <c r="C30" s="1726"/>
      <c r="D30" s="3079">
        <f t="shared" si="51"/>
        <v>0</v>
      </c>
      <c r="E30" s="3289">
        <v>8.6999999999999993</v>
      </c>
      <c r="F30" s="3079"/>
      <c r="G30" s="2110"/>
      <c r="H30" s="3079">
        <f t="shared" si="53"/>
        <v>0</v>
      </c>
      <c r="I30" s="3291"/>
      <c r="J30" s="3291"/>
      <c r="K30" s="3291"/>
      <c r="L30" s="3291">
        <v>33.299999999999997</v>
      </c>
      <c r="M30" s="3308"/>
      <c r="N30" s="3308"/>
      <c r="O30" s="3291"/>
      <c r="P30" s="3308"/>
      <c r="Q30" s="3309"/>
      <c r="R30" s="3308"/>
      <c r="S30" s="3308"/>
      <c r="T30" s="3291"/>
      <c r="U30" s="3291">
        <f t="shared" si="349"/>
        <v>0</v>
      </c>
      <c r="V30" s="3291">
        <v>0</v>
      </c>
      <c r="W30" s="3291">
        <v>0</v>
      </c>
      <c r="X30" s="3291">
        <v>0</v>
      </c>
      <c r="Y30" s="1597">
        <v>0</v>
      </c>
      <c r="Z30" s="1591"/>
      <c r="AA30" s="1597">
        <v>0</v>
      </c>
      <c r="AB30" s="1591"/>
      <c r="AC30" s="1597" t="e">
        <f>$AC$87/$AA$87*AA30</f>
        <v>#REF!</v>
      </c>
      <c r="AD30" s="1597" t="e">
        <f t="shared" si="68"/>
        <v>#REF!</v>
      </c>
      <c r="AE30" s="1597">
        <v>0</v>
      </c>
      <c r="AF30" s="1597">
        <v>0</v>
      </c>
      <c r="AG30" s="1597">
        <v>0</v>
      </c>
      <c r="AH30" s="1598">
        <f t="shared" si="59"/>
        <v>0</v>
      </c>
      <c r="AI30" s="1592"/>
      <c r="AJ30" s="1597">
        <v>0</v>
      </c>
      <c r="AK30" s="1597">
        <v>0</v>
      </c>
      <c r="AL30" s="1598">
        <f t="shared" si="61"/>
        <v>0</v>
      </c>
      <c r="AM30" s="1592"/>
      <c r="AN30" s="1597">
        <v>0</v>
      </c>
      <c r="AO30" s="1597">
        <v>0</v>
      </c>
      <c r="AP30" s="1593">
        <f t="shared" si="63"/>
        <v>0</v>
      </c>
      <c r="AQ30" s="1593"/>
      <c r="AR30" s="1593"/>
      <c r="AS30" s="1593">
        <f t="shared" si="2"/>
        <v>0</v>
      </c>
      <c r="AT30" s="1597">
        <v>0</v>
      </c>
      <c r="AU30" s="1597">
        <v>0</v>
      </c>
      <c r="AV30" s="1597">
        <v>0</v>
      </c>
      <c r="AW30" s="1597">
        <f t="shared" si="187"/>
        <v>0</v>
      </c>
      <c r="AX30" s="1597">
        <v>0</v>
      </c>
      <c r="AY30" s="1597">
        <v>0</v>
      </c>
      <c r="AZ30" s="1598">
        <f t="shared" ref="AZ30" si="354">SUM(BB30+BC30)</f>
        <v>0</v>
      </c>
      <c r="BA30" s="1594"/>
      <c r="BB30" s="1597">
        <v>0</v>
      </c>
      <c r="BC30" s="1597">
        <v>0</v>
      </c>
      <c r="BD30" s="1598">
        <f t="shared" ref="BD30" si="355">SUM(BE30+BF30)</f>
        <v>0</v>
      </c>
      <c r="BE30" s="1597">
        <v>0</v>
      </c>
      <c r="BF30" s="1597">
        <v>0</v>
      </c>
      <c r="BG30" s="1597">
        <f t="shared" si="71"/>
        <v>0</v>
      </c>
      <c r="BH30" s="1597">
        <v>0</v>
      </c>
      <c r="BI30" s="1597">
        <v>0</v>
      </c>
      <c r="BJ30" s="1597">
        <f t="shared" si="350"/>
        <v>0</v>
      </c>
      <c r="BK30" s="1597">
        <v>0</v>
      </c>
      <c r="BL30" s="1597">
        <v>0</v>
      </c>
      <c r="BM30" s="1598">
        <f t="shared" si="352"/>
        <v>0</v>
      </c>
      <c r="BN30" s="1597">
        <v>0</v>
      </c>
      <c r="BO30" s="1597">
        <v>0</v>
      </c>
      <c r="BP30" s="1598">
        <f t="shared" si="353"/>
        <v>10.91</v>
      </c>
      <c r="BQ30" s="1597">
        <v>10.91</v>
      </c>
      <c r="BR30" s="1597">
        <v>0</v>
      </c>
      <c r="BS30" s="1597">
        <f t="shared" si="351"/>
        <v>0</v>
      </c>
      <c r="BT30" s="1597">
        <v>0</v>
      </c>
      <c r="BU30" s="1597">
        <v>0</v>
      </c>
      <c r="BV30" s="1597">
        <v>0</v>
      </c>
      <c r="BW30" s="1597">
        <f>BV30/$BV$87*$BW$87</f>
        <v>0</v>
      </c>
      <c r="BX30" s="1597">
        <f>BV30/$BV$87*$BX$87</f>
        <v>0</v>
      </c>
      <c r="BY30" s="1597">
        <v>0</v>
      </c>
      <c r="BZ30" s="1597">
        <f>BY30/$BV$87*$BW$87</f>
        <v>0</v>
      </c>
      <c r="CA30" s="1597">
        <f>BY30/$BV$87*$BX$87</f>
        <v>0</v>
      </c>
      <c r="CB30" s="3286"/>
      <c r="CC30" s="365"/>
      <c r="CD30" s="365"/>
      <c r="CE30" s="365"/>
      <c r="CF30" s="1597">
        <v>0</v>
      </c>
      <c r="CG30" s="1597">
        <f>CF30/$BV$87*$BW$87</f>
        <v>0</v>
      </c>
      <c r="CH30" s="1597">
        <f>CF30/$BV$87*$BX$87</f>
        <v>0</v>
      </c>
      <c r="CI30" s="1597">
        <f t="shared" ref="CI30:CI31" si="356">SUM(CJ30:CK30)</f>
        <v>0</v>
      </c>
      <c r="CJ30" s="1597">
        <v>0</v>
      </c>
      <c r="CK30" s="1597">
        <v>0</v>
      </c>
      <c r="CL30" s="1597">
        <f t="shared" ref="CL30:CL31" si="357">SUM(CM30:CN30)</f>
        <v>0</v>
      </c>
      <c r="CM30" s="1597">
        <v>0</v>
      </c>
      <c r="CN30" s="1597">
        <v>0</v>
      </c>
      <c r="CO30" s="1597">
        <f t="shared" ref="CO30:CO31" si="358">SUM(CP30:CQ30)</f>
        <v>0</v>
      </c>
      <c r="CP30" s="1597">
        <v>0</v>
      </c>
      <c r="CQ30" s="1597">
        <v>0</v>
      </c>
      <c r="CR30" s="1597">
        <f t="shared" ref="CR30:CR31" si="359">SUM(CS30:CT30)</f>
        <v>0</v>
      </c>
      <c r="CS30" s="1597">
        <v>0</v>
      </c>
      <c r="CT30" s="1597">
        <v>0</v>
      </c>
      <c r="CU30" s="1597">
        <f t="shared" ref="CU30:CU31" si="360">SUM(CV30:CW30)</f>
        <v>0</v>
      </c>
      <c r="CV30" s="1597">
        <v>0</v>
      </c>
      <c r="CW30" s="1597">
        <v>0</v>
      </c>
      <c r="CX30" s="1597">
        <f t="shared" ref="CX30:CX31" si="361">SUM(CY30:CZ30)</f>
        <v>0</v>
      </c>
      <c r="CY30" s="1597">
        <v>0</v>
      </c>
      <c r="CZ30" s="1597">
        <v>0</v>
      </c>
      <c r="DA30" s="1597">
        <f t="shared" ref="DA30:DA31" si="362">SUM(DB30:DC30)</f>
        <v>0</v>
      </c>
      <c r="DB30" s="1597">
        <v>0</v>
      </c>
      <c r="DC30" s="1597">
        <v>0</v>
      </c>
      <c r="DD30" s="1597">
        <f t="shared" ref="DD30:DD31" si="363">SUM(DE30:DF30)</f>
        <v>0</v>
      </c>
      <c r="DE30" s="1597">
        <v>0</v>
      </c>
      <c r="DF30" s="1597">
        <v>0</v>
      </c>
      <c r="DG30" s="1597">
        <f t="shared" ref="DG30:DG31" si="364">SUM(DH30:DI30)</f>
        <v>0</v>
      </c>
      <c r="DH30" s="1597">
        <v>0</v>
      </c>
      <c r="DI30" s="1597">
        <v>0</v>
      </c>
      <c r="DJ30" s="1597">
        <f t="shared" ref="DJ30:DJ31" si="365">SUM(DK30:DL30)</f>
        <v>0</v>
      </c>
      <c r="DK30" s="1597">
        <v>0</v>
      </c>
      <c r="DL30" s="1597">
        <v>0</v>
      </c>
      <c r="DM30" s="1597">
        <f t="shared" ref="DM30:DM31" si="366">SUM(DN30:DO30)</f>
        <v>0</v>
      </c>
      <c r="DN30" s="1597">
        <v>0</v>
      </c>
      <c r="DO30" s="1597">
        <v>0</v>
      </c>
      <c r="DP30" s="1597">
        <f t="shared" ref="DP30:DP31" si="367">SUM(DQ30:DR30)</f>
        <v>0</v>
      </c>
      <c r="DQ30" s="1597">
        <v>0</v>
      </c>
      <c r="DR30" s="1597">
        <v>0</v>
      </c>
      <c r="DS30" s="1597">
        <f t="shared" ref="DS30:DS31" si="368">SUM(DT30:DU30)</f>
        <v>0</v>
      </c>
      <c r="DT30" s="1597">
        <v>0</v>
      </c>
      <c r="DU30" s="1597">
        <v>0</v>
      </c>
      <c r="DV30" s="2343">
        <f t="shared" ref="DV30:DV31" si="369">SUM(DW30:DX30)</f>
        <v>0</v>
      </c>
      <c r="DW30" s="2343">
        <v>0</v>
      </c>
      <c r="DX30" s="2343">
        <v>0</v>
      </c>
      <c r="DY30" s="3211">
        <f t="shared" ref="DY30:DY31" si="370">SUM(DZ30:EA30)</f>
        <v>0</v>
      </c>
      <c r="DZ30" s="3211">
        <v>0</v>
      </c>
      <c r="EA30" s="4071">
        <v>0</v>
      </c>
      <c r="EB30" s="2343">
        <f t="shared" ref="EB30:EB31" si="371">SUM(EC30:ED30)</f>
        <v>0</v>
      </c>
      <c r="EC30" s="2343">
        <v>0</v>
      </c>
      <c r="ED30" s="2343">
        <v>0</v>
      </c>
      <c r="EE30" s="2343">
        <f t="shared" ref="EE30:EE31" si="372">SUM(EF30:EG30)</f>
        <v>0</v>
      </c>
      <c r="EF30" s="2343">
        <v>0</v>
      </c>
      <c r="EG30" s="2343">
        <v>0</v>
      </c>
      <c r="EH30" s="3662">
        <f t="shared" ref="EH30:EH31" si="373">SUM(EI30:EJ30)</f>
        <v>247.6</v>
      </c>
      <c r="EI30" s="3662">
        <v>247.6</v>
      </c>
      <c r="EJ30" s="3662">
        <v>0</v>
      </c>
      <c r="EK30" s="3662">
        <f t="shared" ref="EK30:EK31" si="374">SUM(EL30:EM30)</f>
        <v>309.68299999999999</v>
      </c>
      <c r="EL30" s="3662">
        <v>309.68299999999999</v>
      </c>
      <c r="EM30" s="3662">
        <v>0</v>
      </c>
    </row>
    <row r="31" spans="1:143" ht="21" customHeight="1" x14ac:dyDescent="0.2">
      <c r="A31" s="3191" t="s">
        <v>4</v>
      </c>
      <c r="B31" s="3289">
        <v>6114.5</v>
      </c>
      <c r="C31" s="2110">
        <v>6562.1</v>
      </c>
      <c r="D31" s="3079">
        <f t="shared" si="51"/>
        <v>107.32030419494644</v>
      </c>
      <c r="E31" s="2110">
        <v>7516.4</v>
      </c>
      <c r="F31" s="3079">
        <f t="shared" ref="F31:F42" si="375">E31/C31*100</f>
        <v>114.54260069185169</v>
      </c>
      <c r="G31" s="2110">
        <v>8370</v>
      </c>
      <c r="H31" s="3079">
        <f t="shared" si="53"/>
        <v>111.35650045234422</v>
      </c>
      <c r="I31" s="3291">
        <v>8699.1</v>
      </c>
      <c r="J31" s="3291">
        <v>4218.3999999999996</v>
      </c>
      <c r="K31" s="3291">
        <v>5882</v>
      </c>
      <c r="L31" s="3291">
        <v>8778.6</v>
      </c>
      <c r="M31" s="3308">
        <f t="shared" si="54"/>
        <v>100.91388764354934</v>
      </c>
      <c r="N31" s="3308">
        <f t="shared" si="55"/>
        <v>104.88172043010752</v>
      </c>
      <c r="O31" s="3291">
        <v>10597</v>
      </c>
      <c r="P31" s="3308">
        <f t="shared" si="56"/>
        <v>121.81719948040602</v>
      </c>
      <c r="Q31" s="3309">
        <f>ЗП!AP11</f>
        <v>9316.8646200000003</v>
      </c>
      <c r="R31" s="3308">
        <f t="shared" si="65"/>
        <v>107.10147739421319</v>
      </c>
      <c r="S31" s="3308">
        <f t="shared" si="66"/>
        <v>106.13155423416035</v>
      </c>
      <c r="T31" s="3291" t="e">
        <f>Q31/Q87*T87</f>
        <v>#REF!</v>
      </c>
      <c r="U31" s="3291" t="e">
        <f t="shared" si="349"/>
        <v>#REF!</v>
      </c>
      <c r="V31" s="3291">
        <v>7252.1</v>
      </c>
      <c r="W31" s="3291" t="e">
        <f>9723.8*('объемы ВС и ВО 2023'!#REF!-'объемы ВС и ВО 2023'!#REF!)/'объемы ВС и ВО 2023'!#REF!</f>
        <v>#REF!</v>
      </c>
      <c r="X31" s="3291" t="e">
        <f>9723.8-W31</f>
        <v>#REF!</v>
      </c>
      <c r="Y31" s="1597">
        <v>11262.6</v>
      </c>
      <c r="Z31" s="1591">
        <f t="shared" si="57"/>
        <v>1.2088401473413273</v>
      </c>
      <c r="AA31" s="1597">
        <f>ЗП!U27</f>
        <v>9838.6090387200002</v>
      </c>
      <c r="AB31" s="1591">
        <f t="shared" si="1"/>
        <v>1.056</v>
      </c>
      <c r="AC31" s="1597" t="e">
        <f>$AC$87/$AA$87*AA31</f>
        <v>#REF!</v>
      </c>
      <c r="AD31" s="1597" t="e">
        <f t="shared" si="68"/>
        <v>#REF!</v>
      </c>
      <c r="AE31" s="1597">
        <f>SUM(ЗП!AS27)</f>
        <v>9116.1</v>
      </c>
      <c r="AF31" s="1597">
        <f>AF87/AE87*AE31</f>
        <v>9003.7004506065859</v>
      </c>
      <c r="AG31" s="1597">
        <f>AE31-AF31</f>
        <v>112.39954939341442</v>
      </c>
      <c r="AH31" s="1598">
        <f t="shared" si="59"/>
        <v>10364.799999999999</v>
      </c>
      <c r="AI31" s="1592">
        <f t="shared" si="60"/>
        <v>1.0534822513232476</v>
      </c>
      <c r="AJ31" s="1597">
        <v>10246.81</v>
      </c>
      <c r="AK31" s="1597">
        <v>117.99</v>
      </c>
      <c r="AL31" s="1598">
        <f t="shared" si="61"/>
        <v>10364.799999999999</v>
      </c>
      <c r="AM31" s="1592">
        <f t="shared" si="62"/>
        <v>1.0534822513232476</v>
      </c>
      <c r="AN31" s="1597">
        <f>ЗП!BB27*AN87/(AN87+AO87)</f>
        <v>10246.813566281708</v>
      </c>
      <c r="AO31" s="1597">
        <f>-AN31+ЗП!BB27</f>
        <v>117.98643371829166</v>
      </c>
      <c r="AP31" s="1593">
        <f t="shared" si="63"/>
        <v>-1423.9909612800002</v>
      </c>
      <c r="AQ31" s="1593" t="e">
        <f t="shared" ref="AQ31:AQ36" si="376">AP31*AC31/AA31</f>
        <v>#REF!</v>
      </c>
      <c r="AR31" s="1593" t="e">
        <f t="shared" si="64"/>
        <v>#REF!</v>
      </c>
      <c r="AS31" s="1593" t="e">
        <f t="shared" si="2"/>
        <v>#REF!</v>
      </c>
      <c r="AT31" s="1597">
        <f>SUM(ЗП!BG27)</f>
        <v>4499.5</v>
      </c>
      <c r="AU31" s="1597">
        <f>AU87/AT87*AT31</f>
        <v>4468.5310126200711</v>
      </c>
      <c r="AV31" s="1597">
        <f>AT31-AU31</f>
        <v>30.968987379928876</v>
      </c>
      <c r="AW31" s="1597">
        <f t="shared" si="187"/>
        <v>9142.15</v>
      </c>
      <c r="AX31" s="1597">
        <v>9098.09</v>
      </c>
      <c r="AY31" s="1597">
        <v>44.06</v>
      </c>
      <c r="AZ31" s="1598">
        <f>SUM(ЗП!BO27)</f>
        <v>11401.28</v>
      </c>
      <c r="BA31" s="1594">
        <f t="shared" si="70"/>
        <v>1.1000000000000001</v>
      </c>
      <c r="BB31" s="1597">
        <f>BB87/AZ87*AZ31</f>
        <v>11340.388072458316</v>
      </c>
      <c r="BC31" s="1597">
        <f>AZ31-BB31</f>
        <v>60.891927541684709</v>
      </c>
      <c r="BD31" s="1598">
        <f>SUM(ЗП!BS27)</f>
        <v>10629.419452631584</v>
      </c>
      <c r="BE31" s="1597">
        <f>BE87/BD87*BD31</f>
        <v>10572.649875959507</v>
      </c>
      <c r="BF31" s="1597">
        <f>BD31-BE31</f>
        <v>56.769576672077164</v>
      </c>
      <c r="BG31" s="1597">
        <f t="shared" si="71"/>
        <v>9289.84</v>
      </c>
      <c r="BH31" s="1597">
        <v>9283.59</v>
      </c>
      <c r="BI31" s="1597">
        <v>6.25</v>
      </c>
      <c r="BJ31" s="1597">
        <f t="shared" si="350"/>
        <v>8455.32</v>
      </c>
      <c r="BK31" s="1597">
        <v>8451.23</v>
      </c>
      <c r="BL31" s="1597">
        <v>4.09</v>
      </c>
      <c r="BM31" s="1598">
        <f t="shared" si="352"/>
        <v>11603.869999999999</v>
      </c>
      <c r="BN31" s="1597">
        <v>11539.72</v>
      </c>
      <c r="BO31" s="1597">
        <v>64.150000000000006</v>
      </c>
      <c r="BP31" s="1598">
        <f t="shared" si="353"/>
        <v>8862.2699999999986</v>
      </c>
      <c r="BQ31" s="1597">
        <v>8859.0499999999993</v>
      </c>
      <c r="BR31" s="1597">
        <v>3.22</v>
      </c>
      <c r="BS31" s="1597">
        <f t="shared" si="351"/>
        <v>11936.81</v>
      </c>
      <c r="BT31" s="1597">
        <v>11920.25</v>
      </c>
      <c r="BU31" s="1597">
        <v>16.559999999999999</v>
      </c>
      <c r="BV31" s="1597">
        <f>ЗП!CR27</f>
        <v>11652.445728000001</v>
      </c>
      <c r="BW31" s="1597">
        <f>BV31/$BV$87*$BW$87</f>
        <v>11646.814213821352</v>
      </c>
      <c r="BX31" s="1597">
        <f>BV31/$BV$87*$BX$87</f>
        <v>5.6315141786479668</v>
      </c>
      <c r="BY31" s="1597">
        <f>SUM(ЗП!CU27)</f>
        <v>12188.458231487999</v>
      </c>
      <c r="BZ31" s="1597">
        <f>BY31/$BV$87*$BW$87</f>
        <v>12182.567667657133</v>
      </c>
      <c r="CA31" s="1597">
        <f>BY31/$BV$87*$BX$87</f>
        <v>5.8905638308657728</v>
      </c>
      <c r="CB31" s="3286" t="str">
        <f>CB23</f>
        <v>Приложение</v>
      </c>
      <c r="CC31" s="365"/>
      <c r="CD31" s="365"/>
      <c r="CE31" s="365"/>
      <c r="CF31" s="1597">
        <f>SUM(ЗП!CX27)</f>
        <v>11881.998908841599</v>
      </c>
      <c r="CG31" s="1597">
        <f>CF31/CF167*CG167</f>
        <v>11875.946312505006</v>
      </c>
      <c r="CH31" s="1597">
        <f>CF31/CF167*CH167</f>
        <v>6.0525963365929529</v>
      </c>
      <c r="CI31" s="1597">
        <f t="shared" si="356"/>
        <v>4499.58</v>
      </c>
      <c r="CJ31" s="1597">
        <f>SUM(ЗП!DA27)</f>
        <v>4499.58</v>
      </c>
      <c r="CK31" s="1597">
        <v>0</v>
      </c>
      <c r="CL31" s="1597">
        <f t="shared" si="357"/>
        <v>6758.01</v>
      </c>
      <c r="CM31" s="1597">
        <f>SUM(ЗП!DD27)</f>
        <v>6758.01</v>
      </c>
      <c r="CN31" s="1597">
        <v>0</v>
      </c>
      <c r="CO31" s="1597">
        <f t="shared" si="358"/>
        <v>8745.2900000000009</v>
      </c>
      <c r="CP31" s="1597">
        <f>SUM(ЗП!DG27)</f>
        <v>8745.2900000000009</v>
      </c>
      <c r="CQ31" s="1597">
        <v>0</v>
      </c>
      <c r="CR31" s="1597">
        <f t="shared" si="359"/>
        <v>13857.416208223502</v>
      </c>
      <c r="CS31" s="1597">
        <f>SUM(ЗП!DJ27)</f>
        <v>13837.307980320002</v>
      </c>
      <c r="CT31" s="1597">
        <f>SUM(ЗП!DJ30)</f>
        <v>20.108227903500001</v>
      </c>
      <c r="CU31" s="1597">
        <f t="shared" si="360"/>
        <v>12210.316765448499</v>
      </c>
      <c r="CV31" s="1597">
        <f>SUM(ЗП!DM27)</f>
        <v>12210.316765448499</v>
      </c>
      <c r="CW31" s="3204">
        <v>0</v>
      </c>
      <c r="CX31" s="1597">
        <f t="shared" si="361"/>
        <v>4048.07</v>
      </c>
      <c r="CY31" s="1597">
        <f>SUM(ЗП!DR27)</f>
        <v>4048.07</v>
      </c>
      <c r="CZ31" s="1597">
        <v>0</v>
      </c>
      <c r="DA31" s="1597">
        <f t="shared" si="362"/>
        <v>6254.85</v>
      </c>
      <c r="DB31" s="1597">
        <f>SUM(ЗП!DU27)</f>
        <v>6254.85</v>
      </c>
      <c r="DC31" s="1597">
        <v>0</v>
      </c>
      <c r="DD31" s="1597">
        <f t="shared" si="363"/>
        <v>8422.92</v>
      </c>
      <c r="DE31" s="1597">
        <f>SUM(ЗП!DX27)</f>
        <v>8422.92</v>
      </c>
      <c r="DF31" s="1597">
        <v>0</v>
      </c>
      <c r="DG31" s="1597">
        <f t="shared" si="364"/>
        <v>14648.288054400002</v>
      </c>
      <c r="DH31" s="1597">
        <f>SUM(ЗП!EA27)</f>
        <v>14648.288054400002</v>
      </c>
      <c r="DI31" s="1597">
        <v>0</v>
      </c>
      <c r="DJ31" s="1597">
        <f t="shared" si="365"/>
        <v>12925.084322800103</v>
      </c>
      <c r="DK31" s="1597">
        <f>SUM(ЗП!ED27)</f>
        <v>12925.084322800103</v>
      </c>
      <c r="DL31" s="3204">
        <v>0</v>
      </c>
      <c r="DM31" s="1597">
        <f t="shared" si="366"/>
        <v>4896.07</v>
      </c>
      <c r="DN31" s="1597">
        <f>SUM(ЗП!EG27)</f>
        <v>4896.07</v>
      </c>
      <c r="DO31" s="1597">
        <v>0</v>
      </c>
      <c r="DP31" s="1597">
        <f t="shared" si="367"/>
        <v>7394.78</v>
      </c>
      <c r="DQ31" s="1597">
        <f>SUM(ЗП!EJ27)</f>
        <v>7394.78</v>
      </c>
      <c r="DR31" s="1597">
        <v>0</v>
      </c>
      <c r="DS31" s="1597">
        <f t="shared" si="368"/>
        <v>9681.2000000000007</v>
      </c>
      <c r="DT31" s="1597">
        <f>SUM(ЗП!EM27)</f>
        <v>9681.2000000000007</v>
      </c>
      <c r="DU31" s="1597">
        <v>0</v>
      </c>
      <c r="DV31" s="2343">
        <f t="shared" si="369"/>
        <v>15428.734200000001</v>
      </c>
      <c r="DW31" s="2343">
        <f>SUM(ЗП!EP27)</f>
        <v>15428.734200000001</v>
      </c>
      <c r="DX31" s="2343">
        <v>0</v>
      </c>
      <c r="DY31" s="3211">
        <f t="shared" si="370"/>
        <v>14909.820492386587</v>
      </c>
      <c r="DZ31" s="3211">
        <f>SUM(ЗП!ES27)</f>
        <v>14909.820492386587</v>
      </c>
      <c r="EA31" s="4074">
        <v>0</v>
      </c>
      <c r="EB31" s="2343">
        <f t="shared" si="371"/>
        <v>15428.734200000001</v>
      </c>
      <c r="EC31" s="2343">
        <f>SUM(ЗП!EP27)</f>
        <v>15428.734200000001</v>
      </c>
      <c r="ED31" s="2343">
        <v>0</v>
      </c>
      <c r="EE31" s="2343">
        <f t="shared" si="372"/>
        <v>14909.820492386587</v>
      </c>
      <c r="EF31" s="2343">
        <f>SUM(ЗП!ES27)</f>
        <v>14909.820492386587</v>
      </c>
      <c r="EG31" s="2343">
        <v>0</v>
      </c>
      <c r="EH31" s="3662">
        <f t="shared" si="373"/>
        <v>5273.9750000000004</v>
      </c>
      <c r="EI31" s="3662">
        <f>SUM(ЗП!EV27)</f>
        <v>5273.9750000000004</v>
      </c>
      <c r="EJ31" s="3662">
        <v>0</v>
      </c>
      <c r="EK31" s="3662">
        <f t="shared" si="374"/>
        <v>10177.626</v>
      </c>
      <c r="EL31" s="3662">
        <f>SUM(ЗП!EY27)</f>
        <v>10177.626</v>
      </c>
      <c r="EM31" s="3662">
        <v>0</v>
      </c>
    </row>
    <row r="32" spans="1:143" ht="21" customHeight="1" x14ac:dyDescent="0.2">
      <c r="A32" s="3191" t="s">
        <v>5</v>
      </c>
      <c r="B32" s="3289">
        <v>1537.3</v>
      </c>
      <c r="C32" s="2110">
        <v>1692.9</v>
      </c>
      <c r="D32" s="3079">
        <f t="shared" si="51"/>
        <v>110.1216418395889</v>
      </c>
      <c r="E32" s="2110">
        <v>2020.4</v>
      </c>
      <c r="F32" s="3079">
        <f t="shared" si="375"/>
        <v>119.34550180164216</v>
      </c>
      <c r="G32" s="2110">
        <v>2846.8</v>
      </c>
      <c r="H32" s="3079">
        <f t="shared" si="53"/>
        <v>140.90279152643041</v>
      </c>
      <c r="I32" s="3291">
        <f>I31*30.2/100</f>
        <v>2627.1282000000001</v>
      </c>
      <c r="J32" s="3291">
        <v>1433.5</v>
      </c>
      <c r="K32" s="3291">
        <v>1767.4</v>
      </c>
      <c r="L32" s="3291">
        <v>2640.5</v>
      </c>
      <c r="M32" s="3308">
        <f t="shared" si="54"/>
        <v>100.50898924536686</v>
      </c>
      <c r="N32" s="3308">
        <f t="shared" si="55"/>
        <v>92.75326682590979</v>
      </c>
      <c r="O32" s="3291">
        <v>3200.3</v>
      </c>
      <c r="P32" s="3308">
        <f t="shared" si="56"/>
        <v>121.81742786667206</v>
      </c>
      <c r="Q32" s="3309">
        <f>Q31*0.302</f>
        <v>2813.6931152400002</v>
      </c>
      <c r="R32" s="3308">
        <f t="shared" si="65"/>
        <v>107.10147739421321</v>
      </c>
      <c r="S32" s="3308">
        <f t="shared" si="66"/>
        <v>106.5591030198826</v>
      </c>
      <c r="T32" s="3291" t="e">
        <f>Q32/Q87*T87</f>
        <v>#REF!</v>
      </c>
      <c r="U32" s="3291" t="e">
        <f t="shared" si="349"/>
        <v>#REF!</v>
      </c>
      <c r="V32" s="3291">
        <v>2190.9</v>
      </c>
      <c r="W32" s="3291"/>
      <c r="X32" s="3291"/>
      <c r="Y32" s="1597">
        <v>3401.3</v>
      </c>
      <c r="Z32" s="1591">
        <f t="shared" si="57"/>
        <v>1.2088382992364393</v>
      </c>
      <c r="AA32" s="1597">
        <f>AA31*0.302</f>
        <v>2971.25992969344</v>
      </c>
      <c r="AB32" s="1591">
        <f t="shared" si="1"/>
        <v>1.0559999999999998</v>
      </c>
      <c r="AC32" s="1597" t="e">
        <f>$AC$87/$AA$87*AA32</f>
        <v>#REF!</v>
      </c>
      <c r="AD32" s="1597" t="e">
        <f t="shared" si="68"/>
        <v>#REF!</v>
      </c>
      <c r="AE32" s="1597">
        <v>2737.5</v>
      </c>
      <c r="AF32" s="1597">
        <f>AF87/AE87*AE32</f>
        <v>2703.7472146570935</v>
      </c>
      <c r="AG32" s="1597">
        <f>AE32-AF32</f>
        <v>33.752785342906463</v>
      </c>
      <c r="AH32" s="1598">
        <f t="shared" si="59"/>
        <v>3130.17</v>
      </c>
      <c r="AI32" s="1592">
        <f t="shared" si="60"/>
        <v>1.0534823859462727</v>
      </c>
      <c r="AJ32" s="1597">
        <v>3094.54</v>
      </c>
      <c r="AK32" s="1597">
        <v>35.630000000000003</v>
      </c>
      <c r="AL32" s="1598">
        <f t="shared" si="61"/>
        <v>3130.1695999999997</v>
      </c>
      <c r="AM32" s="1592">
        <f t="shared" si="62"/>
        <v>1.0534822513232476</v>
      </c>
      <c r="AN32" s="1597">
        <f>AN31*0.302</f>
        <v>3094.5376970170755</v>
      </c>
      <c r="AO32" s="1597">
        <f>AO31*0.302</f>
        <v>35.631902982924082</v>
      </c>
      <c r="AP32" s="1593">
        <f t="shared" si="63"/>
        <v>-430.04007030656021</v>
      </c>
      <c r="AQ32" s="1593" t="e">
        <f t="shared" si="376"/>
        <v>#REF!</v>
      </c>
      <c r="AR32" s="1593" t="e">
        <f t="shared" si="64"/>
        <v>#REF!</v>
      </c>
      <c r="AS32" s="1593" t="e">
        <f t="shared" si="2"/>
        <v>#REF!</v>
      </c>
      <c r="AT32" s="1597">
        <v>1349.84</v>
      </c>
      <c r="AU32" s="1597">
        <f>AT32*AU87/(AU87+AV87)</f>
        <v>1340.5493726136408</v>
      </c>
      <c r="AV32" s="1597">
        <f>AT32-AU32</f>
        <v>9.2906273863591196</v>
      </c>
      <c r="AW32" s="1597">
        <f t="shared" si="187"/>
        <v>2748.41</v>
      </c>
      <c r="AX32" s="1597">
        <v>2735.16</v>
      </c>
      <c r="AY32" s="1597">
        <v>13.25</v>
      </c>
      <c r="AZ32" s="1598">
        <f t="shared" ref="AZ32" si="377">SUM(BB32+BC32)</f>
        <v>3443.1870000000008</v>
      </c>
      <c r="BA32" s="1594">
        <f t="shared" si="70"/>
        <v>1.1000001405674635</v>
      </c>
      <c r="BB32" s="1597">
        <f>SUM(BB31*AH33)</f>
        <v>3424.7976355324613</v>
      </c>
      <c r="BC32" s="1597">
        <f>SUM(BC31*AH33)</f>
        <v>18.389364467539679</v>
      </c>
      <c r="BD32" s="1598">
        <f t="shared" ref="BD32" si="378">SUM(BE32+BF32)</f>
        <v>3191.9390695120683</v>
      </c>
      <c r="BE32" s="1597">
        <f>BE31*BE33</f>
        <v>3174.8915693596114</v>
      </c>
      <c r="BF32" s="1597">
        <f>BF31*BF33</f>
        <v>17.047500152456781</v>
      </c>
      <c r="BG32" s="1597">
        <f t="shared" si="71"/>
        <v>2681.4100000000003</v>
      </c>
      <c r="BH32" s="1597">
        <v>2679.61</v>
      </c>
      <c r="BI32" s="1597">
        <v>1.8</v>
      </c>
      <c r="BJ32" s="1597">
        <f t="shared" si="350"/>
        <v>2540.58</v>
      </c>
      <c r="BK32" s="1597">
        <v>2539.35</v>
      </c>
      <c r="BL32" s="1597">
        <v>1.23</v>
      </c>
      <c r="BM32" s="1598">
        <f t="shared" si="352"/>
        <v>3484.6400000000003</v>
      </c>
      <c r="BN32" s="1597">
        <v>3465.38</v>
      </c>
      <c r="BO32" s="1597">
        <v>19.260000000000002</v>
      </c>
      <c r="BP32" s="1598">
        <f t="shared" si="353"/>
        <v>2666.08</v>
      </c>
      <c r="BQ32" s="1597">
        <v>2665.11</v>
      </c>
      <c r="BR32" s="1597">
        <v>0.97</v>
      </c>
      <c r="BS32" s="1597">
        <f t="shared" si="351"/>
        <v>3584.62</v>
      </c>
      <c r="BT32" s="1597">
        <v>3579.65</v>
      </c>
      <c r="BU32" s="1597">
        <v>4.97</v>
      </c>
      <c r="BV32" s="1597">
        <f>BV31*BS33</f>
        <v>3499.2255054326379</v>
      </c>
      <c r="BW32" s="1597">
        <f>BV32/$BV$87*$BW$87</f>
        <v>3497.534363632185</v>
      </c>
      <c r="BX32" s="1597">
        <f>BV32/$BV$87*$BX$87</f>
        <v>1.6911418004529752</v>
      </c>
      <c r="BY32" s="1597">
        <f>SUM(BY31*BY33)</f>
        <v>3666.7134630072801</v>
      </c>
      <c r="BZ32" s="1597">
        <f t="shared" ref="BZ32" si="379">SUM(BZ31*BZ33)</f>
        <v>3664.9413758988762</v>
      </c>
      <c r="CA32" s="1597">
        <f t="shared" ref="CA32" si="380">SUM(CA31*CA33)</f>
        <v>1.7720871084038992</v>
      </c>
      <c r="CB32" s="3286" t="s">
        <v>239</v>
      </c>
      <c r="CC32" s="365"/>
      <c r="CD32" s="365"/>
      <c r="CE32" s="365"/>
      <c r="CF32" s="1597">
        <f>SUM(CF31*CF33)</f>
        <v>3568.1602478896607</v>
      </c>
      <c r="CG32" s="1597">
        <f t="shared" ref="CG32:CH32" si="381">SUM(CG31*CG33)</f>
        <v>3566.3426552597975</v>
      </c>
      <c r="CH32" s="1597">
        <f t="shared" si="381"/>
        <v>1.8175926298632412</v>
      </c>
      <c r="CI32" s="1597">
        <f t="shared" ref="CI32" si="382">CJ32+CK32</f>
        <v>1355.19</v>
      </c>
      <c r="CJ32" s="1597">
        <v>1355.19</v>
      </c>
      <c r="CK32" s="1597">
        <v>0</v>
      </c>
      <c r="CL32" s="1597">
        <f t="shared" ref="CL32" si="383">CM32+CN32</f>
        <v>2034.73</v>
      </c>
      <c r="CM32" s="1597">
        <v>2034.73</v>
      </c>
      <c r="CN32" s="1597">
        <v>0</v>
      </c>
      <c r="CO32" s="1597">
        <f t="shared" ref="CO32" si="384">CP32+CQ32</f>
        <v>2632.58</v>
      </c>
      <c r="CP32" s="1597">
        <v>2632.58</v>
      </c>
      <c r="CQ32" s="1597">
        <v>0</v>
      </c>
      <c r="CR32" s="1597">
        <f t="shared" ref="CR32" si="385">CS32+CT32</f>
        <v>4171.0829999999996</v>
      </c>
      <c r="CS32" s="1597">
        <v>4165.03</v>
      </c>
      <c r="CT32" s="1597">
        <v>6.0529999999999999</v>
      </c>
      <c r="CU32" s="1597">
        <f t="shared" ref="CU32" si="386">CV32+CW32</f>
        <v>3666.7539890273874</v>
      </c>
      <c r="CV32" s="1597">
        <f t="shared" ref="CV32:CW32" si="387">SUM(CV31*CV33)</f>
        <v>3666.7539890273874</v>
      </c>
      <c r="CW32" s="1597">
        <f t="shared" si="387"/>
        <v>0</v>
      </c>
      <c r="CX32" s="1597">
        <f t="shared" ref="CX32" si="388">CY32+CZ32</f>
        <v>1220.19</v>
      </c>
      <c r="CY32" s="1597">
        <v>1220.19</v>
      </c>
      <c r="CZ32" s="1597">
        <v>0</v>
      </c>
      <c r="DA32" s="1597">
        <f t="shared" ref="DA32" si="389">DB32+DC32</f>
        <v>1884.2940000000001</v>
      </c>
      <c r="DB32" s="1597">
        <v>1884.2940000000001</v>
      </c>
      <c r="DC32" s="1597">
        <v>0</v>
      </c>
      <c r="DD32" s="1597">
        <f t="shared" ref="DD32" si="390">DE32+DF32</f>
        <v>2535.4499999999998</v>
      </c>
      <c r="DE32" s="1597">
        <v>2535.4499999999998</v>
      </c>
      <c r="DF32" s="1597">
        <v>0</v>
      </c>
      <c r="DG32" s="1597">
        <f t="shared" ref="DG32" si="391">DH32+DI32</f>
        <v>4409.13</v>
      </c>
      <c r="DH32" s="1597">
        <v>4409.13</v>
      </c>
      <c r="DI32" s="1597">
        <v>0</v>
      </c>
      <c r="DJ32" s="1597">
        <f t="shared" ref="DJ32" si="392">DK32+DL32</f>
        <v>3881.3984444081557</v>
      </c>
      <c r="DK32" s="1597">
        <f t="shared" ref="DK32:DL32" si="393">SUM(DK31*DK33)</f>
        <v>3881.3984444081557</v>
      </c>
      <c r="DL32" s="1597">
        <f t="shared" si="393"/>
        <v>0</v>
      </c>
      <c r="DM32" s="1597">
        <f t="shared" ref="DM32" si="394">DN32+DO32</f>
        <v>1474.374</v>
      </c>
      <c r="DN32" s="1597">
        <v>1474.374</v>
      </c>
      <c r="DO32" s="1597">
        <v>0</v>
      </c>
      <c r="DP32" s="1597">
        <f t="shared" ref="DP32" si="395">DQ32+DR32</f>
        <v>2224.2750000000001</v>
      </c>
      <c r="DQ32" s="1597">
        <v>2224.2750000000001</v>
      </c>
      <c r="DR32" s="1597">
        <v>0</v>
      </c>
      <c r="DS32" s="1597">
        <f t="shared" ref="DS32" si="396">DT32+DU32</f>
        <v>2901.77</v>
      </c>
      <c r="DT32" s="1597">
        <v>2901.77</v>
      </c>
      <c r="DU32" s="1597">
        <v>0</v>
      </c>
      <c r="DV32" s="2343">
        <f t="shared" ref="DV32" si="397">DW32+DX32</f>
        <v>4644.05</v>
      </c>
      <c r="DW32" s="2343">
        <v>4644.05</v>
      </c>
      <c r="DX32" s="2343">
        <v>0</v>
      </c>
      <c r="DY32" s="3211">
        <f t="shared" ref="DY32" si="398">DZ32+EA32</f>
        <v>4477.4140439044286</v>
      </c>
      <c r="DZ32" s="3211">
        <f t="shared" ref="DZ32:EA32" si="399">SUM(DZ31*DZ33)</f>
        <v>4477.4140439044286</v>
      </c>
      <c r="EA32" s="4071">
        <f t="shared" si="399"/>
        <v>0</v>
      </c>
      <c r="EB32" s="2343">
        <f t="shared" ref="EB32" si="400">EC32+ED32</f>
        <v>4644.05</v>
      </c>
      <c r="EC32" s="2343">
        <v>4644.05</v>
      </c>
      <c r="ED32" s="2343">
        <v>0</v>
      </c>
      <c r="EE32" s="2343">
        <f t="shared" ref="EE32" si="401">EF32+EG32</f>
        <v>4491.6321406398401</v>
      </c>
      <c r="EF32" s="2343">
        <v>4491.6321406398401</v>
      </c>
      <c r="EG32" s="2343">
        <v>0</v>
      </c>
      <c r="EH32" s="3662">
        <f t="shared" ref="EH32" si="402">EI32+EJ32</f>
        <v>1594.7950000000001</v>
      </c>
      <c r="EI32" s="3662">
        <v>1594.7950000000001</v>
      </c>
      <c r="EJ32" s="3662">
        <v>0</v>
      </c>
      <c r="EK32" s="3662">
        <f t="shared" ref="EK32" si="403">EL32+EM32</f>
        <v>3067.4760000000001</v>
      </c>
      <c r="EL32" s="3662">
        <v>3067.4760000000001</v>
      </c>
      <c r="EM32" s="3662">
        <v>0</v>
      </c>
    </row>
    <row r="33" spans="1:143" s="181" customFormat="1" ht="21" customHeight="1" x14ac:dyDescent="0.2">
      <c r="A33" s="3195" t="str">
        <f>A25</f>
        <v>то же в %</v>
      </c>
      <c r="B33" s="3088"/>
      <c r="C33" s="3079"/>
      <c r="D33" s="3079"/>
      <c r="E33" s="3310">
        <f>E32/E31</f>
        <v>0.26879889308711619</v>
      </c>
      <c r="F33" s="3310">
        <f>F32/F31</f>
        <v>1.0419311337509394</v>
      </c>
      <c r="G33" s="3310">
        <f>G32/G31</f>
        <v>0.3401194743130227</v>
      </c>
      <c r="H33" s="3310"/>
      <c r="I33" s="3310">
        <f t="shared" ref="I33:T33" si="404">I32/I31</f>
        <v>0.30199999999999999</v>
      </c>
      <c r="J33" s="3310">
        <f t="shared" si="404"/>
        <v>0.33982078513180358</v>
      </c>
      <c r="K33" s="3310">
        <f t="shared" si="404"/>
        <v>0.30047602856171374</v>
      </c>
      <c r="L33" s="3310">
        <f t="shared" si="404"/>
        <v>0.30078828059143825</v>
      </c>
      <c r="M33" s="3310">
        <f t="shared" si="404"/>
        <v>0.99598768407761007</v>
      </c>
      <c r="N33" s="3310">
        <f t="shared" si="404"/>
        <v>0.88436065355850024</v>
      </c>
      <c r="O33" s="3310">
        <f t="shared" si="404"/>
        <v>0.3020005661979806</v>
      </c>
      <c r="P33" s="3310">
        <f t="shared" si="404"/>
        <v>1.0000018748277502</v>
      </c>
      <c r="Q33" s="3311">
        <f t="shared" si="404"/>
        <v>0.30199999999999999</v>
      </c>
      <c r="R33" s="3310">
        <f t="shared" si="404"/>
        <v>1.0000000000000002</v>
      </c>
      <c r="S33" s="3310">
        <f t="shared" si="404"/>
        <v>1.0040284794546488</v>
      </c>
      <c r="T33" s="3310" t="e">
        <f t="shared" si="404"/>
        <v>#REF!</v>
      </c>
      <c r="U33" s="3310"/>
      <c r="V33" s="3310">
        <f>V32/V31</f>
        <v>0.3021055969994898</v>
      </c>
      <c r="W33" s="3310"/>
      <c r="X33" s="3310">
        <v>0</v>
      </c>
      <c r="Y33" s="1599">
        <f>Y32/Y31</f>
        <v>0.30199953829488752</v>
      </c>
      <c r="Z33" s="1591">
        <f>Y33/Q33</f>
        <v>0.9999984711751243</v>
      </c>
      <c r="AA33" s="1599">
        <f>AA32/AA31</f>
        <v>0.30199999999999999</v>
      </c>
      <c r="AB33" s="1599"/>
      <c r="AC33" s="1599" t="e">
        <f>AC32/AC31</f>
        <v>#REF!</v>
      </c>
      <c r="AD33" s="1599"/>
      <c r="AE33" s="1599">
        <f>AE32/AE31</f>
        <v>0.30029288840622631</v>
      </c>
      <c r="AF33" s="1599">
        <f>AF32/AF31</f>
        <v>0.30029288840622637</v>
      </c>
      <c r="AG33" s="1599"/>
      <c r="AH33" s="1599">
        <f>AH32/AH31</f>
        <v>0.30200003859215813</v>
      </c>
      <c r="AI33" s="1592">
        <f t="shared" si="60"/>
        <v>1.000000127788603</v>
      </c>
      <c r="AJ33" s="1599">
        <f>AJ32/AJ31</f>
        <v>0.30200032985875608</v>
      </c>
      <c r="AK33" s="1599">
        <f>AK32/AK31</f>
        <v>0.30197474362234089</v>
      </c>
      <c r="AL33" s="1599">
        <f>AL32/AL31</f>
        <v>0.30199999999999999</v>
      </c>
      <c r="AM33" s="1592">
        <f t="shared" si="62"/>
        <v>1</v>
      </c>
      <c r="AN33" s="1599">
        <f>AN32/AN31</f>
        <v>0.30199999999999999</v>
      </c>
      <c r="AO33" s="1599">
        <f>AO32/AO31</f>
        <v>0.30199999999999999</v>
      </c>
      <c r="AP33" s="1593">
        <f>AA33-Y33</f>
        <v>4.6170511247556334E-7</v>
      </c>
      <c r="AQ33" s="1593" t="e">
        <f t="shared" si="376"/>
        <v>#REF!</v>
      </c>
      <c r="AR33" s="1593" t="e">
        <f>AP33-AQ33</f>
        <v>#REF!</v>
      </c>
      <c r="AS33" s="1593" t="e">
        <f>AQ33+AR33</f>
        <v>#REF!</v>
      </c>
      <c r="AT33" s="1599">
        <f>AT32/AT31</f>
        <v>0.29999777753083673</v>
      </c>
      <c r="AU33" s="1599">
        <f t="shared" ref="AU33" si="405">AU32/AU31</f>
        <v>0.29999777753083678</v>
      </c>
      <c r="AV33" s="1599">
        <f t="shared" ref="AV33" si="406">AV32/AV31</f>
        <v>0.29999777753083434</v>
      </c>
      <c r="AW33" s="1599">
        <f>AW32/AW31</f>
        <v>0.30063059564763212</v>
      </c>
      <c r="AX33" s="1599">
        <f t="shared" ref="AX33:AY33" si="407">AX32/AX31</f>
        <v>0.30063013225852897</v>
      </c>
      <c r="AY33" s="1599">
        <f t="shared" si="407"/>
        <v>0.30072628234226056</v>
      </c>
      <c r="AZ33" s="1599">
        <f>SUM(AZ32/AZ31)</f>
        <v>0.30200003859215813</v>
      </c>
      <c r="BA33" s="1594">
        <f t="shared" si="70"/>
        <v>1.000000127788603</v>
      </c>
      <c r="BB33" s="1599">
        <f>SUM(BB32/BB31)</f>
        <v>0.30200003859215813</v>
      </c>
      <c r="BC33" s="1599">
        <f>SUM(BC32/BC31)</f>
        <v>0.30200003859215813</v>
      </c>
      <c r="BD33" s="1599">
        <f>AF33</f>
        <v>0.30029288840622637</v>
      </c>
      <c r="BE33" s="1599">
        <f>BD33</f>
        <v>0.30029288840622637</v>
      </c>
      <c r="BF33" s="1599">
        <f>BD33</f>
        <v>0.30029288840622637</v>
      </c>
      <c r="BG33" s="1599">
        <f>SUM(BG32/BG31)</f>
        <v>0.28863898624734119</v>
      </c>
      <c r="BH33" s="1599">
        <f>BH32/BH31</f>
        <v>0.28863941643265162</v>
      </c>
      <c r="BI33" s="1599">
        <f>BI32/BI31</f>
        <v>0.28800000000000003</v>
      </c>
      <c r="BJ33" s="1599">
        <f>SUM(BJ32/BJ31)</f>
        <v>0.30047118264004202</v>
      </c>
      <c r="BK33" s="1599">
        <f>BK32/BK31</f>
        <v>0.300471055692485</v>
      </c>
      <c r="BL33" s="1599">
        <f>BL32/BL31</f>
        <v>0.30073349633251834</v>
      </c>
      <c r="BM33" s="1599">
        <f>SUM(BM32/BM31)</f>
        <v>0.30029981376902709</v>
      </c>
      <c r="BN33" s="1599">
        <f>BN32/BN31</f>
        <v>0.30030018059363661</v>
      </c>
      <c r="BO33" s="1599">
        <f>BO32/BO31</f>
        <v>0.30023382696804363</v>
      </c>
      <c r="BP33" s="1599">
        <f>SUM(BP32/BP31)</f>
        <v>0.30083488767550531</v>
      </c>
      <c r="BQ33" s="1599">
        <f>BQ32/BQ31</f>
        <v>0.30083473961655033</v>
      </c>
      <c r="BR33" s="1599">
        <f>BR32/BR31</f>
        <v>0.30124223602484468</v>
      </c>
      <c r="BS33" s="1599">
        <f>SUM(BS32/BS31)</f>
        <v>0.30029966129979452</v>
      </c>
      <c r="BT33" s="1599">
        <f>BT32/BT31</f>
        <v>0.30029990981732768</v>
      </c>
      <c r="BU33" s="1599">
        <f>BU32/BU31</f>
        <v>0.3001207729468599</v>
      </c>
      <c r="BV33" s="1599">
        <f>SUM(BV32/BV31)</f>
        <v>0.30029966129979452</v>
      </c>
      <c r="BW33" s="1599">
        <f t="shared" ref="BW33:BX33" si="408">SUM(BW32/BW31)</f>
        <v>0.30029966129979457</v>
      </c>
      <c r="BX33" s="1599">
        <f t="shared" si="408"/>
        <v>0.30029966129979457</v>
      </c>
      <c r="BY33" s="1599">
        <f>SUM(BP33)</f>
        <v>0.30083488767550531</v>
      </c>
      <c r="BZ33" s="1599">
        <f>SUM(BY33)</f>
        <v>0.30083488767550531</v>
      </c>
      <c r="CA33" s="1599">
        <f>SUM(BY33)</f>
        <v>0.30083488767550531</v>
      </c>
      <c r="CB33" s="3312"/>
      <c r="CC33" s="3313"/>
      <c r="CD33" s="3313"/>
      <c r="CE33" s="3313"/>
      <c r="CF33" s="1599">
        <f>SUM(BW33)</f>
        <v>0.30029966129979457</v>
      </c>
      <c r="CG33" s="1599">
        <f>SUM(CF33)</f>
        <v>0.30029966129979457</v>
      </c>
      <c r="CH33" s="1599">
        <f>SUM(CF33)</f>
        <v>0.30029966129979457</v>
      </c>
      <c r="CI33" s="1599">
        <f>SUM(CI32/CI31)</f>
        <v>0.30118144360140281</v>
      </c>
      <c r="CJ33" s="1599">
        <f t="shared" ref="CJ33" si="409">SUM(CJ32/CJ31)</f>
        <v>0.30118144360140281</v>
      </c>
      <c r="CK33" s="1599">
        <v>0</v>
      </c>
      <c r="CL33" s="1599">
        <f t="shared" ref="CL33" si="410">SUM(CL32/CL31)</f>
        <v>0.30108419490352928</v>
      </c>
      <c r="CM33" s="1599">
        <f t="shared" ref="CM33" si="411">SUM(CM32/CM31)</f>
        <v>0.30108419490352928</v>
      </c>
      <c r="CN33" s="1599">
        <v>0</v>
      </c>
      <c r="CO33" s="1599">
        <f t="shared" ref="CO33" si="412">SUM(CO32/CO31)</f>
        <v>0.30102832496120763</v>
      </c>
      <c r="CP33" s="1599">
        <f t="shared" ref="CP33" si="413">SUM(CP32/CP31)</f>
        <v>0.30102832496120763</v>
      </c>
      <c r="CQ33" s="1599">
        <v>0</v>
      </c>
      <c r="CR33" s="1599">
        <f t="shared" ref="CR33:CT33" si="414">SUM(CR32/CR31)</f>
        <v>0.3010000520533348</v>
      </c>
      <c r="CS33" s="1599">
        <f t="shared" si="414"/>
        <v>0.30100002153046529</v>
      </c>
      <c r="CT33" s="1599">
        <f t="shared" si="414"/>
        <v>0.30102105610939617</v>
      </c>
      <c r="CU33" s="1599">
        <f>SUM(BV33)</f>
        <v>0.30029966129979452</v>
      </c>
      <c r="CV33" s="1599">
        <f>SUM(BW33)</f>
        <v>0.30029966129979457</v>
      </c>
      <c r="CW33" s="1599">
        <f>SUM(BX33)</f>
        <v>0.30029966129979457</v>
      </c>
      <c r="CX33" s="1599">
        <f>SUM(CX32/CX31)</f>
        <v>0.30142512357740847</v>
      </c>
      <c r="CY33" s="1599">
        <f t="shared" ref="CY33" si="415">SUM(CY32/CY31)</f>
        <v>0.30142512357740847</v>
      </c>
      <c r="CZ33" s="1599">
        <v>0</v>
      </c>
      <c r="DA33" s="1599">
        <f t="shared" ref="DA33:DB33" si="416">SUM(DA32/DA31)</f>
        <v>0.30125326746444758</v>
      </c>
      <c r="DB33" s="1599">
        <f t="shared" si="416"/>
        <v>0.30125326746444758</v>
      </c>
      <c r="DC33" s="1599">
        <v>0</v>
      </c>
      <c r="DD33" s="1599">
        <f t="shared" ref="DD33:DE33" si="417">SUM(DD32/DD31)</f>
        <v>0.30101793677252064</v>
      </c>
      <c r="DE33" s="1599">
        <f t="shared" si="417"/>
        <v>0.30101793677252064</v>
      </c>
      <c r="DF33" s="1599">
        <v>0</v>
      </c>
      <c r="DG33" s="1599">
        <f t="shared" ref="DG33:DH33" si="418">SUM(DG32/DG31)</f>
        <v>0.30099967884476447</v>
      </c>
      <c r="DH33" s="1599">
        <f t="shared" si="418"/>
        <v>0.30099967884476447</v>
      </c>
      <c r="DI33" s="1599">
        <v>0</v>
      </c>
      <c r="DJ33" s="1599">
        <f>SUM(CF33)</f>
        <v>0.30029966129979457</v>
      </c>
      <c r="DK33" s="1599">
        <f t="shared" ref="DK33:DL33" si="419">SUM(CG33)</f>
        <v>0.30029966129979457</v>
      </c>
      <c r="DL33" s="1599">
        <f t="shared" si="419"/>
        <v>0.30029966129979457</v>
      </c>
      <c r="DM33" s="1599">
        <f t="shared" ref="DM33:DN33" si="420">SUM(DM32/DM31)</f>
        <v>0.30113417496073386</v>
      </c>
      <c r="DN33" s="1599">
        <f t="shared" si="420"/>
        <v>0.30113417496073386</v>
      </c>
      <c r="DO33" s="1599">
        <v>0</v>
      </c>
      <c r="DP33" s="1599">
        <f t="shared" ref="DP33:DQ33" si="421">SUM(DP32/DP31)</f>
        <v>0.30078988151101183</v>
      </c>
      <c r="DQ33" s="1599">
        <f t="shared" si="421"/>
        <v>0.30078988151101183</v>
      </c>
      <c r="DR33" s="1599">
        <v>0</v>
      </c>
      <c r="DS33" s="1599">
        <f t="shared" ref="DS33:DT33" si="422">SUM(DS32/DS31)</f>
        <v>0.29973247118125851</v>
      </c>
      <c r="DT33" s="1599">
        <f t="shared" si="422"/>
        <v>0.29973247118125851</v>
      </c>
      <c r="DU33" s="1599">
        <v>0</v>
      </c>
      <c r="DV33" s="3690">
        <f t="shared" ref="DV33:DW33" si="423">SUM(DV32/DV31)</f>
        <v>0.30100006519005296</v>
      </c>
      <c r="DW33" s="3690">
        <f t="shared" si="423"/>
        <v>0.30100006519005296</v>
      </c>
      <c r="DX33" s="3690">
        <v>0</v>
      </c>
      <c r="DY33" s="3413">
        <f>SUM(CU33)</f>
        <v>0.30029966129979452</v>
      </c>
      <c r="DZ33" s="3413">
        <f t="shared" ref="DZ33" si="424">SUM(CV33)</f>
        <v>0.30029966129979457</v>
      </c>
      <c r="EA33" s="4072">
        <f t="shared" ref="EA33" si="425">SUM(CW33)</f>
        <v>0.30029966129979457</v>
      </c>
      <c r="EB33" s="3690">
        <f t="shared" ref="EB33:EC33" si="426">SUM(EB32/EB31)</f>
        <v>0.30100006519005296</v>
      </c>
      <c r="EC33" s="3690">
        <f t="shared" si="426"/>
        <v>0.30100006519005296</v>
      </c>
      <c r="ED33" s="3690">
        <v>0</v>
      </c>
      <c r="EE33" s="3690">
        <f t="shared" ref="EE33:EF33" si="427">SUM(EE32/EE31)</f>
        <v>0.30125326746444775</v>
      </c>
      <c r="EF33" s="3690">
        <f t="shared" si="427"/>
        <v>0.30125326746444775</v>
      </c>
      <c r="EG33" s="3690">
        <v>0</v>
      </c>
      <c r="EH33" s="3663">
        <f t="shared" ref="EH33:EI33" si="428">SUM(EH32/EH31)</f>
        <v>0.30238956384889953</v>
      </c>
      <c r="EI33" s="3663">
        <f t="shared" si="428"/>
        <v>0.30238956384889953</v>
      </c>
      <c r="EJ33" s="3663">
        <v>0</v>
      </c>
      <c r="EK33" s="3663">
        <f t="shared" ref="EK33:EL33" si="429">SUM(EK32/EK31)</f>
        <v>0.30139405790702078</v>
      </c>
      <c r="EL33" s="3663">
        <f t="shared" si="429"/>
        <v>0.30139405790702078</v>
      </c>
      <c r="EM33" s="3663">
        <v>0</v>
      </c>
    </row>
    <row r="34" spans="1:143" ht="21" customHeight="1" x14ac:dyDescent="0.2">
      <c r="A34" s="3191" t="s">
        <v>6</v>
      </c>
      <c r="B34" s="3289">
        <v>3971.8</v>
      </c>
      <c r="C34" s="2110">
        <v>3155.1</v>
      </c>
      <c r="D34" s="3079">
        <f t="shared" si="51"/>
        <v>79.437534619064394</v>
      </c>
      <c r="E34" s="2110">
        <v>3544.4</v>
      </c>
      <c r="F34" s="3079">
        <f t="shared" si="375"/>
        <v>112.33875312985326</v>
      </c>
      <c r="G34" s="2110">
        <v>4210.6000000000004</v>
      </c>
      <c r="H34" s="3079">
        <f t="shared" si="53"/>
        <v>118.79584696986795</v>
      </c>
      <c r="I34" s="3291">
        <v>3523.1</v>
      </c>
      <c r="J34" s="3291">
        <v>2168.4</v>
      </c>
      <c r="K34" s="3291">
        <f>'цех вода 2023'!K50</f>
        <v>2874.1410018314482</v>
      </c>
      <c r="L34" s="3291">
        <v>4335.6000000000004</v>
      </c>
      <c r="M34" s="3308">
        <f t="shared" si="54"/>
        <v>123.06207601260255</v>
      </c>
      <c r="N34" s="3308">
        <f t="shared" si="55"/>
        <v>102.96869804778417</v>
      </c>
      <c r="O34" s="3291">
        <v>4691.6000000000004</v>
      </c>
      <c r="P34" s="3308">
        <f t="shared" si="56"/>
        <v>133.16681331781669</v>
      </c>
      <c r="Q34" s="3309">
        <f>'цех вода 2023'!P50</f>
        <v>3750.4811017625302</v>
      </c>
      <c r="R34" s="3308">
        <f t="shared" si="65"/>
        <v>106.45400646483296</v>
      </c>
      <c r="S34" s="3308">
        <f t="shared" si="66"/>
        <v>86.50431547565573</v>
      </c>
      <c r="T34" s="3291" t="e">
        <f>Q34/Q87*T87</f>
        <v>#REF!</v>
      </c>
      <c r="U34" s="3291" t="e">
        <f t="shared" si="349"/>
        <v>#REF!</v>
      </c>
      <c r="V34" s="3291">
        <v>3991.4</v>
      </c>
      <c r="W34" s="3291"/>
      <c r="X34" s="3291"/>
      <c r="Y34" s="1597">
        <v>5004</v>
      </c>
      <c r="Z34" s="1591">
        <f t="shared" si="57"/>
        <v>1.3342288267092937</v>
      </c>
      <c r="AA34" s="1597">
        <f>'цех вода 2023'!W50</f>
        <v>3982.1627501966336</v>
      </c>
      <c r="AB34" s="1591">
        <f t="shared" si="1"/>
        <v>1.0617738477138907</v>
      </c>
      <c r="AC34" s="1597" t="e">
        <f>$AC$87/$AA$87*AA34</f>
        <v>#REF!</v>
      </c>
      <c r="AD34" s="1597" t="e">
        <f t="shared" si="68"/>
        <v>#REF!</v>
      </c>
      <c r="AE34" s="1597">
        <v>3840.1</v>
      </c>
      <c r="AF34" s="1597">
        <f>AE34*AF87/(AF87+AG87)</f>
        <v>3792.7523941569689</v>
      </c>
      <c r="AG34" s="1597">
        <f>SUM(AE34-AF34)</f>
        <v>47.347605843031033</v>
      </c>
      <c r="AH34" s="1598">
        <f t="shared" si="59"/>
        <v>4249.82</v>
      </c>
      <c r="AI34" s="1592">
        <f t="shared" si="60"/>
        <v>1.0672140408601205</v>
      </c>
      <c r="AJ34" s="1597">
        <v>4201.4399999999996</v>
      </c>
      <c r="AK34" s="1597">
        <v>48.38</v>
      </c>
      <c r="AL34" s="1598">
        <f t="shared" si="61"/>
        <v>4189.8843533351246</v>
      </c>
      <c r="AM34" s="1592">
        <f t="shared" si="62"/>
        <v>1.0521630119532994</v>
      </c>
      <c r="AN34" s="1597">
        <f>'цех вода 2023'!AB50*AN87/(AN87+AO87)</f>
        <v>4142.1893170061958</v>
      </c>
      <c r="AO34" s="1597">
        <f>'цех вода 2023'!AB50-AN34</f>
        <v>47.695036328928836</v>
      </c>
      <c r="AP34" s="1593">
        <f t="shared" si="63"/>
        <v>-1021.8372498033664</v>
      </c>
      <c r="AQ34" s="1593" t="e">
        <f t="shared" si="376"/>
        <v>#REF!</v>
      </c>
      <c r="AR34" s="1593" t="e">
        <f t="shared" si="64"/>
        <v>#REF!</v>
      </c>
      <c r="AS34" s="1593" t="e">
        <f t="shared" si="2"/>
        <v>#REF!</v>
      </c>
      <c r="AT34" s="1597">
        <v>1853.14</v>
      </c>
      <c r="AU34" s="1597">
        <f>AT34*AU87/(AU87+AV87)</f>
        <v>1840.385278525783</v>
      </c>
      <c r="AV34" s="1597">
        <f>SUM(AT34-AU34)</f>
        <v>12.754721474217149</v>
      </c>
      <c r="AW34" s="1597">
        <f t="shared" si="187"/>
        <v>4109.6500000000005</v>
      </c>
      <c r="AX34" s="1597">
        <v>4089.84</v>
      </c>
      <c r="AY34" s="1597">
        <v>19.809999999999999</v>
      </c>
      <c r="AZ34" s="1597">
        <v>4768.71</v>
      </c>
      <c r="BA34" s="1594">
        <f t="shared" si="70"/>
        <v>1.1381483587259713</v>
      </c>
      <c r="BB34" s="1597">
        <f>AZ34*BB87/(BB87+BC87)</f>
        <v>4743.2412856286919</v>
      </c>
      <c r="BC34" s="1597">
        <f>SUM(AZ34-BB34)</f>
        <v>25.468714371308124</v>
      </c>
      <c r="BD34" s="1597">
        <f>SUM('цех вода 2023'!AG50)</f>
        <v>4151.2769054034479</v>
      </c>
      <c r="BE34" s="1597">
        <f>BD34*BE87/(BE87+BF87)</f>
        <v>4129.1057761504781</v>
      </c>
      <c r="BF34" s="1597">
        <f>SUM(BD34-BE34)</f>
        <v>22.171129252969877</v>
      </c>
      <c r="BG34" s="1597">
        <f t="shared" si="71"/>
        <v>4356.6500000000005</v>
      </c>
      <c r="BH34" s="1597">
        <v>4353.72</v>
      </c>
      <c r="BI34" s="1597">
        <v>2.93</v>
      </c>
      <c r="BJ34" s="1597">
        <f t="shared" ref="BJ34" si="430">BK34+BL34</f>
        <v>2827.72</v>
      </c>
      <c r="BK34" s="1597">
        <v>2826.35</v>
      </c>
      <c r="BL34" s="1597">
        <v>1.37</v>
      </c>
      <c r="BM34" s="1598">
        <f t="shared" si="352"/>
        <v>3269.25</v>
      </c>
      <c r="BN34" s="1597">
        <v>3244.03</v>
      </c>
      <c r="BO34" s="1597">
        <v>25.22</v>
      </c>
      <c r="BP34" s="1598">
        <f t="shared" ref="BP34" si="431">SUM(BQ34+BR34)</f>
        <v>2605.864</v>
      </c>
      <c r="BQ34" s="1597">
        <v>2604.91</v>
      </c>
      <c r="BR34" s="1597">
        <v>0.95399999999999996</v>
      </c>
      <c r="BS34" s="1597">
        <f t="shared" ref="BS34" si="432">BT34+BU34</f>
        <v>3762.83</v>
      </c>
      <c r="BT34" s="1597">
        <v>3757.61</v>
      </c>
      <c r="BU34" s="1597">
        <v>5.22</v>
      </c>
      <c r="BV34" s="1597">
        <f>'цех вода 2023'!AM50</f>
        <v>3186.3243914482641</v>
      </c>
      <c r="BW34" s="1597">
        <f>BV34/$BV$87*$BW$87</f>
        <v>3184.7844717260814</v>
      </c>
      <c r="BX34" s="1597">
        <f>BV34/$BV$87*$BX$87</f>
        <v>1.5399197221828722</v>
      </c>
      <c r="BY34" s="1597">
        <f>SUM('цех вода 2023'!AN50)</f>
        <v>2773.7047629599765</v>
      </c>
      <c r="BZ34" s="1597">
        <f>BY34/$BV$87*$BW$87</f>
        <v>2772.3642583084547</v>
      </c>
      <c r="CA34" s="1597">
        <f>BY34/$BV$87*$BX$87</f>
        <v>1.3405046515220729</v>
      </c>
      <c r="CB34" s="3286" t="str">
        <f>CB26</f>
        <v>Приложение</v>
      </c>
      <c r="CC34" s="365"/>
      <c r="CD34" s="365"/>
      <c r="CE34" s="365"/>
      <c r="CF34" s="1597">
        <f>SUM('цех вода 2023'!AX50)</f>
        <v>3200.6838619594887</v>
      </c>
      <c r="CG34" s="1597">
        <f>CF34/CF167*CG167</f>
        <v>3199.0534588963246</v>
      </c>
      <c r="CH34" s="1597">
        <f>CF34/CF167*CH167</f>
        <v>1.6304030631641295</v>
      </c>
      <c r="CI34" s="1597">
        <f t="shared" ref="CI34" si="433">CJ34+CK34</f>
        <v>1185.06</v>
      </c>
      <c r="CJ34" s="1597">
        <f>SUM('цех вода 2023'!AY50)</f>
        <v>1185.06</v>
      </c>
      <c r="CK34" s="1597">
        <v>0</v>
      </c>
      <c r="CL34" s="1597">
        <f t="shared" ref="CL34" si="434">CM34+CN34</f>
        <v>2334.5700000000002</v>
      </c>
      <c r="CM34" s="1597">
        <f>SUM('цех вода 2023'!AZ50)</f>
        <v>2334.5700000000002</v>
      </c>
      <c r="CN34" s="1597">
        <v>0</v>
      </c>
      <c r="CO34" s="1597">
        <f t="shared" ref="CO34" si="435">CP34+CQ34</f>
        <v>2408.46</v>
      </c>
      <c r="CP34" s="1597">
        <f>SUM('цех вода 2023'!BA50)</f>
        <v>2408.46</v>
      </c>
      <c r="CQ34" s="1597">
        <v>0</v>
      </c>
      <c r="CR34" s="1597">
        <f t="shared" ref="CR34" si="436">CS34+CT34</f>
        <v>3097.8203658597895</v>
      </c>
      <c r="CS34" s="1597">
        <f>SUM('цех вода 2023'!BB50)</f>
        <v>3097.8203658597895</v>
      </c>
      <c r="CT34" s="1597">
        <v>0</v>
      </c>
      <c r="CU34" s="1597">
        <f t="shared" ref="CU34" si="437">CV34+CW34</f>
        <v>2241.1761918081293</v>
      </c>
      <c r="CV34" s="1597">
        <f>SUM('цех вода 2023'!BC50)</f>
        <v>2241.1761918081293</v>
      </c>
      <c r="CW34" s="1597">
        <v>0</v>
      </c>
      <c r="CX34" s="1597">
        <f t="shared" ref="CX34" si="438">CY34+CZ34</f>
        <v>1002.75</v>
      </c>
      <c r="CY34" s="1597">
        <f>SUM('цех вода 2023'!BD50)</f>
        <v>1002.75</v>
      </c>
      <c r="CZ34" s="1597">
        <v>0</v>
      </c>
      <c r="DA34" s="1597">
        <f t="shared" ref="DA34" si="439">DB34+DC34</f>
        <v>1682.74</v>
      </c>
      <c r="DB34" s="1597">
        <f>SUM('цех вода 2023'!BE50)</f>
        <v>1682.74</v>
      </c>
      <c r="DC34" s="1597">
        <v>0</v>
      </c>
      <c r="DD34" s="1597">
        <f t="shared" ref="DD34" si="440">DE34+DF34</f>
        <v>1619.51</v>
      </c>
      <c r="DE34" s="1597">
        <f>SUM('цех вода 2023'!BF50)</f>
        <v>1619.51</v>
      </c>
      <c r="DF34" s="1597">
        <v>0</v>
      </c>
      <c r="DG34" s="1597">
        <f t="shared" ref="DG34" si="441">DH34+DI34</f>
        <v>2095.1632092024793</v>
      </c>
      <c r="DH34" s="1597">
        <f>SUM('цех вода 2023'!BG50)</f>
        <v>2095.1632092024793</v>
      </c>
      <c r="DI34" s="1597">
        <v>0</v>
      </c>
      <c r="DJ34" s="1597">
        <f t="shared" ref="DJ34" si="442">DK34+DL34</f>
        <v>1838.6861588911283</v>
      </c>
      <c r="DK34" s="1597">
        <f>SUM('цех вода 2023'!BH50)</f>
        <v>1838.6861588911283</v>
      </c>
      <c r="DL34" s="1597">
        <v>0</v>
      </c>
      <c r="DM34" s="1597">
        <f t="shared" ref="DM34" si="443">DN34+DO34</f>
        <v>1566.81</v>
      </c>
      <c r="DN34" s="1597">
        <f>SUM('цех вода 2023'!BI50)</f>
        <v>1566.81</v>
      </c>
      <c r="DO34" s="1597">
        <v>0</v>
      </c>
      <c r="DP34" s="1597">
        <f t="shared" ref="DP34" si="444">DQ34+DR34</f>
        <v>2218.19</v>
      </c>
      <c r="DQ34" s="1597">
        <f>SUM('цех вода 2023'!BJ50)</f>
        <v>2218.19</v>
      </c>
      <c r="DR34" s="1597">
        <v>0</v>
      </c>
      <c r="DS34" s="1597">
        <f t="shared" ref="DS34" si="445">DT34+DU34</f>
        <v>3036.5479999999998</v>
      </c>
      <c r="DT34" s="1597">
        <f>SUM('цех вода 2023'!BK50)</f>
        <v>3036.5479999999998</v>
      </c>
      <c r="DU34" s="1597">
        <v>0</v>
      </c>
      <c r="DV34" s="2343">
        <f t="shared" ref="DV34" si="446">DW34+DX34</f>
        <v>3365.8093282656619</v>
      </c>
      <c r="DW34" s="2343">
        <f>SUM('цех вода 2023'!BL50)</f>
        <v>3365.8093282656619</v>
      </c>
      <c r="DX34" s="2343">
        <v>0</v>
      </c>
      <c r="DY34" s="3211">
        <f t="shared" ref="DY34" si="447">DZ34+EA34</f>
        <v>0</v>
      </c>
      <c r="DZ34" s="3211">
        <f>SUM('цех вода 2023'!BX50)</f>
        <v>0</v>
      </c>
      <c r="EA34" s="4071">
        <v>0</v>
      </c>
      <c r="EB34" s="2343">
        <f t="shared" ref="EB34" si="448">EC34+ED34</f>
        <v>3365.8093282656619</v>
      </c>
      <c r="EC34" s="2343">
        <f>SUM('цех вода 2023'!BL50)</f>
        <v>3365.8093282656619</v>
      </c>
      <c r="ED34" s="2343">
        <v>0</v>
      </c>
      <c r="EE34" s="2343">
        <f t="shared" ref="EE34" si="449">EF34+EG34</f>
        <v>2111.4266473767439</v>
      </c>
      <c r="EF34" s="2343">
        <f>SUM('цех вода 2023'!BM50)</f>
        <v>2111.4266473767439</v>
      </c>
      <c r="EG34" s="2343">
        <v>0</v>
      </c>
      <c r="EH34" s="3662">
        <f t="shared" ref="EH34" si="450">EI34+EJ34</f>
        <v>1268.74</v>
      </c>
      <c r="EI34" s="3662">
        <f>SUM('цех вода 2023'!BN50)</f>
        <v>1268.74</v>
      </c>
      <c r="EJ34" s="3662">
        <v>0</v>
      </c>
      <c r="EK34" s="3662">
        <f t="shared" ref="EK34" si="451">EL34+EM34</f>
        <v>2527</v>
      </c>
      <c r="EL34" s="3662">
        <f>SUM('цех вода 2023'!BO50)</f>
        <v>2527</v>
      </c>
      <c r="EM34" s="3662">
        <v>0</v>
      </c>
    </row>
    <row r="35" spans="1:143" s="2196" customFormat="1" ht="21" customHeight="1" x14ac:dyDescent="0.2">
      <c r="A35" s="3320" t="s">
        <v>521</v>
      </c>
      <c r="B35" s="2600">
        <f>SUM(B36:B42)</f>
        <v>7249.7</v>
      </c>
      <c r="C35" s="3315">
        <f>SUM(C36:C42)</f>
        <v>10354.4</v>
      </c>
      <c r="D35" s="3079">
        <f t="shared" si="51"/>
        <v>142.82522035394567</v>
      </c>
      <c r="E35" s="3315">
        <f>SUM(E36:E42)-E41</f>
        <v>11764.7</v>
      </c>
      <c r="F35" s="1737">
        <f t="shared" si="375"/>
        <v>113.62029668546705</v>
      </c>
      <c r="G35" s="3315">
        <v>16478.3</v>
      </c>
      <c r="H35" s="3079">
        <f t="shared" si="53"/>
        <v>140.06562003280999</v>
      </c>
      <c r="I35" s="3315">
        <f>SUM(I36:I42)-I41</f>
        <v>14063.7084</v>
      </c>
      <c r="J35" s="3315">
        <f>SUM(J36:J42)-J41</f>
        <v>8204.1999999999989</v>
      </c>
      <c r="K35" s="3315">
        <f>SUM(K36:K42)-K41</f>
        <v>10064.388220844954</v>
      </c>
      <c r="L35" s="3315">
        <f>SUM(L36:L42)-L41</f>
        <v>14542.8</v>
      </c>
      <c r="M35" s="3318">
        <f t="shared" si="54"/>
        <v>103.40658087023475</v>
      </c>
      <c r="N35" s="3308">
        <f t="shared" si="55"/>
        <v>88.25424952816735</v>
      </c>
      <c r="O35" s="3292">
        <v>18477</v>
      </c>
      <c r="P35" s="3308">
        <f t="shared" si="56"/>
        <v>131.38071036797095</v>
      </c>
      <c r="Q35" s="3319">
        <f>SUM(Q36:Q42)-Q41</f>
        <v>13651.565713400467</v>
      </c>
      <c r="R35" s="3308">
        <f t="shared" si="65"/>
        <v>97.069459385267592</v>
      </c>
      <c r="S35" s="3308">
        <f t="shared" si="66"/>
        <v>93.871645854996757</v>
      </c>
      <c r="T35" s="3292" t="e">
        <f t="shared" ref="T35:Y35" si="452">SUM(T36:T42)-T41</f>
        <v>#REF!</v>
      </c>
      <c r="U35" s="3292" t="e">
        <f t="shared" si="452"/>
        <v>#REF!</v>
      </c>
      <c r="V35" s="3292">
        <f t="shared" si="452"/>
        <v>11610.7</v>
      </c>
      <c r="W35" s="3292" t="e">
        <f t="shared" si="452"/>
        <v>#REF!</v>
      </c>
      <c r="X35" s="3292" t="e">
        <f t="shared" si="452"/>
        <v>#REF!</v>
      </c>
      <c r="Y35" s="1601">
        <f t="shared" si="452"/>
        <v>18050.300000000003</v>
      </c>
      <c r="Z35" s="1591">
        <f t="shared" si="57"/>
        <v>1.3222146366904795</v>
      </c>
      <c r="AA35" s="1601" t="e">
        <f>SUM(AA36:AA42)-AA41</f>
        <v>#REF!</v>
      </c>
      <c r="AB35" s="1591" t="e">
        <f t="shared" si="1"/>
        <v>#REF!</v>
      </c>
      <c r="AC35" s="1601" t="e">
        <f>SUM(AC36:AC42)-AC41</f>
        <v>#REF!</v>
      </c>
      <c r="AD35" s="1601" t="e">
        <f>SUM(AD36:AD42)-AD41</f>
        <v>#REF!</v>
      </c>
      <c r="AE35" s="1601">
        <f>SUM(AE36:AE42)-AE41</f>
        <v>14424.1</v>
      </c>
      <c r="AF35" s="1601">
        <f>SUM(AF36:AF42)-AF41</f>
        <v>14257.620782371874</v>
      </c>
      <c r="AG35" s="1601">
        <f>SUM(AG36:AG42)-AG41</f>
        <v>166.47921762812553</v>
      </c>
      <c r="AH35" s="1590">
        <f t="shared" si="59"/>
        <v>16341.494330000001</v>
      </c>
      <c r="AI35" s="1592" t="e">
        <f t="shared" si="60"/>
        <v>#REF!</v>
      </c>
      <c r="AJ35" s="1601">
        <f>SUM(AJ36:AJ42)-AJ41</f>
        <v>16173.394330000001</v>
      </c>
      <c r="AK35" s="1601">
        <f>SUM(AK36:AK42)-AK41</f>
        <v>168.1</v>
      </c>
      <c r="AL35" s="1590">
        <f t="shared" si="61"/>
        <v>14730.639229466893</v>
      </c>
      <c r="AM35" s="1592" t="e">
        <f t="shared" si="62"/>
        <v>#REF!</v>
      </c>
      <c r="AN35" s="1601">
        <f>SUM(AN36:AN42)-AN41</f>
        <v>14562.954798597455</v>
      </c>
      <c r="AO35" s="1601">
        <f>SUM(AO36:AO42)-AO41</f>
        <v>167.68443086943822</v>
      </c>
      <c r="AP35" s="1593" t="e">
        <f t="shared" si="63"/>
        <v>#REF!</v>
      </c>
      <c r="AQ35" s="1593" t="e">
        <f t="shared" si="376"/>
        <v>#REF!</v>
      </c>
      <c r="AR35" s="1593" t="e">
        <f t="shared" si="64"/>
        <v>#REF!</v>
      </c>
      <c r="AS35" s="1593" t="e">
        <f t="shared" si="2"/>
        <v>#REF!</v>
      </c>
      <c r="AT35" s="1601">
        <f t="shared" ref="AT35:AZ35" si="453">SUM(AT36:AT42)-AT41</f>
        <v>6773.28</v>
      </c>
      <c r="AU35" s="1601">
        <f t="shared" si="453"/>
        <v>6728.6354464249835</v>
      </c>
      <c r="AV35" s="1601">
        <f t="shared" si="453"/>
        <v>44.644553575017312</v>
      </c>
      <c r="AW35" s="1601">
        <f t="shared" si="453"/>
        <v>14627.66</v>
      </c>
      <c r="AX35" s="1601">
        <f t="shared" si="453"/>
        <v>14562.61</v>
      </c>
      <c r="AY35" s="1601">
        <f t="shared" si="453"/>
        <v>65.050000000000011</v>
      </c>
      <c r="AZ35" s="1601">
        <f t="shared" si="453"/>
        <v>17093.778010000002</v>
      </c>
      <c r="BA35" s="1594">
        <f t="shared" si="70"/>
        <v>1.1604233695307622</v>
      </c>
      <c r="BB35" s="1601">
        <f>SUM(BB36:BB42)-BB41</f>
        <v>17007.407284607951</v>
      </c>
      <c r="BC35" s="1601">
        <f>SUM(BC36:BC42)-BC41</f>
        <v>86.370725392052066</v>
      </c>
      <c r="BD35" s="1601">
        <f>SUM(BD36:BD42)-BD41</f>
        <v>15209.271831229213</v>
      </c>
      <c r="BE35" s="1601">
        <f t="shared" ref="BE35:BU35" si="454">SUM(BE36:BE42)-BE41</f>
        <v>15129.347517609058</v>
      </c>
      <c r="BF35" s="1601">
        <f t="shared" si="454"/>
        <v>79.924313620153953</v>
      </c>
      <c r="BG35" s="1601">
        <f t="shared" si="454"/>
        <v>14459.76</v>
      </c>
      <c r="BH35" s="1601">
        <f t="shared" si="454"/>
        <v>14450.9</v>
      </c>
      <c r="BI35" s="1601">
        <f t="shared" si="454"/>
        <v>8.86</v>
      </c>
      <c r="BJ35" s="1601">
        <f t="shared" si="454"/>
        <v>14914.53</v>
      </c>
      <c r="BK35" s="1601">
        <f t="shared" si="454"/>
        <v>14908.07</v>
      </c>
      <c r="BL35" s="1601">
        <f t="shared" si="454"/>
        <v>6.46</v>
      </c>
      <c r="BM35" s="1601">
        <f>SUM(BM36:BM42)-BM41</f>
        <v>16783.0059</v>
      </c>
      <c r="BN35" s="1601">
        <f t="shared" ref="BN35:BO35" si="455">SUM(BN36:BN42)-BN41</f>
        <v>16710.641</v>
      </c>
      <c r="BO35" s="1601">
        <f t="shared" si="455"/>
        <v>72.364900000000006</v>
      </c>
      <c r="BP35" s="1601">
        <f>SUM(BP36:BP42)-BP41</f>
        <v>15282.380000000001</v>
      </c>
      <c r="BQ35" s="1601">
        <f t="shared" ref="BQ35:BR35" si="456">SUM(BQ36:BQ42)-BQ41</f>
        <v>15276.819999999998</v>
      </c>
      <c r="BR35" s="1601">
        <f t="shared" si="456"/>
        <v>5.56</v>
      </c>
      <c r="BS35" s="1601">
        <f t="shared" si="454"/>
        <v>16784.819999999996</v>
      </c>
      <c r="BT35" s="1601">
        <f t="shared" si="454"/>
        <v>16767.669999999998</v>
      </c>
      <c r="BU35" s="1601">
        <f t="shared" si="454"/>
        <v>17.149999999999995</v>
      </c>
      <c r="BV35" s="1601">
        <f>SUM(BV36:BV42)-BV41</f>
        <v>15485.369266070755</v>
      </c>
      <c r="BW35" s="1601">
        <f t="shared" ref="BW35" si="457">SUM(BW36:BW42)-BW41</f>
        <v>15479.874461452297</v>
      </c>
      <c r="BX35" s="1601">
        <f t="shared" ref="BX35" si="458">SUM(BX36:BX42)-BX41</f>
        <v>5.4948046184569357</v>
      </c>
      <c r="BY35" s="1601">
        <f>SUM(BY36:BY42)-BY41</f>
        <v>15808.750180118781</v>
      </c>
      <c r="BZ35" s="1601">
        <f t="shared" ref="BZ35" si="459">SUM(BZ36:BZ42)-BZ41</f>
        <v>15803.114487704337</v>
      </c>
      <c r="CA35" s="1601">
        <f t="shared" ref="CA35" si="460">SUM(CA36:CA42)-CA41</f>
        <v>5.6356924144437537</v>
      </c>
      <c r="CB35" s="3169"/>
      <c r="CC35" s="365"/>
      <c r="CD35" s="365"/>
      <c r="CE35" s="365"/>
      <c r="CF35" s="1601">
        <f>SUM(CF36:CF42)-CF41</f>
        <v>15690.859913103546</v>
      </c>
      <c r="CG35" s="1601">
        <f t="shared" ref="CG35" si="461">SUM(CG36:CG42)-CG41</f>
        <v>15684.672617703272</v>
      </c>
      <c r="CH35" s="1601">
        <f t="shared" ref="CH35" si="462">SUM(CH36:CH42)-CH41</f>
        <v>6.1872954002737703</v>
      </c>
      <c r="CI35" s="1601">
        <f>SUM(CI36:CI42)-CI41</f>
        <v>7765.2099999999991</v>
      </c>
      <c r="CJ35" s="1601">
        <f t="shared" ref="CJ35" si="463">SUM(CJ36:CJ42)-CJ41</f>
        <v>7765.2099999999991</v>
      </c>
      <c r="CK35" s="1601">
        <f t="shared" ref="CK35" si="464">SUM(CK36:CK42)-CK41</f>
        <v>0</v>
      </c>
      <c r="CL35" s="1601">
        <f>SUM(CL36:CL42)-CL41</f>
        <v>12036.94</v>
      </c>
      <c r="CM35" s="1601">
        <f t="shared" ref="CM35" si="465">SUM(CM36:CM42)-CM41</f>
        <v>12036.94</v>
      </c>
      <c r="CN35" s="1601">
        <f t="shared" ref="CN35" si="466">SUM(CN36:CN42)-CN41</f>
        <v>0</v>
      </c>
      <c r="CO35" s="1601">
        <f>SUM(CO36:CO42)-CO41</f>
        <v>16519.969999999998</v>
      </c>
      <c r="CP35" s="1601">
        <f t="shared" ref="CP35" si="467">SUM(CP36:CP42)-CP41</f>
        <v>16519.969999999998</v>
      </c>
      <c r="CQ35" s="1601">
        <f t="shared" ref="CQ35" si="468">SUM(CQ36:CQ42)-CQ41</f>
        <v>0</v>
      </c>
      <c r="CR35" s="1601">
        <f>SUM(CR36:CR42)-CR41</f>
        <v>20156.284235526022</v>
      </c>
      <c r="CS35" s="1601">
        <f t="shared" ref="CS35" si="469">SUM(CS36:CS42)-CS41</f>
        <v>20156.284235526022</v>
      </c>
      <c r="CT35" s="1601">
        <f t="shared" ref="CT35" si="470">SUM(CT36:CT42)-CT41</f>
        <v>0</v>
      </c>
      <c r="CU35" s="1601">
        <f>SUM(CU36:CU42)-CU41</f>
        <v>15141.562196626362</v>
      </c>
      <c r="CV35" s="1601">
        <f t="shared" ref="CV35" si="471">SUM(CV36:CV42)-CV41</f>
        <v>15141.562196626362</v>
      </c>
      <c r="CW35" s="1601">
        <f t="shared" ref="CW35" si="472">SUM(CW36:CW42)-CW41</f>
        <v>0</v>
      </c>
      <c r="CX35" s="1601">
        <f>SUM(CX36:CX42)-CX41</f>
        <v>8833.6250000000018</v>
      </c>
      <c r="CY35" s="1601">
        <f t="shared" ref="CY35" si="473">SUM(CY36:CY42)-CY41</f>
        <v>8833.6250000000018</v>
      </c>
      <c r="CZ35" s="1601">
        <f t="shared" ref="CZ35" si="474">SUM(CZ36:CZ42)-CZ41</f>
        <v>0</v>
      </c>
      <c r="DA35" s="1601">
        <f>SUM(DA36:DA42)-DA41</f>
        <v>12975.849</v>
      </c>
      <c r="DB35" s="1601">
        <f t="shared" ref="DB35" si="475">SUM(DB36:DB42)-DB41</f>
        <v>12975.849</v>
      </c>
      <c r="DC35" s="1601">
        <f t="shared" ref="DC35" si="476">SUM(DC36:DC42)-DC41</f>
        <v>0</v>
      </c>
      <c r="DD35" s="1601">
        <f>SUM(DD36:DD42)-DD41</f>
        <v>17797.574000000001</v>
      </c>
      <c r="DE35" s="1601">
        <f t="shared" ref="DE35" si="477">SUM(DE36:DE42)-DE41</f>
        <v>17797.574000000001</v>
      </c>
      <c r="DF35" s="1601">
        <f t="shared" ref="DF35" si="478">SUM(DF36:DF42)-DF41</f>
        <v>0</v>
      </c>
      <c r="DG35" s="3682">
        <f>SUM(DG36:DG42)-DG41</f>
        <v>22953.616896691758</v>
      </c>
      <c r="DH35" s="3682">
        <f t="shared" ref="DH35" si="479">SUM(DH36:DH42)-DH41</f>
        <v>22953.616896691758</v>
      </c>
      <c r="DI35" s="3682">
        <f t="shared" ref="DI35" si="480">SUM(DI36:DI42)-DI41</f>
        <v>0</v>
      </c>
      <c r="DJ35" s="3682">
        <f>SUM(DJ36:DJ42)-DJ41</f>
        <v>20036.141717246646</v>
      </c>
      <c r="DK35" s="3682">
        <f t="shared" ref="DK35" si="481">SUM(DK36:DK42)-DK41</f>
        <v>20036.141717246646</v>
      </c>
      <c r="DL35" s="3682">
        <f t="shared" ref="DL35" si="482">SUM(DL36:DL42)-DL41</f>
        <v>0</v>
      </c>
      <c r="DM35" s="3682">
        <f>SUM(DM36:DM42)-DM41</f>
        <v>10105.164000000001</v>
      </c>
      <c r="DN35" s="3682">
        <f t="shared" ref="DN35" si="483">SUM(DN36:DN42)-DN41</f>
        <v>10105.164000000001</v>
      </c>
      <c r="DO35" s="3682">
        <f t="shared" ref="DO35" si="484">SUM(DO36:DO42)-DO41</f>
        <v>0</v>
      </c>
      <c r="DP35" s="3682">
        <f>SUM(DP36:DP42)-DP41</f>
        <v>15720.855</v>
      </c>
      <c r="DQ35" s="3682">
        <f t="shared" ref="DQ35" si="485">SUM(DQ36:DQ42)-DQ41</f>
        <v>15720.855</v>
      </c>
      <c r="DR35" s="3682">
        <f t="shared" ref="DR35" si="486">SUM(DR36:DR42)-DR41</f>
        <v>0</v>
      </c>
      <c r="DS35" s="3682">
        <f>SUM(DS36:DS42)-DS41</f>
        <v>21324.328999999998</v>
      </c>
      <c r="DT35" s="3682">
        <f t="shared" ref="DT35" si="487">SUM(DT36:DT42)-DT41</f>
        <v>21324.328999999998</v>
      </c>
      <c r="DU35" s="3682">
        <f t="shared" ref="DU35" si="488">SUM(DU36:DU42)-DU41</f>
        <v>0</v>
      </c>
      <c r="DV35" s="2346">
        <f>SUM(DV36:DV42)-DV41</f>
        <v>25439.219096850989</v>
      </c>
      <c r="DW35" s="2346">
        <f t="shared" ref="DW35" si="489">SUM(DW36:DW42)-DW41</f>
        <v>25439.219096850989</v>
      </c>
      <c r="DX35" s="2346">
        <f t="shared" ref="DX35" si="490">SUM(DX36:DX42)-DX41</f>
        <v>0</v>
      </c>
      <c r="DY35" s="3212">
        <f>SUM(DY36:DY42)-DY41</f>
        <v>11084.385425317631</v>
      </c>
      <c r="DZ35" s="3212">
        <f t="shared" ref="DZ35" si="491">SUM(DZ36:DZ42)-DZ41</f>
        <v>11084.385425317631</v>
      </c>
      <c r="EA35" s="4073">
        <f t="shared" ref="EA35" si="492">SUM(EA36:EA42)-EA41</f>
        <v>0</v>
      </c>
      <c r="EB35" s="2346">
        <f>SUM(EB36:EB42)-EB41</f>
        <v>25439.219096850989</v>
      </c>
      <c r="EC35" s="2346">
        <f t="shared" ref="EC35" si="493">SUM(EC36:EC42)-EC41</f>
        <v>25439.219096850989</v>
      </c>
      <c r="ED35" s="2346">
        <f t="shared" ref="ED35" si="494">SUM(ED36:ED42)-ED41</f>
        <v>0</v>
      </c>
      <c r="EE35" s="2346">
        <f>SUM(EE36:EE42)-EE41</f>
        <v>23075.517452097843</v>
      </c>
      <c r="EF35" s="2346">
        <f t="shared" ref="EF35" si="495">SUM(EF36:EF42)-EF41</f>
        <v>23075.517452097843</v>
      </c>
      <c r="EG35" s="2346">
        <f t="shared" ref="EG35" si="496">SUM(EG36:EG42)-EG41</f>
        <v>0</v>
      </c>
      <c r="EH35" s="4834">
        <f>SUM(EH36:EH42)-EH41</f>
        <v>12709.76</v>
      </c>
      <c r="EI35" s="4834">
        <f t="shared" ref="EI35" si="497">SUM(EI36:EI42)-EI41</f>
        <v>12709.76</v>
      </c>
      <c r="EJ35" s="4834">
        <f t="shared" ref="EJ35" si="498">SUM(EJ36:EJ42)-EJ41</f>
        <v>0</v>
      </c>
      <c r="EK35" s="4834">
        <f>SUM(EK36:EK42)-EK41</f>
        <v>27944.817000000003</v>
      </c>
      <c r="EL35" s="4834">
        <f t="shared" ref="EL35" si="499">SUM(EL36:EL42)-EL41</f>
        <v>27944.817000000003</v>
      </c>
      <c r="EM35" s="4834">
        <f t="shared" ref="EM35" si="500">SUM(EM36:EM42)-EM41</f>
        <v>0</v>
      </c>
    </row>
    <row r="36" spans="1:143" ht="21" customHeight="1" x14ac:dyDescent="0.2">
      <c r="A36" s="3191" t="s">
        <v>2</v>
      </c>
      <c r="B36" s="3289">
        <v>928.8</v>
      </c>
      <c r="C36" s="2110">
        <v>1802</v>
      </c>
      <c r="D36" s="3079">
        <f t="shared" si="51"/>
        <v>194.01378122308356</v>
      </c>
      <c r="E36" s="2110">
        <v>1837.4</v>
      </c>
      <c r="F36" s="3079">
        <f t="shared" si="375"/>
        <v>101.96448390677027</v>
      </c>
      <c r="G36" s="3079">
        <v>2253.5</v>
      </c>
      <c r="H36" s="3079">
        <f t="shared" si="53"/>
        <v>122.6461304016545</v>
      </c>
      <c r="I36" s="3291">
        <v>2250</v>
      </c>
      <c r="J36" s="3291">
        <v>949.2</v>
      </c>
      <c r="K36" s="3291">
        <v>1968.8</v>
      </c>
      <c r="L36" s="3291">
        <v>2598.4</v>
      </c>
      <c r="M36" s="3308">
        <f t="shared" si="54"/>
        <v>115.48444444444445</v>
      </c>
      <c r="N36" s="3308">
        <f t="shared" si="55"/>
        <v>115.30508098513424</v>
      </c>
      <c r="O36" s="3291">
        <v>2628</v>
      </c>
      <c r="P36" s="3308">
        <f t="shared" si="56"/>
        <v>116.8</v>
      </c>
      <c r="Q36" s="3309">
        <v>2628</v>
      </c>
      <c r="R36" s="3308">
        <f t="shared" si="65"/>
        <v>116.8</v>
      </c>
      <c r="S36" s="3308">
        <f t="shared" si="66"/>
        <v>101.13916256157636</v>
      </c>
      <c r="T36" s="3291" t="e">
        <f>Q36/Q87*T87</f>
        <v>#REF!</v>
      </c>
      <c r="U36" s="3291" t="e">
        <f t="shared" ref="U36:U42" si="501">Q36-T36</f>
        <v>#REF!</v>
      </c>
      <c r="V36" s="3291">
        <v>2012.2</v>
      </c>
      <c r="W36" s="3291" t="e">
        <f>2690.2*('объемы ВС и ВО 2023'!#REF!-'объемы ВС и ВО 2023'!#REF!)/'объемы ВС и ВО 2023'!#REF!</f>
        <v>#REF!</v>
      </c>
      <c r="X36" s="3291" t="e">
        <f>2690.2-W36</f>
        <v>#REF!</v>
      </c>
      <c r="Y36" s="1597">
        <v>2715.2</v>
      </c>
      <c r="Z36" s="1591">
        <f t="shared" si="57"/>
        <v>1.0331811263318111</v>
      </c>
      <c r="AA36" s="1597" t="e">
        <f>Аморт!G10</f>
        <v>#REF!</v>
      </c>
      <c r="AB36" s="1591" t="e">
        <f t="shared" si="1"/>
        <v>#REF!</v>
      </c>
      <c r="AC36" s="1597" t="e">
        <f>$AC$87/$AA$87*AA36</f>
        <v>#REF!</v>
      </c>
      <c r="AD36" s="1597" t="e">
        <f t="shared" si="68"/>
        <v>#REF!</v>
      </c>
      <c r="AE36" s="1597">
        <f>SUM(Аморт!L10)</f>
        <v>2798.4</v>
      </c>
      <c r="AF36" s="1597">
        <f>AF87/AE87*AE36</f>
        <v>2763.8963307749445</v>
      </c>
      <c r="AG36" s="1597">
        <f>AE36-AF36</f>
        <v>34.503669225055546</v>
      </c>
      <c r="AH36" s="1598">
        <f t="shared" si="59"/>
        <v>2797</v>
      </c>
      <c r="AI36" s="1592" t="e">
        <f t="shared" si="60"/>
        <v>#REF!</v>
      </c>
      <c r="AJ36" s="1597">
        <v>2765.16</v>
      </c>
      <c r="AK36" s="1597">
        <v>31.84</v>
      </c>
      <c r="AL36" s="1598">
        <f t="shared" si="61"/>
        <v>2797</v>
      </c>
      <c r="AM36" s="1592" t="e">
        <f t="shared" si="62"/>
        <v>#REF!</v>
      </c>
      <c r="AN36" s="1597">
        <f>Аморт!O10*AN87/(AN87+AO87)</f>
        <v>2765.1606924291777</v>
      </c>
      <c r="AO36" s="1597">
        <f>-AN36+Аморт!O10</f>
        <v>31.839307570822257</v>
      </c>
      <c r="AP36" s="1593" t="e">
        <f t="shared" si="63"/>
        <v>#REF!</v>
      </c>
      <c r="AQ36" s="1593" t="e">
        <f t="shared" si="376"/>
        <v>#REF!</v>
      </c>
      <c r="AR36" s="1593" t="e">
        <f t="shared" si="64"/>
        <v>#REF!</v>
      </c>
      <c r="AS36" s="1593" t="e">
        <f>AQ36+AR36</f>
        <v>#REF!</v>
      </c>
      <c r="AT36" s="1597">
        <f>SUM(Аморт!Q10)</f>
        <v>1412.82</v>
      </c>
      <c r="AU36" s="1597">
        <f>AU87/AT87*AT36</f>
        <v>1403.0958962662271</v>
      </c>
      <c r="AV36" s="1597">
        <f>AT36-AU36</f>
        <v>9.7241037337728358</v>
      </c>
      <c r="AW36" s="1597">
        <f t="shared" si="187"/>
        <v>3059.78</v>
      </c>
      <c r="AX36" s="1597">
        <v>3045.03</v>
      </c>
      <c r="AY36" s="1597">
        <v>14.75</v>
      </c>
      <c r="AZ36" s="1598">
        <f>SUM(Аморт!T10)</f>
        <v>2797</v>
      </c>
      <c r="BA36" s="1594">
        <f t="shared" si="70"/>
        <v>1</v>
      </c>
      <c r="BB36" s="1597">
        <f>BB87/AZ87*AZ36</f>
        <v>2782.0617894364409</v>
      </c>
      <c r="BC36" s="1597">
        <f>AZ36-BB36</f>
        <v>14.938210563559096</v>
      </c>
      <c r="BD36" s="1598">
        <f>SUM(Аморт!U10)</f>
        <v>2901.95</v>
      </c>
      <c r="BE36" s="1597">
        <f>BE87/BD87*BD36</f>
        <v>2886.4512727404644</v>
      </c>
      <c r="BF36" s="1597">
        <f>BD36-BE36</f>
        <v>15.498727259535372</v>
      </c>
      <c r="BG36" s="1597">
        <f t="shared" si="71"/>
        <v>3533.2400000000002</v>
      </c>
      <c r="BH36" s="1597">
        <v>3530.86</v>
      </c>
      <c r="BI36" s="1597">
        <v>2.38</v>
      </c>
      <c r="BJ36" s="1597">
        <f t="shared" ref="BJ36:BJ40" si="502">BK36+BL36</f>
        <v>3533.27</v>
      </c>
      <c r="BK36" s="1597">
        <v>3531.56</v>
      </c>
      <c r="BL36" s="1597">
        <v>1.71</v>
      </c>
      <c r="BM36" s="1598">
        <f t="shared" si="352"/>
        <v>3533.24</v>
      </c>
      <c r="BN36" s="1597">
        <v>3533.24</v>
      </c>
      <c r="BO36" s="1597">
        <v>0</v>
      </c>
      <c r="BP36" s="1598">
        <f t="shared" ref="BP36:BP40" si="503">SUM(BQ36+BR36)</f>
        <v>3544.43</v>
      </c>
      <c r="BQ36" s="1597">
        <v>3543.14</v>
      </c>
      <c r="BR36" s="1597">
        <v>1.29</v>
      </c>
      <c r="BS36" s="1597">
        <f t="shared" ref="BS36:BS40" si="504">BT36+BU36</f>
        <v>3533.27</v>
      </c>
      <c r="BT36" s="1597">
        <v>3533.27</v>
      </c>
      <c r="BU36" s="1597">
        <v>0</v>
      </c>
      <c r="BV36" s="1597">
        <f>Аморт!AM10</f>
        <v>3533.27</v>
      </c>
      <c r="BW36" s="1597">
        <f>BV36</f>
        <v>3533.27</v>
      </c>
      <c r="BX36" s="1597">
        <v>0</v>
      </c>
      <c r="BY36" s="1597">
        <f>SUM(Аморт!AS10)</f>
        <v>3544.43</v>
      </c>
      <c r="BZ36" s="1597">
        <f>BY36</f>
        <v>3544.43</v>
      </c>
      <c r="CA36" s="1597">
        <v>0</v>
      </c>
      <c r="CB36" s="3286" t="str">
        <f>CB29</f>
        <v>Приложение</v>
      </c>
      <c r="CC36" s="365"/>
      <c r="CD36" s="365"/>
      <c r="CE36" s="365"/>
      <c r="CF36" s="1597">
        <f>SUM(Аморт!AT10)</f>
        <v>3544.43</v>
      </c>
      <c r="CG36" s="1597">
        <f>CF36</f>
        <v>3544.43</v>
      </c>
      <c r="CH36" s="1597">
        <v>0</v>
      </c>
      <c r="CI36" s="1597">
        <f>SUM(CJ36:CK36)</f>
        <v>1776.75</v>
      </c>
      <c r="CJ36" s="1597">
        <f>SUM(Аморт!AV10)</f>
        <v>1776.75</v>
      </c>
      <c r="CK36" s="1597">
        <f>SUM(Аморт!AW10)</f>
        <v>0</v>
      </c>
      <c r="CL36" s="1597">
        <f>SUM(CM36:CN36)</f>
        <v>2670.81</v>
      </c>
      <c r="CM36" s="1597">
        <f>SUM(Аморт!AY10)</f>
        <v>2670.81</v>
      </c>
      <c r="CN36" s="1597">
        <f>SUM(Аморт!AZ10)</f>
        <v>0</v>
      </c>
      <c r="CO36" s="1597">
        <f>SUM(CP36:CQ36)</f>
        <v>3575.59</v>
      </c>
      <c r="CP36" s="1597">
        <f>SUM(Аморт!BB10)</f>
        <v>3575.59</v>
      </c>
      <c r="CQ36" s="1597">
        <f>SUM(Аморт!BC10)</f>
        <v>0</v>
      </c>
      <c r="CR36" s="1597">
        <f>SUM(CS36:CT36)</f>
        <v>3575.59</v>
      </c>
      <c r="CS36" s="1597">
        <f>SUM(Аморт!BD10)</f>
        <v>3575.59</v>
      </c>
      <c r="CT36" s="1597">
        <f>SUM(Аморт!BF10)</f>
        <v>0</v>
      </c>
      <c r="CU36" s="1597">
        <f>SUM(CV36:CW36)</f>
        <v>1875.8092036112455</v>
      </c>
      <c r="CV36" s="1597">
        <f>SUM(Аморт!BE10)</f>
        <v>1875.8092036112455</v>
      </c>
      <c r="CW36" s="1597">
        <v>0</v>
      </c>
      <c r="CX36" s="1597">
        <f>SUM(CY36:CZ36)</f>
        <v>1827.8309999999999</v>
      </c>
      <c r="CY36" s="1597">
        <f>SUM(Аморт!BJ10)</f>
        <v>1827.8309999999999</v>
      </c>
      <c r="CZ36" s="1597">
        <v>0</v>
      </c>
      <c r="DA36" s="1597">
        <f>SUM(DB36:DC36)</f>
        <v>2745.6750000000002</v>
      </c>
      <c r="DB36" s="1597">
        <f>SUM(Аморт!BM10)</f>
        <v>2745.6750000000002</v>
      </c>
      <c r="DC36" s="1597">
        <v>0</v>
      </c>
      <c r="DD36" s="1597">
        <f>SUM(DE36:DF36)</f>
        <v>3663.53</v>
      </c>
      <c r="DE36" s="1597">
        <f>SUM(Аморт!BP10)</f>
        <v>3663.53</v>
      </c>
      <c r="DF36" s="1597">
        <v>0</v>
      </c>
      <c r="DG36" s="1597">
        <f>SUM(DH36:DI36)</f>
        <v>3663.53</v>
      </c>
      <c r="DH36" s="1597">
        <f>SUM(Аморт!BR10)</f>
        <v>3663.53</v>
      </c>
      <c r="DI36" s="1597">
        <v>0</v>
      </c>
      <c r="DJ36" s="1597">
        <f>SUM(DK36:DL36)</f>
        <v>3640.8823444523077</v>
      </c>
      <c r="DK36" s="1597">
        <f>SUM(Аморт!BS10)</f>
        <v>3640.8823444523077</v>
      </c>
      <c r="DL36" s="1597">
        <v>0</v>
      </c>
      <c r="DM36" s="1597">
        <f>SUM(DN36:DO36)</f>
        <v>1855.7</v>
      </c>
      <c r="DN36" s="1597">
        <f>SUM(Аморт!BU10)</f>
        <v>1855.7</v>
      </c>
      <c r="DO36" s="1597">
        <v>0</v>
      </c>
      <c r="DP36" s="1597">
        <f>SUM(DQ36:DR36)</f>
        <v>2840.0410000000002</v>
      </c>
      <c r="DQ36" s="1597">
        <f>SUM(Аморт!BX10)</f>
        <v>2840.0410000000002</v>
      </c>
      <c r="DR36" s="1597">
        <v>0</v>
      </c>
      <c r="DS36" s="1597">
        <f>SUM(DT36:DU36)</f>
        <v>3926.71</v>
      </c>
      <c r="DT36" s="1597">
        <f>SUM(Аморт!CA10)</f>
        <v>3926.71</v>
      </c>
      <c r="DU36" s="1597">
        <v>0</v>
      </c>
      <c r="DV36" s="2343">
        <f>SUM(DW36:DX36)</f>
        <v>3926.71</v>
      </c>
      <c r="DW36" s="2343">
        <f>SUM(Аморт!CC10)</f>
        <v>3926.71</v>
      </c>
      <c r="DX36" s="2343">
        <v>0</v>
      </c>
      <c r="DY36" s="3211">
        <f>SUM(DZ36:EA36)</f>
        <v>0</v>
      </c>
      <c r="DZ36" s="3211">
        <f>SUM(Аморт!CG10)</f>
        <v>0</v>
      </c>
      <c r="EA36" s="4071">
        <v>0</v>
      </c>
      <c r="EB36" s="2343">
        <f>SUM(EC36:ED36)</f>
        <v>3926.71</v>
      </c>
      <c r="EC36" s="2343">
        <f>SUM(Аморт!CC10)</f>
        <v>3926.71</v>
      </c>
      <c r="ED36" s="2343">
        <v>0</v>
      </c>
      <c r="EE36" s="2343">
        <f>SUM(EF36:EG36)</f>
        <v>3466.8518620713908</v>
      </c>
      <c r="EF36" s="2343">
        <f>SUM(Аморт!CD10)</f>
        <v>3466.8518620713908</v>
      </c>
      <c r="EG36" s="2343">
        <v>0</v>
      </c>
      <c r="EH36" s="3662">
        <f>SUM(EI36:EJ36)</f>
        <v>2179.7739999999999</v>
      </c>
      <c r="EI36" s="3662">
        <f>SUM(Аморт!CE10)</f>
        <v>2179.7739999999999</v>
      </c>
      <c r="EJ36" s="3662">
        <v>0</v>
      </c>
      <c r="EK36" s="3662">
        <f>SUM(EL36:EM36)</f>
        <v>4404.7730000000001</v>
      </c>
      <c r="EL36" s="3662">
        <f>SUM(Аморт!CF10)</f>
        <v>4404.7730000000001</v>
      </c>
      <c r="EM36" s="3662">
        <v>0</v>
      </c>
    </row>
    <row r="37" spans="1:143" ht="21" customHeight="1" x14ac:dyDescent="0.2">
      <c r="A37" s="3191" t="s">
        <v>4280</v>
      </c>
      <c r="B37" s="3289">
        <v>6.1</v>
      </c>
      <c r="C37" s="2110">
        <v>5.6</v>
      </c>
      <c r="D37" s="3079">
        <f t="shared" si="51"/>
        <v>91.803278688524586</v>
      </c>
      <c r="E37" s="2110">
        <v>33.5</v>
      </c>
      <c r="F37" s="3079">
        <f t="shared" si="375"/>
        <v>598.21428571428578</v>
      </c>
      <c r="G37" s="3079"/>
      <c r="H37" s="3079">
        <f t="shared" si="53"/>
        <v>0</v>
      </c>
      <c r="I37" s="3291"/>
      <c r="J37" s="3291"/>
      <c r="K37" s="3291"/>
      <c r="L37" s="3291">
        <f>K37/9*12</f>
        <v>0</v>
      </c>
      <c r="M37" s="3308"/>
      <c r="N37" s="3308"/>
      <c r="O37" s="3291"/>
      <c r="P37" s="3308"/>
      <c r="Q37" s="3309"/>
      <c r="R37" s="3308"/>
      <c r="S37" s="3308"/>
      <c r="T37" s="3291"/>
      <c r="U37" s="3291">
        <f t="shared" si="501"/>
        <v>0</v>
      </c>
      <c r="V37" s="3291">
        <v>0</v>
      </c>
      <c r="W37" s="3291"/>
      <c r="X37" s="3291">
        <v>0</v>
      </c>
      <c r="Y37" s="1597">
        <v>0</v>
      </c>
      <c r="Z37" s="1591"/>
      <c r="AA37" s="1597">
        <v>0</v>
      </c>
      <c r="AB37" s="1591"/>
      <c r="AC37" s="1597" t="e">
        <f>$AC$87/$AA$87*AA37</f>
        <v>#REF!</v>
      </c>
      <c r="AD37" s="1597" t="e">
        <f t="shared" si="68"/>
        <v>#REF!</v>
      </c>
      <c r="AE37" s="1597">
        <v>0</v>
      </c>
      <c r="AF37" s="1597">
        <v>0</v>
      </c>
      <c r="AG37" s="1597">
        <v>0</v>
      </c>
      <c r="AH37" s="1598">
        <f t="shared" si="59"/>
        <v>0</v>
      </c>
      <c r="AI37" s="1592"/>
      <c r="AJ37" s="1597">
        <v>0</v>
      </c>
      <c r="AK37" s="1597">
        <v>0</v>
      </c>
      <c r="AL37" s="1598">
        <f t="shared" si="61"/>
        <v>0</v>
      </c>
      <c r="AM37" s="1592"/>
      <c r="AN37" s="1597">
        <v>0</v>
      </c>
      <c r="AO37" s="1597">
        <v>0</v>
      </c>
      <c r="AP37" s="1593">
        <f t="shared" si="63"/>
        <v>0</v>
      </c>
      <c r="AQ37" s="1593"/>
      <c r="AR37" s="1593"/>
      <c r="AS37" s="1593">
        <f t="shared" ref="AS37:AS94" si="505">AQ37+AR37</f>
        <v>0</v>
      </c>
      <c r="AT37" s="1597">
        <v>0</v>
      </c>
      <c r="AU37" s="1597">
        <v>0</v>
      </c>
      <c r="AV37" s="1597">
        <v>0</v>
      </c>
      <c r="AW37" s="1597">
        <f t="shared" si="187"/>
        <v>0</v>
      </c>
      <c r="AX37" s="1597">
        <v>0</v>
      </c>
      <c r="AY37" s="1597">
        <v>0</v>
      </c>
      <c r="AZ37" s="1598">
        <f t="shared" ref="AZ37:AZ38" si="506">SUM(BB37+BC37)</f>
        <v>0</v>
      </c>
      <c r="BA37" s="1594"/>
      <c r="BB37" s="1597">
        <v>0</v>
      </c>
      <c r="BC37" s="1597">
        <v>0</v>
      </c>
      <c r="BD37" s="1598">
        <f t="shared" ref="BD37" si="507">SUM(BE37+BF37)</f>
        <v>0</v>
      </c>
      <c r="BE37" s="1597">
        <v>0</v>
      </c>
      <c r="BF37" s="1597">
        <v>0</v>
      </c>
      <c r="BG37" s="1597">
        <f t="shared" si="71"/>
        <v>0</v>
      </c>
      <c r="BH37" s="1597">
        <v>0</v>
      </c>
      <c r="BI37" s="1597">
        <v>0</v>
      </c>
      <c r="BJ37" s="1597">
        <f t="shared" si="502"/>
        <v>0</v>
      </c>
      <c r="BK37" s="1597">
        <v>0</v>
      </c>
      <c r="BL37" s="1597">
        <v>0</v>
      </c>
      <c r="BM37" s="1598">
        <f t="shared" si="352"/>
        <v>0</v>
      </c>
      <c r="BN37" s="1597">
        <v>0</v>
      </c>
      <c r="BO37" s="1597">
        <v>0</v>
      </c>
      <c r="BP37" s="1598">
        <f t="shared" si="503"/>
        <v>0</v>
      </c>
      <c r="BQ37" s="1597">
        <v>0</v>
      </c>
      <c r="BR37" s="1597">
        <v>0</v>
      </c>
      <c r="BS37" s="1597">
        <f t="shared" si="504"/>
        <v>0</v>
      </c>
      <c r="BT37" s="1597">
        <v>0</v>
      </c>
      <c r="BU37" s="1597">
        <v>0</v>
      </c>
      <c r="BV37" s="1597">
        <v>0</v>
      </c>
      <c r="BW37" s="1597">
        <f t="shared" ref="BW37" si="508">BV37</f>
        <v>0</v>
      </c>
      <c r="BX37" s="1597">
        <v>0</v>
      </c>
      <c r="BY37" s="1597">
        <v>0</v>
      </c>
      <c r="BZ37" s="1597">
        <f t="shared" ref="BZ37" si="509">BY37</f>
        <v>0</v>
      </c>
      <c r="CA37" s="1597">
        <v>0</v>
      </c>
      <c r="CB37" s="3286"/>
      <c r="CC37" s="365"/>
      <c r="CD37" s="365"/>
      <c r="CE37" s="365"/>
      <c r="CF37" s="1597">
        <v>0</v>
      </c>
      <c r="CG37" s="1597">
        <f t="shared" ref="CG37" si="510">CF37</f>
        <v>0</v>
      </c>
      <c r="CH37" s="1597">
        <v>0</v>
      </c>
      <c r="CI37" s="1597">
        <f t="shared" ref="CI37:CI39" si="511">SUM(CJ37:CK37)</f>
        <v>0</v>
      </c>
      <c r="CJ37" s="1597">
        <v>0</v>
      </c>
      <c r="CK37" s="1597">
        <v>0</v>
      </c>
      <c r="CL37" s="1597">
        <f t="shared" ref="CL37:CL39" si="512">SUM(CM37:CN37)</f>
        <v>0</v>
      </c>
      <c r="CM37" s="1597">
        <v>0</v>
      </c>
      <c r="CN37" s="1597">
        <v>0</v>
      </c>
      <c r="CO37" s="1597">
        <f t="shared" ref="CO37:CO39" si="513">SUM(CP37:CQ37)</f>
        <v>0</v>
      </c>
      <c r="CP37" s="1597">
        <v>0</v>
      </c>
      <c r="CQ37" s="1597">
        <v>0</v>
      </c>
      <c r="CR37" s="1597">
        <f t="shared" ref="CR37:CR39" si="514">SUM(CS37:CT37)</f>
        <v>0</v>
      </c>
      <c r="CS37" s="1597">
        <v>0</v>
      </c>
      <c r="CT37" s="1597">
        <v>0</v>
      </c>
      <c r="CU37" s="1597">
        <f t="shared" ref="CU37:CU39" si="515">SUM(CV37:CW37)</f>
        <v>0</v>
      </c>
      <c r="CV37" s="1597">
        <v>0</v>
      </c>
      <c r="CW37" s="1597">
        <v>0</v>
      </c>
      <c r="CX37" s="1597">
        <f t="shared" ref="CX37:CX39" si="516">SUM(CY37:CZ37)</f>
        <v>0</v>
      </c>
      <c r="CY37" s="1597">
        <v>0</v>
      </c>
      <c r="CZ37" s="1597">
        <v>0</v>
      </c>
      <c r="DA37" s="1597">
        <f t="shared" ref="DA37:DA39" si="517">SUM(DB37:DC37)</f>
        <v>0</v>
      </c>
      <c r="DB37" s="1597">
        <v>0</v>
      </c>
      <c r="DC37" s="1597">
        <v>0</v>
      </c>
      <c r="DD37" s="1597">
        <f t="shared" ref="DD37:DD39" si="518">SUM(DE37:DF37)</f>
        <v>0</v>
      </c>
      <c r="DE37" s="1597">
        <v>0</v>
      </c>
      <c r="DF37" s="1597">
        <v>0</v>
      </c>
      <c r="DG37" s="1597">
        <f t="shared" ref="DG37:DG39" si="519">SUM(DH37:DI37)</f>
        <v>0</v>
      </c>
      <c r="DH37" s="1597">
        <v>0</v>
      </c>
      <c r="DI37" s="1597">
        <v>0</v>
      </c>
      <c r="DJ37" s="1597">
        <f t="shared" ref="DJ37:DJ39" si="520">SUM(DK37:DL37)</f>
        <v>0</v>
      </c>
      <c r="DK37" s="1597">
        <v>0</v>
      </c>
      <c r="DL37" s="1597">
        <v>0</v>
      </c>
      <c r="DM37" s="1597">
        <f t="shared" ref="DM37:DM39" si="521">SUM(DN37:DO37)</f>
        <v>0</v>
      </c>
      <c r="DN37" s="1597">
        <v>0</v>
      </c>
      <c r="DO37" s="1597">
        <v>0</v>
      </c>
      <c r="DP37" s="1597">
        <f t="shared" ref="DP37:DP39" si="522">SUM(DQ37:DR37)</f>
        <v>0</v>
      </c>
      <c r="DQ37" s="1597">
        <v>0</v>
      </c>
      <c r="DR37" s="1597">
        <v>0</v>
      </c>
      <c r="DS37" s="1597">
        <f t="shared" ref="DS37:DS39" si="523">SUM(DT37:DU37)</f>
        <v>0</v>
      </c>
      <c r="DT37" s="1597">
        <v>0</v>
      </c>
      <c r="DU37" s="1597">
        <v>0</v>
      </c>
      <c r="DV37" s="2343">
        <f t="shared" ref="DV37:DV39" si="524">SUM(DW37:DX37)</f>
        <v>0</v>
      </c>
      <c r="DW37" s="2343">
        <v>0</v>
      </c>
      <c r="DX37" s="2343">
        <v>0</v>
      </c>
      <c r="DY37" s="3211">
        <f t="shared" ref="DY37:DY39" si="525">SUM(DZ37:EA37)</f>
        <v>0</v>
      </c>
      <c r="DZ37" s="3211">
        <v>0</v>
      </c>
      <c r="EA37" s="4071">
        <v>0</v>
      </c>
      <c r="EB37" s="2343">
        <f t="shared" ref="EB37:EB39" si="526">SUM(EC37:ED37)</f>
        <v>0</v>
      </c>
      <c r="EC37" s="2343">
        <v>0</v>
      </c>
      <c r="ED37" s="2343">
        <v>0</v>
      </c>
      <c r="EE37" s="2343">
        <f t="shared" ref="EE37:EE39" si="527">SUM(EF37:EG37)</f>
        <v>0</v>
      </c>
      <c r="EF37" s="2343">
        <v>0</v>
      </c>
      <c r="EG37" s="2343">
        <v>0</v>
      </c>
      <c r="EH37" s="3662">
        <f t="shared" ref="EH37:EH39" si="528">SUM(EI37:EJ37)</f>
        <v>72.138999999999996</v>
      </c>
      <c r="EI37" s="3662">
        <v>72.138999999999996</v>
      </c>
      <c r="EJ37" s="3662">
        <v>0</v>
      </c>
      <c r="EK37" s="3662">
        <f t="shared" ref="EK37:EK39" si="529">SUM(EL37:EM37)</f>
        <v>149.20400000000001</v>
      </c>
      <c r="EL37" s="3662">
        <v>149.20400000000001</v>
      </c>
      <c r="EM37" s="3662">
        <v>0</v>
      </c>
    </row>
    <row r="38" spans="1:143" s="385" customFormat="1" ht="21" customHeight="1" x14ac:dyDescent="0.2">
      <c r="A38" s="3191" t="s">
        <v>3</v>
      </c>
      <c r="B38" s="3289">
        <v>398.6</v>
      </c>
      <c r="C38" s="2110">
        <v>1512.8</v>
      </c>
      <c r="D38" s="3079">
        <f t="shared" si="51"/>
        <v>379.52834922227794</v>
      </c>
      <c r="E38" s="2110">
        <v>1300.3</v>
      </c>
      <c r="F38" s="3079">
        <f t="shared" si="375"/>
        <v>85.953199365415117</v>
      </c>
      <c r="G38" s="3079">
        <f>G35-G36-G39-G40-G42</f>
        <v>3074.9069999999965</v>
      </c>
      <c r="H38" s="3079">
        <f t="shared" si="53"/>
        <v>236.47673613781407</v>
      </c>
      <c r="I38" s="3291">
        <v>1667.9</v>
      </c>
      <c r="J38" s="3291">
        <v>1509.7</v>
      </c>
      <c r="K38" s="3291">
        <v>1071.7</v>
      </c>
      <c r="L38" s="3291">
        <v>2187.1</v>
      </c>
      <c r="M38" s="3308">
        <f t="shared" si="54"/>
        <v>131.12896456622099</v>
      </c>
      <c r="N38" s="3308"/>
      <c r="O38" s="3291">
        <f>O35-O36-O39-O40-O42</f>
        <v>3385.7971999999991</v>
      </c>
      <c r="P38" s="3308">
        <f t="shared" si="56"/>
        <v>202.99761376581324</v>
      </c>
      <c r="Q38" s="3309">
        <v>300</v>
      </c>
      <c r="R38" s="3308">
        <f t="shared" si="65"/>
        <v>17.986689849511361</v>
      </c>
      <c r="S38" s="3308">
        <f t="shared" si="66"/>
        <v>13.716793928032555</v>
      </c>
      <c r="T38" s="3291">
        <v>285.7</v>
      </c>
      <c r="U38" s="3291">
        <v>14.3</v>
      </c>
      <c r="V38" s="3291">
        <v>816.6</v>
      </c>
      <c r="W38" s="3291">
        <f>3058.7-W12-W22-W28</f>
        <v>1238.6999999999998</v>
      </c>
      <c r="X38" s="3291">
        <v>0</v>
      </c>
      <c r="Y38" s="1597">
        <v>2406</v>
      </c>
      <c r="Z38" s="1591">
        <f t="shared" si="57"/>
        <v>8.02</v>
      </c>
      <c r="AA38" s="1597">
        <v>0</v>
      </c>
      <c r="AB38" s="1591">
        <f t="shared" si="1"/>
        <v>0</v>
      </c>
      <c r="AC38" s="1597" t="e">
        <f>$AC$87/$AA$87*AA38</f>
        <v>#REF!</v>
      </c>
      <c r="AD38" s="1597" t="e">
        <f t="shared" si="68"/>
        <v>#REF!</v>
      </c>
      <c r="AE38" s="1597">
        <v>921.9</v>
      </c>
      <c r="AF38" s="1597">
        <f>SUM(AE38)</f>
        <v>921.9</v>
      </c>
      <c r="AG38" s="1597">
        <v>0</v>
      </c>
      <c r="AH38" s="1598">
        <f t="shared" si="59"/>
        <v>1575</v>
      </c>
      <c r="AI38" s="1592"/>
      <c r="AJ38" s="1597">
        <v>1575</v>
      </c>
      <c r="AK38" s="1597">
        <v>0</v>
      </c>
      <c r="AL38" s="1598">
        <f t="shared" si="61"/>
        <v>0</v>
      </c>
      <c r="AM38" s="1592"/>
      <c r="AN38" s="1597">
        <v>0</v>
      </c>
      <c r="AO38" s="1597">
        <v>0</v>
      </c>
      <c r="AP38" s="1593">
        <f t="shared" si="63"/>
        <v>-2406</v>
      </c>
      <c r="AQ38" s="1593">
        <f>AP38</f>
        <v>-2406</v>
      </c>
      <c r="AR38" s="1593">
        <f t="shared" si="64"/>
        <v>0</v>
      </c>
      <c r="AS38" s="1593">
        <f t="shared" si="505"/>
        <v>-2406</v>
      </c>
      <c r="AT38" s="1597">
        <v>286.85000000000002</v>
      </c>
      <c r="AU38" s="1597">
        <v>286.85000000000002</v>
      </c>
      <c r="AV38" s="1597">
        <v>0</v>
      </c>
      <c r="AW38" s="1597">
        <f t="shared" si="187"/>
        <v>1131.27</v>
      </c>
      <c r="AX38" s="1597">
        <v>1131.27</v>
      </c>
      <c r="AY38" s="1597">
        <v>0</v>
      </c>
      <c r="AZ38" s="1598">
        <f t="shared" si="506"/>
        <v>921.9</v>
      </c>
      <c r="BA38" s="1594"/>
      <c r="BB38" s="1597">
        <v>921.9</v>
      </c>
      <c r="BC38" s="1597">
        <v>0</v>
      </c>
      <c r="BD38" s="1598">
        <f>BE38+BF38</f>
        <v>244.40677966101694</v>
      </c>
      <c r="BE38" s="1597">
        <f>'Кап Рем'!G10</f>
        <v>244.40677966101694</v>
      </c>
      <c r="BF38" s="1597">
        <v>0</v>
      </c>
      <c r="BG38" s="1597">
        <f t="shared" si="71"/>
        <v>1283.98</v>
      </c>
      <c r="BH38" s="1597">
        <v>1283.98</v>
      </c>
      <c r="BI38" s="1597">
        <v>0</v>
      </c>
      <c r="BJ38" s="1597">
        <f t="shared" si="502"/>
        <v>1564.17</v>
      </c>
      <c r="BK38" s="1597">
        <v>1564.17</v>
      </c>
      <c r="BL38" s="1597">
        <v>0</v>
      </c>
      <c r="BM38" s="1598">
        <f t="shared" si="352"/>
        <v>266.81</v>
      </c>
      <c r="BN38" s="1597">
        <v>266.81</v>
      </c>
      <c r="BO38" s="1597">
        <v>0</v>
      </c>
      <c r="BP38" s="1598">
        <f t="shared" si="503"/>
        <v>1747.0300000000002</v>
      </c>
      <c r="BQ38" s="1597">
        <v>1746.39</v>
      </c>
      <c r="BR38" s="1597">
        <v>0.64</v>
      </c>
      <c r="BS38" s="1597">
        <f t="shared" si="504"/>
        <v>880.43</v>
      </c>
      <c r="BT38" s="1597">
        <v>880.43</v>
      </c>
      <c r="BU38" s="1597">
        <v>0</v>
      </c>
      <c r="BV38" s="1597">
        <f>ремонты!E33</f>
        <v>582.52608000000009</v>
      </c>
      <c r="BW38" s="1597">
        <f>BV38</f>
        <v>582.52608000000009</v>
      </c>
      <c r="BX38" s="1597">
        <v>0</v>
      </c>
      <c r="BY38" s="1597">
        <f>SUM('рем программа'!I31:J31)</f>
        <v>603.22905688320009</v>
      </c>
      <c r="BZ38" s="1597">
        <f>BY38</f>
        <v>603.22905688320009</v>
      </c>
      <c r="CA38" s="1597">
        <v>0</v>
      </c>
      <c r="CB38" s="3286" t="s">
        <v>3490</v>
      </c>
      <c r="CC38" s="365"/>
      <c r="CD38" s="365"/>
      <c r="CE38" s="365"/>
      <c r="CF38" s="1597">
        <f>SUM('рем программа'!K31)</f>
        <v>594.0018437760001</v>
      </c>
      <c r="CG38" s="1597">
        <f>CF38/CF167*CG167</f>
        <v>593.69926393138383</v>
      </c>
      <c r="CH38" s="1597">
        <f>CF38/CF167*CH167</f>
        <v>0.30257984461627824</v>
      </c>
      <c r="CI38" s="1597">
        <f t="shared" si="511"/>
        <v>719.17</v>
      </c>
      <c r="CJ38" s="1597">
        <f>SUM('рем программа'!L31)</f>
        <v>719.17</v>
      </c>
      <c r="CK38" s="1597">
        <v>0</v>
      </c>
      <c r="CL38" s="1597">
        <f t="shared" si="512"/>
        <v>948.25</v>
      </c>
      <c r="CM38" s="1597">
        <f>SUM('рем программа'!M31)</f>
        <v>948.25</v>
      </c>
      <c r="CN38" s="1597">
        <v>0</v>
      </c>
      <c r="CO38" s="1597">
        <f t="shared" si="513"/>
        <v>1203.47</v>
      </c>
      <c r="CP38" s="1597">
        <f>SUM('рем программа'!N31)</f>
        <v>1203.47</v>
      </c>
      <c r="CQ38" s="1597">
        <v>0</v>
      </c>
      <c r="CR38" s="1597">
        <f t="shared" si="514"/>
        <v>967.24613699999998</v>
      </c>
      <c r="CS38" s="1597">
        <f>SUM('рем программа'!O31)</f>
        <v>967.24613699999998</v>
      </c>
      <c r="CT38" s="1597">
        <v>0</v>
      </c>
      <c r="CU38" s="1597">
        <f t="shared" si="515"/>
        <v>610.41913358025613</v>
      </c>
      <c r="CV38" s="1597">
        <f>SUM('рем программа'!P31)</f>
        <v>610.41913358025613</v>
      </c>
      <c r="CW38" s="1597">
        <v>0</v>
      </c>
      <c r="CX38" s="1597">
        <f t="shared" si="516"/>
        <v>605.74</v>
      </c>
      <c r="CY38" s="1597">
        <f>SUM('рем программа'!Q31)</f>
        <v>605.74</v>
      </c>
      <c r="CZ38" s="1597">
        <v>0</v>
      </c>
      <c r="DA38" s="1597">
        <f t="shared" si="517"/>
        <v>890.72</v>
      </c>
      <c r="DB38" s="1597">
        <f>SUM('рем программа'!R31)</f>
        <v>890.72</v>
      </c>
      <c r="DC38" s="1597">
        <v>0</v>
      </c>
      <c r="DD38" s="1597">
        <f t="shared" si="518"/>
        <v>1727.3</v>
      </c>
      <c r="DE38" s="1597">
        <f>SUM('рем программа'!S31)</f>
        <v>1727.3</v>
      </c>
      <c r="DF38" s="1597">
        <v>0</v>
      </c>
      <c r="DG38" s="1597">
        <f t="shared" si="519"/>
        <v>1000.0717650000001</v>
      </c>
      <c r="DH38" s="1597">
        <f>SUM('рем программа'!T31)</f>
        <v>1000.0717650000001</v>
      </c>
      <c r="DI38" s="1597">
        <v>0</v>
      </c>
      <c r="DJ38" s="1597">
        <f t="shared" si="520"/>
        <v>646.15185054829249</v>
      </c>
      <c r="DK38" s="1597">
        <f>SUM('рем программа'!U31)</f>
        <v>646.15185054829249</v>
      </c>
      <c r="DL38" s="1597">
        <v>0</v>
      </c>
      <c r="DM38" s="1597">
        <f t="shared" si="521"/>
        <v>583.76</v>
      </c>
      <c r="DN38" s="1597">
        <f>SUM('рем программа'!V31)</f>
        <v>583.76</v>
      </c>
      <c r="DO38" s="1597">
        <v>0</v>
      </c>
      <c r="DP38" s="1597">
        <f t="shared" si="522"/>
        <v>1168.03</v>
      </c>
      <c r="DQ38" s="1597">
        <f>SUM('рем программа'!W31)</f>
        <v>1168.03</v>
      </c>
      <c r="DR38" s="1597">
        <v>0</v>
      </c>
      <c r="DS38" s="1597">
        <f t="shared" si="523"/>
        <v>1565.3689999999999</v>
      </c>
      <c r="DT38" s="1597">
        <f>SUM('рем программа'!X31)</f>
        <v>1565.3689999999999</v>
      </c>
      <c r="DU38" s="1597">
        <v>0</v>
      </c>
      <c r="DV38" s="2343">
        <f t="shared" si="524"/>
        <v>1030.08213</v>
      </c>
      <c r="DW38" s="2343">
        <f>SUM('рем программа'!Y31)</f>
        <v>1030.08213</v>
      </c>
      <c r="DX38" s="2343">
        <v>0</v>
      </c>
      <c r="DY38" s="3211">
        <f t="shared" si="525"/>
        <v>0</v>
      </c>
      <c r="DZ38" s="3211">
        <f>SUM('рем программа'!AJ31)</f>
        <v>0</v>
      </c>
      <c r="EA38" s="4071">
        <v>0</v>
      </c>
      <c r="EB38" s="2343">
        <f t="shared" si="526"/>
        <v>1030.08213</v>
      </c>
      <c r="EC38" s="2343">
        <f>SUM('рем программа'!Y31)</f>
        <v>1030.08213</v>
      </c>
      <c r="ED38" s="2343">
        <v>0</v>
      </c>
      <c r="EE38" s="2343">
        <f t="shared" si="527"/>
        <v>745.37294008239985</v>
      </c>
      <c r="EF38" s="2343">
        <f>SUM('рем программа'!Z31)</f>
        <v>745.37294008239985</v>
      </c>
      <c r="EG38" s="2343">
        <v>0</v>
      </c>
      <c r="EH38" s="3662">
        <f t="shared" si="528"/>
        <v>1031.665</v>
      </c>
      <c r="EI38" s="3662">
        <f>SUM('рем программа'!AA31)</f>
        <v>1031.665</v>
      </c>
      <c r="EJ38" s="3662">
        <v>0</v>
      </c>
      <c r="EK38" s="3662">
        <f t="shared" si="529"/>
        <v>4582.5590000000002</v>
      </c>
      <c r="EL38" s="3662">
        <f>SUM('рем программа'!AB31)</f>
        <v>4582.5590000000002</v>
      </c>
      <c r="EM38" s="3662">
        <v>0</v>
      </c>
    </row>
    <row r="39" spans="1:143" ht="21" customHeight="1" x14ac:dyDescent="0.2">
      <c r="A39" s="3191" t="s">
        <v>4</v>
      </c>
      <c r="B39" s="3289">
        <v>3889.5</v>
      </c>
      <c r="C39" s="2110">
        <v>4434.3</v>
      </c>
      <c r="D39" s="3079">
        <f t="shared" si="51"/>
        <v>114.00694176629386</v>
      </c>
      <c r="E39" s="2110">
        <v>5312</v>
      </c>
      <c r="F39" s="3079">
        <f t="shared" si="375"/>
        <v>119.79342850055249</v>
      </c>
      <c r="G39" s="2110">
        <v>6821.5</v>
      </c>
      <c r="H39" s="3079">
        <f t="shared" si="53"/>
        <v>128.4167921686747</v>
      </c>
      <c r="I39" s="3291">
        <v>6174.2</v>
      </c>
      <c r="J39" s="3291">
        <v>3312</v>
      </c>
      <c r="K39" s="3291">
        <v>4099.3</v>
      </c>
      <c r="L39" s="3291">
        <v>5838.5</v>
      </c>
      <c r="M39" s="3308">
        <f t="shared" si="54"/>
        <v>94.562858346020533</v>
      </c>
      <c r="N39" s="3308">
        <f t="shared" si="55"/>
        <v>85.589679689217917</v>
      </c>
      <c r="O39" s="3291">
        <f>ЗП!AF12</f>
        <v>7541.4</v>
      </c>
      <c r="P39" s="3308">
        <f t="shared" si="56"/>
        <v>122.14375951540279</v>
      </c>
      <c r="Q39" s="3309">
        <f>ЗП!AP12</f>
        <v>6612.6753000000008</v>
      </c>
      <c r="R39" s="3308">
        <f t="shared" si="65"/>
        <v>107.10173463768587</v>
      </c>
      <c r="S39" s="3308">
        <f t="shared" si="66"/>
        <v>113.25983214866832</v>
      </c>
      <c r="T39" s="3291" t="e">
        <f>Q39/Q87*T87</f>
        <v>#REF!</v>
      </c>
      <c r="U39" s="3291" t="e">
        <f t="shared" si="501"/>
        <v>#REF!</v>
      </c>
      <c r="V39" s="3291">
        <v>5176.6000000000004</v>
      </c>
      <c r="W39" s="3291" t="e">
        <f>6847.9*('объемы ВС и ВО 2023'!#REF!-'объемы ВС и ВО 2023'!#REF!)/'объемы ВС и ВО 2023'!#REF!</f>
        <v>#REF!</v>
      </c>
      <c r="X39" s="3291" t="e">
        <f>6847.9-W39</f>
        <v>#REF!</v>
      </c>
      <c r="Y39" s="1597">
        <v>7766.2</v>
      </c>
      <c r="Z39" s="1591">
        <f t="shared" si="57"/>
        <v>1.174441454882867</v>
      </c>
      <c r="AA39" s="1597">
        <f>ЗП!U28</f>
        <v>6982.9851168000005</v>
      </c>
      <c r="AB39" s="1591">
        <f t="shared" si="1"/>
        <v>1.056</v>
      </c>
      <c r="AC39" s="1597" t="e">
        <f>$AC$87/$AA$87*AA39</f>
        <v>#REF!</v>
      </c>
      <c r="AD39" s="1597" t="e">
        <f t="shared" si="68"/>
        <v>#REF!</v>
      </c>
      <c r="AE39" s="1597">
        <f>SUM(ЗП!AS28)</f>
        <v>6448.8</v>
      </c>
      <c r="AF39" s="1597">
        <f>AF87/AE87*AE39</f>
        <v>6369.2876850705625</v>
      </c>
      <c r="AG39" s="1597">
        <f>AE39-AF39</f>
        <v>79.512314929437707</v>
      </c>
      <c r="AH39" s="1598">
        <f t="shared" si="59"/>
        <v>7359.1</v>
      </c>
      <c r="AI39" s="1592">
        <f t="shared" si="60"/>
        <v>1.0538616189078114</v>
      </c>
      <c r="AJ39" s="1597">
        <v>7275.33</v>
      </c>
      <c r="AK39" s="1597">
        <v>83.77</v>
      </c>
      <c r="AL39" s="1598">
        <f t="shared" si="61"/>
        <v>7359.1</v>
      </c>
      <c r="AM39" s="1592">
        <f t="shared" si="62"/>
        <v>1.0538616189078114</v>
      </c>
      <c r="AN39" s="1597">
        <f>ЗП!BB28*AN87/(AN87+AO87)</f>
        <v>7275.3285847892603</v>
      </c>
      <c r="AO39" s="1597">
        <f>-AN39+ЗП!BB28</f>
        <v>83.771415210740088</v>
      </c>
      <c r="AP39" s="1593">
        <f t="shared" si="63"/>
        <v>-783.21488319999935</v>
      </c>
      <c r="AQ39" s="1593" t="e">
        <f t="shared" ref="AQ39:AQ54" si="530">AP39*AC39/AA39</f>
        <v>#REF!</v>
      </c>
      <c r="AR39" s="1593" t="e">
        <f t="shared" si="64"/>
        <v>#REF!</v>
      </c>
      <c r="AS39" s="1593" t="e">
        <f t="shared" si="505"/>
        <v>#REF!</v>
      </c>
      <c r="AT39" s="1597">
        <f>SUM(ЗП!BG28)</f>
        <v>2995.9</v>
      </c>
      <c r="AU39" s="1597">
        <f>AU87/AT87*AT39</f>
        <v>2975.2799334833808</v>
      </c>
      <c r="AV39" s="1597">
        <f>AT39-AU39</f>
        <v>20.620066516619318</v>
      </c>
      <c r="AW39" s="1597">
        <f t="shared" si="187"/>
        <v>6134.37</v>
      </c>
      <c r="AX39" s="1597">
        <v>6104.8</v>
      </c>
      <c r="AY39" s="1597">
        <v>29.57</v>
      </c>
      <c r="AZ39" s="1598">
        <f>SUM(ЗП!BO28)</f>
        <v>8095.010000000002</v>
      </c>
      <c r="BA39" s="1594">
        <f t="shared" si="70"/>
        <v>1.1000000000000003</v>
      </c>
      <c r="BB39" s="1597">
        <f>BB87/AZ87*AZ39</f>
        <v>8051.7761909566998</v>
      </c>
      <c r="BC39" s="1597">
        <f>AZ39-BB39</f>
        <v>43.233809043302244</v>
      </c>
      <c r="BD39" s="1598">
        <f>SUM(ЗП!BS28)</f>
        <v>7369.5470048780498</v>
      </c>
      <c r="BE39" s="1597">
        <f>BE87/BD87*BD39</f>
        <v>7330.1877467740405</v>
      </c>
      <c r="BF39" s="1597">
        <f>BD39-BE39</f>
        <v>39.359258104009314</v>
      </c>
      <c r="BG39" s="1597">
        <f t="shared" si="71"/>
        <v>5452.53</v>
      </c>
      <c r="BH39" s="1597">
        <v>5448.86</v>
      </c>
      <c r="BI39" s="1597">
        <v>3.67</v>
      </c>
      <c r="BJ39" s="1597">
        <f t="shared" si="502"/>
        <v>5676.66</v>
      </c>
      <c r="BK39" s="1597">
        <v>5673.91</v>
      </c>
      <c r="BL39" s="1597">
        <v>2.75</v>
      </c>
      <c r="BM39" s="1598">
        <f t="shared" si="352"/>
        <v>8045.1468999999997</v>
      </c>
      <c r="BN39" s="1597">
        <v>8000.67</v>
      </c>
      <c r="BO39" s="1597">
        <v>44.476900000000001</v>
      </c>
      <c r="BP39" s="1598">
        <f t="shared" si="503"/>
        <v>5780.39</v>
      </c>
      <c r="BQ39" s="1597">
        <v>5778.29</v>
      </c>
      <c r="BR39" s="1597">
        <v>2.1</v>
      </c>
      <c r="BS39" s="1597">
        <f t="shared" si="504"/>
        <v>7051.9299999999994</v>
      </c>
      <c r="BT39" s="1597">
        <v>7042.15</v>
      </c>
      <c r="BU39" s="1597">
        <v>9.7799999999999994</v>
      </c>
      <c r="BV39" s="1597">
        <f>ЗП!CR28</f>
        <v>6658.5404159999989</v>
      </c>
      <c r="BW39" s="1597">
        <f>BV39/$BV$87*$BW$87</f>
        <v>6655.3224078979138</v>
      </c>
      <c r="BX39" s="1597">
        <f>BV39/$BV$87*$BX$87</f>
        <v>3.2180081020845517</v>
      </c>
      <c r="BY39" s="1597">
        <f>SUM(ЗП!CU28)</f>
        <v>6964.8332751359994</v>
      </c>
      <c r="BZ39" s="1597">
        <f>BY39/$BV$87*$BW$87</f>
        <v>6961.4672386612192</v>
      </c>
      <c r="CA39" s="1597">
        <f>BY39/$BV$87*$BX$87</f>
        <v>3.3660364747804419</v>
      </c>
      <c r="CB39" s="3286" t="str">
        <f>CB31</f>
        <v>Приложение</v>
      </c>
      <c r="CC39" s="365"/>
      <c r="CD39" s="365"/>
      <c r="CE39" s="365"/>
      <c r="CF39" s="1597">
        <f>SUM(ЗП!CX28)</f>
        <v>6789.7136621952004</v>
      </c>
      <c r="CG39" s="1597">
        <f>CF39/CF167*CG167</f>
        <v>6786.2550357171476</v>
      </c>
      <c r="CH39" s="1597">
        <f>CF39/CF167*CH167</f>
        <v>3.4586264780531168</v>
      </c>
      <c r="CI39" s="1597">
        <f t="shared" si="511"/>
        <v>3032.81</v>
      </c>
      <c r="CJ39" s="1597">
        <f>SUM(ЗП!DA28)</f>
        <v>3032.81</v>
      </c>
      <c r="CK39" s="1597">
        <v>0</v>
      </c>
      <c r="CL39" s="1597">
        <f t="shared" si="512"/>
        <v>4668.76</v>
      </c>
      <c r="CM39" s="1597">
        <f>SUM(ЗП!DD28)</f>
        <v>4668.76</v>
      </c>
      <c r="CN39" s="1597">
        <v>0</v>
      </c>
      <c r="CO39" s="1597">
        <f t="shared" si="513"/>
        <v>6034.71</v>
      </c>
      <c r="CP39" s="1597">
        <f>SUM(ЗП!DG28)</f>
        <v>6034.71</v>
      </c>
      <c r="CQ39" s="1597">
        <v>0</v>
      </c>
      <c r="CR39" s="1597">
        <f t="shared" si="514"/>
        <v>8199.8862105600001</v>
      </c>
      <c r="CS39" s="1597">
        <f>SUM(ЗП!DJ28)</f>
        <v>8199.8862105600001</v>
      </c>
      <c r="CT39" s="1597">
        <v>0</v>
      </c>
      <c r="CU39" s="1597">
        <f t="shared" si="515"/>
        <v>6977.3238659705721</v>
      </c>
      <c r="CV39" s="1597">
        <f>SUM(ЗП!DM28)</f>
        <v>6977.3238659705721</v>
      </c>
      <c r="CW39" s="1597">
        <v>0</v>
      </c>
      <c r="CX39" s="1597">
        <f t="shared" si="516"/>
        <v>2745.82</v>
      </c>
      <c r="CY39" s="1597">
        <f>SUM(ЗП!DR28)</f>
        <v>2745.82</v>
      </c>
      <c r="CZ39" s="1597">
        <v>0</v>
      </c>
      <c r="DA39" s="1597">
        <f t="shared" si="517"/>
        <v>4078.0200000000004</v>
      </c>
      <c r="DB39" s="1597">
        <f>SUM(ЗП!DU28)+0.01</f>
        <v>4078.0200000000004</v>
      </c>
      <c r="DC39" s="1597">
        <v>0</v>
      </c>
      <c r="DD39" s="1597">
        <f t="shared" si="518"/>
        <v>5342.98</v>
      </c>
      <c r="DE39" s="1597">
        <f>SUM(ЗП!DX28)</f>
        <v>5342.98</v>
      </c>
      <c r="DF39" s="1597">
        <v>0</v>
      </c>
      <c r="DG39" s="1597">
        <f t="shared" si="519"/>
        <v>8680.4669952000004</v>
      </c>
      <c r="DH39" s="1597">
        <f>SUM(ЗП!EA28)</f>
        <v>8680.4669952000004</v>
      </c>
      <c r="DI39" s="1597">
        <v>0</v>
      </c>
      <c r="DJ39" s="1597">
        <f t="shared" si="520"/>
        <v>7385.7624701714867</v>
      </c>
      <c r="DK39" s="1597">
        <f>SUM(ЗП!ED28)</f>
        <v>7385.7624701714867</v>
      </c>
      <c r="DL39" s="1597">
        <v>0</v>
      </c>
      <c r="DM39" s="1597">
        <f t="shared" si="521"/>
        <v>3475.82</v>
      </c>
      <c r="DN39" s="1597">
        <f>SUM(ЗП!EG28)</f>
        <v>3475.82</v>
      </c>
      <c r="DO39" s="1597">
        <v>0</v>
      </c>
      <c r="DP39" s="1597">
        <f t="shared" si="522"/>
        <v>5149.7700000000004</v>
      </c>
      <c r="DQ39" s="1597">
        <f>SUM(ЗП!EJ28)</f>
        <v>5149.7700000000004</v>
      </c>
      <c r="DR39" s="1597">
        <v>0</v>
      </c>
      <c r="DS39" s="1597">
        <f t="shared" si="523"/>
        <v>6834.884</v>
      </c>
      <c r="DT39" s="1597">
        <f>SUM(ЗП!EM28)</f>
        <v>6834.884</v>
      </c>
      <c r="DU39" s="1597">
        <v>0</v>
      </c>
      <c r="DV39" s="2343">
        <f t="shared" si="524"/>
        <v>9874.3898879999979</v>
      </c>
      <c r="DW39" s="2343">
        <f>SUM(ЗП!EP28)</f>
        <v>9874.3898879999979</v>
      </c>
      <c r="DX39" s="2343">
        <v>0</v>
      </c>
      <c r="DY39" s="3211">
        <f t="shared" si="525"/>
        <v>8519.897424220906</v>
      </c>
      <c r="DZ39" s="3211">
        <f>SUM(ЗП!ES28)</f>
        <v>8519.897424220906</v>
      </c>
      <c r="EA39" s="4071">
        <v>0</v>
      </c>
      <c r="EB39" s="2343">
        <f t="shared" si="526"/>
        <v>9874.3898879999979</v>
      </c>
      <c r="EC39" s="2343">
        <f>SUM(ЗП!EP28)</f>
        <v>9874.3898879999979</v>
      </c>
      <c r="ED39" s="2343">
        <v>0</v>
      </c>
      <c r="EE39" s="2343">
        <f t="shared" si="527"/>
        <v>8519.897424220906</v>
      </c>
      <c r="EF39" s="2343">
        <f>SUM(ЗП!ES28)</f>
        <v>8519.897424220906</v>
      </c>
      <c r="EG39" s="2343">
        <v>0</v>
      </c>
      <c r="EH39" s="3662">
        <f t="shared" si="528"/>
        <v>3866.7469999999998</v>
      </c>
      <c r="EI39" s="3662">
        <f>SUM(ЗП!EV28)</f>
        <v>3866.7469999999998</v>
      </c>
      <c r="EJ39" s="3662">
        <v>0</v>
      </c>
      <c r="EK39" s="3662">
        <f t="shared" si="529"/>
        <v>7891.5050000000001</v>
      </c>
      <c r="EL39" s="3662">
        <f>SUM(ЗП!EY28)</f>
        <v>7891.5050000000001</v>
      </c>
      <c r="EM39" s="3662">
        <v>0</v>
      </c>
    </row>
    <row r="40" spans="1:143" ht="21" customHeight="1" x14ac:dyDescent="0.2">
      <c r="A40" s="3191" t="s">
        <v>5</v>
      </c>
      <c r="B40" s="3289">
        <v>991</v>
      </c>
      <c r="C40" s="2110">
        <v>1109.0999999999999</v>
      </c>
      <c r="D40" s="3079">
        <f t="shared" si="51"/>
        <v>111.91725529767911</v>
      </c>
      <c r="E40" s="2110">
        <v>1349.6</v>
      </c>
      <c r="F40" s="3079">
        <f t="shared" si="375"/>
        <v>121.68424848976649</v>
      </c>
      <c r="G40" s="2110">
        <f>G39*0.302</f>
        <v>2060.0929999999998</v>
      </c>
      <c r="H40" s="3079">
        <f t="shared" si="53"/>
        <v>152.64470954356847</v>
      </c>
      <c r="I40" s="3291">
        <f>I39*30.2/100</f>
        <v>1864.6084000000001</v>
      </c>
      <c r="J40" s="3291">
        <v>1103.4000000000001</v>
      </c>
      <c r="K40" s="3291">
        <v>1205.7</v>
      </c>
      <c r="L40" s="3291">
        <v>1728</v>
      </c>
      <c r="M40" s="3308">
        <f t="shared" si="54"/>
        <v>92.673614470470042</v>
      </c>
      <c r="N40" s="3308"/>
      <c r="O40" s="3291">
        <f>O39*0.302</f>
        <v>2277.5027999999998</v>
      </c>
      <c r="P40" s="3308">
        <f t="shared" si="56"/>
        <v>122.14375951540279</v>
      </c>
      <c r="Q40" s="3309">
        <f>Q39*0.302</f>
        <v>1997.0279406000002</v>
      </c>
      <c r="R40" s="3308">
        <f t="shared" si="65"/>
        <v>107.10173463768587</v>
      </c>
      <c r="S40" s="3308">
        <f t="shared" si="66"/>
        <v>115.5687465625</v>
      </c>
      <c r="T40" s="3291" t="e">
        <f>Q40/Q87*T87</f>
        <v>#REF!</v>
      </c>
      <c r="U40" s="3291" t="e">
        <f t="shared" si="501"/>
        <v>#REF!</v>
      </c>
      <c r="V40" s="3291">
        <v>1556.7</v>
      </c>
      <c r="W40" s="3291"/>
      <c r="X40" s="3291">
        <v>0</v>
      </c>
      <c r="Y40" s="1597">
        <v>2345.4</v>
      </c>
      <c r="Z40" s="1591">
        <f t="shared" si="57"/>
        <v>1.1744452605381839</v>
      </c>
      <c r="AA40" s="1597">
        <f>AA39*V41</f>
        <v>2099.9136366191242</v>
      </c>
      <c r="AB40" s="1591">
        <f t="shared" si="1"/>
        <v>1.0515194073790537</v>
      </c>
      <c r="AC40" s="1597" t="e">
        <f>$AC$87/$AA$87*AA40</f>
        <v>#REF!</v>
      </c>
      <c r="AD40" s="1597" t="e">
        <f t="shared" si="68"/>
        <v>#REF!</v>
      </c>
      <c r="AE40" s="1597">
        <v>1965.4</v>
      </c>
      <c r="AF40" s="1597">
        <f>AF87/AE87*AE40</f>
        <v>1941.167041346868</v>
      </c>
      <c r="AG40" s="1597">
        <f>AE40-AF40</f>
        <v>24.232958653132073</v>
      </c>
      <c r="AH40" s="1598">
        <f t="shared" si="59"/>
        <v>2215.0943299999999</v>
      </c>
      <c r="AI40" s="1592">
        <f t="shared" si="60"/>
        <v>1.0548502049666755</v>
      </c>
      <c r="AJ40" s="1597">
        <f>AJ39*AJ41</f>
        <v>2189.8743300000001</v>
      </c>
      <c r="AK40" s="1597">
        <v>25.22</v>
      </c>
      <c r="AL40" s="1598">
        <f t="shared" si="61"/>
        <v>2213.0183846540194</v>
      </c>
      <c r="AM40" s="1592">
        <f t="shared" si="62"/>
        <v>1.0538616189078112</v>
      </c>
      <c r="AN40" s="1597">
        <f>AN39*AA41</f>
        <v>2187.8267604105858</v>
      </c>
      <c r="AO40" s="1597">
        <f>AO39*AA41</f>
        <v>25.191624243433733</v>
      </c>
      <c r="AP40" s="1593">
        <f t="shared" si="63"/>
        <v>-245.4863633808759</v>
      </c>
      <c r="AQ40" s="1593" t="e">
        <f t="shared" si="530"/>
        <v>#REF!</v>
      </c>
      <c r="AR40" s="1593" t="e">
        <f t="shared" si="64"/>
        <v>#REF!</v>
      </c>
      <c r="AS40" s="1593" t="e">
        <f t="shared" si="505"/>
        <v>#REF!</v>
      </c>
      <c r="AT40" s="1597">
        <v>927.99</v>
      </c>
      <c r="AU40" s="1597">
        <f>AU87/AT87*AT40</f>
        <v>921.60286574092686</v>
      </c>
      <c r="AV40" s="1597">
        <f>AT40-AU40</f>
        <v>6.3871342590731501</v>
      </c>
      <c r="AW40" s="1597">
        <f t="shared" si="187"/>
        <v>1903.67</v>
      </c>
      <c r="AX40" s="1597">
        <v>1894.5</v>
      </c>
      <c r="AY40" s="1597">
        <v>9.17</v>
      </c>
      <c r="AZ40" s="1598">
        <f t="shared" ref="AZ40" si="531">SUM(BB40+BC40)</f>
        <v>2436.5980100000006</v>
      </c>
      <c r="BA40" s="1594">
        <f t="shared" si="70"/>
        <v>1.1010292670392503</v>
      </c>
      <c r="BB40" s="1597">
        <f>SUM(BB39*AH41)</f>
        <v>2423.5846334779667</v>
      </c>
      <c r="BC40" s="1597">
        <f>SUM(BC39*AH41)</f>
        <v>13.013376522033974</v>
      </c>
      <c r="BD40" s="1598">
        <f t="shared" ref="BD40" si="532">SUM(BE40+BF40)</f>
        <v>2218.2336484682928</v>
      </c>
      <c r="BE40" s="1597">
        <f>SUM(BE39*AZ41)</f>
        <v>2206.386511778986</v>
      </c>
      <c r="BF40" s="1597">
        <f>SUM(BF39*AZ41)</f>
        <v>11.847136689306803</v>
      </c>
      <c r="BG40" s="1597">
        <f t="shared" si="71"/>
        <v>1684.7700000000002</v>
      </c>
      <c r="BH40" s="1597">
        <v>1683.64</v>
      </c>
      <c r="BI40" s="1597">
        <v>1.1299999999999999</v>
      </c>
      <c r="BJ40" s="1597">
        <f t="shared" si="502"/>
        <v>1738.25</v>
      </c>
      <c r="BK40" s="1597">
        <v>1737.41</v>
      </c>
      <c r="BL40" s="1597">
        <v>0.84</v>
      </c>
      <c r="BM40" s="1598">
        <f t="shared" si="352"/>
        <v>2421.5899999999997</v>
      </c>
      <c r="BN40" s="1597">
        <v>2408.1999999999998</v>
      </c>
      <c r="BO40" s="1597">
        <v>13.39</v>
      </c>
      <c r="BP40" s="1598">
        <f t="shared" si="503"/>
        <v>1768.01</v>
      </c>
      <c r="BQ40" s="1597">
        <v>1767.37</v>
      </c>
      <c r="BR40" s="1597">
        <v>0.64</v>
      </c>
      <c r="BS40" s="1597">
        <f t="shared" si="504"/>
        <v>2122.63</v>
      </c>
      <c r="BT40" s="1597">
        <v>2119.69</v>
      </c>
      <c r="BU40" s="1597">
        <v>2.94</v>
      </c>
      <c r="BV40" s="1597">
        <f>BV39*BS41</f>
        <v>2004.2197870957427</v>
      </c>
      <c r="BW40" s="1597">
        <f>BV40/$BV$87*$BW$87</f>
        <v>2003.2511670814024</v>
      </c>
      <c r="BX40" s="1597">
        <f>BV40/$BV$87*$BX$87</f>
        <v>0.96862001434043377</v>
      </c>
      <c r="BY40" s="1597">
        <f>BY39*BV41</f>
        <v>2096.4138973021472</v>
      </c>
      <c r="BZ40" s="1597">
        <f>BY40/$BV$87*$BW$87</f>
        <v>2095.400720767147</v>
      </c>
      <c r="CA40" s="1597">
        <f>BY40/$BV$87*$BX$87</f>
        <v>1.0131765350000936</v>
      </c>
      <c r="CB40" s="3286" t="s">
        <v>239</v>
      </c>
      <c r="CC40" s="365"/>
      <c r="CD40" s="365"/>
      <c r="CE40" s="365"/>
      <c r="CF40" s="1597">
        <f>SUM(CF39*CF41)</f>
        <v>2043.7029169015293</v>
      </c>
      <c r="CG40" s="1597">
        <f t="shared" ref="CG40:CH40" si="533">SUM(CG39*CG41)</f>
        <v>2042.6618707877549</v>
      </c>
      <c r="CH40" s="1597">
        <f t="shared" si="533"/>
        <v>1.0410461137745113</v>
      </c>
      <c r="CI40" s="1597">
        <f t="shared" ref="CI40" si="534">CJ40+CK40</f>
        <v>933.41</v>
      </c>
      <c r="CJ40" s="1597">
        <v>933.41</v>
      </c>
      <c r="CK40" s="1597">
        <v>0</v>
      </c>
      <c r="CL40" s="1597">
        <f t="shared" ref="CL40" si="535">CM40+CN40</f>
        <v>1437.13</v>
      </c>
      <c r="CM40" s="1597">
        <v>1437.13</v>
      </c>
      <c r="CN40" s="1597">
        <v>0</v>
      </c>
      <c r="CO40" s="1597">
        <f t="shared" ref="CO40" si="536">CP40+CQ40</f>
        <v>1861.31</v>
      </c>
      <c r="CP40" s="1597">
        <v>1861.31</v>
      </c>
      <c r="CQ40" s="1597">
        <v>0</v>
      </c>
      <c r="CR40" s="1597">
        <f t="shared" ref="CR40" si="537">CS40+CT40</f>
        <v>2468.17</v>
      </c>
      <c r="CS40" s="1597">
        <v>2468.17</v>
      </c>
      <c r="CT40" s="1597">
        <v>0</v>
      </c>
      <c r="CU40" s="1597">
        <f t="shared" ref="CU40" si="538">CV40+CW40</f>
        <v>2100.1735634961096</v>
      </c>
      <c r="CV40" s="1597">
        <f t="shared" ref="CV40" si="539">SUM(CV39*CV41)</f>
        <v>2100.1735634961096</v>
      </c>
      <c r="CW40" s="1597">
        <v>0</v>
      </c>
      <c r="CX40" s="1597">
        <f t="shared" ref="CX40" si="540">CY40+CZ40</f>
        <v>849.31399999999996</v>
      </c>
      <c r="CY40" s="1597">
        <v>849.31399999999996</v>
      </c>
      <c r="CZ40" s="1597">
        <v>0</v>
      </c>
      <c r="DA40" s="1597">
        <f t="shared" ref="DA40" si="541">DB40+DC40</f>
        <v>1263.0239999999999</v>
      </c>
      <c r="DB40" s="1597">
        <v>1263.0239999999999</v>
      </c>
      <c r="DC40" s="1597">
        <v>0</v>
      </c>
      <c r="DD40" s="1597">
        <f t="shared" ref="DD40" si="542">DE40+DF40</f>
        <v>1655.4639999999999</v>
      </c>
      <c r="DE40" s="1597">
        <v>1655.4639999999999</v>
      </c>
      <c r="DF40" s="1597">
        <v>0</v>
      </c>
      <c r="DG40" s="1597">
        <f t="shared" ref="DG40" si="543">DH40+DI40</f>
        <v>2612.8200000000002</v>
      </c>
      <c r="DH40" s="1597">
        <v>2612.8200000000002</v>
      </c>
      <c r="DI40" s="1597">
        <v>0</v>
      </c>
      <c r="DJ40" s="1597">
        <f t="shared" ref="DJ40" si="544">DK40+DL40</f>
        <v>2223.1135294961955</v>
      </c>
      <c r="DK40" s="1597">
        <f t="shared" ref="DK40" si="545">SUM(DK39*DK41)</f>
        <v>2223.1135294961955</v>
      </c>
      <c r="DL40" s="1597">
        <v>0</v>
      </c>
      <c r="DM40" s="1597">
        <f t="shared" ref="DM40" si="546">DN40+DO40</f>
        <v>1071.7940000000001</v>
      </c>
      <c r="DN40" s="1597">
        <v>1071.7940000000001</v>
      </c>
      <c r="DO40" s="1597">
        <v>0</v>
      </c>
      <c r="DP40" s="1597">
        <f t="shared" ref="DP40" si="547">DQ40+DR40</f>
        <v>1588.644</v>
      </c>
      <c r="DQ40" s="1597">
        <v>1588.644</v>
      </c>
      <c r="DR40" s="1597">
        <v>0</v>
      </c>
      <c r="DS40" s="1597">
        <f t="shared" ref="DS40" si="548">DT40+DU40</f>
        <v>2108.498</v>
      </c>
      <c r="DT40" s="1597">
        <v>2108.498</v>
      </c>
      <c r="DU40" s="1597">
        <v>0</v>
      </c>
      <c r="DV40" s="2343">
        <f t="shared" ref="DV40" si="549">DW40+DX40</f>
        <v>2972.19</v>
      </c>
      <c r="DW40" s="2343">
        <v>2972.19</v>
      </c>
      <c r="DX40" s="2343">
        <v>0</v>
      </c>
      <c r="DY40" s="3211">
        <f t="shared" ref="DY40" si="550">DZ40+EA40</f>
        <v>2564.4880010967249</v>
      </c>
      <c r="DZ40" s="3211">
        <f t="shared" ref="DZ40" si="551">SUM(DZ39*DZ41)</f>
        <v>2564.4880010967249</v>
      </c>
      <c r="EA40" s="4071">
        <v>0</v>
      </c>
      <c r="EB40" s="2343">
        <f t="shared" ref="EB40" si="552">EC40+ED40</f>
        <v>2972.19</v>
      </c>
      <c r="EC40" s="2343">
        <v>2972.19</v>
      </c>
      <c r="ED40" s="2343">
        <v>0</v>
      </c>
      <c r="EE40" s="2343">
        <f t="shared" ref="EE40" si="553">EF40+EG40</f>
        <v>2638.74010532788</v>
      </c>
      <c r="EF40" s="2343">
        <v>2638.74010532788</v>
      </c>
      <c r="EG40" s="2343">
        <v>0</v>
      </c>
      <c r="EH40" s="3662">
        <f t="shared" ref="EH40" si="554">EI40+EJ40</f>
        <v>1199.2950000000001</v>
      </c>
      <c r="EI40" s="3662">
        <v>1199.2950000000001</v>
      </c>
      <c r="EJ40" s="3662">
        <v>0</v>
      </c>
      <c r="EK40" s="3662">
        <f t="shared" ref="EK40" si="555">EL40+EM40</f>
        <v>2436.8359999999998</v>
      </c>
      <c r="EL40" s="3662">
        <v>2436.8359999999998</v>
      </c>
      <c r="EM40" s="3662">
        <v>0</v>
      </c>
    </row>
    <row r="41" spans="1:143" s="181" customFormat="1" ht="21" customHeight="1" x14ac:dyDescent="0.2">
      <c r="A41" s="3195" t="str">
        <f>A25</f>
        <v>то же в %</v>
      </c>
      <c r="B41" s="3088"/>
      <c r="C41" s="3079"/>
      <c r="D41" s="3079"/>
      <c r="E41" s="3310">
        <f>E40/E39</f>
        <v>0.25406626506024094</v>
      </c>
      <c r="F41" s="3310">
        <f t="shared" ref="F41:AD41" si="556">F40/F39</f>
        <v>1.0157840042887267</v>
      </c>
      <c r="G41" s="3310">
        <f t="shared" si="556"/>
        <v>0.30199999999999999</v>
      </c>
      <c r="H41" s="3310">
        <f t="shared" si="556"/>
        <v>1.1886662714878482</v>
      </c>
      <c r="I41" s="3310">
        <f t="shared" si="556"/>
        <v>0.30200000000000005</v>
      </c>
      <c r="J41" s="3310">
        <f t="shared" si="556"/>
        <v>0.33315217391304353</v>
      </c>
      <c r="K41" s="3310">
        <f t="shared" si="556"/>
        <v>0.29412338691971801</v>
      </c>
      <c r="L41" s="3310">
        <f t="shared" si="556"/>
        <v>0.29596642973366449</v>
      </c>
      <c r="M41" s="3310">
        <f t="shared" si="556"/>
        <v>0.9800212905088227</v>
      </c>
      <c r="N41" s="3310">
        <f t="shared" si="556"/>
        <v>0</v>
      </c>
      <c r="O41" s="3310">
        <f t="shared" si="556"/>
        <v>0.30199999999999999</v>
      </c>
      <c r="P41" s="3310">
        <f t="shared" si="556"/>
        <v>1</v>
      </c>
      <c r="Q41" s="3311">
        <f t="shared" si="556"/>
        <v>0.30199999999999999</v>
      </c>
      <c r="R41" s="3310">
        <f t="shared" si="556"/>
        <v>1</v>
      </c>
      <c r="S41" s="3310">
        <f t="shared" si="556"/>
        <v>1.0203859953703702</v>
      </c>
      <c r="T41" s="3310" t="e">
        <f t="shared" si="556"/>
        <v>#REF!</v>
      </c>
      <c r="U41" s="3310" t="e">
        <f t="shared" si="556"/>
        <v>#REF!</v>
      </c>
      <c r="V41" s="3310">
        <f t="shared" si="556"/>
        <v>0.30071861839817637</v>
      </c>
      <c r="W41" s="3310"/>
      <c r="X41" s="3310">
        <v>0</v>
      </c>
      <c r="Y41" s="1599">
        <f t="shared" si="556"/>
        <v>0.30200097859957253</v>
      </c>
      <c r="Z41" s="1591">
        <f t="shared" si="57"/>
        <v>1.0000032403959356</v>
      </c>
      <c r="AA41" s="1599">
        <f t="shared" si="556"/>
        <v>0.30071861839817632</v>
      </c>
      <c r="AB41" s="1599">
        <f t="shared" si="556"/>
        <v>0.99575701456349774</v>
      </c>
      <c r="AC41" s="1599" t="e">
        <f t="shared" si="556"/>
        <v>#REF!</v>
      </c>
      <c r="AD41" s="1599" t="e">
        <f t="shared" si="556"/>
        <v>#REF!</v>
      </c>
      <c r="AE41" s="1599">
        <f t="shared" ref="AE41" si="557">AE40/AE39</f>
        <v>0.30476987966753505</v>
      </c>
      <c r="AF41" s="1599">
        <f t="shared" ref="AF41:AG41" si="558">AF40/AF39</f>
        <v>0.30476987966753499</v>
      </c>
      <c r="AG41" s="1599">
        <f t="shared" si="558"/>
        <v>0.30476987966753749</v>
      </c>
      <c r="AH41" s="1599">
        <v>0.30099999999999999</v>
      </c>
      <c r="AI41" s="1592">
        <f t="shared" si="60"/>
        <v>1.0009356973084091</v>
      </c>
      <c r="AJ41" s="1599">
        <v>0.30099999999999999</v>
      </c>
      <c r="AK41" s="1599">
        <v>0.30099999999999999</v>
      </c>
      <c r="AL41" s="1599">
        <f>SUM(AL40/AL39)</f>
        <v>0.30071861839817632</v>
      </c>
      <c r="AM41" s="1592">
        <f t="shared" si="62"/>
        <v>1</v>
      </c>
      <c r="AN41" s="1599">
        <f>AN40/AN39</f>
        <v>0.30071861839817632</v>
      </c>
      <c r="AO41" s="1599">
        <f>AO40/AO39</f>
        <v>0.30071861839817632</v>
      </c>
      <c r="AP41" s="1593">
        <f t="shared" si="63"/>
        <v>-1.2823602013962154E-3</v>
      </c>
      <c r="AQ41" s="1593" t="e">
        <f t="shared" si="530"/>
        <v>#REF!</v>
      </c>
      <c r="AR41" s="1593" t="e">
        <f t="shared" si="64"/>
        <v>#REF!</v>
      </c>
      <c r="AS41" s="1593" t="e">
        <f t="shared" si="505"/>
        <v>#REF!</v>
      </c>
      <c r="AT41" s="1599">
        <f t="shared" ref="AT41" si="559">AT40/AT39</f>
        <v>0.30975332955038554</v>
      </c>
      <c r="AU41" s="1599">
        <f t="shared" ref="AU41:AW41" si="560">AU40/AU39</f>
        <v>0.30975332955038554</v>
      </c>
      <c r="AV41" s="1599">
        <f t="shared" si="560"/>
        <v>0.30975332955038049</v>
      </c>
      <c r="AW41" s="1599">
        <f t="shared" si="560"/>
        <v>0.31032852599370436</v>
      </c>
      <c r="AX41" s="1599">
        <f t="shared" ref="AX41:AY41" si="561">AX40/AX39</f>
        <v>0.31032957672651029</v>
      </c>
      <c r="AY41" s="1599">
        <f t="shared" si="561"/>
        <v>0.31011159959418327</v>
      </c>
      <c r="AZ41" s="1599">
        <f>SUM(AZ40/AZ39)</f>
        <v>0.30099999999999999</v>
      </c>
      <c r="BA41" s="1594">
        <f t="shared" si="70"/>
        <v>1.0009356973084091</v>
      </c>
      <c r="BB41" s="1599">
        <f t="shared" ref="BB41:BG41" si="562">SUM(BB40/BB39)</f>
        <v>0.30099999999999999</v>
      </c>
      <c r="BC41" s="1599">
        <f t="shared" si="562"/>
        <v>0.30099999999999999</v>
      </c>
      <c r="BD41" s="1599">
        <f t="shared" si="562"/>
        <v>0.30099999999999999</v>
      </c>
      <c r="BE41" s="1599">
        <f t="shared" si="562"/>
        <v>0.30099999999999999</v>
      </c>
      <c r="BF41" s="1599">
        <f t="shared" si="562"/>
        <v>0.30099999999999999</v>
      </c>
      <c r="BG41" s="1599">
        <f t="shared" si="562"/>
        <v>0.30898867131405061</v>
      </c>
      <c r="BH41" s="1599">
        <f t="shared" ref="BH41:BI41" si="563">SUM(BH40/BH39)</f>
        <v>0.30898940328802726</v>
      </c>
      <c r="BI41" s="1599">
        <f t="shared" si="563"/>
        <v>0.30790190735694822</v>
      </c>
      <c r="BJ41" s="1599">
        <f>SUM(BJ40/BJ39)</f>
        <v>0.30620998967702839</v>
      </c>
      <c r="BK41" s="1599">
        <f t="shared" ref="BK41:BL41" si="564">SUM(BK40/BK39)</f>
        <v>0.3062103558216468</v>
      </c>
      <c r="BL41" s="1599">
        <f t="shared" si="564"/>
        <v>0.30545454545454542</v>
      </c>
      <c r="BM41" s="1599">
        <f t="shared" ref="BM41:BS41" si="565">SUM(BM40/BM39)</f>
        <v>0.30100009733818528</v>
      </c>
      <c r="BN41" s="1599">
        <f t="shared" si="565"/>
        <v>0.30099979126748133</v>
      </c>
      <c r="BO41" s="1599">
        <f t="shared" si="565"/>
        <v>0.30105515447344577</v>
      </c>
      <c r="BP41" s="1599">
        <f t="shared" si="565"/>
        <v>0.30586344520006431</v>
      </c>
      <c r="BQ41" s="1599">
        <f t="shared" si="565"/>
        <v>0.30586384553215568</v>
      </c>
      <c r="BR41" s="1599">
        <f t="shared" si="565"/>
        <v>0.30476190476190473</v>
      </c>
      <c r="BS41" s="1599">
        <f t="shared" si="565"/>
        <v>0.30099986812120944</v>
      </c>
      <c r="BT41" s="1599">
        <f t="shared" ref="BT41:BU41" si="566">SUM(BT40/BT39)</f>
        <v>0.30100040470594919</v>
      </c>
      <c r="BU41" s="1599">
        <f t="shared" si="566"/>
        <v>0.30061349693251538</v>
      </c>
      <c r="BV41" s="1599">
        <f>SUM(BV40/BV39)</f>
        <v>0.30099986812120944</v>
      </c>
      <c r="BW41" s="1599">
        <f t="shared" ref="BW41:BX41" si="567">SUM(BW40/BW39)</f>
        <v>0.30099986812120949</v>
      </c>
      <c r="BX41" s="1599">
        <f t="shared" si="567"/>
        <v>0.30099986812120949</v>
      </c>
      <c r="BY41" s="1599">
        <f>SUM(BY40/BY39)</f>
        <v>0.30099986812120949</v>
      </c>
      <c r="BZ41" s="1599">
        <f t="shared" ref="BZ41:CA41" si="568">SUM(BZ40/BZ39)</f>
        <v>0.30099986812120944</v>
      </c>
      <c r="CA41" s="1599">
        <f t="shared" si="568"/>
        <v>0.30099986812120944</v>
      </c>
      <c r="CB41" s="3312"/>
      <c r="CC41" s="3313"/>
      <c r="CD41" s="3313"/>
      <c r="CE41" s="3313"/>
      <c r="CF41" s="1599">
        <f>SUM(BV41)</f>
        <v>0.30099986812120944</v>
      </c>
      <c r="CG41" s="1599">
        <f>SUM(CF41)</f>
        <v>0.30099986812120944</v>
      </c>
      <c r="CH41" s="1599">
        <f>SUM(CF41)</f>
        <v>0.30099986812120944</v>
      </c>
      <c r="CI41" s="1599">
        <f>SUM(CI40/CI39)</f>
        <v>0.30777068131534779</v>
      </c>
      <c r="CJ41" s="1599">
        <f t="shared" ref="CJ41" si="569">SUM(CJ40/CJ39)</f>
        <v>0.30777068131534779</v>
      </c>
      <c r="CK41" s="1599">
        <v>0</v>
      </c>
      <c r="CL41" s="1599">
        <f t="shared" ref="CL41" si="570">SUM(CL40/CL39)</f>
        <v>0.30781835005440417</v>
      </c>
      <c r="CM41" s="1599">
        <f t="shared" ref="CM41" si="571">SUM(CM40/CM39)</f>
        <v>0.30781835005440417</v>
      </c>
      <c r="CN41" s="1599">
        <v>0</v>
      </c>
      <c r="CO41" s="1599">
        <f t="shared" ref="CO41" si="572">SUM(CO40/CO39)</f>
        <v>0.30843404239806055</v>
      </c>
      <c r="CP41" s="1599">
        <f t="shared" ref="CP41" si="573">SUM(CP40/CP39)</f>
        <v>0.30843404239806055</v>
      </c>
      <c r="CQ41" s="1599">
        <v>0</v>
      </c>
      <c r="CR41" s="1599">
        <f t="shared" ref="CR41:CS41" si="574">SUM(CR40/CR39)</f>
        <v>0.30100051837566166</v>
      </c>
      <c r="CS41" s="1599">
        <f t="shared" si="574"/>
        <v>0.30100051837566166</v>
      </c>
      <c r="CT41" s="1599">
        <v>0</v>
      </c>
      <c r="CU41" s="1599">
        <f>SUM(BV41)</f>
        <v>0.30099986812120944</v>
      </c>
      <c r="CV41" s="1599">
        <f t="shared" ref="CV41:CW41" si="575">SUM(BW41)</f>
        <v>0.30099986812120949</v>
      </c>
      <c r="CW41" s="1599">
        <f t="shared" si="575"/>
        <v>0.30099986812120949</v>
      </c>
      <c r="CX41" s="1599">
        <f>SUM(CX40/CX39)</f>
        <v>0.30931160818990316</v>
      </c>
      <c r="CY41" s="1599">
        <f t="shared" ref="CY41" si="576">SUM(CY40/CY39)</f>
        <v>0.30931160818990316</v>
      </c>
      <c r="CZ41" s="1599">
        <v>0</v>
      </c>
      <c r="DA41" s="1599">
        <f t="shared" ref="DA41:DB41" si="577">SUM(DA40/DA39)</f>
        <v>0.30971500875424834</v>
      </c>
      <c r="DB41" s="1599">
        <f t="shared" si="577"/>
        <v>0.30971500875424834</v>
      </c>
      <c r="DC41" s="1599">
        <v>0</v>
      </c>
      <c r="DD41" s="1599">
        <f t="shared" ref="DD41:DE41" si="578">SUM(DD40/DD39)</f>
        <v>0.30983907856664261</v>
      </c>
      <c r="DE41" s="1599">
        <f t="shared" si="578"/>
        <v>0.30983907856664261</v>
      </c>
      <c r="DF41" s="1599">
        <v>0</v>
      </c>
      <c r="DG41" s="1599">
        <f t="shared" ref="DG41:DH41" si="579">SUM(DG40/DG39)</f>
        <v>0.30099993484737625</v>
      </c>
      <c r="DH41" s="1599">
        <f t="shared" si="579"/>
        <v>0.30099993484737625</v>
      </c>
      <c r="DI41" s="1599">
        <v>0</v>
      </c>
      <c r="DJ41" s="1599">
        <f>SUM(CF41)</f>
        <v>0.30099986812120944</v>
      </c>
      <c r="DK41" s="1599">
        <f t="shared" ref="DK41" si="580">SUM(CG41)</f>
        <v>0.30099986812120944</v>
      </c>
      <c r="DL41" s="1599">
        <f t="shared" ref="DL41" si="581">SUM(CH41)</f>
        <v>0.30099986812120944</v>
      </c>
      <c r="DM41" s="1599">
        <f t="shared" ref="DM41:DN41" si="582">SUM(DM40/DM39)</f>
        <v>0.30835716464028634</v>
      </c>
      <c r="DN41" s="1599">
        <f t="shared" si="582"/>
        <v>0.30835716464028634</v>
      </c>
      <c r="DO41" s="1599">
        <v>0</v>
      </c>
      <c r="DP41" s="1599">
        <f t="shared" ref="DP41:DQ41" si="583">SUM(DP40/DP39)</f>
        <v>0.30848834025597255</v>
      </c>
      <c r="DQ41" s="1599">
        <f t="shared" si="583"/>
        <v>0.30848834025597255</v>
      </c>
      <c r="DR41" s="1599">
        <v>0</v>
      </c>
      <c r="DS41" s="1599">
        <f t="shared" ref="DS41:DT41" si="584">SUM(DS40/DS39)</f>
        <v>0.30849067811538572</v>
      </c>
      <c r="DT41" s="1599">
        <f t="shared" si="584"/>
        <v>0.30849067811538572</v>
      </c>
      <c r="DU41" s="1599">
        <v>0</v>
      </c>
      <c r="DV41" s="3690">
        <f t="shared" ref="DV41:DW41" si="585">SUM(DV40/DV39)</f>
        <v>0.30099986264589362</v>
      </c>
      <c r="DW41" s="3690">
        <f t="shared" si="585"/>
        <v>0.30099986264589362</v>
      </c>
      <c r="DX41" s="3690">
        <v>0</v>
      </c>
      <c r="DY41" s="3413">
        <f>SUM(CU41)</f>
        <v>0.30099986812120944</v>
      </c>
      <c r="DZ41" s="3413">
        <f t="shared" ref="DZ41" si="586">SUM(CV41)</f>
        <v>0.30099986812120949</v>
      </c>
      <c r="EA41" s="4072">
        <f t="shared" ref="EA41" si="587">SUM(CW41)</f>
        <v>0.30099986812120949</v>
      </c>
      <c r="EB41" s="3690">
        <f t="shared" ref="EB41:EC41" si="588">SUM(EB40/EB39)</f>
        <v>0.30099986264589362</v>
      </c>
      <c r="EC41" s="3690">
        <f t="shared" si="588"/>
        <v>0.30099986264589362</v>
      </c>
      <c r="ED41" s="3690">
        <v>0</v>
      </c>
      <c r="EE41" s="3690">
        <f t="shared" ref="EE41:EF41" si="589">SUM(EE40/EE39)</f>
        <v>0.30971500875424884</v>
      </c>
      <c r="EF41" s="3690">
        <f t="shared" si="589"/>
        <v>0.30971500875424884</v>
      </c>
      <c r="EG41" s="3690">
        <v>0</v>
      </c>
      <c r="EH41" s="3663">
        <f t="shared" ref="EH41:EI41" si="590">SUM(EH40/EH39)</f>
        <v>0.3101560562405557</v>
      </c>
      <c r="EI41" s="3663">
        <f t="shared" si="590"/>
        <v>0.3101560562405557</v>
      </c>
      <c r="EJ41" s="3663">
        <v>0</v>
      </c>
      <c r="EK41" s="3663">
        <f t="shared" ref="EK41:EL41" si="591">SUM(EK40/EK39)</f>
        <v>0.30879230260894464</v>
      </c>
      <c r="EL41" s="3663">
        <f t="shared" si="591"/>
        <v>0.30879230260894464</v>
      </c>
      <c r="EM41" s="3663">
        <v>0</v>
      </c>
    </row>
    <row r="42" spans="1:143" ht="21" customHeight="1" x14ac:dyDescent="0.2">
      <c r="A42" s="3191" t="s">
        <v>6</v>
      </c>
      <c r="B42" s="3289">
        <v>1035.7</v>
      </c>
      <c r="C42" s="2110">
        <v>1490.6</v>
      </c>
      <c r="D42" s="3079">
        <f t="shared" si="51"/>
        <v>143.92198513082937</v>
      </c>
      <c r="E42" s="2110">
        <v>1931.9</v>
      </c>
      <c r="F42" s="3079">
        <f t="shared" si="375"/>
        <v>129.60552797531199</v>
      </c>
      <c r="G42" s="2110">
        <f>'цех вода 2023'!G46-вода!G16-вода!G26-вода!G34</f>
        <v>2268.3000000000029</v>
      </c>
      <c r="H42" s="3079">
        <f t="shared" si="53"/>
        <v>117.4129095708889</v>
      </c>
      <c r="I42" s="3291">
        <v>2107</v>
      </c>
      <c r="J42" s="3291">
        <v>1329.9</v>
      </c>
      <c r="K42" s="3291">
        <f>'цех вода 2023'!K51</f>
        <v>1718.888220844955</v>
      </c>
      <c r="L42" s="3291">
        <v>2190.8000000000002</v>
      </c>
      <c r="M42" s="3308">
        <f t="shared" si="54"/>
        <v>103.97721879449455</v>
      </c>
      <c r="N42" s="3308"/>
      <c r="O42" s="3291">
        <f>'цех вода 2023'!N51</f>
        <v>2644.3000000000011</v>
      </c>
      <c r="P42" s="3308">
        <f t="shared" si="56"/>
        <v>125.50071191267209</v>
      </c>
      <c r="Q42" s="3309">
        <f>'цех вода 2023'!P51</f>
        <v>2113.8624728004652</v>
      </c>
      <c r="R42" s="3308">
        <f t="shared" si="65"/>
        <v>100.32569875654795</v>
      </c>
      <c r="S42" s="3308">
        <f t="shared" si="66"/>
        <v>96.48815377033344</v>
      </c>
      <c r="T42" s="3291" t="e">
        <f>Q42/Q87*T87</f>
        <v>#REF!</v>
      </c>
      <c r="U42" s="3291" t="e">
        <f t="shared" si="501"/>
        <v>#REF!</v>
      </c>
      <c r="V42" s="3291">
        <v>2048.6</v>
      </c>
      <c r="W42" s="3291"/>
      <c r="X42" s="3291"/>
      <c r="Y42" s="1597">
        <v>2817.5</v>
      </c>
      <c r="Z42" s="1591">
        <f t="shared" si="57"/>
        <v>1.3328681672783325</v>
      </c>
      <c r="AA42" s="1597">
        <f>'цех вода 2023'!W51</f>
        <v>2244.4438912833493</v>
      </c>
      <c r="AB42" s="1591">
        <f t="shared" si="1"/>
        <v>1.0617738477138905</v>
      </c>
      <c r="AC42" s="1597" t="e">
        <f>$AC$87/$AA$87*AA42</f>
        <v>#REF!</v>
      </c>
      <c r="AD42" s="1597" t="e">
        <f t="shared" si="68"/>
        <v>#REF!</v>
      </c>
      <c r="AE42" s="1597">
        <v>2289.6</v>
      </c>
      <c r="AF42" s="1597">
        <f>AE42*AF87/(AF87+AG87)</f>
        <v>2261.3697251794997</v>
      </c>
      <c r="AG42" s="1597">
        <f>SUM(AE42-AF42)</f>
        <v>28.230274820500199</v>
      </c>
      <c r="AH42" s="1598">
        <f t="shared" si="59"/>
        <v>2395.3000000000002</v>
      </c>
      <c r="AI42" s="1592">
        <f t="shared" si="60"/>
        <v>1.0672131343102513</v>
      </c>
      <c r="AJ42" s="1597">
        <v>2368.0300000000002</v>
      </c>
      <c r="AK42" s="1597">
        <v>27.27</v>
      </c>
      <c r="AL42" s="1598">
        <f t="shared" si="61"/>
        <v>2361.5208448128728</v>
      </c>
      <c r="AM42" s="1592">
        <f t="shared" si="62"/>
        <v>1.0521630119532996</v>
      </c>
      <c r="AN42" s="1597">
        <f>'цех вода 2023'!AB51*AN87/(AN87+AO87)</f>
        <v>2334.6387609684307</v>
      </c>
      <c r="AO42" s="1597">
        <f>'цех вода 2023'!AB51-AN42</f>
        <v>26.88208384444215</v>
      </c>
      <c r="AP42" s="1593">
        <f t="shared" si="63"/>
        <v>-573.05610871665067</v>
      </c>
      <c r="AQ42" s="1593" t="e">
        <f t="shared" si="530"/>
        <v>#REF!</v>
      </c>
      <c r="AR42" s="1593" t="e">
        <f t="shared" si="64"/>
        <v>#REF!</v>
      </c>
      <c r="AS42" s="1593" t="e">
        <f t="shared" si="505"/>
        <v>#REF!</v>
      </c>
      <c r="AT42" s="1597">
        <v>1149.72</v>
      </c>
      <c r="AU42" s="1597">
        <f>AT42*AU87/(AU87+AV87)</f>
        <v>1141.806750934448</v>
      </c>
      <c r="AV42" s="1597">
        <f>SUM(AT42-AU42)</f>
        <v>7.9132490655520087</v>
      </c>
      <c r="AW42" s="1597">
        <f t="shared" si="187"/>
        <v>2398.5700000000002</v>
      </c>
      <c r="AX42" s="1597">
        <v>2387.0100000000002</v>
      </c>
      <c r="AY42" s="1597">
        <v>11.56</v>
      </c>
      <c r="AZ42" s="1597">
        <v>2843.27</v>
      </c>
      <c r="BA42" s="1594">
        <f t="shared" si="70"/>
        <v>1.2039995354033393</v>
      </c>
      <c r="BB42" s="1597">
        <f>AZ42*BB87/(BB87+BC87)</f>
        <v>2828.0846707368432</v>
      </c>
      <c r="BC42" s="1597">
        <f>SUM(AZ42-BB42)</f>
        <v>15.185329263156746</v>
      </c>
      <c r="BD42" s="1597">
        <f>SUM('цех вода 2023'!AG51)</f>
        <v>2475.1343982218523</v>
      </c>
      <c r="BE42" s="1597">
        <f>BD42*BE87/(BE87+BF87)</f>
        <v>2461.9152066545498</v>
      </c>
      <c r="BF42" s="1597">
        <f>SUM(BD42-BE42)</f>
        <v>13.21919156730246</v>
      </c>
      <c r="BG42" s="1597">
        <f t="shared" si="71"/>
        <v>2505.2399999999998</v>
      </c>
      <c r="BH42" s="1597">
        <v>2503.56</v>
      </c>
      <c r="BI42" s="1597">
        <v>1.68</v>
      </c>
      <c r="BJ42" s="1597">
        <f t="shared" ref="BJ42" si="592">BK42+BL42</f>
        <v>2402.1799999999998</v>
      </c>
      <c r="BK42" s="1597">
        <v>2401.02</v>
      </c>
      <c r="BL42" s="1597">
        <v>1.1599999999999999</v>
      </c>
      <c r="BM42" s="1598">
        <f t="shared" si="352"/>
        <v>2516.2190000000001</v>
      </c>
      <c r="BN42" s="1597">
        <v>2501.721</v>
      </c>
      <c r="BO42" s="1597">
        <v>14.497999999999999</v>
      </c>
      <c r="BP42" s="1598">
        <f t="shared" ref="BP42" si="593">SUM(BQ42+BR42)</f>
        <v>2442.52</v>
      </c>
      <c r="BQ42" s="1597">
        <v>2441.63</v>
      </c>
      <c r="BR42" s="1597">
        <v>0.89</v>
      </c>
      <c r="BS42" s="1597">
        <f t="shared" ref="BS42" si="594">BT42+BU42</f>
        <v>3196.56</v>
      </c>
      <c r="BT42" s="1597">
        <v>3192.13</v>
      </c>
      <c r="BU42" s="1597">
        <v>4.43</v>
      </c>
      <c r="BV42" s="1597">
        <f>'цех вода 2023'!AM51</f>
        <v>2706.8129829750114</v>
      </c>
      <c r="BW42" s="1597">
        <f>BV42/$BV$87*$BW$87</f>
        <v>2705.5048064729795</v>
      </c>
      <c r="BX42" s="1597">
        <f>BV42/$BV$87*$BX$87</f>
        <v>1.3081765020319496</v>
      </c>
      <c r="BY42" s="1597">
        <f>SUM('цех вода 2023'!AN51)</f>
        <v>2599.8439507974344</v>
      </c>
      <c r="BZ42" s="1597">
        <f>BY42/$BV$87*$BW$87</f>
        <v>2598.587471392771</v>
      </c>
      <c r="CA42" s="1597">
        <f>BY42/$BV$87*$BX$87</f>
        <v>1.2564794046632182</v>
      </c>
      <c r="CB42" s="3286" t="str">
        <f>CB34</f>
        <v>Приложение</v>
      </c>
      <c r="CC42" s="365"/>
      <c r="CD42" s="365"/>
      <c r="CE42" s="365"/>
      <c r="CF42" s="1597">
        <f>SUM('цех вода 2023'!AX51)</f>
        <v>2719.011490230816</v>
      </c>
      <c r="CG42" s="1597">
        <f>CF42/CF167*CG167</f>
        <v>2717.6264472669859</v>
      </c>
      <c r="CH42" s="1597">
        <f>CF42/CF167*CH167</f>
        <v>1.3850429638298645</v>
      </c>
      <c r="CI42" s="1597">
        <f t="shared" ref="CI42" si="595">CJ42+CK42</f>
        <v>1303.07</v>
      </c>
      <c r="CJ42" s="1597">
        <f>SUM('цех вода 2023'!AY51)</f>
        <v>1303.07</v>
      </c>
      <c r="CK42" s="1597">
        <v>0</v>
      </c>
      <c r="CL42" s="1597">
        <f t="shared" ref="CL42" si="596">CM42+CN42</f>
        <v>2311.9899999999998</v>
      </c>
      <c r="CM42" s="1597">
        <f>SUM('цех вода 2023'!AZ51)</f>
        <v>2311.9899999999998</v>
      </c>
      <c r="CN42" s="1597">
        <v>0</v>
      </c>
      <c r="CO42" s="1597">
        <f t="shared" ref="CO42" si="597">CP42+CQ42</f>
        <v>3844.89</v>
      </c>
      <c r="CP42" s="1597">
        <f>SUM('цех вода 2023'!BA51)</f>
        <v>3844.89</v>
      </c>
      <c r="CQ42" s="1597">
        <v>0</v>
      </c>
      <c r="CR42" s="1597">
        <f t="shared" ref="CR42" si="598">CS42+CT42</f>
        <v>4945.3918879660223</v>
      </c>
      <c r="CS42" s="1597">
        <f>SUM('цех вода 2023'!BB51)</f>
        <v>4945.3918879660223</v>
      </c>
      <c r="CT42" s="1597">
        <v>0</v>
      </c>
      <c r="CU42" s="1597">
        <f t="shared" ref="CU42" si="599">CV42+CW42</f>
        <v>3577.8364299681775</v>
      </c>
      <c r="CV42" s="1597">
        <f>SUM('цех вода 2023'!BC51)</f>
        <v>3577.8364299681775</v>
      </c>
      <c r="CW42" s="1597">
        <v>0</v>
      </c>
      <c r="CX42" s="1597">
        <f t="shared" ref="CX42" si="600">CY42+CZ42</f>
        <v>2804.92</v>
      </c>
      <c r="CY42" s="1597">
        <f>SUM('цех вода 2023'!BD51)</f>
        <v>2804.92</v>
      </c>
      <c r="CZ42" s="1597">
        <v>0</v>
      </c>
      <c r="DA42" s="1597">
        <f t="shared" ref="DA42" si="601">DB42+DC42</f>
        <v>3998.41</v>
      </c>
      <c r="DB42" s="1597">
        <f>SUM('цех вода 2023'!BE51)</f>
        <v>3998.41</v>
      </c>
      <c r="DC42" s="1597">
        <v>0</v>
      </c>
      <c r="DD42" s="1597">
        <f t="shared" ref="DD42" si="602">DE42+DF42</f>
        <v>5408.3</v>
      </c>
      <c r="DE42" s="1597">
        <f>SUM('цех вода 2023'!BF51)</f>
        <v>5408.3</v>
      </c>
      <c r="DF42" s="1597">
        <v>0</v>
      </c>
      <c r="DG42" s="1597">
        <f t="shared" ref="DG42" si="603">DH42+DI42</f>
        <v>6996.728136491759</v>
      </c>
      <c r="DH42" s="1597">
        <f>SUM('цех вода 2023'!BG51)</f>
        <v>6996.728136491759</v>
      </c>
      <c r="DI42" s="1597">
        <v>0</v>
      </c>
      <c r="DJ42" s="1597">
        <f t="shared" ref="DJ42" si="604">DK42+DL42</f>
        <v>6140.2315225783659</v>
      </c>
      <c r="DK42" s="1597">
        <f>SUM('цех вода 2023'!BH51)</f>
        <v>6140.2315225783659</v>
      </c>
      <c r="DL42" s="1597">
        <v>0</v>
      </c>
      <c r="DM42" s="1597">
        <f t="shared" ref="DM42" si="605">DN42+DO42</f>
        <v>3118.09</v>
      </c>
      <c r="DN42" s="1597">
        <f>SUM('цех вода 2023'!BI51)</f>
        <v>3118.09</v>
      </c>
      <c r="DO42" s="1597">
        <v>0</v>
      </c>
      <c r="DP42" s="1597">
        <f t="shared" ref="DP42" si="606">DQ42+DR42</f>
        <v>4974.37</v>
      </c>
      <c r="DQ42" s="1597">
        <f>SUM('цех вода 2023'!BJ51)</f>
        <v>4974.37</v>
      </c>
      <c r="DR42" s="1597">
        <v>0</v>
      </c>
      <c r="DS42" s="1597">
        <f t="shared" ref="DS42" si="607">DT42+DU42</f>
        <v>6888.8680000000004</v>
      </c>
      <c r="DT42" s="1597">
        <f>SUM('цех вода 2023'!BK51)</f>
        <v>6888.8680000000004</v>
      </c>
      <c r="DU42" s="1597">
        <v>0</v>
      </c>
      <c r="DV42" s="2343">
        <f t="shared" ref="DV42" si="608">DW42+DX42</f>
        <v>7635.8470788509903</v>
      </c>
      <c r="DW42" s="2343">
        <f>SUM('цех вода 2023'!BL51)</f>
        <v>7635.8470788509903</v>
      </c>
      <c r="DX42" s="2343">
        <v>0</v>
      </c>
      <c r="DY42" s="3211">
        <f t="shared" ref="DY42" si="609">DZ42+EA42</f>
        <v>0</v>
      </c>
      <c r="DZ42" s="3211">
        <f>SUM('цех вода 2023'!BX51)</f>
        <v>0</v>
      </c>
      <c r="EA42" s="4071">
        <v>0</v>
      </c>
      <c r="EB42" s="2343">
        <f t="shared" ref="EB42" si="610">EC42+ED42</f>
        <v>7635.8470788509903</v>
      </c>
      <c r="EC42" s="2343">
        <f>SUM('цех вода 2023'!BL51)</f>
        <v>7635.8470788509903</v>
      </c>
      <c r="ED42" s="2343">
        <v>0</v>
      </c>
      <c r="EE42" s="2343">
        <f t="shared" ref="EE42" si="611">EF42+EG42</f>
        <v>7704.6551203952667</v>
      </c>
      <c r="EF42" s="2343">
        <f>SUM('цех вода 2023'!BM51)</f>
        <v>7704.6551203952667</v>
      </c>
      <c r="EG42" s="2343">
        <v>0</v>
      </c>
      <c r="EH42" s="3662">
        <f t="shared" ref="EH42" si="612">EI42+EJ42</f>
        <v>4360.1400000000003</v>
      </c>
      <c r="EI42" s="3662">
        <f>SUM('цех вода 2023'!BN51)</f>
        <v>4360.1400000000003</v>
      </c>
      <c r="EJ42" s="3662">
        <v>0</v>
      </c>
      <c r="EK42" s="3662">
        <f t="shared" ref="EK42" si="613">EL42+EM42</f>
        <v>8479.94</v>
      </c>
      <c r="EL42" s="3662">
        <f>SUM('цех вода 2023'!BO51)</f>
        <v>8479.94</v>
      </c>
      <c r="EM42" s="3662">
        <v>0</v>
      </c>
    </row>
    <row r="43" spans="1:143" s="2203" customFormat="1" ht="45" customHeight="1" x14ac:dyDescent="0.2">
      <c r="A43" s="3320" t="s">
        <v>1932</v>
      </c>
      <c r="B43" s="2600"/>
      <c r="C43" s="3315"/>
      <c r="D43" s="1737"/>
      <c r="E43" s="3315"/>
      <c r="F43" s="1737"/>
      <c r="G43" s="3315"/>
      <c r="H43" s="1737"/>
      <c r="I43" s="3292"/>
      <c r="J43" s="3292"/>
      <c r="K43" s="3292"/>
      <c r="L43" s="3292"/>
      <c r="M43" s="3318"/>
      <c r="N43" s="3318"/>
      <c r="O43" s="3292"/>
      <c r="P43" s="3318"/>
      <c r="Q43" s="3319"/>
      <c r="R43" s="3318"/>
      <c r="S43" s="3318"/>
      <c r="T43" s="3292"/>
      <c r="U43" s="3292"/>
      <c r="V43" s="3292"/>
      <c r="W43" s="3292"/>
      <c r="X43" s="3292"/>
      <c r="Y43" s="1601"/>
      <c r="Z43" s="1604"/>
      <c r="AA43" s="1601"/>
      <c r="AB43" s="1604"/>
      <c r="AC43" s="1601"/>
      <c r="AD43" s="1601"/>
      <c r="AE43" s="1601"/>
      <c r="AF43" s="1601"/>
      <c r="AG43" s="1601"/>
      <c r="AH43" s="1590"/>
      <c r="AI43" s="1605"/>
      <c r="AJ43" s="1601"/>
      <c r="AK43" s="1601"/>
      <c r="AL43" s="1590"/>
      <c r="AM43" s="1605"/>
      <c r="AN43" s="1601"/>
      <c r="AO43" s="1601"/>
      <c r="AP43" s="1593"/>
      <c r="AQ43" s="1593"/>
      <c r="AR43" s="1593"/>
      <c r="AS43" s="1593"/>
      <c r="AT43" s="1601"/>
      <c r="AU43" s="1601"/>
      <c r="AV43" s="1601"/>
      <c r="AW43" s="1601"/>
      <c r="AX43" s="1601"/>
      <c r="AY43" s="1601"/>
      <c r="AZ43" s="1601"/>
      <c r="BA43" s="1606"/>
      <c r="BB43" s="1601"/>
      <c r="BC43" s="1601"/>
      <c r="BD43" s="1601"/>
      <c r="BE43" s="1601"/>
      <c r="BF43" s="1601"/>
      <c r="BG43" s="1601"/>
      <c r="BH43" s="1601"/>
      <c r="BI43" s="1601"/>
      <c r="BJ43" s="1601"/>
      <c r="BK43" s="1601"/>
      <c r="BL43" s="1601"/>
      <c r="BM43" s="1601"/>
      <c r="BN43" s="1601"/>
      <c r="BO43" s="1601"/>
      <c r="BP43" s="1601">
        <f>SUM(BQ43:BR43)</f>
        <v>633.24599999999998</v>
      </c>
      <c r="BQ43" s="1601">
        <f>SUM(BQ44:BQ51)-BQ50</f>
        <v>633.24599999999998</v>
      </c>
      <c r="BR43" s="1601">
        <f>SUM(BR44:BR51)-BR50</f>
        <v>0</v>
      </c>
      <c r="BS43" s="1601">
        <f>BS44+BS45+BS47+BS48+BS49</f>
        <v>8975.7000000000007</v>
      </c>
      <c r="BT43" s="1601">
        <f t="shared" ref="BT43:BX43" si="614">BT44+BT45+BT47+BT48+BT49</f>
        <v>8975.7000000000007</v>
      </c>
      <c r="BU43" s="1601">
        <f t="shared" si="614"/>
        <v>0</v>
      </c>
      <c r="BV43" s="1601">
        <f>BV44+BV45+BV47+BV48+BV49</f>
        <v>4606.540798384136</v>
      </c>
      <c r="BW43" s="1601">
        <f t="shared" si="614"/>
        <v>4606.540798384136</v>
      </c>
      <c r="BX43" s="1601">
        <f t="shared" si="614"/>
        <v>0</v>
      </c>
      <c r="BY43" s="1601">
        <f>BY44+BY45+BY47+BY48+BY49</f>
        <v>4837.3345563558723</v>
      </c>
      <c r="BZ43" s="1601">
        <f t="shared" ref="BZ43:CA43" si="615">BZ44+BZ45+BZ47+BZ48+BZ49</f>
        <v>4837.3345563558723</v>
      </c>
      <c r="CA43" s="1601">
        <f t="shared" si="615"/>
        <v>0</v>
      </c>
      <c r="CB43" s="3169"/>
      <c r="CC43" s="3321"/>
      <c r="CD43" s="3321"/>
      <c r="CE43" s="3321"/>
      <c r="CF43" s="1601">
        <f>CF44+CF45+CF47+CF48+CF49</f>
        <v>4912.117968725468</v>
      </c>
      <c r="CG43" s="1601">
        <f t="shared" ref="CG43:CH43" si="616">CG44+CG45+CG47+CG48+CG49</f>
        <v>4912.117968725468</v>
      </c>
      <c r="CH43" s="1601">
        <f t="shared" si="616"/>
        <v>0</v>
      </c>
      <c r="CI43" s="1601">
        <f>CI44+CI45+CI47+CI48+CI49</f>
        <v>3278.7638716000001</v>
      </c>
      <c r="CJ43" s="1601">
        <f t="shared" ref="CJ43:CK43" si="617">CJ44+CJ45+CJ47+CJ48+CJ49</f>
        <v>3278.7638716000001</v>
      </c>
      <c r="CK43" s="1601">
        <f t="shared" si="617"/>
        <v>0</v>
      </c>
      <c r="CL43" s="1601">
        <f>CL44+CL45+CL46+CL47+CL48+CL49</f>
        <v>5524.1615715999997</v>
      </c>
      <c r="CM43" s="1601">
        <f>CM44+CM45+CM46+CM47+CM48+CM49</f>
        <v>5524.1615715999997</v>
      </c>
      <c r="CN43" s="1601">
        <f t="shared" ref="CN43" si="618">CN44+CN45+CN47+CN48+CN49</f>
        <v>0</v>
      </c>
      <c r="CO43" s="1601">
        <f>CO44+CO45+CO46+CO47+CO48+CO49</f>
        <v>7352.5558823999991</v>
      </c>
      <c r="CP43" s="1601">
        <f>CP44+CP45+CP46+CP47+CP48+CP49</f>
        <v>7352.5558823999991</v>
      </c>
      <c r="CQ43" s="1601">
        <f t="shared" ref="CQ43" si="619">CQ44+CQ45+CQ47+CQ48+CQ49</f>
        <v>0</v>
      </c>
      <c r="CR43" s="1601">
        <f>CR44+CR45+CR46+CR47+CR48+CR49</f>
        <v>5849.2214513766676</v>
      </c>
      <c r="CS43" s="1601">
        <f>CS44+CS45+CS46+CS47+CS48+CS49</f>
        <v>5849.2214513766676</v>
      </c>
      <c r="CT43" s="1601">
        <f t="shared" ref="CT43" si="620">CT44+CT45+CT47+CT48+CT49</f>
        <v>0</v>
      </c>
      <c r="CU43" s="1601">
        <f>CU44+CU45+CU46+CU47+CU48+CU49</f>
        <v>3635.3303517730242</v>
      </c>
      <c r="CV43" s="1601">
        <f>CV44+CV45+CV46+CV47+CV48+CV49</f>
        <v>3635.3303517730242</v>
      </c>
      <c r="CW43" s="1601">
        <f t="shared" ref="CW43" si="621">CW44+CW45+CW47+CW48+CW49</f>
        <v>0</v>
      </c>
      <c r="CX43" s="1601">
        <f>CX44+CX45+CX47+CX48+CX49</f>
        <v>3567.0953525999998</v>
      </c>
      <c r="CY43" s="1601">
        <f t="shared" ref="CY43:CZ43" si="622">CY44+CY45+CY47+CY48+CY49</f>
        <v>3567.0953525999998</v>
      </c>
      <c r="CZ43" s="1601">
        <f t="shared" si="622"/>
        <v>0</v>
      </c>
      <c r="DA43" s="1601">
        <f>DA44+DA45+DA46+DA47+DA48+DA49</f>
        <v>5236.8335504999995</v>
      </c>
      <c r="DB43" s="1601">
        <f>DB44+DB45+DB46+DB47+DB48+DB49</f>
        <v>5236.8335504999995</v>
      </c>
      <c r="DC43" s="1601">
        <f t="shared" ref="DC43" si="623">DC44+DC45+DC47+DC48+DC49</f>
        <v>0</v>
      </c>
      <c r="DD43" s="1601">
        <f>DD44+DD45+DD46+DD47+DD48+DD49</f>
        <v>6934.9100079999989</v>
      </c>
      <c r="DE43" s="1601">
        <f>DE44+DE45+DE46+DE47+DE48+DE49</f>
        <v>6934.9100079999989</v>
      </c>
      <c r="DF43" s="1601">
        <f t="shared" ref="DF43" si="624">DF44+DF45+DF47+DF48+DF49</f>
        <v>0</v>
      </c>
      <c r="DG43" s="3682">
        <f>DG44+DG45+DG46+DG47+DG48+DG49</f>
        <v>5277.4055111732105</v>
      </c>
      <c r="DH43" s="3682">
        <f>DH44+DH45+DH46+DH47+DH48+DH49</f>
        <v>5277.4055111732105</v>
      </c>
      <c r="DI43" s="3682">
        <f t="shared" ref="DI43" si="625">DI44+DI45+DI47+DI48+DI49</f>
        <v>0</v>
      </c>
      <c r="DJ43" s="3682">
        <f>DJ44+DJ45+DJ46+DJ47+DJ48+DJ49</f>
        <v>3900.516024159409</v>
      </c>
      <c r="DK43" s="3682">
        <f>DK44+DK45+DK46+DK47+DK48+DK49</f>
        <v>3900.516024159409</v>
      </c>
      <c r="DL43" s="3682">
        <f t="shared" ref="DL43" si="626">DL44+DL45+DL47+DL48+DL49</f>
        <v>0</v>
      </c>
      <c r="DM43" s="3682">
        <f>DM44+DM45+DM46+DM47+DM48+DM49</f>
        <v>3552.4322829999996</v>
      </c>
      <c r="DN43" s="3682">
        <f>DN44+DN45+DN46+DN47+DN48+DN49</f>
        <v>3552.4322829999996</v>
      </c>
      <c r="DO43" s="3682">
        <f t="shared" ref="DO43" si="627">DO44+DO45+DO47+DO48+DO49</f>
        <v>0</v>
      </c>
      <c r="DP43" s="3682">
        <f>DP44+DP45+DP46+DP47+DP48+DP49</f>
        <v>5258.8688536</v>
      </c>
      <c r="DQ43" s="3682">
        <f>DQ44+DQ45+DQ46+DQ47+DQ48+DQ49</f>
        <v>5258.8688536</v>
      </c>
      <c r="DR43" s="3682">
        <f t="shared" ref="DR43" si="628">DR44+DR45+DR47+DR48+DR49</f>
        <v>0</v>
      </c>
      <c r="DS43" s="3682">
        <f>DS44+DS45+DS46+DS47+DS48+DS49</f>
        <v>7094.6968488000002</v>
      </c>
      <c r="DT43" s="3682">
        <f>DT44+DT45+DT46+DT47+DT48+DT49</f>
        <v>7094.6968488000002</v>
      </c>
      <c r="DU43" s="3682">
        <f t="shared" ref="DU43" si="629">DU44+DU45+DU47+DU48+DU49</f>
        <v>0</v>
      </c>
      <c r="DV43" s="2346">
        <f>DV44+DV45+DV46+DV47+DV48+DV49</f>
        <v>5500.5104120692831</v>
      </c>
      <c r="DW43" s="2346">
        <f>DW44+DW45+DW46+DW47+DW48+DW49</f>
        <v>5500.5104120692831</v>
      </c>
      <c r="DX43" s="2346">
        <f t="shared" ref="DX43" si="630">DX44+DX45+DX47+DX48+DX49</f>
        <v>0</v>
      </c>
      <c r="DY43" s="3212">
        <f>DY44+DY45+DY46+DY47+DY48+DY49</f>
        <v>3819.5138895232035</v>
      </c>
      <c r="DZ43" s="3212">
        <f>DZ44+DZ45+DZ46+DZ47+DZ48+DZ49</f>
        <v>3819.5138895232035</v>
      </c>
      <c r="EA43" s="4073">
        <f t="shared" ref="EA43" si="631">EA44+EA45+EA47+EA48+EA49</f>
        <v>0</v>
      </c>
      <c r="EB43" s="2346">
        <f>EB44+EB45+EB46+EB47+EB48+EB49</f>
        <v>5500.5104120692831</v>
      </c>
      <c r="EC43" s="2346">
        <f>EC44+EC45+EC46+EC47+EC48+EC49</f>
        <v>5500.5104120692831</v>
      </c>
      <c r="ED43" s="2346">
        <f t="shared" ref="ED43" si="632">ED44+ED45+ED47+ED48+ED49</f>
        <v>0</v>
      </c>
      <c r="EE43" s="2346">
        <f>EE44+EE45+EE46+EE47+EE48+EE49</f>
        <v>4061.7489383612137</v>
      </c>
      <c r="EF43" s="2346">
        <f>EF44+EF45+EF46+EF47+EF48+EF49</f>
        <v>4061.7489383612137</v>
      </c>
      <c r="EG43" s="2346">
        <f t="shared" ref="EG43" si="633">EG44+EG45+EG47+EG48+EG49</f>
        <v>0</v>
      </c>
      <c r="EH43" s="4834">
        <f>EH44+EH45+EH46+EH47+EH48+EH49</f>
        <v>4071.2294558999997</v>
      </c>
      <c r="EI43" s="4834">
        <f>EI44+EI45+EI46+EI47+EI48+EI49</f>
        <v>4071.2294558999997</v>
      </c>
      <c r="EJ43" s="4834">
        <f t="shared" ref="EJ43" si="634">EJ44+EJ45+EJ47+EJ48+EJ49</f>
        <v>0</v>
      </c>
      <c r="EK43" s="4834">
        <f>EK44+EK45+EK46+EK47+EK48+EK49</f>
        <v>6790.0169175000001</v>
      </c>
      <c r="EL43" s="4834">
        <f>EL44+EL45+EL46+EL47+EL48+EL49</f>
        <v>6790.0169175000001</v>
      </c>
      <c r="EM43" s="4834">
        <f t="shared" ref="EM43" si="635">EM44+EM45+EM47+EM48+EM49</f>
        <v>0</v>
      </c>
    </row>
    <row r="44" spans="1:143" s="565" customFormat="1" ht="22.5" customHeight="1" x14ac:dyDescent="0.2">
      <c r="A44" s="3214" t="s">
        <v>2</v>
      </c>
      <c r="B44" s="3289"/>
      <c r="C44" s="2110"/>
      <c r="D44" s="3079"/>
      <c r="E44" s="2110"/>
      <c r="F44" s="3079"/>
      <c r="G44" s="2110"/>
      <c r="H44" s="3079"/>
      <c r="I44" s="3291"/>
      <c r="J44" s="3291"/>
      <c r="K44" s="3291"/>
      <c r="L44" s="3291"/>
      <c r="M44" s="3308"/>
      <c r="N44" s="3308"/>
      <c r="O44" s="3291"/>
      <c r="P44" s="3308"/>
      <c r="Q44" s="3309"/>
      <c r="R44" s="3308"/>
      <c r="S44" s="3308"/>
      <c r="T44" s="3291"/>
      <c r="U44" s="3291"/>
      <c r="V44" s="3291"/>
      <c r="W44" s="3291"/>
      <c r="X44" s="3291"/>
      <c r="Y44" s="1597"/>
      <c r="Z44" s="1591"/>
      <c r="AA44" s="1597"/>
      <c r="AB44" s="1591"/>
      <c r="AC44" s="1597"/>
      <c r="AD44" s="1597"/>
      <c r="AE44" s="1597"/>
      <c r="AF44" s="1597"/>
      <c r="AG44" s="1597"/>
      <c r="AH44" s="1598"/>
      <c r="AI44" s="1592"/>
      <c r="AJ44" s="1597"/>
      <c r="AK44" s="1597"/>
      <c r="AL44" s="1598"/>
      <c r="AM44" s="1592"/>
      <c r="AN44" s="1597"/>
      <c r="AO44" s="1597"/>
      <c r="AP44" s="2202"/>
      <c r="AQ44" s="2202"/>
      <c r="AR44" s="2202"/>
      <c r="AS44" s="2202"/>
      <c r="AT44" s="1597"/>
      <c r="AU44" s="1597"/>
      <c r="AV44" s="1597"/>
      <c r="AW44" s="1597"/>
      <c r="AX44" s="1597"/>
      <c r="AY44" s="1597"/>
      <c r="AZ44" s="1597"/>
      <c r="BA44" s="1594"/>
      <c r="BB44" s="1597"/>
      <c r="BC44" s="1597"/>
      <c r="BD44" s="1597"/>
      <c r="BE44" s="1597"/>
      <c r="BF44" s="1597"/>
      <c r="BG44" s="1597"/>
      <c r="BH44" s="1597"/>
      <c r="BI44" s="1597"/>
      <c r="BJ44" s="1597"/>
      <c r="BK44" s="1597"/>
      <c r="BL44" s="1597"/>
      <c r="BM44" s="1597"/>
      <c r="BN44" s="1597"/>
      <c r="BO44" s="1597"/>
      <c r="BP44" s="1598">
        <f t="shared" ref="BP44:BP51" si="636">SUM(BQ44+BR44)</f>
        <v>330.7</v>
      </c>
      <c r="BQ44" s="1597">
        <v>330.7</v>
      </c>
      <c r="BR44" s="1597"/>
      <c r="BS44" s="1597">
        <v>2766.9</v>
      </c>
      <c r="BT44" s="1597">
        <f>BS44</f>
        <v>2766.9</v>
      </c>
      <c r="BU44" s="1597"/>
      <c r="BV44" s="1597">
        <f>BW44</f>
        <v>0</v>
      </c>
      <c r="BW44" s="1597">
        <f>Аморт!AM11</f>
        <v>0</v>
      </c>
      <c r="BX44" s="1597"/>
      <c r="BY44" s="1597">
        <f>BZ44</f>
        <v>0</v>
      </c>
      <c r="BZ44" s="1597">
        <f>SUM(Аморт!AS11)</f>
        <v>0</v>
      </c>
      <c r="CA44" s="1597">
        <v>0</v>
      </c>
      <c r="CB44" s="3286"/>
      <c r="CC44" s="365"/>
      <c r="CD44" s="365"/>
      <c r="CE44" s="365"/>
      <c r="CF44" s="1597">
        <f>CG44</f>
        <v>0</v>
      </c>
      <c r="CG44" s="1597">
        <f>SUM(Аморт!AT11)</f>
        <v>0</v>
      </c>
      <c r="CH44" s="1597">
        <v>0</v>
      </c>
      <c r="CI44" s="1597">
        <f t="shared" ref="CI44:CI48" si="637">CJ44+CK44</f>
        <v>1984.2</v>
      </c>
      <c r="CJ44" s="1597">
        <f>SUM(Аморт!AV11)</f>
        <v>1984.2</v>
      </c>
      <c r="CK44" s="1597">
        <v>0</v>
      </c>
      <c r="CL44" s="1597">
        <f t="shared" ref="CL44:CL48" si="638">CM44+CN44</f>
        <v>2976.3</v>
      </c>
      <c r="CM44" s="1597">
        <f>SUM(Аморт!AY11)</f>
        <v>2976.3</v>
      </c>
      <c r="CN44" s="1597">
        <v>0</v>
      </c>
      <c r="CO44" s="1597">
        <f t="shared" ref="CO44:CO48" si="639">CP44+CQ44</f>
        <v>3968.43</v>
      </c>
      <c r="CP44" s="1597">
        <f>SUM(Аморт!BB11)</f>
        <v>3968.43</v>
      </c>
      <c r="CQ44" s="1597">
        <v>0</v>
      </c>
      <c r="CR44" s="1597">
        <f t="shared" ref="CR44:CR49" si="640">CS44+CT44</f>
        <v>0</v>
      </c>
      <c r="CS44" s="1597">
        <f>SUM(Аморт!BE11)</f>
        <v>0</v>
      </c>
      <c r="CT44" s="1597">
        <v>0</v>
      </c>
      <c r="CU44" s="1597">
        <f t="shared" ref="CU44:CU49" si="641">CV44+CW44</f>
        <v>0</v>
      </c>
      <c r="CV44" s="1597">
        <f>SUM(Аморт!BE11)</f>
        <v>0</v>
      </c>
      <c r="CW44" s="1597">
        <v>0</v>
      </c>
      <c r="CX44" s="1597">
        <f t="shared" ref="CX44:CX49" si="642">CY44+CZ44</f>
        <v>1984.2058999999999</v>
      </c>
      <c r="CY44" s="1597">
        <f>SUM(Аморт!BJ11)</f>
        <v>1984.2058999999999</v>
      </c>
      <c r="CZ44" s="1597">
        <v>0</v>
      </c>
      <c r="DA44" s="1597">
        <f t="shared" ref="DA44:DA49" si="643">DB44+DC44</f>
        <v>2976.3049999999998</v>
      </c>
      <c r="DB44" s="1597">
        <f>SUM(Аморт!BM11)</f>
        <v>2976.3049999999998</v>
      </c>
      <c r="DC44" s="1597">
        <v>0</v>
      </c>
      <c r="DD44" s="1597">
        <f t="shared" ref="DD44:DD49" si="644">DE44+DF44</f>
        <v>3968.43</v>
      </c>
      <c r="DE44" s="1597">
        <f>SUM(Аморт!BP11)</f>
        <v>3968.43</v>
      </c>
      <c r="DF44" s="1597">
        <v>0</v>
      </c>
      <c r="DG44" s="1597">
        <f t="shared" ref="DG44:DG49" si="645">DH44+DI44</f>
        <v>0</v>
      </c>
      <c r="DH44" s="1597">
        <f>SUM(Аморт!BR11)</f>
        <v>0</v>
      </c>
      <c r="DI44" s="1597">
        <v>0</v>
      </c>
      <c r="DJ44" s="1597">
        <f t="shared" ref="DJ44:DJ49" si="646">DK44+DL44</f>
        <v>0</v>
      </c>
      <c r="DK44" s="1597">
        <f>SUM(Аморт!BS11)</f>
        <v>0</v>
      </c>
      <c r="DL44" s="1597">
        <v>0</v>
      </c>
      <c r="DM44" s="1597">
        <f t="shared" ref="DM44:DM49" si="647">DN44+DO44</f>
        <v>1984.2</v>
      </c>
      <c r="DN44" s="1597">
        <f>SUM(Аморт!BU11)</f>
        <v>1984.2</v>
      </c>
      <c r="DO44" s="1597">
        <v>0</v>
      </c>
      <c r="DP44" s="1597">
        <f t="shared" ref="DP44:DP49" si="648">DQ44+DR44</f>
        <v>2976.31</v>
      </c>
      <c r="DQ44" s="1597">
        <f>SUM(Аморт!BX11)</f>
        <v>2976.31</v>
      </c>
      <c r="DR44" s="1597">
        <v>0</v>
      </c>
      <c r="DS44" s="1597">
        <f t="shared" ref="DS44:DS49" si="649">DT44+DU44</f>
        <v>3968.43</v>
      </c>
      <c r="DT44" s="1597">
        <f>SUM(Аморт!CA11)</f>
        <v>3968.43</v>
      </c>
      <c r="DU44" s="1597">
        <v>0</v>
      </c>
      <c r="DV44" s="2343">
        <f t="shared" ref="DV44:DV49" si="650">DW44+DX44</f>
        <v>0</v>
      </c>
      <c r="DW44" s="2343">
        <f>SUM(Аморт!CC11)</f>
        <v>0</v>
      </c>
      <c r="DX44" s="2343">
        <v>0</v>
      </c>
      <c r="DY44" s="3211">
        <f t="shared" ref="DY44:DY49" si="651">DZ44+EA44</f>
        <v>0</v>
      </c>
      <c r="DZ44" s="3211">
        <f>SUM(Аморт!CG11)</f>
        <v>0</v>
      </c>
      <c r="EA44" s="4071">
        <v>0</v>
      </c>
      <c r="EB44" s="2343">
        <f t="shared" ref="EB44:EB49" si="652">EC44+ED44</f>
        <v>0</v>
      </c>
      <c r="EC44" s="2343">
        <f>SUM(Аморт!CC11)</f>
        <v>0</v>
      </c>
      <c r="ED44" s="2343">
        <v>0</v>
      </c>
      <c r="EE44" s="2343">
        <f t="shared" ref="EE44:EE49" si="653">EF44+EG44</f>
        <v>0</v>
      </c>
      <c r="EF44" s="2343">
        <f>SUM(Аморт!CD11)</f>
        <v>0</v>
      </c>
      <c r="EG44" s="2343">
        <v>0</v>
      </c>
      <c r="EH44" s="3662">
        <f t="shared" ref="EH44:EH49" si="654">EI44+EJ44</f>
        <v>1984.212</v>
      </c>
      <c r="EI44" s="3662">
        <f>SUM(Аморт!CE11)</f>
        <v>1984.212</v>
      </c>
      <c r="EJ44" s="3662">
        <v>0</v>
      </c>
      <c r="EK44" s="3662">
        <f t="shared" ref="EK44:EK49" si="655">EL44+EM44</f>
        <v>3968.4250000000002</v>
      </c>
      <c r="EL44" s="3662">
        <f>SUM(Аморт!CF11)</f>
        <v>3968.4250000000002</v>
      </c>
      <c r="EM44" s="3662">
        <v>0</v>
      </c>
    </row>
    <row r="45" spans="1:143" s="565" customFormat="1" ht="21" customHeight="1" x14ac:dyDescent="0.2">
      <c r="A45" s="3214" t="s">
        <v>1</v>
      </c>
      <c r="B45" s="3289"/>
      <c r="C45" s="2110"/>
      <c r="D45" s="3079"/>
      <c r="E45" s="2110"/>
      <c r="F45" s="3079"/>
      <c r="G45" s="2110"/>
      <c r="H45" s="3079"/>
      <c r="I45" s="3291"/>
      <c r="J45" s="3291"/>
      <c r="K45" s="3291"/>
      <c r="L45" s="3291"/>
      <c r="M45" s="3308"/>
      <c r="N45" s="3308"/>
      <c r="O45" s="3291"/>
      <c r="P45" s="3308"/>
      <c r="Q45" s="3309"/>
      <c r="R45" s="3308"/>
      <c r="S45" s="3308"/>
      <c r="T45" s="3291"/>
      <c r="U45" s="3291"/>
      <c r="V45" s="3291"/>
      <c r="W45" s="3291"/>
      <c r="X45" s="3291"/>
      <c r="Y45" s="1597"/>
      <c r="Z45" s="1591"/>
      <c r="AA45" s="1597"/>
      <c r="AB45" s="1591"/>
      <c r="AC45" s="1597"/>
      <c r="AD45" s="1597"/>
      <c r="AE45" s="1597"/>
      <c r="AF45" s="1597"/>
      <c r="AG45" s="1597"/>
      <c r="AH45" s="1598"/>
      <c r="AI45" s="1592"/>
      <c r="AJ45" s="1597"/>
      <c r="AK45" s="1597"/>
      <c r="AL45" s="1598"/>
      <c r="AM45" s="1592"/>
      <c r="AN45" s="1597"/>
      <c r="AO45" s="1597"/>
      <c r="AP45" s="2202"/>
      <c r="AQ45" s="2202"/>
      <c r="AR45" s="2202"/>
      <c r="AS45" s="2202"/>
      <c r="AT45" s="1597"/>
      <c r="AU45" s="1597"/>
      <c r="AV45" s="1597"/>
      <c r="AW45" s="1597"/>
      <c r="AX45" s="1597"/>
      <c r="AY45" s="1597"/>
      <c r="AZ45" s="1597"/>
      <c r="BA45" s="1594"/>
      <c r="BB45" s="1597"/>
      <c r="BC45" s="1597"/>
      <c r="BD45" s="1597"/>
      <c r="BE45" s="1597"/>
      <c r="BF45" s="1597"/>
      <c r="BG45" s="1597"/>
      <c r="BH45" s="1597"/>
      <c r="BI45" s="1597"/>
      <c r="BJ45" s="1597"/>
      <c r="BK45" s="1597"/>
      <c r="BL45" s="1597"/>
      <c r="BM45" s="1597"/>
      <c r="BN45" s="1597"/>
      <c r="BO45" s="1597"/>
      <c r="BP45" s="1598">
        <f t="shared" si="636"/>
        <v>71.11</v>
      </c>
      <c r="BQ45" s="1597">
        <v>71.11</v>
      </c>
      <c r="BR45" s="1597"/>
      <c r="BS45" s="1597">
        <v>1504.3</v>
      </c>
      <c r="BT45" s="1597">
        <f t="shared" ref="BT45:BT49" si="656">BS45</f>
        <v>1504.3</v>
      </c>
      <c r="BU45" s="1597"/>
      <c r="BV45" s="1597">
        <f t="shared" ref="BV45:BV49" si="657">BW45</f>
        <v>1307.865</v>
      </c>
      <c r="BW45" s="1597">
        <f>'ЭЭ вода'!T27</f>
        <v>1307.865</v>
      </c>
      <c r="BX45" s="1597"/>
      <c r="BY45" s="1597">
        <f t="shared" ref="BY45:BY48" si="658">BZ45</f>
        <v>1362.7953299999999</v>
      </c>
      <c r="BZ45" s="1597">
        <f>SUM('ЭЭ вода'!Z27)</f>
        <v>1362.7953299999999</v>
      </c>
      <c r="CA45" s="1597">
        <v>0</v>
      </c>
      <c r="CB45" s="3286"/>
      <c r="CC45" s="365"/>
      <c r="CD45" s="365"/>
      <c r="CE45" s="365"/>
      <c r="CF45" s="1597">
        <f t="shared" ref="CF45" si="659">CG45</f>
        <v>1542.7195983333334</v>
      </c>
      <c r="CG45" s="1597">
        <f>SUM('ЭЭ вода'!AE27)</f>
        <v>1542.7195983333334</v>
      </c>
      <c r="CH45" s="1597">
        <v>0</v>
      </c>
      <c r="CI45" s="1597">
        <f t="shared" si="637"/>
        <v>75.982299999999995</v>
      </c>
      <c r="CJ45" s="1597">
        <f>SUM('ЭЭ вода'!AF27)</f>
        <v>75.982299999999995</v>
      </c>
      <c r="CK45" s="1597">
        <v>0</v>
      </c>
      <c r="CL45" s="1597">
        <f t="shared" si="638"/>
        <v>183.75</v>
      </c>
      <c r="CM45" s="1597">
        <f>SUM('ЭЭ вода'!AG27)</f>
        <v>183.75</v>
      </c>
      <c r="CN45" s="1597">
        <v>0</v>
      </c>
      <c r="CO45" s="1597">
        <f t="shared" si="639"/>
        <v>344.77</v>
      </c>
      <c r="CP45" s="1597">
        <f>SUM('ЭЭ вода'!AH27)</f>
        <v>344.77</v>
      </c>
      <c r="CQ45" s="1597">
        <v>0</v>
      </c>
      <c r="CR45" s="1597">
        <f t="shared" si="640"/>
        <v>1613.6846998566668</v>
      </c>
      <c r="CS45" s="1597">
        <f>SUM('ЭЭ вода'!AI27)</f>
        <v>1613.6846998566668</v>
      </c>
      <c r="CT45" s="1597">
        <v>0</v>
      </c>
      <c r="CU45" s="1597">
        <f t="shared" si="641"/>
        <v>409.53658158304779</v>
      </c>
      <c r="CV45" s="1597">
        <f>SUM('ЭЭ вода'!AJ27)</f>
        <v>409.53658158304779</v>
      </c>
      <c r="CW45" s="1597">
        <v>0</v>
      </c>
      <c r="CX45" s="1597">
        <f t="shared" si="642"/>
        <v>265.08638999999999</v>
      </c>
      <c r="CY45" s="1597">
        <f>SUM('ЭЭ вода'!AK27)</f>
        <v>265.08638999999999</v>
      </c>
      <c r="CZ45" s="1597">
        <v>0</v>
      </c>
      <c r="DA45" s="1597">
        <f t="shared" si="643"/>
        <v>408.61</v>
      </c>
      <c r="DB45" s="1597">
        <f>SUM('ЭЭ вода'!AL27)</f>
        <v>408.61</v>
      </c>
      <c r="DC45" s="1597">
        <v>0</v>
      </c>
      <c r="DD45" s="1597">
        <f t="shared" si="644"/>
        <v>548.697</v>
      </c>
      <c r="DE45" s="1597">
        <f>SUM('ЭЭ вода'!AM27)</f>
        <v>548.697</v>
      </c>
      <c r="DF45" s="1597">
        <v>0</v>
      </c>
      <c r="DG45" s="1597">
        <f t="shared" si="645"/>
        <v>615.24658192720915</v>
      </c>
      <c r="DH45" s="1597">
        <f>SUM('ЭЭ вода'!AN27)</f>
        <v>615.24658192720915</v>
      </c>
      <c r="DI45" s="1597">
        <v>0</v>
      </c>
      <c r="DJ45" s="1597">
        <f t="shared" si="646"/>
        <v>410.71104290203999</v>
      </c>
      <c r="DK45" s="1597">
        <f>SUM('ЭЭ вода'!AO27)</f>
        <v>410.71104290203999</v>
      </c>
      <c r="DL45" s="1597">
        <v>0</v>
      </c>
      <c r="DM45" s="1597">
        <f t="shared" si="647"/>
        <v>278.31993</v>
      </c>
      <c r="DN45" s="1597">
        <f>SUM('ЭЭ вода'!AP27)</f>
        <v>278.31993</v>
      </c>
      <c r="DO45" s="1597">
        <v>0</v>
      </c>
      <c r="DP45" s="1597">
        <f t="shared" si="648"/>
        <v>430.06450000000001</v>
      </c>
      <c r="DQ45" s="1597">
        <f>SUM('ЭЭ вода'!AQ27)</f>
        <v>430.06450000000001</v>
      </c>
      <c r="DR45" s="1597">
        <v>0</v>
      </c>
      <c r="DS45" s="1597">
        <f t="shared" si="649"/>
        <v>568.46</v>
      </c>
      <c r="DT45" s="1597">
        <f>SUM('ЭЭ вода'!AR27)</f>
        <v>568.46</v>
      </c>
      <c r="DU45" s="1597">
        <v>0</v>
      </c>
      <c r="DV45" s="2343">
        <f t="shared" si="650"/>
        <v>862.49319009428405</v>
      </c>
      <c r="DW45" s="2343">
        <f>SUM('ЭЭ вода'!AS27)</f>
        <v>862.49319009428405</v>
      </c>
      <c r="DX45" s="2343">
        <v>0</v>
      </c>
      <c r="DY45" s="3211">
        <f t="shared" si="651"/>
        <v>0</v>
      </c>
      <c r="DZ45" s="3211">
        <f>SUM('ЭЭ вода'!BD27)</f>
        <v>0</v>
      </c>
      <c r="EA45" s="4071">
        <v>0</v>
      </c>
      <c r="EB45" s="2343">
        <f t="shared" si="652"/>
        <v>862.49319009428405</v>
      </c>
      <c r="EC45" s="2343">
        <f>SUM('ЭЭ вода'!AS27)</f>
        <v>862.49319009428405</v>
      </c>
      <c r="ED45" s="2343">
        <v>0</v>
      </c>
      <c r="EE45" s="2343">
        <f t="shared" si="653"/>
        <v>0</v>
      </c>
      <c r="EF45" s="2343">
        <f>SUM('ЭЭ вода'!AT27)</f>
        <v>0</v>
      </c>
      <c r="EG45" s="2343">
        <v>0</v>
      </c>
      <c r="EH45" s="3662">
        <f t="shared" si="654"/>
        <v>284.04599999999999</v>
      </c>
      <c r="EI45" s="3662">
        <v>284.04599999999999</v>
      </c>
      <c r="EJ45" s="3662">
        <v>0</v>
      </c>
      <c r="EK45" s="3662">
        <f t="shared" si="655"/>
        <v>591.02499999999998</v>
      </c>
      <c r="EL45" s="3662">
        <v>591.02499999999998</v>
      </c>
      <c r="EM45" s="3662">
        <v>0</v>
      </c>
    </row>
    <row r="46" spans="1:143" s="565" customFormat="1" ht="21" customHeight="1" x14ac:dyDescent="0.2">
      <c r="A46" s="3214" t="s">
        <v>9</v>
      </c>
      <c r="B46" s="3289"/>
      <c r="C46" s="2110"/>
      <c r="D46" s="3079"/>
      <c r="E46" s="2110"/>
      <c r="F46" s="3079"/>
      <c r="G46" s="2110"/>
      <c r="H46" s="3079"/>
      <c r="I46" s="3291"/>
      <c r="J46" s="3291"/>
      <c r="K46" s="3291"/>
      <c r="L46" s="3291"/>
      <c r="M46" s="3308"/>
      <c r="N46" s="3308"/>
      <c r="O46" s="3291"/>
      <c r="P46" s="3308"/>
      <c r="Q46" s="3309"/>
      <c r="R46" s="3308"/>
      <c r="S46" s="3308"/>
      <c r="T46" s="3291"/>
      <c r="U46" s="3291"/>
      <c r="V46" s="3291"/>
      <c r="W46" s="3291"/>
      <c r="X46" s="3291"/>
      <c r="Y46" s="1597"/>
      <c r="Z46" s="1591"/>
      <c r="AA46" s="1597"/>
      <c r="AB46" s="1591"/>
      <c r="AC46" s="1597"/>
      <c r="AD46" s="1597"/>
      <c r="AE46" s="1597"/>
      <c r="AF46" s="1597"/>
      <c r="AG46" s="1597"/>
      <c r="AH46" s="1598"/>
      <c r="AI46" s="1592"/>
      <c r="AJ46" s="1597"/>
      <c r="AK46" s="1597"/>
      <c r="AL46" s="1598"/>
      <c r="AM46" s="1592"/>
      <c r="AN46" s="1597"/>
      <c r="AO46" s="1597"/>
      <c r="AP46" s="2202"/>
      <c r="AQ46" s="2202"/>
      <c r="AR46" s="2202"/>
      <c r="AS46" s="2202"/>
      <c r="AT46" s="1597"/>
      <c r="AU46" s="1597"/>
      <c r="AV46" s="1597"/>
      <c r="AW46" s="1597"/>
      <c r="AX46" s="1597"/>
      <c r="AY46" s="1597"/>
      <c r="AZ46" s="1597"/>
      <c r="BA46" s="1594"/>
      <c r="BB46" s="1597"/>
      <c r="BC46" s="1597"/>
      <c r="BD46" s="1597"/>
      <c r="BE46" s="1597"/>
      <c r="BF46" s="1597"/>
      <c r="BG46" s="1597"/>
      <c r="BH46" s="1597"/>
      <c r="BI46" s="1597"/>
      <c r="BJ46" s="1597"/>
      <c r="BK46" s="1597"/>
      <c r="BL46" s="1597"/>
      <c r="BM46" s="1597"/>
      <c r="BN46" s="1597"/>
      <c r="BO46" s="1597"/>
      <c r="BP46" s="1598">
        <f t="shared" si="636"/>
        <v>1.36</v>
      </c>
      <c r="BQ46" s="1597">
        <v>1.36</v>
      </c>
      <c r="BR46" s="1597"/>
      <c r="BS46" s="1597"/>
      <c r="BT46" s="1597"/>
      <c r="BU46" s="1597"/>
      <c r="BV46" s="1597"/>
      <c r="BW46" s="1597"/>
      <c r="BX46" s="1597"/>
      <c r="BY46" s="1597"/>
      <c r="BZ46" s="1597"/>
      <c r="CA46" s="1597"/>
      <c r="CB46" s="3286"/>
      <c r="CC46" s="365"/>
      <c r="CD46" s="365"/>
      <c r="CE46" s="365"/>
      <c r="CF46" s="1597">
        <v>0</v>
      </c>
      <c r="CG46" s="1597">
        <v>0</v>
      </c>
      <c r="CH46" s="1597">
        <v>0</v>
      </c>
      <c r="CI46" s="1597">
        <f t="shared" si="637"/>
        <v>0</v>
      </c>
      <c r="CJ46" s="1597">
        <v>0</v>
      </c>
      <c r="CK46" s="1597">
        <v>0</v>
      </c>
      <c r="CL46" s="1597">
        <f t="shared" si="638"/>
        <v>557.87</v>
      </c>
      <c r="CM46" s="1597">
        <v>557.87</v>
      </c>
      <c r="CN46" s="1597">
        <v>0</v>
      </c>
      <c r="CO46" s="1597">
        <f t="shared" si="639"/>
        <v>656.2</v>
      </c>
      <c r="CP46" s="1597">
        <v>656.2</v>
      </c>
      <c r="CQ46" s="1597">
        <v>0</v>
      </c>
      <c r="CR46" s="1597">
        <f t="shared" si="640"/>
        <v>679.5213480000001</v>
      </c>
      <c r="CS46" s="1597">
        <f>SUM('рем программа'!O29)</f>
        <v>679.5213480000001</v>
      </c>
      <c r="CT46" s="1597">
        <v>0</v>
      </c>
      <c r="CU46" s="1597">
        <f t="shared" si="641"/>
        <v>0</v>
      </c>
      <c r="CV46" s="1597">
        <f>SUM('рем программа'!P29)</f>
        <v>0</v>
      </c>
      <c r="CW46" s="1597">
        <v>0</v>
      </c>
      <c r="CX46" s="1597">
        <f t="shared" si="642"/>
        <v>0</v>
      </c>
      <c r="CY46" s="1597">
        <v>0</v>
      </c>
      <c r="CZ46" s="1597">
        <v>0</v>
      </c>
      <c r="DA46" s="1597">
        <f t="shared" si="643"/>
        <v>0</v>
      </c>
      <c r="DB46" s="1597">
        <v>0</v>
      </c>
      <c r="DC46" s="1597">
        <v>0</v>
      </c>
      <c r="DD46" s="1597">
        <f t="shared" si="644"/>
        <v>0</v>
      </c>
      <c r="DE46" s="1597">
        <v>0</v>
      </c>
      <c r="DF46" s="1597">
        <v>0</v>
      </c>
      <c r="DG46" s="1597">
        <f t="shared" si="645"/>
        <v>706.36244124600012</v>
      </c>
      <c r="DH46" s="1597">
        <f>SUM('рем программа'!T29)</f>
        <v>706.36244124600012</v>
      </c>
      <c r="DI46" s="1597">
        <v>0</v>
      </c>
      <c r="DJ46" s="1597">
        <f t="shared" si="646"/>
        <v>0</v>
      </c>
      <c r="DK46" s="1597">
        <f>SUM('рем программа'!U29)</f>
        <v>0</v>
      </c>
      <c r="DL46" s="1597">
        <v>0</v>
      </c>
      <c r="DM46" s="1597">
        <f t="shared" si="647"/>
        <v>0.28499999999999998</v>
      </c>
      <c r="DN46" s="1597">
        <f>SUM('рем программа'!V29)</f>
        <v>0.28499999999999998</v>
      </c>
      <c r="DO46" s="1597">
        <v>0</v>
      </c>
      <c r="DP46" s="1597">
        <f t="shared" si="648"/>
        <v>0.29399999999999998</v>
      </c>
      <c r="DQ46" s="1597">
        <f>SUM('рем программа'!W29)</f>
        <v>0.29399999999999998</v>
      </c>
      <c r="DR46" s="1597">
        <v>0</v>
      </c>
      <c r="DS46" s="1597">
        <f t="shared" si="649"/>
        <v>0.29399999999999998</v>
      </c>
      <c r="DT46" s="1597">
        <f>SUM('рем программа'!X29)</f>
        <v>0.29399999999999998</v>
      </c>
      <c r="DU46" s="1597">
        <v>0</v>
      </c>
      <c r="DV46" s="2343">
        <f t="shared" si="650"/>
        <v>0</v>
      </c>
      <c r="DW46" s="2343">
        <f>SUM('рем программа'!AY29)</f>
        <v>0</v>
      </c>
      <c r="DX46" s="2343">
        <v>0</v>
      </c>
      <c r="DY46" s="3211">
        <f t="shared" si="651"/>
        <v>0</v>
      </c>
      <c r="DZ46" s="3211">
        <f>SUM('рем программа'!AJ29)</f>
        <v>0</v>
      </c>
      <c r="EA46" s="4071">
        <v>0</v>
      </c>
      <c r="EB46" s="2343">
        <f t="shared" si="652"/>
        <v>0</v>
      </c>
      <c r="EC46" s="2343">
        <f>SUM('рем программа'!AY29)</f>
        <v>0</v>
      </c>
      <c r="ED46" s="2343">
        <v>0</v>
      </c>
      <c r="EE46" s="2343">
        <f t="shared" si="653"/>
        <v>0</v>
      </c>
      <c r="EF46" s="2343">
        <f>SUM('рем программа'!Z29)</f>
        <v>0</v>
      </c>
      <c r="EG46" s="2343">
        <v>0</v>
      </c>
      <c r="EH46" s="3662">
        <f t="shared" si="654"/>
        <v>0</v>
      </c>
      <c r="EI46" s="3662">
        <f>SUM('рем программа'!AA29)</f>
        <v>0</v>
      </c>
      <c r="EJ46" s="3662">
        <v>0</v>
      </c>
      <c r="EK46" s="3662">
        <f t="shared" si="655"/>
        <v>0</v>
      </c>
      <c r="EL46" s="3662">
        <f>SUM('рем программа'!AB29)</f>
        <v>0</v>
      </c>
      <c r="EM46" s="3662">
        <v>0</v>
      </c>
    </row>
    <row r="47" spans="1:143" s="565" customFormat="1" ht="21" customHeight="1" x14ac:dyDescent="0.2">
      <c r="A47" s="3191" t="s">
        <v>3887</v>
      </c>
      <c r="B47" s="3289"/>
      <c r="C47" s="2110"/>
      <c r="D47" s="3079"/>
      <c r="E47" s="2110"/>
      <c r="F47" s="3079"/>
      <c r="G47" s="2110"/>
      <c r="H47" s="3079"/>
      <c r="I47" s="3291"/>
      <c r="J47" s="3291"/>
      <c r="K47" s="3291"/>
      <c r="L47" s="3291"/>
      <c r="M47" s="3308"/>
      <c r="N47" s="3308"/>
      <c r="O47" s="3291"/>
      <c r="P47" s="3308"/>
      <c r="Q47" s="3309"/>
      <c r="R47" s="3308"/>
      <c r="S47" s="3308"/>
      <c r="T47" s="3291"/>
      <c r="U47" s="3291"/>
      <c r="V47" s="3291"/>
      <c r="W47" s="3291"/>
      <c r="X47" s="3291"/>
      <c r="Y47" s="1597"/>
      <c r="Z47" s="1591"/>
      <c r="AA47" s="1597"/>
      <c r="AB47" s="1591"/>
      <c r="AC47" s="1597"/>
      <c r="AD47" s="1597"/>
      <c r="AE47" s="1597"/>
      <c r="AF47" s="1597"/>
      <c r="AG47" s="1597"/>
      <c r="AH47" s="1598"/>
      <c r="AI47" s="1592"/>
      <c r="AJ47" s="1597"/>
      <c r="AK47" s="1597"/>
      <c r="AL47" s="1598"/>
      <c r="AM47" s="1592"/>
      <c r="AN47" s="1597"/>
      <c r="AO47" s="1597"/>
      <c r="AP47" s="2202"/>
      <c r="AQ47" s="2202"/>
      <c r="AR47" s="2202"/>
      <c r="AS47" s="2202"/>
      <c r="AT47" s="1597"/>
      <c r="AU47" s="1597"/>
      <c r="AV47" s="1597"/>
      <c r="AW47" s="1597"/>
      <c r="AX47" s="1597"/>
      <c r="AY47" s="1597"/>
      <c r="AZ47" s="1597"/>
      <c r="BA47" s="1594"/>
      <c r="BB47" s="1597"/>
      <c r="BC47" s="1597"/>
      <c r="BD47" s="1597"/>
      <c r="BE47" s="1597"/>
      <c r="BF47" s="1597"/>
      <c r="BG47" s="1597"/>
      <c r="BH47" s="1597"/>
      <c r="BI47" s="1597"/>
      <c r="BJ47" s="1597"/>
      <c r="BK47" s="1597"/>
      <c r="BL47" s="1597"/>
      <c r="BM47" s="1597"/>
      <c r="BN47" s="1597"/>
      <c r="BO47" s="1597"/>
      <c r="BP47" s="1598">
        <f t="shared" si="636"/>
        <v>0</v>
      </c>
      <c r="BQ47" s="1597"/>
      <c r="BR47" s="1597"/>
      <c r="BS47" s="1597">
        <v>322.10000000000002</v>
      </c>
      <c r="BT47" s="1597">
        <f t="shared" si="656"/>
        <v>322.10000000000002</v>
      </c>
      <c r="BU47" s="1597"/>
      <c r="BV47" s="1597">
        <f t="shared" si="657"/>
        <v>313.61784093</v>
      </c>
      <c r="BW47" s="1597">
        <f>'Тепловая энергия (3 подъем)'!H10</f>
        <v>313.61784093</v>
      </c>
      <c r="BX47" s="1597"/>
      <c r="BY47" s="1597">
        <f t="shared" si="658"/>
        <v>353.4558371333834</v>
      </c>
      <c r="BZ47" s="1597">
        <f>'Тепловая энергия (3 подъем)'!K10</f>
        <v>353.4558371333834</v>
      </c>
      <c r="CA47" s="1597">
        <v>0</v>
      </c>
      <c r="CB47" s="3286"/>
      <c r="CC47" s="365"/>
      <c r="CD47" s="365"/>
      <c r="CE47" s="365"/>
      <c r="CF47" s="1597">
        <f t="shared" ref="CF47" si="660">CG47</f>
        <v>326.78964000000002</v>
      </c>
      <c r="CG47" s="1597">
        <f>SUM('Тепловая энергия (3 подъем)'!O10)</f>
        <v>326.78964000000002</v>
      </c>
      <c r="CH47" s="1597">
        <v>0</v>
      </c>
      <c r="CI47" s="1597">
        <f t="shared" si="637"/>
        <v>78.551571600000017</v>
      </c>
      <c r="CJ47" s="1597">
        <f>SUM('Тепловая энергия (3 подъем)'!P10)</f>
        <v>78.551571600000017</v>
      </c>
      <c r="CK47" s="1597">
        <v>0</v>
      </c>
      <c r="CL47" s="1597">
        <f t="shared" si="638"/>
        <v>78.551571600000017</v>
      </c>
      <c r="CM47" s="1597">
        <f>SUM('Тепловая энергия (3 подъем)'!Q10)</f>
        <v>78.551571600000017</v>
      </c>
      <c r="CN47" s="1597">
        <v>0</v>
      </c>
      <c r="CO47" s="1597">
        <f t="shared" si="639"/>
        <v>125.1658824</v>
      </c>
      <c r="CP47" s="1597">
        <f>SUM('Тепловая энергия (3 подъем)'!R10)</f>
        <v>125.1658824</v>
      </c>
      <c r="CQ47" s="1597">
        <v>0</v>
      </c>
      <c r="CR47" s="1597">
        <f t="shared" si="640"/>
        <v>0</v>
      </c>
      <c r="CS47" s="1597">
        <f>SUM('Тепловая энергия (3 подъем)'!Z10)</f>
        <v>0</v>
      </c>
      <c r="CT47" s="1597">
        <v>0</v>
      </c>
      <c r="CU47" s="1597">
        <f t="shared" si="641"/>
        <v>97.823550499999996</v>
      </c>
      <c r="CV47" s="1597">
        <f>SUM('Тепловая энергия (3 подъем)'!V10)</f>
        <v>97.823550499999996</v>
      </c>
      <c r="CW47" s="1597">
        <v>0</v>
      </c>
      <c r="CX47" s="1597">
        <f t="shared" si="642"/>
        <v>92.009062600000007</v>
      </c>
      <c r="CY47" s="1597">
        <f>SUM('Тепловая энергия (3 подъем)'!U10)</f>
        <v>92.009062600000007</v>
      </c>
      <c r="CZ47" s="1597">
        <v>0</v>
      </c>
      <c r="DA47" s="1597">
        <f t="shared" si="643"/>
        <v>97.823550499999996</v>
      </c>
      <c r="DB47" s="1597">
        <f>SUM('Тепловая энергия (3 подъем)'!V10)</f>
        <v>97.823550499999996</v>
      </c>
      <c r="DC47" s="1597">
        <v>0</v>
      </c>
      <c r="DD47" s="1597">
        <f t="shared" si="644"/>
        <v>169.44900799999999</v>
      </c>
      <c r="DE47" s="1597">
        <f>SUM('Тепловая энергия (3 подъем)'!W10)+5.81</f>
        <v>169.44900799999999</v>
      </c>
      <c r="DF47" s="1597">
        <v>0</v>
      </c>
      <c r="DG47" s="1597">
        <f t="shared" si="645"/>
        <v>191.3674896</v>
      </c>
      <c r="DH47" s="1597">
        <f>SUM('Тепловая энергия (3 подъем)'!X10)</f>
        <v>191.3674896</v>
      </c>
      <c r="DI47" s="1597">
        <v>0</v>
      </c>
      <c r="DJ47" s="1597">
        <f t="shared" si="646"/>
        <v>178.72963200000001</v>
      </c>
      <c r="DK47" s="1597">
        <f>SUM('Тепловая энергия (3 подъем)'!Y10)</f>
        <v>178.72963200000001</v>
      </c>
      <c r="DL47" s="1597">
        <v>0</v>
      </c>
      <c r="DM47" s="1597">
        <f t="shared" si="647"/>
        <v>141.85835299999999</v>
      </c>
      <c r="DN47" s="1597">
        <f>SUM('Тепловая энергия (3 подъем)'!AA10)</f>
        <v>141.85835299999999</v>
      </c>
      <c r="DO47" s="1597">
        <v>0</v>
      </c>
      <c r="DP47" s="1597">
        <f t="shared" si="648"/>
        <v>148.7353536</v>
      </c>
      <c r="DQ47" s="1597">
        <f>SUM('Тепловая энергия (3 подъем)'!AB10)</f>
        <v>148.7353536</v>
      </c>
      <c r="DR47" s="1597">
        <v>0</v>
      </c>
      <c r="DS47" s="1597">
        <f t="shared" si="649"/>
        <v>225.72884880000001</v>
      </c>
      <c r="DT47" s="1597">
        <f>SUM('Тепловая энергия (3 подъем)'!AC10)</f>
        <v>225.72884880000001</v>
      </c>
      <c r="DU47" s="1597">
        <v>0</v>
      </c>
      <c r="DV47" s="2343">
        <f t="shared" si="650"/>
        <v>355.82392597500001</v>
      </c>
      <c r="DW47" s="2343">
        <f>SUM('Тепловая энергия (3 подъем)'!AD10)</f>
        <v>355.82392597500001</v>
      </c>
      <c r="DX47" s="2343">
        <v>0</v>
      </c>
      <c r="DY47" s="3211">
        <f t="shared" si="651"/>
        <v>0</v>
      </c>
      <c r="DZ47" s="3211">
        <f>SUM('Тепловая энергия (3 подъем)'!AN10)</f>
        <v>0</v>
      </c>
      <c r="EA47" s="4071">
        <v>0</v>
      </c>
      <c r="EB47" s="2343">
        <f t="shared" si="652"/>
        <v>355.82392597500001</v>
      </c>
      <c r="EC47" s="2343">
        <f>SUM('Тепловая энергия (3 подъем)'!AD10)</f>
        <v>355.82392597500001</v>
      </c>
      <c r="ED47" s="2343">
        <v>0</v>
      </c>
      <c r="EE47" s="2343">
        <f t="shared" si="653"/>
        <v>244.38001769999997</v>
      </c>
      <c r="EF47" s="2343">
        <f>SUM('Тепловая энергия (3 подъем)'!AE10)</f>
        <v>244.38001769999997</v>
      </c>
      <c r="EG47" s="2343">
        <v>0</v>
      </c>
      <c r="EH47" s="3662">
        <f t="shared" si="654"/>
        <v>129.76045590000001</v>
      </c>
      <c r="EI47" s="4833">
        <f>SUM('Тепловая энергия (3 подъем)'!AF10)+0.811</f>
        <v>129.76045590000001</v>
      </c>
      <c r="EJ47" s="3662">
        <v>0</v>
      </c>
      <c r="EK47" s="3662">
        <f t="shared" si="655"/>
        <v>246.9509175</v>
      </c>
      <c r="EL47" s="3662">
        <f>SUM('Тепловая энергия (3 подъем)'!AG10)</f>
        <v>246.9509175</v>
      </c>
      <c r="EM47" s="3662">
        <v>0</v>
      </c>
    </row>
    <row r="48" spans="1:143" s="565" customFormat="1" ht="21" customHeight="1" x14ac:dyDescent="0.2">
      <c r="A48" s="3191" t="s">
        <v>4</v>
      </c>
      <c r="B48" s="3289"/>
      <c r="C48" s="2110"/>
      <c r="D48" s="3079"/>
      <c r="E48" s="2110"/>
      <c r="F48" s="3079"/>
      <c r="G48" s="2110"/>
      <c r="H48" s="3079"/>
      <c r="I48" s="3291"/>
      <c r="J48" s="3291"/>
      <c r="K48" s="3291"/>
      <c r="L48" s="3291"/>
      <c r="M48" s="3308"/>
      <c r="N48" s="3308"/>
      <c r="O48" s="3291"/>
      <c r="P48" s="3308"/>
      <c r="Q48" s="3309"/>
      <c r="R48" s="3308"/>
      <c r="S48" s="3308"/>
      <c r="T48" s="3291"/>
      <c r="U48" s="3291"/>
      <c r="V48" s="3291"/>
      <c r="W48" s="3291"/>
      <c r="X48" s="3291"/>
      <c r="Y48" s="1597"/>
      <c r="Z48" s="1591"/>
      <c r="AA48" s="1597"/>
      <c r="AB48" s="1591"/>
      <c r="AC48" s="1597"/>
      <c r="AD48" s="1597"/>
      <c r="AE48" s="1597"/>
      <c r="AF48" s="1597"/>
      <c r="AG48" s="1597"/>
      <c r="AH48" s="1598"/>
      <c r="AI48" s="1592"/>
      <c r="AJ48" s="1597"/>
      <c r="AK48" s="1597"/>
      <c r="AL48" s="1598"/>
      <c r="AM48" s="1592"/>
      <c r="AN48" s="1597"/>
      <c r="AO48" s="1597"/>
      <c r="AP48" s="2202"/>
      <c r="AQ48" s="2202"/>
      <c r="AR48" s="2202"/>
      <c r="AS48" s="2202"/>
      <c r="AT48" s="1597"/>
      <c r="AU48" s="1597"/>
      <c r="AV48" s="1597"/>
      <c r="AW48" s="1597"/>
      <c r="AX48" s="1597"/>
      <c r="AY48" s="1597"/>
      <c r="AZ48" s="1597"/>
      <c r="BA48" s="1594"/>
      <c r="BB48" s="1597"/>
      <c r="BC48" s="1597"/>
      <c r="BD48" s="1597"/>
      <c r="BE48" s="1597"/>
      <c r="BF48" s="1597"/>
      <c r="BG48" s="1597"/>
      <c r="BH48" s="1597"/>
      <c r="BI48" s="1597"/>
      <c r="BJ48" s="1597"/>
      <c r="BK48" s="1597"/>
      <c r="BL48" s="1597"/>
      <c r="BM48" s="1597"/>
      <c r="BN48" s="1597"/>
      <c r="BO48" s="1597"/>
      <c r="BP48" s="1598">
        <f t="shared" si="636"/>
        <v>145.87</v>
      </c>
      <c r="BQ48" s="1597">
        <v>145.87</v>
      </c>
      <c r="BR48" s="1597"/>
      <c r="BS48" s="1597">
        <v>3368.5</v>
      </c>
      <c r="BT48" s="1597">
        <f t="shared" si="656"/>
        <v>3368.5</v>
      </c>
      <c r="BU48" s="1597"/>
      <c r="BV48" s="1597">
        <f t="shared" si="657"/>
        <v>2294.4431657731507</v>
      </c>
      <c r="BW48" s="1597">
        <f>ЗП!CR29</f>
        <v>2294.4431657731507</v>
      </c>
      <c r="BX48" s="1597"/>
      <c r="BY48" s="1597">
        <f t="shared" si="658"/>
        <v>2398.9981281023997</v>
      </c>
      <c r="BZ48" s="1597">
        <f>SUM(ЗП!CU29)</f>
        <v>2398.9981281023997</v>
      </c>
      <c r="CA48" s="1597">
        <v>0</v>
      </c>
      <c r="CB48" s="3286"/>
      <c r="CC48" s="365"/>
      <c r="CD48" s="365"/>
      <c r="CE48" s="365"/>
      <c r="CF48" s="1597">
        <f>SUM(ЗП!CX29)</f>
        <v>2338.6791503116801</v>
      </c>
      <c r="CG48" s="1597">
        <f>SUM(CF48)</f>
        <v>2338.6791503116801</v>
      </c>
      <c r="CH48" s="1597">
        <v>0</v>
      </c>
      <c r="CI48" s="1597">
        <f t="shared" si="637"/>
        <v>875.79</v>
      </c>
      <c r="CJ48" s="1597">
        <f>SUM(ЗП!DA29)</f>
        <v>875.79</v>
      </c>
      <c r="CK48" s="1597">
        <v>0</v>
      </c>
      <c r="CL48" s="1597">
        <f t="shared" si="638"/>
        <v>1327.67</v>
      </c>
      <c r="CM48" s="1597">
        <f>SUM(ЗП!DD29)</f>
        <v>1327.67</v>
      </c>
      <c r="CN48" s="1597">
        <v>0</v>
      </c>
      <c r="CO48" s="1597">
        <f t="shared" si="639"/>
        <v>1730.41</v>
      </c>
      <c r="CP48" s="1597">
        <f>SUM(ЗП!DG29)</f>
        <v>1730.41</v>
      </c>
      <c r="CQ48" s="1597">
        <v>0</v>
      </c>
      <c r="CR48" s="1597">
        <f t="shared" si="640"/>
        <v>2733.29540352</v>
      </c>
      <c r="CS48" s="1597">
        <f>SUM(ЗП!DJ29)</f>
        <v>2733.29540352</v>
      </c>
      <c r="CT48" s="1597">
        <v>0</v>
      </c>
      <c r="CU48" s="1597">
        <f t="shared" si="641"/>
        <v>2404.2916404311986</v>
      </c>
      <c r="CV48" s="1597">
        <f>SUM(ЗП!DM29)</f>
        <v>2404.2916404311986</v>
      </c>
      <c r="CW48" s="1597">
        <v>0</v>
      </c>
      <c r="CX48" s="1597">
        <f t="shared" si="642"/>
        <v>942.12</v>
      </c>
      <c r="CY48" s="1597">
        <f>SUM(ЗП!DR29)</f>
        <v>942.12</v>
      </c>
      <c r="CZ48" s="1597">
        <v>0</v>
      </c>
      <c r="DA48" s="1597">
        <f t="shared" si="643"/>
        <v>1349.03</v>
      </c>
      <c r="DB48" s="1597">
        <f>SUM(ЗП!DU29)</f>
        <v>1349.03</v>
      </c>
      <c r="DC48" s="1597">
        <v>0</v>
      </c>
      <c r="DD48" s="1597">
        <f t="shared" si="644"/>
        <v>1729.77</v>
      </c>
      <c r="DE48" s="1597">
        <f>SUM(ЗП!DX29)</f>
        <v>1729.77</v>
      </c>
      <c r="DF48" s="1597">
        <v>0</v>
      </c>
      <c r="DG48" s="1597">
        <f t="shared" si="645"/>
        <v>2893.4889984000006</v>
      </c>
      <c r="DH48" s="1597">
        <f>SUM(ЗП!EA29)</f>
        <v>2893.4889984000006</v>
      </c>
      <c r="DI48" s="1597">
        <v>0</v>
      </c>
      <c r="DJ48" s="1597">
        <f t="shared" si="646"/>
        <v>2545.0340712790817</v>
      </c>
      <c r="DK48" s="1597">
        <f>SUM(ЗП!ED29)</f>
        <v>2545.0340712790817</v>
      </c>
      <c r="DL48" s="1597">
        <v>0</v>
      </c>
      <c r="DM48" s="1597">
        <f t="shared" si="647"/>
        <v>882.18499999999995</v>
      </c>
      <c r="DN48" s="1597">
        <f>SUM(ЗП!EG29)</f>
        <v>882.18499999999995</v>
      </c>
      <c r="DO48" s="1597">
        <v>0</v>
      </c>
      <c r="DP48" s="1597">
        <f t="shared" si="648"/>
        <v>1310.1849999999999</v>
      </c>
      <c r="DQ48" s="1597">
        <f>SUM(ЗП!EJ29)</f>
        <v>1310.1849999999999</v>
      </c>
      <c r="DR48" s="1597">
        <v>0</v>
      </c>
      <c r="DS48" s="1597">
        <f t="shared" si="649"/>
        <v>1793.3820000000001</v>
      </c>
      <c r="DT48" s="1597">
        <f>SUM(ЗП!EM29)</f>
        <v>1793.3820000000001</v>
      </c>
      <c r="DU48" s="1597">
        <v>0</v>
      </c>
      <c r="DV48" s="2343">
        <f t="shared" si="650"/>
        <v>3291.4632959999999</v>
      </c>
      <c r="DW48" s="2343">
        <f>SUM(ЗП!EP29)</f>
        <v>3291.4632959999999</v>
      </c>
      <c r="DX48" s="2343">
        <v>0</v>
      </c>
      <c r="DY48" s="3211">
        <f t="shared" si="651"/>
        <v>2935.8416705136251</v>
      </c>
      <c r="DZ48" s="3211">
        <f>SUM(ЗП!ES29)</f>
        <v>2935.8416705136251</v>
      </c>
      <c r="EA48" s="4071">
        <v>0</v>
      </c>
      <c r="EB48" s="2343">
        <f t="shared" si="652"/>
        <v>3291.4632959999999</v>
      </c>
      <c r="EC48" s="2343">
        <f>SUM(ЗП!EP29)</f>
        <v>3291.4632959999999</v>
      </c>
      <c r="ED48" s="2343">
        <v>0</v>
      </c>
      <c r="EE48" s="2343">
        <f t="shared" si="653"/>
        <v>2935.8416705136251</v>
      </c>
      <c r="EF48" s="2343">
        <f>SUM(ЗП!ES29)</f>
        <v>2935.8416705136251</v>
      </c>
      <c r="EG48" s="2343">
        <v>0</v>
      </c>
      <c r="EH48" s="3662">
        <f t="shared" si="654"/>
        <v>1357.981</v>
      </c>
      <c r="EI48" s="3662">
        <f>SUM(ЗП!EV29)</f>
        <v>1357.981</v>
      </c>
      <c r="EJ48" s="3662">
        <v>0</v>
      </c>
      <c r="EK48" s="3662">
        <f t="shared" si="655"/>
        <v>1596.3879999999999</v>
      </c>
      <c r="EL48" s="3662">
        <f>SUM(ЗП!EY29)</f>
        <v>1596.3879999999999</v>
      </c>
      <c r="EM48" s="3662">
        <v>0</v>
      </c>
    </row>
    <row r="49" spans="1:143" s="565" customFormat="1" ht="21" customHeight="1" x14ac:dyDescent="0.2">
      <c r="A49" s="3191" t="s">
        <v>5</v>
      </c>
      <c r="B49" s="3289"/>
      <c r="C49" s="2110"/>
      <c r="D49" s="3079"/>
      <c r="E49" s="2110"/>
      <c r="F49" s="3079"/>
      <c r="G49" s="2110"/>
      <c r="H49" s="3079"/>
      <c r="I49" s="3291"/>
      <c r="J49" s="3291"/>
      <c r="K49" s="3291"/>
      <c r="L49" s="3291"/>
      <c r="M49" s="3308"/>
      <c r="N49" s="3308"/>
      <c r="O49" s="3291"/>
      <c r="P49" s="3308"/>
      <c r="Q49" s="3309"/>
      <c r="R49" s="3308"/>
      <c r="S49" s="3308"/>
      <c r="T49" s="3291"/>
      <c r="U49" s="3291"/>
      <c r="V49" s="3291"/>
      <c r="W49" s="3291"/>
      <c r="X49" s="3291"/>
      <c r="Y49" s="1597"/>
      <c r="Z49" s="1591"/>
      <c r="AA49" s="1597"/>
      <c r="AB49" s="1591"/>
      <c r="AC49" s="1597"/>
      <c r="AD49" s="1597"/>
      <c r="AE49" s="1597"/>
      <c r="AF49" s="1597"/>
      <c r="AG49" s="1597"/>
      <c r="AH49" s="1598"/>
      <c r="AI49" s="1592"/>
      <c r="AJ49" s="1597"/>
      <c r="AK49" s="1597"/>
      <c r="AL49" s="1598"/>
      <c r="AM49" s="1592"/>
      <c r="AN49" s="1597"/>
      <c r="AO49" s="1597"/>
      <c r="AP49" s="2202"/>
      <c r="AQ49" s="2202"/>
      <c r="AR49" s="2202"/>
      <c r="AS49" s="2202"/>
      <c r="AT49" s="1597"/>
      <c r="AU49" s="1597"/>
      <c r="AV49" s="1597"/>
      <c r="AW49" s="1597"/>
      <c r="AX49" s="1597"/>
      <c r="AY49" s="1597"/>
      <c r="AZ49" s="1597"/>
      <c r="BA49" s="1594"/>
      <c r="BB49" s="1597"/>
      <c r="BC49" s="1597"/>
      <c r="BD49" s="1597"/>
      <c r="BE49" s="1597"/>
      <c r="BF49" s="1597"/>
      <c r="BG49" s="1597"/>
      <c r="BH49" s="1597"/>
      <c r="BI49" s="1597"/>
      <c r="BJ49" s="1597"/>
      <c r="BK49" s="1597"/>
      <c r="BL49" s="1597"/>
      <c r="BM49" s="1597"/>
      <c r="BN49" s="1597"/>
      <c r="BO49" s="1597"/>
      <c r="BP49" s="1598">
        <f t="shared" si="636"/>
        <v>44.03</v>
      </c>
      <c r="BQ49" s="1597">
        <v>44.03</v>
      </c>
      <c r="BR49" s="1597"/>
      <c r="BS49" s="1597">
        <v>1013.9</v>
      </c>
      <c r="BT49" s="1597">
        <f t="shared" si="656"/>
        <v>1013.9</v>
      </c>
      <c r="BU49" s="1597"/>
      <c r="BV49" s="1597">
        <f t="shared" si="657"/>
        <v>690.61479168098481</v>
      </c>
      <c r="BW49" s="1597">
        <f>BW48*BS50</f>
        <v>690.61479168098481</v>
      </c>
      <c r="BX49" s="1597"/>
      <c r="BY49" s="1597">
        <f>BY48*BV50</f>
        <v>722.08526112008997</v>
      </c>
      <c r="BZ49" s="1597">
        <f>BZ48*BW50</f>
        <v>722.08526112008997</v>
      </c>
      <c r="CA49" s="1597">
        <v>0</v>
      </c>
      <c r="CB49" s="3286"/>
      <c r="CC49" s="365"/>
      <c r="CD49" s="365"/>
      <c r="CE49" s="365"/>
      <c r="CF49" s="1597">
        <f>SUM(CF48*CF50)</f>
        <v>703.92958008045491</v>
      </c>
      <c r="CG49" s="1597">
        <f t="shared" ref="CG49:CH49" si="661">SUM(CG48*CG50)</f>
        <v>703.92958008045491</v>
      </c>
      <c r="CH49" s="1597">
        <f t="shared" si="661"/>
        <v>0</v>
      </c>
      <c r="CI49" s="1597">
        <f t="shared" ref="CI49" si="662">CJ49+CK49</f>
        <v>264.24</v>
      </c>
      <c r="CJ49" s="1597">
        <v>264.24</v>
      </c>
      <c r="CK49" s="1597">
        <v>0</v>
      </c>
      <c r="CL49" s="1597">
        <f t="shared" ref="CL49" si="663">CM49+CN49</f>
        <v>400.02</v>
      </c>
      <c r="CM49" s="1597">
        <v>400.02</v>
      </c>
      <c r="CN49" s="1597">
        <v>0</v>
      </c>
      <c r="CO49" s="1597">
        <f t="shared" ref="CO49" si="664">CP49+CQ49</f>
        <v>527.58000000000004</v>
      </c>
      <c r="CP49" s="1597">
        <v>527.58000000000004</v>
      </c>
      <c r="CQ49" s="1597">
        <v>0</v>
      </c>
      <c r="CR49" s="1597">
        <f t="shared" si="640"/>
        <v>822.72</v>
      </c>
      <c r="CS49" s="1597">
        <v>822.72</v>
      </c>
      <c r="CT49" s="1597">
        <v>0</v>
      </c>
      <c r="CU49" s="1597">
        <f t="shared" si="641"/>
        <v>723.67857925877763</v>
      </c>
      <c r="CV49" s="1597">
        <f t="shared" ref="CV49" si="665">SUM(CV48*CV50)</f>
        <v>723.67857925877763</v>
      </c>
      <c r="CW49" s="1597">
        <v>0</v>
      </c>
      <c r="CX49" s="1597">
        <f t="shared" si="642"/>
        <v>283.67399999999998</v>
      </c>
      <c r="CY49" s="1597">
        <v>283.67399999999998</v>
      </c>
      <c r="CZ49" s="1597">
        <v>0</v>
      </c>
      <c r="DA49" s="1597">
        <f t="shared" si="643"/>
        <v>405.065</v>
      </c>
      <c r="DB49" s="1597">
        <v>405.065</v>
      </c>
      <c r="DC49" s="1597">
        <v>0</v>
      </c>
      <c r="DD49" s="1597">
        <f t="shared" si="644"/>
        <v>518.56399999999996</v>
      </c>
      <c r="DE49" s="1597">
        <v>518.56399999999996</v>
      </c>
      <c r="DF49" s="1597">
        <v>0</v>
      </c>
      <c r="DG49" s="1597">
        <f t="shared" si="645"/>
        <v>870.94</v>
      </c>
      <c r="DH49" s="1597">
        <v>870.94</v>
      </c>
      <c r="DI49" s="1597">
        <v>0</v>
      </c>
      <c r="DJ49" s="1597">
        <f t="shared" si="646"/>
        <v>766.04127797828733</v>
      </c>
      <c r="DK49" s="1597">
        <f t="shared" ref="DK49" si="666">SUM(DK48*DK50)</f>
        <v>766.04127797828733</v>
      </c>
      <c r="DL49" s="1597">
        <v>0</v>
      </c>
      <c r="DM49" s="1597">
        <f t="shared" si="647"/>
        <v>265.584</v>
      </c>
      <c r="DN49" s="1597">
        <v>265.584</v>
      </c>
      <c r="DO49" s="1597">
        <v>0</v>
      </c>
      <c r="DP49" s="1597">
        <f t="shared" si="648"/>
        <v>393.28</v>
      </c>
      <c r="DQ49" s="1597">
        <v>393.28</v>
      </c>
      <c r="DR49" s="1597">
        <v>0</v>
      </c>
      <c r="DS49" s="1597">
        <f t="shared" si="649"/>
        <v>538.40200000000004</v>
      </c>
      <c r="DT49" s="1597">
        <v>538.40200000000004</v>
      </c>
      <c r="DU49" s="1597">
        <v>0</v>
      </c>
      <c r="DV49" s="2343">
        <f t="shared" si="650"/>
        <v>990.73</v>
      </c>
      <c r="DW49" s="2343">
        <v>990.73</v>
      </c>
      <c r="DX49" s="2343">
        <v>0</v>
      </c>
      <c r="DY49" s="3211">
        <f t="shared" si="651"/>
        <v>883.67221900957827</v>
      </c>
      <c r="DZ49" s="3211">
        <f t="shared" ref="DZ49" si="667">SUM(DZ48*DZ50)</f>
        <v>883.67221900957827</v>
      </c>
      <c r="EA49" s="4071">
        <v>0</v>
      </c>
      <c r="EB49" s="2343">
        <f t="shared" si="652"/>
        <v>990.73</v>
      </c>
      <c r="EC49" s="2343">
        <v>990.73</v>
      </c>
      <c r="ED49" s="2343">
        <v>0</v>
      </c>
      <c r="EE49" s="2343">
        <f t="shared" si="653"/>
        <v>881.52725014758903</v>
      </c>
      <c r="EF49" s="2343">
        <v>881.52725014758903</v>
      </c>
      <c r="EG49" s="2343">
        <v>0</v>
      </c>
      <c r="EH49" s="3662">
        <f t="shared" si="654"/>
        <v>315.23</v>
      </c>
      <c r="EI49" s="3662">
        <v>315.23</v>
      </c>
      <c r="EJ49" s="3662">
        <v>0</v>
      </c>
      <c r="EK49" s="3662">
        <f t="shared" si="655"/>
        <v>387.22800000000001</v>
      </c>
      <c r="EL49" s="3662">
        <v>387.22800000000001</v>
      </c>
      <c r="EM49" s="3662">
        <v>0</v>
      </c>
    </row>
    <row r="50" spans="1:143" s="565" customFormat="1" ht="21" customHeight="1" x14ac:dyDescent="0.2">
      <c r="A50" s="3195" t="str">
        <f>A33</f>
        <v>то же в %</v>
      </c>
      <c r="B50" s="3289"/>
      <c r="C50" s="2110"/>
      <c r="D50" s="3079"/>
      <c r="E50" s="2110"/>
      <c r="F50" s="3079"/>
      <c r="G50" s="2110"/>
      <c r="H50" s="3079"/>
      <c r="I50" s="3291"/>
      <c r="J50" s="3291"/>
      <c r="K50" s="3291"/>
      <c r="L50" s="3291"/>
      <c r="M50" s="3308"/>
      <c r="N50" s="3308"/>
      <c r="O50" s="3291"/>
      <c r="P50" s="3308"/>
      <c r="Q50" s="3309"/>
      <c r="R50" s="3308"/>
      <c r="S50" s="3308"/>
      <c r="T50" s="3291"/>
      <c r="U50" s="3291"/>
      <c r="V50" s="3291"/>
      <c r="W50" s="3291"/>
      <c r="X50" s="3291"/>
      <c r="Y50" s="1597"/>
      <c r="Z50" s="1591"/>
      <c r="AA50" s="1597"/>
      <c r="AB50" s="1591"/>
      <c r="AC50" s="1597"/>
      <c r="AD50" s="1597"/>
      <c r="AE50" s="1597"/>
      <c r="AF50" s="1597"/>
      <c r="AG50" s="1597"/>
      <c r="AH50" s="1598"/>
      <c r="AI50" s="1592"/>
      <c r="AJ50" s="1597"/>
      <c r="AK50" s="1597"/>
      <c r="AL50" s="1598"/>
      <c r="AM50" s="1592"/>
      <c r="AN50" s="1597"/>
      <c r="AO50" s="1597"/>
      <c r="AP50" s="2202"/>
      <c r="AQ50" s="2202"/>
      <c r="AR50" s="2202"/>
      <c r="AS50" s="2202"/>
      <c r="AT50" s="1597"/>
      <c r="AU50" s="1597"/>
      <c r="AV50" s="1597"/>
      <c r="AW50" s="1597"/>
      <c r="AX50" s="1597"/>
      <c r="AY50" s="1597"/>
      <c r="AZ50" s="1597"/>
      <c r="BA50" s="1594"/>
      <c r="BB50" s="1597"/>
      <c r="BC50" s="1597"/>
      <c r="BD50" s="1597"/>
      <c r="BE50" s="1597"/>
      <c r="BF50" s="1597"/>
      <c r="BG50" s="1597"/>
      <c r="BH50" s="1597"/>
      <c r="BI50" s="1597"/>
      <c r="BJ50" s="1597"/>
      <c r="BK50" s="1597"/>
      <c r="BL50" s="1597"/>
      <c r="BM50" s="1597"/>
      <c r="BN50" s="1597"/>
      <c r="BO50" s="1597"/>
      <c r="BP50" s="1729">
        <f>BP49/BP48</f>
        <v>0.30184410776718995</v>
      </c>
      <c r="BQ50" s="1729">
        <f>BQ49/BQ48</f>
        <v>0.30184410776718995</v>
      </c>
      <c r="BR50" s="1597"/>
      <c r="BS50" s="1729">
        <f>BS49/BS48</f>
        <v>0.30099450794122012</v>
      </c>
      <c r="BT50" s="1729">
        <f t="shared" ref="BT50:BW50" si="668">BT49/BT48</f>
        <v>0.30099450794122012</v>
      </c>
      <c r="BU50" s="1729">
        <v>0</v>
      </c>
      <c r="BV50" s="1729">
        <f t="shared" si="668"/>
        <v>0.30099450794122012</v>
      </c>
      <c r="BW50" s="1729">
        <f t="shared" si="668"/>
        <v>0.30099450794122012</v>
      </c>
      <c r="BX50" s="1729">
        <v>0</v>
      </c>
      <c r="BY50" s="1729">
        <f>SUM(BP50)</f>
        <v>0.30184410776718995</v>
      </c>
      <c r="BZ50" s="1729">
        <f>SUM(BY50)</f>
        <v>0.30184410776718995</v>
      </c>
      <c r="CA50" s="1729">
        <v>0</v>
      </c>
      <c r="CB50" s="3286"/>
      <c r="CC50" s="365"/>
      <c r="CD50" s="365"/>
      <c r="CE50" s="365"/>
      <c r="CF50" s="1729">
        <f>SUM(BW50)</f>
        <v>0.30099450794122012</v>
      </c>
      <c r="CG50" s="1729">
        <f>SUM(CF50)</f>
        <v>0.30099450794122012</v>
      </c>
      <c r="CH50" s="1729">
        <v>0</v>
      </c>
      <c r="CI50" s="1599">
        <f>SUM(CI49/CI48)</f>
        <v>0.30171616483403557</v>
      </c>
      <c r="CJ50" s="1599">
        <f t="shared" ref="CJ50" si="669">SUM(CJ49/CJ48)</f>
        <v>0.30171616483403557</v>
      </c>
      <c r="CK50" s="1599">
        <v>0</v>
      </c>
      <c r="CL50" s="1599">
        <f t="shared" ref="CL50" si="670">SUM(CL49/CL48)</f>
        <v>0.30129474944828155</v>
      </c>
      <c r="CM50" s="1599">
        <f t="shared" ref="CM50" si="671">SUM(CM49/CM48)</f>
        <v>0.30129474944828155</v>
      </c>
      <c r="CN50" s="1599">
        <v>0</v>
      </c>
      <c r="CO50" s="1599">
        <f t="shared" ref="CO50" si="672">SUM(CO49/CO48)</f>
        <v>0.30488728104899998</v>
      </c>
      <c r="CP50" s="1599">
        <f t="shared" ref="CP50" si="673">SUM(CP49/CP48)</f>
        <v>0.30488728104899998</v>
      </c>
      <c r="CQ50" s="1599">
        <v>0</v>
      </c>
      <c r="CR50" s="1599">
        <f t="shared" ref="CR50:CS50" si="674">SUM(CR49/CR48)</f>
        <v>0.30099929884654342</v>
      </c>
      <c r="CS50" s="1599">
        <f t="shared" si="674"/>
        <v>0.30099929884654342</v>
      </c>
      <c r="CT50" s="1599">
        <v>0</v>
      </c>
      <c r="CU50" s="1599">
        <f>SUM(BV50)</f>
        <v>0.30099450794122012</v>
      </c>
      <c r="CV50" s="1599">
        <f t="shared" ref="CV50:CW50" si="675">SUM(BW50)</f>
        <v>0.30099450794122012</v>
      </c>
      <c r="CW50" s="1599">
        <f t="shared" si="675"/>
        <v>0</v>
      </c>
      <c r="CX50" s="1599">
        <f>SUM(CX49/CX48)</f>
        <v>0.30110177047509867</v>
      </c>
      <c r="CY50" s="1599">
        <f t="shared" ref="CY50" si="676">SUM(CY49/CY48)</f>
        <v>0.30110177047509867</v>
      </c>
      <c r="CZ50" s="1599">
        <v>0</v>
      </c>
      <c r="DA50" s="1599">
        <f t="shared" ref="DA50:DB50" si="677">SUM(DA49/DA48)</f>
        <v>0.30026389331593811</v>
      </c>
      <c r="DB50" s="1599">
        <f t="shared" si="677"/>
        <v>0.30026389331593811</v>
      </c>
      <c r="DC50" s="1599">
        <v>0</v>
      </c>
      <c r="DD50" s="1599">
        <f t="shared" ref="DD50:DE50" si="678">SUM(DD49/DD48)</f>
        <v>0.29978783306451146</v>
      </c>
      <c r="DE50" s="1599">
        <f t="shared" si="678"/>
        <v>0.29978783306451146</v>
      </c>
      <c r="DF50" s="1599">
        <v>0</v>
      </c>
      <c r="DG50" s="1599">
        <f t="shared" ref="DG50:DH50" si="679">SUM(DG49/DG48)</f>
        <v>0.30099993484737619</v>
      </c>
      <c r="DH50" s="1599">
        <f t="shared" si="679"/>
        <v>0.30099993484737619</v>
      </c>
      <c r="DI50" s="1599">
        <v>0</v>
      </c>
      <c r="DJ50" s="1599">
        <f>SUM(CF50)</f>
        <v>0.30099450794122012</v>
      </c>
      <c r="DK50" s="1599">
        <f t="shared" ref="DK50" si="680">SUM(CG50)</f>
        <v>0.30099450794122012</v>
      </c>
      <c r="DL50" s="1599">
        <f t="shared" ref="DL50" si="681">SUM(CH50)</f>
        <v>0</v>
      </c>
      <c r="DM50" s="1599">
        <f t="shared" ref="DM50:DN50" si="682">SUM(DM49/DM48)</f>
        <v>0.30105250032589537</v>
      </c>
      <c r="DN50" s="1599">
        <f t="shared" si="682"/>
        <v>0.30105250032589537</v>
      </c>
      <c r="DO50" s="1599">
        <v>0</v>
      </c>
      <c r="DP50" s="1599">
        <f t="shared" ref="DP50:DQ50" si="683">SUM(DP49/DP48)</f>
        <v>0.30017134984754062</v>
      </c>
      <c r="DQ50" s="1599">
        <f t="shared" si="683"/>
        <v>0.30017134984754062</v>
      </c>
      <c r="DR50" s="1599">
        <v>0</v>
      </c>
      <c r="DS50" s="1599">
        <f t="shared" ref="DS50:DT50" si="684">SUM(DS49/DS48)</f>
        <v>0.30021601644267648</v>
      </c>
      <c r="DT50" s="1599">
        <f t="shared" si="684"/>
        <v>0.30021601644267648</v>
      </c>
      <c r="DU50" s="1599">
        <v>0</v>
      </c>
      <c r="DV50" s="3690">
        <f t="shared" ref="DV50:DW50" si="685">SUM(DV49/DV48)</f>
        <v>0.30099986264589357</v>
      </c>
      <c r="DW50" s="3690">
        <f t="shared" si="685"/>
        <v>0.30099986264589357</v>
      </c>
      <c r="DX50" s="3690">
        <v>0</v>
      </c>
      <c r="DY50" s="3413">
        <f>SUM(CU50)</f>
        <v>0.30099450794122012</v>
      </c>
      <c r="DZ50" s="3413">
        <f t="shared" ref="DZ50" si="686">SUM(CV50)</f>
        <v>0.30099450794122012</v>
      </c>
      <c r="EA50" s="4072">
        <f t="shared" ref="EA50" si="687">SUM(CW50)</f>
        <v>0</v>
      </c>
      <c r="EB50" s="3690">
        <f t="shared" ref="EB50:EC50" si="688">SUM(EB49/EB48)</f>
        <v>0.30099986264589357</v>
      </c>
      <c r="EC50" s="3690">
        <f t="shared" si="688"/>
        <v>0.30099986264589357</v>
      </c>
      <c r="ED50" s="3690">
        <v>0</v>
      </c>
      <c r="EE50" s="3690">
        <f t="shared" ref="EE50:EF50" si="689">SUM(EE49/EE48)</f>
        <v>0.30026389331593822</v>
      </c>
      <c r="EF50" s="3690">
        <f t="shared" si="689"/>
        <v>0.30026389331593822</v>
      </c>
      <c r="EG50" s="3690">
        <v>0</v>
      </c>
      <c r="EH50" s="3663">
        <f t="shared" ref="EH50:EI50" si="690">SUM(EH49/EH48)</f>
        <v>0.23213137739040532</v>
      </c>
      <c r="EI50" s="3663">
        <f t="shared" si="690"/>
        <v>0.23213137739040532</v>
      </c>
      <c r="EJ50" s="3663">
        <v>0</v>
      </c>
      <c r="EK50" s="3663">
        <f t="shared" ref="EK50:EL50" si="691">SUM(EK49/EK48)</f>
        <v>0.24256509069223775</v>
      </c>
      <c r="EL50" s="3663">
        <f t="shared" si="691"/>
        <v>0.24256509069223775</v>
      </c>
      <c r="EM50" s="3663">
        <v>0</v>
      </c>
    </row>
    <row r="51" spans="1:143" s="565" customFormat="1" ht="21" customHeight="1" x14ac:dyDescent="0.2">
      <c r="A51" s="3191" t="s">
        <v>6</v>
      </c>
      <c r="B51" s="3289"/>
      <c r="C51" s="2110"/>
      <c r="D51" s="3079"/>
      <c r="E51" s="2110"/>
      <c r="F51" s="3079"/>
      <c r="G51" s="2110"/>
      <c r="H51" s="3079"/>
      <c r="I51" s="3291"/>
      <c r="J51" s="3291"/>
      <c r="K51" s="3291"/>
      <c r="L51" s="3291"/>
      <c r="M51" s="3308"/>
      <c r="N51" s="3308"/>
      <c r="O51" s="3291"/>
      <c r="P51" s="3308"/>
      <c r="Q51" s="3309"/>
      <c r="R51" s="3308"/>
      <c r="S51" s="3308"/>
      <c r="T51" s="3291"/>
      <c r="U51" s="3291"/>
      <c r="V51" s="3291"/>
      <c r="W51" s="3291"/>
      <c r="X51" s="3291"/>
      <c r="Y51" s="1597"/>
      <c r="Z51" s="1591"/>
      <c r="AA51" s="1597"/>
      <c r="AB51" s="1591"/>
      <c r="AC51" s="1597"/>
      <c r="AD51" s="1597"/>
      <c r="AE51" s="1597"/>
      <c r="AF51" s="1597"/>
      <c r="AG51" s="1597"/>
      <c r="AH51" s="1598"/>
      <c r="AI51" s="1592"/>
      <c r="AJ51" s="1597"/>
      <c r="AK51" s="1597"/>
      <c r="AL51" s="1598"/>
      <c r="AM51" s="1592"/>
      <c r="AN51" s="1597"/>
      <c r="AO51" s="1597"/>
      <c r="AP51" s="2202"/>
      <c r="AQ51" s="2202"/>
      <c r="AR51" s="2202"/>
      <c r="AS51" s="2202"/>
      <c r="AT51" s="1597"/>
      <c r="AU51" s="1597"/>
      <c r="AV51" s="1597"/>
      <c r="AW51" s="1597"/>
      <c r="AX51" s="1597"/>
      <c r="AY51" s="1597"/>
      <c r="AZ51" s="1597"/>
      <c r="BA51" s="1594"/>
      <c r="BB51" s="1597"/>
      <c r="BC51" s="1597"/>
      <c r="BD51" s="1597"/>
      <c r="BE51" s="1597"/>
      <c r="BF51" s="1597"/>
      <c r="BG51" s="1597"/>
      <c r="BH51" s="1597"/>
      <c r="BI51" s="1597"/>
      <c r="BJ51" s="1597"/>
      <c r="BK51" s="1597"/>
      <c r="BL51" s="1597"/>
      <c r="BM51" s="1597"/>
      <c r="BN51" s="1597"/>
      <c r="BO51" s="1597"/>
      <c r="BP51" s="1598">
        <f t="shared" si="636"/>
        <v>40.176000000000002</v>
      </c>
      <c r="BQ51" s="1597">
        <v>40.176000000000002</v>
      </c>
      <c r="BR51" s="1597"/>
      <c r="BS51" s="1729"/>
      <c r="BT51" s="1729"/>
      <c r="BU51" s="1729"/>
      <c r="BV51" s="1729"/>
      <c r="BW51" s="1729"/>
      <c r="BX51" s="1729"/>
      <c r="BY51" s="1729"/>
      <c r="BZ51" s="1729"/>
      <c r="CA51" s="1729"/>
      <c r="CB51" s="3286"/>
      <c r="CC51" s="365"/>
      <c r="CD51" s="365"/>
      <c r="CE51" s="365"/>
      <c r="CF51" s="1729"/>
      <c r="CG51" s="1729"/>
      <c r="CH51" s="1729"/>
      <c r="CI51" s="1729"/>
      <c r="CJ51" s="1729"/>
      <c r="CK51" s="1729"/>
      <c r="CL51" s="1729"/>
      <c r="CM51" s="1729"/>
      <c r="CN51" s="1729"/>
      <c r="CO51" s="1729"/>
      <c r="CP51" s="1729"/>
      <c r="CQ51" s="1729"/>
      <c r="CR51" s="1729"/>
      <c r="CS51" s="1729"/>
      <c r="CT51" s="1729"/>
      <c r="CU51" s="1729"/>
      <c r="CV51" s="1729"/>
      <c r="CW51" s="1729"/>
      <c r="CX51" s="1729"/>
      <c r="CY51" s="1729"/>
      <c r="CZ51" s="1729"/>
      <c r="DA51" s="1729"/>
      <c r="DB51" s="1729"/>
      <c r="DC51" s="1729"/>
      <c r="DD51" s="1729"/>
      <c r="DE51" s="1729"/>
      <c r="DF51" s="1729"/>
      <c r="DG51" s="1729"/>
      <c r="DH51" s="1729"/>
      <c r="DI51" s="1729"/>
      <c r="DJ51" s="1729"/>
      <c r="DK51" s="1729"/>
      <c r="DL51" s="1729"/>
      <c r="DM51" s="1729"/>
      <c r="DN51" s="1729"/>
      <c r="DO51" s="1729"/>
      <c r="DP51" s="1729"/>
      <c r="DQ51" s="1729"/>
      <c r="DR51" s="1729"/>
      <c r="DS51" s="1729"/>
      <c r="DT51" s="1729"/>
      <c r="DU51" s="1729"/>
      <c r="DV51" s="3354"/>
      <c r="DW51" s="3354"/>
      <c r="DX51" s="3354"/>
      <c r="DY51" s="4020"/>
      <c r="DZ51" s="4020"/>
      <c r="EA51" s="4075"/>
      <c r="EB51" s="3354"/>
      <c r="EC51" s="3354"/>
      <c r="ED51" s="3354"/>
      <c r="EE51" s="3354"/>
      <c r="EF51" s="3354"/>
      <c r="EG51" s="3354"/>
      <c r="EH51" s="4684"/>
      <c r="EI51" s="4684"/>
      <c r="EJ51" s="4684"/>
      <c r="EK51" s="4684"/>
      <c r="EL51" s="4684"/>
      <c r="EM51" s="4684"/>
    </row>
    <row r="52" spans="1:143" s="2196" customFormat="1" ht="21" customHeight="1" x14ac:dyDescent="0.2">
      <c r="A52" s="3314" t="s">
        <v>10</v>
      </c>
      <c r="B52" s="2600">
        <v>1494.1</v>
      </c>
      <c r="C52" s="3315">
        <v>1404.8</v>
      </c>
      <c r="D52" s="3079">
        <f>C52/B52*100</f>
        <v>94.02315775383174</v>
      </c>
      <c r="E52" s="3315">
        <v>1410.5</v>
      </c>
      <c r="F52" s="1737">
        <f>E52/C52*100</f>
        <v>100.40575170842826</v>
      </c>
      <c r="G52" s="3315">
        <v>1428.5</v>
      </c>
      <c r="H52" s="3079">
        <f t="shared" si="53"/>
        <v>101.27614321162707</v>
      </c>
      <c r="I52" s="3292">
        <f>SUM(I53:I55)</f>
        <v>1137.367</v>
      </c>
      <c r="J52" s="3292">
        <v>677.2</v>
      </c>
      <c r="K52" s="3292">
        <v>1258.5</v>
      </c>
      <c r="L52" s="3292">
        <v>1566.1</v>
      </c>
      <c r="M52" s="3318">
        <f t="shared" si="54"/>
        <v>137.6952206279943</v>
      </c>
      <c r="N52" s="3308">
        <f t="shared" si="55"/>
        <v>109.63248162408119</v>
      </c>
      <c r="O52" s="3292">
        <v>1885.8</v>
      </c>
      <c r="P52" s="3308">
        <f t="shared" si="56"/>
        <v>165.80400169866013</v>
      </c>
      <c r="Q52" s="3319">
        <f>SUM(Q53:Q56)</f>
        <v>3665.1</v>
      </c>
      <c r="R52" s="3292">
        <f t="shared" ref="R52:AO52" si="692">SUM(R53:R56)</f>
        <v>185.27161278777811</v>
      </c>
      <c r="S52" s="3292">
        <f t="shared" si="692"/>
        <v>0</v>
      </c>
      <c r="T52" s="3292" t="e">
        <f t="shared" si="692"/>
        <v>#REF!</v>
      </c>
      <c r="U52" s="3292" t="e">
        <f t="shared" si="692"/>
        <v>#REF!</v>
      </c>
      <c r="V52" s="3292" t="e">
        <f t="shared" si="692"/>
        <v>#REF!</v>
      </c>
      <c r="W52" s="3292">
        <f t="shared" si="692"/>
        <v>0</v>
      </c>
      <c r="X52" s="3292">
        <f t="shared" si="692"/>
        <v>0</v>
      </c>
      <c r="Y52" s="1601">
        <f t="shared" si="692"/>
        <v>4337.3</v>
      </c>
      <c r="Z52" s="1591">
        <f t="shared" si="57"/>
        <v>1.1834056369539714</v>
      </c>
      <c r="AA52" s="1601" t="e">
        <f t="shared" si="692"/>
        <v>#REF!</v>
      </c>
      <c r="AB52" s="1591" t="e">
        <f t="shared" si="1"/>
        <v>#REF!</v>
      </c>
      <c r="AC52" s="1601" t="e">
        <f t="shared" si="692"/>
        <v>#REF!</v>
      </c>
      <c r="AD52" s="1601" t="e">
        <f t="shared" si="692"/>
        <v>#REF!</v>
      </c>
      <c r="AE52" s="1601">
        <f>SUM(AE53:AE56)</f>
        <v>4024.3500000000004</v>
      </c>
      <c r="AF52" s="1601">
        <f>SUM(AF53:AF56)</f>
        <v>3976.8345704382273</v>
      </c>
      <c r="AG52" s="1601">
        <f>SUM(AG53:AG56)</f>
        <v>47.515429561772656</v>
      </c>
      <c r="AH52" s="1590">
        <f t="shared" si="59"/>
        <v>3223.45</v>
      </c>
      <c r="AI52" s="1592" t="e">
        <f t="shared" si="60"/>
        <v>#REF!</v>
      </c>
      <c r="AJ52" s="1601">
        <f t="shared" si="692"/>
        <v>3186.56</v>
      </c>
      <c r="AK52" s="1601">
        <f t="shared" si="692"/>
        <v>36.89</v>
      </c>
      <c r="AL52" s="1590" t="e">
        <f t="shared" si="61"/>
        <v>#REF!</v>
      </c>
      <c r="AM52" s="1592" t="e">
        <f t="shared" si="62"/>
        <v>#REF!</v>
      </c>
      <c r="AN52" s="1601" t="e">
        <f t="shared" si="692"/>
        <v>#REF!</v>
      </c>
      <c r="AO52" s="1601">
        <f t="shared" si="692"/>
        <v>36.598383401633441</v>
      </c>
      <c r="AP52" s="1593" t="e">
        <f t="shared" si="63"/>
        <v>#REF!</v>
      </c>
      <c r="AQ52" s="1593" t="e">
        <f t="shared" si="530"/>
        <v>#REF!</v>
      </c>
      <c r="AR52" s="1593" t="e">
        <f t="shared" si="64"/>
        <v>#REF!</v>
      </c>
      <c r="AS52" s="1593" t="e">
        <f t="shared" si="505"/>
        <v>#REF!</v>
      </c>
      <c r="AT52" s="1601">
        <f t="shared" ref="AT52:AZ52" si="693">SUM(AT53:AT56)</f>
        <v>917.55000000000007</v>
      </c>
      <c r="AU52" s="1601">
        <f t="shared" si="693"/>
        <v>911.23472177565213</v>
      </c>
      <c r="AV52" s="1601">
        <f t="shared" si="693"/>
        <v>6.3152782243478924</v>
      </c>
      <c r="AW52" s="1601">
        <f t="shared" si="693"/>
        <v>4009.77</v>
      </c>
      <c r="AX52" s="1601">
        <f t="shared" si="693"/>
        <v>3990.45</v>
      </c>
      <c r="AY52" s="1601">
        <f t="shared" si="693"/>
        <v>19.32</v>
      </c>
      <c r="AZ52" s="1601">
        <f t="shared" si="693"/>
        <v>4420.8999999999996</v>
      </c>
      <c r="BA52" s="1594" t="e">
        <f t="shared" si="70"/>
        <v>#REF!</v>
      </c>
      <c r="BB52" s="1601">
        <f>SUM(BB53:BB56)</f>
        <v>4381.0563420773306</v>
      </c>
      <c r="BC52" s="1601">
        <f>SUM(BC53:BC56)</f>
        <v>39.843657922669166</v>
      </c>
      <c r="BD52" s="1601">
        <f>SUM(BD53:BD56)</f>
        <v>3154.5307358921218</v>
      </c>
      <c r="BE52" s="1601">
        <f t="shared" ref="BE52:BL52" si="694">SUM(BE53:BE56)</f>
        <v>3136.7529139804451</v>
      </c>
      <c r="BF52" s="1601">
        <f t="shared" si="694"/>
        <v>17.777821911676497</v>
      </c>
      <c r="BG52" s="1601">
        <f t="shared" si="694"/>
        <v>4091.95</v>
      </c>
      <c r="BH52" s="1601">
        <f t="shared" si="694"/>
        <v>4089.2000000000003</v>
      </c>
      <c r="BI52" s="1601">
        <f t="shared" si="694"/>
        <v>2.75</v>
      </c>
      <c r="BJ52" s="1601">
        <f t="shared" si="694"/>
        <v>4236.59</v>
      </c>
      <c r="BK52" s="1601">
        <f t="shared" si="694"/>
        <v>4234.54</v>
      </c>
      <c r="BL52" s="1601">
        <f t="shared" si="694"/>
        <v>2.0500000000000003</v>
      </c>
      <c r="BM52" s="1601">
        <f>SUM(BM53:BM56)</f>
        <v>3523.82</v>
      </c>
      <c r="BN52" s="1601">
        <f t="shared" ref="BN52:BO52" si="695">SUM(BN53:BN56)</f>
        <v>3502.9300000000003</v>
      </c>
      <c r="BO52" s="1601">
        <f t="shared" si="695"/>
        <v>20.89</v>
      </c>
      <c r="BP52" s="1601">
        <f>SUM(BP53:BP56)</f>
        <v>4718.3</v>
      </c>
      <c r="BQ52" s="1601">
        <f t="shared" ref="BQ52:BR52" si="696">SUM(BQ53:BQ56)</f>
        <v>4716.59</v>
      </c>
      <c r="BR52" s="1601">
        <f t="shared" si="696"/>
        <v>1.71</v>
      </c>
      <c r="BS52" s="1601">
        <f t="shared" ref="BS52:CA52" si="697">SUM(BS53:BS58)</f>
        <v>7289.78</v>
      </c>
      <c r="BT52" s="1601">
        <f t="shared" si="697"/>
        <v>7286.05</v>
      </c>
      <c r="BU52" s="1601">
        <f t="shared" si="697"/>
        <v>3.73</v>
      </c>
      <c r="BV52" s="1601">
        <f t="shared" si="697"/>
        <v>6648.9677381678157</v>
      </c>
      <c r="BW52" s="1601">
        <f t="shared" si="697"/>
        <v>6646.6681943163603</v>
      </c>
      <c r="BX52" s="1601">
        <f t="shared" si="697"/>
        <v>2.2995438514545756</v>
      </c>
      <c r="BY52" s="1601">
        <f t="shared" si="697"/>
        <v>8049.6994632278365</v>
      </c>
      <c r="BZ52" s="1601">
        <f t="shared" si="697"/>
        <v>8047.3436809562545</v>
      </c>
      <c r="CA52" s="1601">
        <f t="shared" si="697"/>
        <v>2.3557822715825516</v>
      </c>
      <c r="CB52" s="3322" t="s">
        <v>239</v>
      </c>
      <c r="CC52" s="365"/>
      <c r="CD52" s="365"/>
      <c r="CE52" s="365"/>
      <c r="CF52" s="1601">
        <f t="shared" ref="CF52:DU52" si="698">SUM(CF53:CF58)</f>
        <v>6445.1921967693988</v>
      </c>
      <c r="CG52" s="1601">
        <f t="shared" si="698"/>
        <v>6443.3212990978163</v>
      </c>
      <c r="CH52" s="1601">
        <f t="shared" si="698"/>
        <v>1.8708976715825516</v>
      </c>
      <c r="CI52" s="1601">
        <f t="shared" si="698"/>
        <v>3177.0067785000001</v>
      </c>
      <c r="CJ52" s="1601">
        <f t="shared" si="698"/>
        <v>3177.0067785000001</v>
      </c>
      <c r="CK52" s="1601">
        <f t="shared" si="698"/>
        <v>0</v>
      </c>
      <c r="CL52" s="1601">
        <f t="shared" si="698"/>
        <v>4766.0355731699992</v>
      </c>
      <c r="CM52" s="1601">
        <f t="shared" si="698"/>
        <v>4766.0355731699992</v>
      </c>
      <c r="CN52" s="1601">
        <f t="shared" si="698"/>
        <v>0</v>
      </c>
      <c r="CO52" s="1601">
        <f t="shared" si="698"/>
        <v>6354.3249378799992</v>
      </c>
      <c r="CP52" s="1601">
        <f t="shared" si="698"/>
        <v>6354.3249378799992</v>
      </c>
      <c r="CQ52" s="1601">
        <f t="shared" si="698"/>
        <v>0</v>
      </c>
      <c r="CR52" s="1601">
        <f t="shared" si="698"/>
        <v>7775.3079739999994</v>
      </c>
      <c r="CS52" s="1601">
        <f t="shared" si="698"/>
        <v>7774.0937539999995</v>
      </c>
      <c r="CT52" s="1601">
        <f t="shared" si="698"/>
        <v>1.2142200000000001</v>
      </c>
      <c r="CU52" s="1601">
        <f t="shared" si="698"/>
        <v>5070.8663199999992</v>
      </c>
      <c r="CV52" s="1601">
        <f t="shared" si="698"/>
        <v>5070.1323199999997</v>
      </c>
      <c r="CW52" s="1601">
        <f t="shared" si="698"/>
        <v>0.73399999999999999</v>
      </c>
      <c r="CX52" s="1601">
        <f t="shared" si="698"/>
        <v>2537.2637800000002</v>
      </c>
      <c r="CY52" s="1601">
        <f t="shared" si="698"/>
        <v>2537.2637800000002</v>
      </c>
      <c r="CZ52" s="1601">
        <f t="shared" si="698"/>
        <v>0</v>
      </c>
      <c r="DA52" s="1601">
        <f t="shared" si="698"/>
        <v>4227.7289609999998</v>
      </c>
      <c r="DB52" s="1601">
        <f t="shared" si="698"/>
        <v>4227.7289609999998</v>
      </c>
      <c r="DC52" s="1601">
        <f t="shared" si="698"/>
        <v>0</v>
      </c>
      <c r="DD52" s="1601">
        <f t="shared" si="698"/>
        <v>6132.2974599999998</v>
      </c>
      <c r="DE52" s="1601">
        <f t="shared" si="698"/>
        <v>6132.2974599999998</v>
      </c>
      <c r="DF52" s="1601">
        <f t="shared" si="698"/>
        <v>0</v>
      </c>
      <c r="DG52" s="3682">
        <f t="shared" si="698"/>
        <v>6354.0391539766297</v>
      </c>
      <c r="DH52" s="3682">
        <f t="shared" si="698"/>
        <v>6352.6427817766298</v>
      </c>
      <c r="DI52" s="3682">
        <f t="shared" si="698"/>
        <v>1.3963722000000001</v>
      </c>
      <c r="DJ52" s="3682">
        <f t="shared" si="698"/>
        <v>6026.942609279753</v>
      </c>
      <c r="DK52" s="3682">
        <f t="shared" si="698"/>
        <v>6025.5453875757521</v>
      </c>
      <c r="DL52" s="3682">
        <f t="shared" si="698"/>
        <v>1.3972217040000001</v>
      </c>
      <c r="DM52" s="3682">
        <f t="shared" si="698"/>
        <v>2668.8681422747095</v>
      </c>
      <c r="DN52" s="3682">
        <f t="shared" si="698"/>
        <v>2668.8681422747095</v>
      </c>
      <c r="DO52" s="3682">
        <f t="shared" si="698"/>
        <v>0</v>
      </c>
      <c r="DP52" s="3682">
        <f t="shared" si="698"/>
        <v>4077.3522626036061</v>
      </c>
      <c r="DQ52" s="3682">
        <f t="shared" si="698"/>
        <v>4077.3522626036061</v>
      </c>
      <c r="DR52" s="3682">
        <f t="shared" si="698"/>
        <v>0</v>
      </c>
      <c r="DS52" s="3682">
        <f t="shared" si="698"/>
        <v>8737.3537726391951</v>
      </c>
      <c r="DT52" s="3682">
        <f t="shared" si="698"/>
        <v>8737.3537726391951</v>
      </c>
      <c r="DU52" s="3682">
        <f t="shared" si="698"/>
        <v>0</v>
      </c>
      <c r="DV52" s="2346">
        <f t="shared" ref="DV52:EA52" si="699">SUM(DV53:DV58)</f>
        <v>9152.0293146823733</v>
      </c>
      <c r="DW52" s="2346">
        <f t="shared" si="699"/>
        <v>9150.4223362823741</v>
      </c>
      <c r="DX52" s="2346">
        <f t="shared" si="699"/>
        <v>1.6069784</v>
      </c>
      <c r="DY52" s="3212">
        <f t="shared" si="699"/>
        <v>3306.69280215973</v>
      </c>
      <c r="DZ52" s="3212">
        <f t="shared" si="699"/>
        <v>3305.4658779997299</v>
      </c>
      <c r="EA52" s="4073">
        <f t="shared" si="699"/>
        <v>1.22692416</v>
      </c>
      <c r="EB52" s="2346">
        <f t="shared" ref="EB52:ED52" si="700">SUM(EB53:EB58)</f>
        <v>9152.0293146823733</v>
      </c>
      <c r="EC52" s="2346">
        <f t="shared" si="700"/>
        <v>9150.4223362823741</v>
      </c>
      <c r="ED52" s="2346">
        <f t="shared" si="700"/>
        <v>1.6069784</v>
      </c>
      <c r="EE52" s="2346">
        <f t="shared" ref="EE52:EM52" si="701">SUM(EE53:EE58)</f>
        <v>6526.5592021597295</v>
      </c>
      <c r="EF52" s="2346">
        <f t="shared" si="701"/>
        <v>6525.3322779997297</v>
      </c>
      <c r="EG52" s="2346">
        <f t="shared" si="701"/>
        <v>1.22692416</v>
      </c>
      <c r="EH52" s="4683">
        <f t="shared" ref="EH52:EJ52" si="702">SUM(EH53:EH58)</f>
        <v>0</v>
      </c>
      <c r="EI52" s="4683">
        <f t="shared" si="702"/>
        <v>0</v>
      </c>
      <c r="EJ52" s="4683">
        <f t="shared" si="702"/>
        <v>0</v>
      </c>
      <c r="EK52" s="4683">
        <f t="shared" si="701"/>
        <v>0</v>
      </c>
      <c r="EL52" s="4683">
        <f t="shared" si="701"/>
        <v>0</v>
      </c>
      <c r="EM52" s="4683">
        <f t="shared" si="701"/>
        <v>0</v>
      </c>
    </row>
    <row r="53" spans="1:143" ht="21" customHeight="1" x14ac:dyDescent="0.2">
      <c r="A53" s="3195" t="s">
        <v>826</v>
      </c>
      <c r="B53" s="3088"/>
      <c r="C53" s="3079"/>
      <c r="D53" s="3079"/>
      <c r="E53" s="3079"/>
      <c r="F53" s="1737"/>
      <c r="G53" s="1737"/>
      <c r="H53" s="3079"/>
      <c r="I53" s="3308">
        <v>995.76700000000005</v>
      </c>
      <c r="J53" s="3308"/>
      <c r="K53" s="3308">
        <v>1206</v>
      </c>
      <c r="L53" s="3308">
        <v>1608</v>
      </c>
      <c r="M53" s="3318">
        <f t="shared" si="54"/>
        <v>161.48355990909519</v>
      </c>
      <c r="N53" s="3308"/>
      <c r="O53" s="3308">
        <v>1768.8</v>
      </c>
      <c r="P53" s="3308">
        <f t="shared" si="56"/>
        <v>177.63191590000471</v>
      </c>
      <c r="Q53" s="3323">
        <v>1022.1</v>
      </c>
      <c r="R53" s="3308">
        <f t="shared" si="65"/>
        <v>102.64449414371033</v>
      </c>
      <c r="S53" s="3308"/>
      <c r="T53" s="3291" t="e">
        <f>Q53/Q87*T87</f>
        <v>#REF!</v>
      </c>
      <c r="U53" s="3291" t="e">
        <f>Q53-T53</f>
        <v>#REF!</v>
      </c>
      <c r="V53" s="3291">
        <v>1206</v>
      </c>
      <c r="W53" s="3291"/>
      <c r="X53" s="3291"/>
      <c r="Y53" s="1597">
        <v>1688.4</v>
      </c>
      <c r="Z53" s="1591">
        <f t="shared" si="57"/>
        <v>1.6518931611388319</v>
      </c>
      <c r="AA53" s="1597" t="e">
        <f>Q53*('объемы ВС и ВО 2023'!G39/'объемы ВС и ВО 2023'!#REF!)</f>
        <v>#REF!</v>
      </c>
      <c r="AB53" s="1591" t="e">
        <f t="shared" si="1"/>
        <v>#REF!</v>
      </c>
      <c r="AC53" s="1597" t="e">
        <f>$AC$87/$AA$87*AA53</f>
        <v>#REF!</v>
      </c>
      <c r="AD53" s="1597" t="e">
        <f t="shared" si="68"/>
        <v>#REF!</v>
      </c>
      <c r="AE53" s="1597">
        <v>1608</v>
      </c>
      <c r="AF53" s="1597">
        <f>AF87/AE87*AE53</f>
        <v>1588.1737063629612</v>
      </c>
      <c r="AG53" s="1597">
        <f>AE53-AF53</f>
        <v>19.826293637038816</v>
      </c>
      <c r="AH53" s="1598">
        <f t="shared" si="59"/>
        <v>777.31000000000006</v>
      </c>
      <c r="AI53" s="1592" t="e">
        <f t="shared" si="60"/>
        <v>#REF!</v>
      </c>
      <c r="AJ53" s="1597">
        <v>768.46</v>
      </c>
      <c r="AK53" s="1597">
        <v>8.85</v>
      </c>
      <c r="AL53" s="1598">
        <f t="shared" si="61"/>
        <v>777.30736823713823</v>
      </c>
      <c r="AM53" s="1592" t="e">
        <f t="shared" si="62"/>
        <v>#REF!</v>
      </c>
      <c r="AN53" s="1597">
        <f>вод.налог!D26*AN87/(AN87+AO87)</f>
        <v>768.45898483550479</v>
      </c>
      <c r="AO53" s="1597">
        <f>вод.налог!D26-вода!AN53</f>
        <v>8.8483834016334413</v>
      </c>
      <c r="AP53" s="1593" t="e">
        <f t="shared" si="63"/>
        <v>#REF!</v>
      </c>
      <c r="AQ53" s="1593" t="e">
        <f t="shared" si="530"/>
        <v>#REF!</v>
      </c>
      <c r="AR53" s="1593" t="e">
        <f t="shared" si="64"/>
        <v>#REF!</v>
      </c>
      <c r="AS53" s="1593" t="e">
        <f t="shared" si="505"/>
        <v>#REF!</v>
      </c>
      <c r="AT53" s="1597">
        <v>872.97</v>
      </c>
      <c r="AU53" s="1597">
        <f>AT53*AU87/(AU87+AV87)</f>
        <v>866.96155530324347</v>
      </c>
      <c r="AV53" s="1597">
        <f>SUM(AT53-AU53)</f>
        <v>6.0084446967565555</v>
      </c>
      <c r="AW53" s="1597">
        <f>AX53+AY53</f>
        <v>1745.8500000000001</v>
      </c>
      <c r="AX53" s="1597">
        <v>1737.44</v>
      </c>
      <c r="AY53" s="1597">
        <v>8.41</v>
      </c>
      <c r="AZ53" s="1597">
        <v>2004.55</v>
      </c>
      <c r="BA53" s="1594">
        <f t="shared" ref="BA53" si="703">SUM(AZ53/AL53)</f>
        <v>2.5788382844564248</v>
      </c>
      <c r="BB53" s="1597">
        <f>AZ53*BB87/(BB87+BC87)</f>
        <v>1993.8441044028666</v>
      </c>
      <c r="BC53" s="1597">
        <f>SUM(AZ53-BB53)</f>
        <v>10.705895597133349</v>
      </c>
      <c r="BD53" s="1597">
        <f>BE53+BF53</f>
        <v>1193.4749305587886</v>
      </c>
      <c r="BE53" s="1597">
        <f>вод.налог!D36</f>
        <v>1186.1707105587886</v>
      </c>
      <c r="BF53" s="1597">
        <f>0.341*BF87</f>
        <v>7.3042200000000008</v>
      </c>
      <c r="BG53" s="1597">
        <f t="shared" si="71"/>
        <v>2004.55</v>
      </c>
      <c r="BH53" s="1597">
        <v>2003.2</v>
      </c>
      <c r="BI53" s="1597">
        <v>1.35</v>
      </c>
      <c r="BJ53" s="1597">
        <f t="shared" ref="BJ53:BJ59" si="704">BK53+BL53</f>
        <v>2304.7199999999998</v>
      </c>
      <c r="BK53" s="1597">
        <v>2303.6</v>
      </c>
      <c r="BL53" s="1597">
        <v>1.1200000000000001</v>
      </c>
      <c r="BM53" s="1598">
        <f t="shared" ref="BM53:BM56" si="705">SUM(BN53+BO53)</f>
        <v>1436.42</v>
      </c>
      <c r="BN53" s="1597">
        <v>1426.75</v>
      </c>
      <c r="BO53" s="1597">
        <v>9.67</v>
      </c>
      <c r="BP53" s="1598">
        <f t="shared" ref="BP53:BP58" si="706">SUM(BQ53+BR53)</f>
        <v>2652</v>
      </c>
      <c r="BQ53" s="1597">
        <v>2651.04</v>
      </c>
      <c r="BR53" s="1597">
        <v>0.96</v>
      </c>
      <c r="BS53" s="1597">
        <f t="shared" ref="BS53:BS59" si="707">BT53+BU53</f>
        <v>2304.7199999999998</v>
      </c>
      <c r="BT53" s="1597">
        <v>2303.6</v>
      </c>
      <c r="BU53" s="1597">
        <v>1.1200000000000001</v>
      </c>
      <c r="BV53" s="1597">
        <f>вод.налог!M70</f>
        <v>1827.8817929780155</v>
      </c>
      <c r="BW53" s="1597">
        <f>вод.налог!M73</f>
        <v>1826.9639063780155</v>
      </c>
      <c r="BX53" s="1597">
        <f>вод.налог!M72</f>
        <v>0.91788659999999989</v>
      </c>
      <c r="BY53" s="1597">
        <f>SUM(вод.налог!AH70)</f>
        <v>3506.5972664584369</v>
      </c>
      <c r="BZ53" s="1597">
        <f>SUM(вод.налог!AH73)</f>
        <v>3505.5423818584377</v>
      </c>
      <c r="CA53" s="1597">
        <f>SUM(вод.налог!AH72)</f>
        <v>1.0548846000000001</v>
      </c>
      <c r="CB53" s="3322" t="s">
        <v>960</v>
      </c>
      <c r="CC53" s="365"/>
      <c r="CD53" s="365"/>
      <c r="CE53" s="365"/>
      <c r="CF53" s="1597">
        <f>SUM(CG53:CH53)</f>
        <v>1902.09</v>
      </c>
      <c r="CG53" s="1597">
        <f>SUM(НАЛОГИ!T10)</f>
        <v>1901.52</v>
      </c>
      <c r="CH53" s="1597">
        <f>SUM(НАЛОГИ!T19)</f>
        <v>0.56999999999999995</v>
      </c>
      <c r="CI53" s="1597">
        <f>SUM(CJ53:CK53)</f>
        <v>1524.3667784999998</v>
      </c>
      <c r="CJ53" s="1597">
        <f>SUM(вод.налог!AN73+вод.налог!AN72)</f>
        <v>1524.3667784999998</v>
      </c>
      <c r="CK53" s="1597">
        <v>0</v>
      </c>
      <c r="CL53" s="1597">
        <f>SUM(CM53:CN53)</f>
        <v>2286.565573169999</v>
      </c>
      <c r="CM53" s="1597">
        <f>SUM(вод.налог!AQ73+вод.налог!AQ72)</f>
        <v>2286.565573169999</v>
      </c>
      <c r="CN53" s="1597">
        <v>0</v>
      </c>
      <c r="CO53" s="1597">
        <f>SUM(CP53:CQ53)</f>
        <v>3048.7609378799993</v>
      </c>
      <c r="CP53" s="1597">
        <f>SUM(вод.налог!AT70)-0.003</f>
        <v>3048.7609378799993</v>
      </c>
      <c r="CQ53" s="1597">
        <v>0</v>
      </c>
      <c r="CR53" s="1597">
        <f>SUM(CS53:CT53)</f>
        <v>4461.8279739999998</v>
      </c>
      <c r="CS53" s="1597">
        <f>SUM(вод.налог!AW73)</f>
        <v>4460.613754</v>
      </c>
      <c r="CT53" s="1597">
        <f>SUM(вод.налог!AW72)</f>
        <v>1.2142200000000001</v>
      </c>
      <c r="CU53" s="1597">
        <f>SUM(CV53:CW53)</f>
        <v>2468.9839999999999</v>
      </c>
      <c r="CV53" s="1597">
        <f>SUM(вод.налог!AZ73)</f>
        <v>2468.25</v>
      </c>
      <c r="CW53" s="1597">
        <f>SUM(вод.налог!AZ72)</f>
        <v>0.73399999999999999</v>
      </c>
      <c r="CX53" s="1597">
        <f>SUM(CY53:CZ53)</f>
        <v>898.33178000000021</v>
      </c>
      <c r="CY53" s="1597">
        <f>SUM(вод.налог!BC73+вод.налог!BC72)</f>
        <v>898.33178000000021</v>
      </c>
      <c r="CZ53" s="1597">
        <v>0</v>
      </c>
      <c r="DA53" s="1597">
        <f>SUM(DB53:DC53)</f>
        <v>1773.6949609999999</v>
      </c>
      <c r="DB53" s="1597">
        <f>SUM(вод.налог!BF72+вод.налог!BF73)</f>
        <v>1773.6949609999999</v>
      </c>
      <c r="DC53" s="1597">
        <v>0</v>
      </c>
      <c r="DD53" s="1597">
        <f>SUM(DE53:DF53)</f>
        <v>2893.9258599999998</v>
      </c>
      <c r="DE53" s="1597">
        <f>SUM(вод.налог!BI70)</f>
        <v>2893.9258599999998</v>
      </c>
      <c r="DF53" s="1597">
        <v>0</v>
      </c>
      <c r="DG53" s="1597">
        <f>SUM(DH53:DI53)</f>
        <v>3107.8925539766296</v>
      </c>
      <c r="DH53" s="1597">
        <f>SUM(вод.налог!BL73)</f>
        <v>3106.4961817766298</v>
      </c>
      <c r="DI53" s="1597">
        <f>SUM(вод.налог!BL72)</f>
        <v>1.3963722000000001</v>
      </c>
      <c r="DJ53" s="1597">
        <f>SUM(DK53:DL53)</f>
        <v>2835.6957592797526</v>
      </c>
      <c r="DK53" s="1597">
        <f>SUM(вод.налог!BO73)</f>
        <v>2834.2985375757526</v>
      </c>
      <c r="DL53" s="1597">
        <f>SUM(вод.налог!BO72)</f>
        <v>1.3972217040000001</v>
      </c>
      <c r="DM53" s="1597">
        <f>SUM(DN53:DO53)</f>
        <v>1092.4955422747096</v>
      </c>
      <c r="DN53" s="1597">
        <f>SUM(вод.налог!BR70)</f>
        <v>1092.4955422747096</v>
      </c>
      <c r="DO53" s="1597">
        <v>0</v>
      </c>
      <c r="DP53" s="1597">
        <f>SUM(DQ53:DR53)</f>
        <v>1704.2504626036064</v>
      </c>
      <c r="DQ53" s="1597">
        <f>SUM(вод.налог!BU70)</f>
        <v>1704.2504626036064</v>
      </c>
      <c r="DR53" s="1597">
        <v>0</v>
      </c>
      <c r="DS53" s="1597">
        <f>SUM(DT53:DU53)</f>
        <v>2378.0365726391947</v>
      </c>
      <c r="DT53" s="1597">
        <f>SUM(вод.налог!BX70)</f>
        <v>2378.0365726391947</v>
      </c>
      <c r="DU53" s="1597">
        <v>0</v>
      </c>
      <c r="DV53" s="2343">
        <f>SUM(DW53:DX53)</f>
        <v>3529.8302286823737</v>
      </c>
      <c r="DW53" s="2343">
        <f>SUM(вод.налог!CA73)</f>
        <v>3528.2232502823736</v>
      </c>
      <c r="DX53" s="2343">
        <f>SUM(вод.налог!CA72)</f>
        <v>1.6069784</v>
      </c>
      <c r="DY53" s="3211">
        <f>SUM(DZ53:EA53)</f>
        <v>3306.69280215973</v>
      </c>
      <c r="DZ53" s="3211">
        <f>SUM(вод.налог!CD73)</f>
        <v>3305.4658779997299</v>
      </c>
      <c r="EA53" s="4071">
        <f>SUM(вод.налог!CD72)</f>
        <v>1.22692416</v>
      </c>
      <c r="EB53" s="2343">
        <f>SUM(EC53:ED53)</f>
        <v>3529.8302286823737</v>
      </c>
      <c r="EC53" s="2343">
        <f>SUM(вод.налог!CA73)</f>
        <v>3528.2232502823736</v>
      </c>
      <c r="ED53" s="2343">
        <f>SUM(вод.налог!CA72)</f>
        <v>1.6069784</v>
      </c>
      <c r="EE53" s="2343">
        <f>SUM(EF53:EG53)</f>
        <v>3306.69280215973</v>
      </c>
      <c r="EF53" s="2343">
        <f>SUM(вод.налог!CD73)</f>
        <v>3305.4658779997299</v>
      </c>
      <c r="EG53" s="2343">
        <f>SUM(вод.налог!CD72)</f>
        <v>1.22692416</v>
      </c>
      <c r="EH53" s="4681">
        <f>SUM(EI53:EJ53)</f>
        <v>0</v>
      </c>
      <c r="EI53" s="1597">
        <f>SUM(вод.налог!CM70)</f>
        <v>0</v>
      </c>
      <c r="EJ53" s="4681">
        <v>0</v>
      </c>
      <c r="EK53" s="4681">
        <f>SUM(EL53:EM53)</f>
        <v>0</v>
      </c>
      <c r="EL53" s="4681">
        <f>SUM(вод.налог!CM70)</f>
        <v>0</v>
      </c>
      <c r="EM53" s="4681">
        <v>0</v>
      </c>
    </row>
    <row r="54" spans="1:143" ht="21" customHeight="1" x14ac:dyDescent="0.2">
      <c r="A54" s="3195" t="s">
        <v>522</v>
      </c>
      <c r="B54" s="3088"/>
      <c r="C54" s="3079"/>
      <c r="D54" s="3079"/>
      <c r="E54" s="3079"/>
      <c r="F54" s="1737"/>
      <c r="G54" s="1737"/>
      <c r="H54" s="3079"/>
      <c r="I54" s="3308">
        <v>141.6</v>
      </c>
      <c r="J54" s="3308"/>
      <c r="K54" s="3308">
        <v>52.5</v>
      </c>
      <c r="L54" s="3308">
        <v>86.5</v>
      </c>
      <c r="M54" s="3318">
        <f t="shared" si="54"/>
        <v>61.087570621468934</v>
      </c>
      <c r="N54" s="3308"/>
      <c r="O54" s="3308">
        <v>117</v>
      </c>
      <c r="P54" s="3308">
        <f t="shared" si="56"/>
        <v>82.627118644067792</v>
      </c>
      <c r="Q54" s="3323">
        <v>117</v>
      </c>
      <c r="R54" s="3308">
        <f t="shared" si="65"/>
        <v>82.627118644067792</v>
      </c>
      <c r="S54" s="3308"/>
      <c r="T54" s="3291" t="e">
        <f>Q54/Q87*T87</f>
        <v>#REF!</v>
      </c>
      <c r="U54" s="3291" t="e">
        <f>Q54-T54</f>
        <v>#REF!</v>
      </c>
      <c r="V54" s="3291">
        <v>92.8</v>
      </c>
      <c r="W54" s="3291"/>
      <c r="X54" s="3291"/>
      <c r="Y54" s="1597">
        <v>122.9</v>
      </c>
      <c r="Z54" s="1591">
        <f t="shared" si="57"/>
        <v>1.0504273504273505</v>
      </c>
      <c r="AA54" s="1597">
        <f>Y54</f>
        <v>122.9</v>
      </c>
      <c r="AB54" s="1591">
        <f t="shared" si="1"/>
        <v>1.0504273504273505</v>
      </c>
      <c r="AC54" s="1597" t="e">
        <f>$AC$87/$AA$87*AA54</f>
        <v>#REF!</v>
      </c>
      <c r="AD54" s="1597">
        <v>1.21</v>
      </c>
      <c r="AE54" s="1597">
        <v>93.2</v>
      </c>
      <c r="AF54" s="1597">
        <f>AF87/AE87*AE54</f>
        <v>92.050864075266162</v>
      </c>
      <c r="AG54" s="1597">
        <f>AE54-AF54</f>
        <v>1.1491359247338409</v>
      </c>
      <c r="AH54" s="1598">
        <f t="shared" si="59"/>
        <v>123</v>
      </c>
      <c r="AI54" s="1592">
        <f t="shared" si="60"/>
        <v>1.000813669650122</v>
      </c>
      <c r="AJ54" s="1597">
        <v>121.5</v>
      </c>
      <c r="AK54" s="1597">
        <v>1.5</v>
      </c>
      <c r="AL54" s="1598" t="e">
        <f t="shared" si="61"/>
        <v>#REF!</v>
      </c>
      <c r="AM54" s="1592" t="e">
        <f t="shared" si="62"/>
        <v>#REF!</v>
      </c>
      <c r="AN54" s="1597" t="e">
        <f>AC54</f>
        <v>#REF!</v>
      </c>
      <c r="AO54" s="1597">
        <f>AD54</f>
        <v>1.21</v>
      </c>
      <c r="AP54" s="1593">
        <f t="shared" si="63"/>
        <v>0</v>
      </c>
      <c r="AQ54" s="1593" t="e">
        <f t="shared" si="530"/>
        <v>#REF!</v>
      </c>
      <c r="AR54" s="1593" t="e">
        <f t="shared" si="64"/>
        <v>#REF!</v>
      </c>
      <c r="AS54" s="1593" t="e">
        <f t="shared" si="505"/>
        <v>#REF!</v>
      </c>
      <c r="AT54" s="1597">
        <v>44.58</v>
      </c>
      <c r="AU54" s="1597">
        <f>AT54*AU87/(AU87+AV87)</f>
        <v>44.273166472408661</v>
      </c>
      <c r="AV54" s="1597">
        <f>SUM(AT54-AU54)</f>
        <v>0.30683352759133697</v>
      </c>
      <c r="AW54" s="1597">
        <f t="shared" ref="AW54:AW56" si="708">AX54+AY54</f>
        <v>88.7</v>
      </c>
      <c r="AX54" s="1597">
        <v>88.27</v>
      </c>
      <c r="AY54" s="1597">
        <v>0.43</v>
      </c>
      <c r="AZ54" s="1597">
        <f>SUM(AE54)</f>
        <v>93.2</v>
      </c>
      <c r="BA54" s="1594" t="e">
        <f t="shared" ref="BA54" si="709">SUM(AZ54/AL54)</f>
        <v>#REF!</v>
      </c>
      <c r="BB54" s="1597">
        <f>AZ54*BB87/(BB87+BC87)</f>
        <v>92.702237674464186</v>
      </c>
      <c r="BC54" s="1597">
        <f>SUM(AZ54-BB54)</f>
        <v>0.49776232553581679</v>
      </c>
      <c r="BD54" s="1597">
        <f>AW54/3*4</f>
        <v>118.26666666666667</v>
      </c>
      <c r="BE54" s="1597">
        <f>BD54*BE87/(BE87+BF87)</f>
        <v>117.63502835085798</v>
      </c>
      <c r="BF54" s="1597">
        <f>SUM(BD54-BE54)</f>
        <v>0.63163831580868646</v>
      </c>
      <c r="BG54" s="1597">
        <f t="shared" si="71"/>
        <v>91.16</v>
      </c>
      <c r="BH54" s="1597">
        <v>91.1</v>
      </c>
      <c r="BI54" s="1597">
        <v>0.06</v>
      </c>
      <c r="BJ54" s="1597">
        <f t="shared" si="704"/>
        <v>87.11</v>
      </c>
      <c r="BK54" s="1597">
        <v>87.07</v>
      </c>
      <c r="BL54" s="1597">
        <v>0.04</v>
      </c>
      <c r="BM54" s="1598">
        <f t="shared" si="705"/>
        <v>91.16</v>
      </c>
      <c r="BN54" s="1597">
        <v>90.67</v>
      </c>
      <c r="BO54" s="1597">
        <v>0.49</v>
      </c>
      <c r="BP54" s="1598">
        <f t="shared" si="706"/>
        <v>84.27</v>
      </c>
      <c r="BQ54" s="1597">
        <v>84.24</v>
      </c>
      <c r="BR54" s="1597">
        <v>0.03</v>
      </c>
      <c r="BS54" s="1597">
        <f t="shared" si="707"/>
        <v>87.11</v>
      </c>
      <c r="BT54" s="1597">
        <v>87.07</v>
      </c>
      <c r="BU54" s="1597">
        <v>0.04</v>
      </c>
      <c r="BV54" s="1597">
        <f>BJ54</f>
        <v>87.11</v>
      </c>
      <c r="BW54" s="1597">
        <f>BV54/$BV$87*$BW$87</f>
        <v>87.067900580568832</v>
      </c>
      <c r="BX54" s="1597">
        <f>BV54/$BV$87*$BX$87</f>
        <v>4.2099419431170626E-2</v>
      </c>
      <c r="BY54" s="1597">
        <f>SUM(BZ54:CA54)</f>
        <v>87.11</v>
      </c>
      <c r="BZ54" s="1597">
        <f>SUM(НАЛОГИ!S11)</f>
        <v>87.07</v>
      </c>
      <c r="CA54" s="1597">
        <f>SUM(НАЛОГИ!S20)</f>
        <v>0.04</v>
      </c>
      <c r="CB54" s="3322" t="s">
        <v>1992</v>
      </c>
      <c r="CC54" s="365"/>
      <c r="CD54" s="365"/>
      <c r="CE54" s="365"/>
      <c r="CF54" s="1597">
        <f>SUM(CG54:CH54)</f>
        <v>87.11</v>
      </c>
      <c r="CG54" s="1597">
        <f>SUM(НАЛОГИ!T11)</f>
        <v>87.07</v>
      </c>
      <c r="CH54" s="1597">
        <f>SUM(НАЛОГИ!T20)</f>
        <v>0.04</v>
      </c>
      <c r="CI54" s="1597">
        <f t="shared" ref="CI54:CI58" si="710">SUM(CJ54:CK54)</f>
        <v>39.44</v>
      </c>
      <c r="CJ54" s="1597">
        <f>SUM(НАЛОГИ!U11)</f>
        <v>39.44</v>
      </c>
      <c r="CK54" s="1597">
        <f>SUM(НАЛОГИ!U20)</f>
        <v>0</v>
      </c>
      <c r="CL54" s="1597">
        <f t="shared" ref="CL54:CL58" si="711">SUM(CM54:CN54)</f>
        <v>59.67</v>
      </c>
      <c r="CM54" s="1597">
        <f>SUM(НАЛОГИ!V11)</f>
        <v>59.67</v>
      </c>
      <c r="CN54" s="1597">
        <f>SUM(НАЛОГИ!V20)</f>
        <v>0</v>
      </c>
      <c r="CO54" s="1597">
        <f t="shared" ref="CO54:CO58" si="712">SUM(CP54:CQ54)</f>
        <v>79.156999999999996</v>
      </c>
      <c r="CP54" s="1597">
        <f>SUM(НАЛОГИ!W11)-0.003</f>
        <v>79.156999999999996</v>
      </c>
      <c r="CQ54" s="1597">
        <f>SUM(НАЛОГИ!W20)</f>
        <v>0</v>
      </c>
      <c r="CR54" s="1597">
        <f t="shared" ref="CR54:CR58" si="713">SUM(CS54:CT54)</f>
        <v>87.07</v>
      </c>
      <c r="CS54" s="1597">
        <f>SUM(НАЛОГИ!X11)</f>
        <v>87.07</v>
      </c>
      <c r="CT54" s="1597">
        <f>SUM(НАЛОГИ!X20)</f>
        <v>0</v>
      </c>
      <c r="CU54" s="1597">
        <f t="shared" ref="CU54:CU58" si="714">SUM(CV54:CW54)</f>
        <v>79.16</v>
      </c>
      <c r="CV54" s="1597">
        <f>SUM(НАЛОГИ!Y11)</f>
        <v>79.16</v>
      </c>
      <c r="CW54" s="1597">
        <f>SUM(НАЛОГИ!AA20)</f>
        <v>0</v>
      </c>
      <c r="CX54" s="1597">
        <f t="shared" ref="CX54:CX58" si="715">SUM(CY54:CZ54)</f>
        <v>35.857999999999997</v>
      </c>
      <c r="CY54" s="1597">
        <f>SUM(НАЛОГИ!Z11)</f>
        <v>35.857999999999997</v>
      </c>
      <c r="CZ54" s="1597">
        <f>SUM(НАЛОГИ!AM20)</f>
        <v>0</v>
      </c>
      <c r="DA54" s="1597">
        <f t="shared" ref="DA54:DA58" si="716">SUM(DB54:DC54)</f>
        <v>53.784999999999997</v>
      </c>
      <c r="DB54" s="1597">
        <f>SUM(НАЛОГИ!AA11)</f>
        <v>53.784999999999997</v>
      </c>
      <c r="DC54" s="1597">
        <f>SUM(НАЛОГИ!AN20)</f>
        <v>0</v>
      </c>
      <c r="DD54" s="1597">
        <f t="shared" ref="DD54:DD58" si="717">SUM(DE54:DF54)</f>
        <v>71.385000000000005</v>
      </c>
      <c r="DE54" s="1597">
        <f>SUM(НАЛОГИ!AB11)</f>
        <v>71.385000000000005</v>
      </c>
      <c r="DF54" s="1597">
        <f>SUM(НАЛОГИ!AO20)</f>
        <v>0</v>
      </c>
      <c r="DG54" s="1597">
        <f t="shared" ref="DG54:DG58" si="718">SUM(DH54:DI54)</f>
        <v>79.16</v>
      </c>
      <c r="DH54" s="1597">
        <f>SUM(НАЛОГИ!AC11)</f>
        <v>79.16</v>
      </c>
      <c r="DI54" s="1597">
        <f>SUM(НАЛОГИ!AP20)</f>
        <v>0</v>
      </c>
      <c r="DJ54" s="1597">
        <f t="shared" ref="DJ54:DJ58" si="719">SUM(DK54:DL54)</f>
        <v>71.39</v>
      </c>
      <c r="DK54" s="1597">
        <f>SUM(НАЛОГИ!AD11)</f>
        <v>71.39</v>
      </c>
      <c r="DL54" s="1597">
        <f>SUM(НАЛОГИ!AS20)</f>
        <v>0</v>
      </c>
      <c r="DM54" s="1597">
        <f t="shared" ref="DM54:DM58" si="720">SUM(DN54:DO54)</f>
        <v>45.22</v>
      </c>
      <c r="DN54" s="1597">
        <f>SUM(НАЛОГИ!AE11)</f>
        <v>45.22</v>
      </c>
      <c r="DO54" s="1597">
        <f>SUM(НАЛОГИ!AX20)</f>
        <v>0</v>
      </c>
      <c r="DP54" s="1597">
        <f t="shared" ref="DP54:DP58" si="721">SUM(DQ54:DR54)</f>
        <v>68.043999999999997</v>
      </c>
      <c r="DQ54" s="1597">
        <f>SUM(НАЛОГИ!AF11)</f>
        <v>68.043999999999997</v>
      </c>
      <c r="DR54" s="1597">
        <f>SUM(НАЛОГИ!BA20)</f>
        <v>0</v>
      </c>
      <c r="DS54" s="1597">
        <f t="shared" ref="DS54:DS58" si="722">SUM(DT54:DU54)</f>
        <v>90.387</v>
      </c>
      <c r="DT54" s="1597">
        <f>SUM(НАЛОГИ!AG11)</f>
        <v>90.387</v>
      </c>
      <c r="DU54" s="1597">
        <f>SUM(НАЛОГИ!BD20)</f>
        <v>0</v>
      </c>
      <c r="DV54" s="2343">
        <f t="shared" ref="DV54:DV56" si="723">SUM(DW54:DX54)</f>
        <v>90.387</v>
      </c>
      <c r="DW54" s="2343">
        <f>SUM(НАЛОГИ!AH11)</f>
        <v>90.387</v>
      </c>
      <c r="DX54" s="2343">
        <f>SUM(НАЛОГИ!BE20)</f>
        <v>0</v>
      </c>
      <c r="DY54" s="3211">
        <f t="shared" ref="DY54:DY56" si="724">SUM(DZ54:EA54)</f>
        <v>0</v>
      </c>
      <c r="DZ54" s="3211">
        <f>SUM(НАЛОГИ!AS11)</f>
        <v>0</v>
      </c>
      <c r="EA54" s="4071">
        <f>SUM(НАЛОГИ!BH20)</f>
        <v>0</v>
      </c>
      <c r="EB54" s="2343">
        <f t="shared" ref="EB54:EB56" si="725">SUM(EC54:ED54)</f>
        <v>90.387</v>
      </c>
      <c r="EC54" s="2343">
        <f>SUM(НАЛОГИ!AH11)</f>
        <v>90.387</v>
      </c>
      <c r="ED54" s="2343">
        <f>SUM(НАЛОГИ!BK20)</f>
        <v>0</v>
      </c>
      <c r="EE54" s="2343">
        <f t="shared" ref="EE54:EE56" si="726">SUM(EF54:EG54)</f>
        <v>90.387</v>
      </c>
      <c r="EF54" s="2343">
        <f>SUM(НАЛОГИ!AI11)</f>
        <v>90.387</v>
      </c>
      <c r="EG54" s="2343">
        <v>0</v>
      </c>
      <c r="EH54" s="4681">
        <f t="shared" ref="EH54:EH56" si="727">SUM(EI54:EJ54)</f>
        <v>0</v>
      </c>
      <c r="EI54" s="1597">
        <f>SUM(НАЛОГИ!AV11)</f>
        <v>0</v>
      </c>
      <c r="EJ54" s="4681">
        <f>SUM(НАЛОГИ!BP20)</f>
        <v>0</v>
      </c>
      <c r="EK54" s="4681">
        <f t="shared" ref="EK54:EK56" si="728">SUM(EL54:EM54)</f>
        <v>0</v>
      </c>
      <c r="EL54" s="4681">
        <f>SUM(НАЛОГИ!AV11)</f>
        <v>0</v>
      </c>
      <c r="EM54" s="4681">
        <f>SUM(НАЛОГИ!BS20)</f>
        <v>0</v>
      </c>
    </row>
    <row r="55" spans="1:143" ht="21" hidden="1" customHeight="1" x14ac:dyDescent="0.2">
      <c r="A55" s="3195" t="s">
        <v>523</v>
      </c>
      <c r="B55" s="3088"/>
      <c r="C55" s="3079"/>
      <c r="D55" s="3079"/>
      <c r="E55" s="3079"/>
      <c r="F55" s="1737"/>
      <c r="G55" s="1737"/>
      <c r="H55" s="3079"/>
      <c r="I55" s="3308">
        <v>0</v>
      </c>
      <c r="J55" s="3308"/>
      <c r="K55" s="3308">
        <v>0</v>
      </c>
      <c r="L55" s="3308">
        <v>0</v>
      </c>
      <c r="M55" s="3318" t="e">
        <f t="shared" si="54"/>
        <v>#DIV/0!</v>
      </c>
      <c r="N55" s="3308"/>
      <c r="O55" s="3308"/>
      <c r="P55" s="3308"/>
      <c r="Q55" s="3323"/>
      <c r="R55" s="3308"/>
      <c r="S55" s="3308"/>
      <c r="T55" s="3291"/>
      <c r="U55" s="3291">
        <f>Q55-T55</f>
        <v>0</v>
      </c>
      <c r="V55" s="3291"/>
      <c r="W55" s="3291"/>
      <c r="X55" s="3291"/>
      <c r="Y55" s="1597">
        <v>0</v>
      </c>
      <c r="Z55" s="1591"/>
      <c r="AA55" s="1597">
        <v>0</v>
      </c>
      <c r="AB55" s="1591"/>
      <c r="AC55" s="1597" t="e">
        <f>$AC$87/$AA$87*AA55</f>
        <v>#REF!</v>
      </c>
      <c r="AD55" s="1597" t="e">
        <f t="shared" si="68"/>
        <v>#REF!</v>
      </c>
      <c r="AE55" s="1597">
        <v>0</v>
      </c>
      <c r="AF55" s="1597">
        <f>AE55*AF87/(AF87+AG87)</f>
        <v>0</v>
      </c>
      <c r="AG55" s="1597">
        <f>SUM(AE55-AF55)</f>
        <v>0</v>
      </c>
      <c r="AH55" s="1598">
        <f t="shared" si="59"/>
        <v>0</v>
      </c>
      <c r="AI55" s="1592"/>
      <c r="AJ55" s="1597">
        <v>0</v>
      </c>
      <c r="AK55" s="1597">
        <v>0</v>
      </c>
      <c r="AL55" s="1598">
        <f t="shared" si="61"/>
        <v>0</v>
      </c>
      <c r="AM55" s="1592"/>
      <c r="AN55" s="1597"/>
      <c r="AO55" s="1597"/>
      <c r="AP55" s="1593">
        <f t="shared" si="63"/>
        <v>0</v>
      </c>
      <c r="AQ55" s="1593"/>
      <c r="AR55" s="1593"/>
      <c r="AS55" s="1593">
        <f t="shared" si="505"/>
        <v>0</v>
      </c>
      <c r="AT55" s="1597">
        <v>0</v>
      </c>
      <c r="AU55" s="1597">
        <f>AT55*AU87/(AU87+AV87)</f>
        <v>0</v>
      </c>
      <c r="AV55" s="1597">
        <f>SUM(AT55-AU55)</f>
        <v>0</v>
      </c>
      <c r="AW55" s="1597">
        <f t="shared" si="708"/>
        <v>0</v>
      </c>
      <c r="AX55" s="1597">
        <v>0</v>
      </c>
      <c r="AY55" s="1597">
        <v>0</v>
      </c>
      <c r="AZ55" s="1597">
        <v>0</v>
      </c>
      <c r="BA55" s="1594"/>
      <c r="BB55" s="1597">
        <f>AZ55*BB87/(BB87+BC87)</f>
        <v>0</v>
      </c>
      <c r="BC55" s="1597">
        <f>SUM(AZ55-BB55)</f>
        <v>0</v>
      </c>
      <c r="BD55" s="1597">
        <v>0</v>
      </c>
      <c r="BE55" s="1597">
        <f>BD55*BE87/(BE87+BF87)</f>
        <v>0</v>
      </c>
      <c r="BF55" s="1597">
        <f>SUM(BD55-BE55)</f>
        <v>0</v>
      </c>
      <c r="BG55" s="1597">
        <f t="shared" si="71"/>
        <v>0</v>
      </c>
      <c r="BH55" s="1597">
        <f>BF55*BH87/(BH87+BI87)</f>
        <v>0</v>
      </c>
      <c r="BI55" s="1597">
        <f>SUM(BF55-BH55)</f>
        <v>0</v>
      </c>
      <c r="BJ55" s="1597">
        <f t="shared" si="704"/>
        <v>0</v>
      </c>
      <c r="BK55" s="1597">
        <f>BI55*BK87/(BK87+BL87)</f>
        <v>0</v>
      </c>
      <c r="BL55" s="1597">
        <f>SUM(BI55-BK55)</f>
        <v>0</v>
      </c>
      <c r="BM55" s="1598">
        <f t="shared" si="705"/>
        <v>0</v>
      </c>
      <c r="BN55" s="1597">
        <v>0</v>
      </c>
      <c r="BO55" s="1597">
        <v>0</v>
      </c>
      <c r="BP55" s="1598">
        <f t="shared" si="706"/>
        <v>0</v>
      </c>
      <c r="BQ55" s="1597">
        <v>0</v>
      </c>
      <c r="BR55" s="1597">
        <v>0</v>
      </c>
      <c r="BS55" s="1597">
        <f t="shared" si="707"/>
        <v>0</v>
      </c>
      <c r="BT55" s="1597">
        <f>BL55*BT87/(BT87+BU87)</f>
        <v>0</v>
      </c>
      <c r="BU55" s="1597">
        <f>SUM(BL55-BT55)</f>
        <v>0</v>
      </c>
      <c r="BV55" s="1597">
        <v>0</v>
      </c>
      <c r="BW55" s="1597">
        <f>BV55/$BV$87*$BW$87</f>
        <v>0</v>
      </c>
      <c r="BX55" s="1597">
        <f>BV55/$BV$87*$BX$87</f>
        <v>0</v>
      </c>
      <c r="BY55" s="1597">
        <v>0</v>
      </c>
      <c r="BZ55" s="1597">
        <f>BY55/$BV$87*$BW$87</f>
        <v>0</v>
      </c>
      <c r="CA55" s="1597">
        <f>BY55/$BV$87*$BX$87</f>
        <v>0</v>
      </c>
      <c r="CB55" s="3322"/>
      <c r="CC55" s="365"/>
      <c r="CD55" s="365"/>
      <c r="CE55" s="365"/>
      <c r="CF55" s="1597">
        <v>0</v>
      </c>
      <c r="CG55" s="1597">
        <f>CF55/$BV$87*$BW$87</f>
        <v>0</v>
      </c>
      <c r="CH55" s="1597">
        <f>CF55/$BV$87*$BX$87</f>
        <v>0</v>
      </c>
      <c r="CI55" s="1597">
        <f t="shared" si="710"/>
        <v>0</v>
      </c>
      <c r="CJ55" s="1597">
        <v>0</v>
      </c>
      <c r="CK55" s="1597">
        <v>0</v>
      </c>
      <c r="CL55" s="1597">
        <f t="shared" si="711"/>
        <v>0</v>
      </c>
      <c r="CM55" s="1597">
        <v>0</v>
      </c>
      <c r="CN55" s="1597">
        <v>0</v>
      </c>
      <c r="CO55" s="1597">
        <f t="shared" si="712"/>
        <v>0</v>
      </c>
      <c r="CP55" s="1597">
        <v>0</v>
      </c>
      <c r="CQ55" s="1597">
        <v>0</v>
      </c>
      <c r="CR55" s="1597">
        <f t="shared" si="713"/>
        <v>0</v>
      </c>
      <c r="CS55" s="1597">
        <v>0</v>
      </c>
      <c r="CT55" s="1597">
        <v>0</v>
      </c>
      <c r="CU55" s="1597">
        <f t="shared" si="714"/>
        <v>0</v>
      </c>
      <c r="CV55" s="1597">
        <v>0</v>
      </c>
      <c r="CW55" s="1597">
        <v>0</v>
      </c>
      <c r="CX55" s="1597">
        <f t="shared" si="715"/>
        <v>0</v>
      </c>
      <c r="CY55" s="1597">
        <v>0</v>
      </c>
      <c r="CZ55" s="1597">
        <v>0</v>
      </c>
      <c r="DA55" s="1597">
        <f t="shared" si="716"/>
        <v>0</v>
      </c>
      <c r="DB55" s="1597">
        <v>0</v>
      </c>
      <c r="DC55" s="1597">
        <v>0</v>
      </c>
      <c r="DD55" s="1597">
        <f t="shared" si="717"/>
        <v>0</v>
      </c>
      <c r="DE55" s="1597">
        <v>0</v>
      </c>
      <c r="DF55" s="1597">
        <v>0</v>
      </c>
      <c r="DG55" s="1597">
        <f t="shared" si="718"/>
        <v>0</v>
      </c>
      <c r="DH55" s="1597">
        <v>0</v>
      </c>
      <c r="DI55" s="1597">
        <v>0</v>
      </c>
      <c r="DJ55" s="1597">
        <f t="shared" si="719"/>
        <v>0</v>
      </c>
      <c r="DK55" s="1597">
        <v>0</v>
      </c>
      <c r="DL55" s="1597">
        <v>0</v>
      </c>
      <c r="DM55" s="1597">
        <f t="shared" si="720"/>
        <v>0</v>
      </c>
      <c r="DN55" s="1597">
        <v>0</v>
      </c>
      <c r="DO55" s="1597">
        <v>0</v>
      </c>
      <c r="DP55" s="1597">
        <f t="shared" si="721"/>
        <v>0</v>
      </c>
      <c r="DQ55" s="1597">
        <v>0</v>
      </c>
      <c r="DR55" s="1597">
        <v>0</v>
      </c>
      <c r="DS55" s="1597">
        <f t="shared" si="722"/>
        <v>0</v>
      </c>
      <c r="DT55" s="1597">
        <v>0</v>
      </c>
      <c r="DU55" s="1597">
        <v>0</v>
      </c>
      <c r="DV55" s="2343">
        <f t="shared" si="723"/>
        <v>0</v>
      </c>
      <c r="DW55" s="2343">
        <v>0</v>
      </c>
      <c r="DX55" s="2343">
        <v>0</v>
      </c>
      <c r="DY55" s="3211">
        <f t="shared" si="724"/>
        <v>0</v>
      </c>
      <c r="DZ55" s="3211">
        <v>0</v>
      </c>
      <c r="EA55" s="4071">
        <v>0</v>
      </c>
      <c r="EB55" s="2343">
        <f t="shared" si="725"/>
        <v>0</v>
      </c>
      <c r="EC55" s="2343">
        <v>0</v>
      </c>
      <c r="ED55" s="2343">
        <v>0</v>
      </c>
      <c r="EE55" s="2343">
        <f t="shared" si="726"/>
        <v>0</v>
      </c>
      <c r="EF55" s="2343">
        <v>0</v>
      </c>
      <c r="EG55" s="2343">
        <v>0</v>
      </c>
      <c r="EH55" s="4681">
        <f t="shared" si="727"/>
        <v>0</v>
      </c>
      <c r="EI55" s="1597">
        <v>0</v>
      </c>
      <c r="EJ55" s="4681">
        <v>0</v>
      </c>
      <c r="EK55" s="4681">
        <f t="shared" si="728"/>
        <v>0</v>
      </c>
      <c r="EL55" s="4681">
        <v>0</v>
      </c>
      <c r="EM55" s="4681">
        <v>0</v>
      </c>
    </row>
    <row r="56" spans="1:143" ht="21" customHeight="1" x14ac:dyDescent="0.2">
      <c r="A56" s="3878" t="s">
        <v>524</v>
      </c>
      <c r="B56" s="3088"/>
      <c r="C56" s="3079"/>
      <c r="D56" s="3079"/>
      <c r="E56" s="3079"/>
      <c r="F56" s="1737"/>
      <c r="G56" s="1737"/>
      <c r="H56" s="3079"/>
      <c r="I56" s="3308"/>
      <c r="J56" s="3308"/>
      <c r="K56" s="3308"/>
      <c r="L56" s="3308">
        <v>0</v>
      </c>
      <c r="M56" s="3318"/>
      <c r="N56" s="3308"/>
      <c r="O56" s="3308"/>
      <c r="P56" s="3308"/>
      <c r="Q56" s="3323">
        <v>2526</v>
      </c>
      <c r="R56" s="3308"/>
      <c r="S56" s="3308"/>
      <c r="T56" s="3291" t="e">
        <f>Q56/Q87*T87</f>
        <v>#REF!</v>
      </c>
      <c r="U56" s="3291" t="e">
        <f>Q56-T56</f>
        <v>#REF!</v>
      </c>
      <c r="V56" s="3291" t="e">
        <f>3064*#REF!</f>
        <v>#REF!</v>
      </c>
      <c r="W56" s="3291"/>
      <c r="X56" s="3291">
        <v>0</v>
      </c>
      <c r="Y56" s="1597">
        <v>2526</v>
      </c>
      <c r="Z56" s="1591">
        <f t="shared" si="57"/>
        <v>1</v>
      </c>
      <c r="AA56" s="1597">
        <f>AC56+AD56</f>
        <v>2323.15</v>
      </c>
      <c r="AB56" s="1591">
        <f t="shared" si="1"/>
        <v>0.91969517022961211</v>
      </c>
      <c r="AC56" s="1597">
        <v>2296.61</v>
      </c>
      <c r="AD56" s="1597">
        <v>26.54</v>
      </c>
      <c r="AE56" s="1597">
        <v>2323.15</v>
      </c>
      <c r="AF56" s="1597">
        <v>2296.61</v>
      </c>
      <c r="AG56" s="1597">
        <v>26.54</v>
      </c>
      <c r="AH56" s="1598">
        <f t="shared" si="59"/>
        <v>2323.14</v>
      </c>
      <c r="AI56" s="1592">
        <f t="shared" si="60"/>
        <v>0.99999569549964473</v>
      </c>
      <c r="AJ56" s="1597">
        <v>2296.6</v>
      </c>
      <c r="AK56" s="1597">
        <v>26.54</v>
      </c>
      <c r="AL56" s="1598">
        <f t="shared" si="61"/>
        <v>2323.15</v>
      </c>
      <c r="AM56" s="1592">
        <f t="shared" si="62"/>
        <v>1</v>
      </c>
      <c r="AN56" s="1597">
        <f>AC56</f>
        <v>2296.61</v>
      </c>
      <c r="AO56" s="1597">
        <f>AD56</f>
        <v>26.54</v>
      </c>
      <c r="AP56" s="1593">
        <f t="shared" si="63"/>
        <v>-202.84999999999991</v>
      </c>
      <c r="AQ56" s="1593">
        <f>AP56*AC56/AA56</f>
        <v>-200.53261240126545</v>
      </c>
      <c r="AR56" s="1593">
        <f t="shared" si="64"/>
        <v>-2.3173875987344559</v>
      </c>
      <c r="AS56" s="1593">
        <f t="shared" si="505"/>
        <v>-202.84999999999991</v>
      </c>
      <c r="AT56" s="1597">
        <v>0</v>
      </c>
      <c r="AU56" s="1597">
        <f>AT56*AU87/(AU87+AV87)</f>
        <v>0</v>
      </c>
      <c r="AV56" s="1597">
        <f>SUM(AT56-AU56)</f>
        <v>0</v>
      </c>
      <c r="AW56" s="1597">
        <f t="shared" si="708"/>
        <v>2175.2199999999998</v>
      </c>
      <c r="AX56" s="1597">
        <v>2164.7399999999998</v>
      </c>
      <c r="AY56" s="1597">
        <v>10.48</v>
      </c>
      <c r="AZ56" s="1597">
        <f>SUM(BB56:BC56)</f>
        <v>2323.15</v>
      </c>
      <c r="BA56" s="1594">
        <f t="shared" ref="BA56" si="729">SUM(AZ56/AL56)</f>
        <v>1</v>
      </c>
      <c r="BB56" s="1597">
        <v>2294.5100000000002</v>
      </c>
      <c r="BC56" s="1597">
        <v>28.64</v>
      </c>
      <c r="BD56" s="1597">
        <f>'налог на имущ'!C15</f>
        <v>1842.7891386666663</v>
      </c>
      <c r="BE56" s="1597">
        <f>BD56*BE87/BD87</f>
        <v>1832.9471750707985</v>
      </c>
      <c r="BF56" s="1597">
        <f>BD56-BE56</f>
        <v>9.84196359586781</v>
      </c>
      <c r="BG56" s="1597">
        <f t="shared" si="71"/>
        <v>1996.24</v>
      </c>
      <c r="BH56" s="1597">
        <v>1994.9</v>
      </c>
      <c r="BI56" s="1597">
        <v>1.34</v>
      </c>
      <c r="BJ56" s="1597">
        <f t="shared" si="704"/>
        <v>1844.76</v>
      </c>
      <c r="BK56" s="1597">
        <v>1843.87</v>
      </c>
      <c r="BL56" s="1597">
        <v>0.89</v>
      </c>
      <c r="BM56" s="1598">
        <f t="shared" si="705"/>
        <v>1996.24</v>
      </c>
      <c r="BN56" s="1597">
        <v>1985.51</v>
      </c>
      <c r="BO56" s="1597">
        <v>10.73</v>
      </c>
      <c r="BP56" s="1598">
        <f t="shared" si="706"/>
        <v>1982.03</v>
      </c>
      <c r="BQ56" s="1597">
        <v>1981.31</v>
      </c>
      <c r="BR56" s="1597">
        <v>0.72</v>
      </c>
      <c r="BS56" s="1597">
        <f t="shared" si="707"/>
        <v>1854.33</v>
      </c>
      <c r="BT56" s="1597">
        <v>1851.76</v>
      </c>
      <c r="BU56" s="1597">
        <v>2.57</v>
      </c>
      <c r="BV56" s="1597">
        <f>BW56+BX56</f>
        <v>1846.77021838</v>
      </c>
      <c r="BW56" s="1597">
        <f>'4.2. Налог на имущество'!G26/1000-'4.2. Налог на имущество'!G35/1000</f>
        <v>1845.4306605479765</v>
      </c>
      <c r="BX56" s="1597">
        <f>НАЛОГИ!M17</f>
        <v>1.3395578320234052</v>
      </c>
      <c r="BY56" s="1597">
        <f>BZ56+CA56</f>
        <v>1627.1138583799996</v>
      </c>
      <c r="BZ56" s="1597">
        <f>SUM('4.2. Налог на имущество'!M34-'4.2. Налог на имущество'!M30)/1000</f>
        <v>1625.852960708417</v>
      </c>
      <c r="CA56" s="1597">
        <f>SUM('4.2. Налог на имущество'!M35/1000)</f>
        <v>1.2608976715825515</v>
      </c>
      <c r="CB56" s="3322" t="s">
        <v>960</v>
      </c>
      <c r="CC56" s="365"/>
      <c r="CD56" s="365"/>
      <c r="CE56" s="365"/>
      <c r="CF56" s="1597">
        <f>SUM(CG56:CH56)</f>
        <v>4455.992196769399</v>
      </c>
      <c r="CG56" s="1597">
        <f>SUM(НАЛОГИ!T8)</f>
        <v>4454.7312990978162</v>
      </c>
      <c r="CH56" s="1597">
        <f>SUM(НАЛОГИ!T17)</f>
        <v>1.2608976715825515</v>
      </c>
      <c r="CI56" s="1597">
        <f t="shared" si="710"/>
        <v>1613.2</v>
      </c>
      <c r="CJ56" s="1597">
        <f>SUM('4.2. Налог на имущество'!Q33/1000)</f>
        <v>1613.2</v>
      </c>
      <c r="CK56" s="1597">
        <v>0</v>
      </c>
      <c r="CL56" s="1597">
        <f t="shared" si="711"/>
        <v>2419.8000000000002</v>
      </c>
      <c r="CM56" s="1597">
        <f>SUM('4.2. Налог на имущество'!R33/1000)</f>
        <v>2419.8000000000002</v>
      </c>
      <c r="CN56" s="1597">
        <v>0</v>
      </c>
      <c r="CO56" s="1597">
        <f t="shared" si="712"/>
        <v>3226.4069999999997</v>
      </c>
      <c r="CP56" s="1597">
        <f>SUM('4.2. Налог на имущество'!S33)/1000-0.003</f>
        <v>3226.4069999999997</v>
      </c>
      <c r="CQ56" s="1597">
        <v>0</v>
      </c>
      <c r="CR56" s="1597">
        <f t="shared" si="713"/>
        <v>3226.41</v>
      </c>
      <c r="CS56" s="1597">
        <f>SUM('4.2. Налог на имущество'!T33/1000)</f>
        <v>3226.41</v>
      </c>
      <c r="CT56" s="1597">
        <v>0</v>
      </c>
      <c r="CU56" s="1597">
        <f t="shared" si="714"/>
        <v>2522.7223199999999</v>
      </c>
      <c r="CV56" s="1597">
        <f>SUM('4.2. Налог на имущество'!U33)/1000</f>
        <v>2522.7223199999999</v>
      </c>
      <c r="CW56" s="1597">
        <v>0</v>
      </c>
      <c r="CX56" s="1597">
        <f t="shared" ref="CX56" si="730">SUM(CY56:CZ56)</f>
        <v>1603.0740000000001</v>
      </c>
      <c r="CY56" s="1597">
        <f>SUM('4.2. Налог на имущество'!V33)/1000</f>
        <v>1603.0740000000001</v>
      </c>
      <c r="CZ56" s="1597">
        <v>0</v>
      </c>
      <c r="DA56" s="1597">
        <f t="shared" si="716"/>
        <v>2400.2489999999998</v>
      </c>
      <c r="DB56" s="1597">
        <f>SUM('4.2. Налог на имущество'!W33)/1000</f>
        <v>2400.2489999999998</v>
      </c>
      <c r="DC56" s="1597">
        <v>0</v>
      </c>
      <c r="DD56" s="1597">
        <f t="shared" si="717"/>
        <v>3166.9866000000002</v>
      </c>
      <c r="DE56" s="1597">
        <f>SUM('4.2. Налог на имущество'!Y33)/1000</f>
        <v>3166.9866000000002</v>
      </c>
      <c r="DF56" s="1597">
        <v>0</v>
      </c>
      <c r="DG56" s="1597">
        <f t="shared" si="718"/>
        <v>3166.9866000000002</v>
      </c>
      <c r="DH56" s="1597">
        <f>SUM('4.2. Налог на имущество'!Y33/1000)</f>
        <v>3166.9866000000002</v>
      </c>
      <c r="DI56" s="1597">
        <v>0</v>
      </c>
      <c r="DJ56" s="1597">
        <f t="shared" si="719"/>
        <v>3119.8568500000001</v>
      </c>
      <c r="DK56" s="1597">
        <f>SUM('4.2. Налог на имущество'!Z33)/1000</f>
        <v>3119.8568500000001</v>
      </c>
      <c r="DL56" s="1597">
        <v>0</v>
      </c>
      <c r="DM56" s="1597">
        <f t="shared" si="720"/>
        <v>1531.1525999999999</v>
      </c>
      <c r="DN56" s="1597">
        <f>SUM('4.2. Налог на имущество'!AA33)/1000</f>
        <v>1531.1525999999999</v>
      </c>
      <c r="DO56" s="1597">
        <v>0</v>
      </c>
      <c r="DP56" s="1597">
        <f t="shared" si="721"/>
        <v>2305.0577999999996</v>
      </c>
      <c r="DQ56" s="1597">
        <f>SUM('4.2. Налог на имущество'!AB33)/1000</f>
        <v>2305.0577999999996</v>
      </c>
      <c r="DR56" s="1597">
        <v>0</v>
      </c>
      <c r="DS56" s="1597">
        <f t="shared" si="722"/>
        <v>3129.4793999999997</v>
      </c>
      <c r="DT56" s="1597">
        <f>SUM('4.2. Налог на имущество'!AC33)/1000</f>
        <v>3129.4793999999997</v>
      </c>
      <c r="DU56" s="1597">
        <v>0</v>
      </c>
      <c r="DV56" s="2343">
        <f t="shared" si="723"/>
        <v>3129.4793999999997</v>
      </c>
      <c r="DW56" s="2343">
        <f>SUM('4.2. Налог на имущество'!AD33/1000)</f>
        <v>3129.4793999999997</v>
      </c>
      <c r="DX56" s="2343">
        <v>0</v>
      </c>
      <c r="DY56" s="3211">
        <f t="shared" si="724"/>
        <v>0</v>
      </c>
      <c r="DZ56" s="3211">
        <f>SUM('4.2. Налог на имущество'!AN33)/1000</f>
        <v>0</v>
      </c>
      <c r="EA56" s="4071">
        <v>0</v>
      </c>
      <c r="EB56" s="2343">
        <f t="shared" si="725"/>
        <v>3129.4793999999997</v>
      </c>
      <c r="EC56" s="2343">
        <f>SUM('4.2. Налог на имущество'!AD33/1000)</f>
        <v>3129.4793999999997</v>
      </c>
      <c r="ED56" s="2343">
        <v>0</v>
      </c>
      <c r="EE56" s="2343">
        <f t="shared" si="726"/>
        <v>3129.4793999999997</v>
      </c>
      <c r="EF56" s="2343">
        <f>SUM(НАЛОГИ!AI8)</f>
        <v>3129.4793999999997</v>
      </c>
      <c r="EG56" s="2343">
        <v>0</v>
      </c>
      <c r="EH56" s="4681">
        <f t="shared" si="727"/>
        <v>0</v>
      </c>
      <c r="EI56" s="1597">
        <f>SUM('4.2. Налог на имущество'!AR33)/1000</f>
        <v>0</v>
      </c>
      <c r="EJ56" s="4681">
        <v>0</v>
      </c>
      <c r="EK56" s="4681">
        <f t="shared" si="728"/>
        <v>0</v>
      </c>
      <c r="EL56" s="4681">
        <f>SUM('4.2. Налог на имущество'!AQ33)/1000</f>
        <v>0</v>
      </c>
      <c r="EM56" s="4681">
        <v>0</v>
      </c>
    </row>
    <row r="57" spans="1:143" ht="21" customHeight="1" x14ac:dyDescent="0.2">
      <c r="A57" s="3878" t="s">
        <v>3961</v>
      </c>
      <c r="B57" s="3088"/>
      <c r="C57" s="3079"/>
      <c r="D57" s="3079"/>
      <c r="E57" s="3079"/>
      <c r="F57" s="1737"/>
      <c r="G57" s="1737"/>
      <c r="H57" s="3079"/>
      <c r="I57" s="3308"/>
      <c r="J57" s="3308"/>
      <c r="K57" s="3308"/>
      <c r="L57" s="3308"/>
      <c r="M57" s="3318"/>
      <c r="N57" s="3308"/>
      <c r="O57" s="3308"/>
      <c r="P57" s="3308"/>
      <c r="Q57" s="3323"/>
      <c r="R57" s="3308"/>
      <c r="S57" s="3308"/>
      <c r="T57" s="3873"/>
      <c r="U57" s="3873"/>
      <c r="V57" s="3873"/>
      <c r="W57" s="3873"/>
      <c r="X57" s="3873"/>
      <c r="Y57" s="1597"/>
      <c r="Z57" s="1591"/>
      <c r="AA57" s="1597"/>
      <c r="AB57" s="1591"/>
      <c r="AC57" s="1597"/>
      <c r="AD57" s="1597"/>
      <c r="AE57" s="1597"/>
      <c r="AF57" s="1597"/>
      <c r="AG57" s="1597"/>
      <c r="AH57" s="1598"/>
      <c r="AI57" s="1592"/>
      <c r="AJ57" s="1597"/>
      <c r="AK57" s="1597"/>
      <c r="AL57" s="1598"/>
      <c r="AM57" s="1592"/>
      <c r="AN57" s="1597"/>
      <c r="AO57" s="1597"/>
      <c r="AP57" s="1593"/>
      <c r="AQ57" s="1593"/>
      <c r="AR57" s="1593"/>
      <c r="AS57" s="1593"/>
      <c r="AT57" s="1597"/>
      <c r="AU57" s="1597"/>
      <c r="AV57" s="1597"/>
      <c r="AW57" s="1597"/>
      <c r="AX57" s="1597"/>
      <c r="AY57" s="1597"/>
      <c r="AZ57" s="1597"/>
      <c r="BA57" s="1594"/>
      <c r="BB57" s="1597"/>
      <c r="BC57" s="1597"/>
      <c r="BD57" s="1597"/>
      <c r="BE57" s="1597"/>
      <c r="BF57" s="1597"/>
      <c r="BG57" s="1597"/>
      <c r="BH57" s="1597"/>
      <c r="BI57" s="1597"/>
      <c r="BJ57" s="1597"/>
      <c r="BK57" s="1597"/>
      <c r="BL57" s="1597"/>
      <c r="BM57" s="1598"/>
      <c r="BN57" s="1597"/>
      <c r="BO57" s="1597"/>
      <c r="BP57" s="1598"/>
      <c r="BQ57" s="1597"/>
      <c r="BR57" s="1597"/>
      <c r="BS57" s="1597"/>
      <c r="BT57" s="1597"/>
      <c r="BU57" s="1597"/>
      <c r="BV57" s="1597"/>
      <c r="BW57" s="1597"/>
      <c r="BX57" s="1597"/>
      <c r="BY57" s="1597"/>
      <c r="BZ57" s="1597"/>
      <c r="CA57" s="1597"/>
      <c r="CB57" s="3322"/>
      <c r="CC57" s="365"/>
      <c r="CD57" s="365"/>
      <c r="CE57" s="365"/>
      <c r="CF57" s="1597"/>
      <c r="CG57" s="1597"/>
      <c r="CH57" s="1597"/>
      <c r="CI57" s="1597"/>
      <c r="CJ57" s="1597"/>
      <c r="CK57" s="1597"/>
      <c r="CL57" s="1597"/>
      <c r="CM57" s="1597"/>
      <c r="CN57" s="1597"/>
      <c r="CO57" s="1597"/>
      <c r="CP57" s="1597"/>
      <c r="CQ57" s="1597"/>
      <c r="CR57" s="1597"/>
      <c r="CS57" s="1597"/>
      <c r="CT57" s="1597"/>
      <c r="CU57" s="1597"/>
      <c r="CV57" s="1597"/>
      <c r="CW57" s="1597"/>
      <c r="CX57" s="1597"/>
      <c r="CY57" s="1597"/>
      <c r="CZ57" s="1597"/>
      <c r="DA57" s="1597"/>
      <c r="DB57" s="1597"/>
      <c r="DC57" s="1597"/>
      <c r="DD57" s="1597"/>
      <c r="DE57" s="1597"/>
      <c r="DF57" s="1597"/>
      <c r="DG57" s="1597"/>
      <c r="DH57" s="1597"/>
      <c r="DI57" s="1597"/>
      <c r="DJ57" s="1597"/>
      <c r="DK57" s="1597"/>
      <c r="DL57" s="1597"/>
      <c r="DM57" s="1597">
        <f t="shared" ref="DM57" si="731">SUM(DN57:DO57)</f>
        <v>0</v>
      </c>
      <c r="DN57" s="1597">
        <v>0</v>
      </c>
      <c r="DO57" s="1597">
        <v>0</v>
      </c>
      <c r="DP57" s="1597">
        <f t="shared" ref="DP57" si="732">SUM(DQ57:DR57)</f>
        <v>0</v>
      </c>
      <c r="DQ57" s="1597">
        <v>0</v>
      </c>
      <c r="DR57" s="1597">
        <v>0</v>
      </c>
      <c r="DS57" s="1597">
        <f t="shared" ref="DS57" si="733">SUM(DT57:DU57)</f>
        <v>3139.4508000000001</v>
      </c>
      <c r="DT57" s="1597">
        <f>SUM(НАЛОГИ!AG7)</f>
        <v>3139.4508000000001</v>
      </c>
      <c r="DU57" s="1597">
        <v>0</v>
      </c>
      <c r="DV57" s="2343">
        <f t="shared" ref="DV57" si="734">SUM(DW57:DX57)</f>
        <v>2402.3326860000002</v>
      </c>
      <c r="DW57" s="2343">
        <f>SUM(НАЛОГИ!AH7)</f>
        <v>2402.3326860000002</v>
      </c>
      <c r="DX57" s="2343">
        <v>0</v>
      </c>
      <c r="DY57" s="3211"/>
      <c r="DZ57" s="3211"/>
      <c r="EA57" s="4071"/>
      <c r="EB57" s="2343">
        <f t="shared" ref="EB57" si="735">SUM(EC57:ED57)</f>
        <v>2402.3326860000002</v>
      </c>
      <c r="EC57" s="2343">
        <f>SUM(НАЛОГИ!AH7)</f>
        <v>2402.3326860000002</v>
      </c>
      <c r="ED57" s="2343">
        <v>0</v>
      </c>
      <c r="EE57" s="2343">
        <f t="shared" ref="EE57:EE58" si="736">SUM(EF57:EG57)</f>
        <v>0</v>
      </c>
      <c r="EF57" s="2343">
        <v>0</v>
      </c>
      <c r="EG57" s="2343">
        <v>0</v>
      </c>
      <c r="EH57" s="4681">
        <f t="shared" ref="EH57" si="737">SUM(EI57:EJ57)</f>
        <v>0</v>
      </c>
      <c r="EI57" s="1597">
        <f>SUM(НАЛОГИ!AV7)</f>
        <v>0</v>
      </c>
      <c r="EJ57" s="4681">
        <v>0</v>
      </c>
      <c r="EK57" s="4681">
        <f t="shared" ref="EK57" si="738">SUM(EL57:EM57)</f>
        <v>0</v>
      </c>
      <c r="EL57" s="4681">
        <f>SUM(НАЛОГИ!AV7)</f>
        <v>0</v>
      </c>
      <c r="EM57" s="4681">
        <v>0</v>
      </c>
    </row>
    <row r="58" spans="1:143" ht="21" customHeight="1" x14ac:dyDescent="0.2">
      <c r="A58" s="3878" t="s">
        <v>1993</v>
      </c>
      <c r="B58" s="3088"/>
      <c r="C58" s="3079"/>
      <c r="D58" s="3079"/>
      <c r="E58" s="3079"/>
      <c r="F58" s="1737"/>
      <c r="G58" s="1737"/>
      <c r="H58" s="3079"/>
      <c r="I58" s="3308"/>
      <c r="J58" s="3308"/>
      <c r="K58" s="3308"/>
      <c r="L58" s="3308"/>
      <c r="M58" s="3318"/>
      <c r="N58" s="3308"/>
      <c r="O58" s="3308"/>
      <c r="P58" s="3308"/>
      <c r="Q58" s="3323"/>
      <c r="R58" s="3308"/>
      <c r="S58" s="3308"/>
      <c r="T58" s="3291"/>
      <c r="U58" s="3291"/>
      <c r="V58" s="3291"/>
      <c r="W58" s="3291"/>
      <c r="X58" s="3291"/>
      <c r="Y58" s="1597"/>
      <c r="Z58" s="1591"/>
      <c r="AA58" s="1597"/>
      <c r="AB58" s="1591"/>
      <c r="AC58" s="1597"/>
      <c r="AD58" s="1597"/>
      <c r="AE58" s="1597"/>
      <c r="AF58" s="1597"/>
      <c r="AG58" s="1597"/>
      <c r="AH58" s="1598"/>
      <c r="AI58" s="1592"/>
      <c r="AJ58" s="1597"/>
      <c r="AK58" s="1597"/>
      <c r="AL58" s="1598"/>
      <c r="AM58" s="1592"/>
      <c r="AN58" s="1597"/>
      <c r="AO58" s="1597"/>
      <c r="AP58" s="1593"/>
      <c r="AQ58" s="1593"/>
      <c r="AR58" s="1593"/>
      <c r="AS58" s="1593"/>
      <c r="AT58" s="1597"/>
      <c r="AU58" s="1597"/>
      <c r="AV58" s="1597"/>
      <c r="AW58" s="1597"/>
      <c r="AX58" s="1597"/>
      <c r="AY58" s="1597"/>
      <c r="AZ58" s="1597"/>
      <c r="BA58" s="1594"/>
      <c r="BB58" s="1597"/>
      <c r="BC58" s="1597"/>
      <c r="BD58" s="1597"/>
      <c r="BE58" s="1597"/>
      <c r="BF58" s="1597"/>
      <c r="BG58" s="1597"/>
      <c r="BH58" s="1597"/>
      <c r="BI58" s="1597"/>
      <c r="BJ58" s="1597"/>
      <c r="BK58" s="1597"/>
      <c r="BL58" s="1597"/>
      <c r="BM58" s="1597"/>
      <c r="BN58" s="1597"/>
      <c r="BO58" s="1597"/>
      <c r="BP58" s="1598">
        <f t="shared" si="706"/>
        <v>0</v>
      </c>
      <c r="BQ58" s="1597"/>
      <c r="BR58" s="1597"/>
      <c r="BS58" s="1597">
        <v>3043.62</v>
      </c>
      <c r="BT58" s="1597">
        <v>3043.62</v>
      </c>
      <c r="BU58" s="1597">
        <v>0</v>
      </c>
      <c r="BV58" s="1597">
        <f>Аморт!U87/1000</f>
        <v>2887.2057268098001</v>
      </c>
      <c r="BW58" s="1597">
        <f>'4.2. Налог на имущество'!G30/1000</f>
        <v>2887.2057268098001</v>
      </c>
      <c r="BX58" s="1597">
        <v>0</v>
      </c>
      <c r="BY58" s="1597">
        <f>SUM(BZ58:CA58)</f>
        <v>2828.8783383893997</v>
      </c>
      <c r="BZ58" s="1597">
        <f>SUM('4.2. Налог на имущество'!M30/1000)</f>
        <v>2828.8783383893997</v>
      </c>
      <c r="CA58" s="1597">
        <v>0</v>
      </c>
      <c r="CB58" s="3322"/>
      <c r="CC58" s="365"/>
      <c r="CD58" s="365"/>
      <c r="CE58" s="365"/>
      <c r="CF58" s="1597">
        <f>SUM(CG58:CH58)</f>
        <v>0</v>
      </c>
      <c r="CG58" s="1597">
        <f>SUM('4.2. Налог на имущество'!U30/1000)</f>
        <v>0</v>
      </c>
      <c r="CH58" s="1597">
        <v>0</v>
      </c>
      <c r="CI58" s="1597">
        <f t="shared" si="710"/>
        <v>0</v>
      </c>
      <c r="CJ58" s="1597">
        <f>SUM('4.2. Налог на имущество'!Q30)</f>
        <v>0</v>
      </c>
      <c r="CK58" s="1597">
        <v>0</v>
      </c>
      <c r="CL58" s="1597">
        <f t="shared" si="711"/>
        <v>0</v>
      </c>
      <c r="CM58" s="1597">
        <f>SUM('4.2. Налог на имущество'!R30)</f>
        <v>0</v>
      </c>
      <c r="CN58" s="1597">
        <v>0</v>
      </c>
      <c r="CO58" s="1597">
        <f t="shared" si="712"/>
        <v>0</v>
      </c>
      <c r="CP58" s="1597">
        <f>SUM('4.2. Налог на имущество'!S30)</f>
        <v>0</v>
      </c>
      <c r="CQ58" s="1597">
        <v>0</v>
      </c>
      <c r="CR58" s="1597">
        <f t="shared" si="713"/>
        <v>0</v>
      </c>
      <c r="CS58" s="1597">
        <f>SUM('4.2. Налог на имущество'!T30/1000)</f>
        <v>0</v>
      </c>
      <c r="CT58" s="1597">
        <v>0</v>
      </c>
      <c r="CU58" s="1597">
        <f t="shared" si="714"/>
        <v>0</v>
      </c>
      <c r="CV58" s="1597">
        <f>SUM('4.2. Налог на имущество'!W30/1000)</f>
        <v>0</v>
      </c>
      <c r="CW58" s="1597">
        <v>0</v>
      </c>
      <c r="CX58" s="1597">
        <f t="shared" si="715"/>
        <v>0</v>
      </c>
      <c r="CY58" s="1597">
        <v>0</v>
      </c>
      <c r="CZ58" s="1597">
        <v>0</v>
      </c>
      <c r="DA58" s="1597">
        <f t="shared" si="716"/>
        <v>0</v>
      </c>
      <c r="DB58" s="1597">
        <f>SUM('4.2. Налог на имущество'!AK30)</f>
        <v>0</v>
      </c>
      <c r="DC58" s="1597">
        <v>0</v>
      </c>
      <c r="DD58" s="1597">
        <f t="shared" si="717"/>
        <v>0</v>
      </c>
      <c r="DE58" s="1597">
        <f>SUM('4.2. Налог на имущество'!AL30)</f>
        <v>0</v>
      </c>
      <c r="DF58" s="1597">
        <v>0</v>
      </c>
      <c r="DG58" s="1597">
        <f t="shared" si="718"/>
        <v>0</v>
      </c>
      <c r="DH58" s="1597">
        <f>SUM('4.2. Налог на имущество'!Y30/1000)</f>
        <v>0</v>
      </c>
      <c r="DI58" s="1597">
        <v>0</v>
      </c>
      <c r="DJ58" s="1597">
        <f t="shared" si="719"/>
        <v>0</v>
      </c>
      <c r="DK58" s="1597">
        <f>SUM('4.2. Налог на имущество'!AK30/1000)</f>
        <v>0</v>
      </c>
      <c r="DL58" s="1597">
        <v>0</v>
      </c>
      <c r="DM58" s="1597">
        <f t="shared" si="720"/>
        <v>0</v>
      </c>
      <c r="DN58" s="1597">
        <f>SUM('4.2. Налог на имущество'!AU30)</f>
        <v>0</v>
      </c>
      <c r="DO58" s="1597">
        <v>0</v>
      </c>
      <c r="DP58" s="1597">
        <f t="shared" si="721"/>
        <v>0</v>
      </c>
      <c r="DQ58" s="1597">
        <f>SUM('4.2. Налог на имущество'!AX30)</f>
        <v>0</v>
      </c>
      <c r="DR58" s="1597">
        <v>0</v>
      </c>
      <c r="DS58" s="1597">
        <f t="shared" si="722"/>
        <v>0</v>
      </c>
      <c r="DT58" s="1597">
        <f>SUM('4.2. Налог на имущество'!BA30)</f>
        <v>0</v>
      </c>
      <c r="DU58" s="1597">
        <v>0</v>
      </c>
      <c r="DV58" s="2343">
        <f t="shared" ref="DV58" si="739">SUM(DW58:DX58)</f>
        <v>0</v>
      </c>
      <c r="DW58" s="2343">
        <f>SUM('4.2. Налог на имущество'!AG30/1000)</f>
        <v>0</v>
      </c>
      <c r="DX58" s="2343">
        <v>0</v>
      </c>
      <c r="DY58" s="3211">
        <f t="shared" ref="DY58" si="740">SUM(DZ58:EA58)</f>
        <v>0</v>
      </c>
      <c r="DZ58" s="3211">
        <f>SUM('4.2. Налог на имущество'!AZ30/1000)</f>
        <v>0</v>
      </c>
      <c r="EA58" s="4071">
        <v>0</v>
      </c>
      <c r="EB58" s="2343">
        <f t="shared" ref="EB58" si="741">SUM(EC58:ED58)</f>
        <v>0</v>
      </c>
      <c r="EC58" s="2343">
        <f>SUM('4.2. Налог на имущество'!AG30/1000)</f>
        <v>0</v>
      </c>
      <c r="ED58" s="2343">
        <v>0</v>
      </c>
      <c r="EE58" s="2343">
        <f t="shared" si="736"/>
        <v>0</v>
      </c>
      <c r="EF58" s="2343">
        <v>0</v>
      </c>
      <c r="EG58" s="2343">
        <v>0</v>
      </c>
      <c r="EH58" s="4681">
        <f t="shared" ref="EH58" si="742">SUM(EI58:EJ58)</f>
        <v>0</v>
      </c>
      <c r="EI58" s="1597">
        <f>SUM('4.2. Налог на имущество'!BP30)</f>
        <v>0</v>
      </c>
      <c r="EJ58" s="4681">
        <v>0</v>
      </c>
      <c r="EK58" s="4681">
        <f t="shared" ref="EK58" si="743">SUM(EL58:EM58)</f>
        <v>0</v>
      </c>
      <c r="EL58" s="4681">
        <f>SUM('4.2. Налог на имущество'!BP30)</f>
        <v>0</v>
      </c>
      <c r="EM58" s="4681">
        <v>0</v>
      </c>
    </row>
    <row r="59" spans="1:143" s="2196" customFormat="1" ht="20.25" customHeight="1" x14ac:dyDescent="0.2">
      <c r="A59" s="3879" t="s">
        <v>11</v>
      </c>
      <c r="B59" s="2600">
        <v>8687.7999999999993</v>
      </c>
      <c r="C59" s="3315">
        <v>9434.2999999999993</v>
      </c>
      <c r="D59" s="1737">
        <f>C59/B59*100</f>
        <v>108.59250903565921</v>
      </c>
      <c r="E59" s="3315">
        <v>9717.6</v>
      </c>
      <c r="F59" s="1737">
        <f>E59/C59*100</f>
        <v>103.00287249716462</v>
      </c>
      <c r="G59" s="3315">
        <v>10985.6</v>
      </c>
      <c r="H59" s="1737">
        <f t="shared" si="53"/>
        <v>113.04848933893142</v>
      </c>
      <c r="I59" s="3292">
        <v>9819.5</v>
      </c>
      <c r="J59" s="3292">
        <v>5737.6</v>
      </c>
      <c r="K59" s="3292">
        <v>8579.1</v>
      </c>
      <c r="L59" s="3292">
        <v>12008</v>
      </c>
      <c r="M59" s="3318">
        <f t="shared" si="54"/>
        <v>122.28728550333521</v>
      </c>
      <c r="N59" s="3318">
        <f t="shared" si="55"/>
        <v>109.3067288086222</v>
      </c>
      <c r="O59" s="3292">
        <v>14719.1</v>
      </c>
      <c r="P59" s="3318">
        <f t="shared" si="56"/>
        <v>149.89663424817965</v>
      </c>
      <c r="Q59" s="3319" t="e">
        <f>#REF!-800</f>
        <v>#REF!</v>
      </c>
      <c r="R59" s="3318" t="e">
        <f t="shared" si="65"/>
        <v>#REF!</v>
      </c>
      <c r="S59" s="3318" t="e">
        <f t="shared" si="66"/>
        <v>#REF!</v>
      </c>
      <c r="T59" s="3292" t="e">
        <f>Q59/Q87*T87</f>
        <v>#REF!</v>
      </c>
      <c r="U59" s="3292" t="e">
        <f>Q59-T59</f>
        <v>#REF!</v>
      </c>
      <c r="V59" s="3292">
        <v>10509.8</v>
      </c>
      <c r="W59" s="3292" t="e">
        <f>'ОХР '!X56*('объемы ВС и ВО 2023'!#REF!-'объемы ВС и ВО 2023'!#REF!)/'объемы ВС и ВО 2023'!#REF!</f>
        <v>#REF!</v>
      </c>
      <c r="X59" s="3292" t="e">
        <f>'ОХР '!X56-W59</f>
        <v>#REF!</v>
      </c>
      <c r="Y59" s="1601">
        <v>15517.1</v>
      </c>
      <c r="Z59" s="1604" t="e">
        <f t="shared" si="57"/>
        <v>#REF!</v>
      </c>
      <c r="AA59" s="1601">
        <v>9765</v>
      </c>
      <c r="AB59" s="1604" t="e">
        <f>AA59/Q59</f>
        <v>#REF!</v>
      </c>
      <c r="AC59" s="1601">
        <f>AA59-AD59</f>
        <v>9598.7999999999993</v>
      </c>
      <c r="AD59" s="1601">
        <v>166.2</v>
      </c>
      <c r="AE59" s="1601">
        <f>SUM('ОХР '!AD56)</f>
        <v>14207.04</v>
      </c>
      <c r="AF59" s="1601">
        <f>AF87/AE87*AE59</f>
        <v>14031.870256994307</v>
      </c>
      <c r="AG59" s="1601">
        <f>AE59-AF59</f>
        <v>175.16974300569382</v>
      </c>
      <c r="AH59" s="1590">
        <f t="shared" si="59"/>
        <v>13395.76</v>
      </c>
      <c r="AI59" s="1605">
        <f t="shared" si="60"/>
        <v>1.3718136200716846</v>
      </c>
      <c r="AJ59" s="1601">
        <v>13243.27</v>
      </c>
      <c r="AK59" s="1601">
        <v>152.49</v>
      </c>
      <c r="AL59" s="1590">
        <f t="shared" si="61"/>
        <v>13073.01213648671</v>
      </c>
      <c r="AM59" s="1605">
        <f t="shared" si="62"/>
        <v>1.3387621235521465</v>
      </c>
      <c r="AN59" s="1601">
        <f>'ОХР '!AH56*AN87/(AN87+AO87)</f>
        <v>12924.197100987714</v>
      </c>
      <c r="AO59" s="1601">
        <f>'ОХР '!AD49-вода!AN59</f>
        <v>148.81503549899571</v>
      </c>
      <c r="AP59" s="1593">
        <f t="shared" si="63"/>
        <v>-5752.1</v>
      </c>
      <c r="AQ59" s="1593">
        <f>AP59*AC59/AA59</f>
        <v>-5654.1994347158216</v>
      </c>
      <c r="AR59" s="1593">
        <f t="shared" si="64"/>
        <v>-97.900565284178811</v>
      </c>
      <c r="AS59" s="1593">
        <f t="shared" si="505"/>
        <v>-5752.1</v>
      </c>
      <c r="AT59" s="1601">
        <v>6505.01</v>
      </c>
      <c r="AU59" s="1601">
        <f>AU87/AT87*AT59</f>
        <v>6460.2375647080098</v>
      </c>
      <c r="AV59" s="1601">
        <f>AT59-AU59</f>
        <v>44.772435291990405</v>
      </c>
      <c r="AW59" s="1601">
        <f>AX59+AY59</f>
        <v>12858.359999999999</v>
      </c>
      <c r="AX59" s="1601">
        <v>12796.39</v>
      </c>
      <c r="AY59" s="1601">
        <v>61.97</v>
      </c>
      <c r="AZ59" s="1590">
        <v>14993.56</v>
      </c>
      <c r="BA59" s="1606">
        <f t="shared" ref="BA59:BA64" si="744">SUM(AZ59/AL59)</f>
        <v>1.1469093613210264</v>
      </c>
      <c r="BB59" s="1601">
        <f>BB87/AZ87*AZ59</f>
        <v>14913.482432471448</v>
      </c>
      <c r="BC59" s="1601">
        <f>AZ59-BB59</f>
        <v>80.077567528551299</v>
      </c>
      <c r="BD59" s="1590">
        <f>SUM('ОХР '!AM56)-3000</f>
        <v>9920.4365701392053</v>
      </c>
      <c r="BE59" s="1601">
        <f>BE87/BD87*BD59</f>
        <v>9867.4535274623486</v>
      </c>
      <c r="BF59" s="1601">
        <f>BD59-BE59</f>
        <v>52.983042676856712</v>
      </c>
      <c r="BG59" s="1601">
        <f t="shared" si="71"/>
        <v>12499.66</v>
      </c>
      <c r="BH59" s="1601">
        <v>12491.25</v>
      </c>
      <c r="BI59" s="1601">
        <v>8.41</v>
      </c>
      <c r="BJ59" s="1601">
        <f t="shared" si="704"/>
        <v>13552.08</v>
      </c>
      <c r="BK59" s="1601">
        <v>13545.52</v>
      </c>
      <c r="BL59" s="1601">
        <v>6.56</v>
      </c>
      <c r="BM59" s="1590">
        <f>SUM(BN59:BO59)</f>
        <v>10744.474</v>
      </c>
      <c r="BN59" s="1601">
        <v>10689.54</v>
      </c>
      <c r="BO59" s="1601">
        <v>54.933999999999997</v>
      </c>
      <c r="BP59" s="1590">
        <f>SUM(BQ59:BR59)</f>
        <v>14946.199999999999</v>
      </c>
      <c r="BQ59" s="1601">
        <v>14940.764999999999</v>
      </c>
      <c r="BR59" s="1601">
        <v>5.4349999999999996</v>
      </c>
      <c r="BS59" s="1601">
        <f t="shared" si="707"/>
        <v>13338.21</v>
      </c>
      <c r="BT59" s="1601">
        <v>13319.71</v>
      </c>
      <c r="BU59" s="1601">
        <v>18.5</v>
      </c>
      <c r="BV59" s="1601">
        <f>'ОХР '!BL49-'вода 2019-2023 коррект'!X77</f>
        <v>10331.669406318586</v>
      </c>
      <c r="BW59" s="1601">
        <f>BV59/BV87*BW87</f>
        <v>10326.676210545877</v>
      </c>
      <c r="BX59" s="1601">
        <f>BV59/BV87*BX87</f>
        <v>4.9931957727103642</v>
      </c>
      <c r="BY59" s="1601">
        <f>SUM('ОХР '!BQ49)</f>
        <v>17096.328834818723</v>
      </c>
      <c r="BZ59" s="1601">
        <f>BY59/BY87*BZ87</f>
        <v>17088.066344652838</v>
      </c>
      <c r="CA59" s="1601">
        <f>BY59/BY87*CA87</f>
        <v>8.2624901658850884</v>
      </c>
      <c r="CB59" s="3286" t="s">
        <v>960</v>
      </c>
      <c r="CC59" s="365"/>
      <c r="CD59" s="365"/>
      <c r="CE59" s="365"/>
      <c r="CF59" s="1601">
        <f>SUM(CG59:CH59)</f>
        <v>10943.583293623064</v>
      </c>
      <c r="CG59" s="1601">
        <f>SUM(BW59*1.03)*(1-0.01)+409.76</f>
        <v>10939.871731893631</v>
      </c>
      <c r="CH59" s="1601">
        <f>SUM(BX59*1.03)*(1-0.01)-1.38</f>
        <v>3.7115617294327592</v>
      </c>
      <c r="CI59" s="1601">
        <f>SUM(CJ59:CK59)</f>
        <v>7613.2697599999992</v>
      </c>
      <c r="CJ59" s="1601">
        <f>SUM('ОХР '!CC49)</f>
        <v>7611.0199999999995</v>
      </c>
      <c r="CK59" s="1601">
        <f>SUM('ОХР '!CD49)</f>
        <v>2.2497600000000002</v>
      </c>
      <c r="CL59" s="1601">
        <f>SUM(CM59:CN59)</f>
        <v>11544.607460000001</v>
      </c>
      <c r="CM59" s="1601">
        <f>SUM('ОХР '!CJ49+'ОХР '!CN49)</f>
        <v>11541.240660000001</v>
      </c>
      <c r="CN59" s="1601">
        <f>SUM('ОХР '!CK49)</f>
        <v>3.3668</v>
      </c>
      <c r="CO59" s="1601">
        <f>SUM(CP59:CQ59)</f>
        <v>15402.399099999999</v>
      </c>
      <c r="CP59" s="1601">
        <f>SUM('ОХР '!CQ49)</f>
        <v>15398.109999999999</v>
      </c>
      <c r="CQ59" s="1601">
        <f>SUM('ОХР '!CR49)</f>
        <v>4.2891000000000004</v>
      </c>
      <c r="CR59" s="1601">
        <f>SUM(CS59:CT59)</f>
        <v>16868.629724981929</v>
      </c>
      <c r="CS59" s="1601">
        <f>SUM('ОХР '!CX49)</f>
        <v>16863.919566479821</v>
      </c>
      <c r="CT59" s="1601">
        <f>SUM('ОХР '!CY49)</f>
        <v>4.7101585021076158</v>
      </c>
      <c r="CU59" s="1601">
        <f>SUM(CV59:CW59)</f>
        <v>15015.45108188538</v>
      </c>
      <c r="CV59" s="1601">
        <f>SUM('ОХР '!DD49)</f>
        <v>15010.218832495006</v>
      </c>
      <c r="CW59" s="3438">
        <f>SUM(BX59*(1+0.032)*0.99*(1+0.036)*0.99)</f>
        <v>5.2322493903738136</v>
      </c>
      <c r="CX59" s="1601">
        <f>SUM(CY59:CZ59)</f>
        <v>6765.8957499999997</v>
      </c>
      <c r="CY59" s="1601">
        <f>SUM('ОХР '!DG49)</f>
        <v>6764.2136599999994</v>
      </c>
      <c r="CZ59" s="1601">
        <f>SUM('ОХР '!DH49)</f>
        <v>1.6820900000000001</v>
      </c>
      <c r="DA59" s="1601">
        <f>SUM(DB59:DC59)</f>
        <v>10253.265360000001</v>
      </c>
      <c r="DB59" s="1601">
        <f>SUM('ОХР '!DN49)</f>
        <v>10250.386930000001</v>
      </c>
      <c r="DC59" s="1601">
        <f>SUM('ОХР '!DO49)</f>
        <v>2.8784299999999998</v>
      </c>
      <c r="DD59" s="1601">
        <f>SUM(DE59:DF59)</f>
        <v>13947.645349999999</v>
      </c>
      <c r="DE59" s="1601">
        <f>SUM('ОХР '!DU49)</f>
        <v>13944.235999999999</v>
      </c>
      <c r="DF59" s="1601">
        <f>SUM('ОХР '!DV49)</f>
        <v>3.4093500000000003</v>
      </c>
      <c r="DG59" s="3682">
        <f>SUM(DH59:DI59)</f>
        <v>15816.15113215308</v>
      </c>
      <c r="DH59" s="3682">
        <f>SUM('ОХР '!EB49)</f>
        <v>15812.259696206896</v>
      </c>
      <c r="DI59" s="3682">
        <f>SUM('ОХР '!EC49)</f>
        <v>3.8914359461837202</v>
      </c>
      <c r="DJ59" s="3682">
        <f>SUM(DK59:DL59)</f>
        <v>16032.367773460332</v>
      </c>
      <c r="DK59" s="3682">
        <f>SUM('ОХР '!EH49)</f>
        <v>16026.829238640345</v>
      </c>
      <c r="DL59" s="3438">
        <f>SUM(BX59*(1+0.034)*0.99*1.06*0.99*(1+0.043)*0.99)</f>
        <v>5.5385348199864612</v>
      </c>
      <c r="DM59" s="3682">
        <f>SUM(DN59:DO59)</f>
        <v>8773.0373699999982</v>
      </c>
      <c r="DN59" s="3682">
        <f>SUM('ОХР '!EL49)</f>
        <v>8771.2772599999989</v>
      </c>
      <c r="DO59" s="3682">
        <f>SUM('ОХР '!EM49)</f>
        <v>1.7601100000000001</v>
      </c>
      <c r="DP59" s="3682">
        <f>SUM(DQ59:DR59)</f>
        <v>12680.964009999998</v>
      </c>
      <c r="DQ59" s="3682">
        <f>SUM('ОХР '!ES49)</f>
        <v>12678.242999999999</v>
      </c>
      <c r="DR59" s="3682">
        <f>SUM('ОХР '!ET49)</f>
        <v>2.7210099999999997</v>
      </c>
      <c r="DS59" s="3682">
        <f>SUM(DT59:DU59)</f>
        <v>16342.00216</v>
      </c>
      <c r="DT59" s="3682">
        <f>SUM('ОХР '!EZ49)</f>
        <v>16338.538</v>
      </c>
      <c r="DU59" s="3682">
        <f>SUM('ОХР '!FA49)</f>
        <v>3.4641600000000001</v>
      </c>
      <c r="DV59" s="2346">
        <f>SUM(DW59:DX59)</f>
        <v>18532.488695060343</v>
      </c>
      <c r="DW59" s="2346">
        <f>SUM('ОХР '!FG49)</f>
        <v>18528.560850318754</v>
      </c>
      <c r="DX59" s="2346">
        <f>SUM('ОХР '!FH49)</f>
        <v>3.9278447415900009</v>
      </c>
      <c r="DY59" s="3212">
        <f>SUM(DZ59:EA59)</f>
        <v>12801.733833591741</v>
      </c>
      <c r="DZ59" s="3212">
        <f>SUM('ОХР '!EW49)</f>
        <v>0</v>
      </c>
      <c r="EA59" s="4076">
        <f>SUM(CM59*(1+0.034)*0.99*1.06*0.99*(1+0.043)*0.99)</f>
        <v>12801.733833591741</v>
      </c>
      <c r="EB59" s="2346">
        <f>SUM(EC59:ED59)</f>
        <v>18532.488695060343</v>
      </c>
      <c r="EC59" s="2346">
        <f>SUM('ОХР '!FG49)</f>
        <v>18528.560850318754</v>
      </c>
      <c r="ED59" s="2346">
        <f>SUM('ОХР '!FH49)</f>
        <v>3.9278447415900009</v>
      </c>
      <c r="EE59" s="2346">
        <f>SUM(EF59:EG59)</f>
        <v>18307.615558213456</v>
      </c>
      <c r="EF59" s="2346">
        <f>SUM('ОХР '!FM49)</f>
        <v>18305.782558213457</v>
      </c>
      <c r="EG59" s="2346">
        <v>1.833</v>
      </c>
      <c r="EH59" s="4683">
        <f>SUM(EI59:EJ59)</f>
        <v>8803.985560000001</v>
      </c>
      <c r="EI59" s="4834">
        <f>SUM('ОХР '!FO49)</f>
        <v>8801.9241600000005</v>
      </c>
      <c r="EJ59" s="4683">
        <f>SUM('ОХР '!FP49)</f>
        <v>2.0613999999999999</v>
      </c>
      <c r="EK59" s="4683">
        <f>SUM(EL59:EM59)</f>
        <v>18946.430339999999</v>
      </c>
      <c r="EL59" s="4683">
        <f>SUM('ОХР '!FS49)</f>
        <v>18943.56885</v>
      </c>
      <c r="EM59" s="4683">
        <f>SUM('ОХР '!FT49)</f>
        <v>2.8614900000000003</v>
      </c>
    </row>
    <row r="60" spans="1:143" s="2196" customFormat="1" ht="20.25" customHeight="1" x14ac:dyDescent="0.2">
      <c r="A60" s="3880" t="s">
        <v>3651</v>
      </c>
      <c r="B60" s="3324"/>
      <c r="C60" s="1737"/>
      <c r="D60" s="1737"/>
      <c r="E60" s="1737"/>
      <c r="F60" s="1737"/>
      <c r="G60" s="1737"/>
      <c r="H60" s="1737"/>
      <c r="I60" s="3318"/>
      <c r="J60" s="3318"/>
      <c r="K60" s="3318"/>
      <c r="L60" s="3318"/>
      <c r="M60" s="3318"/>
      <c r="N60" s="3318"/>
      <c r="O60" s="3318"/>
      <c r="P60" s="3318"/>
      <c r="Q60" s="3325"/>
      <c r="R60" s="3318"/>
      <c r="S60" s="3318"/>
      <c r="T60" s="3318"/>
      <c r="U60" s="3318"/>
      <c r="V60" s="3318"/>
      <c r="W60" s="3318"/>
      <c r="X60" s="3318"/>
      <c r="Y60" s="1728"/>
      <c r="Z60" s="1604"/>
      <c r="AA60" s="1728"/>
      <c r="AB60" s="1604"/>
      <c r="AC60" s="1728"/>
      <c r="AD60" s="1728"/>
      <c r="AE60" s="1728"/>
      <c r="AF60" s="1728"/>
      <c r="AG60" s="1728"/>
      <c r="AH60" s="3326"/>
      <c r="AI60" s="1606"/>
      <c r="AJ60" s="1728"/>
      <c r="AK60" s="1728"/>
      <c r="AL60" s="3326"/>
      <c r="AM60" s="1606"/>
      <c r="AN60" s="1728"/>
      <c r="AO60" s="1728"/>
      <c r="AP60" s="3327"/>
      <c r="AQ60" s="3327"/>
      <c r="AR60" s="3327"/>
      <c r="AS60" s="3327"/>
      <c r="AT60" s="1728"/>
      <c r="AU60" s="1728"/>
      <c r="AV60" s="1728"/>
      <c r="AW60" s="1728"/>
      <c r="AX60" s="1728"/>
      <c r="AY60" s="1728"/>
      <c r="AZ60" s="3326"/>
      <c r="BA60" s="1606"/>
      <c r="BB60" s="1728"/>
      <c r="BC60" s="1728"/>
      <c r="BD60" s="3326"/>
      <c r="BE60" s="1728"/>
      <c r="BF60" s="1728"/>
      <c r="BG60" s="1728"/>
      <c r="BH60" s="1728"/>
      <c r="BI60" s="1728"/>
      <c r="BJ60" s="1728"/>
      <c r="BK60" s="1728"/>
      <c r="BL60" s="1728"/>
      <c r="BM60" s="3326"/>
      <c r="BN60" s="1728"/>
      <c r="BO60" s="1728"/>
      <c r="BP60" s="3326">
        <f>SUM(BQ60:BR60)</f>
        <v>136.50051999999999</v>
      </c>
      <c r="BQ60" s="1728">
        <f>SUM('Аренда земли'!G9)</f>
        <v>136.5</v>
      </c>
      <c r="BR60" s="2688">
        <f>SUM('Аренда земли'!G12)</f>
        <v>5.1999999999999995E-4</v>
      </c>
      <c r="BS60" s="1728"/>
      <c r="BT60" s="1728"/>
      <c r="BU60" s="1728"/>
      <c r="BV60" s="1728">
        <f>'Аренда земли'!M7</f>
        <v>63.916885499999999</v>
      </c>
      <c r="BW60" s="1728">
        <f>BV60/BV87*BW87</f>
        <v>63.885995088205725</v>
      </c>
      <c r="BX60" s="1728">
        <f>BV60-BW60</f>
        <v>3.0890411794274542E-2</v>
      </c>
      <c r="BY60" s="1728">
        <f>SUM(BZ60:CA60)</f>
        <v>147.08531632288</v>
      </c>
      <c r="BZ60" s="1728">
        <f>SUM('Аренда земли'!S9)</f>
        <v>147.084756</v>
      </c>
      <c r="CA60" s="2688">
        <f>SUM('Аренда земли'!S12)</f>
        <v>5.6032287999999999E-4</v>
      </c>
      <c r="CB60" s="3312"/>
      <c r="CC60" s="3313"/>
      <c r="CD60" s="3313"/>
      <c r="CE60" s="3313"/>
      <c r="CF60" s="1728">
        <f>SUM(CG60:CH60)</f>
        <v>138.11089028999999</v>
      </c>
      <c r="CG60" s="1728">
        <f>SUM('Аренда земли'!T7)</f>
        <v>138.11089028999999</v>
      </c>
      <c r="CH60" s="2688">
        <v>0</v>
      </c>
      <c r="CI60" s="1728">
        <f>SUM(CJ60:CK60)</f>
        <v>44.824379999999998</v>
      </c>
      <c r="CJ60" s="1728">
        <f>SUM('Аренда земли'!U9)</f>
        <v>44.822929999999999</v>
      </c>
      <c r="CK60" s="2688">
        <f>SUM('Аренда земли'!U12)</f>
        <v>1.4499999999999999E-3</v>
      </c>
      <c r="CL60" s="1728">
        <f>SUM(CM60:CN60)</f>
        <v>67.213049999999996</v>
      </c>
      <c r="CM60" s="1728">
        <f>SUM('Аренда земли'!V9)</f>
        <v>67.210719999999995</v>
      </c>
      <c r="CN60" s="2688">
        <f>SUM('Аренда земли'!V12)</f>
        <v>2.33E-3</v>
      </c>
      <c r="CO60" s="1728">
        <f>SUM(CP60:CQ60)</f>
        <v>89.509</v>
      </c>
      <c r="CP60" s="1728">
        <f>SUM('Аренда земли'!W9)</f>
        <v>89.506</v>
      </c>
      <c r="CQ60" s="2688">
        <f>SUM('Аренда земли'!W12)</f>
        <v>3.0000000000000001E-3</v>
      </c>
      <c r="CR60" s="1728">
        <f>SUM(CS60:CT60)</f>
        <v>138.11089028999999</v>
      </c>
      <c r="CS60" s="1728">
        <f>SUM('Аренда земли'!Y7)</f>
        <v>138.11089028999999</v>
      </c>
      <c r="CT60" s="2688">
        <f>SUM('Аренда земли'!Y11)</f>
        <v>0</v>
      </c>
      <c r="CU60" s="1728">
        <f>SUM(CV60:CW60)</f>
        <v>86.286980999999997</v>
      </c>
      <c r="CV60" s="1728">
        <f>SUM('Аренда земли'!Z7)</f>
        <v>86.286980999999997</v>
      </c>
      <c r="CW60" s="2688">
        <v>0</v>
      </c>
      <c r="CX60" s="1728">
        <f>SUM(CY60:CZ60)</f>
        <v>0</v>
      </c>
      <c r="CY60" s="1728">
        <f>SUM('Аренда земли'!AN9)</f>
        <v>0</v>
      </c>
      <c r="CZ60" s="2688">
        <f>SUM('Аренда земли'!AN12)</f>
        <v>0</v>
      </c>
      <c r="DA60" s="1728">
        <f>SUM(DB60:DC60)</f>
        <v>0</v>
      </c>
      <c r="DB60" s="1728">
        <f>SUM('Аренда земли'!AO9)</f>
        <v>0</v>
      </c>
      <c r="DC60" s="2688">
        <f>SUM('Аренда земли'!AO12)</f>
        <v>0</v>
      </c>
      <c r="DD60" s="1728">
        <f>SUM(DE60:DF60)</f>
        <v>0</v>
      </c>
      <c r="DE60" s="1728">
        <f>SUM('Аренда земли'!AP9)</f>
        <v>0</v>
      </c>
      <c r="DF60" s="2688">
        <f>SUM('Аренда земли'!AP12)</f>
        <v>0</v>
      </c>
      <c r="DG60" s="4011">
        <f>SUM(DH60:DI60)</f>
        <v>137.32005000000001</v>
      </c>
      <c r="DH60" s="4011">
        <f>SUM('Аренда земли'!AD7)</f>
        <v>137.32005000000001</v>
      </c>
      <c r="DI60" s="2688">
        <f>SUM('Аренда земли'!AD11)</f>
        <v>0</v>
      </c>
      <c r="DJ60" s="4011">
        <f>SUM(DK60:DL60)</f>
        <v>115.26003174</v>
      </c>
      <c r="DK60" s="4011">
        <f>SUM('Аренда земли'!AE7)</f>
        <v>115.26003174</v>
      </c>
      <c r="DL60" s="2688">
        <v>0</v>
      </c>
      <c r="DM60" s="4011">
        <f>SUM(DN60:DO60)</f>
        <v>0</v>
      </c>
      <c r="DN60" s="4011">
        <f>SUM('Аренда земли'!AY9)</f>
        <v>0</v>
      </c>
      <c r="DO60" s="2688">
        <f>SUM('Аренда земли'!AY12)</f>
        <v>0</v>
      </c>
      <c r="DP60" s="4011">
        <f>SUM(DQ60:DR60)</f>
        <v>0</v>
      </c>
      <c r="DQ60" s="4011">
        <f>SUM('Аренда земли'!BB9)</f>
        <v>0</v>
      </c>
      <c r="DR60" s="2688">
        <f>SUM('Аренда земли'!BB12)</f>
        <v>0</v>
      </c>
      <c r="DS60" s="4011">
        <f>SUM(DT60:DU60)</f>
        <v>0</v>
      </c>
      <c r="DT60" s="4011">
        <f>SUM('Аренда земли'!BE9)</f>
        <v>0</v>
      </c>
      <c r="DU60" s="2688">
        <f>SUM('Аренда земли'!BE12)</f>
        <v>0</v>
      </c>
      <c r="DV60" s="3696">
        <f>SUM(DW60:DX60)</f>
        <v>111.3917805</v>
      </c>
      <c r="DW60" s="3696">
        <f>SUM('Аренда земли'!AI7)</f>
        <v>111.3917805</v>
      </c>
      <c r="DX60" s="3767">
        <f>SUM('Аренда земли'!AS11)</f>
        <v>0</v>
      </c>
      <c r="DY60" s="4021">
        <f>SUM(DZ60:EA60)</f>
        <v>0</v>
      </c>
      <c r="DZ60" s="4021">
        <f>SUM('Аренда земли'!AT7)</f>
        <v>0</v>
      </c>
      <c r="EA60" s="4077">
        <v>0</v>
      </c>
      <c r="EB60" s="3696">
        <f>SUM(EC60:ED60)</f>
        <v>111.3917805</v>
      </c>
      <c r="EC60" s="3696">
        <f>SUM('Аренда земли'!AI7)</f>
        <v>111.3917805</v>
      </c>
      <c r="ED60" s="3767">
        <f>SUM('Аренда земли'!AS11)</f>
        <v>0</v>
      </c>
      <c r="EE60" s="3696">
        <f>SUM(EF60:EG60)</f>
        <v>89.04</v>
      </c>
      <c r="EF60" s="3696">
        <f>SUM('Аренда земли'!AJ7)</f>
        <v>89.04</v>
      </c>
      <c r="EG60" s="3767">
        <v>0</v>
      </c>
      <c r="EH60" s="3713">
        <f>SUM(EI60:EJ60)</f>
        <v>0</v>
      </c>
      <c r="EI60" s="3713">
        <f>SUM('Аренда земли'!BQ9)</f>
        <v>0</v>
      </c>
      <c r="EJ60" s="4685">
        <f>SUM('Аренда земли'!BQ12)</f>
        <v>0</v>
      </c>
      <c r="EK60" s="3713">
        <f>SUM(EL60:EM60)</f>
        <v>0</v>
      </c>
      <c r="EL60" s="3713">
        <f>SUM('Аренда земли'!BT9)</f>
        <v>0</v>
      </c>
      <c r="EM60" s="4685">
        <f>SUM('Аренда земли'!BT12)</f>
        <v>0</v>
      </c>
    </row>
    <row r="61" spans="1:143" s="2196" customFormat="1" ht="20.25" customHeight="1" x14ac:dyDescent="0.2">
      <c r="A61" s="3879" t="s">
        <v>3546</v>
      </c>
      <c r="B61" s="2600"/>
      <c r="C61" s="3315"/>
      <c r="D61" s="1737"/>
      <c r="E61" s="3315"/>
      <c r="F61" s="1737"/>
      <c r="G61" s="3315"/>
      <c r="H61" s="1737"/>
      <c r="I61" s="3292"/>
      <c r="J61" s="3292"/>
      <c r="K61" s="3292"/>
      <c r="L61" s="3292"/>
      <c r="M61" s="3318"/>
      <c r="N61" s="3318"/>
      <c r="O61" s="3292"/>
      <c r="P61" s="3318"/>
      <c r="Q61" s="3319"/>
      <c r="R61" s="3318"/>
      <c r="S61" s="3318"/>
      <c r="T61" s="3292"/>
      <c r="U61" s="3292"/>
      <c r="V61" s="3292"/>
      <c r="W61" s="3292"/>
      <c r="X61" s="3292"/>
      <c r="Y61" s="1601"/>
      <c r="Z61" s="1604"/>
      <c r="AA61" s="1601"/>
      <c r="AB61" s="1604"/>
      <c r="AC61" s="1601"/>
      <c r="AD61" s="1601"/>
      <c r="AE61" s="1601"/>
      <c r="AF61" s="1601"/>
      <c r="AG61" s="1601"/>
      <c r="AH61" s="1590"/>
      <c r="AI61" s="1605"/>
      <c r="AJ61" s="1601"/>
      <c r="AK61" s="1601"/>
      <c r="AL61" s="1590"/>
      <c r="AM61" s="1605"/>
      <c r="AN61" s="1601"/>
      <c r="AO61" s="1601"/>
      <c r="AP61" s="1593"/>
      <c r="AQ61" s="1593"/>
      <c r="AR61" s="1593"/>
      <c r="AS61" s="1593"/>
      <c r="AT61" s="1601"/>
      <c r="AU61" s="1601"/>
      <c r="AV61" s="1601"/>
      <c r="AW61" s="1601"/>
      <c r="AX61" s="1601"/>
      <c r="AY61" s="1601"/>
      <c r="AZ61" s="1590"/>
      <c r="BA61" s="1606"/>
      <c r="BB61" s="1601"/>
      <c r="BC61" s="1601"/>
      <c r="BD61" s="1590"/>
      <c r="BE61" s="1601"/>
      <c r="BF61" s="1601"/>
      <c r="BG61" s="1601"/>
      <c r="BH61" s="1601"/>
      <c r="BI61" s="1601"/>
      <c r="BJ61" s="1601"/>
      <c r="BK61" s="1601"/>
      <c r="BL61" s="1601"/>
      <c r="BM61" s="1590"/>
      <c r="BN61" s="1601"/>
      <c r="BO61" s="1601"/>
      <c r="BP61" s="1590"/>
      <c r="BQ61" s="1601"/>
      <c r="BR61" s="1601"/>
      <c r="BS61" s="1601"/>
      <c r="BT61" s="1601"/>
      <c r="BU61" s="1601"/>
      <c r="BV61" s="1601">
        <f>BW61</f>
        <v>30.794479507533907</v>
      </c>
      <c r="BW61" s="1601">
        <f>'[44]индексация вода'!$R$32</f>
        <v>30.794479507533907</v>
      </c>
      <c r="BX61" s="1601"/>
      <c r="BY61" s="1601">
        <f>BZ61</f>
        <v>0</v>
      </c>
      <c r="BZ61" s="1601">
        <f>SUM('Транспортировка КЭМЗ'!I8)</f>
        <v>0</v>
      </c>
      <c r="CA61" s="1601"/>
      <c r="CB61" s="3286"/>
      <c r="CC61" s="365"/>
      <c r="CD61" s="365"/>
      <c r="CE61" s="365"/>
      <c r="CF61" s="1601">
        <f>CG61</f>
        <v>0</v>
      </c>
      <c r="CG61" s="1601">
        <f>SUM('Транспортировка КЭМЗ'!T8)</f>
        <v>0</v>
      </c>
      <c r="CH61" s="1601">
        <v>0</v>
      </c>
      <c r="CI61" s="1601">
        <f>CJ61</f>
        <v>0</v>
      </c>
      <c r="CJ61" s="1601">
        <v>0</v>
      </c>
      <c r="CK61" s="1601">
        <v>0</v>
      </c>
      <c r="CL61" s="1601">
        <f>CM61</f>
        <v>0</v>
      </c>
      <c r="CM61" s="1601">
        <v>0</v>
      </c>
      <c r="CN61" s="1601">
        <v>0</v>
      </c>
      <c r="CO61" s="1601">
        <f>CP61</f>
        <v>0</v>
      </c>
      <c r="CP61" s="1601">
        <f>SUM('Транспортировка КЭМЗ'!Z8)</f>
        <v>0</v>
      </c>
      <c r="CQ61" s="1601">
        <v>0</v>
      </c>
      <c r="CR61" s="1601">
        <f>CS61</f>
        <v>0</v>
      </c>
      <c r="CS61" s="1601">
        <f>SUM('Транспортировка КЭМЗ'!K8)</f>
        <v>0</v>
      </c>
      <c r="CT61" s="1601">
        <v>0</v>
      </c>
      <c r="CU61" s="1601">
        <f>CV61</f>
        <v>0</v>
      </c>
      <c r="CV61" s="1601">
        <f>SUM('Транспортировка КЭМЗ'!N8)</f>
        <v>0</v>
      </c>
      <c r="CW61" s="1601">
        <v>0</v>
      </c>
      <c r="CX61" s="1601">
        <f>CY61</f>
        <v>0</v>
      </c>
      <c r="CY61" s="1601">
        <v>0</v>
      </c>
      <c r="CZ61" s="1601">
        <v>0</v>
      </c>
      <c r="DA61" s="1601">
        <f>DB61</f>
        <v>0</v>
      </c>
      <c r="DB61" s="1601">
        <v>0</v>
      </c>
      <c r="DC61" s="1601">
        <v>0</v>
      </c>
      <c r="DD61" s="1601">
        <f>DE61</f>
        <v>0</v>
      </c>
      <c r="DE61" s="1601">
        <f>SUM('Транспортировка КЭМЗ'!AO8)</f>
        <v>0</v>
      </c>
      <c r="DF61" s="1601">
        <v>0</v>
      </c>
      <c r="DG61" s="3682">
        <f>DH61</f>
        <v>0</v>
      </c>
      <c r="DH61" s="3682">
        <f>SUM('Транспортировка КЭМЗ'!Z8)</f>
        <v>0</v>
      </c>
      <c r="DI61" s="3682">
        <v>0</v>
      </c>
      <c r="DJ61" s="3682">
        <f>DK61</f>
        <v>0</v>
      </c>
      <c r="DK61" s="3682">
        <f>SUM('Транспортировка КЭМЗ'!AC8)</f>
        <v>0</v>
      </c>
      <c r="DL61" s="3682">
        <v>0</v>
      </c>
      <c r="DM61" s="3682">
        <f>DN61</f>
        <v>0</v>
      </c>
      <c r="DN61" s="3682">
        <f>SUM('Транспортировка КЭМЗ'!AX8)</f>
        <v>0</v>
      </c>
      <c r="DO61" s="3682">
        <v>0</v>
      </c>
      <c r="DP61" s="3682">
        <f>DQ61</f>
        <v>0</v>
      </c>
      <c r="DQ61" s="3682">
        <f>SUM('Транспортировка КЭМЗ'!BA8)</f>
        <v>0</v>
      </c>
      <c r="DR61" s="3682">
        <v>0</v>
      </c>
      <c r="DS61" s="3682">
        <f>DT61</f>
        <v>0</v>
      </c>
      <c r="DT61" s="3682">
        <f>SUM('Транспортировка КЭМЗ'!BD8)</f>
        <v>0</v>
      </c>
      <c r="DU61" s="3682">
        <v>0</v>
      </c>
      <c r="DV61" s="2346">
        <f>DW61</f>
        <v>0</v>
      </c>
      <c r="DW61" s="2346">
        <v>0</v>
      </c>
      <c r="DX61" s="2346">
        <v>0</v>
      </c>
      <c r="DY61" s="3212">
        <f>DZ61</f>
        <v>0</v>
      </c>
      <c r="DZ61" s="3212">
        <f>SUM('Транспортировка КЭМЗ'!AR8)</f>
        <v>0</v>
      </c>
      <c r="EA61" s="4073">
        <v>0</v>
      </c>
      <c r="EB61" s="2346">
        <f>EC61</f>
        <v>0</v>
      </c>
      <c r="EC61" s="2346">
        <v>0</v>
      </c>
      <c r="ED61" s="2346">
        <v>0</v>
      </c>
      <c r="EE61" s="2346">
        <f>EF61</f>
        <v>0</v>
      </c>
      <c r="EF61" s="2346">
        <v>0</v>
      </c>
      <c r="EG61" s="2346">
        <v>0</v>
      </c>
      <c r="EH61" s="4683">
        <f>EI61</f>
        <v>0</v>
      </c>
      <c r="EI61" s="4683">
        <f>SUM('Транспортировка КЭМЗ'!BP8)</f>
        <v>0</v>
      </c>
      <c r="EJ61" s="4683">
        <v>0</v>
      </c>
      <c r="EK61" s="4683">
        <f>EL61</f>
        <v>0</v>
      </c>
      <c r="EL61" s="4683">
        <f>SUM('Транспортировка КЭМЗ'!BS8)</f>
        <v>0</v>
      </c>
      <c r="EM61" s="4683">
        <v>0</v>
      </c>
    </row>
    <row r="62" spans="1:143" ht="21" customHeight="1" x14ac:dyDescent="0.2">
      <c r="A62" s="3879" t="s">
        <v>2090</v>
      </c>
      <c r="B62" s="2600"/>
      <c r="C62" s="3315"/>
      <c r="D62" s="3315"/>
      <c r="E62" s="3315"/>
      <c r="F62" s="3315"/>
      <c r="G62" s="3315"/>
      <c r="H62" s="3315"/>
      <c r="I62" s="3292"/>
      <c r="J62" s="3292"/>
      <c r="K62" s="3292"/>
      <c r="L62" s="3292"/>
      <c r="M62" s="3292"/>
      <c r="N62" s="3292"/>
      <c r="O62" s="3292"/>
      <c r="P62" s="3292"/>
      <c r="Q62" s="3319"/>
      <c r="R62" s="3292"/>
      <c r="S62" s="3292"/>
      <c r="T62" s="3292"/>
      <c r="U62" s="3292"/>
      <c r="V62" s="3292"/>
      <c r="W62" s="3292"/>
      <c r="X62" s="3292"/>
      <c r="Y62" s="1601"/>
      <c r="Z62" s="1730"/>
      <c r="AA62" s="1601"/>
      <c r="AB62" s="1730"/>
      <c r="AC62" s="1601"/>
      <c r="AD62" s="1601"/>
      <c r="AE62" s="1601"/>
      <c r="AF62" s="1601"/>
      <c r="AG62" s="1601"/>
      <c r="AH62" s="1590"/>
      <c r="AI62" s="1605"/>
      <c r="AJ62" s="1601"/>
      <c r="AK62" s="1601"/>
      <c r="AL62" s="1590"/>
      <c r="AM62" s="1605"/>
      <c r="AN62" s="1601"/>
      <c r="AO62" s="1601"/>
      <c r="AP62" s="1593"/>
      <c r="AQ62" s="1593"/>
      <c r="AR62" s="1593"/>
      <c r="AS62" s="1593"/>
      <c r="AT62" s="1601"/>
      <c r="AU62" s="1601"/>
      <c r="AV62" s="1601"/>
      <c r="AW62" s="1601"/>
      <c r="AX62" s="1601"/>
      <c r="AY62" s="1601"/>
      <c r="AZ62" s="1590">
        <v>1162.33</v>
      </c>
      <c r="BA62" s="1605"/>
      <c r="BB62" s="1601">
        <v>1162.33</v>
      </c>
      <c r="BC62" s="1601"/>
      <c r="BD62" s="1590">
        <f>BE62+BF62</f>
        <v>395.92549126618718</v>
      </c>
      <c r="BE62" s="1601">
        <f>'Резерв ДЗ'!F7</f>
        <v>395.92549126618718</v>
      </c>
      <c r="BF62" s="1601"/>
      <c r="BG62" s="1590">
        <v>0</v>
      </c>
      <c r="BH62" s="1601">
        <f>'Резерв ДЗ'!I7</f>
        <v>0</v>
      </c>
      <c r="BI62" s="1601"/>
      <c r="BJ62" s="1590">
        <v>0</v>
      </c>
      <c r="BK62" s="1601">
        <v>0</v>
      </c>
      <c r="BL62" s="1601">
        <v>0</v>
      </c>
      <c r="BM62" s="1590">
        <f>BN62+BO62</f>
        <v>436.83499999999998</v>
      </c>
      <c r="BN62" s="1601">
        <v>436.83499999999998</v>
      </c>
      <c r="BO62" s="1601"/>
      <c r="BP62" s="1590">
        <f>BQ62+BR62</f>
        <v>0</v>
      </c>
      <c r="BQ62" s="1601"/>
      <c r="BR62" s="1601"/>
      <c r="BS62" s="1590">
        <f>BT62+BU62</f>
        <v>294.81</v>
      </c>
      <c r="BT62" s="1601">
        <v>294.81</v>
      </c>
      <c r="BU62" s="1601">
        <v>0</v>
      </c>
      <c r="BV62" s="1590">
        <f>BW62+BX62</f>
        <v>294.81</v>
      </c>
      <c r="BW62" s="1601">
        <f>BT62</f>
        <v>294.81</v>
      </c>
      <c r="BX62" s="1601">
        <v>0</v>
      </c>
      <c r="BY62" s="1590">
        <f>BZ62+CA62</f>
        <v>294.81</v>
      </c>
      <c r="BZ62" s="1601">
        <f>BW62</f>
        <v>294.81</v>
      </c>
      <c r="CA62" s="1601">
        <v>0</v>
      </c>
      <c r="CB62" s="3286" t="s">
        <v>960</v>
      </c>
      <c r="CC62" s="365"/>
      <c r="CD62" s="365"/>
      <c r="CE62" s="365"/>
      <c r="CF62" s="1590">
        <f>CG62+CH62</f>
        <v>294.80500000000001</v>
      </c>
      <c r="CG62" s="1601">
        <f>SUM('рез к 2018-2024 (кор) '!G59:G62)</f>
        <v>294.80500000000001</v>
      </c>
      <c r="CH62" s="1601">
        <v>0</v>
      </c>
      <c r="CI62" s="1590">
        <f>CJ62+CK62</f>
        <v>0</v>
      </c>
      <c r="CJ62" s="1601">
        <v>0</v>
      </c>
      <c r="CK62" s="1601">
        <v>0</v>
      </c>
      <c r="CL62" s="1590">
        <f>CM62+CN62</f>
        <v>0</v>
      </c>
      <c r="CM62" s="1601">
        <v>0</v>
      </c>
      <c r="CN62" s="1601">
        <v>0</v>
      </c>
      <c r="CO62" s="1590">
        <f>CP62+CQ62</f>
        <v>0</v>
      </c>
      <c r="CP62" s="1601">
        <f>CM62</f>
        <v>0</v>
      </c>
      <c r="CQ62" s="1601">
        <v>0</v>
      </c>
      <c r="CR62" s="1590">
        <f>CS62+CT62</f>
        <v>361.3957437703653</v>
      </c>
      <c r="CS62" s="1601">
        <f>SUM('рез к 2018-2024 (кор) '!F69:F72)</f>
        <v>361.3957437703653</v>
      </c>
      <c r="CT62" s="1601">
        <v>0</v>
      </c>
      <c r="CU62" s="1590">
        <f>CV62+CW62</f>
        <v>0</v>
      </c>
      <c r="CV62" s="1601">
        <f>SUM('рез к 2018-2024 (кор) '!G69:G72)</f>
        <v>0</v>
      </c>
      <c r="CW62" s="1601">
        <v>0</v>
      </c>
      <c r="CX62" s="1590">
        <f>CY62+CZ62</f>
        <v>0</v>
      </c>
      <c r="CY62" s="1601">
        <v>0</v>
      </c>
      <c r="CZ62" s="1601">
        <v>0</v>
      </c>
      <c r="DA62" s="1590">
        <f>DB62+DC62</f>
        <v>0</v>
      </c>
      <c r="DB62" s="1601">
        <v>0</v>
      </c>
      <c r="DC62" s="1601">
        <v>0</v>
      </c>
      <c r="DD62" s="1590">
        <f>DE62+DF62</f>
        <v>2720.33</v>
      </c>
      <c r="DE62" s="1601">
        <v>2720.33</v>
      </c>
      <c r="DF62" s="1601">
        <v>0</v>
      </c>
      <c r="DG62" s="1590">
        <f>DH62+DI62</f>
        <v>372.81463449789953</v>
      </c>
      <c r="DH62" s="3682">
        <f>SUM('рез к 2018-2024 (кор) '!F79:F82)</f>
        <v>372.81463449789953</v>
      </c>
      <c r="DI62" s="3682">
        <v>0</v>
      </c>
      <c r="DJ62" s="1590">
        <f>DK62+DL62</f>
        <v>372.81463449789953</v>
      </c>
      <c r="DK62" s="3682">
        <f>SUM('рез к 2018-2024 (кор) '!G79:G82)</f>
        <v>372.81463449789953</v>
      </c>
      <c r="DL62" s="3682">
        <v>0</v>
      </c>
      <c r="DM62" s="1590">
        <f>DN62+DO62</f>
        <v>0</v>
      </c>
      <c r="DN62" s="3682">
        <v>0</v>
      </c>
      <c r="DO62" s="3682">
        <v>0</v>
      </c>
      <c r="DP62" s="1590">
        <f>DQ62+DR62</f>
        <v>0</v>
      </c>
      <c r="DQ62" s="3682">
        <v>0</v>
      </c>
      <c r="DR62" s="3682">
        <v>0</v>
      </c>
      <c r="DS62" s="1590">
        <f>DT62+DU62</f>
        <v>2371.9087199999999</v>
      </c>
      <c r="DT62" s="3682">
        <v>2371.9087199999999</v>
      </c>
      <c r="DU62" s="3682">
        <v>0</v>
      </c>
      <c r="DV62" s="3768">
        <f>DW62+DX62</f>
        <v>387.72721987781551</v>
      </c>
      <c r="DW62" s="2346">
        <f>SUM('рез к 2018-2024 (кор) '!F89:F92)</f>
        <v>387.72721987781551</v>
      </c>
      <c r="DX62" s="2346">
        <v>0</v>
      </c>
      <c r="DY62" s="4022">
        <f>DZ62+EA62</f>
        <v>0</v>
      </c>
      <c r="DZ62" s="3212">
        <f>SUM('рез к 2018-2024 (кор) '!V79:V82)</f>
        <v>0</v>
      </c>
      <c r="EA62" s="4073">
        <v>0</v>
      </c>
      <c r="EB62" s="3768">
        <f>EC62+ED62</f>
        <v>387.72721987781551</v>
      </c>
      <c r="EC62" s="2346">
        <f>SUM('рез к 2018-2024 (кор) '!F89:F92)</f>
        <v>387.72721987781551</v>
      </c>
      <c r="ED62" s="2346">
        <v>0</v>
      </c>
      <c r="EE62" s="3768">
        <f>EF62+EG62</f>
        <v>0</v>
      </c>
      <c r="EF62" s="2346">
        <f>SUM('рез к 2018-2024 (кор) '!G89:G92)</f>
        <v>0</v>
      </c>
      <c r="EG62" s="2346">
        <v>0</v>
      </c>
      <c r="EH62" s="4686">
        <f>EI62+EJ62</f>
        <v>0</v>
      </c>
      <c r="EI62" s="4683">
        <v>0</v>
      </c>
      <c r="EJ62" s="4683">
        <v>0</v>
      </c>
      <c r="EK62" s="4686">
        <f>EL62+EM62</f>
        <v>0</v>
      </c>
      <c r="EL62" s="4683">
        <v>0</v>
      </c>
      <c r="EM62" s="4683">
        <v>0</v>
      </c>
    </row>
    <row r="63" spans="1:143" ht="35.25" customHeight="1" x14ac:dyDescent="0.2">
      <c r="A63" s="3881" t="s">
        <v>4163</v>
      </c>
      <c r="B63" s="2600"/>
      <c r="C63" s="3315"/>
      <c r="D63" s="3315"/>
      <c r="E63" s="3315"/>
      <c r="F63" s="3315"/>
      <c r="G63" s="3315"/>
      <c r="H63" s="3315"/>
      <c r="I63" s="4127"/>
      <c r="J63" s="4127"/>
      <c r="K63" s="4127"/>
      <c r="L63" s="4127"/>
      <c r="M63" s="4127"/>
      <c r="N63" s="4127"/>
      <c r="O63" s="4127"/>
      <c r="P63" s="4127"/>
      <c r="Q63" s="3319"/>
      <c r="R63" s="4127"/>
      <c r="S63" s="4127"/>
      <c r="T63" s="4127"/>
      <c r="U63" s="4127"/>
      <c r="V63" s="4127"/>
      <c r="W63" s="4127"/>
      <c r="X63" s="4127"/>
      <c r="Y63" s="3682"/>
      <c r="Z63" s="1730"/>
      <c r="AA63" s="3682"/>
      <c r="AB63" s="1730"/>
      <c r="AC63" s="3682"/>
      <c r="AD63" s="3682"/>
      <c r="AE63" s="3682"/>
      <c r="AF63" s="3682"/>
      <c r="AG63" s="3682"/>
      <c r="AH63" s="1590"/>
      <c r="AI63" s="1605"/>
      <c r="AJ63" s="3682"/>
      <c r="AK63" s="3682"/>
      <c r="AL63" s="1590"/>
      <c r="AM63" s="1605"/>
      <c r="AN63" s="3682"/>
      <c r="AO63" s="3682"/>
      <c r="AP63" s="1593"/>
      <c r="AQ63" s="1593"/>
      <c r="AR63" s="1593"/>
      <c r="AS63" s="1593"/>
      <c r="AT63" s="3682"/>
      <c r="AU63" s="3682"/>
      <c r="AV63" s="3682"/>
      <c r="AW63" s="3682"/>
      <c r="AX63" s="3682"/>
      <c r="AY63" s="3682"/>
      <c r="AZ63" s="1590"/>
      <c r="BA63" s="1605"/>
      <c r="BB63" s="3682"/>
      <c r="BC63" s="3682"/>
      <c r="BD63" s="1590"/>
      <c r="BE63" s="3682"/>
      <c r="BF63" s="3682"/>
      <c r="BG63" s="1590"/>
      <c r="BH63" s="3682"/>
      <c r="BI63" s="3682"/>
      <c r="BJ63" s="1590"/>
      <c r="BK63" s="3682"/>
      <c r="BL63" s="3682"/>
      <c r="BM63" s="1590"/>
      <c r="BN63" s="3682"/>
      <c r="BO63" s="3682"/>
      <c r="BP63" s="1590"/>
      <c r="BQ63" s="3682"/>
      <c r="BR63" s="3682"/>
      <c r="BS63" s="1590"/>
      <c r="BT63" s="3682"/>
      <c r="BU63" s="3682"/>
      <c r="BV63" s="1590"/>
      <c r="BW63" s="3682"/>
      <c r="BX63" s="3682"/>
      <c r="BY63" s="1590"/>
      <c r="BZ63" s="3682"/>
      <c r="CA63" s="3682"/>
      <c r="CB63" s="4126"/>
      <c r="CC63" s="365"/>
      <c r="CD63" s="365"/>
      <c r="CE63" s="365"/>
      <c r="CF63" s="1590"/>
      <c r="CG63" s="3682"/>
      <c r="CH63" s="3682"/>
      <c r="CI63" s="1590"/>
      <c r="CJ63" s="3682"/>
      <c r="CK63" s="3682"/>
      <c r="CL63" s="1590"/>
      <c r="CM63" s="3682"/>
      <c r="CN63" s="3682"/>
      <c r="CO63" s="1590"/>
      <c r="CP63" s="3682"/>
      <c r="CQ63" s="3682"/>
      <c r="CR63" s="1590"/>
      <c r="CS63" s="3682"/>
      <c r="CT63" s="3682"/>
      <c r="CU63" s="1590"/>
      <c r="CV63" s="3682"/>
      <c r="CW63" s="3682"/>
      <c r="CX63" s="1590"/>
      <c r="CY63" s="3682"/>
      <c r="CZ63" s="3682"/>
      <c r="DA63" s="1590"/>
      <c r="DB63" s="3682"/>
      <c r="DC63" s="3682"/>
      <c r="DD63" s="1590"/>
      <c r="DE63" s="3682"/>
      <c r="DF63" s="3682"/>
      <c r="DG63" s="1590"/>
      <c r="DH63" s="3682"/>
      <c r="DI63" s="3682"/>
      <c r="DJ63" s="1590"/>
      <c r="DK63" s="3682"/>
      <c r="DL63" s="3682"/>
      <c r="DM63" s="1590"/>
      <c r="DN63" s="3682"/>
      <c r="DO63" s="3682"/>
      <c r="DP63" s="1590"/>
      <c r="DQ63" s="3682"/>
      <c r="DR63" s="3682"/>
      <c r="DS63" s="1590"/>
      <c r="DT63" s="3682"/>
      <c r="DU63" s="3682"/>
      <c r="DV63" s="3768"/>
      <c r="DW63" s="2346"/>
      <c r="DX63" s="2346"/>
      <c r="DY63" s="4022"/>
      <c r="DZ63" s="3212"/>
      <c r="EA63" s="4073"/>
      <c r="EB63" s="3768">
        <f>EC63+ED63</f>
        <v>2478.0332096000006</v>
      </c>
      <c r="EC63" s="2346">
        <f>SUM('Сбытовые расходы (дополн.)'!G10)/1000</f>
        <v>2478.0332096000006</v>
      </c>
      <c r="ED63" s="2346">
        <v>0</v>
      </c>
      <c r="EE63" s="3768">
        <f>EF63+EG63</f>
        <v>0</v>
      </c>
      <c r="EF63" s="2346">
        <v>0</v>
      </c>
      <c r="EG63" s="2346">
        <v>0</v>
      </c>
      <c r="EH63" s="4686"/>
      <c r="EI63" s="4683"/>
      <c r="EJ63" s="4683"/>
      <c r="EK63" s="4686"/>
      <c r="EL63" s="4683"/>
      <c r="EM63" s="4683"/>
    </row>
    <row r="64" spans="1:143" ht="42" customHeight="1" x14ac:dyDescent="0.2">
      <c r="A64" s="3881" t="s">
        <v>504</v>
      </c>
      <c r="B64" s="2600"/>
      <c r="C64" s="3315"/>
      <c r="D64" s="1737"/>
      <c r="E64" s="3315"/>
      <c r="F64" s="1737"/>
      <c r="G64" s="3315"/>
      <c r="H64" s="1737"/>
      <c r="I64" s="3292"/>
      <c r="J64" s="3292"/>
      <c r="K64" s="3292"/>
      <c r="L64" s="3292"/>
      <c r="M64" s="3318"/>
      <c r="N64" s="3318"/>
      <c r="O64" s="3292"/>
      <c r="P64" s="3318"/>
      <c r="Q64" s="3319"/>
      <c r="R64" s="3318"/>
      <c r="S64" s="3318"/>
      <c r="T64" s="3292"/>
      <c r="U64" s="3292"/>
      <c r="V64" s="3292"/>
      <c r="W64" s="3292"/>
      <c r="X64" s="3292"/>
      <c r="Y64" s="1601"/>
      <c r="Z64" s="1604"/>
      <c r="AA64" s="1601"/>
      <c r="AB64" s="1604"/>
      <c r="AC64" s="1601"/>
      <c r="AD64" s="1601"/>
      <c r="AE64" s="1601"/>
      <c r="AF64" s="1601"/>
      <c r="AG64" s="1601"/>
      <c r="AH64" s="1590">
        <f t="shared" si="59"/>
        <v>1147.31</v>
      </c>
      <c r="AI64" s="1605"/>
      <c r="AJ64" s="1601">
        <v>1147.31</v>
      </c>
      <c r="AK64" s="1601">
        <v>0</v>
      </c>
      <c r="AL64" s="1590">
        <f t="shared" si="61"/>
        <v>1287.3</v>
      </c>
      <c r="AM64" s="1605"/>
      <c r="AN64" s="1601">
        <v>1269.8</v>
      </c>
      <c r="AO64" s="1601">
        <v>17.5</v>
      </c>
      <c r="AP64" s="1593"/>
      <c r="AQ64" s="1593"/>
      <c r="AR64" s="1593"/>
      <c r="AS64" s="1593"/>
      <c r="AT64" s="1601"/>
      <c r="AU64" s="1601"/>
      <c r="AV64" s="1601"/>
      <c r="AW64" s="1601"/>
      <c r="AX64" s="1601"/>
      <c r="AY64" s="1601"/>
      <c r="AZ64" s="1601">
        <v>1785.8</v>
      </c>
      <c r="BA64" s="1606">
        <f t="shared" si="744"/>
        <v>1.3872446205235764</v>
      </c>
      <c r="BB64" s="1601">
        <f>SUM(AZ64)</f>
        <v>1785.8</v>
      </c>
      <c r="BC64" s="1601">
        <v>0</v>
      </c>
      <c r="BD64" s="1590">
        <f>BE64+BF64</f>
        <v>1785.8</v>
      </c>
      <c r="BE64" s="1601">
        <f>'Выпадающ15-16'!G14</f>
        <v>1785.8</v>
      </c>
      <c r="BF64" s="1601">
        <v>0</v>
      </c>
      <c r="BG64" s="1590">
        <v>0</v>
      </c>
      <c r="BH64" s="1601">
        <f>'Выпадающ15-16'!J14</f>
        <v>0</v>
      </c>
      <c r="BI64" s="1601">
        <v>0</v>
      </c>
      <c r="BJ64" s="1590">
        <v>0</v>
      </c>
      <c r="BK64" s="1601">
        <f>'Выпадающ15-16'!M14</f>
        <v>0</v>
      </c>
      <c r="BL64" s="1601">
        <v>0</v>
      </c>
      <c r="BM64" s="1590">
        <f>BN64+BO64</f>
        <v>0</v>
      </c>
      <c r="BN64" s="1601">
        <f>'Выпадающ15-16'!P14</f>
        <v>0</v>
      </c>
      <c r="BO64" s="1601">
        <v>0</v>
      </c>
      <c r="BP64" s="1590">
        <f>BQ64+BR64</f>
        <v>0</v>
      </c>
      <c r="BQ64" s="1601">
        <f>'Выпадающ15-16'!S14</f>
        <v>0</v>
      </c>
      <c r="BR64" s="1601">
        <v>0</v>
      </c>
      <c r="BS64" s="1590">
        <v>0</v>
      </c>
      <c r="BT64" s="1601">
        <f>'Выпадающ15-16'!P14</f>
        <v>0</v>
      </c>
      <c r="BU64" s="1601">
        <v>0</v>
      </c>
      <c r="BV64" s="1590">
        <v>0</v>
      </c>
      <c r="BW64" s="1601">
        <v>0</v>
      </c>
      <c r="BX64" s="1601">
        <v>0</v>
      </c>
      <c r="BY64" s="1590">
        <v>0</v>
      </c>
      <c r="BZ64" s="1601">
        <v>0</v>
      </c>
      <c r="CA64" s="1601">
        <v>0</v>
      </c>
      <c r="CB64" s="3286" t="s">
        <v>960</v>
      </c>
      <c r="CC64" s="365"/>
      <c r="CD64" s="365"/>
      <c r="CE64" s="365"/>
      <c r="CF64" s="1590">
        <v>0</v>
      </c>
      <c r="CG64" s="1601">
        <v>0</v>
      </c>
      <c r="CH64" s="1601">
        <v>0</v>
      </c>
      <c r="CI64" s="1590">
        <v>0</v>
      </c>
      <c r="CJ64" s="1601">
        <v>0</v>
      </c>
      <c r="CK64" s="1601">
        <v>0</v>
      </c>
      <c r="CL64" s="1590">
        <v>0</v>
      </c>
      <c r="CM64" s="1601">
        <v>0</v>
      </c>
      <c r="CN64" s="1601">
        <v>0</v>
      </c>
      <c r="CO64" s="3352">
        <v>-0.02</v>
      </c>
      <c r="CP64" s="3352">
        <v>-0.02</v>
      </c>
      <c r="CQ64" s="3352">
        <v>0</v>
      </c>
      <c r="CR64" s="3352">
        <f>SUM(CS64:CT64)</f>
        <v>0</v>
      </c>
      <c r="CS64" s="3352">
        <v>0</v>
      </c>
      <c r="CT64" s="3352">
        <v>0</v>
      </c>
      <c r="CU64" s="3352">
        <f>SUM(CV64:CW64)</f>
        <v>0</v>
      </c>
      <c r="CV64" s="3352">
        <v>0</v>
      </c>
      <c r="CW64" s="3352">
        <v>0</v>
      </c>
      <c r="CX64" s="1590">
        <v>0</v>
      </c>
      <c r="CY64" s="1601">
        <v>0</v>
      </c>
      <c r="CZ64" s="1601">
        <v>0</v>
      </c>
      <c r="DA64" s="1590">
        <v>0</v>
      </c>
      <c r="DB64" s="1601">
        <v>0</v>
      </c>
      <c r="DC64" s="1601">
        <v>0</v>
      </c>
      <c r="DD64" s="3352">
        <v>-0.02</v>
      </c>
      <c r="DE64" s="3352">
        <v>-0.02</v>
      </c>
      <c r="DF64" s="3352">
        <v>0</v>
      </c>
      <c r="DG64" s="3352">
        <f>SUM(DH64:DI64)</f>
        <v>0</v>
      </c>
      <c r="DH64" s="3352">
        <v>0</v>
      </c>
      <c r="DI64" s="3352">
        <v>0</v>
      </c>
      <c r="DJ64" s="3352">
        <f>SUM(DK64:DL64)</f>
        <v>0</v>
      </c>
      <c r="DK64" s="3352">
        <v>0</v>
      </c>
      <c r="DL64" s="3352">
        <v>0</v>
      </c>
      <c r="DM64" s="3352">
        <v>-0.02</v>
      </c>
      <c r="DN64" s="3352">
        <v>0</v>
      </c>
      <c r="DO64" s="3352">
        <v>0</v>
      </c>
      <c r="DP64" s="3352">
        <v>-0.02</v>
      </c>
      <c r="DQ64" s="3352">
        <v>-0.02</v>
      </c>
      <c r="DR64" s="3352">
        <v>0</v>
      </c>
      <c r="DS64" s="3352">
        <v>-0.02</v>
      </c>
      <c r="DT64" s="3352">
        <v>-0.02</v>
      </c>
      <c r="DU64" s="3352">
        <v>0</v>
      </c>
      <c r="DV64" s="3766">
        <f>SUM(DW64:DX64)</f>
        <v>7841.3784699999987</v>
      </c>
      <c r="DW64" s="3766">
        <f>SUM('выпадающие расходы'!F41)</f>
        <v>7841.3784699999987</v>
      </c>
      <c r="DX64" s="3766">
        <v>0</v>
      </c>
      <c r="DY64" s="4023">
        <f>SUM(DZ64:EA64)</f>
        <v>0</v>
      </c>
      <c r="DZ64" s="4023">
        <v>0</v>
      </c>
      <c r="EA64" s="4078">
        <v>0</v>
      </c>
      <c r="EB64" s="3766">
        <f>SUM(EC64:ED64)</f>
        <v>7841.3784699999987</v>
      </c>
      <c r="EC64" s="3766">
        <f>SUM('выпадающие расходы'!F41)</f>
        <v>7841.3784699999987</v>
      </c>
      <c r="ED64" s="3766">
        <v>0</v>
      </c>
      <c r="EE64" s="3766">
        <f>SUM(EF64:EG64)</f>
        <v>0</v>
      </c>
      <c r="EF64" s="3766">
        <v>0</v>
      </c>
      <c r="EG64" s="3766">
        <v>0</v>
      </c>
      <c r="EH64" s="4687">
        <v>-0.02</v>
      </c>
      <c r="EI64" s="4687">
        <v>-0.02</v>
      </c>
      <c r="EJ64" s="4687">
        <v>0</v>
      </c>
      <c r="EK64" s="4687">
        <v>-0.02</v>
      </c>
      <c r="EL64" s="4687">
        <v>-0.02</v>
      </c>
      <c r="EM64" s="4687">
        <v>0</v>
      </c>
    </row>
    <row r="65" spans="1:146" ht="42" customHeight="1" x14ac:dyDescent="0.2">
      <c r="A65" s="3882" t="s">
        <v>3962</v>
      </c>
      <c r="B65" s="3872"/>
      <c r="C65" s="3329"/>
      <c r="D65" s="3330"/>
      <c r="E65" s="3329"/>
      <c r="F65" s="3330"/>
      <c r="G65" s="3329"/>
      <c r="H65" s="3330"/>
      <c r="I65" s="3331"/>
      <c r="J65" s="3331"/>
      <c r="K65" s="3331"/>
      <c r="L65" s="3331"/>
      <c r="M65" s="3332"/>
      <c r="N65" s="3332"/>
      <c r="O65" s="3331"/>
      <c r="P65" s="3332"/>
      <c r="Q65" s="3333"/>
      <c r="R65" s="3332"/>
      <c r="S65" s="3332"/>
      <c r="T65" s="3331"/>
      <c r="U65" s="3331"/>
      <c r="V65" s="3331"/>
      <c r="W65" s="3331"/>
      <c r="X65" s="3331"/>
      <c r="Y65" s="2670"/>
      <c r="Z65" s="3334"/>
      <c r="AA65" s="2670"/>
      <c r="AB65" s="3334"/>
      <c r="AC65" s="2670"/>
      <c r="AD65" s="2670"/>
      <c r="AE65" s="2670"/>
      <c r="AF65" s="2670"/>
      <c r="AG65" s="2670"/>
      <c r="AH65" s="3335"/>
      <c r="AI65" s="3336"/>
      <c r="AJ65" s="2670"/>
      <c r="AK65" s="2670"/>
      <c r="AL65" s="3335"/>
      <c r="AM65" s="3336"/>
      <c r="AN65" s="2670"/>
      <c r="AO65" s="2670"/>
      <c r="AP65" s="3337"/>
      <c r="AQ65" s="3337"/>
      <c r="AR65" s="3337"/>
      <c r="AS65" s="3337"/>
      <c r="AT65" s="2670"/>
      <c r="AU65" s="2670"/>
      <c r="AV65" s="2670"/>
      <c r="AW65" s="2670"/>
      <c r="AX65" s="2670"/>
      <c r="AY65" s="2670"/>
      <c r="AZ65" s="2670"/>
      <c r="BA65" s="3338"/>
      <c r="BB65" s="2670"/>
      <c r="BC65" s="2670"/>
      <c r="BD65" s="3335"/>
      <c r="BE65" s="2670"/>
      <c r="BF65" s="2670"/>
      <c r="BG65" s="3335"/>
      <c r="BH65" s="2670"/>
      <c r="BI65" s="2670"/>
      <c r="BJ65" s="3335"/>
      <c r="BK65" s="2670"/>
      <c r="BL65" s="2670"/>
      <c r="BM65" s="3335"/>
      <c r="BN65" s="2670"/>
      <c r="BO65" s="2670"/>
      <c r="BP65" s="3335"/>
      <c r="BQ65" s="2670"/>
      <c r="BR65" s="2670"/>
      <c r="BS65" s="3335"/>
      <c r="BT65" s="2670"/>
      <c r="BU65" s="2670"/>
      <c r="BV65" s="3335"/>
      <c r="BW65" s="2670"/>
      <c r="BX65" s="2670"/>
      <c r="BY65" s="3335"/>
      <c r="BZ65" s="2670"/>
      <c r="CA65" s="2670"/>
      <c r="CB65" s="3172"/>
      <c r="CC65" s="365"/>
      <c r="CD65" s="365"/>
      <c r="CE65" s="365"/>
      <c r="CF65" s="3335"/>
      <c r="CG65" s="2670"/>
      <c r="CH65" s="2670"/>
      <c r="CI65" s="3335"/>
      <c r="CJ65" s="2670"/>
      <c r="CK65" s="2670"/>
      <c r="CL65" s="3335"/>
      <c r="CM65" s="2670"/>
      <c r="CN65" s="2670"/>
      <c r="CO65" s="3723"/>
      <c r="CP65" s="3723"/>
      <c r="CQ65" s="3723"/>
      <c r="CR65" s="3723"/>
      <c r="CS65" s="3723"/>
      <c r="CT65" s="3723"/>
      <c r="CU65" s="3723"/>
      <c r="CV65" s="3723"/>
      <c r="CW65" s="3723"/>
      <c r="CX65" s="3335"/>
      <c r="CY65" s="2670"/>
      <c r="CZ65" s="2670"/>
      <c r="DA65" s="3335"/>
      <c r="DB65" s="2670"/>
      <c r="DC65" s="2670"/>
      <c r="DD65" s="3723"/>
      <c r="DE65" s="3723"/>
      <c r="DF65" s="3723"/>
      <c r="DG65" s="3352"/>
      <c r="DH65" s="3352"/>
      <c r="DI65" s="3352"/>
      <c r="DJ65" s="3352"/>
      <c r="DK65" s="3352"/>
      <c r="DL65" s="3352"/>
      <c r="DM65" s="3682">
        <f t="shared" ref="DM65" si="745">SUM(DN65:DO65)</f>
        <v>205.40635800000001</v>
      </c>
      <c r="DN65" s="3682">
        <v>205.40635800000001</v>
      </c>
      <c r="DO65" s="3682">
        <v>0</v>
      </c>
      <c r="DP65" s="3682">
        <f t="shared" ref="DP65" si="746">SUM(DQ65:DR65)</f>
        <v>316.77776399999999</v>
      </c>
      <c r="DQ65" s="3682">
        <v>316.77776399999999</v>
      </c>
      <c r="DR65" s="3682">
        <v>0</v>
      </c>
      <c r="DS65" s="3682">
        <f t="shared" ref="DS65" si="747">SUM(DT65:DU65)</f>
        <v>418.29994799999997</v>
      </c>
      <c r="DT65" s="3682">
        <v>418.29994799999997</v>
      </c>
      <c r="DU65" s="3682">
        <v>0</v>
      </c>
      <c r="DV65" s="2346">
        <f t="shared" ref="DV65" si="748">SUM(DW65:DX65)</f>
        <v>379.34819999999996</v>
      </c>
      <c r="DW65" s="2346">
        <f>SUM('Прочие расходы дополнительно'!D6)</f>
        <v>379.34819999999996</v>
      </c>
      <c r="DX65" s="2346">
        <v>0</v>
      </c>
      <c r="DY65" s="4023"/>
      <c r="DZ65" s="4023"/>
      <c r="EA65" s="4078"/>
      <c r="EB65" s="2346">
        <f t="shared" ref="EB65" si="749">SUM(EC65:ED65)</f>
        <v>379.34819999999996</v>
      </c>
      <c r="EC65" s="2346">
        <f>SUM('Прочие расходы дополнительно'!D6)</f>
        <v>379.34819999999996</v>
      </c>
      <c r="ED65" s="2346">
        <v>0</v>
      </c>
      <c r="EE65" s="2346">
        <f t="shared" ref="EE65" si="750">SUM(EF65:EG65)</f>
        <v>0</v>
      </c>
      <c r="EF65" s="2346">
        <v>0</v>
      </c>
      <c r="EG65" s="2346">
        <v>0</v>
      </c>
      <c r="EH65" s="4683">
        <f t="shared" ref="EH65" si="751">SUM(EI65:EJ65)</f>
        <v>0</v>
      </c>
      <c r="EI65" s="4683">
        <v>0</v>
      </c>
      <c r="EJ65" s="4683">
        <v>0</v>
      </c>
      <c r="EK65" s="4683">
        <f t="shared" ref="EK65" si="752">SUM(EL65:EM65)</f>
        <v>0</v>
      </c>
      <c r="EL65" s="4683">
        <v>0</v>
      </c>
      <c r="EM65" s="4683">
        <v>0</v>
      </c>
    </row>
    <row r="66" spans="1:146" ht="42" customHeight="1" x14ac:dyDescent="0.2">
      <c r="A66" s="3882" t="s">
        <v>3919</v>
      </c>
      <c r="B66" s="3676"/>
      <c r="C66" s="3329"/>
      <c r="D66" s="3330"/>
      <c r="E66" s="3329"/>
      <c r="F66" s="3330"/>
      <c r="G66" s="3329"/>
      <c r="H66" s="3330"/>
      <c r="I66" s="3331"/>
      <c r="J66" s="3331"/>
      <c r="K66" s="3331"/>
      <c r="L66" s="3331"/>
      <c r="M66" s="3332"/>
      <c r="N66" s="3332"/>
      <c r="O66" s="3331"/>
      <c r="P66" s="3332"/>
      <c r="Q66" s="3333"/>
      <c r="R66" s="3332"/>
      <c r="S66" s="3332"/>
      <c r="T66" s="3331"/>
      <c r="U66" s="3331"/>
      <c r="V66" s="3331"/>
      <c r="W66" s="3331"/>
      <c r="X66" s="3331"/>
      <c r="Y66" s="2670"/>
      <c r="Z66" s="3334"/>
      <c r="AA66" s="2670"/>
      <c r="AB66" s="3334"/>
      <c r="AC66" s="2670"/>
      <c r="AD66" s="2670"/>
      <c r="AE66" s="2670"/>
      <c r="AF66" s="2670"/>
      <c r="AG66" s="2670"/>
      <c r="AH66" s="3335"/>
      <c r="AI66" s="3336"/>
      <c r="AJ66" s="2670"/>
      <c r="AK66" s="2670"/>
      <c r="AL66" s="3335"/>
      <c r="AM66" s="3336"/>
      <c r="AN66" s="2670"/>
      <c r="AO66" s="2670"/>
      <c r="AP66" s="3337"/>
      <c r="AQ66" s="3337"/>
      <c r="AR66" s="3337"/>
      <c r="AS66" s="3337"/>
      <c r="AT66" s="2670"/>
      <c r="AU66" s="2670"/>
      <c r="AV66" s="2670"/>
      <c r="AW66" s="2670"/>
      <c r="AX66" s="2670"/>
      <c r="AY66" s="2670"/>
      <c r="AZ66" s="2670"/>
      <c r="BA66" s="3338"/>
      <c r="BB66" s="2670"/>
      <c r="BC66" s="2670"/>
      <c r="BD66" s="3335"/>
      <c r="BE66" s="2670"/>
      <c r="BF66" s="2670"/>
      <c r="BG66" s="3335"/>
      <c r="BH66" s="2670"/>
      <c r="BI66" s="2670"/>
      <c r="BJ66" s="3335"/>
      <c r="BK66" s="2670"/>
      <c r="BL66" s="2670"/>
      <c r="BM66" s="3335"/>
      <c r="BN66" s="2670"/>
      <c r="BO66" s="2670"/>
      <c r="BP66" s="3335"/>
      <c r="BQ66" s="2670"/>
      <c r="BR66" s="2670"/>
      <c r="BS66" s="3335"/>
      <c r="BT66" s="2670"/>
      <c r="BU66" s="2670"/>
      <c r="BV66" s="3335"/>
      <c r="BW66" s="2670"/>
      <c r="BX66" s="2670"/>
      <c r="BY66" s="3335"/>
      <c r="BZ66" s="2670"/>
      <c r="CA66" s="2670"/>
      <c r="CB66" s="3172"/>
      <c r="CC66" s="365"/>
      <c r="CD66" s="365"/>
      <c r="CE66" s="365"/>
      <c r="CF66" s="3335"/>
      <c r="CG66" s="2670"/>
      <c r="CH66" s="2670"/>
      <c r="CI66" s="3335"/>
      <c r="CJ66" s="2670"/>
      <c r="CK66" s="2670"/>
      <c r="CL66" s="3335"/>
      <c r="CM66" s="2670"/>
      <c r="CN66" s="2670"/>
      <c r="CO66" s="3723"/>
      <c r="CP66" s="3723"/>
      <c r="CQ66" s="3723"/>
      <c r="CR66" s="3723"/>
      <c r="CS66" s="3723"/>
      <c r="CT66" s="3723"/>
      <c r="CU66" s="3723"/>
      <c r="CV66" s="3723"/>
      <c r="CW66" s="3723"/>
      <c r="CX66" s="3335"/>
      <c r="CY66" s="2670"/>
      <c r="CZ66" s="2670"/>
      <c r="DA66" s="3335"/>
      <c r="DB66" s="2670"/>
      <c r="DC66" s="2670"/>
      <c r="DD66" s="3723"/>
      <c r="DE66" s="3723"/>
      <c r="DF66" s="3723"/>
      <c r="DG66" s="3682">
        <f>SUM(DH66:DI66)</f>
        <v>257.56745268583632</v>
      </c>
      <c r="DH66" s="3682">
        <f>SUM('Бесхоз. сети вода'!DJ15)</f>
        <v>257.56745268583632</v>
      </c>
      <c r="DI66" s="3352">
        <v>0</v>
      </c>
      <c r="DJ66" s="3682">
        <f>SUM(DK66:DL66)</f>
        <v>180.41201952630846</v>
      </c>
      <c r="DK66" s="3682">
        <f>SUM('Бесхоз. сети вода'!DK15)</f>
        <v>180.41201952630846</v>
      </c>
      <c r="DL66" s="3352">
        <v>0</v>
      </c>
      <c r="DM66" s="3723"/>
      <c r="DN66" s="3723"/>
      <c r="DO66" s="3723"/>
      <c r="DP66" s="3723"/>
      <c r="DQ66" s="3723"/>
      <c r="DR66" s="3723"/>
      <c r="DS66" s="3723"/>
      <c r="DT66" s="3723"/>
      <c r="DU66" s="3723"/>
      <c r="DV66" s="2346">
        <f>SUM(DW66:DX66)</f>
        <v>187.53829429759764</v>
      </c>
      <c r="DW66" s="2346">
        <f>SUM('Бесхоз. сети вода'!DL15)</f>
        <v>187.53829429759764</v>
      </c>
      <c r="DX66" s="3766">
        <v>0</v>
      </c>
      <c r="DY66" s="3212">
        <f>SUM(DZ66:EA66)</f>
        <v>0</v>
      </c>
      <c r="DZ66" s="3212">
        <f>SUM('Бесхоз. сети вода'!DZ15)</f>
        <v>0</v>
      </c>
      <c r="EA66" s="4078">
        <v>0</v>
      </c>
      <c r="EB66" s="2346">
        <f>SUM(EC66:ED66)</f>
        <v>187.53829429759764</v>
      </c>
      <c r="EC66" s="2346">
        <f>SUM('Бесхоз. сети вода'!DL15)</f>
        <v>187.53829429759764</v>
      </c>
      <c r="ED66" s="3766">
        <v>0</v>
      </c>
      <c r="EE66" s="2346">
        <f>SUM(EF66:EG66)</f>
        <v>187.84100000000001</v>
      </c>
      <c r="EF66" s="2346">
        <f>SUM('Бесхоз. сети вода'!DM7)</f>
        <v>187.84100000000001</v>
      </c>
      <c r="EG66" s="2346">
        <v>0</v>
      </c>
      <c r="EH66" s="4688"/>
      <c r="EI66" s="4688"/>
      <c r="EJ66" s="4688"/>
      <c r="EK66" s="4688"/>
      <c r="EL66" s="4688"/>
      <c r="EM66" s="4688"/>
    </row>
    <row r="67" spans="1:146" ht="72" customHeight="1" x14ac:dyDescent="0.2">
      <c r="A67" s="3420" t="s">
        <v>3978</v>
      </c>
      <c r="B67" s="4010"/>
      <c r="C67" s="3329"/>
      <c r="D67" s="3330"/>
      <c r="E67" s="3329"/>
      <c r="F67" s="3330"/>
      <c r="G67" s="3329"/>
      <c r="H67" s="3330"/>
      <c r="I67" s="3331"/>
      <c r="J67" s="3331"/>
      <c r="K67" s="3331"/>
      <c r="L67" s="3331"/>
      <c r="M67" s="3332"/>
      <c r="N67" s="3332"/>
      <c r="O67" s="3331"/>
      <c r="P67" s="3332"/>
      <c r="Q67" s="3333"/>
      <c r="R67" s="3332"/>
      <c r="S67" s="3332"/>
      <c r="T67" s="3331"/>
      <c r="U67" s="3331"/>
      <c r="V67" s="3331"/>
      <c r="W67" s="3331"/>
      <c r="X67" s="3331"/>
      <c r="Y67" s="2670"/>
      <c r="Z67" s="3334"/>
      <c r="AA67" s="2670"/>
      <c r="AB67" s="3334"/>
      <c r="AC67" s="2670"/>
      <c r="AD67" s="2670"/>
      <c r="AE67" s="2670"/>
      <c r="AF67" s="2670"/>
      <c r="AG67" s="2670"/>
      <c r="AH67" s="3335"/>
      <c r="AI67" s="3336"/>
      <c r="AJ67" s="2670"/>
      <c r="AK67" s="2670"/>
      <c r="AL67" s="3335"/>
      <c r="AM67" s="3336"/>
      <c r="AN67" s="2670"/>
      <c r="AO67" s="2670"/>
      <c r="AP67" s="3337"/>
      <c r="AQ67" s="3337"/>
      <c r="AR67" s="3337"/>
      <c r="AS67" s="3337"/>
      <c r="AT67" s="2670"/>
      <c r="AU67" s="2670"/>
      <c r="AV67" s="2670"/>
      <c r="AW67" s="2670"/>
      <c r="AX67" s="2670"/>
      <c r="AY67" s="2670"/>
      <c r="AZ67" s="2670"/>
      <c r="BA67" s="3338"/>
      <c r="BB67" s="2670"/>
      <c r="BC67" s="2670"/>
      <c r="BD67" s="3335"/>
      <c r="BE67" s="2670"/>
      <c r="BF67" s="2670"/>
      <c r="BG67" s="3335"/>
      <c r="BH67" s="2670"/>
      <c r="BI67" s="2670"/>
      <c r="BJ67" s="3335"/>
      <c r="BK67" s="2670"/>
      <c r="BL67" s="2670"/>
      <c r="BM67" s="3335"/>
      <c r="BN67" s="2670"/>
      <c r="BO67" s="2670"/>
      <c r="BP67" s="3335"/>
      <c r="BQ67" s="2670"/>
      <c r="BR67" s="2670"/>
      <c r="BS67" s="3335"/>
      <c r="BT67" s="2670"/>
      <c r="BU67" s="2670"/>
      <c r="BV67" s="3335"/>
      <c r="BW67" s="2670"/>
      <c r="BX67" s="2670"/>
      <c r="BY67" s="3335"/>
      <c r="BZ67" s="2670"/>
      <c r="CA67" s="2670"/>
      <c r="CB67" s="3172"/>
      <c r="CC67" s="365"/>
      <c r="CD67" s="365"/>
      <c r="CE67" s="365"/>
      <c r="CF67" s="3335"/>
      <c r="CG67" s="2670"/>
      <c r="CH67" s="2670"/>
      <c r="CI67" s="3335"/>
      <c r="CJ67" s="2670"/>
      <c r="CK67" s="2670"/>
      <c r="CL67" s="3335"/>
      <c r="CM67" s="2670"/>
      <c r="CN67" s="2670"/>
      <c r="CO67" s="3723"/>
      <c r="CP67" s="3723"/>
      <c r="CQ67" s="3723"/>
      <c r="CR67" s="3723"/>
      <c r="CS67" s="3723"/>
      <c r="CT67" s="3723"/>
      <c r="CU67" s="3723"/>
      <c r="CV67" s="3723"/>
      <c r="CW67" s="3723"/>
      <c r="CX67" s="3335"/>
      <c r="CY67" s="2670"/>
      <c r="CZ67" s="2670"/>
      <c r="DA67" s="3335"/>
      <c r="DB67" s="2670"/>
      <c r="DC67" s="2670"/>
      <c r="DD67" s="3723"/>
      <c r="DE67" s="3723"/>
      <c r="DF67" s="3723"/>
      <c r="DG67" s="2670"/>
      <c r="DH67" s="2670"/>
      <c r="DI67" s="3723"/>
      <c r="DJ67" s="2670"/>
      <c r="DK67" s="2670"/>
      <c r="DL67" s="3723"/>
      <c r="DM67" s="3723"/>
      <c r="DN67" s="3723"/>
      <c r="DO67" s="3723"/>
      <c r="DP67" s="3723"/>
      <c r="DQ67" s="3723"/>
      <c r="DR67" s="3723"/>
      <c r="DS67" s="3723"/>
      <c r="DT67" s="3723"/>
      <c r="DU67" s="3723"/>
      <c r="DV67" s="2346">
        <f t="shared" ref="DV67:DV68" si="753">SUM(DW67:DX67)</f>
        <v>309</v>
      </c>
      <c r="DW67" s="2346">
        <f>SUM('Прочие расходы дополнительно'!D8)</f>
        <v>309</v>
      </c>
      <c r="DX67" s="3766">
        <v>0</v>
      </c>
      <c r="DY67" s="4024"/>
      <c r="DZ67" s="4024"/>
      <c r="EA67" s="4079"/>
      <c r="EB67" s="2346">
        <f t="shared" ref="EB67:EB70" si="754">SUM(EC67:ED67)</f>
        <v>309</v>
      </c>
      <c r="EC67" s="2346">
        <f>SUM('Прочие расходы дополнительно'!D8)</f>
        <v>309</v>
      </c>
      <c r="ED67" s="3766">
        <v>0</v>
      </c>
      <c r="EE67" s="2346">
        <f t="shared" ref="EE67:EE70" si="755">SUM(EF67:EG67)</f>
        <v>0</v>
      </c>
      <c r="EF67" s="2346">
        <v>0</v>
      </c>
      <c r="EG67" s="3766">
        <v>0</v>
      </c>
      <c r="EH67" s="4688"/>
      <c r="EI67" s="4688"/>
      <c r="EJ67" s="4688"/>
      <c r="EK67" s="4688"/>
      <c r="EL67" s="4688"/>
      <c r="EM67" s="4688"/>
    </row>
    <row r="68" spans="1:146" ht="75.75" customHeight="1" x14ac:dyDescent="0.2">
      <c r="A68" s="3420" t="s">
        <v>4075</v>
      </c>
      <c r="B68" s="4010"/>
      <c r="C68" s="3329"/>
      <c r="D68" s="3330"/>
      <c r="E68" s="3329"/>
      <c r="F68" s="3330"/>
      <c r="G68" s="3329"/>
      <c r="H68" s="3330"/>
      <c r="I68" s="3331"/>
      <c r="J68" s="3331"/>
      <c r="K68" s="3331"/>
      <c r="L68" s="3331"/>
      <c r="M68" s="3332"/>
      <c r="N68" s="3332"/>
      <c r="O68" s="3331"/>
      <c r="P68" s="3332"/>
      <c r="Q68" s="3333"/>
      <c r="R68" s="3332"/>
      <c r="S68" s="3332"/>
      <c r="T68" s="3331"/>
      <c r="U68" s="3331"/>
      <c r="V68" s="3331"/>
      <c r="W68" s="3331"/>
      <c r="X68" s="3331"/>
      <c r="Y68" s="2670"/>
      <c r="Z68" s="3334"/>
      <c r="AA68" s="2670"/>
      <c r="AB68" s="3334"/>
      <c r="AC68" s="2670"/>
      <c r="AD68" s="2670"/>
      <c r="AE68" s="2670"/>
      <c r="AF68" s="2670"/>
      <c r="AG68" s="2670"/>
      <c r="AH68" s="3335"/>
      <c r="AI68" s="3336"/>
      <c r="AJ68" s="2670"/>
      <c r="AK68" s="2670"/>
      <c r="AL68" s="3335"/>
      <c r="AM68" s="3336"/>
      <c r="AN68" s="2670"/>
      <c r="AO68" s="2670"/>
      <c r="AP68" s="3337"/>
      <c r="AQ68" s="3337"/>
      <c r="AR68" s="3337"/>
      <c r="AS68" s="3337"/>
      <c r="AT68" s="2670"/>
      <c r="AU68" s="2670"/>
      <c r="AV68" s="2670"/>
      <c r="AW68" s="2670"/>
      <c r="AX68" s="2670"/>
      <c r="AY68" s="2670"/>
      <c r="AZ68" s="2670"/>
      <c r="BA68" s="3338"/>
      <c r="BB68" s="2670"/>
      <c r="BC68" s="2670"/>
      <c r="BD68" s="3335"/>
      <c r="BE68" s="2670"/>
      <c r="BF68" s="2670"/>
      <c r="BG68" s="3335"/>
      <c r="BH68" s="2670"/>
      <c r="BI68" s="2670"/>
      <c r="BJ68" s="3335"/>
      <c r="BK68" s="2670"/>
      <c r="BL68" s="2670"/>
      <c r="BM68" s="3335"/>
      <c r="BN68" s="2670"/>
      <c r="BO68" s="2670"/>
      <c r="BP68" s="3335"/>
      <c r="BQ68" s="2670"/>
      <c r="BR68" s="2670"/>
      <c r="BS68" s="3335"/>
      <c r="BT68" s="2670"/>
      <c r="BU68" s="2670"/>
      <c r="BV68" s="3335"/>
      <c r="BW68" s="2670"/>
      <c r="BX68" s="2670"/>
      <c r="BY68" s="3335"/>
      <c r="BZ68" s="2670"/>
      <c r="CA68" s="2670"/>
      <c r="CB68" s="3172"/>
      <c r="CC68" s="365"/>
      <c r="CD68" s="365"/>
      <c r="CE68" s="365"/>
      <c r="CF68" s="3335"/>
      <c r="CG68" s="2670"/>
      <c r="CH68" s="2670"/>
      <c r="CI68" s="3335"/>
      <c r="CJ68" s="2670"/>
      <c r="CK68" s="2670"/>
      <c r="CL68" s="3335"/>
      <c r="CM68" s="2670"/>
      <c r="CN68" s="2670"/>
      <c r="CO68" s="3723"/>
      <c r="CP68" s="3723"/>
      <c r="CQ68" s="3723"/>
      <c r="CR68" s="3723"/>
      <c r="CS68" s="3723"/>
      <c r="CT68" s="3723"/>
      <c r="CU68" s="3723"/>
      <c r="CV68" s="3723"/>
      <c r="CW68" s="3723"/>
      <c r="CX68" s="3335"/>
      <c r="CY68" s="2670"/>
      <c r="CZ68" s="2670"/>
      <c r="DA68" s="3335"/>
      <c r="DB68" s="2670"/>
      <c r="DC68" s="2670"/>
      <c r="DD68" s="3723"/>
      <c r="DE68" s="3723"/>
      <c r="DF68" s="3723"/>
      <c r="DG68" s="2670"/>
      <c r="DH68" s="2670"/>
      <c r="DI68" s="3723"/>
      <c r="DJ68" s="2670"/>
      <c r="DK68" s="2670"/>
      <c r="DL68" s="3723"/>
      <c r="DM68" s="3723"/>
      <c r="DN68" s="3723"/>
      <c r="DO68" s="3723"/>
      <c r="DP68" s="3723"/>
      <c r="DQ68" s="3723"/>
      <c r="DR68" s="3723"/>
      <c r="DS68" s="3723"/>
      <c r="DT68" s="3723"/>
      <c r="DU68" s="3723"/>
      <c r="DV68" s="2346">
        <f t="shared" si="753"/>
        <v>5350.44</v>
      </c>
      <c r="DW68" s="2346">
        <f>SUM('Прочие расходы дополнительно'!D9)</f>
        <v>5350.44</v>
      </c>
      <c r="DX68" s="3766">
        <v>0</v>
      </c>
      <c r="DY68" s="4024"/>
      <c r="DZ68" s="4024"/>
      <c r="EA68" s="4079"/>
      <c r="EB68" s="2346">
        <f t="shared" si="754"/>
        <v>5350.44</v>
      </c>
      <c r="EC68" s="2346">
        <f>SUM('Прочие расходы дополнительно'!D9)</f>
        <v>5350.44</v>
      </c>
      <c r="ED68" s="3766">
        <v>0</v>
      </c>
      <c r="EE68" s="2346">
        <f t="shared" si="755"/>
        <v>0</v>
      </c>
      <c r="EF68" s="2346">
        <v>0</v>
      </c>
      <c r="EG68" s="3766">
        <v>0</v>
      </c>
      <c r="EH68" s="4688"/>
      <c r="EI68" s="4688"/>
      <c r="EJ68" s="4688"/>
      <c r="EK68" s="4688"/>
      <c r="EL68" s="4688"/>
      <c r="EM68" s="4688"/>
    </row>
    <row r="69" spans="1:146" ht="75.75" customHeight="1" x14ac:dyDescent="0.2">
      <c r="A69" s="3420" t="s">
        <v>4109</v>
      </c>
      <c r="B69" s="4066"/>
      <c r="C69" s="3329"/>
      <c r="D69" s="3330"/>
      <c r="E69" s="3329"/>
      <c r="F69" s="3330"/>
      <c r="G69" s="3329"/>
      <c r="H69" s="3330"/>
      <c r="I69" s="3331"/>
      <c r="J69" s="3331"/>
      <c r="K69" s="3331"/>
      <c r="L69" s="3331"/>
      <c r="M69" s="3332"/>
      <c r="N69" s="3332"/>
      <c r="O69" s="3331"/>
      <c r="P69" s="3332"/>
      <c r="Q69" s="3333"/>
      <c r="R69" s="3332"/>
      <c r="S69" s="3332"/>
      <c r="T69" s="3331"/>
      <c r="U69" s="3331"/>
      <c r="V69" s="3331"/>
      <c r="W69" s="3331"/>
      <c r="X69" s="3331"/>
      <c r="Y69" s="2670"/>
      <c r="Z69" s="3334"/>
      <c r="AA69" s="2670"/>
      <c r="AB69" s="3334"/>
      <c r="AC69" s="2670"/>
      <c r="AD69" s="2670"/>
      <c r="AE69" s="2670"/>
      <c r="AF69" s="2670"/>
      <c r="AG69" s="2670"/>
      <c r="AH69" s="3335"/>
      <c r="AI69" s="3336"/>
      <c r="AJ69" s="2670"/>
      <c r="AK69" s="2670"/>
      <c r="AL69" s="3335"/>
      <c r="AM69" s="3336"/>
      <c r="AN69" s="2670"/>
      <c r="AO69" s="2670"/>
      <c r="AP69" s="3337"/>
      <c r="AQ69" s="3337"/>
      <c r="AR69" s="3337"/>
      <c r="AS69" s="3337"/>
      <c r="AT69" s="2670"/>
      <c r="AU69" s="2670"/>
      <c r="AV69" s="2670"/>
      <c r="AW69" s="2670"/>
      <c r="AX69" s="2670"/>
      <c r="AY69" s="2670"/>
      <c r="AZ69" s="2670"/>
      <c r="BA69" s="3338"/>
      <c r="BB69" s="2670"/>
      <c r="BC69" s="2670"/>
      <c r="BD69" s="3335"/>
      <c r="BE69" s="2670"/>
      <c r="BF69" s="2670"/>
      <c r="BG69" s="3335"/>
      <c r="BH69" s="2670"/>
      <c r="BI69" s="2670"/>
      <c r="BJ69" s="3335"/>
      <c r="BK69" s="2670"/>
      <c r="BL69" s="2670"/>
      <c r="BM69" s="3335"/>
      <c r="BN69" s="2670"/>
      <c r="BO69" s="2670"/>
      <c r="BP69" s="3335"/>
      <c r="BQ69" s="2670"/>
      <c r="BR69" s="2670"/>
      <c r="BS69" s="3335"/>
      <c r="BT69" s="2670"/>
      <c r="BU69" s="2670"/>
      <c r="BV69" s="3335"/>
      <c r="BW69" s="2670"/>
      <c r="BX69" s="2670"/>
      <c r="BY69" s="3335"/>
      <c r="BZ69" s="2670"/>
      <c r="CA69" s="2670"/>
      <c r="CB69" s="3172"/>
      <c r="CC69" s="365"/>
      <c r="CD69" s="365"/>
      <c r="CE69" s="365"/>
      <c r="CF69" s="3335"/>
      <c r="CG69" s="2670"/>
      <c r="CH69" s="2670"/>
      <c r="CI69" s="3335"/>
      <c r="CJ69" s="2670"/>
      <c r="CK69" s="2670"/>
      <c r="CL69" s="3335"/>
      <c r="CM69" s="2670"/>
      <c r="CN69" s="2670"/>
      <c r="CO69" s="3723"/>
      <c r="CP69" s="3723"/>
      <c r="CQ69" s="3723"/>
      <c r="CR69" s="3723"/>
      <c r="CS69" s="3723"/>
      <c r="CT69" s="3723"/>
      <c r="CU69" s="3723"/>
      <c r="CV69" s="3723"/>
      <c r="CW69" s="3723"/>
      <c r="CX69" s="3335"/>
      <c r="CY69" s="2670"/>
      <c r="CZ69" s="2670"/>
      <c r="DA69" s="3335"/>
      <c r="DB69" s="2670"/>
      <c r="DC69" s="2670"/>
      <c r="DD69" s="3723"/>
      <c r="DE69" s="3723"/>
      <c r="DF69" s="3723"/>
      <c r="DG69" s="2670"/>
      <c r="DH69" s="2670"/>
      <c r="DI69" s="3723"/>
      <c r="DJ69" s="2670"/>
      <c r="DK69" s="2670"/>
      <c r="DL69" s="3723"/>
      <c r="DM69" s="3723"/>
      <c r="DN69" s="3723"/>
      <c r="DO69" s="3723"/>
      <c r="DP69" s="3723"/>
      <c r="DQ69" s="3723"/>
      <c r="DR69" s="3723"/>
      <c r="DS69" s="3723"/>
      <c r="DT69" s="3723"/>
      <c r="DU69" s="3723"/>
      <c r="DV69" s="3355"/>
      <c r="DW69" s="3355"/>
      <c r="DX69" s="4090"/>
      <c r="DY69" s="4024"/>
      <c r="DZ69" s="4024"/>
      <c r="EA69" s="4079"/>
      <c r="EB69" s="2346">
        <f t="shared" si="754"/>
        <v>4600</v>
      </c>
      <c r="EC69" s="3355">
        <f>SUM('Прочие неподконтр. расх'!B7)</f>
        <v>4600</v>
      </c>
      <c r="ED69" s="4090">
        <v>0</v>
      </c>
      <c r="EE69" s="2346">
        <f t="shared" si="755"/>
        <v>0</v>
      </c>
      <c r="EF69" s="3355">
        <v>0</v>
      </c>
      <c r="EG69" s="4090">
        <v>0</v>
      </c>
      <c r="EH69" s="4688"/>
      <c r="EI69" s="4688"/>
      <c r="EJ69" s="4688"/>
      <c r="EK69" s="4688"/>
      <c r="EL69" s="4688"/>
      <c r="EM69" s="4688"/>
    </row>
    <row r="70" spans="1:146" ht="75.75" customHeight="1" x14ac:dyDescent="0.2">
      <c r="A70" s="3420" t="s">
        <v>4112</v>
      </c>
      <c r="B70" s="4066"/>
      <c r="C70" s="3329"/>
      <c r="D70" s="3330"/>
      <c r="E70" s="3329"/>
      <c r="F70" s="3330"/>
      <c r="G70" s="3329"/>
      <c r="H70" s="3330"/>
      <c r="I70" s="3331"/>
      <c r="J70" s="3331"/>
      <c r="K70" s="3331"/>
      <c r="L70" s="3331"/>
      <c r="M70" s="3332"/>
      <c r="N70" s="3332"/>
      <c r="O70" s="3331"/>
      <c r="P70" s="3332"/>
      <c r="Q70" s="3333"/>
      <c r="R70" s="3332"/>
      <c r="S70" s="3332"/>
      <c r="T70" s="3331"/>
      <c r="U70" s="3331"/>
      <c r="V70" s="3331"/>
      <c r="W70" s="3331"/>
      <c r="X70" s="3331"/>
      <c r="Y70" s="2670"/>
      <c r="Z70" s="3334"/>
      <c r="AA70" s="2670"/>
      <c r="AB70" s="3334"/>
      <c r="AC70" s="2670"/>
      <c r="AD70" s="2670"/>
      <c r="AE70" s="2670"/>
      <c r="AF70" s="2670"/>
      <c r="AG70" s="2670"/>
      <c r="AH70" s="3335"/>
      <c r="AI70" s="3336"/>
      <c r="AJ70" s="2670"/>
      <c r="AK70" s="2670"/>
      <c r="AL70" s="3335"/>
      <c r="AM70" s="3336"/>
      <c r="AN70" s="2670"/>
      <c r="AO70" s="2670"/>
      <c r="AP70" s="3337"/>
      <c r="AQ70" s="3337"/>
      <c r="AR70" s="3337"/>
      <c r="AS70" s="3337"/>
      <c r="AT70" s="2670"/>
      <c r="AU70" s="2670"/>
      <c r="AV70" s="2670"/>
      <c r="AW70" s="2670"/>
      <c r="AX70" s="2670"/>
      <c r="AY70" s="2670"/>
      <c r="AZ70" s="2670"/>
      <c r="BA70" s="3338"/>
      <c r="BB70" s="2670"/>
      <c r="BC70" s="2670"/>
      <c r="BD70" s="3335"/>
      <c r="BE70" s="2670"/>
      <c r="BF70" s="2670"/>
      <c r="BG70" s="3335"/>
      <c r="BH70" s="2670"/>
      <c r="BI70" s="2670"/>
      <c r="BJ70" s="3335"/>
      <c r="BK70" s="2670"/>
      <c r="BL70" s="2670"/>
      <c r="BM70" s="3335"/>
      <c r="BN70" s="2670"/>
      <c r="BO70" s="2670"/>
      <c r="BP70" s="3335"/>
      <c r="BQ70" s="2670"/>
      <c r="BR70" s="2670"/>
      <c r="BS70" s="3335"/>
      <c r="BT70" s="2670"/>
      <c r="BU70" s="2670"/>
      <c r="BV70" s="3335"/>
      <c r="BW70" s="2670"/>
      <c r="BX70" s="2670"/>
      <c r="BY70" s="3335"/>
      <c r="BZ70" s="2670"/>
      <c r="CA70" s="2670"/>
      <c r="CB70" s="3172"/>
      <c r="CC70" s="365"/>
      <c r="CD70" s="365"/>
      <c r="CE70" s="365"/>
      <c r="CF70" s="3335"/>
      <c r="CG70" s="2670"/>
      <c r="CH70" s="2670"/>
      <c r="CI70" s="3335"/>
      <c r="CJ70" s="2670"/>
      <c r="CK70" s="2670"/>
      <c r="CL70" s="3335"/>
      <c r="CM70" s="2670"/>
      <c r="CN70" s="2670"/>
      <c r="CO70" s="3723"/>
      <c r="CP70" s="3723"/>
      <c r="CQ70" s="3723"/>
      <c r="CR70" s="3723"/>
      <c r="CS70" s="3723"/>
      <c r="CT70" s="3723"/>
      <c r="CU70" s="3723"/>
      <c r="CV70" s="3723"/>
      <c r="CW70" s="3723"/>
      <c r="CX70" s="3335"/>
      <c r="CY70" s="2670"/>
      <c r="CZ70" s="2670"/>
      <c r="DA70" s="3335"/>
      <c r="DB70" s="2670"/>
      <c r="DC70" s="2670"/>
      <c r="DD70" s="3723"/>
      <c r="DE70" s="3723"/>
      <c r="DF70" s="3723"/>
      <c r="DG70" s="2670"/>
      <c r="DH70" s="2670"/>
      <c r="DI70" s="3723"/>
      <c r="DJ70" s="2670"/>
      <c r="DK70" s="2670"/>
      <c r="DL70" s="3723"/>
      <c r="DM70" s="3723"/>
      <c r="DN70" s="3723"/>
      <c r="DO70" s="3723"/>
      <c r="DP70" s="3723"/>
      <c r="DQ70" s="3723"/>
      <c r="DR70" s="3723"/>
      <c r="DS70" s="3723"/>
      <c r="DT70" s="3723"/>
      <c r="DU70" s="3723"/>
      <c r="DV70" s="3355"/>
      <c r="DW70" s="3355"/>
      <c r="DX70" s="4090"/>
      <c r="DY70" s="4024"/>
      <c r="DZ70" s="4024"/>
      <c r="EA70" s="4079"/>
      <c r="EB70" s="2346">
        <f t="shared" si="754"/>
        <v>1673.61</v>
      </c>
      <c r="EC70" s="3355">
        <f>SUM('Прочие неподконтр. расх'!B10)</f>
        <v>1673.61</v>
      </c>
      <c r="ED70" s="4090">
        <v>0</v>
      </c>
      <c r="EE70" s="2346">
        <f t="shared" si="755"/>
        <v>0</v>
      </c>
      <c r="EF70" s="3355">
        <v>0</v>
      </c>
      <c r="EG70" s="4090">
        <v>0</v>
      </c>
      <c r="EH70" s="4688"/>
      <c r="EI70" s="4688"/>
      <c r="EJ70" s="4688"/>
      <c r="EK70" s="4688"/>
      <c r="EL70" s="4688"/>
      <c r="EM70" s="4688"/>
    </row>
    <row r="71" spans="1:146" s="2196" customFormat="1" ht="21" customHeight="1" x14ac:dyDescent="0.2">
      <c r="A71" s="3328" t="s">
        <v>3639</v>
      </c>
      <c r="B71" s="3290" t="e">
        <f>#REF!+B17+B27+B35+B52+B59</f>
        <v>#REF!</v>
      </c>
      <c r="C71" s="3329" t="e">
        <f>#REF!+C17+C27+C35+C52+C59</f>
        <v>#REF!</v>
      </c>
      <c r="D71" s="3330" t="e">
        <f>C71/B71*100</f>
        <v>#REF!</v>
      </c>
      <c r="E71" s="3329">
        <f>E8+E17+E27+E35+E52+E59</f>
        <v>91860.9</v>
      </c>
      <c r="F71" s="3329" t="e">
        <f>#REF!+F17+F27+F35+F52+F59</f>
        <v>#REF!</v>
      </c>
      <c r="G71" s="3329">
        <f>G8+G17+G27+G35+G52+G59</f>
        <v>106293.40000000001</v>
      </c>
      <c r="H71" s="3330">
        <f t="shared" si="53"/>
        <v>115.71125473405988</v>
      </c>
      <c r="I71" s="3331">
        <f>I8+I17+I27+I35+I52+I59</f>
        <v>99255.762351999991</v>
      </c>
      <c r="J71" s="3331" t="e">
        <f>#REF!+J17+J27+J35+J52+J59</f>
        <v>#REF!</v>
      </c>
      <c r="K71" s="3331">
        <f>K8+K17+K27+K35+K52+K59</f>
        <v>78008.310588443768</v>
      </c>
      <c r="L71" s="3331">
        <f>L8+L17+L27+L35+L52+L59</f>
        <v>112599.10000000002</v>
      </c>
      <c r="M71" s="3331" t="e">
        <f>#REF!+M17+M27+M35+M52+M59</f>
        <v>#REF!</v>
      </c>
      <c r="N71" s="3332">
        <f t="shared" si="55"/>
        <v>105.93235327875486</v>
      </c>
      <c r="O71" s="3331">
        <f>O8+O17+O27+O35+O52+O59</f>
        <v>131545.64200056618</v>
      </c>
      <c r="P71" s="3332">
        <f t="shared" si="56"/>
        <v>132.53199500302418</v>
      </c>
      <c r="Q71" s="3333" t="e">
        <f t="shared" ref="Q71:Y71" si="756">Q8+Q17+Q27+Q35+Q52+Q59</f>
        <v>#REF!</v>
      </c>
      <c r="R71" s="3331" t="e">
        <f t="shared" si="756"/>
        <v>#REF!</v>
      </c>
      <c r="S71" s="3331" t="e">
        <f t="shared" si="756"/>
        <v>#REF!</v>
      </c>
      <c r="T71" s="3331" t="e">
        <f t="shared" si="756"/>
        <v>#REF!</v>
      </c>
      <c r="U71" s="3331" t="e">
        <f t="shared" si="756"/>
        <v>#REF!</v>
      </c>
      <c r="V71" s="3331" t="e">
        <f t="shared" si="756"/>
        <v>#REF!</v>
      </c>
      <c r="W71" s="3331" t="e">
        <f t="shared" si="756"/>
        <v>#REF!</v>
      </c>
      <c r="X71" s="3331" t="e">
        <f t="shared" si="756"/>
        <v>#REF!</v>
      </c>
      <c r="Y71" s="2670">
        <f t="shared" si="756"/>
        <v>138793.20000000001</v>
      </c>
      <c r="Z71" s="3334" t="e">
        <f t="shared" si="57"/>
        <v>#REF!</v>
      </c>
      <c r="AA71" s="2670" t="e">
        <f>AA8+AA17+AA27+AA35+AA52+AA59</f>
        <v>#REF!</v>
      </c>
      <c r="AB71" s="3334" t="e">
        <f t="shared" ref="AB71:AB91" si="757">AA71/Q71</f>
        <v>#REF!</v>
      </c>
      <c r="AC71" s="2670" t="e">
        <f>AC8+AC17+AC27+AC35+AC52+AC59+0.02</f>
        <v>#REF!</v>
      </c>
      <c r="AD71" s="2670" t="e">
        <f>AD8+AD17+AD27+AD35+AD52+AD59</f>
        <v>#REF!</v>
      </c>
      <c r="AE71" s="2670">
        <f>AE8+AE17+AE27+AE35+AE52+AE59</f>
        <v>113320.02939110002</v>
      </c>
      <c r="AF71" s="2670">
        <f>AF8+AF17+AF27+AF35+AF52+AF59</f>
        <v>112515.45483007004</v>
      </c>
      <c r="AG71" s="2670">
        <f>AG8+AG17+AG27+AG35+AG52+AG59</f>
        <v>804.57456102995798</v>
      </c>
      <c r="AH71" s="3335">
        <f t="shared" si="59"/>
        <v>121571.42432999999</v>
      </c>
      <c r="AI71" s="3336" t="e">
        <f t="shared" si="60"/>
        <v>#REF!</v>
      </c>
      <c r="AJ71" s="2670">
        <f>AJ8+AJ17+AJ27+AJ35+AJ52+AJ59+AJ64</f>
        <v>120777.48432999999</v>
      </c>
      <c r="AK71" s="2670">
        <f>AK8+AK17+AK27+AK35+AK52+AK59</f>
        <v>793.93999999999994</v>
      </c>
      <c r="AL71" s="3335" t="e">
        <f t="shared" si="61"/>
        <v>#REF!</v>
      </c>
      <c r="AM71" s="3336" t="e">
        <f t="shared" si="62"/>
        <v>#REF!</v>
      </c>
      <c r="AN71" s="2670" t="e">
        <f>AN8+AN17+AN27+AN35+AN52+AN59+AN64</f>
        <v>#REF!</v>
      </c>
      <c r="AO71" s="2670">
        <f>AO8+AO17+AO27+AO35+AO52+AO59+AO64</f>
        <v>770.2208819402033</v>
      </c>
      <c r="AP71" s="3337" t="e">
        <f t="shared" si="63"/>
        <v>#REF!</v>
      </c>
      <c r="AQ71" s="3337" t="e">
        <f>AP71*AC71/AA71</f>
        <v>#REF!</v>
      </c>
      <c r="AR71" s="3337" t="e">
        <f t="shared" si="64"/>
        <v>#REF!</v>
      </c>
      <c r="AS71" s="3337" t="e">
        <f t="shared" si="505"/>
        <v>#REF!</v>
      </c>
      <c r="AT71" s="2670">
        <f t="shared" ref="AT71:AY71" si="758">AT8+AT17+AT27+AT35+AT52+AT59</f>
        <v>56673.297081399993</v>
      </c>
      <c r="AU71" s="2670">
        <f t="shared" si="758"/>
        <v>56463.165167590261</v>
      </c>
      <c r="AV71" s="2670">
        <f t="shared" si="758"/>
        <v>210.13191380973541</v>
      </c>
      <c r="AW71" s="2670">
        <f t="shared" si="758"/>
        <v>116214.42000000001</v>
      </c>
      <c r="AX71" s="2670">
        <f t="shared" si="758"/>
        <v>115906.65</v>
      </c>
      <c r="AY71" s="2670">
        <f t="shared" si="758"/>
        <v>307.77</v>
      </c>
      <c r="AZ71" s="3335">
        <f t="shared" ref="AZ71" si="759">SUM(BB71+BC71)</f>
        <v>135173.02728099888</v>
      </c>
      <c r="BA71" s="3338" t="e">
        <f t="shared" si="70"/>
        <v>#REF!</v>
      </c>
      <c r="BB71" s="2670">
        <f>BB8+BB17+BB27+BB35+BB52+BB59+BB64+BB62</f>
        <v>134749.65181062307</v>
      </c>
      <c r="BC71" s="2670">
        <f>BC8+BC17+BC27+BC35+BC52+BC59</f>
        <v>423.37547037580555</v>
      </c>
      <c r="BD71" s="2670">
        <f t="shared" ref="BD71:BO71" si="760">BD8+BD17+BD27+BD35+BD52+BD59+BD64+BD62</f>
        <v>120520.29484348075</v>
      </c>
      <c r="BE71" s="2670">
        <f t="shared" si="760"/>
        <v>120176.15591828243</v>
      </c>
      <c r="BF71" s="2670">
        <f t="shared" si="760"/>
        <v>344.13892519829579</v>
      </c>
      <c r="BG71" s="2670">
        <f t="shared" si="760"/>
        <v>120577.87999999999</v>
      </c>
      <c r="BH71" s="2670">
        <f t="shared" si="760"/>
        <v>120535.92999999998</v>
      </c>
      <c r="BI71" s="2670">
        <f t="shared" si="760"/>
        <v>41.95</v>
      </c>
      <c r="BJ71" s="2670">
        <f t="shared" si="760"/>
        <v>134891.4</v>
      </c>
      <c r="BK71" s="2670">
        <f t="shared" si="760"/>
        <v>134862.30000000002</v>
      </c>
      <c r="BL71" s="2670">
        <f t="shared" si="760"/>
        <v>29.1</v>
      </c>
      <c r="BM71" s="2670">
        <f t="shared" si="760"/>
        <v>128142.39290000002</v>
      </c>
      <c r="BN71" s="2670">
        <f t="shared" si="760"/>
        <v>127775.59400000003</v>
      </c>
      <c r="BO71" s="2670">
        <f t="shared" si="760"/>
        <v>366.7989</v>
      </c>
      <c r="BP71" s="2670">
        <f t="shared" ref="BP71:BU71" si="761">BP8+BP17+BP27+BP35+BP52+BP59+BP64+BP62+BP43</f>
        <v>136436.86200000002</v>
      </c>
      <c r="BQ71" s="2670">
        <f t="shared" si="761"/>
        <v>136412.62899999999</v>
      </c>
      <c r="BR71" s="2670">
        <f t="shared" si="761"/>
        <v>24.233000000000001</v>
      </c>
      <c r="BS71" s="2670">
        <f t="shared" si="761"/>
        <v>167633.91</v>
      </c>
      <c r="BT71" s="2670">
        <f t="shared" si="761"/>
        <v>167534.61999999997</v>
      </c>
      <c r="BU71" s="2670">
        <f t="shared" si="761"/>
        <v>99.289999999999992</v>
      </c>
      <c r="BV71" s="2670">
        <f t="shared" ref="BV71:CA71" si="762">BV8+BV17+BV27+BV35+BV52+BV59+BV64+BV62+BV43+BV60+BV61</f>
        <v>147574.92935394892</v>
      </c>
      <c r="BW71" s="2670">
        <f t="shared" si="762"/>
        <v>147544.11811148544</v>
      </c>
      <c r="BX71" s="2670">
        <f t="shared" si="762"/>
        <v>30.811242463479257</v>
      </c>
      <c r="BY71" s="2670">
        <f t="shared" si="762"/>
        <v>163826.74145579251</v>
      </c>
      <c r="BZ71" s="2670">
        <f t="shared" si="762"/>
        <v>163792.15655699334</v>
      </c>
      <c r="CA71" s="2670">
        <f t="shared" si="762"/>
        <v>34.598010465412173</v>
      </c>
      <c r="CB71" s="3172"/>
      <c r="CC71" s="365"/>
      <c r="CD71" s="365"/>
      <c r="CE71" s="365"/>
      <c r="CF71" s="2670">
        <f>CF8+CF17+CF27+CF35+CF52+CF59+CF64+CF62+CF43+CF60+CF61</f>
        <v>149856.70870371771</v>
      </c>
      <c r="CG71" s="2670">
        <f>CG8+CG17+CG27+CG35+CG52+CG59+CG64+CG62+CG43+CG60+CG61</f>
        <v>149826.19082761329</v>
      </c>
      <c r="CH71" s="2670">
        <f>CH8+CH17+CH27+CH35+CH52+CH59+CH64+CH62+CH43+CH60+CH61</f>
        <v>30.517876104420505</v>
      </c>
      <c r="CI71" s="2670">
        <f>CI8+CI17+CI27+CI35+CI52+CI59+CI64+CI62+CI43+CI61-CI47</f>
        <v>72796.149798500002</v>
      </c>
      <c r="CJ71" s="2670">
        <f>CJ8+CJ17+CJ27+CJ35+CJ52+CJ59+CJ64+CJ62+CJ43+CJ61-CJ47</f>
        <v>72783.630038500007</v>
      </c>
      <c r="CK71" s="2670">
        <f>CK8+CK17+CK27+CK35+CK52+CK59+CK64+CK62+CK43+CK61</f>
        <v>12.51976</v>
      </c>
      <c r="CL71" s="2670">
        <f>CL8+CL17+CL27+CL35+CL52+CL59+CL64+CL62+CL43+CL61-CL47</f>
        <v>111672.54458316999</v>
      </c>
      <c r="CM71" s="2670">
        <f>CM8+CM17+CM27+CM35+CM52+CM59+CM64+CM62+CM43+CM61-CM47</f>
        <v>111653.58178317</v>
      </c>
      <c r="CN71" s="2670">
        <f>CN8+CN17+CN27+CN35+CN52+CN59+CN64+CN62+CN43+CN61</f>
        <v>18.962800000000001</v>
      </c>
      <c r="CO71" s="2670">
        <f>CO8+CO17+CO27+CO35+CO52+CO59+CO64+CO62+CO43+CO61-CO47</f>
        <v>147941.30603787999</v>
      </c>
      <c r="CP71" s="2670">
        <f>CP8+CP17+CP27+CP35+CP52+CP59+CP64+CP62+CP43+CP61-CP47</f>
        <v>147917.23693787999</v>
      </c>
      <c r="CQ71" s="2670">
        <f>CQ8+CQ17+CQ27+CQ35+CQ52+CQ59+CQ64+CQ62+CQ43+CQ61</f>
        <v>24.069100000000002</v>
      </c>
      <c r="CR71" s="2670">
        <f>CR8+CR17+CR27+CR35+CR52+CR59+CR64+CR62+CR43+CR61-CR47</f>
        <v>177997.77485092115</v>
      </c>
      <c r="CS71" s="2670">
        <f>CS8+CS17+CS27+CS35+CS52+CS59+CS64+CS62+CS43+CS61-CS47</f>
        <v>177938.59485403632</v>
      </c>
      <c r="CT71" s="2670">
        <f>CT8+CT17+CT27+CT35+CT52+CT59+CT64+CT62+CT43+CT61</f>
        <v>59.179996884835653</v>
      </c>
      <c r="CU71" s="2670">
        <f>CU8+CU17+CU27+CU35+CU52+CU59+CU64+CU62+CU43+CU61-CU47</f>
        <v>146374.02291889145</v>
      </c>
      <c r="CV71" s="2670">
        <f>CV8+CV17+CV27+CV35+CV52+CV59+CV64+CV62+CV43+CV61-CV47</f>
        <v>146345.08977326503</v>
      </c>
      <c r="CW71" s="2670">
        <f>CW8+CW17+CW27+CW35+CW52+CW59+CW64+CW62+CW43+CW61</f>
        <v>28.933145626442407</v>
      </c>
      <c r="CX71" s="2670">
        <f>CX8+CX17+CX27+CX35+CX52+CX59+CX64+CX62+CX43+CX61-CX47</f>
        <v>74098.735209999984</v>
      </c>
      <c r="CY71" s="2670">
        <f>CY8+CY17+CY27+CY35+CY52+CY59+CY64+CY62+CY43+CY61-CY47</f>
        <v>74088.261499999979</v>
      </c>
      <c r="CZ71" s="2670">
        <f>CZ8+CZ17+CZ27+CZ35+CZ52+CZ59+CZ64+CZ62+CZ43+CZ61</f>
        <v>10.473710000000001</v>
      </c>
      <c r="DA71" s="2670">
        <f>DA8+DA17+DA27+DA35+DA52+DA59+DA64+DA62+DA43+DA61-DA47</f>
        <v>107390.350721</v>
      </c>
      <c r="DB71" s="2670">
        <f>DB8+DB17+DB27+DB35+DB52+DB59+DB64+DB62+DB43+DB61-DB47</f>
        <v>107372.86429099999</v>
      </c>
      <c r="DC71" s="2670">
        <f>DC8+DC17+DC27+DC35+DC52+DC59+DC64+DC62+DC43+DC61</f>
        <v>17.486429999999999</v>
      </c>
      <c r="DD71" s="2670">
        <f>DD8+DD17+DD27+DD35+DD52+DD59+DD64+DD62+DD43+DD61-DD47</f>
        <v>143671.55359000002</v>
      </c>
      <c r="DE71" s="2670">
        <f>DE8+DE17+DE27+DE35+DE52+DE59+DE64+DE62+DE43+DE61-DE47</f>
        <v>143650.99627000003</v>
      </c>
      <c r="DF71" s="2670">
        <f>DF8+DF17+DF27+DF35+DF52+DF59+DF64+DF62+DF43+DF61</f>
        <v>20.557320000000001</v>
      </c>
      <c r="DG71" s="2670">
        <f>DG8+DG17+DG27+DG35+DG52+DG59+DG64+DG62+DG43+DG61-DG47+DG66</f>
        <v>178812.49834848745</v>
      </c>
      <c r="DH71" s="2670">
        <f>DH8+DH17+DH27+DH35+DH52+DH59+DH64+DH62+DH43+DH61-DH47+DH66</f>
        <v>178777.77565345768</v>
      </c>
      <c r="DI71" s="2670">
        <f>DI8+DI17+DI27+DI35+DI52+DI59+DI64+DI62+DI43+DI61+DI66</f>
        <v>34.722695029798096</v>
      </c>
      <c r="DJ71" s="2670">
        <f>DJ8+DJ17+DJ27+DJ35+DJ52+DJ59+DJ64+DJ62+DJ43+DJ61-DJ47+DJ66</f>
        <v>160440.6919756305</v>
      </c>
      <c r="DK71" s="2670">
        <f>DK8+DK17+DK27+DK35+DK52+DK59+DK64+DK62+DK43+DK61+DK66</f>
        <v>160588.25134637239</v>
      </c>
      <c r="DL71" s="2670">
        <f>DL8+DL17+DL27+DL35+DL52+DL59+DL64+DL62+DL43+DL61+DL66</f>
        <v>31.170261258094762</v>
      </c>
      <c r="DM71" s="2670">
        <f>DM8+DM17+DM27+DM35+DM52+DM59+DM64+DM62+DM43+DM61-DM47+DM65</f>
        <v>73665.968570274694</v>
      </c>
      <c r="DN71" s="2670">
        <f>DN8+DN17+DN27+DN35+DN52+DN59+DN64+DN62+DN43+DN61-DN47+DN65</f>
        <v>73656.467650274702</v>
      </c>
      <c r="DO71" s="2670">
        <f>DO8+DO17+DO27+DO35+DO52+DO59+DO64+DO62+DO43+DO61+DO65</f>
        <v>9.5209200000000003</v>
      </c>
      <c r="DP71" s="2670">
        <f>DP8+DP17+DP27+DP35+DP52+DP59+DP64+DP62+DP43+DP61-DP47+DP65</f>
        <v>113474.50047660359</v>
      </c>
      <c r="DQ71" s="2670">
        <f>DQ8+DQ17+DQ27+DQ35+DQ52+DQ59+DQ64+DQ62+DQ43+DQ61-DQ47+DQ65</f>
        <v>110591.76415660359</v>
      </c>
      <c r="DR71" s="2670">
        <f>DR8+DR17+DR27+DR35+DR52+DR59+DR64+DR62+DR43+DR61+DR65</f>
        <v>2882.7363200000004</v>
      </c>
      <c r="DS71" s="2670">
        <f>DS8+DS17+DS27+DS35+DS52+DS59+DS64+DS62+DS43+DS61-DS47+DS65</f>
        <v>154009.71968063922</v>
      </c>
      <c r="DT71" s="2670">
        <f>DT8+DT17+DT27+DT35+DT52+DT59+DT64+DT62+DT43+DT61-DT47+DT65</f>
        <v>153489.48652063921</v>
      </c>
      <c r="DU71" s="2670">
        <f>DU8+DU17+DU27+DU35+DU52+DU59+DU64+DU62+DU43+DU61+DU65</f>
        <v>520.23315999999988</v>
      </c>
      <c r="DV71" s="3355">
        <f>DV8+DV17+DV27+DV35+DV52+DV59+DV64+DV62+DV43+DV61-DV47+DV65+DV66+DV67+DV68</f>
        <v>210614.63506180403</v>
      </c>
      <c r="DW71" s="3355">
        <f>DW8+DW17+DW27+DW35+DW52+DW59+DW64+DW62+DW43+DW61-DW47+DW65+DW66+DW67+DW68</f>
        <v>210576.02586989829</v>
      </c>
      <c r="DX71" s="3355">
        <f>DX8+DX17+DX27+DX35+DX52+DX59+DX64+DX62+DX43+DX61-DX47+DX65+DX66+DX67+DX68</f>
        <v>38.609191905739003</v>
      </c>
      <c r="DY71" s="4024">
        <f>DY8+DY17+DY27+DY35+DY52+DY59+DY64+DY62+DY43+DY61-DY47+DY66</f>
        <v>106601.65037298275</v>
      </c>
      <c r="DZ71" s="4024">
        <f>DZ8+DZ17+DZ27+DZ35+DZ52+DZ59+DZ64+DZ62+DZ43+DZ61+DZ66</f>
        <v>93793.163527025274</v>
      </c>
      <c r="EA71" s="4080">
        <f>EA8+EA17+EA27+EA35+EA52+EA59+EA64+EA62+EA43+EA61+EA66</f>
        <v>12833.805503343525</v>
      </c>
      <c r="EB71" s="3355">
        <f>EB8+EB17+EB27+EB35+EB52+EB59+EB64+EB62+EB43+EB61-EB47+EB65+EB66+EB67+EB68+EB69+EB70+EB63</f>
        <v>223532.96940791691</v>
      </c>
      <c r="EC71" s="3355">
        <f>EC8+EC17+EC27+EC35+EC52+EC59+EC64+EC62+EC43+EC61-EC47+EC65+EC66+EC67+EC68+EC69+EC70+EC63</f>
        <v>223494.36021601118</v>
      </c>
      <c r="ED71" s="3355">
        <f>ED8+ED17+ED27+ED35+ED52+ED59+ED64+ED62+ED43+ED61-ED47+ED65+ED66+ED67+ED68</f>
        <v>38.609191905739003</v>
      </c>
      <c r="EE71" s="3355">
        <f>EE8+EE17+EE27+EE35+EE52+EE59+EE64+EE62+EE43+EE61+EE65+EE66+EE67+EE68+EE69+EE70+EE63</f>
        <v>180747.30930553115</v>
      </c>
      <c r="EF71" s="3355">
        <f>EF8+EF17+EF27+EF35+EF52+EF59+EF64+EF62+EF43+EF61+EF65+EF66+EF67+EF68+EF69+EF70+EF63</f>
        <v>180712.19025095939</v>
      </c>
      <c r="EG71" s="3355">
        <f>EG8+EG17+EG27+EG35+EG52+EG59+EG64+EG62+EG43+EG61-EG47+EG65+EG66+EG67+EG68</f>
        <v>35.119054571747689</v>
      </c>
      <c r="EH71" s="4689">
        <f>EH8+EH17+EH27+EH35+EH52+EH59+EH64+EH62+EH43+EH61-EH47+EH65</f>
        <v>83646.090745799986</v>
      </c>
      <c r="EI71" s="4689">
        <f>EI8+EI17+EI27+EI35+EI52+EI59+EI64+EI62+EI43+EI61+EI65</f>
        <v>83762.585491179983</v>
      </c>
      <c r="EJ71" s="4689">
        <f>EJ8+EJ17+EJ27+EJ35+EJ52+EJ59+EJ64+EJ62+EJ43+EJ61+EJ65</f>
        <v>13.265710519999999</v>
      </c>
      <c r="EK71" s="4689">
        <f>EK8+EK17+EK27+EK35+EK52+EK59+EK64+EK62+EK43+EK61-EK47+EK65</f>
        <v>174141.67594368002</v>
      </c>
      <c r="EL71" s="4689">
        <f>EL8+EL17+EL27+EL35+EL52+EL59+EL64+EL62+EL43+EL61+EL65</f>
        <v>174370.69016314004</v>
      </c>
      <c r="EM71" s="4689">
        <f>EM8+EM17+EM27+EM35+EM52+EM59+EM64+EM62+EM43+EM61+EM65</f>
        <v>17.93669804</v>
      </c>
    </row>
    <row r="72" spans="1:146" s="2196" customFormat="1" ht="21" customHeight="1" x14ac:dyDescent="0.2">
      <c r="A72" s="3314" t="s">
        <v>13</v>
      </c>
      <c r="B72" s="3290"/>
      <c r="C72" s="3329"/>
      <c r="D72" s="3330"/>
      <c r="E72" s="3329"/>
      <c r="F72" s="3329"/>
      <c r="G72" s="3329"/>
      <c r="H72" s="3330"/>
      <c r="I72" s="3331"/>
      <c r="J72" s="3331"/>
      <c r="K72" s="3331"/>
      <c r="L72" s="3331"/>
      <c r="M72" s="3331"/>
      <c r="N72" s="3332"/>
      <c r="O72" s="3331"/>
      <c r="P72" s="3332"/>
      <c r="Q72" s="3333"/>
      <c r="R72" s="3331"/>
      <c r="S72" s="3331"/>
      <c r="T72" s="3331"/>
      <c r="U72" s="3331"/>
      <c r="V72" s="3331"/>
      <c r="W72" s="3331"/>
      <c r="X72" s="3331"/>
      <c r="Y72" s="2670"/>
      <c r="Z72" s="3334"/>
      <c r="AA72" s="2670"/>
      <c r="AB72" s="3334"/>
      <c r="AC72" s="2670"/>
      <c r="AD72" s="2670"/>
      <c r="AE72" s="2670"/>
      <c r="AF72" s="2670"/>
      <c r="AG72" s="2670"/>
      <c r="AH72" s="3335"/>
      <c r="AI72" s="3336"/>
      <c r="AJ72" s="2670"/>
      <c r="AK72" s="2670"/>
      <c r="AL72" s="3335"/>
      <c r="AM72" s="3336"/>
      <c r="AN72" s="2670"/>
      <c r="AO72" s="2670"/>
      <c r="AP72" s="3337"/>
      <c r="AQ72" s="3337"/>
      <c r="AR72" s="3337"/>
      <c r="AS72" s="3337"/>
      <c r="AT72" s="2670"/>
      <c r="AU72" s="2670"/>
      <c r="AV72" s="2670"/>
      <c r="AW72" s="2670"/>
      <c r="AX72" s="2670"/>
      <c r="AY72" s="2670"/>
      <c r="AZ72" s="3335"/>
      <c r="BA72" s="3338"/>
      <c r="BB72" s="2670"/>
      <c r="BC72" s="2670"/>
      <c r="BD72" s="2670"/>
      <c r="BE72" s="2670"/>
      <c r="BF72" s="2670"/>
      <c r="BG72" s="2670"/>
      <c r="BH72" s="2670"/>
      <c r="BI72" s="2670"/>
      <c r="BJ72" s="2670"/>
      <c r="BK72" s="2670"/>
      <c r="BL72" s="2670"/>
      <c r="BM72" s="2670">
        <f>SUM(BM167)</f>
        <v>3621.42</v>
      </c>
      <c r="BN72" s="2670">
        <f t="shared" ref="BN72:CQ72" si="763">SUM(BN167)</f>
        <v>3600</v>
      </c>
      <c r="BO72" s="2670">
        <f t="shared" si="763"/>
        <v>21.42</v>
      </c>
      <c r="BP72" s="2670">
        <f t="shared" si="763"/>
        <v>3659.8610000000003</v>
      </c>
      <c r="BQ72" s="2670">
        <f t="shared" si="763"/>
        <v>3658.53</v>
      </c>
      <c r="BR72" s="2670">
        <f t="shared" si="763"/>
        <v>1.331</v>
      </c>
      <c r="BS72" s="2670">
        <f t="shared" si="763"/>
        <v>3605</v>
      </c>
      <c r="BT72" s="2670">
        <f t="shared" si="763"/>
        <v>3600</v>
      </c>
      <c r="BU72" s="2670">
        <f t="shared" si="763"/>
        <v>5</v>
      </c>
      <c r="BV72" s="2670">
        <f t="shared" si="763"/>
        <v>3662.3949233333333</v>
      </c>
      <c r="BW72" s="2670">
        <f t="shared" si="763"/>
        <v>3660.6249233333333</v>
      </c>
      <c r="BX72" s="2670">
        <f t="shared" si="763"/>
        <v>1.77</v>
      </c>
      <c r="BY72" s="2670">
        <f t="shared" si="763"/>
        <v>3662.3949233333333</v>
      </c>
      <c r="BZ72" s="2670">
        <f t="shared" si="763"/>
        <v>3660.6249233333333</v>
      </c>
      <c r="CA72" s="2670">
        <f t="shared" si="763"/>
        <v>1.77</v>
      </c>
      <c r="CB72" s="2670">
        <f t="shared" si="763"/>
        <v>0</v>
      </c>
      <c r="CC72" s="2670">
        <f t="shared" si="763"/>
        <v>0</v>
      </c>
      <c r="CD72" s="2670">
        <f t="shared" si="763"/>
        <v>0</v>
      </c>
      <c r="CE72" s="2670">
        <f t="shared" si="763"/>
        <v>0</v>
      </c>
      <c r="CF72" s="2670">
        <f t="shared" si="763"/>
        <v>3474.7299999999996</v>
      </c>
      <c r="CG72" s="2670">
        <f t="shared" si="763"/>
        <v>3472.9599999999996</v>
      </c>
      <c r="CH72" s="2670">
        <f t="shared" si="763"/>
        <v>1.77</v>
      </c>
      <c r="CI72" s="2670">
        <f t="shared" si="763"/>
        <v>1751.489</v>
      </c>
      <c r="CJ72" s="2670">
        <f t="shared" si="763"/>
        <v>1750.931</v>
      </c>
      <c r="CK72" s="2670">
        <f t="shared" si="763"/>
        <v>0.55800000000000005</v>
      </c>
      <c r="CL72" s="2670">
        <f t="shared" si="763"/>
        <v>2639.2570000000005</v>
      </c>
      <c r="CM72" s="2670">
        <f t="shared" si="763"/>
        <v>2638.4280000000003</v>
      </c>
      <c r="CN72" s="2670">
        <f t="shared" si="763"/>
        <v>0.82899999999999996</v>
      </c>
      <c r="CO72" s="2670">
        <f t="shared" si="763"/>
        <v>3529.002</v>
      </c>
      <c r="CP72" s="2670">
        <f t="shared" si="763"/>
        <v>3527.873</v>
      </c>
      <c r="CQ72" s="2670">
        <f t="shared" si="763"/>
        <v>1.129</v>
      </c>
      <c r="CR72" s="2670">
        <f t="shared" ref="CR72:CT72" si="764">SUM(CR167)</f>
        <v>3474.7299999999996</v>
      </c>
      <c r="CS72" s="2670">
        <f t="shared" si="764"/>
        <v>3472.9599999999996</v>
      </c>
      <c r="CT72" s="2670">
        <f t="shared" si="764"/>
        <v>1.77</v>
      </c>
      <c r="CU72" s="2670">
        <f t="shared" ref="CU72:CW72" si="765">SUM(CU167)</f>
        <v>3506.4398000000001</v>
      </c>
      <c r="CV72" s="2670">
        <f t="shared" si="765"/>
        <v>3504.67</v>
      </c>
      <c r="CW72" s="2670">
        <f t="shared" si="765"/>
        <v>1.7698</v>
      </c>
      <c r="CX72" s="2670">
        <f t="shared" ref="CX72:DL72" si="766">SUM(CX167)</f>
        <v>1768.9229999999998</v>
      </c>
      <c r="CY72" s="2670">
        <f t="shared" si="766"/>
        <v>1768.3819999999998</v>
      </c>
      <c r="CZ72" s="2670">
        <f t="shared" si="766"/>
        <v>0.54100000000000004</v>
      </c>
      <c r="DA72" s="2670">
        <f t="shared" si="766"/>
        <v>2633.047</v>
      </c>
      <c r="DB72" s="2670">
        <f t="shared" si="766"/>
        <v>2632.3209999999999</v>
      </c>
      <c r="DC72" s="2670">
        <f t="shared" si="766"/>
        <v>0.72599999999999998</v>
      </c>
      <c r="DD72" s="2670">
        <f t="shared" si="766"/>
        <v>3535.3689999999997</v>
      </c>
      <c r="DE72" s="2670">
        <f t="shared" si="766"/>
        <v>3534.4369999999999</v>
      </c>
      <c r="DF72" s="2670">
        <f t="shared" si="766"/>
        <v>0.93200000000000005</v>
      </c>
      <c r="DG72" s="2670">
        <f t="shared" si="766"/>
        <v>3506.4398000000001</v>
      </c>
      <c r="DH72" s="2670">
        <f t="shared" si="766"/>
        <v>3504.67</v>
      </c>
      <c r="DI72" s="2670">
        <f t="shared" si="766"/>
        <v>1.7698</v>
      </c>
      <c r="DJ72" s="2670">
        <f t="shared" si="766"/>
        <v>3503.0637999999999</v>
      </c>
      <c r="DK72" s="2670">
        <f t="shared" si="766"/>
        <v>3501.2939999999999</v>
      </c>
      <c r="DL72" s="2670">
        <f t="shared" si="766"/>
        <v>1.7698</v>
      </c>
      <c r="DM72" s="2670">
        <f t="shared" ref="DM72:DO72" si="767">SUM(DM167)</f>
        <v>1810.413</v>
      </c>
      <c r="DN72" s="2670">
        <f t="shared" si="767"/>
        <v>1809.999</v>
      </c>
      <c r="DO72" s="2670">
        <f t="shared" si="767"/>
        <v>0.41399999999999998</v>
      </c>
      <c r="DP72" s="2670">
        <f t="shared" ref="DP72:DR72" si="768">SUM(DP167)</f>
        <v>2662.7433000000001</v>
      </c>
      <c r="DQ72" s="2670">
        <f t="shared" si="768"/>
        <v>2662.1453000000001</v>
      </c>
      <c r="DR72" s="2670">
        <f t="shared" si="768"/>
        <v>0.59799999999999998</v>
      </c>
      <c r="DS72" s="2670">
        <f t="shared" ref="DS72:EA72" si="769">SUM(DS167)</f>
        <v>3563.1979999999999</v>
      </c>
      <c r="DT72" s="2670">
        <f t="shared" si="769"/>
        <v>3562.4159999999997</v>
      </c>
      <c r="DU72" s="2670">
        <f t="shared" si="769"/>
        <v>0.78200000000000003</v>
      </c>
      <c r="DV72" s="3355">
        <f t="shared" si="769"/>
        <v>3503.0637999999999</v>
      </c>
      <c r="DW72" s="3355">
        <f t="shared" si="769"/>
        <v>3501.2939999999999</v>
      </c>
      <c r="DX72" s="3355">
        <f t="shared" si="769"/>
        <v>1.7698</v>
      </c>
      <c r="DY72" s="4024">
        <f t="shared" si="769"/>
        <v>0</v>
      </c>
      <c r="DZ72" s="4024">
        <f t="shared" si="769"/>
        <v>0</v>
      </c>
      <c r="EA72" s="4080">
        <f t="shared" si="769"/>
        <v>0</v>
      </c>
      <c r="EB72" s="3355">
        <f t="shared" ref="EB72" si="770">SUM(EB167)</f>
        <v>3503.0637999999999</v>
      </c>
      <c r="EC72" s="3355">
        <f>SUM(DW167)</f>
        <v>3501.2939999999999</v>
      </c>
      <c r="ED72" s="3355">
        <f>SUM(DX167)</f>
        <v>1.7698</v>
      </c>
      <c r="EE72" s="3355">
        <f t="shared" ref="EE72" si="771">SUM(EE167)</f>
        <v>3555.4440725851482</v>
      </c>
      <c r="EF72" s="2670">
        <f>SUM(EF167)</f>
        <v>3554.0930725851481</v>
      </c>
      <c r="EG72" s="2670">
        <f>SUM(EG167)</f>
        <v>1.351</v>
      </c>
      <c r="EH72" s="4689">
        <f t="shared" ref="EH72:EJ72" si="772">SUM(EH167)</f>
        <v>1908.636</v>
      </c>
      <c r="EI72" s="4689">
        <f t="shared" si="772"/>
        <v>1907.845</v>
      </c>
      <c r="EJ72" s="4689">
        <f t="shared" si="772"/>
        <v>0.79100000000000004</v>
      </c>
      <c r="EK72" s="4689">
        <f t="shared" ref="EK72:EM72" si="773">SUM(EK167)</f>
        <v>3775.5508999999997</v>
      </c>
      <c r="EL72" s="4689">
        <f t="shared" si="773"/>
        <v>3774.7598999999996</v>
      </c>
      <c r="EM72" s="4689">
        <f t="shared" si="773"/>
        <v>0.79100000000000004</v>
      </c>
      <c r="EN72" s="523"/>
      <c r="EO72" s="523"/>
      <c r="EP72" s="523"/>
    </row>
    <row r="73" spans="1:146" s="2196" customFormat="1" ht="21" customHeight="1" x14ac:dyDescent="0.2">
      <c r="A73" s="3339" t="s">
        <v>14</v>
      </c>
      <c r="B73" s="3340"/>
      <c r="C73" s="3341"/>
      <c r="D73" s="3342"/>
      <c r="E73" s="3341"/>
      <c r="F73" s="3341"/>
      <c r="G73" s="3341"/>
      <c r="H73" s="3342"/>
      <c r="I73" s="3343"/>
      <c r="J73" s="3343"/>
      <c r="K73" s="3343"/>
      <c r="L73" s="3343"/>
      <c r="M73" s="3343"/>
      <c r="N73" s="3344"/>
      <c r="O73" s="3343"/>
      <c r="P73" s="3344"/>
      <c r="Q73" s="3345"/>
      <c r="R73" s="3343"/>
      <c r="S73" s="3343"/>
      <c r="T73" s="3343"/>
      <c r="U73" s="3343"/>
      <c r="V73" s="3343"/>
      <c r="W73" s="3343"/>
      <c r="X73" s="3343"/>
      <c r="Y73" s="3346"/>
      <c r="Z73" s="3347"/>
      <c r="AA73" s="3346"/>
      <c r="AB73" s="3347"/>
      <c r="AC73" s="3346"/>
      <c r="AD73" s="3346"/>
      <c r="AE73" s="3346"/>
      <c r="AF73" s="3346"/>
      <c r="AG73" s="3346"/>
      <c r="AH73" s="3348"/>
      <c r="AI73" s="3349"/>
      <c r="AJ73" s="3346"/>
      <c r="AK73" s="3346"/>
      <c r="AL73" s="3348"/>
      <c r="AM73" s="3349"/>
      <c r="AN73" s="3346"/>
      <c r="AO73" s="3346"/>
      <c r="AP73" s="3350"/>
      <c r="AQ73" s="3350"/>
      <c r="AR73" s="3350"/>
      <c r="AS73" s="3350"/>
      <c r="AT73" s="3346"/>
      <c r="AU73" s="3346"/>
      <c r="AV73" s="3346"/>
      <c r="AW73" s="3346"/>
      <c r="AX73" s="3346"/>
      <c r="AY73" s="3346"/>
      <c r="AZ73" s="3348"/>
      <c r="BA73" s="3351"/>
      <c r="BB73" s="3346"/>
      <c r="BC73" s="3346"/>
      <c r="BD73" s="3346"/>
      <c r="BE73" s="3346"/>
      <c r="BF73" s="3346"/>
      <c r="BG73" s="3346"/>
      <c r="BH73" s="3346"/>
      <c r="BI73" s="3346"/>
      <c r="BJ73" s="3346"/>
      <c r="BK73" s="3346"/>
      <c r="BL73" s="3346"/>
      <c r="BM73" s="3346">
        <f>SUM(BM71/BM72)</f>
        <v>35.38457094178527</v>
      </c>
      <c r="BN73" s="3346">
        <f t="shared" ref="BN73:CN73" si="774">SUM(BN71/BN72)</f>
        <v>35.49322055555556</v>
      </c>
      <c r="BO73" s="3346">
        <f t="shared" si="774"/>
        <v>17.124131652661063</v>
      </c>
      <c r="BP73" s="3346">
        <f t="shared" si="774"/>
        <v>37.279246944077933</v>
      </c>
      <c r="BQ73" s="3346">
        <f t="shared" si="774"/>
        <v>37.286185708467606</v>
      </c>
      <c r="BR73" s="3346">
        <f t="shared" si="774"/>
        <v>18.206611570247937</v>
      </c>
      <c r="BS73" s="3346">
        <f t="shared" si="774"/>
        <v>46.50039112343967</v>
      </c>
      <c r="BT73" s="3346">
        <f t="shared" si="774"/>
        <v>46.537394444444438</v>
      </c>
      <c r="BU73" s="3346">
        <f t="shared" si="774"/>
        <v>19.857999999999997</v>
      </c>
      <c r="BV73" s="3346">
        <f t="shared" si="774"/>
        <v>40.294652117864288</v>
      </c>
      <c r="BW73" s="3346">
        <f t="shared" si="774"/>
        <v>40.305718614059224</v>
      </c>
      <c r="BX73" s="3346">
        <f t="shared" si="774"/>
        <v>17.407481617784892</v>
      </c>
      <c r="BY73" s="3346">
        <f t="shared" si="774"/>
        <v>44.732134268765698</v>
      </c>
      <c r="BZ73" s="3346">
        <f t="shared" si="774"/>
        <v>44.7443155164462</v>
      </c>
      <c r="CA73" s="3346">
        <f t="shared" si="774"/>
        <v>19.546898568029476</v>
      </c>
      <c r="CB73" s="3346" t="e">
        <f t="shared" si="774"/>
        <v>#DIV/0!</v>
      </c>
      <c r="CC73" s="3346" t="e">
        <f t="shared" si="774"/>
        <v>#DIV/0!</v>
      </c>
      <c r="CD73" s="3346" t="e">
        <f t="shared" si="774"/>
        <v>#DIV/0!</v>
      </c>
      <c r="CE73" s="3346" t="e">
        <f t="shared" si="774"/>
        <v>#DIV/0!</v>
      </c>
      <c r="CF73" s="3346">
        <f t="shared" si="774"/>
        <v>43.127583640662074</v>
      </c>
      <c r="CG73" s="3346">
        <f t="shared" si="774"/>
        <v>43.14077640618185</v>
      </c>
      <c r="CH73" s="3346">
        <f t="shared" si="774"/>
        <v>17.241737912101978</v>
      </c>
      <c r="CI73" s="3346">
        <f t="shared" si="774"/>
        <v>41.562436189151057</v>
      </c>
      <c r="CJ73" s="3346">
        <f t="shared" si="774"/>
        <v>41.568531277646009</v>
      </c>
      <c r="CK73" s="3346">
        <f t="shared" si="774"/>
        <v>22.436845878136197</v>
      </c>
      <c r="CL73" s="3346">
        <f t="shared" si="774"/>
        <v>42.31211457738673</v>
      </c>
      <c r="CM73" s="3346">
        <f t="shared" si="774"/>
        <v>42.318221980349655</v>
      </c>
      <c r="CN73" s="3346">
        <f t="shared" si="774"/>
        <v>22.874306393244876</v>
      </c>
      <c r="CO73" s="2670">
        <f t="shared" ref="CO73:CQ73" si="775">SUM(CO71/CO72)</f>
        <v>41.921570471731101</v>
      </c>
      <c r="CP73" s="2670">
        <f t="shared" si="775"/>
        <v>41.928163779671202</v>
      </c>
      <c r="CQ73" s="2670">
        <f t="shared" si="775"/>
        <v>21.318954827280781</v>
      </c>
      <c r="CR73" s="2670">
        <f t="shared" ref="CR73:CT73" si="776">SUM(CR71/CR72)</f>
        <v>51.226361429786252</v>
      </c>
      <c r="CS73" s="2670">
        <f t="shared" si="776"/>
        <v>51.235428814048056</v>
      </c>
      <c r="CT73" s="2670">
        <f t="shared" si="776"/>
        <v>33.435026488607711</v>
      </c>
      <c r="CU73" s="2670">
        <f t="shared" ref="CU73:CW73" si="777">SUM(CU71/CU72)</f>
        <v>41.744342201138444</v>
      </c>
      <c r="CV73" s="2670">
        <f t="shared" si="777"/>
        <v>41.757166801229509</v>
      </c>
      <c r="CW73" s="2670">
        <f t="shared" si="777"/>
        <v>16.348257219144767</v>
      </c>
      <c r="CX73" s="3346">
        <f t="shared" ref="CX73:DL73" si="778">SUM(CX71/CX72)</f>
        <v>41.88918071052273</v>
      </c>
      <c r="CY73" s="3346">
        <f t="shared" si="778"/>
        <v>41.896073076970914</v>
      </c>
      <c r="CZ73" s="3346">
        <f t="shared" si="778"/>
        <v>19.359907578558225</v>
      </c>
      <c r="DA73" s="3346">
        <f t="shared" si="778"/>
        <v>40.785580629969765</v>
      </c>
      <c r="DB73" s="3346">
        <f t="shared" si="778"/>
        <v>40.790186413815029</v>
      </c>
      <c r="DC73" s="3346">
        <f t="shared" si="778"/>
        <v>24.085991735537188</v>
      </c>
      <c r="DD73" s="2670">
        <f t="shared" si="778"/>
        <v>40.638347394571838</v>
      </c>
      <c r="DE73" s="2670">
        <f t="shared" si="778"/>
        <v>40.643247077257293</v>
      </c>
      <c r="DF73" s="2670">
        <f t="shared" si="778"/>
        <v>22.057210300429183</v>
      </c>
      <c r="DG73" s="2670">
        <f t="shared" si="778"/>
        <v>50.995456516460784</v>
      </c>
      <c r="DH73" s="2670">
        <f t="shared" si="778"/>
        <v>51.011300822461934</v>
      </c>
      <c r="DI73" s="2670">
        <f t="shared" si="778"/>
        <v>19.619558724035539</v>
      </c>
      <c r="DJ73" s="2670">
        <f t="shared" si="778"/>
        <v>45.800105603452188</v>
      </c>
      <c r="DK73" s="2670">
        <f t="shared" si="778"/>
        <v>45.865400433774596</v>
      </c>
      <c r="DL73" s="2670">
        <f t="shared" si="778"/>
        <v>17.61230718617627</v>
      </c>
      <c r="DM73" s="2670">
        <f t="shared" ref="DM73:DO73" si="779">SUM(DM71/DM72)</f>
        <v>40.690145602287814</v>
      </c>
      <c r="DN73" s="2670">
        <f t="shared" si="779"/>
        <v>40.69420350523658</v>
      </c>
      <c r="DO73" s="2670">
        <f t="shared" si="779"/>
        <v>22.997391304347829</v>
      </c>
      <c r="DP73" s="2670">
        <f t="shared" ref="DP73:DR73" si="780">SUM(DP71/DP72)</f>
        <v>42.615636466573243</v>
      </c>
      <c r="DQ73" s="2670">
        <f t="shared" si="780"/>
        <v>41.542347127560461</v>
      </c>
      <c r="DR73" s="2670">
        <f t="shared" si="780"/>
        <v>4820.6292976588638</v>
      </c>
      <c r="DS73" s="2670">
        <f t="shared" ref="DS73:EA73" si="781">SUM(DS71/DS72)</f>
        <v>43.222329963319247</v>
      </c>
      <c r="DT73" s="2670">
        <f t="shared" si="781"/>
        <v>43.085784063579105</v>
      </c>
      <c r="DU73" s="2670">
        <f t="shared" si="781"/>
        <v>665.25979539641924</v>
      </c>
      <c r="DV73" s="3355">
        <f t="shared" si="781"/>
        <v>60.122980078696834</v>
      </c>
      <c r="DW73" s="3355">
        <f t="shared" si="781"/>
        <v>60.142343336463121</v>
      </c>
      <c r="DX73" s="3355">
        <f t="shared" si="781"/>
        <v>21.815567807514409</v>
      </c>
      <c r="DY73" s="4024" t="e">
        <f t="shared" si="781"/>
        <v>#DIV/0!</v>
      </c>
      <c r="DZ73" s="4024" t="e">
        <f t="shared" si="781"/>
        <v>#DIV/0!</v>
      </c>
      <c r="EA73" s="4080" t="e">
        <f t="shared" si="781"/>
        <v>#DIV/0!</v>
      </c>
      <c r="EB73" s="3355">
        <f t="shared" ref="EB73:ED73" si="782">SUM(EB71/EB72)</f>
        <v>63.810704620314631</v>
      </c>
      <c r="EC73" s="3355">
        <f t="shared" si="782"/>
        <v>63.831931913175865</v>
      </c>
      <c r="ED73" s="3355">
        <f t="shared" si="782"/>
        <v>21.815567807514409</v>
      </c>
      <c r="EE73" s="3355">
        <f t="shared" ref="EE73:EM73" si="783">SUM(EE71/EE72)</f>
        <v>50.836774708176058</v>
      </c>
      <c r="EF73" s="2670">
        <f t="shared" si="783"/>
        <v>50.846217743958626</v>
      </c>
      <c r="EG73" s="2670">
        <f t="shared" si="783"/>
        <v>25.994859046445367</v>
      </c>
      <c r="EH73" s="4689">
        <f t="shared" ref="EH73:EJ73" si="784">SUM(EH71/EH72)</f>
        <v>43.825061848251835</v>
      </c>
      <c r="EI73" s="4689">
        <f t="shared" si="784"/>
        <v>43.904292796941043</v>
      </c>
      <c r="EJ73" s="4689">
        <f t="shared" si="784"/>
        <v>16.770809759797721</v>
      </c>
      <c r="EK73" s="4689">
        <f t="shared" si="783"/>
        <v>46.123514304542958</v>
      </c>
      <c r="EL73" s="4689">
        <f t="shared" si="783"/>
        <v>46.193849352680701</v>
      </c>
      <c r="EM73" s="4689">
        <f t="shared" si="783"/>
        <v>22.675977294563843</v>
      </c>
      <c r="EN73" s="523"/>
      <c r="EO73" s="523"/>
      <c r="EP73" s="523"/>
    </row>
    <row r="74" spans="1:146" s="2196" customFormat="1" ht="69.75" customHeight="1" x14ac:dyDescent="0.2">
      <c r="A74" s="2671" t="s">
        <v>3640</v>
      </c>
      <c r="B74" s="2672"/>
      <c r="C74" s="2673"/>
      <c r="D74" s="2674"/>
      <c r="E74" s="2673"/>
      <c r="F74" s="2673"/>
      <c r="G74" s="2673"/>
      <c r="H74" s="2674"/>
      <c r="I74" s="2675"/>
      <c r="J74" s="2675"/>
      <c r="K74" s="2675"/>
      <c r="L74" s="2675"/>
      <c r="M74" s="2675"/>
      <c r="N74" s="2676"/>
      <c r="O74" s="2675"/>
      <c r="P74" s="2676"/>
      <c r="Q74" s="2677"/>
      <c r="R74" s="2675"/>
      <c r="S74" s="2675"/>
      <c r="T74" s="2675"/>
      <c r="U74" s="2675"/>
      <c r="V74" s="2675"/>
      <c r="W74" s="2675"/>
      <c r="X74" s="2675"/>
      <c r="Y74" s="2678"/>
      <c r="Z74" s="2679"/>
      <c r="AA74" s="2678"/>
      <c r="AB74" s="2679"/>
      <c r="AC74" s="2678"/>
      <c r="AD74" s="2678"/>
      <c r="AE74" s="2678"/>
      <c r="AF74" s="2678"/>
      <c r="AG74" s="2678"/>
      <c r="AH74" s="2680"/>
      <c r="AI74" s="2681"/>
      <c r="AJ74" s="2678"/>
      <c r="AK74" s="2678"/>
      <c r="AL74" s="2680"/>
      <c r="AM74" s="2681"/>
      <c r="AN74" s="2678"/>
      <c r="AO74" s="2678"/>
      <c r="AP74" s="2682"/>
      <c r="AQ74" s="2682"/>
      <c r="AR74" s="2682"/>
      <c r="AS74" s="2682"/>
      <c r="AT74" s="2678"/>
      <c r="AU74" s="2678"/>
      <c r="AV74" s="2678"/>
      <c r="AW74" s="2678"/>
      <c r="AX74" s="2678"/>
      <c r="AY74" s="2678"/>
      <c r="AZ74" s="2680"/>
      <c r="BA74" s="2683"/>
      <c r="BB74" s="2678"/>
      <c r="BC74" s="2678"/>
      <c r="BD74" s="2678"/>
      <c r="BE74" s="2678"/>
      <c r="BF74" s="2678"/>
      <c r="BG74" s="2678"/>
      <c r="BH74" s="2678"/>
      <c r="BI74" s="2678"/>
      <c r="BJ74" s="2678"/>
      <c r="BK74" s="2678"/>
      <c r="BL74" s="2678"/>
      <c r="BM74" s="2678"/>
      <c r="BN74" s="2678"/>
      <c r="BO74" s="2678"/>
      <c r="BP74" s="2678"/>
      <c r="BQ74" s="2678"/>
      <c r="BR74" s="2678"/>
      <c r="BS74" s="2678"/>
      <c r="BT74" s="2678"/>
      <c r="BU74" s="2678"/>
      <c r="BV74" s="2678"/>
      <c r="BW74" s="2678"/>
      <c r="BX74" s="2678"/>
      <c r="BY74" s="2678"/>
      <c r="BZ74" s="2678"/>
      <c r="CA74" s="2678"/>
      <c r="CB74" s="2684"/>
      <c r="CC74" s="3353"/>
      <c r="CD74" s="3353"/>
      <c r="CE74" s="3353"/>
      <c r="CF74" s="2678"/>
      <c r="CG74" s="2678"/>
      <c r="CH74" s="2678"/>
      <c r="CI74" s="2678"/>
      <c r="CJ74" s="2678">
        <f>SUM(CJ75:CJ76)</f>
        <v>8152.0592999999999</v>
      </c>
      <c r="CK74" s="2678">
        <f>SUM(CK75:CK76)</f>
        <v>0.43</v>
      </c>
      <c r="CL74" s="2678"/>
      <c r="CM74" s="2678">
        <f>SUM(CM75:CM76)</f>
        <v>11833.197039999999</v>
      </c>
      <c r="CN74" s="2678">
        <f>SUM(CN75:CN76)</f>
        <v>0.63376999999999994</v>
      </c>
      <c r="CO74" s="2678"/>
      <c r="CP74" s="2678">
        <f>SUM(CP75:CP76)</f>
        <v>16589.37</v>
      </c>
      <c r="CQ74" s="2678">
        <f>SUM(CQ75:CQ76)</f>
        <v>0.86399999999999999</v>
      </c>
      <c r="CR74" s="2678"/>
      <c r="CS74" s="2678">
        <f>SUM(CS75:CS76)</f>
        <v>19521.388914557308</v>
      </c>
      <c r="CT74" s="2678">
        <f>SUM(CT75:CT76)</f>
        <v>0.96866164251143072</v>
      </c>
      <c r="CU74" s="2678"/>
      <c r="CV74" s="2678">
        <f>SUM(CV75:CV76)</f>
        <v>12565.575762321121</v>
      </c>
      <c r="CW74" s="2678">
        <f>SUM(CW75:CW76)</f>
        <v>1.4756665607949733</v>
      </c>
      <c r="CX74" s="2678"/>
      <c r="CY74" s="2678">
        <f>SUM(CY75:CY76)</f>
        <v>8242.6339599999992</v>
      </c>
      <c r="CZ74" s="2678">
        <f>SUM(CZ75:CZ76)</f>
        <v>0.40139000000000002</v>
      </c>
      <c r="DA74" s="2678"/>
      <c r="DB74" s="2678">
        <f>SUM(DB75:DB76)</f>
        <v>11021.270900000001</v>
      </c>
      <c r="DC74" s="2678">
        <f>SUM(DC75:DC76)</f>
        <v>0.55088000000000004</v>
      </c>
      <c r="DD74" s="2678"/>
      <c r="DE74" s="2678">
        <f>SUM(DE75:DE76)</f>
        <v>15157.699999999999</v>
      </c>
      <c r="DF74" s="2678">
        <f>SUM(DF75:DF76)</f>
        <v>0.71245999999999998</v>
      </c>
      <c r="DG74" s="2678"/>
      <c r="DH74" s="2678">
        <f>SUM(DH75:DH76)</f>
        <v>17011.978449211056</v>
      </c>
      <c r="DI74" s="2678">
        <f>SUM(DI75:DI76)</f>
        <v>1.75626538703975</v>
      </c>
      <c r="DJ74" s="2678"/>
      <c r="DK74" s="2678">
        <f>SUM(DK75:DK76)</f>
        <v>12686.905574205315</v>
      </c>
      <c r="DL74" s="2678">
        <f>SUM(DL75:DL76)</f>
        <v>1.4885257326660863</v>
      </c>
      <c r="DM74" s="2678"/>
      <c r="DN74" s="2678">
        <f>SUM(DN75:DN76)</f>
        <v>7541.9630800000004</v>
      </c>
      <c r="DO74" s="2678">
        <f>SUM(DO75:DO76)</f>
        <v>0.34094999999999998</v>
      </c>
      <c r="DP74" s="2678"/>
      <c r="DQ74" s="2678">
        <f>SUM(DQ75:DQ76)</f>
        <v>10356.3145</v>
      </c>
      <c r="DR74" s="2678">
        <f>SUM(DR75:DR76)</f>
        <v>0.49407999999999996</v>
      </c>
      <c r="DS74" s="2678"/>
      <c r="DT74" s="2678">
        <f>SUM(DT75:DT76)</f>
        <v>14611.277999999998</v>
      </c>
      <c r="DU74" s="2678">
        <f>SUM(DU75:DU76)</f>
        <v>0.65376999999999996</v>
      </c>
      <c r="DV74" s="3769"/>
      <c r="DW74" s="3769">
        <f>SUM(DW75:DW76)</f>
        <v>16566.451847755197</v>
      </c>
      <c r="DX74" s="3769">
        <f>SUM(DX75:DX76)</f>
        <v>1.6056597060840001</v>
      </c>
      <c r="DY74" s="4025"/>
      <c r="DZ74" s="4025">
        <f>SUM(DZ75:DZ76)</f>
        <v>0</v>
      </c>
      <c r="EA74" s="4081">
        <f>SUM(EA75:EA76)</f>
        <v>0</v>
      </c>
      <c r="EB74" s="4085"/>
      <c r="EC74" s="3769">
        <f>SUM(EC75:EC76)</f>
        <v>16566.451847755197</v>
      </c>
      <c r="ED74" s="4694">
        <f>SUM(ED75:ED76)</f>
        <v>1.6056597060840001</v>
      </c>
      <c r="EE74" s="4695"/>
      <c r="EF74" s="4695">
        <f>SUM(EF75:EF76)</f>
        <v>0</v>
      </c>
      <c r="EG74" s="4695">
        <f>SUM(EG75:EG76)</f>
        <v>0</v>
      </c>
      <c r="EH74" s="4696"/>
      <c r="EI74" s="4835">
        <f>SUM(EI75:EI76)</f>
        <v>7819.5986711799997</v>
      </c>
      <c r="EJ74" s="4690">
        <f>SUM(EJ75:EJ76)</f>
        <v>0.65037051999999995</v>
      </c>
      <c r="EK74" s="4696"/>
      <c r="EL74" s="4835">
        <f>SUM(EL75:EL76)</f>
        <v>14984.258893140001</v>
      </c>
      <c r="EM74" s="4690">
        <f>SUM(EM75:EM76)</f>
        <v>0.67658804000000006</v>
      </c>
      <c r="EN74" s="523"/>
      <c r="EO74" s="523"/>
      <c r="EP74" s="523"/>
    </row>
    <row r="75" spans="1:146" s="2196" customFormat="1" ht="21" customHeight="1" x14ac:dyDescent="0.2">
      <c r="A75" s="2685" t="s">
        <v>3633</v>
      </c>
      <c r="B75" s="2672"/>
      <c r="C75" s="2673"/>
      <c r="D75" s="2674"/>
      <c r="E75" s="2673"/>
      <c r="F75" s="2673"/>
      <c r="G75" s="2673"/>
      <c r="H75" s="2674"/>
      <c r="I75" s="2675"/>
      <c r="J75" s="2675"/>
      <c r="K75" s="2675"/>
      <c r="L75" s="2675"/>
      <c r="M75" s="2675"/>
      <c r="N75" s="2676"/>
      <c r="O75" s="2675"/>
      <c r="P75" s="2676"/>
      <c r="Q75" s="2677"/>
      <c r="R75" s="2675"/>
      <c r="S75" s="2675"/>
      <c r="T75" s="2675"/>
      <c r="U75" s="2675"/>
      <c r="V75" s="2675"/>
      <c r="W75" s="2675"/>
      <c r="X75" s="2675"/>
      <c r="Y75" s="2678"/>
      <c r="Z75" s="2679"/>
      <c r="AA75" s="2678"/>
      <c r="AB75" s="2679"/>
      <c r="AC75" s="2678"/>
      <c r="AD75" s="2678"/>
      <c r="AE75" s="2678"/>
      <c r="AF75" s="2678"/>
      <c r="AG75" s="2678"/>
      <c r="AH75" s="2680"/>
      <c r="AI75" s="2681"/>
      <c r="AJ75" s="2678"/>
      <c r="AK75" s="2678"/>
      <c r="AL75" s="2680"/>
      <c r="AM75" s="2681"/>
      <c r="AN75" s="2678"/>
      <c r="AO75" s="2678"/>
      <c r="AP75" s="2682"/>
      <c r="AQ75" s="2682"/>
      <c r="AR75" s="2682"/>
      <c r="AS75" s="2682"/>
      <c r="AT75" s="2678"/>
      <c r="AU75" s="2678"/>
      <c r="AV75" s="2678"/>
      <c r="AW75" s="2678"/>
      <c r="AX75" s="2678"/>
      <c r="AY75" s="2678"/>
      <c r="AZ75" s="2680"/>
      <c r="BA75" s="2683"/>
      <c r="BB75" s="2678"/>
      <c r="BC75" s="2678"/>
      <c r="BD75" s="2678"/>
      <c r="BE75" s="2678"/>
      <c r="BF75" s="2678"/>
      <c r="BG75" s="2678"/>
      <c r="BH75" s="2678"/>
      <c r="BI75" s="2678"/>
      <c r="BJ75" s="2678"/>
      <c r="BK75" s="2678"/>
      <c r="BL75" s="2678"/>
      <c r="BM75" s="2678"/>
      <c r="BN75" s="2678"/>
      <c r="BO75" s="2678"/>
      <c r="BP75" s="2678"/>
      <c r="BQ75" s="2678"/>
      <c r="BR75" s="2678"/>
      <c r="BS75" s="2678"/>
      <c r="BT75" s="2678"/>
      <c r="BU75" s="2678"/>
      <c r="BV75" s="2678"/>
      <c r="BW75" s="2678"/>
      <c r="BX75" s="2678"/>
      <c r="BY75" s="2678"/>
      <c r="BZ75" s="2678"/>
      <c r="CA75" s="2678"/>
      <c r="CB75" s="2684"/>
      <c r="CC75" s="3353"/>
      <c r="CD75" s="3353"/>
      <c r="CE75" s="3353"/>
      <c r="CF75" s="2678"/>
      <c r="CG75" s="2678"/>
      <c r="CH75" s="2678"/>
      <c r="CI75" s="2678"/>
      <c r="CJ75" s="2686">
        <f>SUM('ЭЭ вода'!AF49+'цех вода 2023'!AY18)</f>
        <v>8077.1093000000001</v>
      </c>
      <c r="CK75" s="2686">
        <f>SUM('ЭЭ вода'!AF50)</f>
        <v>0.41</v>
      </c>
      <c r="CL75" s="2686"/>
      <c r="CM75" s="2686">
        <f>SUM('ЭЭ вода'!AG49+'цех вода 2023'!AZ18)</f>
        <v>11735.571</v>
      </c>
      <c r="CN75" s="2686">
        <f>SUM('ЭЭ вода'!AG50)</f>
        <v>0.60599999999999998</v>
      </c>
      <c r="CO75" s="2686"/>
      <c r="CP75" s="2686">
        <f>SUM('ЭЭ вода'!AH49+'цех вода 2023'!BA18)</f>
        <v>16466.77</v>
      </c>
      <c r="CQ75" s="2686">
        <f>SUM('ЭЭ вода'!AH50)</f>
        <v>0.83</v>
      </c>
      <c r="CR75" s="2686"/>
      <c r="CS75" s="2686">
        <f>SUM('ЭЭ вода'!AI49+'цех вода 2023'!BB18)</f>
        <v>19393.94527014983</v>
      </c>
      <c r="CT75" s="2686">
        <f>SUM('ЭЭ вода'!AI50)</f>
        <v>0.93316257572803196</v>
      </c>
      <c r="CU75" s="2686"/>
      <c r="CV75" s="2686">
        <f>SUM('ЭЭ вода'!AJ49+'Тепловая энергия (3 подъем)'!T10)</f>
        <v>12565.575762321121</v>
      </c>
      <c r="CW75" s="2686">
        <f>SUM('ЭЭ вода'!AJ50)</f>
        <v>1.4756665607949733</v>
      </c>
      <c r="CX75" s="2678"/>
      <c r="CY75" s="2686">
        <f>SUM('ЭЭ вода'!AK49+'цех вода 2023'!BD18)</f>
        <v>8205.949779999999</v>
      </c>
      <c r="CZ75" s="2686">
        <f>SUM('ЭЭ вода'!AK50)</f>
        <v>0.39162000000000002</v>
      </c>
      <c r="DA75" s="2686"/>
      <c r="DB75" s="2686">
        <f>SUM('ЭЭ вода'!AL49+'цех вода 2023'!BE18)</f>
        <v>10982.365000000002</v>
      </c>
      <c r="DC75" s="2686">
        <f>SUM('ЭЭ вода'!AL50)</f>
        <v>0.54</v>
      </c>
      <c r="DD75" s="2686"/>
      <c r="DE75" s="2686">
        <f>SUM('ЭЭ вода'!AM49+'цех вода 2023'!BF18)</f>
        <v>15094.307999999999</v>
      </c>
      <c r="DF75" s="2686">
        <f>SUM('ЭЭ вода'!AM50)</f>
        <v>0.69796999999999998</v>
      </c>
      <c r="DG75" s="2686"/>
      <c r="DH75" s="2686">
        <f>SUM('ЭЭ вода'!AN49+'цех вода 2023'!BG18)</f>
        <v>16946.072323896526</v>
      </c>
      <c r="DI75" s="2686">
        <f>SUM('ЭЭ вода'!AN50)</f>
        <v>1.7401514136143799</v>
      </c>
      <c r="DJ75" s="2686"/>
      <c r="DK75" s="2686">
        <f>SUM('ЭЭ вода'!AO49+'Тепловая энергия (3 подъем)'!Y10)</f>
        <v>12686.905574205315</v>
      </c>
      <c r="DL75" s="2686">
        <f>SUM('ЭЭ вода'!AO50)</f>
        <v>1.4885257326660863</v>
      </c>
      <c r="DM75" s="2686"/>
      <c r="DN75" s="2686">
        <f>SUM('ЭЭ вода'!AP49+'цех вода 2023'!BI18)</f>
        <v>7470.1752200000001</v>
      </c>
      <c r="DO75" s="2686">
        <f>SUM('ЭЭ вода'!AP50)</f>
        <v>0.32580999999999999</v>
      </c>
      <c r="DP75" s="2686"/>
      <c r="DQ75" s="2686">
        <f>SUM('ЭЭ вода'!AQ49+'цех вода 2023'!BJ18)</f>
        <v>10261.8395</v>
      </c>
      <c r="DR75" s="2686">
        <f>SUM('ЭЭ вода'!AQ50)</f>
        <v>0.47299999999999998</v>
      </c>
      <c r="DS75" s="2686"/>
      <c r="DT75" s="2686">
        <f>SUM('ЭЭ вода'!AR49+'цех вода 2023'!BK18)</f>
        <v>14469.277999999998</v>
      </c>
      <c r="DU75" s="2686">
        <f>SUM('ЭЭ вода'!AR50)</f>
        <v>0.623</v>
      </c>
      <c r="DV75" s="3770"/>
      <c r="DW75" s="3770">
        <f>SUM('ЭЭ вода'!AS49+'цех вода 2023'!BL18)</f>
        <v>16405.705646755196</v>
      </c>
      <c r="DX75" s="3770">
        <f>SUM('ЭЭ вода'!AS50)</f>
        <v>1.570827589149</v>
      </c>
      <c r="DY75" s="4026"/>
      <c r="DZ75" s="4026">
        <f>SUM('ЭЭ вода'!BD49+'Тепловая энергия (3 подъем)'!AN10)</f>
        <v>0</v>
      </c>
      <c r="EA75" s="4082">
        <f>SUM('ЭЭ вода'!BD50)</f>
        <v>0</v>
      </c>
      <c r="EB75" s="4086"/>
      <c r="EC75" s="3770">
        <f>SUM('ЭЭ вода'!AS49+'цех вода 2023'!BL18)</f>
        <v>16405.705646755196</v>
      </c>
      <c r="ED75" s="4697">
        <f>SUM('ЭЭ вода'!AS50)</f>
        <v>1.570827589149</v>
      </c>
      <c r="EE75" s="4698"/>
      <c r="EF75" s="4698">
        <f>SUM('ЭЭ вода'!BJ49+'Тепловая энергия (3 подъем)'!AT10)</f>
        <v>0</v>
      </c>
      <c r="EG75" s="4698">
        <f>SUM('ЭЭ вода'!BJ50)</f>
        <v>0</v>
      </c>
      <c r="EH75" s="4699"/>
      <c r="EI75" s="4836">
        <f>SUM('ЭЭ вода'!AU49+'цех вода 2023'!BN18+EI47)</f>
        <v>7732.6582711799992</v>
      </c>
      <c r="EJ75" s="4691">
        <f>SUM('ЭЭ вода'!AU50)</f>
        <v>0.63031051999999999</v>
      </c>
      <c r="EK75" s="4699"/>
      <c r="EL75" s="4836">
        <f>SUM('ЭЭ вода'!AV49+'цех вода 2023'!BO18+EL47)</f>
        <v>14837.28137314</v>
      </c>
      <c r="EM75" s="4691">
        <f>SUM('ЭЭ вода'!AV50)</f>
        <v>0.6512080400000001</v>
      </c>
      <c r="EN75" s="523"/>
      <c r="EO75" s="523"/>
      <c r="EP75" s="523"/>
    </row>
    <row r="76" spans="1:146" s="2196" customFormat="1" ht="21" customHeight="1" x14ac:dyDescent="0.2">
      <c r="A76" s="2685" t="s">
        <v>3634</v>
      </c>
      <c r="B76" s="2672"/>
      <c r="C76" s="2673"/>
      <c r="D76" s="2674"/>
      <c r="E76" s="2673"/>
      <c r="F76" s="2673"/>
      <c r="G76" s="2673"/>
      <c r="H76" s="2674"/>
      <c r="I76" s="2675"/>
      <c r="J76" s="2675"/>
      <c r="K76" s="2675"/>
      <c r="L76" s="2675"/>
      <c r="M76" s="2675"/>
      <c r="N76" s="2676"/>
      <c r="O76" s="2675"/>
      <c r="P76" s="2676"/>
      <c r="Q76" s="2677"/>
      <c r="R76" s="2675"/>
      <c r="S76" s="2675"/>
      <c r="T76" s="2675"/>
      <c r="U76" s="2675"/>
      <c r="V76" s="2675"/>
      <c r="W76" s="2675"/>
      <c r="X76" s="2675"/>
      <c r="Y76" s="2678"/>
      <c r="Z76" s="2679"/>
      <c r="AA76" s="2678"/>
      <c r="AB76" s="2679"/>
      <c r="AC76" s="2678"/>
      <c r="AD76" s="2678"/>
      <c r="AE76" s="2678"/>
      <c r="AF76" s="2678"/>
      <c r="AG76" s="2678"/>
      <c r="AH76" s="2680"/>
      <c r="AI76" s="2681"/>
      <c r="AJ76" s="2678"/>
      <c r="AK76" s="2678"/>
      <c r="AL76" s="2680"/>
      <c r="AM76" s="2681"/>
      <c r="AN76" s="2678"/>
      <c r="AO76" s="2678"/>
      <c r="AP76" s="2682"/>
      <c r="AQ76" s="2682"/>
      <c r="AR76" s="2682"/>
      <c r="AS76" s="2682"/>
      <c r="AT76" s="2678"/>
      <c r="AU76" s="2678"/>
      <c r="AV76" s="2678"/>
      <c r="AW76" s="2678"/>
      <c r="AX76" s="2678"/>
      <c r="AY76" s="2678"/>
      <c r="AZ76" s="2680"/>
      <c r="BA76" s="2683"/>
      <c r="BB76" s="2678"/>
      <c r="BC76" s="2678"/>
      <c r="BD76" s="2678"/>
      <c r="BE76" s="2678"/>
      <c r="BF76" s="2678"/>
      <c r="BG76" s="2678"/>
      <c r="BH76" s="2678"/>
      <c r="BI76" s="2678"/>
      <c r="BJ76" s="2678"/>
      <c r="BK76" s="2678"/>
      <c r="BL76" s="2678"/>
      <c r="BM76" s="2678"/>
      <c r="BN76" s="2678"/>
      <c r="BO76" s="2678"/>
      <c r="BP76" s="2678"/>
      <c r="BQ76" s="2678"/>
      <c r="BR76" s="2678"/>
      <c r="BS76" s="2678"/>
      <c r="BT76" s="2678"/>
      <c r="BU76" s="2678"/>
      <c r="BV76" s="2678"/>
      <c r="BW76" s="2678"/>
      <c r="BX76" s="2678"/>
      <c r="BY76" s="2678"/>
      <c r="BZ76" s="2678"/>
      <c r="CA76" s="2678"/>
      <c r="CB76" s="2684"/>
      <c r="CC76" s="3353"/>
      <c r="CD76" s="3353"/>
      <c r="CE76" s="3353"/>
      <c r="CF76" s="2678"/>
      <c r="CG76" s="2678"/>
      <c r="CH76" s="2678"/>
      <c r="CI76" s="2678"/>
      <c r="CJ76" s="2686">
        <f>SUM('ОХР '!CC17+'ОХР '!CC21)</f>
        <v>74.95</v>
      </c>
      <c r="CK76" s="2686">
        <f>SUM('ОХР '!CD21+'ОХР '!CD17)</f>
        <v>0.02</v>
      </c>
      <c r="CL76" s="2686"/>
      <c r="CM76" s="2686">
        <f>SUM('ОХР '!CJ17+'ОХР '!CJ21)</f>
        <v>97.626040000000003</v>
      </c>
      <c r="CN76" s="2686">
        <f>SUM('ОХР '!CK21+'ОХР '!CK17)</f>
        <v>2.7770000000000003E-2</v>
      </c>
      <c r="CO76" s="2686"/>
      <c r="CP76" s="2686">
        <f>SUM('ОХР '!CQ17+'ОХР '!CQ21)</f>
        <v>122.6</v>
      </c>
      <c r="CQ76" s="2686">
        <f>SUM('ОХР '!CR17+'ОХР '!CR21)</f>
        <v>3.4000000000000002E-2</v>
      </c>
      <c r="CR76" s="2686"/>
      <c r="CS76" s="2686">
        <f>SUM('ОХР '!CX17+'ОХР '!CX21)</f>
        <v>127.44364440747938</v>
      </c>
      <c r="CT76" s="2686">
        <f>SUM('ОХР '!CY17+'ОХР '!CY21)</f>
        <v>3.5499066783398731E-2</v>
      </c>
      <c r="CU76" s="2686"/>
      <c r="CV76" s="2686">
        <v>0</v>
      </c>
      <c r="CW76" s="2686">
        <v>0</v>
      </c>
      <c r="CX76" s="2678"/>
      <c r="CY76" s="2686">
        <f>SUM('ОХР '!DG17+'ОХР '!DG21)</f>
        <v>36.684180000000005</v>
      </c>
      <c r="CZ76" s="2602">
        <f>SUM('ОХР '!DH21+'ОХР '!DH17)</f>
        <v>9.7700000000000009E-3</v>
      </c>
      <c r="DA76" s="2686"/>
      <c r="DB76" s="2686">
        <f>SUM('ОХР '!DN17+'ОХР '!DN21)</f>
        <v>38.905899999999995</v>
      </c>
      <c r="DC76" s="2602">
        <f>SUM('ОХР '!DO21+'ОХР '!DO17)</f>
        <v>1.0879999999999999E-2</v>
      </c>
      <c r="DD76" s="2686"/>
      <c r="DE76" s="2686">
        <f>SUM('ОХР '!DU17+'ОХР '!DU21)</f>
        <v>63.392000000000003</v>
      </c>
      <c r="DF76" s="2686">
        <f>SUM('ОХР '!DV17+'ОХР '!DV21)</f>
        <v>1.4489999999999999E-2</v>
      </c>
      <c r="DG76" s="2686"/>
      <c r="DH76" s="2686">
        <f>SUM('ОХР '!EB17+'ОХР '!EB21)</f>
        <v>65.906125314529262</v>
      </c>
      <c r="DI76" s="2686">
        <f>SUM('ОХР '!EC17+'ОХР '!EC21)</f>
        <v>1.6113973425370194E-2</v>
      </c>
      <c r="DJ76" s="2686"/>
      <c r="DK76" s="2686">
        <v>0</v>
      </c>
      <c r="DL76" s="2686">
        <v>0</v>
      </c>
      <c r="DM76" s="2686"/>
      <c r="DN76" s="2686">
        <f>SUM('ОХР '!EL17+'ОХР '!EL21)</f>
        <v>71.787859999999995</v>
      </c>
      <c r="DO76" s="2686">
        <f>SUM('ОХР '!EM17+'ОХР '!EM21)</f>
        <v>1.5140000000000001E-2</v>
      </c>
      <c r="DP76" s="2686"/>
      <c r="DQ76" s="2686">
        <f>SUM('ОХР '!ES17+'ОХР '!ES21)</f>
        <v>94.474999999999994</v>
      </c>
      <c r="DR76" s="2686">
        <f>SUM('ОХР '!ET17+'ОХР '!ET21)</f>
        <v>2.1080000000000002E-2</v>
      </c>
      <c r="DS76" s="2686"/>
      <c r="DT76" s="2686">
        <f>SUM('ОХР '!EZ17+'ОХР '!EZ21)</f>
        <v>142</v>
      </c>
      <c r="DU76" s="2686">
        <f>SUM('ОХР '!FA17+'ОХР '!FA21)</f>
        <v>3.0769999999999999E-2</v>
      </c>
      <c r="DV76" s="3770"/>
      <c r="DW76" s="3770">
        <f>SUM('ОХР '!FG17+'ОХР '!FG21)</f>
        <v>160.74620100000001</v>
      </c>
      <c r="DX76" s="3770">
        <f>SUM('ОХР '!FH17+'ОХР '!FH21)</f>
        <v>3.4832116935000004E-2</v>
      </c>
      <c r="DY76" s="4026"/>
      <c r="DZ76" s="4026">
        <v>0</v>
      </c>
      <c r="EA76" s="4082">
        <v>0</v>
      </c>
      <c r="EB76" s="4086"/>
      <c r="EC76" s="3770">
        <f>SUM('ОХР '!FG17+'ОХР '!FG21)</f>
        <v>160.74620100000001</v>
      </c>
      <c r="ED76" s="4697">
        <f>SUM('ОХР '!FH17+'ОХР '!FH21)</f>
        <v>3.4832116935000004E-2</v>
      </c>
      <c r="EE76" s="4698"/>
      <c r="EF76" s="4698">
        <v>0</v>
      </c>
      <c r="EG76" s="4698">
        <v>0</v>
      </c>
      <c r="EH76" s="4699"/>
      <c r="EI76" s="4836">
        <f>SUM('ОХР '!FO17+'ОХР '!FO21)</f>
        <v>86.940400000000011</v>
      </c>
      <c r="EJ76" s="4691">
        <f>SUM('ОХР '!FP17+'ОХР '!FP21)</f>
        <v>2.0060000000000001E-2</v>
      </c>
      <c r="EK76" s="4699"/>
      <c r="EL76" s="4836">
        <f>SUM('ОХР '!FS17+'ОХР '!FS21)</f>
        <v>146.97752</v>
      </c>
      <c r="EM76" s="4691">
        <f>SUM('ОХР '!FT17+'ОХР '!FT21)</f>
        <v>2.538E-2</v>
      </c>
      <c r="EN76" s="523"/>
      <c r="EO76" s="523"/>
      <c r="EP76" s="523"/>
    </row>
    <row r="77" spans="1:146" s="2196" customFormat="1" ht="21" customHeight="1" x14ac:dyDescent="0.2">
      <c r="A77" s="2687" t="s">
        <v>3641</v>
      </c>
      <c r="B77" s="2672"/>
      <c r="C77" s="2673"/>
      <c r="D77" s="2674"/>
      <c r="E77" s="2673"/>
      <c r="F77" s="2673"/>
      <c r="G77" s="2673"/>
      <c r="H77" s="2674"/>
      <c r="I77" s="2675"/>
      <c r="J77" s="2675"/>
      <c r="K77" s="2675"/>
      <c r="L77" s="2675"/>
      <c r="M77" s="2675"/>
      <c r="N77" s="2676"/>
      <c r="O77" s="2675"/>
      <c r="P77" s="2676"/>
      <c r="Q77" s="2677"/>
      <c r="R77" s="2675"/>
      <c r="S77" s="2675"/>
      <c r="T77" s="2675"/>
      <c r="U77" s="2675"/>
      <c r="V77" s="2675"/>
      <c r="W77" s="2675"/>
      <c r="X77" s="2675"/>
      <c r="Y77" s="2678"/>
      <c r="Z77" s="2679"/>
      <c r="AA77" s="2678"/>
      <c r="AB77" s="2679"/>
      <c r="AC77" s="2678"/>
      <c r="AD77" s="2678"/>
      <c r="AE77" s="2678"/>
      <c r="AF77" s="2678"/>
      <c r="AG77" s="2678"/>
      <c r="AH77" s="2680"/>
      <c r="AI77" s="2681"/>
      <c r="AJ77" s="2678"/>
      <c r="AK77" s="2678"/>
      <c r="AL77" s="2680"/>
      <c r="AM77" s="2681"/>
      <c r="AN77" s="2678"/>
      <c r="AO77" s="2678"/>
      <c r="AP77" s="2682"/>
      <c r="AQ77" s="2682"/>
      <c r="AR77" s="2682"/>
      <c r="AS77" s="2682"/>
      <c r="AT77" s="2678"/>
      <c r="AU77" s="2678"/>
      <c r="AV77" s="2678"/>
      <c r="AW77" s="2678"/>
      <c r="AX77" s="2678"/>
      <c r="AY77" s="2678"/>
      <c r="AZ77" s="2680"/>
      <c r="BA77" s="2683"/>
      <c r="BB77" s="2678"/>
      <c r="BC77" s="2678"/>
      <c r="BD77" s="2678"/>
      <c r="BE77" s="2678"/>
      <c r="BF77" s="2678"/>
      <c r="BG77" s="2678"/>
      <c r="BH77" s="2678"/>
      <c r="BI77" s="2678"/>
      <c r="BJ77" s="2678"/>
      <c r="BK77" s="2678"/>
      <c r="BL77" s="2678"/>
      <c r="BM77" s="2678"/>
      <c r="BN77" s="2678"/>
      <c r="BO77" s="2678"/>
      <c r="BP77" s="2678"/>
      <c r="BQ77" s="2678"/>
      <c r="BR77" s="2678"/>
      <c r="BS77" s="2678"/>
      <c r="BT77" s="2678"/>
      <c r="BU77" s="2678"/>
      <c r="BV77" s="2678"/>
      <c r="BW77" s="2678"/>
      <c r="BX77" s="2678"/>
      <c r="BY77" s="2678"/>
      <c r="BZ77" s="2678"/>
      <c r="CA77" s="2678"/>
      <c r="CB77" s="2684"/>
      <c r="CC77" s="3353"/>
      <c r="CD77" s="3353"/>
      <c r="CE77" s="3353"/>
      <c r="CF77" s="2678"/>
      <c r="CG77" s="2678"/>
      <c r="CH77" s="2678"/>
      <c r="CI77" s="2678"/>
      <c r="CJ77" s="2678">
        <f>SUM(CJ78:CJ79)</f>
        <v>44.822929999999999</v>
      </c>
      <c r="CK77" s="2601">
        <f>SUM(CK78:CK79)</f>
        <v>1.4499999999999999E-3</v>
      </c>
      <c r="CL77" s="2678"/>
      <c r="CM77" s="2678">
        <f>SUM(CM78:CM79)</f>
        <v>67.210719999999995</v>
      </c>
      <c r="CN77" s="2601">
        <f>SUM(CN78:CN79)</f>
        <v>2.33E-3</v>
      </c>
      <c r="CO77" s="2678"/>
      <c r="CP77" s="2678">
        <f>SUM(CP78:CP79)</f>
        <v>89.506</v>
      </c>
      <c r="CQ77" s="2601">
        <f>SUM(CQ78:CQ79)</f>
        <v>3.0000000000000001E-3</v>
      </c>
      <c r="CR77" s="2678"/>
      <c r="CS77" s="2678">
        <f>SUM(CS78:CS79)</f>
        <v>138.11089028999999</v>
      </c>
      <c r="CT77" s="2601">
        <f>SUM(CT78:CT79)</f>
        <v>0</v>
      </c>
      <c r="CU77" s="2678"/>
      <c r="CV77" s="2678">
        <f>SUM(CV78:CV79)</f>
        <v>86.286980999999997</v>
      </c>
      <c r="CW77" s="2601">
        <f>SUM(CW78:CW79)</f>
        <v>0</v>
      </c>
      <c r="CX77" s="2678"/>
      <c r="CY77" s="2678">
        <f>SUM(CY78:CY79)</f>
        <v>65.468450000000004</v>
      </c>
      <c r="CZ77" s="2601">
        <f>SUM(CZ78:CZ79)</f>
        <v>3.13E-3</v>
      </c>
      <c r="DA77" s="2678"/>
      <c r="DB77" s="2678">
        <f>SUM(DB78:DB79)</f>
        <v>98.12679</v>
      </c>
      <c r="DC77" s="2601">
        <f>SUM(DC78:DC79)</f>
        <v>6.5300000000000002E-3</v>
      </c>
      <c r="DD77" s="2678"/>
      <c r="DE77" s="2678">
        <f>SUM(DE78:DE79)</f>
        <v>130.78100000000001</v>
      </c>
      <c r="DF77" s="2601">
        <f>SUM(DF78:DF79)</f>
        <v>6.77E-3</v>
      </c>
      <c r="DG77" s="2678"/>
      <c r="DH77" s="2678">
        <f>SUM(DH78:DH79)</f>
        <v>137.32005000000001</v>
      </c>
      <c r="DI77" s="2601">
        <f>SUM(DI78:DI79)</f>
        <v>0</v>
      </c>
      <c r="DJ77" s="2678"/>
      <c r="DK77" s="2678">
        <f>SUM(DK78:DK79)</f>
        <v>115.26003174</v>
      </c>
      <c r="DL77" s="2601">
        <f>SUM(DL78:DL79)</f>
        <v>0</v>
      </c>
      <c r="DM77" s="2678"/>
      <c r="DN77" s="2678">
        <f>SUM(DN78:DN79)</f>
        <v>72.257239999999996</v>
      </c>
      <c r="DO77" s="2601">
        <f>SUM(DO78:DO79)</f>
        <v>7.45E-3</v>
      </c>
      <c r="DP77" s="2678"/>
      <c r="DQ77" s="2678">
        <f>SUM(DQ78:DQ79)</f>
        <v>108.70672</v>
      </c>
      <c r="DR77" s="2601">
        <f>SUM(DR78:DR79)</f>
        <v>0</v>
      </c>
      <c r="DS77" s="2678"/>
      <c r="DT77" s="2678">
        <f>SUM(DT78:DT79)</f>
        <v>145.34207000000001</v>
      </c>
      <c r="DU77" s="2601">
        <f>SUM(DU78:DU79)</f>
        <v>0</v>
      </c>
      <c r="DV77" s="3769"/>
      <c r="DW77" s="3769">
        <f>SUM(DW78:DW79)</f>
        <v>111.3917805</v>
      </c>
      <c r="DX77" s="2374">
        <f>SUM(DX78:DX79)</f>
        <v>0</v>
      </c>
      <c r="DY77" s="4025"/>
      <c r="DZ77" s="4025">
        <f>SUM(DZ78:DZ79)</f>
        <v>0</v>
      </c>
      <c r="EA77" s="4083">
        <f>SUM(EA78:EA79)</f>
        <v>0</v>
      </c>
      <c r="EB77" s="4085"/>
      <c r="EC77" s="3769">
        <f>SUM(EC78:EC79)</f>
        <v>111.3917805</v>
      </c>
      <c r="ED77" s="4594">
        <f>SUM(ED78:ED79)</f>
        <v>0</v>
      </c>
      <c r="EE77" s="4695"/>
      <c r="EF77" s="4695">
        <f>SUM(EF78:EF79)</f>
        <v>0</v>
      </c>
      <c r="EG77" s="4700">
        <f>SUM(EG78:EG79)</f>
        <v>0</v>
      </c>
      <c r="EH77" s="4696"/>
      <c r="EI77" s="4835">
        <f>SUM(EI78:EI79)</f>
        <v>74.80386</v>
      </c>
      <c r="EJ77" s="4692">
        <f>SUM(EJ78:EJ79)</f>
        <v>0</v>
      </c>
      <c r="EK77" s="4696"/>
      <c r="EL77" s="4835">
        <f>SUM(EL78:EL79)</f>
        <v>143.67680000000001</v>
      </c>
      <c r="EM77" s="4692">
        <f>SUM(EM78:EM79)</f>
        <v>0</v>
      </c>
      <c r="EN77" s="523"/>
      <c r="EO77" s="523"/>
      <c r="EP77" s="523"/>
    </row>
    <row r="78" spans="1:146" s="2196" customFormat="1" ht="21" customHeight="1" x14ac:dyDescent="0.2">
      <c r="A78" s="2685" t="s">
        <v>3633</v>
      </c>
      <c r="B78" s="2672"/>
      <c r="C78" s="2673"/>
      <c r="D78" s="2674"/>
      <c r="E78" s="2673"/>
      <c r="F78" s="2673"/>
      <c r="G78" s="2673"/>
      <c r="H78" s="2674"/>
      <c r="I78" s="2675"/>
      <c r="J78" s="2675"/>
      <c r="K78" s="2675"/>
      <c r="L78" s="2675"/>
      <c r="M78" s="2675"/>
      <c r="N78" s="2676"/>
      <c r="O78" s="2675"/>
      <c r="P78" s="2676"/>
      <c r="Q78" s="2677"/>
      <c r="R78" s="2675"/>
      <c r="S78" s="2675"/>
      <c r="T78" s="2675"/>
      <c r="U78" s="2675"/>
      <c r="V78" s="2675"/>
      <c r="W78" s="2675"/>
      <c r="X78" s="2675"/>
      <c r="Y78" s="2678"/>
      <c r="Z78" s="2679"/>
      <c r="AA78" s="2678"/>
      <c r="AB78" s="2679"/>
      <c r="AC78" s="2678"/>
      <c r="AD78" s="2678"/>
      <c r="AE78" s="2678"/>
      <c r="AF78" s="2678"/>
      <c r="AG78" s="2678"/>
      <c r="AH78" s="2680"/>
      <c r="AI78" s="2681"/>
      <c r="AJ78" s="2678"/>
      <c r="AK78" s="2678"/>
      <c r="AL78" s="2680"/>
      <c r="AM78" s="2681"/>
      <c r="AN78" s="2678"/>
      <c r="AO78" s="2678"/>
      <c r="AP78" s="2682"/>
      <c r="AQ78" s="2682"/>
      <c r="AR78" s="2682"/>
      <c r="AS78" s="2682"/>
      <c r="AT78" s="2678"/>
      <c r="AU78" s="2678"/>
      <c r="AV78" s="2678"/>
      <c r="AW78" s="2678"/>
      <c r="AX78" s="2678"/>
      <c r="AY78" s="2678"/>
      <c r="AZ78" s="2680"/>
      <c r="BA78" s="2683"/>
      <c r="BB78" s="2678"/>
      <c r="BC78" s="2678"/>
      <c r="BD78" s="2678"/>
      <c r="BE78" s="2678"/>
      <c r="BF78" s="2678"/>
      <c r="BG78" s="2678"/>
      <c r="BH78" s="2678"/>
      <c r="BI78" s="2678"/>
      <c r="BJ78" s="2678"/>
      <c r="BK78" s="2678"/>
      <c r="BL78" s="2678"/>
      <c r="BM78" s="2678"/>
      <c r="BN78" s="2678"/>
      <c r="BO78" s="2678"/>
      <c r="BP78" s="2678"/>
      <c r="BQ78" s="2678"/>
      <c r="BR78" s="2678"/>
      <c r="BS78" s="2678"/>
      <c r="BT78" s="2678"/>
      <c r="BU78" s="2678"/>
      <c r="BV78" s="2678"/>
      <c r="BW78" s="2678"/>
      <c r="BX78" s="2678"/>
      <c r="BY78" s="2678"/>
      <c r="BZ78" s="2678"/>
      <c r="CA78" s="2678"/>
      <c r="CB78" s="2684"/>
      <c r="CC78" s="3353"/>
      <c r="CD78" s="3353"/>
      <c r="CE78" s="3353"/>
      <c r="CF78" s="2678"/>
      <c r="CG78" s="2678"/>
      <c r="CH78" s="2678"/>
      <c r="CI78" s="2678"/>
      <c r="CJ78" s="2686">
        <f>SUM('Аренда земли'!U10)</f>
        <v>40.353000000000002</v>
      </c>
      <c r="CK78" s="2686">
        <v>0</v>
      </c>
      <c r="CL78" s="2686"/>
      <c r="CM78" s="2686">
        <f>SUM('Аренда земли'!V10)</f>
        <v>60.529499999999999</v>
      </c>
      <c r="CN78" s="2686">
        <v>0</v>
      </c>
      <c r="CO78" s="2686"/>
      <c r="CP78" s="2686">
        <f>SUM('Аренда земли'!W10)</f>
        <v>80.706000000000003</v>
      </c>
      <c r="CQ78" s="2686">
        <v>0</v>
      </c>
      <c r="CR78" s="2686"/>
      <c r="CS78" s="2686">
        <f>SUM('Аренда земли'!Y7)</f>
        <v>138.11089028999999</v>
      </c>
      <c r="CT78" s="2686">
        <f>SUM('Аренда земли'!Y12)</f>
        <v>0</v>
      </c>
      <c r="CU78" s="2686"/>
      <c r="CV78" s="2686">
        <f>SUM('Аренда земли'!Z9)</f>
        <v>86.286980999999997</v>
      </c>
      <c r="CW78" s="2686">
        <f>SUM('Аренда земли'!Z12)</f>
        <v>0</v>
      </c>
      <c r="CX78" s="2678"/>
      <c r="CY78" s="2686">
        <f>SUM('Аренда земли'!AA10)</f>
        <v>52.128</v>
      </c>
      <c r="CZ78" s="2686">
        <v>0</v>
      </c>
      <c r="DA78" s="2686"/>
      <c r="DB78" s="2686">
        <f>SUM('Аренда земли'!AB10)</f>
        <v>78.191999999999993</v>
      </c>
      <c r="DC78" s="2686">
        <v>0</v>
      </c>
      <c r="DD78" s="2686"/>
      <c r="DE78" s="2686">
        <f>SUM('Аренда земли'!AC10)</f>
        <v>104.253</v>
      </c>
      <c r="DF78" s="2686">
        <v>0</v>
      </c>
      <c r="DG78" s="2686"/>
      <c r="DH78" s="2686">
        <f>SUM('Аренда земли'!AD7)</f>
        <v>137.32005000000001</v>
      </c>
      <c r="DI78" s="2686">
        <f>SUM('Аренда земли'!AD12)</f>
        <v>0</v>
      </c>
      <c r="DJ78" s="2686"/>
      <c r="DK78" s="2686">
        <f>SUM('Аренда земли'!AE9)</f>
        <v>115.26003174</v>
      </c>
      <c r="DL78" s="2686">
        <v>0</v>
      </c>
      <c r="DM78" s="2686"/>
      <c r="DN78" s="2686">
        <f>SUM('Аренда земли'!AF10)</f>
        <v>58.255000000000003</v>
      </c>
      <c r="DO78" s="2686">
        <f>SUM('Аренда земли'!AF12)</f>
        <v>2.5699999999999998E-3</v>
      </c>
      <c r="DP78" s="2686"/>
      <c r="DQ78" s="2686">
        <f>SUM('Аренда земли'!AG10)</f>
        <v>87.873000000000005</v>
      </c>
      <c r="DR78" s="2686">
        <v>0</v>
      </c>
      <c r="DS78" s="2686"/>
      <c r="DT78" s="2686">
        <f>SUM('Аренда земли'!AH10)</f>
        <v>117.479</v>
      </c>
      <c r="DU78" s="2686">
        <v>0</v>
      </c>
      <c r="DV78" s="3770"/>
      <c r="DW78" s="3770">
        <f>SUM('Аренда земли'!AI7)</f>
        <v>111.3917805</v>
      </c>
      <c r="DX78" s="3770">
        <f>SUM('Аренда земли'!AI12)</f>
        <v>0</v>
      </c>
      <c r="DY78" s="4026"/>
      <c r="DZ78" s="4026">
        <f>SUM('Аренда земли'!AT9)</f>
        <v>0</v>
      </c>
      <c r="EA78" s="4082">
        <v>0</v>
      </c>
      <c r="EB78" s="4086"/>
      <c r="EC78" s="3770">
        <f>SUM('Аренда земли'!AI7)</f>
        <v>111.3917805</v>
      </c>
      <c r="ED78" s="4697">
        <f>SUM('Аренда земли'!AI12)</f>
        <v>0</v>
      </c>
      <c r="EE78" s="4698"/>
      <c r="EF78" s="4698">
        <f>SUM('Аренда земли'!AZ9)</f>
        <v>0</v>
      </c>
      <c r="EG78" s="4698">
        <v>0</v>
      </c>
      <c r="EH78" s="4699"/>
      <c r="EI78" s="4836">
        <f>SUM('Аренда земли'!AK10)</f>
        <v>60.774999999999999</v>
      </c>
      <c r="EJ78" s="4691">
        <v>0</v>
      </c>
      <c r="EK78" s="4699"/>
      <c r="EL78" s="4836">
        <f>SUM('Аренда земли'!AL10)</f>
        <v>122.55800000000001</v>
      </c>
      <c r="EM78" s="4691">
        <v>0</v>
      </c>
      <c r="EN78" s="523"/>
      <c r="EO78" s="523"/>
      <c r="EP78" s="523"/>
    </row>
    <row r="79" spans="1:146" s="2196" customFormat="1" ht="21" customHeight="1" x14ac:dyDescent="0.2">
      <c r="A79" s="2685" t="s">
        <v>3634</v>
      </c>
      <c r="B79" s="2672"/>
      <c r="C79" s="2673"/>
      <c r="D79" s="2674"/>
      <c r="E79" s="2673"/>
      <c r="F79" s="2673"/>
      <c r="G79" s="2673"/>
      <c r="H79" s="2674"/>
      <c r="I79" s="2675"/>
      <c r="J79" s="2675"/>
      <c r="K79" s="2675"/>
      <c r="L79" s="2675"/>
      <c r="M79" s="2675"/>
      <c r="N79" s="2676"/>
      <c r="O79" s="2675"/>
      <c r="P79" s="2676"/>
      <c r="Q79" s="2677"/>
      <c r="R79" s="2675"/>
      <c r="S79" s="2675"/>
      <c r="T79" s="2675"/>
      <c r="U79" s="2675"/>
      <c r="V79" s="2675"/>
      <c r="W79" s="2675"/>
      <c r="X79" s="2675"/>
      <c r="Y79" s="2678"/>
      <c r="Z79" s="2679"/>
      <c r="AA79" s="2678"/>
      <c r="AB79" s="2679"/>
      <c r="AC79" s="2678"/>
      <c r="AD79" s="2678"/>
      <c r="AE79" s="2678"/>
      <c r="AF79" s="2678"/>
      <c r="AG79" s="2678"/>
      <c r="AH79" s="2680"/>
      <c r="AI79" s="2681"/>
      <c r="AJ79" s="2678"/>
      <c r="AK79" s="2678"/>
      <c r="AL79" s="2680"/>
      <c r="AM79" s="2681"/>
      <c r="AN79" s="2678"/>
      <c r="AO79" s="2678"/>
      <c r="AP79" s="2682"/>
      <c r="AQ79" s="2682"/>
      <c r="AR79" s="2682"/>
      <c r="AS79" s="2682"/>
      <c r="AT79" s="2678"/>
      <c r="AU79" s="2678"/>
      <c r="AV79" s="2678"/>
      <c r="AW79" s="2678"/>
      <c r="AX79" s="2678"/>
      <c r="AY79" s="2678"/>
      <c r="AZ79" s="2680"/>
      <c r="BA79" s="2683"/>
      <c r="BB79" s="2678"/>
      <c r="BC79" s="2678"/>
      <c r="BD79" s="2678"/>
      <c r="BE79" s="2678"/>
      <c r="BF79" s="2678"/>
      <c r="BG79" s="2678"/>
      <c r="BH79" s="2678"/>
      <c r="BI79" s="2678"/>
      <c r="BJ79" s="2678"/>
      <c r="BK79" s="2678"/>
      <c r="BL79" s="2678"/>
      <c r="BM79" s="2678"/>
      <c r="BN79" s="2678"/>
      <c r="BO79" s="2678"/>
      <c r="BP79" s="2678"/>
      <c r="BQ79" s="2678"/>
      <c r="BR79" s="2678"/>
      <c r="BS79" s="2678"/>
      <c r="BT79" s="2678"/>
      <c r="BU79" s="2678"/>
      <c r="BV79" s="2678"/>
      <c r="BW79" s="2678"/>
      <c r="BX79" s="2678"/>
      <c r="BY79" s="2678"/>
      <c r="BZ79" s="2678"/>
      <c r="CA79" s="2678"/>
      <c r="CB79" s="2684"/>
      <c r="CC79" s="3353"/>
      <c r="CD79" s="3353"/>
      <c r="CE79" s="3353"/>
      <c r="CF79" s="2678"/>
      <c r="CG79" s="2678"/>
      <c r="CH79" s="2678"/>
      <c r="CI79" s="2678"/>
      <c r="CJ79" s="2686">
        <f>SUM('Аренда земли'!U11)</f>
        <v>4.4699299999999997</v>
      </c>
      <c r="CK79" s="2602">
        <f>SUM('Аренда земли'!U12)</f>
        <v>1.4499999999999999E-3</v>
      </c>
      <c r="CL79" s="2686"/>
      <c r="CM79" s="2686">
        <f>SUM('Аренда земли'!V11)</f>
        <v>6.6812199999999997</v>
      </c>
      <c r="CN79" s="2602">
        <f>SUM('Аренда земли'!V12)</f>
        <v>2.33E-3</v>
      </c>
      <c r="CO79" s="2686"/>
      <c r="CP79" s="2686">
        <f>SUM('Аренда земли'!W11)</f>
        <v>8.8000000000000007</v>
      </c>
      <c r="CQ79" s="2602">
        <f>SUM('Аренда земли'!W12)</f>
        <v>3.0000000000000001E-3</v>
      </c>
      <c r="CR79" s="2686"/>
      <c r="CS79" s="2686">
        <v>0</v>
      </c>
      <c r="CT79" s="2602">
        <v>0</v>
      </c>
      <c r="CU79" s="2686"/>
      <c r="CV79" s="2686">
        <v>0</v>
      </c>
      <c r="CW79" s="2602">
        <v>0</v>
      </c>
      <c r="CX79" s="2678"/>
      <c r="CY79" s="2686">
        <f>SUM('Аренда земли'!AA11)</f>
        <v>13.340450000000001</v>
      </c>
      <c r="CZ79" s="2602">
        <f>SUM('Аренда земли'!AA12)</f>
        <v>3.13E-3</v>
      </c>
      <c r="DA79" s="2686"/>
      <c r="DB79" s="2686">
        <f>SUM('Аренда земли'!AB11)</f>
        <v>19.93479</v>
      </c>
      <c r="DC79" s="2602">
        <f>SUM('Аренда земли'!AB12)</f>
        <v>6.5300000000000002E-3</v>
      </c>
      <c r="DD79" s="2686"/>
      <c r="DE79" s="2686">
        <f>SUM('Аренда земли'!AC11)</f>
        <v>26.527999999999999</v>
      </c>
      <c r="DF79" s="2602">
        <f>SUM('Аренда земли'!AC12)</f>
        <v>6.77E-3</v>
      </c>
      <c r="DG79" s="2686"/>
      <c r="DH79" s="2686">
        <v>0</v>
      </c>
      <c r="DI79" s="2602">
        <v>0</v>
      </c>
      <c r="DJ79" s="2686"/>
      <c r="DK79" s="2686">
        <v>0</v>
      </c>
      <c r="DL79" s="2602">
        <v>0</v>
      </c>
      <c r="DM79" s="2686"/>
      <c r="DN79" s="2686">
        <f>SUM('Аренда земли'!AF11)</f>
        <v>14.00224</v>
      </c>
      <c r="DO79" s="2602">
        <f>SUM('Аренда земли'!AL12)</f>
        <v>4.8799999999999998E-3</v>
      </c>
      <c r="DP79" s="2686"/>
      <c r="DQ79" s="2686">
        <f>SUM('Аренда земли'!AG11)</f>
        <v>20.83372</v>
      </c>
      <c r="DR79" s="2602">
        <f>SUM('Аренда земли'!AO12)</f>
        <v>0</v>
      </c>
      <c r="DS79" s="2686"/>
      <c r="DT79" s="2686">
        <f>SUM('Аренда земли'!AH11)</f>
        <v>27.86307</v>
      </c>
      <c r="DU79" s="2602">
        <f>SUM('Аренда земли'!AR12)</f>
        <v>0</v>
      </c>
      <c r="DV79" s="3770"/>
      <c r="DW79" s="3770">
        <v>0</v>
      </c>
      <c r="DX79" s="2380">
        <v>0</v>
      </c>
      <c r="DY79" s="4026"/>
      <c r="DZ79" s="4026">
        <v>0</v>
      </c>
      <c r="EA79" s="4084">
        <v>0</v>
      </c>
      <c r="EB79" s="3770"/>
      <c r="EC79" s="3770">
        <v>0</v>
      </c>
      <c r="ED79" s="4631">
        <v>0</v>
      </c>
      <c r="EE79" s="4698"/>
      <c r="EF79" s="4698">
        <v>0</v>
      </c>
      <c r="EG79" s="4701">
        <v>0</v>
      </c>
      <c r="EH79" s="4699"/>
      <c r="EI79" s="4836">
        <f>SUM('Аренда земли'!AK11)</f>
        <v>14.02886</v>
      </c>
      <c r="EJ79" s="4693">
        <f>SUM('Аренда земли'!BD12)</f>
        <v>0</v>
      </c>
      <c r="EK79" s="4699"/>
      <c r="EL79" s="4836">
        <f>SUM('Аренда земли'!AL11)</f>
        <v>21.1188</v>
      </c>
      <c r="EM79" s="4693">
        <f>SUM('Аренда земли'!BG12)</f>
        <v>0</v>
      </c>
      <c r="EN79" s="523"/>
      <c r="EO79" s="523"/>
      <c r="EP79" s="523"/>
    </row>
    <row r="80" spans="1:146" s="2196" customFormat="1" ht="21" customHeight="1" x14ac:dyDescent="0.2">
      <c r="A80" s="3356"/>
      <c r="B80" s="3109"/>
      <c r="C80" s="3357"/>
      <c r="D80" s="3358"/>
      <c r="E80" s="3357"/>
      <c r="F80" s="3357"/>
      <c r="G80" s="3357"/>
      <c r="H80" s="3358"/>
      <c r="I80" s="3359"/>
      <c r="J80" s="3359"/>
      <c r="K80" s="3359"/>
      <c r="L80" s="3359"/>
      <c r="M80" s="3359"/>
      <c r="N80" s="3360"/>
      <c r="O80" s="3359"/>
      <c r="P80" s="3360"/>
      <c r="Q80" s="3361"/>
      <c r="R80" s="3359"/>
      <c r="S80" s="3359"/>
      <c r="T80" s="3359"/>
      <c r="U80" s="3359"/>
      <c r="V80" s="3359"/>
      <c r="W80" s="3359"/>
      <c r="X80" s="3359"/>
      <c r="Y80" s="3362"/>
      <c r="Z80" s="3363"/>
      <c r="AA80" s="3362"/>
      <c r="AB80" s="3363"/>
      <c r="AC80" s="3362"/>
      <c r="AD80" s="3362"/>
      <c r="AE80" s="3362"/>
      <c r="AF80" s="3362"/>
      <c r="AG80" s="3362"/>
      <c r="AH80" s="3364"/>
      <c r="AI80" s="3365"/>
      <c r="AJ80" s="3362"/>
      <c r="AK80" s="3362"/>
      <c r="AL80" s="3364"/>
      <c r="AM80" s="3365"/>
      <c r="AN80" s="3362"/>
      <c r="AO80" s="3362"/>
      <c r="AP80" s="3274"/>
      <c r="AQ80" s="3274"/>
      <c r="AR80" s="3274"/>
      <c r="AS80" s="3274"/>
      <c r="AT80" s="3362"/>
      <c r="AU80" s="3362"/>
      <c r="AV80" s="3362"/>
      <c r="AW80" s="3362"/>
      <c r="AX80" s="3362"/>
      <c r="AY80" s="3362"/>
      <c r="AZ80" s="3364"/>
      <c r="BA80" s="3366"/>
      <c r="BB80" s="3362"/>
      <c r="BC80" s="3362"/>
      <c r="BD80" s="3362"/>
      <c r="BE80" s="3362"/>
      <c r="BF80" s="3362"/>
      <c r="BG80" s="3362"/>
      <c r="BH80" s="3362"/>
      <c r="BI80" s="3362"/>
      <c r="BJ80" s="3362"/>
      <c r="BK80" s="3362"/>
      <c r="BL80" s="3362"/>
      <c r="BM80" s="3362"/>
      <c r="BN80" s="3362"/>
      <c r="BO80" s="3362"/>
      <c r="BP80" s="3362"/>
      <c r="BQ80" s="3362"/>
      <c r="BR80" s="3362"/>
      <c r="BS80" s="3362"/>
      <c r="BT80" s="3362"/>
      <c r="BU80" s="3362"/>
      <c r="BV80" s="3362"/>
      <c r="BW80" s="3362"/>
      <c r="BX80" s="3362"/>
      <c r="BY80" s="3362"/>
      <c r="BZ80" s="3362"/>
      <c r="CA80" s="3362"/>
      <c r="CB80" s="3367"/>
      <c r="CC80" s="523"/>
      <c r="CD80" s="523"/>
      <c r="CE80" s="523"/>
      <c r="CF80" s="523"/>
      <c r="CG80" s="523"/>
      <c r="CH80" s="523"/>
      <c r="CI80" s="523"/>
      <c r="CJ80" s="523"/>
      <c r="CK80" s="523"/>
      <c r="CL80" s="523"/>
      <c r="CM80" s="523"/>
      <c r="CN80" s="523"/>
      <c r="CO80" s="523"/>
      <c r="CP80" s="523"/>
      <c r="CQ80" s="523"/>
      <c r="CR80" s="523"/>
      <c r="CS80" s="523"/>
      <c r="CT80" s="523"/>
      <c r="CU80" s="523"/>
      <c r="CV80" s="523"/>
      <c r="CW80" s="523"/>
      <c r="CX80" s="523"/>
      <c r="CY80" s="523"/>
      <c r="CZ80" s="523"/>
      <c r="DA80" s="523"/>
      <c r="DB80" s="523"/>
      <c r="DC80" s="523"/>
      <c r="DD80" s="523"/>
      <c r="DE80" s="523"/>
      <c r="DF80" s="523"/>
      <c r="DG80" s="523"/>
      <c r="DH80" s="523"/>
      <c r="DI80" s="523"/>
      <c r="DJ80" s="523"/>
      <c r="DK80" s="523"/>
      <c r="DL80" s="523"/>
      <c r="DM80" s="523"/>
      <c r="DN80" s="523"/>
      <c r="DO80" s="523"/>
      <c r="DP80" s="523"/>
      <c r="DQ80" s="523"/>
      <c r="DR80" s="523"/>
      <c r="DS80" s="523"/>
      <c r="DT80" s="523"/>
      <c r="DU80" s="523"/>
      <c r="DV80" s="523"/>
      <c r="DW80" s="523"/>
      <c r="DX80" s="523"/>
      <c r="DY80" s="523"/>
      <c r="DZ80" s="523"/>
      <c r="EA80" s="523"/>
      <c r="EB80" s="523"/>
      <c r="EC80" s="523"/>
      <c r="ED80" s="523"/>
      <c r="EE80" s="523"/>
      <c r="EF80" s="523"/>
      <c r="EG80" s="523"/>
      <c r="EH80" s="523"/>
      <c r="EI80" s="523"/>
      <c r="EJ80" s="523"/>
      <c r="EK80" s="523"/>
      <c r="EL80" s="523"/>
      <c r="EM80" s="523"/>
      <c r="EN80" s="523"/>
      <c r="EO80" s="523"/>
      <c r="EP80" s="523"/>
    </row>
    <row r="81" spans="1:146" s="2196" customFormat="1" ht="21" customHeight="1" x14ac:dyDescent="0.2">
      <c r="A81" s="3356"/>
      <c r="B81" s="3109"/>
      <c r="C81" s="3357"/>
      <c r="D81" s="3358"/>
      <c r="E81" s="3357"/>
      <c r="F81" s="3357"/>
      <c r="G81" s="3357"/>
      <c r="H81" s="3358"/>
      <c r="I81" s="3359"/>
      <c r="J81" s="3359"/>
      <c r="K81" s="3359"/>
      <c r="L81" s="3359"/>
      <c r="M81" s="3359"/>
      <c r="N81" s="3360"/>
      <c r="O81" s="3359"/>
      <c r="P81" s="3360"/>
      <c r="Q81" s="3361"/>
      <c r="R81" s="3359"/>
      <c r="S81" s="3359"/>
      <c r="T81" s="3359"/>
      <c r="U81" s="3359"/>
      <c r="V81" s="3359"/>
      <c r="W81" s="3359"/>
      <c r="X81" s="3359"/>
      <c r="Y81" s="3362"/>
      <c r="Z81" s="3363"/>
      <c r="AA81" s="3362"/>
      <c r="AB81" s="3363"/>
      <c r="AC81" s="3362"/>
      <c r="AD81" s="3362"/>
      <c r="AE81" s="3362"/>
      <c r="AF81" s="3362"/>
      <c r="AG81" s="3362"/>
      <c r="AH81" s="3364"/>
      <c r="AI81" s="3365"/>
      <c r="AJ81" s="3362"/>
      <c r="AK81" s="3362"/>
      <c r="AL81" s="3364"/>
      <c r="AM81" s="3365"/>
      <c r="AN81" s="3362"/>
      <c r="AO81" s="3362"/>
      <c r="AP81" s="3274"/>
      <c r="AQ81" s="3274"/>
      <c r="AR81" s="3274"/>
      <c r="AS81" s="3274"/>
      <c r="AT81" s="3362"/>
      <c r="AU81" s="3362"/>
      <c r="AV81" s="3362"/>
      <c r="AW81" s="3362"/>
      <c r="AX81" s="3362"/>
      <c r="AY81" s="3362"/>
      <c r="AZ81" s="3364"/>
      <c r="BA81" s="3366"/>
      <c r="BB81" s="3362"/>
      <c r="BC81" s="3362"/>
      <c r="BD81" s="3362"/>
      <c r="BE81" s="3362"/>
      <c r="BF81" s="3362"/>
      <c r="BG81" s="3362"/>
      <c r="BH81" s="3362"/>
      <c r="BI81" s="3362"/>
      <c r="BJ81" s="3362"/>
      <c r="BK81" s="3362"/>
      <c r="BL81" s="3362"/>
      <c r="BM81" s="3362"/>
      <c r="BN81" s="3362"/>
      <c r="BO81" s="3362"/>
      <c r="BP81" s="3362"/>
      <c r="BQ81" s="3362"/>
      <c r="BR81" s="3362"/>
      <c r="BS81" s="3362"/>
      <c r="BT81" s="3362"/>
      <c r="BU81" s="3362"/>
      <c r="BV81" s="3362"/>
      <c r="BW81" s="3362"/>
      <c r="BX81" s="3362"/>
      <c r="BY81" s="3362"/>
      <c r="BZ81" s="3362"/>
      <c r="CA81" s="3362"/>
      <c r="CB81" s="3368"/>
      <c r="CC81" s="523"/>
      <c r="CD81" s="523"/>
      <c r="CE81" s="523"/>
      <c r="CF81" s="523"/>
      <c r="CG81" s="523"/>
      <c r="CH81" s="523"/>
      <c r="CI81" s="523"/>
      <c r="CJ81" s="523"/>
      <c r="CK81" s="523"/>
      <c r="CL81" s="523"/>
      <c r="CM81" s="523"/>
      <c r="CN81" s="523"/>
      <c r="CO81" s="523"/>
      <c r="CP81" s="523"/>
      <c r="CQ81" s="523"/>
      <c r="CR81" s="523"/>
      <c r="CS81" s="523"/>
      <c r="CT81" s="523"/>
      <c r="CU81" s="523"/>
      <c r="CV81" s="523"/>
      <c r="CW81" s="523"/>
      <c r="CX81" s="523"/>
      <c r="CY81" s="523"/>
      <c r="CZ81" s="523"/>
      <c r="DA81" s="523"/>
      <c r="DB81" s="523"/>
      <c r="DC81" s="523"/>
      <c r="DD81" s="523"/>
      <c r="DE81" s="523"/>
      <c r="DF81" s="523"/>
      <c r="DG81" s="523"/>
      <c r="DH81" s="523"/>
      <c r="DI81" s="523"/>
      <c r="DJ81" s="523"/>
      <c r="DK81" s="523"/>
      <c r="DL81" s="523"/>
      <c r="DM81" s="523"/>
      <c r="DN81" s="523"/>
      <c r="DO81" s="523"/>
      <c r="DP81" s="523"/>
      <c r="DQ81" s="523"/>
      <c r="DR81" s="523"/>
      <c r="DS81" s="523"/>
      <c r="DT81" s="2893"/>
      <c r="DU81" s="523"/>
      <c r="DV81" s="523"/>
      <c r="DW81" s="523"/>
      <c r="DX81" s="523"/>
      <c r="DY81" s="523"/>
      <c r="DZ81" s="523"/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23"/>
      <c r="EN81" s="523"/>
      <c r="EO81" s="523"/>
      <c r="EP81" s="523"/>
    </row>
    <row r="82" spans="1:146" s="2196" customFormat="1" ht="21" customHeight="1" x14ac:dyDescent="0.2">
      <c r="A82" s="3356"/>
      <c r="B82" s="3109"/>
      <c r="C82" s="3357"/>
      <c r="D82" s="3358"/>
      <c r="E82" s="3357"/>
      <c r="F82" s="3357"/>
      <c r="G82" s="3357"/>
      <c r="H82" s="3358"/>
      <c r="I82" s="3359"/>
      <c r="J82" s="3359"/>
      <c r="K82" s="3359"/>
      <c r="L82" s="3359"/>
      <c r="M82" s="3359"/>
      <c r="N82" s="3360"/>
      <c r="O82" s="3359"/>
      <c r="P82" s="3360"/>
      <c r="Q82" s="3361"/>
      <c r="R82" s="3359"/>
      <c r="S82" s="3359"/>
      <c r="T82" s="3359"/>
      <c r="U82" s="3359"/>
      <c r="V82" s="3359"/>
      <c r="W82" s="3359"/>
      <c r="X82" s="3359"/>
      <c r="Y82" s="3362"/>
      <c r="Z82" s="3363"/>
      <c r="AA82" s="3362"/>
      <c r="AB82" s="3363"/>
      <c r="AC82" s="3362"/>
      <c r="AD82" s="3362"/>
      <c r="AE82" s="3362"/>
      <c r="AF82" s="3362"/>
      <c r="AG82" s="3362"/>
      <c r="AH82" s="3364"/>
      <c r="AI82" s="3365"/>
      <c r="AJ82" s="3362"/>
      <c r="AK82" s="3362"/>
      <c r="AL82" s="3364"/>
      <c r="AM82" s="3365"/>
      <c r="AN82" s="3362"/>
      <c r="AO82" s="3362"/>
      <c r="AP82" s="3274"/>
      <c r="AQ82" s="3274"/>
      <c r="AR82" s="3274"/>
      <c r="AS82" s="3274"/>
      <c r="AT82" s="3362"/>
      <c r="AU82" s="3362"/>
      <c r="AV82" s="3362"/>
      <c r="AW82" s="3362"/>
      <c r="AX82" s="3362"/>
      <c r="AY82" s="3362"/>
      <c r="AZ82" s="3364"/>
      <c r="BA82" s="3366"/>
      <c r="BB82" s="3362"/>
      <c r="BC82" s="3362"/>
      <c r="BD82" s="3362"/>
      <c r="BE82" s="3362"/>
      <c r="BF82" s="3362"/>
      <c r="BG82" s="3362"/>
      <c r="BH82" s="3362"/>
      <c r="BI82" s="3362"/>
      <c r="BJ82" s="3362"/>
      <c r="BK82" s="3362"/>
      <c r="BL82" s="3362"/>
      <c r="BM82" s="3362"/>
      <c r="BN82" s="3362"/>
      <c r="BO82" s="3362"/>
      <c r="BP82" s="3362"/>
      <c r="BQ82" s="3362"/>
      <c r="BR82" s="3362"/>
      <c r="BS82" s="3362"/>
      <c r="BT82" s="3362"/>
      <c r="BU82" s="3362"/>
      <c r="BV82" s="3362"/>
      <c r="BW82" s="3362"/>
      <c r="BX82" s="3362"/>
      <c r="BY82" s="3362"/>
      <c r="BZ82" s="3362"/>
      <c r="CA82" s="3362"/>
      <c r="CB82" s="3368"/>
      <c r="CC82" s="523"/>
      <c r="CD82" s="523"/>
      <c r="CE82" s="523"/>
      <c r="CF82" s="523"/>
      <c r="CG82" s="523"/>
      <c r="CH82" s="523"/>
      <c r="CI82" s="523"/>
      <c r="CJ82" s="523"/>
      <c r="CK82" s="523"/>
      <c r="CL82" s="523"/>
      <c r="CM82" s="523"/>
      <c r="CN82" s="523"/>
      <c r="CO82" s="523"/>
      <c r="CP82" s="523"/>
      <c r="CQ82" s="523"/>
      <c r="CR82" s="523"/>
      <c r="CS82" s="523"/>
      <c r="CT82" s="523"/>
      <c r="CU82" s="523"/>
      <c r="CV82" s="523"/>
      <c r="CW82" s="523"/>
      <c r="CX82" s="523"/>
      <c r="CY82" s="523"/>
      <c r="CZ82" s="523"/>
      <c r="DA82" s="523"/>
      <c r="DB82" s="523"/>
      <c r="DC82" s="523"/>
      <c r="DD82" s="523"/>
      <c r="DE82" s="523"/>
      <c r="DF82" s="523"/>
      <c r="DG82" s="523"/>
      <c r="DH82" s="523"/>
      <c r="DI82" s="523"/>
      <c r="DJ82" s="523"/>
      <c r="DK82" s="523"/>
      <c r="DL82" s="523"/>
      <c r="DM82" s="523"/>
      <c r="DN82" s="2893"/>
      <c r="DO82" s="523"/>
      <c r="DP82" s="523"/>
      <c r="DQ82" s="2893"/>
      <c r="DR82" s="523"/>
      <c r="DS82" s="523"/>
      <c r="DT82" s="2893"/>
      <c r="DU82" s="523"/>
      <c r="DV82" s="523"/>
      <c r="DW82" s="523"/>
      <c r="DX82" s="523"/>
      <c r="DY82" s="523"/>
      <c r="DZ82" s="523"/>
      <c r="EA82" s="523"/>
      <c r="EB82" s="523"/>
      <c r="EC82" s="523"/>
      <c r="ED82" s="523"/>
      <c r="EE82" s="523"/>
      <c r="EF82" s="523"/>
      <c r="EG82" s="523"/>
      <c r="EH82" s="523"/>
      <c r="EI82" s="523"/>
      <c r="EJ82" s="523"/>
      <c r="EK82" s="523"/>
      <c r="EL82" s="523"/>
      <c r="EM82" s="523"/>
      <c r="EN82" s="523"/>
      <c r="EO82" s="523"/>
      <c r="EP82" s="523"/>
    </row>
    <row r="83" spans="1:146" s="2196" customFormat="1" ht="21" customHeight="1" x14ac:dyDescent="0.2">
      <c r="A83" s="3382" t="s">
        <v>4080</v>
      </c>
      <c r="B83" s="3109"/>
      <c r="C83" s="3357"/>
      <c r="D83" s="3358"/>
      <c r="E83" s="3357"/>
      <c r="F83" s="3357"/>
      <c r="G83" s="3357"/>
      <c r="H83" s="3358"/>
      <c r="I83" s="3359"/>
      <c r="J83" s="3359"/>
      <c r="K83" s="3359"/>
      <c r="L83" s="3359"/>
      <c r="M83" s="3359"/>
      <c r="N83" s="3360"/>
      <c r="O83" s="3359"/>
      <c r="P83" s="3360"/>
      <c r="Q83" s="3361"/>
      <c r="R83" s="3359"/>
      <c r="S83" s="3359"/>
      <c r="T83" s="3359"/>
      <c r="U83" s="3359"/>
      <c r="V83" s="3359"/>
      <c r="W83" s="3359"/>
      <c r="X83" s="3359"/>
      <c r="Y83" s="3362"/>
      <c r="Z83" s="3363"/>
      <c r="AA83" s="3362"/>
      <c r="AB83" s="3363"/>
      <c r="AC83" s="3362"/>
      <c r="AD83" s="3362"/>
      <c r="AE83" s="3362"/>
      <c r="AF83" s="3362"/>
      <c r="AG83" s="3362"/>
      <c r="AH83" s="3364"/>
      <c r="AI83" s="3365"/>
      <c r="AJ83" s="3362"/>
      <c r="AK83" s="3362"/>
      <c r="AL83" s="3364"/>
      <c r="AM83" s="3365"/>
      <c r="AN83" s="3362"/>
      <c r="AO83" s="3362"/>
      <c r="AP83" s="3274"/>
      <c r="AQ83" s="3274"/>
      <c r="AR83" s="3274"/>
      <c r="AS83" s="3274"/>
      <c r="AT83" s="3362"/>
      <c r="AU83" s="3362"/>
      <c r="AV83" s="3362"/>
      <c r="AW83" s="3362"/>
      <c r="AX83" s="3362"/>
      <c r="AY83" s="3362"/>
      <c r="AZ83" s="3364"/>
      <c r="BA83" s="3366"/>
      <c r="BB83" s="3362"/>
      <c r="BC83" s="3362"/>
      <c r="BD83" s="3362"/>
      <c r="BE83" s="3362"/>
      <c r="BF83" s="3362"/>
      <c r="BG83" s="3362"/>
      <c r="BH83" s="3362"/>
      <c r="BI83" s="3362"/>
      <c r="BJ83" s="3362"/>
      <c r="BK83" s="3362"/>
      <c r="BL83" s="3362"/>
      <c r="BM83" s="3362"/>
      <c r="BN83" s="3362"/>
      <c r="BO83" s="3362"/>
      <c r="BP83" s="3362"/>
      <c r="BQ83" s="3362"/>
      <c r="BR83" s="3362"/>
      <c r="BS83" s="3362"/>
      <c r="BT83" s="3362"/>
      <c r="BU83" s="3362"/>
      <c r="BV83" s="3362"/>
      <c r="BW83" s="3362"/>
      <c r="BX83" s="3362"/>
      <c r="BY83" s="3362"/>
      <c r="BZ83" s="3362"/>
      <c r="CA83" s="3362"/>
      <c r="CB83" s="3368"/>
      <c r="CC83" s="523"/>
      <c r="CD83" s="523"/>
      <c r="CE83" s="523"/>
      <c r="CF83" s="523"/>
      <c r="CG83" s="523"/>
      <c r="CH83" s="523"/>
      <c r="CI83" s="523"/>
      <c r="CJ83" s="523"/>
      <c r="CK83" s="523"/>
      <c r="CL83" s="523"/>
      <c r="CM83" s="523"/>
      <c r="CN83" s="523"/>
      <c r="CO83" s="523"/>
      <c r="CP83" s="523"/>
      <c r="CQ83" s="523"/>
      <c r="CR83" s="523"/>
      <c r="CS83" s="523"/>
      <c r="CT83" s="523"/>
      <c r="CU83" s="523"/>
      <c r="CV83" s="523"/>
      <c r="CW83" s="523"/>
      <c r="CX83" s="523"/>
      <c r="CY83" s="523"/>
      <c r="CZ83" s="523"/>
      <c r="DA83" s="523"/>
      <c r="DB83" s="523"/>
      <c r="DC83" s="523"/>
      <c r="DD83" s="523"/>
      <c r="DE83" s="523"/>
      <c r="DF83" s="523"/>
      <c r="DG83" s="523"/>
      <c r="DH83" s="523"/>
      <c r="DI83" s="523"/>
      <c r="DJ83" s="523"/>
      <c r="DK83" s="523"/>
      <c r="DL83" s="523"/>
      <c r="DM83" s="523"/>
      <c r="DN83" s="523"/>
      <c r="DO83" s="523"/>
      <c r="DP83" s="523"/>
      <c r="DQ83" s="523"/>
      <c r="DR83" s="523"/>
      <c r="DS83" s="523"/>
      <c r="DT83" s="523"/>
      <c r="DU83" s="523"/>
      <c r="DV83" s="523"/>
      <c r="DW83" s="523"/>
      <c r="DX83" s="523"/>
      <c r="DY83" s="523"/>
      <c r="DZ83" s="523"/>
      <c r="EA83" s="523"/>
      <c r="EB83" s="523"/>
      <c r="EC83" s="523"/>
      <c r="ED83" s="523"/>
      <c r="EE83" s="523"/>
      <c r="EF83" s="523"/>
      <c r="EG83" s="523"/>
      <c r="EH83" s="523"/>
      <c r="EI83" s="523"/>
      <c r="EJ83" s="523"/>
      <c r="EK83" s="523"/>
      <c r="EL83" s="523"/>
      <c r="EM83" s="523"/>
      <c r="EN83" s="523"/>
      <c r="EO83" s="523"/>
      <c r="EP83" s="523"/>
    </row>
    <row r="84" spans="1:146" s="2196" customFormat="1" ht="21" customHeight="1" x14ac:dyDescent="0.2">
      <c r="A84" s="3369"/>
      <c r="B84" s="3370"/>
      <c r="C84" s="3371"/>
      <c r="D84" s="3372"/>
      <c r="E84" s="3371"/>
      <c r="F84" s="3371"/>
      <c r="G84" s="3371"/>
      <c r="H84" s="3372"/>
      <c r="I84" s="3373"/>
      <c r="J84" s="3373"/>
      <c r="K84" s="3373"/>
      <c r="L84" s="3373"/>
      <c r="M84" s="3373"/>
      <c r="N84" s="3374"/>
      <c r="O84" s="3373"/>
      <c r="P84" s="3374"/>
      <c r="Q84" s="3375"/>
      <c r="R84" s="3373"/>
      <c r="S84" s="3373"/>
      <c r="T84" s="3373"/>
      <c r="U84" s="3373"/>
      <c r="V84" s="3373"/>
      <c r="W84" s="3373"/>
      <c r="X84" s="3373"/>
      <c r="Y84" s="3376"/>
      <c r="Z84" s="3377"/>
      <c r="AA84" s="3376"/>
      <c r="AB84" s="3377"/>
      <c r="AC84" s="3376"/>
      <c r="AD84" s="3376"/>
      <c r="AE84" s="3376"/>
      <c r="AF84" s="3376"/>
      <c r="AG84" s="3376"/>
      <c r="AH84" s="3378"/>
      <c r="AI84" s="3379"/>
      <c r="AJ84" s="3376"/>
      <c r="AK84" s="3376"/>
      <c r="AL84" s="3378"/>
      <c r="AM84" s="3379"/>
      <c r="AN84" s="3376"/>
      <c r="AO84" s="3376"/>
      <c r="AP84" s="3380"/>
      <c r="AQ84" s="3380"/>
      <c r="AR84" s="3380"/>
      <c r="AS84" s="3380"/>
      <c r="AT84" s="3376"/>
      <c r="AU84" s="3376"/>
      <c r="AV84" s="3376"/>
      <c r="AW84" s="3376"/>
      <c r="AX84" s="3376"/>
      <c r="AY84" s="3376"/>
      <c r="AZ84" s="3378"/>
      <c r="BA84" s="3381"/>
      <c r="BB84" s="3376"/>
      <c r="BC84" s="3376"/>
      <c r="BD84" s="3376"/>
      <c r="BE84" s="3376"/>
      <c r="BF84" s="3376"/>
      <c r="BG84" s="3376"/>
      <c r="BH84" s="3376"/>
      <c r="BI84" s="3376"/>
      <c r="BJ84" s="3376"/>
      <c r="BK84" s="3376"/>
      <c r="BL84" s="3376"/>
      <c r="BM84" s="3376"/>
      <c r="BN84" s="3376"/>
      <c r="BO84" s="3376"/>
      <c r="BP84" s="3376"/>
      <c r="BQ84" s="3376"/>
      <c r="BR84" s="3376"/>
      <c r="BS84" s="3376"/>
      <c r="BT84" s="3376"/>
      <c r="BU84" s="3376"/>
      <c r="BV84" s="3376"/>
      <c r="BW84" s="3376"/>
      <c r="BX84" s="3376"/>
      <c r="BY84" s="3376"/>
      <c r="BZ84" s="3376"/>
      <c r="CA84" s="3376"/>
      <c r="CB84" s="3368"/>
      <c r="CC84" s="523"/>
      <c r="CD84" s="523"/>
      <c r="CE84" s="523"/>
      <c r="CF84" s="523"/>
      <c r="CG84" s="523"/>
      <c r="CH84" s="523"/>
      <c r="CI84" s="523"/>
      <c r="CJ84" s="523"/>
      <c r="CK84" s="523"/>
      <c r="CL84" s="523"/>
      <c r="CM84" s="523"/>
      <c r="CN84" s="523"/>
      <c r="CO84" s="523"/>
      <c r="CP84" s="523"/>
      <c r="CQ84" s="523"/>
      <c r="CR84" s="523"/>
      <c r="CS84" s="523"/>
      <c r="CT84" s="523"/>
      <c r="CU84" s="523"/>
      <c r="CV84" s="523"/>
      <c r="CW84" s="523"/>
      <c r="CX84" s="523"/>
      <c r="CY84" s="523"/>
      <c r="CZ84" s="523"/>
      <c r="DA84" s="523"/>
      <c r="DB84" s="523"/>
      <c r="DC84" s="523"/>
      <c r="DD84" s="523"/>
      <c r="DE84" s="523"/>
      <c r="DF84" s="523"/>
      <c r="DG84" s="523"/>
      <c r="DH84" s="523"/>
      <c r="DI84" s="523"/>
      <c r="DJ84" s="523"/>
      <c r="DK84" s="523"/>
      <c r="DL84" s="523"/>
      <c r="DM84" s="523"/>
      <c r="DN84" s="3870">
        <f>SUM(DN71-DN56-DN57-DN65-DN62)</f>
        <v>71919.908692274708</v>
      </c>
      <c r="DO84" s="523"/>
      <c r="DP84" s="523"/>
      <c r="DQ84" s="3870">
        <f>SUM(DQ71-DQ56-DQ57-DQ65-DQ62)</f>
        <v>107969.9285926036</v>
      </c>
      <c r="DR84" s="523"/>
      <c r="DS84" s="523"/>
      <c r="DT84" s="3870">
        <f>SUM(DT71-DT56-DT57-DT65-DT62)</f>
        <v>144430.3476526392</v>
      </c>
      <c r="DU84" s="523"/>
      <c r="DV84" s="523"/>
      <c r="DW84" s="523"/>
      <c r="DX84" s="523"/>
      <c r="DY84" s="523"/>
      <c r="DZ84" s="523"/>
      <c r="EA84" s="523"/>
      <c r="EB84" s="523"/>
      <c r="EC84" s="523"/>
      <c r="ED84" s="523"/>
      <c r="EE84" s="523"/>
      <c r="EF84" s="523"/>
      <c r="EG84" s="523"/>
      <c r="EH84" s="523"/>
      <c r="EI84" s="523"/>
      <c r="EJ84" s="523"/>
      <c r="EK84" s="523"/>
      <c r="EL84" s="523"/>
      <c r="EM84" s="523"/>
      <c r="EN84" s="523"/>
      <c r="EO84" s="523"/>
      <c r="EP84" s="523"/>
    </row>
    <row r="85" spans="1:146" ht="34.5" hidden="1" customHeight="1" x14ac:dyDescent="0.2">
      <c r="A85" s="2397" t="s">
        <v>1818</v>
      </c>
      <c r="B85" s="2398"/>
      <c r="C85" s="2399"/>
      <c r="D85" s="2400"/>
      <c r="E85" s="2399"/>
      <c r="F85" s="2399"/>
      <c r="G85" s="2399"/>
      <c r="H85" s="2400"/>
      <c r="I85" s="2401"/>
      <c r="J85" s="2401"/>
      <c r="K85" s="2401"/>
      <c r="L85" s="2401"/>
      <c r="M85" s="2401"/>
      <c r="N85" s="2402"/>
      <c r="O85" s="2401"/>
      <c r="P85" s="2402"/>
      <c r="Q85" s="2403"/>
      <c r="R85" s="2401"/>
      <c r="S85" s="2401"/>
      <c r="T85" s="2401"/>
      <c r="U85" s="2401"/>
      <c r="V85" s="2401"/>
      <c r="W85" s="2401"/>
      <c r="X85" s="2401"/>
      <c r="Y85" s="2396"/>
      <c r="Z85" s="2404"/>
      <c r="AA85" s="2396"/>
      <c r="AB85" s="2404"/>
      <c r="AC85" s="2396"/>
      <c r="AD85" s="2396"/>
      <c r="AE85" s="2396"/>
      <c r="AF85" s="2396"/>
      <c r="AG85" s="2396"/>
      <c r="AH85" s="2394"/>
      <c r="AI85" s="2405"/>
      <c r="AJ85" s="2396"/>
      <c r="AK85" s="2396"/>
      <c r="AL85" s="2394"/>
      <c r="AM85" s="2405"/>
      <c r="AN85" s="2396"/>
      <c r="AO85" s="2396"/>
      <c r="AP85" s="2406"/>
      <c r="AQ85" s="2406"/>
      <c r="AR85" s="2406"/>
      <c r="AS85" s="2406"/>
      <c r="AT85" s="2396"/>
      <c r="AU85" s="2396"/>
      <c r="AV85" s="2396"/>
      <c r="AW85" s="2396"/>
      <c r="AX85" s="2396"/>
      <c r="AY85" s="2396"/>
      <c r="AZ85" s="2394"/>
      <c r="BA85" s="2407"/>
      <c r="BB85" s="2396"/>
      <c r="BC85" s="2396"/>
      <c r="BD85" s="2396"/>
      <c r="BE85" s="2396"/>
      <c r="BF85" s="2396"/>
      <c r="BG85" s="2396"/>
      <c r="BH85" s="2396"/>
      <c r="BI85" s="2396"/>
      <c r="BJ85" s="2396"/>
      <c r="BK85" s="2396"/>
      <c r="BL85" s="2396"/>
      <c r="BM85" s="2396"/>
      <c r="BN85" s="2396"/>
      <c r="BO85" s="2396"/>
      <c r="BP85" s="2396"/>
      <c r="BQ85" s="2396"/>
      <c r="BR85" s="2396"/>
      <c r="BS85" s="2396">
        <f>BT85+BU85</f>
        <v>5605.37</v>
      </c>
      <c r="BT85" s="2396">
        <v>5605.37</v>
      </c>
      <c r="BU85" s="2396">
        <v>0</v>
      </c>
      <c r="BV85" s="2396">
        <f>BW85+BX85</f>
        <v>0</v>
      </c>
      <c r="BW85" s="2396">
        <f>BX85+CB85</f>
        <v>0</v>
      </c>
      <c r="BX85" s="2396">
        <f>CB85+CC85</f>
        <v>0</v>
      </c>
      <c r="BY85" s="2396"/>
      <c r="BZ85" s="2396"/>
      <c r="CA85" s="2396"/>
      <c r="CB85" s="2408"/>
    </row>
    <row r="86" spans="1:146" ht="21" hidden="1" customHeight="1" x14ac:dyDescent="0.2">
      <c r="A86" s="2397" t="s">
        <v>1819</v>
      </c>
      <c r="B86" s="2398"/>
      <c r="C86" s="2399"/>
      <c r="D86" s="2400"/>
      <c r="E86" s="2399"/>
      <c r="F86" s="2399"/>
      <c r="G86" s="2399"/>
      <c r="H86" s="2400"/>
      <c r="I86" s="2401"/>
      <c r="J86" s="2401"/>
      <c r="K86" s="2401"/>
      <c r="L86" s="2401"/>
      <c r="M86" s="2401"/>
      <c r="N86" s="2402"/>
      <c r="O86" s="2401"/>
      <c r="P86" s="2402"/>
      <c r="Q86" s="2403"/>
      <c r="R86" s="2401"/>
      <c r="S86" s="2401"/>
      <c r="T86" s="2401"/>
      <c r="U86" s="2401"/>
      <c r="V86" s="2401"/>
      <c r="W86" s="2401"/>
      <c r="X86" s="2401"/>
      <c r="Y86" s="2396"/>
      <c r="Z86" s="2404"/>
      <c r="AA86" s="2396"/>
      <c r="AB86" s="2404"/>
      <c r="AC86" s="2396"/>
      <c r="AD86" s="2396"/>
      <c r="AE86" s="2396"/>
      <c r="AF86" s="2396"/>
      <c r="AG86" s="2396"/>
      <c r="AH86" s="2394"/>
      <c r="AI86" s="2405"/>
      <c r="AJ86" s="2396"/>
      <c r="AK86" s="2396"/>
      <c r="AL86" s="2394"/>
      <c r="AM86" s="2405"/>
      <c r="AN86" s="2396"/>
      <c r="AO86" s="2396"/>
      <c r="AP86" s="2406"/>
      <c r="AQ86" s="2406"/>
      <c r="AR86" s="2406"/>
      <c r="AS86" s="2406"/>
      <c r="AT86" s="2396"/>
      <c r="AU86" s="2396"/>
      <c r="AV86" s="2396"/>
      <c r="AW86" s="2396"/>
      <c r="AX86" s="2396"/>
      <c r="AY86" s="2396"/>
      <c r="AZ86" s="2394"/>
      <c r="BA86" s="2407"/>
      <c r="BB86" s="2396"/>
      <c r="BC86" s="2396"/>
      <c r="BD86" s="2396"/>
      <c r="BE86" s="2396"/>
      <c r="BF86" s="2396"/>
      <c r="BG86" s="2396"/>
      <c r="BH86" s="2396"/>
      <c r="BI86" s="2396"/>
      <c r="BJ86" s="2396"/>
      <c r="BK86" s="2396"/>
      <c r="BL86" s="2396"/>
      <c r="BM86" s="2396"/>
      <c r="BN86" s="2396"/>
      <c r="BO86" s="2396"/>
      <c r="BP86" s="2396"/>
      <c r="BQ86" s="2396"/>
      <c r="BR86" s="2396"/>
      <c r="BS86" s="2396">
        <f>BT86+BU86</f>
        <v>173239.27999999997</v>
      </c>
      <c r="BT86" s="2396">
        <f>BT71+BT85</f>
        <v>173139.98999999996</v>
      </c>
      <c r="BU86" s="2396">
        <f>BU71+BU85</f>
        <v>99.289999999999992</v>
      </c>
      <c r="BV86" s="2396">
        <f>BW86+BX86</f>
        <v>147574.92935394892</v>
      </c>
      <c r="BW86" s="2396">
        <f>BW71+BW85</f>
        <v>147544.11811148544</v>
      </c>
      <c r="BX86" s="2396">
        <f>BX71+BX85</f>
        <v>30.811242463479257</v>
      </c>
      <c r="BY86" s="2396"/>
      <c r="BZ86" s="2396"/>
      <c r="CA86" s="2396"/>
      <c r="CB86" s="2408"/>
    </row>
    <row r="87" spans="1:146" ht="21" hidden="1" customHeight="1" x14ac:dyDescent="0.2">
      <c r="A87" s="2397" t="s">
        <v>13</v>
      </c>
      <c r="B87" s="2398">
        <f>'объемы ВС и ВО 2023'!B16</f>
        <v>5323.9</v>
      </c>
      <c r="C87" s="2399">
        <f>'объемы ВС и ВО 2023'!C16</f>
        <v>5023.2000000000007</v>
      </c>
      <c r="D87" s="2400">
        <f>C87/B87*100</f>
        <v>94.351884896410539</v>
      </c>
      <c r="E87" s="2399">
        <f>'объемы ВС и ВО 2023'!E16</f>
        <v>4902.7999999999993</v>
      </c>
      <c r="F87" s="2400">
        <f>E87/C87*100</f>
        <v>97.603121516164975</v>
      </c>
      <c r="G87" s="2399">
        <f>'объемы ВС и ВО 2023'!G16</f>
        <v>4524.3</v>
      </c>
      <c r="H87" s="2400">
        <f t="shared" si="53"/>
        <v>92.279921677408851</v>
      </c>
      <c r="I87" s="2401">
        <f>'объемы ВС и ВО 2023'!I16</f>
        <v>4645</v>
      </c>
      <c r="J87" s="2401">
        <f>'объемы ВС и ВО 2023'!J16</f>
        <v>0</v>
      </c>
      <c r="K87" s="2401">
        <f>'объемы ВС и ВО 2023'!L16</f>
        <v>3263.8</v>
      </c>
      <c r="L87" s="2401">
        <v>4431.5</v>
      </c>
      <c r="M87" s="2402">
        <f t="shared" si="54"/>
        <v>95.403659849300325</v>
      </c>
      <c r="N87" s="2402">
        <f t="shared" si="55"/>
        <v>97.948853966359422</v>
      </c>
      <c r="O87" s="2401">
        <f>'объемы ВС и ВО 2023'!M16</f>
        <v>4100</v>
      </c>
      <c r="P87" s="2402">
        <f t="shared" si="56"/>
        <v>88.266953713670617</v>
      </c>
      <c r="Q87" s="2403" t="e">
        <f>'объемы ВС и ВО 2023'!#REF!</f>
        <v>#REF!</v>
      </c>
      <c r="R87" s="2402" t="e">
        <f t="shared" si="65"/>
        <v>#REF!</v>
      </c>
      <c r="S87" s="2402" t="e">
        <f t="shared" si="66"/>
        <v>#REF!</v>
      </c>
      <c r="T87" s="2401" t="e">
        <f>'объемы ВС и ВО 2023'!#REF!+'объемы ВС и ВО 2023'!#REF!</f>
        <v>#REF!</v>
      </c>
      <c r="U87" s="2401" t="e">
        <f>'объемы ВС и ВО 2023'!#REF!</f>
        <v>#REF!</v>
      </c>
      <c r="V87" s="2401" t="e">
        <f>'объемы ВС и ВО 2023'!#REF!</f>
        <v>#REF!</v>
      </c>
      <c r="W87" s="2401" t="e">
        <f>'объемы ВС и ВО 2023'!#REF!-X87</f>
        <v>#REF!</v>
      </c>
      <c r="X87" s="2401" t="e">
        <f>'объемы ВС и ВО 2023'!#REF!</f>
        <v>#REF!</v>
      </c>
      <c r="Y87" s="2396">
        <f>'объемы ВС и ВО 2023'!E49</f>
        <v>4000</v>
      </c>
      <c r="Z87" s="2404" t="e">
        <f t="shared" si="57"/>
        <v>#REF!</v>
      </c>
      <c r="AA87" s="2396" t="e">
        <f>'объемы ВС и ВО 2023'!G49</f>
        <v>#REF!</v>
      </c>
      <c r="AB87" s="2404" t="e">
        <f t="shared" si="757"/>
        <v>#REF!</v>
      </c>
      <c r="AC87" s="2396" t="e">
        <f>'объемы ВС и ВО 2023'!G50+'объемы ВС и ВО 2023'!G52</f>
        <v>#REF!</v>
      </c>
      <c r="AD87" s="2396" t="e">
        <f>'объемы ВС и ВО 2023'!G51</f>
        <v>#REF!</v>
      </c>
      <c r="AE87" s="2394">
        <f>SUM(AF87+AG87)</f>
        <v>4039</v>
      </c>
      <c r="AF87" s="2396">
        <f>SUM('объемы ВС и ВО 2023'!K49-'объемы ВС и ВО 2023'!K51)</f>
        <v>3989.2</v>
      </c>
      <c r="AG87" s="2396">
        <f>SUM('объемы ВС и ВО 2023'!K51)</f>
        <v>49.8</v>
      </c>
      <c r="AH87" s="2394">
        <f t="shared" si="59"/>
        <v>4052.4</v>
      </c>
      <c r="AI87" s="2405" t="e">
        <f t="shared" si="60"/>
        <v>#REF!</v>
      </c>
      <c r="AJ87" s="2396">
        <v>4006.27</v>
      </c>
      <c r="AK87" s="2396">
        <v>46.13</v>
      </c>
      <c r="AL87" s="2394">
        <f t="shared" si="61"/>
        <v>4052.4</v>
      </c>
      <c r="AM87" s="2405" t="e">
        <f t="shared" si="62"/>
        <v>#REF!</v>
      </c>
      <c r="AN87" s="2396">
        <f>SUM('объемы ВС и ВО 2023'!M49-'объемы ВС и ВО 2023'!M51)</f>
        <v>4006.27</v>
      </c>
      <c r="AO87" s="2396">
        <f>SUM('объемы ВС и ВО 2023'!M46)</f>
        <v>46.13</v>
      </c>
      <c r="AP87" s="2406" t="e">
        <f>'объемы ВС и ВО 2023'!G49-'объемы ВС и ВО 2023'!E49</f>
        <v>#REF!</v>
      </c>
      <c r="AQ87" s="2406" t="e">
        <f>AP87-AR87</f>
        <v>#REF!</v>
      </c>
      <c r="AR87" s="2406" t="e">
        <f>'объемы ВС и ВО 2023'!G51-'объемы ВС и ВО 2023'!E51</f>
        <v>#REF!</v>
      </c>
      <c r="AS87" s="2406" t="e">
        <f t="shared" si="505"/>
        <v>#REF!</v>
      </c>
      <c r="AT87" s="2396">
        <f>SUM(AU87:AV87)</f>
        <v>1990.48</v>
      </c>
      <c r="AU87" s="2396">
        <f>SUM('объемы ВС и ВО 2023'!P49-'объемы ВС и ВО 2023'!P51)</f>
        <v>1976.78</v>
      </c>
      <c r="AV87" s="2396">
        <f>'объемы ВС и ВО 2023'!Q49</f>
        <v>13.7</v>
      </c>
      <c r="AW87" s="2396">
        <f>SUM(AX87:AY87)</f>
        <v>3780.42</v>
      </c>
      <c r="AX87" s="2396">
        <f>'объемы ВС и ВО 2023'!R49</f>
        <v>3762.2000000000003</v>
      </c>
      <c r="AY87" s="2396">
        <v>18.22</v>
      </c>
      <c r="AZ87" s="2394">
        <f>SUM(BB87+BC87)</f>
        <v>4010.6369999999997</v>
      </c>
      <c r="BA87" s="2407">
        <f t="shared" si="70"/>
        <v>0.98969425525614441</v>
      </c>
      <c r="BB87" s="2396">
        <f>SUM('объемы ВС и ВО 2023'!T49-'объемы ВС и ВО 2023'!T51)</f>
        <v>3989.2169999999996</v>
      </c>
      <c r="BC87" s="2396">
        <f>SUM('объемы ВС и ВО 2023'!T51)</f>
        <v>21.42</v>
      </c>
      <c r="BD87" s="2394">
        <f>SUM(BE87+BF87)</f>
        <v>4010.6370000000002</v>
      </c>
      <c r="BE87" s="2396">
        <f>SUM('объемы ВС и ВО 2023'!AA49-'объемы ВС и ВО 2023'!AA51)</f>
        <v>3989.2170000000001</v>
      </c>
      <c r="BF87" s="2396">
        <f>'объемы ВС и ВО 2023'!AB49</f>
        <v>21.42</v>
      </c>
      <c r="BG87" s="2395">
        <f t="shared" ref="BG87" si="785">BH87+BI87</f>
        <v>3568.7400000000002</v>
      </c>
      <c r="BH87" s="2396">
        <v>3566.34</v>
      </c>
      <c r="BI87" s="2396">
        <v>2.4</v>
      </c>
      <c r="BJ87" s="2395">
        <f t="shared" ref="BJ87" si="786">BK87+BL87</f>
        <v>3657.57</v>
      </c>
      <c r="BK87" s="2396">
        <v>3655.8</v>
      </c>
      <c r="BL87" s="2396">
        <v>1.77</v>
      </c>
      <c r="BM87" s="2396"/>
      <c r="BN87" s="2396"/>
      <c r="BO87" s="2396"/>
      <c r="BP87" s="2396"/>
      <c r="BQ87" s="2396"/>
      <c r="BR87" s="2396"/>
      <c r="BS87" s="2396">
        <f t="shared" ref="BS87" si="787">BT87+BU87</f>
        <v>3605</v>
      </c>
      <c r="BT87" s="2396">
        <v>3600</v>
      </c>
      <c r="BU87" s="2396">
        <v>5</v>
      </c>
      <c r="BV87" s="2396">
        <f t="shared" ref="BV87" si="788">BW87+BX87</f>
        <v>3662.3949233333333</v>
      </c>
      <c r="BW87" s="2396">
        <f>'объемы ВС и ВО 2023'!AZ49</f>
        <v>3660.6249233333333</v>
      </c>
      <c r="BX87" s="2396">
        <f>'объемы ВС и ВО 2023'!BA44</f>
        <v>1.77</v>
      </c>
      <c r="BY87" s="2396">
        <f t="shared" ref="BY87" si="789">BZ87+CA87</f>
        <v>3662.3949233333333</v>
      </c>
      <c r="BZ87" s="2396">
        <f>SUM('объемы ВС и ВО 2023'!BB49)</f>
        <v>3660.6249233333333</v>
      </c>
      <c r="CA87" s="2396">
        <f>SUM('объемы ВС и ВО 2023'!BC49)</f>
        <v>1.77</v>
      </c>
      <c r="CB87" s="2408"/>
    </row>
    <row r="88" spans="1:146" ht="21" hidden="1" customHeight="1" x14ac:dyDescent="0.2">
      <c r="A88" s="2397" t="s">
        <v>14</v>
      </c>
      <c r="B88" s="2409" t="e">
        <f>B71/B87</f>
        <v>#REF!</v>
      </c>
      <c r="C88" s="2409" t="e">
        <f>C71/C87</f>
        <v>#REF!</v>
      </c>
      <c r="D88" s="2400" t="e">
        <f>C88/B88*100</f>
        <v>#REF!</v>
      </c>
      <c r="E88" s="2409">
        <f>E71/E87</f>
        <v>18.736415925593541</v>
      </c>
      <c r="F88" s="2409" t="e">
        <f>F71/F87</f>
        <v>#REF!</v>
      </c>
      <c r="G88" s="2409">
        <f>G71/G87</f>
        <v>23.49388855734589</v>
      </c>
      <c r="H88" s="2400">
        <f t="shared" si="53"/>
        <v>125.39158316427927</v>
      </c>
      <c r="I88" s="2401" t="e">
        <f>#REF!/#REF!</f>
        <v>#REF!</v>
      </c>
      <c r="J88" s="2401" t="e">
        <f>J71/J87</f>
        <v>#REF!</v>
      </c>
      <c r="K88" s="2401">
        <f>K71/K87</f>
        <v>23.901069486011327</v>
      </c>
      <c r="L88" s="2401">
        <f>L71/L87</f>
        <v>25.40880063184024</v>
      </c>
      <c r="M88" s="2402" t="e">
        <f t="shared" si="54"/>
        <v>#REF!</v>
      </c>
      <c r="N88" s="2402">
        <f t="shared" si="55"/>
        <v>108.1506816967326</v>
      </c>
      <c r="O88" s="2401">
        <f>O71/O87</f>
        <v>32.084302926967361</v>
      </c>
      <c r="P88" s="2402" t="e">
        <f t="shared" si="56"/>
        <v>#REF!</v>
      </c>
      <c r="Q88" s="2403" t="e">
        <f>Q71/Q87</f>
        <v>#REF!</v>
      </c>
      <c r="R88" s="2402" t="e">
        <f t="shared" si="65"/>
        <v>#REF!</v>
      </c>
      <c r="S88" s="2402" t="e">
        <f t="shared" si="66"/>
        <v>#REF!</v>
      </c>
      <c r="T88" s="2401" t="e">
        <f t="shared" ref="T88:Y88" si="790">T71/T87</f>
        <v>#REF!</v>
      </c>
      <c r="U88" s="2401" t="e">
        <f t="shared" si="790"/>
        <v>#REF!</v>
      </c>
      <c r="V88" s="2401" t="e">
        <f t="shared" si="790"/>
        <v>#REF!</v>
      </c>
      <c r="W88" s="2401" t="e">
        <f t="shared" si="790"/>
        <v>#REF!</v>
      </c>
      <c r="X88" s="2401" t="e">
        <f t="shared" si="790"/>
        <v>#REF!</v>
      </c>
      <c r="Y88" s="2396">
        <f t="shared" si="790"/>
        <v>34.698300000000003</v>
      </c>
      <c r="Z88" s="2404" t="e">
        <f t="shared" si="57"/>
        <v>#REF!</v>
      </c>
      <c r="AA88" s="2396" t="e">
        <f>AA71/AA87</f>
        <v>#REF!</v>
      </c>
      <c r="AB88" s="2404" t="e">
        <f t="shared" si="757"/>
        <v>#REF!</v>
      </c>
      <c r="AC88" s="2396" t="e">
        <f t="shared" ref="AC88:AH88" si="791">AC71/AC87</f>
        <v>#REF!</v>
      </c>
      <c r="AD88" s="2396" t="e">
        <f t="shared" si="791"/>
        <v>#REF!</v>
      </c>
      <c r="AE88" s="2396">
        <f t="shared" si="791"/>
        <v>28.056456893067594</v>
      </c>
      <c r="AF88" s="2396">
        <f t="shared" si="791"/>
        <v>28.205017254103591</v>
      </c>
      <c r="AG88" s="2396">
        <f t="shared" si="791"/>
        <v>16.156115683332491</v>
      </c>
      <c r="AH88" s="2396">
        <f t="shared" si="791"/>
        <v>29.999857943440922</v>
      </c>
      <c r="AI88" s="2405" t="e">
        <f t="shared" si="60"/>
        <v>#REF!</v>
      </c>
      <c r="AJ88" s="2396">
        <f>AJ71/AJ87</f>
        <v>30.147115478986688</v>
      </c>
      <c r="AK88" s="2396">
        <f>AK71/AK87</f>
        <v>17.210925644916539</v>
      </c>
      <c r="AL88" s="2396" t="e">
        <f>AL71/AL87</f>
        <v>#REF!</v>
      </c>
      <c r="AM88" s="2405" t="e">
        <f t="shared" si="62"/>
        <v>#REF!</v>
      </c>
      <c r="AN88" s="2396" t="e">
        <f>AN71/AN87</f>
        <v>#REF!</v>
      </c>
      <c r="AO88" s="2396">
        <f>AO71/AO87</f>
        <v>16.696745760680756</v>
      </c>
      <c r="AP88" s="2406" t="e">
        <f t="shared" si="63"/>
        <v>#REF!</v>
      </c>
      <c r="AQ88" s="2406" t="e">
        <f t="shared" ref="AQ88" si="792">AP88*AC88/AA88</f>
        <v>#REF!</v>
      </c>
      <c r="AR88" s="2406" t="e">
        <f t="shared" si="64"/>
        <v>#REF!</v>
      </c>
      <c r="AS88" s="2406" t="e">
        <f t="shared" si="505"/>
        <v>#REF!</v>
      </c>
      <c r="AT88" s="2396">
        <f t="shared" ref="AT88:AZ88" si="793">AT71/AT87</f>
        <v>28.472176098930909</v>
      </c>
      <c r="AU88" s="2396">
        <f t="shared" si="793"/>
        <v>28.563201351485883</v>
      </c>
      <c r="AV88" s="2396">
        <f t="shared" si="793"/>
        <v>15.338095898520834</v>
      </c>
      <c r="AW88" s="2396">
        <f t="shared" si="793"/>
        <v>30.741139873347407</v>
      </c>
      <c r="AX88" s="2396">
        <f t="shared" si="793"/>
        <v>30.808210621444896</v>
      </c>
      <c r="AY88" s="2396">
        <f t="shared" si="793"/>
        <v>16.891877058177826</v>
      </c>
      <c r="AZ88" s="2396">
        <f t="shared" si="793"/>
        <v>33.703630440999497</v>
      </c>
      <c r="BA88" s="2407" t="e">
        <f t="shared" si="70"/>
        <v>#REF!</v>
      </c>
      <c r="BB88" s="2396">
        <f>BB71/BB87</f>
        <v>33.77847126657263</v>
      </c>
      <c r="BC88" s="2396">
        <f>BC71/BC87</f>
        <v>19.765428122119772</v>
      </c>
      <c r="BD88" s="2396">
        <f>BD71/BD87</f>
        <v>30.050162815403326</v>
      </c>
      <c r="BE88" s="2396">
        <f t="shared" ref="BE88:BL88" si="794">BE71/BE87</f>
        <v>30.125249119885538</v>
      </c>
      <c r="BF88" s="2396">
        <f t="shared" si="794"/>
        <v>16.066243006456386</v>
      </c>
      <c r="BG88" s="2396">
        <f t="shared" si="794"/>
        <v>33.787241435352527</v>
      </c>
      <c r="BH88" s="2396">
        <f t="shared" si="794"/>
        <v>33.798216098296848</v>
      </c>
      <c r="BI88" s="2396">
        <f t="shared" si="794"/>
        <v>17.479166666666668</v>
      </c>
      <c r="BJ88" s="2396">
        <f t="shared" si="794"/>
        <v>36.88005971177585</v>
      </c>
      <c r="BK88" s="2396">
        <f t="shared" si="794"/>
        <v>36.889955686853767</v>
      </c>
      <c r="BL88" s="2396">
        <f t="shared" si="794"/>
        <v>16.440677966101696</v>
      </c>
      <c r="BM88" s="2396"/>
      <c r="BN88" s="2396"/>
      <c r="BO88" s="2396"/>
      <c r="BP88" s="2396"/>
      <c r="BQ88" s="2396"/>
      <c r="BR88" s="2396"/>
      <c r="BS88" s="2396">
        <f>BS86/BS87</f>
        <v>48.055278779472943</v>
      </c>
      <c r="BT88" s="2396">
        <f t="shared" ref="BT88:BU88" si="795">BT86/BT87</f>
        <v>48.094441666666654</v>
      </c>
      <c r="BU88" s="2396">
        <f t="shared" si="795"/>
        <v>19.857999999999997</v>
      </c>
      <c r="BV88" s="2396">
        <f>BV86/BV87</f>
        <v>40.294652117864288</v>
      </c>
      <c r="BW88" s="2396">
        <f>BW86/BW87</f>
        <v>40.305718614059224</v>
      </c>
      <c r="BX88" s="2396">
        <f t="shared" ref="BX88" si="796">BX86/BX87</f>
        <v>17.407481617784892</v>
      </c>
      <c r="BY88" s="2396"/>
      <c r="BZ88" s="2396"/>
      <c r="CA88" s="2396"/>
      <c r="CB88" s="2410"/>
    </row>
    <row r="89" spans="1:146" ht="21" hidden="1" customHeight="1" x14ac:dyDescent="0.2">
      <c r="A89" s="2411" t="s">
        <v>419</v>
      </c>
      <c r="B89" s="2412"/>
      <c r="C89" s="2412"/>
      <c r="D89" s="2412"/>
      <c r="E89" s="2412"/>
      <c r="F89" s="2400"/>
      <c r="G89" s="2400"/>
      <c r="H89" s="2400"/>
      <c r="I89" s="2401">
        <v>0</v>
      </c>
      <c r="J89" s="2413"/>
      <c r="K89" s="2413"/>
      <c r="L89" s="2413"/>
      <c r="M89" s="2402" t="e">
        <f t="shared" si="54"/>
        <v>#DIV/0!</v>
      </c>
      <c r="N89" s="2402"/>
      <c r="O89" s="2401"/>
      <c r="P89" s="2402"/>
      <c r="Q89" s="2403">
        <f>T89+U89</f>
        <v>129.11000000000001</v>
      </c>
      <c r="R89" s="2402"/>
      <c r="S89" s="2402"/>
      <c r="T89" s="2401">
        <v>4.16</v>
      </c>
      <c r="U89" s="2401">
        <v>124.95</v>
      </c>
      <c r="V89" s="2401">
        <v>0</v>
      </c>
      <c r="W89" s="2401"/>
      <c r="X89" s="2401"/>
      <c r="Y89" s="2396">
        <f>E127</f>
        <v>0</v>
      </c>
      <c r="Z89" s="2404">
        <f t="shared" si="57"/>
        <v>0</v>
      </c>
      <c r="AA89" s="2396">
        <f>AC89+AD89</f>
        <v>0</v>
      </c>
      <c r="AB89" s="2404">
        <f t="shared" si="757"/>
        <v>0</v>
      </c>
      <c r="AC89" s="2396">
        <f>G120</f>
        <v>0</v>
      </c>
      <c r="AD89" s="2396">
        <v>0</v>
      </c>
      <c r="AE89" s="2396">
        <v>0</v>
      </c>
      <c r="AF89" s="2396">
        <v>0</v>
      </c>
      <c r="AG89" s="2396">
        <v>0</v>
      </c>
      <c r="AH89" s="2394">
        <f t="shared" si="59"/>
        <v>6078.58</v>
      </c>
      <c r="AI89" s="2405"/>
      <c r="AJ89" s="2396">
        <v>6038.88</v>
      </c>
      <c r="AK89" s="2396">
        <v>39.700000000000003</v>
      </c>
      <c r="AL89" s="2394" t="e">
        <f t="shared" si="61"/>
        <v>#REF!</v>
      </c>
      <c r="AM89" s="2405"/>
      <c r="AN89" s="2396" t="e">
        <f>AN71*0.05</f>
        <v>#REF!</v>
      </c>
      <c r="AO89" s="2396">
        <f>AO71*0.05+60</f>
        <v>98.511044097010171</v>
      </c>
      <c r="AP89" s="2406">
        <f t="shared" si="63"/>
        <v>0</v>
      </c>
      <c r="AQ89" s="2406">
        <f>AP89</f>
        <v>0</v>
      </c>
      <c r="AR89" s="2406">
        <f t="shared" si="64"/>
        <v>0</v>
      </c>
      <c r="AS89" s="2406">
        <f t="shared" si="505"/>
        <v>0</v>
      </c>
      <c r="AT89" s="2396">
        <v>0</v>
      </c>
      <c r="AU89" s="2396">
        <f>Y120</f>
        <v>0</v>
      </c>
      <c r="AV89" s="2396">
        <v>0</v>
      </c>
      <c r="AW89" s="2396">
        <f>AY89+CE89</f>
        <v>0</v>
      </c>
      <c r="AX89" s="2396">
        <f>AB120</f>
        <v>0</v>
      </c>
      <c r="AY89" s="2396">
        <v>0</v>
      </c>
      <c r="AZ89" s="2394">
        <f t="shared" ref="AZ89" si="797">SUM(BB89+BC89)</f>
        <v>6800.9889110875247</v>
      </c>
      <c r="BA89" s="2407" t="e">
        <f t="shared" si="70"/>
        <v>#REF!</v>
      </c>
      <c r="BB89" s="2396">
        <f>SUM(BB71*0.05)</f>
        <v>6737.4825905311536</v>
      </c>
      <c r="BC89" s="2396">
        <f>SUM(BC71*0.15)</f>
        <v>63.506320556370831</v>
      </c>
      <c r="BD89" s="2394">
        <f t="shared" ref="BD89" si="798">SUM(BE89+BF89)</f>
        <v>6008.8077959141219</v>
      </c>
      <c r="BE89" s="2396">
        <f>SUM(BE71*0.05)</f>
        <v>6008.8077959141219</v>
      </c>
      <c r="BF89" s="2396">
        <v>0</v>
      </c>
      <c r="BG89" s="2394">
        <v>0</v>
      </c>
      <c r="BH89" s="2396">
        <v>0</v>
      </c>
      <c r="BI89" s="2396">
        <v>0</v>
      </c>
      <c r="BJ89" s="2394">
        <v>0</v>
      </c>
      <c r="BK89" s="2396">
        <v>0</v>
      </c>
      <c r="BL89" s="2396">
        <v>0</v>
      </c>
      <c r="BM89" s="2396"/>
      <c r="BN89" s="2396"/>
      <c r="BO89" s="2396"/>
      <c r="BP89" s="2396"/>
      <c r="BQ89" s="2396"/>
      <c r="BR89" s="2396"/>
      <c r="BS89" s="2394">
        <v>0</v>
      </c>
      <c r="BT89" s="2396">
        <v>0</v>
      </c>
      <c r="BU89" s="2396">
        <v>0</v>
      </c>
      <c r="BV89" s="2394">
        <v>0</v>
      </c>
      <c r="BW89" s="2396">
        <v>0</v>
      </c>
      <c r="BX89" s="2396">
        <v>0</v>
      </c>
      <c r="BY89" s="2396"/>
      <c r="BZ89" s="2396"/>
      <c r="CA89" s="2396"/>
      <c r="CB89" s="2414">
        <v>0.05</v>
      </c>
    </row>
    <row r="90" spans="1:146" ht="21" hidden="1" customHeight="1" x14ac:dyDescent="0.2">
      <c r="A90" s="2411" t="s">
        <v>527</v>
      </c>
      <c r="B90" s="2412"/>
      <c r="C90" s="2412"/>
      <c r="D90" s="2412"/>
      <c r="E90" s="2412"/>
      <c r="F90" s="2400"/>
      <c r="G90" s="2400"/>
      <c r="H90" s="2400"/>
      <c r="I90" s="2401"/>
      <c r="J90" s="2413"/>
      <c r="K90" s="2413"/>
      <c r="L90" s="2413"/>
      <c r="M90" s="2402"/>
      <c r="N90" s="2402"/>
      <c r="O90" s="2401"/>
      <c r="P90" s="2402"/>
      <c r="Q90" s="2403"/>
      <c r="R90" s="2402"/>
      <c r="S90" s="2402"/>
      <c r="T90" s="2401"/>
      <c r="U90" s="2401"/>
      <c r="V90" s="2401"/>
      <c r="W90" s="2401"/>
      <c r="X90" s="2401"/>
      <c r="Y90" s="2394">
        <f>SUM(Y71+Y89)</f>
        <v>138793.20000000001</v>
      </c>
      <c r="Z90" s="2404"/>
      <c r="AA90" s="2394" t="e">
        <f>SUM(AA71+AA89)</f>
        <v>#REF!</v>
      </c>
      <c r="AB90" s="2404"/>
      <c r="AC90" s="2394" t="e">
        <f t="shared" ref="AC90:AH90" si="799">SUM(AC71+AC89)</f>
        <v>#REF!</v>
      </c>
      <c r="AD90" s="2394" t="e">
        <f t="shared" si="799"/>
        <v>#REF!</v>
      </c>
      <c r="AE90" s="2394">
        <f t="shared" si="799"/>
        <v>113320.02939110002</v>
      </c>
      <c r="AF90" s="2394">
        <f t="shared" si="799"/>
        <v>112515.45483007004</v>
      </c>
      <c r="AG90" s="2394">
        <f t="shared" si="799"/>
        <v>804.57456102995798</v>
      </c>
      <c r="AH90" s="2394">
        <f t="shared" si="799"/>
        <v>127650.00433</v>
      </c>
      <c r="AI90" s="2405" t="e">
        <f t="shared" si="60"/>
        <v>#REF!</v>
      </c>
      <c r="AJ90" s="2394">
        <f>SUM(AJ71+AJ89)</f>
        <v>126816.36433</v>
      </c>
      <c r="AK90" s="2394">
        <f>SUM(AK71+AK89)</f>
        <v>833.64</v>
      </c>
      <c r="AL90" s="2394" t="e">
        <f>SUM(AL71+AL89)</f>
        <v>#REF!</v>
      </c>
      <c r="AM90" s="2405" t="e">
        <f t="shared" si="62"/>
        <v>#REF!</v>
      </c>
      <c r="AN90" s="2394" t="e">
        <f>SUM(AN71+AN89)</f>
        <v>#REF!</v>
      </c>
      <c r="AO90" s="2394">
        <f>SUM(AO71+AO89)</f>
        <v>868.7319260372135</v>
      </c>
      <c r="AP90" s="2406"/>
      <c r="AQ90" s="2406"/>
      <c r="AR90" s="2406"/>
      <c r="AS90" s="2406"/>
      <c r="AT90" s="2394">
        <f t="shared" ref="AT90:AZ90" si="800">SUM(AT71+AT89)</f>
        <v>56673.297081399993</v>
      </c>
      <c r="AU90" s="2394">
        <f t="shared" si="800"/>
        <v>56463.165167590261</v>
      </c>
      <c r="AV90" s="2394">
        <f t="shared" si="800"/>
        <v>210.13191380973541</v>
      </c>
      <c r="AW90" s="2394">
        <f t="shared" si="800"/>
        <v>116214.42000000001</v>
      </c>
      <c r="AX90" s="2394">
        <f t="shared" si="800"/>
        <v>115906.65</v>
      </c>
      <c r="AY90" s="2394">
        <f t="shared" si="800"/>
        <v>307.77</v>
      </c>
      <c r="AZ90" s="2394">
        <f t="shared" si="800"/>
        <v>141974.01619208642</v>
      </c>
      <c r="BA90" s="2407" t="e">
        <f t="shared" si="70"/>
        <v>#REF!</v>
      </c>
      <c r="BB90" s="2394">
        <f>SUM(BB71+BB89)</f>
        <v>141487.13440115421</v>
      </c>
      <c r="BC90" s="2394">
        <f>SUM(BC71+BC89)</f>
        <v>486.88179093217639</v>
      </c>
      <c r="BD90" s="2394">
        <f>SUM(BD71+BD89)</f>
        <v>126529.10263939487</v>
      </c>
      <c r="BE90" s="2394">
        <f t="shared" ref="BE90:BL90" si="801">SUM(BE71+BE89)</f>
        <v>126184.96371419655</v>
      </c>
      <c r="BF90" s="2394">
        <f t="shared" si="801"/>
        <v>344.13892519829579</v>
      </c>
      <c r="BG90" s="2394">
        <f t="shared" si="801"/>
        <v>120577.87999999999</v>
      </c>
      <c r="BH90" s="2394">
        <f t="shared" si="801"/>
        <v>120535.92999999998</v>
      </c>
      <c r="BI90" s="2394">
        <f t="shared" si="801"/>
        <v>41.95</v>
      </c>
      <c r="BJ90" s="2394">
        <f t="shared" si="801"/>
        <v>134891.4</v>
      </c>
      <c r="BK90" s="2394">
        <f t="shared" si="801"/>
        <v>134862.30000000002</v>
      </c>
      <c r="BL90" s="2394">
        <f t="shared" si="801"/>
        <v>29.1</v>
      </c>
      <c r="BM90" s="2394"/>
      <c r="BN90" s="2394"/>
      <c r="BO90" s="2394"/>
      <c r="BP90" s="2394"/>
      <c r="BQ90" s="2394"/>
      <c r="BR90" s="2394"/>
      <c r="BS90" s="2394">
        <f>BS86+BS89</f>
        <v>173239.27999999997</v>
      </c>
      <c r="BT90" s="2394">
        <f t="shared" ref="BT90:BU90" si="802">BT86+BT89</f>
        <v>173139.98999999996</v>
      </c>
      <c r="BU90" s="2394">
        <f t="shared" si="802"/>
        <v>99.289999999999992</v>
      </c>
      <c r="BV90" s="2394">
        <f>BV86+BV89</f>
        <v>147574.92935394892</v>
      </c>
      <c r="BW90" s="2394">
        <f>BW86+BW89</f>
        <v>147544.11811148544</v>
      </c>
      <c r="BX90" s="2394">
        <f t="shared" ref="BX90" si="803">BX86+BX89</f>
        <v>30.811242463479257</v>
      </c>
      <c r="BY90" s="2394"/>
      <c r="BZ90" s="2394"/>
      <c r="CA90" s="2394"/>
      <c r="CB90" s="2408"/>
    </row>
    <row r="91" spans="1:146" ht="21" hidden="1" customHeight="1" x14ac:dyDescent="0.2">
      <c r="A91" s="2397" t="s">
        <v>68</v>
      </c>
      <c r="B91" s="2412"/>
      <c r="C91" s="2412"/>
      <c r="D91" s="2412"/>
      <c r="E91" s="2412"/>
      <c r="F91" s="2400"/>
      <c r="G91" s="2400"/>
      <c r="H91" s="2400"/>
      <c r="I91" s="2401" t="e">
        <f>(#REF!+I89)/#REF!</f>
        <v>#REF!</v>
      </c>
      <c r="J91" s="2413"/>
      <c r="K91" s="2413"/>
      <c r="L91" s="2413"/>
      <c r="M91" s="2402" t="e">
        <f>L91/I91*100</f>
        <v>#REF!</v>
      </c>
      <c r="N91" s="2402"/>
      <c r="O91" s="2401">
        <f>(O71+O89)/O87</f>
        <v>32.084302926967361</v>
      </c>
      <c r="P91" s="2402" t="e">
        <f t="shared" si="56"/>
        <v>#REF!</v>
      </c>
      <c r="Q91" s="2403" t="e">
        <f>(Q71+Q89)/Q87</f>
        <v>#REF!</v>
      </c>
      <c r="R91" s="2402" t="e">
        <f t="shared" si="65"/>
        <v>#REF!</v>
      </c>
      <c r="S91" s="2402"/>
      <c r="T91" s="2401" t="e">
        <f>T88</f>
        <v>#REF!</v>
      </c>
      <c r="U91" s="2401" t="e">
        <f>(U71+U89)/U87</f>
        <v>#REF!</v>
      </c>
      <c r="V91" s="2401" t="e">
        <f>(V71+V89)/V87</f>
        <v>#REF!</v>
      </c>
      <c r="W91" s="2401" t="e">
        <f>(W71+W89)/W87</f>
        <v>#REF!</v>
      </c>
      <c r="X91" s="2401" t="e">
        <f>(X71+X89)/X87</f>
        <v>#REF!</v>
      </c>
      <c r="Y91" s="2396">
        <f>(Y71+Y89)/Y87</f>
        <v>34.698300000000003</v>
      </c>
      <c r="Z91" s="2404" t="e">
        <f t="shared" si="57"/>
        <v>#REF!</v>
      </c>
      <c r="AA91" s="2396" t="e">
        <f>(AA71+AA89)/AA87</f>
        <v>#REF!</v>
      </c>
      <c r="AB91" s="2404" t="e">
        <f t="shared" si="757"/>
        <v>#REF!</v>
      </c>
      <c r="AC91" s="2396" t="e">
        <f>AC88</f>
        <v>#REF!</v>
      </c>
      <c r="AD91" s="2396" t="e">
        <f>(AD71+AD89)/AD87</f>
        <v>#REF!</v>
      </c>
      <c r="AE91" s="2396">
        <f>(AE71+AE89)/AE87</f>
        <v>28.056456893067594</v>
      </c>
      <c r="AF91" s="2396">
        <f>AF88</f>
        <v>28.205017254103591</v>
      </c>
      <c r="AG91" s="2396">
        <f>(AG71+AG89)/AG87</f>
        <v>16.156115683332491</v>
      </c>
      <c r="AH91" s="2396">
        <f>(AH71+AH89)/AH87</f>
        <v>31.499853008093968</v>
      </c>
      <c r="AI91" s="2405" t="e">
        <f t="shared" si="60"/>
        <v>#REF!</v>
      </c>
      <c r="AJ91" s="2396">
        <f>(AJ71+AJ89)/AJ87</f>
        <v>31.654472696548162</v>
      </c>
      <c r="AK91" s="2396">
        <f>(AK71+AK89)/AK87</f>
        <v>18.071536960763058</v>
      </c>
      <c r="AL91" s="2396" t="e">
        <f>(AL71+AL89)/AL87</f>
        <v>#REF!</v>
      </c>
      <c r="AM91" s="2405" t="e">
        <f t="shared" si="62"/>
        <v>#REF!</v>
      </c>
      <c r="AN91" s="2396" t="e">
        <f>(AN71+AN89)/AN87</f>
        <v>#REF!</v>
      </c>
      <c r="AO91" s="2396">
        <f>(AO71+AO89)/AO87</f>
        <v>18.832255062588629</v>
      </c>
      <c r="AP91" s="2406" t="e">
        <f t="shared" si="63"/>
        <v>#REF!</v>
      </c>
      <c r="AQ91" s="2406" t="e">
        <f>AP91</f>
        <v>#REF!</v>
      </c>
      <c r="AR91" s="2406" t="e">
        <f t="shared" si="64"/>
        <v>#REF!</v>
      </c>
      <c r="AS91" s="2406" t="e">
        <f t="shared" si="505"/>
        <v>#REF!</v>
      </c>
      <c r="AT91" s="2396">
        <f>(AT71+AT89)/AT87</f>
        <v>28.472176098930909</v>
      </c>
      <c r="AU91" s="2396">
        <f>AU88</f>
        <v>28.563201351485883</v>
      </c>
      <c r="AV91" s="2396">
        <f>(AV71+AV89)/AV87</f>
        <v>15.338095898520834</v>
      </c>
      <c r="AW91" s="2396">
        <f>(AW71+AW89)/AW87</f>
        <v>30.741139873347407</v>
      </c>
      <c r="AX91" s="2396">
        <f>AX88</f>
        <v>30.808210621444896</v>
      </c>
      <c r="AY91" s="2396">
        <f>(AY71+AY89)/AY87</f>
        <v>16.891877058177826</v>
      </c>
      <c r="AZ91" s="2396">
        <f>(AZ71+AZ89)/AZ87</f>
        <v>35.399368277928524</v>
      </c>
      <c r="BA91" s="2407" t="e">
        <f t="shared" si="70"/>
        <v>#REF!</v>
      </c>
      <c r="BB91" s="2396">
        <f>(BB71+BB89)/BB87</f>
        <v>35.467394829901259</v>
      </c>
      <c r="BC91" s="2396">
        <f>(BC71+BC89)/BC87</f>
        <v>22.730242340437737</v>
      </c>
      <c r="BD91" s="2396">
        <f>(BD71+BD89)/BD87</f>
        <v>31.548380628661945</v>
      </c>
      <c r="BE91" s="2396">
        <f t="shared" ref="BE91:BL91" si="804">(BE71+BE89)/BE87</f>
        <v>31.631511575879816</v>
      </c>
      <c r="BF91" s="2396">
        <f t="shared" si="804"/>
        <v>16.066243006456386</v>
      </c>
      <c r="BG91" s="2396">
        <f t="shared" si="804"/>
        <v>33.787241435352527</v>
      </c>
      <c r="BH91" s="2396">
        <f t="shared" si="804"/>
        <v>33.798216098296848</v>
      </c>
      <c r="BI91" s="2396">
        <f t="shared" si="804"/>
        <v>17.479166666666668</v>
      </c>
      <c r="BJ91" s="2396">
        <f t="shared" si="804"/>
        <v>36.88005971177585</v>
      </c>
      <c r="BK91" s="2396">
        <f t="shared" si="804"/>
        <v>36.889955686853767</v>
      </c>
      <c r="BL91" s="2396">
        <f t="shared" si="804"/>
        <v>16.440677966101696</v>
      </c>
      <c r="BM91" s="2396"/>
      <c r="BN91" s="2396"/>
      <c r="BO91" s="2396"/>
      <c r="BP91" s="2396"/>
      <c r="BQ91" s="2396"/>
      <c r="BR91" s="2396"/>
      <c r="BS91" s="2396">
        <f>BS90/BS87</f>
        <v>48.055278779472943</v>
      </c>
      <c r="BT91" s="2396">
        <f t="shared" ref="BT91:BU91" si="805">BT90/BT87</f>
        <v>48.094441666666654</v>
      </c>
      <c r="BU91" s="2396">
        <f t="shared" si="805"/>
        <v>19.857999999999997</v>
      </c>
      <c r="BV91" s="2396">
        <f>BV90/BV87</f>
        <v>40.294652117864288</v>
      </c>
      <c r="BW91" s="2396">
        <f t="shared" ref="BW91:BX91" si="806">BW90/BW87</f>
        <v>40.305718614059224</v>
      </c>
      <c r="BX91" s="2396">
        <f t="shared" si="806"/>
        <v>17.407481617784892</v>
      </c>
      <c r="BY91" s="2396"/>
      <c r="BZ91" s="2396"/>
      <c r="CA91" s="2396"/>
      <c r="CB91" s="2408"/>
    </row>
    <row r="92" spans="1:146" ht="21" hidden="1" customHeight="1" x14ac:dyDescent="0.2">
      <c r="A92" s="2397" t="s">
        <v>310</v>
      </c>
      <c r="B92" s="2412"/>
      <c r="C92" s="2412"/>
      <c r="D92" s="2412"/>
      <c r="E92" s="2412"/>
      <c r="F92" s="2400"/>
      <c r="G92" s="2400"/>
      <c r="H92" s="2400"/>
      <c r="I92" s="2401"/>
      <c r="J92" s="2413"/>
      <c r="K92" s="2413"/>
      <c r="L92" s="2413"/>
      <c r="M92" s="2402"/>
      <c r="N92" s="2402"/>
      <c r="O92" s="2401"/>
      <c r="P92" s="2402"/>
      <c r="Q92" s="2403"/>
      <c r="R92" s="2402"/>
      <c r="S92" s="2402"/>
      <c r="T92" s="2401"/>
      <c r="U92" s="2401"/>
      <c r="V92" s="2401"/>
      <c r="W92" s="2401"/>
      <c r="X92" s="2401"/>
      <c r="Y92" s="2396">
        <v>4665</v>
      </c>
      <c r="Z92" s="2404"/>
      <c r="AA92" s="2396">
        <f>AC92+AD92</f>
        <v>4665</v>
      </c>
      <c r="AB92" s="2404"/>
      <c r="AC92" s="2396">
        <f>4665</f>
        <v>4665</v>
      </c>
      <c r="AD92" s="2396">
        <v>0</v>
      </c>
      <c r="AE92" s="2396">
        <f>AF92</f>
        <v>824.7</v>
      </c>
      <c r="AF92" s="2396">
        <f>'кап влож'!N16</f>
        <v>824.7</v>
      </c>
      <c r="AG92" s="2396">
        <v>0</v>
      </c>
      <c r="AH92" s="2394">
        <f t="shared" si="59"/>
        <v>4274</v>
      </c>
      <c r="AI92" s="2405">
        <f t="shared" si="60"/>
        <v>0.91618435155412647</v>
      </c>
      <c r="AJ92" s="2396">
        <v>4274</v>
      </c>
      <c r="AK92" s="2396">
        <v>0</v>
      </c>
      <c r="AL92" s="2394">
        <f t="shared" si="61"/>
        <v>4444</v>
      </c>
      <c r="AM92" s="2405">
        <f t="shared" si="62"/>
        <v>0.95262593783494109</v>
      </c>
      <c r="AN92" s="2396">
        <v>4444</v>
      </c>
      <c r="AO92" s="2396">
        <v>0</v>
      </c>
      <c r="AP92" s="2406">
        <f t="shared" si="63"/>
        <v>0</v>
      </c>
      <c r="AQ92" s="2406">
        <f>AP92*AC92/AA92</f>
        <v>0</v>
      </c>
      <c r="AR92" s="2406">
        <f t="shared" si="64"/>
        <v>0</v>
      </c>
      <c r="AS92" s="2406">
        <f t="shared" si="505"/>
        <v>0</v>
      </c>
      <c r="AT92" s="2396">
        <v>0</v>
      </c>
      <c r="AU92" s="2396">
        <v>0</v>
      </c>
      <c r="AV92" s="2396">
        <v>0</v>
      </c>
      <c r="AW92" s="2396">
        <f>AY92+CE92</f>
        <v>0</v>
      </c>
      <c r="AX92" s="2396">
        <v>0</v>
      </c>
      <c r="AY92" s="2396">
        <v>0</v>
      </c>
      <c r="AZ92" s="2394">
        <f t="shared" ref="AZ92" si="807">SUM(BB92+BC92)</f>
        <v>3976</v>
      </c>
      <c r="BA92" s="2407">
        <f t="shared" si="70"/>
        <v>0.89468946894689472</v>
      </c>
      <c r="BB92" s="2396">
        <v>3976</v>
      </c>
      <c r="BC92" s="2396">
        <v>0</v>
      </c>
      <c r="BD92" s="2394">
        <f t="shared" ref="BD92" si="808">SUM(BE92+BF92)</f>
        <v>3976</v>
      </c>
      <c r="BE92" s="2396">
        <f>BB92</f>
        <v>3976</v>
      </c>
      <c r="BF92" s="2396">
        <v>0</v>
      </c>
      <c r="BG92" s="2394">
        <v>0</v>
      </c>
      <c r="BH92" s="2396">
        <v>0</v>
      </c>
      <c r="BI92" s="2396">
        <v>0</v>
      </c>
      <c r="BJ92" s="2394">
        <v>0</v>
      </c>
      <c r="BK92" s="2396">
        <v>0</v>
      </c>
      <c r="BL92" s="2396">
        <v>0</v>
      </c>
      <c r="BM92" s="2396"/>
      <c r="BN92" s="2396"/>
      <c r="BO92" s="2396"/>
      <c r="BP92" s="2396"/>
      <c r="BQ92" s="2396"/>
      <c r="BR92" s="2396"/>
      <c r="BS92" s="2394">
        <v>0</v>
      </c>
      <c r="BT92" s="2396">
        <v>0</v>
      </c>
      <c r="BU92" s="2396">
        <v>0</v>
      </c>
      <c r="BV92" s="2394">
        <v>0</v>
      </c>
      <c r="BW92" s="2396">
        <v>0</v>
      </c>
      <c r="BX92" s="2396">
        <v>0</v>
      </c>
      <c r="BY92" s="2396"/>
      <c r="BZ92" s="2396"/>
      <c r="CA92" s="2396"/>
      <c r="CB92" s="2415" t="s">
        <v>961</v>
      </c>
    </row>
    <row r="93" spans="1:146" ht="21" hidden="1" customHeight="1" x14ac:dyDescent="0.2">
      <c r="A93" s="2411" t="s">
        <v>528</v>
      </c>
      <c r="B93" s="2412"/>
      <c r="C93" s="2412"/>
      <c r="D93" s="2412"/>
      <c r="E93" s="2412"/>
      <c r="F93" s="2400"/>
      <c r="G93" s="2400"/>
      <c r="H93" s="2400"/>
      <c r="I93" s="2401"/>
      <c r="J93" s="2413"/>
      <c r="K93" s="2413"/>
      <c r="L93" s="2413"/>
      <c r="M93" s="2402"/>
      <c r="N93" s="2402"/>
      <c r="O93" s="2401"/>
      <c r="P93" s="2402"/>
      <c r="Q93" s="2403"/>
      <c r="R93" s="2402"/>
      <c r="S93" s="2402"/>
      <c r="T93" s="2401"/>
      <c r="U93" s="2401"/>
      <c r="V93" s="2401"/>
      <c r="W93" s="2401"/>
      <c r="X93" s="2401"/>
      <c r="Y93" s="2396">
        <f>Y71+Y89+Y92</f>
        <v>143458.20000000001</v>
      </c>
      <c r="Z93" s="2404"/>
      <c r="AA93" s="2396" t="e">
        <f>AC93+AD93</f>
        <v>#REF!</v>
      </c>
      <c r="AB93" s="2404"/>
      <c r="AC93" s="2396" t="e">
        <f>AC71+AC89+AC92+0.02</f>
        <v>#REF!</v>
      </c>
      <c r="AD93" s="2396" t="e">
        <f>AD71+AD89+AD92</f>
        <v>#REF!</v>
      </c>
      <c r="AE93" s="2396">
        <f>SUM(AF93:AG93)</f>
        <v>114144.7293911</v>
      </c>
      <c r="AF93" s="2396">
        <f>AF71+AF89+AF92</f>
        <v>113340.15483007004</v>
      </c>
      <c r="AG93" s="2396">
        <f>AG71+AG89+AG92</f>
        <v>804.57456102995798</v>
      </c>
      <c r="AH93" s="2396">
        <f>AH71+AH89+AH92</f>
        <v>131924.00433</v>
      </c>
      <c r="AI93" s="2405" t="e">
        <f t="shared" si="60"/>
        <v>#REF!</v>
      </c>
      <c r="AJ93" s="2396">
        <f>AJ71+AJ89+AJ92</f>
        <v>131090.36433000001</v>
      </c>
      <c r="AK93" s="2396">
        <f>AK71+AK89+AK92</f>
        <v>833.64</v>
      </c>
      <c r="AL93" s="2396" t="e">
        <f>AL71+AL89+AL92</f>
        <v>#REF!</v>
      </c>
      <c r="AM93" s="2405" t="e">
        <f t="shared" si="62"/>
        <v>#REF!</v>
      </c>
      <c r="AN93" s="2396" t="e">
        <f>AN71+AN89+AN92</f>
        <v>#REF!</v>
      </c>
      <c r="AO93" s="2396">
        <f>AO71+AO89+AO92</f>
        <v>868.7319260372135</v>
      </c>
      <c r="AP93" s="2406" t="e">
        <f t="shared" si="63"/>
        <v>#REF!</v>
      </c>
      <c r="AQ93" s="2406" t="e">
        <f>AP93-AR93</f>
        <v>#REF!</v>
      </c>
      <c r="AR93" s="2406" t="e">
        <f>AR71</f>
        <v>#REF!</v>
      </c>
      <c r="AS93" s="2406" t="e">
        <f t="shared" si="505"/>
        <v>#REF!</v>
      </c>
      <c r="AT93" s="2396">
        <f>AU93+AV93</f>
        <v>56673.2970814</v>
      </c>
      <c r="AU93" s="2396">
        <f>AU71+AU89+AU92</f>
        <v>56463.165167590261</v>
      </c>
      <c r="AV93" s="2396">
        <f>AV71+AV89+AV92</f>
        <v>210.13191380973541</v>
      </c>
      <c r="AW93" s="2396">
        <f>AX93+AY93</f>
        <v>116214.44</v>
      </c>
      <c r="AX93" s="2396">
        <f>AX71+AX89+AX92+0.02</f>
        <v>115906.67</v>
      </c>
      <c r="AY93" s="2396">
        <f>AY71+AY89+AY92</f>
        <v>307.77</v>
      </c>
      <c r="AZ93" s="2396">
        <f>AZ71+AZ89+AZ92</f>
        <v>145950.01619208642</v>
      </c>
      <c r="BA93" s="2407" t="e">
        <f t="shared" si="70"/>
        <v>#REF!</v>
      </c>
      <c r="BB93" s="2396">
        <f>BB71+BB89+BB92</f>
        <v>145463.13440115421</v>
      </c>
      <c r="BC93" s="2396">
        <f>BC71+BC89+BC92</f>
        <v>486.88179093217639</v>
      </c>
      <c r="BD93" s="2396">
        <f>BD71+BD89+BD92</f>
        <v>130505.10263939487</v>
      </c>
      <c r="BE93" s="2396">
        <f t="shared" ref="BE93:BL93" si="809">BE71+BE89+BE92</f>
        <v>130160.96371419655</v>
      </c>
      <c r="BF93" s="2396">
        <f t="shared" si="809"/>
        <v>344.13892519829579</v>
      </c>
      <c r="BG93" s="2396">
        <f t="shared" si="809"/>
        <v>120577.87999999999</v>
      </c>
      <c r="BH93" s="2396">
        <f t="shared" si="809"/>
        <v>120535.92999999998</v>
      </c>
      <c r="BI93" s="2396">
        <f t="shared" si="809"/>
        <v>41.95</v>
      </c>
      <c r="BJ93" s="2396">
        <f t="shared" si="809"/>
        <v>134891.4</v>
      </c>
      <c r="BK93" s="2396">
        <f t="shared" si="809"/>
        <v>134862.30000000002</v>
      </c>
      <c r="BL93" s="2396">
        <f t="shared" si="809"/>
        <v>29.1</v>
      </c>
      <c r="BM93" s="2396"/>
      <c r="BN93" s="2396"/>
      <c r="BO93" s="2396"/>
      <c r="BP93" s="2396"/>
      <c r="BQ93" s="2396"/>
      <c r="BR93" s="2396"/>
      <c r="BS93" s="2396">
        <f>(BS90+BS92)/BS87</f>
        <v>48.055278779472943</v>
      </c>
      <c r="BT93" s="2396">
        <f t="shared" ref="BT93:BU93" si="810">(BT90+BT92)/BT87</f>
        <v>48.094441666666654</v>
      </c>
      <c r="BU93" s="2396">
        <f t="shared" si="810"/>
        <v>19.857999999999997</v>
      </c>
      <c r="BV93" s="2396">
        <f>(BV90+BV92)/BV87</f>
        <v>40.294652117864288</v>
      </c>
      <c r="BW93" s="2396">
        <f t="shared" ref="BW93:BX93" si="811">(BW90+BW92)/BW87</f>
        <v>40.305718614059224</v>
      </c>
      <c r="BX93" s="2396">
        <f t="shared" si="811"/>
        <v>17.407481617784892</v>
      </c>
      <c r="BY93" s="2396"/>
      <c r="BZ93" s="2396"/>
      <c r="CA93" s="2396"/>
      <c r="CB93" s="2408"/>
    </row>
    <row r="94" spans="1:146" ht="37.5" hidden="1" customHeight="1" x14ac:dyDescent="0.2">
      <c r="A94" s="2411" t="s">
        <v>311</v>
      </c>
      <c r="B94" s="2412"/>
      <c r="C94" s="2412"/>
      <c r="D94" s="2412"/>
      <c r="E94" s="2412"/>
      <c r="F94" s="2400"/>
      <c r="G94" s="2400"/>
      <c r="H94" s="2400"/>
      <c r="I94" s="2401"/>
      <c r="J94" s="2413"/>
      <c r="K94" s="2413"/>
      <c r="L94" s="2413"/>
      <c r="M94" s="2402"/>
      <c r="N94" s="2402"/>
      <c r="O94" s="2401"/>
      <c r="P94" s="2402"/>
      <c r="Q94" s="2403"/>
      <c r="R94" s="2402"/>
      <c r="S94" s="2402"/>
      <c r="T94" s="2401"/>
      <c r="U94" s="2401"/>
      <c r="V94" s="2401"/>
      <c r="W94" s="2401"/>
      <c r="X94" s="2401"/>
      <c r="Y94" s="2396">
        <f>Y93/Y87</f>
        <v>35.864550000000001</v>
      </c>
      <c r="Z94" s="2404"/>
      <c r="AA94" s="2396" t="e">
        <f>AA93/AA87</f>
        <v>#REF!</v>
      </c>
      <c r="AB94" s="2404"/>
      <c r="AC94" s="2396" t="e">
        <f>AC93/AC87+0.02</f>
        <v>#REF!</v>
      </c>
      <c r="AD94" s="2396" t="e">
        <f>AD93/AD87</f>
        <v>#REF!</v>
      </c>
      <c r="AE94" s="2396">
        <f>AE93/AE87</f>
        <v>28.260641097078484</v>
      </c>
      <c r="AF94" s="2396">
        <f>AF93/AF87+0.02</f>
        <v>28.431750433688467</v>
      </c>
      <c r="AG94" s="2396">
        <f>AG93/AG87</f>
        <v>16.156115683332491</v>
      </c>
      <c r="AH94" s="2396">
        <f>AH93/AH87</f>
        <v>32.554536652354159</v>
      </c>
      <c r="AI94" s="2405" t="e">
        <f t="shared" si="60"/>
        <v>#REF!</v>
      </c>
      <c r="AJ94" s="2396">
        <f>AJ93/AJ87</f>
        <v>32.721300444053945</v>
      </c>
      <c r="AK94" s="2396">
        <f>AK93/AK87</f>
        <v>18.071536960763058</v>
      </c>
      <c r="AL94" s="2396" t="e">
        <f>AL93/AL87</f>
        <v>#REF!</v>
      </c>
      <c r="AM94" s="2405" t="e">
        <f t="shared" si="62"/>
        <v>#REF!</v>
      </c>
      <c r="AN94" s="2396" t="e">
        <f>AN93/AN87</f>
        <v>#REF!</v>
      </c>
      <c r="AO94" s="2396">
        <f>AO93/AO87</f>
        <v>18.832255062588629</v>
      </c>
      <c r="AP94" s="2406" t="e">
        <f t="shared" si="63"/>
        <v>#REF!</v>
      </c>
      <c r="AQ94" s="2406" t="e">
        <f>AP94</f>
        <v>#REF!</v>
      </c>
      <c r="AR94" s="2406" t="e">
        <f t="shared" si="64"/>
        <v>#REF!</v>
      </c>
      <c r="AS94" s="2406" t="e">
        <f t="shared" si="505"/>
        <v>#REF!</v>
      </c>
      <c r="AT94" s="2396">
        <f>AT93/AT87</f>
        <v>28.472176098930913</v>
      </c>
      <c r="AU94" s="2396">
        <f>AU93/AU87+0.02</f>
        <v>28.583201351485883</v>
      </c>
      <c r="AV94" s="2396">
        <f>AV93/AV87</f>
        <v>15.338095898520834</v>
      </c>
      <c r="AW94" s="2396">
        <f>AW93/AW87</f>
        <v>30.741145163764873</v>
      </c>
      <c r="AX94" s="2396">
        <f>AX93/AX87+0.02</f>
        <v>30.828215937483385</v>
      </c>
      <c r="AY94" s="2396">
        <f>AY93/AY87</f>
        <v>16.891877058177826</v>
      </c>
      <c r="AZ94" s="2396">
        <f>AZ93/AZ87</f>
        <v>36.390731993966654</v>
      </c>
      <c r="BA94" s="2407" t="e">
        <f t="shared" si="70"/>
        <v>#REF!</v>
      </c>
      <c r="BB94" s="2396">
        <f>BB93/BB87</f>
        <v>36.464081648392209</v>
      </c>
      <c r="BC94" s="2396">
        <f>BC93/BC87</f>
        <v>22.730242340437737</v>
      </c>
      <c r="BD94" s="2396">
        <f>BD93/BD87</f>
        <v>32.539744344700075</v>
      </c>
      <c r="BE94" s="2396">
        <f t="shared" ref="BE94:BV94" si="812">BE93/BE87</f>
        <v>32.628198394370763</v>
      </c>
      <c r="BF94" s="2396">
        <f t="shared" si="812"/>
        <v>16.066243006456386</v>
      </c>
      <c r="BG94" s="2396">
        <f t="shared" si="812"/>
        <v>33.787241435352527</v>
      </c>
      <c r="BH94" s="2396">
        <f t="shared" si="812"/>
        <v>33.798216098296848</v>
      </c>
      <c r="BI94" s="2396">
        <f t="shared" si="812"/>
        <v>17.479166666666668</v>
      </c>
      <c r="BJ94" s="2396">
        <f t="shared" si="812"/>
        <v>36.88005971177585</v>
      </c>
      <c r="BK94" s="2396">
        <f t="shared" si="812"/>
        <v>36.889955686853767</v>
      </c>
      <c r="BL94" s="2396">
        <f t="shared" si="812"/>
        <v>16.440677966101696</v>
      </c>
      <c r="BM94" s="2396"/>
      <c r="BN94" s="2396"/>
      <c r="BO94" s="2396"/>
      <c r="BP94" s="2396"/>
      <c r="BQ94" s="2396"/>
      <c r="BR94" s="2396"/>
      <c r="BS94" s="2396">
        <f>BS93/BS87</f>
        <v>1.3330174418716489E-2</v>
      </c>
      <c r="BT94" s="2396">
        <f t="shared" si="812"/>
        <v>1.3359567129629626E-2</v>
      </c>
      <c r="BU94" s="2396">
        <f t="shared" si="812"/>
        <v>3.9715999999999996</v>
      </c>
      <c r="BV94" s="2396">
        <f t="shared" si="812"/>
        <v>1.1002268450391489E-2</v>
      </c>
      <c r="BW94" s="2396"/>
      <c r="BX94" s="2396"/>
      <c r="BY94" s="2396"/>
      <c r="BZ94" s="2396"/>
      <c r="CA94" s="2396"/>
      <c r="CB94" s="2408"/>
    </row>
    <row r="95" spans="1:146" hidden="1" x14ac:dyDescent="0.25">
      <c r="A95" s="27"/>
      <c r="Q95" s="26"/>
      <c r="R95" s="26"/>
      <c r="S95" s="26"/>
      <c r="T95" s="26"/>
      <c r="Y95" s="363"/>
      <c r="Z95" s="365"/>
      <c r="AA95" s="363"/>
      <c r="AB95" s="365"/>
      <c r="AC95" s="364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3"/>
      <c r="AO95" s="363"/>
      <c r="BD95" s="155">
        <f>BE87</f>
        <v>3989.2170000000001</v>
      </c>
      <c r="BE95">
        <f>BD95/2</f>
        <v>1994.6085</v>
      </c>
      <c r="BF95">
        <f>BE95</f>
        <v>1994.6085</v>
      </c>
      <c r="CB95" s="161"/>
    </row>
    <row r="96" spans="1:146" hidden="1" x14ac:dyDescent="0.25">
      <c r="A96" s="5561" t="s">
        <v>421</v>
      </c>
      <c r="B96" s="5562"/>
      <c r="C96" s="5562"/>
      <c r="D96" s="5562"/>
      <c r="E96" s="5562"/>
      <c r="F96" s="5562"/>
      <c r="G96" s="5562"/>
      <c r="H96" s="5562"/>
      <c r="K96" s="5562" t="s">
        <v>422</v>
      </c>
      <c r="L96" s="5562"/>
      <c r="M96" s="5562"/>
      <c r="N96" s="5562"/>
      <c r="O96" s="5562"/>
      <c r="P96" s="5562"/>
      <c r="Q96" s="5562"/>
      <c r="R96" s="5562"/>
      <c r="S96" s="5562"/>
      <c r="T96" s="5562"/>
      <c r="Y96" s="363"/>
      <c r="Z96" s="365"/>
      <c r="AA96" s="363"/>
      <c r="AB96" s="365"/>
      <c r="AC96" s="364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3"/>
      <c r="AO96" s="363"/>
      <c r="CB96" s="161"/>
    </row>
    <row r="97" spans="1:80" ht="26.25" hidden="1" x14ac:dyDescent="0.25">
      <c r="A97" s="366" t="s">
        <v>248</v>
      </c>
      <c r="B97" s="25"/>
      <c r="C97" s="25"/>
      <c r="D97" s="25"/>
      <c r="E97" s="154">
        <f>H97/2</f>
        <v>2003.135</v>
      </c>
      <c r="F97" s="154"/>
      <c r="G97" s="154">
        <f>H97-E97</f>
        <v>2003.135</v>
      </c>
      <c r="H97" s="154">
        <f>AN87</f>
        <v>4006.27</v>
      </c>
      <c r="K97" s="182" t="s">
        <v>248</v>
      </c>
      <c r="L97" s="166">
        <f>E97</f>
        <v>2003.135</v>
      </c>
      <c r="M97" s="25"/>
      <c r="N97" s="25"/>
      <c r="O97" s="154">
        <f>CE71/2</f>
        <v>0</v>
      </c>
      <c r="P97" s="154" t="e">
        <f>S97/2</f>
        <v>#REF!</v>
      </c>
      <c r="Q97" s="154">
        <f>G97</f>
        <v>2003.135</v>
      </c>
      <c r="R97" s="154">
        <f>CE71</f>
        <v>0</v>
      </c>
      <c r="S97" s="154" t="e">
        <f>AA87</f>
        <v>#REF!</v>
      </c>
      <c r="T97" s="154">
        <f>AN87</f>
        <v>4006.27</v>
      </c>
      <c r="X97" s="224" t="s">
        <v>312</v>
      </c>
      <c r="Y97" s="25" t="s">
        <v>250</v>
      </c>
      <c r="Z97" s="25" t="s">
        <v>251</v>
      </c>
      <c r="AA97" s="25">
        <v>2014</v>
      </c>
      <c r="AN97" s="155" t="e">
        <f>#REF!-AN92</f>
        <v>#REF!</v>
      </c>
      <c r="CB97" s="161"/>
    </row>
    <row r="98" spans="1:80" ht="39" hidden="1" x14ac:dyDescent="0.25">
      <c r="A98" s="14" t="s">
        <v>281</v>
      </c>
      <c r="B98" s="25"/>
      <c r="C98" s="25"/>
      <c r="D98" s="25"/>
      <c r="E98" s="227" t="e">
        <f>#REF!</f>
        <v>#REF!</v>
      </c>
      <c r="F98" s="227"/>
      <c r="G98" s="227" t="e">
        <f>G99/G97</f>
        <v>#REF!</v>
      </c>
      <c r="H98" s="227" t="e">
        <f>AN91</f>
        <v>#REF!</v>
      </c>
      <c r="K98" s="182" t="s">
        <v>281</v>
      </c>
      <c r="L98" s="227">
        <v>30</v>
      </c>
      <c r="M98" s="228"/>
      <c r="N98" s="228"/>
      <c r="O98" s="227">
        <v>26.38</v>
      </c>
      <c r="P98" s="227" t="e">
        <f>P99/P97</f>
        <v>#REF!</v>
      </c>
      <c r="Q98" s="227" t="e">
        <f>Q99/Q97</f>
        <v>#REF!</v>
      </c>
      <c r="R98" s="227">
        <f>CE91</f>
        <v>0</v>
      </c>
      <c r="S98" s="227" t="e">
        <f>AA94</f>
        <v>#REF!</v>
      </c>
      <c r="T98" s="227" t="e">
        <f>AN94</f>
        <v>#REF!</v>
      </c>
      <c r="X98" s="225" t="s">
        <v>248</v>
      </c>
      <c r="Y98" s="154">
        <f>AA98/2</f>
        <v>1400</v>
      </c>
      <c r="Z98" s="154">
        <f>AA98/2</f>
        <v>1400</v>
      </c>
      <c r="AA98" s="154">
        <f>'объемы ВС и ВО 2023'!G50</f>
        <v>2800</v>
      </c>
      <c r="AD98" s="155"/>
      <c r="AE98" s="155"/>
      <c r="AF98" s="155"/>
      <c r="AG98" s="155"/>
      <c r="AH98" s="155"/>
      <c r="AI98" s="155"/>
      <c r="AJ98" s="325"/>
      <c r="AK98" s="325"/>
      <c r="AL98" s="155"/>
      <c r="AM98" s="155"/>
      <c r="AN98" s="155"/>
      <c r="AO98" s="155"/>
      <c r="AP98" s="155"/>
      <c r="AQ98" s="155"/>
      <c r="AR98" s="155"/>
      <c r="AS98" s="155"/>
      <c r="AT98" s="155"/>
      <c r="AU98" s="155"/>
      <c r="AV98" s="155"/>
      <c r="AW98" s="155"/>
      <c r="AX98" s="155"/>
      <c r="AY98" s="155"/>
      <c r="AZ98" s="155"/>
      <c r="BA98" s="1364"/>
      <c r="BB98" s="155"/>
      <c r="BC98" s="155"/>
      <c r="BD98" s="155"/>
      <c r="BE98" s="155"/>
      <c r="BF98" s="155"/>
      <c r="BG98" s="1654"/>
      <c r="BH98" s="1654"/>
      <c r="BI98" s="1654"/>
      <c r="BJ98" s="1654"/>
      <c r="BK98" s="1654"/>
      <c r="BL98" s="1654"/>
      <c r="BM98" s="1654"/>
      <c r="BN98" s="1654"/>
      <c r="BO98" s="1654"/>
      <c r="BP98" s="1654"/>
      <c r="BQ98" s="1654"/>
      <c r="BR98" s="1654"/>
      <c r="BS98" s="1654"/>
      <c r="BT98" s="1654"/>
      <c r="BU98" s="1654"/>
      <c r="BV98" s="1654"/>
      <c r="BW98" s="1654"/>
      <c r="BX98" s="1654"/>
      <c r="BY98" s="1654"/>
      <c r="BZ98" s="1654"/>
      <c r="CA98" s="1654"/>
      <c r="CB98" s="229"/>
    </row>
    <row r="99" spans="1:80" hidden="1" x14ac:dyDescent="0.25">
      <c r="A99" s="14" t="s">
        <v>249</v>
      </c>
      <c r="B99" s="25"/>
      <c r="C99" s="25"/>
      <c r="D99" s="25"/>
      <c r="E99" s="154" t="e">
        <f>E97*E98</f>
        <v>#REF!</v>
      </c>
      <c r="F99" s="154"/>
      <c r="G99" s="154" t="e">
        <f>H99-E99</f>
        <v>#REF!</v>
      </c>
      <c r="H99" s="154" t="e">
        <f>AN71+AN89</f>
        <v>#REF!</v>
      </c>
      <c r="K99" s="182" t="s">
        <v>249</v>
      </c>
      <c r="L99" s="154">
        <f>L97*L98</f>
        <v>60094.05</v>
      </c>
      <c r="M99" s="25"/>
      <c r="N99" s="25"/>
      <c r="O99" s="154">
        <f>O97*O98</f>
        <v>0</v>
      </c>
      <c r="P99" s="154" t="e">
        <f>S99-L99</f>
        <v>#REF!</v>
      </c>
      <c r="Q99" s="154" t="e">
        <f>T99-L99</f>
        <v>#REF!</v>
      </c>
      <c r="R99" s="154">
        <f>CE59+CE88</f>
        <v>0</v>
      </c>
      <c r="S99" s="154" t="e">
        <f>S97*S98</f>
        <v>#REF!</v>
      </c>
      <c r="T99" s="154" t="e">
        <f>AN93</f>
        <v>#REF!</v>
      </c>
      <c r="V99" s="155"/>
      <c r="X99" s="225" t="s">
        <v>111</v>
      </c>
      <c r="Y99" s="154">
        <v>19.14</v>
      </c>
      <c r="Z99" s="154">
        <f>Y99*1.184</f>
        <v>22.661760000000001</v>
      </c>
      <c r="AA99" s="226">
        <f>AA100/AA98</f>
        <v>20.900880000000001</v>
      </c>
      <c r="AD99" s="155"/>
      <c r="AE99" s="155"/>
      <c r="AF99" s="155"/>
      <c r="AG99" s="155"/>
      <c r="AH99" s="155"/>
      <c r="AI99" s="155"/>
      <c r="AJ99" s="325"/>
      <c r="AK99" s="325"/>
      <c r="AL99" s="155"/>
      <c r="AM99" s="155"/>
      <c r="AN99" s="155"/>
      <c r="AO99" s="155"/>
      <c r="AP99" s="155"/>
      <c r="AQ99" s="155"/>
      <c r="AR99" s="155"/>
      <c r="AS99" s="155"/>
      <c r="AT99" s="155"/>
      <c r="AU99" s="155"/>
      <c r="AV99" s="155"/>
      <c r="AW99" s="155"/>
      <c r="AX99" s="155"/>
      <c r="AY99" s="155"/>
      <c r="AZ99" s="155"/>
      <c r="BA99" s="1364"/>
      <c r="BB99" s="155"/>
      <c r="BC99" s="155"/>
      <c r="BD99" s="155"/>
      <c r="BE99" s="155"/>
      <c r="BF99" s="155"/>
      <c r="BG99" s="1654"/>
      <c r="BH99" s="1654"/>
      <c r="BI99" s="1654"/>
      <c r="BJ99" s="1654"/>
      <c r="BK99" s="1654"/>
      <c r="BL99" s="1654"/>
      <c r="BM99" s="1654"/>
      <c r="BN99" s="1654"/>
      <c r="BO99" s="1654"/>
      <c r="BP99" s="1654"/>
      <c r="BQ99" s="1654"/>
      <c r="BR99" s="1654"/>
      <c r="BS99" s="1654"/>
      <c r="BT99" s="1654"/>
      <c r="BU99" s="1654"/>
      <c r="BV99" s="1654"/>
      <c r="BW99" s="1654"/>
      <c r="BX99" s="1654"/>
      <c r="BY99" s="1654"/>
      <c r="BZ99" s="1654"/>
      <c r="CA99" s="1654"/>
      <c r="CB99" s="229"/>
    </row>
    <row r="100" spans="1:80" ht="26.25" hidden="1" customHeight="1" x14ac:dyDescent="0.25">
      <c r="A100" s="25"/>
      <c r="B100" s="25"/>
      <c r="C100" s="25"/>
      <c r="D100" s="25"/>
      <c r="E100" s="25"/>
      <c r="F100" s="25"/>
      <c r="G100" s="332" t="e">
        <f>G98/E98</f>
        <v>#REF!</v>
      </c>
      <c r="H100" s="25"/>
      <c r="K100" s="25"/>
      <c r="L100" s="25"/>
      <c r="M100" s="25"/>
      <c r="N100" s="25"/>
      <c r="O100" s="25"/>
      <c r="P100" s="183" t="e">
        <f>P98/L98</f>
        <v>#REF!</v>
      </c>
      <c r="Q100" s="330" t="e">
        <f>Q98/L98</f>
        <v>#REF!</v>
      </c>
      <c r="R100" s="25"/>
      <c r="S100" s="25"/>
      <c r="T100" s="331" t="e">
        <f>G98/L98</f>
        <v>#REF!</v>
      </c>
      <c r="X100" s="225" t="s">
        <v>309</v>
      </c>
      <c r="Y100" s="154">
        <f>Y98*Y99</f>
        <v>26796</v>
      </c>
      <c r="Z100" s="154">
        <f>Z98*Z99</f>
        <v>31726.464</v>
      </c>
      <c r="AA100" s="154">
        <f>Y100+Z100</f>
        <v>58522.464</v>
      </c>
      <c r="AD100" s="155"/>
      <c r="AE100" s="155"/>
      <c r="AF100" s="155"/>
      <c r="AG100" s="155"/>
      <c r="AH100" s="155"/>
      <c r="AI100" s="155"/>
      <c r="AJ100" s="325"/>
      <c r="AK100" s="325"/>
      <c r="AL100" s="155"/>
      <c r="AM100" s="155"/>
      <c r="AN100" s="155"/>
      <c r="AO100" s="155"/>
      <c r="AP100" s="155"/>
      <c r="AQ100" s="155"/>
      <c r="AR100" s="155"/>
      <c r="AS100" s="155"/>
      <c r="AT100" s="155"/>
      <c r="AU100" s="155"/>
      <c r="AV100" s="155"/>
      <c r="AW100" s="155"/>
      <c r="AX100" s="155"/>
      <c r="AY100" s="155"/>
      <c r="AZ100" s="155"/>
      <c r="BA100" s="1364"/>
      <c r="BB100" s="155"/>
      <c r="BC100" s="155"/>
      <c r="BD100" s="155"/>
      <c r="BE100" s="155"/>
      <c r="BF100" s="155"/>
      <c r="BG100" s="1654"/>
      <c r="BH100" s="1654"/>
      <c r="BI100" s="1654"/>
      <c r="BJ100" s="1654"/>
      <c r="BK100" s="1654"/>
      <c r="BL100" s="1654"/>
      <c r="BM100" s="1654"/>
      <c r="BN100" s="1654"/>
      <c r="BO100" s="1654"/>
      <c r="BP100" s="1654"/>
      <c r="BQ100" s="1654"/>
      <c r="BR100" s="1654"/>
      <c r="BS100" s="1654"/>
      <c r="BT100" s="1654"/>
      <c r="BU100" s="1654"/>
      <c r="BV100" s="1654"/>
      <c r="BW100" s="1654"/>
      <c r="BX100" s="1654"/>
      <c r="BY100" s="1654"/>
      <c r="BZ100" s="1654"/>
      <c r="CA100" s="1654"/>
      <c r="CB100" s="229"/>
    </row>
    <row r="101" spans="1:80" ht="18" hidden="1" customHeight="1" x14ac:dyDescent="0.25">
      <c r="A101" s="5563" t="s">
        <v>423</v>
      </c>
      <c r="B101" s="5551"/>
      <c r="C101" s="5551"/>
      <c r="D101" s="5551"/>
      <c r="E101" s="5551"/>
      <c r="F101" s="5551"/>
      <c r="G101" s="5551"/>
      <c r="H101" s="5564"/>
      <c r="K101" s="5551" t="s">
        <v>424</v>
      </c>
      <c r="L101" s="5551"/>
      <c r="M101" s="5551"/>
      <c r="N101" s="5551"/>
      <c r="O101" s="5551"/>
      <c r="P101" s="5551"/>
      <c r="Q101" s="5551"/>
      <c r="R101" s="5551"/>
      <c r="S101" s="5551"/>
      <c r="T101" s="5551"/>
      <c r="X101" s="225" t="s">
        <v>347</v>
      </c>
      <c r="Y101" s="25"/>
      <c r="Z101" s="160">
        <f>Z99/Y99</f>
        <v>1.1839999999999999</v>
      </c>
      <c r="AA101" s="25"/>
      <c r="CB101" s="230"/>
    </row>
    <row r="102" spans="1:80" hidden="1" x14ac:dyDescent="0.25">
      <c r="A102" s="25"/>
      <c r="B102" s="25"/>
      <c r="C102" s="25"/>
      <c r="D102" s="25"/>
      <c r="E102" s="25" t="s">
        <v>250</v>
      </c>
      <c r="F102" s="25"/>
      <c r="G102" s="25" t="s">
        <v>251</v>
      </c>
      <c r="H102" s="25" t="s">
        <v>227</v>
      </c>
      <c r="K102" s="25" t="s">
        <v>315</v>
      </c>
      <c r="L102" s="167" t="s">
        <v>250</v>
      </c>
      <c r="M102" s="167"/>
      <c r="N102" s="167"/>
      <c r="O102" s="167" t="s">
        <v>250</v>
      </c>
      <c r="P102" s="167" t="s">
        <v>251</v>
      </c>
      <c r="Q102" s="167" t="s">
        <v>251</v>
      </c>
      <c r="R102" s="167" t="s">
        <v>227</v>
      </c>
      <c r="S102" s="167" t="s">
        <v>227</v>
      </c>
      <c r="T102" s="25">
        <v>2014</v>
      </c>
      <c r="X102" s="225"/>
      <c r="Y102" s="25"/>
      <c r="Z102" s="154">
        <f>Z100-Y100</f>
        <v>4930.4639999999999</v>
      </c>
      <c r="AA102" s="25"/>
      <c r="CB102" s="229"/>
    </row>
    <row r="103" spans="1:80" hidden="1" x14ac:dyDescent="0.25">
      <c r="A103" s="14" t="s">
        <v>248</v>
      </c>
      <c r="B103" s="25"/>
      <c r="C103" s="25"/>
      <c r="D103" s="25"/>
      <c r="E103" s="154">
        <f>H103/2</f>
        <v>23.065000000000001</v>
      </c>
      <c r="F103" s="154"/>
      <c r="G103" s="154">
        <f>H103-E103</f>
        <v>23.065000000000001</v>
      </c>
      <c r="H103" s="154">
        <f>AO87</f>
        <v>46.13</v>
      </c>
      <c r="K103" s="182" t="s">
        <v>248</v>
      </c>
      <c r="L103" s="166" t="e">
        <f>T103/2</f>
        <v>#REF!</v>
      </c>
      <c r="M103" s="25"/>
      <c r="N103" s="25"/>
      <c r="O103" s="154" t="e">
        <f>#REF!/2</f>
        <v>#REF!</v>
      </c>
      <c r="P103" s="154" t="e">
        <f>S103/2</f>
        <v>#REF!</v>
      </c>
      <c r="Q103" s="154" t="e">
        <f>T103/2</f>
        <v>#REF!</v>
      </c>
      <c r="R103" s="154" t="e">
        <f>#REF!</f>
        <v>#REF!</v>
      </c>
      <c r="S103" s="154" t="e">
        <f>AA88</f>
        <v>#REF!</v>
      </c>
      <c r="T103" s="154" t="e">
        <f>стоки!Z75</f>
        <v>#REF!</v>
      </c>
      <c r="X103" s="225"/>
      <c r="Y103" s="25"/>
      <c r="Z103" s="25"/>
      <c r="AA103" s="25"/>
      <c r="CB103" s="161"/>
    </row>
    <row r="104" spans="1:80" ht="27.75" hidden="1" customHeight="1" x14ac:dyDescent="0.25">
      <c r="A104" s="14" t="s">
        <v>282</v>
      </c>
      <c r="B104" s="25"/>
      <c r="C104" s="25"/>
      <c r="D104" s="25"/>
      <c r="E104" s="227">
        <v>17.57</v>
      </c>
      <c r="F104" s="227"/>
      <c r="G104" s="227">
        <f>G105/G103</f>
        <v>20.094510125177255</v>
      </c>
      <c r="H104" s="227">
        <f>AO94</f>
        <v>18.832255062588629</v>
      </c>
      <c r="K104" s="182" t="s">
        <v>317</v>
      </c>
      <c r="L104" s="227">
        <f>стоки!L144</f>
        <v>0</v>
      </c>
      <c r="M104" s="227"/>
      <c r="N104" s="227"/>
      <c r="O104" s="227">
        <v>26.38</v>
      </c>
      <c r="P104" s="227" t="e">
        <f>P105/P103</f>
        <v>#REF!</v>
      </c>
      <c r="Q104" s="227" t="e">
        <f>Q105/Q103</f>
        <v>#REF!</v>
      </c>
      <c r="R104" s="227">
        <f>CE97</f>
        <v>0</v>
      </c>
      <c r="S104" s="227">
        <f>AA100</f>
        <v>58522.464</v>
      </c>
      <c r="T104" s="227" t="e">
        <f>стоки!AK85</f>
        <v>#REF!</v>
      </c>
      <c r="X104" s="224" t="s">
        <v>313</v>
      </c>
      <c r="Y104" s="25" t="s">
        <v>250</v>
      </c>
      <c r="Z104" s="25" t="s">
        <v>251</v>
      </c>
      <c r="AA104" s="25">
        <v>2014</v>
      </c>
      <c r="CB104" s="161"/>
    </row>
    <row r="105" spans="1:80" hidden="1" x14ac:dyDescent="0.25">
      <c r="A105" s="14" t="s">
        <v>249</v>
      </c>
      <c r="B105" s="25"/>
      <c r="C105" s="25"/>
      <c r="D105" s="25"/>
      <c r="E105" s="154">
        <f>E103*E104</f>
        <v>405.25205000000005</v>
      </c>
      <c r="F105" s="154"/>
      <c r="G105" s="154">
        <f>H105-E105</f>
        <v>463.47987603721344</v>
      </c>
      <c r="H105" s="154">
        <f>AO93</f>
        <v>868.7319260372135</v>
      </c>
      <c r="K105" s="182" t="s">
        <v>249</v>
      </c>
      <c r="L105" s="154" t="e">
        <f>L103*L104</f>
        <v>#REF!</v>
      </c>
      <c r="M105" s="25"/>
      <c r="N105" s="25"/>
      <c r="O105" s="154" t="e">
        <f>O103*O104</f>
        <v>#REF!</v>
      </c>
      <c r="P105" s="154" t="e">
        <f>S105-L105</f>
        <v>#REF!</v>
      </c>
      <c r="Q105" s="154" t="e">
        <f>T105-L105</f>
        <v>#REF!</v>
      </c>
      <c r="R105" s="154" t="e">
        <f>#REF!+CE95</f>
        <v>#REF!</v>
      </c>
      <c r="S105" s="154" t="e">
        <f>S103*S104</f>
        <v>#REF!</v>
      </c>
      <c r="T105" s="154" t="e">
        <f>стоки!AK84</f>
        <v>#REF!</v>
      </c>
      <c r="X105" s="225" t="s">
        <v>248</v>
      </c>
      <c r="Y105" s="154">
        <f>AA105/2</f>
        <v>1300</v>
      </c>
      <c r="Z105" s="154">
        <f>AA105/2</f>
        <v>1300</v>
      </c>
      <c r="AA105" s="154">
        <f>'объемы ВС и ВО 2023'!G64</f>
        <v>2600</v>
      </c>
      <c r="CB105" s="161"/>
    </row>
    <row r="106" spans="1:80" ht="26.25" hidden="1" customHeight="1" x14ac:dyDescent="0.25">
      <c r="A106" s="25"/>
      <c r="B106" s="25"/>
      <c r="C106" s="25"/>
      <c r="D106" s="25"/>
      <c r="E106" s="25"/>
      <c r="F106" s="25"/>
      <c r="G106" s="329">
        <f>G104/E104</f>
        <v>1.1436829894807772</v>
      </c>
      <c r="H106" s="25"/>
      <c r="K106" s="25"/>
      <c r="L106" s="25"/>
      <c r="M106" s="25"/>
      <c r="N106" s="25"/>
      <c r="O106" s="25"/>
      <c r="P106" s="183" t="e">
        <f>P104/L104</f>
        <v>#REF!</v>
      </c>
      <c r="Q106" s="330" t="e">
        <f>Q104/L104</f>
        <v>#REF!</v>
      </c>
      <c r="R106" s="25"/>
      <c r="S106" s="25"/>
      <c r="T106" s="25"/>
      <c r="X106" s="225" t="s">
        <v>111</v>
      </c>
      <c r="Y106" s="154">
        <v>15.5</v>
      </c>
      <c r="Z106" s="154">
        <f>Y106*1.184</f>
        <v>18.352</v>
      </c>
      <c r="AA106" s="226">
        <f>AA107/AA105</f>
        <v>16.926000000000002</v>
      </c>
    </row>
    <row r="107" spans="1:80" hidden="1" x14ac:dyDescent="0.25">
      <c r="A107" s="162"/>
      <c r="B107" s="162"/>
      <c r="C107" s="162"/>
      <c r="D107" s="162"/>
      <c r="E107" s="162"/>
      <c r="F107" s="162"/>
      <c r="G107" s="163"/>
      <c r="H107" s="162"/>
      <c r="X107" s="225" t="s">
        <v>309</v>
      </c>
      <c r="Y107" s="154">
        <f>Y105*Y106</f>
        <v>20150</v>
      </c>
      <c r="Z107" s="154">
        <f>Z105*Z106</f>
        <v>23857.600000000002</v>
      </c>
      <c r="AA107" s="154">
        <f>Y107+Z107</f>
        <v>44007.600000000006</v>
      </c>
    </row>
    <row r="108" spans="1:80" hidden="1" x14ac:dyDescent="0.25">
      <c r="X108" s="25" t="s">
        <v>346</v>
      </c>
      <c r="Y108" s="25"/>
      <c r="Z108" s="160">
        <f>Z106/Y106</f>
        <v>1.1839999999999999</v>
      </c>
      <c r="AA108" s="25"/>
    </row>
    <row r="109" spans="1:80" hidden="1" x14ac:dyDescent="0.25">
      <c r="A109" t="s">
        <v>318</v>
      </c>
      <c r="E109" s="155" t="e">
        <f>E99+стоки!E152</f>
        <v>#REF!</v>
      </c>
      <c r="G109" s="155" t="e">
        <f>G99+стоки!G152</f>
        <v>#REF!</v>
      </c>
      <c r="H109" s="155" t="e">
        <f>E109+G109</f>
        <v>#REF!</v>
      </c>
      <c r="X109" s="25"/>
      <c r="Y109" s="25"/>
      <c r="Z109" s="154">
        <f>Z107-Y107</f>
        <v>3707.6000000000022</v>
      </c>
      <c r="AA109" s="25"/>
    </row>
    <row r="110" spans="1:80" ht="28.5" hidden="1" customHeight="1" x14ac:dyDescent="0.25">
      <c r="G110" s="159" t="e">
        <f>G109/E109</f>
        <v>#REF!</v>
      </c>
    </row>
    <row r="111" spans="1:80" hidden="1" x14ac:dyDescent="0.25"/>
    <row r="112" spans="1:80" hidden="1" x14ac:dyDescent="0.25">
      <c r="A112" t="s">
        <v>319</v>
      </c>
      <c r="E112" s="155" t="e">
        <f>L99+L105</f>
        <v>#REF!</v>
      </c>
      <c r="G112" s="155" t="e">
        <f>Q99+Q105</f>
        <v>#REF!</v>
      </c>
      <c r="H112" s="155" t="e">
        <f>E112+G112</f>
        <v>#REF!</v>
      </c>
      <c r="L112" s="224" t="s">
        <v>316</v>
      </c>
      <c r="M112" s="25"/>
      <c r="N112" s="25"/>
      <c r="O112" s="25"/>
      <c r="P112" s="25"/>
      <c r="Q112" s="25" t="s">
        <v>250</v>
      </c>
      <c r="R112" s="25"/>
      <c r="S112" s="25"/>
      <c r="T112" s="25" t="s">
        <v>251</v>
      </c>
      <c r="U112" s="25" t="s">
        <v>154</v>
      </c>
      <c r="AB112">
        <f>E104*1.048</f>
        <v>18.413360000000001</v>
      </c>
      <c r="AD112">
        <f>(E104+AB112)/2</f>
        <v>17.991680000000002</v>
      </c>
    </row>
    <row r="113" spans="1:21" hidden="1" x14ac:dyDescent="0.25">
      <c r="G113" s="159" t="e">
        <f>G112/E112</f>
        <v>#REF!</v>
      </c>
      <c r="L113" s="25" t="s">
        <v>286</v>
      </c>
      <c r="M113" s="25"/>
      <c r="N113" s="25"/>
      <c r="O113" s="25"/>
      <c r="P113" s="25"/>
      <c r="Q113" s="154">
        <v>8509.5</v>
      </c>
      <c r="R113" s="154"/>
      <c r="S113" s="154"/>
      <c r="T113" s="154">
        <v>11223.9</v>
      </c>
      <c r="U113" s="154">
        <f>T113+Q113</f>
        <v>19733.400000000001</v>
      </c>
    </row>
    <row r="114" spans="1:21" hidden="1" x14ac:dyDescent="0.25">
      <c r="L114" s="25" t="s">
        <v>314</v>
      </c>
      <c r="M114" s="25"/>
      <c r="N114" s="25"/>
      <c r="O114" s="25"/>
      <c r="P114" s="25"/>
      <c r="Q114" s="154">
        <v>6353.75</v>
      </c>
      <c r="R114" s="154"/>
      <c r="S114" s="154"/>
      <c r="T114" s="154">
        <v>7524.4</v>
      </c>
      <c r="U114" s="154">
        <f>T114+Q114</f>
        <v>13878.15</v>
      </c>
    </row>
    <row r="115" spans="1:21" hidden="1" x14ac:dyDescent="0.25">
      <c r="L115" s="25" t="s">
        <v>280</v>
      </c>
      <c r="M115" s="25"/>
      <c r="N115" s="25"/>
      <c r="O115" s="25"/>
      <c r="P115" s="25"/>
      <c r="Q115" s="154">
        <f>Q114+Q113</f>
        <v>14863.25</v>
      </c>
      <c r="R115" s="154">
        <f>R114+R113</f>
        <v>0</v>
      </c>
      <c r="S115" s="154">
        <f>S114+S113</f>
        <v>0</v>
      </c>
      <c r="T115" s="154">
        <f>T114+T113</f>
        <v>18748.3</v>
      </c>
      <c r="U115" s="154">
        <f>U114+U113</f>
        <v>33611.550000000003</v>
      </c>
    </row>
    <row r="116" spans="1:21" hidden="1" x14ac:dyDescent="0.25">
      <c r="L116" s="25"/>
      <c r="M116" s="25"/>
      <c r="N116" s="25"/>
      <c r="O116" s="25"/>
      <c r="P116" s="25"/>
      <c r="Q116" s="25"/>
      <c r="R116" s="25"/>
      <c r="S116" s="25"/>
      <c r="T116" s="25"/>
      <c r="U116" s="25"/>
    </row>
    <row r="117" spans="1:21" hidden="1" x14ac:dyDescent="0.25">
      <c r="L117" s="224" t="s">
        <v>350</v>
      </c>
      <c r="M117" s="25"/>
      <c r="N117" s="25"/>
      <c r="O117" s="25"/>
      <c r="P117" s="25"/>
      <c r="Q117" s="25" t="s">
        <v>250</v>
      </c>
      <c r="R117" s="25"/>
      <c r="S117" s="25"/>
      <c r="T117" s="25" t="s">
        <v>251</v>
      </c>
      <c r="U117" s="25" t="s">
        <v>227</v>
      </c>
    </row>
    <row r="118" spans="1:21" ht="26.25" hidden="1" x14ac:dyDescent="0.25">
      <c r="A118" s="25" t="s">
        <v>269</v>
      </c>
      <c r="B118" s="25"/>
      <c r="C118" s="25"/>
      <c r="D118" s="25"/>
      <c r="E118" s="144" t="s">
        <v>270</v>
      </c>
      <c r="F118" s="144"/>
      <c r="G118" s="144" t="s">
        <v>271</v>
      </c>
      <c r="H118" s="5012" t="s">
        <v>235</v>
      </c>
      <c r="I118" s="5560"/>
      <c r="L118" s="25" t="s">
        <v>286</v>
      </c>
      <c r="M118" s="25"/>
      <c r="N118" s="25"/>
      <c r="O118" s="25"/>
      <c r="P118" s="25"/>
      <c r="Q118" s="154">
        <f>(L98-Y99)*Y98</f>
        <v>15204</v>
      </c>
      <c r="R118" s="154"/>
      <c r="S118" s="154"/>
      <c r="T118" s="154" t="e">
        <f>(Q98-Z99)*Z98</f>
        <v>#REF!</v>
      </c>
      <c r="U118" s="154" t="e">
        <f>T118+Q118</f>
        <v>#REF!</v>
      </c>
    </row>
    <row r="119" spans="1:21" hidden="1" x14ac:dyDescent="0.25">
      <c r="A119" s="25" t="s">
        <v>272</v>
      </c>
      <c r="B119" s="25"/>
      <c r="C119" s="25"/>
      <c r="D119" s="25"/>
      <c r="E119" s="154">
        <v>0</v>
      </c>
      <c r="F119" s="25"/>
      <c r="G119" s="25"/>
      <c r="H119" s="5012"/>
      <c r="I119" s="5560"/>
      <c r="L119" s="25" t="s">
        <v>314</v>
      </c>
      <c r="M119" s="25"/>
      <c r="N119" s="25"/>
      <c r="O119" s="25"/>
      <c r="P119" s="25"/>
      <c r="Q119" s="154">
        <f>(L104-Y106)*Y105</f>
        <v>-20150</v>
      </c>
      <c r="R119" s="154"/>
      <c r="S119" s="154"/>
      <c r="T119" s="154" t="e">
        <f>(Q104-Z106)*Z105</f>
        <v>#REF!</v>
      </c>
      <c r="U119" s="154" t="e">
        <f>T119+Q119</f>
        <v>#REF!</v>
      </c>
    </row>
    <row r="120" spans="1:21" ht="31.5" hidden="1" customHeight="1" x14ac:dyDescent="0.25">
      <c r="A120" s="25" t="s">
        <v>273</v>
      </c>
      <c r="B120" s="25"/>
      <c r="C120" s="25"/>
      <c r="D120" s="25"/>
      <c r="E120" s="154">
        <v>0</v>
      </c>
      <c r="F120" s="25"/>
      <c r="G120" s="25">
        <v>0</v>
      </c>
      <c r="H120" s="5558" t="s">
        <v>239</v>
      </c>
      <c r="I120" s="5559"/>
      <c r="L120" s="25" t="s">
        <v>280</v>
      </c>
      <c r="M120" s="25"/>
      <c r="N120" s="25"/>
      <c r="O120" s="25"/>
      <c r="P120" s="25"/>
      <c r="Q120" s="154">
        <f>Q119+Q118</f>
        <v>-4946</v>
      </c>
      <c r="R120" s="154">
        <f>R119+R118</f>
        <v>0</v>
      </c>
      <c r="S120" s="154">
        <f>S119+S118</f>
        <v>0</v>
      </c>
      <c r="T120" s="154" t="e">
        <f>T119+T118</f>
        <v>#REF!</v>
      </c>
      <c r="U120" s="154" t="e">
        <f>U119+U118</f>
        <v>#REF!</v>
      </c>
    </row>
    <row r="121" spans="1:21" hidden="1" x14ac:dyDescent="0.25">
      <c r="A121" s="25" t="s">
        <v>274</v>
      </c>
      <c r="B121" s="25"/>
      <c r="C121" s="25"/>
      <c r="D121" s="25"/>
      <c r="E121" s="154">
        <v>0</v>
      </c>
      <c r="F121" s="25"/>
      <c r="G121" s="25"/>
      <c r="H121" s="5012"/>
      <c r="I121" s="5560"/>
      <c r="L121" s="224" t="s">
        <v>420</v>
      </c>
      <c r="M121" s="25"/>
      <c r="N121" s="25"/>
      <c r="O121" s="25"/>
      <c r="P121" s="25"/>
      <c r="Q121" s="25" t="s">
        <v>250</v>
      </c>
      <c r="R121" s="25"/>
      <c r="S121" s="25"/>
      <c r="T121" s="25" t="s">
        <v>251</v>
      </c>
      <c r="U121" s="25" t="s">
        <v>362</v>
      </c>
    </row>
    <row r="122" spans="1:21" hidden="1" x14ac:dyDescent="0.25">
      <c r="A122" s="25" t="s">
        <v>275</v>
      </c>
      <c r="B122" s="25"/>
      <c r="C122" s="25"/>
      <c r="D122" s="25"/>
      <c r="E122" s="154">
        <v>0</v>
      </c>
      <c r="F122" s="25"/>
      <c r="G122" s="25"/>
      <c r="H122" s="5012"/>
      <c r="I122" s="5560"/>
      <c r="L122" s="25" t="s">
        <v>286</v>
      </c>
      <c r="M122" s="25"/>
      <c r="N122" s="25"/>
      <c r="O122" s="25"/>
      <c r="P122" s="25"/>
      <c r="Q122" s="154" t="e">
        <f>(L102-Y103)*Y102</f>
        <v>#VALUE!</v>
      </c>
      <c r="R122" s="154"/>
      <c r="S122" s="154"/>
      <c r="T122" s="154" t="e">
        <f>(Q102-Z103)*Z102</f>
        <v>#VALUE!</v>
      </c>
      <c r="U122" s="154" t="e">
        <f>T122+Q122</f>
        <v>#VALUE!</v>
      </c>
    </row>
    <row r="123" spans="1:21" hidden="1" x14ac:dyDescent="0.25">
      <c r="A123" s="25" t="s">
        <v>276</v>
      </c>
      <c r="B123" s="25"/>
      <c r="C123" s="25"/>
      <c r="D123" s="25"/>
      <c r="E123" s="154">
        <v>0</v>
      </c>
      <c r="F123" s="25"/>
      <c r="G123" s="25"/>
      <c r="H123" s="5012"/>
      <c r="I123" s="5560"/>
      <c r="L123" s="25" t="s">
        <v>314</v>
      </c>
      <c r="M123" s="25"/>
      <c r="N123" s="25"/>
      <c r="O123" s="25"/>
      <c r="P123" s="25"/>
      <c r="Q123" s="154">
        <f>(L108-Y110)*Y109</f>
        <v>0</v>
      </c>
      <c r="R123" s="154"/>
      <c r="S123" s="154"/>
      <c r="T123" s="154">
        <f>(Q108-Z110)*Z109</f>
        <v>0</v>
      </c>
      <c r="U123" s="154">
        <f>T123+Q123</f>
        <v>0</v>
      </c>
    </row>
    <row r="124" spans="1:21" hidden="1" x14ac:dyDescent="0.25">
      <c r="A124" s="25" t="s">
        <v>277</v>
      </c>
      <c r="B124" s="25"/>
      <c r="C124" s="25"/>
      <c r="D124" s="25"/>
      <c r="E124" s="154">
        <v>0</v>
      </c>
      <c r="F124" s="25"/>
      <c r="G124" s="25"/>
      <c r="H124" s="5012"/>
      <c r="I124" s="5560"/>
      <c r="L124" s="25" t="s">
        <v>280</v>
      </c>
      <c r="M124" s="25"/>
      <c r="N124" s="25"/>
      <c r="O124" s="25"/>
      <c r="P124" s="25"/>
      <c r="Q124" s="154" t="e">
        <f>Q123+Q122</f>
        <v>#VALUE!</v>
      </c>
      <c r="R124" s="154">
        <f>R123+R122</f>
        <v>0</v>
      </c>
      <c r="S124" s="154">
        <f>S123+S122</f>
        <v>0</v>
      </c>
      <c r="T124" s="154" t="e">
        <f>T123+T122</f>
        <v>#VALUE!</v>
      </c>
      <c r="U124" s="154" t="e">
        <f>U123+U122</f>
        <v>#VALUE!</v>
      </c>
    </row>
    <row r="125" spans="1:21" hidden="1" x14ac:dyDescent="0.25">
      <c r="A125" s="25" t="s">
        <v>278</v>
      </c>
      <c r="B125" s="25"/>
      <c r="C125" s="25"/>
      <c r="D125" s="25"/>
      <c r="E125" s="154">
        <v>0</v>
      </c>
      <c r="F125" s="25"/>
      <c r="G125" s="25"/>
      <c r="H125" s="5012"/>
      <c r="I125" s="5560"/>
      <c r="L125" s="224"/>
      <c r="M125" s="25"/>
      <c r="N125" s="25"/>
      <c r="O125" s="25"/>
      <c r="P125" s="25"/>
      <c r="Q125" s="25"/>
      <c r="R125" s="25"/>
      <c r="S125" s="25"/>
      <c r="T125" s="25"/>
      <c r="U125" s="25"/>
    </row>
    <row r="126" spans="1:21" hidden="1" x14ac:dyDescent="0.25">
      <c r="A126" s="25" t="s">
        <v>279</v>
      </c>
      <c r="B126" s="25"/>
      <c r="C126" s="25"/>
      <c r="D126" s="25"/>
      <c r="E126" s="154">
        <v>0</v>
      </c>
      <c r="F126" s="25"/>
      <c r="G126" s="25"/>
      <c r="H126" s="5012"/>
      <c r="I126" s="5560"/>
    </row>
    <row r="127" spans="1:21" hidden="1" x14ac:dyDescent="0.25">
      <c r="A127" s="25" t="s">
        <v>280</v>
      </c>
      <c r="B127" s="25"/>
      <c r="C127" s="25"/>
      <c r="D127" s="25"/>
      <c r="E127" s="154">
        <f>SUM(E119:E126)</f>
        <v>0</v>
      </c>
      <c r="F127" s="25"/>
      <c r="G127" s="25"/>
      <c r="H127" s="5012"/>
      <c r="I127" s="5560"/>
    </row>
    <row r="128" spans="1:21" hidden="1" x14ac:dyDescent="0.25"/>
    <row r="129" spans="1:143" hidden="1" x14ac:dyDescent="0.25"/>
    <row r="130" spans="1:143" hidden="1" x14ac:dyDescent="0.25"/>
    <row r="131" spans="1:143" hidden="1" x14ac:dyDescent="0.25"/>
    <row r="132" spans="1:143" hidden="1" x14ac:dyDescent="0.25"/>
    <row r="133" spans="1:143" hidden="1" x14ac:dyDescent="0.25"/>
    <row r="134" spans="1:143" hidden="1" x14ac:dyDescent="0.25"/>
    <row r="135" spans="1:143" hidden="1" x14ac:dyDescent="0.25"/>
    <row r="136" spans="1:143" hidden="1" x14ac:dyDescent="0.25">
      <c r="BD136" s="155">
        <f>BE94</f>
        <v>32.628198394370763</v>
      </c>
      <c r="BE136" s="1180">
        <v>31.52</v>
      </c>
      <c r="BF136" s="1180">
        <f>BF137/BF95</f>
        <v>33.736396788741523</v>
      </c>
      <c r="BG136" s="1893"/>
      <c r="BH136" s="1893"/>
      <c r="BI136" s="1893"/>
      <c r="BJ136" s="1893"/>
      <c r="BK136" s="1893"/>
      <c r="BL136" s="1893"/>
      <c r="BM136" s="1893"/>
      <c r="BN136" s="1893"/>
      <c r="BO136" s="1893"/>
      <c r="BP136" s="1893"/>
      <c r="BQ136" s="1893"/>
      <c r="BR136" s="1893"/>
      <c r="BS136" s="1893"/>
      <c r="BT136" s="1893"/>
      <c r="BU136" s="1893"/>
      <c r="BV136" s="1893"/>
      <c r="BW136" s="1893"/>
      <c r="BX136" s="1893"/>
      <c r="BY136" s="1893"/>
      <c r="BZ136" s="1893"/>
      <c r="CA136" s="1893"/>
      <c r="CB136" s="1560">
        <f>BF136/BE136</f>
        <v>1.0703171570032208</v>
      </c>
    </row>
    <row r="137" spans="1:143" hidden="1" x14ac:dyDescent="0.25">
      <c r="BD137" s="155">
        <f>BE93</f>
        <v>130160.96371419655</v>
      </c>
      <c r="BE137">
        <f>BE136*BE95</f>
        <v>62870.05992</v>
      </c>
      <c r="BF137" s="155">
        <f>BD137-BE137</f>
        <v>67290.903794196551</v>
      </c>
      <c r="BG137" s="1654"/>
      <c r="BH137" s="1654"/>
      <c r="BI137" s="1654"/>
      <c r="BJ137" s="1654"/>
      <c r="BK137" s="1654"/>
      <c r="BL137" s="1654"/>
      <c r="BM137" s="1654"/>
      <c r="BN137" s="1654"/>
      <c r="BO137" s="1654"/>
      <c r="BP137" s="1654"/>
      <c r="BQ137" s="1654"/>
      <c r="BR137" s="1654"/>
      <c r="BS137" s="1654"/>
      <c r="BT137" s="1654"/>
      <c r="BU137" s="1654"/>
      <c r="BV137" s="1654"/>
      <c r="BW137" s="1654"/>
      <c r="BX137" s="1654"/>
      <c r="BY137" s="1654"/>
      <c r="BZ137" s="1654"/>
      <c r="CA137" s="1654"/>
    </row>
    <row r="138" spans="1:143" ht="48.75" customHeight="1" x14ac:dyDescent="0.2">
      <c r="A138" s="5524" t="s">
        <v>4081</v>
      </c>
      <c r="B138" s="5524"/>
      <c r="C138" s="5524"/>
      <c r="D138" s="5524"/>
      <c r="E138" s="5524"/>
      <c r="F138" s="5524"/>
      <c r="G138" s="5524"/>
      <c r="H138" s="5524"/>
      <c r="I138" s="5524"/>
      <c r="J138" s="5524"/>
      <c r="K138" s="5524"/>
      <c r="L138" s="5524"/>
      <c r="M138" s="5524"/>
      <c r="N138" s="5524"/>
      <c r="O138" s="5524"/>
      <c r="P138" s="5524"/>
      <c r="Q138" s="5524"/>
      <c r="R138" s="5524"/>
      <c r="S138" s="5524"/>
      <c r="T138" s="5524"/>
      <c r="U138" s="5524"/>
      <c r="V138" s="5524"/>
      <c r="W138" s="5524"/>
      <c r="X138" s="5524"/>
      <c r="Y138" s="5524"/>
      <c r="Z138" s="5524"/>
      <c r="AA138" s="5524"/>
      <c r="AB138" s="5524"/>
      <c r="AC138" s="5524"/>
      <c r="AD138" s="5524"/>
      <c r="AE138" s="5524"/>
      <c r="AF138" s="5524"/>
      <c r="AG138" s="5524"/>
      <c r="AH138" s="5524"/>
      <c r="AI138" s="5524"/>
      <c r="AJ138" s="5524"/>
      <c r="AK138" s="5524"/>
      <c r="AL138" s="5524"/>
      <c r="AM138" s="5524"/>
      <c r="AN138" s="5524"/>
      <c r="AO138" s="5524"/>
      <c r="AP138" s="5524"/>
      <c r="AQ138" s="5524"/>
      <c r="AR138" s="5524"/>
      <c r="AS138" s="5524"/>
      <c r="AT138" s="5524"/>
      <c r="AU138" s="5524"/>
      <c r="AV138" s="5524"/>
      <c r="AW138" s="5524"/>
      <c r="AX138" s="5524"/>
      <c r="AY138" s="5524"/>
      <c r="AZ138" s="5524"/>
      <c r="BA138" s="5524"/>
      <c r="BB138" s="5524"/>
      <c r="BC138" s="5524"/>
      <c r="BD138" s="5524"/>
      <c r="BE138" s="5524"/>
      <c r="BF138" s="5524"/>
      <c r="BG138" s="5524"/>
      <c r="BH138" s="5524"/>
      <c r="BI138" s="5524"/>
      <c r="BJ138" s="5524"/>
      <c r="BK138" s="5524"/>
      <c r="BL138" s="5524"/>
      <c r="BM138" s="5524"/>
      <c r="BN138" s="5524"/>
      <c r="BO138" s="5524"/>
      <c r="BP138" s="5524"/>
      <c r="BQ138" s="5524"/>
      <c r="BR138" s="5524"/>
      <c r="BS138" s="5524"/>
      <c r="BT138" s="5524"/>
      <c r="BU138" s="5524"/>
      <c r="BV138" s="5524"/>
      <c r="BW138" s="5524"/>
      <c r="BX138" s="5524"/>
      <c r="BY138" s="5524"/>
      <c r="BZ138" s="5524"/>
      <c r="CA138" s="5524"/>
      <c r="CB138" s="5524"/>
      <c r="CC138" s="5525"/>
      <c r="CD138" s="5525"/>
      <c r="CE138" s="5525"/>
      <c r="CF138" s="5525"/>
      <c r="CG138" s="5525"/>
      <c r="CH138" s="5525"/>
      <c r="CI138" s="5525"/>
      <c r="CJ138" s="5525"/>
      <c r="CK138" s="5525"/>
      <c r="CL138" s="5525"/>
      <c r="CM138" s="5525"/>
      <c r="CN138" s="5525"/>
      <c r="CO138" s="5525"/>
      <c r="CP138" s="5525"/>
      <c r="CQ138" s="5525"/>
      <c r="CR138" s="5525"/>
      <c r="CS138" s="5525"/>
      <c r="CT138" s="5525"/>
      <c r="CU138" s="5525"/>
      <c r="CV138" s="5525"/>
      <c r="CW138" s="5525"/>
      <c r="CX138" s="5525"/>
      <c r="CY138" s="5525"/>
      <c r="CZ138" s="5525"/>
      <c r="DA138" s="5525"/>
      <c r="DB138" s="5525"/>
      <c r="DC138" s="5525"/>
      <c r="DD138" s="5525"/>
      <c r="DE138" s="5525"/>
      <c r="DF138" s="5525"/>
      <c r="DG138" s="5525"/>
      <c r="DH138" s="5525"/>
      <c r="DI138" s="5525"/>
      <c r="DJ138" s="5525"/>
      <c r="DK138" s="5525"/>
      <c r="DL138" s="5525"/>
      <c r="DM138" s="5525"/>
      <c r="DN138" s="5525"/>
      <c r="DO138" s="5525"/>
      <c r="DP138" s="5525"/>
      <c r="DQ138" s="5525"/>
      <c r="DR138" s="5525"/>
      <c r="DS138" s="5525"/>
      <c r="DT138" s="5525"/>
      <c r="DU138" s="5525"/>
      <c r="DV138" s="5525"/>
      <c r="DW138" s="5525"/>
      <c r="DX138" s="5525"/>
      <c r="DY138" s="5525"/>
      <c r="DZ138" s="5525"/>
      <c r="EA138" s="5525"/>
      <c r="EB138" s="5525"/>
      <c r="EC138" s="5525"/>
      <c r="ED138" s="5525"/>
      <c r="EE138" s="4910"/>
      <c r="EF138" s="4910"/>
      <c r="EG138" s="4910"/>
      <c r="EH138" s="4910"/>
      <c r="EI138" s="4910"/>
      <c r="EJ138" s="4910"/>
      <c r="EK138" s="4910"/>
      <c r="EL138" s="4910"/>
      <c r="EM138" s="4910"/>
    </row>
    <row r="139" spans="1:143" x14ac:dyDescent="0.2">
      <c r="A139" s="858"/>
      <c r="B139" s="858"/>
      <c r="C139" s="858"/>
      <c r="D139" s="858"/>
      <c r="E139" s="858"/>
      <c r="F139" s="858"/>
      <c r="G139" s="858"/>
      <c r="H139" s="858"/>
      <c r="I139" s="858"/>
      <c r="J139" s="858"/>
      <c r="K139" s="858"/>
      <c r="L139" s="858"/>
      <c r="M139" s="858"/>
      <c r="N139" s="858"/>
      <c r="O139" s="858"/>
      <c r="P139" s="858"/>
      <c r="Q139" s="858"/>
      <c r="R139" s="858"/>
      <c r="S139" s="858"/>
      <c r="T139" s="858"/>
      <c r="U139" s="858"/>
      <c r="V139" s="858"/>
      <c r="W139" s="858"/>
      <c r="X139" s="858"/>
      <c r="Y139" s="858"/>
      <c r="Z139" s="858"/>
      <c r="AA139" s="858"/>
      <c r="AB139" s="858"/>
      <c r="AC139" s="858"/>
      <c r="AD139" s="858"/>
      <c r="AE139" s="858"/>
      <c r="AF139" s="858"/>
      <c r="AG139" s="858"/>
      <c r="AH139" s="858"/>
      <c r="AI139" s="858"/>
      <c r="AJ139" s="368"/>
      <c r="AK139" s="368"/>
      <c r="AL139" s="858"/>
      <c r="AM139" s="858"/>
      <c r="AN139" s="858"/>
      <c r="AO139" s="858"/>
      <c r="AP139" s="858"/>
      <c r="AQ139" s="858"/>
      <c r="AR139" s="858"/>
      <c r="AS139" s="858"/>
      <c r="AT139" s="858"/>
      <c r="AU139" s="858"/>
      <c r="AV139" s="858"/>
      <c r="AW139" s="858"/>
      <c r="AX139" s="858"/>
      <c r="AY139" s="858"/>
      <c r="AZ139" s="858"/>
      <c r="BA139" s="1363"/>
      <c r="BB139" s="858"/>
      <c r="BC139" s="858"/>
      <c r="BD139" s="858"/>
      <c r="BE139" s="858"/>
      <c r="BF139" s="858"/>
      <c r="BG139" s="1659"/>
      <c r="BH139" s="1659"/>
      <c r="BI139" s="1659"/>
      <c r="BJ139" s="1659"/>
      <c r="BK139" s="1659"/>
      <c r="BL139" s="1659"/>
      <c r="BM139" s="1659"/>
      <c r="BN139" s="1659"/>
      <c r="BO139" s="1659"/>
      <c r="BP139" s="1659"/>
      <c r="BQ139" s="1659"/>
      <c r="BR139" s="1659"/>
      <c r="BS139" s="1659"/>
      <c r="BT139" s="1659"/>
      <c r="BU139" s="1659"/>
      <c r="BV139" s="1659"/>
      <c r="BW139" s="1659"/>
      <c r="BX139" s="1659"/>
      <c r="BY139" s="1659"/>
      <c r="BZ139" s="1659"/>
      <c r="CA139" s="1659"/>
      <c r="CB139" s="858"/>
    </row>
    <row r="140" spans="1:143" ht="46.5" customHeight="1" x14ac:dyDescent="0.2">
      <c r="A140" s="5557" t="s">
        <v>525</v>
      </c>
      <c r="B140" s="5522" t="s">
        <v>57</v>
      </c>
      <c r="C140" s="5557" t="s">
        <v>58</v>
      </c>
      <c r="D140" s="5557"/>
      <c r="E140" s="5555" t="s">
        <v>66</v>
      </c>
      <c r="F140" s="5555"/>
      <c r="G140" s="5555" t="s">
        <v>91</v>
      </c>
      <c r="H140" s="5555"/>
      <c r="I140" s="5555" t="s">
        <v>116</v>
      </c>
      <c r="J140" s="5555"/>
      <c r="K140" s="5555"/>
      <c r="L140" s="5555"/>
      <c r="M140" s="5555"/>
      <c r="N140" s="5555"/>
      <c r="O140" s="5543" t="s">
        <v>154</v>
      </c>
      <c r="P140" s="5543"/>
      <c r="Q140" s="5543"/>
      <c r="R140" s="5543"/>
      <c r="S140" s="5543"/>
      <c r="T140" s="5543"/>
      <c r="U140" s="5543"/>
      <c r="V140" s="5543"/>
      <c r="W140" s="5543"/>
      <c r="X140" s="5543"/>
      <c r="Y140" s="5520" t="s">
        <v>227</v>
      </c>
      <c r="Z140" s="5520"/>
      <c r="AA140" s="5520"/>
      <c r="AB140" s="5520"/>
      <c r="AC140" s="5520"/>
      <c r="AD140" s="5520"/>
      <c r="AE140" s="5556"/>
      <c r="AF140" s="5556"/>
      <c r="AG140" s="5556"/>
      <c r="AH140" s="5520" t="s">
        <v>362</v>
      </c>
      <c r="AI140" s="5523"/>
      <c r="AJ140" s="5523"/>
      <c r="AK140" s="5523"/>
      <c r="AL140" s="5523"/>
      <c r="AM140" s="5523"/>
      <c r="AN140" s="5523"/>
      <c r="AO140" s="5523"/>
      <c r="AP140" s="5523"/>
      <c r="AQ140" s="5523"/>
      <c r="AR140" s="5523"/>
      <c r="AS140" s="5523"/>
      <c r="AT140" s="5523"/>
      <c r="AU140" s="5523"/>
      <c r="AV140" s="5523"/>
      <c r="AW140" s="5523"/>
      <c r="AX140" s="5523"/>
      <c r="AY140" s="5523"/>
      <c r="AZ140" s="5542" t="s">
        <v>815</v>
      </c>
      <c r="BA140" s="5549"/>
      <c r="BB140" s="5549"/>
      <c r="BC140" s="5549"/>
      <c r="BD140" s="5549"/>
      <c r="BE140" s="5549"/>
      <c r="BF140" s="5549"/>
      <c r="BG140" s="5549"/>
      <c r="BH140" s="5549"/>
      <c r="BI140" s="5550"/>
      <c r="BJ140" s="5542" t="s">
        <v>892</v>
      </c>
      <c r="BK140" s="5549"/>
      <c r="BL140" s="5550"/>
      <c r="BM140" s="5542" t="s">
        <v>893</v>
      </c>
      <c r="BN140" s="5530"/>
      <c r="BO140" s="5530"/>
      <c r="BP140" s="5530"/>
      <c r="BQ140" s="5530"/>
      <c r="BR140" s="5531"/>
      <c r="BS140" s="5542" t="s">
        <v>1799</v>
      </c>
      <c r="BT140" s="5549"/>
      <c r="BU140" s="5549"/>
      <c r="BV140" s="5549"/>
      <c r="BW140" s="5549"/>
      <c r="BX140" s="5550"/>
      <c r="BY140" s="5547" t="s">
        <v>3517</v>
      </c>
      <c r="BZ140" s="4910"/>
      <c r="CA140" s="4910"/>
      <c r="CB140" s="4910"/>
      <c r="CC140" s="4910"/>
      <c r="CD140" s="4910"/>
      <c r="CE140" s="4910"/>
      <c r="CF140" s="4910"/>
      <c r="CG140" s="4910"/>
      <c r="CH140" s="5548"/>
      <c r="CI140" s="5532" t="s">
        <v>3614</v>
      </c>
      <c r="CJ140" s="5533"/>
      <c r="CK140" s="5534"/>
      <c r="CL140" s="5532" t="s">
        <v>3615</v>
      </c>
      <c r="CM140" s="5533"/>
      <c r="CN140" s="5534"/>
      <c r="CO140" s="5532" t="s">
        <v>3608</v>
      </c>
      <c r="CP140" s="5533"/>
      <c r="CQ140" s="5534"/>
      <c r="CR140" s="5520" t="s">
        <v>3862</v>
      </c>
      <c r="CS140" s="5526"/>
      <c r="CT140" s="5526"/>
      <c r="CU140" s="5526"/>
      <c r="CV140" s="5526"/>
      <c r="CW140" s="5526"/>
      <c r="CX140" s="5532" t="s">
        <v>3867</v>
      </c>
      <c r="CY140" s="5533"/>
      <c r="CZ140" s="5534"/>
      <c r="DA140" s="5532" t="s">
        <v>3868</v>
      </c>
      <c r="DB140" s="5533"/>
      <c r="DC140" s="5534"/>
      <c r="DD140" s="5532" t="s">
        <v>3866</v>
      </c>
      <c r="DE140" s="5533"/>
      <c r="DF140" s="5534"/>
      <c r="DG140" s="5520" t="s">
        <v>3905</v>
      </c>
      <c r="DH140" s="5526"/>
      <c r="DI140" s="5526"/>
      <c r="DJ140" s="5526"/>
      <c r="DK140" s="5526"/>
      <c r="DL140" s="5526"/>
      <c r="DM140" s="5520" t="s">
        <v>3926</v>
      </c>
      <c r="DN140" s="5521"/>
      <c r="DO140" s="5521"/>
      <c r="DP140" s="5520" t="s">
        <v>3928</v>
      </c>
      <c r="DQ140" s="5521"/>
      <c r="DR140" s="5521"/>
      <c r="DS140" s="5520" t="s">
        <v>3927</v>
      </c>
      <c r="DT140" s="5521"/>
      <c r="DU140" s="5521"/>
      <c r="DV140" s="5520" t="s">
        <v>4103</v>
      </c>
      <c r="DW140" s="5526"/>
      <c r="DX140" s="5526"/>
      <c r="DY140" s="5526"/>
      <c r="DZ140" s="5526"/>
      <c r="EA140" s="5527"/>
      <c r="EB140" s="5520" t="s">
        <v>4228</v>
      </c>
      <c r="EC140" s="5526"/>
      <c r="ED140" s="5526"/>
      <c r="EE140" s="5526"/>
      <c r="EF140" s="5526"/>
      <c r="EG140" s="5526"/>
      <c r="EH140" s="5520" t="s">
        <v>4254</v>
      </c>
      <c r="EI140" s="5521"/>
      <c r="EJ140" s="5521"/>
      <c r="EK140" s="5520" t="s">
        <v>4252</v>
      </c>
      <c r="EL140" s="5521"/>
      <c r="EM140" s="5521"/>
    </row>
    <row r="141" spans="1:143" ht="18.75" customHeight="1" x14ac:dyDescent="0.2">
      <c r="A141" s="5557"/>
      <c r="B141" s="5522"/>
      <c r="C141" s="5522" t="s">
        <v>60</v>
      </c>
      <c r="D141" s="5522" t="s">
        <v>61</v>
      </c>
      <c r="E141" s="5522" t="s">
        <v>60</v>
      </c>
      <c r="F141" s="5522" t="s">
        <v>65</v>
      </c>
      <c r="G141" s="5522" t="s">
        <v>60</v>
      </c>
      <c r="H141" s="5522" t="s">
        <v>108</v>
      </c>
      <c r="I141" s="5522" t="s">
        <v>59</v>
      </c>
      <c r="J141" s="5522" t="s">
        <v>112</v>
      </c>
      <c r="K141" s="5522" t="s">
        <v>106</v>
      </c>
      <c r="L141" s="5522" t="s">
        <v>60</v>
      </c>
      <c r="M141" s="5522" t="s">
        <v>64</v>
      </c>
      <c r="N141" s="5522" t="s">
        <v>212</v>
      </c>
      <c r="O141" s="5522" t="s">
        <v>118</v>
      </c>
      <c r="P141" s="5522" t="s">
        <v>93</v>
      </c>
      <c r="Q141" s="5522" t="s">
        <v>119</v>
      </c>
      <c r="R141" s="5522" t="s">
        <v>93</v>
      </c>
      <c r="S141" s="5522" t="s">
        <v>152</v>
      </c>
      <c r="T141" s="5522" t="s">
        <v>23</v>
      </c>
      <c r="U141" s="5522"/>
      <c r="V141" s="5522" t="s">
        <v>106</v>
      </c>
      <c r="W141" s="5552" t="s">
        <v>368</v>
      </c>
      <c r="X141" s="5552"/>
      <c r="Y141" s="5522" t="s">
        <v>118</v>
      </c>
      <c r="Z141" s="5522" t="s">
        <v>93</v>
      </c>
      <c r="AA141" s="5543" t="s">
        <v>119</v>
      </c>
      <c r="AB141" s="5544"/>
      <c r="AC141" s="5544"/>
      <c r="AD141" s="5544"/>
      <c r="AE141" s="5543" t="s">
        <v>814</v>
      </c>
      <c r="AF141" s="5544"/>
      <c r="AG141" s="5544"/>
      <c r="AH141" s="5543" t="str">
        <f>Y141</f>
        <v>предложение предприятия</v>
      </c>
      <c r="AI141" s="5544"/>
      <c r="AJ141" s="5544"/>
      <c r="AK141" s="5544"/>
      <c r="AL141" s="5543" t="str">
        <f>AL5</f>
        <v>утверждено в тарифе</v>
      </c>
      <c r="AM141" s="5544"/>
      <c r="AN141" s="5544"/>
      <c r="AO141" s="5544"/>
      <c r="AP141" s="1585"/>
      <c r="AQ141" s="1585"/>
      <c r="AR141" s="1585"/>
      <c r="AS141" s="1585"/>
      <c r="AT141" s="5543" t="s">
        <v>844</v>
      </c>
      <c r="AU141" s="5544"/>
      <c r="AV141" s="5544"/>
      <c r="AW141" s="5543" t="s">
        <v>60</v>
      </c>
      <c r="AX141" s="5544"/>
      <c r="AY141" s="5544"/>
      <c r="AZ141" s="5543" t="s">
        <v>846</v>
      </c>
      <c r="BA141" s="5543"/>
      <c r="BB141" s="5544"/>
      <c r="BC141" s="5544"/>
      <c r="BD141" s="5543" t="s">
        <v>1585</v>
      </c>
      <c r="BE141" s="5544"/>
      <c r="BF141" s="5544"/>
      <c r="BG141" s="5529" t="s">
        <v>60</v>
      </c>
      <c r="BH141" s="5545"/>
      <c r="BI141" s="5546"/>
      <c r="BJ141" s="5529" t="s">
        <v>1674</v>
      </c>
      <c r="BK141" s="5545"/>
      <c r="BL141" s="5546"/>
      <c r="BM141" s="5543" t="s">
        <v>1585</v>
      </c>
      <c r="BN141" s="5544"/>
      <c r="BO141" s="5544"/>
      <c r="BP141" s="5529" t="s">
        <v>1674</v>
      </c>
      <c r="BQ141" s="5545"/>
      <c r="BR141" s="5546"/>
      <c r="BS141" s="5529" t="s">
        <v>1817</v>
      </c>
      <c r="BT141" s="5545"/>
      <c r="BU141" s="5546"/>
      <c r="BV141" s="5529" t="s">
        <v>1521</v>
      </c>
      <c r="BW141" s="5545"/>
      <c r="BX141" s="5546"/>
      <c r="BY141" s="5529" t="s">
        <v>118</v>
      </c>
      <c r="BZ141" s="5530"/>
      <c r="CA141" s="5531"/>
      <c r="CB141" s="2660"/>
      <c r="CC141" s="2653"/>
      <c r="CD141" s="2653"/>
      <c r="CE141" s="2653"/>
      <c r="CF141" s="5529" t="s">
        <v>1521</v>
      </c>
      <c r="CG141" s="5530"/>
      <c r="CH141" s="5531"/>
      <c r="CI141" s="5535"/>
      <c r="CJ141" s="5536"/>
      <c r="CK141" s="5537"/>
      <c r="CL141" s="5535"/>
      <c r="CM141" s="5536"/>
      <c r="CN141" s="5537"/>
      <c r="CO141" s="5535"/>
      <c r="CP141" s="5536"/>
      <c r="CQ141" s="5537"/>
      <c r="CR141" s="5528" t="s">
        <v>118</v>
      </c>
      <c r="CS141" s="5521"/>
      <c r="CT141" s="5521"/>
      <c r="CU141" s="5528" t="s">
        <v>1521</v>
      </c>
      <c r="CV141" s="5521"/>
      <c r="CW141" s="5521"/>
      <c r="CX141" s="5535"/>
      <c r="CY141" s="5536"/>
      <c r="CZ141" s="5537"/>
      <c r="DA141" s="5535"/>
      <c r="DB141" s="5536"/>
      <c r="DC141" s="5537"/>
      <c r="DD141" s="5535"/>
      <c r="DE141" s="5536"/>
      <c r="DF141" s="5537"/>
      <c r="DG141" s="5528" t="s">
        <v>118</v>
      </c>
      <c r="DH141" s="5521"/>
      <c r="DI141" s="5521"/>
      <c r="DJ141" s="5528" t="s">
        <v>1521</v>
      </c>
      <c r="DK141" s="5521"/>
      <c r="DL141" s="5521"/>
      <c r="DM141" s="5521"/>
      <c r="DN141" s="5521"/>
      <c r="DO141" s="5521"/>
      <c r="DP141" s="5521"/>
      <c r="DQ141" s="5521"/>
      <c r="DR141" s="5521"/>
      <c r="DS141" s="5521"/>
      <c r="DT141" s="5521"/>
      <c r="DU141" s="5521"/>
      <c r="DV141" s="5528" t="s">
        <v>118</v>
      </c>
      <c r="DW141" s="5521"/>
      <c r="DX141" s="5521"/>
      <c r="DY141" s="5528" t="s">
        <v>1521</v>
      </c>
      <c r="DZ141" s="5521"/>
      <c r="EA141" s="5521"/>
      <c r="EB141" s="5529" t="s">
        <v>118</v>
      </c>
      <c r="EC141" s="5545"/>
      <c r="ED141" s="5546"/>
      <c r="EE141" s="5529" t="s">
        <v>1521</v>
      </c>
      <c r="EF141" s="5545"/>
      <c r="EG141" s="5546"/>
      <c r="EH141" s="5521"/>
      <c r="EI141" s="5521"/>
      <c r="EJ141" s="5521"/>
      <c r="EK141" s="5521"/>
      <c r="EL141" s="5521"/>
      <c r="EM141" s="5521"/>
    </row>
    <row r="142" spans="1:143" ht="18.75" customHeight="1" x14ac:dyDescent="0.2">
      <c r="A142" s="5557"/>
      <c r="B142" s="5522"/>
      <c r="C142" s="5522"/>
      <c r="D142" s="5522"/>
      <c r="E142" s="5522"/>
      <c r="F142" s="5522"/>
      <c r="G142" s="5522"/>
      <c r="H142" s="5522"/>
      <c r="I142" s="5522"/>
      <c r="J142" s="5522"/>
      <c r="K142" s="5522"/>
      <c r="L142" s="5522"/>
      <c r="M142" s="5522"/>
      <c r="N142" s="5522"/>
      <c r="O142" s="5522"/>
      <c r="P142" s="5522"/>
      <c r="Q142" s="5522"/>
      <c r="R142" s="5522"/>
      <c r="S142" s="5522"/>
      <c r="T142" s="5522" t="s">
        <v>155</v>
      </c>
      <c r="U142" s="5522" t="s">
        <v>156</v>
      </c>
      <c r="V142" s="5522"/>
      <c r="W142" s="5552"/>
      <c r="X142" s="5552"/>
      <c r="Y142" s="5522"/>
      <c r="Z142" s="5522"/>
      <c r="AA142" s="5522" t="s">
        <v>288</v>
      </c>
      <c r="AB142" s="1576"/>
      <c r="AC142" s="5522" t="s">
        <v>50</v>
      </c>
      <c r="AD142" s="5523"/>
      <c r="AE142" s="5522" t="s">
        <v>288</v>
      </c>
      <c r="AF142" s="5522" t="s">
        <v>50</v>
      </c>
      <c r="AG142" s="5523"/>
      <c r="AH142" s="5522" t="s">
        <v>288</v>
      </c>
      <c r="AI142" s="5522" t="s">
        <v>93</v>
      </c>
      <c r="AJ142" s="5522" t="s">
        <v>50</v>
      </c>
      <c r="AK142" s="5523"/>
      <c r="AL142" s="5522" t="s">
        <v>288</v>
      </c>
      <c r="AM142" s="5522" t="s">
        <v>93</v>
      </c>
      <c r="AN142" s="5522" t="s">
        <v>50</v>
      </c>
      <c r="AO142" s="5523"/>
      <c r="AP142" s="1585"/>
      <c r="AQ142" s="1585"/>
      <c r="AR142" s="1585"/>
      <c r="AS142" s="1585"/>
      <c r="AT142" s="5522" t="s">
        <v>288</v>
      </c>
      <c r="AU142" s="5522" t="s">
        <v>50</v>
      </c>
      <c r="AV142" s="5523"/>
      <c r="AW142" s="5522" t="s">
        <v>288</v>
      </c>
      <c r="AX142" s="5522" t="s">
        <v>50</v>
      </c>
      <c r="AY142" s="5523"/>
      <c r="AZ142" s="5522" t="s">
        <v>288</v>
      </c>
      <c r="BA142" s="5553" t="s">
        <v>93</v>
      </c>
      <c r="BB142" s="5522" t="s">
        <v>50</v>
      </c>
      <c r="BC142" s="5523"/>
      <c r="BD142" s="5522" t="s">
        <v>288</v>
      </c>
      <c r="BE142" s="5522" t="s">
        <v>50</v>
      </c>
      <c r="BF142" s="5523"/>
      <c r="BG142" s="5522" t="s">
        <v>288</v>
      </c>
      <c r="BH142" s="5522" t="s">
        <v>50</v>
      </c>
      <c r="BI142" s="5523"/>
      <c r="BJ142" s="5522" t="s">
        <v>288</v>
      </c>
      <c r="BK142" s="5522" t="s">
        <v>50</v>
      </c>
      <c r="BL142" s="5523"/>
      <c r="BM142" s="5522" t="s">
        <v>288</v>
      </c>
      <c r="BN142" s="5522" t="s">
        <v>50</v>
      </c>
      <c r="BO142" s="5523"/>
      <c r="BP142" s="5522" t="s">
        <v>288</v>
      </c>
      <c r="BQ142" s="5522" t="s">
        <v>50</v>
      </c>
      <c r="BR142" s="5523"/>
      <c r="BS142" s="5522" t="s">
        <v>288</v>
      </c>
      <c r="BT142" s="5522" t="s">
        <v>50</v>
      </c>
      <c r="BU142" s="5523"/>
      <c r="BV142" s="5522" t="s">
        <v>288</v>
      </c>
      <c r="BW142" s="5522" t="s">
        <v>50</v>
      </c>
      <c r="BX142" s="5523"/>
      <c r="BY142" s="5522" t="s">
        <v>288</v>
      </c>
      <c r="BZ142" s="5522" t="s">
        <v>50</v>
      </c>
      <c r="CA142" s="5523"/>
      <c r="CB142" s="5522" t="s">
        <v>288</v>
      </c>
      <c r="CC142" s="5522" t="s">
        <v>50</v>
      </c>
      <c r="CD142" s="5523"/>
      <c r="CE142" s="2653"/>
      <c r="CF142" s="5538" t="s">
        <v>288</v>
      </c>
      <c r="CG142" s="5540" t="s">
        <v>50</v>
      </c>
      <c r="CH142" s="5541"/>
      <c r="CI142" s="5522" t="s">
        <v>288</v>
      </c>
      <c r="CJ142" s="5522" t="s">
        <v>50</v>
      </c>
      <c r="CK142" s="5523"/>
      <c r="CL142" s="5522" t="s">
        <v>288</v>
      </c>
      <c r="CM142" s="5522" t="s">
        <v>50</v>
      </c>
      <c r="CN142" s="5523"/>
      <c r="CO142" s="5522" t="s">
        <v>288</v>
      </c>
      <c r="CP142" s="5522" t="s">
        <v>50</v>
      </c>
      <c r="CQ142" s="5523"/>
      <c r="CR142" s="5522" t="s">
        <v>288</v>
      </c>
      <c r="CS142" s="5522" t="s">
        <v>50</v>
      </c>
      <c r="CT142" s="5523"/>
      <c r="CU142" s="5522" t="s">
        <v>288</v>
      </c>
      <c r="CV142" s="5522" t="s">
        <v>50</v>
      </c>
      <c r="CW142" s="5522"/>
      <c r="CX142" s="5522" t="s">
        <v>288</v>
      </c>
      <c r="CY142" s="5522" t="s">
        <v>50</v>
      </c>
      <c r="CZ142" s="5523"/>
      <c r="DA142" s="5522" t="s">
        <v>288</v>
      </c>
      <c r="DB142" s="5522" t="s">
        <v>50</v>
      </c>
      <c r="DC142" s="5523"/>
      <c r="DD142" s="5522" t="s">
        <v>288</v>
      </c>
      <c r="DE142" s="5522" t="s">
        <v>50</v>
      </c>
      <c r="DF142" s="5523"/>
      <c r="DG142" s="5522" t="s">
        <v>288</v>
      </c>
      <c r="DH142" s="5522" t="s">
        <v>50</v>
      </c>
      <c r="DI142" s="5523"/>
      <c r="DJ142" s="5522" t="s">
        <v>288</v>
      </c>
      <c r="DK142" s="5522" t="s">
        <v>50</v>
      </c>
      <c r="DL142" s="5522"/>
      <c r="DM142" s="5522" t="s">
        <v>288</v>
      </c>
      <c r="DN142" s="5522" t="s">
        <v>50</v>
      </c>
      <c r="DO142" s="5523"/>
      <c r="DP142" s="5522" t="s">
        <v>288</v>
      </c>
      <c r="DQ142" s="5522" t="s">
        <v>50</v>
      </c>
      <c r="DR142" s="5523"/>
      <c r="DS142" s="5522" t="s">
        <v>288</v>
      </c>
      <c r="DT142" s="5522" t="s">
        <v>50</v>
      </c>
      <c r="DU142" s="5523"/>
      <c r="DV142" s="5522" t="s">
        <v>288</v>
      </c>
      <c r="DW142" s="5522" t="s">
        <v>50</v>
      </c>
      <c r="DX142" s="5523"/>
      <c r="DY142" s="5522" t="s">
        <v>288</v>
      </c>
      <c r="DZ142" s="5522" t="s">
        <v>50</v>
      </c>
      <c r="EA142" s="5522"/>
      <c r="EB142" s="5522" t="s">
        <v>288</v>
      </c>
      <c r="EC142" s="5522" t="s">
        <v>50</v>
      </c>
      <c r="ED142" s="5523"/>
      <c r="EE142" s="5522" t="s">
        <v>288</v>
      </c>
      <c r="EF142" s="5522" t="s">
        <v>50</v>
      </c>
      <c r="EG142" s="5522"/>
      <c r="EH142" s="5522" t="s">
        <v>288</v>
      </c>
      <c r="EI142" s="5522" t="s">
        <v>50</v>
      </c>
      <c r="EJ142" s="5523"/>
      <c r="EK142" s="5522" t="s">
        <v>288</v>
      </c>
      <c r="EL142" s="5522" t="s">
        <v>50</v>
      </c>
      <c r="EM142" s="5523"/>
    </row>
    <row r="143" spans="1:143" ht="56.25" x14ac:dyDescent="0.2">
      <c r="A143" s="5557"/>
      <c r="B143" s="5522"/>
      <c r="C143" s="5522"/>
      <c r="D143" s="5522"/>
      <c r="E143" s="5522"/>
      <c r="F143" s="5522"/>
      <c r="G143" s="5522"/>
      <c r="H143" s="5522"/>
      <c r="I143" s="5522"/>
      <c r="J143" s="5522"/>
      <c r="K143" s="5522"/>
      <c r="L143" s="5522"/>
      <c r="M143" s="5522"/>
      <c r="N143" s="5522"/>
      <c r="O143" s="5522"/>
      <c r="P143" s="5522"/>
      <c r="Q143" s="5522"/>
      <c r="R143" s="5522"/>
      <c r="S143" s="5522"/>
      <c r="T143" s="5522"/>
      <c r="U143" s="5522"/>
      <c r="V143" s="5522"/>
      <c r="W143" s="1576" t="str">
        <f>T142</f>
        <v>питьевая</v>
      </c>
      <c r="X143" s="1609" t="str">
        <f>U142</f>
        <v>техническая</v>
      </c>
      <c r="Y143" s="5522"/>
      <c r="Z143" s="5522"/>
      <c r="AA143" s="5523"/>
      <c r="AB143" s="1576"/>
      <c r="AC143" s="1576" t="s">
        <v>366</v>
      </c>
      <c r="AD143" s="1576" t="s">
        <v>367</v>
      </c>
      <c r="AE143" s="5522"/>
      <c r="AF143" s="1576" t="s">
        <v>366</v>
      </c>
      <c r="AG143" s="1576" t="s">
        <v>367</v>
      </c>
      <c r="AH143" s="5523"/>
      <c r="AI143" s="5523"/>
      <c r="AJ143" s="1576" t="s">
        <v>366</v>
      </c>
      <c r="AK143" s="1576" t="s">
        <v>367</v>
      </c>
      <c r="AL143" s="5522"/>
      <c r="AM143" s="5523"/>
      <c r="AN143" s="1576" t="s">
        <v>366</v>
      </c>
      <c r="AO143" s="1576" t="s">
        <v>367</v>
      </c>
      <c r="AP143" s="1585"/>
      <c r="AQ143" s="1585" t="s">
        <v>353</v>
      </c>
      <c r="AR143" s="1585" t="s">
        <v>354</v>
      </c>
      <c r="AS143" s="1585"/>
      <c r="AT143" s="5522"/>
      <c r="AU143" s="1576" t="s">
        <v>366</v>
      </c>
      <c r="AV143" s="1576" t="s">
        <v>367</v>
      </c>
      <c r="AW143" s="5522"/>
      <c r="AX143" s="1576" t="s">
        <v>366</v>
      </c>
      <c r="AY143" s="1576" t="s">
        <v>367</v>
      </c>
      <c r="AZ143" s="5523"/>
      <c r="BA143" s="5554"/>
      <c r="BB143" s="2386" t="s">
        <v>366</v>
      </c>
      <c r="BC143" s="2386" t="s">
        <v>367</v>
      </c>
      <c r="BD143" s="5523"/>
      <c r="BE143" s="2386" t="s">
        <v>366</v>
      </c>
      <c r="BF143" s="2386" t="s">
        <v>367</v>
      </c>
      <c r="BG143" s="5523"/>
      <c r="BH143" s="2386" t="s">
        <v>366</v>
      </c>
      <c r="BI143" s="2386" t="s">
        <v>367</v>
      </c>
      <c r="BJ143" s="5523"/>
      <c r="BK143" s="2386" t="s">
        <v>366</v>
      </c>
      <c r="BL143" s="2386" t="s">
        <v>367</v>
      </c>
      <c r="BM143" s="5523"/>
      <c r="BN143" s="2388" t="s">
        <v>366</v>
      </c>
      <c r="BO143" s="2388" t="s">
        <v>367</v>
      </c>
      <c r="BP143" s="5523"/>
      <c r="BQ143" s="2388" t="s">
        <v>366</v>
      </c>
      <c r="BR143" s="2388" t="s">
        <v>367</v>
      </c>
      <c r="BS143" s="5523"/>
      <c r="BT143" s="2386" t="s">
        <v>366</v>
      </c>
      <c r="BU143" s="2386" t="s">
        <v>367</v>
      </c>
      <c r="BV143" s="5523"/>
      <c r="BW143" s="2386" t="s">
        <v>366</v>
      </c>
      <c r="BX143" s="2386" t="s">
        <v>367</v>
      </c>
      <c r="BY143" s="5523"/>
      <c r="BZ143" s="2659" t="s">
        <v>366</v>
      </c>
      <c r="CA143" s="2659" t="s">
        <v>367</v>
      </c>
      <c r="CB143" s="5523"/>
      <c r="CC143" s="2659" t="s">
        <v>366</v>
      </c>
      <c r="CD143" s="2659" t="s">
        <v>367</v>
      </c>
      <c r="CE143" s="2653"/>
      <c r="CF143" s="5539"/>
      <c r="CG143" s="2659" t="s">
        <v>366</v>
      </c>
      <c r="CH143" s="2659" t="s">
        <v>367</v>
      </c>
      <c r="CI143" s="5523"/>
      <c r="CJ143" s="2538" t="s">
        <v>366</v>
      </c>
      <c r="CK143" s="2538" t="s">
        <v>367</v>
      </c>
      <c r="CL143" s="5523"/>
      <c r="CM143" s="2538" t="s">
        <v>366</v>
      </c>
      <c r="CN143" s="2538" t="s">
        <v>367</v>
      </c>
      <c r="CO143" s="5523"/>
      <c r="CP143" s="2538" t="s">
        <v>366</v>
      </c>
      <c r="CQ143" s="2538" t="s">
        <v>367</v>
      </c>
      <c r="CR143" s="5523"/>
      <c r="CS143" s="3243" t="s">
        <v>366</v>
      </c>
      <c r="CT143" s="3243" t="s">
        <v>367</v>
      </c>
      <c r="CU143" s="5522"/>
      <c r="CV143" s="3243" t="s">
        <v>366</v>
      </c>
      <c r="CW143" s="3243" t="s">
        <v>367</v>
      </c>
      <c r="CX143" s="5523"/>
      <c r="CY143" s="3553" t="s">
        <v>366</v>
      </c>
      <c r="CZ143" s="3553" t="s">
        <v>367</v>
      </c>
      <c r="DA143" s="5523"/>
      <c r="DB143" s="3553" t="s">
        <v>366</v>
      </c>
      <c r="DC143" s="3553" t="s">
        <v>367</v>
      </c>
      <c r="DD143" s="5523"/>
      <c r="DE143" s="3553" t="s">
        <v>366</v>
      </c>
      <c r="DF143" s="3553" t="s">
        <v>367</v>
      </c>
      <c r="DG143" s="5523"/>
      <c r="DH143" s="3650" t="s">
        <v>366</v>
      </c>
      <c r="DI143" s="3650" t="s">
        <v>367</v>
      </c>
      <c r="DJ143" s="5522"/>
      <c r="DK143" s="3650" t="s">
        <v>366</v>
      </c>
      <c r="DL143" s="3650" t="s">
        <v>367</v>
      </c>
      <c r="DM143" s="5523"/>
      <c r="DN143" s="3778" t="s">
        <v>366</v>
      </c>
      <c r="DO143" s="3778" t="s">
        <v>367</v>
      </c>
      <c r="DP143" s="5523"/>
      <c r="DQ143" s="3778" t="s">
        <v>366</v>
      </c>
      <c r="DR143" s="3778" t="s">
        <v>367</v>
      </c>
      <c r="DS143" s="5523"/>
      <c r="DT143" s="3778" t="s">
        <v>366</v>
      </c>
      <c r="DU143" s="3778" t="s">
        <v>367</v>
      </c>
      <c r="DV143" s="5523"/>
      <c r="DW143" s="4009" t="s">
        <v>366</v>
      </c>
      <c r="DX143" s="4009" t="s">
        <v>367</v>
      </c>
      <c r="DY143" s="5522"/>
      <c r="DZ143" s="4009" t="s">
        <v>366</v>
      </c>
      <c r="EA143" s="4009" t="s">
        <v>367</v>
      </c>
      <c r="EB143" s="5523"/>
      <c r="EC143" s="4139" t="s">
        <v>366</v>
      </c>
      <c r="ED143" s="4139" t="s">
        <v>367</v>
      </c>
      <c r="EE143" s="5522"/>
      <c r="EF143" s="4139" t="s">
        <v>366</v>
      </c>
      <c r="EG143" s="4139" t="s">
        <v>367</v>
      </c>
      <c r="EH143" s="5523"/>
      <c r="EI143" s="4565" t="s">
        <v>366</v>
      </c>
      <c r="EJ143" s="4565" t="s">
        <v>367</v>
      </c>
      <c r="EK143" s="5523"/>
      <c r="EL143" s="4565" t="s">
        <v>366</v>
      </c>
      <c r="EM143" s="4565" t="s">
        <v>367</v>
      </c>
    </row>
    <row r="144" spans="1:143" ht="27" customHeight="1" x14ac:dyDescent="0.2">
      <c r="A144" s="3191" t="s">
        <v>1</v>
      </c>
      <c r="B144" s="3191"/>
      <c r="C144" s="3191"/>
      <c r="D144" s="3191"/>
      <c r="E144" s="3191"/>
      <c r="F144" s="3191"/>
      <c r="G144" s="3191"/>
      <c r="H144" s="3191"/>
      <c r="I144" s="3191"/>
      <c r="J144" s="3191"/>
      <c r="K144" s="3191"/>
      <c r="L144" s="3191"/>
      <c r="M144" s="3191"/>
      <c r="N144" s="3191"/>
      <c r="O144" s="3191"/>
      <c r="P144" s="3191"/>
      <c r="Q144" s="3191"/>
      <c r="R144" s="3191"/>
      <c r="S144" s="3191"/>
      <c r="T144" s="3191"/>
      <c r="U144" s="3191"/>
      <c r="V144" s="3191"/>
      <c r="W144" s="3191"/>
      <c r="X144" s="3191"/>
      <c r="Y144" s="2578">
        <f>SUM(Y9+Y18)</f>
        <v>14248.9</v>
      </c>
      <c r="Z144" s="3191"/>
      <c r="AA144" s="2578" t="e">
        <f t="shared" ref="AA144:AH144" si="813">SUM(AA9+AA18)</f>
        <v>#REF!</v>
      </c>
      <c r="AB144" s="2578" t="e">
        <f t="shared" si="813"/>
        <v>#REF!</v>
      </c>
      <c r="AC144" s="2578" t="e">
        <f t="shared" si="813"/>
        <v>#REF!</v>
      </c>
      <c r="AD144" s="2578" t="e">
        <f t="shared" si="813"/>
        <v>#REF!</v>
      </c>
      <c r="AE144" s="2578">
        <f t="shared" si="813"/>
        <v>10706.2</v>
      </c>
      <c r="AF144" s="2578">
        <f t="shared" si="813"/>
        <v>10649.963852438723</v>
      </c>
      <c r="AG144" s="2578">
        <f t="shared" si="813"/>
        <v>56.236147561277903</v>
      </c>
      <c r="AH144" s="2578">
        <f t="shared" si="813"/>
        <v>11185.75</v>
      </c>
      <c r="AI144" s="1592" t="e">
        <f t="shared" ref="AI144:AI177" si="814">SUM(AH144/AA144)</f>
        <v>#REF!</v>
      </c>
      <c r="AJ144" s="2578">
        <f>SUM(AJ9+AJ18)</f>
        <v>11125.779999999999</v>
      </c>
      <c r="AK144" s="2578">
        <f>SUM(AK9+AK18)</f>
        <v>59.97</v>
      </c>
      <c r="AL144" s="2578">
        <f>SUM(AL9+AL18)</f>
        <v>9716.918993269308</v>
      </c>
      <c r="AM144" s="1592" t="e">
        <f t="shared" ref="AM144:AM177" si="815">SUM(AL144/AA144)</f>
        <v>#REF!</v>
      </c>
      <c r="AN144" s="2578">
        <f>SUM(AN9+AN18)</f>
        <v>9664.6028935065297</v>
      </c>
      <c r="AO144" s="2578">
        <f>SUM(AO9+AO18)</f>
        <v>52.316099762776503</v>
      </c>
      <c r="AP144" s="3191"/>
      <c r="AQ144" s="3191"/>
      <c r="AR144" s="3191"/>
      <c r="AS144" s="3191"/>
      <c r="AT144" s="2578">
        <f t="shared" ref="AT144:AZ144" si="816">SUM(AT9+AT18)</f>
        <v>4771</v>
      </c>
      <c r="AU144" s="2578">
        <f t="shared" si="816"/>
        <v>4756.9013504280374</v>
      </c>
      <c r="AV144" s="2578">
        <f t="shared" si="816"/>
        <v>14.098649571962596</v>
      </c>
      <c r="AW144" s="2578">
        <f t="shared" si="816"/>
        <v>9901.2000000000007</v>
      </c>
      <c r="AX144" s="2578">
        <f t="shared" si="816"/>
        <v>9882.82</v>
      </c>
      <c r="AY144" s="2578">
        <f t="shared" si="816"/>
        <v>18.38</v>
      </c>
      <c r="AZ144" s="2578">
        <f t="shared" si="816"/>
        <v>10789.21</v>
      </c>
      <c r="BA144" s="1594">
        <f t="shared" ref="BA144:BA177" si="817">SUM(AZ144/AL144)</f>
        <v>1.1103529840552795</v>
      </c>
      <c r="BB144" s="2578">
        <f t="shared" ref="BB144:BO144" si="818">SUM(BB9+BB18)</f>
        <v>10761.038575061768</v>
      </c>
      <c r="BC144" s="2578">
        <f t="shared" si="818"/>
        <v>28.171424938233031</v>
      </c>
      <c r="BD144" s="2578">
        <f t="shared" si="818"/>
        <v>9240.9366810833944</v>
      </c>
      <c r="BE144" s="2578">
        <f t="shared" si="818"/>
        <v>9220.2964819146728</v>
      </c>
      <c r="BF144" s="2578">
        <f t="shared" si="818"/>
        <v>20.640199168723029</v>
      </c>
      <c r="BG144" s="2578">
        <f t="shared" si="818"/>
        <v>10452.76</v>
      </c>
      <c r="BH144" s="2578">
        <f t="shared" si="818"/>
        <v>10451.460000000001</v>
      </c>
      <c r="BI144" s="2578">
        <f t="shared" si="818"/>
        <v>1.3</v>
      </c>
      <c r="BJ144" s="2578">
        <f t="shared" si="818"/>
        <v>11334.77</v>
      </c>
      <c r="BK144" s="2578">
        <f t="shared" si="818"/>
        <v>11333.7</v>
      </c>
      <c r="BL144" s="2578">
        <f t="shared" si="818"/>
        <v>1.07</v>
      </c>
      <c r="BM144" s="2578">
        <f t="shared" si="818"/>
        <v>9024.2900000000009</v>
      </c>
      <c r="BN144" s="2578">
        <f t="shared" si="818"/>
        <v>9000.7000000000007</v>
      </c>
      <c r="BO144" s="2578">
        <f t="shared" si="818"/>
        <v>23.59</v>
      </c>
      <c r="BP144" s="2578">
        <f>SUM(BP9+BP18+BQ45)</f>
        <v>11014.254000000001</v>
      </c>
      <c r="BQ144" s="2578">
        <f>SUM(BQ9+BQ18+BQ45)</f>
        <v>11013.124</v>
      </c>
      <c r="BR144" s="2578">
        <f>SUM(BR9+BR18+BR45)</f>
        <v>1.1299999999999999</v>
      </c>
      <c r="BS144" s="2578">
        <f>SUM(BS9+BS18)</f>
        <v>11624.91</v>
      </c>
      <c r="BT144" s="2578">
        <f>SUM(BT9+BT18)</f>
        <v>11618.16</v>
      </c>
      <c r="BU144" s="2578">
        <f>SUM(BU9+BU18)</f>
        <v>6.75</v>
      </c>
      <c r="BV144" s="2578">
        <f t="shared" ref="BV144:CA144" si="819">SUM(BV9+BV18+BV45)</f>
        <v>13328.49992347329</v>
      </c>
      <c r="BW144" s="2578">
        <f t="shared" si="819"/>
        <v>13327.281543973289</v>
      </c>
      <c r="BX144" s="2578">
        <f t="shared" si="819"/>
        <v>1.2183794999999999</v>
      </c>
      <c r="BY144" s="2578">
        <f t="shared" si="819"/>
        <v>13888.296920259167</v>
      </c>
      <c r="BZ144" s="2578">
        <f t="shared" si="819"/>
        <v>13887.027368820167</v>
      </c>
      <c r="CA144" s="2578">
        <f t="shared" si="819"/>
        <v>1.269551439</v>
      </c>
      <c r="CB144" s="3191"/>
      <c r="CC144" s="3725"/>
      <c r="CD144" s="3726"/>
      <c r="CE144" s="3726"/>
      <c r="CF144" s="2578">
        <f t="shared" ref="CF144:EA144" si="820">SUM(CF9+CF18+CF45)</f>
        <v>13223.73555900656</v>
      </c>
      <c r="CG144" s="2578">
        <f t="shared" si="820"/>
        <v>13222.843434173168</v>
      </c>
      <c r="CH144" s="2578">
        <f t="shared" si="820"/>
        <v>0.89212483339199999</v>
      </c>
      <c r="CI144" s="2578">
        <f t="shared" si="820"/>
        <v>5582.2793000000001</v>
      </c>
      <c r="CJ144" s="2578">
        <f t="shared" si="820"/>
        <v>5581.8693000000003</v>
      </c>
      <c r="CK144" s="2578">
        <f t="shared" si="820"/>
        <v>0.41</v>
      </c>
      <c r="CL144" s="2578">
        <f t="shared" si="820"/>
        <v>9213.8869999999988</v>
      </c>
      <c r="CM144" s="2578">
        <f t="shared" si="820"/>
        <v>9213.280999999999</v>
      </c>
      <c r="CN144" s="2578">
        <f t="shared" si="820"/>
        <v>0.60599999999999998</v>
      </c>
      <c r="CO144" s="2578">
        <f t="shared" si="820"/>
        <v>13182.16</v>
      </c>
      <c r="CP144" s="2578">
        <f t="shared" si="820"/>
        <v>13181.32</v>
      </c>
      <c r="CQ144" s="2578">
        <f t="shared" si="820"/>
        <v>0.84</v>
      </c>
      <c r="CR144" s="2578">
        <f t="shared" si="820"/>
        <v>13832.027394720863</v>
      </c>
      <c r="CS144" s="2578">
        <f t="shared" si="820"/>
        <v>13831.094232145135</v>
      </c>
      <c r="CT144" s="2578">
        <f t="shared" si="820"/>
        <v>0.93316257572803196</v>
      </c>
      <c r="CU144" s="2578">
        <f t="shared" si="820"/>
        <v>12438.476318581916</v>
      </c>
      <c r="CV144" s="2578">
        <f t="shared" si="820"/>
        <v>12437.000652021121</v>
      </c>
      <c r="CW144" s="2578">
        <f t="shared" si="820"/>
        <v>1.4756665607949733</v>
      </c>
      <c r="CX144" s="2578">
        <f t="shared" si="820"/>
        <v>6936.8714</v>
      </c>
      <c r="CY144" s="2578">
        <f t="shared" si="820"/>
        <v>6936.4797800000006</v>
      </c>
      <c r="CZ144" s="2578">
        <f t="shared" si="820"/>
        <v>0.39162000000000002</v>
      </c>
      <c r="DA144" s="2578">
        <f t="shared" si="820"/>
        <v>9646.8650000000016</v>
      </c>
      <c r="DB144" s="2578">
        <f t="shared" si="820"/>
        <v>9646.3250000000007</v>
      </c>
      <c r="DC144" s="2578">
        <f t="shared" si="820"/>
        <v>0.54</v>
      </c>
      <c r="DD144" s="2578">
        <f t="shared" si="820"/>
        <v>13002.01597</v>
      </c>
      <c r="DE144" s="2578">
        <f t="shared" si="820"/>
        <v>13001.317999999999</v>
      </c>
      <c r="DF144" s="2578">
        <f t="shared" si="820"/>
        <v>0.69796999999999998</v>
      </c>
      <c r="DG144" s="2578">
        <f t="shared" si="820"/>
        <v>14044.925565310137</v>
      </c>
      <c r="DH144" s="2578">
        <f t="shared" si="820"/>
        <v>14043.185413896523</v>
      </c>
      <c r="DI144" s="2578">
        <f t="shared" si="820"/>
        <v>1.7401514136143799</v>
      </c>
      <c r="DJ144" s="2578">
        <f t="shared" si="820"/>
        <v>12509.664467937979</v>
      </c>
      <c r="DK144" s="2578">
        <f t="shared" si="820"/>
        <v>12508.175942205315</v>
      </c>
      <c r="DL144" s="2578">
        <f t="shared" si="820"/>
        <v>1.4885257326660863</v>
      </c>
      <c r="DM144" s="2578">
        <f t="shared" si="820"/>
        <v>5975.3210299999992</v>
      </c>
      <c r="DN144" s="2578">
        <f t="shared" si="820"/>
        <v>5974.9952199999989</v>
      </c>
      <c r="DO144" s="2578">
        <f t="shared" si="820"/>
        <v>0.32580999999999999</v>
      </c>
      <c r="DP144" s="2578">
        <f t="shared" si="820"/>
        <v>8667.0825000000004</v>
      </c>
      <c r="DQ144" s="2578">
        <f t="shared" si="820"/>
        <v>8666.6095000000005</v>
      </c>
      <c r="DR144" s="2578">
        <f t="shared" si="820"/>
        <v>0.47299999999999998</v>
      </c>
      <c r="DS144" s="2578">
        <f t="shared" si="820"/>
        <v>12048.530999999999</v>
      </c>
      <c r="DT144" s="2578">
        <f t="shared" si="820"/>
        <v>12047.907999999999</v>
      </c>
      <c r="DU144" s="2578">
        <f t="shared" si="820"/>
        <v>0.623</v>
      </c>
      <c r="DV144" s="2442">
        <f t="shared" si="820"/>
        <v>13666.248103109347</v>
      </c>
      <c r="DW144" s="2442">
        <f t="shared" si="820"/>
        <v>13664.677275520196</v>
      </c>
      <c r="DX144" s="2442">
        <f t="shared" si="820"/>
        <v>1.570827589149</v>
      </c>
      <c r="DY144" s="3831">
        <f t="shared" si="820"/>
        <v>0</v>
      </c>
      <c r="DZ144" s="3831">
        <f t="shared" si="820"/>
        <v>0</v>
      </c>
      <c r="EA144" s="3831">
        <f t="shared" si="820"/>
        <v>0</v>
      </c>
      <c r="EB144" s="2442">
        <f t="shared" ref="EB144:EM144" si="821">SUM(EB9+EB18+EB45)</f>
        <v>13666.248103109347</v>
      </c>
      <c r="EC144" s="2442">
        <f t="shared" si="821"/>
        <v>13664.677275520196</v>
      </c>
      <c r="ED144" s="2442">
        <f t="shared" si="821"/>
        <v>1.570827589149</v>
      </c>
      <c r="EE144" s="2442">
        <f t="shared" si="821"/>
        <v>13609.047909442845</v>
      </c>
      <c r="EF144" s="2442">
        <f t="shared" si="821"/>
        <v>13607.778752101192</v>
      </c>
      <c r="EG144" s="2442">
        <f t="shared" si="821"/>
        <v>1.2691573416522</v>
      </c>
      <c r="EH144" s="4849">
        <f t="shared" ref="EH144:EJ144" si="822">SUM(EH9+EH18+EH45)</f>
        <v>6067.3781257999999</v>
      </c>
      <c r="EI144" s="4849">
        <f t="shared" si="822"/>
        <v>6066.7478152800004</v>
      </c>
      <c r="EJ144" s="4849">
        <f t="shared" si="822"/>
        <v>0.63031051999999999</v>
      </c>
      <c r="EK144" s="4849">
        <f t="shared" si="821"/>
        <v>11991.261663680001</v>
      </c>
      <c r="EL144" s="4849">
        <f t="shared" si="821"/>
        <v>11990.630455640001</v>
      </c>
      <c r="EM144" s="4849">
        <f t="shared" si="821"/>
        <v>0.63120804000000008</v>
      </c>
    </row>
    <row r="145" spans="1:143" ht="27" customHeight="1" x14ac:dyDescent="0.2">
      <c r="A145" s="3191" t="s">
        <v>4082</v>
      </c>
      <c r="B145" s="3191"/>
      <c r="C145" s="3191"/>
      <c r="D145" s="3191"/>
      <c r="E145" s="3191"/>
      <c r="F145" s="3191"/>
      <c r="G145" s="3191"/>
      <c r="H145" s="3191"/>
      <c r="I145" s="3191"/>
      <c r="J145" s="3191"/>
      <c r="K145" s="3191"/>
      <c r="L145" s="3191"/>
      <c r="M145" s="3191"/>
      <c r="N145" s="3191"/>
      <c r="O145" s="3191"/>
      <c r="P145" s="3191"/>
      <c r="Q145" s="3191"/>
      <c r="R145" s="3191"/>
      <c r="S145" s="3191"/>
      <c r="T145" s="3191"/>
      <c r="U145" s="3191"/>
      <c r="V145" s="3191"/>
      <c r="W145" s="3191"/>
      <c r="X145" s="3191"/>
      <c r="Y145" s="2578"/>
      <c r="Z145" s="3191"/>
      <c r="AA145" s="2578"/>
      <c r="AB145" s="2578"/>
      <c r="AC145" s="2578"/>
      <c r="AD145" s="2578"/>
      <c r="AE145" s="2578"/>
      <c r="AF145" s="2578"/>
      <c r="AG145" s="2578"/>
      <c r="AH145" s="2578"/>
      <c r="AI145" s="1592"/>
      <c r="AJ145" s="2578"/>
      <c r="AK145" s="2578"/>
      <c r="AL145" s="2578"/>
      <c r="AM145" s="1592"/>
      <c r="AN145" s="2578"/>
      <c r="AO145" s="2578"/>
      <c r="AP145" s="3191"/>
      <c r="AQ145" s="3191"/>
      <c r="AR145" s="3191"/>
      <c r="AS145" s="3191"/>
      <c r="AT145" s="2578"/>
      <c r="AU145" s="2578"/>
      <c r="AV145" s="2578"/>
      <c r="AW145" s="2578"/>
      <c r="AX145" s="2578"/>
      <c r="AY145" s="2578"/>
      <c r="AZ145" s="2578"/>
      <c r="BA145" s="1594"/>
      <c r="BB145" s="2578"/>
      <c r="BC145" s="2578"/>
      <c r="BD145" s="2578"/>
      <c r="BE145" s="2578"/>
      <c r="BF145" s="2578"/>
      <c r="BG145" s="2578"/>
      <c r="BH145" s="2578"/>
      <c r="BI145" s="2578"/>
      <c r="BJ145" s="2578"/>
      <c r="BK145" s="2578"/>
      <c r="BL145" s="2578"/>
      <c r="BM145" s="2578"/>
      <c r="BN145" s="2578"/>
      <c r="BO145" s="2578"/>
      <c r="BP145" s="2578"/>
      <c r="BQ145" s="2578"/>
      <c r="BR145" s="2578"/>
      <c r="BS145" s="2578"/>
      <c r="BT145" s="2578"/>
      <c r="BU145" s="2578"/>
      <c r="BV145" s="2578">
        <f>BV47</f>
        <v>313.61784093</v>
      </c>
      <c r="BW145" s="2578">
        <f>BW47</f>
        <v>313.61784093</v>
      </c>
      <c r="BX145" s="2578"/>
      <c r="BY145" s="2578">
        <f>BY47</f>
        <v>353.4558371333834</v>
      </c>
      <c r="BZ145" s="2578">
        <f>BZ47</f>
        <v>353.4558371333834</v>
      </c>
      <c r="CA145" s="2578"/>
      <c r="CB145" s="3191"/>
      <c r="CC145" s="3725"/>
      <c r="CD145" s="3726"/>
      <c r="CE145" s="3726"/>
      <c r="CF145" s="2578">
        <f>CF47</f>
        <v>326.78964000000002</v>
      </c>
      <c r="CG145" s="2578">
        <f>CG47</f>
        <v>326.78964000000002</v>
      </c>
      <c r="CH145" s="2578"/>
      <c r="CI145" s="2578"/>
      <c r="CJ145" s="2578"/>
      <c r="CK145" s="2578"/>
      <c r="CL145" s="2578"/>
      <c r="CM145" s="2578"/>
      <c r="CN145" s="2578"/>
      <c r="CO145" s="2578"/>
      <c r="CP145" s="2578"/>
      <c r="CQ145" s="2578"/>
      <c r="CR145" s="2578"/>
      <c r="CS145" s="2578"/>
      <c r="CT145" s="2578"/>
      <c r="CU145" s="2578"/>
      <c r="CV145" s="2578"/>
      <c r="CW145" s="2578"/>
      <c r="CX145" s="2578"/>
      <c r="CY145" s="2578"/>
      <c r="CZ145" s="2578"/>
      <c r="DA145" s="2578"/>
      <c r="DB145" s="2578"/>
      <c r="DC145" s="2578"/>
      <c r="DD145" s="2578"/>
      <c r="DE145" s="2578"/>
      <c r="DF145" s="2578"/>
      <c r="DG145" s="2578"/>
      <c r="DH145" s="2578"/>
      <c r="DI145" s="2578"/>
      <c r="DJ145" s="2578">
        <f>DJ47</f>
        <v>178.72963200000001</v>
      </c>
      <c r="DK145" s="2578">
        <f>DK47</f>
        <v>178.72963200000001</v>
      </c>
      <c r="DL145" s="2578">
        <f>DL47</f>
        <v>0</v>
      </c>
      <c r="DM145" s="2578"/>
      <c r="DN145" s="2578"/>
      <c r="DO145" s="2578"/>
      <c r="DP145" s="2578"/>
      <c r="DQ145" s="2578"/>
      <c r="DR145" s="2578"/>
      <c r="DS145" s="2578"/>
      <c r="DT145" s="2578"/>
      <c r="DU145" s="2578"/>
      <c r="DV145" s="2442"/>
      <c r="DW145" s="2442"/>
      <c r="DX145" s="2442"/>
      <c r="DY145" s="3831">
        <f>DY47</f>
        <v>0</v>
      </c>
      <c r="DZ145" s="3831">
        <f>DZ47</f>
        <v>0</v>
      </c>
      <c r="EA145" s="3831">
        <f>EA47</f>
        <v>0</v>
      </c>
      <c r="EB145" s="2442"/>
      <c r="EC145" s="2442"/>
      <c r="ED145" s="2442"/>
      <c r="EE145" s="2442">
        <f t="shared" ref="EE145:EM145" si="823">EE47</f>
        <v>244.38001769999997</v>
      </c>
      <c r="EF145" s="2442">
        <f t="shared" si="823"/>
        <v>244.38001769999997</v>
      </c>
      <c r="EG145" s="2442">
        <f t="shared" si="823"/>
        <v>0</v>
      </c>
      <c r="EH145" s="4849">
        <f t="shared" si="823"/>
        <v>129.76045590000001</v>
      </c>
      <c r="EI145" s="4849">
        <f t="shared" si="823"/>
        <v>129.76045590000001</v>
      </c>
      <c r="EJ145" s="4849">
        <f t="shared" si="823"/>
        <v>0</v>
      </c>
      <c r="EK145" s="4849">
        <f t="shared" si="823"/>
        <v>246.9509175</v>
      </c>
      <c r="EL145" s="4849">
        <f t="shared" si="823"/>
        <v>246.9509175</v>
      </c>
      <c r="EM145" s="4849">
        <f t="shared" si="823"/>
        <v>0</v>
      </c>
    </row>
    <row r="146" spans="1:143" ht="27" customHeight="1" x14ac:dyDescent="0.2">
      <c r="A146" s="3191" t="s">
        <v>2</v>
      </c>
      <c r="B146" s="3191"/>
      <c r="C146" s="3191"/>
      <c r="D146" s="3191"/>
      <c r="E146" s="3191"/>
      <c r="F146" s="3191"/>
      <c r="G146" s="3191"/>
      <c r="H146" s="3191"/>
      <c r="I146" s="3191"/>
      <c r="J146" s="3191"/>
      <c r="K146" s="3191"/>
      <c r="L146" s="3191"/>
      <c r="M146" s="3191"/>
      <c r="N146" s="3191"/>
      <c r="O146" s="3191"/>
      <c r="P146" s="3191"/>
      <c r="Q146" s="3191"/>
      <c r="R146" s="3191"/>
      <c r="S146" s="3191"/>
      <c r="T146" s="3191"/>
      <c r="U146" s="3191"/>
      <c r="V146" s="3191"/>
      <c r="W146" s="3191"/>
      <c r="X146" s="3191"/>
      <c r="Y146" s="2578">
        <f>SUM(Y10+Y20+Y29+Y36)</f>
        <v>7436.7999999999993</v>
      </c>
      <c r="Z146" s="3191"/>
      <c r="AA146" s="2578" t="e">
        <f t="shared" ref="AA146:AH146" si="824">SUM(AA10+AA20+AA29+AA36)</f>
        <v>#REF!</v>
      </c>
      <c r="AB146" s="2578" t="e">
        <f t="shared" si="824"/>
        <v>#REF!</v>
      </c>
      <c r="AC146" s="2578" t="e">
        <f t="shared" si="824"/>
        <v>#REF!</v>
      </c>
      <c r="AD146" s="2578" t="e">
        <f t="shared" si="824"/>
        <v>#REF!</v>
      </c>
      <c r="AE146" s="2578">
        <f t="shared" si="824"/>
        <v>7609.7999999999993</v>
      </c>
      <c r="AF146" s="2578">
        <f t="shared" si="824"/>
        <v>7528.8401683585043</v>
      </c>
      <c r="AG146" s="2578">
        <f t="shared" si="824"/>
        <v>80.959831641495228</v>
      </c>
      <c r="AH146" s="2578">
        <f t="shared" si="824"/>
        <v>7550.3</v>
      </c>
      <c r="AI146" s="1592" t="e">
        <f t="shared" si="814"/>
        <v>#REF!</v>
      </c>
      <c r="AJ146" s="2578">
        <f>SUM(AJ10+AJ20+AJ29+AJ36)</f>
        <v>7472.56</v>
      </c>
      <c r="AK146" s="2578">
        <f>SUM(AK10+AK20+AK29+AK36)</f>
        <v>77.739999999999995</v>
      </c>
      <c r="AL146" s="2578">
        <f>SUM(AL10+AL20+AL29+AL36)</f>
        <v>7550.3</v>
      </c>
      <c r="AM146" s="1592" t="e">
        <f t="shared" si="815"/>
        <v>#REF!</v>
      </c>
      <c r="AN146" s="2578">
        <f>SUM(AN10+AN20+AN29+AN36)</f>
        <v>7472.5617749975318</v>
      </c>
      <c r="AO146" s="2578">
        <f>SUM(AO10+AO20+AO29+AO36)</f>
        <v>77.738225002467743</v>
      </c>
      <c r="AP146" s="3191"/>
      <c r="AQ146" s="3191"/>
      <c r="AR146" s="3191"/>
      <c r="AS146" s="3191"/>
      <c r="AT146" s="2578">
        <f t="shared" ref="AT146:AZ146" si="825">SUM(AT10+AT20+AT29+AT36)</f>
        <v>3993.2199999999993</v>
      </c>
      <c r="AU146" s="2578">
        <f t="shared" si="825"/>
        <v>3970.7304376833731</v>
      </c>
      <c r="AV146" s="2578">
        <f t="shared" si="825"/>
        <v>22.489562316627246</v>
      </c>
      <c r="AW146" s="2578">
        <f t="shared" si="825"/>
        <v>8296.6500000000015</v>
      </c>
      <c r="AX146" s="2578">
        <f t="shared" si="825"/>
        <v>8264.18</v>
      </c>
      <c r="AY146" s="2578">
        <f t="shared" si="825"/>
        <v>32.47</v>
      </c>
      <c r="AZ146" s="2578">
        <f t="shared" si="825"/>
        <v>7550.3</v>
      </c>
      <c r="BA146" s="1594">
        <f t="shared" si="817"/>
        <v>1</v>
      </c>
      <c r="BB146" s="2578">
        <f t="shared" ref="BB146:BO146" si="826">SUM(BB10+BB20+BB29+BB36)</f>
        <v>7513.8271599000345</v>
      </c>
      <c r="BC146" s="2578">
        <f t="shared" si="826"/>
        <v>36.472840099964401</v>
      </c>
      <c r="BD146" s="2578">
        <f t="shared" si="826"/>
        <v>8136.1</v>
      </c>
      <c r="BE146" s="2578">
        <f t="shared" si="826"/>
        <v>8100.8486536926684</v>
      </c>
      <c r="BF146" s="2578">
        <f t="shared" si="826"/>
        <v>35.251346307332426</v>
      </c>
      <c r="BG146" s="2578">
        <f t="shared" si="826"/>
        <v>8497.9000000000015</v>
      </c>
      <c r="BH146" s="2578">
        <f t="shared" si="826"/>
        <v>8493.08</v>
      </c>
      <c r="BI146" s="2578">
        <f t="shared" si="826"/>
        <v>4.82</v>
      </c>
      <c r="BJ146" s="2578">
        <f t="shared" si="826"/>
        <v>9984.3799999999992</v>
      </c>
      <c r="BK146" s="2578">
        <f t="shared" si="826"/>
        <v>9980.93</v>
      </c>
      <c r="BL146" s="2578">
        <f t="shared" si="826"/>
        <v>3.45</v>
      </c>
      <c r="BM146" s="2578">
        <f t="shared" si="826"/>
        <v>8497.9039999999986</v>
      </c>
      <c r="BN146" s="2578">
        <f t="shared" si="826"/>
        <v>8476.8040000000001</v>
      </c>
      <c r="BO146" s="2578">
        <f t="shared" si="826"/>
        <v>21.1</v>
      </c>
      <c r="BP146" s="2578">
        <f>SUM(BP10+BP20+BP29+BP36+BP44+BP30)</f>
        <v>9928.4740000000002</v>
      </c>
      <c r="BQ146" s="2578">
        <f>SUM(BQ10+BQ20+BQ29+BQ36+BQ44+BQ30)</f>
        <v>9926.08</v>
      </c>
      <c r="BR146" s="2578">
        <f>SUM(BR10+BR20+BR29+BR36+BR44+BR30)</f>
        <v>2.3940000000000001</v>
      </c>
      <c r="BS146" s="2578">
        <f>SUM(BS10+BS20+BS29+BS36)</f>
        <v>9984.3799999999992</v>
      </c>
      <c r="BT146" s="2578">
        <f>SUM(BT10+BT20+BT29+BT36)</f>
        <v>9979.39</v>
      </c>
      <c r="BU146" s="2578">
        <f>SUM(BU10+BU20+BU29+BU36)</f>
        <v>4.99</v>
      </c>
      <c r="BV146" s="2578">
        <f t="shared" ref="BV146:CA146" si="827">SUM(BV10+BV20+BV29+BV36+BV44)</f>
        <v>9984.3799999999992</v>
      </c>
      <c r="BW146" s="2578">
        <f t="shared" si="827"/>
        <v>9982.6164784696339</v>
      </c>
      <c r="BX146" s="2578">
        <f t="shared" si="827"/>
        <v>1.7635215303655989</v>
      </c>
      <c r="BY146" s="2578">
        <f t="shared" si="827"/>
        <v>10215.01</v>
      </c>
      <c r="BZ146" s="2578">
        <f t="shared" si="827"/>
        <v>10213.246478469635</v>
      </c>
      <c r="CA146" s="2578">
        <f t="shared" si="827"/>
        <v>1.7635215303655989</v>
      </c>
      <c r="CB146" s="3191"/>
      <c r="CC146" s="3725"/>
      <c r="CD146" s="3726"/>
      <c r="CE146" s="3726"/>
      <c r="CF146" s="2578">
        <f t="shared" ref="CF146:EA146" si="828">SUM(CF10+CF20+CF29+CF36+CF44)</f>
        <v>10215.01</v>
      </c>
      <c r="CG146" s="2578">
        <f t="shared" si="828"/>
        <v>10213.251233333236</v>
      </c>
      <c r="CH146" s="2578">
        <f t="shared" si="828"/>
        <v>1.7587666667625974</v>
      </c>
      <c r="CI146" s="2578">
        <f t="shared" si="828"/>
        <v>8246.4500000000007</v>
      </c>
      <c r="CJ146" s="2578">
        <f t="shared" si="828"/>
        <v>8246.4500000000007</v>
      </c>
      <c r="CK146" s="2578">
        <f t="shared" si="828"/>
        <v>0</v>
      </c>
      <c r="CL146" s="2578">
        <f t="shared" si="828"/>
        <v>12169.970000000001</v>
      </c>
      <c r="CM146" s="2578">
        <f t="shared" si="828"/>
        <v>12169.970000000001</v>
      </c>
      <c r="CN146" s="2578">
        <f t="shared" si="828"/>
        <v>0</v>
      </c>
      <c r="CO146" s="2578">
        <f t="shared" si="828"/>
        <v>15677.41</v>
      </c>
      <c r="CP146" s="2578">
        <f t="shared" si="828"/>
        <v>15677.41</v>
      </c>
      <c r="CQ146" s="2578">
        <f t="shared" si="828"/>
        <v>0</v>
      </c>
      <c r="CR146" s="2578">
        <f t="shared" si="828"/>
        <v>11708.98</v>
      </c>
      <c r="CS146" s="2578">
        <f t="shared" si="828"/>
        <v>11708.98</v>
      </c>
      <c r="CT146" s="2578">
        <f t="shared" si="828"/>
        <v>0</v>
      </c>
      <c r="CU146" s="2578">
        <f t="shared" si="828"/>
        <v>6142.7100000000009</v>
      </c>
      <c r="CV146" s="2578">
        <f t="shared" si="828"/>
        <v>6142.7100000000009</v>
      </c>
      <c r="CW146" s="2578">
        <f t="shared" si="828"/>
        <v>0</v>
      </c>
      <c r="CX146" s="2578">
        <f t="shared" si="828"/>
        <v>7779.6169</v>
      </c>
      <c r="CY146" s="2578">
        <f t="shared" si="828"/>
        <v>7779.6169</v>
      </c>
      <c r="CZ146" s="2578">
        <f t="shared" si="828"/>
        <v>0</v>
      </c>
      <c r="DA146" s="2578">
        <f t="shared" si="828"/>
        <v>11690.7</v>
      </c>
      <c r="DB146" s="2578">
        <f t="shared" si="828"/>
        <v>11690.7</v>
      </c>
      <c r="DC146" s="2578">
        <f t="shared" si="828"/>
        <v>0</v>
      </c>
      <c r="DD146" s="2578">
        <f t="shared" si="828"/>
        <v>15597.5</v>
      </c>
      <c r="DE146" s="2578">
        <f t="shared" si="828"/>
        <v>15597.5</v>
      </c>
      <c r="DF146" s="2578">
        <f t="shared" si="828"/>
        <v>0</v>
      </c>
      <c r="DG146" s="2578">
        <f t="shared" si="828"/>
        <v>11629.07</v>
      </c>
      <c r="DH146" s="2578">
        <f t="shared" si="828"/>
        <v>11629.07</v>
      </c>
      <c r="DI146" s="2578">
        <f t="shared" si="828"/>
        <v>0</v>
      </c>
      <c r="DJ146" s="2578">
        <f t="shared" si="828"/>
        <v>11557.18</v>
      </c>
      <c r="DK146" s="2578">
        <f t="shared" si="828"/>
        <v>11557.18</v>
      </c>
      <c r="DL146" s="2578">
        <f t="shared" si="828"/>
        <v>0</v>
      </c>
      <c r="DM146" s="2578">
        <f t="shared" si="828"/>
        <v>7431.009</v>
      </c>
      <c r="DN146" s="2578">
        <f t="shared" si="828"/>
        <v>7431.009</v>
      </c>
      <c r="DO146" s="2578">
        <f t="shared" si="828"/>
        <v>0</v>
      </c>
      <c r="DP146" s="2578">
        <f t="shared" si="828"/>
        <v>13768.687309999999</v>
      </c>
      <c r="DQ146" s="2578">
        <f t="shared" si="828"/>
        <v>10901.065000000001</v>
      </c>
      <c r="DR146" s="2578">
        <f t="shared" si="828"/>
        <v>2867.6223100000002</v>
      </c>
      <c r="DS146" s="2578">
        <f t="shared" si="828"/>
        <v>14966.559000000001</v>
      </c>
      <c r="DT146" s="2578">
        <f t="shared" si="828"/>
        <v>14466.153999999999</v>
      </c>
      <c r="DU146" s="2578">
        <f t="shared" si="828"/>
        <v>500.40499999999997</v>
      </c>
      <c r="DV146" s="2442">
        <f t="shared" si="828"/>
        <v>11890.187249999999</v>
      </c>
      <c r="DW146" s="2442">
        <f t="shared" si="828"/>
        <v>11890.187249999999</v>
      </c>
      <c r="DX146" s="2442">
        <f t="shared" si="828"/>
        <v>0</v>
      </c>
      <c r="DY146" s="3831">
        <f t="shared" si="828"/>
        <v>0</v>
      </c>
      <c r="DZ146" s="3831">
        <f t="shared" si="828"/>
        <v>0</v>
      </c>
      <c r="EA146" s="3831">
        <f t="shared" si="828"/>
        <v>0</v>
      </c>
      <c r="EB146" s="2442">
        <f t="shared" ref="EB146:EM146" si="829">SUM(EB10+EB20+EB29+EB36+EB44)</f>
        <v>11890.187249999999</v>
      </c>
      <c r="EC146" s="2442">
        <f t="shared" si="829"/>
        <v>11890.187249999999</v>
      </c>
      <c r="ED146" s="2442">
        <f t="shared" si="829"/>
        <v>0</v>
      </c>
      <c r="EE146" s="2442">
        <f t="shared" si="829"/>
        <v>10497.724000000002</v>
      </c>
      <c r="EF146" s="2442">
        <f t="shared" si="829"/>
        <v>10497.724000000002</v>
      </c>
      <c r="EG146" s="2442">
        <f t="shared" si="829"/>
        <v>0</v>
      </c>
      <c r="EH146" s="4849">
        <f t="shared" ref="EH146:EJ146" si="830">SUM(EH10+EH20+EH29+EH36+EH44)</f>
        <v>7146.27</v>
      </c>
      <c r="EI146" s="4849">
        <f t="shared" si="830"/>
        <v>7146.27</v>
      </c>
      <c r="EJ146" s="4849">
        <f t="shared" si="830"/>
        <v>0</v>
      </c>
      <c r="EK146" s="4849">
        <f t="shared" si="829"/>
        <v>13500.081999999999</v>
      </c>
      <c r="EL146" s="4849">
        <f t="shared" si="829"/>
        <v>13500.081999999999</v>
      </c>
      <c r="EM146" s="4849">
        <f t="shared" si="829"/>
        <v>0</v>
      </c>
    </row>
    <row r="147" spans="1:143" ht="27" customHeight="1" x14ac:dyDescent="0.2">
      <c r="A147" s="3191" t="s">
        <v>4280</v>
      </c>
      <c r="B147" s="3191"/>
      <c r="C147" s="3191"/>
      <c r="D147" s="3191"/>
      <c r="E147" s="3191"/>
      <c r="F147" s="3191"/>
      <c r="G147" s="3191"/>
      <c r="H147" s="3191"/>
      <c r="I147" s="3191"/>
      <c r="J147" s="3191"/>
      <c r="K147" s="3191"/>
      <c r="L147" s="3191"/>
      <c r="M147" s="3191"/>
      <c r="N147" s="3191"/>
      <c r="O147" s="3191"/>
      <c r="P147" s="3191"/>
      <c r="Q147" s="3191"/>
      <c r="R147" s="3191"/>
      <c r="S147" s="3191"/>
      <c r="T147" s="3191"/>
      <c r="U147" s="3191"/>
      <c r="V147" s="3191"/>
      <c r="W147" s="3191"/>
      <c r="X147" s="3191"/>
      <c r="Y147" s="2578"/>
      <c r="Z147" s="3191"/>
      <c r="AA147" s="2578"/>
      <c r="AB147" s="2578"/>
      <c r="AC147" s="2578"/>
      <c r="AD147" s="2578"/>
      <c r="AE147" s="2578"/>
      <c r="AF147" s="2578"/>
      <c r="AG147" s="2578"/>
      <c r="AH147" s="2578"/>
      <c r="AI147" s="1592"/>
      <c r="AJ147" s="2578"/>
      <c r="AK147" s="2578"/>
      <c r="AL147" s="2578"/>
      <c r="AM147" s="1592"/>
      <c r="AN147" s="2578"/>
      <c r="AO147" s="2578"/>
      <c r="AP147" s="3191"/>
      <c r="AQ147" s="3191"/>
      <c r="AR147" s="3191"/>
      <c r="AS147" s="3191"/>
      <c r="AT147" s="2578"/>
      <c r="AU147" s="2578"/>
      <c r="AV147" s="2578"/>
      <c r="AW147" s="2578"/>
      <c r="AX147" s="2578"/>
      <c r="AY147" s="2578"/>
      <c r="AZ147" s="2578"/>
      <c r="BA147" s="1594"/>
      <c r="BB147" s="2578"/>
      <c r="BC147" s="2578"/>
      <c r="BD147" s="2578"/>
      <c r="BE147" s="2578"/>
      <c r="BF147" s="2578"/>
      <c r="BG147" s="2578"/>
      <c r="BH147" s="2578"/>
      <c r="BI147" s="2578"/>
      <c r="BJ147" s="2578"/>
      <c r="BK147" s="2578"/>
      <c r="BL147" s="2578"/>
      <c r="BM147" s="2578"/>
      <c r="BN147" s="2578"/>
      <c r="BO147" s="2578"/>
      <c r="BP147" s="2578"/>
      <c r="BQ147" s="2578"/>
      <c r="BR147" s="2578"/>
      <c r="BS147" s="2578"/>
      <c r="BT147" s="2578"/>
      <c r="BU147" s="2578"/>
      <c r="BV147" s="2578"/>
      <c r="BW147" s="2578"/>
      <c r="BX147" s="2578"/>
      <c r="BY147" s="2578"/>
      <c r="BZ147" s="2578"/>
      <c r="CA147" s="2578"/>
      <c r="CB147" s="3191"/>
      <c r="CC147" s="3725"/>
      <c r="CD147" s="3726"/>
      <c r="CE147" s="3726"/>
      <c r="CF147" s="2578"/>
      <c r="CG147" s="2578"/>
      <c r="CH147" s="2578"/>
      <c r="CI147" s="2578"/>
      <c r="CJ147" s="2578"/>
      <c r="CK147" s="2578"/>
      <c r="CL147" s="2578"/>
      <c r="CM147" s="2578"/>
      <c r="CN147" s="2578"/>
      <c r="CO147" s="2578"/>
      <c r="CP147" s="2578"/>
      <c r="CQ147" s="2578"/>
      <c r="CR147" s="2578"/>
      <c r="CS147" s="2578"/>
      <c r="CT147" s="2578"/>
      <c r="CU147" s="2578"/>
      <c r="CV147" s="2578"/>
      <c r="CW147" s="2578"/>
      <c r="CX147" s="2578"/>
      <c r="CY147" s="2578"/>
      <c r="CZ147" s="2578"/>
      <c r="DA147" s="2578"/>
      <c r="DB147" s="2578"/>
      <c r="DC147" s="2578"/>
      <c r="DD147" s="2578"/>
      <c r="DE147" s="2578"/>
      <c r="DF147" s="2578"/>
      <c r="DG147" s="2578"/>
      <c r="DH147" s="2578"/>
      <c r="DI147" s="2578"/>
      <c r="DJ147" s="2578"/>
      <c r="DK147" s="2578"/>
      <c r="DL147" s="2578"/>
      <c r="DM147" s="2578"/>
      <c r="DN147" s="2578"/>
      <c r="DO147" s="2578"/>
      <c r="DP147" s="2578"/>
      <c r="DQ147" s="2578"/>
      <c r="DR147" s="2578"/>
      <c r="DS147" s="2578"/>
      <c r="DT147" s="2578"/>
      <c r="DU147" s="2578"/>
      <c r="DV147" s="2442"/>
      <c r="DW147" s="2442"/>
      <c r="DX147" s="2442"/>
      <c r="DY147" s="3831"/>
      <c r="DZ147" s="3831"/>
      <c r="EA147" s="3831"/>
      <c r="EB147" s="2442"/>
      <c r="EC147" s="2442"/>
      <c r="ED147" s="2442"/>
      <c r="EE147" s="2442"/>
      <c r="EF147" s="2442"/>
      <c r="EG147" s="2442"/>
      <c r="EH147" s="4849">
        <f>SUM(EH11+EH21+EH30+EH37)</f>
        <v>508.82600000000002</v>
      </c>
      <c r="EI147" s="4849">
        <f t="shared" ref="EI147:EM147" si="831">SUM(EI11+EI21+EI30+EI37)</f>
        <v>508.82600000000002</v>
      </c>
      <c r="EJ147" s="4849">
        <f t="shared" si="831"/>
        <v>0</v>
      </c>
      <c r="EK147" s="4849">
        <f>SUM(EK11+EK21+EK30+EK37)</f>
        <v>1084.087</v>
      </c>
      <c r="EL147" s="4849">
        <f t="shared" si="831"/>
        <v>1084.087</v>
      </c>
      <c r="EM147" s="4849">
        <f t="shared" si="831"/>
        <v>0</v>
      </c>
    </row>
    <row r="148" spans="1:143" ht="27" customHeight="1" x14ac:dyDescent="0.2">
      <c r="A148" s="3191" t="s">
        <v>3</v>
      </c>
      <c r="B148" s="3191"/>
      <c r="C148" s="3191"/>
      <c r="D148" s="3191"/>
      <c r="E148" s="3191"/>
      <c r="F148" s="3191"/>
      <c r="G148" s="3191"/>
      <c r="H148" s="3191"/>
      <c r="I148" s="3191"/>
      <c r="J148" s="3191"/>
      <c r="K148" s="3191"/>
      <c r="L148" s="3191"/>
      <c r="M148" s="3191"/>
      <c r="N148" s="3191"/>
      <c r="O148" s="3191"/>
      <c r="P148" s="3191"/>
      <c r="Q148" s="3191"/>
      <c r="R148" s="3191"/>
      <c r="S148" s="3191"/>
      <c r="T148" s="3191"/>
      <c r="U148" s="3191"/>
      <c r="V148" s="3191"/>
      <c r="W148" s="3191"/>
      <c r="X148" s="3191"/>
      <c r="Y148" s="2578">
        <f>SUM(Y12+Y22+Y28+Y38)</f>
        <v>4740</v>
      </c>
      <c r="Z148" s="3191"/>
      <c r="AA148" s="2578">
        <f t="shared" ref="AA148:AH148" si="832">SUM(AA12+AA22+AA28+AA38)</f>
        <v>780</v>
      </c>
      <c r="AB148" s="2578">
        <f t="shared" si="832"/>
        <v>0</v>
      </c>
      <c r="AC148" s="2578" t="e">
        <f t="shared" si="832"/>
        <v>#REF!</v>
      </c>
      <c r="AD148" s="2578" t="e">
        <f t="shared" si="832"/>
        <v>#REF!</v>
      </c>
      <c r="AE148" s="2578">
        <f t="shared" si="832"/>
        <v>2799.1</v>
      </c>
      <c r="AF148" s="2578">
        <f t="shared" si="832"/>
        <v>2799.1</v>
      </c>
      <c r="AG148" s="2578">
        <f t="shared" si="832"/>
        <v>0</v>
      </c>
      <c r="AH148" s="2578">
        <f t="shared" si="832"/>
        <v>3679.26</v>
      </c>
      <c r="AI148" s="1592">
        <f t="shared" si="814"/>
        <v>4.7170000000000005</v>
      </c>
      <c r="AJ148" s="2578">
        <f>SUM(AJ12+AJ22+AJ28+AJ38)</f>
        <v>3670</v>
      </c>
      <c r="AK148" s="2578">
        <f>SUM(AK12+AK22+AK28+AK38)</f>
        <v>9.26</v>
      </c>
      <c r="AL148" s="2578">
        <f>SUM(AL12+AL22+AL28+AL38)</f>
        <v>215.84899999999999</v>
      </c>
      <c r="AM148" s="1592">
        <f t="shared" si="815"/>
        <v>0.27672948717948714</v>
      </c>
      <c r="AN148" s="2578">
        <f>SUM(AN12+AN22+AN28+AN38)</f>
        <v>215.84899999999999</v>
      </c>
      <c r="AO148" s="2578">
        <f>SUM(AO12+AO22+AO28+AO38)</f>
        <v>0</v>
      </c>
      <c r="AP148" s="3191"/>
      <c r="AQ148" s="3191"/>
      <c r="AR148" s="3191"/>
      <c r="AS148" s="3191"/>
      <c r="AT148" s="2578">
        <f t="shared" ref="AT148:AZ148" si="833">SUM(AT12+AT22+AT28+AT38)</f>
        <v>2859.89</v>
      </c>
      <c r="AU148" s="2578">
        <f t="shared" si="833"/>
        <v>2859.89</v>
      </c>
      <c r="AV148" s="2578">
        <f t="shared" si="833"/>
        <v>0</v>
      </c>
      <c r="AW148" s="2578">
        <f t="shared" si="833"/>
        <v>4225</v>
      </c>
      <c r="AX148" s="2578">
        <f t="shared" si="833"/>
        <v>4225</v>
      </c>
      <c r="AY148" s="2578">
        <f t="shared" si="833"/>
        <v>0</v>
      </c>
      <c r="AZ148" s="2578">
        <f t="shared" si="833"/>
        <v>2762.73</v>
      </c>
      <c r="BA148" s="1594">
        <f t="shared" si="817"/>
        <v>12.799364370462685</v>
      </c>
      <c r="BB148" s="2578">
        <f t="shared" ref="BB148:BO148" si="834">SUM(BB12+BB22+BB28+BB38)</f>
        <v>4100.2159999999994</v>
      </c>
      <c r="BC148" s="2578">
        <f t="shared" si="834"/>
        <v>0</v>
      </c>
      <c r="BD148" s="2578">
        <f t="shared" si="834"/>
        <v>500.53977966101695</v>
      </c>
      <c r="BE148" s="2578">
        <f t="shared" si="834"/>
        <v>500.53977966101695</v>
      </c>
      <c r="BF148" s="2578">
        <f t="shared" si="834"/>
        <v>0</v>
      </c>
      <c r="BG148" s="2578">
        <f t="shared" si="834"/>
        <v>2916.66</v>
      </c>
      <c r="BH148" s="2578">
        <f t="shared" si="834"/>
        <v>2916.66</v>
      </c>
      <c r="BI148" s="2578">
        <f t="shared" si="834"/>
        <v>0</v>
      </c>
      <c r="BJ148" s="2578">
        <f t="shared" si="834"/>
        <v>7047.5399999999991</v>
      </c>
      <c r="BK148" s="2578">
        <f t="shared" si="834"/>
        <v>7047.5399999999991</v>
      </c>
      <c r="BL148" s="2578">
        <f t="shared" si="834"/>
        <v>0</v>
      </c>
      <c r="BM148" s="2578">
        <f t="shared" si="834"/>
        <v>546.42000000000007</v>
      </c>
      <c r="BN148" s="2578">
        <f t="shared" si="834"/>
        <v>546.42000000000007</v>
      </c>
      <c r="BO148" s="2578">
        <f t="shared" si="834"/>
        <v>0</v>
      </c>
      <c r="BP148" s="2578">
        <f>SUM(BP12+BP22+BP28+BP38+BP46)</f>
        <v>5047.25</v>
      </c>
      <c r="BQ148" s="2578">
        <f>SUM(BQ12+BQ22+BQ28+BQ38+BQ46)</f>
        <v>5046.25</v>
      </c>
      <c r="BR148" s="2578">
        <f>SUM(BR12+BR22+BR28+BR38+BR46)</f>
        <v>1</v>
      </c>
      <c r="BS148" s="2578">
        <f>SUM(BS12+BS22+BS28+BS38)</f>
        <v>3460.57</v>
      </c>
      <c r="BT148" s="2578">
        <f>SUM(BT12+BT22+BT28+BT38)</f>
        <v>3459.11</v>
      </c>
      <c r="BU148" s="2578">
        <f>SUM(BU12+BU22+BU28+BU38)</f>
        <v>1.46</v>
      </c>
      <c r="BV148" s="2578">
        <f t="shared" ref="BV148:CA148" si="835">BV12+BV22+BV28+BV38</f>
        <v>1632.0923300000002</v>
      </c>
      <c r="BW148" s="2578">
        <f t="shared" si="835"/>
        <v>1631.5850847953216</v>
      </c>
      <c r="BX148" s="2578">
        <f t="shared" si="835"/>
        <v>0.50724520467857759</v>
      </c>
      <c r="BY148" s="2578">
        <f t="shared" si="835"/>
        <v>2403.3279968831998</v>
      </c>
      <c r="BZ148" s="2578">
        <f t="shared" si="835"/>
        <v>2402.8193174226835</v>
      </c>
      <c r="CA148" s="2578">
        <f t="shared" si="835"/>
        <v>0.52179112679107165</v>
      </c>
      <c r="CB148" s="3191"/>
      <c r="CC148" s="3725"/>
      <c r="CD148" s="3726"/>
      <c r="CE148" s="3726"/>
      <c r="CF148" s="2578">
        <f>CF12+CF22+CF28+CF38</f>
        <v>1664.2445489010001</v>
      </c>
      <c r="CG148" s="2578">
        <f>CG12+CG22+CG28+CG38</f>
        <v>1663.3967958808935</v>
      </c>
      <c r="CH148" s="2578">
        <f>CH12+CH22+CH28+CH38</f>
        <v>0.8477530201065322</v>
      </c>
      <c r="CI148" s="2578">
        <f t="shared" ref="CI148:EA148" si="836">CI12+CI22+CI28+CI38+CI46</f>
        <v>3270.0099999999998</v>
      </c>
      <c r="CJ148" s="2578">
        <f t="shared" si="836"/>
        <v>3270.0099999999998</v>
      </c>
      <c r="CK148" s="2578">
        <f t="shared" si="836"/>
        <v>0</v>
      </c>
      <c r="CL148" s="2578">
        <f t="shared" si="836"/>
        <v>5216.5599999999995</v>
      </c>
      <c r="CM148" s="2578">
        <f t="shared" si="836"/>
        <v>5216.5599999999995</v>
      </c>
      <c r="CN148" s="2578">
        <f t="shared" si="836"/>
        <v>0</v>
      </c>
      <c r="CO148" s="2578">
        <f t="shared" si="836"/>
        <v>6027.36</v>
      </c>
      <c r="CP148" s="2578">
        <f t="shared" si="836"/>
        <v>6027.36</v>
      </c>
      <c r="CQ148" s="2578">
        <f t="shared" si="836"/>
        <v>0</v>
      </c>
      <c r="CR148" s="2578">
        <f t="shared" si="836"/>
        <v>4481.3200608000006</v>
      </c>
      <c r="CS148" s="2578">
        <f t="shared" si="836"/>
        <v>4481.3200608000006</v>
      </c>
      <c r="CT148" s="2578">
        <f t="shared" si="836"/>
        <v>0</v>
      </c>
      <c r="CU148" s="2578">
        <f t="shared" si="836"/>
        <v>1710.2342863793883</v>
      </c>
      <c r="CV148" s="2578">
        <f t="shared" si="836"/>
        <v>1710.2342863793883</v>
      </c>
      <c r="CW148" s="2578">
        <f t="shared" si="836"/>
        <v>0</v>
      </c>
      <c r="CX148" s="2578">
        <f t="shared" si="836"/>
        <v>2753.0599999999995</v>
      </c>
      <c r="CY148" s="2578">
        <f t="shared" si="836"/>
        <v>2753.0599999999995</v>
      </c>
      <c r="CZ148" s="2578">
        <f t="shared" si="836"/>
        <v>0</v>
      </c>
      <c r="DA148" s="2578">
        <f t="shared" si="836"/>
        <v>3307.29</v>
      </c>
      <c r="DB148" s="2578">
        <f t="shared" si="836"/>
        <v>3307.29</v>
      </c>
      <c r="DC148" s="2578">
        <f t="shared" si="836"/>
        <v>0</v>
      </c>
      <c r="DD148" s="2578">
        <f t="shared" si="836"/>
        <v>4477.37</v>
      </c>
      <c r="DE148" s="2578">
        <f t="shared" si="836"/>
        <v>4477.37</v>
      </c>
      <c r="DF148" s="2578">
        <f t="shared" si="836"/>
        <v>0</v>
      </c>
      <c r="DG148" s="2578">
        <f t="shared" si="836"/>
        <v>4637.190111246</v>
      </c>
      <c r="DH148" s="2578">
        <f t="shared" si="836"/>
        <v>4637.190111246</v>
      </c>
      <c r="DI148" s="2578">
        <f t="shared" si="836"/>
        <v>0</v>
      </c>
      <c r="DJ148" s="2578">
        <f t="shared" si="836"/>
        <v>1810.347985872708</v>
      </c>
      <c r="DK148" s="2578">
        <f t="shared" si="836"/>
        <v>1810.347985872708</v>
      </c>
      <c r="DL148" s="2578">
        <f t="shared" si="836"/>
        <v>0</v>
      </c>
      <c r="DM148" s="2578">
        <f t="shared" si="836"/>
        <v>1501.5340000000001</v>
      </c>
      <c r="DN148" s="2578">
        <f t="shared" si="836"/>
        <v>1501.5340000000001</v>
      </c>
      <c r="DO148" s="2578">
        <f t="shared" si="836"/>
        <v>0</v>
      </c>
      <c r="DP148" s="2578">
        <f t="shared" si="836"/>
        <v>2485.6719999999996</v>
      </c>
      <c r="DQ148" s="2578">
        <f t="shared" si="836"/>
        <v>2485.6719999999996</v>
      </c>
      <c r="DR148" s="2578">
        <f t="shared" si="836"/>
        <v>0</v>
      </c>
      <c r="DS148" s="2578">
        <f t="shared" si="836"/>
        <v>3333.4439999999995</v>
      </c>
      <c r="DT148" s="2578">
        <f t="shared" si="836"/>
        <v>3333.4439999999995</v>
      </c>
      <c r="DU148" s="2578">
        <f t="shared" si="836"/>
        <v>0</v>
      </c>
      <c r="DV148" s="2442">
        <f t="shared" si="836"/>
        <v>4048.7589450000005</v>
      </c>
      <c r="DW148" s="2442">
        <f t="shared" si="836"/>
        <v>4048.7589450000005</v>
      </c>
      <c r="DX148" s="2442">
        <f t="shared" si="836"/>
        <v>0</v>
      </c>
      <c r="DY148" s="3831">
        <f t="shared" si="836"/>
        <v>0</v>
      </c>
      <c r="DZ148" s="3831">
        <f t="shared" si="836"/>
        <v>0</v>
      </c>
      <c r="EA148" s="3831">
        <f t="shared" si="836"/>
        <v>0</v>
      </c>
      <c r="EB148" s="2442">
        <f t="shared" ref="EB148:EM148" si="837">EB12+EB22+EB28+EB38+EB46</f>
        <v>4048.7589450000005</v>
      </c>
      <c r="EC148" s="2442">
        <f t="shared" si="837"/>
        <v>4048.7589450000005</v>
      </c>
      <c r="ED148" s="2442">
        <f t="shared" si="837"/>
        <v>0</v>
      </c>
      <c r="EE148" s="2442">
        <f t="shared" si="837"/>
        <v>2088.339450946663</v>
      </c>
      <c r="EF148" s="2442">
        <f t="shared" si="837"/>
        <v>2088.339450946663</v>
      </c>
      <c r="EG148" s="2442">
        <f t="shared" si="837"/>
        <v>0</v>
      </c>
      <c r="EH148" s="4849">
        <f t="shared" ref="EH148:EJ148" si="838">EH12+EH22+EH28+EH38+EH46</f>
        <v>3339.393</v>
      </c>
      <c r="EI148" s="4849">
        <f t="shared" si="838"/>
        <v>3339.393</v>
      </c>
      <c r="EJ148" s="4849">
        <f t="shared" si="838"/>
        <v>0</v>
      </c>
      <c r="EK148" s="4849">
        <f t="shared" si="837"/>
        <v>13337.771000000001</v>
      </c>
      <c r="EL148" s="4849">
        <f t="shared" si="837"/>
        <v>13337.771000000001</v>
      </c>
      <c r="EM148" s="4849">
        <f t="shared" si="837"/>
        <v>0</v>
      </c>
    </row>
    <row r="149" spans="1:143" ht="27" customHeight="1" x14ac:dyDescent="0.2">
      <c r="A149" s="3191" t="s">
        <v>4</v>
      </c>
      <c r="B149" s="3191"/>
      <c r="C149" s="3191"/>
      <c r="D149" s="3191"/>
      <c r="E149" s="3191"/>
      <c r="F149" s="3191"/>
      <c r="G149" s="3191"/>
      <c r="H149" s="3191"/>
      <c r="I149" s="3191"/>
      <c r="J149" s="3191"/>
      <c r="K149" s="3191"/>
      <c r="L149" s="3191"/>
      <c r="M149" s="3191"/>
      <c r="N149" s="3191"/>
      <c r="O149" s="3191"/>
      <c r="P149" s="3191"/>
      <c r="Q149" s="3191"/>
      <c r="R149" s="3191"/>
      <c r="S149" s="3191"/>
      <c r="T149" s="3191"/>
      <c r="U149" s="3191"/>
      <c r="V149" s="3191"/>
      <c r="W149" s="3191"/>
      <c r="X149" s="3191"/>
      <c r="Y149" s="2578">
        <f>SUM(Y13+Y23+Y31+Y39)</f>
        <v>47903.399999999994</v>
      </c>
      <c r="Z149" s="3191"/>
      <c r="AA149" s="2578">
        <f t="shared" ref="AA149:AH150" si="839">SUM(AA13+AA23+AA31+AA39)</f>
        <v>41422.018619520008</v>
      </c>
      <c r="AB149" s="2578">
        <f t="shared" si="839"/>
        <v>4.2240000000000002</v>
      </c>
      <c r="AC149" s="2578" t="e">
        <f t="shared" si="839"/>
        <v>#REF!</v>
      </c>
      <c r="AD149" s="2578" t="e">
        <f t="shared" si="839"/>
        <v>#REF!</v>
      </c>
      <c r="AE149" s="2578">
        <f t="shared" si="839"/>
        <v>40440.100000000006</v>
      </c>
      <c r="AF149" s="2578">
        <f t="shared" si="839"/>
        <v>40170.590636296118</v>
      </c>
      <c r="AG149" s="2578">
        <f t="shared" si="839"/>
        <v>269.50936370388717</v>
      </c>
      <c r="AH149" s="2578">
        <f t="shared" si="839"/>
        <v>43632.09</v>
      </c>
      <c r="AI149" s="1592">
        <f t="shared" si="814"/>
        <v>1.053354989788897</v>
      </c>
      <c r="AJ149" s="2578">
        <f t="shared" ref="AJ149:AL150" si="840">SUM(AJ13+AJ23+AJ31+AJ39)</f>
        <v>43351.78</v>
      </c>
      <c r="AK149" s="2578">
        <f t="shared" si="840"/>
        <v>280.31</v>
      </c>
      <c r="AL149" s="2578">
        <f t="shared" si="840"/>
        <v>42354.204645413141</v>
      </c>
      <c r="AM149" s="1592">
        <f t="shared" si="815"/>
        <v>1.0225046015853472</v>
      </c>
      <c r="AN149" s="2578">
        <f>SUM(AN13+AN23+AN31+AN39)</f>
        <v>42088.441456922927</v>
      </c>
      <c r="AO149" s="2578">
        <f>SUM(AO13+AO23+AO31+AO39)</f>
        <v>265.76318849021391</v>
      </c>
      <c r="AP149" s="3191"/>
      <c r="AQ149" s="3191"/>
      <c r="AR149" s="3191"/>
      <c r="AS149" s="3191"/>
      <c r="AT149" s="2578">
        <f t="shared" ref="AT149:AZ150" si="841">SUM(AT13+AT23+AT31+AT39)</f>
        <v>19727</v>
      </c>
      <c r="AU149" s="2578">
        <f t="shared" si="841"/>
        <v>19654.408198022586</v>
      </c>
      <c r="AV149" s="2578">
        <f t="shared" si="841"/>
        <v>72.59180197741307</v>
      </c>
      <c r="AW149" s="2578">
        <f t="shared" si="841"/>
        <v>40773.21</v>
      </c>
      <c r="AX149" s="2578">
        <f t="shared" si="841"/>
        <v>40669.570000000007</v>
      </c>
      <c r="AY149" s="2578">
        <f t="shared" si="841"/>
        <v>103.64000000000001</v>
      </c>
      <c r="AZ149" s="2578">
        <f t="shared" si="841"/>
        <v>47704.91</v>
      </c>
      <c r="BA149" s="1594">
        <f t="shared" si="817"/>
        <v>1.1263323299158288</v>
      </c>
      <c r="BB149" s="2578">
        <f t="shared" ref="BB149:BO149" si="842">SUM(BB13+BB23+BB31+BB39)</f>
        <v>47560.244138990885</v>
      </c>
      <c r="BC149" s="2578">
        <f t="shared" si="842"/>
        <v>144.66586100911263</v>
      </c>
      <c r="BD149" s="2578">
        <f t="shared" si="842"/>
        <v>47464.129975317854</v>
      </c>
      <c r="BE149" s="2578">
        <f t="shared" si="842"/>
        <v>47330.74686058973</v>
      </c>
      <c r="BF149" s="2578">
        <f t="shared" si="842"/>
        <v>133.38311472812438</v>
      </c>
      <c r="BG149" s="2578">
        <f t="shared" si="842"/>
        <v>41402.899999999994</v>
      </c>
      <c r="BH149" s="2578">
        <f t="shared" si="842"/>
        <v>41388.380000000005</v>
      </c>
      <c r="BI149" s="2578">
        <f t="shared" si="842"/>
        <v>14.52</v>
      </c>
      <c r="BJ149" s="2578">
        <f t="shared" si="842"/>
        <v>42122.06</v>
      </c>
      <c r="BK149" s="2578">
        <f t="shared" si="842"/>
        <v>42112.22</v>
      </c>
      <c r="BL149" s="2578">
        <f t="shared" si="842"/>
        <v>9.84</v>
      </c>
      <c r="BM149" s="2578">
        <f t="shared" si="842"/>
        <v>51815.3969</v>
      </c>
      <c r="BN149" s="2578">
        <f t="shared" si="842"/>
        <v>51664.67</v>
      </c>
      <c r="BO149" s="2578">
        <f t="shared" si="842"/>
        <v>150.7269</v>
      </c>
      <c r="BP149" s="2578">
        <f t="shared" ref="BP149:BR150" si="843">SUM(BP13+BP23+BP31+BP39+BP48)</f>
        <v>43192.94</v>
      </c>
      <c r="BQ149" s="2578">
        <f t="shared" si="843"/>
        <v>43184.930000000008</v>
      </c>
      <c r="BR149" s="2578">
        <f t="shared" si="843"/>
        <v>8.01</v>
      </c>
      <c r="BS149" s="2578">
        <f t="shared" ref="BS149:BU150" si="844">SUM(BS13+BS23+BS31+BS39)</f>
        <v>55856.31</v>
      </c>
      <c r="BT149" s="2578">
        <f t="shared" si="844"/>
        <v>55816.49</v>
      </c>
      <c r="BU149" s="2578">
        <f t="shared" si="844"/>
        <v>39.82</v>
      </c>
      <c r="BV149" s="2578">
        <f t="shared" ref="BV149:CA150" si="845">BV13+BV23+BV31+BV39+BV48</f>
        <v>54337.410097773143</v>
      </c>
      <c r="BW149" s="2578">
        <f t="shared" si="845"/>
        <v>54324.772711788915</v>
      </c>
      <c r="BX149" s="2578">
        <f t="shared" si="845"/>
        <v>12.637385984227878</v>
      </c>
      <c r="BY149" s="2578">
        <f t="shared" si="845"/>
        <v>57177.532754291395</v>
      </c>
      <c r="BZ149" s="2578">
        <f t="shared" si="845"/>
        <v>57164.148960825485</v>
      </c>
      <c r="CA149" s="2578">
        <f t="shared" si="845"/>
        <v>13.383793465913033</v>
      </c>
      <c r="CB149" s="3191"/>
      <c r="CC149" s="3725"/>
      <c r="CD149" s="3726"/>
      <c r="CE149" s="3726"/>
      <c r="CF149" s="2578">
        <f t="shared" ref="CF149:EA149" si="846">CF13+CF23+CF31+CF39+CF48</f>
        <v>55406.892530872079</v>
      </c>
      <c r="CG149" s="2578">
        <f t="shared" si="846"/>
        <v>55393.310216473896</v>
      </c>
      <c r="CH149" s="2578">
        <f t="shared" si="846"/>
        <v>13.582314398187759</v>
      </c>
      <c r="CI149" s="2578">
        <f t="shared" si="846"/>
        <v>22063.290000000005</v>
      </c>
      <c r="CJ149" s="2578">
        <f t="shared" si="846"/>
        <v>22055.710000000003</v>
      </c>
      <c r="CK149" s="2578">
        <f t="shared" si="846"/>
        <v>7.58</v>
      </c>
      <c r="CL149" s="2578">
        <f t="shared" si="846"/>
        <v>34004.03</v>
      </c>
      <c r="CM149" s="2578">
        <f t="shared" si="846"/>
        <v>33992.51</v>
      </c>
      <c r="CN149" s="2578">
        <f t="shared" si="846"/>
        <v>11.52</v>
      </c>
      <c r="CO149" s="2578">
        <f t="shared" si="846"/>
        <v>44602.700000000004</v>
      </c>
      <c r="CP149" s="2578">
        <f t="shared" si="846"/>
        <v>44588.15</v>
      </c>
      <c r="CQ149" s="2578">
        <f t="shared" si="846"/>
        <v>14.55</v>
      </c>
      <c r="CR149" s="2578">
        <f t="shared" si="846"/>
        <v>63999.862744933496</v>
      </c>
      <c r="CS149" s="2578">
        <f t="shared" si="846"/>
        <v>63959.646289126504</v>
      </c>
      <c r="CT149" s="2578">
        <f t="shared" si="846"/>
        <v>40.216455807000003</v>
      </c>
      <c r="CU149" s="2578">
        <f t="shared" si="846"/>
        <v>56955.380162305366</v>
      </c>
      <c r="CV149" s="2578">
        <f t="shared" si="846"/>
        <v>56938.861162305366</v>
      </c>
      <c r="CW149" s="2578">
        <f t="shared" si="846"/>
        <v>16.518999999999998</v>
      </c>
      <c r="CX149" s="2578">
        <f t="shared" si="846"/>
        <v>21762.899999999998</v>
      </c>
      <c r="CY149" s="2578">
        <f t="shared" si="846"/>
        <v>21756.45</v>
      </c>
      <c r="CZ149" s="2578">
        <f t="shared" si="846"/>
        <v>6.45</v>
      </c>
      <c r="DA149" s="2578">
        <f t="shared" si="846"/>
        <v>32719.579999999998</v>
      </c>
      <c r="DB149" s="2578">
        <f t="shared" si="846"/>
        <v>32708.779999999995</v>
      </c>
      <c r="DC149" s="2578">
        <f t="shared" si="846"/>
        <v>10.8</v>
      </c>
      <c r="DD149" s="2578">
        <f t="shared" si="846"/>
        <v>43087.69999999999</v>
      </c>
      <c r="DE149" s="2578">
        <f t="shared" si="846"/>
        <v>43075.07</v>
      </c>
      <c r="DF149" s="2578">
        <f t="shared" si="846"/>
        <v>12.63</v>
      </c>
      <c r="DG149" s="2578">
        <f t="shared" si="846"/>
        <v>67729.494432600011</v>
      </c>
      <c r="DH149" s="2578">
        <f t="shared" si="846"/>
        <v>67708.207697130012</v>
      </c>
      <c r="DI149" s="2578">
        <f t="shared" si="846"/>
        <v>21.286735469999996</v>
      </c>
      <c r="DJ149" s="2578">
        <f t="shared" si="846"/>
        <v>60289.431827496563</v>
      </c>
      <c r="DK149" s="2578">
        <f t="shared" si="846"/>
        <v>60271.948378070811</v>
      </c>
      <c r="DL149" s="2578">
        <f t="shared" si="846"/>
        <v>17.483449425749995</v>
      </c>
      <c r="DM149" s="2578">
        <f t="shared" si="846"/>
        <v>24081.005000000001</v>
      </c>
      <c r="DN149" s="2578">
        <f t="shared" si="846"/>
        <v>24075.295000000002</v>
      </c>
      <c r="DO149" s="2578">
        <f t="shared" si="846"/>
        <v>5.71</v>
      </c>
      <c r="DP149" s="2578">
        <f t="shared" si="846"/>
        <v>36534.909999999996</v>
      </c>
      <c r="DQ149" s="2578">
        <f t="shared" si="846"/>
        <v>36525.754999999997</v>
      </c>
      <c r="DR149" s="2578">
        <f t="shared" si="846"/>
        <v>9.1549999999999994</v>
      </c>
      <c r="DS149" s="2578">
        <f t="shared" si="846"/>
        <v>48941.542999999998</v>
      </c>
      <c r="DT149" s="2578">
        <f t="shared" si="846"/>
        <v>48929.453000000001</v>
      </c>
      <c r="DU149" s="2578">
        <f t="shared" si="846"/>
        <v>12.09</v>
      </c>
      <c r="DV149" s="2442">
        <f t="shared" si="846"/>
        <v>77456.531443499989</v>
      </c>
      <c r="DW149" s="2442">
        <f t="shared" si="846"/>
        <v>77432.316902324994</v>
      </c>
      <c r="DX149" s="2442">
        <f t="shared" si="846"/>
        <v>24.214541175000001</v>
      </c>
      <c r="DY149" s="3831">
        <f t="shared" si="846"/>
        <v>69550.789656406894</v>
      </c>
      <c r="DZ149" s="3831">
        <f t="shared" si="846"/>
        <v>69527.123274406884</v>
      </c>
      <c r="EA149" s="3831">
        <f t="shared" si="846"/>
        <v>23.666382000000002</v>
      </c>
      <c r="EB149" s="2442">
        <f t="shared" ref="EB149:EM149" si="847">EB13+EB23+EB31+EB39+EB48</f>
        <v>77456.531443499989</v>
      </c>
      <c r="EC149" s="2442">
        <f t="shared" si="847"/>
        <v>77432.316902324994</v>
      </c>
      <c r="ED149" s="2442">
        <f t="shared" si="847"/>
        <v>24.214541175000001</v>
      </c>
      <c r="EE149" s="2442">
        <f t="shared" si="847"/>
        <v>69550.789656406894</v>
      </c>
      <c r="EF149" s="2442">
        <f t="shared" si="847"/>
        <v>69527.123274406884</v>
      </c>
      <c r="EG149" s="2442">
        <f t="shared" si="847"/>
        <v>23.666382000000002</v>
      </c>
      <c r="EH149" s="4849">
        <f t="shared" ref="EH149:EJ149" si="848">EH13+EH23+EH31+EH39+EH48</f>
        <v>29589.556999999997</v>
      </c>
      <c r="EI149" s="4849">
        <f t="shared" si="848"/>
        <v>29581.435999999998</v>
      </c>
      <c r="EJ149" s="4849">
        <f t="shared" si="848"/>
        <v>8.1210000000000004</v>
      </c>
      <c r="EK149" s="4849">
        <f t="shared" si="847"/>
        <v>57233.883999999991</v>
      </c>
      <c r="EL149" s="4849">
        <f t="shared" si="847"/>
        <v>57222.790999999997</v>
      </c>
      <c r="EM149" s="4849">
        <f t="shared" si="847"/>
        <v>11.093</v>
      </c>
    </row>
    <row r="150" spans="1:143" ht="27" customHeight="1" x14ac:dyDescent="0.2">
      <c r="A150" s="3191" t="s">
        <v>5</v>
      </c>
      <c r="B150" s="3191"/>
      <c r="C150" s="3191"/>
      <c r="D150" s="3191"/>
      <c r="E150" s="3191"/>
      <c r="F150" s="3191"/>
      <c r="G150" s="3191"/>
      <c r="H150" s="3191"/>
      <c r="I150" s="3191"/>
      <c r="J150" s="3191"/>
      <c r="K150" s="3191"/>
      <c r="L150" s="3191"/>
      <c r="M150" s="3191"/>
      <c r="N150" s="3191"/>
      <c r="O150" s="3191"/>
      <c r="P150" s="3191"/>
      <c r="Q150" s="3191"/>
      <c r="R150" s="3191"/>
      <c r="S150" s="3191"/>
      <c r="T150" s="3191"/>
      <c r="U150" s="3191"/>
      <c r="V150" s="3191"/>
      <c r="W150" s="3191"/>
      <c r="X150" s="3191"/>
      <c r="Y150" s="2578">
        <f>SUM(Y14+Y24+Y32+Y40)</f>
        <v>14466.800000000001</v>
      </c>
      <c r="Z150" s="3191"/>
      <c r="AA150" s="2578">
        <f t="shared" si="839"/>
        <v>12453.395960809921</v>
      </c>
      <c r="AB150" s="2578">
        <f t="shared" si="839"/>
        <v>4.2055363909018268</v>
      </c>
      <c r="AC150" s="2578" t="e">
        <f t="shared" si="839"/>
        <v>#REF!</v>
      </c>
      <c r="AD150" s="2578" t="e">
        <f t="shared" si="839"/>
        <v>#REF!</v>
      </c>
      <c r="AE150" s="2578">
        <f t="shared" si="839"/>
        <v>12129.699999999999</v>
      </c>
      <c r="AF150" s="2578">
        <f t="shared" si="839"/>
        <v>12048.470146075761</v>
      </c>
      <c r="AG150" s="2578">
        <f t="shared" si="839"/>
        <v>81.229853924238569</v>
      </c>
      <c r="AH150" s="2578">
        <f t="shared" si="839"/>
        <v>13143.624329999999</v>
      </c>
      <c r="AI150" s="1592">
        <f t="shared" si="814"/>
        <v>1.0554249115150747</v>
      </c>
      <c r="AJ150" s="2578">
        <f t="shared" si="840"/>
        <v>13059.134329999999</v>
      </c>
      <c r="AK150" s="2578">
        <f t="shared" si="840"/>
        <v>84.490000000000009</v>
      </c>
      <c r="AL150" s="2578">
        <f t="shared" si="840"/>
        <v>12734.667591698035</v>
      </c>
      <c r="AM150" s="1592">
        <f t="shared" si="815"/>
        <v>1.0225859381467721</v>
      </c>
      <c r="AN150" s="2578">
        <f>SUM(AN14+AN24+AN32+AN40)</f>
        <v>12654.653785637802</v>
      </c>
      <c r="AO150" s="2578">
        <f>SUM(AO14+AO24+AO32+AO40)</f>
        <v>80.013806060234131</v>
      </c>
      <c r="AP150" s="3191"/>
      <c r="AQ150" s="3191"/>
      <c r="AR150" s="3191"/>
      <c r="AS150" s="3191"/>
      <c r="AT150" s="2578">
        <f t="shared" si="841"/>
        <v>5887.33</v>
      </c>
      <c r="AU150" s="2578">
        <f t="shared" si="841"/>
        <v>5865.3422383545676</v>
      </c>
      <c r="AV150" s="2578">
        <f t="shared" si="841"/>
        <v>21.987761645432215</v>
      </c>
      <c r="AW150" s="2578">
        <f t="shared" si="841"/>
        <v>12222.1</v>
      </c>
      <c r="AX150" s="2578">
        <f t="shared" si="841"/>
        <v>12190.66</v>
      </c>
      <c r="AY150" s="2578">
        <f t="shared" si="841"/>
        <v>31.439999999999998</v>
      </c>
      <c r="AZ150" s="2578">
        <f t="shared" si="841"/>
        <v>14370.571280998902</v>
      </c>
      <c r="BA150" s="1594">
        <f t="shared" si="817"/>
        <v>1.1284606510159199</v>
      </c>
      <c r="BB150" s="2578">
        <f t="shared" ref="BB150:BO150" si="849">SUM(BB14+BB24+BB32+BB40)</f>
        <v>14326.96600714799</v>
      </c>
      <c r="BC150" s="2578">
        <f t="shared" si="849"/>
        <v>43.605273850911409</v>
      </c>
      <c r="BD150" s="2578">
        <f t="shared" si="849"/>
        <v>14216.857982124668</v>
      </c>
      <c r="BE150" s="2578">
        <f t="shared" si="849"/>
        <v>14176.749847993546</v>
      </c>
      <c r="BF150" s="2578">
        <f t="shared" si="849"/>
        <v>40.108134131122803</v>
      </c>
      <c r="BG150" s="2578">
        <f t="shared" si="849"/>
        <v>12414.38</v>
      </c>
      <c r="BH150" s="2578">
        <f t="shared" si="849"/>
        <v>12410.06</v>
      </c>
      <c r="BI150" s="2578">
        <f t="shared" si="849"/>
        <v>4.32</v>
      </c>
      <c r="BJ150" s="2578">
        <f t="shared" si="849"/>
        <v>12725.33</v>
      </c>
      <c r="BK150" s="2578">
        <f t="shared" si="849"/>
        <v>12722.36</v>
      </c>
      <c r="BL150" s="2578">
        <f t="shared" si="849"/>
        <v>2.9699999999999998</v>
      </c>
      <c r="BM150" s="2578">
        <f t="shared" si="849"/>
        <v>15519.560000000001</v>
      </c>
      <c r="BN150" s="2578">
        <f t="shared" si="849"/>
        <v>15474.240000000002</v>
      </c>
      <c r="BO150" s="2578">
        <f t="shared" si="849"/>
        <v>45.32</v>
      </c>
      <c r="BP150" s="2578">
        <f t="shared" si="843"/>
        <v>13030.630000000001</v>
      </c>
      <c r="BQ150" s="2578">
        <f t="shared" si="843"/>
        <v>13028.210000000001</v>
      </c>
      <c r="BR150" s="2578">
        <f t="shared" si="843"/>
        <v>2.42</v>
      </c>
      <c r="BS150" s="2578">
        <f t="shared" si="844"/>
        <v>16728.38</v>
      </c>
      <c r="BT150" s="2578">
        <f t="shared" si="844"/>
        <v>16716.41</v>
      </c>
      <c r="BU150" s="2578">
        <f t="shared" si="844"/>
        <v>11.969999999999999</v>
      </c>
      <c r="BV150" s="2578">
        <f t="shared" si="845"/>
        <v>16274.891770933826</v>
      </c>
      <c r="BW150" s="2578">
        <f t="shared" si="845"/>
        <v>16271.091859696404</v>
      </c>
      <c r="BX150" s="2578">
        <f t="shared" si="845"/>
        <v>3.7999112374225921</v>
      </c>
      <c r="BY150" s="2578">
        <f t="shared" si="845"/>
        <v>17210.022985402669</v>
      </c>
      <c r="BZ150" s="2578">
        <f t="shared" si="845"/>
        <v>17205.987085449789</v>
      </c>
      <c r="CA150" s="2578">
        <f t="shared" si="845"/>
        <v>4.0358999528809676</v>
      </c>
      <c r="CB150" s="3191"/>
      <c r="CC150" s="3725"/>
      <c r="CD150" s="3726"/>
      <c r="CE150" s="3726"/>
      <c r="CF150" s="2578">
        <f t="shared" ref="CF150:EA150" si="850">CF14+CF24+CF32+CF40+CF49</f>
        <v>16595.21681582458</v>
      </c>
      <c r="CG150" s="2578">
        <f t="shared" si="850"/>
        <v>16591.132775883387</v>
      </c>
      <c r="CH150" s="2578">
        <f t="shared" si="850"/>
        <v>4.0840399411946677</v>
      </c>
      <c r="CI150" s="2578">
        <f t="shared" si="850"/>
        <v>6696.9500000000007</v>
      </c>
      <c r="CJ150" s="2578">
        <f t="shared" si="850"/>
        <v>6694.67</v>
      </c>
      <c r="CK150" s="2578">
        <f t="shared" si="850"/>
        <v>2.2799999999999998</v>
      </c>
      <c r="CL150" s="2578">
        <f t="shared" si="850"/>
        <v>10290.010000000002</v>
      </c>
      <c r="CM150" s="2578">
        <f t="shared" si="850"/>
        <v>10286.540000000001</v>
      </c>
      <c r="CN150" s="2578">
        <f t="shared" si="850"/>
        <v>3.47</v>
      </c>
      <c r="CO150" s="2578">
        <f t="shared" si="850"/>
        <v>13529.329999999998</v>
      </c>
      <c r="CP150" s="2578">
        <f t="shared" si="850"/>
        <v>13524.939999999999</v>
      </c>
      <c r="CQ150" s="2578">
        <f t="shared" si="850"/>
        <v>4.3899999999999997</v>
      </c>
      <c r="CR150" s="2578">
        <f t="shared" si="850"/>
        <v>19263.966</v>
      </c>
      <c r="CS150" s="2578">
        <f t="shared" si="850"/>
        <v>19251.86</v>
      </c>
      <c r="CT150" s="2578">
        <f t="shared" si="850"/>
        <v>12.106</v>
      </c>
      <c r="CU150" s="2578">
        <f t="shared" si="850"/>
        <v>17059.038687927838</v>
      </c>
      <c r="CV150" s="2578">
        <f t="shared" si="850"/>
        <v>17054.066458252564</v>
      </c>
      <c r="CW150" s="2578">
        <f t="shared" si="850"/>
        <v>4.9722296752736233</v>
      </c>
      <c r="CX150" s="2578">
        <f t="shared" si="850"/>
        <v>6579.6130000000003</v>
      </c>
      <c r="CY150" s="2578">
        <f t="shared" si="850"/>
        <v>6577.6630000000014</v>
      </c>
      <c r="CZ150" s="2578">
        <f t="shared" si="850"/>
        <v>1.95</v>
      </c>
      <c r="DA150" s="2578">
        <f t="shared" si="850"/>
        <v>9887.7450000000008</v>
      </c>
      <c r="DB150" s="2578">
        <f t="shared" si="850"/>
        <v>9884.4770000000008</v>
      </c>
      <c r="DC150" s="2578">
        <f t="shared" si="850"/>
        <v>3.2679999999999998</v>
      </c>
      <c r="DD150" s="2578">
        <f t="shared" si="850"/>
        <v>13016.102000000001</v>
      </c>
      <c r="DE150" s="2578">
        <f t="shared" si="850"/>
        <v>13012.282000000001</v>
      </c>
      <c r="DF150" s="2578">
        <f t="shared" si="850"/>
        <v>3.82</v>
      </c>
      <c r="DG150" s="2578">
        <f t="shared" si="850"/>
        <v>20392.748</v>
      </c>
      <c r="DH150" s="2578">
        <f t="shared" si="850"/>
        <v>20386.34</v>
      </c>
      <c r="DI150" s="2578">
        <f t="shared" si="850"/>
        <v>6.4080000000000004</v>
      </c>
      <c r="DJ150" s="2578">
        <f t="shared" si="850"/>
        <v>18057.639978397332</v>
      </c>
      <c r="DK150" s="2578">
        <f t="shared" si="850"/>
        <v>18052.377448821637</v>
      </c>
      <c r="DL150" s="2578">
        <f t="shared" si="850"/>
        <v>5.2625295756922164</v>
      </c>
      <c r="DM150" s="2578">
        <f t="shared" si="850"/>
        <v>7261.5419999999995</v>
      </c>
      <c r="DN150" s="2578">
        <f t="shared" si="850"/>
        <v>7259.8169999999991</v>
      </c>
      <c r="DO150" s="2578">
        <f t="shared" si="850"/>
        <v>1.7250000000000001</v>
      </c>
      <c r="DP150" s="2578">
        <f t="shared" si="850"/>
        <v>11026.249000000002</v>
      </c>
      <c r="DQ150" s="2578">
        <f t="shared" si="850"/>
        <v>11023.484</v>
      </c>
      <c r="DR150" s="2578">
        <f t="shared" si="850"/>
        <v>2.7650000000000001</v>
      </c>
      <c r="DS150" s="2578">
        <f t="shared" si="850"/>
        <v>14623.981</v>
      </c>
      <c r="DT150" s="2578">
        <f t="shared" si="850"/>
        <v>14620.33</v>
      </c>
      <c r="DU150" s="2578">
        <f t="shared" si="850"/>
        <v>3.6509999999999998</v>
      </c>
      <c r="DV150" s="2442">
        <f t="shared" si="850"/>
        <v>23314.418999999998</v>
      </c>
      <c r="DW150" s="2442">
        <f t="shared" si="850"/>
        <v>23307.129999999997</v>
      </c>
      <c r="DX150" s="2442">
        <f t="shared" si="850"/>
        <v>7.2889999999999997</v>
      </c>
      <c r="DY150" s="3831">
        <f t="shared" si="850"/>
        <v>20942.434080824383</v>
      </c>
      <c r="DZ150" s="3831">
        <f t="shared" si="850"/>
        <v>20960.574374618653</v>
      </c>
      <c r="EA150" s="3831">
        <f t="shared" si="850"/>
        <v>7.1783635917829178</v>
      </c>
      <c r="EB150" s="2442">
        <f t="shared" ref="EB150:EM150" si="851">EB14+EB24+EB32+EB40+EB49</f>
        <v>23314.418999999998</v>
      </c>
      <c r="EC150" s="2442">
        <f t="shared" si="851"/>
        <v>23307.129999999997</v>
      </c>
      <c r="ED150" s="2442">
        <f t="shared" si="851"/>
        <v>7.2889999999999997</v>
      </c>
      <c r="EE150" s="2442">
        <f t="shared" si="851"/>
        <v>21010.657943095805</v>
      </c>
      <c r="EF150" s="2442">
        <f t="shared" si="851"/>
        <v>21003.534352025712</v>
      </c>
      <c r="EG150" s="2442">
        <f t="shared" si="851"/>
        <v>7.1235910700954896</v>
      </c>
      <c r="EH150" s="4849">
        <f t="shared" ref="EH150:EJ150" si="852">EH14+EH24+EH32+EH40+EH49</f>
        <v>8840.0020000000004</v>
      </c>
      <c r="EI150" s="4849">
        <f t="shared" si="852"/>
        <v>8837.5489999999991</v>
      </c>
      <c r="EJ150" s="4849">
        <f t="shared" si="852"/>
        <v>2.4529999999999998</v>
      </c>
      <c r="EK150" s="4849">
        <f t="shared" si="851"/>
        <v>17155.538</v>
      </c>
      <c r="EL150" s="4849">
        <f t="shared" si="851"/>
        <v>17152.187000000002</v>
      </c>
      <c r="EM150" s="4849">
        <f t="shared" si="851"/>
        <v>3.351</v>
      </c>
    </row>
    <row r="151" spans="1:143" ht="27" customHeight="1" x14ac:dyDescent="0.2">
      <c r="A151" s="3191" t="s">
        <v>8</v>
      </c>
      <c r="B151" s="3191"/>
      <c r="C151" s="3191"/>
      <c r="D151" s="3191"/>
      <c r="E151" s="3191"/>
      <c r="F151" s="3191"/>
      <c r="G151" s="3191"/>
      <c r="H151" s="3191"/>
      <c r="I151" s="3191"/>
      <c r="J151" s="3191"/>
      <c r="K151" s="3191"/>
      <c r="L151" s="3191"/>
      <c r="M151" s="3191"/>
      <c r="N151" s="3191"/>
      <c r="O151" s="3191"/>
      <c r="P151" s="3191"/>
      <c r="Q151" s="3191"/>
      <c r="R151" s="3191"/>
      <c r="S151" s="3191"/>
      <c r="T151" s="3191"/>
      <c r="U151" s="3191"/>
      <c r="V151" s="3191"/>
      <c r="W151" s="3191"/>
      <c r="X151" s="3191"/>
      <c r="Y151" s="2578">
        <f>SUM(Y19)</f>
        <v>6984.1</v>
      </c>
      <c r="Z151" s="3191"/>
      <c r="AA151" s="2578" t="e">
        <f t="shared" ref="AA151:AH151" si="853">SUM(AA19)</f>
        <v>#REF!</v>
      </c>
      <c r="AB151" s="2578" t="e">
        <f t="shared" si="853"/>
        <v>#REF!</v>
      </c>
      <c r="AC151" s="2578" t="e">
        <f t="shared" si="853"/>
        <v>#REF!</v>
      </c>
      <c r="AD151" s="2578">
        <f t="shared" si="853"/>
        <v>0</v>
      </c>
      <c r="AE151" s="2578">
        <f t="shared" si="853"/>
        <v>4087.3393910999998</v>
      </c>
      <c r="AF151" s="2578">
        <f t="shared" si="853"/>
        <v>4087.3393910999998</v>
      </c>
      <c r="AG151" s="2578">
        <f t="shared" si="853"/>
        <v>0</v>
      </c>
      <c r="AH151" s="2578">
        <f t="shared" si="853"/>
        <v>4631.88</v>
      </c>
      <c r="AI151" s="1592" t="e">
        <f t="shared" si="814"/>
        <v>#REF!</v>
      </c>
      <c r="AJ151" s="2578">
        <f>SUM(AJ19)</f>
        <v>4631.88</v>
      </c>
      <c r="AK151" s="2578">
        <f>SUM(AK19)</f>
        <v>0</v>
      </c>
      <c r="AL151" s="2578">
        <f>SUM(AL19)</f>
        <v>3968.311174693004</v>
      </c>
      <c r="AM151" s="1592" t="e">
        <f t="shared" si="815"/>
        <v>#REF!</v>
      </c>
      <c r="AN151" s="2578">
        <f>SUM(AN19)</f>
        <v>3968.311174693004</v>
      </c>
      <c r="AO151" s="2578">
        <f>SUM(AO19)</f>
        <v>0</v>
      </c>
      <c r="AP151" s="3191"/>
      <c r="AQ151" s="3191"/>
      <c r="AR151" s="3191"/>
      <c r="AS151" s="3191"/>
      <c r="AT151" s="2578">
        <f t="shared" ref="AT151:AZ151" si="854">SUM(AT19)</f>
        <v>2640.0770813999998</v>
      </c>
      <c r="AU151" s="2578">
        <f t="shared" si="854"/>
        <v>2640.0770813999998</v>
      </c>
      <c r="AV151" s="2578">
        <f t="shared" si="854"/>
        <v>0</v>
      </c>
      <c r="AW151" s="2578">
        <f t="shared" si="854"/>
        <v>5707.19</v>
      </c>
      <c r="AX151" s="2578">
        <f t="shared" si="854"/>
        <v>5707.19</v>
      </c>
      <c r="AY151" s="2578">
        <f t="shared" si="854"/>
        <v>0</v>
      </c>
      <c r="AZ151" s="2578">
        <f t="shared" si="854"/>
        <v>6791.38</v>
      </c>
      <c r="BA151" s="1594">
        <f t="shared" si="817"/>
        <v>1.711403088374337</v>
      </c>
      <c r="BB151" s="2578">
        <f t="shared" ref="BB151:BU151" si="855">SUM(BB19)</f>
        <v>6791.38</v>
      </c>
      <c r="BC151" s="2578">
        <f t="shared" si="855"/>
        <v>0</v>
      </c>
      <c r="BD151" s="2578">
        <f t="shared" si="855"/>
        <v>6985.4283978386675</v>
      </c>
      <c r="BE151" s="2578">
        <f t="shared" si="855"/>
        <v>6985.4283978386675</v>
      </c>
      <c r="BF151" s="2578">
        <f t="shared" si="855"/>
        <v>0</v>
      </c>
      <c r="BG151" s="2578">
        <f t="shared" si="855"/>
        <v>8877.36</v>
      </c>
      <c r="BH151" s="2578">
        <f t="shared" si="855"/>
        <v>8877.36</v>
      </c>
      <c r="BI151" s="2578">
        <f t="shared" si="855"/>
        <v>0</v>
      </c>
      <c r="BJ151" s="2578">
        <f t="shared" si="855"/>
        <v>14052.2</v>
      </c>
      <c r="BK151" s="2578">
        <f t="shared" si="855"/>
        <v>14052.2</v>
      </c>
      <c r="BL151" s="2578">
        <f t="shared" si="855"/>
        <v>0</v>
      </c>
      <c r="BM151" s="2578">
        <f t="shared" si="855"/>
        <v>7625.8140000000003</v>
      </c>
      <c r="BN151" s="2578">
        <f t="shared" si="855"/>
        <v>7625.8140000000003</v>
      </c>
      <c r="BO151" s="2578">
        <f t="shared" si="855"/>
        <v>0</v>
      </c>
      <c r="BP151" s="2578">
        <f t="shared" si="855"/>
        <v>12899.94</v>
      </c>
      <c r="BQ151" s="2578">
        <f t="shared" si="855"/>
        <v>12899.94</v>
      </c>
      <c r="BR151" s="2578">
        <f t="shared" si="855"/>
        <v>0</v>
      </c>
      <c r="BS151" s="2578">
        <f t="shared" si="855"/>
        <v>13684.63</v>
      </c>
      <c r="BT151" s="2578">
        <f t="shared" si="855"/>
        <v>13684.63</v>
      </c>
      <c r="BU151" s="2578">
        <f t="shared" si="855"/>
        <v>0</v>
      </c>
      <c r="BV151" s="2578">
        <f t="shared" ref="BV151:CA151" si="856">BV19</f>
        <v>11981.832285756163</v>
      </c>
      <c r="BW151" s="2578">
        <f t="shared" si="856"/>
        <v>11981.832285756163</v>
      </c>
      <c r="BX151" s="2578">
        <f t="shared" si="856"/>
        <v>0</v>
      </c>
      <c r="BY151" s="2578">
        <f t="shared" si="856"/>
        <v>13937.242556447221</v>
      </c>
      <c r="BZ151" s="2578">
        <f t="shared" si="856"/>
        <v>13937.242556447221</v>
      </c>
      <c r="CA151" s="2578">
        <f t="shared" si="856"/>
        <v>0</v>
      </c>
      <c r="CB151" s="3191"/>
      <c r="CC151" s="3725"/>
      <c r="CD151" s="3726"/>
      <c r="CE151" s="3726"/>
      <c r="CF151" s="2578">
        <f t="shared" ref="CF151:EA151" si="857">CF19</f>
        <v>12217.874381785559</v>
      </c>
      <c r="CG151" s="2578">
        <f t="shared" si="857"/>
        <v>12217.874381785559</v>
      </c>
      <c r="CH151" s="2578">
        <f t="shared" si="857"/>
        <v>0</v>
      </c>
      <c r="CI151" s="2578">
        <f t="shared" si="857"/>
        <v>5300.6039599999995</v>
      </c>
      <c r="CJ151" s="2578">
        <f t="shared" si="857"/>
        <v>5300.6039599999995</v>
      </c>
      <c r="CK151" s="2578">
        <f t="shared" si="857"/>
        <v>0</v>
      </c>
      <c r="CL151" s="2578">
        <f t="shared" si="857"/>
        <v>9302.0645499999991</v>
      </c>
      <c r="CM151" s="2578">
        <f t="shared" si="857"/>
        <v>9302.0645499999991</v>
      </c>
      <c r="CN151" s="2578">
        <f t="shared" si="857"/>
        <v>0</v>
      </c>
      <c r="CO151" s="2578">
        <f t="shared" si="857"/>
        <v>12289.241999999998</v>
      </c>
      <c r="CP151" s="2578">
        <f t="shared" si="857"/>
        <v>12289.241999999998</v>
      </c>
      <c r="CQ151" s="2578">
        <f t="shared" si="857"/>
        <v>0</v>
      </c>
      <c r="CR151" s="2578">
        <f t="shared" si="857"/>
        <v>12854.547132000002</v>
      </c>
      <c r="CS151" s="2578">
        <f t="shared" si="857"/>
        <v>12854.547132000002</v>
      </c>
      <c r="CT151" s="2578">
        <f t="shared" si="857"/>
        <v>0</v>
      </c>
      <c r="CU151" s="2578">
        <f t="shared" si="857"/>
        <v>12555.472992936357</v>
      </c>
      <c r="CV151" s="2578">
        <f t="shared" si="857"/>
        <v>12555.472992936357</v>
      </c>
      <c r="CW151" s="2578">
        <f t="shared" si="857"/>
        <v>0</v>
      </c>
      <c r="CX151" s="2578">
        <f t="shared" si="857"/>
        <v>9670.8643799999991</v>
      </c>
      <c r="CY151" s="2578">
        <f t="shared" si="857"/>
        <v>9670.8643799999991</v>
      </c>
      <c r="CZ151" s="2578">
        <f t="shared" si="857"/>
        <v>0</v>
      </c>
      <c r="DA151" s="2578">
        <f t="shared" si="857"/>
        <v>12168.492399999999</v>
      </c>
      <c r="DB151" s="2578">
        <f t="shared" si="857"/>
        <v>12168.492399999999</v>
      </c>
      <c r="DC151" s="2578">
        <f t="shared" si="857"/>
        <v>0</v>
      </c>
      <c r="DD151" s="2578">
        <f t="shared" si="857"/>
        <v>13798.582809999998</v>
      </c>
      <c r="DE151" s="2578">
        <f t="shared" si="857"/>
        <v>13798.582809999998</v>
      </c>
      <c r="DF151" s="2578">
        <f t="shared" si="857"/>
        <v>0</v>
      </c>
      <c r="DG151" s="2578">
        <f t="shared" si="857"/>
        <v>14431.544161535001</v>
      </c>
      <c r="DH151" s="2578">
        <f t="shared" si="857"/>
        <v>14431.544161535001</v>
      </c>
      <c r="DI151" s="2578">
        <f t="shared" si="857"/>
        <v>0</v>
      </c>
      <c r="DJ151" s="2578">
        <f t="shared" si="857"/>
        <v>13290.445306508884</v>
      </c>
      <c r="DK151" s="2578">
        <f t="shared" si="857"/>
        <v>13290.445306508884</v>
      </c>
      <c r="DL151" s="2578">
        <f t="shared" si="857"/>
        <v>0</v>
      </c>
      <c r="DM151" s="2578">
        <f t="shared" si="857"/>
        <v>5227.31567</v>
      </c>
      <c r="DN151" s="2578">
        <f t="shared" si="857"/>
        <v>5227.31567</v>
      </c>
      <c r="DO151" s="2578">
        <f t="shared" si="857"/>
        <v>0</v>
      </c>
      <c r="DP151" s="2578">
        <f t="shared" si="857"/>
        <v>8613.9956299999994</v>
      </c>
      <c r="DQ151" s="2578">
        <f t="shared" si="857"/>
        <v>8613.9956299999994</v>
      </c>
      <c r="DR151" s="2578">
        <f t="shared" si="857"/>
        <v>0</v>
      </c>
      <c r="DS151" s="2578">
        <f t="shared" si="857"/>
        <v>10969.913079999998</v>
      </c>
      <c r="DT151" s="2578">
        <f t="shared" si="857"/>
        <v>10969.913079999998</v>
      </c>
      <c r="DU151" s="2578">
        <f t="shared" si="857"/>
        <v>0</v>
      </c>
      <c r="DV151" s="2442">
        <f t="shared" si="857"/>
        <v>14537.466925155473</v>
      </c>
      <c r="DW151" s="2442">
        <f t="shared" si="857"/>
        <v>14537.466925155473</v>
      </c>
      <c r="DX151" s="2442">
        <f t="shared" si="857"/>
        <v>0</v>
      </c>
      <c r="DY151" s="3831">
        <f t="shared" si="857"/>
        <v>0</v>
      </c>
      <c r="DZ151" s="3831">
        <f t="shared" si="857"/>
        <v>0</v>
      </c>
      <c r="EA151" s="3831">
        <f t="shared" si="857"/>
        <v>0</v>
      </c>
      <c r="EB151" s="2442">
        <f t="shared" ref="EB151:EM151" si="858">EB19</f>
        <v>18704.158061668386</v>
      </c>
      <c r="EC151" s="2442">
        <f t="shared" si="858"/>
        <v>18704.158061668386</v>
      </c>
      <c r="ED151" s="2442">
        <f t="shared" si="858"/>
        <v>0</v>
      </c>
      <c r="EE151" s="2442">
        <f t="shared" si="858"/>
        <v>15922.770902590104</v>
      </c>
      <c r="EF151" s="2442">
        <f t="shared" si="858"/>
        <v>15922.770902590104</v>
      </c>
      <c r="EG151" s="2442">
        <f t="shared" si="858"/>
        <v>0</v>
      </c>
      <c r="EH151" s="4849">
        <f t="shared" ref="EH151:EJ151" si="859">EH19</f>
        <v>7131.6000599999998</v>
      </c>
      <c r="EI151" s="4849">
        <f t="shared" si="859"/>
        <v>7131.6000599999998</v>
      </c>
      <c r="EJ151" s="4849">
        <f t="shared" si="859"/>
        <v>0</v>
      </c>
      <c r="EK151" s="4849">
        <f t="shared" si="858"/>
        <v>14282.510940000002</v>
      </c>
      <c r="EL151" s="4849">
        <f t="shared" si="858"/>
        <v>14282.510940000002</v>
      </c>
      <c r="EM151" s="4849">
        <f t="shared" si="858"/>
        <v>0</v>
      </c>
    </row>
    <row r="152" spans="1:143" ht="27" customHeight="1" x14ac:dyDescent="0.2">
      <c r="A152" s="3191" t="s">
        <v>6</v>
      </c>
      <c r="B152" s="3191"/>
      <c r="C152" s="3191"/>
      <c r="D152" s="3191"/>
      <c r="E152" s="3191"/>
      <c r="F152" s="3191"/>
      <c r="G152" s="3191"/>
      <c r="H152" s="3191"/>
      <c r="I152" s="3191"/>
      <c r="J152" s="3191"/>
      <c r="K152" s="3191"/>
      <c r="L152" s="3191"/>
      <c r="M152" s="3191"/>
      <c r="N152" s="3191"/>
      <c r="O152" s="3191"/>
      <c r="P152" s="3191"/>
      <c r="Q152" s="3191"/>
      <c r="R152" s="3191"/>
      <c r="S152" s="3191"/>
      <c r="T152" s="3191"/>
      <c r="U152" s="3191"/>
      <c r="V152" s="3191"/>
      <c r="W152" s="3191"/>
      <c r="X152" s="3191"/>
      <c r="Y152" s="2578">
        <f>SUM(Y16+Y26+Y34+Y42)</f>
        <v>23158.799999999999</v>
      </c>
      <c r="Z152" s="3191"/>
      <c r="AA152" s="2578">
        <f t="shared" ref="AA152:AH152" si="860">SUM(AA16+AA26+AA34+AA42)</f>
        <v>18723.532385356291</v>
      </c>
      <c r="AB152" s="2578">
        <f t="shared" si="860"/>
        <v>4.2470953908555629</v>
      </c>
      <c r="AC152" s="2578" t="e">
        <f t="shared" si="860"/>
        <v>#REF!</v>
      </c>
      <c r="AD152" s="2578" t="e">
        <f t="shared" si="860"/>
        <v>#REF!</v>
      </c>
      <c r="AE152" s="2578">
        <f t="shared" si="860"/>
        <v>17316.399999999998</v>
      </c>
      <c r="AF152" s="2578">
        <f t="shared" si="860"/>
        <v>17222.445808368408</v>
      </c>
      <c r="AG152" s="2578">
        <f t="shared" si="860"/>
        <v>93.954191631592721</v>
      </c>
      <c r="AH152" s="2578">
        <f t="shared" si="860"/>
        <v>19982</v>
      </c>
      <c r="AI152" s="1592">
        <f t="shared" si="814"/>
        <v>1.0672131512763028</v>
      </c>
      <c r="AJ152" s="2578">
        <f>SUM(AJ16+AJ26+AJ34+AJ42)</f>
        <v>19889.21</v>
      </c>
      <c r="AK152" s="2578">
        <f>SUM(AK16+AK26+AK34+AK42)</f>
        <v>92.79</v>
      </c>
      <c r="AL152" s="2578">
        <f>SUM(AL16+AL26+AL34+AL42)</f>
        <v>19700.208228981621</v>
      </c>
      <c r="AM152" s="1592">
        <f t="shared" si="815"/>
        <v>1.0521630119532994</v>
      </c>
      <c r="AN152" s="2578">
        <f>SUM(AN16+AN26+AN34+AN42)</f>
        <v>19608.73208525774</v>
      </c>
      <c r="AO152" s="2578">
        <f>SUM(AO16+AO26+AO34+AO42)</f>
        <v>91.476143723881933</v>
      </c>
      <c r="AP152" s="3191"/>
      <c r="AQ152" s="3191"/>
      <c r="AR152" s="3191"/>
      <c r="AS152" s="3191"/>
      <c r="AT152" s="2578">
        <f t="shared" ref="AT152:AZ152" si="861">SUM(AT16+AT26+AT34+AT42)</f>
        <v>9372.2199999999993</v>
      </c>
      <c r="AU152" s="2578">
        <f t="shared" si="861"/>
        <v>9344.3435752180376</v>
      </c>
      <c r="AV152" s="2578">
        <f t="shared" si="861"/>
        <v>27.876424781961987</v>
      </c>
      <c r="AW152" s="2578">
        <f t="shared" si="861"/>
        <v>18220.940000000002</v>
      </c>
      <c r="AX152" s="2578">
        <f t="shared" si="861"/>
        <v>18180.39</v>
      </c>
      <c r="AY152" s="2578">
        <f t="shared" si="861"/>
        <v>40.549999999999997</v>
      </c>
      <c r="AZ152" s="2578">
        <f t="shared" si="861"/>
        <v>21503.85</v>
      </c>
      <c r="BA152" s="1594">
        <f t="shared" si="817"/>
        <v>1.0915544521181753</v>
      </c>
      <c r="BB152" s="2578">
        <f t="shared" ref="BB152:BO152" si="862">SUM(BB16+BB26+BB34+BB42)</f>
        <v>21453.311154973639</v>
      </c>
      <c r="BC152" s="2578">
        <f t="shared" si="862"/>
        <v>50.53884502636356</v>
      </c>
      <c r="BD152" s="2578">
        <f t="shared" si="862"/>
        <v>18719.609230157621</v>
      </c>
      <c r="BE152" s="2578">
        <f t="shared" si="862"/>
        <v>18675.613963883159</v>
      </c>
      <c r="BF152" s="2578">
        <f t="shared" si="862"/>
        <v>43.995266274459937</v>
      </c>
      <c r="BG152" s="2578">
        <f t="shared" si="862"/>
        <v>19424.309999999998</v>
      </c>
      <c r="BH152" s="2578">
        <f t="shared" si="862"/>
        <v>19418.480000000003</v>
      </c>
      <c r="BI152" s="2578">
        <f t="shared" si="862"/>
        <v>5.83</v>
      </c>
      <c r="BJ152" s="2578">
        <f t="shared" si="862"/>
        <v>19836.45</v>
      </c>
      <c r="BK152" s="2578">
        <f t="shared" si="862"/>
        <v>19833.29</v>
      </c>
      <c r="BL152" s="2578">
        <f t="shared" si="862"/>
        <v>3.16</v>
      </c>
      <c r="BM152" s="2578">
        <f t="shared" si="862"/>
        <v>20407.879000000001</v>
      </c>
      <c r="BN152" s="2578">
        <f t="shared" si="862"/>
        <v>20357.641000000003</v>
      </c>
      <c r="BO152" s="2578">
        <f t="shared" si="862"/>
        <v>50.237999999999992</v>
      </c>
      <c r="BP152" s="2578">
        <f>SUM(BP16+BP26+BP34+BP42+BP51)</f>
        <v>21658.874</v>
      </c>
      <c r="BQ152" s="2578">
        <f>SUM(BQ16+BQ26+BQ34+BQ42+BQ51)</f>
        <v>21656.739999999998</v>
      </c>
      <c r="BR152" s="2578">
        <f>SUM(BR16+BR26+BR34+BR42+BR51)</f>
        <v>2.1339999999999999</v>
      </c>
      <c r="BS152" s="2578">
        <f>SUM(BS16+BS26+BS34+BS42)</f>
        <v>26396.23</v>
      </c>
      <c r="BT152" s="2578">
        <f>SUM(BT16+BT26+BT34+BT42)</f>
        <v>26384.160000000003</v>
      </c>
      <c r="BU152" s="2578">
        <f>SUM(BU16+BU26+BU34+BU42)</f>
        <v>12.07</v>
      </c>
      <c r="BV152" s="2578">
        <f t="shared" ref="BV152:CA152" si="863">BV16+BV26+BV34+BV42</f>
        <v>22352.046595588534</v>
      </c>
      <c r="BW152" s="2578">
        <f t="shared" si="863"/>
        <v>22348.48542661771</v>
      </c>
      <c r="BX152" s="2578">
        <f t="shared" si="863"/>
        <v>3.5611689708253937</v>
      </c>
      <c r="BY152" s="2578">
        <f t="shared" si="863"/>
        <v>23053.928791006016</v>
      </c>
      <c r="BZ152" s="2578">
        <f t="shared" si="863"/>
        <v>23050.924170815902</v>
      </c>
      <c r="CA152" s="2578">
        <f t="shared" si="863"/>
        <v>3.0046201901138678</v>
      </c>
      <c r="CB152" s="3191"/>
      <c r="CC152" s="3725"/>
      <c r="CD152" s="3726"/>
      <c r="CE152" s="3726"/>
      <c r="CF152" s="2578">
        <f t="shared" ref="CF152:EA152" si="864">CF16+CF26+CF34+CF42</f>
        <v>22385.253846645475</v>
      </c>
      <c r="CG152" s="2578">
        <f t="shared" si="864"/>
        <v>22381.483428801712</v>
      </c>
      <c r="CH152" s="2578">
        <f t="shared" si="864"/>
        <v>3.7704178437616429</v>
      </c>
      <c r="CI152" s="2578">
        <f t="shared" si="864"/>
        <v>10846.289999999999</v>
      </c>
      <c r="CJ152" s="2578">
        <f t="shared" si="864"/>
        <v>10846.289999999999</v>
      </c>
      <c r="CK152" s="2578">
        <f t="shared" si="864"/>
        <v>0</v>
      </c>
      <c r="CL152" s="2578">
        <f t="shared" si="864"/>
        <v>15165.38</v>
      </c>
      <c r="CM152" s="2578">
        <f t="shared" si="864"/>
        <v>15165.38</v>
      </c>
      <c r="CN152" s="2578">
        <f t="shared" si="864"/>
        <v>0</v>
      </c>
      <c r="CO152" s="2578">
        <f t="shared" si="864"/>
        <v>20876.399999999998</v>
      </c>
      <c r="CP152" s="2578">
        <f t="shared" si="864"/>
        <v>20876.399999999998</v>
      </c>
      <c r="CQ152" s="2578">
        <f t="shared" si="864"/>
        <v>0</v>
      </c>
      <c r="CR152" s="2578">
        <f t="shared" si="864"/>
        <v>26851.738075714482</v>
      </c>
      <c r="CS152" s="2578">
        <f t="shared" si="864"/>
        <v>26851.738075714482</v>
      </c>
      <c r="CT152" s="2578">
        <f t="shared" si="864"/>
        <v>0</v>
      </c>
      <c r="CU152" s="2578">
        <f t="shared" si="864"/>
        <v>19426.393068875226</v>
      </c>
      <c r="CV152" s="2578">
        <f t="shared" si="864"/>
        <v>19426.393068875226</v>
      </c>
      <c r="CW152" s="2578">
        <f t="shared" si="864"/>
        <v>0</v>
      </c>
      <c r="CX152" s="2578">
        <f t="shared" si="864"/>
        <v>9312.65</v>
      </c>
      <c r="CY152" s="2578">
        <f t="shared" si="864"/>
        <v>9312.65</v>
      </c>
      <c r="CZ152" s="2578">
        <f t="shared" si="864"/>
        <v>0</v>
      </c>
      <c r="DA152" s="2578">
        <f t="shared" si="864"/>
        <v>13488.683999999999</v>
      </c>
      <c r="DB152" s="2578">
        <f t="shared" si="864"/>
        <v>13488.683999999999</v>
      </c>
      <c r="DC152" s="2578">
        <f t="shared" si="864"/>
        <v>0</v>
      </c>
      <c r="DD152" s="2578">
        <f t="shared" si="864"/>
        <v>17892.030000000002</v>
      </c>
      <c r="DE152" s="2578">
        <f t="shared" si="864"/>
        <v>17892.030000000002</v>
      </c>
      <c r="DF152" s="2578">
        <f t="shared" si="864"/>
        <v>0</v>
      </c>
      <c r="DG152" s="2578">
        <f t="shared" si="864"/>
        <v>23146.953704482861</v>
      </c>
      <c r="DH152" s="2578">
        <f t="shared" si="864"/>
        <v>23146.953704482861</v>
      </c>
      <c r="DI152" s="2578">
        <f t="shared" si="864"/>
        <v>0</v>
      </c>
      <c r="DJ152" s="2578">
        <f t="shared" si="864"/>
        <v>20313.445372652735</v>
      </c>
      <c r="DK152" s="2578">
        <f t="shared" si="864"/>
        <v>20313.445372652735</v>
      </c>
      <c r="DL152" s="2578">
        <f t="shared" si="864"/>
        <v>0</v>
      </c>
      <c r="DM152" s="2578">
        <f t="shared" si="864"/>
        <v>10540.95</v>
      </c>
      <c r="DN152" s="2578">
        <f t="shared" si="864"/>
        <v>10540.95</v>
      </c>
      <c r="DO152" s="2578">
        <f t="shared" si="864"/>
        <v>0</v>
      </c>
      <c r="DP152" s="2578">
        <f t="shared" si="864"/>
        <v>15302.830000000002</v>
      </c>
      <c r="DQ152" s="2578">
        <f t="shared" si="864"/>
        <v>15302.830000000002</v>
      </c>
      <c r="DR152" s="2578">
        <f t="shared" si="864"/>
        <v>0</v>
      </c>
      <c r="DS152" s="2578">
        <f t="shared" si="864"/>
        <v>21256.203999999998</v>
      </c>
      <c r="DT152" s="2578">
        <f t="shared" si="864"/>
        <v>21256.203999999998</v>
      </c>
      <c r="DU152" s="2578">
        <f t="shared" si="864"/>
        <v>0</v>
      </c>
      <c r="DV152" s="2442">
        <f t="shared" si="864"/>
        <v>23561.073201121104</v>
      </c>
      <c r="DW152" s="2442">
        <f t="shared" si="864"/>
        <v>23561.073201121104</v>
      </c>
      <c r="DX152" s="2442">
        <f t="shared" si="864"/>
        <v>0</v>
      </c>
      <c r="DY152" s="3831">
        <f t="shared" si="864"/>
        <v>0</v>
      </c>
      <c r="DZ152" s="3831">
        <f t="shared" si="864"/>
        <v>0</v>
      </c>
      <c r="EA152" s="3831">
        <f t="shared" si="864"/>
        <v>0</v>
      </c>
      <c r="EB152" s="2442">
        <f t="shared" ref="EB152:EM152" si="865">EB16+EB26+EB34+EB42</f>
        <v>23561.073201121104</v>
      </c>
      <c r="EC152" s="2442">
        <f t="shared" si="865"/>
        <v>23561.073201121104</v>
      </c>
      <c r="ED152" s="2442">
        <f t="shared" si="865"/>
        <v>0</v>
      </c>
      <c r="EE152" s="2442">
        <f t="shared" si="865"/>
        <v>22801.583664975635</v>
      </c>
      <c r="EF152" s="2442">
        <f t="shared" si="865"/>
        <v>22801.583664975635</v>
      </c>
      <c r="EG152" s="2442">
        <f t="shared" si="865"/>
        <v>0</v>
      </c>
      <c r="EH152" s="4849">
        <f t="shared" ref="EH152:EJ152" si="866">EH16+EH26+EH34+EH42</f>
        <v>12219.099</v>
      </c>
      <c r="EI152" s="4849">
        <f t="shared" si="866"/>
        <v>12219.099</v>
      </c>
      <c r="EJ152" s="4849">
        <f t="shared" si="866"/>
        <v>0</v>
      </c>
      <c r="EK152" s="4849">
        <f t="shared" si="865"/>
        <v>26610.131000000001</v>
      </c>
      <c r="EL152" s="4849">
        <f t="shared" si="865"/>
        <v>26610.131000000001</v>
      </c>
      <c r="EM152" s="4849">
        <f t="shared" si="865"/>
        <v>0</v>
      </c>
    </row>
    <row r="153" spans="1:143" ht="27" customHeight="1" x14ac:dyDescent="0.2">
      <c r="A153" s="3191" t="s">
        <v>10</v>
      </c>
      <c r="B153" s="3191"/>
      <c r="C153" s="3191"/>
      <c r="D153" s="3191"/>
      <c r="E153" s="3191"/>
      <c r="F153" s="3191"/>
      <c r="G153" s="3191"/>
      <c r="H153" s="3191"/>
      <c r="I153" s="3191"/>
      <c r="J153" s="3191"/>
      <c r="K153" s="3191"/>
      <c r="L153" s="3191"/>
      <c r="M153" s="3191"/>
      <c r="N153" s="3191"/>
      <c r="O153" s="3191"/>
      <c r="P153" s="3191"/>
      <c r="Q153" s="3191"/>
      <c r="R153" s="3191"/>
      <c r="S153" s="3191"/>
      <c r="T153" s="3191"/>
      <c r="U153" s="3191"/>
      <c r="V153" s="3191"/>
      <c r="W153" s="3191"/>
      <c r="X153" s="3191"/>
      <c r="Y153" s="2578">
        <f>SUM(Y52)</f>
        <v>4337.3</v>
      </c>
      <c r="Z153" s="3191"/>
      <c r="AA153" s="2578" t="e">
        <f t="shared" ref="AA153:AH153" si="867">SUM(AA52)</f>
        <v>#REF!</v>
      </c>
      <c r="AB153" s="2578" t="e">
        <f t="shared" si="867"/>
        <v>#REF!</v>
      </c>
      <c r="AC153" s="2578" t="e">
        <f t="shared" si="867"/>
        <v>#REF!</v>
      </c>
      <c r="AD153" s="2578" t="e">
        <f t="shared" si="867"/>
        <v>#REF!</v>
      </c>
      <c r="AE153" s="2578">
        <f t="shared" si="867"/>
        <v>4024.3500000000004</v>
      </c>
      <c r="AF153" s="2578">
        <f t="shared" si="867"/>
        <v>3976.8345704382273</v>
      </c>
      <c r="AG153" s="2578">
        <f t="shared" si="867"/>
        <v>47.515429561772656</v>
      </c>
      <c r="AH153" s="2578">
        <f t="shared" si="867"/>
        <v>3223.45</v>
      </c>
      <c r="AI153" s="1592" t="e">
        <f t="shared" si="814"/>
        <v>#REF!</v>
      </c>
      <c r="AJ153" s="2578">
        <f>SUM(AJ52)</f>
        <v>3186.56</v>
      </c>
      <c r="AK153" s="2578">
        <f>SUM(AK52)</f>
        <v>36.89</v>
      </c>
      <c r="AL153" s="2578" t="e">
        <f>SUM(AL52)</f>
        <v>#REF!</v>
      </c>
      <c r="AM153" s="1592" t="e">
        <f t="shared" si="815"/>
        <v>#REF!</v>
      </c>
      <c r="AN153" s="2578" t="e">
        <f>SUM(AN52)</f>
        <v>#REF!</v>
      </c>
      <c r="AO153" s="2578">
        <f>SUM(AO52)</f>
        <v>36.598383401633441</v>
      </c>
      <c r="AP153" s="3191"/>
      <c r="AQ153" s="3191"/>
      <c r="AR153" s="3191"/>
      <c r="AS153" s="3191"/>
      <c r="AT153" s="2578">
        <f t="shared" ref="AT153:AZ153" si="868">SUM(AT52)</f>
        <v>917.55000000000007</v>
      </c>
      <c r="AU153" s="2578">
        <f t="shared" si="868"/>
        <v>911.23472177565213</v>
      </c>
      <c r="AV153" s="2578">
        <f t="shared" si="868"/>
        <v>6.3152782243478924</v>
      </c>
      <c r="AW153" s="2578">
        <f t="shared" si="868"/>
        <v>4009.77</v>
      </c>
      <c r="AX153" s="2578">
        <f t="shared" si="868"/>
        <v>3990.45</v>
      </c>
      <c r="AY153" s="2578">
        <f t="shared" si="868"/>
        <v>19.32</v>
      </c>
      <c r="AZ153" s="2578">
        <f t="shared" si="868"/>
        <v>4420.8999999999996</v>
      </c>
      <c r="BA153" s="1594" t="e">
        <f t="shared" si="817"/>
        <v>#REF!</v>
      </c>
      <c r="BB153" s="2578">
        <f t="shared" ref="BB153:BU153" si="869">SUM(BB52)</f>
        <v>4381.0563420773306</v>
      </c>
      <c r="BC153" s="2578">
        <f t="shared" si="869"/>
        <v>39.843657922669166</v>
      </c>
      <c r="BD153" s="2578">
        <f t="shared" si="869"/>
        <v>3154.5307358921218</v>
      </c>
      <c r="BE153" s="2578">
        <f t="shared" si="869"/>
        <v>3136.7529139804451</v>
      </c>
      <c r="BF153" s="2578">
        <f t="shared" si="869"/>
        <v>17.777821911676497</v>
      </c>
      <c r="BG153" s="2578">
        <f t="shared" si="869"/>
        <v>4091.95</v>
      </c>
      <c r="BH153" s="2578">
        <f t="shared" si="869"/>
        <v>4089.2000000000003</v>
      </c>
      <c r="BI153" s="2578">
        <f t="shared" si="869"/>
        <v>2.75</v>
      </c>
      <c r="BJ153" s="2578">
        <f t="shared" si="869"/>
        <v>4236.59</v>
      </c>
      <c r="BK153" s="2578">
        <f t="shared" si="869"/>
        <v>4234.54</v>
      </c>
      <c r="BL153" s="2578">
        <f t="shared" si="869"/>
        <v>2.0500000000000003</v>
      </c>
      <c r="BM153" s="2578">
        <f t="shared" si="869"/>
        <v>3523.82</v>
      </c>
      <c r="BN153" s="2578">
        <f t="shared" si="869"/>
        <v>3502.9300000000003</v>
      </c>
      <c r="BO153" s="2578">
        <f t="shared" si="869"/>
        <v>20.89</v>
      </c>
      <c r="BP153" s="2578">
        <f t="shared" si="869"/>
        <v>4718.3</v>
      </c>
      <c r="BQ153" s="2578">
        <f t="shared" si="869"/>
        <v>4716.59</v>
      </c>
      <c r="BR153" s="2578">
        <f t="shared" si="869"/>
        <v>1.71</v>
      </c>
      <c r="BS153" s="2578">
        <f t="shared" si="869"/>
        <v>7289.78</v>
      </c>
      <c r="BT153" s="2578">
        <f t="shared" si="869"/>
        <v>7286.05</v>
      </c>
      <c r="BU153" s="2578">
        <f t="shared" si="869"/>
        <v>3.73</v>
      </c>
      <c r="BV153" s="2578">
        <f t="shared" ref="BV153:CA153" si="870">BV52</f>
        <v>6648.9677381678157</v>
      </c>
      <c r="BW153" s="2578">
        <f t="shared" si="870"/>
        <v>6646.6681943163603</v>
      </c>
      <c r="BX153" s="2578">
        <f t="shared" si="870"/>
        <v>2.2995438514545756</v>
      </c>
      <c r="BY153" s="2578">
        <f t="shared" si="870"/>
        <v>8049.6994632278365</v>
      </c>
      <c r="BZ153" s="2578">
        <f t="shared" si="870"/>
        <v>8047.3436809562545</v>
      </c>
      <c r="CA153" s="2578">
        <f t="shared" si="870"/>
        <v>2.3557822715825516</v>
      </c>
      <c r="CB153" s="3191"/>
      <c r="CC153" s="3725"/>
      <c r="CD153" s="3726"/>
      <c r="CE153" s="3726"/>
      <c r="CF153" s="2578">
        <f t="shared" ref="CF153:EA153" si="871">CF52</f>
        <v>6445.1921967693988</v>
      </c>
      <c r="CG153" s="2578">
        <f t="shared" si="871"/>
        <v>6443.3212990978163</v>
      </c>
      <c r="CH153" s="2578">
        <f t="shared" si="871"/>
        <v>1.8708976715825516</v>
      </c>
      <c r="CI153" s="2578">
        <f t="shared" si="871"/>
        <v>3177.0067785000001</v>
      </c>
      <c r="CJ153" s="2578">
        <f t="shared" si="871"/>
        <v>3177.0067785000001</v>
      </c>
      <c r="CK153" s="2578">
        <f t="shared" si="871"/>
        <v>0</v>
      </c>
      <c r="CL153" s="2578">
        <f t="shared" si="871"/>
        <v>4766.0355731699992</v>
      </c>
      <c r="CM153" s="2578">
        <f t="shared" si="871"/>
        <v>4766.0355731699992</v>
      </c>
      <c r="CN153" s="2578">
        <f t="shared" si="871"/>
        <v>0</v>
      </c>
      <c r="CO153" s="2578">
        <f t="shared" si="871"/>
        <v>6354.3249378799992</v>
      </c>
      <c r="CP153" s="2578">
        <f t="shared" si="871"/>
        <v>6354.3249378799992</v>
      </c>
      <c r="CQ153" s="2578">
        <f t="shared" si="871"/>
        <v>0</v>
      </c>
      <c r="CR153" s="2578">
        <f t="shared" si="871"/>
        <v>7775.3079739999994</v>
      </c>
      <c r="CS153" s="2578">
        <f t="shared" si="871"/>
        <v>7774.0937539999995</v>
      </c>
      <c r="CT153" s="2578">
        <f t="shared" si="871"/>
        <v>1.2142200000000001</v>
      </c>
      <c r="CU153" s="2578">
        <f t="shared" si="871"/>
        <v>5070.8663199999992</v>
      </c>
      <c r="CV153" s="2578">
        <f t="shared" si="871"/>
        <v>5070.1323199999997</v>
      </c>
      <c r="CW153" s="2578">
        <f t="shared" si="871"/>
        <v>0.73399999999999999</v>
      </c>
      <c r="CX153" s="2578">
        <f t="shared" si="871"/>
        <v>2537.2637800000002</v>
      </c>
      <c r="CY153" s="2578">
        <f t="shared" si="871"/>
        <v>2537.2637800000002</v>
      </c>
      <c r="CZ153" s="2578">
        <f t="shared" si="871"/>
        <v>0</v>
      </c>
      <c r="DA153" s="2578">
        <f t="shared" si="871"/>
        <v>4227.7289609999998</v>
      </c>
      <c r="DB153" s="2578">
        <f t="shared" si="871"/>
        <v>4227.7289609999998</v>
      </c>
      <c r="DC153" s="2578">
        <f t="shared" si="871"/>
        <v>0</v>
      </c>
      <c r="DD153" s="2578">
        <f t="shared" si="871"/>
        <v>6132.2974599999998</v>
      </c>
      <c r="DE153" s="2578">
        <f t="shared" si="871"/>
        <v>6132.2974599999998</v>
      </c>
      <c r="DF153" s="2578">
        <f t="shared" si="871"/>
        <v>0</v>
      </c>
      <c r="DG153" s="2578">
        <f t="shared" si="871"/>
        <v>6354.0391539766297</v>
      </c>
      <c r="DH153" s="2578">
        <f t="shared" si="871"/>
        <v>6352.6427817766298</v>
      </c>
      <c r="DI153" s="2578">
        <f t="shared" si="871"/>
        <v>1.3963722000000001</v>
      </c>
      <c r="DJ153" s="2578">
        <f t="shared" si="871"/>
        <v>6026.942609279753</v>
      </c>
      <c r="DK153" s="2578">
        <f t="shared" si="871"/>
        <v>6025.5453875757521</v>
      </c>
      <c r="DL153" s="2578">
        <f t="shared" si="871"/>
        <v>1.3972217040000001</v>
      </c>
      <c r="DM153" s="2578">
        <f t="shared" si="871"/>
        <v>2668.8681422747095</v>
      </c>
      <c r="DN153" s="2578">
        <f t="shared" si="871"/>
        <v>2668.8681422747095</v>
      </c>
      <c r="DO153" s="2578">
        <f t="shared" si="871"/>
        <v>0</v>
      </c>
      <c r="DP153" s="2578">
        <f t="shared" si="871"/>
        <v>4077.3522626036061</v>
      </c>
      <c r="DQ153" s="2578">
        <f t="shared" si="871"/>
        <v>4077.3522626036061</v>
      </c>
      <c r="DR153" s="2578">
        <f t="shared" si="871"/>
        <v>0</v>
      </c>
      <c r="DS153" s="2578">
        <f t="shared" si="871"/>
        <v>8737.3537726391951</v>
      </c>
      <c r="DT153" s="2578">
        <f t="shared" si="871"/>
        <v>8737.3537726391951</v>
      </c>
      <c r="DU153" s="2578">
        <f t="shared" si="871"/>
        <v>0</v>
      </c>
      <c r="DV153" s="2442">
        <f t="shared" si="871"/>
        <v>9152.0293146823733</v>
      </c>
      <c r="DW153" s="2442">
        <f t="shared" si="871"/>
        <v>9150.4223362823741</v>
      </c>
      <c r="DX153" s="2442">
        <f t="shared" si="871"/>
        <v>1.6069784</v>
      </c>
      <c r="DY153" s="3831">
        <f t="shared" si="871"/>
        <v>3306.69280215973</v>
      </c>
      <c r="DZ153" s="3831">
        <f t="shared" si="871"/>
        <v>3305.4658779997299</v>
      </c>
      <c r="EA153" s="3831">
        <f t="shared" si="871"/>
        <v>1.22692416</v>
      </c>
      <c r="EB153" s="2442">
        <f t="shared" ref="EB153:EM153" si="872">EB52</f>
        <v>9152.0293146823733</v>
      </c>
      <c r="EC153" s="2442">
        <f t="shared" si="872"/>
        <v>9150.4223362823741</v>
      </c>
      <c r="ED153" s="2442">
        <f t="shared" si="872"/>
        <v>1.6069784</v>
      </c>
      <c r="EE153" s="2442">
        <f t="shared" si="872"/>
        <v>6526.5592021597295</v>
      </c>
      <c r="EF153" s="2442">
        <f t="shared" si="872"/>
        <v>6525.3322779997297</v>
      </c>
      <c r="EG153" s="2442">
        <f t="shared" si="872"/>
        <v>1.22692416</v>
      </c>
      <c r="EH153" s="4849">
        <f t="shared" ref="EH153:EJ153" si="873">EH52</f>
        <v>0</v>
      </c>
      <c r="EI153" s="4849">
        <f t="shared" si="873"/>
        <v>0</v>
      </c>
      <c r="EJ153" s="4849">
        <f t="shared" si="873"/>
        <v>0</v>
      </c>
      <c r="EK153" s="4849">
        <f t="shared" si="872"/>
        <v>0</v>
      </c>
      <c r="EL153" s="4849">
        <f t="shared" si="872"/>
        <v>0</v>
      </c>
      <c r="EM153" s="4849">
        <f t="shared" si="872"/>
        <v>0</v>
      </c>
    </row>
    <row r="154" spans="1:143" ht="27" customHeight="1" x14ac:dyDescent="0.2">
      <c r="A154" s="3191" t="s">
        <v>11</v>
      </c>
      <c r="B154" s="3191"/>
      <c r="C154" s="3191"/>
      <c r="D154" s="3191"/>
      <c r="E154" s="3191"/>
      <c r="F154" s="3191"/>
      <c r="G154" s="3191"/>
      <c r="H154" s="3191"/>
      <c r="I154" s="3191"/>
      <c r="J154" s="3191"/>
      <c r="K154" s="3191"/>
      <c r="L154" s="3191"/>
      <c r="M154" s="3191"/>
      <c r="N154" s="3191"/>
      <c r="O154" s="3191"/>
      <c r="P154" s="3191"/>
      <c r="Q154" s="3191"/>
      <c r="R154" s="3191"/>
      <c r="S154" s="3191"/>
      <c r="T154" s="3191"/>
      <c r="U154" s="3191"/>
      <c r="V154" s="3191"/>
      <c r="W154" s="3191"/>
      <c r="X154" s="3191"/>
      <c r="Y154" s="2578">
        <f>SUM(Y59)</f>
        <v>15517.1</v>
      </c>
      <c r="Z154" s="3191"/>
      <c r="AA154" s="2578">
        <f t="shared" ref="AA154:AH154" si="874">SUM(AA59)</f>
        <v>9765</v>
      </c>
      <c r="AB154" s="2578" t="e">
        <f t="shared" si="874"/>
        <v>#REF!</v>
      </c>
      <c r="AC154" s="2578">
        <f t="shared" si="874"/>
        <v>9598.7999999999993</v>
      </c>
      <c r="AD154" s="2578">
        <f t="shared" si="874"/>
        <v>166.2</v>
      </c>
      <c r="AE154" s="2578">
        <f t="shared" si="874"/>
        <v>14207.04</v>
      </c>
      <c r="AF154" s="2578">
        <f t="shared" si="874"/>
        <v>14031.870256994307</v>
      </c>
      <c r="AG154" s="2578">
        <f t="shared" si="874"/>
        <v>175.16974300569382</v>
      </c>
      <c r="AH154" s="2578">
        <f t="shared" si="874"/>
        <v>13395.76</v>
      </c>
      <c r="AI154" s="1592">
        <f t="shared" si="814"/>
        <v>1.3718136200716846</v>
      </c>
      <c r="AJ154" s="2578">
        <f>SUM(AJ59)</f>
        <v>13243.27</v>
      </c>
      <c r="AK154" s="2578">
        <f>SUM(AK59)</f>
        <v>152.49</v>
      </c>
      <c r="AL154" s="2578">
        <f>SUM(AL59)</f>
        <v>13073.01213648671</v>
      </c>
      <c r="AM154" s="1592">
        <f t="shared" si="815"/>
        <v>1.3387621235521465</v>
      </c>
      <c r="AN154" s="2578">
        <f>SUM(AN59)</f>
        <v>12924.197100987714</v>
      </c>
      <c r="AO154" s="2578">
        <f>SUM(AO59)</f>
        <v>148.81503549899571</v>
      </c>
      <c r="AP154" s="3191"/>
      <c r="AQ154" s="3191"/>
      <c r="AR154" s="3191"/>
      <c r="AS154" s="3191"/>
      <c r="AT154" s="2578">
        <f t="shared" ref="AT154:AZ154" si="875">SUM(AT59)</f>
        <v>6505.01</v>
      </c>
      <c r="AU154" s="2578">
        <f t="shared" si="875"/>
        <v>6460.2375647080098</v>
      </c>
      <c r="AV154" s="2578">
        <f t="shared" si="875"/>
        <v>44.772435291990405</v>
      </c>
      <c r="AW154" s="2578">
        <f t="shared" si="875"/>
        <v>12858.359999999999</v>
      </c>
      <c r="AX154" s="2578">
        <f t="shared" si="875"/>
        <v>12796.39</v>
      </c>
      <c r="AY154" s="2578">
        <f t="shared" si="875"/>
        <v>61.97</v>
      </c>
      <c r="AZ154" s="2578">
        <f t="shared" si="875"/>
        <v>14993.56</v>
      </c>
      <c r="BA154" s="1594">
        <f t="shared" si="817"/>
        <v>1.1469093613210264</v>
      </c>
      <c r="BB154" s="2578">
        <f t="shared" ref="BB154:BU154" si="876">SUM(BB59)</f>
        <v>14913.482432471448</v>
      </c>
      <c r="BC154" s="2578">
        <f t="shared" si="876"/>
        <v>80.077567528551299</v>
      </c>
      <c r="BD154" s="2578">
        <f t="shared" si="876"/>
        <v>9920.4365701392053</v>
      </c>
      <c r="BE154" s="2578">
        <f t="shared" si="876"/>
        <v>9867.4535274623486</v>
      </c>
      <c r="BF154" s="2578">
        <f t="shared" si="876"/>
        <v>52.983042676856712</v>
      </c>
      <c r="BG154" s="2578">
        <f t="shared" si="876"/>
        <v>12499.66</v>
      </c>
      <c r="BH154" s="2578">
        <f t="shared" si="876"/>
        <v>12491.25</v>
      </c>
      <c r="BI154" s="2578">
        <f t="shared" si="876"/>
        <v>8.41</v>
      </c>
      <c r="BJ154" s="2578">
        <f t="shared" si="876"/>
        <v>13552.08</v>
      </c>
      <c r="BK154" s="2578">
        <f t="shared" si="876"/>
        <v>13545.52</v>
      </c>
      <c r="BL154" s="2578">
        <f t="shared" si="876"/>
        <v>6.56</v>
      </c>
      <c r="BM154" s="2578">
        <f t="shared" si="876"/>
        <v>10744.474</v>
      </c>
      <c r="BN154" s="2578">
        <f t="shared" si="876"/>
        <v>10689.54</v>
      </c>
      <c r="BO154" s="2578">
        <f t="shared" si="876"/>
        <v>54.933999999999997</v>
      </c>
      <c r="BP154" s="2578">
        <f t="shared" si="876"/>
        <v>14946.199999999999</v>
      </c>
      <c r="BQ154" s="2578">
        <f t="shared" si="876"/>
        <v>14940.764999999999</v>
      </c>
      <c r="BR154" s="2578">
        <f t="shared" si="876"/>
        <v>5.4349999999999996</v>
      </c>
      <c r="BS154" s="2578">
        <f t="shared" si="876"/>
        <v>13338.21</v>
      </c>
      <c r="BT154" s="2578">
        <f t="shared" si="876"/>
        <v>13319.71</v>
      </c>
      <c r="BU154" s="2578">
        <f t="shared" si="876"/>
        <v>18.5</v>
      </c>
      <c r="BV154" s="2578">
        <f t="shared" ref="BV154:CA154" si="877">BV59</f>
        <v>10331.669406318586</v>
      </c>
      <c r="BW154" s="2578">
        <f t="shared" si="877"/>
        <v>10326.676210545877</v>
      </c>
      <c r="BX154" s="2578">
        <f t="shared" si="877"/>
        <v>4.9931957727103642</v>
      </c>
      <c r="BY154" s="2578">
        <f t="shared" si="877"/>
        <v>17096.328834818723</v>
      </c>
      <c r="BZ154" s="2578">
        <f t="shared" si="877"/>
        <v>17088.066344652838</v>
      </c>
      <c r="CA154" s="2578">
        <f t="shared" si="877"/>
        <v>8.2624901658850884</v>
      </c>
      <c r="CB154" s="3191"/>
      <c r="CC154" s="3725"/>
      <c r="CD154" s="3726"/>
      <c r="CE154" s="3726"/>
      <c r="CF154" s="2578">
        <f t="shared" ref="CF154:EA154" si="878">CF59</f>
        <v>10943.583293623064</v>
      </c>
      <c r="CG154" s="2578">
        <f t="shared" si="878"/>
        <v>10939.871731893631</v>
      </c>
      <c r="CH154" s="2578">
        <f t="shared" si="878"/>
        <v>3.7115617294327592</v>
      </c>
      <c r="CI154" s="2578">
        <f t="shared" si="878"/>
        <v>7613.2697599999992</v>
      </c>
      <c r="CJ154" s="2578">
        <f t="shared" si="878"/>
        <v>7611.0199999999995</v>
      </c>
      <c r="CK154" s="2578">
        <f t="shared" si="878"/>
        <v>2.2497600000000002</v>
      </c>
      <c r="CL154" s="2578">
        <f t="shared" si="878"/>
        <v>11544.607460000001</v>
      </c>
      <c r="CM154" s="2578">
        <f t="shared" si="878"/>
        <v>11541.240660000001</v>
      </c>
      <c r="CN154" s="2578">
        <f t="shared" si="878"/>
        <v>3.3668</v>
      </c>
      <c r="CO154" s="2578">
        <f t="shared" si="878"/>
        <v>15402.399099999999</v>
      </c>
      <c r="CP154" s="2578">
        <f t="shared" si="878"/>
        <v>15398.109999999999</v>
      </c>
      <c r="CQ154" s="2578">
        <f t="shared" si="878"/>
        <v>4.2891000000000004</v>
      </c>
      <c r="CR154" s="2578">
        <f t="shared" si="878"/>
        <v>16868.629724981929</v>
      </c>
      <c r="CS154" s="2578">
        <f t="shared" si="878"/>
        <v>16863.919566479821</v>
      </c>
      <c r="CT154" s="2578">
        <f t="shared" si="878"/>
        <v>4.7101585021076158</v>
      </c>
      <c r="CU154" s="2578">
        <f t="shared" si="878"/>
        <v>15015.45108188538</v>
      </c>
      <c r="CV154" s="2578">
        <f t="shared" si="878"/>
        <v>15010.218832495006</v>
      </c>
      <c r="CW154" s="2578">
        <f t="shared" si="878"/>
        <v>5.2322493903738136</v>
      </c>
      <c r="CX154" s="2578">
        <f t="shared" si="878"/>
        <v>6765.8957499999997</v>
      </c>
      <c r="CY154" s="2578">
        <f t="shared" si="878"/>
        <v>6764.2136599999994</v>
      </c>
      <c r="CZ154" s="2578">
        <f t="shared" si="878"/>
        <v>1.6820900000000001</v>
      </c>
      <c r="DA154" s="2578">
        <f t="shared" si="878"/>
        <v>10253.265360000001</v>
      </c>
      <c r="DB154" s="2578">
        <f t="shared" si="878"/>
        <v>10250.386930000001</v>
      </c>
      <c r="DC154" s="2578">
        <f t="shared" si="878"/>
        <v>2.8784299999999998</v>
      </c>
      <c r="DD154" s="2578">
        <f t="shared" si="878"/>
        <v>13947.645349999999</v>
      </c>
      <c r="DE154" s="2578">
        <f t="shared" si="878"/>
        <v>13944.235999999999</v>
      </c>
      <c r="DF154" s="2578">
        <f t="shared" si="878"/>
        <v>3.4093500000000003</v>
      </c>
      <c r="DG154" s="2578">
        <f t="shared" si="878"/>
        <v>15816.15113215308</v>
      </c>
      <c r="DH154" s="2578">
        <f t="shared" si="878"/>
        <v>15812.259696206896</v>
      </c>
      <c r="DI154" s="2578">
        <f t="shared" si="878"/>
        <v>3.8914359461837202</v>
      </c>
      <c r="DJ154" s="2578">
        <f t="shared" si="878"/>
        <v>16032.367773460332</v>
      </c>
      <c r="DK154" s="2578">
        <f t="shared" si="878"/>
        <v>16026.829238640345</v>
      </c>
      <c r="DL154" s="2578">
        <f t="shared" si="878"/>
        <v>5.5385348199864612</v>
      </c>
      <c r="DM154" s="2578">
        <f t="shared" si="878"/>
        <v>8773.0373699999982</v>
      </c>
      <c r="DN154" s="2578">
        <f t="shared" si="878"/>
        <v>8771.2772599999989</v>
      </c>
      <c r="DO154" s="2578">
        <f t="shared" si="878"/>
        <v>1.7601100000000001</v>
      </c>
      <c r="DP154" s="2578">
        <f t="shared" si="878"/>
        <v>12680.964009999998</v>
      </c>
      <c r="DQ154" s="2578">
        <f t="shared" si="878"/>
        <v>12678.242999999999</v>
      </c>
      <c r="DR154" s="2578">
        <f t="shared" si="878"/>
        <v>2.7210099999999997</v>
      </c>
      <c r="DS154" s="2578">
        <f t="shared" si="878"/>
        <v>16342.00216</v>
      </c>
      <c r="DT154" s="2578">
        <f t="shared" si="878"/>
        <v>16338.538</v>
      </c>
      <c r="DU154" s="2578">
        <f t="shared" si="878"/>
        <v>3.4641600000000001</v>
      </c>
      <c r="DV154" s="2442">
        <f t="shared" si="878"/>
        <v>18532.488695060343</v>
      </c>
      <c r="DW154" s="2442">
        <f t="shared" si="878"/>
        <v>18528.560850318754</v>
      </c>
      <c r="DX154" s="2442">
        <f t="shared" si="878"/>
        <v>3.9278447415900009</v>
      </c>
      <c r="DY154" s="3831">
        <f t="shared" si="878"/>
        <v>12801.733833591741</v>
      </c>
      <c r="DZ154" s="3831">
        <f t="shared" si="878"/>
        <v>0</v>
      </c>
      <c r="EA154" s="3831">
        <f t="shared" si="878"/>
        <v>12801.733833591741</v>
      </c>
      <c r="EB154" s="2442">
        <f t="shared" ref="EB154:EM154" si="879">EB59</f>
        <v>18532.488695060343</v>
      </c>
      <c r="EC154" s="2442">
        <f t="shared" si="879"/>
        <v>18528.560850318754</v>
      </c>
      <c r="ED154" s="2442">
        <f t="shared" si="879"/>
        <v>3.9278447415900009</v>
      </c>
      <c r="EE154" s="2442">
        <f t="shared" si="879"/>
        <v>18307.615558213456</v>
      </c>
      <c r="EF154" s="2442">
        <f t="shared" si="879"/>
        <v>18305.782558213457</v>
      </c>
      <c r="EG154" s="2442">
        <f t="shared" si="879"/>
        <v>1.833</v>
      </c>
      <c r="EH154" s="4849">
        <f t="shared" ref="EH154:EJ154" si="880">EH59</f>
        <v>8803.985560000001</v>
      </c>
      <c r="EI154" s="4849">
        <f t="shared" si="880"/>
        <v>8801.9241600000005</v>
      </c>
      <c r="EJ154" s="4849">
        <f t="shared" si="880"/>
        <v>2.0613999999999999</v>
      </c>
      <c r="EK154" s="4849">
        <f t="shared" si="879"/>
        <v>18946.430339999999</v>
      </c>
      <c r="EL154" s="4849">
        <f t="shared" si="879"/>
        <v>18943.56885</v>
      </c>
      <c r="EM154" s="4849">
        <f t="shared" si="879"/>
        <v>2.8614900000000003</v>
      </c>
    </row>
    <row r="155" spans="1:143" ht="27" customHeight="1" x14ac:dyDescent="0.2">
      <c r="A155" s="3191" t="s">
        <v>889</v>
      </c>
      <c r="B155" s="3191"/>
      <c r="C155" s="3191"/>
      <c r="D155" s="3191"/>
      <c r="E155" s="3191"/>
      <c r="F155" s="3191"/>
      <c r="G155" s="3191"/>
      <c r="H155" s="3191"/>
      <c r="I155" s="3191"/>
      <c r="J155" s="3191"/>
      <c r="K155" s="3191"/>
      <c r="L155" s="3191"/>
      <c r="M155" s="3191"/>
      <c r="N155" s="3191"/>
      <c r="O155" s="3191"/>
      <c r="P155" s="3191"/>
      <c r="Q155" s="3191"/>
      <c r="R155" s="3191"/>
      <c r="S155" s="3191"/>
      <c r="T155" s="3191"/>
      <c r="U155" s="3191"/>
      <c r="V155" s="3191"/>
      <c r="W155" s="3191"/>
      <c r="X155" s="3191"/>
      <c r="Y155" s="2578"/>
      <c r="Z155" s="3191"/>
      <c r="AA155" s="2578"/>
      <c r="AB155" s="2578"/>
      <c r="AC155" s="2578"/>
      <c r="AD155" s="2578"/>
      <c r="AE155" s="2578"/>
      <c r="AF155" s="2578"/>
      <c r="AG155" s="2578"/>
      <c r="AH155" s="2578"/>
      <c r="AI155" s="1592"/>
      <c r="AJ155" s="2578"/>
      <c r="AK155" s="2578"/>
      <c r="AL155" s="2578"/>
      <c r="AM155" s="1592"/>
      <c r="AN155" s="2578"/>
      <c r="AO155" s="2578"/>
      <c r="AP155" s="3191"/>
      <c r="AQ155" s="3191"/>
      <c r="AR155" s="3191"/>
      <c r="AS155" s="3191"/>
      <c r="AT155" s="2578"/>
      <c r="AU155" s="2578"/>
      <c r="AV155" s="2578"/>
      <c r="AW155" s="2578"/>
      <c r="AX155" s="2578"/>
      <c r="AY155" s="2578"/>
      <c r="AZ155" s="2578"/>
      <c r="BA155" s="1594"/>
      <c r="BB155" s="2578"/>
      <c r="BC155" s="2578"/>
      <c r="BD155" s="2578">
        <f t="shared" ref="BD155:CA155" si="881">BD62</f>
        <v>395.92549126618718</v>
      </c>
      <c r="BE155" s="2578">
        <f t="shared" si="881"/>
        <v>395.92549126618718</v>
      </c>
      <c r="BF155" s="2578">
        <f t="shared" si="881"/>
        <v>0</v>
      </c>
      <c r="BG155" s="2578">
        <f t="shared" si="881"/>
        <v>0</v>
      </c>
      <c r="BH155" s="2578">
        <f t="shared" si="881"/>
        <v>0</v>
      </c>
      <c r="BI155" s="2578">
        <f t="shared" si="881"/>
        <v>0</v>
      </c>
      <c r="BJ155" s="2578">
        <f t="shared" si="881"/>
        <v>0</v>
      </c>
      <c r="BK155" s="2578">
        <f t="shared" si="881"/>
        <v>0</v>
      </c>
      <c r="BL155" s="2578">
        <f t="shared" si="881"/>
        <v>0</v>
      </c>
      <c r="BM155" s="2578">
        <f t="shared" si="881"/>
        <v>436.83499999999998</v>
      </c>
      <c r="BN155" s="2578">
        <f t="shared" si="881"/>
        <v>436.83499999999998</v>
      </c>
      <c r="BO155" s="2578">
        <f t="shared" si="881"/>
        <v>0</v>
      </c>
      <c r="BP155" s="2578">
        <f t="shared" si="881"/>
        <v>0</v>
      </c>
      <c r="BQ155" s="2578">
        <f t="shared" si="881"/>
        <v>0</v>
      </c>
      <c r="BR155" s="2578">
        <f t="shared" si="881"/>
        <v>0</v>
      </c>
      <c r="BS155" s="2578">
        <f t="shared" si="881"/>
        <v>294.81</v>
      </c>
      <c r="BT155" s="2578">
        <f t="shared" si="881"/>
        <v>294.81</v>
      </c>
      <c r="BU155" s="2578">
        <f t="shared" si="881"/>
        <v>0</v>
      </c>
      <c r="BV155" s="2578">
        <f t="shared" si="881"/>
        <v>294.81</v>
      </c>
      <c r="BW155" s="2578">
        <f t="shared" si="881"/>
        <v>294.81</v>
      </c>
      <c r="BX155" s="2578">
        <f t="shared" si="881"/>
        <v>0</v>
      </c>
      <c r="BY155" s="2578">
        <f t="shared" si="881"/>
        <v>294.81</v>
      </c>
      <c r="BZ155" s="2578">
        <f t="shared" si="881"/>
        <v>294.81</v>
      </c>
      <c r="CA155" s="2578">
        <f t="shared" si="881"/>
        <v>0</v>
      </c>
      <c r="CB155" s="3191"/>
      <c r="CC155" s="3725"/>
      <c r="CD155" s="3726"/>
      <c r="CE155" s="3726"/>
      <c r="CF155" s="2578">
        <f t="shared" ref="CF155:EA155" si="882">CF62</f>
        <v>294.80500000000001</v>
      </c>
      <c r="CG155" s="2578">
        <f t="shared" si="882"/>
        <v>294.80500000000001</v>
      </c>
      <c r="CH155" s="2578">
        <f t="shared" si="882"/>
        <v>0</v>
      </c>
      <c r="CI155" s="2578">
        <f t="shared" si="882"/>
        <v>0</v>
      </c>
      <c r="CJ155" s="2578">
        <f t="shared" si="882"/>
        <v>0</v>
      </c>
      <c r="CK155" s="2578">
        <f t="shared" si="882"/>
        <v>0</v>
      </c>
      <c r="CL155" s="2578">
        <f t="shared" si="882"/>
        <v>0</v>
      </c>
      <c r="CM155" s="2578">
        <f t="shared" si="882"/>
        <v>0</v>
      </c>
      <c r="CN155" s="2578">
        <f t="shared" si="882"/>
        <v>0</v>
      </c>
      <c r="CO155" s="2578">
        <f t="shared" si="882"/>
        <v>0</v>
      </c>
      <c r="CP155" s="2578">
        <f t="shared" si="882"/>
        <v>0</v>
      </c>
      <c r="CQ155" s="2578">
        <f t="shared" si="882"/>
        <v>0</v>
      </c>
      <c r="CR155" s="2578">
        <f t="shared" si="882"/>
        <v>361.3957437703653</v>
      </c>
      <c r="CS155" s="2578">
        <f t="shared" si="882"/>
        <v>361.3957437703653</v>
      </c>
      <c r="CT155" s="2578">
        <f t="shared" si="882"/>
        <v>0</v>
      </c>
      <c r="CU155" s="2578">
        <f t="shared" si="882"/>
        <v>0</v>
      </c>
      <c r="CV155" s="2578">
        <f t="shared" si="882"/>
        <v>0</v>
      </c>
      <c r="CW155" s="2578">
        <f t="shared" si="882"/>
        <v>0</v>
      </c>
      <c r="CX155" s="2578">
        <f t="shared" si="882"/>
        <v>0</v>
      </c>
      <c r="CY155" s="2578">
        <f t="shared" si="882"/>
        <v>0</v>
      </c>
      <c r="CZ155" s="2578">
        <f t="shared" si="882"/>
        <v>0</v>
      </c>
      <c r="DA155" s="2578">
        <f t="shared" si="882"/>
        <v>0</v>
      </c>
      <c r="DB155" s="2578">
        <f t="shared" si="882"/>
        <v>0</v>
      </c>
      <c r="DC155" s="2578">
        <f t="shared" si="882"/>
        <v>0</v>
      </c>
      <c r="DD155" s="2578">
        <f t="shared" si="882"/>
        <v>2720.33</v>
      </c>
      <c r="DE155" s="2578">
        <f t="shared" si="882"/>
        <v>2720.33</v>
      </c>
      <c r="DF155" s="2578">
        <f t="shared" si="882"/>
        <v>0</v>
      </c>
      <c r="DG155" s="2578">
        <f t="shared" si="882"/>
        <v>372.81463449789953</v>
      </c>
      <c r="DH155" s="2578">
        <f t="shared" si="882"/>
        <v>372.81463449789953</v>
      </c>
      <c r="DI155" s="2578">
        <f t="shared" si="882"/>
        <v>0</v>
      </c>
      <c r="DJ155" s="2578">
        <f t="shared" si="882"/>
        <v>372.81463449789953</v>
      </c>
      <c r="DK155" s="2578">
        <f t="shared" si="882"/>
        <v>372.81463449789953</v>
      </c>
      <c r="DL155" s="2578">
        <f t="shared" si="882"/>
        <v>0</v>
      </c>
      <c r="DM155" s="2578">
        <f t="shared" si="882"/>
        <v>0</v>
      </c>
      <c r="DN155" s="2578">
        <f t="shared" si="882"/>
        <v>0</v>
      </c>
      <c r="DO155" s="2578">
        <f t="shared" si="882"/>
        <v>0</v>
      </c>
      <c r="DP155" s="2578">
        <f t="shared" si="882"/>
        <v>0</v>
      </c>
      <c r="DQ155" s="2578">
        <f t="shared" si="882"/>
        <v>0</v>
      </c>
      <c r="DR155" s="2578">
        <f t="shared" si="882"/>
        <v>0</v>
      </c>
      <c r="DS155" s="2578">
        <f t="shared" si="882"/>
        <v>2371.9087199999999</v>
      </c>
      <c r="DT155" s="2578">
        <f t="shared" si="882"/>
        <v>2371.9087199999999</v>
      </c>
      <c r="DU155" s="2578">
        <f t="shared" si="882"/>
        <v>0</v>
      </c>
      <c r="DV155" s="2442">
        <f t="shared" si="882"/>
        <v>387.72721987781551</v>
      </c>
      <c r="DW155" s="2442">
        <f t="shared" si="882"/>
        <v>387.72721987781551</v>
      </c>
      <c r="DX155" s="2442">
        <f t="shared" si="882"/>
        <v>0</v>
      </c>
      <c r="DY155" s="3831">
        <f t="shared" si="882"/>
        <v>0</v>
      </c>
      <c r="DZ155" s="3831">
        <f t="shared" si="882"/>
        <v>0</v>
      </c>
      <c r="EA155" s="3831">
        <f t="shared" si="882"/>
        <v>0</v>
      </c>
      <c r="EB155" s="2442">
        <f t="shared" ref="EB155:EG155" si="883">EB62</f>
        <v>387.72721987781551</v>
      </c>
      <c r="EC155" s="2442">
        <f t="shared" si="883"/>
        <v>387.72721987781551</v>
      </c>
      <c r="ED155" s="2442">
        <f t="shared" si="883"/>
        <v>0</v>
      </c>
      <c r="EE155" s="2442">
        <f t="shared" si="883"/>
        <v>0</v>
      </c>
      <c r="EF155" s="2442">
        <f t="shared" si="883"/>
        <v>0</v>
      </c>
      <c r="EG155" s="2442">
        <f t="shared" si="883"/>
        <v>0</v>
      </c>
      <c r="EH155" s="4849">
        <f t="shared" ref="EH155:EJ155" si="884">EH62</f>
        <v>0</v>
      </c>
      <c r="EI155" s="4849">
        <f t="shared" si="884"/>
        <v>0</v>
      </c>
      <c r="EJ155" s="4849">
        <f t="shared" si="884"/>
        <v>0</v>
      </c>
      <c r="EK155" s="4849">
        <f>EK62</f>
        <v>0</v>
      </c>
      <c r="EL155" s="4849">
        <f>EL62</f>
        <v>0</v>
      </c>
      <c r="EM155" s="4849">
        <f>EM62</f>
        <v>0</v>
      </c>
    </row>
    <row r="156" spans="1:143" ht="39" customHeight="1" x14ac:dyDescent="0.2">
      <c r="A156" s="4130" t="s">
        <v>4163</v>
      </c>
      <c r="B156" s="3191"/>
      <c r="C156" s="3191"/>
      <c r="D156" s="3191"/>
      <c r="E156" s="3191"/>
      <c r="F156" s="3191"/>
      <c r="G156" s="3191"/>
      <c r="H156" s="3191"/>
      <c r="I156" s="3191"/>
      <c r="J156" s="3191"/>
      <c r="K156" s="3191"/>
      <c r="L156" s="3191"/>
      <c r="M156" s="3191"/>
      <c r="N156" s="3191"/>
      <c r="O156" s="3191"/>
      <c r="P156" s="3191"/>
      <c r="Q156" s="3191"/>
      <c r="R156" s="3191"/>
      <c r="S156" s="3191"/>
      <c r="T156" s="3191"/>
      <c r="U156" s="3191"/>
      <c r="V156" s="3191"/>
      <c r="W156" s="3191"/>
      <c r="X156" s="3191"/>
      <c r="Y156" s="2578"/>
      <c r="Z156" s="3191"/>
      <c r="AA156" s="2578"/>
      <c r="AB156" s="2578"/>
      <c r="AC156" s="2578"/>
      <c r="AD156" s="2578"/>
      <c r="AE156" s="2578"/>
      <c r="AF156" s="2578"/>
      <c r="AG156" s="2578"/>
      <c r="AH156" s="2578"/>
      <c r="AI156" s="1592"/>
      <c r="AJ156" s="2578"/>
      <c r="AK156" s="2578"/>
      <c r="AL156" s="2578"/>
      <c r="AM156" s="1592"/>
      <c r="AN156" s="2578"/>
      <c r="AO156" s="2578"/>
      <c r="AP156" s="3191"/>
      <c r="AQ156" s="3191"/>
      <c r="AR156" s="3191"/>
      <c r="AS156" s="3191"/>
      <c r="AT156" s="2578"/>
      <c r="AU156" s="2578"/>
      <c r="AV156" s="2578"/>
      <c r="AW156" s="2578"/>
      <c r="AX156" s="2578"/>
      <c r="AY156" s="2578"/>
      <c r="AZ156" s="2578"/>
      <c r="BA156" s="1594"/>
      <c r="BB156" s="2578"/>
      <c r="BC156" s="2578"/>
      <c r="BD156" s="2578"/>
      <c r="BE156" s="2578"/>
      <c r="BF156" s="2578"/>
      <c r="BG156" s="2578"/>
      <c r="BH156" s="2578"/>
      <c r="BI156" s="2578"/>
      <c r="BJ156" s="2578"/>
      <c r="BK156" s="2578"/>
      <c r="BL156" s="2578"/>
      <c r="BM156" s="2578"/>
      <c r="BN156" s="2578"/>
      <c r="BO156" s="2578"/>
      <c r="BP156" s="2578"/>
      <c r="BQ156" s="2578"/>
      <c r="BR156" s="2578"/>
      <c r="BS156" s="2578"/>
      <c r="BT156" s="2578"/>
      <c r="BU156" s="2578"/>
      <c r="BV156" s="2578"/>
      <c r="BW156" s="2578"/>
      <c r="BX156" s="2578"/>
      <c r="BY156" s="2578"/>
      <c r="BZ156" s="2578"/>
      <c r="CA156" s="2578"/>
      <c r="CB156" s="3191"/>
      <c r="CC156" s="3725"/>
      <c r="CD156" s="3726"/>
      <c r="CE156" s="3726"/>
      <c r="CF156" s="2578"/>
      <c r="CG156" s="2578"/>
      <c r="CH156" s="2578"/>
      <c r="CI156" s="2578"/>
      <c r="CJ156" s="2578"/>
      <c r="CK156" s="2578"/>
      <c r="CL156" s="2578"/>
      <c r="CM156" s="2578"/>
      <c r="CN156" s="2578"/>
      <c r="CO156" s="2578"/>
      <c r="CP156" s="2578"/>
      <c r="CQ156" s="2578"/>
      <c r="CR156" s="2578"/>
      <c r="CS156" s="2578"/>
      <c r="CT156" s="2578"/>
      <c r="CU156" s="2578"/>
      <c r="CV156" s="2578"/>
      <c r="CW156" s="2578"/>
      <c r="CX156" s="2578"/>
      <c r="CY156" s="2578"/>
      <c r="CZ156" s="2578"/>
      <c r="DA156" s="2578"/>
      <c r="DB156" s="2578"/>
      <c r="DC156" s="2578"/>
      <c r="DD156" s="2578"/>
      <c r="DE156" s="2578"/>
      <c r="DF156" s="2578"/>
      <c r="DG156" s="2578"/>
      <c r="DH156" s="2578"/>
      <c r="DI156" s="2578"/>
      <c r="DJ156" s="2578"/>
      <c r="DK156" s="2578"/>
      <c r="DL156" s="2578"/>
      <c r="DM156" s="2578"/>
      <c r="DN156" s="2578"/>
      <c r="DO156" s="2578"/>
      <c r="DP156" s="2578"/>
      <c r="DQ156" s="2578"/>
      <c r="DR156" s="2578"/>
      <c r="DS156" s="2578"/>
      <c r="DT156" s="2578"/>
      <c r="DU156" s="2578"/>
      <c r="DV156" s="2442"/>
      <c r="DW156" s="2442"/>
      <c r="DX156" s="2442"/>
      <c r="DY156" s="3831"/>
      <c r="DZ156" s="3831"/>
      <c r="EA156" s="3831"/>
      <c r="EB156" s="2442">
        <f>EB63</f>
        <v>2478.0332096000006</v>
      </c>
      <c r="EC156" s="2442">
        <f>EC63</f>
        <v>2478.0332096000006</v>
      </c>
      <c r="ED156" s="2442">
        <f>ED63</f>
        <v>0</v>
      </c>
      <c r="EE156" s="2442"/>
      <c r="EF156" s="2442"/>
      <c r="EG156" s="2442"/>
      <c r="EH156" s="4849"/>
      <c r="EI156" s="4849"/>
      <c r="EJ156" s="4849"/>
      <c r="EK156" s="4849"/>
      <c r="EL156" s="4849"/>
      <c r="EM156" s="4849"/>
    </row>
    <row r="157" spans="1:143" ht="27" customHeight="1" x14ac:dyDescent="0.2">
      <c r="A157" s="3195" t="s">
        <v>3651</v>
      </c>
      <c r="B157" s="3195"/>
      <c r="C157" s="3195"/>
      <c r="D157" s="3195"/>
      <c r="E157" s="3195"/>
      <c r="F157" s="3195"/>
      <c r="G157" s="3195"/>
      <c r="H157" s="3195"/>
      <c r="I157" s="3195"/>
      <c r="J157" s="3195"/>
      <c r="K157" s="3195"/>
      <c r="L157" s="3195"/>
      <c r="M157" s="3195"/>
      <c r="N157" s="3195"/>
      <c r="O157" s="3195"/>
      <c r="P157" s="3195"/>
      <c r="Q157" s="3195"/>
      <c r="R157" s="3195"/>
      <c r="S157" s="3195"/>
      <c r="T157" s="3195"/>
      <c r="U157" s="3195"/>
      <c r="V157" s="3195"/>
      <c r="W157" s="3195"/>
      <c r="X157" s="3195"/>
      <c r="Y157" s="2579"/>
      <c r="Z157" s="3195"/>
      <c r="AA157" s="2579"/>
      <c r="AB157" s="2579"/>
      <c r="AC157" s="2579"/>
      <c r="AD157" s="2579"/>
      <c r="AE157" s="2579"/>
      <c r="AF157" s="2579"/>
      <c r="AG157" s="2579"/>
      <c r="AH157" s="2579"/>
      <c r="AI157" s="1594"/>
      <c r="AJ157" s="2579"/>
      <c r="AK157" s="2579"/>
      <c r="AL157" s="2579"/>
      <c r="AM157" s="1594"/>
      <c r="AN157" s="2579"/>
      <c r="AO157" s="2579"/>
      <c r="AP157" s="3195"/>
      <c r="AQ157" s="3195"/>
      <c r="AR157" s="3195"/>
      <c r="AS157" s="3195"/>
      <c r="AT157" s="2579"/>
      <c r="AU157" s="2579"/>
      <c r="AV157" s="2579"/>
      <c r="AW157" s="2579"/>
      <c r="AX157" s="2579"/>
      <c r="AY157" s="2579"/>
      <c r="AZ157" s="2579"/>
      <c r="BA157" s="1594"/>
      <c r="BB157" s="2579"/>
      <c r="BC157" s="2579"/>
      <c r="BD157" s="2579"/>
      <c r="BE157" s="2579"/>
      <c r="BF157" s="2579"/>
      <c r="BG157" s="2579"/>
      <c r="BH157" s="2579"/>
      <c r="BI157" s="2579"/>
      <c r="BJ157" s="2579"/>
      <c r="BK157" s="2579"/>
      <c r="BL157" s="2579"/>
      <c r="BM157" s="2579"/>
      <c r="BN157" s="2579"/>
      <c r="BO157" s="2579"/>
      <c r="BP157" s="2579"/>
      <c r="BQ157" s="2579"/>
      <c r="BR157" s="2579"/>
      <c r="BS157" s="2579"/>
      <c r="BT157" s="2579"/>
      <c r="BU157" s="2579"/>
      <c r="BV157" s="2579">
        <f t="shared" ref="BV157:CA158" si="885">BV60</f>
        <v>63.916885499999999</v>
      </c>
      <c r="BW157" s="2579">
        <f t="shared" si="885"/>
        <v>63.885995088205725</v>
      </c>
      <c r="BX157" s="2579">
        <f t="shared" si="885"/>
        <v>3.0890411794274542E-2</v>
      </c>
      <c r="BY157" s="2579">
        <f t="shared" si="885"/>
        <v>147.08531632288</v>
      </c>
      <c r="BZ157" s="2579">
        <f t="shared" si="885"/>
        <v>147.084756</v>
      </c>
      <c r="CA157" s="2579">
        <f t="shared" si="885"/>
        <v>5.6032287999999999E-4</v>
      </c>
      <c r="CB157" s="3195"/>
      <c r="CC157" s="3727"/>
      <c r="CD157" s="3728"/>
      <c r="CE157" s="3728"/>
      <c r="CF157" s="2579">
        <f t="shared" ref="CF157:CH158" si="886">CF60</f>
        <v>138.11089028999999</v>
      </c>
      <c r="CG157" s="2579">
        <f t="shared" si="886"/>
        <v>138.11089028999999</v>
      </c>
      <c r="CH157" s="2579">
        <f t="shared" si="886"/>
        <v>0</v>
      </c>
      <c r="CI157" s="2579">
        <f t="shared" ref="CI157:EA157" si="887">SUM(CI60)</f>
        <v>44.824379999999998</v>
      </c>
      <c r="CJ157" s="2579">
        <f t="shared" si="887"/>
        <v>44.822929999999999</v>
      </c>
      <c r="CK157" s="2579">
        <f t="shared" si="887"/>
        <v>1.4499999999999999E-3</v>
      </c>
      <c r="CL157" s="2579">
        <f t="shared" si="887"/>
        <v>67.213049999999996</v>
      </c>
      <c r="CM157" s="2579">
        <f t="shared" si="887"/>
        <v>67.210719999999995</v>
      </c>
      <c r="CN157" s="2579">
        <f t="shared" si="887"/>
        <v>2.33E-3</v>
      </c>
      <c r="CO157" s="2579">
        <f t="shared" si="887"/>
        <v>89.509</v>
      </c>
      <c r="CP157" s="2579">
        <f t="shared" si="887"/>
        <v>89.506</v>
      </c>
      <c r="CQ157" s="2579">
        <f t="shared" si="887"/>
        <v>3.0000000000000001E-3</v>
      </c>
      <c r="CR157" s="2579">
        <f t="shared" si="887"/>
        <v>138.11089028999999</v>
      </c>
      <c r="CS157" s="2579">
        <f t="shared" si="887"/>
        <v>138.11089028999999</v>
      </c>
      <c r="CT157" s="2579">
        <f t="shared" si="887"/>
        <v>0</v>
      </c>
      <c r="CU157" s="2579">
        <f t="shared" si="887"/>
        <v>86.286980999999997</v>
      </c>
      <c r="CV157" s="2579">
        <f t="shared" si="887"/>
        <v>86.286980999999997</v>
      </c>
      <c r="CW157" s="2579">
        <f t="shared" si="887"/>
        <v>0</v>
      </c>
      <c r="CX157" s="2579">
        <f t="shared" si="887"/>
        <v>0</v>
      </c>
      <c r="CY157" s="2579">
        <f t="shared" si="887"/>
        <v>0</v>
      </c>
      <c r="CZ157" s="2579">
        <f t="shared" si="887"/>
        <v>0</v>
      </c>
      <c r="DA157" s="2579">
        <f t="shared" si="887"/>
        <v>0</v>
      </c>
      <c r="DB157" s="2579">
        <f t="shared" si="887"/>
        <v>0</v>
      </c>
      <c r="DC157" s="2579">
        <f t="shared" si="887"/>
        <v>0</v>
      </c>
      <c r="DD157" s="2579">
        <f t="shared" si="887"/>
        <v>0</v>
      </c>
      <c r="DE157" s="2579">
        <f t="shared" si="887"/>
        <v>0</v>
      </c>
      <c r="DF157" s="2579">
        <f t="shared" si="887"/>
        <v>0</v>
      </c>
      <c r="DG157" s="2579">
        <f t="shared" si="887"/>
        <v>137.32005000000001</v>
      </c>
      <c r="DH157" s="2579">
        <f t="shared" si="887"/>
        <v>137.32005000000001</v>
      </c>
      <c r="DI157" s="2579">
        <f t="shared" si="887"/>
        <v>0</v>
      </c>
      <c r="DJ157" s="2579">
        <f t="shared" si="887"/>
        <v>115.26003174</v>
      </c>
      <c r="DK157" s="2579">
        <f t="shared" si="887"/>
        <v>115.26003174</v>
      </c>
      <c r="DL157" s="2579">
        <f t="shared" si="887"/>
        <v>0</v>
      </c>
      <c r="DM157" s="2579">
        <f t="shared" si="887"/>
        <v>0</v>
      </c>
      <c r="DN157" s="2579">
        <f t="shared" si="887"/>
        <v>0</v>
      </c>
      <c r="DO157" s="2579">
        <f t="shared" si="887"/>
        <v>0</v>
      </c>
      <c r="DP157" s="2579">
        <f t="shared" si="887"/>
        <v>0</v>
      </c>
      <c r="DQ157" s="2579">
        <f t="shared" si="887"/>
        <v>0</v>
      </c>
      <c r="DR157" s="2579">
        <f t="shared" si="887"/>
        <v>0</v>
      </c>
      <c r="DS157" s="2579">
        <f t="shared" si="887"/>
        <v>0</v>
      </c>
      <c r="DT157" s="2579">
        <f t="shared" si="887"/>
        <v>0</v>
      </c>
      <c r="DU157" s="2579">
        <f t="shared" si="887"/>
        <v>0</v>
      </c>
      <c r="DV157" s="2441">
        <f t="shared" si="887"/>
        <v>111.3917805</v>
      </c>
      <c r="DW157" s="2441">
        <f t="shared" si="887"/>
        <v>111.3917805</v>
      </c>
      <c r="DX157" s="2441">
        <f t="shared" si="887"/>
        <v>0</v>
      </c>
      <c r="DY157" s="3832">
        <f t="shared" si="887"/>
        <v>0</v>
      </c>
      <c r="DZ157" s="3832">
        <f t="shared" si="887"/>
        <v>0</v>
      </c>
      <c r="EA157" s="3832">
        <f t="shared" si="887"/>
        <v>0</v>
      </c>
      <c r="EB157" s="2441">
        <f t="shared" ref="EB157:EM157" si="888">SUM(EB60)</f>
        <v>111.3917805</v>
      </c>
      <c r="EC157" s="2441">
        <f t="shared" si="888"/>
        <v>111.3917805</v>
      </c>
      <c r="ED157" s="2441">
        <f t="shared" si="888"/>
        <v>0</v>
      </c>
      <c r="EE157" s="2441">
        <f t="shared" si="888"/>
        <v>89.04</v>
      </c>
      <c r="EF157" s="2441">
        <f t="shared" si="888"/>
        <v>89.04</v>
      </c>
      <c r="EG157" s="2441">
        <f t="shared" si="888"/>
        <v>0</v>
      </c>
      <c r="EH157" s="4850">
        <f t="shared" ref="EH157:EJ157" si="889">SUM(EH60)</f>
        <v>0</v>
      </c>
      <c r="EI157" s="4850">
        <f t="shared" si="889"/>
        <v>0</v>
      </c>
      <c r="EJ157" s="4850">
        <f t="shared" si="889"/>
        <v>0</v>
      </c>
      <c r="EK157" s="4850">
        <f t="shared" si="888"/>
        <v>0</v>
      </c>
      <c r="EL157" s="4850">
        <f t="shared" si="888"/>
        <v>0</v>
      </c>
      <c r="EM157" s="4850">
        <f t="shared" si="888"/>
        <v>0</v>
      </c>
    </row>
    <row r="158" spans="1:143" ht="27" customHeight="1" x14ac:dyDescent="0.2">
      <c r="A158" s="3191" t="s">
        <v>2017</v>
      </c>
      <c r="B158" s="3191"/>
      <c r="C158" s="3191"/>
      <c r="D158" s="3191"/>
      <c r="E158" s="3191"/>
      <c r="F158" s="3191"/>
      <c r="G158" s="3191"/>
      <c r="H158" s="3191"/>
      <c r="I158" s="3191"/>
      <c r="J158" s="3191"/>
      <c r="K158" s="3191"/>
      <c r="L158" s="3191"/>
      <c r="M158" s="3191"/>
      <c r="N158" s="3191"/>
      <c r="O158" s="3191"/>
      <c r="P158" s="3191"/>
      <c r="Q158" s="3191"/>
      <c r="R158" s="3191"/>
      <c r="S158" s="3191"/>
      <c r="T158" s="3191"/>
      <c r="U158" s="3191"/>
      <c r="V158" s="3191"/>
      <c r="W158" s="3191"/>
      <c r="X158" s="3191"/>
      <c r="Y158" s="2578"/>
      <c r="Z158" s="3191"/>
      <c r="AA158" s="2578"/>
      <c r="AB158" s="2578"/>
      <c r="AC158" s="2578"/>
      <c r="AD158" s="2578"/>
      <c r="AE158" s="2578"/>
      <c r="AF158" s="2578"/>
      <c r="AG158" s="2578"/>
      <c r="AH158" s="2578"/>
      <c r="AI158" s="1592"/>
      <c r="AJ158" s="2578"/>
      <c r="AK158" s="2578"/>
      <c r="AL158" s="2578"/>
      <c r="AM158" s="1592"/>
      <c r="AN158" s="2578"/>
      <c r="AO158" s="2578"/>
      <c r="AP158" s="3191"/>
      <c r="AQ158" s="3191"/>
      <c r="AR158" s="3191"/>
      <c r="AS158" s="3191"/>
      <c r="AT158" s="2578"/>
      <c r="AU158" s="2578"/>
      <c r="AV158" s="2578"/>
      <c r="AW158" s="2578"/>
      <c r="AX158" s="2578"/>
      <c r="AY158" s="2578"/>
      <c r="AZ158" s="2578"/>
      <c r="BA158" s="1594"/>
      <c r="BB158" s="2578"/>
      <c r="BC158" s="2578"/>
      <c r="BD158" s="2578"/>
      <c r="BE158" s="2578"/>
      <c r="BF158" s="2578"/>
      <c r="BG158" s="2578"/>
      <c r="BH158" s="2578"/>
      <c r="BI158" s="2578"/>
      <c r="BJ158" s="2578"/>
      <c r="BK158" s="2578"/>
      <c r="BL158" s="2578"/>
      <c r="BM158" s="2578"/>
      <c r="BN158" s="2578"/>
      <c r="BO158" s="2578"/>
      <c r="BP158" s="2578"/>
      <c r="BQ158" s="2578"/>
      <c r="BR158" s="2578"/>
      <c r="BS158" s="2578"/>
      <c r="BT158" s="2578"/>
      <c r="BU158" s="2578"/>
      <c r="BV158" s="2578">
        <f t="shared" si="885"/>
        <v>30.794479507533907</v>
      </c>
      <c r="BW158" s="2578">
        <f t="shared" si="885"/>
        <v>30.794479507533907</v>
      </c>
      <c r="BX158" s="2578">
        <f t="shared" si="885"/>
        <v>0</v>
      </c>
      <c r="BY158" s="2578">
        <f t="shared" si="885"/>
        <v>0</v>
      </c>
      <c r="BZ158" s="2578">
        <f t="shared" si="885"/>
        <v>0</v>
      </c>
      <c r="CA158" s="2578">
        <f t="shared" si="885"/>
        <v>0</v>
      </c>
      <c r="CB158" s="3191"/>
      <c r="CC158" s="3725"/>
      <c r="CD158" s="3726"/>
      <c r="CE158" s="3726"/>
      <c r="CF158" s="2578">
        <f t="shared" si="886"/>
        <v>0</v>
      </c>
      <c r="CG158" s="2578">
        <f t="shared" si="886"/>
        <v>0</v>
      </c>
      <c r="CH158" s="2578">
        <f t="shared" si="886"/>
        <v>0</v>
      </c>
      <c r="CI158" s="2578">
        <f t="shared" ref="CI158:EA158" si="890">CI61</f>
        <v>0</v>
      </c>
      <c r="CJ158" s="2578">
        <f t="shared" si="890"/>
        <v>0</v>
      </c>
      <c r="CK158" s="2578">
        <f t="shared" si="890"/>
        <v>0</v>
      </c>
      <c r="CL158" s="2578">
        <f t="shared" si="890"/>
        <v>0</v>
      </c>
      <c r="CM158" s="2578">
        <f t="shared" si="890"/>
        <v>0</v>
      </c>
      <c r="CN158" s="2578">
        <f t="shared" si="890"/>
        <v>0</v>
      </c>
      <c r="CO158" s="2578">
        <f t="shared" si="890"/>
        <v>0</v>
      </c>
      <c r="CP158" s="2578">
        <f t="shared" si="890"/>
        <v>0</v>
      </c>
      <c r="CQ158" s="2578">
        <f t="shared" si="890"/>
        <v>0</v>
      </c>
      <c r="CR158" s="2578">
        <f t="shared" si="890"/>
        <v>0</v>
      </c>
      <c r="CS158" s="2578">
        <f t="shared" si="890"/>
        <v>0</v>
      </c>
      <c r="CT158" s="2578">
        <f t="shared" si="890"/>
        <v>0</v>
      </c>
      <c r="CU158" s="2578">
        <f t="shared" si="890"/>
        <v>0</v>
      </c>
      <c r="CV158" s="2578">
        <f t="shared" si="890"/>
        <v>0</v>
      </c>
      <c r="CW158" s="2578">
        <f t="shared" si="890"/>
        <v>0</v>
      </c>
      <c r="CX158" s="2578">
        <f t="shared" si="890"/>
        <v>0</v>
      </c>
      <c r="CY158" s="2578">
        <f t="shared" si="890"/>
        <v>0</v>
      </c>
      <c r="CZ158" s="2578">
        <f t="shared" si="890"/>
        <v>0</v>
      </c>
      <c r="DA158" s="2578">
        <f t="shared" si="890"/>
        <v>0</v>
      </c>
      <c r="DB158" s="2578">
        <f t="shared" si="890"/>
        <v>0</v>
      </c>
      <c r="DC158" s="2578">
        <f t="shared" si="890"/>
        <v>0</v>
      </c>
      <c r="DD158" s="2578">
        <f t="shared" si="890"/>
        <v>0</v>
      </c>
      <c r="DE158" s="2578">
        <f t="shared" si="890"/>
        <v>0</v>
      </c>
      <c r="DF158" s="2578">
        <f t="shared" si="890"/>
        <v>0</v>
      </c>
      <c r="DG158" s="2578">
        <f t="shared" si="890"/>
        <v>0</v>
      </c>
      <c r="DH158" s="2578">
        <f t="shared" si="890"/>
        <v>0</v>
      </c>
      <c r="DI158" s="2578">
        <f t="shared" si="890"/>
        <v>0</v>
      </c>
      <c r="DJ158" s="2578">
        <f t="shared" si="890"/>
        <v>0</v>
      </c>
      <c r="DK158" s="2578">
        <f t="shared" si="890"/>
        <v>0</v>
      </c>
      <c r="DL158" s="2578">
        <f t="shared" si="890"/>
        <v>0</v>
      </c>
      <c r="DM158" s="2578">
        <f t="shared" si="890"/>
        <v>0</v>
      </c>
      <c r="DN158" s="2578">
        <f t="shared" si="890"/>
        <v>0</v>
      </c>
      <c r="DO158" s="2578">
        <f t="shared" si="890"/>
        <v>0</v>
      </c>
      <c r="DP158" s="2578">
        <f t="shared" si="890"/>
        <v>0</v>
      </c>
      <c r="DQ158" s="2578">
        <f t="shared" si="890"/>
        <v>0</v>
      </c>
      <c r="DR158" s="2578">
        <f t="shared" si="890"/>
        <v>0</v>
      </c>
      <c r="DS158" s="2578">
        <f t="shared" si="890"/>
        <v>0</v>
      </c>
      <c r="DT158" s="2578">
        <f t="shared" si="890"/>
        <v>0</v>
      </c>
      <c r="DU158" s="2578">
        <f t="shared" si="890"/>
        <v>0</v>
      </c>
      <c r="DV158" s="2442">
        <f t="shared" si="890"/>
        <v>0</v>
      </c>
      <c r="DW158" s="2442">
        <f t="shared" si="890"/>
        <v>0</v>
      </c>
      <c r="DX158" s="2442">
        <f t="shared" si="890"/>
        <v>0</v>
      </c>
      <c r="DY158" s="3831">
        <f t="shared" si="890"/>
        <v>0</v>
      </c>
      <c r="DZ158" s="3831">
        <f t="shared" si="890"/>
        <v>0</v>
      </c>
      <c r="EA158" s="3831">
        <f t="shared" si="890"/>
        <v>0</v>
      </c>
      <c r="EB158" s="2442">
        <f t="shared" ref="EB158:EM158" si="891">EB61</f>
        <v>0</v>
      </c>
      <c r="EC158" s="2442">
        <f t="shared" si="891"/>
        <v>0</v>
      </c>
      <c r="ED158" s="2442">
        <f t="shared" si="891"/>
        <v>0</v>
      </c>
      <c r="EE158" s="2442">
        <f t="shared" si="891"/>
        <v>0</v>
      </c>
      <c r="EF158" s="2442">
        <f t="shared" si="891"/>
        <v>0</v>
      </c>
      <c r="EG158" s="2442">
        <f t="shared" si="891"/>
        <v>0</v>
      </c>
      <c r="EH158" s="4849">
        <f t="shared" ref="EH158:EJ158" si="892">EH61</f>
        <v>0</v>
      </c>
      <c r="EI158" s="4849">
        <f t="shared" si="892"/>
        <v>0</v>
      </c>
      <c r="EJ158" s="4849">
        <f t="shared" si="892"/>
        <v>0</v>
      </c>
      <c r="EK158" s="4849">
        <f t="shared" si="891"/>
        <v>0</v>
      </c>
      <c r="EL158" s="4849">
        <f t="shared" si="891"/>
        <v>0</v>
      </c>
      <c r="EM158" s="4849">
        <f t="shared" si="891"/>
        <v>0</v>
      </c>
    </row>
    <row r="159" spans="1:143" ht="27" customHeight="1" x14ac:dyDescent="0.2">
      <c r="A159" s="3214" t="s">
        <v>504</v>
      </c>
      <c r="B159" s="3191"/>
      <c r="C159" s="3191"/>
      <c r="D159" s="3191"/>
      <c r="E159" s="3191"/>
      <c r="F159" s="3191"/>
      <c r="G159" s="3191"/>
      <c r="H159" s="3191"/>
      <c r="I159" s="3191"/>
      <c r="J159" s="3191"/>
      <c r="K159" s="3191"/>
      <c r="L159" s="3191"/>
      <c r="M159" s="3191"/>
      <c r="N159" s="3191"/>
      <c r="O159" s="3191"/>
      <c r="P159" s="3191"/>
      <c r="Q159" s="3191"/>
      <c r="R159" s="3191"/>
      <c r="S159" s="3191"/>
      <c r="T159" s="3191"/>
      <c r="U159" s="3191"/>
      <c r="V159" s="3191"/>
      <c r="W159" s="3191"/>
      <c r="X159" s="3191"/>
      <c r="Y159" s="2578">
        <f>SUM(Y64)</f>
        <v>0</v>
      </c>
      <c r="Z159" s="3191"/>
      <c r="AA159" s="2578">
        <f t="shared" ref="AA159:AH159" si="893">SUM(AA64)</f>
        <v>0</v>
      </c>
      <c r="AB159" s="2578">
        <f t="shared" si="893"/>
        <v>0</v>
      </c>
      <c r="AC159" s="2578">
        <f t="shared" si="893"/>
        <v>0</v>
      </c>
      <c r="AD159" s="2578">
        <f t="shared" si="893"/>
        <v>0</v>
      </c>
      <c r="AE159" s="2578">
        <f t="shared" si="893"/>
        <v>0</v>
      </c>
      <c r="AF159" s="2578">
        <f t="shared" si="893"/>
        <v>0</v>
      </c>
      <c r="AG159" s="2578">
        <f t="shared" si="893"/>
        <v>0</v>
      </c>
      <c r="AH159" s="2578">
        <f t="shared" si="893"/>
        <v>1147.31</v>
      </c>
      <c r="AI159" s="1592" t="e">
        <f t="shared" si="814"/>
        <v>#DIV/0!</v>
      </c>
      <c r="AJ159" s="2578">
        <f>SUM(AJ64)</f>
        <v>1147.31</v>
      </c>
      <c r="AK159" s="2578">
        <f>SUM(AK64)</f>
        <v>0</v>
      </c>
      <c r="AL159" s="2578">
        <f>SUM(AL64)</f>
        <v>1287.3</v>
      </c>
      <c r="AM159" s="1592" t="e">
        <f t="shared" si="815"/>
        <v>#DIV/0!</v>
      </c>
      <c r="AN159" s="2578">
        <f>SUM(AN64)</f>
        <v>1269.8</v>
      </c>
      <c r="AO159" s="2578">
        <f>SUM(AO64)</f>
        <v>17.5</v>
      </c>
      <c r="AP159" s="3191"/>
      <c r="AQ159" s="3191"/>
      <c r="AR159" s="3191"/>
      <c r="AS159" s="3191"/>
      <c r="AT159" s="2578">
        <f t="shared" ref="AT159:AZ159" si="894">SUM(AT64)</f>
        <v>0</v>
      </c>
      <c r="AU159" s="2578">
        <f t="shared" si="894"/>
        <v>0</v>
      </c>
      <c r="AV159" s="2578">
        <f t="shared" si="894"/>
        <v>0</v>
      </c>
      <c r="AW159" s="2578">
        <f t="shared" si="894"/>
        <v>0</v>
      </c>
      <c r="AX159" s="2578">
        <f t="shared" si="894"/>
        <v>0</v>
      </c>
      <c r="AY159" s="2578">
        <f t="shared" si="894"/>
        <v>0</v>
      </c>
      <c r="AZ159" s="2578">
        <f t="shared" si="894"/>
        <v>1785.8</v>
      </c>
      <c r="BA159" s="1594">
        <f t="shared" si="817"/>
        <v>1.3872446205235764</v>
      </c>
      <c r="BB159" s="2578">
        <f t="shared" ref="BB159:CA159" si="895">SUM(BB64)</f>
        <v>1785.8</v>
      </c>
      <c r="BC159" s="2578">
        <f t="shared" si="895"/>
        <v>0</v>
      </c>
      <c r="BD159" s="2578">
        <f t="shared" si="895"/>
        <v>1785.8</v>
      </c>
      <c r="BE159" s="2578">
        <f t="shared" si="895"/>
        <v>1785.8</v>
      </c>
      <c r="BF159" s="2578">
        <f t="shared" si="895"/>
        <v>0</v>
      </c>
      <c r="BG159" s="2578">
        <f t="shared" si="895"/>
        <v>0</v>
      </c>
      <c r="BH159" s="2578">
        <f t="shared" si="895"/>
        <v>0</v>
      </c>
      <c r="BI159" s="2578">
        <f t="shared" si="895"/>
        <v>0</v>
      </c>
      <c r="BJ159" s="2578">
        <f t="shared" si="895"/>
        <v>0</v>
      </c>
      <c r="BK159" s="2578">
        <f t="shared" si="895"/>
        <v>0</v>
      </c>
      <c r="BL159" s="2578">
        <f t="shared" si="895"/>
        <v>0</v>
      </c>
      <c r="BM159" s="2578">
        <f t="shared" si="895"/>
        <v>0</v>
      </c>
      <c r="BN159" s="2578">
        <f t="shared" si="895"/>
        <v>0</v>
      </c>
      <c r="BO159" s="2578">
        <f t="shared" si="895"/>
        <v>0</v>
      </c>
      <c r="BP159" s="2578">
        <f t="shared" si="895"/>
        <v>0</v>
      </c>
      <c r="BQ159" s="2578">
        <f t="shared" si="895"/>
        <v>0</v>
      </c>
      <c r="BR159" s="2578">
        <f t="shared" si="895"/>
        <v>0</v>
      </c>
      <c r="BS159" s="2578">
        <f t="shared" si="895"/>
        <v>0</v>
      </c>
      <c r="BT159" s="2578">
        <f t="shared" si="895"/>
        <v>0</v>
      </c>
      <c r="BU159" s="2578">
        <f t="shared" si="895"/>
        <v>0</v>
      </c>
      <c r="BV159" s="2578">
        <f t="shared" si="895"/>
        <v>0</v>
      </c>
      <c r="BW159" s="2578">
        <f t="shared" si="895"/>
        <v>0</v>
      </c>
      <c r="BX159" s="2578">
        <f t="shared" si="895"/>
        <v>0</v>
      </c>
      <c r="BY159" s="2578">
        <f t="shared" si="895"/>
        <v>0</v>
      </c>
      <c r="BZ159" s="2578">
        <f t="shared" si="895"/>
        <v>0</v>
      </c>
      <c r="CA159" s="2578">
        <f t="shared" si="895"/>
        <v>0</v>
      </c>
      <c r="CB159" s="3191"/>
      <c r="CC159" s="3725"/>
      <c r="CD159" s="3726"/>
      <c r="CE159" s="3726"/>
      <c r="CF159" s="2578">
        <f t="shared" ref="CF159:EA159" si="896">SUM(CF64)</f>
        <v>0</v>
      </c>
      <c r="CG159" s="2578">
        <f t="shared" si="896"/>
        <v>0</v>
      </c>
      <c r="CH159" s="2578">
        <f t="shared" si="896"/>
        <v>0</v>
      </c>
      <c r="CI159" s="2578">
        <f t="shared" si="896"/>
        <v>0</v>
      </c>
      <c r="CJ159" s="2578">
        <f t="shared" si="896"/>
        <v>0</v>
      </c>
      <c r="CK159" s="2578">
        <f t="shared" si="896"/>
        <v>0</v>
      </c>
      <c r="CL159" s="2578">
        <f t="shared" si="896"/>
        <v>0</v>
      </c>
      <c r="CM159" s="2578">
        <f t="shared" si="896"/>
        <v>0</v>
      </c>
      <c r="CN159" s="2578">
        <f t="shared" si="896"/>
        <v>0</v>
      </c>
      <c r="CO159" s="2580">
        <f t="shared" si="896"/>
        <v>-0.02</v>
      </c>
      <c r="CP159" s="2580">
        <f t="shared" si="896"/>
        <v>-0.02</v>
      </c>
      <c r="CQ159" s="2580">
        <f t="shared" si="896"/>
        <v>0</v>
      </c>
      <c r="CR159" s="2580">
        <f t="shared" si="896"/>
        <v>0</v>
      </c>
      <c r="CS159" s="2580">
        <f t="shared" si="896"/>
        <v>0</v>
      </c>
      <c r="CT159" s="2580">
        <f t="shared" si="896"/>
        <v>0</v>
      </c>
      <c r="CU159" s="2580">
        <f t="shared" si="896"/>
        <v>0</v>
      </c>
      <c r="CV159" s="2580">
        <f t="shared" si="896"/>
        <v>0</v>
      </c>
      <c r="CW159" s="2580">
        <f t="shared" si="896"/>
        <v>0</v>
      </c>
      <c r="CX159" s="2578">
        <f t="shared" si="896"/>
        <v>0</v>
      </c>
      <c r="CY159" s="2578">
        <f t="shared" si="896"/>
        <v>0</v>
      </c>
      <c r="CZ159" s="2578">
        <f t="shared" si="896"/>
        <v>0</v>
      </c>
      <c r="DA159" s="2578">
        <f t="shared" si="896"/>
        <v>0</v>
      </c>
      <c r="DB159" s="2578">
        <f t="shared" si="896"/>
        <v>0</v>
      </c>
      <c r="DC159" s="2578">
        <f t="shared" si="896"/>
        <v>0</v>
      </c>
      <c r="DD159" s="2580">
        <f t="shared" si="896"/>
        <v>-0.02</v>
      </c>
      <c r="DE159" s="2580">
        <f t="shared" si="896"/>
        <v>-0.02</v>
      </c>
      <c r="DF159" s="2580">
        <f t="shared" si="896"/>
        <v>0</v>
      </c>
      <c r="DG159" s="2580">
        <f t="shared" si="896"/>
        <v>0</v>
      </c>
      <c r="DH159" s="2580">
        <f t="shared" si="896"/>
        <v>0</v>
      </c>
      <c r="DI159" s="2580">
        <f t="shared" si="896"/>
        <v>0</v>
      </c>
      <c r="DJ159" s="2580">
        <f t="shared" si="896"/>
        <v>0</v>
      </c>
      <c r="DK159" s="2580">
        <f t="shared" si="896"/>
        <v>0</v>
      </c>
      <c r="DL159" s="2580">
        <f t="shared" si="896"/>
        <v>0</v>
      </c>
      <c r="DM159" s="2580">
        <f t="shared" si="896"/>
        <v>-0.02</v>
      </c>
      <c r="DN159" s="2580">
        <f t="shared" si="896"/>
        <v>0</v>
      </c>
      <c r="DO159" s="2580">
        <f t="shared" si="896"/>
        <v>0</v>
      </c>
      <c r="DP159" s="2580">
        <f t="shared" si="896"/>
        <v>-0.02</v>
      </c>
      <c r="DQ159" s="2580">
        <f t="shared" si="896"/>
        <v>-0.02</v>
      </c>
      <c r="DR159" s="2580">
        <f t="shared" si="896"/>
        <v>0</v>
      </c>
      <c r="DS159" s="2580">
        <f t="shared" si="896"/>
        <v>-0.02</v>
      </c>
      <c r="DT159" s="2580">
        <f t="shared" si="896"/>
        <v>-0.02</v>
      </c>
      <c r="DU159" s="2580">
        <f t="shared" si="896"/>
        <v>0</v>
      </c>
      <c r="DV159" s="3729">
        <f t="shared" si="896"/>
        <v>7841.3784699999987</v>
      </c>
      <c r="DW159" s="3729">
        <f t="shared" si="896"/>
        <v>7841.3784699999987</v>
      </c>
      <c r="DX159" s="3729">
        <f t="shared" si="896"/>
        <v>0</v>
      </c>
      <c r="DY159" s="3833">
        <f t="shared" si="896"/>
        <v>0</v>
      </c>
      <c r="DZ159" s="3833">
        <f t="shared" si="896"/>
        <v>0</v>
      </c>
      <c r="EA159" s="3833">
        <f t="shared" si="896"/>
        <v>0</v>
      </c>
      <c r="EB159" s="3729">
        <f t="shared" ref="EB159:EM159" si="897">SUM(EB64)</f>
        <v>7841.3784699999987</v>
      </c>
      <c r="EC159" s="3729">
        <f t="shared" si="897"/>
        <v>7841.3784699999987</v>
      </c>
      <c r="ED159" s="3729">
        <f t="shared" si="897"/>
        <v>0</v>
      </c>
      <c r="EE159" s="3729">
        <f t="shared" si="897"/>
        <v>0</v>
      </c>
      <c r="EF159" s="2442">
        <f t="shared" si="897"/>
        <v>0</v>
      </c>
      <c r="EG159" s="2442">
        <f t="shared" si="897"/>
        <v>0</v>
      </c>
      <c r="EH159" s="4851">
        <f t="shared" ref="EH159:EJ159" si="898">SUM(EH64)</f>
        <v>-0.02</v>
      </c>
      <c r="EI159" s="4851">
        <f t="shared" si="898"/>
        <v>-0.02</v>
      </c>
      <c r="EJ159" s="4851">
        <f t="shared" si="898"/>
        <v>0</v>
      </c>
      <c r="EK159" s="4851">
        <f t="shared" si="897"/>
        <v>-0.02</v>
      </c>
      <c r="EL159" s="4851">
        <f t="shared" si="897"/>
        <v>-0.02</v>
      </c>
      <c r="EM159" s="4851">
        <f t="shared" si="897"/>
        <v>0</v>
      </c>
    </row>
    <row r="160" spans="1:143" ht="27" customHeight="1" x14ac:dyDescent="0.2">
      <c r="A160" s="3724" t="s">
        <v>3962</v>
      </c>
      <c r="B160" s="3191"/>
      <c r="C160" s="3191"/>
      <c r="D160" s="3191"/>
      <c r="E160" s="3191"/>
      <c r="F160" s="3191"/>
      <c r="G160" s="3191"/>
      <c r="H160" s="3191"/>
      <c r="I160" s="3191"/>
      <c r="J160" s="3191"/>
      <c r="K160" s="3191"/>
      <c r="L160" s="3191"/>
      <c r="M160" s="3191"/>
      <c r="N160" s="3191"/>
      <c r="O160" s="3191"/>
      <c r="P160" s="3191"/>
      <c r="Q160" s="3191"/>
      <c r="R160" s="3191"/>
      <c r="S160" s="3191"/>
      <c r="T160" s="3191"/>
      <c r="U160" s="3191"/>
      <c r="V160" s="3191"/>
      <c r="W160" s="3191"/>
      <c r="X160" s="3191"/>
      <c r="Y160" s="2578"/>
      <c r="Z160" s="3191"/>
      <c r="AA160" s="2578"/>
      <c r="AB160" s="2578"/>
      <c r="AC160" s="2578"/>
      <c r="AD160" s="2578"/>
      <c r="AE160" s="2578"/>
      <c r="AF160" s="2578"/>
      <c r="AG160" s="2578"/>
      <c r="AH160" s="2578"/>
      <c r="AI160" s="1592"/>
      <c r="AJ160" s="2578"/>
      <c r="AK160" s="2578"/>
      <c r="AL160" s="2578"/>
      <c r="AM160" s="1592"/>
      <c r="AN160" s="2578"/>
      <c r="AO160" s="2578"/>
      <c r="AP160" s="3191"/>
      <c r="AQ160" s="3191"/>
      <c r="AR160" s="3191"/>
      <c r="AS160" s="3191"/>
      <c r="AT160" s="2578"/>
      <c r="AU160" s="2578"/>
      <c r="AV160" s="2578"/>
      <c r="AW160" s="2578"/>
      <c r="AX160" s="2578"/>
      <c r="AY160" s="2578"/>
      <c r="AZ160" s="2578"/>
      <c r="BA160" s="1594"/>
      <c r="BB160" s="2578"/>
      <c r="BC160" s="2578"/>
      <c r="BD160" s="2578"/>
      <c r="BE160" s="2578"/>
      <c r="BF160" s="2578"/>
      <c r="BG160" s="2578"/>
      <c r="BH160" s="2578"/>
      <c r="BI160" s="2578"/>
      <c r="BJ160" s="2578"/>
      <c r="BK160" s="2578"/>
      <c r="BL160" s="2578"/>
      <c r="BM160" s="2578"/>
      <c r="BN160" s="2578"/>
      <c r="BO160" s="2578"/>
      <c r="BP160" s="2578"/>
      <c r="BQ160" s="2578"/>
      <c r="BR160" s="2578"/>
      <c r="BS160" s="2578"/>
      <c r="BT160" s="2578"/>
      <c r="BU160" s="2578"/>
      <c r="BV160" s="2578"/>
      <c r="BW160" s="2578"/>
      <c r="BX160" s="2578"/>
      <c r="BY160" s="2578"/>
      <c r="BZ160" s="2578"/>
      <c r="CA160" s="2578"/>
      <c r="CB160" s="3191"/>
      <c r="CC160" s="3725"/>
      <c r="CD160" s="3726"/>
      <c r="CE160" s="3726"/>
      <c r="CF160" s="2578"/>
      <c r="CG160" s="2578"/>
      <c r="CH160" s="2578"/>
      <c r="CI160" s="2578"/>
      <c r="CJ160" s="2578"/>
      <c r="CK160" s="2578"/>
      <c r="CL160" s="2578"/>
      <c r="CM160" s="2578"/>
      <c r="CN160" s="2578"/>
      <c r="CO160" s="2580"/>
      <c r="CP160" s="2580"/>
      <c r="CQ160" s="2580"/>
      <c r="CR160" s="2580"/>
      <c r="CS160" s="2580"/>
      <c r="CT160" s="2580"/>
      <c r="CU160" s="2580"/>
      <c r="CV160" s="2580"/>
      <c r="CW160" s="2580"/>
      <c r="CX160" s="2578"/>
      <c r="CY160" s="2578"/>
      <c r="CZ160" s="2578"/>
      <c r="DA160" s="2578"/>
      <c r="DB160" s="2578"/>
      <c r="DC160" s="2578"/>
      <c r="DD160" s="2580"/>
      <c r="DE160" s="2580"/>
      <c r="DF160" s="2580"/>
      <c r="DG160" s="2580"/>
      <c r="DH160" s="2580"/>
      <c r="DI160" s="2580"/>
      <c r="DJ160" s="2580"/>
      <c r="DK160" s="2580"/>
      <c r="DL160" s="2580"/>
      <c r="DM160" s="2578">
        <f t="shared" ref="DM160:DX160" si="899">SUM(DM65)</f>
        <v>205.40635800000001</v>
      </c>
      <c r="DN160" s="2578">
        <f t="shared" si="899"/>
        <v>205.40635800000001</v>
      </c>
      <c r="DO160" s="2578">
        <f t="shared" si="899"/>
        <v>0</v>
      </c>
      <c r="DP160" s="2578">
        <f t="shared" si="899"/>
        <v>316.77776399999999</v>
      </c>
      <c r="DQ160" s="2578">
        <f t="shared" si="899"/>
        <v>316.77776399999999</v>
      </c>
      <c r="DR160" s="2578">
        <f t="shared" si="899"/>
        <v>0</v>
      </c>
      <c r="DS160" s="2578">
        <f t="shared" si="899"/>
        <v>418.29994799999997</v>
      </c>
      <c r="DT160" s="2578">
        <f t="shared" si="899"/>
        <v>418.29994799999997</v>
      </c>
      <c r="DU160" s="2578">
        <f t="shared" si="899"/>
        <v>0</v>
      </c>
      <c r="DV160" s="2442">
        <f t="shared" si="899"/>
        <v>379.34819999999996</v>
      </c>
      <c r="DW160" s="2442">
        <f t="shared" si="899"/>
        <v>379.34819999999996</v>
      </c>
      <c r="DX160" s="2442">
        <f t="shared" si="899"/>
        <v>0</v>
      </c>
      <c r="DY160" s="3833"/>
      <c r="DZ160" s="3833"/>
      <c r="EA160" s="3833"/>
      <c r="EB160" s="2442">
        <f t="shared" ref="EB160:ED160" si="900">SUM(EB65)</f>
        <v>379.34819999999996</v>
      </c>
      <c r="EC160" s="2442">
        <f t="shared" si="900"/>
        <v>379.34819999999996</v>
      </c>
      <c r="ED160" s="2442">
        <f t="shared" si="900"/>
        <v>0</v>
      </c>
      <c r="EE160" s="3729"/>
      <c r="EF160" s="2442"/>
      <c r="EG160" s="2442"/>
      <c r="EH160" s="4849">
        <f t="shared" ref="EH160:EJ160" si="901">SUM(EH65)</f>
        <v>0</v>
      </c>
      <c r="EI160" s="4849">
        <f t="shared" si="901"/>
        <v>0</v>
      </c>
      <c r="EJ160" s="4849">
        <f t="shared" si="901"/>
        <v>0</v>
      </c>
      <c r="EK160" s="4849">
        <f t="shared" ref="EK160:EM160" si="902">SUM(EK65)</f>
        <v>0</v>
      </c>
      <c r="EL160" s="4849">
        <f t="shared" si="902"/>
        <v>0</v>
      </c>
      <c r="EM160" s="4849">
        <f t="shared" si="902"/>
        <v>0</v>
      </c>
    </row>
    <row r="161" spans="1:143" ht="34.5" customHeight="1" x14ac:dyDescent="0.2">
      <c r="A161" s="3724" t="s">
        <v>3920</v>
      </c>
      <c r="B161" s="3191"/>
      <c r="C161" s="3191"/>
      <c r="D161" s="3191"/>
      <c r="E161" s="3191"/>
      <c r="F161" s="3191"/>
      <c r="G161" s="3191"/>
      <c r="H161" s="3191"/>
      <c r="I161" s="3191"/>
      <c r="J161" s="3191"/>
      <c r="K161" s="3191"/>
      <c r="L161" s="3191"/>
      <c r="M161" s="3191"/>
      <c r="N161" s="3191"/>
      <c r="O161" s="3191"/>
      <c r="P161" s="3191"/>
      <c r="Q161" s="3191"/>
      <c r="R161" s="3191"/>
      <c r="S161" s="3191"/>
      <c r="T161" s="3191"/>
      <c r="U161" s="3191"/>
      <c r="V161" s="3191"/>
      <c r="W161" s="3191"/>
      <c r="X161" s="3191"/>
      <c r="Y161" s="2578"/>
      <c r="Z161" s="3191"/>
      <c r="AA161" s="2578"/>
      <c r="AB161" s="2578"/>
      <c r="AC161" s="2578"/>
      <c r="AD161" s="2578"/>
      <c r="AE161" s="2578"/>
      <c r="AF161" s="2578"/>
      <c r="AG161" s="2578"/>
      <c r="AH161" s="2578"/>
      <c r="AI161" s="1592"/>
      <c r="AJ161" s="2578"/>
      <c r="AK161" s="2578"/>
      <c r="AL161" s="2578"/>
      <c r="AM161" s="1592"/>
      <c r="AN161" s="2578"/>
      <c r="AO161" s="2578"/>
      <c r="AP161" s="3191"/>
      <c r="AQ161" s="3191"/>
      <c r="AR161" s="3191"/>
      <c r="AS161" s="3191"/>
      <c r="AT161" s="2578"/>
      <c r="AU161" s="2578"/>
      <c r="AV161" s="2578"/>
      <c r="AW161" s="2578"/>
      <c r="AX161" s="2578"/>
      <c r="AY161" s="2578"/>
      <c r="AZ161" s="2578"/>
      <c r="BA161" s="1594"/>
      <c r="BB161" s="2578"/>
      <c r="BC161" s="2578"/>
      <c r="BD161" s="2578"/>
      <c r="BE161" s="2578"/>
      <c r="BF161" s="2578"/>
      <c r="BG161" s="2578"/>
      <c r="BH161" s="2578"/>
      <c r="BI161" s="2578"/>
      <c r="BJ161" s="2578"/>
      <c r="BK161" s="2578"/>
      <c r="BL161" s="2578"/>
      <c r="BM161" s="2578"/>
      <c r="BN161" s="2578"/>
      <c r="BO161" s="2578"/>
      <c r="BP161" s="2578"/>
      <c r="BQ161" s="2578"/>
      <c r="BR161" s="2578"/>
      <c r="BS161" s="2578"/>
      <c r="BT161" s="2578"/>
      <c r="BU161" s="2578"/>
      <c r="BV161" s="2578"/>
      <c r="BW161" s="2578"/>
      <c r="BX161" s="2578"/>
      <c r="BY161" s="2578"/>
      <c r="BZ161" s="2578"/>
      <c r="CA161" s="2578"/>
      <c r="CB161" s="3191"/>
      <c r="CC161" s="3725"/>
      <c r="CD161" s="3726"/>
      <c r="CE161" s="3726"/>
      <c r="CF161" s="2578"/>
      <c r="CG161" s="2578"/>
      <c r="CH161" s="2578"/>
      <c r="CI161" s="2578"/>
      <c r="CJ161" s="2578"/>
      <c r="CK161" s="2578"/>
      <c r="CL161" s="2578"/>
      <c r="CM161" s="2578"/>
      <c r="CN161" s="2578"/>
      <c r="CO161" s="2580"/>
      <c r="CP161" s="2580"/>
      <c r="CQ161" s="2580"/>
      <c r="CR161" s="2580"/>
      <c r="CS161" s="2580"/>
      <c r="CT161" s="2580"/>
      <c r="CU161" s="2580"/>
      <c r="CV161" s="2580"/>
      <c r="CW161" s="2580"/>
      <c r="CX161" s="2578"/>
      <c r="CY161" s="2578"/>
      <c r="CZ161" s="2578"/>
      <c r="DA161" s="2578"/>
      <c r="DB161" s="2578"/>
      <c r="DC161" s="2578"/>
      <c r="DD161" s="2580"/>
      <c r="DE161" s="2580"/>
      <c r="DF161" s="2580"/>
      <c r="DG161" s="2580">
        <f t="shared" ref="DG161:DL161" si="903">SUM(DG66)</f>
        <v>257.56745268583632</v>
      </c>
      <c r="DH161" s="2580">
        <f t="shared" si="903"/>
        <v>257.56745268583632</v>
      </c>
      <c r="DI161" s="2580">
        <f t="shared" si="903"/>
        <v>0</v>
      </c>
      <c r="DJ161" s="2580">
        <f t="shared" si="903"/>
        <v>180.41201952630846</v>
      </c>
      <c r="DK161" s="2580">
        <f t="shared" si="903"/>
        <v>180.41201952630846</v>
      </c>
      <c r="DL161" s="2580">
        <f t="shared" si="903"/>
        <v>0</v>
      </c>
      <c r="DM161" s="2580"/>
      <c r="DN161" s="2580"/>
      <c r="DO161" s="2580"/>
      <c r="DP161" s="2580"/>
      <c r="DQ161" s="2580"/>
      <c r="DR161" s="2580"/>
      <c r="DS161" s="2580"/>
      <c r="DT161" s="2580"/>
      <c r="DU161" s="2580"/>
      <c r="DV161" s="3729">
        <f t="shared" ref="DV161:EA161" si="904">SUM(DV66)</f>
        <v>187.53829429759764</v>
      </c>
      <c r="DW161" s="3729">
        <f t="shared" si="904"/>
        <v>187.53829429759764</v>
      </c>
      <c r="DX161" s="3729">
        <f t="shared" si="904"/>
        <v>0</v>
      </c>
      <c r="DY161" s="3833">
        <f t="shared" si="904"/>
        <v>0</v>
      </c>
      <c r="DZ161" s="3833">
        <f t="shared" si="904"/>
        <v>0</v>
      </c>
      <c r="EA161" s="3833">
        <f t="shared" si="904"/>
        <v>0</v>
      </c>
      <c r="EB161" s="3729">
        <f t="shared" ref="EB161:EG161" si="905">SUM(EB66)</f>
        <v>187.53829429759764</v>
      </c>
      <c r="EC161" s="3729">
        <f t="shared" si="905"/>
        <v>187.53829429759764</v>
      </c>
      <c r="ED161" s="3729">
        <f t="shared" si="905"/>
        <v>0</v>
      </c>
      <c r="EE161" s="3729">
        <f t="shared" si="905"/>
        <v>187.84100000000001</v>
      </c>
      <c r="EF161" s="2442">
        <f t="shared" si="905"/>
        <v>187.84100000000001</v>
      </c>
      <c r="EG161" s="2442">
        <f t="shared" si="905"/>
        <v>0</v>
      </c>
      <c r="EH161" s="4851"/>
      <c r="EI161" s="4851"/>
      <c r="EJ161" s="4851"/>
      <c r="EK161" s="4851"/>
      <c r="EL161" s="4851"/>
      <c r="EM161" s="4851"/>
    </row>
    <row r="162" spans="1:143" ht="52.5" customHeight="1" x14ac:dyDescent="0.2">
      <c r="A162" s="3724" t="s">
        <v>3978</v>
      </c>
      <c r="B162" s="3191"/>
      <c r="C162" s="3191"/>
      <c r="D162" s="3191"/>
      <c r="E162" s="3191"/>
      <c r="F162" s="3191"/>
      <c r="G162" s="3191"/>
      <c r="H162" s="3191"/>
      <c r="I162" s="3191"/>
      <c r="J162" s="3191"/>
      <c r="K162" s="3191"/>
      <c r="L162" s="3191"/>
      <c r="M162" s="3191"/>
      <c r="N162" s="3191"/>
      <c r="O162" s="3191"/>
      <c r="P162" s="3191"/>
      <c r="Q162" s="3191"/>
      <c r="R162" s="3191"/>
      <c r="S162" s="3191"/>
      <c r="T162" s="3191"/>
      <c r="U162" s="3191"/>
      <c r="V162" s="3191"/>
      <c r="W162" s="3191"/>
      <c r="X162" s="3191"/>
      <c r="Y162" s="2578"/>
      <c r="Z162" s="3191"/>
      <c r="AA162" s="2578"/>
      <c r="AB162" s="2578"/>
      <c r="AC162" s="2578"/>
      <c r="AD162" s="2578"/>
      <c r="AE162" s="2578"/>
      <c r="AF162" s="2578"/>
      <c r="AG162" s="2578"/>
      <c r="AH162" s="2578"/>
      <c r="AI162" s="1592"/>
      <c r="AJ162" s="2578"/>
      <c r="AK162" s="2578"/>
      <c r="AL162" s="2578"/>
      <c r="AM162" s="1592"/>
      <c r="AN162" s="2578"/>
      <c r="AO162" s="2578"/>
      <c r="AP162" s="3191"/>
      <c r="AQ162" s="3191"/>
      <c r="AR162" s="3191"/>
      <c r="AS162" s="3191"/>
      <c r="AT162" s="2578"/>
      <c r="AU162" s="2578"/>
      <c r="AV162" s="2578"/>
      <c r="AW162" s="2578"/>
      <c r="AX162" s="2578"/>
      <c r="AY162" s="2578"/>
      <c r="AZ162" s="2578"/>
      <c r="BA162" s="1594"/>
      <c r="BB162" s="2578"/>
      <c r="BC162" s="2578"/>
      <c r="BD162" s="2578"/>
      <c r="BE162" s="2578"/>
      <c r="BF162" s="2578"/>
      <c r="BG162" s="2578"/>
      <c r="BH162" s="2578"/>
      <c r="BI162" s="2578"/>
      <c r="BJ162" s="2578"/>
      <c r="BK162" s="2578"/>
      <c r="BL162" s="2578"/>
      <c r="BM162" s="2578"/>
      <c r="BN162" s="2578"/>
      <c r="BO162" s="2578"/>
      <c r="BP162" s="2578"/>
      <c r="BQ162" s="2578"/>
      <c r="BR162" s="2578"/>
      <c r="BS162" s="2578"/>
      <c r="BT162" s="2578"/>
      <c r="BU162" s="2578"/>
      <c r="BV162" s="2578"/>
      <c r="BW162" s="2578"/>
      <c r="BX162" s="2578"/>
      <c r="BY162" s="2578"/>
      <c r="BZ162" s="2578"/>
      <c r="CA162" s="2578"/>
      <c r="CB162" s="3191"/>
      <c r="CC162" s="3725"/>
      <c r="CD162" s="3726"/>
      <c r="CE162" s="3726"/>
      <c r="CF162" s="2578"/>
      <c r="CG162" s="2578"/>
      <c r="CH162" s="2578"/>
      <c r="CI162" s="2578"/>
      <c r="CJ162" s="2578"/>
      <c r="CK162" s="2578"/>
      <c r="CL162" s="2578"/>
      <c r="CM162" s="2578"/>
      <c r="CN162" s="2578"/>
      <c r="CO162" s="2580"/>
      <c r="CP162" s="2580"/>
      <c r="CQ162" s="2580"/>
      <c r="CR162" s="2580"/>
      <c r="CS162" s="2580"/>
      <c r="CT162" s="2580"/>
      <c r="CU162" s="2580"/>
      <c r="CV162" s="2580"/>
      <c r="CW162" s="2580"/>
      <c r="CX162" s="2578"/>
      <c r="CY162" s="2578"/>
      <c r="CZ162" s="2578"/>
      <c r="DA162" s="2578"/>
      <c r="DB162" s="2578"/>
      <c r="DC162" s="2578"/>
      <c r="DD162" s="2580"/>
      <c r="DE162" s="2580"/>
      <c r="DF162" s="2580"/>
      <c r="DG162" s="2580"/>
      <c r="DH162" s="2580"/>
      <c r="DI162" s="2580"/>
      <c r="DJ162" s="2580"/>
      <c r="DK162" s="2580"/>
      <c r="DL162" s="2580"/>
      <c r="DM162" s="2580"/>
      <c r="DN162" s="2580"/>
      <c r="DO162" s="2580"/>
      <c r="DP162" s="2580"/>
      <c r="DQ162" s="2580"/>
      <c r="DR162" s="2580"/>
      <c r="DS162" s="2580"/>
      <c r="DT162" s="2580"/>
      <c r="DU162" s="2580"/>
      <c r="DV162" s="3729">
        <f t="shared" ref="DV162:DX162" si="906">SUM(DV67)</f>
        <v>309</v>
      </c>
      <c r="DW162" s="3729">
        <f t="shared" si="906"/>
        <v>309</v>
      </c>
      <c r="DX162" s="3729">
        <f t="shared" si="906"/>
        <v>0</v>
      </c>
      <c r="DY162" s="3833"/>
      <c r="DZ162" s="3833"/>
      <c r="EA162" s="3833"/>
      <c r="EB162" s="3729">
        <f t="shared" ref="EB162:ED162" si="907">SUM(EB67)</f>
        <v>309</v>
      </c>
      <c r="EC162" s="3729">
        <f t="shared" si="907"/>
        <v>309</v>
      </c>
      <c r="ED162" s="3729">
        <f t="shared" si="907"/>
        <v>0</v>
      </c>
      <c r="EE162" s="3729"/>
      <c r="EF162" s="2442"/>
      <c r="EG162" s="2442"/>
      <c r="EH162" s="4851"/>
      <c r="EI162" s="4851"/>
      <c r="EJ162" s="4851"/>
      <c r="EK162" s="4851"/>
      <c r="EL162" s="4851"/>
      <c r="EM162" s="4851"/>
    </row>
    <row r="163" spans="1:143" ht="51.75" customHeight="1" x14ac:dyDescent="0.2">
      <c r="A163" s="3724" t="s">
        <v>4075</v>
      </c>
      <c r="B163" s="3191"/>
      <c r="C163" s="3191"/>
      <c r="D163" s="3191"/>
      <c r="E163" s="3191"/>
      <c r="F163" s="3191"/>
      <c r="G163" s="3191"/>
      <c r="H163" s="3191"/>
      <c r="I163" s="3191"/>
      <c r="J163" s="3191"/>
      <c r="K163" s="3191"/>
      <c r="L163" s="3191"/>
      <c r="M163" s="3191"/>
      <c r="N163" s="3191"/>
      <c r="O163" s="3191"/>
      <c r="P163" s="3191"/>
      <c r="Q163" s="3191"/>
      <c r="R163" s="3191"/>
      <c r="S163" s="3191"/>
      <c r="T163" s="3191"/>
      <c r="U163" s="3191"/>
      <c r="V163" s="3191"/>
      <c r="W163" s="3191"/>
      <c r="X163" s="3191"/>
      <c r="Y163" s="2578"/>
      <c r="Z163" s="3191"/>
      <c r="AA163" s="2578"/>
      <c r="AB163" s="2578"/>
      <c r="AC163" s="2578"/>
      <c r="AD163" s="2578"/>
      <c r="AE163" s="2578"/>
      <c r="AF163" s="2578"/>
      <c r="AG163" s="2578"/>
      <c r="AH163" s="2578"/>
      <c r="AI163" s="1592"/>
      <c r="AJ163" s="2578"/>
      <c r="AK163" s="2578"/>
      <c r="AL163" s="2578"/>
      <c r="AM163" s="1592"/>
      <c r="AN163" s="2578"/>
      <c r="AO163" s="2578"/>
      <c r="AP163" s="3191"/>
      <c r="AQ163" s="3191"/>
      <c r="AR163" s="3191"/>
      <c r="AS163" s="3191"/>
      <c r="AT163" s="2578"/>
      <c r="AU163" s="2578"/>
      <c r="AV163" s="2578"/>
      <c r="AW163" s="2578"/>
      <c r="AX163" s="2578"/>
      <c r="AY163" s="2578"/>
      <c r="AZ163" s="2578"/>
      <c r="BA163" s="1594"/>
      <c r="BB163" s="2578"/>
      <c r="BC163" s="2578"/>
      <c r="BD163" s="2578"/>
      <c r="BE163" s="2578"/>
      <c r="BF163" s="2578"/>
      <c r="BG163" s="2578"/>
      <c r="BH163" s="2578"/>
      <c r="BI163" s="2578"/>
      <c r="BJ163" s="2578"/>
      <c r="BK163" s="2578"/>
      <c r="BL163" s="2578"/>
      <c r="BM163" s="2578"/>
      <c r="BN163" s="2578"/>
      <c r="BO163" s="2578"/>
      <c r="BP163" s="2578"/>
      <c r="BQ163" s="2578"/>
      <c r="BR163" s="2578"/>
      <c r="BS163" s="2578"/>
      <c r="BT163" s="2578"/>
      <c r="BU163" s="2578"/>
      <c r="BV163" s="2578"/>
      <c r="BW163" s="2578"/>
      <c r="BX163" s="2578"/>
      <c r="BY163" s="2578"/>
      <c r="BZ163" s="2578"/>
      <c r="CA163" s="2578"/>
      <c r="CB163" s="3191"/>
      <c r="CC163" s="3725"/>
      <c r="CD163" s="3726"/>
      <c r="CE163" s="3726"/>
      <c r="CF163" s="2578"/>
      <c r="CG163" s="2578"/>
      <c r="CH163" s="2578"/>
      <c r="CI163" s="2578"/>
      <c r="CJ163" s="2578"/>
      <c r="CK163" s="2578"/>
      <c r="CL163" s="2578"/>
      <c r="CM163" s="2578"/>
      <c r="CN163" s="2578"/>
      <c r="CO163" s="2580"/>
      <c r="CP163" s="2580"/>
      <c r="CQ163" s="2580"/>
      <c r="CR163" s="2580"/>
      <c r="CS163" s="2580"/>
      <c r="CT163" s="2580"/>
      <c r="CU163" s="2580"/>
      <c r="CV163" s="2580"/>
      <c r="CW163" s="2580"/>
      <c r="CX163" s="2578"/>
      <c r="CY163" s="2578"/>
      <c r="CZ163" s="2578"/>
      <c r="DA163" s="2578"/>
      <c r="DB163" s="2578"/>
      <c r="DC163" s="2578"/>
      <c r="DD163" s="2580"/>
      <c r="DE163" s="2580"/>
      <c r="DF163" s="2580"/>
      <c r="DG163" s="2580"/>
      <c r="DH163" s="2580"/>
      <c r="DI163" s="2580"/>
      <c r="DJ163" s="2580"/>
      <c r="DK163" s="2580"/>
      <c r="DL163" s="2580"/>
      <c r="DM163" s="2580"/>
      <c r="DN163" s="2580"/>
      <c r="DO163" s="2580"/>
      <c r="DP163" s="2580"/>
      <c r="DQ163" s="2580"/>
      <c r="DR163" s="2580"/>
      <c r="DS163" s="2580"/>
      <c r="DT163" s="2580"/>
      <c r="DU163" s="2580"/>
      <c r="DV163" s="3729">
        <f t="shared" ref="DV163:DX163" si="908">SUM(DV68)</f>
        <v>5350.44</v>
      </c>
      <c r="DW163" s="3729">
        <f t="shared" si="908"/>
        <v>5350.44</v>
      </c>
      <c r="DX163" s="3729">
        <f t="shared" si="908"/>
        <v>0</v>
      </c>
      <c r="DY163" s="3833"/>
      <c r="DZ163" s="3833"/>
      <c r="EA163" s="3833"/>
      <c r="EB163" s="3729">
        <f t="shared" ref="EB163:ED163" si="909">SUM(EB68)</f>
        <v>5350.44</v>
      </c>
      <c r="EC163" s="3729">
        <f t="shared" si="909"/>
        <v>5350.44</v>
      </c>
      <c r="ED163" s="3729">
        <f t="shared" si="909"/>
        <v>0</v>
      </c>
      <c r="EE163" s="3729"/>
      <c r="EF163" s="2442"/>
      <c r="EG163" s="2442"/>
      <c r="EH163" s="4851"/>
      <c r="EI163" s="4851"/>
      <c r="EJ163" s="4851"/>
      <c r="EK163" s="4851"/>
      <c r="EL163" s="4851"/>
      <c r="EM163" s="4851"/>
    </row>
    <row r="164" spans="1:143" ht="51.75" customHeight="1" x14ac:dyDescent="0.2">
      <c r="A164" s="3724" t="s">
        <v>4109</v>
      </c>
      <c r="B164" s="2593"/>
      <c r="C164" s="4091"/>
      <c r="D164" s="4092"/>
      <c r="E164" s="4091"/>
      <c r="F164" s="4092"/>
      <c r="G164" s="4091"/>
      <c r="H164" s="4092"/>
      <c r="I164" s="4093"/>
      <c r="J164" s="4093"/>
      <c r="K164" s="4093"/>
      <c r="L164" s="4093"/>
      <c r="M164" s="4069"/>
      <c r="N164" s="4069"/>
      <c r="O164" s="4093"/>
      <c r="P164" s="4069"/>
      <c r="Q164" s="4094"/>
      <c r="R164" s="4069"/>
      <c r="S164" s="4069"/>
      <c r="T164" s="4093"/>
      <c r="U164" s="4093"/>
      <c r="V164" s="4093"/>
      <c r="W164" s="4093"/>
      <c r="X164" s="4093"/>
      <c r="Y164" s="4095"/>
      <c r="Z164" s="4096"/>
      <c r="AA164" s="4095"/>
      <c r="AB164" s="4096"/>
      <c r="AC164" s="4095"/>
      <c r="AD164" s="4095"/>
      <c r="AE164" s="4095"/>
      <c r="AF164" s="4095"/>
      <c r="AG164" s="4095"/>
      <c r="AH164" s="4097"/>
      <c r="AI164" s="4098"/>
      <c r="AJ164" s="4095"/>
      <c r="AK164" s="4095"/>
      <c r="AL164" s="4097"/>
      <c r="AM164" s="4098"/>
      <c r="AN164" s="4095"/>
      <c r="AO164" s="4095"/>
      <c r="AP164" s="3477"/>
      <c r="AQ164" s="3477"/>
      <c r="AR164" s="3477"/>
      <c r="AS164" s="3477"/>
      <c r="AT164" s="4095"/>
      <c r="AU164" s="4095"/>
      <c r="AV164" s="4095"/>
      <c r="AW164" s="4095"/>
      <c r="AX164" s="4095"/>
      <c r="AY164" s="4095"/>
      <c r="AZ164" s="4095"/>
      <c r="BA164" s="4099"/>
      <c r="BB164" s="4095"/>
      <c r="BC164" s="4095"/>
      <c r="BD164" s="4097"/>
      <c r="BE164" s="4095"/>
      <c r="BF164" s="4095"/>
      <c r="BG164" s="4097"/>
      <c r="BH164" s="4095"/>
      <c r="BI164" s="4095"/>
      <c r="BJ164" s="4097"/>
      <c r="BK164" s="4095"/>
      <c r="BL164" s="4095"/>
      <c r="BM164" s="4097"/>
      <c r="BN164" s="4095"/>
      <c r="BO164" s="4095"/>
      <c r="BP164" s="4097"/>
      <c r="BQ164" s="4095"/>
      <c r="BR164" s="4095"/>
      <c r="BS164" s="4097"/>
      <c r="BT164" s="4095"/>
      <c r="BU164" s="4095"/>
      <c r="BV164" s="4097"/>
      <c r="BW164" s="4095"/>
      <c r="BX164" s="4095"/>
      <c r="BY164" s="4097"/>
      <c r="BZ164" s="4095"/>
      <c r="CA164" s="4095"/>
      <c r="CB164" s="3172"/>
      <c r="CC164" s="365"/>
      <c r="CD164" s="365"/>
      <c r="CE164" s="365"/>
      <c r="CF164" s="4097"/>
      <c r="CG164" s="4095"/>
      <c r="CH164" s="4095"/>
      <c r="CI164" s="4097"/>
      <c r="CJ164" s="4095"/>
      <c r="CK164" s="4095"/>
      <c r="CL164" s="4097"/>
      <c r="CM164" s="4095"/>
      <c r="CN164" s="4095"/>
      <c r="CO164" s="4100"/>
      <c r="CP164" s="4100"/>
      <c r="CQ164" s="4100"/>
      <c r="CR164" s="4100"/>
      <c r="CS164" s="4100"/>
      <c r="CT164" s="4100"/>
      <c r="CU164" s="4100"/>
      <c r="CV164" s="4100"/>
      <c r="CW164" s="4100"/>
      <c r="CX164" s="4097"/>
      <c r="CY164" s="4095"/>
      <c r="CZ164" s="4095"/>
      <c r="DA164" s="4097"/>
      <c r="DB164" s="4095"/>
      <c r="DC164" s="4095"/>
      <c r="DD164" s="4100"/>
      <c r="DE164" s="4100"/>
      <c r="DF164" s="4100"/>
      <c r="DG164" s="4095"/>
      <c r="DH164" s="4095"/>
      <c r="DI164" s="4100"/>
      <c r="DJ164" s="4095"/>
      <c r="DK164" s="4095"/>
      <c r="DL164" s="4100"/>
      <c r="DM164" s="4100"/>
      <c r="DN164" s="4100"/>
      <c r="DO164" s="4100"/>
      <c r="DP164" s="4100"/>
      <c r="DQ164" s="4100"/>
      <c r="DR164" s="4100"/>
      <c r="DS164" s="4100"/>
      <c r="DT164" s="4100"/>
      <c r="DU164" s="4100"/>
      <c r="DV164" s="4101"/>
      <c r="DW164" s="4101"/>
      <c r="DX164" s="4102"/>
      <c r="DY164" s="4103"/>
      <c r="DZ164" s="4103"/>
      <c r="EA164" s="4104"/>
      <c r="EB164" s="3729">
        <f t="shared" ref="EB164:ED164" si="910">SUM(EB69)</f>
        <v>4600</v>
      </c>
      <c r="EC164" s="3729">
        <f t="shared" si="910"/>
        <v>4600</v>
      </c>
      <c r="ED164" s="3729">
        <f t="shared" si="910"/>
        <v>0</v>
      </c>
      <c r="EE164" s="3729"/>
      <c r="EF164" s="2442"/>
      <c r="EG164" s="2442"/>
      <c r="EH164" s="4852"/>
      <c r="EI164" s="4852"/>
      <c r="EJ164" s="4852"/>
      <c r="EK164" s="4852"/>
      <c r="EL164" s="4852"/>
      <c r="EM164" s="4852"/>
    </row>
    <row r="165" spans="1:143" ht="51.75" customHeight="1" x14ac:dyDescent="0.2">
      <c r="A165" s="3724" t="s">
        <v>4112</v>
      </c>
      <c r="B165" s="2593"/>
      <c r="C165" s="4091"/>
      <c r="D165" s="4092"/>
      <c r="E165" s="4091"/>
      <c r="F165" s="4092"/>
      <c r="G165" s="4091"/>
      <c r="H165" s="4092"/>
      <c r="I165" s="4093"/>
      <c r="J165" s="4093"/>
      <c r="K165" s="4093"/>
      <c r="L165" s="4093"/>
      <c r="M165" s="4069"/>
      <c r="N165" s="4069"/>
      <c r="O165" s="4093"/>
      <c r="P165" s="4069"/>
      <c r="Q165" s="4094"/>
      <c r="R165" s="4069"/>
      <c r="S165" s="4069"/>
      <c r="T165" s="4093"/>
      <c r="U165" s="4093"/>
      <c r="V165" s="4093"/>
      <c r="W165" s="4093"/>
      <c r="X165" s="4093"/>
      <c r="Y165" s="4095"/>
      <c r="Z165" s="4096"/>
      <c r="AA165" s="4095"/>
      <c r="AB165" s="4096"/>
      <c r="AC165" s="4095"/>
      <c r="AD165" s="4095"/>
      <c r="AE165" s="4095"/>
      <c r="AF165" s="4095"/>
      <c r="AG165" s="4095"/>
      <c r="AH165" s="4097"/>
      <c r="AI165" s="4098"/>
      <c r="AJ165" s="4095"/>
      <c r="AK165" s="4095"/>
      <c r="AL165" s="4097"/>
      <c r="AM165" s="4098"/>
      <c r="AN165" s="4095"/>
      <c r="AO165" s="4095"/>
      <c r="AP165" s="3477"/>
      <c r="AQ165" s="3477"/>
      <c r="AR165" s="3477"/>
      <c r="AS165" s="3477"/>
      <c r="AT165" s="4095"/>
      <c r="AU165" s="4095"/>
      <c r="AV165" s="4095"/>
      <c r="AW165" s="4095"/>
      <c r="AX165" s="4095"/>
      <c r="AY165" s="4095"/>
      <c r="AZ165" s="4095"/>
      <c r="BA165" s="4099"/>
      <c r="BB165" s="4095"/>
      <c r="BC165" s="4095"/>
      <c r="BD165" s="4097"/>
      <c r="BE165" s="4095"/>
      <c r="BF165" s="4095"/>
      <c r="BG165" s="4097"/>
      <c r="BH165" s="4095"/>
      <c r="BI165" s="4095"/>
      <c r="BJ165" s="4097"/>
      <c r="BK165" s="4095"/>
      <c r="BL165" s="4095"/>
      <c r="BM165" s="4097"/>
      <c r="BN165" s="4095"/>
      <c r="BO165" s="4095"/>
      <c r="BP165" s="4097"/>
      <c r="BQ165" s="4095"/>
      <c r="BR165" s="4095"/>
      <c r="BS165" s="4097"/>
      <c r="BT165" s="4095"/>
      <c r="BU165" s="4095"/>
      <c r="BV165" s="4097"/>
      <c r="BW165" s="4095"/>
      <c r="BX165" s="4095"/>
      <c r="BY165" s="4097"/>
      <c r="BZ165" s="4095"/>
      <c r="CA165" s="4095"/>
      <c r="CB165" s="3172"/>
      <c r="CC165" s="365"/>
      <c r="CD165" s="365"/>
      <c r="CE165" s="365"/>
      <c r="CF165" s="4097"/>
      <c r="CG165" s="4095"/>
      <c r="CH165" s="4095"/>
      <c r="CI165" s="4097"/>
      <c r="CJ165" s="4095"/>
      <c r="CK165" s="4095"/>
      <c r="CL165" s="4097"/>
      <c r="CM165" s="4095"/>
      <c r="CN165" s="4095"/>
      <c r="CO165" s="4100"/>
      <c r="CP165" s="4100"/>
      <c r="CQ165" s="4100"/>
      <c r="CR165" s="4100"/>
      <c r="CS165" s="4100"/>
      <c r="CT165" s="4100"/>
      <c r="CU165" s="4100"/>
      <c r="CV165" s="4100"/>
      <c r="CW165" s="4100"/>
      <c r="CX165" s="4097"/>
      <c r="CY165" s="4095"/>
      <c r="CZ165" s="4095"/>
      <c r="DA165" s="4097"/>
      <c r="DB165" s="4095"/>
      <c r="DC165" s="4095"/>
      <c r="DD165" s="4100"/>
      <c r="DE165" s="4100"/>
      <c r="DF165" s="4100"/>
      <c r="DG165" s="4095"/>
      <c r="DH165" s="4095"/>
      <c r="DI165" s="4100"/>
      <c r="DJ165" s="4095"/>
      <c r="DK165" s="4095"/>
      <c r="DL165" s="4100"/>
      <c r="DM165" s="4100"/>
      <c r="DN165" s="4100"/>
      <c r="DO165" s="4100"/>
      <c r="DP165" s="4100"/>
      <c r="DQ165" s="4100"/>
      <c r="DR165" s="4100"/>
      <c r="DS165" s="4100"/>
      <c r="DT165" s="4100"/>
      <c r="DU165" s="4100"/>
      <c r="DV165" s="4101"/>
      <c r="DW165" s="4101"/>
      <c r="DX165" s="4102"/>
      <c r="DY165" s="4103"/>
      <c r="DZ165" s="4103"/>
      <c r="EA165" s="4104"/>
      <c r="EB165" s="3729">
        <f t="shared" ref="EB165:ED165" si="911">SUM(EB70)</f>
        <v>1673.61</v>
      </c>
      <c r="EC165" s="3729">
        <f t="shared" si="911"/>
        <v>1673.61</v>
      </c>
      <c r="ED165" s="3729">
        <f t="shared" si="911"/>
        <v>0</v>
      </c>
      <c r="EE165" s="3729"/>
      <c r="EF165" s="2442"/>
      <c r="EG165" s="2442"/>
      <c r="EH165" s="4852"/>
      <c r="EI165" s="4852"/>
      <c r="EJ165" s="4852"/>
      <c r="EK165" s="4852"/>
      <c r="EL165" s="4852"/>
      <c r="EM165" s="4852"/>
    </row>
    <row r="166" spans="1:143" ht="27" customHeight="1" x14ac:dyDescent="0.2">
      <c r="A166" s="3314" t="s">
        <v>12</v>
      </c>
      <c r="B166" s="3314"/>
      <c r="C166" s="3314"/>
      <c r="D166" s="3314"/>
      <c r="E166" s="3314"/>
      <c r="F166" s="3314"/>
      <c r="G166" s="3314"/>
      <c r="H166" s="3314"/>
      <c r="I166" s="3314"/>
      <c r="J166" s="3314"/>
      <c r="K166" s="3314"/>
      <c r="L166" s="3314"/>
      <c r="M166" s="3314"/>
      <c r="N166" s="3314"/>
      <c r="O166" s="3314"/>
      <c r="P166" s="3314"/>
      <c r="Q166" s="3314"/>
      <c r="R166" s="3314"/>
      <c r="S166" s="3314"/>
      <c r="T166" s="3314"/>
      <c r="U166" s="3314"/>
      <c r="V166" s="3314"/>
      <c r="W166" s="3314"/>
      <c r="X166" s="3314"/>
      <c r="Y166" s="3439">
        <f>SUM(Y144:Y159)</f>
        <v>138793.20000000001</v>
      </c>
      <c r="Z166" s="3314"/>
      <c r="AA166" s="3439" t="e">
        <f t="shared" ref="AA166:AE166" si="912">SUM(AA144:AA159)</f>
        <v>#REF!</v>
      </c>
      <c r="AB166" s="3439" t="e">
        <f t="shared" si="912"/>
        <v>#REF!</v>
      </c>
      <c r="AC166" s="3439" t="e">
        <f t="shared" si="912"/>
        <v>#REF!</v>
      </c>
      <c r="AD166" s="3439" t="e">
        <f t="shared" si="912"/>
        <v>#REF!</v>
      </c>
      <c r="AE166" s="3439">
        <f t="shared" si="912"/>
        <v>113320.02939110002</v>
      </c>
      <c r="AF166" s="3439">
        <f t="shared" ref="AF166" si="913">SUM(AF144:AF159)</f>
        <v>112515.45483007004</v>
      </c>
      <c r="AG166" s="3439">
        <f t="shared" ref="AG166" si="914">SUM(AG144:AG159)</f>
        <v>804.57456102995798</v>
      </c>
      <c r="AH166" s="3439">
        <f t="shared" ref="AH166:AJ166" si="915">SUM(AH144:AH159)</f>
        <v>121571.42432999998</v>
      </c>
      <c r="AI166" s="1605" t="e">
        <f t="shared" si="814"/>
        <v>#REF!</v>
      </c>
      <c r="AJ166" s="3439">
        <f t="shared" si="915"/>
        <v>120777.48432999999</v>
      </c>
      <c r="AK166" s="3439">
        <f t="shared" ref="AK166:AL166" si="916">SUM(AK144:AK159)</f>
        <v>793.93999999999994</v>
      </c>
      <c r="AL166" s="3439" t="e">
        <f t="shared" si="916"/>
        <v>#REF!</v>
      </c>
      <c r="AM166" s="1605" t="e">
        <f t="shared" si="815"/>
        <v>#REF!</v>
      </c>
      <c r="AN166" s="3439" t="e">
        <f t="shared" ref="AN166" si="917">SUM(AN144:AN159)</f>
        <v>#REF!</v>
      </c>
      <c r="AO166" s="3439">
        <f t="shared" ref="AO166" si="918">SUM(AO144:AO159)</f>
        <v>770.22088194020341</v>
      </c>
      <c r="AP166" s="3314"/>
      <c r="AQ166" s="3314"/>
      <c r="AR166" s="3314"/>
      <c r="AS166" s="3314"/>
      <c r="AT166" s="3439">
        <f t="shared" ref="AT166" si="919">SUM(AT144:AT159)</f>
        <v>56673.297081400007</v>
      </c>
      <c r="AU166" s="3439">
        <f t="shared" ref="AU166" si="920">SUM(AU144:AU159)</f>
        <v>56463.165167590269</v>
      </c>
      <c r="AV166" s="3439">
        <f t="shared" ref="AV166" si="921">SUM(AV144:AV159)</f>
        <v>210.13191380973541</v>
      </c>
      <c r="AW166" s="3439">
        <f t="shared" ref="AW166" si="922">SUM(AW144:AW159)</f>
        <v>116214.42000000001</v>
      </c>
      <c r="AX166" s="3439">
        <f t="shared" ref="AX166" si="923">SUM(AX144:AX159)</f>
        <v>115906.65000000001</v>
      </c>
      <c r="AY166" s="3439">
        <f t="shared" ref="AY166:AZ166" si="924">SUM(AY144:AY159)</f>
        <v>307.77</v>
      </c>
      <c r="AZ166" s="3439">
        <f t="shared" si="924"/>
        <v>132673.21128099889</v>
      </c>
      <c r="BA166" s="1606" t="e">
        <f t="shared" si="817"/>
        <v>#REF!</v>
      </c>
      <c r="BB166" s="3439">
        <f t="shared" ref="BB166" si="925">SUM(BB144:BB159)</f>
        <v>133587.32181062308</v>
      </c>
      <c r="BC166" s="3439">
        <f t="shared" ref="BC166" si="926">SUM(BC144:BC159)</f>
        <v>423.37547037580555</v>
      </c>
      <c r="BD166" s="3439">
        <f t="shared" ref="BD166" si="927">SUM(BD144:BD159)</f>
        <v>120520.29484348075</v>
      </c>
      <c r="BE166" s="3439">
        <f t="shared" ref="BE166" si="928">SUM(BE144:BE159)</f>
        <v>120176.15591828243</v>
      </c>
      <c r="BF166" s="3439">
        <f t="shared" ref="BF166:BH166" si="929">SUM(BF144:BF159)</f>
        <v>344.13892519829574</v>
      </c>
      <c r="BG166" s="3439">
        <f t="shared" si="929"/>
        <v>120577.88</v>
      </c>
      <c r="BH166" s="3439">
        <f t="shared" si="929"/>
        <v>120535.93000000001</v>
      </c>
      <c r="BI166" s="3439">
        <f>SUM(BI144:BI159)</f>
        <v>41.95</v>
      </c>
      <c r="BJ166" s="3439">
        <f>SUM(BJ144:BJ159)</f>
        <v>134891.4</v>
      </c>
      <c r="BK166" s="3439">
        <f>SUM(BK144:BK159)</f>
        <v>134862.29999999999</v>
      </c>
      <c r="BL166" s="3439">
        <f t="shared" ref="BL166" si="930">SUM(BL144:BL159)</f>
        <v>29.099999999999998</v>
      </c>
      <c r="BM166" s="3439">
        <f>SUM(BM144:BM159)</f>
        <v>128142.39290000001</v>
      </c>
      <c r="BN166" s="3439">
        <f>SUM(BN144:BN159)</f>
        <v>127775.59400000003</v>
      </c>
      <c r="BO166" s="3439">
        <f t="shared" ref="BO166:BR166" si="931">SUM(BO144:BO159)</f>
        <v>366.7989</v>
      </c>
      <c r="BP166" s="3439">
        <f t="shared" si="931"/>
        <v>136436.86200000002</v>
      </c>
      <c r="BQ166" s="3439">
        <f>SUM(BQ144:BQ159)</f>
        <v>136412.62900000002</v>
      </c>
      <c r="BR166" s="3439">
        <f t="shared" si="931"/>
        <v>24.232999999999997</v>
      </c>
      <c r="BS166" s="3439">
        <f t="shared" ref="BS166:BX166" si="932">SUM(BS144:BS159)</f>
        <v>158658.21</v>
      </c>
      <c r="BT166" s="3439">
        <f t="shared" si="932"/>
        <v>158558.91999999998</v>
      </c>
      <c r="BU166" s="3439">
        <f t="shared" si="932"/>
        <v>99.29</v>
      </c>
      <c r="BV166" s="3439">
        <f>SUM(BV144:BV159)</f>
        <v>147574.92935394889</v>
      </c>
      <c r="BW166" s="3439">
        <f t="shared" si="932"/>
        <v>147544.11811148541</v>
      </c>
      <c r="BX166" s="3439">
        <f t="shared" si="932"/>
        <v>30.811242463479257</v>
      </c>
      <c r="BY166" s="3439">
        <f>SUM(BY144:BY159)</f>
        <v>163826.74145579248</v>
      </c>
      <c r="BZ166" s="3439">
        <f t="shared" ref="BZ166:CA166" si="933">SUM(BZ144:BZ159)</f>
        <v>163792.15655699337</v>
      </c>
      <c r="CA166" s="3439">
        <f t="shared" si="933"/>
        <v>34.59801046541218</v>
      </c>
      <c r="CB166" s="3191"/>
      <c r="CC166" s="3725"/>
      <c r="CD166" s="3726"/>
      <c r="CE166" s="3726"/>
      <c r="CF166" s="3439">
        <f>SUM(CF144:CF159)</f>
        <v>149856.70870371771</v>
      </c>
      <c r="CG166" s="3439">
        <f t="shared" ref="CG166:CH166" si="934">SUM(CG144:CG159)</f>
        <v>149826.19082761329</v>
      </c>
      <c r="CH166" s="3439">
        <f t="shared" si="934"/>
        <v>30.517876104420509</v>
      </c>
      <c r="CI166" s="3439">
        <f>SUM(CI144:CI159)-CI157</f>
        <v>72796.149798500002</v>
      </c>
      <c r="CJ166" s="3439">
        <f t="shared" ref="CJ166:CQ166" si="935">SUM(CJ144:CJ159)-CJ157</f>
        <v>72783.630038500007</v>
      </c>
      <c r="CK166" s="3439">
        <f t="shared" si="935"/>
        <v>12.51976</v>
      </c>
      <c r="CL166" s="3439">
        <f t="shared" si="935"/>
        <v>111672.54458316999</v>
      </c>
      <c r="CM166" s="3439">
        <f t="shared" si="935"/>
        <v>111653.58178317</v>
      </c>
      <c r="CN166" s="3439">
        <f t="shared" si="935"/>
        <v>18.962800000000001</v>
      </c>
      <c r="CO166" s="3439">
        <f t="shared" si="935"/>
        <v>147941.30603788001</v>
      </c>
      <c r="CP166" s="3439">
        <f t="shared" si="935"/>
        <v>147917.23693787999</v>
      </c>
      <c r="CQ166" s="3439">
        <f t="shared" si="935"/>
        <v>24.069100000000002</v>
      </c>
      <c r="CR166" s="3439">
        <f t="shared" ref="CR166:CT166" si="936">SUM(CR144:CR159)-CR157</f>
        <v>177997.77485092115</v>
      </c>
      <c r="CS166" s="3439">
        <f t="shared" si="936"/>
        <v>177938.59485403635</v>
      </c>
      <c r="CT166" s="3439">
        <f t="shared" si="936"/>
        <v>59.179996884835653</v>
      </c>
      <c r="CU166" s="3439">
        <f t="shared" ref="CU166:CW166" si="937">SUM(CU144:CU159)-CU157</f>
        <v>146374.02291889145</v>
      </c>
      <c r="CV166" s="3439">
        <f t="shared" si="937"/>
        <v>146345.08977326503</v>
      </c>
      <c r="CW166" s="3439">
        <f t="shared" si="937"/>
        <v>28.933145626442407</v>
      </c>
      <c r="CX166" s="3439">
        <f>SUM(CX144:CX159)-CX157</f>
        <v>74098.735209999999</v>
      </c>
      <c r="CY166" s="3439">
        <f t="shared" ref="CY166:DF166" si="938">SUM(CY144:CY159)-CY157</f>
        <v>74088.261499999993</v>
      </c>
      <c r="CZ166" s="3439">
        <f t="shared" si="938"/>
        <v>10.473710000000001</v>
      </c>
      <c r="DA166" s="3439">
        <f t="shared" si="938"/>
        <v>107390.350721</v>
      </c>
      <c r="DB166" s="3439">
        <f t="shared" si="938"/>
        <v>107372.86429100001</v>
      </c>
      <c r="DC166" s="3439">
        <f t="shared" si="938"/>
        <v>17.486429999999999</v>
      </c>
      <c r="DD166" s="3439">
        <f t="shared" si="938"/>
        <v>143671.55358999997</v>
      </c>
      <c r="DE166" s="3439">
        <f t="shared" si="938"/>
        <v>143650.99627</v>
      </c>
      <c r="DF166" s="3439">
        <f t="shared" si="938"/>
        <v>20.557320000000001</v>
      </c>
      <c r="DG166" s="3439">
        <f t="shared" ref="DG166:DL166" si="939">SUM(DG144:DG161)-DG157</f>
        <v>178812.49834848745</v>
      </c>
      <c r="DH166" s="3439">
        <f t="shared" si="939"/>
        <v>178777.77565345768</v>
      </c>
      <c r="DI166" s="3439">
        <f t="shared" si="939"/>
        <v>34.722695029798096</v>
      </c>
      <c r="DJ166" s="3439">
        <f t="shared" si="939"/>
        <v>160619.4216076305</v>
      </c>
      <c r="DK166" s="3439">
        <f t="shared" si="939"/>
        <v>160588.25134637239</v>
      </c>
      <c r="DL166" s="3439">
        <f t="shared" si="939"/>
        <v>31.170261258094762</v>
      </c>
      <c r="DM166" s="3439">
        <f t="shared" ref="DM166:DU166" si="940">SUM(DM144:DM161)-DM157</f>
        <v>73665.968570274694</v>
      </c>
      <c r="DN166" s="3439">
        <f t="shared" si="940"/>
        <v>73656.467650274688</v>
      </c>
      <c r="DO166" s="3439">
        <f t="shared" si="940"/>
        <v>9.5209200000000003</v>
      </c>
      <c r="DP166" s="3439">
        <f t="shared" si="940"/>
        <v>113474.50047660359</v>
      </c>
      <c r="DQ166" s="3439">
        <f t="shared" si="940"/>
        <v>110591.7641566036</v>
      </c>
      <c r="DR166" s="3439">
        <f t="shared" si="940"/>
        <v>2882.7363200000004</v>
      </c>
      <c r="DS166" s="3439">
        <f t="shared" si="940"/>
        <v>154009.71968063922</v>
      </c>
      <c r="DT166" s="3439">
        <f t="shared" si="940"/>
        <v>153489.48652063921</v>
      </c>
      <c r="DU166" s="3439">
        <f t="shared" si="940"/>
        <v>520.23315999999988</v>
      </c>
      <c r="DV166" s="3730">
        <f>SUM(DV144:DV163)-DV157</f>
        <v>210614.63506180403</v>
      </c>
      <c r="DW166" s="3730">
        <f>SUM(DW144:DW163)-DW157</f>
        <v>210576.02586989829</v>
      </c>
      <c r="DX166" s="3730">
        <f>SUM(DX144:DX163)-DX157</f>
        <v>38.609191905739003</v>
      </c>
      <c r="DY166" s="3830">
        <f t="shared" ref="DY166:EA166" si="941">SUM(DY144:DY161)-DY157</f>
        <v>106601.65037298275</v>
      </c>
      <c r="DZ166" s="3830">
        <f t="shared" si="941"/>
        <v>93793.163527025259</v>
      </c>
      <c r="EA166" s="3830">
        <f t="shared" si="941"/>
        <v>12833.805503343525</v>
      </c>
      <c r="EB166" s="3730">
        <f>SUM(EB144:EB165)-EB157</f>
        <v>223532.96940791691</v>
      </c>
      <c r="EC166" s="3730">
        <f>SUM(EC144:EC165)-EC157</f>
        <v>223494.36021601121</v>
      </c>
      <c r="ED166" s="3730">
        <f>SUM(ED144:ED163)-ED157</f>
        <v>38.609191905739003</v>
      </c>
      <c r="EE166" s="3730">
        <f t="shared" ref="EE166:EG166" si="942">SUM(EE144:EE161)-EE157</f>
        <v>180747.30930553112</v>
      </c>
      <c r="EF166" s="3730">
        <f t="shared" si="942"/>
        <v>180712.19025095936</v>
      </c>
      <c r="EG166" s="3730">
        <f t="shared" si="942"/>
        <v>35.119054571747689</v>
      </c>
      <c r="EH166" s="4853">
        <f t="shared" ref="EH166:EJ166" si="943">SUM(EH144:EH161)-EH157</f>
        <v>83775.851201699988</v>
      </c>
      <c r="EI166" s="4853">
        <f t="shared" si="943"/>
        <v>83762.585491179983</v>
      </c>
      <c r="EJ166" s="4853">
        <f t="shared" si="943"/>
        <v>13.265710519999999</v>
      </c>
      <c r="EK166" s="4853">
        <f t="shared" ref="EK166:EM166" si="944">SUM(EK144:EK161)-EK157</f>
        <v>174388.62686118</v>
      </c>
      <c r="EL166" s="4853">
        <f t="shared" si="944"/>
        <v>174370.69016314004</v>
      </c>
      <c r="EM166" s="4853">
        <f t="shared" si="944"/>
        <v>17.93669804</v>
      </c>
    </row>
    <row r="167" spans="1:143" ht="27" customHeight="1" x14ac:dyDescent="0.2">
      <c r="A167" s="3314" t="s">
        <v>13</v>
      </c>
      <c r="B167" s="3314"/>
      <c r="C167" s="3314"/>
      <c r="D167" s="3314"/>
      <c r="E167" s="3314"/>
      <c r="F167" s="3314"/>
      <c r="G167" s="3314"/>
      <c r="H167" s="3314"/>
      <c r="I167" s="3314"/>
      <c r="J167" s="3314"/>
      <c r="K167" s="3314"/>
      <c r="L167" s="3314"/>
      <c r="M167" s="3314"/>
      <c r="N167" s="3314"/>
      <c r="O167" s="3314"/>
      <c r="P167" s="3314"/>
      <c r="Q167" s="3314"/>
      <c r="R167" s="3314"/>
      <c r="S167" s="3314"/>
      <c r="T167" s="3314"/>
      <c r="U167" s="3314"/>
      <c r="V167" s="3314"/>
      <c r="W167" s="3314"/>
      <c r="X167" s="3314"/>
      <c r="Y167" s="3439">
        <f>SUM(Y87)</f>
        <v>4000</v>
      </c>
      <c r="Z167" s="3314"/>
      <c r="AA167" s="3439" t="e">
        <f t="shared" ref="AA167:AD167" si="945">SUM(AA87)</f>
        <v>#REF!</v>
      </c>
      <c r="AB167" s="3439" t="e">
        <f t="shared" si="945"/>
        <v>#REF!</v>
      </c>
      <c r="AC167" s="3439" t="e">
        <f t="shared" si="945"/>
        <v>#REF!</v>
      </c>
      <c r="AD167" s="3439" t="e">
        <f t="shared" si="945"/>
        <v>#REF!</v>
      </c>
      <c r="AE167" s="3439">
        <f t="shared" ref="AE167:AH167" si="946">SUM(AE87)</f>
        <v>4039</v>
      </c>
      <c r="AF167" s="3439">
        <f t="shared" si="946"/>
        <v>3989.2</v>
      </c>
      <c r="AG167" s="3439">
        <f t="shared" si="946"/>
        <v>49.8</v>
      </c>
      <c r="AH167" s="3439">
        <f t="shared" si="946"/>
        <v>4052.4</v>
      </c>
      <c r="AI167" s="1605" t="e">
        <f t="shared" si="814"/>
        <v>#REF!</v>
      </c>
      <c r="AJ167" s="3439">
        <f t="shared" ref="AJ167:AK167" si="947">SUM(AJ87)</f>
        <v>4006.27</v>
      </c>
      <c r="AK167" s="3439">
        <f t="shared" si="947"/>
        <v>46.13</v>
      </c>
      <c r="AL167" s="3439">
        <f t="shared" ref="AL167:AO167" si="948">SUM(AL87)</f>
        <v>4052.4</v>
      </c>
      <c r="AM167" s="1605" t="e">
        <f t="shared" si="815"/>
        <v>#REF!</v>
      </c>
      <c r="AN167" s="3439">
        <f t="shared" si="948"/>
        <v>4006.27</v>
      </c>
      <c r="AO167" s="3439">
        <f t="shared" si="948"/>
        <v>46.13</v>
      </c>
      <c r="AP167" s="3314"/>
      <c r="AQ167" s="3314"/>
      <c r="AR167" s="3314"/>
      <c r="AS167" s="3314"/>
      <c r="AT167" s="3439">
        <f t="shared" ref="AT167:AV167" si="949">SUM(AT87)</f>
        <v>1990.48</v>
      </c>
      <c r="AU167" s="3439">
        <f t="shared" si="949"/>
        <v>1976.78</v>
      </c>
      <c r="AV167" s="3439">
        <f t="shared" si="949"/>
        <v>13.7</v>
      </c>
      <c r="AW167" s="3439">
        <f t="shared" ref="AW167:AY167" si="950">SUM(AW87)</f>
        <v>3780.42</v>
      </c>
      <c r="AX167" s="3439">
        <f t="shared" si="950"/>
        <v>3762.2000000000003</v>
      </c>
      <c r="AY167" s="3439">
        <f t="shared" si="950"/>
        <v>18.22</v>
      </c>
      <c r="AZ167" s="3439">
        <f t="shared" ref="AZ167:BC167" si="951">SUM(AZ87)</f>
        <v>4010.6369999999997</v>
      </c>
      <c r="BA167" s="1606">
        <f t="shared" si="817"/>
        <v>0.98969425525614441</v>
      </c>
      <c r="BB167" s="3439">
        <f t="shared" si="951"/>
        <v>3989.2169999999996</v>
      </c>
      <c r="BC167" s="3439">
        <f t="shared" si="951"/>
        <v>21.42</v>
      </c>
      <c r="BD167" s="3439">
        <f t="shared" ref="BD167:BF167" si="952">SUM(BD87)</f>
        <v>4010.6370000000002</v>
      </c>
      <c r="BE167" s="3439">
        <f t="shared" si="952"/>
        <v>3989.2170000000001</v>
      </c>
      <c r="BF167" s="3439">
        <f t="shared" si="952"/>
        <v>21.42</v>
      </c>
      <c r="BG167" s="3439">
        <f t="shared" ref="BG167:BI167" si="953">SUM(BG87)</f>
        <v>3568.7400000000002</v>
      </c>
      <c r="BH167" s="3439">
        <f t="shared" si="953"/>
        <v>3566.34</v>
      </c>
      <c r="BI167" s="3439">
        <f t="shared" si="953"/>
        <v>2.4</v>
      </c>
      <c r="BJ167" s="3439">
        <f t="shared" ref="BJ167:BU167" si="954">SUM(BJ87)</f>
        <v>3657.57</v>
      </c>
      <c r="BK167" s="3439">
        <f t="shared" si="954"/>
        <v>3655.8</v>
      </c>
      <c r="BL167" s="3439">
        <f t="shared" si="954"/>
        <v>1.77</v>
      </c>
      <c r="BM167" s="3439">
        <f>SUM(BN167:BO167)</f>
        <v>3621.42</v>
      </c>
      <c r="BN167" s="3439">
        <v>3600</v>
      </c>
      <c r="BO167" s="3439">
        <v>21.42</v>
      </c>
      <c r="BP167" s="3439">
        <f>SUM(BQ167:BR167)</f>
        <v>3659.8610000000003</v>
      </c>
      <c r="BQ167" s="3439">
        <v>3658.53</v>
      </c>
      <c r="BR167" s="3439">
        <v>1.331</v>
      </c>
      <c r="BS167" s="3439">
        <f t="shared" si="954"/>
        <v>3605</v>
      </c>
      <c r="BT167" s="3439">
        <f t="shared" si="954"/>
        <v>3600</v>
      </c>
      <c r="BU167" s="3439">
        <f t="shared" si="954"/>
        <v>5</v>
      </c>
      <c r="BV167" s="3439">
        <f>BV87</f>
        <v>3662.3949233333333</v>
      </c>
      <c r="BW167" s="3439">
        <f t="shared" ref="BW167:BX167" si="955">BW87</f>
        <v>3660.6249233333333</v>
      </c>
      <c r="BX167" s="3439">
        <f t="shared" si="955"/>
        <v>1.77</v>
      </c>
      <c r="BY167" s="3439">
        <f>BY87</f>
        <v>3662.3949233333333</v>
      </c>
      <c r="BZ167" s="3439">
        <f t="shared" ref="BZ167:CA167" si="956">BZ87</f>
        <v>3660.6249233333333</v>
      </c>
      <c r="CA167" s="3439">
        <f t="shared" si="956"/>
        <v>1.77</v>
      </c>
      <c r="CB167" s="3191"/>
      <c r="CC167" s="3725"/>
      <c r="CD167" s="3726"/>
      <c r="CE167" s="3726"/>
      <c r="CF167" s="3439">
        <f>SUM(CG167:CH167)</f>
        <v>3474.7299999999996</v>
      </c>
      <c r="CG167" s="3439">
        <f>SUM('объемы ВС и ВО 2023'!BD49)</f>
        <v>3472.9599999999996</v>
      </c>
      <c r="CH167" s="3439">
        <f>SUM('объемы ВС и ВО 2023'!BE49)</f>
        <v>1.77</v>
      </c>
      <c r="CI167" s="3439">
        <f>SUM(CJ167:CK167)</f>
        <v>1751.489</v>
      </c>
      <c r="CJ167" s="3439">
        <f>SUM('объемы ВС и ВО 2023'!BF49)</f>
        <v>1750.931</v>
      </c>
      <c r="CK167" s="3439">
        <f>SUM('объемы ВС и ВО 2023'!BG44)</f>
        <v>0.55800000000000005</v>
      </c>
      <c r="CL167" s="3439">
        <f>SUM(CM167:CN167)</f>
        <v>2639.2570000000005</v>
      </c>
      <c r="CM167" s="3439">
        <f>SUM('объемы ВС и ВО 2023'!BH49)</f>
        <v>2638.4280000000003</v>
      </c>
      <c r="CN167" s="3439">
        <f>SUM('объемы ВС и ВО 2023'!BI49)</f>
        <v>0.82899999999999996</v>
      </c>
      <c r="CO167" s="3439">
        <f>SUM(CP167:CQ167)</f>
        <v>3529.002</v>
      </c>
      <c r="CP167" s="3439">
        <f>SUM('объемы ВС и ВО 2023'!BJ49)</f>
        <v>3527.873</v>
      </c>
      <c r="CQ167" s="3439">
        <f>SUM('объемы ВС и ВО 2023'!BK49)</f>
        <v>1.129</v>
      </c>
      <c r="CR167" s="3439">
        <f>SUM(CS167:CT167)</f>
        <v>3474.7299999999996</v>
      </c>
      <c r="CS167" s="3439">
        <f>SUM('объемы ВС и ВО 2023'!BL49)</f>
        <v>3472.9599999999996</v>
      </c>
      <c r="CT167" s="3439">
        <f>SUM('объемы ВС и ВО 2023'!BM49)</f>
        <v>1.77</v>
      </c>
      <c r="CU167" s="3439">
        <f>SUM(CV167:CW167)</f>
        <v>3506.4398000000001</v>
      </c>
      <c r="CV167" s="3439">
        <f>SUM('объемы ВС и ВО 2023'!BN49)</f>
        <v>3504.67</v>
      </c>
      <c r="CW167" s="3439">
        <f>SUM('объемы ВС и ВО 2023'!BO49)</f>
        <v>1.7698</v>
      </c>
      <c r="CX167" s="3439">
        <f>SUM(CY167:CZ167)</f>
        <v>1768.9229999999998</v>
      </c>
      <c r="CY167" s="3439">
        <f>SUM('объемы ВС и ВО 2023'!BQ49)</f>
        <v>1768.3819999999998</v>
      </c>
      <c r="CZ167" s="3439">
        <f>SUM('объемы ВС и ВО 2023'!BR44)</f>
        <v>0.54100000000000004</v>
      </c>
      <c r="DA167" s="3439">
        <f>SUM(DB167:DC167)</f>
        <v>2633.047</v>
      </c>
      <c r="DB167" s="3439">
        <f>SUM('объемы ВС и ВО 2023'!BS49)</f>
        <v>2632.3209999999999</v>
      </c>
      <c r="DC167" s="3439">
        <f>SUM('объемы ВС и ВО 2023'!BT49)</f>
        <v>0.72599999999999998</v>
      </c>
      <c r="DD167" s="3439">
        <f>SUM(DE167:DF167)</f>
        <v>3535.3689999999997</v>
      </c>
      <c r="DE167" s="3439">
        <f>SUM('объемы ВС и ВО 2023'!BU49)</f>
        <v>3534.4369999999999</v>
      </c>
      <c r="DF167" s="3439">
        <f>SUM('объемы ВС и ВО 2023'!BV49)</f>
        <v>0.93200000000000005</v>
      </c>
      <c r="DG167" s="3439">
        <f>SUM(DH167:DI167)</f>
        <v>3506.4398000000001</v>
      </c>
      <c r="DH167" s="3439">
        <f>SUM('объемы ВС и ВО 2023'!BW49)</f>
        <v>3504.67</v>
      </c>
      <c r="DI167" s="3439">
        <f>SUM('объемы ВС и ВО 2023'!BX49)</f>
        <v>1.7698</v>
      </c>
      <c r="DJ167" s="3439">
        <f>SUM(DK167:DL167)</f>
        <v>3503.0637999999999</v>
      </c>
      <c r="DK167" s="3439">
        <f>SUM('объемы ВС и ВО 2023'!BY49)</f>
        <v>3501.2939999999999</v>
      </c>
      <c r="DL167" s="3439">
        <f>SUM('объемы ВС и ВО 2023'!BZ49)</f>
        <v>1.7698</v>
      </c>
      <c r="DM167" s="3439">
        <f>SUM(DN167:DO167)</f>
        <v>1810.413</v>
      </c>
      <c r="DN167" s="3439">
        <f>SUM('объемы ВС и ВО 2023'!CA49)</f>
        <v>1809.999</v>
      </c>
      <c r="DO167" s="3439">
        <f>SUM('объемы ВС и ВО 2023'!CB49)</f>
        <v>0.41399999999999998</v>
      </c>
      <c r="DP167" s="3439">
        <f>SUM(DQ167:DR167)</f>
        <v>2662.7433000000001</v>
      </c>
      <c r="DQ167" s="3439">
        <f>SUM('объемы ВС и ВО 2023'!CC49)</f>
        <v>2662.1453000000001</v>
      </c>
      <c r="DR167" s="3439">
        <f>SUM('объемы ВС и ВО 2023'!CD49)</f>
        <v>0.59799999999999998</v>
      </c>
      <c r="DS167" s="3439">
        <f>SUM(DT167:DU167)</f>
        <v>3563.1979999999999</v>
      </c>
      <c r="DT167" s="3439">
        <f>SUM('объемы ВС и ВО 2023'!CE49)</f>
        <v>3562.4159999999997</v>
      </c>
      <c r="DU167" s="3439">
        <f>SUM('объемы ВС и ВО 2023'!CF49)</f>
        <v>0.78200000000000003</v>
      </c>
      <c r="DV167" s="3730">
        <f>SUM(DW167:DX167)</f>
        <v>3503.0637999999999</v>
      </c>
      <c r="DW167" s="3730">
        <f>SUM('объемы ВС и ВО 2023'!CG49)</f>
        <v>3501.2939999999999</v>
      </c>
      <c r="DX167" s="3730">
        <f>SUM('объемы ВС и ВО 2023'!CH49)</f>
        <v>1.7698</v>
      </c>
      <c r="DY167" s="3830">
        <f>SUM(DZ167:EA167)</f>
        <v>0</v>
      </c>
      <c r="DZ167" s="3830">
        <f>SUM('объемы ВС и ВО 2023'!CP49)</f>
        <v>0</v>
      </c>
      <c r="EA167" s="3830">
        <f>SUM('объемы ВС и ВО 2023'!CQ49)</f>
        <v>0</v>
      </c>
      <c r="EB167" s="3730">
        <f>SUM(EC167:ED167)</f>
        <v>3503.0637999999999</v>
      </c>
      <c r="EC167" s="3730">
        <f>SUM('объемы ВС и ВО 2023'!CG49)</f>
        <v>3501.2939999999999</v>
      </c>
      <c r="ED167" s="3730">
        <f>SUM('объемы ВС и ВО 2023'!CH49)</f>
        <v>1.7698</v>
      </c>
      <c r="EE167" s="3730">
        <f>SUM(EF167:EG167)</f>
        <v>3555.4440725851482</v>
      </c>
      <c r="EF167" s="3730">
        <f>SUM('объемы ВС и ВО 2023'!CI49)</f>
        <v>3554.0930725851481</v>
      </c>
      <c r="EG167" s="3730">
        <f>SUM('объемы ВС и ВО 2023'!CJ49)</f>
        <v>1.351</v>
      </c>
      <c r="EH167" s="4853">
        <f>SUM(EI167:EJ167)</f>
        <v>1908.636</v>
      </c>
      <c r="EI167" s="4853">
        <f>SUM('объемы ВС и ВО 2023'!CK49)</f>
        <v>1907.845</v>
      </c>
      <c r="EJ167" s="4853">
        <f>SUM('объемы ВС и ВО 2023'!CL49)</f>
        <v>0.79100000000000004</v>
      </c>
      <c r="EK167" s="4853">
        <f>SUM(EL167:EM167)</f>
        <v>3775.5508999999997</v>
      </c>
      <c r="EL167" s="4853">
        <f>SUM('объемы ВС и ВО 2023'!CM49)</f>
        <v>3774.7598999999996</v>
      </c>
      <c r="EM167" s="4853">
        <f>SUM('объемы ВС и ВО 2023'!CN49)</f>
        <v>0.79100000000000004</v>
      </c>
    </row>
    <row r="168" spans="1:143" ht="27" customHeight="1" x14ac:dyDescent="0.2">
      <c r="A168" s="3314" t="s">
        <v>14</v>
      </c>
      <c r="B168" s="3314"/>
      <c r="C168" s="3314"/>
      <c r="D168" s="3314"/>
      <c r="E168" s="3314"/>
      <c r="F168" s="3314"/>
      <c r="G168" s="3314"/>
      <c r="H168" s="3314"/>
      <c r="I168" s="3314"/>
      <c r="J168" s="3314"/>
      <c r="K168" s="3314"/>
      <c r="L168" s="3314"/>
      <c r="M168" s="3314"/>
      <c r="N168" s="3314"/>
      <c r="O168" s="3314"/>
      <c r="P168" s="3314"/>
      <c r="Q168" s="3314"/>
      <c r="R168" s="3314"/>
      <c r="S168" s="3314"/>
      <c r="T168" s="3314"/>
      <c r="U168" s="3314"/>
      <c r="V168" s="3314"/>
      <c r="W168" s="3314"/>
      <c r="X168" s="3314"/>
      <c r="Y168" s="3439"/>
      <c r="Z168" s="3314"/>
      <c r="AA168" s="3439"/>
      <c r="AB168" s="3439"/>
      <c r="AC168" s="3439"/>
      <c r="AD168" s="3439"/>
      <c r="AE168" s="3439"/>
      <c r="AF168" s="3439"/>
      <c r="AG168" s="3439"/>
      <c r="AH168" s="3439"/>
      <c r="AI168" s="1605"/>
      <c r="AJ168" s="3439"/>
      <c r="AK168" s="3439"/>
      <c r="AL168" s="3439"/>
      <c r="AM168" s="1605"/>
      <c r="AN168" s="3439"/>
      <c r="AO168" s="3439"/>
      <c r="AP168" s="3314"/>
      <c r="AQ168" s="3314"/>
      <c r="AR168" s="3314"/>
      <c r="AS168" s="3314"/>
      <c r="AT168" s="3439"/>
      <c r="AU168" s="3439"/>
      <c r="AV168" s="3439"/>
      <c r="AW168" s="3439"/>
      <c r="AX168" s="3439"/>
      <c r="AY168" s="3439"/>
      <c r="AZ168" s="3439"/>
      <c r="BA168" s="1606"/>
      <c r="BB168" s="3439"/>
      <c r="BC168" s="3439"/>
      <c r="BD168" s="3439"/>
      <c r="BE168" s="3439"/>
      <c r="BF168" s="3439"/>
      <c r="BG168" s="3439"/>
      <c r="BH168" s="3439"/>
      <c r="BI168" s="3439"/>
      <c r="BJ168" s="3439"/>
      <c r="BK168" s="3439"/>
      <c r="BL168" s="3439"/>
      <c r="BM168" s="3439">
        <f>SUM(BM166/BM167)</f>
        <v>35.38457094178527</v>
      </c>
      <c r="BN168" s="3439">
        <f t="shared" ref="BN168:CT168" si="957">SUM(BN166/BN167)</f>
        <v>35.49322055555556</v>
      </c>
      <c r="BO168" s="3439">
        <f t="shared" si="957"/>
        <v>17.124131652661063</v>
      </c>
      <c r="BP168" s="3439">
        <f t="shared" si="957"/>
        <v>37.279246944077933</v>
      </c>
      <c r="BQ168" s="3439">
        <f t="shared" si="957"/>
        <v>37.286185708467613</v>
      </c>
      <c r="BR168" s="3439">
        <f t="shared" si="957"/>
        <v>18.206611570247933</v>
      </c>
      <c r="BS168" s="3439">
        <f t="shared" si="957"/>
        <v>44.01059916782247</v>
      </c>
      <c r="BT168" s="3439">
        <f t="shared" si="957"/>
        <v>44.044144444444441</v>
      </c>
      <c r="BU168" s="3439">
        <f t="shared" si="957"/>
        <v>19.858000000000001</v>
      </c>
      <c r="BV168" s="3439">
        <f t="shared" si="957"/>
        <v>40.294652117864281</v>
      </c>
      <c r="BW168" s="3439">
        <f t="shared" si="957"/>
        <v>40.305718614059217</v>
      </c>
      <c r="BX168" s="3439">
        <f t="shared" si="957"/>
        <v>17.407481617784892</v>
      </c>
      <c r="BY168" s="3439">
        <f t="shared" si="957"/>
        <v>44.732134268765684</v>
      </c>
      <c r="BZ168" s="3439">
        <f t="shared" si="957"/>
        <v>44.744315516446207</v>
      </c>
      <c r="CA168" s="3439">
        <f t="shared" si="957"/>
        <v>19.54689856802948</v>
      </c>
      <c r="CB168" s="3439" t="e">
        <f t="shared" si="957"/>
        <v>#DIV/0!</v>
      </c>
      <c r="CC168" s="3439" t="e">
        <f t="shared" si="957"/>
        <v>#DIV/0!</v>
      </c>
      <c r="CD168" s="3439" t="e">
        <f t="shared" si="957"/>
        <v>#DIV/0!</v>
      </c>
      <c r="CE168" s="3439" t="e">
        <f t="shared" si="957"/>
        <v>#DIV/0!</v>
      </c>
      <c r="CF168" s="3439">
        <f t="shared" si="957"/>
        <v>43.127583640662074</v>
      </c>
      <c r="CG168" s="3439">
        <f t="shared" si="957"/>
        <v>43.14077640618185</v>
      </c>
      <c r="CH168" s="3439">
        <f t="shared" si="957"/>
        <v>17.241737912101982</v>
      </c>
      <c r="CI168" s="3439">
        <f t="shared" si="957"/>
        <v>41.562436189151057</v>
      </c>
      <c r="CJ168" s="3439">
        <f t="shared" si="957"/>
        <v>41.568531277646009</v>
      </c>
      <c r="CK168" s="3439">
        <f t="shared" si="957"/>
        <v>22.436845878136197</v>
      </c>
      <c r="CL168" s="3439">
        <f t="shared" si="957"/>
        <v>42.31211457738673</v>
      </c>
      <c r="CM168" s="3439">
        <f t="shared" si="957"/>
        <v>42.318221980349655</v>
      </c>
      <c r="CN168" s="3439">
        <f t="shared" si="957"/>
        <v>22.874306393244876</v>
      </c>
      <c r="CO168" s="3439">
        <f t="shared" si="957"/>
        <v>41.921570471731108</v>
      </c>
      <c r="CP168" s="3439">
        <f t="shared" si="957"/>
        <v>41.928163779671202</v>
      </c>
      <c r="CQ168" s="3439">
        <f t="shared" si="957"/>
        <v>21.318954827280781</v>
      </c>
      <c r="CR168" s="3439">
        <f t="shared" si="957"/>
        <v>51.226361429786252</v>
      </c>
      <c r="CS168" s="3439">
        <f t="shared" si="957"/>
        <v>51.235428814048063</v>
      </c>
      <c r="CT168" s="3439">
        <f t="shared" si="957"/>
        <v>33.435026488607711</v>
      </c>
      <c r="CU168" s="3439">
        <f t="shared" ref="CU168:CW168" si="958">SUM(CU166/CU167)</f>
        <v>41.744342201138444</v>
      </c>
      <c r="CV168" s="3439">
        <f t="shared" si="958"/>
        <v>41.757166801229509</v>
      </c>
      <c r="CW168" s="3439">
        <f t="shared" si="958"/>
        <v>16.348257219144767</v>
      </c>
      <c r="CX168" s="3439">
        <f t="shared" ref="CX168:DL168" si="959">SUM(CX166/CX167)</f>
        <v>41.889180710522737</v>
      </c>
      <c r="CY168" s="3439">
        <f t="shared" si="959"/>
        <v>41.896073076970929</v>
      </c>
      <c r="CZ168" s="3439">
        <f t="shared" si="959"/>
        <v>19.359907578558225</v>
      </c>
      <c r="DA168" s="3439">
        <f t="shared" si="959"/>
        <v>40.785580629969765</v>
      </c>
      <c r="DB168" s="3439">
        <f t="shared" si="959"/>
        <v>40.790186413815036</v>
      </c>
      <c r="DC168" s="3439">
        <f t="shared" si="959"/>
        <v>24.085991735537188</v>
      </c>
      <c r="DD168" s="3439">
        <f t="shared" si="959"/>
        <v>40.638347394571817</v>
      </c>
      <c r="DE168" s="3439">
        <f t="shared" si="959"/>
        <v>40.643247077257286</v>
      </c>
      <c r="DF168" s="3439">
        <f t="shared" si="959"/>
        <v>22.057210300429183</v>
      </c>
      <c r="DG168" s="3439">
        <f t="shared" si="959"/>
        <v>50.995456516460784</v>
      </c>
      <c r="DH168" s="3439">
        <f t="shared" si="959"/>
        <v>51.011300822461934</v>
      </c>
      <c r="DI168" s="3439">
        <f t="shared" si="959"/>
        <v>19.619558724035539</v>
      </c>
      <c r="DJ168" s="3439">
        <f t="shared" si="959"/>
        <v>45.851126550315897</v>
      </c>
      <c r="DK168" s="3439">
        <f t="shared" si="959"/>
        <v>45.865400433774596</v>
      </c>
      <c r="DL168" s="3439">
        <f t="shared" si="959"/>
        <v>17.61230718617627</v>
      </c>
      <c r="DM168" s="3439">
        <f t="shared" ref="DM168:DO168" si="960">SUM(DM166/DM167)</f>
        <v>40.690145602287814</v>
      </c>
      <c r="DN168" s="3439">
        <f t="shared" si="960"/>
        <v>40.694203505236572</v>
      </c>
      <c r="DO168" s="3439">
        <f t="shared" si="960"/>
        <v>22.997391304347829</v>
      </c>
      <c r="DP168" s="3439">
        <f t="shared" ref="DP168:DR168" si="961">SUM(DP166/DP167)</f>
        <v>42.615636466573243</v>
      </c>
      <c r="DQ168" s="3439">
        <f t="shared" si="961"/>
        <v>41.542347127560468</v>
      </c>
      <c r="DR168" s="3439">
        <f t="shared" si="961"/>
        <v>4820.6292976588638</v>
      </c>
      <c r="DS168" s="3439">
        <f t="shared" ref="DS168:EA168" si="962">SUM(DS166/DS167)</f>
        <v>43.222329963319247</v>
      </c>
      <c r="DT168" s="3439">
        <f t="shared" si="962"/>
        <v>43.085784063579105</v>
      </c>
      <c r="DU168" s="3439">
        <f t="shared" si="962"/>
        <v>665.25979539641924</v>
      </c>
      <c r="DV168" s="3730">
        <f t="shared" si="962"/>
        <v>60.122980078696834</v>
      </c>
      <c r="DW168" s="3730">
        <f t="shared" si="962"/>
        <v>60.142343336463121</v>
      </c>
      <c r="DX168" s="3730">
        <f t="shared" si="962"/>
        <v>21.815567807514409</v>
      </c>
      <c r="DY168" s="3830" t="e">
        <f t="shared" si="962"/>
        <v>#DIV/0!</v>
      </c>
      <c r="DZ168" s="3830" t="e">
        <f t="shared" si="962"/>
        <v>#DIV/0!</v>
      </c>
      <c r="EA168" s="3830" t="e">
        <f t="shared" si="962"/>
        <v>#DIV/0!</v>
      </c>
      <c r="EB168" s="3730">
        <f t="shared" ref="EB168:EM168" si="963">SUM(EB166/EB167)</f>
        <v>63.810704620314631</v>
      </c>
      <c r="EC168" s="3730">
        <f t="shared" si="963"/>
        <v>63.831931913175879</v>
      </c>
      <c r="ED168" s="3730">
        <f t="shared" si="963"/>
        <v>21.815567807514409</v>
      </c>
      <c r="EE168" s="3730">
        <f t="shared" si="963"/>
        <v>50.836774708176051</v>
      </c>
      <c r="EF168" s="3730">
        <f t="shared" si="963"/>
        <v>50.846217743958618</v>
      </c>
      <c r="EG168" s="3730">
        <f t="shared" si="963"/>
        <v>25.994859046445367</v>
      </c>
      <c r="EH168" s="4853">
        <f t="shared" ref="EH168:EJ168" si="964">SUM(EH166/EH167)</f>
        <v>43.893047810949803</v>
      </c>
      <c r="EI168" s="4853">
        <f t="shared" si="964"/>
        <v>43.904292796941043</v>
      </c>
      <c r="EJ168" s="4853">
        <f t="shared" si="964"/>
        <v>16.770809759797721</v>
      </c>
      <c r="EK168" s="4853">
        <f t="shared" si="963"/>
        <v>46.188922220908218</v>
      </c>
      <c r="EL168" s="4853">
        <f t="shared" si="963"/>
        <v>46.193849352680701</v>
      </c>
      <c r="EM168" s="4853">
        <f t="shared" si="963"/>
        <v>22.675977294563843</v>
      </c>
    </row>
    <row r="169" spans="1:143" ht="27" customHeight="1" x14ac:dyDescent="0.2">
      <c r="A169" s="3731" t="s">
        <v>1750</v>
      </c>
      <c r="B169" s="3314"/>
      <c r="C169" s="3314"/>
      <c r="D169" s="3314"/>
      <c r="E169" s="3314"/>
      <c r="F169" s="3314"/>
      <c r="G169" s="3314"/>
      <c r="H169" s="3314"/>
      <c r="I169" s="3314"/>
      <c r="J169" s="3314"/>
      <c r="K169" s="3314"/>
      <c r="L169" s="3314"/>
      <c r="M169" s="3314"/>
      <c r="N169" s="3314"/>
      <c r="O169" s="3314"/>
      <c r="P169" s="3314"/>
      <c r="Q169" s="3314"/>
      <c r="R169" s="3314"/>
      <c r="S169" s="3314"/>
      <c r="T169" s="3314"/>
      <c r="U169" s="3314"/>
      <c r="V169" s="3314"/>
      <c r="W169" s="3314"/>
      <c r="X169" s="3314"/>
      <c r="Y169" s="3439"/>
      <c r="Z169" s="3314"/>
      <c r="AA169" s="3439"/>
      <c r="AB169" s="3439"/>
      <c r="AC169" s="3439"/>
      <c r="AD169" s="3439"/>
      <c r="AE169" s="3439"/>
      <c r="AF169" s="3439"/>
      <c r="AG169" s="3439"/>
      <c r="AH169" s="3439"/>
      <c r="AI169" s="1605"/>
      <c r="AJ169" s="3439"/>
      <c r="AK169" s="3439"/>
      <c r="AL169" s="3439"/>
      <c r="AM169" s="1605"/>
      <c r="AN169" s="3439"/>
      <c r="AO169" s="3439"/>
      <c r="AP169" s="3314"/>
      <c r="AQ169" s="3314"/>
      <c r="AR169" s="3314"/>
      <c r="AS169" s="3314"/>
      <c r="AT169" s="3439"/>
      <c r="AU169" s="3439"/>
      <c r="AV169" s="3439"/>
      <c r="AW169" s="3439"/>
      <c r="AX169" s="3439"/>
      <c r="AY169" s="3439"/>
      <c r="AZ169" s="3439"/>
      <c r="BA169" s="1606"/>
      <c r="BB169" s="3439"/>
      <c r="BC169" s="3439"/>
      <c r="BD169" s="3439"/>
      <c r="BE169" s="3439"/>
      <c r="BF169" s="3439"/>
      <c r="BG169" s="3439"/>
      <c r="BH169" s="3439"/>
      <c r="BI169" s="3439"/>
      <c r="BJ169" s="3439"/>
      <c r="BK169" s="3439"/>
      <c r="BL169" s="3439"/>
      <c r="BM169" s="3439">
        <f>SUM(BN169:BO169)</f>
        <v>3670.4799999999996</v>
      </c>
      <c r="BN169" s="3439">
        <v>3419.47</v>
      </c>
      <c r="BO169" s="3439">
        <v>251.01</v>
      </c>
      <c r="BP169" s="3439">
        <f>SUM(BQ169:BR169)</f>
        <v>0</v>
      </c>
      <c r="BQ169" s="3439">
        <v>0</v>
      </c>
      <c r="BR169" s="3439">
        <v>0</v>
      </c>
      <c r="BS169" s="3439">
        <f>SUM(BT169:BU169)</f>
        <v>0</v>
      </c>
      <c r="BT169" s="3439">
        <v>0</v>
      </c>
      <c r="BU169" s="3439">
        <v>0</v>
      </c>
      <c r="BV169" s="3439">
        <f>SUM(BW169:BX169)</f>
        <v>-10337.219999999999</v>
      </c>
      <c r="BW169" s="3439">
        <v>-10337.219999999999</v>
      </c>
      <c r="BX169" s="3439">
        <f>BX85</f>
        <v>0</v>
      </c>
      <c r="BY169" s="3439">
        <f t="shared" ref="BY169:CA169" si="965">BY85</f>
        <v>0</v>
      </c>
      <c r="BZ169" s="3439">
        <f t="shared" si="965"/>
        <v>0</v>
      </c>
      <c r="CA169" s="3439">
        <f t="shared" si="965"/>
        <v>0</v>
      </c>
      <c r="CB169" s="3191"/>
      <c r="CC169" s="3725"/>
      <c r="CD169" s="3726"/>
      <c r="CE169" s="3726"/>
      <c r="CF169" s="3439">
        <f>SUM(CG169:CH169)</f>
        <v>-14872.880074395682</v>
      </c>
      <c r="CG169" s="3439">
        <f>SUM('вода 2019-2023 коррект'!AX41+'вода 2019-2023 коррект'!AX43)</f>
        <v>-14872.880074395682</v>
      </c>
      <c r="CH169" s="3439">
        <v>0</v>
      </c>
      <c r="CI169" s="3439">
        <f t="shared" ref="CI169:CN169" si="966">CI85</f>
        <v>0</v>
      </c>
      <c r="CJ169" s="3439">
        <f t="shared" si="966"/>
        <v>0</v>
      </c>
      <c r="CK169" s="3439">
        <f t="shared" si="966"/>
        <v>0</v>
      </c>
      <c r="CL169" s="3439">
        <f t="shared" si="966"/>
        <v>0</v>
      </c>
      <c r="CM169" s="3439">
        <f t="shared" si="966"/>
        <v>0</v>
      </c>
      <c r="CN169" s="3439">
        <f t="shared" si="966"/>
        <v>0</v>
      </c>
      <c r="CO169" s="3439">
        <f t="shared" ref="CO169:CQ169" si="967">CO85</f>
        <v>0</v>
      </c>
      <c r="CP169" s="3439">
        <f t="shared" si="967"/>
        <v>0</v>
      </c>
      <c r="CQ169" s="3439">
        <f t="shared" si="967"/>
        <v>0</v>
      </c>
      <c r="CR169" s="3439">
        <f t="shared" ref="CR169:CT169" si="968">CR85</f>
        <v>0</v>
      </c>
      <c r="CS169" s="3439">
        <f t="shared" si="968"/>
        <v>0</v>
      </c>
      <c r="CT169" s="3439">
        <f t="shared" si="968"/>
        <v>0</v>
      </c>
      <c r="CU169" s="3439">
        <f t="shared" ref="CU169" si="969">CU85</f>
        <v>0</v>
      </c>
      <c r="CV169" s="3439">
        <v>-3320.27</v>
      </c>
      <c r="CW169" s="3439">
        <v>4.8516000000000004</v>
      </c>
      <c r="CX169" s="3439">
        <f t="shared" ref="CX169:DI169" si="970">CX85</f>
        <v>0</v>
      </c>
      <c r="CY169" s="3439">
        <f t="shared" si="970"/>
        <v>0</v>
      </c>
      <c r="CZ169" s="3439">
        <f t="shared" si="970"/>
        <v>0</v>
      </c>
      <c r="DA169" s="3439">
        <f t="shared" si="970"/>
        <v>0</v>
      </c>
      <c r="DB169" s="3439">
        <f t="shared" si="970"/>
        <v>0</v>
      </c>
      <c r="DC169" s="3439">
        <f t="shared" si="970"/>
        <v>0</v>
      </c>
      <c r="DD169" s="3439">
        <f t="shared" si="970"/>
        <v>0</v>
      </c>
      <c r="DE169" s="3439">
        <f t="shared" si="970"/>
        <v>0</v>
      </c>
      <c r="DF169" s="3439">
        <f t="shared" si="970"/>
        <v>0</v>
      </c>
      <c r="DG169" s="3439">
        <f t="shared" si="970"/>
        <v>0</v>
      </c>
      <c r="DH169" s="3439">
        <f t="shared" si="970"/>
        <v>0</v>
      </c>
      <c r="DI169" s="3439">
        <f t="shared" si="970"/>
        <v>0</v>
      </c>
      <c r="DJ169" s="3439">
        <f>SUM(DK169:DL169)</f>
        <v>-1797.27</v>
      </c>
      <c r="DK169" s="3439">
        <v>-1804.82</v>
      </c>
      <c r="DL169" s="3439">
        <v>7.55</v>
      </c>
      <c r="DM169" s="3439">
        <f t="shared" ref="DM169:DO169" si="971">DM85</f>
        <v>0</v>
      </c>
      <c r="DN169" s="3439">
        <f t="shared" si="971"/>
        <v>0</v>
      </c>
      <c r="DO169" s="3439">
        <f t="shared" si="971"/>
        <v>0</v>
      </c>
      <c r="DP169" s="3439">
        <f t="shared" ref="DP169:DR169" si="972">DP85</f>
        <v>0</v>
      </c>
      <c r="DQ169" s="3439">
        <f t="shared" si="972"/>
        <v>0</v>
      </c>
      <c r="DR169" s="3439">
        <f t="shared" si="972"/>
        <v>0</v>
      </c>
      <c r="DS169" s="3439">
        <f t="shared" ref="DS169:DX169" si="973">DS85</f>
        <v>0</v>
      </c>
      <c r="DT169" s="3439">
        <f t="shared" si="973"/>
        <v>0</v>
      </c>
      <c r="DU169" s="3439">
        <f t="shared" si="973"/>
        <v>0</v>
      </c>
      <c r="DV169" s="3730">
        <f t="shared" si="973"/>
        <v>0</v>
      </c>
      <c r="DW169" s="3730">
        <f t="shared" si="973"/>
        <v>0</v>
      </c>
      <c r="DX169" s="3730">
        <f t="shared" si="973"/>
        <v>0</v>
      </c>
      <c r="DY169" s="3830">
        <f>SUM(DZ169:EA169)</f>
        <v>-1797.27</v>
      </c>
      <c r="DZ169" s="3830">
        <v>-1804.82</v>
      </c>
      <c r="EA169" s="3830">
        <v>7.55</v>
      </c>
      <c r="EB169" s="3730">
        <f t="shared" ref="EB169:ED169" si="974">EB85</f>
        <v>0</v>
      </c>
      <c r="EC169" s="3730">
        <f t="shared" si="974"/>
        <v>0</v>
      </c>
      <c r="ED169" s="3730">
        <f t="shared" si="974"/>
        <v>0</v>
      </c>
      <c r="EE169" s="3730">
        <f>SUM(EF169:EG169)</f>
        <v>6523.7263252903558</v>
      </c>
      <c r="EF169" s="3730">
        <v>6523.6974158123803</v>
      </c>
      <c r="EG169" s="3730">
        <v>2.8909477975794601E-2</v>
      </c>
      <c r="EH169" s="4853">
        <f t="shared" ref="EH169:EJ169" si="975">EH85</f>
        <v>0</v>
      </c>
      <c r="EI169" s="4853">
        <f t="shared" si="975"/>
        <v>0</v>
      </c>
      <c r="EJ169" s="4853">
        <f t="shared" si="975"/>
        <v>0</v>
      </c>
      <c r="EK169" s="4853">
        <f t="shared" ref="EK169:EM169" si="976">EK85</f>
        <v>0</v>
      </c>
      <c r="EL169" s="4853">
        <f t="shared" si="976"/>
        <v>0</v>
      </c>
      <c r="EM169" s="4853">
        <f t="shared" si="976"/>
        <v>0</v>
      </c>
    </row>
    <row r="170" spans="1:143" ht="27" customHeight="1" x14ac:dyDescent="0.2">
      <c r="A170" s="3314" t="s">
        <v>3675</v>
      </c>
      <c r="B170" s="3314"/>
      <c r="C170" s="3314"/>
      <c r="D170" s="3314"/>
      <c r="E170" s="3314"/>
      <c r="F170" s="3314"/>
      <c r="G170" s="3314"/>
      <c r="H170" s="3314"/>
      <c r="I170" s="3314"/>
      <c r="J170" s="3314"/>
      <c r="K170" s="3314"/>
      <c r="L170" s="3314"/>
      <c r="M170" s="3314"/>
      <c r="N170" s="3314"/>
      <c r="O170" s="3314"/>
      <c r="P170" s="3314"/>
      <c r="Q170" s="3314"/>
      <c r="R170" s="3314"/>
      <c r="S170" s="3314"/>
      <c r="T170" s="3314"/>
      <c r="U170" s="3314"/>
      <c r="V170" s="3314"/>
      <c r="W170" s="3314"/>
      <c r="X170" s="3314"/>
      <c r="Y170" s="3439"/>
      <c r="Z170" s="3314"/>
      <c r="AA170" s="3439"/>
      <c r="AB170" s="3439"/>
      <c r="AC170" s="3439"/>
      <c r="AD170" s="3439"/>
      <c r="AE170" s="3439"/>
      <c r="AF170" s="3439"/>
      <c r="AG170" s="3439"/>
      <c r="AH170" s="3439"/>
      <c r="AI170" s="1605"/>
      <c r="AJ170" s="3439"/>
      <c r="AK170" s="3439"/>
      <c r="AL170" s="3439"/>
      <c r="AM170" s="1605"/>
      <c r="AN170" s="3439"/>
      <c r="AO170" s="3439"/>
      <c r="AP170" s="3314"/>
      <c r="AQ170" s="3314"/>
      <c r="AR170" s="3314"/>
      <c r="AS170" s="3314"/>
      <c r="AT170" s="3439"/>
      <c r="AU170" s="3439"/>
      <c r="AV170" s="3439"/>
      <c r="AW170" s="3439"/>
      <c r="AX170" s="3439"/>
      <c r="AY170" s="3439"/>
      <c r="AZ170" s="3439"/>
      <c r="BA170" s="1606"/>
      <c r="BB170" s="3439"/>
      <c r="BC170" s="3439"/>
      <c r="BD170" s="3439"/>
      <c r="BE170" s="3439"/>
      <c r="BF170" s="3439"/>
      <c r="BG170" s="3439"/>
      <c r="BH170" s="3439"/>
      <c r="BI170" s="3439"/>
      <c r="BJ170" s="3439"/>
      <c r="BK170" s="3439"/>
      <c r="BL170" s="3439"/>
      <c r="BM170" s="3439">
        <f>SUM(BN170:BO170)</f>
        <v>131812.87290000002</v>
      </c>
      <c r="BN170" s="3439">
        <f>SUM(BN169+BN166)</f>
        <v>131195.06400000001</v>
      </c>
      <c r="BO170" s="3439">
        <f>SUM(BO169+BO166)</f>
        <v>617.80889999999999</v>
      </c>
      <c r="BP170" s="3439">
        <f>SUM(BQ170:BR170)</f>
        <v>136436.86200000002</v>
      </c>
      <c r="BQ170" s="3439">
        <f>SUM(BQ169+BQ166)</f>
        <v>136412.62900000002</v>
      </c>
      <c r="BR170" s="3439">
        <f>SUM(BR169+BR166)</f>
        <v>24.232999999999997</v>
      </c>
      <c r="BS170" s="3439">
        <f>SUM(BT170:BU170)</f>
        <v>158658.21</v>
      </c>
      <c r="BT170" s="3439">
        <f>SUM(BT169+BT166)</f>
        <v>158558.91999999998</v>
      </c>
      <c r="BU170" s="3439">
        <f>SUM(BU169+BU166)</f>
        <v>99.29</v>
      </c>
      <c r="BV170" s="3439">
        <f>SUM(BW170:BX170)</f>
        <v>137237.70935394889</v>
      </c>
      <c r="BW170" s="3439">
        <f>SUM(BW169+BW166)</f>
        <v>137206.89811148541</v>
      </c>
      <c r="BX170" s="3439">
        <f>SUM(BX169+BX166)</f>
        <v>30.811242463479257</v>
      </c>
      <c r="BY170" s="3439">
        <f>SUM(BZ170:CA170)</f>
        <v>163826.75456745879</v>
      </c>
      <c r="BZ170" s="3439">
        <f>SUM(BZ169+BZ166)</f>
        <v>163792.15655699337</v>
      </c>
      <c r="CA170" s="3439">
        <f>SUM(CA169+CA166)</f>
        <v>34.59801046541218</v>
      </c>
      <c r="CB170" s="3191"/>
      <c r="CC170" s="3725"/>
      <c r="CD170" s="3726"/>
      <c r="CE170" s="3726"/>
      <c r="CF170" s="3439">
        <f>SUM(CG170:CH170)</f>
        <v>134983.82862932203</v>
      </c>
      <c r="CG170" s="3439">
        <f>SUM(CG169+CG166)</f>
        <v>134953.31075321761</v>
      </c>
      <c r="CH170" s="3439">
        <f>SUM(CH169+CH166)</f>
        <v>30.517876104420509</v>
      </c>
      <c r="CI170" s="3439">
        <f>SUM(CJ170:CK170)</f>
        <v>72796.149798500002</v>
      </c>
      <c r="CJ170" s="3439">
        <f>SUM(CJ169+CJ166)</f>
        <v>72783.630038500007</v>
      </c>
      <c r="CK170" s="3439">
        <f>SUM(CK169+CK166)</f>
        <v>12.51976</v>
      </c>
      <c r="CL170" s="3439">
        <f>SUM(CM170:CN170)</f>
        <v>111672.54458316999</v>
      </c>
      <c r="CM170" s="3439">
        <f>SUM(CM169+CM166)</f>
        <v>111653.58178317</v>
      </c>
      <c r="CN170" s="3439">
        <f>SUM(CN169+CN166)</f>
        <v>18.962800000000001</v>
      </c>
      <c r="CO170" s="3439">
        <f>SUM(CP170:CQ170)</f>
        <v>147941.30603787999</v>
      </c>
      <c r="CP170" s="3439">
        <f>SUM(CP169+CP166)</f>
        <v>147917.23693787999</v>
      </c>
      <c r="CQ170" s="3439">
        <f>SUM(CQ169+CQ166)</f>
        <v>24.069100000000002</v>
      </c>
      <c r="CR170" s="3439">
        <f>SUM(CS170:CT170)</f>
        <v>177997.77485092118</v>
      </c>
      <c r="CS170" s="3439">
        <f>SUM(CS169+CS166)</f>
        <v>177938.59485403635</v>
      </c>
      <c r="CT170" s="3439">
        <f>SUM(CT169+CT166)</f>
        <v>59.179996884835653</v>
      </c>
      <c r="CU170" s="3439">
        <f>SUM(CV170:CW170)</f>
        <v>143058.60451889149</v>
      </c>
      <c r="CV170" s="3439">
        <f>SUM(CV169+CV166)</f>
        <v>143024.81977326504</v>
      </c>
      <c r="CW170" s="3439">
        <f>SUM(CW169+CW166)</f>
        <v>33.784745626442408</v>
      </c>
      <c r="CX170" s="3439">
        <f>SUM(CY170:CZ170)</f>
        <v>74098.735209999999</v>
      </c>
      <c r="CY170" s="3439">
        <f>SUM(CY169+CY166)</f>
        <v>74088.261499999993</v>
      </c>
      <c r="CZ170" s="3439">
        <f>SUM(CZ169+CZ166)</f>
        <v>10.473710000000001</v>
      </c>
      <c r="DA170" s="3439">
        <f>SUM(DB170:DC170)</f>
        <v>107390.35072100001</v>
      </c>
      <c r="DB170" s="3439">
        <f>SUM(DB169+DB166)</f>
        <v>107372.86429100001</v>
      </c>
      <c r="DC170" s="3439">
        <f>SUM(DC169+DC166)</f>
        <v>17.486429999999999</v>
      </c>
      <c r="DD170" s="3439">
        <f>SUM(DE170:DF170)</f>
        <v>143671.55359</v>
      </c>
      <c r="DE170" s="3439">
        <f>SUM(DE169+DE166)</f>
        <v>143650.99627</v>
      </c>
      <c r="DF170" s="3439">
        <f>SUM(DF169+DF166)</f>
        <v>20.557320000000001</v>
      </c>
      <c r="DG170" s="3439">
        <f>SUM(DH170:DI170)</f>
        <v>178812.49834848748</v>
      </c>
      <c r="DH170" s="3439">
        <f>SUM(DH169+DH166)</f>
        <v>178777.77565345768</v>
      </c>
      <c r="DI170" s="3439">
        <f>SUM(DI169+DI166)</f>
        <v>34.722695029798096</v>
      </c>
      <c r="DJ170" s="3439">
        <f>SUM(DK170:DL170)</f>
        <v>158822.15160763048</v>
      </c>
      <c r="DK170" s="3439">
        <f>SUM(DK169+DK166)</f>
        <v>158783.43134637238</v>
      </c>
      <c r="DL170" s="3439">
        <f>SUM(DL169+DL166)</f>
        <v>38.720261258094759</v>
      </c>
      <c r="DM170" s="3439">
        <f>SUM(DN170:DO170)</f>
        <v>73665.988570274683</v>
      </c>
      <c r="DN170" s="3439">
        <f>SUM(DN169+DN166)</f>
        <v>73656.467650274688</v>
      </c>
      <c r="DO170" s="3439">
        <f>SUM(DO169+DO166)</f>
        <v>9.5209200000000003</v>
      </c>
      <c r="DP170" s="3439">
        <f>SUM(DQ170:DR170)</f>
        <v>113474.5004766036</v>
      </c>
      <c r="DQ170" s="3439">
        <f>SUM(DQ169+DQ166)</f>
        <v>110591.7641566036</v>
      </c>
      <c r="DR170" s="3439">
        <f>SUM(DR169+DR166)</f>
        <v>2882.7363200000004</v>
      </c>
      <c r="DS170" s="3439">
        <f>SUM(DT170:DU170)</f>
        <v>154009.71968063922</v>
      </c>
      <c r="DT170" s="3439">
        <f>SUM(DT169+DT166)</f>
        <v>153489.48652063921</v>
      </c>
      <c r="DU170" s="3439">
        <f>SUM(DU169+DU166)</f>
        <v>520.23315999999988</v>
      </c>
      <c r="DV170" s="3730">
        <f>SUM(DW170:DX170)</f>
        <v>210614.63506180403</v>
      </c>
      <c r="DW170" s="3730">
        <f>SUM(DW169+DW166)</f>
        <v>210576.02586989829</v>
      </c>
      <c r="DX170" s="3730">
        <f>SUM(DX169+DX166)</f>
        <v>38.609191905739003</v>
      </c>
      <c r="DY170" s="3830">
        <f>SUM(DZ170:EA170)</f>
        <v>104829.69903036878</v>
      </c>
      <c r="DZ170" s="3830">
        <f>SUM(DZ169+DZ166)</f>
        <v>91988.343527025252</v>
      </c>
      <c r="EA170" s="3830">
        <f>SUM(EA169+EA166)</f>
        <v>12841.355503343524</v>
      </c>
      <c r="EB170" s="3730">
        <f>SUM(EC170:ED170)</f>
        <v>223532.96940791694</v>
      </c>
      <c r="EC170" s="3730">
        <f>SUM(EC169+EC166)</f>
        <v>223494.36021601121</v>
      </c>
      <c r="ED170" s="3730">
        <f>SUM(ED169+ED166)</f>
        <v>38.609191905739003</v>
      </c>
      <c r="EE170" s="3730">
        <f>SUM(EF170:EG170)</f>
        <v>187271.03563082145</v>
      </c>
      <c r="EF170" s="3730">
        <f>SUM(EF169+EF166)</f>
        <v>187235.88766677174</v>
      </c>
      <c r="EG170" s="3730">
        <f>SUM(EG169+EG166)</f>
        <v>35.147964049723484</v>
      </c>
      <c r="EH170" s="4853">
        <f>SUM(EI170:EJ170)</f>
        <v>83775.851201699988</v>
      </c>
      <c r="EI170" s="4853">
        <f>SUM(EI169+EI166)</f>
        <v>83762.585491179983</v>
      </c>
      <c r="EJ170" s="4853">
        <f>SUM(EJ169+EJ166)</f>
        <v>13.265710519999999</v>
      </c>
      <c r="EK170" s="4853">
        <f>SUM(EL170:EM170)</f>
        <v>174388.62686118003</v>
      </c>
      <c r="EL170" s="4853">
        <f>SUM(EL169+EL166)</f>
        <v>174370.69016314004</v>
      </c>
      <c r="EM170" s="4853">
        <f>SUM(EM169+EM166)</f>
        <v>17.93669804</v>
      </c>
    </row>
    <row r="171" spans="1:143" ht="27" customHeight="1" x14ac:dyDescent="0.2">
      <c r="A171" s="3314" t="s">
        <v>3674</v>
      </c>
      <c r="B171" s="3314"/>
      <c r="C171" s="3314"/>
      <c r="D171" s="3314"/>
      <c r="E171" s="3314"/>
      <c r="F171" s="3314"/>
      <c r="G171" s="3314"/>
      <c r="H171" s="3314"/>
      <c r="I171" s="3314"/>
      <c r="J171" s="3314"/>
      <c r="K171" s="3314"/>
      <c r="L171" s="3314"/>
      <c r="M171" s="3314"/>
      <c r="N171" s="3314"/>
      <c r="O171" s="3314"/>
      <c r="P171" s="3314"/>
      <c r="Q171" s="3314"/>
      <c r="R171" s="3314"/>
      <c r="S171" s="3314"/>
      <c r="T171" s="3314"/>
      <c r="U171" s="3314"/>
      <c r="V171" s="3314"/>
      <c r="W171" s="3314"/>
      <c r="X171" s="3314"/>
      <c r="Y171" s="3732">
        <f>SUM(Y166/Y167)</f>
        <v>34.698300000000003</v>
      </c>
      <c r="Z171" s="3314"/>
      <c r="AA171" s="3732" t="e">
        <f t="shared" ref="AA171:AE171" si="977">SUM(AA166/AA167)</f>
        <v>#REF!</v>
      </c>
      <c r="AB171" s="3732" t="e">
        <f t="shared" si="977"/>
        <v>#REF!</v>
      </c>
      <c r="AC171" s="3732" t="e">
        <f t="shared" si="977"/>
        <v>#REF!</v>
      </c>
      <c r="AD171" s="3732" t="e">
        <f t="shared" si="977"/>
        <v>#REF!</v>
      </c>
      <c r="AE171" s="3732">
        <f t="shared" si="977"/>
        <v>28.056456893067594</v>
      </c>
      <c r="AF171" s="3732">
        <f t="shared" ref="AF171" si="978">SUM(AF166/AF167)</f>
        <v>28.205017254103591</v>
      </c>
      <c r="AG171" s="3732">
        <f t="shared" ref="AG171" si="979">SUM(AG166/AG167)</f>
        <v>16.156115683332491</v>
      </c>
      <c r="AH171" s="3732">
        <f t="shared" ref="AH171:AJ171" si="980">SUM(AH166/AH167)</f>
        <v>29.999857943440919</v>
      </c>
      <c r="AI171" s="1605" t="e">
        <f t="shared" si="814"/>
        <v>#REF!</v>
      </c>
      <c r="AJ171" s="3732">
        <f t="shared" si="980"/>
        <v>30.147115478986688</v>
      </c>
      <c r="AK171" s="3732">
        <f t="shared" ref="AK171:AL171" si="981">SUM(AK166/AK167)</f>
        <v>17.210925644916539</v>
      </c>
      <c r="AL171" s="3732" t="e">
        <f t="shared" si="981"/>
        <v>#REF!</v>
      </c>
      <c r="AM171" s="1605" t="e">
        <f t="shared" si="815"/>
        <v>#REF!</v>
      </c>
      <c r="AN171" s="3732" t="e">
        <f t="shared" ref="AN171" si="982">SUM(AN166/AN167)</f>
        <v>#REF!</v>
      </c>
      <c r="AO171" s="3732">
        <f t="shared" ref="AO171" si="983">SUM(AO166/AO167)</f>
        <v>16.696745760680759</v>
      </c>
      <c r="AP171" s="3314"/>
      <c r="AQ171" s="3314"/>
      <c r="AR171" s="3314"/>
      <c r="AS171" s="3314"/>
      <c r="AT171" s="3732">
        <f t="shared" ref="AT171" si="984">SUM(AT166/AT167)</f>
        <v>28.472176098930916</v>
      </c>
      <c r="AU171" s="3732">
        <f t="shared" ref="AU171" si="985">SUM(AU166/AU167)</f>
        <v>28.563201351485887</v>
      </c>
      <c r="AV171" s="3732">
        <f t="shared" ref="AV171" si="986">SUM(AV166/AV167)</f>
        <v>15.338095898520834</v>
      </c>
      <c r="AW171" s="3732">
        <f t="shared" ref="AW171" si="987">SUM(AW166/AW167)</f>
        <v>30.741139873347407</v>
      </c>
      <c r="AX171" s="3732">
        <f t="shared" ref="AX171" si="988">SUM(AX166/AX167)</f>
        <v>30.8082106214449</v>
      </c>
      <c r="AY171" s="3732">
        <f t="shared" ref="AY171:AZ171" si="989">SUM(AY166/AY167)</f>
        <v>16.891877058177826</v>
      </c>
      <c r="AZ171" s="3732">
        <f t="shared" si="989"/>
        <v>33.08033394221389</v>
      </c>
      <c r="BA171" s="1606" t="e">
        <f t="shared" si="817"/>
        <v>#REF!</v>
      </c>
      <c r="BB171" s="3732">
        <f t="shared" ref="BB171" si="990">SUM(BB166/BB167)</f>
        <v>33.487103311407502</v>
      </c>
      <c r="BC171" s="3732">
        <f t="shared" ref="BC171" si="991">SUM(BC166/BC167)</f>
        <v>19.765428122119772</v>
      </c>
      <c r="BD171" s="3732">
        <f t="shared" ref="BD171" si="992">SUM(BD166/BD167)</f>
        <v>30.050162815403326</v>
      </c>
      <c r="BE171" s="3732">
        <f t="shared" ref="BE171" si="993">SUM(BE166/BE167)</f>
        <v>30.125249119885538</v>
      </c>
      <c r="BF171" s="3732">
        <f t="shared" ref="BF171:BH171" si="994">SUM(BF166/BF167)</f>
        <v>16.066243006456382</v>
      </c>
      <c r="BG171" s="3732">
        <f t="shared" si="994"/>
        <v>33.787241435352534</v>
      </c>
      <c r="BH171" s="3732">
        <f t="shared" si="994"/>
        <v>33.798216098296855</v>
      </c>
      <c r="BI171" s="3732">
        <f t="shared" ref="BI171:BK171" si="995">SUM(BI166/BI167)</f>
        <v>17.479166666666668</v>
      </c>
      <c r="BJ171" s="3732">
        <f t="shared" si="995"/>
        <v>36.88005971177585</v>
      </c>
      <c r="BK171" s="3732">
        <f t="shared" si="995"/>
        <v>36.88995568685376</v>
      </c>
      <c r="BL171" s="3732">
        <f>SUM(BL166/BL167)</f>
        <v>16.440677966101692</v>
      </c>
      <c r="BM171" s="3732">
        <f>SUM(BM170/BM167)</f>
        <v>36.398118113889034</v>
      </c>
      <c r="BN171" s="3732">
        <f t="shared" ref="BN171:CN171" si="996">SUM(BN170/BN167)</f>
        <v>36.443073333333338</v>
      </c>
      <c r="BO171" s="3732">
        <f t="shared" si="996"/>
        <v>28.842619047619046</v>
      </c>
      <c r="BP171" s="3732">
        <f t="shared" si="996"/>
        <v>37.279246944077933</v>
      </c>
      <c r="BQ171" s="3732">
        <f t="shared" si="996"/>
        <v>37.286185708467613</v>
      </c>
      <c r="BR171" s="3732">
        <f t="shared" si="996"/>
        <v>18.206611570247933</v>
      </c>
      <c r="BS171" s="3732">
        <f t="shared" si="996"/>
        <v>44.01059916782247</v>
      </c>
      <c r="BT171" s="3732">
        <f t="shared" si="996"/>
        <v>44.044144444444441</v>
      </c>
      <c r="BU171" s="3732">
        <f t="shared" si="996"/>
        <v>19.858000000000001</v>
      </c>
      <c r="BV171" s="3732">
        <f t="shared" si="996"/>
        <v>37.472121993070537</v>
      </c>
      <c r="BW171" s="3732">
        <f t="shared" si="996"/>
        <v>37.481823728213598</v>
      </c>
      <c r="BX171" s="3732">
        <f t="shared" si="996"/>
        <v>17.407481617784892</v>
      </c>
      <c r="BY171" s="3732">
        <f t="shared" si="996"/>
        <v>44.732137848845547</v>
      </c>
      <c r="BZ171" s="3732">
        <f t="shared" si="996"/>
        <v>44.744315516446207</v>
      </c>
      <c r="CA171" s="3732">
        <f t="shared" si="996"/>
        <v>19.54689856802948</v>
      </c>
      <c r="CB171" s="3732" t="e">
        <f t="shared" si="996"/>
        <v>#DIV/0!</v>
      </c>
      <c r="CC171" s="3732" t="e">
        <f t="shared" si="996"/>
        <v>#DIV/0!</v>
      </c>
      <c r="CD171" s="3732" t="e">
        <f t="shared" si="996"/>
        <v>#DIV/0!</v>
      </c>
      <c r="CE171" s="3732" t="e">
        <f t="shared" si="996"/>
        <v>#DIV/0!</v>
      </c>
      <c r="CF171" s="3732">
        <f t="shared" si="996"/>
        <v>38.847285581706217</v>
      </c>
      <c r="CG171" s="3732">
        <f t="shared" si="996"/>
        <v>38.858296886004339</v>
      </c>
      <c r="CH171" s="3732">
        <f t="shared" si="996"/>
        <v>17.241737912101982</v>
      </c>
      <c r="CI171" s="3732">
        <f t="shared" si="996"/>
        <v>41.562436189151057</v>
      </c>
      <c r="CJ171" s="3732">
        <f t="shared" si="996"/>
        <v>41.568531277646009</v>
      </c>
      <c r="CK171" s="3732">
        <f t="shared" si="996"/>
        <v>22.436845878136197</v>
      </c>
      <c r="CL171" s="3732">
        <f t="shared" si="996"/>
        <v>42.31211457738673</v>
      </c>
      <c r="CM171" s="3732">
        <f t="shared" si="996"/>
        <v>42.318221980349655</v>
      </c>
      <c r="CN171" s="3732">
        <f t="shared" si="996"/>
        <v>22.874306393244876</v>
      </c>
      <c r="CO171" s="3732">
        <f t="shared" ref="CO171:CQ171" si="997">CO170/CO167</f>
        <v>41.921570471731101</v>
      </c>
      <c r="CP171" s="3732">
        <f t="shared" si="997"/>
        <v>41.928163779671202</v>
      </c>
      <c r="CQ171" s="3732">
        <f t="shared" si="997"/>
        <v>21.318954827280781</v>
      </c>
      <c r="CR171" s="3732">
        <f t="shared" ref="CR171:CT171" si="998">CR170/CR167</f>
        <v>51.226361429786259</v>
      </c>
      <c r="CS171" s="3732">
        <f t="shared" si="998"/>
        <v>51.235428814048063</v>
      </c>
      <c r="CT171" s="3732">
        <f t="shared" si="998"/>
        <v>33.435026488607711</v>
      </c>
      <c r="CU171" s="3732">
        <f t="shared" ref="CU171:CW171" si="999">CU170/CU167</f>
        <v>40.798819508862373</v>
      </c>
      <c r="CV171" s="3732">
        <f t="shared" si="999"/>
        <v>40.809782311391672</v>
      </c>
      <c r="CW171" s="3732">
        <f t="shared" si="999"/>
        <v>19.08958392272709</v>
      </c>
      <c r="CX171" s="3732">
        <f t="shared" ref="CX171:DC171" si="1000">SUM(CX170/CX167)</f>
        <v>41.889180710522737</v>
      </c>
      <c r="CY171" s="3732">
        <f t="shared" si="1000"/>
        <v>41.896073076970929</v>
      </c>
      <c r="CZ171" s="3732">
        <f t="shared" si="1000"/>
        <v>19.359907578558225</v>
      </c>
      <c r="DA171" s="3732">
        <f t="shared" si="1000"/>
        <v>40.785580629969772</v>
      </c>
      <c r="DB171" s="3732">
        <f t="shared" si="1000"/>
        <v>40.790186413815036</v>
      </c>
      <c r="DC171" s="3732">
        <f t="shared" si="1000"/>
        <v>24.085991735537188</v>
      </c>
      <c r="DD171" s="3732">
        <f t="shared" ref="DD171:DL171" si="1001">DD170/DD167</f>
        <v>40.638347394571831</v>
      </c>
      <c r="DE171" s="3732">
        <f t="shared" si="1001"/>
        <v>40.643247077257286</v>
      </c>
      <c r="DF171" s="3732">
        <f t="shared" si="1001"/>
        <v>22.057210300429183</v>
      </c>
      <c r="DG171" s="3732">
        <f t="shared" si="1001"/>
        <v>50.995456516460791</v>
      </c>
      <c r="DH171" s="3732">
        <f t="shared" si="1001"/>
        <v>51.011300822461934</v>
      </c>
      <c r="DI171" s="3732">
        <f t="shared" si="1001"/>
        <v>19.619558724035539</v>
      </c>
      <c r="DJ171" s="3732">
        <f t="shared" si="1001"/>
        <v>45.338069951118356</v>
      </c>
      <c r="DK171" s="3732">
        <f t="shared" si="1001"/>
        <v>45.349928154097427</v>
      </c>
      <c r="DL171" s="3732">
        <f t="shared" si="1001"/>
        <v>21.878325945358096</v>
      </c>
      <c r="DM171" s="3732">
        <f t="shared" ref="DM171:DO171" si="1002">DM170/DM167</f>
        <v>40.690156649490852</v>
      </c>
      <c r="DN171" s="3732">
        <f t="shared" si="1002"/>
        <v>40.694203505236572</v>
      </c>
      <c r="DO171" s="3732">
        <f t="shared" si="1002"/>
        <v>22.997391304347829</v>
      </c>
      <c r="DP171" s="3732">
        <f t="shared" ref="DP171:DR171" si="1003">DP170/DP167</f>
        <v>42.61563646657325</v>
      </c>
      <c r="DQ171" s="3732">
        <f t="shared" si="1003"/>
        <v>41.542347127560468</v>
      </c>
      <c r="DR171" s="3732">
        <f t="shared" si="1003"/>
        <v>4820.6292976588638</v>
      </c>
      <c r="DS171" s="3732">
        <f t="shared" ref="DS171:EA171" si="1004">DS170/DS167</f>
        <v>43.222329963319247</v>
      </c>
      <c r="DT171" s="3732">
        <f t="shared" si="1004"/>
        <v>43.085784063579105</v>
      </c>
      <c r="DU171" s="3732">
        <f t="shared" si="1004"/>
        <v>665.25979539641924</v>
      </c>
      <c r="DV171" s="3733">
        <f t="shared" si="1004"/>
        <v>60.122980078696834</v>
      </c>
      <c r="DW171" s="3733">
        <f t="shared" si="1004"/>
        <v>60.142343336463121</v>
      </c>
      <c r="DX171" s="3733">
        <f t="shared" si="1004"/>
        <v>21.815567807514409</v>
      </c>
      <c r="DY171" s="3834" t="e">
        <f t="shared" si="1004"/>
        <v>#DIV/0!</v>
      </c>
      <c r="DZ171" s="3834" t="e">
        <f t="shared" si="1004"/>
        <v>#DIV/0!</v>
      </c>
      <c r="EA171" s="3834" t="e">
        <f t="shared" si="1004"/>
        <v>#DIV/0!</v>
      </c>
      <c r="EB171" s="3733">
        <f t="shared" ref="EB171:EM171" si="1005">EB170/EB167</f>
        <v>63.810704620314638</v>
      </c>
      <c r="EC171" s="3733">
        <f t="shared" si="1005"/>
        <v>63.831931913175879</v>
      </c>
      <c r="ED171" s="3733">
        <f t="shared" si="1005"/>
        <v>21.815567807514409</v>
      </c>
      <c r="EE171" s="3733">
        <f t="shared" si="1005"/>
        <v>52.671630268299367</v>
      </c>
      <c r="EF171" s="3730">
        <f t="shared" si="1005"/>
        <v>52.681762644606714</v>
      </c>
      <c r="EG171" s="3730">
        <f t="shared" si="1005"/>
        <v>26.016257623777562</v>
      </c>
      <c r="EH171" s="4854">
        <f t="shared" ref="EH171:EJ171" si="1006">EH170/EH167</f>
        <v>43.893047810949803</v>
      </c>
      <c r="EI171" s="4854">
        <f t="shared" si="1006"/>
        <v>43.904292796941043</v>
      </c>
      <c r="EJ171" s="4854">
        <f t="shared" si="1006"/>
        <v>16.770809759797721</v>
      </c>
      <c r="EK171" s="4854">
        <f t="shared" si="1005"/>
        <v>46.188922220908225</v>
      </c>
      <c r="EL171" s="4854">
        <f t="shared" si="1005"/>
        <v>46.193849352680701</v>
      </c>
      <c r="EM171" s="4854">
        <f t="shared" si="1005"/>
        <v>22.675977294563843</v>
      </c>
    </row>
    <row r="172" spans="1:143" ht="27" customHeight="1" x14ac:dyDescent="0.2">
      <c r="A172" s="3320" t="s">
        <v>419</v>
      </c>
      <c r="B172" s="3314"/>
      <c r="C172" s="3314"/>
      <c r="D172" s="3314"/>
      <c r="E172" s="3314"/>
      <c r="F172" s="3314"/>
      <c r="G172" s="3314"/>
      <c r="H172" s="3314"/>
      <c r="I172" s="3314"/>
      <c r="J172" s="3314"/>
      <c r="K172" s="3314"/>
      <c r="L172" s="3314"/>
      <c r="M172" s="3314"/>
      <c r="N172" s="3314"/>
      <c r="O172" s="3314"/>
      <c r="P172" s="3314"/>
      <c r="Q172" s="3314"/>
      <c r="R172" s="3314"/>
      <c r="S172" s="3314"/>
      <c r="T172" s="3314"/>
      <c r="U172" s="3314"/>
      <c r="V172" s="3314"/>
      <c r="W172" s="3314"/>
      <c r="X172" s="3314"/>
      <c r="Y172" s="3439">
        <f>SUM(Y89)</f>
        <v>0</v>
      </c>
      <c r="Z172" s="3314"/>
      <c r="AA172" s="3439">
        <f t="shared" ref="AA172:AD172" si="1007">SUM(AA89)</f>
        <v>0</v>
      </c>
      <c r="AB172" s="3439">
        <f t="shared" si="1007"/>
        <v>0</v>
      </c>
      <c r="AC172" s="3439">
        <f t="shared" si="1007"/>
        <v>0</v>
      </c>
      <c r="AD172" s="3439">
        <f t="shared" si="1007"/>
        <v>0</v>
      </c>
      <c r="AE172" s="3439">
        <f t="shared" ref="AE172:AH172" si="1008">SUM(AE89)</f>
        <v>0</v>
      </c>
      <c r="AF172" s="3439">
        <f t="shared" si="1008"/>
        <v>0</v>
      </c>
      <c r="AG172" s="3439">
        <f t="shared" si="1008"/>
        <v>0</v>
      </c>
      <c r="AH172" s="3439">
        <f t="shared" si="1008"/>
        <v>6078.58</v>
      </c>
      <c r="AI172" s="1605" t="e">
        <f t="shared" si="814"/>
        <v>#DIV/0!</v>
      </c>
      <c r="AJ172" s="3439">
        <f t="shared" ref="AJ172:AK172" si="1009">SUM(AJ89)</f>
        <v>6038.88</v>
      </c>
      <c r="AK172" s="3439">
        <f t="shared" si="1009"/>
        <v>39.700000000000003</v>
      </c>
      <c r="AL172" s="3439" t="e">
        <f t="shared" ref="AL172:AO172" si="1010">SUM(AL89)</f>
        <v>#REF!</v>
      </c>
      <c r="AM172" s="1605" t="e">
        <f t="shared" si="815"/>
        <v>#REF!</v>
      </c>
      <c r="AN172" s="3439" t="e">
        <f t="shared" si="1010"/>
        <v>#REF!</v>
      </c>
      <c r="AO172" s="3439">
        <f t="shared" si="1010"/>
        <v>98.511044097010171</v>
      </c>
      <c r="AP172" s="3314"/>
      <c r="AQ172" s="3314"/>
      <c r="AR172" s="3314"/>
      <c r="AS172" s="3314"/>
      <c r="AT172" s="3439">
        <f t="shared" ref="AT172:AV172" si="1011">SUM(AT89)</f>
        <v>0</v>
      </c>
      <c r="AU172" s="3439">
        <f t="shared" si="1011"/>
        <v>0</v>
      </c>
      <c r="AV172" s="3439">
        <f t="shared" si="1011"/>
        <v>0</v>
      </c>
      <c r="AW172" s="3439">
        <f t="shared" ref="AW172:AY172" si="1012">SUM(AW89)</f>
        <v>0</v>
      </c>
      <c r="AX172" s="3439">
        <f t="shared" si="1012"/>
        <v>0</v>
      </c>
      <c r="AY172" s="3439">
        <f t="shared" si="1012"/>
        <v>0</v>
      </c>
      <c r="AZ172" s="3439">
        <f t="shared" ref="AZ172:BC172" si="1013">SUM(AZ89)</f>
        <v>6800.9889110875247</v>
      </c>
      <c r="BA172" s="1606" t="e">
        <f t="shared" si="817"/>
        <v>#REF!</v>
      </c>
      <c r="BB172" s="3439">
        <f t="shared" si="1013"/>
        <v>6737.4825905311536</v>
      </c>
      <c r="BC172" s="3439">
        <f t="shared" si="1013"/>
        <v>63.506320556370831</v>
      </c>
      <c r="BD172" s="3439">
        <f t="shared" ref="BD172:BF172" si="1014">SUM(BD89)</f>
        <v>6008.8077959141219</v>
      </c>
      <c r="BE172" s="3439">
        <f t="shared" si="1014"/>
        <v>6008.8077959141219</v>
      </c>
      <c r="BF172" s="3439">
        <f t="shared" si="1014"/>
        <v>0</v>
      </c>
      <c r="BG172" s="3439">
        <f t="shared" ref="BG172:BI172" si="1015">SUM(BG89)</f>
        <v>0</v>
      </c>
      <c r="BH172" s="3439">
        <f t="shared" si="1015"/>
        <v>0</v>
      </c>
      <c r="BI172" s="3439">
        <f t="shared" si="1015"/>
        <v>0</v>
      </c>
      <c r="BJ172" s="3439">
        <f t="shared" ref="BJ172:BX172" si="1016">SUM(BJ89)</f>
        <v>0</v>
      </c>
      <c r="BK172" s="3439">
        <f t="shared" si="1016"/>
        <v>0</v>
      </c>
      <c r="BL172" s="3439">
        <f t="shared" si="1016"/>
        <v>0</v>
      </c>
      <c r="BM172" s="3439">
        <f t="shared" ref="BM172:BR172" si="1017">SUM(BM89)</f>
        <v>0</v>
      </c>
      <c r="BN172" s="3439">
        <f t="shared" si="1017"/>
        <v>0</v>
      </c>
      <c r="BO172" s="3439">
        <f t="shared" si="1017"/>
        <v>0</v>
      </c>
      <c r="BP172" s="3439">
        <f t="shared" si="1017"/>
        <v>0</v>
      </c>
      <c r="BQ172" s="3439">
        <f t="shared" si="1017"/>
        <v>0</v>
      </c>
      <c r="BR172" s="3439">
        <f t="shared" si="1017"/>
        <v>0</v>
      </c>
      <c r="BS172" s="3439">
        <f t="shared" si="1016"/>
        <v>0</v>
      </c>
      <c r="BT172" s="3439">
        <f t="shared" si="1016"/>
        <v>0</v>
      </c>
      <c r="BU172" s="3439">
        <f t="shared" si="1016"/>
        <v>0</v>
      </c>
      <c r="BV172" s="3439">
        <f t="shared" si="1016"/>
        <v>0</v>
      </c>
      <c r="BW172" s="3439">
        <f t="shared" si="1016"/>
        <v>0</v>
      </c>
      <c r="BX172" s="3439">
        <f t="shared" si="1016"/>
        <v>0</v>
      </c>
      <c r="BY172" s="3439">
        <f t="shared" ref="BY172:CA172" si="1018">SUM(BY89)</f>
        <v>0</v>
      </c>
      <c r="BZ172" s="3439">
        <f t="shared" si="1018"/>
        <v>0</v>
      </c>
      <c r="CA172" s="3439">
        <f t="shared" si="1018"/>
        <v>0</v>
      </c>
      <c r="CB172" s="3734"/>
      <c r="CC172" s="3726"/>
      <c r="CD172" s="3726"/>
      <c r="CE172" s="3726"/>
      <c r="CF172" s="3439">
        <f t="shared" ref="CF172:CH172" si="1019">SUM(CF89)</f>
        <v>0</v>
      </c>
      <c r="CG172" s="3439">
        <f t="shared" si="1019"/>
        <v>0</v>
      </c>
      <c r="CH172" s="3439">
        <f t="shared" si="1019"/>
        <v>0</v>
      </c>
      <c r="CI172" s="3439">
        <f t="shared" ref="CI172:CK172" si="1020">SUM(CI89)</f>
        <v>0</v>
      </c>
      <c r="CJ172" s="3439">
        <f t="shared" si="1020"/>
        <v>0</v>
      </c>
      <c r="CK172" s="3439">
        <f t="shared" si="1020"/>
        <v>0</v>
      </c>
      <c r="CL172" s="3439">
        <f t="shared" ref="CL172:CN172" si="1021">SUM(CL89)</f>
        <v>0</v>
      </c>
      <c r="CM172" s="3439">
        <f t="shared" si="1021"/>
        <v>0</v>
      </c>
      <c r="CN172" s="3439">
        <f t="shared" si="1021"/>
        <v>0</v>
      </c>
      <c r="CO172" s="3439">
        <f t="shared" ref="CO172:CQ172" si="1022">SUM(CO89)</f>
        <v>0</v>
      </c>
      <c r="CP172" s="3439">
        <f t="shared" si="1022"/>
        <v>0</v>
      </c>
      <c r="CQ172" s="3439">
        <f t="shared" si="1022"/>
        <v>0</v>
      </c>
      <c r="CR172" s="3439">
        <f t="shared" ref="CR172:CT172" si="1023">SUM(CR89)</f>
        <v>0</v>
      </c>
      <c r="CS172" s="3439">
        <f t="shared" si="1023"/>
        <v>0</v>
      </c>
      <c r="CT172" s="3439">
        <f t="shared" si="1023"/>
        <v>0</v>
      </c>
      <c r="CU172" s="3439">
        <f t="shared" ref="CU172:CW172" si="1024">SUM(CU89)</f>
        <v>0</v>
      </c>
      <c r="CV172" s="3439">
        <f t="shared" si="1024"/>
        <v>0</v>
      </c>
      <c r="CW172" s="3439">
        <f t="shared" si="1024"/>
        <v>0</v>
      </c>
      <c r="CX172" s="3439">
        <f t="shared" ref="CX172:DL172" si="1025">SUM(CX89)</f>
        <v>0</v>
      </c>
      <c r="CY172" s="3439">
        <f t="shared" si="1025"/>
        <v>0</v>
      </c>
      <c r="CZ172" s="3439">
        <f t="shared" si="1025"/>
        <v>0</v>
      </c>
      <c r="DA172" s="3439">
        <f t="shared" si="1025"/>
        <v>0</v>
      </c>
      <c r="DB172" s="3439">
        <f t="shared" si="1025"/>
        <v>0</v>
      </c>
      <c r="DC172" s="3439">
        <f t="shared" si="1025"/>
        <v>0</v>
      </c>
      <c r="DD172" s="3439">
        <f t="shared" si="1025"/>
        <v>0</v>
      </c>
      <c r="DE172" s="3439">
        <f t="shared" si="1025"/>
        <v>0</v>
      </c>
      <c r="DF172" s="3439">
        <f t="shared" si="1025"/>
        <v>0</v>
      </c>
      <c r="DG172" s="3439">
        <f t="shared" si="1025"/>
        <v>0</v>
      </c>
      <c r="DH172" s="3439">
        <f t="shared" si="1025"/>
        <v>0</v>
      </c>
      <c r="DI172" s="3439">
        <f t="shared" si="1025"/>
        <v>0</v>
      </c>
      <c r="DJ172" s="3439">
        <f t="shared" si="1025"/>
        <v>0</v>
      </c>
      <c r="DK172" s="3439">
        <f t="shared" si="1025"/>
        <v>0</v>
      </c>
      <c r="DL172" s="3439">
        <f t="shared" si="1025"/>
        <v>0</v>
      </c>
      <c r="DM172" s="3439">
        <f t="shared" ref="DM172:DO172" si="1026">SUM(DM89)</f>
        <v>0</v>
      </c>
      <c r="DN172" s="3439">
        <f t="shared" si="1026"/>
        <v>0</v>
      </c>
      <c r="DO172" s="3439">
        <f t="shared" si="1026"/>
        <v>0</v>
      </c>
      <c r="DP172" s="3439">
        <f t="shared" ref="DP172:DR172" si="1027">SUM(DP89)</f>
        <v>0</v>
      </c>
      <c r="DQ172" s="3439">
        <f t="shared" si="1027"/>
        <v>0</v>
      </c>
      <c r="DR172" s="3439">
        <f t="shared" si="1027"/>
        <v>0</v>
      </c>
      <c r="DS172" s="3439">
        <f t="shared" ref="DS172:EA172" si="1028">SUM(DS89)</f>
        <v>0</v>
      </c>
      <c r="DT172" s="3439">
        <f t="shared" si="1028"/>
        <v>0</v>
      </c>
      <c r="DU172" s="3439">
        <f t="shared" si="1028"/>
        <v>0</v>
      </c>
      <c r="DV172" s="3730">
        <f t="shared" si="1028"/>
        <v>0</v>
      </c>
      <c r="DW172" s="3730">
        <f t="shared" si="1028"/>
        <v>0</v>
      </c>
      <c r="DX172" s="3730">
        <f t="shared" si="1028"/>
        <v>0</v>
      </c>
      <c r="DY172" s="3830">
        <f t="shared" si="1028"/>
        <v>0</v>
      </c>
      <c r="DZ172" s="3830">
        <f t="shared" si="1028"/>
        <v>0</v>
      </c>
      <c r="EA172" s="3830">
        <f t="shared" si="1028"/>
        <v>0</v>
      </c>
      <c r="EB172" s="3730">
        <f t="shared" ref="EB172:EM172" si="1029">SUM(EB89)</f>
        <v>0</v>
      </c>
      <c r="EC172" s="3730">
        <f t="shared" si="1029"/>
        <v>0</v>
      </c>
      <c r="ED172" s="3730">
        <f t="shared" si="1029"/>
        <v>0</v>
      </c>
      <c r="EE172" s="3730">
        <f t="shared" si="1029"/>
        <v>0</v>
      </c>
      <c r="EF172" s="3730">
        <f t="shared" si="1029"/>
        <v>0</v>
      </c>
      <c r="EG172" s="3730">
        <f t="shared" si="1029"/>
        <v>0</v>
      </c>
      <c r="EH172" s="4853">
        <f t="shared" ref="EH172:EJ172" si="1030">SUM(EH89)</f>
        <v>0</v>
      </c>
      <c r="EI172" s="4853">
        <f t="shared" si="1030"/>
        <v>0</v>
      </c>
      <c r="EJ172" s="4853">
        <f t="shared" si="1030"/>
        <v>0</v>
      </c>
      <c r="EK172" s="4853">
        <f t="shared" si="1029"/>
        <v>0</v>
      </c>
      <c r="EL172" s="4853">
        <f t="shared" si="1029"/>
        <v>0</v>
      </c>
      <c r="EM172" s="4853">
        <f t="shared" si="1029"/>
        <v>0</v>
      </c>
    </row>
    <row r="173" spans="1:143" ht="27" customHeight="1" x14ac:dyDescent="0.2">
      <c r="A173" s="3320" t="s">
        <v>527</v>
      </c>
      <c r="B173" s="3314"/>
      <c r="C173" s="3314"/>
      <c r="D173" s="3314"/>
      <c r="E173" s="3314"/>
      <c r="F173" s="3314"/>
      <c r="G173" s="3314"/>
      <c r="H173" s="3314"/>
      <c r="I173" s="3314"/>
      <c r="J173" s="3314"/>
      <c r="K173" s="3314"/>
      <c r="L173" s="3314"/>
      <c r="M173" s="3314"/>
      <c r="N173" s="3314"/>
      <c r="O173" s="3314"/>
      <c r="P173" s="3314"/>
      <c r="Q173" s="3314"/>
      <c r="R173" s="3314"/>
      <c r="S173" s="3314"/>
      <c r="T173" s="3314"/>
      <c r="U173" s="3314"/>
      <c r="V173" s="3314"/>
      <c r="W173" s="3314"/>
      <c r="X173" s="3314"/>
      <c r="Y173" s="3439">
        <f>SUM(Y166+Y172)</f>
        <v>138793.20000000001</v>
      </c>
      <c r="Z173" s="3314"/>
      <c r="AA173" s="3439" t="e">
        <f t="shared" ref="AA173:AE173" si="1031">SUM(AA166+AA172)</f>
        <v>#REF!</v>
      </c>
      <c r="AB173" s="3439" t="e">
        <f t="shared" si="1031"/>
        <v>#REF!</v>
      </c>
      <c r="AC173" s="3439" t="e">
        <f t="shared" si="1031"/>
        <v>#REF!</v>
      </c>
      <c r="AD173" s="3439" t="e">
        <f t="shared" si="1031"/>
        <v>#REF!</v>
      </c>
      <c r="AE173" s="3439">
        <f t="shared" si="1031"/>
        <v>113320.02939110002</v>
      </c>
      <c r="AF173" s="3439">
        <f t="shared" ref="AF173" si="1032">SUM(AF166+AF172)</f>
        <v>112515.45483007004</v>
      </c>
      <c r="AG173" s="3439">
        <f t="shared" ref="AG173" si="1033">SUM(AG166+AG172)</f>
        <v>804.57456102995798</v>
      </c>
      <c r="AH173" s="3439">
        <f t="shared" ref="AH173:AJ173" si="1034">SUM(AH166+AH172)</f>
        <v>127650.00432999998</v>
      </c>
      <c r="AI173" s="1605" t="e">
        <f t="shared" si="814"/>
        <v>#REF!</v>
      </c>
      <c r="AJ173" s="3439">
        <f t="shared" si="1034"/>
        <v>126816.36433</v>
      </c>
      <c r="AK173" s="3439">
        <f t="shared" ref="AK173:AL173" si="1035">SUM(AK166+AK172)</f>
        <v>833.64</v>
      </c>
      <c r="AL173" s="3439" t="e">
        <f t="shared" si="1035"/>
        <v>#REF!</v>
      </c>
      <c r="AM173" s="1605" t="e">
        <f t="shared" si="815"/>
        <v>#REF!</v>
      </c>
      <c r="AN173" s="3439" t="e">
        <f t="shared" ref="AN173" si="1036">SUM(AN166+AN172)</f>
        <v>#REF!</v>
      </c>
      <c r="AO173" s="3439">
        <f t="shared" ref="AO173" si="1037">SUM(AO166+AO172)</f>
        <v>868.73192603721361</v>
      </c>
      <c r="AP173" s="3314"/>
      <c r="AQ173" s="3314"/>
      <c r="AR173" s="3314"/>
      <c r="AS173" s="3314"/>
      <c r="AT173" s="3439">
        <f t="shared" ref="AT173" si="1038">SUM(AT166+AT172)</f>
        <v>56673.297081400007</v>
      </c>
      <c r="AU173" s="3439">
        <f t="shared" ref="AU173" si="1039">SUM(AU166+AU172)</f>
        <v>56463.165167590269</v>
      </c>
      <c r="AV173" s="3439">
        <f t="shared" ref="AV173" si="1040">SUM(AV166+AV172)</f>
        <v>210.13191380973541</v>
      </c>
      <c r="AW173" s="3439">
        <f t="shared" ref="AW173" si="1041">SUM(AW166+AW172)</f>
        <v>116214.42000000001</v>
      </c>
      <c r="AX173" s="3439">
        <f t="shared" ref="AX173" si="1042">SUM(AX166+AX172)</f>
        <v>115906.65000000001</v>
      </c>
      <c r="AY173" s="3439">
        <f t="shared" ref="AY173:AZ173" si="1043">SUM(AY166+AY172)</f>
        <v>307.77</v>
      </c>
      <c r="AZ173" s="3439">
        <f t="shared" si="1043"/>
        <v>139474.20019208643</v>
      </c>
      <c r="BA173" s="1606" t="e">
        <f t="shared" si="817"/>
        <v>#REF!</v>
      </c>
      <c r="BB173" s="3439">
        <f t="shared" ref="BB173" si="1044">SUM(BB166+BB172)</f>
        <v>140324.80440115422</v>
      </c>
      <c r="BC173" s="3439">
        <f t="shared" ref="BC173" si="1045">SUM(BC166+BC172)</f>
        <v>486.88179093217639</v>
      </c>
      <c r="BD173" s="3439">
        <f t="shared" ref="BD173" si="1046">SUM(BD166+BD172)</f>
        <v>126529.10263939487</v>
      </c>
      <c r="BE173" s="3439">
        <f t="shared" ref="BE173" si="1047">SUM(BE166+BE172)</f>
        <v>126184.96371419655</v>
      </c>
      <c r="BF173" s="3439">
        <f t="shared" ref="BF173:BH173" si="1048">SUM(BF166+BF172)</f>
        <v>344.13892519829574</v>
      </c>
      <c r="BG173" s="3439">
        <f t="shared" si="1048"/>
        <v>120577.88</v>
      </c>
      <c r="BH173" s="3439">
        <f t="shared" si="1048"/>
        <v>120535.93000000001</v>
      </c>
      <c r="BI173" s="3439">
        <f t="shared" ref="BI173:BK173" si="1049">SUM(BI166+BI172)</f>
        <v>41.95</v>
      </c>
      <c r="BJ173" s="3439">
        <f t="shared" si="1049"/>
        <v>134891.4</v>
      </c>
      <c r="BK173" s="3439">
        <f t="shared" si="1049"/>
        <v>134862.29999999999</v>
      </c>
      <c r="BL173" s="3439">
        <f>SUM(BL166+BL172)</f>
        <v>29.099999999999998</v>
      </c>
      <c r="BM173" s="3439">
        <f>SUM(BM170+BM172)</f>
        <v>131812.87290000002</v>
      </c>
      <c r="BN173" s="3439">
        <f t="shared" ref="BN173:CN173" si="1050">SUM(BN170+BN172)</f>
        <v>131195.06400000001</v>
      </c>
      <c r="BO173" s="3439">
        <f t="shared" si="1050"/>
        <v>617.80889999999999</v>
      </c>
      <c r="BP173" s="3439">
        <f t="shared" si="1050"/>
        <v>136436.86200000002</v>
      </c>
      <c r="BQ173" s="3439">
        <f t="shared" si="1050"/>
        <v>136412.62900000002</v>
      </c>
      <c r="BR173" s="3439">
        <f t="shared" si="1050"/>
        <v>24.232999999999997</v>
      </c>
      <c r="BS173" s="3439">
        <f t="shared" si="1050"/>
        <v>158658.21</v>
      </c>
      <c r="BT173" s="3439">
        <f t="shared" si="1050"/>
        <v>158558.91999999998</v>
      </c>
      <c r="BU173" s="3439">
        <f t="shared" si="1050"/>
        <v>99.29</v>
      </c>
      <c r="BV173" s="3439">
        <f t="shared" si="1050"/>
        <v>137237.70935394889</v>
      </c>
      <c r="BW173" s="3439">
        <f t="shared" si="1050"/>
        <v>137206.89811148541</v>
      </c>
      <c r="BX173" s="3439">
        <f t="shared" si="1050"/>
        <v>30.811242463479257</v>
      </c>
      <c r="BY173" s="3439">
        <f t="shared" si="1050"/>
        <v>163826.75456745879</v>
      </c>
      <c r="BZ173" s="3439">
        <f t="shared" si="1050"/>
        <v>163792.15655699337</v>
      </c>
      <c r="CA173" s="3439">
        <f t="shared" si="1050"/>
        <v>34.59801046541218</v>
      </c>
      <c r="CB173" s="3439">
        <f t="shared" si="1050"/>
        <v>0</v>
      </c>
      <c r="CC173" s="3439">
        <f t="shared" si="1050"/>
        <v>0</v>
      </c>
      <c r="CD173" s="3439">
        <f t="shared" si="1050"/>
        <v>0</v>
      </c>
      <c r="CE173" s="3439">
        <f t="shared" si="1050"/>
        <v>0</v>
      </c>
      <c r="CF173" s="3439">
        <f t="shared" si="1050"/>
        <v>134983.82862932203</v>
      </c>
      <c r="CG173" s="3439">
        <f t="shared" si="1050"/>
        <v>134953.31075321761</v>
      </c>
      <c r="CH173" s="3439">
        <f t="shared" si="1050"/>
        <v>30.517876104420509</v>
      </c>
      <c r="CI173" s="3439">
        <f t="shared" si="1050"/>
        <v>72796.149798500002</v>
      </c>
      <c r="CJ173" s="3439">
        <f t="shared" si="1050"/>
        <v>72783.630038500007</v>
      </c>
      <c r="CK173" s="3439">
        <f t="shared" si="1050"/>
        <v>12.51976</v>
      </c>
      <c r="CL173" s="3439">
        <f t="shared" si="1050"/>
        <v>111672.54458316999</v>
      </c>
      <c r="CM173" s="3439">
        <f t="shared" si="1050"/>
        <v>111653.58178317</v>
      </c>
      <c r="CN173" s="3439">
        <f t="shared" si="1050"/>
        <v>18.962800000000001</v>
      </c>
      <c r="CO173" s="3439">
        <f t="shared" ref="CO173:CT173" si="1051">CO170+CO172</f>
        <v>147941.30603787999</v>
      </c>
      <c r="CP173" s="3439">
        <f t="shared" si="1051"/>
        <v>147917.23693787999</v>
      </c>
      <c r="CQ173" s="3439">
        <f t="shared" si="1051"/>
        <v>24.069100000000002</v>
      </c>
      <c r="CR173" s="3439">
        <f t="shared" si="1051"/>
        <v>177997.77485092118</v>
      </c>
      <c r="CS173" s="3439">
        <f t="shared" si="1051"/>
        <v>177938.59485403635</v>
      </c>
      <c r="CT173" s="3439">
        <f t="shared" si="1051"/>
        <v>59.179996884835653</v>
      </c>
      <c r="CU173" s="3439">
        <f t="shared" ref="CU173:CW173" si="1052">CU170+CU172</f>
        <v>143058.60451889149</v>
      </c>
      <c r="CV173" s="3439">
        <f t="shared" si="1052"/>
        <v>143024.81977326504</v>
      </c>
      <c r="CW173" s="3439">
        <f t="shared" si="1052"/>
        <v>33.784745626442408</v>
      </c>
      <c r="CX173" s="3439">
        <f t="shared" ref="CX173:DC173" si="1053">SUM(CX170+CX172)</f>
        <v>74098.735209999999</v>
      </c>
      <c r="CY173" s="3439">
        <f t="shared" si="1053"/>
        <v>74088.261499999993</v>
      </c>
      <c r="CZ173" s="3439">
        <f t="shared" si="1053"/>
        <v>10.473710000000001</v>
      </c>
      <c r="DA173" s="3439">
        <f t="shared" si="1053"/>
        <v>107390.35072100001</v>
      </c>
      <c r="DB173" s="3439">
        <f t="shared" si="1053"/>
        <v>107372.86429100001</v>
      </c>
      <c r="DC173" s="3439">
        <f t="shared" si="1053"/>
        <v>17.486429999999999</v>
      </c>
      <c r="DD173" s="3439">
        <f t="shared" ref="DD173:DL173" si="1054">DD170+DD172</f>
        <v>143671.55359</v>
      </c>
      <c r="DE173" s="3439">
        <f t="shared" si="1054"/>
        <v>143650.99627</v>
      </c>
      <c r="DF173" s="3439">
        <f t="shared" si="1054"/>
        <v>20.557320000000001</v>
      </c>
      <c r="DG173" s="3439">
        <f t="shared" si="1054"/>
        <v>178812.49834848748</v>
      </c>
      <c r="DH173" s="3439">
        <f t="shared" si="1054"/>
        <v>178777.77565345768</v>
      </c>
      <c r="DI173" s="3439">
        <f t="shared" si="1054"/>
        <v>34.722695029798096</v>
      </c>
      <c r="DJ173" s="3439">
        <f t="shared" si="1054"/>
        <v>158822.15160763048</v>
      </c>
      <c r="DK173" s="3439">
        <f t="shared" si="1054"/>
        <v>158783.43134637238</v>
      </c>
      <c r="DL173" s="3439">
        <f t="shared" si="1054"/>
        <v>38.720261258094759</v>
      </c>
      <c r="DM173" s="3439">
        <f t="shared" ref="DM173:DO173" si="1055">DM170+DM172</f>
        <v>73665.988570274683</v>
      </c>
      <c r="DN173" s="3439">
        <f t="shared" si="1055"/>
        <v>73656.467650274688</v>
      </c>
      <c r="DO173" s="3439">
        <f t="shared" si="1055"/>
        <v>9.5209200000000003</v>
      </c>
      <c r="DP173" s="3439">
        <f t="shared" ref="DP173:DR173" si="1056">DP170+DP172</f>
        <v>113474.5004766036</v>
      </c>
      <c r="DQ173" s="3439">
        <f t="shared" si="1056"/>
        <v>110591.7641566036</v>
      </c>
      <c r="DR173" s="3439">
        <f t="shared" si="1056"/>
        <v>2882.7363200000004</v>
      </c>
      <c r="DS173" s="3439">
        <f t="shared" ref="DS173:EA173" si="1057">DS170+DS172</f>
        <v>154009.71968063922</v>
      </c>
      <c r="DT173" s="3439">
        <f t="shared" si="1057"/>
        <v>153489.48652063921</v>
      </c>
      <c r="DU173" s="3439">
        <f t="shared" si="1057"/>
        <v>520.23315999999988</v>
      </c>
      <c r="DV173" s="3730">
        <f t="shared" si="1057"/>
        <v>210614.63506180403</v>
      </c>
      <c r="DW173" s="3730">
        <f t="shared" si="1057"/>
        <v>210576.02586989829</v>
      </c>
      <c r="DX173" s="3730">
        <f t="shared" si="1057"/>
        <v>38.609191905739003</v>
      </c>
      <c r="DY173" s="3830">
        <f t="shared" si="1057"/>
        <v>104829.69903036878</v>
      </c>
      <c r="DZ173" s="3830">
        <f t="shared" si="1057"/>
        <v>91988.343527025252</v>
      </c>
      <c r="EA173" s="3830">
        <f t="shared" si="1057"/>
        <v>12841.355503343524</v>
      </c>
      <c r="EB173" s="3730">
        <f t="shared" ref="EB173:EM173" si="1058">EB170+EB172</f>
        <v>223532.96940791694</v>
      </c>
      <c r="EC173" s="3730">
        <f t="shared" si="1058"/>
        <v>223494.36021601121</v>
      </c>
      <c r="ED173" s="3730">
        <f t="shared" si="1058"/>
        <v>38.609191905739003</v>
      </c>
      <c r="EE173" s="3730">
        <f t="shared" si="1058"/>
        <v>187271.03563082145</v>
      </c>
      <c r="EF173" s="3730">
        <f t="shared" si="1058"/>
        <v>187235.88766677174</v>
      </c>
      <c r="EG173" s="3730">
        <f t="shared" si="1058"/>
        <v>35.147964049723484</v>
      </c>
      <c r="EH173" s="4853">
        <f t="shared" ref="EH173:EJ173" si="1059">EH170+EH172</f>
        <v>83775.851201699988</v>
      </c>
      <c r="EI173" s="4853">
        <f t="shared" si="1059"/>
        <v>83762.585491179983</v>
      </c>
      <c r="EJ173" s="4853">
        <f t="shared" si="1059"/>
        <v>13.265710519999999</v>
      </c>
      <c r="EK173" s="4853">
        <f t="shared" si="1058"/>
        <v>174388.62686118003</v>
      </c>
      <c r="EL173" s="4853">
        <f t="shared" si="1058"/>
        <v>174370.69016314004</v>
      </c>
      <c r="EM173" s="4853">
        <f t="shared" si="1058"/>
        <v>17.93669804</v>
      </c>
    </row>
    <row r="174" spans="1:143" ht="27" customHeight="1" x14ac:dyDescent="0.2">
      <c r="A174" s="3314" t="s">
        <v>68</v>
      </c>
      <c r="B174" s="3314"/>
      <c r="C174" s="3314"/>
      <c r="D174" s="3314"/>
      <c r="E174" s="3314"/>
      <c r="F174" s="3314"/>
      <c r="G174" s="3314"/>
      <c r="H174" s="3314"/>
      <c r="I174" s="3314"/>
      <c r="J174" s="3314"/>
      <c r="K174" s="3314"/>
      <c r="L174" s="3314"/>
      <c r="M174" s="3314"/>
      <c r="N174" s="3314"/>
      <c r="O174" s="3314"/>
      <c r="P174" s="3314"/>
      <c r="Q174" s="3314"/>
      <c r="R174" s="3314"/>
      <c r="S174" s="3314"/>
      <c r="T174" s="3314"/>
      <c r="U174" s="3314"/>
      <c r="V174" s="3314"/>
      <c r="W174" s="3314"/>
      <c r="X174" s="3314"/>
      <c r="Y174" s="3732">
        <f>SUM(Y173/Y167)</f>
        <v>34.698300000000003</v>
      </c>
      <c r="Z174" s="3314"/>
      <c r="AA174" s="3732" t="e">
        <f t="shared" ref="AA174:AE174" si="1060">SUM(AA173/AA167)</f>
        <v>#REF!</v>
      </c>
      <c r="AB174" s="3732" t="e">
        <f t="shared" si="1060"/>
        <v>#REF!</v>
      </c>
      <c r="AC174" s="3732" t="e">
        <f t="shared" si="1060"/>
        <v>#REF!</v>
      </c>
      <c r="AD174" s="3732" t="e">
        <f t="shared" si="1060"/>
        <v>#REF!</v>
      </c>
      <c r="AE174" s="3732">
        <f t="shared" si="1060"/>
        <v>28.056456893067594</v>
      </c>
      <c r="AF174" s="3732">
        <f t="shared" ref="AF174" si="1061">SUM(AF173/AF167)</f>
        <v>28.205017254103591</v>
      </c>
      <c r="AG174" s="3732">
        <f t="shared" ref="AG174" si="1062">SUM(AG173/AG167)</f>
        <v>16.156115683332491</v>
      </c>
      <c r="AH174" s="3732">
        <f t="shared" ref="AH174:AJ174" si="1063">SUM(AH173/AH167)</f>
        <v>31.499853008093964</v>
      </c>
      <c r="AI174" s="1605" t="e">
        <f t="shared" si="814"/>
        <v>#REF!</v>
      </c>
      <c r="AJ174" s="3732">
        <f t="shared" si="1063"/>
        <v>31.654472696548162</v>
      </c>
      <c r="AK174" s="3732">
        <f t="shared" ref="AK174:AL174" si="1064">SUM(AK173/AK167)</f>
        <v>18.071536960763058</v>
      </c>
      <c r="AL174" s="3732" t="e">
        <f t="shared" si="1064"/>
        <v>#REF!</v>
      </c>
      <c r="AM174" s="1605" t="e">
        <f t="shared" si="815"/>
        <v>#REF!</v>
      </c>
      <c r="AN174" s="3732" t="e">
        <f t="shared" ref="AN174" si="1065">SUM(AN173/AN167)</f>
        <v>#REF!</v>
      </c>
      <c r="AO174" s="3732">
        <f t="shared" ref="AO174" si="1066">SUM(AO173/AO167)</f>
        <v>18.832255062588633</v>
      </c>
      <c r="AP174" s="3314"/>
      <c r="AQ174" s="3314"/>
      <c r="AR174" s="3314"/>
      <c r="AS174" s="3314"/>
      <c r="AT174" s="3732">
        <f t="shared" ref="AT174" si="1067">SUM(AT173/AT167)</f>
        <v>28.472176098930916</v>
      </c>
      <c r="AU174" s="3732">
        <f t="shared" ref="AU174" si="1068">SUM(AU173/AU167)</f>
        <v>28.563201351485887</v>
      </c>
      <c r="AV174" s="3732">
        <f t="shared" ref="AV174" si="1069">SUM(AV173/AV167)</f>
        <v>15.338095898520834</v>
      </c>
      <c r="AW174" s="3732">
        <f t="shared" ref="AW174" si="1070">SUM(AW173/AW167)</f>
        <v>30.741139873347407</v>
      </c>
      <c r="AX174" s="3732">
        <f t="shared" ref="AX174" si="1071">SUM(AX173/AX167)</f>
        <v>30.8082106214449</v>
      </c>
      <c r="AY174" s="3732">
        <f t="shared" ref="AY174:AZ174" si="1072">SUM(AY173/AY167)</f>
        <v>16.891877058177826</v>
      </c>
      <c r="AZ174" s="3732">
        <f t="shared" si="1072"/>
        <v>34.776071779142924</v>
      </c>
      <c r="BA174" s="1606" t="e">
        <f t="shared" si="817"/>
        <v>#REF!</v>
      </c>
      <c r="BB174" s="3732">
        <f t="shared" ref="BB174" si="1073">SUM(BB173/BB167)</f>
        <v>35.176026874736131</v>
      </c>
      <c r="BC174" s="3732">
        <f t="shared" ref="BC174" si="1074">SUM(BC173/BC167)</f>
        <v>22.730242340437737</v>
      </c>
      <c r="BD174" s="3732">
        <f t="shared" ref="BD174" si="1075">SUM(BD173/BD167)</f>
        <v>31.548380628661945</v>
      </c>
      <c r="BE174" s="3732">
        <f t="shared" ref="BE174" si="1076">SUM(BE173/BE167)</f>
        <v>31.631511575879816</v>
      </c>
      <c r="BF174" s="3732">
        <f t="shared" ref="BF174:BH174" si="1077">SUM(BF173/BF167)</f>
        <v>16.066243006456382</v>
      </c>
      <c r="BG174" s="3732">
        <f t="shared" si="1077"/>
        <v>33.787241435352534</v>
      </c>
      <c r="BH174" s="3732">
        <f t="shared" si="1077"/>
        <v>33.798216098296855</v>
      </c>
      <c r="BI174" s="3732">
        <f t="shared" ref="BI174:BK174" si="1078">SUM(BI173/BI167)</f>
        <v>17.479166666666668</v>
      </c>
      <c r="BJ174" s="3732">
        <f t="shared" si="1078"/>
        <v>36.88005971177585</v>
      </c>
      <c r="BK174" s="3732">
        <f t="shared" si="1078"/>
        <v>36.88995568685376</v>
      </c>
      <c r="BL174" s="3732">
        <f t="shared" ref="BL174:BX174" si="1079">SUM(BL173/BL167)</f>
        <v>16.440677966101692</v>
      </c>
      <c r="BM174" s="3732">
        <f t="shared" si="1079"/>
        <v>36.398118113889034</v>
      </c>
      <c r="BN174" s="3732">
        <f t="shared" si="1079"/>
        <v>36.443073333333338</v>
      </c>
      <c r="BO174" s="3732">
        <f t="shared" ref="BO174" si="1080">SUM(BO173/BO167)</f>
        <v>28.842619047619046</v>
      </c>
      <c r="BP174" s="3732">
        <f>SUM(BP166/BP167)</f>
        <v>37.279246944077933</v>
      </c>
      <c r="BQ174" s="3732">
        <f t="shared" ref="BQ174:BR174" si="1081">SUM(BQ166/BQ167)</f>
        <v>37.286185708467613</v>
      </c>
      <c r="BR174" s="3732">
        <f t="shared" si="1081"/>
        <v>18.206611570247933</v>
      </c>
      <c r="BS174" s="3732">
        <f t="shared" si="1079"/>
        <v>44.01059916782247</v>
      </c>
      <c r="BT174" s="3732">
        <f t="shared" si="1079"/>
        <v>44.044144444444441</v>
      </c>
      <c r="BU174" s="3732">
        <f t="shared" si="1079"/>
        <v>19.858000000000001</v>
      </c>
      <c r="BV174" s="3732">
        <f t="shared" si="1079"/>
        <v>37.472121993070537</v>
      </c>
      <c r="BW174" s="3732">
        <f t="shared" si="1079"/>
        <v>37.481823728213598</v>
      </c>
      <c r="BX174" s="3732">
        <f t="shared" si="1079"/>
        <v>17.407481617784892</v>
      </c>
      <c r="BY174" s="3732">
        <f t="shared" ref="BY174:CA174" si="1082">SUM(BY173/BY167)</f>
        <v>44.732137848845547</v>
      </c>
      <c r="BZ174" s="3732">
        <f t="shared" si="1082"/>
        <v>44.744315516446207</v>
      </c>
      <c r="CA174" s="3732">
        <f t="shared" si="1082"/>
        <v>19.54689856802948</v>
      </c>
      <c r="CB174" s="3734"/>
      <c r="CC174" s="3726"/>
      <c r="CD174" s="3726"/>
      <c r="CE174" s="3726"/>
      <c r="CF174" s="3732">
        <f t="shared" ref="CF174:CH174" si="1083">SUM(CF173/CF167)</f>
        <v>38.847285581706217</v>
      </c>
      <c r="CG174" s="3732">
        <f t="shared" si="1083"/>
        <v>38.858296886004339</v>
      </c>
      <c r="CH174" s="3732">
        <f t="shared" si="1083"/>
        <v>17.241737912101982</v>
      </c>
      <c r="CI174" s="3732">
        <f t="shared" ref="CI174:CK174" si="1084">SUM(CI173/CI167)</f>
        <v>41.562436189151057</v>
      </c>
      <c r="CJ174" s="3732">
        <f t="shared" si="1084"/>
        <v>41.568531277646009</v>
      </c>
      <c r="CK174" s="3732">
        <f t="shared" si="1084"/>
        <v>22.436845878136197</v>
      </c>
      <c r="CL174" s="3732">
        <f t="shared" ref="CL174:CN174" si="1085">SUM(CL173/CL167)</f>
        <v>42.31211457738673</v>
      </c>
      <c r="CM174" s="3732">
        <f t="shared" si="1085"/>
        <v>42.318221980349655</v>
      </c>
      <c r="CN174" s="3732">
        <f t="shared" si="1085"/>
        <v>22.874306393244876</v>
      </c>
      <c r="CO174" s="3732">
        <f t="shared" ref="CO174:CQ174" si="1086">SUM(CO173/CO167)</f>
        <v>41.921570471731101</v>
      </c>
      <c r="CP174" s="3732">
        <f t="shared" si="1086"/>
        <v>41.928163779671202</v>
      </c>
      <c r="CQ174" s="3732">
        <f t="shared" si="1086"/>
        <v>21.318954827280781</v>
      </c>
      <c r="CR174" s="3732">
        <f t="shared" ref="CR174:CT174" si="1087">SUM(CR173/CR167)</f>
        <v>51.226361429786259</v>
      </c>
      <c r="CS174" s="3732">
        <f t="shared" si="1087"/>
        <v>51.235428814048063</v>
      </c>
      <c r="CT174" s="3732">
        <f t="shared" si="1087"/>
        <v>33.435026488607711</v>
      </c>
      <c r="CU174" s="3732">
        <f t="shared" ref="CU174:CW174" si="1088">SUM(CU173/CU167)</f>
        <v>40.798819508862373</v>
      </c>
      <c r="CV174" s="3732">
        <f t="shared" si="1088"/>
        <v>40.809782311391672</v>
      </c>
      <c r="CW174" s="3732">
        <f t="shared" si="1088"/>
        <v>19.08958392272709</v>
      </c>
      <c r="CX174" s="3732">
        <f t="shared" ref="CX174:DL174" si="1089">SUM(CX173/CX167)</f>
        <v>41.889180710522737</v>
      </c>
      <c r="CY174" s="3732">
        <f t="shared" si="1089"/>
        <v>41.896073076970929</v>
      </c>
      <c r="CZ174" s="3732">
        <f t="shared" si="1089"/>
        <v>19.359907578558225</v>
      </c>
      <c r="DA174" s="3732">
        <f t="shared" si="1089"/>
        <v>40.785580629969772</v>
      </c>
      <c r="DB174" s="3732">
        <f t="shared" si="1089"/>
        <v>40.790186413815036</v>
      </c>
      <c r="DC174" s="3732">
        <f t="shared" si="1089"/>
        <v>24.085991735537188</v>
      </c>
      <c r="DD174" s="3732">
        <f t="shared" si="1089"/>
        <v>40.638347394571831</v>
      </c>
      <c r="DE174" s="3732">
        <f t="shared" si="1089"/>
        <v>40.643247077257286</v>
      </c>
      <c r="DF174" s="3732">
        <f t="shared" si="1089"/>
        <v>22.057210300429183</v>
      </c>
      <c r="DG174" s="3732">
        <f t="shared" si="1089"/>
        <v>50.995456516460791</v>
      </c>
      <c r="DH174" s="3732">
        <f t="shared" si="1089"/>
        <v>51.011300822461934</v>
      </c>
      <c r="DI174" s="3732">
        <f t="shared" si="1089"/>
        <v>19.619558724035539</v>
      </c>
      <c r="DJ174" s="3732">
        <f t="shared" si="1089"/>
        <v>45.338069951118356</v>
      </c>
      <c r="DK174" s="3732">
        <f t="shared" si="1089"/>
        <v>45.349928154097427</v>
      </c>
      <c r="DL174" s="3732">
        <f t="shared" si="1089"/>
        <v>21.878325945358096</v>
      </c>
      <c r="DM174" s="3732">
        <f t="shared" ref="DM174:DO174" si="1090">SUM(DM173/DM167)</f>
        <v>40.690156649490852</v>
      </c>
      <c r="DN174" s="3732">
        <f t="shared" si="1090"/>
        <v>40.694203505236572</v>
      </c>
      <c r="DO174" s="3732">
        <f t="shared" si="1090"/>
        <v>22.997391304347829</v>
      </c>
      <c r="DP174" s="3732">
        <f t="shared" ref="DP174:DR174" si="1091">SUM(DP173/DP167)</f>
        <v>42.61563646657325</v>
      </c>
      <c r="DQ174" s="3732">
        <f t="shared" si="1091"/>
        <v>41.542347127560468</v>
      </c>
      <c r="DR174" s="3732">
        <f t="shared" si="1091"/>
        <v>4820.6292976588638</v>
      </c>
      <c r="DS174" s="3732">
        <f t="shared" ref="DS174:EA174" si="1092">SUM(DS173/DS167)</f>
        <v>43.222329963319247</v>
      </c>
      <c r="DT174" s="3732">
        <f t="shared" si="1092"/>
        <v>43.085784063579105</v>
      </c>
      <c r="DU174" s="3732">
        <f t="shared" si="1092"/>
        <v>665.25979539641924</v>
      </c>
      <c r="DV174" s="3733">
        <f t="shared" si="1092"/>
        <v>60.122980078696834</v>
      </c>
      <c r="DW174" s="3733">
        <f t="shared" si="1092"/>
        <v>60.142343336463121</v>
      </c>
      <c r="DX174" s="3733">
        <f t="shared" si="1092"/>
        <v>21.815567807514409</v>
      </c>
      <c r="DY174" s="3834" t="e">
        <f t="shared" si="1092"/>
        <v>#DIV/0!</v>
      </c>
      <c r="DZ174" s="3834" t="e">
        <f t="shared" si="1092"/>
        <v>#DIV/0!</v>
      </c>
      <c r="EA174" s="3834" t="e">
        <f t="shared" si="1092"/>
        <v>#DIV/0!</v>
      </c>
      <c r="EB174" s="3733">
        <f t="shared" ref="EB174:EM174" si="1093">SUM(EB173/EB167)</f>
        <v>63.810704620314638</v>
      </c>
      <c r="EC174" s="3733">
        <f t="shared" si="1093"/>
        <v>63.831931913175879</v>
      </c>
      <c r="ED174" s="3733">
        <f t="shared" si="1093"/>
        <v>21.815567807514409</v>
      </c>
      <c r="EE174" s="3733">
        <f t="shared" si="1093"/>
        <v>52.671630268299367</v>
      </c>
      <c r="EF174" s="3733">
        <f t="shared" si="1093"/>
        <v>52.681762644606714</v>
      </c>
      <c r="EG174" s="3733">
        <f t="shared" si="1093"/>
        <v>26.016257623777562</v>
      </c>
      <c r="EH174" s="4854">
        <f t="shared" ref="EH174:EJ174" si="1094">SUM(EH173/EH167)</f>
        <v>43.893047810949803</v>
      </c>
      <c r="EI174" s="4854">
        <f t="shared" si="1094"/>
        <v>43.904292796941043</v>
      </c>
      <c r="EJ174" s="4854">
        <f t="shared" si="1094"/>
        <v>16.770809759797721</v>
      </c>
      <c r="EK174" s="4854">
        <f t="shared" si="1093"/>
        <v>46.188922220908225</v>
      </c>
      <c r="EL174" s="4854">
        <f t="shared" si="1093"/>
        <v>46.193849352680701</v>
      </c>
      <c r="EM174" s="4854">
        <f t="shared" si="1093"/>
        <v>22.675977294563843</v>
      </c>
    </row>
    <row r="175" spans="1:143" ht="39.950000000000003" hidden="1" customHeight="1" x14ac:dyDescent="0.35">
      <c r="A175" s="3402" t="s">
        <v>310</v>
      </c>
      <c r="B175" s="3402"/>
      <c r="C175" s="3402"/>
      <c r="D175" s="3402"/>
      <c r="E175" s="3402"/>
      <c r="F175" s="3402"/>
      <c r="G175" s="3402"/>
      <c r="H175" s="3402"/>
      <c r="I175" s="3402"/>
      <c r="J175" s="3402"/>
      <c r="K175" s="3402"/>
      <c r="L175" s="3402"/>
      <c r="M175" s="3402"/>
      <c r="N175" s="3402"/>
      <c r="O175" s="3402"/>
      <c r="P175" s="3402"/>
      <c r="Q175" s="3402"/>
      <c r="R175" s="3402"/>
      <c r="S175" s="3402"/>
      <c r="T175" s="3402"/>
      <c r="U175" s="3402"/>
      <c r="V175" s="3402"/>
      <c r="W175" s="3402"/>
      <c r="X175" s="3402"/>
      <c r="Y175" s="3403">
        <f>SUM(Y92)</f>
        <v>4665</v>
      </c>
      <c r="Z175" s="3402"/>
      <c r="AA175" s="3403">
        <f t="shared" ref="AA175:AD175" si="1095">SUM(AA92)</f>
        <v>4665</v>
      </c>
      <c r="AB175" s="3403">
        <f t="shared" si="1095"/>
        <v>0</v>
      </c>
      <c r="AC175" s="3403">
        <f t="shared" si="1095"/>
        <v>4665</v>
      </c>
      <c r="AD175" s="3403">
        <f t="shared" si="1095"/>
        <v>0</v>
      </c>
      <c r="AE175" s="3403">
        <f t="shared" ref="AE175:AH175" si="1096">SUM(AE92)</f>
        <v>824.7</v>
      </c>
      <c r="AF175" s="3403">
        <f t="shared" si="1096"/>
        <v>824.7</v>
      </c>
      <c r="AG175" s="3403">
        <f t="shared" si="1096"/>
        <v>0</v>
      </c>
      <c r="AH175" s="3403">
        <f t="shared" si="1096"/>
        <v>4274</v>
      </c>
      <c r="AI175" s="3404">
        <f t="shared" si="814"/>
        <v>0.91618435155412647</v>
      </c>
      <c r="AJ175" s="3403">
        <f t="shared" ref="AJ175:AK175" si="1097">SUM(AJ92)</f>
        <v>4274</v>
      </c>
      <c r="AK175" s="3403">
        <f t="shared" si="1097"/>
        <v>0</v>
      </c>
      <c r="AL175" s="3403">
        <f t="shared" ref="AL175:AO175" si="1098">SUM(AL92)</f>
        <v>4444</v>
      </c>
      <c r="AM175" s="3404">
        <f t="shared" si="815"/>
        <v>0.95262593783494109</v>
      </c>
      <c r="AN175" s="3403">
        <f t="shared" si="1098"/>
        <v>4444</v>
      </c>
      <c r="AO175" s="3403">
        <f t="shared" si="1098"/>
        <v>0</v>
      </c>
      <c r="AP175" s="3402"/>
      <c r="AQ175" s="3402"/>
      <c r="AR175" s="3402"/>
      <c r="AS175" s="3402"/>
      <c r="AT175" s="3403">
        <f t="shared" ref="AT175:AV175" si="1099">SUM(AT92)</f>
        <v>0</v>
      </c>
      <c r="AU175" s="3403">
        <f t="shared" si="1099"/>
        <v>0</v>
      </c>
      <c r="AV175" s="3403">
        <f t="shared" si="1099"/>
        <v>0</v>
      </c>
      <c r="AW175" s="3403">
        <f t="shared" ref="AW175:AY175" si="1100">SUM(AW92)</f>
        <v>0</v>
      </c>
      <c r="AX175" s="3403">
        <f t="shared" si="1100"/>
        <v>0</v>
      </c>
      <c r="AY175" s="3403">
        <f t="shared" si="1100"/>
        <v>0</v>
      </c>
      <c r="AZ175" s="3403">
        <f t="shared" ref="AZ175:BC175" si="1101">SUM(AZ92)</f>
        <v>3976</v>
      </c>
      <c r="BA175" s="3405">
        <f t="shared" si="817"/>
        <v>0.89468946894689472</v>
      </c>
      <c r="BB175" s="3403">
        <f t="shared" si="1101"/>
        <v>3976</v>
      </c>
      <c r="BC175" s="3403">
        <f t="shared" si="1101"/>
        <v>0</v>
      </c>
      <c r="BD175" s="3403">
        <f t="shared" ref="BD175:BF175" si="1102">SUM(BD92)</f>
        <v>3976</v>
      </c>
      <c r="BE175" s="3403">
        <f t="shared" si="1102"/>
        <v>3976</v>
      </c>
      <c r="BF175" s="3403">
        <f t="shared" si="1102"/>
        <v>0</v>
      </c>
      <c r="BG175" s="3403">
        <f t="shared" ref="BG175:BI175" si="1103">SUM(BG92)</f>
        <v>0</v>
      </c>
      <c r="BH175" s="3403">
        <f t="shared" si="1103"/>
        <v>0</v>
      </c>
      <c r="BI175" s="3403">
        <f t="shared" si="1103"/>
        <v>0</v>
      </c>
      <c r="BJ175" s="3403">
        <f t="shared" ref="BJ175:BX175" si="1104">SUM(BJ92)</f>
        <v>0</v>
      </c>
      <c r="BK175" s="3403">
        <f t="shared" si="1104"/>
        <v>0</v>
      </c>
      <c r="BL175" s="3403">
        <f t="shared" si="1104"/>
        <v>0</v>
      </c>
      <c r="BM175" s="3403"/>
      <c r="BN175" s="3403"/>
      <c r="BO175" s="3403"/>
      <c r="BP175" s="3403"/>
      <c r="BQ175" s="3403"/>
      <c r="BR175" s="3403"/>
      <c r="BS175" s="3403">
        <f t="shared" si="1104"/>
        <v>0</v>
      </c>
      <c r="BT175" s="3403">
        <f t="shared" si="1104"/>
        <v>0</v>
      </c>
      <c r="BU175" s="3403">
        <f t="shared" si="1104"/>
        <v>0</v>
      </c>
      <c r="BV175" s="3403">
        <f t="shared" si="1104"/>
        <v>0</v>
      </c>
      <c r="BW175" s="3403">
        <f t="shared" si="1104"/>
        <v>0</v>
      </c>
      <c r="BX175" s="3403">
        <f t="shared" si="1104"/>
        <v>0</v>
      </c>
      <c r="BY175" s="3403">
        <f t="shared" ref="BY175:CA175" si="1105">SUM(BY92)</f>
        <v>0</v>
      </c>
      <c r="BZ175" s="3403">
        <f t="shared" si="1105"/>
        <v>0</v>
      </c>
      <c r="CA175" s="3403">
        <f t="shared" si="1105"/>
        <v>0</v>
      </c>
      <c r="CB175" s="3288"/>
      <c r="CC175" s="3400"/>
      <c r="CD175" s="3400"/>
      <c r="CE175" s="3400"/>
      <c r="CF175" s="3403">
        <f t="shared" ref="CF175:CH175" si="1106">SUM(CF92)</f>
        <v>0</v>
      </c>
      <c r="CG175" s="3403">
        <f t="shared" si="1106"/>
        <v>0</v>
      </c>
      <c r="CH175" s="3403">
        <f t="shared" si="1106"/>
        <v>0</v>
      </c>
      <c r="CI175" s="3403">
        <f t="shared" ref="CI175:CK175" si="1107">SUM(CI92)</f>
        <v>0</v>
      </c>
      <c r="CJ175" s="3403">
        <f t="shared" si="1107"/>
        <v>0</v>
      </c>
      <c r="CK175" s="3403">
        <f t="shared" si="1107"/>
        <v>0</v>
      </c>
      <c r="CL175" s="3403">
        <f t="shared" ref="CL175:CN175" si="1108">SUM(CL92)</f>
        <v>0</v>
      </c>
      <c r="CM175" s="3403">
        <f t="shared" si="1108"/>
        <v>0</v>
      </c>
      <c r="CN175" s="3403">
        <f t="shared" si="1108"/>
        <v>0</v>
      </c>
      <c r="CO175" s="3403">
        <f t="shared" ref="CO175:CQ175" si="1109">SUM(CO92)</f>
        <v>0</v>
      </c>
      <c r="CP175" s="3403">
        <f t="shared" si="1109"/>
        <v>0</v>
      </c>
      <c r="CQ175" s="3403">
        <f t="shared" si="1109"/>
        <v>0</v>
      </c>
      <c r="CR175" s="3403">
        <f t="shared" ref="CR175:CT175" si="1110">SUM(CR92)</f>
        <v>0</v>
      </c>
      <c r="CS175" s="3403">
        <f t="shared" si="1110"/>
        <v>0</v>
      </c>
      <c r="CT175" s="3403">
        <f t="shared" si="1110"/>
        <v>0</v>
      </c>
      <c r="CU175" s="3403">
        <f t="shared" ref="CU175:CW175" si="1111">SUM(CU92)</f>
        <v>0</v>
      </c>
      <c r="CV175" s="3403">
        <f t="shared" si="1111"/>
        <v>0</v>
      </c>
      <c r="CW175" s="3403">
        <f t="shared" si="1111"/>
        <v>0</v>
      </c>
      <c r="CX175" s="3403">
        <f t="shared" ref="CX175:DL175" si="1112">SUM(CX92)</f>
        <v>0</v>
      </c>
      <c r="CY175" s="3403">
        <f t="shared" si="1112"/>
        <v>0</v>
      </c>
      <c r="CZ175" s="3403">
        <f t="shared" si="1112"/>
        <v>0</v>
      </c>
      <c r="DA175" s="3403">
        <f t="shared" si="1112"/>
        <v>0</v>
      </c>
      <c r="DB175" s="3403">
        <f t="shared" si="1112"/>
        <v>0</v>
      </c>
      <c r="DC175" s="3403">
        <f t="shared" si="1112"/>
        <v>0</v>
      </c>
      <c r="DD175" s="3403">
        <f t="shared" si="1112"/>
        <v>0</v>
      </c>
      <c r="DE175" s="3403">
        <f t="shared" si="1112"/>
        <v>0</v>
      </c>
      <c r="DF175" s="3403">
        <f t="shared" si="1112"/>
        <v>0</v>
      </c>
      <c r="DG175" s="3403">
        <f t="shared" si="1112"/>
        <v>0</v>
      </c>
      <c r="DH175" s="3403">
        <f t="shared" si="1112"/>
        <v>0</v>
      </c>
      <c r="DI175" s="3403">
        <f t="shared" si="1112"/>
        <v>0</v>
      </c>
      <c r="DJ175" s="3403">
        <f t="shared" si="1112"/>
        <v>0</v>
      </c>
      <c r="DK175" s="3403">
        <f t="shared" si="1112"/>
        <v>0</v>
      </c>
      <c r="DL175" s="3403">
        <f t="shared" si="1112"/>
        <v>0</v>
      </c>
      <c r="DM175" s="3403">
        <f t="shared" ref="DM175:DO175" si="1113">SUM(DM92)</f>
        <v>0</v>
      </c>
      <c r="DN175" s="3403">
        <f t="shared" si="1113"/>
        <v>0</v>
      </c>
      <c r="DO175" s="3403">
        <f t="shared" si="1113"/>
        <v>0</v>
      </c>
      <c r="DP175" s="3403">
        <f t="shared" ref="DP175:DR175" si="1114">SUM(DP92)</f>
        <v>0</v>
      </c>
      <c r="DQ175" s="3403">
        <f t="shared" si="1114"/>
        <v>0</v>
      </c>
      <c r="DR175" s="3403">
        <f t="shared" si="1114"/>
        <v>0</v>
      </c>
      <c r="DS175" s="3403">
        <f t="shared" ref="DS175:EA175" si="1115">SUM(DS92)</f>
        <v>0</v>
      </c>
      <c r="DT175" s="3403">
        <f t="shared" si="1115"/>
        <v>0</v>
      </c>
      <c r="DU175" s="3403">
        <f t="shared" si="1115"/>
        <v>0</v>
      </c>
      <c r="DV175" s="3403">
        <f t="shared" si="1115"/>
        <v>0</v>
      </c>
      <c r="DW175" s="3403">
        <f t="shared" si="1115"/>
        <v>0</v>
      </c>
      <c r="DX175" s="3403">
        <f t="shared" si="1115"/>
        <v>0</v>
      </c>
      <c r="DY175" s="3403">
        <f t="shared" si="1115"/>
        <v>0</v>
      </c>
      <c r="DZ175" s="3403">
        <f t="shared" si="1115"/>
        <v>0</v>
      </c>
      <c r="EA175" s="3403">
        <f t="shared" si="1115"/>
        <v>0</v>
      </c>
      <c r="EB175" s="3403">
        <f t="shared" ref="EB175:EM175" si="1116">SUM(EB92)</f>
        <v>0</v>
      </c>
      <c r="EC175" s="3403">
        <f t="shared" si="1116"/>
        <v>0</v>
      </c>
      <c r="ED175" s="3403">
        <f t="shared" si="1116"/>
        <v>0</v>
      </c>
      <c r="EE175" s="3403">
        <f t="shared" si="1116"/>
        <v>0</v>
      </c>
      <c r="EF175" s="3403">
        <f t="shared" si="1116"/>
        <v>0</v>
      </c>
      <c r="EG175" s="3403">
        <f t="shared" si="1116"/>
        <v>0</v>
      </c>
      <c r="EH175" s="3403"/>
      <c r="EI175" s="3403"/>
      <c r="EJ175" s="3403"/>
      <c r="EK175" s="3403">
        <f t="shared" si="1116"/>
        <v>0</v>
      </c>
      <c r="EL175" s="3403">
        <f t="shared" si="1116"/>
        <v>0</v>
      </c>
      <c r="EM175" s="3403">
        <f t="shared" si="1116"/>
        <v>0</v>
      </c>
    </row>
    <row r="176" spans="1:143" ht="39.950000000000003" hidden="1" customHeight="1" x14ac:dyDescent="0.35">
      <c r="A176" s="3407" t="s">
        <v>528</v>
      </c>
      <c r="B176" s="3402"/>
      <c r="C176" s="3402"/>
      <c r="D176" s="3402"/>
      <c r="E176" s="3402"/>
      <c r="F176" s="3402"/>
      <c r="G176" s="3402"/>
      <c r="H176" s="3402"/>
      <c r="I176" s="3402"/>
      <c r="J176" s="3402"/>
      <c r="K176" s="3402"/>
      <c r="L176" s="3402"/>
      <c r="M176" s="3402"/>
      <c r="N176" s="3402"/>
      <c r="O176" s="3402"/>
      <c r="P176" s="3402"/>
      <c r="Q176" s="3402"/>
      <c r="R176" s="3402"/>
      <c r="S176" s="3402"/>
      <c r="T176" s="3402"/>
      <c r="U176" s="3402"/>
      <c r="V176" s="3402"/>
      <c r="W176" s="3402"/>
      <c r="X176" s="3402"/>
      <c r="Y176" s="3403">
        <f>SUM(Y173+Y175)</f>
        <v>143458.20000000001</v>
      </c>
      <c r="Z176" s="3402"/>
      <c r="AA176" s="3403" t="e">
        <f t="shared" ref="AA176:AE176" si="1117">SUM(AA173+AA175)</f>
        <v>#REF!</v>
      </c>
      <c r="AB176" s="3403" t="e">
        <f t="shared" si="1117"/>
        <v>#REF!</v>
      </c>
      <c r="AC176" s="3403" t="e">
        <f t="shared" si="1117"/>
        <v>#REF!</v>
      </c>
      <c r="AD176" s="3403" t="e">
        <f t="shared" si="1117"/>
        <v>#REF!</v>
      </c>
      <c r="AE176" s="3403">
        <f t="shared" si="1117"/>
        <v>114144.72939110002</v>
      </c>
      <c r="AF176" s="3403">
        <f t="shared" ref="AF176" si="1118">SUM(AF173+AF175)</f>
        <v>113340.15483007004</v>
      </c>
      <c r="AG176" s="3403">
        <f t="shared" ref="AG176" si="1119">SUM(AG173+AG175)</f>
        <v>804.57456102995798</v>
      </c>
      <c r="AH176" s="3403">
        <f t="shared" ref="AH176:AJ176" si="1120">SUM(AH173+AH175)</f>
        <v>131924.00432999997</v>
      </c>
      <c r="AI176" s="3404" t="e">
        <f t="shared" si="814"/>
        <v>#REF!</v>
      </c>
      <c r="AJ176" s="3403">
        <f t="shared" si="1120"/>
        <v>131090.36433000001</v>
      </c>
      <c r="AK176" s="3403">
        <f t="shared" ref="AK176:AL176" si="1121">SUM(AK173+AK175)</f>
        <v>833.64</v>
      </c>
      <c r="AL176" s="3403" t="e">
        <f t="shared" si="1121"/>
        <v>#REF!</v>
      </c>
      <c r="AM176" s="3404" t="e">
        <f t="shared" si="815"/>
        <v>#REF!</v>
      </c>
      <c r="AN176" s="3403" t="e">
        <f t="shared" ref="AN176" si="1122">SUM(AN173+AN175)</f>
        <v>#REF!</v>
      </c>
      <c r="AO176" s="3403">
        <f t="shared" ref="AO176" si="1123">SUM(AO173+AO175)</f>
        <v>868.73192603721361</v>
      </c>
      <c r="AP176" s="3402"/>
      <c r="AQ176" s="3402"/>
      <c r="AR176" s="3402"/>
      <c r="AS176" s="3402"/>
      <c r="AT176" s="3403">
        <f t="shared" ref="AT176" si="1124">SUM(AT173+AT175)</f>
        <v>56673.297081400007</v>
      </c>
      <c r="AU176" s="3403">
        <f t="shared" ref="AU176" si="1125">SUM(AU173+AU175)</f>
        <v>56463.165167590269</v>
      </c>
      <c r="AV176" s="3403">
        <f t="shared" ref="AV176" si="1126">SUM(AV173+AV175)</f>
        <v>210.13191380973541</v>
      </c>
      <c r="AW176" s="3403">
        <f t="shared" ref="AW176" si="1127">SUM(AW173+AW175)</f>
        <v>116214.42000000001</v>
      </c>
      <c r="AX176" s="3403">
        <f t="shared" ref="AX176" si="1128">SUM(AX173+AX175)</f>
        <v>115906.65000000001</v>
      </c>
      <c r="AY176" s="3403">
        <f t="shared" ref="AY176:AZ176" si="1129">SUM(AY173+AY175)</f>
        <v>307.77</v>
      </c>
      <c r="AZ176" s="3403">
        <f t="shared" si="1129"/>
        <v>143450.20019208643</v>
      </c>
      <c r="BA176" s="3405" t="e">
        <f t="shared" si="817"/>
        <v>#REF!</v>
      </c>
      <c r="BB176" s="3403">
        <f t="shared" ref="BB176" si="1130">SUM(BB173+BB175)</f>
        <v>144300.80440115422</v>
      </c>
      <c r="BC176" s="3403">
        <f t="shared" ref="BC176" si="1131">SUM(BC173+BC175)</f>
        <v>486.88179093217639</v>
      </c>
      <c r="BD176" s="3403">
        <f t="shared" ref="BD176" si="1132">SUM(BD173+BD175)</f>
        <v>130505.10263939487</v>
      </c>
      <c r="BE176" s="3403">
        <f t="shared" ref="BE176" si="1133">SUM(BE173+BE175)</f>
        <v>130160.96371419655</v>
      </c>
      <c r="BF176" s="3403">
        <f t="shared" ref="BF176:BH176" si="1134">SUM(BF173+BF175)</f>
        <v>344.13892519829574</v>
      </c>
      <c r="BG176" s="3403">
        <f t="shared" si="1134"/>
        <v>120577.88</v>
      </c>
      <c r="BH176" s="3403">
        <f t="shared" si="1134"/>
        <v>120535.93000000001</v>
      </c>
      <c r="BI176" s="3403">
        <f t="shared" ref="BI176:BK176" si="1135">SUM(BI173+BI175)</f>
        <v>41.95</v>
      </c>
      <c r="BJ176" s="3403">
        <f t="shared" si="1135"/>
        <v>134891.4</v>
      </c>
      <c r="BK176" s="3403">
        <f t="shared" si="1135"/>
        <v>134862.29999999999</v>
      </c>
      <c r="BL176" s="3403">
        <f t="shared" ref="BL176:BX176" si="1136">SUM(BL173+BL175)</f>
        <v>29.099999999999998</v>
      </c>
      <c r="BM176" s="3403"/>
      <c r="BN176" s="3403"/>
      <c r="BO176" s="3403"/>
      <c r="BP176" s="3403"/>
      <c r="BQ176" s="3403"/>
      <c r="BR176" s="3403"/>
      <c r="BS176" s="3403">
        <f>SUM(BS173+BS175)</f>
        <v>158658.21</v>
      </c>
      <c r="BT176" s="3403">
        <f t="shared" si="1136"/>
        <v>158558.91999999998</v>
      </c>
      <c r="BU176" s="3403">
        <f t="shared" si="1136"/>
        <v>99.29</v>
      </c>
      <c r="BV176" s="3403">
        <f t="shared" si="1136"/>
        <v>137237.70935394889</v>
      </c>
      <c r="BW176" s="3403">
        <f t="shared" si="1136"/>
        <v>137206.89811148541</v>
      </c>
      <c r="BX176" s="3403">
        <f t="shared" si="1136"/>
        <v>30.811242463479257</v>
      </c>
      <c r="BY176" s="3403">
        <f t="shared" ref="BY176:CA176" si="1137">SUM(BY173+BY175)</f>
        <v>163826.75456745879</v>
      </c>
      <c r="BZ176" s="3403">
        <f t="shared" si="1137"/>
        <v>163792.15655699337</v>
      </c>
      <c r="CA176" s="3403">
        <f t="shared" si="1137"/>
        <v>34.59801046541218</v>
      </c>
      <c r="CB176" s="3288"/>
      <c r="CC176" s="3400"/>
      <c r="CD176" s="3400"/>
      <c r="CE176" s="3400"/>
      <c r="CF176" s="3403">
        <f t="shared" ref="CF176:CH176" si="1138">SUM(CF173+CF175)</f>
        <v>134983.82862932203</v>
      </c>
      <c r="CG176" s="3403">
        <f t="shared" si="1138"/>
        <v>134953.31075321761</v>
      </c>
      <c r="CH176" s="3403">
        <f t="shared" si="1138"/>
        <v>30.517876104420509</v>
      </c>
      <c r="CI176" s="3403">
        <f t="shared" ref="CI176:CK176" si="1139">SUM(CI173+CI175)</f>
        <v>72796.149798500002</v>
      </c>
      <c r="CJ176" s="3403">
        <f t="shared" si="1139"/>
        <v>72783.630038500007</v>
      </c>
      <c r="CK176" s="3403">
        <f t="shared" si="1139"/>
        <v>12.51976</v>
      </c>
      <c r="CL176" s="3403">
        <f t="shared" ref="CL176:CN176" si="1140">SUM(CL173+CL175)</f>
        <v>111672.54458316999</v>
      </c>
      <c r="CM176" s="3403">
        <f t="shared" si="1140"/>
        <v>111653.58178317</v>
      </c>
      <c r="CN176" s="3403">
        <f t="shared" si="1140"/>
        <v>18.962800000000001</v>
      </c>
      <c r="CO176" s="3403">
        <f t="shared" ref="CO176:CQ176" si="1141">SUM(CO173+CO175)</f>
        <v>147941.30603787999</v>
      </c>
      <c r="CP176" s="3403">
        <f t="shared" si="1141"/>
        <v>147917.23693787999</v>
      </c>
      <c r="CQ176" s="3403">
        <f t="shared" si="1141"/>
        <v>24.069100000000002</v>
      </c>
      <c r="CR176" s="3403">
        <f t="shared" ref="CR176:CT176" si="1142">SUM(CR173+CR175)</f>
        <v>177997.77485092118</v>
      </c>
      <c r="CS176" s="3403">
        <f t="shared" si="1142"/>
        <v>177938.59485403635</v>
      </c>
      <c r="CT176" s="3403">
        <f t="shared" si="1142"/>
        <v>59.179996884835653</v>
      </c>
      <c r="CU176" s="3403">
        <f t="shared" ref="CU176:CW176" si="1143">SUM(CU173+CU175)</f>
        <v>143058.60451889149</v>
      </c>
      <c r="CV176" s="3403">
        <f t="shared" si="1143"/>
        <v>143024.81977326504</v>
      </c>
      <c r="CW176" s="3403">
        <f t="shared" si="1143"/>
        <v>33.784745626442408</v>
      </c>
      <c r="CX176" s="3403">
        <f t="shared" ref="CX176:DL176" si="1144">SUM(CX173+CX175)</f>
        <v>74098.735209999999</v>
      </c>
      <c r="CY176" s="3403">
        <f t="shared" si="1144"/>
        <v>74088.261499999993</v>
      </c>
      <c r="CZ176" s="3403">
        <f t="shared" si="1144"/>
        <v>10.473710000000001</v>
      </c>
      <c r="DA176" s="3403">
        <f t="shared" si="1144"/>
        <v>107390.35072100001</v>
      </c>
      <c r="DB176" s="3403">
        <f t="shared" si="1144"/>
        <v>107372.86429100001</v>
      </c>
      <c r="DC176" s="3403">
        <f t="shared" si="1144"/>
        <v>17.486429999999999</v>
      </c>
      <c r="DD176" s="3403">
        <f t="shared" si="1144"/>
        <v>143671.55359</v>
      </c>
      <c r="DE176" s="3403">
        <f t="shared" si="1144"/>
        <v>143650.99627</v>
      </c>
      <c r="DF176" s="3403">
        <f t="shared" si="1144"/>
        <v>20.557320000000001</v>
      </c>
      <c r="DG176" s="3403">
        <f t="shared" si="1144"/>
        <v>178812.49834848748</v>
      </c>
      <c r="DH176" s="3403">
        <f t="shared" si="1144"/>
        <v>178777.77565345768</v>
      </c>
      <c r="DI176" s="3403">
        <f t="shared" si="1144"/>
        <v>34.722695029798096</v>
      </c>
      <c r="DJ176" s="3403">
        <f t="shared" si="1144"/>
        <v>158822.15160763048</v>
      </c>
      <c r="DK176" s="3403">
        <f t="shared" si="1144"/>
        <v>158783.43134637238</v>
      </c>
      <c r="DL176" s="3403">
        <f t="shared" si="1144"/>
        <v>38.720261258094759</v>
      </c>
      <c r="DM176" s="3403">
        <f t="shared" ref="DM176:DO176" si="1145">SUM(DM173+DM175)</f>
        <v>73665.988570274683</v>
      </c>
      <c r="DN176" s="3403">
        <f t="shared" si="1145"/>
        <v>73656.467650274688</v>
      </c>
      <c r="DO176" s="3403">
        <f t="shared" si="1145"/>
        <v>9.5209200000000003</v>
      </c>
      <c r="DP176" s="3403">
        <f t="shared" ref="DP176:DR176" si="1146">SUM(DP173+DP175)</f>
        <v>113474.5004766036</v>
      </c>
      <c r="DQ176" s="3403">
        <f t="shared" si="1146"/>
        <v>110591.7641566036</v>
      </c>
      <c r="DR176" s="3403">
        <f t="shared" si="1146"/>
        <v>2882.7363200000004</v>
      </c>
      <c r="DS176" s="3403">
        <f t="shared" ref="DS176:DU176" si="1147">SUM(DS173+DS175)</f>
        <v>154009.71968063922</v>
      </c>
      <c r="DT176" s="3403">
        <f t="shared" si="1147"/>
        <v>153489.48652063921</v>
      </c>
      <c r="DU176" s="3403">
        <f t="shared" si="1147"/>
        <v>520.23315999999988</v>
      </c>
      <c r="DV176" s="3403">
        <f t="shared" ref="DV176:EA176" si="1148">SUM(DV173+DV175)</f>
        <v>210614.63506180403</v>
      </c>
      <c r="DW176" s="3403">
        <f t="shared" si="1148"/>
        <v>210576.02586989829</v>
      </c>
      <c r="DX176" s="3403">
        <f t="shared" si="1148"/>
        <v>38.609191905739003</v>
      </c>
      <c r="DY176" s="3403">
        <f t="shared" si="1148"/>
        <v>104829.69903036878</v>
      </c>
      <c r="DZ176" s="3403">
        <f t="shared" si="1148"/>
        <v>91988.343527025252</v>
      </c>
      <c r="EA176" s="3403">
        <f t="shared" si="1148"/>
        <v>12841.355503343524</v>
      </c>
      <c r="EB176" s="3403">
        <f t="shared" ref="EB176:EM176" si="1149">SUM(EB173+EB175)</f>
        <v>223532.96940791694</v>
      </c>
      <c r="EC176" s="3403">
        <f t="shared" si="1149"/>
        <v>223494.36021601121</v>
      </c>
      <c r="ED176" s="3403">
        <f t="shared" si="1149"/>
        <v>38.609191905739003</v>
      </c>
      <c r="EE176" s="3403">
        <f t="shared" si="1149"/>
        <v>187271.03563082145</v>
      </c>
      <c r="EF176" s="3403">
        <f t="shared" si="1149"/>
        <v>187235.88766677174</v>
      </c>
      <c r="EG176" s="3403">
        <f t="shared" si="1149"/>
        <v>35.147964049723484</v>
      </c>
      <c r="EH176" s="3403"/>
      <c r="EI176" s="3403"/>
      <c r="EJ176" s="3403"/>
      <c r="EK176" s="3403">
        <f t="shared" si="1149"/>
        <v>174388.62686118003</v>
      </c>
      <c r="EL176" s="3403">
        <f t="shared" si="1149"/>
        <v>174370.69016314004</v>
      </c>
      <c r="EM176" s="3403">
        <f t="shared" si="1149"/>
        <v>17.93669804</v>
      </c>
    </row>
    <row r="177" spans="1:143" ht="39.950000000000003" hidden="1" customHeight="1" x14ac:dyDescent="0.35">
      <c r="A177" s="3407" t="s">
        <v>311</v>
      </c>
      <c r="B177" s="3402"/>
      <c r="C177" s="3402"/>
      <c r="D177" s="3402"/>
      <c r="E177" s="3402"/>
      <c r="F177" s="3402"/>
      <c r="G177" s="3402"/>
      <c r="H177" s="3402"/>
      <c r="I177" s="3402"/>
      <c r="J177" s="3402"/>
      <c r="K177" s="3402"/>
      <c r="L177" s="3402"/>
      <c r="M177" s="3402"/>
      <c r="N177" s="3402"/>
      <c r="O177" s="3402"/>
      <c r="P177" s="3402"/>
      <c r="Q177" s="3402"/>
      <c r="R177" s="3402"/>
      <c r="S177" s="3402"/>
      <c r="T177" s="3402"/>
      <c r="U177" s="3402"/>
      <c r="V177" s="3402"/>
      <c r="W177" s="3402"/>
      <c r="X177" s="3402"/>
      <c r="Y177" s="3406">
        <f>SUM(Y176/Y167)</f>
        <v>35.864550000000001</v>
      </c>
      <c r="Z177" s="3402"/>
      <c r="AA177" s="3406" t="e">
        <f t="shared" ref="AA177:AE177" si="1150">SUM(AA176/AA167)</f>
        <v>#REF!</v>
      </c>
      <c r="AB177" s="3406" t="e">
        <f t="shared" si="1150"/>
        <v>#REF!</v>
      </c>
      <c r="AC177" s="3406" t="e">
        <f t="shared" si="1150"/>
        <v>#REF!</v>
      </c>
      <c r="AD177" s="3406" t="e">
        <f t="shared" si="1150"/>
        <v>#REF!</v>
      </c>
      <c r="AE177" s="3406">
        <f t="shared" si="1150"/>
        <v>28.260641097078487</v>
      </c>
      <c r="AF177" s="3406">
        <f t="shared" ref="AF177" si="1151">SUM(AF176/AF167)</f>
        <v>28.411750433688468</v>
      </c>
      <c r="AG177" s="3406">
        <f t="shared" ref="AG177" si="1152">SUM(AG176/AG167)</f>
        <v>16.156115683332491</v>
      </c>
      <c r="AH177" s="3406">
        <f t="shared" ref="AH177:AJ177" si="1153">SUM(AH176/AH167)</f>
        <v>32.554536652354152</v>
      </c>
      <c r="AI177" s="3404" t="e">
        <f t="shared" si="814"/>
        <v>#REF!</v>
      </c>
      <c r="AJ177" s="3406">
        <f t="shared" si="1153"/>
        <v>32.721300444053945</v>
      </c>
      <c r="AK177" s="3406">
        <f t="shared" ref="AK177:AL177" si="1154">SUM(AK176/AK167)</f>
        <v>18.071536960763058</v>
      </c>
      <c r="AL177" s="3406" t="e">
        <f t="shared" si="1154"/>
        <v>#REF!</v>
      </c>
      <c r="AM177" s="3404" t="e">
        <f t="shared" si="815"/>
        <v>#REF!</v>
      </c>
      <c r="AN177" s="3406" t="e">
        <f t="shared" ref="AN177" si="1155">SUM(AN176/AN167)</f>
        <v>#REF!</v>
      </c>
      <c r="AO177" s="3406">
        <f t="shared" ref="AO177" si="1156">SUM(AO176/AO167)</f>
        <v>18.832255062588633</v>
      </c>
      <c r="AP177" s="3402"/>
      <c r="AQ177" s="3402"/>
      <c r="AR177" s="3402"/>
      <c r="AS177" s="3402"/>
      <c r="AT177" s="3406">
        <f t="shared" ref="AT177" si="1157">SUM(AT176/AT167)</f>
        <v>28.472176098930916</v>
      </c>
      <c r="AU177" s="3406">
        <f t="shared" ref="AU177" si="1158">SUM(AU176/AU167)</f>
        <v>28.563201351485887</v>
      </c>
      <c r="AV177" s="3406">
        <f t="shared" ref="AV177" si="1159">SUM(AV176/AV167)</f>
        <v>15.338095898520834</v>
      </c>
      <c r="AW177" s="3406">
        <f t="shared" ref="AW177" si="1160">SUM(AW176/AW167)</f>
        <v>30.741139873347407</v>
      </c>
      <c r="AX177" s="3406">
        <f t="shared" ref="AX177" si="1161">SUM(AX176/AX167)</f>
        <v>30.8082106214449</v>
      </c>
      <c r="AY177" s="3406">
        <f t="shared" ref="AY177:AZ177" si="1162">SUM(AY176/AY167)</f>
        <v>16.891877058177826</v>
      </c>
      <c r="AZ177" s="3406">
        <f t="shared" si="1162"/>
        <v>35.767435495181047</v>
      </c>
      <c r="BA177" s="3405" t="e">
        <f t="shared" si="817"/>
        <v>#REF!</v>
      </c>
      <c r="BB177" s="3406">
        <f t="shared" ref="BB177" si="1163">SUM(BB176/BB167)</f>
        <v>36.172713693227074</v>
      </c>
      <c r="BC177" s="3406">
        <f t="shared" ref="BC177" si="1164">SUM(BC176/BC167)</f>
        <v>22.730242340437737</v>
      </c>
      <c r="BD177" s="3406">
        <f t="shared" ref="BD177" si="1165">SUM(BD176/BD167)</f>
        <v>32.539744344700075</v>
      </c>
      <c r="BE177" s="3406">
        <f t="shared" ref="BE177" si="1166">SUM(BE176/BE167)</f>
        <v>32.628198394370763</v>
      </c>
      <c r="BF177" s="3406">
        <f t="shared" ref="BF177:BH177" si="1167">SUM(BF176/BF167)</f>
        <v>16.066243006456382</v>
      </c>
      <c r="BG177" s="3406">
        <f t="shared" si="1167"/>
        <v>33.787241435352534</v>
      </c>
      <c r="BH177" s="3406">
        <f t="shared" si="1167"/>
        <v>33.798216098296855</v>
      </c>
      <c r="BI177" s="3406">
        <f t="shared" ref="BI177:BK177" si="1168">SUM(BI176/BI167)</f>
        <v>17.479166666666668</v>
      </c>
      <c r="BJ177" s="3406">
        <f t="shared" si="1168"/>
        <v>36.88005971177585</v>
      </c>
      <c r="BK177" s="3406">
        <f t="shared" si="1168"/>
        <v>36.88995568685376</v>
      </c>
      <c r="BL177" s="3406">
        <f t="shared" ref="BL177:BX177" si="1169">SUM(BL176/BL167)</f>
        <v>16.440677966101692</v>
      </c>
      <c r="BM177" s="3406"/>
      <c r="BN177" s="3406"/>
      <c r="BO177" s="3406"/>
      <c r="BP177" s="3406"/>
      <c r="BQ177" s="3406"/>
      <c r="BR177" s="3406"/>
      <c r="BS177" s="3406">
        <f t="shared" si="1169"/>
        <v>44.01059916782247</v>
      </c>
      <c r="BT177" s="3406">
        <f t="shared" si="1169"/>
        <v>44.044144444444441</v>
      </c>
      <c r="BU177" s="3406">
        <f t="shared" si="1169"/>
        <v>19.858000000000001</v>
      </c>
      <c r="BV177" s="3406">
        <f t="shared" si="1169"/>
        <v>37.472121993070537</v>
      </c>
      <c r="BW177" s="3406">
        <f t="shared" si="1169"/>
        <v>37.481823728213598</v>
      </c>
      <c r="BX177" s="3406">
        <f t="shared" si="1169"/>
        <v>17.407481617784892</v>
      </c>
      <c r="BY177" s="3406">
        <f t="shared" ref="BY177:CA177" si="1170">SUM(BY176/BY167)</f>
        <v>44.732137848845547</v>
      </c>
      <c r="BZ177" s="3406">
        <f t="shared" si="1170"/>
        <v>44.744315516446207</v>
      </c>
      <c r="CA177" s="3406">
        <f t="shared" si="1170"/>
        <v>19.54689856802948</v>
      </c>
      <c r="CB177" s="3288"/>
      <c r="CC177" s="3400"/>
      <c r="CD177" s="3400"/>
      <c r="CE177" s="3400"/>
      <c r="CF177" s="3406">
        <f t="shared" ref="CF177:CH177" si="1171">SUM(CF176/CF167)</f>
        <v>38.847285581706217</v>
      </c>
      <c r="CG177" s="3406">
        <f t="shared" si="1171"/>
        <v>38.858296886004339</v>
      </c>
      <c r="CH177" s="3406">
        <f t="shared" si="1171"/>
        <v>17.241737912101982</v>
      </c>
      <c r="CI177" s="3406">
        <f t="shared" ref="CI177:CK177" si="1172">SUM(CI176/CI167)</f>
        <v>41.562436189151057</v>
      </c>
      <c r="CJ177" s="3406">
        <f t="shared" si="1172"/>
        <v>41.568531277646009</v>
      </c>
      <c r="CK177" s="3406">
        <f t="shared" si="1172"/>
        <v>22.436845878136197</v>
      </c>
      <c r="CL177" s="3406">
        <f t="shared" ref="CL177:CN177" si="1173">SUM(CL176/CL167)</f>
        <v>42.31211457738673</v>
      </c>
      <c r="CM177" s="3406">
        <f t="shared" si="1173"/>
        <v>42.318221980349655</v>
      </c>
      <c r="CN177" s="3406">
        <f t="shared" si="1173"/>
        <v>22.874306393244876</v>
      </c>
      <c r="CO177" s="3406">
        <f t="shared" ref="CO177:CQ177" si="1174">SUM(CO176/CO167)</f>
        <v>41.921570471731101</v>
      </c>
      <c r="CP177" s="3406">
        <f t="shared" si="1174"/>
        <v>41.928163779671202</v>
      </c>
      <c r="CQ177" s="3406">
        <f t="shared" si="1174"/>
        <v>21.318954827280781</v>
      </c>
      <c r="CR177" s="3406">
        <f t="shared" ref="CR177:CT177" si="1175">SUM(CR176/CR167)</f>
        <v>51.226361429786259</v>
      </c>
      <c r="CS177" s="3406">
        <f t="shared" si="1175"/>
        <v>51.235428814048063</v>
      </c>
      <c r="CT177" s="3406">
        <f t="shared" si="1175"/>
        <v>33.435026488607711</v>
      </c>
      <c r="CU177" s="3406">
        <f t="shared" ref="CU177:CW177" si="1176">SUM(CU176/CU167)</f>
        <v>40.798819508862373</v>
      </c>
      <c r="CV177" s="3406">
        <f t="shared" si="1176"/>
        <v>40.809782311391672</v>
      </c>
      <c r="CW177" s="3406">
        <f t="shared" si="1176"/>
        <v>19.08958392272709</v>
      </c>
      <c r="CX177" s="3406">
        <f t="shared" ref="CX177:DL177" si="1177">SUM(CX176/CX167)</f>
        <v>41.889180710522737</v>
      </c>
      <c r="CY177" s="3406">
        <f t="shared" si="1177"/>
        <v>41.896073076970929</v>
      </c>
      <c r="CZ177" s="3406">
        <f t="shared" si="1177"/>
        <v>19.359907578558225</v>
      </c>
      <c r="DA177" s="3406">
        <f t="shared" si="1177"/>
        <v>40.785580629969772</v>
      </c>
      <c r="DB177" s="3406">
        <f t="shared" si="1177"/>
        <v>40.790186413815036</v>
      </c>
      <c r="DC177" s="3406">
        <f t="shared" si="1177"/>
        <v>24.085991735537188</v>
      </c>
      <c r="DD177" s="3406">
        <f t="shared" si="1177"/>
        <v>40.638347394571831</v>
      </c>
      <c r="DE177" s="3406">
        <f t="shared" si="1177"/>
        <v>40.643247077257286</v>
      </c>
      <c r="DF177" s="3406">
        <f t="shared" si="1177"/>
        <v>22.057210300429183</v>
      </c>
      <c r="DG177" s="3406">
        <f t="shared" si="1177"/>
        <v>50.995456516460791</v>
      </c>
      <c r="DH177" s="3406">
        <f t="shared" si="1177"/>
        <v>51.011300822461934</v>
      </c>
      <c r="DI177" s="3406">
        <f t="shared" si="1177"/>
        <v>19.619558724035539</v>
      </c>
      <c r="DJ177" s="3406">
        <f t="shared" si="1177"/>
        <v>45.338069951118356</v>
      </c>
      <c r="DK177" s="3406">
        <f t="shared" si="1177"/>
        <v>45.349928154097427</v>
      </c>
      <c r="DL177" s="3406">
        <f t="shared" si="1177"/>
        <v>21.878325945358096</v>
      </c>
      <c r="DM177" s="3406">
        <f t="shared" ref="DM177:DO177" si="1178">SUM(DM176/DM167)</f>
        <v>40.690156649490852</v>
      </c>
      <c r="DN177" s="3406">
        <f t="shared" si="1178"/>
        <v>40.694203505236572</v>
      </c>
      <c r="DO177" s="3406">
        <f t="shared" si="1178"/>
        <v>22.997391304347829</v>
      </c>
      <c r="DP177" s="3406">
        <f t="shared" ref="DP177:DR177" si="1179">SUM(DP176/DP167)</f>
        <v>42.61563646657325</v>
      </c>
      <c r="DQ177" s="3406">
        <f t="shared" si="1179"/>
        <v>41.542347127560468</v>
      </c>
      <c r="DR177" s="3406">
        <f t="shared" si="1179"/>
        <v>4820.6292976588638</v>
      </c>
      <c r="DS177" s="3406">
        <f t="shared" ref="DS177:EA177" si="1180">SUM(DS176/DS167)</f>
        <v>43.222329963319247</v>
      </c>
      <c r="DT177" s="3406">
        <f t="shared" si="1180"/>
        <v>43.085784063579105</v>
      </c>
      <c r="DU177" s="3406">
        <f t="shared" si="1180"/>
        <v>665.25979539641924</v>
      </c>
      <c r="DV177" s="3406">
        <f t="shared" si="1180"/>
        <v>60.122980078696834</v>
      </c>
      <c r="DW177" s="3406">
        <f t="shared" si="1180"/>
        <v>60.142343336463121</v>
      </c>
      <c r="DX177" s="3406">
        <f t="shared" si="1180"/>
        <v>21.815567807514409</v>
      </c>
      <c r="DY177" s="3406" t="e">
        <f t="shared" si="1180"/>
        <v>#DIV/0!</v>
      </c>
      <c r="DZ177" s="3406" t="e">
        <f t="shared" si="1180"/>
        <v>#DIV/0!</v>
      </c>
      <c r="EA177" s="3406" t="e">
        <f t="shared" si="1180"/>
        <v>#DIV/0!</v>
      </c>
      <c r="EB177" s="3406">
        <f t="shared" ref="EB177:EM177" si="1181">SUM(EB176/EB167)</f>
        <v>63.810704620314638</v>
      </c>
      <c r="EC177" s="3406">
        <f t="shared" si="1181"/>
        <v>63.831931913175879</v>
      </c>
      <c r="ED177" s="3406">
        <f t="shared" si="1181"/>
        <v>21.815567807514409</v>
      </c>
      <c r="EE177" s="3406">
        <f t="shared" si="1181"/>
        <v>52.671630268299367</v>
      </c>
      <c r="EF177" s="3406">
        <f t="shared" si="1181"/>
        <v>52.681762644606714</v>
      </c>
      <c r="EG177" s="3406">
        <f t="shared" si="1181"/>
        <v>26.016257623777562</v>
      </c>
      <c r="EH177" s="3406"/>
      <c r="EI177" s="3406"/>
      <c r="EJ177" s="3406"/>
      <c r="EK177" s="3406">
        <f t="shared" si="1181"/>
        <v>46.188922220908225</v>
      </c>
      <c r="EL177" s="3406">
        <f t="shared" si="1181"/>
        <v>46.193849352680701</v>
      </c>
      <c r="EM177" s="3406">
        <f t="shared" si="1181"/>
        <v>22.675977294563843</v>
      </c>
    </row>
    <row r="178" spans="1:143" ht="18.75" hidden="1" x14ac:dyDescent="0.3">
      <c r="A178" s="3399"/>
      <c r="B178" s="3399"/>
      <c r="C178" s="3399"/>
      <c r="D178" s="3399"/>
      <c r="E178" s="3399"/>
      <c r="F178" s="3399"/>
      <c r="G178" s="3399"/>
      <c r="H178" s="3399"/>
      <c r="I178" s="3399"/>
      <c r="J178" s="3399"/>
      <c r="K178" s="3399"/>
      <c r="L178" s="3399"/>
      <c r="M178" s="3399"/>
      <c r="N178" s="3399"/>
      <c r="O178" s="3399"/>
      <c r="P178" s="3399"/>
      <c r="Q178" s="3399"/>
      <c r="R178" s="3399"/>
      <c r="S178" s="3399"/>
      <c r="T178" s="3399"/>
      <c r="U178" s="3399"/>
      <c r="V178" s="3399"/>
      <c r="W178" s="3399"/>
      <c r="X178" s="3399"/>
      <c r="Y178" s="3399"/>
      <c r="Z178" s="3399"/>
      <c r="AA178" s="3399"/>
      <c r="AB178" s="3399"/>
      <c r="AC178" s="3399"/>
      <c r="AD178" s="3399"/>
      <c r="AE178" s="3399"/>
      <c r="AF178" s="3399"/>
      <c r="AG178" s="3399"/>
      <c r="AH178" s="3399"/>
      <c r="AI178" s="3399"/>
      <c r="AJ178" s="3399"/>
      <c r="AK178" s="3399"/>
      <c r="AL178" s="3399"/>
      <c r="AM178" s="3399"/>
      <c r="AN178" s="3399"/>
      <c r="AO178" s="3399"/>
      <c r="AP178" s="3399"/>
      <c r="AQ178" s="3399"/>
      <c r="AR178" s="3399"/>
      <c r="AS178" s="3399"/>
      <c r="AT178" s="3399"/>
      <c r="AU178" s="3399"/>
      <c r="AV178" s="3399"/>
      <c r="AW178" s="3399"/>
      <c r="AX178" s="3399"/>
      <c r="AY178" s="3399"/>
      <c r="AZ178" s="3399"/>
      <c r="BA178" s="3401"/>
      <c r="BB178" s="3399">
        <f>BE178</f>
        <v>31.52</v>
      </c>
      <c r="BC178" s="3399"/>
      <c r="BD178" s="3399"/>
      <c r="BE178" s="3399">
        <v>31.52</v>
      </c>
      <c r="BF178" s="3399"/>
      <c r="BG178" s="3408"/>
      <c r="BH178" s="3408"/>
      <c r="BI178" s="3408"/>
      <c r="BJ178" s="3408"/>
      <c r="BK178" s="3408"/>
      <c r="BL178" s="3408"/>
      <c r="BM178" s="3408"/>
      <c r="BN178" s="3408"/>
      <c r="BO178" s="3408"/>
      <c r="BP178" s="3408"/>
      <c r="BQ178" s="3408"/>
      <c r="BR178" s="3408"/>
      <c r="BS178" s="3408"/>
      <c r="BT178" s="3408"/>
      <c r="BU178" s="3408"/>
      <c r="BV178" s="3408"/>
      <c r="BW178" s="3408"/>
      <c r="BX178" s="3408"/>
      <c r="BY178" s="3408"/>
      <c r="BZ178" s="3408"/>
      <c r="CA178" s="3408"/>
      <c r="CB178" s="3400"/>
      <c r="CC178" s="3400"/>
      <c r="CD178" s="3400"/>
      <c r="CE178" s="3400"/>
      <c r="CF178" s="3400"/>
      <c r="CG178" s="3400"/>
      <c r="CH178" s="3400"/>
      <c r="CI178" s="3400"/>
      <c r="CJ178" s="3400"/>
      <c r="CK178" s="3400"/>
      <c r="CL178" s="3400"/>
      <c r="CM178" s="3400"/>
      <c r="CN178" s="3400"/>
      <c r="CO178" s="3400"/>
      <c r="CP178" s="3400"/>
      <c r="CQ178" s="3400"/>
      <c r="CR178" s="3400"/>
      <c r="CS178" s="3400"/>
      <c r="CT178" s="3400"/>
      <c r="CU178" s="3400"/>
      <c r="CV178" s="3400"/>
      <c r="CW178" s="3400"/>
      <c r="CX178" s="3400"/>
      <c r="CY178" s="3400"/>
      <c r="CZ178" s="3400"/>
      <c r="DA178" s="3400"/>
      <c r="DB178" s="3400"/>
      <c r="DC178" s="3400"/>
      <c r="DD178" s="3400"/>
      <c r="DE178" s="3400"/>
      <c r="DF178" s="3400"/>
      <c r="DG178" s="3400"/>
      <c r="DH178" s="3400"/>
      <c r="DI178" s="3400"/>
      <c r="DJ178" s="3664"/>
      <c r="DK178" s="3664"/>
      <c r="DL178" s="3664"/>
      <c r="DM178" s="3400"/>
      <c r="DN178" s="3400"/>
      <c r="DO178" s="3400"/>
      <c r="DP178" s="3400"/>
      <c r="DQ178" s="3400"/>
      <c r="DR178" s="3400"/>
      <c r="DS178" s="3400"/>
      <c r="DT178" s="3400"/>
      <c r="DU178" s="3400"/>
      <c r="DV178" s="3400"/>
      <c r="DW178" s="3400"/>
      <c r="DX178" s="3400"/>
      <c r="DY178" s="3664"/>
      <c r="DZ178" s="3664"/>
      <c r="EA178" s="3664"/>
      <c r="EB178" s="3400"/>
      <c r="EC178" s="3400"/>
      <c r="ED178" s="3400"/>
      <c r="EE178" s="3664"/>
      <c r="EF178" s="3664"/>
      <c r="EG178" s="3664"/>
      <c r="EH178" s="3664"/>
      <c r="EI178" s="3664"/>
      <c r="EJ178" s="3664"/>
      <c r="EK178" s="3400"/>
      <c r="EL178" s="3400"/>
      <c r="EM178" s="3400"/>
    </row>
    <row r="179" spans="1:143" ht="18.75" hidden="1" x14ac:dyDescent="0.3">
      <c r="A179" s="3399"/>
      <c r="B179" s="3399"/>
      <c r="C179" s="3399"/>
      <c r="D179" s="3399"/>
      <c r="E179" s="3399"/>
      <c r="F179" s="3399"/>
      <c r="G179" s="3399"/>
      <c r="H179" s="3399"/>
      <c r="I179" s="3399"/>
      <c r="J179" s="3399"/>
      <c r="K179" s="3399"/>
      <c r="L179" s="3399"/>
      <c r="M179" s="3399"/>
      <c r="N179" s="3399"/>
      <c r="O179" s="3399"/>
      <c r="P179" s="3399"/>
      <c r="Q179" s="3399"/>
      <c r="R179" s="3399"/>
      <c r="S179" s="3399"/>
      <c r="T179" s="3399"/>
      <c r="U179" s="3399"/>
      <c r="V179" s="3399"/>
      <c r="W179" s="3399"/>
      <c r="X179" s="3399"/>
      <c r="Y179" s="3399"/>
      <c r="Z179" s="3399"/>
      <c r="AA179" s="3399"/>
      <c r="AB179" s="3399"/>
      <c r="AC179" s="3399"/>
      <c r="AD179" s="3399"/>
      <c r="AE179" s="3399"/>
      <c r="AF179" s="3399"/>
      <c r="AG179" s="3399"/>
      <c r="AH179" s="3399"/>
      <c r="AI179" s="3399"/>
      <c r="AJ179" s="3399"/>
      <c r="AK179" s="3399"/>
      <c r="AL179" s="3399"/>
      <c r="AM179" s="3399"/>
      <c r="AN179" s="3399"/>
      <c r="AO179" s="3399"/>
      <c r="AP179" s="3399"/>
      <c r="AQ179" s="3399"/>
      <c r="AR179" s="3399"/>
      <c r="AS179" s="3399"/>
      <c r="AT179" s="3399"/>
      <c r="AU179" s="3399"/>
      <c r="AV179" s="3399"/>
      <c r="AW179" s="3399"/>
      <c r="AX179" s="3399"/>
      <c r="AY179" s="3399"/>
      <c r="AZ179" s="3399"/>
      <c r="BA179" s="3401"/>
      <c r="BB179" s="3399"/>
      <c r="BC179" s="3399"/>
      <c r="BD179" s="3399"/>
      <c r="BE179" s="3399"/>
      <c r="BF179" s="3399"/>
      <c r="BG179" s="3408"/>
      <c r="BH179" s="3408"/>
      <c r="BI179" s="3408"/>
      <c r="BJ179" s="3408"/>
      <c r="BK179" s="3408"/>
      <c r="BL179" s="3408"/>
      <c r="BM179" s="3408"/>
      <c r="BN179" s="3408"/>
      <c r="BO179" s="3408"/>
      <c r="BP179" s="3408"/>
      <c r="BQ179" s="3408"/>
      <c r="BR179" s="3408"/>
      <c r="BS179" s="3408"/>
      <c r="BT179" s="3408"/>
      <c r="BU179" s="3408"/>
      <c r="BV179" s="3408"/>
      <c r="BW179" s="3408"/>
      <c r="BX179" s="3408"/>
      <c r="BY179" s="3408"/>
      <c r="BZ179" s="3408"/>
      <c r="CA179" s="3408"/>
      <c r="CB179" s="3400"/>
      <c r="CC179" s="3400"/>
      <c r="CD179" s="3400"/>
      <c r="CE179" s="3400"/>
      <c r="CF179" s="3400"/>
      <c r="CG179" s="3400"/>
      <c r="CH179" s="3400"/>
      <c r="CI179" s="3400"/>
      <c r="CJ179" s="3400"/>
      <c r="CK179" s="3400"/>
      <c r="CL179" s="3400"/>
      <c r="CM179" s="3400"/>
      <c r="CN179" s="3400"/>
      <c r="CO179" s="3400"/>
      <c r="CP179" s="3400"/>
      <c r="CQ179" s="3400"/>
      <c r="CR179" s="3400"/>
      <c r="CS179" s="3400"/>
      <c r="CT179" s="3400"/>
      <c r="CU179" s="3400"/>
      <c r="CV179" s="3400"/>
      <c r="CW179" s="3400"/>
      <c r="CX179" s="3400"/>
      <c r="CY179" s="3400"/>
      <c r="CZ179" s="3400"/>
      <c r="DA179" s="3400"/>
      <c r="DB179" s="3400"/>
      <c r="DC179" s="3400"/>
      <c r="DD179" s="3400"/>
      <c r="DE179" s="3400"/>
      <c r="DF179" s="3400"/>
      <c r="DG179" s="3400"/>
      <c r="DH179" s="3400"/>
      <c r="DI179" s="3400"/>
      <c r="DJ179" s="3664"/>
      <c r="DK179" s="3664"/>
      <c r="DL179" s="3664"/>
      <c r="DM179" s="3400"/>
      <c r="DN179" s="3400"/>
      <c r="DO179" s="3400"/>
      <c r="DP179" s="3400"/>
      <c r="DQ179" s="3400"/>
      <c r="DR179" s="3400"/>
      <c r="DS179" s="3400"/>
      <c r="DT179" s="3400"/>
      <c r="DU179" s="3400"/>
      <c r="DV179" s="3400"/>
      <c r="DW179" s="3400"/>
      <c r="DX179" s="3400"/>
      <c r="DY179" s="3664"/>
      <c r="DZ179" s="3664"/>
      <c r="EA179" s="3664"/>
      <c r="EB179" s="3400"/>
      <c r="EC179" s="3400"/>
      <c r="ED179" s="3400"/>
      <c r="EE179" s="3664"/>
      <c r="EF179" s="3664"/>
      <c r="EG179" s="3664"/>
      <c r="EH179" s="3664"/>
      <c r="EI179" s="3664"/>
      <c r="EJ179" s="3664"/>
      <c r="EK179" s="3400"/>
      <c r="EL179" s="3400"/>
      <c r="EM179" s="3400"/>
    </row>
    <row r="180" spans="1:143" ht="18.75" hidden="1" x14ac:dyDescent="0.3">
      <c r="A180" s="2617"/>
      <c r="B180" s="2617"/>
      <c r="C180" s="2617"/>
      <c r="D180" s="2617"/>
      <c r="E180" s="2617"/>
      <c r="F180" s="2617"/>
      <c r="G180" s="2617"/>
      <c r="H180" s="2617"/>
      <c r="I180" s="2617"/>
      <c r="J180" s="2617"/>
      <c r="K180" s="2617"/>
      <c r="L180" s="2617"/>
      <c r="M180" s="2617"/>
      <c r="N180" s="2617"/>
      <c r="O180" s="2617"/>
      <c r="P180" s="2617"/>
      <c r="Q180" s="2617"/>
      <c r="R180" s="2617"/>
      <c r="S180" s="2617"/>
      <c r="T180" s="2617"/>
      <c r="U180" s="2617"/>
      <c r="V180" s="2617"/>
      <c r="W180" s="2617"/>
      <c r="X180" s="2617"/>
      <c r="Y180" s="2617"/>
      <c r="Z180" s="2617"/>
      <c r="AA180" s="2617"/>
      <c r="AB180" s="2617"/>
      <c r="AC180" s="2617"/>
      <c r="AD180" s="2617"/>
      <c r="AE180" s="2617"/>
      <c r="AF180" s="2617"/>
      <c r="AG180" s="2617"/>
      <c r="AH180" s="2617"/>
      <c r="AI180" s="2617"/>
      <c r="AJ180" s="2617"/>
      <c r="AK180" s="2617"/>
      <c r="AL180" s="2617"/>
      <c r="AM180" s="2617"/>
      <c r="AN180" s="2617"/>
      <c r="AO180" s="2617"/>
      <c r="AP180" s="2617"/>
      <c r="AQ180" s="2617"/>
      <c r="AR180" s="2617"/>
      <c r="AS180" s="2617"/>
      <c r="AT180" s="2617"/>
      <c r="AU180" s="2617"/>
      <c r="AV180" s="2617"/>
      <c r="AW180" s="2617"/>
      <c r="AX180" s="2617"/>
      <c r="AY180" s="2617"/>
      <c r="AZ180" s="2617"/>
      <c r="BA180" s="3383"/>
      <c r="BB180" s="2617"/>
      <c r="BC180" s="2617"/>
      <c r="BD180" s="2617"/>
      <c r="BE180" s="2617"/>
      <c r="BF180" s="2617"/>
      <c r="BG180" s="2387"/>
      <c r="BH180" s="2387"/>
      <c r="BI180" s="2387"/>
      <c r="BJ180" s="2387"/>
      <c r="BK180" s="2387"/>
      <c r="BL180" s="2387"/>
      <c r="BM180" s="2387"/>
      <c r="BN180" s="2387"/>
      <c r="BO180" s="2387"/>
      <c r="BP180" s="2387"/>
      <c r="BQ180" s="2387"/>
      <c r="BR180" s="2387"/>
      <c r="BS180" s="2387"/>
      <c r="BT180" s="2387"/>
      <c r="BU180" s="2387"/>
      <c r="BV180" s="2387"/>
      <c r="BW180" s="2387"/>
      <c r="BX180" s="2387"/>
      <c r="BY180" s="2387"/>
      <c r="BZ180" s="2387"/>
      <c r="CA180" s="2387"/>
      <c r="CB180" s="365"/>
      <c r="CC180" s="365"/>
      <c r="CD180" s="365"/>
      <c r="CE180" s="365"/>
      <c r="CF180" s="365"/>
      <c r="CG180" s="365"/>
      <c r="CH180" s="365"/>
      <c r="CI180" s="365"/>
      <c r="CJ180" s="365"/>
      <c r="CK180" s="365"/>
      <c r="CL180" s="365"/>
      <c r="CM180" s="365"/>
      <c r="CN180" s="365"/>
      <c r="CO180" s="365"/>
      <c r="CP180" s="365"/>
      <c r="CQ180" s="365"/>
      <c r="CR180" s="365"/>
      <c r="CS180" s="365"/>
      <c r="CT180" s="365"/>
      <c r="CU180" s="365"/>
      <c r="CV180" s="365"/>
      <c r="CW180" s="365"/>
      <c r="CX180" s="365"/>
      <c r="CY180" s="365"/>
      <c r="CZ180" s="365"/>
      <c r="DA180" s="365"/>
      <c r="DB180" s="365"/>
      <c r="DC180" s="365"/>
      <c r="DD180" s="365"/>
      <c r="DE180" s="365"/>
      <c r="DF180" s="365"/>
      <c r="DG180" s="365"/>
      <c r="DH180" s="365"/>
      <c r="DI180" s="365"/>
      <c r="DJ180" s="3665"/>
      <c r="DK180" s="3665"/>
      <c r="DL180" s="3665"/>
      <c r="DM180" s="365"/>
      <c r="DN180" s="365"/>
      <c r="DO180" s="365"/>
      <c r="DP180" s="365"/>
      <c r="DQ180" s="365"/>
      <c r="DR180" s="365"/>
      <c r="DS180" s="365"/>
      <c r="DT180" s="365"/>
      <c r="DU180" s="365"/>
      <c r="DV180" s="365"/>
      <c r="DW180" s="365"/>
      <c r="DX180" s="365"/>
      <c r="DY180" s="3665"/>
      <c r="DZ180" s="3665"/>
      <c r="EA180" s="3665"/>
      <c r="EB180" s="365"/>
      <c r="EC180" s="365"/>
      <c r="ED180" s="365"/>
      <c r="EE180" s="3665"/>
      <c r="EF180" s="3665"/>
      <c r="EG180" s="3665"/>
      <c r="EH180" s="3665"/>
      <c r="EI180" s="3665"/>
      <c r="EJ180" s="3665"/>
      <c r="EK180" s="365"/>
      <c r="EL180" s="365"/>
      <c r="EM180" s="365"/>
    </row>
    <row r="181" spans="1:143" ht="18.75" hidden="1" x14ac:dyDescent="0.3">
      <c r="A181" s="2617"/>
      <c r="B181" s="2617"/>
      <c r="C181" s="2617"/>
      <c r="D181" s="2617"/>
      <c r="E181" s="2617"/>
      <c r="F181" s="2617"/>
      <c r="G181" s="2617"/>
      <c r="H181" s="2617"/>
      <c r="I181" s="2617"/>
      <c r="J181" s="2617"/>
      <c r="K181" s="2617"/>
      <c r="L181" s="2617"/>
      <c r="M181" s="2617"/>
      <c r="N181" s="2617"/>
      <c r="O181" s="2617"/>
      <c r="P181" s="2617"/>
      <c r="Q181" s="2617"/>
      <c r="R181" s="2617"/>
      <c r="S181" s="2617"/>
      <c r="T181" s="2617"/>
      <c r="U181" s="2617"/>
      <c r="V181" s="2617"/>
      <c r="W181" s="2617"/>
      <c r="X181" s="2617"/>
      <c r="Y181" s="2617"/>
      <c r="Z181" s="2617"/>
      <c r="AA181" s="2617"/>
      <c r="AB181" s="2617"/>
      <c r="AC181" s="2617"/>
      <c r="AD181" s="2617"/>
      <c r="AE181" s="2617"/>
      <c r="AF181" s="2617"/>
      <c r="AG181" s="2617"/>
      <c r="AH181" s="2617"/>
      <c r="AI181" s="2617"/>
      <c r="AJ181" s="2617"/>
      <c r="AK181" s="2617"/>
      <c r="AL181" s="2617"/>
      <c r="AM181" s="2617"/>
      <c r="AN181" s="2617"/>
      <c r="AO181" s="2617"/>
      <c r="AP181" s="2617"/>
      <c r="AQ181" s="2617"/>
      <c r="AR181" s="2617"/>
      <c r="AS181" s="2617"/>
      <c r="AT181" s="2617"/>
      <c r="AU181" s="2617"/>
      <c r="AV181" s="2617"/>
      <c r="AW181" s="2617"/>
      <c r="AX181" s="2617"/>
      <c r="AY181" s="2617"/>
      <c r="AZ181" s="2617"/>
      <c r="BA181" s="3383"/>
      <c r="BB181" s="2617"/>
      <c r="BC181" s="2617"/>
      <c r="BD181" s="2617"/>
      <c r="BE181" s="2617"/>
      <c r="BF181" s="2617"/>
      <c r="BG181" s="2387"/>
      <c r="BH181" s="2387"/>
      <c r="BI181" s="2387"/>
      <c r="BJ181" s="2387"/>
      <c r="BK181" s="2387"/>
      <c r="BL181" s="2387"/>
      <c r="BM181" s="2387"/>
      <c r="BN181" s="2387"/>
      <c r="BO181" s="2387"/>
      <c r="BP181" s="2387"/>
      <c r="BQ181" s="2387"/>
      <c r="BR181" s="2387"/>
      <c r="BS181" s="2387"/>
      <c r="BT181" s="2387"/>
      <c r="BU181" s="2387"/>
      <c r="BV181" s="2387"/>
      <c r="BW181" s="2387"/>
      <c r="BX181" s="2387"/>
      <c r="BY181" s="2387"/>
      <c r="BZ181" s="2387"/>
      <c r="CA181" s="2387"/>
      <c r="CB181" s="365"/>
      <c r="CC181" s="365"/>
      <c r="CD181" s="365"/>
      <c r="CE181" s="365"/>
      <c r="CF181" s="365"/>
      <c r="CG181" s="365"/>
      <c r="CH181" s="365"/>
      <c r="CI181" s="365"/>
      <c r="CJ181" s="365"/>
      <c r="CK181" s="365"/>
      <c r="CL181" s="365"/>
      <c r="CM181" s="365"/>
      <c r="CN181" s="365"/>
      <c r="CO181" s="365"/>
      <c r="CP181" s="365"/>
      <c r="CQ181" s="365"/>
      <c r="CR181" s="365"/>
      <c r="CS181" s="365"/>
      <c r="CT181" s="365"/>
      <c r="CU181" s="365"/>
      <c r="CV181" s="365"/>
      <c r="CW181" s="365"/>
      <c r="CX181" s="365"/>
      <c r="CY181" s="365"/>
      <c r="CZ181" s="365"/>
      <c r="DA181" s="365"/>
      <c r="DB181" s="365"/>
      <c r="DC181" s="365"/>
      <c r="DD181" s="365"/>
      <c r="DE181" s="365"/>
      <c r="DF181" s="365"/>
      <c r="DG181" s="365"/>
      <c r="DH181" s="365"/>
      <c r="DI181" s="365"/>
      <c r="DJ181" s="3665"/>
      <c r="DK181" s="3665"/>
      <c r="DL181" s="3665"/>
      <c r="DM181" s="365"/>
      <c r="DN181" s="365"/>
      <c r="DO181" s="365"/>
      <c r="DP181" s="365"/>
      <c r="DQ181" s="365"/>
      <c r="DR181" s="365"/>
      <c r="DS181" s="365"/>
      <c r="DT181" s="365"/>
      <c r="DU181" s="365"/>
      <c r="DV181" s="365"/>
      <c r="DW181" s="365"/>
      <c r="DX181" s="365"/>
      <c r="DY181" s="3665"/>
      <c r="DZ181" s="3665"/>
      <c r="EA181" s="3665"/>
      <c r="EB181" s="365"/>
      <c r="EC181" s="365"/>
      <c r="ED181" s="365"/>
      <c r="EE181" s="3665"/>
      <c r="EF181" s="3665"/>
      <c r="EG181" s="3665"/>
      <c r="EH181" s="3665"/>
      <c r="EI181" s="3665"/>
      <c r="EJ181" s="3665"/>
      <c r="EK181" s="365"/>
      <c r="EL181" s="365"/>
      <c r="EM181" s="365"/>
    </row>
    <row r="182" spans="1:143" ht="18.75" hidden="1" x14ac:dyDescent="0.3">
      <c r="A182" s="3384"/>
      <c r="B182" s="2617"/>
      <c r="C182" s="2617"/>
      <c r="D182" s="2617"/>
      <c r="E182" s="2617"/>
      <c r="F182" s="2617"/>
      <c r="G182" s="2617"/>
      <c r="H182" s="2617"/>
      <c r="I182" s="2617"/>
      <c r="J182" s="2617"/>
      <c r="K182" s="2617"/>
      <c r="L182" s="2617"/>
      <c r="M182" s="2617"/>
      <c r="N182" s="2617"/>
      <c r="O182" s="2617"/>
      <c r="P182" s="2617"/>
      <c r="Q182" s="2617"/>
      <c r="R182" s="2617"/>
      <c r="S182" s="2617"/>
      <c r="T182" s="2617"/>
      <c r="U182" s="2617"/>
      <c r="V182" s="2617"/>
      <c r="W182" s="2617"/>
      <c r="X182" s="2617"/>
      <c r="Y182" s="2617"/>
      <c r="Z182" s="2617"/>
      <c r="AA182" s="2617"/>
      <c r="AB182" s="2617"/>
      <c r="AC182" s="2617"/>
      <c r="AD182" s="2617"/>
      <c r="AE182" s="2617"/>
      <c r="AF182" s="2617"/>
      <c r="AG182" s="2617"/>
      <c r="AH182" s="2617"/>
      <c r="AI182" s="2617"/>
      <c r="AJ182" s="2617"/>
      <c r="AK182" s="2617"/>
      <c r="AL182" s="2617"/>
      <c r="AM182" s="2617"/>
      <c r="AN182" s="2617"/>
      <c r="AO182" s="2617"/>
      <c r="AP182" s="2617"/>
      <c r="AQ182" s="2617"/>
      <c r="AR182" s="2617"/>
      <c r="AS182" s="2617"/>
      <c r="AT182" s="2617"/>
      <c r="AU182" s="2617"/>
      <c r="AV182" s="2617"/>
      <c r="AW182" s="2617"/>
      <c r="AX182" s="2617"/>
      <c r="AY182" s="2617"/>
      <c r="AZ182" s="2617"/>
      <c r="BA182" s="3383"/>
      <c r="BB182" s="2617"/>
      <c r="BC182" s="2617"/>
      <c r="BD182" s="2617"/>
      <c r="BE182" s="2617"/>
      <c r="BF182" s="2617"/>
      <c r="BG182" s="2387"/>
      <c r="BH182" s="2387"/>
      <c r="BI182" s="2387"/>
      <c r="BJ182" s="2387"/>
      <c r="BK182" s="2387"/>
      <c r="BL182" s="2387"/>
      <c r="BM182" s="2387"/>
      <c r="BN182" s="2387"/>
      <c r="BO182" s="2387"/>
      <c r="BP182" s="2387"/>
      <c r="BQ182" s="2387"/>
      <c r="BR182" s="2387"/>
      <c r="BS182" s="2387"/>
      <c r="BT182" s="2387"/>
      <c r="BU182" s="2387"/>
      <c r="BV182" s="2387"/>
      <c r="BW182" s="2387"/>
      <c r="BX182" s="2387"/>
      <c r="BY182" s="2387"/>
      <c r="BZ182" s="2387"/>
      <c r="CA182" s="2387"/>
      <c r="CB182" s="365"/>
      <c r="CC182" s="365"/>
      <c r="CD182" s="365"/>
      <c r="CE182" s="365"/>
      <c r="CF182" s="365"/>
      <c r="CG182" s="365"/>
      <c r="CH182" s="365"/>
      <c r="CI182" s="365"/>
      <c r="CJ182" s="365"/>
      <c r="CK182" s="365"/>
      <c r="CL182" s="365"/>
      <c r="CM182" s="365"/>
      <c r="CN182" s="365"/>
      <c r="CO182" s="365"/>
      <c r="CP182" s="365"/>
      <c r="CQ182" s="365"/>
      <c r="CR182" s="365"/>
      <c r="CS182" s="365"/>
      <c r="CT182" s="365"/>
      <c r="CU182" s="365"/>
      <c r="CV182" s="365"/>
      <c r="CW182" s="365"/>
      <c r="CX182" s="365"/>
      <c r="CY182" s="365"/>
      <c r="CZ182" s="365"/>
      <c r="DA182" s="365"/>
      <c r="DB182" s="365"/>
      <c r="DC182" s="365"/>
      <c r="DD182" s="365"/>
      <c r="DE182" s="365"/>
      <c r="DF182" s="365"/>
      <c r="DG182" s="365"/>
      <c r="DH182" s="365"/>
      <c r="DI182" s="365"/>
      <c r="DJ182" s="3665"/>
      <c r="DK182" s="3665"/>
      <c r="DL182" s="3665"/>
      <c r="DM182" s="365"/>
      <c r="DN182" s="365"/>
      <c r="DO182" s="365"/>
      <c r="DP182" s="365"/>
      <c r="DQ182" s="365"/>
      <c r="DR182" s="365"/>
      <c r="DS182" s="365"/>
      <c r="DT182" s="365"/>
      <c r="DU182" s="365"/>
      <c r="DV182" s="365"/>
      <c r="DW182" s="365"/>
      <c r="DX182" s="365"/>
      <c r="DY182" s="3665"/>
      <c r="DZ182" s="3665"/>
      <c r="EA182" s="3665"/>
      <c r="EB182" s="365"/>
      <c r="EC182" s="365"/>
      <c r="ED182" s="365"/>
      <c r="EE182" s="3665"/>
      <c r="EF182" s="3665"/>
      <c r="EG182" s="3665"/>
      <c r="EH182" s="3665"/>
      <c r="EI182" s="3665"/>
      <c r="EJ182" s="3665"/>
      <c r="EK182" s="365"/>
      <c r="EL182" s="365"/>
      <c r="EM182" s="365"/>
    </row>
    <row r="183" spans="1:143" ht="18.75" x14ac:dyDescent="0.3">
      <c r="A183" s="2617"/>
      <c r="B183" s="2617"/>
      <c r="C183" s="2617"/>
      <c r="D183" s="2617"/>
      <c r="E183" s="2617"/>
      <c r="F183" s="2617"/>
      <c r="G183" s="2617"/>
      <c r="H183" s="2617"/>
      <c r="I183" s="2617"/>
      <c r="J183" s="2617"/>
      <c r="K183" s="2617"/>
      <c r="L183" s="2617"/>
      <c r="M183" s="2617"/>
      <c r="N183" s="2617"/>
      <c r="O183" s="2617"/>
      <c r="P183" s="2617"/>
      <c r="Q183" s="2617"/>
      <c r="R183" s="2617"/>
      <c r="S183" s="2617"/>
      <c r="T183" s="2617"/>
      <c r="U183" s="2617"/>
      <c r="V183" s="2617"/>
      <c r="W183" s="2617"/>
      <c r="X183" s="2617"/>
      <c r="Y183" s="2617"/>
      <c r="Z183" s="2617"/>
      <c r="AA183" s="2617"/>
      <c r="AB183" s="2617"/>
      <c r="AC183" s="2617"/>
      <c r="AD183" s="2617"/>
      <c r="AE183" s="2617"/>
      <c r="AF183" s="2617"/>
      <c r="AG183" s="2617"/>
      <c r="AH183" s="2617"/>
      <c r="AI183" s="2617"/>
      <c r="AJ183" s="2617"/>
      <c r="AK183" s="2617"/>
      <c r="AL183" s="2617"/>
      <c r="AM183" s="2617"/>
      <c r="AN183" s="2617"/>
      <c r="AO183" s="2617"/>
      <c r="AP183" s="2617"/>
      <c r="AQ183" s="2617"/>
      <c r="AR183" s="2617"/>
      <c r="AS183" s="2617"/>
      <c r="AT183" s="2617"/>
      <c r="AU183" s="2617"/>
      <c r="AV183" s="2617"/>
      <c r="AW183" s="2617"/>
      <c r="AX183" s="2617"/>
      <c r="AY183" s="2617"/>
      <c r="AZ183" s="2617"/>
      <c r="BA183" s="3383"/>
      <c r="BB183" s="2617"/>
      <c r="BC183" s="2617"/>
      <c r="BD183" s="2617"/>
      <c r="BE183" s="2617"/>
      <c r="BF183" s="2617"/>
      <c r="BG183" s="2387"/>
      <c r="BH183" s="2387"/>
      <c r="BI183" s="2387"/>
      <c r="BJ183" s="2387"/>
      <c r="BK183" s="2387"/>
      <c r="BL183" s="2387"/>
      <c r="BM183" s="2387"/>
      <c r="BN183" s="2387"/>
      <c r="BO183" s="2387"/>
      <c r="BP183" s="2387"/>
      <c r="BQ183" s="2387"/>
      <c r="BR183" s="2387"/>
      <c r="BS183" s="2387"/>
      <c r="BT183" s="2387"/>
      <c r="BU183" s="2387"/>
      <c r="BV183" s="2387"/>
      <c r="BW183" s="2387"/>
      <c r="BX183" s="2387"/>
      <c r="BY183" s="2387"/>
      <c r="BZ183" s="2387"/>
      <c r="CA183" s="2387"/>
      <c r="CB183" s="365"/>
      <c r="CC183" s="365"/>
      <c r="CD183" s="365"/>
      <c r="CE183" s="365"/>
      <c r="CF183" s="365"/>
      <c r="CG183" s="365"/>
      <c r="CH183" s="365"/>
      <c r="CI183" s="365"/>
      <c r="CJ183" s="365"/>
      <c r="CK183" s="365"/>
      <c r="CL183" s="365"/>
      <c r="CM183" s="365"/>
      <c r="CN183" s="365"/>
      <c r="CO183" s="365"/>
      <c r="CP183" s="365"/>
      <c r="CQ183" s="365"/>
      <c r="CR183" s="365"/>
      <c r="CS183" s="365"/>
      <c r="CT183" s="365"/>
      <c r="CU183" s="365"/>
      <c r="CV183" s="365"/>
      <c r="CW183" s="365"/>
      <c r="CX183" s="365"/>
      <c r="CY183" s="365"/>
      <c r="CZ183" s="365"/>
      <c r="DA183" s="365"/>
      <c r="DB183" s="365"/>
      <c r="DC183" s="365"/>
      <c r="DD183" s="365"/>
      <c r="DE183" s="365"/>
      <c r="DF183" s="365"/>
      <c r="DG183" s="365"/>
      <c r="DH183" s="365"/>
      <c r="DI183" s="365"/>
      <c r="DJ183" s="3665"/>
      <c r="DK183" s="3665"/>
      <c r="DL183" s="3665"/>
      <c r="DM183" s="365"/>
      <c r="DN183" s="365"/>
      <c r="DO183" s="365"/>
      <c r="DP183" s="365"/>
      <c r="DQ183" s="365"/>
      <c r="DR183" s="365"/>
      <c r="DS183" s="365"/>
      <c r="DT183" s="365"/>
      <c r="DU183" s="365"/>
      <c r="DV183" s="365"/>
      <c r="DW183" s="365"/>
      <c r="DX183" s="365"/>
      <c r="DY183" s="3665"/>
      <c r="DZ183" s="3665"/>
      <c r="EA183" s="3665"/>
      <c r="EB183" s="365"/>
      <c r="EC183" s="365"/>
      <c r="ED183" s="365"/>
      <c r="EE183" s="3665"/>
      <c r="EF183" s="3665"/>
      <c r="EG183" s="3665"/>
      <c r="EH183" s="3665"/>
      <c r="EI183" s="3665"/>
      <c r="EJ183" s="3665"/>
      <c r="EK183" s="365"/>
      <c r="EL183" s="365"/>
      <c r="EM183" s="365"/>
    </row>
    <row r="184" spans="1:143" ht="18.75" x14ac:dyDescent="0.3">
      <c r="A184" s="2617"/>
      <c r="B184" s="2617"/>
      <c r="C184" s="2617"/>
      <c r="D184" s="2617"/>
      <c r="E184" s="2617"/>
      <c r="F184" s="2617"/>
      <c r="G184" s="2617"/>
      <c r="H184" s="2617"/>
      <c r="I184" s="2617"/>
      <c r="J184" s="2617"/>
      <c r="K184" s="2617"/>
      <c r="L184" s="2617"/>
      <c r="M184" s="2617"/>
      <c r="N184" s="2617"/>
      <c r="O184" s="2617"/>
      <c r="P184" s="2617"/>
      <c r="Q184" s="2617"/>
      <c r="R184" s="2617"/>
      <c r="S184" s="2617"/>
      <c r="T184" s="2617"/>
      <c r="U184" s="2617"/>
      <c r="V184" s="2617"/>
      <c r="W184" s="2617"/>
      <c r="X184" s="2617"/>
      <c r="Y184" s="2617"/>
      <c r="Z184" s="2617"/>
      <c r="AA184" s="2617"/>
      <c r="AB184" s="2617"/>
      <c r="AC184" s="2617"/>
      <c r="AD184" s="2617"/>
      <c r="AE184" s="2617"/>
      <c r="AF184" s="2617"/>
      <c r="AG184" s="2617"/>
      <c r="AH184" s="2617"/>
      <c r="AI184" s="2617"/>
      <c r="AJ184" s="2617"/>
      <c r="AK184" s="2617"/>
      <c r="AL184" s="2617"/>
      <c r="AM184" s="2617"/>
      <c r="AN184" s="2617"/>
      <c r="AO184" s="2617"/>
      <c r="AP184" s="2617"/>
      <c r="AQ184" s="2617"/>
      <c r="AR184" s="2617"/>
      <c r="AS184" s="2617"/>
      <c r="AT184" s="2617"/>
      <c r="AU184" s="2617"/>
      <c r="AV184" s="2617"/>
      <c r="AW184" s="2617"/>
      <c r="AX184" s="2617"/>
      <c r="AY184" s="2617"/>
      <c r="AZ184" s="2617"/>
      <c r="BA184" s="3383"/>
      <c r="BB184" s="3385">
        <f>BB177*2-BB178</f>
        <v>40.825427386454152</v>
      </c>
      <c r="BC184" s="2617"/>
      <c r="BD184" s="2617"/>
      <c r="BE184" s="3385">
        <f>BE177*2-BE178</f>
        <v>33.73639678874153</v>
      </c>
      <c r="BF184" s="2617"/>
      <c r="BG184" s="2387"/>
      <c r="BH184" s="2387"/>
      <c r="BI184" s="2387"/>
      <c r="BJ184" s="2387"/>
      <c r="BK184" s="2387"/>
      <c r="BL184" s="2387"/>
      <c r="BM184" s="2387"/>
      <c r="BN184" s="2387"/>
      <c r="BO184" s="2387"/>
      <c r="BP184" s="2387"/>
      <c r="BQ184" s="3386">
        <f>BQ148+BQ149+BQ150+BQ151+BQ152+BQ154</f>
        <v>110756.83500000001</v>
      </c>
      <c r="BR184" s="3386">
        <f>BR148+BR149+BR150+BR151+BR152+BR154</f>
        <v>18.998999999999999</v>
      </c>
      <c r="BS184" s="2387"/>
      <c r="BT184" s="2387"/>
      <c r="BU184" s="2387" t="s">
        <v>2011</v>
      </c>
      <c r="BV184" s="2387"/>
      <c r="BW184" s="3386">
        <f>BW148+BW149+BW150+BW151+BW152+BW154</f>
        <v>116884.44357920038</v>
      </c>
      <c r="BX184" s="3386">
        <f>BX148+BX149+BX150+BX151+BX152+BX154</f>
        <v>25.498907169864808</v>
      </c>
      <c r="BY184" s="2387"/>
      <c r="BZ184" s="3386">
        <f>BZ148+BZ149+BZ150+BZ151+BZ152+BZ154</f>
        <v>130849.18843561392</v>
      </c>
      <c r="CA184" s="3386">
        <f>CA148+CA149+CA150+CA151+CA152+CA154</f>
        <v>29.208594901584028</v>
      </c>
      <c r="CB184" s="365"/>
      <c r="CC184" s="365"/>
      <c r="CD184" s="365"/>
      <c r="CE184" s="365"/>
      <c r="CF184" s="365"/>
      <c r="CG184" s="3386">
        <f>CG148+CG149+CG150+CG151+CG152+CG154</f>
        <v>119187.06933071907</v>
      </c>
      <c r="CH184" s="3386">
        <f>CH148+CH149+CH150+CH151+CH152+CH154</f>
        <v>25.996086932683362</v>
      </c>
      <c r="CI184" s="365"/>
      <c r="CJ184" s="3386">
        <f>CJ148+CJ149+CJ150+CJ151+CJ152+CJ154-'цех вода 2023'!AY18-'ОХР '!CC17-'ОХР '!CC21-'Аренда земли'!U9</f>
        <v>53163.29103</v>
      </c>
      <c r="CK184" s="3386">
        <f>CK148+CK149+CK150+CK151+CK152+CK154-'ОХР '!CD17-'ОХР '!CD21-'Аренда земли'!U12</f>
        <v>12.08831</v>
      </c>
      <c r="CL184" s="365"/>
      <c r="CM184" s="3386">
        <f>CM148+CM149+CM150+CM151+CM152+CM154-'цех вода 2023'!AZ18-'ОХР '!CJ17-'ОХР '!CJ21-'Аренда земли'!V9</f>
        <v>82817.168450000012</v>
      </c>
      <c r="CN184" s="3386">
        <f>CN148+CN149+CN150+CN151+CN152+CN154-'ОХР '!CK17-'ОХР '!CK21-'Аренда земли'!V12</f>
        <v>18.326699999999999</v>
      </c>
      <c r="CO184" s="365"/>
      <c r="CP184" s="3386">
        <f>CP148+CP149+CP150+CP151+CP152+CP154-'цех вода 2023'!BA18-'ОХР '!CQ17-'ОХР '!CQ21-'Аренда земли'!W9</f>
        <v>109206.64600000001</v>
      </c>
      <c r="CQ184" s="3386">
        <f>CQ148+CQ149+CQ150+CQ151+CQ152+CQ154-'ОХР '!CR17-'ОХР '!CR21-'Аренда земли'!W12</f>
        <v>23.192100000000003</v>
      </c>
      <c r="CR184" s="2387" t="s">
        <v>2011</v>
      </c>
      <c r="CS184" s="3386">
        <f>CS148+CS149+CS150+CS151+CS152+CS154-'цех вода 2023'!BB18-'ОХР '!CX17-'ОХР '!CX21-'Аренда земли'!Y9</f>
        <v>138434.62555141863</v>
      </c>
      <c r="CT184" s="3386">
        <f>CT148+CT149+CT150+CT151+CT152+CT154-'ОХР '!CY17-'ОХР '!CY21-'Аренда земли'!Y12</f>
        <v>56.99711524232422</v>
      </c>
      <c r="CU184" s="2387" t="s">
        <v>2011</v>
      </c>
      <c r="CV184" s="3386">
        <f>SUM(CV173-CV185-CV187-CV188-CV189-CV190-CV191)</f>
        <v>119160.11470994391</v>
      </c>
      <c r="CW184" s="3386">
        <f>CW148+CW149+CW150+CW151+CW152+CW154-'ОХР '!DB17-'ОХР '!DB21-'Аренда земли'!AB12</f>
        <v>26.716949065647434</v>
      </c>
      <c r="CX184" s="2387" t="s">
        <v>2011</v>
      </c>
      <c r="CY184" s="3386">
        <f>CY148+CY149+CY150+CY151+CY152+CY154-'цех вода 2023'!BD18-'ОХР '!DG17-'ОХР '!DG21-'Аренда земли'!AA9</f>
        <v>55463.278410000006</v>
      </c>
      <c r="CZ184" s="3386">
        <f>CZ148+CZ149+CZ150+CZ151+CZ152+CZ154-'ОХР '!DO17-'ОХР '!DO21-'Аренда земли'!AA12</f>
        <v>10.06808</v>
      </c>
      <c r="DA184" s="365"/>
      <c r="DB184" s="3386">
        <f>DB148+DB149+DB150+DB151+DB152+DB154-'цех вода 2023'!BE18-'ОХР '!DN17-'ОХР '!DN21-'Аренда земли'!AB9</f>
        <v>80335.03764000001</v>
      </c>
      <c r="DC184" s="3386">
        <f>DC148+DC149+DC150+DC151+DC152+DC154-'ОХР '!DO17-'ОХР '!DO21-'Аренда земли'!AB12</f>
        <v>16.929019999999998</v>
      </c>
      <c r="DD184" s="365"/>
      <c r="DE184" s="3386">
        <f>DE148+DE149+DE150+DE151+DE152+DE154-'цех вода 2023'!BF18-'ОХР '!DU17-'ОХР '!DU21-'Аренда земли'!AC9</f>
        <v>103912.40781</v>
      </c>
      <c r="DF184" s="3386">
        <f>DF148+DF149+DF150+DF151+DF152+DF154-'ОХР '!DV17-'ОХР '!DV21-'Аренда земли'!AC12</f>
        <v>19.838090000000001</v>
      </c>
      <c r="DG184" s="2387" t="s">
        <v>2011</v>
      </c>
      <c r="DH184" s="3386">
        <f>DH148+DH149+DH150+DH151+DH152+DH154-'цех вода 2023'!BG18-'ОХР '!EB17-'ОХР '!EB21-'Аренда земли'!AD9</f>
        <v>143016.38228528624</v>
      </c>
      <c r="DI184" s="3386">
        <f>DI148+DI149+DI150+DI151+DI152+DI154-'ОХР '!EC17-'ОХР '!EC21-'Аренда земли'!AD12</f>
        <v>31.570057442758348</v>
      </c>
      <c r="DJ184" s="2387" t="s">
        <v>2011</v>
      </c>
      <c r="DK184" s="3386">
        <f>DK148+DK149+DK150+DK151+DK152+DK154-DK157</f>
        <v>129650.13369882712</v>
      </c>
      <c r="DL184" s="3386">
        <f>DL148+DL149+DL150+DL151+DL152+DL154-'ОХР '!EF17-'ОХР '!EF21-'Аренда земли'!Z12</f>
        <v>28.284513821428675</v>
      </c>
      <c r="DM184" s="2387" t="s">
        <v>2011</v>
      </c>
      <c r="DN184" s="3810">
        <f>DN148+DN149+DN150+DN151+DN152+DN154-'цех вода 2023'!BI18-'ОХР '!EL17-'ОХР '!EL21-'Аренда земли'!AF10</f>
        <v>55750.966070000002</v>
      </c>
      <c r="DO184" s="3810">
        <f>DO148+DO149+DO150+DO151+DO152+DO154-'ОХР '!EM17-'ОХР '!EM21-'Аренда земли'!AF12</f>
        <v>9.1773999999999987</v>
      </c>
      <c r="DP184" s="365"/>
      <c r="DQ184" s="3810">
        <f>DQ148+DQ149+DQ150+DQ151+DQ152+DQ154-'цех вода 2023'!BJ18-'ОХР '!ES17-'ОХР '!ES21-'Аренда земли'!AG9</f>
        <v>84831.567909999998</v>
      </c>
      <c r="DR184" s="3810">
        <f>DR148+DR149+DR150+DR151+DR152+DR154-'ОХР '!ET17-'ОХР '!ET21-'Аренда земли'!AG12</f>
        <v>14.61504</v>
      </c>
      <c r="DS184" s="365"/>
      <c r="DT184" s="3386">
        <f>DT148+DT149+DT150+DT151+DT152+DT154-'цех вода 2023'!BK18-'ОХР '!EZ17-'ОХР '!EZ21-'Аренда земли'!AH9</f>
        <v>112739.17001</v>
      </c>
      <c r="DU184" s="3386">
        <f>DU148+DU149+DU150+DU151+DU152+DU154-'ОХР '!FA17-'ОХР '!FA21-'Аренда земли'!AH12</f>
        <v>19.168060000000004</v>
      </c>
      <c r="DV184" s="2387" t="s">
        <v>2011</v>
      </c>
      <c r="DW184" s="3386">
        <f>DW148+DW149+DW150+DW152+DW154-'цех вода 2023'!BL18-'ОХР '!FG17-'ОХР '!FG21-'Аренда земли'!AI9</f>
        <v>143864.67354602984</v>
      </c>
      <c r="DX184" s="3386">
        <f>DX148+DX149+DX150+DX151+DX152+DX154-'ОХР '!FH17-'ОХР '!FH21-'Аренда земли'!AI12</f>
        <v>35.396553799655003</v>
      </c>
      <c r="DY184" s="2387" t="s">
        <v>2011</v>
      </c>
      <c r="DZ184" s="3386">
        <f>DZ148+DZ149+DZ150+DZ151+DZ152+DZ154-DZ157</f>
        <v>90487.697649025533</v>
      </c>
      <c r="EA184" s="3386">
        <f>EA148+EA149+EA150+EA151+EA152+EA154-'ОХР '!EU17-'ОХР '!EU21-'Аренда земли'!AO12</f>
        <v>12765.114579183524</v>
      </c>
      <c r="EB184" s="2387" t="s">
        <v>2011</v>
      </c>
      <c r="EC184" s="3386">
        <f>DW148+DW149+DW150+DW152+DW154-'цех вода 2023'!BL18-'ОХР '!FG17-'ОХР '!FG21-'Аренда земли'!AI9</f>
        <v>143864.67354602984</v>
      </c>
      <c r="ED184" s="3386">
        <f>DX148+DX149+DX150+DX151+DX152+DX154-'ОХР '!FH17-'ОХР '!FH21-'Аренда земли'!AI12</f>
        <v>35.396553799655003</v>
      </c>
      <c r="EE184" s="2387"/>
      <c r="EF184" s="3386"/>
      <c r="EG184" s="3386"/>
      <c r="EH184" s="2387" t="s">
        <v>2011</v>
      </c>
      <c r="EI184" s="4855">
        <f>EI147+EI148+EI149+EI150+EI151+EI152+EI154-'цех вода 2023'!BN18-'ОХР '!FO17-'ОХР '!FO21-'Аренда земли'!AK9</f>
        <v>68721.932959999991</v>
      </c>
      <c r="EJ184" s="4855">
        <f>EJ148+EJ149+EJ150+EJ151+EJ152+EJ154-'ОХР '!FP17-'ОХР '!FP21-'Аренда земли'!AL12</f>
        <v>12.61046</v>
      </c>
      <c r="EK184" s="365"/>
      <c r="EL184" s="4855">
        <f>EL147+EL148+EL149+EL150+EL151+EL152+EL154-'цех вода 2023'!BO18-'ОХР '!FS17-'ОХР '!FS21-'Аренда земли'!AL9</f>
        <v>145742.67247000002</v>
      </c>
      <c r="EM184" s="4855">
        <f>EM148+EM149+EM150+EM151+EM152+EM154-'ОХР '!FT17-'ОХР '!FT21-'Аренда земли'!AL12</f>
        <v>17.275229999999997</v>
      </c>
    </row>
    <row r="185" spans="1:143" x14ac:dyDescent="0.25">
      <c r="A185" s="365"/>
      <c r="B185" s="365"/>
      <c r="C185" s="365"/>
      <c r="D185" s="365"/>
      <c r="E185" s="365"/>
      <c r="F185" s="365"/>
      <c r="G185" s="365"/>
      <c r="H185" s="365"/>
      <c r="I185" s="365"/>
      <c r="J185" s="365"/>
      <c r="K185" s="365"/>
      <c r="L185" s="365"/>
      <c r="M185" s="365"/>
      <c r="N185" s="365"/>
      <c r="O185" s="365"/>
      <c r="P185" s="365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65"/>
      <c r="AI185" s="365"/>
      <c r="AJ185" s="365"/>
      <c r="AK185" s="365"/>
      <c r="AL185" s="365"/>
      <c r="AM185" s="365"/>
      <c r="AN185" s="365"/>
      <c r="AO185" s="365"/>
      <c r="AP185" s="365"/>
      <c r="AQ185" s="365"/>
      <c r="AR185" s="365"/>
      <c r="AS185" s="365"/>
      <c r="AT185" s="365"/>
      <c r="AU185" s="365"/>
      <c r="AV185" s="365"/>
      <c r="AW185" s="365"/>
      <c r="AX185" s="365"/>
      <c r="AY185" s="365"/>
      <c r="AZ185" s="365"/>
      <c r="BA185" s="3313"/>
      <c r="BB185" s="365"/>
      <c r="BC185" s="365"/>
      <c r="BD185" s="365"/>
      <c r="BE185" s="365"/>
      <c r="BF185" s="365"/>
      <c r="BG185" s="2387"/>
      <c r="BH185" s="2387"/>
      <c r="BI185" s="2387"/>
      <c r="BJ185" s="2387"/>
      <c r="BK185" s="2387"/>
      <c r="BL185" s="2387"/>
      <c r="BM185" s="2387"/>
      <c r="BN185" s="2387"/>
      <c r="BO185" s="2387"/>
      <c r="BP185" s="2387"/>
      <c r="BQ185" s="3386">
        <f>BQ144+BQ145</f>
        <v>11013.124</v>
      </c>
      <c r="BR185" s="3386">
        <f>BR144+BR145</f>
        <v>1.1299999999999999</v>
      </c>
      <c r="BS185" s="2387"/>
      <c r="BT185" s="2387"/>
      <c r="BU185" s="2387" t="s">
        <v>2012</v>
      </c>
      <c r="BV185" s="2387"/>
      <c r="BW185" s="3386">
        <f>BW144+BW145</f>
        <v>13640.899384903289</v>
      </c>
      <c r="BX185" s="3386">
        <f>BX144+BX145</f>
        <v>1.2183794999999999</v>
      </c>
      <c r="BY185" s="2387"/>
      <c r="BZ185" s="3386">
        <f>BZ144+BZ145</f>
        <v>14240.483205953551</v>
      </c>
      <c r="CA185" s="3386">
        <f>CA144+CA145</f>
        <v>1.269551439</v>
      </c>
      <c r="CB185" s="365"/>
      <c r="CC185" s="365"/>
      <c r="CD185" s="365"/>
      <c r="CE185" s="365"/>
      <c r="CF185" s="365"/>
      <c r="CG185" s="3386">
        <f>CG144+CG145</f>
        <v>13549.633074173169</v>
      </c>
      <c r="CH185" s="3386">
        <f>CH144+CH145</f>
        <v>0.89212483339199999</v>
      </c>
      <c r="CI185" s="365"/>
      <c r="CJ185" s="3386">
        <f>SUM('ЭЭ вода'!AF49+'ОХР '!CC21+'ОХР '!CC17+'цех вода 2023'!AY18)</f>
        <v>8152.0592999999999</v>
      </c>
      <c r="CK185" s="3386">
        <f>SUM('ЭЭ вода'!AF50+'ОХР '!CD17+'ОХР '!CD21)</f>
        <v>0.43</v>
      </c>
      <c r="CL185" s="365"/>
      <c r="CM185" s="3386">
        <f>SUM('ЭЭ вода'!AG49+'ОХР '!CJ21+'ОХР '!CJ17+'цех вода 2023'!AZ18)</f>
        <v>11833.197039999999</v>
      </c>
      <c r="CN185" s="3386">
        <f>SUM('ЭЭ вода'!AG50+'ОХР '!CK17+'ОХР '!CK21)</f>
        <v>0.63376999999999994</v>
      </c>
      <c r="CO185" s="365"/>
      <c r="CP185" s="3386">
        <f>SUM('ЭЭ вода'!AH49+'ОХР '!CQ21+'ОХР '!CQ17+'цех вода 2023'!BA18)</f>
        <v>16589.37</v>
      </c>
      <c r="CQ185" s="3386">
        <f>SUM('ЭЭ вода'!AH50+'ОХР '!CR17+'ОХР '!CR21)</f>
        <v>0.86399999999999999</v>
      </c>
      <c r="CR185" s="2387" t="s">
        <v>2012</v>
      </c>
      <c r="CS185" s="3386">
        <f>SUM('ЭЭ вода'!AI49+'ОХР '!CX21+'ОХР '!CX17+'цех вода 2023'!BB18)</f>
        <v>19521.388914557312</v>
      </c>
      <c r="CT185" s="3386">
        <f>SUM('ЭЭ вода'!AI50+'ОХР '!CY17+'ОХР '!CY21)</f>
        <v>0.96866164251143072</v>
      </c>
      <c r="CU185" s="2387" t="s">
        <v>2012</v>
      </c>
      <c r="CV185" s="3386">
        <f>SUM(CV75)</f>
        <v>12565.575762321121</v>
      </c>
      <c r="CW185" s="3386">
        <f>SUM(CW9)</f>
        <v>1.4756665607949733</v>
      </c>
      <c r="CX185" s="2387" t="s">
        <v>2012</v>
      </c>
      <c r="CY185" s="3386">
        <f>SUM('ЭЭ вода'!AK49+'ОХР '!DG21+'ОХР '!DG17+'цех вода 2023'!BD18)</f>
        <v>8242.6339599999992</v>
      </c>
      <c r="CZ185" s="3386">
        <f>SUM('ЭЭ вода'!AK50+'ОХР '!DO17+'ОХР '!DO21)</f>
        <v>0.40250000000000002</v>
      </c>
      <c r="DA185" s="365"/>
      <c r="DB185" s="3386">
        <f>SUM('ЭЭ вода'!AL49+'ОХР '!DN21+'ОХР '!DN17+'цех вода 2023'!BE18)</f>
        <v>11021.2709</v>
      </c>
      <c r="DC185" s="3386">
        <f>SUM('ЭЭ вода'!AL50+'ОХР '!DO17+'ОХР '!DO21)</f>
        <v>0.55088000000000004</v>
      </c>
      <c r="DD185" s="365"/>
      <c r="DE185" s="3386">
        <f>SUM('ЭЭ вода'!AM49+'ОХР '!DU21+'ОХР '!DU17+'цех вода 2023'!BF18)</f>
        <v>15157.699999999999</v>
      </c>
      <c r="DF185" s="3386">
        <f>SUM('ЭЭ вода'!AM50+'ОХР '!DV17+'ОХР '!DV21)</f>
        <v>0.71245999999999998</v>
      </c>
      <c r="DG185" s="2387" t="s">
        <v>2012</v>
      </c>
      <c r="DH185" s="3386">
        <f>SUM('ЭЭ вода'!AN49+'ОХР '!EB21+'ОХР '!EB17+'цех вода 2023'!BG18)</f>
        <v>17011.978449211052</v>
      </c>
      <c r="DI185" s="3386">
        <f>SUM('ЭЭ вода'!AN50+'ОХР '!EC17+'ОХР '!EC21)</f>
        <v>1.75626538703975</v>
      </c>
      <c r="DJ185" s="2387" t="s">
        <v>2012</v>
      </c>
      <c r="DK185" s="3386">
        <f>DK144+DK145</f>
        <v>12686.905574205315</v>
      </c>
      <c r="DL185" s="3386">
        <f>SUM(DL9)</f>
        <v>1.4885257326660863</v>
      </c>
      <c r="DM185" s="2387" t="s">
        <v>2012</v>
      </c>
      <c r="DN185" s="3810">
        <f>SUM('ЭЭ вода'!AP49+'ОХР '!EL21+'ОХР '!EL17+'цех вода 2023'!BI18)</f>
        <v>7541.9630800000004</v>
      </c>
      <c r="DO185" s="3810">
        <f>SUM('ЭЭ вода'!AP50+'ОХР '!EM17+'ОХР '!EM21)</f>
        <v>0.34095000000000003</v>
      </c>
      <c r="DP185" s="365"/>
      <c r="DQ185" s="3810">
        <f>SUM('ЭЭ вода'!AQ49+'ОХР '!ES21+'ОХР '!ES17+'цех вода 2023'!BJ18)</f>
        <v>10356.314499999999</v>
      </c>
      <c r="DR185" s="3810">
        <f>SUM('ЭЭ вода'!AQ50+'ОХР '!ET17+'ОХР '!ET21)</f>
        <v>0.49408000000000002</v>
      </c>
      <c r="DS185" s="365"/>
      <c r="DT185" s="3386">
        <f>SUM('ЭЭ вода'!AR49+'ОХР '!EZ21+'ОХР '!EZ17+'цех вода 2023'!BK18)</f>
        <v>14611.277999999998</v>
      </c>
      <c r="DU185" s="3386">
        <f>SUM('ЭЭ вода'!AR50+'ОХР '!FA17+'ОХР '!FA21)</f>
        <v>0.65376999999999996</v>
      </c>
      <c r="DV185" s="2387" t="s">
        <v>2012</v>
      </c>
      <c r="DW185" s="3386">
        <f>SUM('ЭЭ вода'!AS49+'ОХР '!FG21+'ОХР '!FG17+'цех вода 2023'!BL18)</f>
        <v>16566.451847755197</v>
      </c>
      <c r="DX185" s="3386">
        <f>SUM('ЭЭ вода'!AS50+'ОХР '!FH17+'ОХР '!FH21)</f>
        <v>1.6056597060840001</v>
      </c>
      <c r="DY185" s="2387" t="s">
        <v>2012</v>
      </c>
      <c r="DZ185" s="3386">
        <f>DZ144+DZ145</f>
        <v>0</v>
      </c>
      <c r="EA185" s="3386">
        <f>SUM(EA9)</f>
        <v>0</v>
      </c>
      <c r="EB185" s="2387" t="s">
        <v>2012</v>
      </c>
      <c r="EC185" s="3386">
        <f>SUM('ЭЭ вода'!AS49+'ОХР '!FG21+'ОХР '!FG17+'цех вода 2023'!BL18)</f>
        <v>16566.451847755197</v>
      </c>
      <c r="ED185" s="3386">
        <f>SUM('ЭЭ вода'!AS50+'ОХР '!FH17+'ОХР '!FH21)</f>
        <v>1.6056597060840001</v>
      </c>
      <c r="EE185" s="2387"/>
      <c r="EF185" s="3386"/>
      <c r="EG185" s="3386"/>
      <c r="EH185" s="2387" t="s">
        <v>2012</v>
      </c>
      <c r="EI185" s="4855">
        <f>SUM('ЭЭ вода'!AU49+'ОХР '!FO21+'ОХР '!FO17+'цех вода 2023'!BN18+'Тепловая энергия (3 подъем)'!AF10)+0.811</f>
        <v>7819.5986711800006</v>
      </c>
      <c r="EJ185" s="4855">
        <f>SUM('ЭЭ вода'!AU50+'ОХР '!FP17+'ОХР '!FP21)</f>
        <v>0.65037052000000006</v>
      </c>
      <c r="EK185" s="365"/>
      <c r="EL185" s="4855">
        <f>SUM('ЭЭ вода'!AV49+'ОХР '!FS21+'ОХР '!FS17+'цех вода 2023'!BO18+'Тепловая энергия (3 подъем)'!AG10)</f>
        <v>14984.258893139999</v>
      </c>
      <c r="EM185" s="4855">
        <f>SUM('ЭЭ вода'!AV50+'ОХР '!FT17+'ОХР '!FT21)</f>
        <v>0.67658804000000006</v>
      </c>
    </row>
    <row r="186" spans="1:143" x14ac:dyDescent="0.25">
      <c r="A186" s="365"/>
      <c r="B186" s="365"/>
      <c r="C186" s="365"/>
      <c r="D186" s="365"/>
      <c r="E186" s="365"/>
      <c r="F186" s="365"/>
      <c r="G186" s="365"/>
      <c r="H186" s="365"/>
      <c r="I186" s="365"/>
      <c r="J186" s="365"/>
      <c r="K186" s="365"/>
      <c r="L186" s="365"/>
      <c r="M186" s="365"/>
      <c r="N186" s="365"/>
      <c r="O186" s="365"/>
      <c r="P186" s="365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>
        <f>AF150/AF149</f>
        <v>0.29993261127680237</v>
      </c>
      <c r="AH186" s="365"/>
      <c r="AI186" s="365"/>
      <c r="AJ186" s="365"/>
      <c r="AK186" s="365"/>
      <c r="AL186" s="365"/>
      <c r="AM186" s="365"/>
      <c r="AN186" s="365"/>
      <c r="AO186" s="365"/>
      <c r="AP186" s="365"/>
      <c r="AQ186" s="365"/>
      <c r="AR186" s="365"/>
      <c r="AS186" s="365"/>
      <c r="AT186" s="365"/>
      <c r="AU186" s="365"/>
      <c r="AV186" s="365"/>
      <c r="AW186" s="365"/>
      <c r="AX186" s="365"/>
      <c r="AY186" s="365"/>
      <c r="AZ186" s="365"/>
      <c r="BA186" s="3313"/>
      <c r="BB186" s="3389">
        <f>BB184/BB178</f>
        <v>1.2952229500778603</v>
      </c>
      <c r="BC186" s="365"/>
      <c r="BD186" s="365"/>
      <c r="BE186" s="3389">
        <f>BE184/BE178</f>
        <v>1.0703171570032211</v>
      </c>
      <c r="BF186" s="365"/>
      <c r="BG186" s="2387"/>
      <c r="BH186" s="2387"/>
      <c r="BI186" s="2387"/>
      <c r="BJ186" s="2387"/>
      <c r="BK186" s="2387"/>
      <c r="BL186" s="2387"/>
      <c r="BM186" s="2387"/>
      <c r="BN186" s="2387"/>
      <c r="BO186" s="2387"/>
      <c r="BP186" s="2387"/>
      <c r="BQ186" s="3387"/>
      <c r="BR186" s="3387"/>
      <c r="BS186" s="2387"/>
      <c r="BT186" s="2387"/>
      <c r="BU186" s="2387" t="s">
        <v>2013</v>
      </c>
      <c r="BV186" s="2387"/>
      <c r="BW186" s="3387"/>
      <c r="BX186" s="3387"/>
      <c r="BY186" s="3387"/>
      <c r="BZ186" s="3387"/>
      <c r="CA186" s="3387"/>
      <c r="CB186" s="365"/>
      <c r="CC186" s="365"/>
      <c r="CD186" s="365"/>
      <c r="CE186" s="365"/>
      <c r="CF186" s="365"/>
      <c r="CG186" s="3387"/>
      <c r="CH186" s="3387"/>
      <c r="CI186" s="365"/>
      <c r="CJ186" s="3387"/>
      <c r="CK186" s="3387"/>
      <c r="CL186" s="365"/>
      <c r="CM186" s="3387"/>
      <c r="CN186" s="3387"/>
      <c r="CO186" s="365"/>
      <c r="CP186" s="3387"/>
      <c r="CQ186" s="3387"/>
      <c r="CR186" s="2387" t="s">
        <v>2013</v>
      </c>
      <c r="CS186" s="3387"/>
      <c r="CT186" s="3387"/>
      <c r="CU186" s="2387" t="s">
        <v>2013</v>
      </c>
      <c r="CV186" s="3387"/>
      <c r="CW186" s="3387"/>
      <c r="CX186" s="2387" t="s">
        <v>2013</v>
      </c>
      <c r="CY186" s="3387"/>
      <c r="CZ186" s="3387"/>
      <c r="DA186" s="365"/>
      <c r="DB186" s="3387"/>
      <c r="DC186" s="3387"/>
      <c r="DD186" s="365"/>
      <c r="DE186" s="3387"/>
      <c r="DF186" s="3387"/>
      <c r="DG186" s="2387" t="s">
        <v>2013</v>
      </c>
      <c r="DH186" s="3387"/>
      <c r="DI186" s="3387"/>
      <c r="DJ186" s="2387" t="s">
        <v>2013</v>
      </c>
      <c r="DK186" s="3387"/>
      <c r="DL186" s="3387"/>
      <c r="DM186" s="2387" t="s">
        <v>2013</v>
      </c>
      <c r="DN186" s="3387"/>
      <c r="DO186" s="3387"/>
      <c r="DP186" s="365"/>
      <c r="DQ186" s="3387"/>
      <c r="DR186" s="3387"/>
      <c r="DS186" s="365"/>
      <c r="DT186" s="3387"/>
      <c r="DU186" s="3387"/>
      <c r="DV186" s="2387" t="s">
        <v>2013</v>
      </c>
      <c r="DW186" s="3387">
        <f>SUM(DW162+DW163)</f>
        <v>5659.44</v>
      </c>
      <c r="DX186" s="3387">
        <f>SUM(DX162+DX163)</f>
        <v>0</v>
      </c>
      <c r="DY186" s="2387" t="s">
        <v>2013</v>
      </c>
      <c r="DZ186" s="3387"/>
      <c r="EA186" s="3387"/>
      <c r="EB186" s="2387" t="s">
        <v>2013</v>
      </c>
      <c r="EC186" s="3387">
        <f>SUM(EC162+EC163)</f>
        <v>5659.44</v>
      </c>
      <c r="ED186" s="3387">
        <f>SUM(ED162+ED163)</f>
        <v>0</v>
      </c>
      <c r="EE186" s="2387"/>
      <c r="EF186" s="3387"/>
      <c r="EG186" s="3387"/>
      <c r="EH186" s="2387" t="s">
        <v>2013</v>
      </c>
      <c r="EI186" s="4856"/>
      <c r="EJ186" s="4856"/>
      <c r="EK186" s="365"/>
      <c r="EL186" s="4856"/>
      <c r="EM186" s="4856"/>
    </row>
    <row r="187" spans="1:143" x14ac:dyDescent="0.25">
      <c r="A187" s="365"/>
      <c r="B187" s="365"/>
      <c r="C187" s="365"/>
      <c r="D187" s="365"/>
      <c r="E187" s="365"/>
      <c r="F187" s="365"/>
      <c r="G187" s="365"/>
      <c r="H187" s="365"/>
      <c r="I187" s="365"/>
      <c r="J187" s="365"/>
      <c r="K187" s="365"/>
      <c r="L187" s="365"/>
      <c r="M187" s="365"/>
      <c r="N187" s="365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365"/>
      <c r="AB187" s="365"/>
      <c r="AC187" s="365"/>
      <c r="AD187" s="365"/>
      <c r="AE187" s="365"/>
      <c r="AF187" s="365"/>
      <c r="AG187" s="365"/>
      <c r="AH187" s="365"/>
      <c r="AI187" s="365"/>
      <c r="AJ187" s="365"/>
      <c r="AK187" s="365"/>
      <c r="AL187" s="365"/>
      <c r="AM187" s="365"/>
      <c r="AN187" s="365"/>
      <c r="AO187" s="365"/>
      <c r="AP187" s="365"/>
      <c r="AQ187" s="365"/>
      <c r="AR187" s="365"/>
      <c r="AS187" s="365"/>
      <c r="AT187" s="365"/>
      <c r="AU187" s="365"/>
      <c r="AV187" s="365"/>
      <c r="AW187" s="365"/>
      <c r="AX187" s="365"/>
      <c r="AY187" s="365"/>
      <c r="AZ187" s="365"/>
      <c r="BA187" s="3313"/>
      <c r="BB187" s="365"/>
      <c r="BC187" s="365"/>
      <c r="BD187" s="365"/>
      <c r="BE187" s="365"/>
      <c r="BF187" s="365"/>
      <c r="BG187" s="2387"/>
      <c r="BH187" s="2387"/>
      <c r="BI187" s="2387"/>
      <c r="BJ187" s="2387"/>
      <c r="BK187" s="2387"/>
      <c r="BL187" s="2387"/>
      <c r="BM187" s="2387"/>
      <c r="BN187" s="2387"/>
      <c r="BO187" s="2387"/>
      <c r="BP187" s="2387"/>
      <c r="BQ187" s="3386">
        <f>BQ158</f>
        <v>0</v>
      </c>
      <c r="BR187" s="3386">
        <f>BR158</f>
        <v>0</v>
      </c>
      <c r="BS187" s="2387"/>
      <c r="BT187" s="2387"/>
      <c r="BU187" s="2387" t="s">
        <v>2014</v>
      </c>
      <c r="BV187" s="2387"/>
      <c r="BW187" s="3386">
        <f>BW158</f>
        <v>30.794479507533907</v>
      </c>
      <c r="BX187" s="3386">
        <f>BX158</f>
        <v>0</v>
      </c>
      <c r="BY187" s="3386"/>
      <c r="BZ187" s="3386">
        <f>BZ158</f>
        <v>0</v>
      </c>
      <c r="CA187" s="3386">
        <f>CA158</f>
        <v>0</v>
      </c>
      <c r="CB187" s="365"/>
      <c r="CC187" s="365"/>
      <c r="CD187" s="365"/>
      <c r="CE187" s="365"/>
      <c r="CF187" s="365"/>
      <c r="CG187" s="3386">
        <f>CG158</f>
        <v>0</v>
      </c>
      <c r="CH187" s="3386">
        <f>CH158</f>
        <v>0</v>
      </c>
      <c r="CI187" s="365"/>
      <c r="CJ187" s="3386">
        <f>CJ158</f>
        <v>0</v>
      </c>
      <c r="CK187" s="3386">
        <f>CK158</f>
        <v>0</v>
      </c>
      <c r="CL187" s="365"/>
      <c r="CM187" s="3386">
        <f>CM158</f>
        <v>0</v>
      </c>
      <c r="CN187" s="3386">
        <f>CN158</f>
        <v>0</v>
      </c>
      <c r="CO187" s="365"/>
      <c r="CP187" s="3386">
        <f>CP158</f>
        <v>0</v>
      </c>
      <c r="CQ187" s="3386">
        <f>CQ158</f>
        <v>0</v>
      </c>
      <c r="CR187" s="2387" t="s">
        <v>2014</v>
      </c>
      <c r="CS187" s="3386">
        <f>CS158</f>
        <v>0</v>
      </c>
      <c r="CT187" s="3386">
        <f>CT158</f>
        <v>0</v>
      </c>
      <c r="CU187" s="2387" t="s">
        <v>2014</v>
      </c>
      <c r="CV187" s="3386">
        <f>CV158</f>
        <v>0</v>
      </c>
      <c r="CW187" s="3386">
        <f>CW158</f>
        <v>0</v>
      </c>
      <c r="CX187" s="2387" t="s">
        <v>2014</v>
      </c>
      <c r="CY187" s="3386">
        <f>CY158</f>
        <v>0</v>
      </c>
      <c r="CZ187" s="3386">
        <f>CZ158</f>
        <v>0</v>
      </c>
      <c r="DA187" s="365"/>
      <c r="DB187" s="3386">
        <f>DB158</f>
        <v>0</v>
      </c>
      <c r="DC187" s="3386">
        <f>DC158</f>
        <v>0</v>
      </c>
      <c r="DD187" s="365"/>
      <c r="DE187" s="3386">
        <f>DE158</f>
        <v>0</v>
      </c>
      <c r="DF187" s="3386">
        <f>DF158</f>
        <v>0</v>
      </c>
      <c r="DG187" s="2387" t="s">
        <v>2014</v>
      </c>
      <c r="DH187" s="3386">
        <f>DH158</f>
        <v>0</v>
      </c>
      <c r="DI187" s="3386">
        <f>DI158</f>
        <v>0</v>
      </c>
      <c r="DJ187" s="2387" t="s">
        <v>2014</v>
      </c>
      <c r="DK187" s="3386">
        <f>DK158</f>
        <v>0</v>
      </c>
      <c r="DL187" s="3386">
        <f>DL158</f>
        <v>0</v>
      </c>
      <c r="DM187" s="2387" t="s">
        <v>2014</v>
      </c>
      <c r="DN187" s="3810">
        <f>DN158</f>
        <v>0</v>
      </c>
      <c r="DO187" s="3810">
        <f>DO158</f>
        <v>0</v>
      </c>
      <c r="DP187" s="365"/>
      <c r="DQ187" s="3810">
        <f>DQ158</f>
        <v>0</v>
      </c>
      <c r="DR187" s="3810">
        <f>DR158</f>
        <v>0</v>
      </c>
      <c r="DS187" s="365"/>
      <c r="DT187" s="3386">
        <f>DT158</f>
        <v>0</v>
      </c>
      <c r="DU187" s="3386">
        <f>DU158</f>
        <v>0</v>
      </c>
      <c r="DV187" s="2387" t="s">
        <v>2014</v>
      </c>
      <c r="DW187" s="3386">
        <f>DW158</f>
        <v>0</v>
      </c>
      <c r="DX187" s="3386">
        <f>DX158</f>
        <v>0</v>
      </c>
      <c r="DY187" s="2387" t="s">
        <v>2014</v>
      </c>
      <c r="DZ187" s="3386">
        <f>DZ158</f>
        <v>0</v>
      </c>
      <c r="EA187" s="3386">
        <f>EA158</f>
        <v>0</v>
      </c>
      <c r="EB187" s="2387" t="s">
        <v>2014</v>
      </c>
      <c r="EC187" s="3386">
        <f>EC158</f>
        <v>0</v>
      </c>
      <c r="ED187" s="3386">
        <f>ED158</f>
        <v>0</v>
      </c>
      <c r="EE187" s="2387"/>
      <c r="EF187" s="3386"/>
      <c r="EG187" s="3386"/>
      <c r="EH187" s="2387" t="s">
        <v>2014</v>
      </c>
      <c r="EI187" s="4855">
        <f>EI158</f>
        <v>0</v>
      </c>
      <c r="EJ187" s="4855">
        <f>EJ158</f>
        <v>0</v>
      </c>
      <c r="EK187" s="365"/>
      <c r="EL187" s="4855">
        <f>EL158</f>
        <v>0</v>
      </c>
      <c r="EM187" s="4855">
        <f>EM158</f>
        <v>0</v>
      </c>
    </row>
    <row r="188" spans="1:143" x14ac:dyDescent="0.25">
      <c r="A188" s="365"/>
      <c r="B188" s="365"/>
      <c r="C188" s="365"/>
      <c r="D188" s="365"/>
      <c r="E188" s="365"/>
      <c r="F188" s="365"/>
      <c r="G188" s="365"/>
      <c r="H188" s="365"/>
      <c r="I188" s="365"/>
      <c r="J188" s="365"/>
      <c r="K188" s="365"/>
      <c r="L188" s="365"/>
      <c r="M188" s="365"/>
      <c r="N188" s="365"/>
      <c r="O188" s="365"/>
      <c r="P188" s="365"/>
      <c r="Q188" s="365"/>
      <c r="R188" s="365"/>
      <c r="S188" s="365"/>
      <c r="T188" s="365"/>
      <c r="U188" s="365"/>
      <c r="V188" s="365"/>
      <c r="W188" s="365"/>
      <c r="X188" s="365"/>
      <c r="Y188" s="365"/>
      <c r="Z188" s="365"/>
      <c r="AA188" s="365"/>
      <c r="AB188" s="365"/>
      <c r="AC188" s="365"/>
      <c r="AD188" s="365"/>
      <c r="AE188" s="365"/>
      <c r="AF188" s="365"/>
      <c r="AG188" s="365"/>
      <c r="AH188" s="365"/>
      <c r="AI188" s="365"/>
      <c r="AJ188" s="365"/>
      <c r="AK188" s="365"/>
      <c r="AL188" s="365"/>
      <c r="AM188" s="365"/>
      <c r="AN188" s="365"/>
      <c r="AO188" s="365"/>
      <c r="AP188" s="365"/>
      <c r="AQ188" s="365"/>
      <c r="AR188" s="365"/>
      <c r="AS188" s="365"/>
      <c r="AT188" s="365"/>
      <c r="AU188" s="365"/>
      <c r="AV188" s="365"/>
      <c r="AW188" s="365"/>
      <c r="AX188" s="365"/>
      <c r="AY188" s="365"/>
      <c r="AZ188" s="365"/>
      <c r="BA188" s="3313"/>
      <c r="BB188" s="365"/>
      <c r="BC188" s="365"/>
      <c r="BD188" s="365"/>
      <c r="BE188" s="365"/>
      <c r="BF188" s="365"/>
      <c r="BG188" s="2387"/>
      <c r="BH188" s="2387"/>
      <c r="BI188" s="2387"/>
      <c r="BJ188" s="2387"/>
      <c r="BK188" s="2387"/>
      <c r="BL188" s="2387"/>
      <c r="BM188" s="2387"/>
      <c r="BN188" s="2387"/>
      <c r="BO188" s="2387"/>
      <c r="BP188" s="2387"/>
      <c r="BQ188" s="3386">
        <f>BQ153</f>
        <v>4716.59</v>
      </c>
      <c r="BR188" s="3386">
        <f>BR153</f>
        <v>1.71</v>
      </c>
      <c r="BS188" s="2387"/>
      <c r="BT188" s="2387"/>
      <c r="BU188" s="2387" t="s">
        <v>2015</v>
      </c>
      <c r="BV188" s="2387"/>
      <c r="BW188" s="3386">
        <f>BW153</f>
        <v>6646.6681943163603</v>
      </c>
      <c r="BX188" s="3386">
        <f>BX153</f>
        <v>2.2995438514545756</v>
      </c>
      <c r="BY188" s="3386"/>
      <c r="BZ188" s="3386">
        <f>BZ153</f>
        <v>8047.3436809562545</v>
      </c>
      <c r="CA188" s="3386">
        <f>CA153</f>
        <v>2.3557822715825516</v>
      </c>
      <c r="CB188" s="365"/>
      <c r="CC188" s="365"/>
      <c r="CD188" s="365"/>
      <c r="CE188" s="365"/>
      <c r="CF188" s="365"/>
      <c r="CG188" s="3386">
        <f>CG153</f>
        <v>6443.3212990978163</v>
      </c>
      <c r="CH188" s="3386">
        <f>CH153</f>
        <v>1.8708976715825516</v>
      </c>
      <c r="CI188" s="365"/>
      <c r="CJ188" s="3386">
        <f>CJ153</f>
        <v>3177.0067785000001</v>
      </c>
      <c r="CK188" s="3386">
        <f>CK153</f>
        <v>0</v>
      </c>
      <c r="CL188" s="365"/>
      <c r="CM188" s="3386">
        <f>CM153</f>
        <v>4766.0355731699992</v>
      </c>
      <c r="CN188" s="3386">
        <f>CN153</f>
        <v>0</v>
      </c>
      <c r="CO188" s="365"/>
      <c r="CP188" s="3386">
        <f>CP153</f>
        <v>6354.3249378799992</v>
      </c>
      <c r="CQ188" s="3386">
        <f>CQ153</f>
        <v>0</v>
      </c>
      <c r="CR188" s="2387" t="s">
        <v>2015</v>
      </c>
      <c r="CS188" s="3386">
        <f>CS153</f>
        <v>7774.0937539999995</v>
      </c>
      <c r="CT188" s="3386">
        <f>CT153</f>
        <v>1.2142200000000001</v>
      </c>
      <c r="CU188" s="2387" t="s">
        <v>2015</v>
      </c>
      <c r="CV188" s="3386">
        <f>CV153</f>
        <v>5070.1323199999997</v>
      </c>
      <c r="CW188" s="3386">
        <f>CW153</f>
        <v>0.73399999999999999</v>
      </c>
      <c r="CX188" s="2387" t="s">
        <v>2015</v>
      </c>
      <c r="CY188" s="3386">
        <f>CY153</f>
        <v>2537.2637800000002</v>
      </c>
      <c r="CZ188" s="3386">
        <f>CZ153</f>
        <v>0</v>
      </c>
      <c r="DA188" s="365"/>
      <c r="DB188" s="3386">
        <f>DB153</f>
        <v>4227.7289609999998</v>
      </c>
      <c r="DC188" s="3386">
        <f>DC153</f>
        <v>0</v>
      </c>
      <c r="DD188" s="365"/>
      <c r="DE188" s="3386">
        <f>DE153</f>
        <v>6132.2974599999998</v>
      </c>
      <c r="DF188" s="3386">
        <f>DF153</f>
        <v>0</v>
      </c>
      <c r="DG188" s="2387" t="s">
        <v>2015</v>
      </c>
      <c r="DH188" s="3386">
        <f>DH153</f>
        <v>6352.6427817766298</v>
      </c>
      <c r="DI188" s="3386">
        <f>DI153</f>
        <v>1.3963722000000001</v>
      </c>
      <c r="DJ188" s="2387" t="s">
        <v>2015</v>
      </c>
      <c r="DK188" s="3386">
        <f>DK153</f>
        <v>6025.5453875757521</v>
      </c>
      <c r="DL188" s="3386">
        <f>DL153</f>
        <v>1.3972217040000001</v>
      </c>
      <c r="DM188" s="2387" t="s">
        <v>2015</v>
      </c>
      <c r="DN188" s="3810">
        <f>DN153</f>
        <v>2668.8681422747095</v>
      </c>
      <c r="DO188" s="3810">
        <f>DO153</f>
        <v>0</v>
      </c>
      <c r="DP188" s="365"/>
      <c r="DQ188" s="3810">
        <f>DQ153</f>
        <v>4077.3522626036061</v>
      </c>
      <c r="DR188" s="3810">
        <f>DR153</f>
        <v>0</v>
      </c>
      <c r="DS188" s="365"/>
      <c r="DT188" s="3386">
        <f>DT153</f>
        <v>8737.3537726391951</v>
      </c>
      <c r="DU188" s="3386">
        <f>DU153</f>
        <v>0</v>
      </c>
      <c r="DV188" s="2387" t="s">
        <v>2015</v>
      </c>
      <c r="DW188" s="3386">
        <f>DW153</f>
        <v>9150.4223362823741</v>
      </c>
      <c r="DX188" s="3386">
        <f>DX153</f>
        <v>1.6069784</v>
      </c>
      <c r="DY188" s="2387" t="s">
        <v>2015</v>
      </c>
      <c r="DZ188" s="3386">
        <f>DZ153</f>
        <v>3305.4658779997299</v>
      </c>
      <c r="EA188" s="3386">
        <f>EA153</f>
        <v>1.22692416</v>
      </c>
      <c r="EB188" s="2387" t="s">
        <v>2015</v>
      </c>
      <c r="EC188" s="3386">
        <f>EC153</f>
        <v>9150.4223362823741</v>
      </c>
      <c r="ED188" s="3386">
        <f>ED153</f>
        <v>1.6069784</v>
      </c>
      <c r="EE188" s="2387"/>
      <c r="EF188" s="3386"/>
      <c r="EG188" s="3386"/>
      <c r="EH188" s="2387" t="s">
        <v>2015</v>
      </c>
      <c r="EI188" s="4855">
        <f>EI153</f>
        <v>0</v>
      </c>
      <c r="EJ188" s="4855">
        <f>EJ153</f>
        <v>0</v>
      </c>
      <c r="EK188" s="365"/>
      <c r="EL188" s="4855">
        <f>EL153</f>
        <v>0</v>
      </c>
      <c r="EM188" s="4855">
        <f>EM153</f>
        <v>0</v>
      </c>
    </row>
    <row r="189" spans="1:143" x14ac:dyDescent="0.25">
      <c r="A189" s="365"/>
      <c r="B189" s="365"/>
      <c r="C189" s="365"/>
      <c r="D189" s="365"/>
      <c r="E189" s="365"/>
      <c r="F189" s="365"/>
      <c r="G189" s="365"/>
      <c r="H189" s="365"/>
      <c r="I189" s="365"/>
      <c r="J189" s="365"/>
      <c r="K189" s="365"/>
      <c r="L189" s="365"/>
      <c r="M189" s="365"/>
      <c r="N189" s="365"/>
      <c r="O189" s="365"/>
      <c r="P189" s="365"/>
      <c r="Q189" s="365"/>
      <c r="R189" s="365"/>
      <c r="S189" s="365"/>
      <c r="T189" s="365"/>
      <c r="U189" s="365"/>
      <c r="V189" s="365"/>
      <c r="W189" s="365"/>
      <c r="X189" s="365"/>
      <c r="Y189" s="365"/>
      <c r="Z189" s="365"/>
      <c r="AA189" s="365"/>
      <c r="AB189" s="365"/>
      <c r="AC189" s="365"/>
      <c r="AD189" s="365"/>
      <c r="AE189" s="365"/>
      <c r="AF189" s="365"/>
      <c r="AG189" s="365"/>
      <c r="AH189" s="365"/>
      <c r="AI189" s="365"/>
      <c r="AJ189" s="365"/>
      <c r="AK189" s="365"/>
      <c r="AL189" s="365"/>
      <c r="AM189" s="365"/>
      <c r="AN189" s="365"/>
      <c r="AO189" s="365"/>
      <c r="AP189" s="365"/>
      <c r="AQ189" s="365"/>
      <c r="AR189" s="365"/>
      <c r="AS189" s="365"/>
      <c r="AT189" s="365"/>
      <c r="AU189" s="365"/>
      <c r="AV189" s="365"/>
      <c r="AW189" s="365"/>
      <c r="AX189" s="365"/>
      <c r="AY189" s="365"/>
      <c r="AZ189" s="365"/>
      <c r="BA189" s="3313"/>
      <c r="BB189" s="365"/>
      <c r="BC189" s="365"/>
      <c r="BD189" s="365"/>
      <c r="BE189" s="365"/>
      <c r="BF189" s="365"/>
      <c r="BG189" s="2387"/>
      <c r="BH189" s="2387"/>
      <c r="BI189" s="2387"/>
      <c r="BJ189" s="2387"/>
      <c r="BK189" s="2387"/>
      <c r="BL189" s="2387"/>
      <c r="BM189" s="2387"/>
      <c r="BN189" s="2387"/>
      <c r="BO189" s="2387"/>
      <c r="BP189" s="2387"/>
      <c r="BQ189" s="3386">
        <f>BQ60</f>
        <v>136.5</v>
      </c>
      <c r="BR189" s="3386">
        <f>BR60</f>
        <v>5.1999999999999995E-4</v>
      </c>
      <c r="BS189" s="2387"/>
      <c r="BT189" s="2387"/>
      <c r="BU189" s="2387" t="s">
        <v>2016</v>
      </c>
      <c r="BV189" s="2387"/>
      <c r="BW189" s="3386">
        <f>BW60</f>
        <v>63.885995088205725</v>
      </c>
      <c r="BX189" s="3386">
        <f>BX60</f>
        <v>3.0890411794274542E-2</v>
      </c>
      <c r="BY189" s="3386"/>
      <c r="BZ189" s="3386">
        <f>BZ60</f>
        <v>147.084756</v>
      </c>
      <c r="CA189" s="3386">
        <f>CA60</f>
        <v>5.6032287999999999E-4</v>
      </c>
      <c r="CB189" s="365"/>
      <c r="CC189" s="365"/>
      <c r="CD189" s="365"/>
      <c r="CE189" s="365"/>
      <c r="CF189" s="365"/>
      <c r="CG189" s="3386">
        <f>CG60</f>
        <v>138.11089028999999</v>
      </c>
      <c r="CH189" s="3386">
        <f>CH60</f>
        <v>0</v>
      </c>
      <c r="CI189" s="365"/>
      <c r="CJ189" s="3386">
        <f>SUM('Аренда земли'!U9)</f>
        <v>44.822929999999999</v>
      </c>
      <c r="CK189" s="3388">
        <f>SUM('Аренда земли'!U12)</f>
        <v>1.4499999999999999E-3</v>
      </c>
      <c r="CL189" s="365"/>
      <c r="CM189" s="3386">
        <f>CM60</f>
        <v>67.210719999999995</v>
      </c>
      <c r="CN189" s="3388">
        <f>CN60</f>
        <v>2.33E-3</v>
      </c>
      <c r="CO189" s="365"/>
      <c r="CP189" s="3386">
        <f>CP60</f>
        <v>89.506</v>
      </c>
      <c r="CQ189" s="3388">
        <f>CQ60</f>
        <v>3.0000000000000001E-3</v>
      </c>
      <c r="CR189" s="2387" t="s">
        <v>2016</v>
      </c>
      <c r="CS189" s="3386">
        <f>CS60</f>
        <v>138.11089028999999</v>
      </c>
      <c r="CT189" s="3388">
        <f>CT60</f>
        <v>0</v>
      </c>
      <c r="CU189" s="2387" t="s">
        <v>2016</v>
      </c>
      <c r="CV189" s="3386">
        <f>CV60</f>
        <v>86.286980999999997</v>
      </c>
      <c r="CW189" s="3388">
        <f>CW60</f>
        <v>0</v>
      </c>
      <c r="CX189" s="2387" t="s">
        <v>2016</v>
      </c>
      <c r="CY189" s="3386">
        <f>SUM('Аренда земли'!AA9)</f>
        <v>65.468450000000004</v>
      </c>
      <c r="CZ189" s="3388">
        <f>SUM('Аренда земли'!AA12)</f>
        <v>3.13E-3</v>
      </c>
      <c r="DA189" s="365"/>
      <c r="DB189" s="3386">
        <f>SUM('Аренда земли'!AB9)</f>
        <v>98.12679</v>
      </c>
      <c r="DC189" s="3388">
        <f>SUM('Аренда земли'!AB12)</f>
        <v>6.5300000000000002E-3</v>
      </c>
      <c r="DD189" s="365"/>
      <c r="DE189" s="3386">
        <f>SUM(DE77)</f>
        <v>130.78100000000001</v>
      </c>
      <c r="DF189" s="3386">
        <f>SUM(DF77)</f>
        <v>6.77E-3</v>
      </c>
      <c r="DG189" s="2387" t="s">
        <v>2016</v>
      </c>
      <c r="DH189" s="3386">
        <f>DH60</f>
        <v>137.32005000000001</v>
      </c>
      <c r="DI189" s="3388">
        <f>DI60</f>
        <v>0</v>
      </c>
      <c r="DJ189" s="2387" t="s">
        <v>2016</v>
      </c>
      <c r="DK189" s="3386">
        <f>DK60</f>
        <v>115.26003174</v>
      </c>
      <c r="DL189" s="3388">
        <f>DL60</f>
        <v>0</v>
      </c>
      <c r="DM189" s="2387" t="s">
        <v>2016</v>
      </c>
      <c r="DN189" s="3810">
        <f>SUM(DN77)</f>
        <v>72.257239999999996</v>
      </c>
      <c r="DO189" s="3810">
        <f>SUM(DO77)</f>
        <v>7.45E-3</v>
      </c>
      <c r="DP189" s="365"/>
      <c r="DQ189" s="3810">
        <f>SUM(DQ77)</f>
        <v>108.70672</v>
      </c>
      <c r="DR189" s="3810">
        <f>SUM(DR77)</f>
        <v>0</v>
      </c>
      <c r="DS189" s="365"/>
      <c r="DT189" s="3386">
        <f>SUM(DT77)</f>
        <v>145.34207000000001</v>
      </c>
      <c r="DU189" s="3386">
        <f>SUM(DU77)</f>
        <v>0</v>
      </c>
      <c r="DV189" s="2387" t="s">
        <v>2016</v>
      </c>
      <c r="DW189" s="3386">
        <f>DW60</f>
        <v>111.3917805</v>
      </c>
      <c r="DX189" s="3388">
        <f>DX60</f>
        <v>0</v>
      </c>
      <c r="DY189" s="2387" t="s">
        <v>2016</v>
      </c>
      <c r="DZ189" s="3386">
        <f>DZ60</f>
        <v>0</v>
      </c>
      <c r="EA189" s="3388">
        <f>EA60</f>
        <v>0</v>
      </c>
      <c r="EB189" s="2387" t="s">
        <v>2016</v>
      </c>
      <c r="EC189" s="3386">
        <f>EC60</f>
        <v>111.3917805</v>
      </c>
      <c r="ED189" s="3388">
        <f>ED60</f>
        <v>0</v>
      </c>
      <c r="EE189" s="2387"/>
      <c r="EF189" s="3386"/>
      <c r="EG189" s="3388"/>
      <c r="EH189" s="2387" t="s">
        <v>2016</v>
      </c>
      <c r="EI189" s="4855">
        <f>SUM(EI77)</f>
        <v>74.80386</v>
      </c>
      <c r="EJ189" s="4855">
        <f>SUM(EJ77)</f>
        <v>0</v>
      </c>
      <c r="EK189" s="365"/>
      <c r="EL189" s="4855">
        <f>SUM(EL77)</f>
        <v>143.67680000000001</v>
      </c>
      <c r="EM189" s="4855">
        <f>SUM(EM77)</f>
        <v>0</v>
      </c>
    </row>
    <row r="190" spans="1:143" x14ac:dyDescent="0.25">
      <c r="A190" s="365"/>
      <c r="B190" s="365"/>
      <c r="C190" s="365"/>
      <c r="D190" s="365"/>
      <c r="E190" s="365"/>
      <c r="F190" s="365"/>
      <c r="G190" s="365"/>
      <c r="H190" s="365"/>
      <c r="I190" s="365"/>
      <c r="J190" s="365"/>
      <c r="K190" s="365"/>
      <c r="L190" s="365"/>
      <c r="M190" s="365"/>
      <c r="N190" s="365"/>
      <c r="O190" s="365"/>
      <c r="P190" s="365"/>
      <c r="Q190" s="365"/>
      <c r="R190" s="365"/>
      <c r="S190" s="365"/>
      <c r="T190" s="365"/>
      <c r="U190" s="365"/>
      <c r="V190" s="365"/>
      <c r="W190" s="365"/>
      <c r="X190" s="365"/>
      <c r="Y190" s="365"/>
      <c r="Z190" s="365"/>
      <c r="AA190" s="365"/>
      <c r="AB190" s="365"/>
      <c r="AC190" s="365"/>
      <c r="AD190" s="365"/>
      <c r="AE190" s="365"/>
      <c r="AF190" s="365"/>
      <c r="AG190" s="365"/>
      <c r="AH190" s="365"/>
      <c r="AI190" s="365"/>
      <c r="AJ190" s="365"/>
      <c r="AK190" s="365"/>
      <c r="AL190" s="365"/>
      <c r="AM190" s="365"/>
      <c r="AN190" s="365"/>
      <c r="AO190" s="365"/>
      <c r="AP190" s="365"/>
      <c r="AQ190" s="365"/>
      <c r="AR190" s="365"/>
      <c r="AS190" s="365"/>
      <c r="AT190" s="365"/>
      <c r="AU190" s="365"/>
      <c r="AV190" s="365"/>
      <c r="AW190" s="365"/>
      <c r="AX190" s="365"/>
      <c r="AY190" s="365"/>
      <c r="AZ190" s="365"/>
      <c r="BA190" s="3313"/>
      <c r="BB190" s="365"/>
      <c r="BC190" s="365"/>
      <c r="BD190" s="365"/>
      <c r="BE190" s="365"/>
      <c r="BF190" s="365"/>
      <c r="BG190" s="2387"/>
      <c r="BH190" s="2387"/>
      <c r="BI190" s="2387"/>
      <c r="BJ190" s="2387"/>
      <c r="BK190" s="2387"/>
      <c r="BL190" s="2387"/>
      <c r="BM190" s="2387"/>
      <c r="BN190" s="2387"/>
      <c r="BO190" s="2387"/>
      <c r="BP190" s="2387"/>
      <c r="BQ190" s="3386">
        <f>BQ62</f>
        <v>0</v>
      </c>
      <c r="BR190" s="3386">
        <f>BR62</f>
        <v>0</v>
      </c>
      <c r="BS190" s="2387"/>
      <c r="BT190" s="2387"/>
      <c r="BU190" s="2387" t="s">
        <v>2091</v>
      </c>
      <c r="BV190" s="2387"/>
      <c r="BW190" s="3386">
        <f>BW62</f>
        <v>294.81</v>
      </c>
      <c r="BX190" s="3386">
        <f>BX62</f>
        <v>0</v>
      </c>
      <c r="BY190" s="3386"/>
      <c r="BZ190" s="3386">
        <f>BZ62</f>
        <v>294.81</v>
      </c>
      <c r="CA190" s="3386">
        <f>CA62</f>
        <v>0</v>
      </c>
      <c r="CB190" s="365"/>
      <c r="CC190" s="365"/>
      <c r="CD190" s="365"/>
      <c r="CE190" s="365"/>
      <c r="CF190" s="365"/>
      <c r="CG190" s="3386">
        <f>CG62</f>
        <v>294.80500000000001</v>
      </c>
      <c r="CH190" s="3386">
        <f>CH62</f>
        <v>0</v>
      </c>
      <c r="CI190" s="365"/>
      <c r="CJ190" s="3386">
        <f>CJ62</f>
        <v>0</v>
      </c>
      <c r="CK190" s="3386">
        <f>CK62</f>
        <v>0</v>
      </c>
      <c r="CL190" s="365"/>
      <c r="CM190" s="3386">
        <f>CM62</f>
        <v>0</v>
      </c>
      <c r="CN190" s="3386">
        <f>CN62</f>
        <v>0</v>
      </c>
      <c r="CO190" s="365"/>
      <c r="CP190" s="3386">
        <f>CP62</f>
        <v>0</v>
      </c>
      <c r="CQ190" s="3386">
        <f>CQ62</f>
        <v>0</v>
      </c>
      <c r="CR190" s="2387" t="s">
        <v>2091</v>
      </c>
      <c r="CS190" s="3386">
        <f>CS62</f>
        <v>361.3957437703653</v>
      </c>
      <c r="CT190" s="3386">
        <f>CT62</f>
        <v>0</v>
      </c>
      <c r="CU190" s="2387" t="s">
        <v>2091</v>
      </c>
      <c r="CV190" s="3386">
        <f>CV62</f>
        <v>0</v>
      </c>
      <c r="CW190" s="3386">
        <f>CW62</f>
        <v>0</v>
      </c>
      <c r="CX190" s="2387" t="s">
        <v>2091</v>
      </c>
      <c r="CY190" s="3386">
        <f>CY62</f>
        <v>0</v>
      </c>
      <c r="CZ190" s="3386">
        <f>CZ62</f>
        <v>0</v>
      </c>
      <c r="DA190" s="365"/>
      <c r="DB190" s="3386">
        <f>DB62</f>
        <v>0</v>
      </c>
      <c r="DC190" s="3386">
        <f>DC62</f>
        <v>0</v>
      </c>
      <c r="DD190" s="365"/>
      <c r="DE190" s="3386">
        <f>DE62</f>
        <v>2720.33</v>
      </c>
      <c r="DF190" s="3386">
        <f>DF62</f>
        <v>0</v>
      </c>
      <c r="DG190" s="2387" t="s">
        <v>2091</v>
      </c>
      <c r="DH190" s="3386">
        <f>DH62</f>
        <v>372.81463449789953</v>
      </c>
      <c r="DI190" s="3386">
        <f>DI62</f>
        <v>0</v>
      </c>
      <c r="DJ190" s="2387" t="s">
        <v>2091</v>
      </c>
      <c r="DK190" s="3386">
        <f>DK62</f>
        <v>372.81463449789953</v>
      </c>
      <c r="DL190" s="3386">
        <f>DL62</f>
        <v>0</v>
      </c>
      <c r="DM190" s="2387" t="s">
        <v>2091</v>
      </c>
      <c r="DN190" s="3810">
        <f>DN62</f>
        <v>0</v>
      </c>
      <c r="DO190" s="3810">
        <f>DO62</f>
        <v>0</v>
      </c>
      <c r="DP190" s="365"/>
      <c r="DQ190" s="3810">
        <f>DQ62</f>
        <v>0</v>
      </c>
      <c r="DR190" s="3810">
        <f>DR62</f>
        <v>0</v>
      </c>
      <c r="DS190" s="365"/>
      <c r="DT190" s="3386">
        <f>DT62</f>
        <v>2371.9087199999999</v>
      </c>
      <c r="DU190" s="3386">
        <f>DU62</f>
        <v>0</v>
      </c>
      <c r="DV190" s="2387" t="s">
        <v>2091</v>
      </c>
      <c r="DW190" s="3386">
        <f>DW62</f>
        <v>387.72721987781551</v>
      </c>
      <c r="DX190" s="3386">
        <f>DX62</f>
        <v>0</v>
      </c>
      <c r="DY190" s="2387" t="s">
        <v>2091</v>
      </c>
      <c r="DZ190" s="3386">
        <f>DZ62</f>
        <v>0</v>
      </c>
      <c r="EA190" s="3386">
        <f>EA62</f>
        <v>0</v>
      </c>
      <c r="EB190" s="2387" t="s">
        <v>2091</v>
      </c>
      <c r="EC190" s="3386">
        <f>EC62</f>
        <v>387.72721987781551</v>
      </c>
      <c r="ED190" s="3386">
        <f>ED62</f>
        <v>0</v>
      </c>
      <c r="EE190" s="2387"/>
      <c r="EF190" s="3386"/>
      <c r="EG190" s="3386"/>
      <c r="EH190" s="2387" t="s">
        <v>2091</v>
      </c>
      <c r="EI190" s="4855">
        <f>EI62</f>
        <v>0</v>
      </c>
      <c r="EJ190" s="4855">
        <f>EJ62</f>
        <v>0</v>
      </c>
      <c r="EK190" s="365"/>
      <c r="EL190" s="4855">
        <f>EL62</f>
        <v>0</v>
      </c>
      <c r="EM190" s="4855">
        <f>EM62</f>
        <v>0</v>
      </c>
    </row>
    <row r="191" spans="1:143" x14ac:dyDescent="0.25">
      <c r="A191" s="365"/>
      <c r="B191" s="365"/>
      <c r="C191" s="365"/>
      <c r="D191" s="365"/>
      <c r="E191" s="365"/>
      <c r="F191" s="365"/>
      <c r="G191" s="365"/>
      <c r="H191" s="365"/>
      <c r="I191" s="365"/>
      <c r="J191" s="365"/>
      <c r="K191" s="365"/>
      <c r="L191" s="365"/>
      <c r="M191" s="365"/>
      <c r="N191" s="365"/>
      <c r="O191" s="365"/>
      <c r="P191" s="365"/>
      <c r="Q191" s="365"/>
      <c r="R191" s="365"/>
      <c r="S191" s="365"/>
      <c r="T191" s="365"/>
      <c r="U191" s="365"/>
      <c r="V191" s="365"/>
      <c r="W191" s="365"/>
      <c r="X191" s="365"/>
      <c r="Y191" s="365"/>
      <c r="Z191" s="365"/>
      <c r="AA191" s="365"/>
      <c r="AB191" s="365"/>
      <c r="AC191" s="365"/>
      <c r="AD191" s="365"/>
      <c r="AE191" s="365"/>
      <c r="AF191" s="365"/>
      <c r="AG191" s="365"/>
      <c r="AH191" s="365"/>
      <c r="AI191" s="365"/>
      <c r="AJ191" s="365"/>
      <c r="AK191" s="365"/>
      <c r="AL191" s="365"/>
      <c r="AM191" s="365"/>
      <c r="AN191" s="365"/>
      <c r="AO191" s="365"/>
      <c r="AP191" s="365"/>
      <c r="AQ191" s="365"/>
      <c r="AR191" s="365"/>
      <c r="AS191" s="365"/>
      <c r="AT191" s="365"/>
      <c r="AU191" s="365"/>
      <c r="AV191" s="365"/>
      <c r="AW191" s="365"/>
      <c r="AX191" s="365"/>
      <c r="AY191" s="365"/>
      <c r="AZ191" s="365"/>
      <c r="BA191" s="3313"/>
      <c r="BB191" s="365"/>
      <c r="BC191" s="365"/>
      <c r="BD191" s="365"/>
      <c r="BE191" s="365"/>
      <c r="BF191" s="365"/>
      <c r="BG191" s="2387"/>
      <c r="BH191" s="2387"/>
      <c r="BI191" s="2387"/>
      <c r="BJ191" s="2387"/>
      <c r="BK191" s="2387"/>
      <c r="BL191" s="2387"/>
      <c r="BM191" s="2387"/>
      <c r="BN191" s="2387"/>
      <c r="BO191" s="2387"/>
      <c r="BP191" s="2387"/>
      <c r="BQ191" s="3386">
        <f>BQ146</f>
        <v>9926.08</v>
      </c>
      <c r="BR191" s="3386">
        <f>BR146</f>
        <v>2.3940000000000001</v>
      </c>
      <c r="BS191" s="2387"/>
      <c r="BT191" s="2387"/>
      <c r="BU191" s="2387" t="s">
        <v>2</v>
      </c>
      <c r="BV191" s="2387"/>
      <c r="BW191" s="3386">
        <f>BW146</f>
        <v>9982.6164784696339</v>
      </c>
      <c r="BX191" s="3386">
        <f>BX146</f>
        <v>1.7635215303655989</v>
      </c>
      <c r="BY191" s="3386"/>
      <c r="BZ191" s="3386">
        <f>BZ146</f>
        <v>10213.246478469635</v>
      </c>
      <c r="CA191" s="3386">
        <f>CA146</f>
        <v>1.7635215303655989</v>
      </c>
      <c r="CB191" s="365"/>
      <c r="CC191" s="365"/>
      <c r="CD191" s="365"/>
      <c r="CE191" s="365"/>
      <c r="CF191" s="365"/>
      <c r="CG191" s="3386">
        <f>CG146</f>
        <v>10213.251233333236</v>
      </c>
      <c r="CH191" s="3386">
        <f>CH146</f>
        <v>1.7587666667625974</v>
      </c>
      <c r="CI191" s="365"/>
      <c r="CJ191" s="3386">
        <f>CJ146</f>
        <v>8246.4500000000007</v>
      </c>
      <c r="CK191" s="3386">
        <f>CK146</f>
        <v>0</v>
      </c>
      <c r="CL191" s="365"/>
      <c r="CM191" s="3386">
        <f>CM146</f>
        <v>12169.970000000001</v>
      </c>
      <c r="CN191" s="3386">
        <f>CN146</f>
        <v>0</v>
      </c>
      <c r="CO191" s="365"/>
      <c r="CP191" s="3386">
        <f>CP146</f>
        <v>15677.41</v>
      </c>
      <c r="CQ191" s="3386">
        <f>CQ146</f>
        <v>0</v>
      </c>
      <c r="CR191" s="2387" t="s">
        <v>2</v>
      </c>
      <c r="CS191" s="3386">
        <f>CS146</f>
        <v>11708.98</v>
      </c>
      <c r="CT191" s="3386">
        <f>CT146</f>
        <v>0</v>
      </c>
      <c r="CU191" s="2387" t="s">
        <v>2</v>
      </c>
      <c r="CV191" s="3386">
        <f>CV146</f>
        <v>6142.7100000000009</v>
      </c>
      <c r="CW191" s="3386">
        <f>CW146</f>
        <v>0</v>
      </c>
      <c r="CX191" s="2387" t="s">
        <v>2</v>
      </c>
      <c r="CY191" s="3386">
        <f>CY146</f>
        <v>7779.6169</v>
      </c>
      <c r="CZ191" s="3386">
        <f>CZ146</f>
        <v>0</v>
      </c>
      <c r="DA191" s="365"/>
      <c r="DB191" s="3386">
        <f>DB146</f>
        <v>11690.7</v>
      </c>
      <c r="DC191" s="3386">
        <f>DC146</f>
        <v>0</v>
      </c>
      <c r="DD191" s="365"/>
      <c r="DE191" s="3386">
        <f>DE146</f>
        <v>15597.5</v>
      </c>
      <c r="DF191" s="3386">
        <f>DF146</f>
        <v>0</v>
      </c>
      <c r="DG191" s="2387" t="s">
        <v>2</v>
      </c>
      <c r="DH191" s="3386">
        <f>DH146</f>
        <v>11629.07</v>
      </c>
      <c r="DI191" s="3386">
        <f>DI146</f>
        <v>0</v>
      </c>
      <c r="DJ191" s="2387" t="s">
        <v>2</v>
      </c>
      <c r="DK191" s="3386">
        <f>DK146</f>
        <v>11557.18</v>
      </c>
      <c r="DL191" s="3386">
        <f>DL146</f>
        <v>0</v>
      </c>
      <c r="DM191" s="2387" t="s">
        <v>2</v>
      </c>
      <c r="DN191" s="3810">
        <f>DN146</f>
        <v>7431.009</v>
      </c>
      <c r="DO191" s="3810">
        <f>DO146</f>
        <v>0</v>
      </c>
      <c r="DP191" s="365"/>
      <c r="DQ191" s="3810">
        <f>DQ146</f>
        <v>10901.065000000001</v>
      </c>
      <c r="DR191" s="3810">
        <f>DR146</f>
        <v>2867.6223100000002</v>
      </c>
      <c r="DS191" s="365"/>
      <c r="DT191" s="3386">
        <f>DT146</f>
        <v>14466.153999999999</v>
      </c>
      <c r="DU191" s="3386">
        <f>DU146</f>
        <v>500.40499999999997</v>
      </c>
      <c r="DV191" s="2387" t="s">
        <v>2</v>
      </c>
      <c r="DW191" s="3386">
        <f>DW146</f>
        <v>11890.187249999999</v>
      </c>
      <c r="DX191" s="3386">
        <f>DX146</f>
        <v>0</v>
      </c>
      <c r="DY191" s="2387" t="s">
        <v>2</v>
      </c>
      <c r="DZ191" s="3386">
        <f>DZ146</f>
        <v>0</v>
      </c>
      <c r="EA191" s="3386">
        <f>EA146</f>
        <v>0</v>
      </c>
      <c r="EB191" s="2387" t="s">
        <v>2</v>
      </c>
      <c r="EC191" s="3386">
        <f>EC146</f>
        <v>11890.187249999999</v>
      </c>
      <c r="ED191" s="3386">
        <f>ED146</f>
        <v>0</v>
      </c>
      <c r="EE191" s="2387"/>
      <c r="EF191" s="3386"/>
      <c r="EG191" s="3386"/>
      <c r="EH191" s="2387" t="s">
        <v>2</v>
      </c>
      <c r="EI191" s="4855">
        <f>EI146</f>
        <v>7146.27</v>
      </c>
      <c r="EJ191" s="4855">
        <f>EJ146</f>
        <v>0</v>
      </c>
      <c r="EK191" s="365"/>
      <c r="EL191" s="4855">
        <f>EL146</f>
        <v>13500.081999999999</v>
      </c>
      <c r="EM191" s="4855">
        <f>EM146</f>
        <v>0</v>
      </c>
    </row>
    <row r="192" spans="1:143" x14ac:dyDescent="0.25">
      <c r="A192" s="365"/>
      <c r="B192" s="365"/>
      <c r="C192" s="365"/>
      <c r="D192" s="365"/>
      <c r="E192" s="365"/>
      <c r="F192" s="365"/>
      <c r="G192" s="365"/>
      <c r="H192" s="365"/>
      <c r="I192" s="365"/>
      <c r="J192" s="365"/>
      <c r="K192" s="365"/>
      <c r="L192" s="365"/>
      <c r="M192" s="365"/>
      <c r="N192" s="365"/>
      <c r="O192" s="365"/>
      <c r="P192" s="365"/>
      <c r="Q192" s="365"/>
      <c r="R192" s="365"/>
      <c r="S192" s="365"/>
      <c r="T192" s="365"/>
      <c r="U192" s="365"/>
      <c r="V192" s="365"/>
      <c r="W192" s="365"/>
      <c r="X192" s="365"/>
      <c r="Y192" s="365"/>
      <c r="Z192" s="365"/>
      <c r="AA192" s="365"/>
      <c r="AB192" s="365"/>
      <c r="AC192" s="365"/>
      <c r="AD192" s="365"/>
      <c r="AE192" s="365"/>
      <c r="AF192" s="365"/>
      <c r="AG192" s="365"/>
      <c r="AH192" s="365"/>
      <c r="AI192" s="365"/>
      <c r="AJ192" s="365"/>
      <c r="AK192" s="365"/>
      <c r="AL192" s="365"/>
      <c r="AM192" s="365"/>
      <c r="AN192" s="365"/>
      <c r="AO192" s="365"/>
      <c r="AP192" s="365"/>
      <c r="AQ192" s="365"/>
      <c r="AR192" s="365"/>
      <c r="AS192" s="365"/>
      <c r="AT192" s="365"/>
      <c r="AU192" s="365"/>
      <c r="AV192" s="365"/>
      <c r="AW192" s="365"/>
      <c r="AX192" s="365"/>
      <c r="AY192" s="365"/>
      <c r="AZ192" s="365"/>
      <c r="BA192" s="3313"/>
      <c r="BB192" s="365"/>
      <c r="BC192" s="365"/>
      <c r="BD192" s="365"/>
      <c r="BE192" s="365"/>
      <c r="BF192" s="365"/>
      <c r="BG192" s="2387"/>
      <c r="BH192" s="2387"/>
      <c r="BI192" s="2387"/>
      <c r="BJ192" s="2387"/>
      <c r="BK192" s="2387"/>
      <c r="BL192" s="2387"/>
      <c r="BM192" s="2387"/>
      <c r="BN192" s="2387"/>
      <c r="BO192" s="2387"/>
      <c r="BP192" s="2387"/>
      <c r="BQ192" s="3386"/>
      <c r="BR192" s="3386"/>
      <c r="BS192" s="2387"/>
      <c r="BT192" s="2387"/>
      <c r="BU192" s="2387"/>
      <c r="BV192" s="2387"/>
      <c r="BW192" s="3386"/>
      <c r="BX192" s="3386"/>
      <c r="BY192" s="3386"/>
      <c r="BZ192" s="3386"/>
      <c r="CA192" s="3386"/>
      <c r="CB192" s="365"/>
      <c r="CC192" s="365"/>
      <c r="CD192" s="365"/>
      <c r="CE192" s="365"/>
      <c r="CF192" s="365"/>
      <c r="CG192" s="3386"/>
      <c r="CH192" s="3386"/>
      <c r="CI192" s="365"/>
      <c r="CJ192" s="3386"/>
      <c r="CK192" s="3386"/>
      <c r="CL192" s="365"/>
      <c r="CM192" s="3386"/>
      <c r="CN192" s="3386"/>
      <c r="CO192" s="365"/>
      <c r="CP192" s="3386"/>
      <c r="CQ192" s="3386"/>
      <c r="CR192" s="2387" t="s">
        <v>3921</v>
      </c>
      <c r="CS192" s="3386"/>
      <c r="CT192" s="3386"/>
      <c r="CU192" s="2387" t="s">
        <v>3921</v>
      </c>
      <c r="CV192" s="3386"/>
      <c r="CW192" s="3386"/>
      <c r="CX192" s="2387"/>
      <c r="CY192" s="3386"/>
      <c r="CZ192" s="3386"/>
      <c r="DA192" s="365"/>
      <c r="DB192" s="3386"/>
      <c r="DC192" s="3386"/>
      <c r="DD192" s="365"/>
      <c r="DE192" s="3386"/>
      <c r="DF192" s="3386"/>
      <c r="DG192" s="2387" t="s">
        <v>3921</v>
      </c>
      <c r="DH192" s="3386">
        <f>SUM(DH161)</f>
        <v>257.56745268583632</v>
      </c>
      <c r="DI192" s="3386">
        <f>SUM(DI161)</f>
        <v>0</v>
      </c>
      <c r="DJ192" s="2387" t="s">
        <v>3921</v>
      </c>
      <c r="DK192" s="3386">
        <f>SUM(DK161)</f>
        <v>180.41201952630846</v>
      </c>
      <c r="DL192" s="3386">
        <f>SUM(DL161)</f>
        <v>0</v>
      </c>
      <c r="DM192" s="2387" t="s">
        <v>3921</v>
      </c>
      <c r="DN192" s="3810"/>
      <c r="DO192" s="3810"/>
      <c r="DP192" s="365"/>
      <c r="DQ192" s="3386"/>
      <c r="DR192" s="3810"/>
      <c r="DS192" s="365"/>
      <c r="DT192" s="3386"/>
      <c r="DU192" s="3386"/>
      <c r="DV192" s="2387" t="s">
        <v>3921</v>
      </c>
      <c r="DW192" s="3386">
        <f>SUM(DW161)</f>
        <v>187.53829429759764</v>
      </c>
      <c r="DX192" s="3386">
        <f>SUM(DX161)</f>
        <v>0</v>
      </c>
      <c r="DY192" s="2387" t="s">
        <v>3921</v>
      </c>
      <c r="DZ192" s="3386">
        <f>SUM(DZ161)</f>
        <v>0</v>
      </c>
      <c r="EA192" s="3386">
        <f>SUM(EA161)</f>
        <v>0</v>
      </c>
      <c r="EB192" s="2387" t="s">
        <v>3921</v>
      </c>
      <c r="EC192" s="3386">
        <f>SUM(EC161)</f>
        <v>187.53829429759764</v>
      </c>
      <c r="ED192" s="3386">
        <f>SUM(ED161)</f>
        <v>0</v>
      </c>
      <c r="EE192" s="2387"/>
      <c r="EF192" s="3386"/>
      <c r="EG192" s="3386"/>
      <c r="EH192" s="2387" t="s">
        <v>3921</v>
      </c>
      <c r="EI192" s="4855"/>
      <c r="EJ192" s="4855"/>
      <c r="EK192" s="365"/>
      <c r="EL192" s="4855"/>
      <c r="EM192" s="4855"/>
    </row>
    <row r="193" spans="1:143" x14ac:dyDescent="0.25">
      <c r="A193" s="365"/>
      <c r="B193" s="365"/>
      <c r="C193" s="365"/>
      <c r="D193" s="365"/>
      <c r="E193" s="365"/>
      <c r="F193" s="365"/>
      <c r="G193" s="365"/>
      <c r="H193" s="365"/>
      <c r="I193" s="365"/>
      <c r="J193" s="365"/>
      <c r="K193" s="365"/>
      <c r="L193" s="365"/>
      <c r="M193" s="365"/>
      <c r="N193" s="365"/>
      <c r="O193" s="365"/>
      <c r="P193" s="365"/>
      <c r="Q193" s="365"/>
      <c r="R193" s="365"/>
      <c r="S193" s="365"/>
      <c r="T193" s="365"/>
      <c r="U193" s="365"/>
      <c r="V193" s="365"/>
      <c r="W193" s="365"/>
      <c r="X193" s="365"/>
      <c r="Y193" s="365"/>
      <c r="Z193" s="365"/>
      <c r="AA193" s="365"/>
      <c r="AB193" s="365"/>
      <c r="AC193" s="365"/>
      <c r="AD193" s="365"/>
      <c r="AE193" s="365"/>
      <c r="AF193" s="365"/>
      <c r="AG193" s="365"/>
      <c r="AH193" s="365"/>
      <c r="AI193" s="365"/>
      <c r="AJ193" s="365"/>
      <c r="AK193" s="365"/>
      <c r="AL193" s="365"/>
      <c r="AM193" s="365"/>
      <c r="AN193" s="365"/>
      <c r="AO193" s="365"/>
      <c r="AP193" s="365"/>
      <c r="AQ193" s="365"/>
      <c r="AR193" s="365"/>
      <c r="AS193" s="365"/>
      <c r="AT193" s="365"/>
      <c r="AU193" s="365"/>
      <c r="AV193" s="365"/>
      <c r="AW193" s="365"/>
      <c r="AX193" s="365"/>
      <c r="AY193" s="365"/>
      <c r="AZ193" s="365"/>
      <c r="BA193" s="3313"/>
      <c r="BB193" s="365"/>
      <c r="BC193" s="365"/>
      <c r="BD193" s="365"/>
      <c r="BE193" s="365"/>
      <c r="BF193" s="365"/>
      <c r="BG193" s="2387"/>
      <c r="BH193" s="2387"/>
      <c r="BI193" s="2387"/>
      <c r="BJ193" s="2387"/>
      <c r="BK193" s="2387"/>
      <c r="BL193" s="2387"/>
      <c r="BM193" s="2387"/>
      <c r="BN193" s="2387"/>
      <c r="BO193" s="2387"/>
      <c r="BP193" s="2387"/>
      <c r="BQ193" s="3386"/>
      <c r="BR193" s="3386"/>
      <c r="BS193" s="2387"/>
      <c r="BT193" s="2387"/>
      <c r="BU193" s="2387"/>
      <c r="BV193" s="2387"/>
      <c r="BW193" s="3386"/>
      <c r="BX193" s="3386"/>
      <c r="BY193" s="3386"/>
      <c r="BZ193" s="3386"/>
      <c r="CA193" s="3386"/>
      <c r="CB193" s="365"/>
      <c r="CC193" s="365"/>
      <c r="CD193" s="365"/>
      <c r="CE193" s="365"/>
      <c r="CF193" s="365"/>
      <c r="CG193" s="3386"/>
      <c r="CH193" s="3386"/>
      <c r="CI193" s="365"/>
      <c r="CJ193" s="3386"/>
      <c r="CK193" s="3386"/>
      <c r="CL193" s="365"/>
      <c r="CM193" s="3386"/>
      <c r="CN193" s="3386"/>
      <c r="CO193" s="365"/>
      <c r="CP193" s="3386"/>
      <c r="CQ193" s="3386"/>
      <c r="CR193" s="2387"/>
      <c r="CS193" s="3386"/>
      <c r="CT193" s="3386"/>
      <c r="CU193" s="2387"/>
      <c r="CV193" s="3386"/>
      <c r="CW193" s="3386"/>
      <c r="CX193" s="2387"/>
      <c r="CY193" s="3386"/>
      <c r="CZ193" s="3386"/>
      <c r="DA193" s="365"/>
      <c r="DB193" s="3386"/>
      <c r="DC193" s="3386"/>
      <c r="DD193" s="365"/>
      <c r="DE193" s="3386"/>
      <c r="DF193" s="3386"/>
      <c r="DG193" s="2387"/>
      <c r="DH193" s="3386"/>
      <c r="DI193" s="3386"/>
      <c r="DJ193" s="2387"/>
      <c r="DK193" s="3386"/>
      <c r="DL193" s="3386"/>
      <c r="DM193" s="2387"/>
      <c r="DN193" s="3810"/>
      <c r="DO193" s="3810"/>
      <c r="DP193" s="365"/>
      <c r="DQ193" s="3386"/>
      <c r="DR193" s="3810"/>
      <c r="DS193" s="365"/>
      <c r="DT193" s="3386"/>
      <c r="DU193" s="3386"/>
      <c r="DV193" s="2387" t="s">
        <v>3964</v>
      </c>
      <c r="DW193" s="3386">
        <f>SUM(DW65)</f>
        <v>379.34819999999996</v>
      </c>
      <c r="DX193" s="3386"/>
      <c r="DY193" s="2387"/>
      <c r="DZ193" s="3386"/>
      <c r="EA193" s="3386"/>
      <c r="EB193" s="2387" t="s">
        <v>3964</v>
      </c>
      <c r="EC193" s="3386">
        <f>SUM(EC65)</f>
        <v>379.34819999999996</v>
      </c>
      <c r="ED193" s="3386"/>
      <c r="EE193" s="2387"/>
      <c r="EF193" s="3386"/>
      <c r="EG193" s="3386"/>
      <c r="EH193" s="2387" t="s">
        <v>3964</v>
      </c>
      <c r="EI193" s="4855"/>
      <c r="EJ193" s="4855"/>
      <c r="EK193" s="365"/>
      <c r="EL193" s="4855"/>
      <c r="EM193" s="4855"/>
    </row>
    <row r="194" spans="1:143" x14ac:dyDescent="0.25">
      <c r="A194" s="365"/>
      <c r="B194" s="365"/>
      <c r="C194" s="365"/>
      <c r="D194" s="365"/>
      <c r="E194" s="365"/>
      <c r="F194" s="365"/>
      <c r="G194" s="365"/>
      <c r="H194" s="365"/>
      <c r="I194" s="365"/>
      <c r="J194" s="365"/>
      <c r="K194" s="365"/>
      <c r="L194" s="365"/>
      <c r="M194" s="365"/>
      <c r="N194" s="365"/>
      <c r="O194" s="365"/>
      <c r="P194" s="365"/>
      <c r="Q194" s="365"/>
      <c r="R194" s="365"/>
      <c r="S194" s="365"/>
      <c r="T194" s="365"/>
      <c r="U194" s="365"/>
      <c r="V194" s="365"/>
      <c r="W194" s="365"/>
      <c r="X194" s="365"/>
      <c r="Y194" s="365"/>
      <c r="Z194" s="365"/>
      <c r="AA194" s="365"/>
      <c r="AB194" s="365"/>
      <c r="AC194" s="365"/>
      <c r="AD194" s="365"/>
      <c r="AE194" s="365"/>
      <c r="AF194" s="365"/>
      <c r="AG194" s="365"/>
      <c r="AH194" s="365"/>
      <c r="AI194" s="365"/>
      <c r="AJ194" s="365"/>
      <c r="AK194" s="365"/>
      <c r="AL194" s="365"/>
      <c r="AM194" s="365"/>
      <c r="AN194" s="365"/>
      <c r="AO194" s="365"/>
      <c r="AP194" s="365"/>
      <c r="AQ194" s="365"/>
      <c r="AR194" s="365"/>
      <c r="AS194" s="365"/>
      <c r="AT194" s="365"/>
      <c r="AU194" s="365"/>
      <c r="AV194" s="365"/>
      <c r="AW194" s="365"/>
      <c r="AX194" s="365"/>
      <c r="AY194" s="365"/>
      <c r="AZ194" s="365"/>
      <c r="BA194" s="3313"/>
      <c r="BB194" s="365"/>
      <c r="BC194" s="365"/>
      <c r="BD194" s="365"/>
      <c r="BE194" s="365"/>
      <c r="BF194" s="365"/>
      <c r="BG194" s="2387"/>
      <c r="BH194" s="2387"/>
      <c r="BI194" s="2387"/>
      <c r="BJ194" s="2387"/>
      <c r="BK194" s="2387"/>
      <c r="BL194" s="2387"/>
      <c r="BM194" s="2387"/>
      <c r="BN194" s="2387"/>
      <c r="BO194" s="2387"/>
      <c r="BP194" s="2387"/>
      <c r="BQ194" s="3386"/>
      <c r="BR194" s="3386"/>
      <c r="BS194" s="2387"/>
      <c r="BT194" s="2387"/>
      <c r="BU194" s="2387"/>
      <c r="BV194" s="2387"/>
      <c r="BW194" s="3386"/>
      <c r="BX194" s="3386"/>
      <c r="BY194" s="3386"/>
      <c r="BZ194" s="3386"/>
      <c r="CA194" s="3386"/>
      <c r="CB194" s="365"/>
      <c r="CC194" s="365"/>
      <c r="CD194" s="365"/>
      <c r="CE194" s="365"/>
      <c r="CF194" s="365"/>
      <c r="CG194" s="3386"/>
      <c r="CH194" s="3386"/>
      <c r="CI194" s="365"/>
      <c r="CJ194" s="3386"/>
      <c r="CK194" s="3386"/>
      <c r="CL194" s="365"/>
      <c r="CM194" s="3386"/>
      <c r="CN194" s="3386"/>
      <c r="CO194" s="365"/>
      <c r="CP194" s="3386"/>
      <c r="CQ194" s="3386"/>
      <c r="CR194" s="2387"/>
      <c r="CS194" s="3386"/>
      <c r="CT194" s="3386"/>
      <c r="CU194" s="2387"/>
      <c r="CV194" s="3386"/>
      <c r="CW194" s="3386"/>
      <c r="CX194" s="2387"/>
      <c r="CY194" s="3386"/>
      <c r="CZ194" s="3386"/>
      <c r="DA194" s="365"/>
      <c r="DB194" s="3386"/>
      <c r="DC194" s="3386"/>
      <c r="DD194" s="365"/>
      <c r="DE194" s="3386"/>
      <c r="DF194" s="3386"/>
      <c r="DG194" s="2387"/>
      <c r="DH194" s="3386"/>
      <c r="DI194" s="3386"/>
      <c r="DJ194" s="2387"/>
      <c r="DK194" s="3386"/>
      <c r="DL194" s="3386"/>
      <c r="DM194" s="2387" t="s">
        <v>3963</v>
      </c>
      <c r="DN194" s="3810">
        <f>DN160</f>
        <v>205.40635800000001</v>
      </c>
      <c r="DO194" s="3810">
        <f>DO160</f>
        <v>0</v>
      </c>
      <c r="DP194" s="365"/>
      <c r="DQ194" s="3810">
        <f>DQ160</f>
        <v>316.77776399999999</v>
      </c>
      <c r="DR194" s="3810">
        <f>DR160</f>
        <v>0</v>
      </c>
      <c r="DS194" s="365"/>
      <c r="DT194" s="3386">
        <f>DT160</f>
        <v>418.29994799999997</v>
      </c>
      <c r="DU194" s="3386">
        <f>DU160</f>
        <v>0</v>
      </c>
      <c r="DV194" s="2387" t="s">
        <v>4083</v>
      </c>
      <c r="DW194" s="3386">
        <f>SUM(DW159)</f>
        <v>7841.3784699999987</v>
      </c>
      <c r="DX194" s="3386">
        <f>SUM(DX159)</f>
        <v>0</v>
      </c>
      <c r="DY194" s="2387"/>
      <c r="DZ194" s="3386"/>
      <c r="EA194" s="3386"/>
      <c r="EB194" s="2387" t="s">
        <v>4083</v>
      </c>
      <c r="EC194" s="3386">
        <f>SUM(EC159)</f>
        <v>7841.3784699999987</v>
      </c>
      <c r="ED194" s="3386">
        <f>SUM(ED159)</f>
        <v>0</v>
      </c>
      <c r="EE194" s="2387"/>
      <c r="EF194" s="3386"/>
      <c r="EG194" s="3386"/>
      <c r="EH194" s="2387" t="s">
        <v>4083</v>
      </c>
      <c r="EI194" s="4855">
        <f>EI160</f>
        <v>0</v>
      </c>
      <c r="EJ194" s="4855">
        <f>EJ160</f>
        <v>0</v>
      </c>
      <c r="EK194" s="365"/>
      <c r="EL194" s="4855">
        <f>EL160</f>
        <v>0</v>
      </c>
      <c r="EM194" s="4855">
        <f>EM160</f>
        <v>0</v>
      </c>
    </row>
    <row r="195" spans="1:143" x14ac:dyDescent="0.25">
      <c r="A195" s="365"/>
      <c r="B195" s="365"/>
      <c r="C195" s="365"/>
      <c r="D195" s="365"/>
      <c r="E195" s="365"/>
      <c r="F195" s="365"/>
      <c r="G195" s="365"/>
      <c r="H195" s="365"/>
      <c r="I195" s="365"/>
      <c r="J195" s="365"/>
      <c r="K195" s="365"/>
      <c r="L195" s="365"/>
      <c r="M195" s="365"/>
      <c r="N195" s="365"/>
      <c r="O195" s="365"/>
      <c r="P195" s="365"/>
      <c r="Q195" s="365"/>
      <c r="R195" s="365"/>
      <c r="S195" s="365"/>
      <c r="T195" s="365"/>
      <c r="U195" s="365"/>
      <c r="V195" s="365"/>
      <c r="W195" s="365"/>
      <c r="X195" s="365"/>
      <c r="Y195" s="365"/>
      <c r="Z195" s="365"/>
      <c r="AA195" s="365"/>
      <c r="AB195" s="365"/>
      <c r="AC195" s="365"/>
      <c r="AD195" s="365"/>
      <c r="AE195" s="365"/>
      <c r="AF195" s="365"/>
      <c r="AG195" s="365"/>
      <c r="AH195" s="365"/>
      <c r="AI195" s="365"/>
      <c r="AJ195" s="365"/>
      <c r="AK195" s="365"/>
      <c r="AL195" s="365"/>
      <c r="AM195" s="365"/>
      <c r="AN195" s="365"/>
      <c r="AO195" s="365"/>
      <c r="AP195" s="365"/>
      <c r="AQ195" s="365"/>
      <c r="AR195" s="365"/>
      <c r="AS195" s="365"/>
      <c r="AT195" s="365"/>
      <c r="AU195" s="365"/>
      <c r="AV195" s="365"/>
      <c r="AW195" s="365"/>
      <c r="AX195" s="365"/>
      <c r="AY195" s="365"/>
      <c r="AZ195" s="365"/>
      <c r="BA195" s="3313"/>
      <c r="BB195" s="365"/>
      <c r="BC195" s="365"/>
      <c r="BD195" s="365"/>
      <c r="BE195" s="365"/>
      <c r="BF195" s="365"/>
      <c r="BG195" s="2387"/>
      <c r="BH195" s="2387"/>
      <c r="BI195" s="2387"/>
      <c r="BJ195" s="2387"/>
      <c r="BK195" s="2387"/>
      <c r="BL195" s="2387"/>
      <c r="BM195" s="2387"/>
      <c r="BN195" s="2387"/>
      <c r="BO195" s="2387"/>
      <c r="BP195" s="2387"/>
      <c r="BQ195" s="3386"/>
      <c r="BR195" s="3386"/>
      <c r="BS195" s="2387"/>
      <c r="BT195" s="2387"/>
      <c r="BU195" s="2387"/>
      <c r="BV195" s="2387"/>
      <c r="BW195" s="3386"/>
      <c r="BX195" s="3386"/>
      <c r="BY195" s="3386"/>
      <c r="BZ195" s="3386"/>
      <c r="CA195" s="3386"/>
      <c r="CB195" s="365"/>
      <c r="CC195" s="365"/>
      <c r="CD195" s="365"/>
      <c r="CE195" s="365"/>
      <c r="CF195" s="365"/>
      <c r="CG195" s="3386"/>
      <c r="CH195" s="3386"/>
      <c r="CI195" s="365"/>
      <c r="CJ195" s="3386"/>
      <c r="CK195" s="3386"/>
      <c r="CL195" s="365"/>
      <c r="CM195" s="3386"/>
      <c r="CN195" s="3386"/>
      <c r="CO195" s="365"/>
      <c r="CP195" s="3386"/>
      <c r="CQ195" s="3386"/>
      <c r="CR195" s="2387"/>
      <c r="CS195" s="3386"/>
      <c r="CT195" s="3386"/>
      <c r="CU195" s="2387"/>
      <c r="CV195" s="3386"/>
      <c r="CW195" s="3386"/>
      <c r="CX195" s="2387"/>
      <c r="CY195" s="3386"/>
      <c r="CZ195" s="3386"/>
      <c r="DA195" s="365"/>
      <c r="DB195" s="3386"/>
      <c r="DC195" s="3386"/>
      <c r="DD195" s="365"/>
      <c r="DE195" s="3386"/>
      <c r="DF195" s="3386"/>
      <c r="DG195" s="2387"/>
      <c r="DH195" s="3386"/>
      <c r="DI195" s="3386"/>
      <c r="DJ195" s="2387"/>
      <c r="DK195" s="3386"/>
      <c r="DL195" s="3386"/>
      <c r="DM195" s="2387"/>
      <c r="DN195" s="3810"/>
      <c r="DO195" s="3810"/>
      <c r="DP195" s="365"/>
      <c r="DQ195" s="3810"/>
      <c r="DR195" s="3810"/>
      <c r="DS195" s="365"/>
      <c r="DT195" s="3386"/>
      <c r="DU195" s="3386"/>
      <c r="DV195" s="2387" t="s">
        <v>4116</v>
      </c>
      <c r="DW195" s="3386">
        <f>SUM(DW151)</f>
        <v>14537.466925155473</v>
      </c>
      <c r="DX195" s="3386"/>
      <c r="DY195" s="2387"/>
      <c r="DZ195" s="3386"/>
      <c r="EA195" s="3386"/>
      <c r="EB195" s="2387" t="s">
        <v>4116</v>
      </c>
      <c r="EC195" s="3386">
        <f>SUM(EC151)</f>
        <v>18704.158061668386</v>
      </c>
      <c r="ED195" s="3386"/>
      <c r="EE195" s="2387"/>
      <c r="EF195" s="3386"/>
      <c r="EG195" s="3386"/>
      <c r="EH195" s="2387" t="s">
        <v>4116</v>
      </c>
      <c r="EI195" s="4855"/>
      <c r="EJ195" s="4855"/>
      <c r="EK195" s="365"/>
      <c r="EL195" s="4855"/>
      <c r="EM195" s="4855"/>
    </row>
    <row r="196" spans="1:143" x14ac:dyDescent="0.25">
      <c r="A196" s="365"/>
      <c r="B196" s="365"/>
      <c r="C196" s="365"/>
      <c r="D196" s="365"/>
      <c r="E196" s="365"/>
      <c r="F196" s="365"/>
      <c r="G196" s="365"/>
      <c r="H196" s="365"/>
      <c r="I196" s="365"/>
      <c r="J196" s="365"/>
      <c r="K196" s="365"/>
      <c r="L196" s="365"/>
      <c r="M196" s="365"/>
      <c r="N196" s="365"/>
      <c r="O196" s="365"/>
      <c r="P196" s="365"/>
      <c r="Q196" s="365"/>
      <c r="R196" s="365"/>
      <c r="S196" s="365"/>
      <c r="T196" s="365"/>
      <c r="U196" s="365"/>
      <c r="V196" s="365"/>
      <c r="W196" s="365"/>
      <c r="X196" s="365"/>
      <c r="Y196" s="365"/>
      <c r="Z196" s="365"/>
      <c r="AA196" s="365"/>
      <c r="AB196" s="365"/>
      <c r="AC196" s="365"/>
      <c r="AD196" s="365"/>
      <c r="AE196" s="365"/>
      <c r="AF196" s="365"/>
      <c r="AG196" s="365"/>
      <c r="AH196" s="365"/>
      <c r="AI196" s="365"/>
      <c r="AJ196" s="365"/>
      <c r="AK196" s="365"/>
      <c r="AL196" s="365"/>
      <c r="AM196" s="365"/>
      <c r="AN196" s="365"/>
      <c r="AO196" s="365"/>
      <c r="AP196" s="365"/>
      <c r="AQ196" s="365"/>
      <c r="AR196" s="365"/>
      <c r="AS196" s="365"/>
      <c r="AT196" s="365"/>
      <c r="AU196" s="365"/>
      <c r="AV196" s="365"/>
      <c r="AW196" s="365"/>
      <c r="AX196" s="365"/>
      <c r="AY196" s="365"/>
      <c r="AZ196" s="365"/>
      <c r="BA196" s="3313"/>
      <c r="BB196" s="365"/>
      <c r="BC196" s="365"/>
      <c r="BD196" s="365"/>
      <c r="BE196" s="365"/>
      <c r="BF196" s="365"/>
      <c r="BG196" s="2387"/>
      <c r="BH196" s="2387"/>
      <c r="BI196" s="2387"/>
      <c r="BJ196" s="2387"/>
      <c r="BK196" s="2387"/>
      <c r="BL196" s="2387"/>
      <c r="BM196" s="2387"/>
      <c r="BN196" s="2387"/>
      <c r="BO196" s="2387"/>
      <c r="BP196" s="2387"/>
      <c r="BQ196" s="3386"/>
      <c r="BR196" s="3386"/>
      <c r="BS196" s="2387"/>
      <c r="BT196" s="2387"/>
      <c r="BU196" s="2387"/>
      <c r="BV196" s="2387"/>
      <c r="BW196" s="3386"/>
      <c r="BX196" s="3386"/>
      <c r="BY196" s="3386"/>
      <c r="BZ196" s="3386"/>
      <c r="CA196" s="3386"/>
      <c r="CB196" s="365"/>
      <c r="CC196" s="365"/>
      <c r="CD196" s="365"/>
      <c r="CE196" s="365"/>
      <c r="CF196" s="365"/>
      <c r="CG196" s="3386"/>
      <c r="CH196" s="3386"/>
      <c r="CI196" s="365"/>
      <c r="CJ196" s="3386"/>
      <c r="CK196" s="3386"/>
      <c r="CL196" s="365"/>
      <c r="CM196" s="3386"/>
      <c r="CN196" s="3386"/>
      <c r="CO196" s="365"/>
      <c r="CP196" s="3386"/>
      <c r="CQ196" s="3386"/>
      <c r="CR196" s="2387"/>
      <c r="CS196" s="3386"/>
      <c r="CT196" s="3386"/>
      <c r="CU196" s="2387"/>
      <c r="CV196" s="3386"/>
      <c r="CW196" s="3386"/>
      <c r="CX196" s="2387"/>
      <c r="CY196" s="3386"/>
      <c r="CZ196" s="3386"/>
      <c r="DA196" s="365"/>
      <c r="DB196" s="3386"/>
      <c r="DC196" s="3386"/>
      <c r="DD196" s="365"/>
      <c r="DE196" s="3386"/>
      <c r="DF196" s="3386"/>
      <c r="DG196" s="2387"/>
      <c r="DH196" s="3386"/>
      <c r="DI196" s="3386"/>
      <c r="DJ196" s="2387"/>
      <c r="DK196" s="3386"/>
      <c r="DL196" s="3386"/>
      <c r="DM196" s="2387"/>
      <c r="DN196" s="3810"/>
      <c r="DO196" s="3810"/>
      <c r="DP196" s="365"/>
      <c r="DQ196" s="3810"/>
      <c r="DR196" s="3810"/>
      <c r="DS196" s="365"/>
      <c r="DT196" s="3386"/>
      <c r="DU196" s="3386"/>
      <c r="DV196" s="2387"/>
      <c r="DW196" s="3386"/>
      <c r="DX196" s="3386"/>
      <c r="DY196" s="2387"/>
      <c r="DZ196" s="3386"/>
      <c r="EA196" s="3386"/>
      <c r="EB196" s="2387" t="s">
        <v>4121</v>
      </c>
      <c r="EC196" s="3386">
        <f>SUM(EC164)</f>
        <v>4600</v>
      </c>
      <c r="ED196" s="3386"/>
      <c r="EE196" s="2387"/>
      <c r="EF196" s="3386"/>
      <c r="EG196" s="3386"/>
      <c r="EH196" s="2387" t="s">
        <v>4121</v>
      </c>
      <c r="EI196" s="4855"/>
      <c r="EJ196" s="4855"/>
      <c r="EK196" s="365"/>
      <c r="EL196" s="4855"/>
      <c r="EM196" s="4855"/>
    </row>
    <row r="197" spans="1:143" x14ac:dyDescent="0.25">
      <c r="A197" s="365"/>
      <c r="B197" s="365"/>
      <c r="C197" s="365"/>
      <c r="D197" s="365"/>
      <c r="E197" s="365"/>
      <c r="F197" s="365"/>
      <c r="G197" s="365"/>
      <c r="H197" s="365"/>
      <c r="I197" s="365"/>
      <c r="J197" s="365"/>
      <c r="K197" s="365"/>
      <c r="L197" s="365"/>
      <c r="M197" s="365"/>
      <c r="N197" s="365"/>
      <c r="O197" s="365"/>
      <c r="P197" s="365"/>
      <c r="Q197" s="365"/>
      <c r="R197" s="365"/>
      <c r="S197" s="365"/>
      <c r="T197" s="365"/>
      <c r="U197" s="365"/>
      <c r="V197" s="365"/>
      <c r="W197" s="365"/>
      <c r="X197" s="365"/>
      <c r="Y197" s="365"/>
      <c r="Z197" s="365"/>
      <c r="AA197" s="365"/>
      <c r="AB197" s="365"/>
      <c r="AC197" s="365"/>
      <c r="AD197" s="365"/>
      <c r="AE197" s="365"/>
      <c r="AF197" s="365"/>
      <c r="AG197" s="365"/>
      <c r="AH197" s="365"/>
      <c r="AI197" s="365"/>
      <c r="AJ197" s="365"/>
      <c r="AK197" s="365"/>
      <c r="AL197" s="365"/>
      <c r="AM197" s="365"/>
      <c r="AN197" s="365"/>
      <c r="AO197" s="365"/>
      <c r="AP197" s="365"/>
      <c r="AQ197" s="365"/>
      <c r="AR197" s="365"/>
      <c r="AS197" s="365"/>
      <c r="AT197" s="365"/>
      <c r="AU197" s="365"/>
      <c r="AV197" s="365"/>
      <c r="AW197" s="365"/>
      <c r="AX197" s="365"/>
      <c r="AY197" s="365"/>
      <c r="AZ197" s="365"/>
      <c r="BA197" s="3313"/>
      <c r="BB197" s="365"/>
      <c r="BC197" s="365"/>
      <c r="BD197" s="365"/>
      <c r="BE197" s="365"/>
      <c r="BF197" s="365"/>
      <c r="BG197" s="2387"/>
      <c r="BH197" s="2387"/>
      <c r="BI197" s="2387"/>
      <c r="BJ197" s="2387"/>
      <c r="BK197" s="2387"/>
      <c r="BL197" s="2387"/>
      <c r="BM197" s="2387"/>
      <c r="BN197" s="2387"/>
      <c r="BO197" s="2387"/>
      <c r="BP197" s="2387"/>
      <c r="BQ197" s="3386"/>
      <c r="BR197" s="3386"/>
      <c r="BS197" s="2387"/>
      <c r="BT197" s="2387"/>
      <c r="BU197" s="2387"/>
      <c r="BV197" s="2387"/>
      <c r="BW197" s="3386"/>
      <c r="BX197" s="3386"/>
      <c r="BY197" s="3386"/>
      <c r="BZ197" s="3386"/>
      <c r="CA197" s="3386"/>
      <c r="CB197" s="365"/>
      <c r="CC197" s="365"/>
      <c r="CD197" s="365"/>
      <c r="CE197" s="365"/>
      <c r="CF197" s="365"/>
      <c r="CG197" s="3386"/>
      <c r="CH197" s="3386"/>
      <c r="CI197" s="365"/>
      <c r="CJ197" s="3386"/>
      <c r="CK197" s="3386"/>
      <c r="CL197" s="365"/>
      <c r="CM197" s="3386"/>
      <c r="CN197" s="3386"/>
      <c r="CO197" s="365"/>
      <c r="CP197" s="3386"/>
      <c r="CQ197" s="3386"/>
      <c r="CR197" s="2387"/>
      <c r="CS197" s="3386"/>
      <c r="CT197" s="3386"/>
      <c r="CU197" s="2387"/>
      <c r="CV197" s="3386"/>
      <c r="CW197" s="3386"/>
      <c r="CX197" s="2387"/>
      <c r="CY197" s="3386"/>
      <c r="CZ197" s="3386"/>
      <c r="DA197" s="365"/>
      <c r="DB197" s="3386"/>
      <c r="DC197" s="3386"/>
      <c r="DD197" s="365"/>
      <c r="DE197" s="3386"/>
      <c r="DF197" s="3386"/>
      <c r="DG197" s="2387"/>
      <c r="DH197" s="3386"/>
      <c r="DI197" s="3386"/>
      <c r="DJ197" s="2387"/>
      <c r="DK197" s="3386"/>
      <c r="DL197" s="3386"/>
      <c r="DM197" s="2387"/>
      <c r="DN197" s="3810"/>
      <c r="DO197" s="3810"/>
      <c r="DP197" s="365"/>
      <c r="DQ197" s="3810"/>
      <c r="DR197" s="3810"/>
      <c r="DS197" s="365"/>
      <c r="DT197" s="3386"/>
      <c r="DU197" s="3386"/>
      <c r="DV197" s="2387"/>
      <c r="DW197" s="3386"/>
      <c r="DX197" s="3386"/>
      <c r="DY197" s="2387"/>
      <c r="DZ197" s="3386"/>
      <c r="EA197" s="3386"/>
      <c r="EB197" s="2387" t="s">
        <v>4122</v>
      </c>
      <c r="EC197" s="3386">
        <f>SUM(EC165)</f>
        <v>1673.61</v>
      </c>
      <c r="ED197" s="3386"/>
      <c r="EE197" s="2387"/>
      <c r="EF197" s="3386"/>
      <c r="EG197" s="3386"/>
      <c r="EH197" s="2387" t="s">
        <v>4122</v>
      </c>
      <c r="EI197" s="4855"/>
      <c r="EJ197" s="4855"/>
      <c r="EK197" s="365"/>
      <c r="EL197" s="4855"/>
      <c r="EM197" s="4855"/>
    </row>
    <row r="198" spans="1:143" x14ac:dyDescent="0.25">
      <c r="A198" s="365"/>
      <c r="B198" s="365"/>
      <c r="C198" s="365"/>
      <c r="D198" s="365"/>
      <c r="E198" s="365"/>
      <c r="F198" s="365"/>
      <c r="G198" s="365"/>
      <c r="H198" s="365"/>
      <c r="I198" s="365"/>
      <c r="J198" s="365"/>
      <c r="K198" s="365"/>
      <c r="L198" s="365"/>
      <c r="M198" s="365"/>
      <c r="N198" s="365"/>
      <c r="O198" s="365"/>
      <c r="P198" s="365"/>
      <c r="Q198" s="365"/>
      <c r="R198" s="365"/>
      <c r="S198" s="365"/>
      <c r="T198" s="365"/>
      <c r="U198" s="365"/>
      <c r="V198" s="365"/>
      <c r="W198" s="365"/>
      <c r="X198" s="365"/>
      <c r="Y198" s="365"/>
      <c r="Z198" s="365"/>
      <c r="AA198" s="365"/>
      <c r="AB198" s="365"/>
      <c r="AC198" s="365"/>
      <c r="AD198" s="365"/>
      <c r="AE198" s="365"/>
      <c r="AF198" s="365"/>
      <c r="AG198" s="365"/>
      <c r="AH198" s="365"/>
      <c r="AI198" s="365"/>
      <c r="AJ198" s="365"/>
      <c r="AK198" s="365"/>
      <c r="AL198" s="365"/>
      <c r="AM198" s="365"/>
      <c r="AN198" s="365"/>
      <c r="AO198" s="365"/>
      <c r="AP198" s="365"/>
      <c r="AQ198" s="365"/>
      <c r="AR198" s="365"/>
      <c r="AS198" s="365"/>
      <c r="AT198" s="365"/>
      <c r="AU198" s="365"/>
      <c r="AV198" s="365"/>
      <c r="AW198" s="365"/>
      <c r="AX198" s="365"/>
      <c r="AY198" s="365"/>
      <c r="AZ198" s="365"/>
      <c r="BA198" s="3313"/>
      <c r="BB198" s="365"/>
      <c r="BC198" s="365"/>
      <c r="BD198" s="365"/>
      <c r="BE198" s="365"/>
      <c r="BF198" s="365"/>
      <c r="BG198" s="2387"/>
      <c r="BH198" s="2387"/>
      <c r="BI198" s="2387"/>
      <c r="BJ198" s="2387"/>
      <c r="BK198" s="2387"/>
      <c r="BL198" s="2387"/>
      <c r="BM198" s="2387"/>
      <c r="BN198" s="2387"/>
      <c r="BO198" s="2387"/>
      <c r="BP198" s="2387"/>
      <c r="BQ198" s="3386"/>
      <c r="BR198" s="3386"/>
      <c r="BS198" s="2387"/>
      <c r="BT198" s="2387"/>
      <c r="BU198" s="2387"/>
      <c r="BV198" s="2387"/>
      <c r="BW198" s="3386"/>
      <c r="BX198" s="3386"/>
      <c r="BY198" s="3386"/>
      <c r="BZ198" s="3386"/>
      <c r="CA198" s="3386"/>
      <c r="CB198" s="365"/>
      <c r="CC198" s="365"/>
      <c r="CD198" s="365"/>
      <c r="CE198" s="365"/>
      <c r="CF198" s="365"/>
      <c r="CG198" s="3386"/>
      <c r="CH198" s="3386"/>
      <c r="CI198" s="365"/>
      <c r="CJ198" s="3386"/>
      <c r="CK198" s="3386"/>
      <c r="CL198" s="365"/>
      <c r="CM198" s="3386"/>
      <c r="CN198" s="3386"/>
      <c r="CO198" s="365"/>
      <c r="CP198" s="3386"/>
      <c r="CQ198" s="3386"/>
      <c r="CR198" s="2387"/>
      <c r="CS198" s="3386"/>
      <c r="CT198" s="3386"/>
      <c r="CU198" s="2387"/>
      <c r="CV198" s="3386"/>
      <c r="CW198" s="3386"/>
      <c r="CX198" s="2387"/>
      <c r="CY198" s="3386"/>
      <c r="CZ198" s="3386"/>
      <c r="DA198" s="365"/>
      <c r="DB198" s="3386"/>
      <c r="DC198" s="3386"/>
      <c r="DD198" s="365"/>
      <c r="DE198" s="3386"/>
      <c r="DF198" s="3386"/>
      <c r="DG198" s="2387"/>
      <c r="DH198" s="3386"/>
      <c r="DI198" s="3386"/>
      <c r="DJ198" s="2387"/>
      <c r="DK198" s="3386"/>
      <c r="DL198" s="3386"/>
      <c r="DM198" s="2387"/>
      <c r="DN198" s="3810"/>
      <c r="DO198" s="3810"/>
      <c r="DP198" s="365"/>
      <c r="DQ198" s="3810"/>
      <c r="DR198" s="3810"/>
      <c r="DS198" s="365"/>
      <c r="DT198" s="3386"/>
      <c r="DU198" s="3386"/>
      <c r="DV198" s="2387"/>
      <c r="DW198" s="3386"/>
      <c r="DX198" s="3386"/>
      <c r="DY198" s="2387"/>
      <c r="DZ198" s="3386"/>
      <c r="EA198" s="3386"/>
      <c r="EB198" s="2387" t="s">
        <v>4164</v>
      </c>
      <c r="EC198" s="3386">
        <f>SUM(EC156)</f>
        <v>2478.0332096000006</v>
      </c>
      <c r="ED198" s="3386"/>
      <c r="EE198" s="2387"/>
      <c r="EF198" s="3386"/>
      <c r="EG198" s="3386"/>
      <c r="EH198" s="2387" t="s">
        <v>4164</v>
      </c>
      <c r="EI198" s="4855">
        <v>0</v>
      </c>
      <c r="EJ198" s="4855"/>
      <c r="EK198" s="365"/>
      <c r="EL198" s="4855">
        <v>0</v>
      </c>
      <c r="EM198" s="4855"/>
    </row>
    <row r="199" spans="1:143" x14ac:dyDescent="0.25">
      <c r="A199" s="365"/>
      <c r="B199" s="365"/>
      <c r="C199" s="365"/>
      <c r="D199" s="365"/>
      <c r="E199" s="365"/>
      <c r="F199" s="365"/>
      <c r="G199" s="365"/>
      <c r="H199" s="365"/>
      <c r="I199" s="365"/>
      <c r="J199" s="365"/>
      <c r="K199" s="365"/>
      <c r="L199" s="365"/>
      <c r="M199" s="365"/>
      <c r="N199" s="365"/>
      <c r="O199" s="365"/>
      <c r="P199" s="365"/>
      <c r="Q199" s="365"/>
      <c r="R199" s="365"/>
      <c r="S199" s="365"/>
      <c r="T199" s="365"/>
      <c r="U199" s="365"/>
      <c r="V199" s="365"/>
      <c r="W199" s="365"/>
      <c r="X199" s="365"/>
      <c r="Y199" s="365"/>
      <c r="Z199" s="365"/>
      <c r="AA199" s="365"/>
      <c r="AB199" s="365"/>
      <c r="AC199" s="365"/>
      <c r="AD199" s="365"/>
      <c r="AE199" s="365"/>
      <c r="AF199" s="365"/>
      <c r="AG199" s="365"/>
      <c r="AH199" s="365"/>
      <c r="AI199" s="365"/>
      <c r="AJ199" s="365"/>
      <c r="AK199" s="365"/>
      <c r="AL199" s="365"/>
      <c r="AM199" s="365"/>
      <c r="AN199" s="365"/>
      <c r="AO199" s="365"/>
      <c r="AP199" s="365"/>
      <c r="AQ199" s="365"/>
      <c r="AR199" s="365"/>
      <c r="AS199" s="365"/>
      <c r="AT199" s="365"/>
      <c r="AU199" s="365"/>
      <c r="AV199" s="365"/>
      <c r="AW199" s="365"/>
      <c r="AX199" s="365"/>
      <c r="AY199" s="365"/>
      <c r="AZ199" s="365"/>
      <c r="BA199" s="3313"/>
      <c r="BB199" s="365"/>
      <c r="BC199" s="365"/>
      <c r="BD199" s="365"/>
      <c r="BE199" s="365"/>
      <c r="BF199" s="365"/>
      <c r="BG199" s="2387"/>
      <c r="BH199" s="2387"/>
      <c r="BI199" s="2387"/>
      <c r="BJ199" s="2387"/>
      <c r="BK199" s="2387"/>
      <c r="BL199" s="2387"/>
      <c r="BM199" s="2387"/>
      <c r="BN199" s="2387"/>
      <c r="BO199" s="2387"/>
      <c r="BP199" s="2387"/>
      <c r="BQ199" s="3386">
        <f>SUM(BQ184:BQ191)</f>
        <v>136549.12899999999</v>
      </c>
      <c r="BR199" s="3386">
        <f>SUM(BR184:BR191)</f>
        <v>24.233519999999999</v>
      </c>
      <c r="BS199" s="2387"/>
      <c r="BT199" s="2387"/>
      <c r="BU199" s="2387" t="s">
        <v>614</v>
      </c>
      <c r="BV199" s="2387"/>
      <c r="BW199" s="3386">
        <f>SUM(BW184:BW191)</f>
        <v>147544.11811148538</v>
      </c>
      <c r="BX199" s="3386">
        <f>SUM(BX184:BX191)</f>
        <v>30.811242463479257</v>
      </c>
      <c r="BY199" s="3386"/>
      <c r="BZ199" s="3386">
        <f>SUM(BZ184:BZ191)</f>
        <v>163792.15655699334</v>
      </c>
      <c r="CA199" s="3386">
        <f>SUM(CA184:CA191)</f>
        <v>34.59801046541218</v>
      </c>
      <c r="CB199" s="365"/>
      <c r="CC199" s="365"/>
      <c r="CD199" s="365"/>
      <c r="CE199" s="365"/>
      <c r="CF199" s="365"/>
      <c r="CG199" s="3386">
        <f>SUM(CG184:CG191)</f>
        <v>149826.19082761329</v>
      </c>
      <c r="CH199" s="3386">
        <f>SUM(CH184:CH191)</f>
        <v>30.517876104420509</v>
      </c>
      <c r="CI199" s="365"/>
      <c r="CJ199" s="3386">
        <f>SUM(CJ184:CJ191)</f>
        <v>72783.630038500007</v>
      </c>
      <c r="CK199" s="3386">
        <f>SUM(CK184:CK191)</f>
        <v>12.51976</v>
      </c>
      <c r="CL199" s="365"/>
      <c r="CM199" s="3386">
        <f>SUM(CM184:CM191)</f>
        <v>111653.58178317001</v>
      </c>
      <c r="CN199" s="3386">
        <f>SUM(CN184:CN191)</f>
        <v>18.962799999999998</v>
      </c>
      <c r="CO199" s="365"/>
      <c r="CP199" s="3386">
        <f>SUM(CP184:CP191)</f>
        <v>147917.25693788001</v>
      </c>
      <c r="CQ199" s="3386">
        <f>SUM(CQ184:CQ191)</f>
        <v>24.059100000000004</v>
      </c>
      <c r="CR199" s="2387" t="s">
        <v>614</v>
      </c>
      <c r="CS199" s="3386">
        <f>SUM(CS184:CS191)</f>
        <v>177938.59485403635</v>
      </c>
      <c r="CT199" s="3386">
        <f>SUM(CT184:CT191)</f>
        <v>59.179996884835646</v>
      </c>
      <c r="CU199" s="2387" t="s">
        <v>614</v>
      </c>
      <c r="CV199" s="3386">
        <f>SUM(CV184:CV191)</f>
        <v>143024.81977326504</v>
      </c>
      <c r="CW199" s="3386">
        <f>SUM(CW184:CW191)</f>
        <v>28.926615626442405</v>
      </c>
      <c r="CX199" s="2387" t="s">
        <v>614</v>
      </c>
      <c r="CY199" s="3386">
        <f>SUM(CY184:CY191)</f>
        <v>74088.261499999993</v>
      </c>
      <c r="CZ199" s="3386">
        <f>SUM(CZ184:CZ191)</f>
        <v>10.473710000000001</v>
      </c>
      <c r="DA199" s="365"/>
      <c r="DB199" s="3386">
        <f>SUM(DB184:DB191)</f>
        <v>107372.86429100001</v>
      </c>
      <c r="DC199" s="3386">
        <f>SUM(DC184:DC191)</f>
        <v>17.486429999999999</v>
      </c>
      <c r="DD199" s="365"/>
      <c r="DE199" s="3386">
        <f>SUM(DE184:DE191)</f>
        <v>143651.01627000002</v>
      </c>
      <c r="DF199" s="3386">
        <f>SUM(DF184:DF191)</f>
        <v>20.557320000000001</v>
      </c>
      <c r="DG199" s="2387" t="s">
        <v>614</v>
      </c>
      <c r="DH199" s="3386">
        <f>SUM(DH184:DH192)</f>
        <v>178777.77565345768</v>
      </c>
      <c r="DI199" s="3386">
        <f>SUM(DI184:DI192)</f>
        <v>34.722695029798096</v>
      </c>
      <c r="DJ199" s="2387" t="s">
        <v>614</v>
      </c>
      <c r="DK199" s="3386">
        <f>SUM(DK184:DK192)</f>
        <v>160588.25134637236</v>
      </c>
      <c r="DL199" s="3386">
        <f>SUM(DL184:DL192)</f>
        <v>31.170261258094762</v>
      </c>
      <c r="DM199" s="2387" t="s">
        <v>614</v>
      </c>
      <c r="DN199" s="3810">
        <f>SUM(DN184:DN194)</f>
        <v>73670.469890274719</v>
      </c>
      <c r="DO199" s="3810">
        <f>SUM(DO184:DO194)</f>
        <v>9.5257999999999985</v>
      </c>
      <c r="DP199" s="365"/>
      <c r="DQ199" s="3810">
        <f>SUM(DQ184:DQ194)-0.02</f>
        <v>110591.76415660359</v>
      </c>
      <c r="DR199" s="3810">
        <f>SUM(DR184:DR194)</f>
        <v>2882.7314300000003</v>
      </c>
      <c r="DS199" s="365"/>
      <c r="DT199" s="3386">
        <f>SUM(DT184:DT194)-0.02</f>
        <v>153489.48652063921</v>
      </c>
      <c r="DU199" s="3386">
        <f>SUM(DU184:DU194)+0.01</f>
        <v>520.23682999999994</v>
      </c>
      <c r="DV199" s="2387" t="s">
        <v>614</v>
      </c>
      <c r="DW199" s="3386">
        <f>SUM(DW184:DW195)</f>
        <v>210576.02586989832</v>
      </c>
      <c r="DX199" s="3386">
        <f>SUM(DX184:DX194)</f>
        <v>38.609191905739003</v>
      </c>
      <c r="DY199" s="2387" t="s">
        <v>614</v>
      </c>
      <c r="DZ199" s="3386">
        <f>SUM(DZ184:DZ192)</f>
        <v>93793.163527025259</v>
      </c>
      <c r="EA199" s="3386">
        <f>SUM(EA184:EA192)</f>
        <v>12766.341503343525</v>
      </c>
      <c r="EB199" s="2387" t="s">
        <v>614</v>
      </c>
      <c r="EC199" s="3386">
        <f>SUM(EC184:EC198)</f>
        <v>223494.36021601121</v>
      </c>
      <c r="ED199" s="3386">
        <f>SUM(ED184:ED194)</f>
        <v>38.609191905739003</v>
      </c>
      <c r="EE199" s="2387" t="s">
        <v>614</v>
      </c>
      <c r="EF199" s="3386">
        <f>SUM(EF184:EF192)</f>
        <v>0</v>
      </c>
      <c r="EG199" s="3386">
        <f>SUM(EG184:EG192)</f>
        <v>0</v>
      </c>
      <c r="EH199" s="365"/>
      <c r="EI199" s="4855">
        <f>SUM(EI184:EI194)-0.02</f>
        <v>83762.585491179998</v>
      </c>
      <c r="EJ199" s="4855">
        <f>SUM(EJ184:EJ194)+0.01</f>
        <v>13.270830519999999</v>
      </c>
      <c r="EK199" s="365"/>
      <c r="EL199" s="4855">
        <f>SUM(EL184:EL194)</f>
        <v>174370.69016314001</v>
      </c>
      <c r="EM199" s="4855">
        <f>SUM(EM184:EM194)</f>
        <v>17.951818039999996</v>
      </c>
    </row>
    <row r="201" spans="1:143" x14ac:dyDescent="0.25">
      <c r="DV201" s="3748"/>
    </row>
    <row r="202" spans="1:143" x14ac:dyDescent="0.25">
      <c r="DV202" s="3748"/>
    </row>
    <row r="203" spans="1:143" ht="20.25" x14ac:dyDescent="0.3">
      <c r="A203" s="2792" t="s">
        <v>4029</v>
      </c>
      <c r="DV203" s="2387"/>
    </row>
    <row r="204" spans="1:143" x14ac:dyDescent="0.25">
      <c r="CU204" t="s">
        <v>3884</v>
      </c>
      <c r="CW204" s="155"/>
      <c r="DV204" s="2387"/>
    </row>
    <row r="205" spans="1:143" x14ac:dyDescent="0.25">
      <c r="DV205" s="2387"/>
    </row>
  </sheetData>
  <mergeCells count="320">
    <mergeCell ref="DV4:EA4"/>
    <mergeCell ref="DV5:DX5"/>
    <mergeCell ref="DY5:EA5"/>
    <mergeCell ref="DV6:DV7"/>
    <mergeCell ref="DW6:DX6"/>
    <mergeCell ref="DY6:DY7"/>
    <mergeCell ref="DZ6:EA6"/>
    <mergeCell ref="DM4:DO5"/>
    <mergeCell ref="EB140:EG140"/>
    <mergeCell ref="DM6:DM7"/>
    <mergeCell ref="DN6:DO6"/>
    <mergeCell ref="DP4:DR5"/>
    <mergeCell ref="DP6:DP7"/>
    <mergeCell ref="DQ6:DR6"/>
    <mergeCell ref="DS4:DU5"/>
    <mergeCell ref="DS6:DS7"/>
    <mergeCell ref="DT6:DU6"/>
    <mergeCell ref="DS140:DU141"/>
    <mergeCell ref="EB141:ED141"/>
    <mergeCell ref="EE141:EG141"/>
    <mergeCell ref="EB142:EB143"/>
    <mergeCell ref="EC142:ED142"/>
    <mergeCell ref="EE142:EE143"/>
    <mergeCell ref="EF142:EG142"/>
    <mergeCell ref="EB4:EG4"/>
    <mergeCell ref="EB5:ED5"/>
    <mergeCell ref="EE5:EG5"/>
    <mergeCell ref="EB6:EB7"/>
    <mergeCell ref="EC6:ED6"/>
    <mergeCell ref="EE6:EE7"/>
    <mergeCell ref="EF6:EG6"/>
    <mergeCell ref="BA6:BA7"/>
    <mergeCell ref="BB6:BC6"/>
    <mergeCell ref="AW6:AW7"/>
    <mergeCell ref="AX6:AY6"/>
    <mergeCell ref="AZ4:BI4"/>
    <mergeCell ref="BG5:BI5"/>
    <mergeCell ref="BG6:BG7"/>
    <mergeCell ref="BH6:BI6"/>
    <mergeCell ref="DG4:DL4"/>
    <mergeCell ref="DG5:DI5"/>
    <mergeCell ref="DJ5:DL5"/>
    <mergeCell ref="AZ5:BC5"/>
    <mergeCell ref="CI4:CK5"/>
    <mergeCell ref="BM4:BR4"/>
    <mergeCell ref="BS4:BX4"/>
    <mergeCell ref="BS5:BU5"/>
    <mergeCell ref="BY4:CH4"/>
    <mergeCell ref="CB6:CB7"/>
    <mergeCell ref="CC6:CD6"/>
    <mergeCell ref="BY5:CA5"/>
    <mergeCell ref="DG6:DG7"/>
    <mergeCell ref="DH6:DI6"/>
    <mergeCell ref="DJ6:DJ7"/>
    <mergeCell ref="DK6:DL6"/>
    <mergeCell ref="DS142:DS143"/>
    <mergeCell ref="DT142:DU142"/>
    <mergeCell ref="DG141:DI141"/>
    <mergeCell ref="DJ141:DL141"/>
    <mergeCell ref="DG142:DG143"/>
    <mergeCell ref="DH142:DI142"/>
    <mergeCell ref="DJ142:DJ143"/>
    <mergeCell ref="DK142:DL142"/>
    <mergeCell ref="DG140:DL140"/>
    <mergeCell ref="DM140:DO141"/>
    <mergeCell ref="DM142:DM143"/>
    <mergeCell ref="DN142:DO142"/>
    <mergeCell ref="DP140:DR141"/>
    <mergeCell ref="DP142:DP143"/>
    <mergeCell ref="DQ142:DR142"/>
    <mergeCell ref="G5:G7"/>
    <mergeCell ref="H5:H7"/>
    <mergeCell ref="S5:S7"/>
    <mergeCell ref="R5:R7"/>
    <mergeCell ref="O5:O7"/>
    <mergeCell ref="T5:U5"/>
    <mergeCell ref="T6:T7"/>
    <mergeCell ref="U6:U7"/>
    <mergeCell ref="V5:V7"/>
    <mergeCell ref="Y4:AG4"/>
    <mergeCell ref="BJ4:BL4"/>
    <mergeCell ref="Z5:Z7"/>
    <mergeCell ref="AH4:AY4"/>
    <mergeCell ref="AT5:AV5"/>
    <mergeCell ref="AW5:AY5"/>
    <mergeCell ref="AT6:AT7"/>
    <mergeCell ref="AF6:AG6"/>
    <mergeCell ref="BD5:BF5"/>
    <mergeCell ref="BD6:BD7"/>
    <mergeCell ref="BE6:BF6"/>
    <mergeCell ref="BJ5:BL5"/>
    <mergeCell ref="BJ6:BJ7"/>
    <mergeCell ref="AH5:AK5"/>
    <mergeCell ref="AL5:AO5"/>
    <mergeCell ref="AH6:AH7"/>
    <mergeCell ref="AL6:AL7"/>
    <mergeCell ref="AU6:AV6"/>
    <mergeCell ref="BK6:BL6"/>
    <mergeCell ref="AI6:AI7"/>
    <mergeCell ref="AM6:AM7"/>
    <mergeCell ref="AJ6:AK6"/>
    <mergeCell ref="AN6:AO6"/>
    <mergeCell ref="AZ6:AZ7"/>
    <mergeCell ref="H126:I126"/>
    <mergeCell ref="A96:H96"/>
    <mergeCell ref="J5:J7"/>
    <mergeCell ref="A101:H101"/>
    <mergeCell ref="H122:I122"/>
    <mergeCell ref="H123:I123"/>
    <mergeCell ref="H125:I125"/>
    <mergeCell ref="A4:A7"/>
    <mergeCell ref="H118:I118"/>
    <mergeCell ref="H121:I121"/>
    <mergeCell ref="E4:F4"/>
    <mergeCell ref="G4:H4"/>
    <mergeCell ref="I4:N4"/>
    <mergeCell ref="B4:B7"/>
    <mergeCell ref="F5:F7"/>
    <mergeCell ref="K96:T96"/>
    <mergeCell ref="N5:N7"/>
    <mergeCell ref="Q5:Q7"/>
    <mergeCell ref="P5:P7"/>
    <mergeCell ref="C4:D4"/>
    <mergeCell ref="O4:X4"/>
    <mergeCell ref="D5:D7"/>
    <mergeCell ref="C5:C7"/>
    <mergeCell ref="I5:I7"/>
    <mergeCell ref="E5:E7"/>
    <mergeCell ref="C141:C143"/>
    <mergeCell ref="A140:A143"/>
    <mergeCell ref="B140:B143"/>
    <mergeCell ref="AH142:AH143"/>
    <mergeCell ref="AN142:AO142"/>
    <mergeCell ref="AX142:AY142"/>
    <mergeCell ref="H120:I120"/>
    <mergeCell ref="H119:I119"/>
    <mergeCell ref="H127:I127"/>
    <mergeCell ref="J141:J143"/>
    <mergeCell ref="K141:K143"/>
    <mergeCell ref="L141:L143"/>
    <mergeCell ref="M141:M143"/>
    <mergeCell ref="H124:I124"/>
    <mergeCell ref="I141:I143"/>
    <mergeCell ref="Y141:Y143"/>
    <mergeCell ref="T142:T143"/>
    <mergeCell ref="U142:U143"/>
    <mergeCell ref="Z141:Z143"/>
    <mergeCell ref="AA141:AD141"/>
    <mergeCell ref="AE141:AG141"/>
    <mergeCell ref="AH141:AK141"/>
    <mergeCell ref="C140:D140"/>
    <mergeCell ref="BB142:BC142"/>
    <mergeCell ref="BD142:BD143"/>
    <mergeCell ref="AI142:AI143"/>
    <mergeCell ref="E140:F140"/>
    <mergeCell ref="G140:H140"/>
    <mergeCell ref="I140:N140"/>
    <mergeCell ref="O140:X140"/>
    <mergeCell ref="Y140:AG140"/>
    <mergeCell ref="AH140:AY140"/>
    <mergeCell ref="S141:S143"/>
    <mergeCell ref="T141:U141"/>
    <mergeCell ref="V141:V143"/>
    <mergeCell ref="N141:N143"/>
    <mergeCell ref="AA142:AA143"/>
    <mergeCell ref="AC142:AD142"/>
    <mergeCell ref="AE142:AE143"/>
    <mergeCell ref="AF142:AG142"/>
    <mergeCell ref="Q141:Q143"/>
    <mergeCell ref="AZ140:BI140"/>
    <mergeCell ref="BG141:BI141"/>
    <mergeCell ref="BG142:BG143"/>
    <mergeCell ref="BD141:BF141"/>
    <mergeCell ref="AZ141:BC141"/>
    <mergeCell ref="BE142:BF142"/>
    <mergeCell ref="D141:D143"/>
    <mergeCell ref="E141:E143"/>
    <mergeCell ref="F141:F143"/>
    <mergeCell ref="G141:G143"/>
    <mergeCell ref="H141:H143"/>
    <mergeCell ref="O141:O143"/>
    <mergeCell ref="P141:P143"/>
    <mergeCell ref="AL142:AL143"/>
    <mergeCell ref="AM142:AM143"/>
    <mergeCell ref="W141:X142"/>
    <mergeCell ref="AL141:AO141"/>
    <mergeCell ref="AZ142:AZ143"/>
    <mergeCell ref="AW142:AW143"/>
    <mergeCell ref="AT141:AV141"/>
    <mergeCell ref="AW141:AY141"/>
    <mergeCell ref="AT142:AT143"/>
    <mergeCell ref="R141:R143"/>
    <mergeCell ref="AU142:AV142"/>
    <mergeCell ref="AJ142:AK142"/>
    <mergeCell ref="BA142:BA143"/>
    <mergeCell ref="K101:T101"/>
    <mergeCell ref="K5:K7"/>
    <mergeCell ref="L5:L7"/>
    <mergeCell ref="AE5:AG5"/>
    <mergeCell ref="AE6:AE7"/>
    <mergeCell ref="AC6:AD6"/>
    <mergeCell ref="AA6:AA7"/>
    <mergeCell ref="AA5:AD5"/>
    <mergeCell ref="Y5:Y7"/>
    <mergeCell ref="M5:M7"/>
    <mergeCell ref="W5:X6"/>
    <mergeCell ref="BJ140:BL140"/>
    <mergeCell ref="BJ141:BL141"/>
    <mergeCell ref="BJ142:BJ143"/>
    <mergeCell ref="BK142:BL142"/>
    <mergeCell ref="BS6:BS7"/>
    <mergeCell ref="BT6:BU6"/>
    <mergeCell ref="BV6:BV7"/>
    <mergeCell ref="BW6:BX6"/>
    <mergeCell ref="BV142:BV143"/>
    <mergeCell ref="BW142:BX142"/>
    <mergeCell ref="BS142:BS143"/>
    <mergeCell ref="BT142:BU142"/>
    <mergeCell ref="BM142:BM143"/>
    <mergeCell ref="BN142:BO142"/>
    <mergeCell ref="BP142:BP143"/>
    <mergeCell ref="BQ142:BR142"/>
    <mergeCell ref="BS141:BU141"/>
    <mergeCell ref="BS140:BX140"/>
    <mergeCell ref="BP141:BR141"/>
    <mergeCell ref="BP5:BR5"/>
    <mergeCell ref="BP6:BP7"/>
    <mergeCell ref="BM140:BR140"/>
    <mergeCell ref="CF5:CH5"/>
    <mergeCell ref="CF6:CF7"/>
    <mergeCell ref="CG6:CH6"/>
    <mergeCell ref="CF141:CH141"/>
    <mergeCell ref="BZ6:CA6"/>
    <mergeCell ref="BM5:BO5"/>
    <mergeCell ref="BV141:BX141"/>
    <mergeCell ref="BM6:BM7"/>
    <mergeCell ref="BN6:BO6"/>
    <mergeCell ref="BQ6:BR6"/>
    <mergeCell ref="BV5:BX5"/>
    <mergeCell ref="BY140:CH140"/>
    <mergeCell ref="BM141:BO141"/>
    <mergeCell ref="BY6:BY7"/>
    <mergeCell ref="CR4:CW4"/>
    <mergeCell ref="CR5:CT5"/>
    <mergeCell ref="CU5:CW5"/>
    <mergeCell ref="CU6:CU7"/>
    <mergeCell ref="CV6:CW6"/>
    <mergeCell ref="CR140:CW140"/>
    <mergeCell ref="CR141:CT141"/>
    <mergeCell ref="CU141:CW141"/>
    <mergeCell ref="CI6:CI7"/>
    <mergeCell ref="CJ6:CK6"/>
    <mergeCell ref="CL6:CL7"/>
    <mergeCell ref="CR6:CR7"/>
    <mergeCell ref="CS6:CT6"/>
    <mergeCell ref="CO6:CO7"/>
    <mergeCell ref="CP6:CQ6"/>
    <mergeCell ref="CL4:CN5"/>
    <mergeCell ref="CO4:CQ5"/>
    <mergeCell ref="CM6:CN6"/>
    <mergeCell ref="CI140:CK141"/>
    <mergeCell ref="CL140:CN141"/>
    <mergeCell ref="CO140:CQ141"/>
    <mergeCell ref="CX4:CZ5"/>
    <mergeCell ref="DA4:DC5"/>
    <mergeCell ref="DD4:DF5"/>
    <mergeCell ref="CX6:CX7"/>
    <mergeCell ref="CY6:CZ6"/>
    <mergeCell ref="DA6:DA7"/>
    <mergeCell ref="DB6:DC6"/>
    <mergeCell ref="DD6:DD7"/>
    <mergeCell ref="DE6:DF6"/>
    <mergeCell ref="DA140:DC141"/>
    <mergeCell ref="DD140:DF141"/>
    <mergeCell ref="CX142:CX143"/>
    <mergeCell ref="CY142:CZ142"/>
    <mergeCell ref="DA142:DA143"/>
    <mergeCell ref="DB142:DC142"/>
    <mergeCell ref="DD142:DD143"/>
    <mergeCell ref="DE142:DF142"/>
    <mergeCell ref="BY142:BY143"/>
    <mergeCell ref="CS142:CT142"/>
    <mergeCell ref="CU142:CU143"/>
    <mergeCell ref="CV142:CW142"/>
    <mergeCell ref="CR142:CR143"/>
    <mergeCell ref="CI142:CI143"/>
    <mergeCell ref="CP142:CQ142"/>
    <mergeCell ref="CF142:CF143"/>
    <mergeCell ref="CG142:CH142"/>
    <mergeCell ref="CJ142:CK142"/>
    <mergeCell ref="CL142:CL143"/>
    <mergeCell ref="CM142:CN142"/>
    <mergeCell ref="CO142:CO143"/>
    <mergeCell ref="CB142:CB143"/>
    <mergeCell ref="CC142:CD142"/>
    <mergeCell ref="BZ142:CA142"/>
    <mergeCell ref="EK4:EM5"/>
    <mergeCell ref="EK6:EK7"/>
    <mergeCell ref="EL6:EM6"/>
    <mergeCell ref="EK140:EM141"/>
    <mergeCell ref="EK142:EK143"/>
    <mergeCell ref="EL142:EM142"/>
    <mergeCell ref="A2:EM2"/>
    <mergeCell ref="A138:EM138"/>
    <mergeCell ref="EH4:EJ5"/>
    <mergeCell ref="EH6:EH7"/>
    <mergeCell ref="EI6:EJ6"/>
    <mergeCell ref="EH140:EJ141"/>
    <mergeCell ref="EH142:EH143"/>
    <mergeCell ref="EI142:EJ142"/>
    <mergeCell ref="BH142:BI142"/>
    <mergeCell ref="DV140:EA140"/>
    <mergeCell ref="DV141:DX141"/>
    <mergeCell ref="DY141:EA141"/>
    <mergeCell ref="DV142:DV143"/>
    <mergeCell ref="DW142:DX142"/>
    <mergeCell ref="DY142:DY143"/>
    <mergeCell ref="DZ142:EA142"/>
    <mergeCell ref="BY141:CA141"/>
    <mergeCell ref="CX140:CZ141"/>
  </mergeCells>
  <phoneticPr fontId="10" type="noConversion"/>
  <printOptions horizontalCentered="1"/>
  <pageMargins left="0.19685039370078741" right="0.19685039370078741" top="0.19685039370078741" bottom="0.19685039370078741" header="0" footer="0"/>
  <pageSetup paperSize="9" scale="51" orientation="landscape" r:id="rId1"/>
  <headerFooter scaleWithDoc="0" alignWithMargins="0"/>
  <rowBreaks count="1" manualBreakCount="1">
    <brk id="137" max="109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Лист23">
    <tabColor rgb="FFCC00FF"/>
    <pageSetUpPr fitToPage="1"/>
  </sheetPr>
  <dimension ref="A1:ER229"/>
  <sheetViews>
    <sheetView zoomScale="70" zoomScaleNormal="70" zoomScaleSheetLayoutView="75" zoomScalePageLayoutView="80" workbookViewId="0">
      <pane xSplit="22" ySplit="7" topLeftCell="DN122" activePane="bottomRight" state="frozen"/>
      <selection pane="topRight" activeCell="W1" sqref="W1"/>
      <selection pane="bottomLeft" activeCell="A7" sqref="A7"/>
      <selection pane="bottomRight" activeCell="EU141" sqref="EU141"/>
    </sheetView>
  </sheetViews>
  <sheetFormatPr defaultRowHeight="12.75" outlineLevelCol="1" x14ac:dyDescent="0.2"/>
  <cols>
    <col min="1" max="1" width="49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hidden="1" customWidth="1" outlineLevel="1"/>
    <col min="70" max="73" width="13.140625" style="5" hidden="1" customWidth="1" outlineLevel="1"/>
    <col min="74" max="74" width="14" style="5" hidden="1" customWidth="1" outlineLevel="1"/>
    <col min="75" max="75" width="14.28515625" style="5" hidden="1" customWidth="1" outlineLevel="1"/>
    <col min="76" max="76" width="13.140625" style="5" hidden="1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hidden="1" customWidth="1"/>
    <col min="92" max="100" width="13.140625" style="5" hidden="1" customWidth="1"/>
    <col min="101" max="101" width="13.7109375" style="5" hidden="1" customWidth="1"/>
    <col min="102" max="102" width="15.7109375" style="5" hidden="1" customWidth="1"/>
    <col min="103" max="103" width="13.85546875" style="5" hidden="1" customWidth="1"/>
    <col min="104" max="104" width="14.140625" style="5" hidden="1" customWidth="1"/>
    <col min="105" max="105" width="14.42578125" style="5" hidden="1" customWidth="1"/>
    <col min="106" max="106" width="14.28515625" style="5" hidden="1" customWidth="1"/>
    <col min="107" max="115" width="13" style="5" hidden="1" customWidth="1"/>
    <col min="116" max="116" width="13.5703125" style="5" customWidth="1"/>
    <col min="117" max="117" width="15.5703125" style="5" customWidth="1"/>
    <col min="118" max="118" width="13.85546875" style="5" customWidth="1"/>
    <col min="119" max="119" width="20.140625" style="5" customWidth="1"/>
    <col min="120" max="120" width="15.5703125" style="5" customWidth="1"/>
    <col min="121" max="121" width="13.85546875" style="5" customWidth="1"/>
    <col min="122" max="127" width="13" style="5" hidden="1" customWidth="1"/>
    <col min="128" max="128" width="13" style="5" customWidth="1"/>
    <col min="129" max="129" width="13.85546875" style="5" customWidth="1"/>
    <col min="130" max="130" width="13" style="5" customWidth="1"/>
    <col min="131" max="131" width="13.7109375" style="5" hidden="1" customWidth="1"/>
    <col min="132" max="132" width="15.5703125" style="5" hidden="1" customWidth="1"/>
    <col min="133" max="133" width="13.85546875" style="5" hidden="1" customWidth="1"/>
    <col min="134" max="134" width="13.7109375" style="5" hidden="1" customWidth="1"/>
    <col min="135" max="135" width="15.5703125" style="5" hidden="1" customWidth="1"/>
    <col min="136" max="136" width="13.85546875" style="5" hidden="1" customWidth="1"/>
    <col min="137" max="137" width="14.5703125" style="5" customWidth="1"/>
    <col min="138" max="138" width="14.7109375" style="5" customWidth="1"/>
    <col min="139" max="139" width="13.5703125" style="5" customWidth="1"/>
    <col min="140" max="140" width="14.42578125" style="5" customWidth="1"/>
    <col min="141" max="142" width="14.7109375" style="5" customWidth="1"/>
    <col min="143" max="143" width="15.28515625" style="5" customWidth="1"/>
    <col min="144" max="145" width="14.7109375" style="5" customWidth="1"/>
    <col min="146" max="146" width="13.5703125" style="5" customWidth="1"/>
    <col min="147" max="147" width="14" style="5" customWidth="1"/>
    <col min="148" max="148" width="11.85546875" style="5" bestFit="1" customWidth="1"/>
    <col min="149" max="16384" width="9.140625" style="5"/>
  </cols>
  <sheetData>
    <row r="1" spans="1:148" x14ac:dyDescent="0.2">
      <c r="BY1" s="5" t="s">
        <v>1493</v>
      </c>
    </row>
    <row r="2" spans="1:148" ht="66.75" customHeight="1" x14ac:dyDescent="0.2">
      <c r="A2" s="5524" t="s">
        <v>4126</v>
      </c>
      <c r="B2" s="5524"/>
      <c r="C2" s="5524"/>
      <c r="D2" s="5524"/>
      <c r="E2" s="5524"/>
      <c r="F2" s="5524"/>
      <c r="G2" s="5524"/>
      <c r="H2" s="5524"/>
      <c r="I2" s="5524"/>
      <c r="J2" s="5524"/>
      <c r="K2" s="5524"/>
      <c r="L2" s="5524"/>
      <c r="M2" s="5524"/>
      <c r="N2" s="5524"/>
      <c r="O2" s="5524"/>
      <c r="P2" s="5524"/>
      <c r="Q2" s="5524"/>
      <c r="R2" s="5524"/>
      <c r="S2" s="5524"/>
      <c r="T2" s="5524"/>
      <c r="U2" s="5524"/>
      <c r="V2" s="5524"/>
      <c r="W2" s="5524"/>
      <c r="X2" s="5524"/>
      <c r="Y2" s="5524"/>
      <c r="Z2" s="5524"/>
      <c r="AA2" s="5524"/>
      <c r="AB2" s="5524"/>
      <c r="AC2" s="5524"/>
      <c r="AD2" s="5524"/>
      <c r="AE2" s="5524"/>
      <c r="AF2" s="5524"/>
      <c r="AG2" s="5524"/>
      <c r="AH2" s="5524"/>
      <c r="AI2" s="5524"/>
      <c r="AJ2" s="5524"/>
      <c r="AK2" s="5524"/>
      <c r="AL2" s="5524"/>
      <c r="AM2" s="5524"/>
      <c r="AN2" s="5524"/>
      <c r="AO2" s="5524"/>
      <c r="AP2" s="5524"/>
      <c r="AQ2" s="5524"/>
      <c r="AR2" s="5524"/>
      <c r="AS2" s="5524"/>
      <c r="AT2" s="5524"/>
      <c r="AU2" s="5524"/>
      <c r="AV2" s="5524"/>
      <c r="AW2" s="5524"/>
      <c r="AX2" s="5524"/>
      <c r="AY2" s="5524"/>
      <c r="AZ2" s="5524"/>
      <c r="BA2" s="5524"/>
      <c r="BB2" s="5524"/>
      <c r="BC2" s="5524"/>
      <c r="BD2" s="5524"/>
      <c r="BE2" s="5524"/>
      <c r="BF2" s="5524"/>
      <c r="BG2" s="5524"/>
      <c r="BH2" s="5524"/>
      <c r="BI2" s="5524"/>
      <c r="BJ2" s="5524"/>
      <c r="BK2" s="5524"/>
      <c r="BL2" s="5524"/>
      <c r="BM2" s="5524"/>
      <c r="BN2" s="5524"/>
      <c r="BO2" s="5524"/>
      <c r="BP2" s="5524"/>
      <c r="BQ2" s="5524"/>
      <c r="BR2" s="5524"/>
      <c r="BS2" s="5524"/>
      <c r="BT2" s="5524"/>
      <c r="BU2" s="5524"/>
      <c r="BV2" s="5524"/>
      <c r="BW2" s="5524"/>
      <c r="BX2" s="5524"/>
      <c r="BY2" s="5524"/>
      <c r="BZ2" s="5525"/>
      <c r="CA2" s="5525"/>
      <c r="CB2" s="5525"/>
      <c r="CC2" s="5525"/>
      <c r="CD2" s="5525"/>
      <c r="CE2" s="5525"/>
      <c r="CF2" s="5525"/>
      <c r="CG2" s="5525"/>
      <c r="CH2" s="5525"/>
      <c r="CI2" s="5525"/>
      <c r="CJ2" s="5525"/>
      <c r="CK2" s="5525"/>
      <c r="CL2" s="5525"/>
      <c r="CM2" s="5525"/>
      <c r="CN2" s="5525"/>
      <c r="CO2" s="5525"/>
      <c r="CP2" s="5525"/>
      <c r="CQ2" s="5525"/>
      <c r="CR2" s="5525"/>
      <c r="CS2" s="5525"/>
      <c r="CT2" s="5525"/>
      <c r="CU2" s="5525"/>
      <c r="CV2" s="5525"/>
      <c r="CW2" s="5525"/>
      <c r="CX2" s="5525"/>
      <c r="CY2" s="5525"/>
      <c r="CZ2" s="5525"/>
      <c r="DA2" s="5525"/>
      <c r="DB2" s="5525"/>
      <c r="DC2" s="5525"/>
      <c r="DD2" s="5525"/>
      <c r="DE2" s="5525"/>
      <c r="DF2" s="5525"/>
      <c r="DG2" s="5525"/>
      <c r="DH2" s="5525"/>
      <c r="DI2" s="5525"/>
      <c r="DJ2" s="5525"/>
      <c r="DK2" s="5525"/>
      <c r="DL2" s="5525"/>
      <c r="DM2" s="5525"/>
      <c r="DN2" s="5525"/>
      <c r="DO2" s="5525"/>
      <c r="DP2" s="5525"/>
      <c r="DQ2" s="5525"/>
      <c r="DR2" s="5525"/>
      <c r="DS2" s="5525"/>
      <c r="DT2" s="5525"/>
      <c r="DU2" s="5525"/>
      <c r="DV2" s="5525"/>
      <c r="DW2" s="5525"/>
      <c r="DX2" s="5525"/>
      <c r="DY2" s="5525"/>
      <c r="DZ2" s="5525"/>
      <c r="EA2" s="5525"/>
      <c r="EB2" s="5525"/>
      <c r="EC2" s="5525"/>
      <c r="ED2" s="5525"/>
      <c r="EE2" s="5525"/>
      <c r="EF2" s="5525"/>
      <c r="EG2" s="5525"/>
      <c r="EH2" s="5525"/>
      <c r="EI2" s="5525"/>
      <c r="EJ2" s="4910"/>
      <c r="EK2" s="4910"/>
      <c r="EL2" s="4910"/>
      <c r="EM2" s="4910"/>
      <c r="EN2" s="4910"/>
      <c r="EO2" s="4910"/>
      <c r="EP2" s="4910"/>
      <c r="EQ2" s="4910"/>
      <c r="ER2" s="4910"/>
    </row>
    <row r="3" spans="1:148" x14ac:dyDescent="0.2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  <c r="AV3" s="371"/>
      <c r="AW3" s="1367"/>
      <c r="AX3" s="371"/>
      <c r="AY3" s="371"/>
      <c r="AZ3" s="371"/>
      <c r="BA3" s="1367"/>
      <c r="BB3" s="371"/>
      <c r="BC3" s="371"/>
      <c r="BD3" s="371"/>
      <c r="BE3" s="371"/>
      <c r="BF3" s="371"/>
      <c r="BG3" s="371"/>
      <c r="BH3" s="371"/>
      <c r="BI3" s="371"/>
      <c r="BJ3" s="371"/>
      <c r="BK3" s="371"/>
      <c r="BL3" s="371"/>
      <c r="BM3" s="371"/>
      <c r="BN3" s="371"/>
      <c r="BO3" s="371"/>
      <c r="BP3" s="371"/>
      <c r="BQ3" s="371"/>
      <c r="BR3" s="371"/>
      <c r="BS3" s="371"/>
      <c r="BT3" s="371"/>
      <c r="BU3" s="371"/>
      <c r="BV3" s="371"/>
      <c r="BW3" s="371"/>
      <c r="BX3" s="371"/>
      <c r="BY3" s="371"/>
    </row>
    <row r="4" spans="1:148" s="2041" customFormat="1" ht="59.25" customHeight="1" x14ac:dyDescent="0.2">
      <c r="A4" s="5557" t="s">
        <v>525</v>
      </c>
      <c r="B4" s="5522" t="s">
        <v>57</v>
      </c>
      <c r="C4" s="5557" t="s">
        <v>58</v>
      </c>
      <c r="D4" s="5557"/>
      <c r="E4" s="5555" t="s">
        <v>66</v>
      </c>
      <c r="F4" s="5555"/>
      <c r="G4" s="5555" t="s">
        <v>91</v>
      </c>
      <c r="H4" s="5555"/>
      <c r="I4" s="5555" t="s">
        <v>116</v>
      </c>
      <c r="J4" s="5555"/>
      <c r="K4" s="5555"/>
      <c r="L4" s="5555"/>
      <c r="M4" s="5555"/>
      <c r="N4" s="5543" t="s">
        <v>153</v>
      </c>
      <c r="O4" s="5543"/>
      <c r="P4" s="5543"/>
      <c r="Q4" s="5543"/>
      <c r="R4" s="5543"/>
      <c r="S4" s="5543"/>
      <c r="T4" s="5543"/>
      <c r="U4" s="5543"/>
      <c r="V4" s="5543"/>
      <c r="W4" s="5520" t="s">
        <v>227</v>
      </c>
      <c r="X4" s="5520"/>
      <c r="Y4" s="5520"/>
      <c r="Z4" s="5520"/>
      <c r="AA4" s="5520"/>
      <c r="AB4" s="5556"/>
      <c r="AC4" s="5556"/>
      <c r="AD4" s="5556"/>
      <c r="AE4" s="5520" t="s">
        <v>362</v>
      </c>
      <c r="AF4" s="5566"/>
      <c r="AG4" s="5566"/>
      <c r="AH4" s="5566"/>
      <c r="AI4" s="5566"/>
      <c r="AJ4" s="5566"/>
      <c r="AK4" s="5566"/>
      <c r="AL4" s="5566"/>
      <c r="AM4" s="5566"/>
      <c r="AN4" s="5566"/>
      <c r="AO4" s="5566"/>
      <c r="AP4" s="5566"/>
      <c r="AQ4" s="5566"/>
      <c r="AR4" s="5566"/>
      <c r="AS4" s="5566"/>
      <c r="AT4" s="5566"/>
      <c r="AU4" s="5566"/>
      <c r="AV4" s="5542" t="s">
        <v>815</v>
      </c>
      <c r="AW4" s="5549"/>
      <c r="AX4" s="5549"/>
      <c r="AY4" s="5549"/>
      <c r="AZ4" s="5549"/>
      <c r="BA4" s="5549"/>
      <c r="BB4" s="5549"/>
      <c r="BC4" s="5549"/>
      <c r="BD4" s="5549"/>
      <c r="BE4" s="5549"/>
      <c r="BF4" s="5550"/>
      <c r="BG4" s="5542" t="s">
        <v>2037</v>
      </c>
      <c r="BH4" s="5549"/>
      <c r="BI4" s="5550"/>
      <c r="BJ4" s="5542" t="s">
        <v>893</v>
      </c>
      <c r="BK4" s="5530"/>
      <c r="BL4" s="5530"/>
      <c r="BM4" s="5530"/>
      <c r="BN4" s="5530"/>
      <c r="BO4" s="5531"/>
      <c r="BP4" s="5542" t="s">
        <v>1799</v>
      </c>
      <c r="BQ4" s="5549"/>
      <c r="BR4" s="5549"/>
      <c r="BS4" s="5549"/>
      <c r="BT4" s="5549"/>
      <c r="BU4" s="5550"/>
      <c r="BV4" s="5520" t="s">
        <v>3517</v>
      </c>
      <c r="BW4" s="5526"/>
      <c r="BX4" s="5526"/>
      <c r="BY4" s="5526"/>
      <c r="BZ4" s="5526"/>
      <c r="CA4" s="5526"/>
      <c r="CB4" s="5526"/>
      <c r="CC4" s="5526"/>
      <c r="CD4" s="5526"/>
      <c r="CE4" s="5526"/>
      <c r="CF4" s="5526"/>
      <c r="CG4" s="5526"/>
      <c r="CH4" s="5526"/>
      <c r="CI4" s="5526"/>
      <c r="CJ4" s="5526"/>
      <c r="CK4" s="5526"/>
      <c r="CL4" s="5526"/>
      <c r="CM4" s="5526"/>
      <c r="CN4" s="5532" t="s">
        <v>3614</v>
      </c>
      <c r="CO4" s="5533"/>
      <c r="CP4" s="5534"/>
      <c r="CQ4" s="5532" t="s">
        <v>3615</v>
      </c>
      <c r="CR4" s="5533"/>
      <c r="CS4" s="5534"/>
      <c r="CT4" s="5532" t="s">
        <v>3608</v>
      </c>
      <c r="CU4" s="5533"/>
      <c r="CV4" s="5534"/>
      <c r="CW4" s="5520" t="s">
        <v>3862</v>
      </c>
      <c r="CX4" s="5526"/>
      <c r="CY4" s="5526"/>
      <c r="CZ4" s="5526"/>
      <c r="DA4" s="5526"/>
      <c r="DB4" s="5526"/>
      <c r="DC4" s="5532" t="s">
        <v>3867</v>
      </c>
      <c r="DD4" s="5533"/>
      <c r="DE4" s="5534"/>
      <c r="DF4" s="5532" t="s">
        <v>3868</v>
      </c>
      <c r="DG4" s="5533"/>
      <c r="DH4" s="5534"/>
      <c r="DI4" s="5532" t="s">
        <v>3866</v>
      </c>
      <c r="DJ4" s="5533"/>
      <c r="DK4" s="5534"/>
      <c r="DL4" s="5520" t="s">
        <v>3905</v>
      </c>
      <c r="DM4" s="5526"/>
      <c r="DN4" s="5526"/>
      <c r="DO4" s="5526"/>
      <c r="DP4" s="5526"/>
      <c r="DQ4" s="5526"/>
      <c r="DR4" s="5520" t="s">
        <v>3926</v>
      </c>
      <c r="DS4" s="5521"/>
      <c r="DT4" s="5521"/>
      <c r="DU4" s="5520" t="s">
        <v>3928</v>
      </c>
      <c r="DV4" s="5521"/>
      <c r="DW4" s="5521"/>
      <c r="DX4" s="5520" t="s">
        <v>3927</v>
      </c>
      <c r="DY4" s="5521"/>
      <c r="DZ4" s="5521"/>
      <c r="EA4" s="5520" t="s">
        <v>4104</v>
      </c>
      <c r="EB4" s="5526"/>
      <c r="EC4" s="5526"/>
      <c r="ED4" s="5526"/>
      <c r="EE4" s="5526"/>
      <c r="EF4" s="5526"/>
      <c r="EG4" s="5520" t="s">
        <v>4014</v>
      </c>
      <c r="EH4" s="5526"/>
      <c r="EI4" s="5526"/>
      <c r="EJ4" s="5526"/>
      <c r="EK4" s="5526"/>
      <c r="EL4" s="5526"/>
      <c r="EM4" s="5520" t="s">
        <v>4254</v>
      </c>
      <c r="EN4" s="5521"/>
      <c r="EO4" s="5521"/>
      <c r="EP4" s="5520" t="s">
        <v>4252</v>
      </c>
      <c r="EQ4" s="5521"/>
      <c r="ER4" s="5521"/>
    </row>
    <row r="5" spans="1:148" s="2041" customFormat="1" ht="18.75" customHeight="1" x14ac:dyDescent="0.3">
      <c r="A5" s="5557"/>
      <c r="B5" s="5522"/>
      <c r="C5" s="5522" t="s">
        <v>60</v>
      </c>
      <c r="D5" s="5522" t="s">
        <v>61</v>
      </c>
      <c r="E5" s="5522" t="s">
        <v>60</v>
      </c>
      <c r="F5" s="5522" t="s">
        <v>65</v>
      </c>
      <c r="G5" s="5522" t="s">
        <v>60</v>
      </c>
      <c r="H5" s="5522" t="s">
        <v>108</v>
      </c>
      <c r="I5" s="5522" t="s">
        <v>59</v>
      </c>
      <c r="J5" s="5522" t="s">
        <v>62</v>
      </c>
      <c r="K5" s="5522" t="s">
        <v>106</v>
      </c>
      <c r="L5" s="5522" t="s">
        <v>60</v>
      </c>
      <c r="M5" s="5522" t="s">
        <v>115</v>
      </c>
      <c r="N5" s="5522" t="s">
        <v>118</v>
      </c>
      <c r="O5" s="5522" t="s">
        <v>93</v>
      </c>
      <c r="P5" s="5522" t="s">
        <v>119</v>
      </c>
      <c r="Q5" s="5522" t="s">
        <v>93</v>
      </c>
      <c r="R5" s="5522" t="s">
        <v>152</v>
      </c>
      <c r="S5" s="5557" t="s">
        <v>23</v>
      </c>
      <c r="T5" s="5557"/>
      <c r="U5" s="5522" t="s">
        <v>106</v>
      </c>
      <c r="V5" s="5522" t="s">
        <v>391</v>
      </c>
      <c r="W5" s="5522" t="s">
        <v>118</v>
      </c>
      <c r="X5" s="5522" t="s">
        <v>93</v>
      </c>
      <c r="Y5" s="5543" t="s">
        <v>119</v>
      </c>
      <c r="Z5" s="5574"/>
      <c r="AA5" s="5574"/>
      <c r="AB5" s="5543" t="s">
        <v>814</v>
      </c>
      <c r="AC5" s="5543"/>
      <c r="AD5" s="5543"/>
      <c r="AE5" s="5543" t="s">
        <v>118</v>
      </c>
      <c r="AF5" s="5573"/>
      <c r="AG5" s="5573"/>
      <c r="AH5" s="5573"/>
      <c r="AI5" s="5543" t="s">
        <v>119</v>
      </c>
      <c r="AJ5" s="5575"/>
      <c r="AK5" s="5575"/>
      <c r="AL5" s="5575"/>
      <c r="AM5" s="2200"/>
      <c r="AN5" s="2200"/>
      <c r="AO5" s="2201"/>
      <c r="AP5" s="5543" t="s">
        <v>844</v>
      </c>
      <c r="AQ5" s="5543"/>
      <c r="AR5" s="5543"/>
      <c r="AS5" s="5543" t="s">
        <v>845</v>
      </c>
      <c r="AT5" s="5522"/>
      <c r="AU5" s="5522"/>
      <c r="AV5" s="5543" t="s">
        <v>118</v>
      </c>
      <c r="AW5" s="5572"/>
      <c r="AX5" s="5572"/>
      <c r="AY5" s="5572"/>
      <c r="AZ5" s="5543" t="s">
        <v>1585</v>
      </c>
      <c r="BA5" s="5543"/>
      <c r="BB5" s="5543"/>
      <c r="BC5" s="5543"/>
      <c r="BD5" s="5569" t="s">
        <v>1516</v>
      </c>
      <c r="BE5" s="5570"/>
      <c r="BF5" s="5571"/>
      <c r="BG5" s="5569" t="s">
        <v>60</v>
      </c>
      <c r="BH5" s="5570"/>
      <c r="BI5" s="5571"/>
      <c r="BJ5" s="5543" t="s">
        <v>1585</v>
      </c>
      <c r="BK5" s="5544"/>
      <c r="BL5" s="5544"/>
      <c r="BM5" s="5529" t="s">
        <v>1674</v>
      </c>
      <c r="BN5" s="5545"/>
      <c r="BO5" s="5546"/>
      <c r="BP5" s="5569" t="s">
        <v>118</v>
      </c>
      <c r="BQ5" s="5570"/>
      <c r="BR5" s="5571"/>
      <c r="BS5" s="5569" t="s">
        <v>1521</v>
      </c>
      <c r="BT5" s="5570"/>
      <c r="BU5" s="5571"/>
      <c r="BV5" s="5543" t="s">
        <v>118</v>
      </c>
      <c r="BW5" s="5543"/>
      <c r="BX5" s="5543"/>
      <c r="BY5" s="5543" t="s">
        <v>1521</v>
      </c>
      <c r="BZ5" s="5543"/>
      <c r="CA5" s="5543"/>
      <c r="CB5" s="2661"/>
      <c r="CC5" s="2661"/>
      <c r="CD5" s="2661"/>
      <c r="CE5" s="2661"/>
      <c r="CF5" s="2661"/>
      <c r="CG5" s="2661"/>
      <c r="CH5" s="2661"/>
      <c r="CI5" s="2661"/>
      <c r="CJ5" s="2661"/>
      <c r="CK5" s="5543" t="s">
        <v>1521</v>
      </c>
      <c r="CL5" s="5543"/>
      <c r="CM5" s="5543"/>
      <c r="CN5" s="5535"/>
      <c r="CO5" s="5536"/>
      <c r="CP5" s="5537"/>
      <c r="CQ5" s="5535"/>
      <c r="CR5" s="5536"/>
      <c r="CS5" s="5537"/>
      <c r="CT5" s="5535"/>
      <c r="CU5" s="5536"/>
      <c r="CV5" s="5537"/>
      <c r="CW5" s="5543" t="s">
        <v>118</v>
      </c>
      <c r="CX5" s="5543"/>
      <c r="CY5" s="5543"/>
      <c r="CZ5" s="5543" t="s">
        <v>1521</v>
      </c>
      <c r="DA5" s="5543"/>
      <c r="DB5" s="5543"/>
      <c r="DC5" s="5535"/>
      <c r="DD5" s="5536"/>
      <c r="DE5" s="5537"/>
      <c r="DF5" s="5535"/>
      <c r="DG5" s="5536"/>
      <c r="DH5" s="5537"/>
      <c r="DI5" s="5535"/>
      <c r="DJ5" s="5536"/>
      <c r="DK5" s="5537"/>
      <c r="DL5" s="5543" t="s">
        <v>118</v>
      </c>
      <c r="DM5" s="5543"/>
      <c r="DN5" s="5543"/>
      <c r="DO5" s="5543" t="s">
        <v>1521</v>
      </c>
      <c r="DP5" s="5543"/>
      <c r="DQ5" s="5543"/>
      <c r="DR5" s="5521"/>
      <c r="DS5" s="5521"/>
      <c r="DT5" s="5521"/>
      <c r="DU5" s="5521"/>
      <c r="DV5" s="5521"/>
      <c r="DW5" s="5521"/>
      <c r="DX5" s="5521"/>
      <c r="DY5" s="5521"/>
      <c r="DZ5" s="5521"/>
      <c r="EA5" s="5543" t="s">
        <v>118</v>
      </c>
      <c r="EB5" s="5543"/>
      <c r="EC5" s="5543"/>
      <c r="ED5" s="5543" t="s">
        <v>1521</v>
      </c>
      <c r="EE5" s="5543"/>
      <c r="EF5" s="5543"/>
      <c r="EG5" s="5543" t="s">
        <v>118</v>
      </c>
      <c r="EH5" s="5543"/>
      <c r="EI5" s="5543"/>
      <c r="EJ5" s="5543" t="s">
        <v>1521</v>
      </c>
      <c r="EK5" s="5543"/>
      <c r="EL5" s="5543"/>
      <c r="EM5" s="5521"/>
      <c r="EN5" s="5521"/>
      <c r="EO5" s="5521"/>
      <c r="EP5" s="5521"/>
      <c r="EQ5" s="5521"/>
      <c r="ER5" s="5521"/>
    </row>
    <row r="6" spans="1:148" s="2041" customFormat="1" ht="20.25" customHeight="1" x14ac:dyDescent="0.2">
      <c r="A6" s="5557"/>
      <c r="B6" s="5522"/>
      <c r="C6" s="5522"/>
      <c r="D6" s="5522"/>
      <c r="E6" s="5522"/>
      <c r="F6" s="5522"/>
      <c r="G6" s="5522"/>
      <c r="H6" s="5522"/>
      <c r="I6" s="5522"/>
      <c r="J6" s="5522"/>
      <c r="K6" s="5522"/>
      <c r="L6" s="5522"/>
      <c r="M6" s="5522"/>
      <c r="N6" s="5522"/>
      <c r="O6" s="5522"/>
      <c r="P6" s="5522"/>
      <c r="Q6" s="5522"/>
      <c r="R6" s="5522"/>
      <c r="S6" s="5522" t="s">
        <v>47</v>
      </c>
      <c r="T6" s="5522" t="s">
        <v>201</v>
      </c>
      <c r="U6" s="5522"/>
      <c r="V6" s="5522"/>
      <c r="W6" s="5522"/>
      <c r="X6" s="5522"/>
      <c r="Y6" s="5557" t="s">
        <v>288</v>
      </c>
      <c r="Z6" s="5557" t="s">
        <v>50</v>
      </c>
      <c r="AA6" s="5557"/>
      <c r="AB6" s="5557" t="s">
        <v>288</v>
      </c>
      <c r="AC6" s="5557" t="s">
        <v>50</v>
      </c>
      <c r="AD6" s="5155"/>
      <c r="AE6" s="5557" t="s">
        <v>288</v>
      </c>
      <c r="AF6" s="5522" t="s">
        <v>93</v>
      </c>
      <c r="AG6" s="5557" t="s">
        <v>50</v>
      </c>
      <c r="AH6" s="5155"/>
      <c r="AI6" s="5557" t="s">
        <v>288</v>
      </c>
      <c r="AJ6" s="5522" t="s">
        <v>93</v>
      </c>
      <c r="AK6" s="5557" t="s">
        <v>50</v>
      </c>
      <c r="AL6" s="5155"/>
      <c r="AM6" s="2200"/>
      <c r="AN6" s="2200"/>
      <c r="AO6" s="2201"/>
      <c r="AP6" s="5557" t="s">
        <v>288</v>
      </c>
      <c r="AQ6" s="5557" t="s">
        <v>50</v>
      </c>
      <c r="AR6" s="5155"/>
      <c r="AS6" s="5557" t="s">
        <v>288</v>
      </c>
      <c r="AT6" s="5557" t="s">
        <v>50</v>
      </c>
      <c r="AU6" s="5155"/>
      <c r="AV6" s="5557" t="s">
        <v>288</v>
      </c>
      <c r="AW6" s="5553" t="s">
        <v>93</v>
      </c>
      <c r="AX6" s="5557" t="s">
        <v>50</v>
      </c>
      <c r="AY6" s="5557"/>
      <c r="AZ6" s="5557" t="s">
        <v>288</v>
      </c>
      <c r="BA6" s="5553" t="s">
        <v>93</v>
      </c>
      <c r="BB6" s="5557" t="s">
        <v>50</v>
      </c>
      <c r="BC6" s="5557"/>
      <c r="BD6" s="5557" t="s">
        <v>288</v>
      </c>
      <c r="BE6" s="5557" t="s">
        <v>50</v>
      </c>
      <c r="BF6" s="5557"/>
      <c r="BG6" s="5567" t="s">
        <v>288</v>
      </c>
      <c r="BH6" s="5557" t="s">
        <v>50</v>
      </c>
      <c r="BI6" s="5557"/>
      <c r="BJ6" s="5567" t="s">
        <v>288</v>
      </c>
      <c r="BK6" s="5557" t="s">
        <v>50</v>
      </c>
      <c r="BL6" s="5557"/>
      <c r="BM6" s="5567" t="s">
        <v>288</v>
      </c>
      <c r="BN6" s="5557" t="s">
        <v>50</v>
      </c>
      <c r="BO6" s="5557"/>
      <c r="BP6" s="5567" t="s">
        <v>288</v>
      </c>
      <c r="BQ6" s="5557" t="s">
        <v>50</v>
      </c>
      <c r="BR6" s="5557"/>
      <c r="BS6" s="5567" t="s">
        <v>288</v>
      </c>
      <c r="BT6" s="5557" t="s">
        <v>50</v>
      </c>
      <c r="BU6" s="5557"/>
      <c r="BV6" s="5557" t="s">
        <v>288</v>
      </c>
      <c r="BW6" s="5557" t="s">
        <v>50</v>
      </c>
      <c r="BX6" s="5557"/>
      <c r="BY6" s="5557" t="s">
        <v>288</v>
      </c>
      <c r="BZ6" s="5557" t="s">
        <v>50</v>
      </c>
      <c r="CA6" s="5557"/>
      <c r="CB6" s="2661"/>
      <c r="CC6" s="2661"/>
      <c r="CD6" s="2661"/>
      <c r="CE6" s="2661"/>
      <c r="CF6" s="2661"/>
      <c r="CG6" s="2661"/>
      <c r="CH6" s="2661"/>
      <c r="CI6" s="2661"/>
      <c r="CJ6" s="2661"/>
      <c r="CK6" s="5557" t="s">
        <v>288</v>
      </c>
      <c r="CL6" s="5557" t="s">
        <v>50</v>
      </c>
      <c r="CM6" s="5557"/>
      <c r="CN6" s="5567" t="s">
        <v>288</v>
      </c>
      <c r="CO6" s="5557" t="s">
        <v>50</v>
      </c>
      <c r="CP6" s="5557"/>
      <c r="CQ6" s="5567" t="s">
        <v>288</v>
      </c>
      <c r="CR6" s="5557" t="s">
        <v>50</v>
      </c>
      <c r="CS6" s="5557"/>
      <c r="CT6" s="5567" t="s">
        <v>288</v>
      </c>
      <c r="CU6" s="5557" t="s">
        <v>50</v>
      </c>
      <c r="CV6" s="5557"/>
      <c r="CW6" s="5557" t="s">
        <v>288</v>
      </c>
      <c r="CX6" s="5557" t="s">
        <v>50</v>
      </c>
      <c r="CY6" s="5557"/>
      <c r="CZ6" s="5557" t="s">
        <v>288</v>
      </c>
      <c r="DA6" s="5557" t="s">
        <v>50</v>
      </c>
      <c r="DB6" s="5557"/>
      <c r="DC6" s="5567" t="s">
        <v>288</v>
      </c>
      <c r="DD6" s="5557" t="s">
        <v>50</v>
      </c>
      <c r="DE6" s="5557"/>
      <c r="DF6" s="5567" t="s">
        <v>288</v>
      </c>
      <c r="DG6" s="5557" t="s">
        <v>50</v>
      </c>
      <c r="DH6" s="5557"/>
      <c r="DI6" s="5567" t="s">
        <v>288</v>
      </c>
      <c r="DJ6" s="5557" t="s">
        <v>50</v>
      </c>
      <c r="DK6" s="5557"/>
      <c r="DL6" s="5557" t="s">
        <v>288</v>
      </c>
      <c r="DM6" s="5557" t="s">
        <v>50</v>
      </c>
      <c r="DN6" s="5557"/>
      <c r="DO6" s="5557" t="s">
        <v>288</v>
      </c>
      <c r="DP6" s="5557" t="s">
        <v>50</v>
      </c>
      <c r="DQ6" s="5557"/>
      <c r="DR6" s="5522" t="s">
        <v>288</v>
      </c>
      <c r="DS6" s="5522" t="s">
        <v>50</v>
      </c>
      <c r="DT6" s="5523"/>
      <c r="DU6" s="5522" t="s">
        <v>288</v>
      </c>
      <c r="DV6" s="5522" t="s">
        <v>50</v>
      </c>
      <c r="DW6" s="5523"/>
      <c r="DX6" s="5522" t="s">
        <v>288</v>
      </c>
      <c r="DY6" s="5522" t="s">
        <v>50</v>
      </c>
      <c r="DZ6" s="5523"/>
      <c r="EA6" s="5557" t="s">
        <v>288</v>
      </c>
      <c r="EB6" s="5557" t="s">
        <v>50</v>
      </c>
      <c r="EC6" s="5557"/>
      <c r="ED6" s="5557" t="s">
        <v>288</v>
      </c>
      <c r="EE6" s="5557" t="s">
        <v>50</v>
      </c>
      <c r="EF6" s="5557"/>
      <c r="EG6" s="5557" t="s">
        <v>288</v>
      </c>
      <c r="EH6" s="5557" t="s">
        <v>50</v>
      </c>
      <c r="EI6" s="5557"/>
      <c r="EJ6" s="5557" t="s">
        <v>288</v>
      </c>
      <c r="EK6" s="5557" t="s">
        <v>50</v>
      </c>
      <c r="EL6" s="5557"/>
      <c r="EM6" s="5522" t="s">
        <v>288</v>
      </c>
      <c r="EN6" s="5522" t="s">
        <v>50</v>
      </c>
      <c r="EO6" s="5523"/>
      <c r="EP6" s="5522" t="s">
        <v>288</v>
      </c>
      <c r="EQ6" s="5522" t="s">
        <v>50</v>
      </c>
      <c r="ER6" s="5523"/>
    </row>
    <row r="7" spans="1:148" s="2041" customFormat="1" ht="42.75" customHeight="1" x14ac:dyDescent="0.2">
      <c r="A7" s="5557"/>
      <c r="B7" s="5522"/>
      <c r="C7" s="5522"/>
      <c r="D7" s="5522"/>
      <c r="E7" s="5522"/>
      <c r="F7" s="5522"/>
      <c r="G7" s="5522"/>
      <c r="H7" s="5522"/>
      <c r="I7" s="5522"/>
      <c r="J7" s="5522"/>
      <c r="K7" s="5522"/>
      <c r="L7" s="5522"/>
      <c r="M7" s="5522"/>
      <c r="N7" s="5522"/>
      <c r="O7" s="5522"/>
      <c r="P7" s="5522"/>
      <c r="Q7" s="5522"/>
      <c r="R7" s="5522"/>
      <c r="S7" s="5522"/>
      <c r="T7" s="5522"/>
      <c r="U7" s="5522"/>
      <c r="V7" s="5522"/>
      <c r="W7" s="5522"/>
      <c r="X7" s="5522"/>
      <c r="Y7" s="5557"/>
      <c r="Z7" s="2197" t="s">
        <v>47</v>
      </c>
      <c r="AA7" s="2197" t="s">
        <v>526</v>
      </c>
      <c r="AB7" s="5557"/>
      <c r="AC7" s="2197" t="s">
        <v>47</v>
      </c>
      <c r="AD7" s="2197" t="s">
        <v>526</v>
      </c>
      <c r="AE7" s="5155"/>
      <c r="AF7" s="5144"/>
      <c r="AG7" s="2197" t="s">
        <v>47</v>
      </c>
      <c r="AH7" s="2197" t="s">
        <v>526</v>
      </c>
      <c r="AI7" s="5155"/>
      <c r="AJ7" s="5144"/>
      <c r="AK7" s="2197" t="s">
        <v>47</v>
      </c>
      <c r="AL7" s="2197" t="s">
        <v>526</v>
      </c>
      <c r="AM7" s="2218" t="s">
        <v>246</v>
      </c>
      <c r="AN7" s="2201" t="s">
        <v>355</v>
      </c>
      <c r="AO7" s="2201"/>
      <c r="AP7" s="5557"/>
      <c r="AQ7" s="2197" t="s">
        <v>47</v>
      </c>
      <c r="AR7" s="2197" t="s">
        <v>526</v>
      </c>
      <c r="AS7" s="5557"/>
      <c r="AT7" s="2197" t="s">
        <v>47</v>
      </c>
      <c r="AU7" s="2197" t="s">
        <v>526</v>
      </c>
      <c r="AV7" s="5557"/>
      <c r="AW7" s="5553"/>
      <c r="AX7" s="2197" t="s">
        <v>47</v>
      </c>
      <c r="AY7" s="2197" t="s">
        <v>526</v>
      </c>
      <c r="AZ7" s="5557"/>
      <c r="BA7" s="5553"/>
      <c r="BB7" s="2197" t="s">
        <v>47</v>
      </c>
      <c r="BC7" s="2197" t="s">
        <v>526</v>
      </c>
      <c r="BD7" s="5557"/>
      <c r="BE7" s="2197" t="s">
        <v>47</v>
      </c>
      <c r="BF7" s="2197" t="s">
        <v>526</v>
      </c>
      <c r="BG7" s="5568"/>
      <c r="BH7" s="2197" t="s">
        <v>47</v>
      </c>
      <c r="BI7" s="2197" t="s">
        <v>526</v>
      </c>
      <c r="BJ7" s="5568"/>
      <c r="BK7" s="2388" t="s">
        <v>47</v>
      </c>
      <c r="BL7" s="2388" t="s">
        <v>526</v>
      </c>
      <c r="BM7" s="5568"/>
      <c r="BN7" s="2388" t="s">
        <v>47</v>
      </c>
      <c r="BO7" s="2388" t="s">
        <v>526</v>
      </c>
      <c r="BP7" s="5568"/>
      <c r="BQ7" s="2197" t="s">
        <v>47</v>
      </c>
      <c r="BR7" s="2197" t="s">
        <v>526</v>
      </c>
      <c r="BS7" s="5568"/>
      <c r="BT7" s="2197" t="s">
        <v>47</v>
      </c>
      <c r="BU7" s="2197" t="s">
        <v>526</v>
      </c>
      <c r="BV7" s="5557"/>
      <c r="BW7" s="2659" t="s">
        <v>47</v>
      </c>
      <c r="BX7" s="2659" t="s">
        <v>526</v>
      </c>
      <c r="BY7" s="5557"/>
      <c r="BZ7" s="2659" t="s">
        <v>47</v>
      </c>
      <c r="CA7" s="2659" t="s">
        <v>526</v>
      </c>
      <c r="CB7" s="2661"/>
      <c r="CC7" s="2661"/>
      <c r="CD7" s="2661"/>
      <c r="CE7" s="2661"/>
      <c r="CF7" s="2661"/>
      <c r="CG7" s="2661"/>
      <c r="CH7" s="2661"/>
      <c r="CI7" s="2661"/>
      <c r="CJ7" s="2661"/>
      <c r="CK7" s="5557"/>
      <c r="CL7" s="2659" t="s">
        <v>47</v>
      </c>
      <c r="CM7" s="2659" t="s">
        <v>526</v>
      </c>
      <c r="CN7" s="5568"/>
      <c r="CO7" s="2538" t="s">
        <v>47</v>
      </c>
      <c r="CP7" s="2538" t="s">
        <v>526</v>
      </c>
      <c r="CQ7" s="5568"/>
      <c r="CR7" s="2538" t="s">
        <v>47</v>
      </c>
      <c r="CS7" s="2538" t="s">
        <v>526</v>
      </c>
      <c r="CT7" s="5568"/>
      <c r="CU7" s="2538" t="s">
        <v>47</v>
      </c>
      <c r="CV7" s="2538" t="s">
        <v>526</v>
      </c>
      <c r="CW7" s="5557"/>
      <c r="CX7" s="3243" t="s">
        <v>47</v>
      </c>
      <c r="CY7" s="3243" t="s">
        <v>526</v>
      </c>
      <c r="CZ7" s="5557"/>
      <c r="DA7" s="3243" t="s">
        <v>47</v>
      </c>
      <c r="DB7" s="3243" t="s">
        <v>526</v>
      </c>
      <c r="DC7" s="5568"/>
      <c r="DD7" s="3553" t="s">
        <v>47</v>
      </c>
      <c r="DE7" s="3553" t="s">
        <v>526</v>
      </c>
      <c r="DF7" s="5568"/>
      <c r="DG7" s="3553" t="s">
        <v>47</v>
      </c>
      <c r="DH7" s="3553" t="s">
        <v>526</v>
      </c>
      <c r="DI7" s="5568"/>
      <c r="DJ7" s="3553" t="s">
        <v>47</v>
      </c>
      <c r="DK7" s="3553" t="s">
        <v>526</v>
      </c>
      <c r="DL7" s="5557"/>
      <c r="DM7" s="3650" t="s">
        <v>47</v>
      </c>
      <c r="DN7" s="3650" t="s">
        <v>526</v>
      </c>
      <c r="DO7" s="5557"/>
      <c r="DP7" s="3650" t="s">
        <v>47</v>
      </c>
      <c r="DQ7" s="3650" t="s">
        <v>526</v>
      </c>
      <c r="DR7" s="5523"/>
      <c r="DS7" s="3778" t="s">
        <v>366</v>
      </c>
      <c r="DT7" s="3778" t="s">
        <v>367</v>
      </c>
      <c r="DU7" s="5523"/>
      <c r="DV7" s="3778" t="s">
        <v>366</v>
      </c>
      <c r="DW7" s="3778" t="s">
        <v>367</v>
      </c>
      <c r="DX7" s="5523"/>
      <c r="DY7" s="3778" t="s">
        <v>366</v>
      </c>
      <c r="DZ7" s="3778" t="s">
        <v>367</v>
      </c>
      <c r="EA7" s="5557"/>
      <c r="EB7" s="3984" t="s">
        <v>47</v>
      </c>
      <c r="EC7" s="3984" t="s">
        <v>526</v>
      </c>
      <c r="ED7" s="5557"/>
      <c r="EE7" s="3984" t="s">
        <v>47</v>
      </c>
      <c r="EF7" s="3984" t="s">
        <v>526</v>
      </c>
      <c r="EG7" s="5557"/>
      <c r="EH7" s="4056" t="s">
        <v>47</v>
      </c>
      <c r="EI7" s="4056" t="s">
        <v>526</v>
      </c>
      <c r="EJ7" s="5557"/>
      <c r="EK7" s="4056" t="s">
        <v>47</v>
      </c>
      <c r="EL7" s="4056" t="s">
        <v>526</v>
      </c>
      <c r="EM7" s="5523"/>
      <c r="EN7" s="4565" t="s">
        <v>366</v>
      </c>
      <c r="EO7" s="4565" t="s">
        <v>367</v>
      </c>
      <c r="EP7" s="5523"/>
      <c r="EQ7" s="4565" t="s">
        <v>366</v>
      </c>
      <c r="ER7" s="4565" t="s">
        <v>367</v>
      </c>
    </row>
    <row r="8" spans="1:148" ht="21" customHeight="1" x14ac:dyDescent="0.2">
      <c r="A8" s="3320" t="s">
        <v>0</v>
      </c>
      <c r="B8" s="1722">
        <f>SUM(B9:B16)</f>
        <v>7787.0999999999995</v>
      </c>
      <c r="C8" s="1723">
        <f>SUM(C9:C16)</f>
        <v>8710.3000000000011</v>
      </c>
      <c r="D8" s="1724">
        <f t="shared" ref="D8:D42" si="0">C8/B8*100</f>
        <v>111.85550461660954</v>
      </c>
      <c r="E8" s="3682">
        <f>SUM(E9:E16)-E15</f>
        <v>9918.1</v>
      </c>
      <c r="F8" s="3682">
        <f t="shared" ref="F8:Z8" si="1">SUM(F9:F16)-F15</f>
        <v>718.50644173639284</v>
      </c>
      <c r="G8" s="3682">
        <f t="shared" si="1"/>
        <v>11143.8</v>
      </c>
      <c r="H8" s="1725">
        <f t="shared" ref="H8:H78" si="2">G8/E8*100</f>
        <v>112.3582137707827</v>
      </c>
      <c r="I8" s="3682">
        <f t="shared" si="1"/>
        <v>12086.737939999999</v>
      </c>
      <c r="J8" s="3682">
        <f t="shared" si="1"/>
        <v>5759.5</v>
      </c>
      <c r="K8" s="3682">
        <f t="shared" si="1"/>
        <v>8100.2438109153081</v>
      </c>
      <c r="L8" s="3682">
        <f t="shared" si="1"/>
        <v>12055.1</v>
      </c>
      <c r="M8" s="3682">
        <f t="shared" si="1"/>
        <v>750.7566538578908</v>
      </c>
      <c r="N8" s="3682">
        <f t="shared" si="1"/>
        <v>15356.929999999998</v>
      </c>
      <c r="O8" s="3682">
        <f t="shared" si="1"/>
        <v>730.28673534554662</v>
      </c>
      <c r="P8" s="3682" t="e">
        <f t="shared" si="1"/>
        <v>#REF!</v>
      </c>
      <c r="Q8" s="3682" t="e">
        <f t="shared" si="1"/>
        <v>#REF!</v>
      </c>
      <c r="R8" s="3682" t="e">
        <f t="shared" si="1"/>
        <v>#REF!</v>
      </c>
      <c r="S8" s="3682">
        <f t="shared" si="1"/>
        <v>13172.8958</v>
      </c>
      <c r="T8" s="3682">
        <f t="shared" si="1"/>
        <v>0</v>
      </c>
      <c r="U8" s="3682">
        <f t="shared" si="1"/>
        <v>9205.5</v>
      </c>
      <c r="V8" s="3682">
        <f t="shared" si="1"/>
        <v>0</v>
      </c>
      <c r="W8" s="3682">
        <f t="shared" si="1"/>
        <v>16520.07</v>
      </c>
      <c r="X8" s="3682"/>
      <c r="Y8" s="3682" t="e">
        <f t="shared" si="1"/>
        <v>#REF!</v>
      </c>
      <c r="Z8" s="3682" t="e">
        <f t="shared" si="1"/>
        <v>#REF!</v>
      </c>
      <c r="AA8" s="3682">
        <f>AA9+AA10+AA12+AA13+AA14+AA16</f>
        <v>0</v>
      </c>
      <c r="AB8" s="3682">
        <f t="shared" ref="AB8:AC8" si="3">SUM(AB9:AB16)-AB15</f>
        <v>11735.1</v>
      </c>
      <c r="AC8" s="3682">
        <f t="shared" si="3"/>
        <v>11735.1</v>
      </c>
      <c r="AD8" s="3682">
        <f>AD9+AD10+AD12+AD13+AD14+AD16</f>
        <v>0</v>
      </c>
      <c r="AE8" s="3682">
        <v>15636.95</v>
      </c>
      <c r="AF8" s="1597" t="e">
        <f>SUM(AE8/Y8)</f>
        <v>#REF!</v>
      </c>
      <c r="AG8" s="3682">
        <v>15786.34</v>
      </c>
      <c r="AH8" s="3682">
        <v>0</v>
      </c>
      <c r="AI8" s="3682">
        <f>AI9+AI10+AI12+AI13+AI14+AI16</f>
        <v>13472.574404759991</v>
      </c>
      <c r="AJ8" s="1597" t="e">
        <f>SUM(AI8/Y8)</f>
        <v>#REF!</v>
      </c>
      <c r="AK8" s="3682">
        <f>AK9+AK10+AK12+AK13+AK14+AK16</f>
        <v>13472.574404759991</v>
      </c>
      <c r="AL8" s="3682">
        <f>AL9+AL10+AL12+AL13+AL14+AL16</f>
        <v>0</v>
      </c>
      <c r="AM8" s="3682" t="e">
        <f>#REF!</f>
        <v>#REF!</v>
      </c>
      <c r="AN8" s="3682">
        <v>0</v>
      </c>
      <c r="AO8" s="3682" t="e">
        <f>AM8+AN8</f>
        <v>#REF!</v>
      </c>
      <c r="AP8" s="3682">
        <f t="shared" ref="AP8:BF8" si="4">SUM(AP9:AP16)-AP15</f>
        <v>4689.5500000000011</v>
      </c>
      <c r="AQ8" s="3682">
        <f t="shared" si="4"/>
        <v>4689.5500000000011</v>
      </c>
      <c r="AR8" s="3682">
        <f>AR9+AR10+AR12+AR13+AR14+AR16</f>
        <v>0</v>
      </c>
      <c r="AS8" s="3682">
        <f t="shared" si="4"/>
        <v>7398.74</v>
      </c>
      <c r="AT8" s="3682">
        <f t="shared" si="4"/>
        <v>7398.74</v>
      </c>
      <c r="AU8" s="3682">
        <f>AU9+AU10+AU12+AU13+AU14+AU16</f>
        <v>0</v>
      </c>
      <c r="AV8" s="3682">
        <f t="shared" si="4"/>
        <v>15273.137040000001</v>
      </c>
      <c r="AW8" s="1600">
        <f>SUM(AV8/AI8)</f>
        <v>1.133646516333497</v>
      </c>
      <c r="AX8" s="3682">
        <f t="shared" si="4"/>
        <v>15273.137040000001</v>
      </c>
      <c r="AY8" s="3682">
        <f>AY9+AY10+AY12+AY13+AY14+AY16</f>
        <v>0</v>
      </c>
      <c r="AZ8" s="3682">
        <f t="shared" si="4"/>
        <v>12994.681352801486</v>
      </c>
      <c r="BA8" s="1591">
        <f>SUM(AZ8/AI8)</f>
        <v>0.96452845331552517</v>
      </c>
      <c r="BB8" s="3682">
        <f t="shared" si="4"/>
        <v>12994.681352801486</v>
      </c>
      <c r="BC8" s="3682">
        <f>BC9+BC10+BC12+BC13+BC14+BC16</f>
        <v>0</v>
      </c>
      <c r="BD8" s="3682">
        <f t="shared" si="4"/>
        <v>12644.29</v>
      </c>
      <c r="BE8" s="3682">
        <f t="shared" si="4"/>
        <v>12644.29</v>
      </c>
      <c r="BF8" s="3682">
        <f t="shared" si="4"/>
        <v>0</v>
      </c>
      <c r="BG8" s="3682">
        <f t="shared" ref="BG8:BI8" si="5">SUM(BG9:BG16)-BG15</f>
        <v>12494.119999999999</v>
      </c>
      <c r="BH8" s="3682">
        <f t="shared" si="5"/>
        <v>12494.119999999999</v>
      </c>
      <c r="BI8" s="3682">
        <f t="shared" si="5"/>
        <v>0</v>
      </c>
      <c r="BJ8" s="3682">
        <f t="shared" ref="BJ8:BL8" si="6">SUM(BJ9:BJ16)-BJ15</f>
        <v>13874.519999999999</v>
      </c>
      <c r="BK8" s="3682">
        <f t="shared" si="6"/>
        <v>13874.519999999999</v>
      </c>
      <c r="BL8" s="3682">
        <f t="shared" si="6"/>
        <v>0</v>
      </c>
      <c r="BM8" s="3682">
        <f t="shared" ref="BM8:BO8" si="7">SUM(BM9:BM16)-BM15</f>
        <v>13293.170000000002</v>
      </c>
      <c r="BN8" s="3682">
        <f t="shared" si="7"/>
        <v>13293.170000000002</v>
      </c>
      <c r="BO8" s="3682">
        <f t="shared" si="7"/>
        <v>0</v>
      </c>
      <c r="BP8" s="3682">
        <f t="shared" ref="BP8:BR8" si="8">SUM(BP9:BP16)-BP15</f>
        <v>17894.62</v>
      </c>
      <c r="BQ8" s="3682">
        <f t="shared" si="8"/>
        <v>17894.62</v>
      </c>
      <c r="BR8" s="3682">
        <f t="shared" si="8"/>
        <v>0</v>
      </c>
      <c r="BS8" s="3682">
        <f t="shared" ref="BS8:BU8" si="9">SUM(BS9:BS16)-BS15</f>
        <v>15512.260745856393</v>
      </c>
      <c r="BT8" s="3682">
        <f t="shared" si="9"/>
        <v>15512.260745856393</v>
      </c>
      <c r="BU8" s="3682">
        <f t="shared" si="9"/>
        <v>0</v>
      </c>
      <c r="BV8" s="3415">
        <f t="shared" ref="BV8:BX8" si="10">SUM(BV9:BV16)-BV15</f>
        <v>16466.883120455863</v>
      </c>
      <c r="BW8" s="3415">
        <f t="shared" si="10"/>
        <v>16466.883120455863</v>
      </c>
      <c r="BX8" s="3415">
        <f t="shared" si="10"/>
        <v>0</v>
      </c>
      <c r="BY8" s="3416"/>
      <c r="BZ8" s="3735"/>
      <c r="CA8" s="3735"/>
      <c r="CB8" s="3735"/>
      <c r="CC8" s="3735"/>
      <c r="CD8" s="3735"/>
      <c r="CE8" s="3735"/>
      <c r="CF8" s="3735"/>
      <c r="CG8" s="3735"/>
      <c r="CH8" s="3735"/>
      <c r="CI8" s="3735"/>
      <c r="CJ8" s="3735"/>
      <c r="CK8" s="3415">
        <f t="shared" ref="CK8:CM8" si="11">SUM(CK9:CK16)-CK15</f>
        <v>15677.055402798032</v>
      </c>
      <c r="CL8" s="3415">
        <f t="shared" si="11"/>
        <v>15677.055402798032</v>
      </c>
      <c r="CM8" s="3415">
        <f t="shared" si="11"/>
        <v>0</v>
      </c>
      <c r="CN8" s="3682">
        <f t="shared" ref="CN8:CP8" si="12">SUM(CN9:CN16)-CN15</f>
        <v>7906.0040000000008</v>
      </c>
      <c r="CO8" s="3682">
        <f t="shared" si="12"/>
        <v>7906.0040000000008</v>
      </c>
      <c r="CP8" s="3682">
        <f t="shared" si="12"/>
        <v>0</v>
      </c>
      <c r="CQ8" s="3682">
        <f t="shared" ref="CQ8:CS8" si="13">SUM(CQ9:CQ16)-CQ15</f>
        <v>12229.236999999999</v>
      </c>
      <c r="CR8" s="3682">
        <f t="shared" si="13"/>
        <v>12229.236999999999</v>
      </c>
      <c r="CS8" s="3682">
        <f t="shared" si="13"/>
        <v>0</v>
      </c>
      <c r="CT8" s="3682">
        <f t="shared" ref="CT8:CV8" si="14">SUM(CT9:CT16)-CT15</f>
        <v>15603.57</v>
      </c>
      <c r="CU8" s="3682">
        <f t="shared" si="14"/>
        <v>15603.57</v>
      </c>
      <c r="CV8" s="3682">
        <f t="shared" si="14"/>
        <v>0</v>
      </c>
      <c r="CW8" s="3682">
        <f t="shared" ref="CW8:CY8" si="15">SUM(CW9:CW16)-CW15</f>
        <v>18716.817567920476</v>
      </c>
      <c r="CX8" s="3682">
        <f t="shared" si="15"/>
        <v>18716.817567920476</v>
      </c>
      <c r="CY8" s="3682">
        <f t="shared" si="15"/>
        <v>0</v>
      </c>
      <c r="CZ8" s="3682">
        <f t="shared" ref="CZ8:DB8" si="16">SUM(CZ9:CZ16)-CZ15</f>
        <v>16164.115192360054</v>
      </c>
      <c r="DA8" s="3682">
        <f t="shared" si="16"/>
        <v>16164.115192360054</v>
      </c>
      <c r="DB8" s="3682">
        <f t="shared" si="16"/>
        <v>0</v>
      </c>
      <c r="DC8" s="3682">
        <f t="shared" ref="DC8:DQ8" si="17">SUM(DC9:DC16)-DC15</f>
        <v>7102.4549899999993</v>
      </c>
      <c r="DD8" s="3682">
        <f t="shared" si="17"/>
        <v>7102.4549899999993</v>
      </c>
      <c r="DE8" s="3682">
        <f t="shared" si="17"/>
        <v>0</v>
      </c>
      <c r="DF8" s="3682">
        <f t="shared" si="17"/>
        <v>10597.398999999999</v>
      </c>
      <c r="DG8" s="3682">
        <f t="shared" si="17"/>
        <v>10597.398999999999</v>
      </c>
      <c r="DH8" s="3682">
        <f t="shared" si="17"/>
        <v>0</v>
      </c>
      <c r="DI8" s="3682">
        <f t="shared" si="17"/>
        <v>13879.392160000001</v>
      </c>
      <c r="DJ8" s="3682">
        <f t="shared" si="17"/>
        <v>13879.392160000001</v>
      </c>
      <c r="DK8" s="3682">
        <f t="shared" si="17"/>
        <v>0</v>
      </c>
      <c r="DL8" s="3682">
        <f t="shared" si="17"/>
        <v>20028.739334945381</v>
      </c>
      <c r="DM8" s="3682">
        <f t="shared" si="17"/>
        <v>20028.739334945381</v>
      </c>
      <c r="DN8" s="3682">
        <f t="shared" si="17"/>
        <v>0</v>
      </c>
      <c r="DO8" s="3682">
        <f t="shared" si="17"/>
        <v>17063.780519504133</v>
      </c>
      <c r="DP8" s="3682">
        <f t="shared" si="17"/>
        <v>17063.780519504133</v>
      </c>
      <c r="DQ8" s="3682">
        <f t="shared" si="17"/>
        <v>0</v>
      </c>
      <c r="DR8" s="3682">
        <f t="shared" ref="DR8:DT8" si="18">SUM(DR9:DR16)-DR15</f>
        <v>7406.9764899999991</v>
      </c>
      <c r="DS8" s="3682">
        <f t="shared" si="18"/>
        <v>7406.9764899999991</v>
      </c>
      <c r="DT8" s="3682">
        <f t="shared" si="18"/>
        <v>0</v>
      </c>
      <c r="DU8" s="3682">
        <f t="shared" ref="DU8:DW8" si="19">SUM(DU9:DU16)-DU15</f>
        <v>11421.356000000002</v>
      </c>
      <c r="DV8" s="3682">
        <f t="shared" si="19"/>
        <v>11421.356000000002</v>
      </c>
      <c r="DW8" s="3682">
        <f t="shared" si="19"/>
        <v>0</v>
      </c>
      <c r="DX8" s="3682">
        <f t="shared" ref="DX8:EF8" si="20">SUM(DX9:DX16)-DX15</f>
        <v>15736.485000000001</v>
      </c>
      <c r="DY8" s="3682">
        <f t="shared" si="20"/>
        <v>15736.485000000001</v>
      </c>
      <c r="DZ8" s="3682">
        <f t="shared" si="20"/>
        <v>0</v>
      </c>
      <c r="EA8" s="2346">
        <f t="shared" si="20"/>
        <v>22840.148919826424</v>
      </c>
      <c r="EB8" s="2346">
        <f t="shared" si="20"/>
        <v>22840.148919826424</v>
      </c>
      <c r="EC8" s="2346">
        <f t="shared" si="20"/>
        <v>0</v>
      </c>
      <c r="ED8" s="3960">
        <f t="shared" si="20"/>
        <v>12779.84613633136</v>
      </c>
      <c r="EE8" s="3960">
        <f t="shared" si="20"/>
        <v>12779.84613633136</v>
      </c>
      <c r="EF8" s="3960">
        <f t="shared" si="20"/>
        <v>0</v>
      </c>
      <c r="EG8" s="2346">
        <f t="shared" ref="EG8:EI8" si="21">SUM(EG9:EG16)-EG15</f>
        <v>22840.148919826424</v>
      </c>
      <c r="EH8" s="2346">
        <f t="shared" si="21"/>
        <v>22840.148919826424</v>
      </c>
      <c r="EI8" s="2346">
        <f t="shared" si="21"/>
        <v>0</v>
      </c>
      <c r="EJ8" s="2346">
        <f t="shared" ref="EJ8:ER8" si="22">SUM(EJ9:EJ16)-EJ15</f>
        <v>19934.441154734861</v>
      </c>
      <c r="EK8" s="2346">
        <f t="shared" si="22"/>
        <v>19934.441154734861</v>
      </c>
      <c r="EL8" s="2346">
        <f t="shared" si="22"/>
        <v>0</v>
      </c>
      <c r="EM8" s="4683">
        <f t="shared" ref="EM8:EO8" si="23">SUM(EM9:EM16)-EM15</f>
        <v>9336.0052099999994</v>
      </c>
      <c r="EN8" s="4683">
        <f t="shared" si="23"/>
        <v>9336.0052099999994</v>
      </c>
      <c r="EO8" s="4683">
        <f t="shared" si="23"/>
        <v>0</v>
      </c>
      <c r="EP8" s="4683">
        <f t="shared" si="22"/>
        <v>18105.49278</v>
      </c>
      <c r="EQ8" s="4683">
        <f t="shared" si="22"/>
        <v>18105.49278</v>
      </c>
      <c r="ER8" s="4683">
        <f t="shared" si="22"/>
        <v>0</v>
      </c>
    </row>
    <row r="9" spans="1:148" ht="21" customHeight="1" x14ac:dyDescent="0.2">
      <c r="A9" s="3214" t="s">
        <v>1</v>
      </c>
      <c r="B9" s="3674">
        <v>1474.6</v>
      </c>
      <c r="C9" s="3193">
        <v>1358.2</v>
      </c>
      <c r="D9" s="1725">
        <f t="shared" si="0"/>
        <v>92.106333921063339</v>
      </c>
      <c r="E9" s="3193">
        <v>1536.5</v>
      </c>
      <c r="F9" s="1725">
        <f t="shared" ref="F9:F30" si="24">E9/C9*100</f>
        <v>113.12766897364158</v>
      </c>
      <c r="G9" s="3193">
        <v>1642.6</v>
      </c>
      <c r="H9" s="1725">
        <f t="shared" si="2"/>
        <v>106.90530426293523</v>
      </c>
      <c r="I9" s="1597">
        <f>1775.3*0.9518</f>
        <v>1689.73054</v>
      </c>
      <c r="J9" s="1597">
        <v>974.8</v>
      </c>
      <c r="K9" s="1597">
        <v>1253.0999999999999</v>
      </c>
      <c r="L9" s="1597">
        <v>1864.4</v>
      </c>
      <c r="M9" s="1600">
        <f t="shared" ref="M9:M78" si="25">L9/G9*100</f>
        <v>113.50298307561184</v>
      </c>
      <c r="N9" s="1597">
        <v>2192.4</v>
      </c>
      <c r="O9" s="1600">
        <f t="shared" ref="O9:O75" si="26">N9/I9*100</f>
        <v>129.74849824280267</v>
      </c>
      <c r="P9" s="1597" t="e">
        <f>электр!AC14</f>
        <v>#REF!</v>
      </c>
      <c r="Q9" s="1600" t="e">
        <f t="shared" ref="Q9:Q81" si="27">P9/I9*100</f>
        <v>#REF!</v>
      </c>
      <c r="R9" s="1600" t="e">
        <f t="shared" ref="R9:R26" si="28">P9/L9*100</f>
        <v>#REF!</v>
      </c>
      <c r="S9" s="1597">
        <v>2037.2</v>
      </c>
      <c r="T9" s="1597"/>
      <c r="U9" s="1597">
        <v>1316.9</v>
      </c>
      <c r="V9" s="1597"/>
      <c r="W9" s="1597">
        <v>2285.4</v>
      </c>
      <c r="X9" s="1597"/>
      <c r="Y9" s="1597">
        <f>электр!Q52</f>
        <v>2047.0527990000001</v>
      </c>
      <c r="Z9" s="1597">
        <f>Y9</f>
        <v>2047.0527990000001</v>
      </c>
      <c r="AA9" s="1597">
        <v>0</v>
      </c>
      <c r="AB9" s="1597">
        <f>SUM(электр!AG52)</f>
        <v>1542.6</v>
      </c>
      <c r="AC9" s="1597">
        <f>AB9</f>
        <v>1542.6</v>
      </c>
      <c r="AD9" s="1597">
        <v>0</v>
      </c>
      <c r="AE9" s="1597">
        <v>2169.88</v>
      </c>
      <c r="AF9" s="1597">
        <f t="shared" ref="AF9:AF85" si="29">SUM(AE9/Y9)</f>
        <v>1.0600019701787868</v>
      </c>
      <c r="AG9" s="1597">
        <v>2169.88</v>
      </c>
      <c r="AH9" s="1597">
        <v>0</v>
      </c>
      <c r="AI9" s="1597">
        <f>электр!AN52</f>
        <v>1886.3204777318492</v>
      </c>
      <c r="AJ9" s="1597">
        <f t="shared" ref="AJ9:AJ85" si="30">SUM(AI9/Y9)</f>
        <v>0.92148110622907742</v>
      </c>
      <c r="AK9" s="1597">
        <f>AI9</f>
        <v>1886.3204777318492</v>
      </c>
      <c r="AL9" s="1597">
        <f>AA9*1.084</f>
        <v>0</v>
      </c>
      <c r="AM9" s="3682" t="e">
        <f>#REF!</f>
        <v>#REF!</v>
      </c>
      <c r="AN9" s="3682">
        <v>0</v>
      </c>
      <c r="AO9" s="3682" t="e">
        <f t="shared" ref="AO9:AO85" si="31">AM9+AN9</f>
        <v>#REF!</v>
      </c>
      <c r="AP9" s="1597">
        <f>SUM(электр!AT52)</f>
        <v>732.2</v>
      </c>
      <c r="AQ9" s="1597">
        <f>SUM(AP9)</f>
        <v>732.2</v>
      </c>
      <c r="AR9" s="1597">
        <v>0</v>
      </c>
      <c r="AS9" s="1597">
        <f>SUM(электр!AW52)</f>
        <v>972.9</v>
      </c>
      <c r="AT9" s="1597">
        <f>SUM(AS9)</f>
        <v>972.9</v>
      </c>
      <c r="AU9" s="1597">
        <v>0</v>
      </c>
      <c r="AV9" s="1597">
        <v>1999.86</v>
      </c>
      <c r="AW9" s="1600">
        <f>SUM(AV9/AI9)</f>
        <v>1.060191003389134</v>
      </c>
      <c r="AX9" s="1597">
        <f>SUM(AV9)</f>
        <v>1999.86</v>
      </c>
      <c r="AY9" s="1597">
        <v>0</v>
      </c>
      <c r="AZ9" s="1597">
        <f>SUM(электр!BD52)</f>
        <v>1609.8550127319788</v>
      </c>
      <c r="BA9" s="1591">
        <f>SUM(AZ9/AI9)</f>
        <v>0.85343664119455553</v>
      </c>
      <c r="BB9" s="1597">
        <f>SUM(AZ9)</f>
        <v>1609.8550127319788</v>
      </c>
      <c r="BC9" s="1597">
        <v>0</v>
      </c>
      <c r="BD9" s="1597">
        <f>BE9+BF9</f>
        <v>698.03</v>
      </c>
      <c r="BE9" s="1597">
        <v>698.03</v>
      </c>
      <c r="BF9" s="1597">
        <v>0</v>
      </c>
      <c r="BG9" s="1597">
        <f>BH9+BI9</f>
        <v>887.01</v>
      </c>
      <c r="BH9" s="1597">
        <v>887.01</v>
      </c>
      <c r="BI9" s="1597">
        <v>0</v>
      </c>
      <c r="BJ9" s="1597">
        <f>BK9+BL9</f>
        <v>1652.37</v>
      </c>
      <c r="BK9" s="1597">
        <v>1652.37</v>
      </c>
      <c r="BL9" s="1597">
        <v>0</v>
      </c>
      <c r="BM9" s="1597">
        <f>BN9+BO9</f>
        <v>1078.7</v>
      </c>
      <c r="BN9" s="1597">
        <v>1078.7</v>
      </c>
      <c r="BO9" s="1597">
        <v>0</v>
      </c>
      <c r="BP9" s="1597">
        <f>BQ9+BR9</f>
        <v>2034.65</v>
      </c>
      <c r="BQ9" s="1597">
        <v>2034.65</v>
      </c>
      <c r="BR9" s="1597">
        <v>0</v>
      </c>
      <c r="BS9" s="1597">
        <f>BT9+BU9</f>
        <v>1711.5300750192755</v>
      </c>
      <c r="BT9" s="1597">
        <f>'ЭЭ стоки'!S19</f>
        <v>1711.5300750192755</v>
      </c>
      <c r="BU9" s="1597">
        <v>0</v>
      </c>
      <c r="BV9" s="1597">
        <f>BW9+BX9</f>
        <v>1783.4143381700851</v>
      </c>
      <c r="BW9" s="1597">
        <f>SUM('ЭЭ стоки'!Y21)</f>
        <v>1783.4143381700851</v>
      </c>
      <c r="BX9" s="1597">
        <f>SUM('ЭЭ стоки'!Y22)</f>
        <v>0</v>
      </c>
      <c r="BY9" s="3675" t="s">
        <v>1483</v>
      </c>
      <c r="BZ9" s="3735"/>
      <c r="CA9" s="3735"/>
      <c r="CB9" s="3735"/>
      <c r="CC9" s="3735"/>
      <c r="CD9" s="3735"/>
      <c r="CE9" s="3735"/>
      <c r="CF9" s="3735"/>
      <c r="CG9" s="3735"/>
      <c r="CH9" s="3735"/>
      <c r="CI9" s="3735"/>
      <c r="CJ9" s="3735"/>
      <c r="CK9" s="1597">
        <f>CL9+CM9</f>
        <v>1614.2784707454241</v>
      </c>
      <c r="CL9" s="1597">
        <f>SUM('ЭЭ стоки'!AD21)</f>
        <v>1614.2784707454241</v>
      </c>
      <c r="CM9" s="1597">
        <f>SUM('ЭЭ стоки'!AD22)</f>
        <v>0</v>
      </c>
      <c r="CN9" s="1597">
        <f>CO9+CP9</f>
        <v>805.69399999999996</v>
      </c>
      <c r="CO9" s="1597">
        <f>SUM('ЭЭ стоки'!AE21)</f>
        <v>805.69399999999996</v>
      </c>
      <c r="CP9" s="1597">
        <f>SUM('ЭЭ стоки'!AE22)</f>
        <v>0</v>
      </c>
      <c r="CQ9" s="1597">
        <f>CR9+CS9</f>
        <v>1168.722</v>
      </c>
      <c r="CR9" s="1597">
        <f>SUM('ЭЭ стоки'!AF21)</f>
        <v>1168.722</v>
      </c>
      <c r="CS9" s="1597">
        <f>SUM('ЭЭ стоки'!AF22)</f>
        <v>0</v>
      </c>
      <c r="CT9" s="1597">
        <f>CU9+CV9</f>
        <v>1635.52</v>
      </c>
      <c r="CU9" s="1597">
        <f>SUM('ЭЭ стоки'!AG21)</f>
        <v>1635.52</v>
      </c>
      <c r="CV9" s="1597">
        <f>SUM('ЭЭ стоки'!AG22)</f>
        <v>0</v>
      </c>
      <c r="CW9" s="1597">
        <f>CX9+CY9</f>
        <v>1688.5334883693006</v>
      </c>
      <c r="CX9" s="1597">
        <f>SUM('ЭЭ стоки'!AH21)</f>
        <v>1688.5334883693006</v>
      </c>
      <c r="CY9" s="1597">
        <f>SUM('ЭЭ стоки'!AJ22)</f>
        <v>0</v>
      </c>
      <c r="CZ9" s="1597">
        <f>DA9+DB9</f>
        <v>1994.9747098822081</v>
      </c>
      <c r="DA9" s="1597">
        <f>SUM('ЭЭ стоки'!AI21)</f>
        <v>1994.9747098822081</v>
      </c>
      <c r="DB9" s="1597">
        <v>0</v>
      </c>
      <c r="DC9" s="1597">
        <f>DD9+DE9</f>
        <v>831.34999000000005</v>
      </c>
      <c r="DD9" s="1597">
        <f>SUM('ЭЭ стоки'!AJ21)</f>
        <v>831.34999000000005</v>
      </c>
      <c r="DE9" s="1597">
        <f>SUM('ЭЭ стоки'!AJ22)</f>
        <v>0</v>
      </c>
      <c r="DF9" s="1597">
        <f>DG9+DH9</f>
        <v>1224.8</v>
      </c>
      <c r="DG9" s="1597">
        <f>SUM('ЭЭ стоки'!AK21)</f>
        <v>1224.8</v>
      </c>
      <c r="DH9" s="1597">
        <f>SUM('ЭЭ стоки'!AK22)</f>
        <v>0</v>
      </c>
      <c r="DI9" s="1597">
        <f>DJ9+DK9</f>
        <v>1703.0371600000001</v>
      </c>
      <c r="DJ9" s="1597">
        <f>SUM('ЭЭ стоки'!AL21)</f>
        <v>1703.0371600000001</v>
      </c>
      <c r="DK9" s="1597">
        <f>SUM('ЭЭ стоки'!AL22)</f>
        <v>0</v>
      </c>
      <c r="DL9" s="1597">
        <f>DM9+DN9</f>
        <v>2094.7234453763185</v>
      </c>
      <c r="DM9" s="1597">
        <f>SUM('ЭЭ стоки'!AM21)</f>
        <v>2094.7234453763185</v>
      </c>
      <c r="DN9" s="1597">
        <v>0</v>
      </c>
      <c r="DO9" s="1597">
        <f>DP9+DQ9</f>
        <v>2140.47684024517</v>
      </c>
      <c r="DP9" s="1597">
        <f>SUM('ЭЭ стоки'!AN21)</f>
        <v>2140.47684024517</v>
      </c>
      <c r="DQ9" s="1597">
        <v>0</v>
      </c>
      <c r="DR9" s="1597">
        <f>DS9+DT9</f>
        <v>795.07249000000002</v>
      </c>
      <c r="DS9" s="1597">
        <f>SUM('ЭЭ стоки'!AO21)</f>
        <v>795.07249000000002</v>
      </c>
      <c r="DT9" s="1597">
        <f>SUM('ЭЭ стоки'!AO22)</f>
        <v>0</v>
      </c>
      <c r="DU9" s="1597">
        <f>DV9+DW9</f>
        <v>1177.5219999999999</v>
      </c>
      <c r="DV9" s="1597">
        <f>SUM('ЭЭ стоки'!AP21)</f>
        <v>1177.5219999999999</v>
      </c>
      <c r="DW9" s="1597">
        <f>SUM('ЭЭ стоки'!AP22)</f>
        <v>0</v>
      </c>
      <c r="DX9" s="1597">
        <f>DY9+DZ9</f>
        <v>1652.23</v>
      </c>
      <c r="DY9" s="1597">
        <f>SUM('ЭЭ стоки'!AQ21)</f>
        <v>1652.23</v>
      </c>
      <c r="DZ9" s="1597">
        <f>SUM('ЭЭ стоки'!AQ22)</f>
        <v>0</v>
      </c>
      <c r="EA9" s="2343">
        <f>EB9+EC9</f>
        <v>2247.5006822574283</v>
      </c>
      <c r="EB9" s="2343">
        <f>SUM('ЭЭ стоки'!AR21)</f>
        <v>2247.5006822574283</v>
      </c>
      <c r="EC9" s="2343">
        <v>0</v>
      </c>
      <c r="ED9" s="3959">
        <f>EE9+EF9</f>
        <v>0</v>
      </c>
      <c r="EE9" s="3959">
        <f>SUM('ЭЭ стоки'!BC21)</f>
        <v>0</v>
      </c>
      <c r="EF9" s="3959">
        <v>0</v>
      </c>
      <c r="EG9" s="2343">
        <f>EH9+EI9</f>
        <v>2247.5006822574283</v>
      </c>
      <c r="EH9" s="2343">
        <f>SUM('ЭЭ стоки'!AR21)</f>
        <v>2247.5006822574283</v>
      </c>
      <c r="EI9" s="2343">
        <v>0</v>
      </c>
      <c r="EJ9" s="2343">
        <f>EK9+EL9</f>
        <v>2437.698388323422</v>
      </c>
      <c r="EK9" s="2343">
        <f>SUM('ЭЭ стоки'!AS21)</f>
        <v>2437.698388323422</v>
      </c>
      <c r="EL9" s="2343">
        <v>0</v>
      </c>
      <c r="EM9" s="3662">
        <f>EN9+EO9</f>
        <v>1011.71421</v>
      </c>
      <c r="EN9" s="3662">
        <f>SUM('ЭЭ стоки'!AT21)</f>
        <v>1011.71421</v>
      </c>
      <c r="EO9" s="3662">
        <f>SUM('ЭЭ стоки'!BC22)</f>
        <v>0</v>
      </c>
      <c r="EP9" s="3662">
        <f>EQ9+ER9</f>
        <v>1887.0387800000001</v>
      </c>
      <c r="EQ9" s="3662">
        <f>SUM('ЭЭ стоки'!AU21)</f>
        <v>1887.0387800000001</v>
      </c>
      <c r="ER9" s="3662">
        <f>SUM('ЭЭ стоки'!BF22)</f>
        <v>0</v>
      </c>
    </row>
    <row r="10" spans="1:148" ht="21" customHeight="1" x14ac:dyDescent="0.2">
      <c r="A10" s="3214" t="s">
        <v>2</v>
      </c>
      <c r="B10" s="3674">
        <v>207.4</v>
      </c>
      <c r="C10" s="3193">
        <v>234.2</v>
      </c>
      <c r="D10" s="1725">
        <f t="shared" si="0"/>
        <v>112.92189006750239</v>
      </c>
      <c r="E10" s="3193">
        <v>211</v>
      </c>
      <c r="F10" s="1725">
        <f t="shared" si="24"/>
        <v>90.093936806148605</v>
      </c>
      <c r="G10" s="3193">
        <v>222</v>
      </c>
      <c r="H10" s="1725">
        <f t="shared" si="2"/>
        <v>105.21327014218009</v>
      </c>
      <c r="I10" s="1597">
        <v>206.5</v>
      </c>
      <c r="J10" s="1597">
        <v>112.2</v>
      </c>
      <c r="K10" s="1597">
        <v>181.3</v>
      </c>
      <c r="L10" s="1597">
        <v>247.9</v>
      </c>
      <c r="M10" s="1600">
        <f t="shared" si="25"/>
        <v>111.66666666666667</v>
      </c>
      <c r="N10" s="1597">
        <v>216.83</v>
      </c>
      <c r="O10" s="1600">
        <f t="shared" si="26"/>
        <v>105.00242130750605</v>
      </c>
      <c r="P10" s="1597">
        <v>206.5</v>
      </c>
      <c r="Q10" s="1600">
        <f t="shared" si="27"/>
        <v>100</v>
      </c>
      <c r="R10" s="1600">
        <f t="shared" si="28"/>
        <v>83.299717628075825</v>
      </c>
      <c r="S10" s="1597">
        <v>206.5</v>
      </c>
      <c r="T10" s="1597"/>
      <c r="U10" s="1597">
        <v>192.7</v>
      </c>
      <c r="V10" s="1597"/>
      <c r="W10" s="1597">
        <v>267.89999999999998</v>
      </c>
      <c r="X10" s="1597"/>
      <c r="Y10" s="1597" t="e">
        <f>Аморт!G14</f>
        <v>#REF!</v>
      </c>
      <c r="Z10" s="1597" t="e">
        <f t="shared" ref="Z10:Z16" si="32">Y10</f>
        <v>#REF!</v>
      </c>
      <c r="AA10" s="1597">
        <v>0</v>
      </c>
      <c r="AB10" s="1597">
        <f>SUM(Аморт!L14)</f>
        <v>275.8</v>
      </c>
      <c r="AC10" s="1597">
        <f t="shared" ref="AC10" si="33">AB10</f>
        <v>275.8</v>
      </c>
      <c r="AD10" s="1597">
        <v>0</v>
      </c>
      <c r="AE10" s="1597">
        <v>273.60000000000002</v>
      </c>
      <c r="AF10" s="1597" t="e">
        <f t="shared" si="29"/>
        <v>#REF!</v>
      </c>
      <c r="AG10" s="1597">
        <v>273.60000000000002</v>
      </c>
      <c r="AH10" s="1597">
        <v>0</v>
      </c>
      <c r="AI10" s="1597">
        <f>Аморт!O14</f>
        <v>273.60000000000002</v>
      </c>
      <c r="AJ10" s="1597" t="e">
        <f t="shared" si="30"/>
        <v>#REF!</v>
      </c>
      <c r="AK10" s="1597">
        <f>AI10</f>
        <v>273.60000000000002</v>
      </c>
      <c r="AL10" s="1597"/>
      <c r="AM10" s="3682" t="e">
        <f>#REF!</f>
        <v>#REF!</v>
      </c>
      <c r="AN10" s="3682">
        <v>0</v>
      </c>
      <c r="AO10" s="3682" t="e">
        <f t="shared" si="31"/>
        <v>#REF!</v>
      </c>
      <c r="AP10" s="1597">
        <f>SUM(Аморт!Q14)</f>
        <v>189.68</v>
      </c>
      <c r="AQ10" s="1597">
        <f t="shared" ref="AQ10" si="34">AP10</f>
        <v>189.68</v>
      </c>
      <c r="AR10" s="1597">
        <v>0</v>
      </c>
      <c r="AS10" s="1597">
        <f>SUM(Аморт!R14)</f>
        <v>307.45999999999998</v>
      </c>
      <c r="AT10" s="1597">
        <f t="shared" ref="AT10" si="35">AS10</f>
        <v>307.45999999999998</v>
      </c>
      <c r="AU10" s="1597">
        <v>0</v>
      </c>
      <c r="AV10" s="1597">
        <f>SUM(Аморт!T14)</f>
        <v>273.60000000000002</v>
      </c>
      <c r="AW10" s="1600">
        <f>SUM(AV10/AI10)</f>
        <v>1</v>
      </c>
      <c r="AX10" s="1597">
        <f>SUM(AV10)</f>
        <v>273.60000000000002</v>
      </c>
      <c r="AY10" s="1597">
        <v>0</v>
      </c>
      <c r="AZ10" s="1597">
        <f>SUM(Аморт!U14)</f>
        <v>273.60000000000002</v>
      </c>
      <c r="BA10" s="1591">
        <f t="shared" ref="BA10:BA85" si="36">SUM(AZ10/AI10)</f>
        <v>1</v>
      </c>
      <c r="BB10" s="1597">
        <f>SUM(AZ10)</f>
        <v>273.60000000000002</v>
      </c>
      <c r="BC10" s="1597">
        <v>0</v>
      </c>
      <c r="BD10" s="1597">
        <f t="shared" ref="BD10:BD16" si="37">BE10+BF10</f>
        <v>498.59</v>
      </c>
      <c r="BE10" s="1597">
        <v>498.59</v>
      </c>
      <c r="BF10" s="1597">
        <v>0</v>
      </c>
      <c r="BG10" s="1597">
        <f t="shared" ref="BG10:BG14" si="38">BH10+BI10</f>
        <v>498.89</v>
      </c>
      <c r="BH10" s="1597">
        <v>498.89</v>
      </c>
      <c r="BI10" s="1597">
        <v>0</v>
      </c>
      <c r="BJ10" s="1597">
        <f t="shared" ref="BJ10:BJ14" si="39">BK10+BL10</f>
        <v>498.59</v>
      </c>
      <c r="BK10" s="1597">
        <v>498.59</v>
      </c>
      <c r="BL10" s="1597">
        <v>0</v>
      </c>
      <c r="BM10" s="1597">
        <f t="shared" ref="BM10:BM14" si="40">BN10+BO10</f>
        <v>341.3</v>
      </c>
      <c r="BN10" s="1597">
        <v>341.3</v>
      </c>
      <c r="BO10" s="1597">
        <v>0</v>
      </c>
      <c r="BP10" s="1597">
        <f t="shared" ref="BP10:BP14" si="41">BQ10+BR10</f>
        <v>498.89</v>
      </c>
      <c r="BQ10" s="1597">
        <v>498.89</v>
      </c>
      <c r="BR10" s="1597">
        <v>0</v>
      </c>
      <c r="BS10" s="1597">
        <f t="shared" ref="BS10:BS14" si="42">BT10+BU10</f>
        <v>498.89</v>
      </c>
      <c r="BT10" s="1597">
        <f>Аморт!AM14</f>
        <v>498.89</v>
      </c>
      <c r="BU10" s="1597">
        <v>0</v>
      </c>
      <c r="BV10" s="1597">
        <f t="shared" ref="BV10:BV11" si="43">BW10+BX10</f>
        <v>498.89</v>
      </c>
      <c r="BW10" s="1597">
        <f>SUM(Аморт!AS14)</f>
        <v>498.89</v>
      </c>
      <c r="BX10" s="1597">
        <v>0</v>
      </c>
      <c r="BY10" s="3675" t="str">
        <f>вода!CB10</f>
        <v>Приложение</v>
      </c>
      <c r="BZ10" s="3735"/>
      <c r="CA10" s="3735"/>
      <c r="CB10" s="3735"/>
      <c r="CC10" s="3735"/>
      <c r="CD10" s="3735"/>
      <c r="CE10" s="3735"/>
      <c r="CF10" s="3735"/>
      <c r="CG10" s="3735"/>
      <c r="CH10" s="3735"/>
      <c r="CI10" s="3735"/>
      <c r="CJ10" s="3735"/>
      <c r="CK10" s="1597">
        <f t="shared" ref="CK10:CK11" si="44">CL10+CM10</f>
        <v>498.89</v>
      </c>
      <c r="CL10" s="1597">
        <f>SUM(Аморт!AT14)</f>
        <v>498.89</v>
      </c>
      <c r="CM10" s="1597">
        <v>0</v>
      </c>
      <c r="CN10" s="1597">
        <f t="shared" ref="CN10:CN14" si="45">CO10+CP10</f>
        <v>175.79</v>
      </c>
      <c r="CO10" s="1597">
        <f>SUM(Аморт!AV14)</f>
        <v>175.79</v>
      </c>
      <c r="CP10" s="1597">
        <f>SUM(Аморт!AW14)</f>
        <v>0</v>
      </c>
      <c r="CQ10" s="1597">
        <f t="shared" ref="CQ10:CQ14" si="46">CR10+CS10</f>
        <v>261.02</v>
      </c>
      <c r="CR10" s="1597">
        <f>SUM(Аморт!AY14)</f>
        <v>261.02</v>
      </c>
      <c r="CS10" s="1597">
        <f>SUM(Аморт!AZ14)</f>
        <v>0</v>
      </c>
      <c r="CT10" s="1597">
        <f t="shared" ref="CT10:CT14" si="47">CU10+CV10</f>
        <v>350.43</v>
      </c>
      <c r="CU10" s="1597">
        <f>SUM(Аморт!BB14)</f>
        <v>350.43</v>
      </c>
      <c r="CV10" s="1597">
        <f>SUM(Аморт!BC14)</f>
        <v>0</v>
      </c>
      <c r="CW10" s="1597">
        <f t="shared" ref="CW10:CW14" si="48">CX10+CY10</f>
        <v>350.43</v>
      </c>
      <c r="CX10" s="1597">
        <f>SUM(Аморт!BD14)</f>
        <v>350.43</v>
      </c>
      <c r="CY10" s="1597">
        <f>SUM(Аморт!BF14)</f>
        <v>0</v>
      </c>
      <c r="CZ10" s="1597">
        <f t="shared" ref="CZ10:CZ14" si="49">DA10+DB10</f>
        <v>349.61328975374232</v>
      </c>
      <c r="DA10" s="1597">
        <f>SUM(Аморт!BE14)</f>
        <v>349.61328975374232</v>
      </c>
      <c r="DB10" s="1597">
        <v>0</v>
      </c>
      <c r="DC10" s="1597">
        <f t="shared" ref="DC10:DC14" si="50">DD10+DE10</f>
        <v>183.71</v>
      </c>
      <c r="DD10" s="1597">
        <f>SUM(Аморт!BJ14)</f>
        <v>183.71</v>
      </c>
      <c r="DE10" s="1597">
        <f>SUM(Аморт!BK14)</f>
        <v>0</v>
      </c>
      <c r="DF10" s="1597">
        <f t="shared" ref="DF10:DF14" si="51">DG10+DH10</f>
        <v>276.27</v>
      </c>
      <c r="DG10" s="1597">
        <f>SUM(Аморт!BM14)</f>
        <v>276.27</v>
      </c>
      <c r="DH10" s="1597">
        <f>SUM(Аморт!BN14)</f>
        <v>0</v>
      </c>
      <c r="DI10" s="1597">
        <f t="shared" ref="DI10:DI14" si="52">DJ10+DK10</f>
        <v>361.79</v>
      </c>
      <c r="DJ10" s="1597">
        <f>SUM(Аморт!BP14)</f>
        <v>361.79</v>
      </c>
      <c r="DK10" s="1597">
        <f>SUM(Аморт!BQ14)</f>
        <v>0</v>
      </c>
      <c r="DL10" s="1597">
        <f t="shared" ref="DL10:DL14" si="53">DM10+DN10</f>
        <v>361.79</v>
      </c>
      <c r="DM10" s="1597">
        <f>SUM(Аморт!BR14)</f>
        <v>361.79</v>
      </c>
      <c r="DN10" s="1597">
        <v>0</v>
      </c>
      <c r="DO10" s="1597">
        <f t="shared" ref="DO10:DO14" si="54">DP10+DQ10</f>
        <v>361.79</v>
      </c>
      <c r="DP10" s="1597">
        <f>SUM(Аморт!BS14)</f>
        <v>361.79</v>
      </c>
      <c r="DQ10" s="1597">
        <v>0</v>
      </c>
      <c r="DR10" s="1597">
        <f t="shared" ref="DR10:DR14" si="55">DS10+DT10</f>
        <v>171.01</v>
      </c>
      <c r="DS10" s="1597">
        <f>SUM(Аморт!BU14)</f>
        <v>171.01</v>
      </c>
      <c r="DT10" s="1597">
        <v>0</v>
      </c>
      <c r="DU10" s="1597">
        <f t="shared" ref="DU10:DU14" si="56">DV10+DW10</f>
        <v>256.51</v>
      </c>
      <c r="DV10" s="1597">
        <f>SUM(Аморт!BX14)</f>
        <v>256.51</v>
      </c>
      <c r="DW10" s="1597">
        <v>0</v>
      </c>
      <c r="DX10" s="1597">
        <f t="shared" ref="DX10:DX14" si="57">DY10+DZ10</f>
        <v>342.03100000000001</v>
      </c>
      <c r="DY10" s="1597">
        <f>SUM(Аморт!CA14)</f>
        <v>342.03100000000001</v>
      </c>
      <c r="DZ10" s="1597">
        <v>0</v>
      </c>
      <c r="EA10" s="2343">
        <f t="shared" ref="EA10:EA14" si="58">EB10+EC10</f>
        <v>361.79</v>
      </c>
      <c r="EB10" s="2343">
        <f>SUM(Аморт!CC14)</f>
        <v>361.79</v>
      </c>
      <c r="EC10" s="2343">
        <v>0</v>
      </c>
      <c r="ED10" s="3959">
        <f t="shared" ref="ED10:ED14" si="59">EE10+EF10</f>
        <v>0</v>
      </c>
      <c r="EE10" s="3959">
        <f>SUM(Аморт!CG14)</f>
        <v>0</v>
      </c>
      <c r="EF10" s="3959">
        <v>0</v>
      </c>
      <c r="EG10" s="2343">
        <f t="shared" ref="EG10:EG14" si="60">EH10+EI10</f>
        <v>361.79</v>
      </c>
      <c r="EH10" s="2343">
        <f>SUM(Аморт!CC14)</f>
        <v>361.79</v>
      </c>
      <c r="EI10" s="2343">
        <v>0</v>
      </c>
      <c r="EJ10" s="2343">
        <f t="shared" ref="EJ10:EJ14" si="61">EK10+EL10</f>
        <v>357.61082343804594</v>
      </c>
      <c r="EK10" s="2343">
        <f>SUM(Аморт!CD14)</f>
        <v>357.61082343804594</v>
      </c>
      <c r="EL10" s="2343">
        <v>0</v>
      </c>
      <c r="EM10" s="3662">
        <f t="shared" ref="EM10:EM14" si="62">EN10+EO10</f>
        <v>177.31200000000001</v>
      </c>
      <c r="EN10" s="3662">
        <f>SUM(Аморт!CE14)</f>
        <v>177.31200000000001</v>
      </c>
      <c r="EO10" s="3662">
        <v>0</v>
      </c>
      <c r="EP10" s="3662">
        <f t="shared" ref="EP10:EP14" si="63">EQ10+ER10</f>
        <v>354.62400000000002</v>
      </c>
      <c r="EQ10" s="3662">
        <f>SUM(Аморт!CF14)</f>
        <v>354.62400000000002</v>
      </c>
      <c r="ER10" s="3662">
        <v>0</v>
      </c>
    </row>
    <row r="11" spans="1:148" ht="21" customHeight="1" x14ac:dyDescent="0.2">
      <c r="A11" s="3214" t="s">
        <v>4280</v>
      </c>
      <c r="B11" s="3674"/>
      <c r="C11" s="3193"/>
      <c r="D11" s="1725"/>
      <c r="E11" s="3193"/>
      <c r="F11" s="1725"/>
      <c r="G11" s="3193"/>
      <c r="H11" s="1725"/>
      <c r="I11" s="1597"/>
      <c r="J11" s="1597"/>
      <c r="K11" s="1597">
        <v>31.8</v>
      </c>
      <c r="L11" s="1597">
        <v>31.8</v>
      </c>
      <c r="M11" s="1600"/>
      <c r="N11" s="1597"/>
      <c r="O11" s="1600"/>
      <c r="P11" s="1597"/>
      <c r="Q11" s="1600"/>
      <c r="R11" s="1600"/>
      <c r="S11" s="1597"/>
      <c r="T11" s="1597"/>
      <c r="U11" s="1597"/>
      <c r="V11" s="1597"/>
      <c r="W11" s="1597">
        <v>0</v>
      </c>
      <c r="X11" s="1597"/>
      <c r="Y11" s="1597">
        <v>0</v>
      </c>
      <c r="Z11" s="1597">
        <f t="shared" si="32"/>
        <v>0</v>
      </c>
      <c r="AA11" s="1597">
        <v>0</v>
      </c>
      <c r="AB11" s="1597">
        <v>0</v>
      </c>
      <c r="AC11" s="1597">
        <v>0</v>
      </c>
      <c r="AD11" s="1597">
        <v>0</v>
      </c>
      <c r="AE11" s="1597">
        <v>0</v>
      </c>
      <c r="AF11" s="1597"/>
      <c r="AG11" s="1597">
        <v>0</v>
      </c>
      <c r="AH11" s="1597">
        <v>0</v>
      </c>
      <c r="AI11" s="1597">
        <f>Y11</f>
        <v>0</v>
      </c>
      <c r="AJ11" s="1597"/>
      <c r="AK11" s="1597">
        <f>Z11</f>
        <v>0</v>
      </c>
      <c r="AL11" s="1597">
        <f>AA11</f>
        <v>0</v>
      </c>
      <c r="AM11" s="3682" t="e">
        <f>#REF!</f>
        <v>#REF!</v>
      </c>
      <c r="AN11" s="3682">
        <v>0</v>
      </c>
      <c r="AO11" s="3682" t="e">
        <f t="shared" si="31"/>
        <v>#REF!</v>
      </c>
      <c r="AP11" s="1597">
        <v>0</v>
      </c>
      <c r="AQ11" s="1597">
        <v>0</v>
      </c>
      <c r="AR11" s="1597">
        <v>0</v>
      </c>
      <c r="AS11" s="1597">
        <v>0</v>
      </c>
      <c r="AT11" s="1597">
        <v>0</v>
      </c>
      <c r="AU11" s="1597">
        <v>0</v>
      </c>
      <c r="AV11" s="1597">
        <v>0</v>
      </c>
      <c r="AW11" s="1600">
        <v>0</v>
      </c>
      <c r="AX11" s="1597">
        <v>0</v>
      </c>
      <c r="AY11" s="1597">
        <v>0</v>
      </c>
      <c r="AZ11" s="1597">
        <v>0</v>
      </c>
      <c r="BA11" s="1591">
        <v>0</v>
      </c>
      <c r="BB11" s="1597">
        <v>0</v>
      </c>
      <c r="BC11" s="1597">
        <v>0</v>
      </c>
      <c r="BD11" s="1597">
        <f t="shared" si="37"/>
        <v>0</v>
      </c>
      <c r="BE11" s="1597">
        <v>0</v>
      </c>
      <c r="BF11" s="1597">
        <v>0</v>
      </c>
      <c r="BG11" s="1597">
        <f t="shared" si="38"/>
        <v>0</v>
      </c>
      <c r="BH11" s="1597">
        <v>0</v>
      </c>
      <c r="BI11" s="1597">
        <v>0</v>
      </c>
      <c r="BJ11" s="1597">
        <f t="shared" si="39"/>
        <v>0</v>
      </c>
      <c r="BK11" s="1597">
        <v>0</v>
      </c>
      <c r="BL11" s="1597">
        <v>0</v>
      </c>
      <c r="BM11" s="1597">
        <f t="shared" si="40"/>
        <v>0</v>
      </c>
      <c r="BN11" s="1597">
        <v>0</v>
      </c>
      <c r="BO11" s="1597">
        <v>0</v>
      </c>
      <c r="BP11" s="1597">
        <f t="shared" si="41"/>
        <v>0</v>
      </c>
      <c r="BQ11" s="1597">
        <v>0</v>
      </c>
      <c r="BR11" s="1597">
        <v>0</v>
      </c>
      <c r="BS11" s="1597">
        <f t="shared" si="42"/>
        <v>0</v>
      </c>
      <c r="BT11" s="1597">
        <v>0</v>
      </c>
      <c r="BU11" s="1597">
        <v>0</v>
      </c>
      <c r="BV11" s="1597">
        <f t="shared" si="43"/>
        <v>0</v>
      </c>
      <c r="BW11" s="1597">
        <v>0</v>
      </c>
      <c r="BX11" s="1597">
        <v>0</v>
      </c>
      <c r="BY11" s="1726"/>
      <c r="BZ11" s="3735"/>
      <c r="CA11" s="3735"/>
      <c r="CB11" s="3735"/>
      <c r="CC11" s="3735"/>
      <c r="CD11" s="3735"/>
      <c r="CE11" s="3735"/>
      <c r="CF11" s="3735"/>
      <c r="CG11" s="3735"/>
      <c r="CH11" s="3735"/>
      <c r="CI11" s="3735"/>
      <c r="CJ11" s="3735"/>
      <c r="CK11" s="1597">
        <f t="shared" si="44"/>
        <v>0</v>
      </c>
      <c r="CL11" s="1597">
        <v>0</v>
      </c>
      <c r="CM11" s="1597">
        <v>0</v>
      </c>
      <c r="CN11" s="1597">
        <f t="shared" si="45"/>
        <v>0</v>
      </c>
      <c r="CO11" s="1597">
        <v>0</v>
      </c>
      <c r="CP11" s="1597">
        <v>0</v>
      </c>
      <c r="CQ11" s="1597">
        <f t="shared" si="46"/>
        <v>0</v>
      </c>
      <c r="CR11" s="1597">
        <v>0</v>
      </c>
      <c r="CS11" s="1597">
        <v>0</v>
      </c>
      <c r="CT11" s="1597">
        <f t="shared" si="47"/>
        <v>0</v>
      </c>
      <c r="CU11" s="1597">
        <v>0</v>
      </c>
      <c r="CV11" s="1597">
        <v>0</v>
      </c>
      <c r="CW11" s="1597">
        <f t="shared" si="48"/>
        <v>0</v>
      </c>
      <c r="CX11" s="1597">
        <v>0</v>
      </c>
      <c r="CY11" s="1597">
        <v>0</v>
      </c>
      <c r="CZ11" s="1597">
        <f t="shared" si="49"/>
        <v>0</v>
      </c>
      <c r="DA11" s="1597">
        <v>0</v>
      </c>
      <c r="DB11" s="1597">
        <v>0</v>
      </c>
      <c r="DC11" s="1597">
        <f t="shared" si="50"/>
        <v>0</v>
      </c>
      <c r="DD11" s="1597">
        <v>0</v>
      </c>
      <c r="DE11" s="1597">
        <v>0</v>
      </c>
      <c r="DF11" s="1597">
        <f t="shared" si="51"/>
        <v>0</v>
      </c>
      <c r="DG11" s="1597">
        <v>0</v>
      </c>
      <c r="DH11" s="1597">
        <v>0</v>
      </c>
      <c r="DI11" s="1597">
        <f t="shared" si="52"/>
        <v>0</v>
      </c>
      <c r="DJ11" s="1597">
        <v>0</v>
      </c>
      <c r="DK11" s="1597">
        <v>0</v>
      </c>
      <c r="DL11" s="1597">
        <f t="shared" si="53"/>
        <v>0</v>
      </c>
      <c r="DM11" s="1597">
        <v>0</v>
      </c>
      <c r="DN11" s="1597">
        <v>0</v>
      </c>
      <c r="DO11" s="1597">
        <f t="shared" si="54"/>
        <v>0</v>
      </c>
      <c r="DP11" s="1597">
        <v>0</v>
      </c>
      <c r="DQ11" s="1597">
        <v>0</v>
      </c>
      <c r="DR11" s="1597">
        <f t="shared" si="55"/>
        <v>12.515000000000001</v>
      </c>
      <c r="DS11" s="1597">
        <v>12.515000000000001</v>
      </c>
      <c r="DT11" s="1597">
        <v>0</v>
      </c>
      <c r="DU11" s="1597">
        <f t="shared" si="56"/>
        <v>31.31</v>
      </c>
      <c r="DV11" s="1597">
        <v>31.31</v>
      </c>
      <c r="DW11" s="1597">
        <v>0</v>
      </c>
      <c r="DX11" s="1597">
        <f t="shared" si="57"/>
        <v>54.28</v>
      </c>
      <c r="DY11" s="1597">
        <v>54.28</v>
      </c>
      <c r="DZ11" s="1597">
        <v>0</v>
      </c>
      <c r="EA11" s="2343">
        <f t="shared" si="58"/>
        <v>0</v>
      </c>
      <c r="EB11" s="2343">
        <v>0</v>
      </c>
      <c r="EC11" s="2343">
        <v>0</v>
      </c>
      <c r="ED11" s="3959">
        <f t="shared" si="59"/>
        <v>0</v>
      </c>
      <c r="EE11" s="3959">
        <v>0</v>
      </c>
      <c r="EF11" s="3959">
        <v>0</v>
      </c>
      <c r="EG11" s="2343">
        <f t="shared" si="60"/>
        <v>0</v>
      </c>
      <c r="EH11" s="2343">
        <v>0</v>
      </c>
      <c r="EI11" s="2343">
        <v>0</v>
      </c>
      <c r="EJ11" s="2343">
        <f t="shared" si="61"/>
        <v>0</v>
      </c>
      <c r="EK11" s="2343">
        <v>0</v>
      </c>
      <c r="EL11" s="2343">
        <v>0</v>
      </c>
      <c r="EM11" s="3662">
        <f t="shared" si="62"/>
        <v>45.923999999999999</v>
      </c>
      <c r="EN11" s="3662">
        <v>45.923999999999999</v>
      </c>
      <c r="EO11" s="3662">
        <v>0</v>
      </c>
      <c r="EP11" s="3662">
        <f t="shared" si="63"/>
        <v>91.847999999999999</v>
      </c>
      <c r="EQ11" s="3662">
        <v>91.847999999999999</v>
      </c>
      <c r="ER11" s="3662">
        <v>0</v>
      </c>
    </row>
    <row r="12" spans="1:148" s="2730" customFormat="1" ht="21" customHeight="1" x14ac:dyDescent="0.2">
      <c r="A12" s="3214" t="s">
        <v>3</v>
      </c>
      <c r="B12" s="3674">
        <v>201.5</v>
      </c>
      <c r="C12" s="3193">
        <v>136.69999999999999</v>
      </c>
      <c r="D12" s="1725">
        <f t="shared" si="0"/>
        <v>67.84119106699751</v>
      </c>
      <c r="E12" s="3193">
        <v>189</v>
      </c>
      <c r="F12" s="1725">
        <f t="shared" si="24"/>
        <v>138.25896122896856</v>
      </c>
      <c r="G12" s="3193">
        <v>244.1</v>
      </c>
      <c r="H12" s="1725">
        <f t="shared" si="2"/>
        <v>129.15343915343917</v>
      </c>
      <c r="I12" s="1597">
        <v>430</v>
      </c>
      <c r="J12" s="1597">
        <v>33.4</v>
      </c>
      <c r="K12" s="1597">
        <v>329.8</v>
      </c>
      <c r="L12" s="1597">
        <v>427</v>
      </c>
      <c r="M12" s="1600">
        <f t="shared" si="25"/>
        <v>174.92830807046295</v>
      </c>
      <c r="N12" s="1597">
        <v>473</v>
      </c>
      <c r="O12" s="1600">
        <f t="shared" si="26"/>
        <v>110.00000000000001</v>
      </c>
      <c r="P12" s="1597">
        <v>451</v>
      </c>
      <c r="Q12" s="1600">
        <f t="shared" si="27"/>
        <v>104.88372093023256</v>
      </c>
      <c r="R12" s="1600">
        <f t="shared" si="28"/>
        <v>105.62060889929742</v>
      </c>
      <c r="S12" s="1597">
        <v>451.07</v>
      </c>
      <c r="T12" s="1597"/>
      <c r="U12" s="1597">
        <v>242.4</v>
      </c>
      <c r="V12" s="1597"/>
      <c r="W12" s="1597">
        <v>484</v>
      </c>
      <c r="X12" s="1597"/>
      <c r="Y12" s="1597">
        <f>U12/3*4*1.048</f>
        <v>338.71359999999999</v>
      </c>
      <c r="Z12" s="1597">
        <f t="shared" si="32"/>
        <v>338.71359999999999</v>
      </c>
      <c r="AA12" s="1597">
        <v>0</v>
      </c>
      <c r="AB12" s="1597">
        <f>SUM(AC12:AD12)</f>
        <v>152.4</v>
      </c>
      <c r="AC12" s="1597">
        <v>152.4</v>
      </c>
      <c r="AD12" s="1597">
        <v>0</v>
      </c>
      <c r="AE12" s="1597">
        <v>320</v>
      </c>
      <c r="AF12" s="1597">
        <f t="shared" si="29"/>
        <v>0.94475096364598299</v>
      </c>
      <c r="AG12" s="1597">
        <v>320</v>
      </c>
      <c r="AH12" s="1597">
        <v>0</v>
      </c>
      <c r="AI12" s="1597">
        <v>0</v>
      </c>
      <c r="AJ12" s="1597"/>
      <c r="AK12" s="1597">
        <f>AI12</f>
        <v>0</v>
      </c>
      <c r="AL12" s="1597">
        <f>AA12*1.046</f>
        <v>0</v>
      </c>
      <c r="AM12" s="3682" t="e">
        <f>#REF!</f>
        <v>#REF!</v>
      </c>
      <c r="AN12" s="3682">
        <v>0</v>
      </c>
      <c r="AO12" s="3682" t="e">
        <f t="shared" si="31"/>
        <v>#REF!</v>
      </c>
      <c r="AP12" s="1597">
        <f>SUM(AQ12:AR12)</f>
        <v>0</v>
      </c>
      <c r="AQ12" s="1597">
        <v>0</v>
      </c>
      <c r="AR12" s="1597">
        <v>0</v>
      </c>
      <c r="AS12" s="1597">
        <f>SUM(AT12:AU12)</f>
        <v>0</v>
      </c>
      <c r="AT12" s="1597">
        <v>0</v>
      </c>
      <c r="AU12" s="1597">
        <v>0</v>
      </c>
      <c r="AV12" s="1597">
        <f>SUM(AX12:AY12)</f>
        <v>152.4</v>
      </c>
      <c r="AW12" s="1600"/>
      <c r="AX12" s="1597">
        <f>SUM(AC12)</f>
        <v>152.4</v>
      </c>
      <c r="AY12" s="1597">
        <v>0</v>
      </c>
      <c r="AZ12" s="1597">
        <f>SUM(BB12:BC12)</f>
        <v>0</v>
      </c>
      <c r="BA12" s="1591">
        <v>0</v>
      </c>
      <c r="BB12" s="1597">
        <v>0</v>
      </c>
      <c r="BC12" s="1597">
        <v>0</v>
      </c>
      <c r="BD12" s="1597">
        <f t="shared" si="37"/>
        <v>441.31</v>
      </c>
      <c r="BE12" s="1597">
        <v>441.31</v>
      </c>
      <c r="BF12" s="1597">
        <v>0</v>
      </c>
      <c r="BG12" s="1597">
        <f t="shared" si="38"/>
        <v>304.98</v>
      </c>
      <c r="BH12" s="1597">
        <v>304.98</v>
      </c>
      <c r="BI12" s="1597">
        <v>0</v>
      </c>
      <c r="BJ12" s="1597">
        <f t="shared" si="39"/>
        <v>0</v>
      </c>
      <c r="BK12" s="1597">
        <v>0</v>
      </c>
      <c r="BL12" s="1597">
        <v>0</v>
      </c>
      <c r="BM12" s="1597">
        <f t="shared" si="40"/>
        <v>590.36</v>
      </c>
      <c r="BN12" s="1597">
        <v>590.36</v>
      </c>
      <c r="BO12" s="1597">
        <v>0</v>
      </c>
      <c r="BP12" s="1597">
        <f t="shared" si="41"/>
        <v>422.65</v>
      </c>
      <c r="BQ12" s="1597">
        <v>422.65</v>
      </c>
      <c r="BR12" s="1597">
        <v>0</v>
      </c>
      <c r="BS12" s="1597">
        <v>0</v>
      </c>
      <c r="BT12" s="1597">
        <f>BS12</f>
        <v>0</v>
      </c>
      <c r="BU12" s="1597">
        <v>0</v>
      </c>
      <c r="BV12" s="1597">
        <f>SUM('рем программа'!I33:J33)</f>
        <v>435.33</v>
      </c>
      <c r="BW12" s="1597">
        <f>BV12</f>
        <v>435.33</v>
      </c>
      <c r="BX12" s="1597">
        <v>0</v>
      </c>
      <c r="BY12" s="3675" t="str">
        <f>вода!CB12</f>
        <v>Выполнять за счет амортизации</v>
      </c>
      <c r="BZ12" s="3735"/>
      <c r="CA12" s="3735"/>
      <c r="CB12" s="3735"/>
      <c r="CC12" s="3735"/>
      <c r="CD12" s="3735"/>
      <c r="CE12" s="3735"/>
      <c r="CF12" s="3735"/>
      <c r="CG12" s="3735"/>
      <c r="CH12" s="3735"/>
      <c r="CI12" s="3735"/>
      <c r="CJ12" s="3735"/>
      <c r="CK12" s="1597">
        <f>SUM('рем программа'!K33)</f>
        <v>0</v>
      </c>
      <c r="CL12" s="1597">
        <v>0</v>
      </c>
      <c r="CM12" s="1597">
        <v>0</v>
      </c>
      <c r="CN12" s="1597">
        <f t="shared" si="45"/>
        <v>583.70000000000005</v>
      </c>
      <c r="CO12" s="1597">
        <f>SUM('рем программа'!L33)</f>
        <v>583.70000000000005</v>
      </c>
      <c r="CP12" s="1597">
        <v>0</v>
      </c>
      <c r="CQ12" s="1597">
        <f t="shared" si="46"/>
        <v>1195.48</v>
      </c>
      <c r="CR12" s="1597">
        <f>SUM('рем программа'!M33)</f>
        <v>1195.48</v>
      </c>
      <c r="CS12" s="1597">
        <v>0</v>
      </c>
      <c r="CT12" s="1597">
        <f t="shared" si="47"/>
        <v>1249.92</v>
      </c>
      <c r="CU12" s="1597">
        <f>SUM('рем программа'!N33)</f>
        <v>1249.92</v>
      </c>
      <c r="CV12" s="1597">
        <v>0</v>
      </c>
      <c r="CW12" s="1597">
        <f t="shared" si="48"/>
        <v>464.32578059999997</v>
      </c>
      <c r="CX12" s="1597">
        <f>SUM('рем программа'!O33)</f>
        <v>464.32578059999997</v>
      </c>
      <c r="CY12" s="1597">
        <v>0</v>
      </c>
      <c r="CZ12" s="1597">
        <f t="shared" si="49"/>
        <v>0</v>
      </c>
      <c r="DA12" s="1597">
        <f>SUM('рем программа'!P33)</f>
        <v>0</v>
      </c>
      <c r="DB12" s="1597">
        <v>0</v>
      </c>
      <c r="DC12" s="1597">
        <f t="shared" si="50"/>
        <v>217.41</v>
      </c>
      <c r="DD12" s="1597">
        <f>SUM('рем программа'!Q33)</f>
        <v>217.41</v>
      </c>
      <c r="DE12" s="1597">
        <v>0</v>
      </c>
      <c r="DF12" s="1597">
        <f t="shared" si="51"/>
        <v>286.07</v>
      </c>
      <c r="DG12" s="1597">
        <f>SUM('рем программа'!R33)</f>
        <v>286.07</v>
      </c>
      <c r="DH12" s="1597">
        <v>0</v>
      </c>
      <c r="DI12" s="1597">
        <f t="shared" si="52"/>
        <v>362.77</v>
      </c>
      <c r="DJ12" s="1597">
        <f>SUM('рем программа'!S33)</f>
        <v>362.77</v>
      </c>
      <c r="DK12" s="1597">
        <v>0</v>
      </c>
      <c r="DL12" s="1597">
        <f t="shared" si="53"/>
        <v>480.08268000000004</v>
      </c>
      <c r="DM12" s="1597">
        <f>SUM('рем программа'!T33)</f>
        <v>480.08268000000004</v>
      </c>
      <c r="DN12" s="1597">
        <v>0</v>
      </c>
      <c r="DO12" s="1597">
        <f t="shared" si="54"/>
        <v>0</v>
      </c>
      <c r="DP12" s="1597">
        <f>SUM('рем программа'!U33)</f>
        <v>0</v>
      </c>
      <c r="DQ12" s="1597">
        <v>0</v>
      </c>
      <c r="DR12" s="1597">
        <f t="shared" si="55"/>
        <v>227.72</v>
      </c>
      <c r="DS12" s="1597">
        <f>SUM('рем программа'!V33)</f>
        <v>227.72</v>
      </c>
      <c r="DT12" s="1597">
        <v>0</v>
      </c>
      <c r="DU12" s="1597">
        <f t="shared" si="56"/>
        <v>389.36</v>
      </c>
      <c r="DV12" s="1597">
        <f>SUM('рем программа'!W33)</f>
        <v>389.36</v>
      </c>
      <c r="DW12" s="1597">
        <v>0</v>
      </c>
      <c r="DX12" s="1597">
        <f t="shared" si="57"/>
        <v>540.39200000000005</v>
      </c>
      <c r="DY12" s="1597">
        <f>SUM('рем программа'!X33)</f>
        <v>540.39200000000005</v>
      </c>
      <c r="DZ12" s="1597">
        <v>0</v>
      </c>
      <c r="EA12" s="2343">
        <f t="shared" si="58"/>
        <v>494.49015000000003</v>
      </c>
      <c r="EB12" s="2343">
        <f>SUM('рем программа'!Y33)</f>
        <v>494.49015000000003</v>
      </c>
      <c r="EC12" s="2343">
        <v>0</v>
      </c>
      <c r="ED12" s="3959">
        <f t="shared" si="59"/>
        <v>0</v>
      </c>
      <c r="EE12" s="3959">
        <f>SUM('рем программа'!AJ33)</f>
        <v>0</v>
      </c>
      <c r="EF12" s="3959">
        <v>0</v>
      </c>
      <c r="EG12" s="2343">
        <f t="shared" si="60"/>
        <v>494.49015000000003</v>
      </c>
      <c r="EH12" s="2343">
        <f>SUM('рем программа'!Y33)</f>
        <v>494.49015000000003</v>
      </c>
      <c r="EI12" s="2343">
        <v>0</v>
      </c>
      <c r="EJ12" s="2343">
        <f t="shared" si="61"/>
        <v>0</v>
      </c>
      <c r="EK12" s="2343">
        <f>SUM('рем программа'!Z33)</f>
        <v>0</v>
      </c>
      <c r="EL12" s="2343">
        <v>0</v>
      </c>
      <c r="EM12" s="3662">
        <f t="shared" si="62"/>
        <v>545.57000000000005</v>
      </c>
      <c r="EN12" s="3662">
        <f>SUM('рем программа'!AA33)</f>
        <v>545.57000000000005</v>
      </c>
      <c r="EO12" s="3662">
        <v>0</v>
      </c>
      <c r="EP12" s="3662">
        <f t="shared" si="63"/>
        <v>1062.3230000000001</v>
      </c>
      <c r="EQ12" s="3662">
        <f>SUM('рем программа'!AB33)</f>
        <v>1062.3230000000001</v>
      </c>
      <c r="ER12" s="3662">
        <v>0</v>
      </c>
    </row>
    <row r="13" spans="1:148" ht="21" customHeight="1" x14ac:dyDescent="0.2">
      <c r="A13" s="3214" t="s">
        <v>4</v>
      </c>
      <c r="B13" s="3674">
        <v>4232.3999999999996</v>
      </c>
      <c r="C13" s="3193">
        <v>5099.2</v>
      </c>
      <c r="D13" s="1725">
        <f t="shared" si="0"/>
        <v>120.48010585010869</v>
      </c>
      <c r="E13" s="3193">
        <v>5650.1</v>
      </c>
      <c r="F13" s="1725">
        <f t="shared" si="24"/>
        <v>110.8036554753687</v>
      </c>
      <c r="G13" s="3193">
        <v>6020.2</v>
      </c>
      <c r="H13" s="1725">
        <f t="shared" si="2"/>
        <v>106.55032654289303</v>
      </c>
      <c r="I13" s="1597">
        <v>6748.7</v>
      </c>
      <c r="J13" s="1597">
        <v>3090.2</v>
      </c>
      <c r="K13" s="1597">
        <v>4364.5</v>
      </c>
      <c r="L13" s="1597">
        <v>6047.4</v>
      </c>
      <c r="M13" s="1600">
        <f t="shared" si="25"/>
        <v>100.45181223215177</v>
      </c>
      <c r="N13" s="1597">
        <v>8605.1</v>
      </c>
      <c r="O13" s="1600">
        <f t="shared" si="26"/>
        <v>127.50751996680843</v>
      </c>
      <c r="P13" s="1597">
        <f>ЗП!AP15</f>
        <v>7227.8576999999987</v>
      </c>
      <c r="Q13" s="1600">
        <f t="shared" si="27"/>
        <v>107.09999999999997</v>
      </c>
      <c r="R13" s="1600">
        <f t="shared" si="28"/>
        <v>119.52008631808711</v>
      </c>
      <c r="S13" s="1597">
        <v>7227.9</v>
      </c>
      <c r="T13" s="1597"/>
      <c r="U13" s="1597">
        <v>5255.2</v>
      </c>
      <c r="V13" s="1597"/>
      <c r="W13" s="1597">
        <v>9055.6</v>
      </c>
      <c r="X13" s="1597"/>
      <c r="Y13" s="1597">
        <f>ЗП!U32</f>
        <v>6614.9353670399987</v>
      </c>
      <c r="Z13" s="1597">
        <f t="shared" si="32"/>
        <v>6614.9353670399987</v>
      </c>
      <c r="AA13" s="1597">
        <v>0</v>
      </c>
      <c r="AB13" s="1597">
        <v>6921.7</v>
      </c>
      <c r="AC13" s="1597">
        <f>SUM(AB13)</f>
        <v>6921.7</v>
      </c>
      <c r="AD13" s="1597">
        <v>0</v>
      </c>
      <c r="AE13" s="1597">
        <v>9055.6</v>
      </c>
      <c r="AF13" s="1597">
        <f t="shared" si="29"/>
        <v>1.3689627331993315</v>
      </c>
      <c r="AG13" s="1597">
        <v>9055.6</v>
      </c>
      <c r="AH13" s="1597">
        <v>0</v>
      </c>
      <c r="AI13" s="1597">
        <f>ЗП!BB32</f>
        <v>7848.1866666666683</v>
      </c>
      <c r="AJ13" s="1597">
        <f t="shared" si="30"/>
        <v>1.1864343687727543</v>
      </c>
      <c r="AK13" s="1597">
        <f>AI13</f>
        <v>7848.1866666666683</v>
      </c>
      <c r="AL13" s="1597">
        <f>AA13*1.05</f>
        <v>0</v>
      </c>
      <c r="AM13" s="3682" t="e">
        <f>#REF!</f>
        <v>#REF!</v>
      </c>
      <c r="AN13" s="3682">
        <v>0</v>
      </c>
      <c r="AO13" s="3682" t="e">
        <f t="shared" si="31"/>
        <v>#REF!</v>
      </c>
      <c r="AP13" s="1597">
        <f>SUM(ЗП!BG32)</f>
        <v>3420.4</v>
      </c>
      <c r="AQ13" s="1597">
        <f>SUM(AP13)</f>
        <v>3420.4</v>
      </c>
      <c r="AR13" s="1597">
        <v>0</v>
      </c>
      <c r="AS13" s="1597">
        <f>SUM(ЗП!BK32)</f>
        <v>5249.4</v>
      </c>
      <c r="AT13" s="1597">
        <f>SUM(AS13)</f>
        <v>5249.4</v>
      </c>
      <c r="AU13" s="1597">
        <v>0</v>
      </c>
      <c r="AV13" s="1597">
        <v>8965.0400000000009</v>
      </c>
      <c r="AW13" s="1600">
        <f t="shared" ref="AW13:AW85" si="64">SUM(AV13/AI13)</f>
        <v>1.1423071826358189</v>
      </c>
      <c r="AX13" s="1597">
        <f>SUM(AV13)</f>
        <v>8965.0400000000009</v>
      </c>
      <c r="AY13" s="1597">
        <v>0</v>
      </c>
      <c r="AZ13" s="1597">
        <f>SUM(ЗП!BS32)</f>
        <v>7857.3839999999982</v>
      </c>
      <c r="BA13" s="1591">
        <f t="shared" si="36"/>
        <v>1.0011719055272212</v>
      </c>
      <c r="BB13" s="1597">
        <f>SUM(AZ13)</f>
        <v>7857.3839999999982</v>
      </c>
      <c r="BC13" s="1597">
        <v>0</v>
      </c>
      <c r="BD13" s="1597">
        <f t="shared" si="37"/>
        <v>7796.33</v>
      </c>
      <c r="BE13" s="1597">
        <v>7796.33</v>
      </c>
      <c r="BF13" s="1597">
        <v>0</v>
      </c>
      <c r="BG13" s="1597">
        <f t="shared" si="38"/>
        <v>8127.57</v>
      </c>
      <c r="BH13" s="1597">
        <v>8127.57</v>
      </c>
      <c r="BI13" s="1597">
        <v>0</v>
      </c>
      <c r="BJ13" s="1597">
        <f t="shared" si="39"/>
        <v>8769.7999999999993</v>
      </c>
      <c r="BK13" s="1597">
        <v>8769.7999999999993</v>
      </c>
      <c r="BL13" s="1597">
        <v>0</v>
      </c>
      <c r="BM13" s="1597">
        <f t="shared" si="40"/>
        <v>8582.7800000000007</v>
      </c>
      <c r="BN13" s="1597">
        <v>8582.7800000000007</v>
      </c>
      <c r="BO13" s="1597">
        <v>0</v>
      </c>
      <c r="BP13" s="1597">
        <f t="shared" si="41"/>
        <v>11074.97</v>
      </c>
      <c r="BQ13" s="1597">
        <v>11074.97</v>
      </c>
      <c r="BR13" s="1597">
        <v>0</v>
      </c>
      <c r="BS13" s="1597">
        <f>ЗП!CR32</f>
        <v>9987.8106239999979</v>
      </c>
      <c r="BT13" s="1597">
        <f>BS13</f>
        <v>9987.8106239999979</v>
      </c>
      <c r="BU13" s="1597">
        <v>0</v>
      </c>
      <c r="BV13" s="1597">
        <f>SUM(ЗП!CU32)</f>
        <v>10447.249912703999</v>
      </c>
      <c r="BW13" s="1597">
        <f>BV13</f>
        <v>10447.249912703999</v>
      </c>
      <c r="BX13" s="1597">
        <v>0</v>
      </c>
      <c r="BY13" s="3675" t="str">
        <f>вода!CB13</f>
        <v>Приложение</v>
      </c>
      <c r="BZ13" s="3735"/>
      <c r="CA13" s="3735"/>
      <c r="CB13" s="3735"/>
      <c r="CC13" s="3735"/>
      <c r="CD13" s="3735"/>
      <c r="CE13" s="3735"/>
      <c r="CF13" s="3735"/>
      <c r="CG13" s="3735"/>
      <c r="CH13" s="3735"/>
      <c r="CI13" s="3735"/>
      <c r="CJ13" s="3735"/>
      <c r="CK13" s="1597">
        <f>SUM(ЗП!CX32)</f>
        <v>10184.570493292798</v>
      </c>
      <c r="CL13" s="1597">
        <f>CK13</f>
        <v>10184.570493292798</v>
      </c>
      <c r="CM13" s="1597">
        <v>0</v>
      </c>
      <c r="CN13" s="1597">
        <f t="shared" si="45"/>
        <v>4848.62</v>
      </c>
      <c r="CO13" s="1597">
        <f>SUM(ЗП!DA32)</f>
        <v>4848.62</v>
      </c>
      <c r="CP13" s="1597">
        <v>0</v>
      </c>
      <c r="CQ13" s="1597">
        <f t="shared" si="46"/>
        <v>7310.49</v>
      </c>
      <c r="CR13" s="1597">
        <f>SUM(ЗП!DD32)</f>
        <v>7310.49</v>
      </c>
      <c r="CS13" s="1597">
        <v>0</v>
      </c>
      <c r="CT13" s="1597">
        <f t="shared" si="47"/>
        <v>9375.09</v>
      </c>
      <c r="CU13" s="1597">
        <f>SUM(ЗП!DG32)</f>
        <v>9375.09</v>
      </c>
      <c r="CV13" s="1597">
        <v>0</v>
      </c>
      <c r="CW13" s="1597">
        <f t="shared" si="48"/>
        <v>12299.829315840003</v>
      </c>
      <c r="CX13" s="1597">
        <f>SUM(ЗП!DJ32)</f>
        <v>12299.829315840003</v>
      </c>
      <c r="CY13" s="1597">
        <v>0</v>
      </c>
      <c r="CZ13" s="1597">
        <f t="shared" si="49"/>
        <v>10465.985798955859</v>
      </c>
      <c r="DA13" s="1597">
        <f>SUM(ЗП!DM32)</f>
        <v>10465.985798955859</v>
      </c>
      <c r="DB13" s="1597">
        <v>0</v>
      </c>
      <c r="DC13" s="1597">
        <f t="shared" si="50"/>
        <v>4472.91</v>
      </c>
      <c r="DD13" s="1597">
        <f>SUM(ЗП!DR32)</f>
        <v>4472.91</v>
      </c>
      <c r="DE13" s="1597">
        <v>0</v>
      </c>
      <c r="DF13" s="1597">
        <f t="shared" si="51"/>
        <v>6724.009</v>
      </c>
      <c r="DG13" s="1597">
        <f>SUM(ЗП!DU32)</f>
        <v>6724.009</v>
      </c>
      <c r="DH13" s="1597">
        <v>0</v>
      </c>
      <c r="DI13" s="1597">
        <f t="shared" si="52"/>
        <v>8734.73</v>
      </c>
      <c r="DJ13" s="1597">
        <f>SUM(ЗП!DX32)</f>
        <v>8734.73</v>
      </c>
      <c r="DK13" s="1597">
        <v>0</v>
      </c>
      <c r="DL13" s="1597">
        <f t="shared" si="53"/>
        <v>13020.700492800001</v>
      </c>
      <c r="DM13" s="1597">
        <f>SUM(ЗП!EA32)</f>
        <v>13020.700492800001</v>
      </c>
      <c r="DN13" s="1597">
        <v>0</v>
      </c>
      <c r="DO13" s="1597">
        <f t="shared" si="54"/>
        <v>11078.643705257229</v>
      </c>
      <c r="DP13" s="1597">
        <f>SUM(ЗП!ED32)</f>
        <v>11078.643705257229</v>
      </c>
      <c r="DQ13" s="1597">
        <v>0</v>
      </c>
      <c r="DR13" s="1597">
        <f t="shared" si="55"/>
        <v>4681.2299999999996</v>
      </c>
      <c r="DS13" s="1597">
        <f>SUM(ЗП!EG32)</f>
        <v>4681.2299999999996</v>
      </c>
      <c r="DT13" s="1597">
        <v>0</v>
      </c>
      <c r="DU13" s="1597">
        <f t="shared" si="56"/>
        <v>7147.31</v>
      </c>
      <c r="DV13" s="1597">
        <f>SUM(ЗП!EJ32)</f>
        <v>7147.31</v>
      </c>
      <c r="DW13" s="1597">
        <v>0</v>
      </c>
      <c r="DX13" s="1597">
        <f t="shared" si="57"/>
        <v>9862.89</v>
      </c>
      <c r="DY13" s="1597">
        <f>SUM(ЗП!EM32)</f>
        <v>9862.89</v>
      </c>
      <c r="DZ13" s="1597">
        <v>0</v>
      </c>
      <c r="EA13" s="2343">
        <f t="shared" si="58"/>
        <v>14811.584831999999</v>
      </c>
      <c r="EB13" s="2343">
        <f>SUM(ЗП!EP32)</f>
        <v>14811.584831999999</v>
      </c>
      <c r="EC13" s="2343">
        <v>0</v>
      </c>
      <c r="ED13" s="3959">
        <f t="shared" si="59"/>
        <v>12779.84613633136</v>
      </c>
      <c r="EE13" s="3959">
        <f>SUM(ЗП!ES32)</f>
        <v>12779.84613633136</v>
      </c>
      <c r="EF13" s="3959">
        <v>0</v>
      </c>
      <c r="EG13" s="2343">
        <f t="shared" si="60"/>
        <v>14811.584831999999</v>
      </c>
      <c r="EH13" s="2343">
        <f>SUM(ЗП!EP32)</f>
        <v>14811.584831999999</v>
      </c>
      <c r="EI13" s="2343">
        <v>0</v>
      </c>
      <c r="EJ13" s="2343">
        <f t="shared" si="61"/>
        <v>12779.84613633136</v>
      </c>
      <c r="EK13" s="2343">
        <f>SUM(ЗП!ES32)</f>
        <v>12779.84613633136</v>
      </c>
      <c r="EL13" s="2343">
        <v>0</v>
      </c>
      <c r="EM13" s="3662">
        <f t="shared" si="62"/>
        <v>5719.9250000000002</v>
      </c>
      <c r="EN13" s="3662">
        <f>SUM(ЗП!EV32)</f>
        <v>5719.9250000000002</v>
      </c>
      <c r="EO13" s="3662">
        <v>0</v>
      </c>
      <c r="EP13" s="3662">
        <f t="shared" si="63"/>
        <v>10948.950999999999</v>
      </c>
      <c r="EQ13" s="3662">
        <f>SUM(ЗП!EY32)</f>
        <v>10948.950999999999</v>
      </c>
      <c r="ER13" s="3662">
        <v>0</v>
      </c>
    </row>
    <row r="14" spans="1:148" ht="21" customHeight="1" x14ac:dyDescent="0.2">
      <c r="A14" s="3214" t="s">
        <v>113</v>
      </c>
      <c r="B14" s="3674">
        <v>1085</v>
      </c>
      <c r="C14" s="3193">
        <v>1303.3</v>
      </c>
      <c r="D14" s="1725">
        <f t="shared" si="0"/>
        <v>120.11981566820276</v>
      </c>
      <c r="E14" s="3193">
        <v>1422.5</v>
      </c>
      <c r="F14" s="1725">
        <f t="shared" si="24"/>
        <v>109.14601396455153</v>
      </c>
      <c r="G14" s="3193">
        <v>1998.5</v>
      </c>
      <c r="H14" s="1725">
        <f t="shared" si="2"/>
        <v>140.49209138840069</v>
      </c>
      <c r="I14" s="1597">
        <f>I13*30.2/100</f>
        <v>2038.1073999999999</v>
      </c>
      <c r="J14" s="1597">
        <v>1023.4</v>
      </c>
      <c r="K14" s="1597">
        <v>1279.4000000000001</v>
      </c>
      <c r="L14" s="1597">
        <v>1818.2</v>
      </c>
      <c r="M14" s="1600">
        <f t="shared" si="25"/>
        <v>90.978233675256448</v>
      </c>
      <c r="N14" s="1597">
        <v>2598.6999999999998</v>
      </c>
      <c r="O14" s="1600">
        <f t="shared" si="26"/>
        <v>127.50554754867187</v>
      </c>
      <c r="P14" s="1597">
        <f>P13*30.2/100</f>
        <v>2182.8130253999993</v>
      </c>
      <c r="Q14" s="1600">
        <f t="shared" si="27"/>
        <v>107.09999999999997</v>
      </c>
      <c r="R14" s="1600">
        <f t="shared" si="28"/>
        <v>120.05351586184135</v>
      </c>
      <c r="S14" s="1597">
        <f>S13*30.2/100</f>
        <v>2182.8258000000001</v>
      </c>
      <c r="T14" s="1597"/>
      <c r="U14" s="1597">
        <v>1570.4</v>
      </c>
      <c r="V14" s="1597"/>
      <c r="W14" s="1597">
        <v>2734.79</v>
      </c>
      <c r="X14" s="1597"/>
      <c r="Y14" s="1597">
        <f>Y13*U15</f>
        <v>1976.7267659460372</v>
      </c>
      <c r="Z14" s="1597">
        <f t="shared" si="32"/>
        <v>1976.7267659460372</v>
      </c>
      <c r="AA14" s="1597">
        <v>0</v>
      </c>
      <c r="AB14" s="1597">
        <v>2065.6999999999998</v>
      </c>
      <c r="AC14" s="1597">
        <f>SUM(AB14)</f>
        <v>2065.6999999999998</v>
      </c>
      <c r="AD14" s="1597">
        <v>0</v>
      </c>
      <c r="AE14" s="1597">
        <v>2725.74</v>
      </c>
      <c r="AF14" s="1597">
        <f t="shared" si="29"/>
        <v>1.3789159164319273</v>
      </c>
      <c r="AG14" s="1597">
        <v>2725.74</v>
      </c>
      <c r="AH14" s="1597">
        <v>0</v>
      </c>
      <c r="AI14" s="1597">
        <f>AI13*AI15</f>
        <v>2345.2565727913948</v>
      </c>
      <c r="AJ14" s="1597">
        <f t="shared" si="30"/>
        <v>1.1864343687727543</v>
      </c>
      <c r="AK14" s="1597">
        <f>AK13*AK15</f>
        <v>2345.2565727913948</v>
      </c>
      <c r="AL14" s="1597">
        <f>AA14*1.05</f>
        <v>0</v>
      </c>
      <c r="AM14" s="3682" t="e">
        <f>#REF!</f>
        <v>#REF!</v>
      </c>
      <c r="AN14" s="3682">
        <v>0</v>
      </c>
      <c r="AO14" s="3682" t="e">
        <f t="shared" si="31"/>
        <v>#REF!</v>
      </c>
      <c r="AP14" s="1597">
        <v>0</v>
      </c>
      <c r="AQ14" s="1597">
        <f>SUM(AP14)</f>
        <v>0</v>
      </c>
      <c r="AR14" s="1597">
        <v>0</v>
      </c>
      <c r="AS14" s="1597">
        <v>0</v>
      </c>
      <c r="AT14" s="1597">
        <f>SUM(AS14)</f>
        <v>0</v>
      </c>
      <c r="AU14" s="1597">
        <v>0</v>
      </c>
      <c r="AV14" s="1598">
        <f t="shared" ref="AV14" si="65">SUM(AX14+AY14)</f>
        <v>2698.4770400000002</v>
      </c>
      <c r="AW14" s="1600">
        <f t="shared" si="64"/>
        <v>1.150610586196201</v>
      </c>
      <c r="AX14" s="1597">
        <f>SUM(AX13*AE15)/100</f>
        <v>2698.4770400000002</v>
      </c>
      <c r="AY14" s="1597">
        <f>SUM(AY13*AE15)/100</f>
        <v>0</v>
      </c>
      <c r="AZ14" s="1598">
        <f t="shared" ref="AZ14" si="66">SUM(BB14+BC14)</f>
        <v>2348.0049919318008</v>
      </c>
      <c r="BA14" s="1591">
        <f t="shared" si="36"/>
        <v>1.0011719055272212</v>
      </c>
      <c r="BB14" s="1597">
        <f>BB13*BB15</f>
        <v>2348.0049919318008</v>
      </c>
      <c r="BC14" s="1597">
        <f>SUM(BC13*AV15)</f>
        <v>0</v>
      </c>
      <c r="BD14" s="1597">
        <f t="shared" si="37"/>
        <v>2348.37</v>
      </c>
      <c r="BE14" s="1597">
        <v>2348.37</v>
      </c>
      <c r="BF14" s="1597">
        <v>0</v>
      </c>
      <c r="BG14" s="1597">
        <f t="shared" si="38"/>
        <v>2434.46</v>
      </c>
      <c r="BH14" s="1597">
        <v>2434.46</v>
      </c>
      <c r="BI14" s="1597">
        <v>0</v>
      </c>
      <c r="BJ14" s="1597">
        <f t="shared" si="39"/>
        <v>2620.42</v>
      </c>
      <c r="BK14" s="1597">
        <v>2620.42</v>
      </c>
      <c r="BL14" s="1597">
        <v>0</v>
      </c>
      <c r="BM14" s="1597">
        <f t="shared" si="40"/>
        <v>2584.19</v>
      </c>
      <c r="BN14" s="1597">
        <v>2584.19</v>
      </c>
      <c r="BO14" s="1597">
        <v>0</v>
      </c>
      <c r="BP14" s="1597">
        <f t="shared" si="41"/>
        <v>3309.2</v>
      </c>
      <c r="BQ14" s="1597">
        <v>3309.2</v>
      </c>
      <c r="BR14" s="1597">
        <v>0</v>
      </c>
      <c r="BS14" s="1597">
        <f t="shared" si="42"/>
        <v>2991.6599243935198</v>
      </c>
      <c r="BT14" s="1597">
        <f>BT13*BG15</f>
        <v>2991.6599243935198</v>
      </c>
      <c r="BU14" s="1597">
        <v>0</v>
      </c>
      <c r="BV14" s="1597">
        <f>SUM(BV13*BV15)</f>
        <v>3145.5634132426262</v>
      </c>
      <c r="BW14" s="1597">
        <f>SUM(BW13*BW15)</f>
        <v>3145.5634132426262</v>
      </c>
      <c r="BX14" s="1597">
        <v>0</v>
      </c>
      <c r="BY14" s="3675" t="str">
        <f>вода!CB14</f>
        <v xml:space="preserve"> </v>
      </c>
      <c r="BZ14" s="3735"/>
      <c r="CA14" s="3735"/>
      <c r="CB14" s="3735"/>
      <c r="CC14" s="3735"/>
      <c r="CD14" s="3735"/>
      <c r="CE14" s="3735"/>
      <c r="CF14" s="3735"/>
      <c r="CG14" s="3735"/>
      <c r="CH14" s="3735"/>
      <c r="CI14" s="3735"/>
      <c r="CJ14" s="3735"/>
      <c r="CK14" s="1597">
        <f>SUM(CK13*CK15)</f>
        <v>3050.5956249040719</v>
      </c>
      <c r="CL14" s="1597">
        <f>SUM(CL13*CL15)</f>
        <v>3050.5956249040719</v>
      </c>
      <c r="CM14" s="1597">
        <v>0</v>
      </c>
      <c r="CN14" s="1597">
        <f t="shared" si="45"/>
        <v>1462.69</v>
      </c>
      <c r="CO14" s="1597">
        <v>1462.69</v>
      </c>
      <c r="CP14" s="1597">
        <v>0</v>
      </c>
      <c r="CQ14" s="1597">
        <f t="shared" si="46"/>
        <v>2215.73</v>
      </c>
      <c r="CR14" s="1597">
        <v>2215.73</v>
      </c>
      <c r="CS14" s="1597">
        <v>0</v>
      </c>
      <c r="CT14" s="1597">
        <f t="shared" si="47"/>
        <v>2849.28</v>
      </c>
      <c r="CU14" s="1597">
        <v>2849.28</v>
      </c>
      <c r="CV14" s="1597">
        <v>0</v>
      </c>
      <c r="CW14" s="1597">
        <f t="shared" si="48"/>
        <v>3703.48</v>
      </c>
      <c r="CX14" s="1597">
        <v>3703.48</v>
      </c>
      <c r="CY14" s="1597">
        <v>0</v>
      </c>
      <c r="CZ14" s="1597">
        <f t="shared" si="49"/>
        <v>3134.8882615746261</v>
      </c>
      <c r="DA14" s="1597">
        <f>SUM(DA13*DA15)</f>
        <v>3134.8882615746261</v>
      </c>
      <c r="DB14" s="1597">
        <f>SUM(DB13*DB15)</f>
        <v>0</v>
      </c>
      <c r="DC14" s="1597">
        <f t="shared" si="50"/>
        <v>1345.1849999999999</v>
      </c>
      <c r="DD14" s="1597">
        <v>1345.1849999999999</v>
      </c>
      <c r="DE14" s="1597">
        <v>0</v>
      </c>
      <c r="DF14" s="1597">
        <f t="shared" si="51"/>
        <v>1802.19</v>
      </c>
      <c r="DG14" s="1597">
        <v>1802.19</v>
      </c>
      <c r="DH14" s="1597">
        <v>0</v>
      </c>
      <c r="DI14" s="1597">
        <f t="shared" si="52"/>
        <v>2611.33</v>
      </c>
      <c r="DJ14" s="1597">
        <v>2611.33</v>
      </c>
      <c r="DK14" s="1597">
        <v>0</v>
      </c>
      <c r="DL14" s="1597">
        <f t="shared" si="53"/>
        <v>3906.21</v>
      </c>
      <c r="DM14" s="1597">
        <v>3906.21</v>
      </c>
      <c r="DN14" s="1597">
        <v>0</v>
      </c>
      <c r="DO14" s="1597">
        <f t="shared" si="54"/>
        <v>3318.3983594974288</v>
      </c>
      <c r="DP14" s="1597">
        <f>SUM(DP13*DP15)</f>
        <v>3318.3983594974288</v>
      </c>
      <c r="DQ14" s="1597">
        <f>SUM(DQ13*DQ15)</f>
        <v>0</v>
      </c>
      <c r="DR14" s="1597">
        <f t="shared" si="55"/>
        <v>1407.085</v>
      </c>
      <c r="DS14" s="1597">
        <v>1407.085</v>
      </c>
      <c r="DT14" s="1597">
        <v>0</v>
      </c>
      <c r="DU14" s="1597">
        <f t="shared" si="56"/>
        <v>2148.52</v>
      </c>
      <c r="DV14" s="1597">
        <v>2148.52</v>
      </c>
      <c r="DW14" s="1597">
        <v>0</v>
      </c>
      <c r="DX14" s="1597">
        <f t="shared" si="57"/>
        <v>2963.9549999999999</v>
      </c>
      <c r="DY14" s="1597">
        <v>2963.9549999999999</v>
      </c>
      <c r="DZ14" s="1597">
        <v>0</v>
      </c>
      <c r="EA14" s="2343">
        <f t="shared" si="58"/>
        <v>4443.47</v>
      </c>
      <c r="EB14" s="2343">
        <v>4443.47</v>
      </c>
      <c r="EC14" s="2343">
        <v>0</v>
      </c>
      <c r="ED14" s="3959">
        <f t="shared" si="59"/>
        <v>0</v>
      </c>
      <c r="EE14" s="3959">
        <f>SUM(EE13*EE15)</f>
        <v>0</v>
      </c>
      <c r="EF14" s="3959">
        <f>SUM(EF13*EF15)</f>
        <v>0</v>
      </c>
      <c r="EG14" s="2343">
        <f t="shared" si="60"/>
        <v>4443.47</v>
      </c>
      <c r="EH14" s="2343">
        <v>4443.47</v>
      </c>
      <c r="EI14" s="2343">
        <v>0</v>
      </c>
      <c r="EJ14" s="2343">
        <f t="shared" si="61"/>
        <v>3855.3141193062202</v>
      </c>
      <c r="EK14" s="2343">
        <v>3855.3141193062202</v>
      </c>
      <c r="EL14" s="2343">
        <v>0</v>
      </c>
      <c r="EM14" s="3662">
        <f t="shared" si="62"/>
        <v>1716.088</v>
      </c>
      <c r="EN14" s="3662">
        <v>1716.088</v>
      </c>
      <c r="EO14" s="3662">
        <v>0</v>
      </c>
      <c r="EP14" s="3662">
        <f t="shared" si="63"/>
        <v>3287.808</v>
      </c>
      <c r="EQ14" s="3662">
        <v>3287.808</v>
      </c>
      <c r="ER14" s="3662">
        <v>0</v>
      </c>
    </row>
    <row r="15" spans="1:148" s="1731" customFormat="1" ht="21" customHeight="1" x14ac:dyDescent="0.2">
      <c r="A15" s="3199" t="s">
        <v>308</v>
      </c>
      <c r="B15" s="3196"/>
      <c r="C15" s="1725"/>
      <c r="D15" s="1725"/>
      <c r="E15" s="1599">
        <f>E14/E13</f>
        <v>0.25176545547866408</v>
      </c>
      <c r="F15" s="1599">
        <f t="shared" ref="F15:Z15" si="67">F14/F13</f>
        <v>0.98503983010573459</v>
      </c>
      <c r="G15" s="1599">
        <f t="shared" si="67"/>
        <v>0.33196571542473674</v>
      </c>
      <c r="H15" s="1599">
        <f t="shared" si="67"/>
        <v>1.3185514859200738</v>
      </c>
      <c r="I15" s="1599">
        <f t="shared" si="67"/>
        <v>0.30199999999999999</v>
      </c>
      <c r="J15" s="1599">
        <f t="shared" si="67"/>
        <v>0.33117597566500551</v>
      </c>
      <c r="K15" s="1599">
        <f t="shared" si="67"/>
        <v>0.29313781647382292</v>
      </c>
      <c r="L15" s="1599">
        <f t="shared" si="67"/>
        <v>0.3006581340741476</v>
      </c>
      <c r="M15" s="1599">
        <f t="shared" si="67"/>
        <v>0.90569031711442738</v>
      </c>
      <c r="N15" s="1599">
        <f t="shared" si="67"/>
        <v>0.30199532835179133</v>
      </c>
      <c r="O15" s="1599">
        <f t="shared" si="67"/>
        <v>0.99998453096619655</v>
      </c>
      <c r="P15" s="1599">
        <f t="shared" si="67"/>
        <v>0.30199999999999999</v>
      </c>
      <c r="Q15" s="1599">
        <f t="shared" si="67"/>
        <v>1</v>
      </c>
      <c r="R15" s="1599">
        <f t="shared" si="67"/>
        <v>1.0044630953690461</v>
      </c>
      <c r="S15" s="1599">
        <f t="shared" si="67"/>
        <v>0.30200000000000005</v>
      </c>
      <c r="T15" s="1599"/>
      <c r="U15" s="1599">
        <f t="shared" si="67"/>
        <v>0.2988278276754453</v>
      </c>
      <c r="V15" s="1599"/>
      <c r="W15" s="1599">
        <f t="shared" si="67"/>
        <v>0.30199986748531293</v>
      </c>
      <c r="X15" s="1599"/>
      <c r="Y15" s="1599">
        <f t="shared" si="67"/>
        <v>0.2988278276754453</v>
      </c>
      <c r="Z15" s="1599">
        <f t="shared" si="67"/>
        <v>0.2988278276754453</v>
      </c>
      <c r="AA15" s="1599"/>
      <c r="AB15" s="1599">
        <f t="shared" ref="AB15:AC15" si="68">AB14/AB13</f>
        <v>0.2984382449398269</v>
      </c>
      <c r="AC15" s="1599">
        <f t="shared" si="68"/>
        <v>0.2984382449398269</v>
      </c>
      <c r="AD15" s="1599"/>
      <c r="AE15" s="1599">
        <v>30.1</v>
      </c>
      <c r="AF15" s="1727"/>
      <c r="AG15" s="1599">
        <v>30.1</v>
      </c>
      <c r="AH15" s="1599">
        <v>0</v>
      </c>
      <c r="AI15" s="1599">
        <f>Y15</f>
        <v>0.2988278276754453</v>
      </c>
      <c r="AJ15" s="1727"/>
      <c r="AK15" s="1599">
        <f>AI15</f>
        <v>0.2988278276754453</v>
      </c>
      <c r="AL15" s="1599"/>
      <c r="AM15" s="3417" t="e">
        <f>#REF!</f>
        <v>#REF!</v>
      </c>
      <c r="AN15" s="3417">
        <v>0</v>
      </c>
      <c r="AO15" s="3417" t="e">
        <f t="shared" si="31"/>
        <v>#REF!</v>
      </c>
      <c r="AP15" s="1599">
        <f>AP14/AP13</f>
        <v>0</v>
      </c>
      <c r="AQ15" s="1599">
        <f t="shared" ref="AQ15" si="69">AQ14/AQ13</f>
        <v>0</v>
      </c>
      <c r="AR15" s="1599"/>
      <c r="AS15" s="1599">
        <f>AS14/AS13</f>
        <v>0</v>
      </c>
      <c r="AT15" s="1599">
        <f t="shared" ref="AT15" si="70">AT14/AT13</f>
        <v>0</v>
      </c>
      <c r="AU15" s="1599"/>
      <c r="AV15" s="1599">
        <f>SUM(AV14/AV13)</f>
        <v>0.30099999999999999</v>
      </c>
      <c r="AW15" s="1599">
        <f t="shared" si="64"/>
        <v>1.0072689760570555</v>
      </c>
      <c r="AX15" s="1599">
        <f>SUM(AX14/AX13)</f>
        <v>0.30099999999999999</v>
      </c>
      <c r="AY15" s="1599">
        <v>0</v>
      </c>
      <c r="AZ15" s="1599">
        <f>Y15</f>
        <v>0.2988278276754453</v>
      </c>
      <c r="BA15" s="1591">
        <f t="shared" si="36"/>
        <v>1</v>
      </c>
      <c r="BB15" s="1599">
        <f>Z15</f>
        <v>0.2988278276754453</v>
      </c>
      <c r="BC15" s="1599">
        <v>0</v>
      </c>
      <c r="BD15" s="1599">
        <f>BD14/BD13</f>
        <v>0.30121480234931047</v>
      </c>
      <c r="BE15" s="1599">
        <f>BE14/BE13</f>
        <v>0.30121480234931047</v>
      </c>
      <c r="BF15" s="1599">
        <v>0</v>
      </c>
      <c r="BG15" s="1599">
        <f>BG14/BG13</f>
        <v>0.2995311021621469</v>
      </c>
      <c r="BH15" s="1599">
        <f>BH14/BH13</f>
        <v>0.2995311021621469</v>
      </c>
      <c r="BI15" s="1599">
        <v>0</v>
      </c>
      <c r="BJ15" s="1599">
        <f>BJ14/BJ13</f>
        <v>0.29880042874409912</v>
      </c>
      <c r="BK15" s="1599">
        <f>BK14/BK13</f>
        <v>0.29880042874409912</v>
      </c>
      <c r="BL15" s="1599">
        <v>0</v>
      </c>
      <c r="BM15" s="1599">
        <f>BM14/BM13</f>
        <v>0.30109008969121892</v>
      </c>
      <c r="BN15" s="1599">
        <f>BN14/BN13</f>
        <v>0.30109008969121892</v>
      </c>
      <c r="BO15" s="1599">
        <v>0</v>
      </c>
      <c r="BP15" s="1599">
        <f>BP14/BP13</f>
        <v>0.29879990645572857</v>
      </c>
      <c r="BQ15" s="1599">
        <f>BQ14/BQ13</f>
        <v>0.29879990645572857</v>
      </c>
      <c r="BR15" s="1599">
        <v>0</v>
      </c>
      <c r="BS15" s="1599">
        <f>BS14/BS13</f>
        <v>0.2995311021621469</v>
      </c>
      <c r="BT15" s="1599">
        <f>BT14/BT13</f>
        <v>0.2995311021621469</v>
      </c>
      <c r="BU15" s="1599">
        <v>0</v>
      </c>
      <c r="BV15" s="1599">
        <f>SUM(BM15)</f>
        <v>0.30109008969121892</v>
      </c>
      <c r="BW15" s="1599">
        <f>SUM(BN15)</f>
        <v>0.30109008969121892</v>
      </c>
      <c r="BX15" s="1599">
        <v>0</v>
      </c>
      <c r="BY15" s="3418"/>
      <c r="BZ15" s="3736"/>
      <c r="CA15" s="3736"/>
      <c r="CB15" s="3736"/>
      <c r="CC15" s="3736"/>
      <c r="CD15" s="3736"/>
      <c r="CE15" s="3736"/>
      <c r="CF15" s="3736"/>
      <c r="CG15" s="3736"/>
      <c r="CH15" s="3736"/>
      <c r="CI15" s="3736"/>
      <c r="CJ15" s="3736"/>
      <c r="CK15" s="1599">
        <f>SUM(BS15)</f>
        <v>0.2995311021621469</v>
      </c>
      <c r="CL15" s="1599">
        <f>SUM(BT15)</f>
        <v>0.2995311021621469</v>
      </c>
      <c r="CM15" s="1599">
        <v>0</v>
      </c>
      <c r="CN15" s="1599">
        <f>SUM(CN14/CN13)</f>
        <v>0.30167140340963</v>
      </c>
      <c r="CO15" s="1599">
        <f t="shared" ref="CO15:CR15" si="71">SUM(CO14/CO13)</f>
        <v>0.30167140340963</v>
      </c>
      <c r="CP15" s="1599">
        <v>0</v>
      </c>
      <c r="CQ15" s="1599">
        <f t="shared" si="71"/>
        <v>0.30308912261695181</v>
      </c>
      <c r="CR15" s="1599">
        <f t="shared" si="71"/>
        <v>0.30308912261695181</v>
      </c>
      <c r="CS15" s="1599">
        <v>0</v>
      </c>
      <c r="CT15" s="1599">
        <f t="shared" ref="CT15:CU15" si="72">SUM(CT14/CT13)</f>
        <v>0.30392028236528928</v>
      </c>
      <c r="CU15" s="1599">
        <f t="shared" si="72"/>
        <v>0.30392028236528928</v>
      </c>
      <c r="CV15" s="1599">
        <v>0</v>
      </c>
      <c r="CW15" s="1599">
        <f t="shared" ref="CW15:CX15" si="73">SUM(CW14/CW13)</f>
        <v>0.30110011325365088</v>
      </c>
      <c r="CX15" s="1599">
        <f t="shared" si="73"/>
        <v>0.30110011325365088</v>
      </c>
      <c r="CY15" s="1599">
        <v>0</v>
      </c>
      <c r="CZ15" s="1599">
        <f>SUM(BS15)</f>
        <v>0.2995311021621469</v>
      </c>
      <c r="DA15" s="1599">
        <f t="shared" ref="DA15:DB15" si="74">SUM(BT15)</f>
        <v>0.2995311021621469</v>
      </c>
      <c r="DB15" s="1599">
        <f t="shared" si="74"/>
        <v>0</v>
      </c>
      <c r="DC15" s="1599">
        <f>SUM(DC14/DC13)</f>
        <v>0.30074045755447798</v>
      </c>
      <c r="DD15" s="1599">
        <f t="shared" ref="DD15" si="75">SUM(DD14/DD13)</f>
        <v>0.30074045755447798</v>
      </c>
      <c r="DE15" s="1599">
        <v>0</v>
      </c>
      <c r="DF15" s="1599">
        <f t="shared" ref="DF15:DG15" si="76">SUM(DF14/DF13)</f>
        <v>0.26802313917188392</v>
      </c>
      <c r="DG15" s="1599">
        <f t="shared" si="76"/>
        <v>0.26802313917188392</v>
      </c>
      <c r="DH15" s="1599">
        <v>0</v>
      </c>
      <c r="DI15" s="1599">
        <f t="shared" ref="DI15:DJ15" si="77">SUM(DI14/DI13)</f>
        <v>0.29895944121913326</v>
      </c>
      <c r="DJ15" s="1599">
        <f t="shared" si="77"/>
        <v>0.29895944121913326</v>
      </c>
      <c r="DK15" s="1599">
        <v>0</v>
      </c>
      <c r="DL15" s="1599">
        <f t="shared" ref="DL15:DM15" si="78">SUM(DL14/DL13)</f>
        <v>0.29999998864577215</v>
      </c>
      <c r="DM15" s="1599">
        <f t="shared" si="78"/>
        <v>0.29999998864577215</v>
      </c>
      <c r="DN15" s="1599">
        <v>0</v>
      </c>
      <c r="DO15" s="1599">
        <f>SUM(BS15)</f>
        <v>0.2995311021621469</v>
      </c>
      <c r="DP15" s="1599">
        <f t="shared" ref="DP15:DQ15" si="79">SUM(BT15)</f>
        <v>0.2995311021621469</v>
      </c>
      <c r="DQ15" s="1599">
        <f t="shared" si="79"/>
        <v>0</v>
      </c>
      <c r="DR15" s="1599">
        <f t="shared" ref="DR15:DS15" si="80">SUM(DR14/DR13)</f>
        <v>0.30058018939466769</v>
      </c>
      <c r="DS15" s="1599">
        <f t="shared" si="80"/>
        <v>0.30058018939466769</v>
      </c>
      <c r="DT15" s="1599">
        <v>0</v>
      </c>
      <c r="DU15" s="1599">
        <f t="shared" ref="DU15:DV15" si="81">SUM(DU14/DU13)</f>
        <v>0.30060540259202412</v>
      </c>
      <c r="DV15" s="1599">
        <f t="shared" si="81"/>
        <v>0.30060540259202412</v>
      </c>
      <c r="DW15" s="1599">
        <v>0</v>
      </c>
      <c r="DX15" s="1599">
        <f t="shared" ref="DX15:DY15" si="82">SUM(DX14/DX13)</f>
        <v>0.30051587313657557</v>
      </c>
      <c r="DY15" s="1599">
        <f t="shared" si="82"/>
        <v>0.30051587313657557</v>
      </c>
      <c r="DZ15" s="1599">
        <v>0</v>
      </c>
      <c r="EA15" s="3690">
        <f t="shared" ref="EA15:EB15" si="83">SUM(EA14/EA13)</f>
        <v>0.29999963207178293</v>
      </c>
      <c r="EB15" s="3690">
        <f t="shared" si="83"/>
        <v>0.29999963207178293</v>
      </c>
      <c r="EC15" s="3690">
        <v>0</v>
      </c>
      <c r="ED15" s="3964">
        <f>SUM(CH15)</f>
        <v>0</v>
      </c>
      <c r="EE15" s="3964">
        <f t="shared" ref="EE15" si="84">SUM(CI15)</f>
        <v>0</v>
      </c>
      <c r="EF15" s="3964">
        <f t="shared" ref="EF15" si="85">SUM(CJ15)</f>
        <v>0</v>
      </c>
      <c r="EG15" s="3690">
        <f t="shared" ref="EG15:EH15" si="86">SUM(EG14/EG13)</f>
        <v>0.29999963207178293</v>
      </c>
      <c r="EH15" s="3690">
        <f t="shared" si="86"/>
        <v>0.29999963207178293</v>
      </c>
      <c r="EI15" s="3690">
        <v>0</v>
      </c>
      <c r="EJ15" s="3690">
        <f t="shared" ref="EJ15:EK15" si="87">SUM(EJ14/EJ13)</f>
        <v>0.30167140340963011</v>
      </c>
      <c r="EK15" s="3690">
        <f t="shared" si="87"/>
        <v>0.30167140340963011</v>
      </c>
      <c r="EL15" s="3690">
        <v>0</v>
      </c>
      <c r="EM15" s="3663">
        <f t="shared" ref="EM15:EN15" si="88">SUM(EM14/EM13)</f>
        <v>0.30001931843511931</v>
      </c>
      <c r="EN15" s="3663">
        <f t="shared" si="88"/>
        <v>0.30001931843511931</v>
      </c>
      <c r="EO15" s="3663">
        <v>0</v>
      </c>
      <c r="EP15" s="3663">
        <f t="shared" ref="EP15:EQ15" si="89">SUM(EP14/EP13)</f>
        <v>0.30028520540460912</v>
      </c>
      <c r="EQ15" s="3663">
        <f t="shared" si="89"/>
        <v>0.30028520540460912</v>
      </c>
      <c r="ER15" s="3663">
        <v>0</v>
      </c>
    </row>
    <row r="16" spans="1:148" ht="21" customHeight="1" x14ac:dyDescent="0.2">
      <c r="A16" s="3214" t="s">
        <v>6</v>
      </c>
      <c r="B16" s="3674">
        <v>586.20000000000005</v>
      </c>
      <c r="C16" s="3193">
        <v>578.70000000000005</v>
      </c>
      <c r="D16" s="1725">
        <f t="shared" si="0"/>
        <v>98.720573183213929</v>
      </c>
      <c r="E16" s="3193">
        <v>909</v>
      </c>
      <c r="F16" s="1725">
        <f t="shared" si="24"/>
        <v>157.07620528771383</v>
      </c>
      <c r="G16" s="3193">
        <v>1016.4</v>
      </c>
      <c r="H16" s="1725">
        <f t="shared" si="2"/>
        <v>111.81518151815182</v>
      </c>
      <c r="I16" s="1597">
        <v>973.7</v>
      </c>
      <c r="J16" s="1597">
        <v>525.5</v>
      </c>
      <c r="K16" s="1597">
        <f>'цех стоки 2023'!K47</f>
        <v>660.34381091530884</v>
      </c>
      <c r="L16" s="1597">
        <f>'цех стоки 2023'!L47</f>
        <v>1618.4</v>
      </c>
      <c r="M16" s="1600">
        <f t="shared" si="25"/>
        <v>159.22865013774106</v>
      </c>
      <c r="N16" s="1597">
        <v>1270.9000000000001</v>
      </c>
      <c r="O16" s="1600">
        <f t="shared" si="26"/>
        <v>130.52274827975762</v>
      </c>
      <c r="P16" s="1597">
        <f>'цех стоки 2023'!P47</f>
        <v>1129.3</v>
      </c>
      <c r="Q16" s="1600">
        <f t="shared" si="27"/>
        <v>115.98028140084213</v>
      </c>
      <c r="R16" s="1600">
        <f t="shared" si="28"/>
        <v>69.778793870489366</v>
      </c>
      <c r="S16" s="1597">
        <v>1067.4000000000001</v>
      </c>
      <c r="T16" s="1597"/>
      <c r="U16" s="1597">
        <v>627.9</v>
      </c>
      <c r="V16" s="1597"/>
      <c r="W16" s="1597">
        <v>1692.38</v>
      </c>
      <c r="X16" s="1597"/>
      <c r="Y16" s="1597">
        <f>'цех стоки 2023'!X47</f>
        <v>1182.4040130542526</v>
      </c>
      <c r="Z16" s="1597">
        <f t="shared" si="32"/>
        <v>1182.4040130542526</v>
      </c>
      <c r="AA16" s="1597">
        <v>0</v>
      </c>
      <c r="AB16" s="1597">
        <f>'цех стоки 2023'!AA47</f>
        <v>776.9</v>
      </c>
      <c r="AC16" s="1597">
        <f t="shared" ref="AC16" si="90">AB16</f>
        <v>776.9</v>
      </c>
      <c r="AD16" s="1597">
        <v>0</v>
      </c>
      <c r="AE16" s="1597">
        <v>1092.1400000000001</v>
      </c>
      <c r="AF16" s="1597">
        <f t="shared" si="29"/>
        <v>0.92366059988151372</v>
      </c>
      <c r="AG16" s="1597">
        <v>1241.52</v>
      </c>
      <c r="AH16" s="1597">
        <v>0</v>
      </c>
      <c r="AI16" s="1597">
        <f>'цех стоки 2023'!AC47</f>
        <v>1119.2106875700802</v>
      </c>
      <c r="AJ16" s="1597">
        <f t="shared" si="30"/>
        <v>0.94655521734830839</v>
      </c>
      <c r="AK16" s="1597">
        <f>SUM('цех стоки 2023'!AC47)</f>
        <v>1119.2106875700802</v>
      </c>
      <c r="AL16" s="1597">
        <f>SUM('цех стоки 2023'!Y64)</f>
        <v>0</v>
      </c>
      <c r="AM16" s="1597">
        <f>AK16*1.05</f>
        <v>1175.1712219485842</v>
      </c>
      <c r="AN16" s="1597">
        <f>AL16*1.05</f>
        <v>0</v>
      </c>
      <c r="AO16" s="1597" t="e">
        <f>#REF!*1.05</f>
        <v>#REF!</v>
      </c>
      <c r="AP16" s="1597">
        <f>SUM('цех стоки 2023'!AE47)</f>
        <v>347.27</v>
      </c>
      <c r="AQ16" s="1597">
        <f>SUM(AP16)</f>
        <v>347.27</v>
      </c>
      <c r="AR16" s="1597">
        <v>0</v>
      </c>
      <c r="AS16" s="1597">
        <f>SUM('цех стоки 2023'!AF47)</f>
        <v>868.98</v>
      </c>
      <c r="AT16" s="1597">
        <f>SUM(AS16)</f>
        <v>868.98</v>
      </c>
      <c r="AU16" s="1597">
        <v>0</v>
      </c>
      <c r="AV16" s="1597">
        <v>1183.76</v>
      </c>
      <c r="AW16" s="1600">
        <f>SUM(AV16/AI16)</f>
        <v>1.0576739600030651</v>
      </c>
      <c r="AX16" s="1597">
        <f>SUM(AV16)</f>
        <v>1183.76</v>
      </c>
      <c r="AY16" s="1597">
        <v>0</v>
      </c>
      <c r="AZ16" s="1597">
        <f>SUM('цех стоки 2023'!AH47)</f>
        <v>905.83734813770843</v>
      </c>
      <c r="BA16" s="1591">
        <f t="shared" si="36"/>
        <v>0.80935373312452286</v>
      </c>
      <c r="BB16" s="1597">
        <f>SUM(AZ16)</f>
        <v>905.83734813770843</v>
      </c>
      <c r="BC16" s="1597">
        <v>0</v>
      </c>
      <c r="BD16" s="1597">
        <f t="shared" si="37"/>
        <v>861.66</v>
      </c>
      <c r="BE16" s="1597">
        <v>861.66</v>
      </c>
      <c r="BF16" s="1597">
        <v>0</v>
      </c>
      <c r="BG16" s="1597">
        <f t="shared" ref="BG16" si="91">BH16+BI16</f>
        <v>241.21</v>
      </c>
      <c r="BH16" s="1597">
        <v>241.21</v>
      </c>
      <c r="BI16" s="1597">
        <v>0</v>
      </c>
      <c r="BJ16" s="1597">
        <f t="shared" ref="BJ16" si="92">BK16+BL16</f>
        <v>333.34</v>
      </c>
      <c r="BK16" s="1597">
        <v>333.34</v>
      </c>
      <c r="BL16" s="1597">
        <v>0</v>
      </c>
      <c r="BM16" s="1597">
        <f t="shared" ref="BM16" si="93">BN16+BO16</f>
        <v>115.84</v>
      </c>
      <c r="BN16" s="1597">
        <v>115.84</v>
      </c>
      <c r="BO16" s="1597">
        <v>0</v>
      </c>
      <c r="BP16" s="1597">
        <f t="shared" ref="BP16" si="94">BQ16+BR16</f>
        <v>554.26</v>
      </c>
      <c r="BQ16" s="1597">
        <v>554.26</v>
      </c>
      <c r="BR16" s="1597">
        <v>0</v>
      </c>
      <c r="BS16" s="1597">
        <f t="shared" ref="BS16" si="95">BT16+BU16</f>
        <v>322.3701224435992</v>
      </c>
      <c r="BT16" s="1597">
        <f>'цех стоки 2023'!AN47</f>
        <v>322.3701224435992</v>
      </c>
      <c r="BU16" s="1597">
        <v>0</v>
      </c>
      <c r="BV16" s="1597">
        <f t="shared" ref="BV16" si="96">BW16+BX16</f>
        <v>156.43545633915491</v>
      </c>
      <c r="BW16" s="1597">
        <f>SUM('цех стоки 2023'!AO47)</f>
        <v>156.43545633915491</v>
      </c>
      <c r="BX16" s="1597">
        <v>0</v>
      </c>
      <c r="BY16" s="1726" t="str">
        <f>вода!CB34</f>
        <v>Приложение</v>
      </c>
      <c r="BZ16" s="3735"/>
      <c r="CA16" s="3735"/>
      <c r="CB16" s="3735"/>
      <c r="CC16" s="3735"/>
      <c r="CD16" s="3735"/>
      <c r="CE16" s="3735"/>
      <c r="CF16" s="3735"/>
      <c r="CG16" s="3735"/>
      <c r="CH16" s="3735"/>
      <c r="CI16" s="3735"/>
      <c r="CJ16" s="3735"/>
      <c r="CK16" s="1597">
        <f t="shared" ref="CK16" si="97">CL16+CM16</f>
        <v>328.72081385573796</v>
      </c>
      <c r="CL16" s="1597">
        <f>SUM('цех стоки 2023'!AP47)</f>
        <v>328.72081385573796</v>
      </c>
      <c r="CM16" s="1597">
        <v>0</v>
      </c>
      <c r="CN16" s="1597">
        <f t="shared" ref="CN16" si="98">CO16+CP16</f>
        <v>29.51</v>
      </c>
      <c r="CO16" s="1597">
        <f>SUM('цех стоки 2023'!AQ47)</f>
        <v>29.51</v>
      </c>
      <c r="CP16" s="1597">
        <v>0</v>
      </c>
      <c r="CQ16" s="1597">
        <f t="shared" ref="CQ16" si="99">CR16+CS16</f>
        <v>77.795000000000002</v>
      </c>
      <c r="CR16" s="1597">
        <f>SUM('цех стоки 2023'!AR47)</f>
        <v>77.795000000000002</v>
      </c>
      <c r="CS16" s="1597">
        <v>0</v>
      </c>
      <c r="CT16" s="1597">
        <f t="shared" ref="CT16" si="100">CU16+CV16</f>
        <v>143.33000000000001</v>
      </c>
      <c r="CU16" s="1597">
        <f>SUM('цех стоки 2023'!AS47)</f>
        <v>143.33000000000001</v>
      </c>
      <c r="CV16" s="1597">
        <v>0</v>
      </c>
      <c r="CW16" s="1597">
        <f t="shared" ref="CW16" si="101">CX16+CY16</f>
        <v>210.21898311117363</v>
      </c>
      <c r="CX16" s="1597">
        <f>SUM('цех стоки 2023'!AT47)</f>
        <v>210.21898311117363</v>
      </c>
      <c r="CY16" s="1597">
        <v>0</v>
      </c>
      <c r="CZ16" s="1597">
        <f t="shared" ref="CZ16" si="102">DA16+DB16</f>
        <v>218.6531321936173</v>
      </c>
      <c r="DA16" s="1597">
        <f>SUM('цех стоки 2023'!AU47)</f>
        <v>218.6531321936173</v>
      </c>
      <c r="DB16" s="1597">
        <v>0</v>
      </c>
      <c r="DC16" s="1597">
        <f t="shared" ref="DC16" si="103">DD16+DE16</f>
        <v>51.89</v>
      </c>
      <c r="DD16" s="1597">
        <f>SUM('цех стоки 2023'!AY47)</f>
        <v>51.89</v>
      </c>
      <c r="DE16" s="1597">
        <v>0</v>
      </c>
      <c r="DF16" s="1597">
        <f t="shared" ref="DF16" si="104">DG16+DH16</f>
        <v>284.06</v>
      </c>
      <c r="DG16" s="1597">
        <f>SUM('цех стоки 2023'!AZ47)</f>
        <v>284.06</v>
      </c>
      <c r="DH16" s="1597">
        <v>0</v>
      </c>
      <c r="DI16" s="1597">
        <f t="shared" ref="DI16" si="105">DJ16+DK16</f>
        <v>105.735</v>
      </c>
      <c r="DJ16" s="1597">
        <f>SUM('цех стоки 2023'!BA47)</f>
        <v>105.735</v>
      </c>
      <c r="DK16" s="1597">
        <v>0</v>
      </c>
      <c r="DL16" s="1597">
        <f t="shared" ref="DL16" si="106">DM16+DN16</f>
        <v>165.23271676906361</v>
      </c>
      <c r="DM16" s="1597">
        <f>SUM('цех стоки 2023'!BB47)</f>
        <v>165.23271676906361</v>
      </c>
      <c r="DN16" s="1597">
        <v>0</v>
      </c>
      <c r="DO16" s="1597">
        <f t="shared" ref="DO16" si="107">DP16+DQ16</f>
        <v>164.47161450430301</v>
      </c>
      <c r="DP16" s="1597">
        <f>SUM('цех стоки 2023'!BC47)</f>
        <v>164.47161450430301</v>
      </c>
      <c r="DQ16" s="1597">
        <v>0</v>
      </c>
      <c r="DR16" s="1597">
        <f t="shared" ref="DR16" si="108">DS16+DT16</f>
        <v>112.34399999999999</v>
      </c>
      <c r="DS16" s="1597">
        <f>SUM('цех стоки 2023'!BD47)</f>
        <v>112.34399999999999</v>
      </c>
      <c r="DT16" s="1597">
        <v>0</v>
      </c>
      <c r="DU16" s="1597">
        <f t="shared" ref="DU16" si="109">DV16+DW16</f>
        <v>270.82400000000001</v>
      </c>
      <c r="DV16" s="1597">
        <f>SUM('цех стоки 2023'!BE47)</f>
        <v>270.82400000000001</v>
      </c>
      <c r="DW16" s="1597">
        <v>0</v>
      </c>
      <c r="DX16" s="1597">
        <f t="shared" ref="DX16" si="110">DY16+DZ16</f>
        <v>320.70699999999999</v>
      </c>
      <c r="DY16" s="1597">
        <f>SUM('цех стоки 2023'!BF47)</f>
        <v>320.70699999999999</v>
      </c>
      <c r="DZ16" s="1597">
        <v>0</v>
      </c>
      <c r="EA16" s="2343">
        <f t="shared" ref="EA16" si="111">EB16+EC16</f>
        <v>481.31325556899361</v>
      </c>
      <c r="EB16" s="2343">
        <f>SUM('цех стоки 2023'!BG47)</f>
        <v>481.31325556899361</v>
      </c>
      <c r="EC16" s="2343">
        <v>0</v>
      </c>
      <c r="ED16" s="3959">
        <f t="shared" ref="ED16" si="112">EE16+EF16</f>
        <v>0</v>
      </c>
      <c r="EE16" s="3959">
        <f>SUM('цех стоки 2023'!BS47)</f>
        <v>0</v>
      </c>
      <c r="EF16" s="3959">
        <v>0</v>
      </c>
      <c r="EG16" s="2343">
        <f t="shared" ref="EG16" si="113">EH16+EI16</f>
        <v>481.31325556899361</v>
      </c>
      <c r="EH16" s="2343">
        <f>SUM('цех стоки 2023'!BG47)</f>
        <v>481.31325556899361</v>
      </c>
      <c r="EI16" s="2343">
        <v>0</v>
      </c>
      <c r="EJ16" s="2343">
        <f t="shared" ref="EJ16" si="114">EK16+EL16</f>
        <v>503.97168733581509</v>
      </c>
      <c r="EK16" s="2343">
        <f>SUM('цех стоки 2023'!BH47)</f>
        <v>503.97168733581509</v>
      </c>
      <c r="EL16" s="2343">
        <v>0</v>
      </c>
      <c r="EM16" s="3662">
        <f t="shared" ref="EM16" si="115">EN16+EO16</f>
        <v>119.47199999999999</v>
      </c>
      <c r="EN16" s="3662">
        <f>SUM('цех стоки 2023'!BI47)</f>
        <v>119.47199999999999</v>
      </c>
      <c r="EO16" s="3662">
        <v>0</v>
      </c>
      <c r="EP16" s="3662">
        <f t="shared" ref="EP16" si="116">EQ16+ER16</f>
        <v>472.9</v>
      </c>
      <c r="EQ16" s="3662">
        <f>SUM('цех стоки 2023'!BJ47)</f>
        <v>472.9</v>
      </c>
      <c r="ER16" s="3662">
        <v>0</v>
      </c>
    </row>
    <row r="17" spans="1:148" ht="21" customHeight="1" x14ac:dyDescent="0.2">
      <c r="A17" s="3320" t="s">
        <v>7</v>
      </c>
      <c r="B17" s="1722">
        <f>SUM(B18:B26)</f>
        <v>26653.700000000004</v>
      </c>
      <c r="C17" s="1723">
        <f>SUM(C18:C26)</f>
        <v>29414</v>
      </c>
      <c r="D17" s="1724">
        <f t="shared" si="0"/>
        <v>110.35616068313216</v>
      </c>
      <c r="E17" s="3682">
        <f>SUM(E18:E26)</f>
        <v>33364.957532963468</v>
      </c>
      <c r="F17" s="3682">
        <f>SUM(F18:F26)</f>
        <v>851.66176001421229</v>
      </c>
      <c r="G17" s="3682">
        <f>SUM(G18:G26)</f>
        <v>33031.655567248337</v>
      </c>
      <c r="H17" s="1725">
        <f t="shared" si="2"/>
        <v>99.001041840422417</v>
      </c>
      <c r="I17" s="3682">
        <f>I18+I19+I20+I22+I23+I24+I26</f>
        <v>35984.4516</v>
      </c>
      <c r="J17" s="3682">
        <f>SUM(J18:J26)</f>
        <v>17728.514742148349</v>
      </c>
      <c r="K17" s="3682">
        <f>SUM(K18:K26)</f>
        <v>23132.282033012896</v>
      </c>
      <c r="L17" s="3682">
        <f>SUM(L18:L26)</f>
        <v>33260.600222854184</v>
      </c>
      <c r="M17" s="1728">
        <f t="shared" si="25"/>
        <v>100.69310681427923</v>
      </c>
      <c r="N17" s="3682">
        <f>SUM(N18:N26)</f>
        <v>42496.001997885767</v>
      </c>
      <c r="O17" s="1600">
        <f t="shared" si="26"/>
        <v>118.09545542132361</v>
      </c>
      <c r="P17" s="3682" t="e">
        <f>P18+P19+P20+P22+P23+P24+P26</f>
        <v>#REF!</v>
      </c>
      <c r="Q17" s="3682" t="e">
        <f t="shared" ref="Q17:V17" si="117">Q18+Q19+Q20+Q22+Q23+Q24+Q26</f>
        <v>#REF!</v>
      </c>
      <c r="R17" s="3682" t="e">
        <f t="shared" si="117"/>
        <v>#REF!</v>
      </c>
      <c r="S17" s="3682" t="e">
        <f t="shared" si="117"/>
        <v>#REF!</v>
      </c>
      <c r="T17" s="3682" t="e">
        <f t="shared" si="117"/>
        <v>#REF!</v>
      </c>
      <c r="U17" s="3682">
        <f t="shared" si="117"/>
        <v>27749.199999999997</v>
      </c>
      <c r="V17" s="3682">
        <f t="shared" si="117"/>
        <v>0</v>
      </c>
      <c r="W17" s="3682">
        <f>W18+W19+W20+W22+W23+W24+W26+W21</f>
        <v>44820.57</v>
      </c>
      <c r="X17" s="3682"/>
      <c r="Y17" s="3682" t="e">
        <f t="shared" ref="Y17:AL17" si="118">Y18+Y19+Y20+Y22+Y23+Y24+Y26+Y21</f>
        <v>#REF!</v>
      </c>
      <c r="Z17" s="3682" t="e">
        <f t="shared" si="118"/>
        <v>#REF!</v>
      </c>
      <c r="AA17" s="3682" t="e">
        <f t="shared" si="118"/>
        <v>#REF!</v>
      </c>
      <c r="AB17" s="3682">
        <f t="shared" ref="AB17:AD17" si="119">AB18+AB19+AB20+AB22+AB23+AB24+AB26+AB21</f>
        <v>33167.799500000001</v>
      </c>
      <c r="AC17" s="3682">
        <f t="shared" si="119"/>
        <v>32881.346918186529</v>
      </c>
      <c r="AD17" s="3682">
        <f t="shared" si="119"/>
        <v>286.45258181347208</v>
      </c>
      <c r="AE17" s="3682">
        <v>38355.11</v>
      </c>
      <c r="AF17" s="1597" t="e">
        <f t="shared" si="29"/>
        <v>#REF!</v>
      </c>
      <c r="AG17" s="3682">
        <v>38068.36</v>
      </c>
      <c r="AH17" s="3682">
        <v>286.76</v>
      </c>
      <c r="AI17" s="3682">
        <f t="shared" si="118"/>
        <v>37373.673441835519</v>
      </c>
      <c r="AJ17" s="1597" t="e">
        <f t="shared" si="30"/>
        <v>#REF!</v>
      </c>
      <c r="AK17" s="3682" t="e">
        <f t="shared" si="118"/>
        <v>#REF!</v>
      </c>
      <c r="AL17" s="3682" t="e">
        <f t="shared" si="118"/>
        <v>#REF!</v>
      </c>
      <c r="AM17" s="3682" t="e">
        <f>AM18+AM19+AM20+AM21+AM22+AM23+AM24+AM26</f>
        <v>#REF!</v>
      </c>
      <c r="AN17" s="3682" t="e">
        <f>AN18+AN19+AN20+AN21+AN22+AN23+AN24+AN26</f>
        <v>#REF!</v>
      </c>
      <c r="AO17" s="3682" t="e">
        <f t="shared" si="31"/>
        <v>#REF!</v>
      </c>
      <c r="AP17" s="3682">
        <f t="shared" ref="AP17:AV17" si="120">AP18+AP19+AP20+AP22+AP23+AP24+AP26+AP21</f>
        <v>14375.140000000001</v>
      </c>
      <c r="AQ17" s="3682">
        <f t="shared" si="120"/>
        <v>14291.938781498018</v>
      </c>
      <c r="AR17" s="3682">
        <f t="shared" si="120"/>
        <v>83.201218501982225</v>
      </c>
      <c r="AS17" s="3682">
        <f t="shared" si="120"/>
        <v>21766.959999999999</v>
      </c>
      <c r="AT17" s="3682">
        <f t="shared" si="120"/>
        <v>21608.418114674678</v>
      </c>
      <c r="AU17" s="3682">
        <f t="shared" si="120"/>
        <v>158.54188532531862</v>
      </c>
      <c r="AV17" s="3682">
        <f t="shared" si="120"/>
        <v>42309.236673061234</v>
      </c>
      <c r="AW17" s="1600">
        <f t="shared" si="64"/>
        <v>1.1320598907385144</v>
      </c>
      <c r="AX17" s="3682">
        <f t="shared" ref="AX17:BB17" si="121">AX18+AX19+AX20+AX22+AX23+AX24+AX26+AX21</f>
        <v>41969.706748832701</v>
      </c>
      <c r="AY17" s="3682">
        <f t="shared" si="121"/>
        <v>339.52992422853498</v>
      </c>
      <c r="AZ17" s="3682">
        <f t="shared" si="121"/>
        <v>36922.745803928265</v>
      </c>
      <c r="BA17" s="1591">
        <f t="shared" si="36"/>
        <v>0.98793461823844986</v>
      </c>
      <c r="BB17" s="3682">
        <f t="shared" si="121"/>
        <v>36669.222631048906</v>
      </c>
      <c r="BC17" s="3682">
        <f>BC18+BC19+BC20+BC22+BC23+BC24+BC26+BC21</f>
        <v>253.52317287935239</v>
      </c>
      <c r="BD17" s="3682">
        <f>BD18+BD19+BD20+BD22+BD23+BD24+BD26+BD21</f>
        <v>40277.32</v>
      </c>
      <c r="BE17" s="3682">
        <f t="shared" ref="BE17:BF17" si="122">BE18+BE19+BE20+BE22+BE23+BE24+BE26+BE21</f>
        <v>40007.99</v>
      </c>
      <c r="BF17" s="3682">
        <f t="shared" si="122"/>
        <v>269.33</v>
      </c>
      <c r="BG17" s="3682">
        <f>BG18+BG19+BG20+BG22+BG23+BG24+BG26+BG21</f>
        <v>40387.450000000004</v>
      </c>
      <c r="BH17" s="3682">
        <f t="shared" ref="BH17:BI17" si="123">BH18+BH19+BH20+BH22+BH23+BH24+BH26+BH21</f>
        <v>40150.44</v>
      </c>
      <c r="BI17" s="3682">
        <f t="shared" si="123"/>
        <v>237.01</v>
      </c>
      <c r="BJ17" s="3682">
        <f>BJ18+BJ19+BJ20+BJ22+BJ23+BJ24+BJ26+BJ21</f>
        <v>40599.810000000005</v>
      </c>
      <c r="BK17" s="3682">
        <f t="shared" ref="BK17:BL17" si="124">BK18+BK19+BK20+BK22+BK23+BK24+BK26+BK21</f>
        <v>40320.61</v>
      </c>
      <c r="BL17" s="3682">
        <f t="shared" si="124"/>
        <v>279.20000000000005</v>
      </c>
      <c r="BM17" s="3682">
        <f>BM18+BM19+BM20+BM22+BM23+BM24+BM26+BM21</f>
        <v>40147.906000000003</v>
      </c>
      <c r="BN17" s="3682">
        <f t="shared" ref="BN17:BO17" si="125">BN18+BN19+BN20+BN22+BN23+BN24+BN26+BN21</f>
        <v>39915.353999999999</v>
      </c>
      <c r="BO17" s="3682">
        <f t="shared" si="125"/>
        <v>232.55199999999999</v>
      </c>
      <c r="BP17" s="3682">
        <f>BP18+BP19+BP20+BP22+BP23+BP24+BP26+BP21</f>
        <v>52473.119999999995</v>
      </c>
      <c r="BQ17" s="3682">
        <f t="shared" ref="BQ17:BR17" si="126">BQ18+BQ19+BQ20+BQ22+BQ23+BQ24+BQ26+BQ21</f>
        <v>52172.82</v>
      </c>
      <c r="BR17" s="3682">
        <f t="shared" si="126"/>
        <v>300.3</v>
      </c>
      <c r="BS17" s="3682">
        <f>BS18+BS19+BS20+BS22+BS23+BS24+BS26+BS21</f>
        <v>45028.887045802388</v>
      </c>
      <c r="BT17" s="3682">
        <f t="shared" ref="BT17:BU17" si="127">BT18+BT19+BT20+BT22+BT23+BT24+BT26+BT21</f>
        <v>44771.973210494754</v>
      </c>
      <c r="BU17" s="3682">
        <f t="shared" si="127"/>
        <v>256.91383530763579</v>
      </c>
      <c r="BV17" s="3682">
        <f>BV18+BV19+BV20+BV22+BV23+BV24+BV26+BV21</f>
        <v>49088.232187972622</v>
      </c>
      <c r="BW17" s="3682">
        <f t="shared" ref="BW17:BX17" si="128">BW18+BW19+BW20+BW22+BW23+BW24+BW26+BW21</f>
        <v>48803.88608496941</v>
      </c>
      <c r="BX17" s="3682">
        <f t="shared" si="128"/>
        <v>284.34610300321469</v>
      </c>
      <c r="BY17" s="1726"/>
      <c r="BZ17" s="3735"/>
      <c r="CA17" s="3735"/>
      <c r="CB17" s="3735"/>
      <c r="CC17" s="3735"/>
      <c r="CD17" s="3735"/>
      <c r="CE17" s="3735"/>
      <c r="CF17" s="3735"/>
      <c r="CG17" s="3735"/>
      <c r="CH17" s="3735"/>
      <c r="CI17" s="3735"/>
      <c r="CJ17" s="3735"/>
      <c r="CK17" s="3682">
        <f>CK18+CK19+CK20+CK22+CK23+CK24+CK26+CK21</f>
        <v>45859.953225619021</v>
      </c>
      <c r="CL17" s="3682">
        <f t="shared" ref="CL17:CM17" si="129">CL18+CL19+CL20+CL22+CL23+CL24+CL26+CL21</f>
        <v>45598.71731595543</v>
      </c>
      <c r="CM17" s="3682">
        <f t="shared" si="129"/>
        <v>261.24136021039618</v>
      </c>
      <c r="CN17" s="3682">
        <f>CN18+CN19+CN20+CN22+CN23+CN24+CN26+CN21</f>
        <v>18811.173480000001</v>
      </c>
      <c r="CO17" s="3682">
        <f t="shared" ref="CO17:CP17" si="130">CO18+CO19+CO20+CO22+CO23+CO24+CO26+CO21</f>
        <v>18729.352149999999</v>
      </c>
      <c r="CP17" s="3682">
        <f t="shared" si="130"/>
        <v>81.821330000000003</v>
      </c>
      <c r="CQ17" s="3682">
        <f>CQ18+CQ19+CQ20+CQ22+CQ23+CQ24+CQ26+CQ21</f>
        <v>27558.93447</v>
      </c>
      <c r="CR17" s="3682">
        <f t="shared" ref="CR17:CS17" si="131">CR18+CR19+CR20+CR22+CR23+CR24+CR26+CR21</f>
        <v>27445.054669999998</v>
      </c>
      <c r="CS17" s="3682">
        <f t="shared" si="131"/>
        <v>113.8798</v>
      </c>
      <c r="CT17" s="3682">
        <f>CT18+CT19+CT20+CT22+CT23+CT24+CT26+CT21</f>
        <v>36659.453000000001</v>
      </c>
      <c r="CU17" s="3682">
        <f t="shared" ref="CU17:CV17" si="132">CU18+CU19+CU20+CU22+CU23+CU24+CU26+CU21</f>
        <v>36507.873</v>
      </c>
      <c r="CV17" s="3682">
        <f t="shared" si="132"/>
        <v>151.58000000000001</v>
      </c>
      <c r="CW17" s="3682">
        <f>CW18+CW19+CW20+CW22+CW23+CW24+CW26+CW21</f>
        <v>56098.752692435475</v>
      </c>
      <c r="CX17" s="3682">
        <f t="shared" ref="CX17:CY17" si="133">CX18+CX19+CX20+CX22+CX23+CX24+CX26+CX21</f>
        <v>55845.464238774679</v>
      </c>
      <c r="CY17" s="3682">
        <f t="shared" si="133"/>
        <v>253.28845366079537</v>
      </c>
      <c r="CZ17" s="3682">
        <f>CZ18+CZ19+CZ20+CZ22+CZ23+CZ24+CZ26+CZ21</f>
        <v>48482.075677108252</v>
      </c>
      <c r="DA17" s="3682">
        <f t="shared" ref="DA17:DB17" si="134">DA18+DA19+DA20+DA22+DA23+DA24+DA26+DA21</f>
        <v>48267.275402371233</v>
      </c>
      <c r="DB17" s="3682">
        <f t="shared" si="134"/>
        <v>214.80027473702683</v>
      </c>
      <c r="DC17" s="3682">
        <f>DC18+DC19+DC20+DC22+DC23+DC24+DC26+DC21</f>
        <v>18857.388210000001</v>
      </c>
      <c r="DD17" s="3682">
        <f t="shared" ref="DD17:DE17" si="135">DD18+DD19+DD20+DD22+DD23+DD24+DD26+DD21</f>
        <v>18777.252</v>
      </c>
      <c r="DE17" s="3682">
        <f t="shared" si="135"/>
        <v>80.136210000000005</v>
      </c>
      <c r="DF17" s="3682">
        <f>DF18+DF19+DF20+DF22+DF23+DF24+DF26+DF21</f>
        <v>28770.839019999996</v>
      </c>
      <c r="DG17" s="3682">
        <f t="shared" ref="DG17:DH17" si="136">DG18+DG19+DG20+DG22+DG23+DG24+DG26+DG21</f>
        <v>28651.579019999997</v>
      </c>
      <c r="DH17" s="3682">
        <f t="shared" si="136"/>
        <v>119.26</v>
      </c>
      <c r="DI17" s="3682">
        <f>DI18+DI19+DI20+DI22+DI23+DI24+DI26+DI21</f>
        <v>38400.069360000001</v>
      </c>
      <c r="DJ17" s="3682">
        <f t="shared" ref="DJ17:DK17" si="137">DJ18+DJ19+DJ20+DJ22+DJ23+DJ24+DJ26+DJ21</f>
        <v>38238.059359999999</v>
      </c>
      <c r="DK17" s="3682">
        <f t="shared" si="137"/>
        <v>162.01</v>
      </c>
      <c r="DL17" s="3682">
        <f>DL18+DL19+DL20+DL22+DL23+DL24+DL26+DL21</f>
        <v>60077.168347595551</v>
      </c>
      <c r="DM17" s="3682">
        <f t="shared" ref="DM17:DN17" si="138">DM18+DM19+DM20+DM22+DM23+DM24+DM26+DM21</f>
        <v>59809.785652916005</v>
      </c>
      <c r="DN17" s="3682">
        <f t="shared" si="138"/>
        <v>267.38269467955968</v>
      </c>
      <c r="DO17" s="3682">
        <f>DO18+DO19+DO20+DO22+DO23+DO24+DO26+DO21</f>
        <v>50736.470438558244</v>
      </c>
      <c r="DP17" s="3682">
        <f t="shared" ref="DP17:DQ17" si="139">DP18+DP19+DP20+DP22+DP23+DP24+DP26+DP21</f>
        <v>50520.201846968936</v>
      </c>
      <c r="DQ17" s="3682">
        <f t="shared" si="139"/>
        <v>216.26859158930347</v>
      </c>
      <c r="DR17" s="3682">
        <f>DR18+DR19+DR20+DR22+DR23+DR24+DR26+DR21</f>
        <v>20920.852379999997</v>
      </c>
      <c r="DS17" s="3682">
        <f t="shared" ref="DS17:DT17" si="140">DS18+DS19+DS20+DS22+DS23+DS24+DS26+DS21</f>
        <v>20846.921009999998</v>
      </c>
      <c r="DT17" s="3682">
        <f t="shared" si="140"/>
        <v>73.931370000000001</v>
      </c>
      <c r="DU17" s="3682">
        <f>DU18+DU19+DU20+DU22+DU23+DU24+DU26+DU21</f>
        <v>31578.375959999998</v>
      </c>
      <c r="DV17" s="3682">
        <f t="shared" ref="DV17:DW17" si="141">DV18+DV19+DV20+DV22+DV23+DV24+DV26+DV21</f>
        <v>31467.495960000004</v>
      </c>
      <c r="DW17" s="3682">
        <f t="shared" si="141"/>
        <v>110.88</v>
      </c>
      <c r="DX17" s="3682">
        <f>DX18+DX19+DX20+DX22+DX23+DX24+DX26+DX21</f>
        <v>42275.265759999995</v>
      </c>
      <c r="DY17" s="3682">
        <f t="shared" ref="DY17:DZ17" si="142">DY18+DY19+DY20+DY22+DY23+DY24+DY26+DY21</f>
        <v>42115.408759999998</v>
      </c>
      <c r="DZ17" s="3682">
        <f t="shared" si="142"/>
        <v>159.85700000000003</v>
      </c>
      <c r="EA17" s="2346">
        <f>EA18+EA19+EA20+EA22+EA23+EA24+EA26+EA21</f>
        <v>62530.977990755106</v>
      </c>
      <c r="EB17" s="2346">
        <f t="shared" ref="EB17:EC17" si="143">EB18+EB19+EB20+EB22+EB23+EB24+EB26+EB21</f>
        <v>62254.977192638762</v>
      </c>
      <c r="EC17" s="2346">
        <f t="shared" si="143"/>
        <v>276.00079811633822</v>
      </c>
      <c r="ED17" s="3960">
        <f>ED18+ED19+ED20+ED22+ED23+ED24+ED26+ED21</f>
        <v>26234.184153676528</v>
      </c>
      <c r="EE17" s="3960">
        <f t="shared" ref="EE17:EF17" si="144">EE18+EE19+EE20+EE22+EE23+EE24+EE26+EE21</f>
        <v>26092.185861676528</v>
      </c>
      <c r="EF17" s="3960">
        <f t="shared" si="144"/>
        <v>141.99829200000002</v>
      </c>
      <c r="EG17" s="2346">
        <f>EG18+EG19+EG20+EG22+EG23+EG24+EG26+EG21</f>
        <v>62691.990517503109</v>
      </c>
      <c r="EH17" s="2346">
        <f t="shared" ref="EH17:EI17" si="145">EH18+EH19+EH20+EH22+EH23+EH24+EH26+EH21</f>
        <v>62415.989719386766</v>
      </c>
      <c r="EI17" s="2346">
        <f t="shared" si="145"/>
        <v>276.00079811633822</v>
      </c>
      <c r="EJ17" s="2346">
        <f>EJ18+EJ19+EJ20+EJ22+EJ23+EJ24+EJ26+EJ21</f>
        <v>57920.546850069572</v>
      </c>
      <c r="EK17" s="2346">
        <f t="shared" ref="EK17:EL17" si="146">EK18+EK19+EK20+EK22+EK23+EK24+EK26+EK21</f>
        <v>57685.437243031309</v>
      </c>
      <c r="EL17" s="2346">
        <f t="shared" si="146"/>
        <v>235.10960703825833</v>
      </c>
      <c r="EM17" s="4683">
        <f>EM18+EM19+EM20+EM22+EM23+EM24+EM26+EM21</f>
        <v>24542.801180000002</v>
      </c>
      <c r="EN17" s="4683">
        <f t="shared" ref="EN17:EO17" si="147">EN18+EN19+EN20+EN22+EN23+EN24+EN26+EN21</f>
        <v>24449.943100000004</v>
      </c>
      <c r="EO17" s="4683">
        <f t="shared" si="147"/>
        <v>92.858080000000001</v>
      </c>
      <c r="EP17" s="4683">
        <f>EP18+EP19+EP20+EP22+EP23+EP24+EP26+EP21</f>
        <v>50610.606450000007</v>
      </c>
      <c r="EQ17" s="4683">
        <f t="shared" ref="EQ17:ER17" si="148">EQ18+EQ19+EQ20+EQ22+EQ23+EQ24+EQ26+EQ21</f>
        <v>50406.524060000003</v>
      </c>
      <c r="ER17" s="4683">
        <f t="shared" si="148"/>
        <v>204.08239000000003</v>
      </c>
    </row>
    <row r="18" spans="1:148" ht="21" customHeight="1" x14ac:dyDescent="0.2">
      <c r="A18" s="3214" t="s">
        <v>1</v>
      </c>
      <c r="B18" s="3674">
        <v>4310.6000000000004</v>
      </c>
      <c r="C18" s="3193">
        <v>4957.8</v>
      </c>
      <c r="D18" s="1725">
        <f t="shared" si="0"/>
        <v>115.0141511622512</v>
      </c>
      <c r="E18" s="3193">
        <v>6244.2</v>
      </c>
      <c r="F18" s="1725">
        <f t="shared" si="24"/>
        <v>125.94699261769333</v>
      </c>
      <c r="G18" s="3193">
        <v>7235</v>
      </c>
      <c r="H18" s="1725">
        <f t="shared" si="2"/>
        <v>115.8675250632587</v>
      </c>
      <c r="I18" s="1597">
        <v>7455.3</v>
      </c>
      <c r="J18" s="1597">
        <v>4034.7</v>
      </c>
      <c r="K18" s="1597">
        <v>4952.3</v>
      </c>
      <c r="L18" s="1597">
        <v>6865.9</v>
      </c>
      <c r="M18" s="1600">
        <f t="shared" si="25"/>
        <v>94.898410504492048</v>
      </c>
      <c r="N18" s="1597">
        <v>9016</v>
      </c>
      <c r="O18" s="1600">
        <f t="shared" si="26"/>
        <v>120.9341005727469</v>
      </c>
      <c r="P18" s="1597">
        <f>электр!AC15</f>
        <v>8582.7999999999993</v>
      </c>
      <c r="Q18" s="1600">
        <f t="shared" si="27"/>
        <v>115.12346920982388</v>
      </c>
      <c r="R18" s="1600">
        <f t="shared" si="28"/>
        <v>125.00619001150612</v>
      </c>
      <c r="S18" s="1597" t="e">
        <f>P18/P75*S75</f>
        <v>#REF!</v>
      </c>
      <c r="T18" s="1597" t="e">
        <f>P18-S18</f>
        <v>#REF!</v>
      </c>
      <c r="U18" s="1597">
        <v>6066.2</v>
      </c>
      <c r="V18" s="1597"/>
      <c r="W18" s="1597">
        <v>9664.9</v>
      </c>
      <c r="X18" s="1597"/>
      <c r="Y18" s="1597">
        <f>электр!Q54</f>
        <v>6188.2733022666562</v>
      </c>
      <c r="Z18" s="1597" t="e">
        <f>($Z$75/$Y$75)*Y18</f>
        <v>#REF!</v>
      </c>
      <c r="AA18" s="1597" t="e">
        <f>Y18-Z18</f>
        <v>#REF!</v>
      </c>
      <c r="AB18" s="1597">
        <f>SUM(электр!AG54)</f>
        <v>7103.9</v>
      </c>
      <c r="AC18" s="1597">
        <f>SUM(AC75/AB75)*AB18</f>
        <v>7042.1838214141881</v>
      </c>
      <c r="AD18" s="1597">
        <f>AB18-AC18</f>
        <v>61.716178585811576</v>
      </c>
      <c r="AE18" s="1597">
        <v>6559.57</v>
      </c>
      <c r="AF18" s="1597">
        <f t="shared" si="29"/>
        <v>1.0600000484137222</v>
      </c>
      <c r="AG18" s="1597">
        <v>6508.9</v>
      </c>
      <c r="AH18" s="1597">
        <v>50.67</v>
      </c>
      <c r="AI18" s="1597">
        <f>электр!AN54</f>
        <v>5760.2649333677646</v>
      </c>
      <c r="AJ18" s="1597">
        <f t="shared" si="30"/>
        <v>0.93083557432052655</v>
      </c>
      <c r="AK18" s="1597" t="e">
        <f>AI18-AL18</f>
        <v>#REF!</v>
      </c>
      <c r="AL18" s="1597" t="e">
        <f>AA18*1.074</f>
        <v>#REF!</v>
      </c>
      <c r="AM18" s="3682" t="e">
        <f>#REF!*Z18/Y18</f>
        <v>#REF!</v>
      </c>
      <c r="AN18" s="3682" t="e">
        <f>#REF!-AM18</f>
        <v>#REF!</v>
      </c>
      <c r="AO18" s="3682" t="e">
        <f t="shared" si="31"/>
        <v>#REF!</v>
      </c>
      <c r="AP18" s="1597">
        <f>SUM(электр!AT54)</f>
        <v>3477.1</v>
      </c>
      <c r="AQ18" s="1597">
        <f>SUM(AQ75/AP75)*AP18</f>
        <v>3456.975051174928</v>
      </c>
      <c r="AR18" s="1597">
        <f>AP18-AQ18</f>
        <v>20.124948825071897</v>
      </c>
      <c r="AS18" s="1597">
        <f>SUM(электр!AW54)</f>
        <v>5259.9</v>
      </c>
      <c r="AT18" s="1597">
        <f>SUM(AT75/AS75)*AS18</f>
        <v>5221.5889789560579</v>
      </c>
      <c r="AU18" s="1597">
        <f>AS18-AT18</f>
        <v>38.311021043941764</v>
      </c>
      <c r="AV18" s="1597">
        <v>5986.43</v>
      </c>
      <c r="AW18" s="1600">
        <f t="shared" si="64"/>
        <v>1.0392629625977996</v>
      </c>
      <c r="AX18" s="1597">
        <f>SUM(AX75/AV75)*AV18</f>
        <v>5938.1662395623389</v>
      </c>
      <c r="AY18" s="1597">
        <f>AV18-AX18</f>
        <v>48.263760437661404</v>
      </c>
      <c r="AZ18" s="1597">
        <f>SUM(электр!BD54)</f>
        <v>5992.9087872277805</v>
      </c>
      <c r="BA18" s="1591">
        <f t="shared" si="36"/>
        <v>1.0403877003143325</v>
      </c>
      <c r="BB18" s="1597">
        <f>SUM(BB75/AZ75)*AZ18</f>
        <v>5960.1581937278479</v>
      </c>
      <c r="BC18" s="1597">
        <f>AZ18-BB18</f>
        <v>32.75059349993262</v>
      </c>
      <c r="BD18" s="1597">
        <f>BE18+BF18</f>
        <v>9297.1999999999989</v>
      </c>
      <c r="BE18" s="1597">
        <v>9234.49</v>
      </c>
      <c r="BF18" s="1597">
        <v>62.71</v>
      </c>
      <c r="BG18" s="1597">
        <f>BH18+BI18</f>
        <v>10318.94</v>
      </c>
      <c r="BH18" s="1597">
        <v>10256.91</v>
      </c>
      <c r="BI18" s="1597">
        <v>62.03</v>
      </c>
      <c r="BJ18" s="1597">
        <f>BK18+BL18</f>
        <v>6297.0499999999993</v>
      </c>
      <c r="BK18" s="1597">
        <v>6260.36</v>
      </c>
      <c r="BL18" s="1597">
        <v>36.69</v>
      </c>
      <c r="BM18" s="1597">
        <f>BN18+BO18</f>
        <v>9749.31</v>
      </c>
      <c r="BN18" s="1597">
        <v>9692.84</v>
      </c>
      <c r="BO18" s="1597">
        <v>56.47</v>
      </c>
      <c r="BP18" s="1597">
        <f>BQ18+BR18</f>
        <v>10053.02</v>
      </c>
      <c r="BQ18" s="1597">
        <v>9994.4500000000007</v>
      </c>
      <c r="BR18" s="1597">
        <v>58.57</v>
      </c>
      <c r="BS18" s="1597">
        <f>BT18+BU18</f>
        <v>7212.7397251141701</v>
      </c>
      <c r="BT18" s="1597">
        <f>'ЭЭ стоки'!S36</f>
        <v>7170.5460447304722</v>
      </c>
      <c r="BU18" s="1597">
        <f>'ЭЭ стоки'!S37</f>
        <v>42.193680383698222</v>
      </c>
      <c r="BV18" s="1597">
        <f>BW18+BX18</f>
        <v>7515.6747935689664</v>
      </c>
      <c r="BW18" s="1597">
        <f>SUM('ЭЭ стоки'!Y36)</f>
        <v>7471.7089786091528</v>
      </c>
      <c r="BX18" s="1597">
        <f>SUM('ЭЭ стоки'!Y37)</f>
        <v>43.965814959813549</v>
      </c>
      <c r="BY18" s="1726" t="str">
        <f>BY9</f>
        <v xml:space="preserve">Приложение </v>
      </c>
      <c r="BZ18" s="3735">
        <f>'объемы ВС и ВО 2023'!AJ62</f>
        <v>3272.75</v>
      </c>
      <c r="CA18" s="3735">
        <v>23</v>
      </c>
      <c r="CB18" s="3735"/>
      <c r="CC18" s="3735"/>
      <c r="CD18" s="3735"/>
      <c r="CE18" s="3735"/>
      <c r="CF18" s="3735"/>
      <c r="CG18" s="3735"/>
      <c r="CH18" s="3735"/>
      <c r="CI18" s="3735"/>
      <c r="CJ18" s="3735"/>
      <c r="CK18" s="1597">
        <f>CL18+CM18</f>
        <v>7240.8682700854706</v>
      </c>
      <c r="CL18" s="1597">
        <f>SUM('ЭЭ стоки'!AD36)</f>
        <v>7198.5100410168889</v>
      </c>
      <c r="CM18" s="1597">
        <f>SUM('ЭЭ стоки'!AD37)</f>
        <v>42.358229068582141</v>
      </c>
      <c r="CN18" s="1597">
        <f>CO18+CP18</f>
        <v>4254.5924899999991</v>
      </c>
      <c r="CO18" s="1597">
        <f>SUM('ЭЭ стоки'!AE36)+6.82</f>
        <v>4245.1911599999994</v>
      </c>
      <c r="CP18" s="1597">
        <f>SUM('ЭЭ стоки'!AE37)-6.79</f>
        <v>9.4013300000000015</v>
      </c>
      <c r="CQ18" s="1597">
        <f>CR18+CS18</f>
        <v>6468.5554099999999</v>
      </c>
      <c r="CR18" s="1597">
        <f>SUM('ЭЭ стоки'!AF36)+6.82</f>
        <v>6450.2956100000001</v>
      </c>
      <c r="CS18" s="1597">
        <f>SUM('ЭЭ стоки'!AF37)-6.79</f>
        <v>18.259800000000002</v>
      </c>
      <c r="CT18" s="1597">
        <f>CU18+CV18</f>
        <v>8708.83</v>
      </c>
      <c r="CU18" s="1597">
        <f>SUM('ЭЭ стоки'!AG36)+6.8</f>
        <v>8687.58</v>
      </c>
      <c r="CV18" s="1597">
        <f>SUM('ЭЭ стоки'!AG37)-6.79</f>
        <v>21.25</v>
      </c>
      <c r="CW18" s="1597">
        <f>CX18+CY18</f>
        <v>8819.0808303004287</v>
      </c>
      <c r="CX18" s="1597">
        <f>SUM('ЭЭ стоки'!AH36)</f>
        <v>8767.4902430876336</v>
      </c>
      <c r="CY18" s="1597">
        <f>SUM('ЭЭ стоки'!AH37)</f>
        <v>51.590587212795349</v>
      </c>
      <c r="CZ18" s="1597">
        <f>DA18+DB18</f>
        <v>6399.1301055214917</v>
      </c>
      <c r="DA18" s="1597">
        <f>SUM('ЭЭ стоки'!AI36)</f>
        <v>6346.9931384673146</v>
      </c>
      <c r="DB18" s="1597">
        <f>SUM('ЭЭ стоки'!AI37+'ЭЭ стоки'!AI22)</f>
        <v>52.136967054177305</v>
      </c>
      <c r="DC18" s="1597">
        <f>DD18+DE18</f>
        <v>4165.1480200000005</v>
      </c>
      <c r="DD18" s="1597">
        <f>SUM('ЭЭ стоки'!AJ36)</f>
        <v>4150.8618100000003</v>
      </c>
      <c r="DE18" s="1597">
        <f>SUM('ЭЭ стоки'!AJ37)</f>
        <v>14.286210000000001</v>
      </c>
      <c r="DF18" s="1597">
        <f>DG18+DH18</f>
        <v>6328.2339999999995</v>
      </c>
      <c r="DG18" s="1597">
        <f>SUM('ЭЭ стоки'!AK36)</f>
        <v>6305.8639999999996</v>
      </c>
      <c r="DH18" s="1597">
        <f>SUM('ЭЭ стоки'!AK37)</f>
        <v>22.37</v>
      </c>
      <c r="DI18" s="1597">
        <f>DJ18+DK18</f>
        <v>8755.0339999999997</v>
      </c>
      <c r="DJ18" s="1597">
        <f>SUM('ЭЭ стоки'!AL36)</f>
        <v>8725.0139999999992</v>
      </c>
      <c r="DK18" s="1597">
        <f>SUM('ЭЭ стоки'!AL37)</f>
        <v>30.02</v>
      </c>
      <c r="DL18" s="1597">
        <f>DM18+DN18</f>
        <v>8949.0707332726561</v>
      </c>
      <c r="DM18" s="1597">
        <f>SUM('ЭЭ стоки'!AM36)</f>
        <v>8893.4867947530965</v>
      </c>
      <c r="DN18" s="1597">
        <f>SUM('ЭЭ стоки'!AM37)</f>
        <v>55.583938519559652</v>
      </c>
      <c r="DO18" s="1597">
        <f>DP18+DQ18</f>
        <v>6780.3217186242318</v>
      </c>
      <c r="DP18" s="1597">
        <f>SUM('ЭЭ стоки'!AN36)</f>
        <v>6736.238419882995</v>
      </c>
      <c r="DQ18" s="1597">
        <f>SUM('ЭЭ стоки'!AN37+'ЭЭ стоки'!AN22)</f>
        <v>44.083298741236796</v>
      </c>
      <c r="DR18" s="1597">
        <f>DS18+DT18</f>
        <v>4491.3033600000008</v>
      </c>
      <c r="DS18" s="1597">
        <f>SUM('ЭЭ стоки'!AO36)</f>
        <v>4476.3669900000004</v>
      </c>
      <c r="DT18" s="1597">
        <f>SUM('ЭЭ стоки'!AO37)</f>
        <v>14.93637</v>
      </c>
      <c r="DU18" s="1597">
        <f>DV18+DW18</f>
        <v>6759.5529999999999</v>
      </c>
      <c r="DV18" s="1597">
        <f>SUM('ЭЭ стоки'!AP36)</f>
        <v>6741.4430000000002</v>
      </c>
      <c r="DW18" s="1597">
        <f>SUM('ЭЭ стоки'!AP37)</f>
        <v>18.11</v>
      </c>
      <c r="DX18" s="1597">
        <f>DY18+DZ18</f>
        <v>9150.67</v>
      </c>
      <c r="DY18" s="1597">
        <f>SUM('ЭЭ стоки'!AQ36)</f>
        <v>9117.93</v>
      </c>
      <c r="DZ18" s="1597">
        <f>SUM('ЭЭ стоки'!AQ37)</f>
        <v>32.74</v>
      </c>
      <c r="EA18" s="2343">
        <f>EB18+EC18</f>
        <v>7108.176328593484</v>
      </c>
      <c r="EB18" s="2343">
        <f>SUM('ЭЭ стоки'!AR36)</f>
        <v>7073.0503408771456</v>
      </c>
      <c r="EC18" s="2343">
        <f>SUM('ЭЭ стоки'!AR37)</f>
        <v>35.125987716338216</v>
      </c>
      <c r="ED18" s="3959">
        <f>EE18+EF18</f>
        <v>0</v>
      </c>
      <c r="EE18" s="3959">
        <f>SUM('ЭЭ стоки'!BC36)</f>
        <v>0</v>
      </c>
      <c r="EF18" s="3959">
        <f>SUM('ЭЭ стоки'!BC37+'ЭЭ стоки'!BC22)</f>
        <v>0</v>
      </c>
      <c r="EG18" s="2343">
        <f>EH18+EI18</f>
        <v>7108.176328593484</v>
      </c>
      <c r="EH18" s="2343">
        <f>SUM('ЭЭ стоки'!AR36)</f>
        <v>7073.0503408771456</v>
      </c>
      <c r="EI18" s="2343">
        <f>SUM('ЭЭ стоки'!AR37)</f>
        <v>35.125987716338216</v>
      </c>
      <c r="EJ18" s="2343">
        <f>EK18+EL18</f>
        <v>7704.1007254434326</v>
      </c>
      <c r="EK18" s="2343">
        <f>SUM('ЭЭ стоки'!AS36)</f>
        <v>7653.8799408906116</v>
      </c>
      <c r="EL18" s="2343">
        <f>SUM('ЭЭ стоки'!AS41)</f>
        <v>50.220784552821428</v>
      </c>
      <c r="EM18" s="3662">
        <f>EN18+EO18</f>
        <v>4618.6207399999994</v>
      </c>
      <c r="EN18" s="3662">
        <f>SUM('ЭЭ стоки'!AT36)</f>
        <v>4604.8126599999996</v>
      </c>
      <c r="EO18" s="3662">
        <f>SUM('ЭЭ стоки'!AT37)</f>
        <v>13.80808</v>
      </c>
      <c r="EP18" s="3662">
        <f>EQ18+ER18</f>
        <v>9146.5017900000003</v>
      </c>
      <c r="EQ18" s="3662">
        <f>SUM('ЭЭ стоки'!AU36)</f>
        <v>9115.2924000000003</v>
      </c>
      <c r="ER18" s="3662">
        <f>SUM('ЭЭ стоки'!AU37)</f>
        <v>31.209389999999999</v>
      </c>
    </row>
    <row r="19" spans="1:148" ht="21" customHeight="1" x14ac:dyDescent="0.2">
      <c r="A19" s="3214" t="s">
        <v>8</v>
      </c>
      <c r="B19" s="3674">
        <v>559</v>
      </c>
      <c r="C19" s="3193">
        <v>481.5</v>
      </c>
      <c r="D19" s="1725">
        <f t="shared" si="0"/>
        <v>86.135957066189633</v>
      </c>
      <c r="E19" s="3193">
        <v>479.1</v>
      </c>
      <c r="F19" s="1725">
        <f t="shared" si="24"/>
        <v>99.501557632398757</v>
      </c>
      <c r="G19" s="3193">
        <v>467.5</v>
      </c>
      <c r="H19" s="1725">
        <f t="shared" si="2"/>
        <v>97.578793571279476</v>
      </c>
      <c r="I19" s="1597">
        <v>537.5</v>
      </c>
      <c r="J19" s="1597">
        <v>238.7</v>
      </c>
      <c r="K19" s="1597">
        <v>240.2</v>
      </c>
      <c r="L19" s="1597">
        <v>320.7</v>
      </c>
      <c r="M19" s="1600">
        <f t="shared" si="25"/>
        <v>68.598930481283418</v>
      </c>
      <c r="N19" s="1597">
        <v>591.25</v>
      </c>
      <c r="O19" s="1600">
        <f t="shared" si="26"/>
        <v>110.00000000000001</v>
      </c>
      <c r="P19" s="1597" t="e">
        <f>ХР!AK22</f>
        <v>#REF!</v>
      </c>
      <c r="Q19" s="1600" t="e">
        <f t="shared" si="27"/>
        <v>#REF!</v>
      </c>
      <c r="R19" s="1600" t="e">
        <f t="shared" si="28"/>
        <v>#REF!</v>
      </c>
      <c r="S19" s="1597" t="e">
        <f>P19/P75*S75</f>
        <v>#REF!</v>
      </c>
      <c r="T19" s="1597" t="e">
        <f t="shared" ref="T19:T24" si="149">P19-S19</f>
        <v>#REF!</v>
      </c>
      <c r="U19" s="1597">
        <v>221.6</v>
      </c>
      <c r="V19" s="1597"/>
      <c r="W19" s="1597">
        <v>598.5</v>
      </c>
      <c r="X19" s="1597"/>
      <c r="Y19" s="1597">
        <f>ХР!O45</f>
        <v>489.28469176470583</v>
      </c>
      <c r="Z19" s="1597" t="e">
        <f>($Z$75/$Y$75)*Y19</f>
        <v>#REF!</v>
      </c>
      <c r="AA19" s="1597" t="e">
        <f>Y19-Z19</f>
        <v>#REF!</v>
      </c>
      <c r="AB19" s="1597">
        <f>SUM(ХР!AF45)</f>
        <v>368.69950000000006</v>
      </c>
      <c r="AC19" s="1597">
        <f>SUM(AC75/AB75)*AB19</f>
        <v>365.49636873597615</v>
      </c>
      <c r="AD19" s="1597">
        <f>AB19-AC19</f>
        <v>3.2031312640239094</v>
      </c>
      <c r="AE19" s="1597">
        <v>473.71</v>
      </c>
      <c r="AF19" s="1597">
        <f t="shared" si="29"/>
        <v>0.96816844665928026</v>
      </c>
      <c r="AG19" s="1597">
        <v>469.69</v>
      </c>
      <c r="AH19" s="1597">
        <v>4.01</v>
      </c>
      <c r="AI19" s="1597">
        <f>ХР!AP45</f>
        <v>406.01364163361512</v>
      </c>
      <c r="AJ19" s="1597">
        <f t="shared" si="30"/>
        <v>0.82981063676699851</v>
      </c>
      <c r="AK19" s="1597" t="e">
        <f>AI19-AL19</f>
        <v>#REF!</v>
      </c>
      <c r="AL19" s="1597" t="e">
        <f>AA19*1.076</f>
        <v>#REF!</v>
      </c>
      <c r="AM19" s="3682" t="e">
        <f>#REF!*Z19/Y19</f>
        <v>#REF!</v>
      </c>
      <c r="AN19" s="3682" t="e">
        <f>#REF!-AM19</f>
        <v>#REF!</v>
      </c>
      <c r="AO19" s="3682" t="e">
        <f t="shared" si="31"/>
        <v>#REF!</v>
      </c>
      <c r="AP19" s="1597">
        <f>SUM(ХР!AT45)</f>
        <v>0</v>
      </c>
      <c r="AQ19" s="1597">
        <f>SUM(AQ75/AP75)*AP19</f>
        <v>0</v>
      </c>
      <c r="AR19" s="1597">
        <f>AP19-AQ19</f>
        <v>0</v>
      </c>
      <c r="AS19" s="1597">
        <f>SUM(ХР!AX45)</f>
        <v>0</v>
      </c>
      <c r="AT19" s="1597">
        <f>SUM(AT75/AS75)*AS19</f>
        <v>0</v>
      </c>
      <c r="AU19" s="1597">
        <f>AS19-AT19</f>
        <v>0</v>
      </c>
      <c r="AV19" s="1597">
        <v>347.67</v>
      </c>
      <c r="AW19" s="1600">
        <f t="shared" ref="AW19" si="150">SUM(AV19/AI19)</f>
        <v>0.8563012774672627</v>
      </c>
      <c r="AX19" s="1597">
        <f>SUM(AX75/AV75)*AV19</f>
        <v>344.86701698819468</v>
      </c>
      <c r="AY19" s="1597">
        <f>AV19-AX19</f>
        <v>2.8029830118053383</v>
      </c>
      <c r="AZ19" s="1597">
        <f>SUM(ХР!BH45)</f>
        <v>229.75931518119856</v>
      </c>
      <c r="BA19" s="1591">
        <f t="shared" si="36"/>
        <v>0.56589062933144574</v>
      </c>
      <c r="BB19" s="1597">
        <f>AZ19-BC19</f>
        <v>176.75931518119856</v>
      </c>
      <c r="BC19" s="1597">
        <v>53</v>
      </c>
      <c r="BD19" s="1597">
        <f t="shared" ref="BD19:BD23" si="151">BE19+BF19</f>
        <v>652.05999999999995</v>
      </c>
      <c r="BE19" s="1597">
        <v>647.66</v>
      </c>
      <c r="BF19" s="1597">
        <v>4.4000000000000004</v>
      </c>
      <c r="BG19" s="1597">
        <f t="shared" ref="BG19:BG23" si="152">BH19+BI19</f>
        <v>806.69</v>
      </c>
      <c r="BH19" s="1597">
        <v>801.84</v>
      </c>
      <c r="BI19" s="1597">
        <v>4.8499999999999996</v>
      </c>
      <c r="BJ19" s="1597">
        <f t="shared" ref="BJ19:BJ23" si="153">BK19+BL19</f>
        <v>326.33999999999997</v>
      </c>
      <c r="BK19" s="1597">
        <v>324.02</v>
      </c>
      <c r="BL19" s="1597">
        <v>2.3199999999999998</v>
      </c>
      <c r="BM19" s="1597">
        <f t="shared" ref="BM19:BM23" si="154">BN19+BO19</f>
        <v>400.76</v>
      </c>
      <c r="BN19" s="1597">
        <v>398.44</v>
      </c>
      <c r="BO19" s="1597">
        <v>2.3199999999999998</v>
      </c>
      <c r="BP19" s="1597">
        <f t="shared" ref="BP19:BP23" si="155">BQ19+BR19</f>
        <v>876.38</v>
      </c>
      <c r="BQ19" s="1597">
        <v>871.27</v>
      </c>
      <c r="BR19" s="1597">
        <v>5.1100000000000003</v>
      </c>
      <c r="BS19" s="1597">
        <f t="shared" ref="BS19:BS21" si="156">BT19+BU19</f>
        <v>1110.5582713405854</v>
      </c>
      <c r="BT19" s="1597">
        <f>'хим реагенты'!I67</f>
        <v>1110.5582713405854</v>
      </c>
      <c r="BU19" s="1597">
        <v>0</v>
      </c>
      <c r="BV19" s="1597">
        <f>SUM('хим реагенты'!J67)</f>
        <v>1200.5099789137807</v>
      </c>
      <c r="BW19" s="1597">
        <f>BV19/BV75*BW75</f>
        <v>1193.4871365157173</v>
      </c>
      <c r="BX19" s="1597">
        <f>BV19/BV75*BX75</f>
        <v>7.0228423980634549</v>
      </c>
      <c r="BY19" s="3675" t="str">
        <f>вода!CB19</f>
        <v>Приложение</v>
      </c>
      <c r="BZ19" s="3735">
        <f>BZ18/(BZ18+CA18)</f>
        <v>0.99302131533034965</v>
      </c>
      <c r="CA19" s="3735"/>
      <c r="CB19" s="3735"/>
      <c r="CC19" s="3735"/>
      <c r="CD19" s="3735"/>
      <c r="CE19" s="3735"/>
      <c r="CF19" s="3735"/>
      <c r="CG19" s="3735"/>
      <c r="CH19" s="3735"/>
      <c r="CI19" s="3735"/>
      <c r="CJ19" s="3735"/>
      <c r="CK19" s="1597">
        <f>SUM(CL19:CM19)</f>
        <v>1200.5099789137807</v>
      </c>
      <c r="CL19" s="1597">
        <f>SUM('хим реагенты'!J67)</f>
        <v>1200.5099789137807</v>
      </c>
      <c r="CM19" s="1597">
        <v>0</v>
      </c>
      <c r="CN19" s="1597">
        <f>CO19+CP19</f>
        <v>293.62099000000001</v>
      </c>
      <c r="CO19" s="1597">
        <f>SUM('хим реагенты'!M67)</f>
        <v>293.62099000000001</v>
      </c>
      <c r="CP19" s="1597">
        <v>0</v>
      </c>
      <c r="CQ19" s="1597">
        <f>CR19+CS19</f>
        <v>489.59906000000007</v>
      </c>
      <c r="CR19" s="1597">
        <f>SUM('хим реагенты'!N67)</f>
        <v>489.59906000000007</v>
      </c>
      <c r="CS19" s="1597">
        <v>0</v>
      </c>
      <c r="CT19" s="1597">
        <f>CU19+CV19</f>
        <v>719.07300000000009</v>
      </c>
      <c r="CU19" s="1597">
        <f>SUM('хим реагенты'!O67)</f>
        <v>719.07300000000009</v>
      </c>
      <c r="CV19" s="1597">
        <v>0</v>
      </c>
      <c r="CW19" s="1597">
        <f>CX19+CY19</f>
        <v>1153.7005431992195</v>
      </c>
      <c r="CX19" s="1597">
        <f>SUM('хим реагенты'!P67)</f>
        <v>1153.7005431992195</v>
      </c>
      <c r="CY19" s="1597">
        <v>0</v>
      </c>
      <c r="CZ19" s="1597">
        <f>DA19+DB19</f>
        <v>1163.7272205416152</v>
      </c>
      <c r="DA19" s="1597">
        <f>SUM('хим реагенты'!Q67)</f>
        <v>1163.7272205416152</v>
      </c>
      <c r="DB19" s="1597">
        <v>0</v>
      </c>
      <c r="DC19" s="1597">
        <f>DD19+DE19</f>
        <v>821.90519000000006</v>
      </c>
      <c r="DD19" s="1597">
        <f>SUM('хим реагенты'!R67)-2.715</f>
        <v>821.90519000000006</v>
      </c>
      <c r="DE19" s="1597">
        <v>0</v>
      </c>
      <c r="DF19" s="1597">
        <f>DG19+DH19</f>
        <v>1732.74702</v>
      </c>
      <c r="DG19" s="1597">
        <f>SUM('хим реагенты'!S67)+0.27</f>
        <v>1732.74702</v>
      </c>
      <c r="DH19" s="1597">
        <v>0</v>
      </c>
      <c r="DI19" s="1597">
        <f>DJ19+DK19</f>
        <v>1908.4353599999997</v>
      </c>
      <c r="DJ19" s="1597">
        <f>SUM('хим реагенты'!T67)</f>
        <v>1908.4353599999997</v>
      </c>
      <c r="DK19" s="1597">
        <v>0</v>
      </c>
      <c r="DL19" s="1597">
        <f>DM19+DN19</f>
        <v>2180.210805943962</v>
      </c>
      <c r="DM19" s="1597">
        <f>SUM('хим реагенты'!U67)</f>
        <v>2180.210805943962</v>
      </c>
      <c r="DN19" s="1597">
        <v>0</v>
      </c>
      <c r="DO19" s="1597">
        <f>DP19+DQ19</f>
        <v>1231.8494878691774</v>
      </c>
      <c r="DP19" s="1597">
        <f>SUM('хим реагенты'!V67)</f>
        <v>1231.8494878691774</v>
      </c>
      <c r="DQ19" s="1597">
        <v>0</v>
      </c>
      <c r="DR19" s="1597">
        <f>DS19+DT19</f>
        <v>405.68701999999996</v>
      </c>
      <c r="DS19" s="1597">
        <f>SUM('хим реагенты'!W67)</f>
        <v>405.68701999999996</v>
      </c>
      <c r="DT19" s="1597">
        <v>0</v>
      </c>
      <c r="DU19" s="1597">
        <f>DV19+DW19</f>
        <v>530.97896000000003</v>
      </c>
      <c r="DV19" s="1597">
        <f>SUM('хим реагенты'!X67)</f>
        <v>530.97896000000003</v>
      </c>
      <c r="DW19" s="1597">
        <v>0</v>
      </c>
      <c r="DX19" s="1597">
        <f>DY19+DZ19</f>
        <v>609.7087600000001</v>
      </c>
      <c r="DY19" s="1597">
        <f>SUM('хим реагенты'!Y67)</f>
        <v>609.7087600000001</v>
      </c>
      <c r="DZ19" s="1597">
        <v>0</v>
      </c>
      <c r="EA19" s="2343">
        <f>EB19+EC19</f>
        <v>1380.5665172067152</v>
      </c>
      <c r="EB19" s="2343">
        <f>SUM('хим реагенты'!Z67)</f>
        <v>1380.5665172067152</v>
      </c>
      <c r="EC19" s="2343">
        <v>0</v>
      </c>
      <c r="ED19" s="3959">
        <f>EE19+EF19</f>
        <v>0</v>
      </c>
      <c r="EE19" s="3959">
        <f>SUM('хим реагенты'!AK67)</f>
        <v>0</v>
      </c>
      <c r="EF19" s="3959">
        <v>0</v>
      </c>
      <c r="EG19" s="2343">
        <f>EH19+EI19</f>
        <v>1541.5790439547163</v>
      </c>
      <c r="EH19" s="2343">
        <f>SUM('хим реагенты'!AB67)</f>
        <v>1541.5790439547163</v>
      </c>
      <c r="EI19" s="2343">
        <v>0</v>
      </c>
      <c r="EJ19" s="2343">
        <f>EK19+EL19</f>
        <v>1445.684547947367</v>
      </c>
      <c r="EK19" s="2343">
        <f>SUM('хим реагенты'!AC67)</f>
        <v>1445.684547947367</v>
      </c>
      <c r="EL19" s="2343">
        <v>0</v>
      </c>
      <c r="EM19" s="3662">
        <f>EN19+EO19</f>
        <v>328.28644000000003</v>
      </c>
      <c r="EN19" s="3662">
        <f>SUM('хим реагенты'!AD67)</f>
        <v>328.28644000000003</v>
      </c>
      <c r="EO19" s="3662">
        <v>0</v>
      </c>
      <c r="EP19" s="3662">
        <f>EQ19+ER19</f>
        <v>666.09566000000007</v>
      </c>
      <c r="EQ19" s="3662">
        <f>SUM('хим реагенты'!AE67)</f>
        <v>666.09566000000007</v>
      </c>
      <c r="ER19" s="3662">
        <v>0</v>
      </c>
    </row>
    <row r="20" spans="1:148" ht="21" customHeight="1" x14ac:dyDescent="0.2">
      <c r="A20" s="3214" t="s">
        <v>2</v>
      </c>
      <c r="B20" s="3674">
        <v>1528</v>
      </c>
      <c r="C20" s="3193">
        <v>1086.5999999999999</v>
      </c>
      <c r="D20" s="1725">
        <f t="shared" si="0"/>
        <v>71.112565445026178</v>
      </c>
      <c r="E20" s="3193">
        <v>1110.8</v>
      </c>
      <c r="F20" s="1725">
        <f t="shared" si="24"/>
        <v>102.2271304988036</v>
      </c>
      <c r="G20" s="3193">
        <v>1206.3</v>
      </c>
      <c r="H20" s="1725">
        <f t="shared" si="2"/>
        <v>108.59740727403673</v>
      </c>
      <c r="I20" s="1597">
        <v>1250</v>
      </c>
      <c r="J20" s="1597">
        <v>602.20000000000005</v>
      </c>
      <c r="K20" s="1597">
        <v>752.7</v>
      </c>
      <c r="L20" s="1597">
        <v>994.7</v>
      </c>
      <c r="M20" s="1600">
        <f t="shared" si="25"/>
        <v>82.458758186189186</v>
      </c>
      <c r="N20" s="1597">
        <v>1346.6</v>
      </c>
      <c r="O20" s="1600">
        <f t="shared" si="26"/>
        <v>107.72800000000001</v>
      </c>
      <c r="P20" s="1597">
        <v>1281</v>
      </c>
      <c r="Q20" s="1600">
        <f t="shared" si="27"/>
        <v>102.47999999999999</v>
      </c>
      <c r="R20" s="1600">
        <f t="shared" si="28"/>
        <v>128.78254750175932</v>
      </c>
      <c r="S20" s="1597" t="e">
        <f>P20/P75*S75</f>
        <v>#REF!</v>
      </c>
      <c r="T20" s="1597" t="e">
        <f t="shared" si="149"/>
        <v>#REF!</v>
      </c>
      <c r="U20" s="1597">
        <v>720.7</v>
      </c>
      <c r="V20" s="1597"/>
      <c r="W20" s="1597">
        <v>1281</v>
      </c>
      <c r="X20" s="1597"/>
      <c r="Y20" s="1597" t="e">
        <f>Аморт!G15</f>
        <v>#REF!</v>
      </c>
      <c r="Z20" s="1597" t="e">
        <f>($Z$75/$Y$75)*Y20</f>
        <v>#REF!</v>
      </c>
      <c r="AA20" s="1597" t="e">
        <f>Y20-Z20</f>
        <v>#REF!</v>
      </c>
      <c r="AB20" s="1597">
        <f>SUM(Аморт!L15)</f>
        <v>833.9</v>
      </c>
      <c r="AC20" s="1597">
        <f>SUM(AC75/AB75)*AB20</f>
        <v>826.65537080720333</v>
      </c>
      <c r="AD20" s="1597">
        <f>AB20-AC20</f>
        <v>7.2446291927966513</v>
      </c>
      <c r="AE20" s="1597">
        <v>960.9</v>
      </c>
      <c r="AF20" s="1597" t="e">
        <f t="shared" si="29"/>
        <v>#REF!</v>
      </c>
      <c r="AG20" s="1597">
        <v>960.9</v>
      </c>
      <c r="AH20" s="1597">
        <v>0</v>
      </c>
      <c r="AI20" s="1597">
        <f>Аморт!O15</f>
        <v>960.9</v>
      </c>
      <c r="AJ20" s="1597" t="e">
        <f t="shared" si="30"/>
        <v>#REF!</v>
      </c>
      <c r="AK20" s="1597">
        <f>AI20</f>
        <v>960.9</v>
      </c>
      <c r="AL20" s="1597"/>
      <c r="AM20" s="3682" t="e">
        <f>#REF!*Z20/Y20</f>
        <v>#REF!</v>
      </c>
      <c r="AN20" s="3682" t="e">
        <f>#REF!-AM20</f>
        <v>#REF!</v>
      </c>
      <c r="AO20" s="3682" t="e">
        <f t="shared" si="31"/>
        <v>#REF!</v>
      </c>
      <c r="AP20" s="1597">
        <f>SUM(Аморт!Q15)</f>
        <v>407.8</v>
      </c>
      <c r="AQ20" s="1597">
        <f>SUM(AQ75/AP75)*AP20</f>
        <v>405.4397129415708</v>
      </c>
      <c r="AR20" s="1597">
        <f>AP20-AQ20</f>
        <v>2.3602870584292077</v>
      </c>
      <c r="AS20" s="1597">
        <f>SUM(Аморт!R15)</f>
        <v>588.73</v>
      </c>
      <c r="AT20" s="1597">
        <f>SUM(AT75/AS75)*AS20</f>
        <v>584.44192467172388</v>
      </c>
      <c r="AU20" s="1597">
        <f>AS20-AT20</f>
        <v>4.2880753282761361</v>
      </c>
      <c r="AV20" s="1597">
        <f>SUM(Аморт!T15)</f>
        <v>960.9</v>
      </c>
      <c r="AW20" s="1600">
        <f t="shared" si="64"/>
        <v>1</v>
      </c>
      <c r="AX20" s="1597">
        <f>SUM(AX75/AV75)*AV20</f>
        <v>953.15303771955087</v>
      </c>
      <c r="AY20" s="1597">
        <f>AV20-AX20</f>
        <v>7.7469622804491109</v>
      </c>
      <c r="AZ20" s="1597">
        <f>SUM(Аморт!U15)</f>
        <v>960.9</v>
      </c>
      <c r="BA20" s="1591">
        <f t="shared" si="36"/>
        <v>1</v>
      </c>
      <c r="BB20" s="1597">
        <f>SUM(BB75/AZ75)*AZ20</f>
        <v>955.64878620526395</v>
      </c>
      <c r="BC20" s="1597">
        <f>AZ20-BB20</f>
        <v>5.2512137947360316</v>
      </c>
      <c r="BD20" s="1597">
        <f t="shared" si="151"/>
        <v>588.47</v>
      </c>
      <c r="BE20" s="1597">
        <v>584.5</v>
      </c>
      <c r="BF20" s="1597">
        <v>3.97</v>
      </c>
      <c r="BG20" s="1597">
        <f t="shared" si="152"/>
        <v>513.41</v>
      </c>
      <c r="BH20" s="1597">
        <v>510.32</v>
      </c>
      <c r="BI20" s="1597">
        <v>3.09</v>
      </c>
      <c r="BJ20" s="1597">
        <f t="shared" si="153"/>
        <v>588.47</v>
      </c>
      <c r="BK20" s="1597">
        <v>583.35</v>
      </c>
      <c r="BL20" s="1597">
        <v>5.12</v>
      </c>
      <c r="BM20" s="1597">
        <f t="shared" si="154"/>
        <v>453.95</v>
      </c>
      <c r="BN20" s="1597">
        <v>451.32</v>
      </c>
      <c r="BO20" s="1597">
        <v>2.63</v>
      </c>
      <c r="BP20" s="1597">
        <f t="shared" si="155"/>
        <v>513.41</v>
      </c>
      <c r="BQ20" s="1597">
        <v>510.42</v>
      </c>
      <c r="BR20" s="1597">
        <v>2.99</v>
      </c>
      <c r="BS20" s="1597">
        <f>Аморт!AM15</f>
        <v>513.41</v>
      </c>
      <c r="BT20" s="1597">
        <f>BS20/BS75*BT75</f>
        <v>510.40661179088897</v>
      </c>
      <c r="BU20" s="1597">
        <f>BS20/BS75*BU75</f>
        <v>3.0033882091110118</v>
      </c>
      <c r="BV20" s="1597">
        <f>SUM(Аморт!AS15)</f>
        <v>513.41</v>
      </c>
      <c r="BW20" s="1597">
        <f>BV20/BV75*BW75</f>
        <v>510.40661179088897</v>
      </c>
      <c r="BX20" s="1597">
        <f>BV20/BV75*BX75</f>
        <v>3.0033882091110118</v>
      </c>
      <c r="BY20" s="1726" t="str">
        <f>BY10</f>
        <v>Приложение</v>
      </c>
      <c r="BZ20" s="3735"/>
      <c r="CA20" s="3735"/>
      <c r="CB20" s="3735"/>
      <c r="CC20" s="3735"/>
      <c r="CD20" s="3735"/>
      <c r="CE20" s="3735"/>
      <c r="CF20" s="3735"/>
      <c r="CG20" s="3735"/>
      <c r="CH20" s="3735"/>
      <c r="CI20" s="3735"/>
      <c r="CJ20" s="3735"/>
      <c r="CK20" s="1597">
        <f>SUM(Аморт!AT15)</f>
        <v>513.41</v>
      </c>
      <c r="CL20" s="1597">
        <f>CK20/CK120*CL120+0.19</f>
        <v>510.41119798472181</v>
      </c>
      <c r="CM20" s="1597">
        <f>CK20/CK120*CM120-0.19</f>
        <v>2.9988020152781827</v>
      </c>
      <c r="CN20" s="1597">
        <f t="shared" ref="CN20:CN23" si="157">CO20+CP20</f>
        <v>253</v>
      </c>
      <c r="CO20" s="1597">
        <f>SUM(Аморт!AV15)</f>
        <v>253</v>
      </c>
      <c r="CP20" s="1597">
        <f>SUM(Аморт!AW15)</f>
        <v>0</v>
      </c>
      <c r="CQ20" s="1597">
        <f t="shared" ref="CQ20:CQ23" si="158">CR20+CS20</f>
        <v>369.04</v>
      </c>
      <c r="CR20" s="1597">
        <f>SUM(Аморт!AY15)</f>
        <v>369.04</v>
      </c>
      <c r="CS20" s="1597">
        <f>SUM(Аморт!AZ15)</f>
        <v>0</v>
      </c>
      <c r="CT20" s="1597">
        <f t="shared" ref="CT20:CT24" si="159">CU20+CV20</f>
        <v>475.83</v>
      </c>
      <c r="CU20" s="1597">
        <f>SUM(Аморт!BB15)</f>
        <v>475.83</v>
      </c>
      <c r="CV20" s="1597">
        <f>SUM(Аморт!BC15)</f>
        <v>0</v>
      </c>
      <c r="CW20" s="1597">
        <f t="shared" ref="CW20:CW24" si="160">CX20+CY20</f>
        <v>475.83</v>
      </c>
      <c r="CX20" s="1597">
        <f>SUM(Аморт!BD15)</f>
        <v>475.83</v>
      </c>
      <c r="CY20" s="1597">
        <f>SUM(Аморт!BF15)</f>
        <v>0</v>
      </c>
      <c r="CZ20" s="1597">
        <f t="shared" ref="CZ20:CZ24" si="161">DA20+DB20</f>
        <v>474.72103319785174</v>
      </c>
      <c r="DA20" s="1597">
        <f>SUM(Аморт!BE15)</f>
        <v>474.72103319785174</v>
      </c>
      <c r="DB20" s="1597">
        <v>0</v>
      </c>
      <c r="DC20" s="1597">
        <f t="shared" ref="DC20:DC24" si="162">DD20+DE20</f>
        <v>231.73</v>
      </c>
      <c r="DD20" s="1597">
        <f>SUM(Аморт!BJ15)</f>
        <v>231.73</v>
      </c>
      <c r="DE20" s="1597">
        <f>SUM(Аморт!BK15)</f>
        <v>0</v>
      </c>
      <c r="DF20" s="1597">
        <f t="shared" ref="DF20:DF24" si="163">DG20+DH20</f>
        <v>338.74</v>
      </c>
      <c r="DG20" s="1597">
        <f>SUM(Аморт!BM15)</f>
        <v>338.74</v>
      </c>
      <c r="DH20" s="1597">
        <v>0</v>
      </c>
      <c r="DI20" s="1597">
        <f t="shared" ref="DI20:DI24" si="164">DJ20+DK20</f>
        <v>461.09</v>
      </c>
      <c r="DJ20" s="1597">
        <f>SUM(Аморт!BP15)</f>
        <v>461.09</v>
      </c>
      <c r="DK20" s="1597">
        <v>0</v>
      </c>
      <c r="DL20" s="1597">
        <f t="shared" ref="DL20:DL24" si="165">DM20+DN20</f>
        <v>461.09</v>
      </c>
      <c r="DM20" s="1597">
        <f>SUM(Аморт!BR15)</f>
        <v>461.09</v>
      </c>
      <c r="DN20" s="1597">
        <v>0</v>
      </c>
      <c r="DO20" s="1597">
        <f t="shared" ref="DO20:DO24" si="166">DP20+DQ20</f>
        <v>461.09</v>
      </c>
      <c r="DP20" s="1597">
        <f>SUM(Аморт!BS15)</f>
        <v>461.09</v>
      </c>
      <c r="DQ20" s="1597">
        <v>0</v>
      </c>
      <c r="DR20" s="1597">
        <f t="shared" ref="DR20:DR24" si="167">DS20+DT20</f>
        <v>203.29</v>
      </c>
      <c r="DS20" s="1597">
        <f>SUM(Аморт!BU15)</f>
        <v>203.29</v>
      </c>
      <c r="DT20" s="1597">
        <v>0</v>
      </c>
      <c r="DU20" s="1597">
        <f t="shared" ref="DU20:DU24" si="168">DV20+DW20</f>
        <v>294.43400000000003</v>
      </c>
      <c r="DV20" s="1597">
        <f>SUM(Аморт!BX15)</f>
        <v>294.43400000000003</v>
      </c>
      <c r="DW20" s="1597">
        <v>0</v>
      </c>
      <c r="DX20" s="1597">
        <f t="shared" ref="DX20:DX24" si="169">DY20+DZ20</f>
        <v>416.68200000000002</v>
      </c>
      <c r="DY20" s="1597">
        <f>SUM(Аморт!CA15)</f>
        <v>416.68200000000002</v>
      </c>
      <c r="DZ20" s="1597">
        <v>0</v>
      </c>
      <c r="EA20" s="2343">
        <f t="shared" ref="EA20:EA24" si="170">EB20+EC20</f>
        <v>461.09</v>
      </c>
      <c r="EB20" s="2343">
        <f>SUM(Аморт!CC15)</f>
        <v>461.09</v>
      </c>
      <c r="EC20" s="2343">
        <v>0</v>
      </c>
      <c r="ED20" s="3959">
        <f t="shared" ref="ED20:ED24" si="171">EE20+EF20</f>
        <v>0</v>
      </c>
      <c r="EE20" s="3959">
        <f>SUM(Аморт!CG15)</f>
        <v>0</v>
      </c>
      <c r="EF20" s="3959">
        <v>0</v>
      </c>
      <c r="EG20" s="2343">
        <f t="shared" ref="EG20:EG24" si="172">EH20+EI20</f>
        <v>461.09</v>
      </c>
      <c r="EH20" s="2343">
        <f>SUM(Аморт!CC15)</f>
        <v>461.09</v>
      </c>
      <c r="EI20" s="2343">
        <v>0</v>
      </c>
      <c r="EJ20" s="2343">
        <f t="shared" ref="EJ20:EJ24" si="173">EK20+EL20</f>
        <v>455.76377063779705</v>
      </c>
      <c r="EK20" s="2343">
        <f>SUM(Аморт!CD15)</f>
        <v>455.76377063779705</v>
      </c>
      <c r="EL20" s="2343">
        <v>0</v>
      </c>
      <c r="EM20" s="3662">
        <f t="shared" ref="EM20:EM24" si="174">EN20+EO20</f>
        <v>333.673</v>
      </c>
      <c r="EN20" s="3662">
        <f>SUM(Аморт!CE15)</f>
        <v>333.673</v>
      </c>
      <c r="EO20" s="3662">
        <v>0</v>
      </c>
      <c r="EP20" s="3662">
        <f t="shared" ref="EP20:EP24" si="175">EQ20+ER20</f>
        <v>1186.414</v>
      </c>
      <c r="EQ20" s="3662">
        <f>SUM(Аморт!CF15)</f>
        <v>1186.414</v>
      </c>
      <c r="ER20" s="3662">
        <v>0</v>
      </c>
    </row>
    <row r="21" spans="1:148" ht="21" customHeight="1" x14ac:dyDescent="0.2">
      <c r="A21" s="3214" t="s">
        <v>4280</v>
      </c>
      <c r="B21" s="3674">
        <v>56.9</v>
      </c>
      <c r="C21" s="3674">
        <v>110.1</v>
      </c>
      <c r="D21" s="1725">
        <f t="shared" si="0"/>
        <v>193.49736379613356</v>
      </c>
      <c r="E21" s="3674">
        <v>25.8</v>
      </c>
      <c r="F21" s="1725">
        <f t="shared" si="24"/>
        <v>23.43324250681199</v>
      </c>
      <c r="G21" s="3193"/>
      <c r="H21" s="1725">
        <f t="shared" si="2"/>
        <v>0</v>
      </c>
      <c r="I21" s="1597">
        <v>0</v>
      </c>
      <c r="J21" s="1597">
        <v>31</v>
      </c>
      <c r="K21" s="1597">
        <v>42.2</v>
      </c>
      <c r="L21" s="1597">
        <v>51.9</v>
      </c>
      <c r="M21" s="1600"/>
      <c r="N21" s="1597"/>
      <c r="O21" s="1600"/>
      <c r="P21" s="1597"/>
      <c r="Q21" s="1600"/>
      <c r="R21" s="1600"/>
      <c r="S21" s="1597"/>
      <c r="T21" s="1597">
        <f t="shared" si="149"/>
        <v>0</v>
      </c>
      <c r="U21" s="1597"/>
      <c r="V21" s="1597"/>
      <c r="W21" s="1597">
        <v>55.65</v>
      </c>
      <c r="X21" s="1597"/>
      <c r="Y21" s="1597">
        <v>0</v>
      </c>
      <c r="Z21" s="1597" t="e">
        <f>($Z$75/$Y$75)*Y21</f>
        <v>#REF!</v>
      </c>
      <c r="AA21" s="1597" t="e">
        <f>Y21-Z21</f>
        <v>#REF!</v>
      </c>
      <c r="AB21" s="1597">
        <v>0</v>
      </c>
      <c r="AC21" s="1597">
        <v>0</v>
      </c>
      <c r="AD21" s="1597">
        <v>0</v>
      </c>
      <c r="AE21" s="1597">
        <v>0</v>
      </c>
      <c r="AF21" s="1597"/>
      <c r="AG21" s="1597">
        <v>290</v>
      </c>
      <c r="AH21" s="1597">
        <v>0</v>
      </c>
      <c r="AI21" s="1597">
        <v>0</v>
      </c>
      <c r="AJ21" s="1597"/>
      <c r="AK21" s="1597">
        <v>0</v>
      </c>
      <c r="AL21" s="1597">
        <v>0</v>
      </c>
      <c r="AM21" s="3682" t="e">
        <f>#REF!</f>
        <v>#REF!</v>
      </c>
      <c r="AN21" s="3682" t="e">
        <f>#REF!-AM21</f>
        <v>#REF!</v>
      </c>
      <c r="AO21" s="3682" t="e">
        <f t="shared" si="31"/>
        <v>#REF!</v>
      </c>
      <c r="AP21" s="1597">
        <v>0</v>
      </c>
      <c r="AQ21" s="1597">
        <v>0</v>
      </c>
      <c r="AR21" s="1597">
        <v>0</v>
      </c>
      <c r="AS21" s="1597">
        <v>0</v>
      </c>
      <c r="AT21" s="1597">
        <v>0</v>
      </c>
      <c r="AU21" s="1597">
        <v>0</v>
      </c>
      <c r="AV21" s="1597">
        <v>0</v>
      </c>
      <c r="AW21" s="1600">
        <v>0</v>
      </c>
      <c r="AX21" s="1597">
        <v>0</v>
      </c>
      <c r="AY21" s="1597">
        <v>0</v>
      </c>
      <c r="AZ21" s="1597">
        <v>0</v>
      </c>
      <c r="BA21" s="1591">
        <v>0</v>
      </c>
      <c r="BB21" s="1597">
        <v>0</v>
      </c>
      <c r="BC21" s="1597">
        <v>0</v>
      </c>
      <c r="BD21" s="1597">
        <f t="shared" si="151"/>
        <v>0</v>
      </c>
      <c r="BE21" s="1597">
        <v>0</v>
      </c>
      <c r="BF21" s="1597">
        <v>0</v>
      </c>
      <c r="BG21" s="1597">
        <f t="shared" si="152"/>
        <v>0</v>
      </c>
      <c r="BH21" s="1597">
        <v>0</v>
      </c>
      <c r="BI21" s="1597">
        <v>0</v>
      </c>
      <c r="BJ21" s="1597">
        <f t="shared" si="153"/>
        <v>0</v>
      </c>
      <c r="BK21" s="1597">
        <v>0</v>
      </c>
      <c r="BL21" s="1597">
        <v>0</v>
      </c>
      <c r="BM21" s="1597">
        <f t="shared" si="154"/>
        <v>0</v>
      </c>
      <c r="BN21" s="1597">
        <v>0</v>
      </c>
      <c r="BO21" s="1597">
        <v>0</v>
      </c>
      <c r="BP21" s="1597">
        <f t="shared" si="155"/>
        <v>0</v>
      </c>
      <c r="BQ21" s="1597">
        <v>0</v>
      </c>
      <c r="BR21" s="1597">
        <v>0</v>
      </c>
      <c r="BS21" s="1597">
        <f t="shared" si="156"/>
        <v>0</v>
      </c>
      <c r="BT21" s="1597">
        <v>0</v>
      </c>
      <c r="BU21" s="1597">
        <v>0</v>
      </c>
      <c r="BV21" s="1597">
        <f t="shared" ref="BV21" si="176">BW21+BX21</f>
        <v>0</v>
      </c>
      <c r="BW21" s="1597">
        <v>0</v>
      </c>
      <c r="BX21" s="1597">
        <v>0</v>
      </c>
      <c r="BY21" s="1726" t="s">
        <v>239</v>
      </c>
      <c r="BZ21" s="3735"/>
      <c r="CA21" s="3735"/>
      <c r="CB21" s="3735"/>
      <c r="CC21" s="3735"/>
      <c r="CD21" s="3735"/>
      <c r="CE21" s="3735"/>
      <c r="CF21" s="3735"/>
      <c r="CG21" s="3735"/>
      <c r="CH21" s="3735"/>
      <c r="CI21" s="3735"/>
      <c r="CJ21" s="3735"/>
      <c r="CK21" s="1597">
        <f t="shared" ref="CK21" si="177">CL21+CM21</f>
        <v>0</v>
      </c>
      <c r="CL21" s="1597">
        <v>0</v>
      </c>
      <c r="CM21" s="1597">
        <v>0</v>
      </c>
      <c r="CN21" s="1597">
        <f t="shared" si="157"/>
        <v>0</v>
      </c>
      <c r="CO21" s="1597">
        <v>0</v>
      </c>
      <c r="CP21" s="1597">
        <v>0</v>
      </c>
      <c r="CQ21" s="1597">
        <f t="shared" si="158"/>
        <v>0</v>
      </c>
      <c r="CR21" s="1597">
        <v>0</v>
      </c>
      <c r="CS21" s="1597">
        <v>0</v>
      </c>
      <c r="CT21" s="1597">
        <f t="shared" si="159"/>
        <v>0</v>
      </c>
      <c r="CU21" s="1597">
        <v>0</v>
      </c>
      <c r="CV21" s="1597">
        <v>0</v>
      </c>
      <c r="CW21" s="1597">
        <f t="shared" si="160"/>
        <v>0</v>
      </c>
      <c r="CX21" s="1597">
        <v>0</v>
      </c>
      <c r="CY21" s="1597">
        <v>0</v>
      </c>
      <c r="CZ21" s="1597">
        <f t="shared" si="161"/>
        <v>0</v>
      </c>
      <c r="DA21" s="1597">
        <v>0</v>
      </c>
      <c r="DB21" s="1597">
        <v>0</v>
      </c>
      <c r="DC21" s="1597">
        <f t="shared" si="162"/>
        <v>0</v>
      </c>
      <c r="DD21" s="1597">
        <v>0</v>
      </c>
      <c r="DE21" s="1597">
        <v>0</v>
      </c>
      <c r="DF21" s="1597">
        <f t="shared" si="163"/>
        <v>0</v>
      </c>
      <c r="DG21" s="1597">
        <v>0</v>
      </c>
      <c r="DH21" s="1597">
        <v>0</v>
      </c>
      <c r="DI21" s="1597">
        <f t="shared" si="164"/>
        <v>0</v>
      </c>
      <c r="DJ21" s="1597">
        <v>0</v>
      </c>
      <c r="DK21" s="1597">
        <v>0</v>
      </c>
      <c r="DL21" s="1597">
        <f t="shared" si="165"/>
        <v>0</v>
      </c>
      <c r="DM21" s="1597">
        <v>0</v>
      </c>
      <c r="DN21" s="1597">
        <v>0</v>
      </c>
      <c r="DO21" s="1597">
        <f t="shared" si="166"/>
        <v>0</v>
      </c>
      <c r="DP21" s="1597">
        <v>0</v>
      </c>
      <c r="DQ21" s="1597">
        <v>0</v>
      </c>
      <c r="DR21" s="1597">
        <f t="shared" si="167"/>
        <v>0</v>
      </c>
      <c r="DS21" s="1597">
        <v>0</v>
      </c>
      <c r="DT21" s="1597">
        <v>0</v>
      </c>
      <c r="DU21" s="1597">
        <f t="shared" si="168"/>
        <v>0</v>
      </c>
      <c r="DV21" s="1597">
        <v>0</v>
      </c>
      <c r="DW21" s="1597">
        <v>0</v>
      </c>
      <c r="DX21" s="1597">
        <f t="shared" si="169"/>
        <v>0</v>
      </c>
      <c r="DY21" s="1597">
        <v>0</v>
      </c>
      <c r="DZ21" s="1597">
        <v>0</v>
      </c>
      <c r="EA21" s="2343">
        <f t="shared" si="170"/>
        <v>0</v>
      </c>
      <c r="EB21" s="2343">
        <v>0</v>
      </c>
      <c r="EC21" s="2343">
        <v>0</v>
      </c>
      <c r="ED21" s="3959">
        <f t="shared" si="171"/>
        <v>0</v>
      </c>
      <c r="EE21" s="3959">
        <v>0</v>
      </c>
      <c r="EF21" s="3959">
        <v>0</v>
      </c>
      <c r="EG21" s="2343">
        <f t="shared" si="172"/>
        <v>0</v>
      </c>
      <c r="EH21" s="2343">
        <v>0</v>
      </c>
      <c r="EI21" s="2343">
        <v>0</v>
      </c>
      <c r="EJ21" s="2343">
        <f t="shared" si="173"/>
        <v>0</v>
      </c>
      <c r="EK21" s="2343">
        <v>0</v>
      </c>
      <c r="EL21" s="2343">
        <v>0</v>
      </c>
      <c r="EM21" s="3662">
        <f t="shared" si="174"/>
        <v>0</v>
      </c>
      <c r="EN21" s="3662">
        <v>0</v>
      </c>
      <c r="EO21" s="3662">
        <v>0</v>
      </c>
      <c r="EP21" s="3662">
        <f t="shared" si="175"/>
        <v>0</v>
      </c>
      <c r="EQ21" s="3662">
        <v>0</v>
      </c>
      <c r="ER21" s="3662">
        <v>0</v>
      </c>
    </row>
    <row r="22" spans="1:148" s="2730" customFormat="1" ht="21" customHeight="1" x14ac:dyDescent="0.2">
      <c r="A22" s="3214" t="s">
        <v>3</v>
      </c>
      <c r="B22" s="3674">
        <v>1425.1</v>
      </c>
      <c r="C22" s="3193">
        <v>504.9</v>
      </c>
      <c r="D22" s="1725">
        <f t="shared" si="0"/>
        <v>35.429092695249459</v>
      </c>
      <c r="E22" s="3193">
        <v>828</v>
      </c>
      <c r="F22" s="1725">
        <f t="shared" si="24"/>
        <v>163.99286987522282</v>
      </c>
      <c r="G22" s="3193">
        <v>514.29999999999995</v>
      </c>
      <c r="H22" s="1725">
        <f t="shared" si="2"/>
        <v>62.113526570048307</v>
      </c>
      <c r="I22" s="1597">
        <v>841.5</v>
      </c>
      <c r="J22" s="1597">
        <v>339.9</v>
      </c>
      <c r="K22" s="1597">
        <v>245.3</v>
      </c>
      <c r="L22" s="1597">
        <v>279.7</v>
      </c>
      <c r="M22" s="1600">
        <f t="shared" si="25"/>
        <v>54.384600427765896</v>
      </c>
      <c r="N22" s="1597">
        <v>925.65</v>
      </c>
      <c r="O22" s="1600">
        <f t="shared" si="26"/>
        <v>109.99999999999999</v>
      </c>
      <c r="P22" s="1597">
        <v>882.7</v>
      </c>
      <c r="Q22" s="1600">
        <f t="shared" si="27"/>
        <v>104.89601901366608</v>
      </c>
      <c r="R22" s="1600">
        <f t="shared" si="28"/>
        <v>315.58813013943512</v>
      </c>
      <c r="S22" s="1597" t="e">
        <f>P22/P75*S75</f>
        <v>#REF!</v>
      </c>
      <c r="T22" s="1597" t="e">
        <f t="shared" si="149"/>
        <v>#REF!</v>
      </c>
      <c r="U22" s="1597">
        <v>102.4</v>
      </c>
      <c r="V22" s="1597"/>
      <c r="W22" s="1597">
        <v>906</v>
      </c>
      <c r="X22" s="1597"/>
      <c r="Y22" s="1597">
        <f>U22/3*4*1.048+1.3</f>
        <v>144.38693333333336</v>
      </c>
      <c r="Z22" s="1597">
        <f>Y22</f>
        <v>144.38693333333336</v>
      </c>
      <c r="AA22" s="1597">
        <v>0.3</v>
      </c>
      <c r="AB22" s="1597">
        <f>SUM(AC22:AD22)</f>
        <v>195.4</v>
      </c>
      <c r="AC22" s="1597">
        <v>195.4</v>
      </c>
      <c r="AD22" s="1597">
        <v>0</v>
      </c>
      <c r="AE22" s="1597">
        <v>290</v>
      </c>
      <c r="AF22" s="1597">
        <f t="shared" si="29"/>
        <v>2.0084919965056853</v>
      </c>
      <c r="AG22" s="1597">
        <v>290</v>
      </c>
      <c r="AH22" s="1597">
        <v>0</v>
      </c>
      <c r="AI22" s="1597">
        <v>0</v>
      </c>
      <c r="AJ22" s="1597"/>
      <c r="AK22" s="1597">
        <f>AI22-AL22</f>
        <v>0</v>
      </c>
      <c r="AL22" s="1597">
        <v>0</v>
      </c>
      <c r="AM22" s="3682" t="e">
        <f>#REF!*Z22/Y22</f>
        <v>#REF!</v>
      </c>
      <c r="AN22" s="3682" t="e">
        <f>#REF!-AM22</f>
        <v>#REF!</v>
      </c>
      <c r="AO22" s="3682" t="e">
        <f t="shared" si="31"/>
        <v>#REF!</v>
      </c>
      <c r="AP22" s="1597">
        <f>SUM(AQ22:AR22)</f>
        <v>0</v>
      </c>
      <c r="AQ22" s="1597">
        <v>0</v>
      </c>
      <c r="AR22" s="1597">
        <v>0</v>
      </c>
      <c r="AS22" s="1597">
        <f>SUM(AT22:AU22)</f>
        <v>0</v>
      </c>
      <c r="AT22" s="1597">
        <v>0</v>
      </c>
      <c r="AU22" s="1597">
        <v>0</v>
      </c>
      <c r="AV22" s="1597">
        <f>SUM(AX22:AY22)</f>
        <v>195.4</v>
      </c>
      <c r="AW22" s="1600"/>
      <c r="AX22" s="1597">
        <f>SUM(AC22)</f>
        <v>195.4</v>
      </c>
      <c r="AY22" s="1597">
        <v>0</v>
      </c>
      <c r="AZ22" s="1597">
        <f>SUM(BB22:BC22)</f>
        <v>0</v>
      </c>
      <c r="BA22" s="1591">
        <v>0</v>
      </c>
      <c r="BB22" s="1597">
        <v>0</v>
      </c>
      <c r="BC22" s="1597">
        <v>0</v>
      </c>
      <c r="BD22" s="1597">
        <f t="shared" si="151"/>
        <v>347.32</v>
      </c>
      <c r="BE22" s="1597">
        <v>347.32</v>
      </c>
      <c r="BF22" s="1597">
        <v>0</v>
      </c>
      <c r="BG22" s="1597">
        <f t="shared" si="152"/>
        <v>960.04</v>
      </c>
      <c r="BH22" s="1597">
        <v>960.04</v>
      </c>
      <c r="BI22" s="1597">
        <v>0</v>
      </c>
      <c r="BJ22" s="1597">
        <f t="shared" si="153"/>
        <v>0</v>
      </c>
      <c r="BK22" s="1597">
        <v>0</v>
      </c>
      <c r="BL22" s="1597">
        <v>0</v>
      </c>
      <c r="BM22" s="1597">
        <f t="shared" si="154"/>
        <v>1298.796</v>
      </c>
      <c r="BN22" s="1597">
        <v>1291.268</v>
      </c>
      <c r="BO22" s="1597">
        <v>7.5279999999999996</v>
      </c>
      <c r="BP22" s="1597">
        <f t="shared" si="155"/>
        <v>934.15</v>
      </c>
      <c r="BQ22" s="1597">
        <v>934.15</v>
      </c>
      <c r="BR22" s="1597">
        <v>0</v>
      </c>
      <c r="BS22" s="1597">
        <v>0</v>
      </c>
      <c r="BT22" s="1597">
        <f>BS22</f>
        <v>0</v>
      </c>
      <c r="BU22" s="1597">
        <v>0</v>
      </c>
      <c r="BV22" s="1597">
        <f>SUM('рем программа'!I34:J34)</f>
        <v>481.08499999999998</v>
      </c>
      <c r="BW22" s="1597">
        <f>BV22</f>
        <v>481.08499999999998</v>
      </c>
      <c r="BX22" s="1597">
        <v>0</v>
      </c>
      <c r="BY22" s="3675"/>
      <c r="BZ22" s="3735"/>
      <c r="CA22" s="3735"/>
      <c r="CB22" s="3735"/>
      <c r="CC22" s="3735"/>
      <c r="CD22" s="3735"/>
      <c r="CE22" s="3735"/>
      <c r="CF22" s="3735"/>
      <c r="CG22" s="3735"/>
      <c r="CH22" s="3735"/>
      <c r="CI22" s="3735"/>
      <c r="CJ22" s="3735"/>
      <c r="CK22" s="1597">
        <f>SUM('рем программа'!K34)</f>
        <v>0</v>
      </c>
      <c r="CL22" s="1597">
        <v>0</v>
      </c>
      <c r="CM22" s="1597">
        <v>0</v>
      </c>
      <c r="CN22" s="1597">
        <f t="shared" si="157"/>
        <v>165.75</v>
      </c>
      <c r="CO22" s="1597">
        <f>SUM('рем программа'!L34)</f>
        <v>165.75</v>
      </c>
      <c r="CP22" s="1597">
        <v>0</v>
      </c>
      <c r="CQ22" s="1597">
        <f t="shared" si="158"/>
        <v>305.58999999999997</v>
      </c>
      <c r="CR22" s="1597">
        <f>SUM('рем программа'!M34)</f>
        <v>305.58999999999997</v>
      </c>
      <c r="CS22" s="1597">
        <v>0</v>
      </c>
      <c r="CT22" s="1597">
        <f t="shared" si="159"/>
        <v>283.89</v>
      </c>
      <c r="CU22" s="1597">
        <f>SUM('рем программа'!N34)</f>
        <v>283.89</v>
      </c>
      <c r="CV22" s="1597">
        <v>0</v>
      </c>
      <c r="CW22" s="1597">
        <f t="shared" si="160"/>
        <v>293.97945060000001</v>
      </c>
      <c r="CX22" s="1597">
        <f>SUM('рем программа'!O34)</f>
        <v>293.97945060000001</v>
      </c>
      <c r="CY22" s="1597">
        <v>0</v>
      </c>
      <c r="CZ22" s="1597">
        <f t="shared" si="161"/>
        <v>0</v>
      </c>
      <c r="DA22" s="1597">
        <f>SUM('рем программа'!P34)</f>
        <v>0</v>
      </c>
      <c r="DB22" s="1597">
        <v>0</v>
      </c>
      <c r="DC22" s="1597">
        <f t="shared" si="162"/>
        <v>205.33</v>
      </c>
      <c r="DD22" s="1597">
        <f>SUM('рем программа'!Q34)</f>
        <v>205.33</v>
      </c>
      <c r="DE22" s="1597">
        <v>0</v>
      </c>
      <c r="DF22" s="1597">
        <f t="shared" si="163"/>
        <v>371.3</v>
      </c>
      <c r="DG22" s="1597">
        <f>SUM('рем программа'!R34)</f>
        <v>371.3</v>
      </c>
      <c r="DH22" s="1597">
        <v>0</v>
      </c>
      <c r="DI22" s="1597">
        <f t="shared" si="164"/>
        <v>454.08</v>
      </c>
      <c r="DJ22" s="1597">
        <f>SUM('рем программа'!S34)</f>
        <v>454.08</v>
      </c>
      <c r="DK22" s="1597">
        <v>0</v>
      </c>
      <c r="DL22" s="1597">
        <f t="shared" si="165"/>
        <v>472.01616000000001</v>
      </c>
      <c r="DM22" s="1597">
        <f>SUM('рем программа'!T34)</f>
        <v>472.01616000000001</v>
      </c>
      <c r="DN22" s="1597">
        <v>0</v>
      </c>
      <c r="DO22" s="1597">
        <f t="shared" si="166"/>
        <v>0</v>
      </c>
      <c r="DP22" s="1597">
        <f>SUM('рем программа'!U34)</f>
        <v>0</v>
      </c>
      <c r="DQ22" s="1597">
        <v>0</v>
      </c>
      <c r="DR22" s="1597">
        <f t="shared" si="167"/>
        <v>444.37</v>
      </c>
      <c r="DS22" s="1597">
        <f>SUM('рем программа'!V34)</f>
        <v>444.37</v>
      </c>
      <c r="DT22" s="1597">
        <v>0</v>
      </c>
      <c r="DU22" s="1597">
        <f t="shared" si="168"/>
        <v>754.11</v>
      </c>
      <c r="DV22" s="1597">
        <f>SUM('рем программа'!W34)</f>
        <v>754.11</v>
      </c>
      <c r="DW22" s="1597">
        <v>0</v>
      </c>
      <c r="DX22" s="1597">
        <f t="shared" si="169"/>
        <v>1174.327</v>
      </c>
      <c r="DY22" s="1597">
        <f>SUM('рем программа'!X34)</f>
        <v>1174.327</v>
      </c>
      <c r="DZ22" s="1597">
        <v>0</v>
      </c>
      <c r="EA22" s="2343">
        <f t="shared" si="170"/>
        <v>490.66079832000003</v>
      </c>
      <c r="EB22" s="2343">
        <f>SUM('рем программа'!Y34)</f>
        <v>490.66079832000003</v>
      </c>
      <c r="EC22" s="2343">
        <v>0</v>
      </c>
      <c r="ED22" s="3959">
        <f t="shared" si="171"/>
        <v>0</v>
      </c>
      <c r="EE22" s="3959">
        <f>SUM('рем программа'!AJ34)</f>
        <v>0</v>
      </c>
      <c r="EF22" s="3959">
        <v>0</v>
      </c>
      <c r="EG22" s="2343">
        <f t="shared" si="172"/>
        <v>490.66079832000003</v>
      </c>
      <c r="EH22" s="2343">
        <f>SUM('рем программа'!Y34)</f>
        <v>490.66079832000003</v>
      </c>
      <c r="EI22" s="2343">
        <v>0</v>
      </c>
      <c r="EJ22" s="2343">
        <f t="shared" si="173"/>
        <v>0</v>
      </c>
      <c r="EK22" s="2343">
        <f>SUM('рем программа'!Z34)</f>
        <v>0</v>
      </c>
      <c r="EL22" s="2343">
        <v>0</v>
      </c>
      <c r="EM22" s="3662">
        <f t="shared" si="174"/>
        <v>940.57299999999998</v>
      </c>
      <c r="EN22" s="3662">
        <f>SUM('рем программа'!AA34)</f>
        <v>940.57299999999998</v>
      </c>
      <c r="EO22" s="3662">
        <v>0</v>
      </c>
      <c r="EP22" s="3662">
        <f t="shared" si="175"/>
        <v>1757.5409999999999</v>
      </c>
      <c r="EQ22" s="3662">
        <f>SUM('рем программа'!AB34)</f>
        <v>1757.5409999999999</v>
      </c>
      <c r="ER22" s="3662">
        <v>0</v>
      </c>
    </row>
    <row r="23" spans="1:148" ht="21" customHeight="1" x14ac:dyDescent="0.2">
      <c r="A23" s="3214" t="s">
        <v>4</v>
      </c>
      <c r="B23" s="3674">
        <v>10755.2</v>
      </c>
      <c r="C23" s="3193">
        <v>13034.8</v>
      </c>
      <c r="D23" s="1725">
        <f t="shared" si="0"/>
        <v>121.19532877119903</v>
      </c>
      <c r="E23" s="3193">
        <v>13879</v>
      </c>
      <c r="F23" s="1725">
        <f t="shared" si="24"/>
        <v>106.47650903734618</v>
      </c>
      <c r="G23" s="3193">
        <v>13019.43</v>
      </c>
      <c r="H23" s="1725">
        <f t="shared" si="2"/>
        <v>93.806686360688815</v>
      </c>
      <c r="I23" s="1597">
        <v>14405.8</v>
      </c>
      <c r="J23" s="1597">
        <v>6804.3</v>
      </c>
      <c r="K23" s="1597">
        <v>9271.6</v>
      </c>
      <c r="L23" s="1597">
        <v>13327.1</v>
      </c>
      <c r="M23" s="1600">
        <f t="shared" si="25"/>
        <v>102.36316029196362</v>
      </c>
      <c r="N23" s="1597">
        <v>16932.900000000001</v>
      </c>
      <c r="O23" s="1600">
        <f t="shared" si="26"/>
        <v>117.54223993113885</v>
      </c>
      <c r="P23" s="1597">
        <f>ЗП!AP16</f>
        <v>15428.825999999999</v>
      </c>
      <c r="Q23" s="1600">
        <f t="shared" si="27"/>
        <v>107.10148690110928</v>
      </c>
      <c r="R23" s="1600">
        <f t="shared" si="28"/>
        <v>115.77031762348898</v>
      </c>
      <c r="S23" s="1597" t="e">
        <f>P23/P75*S75</f>
        <v>#REF!</v>
      </c>
      <c r="T23" s="1597" t="e">
        <f t="shared" si="149"/>
        <v>#REF!</v>
      </c>
      <c r="U23" s="1597">
        <v>11392.9</v>
      </c>
      <c r="V23" s="1597"/>
      <c r="W23" s="1597">
        <v>17655.599999999999</v>
      </c>
      <c r="X23" s="1597"/>
      <c r="Y23" s="1597">
        <f>ЗП!U33</f>
        <v>15960.333312000001</v>
      </c>
      <c r="Z23" s="1597" t="e">
        <f>($Z$75/$Y$75)*Y23</f>
        <v>#REF!</v>
      </c>
      <c r="AA23" s="1597" t="e">
        <f>Y23-Z23</f>
        <v>#REF!</v>
      </c>
      <c r="AB23" s="1597">
        <v>14386.3</v>
      </c>
      <c r="AC23" s="1597">
        <f>SUM(AC75/AB75)*AB23</f>
        <v>14261.316897761924</v>
      </c>
      <c r="AD23" s="1597">
        <f>AB23-AC23</f>
        <v>124.98310223807493</v>
      </c>
      <c r="AE23" s="1597">
        <v>17655.599999999999</v>
      </c>
      <c r="AF23" s="1597">
        <f t="shared" si="29"/>
        <v>1.1062174990246216</v>
      </c>
      <c r="AG23" s="1597">
        <v>17525.77</v>
      </c>
      <c r="AH23" s="1597">
        <v>129.83000000000001</v>
      </c>
      <c r="AI23" s="1597">
        <f>ЗП!BB33</f>
        <v>17655.599999999999</v>
      </c>
      <c r="AJ23" s="1597">
        <f t="shared" si="30"/>
        <v>1.1062174990246216</v>
      </c>
      <c r="AK23" s="1597" t="e">
        <f>AI23-AL23</f>
        <v>#REF!</v>
      </c>
      <c r="AL23" s="1597" t="e">
        <f>AA23*1.067</f>
        <v>#REF!</v>
      </c>
      <c r="AM23" s="3682" t="e">
        <f>#REF!*Z23/Y23</f>
        <v>#REF!</v>
      </c>
      <c r="AN23" s="3682" t="e">
        <f>#REF!-AM23</f>
        <v>#REF!</v>
      </c>
      <c r="AO23" s="3682" t="e">
        <f t="shared" si="31"/>
        <v>#REF!</v>
      </c>
      <c r="AP23" s="1597">
        <f>SUM(ЗП!BG33)</f>
        <v>7216.8</v>
      </c>
      <c r="AQ23" s="1597">
        <f>SUM(AQ75/AP75)*AP23</f>
        <v>7175.0302117624524</v>
      </c>
      <c r="AR23" s="1597">
        <f>AP23-AQ23</f>
        <v>41.7697882375478</v>
      </c>
      <c r="AS23" s="1597">
        <f>SUM(ЗП!BK33)</f>
        <v>11302.5</v>
      </c>
      <c r="AT23" s="1597">
        <f>SUM(AT75/AS75)*AS23</f>
        <v>11220.177082197541</v>
      </c>
      <c r="AU23" s="1597">
        <f>AS23-AT23</f>
        <v>82.322917802459415</v>
      </c>
      <c r="AV23" s="1597">
        <v>19817.509999999998</v>
      </c>
      <c r="AW23" s="1600">
        <f t="shared" si="64"/>
        <v>1.1224489680328054</v>
      </c>
      <c r="AX23" s="1597">
        <f>SUM(AX75/AV75)*AV23</f>
        <v>19657.737388424994</v>
      </c>
      <c r="AY23" s="1597">
        <f>AV23-AX23</f>
        <v>159.7726115750047</v>
      </c>
      <c r="AZ23" s="1597">
        <f>SUM(ЗП!BS33)</f>
        <v>17552.1672</v>
      </c>
      <c r="BA23" s="1591">
        <f t="shared" si="36"/>
        <v>0.9941416434445729</v>
      </c>
      <c r="BB23" s="1597">
        <f>SUM(BB75/AZ75)*AZ23</f>
        <v>17456.24651883843</v>
      </c>
      <c r="BC23" s="1597">
        <f>AZ23-BB23</f>
        <v>95.920681161569519</v>
      </c>
      <c r="BD23" s="1597">
        <f t="shared" si="151"/>
        <v>16390.27</v>
      </c>
      <c r="BE23" s="1597">
        <v>16279.72</v>
      </c>
      <c r="BF23" s="1597">
        <v>110.55</v>
      </c>
      <c r="BG23" s="1597">
        <f t="shared" si="152"/>
        <v>15801.96</v>
      </c>
      <c r="BH23" s="1597">
        <v>15706.97</v>
      </c>
      <c r="BI23" s="1597">
        <v>94.99</v>
      </c>
      <c r="BJ23" s="1597">
        <f t="shared" si="153"/>
        <v>19590.350000000002</v>
      </c>
      <c r="BK23" s="1597">
        <v>19451.27</v>
      </c>
      <c r="BL23" s="1597">
        <v>139.08000000000001</v>
      </c>
      <c r="BM23" s="1597">
        <f t="shared" si="154"/>
        <v>15092.69</v>
      </c>
      <c r="BN23" s="1597">
        <v>15005.266</v>
      </c>
      <c r="BO23" s="1597">
        <v>87.424000000000007</v>
      </c>
      <c r="BP23" s="1597">
        <f t="shared" si="155"/>
        <v>20711.75</v>
      </c>
      <c r="BQ23" s="1597">
        <v>20591.07</v>
      </c>
      <c r="BR23" s="1597">
        <v>120.68</v>
      </c>
      <c r="BS23" s="1597">
        <f>ЗП!CR33</f>
        <v>20391.780024</v>
      </c>
      <c r="BT23" s="1597">
        <f>BS23/BS75*BT75</f>
        <v>20272.490505512113</v>
      </c>
      <c r="BU23" s="1597">
        <f>BS23/BS75*BU75</f>
        <v>119.28951848788896</v>
      </c>
      <c r="BV23" s="1597">
        <f>SUM(ЗП!CU33)</f>
        <v>21329.801905103996</v>
      </c>
      <c r="BW23" s="1597">
        <f>BV23/BV75*BW75</f>
        <v>21205.025068765663</v>
      </c>
      <c r="BX23" s="1597">
        <f>BV23/BV75*BX75</f>
        <v>124.77683633833182</v>
      </c>
      <c r="BY23" s="1726" t="str">
        <f>BY13</f>
        <v>Приложение</v>
      </c>
      <c r="BZ23" s="3735"/>
      <c r="CA23" s="3735"/>
      <c r="CB23" s="3735"/>
      <c r="CC23" s="3735"/>
      <c r="CD23" s="3735"/>
      <c r="CE23" s="3735"/>
      <c r="CF23" s="3735"/>
      <c r="CG23" s="3735"/>
      <c r="CH23" s="3735"/>
      <c r="CI23" s="3735"/>
      <c r="CJ23" s="3735"/>
      <c r="CK23" s="1597">
        <f>SUM(ЗП!CX33)</f>
        <v>20793.4980904728</v>
      </c>
      <c r="CL23" s="1597">
        <f>CK23/CK120*CL120</f>
        <v>20664.349167359531</v>
      </c>
      <c r="CM23" s="1597">
        <f>CK23/CK120*CM120</f>
        <v>129.14892311326759</v>
      </c>
      <c r="CN23" s="1597">
        <f t="shared" si="157"/>
        <v>7423.39</v>
      </c>
      <c r="CO23" s="1597">
        <f>SUM(ЗП!DA33)</f>
        <v>7367.77</v>
      </c>
      <c r="CP23" s="1597">
        <f>SUM(ЗП!DA36)</f>
        <v>55.62</v>
      </c>
      <c r="CQ23" s="1597">
        <f t="shared" si="158"/>
        <v>10882.68</v>
      </c>
      <c r="CR23" s="1597">
        <f>SUM(ЗП!DD33)</f>
        <v>10809.25</v>
      </c>
      <c r="CS23" s="1597">
        <f>SUM(ЗП!DD36)</f>
        <v>73.430000000000007</v>
      </c>
      <c r="CT23" s="1597">
        <f t="shared" si="159"/>
        <v>14053.210000000001</v>
      </c>
      <c r="CU23" s="1597">
        <f>SUM(ЗП!DG33)</f>
        <v>13953.12</v>
      </c>
      <c r="CV23" s="1597">
        <f>SUM(ЗП!DG36)</f>
        <v>100.09</v>
      </c>
      <c r="CW23" s="1597">
        <f t="shared" si="160"/>
        <v>25624.644408</v>
      </c>
      <c r="CX23" s="1597">
        <f>SUM(ЗП!DJ33)</f>
        <v>25470.896541552</v>
      </c>
      <c r="CY23" s="1597">
        <f>SUM(ЗП!DJ36)</f>
        <v>153.74786644800002</v>
      </c>
      <c r="CZ23" s="1597">
        <f t="shared" si="161"/>
        <v>21493.055452687484</v>
      </c>
      <c r="DA23" s="1597">
        <f>SUM(ЗП!DM33)</f>
        <v>21368.054339534876</v>
      </c>
      <c r="DB23" s="1597">
        <f>SUM(ЗП!DM36)</f>
        <v>125.001113152608</v>
      </c>
      <c r="DC23" s="1597">
        <f t="shared" si="162"/>
        <v>7062.9699999999993</v>
      </c>
      <c r="DD23" s="1597">
        <f>SUM(ЗП!DR33)</f>
        <v>7012.4</v>
      </c>
      <c r="DE23" s="1597">
        <f>SUM(ЗП!DR36)</f>
        <v>50.57</v>
      </c>
      <c r="DF23" s="1597">
        <f t="shared" si="163"/>
        <v>10604.575000000001</v>
      </c>
      <c r="DG23" s="1597">
        <f>SUM(ЗП!DU33)</f>
        <v>10530.165000000001</v>
      </c>
      <c r="DH23" s="1597">
        <f>SUM(ЗП!DU36)</f>
        <v>74.41</v>
      </c>
      <c r="DI23" s="1597">
        <f t="shared" si="164"/>
        <v>14362.71</v>
      </c>
      <c r="DJ23" s="1597">
        <f>SUM(ЗП!DX33)</f>
        <v>14261.33</v>
      </c>
      <c r="DK23" s="1597">
        <f>SUM(ЗП!DX36)</f>
        <v>101.38</v>
      </c>
      <c r="DL23" s="1597">
        <f t="shared" si="165"/>
        <v>27126.459360000004</v>
      </c>
      <c r="DM23" s="1597">
        <f>SUM(ЗП!EA33)</f>
        <v>26963.700603840003</v>
      </c>
      <c r="DN23" s="1597">
        <f>SUM(ЗП!EA36)</f>
        <v>162.75875616000002</v>
      </c>
      <c r="DO23" s="1597">
        <f t="shared" si="166"/>
        <v>22751.215993568068</v>
      </c>
      <c r="DP23" s="1597">
        <f>SUM(ЗП!ED33)</f>
        <v>22618.89756490018</v>
      </c>
      <c r="DQ23" s="1597">
        <f>SUM(ЗП!ED36)</f>
        <v>132.31842866788975</v>
      </c>
      <c r="DR23" s="1597">
        <f t="shared" si="167"/>
        <v>8357.2699999999986</v>
      </c>
      <c r="DS23" s="1597">
        <f>SUM(ЗП!EG33)</f>
        <v>8311.9599999999991</v>
      </c>
      <c r="DT23" s="1597">
        <f>SUM(ЗП!EG36)</f>
        <v>45.31</v>
      </c>
      <c r="DU23" s="1597">
        <f t="shared" si="168"/>
        <v>12713.26</v>
      </c>
      <c r="DV23" s="1597">
        <f>SUM(ЗП!EJ33)</f>
        <v>12642.01</v>
      </c>
      <c r="DW23" s="1597">
        <f>SUM(ЗП!EJ36)</f>
        <v>71.25</v>
      </c>
      <c r="DX23" s="1597">
        <f t="shared" si="169"/>
        <v>16854.673000000003</v>
      </c>
      <c r="DY23" s="1597">
        <f>SUM(ЗП!EM33)</f>
        <v>16757.041000000001</v>
      </c>
      <c r="DZ23" s="1597">
        <f>SUM(ЗП!EM36)</f>
        <v>97.632000000000005</v>
      </c>
      <c r="EA23" s="2343">
        <f t="shared" si="170"/>
        <v>30425.463842400004</v>
      </c>
      <c r="EB23" s="2343">
        <f>SUM(ЗП!EP33)</f>
        <v>30240.319032000003</v>
      </c>
      <c r="EC23" s="2343">
        <f>SUM(ЗП!EP36)</f>
        <v>185.14481039999998</v>
      </c>
      <c r="ED23" s="3959">
        <f t="shared" si="171"/>
        <v>26234.184153676528</v>
      </c>
      <c r="EE23" s="3959">
        <f>SUM(ЗП!ES33)</f>
        <v>26092.185861676528</v>
      </c>
      <c r="EF23" s="3959">
        <f>SUM(ЗП!ES36)</f>
        <v>141.99829200000002</v>
      </c>
      <c r="EG23" s="2343">
        <f t="shared" si="172"/>
        <v>30425.463842400004</v>
      </c>
      <c r="EH23" s="2343">
        <f>SUM(ЗП!EP33)</f>
        <v>30240.319032000003</v>
      </c>
      <c r="EI23" s="2343">
        <f>SUM(ЗП!EP36)</f>
        <v>185.14481039999998</v>
      </c>
      <c r="EJ23" s="2343">
        <f t="shared" si="173"/>
        <v>26234.184153676528</v>
      </c>
      <c r="EK23" s="2343">
        <f>SUM(ЗП!ES33)</f>
        <v>26092.185861676528</v>
      </c>
      <c r="EL23" s="2343">
        <f>SUM(ЗП!ES36)</f>
        <v>141.99829200000002</v>
      </c>
      <c r="EM23" s="3662">
        <f t="shared" si="174"/>
        <v>9820.9050000000007</v>
      </c>
      <c r="EN23" s="3662">
        <f>SUM(ЗП!EV33)</f>
        <v>9760.1910000000007</v>
      </c>
      <c r="EO23" s="3662">
        <f>SUM(ЗП!EV36)</f>
        <v>60.713999999999999</v>
      </c>
      <c r="EP23" s="3662">
        <f t="shared" si="175"/>
        <v>20041.765000000003</v>
      </c>
      <c r="EQ23" s="3662">
        <f>SUM(ЗП!EY33)</f>
        <v>19908.990000000002</v>
      </c>
      <c r="ER23" s="3662">
        <f>SUM(ЗП!EY36)</f>
        <v>132.77500000000001</v>
      </c>
    </row>
    <row r="24" spans="1:148" ht="21" customHeight="1" x14ac:dyDescent="0.2">
      <c r="A24" s="3214" t="s">
        <v>113</v>
      </c>
      <c r="B24" s="3674">
        <v>2761</v>
      </c>
      <c r="C24" s="3193">
        <v>3376.4</v>
      </c>
      <c r="D24" s="1725">
        <f t="shared" si="0"/>
        <v>122.28902571532055</v>
      </c>
      <c r="E24" s="3193">
        <v>3574.3</v>
      </c>
      <c r="F24" s="1725">
        <f t="shared" si="24"/>
        <v>105.86127236109466</v>
      </c>
      <c r="G24" s="3193">
        <v>4238.7</v>
      </c>
      <c r="H24" s="1725">
        <f t="shared" si="2"/>
        <v>118.58825504294546</v>
      </c>
      <c r="I24" s="1597">
        <f>I23*30.2/100</f>
        <v>4350.5515999999998</v>
      </c>
      <c r="J24" s="1597">
        <v>2141.6</v>
      </c>
      <c r="K24" s="1597">
        <v>2782.9</v>
      </c>
      <c r="L24" s="1597">
        <v>4001.1</v>
      </c>
      <c r="M24" s="1600">
        <f t="shared" si="25"/>
        <v>94.394507750017695</v>
      </c>
      <c r="N24" s="1597">
        <v>5113.7</v>
      </c>
      <c r="O24" s="1600">
        <f t="shared" si="26"/>
        <v>117.54141704697861</v>
      </c>
      <c r="P24" s="1597">
        <f>P23*30.2/100</f>
        <v>4659.5054519999994</v>
      </c>
      <c r="Q24" s="1600">
        <f t="shared" si="27"/>
        <v>107.10148690110928</v>
      </c>
      <c r="R24" s="1600">
        <f t="shared" si="28"/>
        <v>116.45561100697309</v>
      </c>
      <c r="S24" s="1597" t="e">
        <f>P24/P75*S75</f>
        <v>#REF!</v>
      </c>
      <c r="T24" s="1597" t="e">
        <f t="shared" si="149"/>
        <v>#REF!</v>
      </c>
      <c r="U24" s="1597">
        <v>3432</v>
      </c>
      <c r="V24" s="1597"/>
      <c r="W24" s="1597">
        <v>5331.99</v>
      </c>
      <c r="X24" s="1597"/>
      <c r="Y24" s="1597">
        <f>Y23*U25</f>
        <v>4807.8947350353292</v>
      </c>
      <c r="Z24" s="1597" t="e">
        <f>($Z$75/$Y$75)*Y24</f>
        <v>#REF!</v>
      </c>
      <c r="AA24" s="1597" t="e">
        <f>Y24-Z24</f>
        <v>#REF!</v>
      </c>
      <c r="AB24" s="1597">
        <v>4362.1000000000004</v>
      </c>
      <c r="AC24" s="1597">
        <f>SUM(AC75/AB75)*AB24</f>
        <v>4324.2036131407867</v>
      </c>
      <c r="AD24" s="1597">
        <f>AB24-AC24</f>
        <v>37.896386859213635</v>
      </c>
      <c r="AE24" s="1597">
        <v>5331.99</v>
      </c>
      <c r="AF24" s="1597">
        <f t="shared" si="29"/>
        <v>1.1090072253757068</v>
      </c>
      <c r="AG24" s="1597">
        <v>5292.78</v>
      </c>
      <c r="AH24" s="1597">
        <v>39.21</v>
      </c>
      <c r="AI24" s="1597">
        <f>AI23*0.302</f>
        <v>5331.9911999999995</v>
      </c>
      <c r="AJ24" s="1597">
        <f t="shared" si="30"/>
        <v>1.1090074749651979</v>
      </c>
      <c r="AK24" s="1597" t="e">
        <f>AI24-AL24</f>
        <v>#REF!</v>
      </c>
      <c r="AL24" s="1597" t="e">
        <f>AL23*0.302</f>
        <v>#REF!</v>
      </c>
      <c r="AM24" s="3682" t="e">
        <f>#REF!*Z24/Y24</f>
        <v>#REF!</v>
      </c>
      <c r="AN24" s="3682" t="e">
        <f>#REF!-AM24</f>
        <v>#REF!</v>
      </c>
      <c r="AO24" s="3682" t="e">
        <f t="shared" si="31"/>
        <v>#REF!</v>
      </c>
      <c r="AP24" s="1597">
        <v>0</v>
      </c>
      <c r="AQ24" s="1597">
        <f>SUM(AQ75/AP75)*AP24</f>
        <v>0</v>
      </c>
      <c r="AR24" s="1597">
        <f>AP24-AQ24</f>
        <v>0</v>
      </c>
      <c r="AS24" s="1597">
        <v>0</v>
      </c>
      <c r="AT24" s="1597">
        <f>SUM(AT75/AS75)*AS24</f>
        <v>0</v>
      </c>
      <c r="AU24" s="1597">
        <f>AS24-AT24</f>
        <v>0</v>
      </c>
      <c r="AV24" s="1598">
        <f t="shared" ref="AV24" si="178">SUM(AX24+AY24)</f>
        <v>5984.8866730612381</v>
      </c>
      <c r="AW24" s="1600">
        <f t="shared" si="64"/>
        <v>1.1224487154182172</v>
      </c>
      <c r="AX24" s="1597">
        <f>SUM(AX23*AE25)</f>
        <v>5936.6353552248684</v>
      </c>
      <c r="AY24" s="1597">
        <f>SUM(AY23*AE25)</f>
        <v>48.251317836369729</v>
      </c>
      <c r="AZ24" s="1598">
        <f t="shared" ref="AZ24" si="179">SUM(BB24+BC24)</f>
        <v>5287.4191672357347</v>
      </c>
      <c r="BA24" s="1591">
        <f t="shared" si="36"/>
        <v>0.99164064022381271</v>
      </c>
      <c r="BB24" s="1597">
        <f>BB23*BB25</f>
        <v>5258.5239976347984</v>
      </c>
      <c r="BC24" s="1597">
        <f>BC23*BC25</f>
        <v>28.895169600936249</v>
      </c>
      <c r="BD24" s="1598">
        <f>BE24+BF24</f>
        <v>4948.43</v>
      </c>
      <c r="BE24" s="1597">
        <v>4915.05</v>
      </c>
      <c r="BF24" s="1597">
        <v>33.380000000000003</v>
      </c>
      <c r="BG24" s="1598">
        <f>BH24+BI24</f>
        <v>4761.4799999999996</v>
      </c>
      <c r="BH24" s="1597">
        <v>4732.8599999999997</v>
      </c>
      <c r="BI24" s="1597">
        <v>28.62</v>
      </c>
      <c r="BJ24" s="1598">
        <f>BK24+BL24</f>
        <v>5900.6100000000006</v>
      </c>
      <c r="BK24" s="1597">
        <v>5858.72</v>
      </c>
      <c r="BL24" s="1597">
        <v>41.89</v>
      </c>
      <c r="BM24" s="1598">
        <f>BN24+BO24</f>
        <v>4556.12</v>
      </c>
      <c r="BN24" s="1597">
        <v>4529.7299999999996</v>
      </c>
      <c r="BO24" s="1597">
        <v>26.39</v>
      </c>
      <c r="BP24" s="1598">
        <f>BQ24+BR24</f>
        <v>6238.38</v>
      </c>
      <c r="BQ24" s="1597">
        <v>6202.03</v>
      </c>
      <c r="BR24" s="1597">
        <v>36.35</v>
      </c>
      <c r="BS24" s="1598">
        <f>BT24+BU24</f>
        <v>6144.4910250722141</v>
      </c>
      <c r="BT24" s="1597">
        <f>BT23*BG25</f>
        <v>6108.5497047319323</v>
      </c>
      <c r="BU24" s="1597">
        <f>BU23*BI25</f>
        <v>35.941320340281948</v>
      </c>
      <c r="BV24" s="1598">
        <f>SUM(BV23*BV25)</f>
        <v>6438.9540271404503</v>
      </c>
      <c r="BW24" s="1598">
        <f t="shared" ref="BW24:BX24" si="180">SUM(BW23*BW25)</f>
        <v>6401.2869022225068</v>
      </c>
      <c r="BX24" s="1598">
        <f t="shared" si="180"/>
        <v>37.667124917943738</v>
      </c>
      <c r="BY24" s="3675" t="s">
        <v>994</v>
      </c>
      <c r="BZ24" s="3735"/>
      <c r="CA24" s="3735" t="s">
        <v>1531</v>
      </c>
      <c r="CB24" s="3737">
        <f>BH9+BH18</f>
        <v>11143.92</v>
      </c>
      <c r="CC24" s="3735"/>
      <c r="CD24" s="3735"/>
      <c r="CE24" s="3735"/>
      <c r="CF24" s="3735"/>
      <c r="CG24" s="3735"/>
      <c r="CH24" s="3735"/>
      <c r="CI24" s="3735"/>
      <c r="CJ24" s="3735"/>
      <c r="CK24" s="1598">
        <f>SUM(CK23*CK25)</f>
        <v>6265.5374982661369</v>
      </c>
      <c r="CL24" s="1598">
        <f t="shared" ref="CL24:CM24" si="181">SUM(CL23*CL25)</f>
        <v>6226.6220922528673</v>
      </c>
      <c r="CM24" s="1598">
        <f t="shared" si="181"/>
        <v>38.915406013268303</v>
      </c>
      <c r="CN24" s="1597">
        <f t="shared" ref="CN24" si="182">CO24+CP24</f>
        <v>2246.1800000000003</v>
      </c>
      <c r="CO24" s="1597">
        <v>2229.38</v>
      </c>
      <c r="CP24" s="1597">
        <v>16.8</v>
      </c>
      <c r="CQ24" s="1597">
        <f t="shared" ref="CQ24:CQ26" si="183">CR24+CS24</f>
        <v>3288.14</v>
      </c>
      <c r="CR24" s="1597">
        <v>3265.95</v>
      </c>
      <c r="CS24" s="1597">
        <v>22.19</v>
      </c>
      <c r="CT24" s="1597">
        <f t="shared" si="159"/>
        <v>4241.0199999999995</v>
      </c>
      <c r="CU24" s="1597">
        <v>4210.78</v>
      </c>
      <c r="CV24" s="1597">
        <v>30.24</v>
      </c>
      <c r="CW24" s="1597">
        <f t="shared" si="160"/>
        <v>7737.61</v>
      </c>
      <c r="CX24" s="1597">
        <v>7689.66</v>
      </c>
      <c r="CY24" s="1597">
        <v>47.95</v>
      </c>
      <c r="CZ24" s="1597">
        <f t="shared" si="161"/>
        <v>6476.329510268828</v>
      </c>
      <c r="DA24" s="1597">
        <f>SUM(DA23*DA25)</f>
        <v>6438.6673157385867</v>
      </c>
      <c r="DB24" s="1597">
        <f>SUM(DB23*DB25)</f>
        <v>37.662194530241514</v>
      </c>
      <c r="DC24" s="1597">
        <f t="shared" si="162"/>
        <v>2127.7150000000001</v>
      </c>
      <c r="DD24" s="1597">
        <v>2112.4349999999999</v>
      </c>
      <c r="DE24" s="1597">
        <v>15.28</v>
      </c>
      <c r="DF24" s="1597">
        <f t="shared" si="163"/>
        <v>3192.6730000000002</v>
      </c>
      <c r="DG24" s="1597">
        <v>3170.1930000000002</v>
      </c>
      <c r="DH24" s="1597">
        <v>22.48</v>
      </c>
      <c r="DI24" s="1597">
        <f t="shared" si="164"/>
        <v>4322.125</v>
      </c>
      <c r="DJ24" s="1597">
        <v>4291.5150000000003</v>
      </c>
      <c r="DK24" s="1597">
        <v>30.61</v>
      </c>
      <c r="DL24" s="1597">
        <f t="shared" si="165"/>
        <v>8173.2</v>
      </c>
      <c r="DM24" s="1597">
        <v>8124.16</v>
      </c>
      <c r="DN24" s="1597">
        <v>49.04</v>
      </c>
      <c r="DO24" s="1597">
        <f t="shared" si="166"/>
        <v>6855.4409054586577</v>
      </c>
      <c r="DP24" s="1597">
        <f>SUM(DP23*DP25)</f>
        <v>6815.5740412784808</v>
      </c>
      <c r="DQ24" s="1597">
        <f>SUM(DQ23*DQ25)</f>
        <v>39.866864180176911</v>
      </c>
      <c r="DR24" s="1597">
        <f t="shared" si="167"/>
        <v>2516.0299999999997</v>
      </c>
      <c r="DS24" s="1597">
        <v>2502.3449999999998</v>
      </c>
      <c r="DT24" s="1597">
        <v>13.685</v>
      </c>
      <c r="DU24" s="1597">
        <f t="shared" si="168"/>
        <v>3825.85</v>
      </c>
      <c r="DV24" s="1597">
        <v>3804.33</v>
      </c>
      <c r="DW24" s="1597">
        <v>21.52</v>
      </c>
      <c r="DX24" s="1597">
        <f t="shared" si="169"/>
        <v>5069.2999999999993</v>
      </c>
      <c r="DY24" s="1597">
        <v>5039.8149999999996</v>
      </c>
      <c r="DZ24" s="1597">
        <v>29.484999999999999</v>
      </c>
      <c r="EA24" s="2343">
        <f t="shared" si="170"/>
        <v>9158.07</v>
      </c>
      <c r="EB24" s="2343">
        <v>9102.34</v>
      </c>
      <c r="EC24" s="2343">
        <v>55.73</v>
      </c>
      <c r="ED24" s="3959">
        <f t="shared" si="171"/>
        <v>0</v>
      </c>
      <c r="EE24" s="3959">
        <f>SUM(EE23*EE25)</f>
        <v>0</v>
      </c>
      <c r="EF24" s="3959">
        <f>SUM(EF23*EF25)</f>
        <v>0</v>
      </c>
      <c r="EG24" s="2343">
        <f t="shared" si="172"/>
        <v>9158.07</v>
      </c>
      <c r="EH24" s="2343">
        <v>9102.34</v>
      </c>
      <c r="EI24" s="2343">
        <v>55.73</v>
      </c>
      <c r="EJ24" s="2343">
        <f t="shared" si="173"/>
        <v>7938.006327572537</v>
      </c>
      <c r="EK24" s="2343">
        <v>7895.1157970871</v>
      </c>
      <c r="EL24" s="2343">
        <v>42.890530485436898</v>
      </c>
      <c r="EM24" s="3662">
        <f t="shared" si="174"/>
        <v>2978.9319999999998</v>
      </c>
      <c r="EN24" s="3662">
        <v>2960.596</v>
      </c>
      <c r="EO24" s="3662">
        <v>18.335999999999999</v>
      </c>
      <c r="EP24" s="3662">
        <f t="shared" si="175"/>
        <v>6057.3040000000001</v>
      </c>
      <c r="EQ24" s="3662">
        <v>6017.2060000000001</v>
      </c>
      <c r="ER24" s="3662">
        <v>40.097999999999999</v>
      </c>
    </row>
    <row r="25" spans="1:148" s="1731" customFormat="1" ht="21" customHeight="1" x14ac:dyDescent="0.2">
      <c r="A25" s="3199" t="str">
        <f>A15</f>
        <v>то же в %</v>
      </c>
      <c r="B25" s="3196"/>
      <c r="C25" s="1725"/>
      <c r="D25" s="1725"/>
      <c r="E25" s="1599">
        <f>E24/E23</f>
        <v>0.25753296346999066</v>
      </c>
      <c r="F25" s="1599">
        <f t="shared" ref="F25:W25" si="184">F24/F23</f>
        <v>0.99422185530110008</v>
      </c>
      <c r="G25" s="1599">
        <f t="shared" si="184"/>
        <v>0.32556724833575662</v>
      </c>
      <c r="H25" s="1599"/>
      <c r="I25" s="1599">
        <f t="shared" si="184"/>
        <v>0.30199999999999999</v>
      </c>
      <c r="J25" s="1599">
        <f t="shared" si="184"/>
        <v>0.31474214834736858</v>
      </c>
      <c r="K25" s="1599">
        <f t="shared" si="184"/>
        <v>0.30015315587385133</v>
      </c>
      <c r="L25" s="1599">
        <f t="shared" si="184"/>
        <v>0.30022285418433114</v>
      </c>
      <c r="M25" s="1599">
        <f t="shared" si="184"/>
        <v>0.92215312111097902</v>
      </c>
      <c r="N25" s="1599">
        <f t="shared" si="184"/>
        <v>0.3019978857726674</v>
      </c>
      <c r="O25" s="1599">
        <f t="shared" si="184"/>
        <v>0.99999299924724316</v>
      </c>
      <c r="P25" s="1599">
        <f t="shared" si="184"/>
        <v>0.30199999999999999</v>
      </c>
      <c r="Q25" s="1599">
        <f t="shared" si="184"/>
        <v>1</v>
      </c>
      <c r="R25" s="1599">
        <f t="shared" si="184"/>
        <v>1.0059194221589063</v>
      </c>
      <c r="S25" s="1599" t="e">
        <f t="shared" si="184"/>
        <v>#REF!</v>
      </c>
      <c r="T25" s="1599" t="e">
        <f t="shared" si="184"/>
        <v>#REF!</v>
      </c>
      <c r="U25" s="1599">
        <f t="shared" si="184"/>
        <v>0.30124024611819644</v>
      </c>
      <c r="V25" s="1599"/>
      <c r="W25" s="1591">
        <f t="shared" si="184"/>
        <v>0.3019999320328961</v>
      </c>
      <c r="X25" s="1591"/>
      <c r="Y25" s="1591">
        <f t="shared" ref="Y25:AL25" si="185">Y24/Y23</f>
        <v>0.30124024611819644</v>
      </c>
      <c r="Z25" s="1591" t="e">
        <f t="shared" si="185"/>
        <v>#REF!</v>
      </c>
      <c r="AA25" s="1591" t="e">
        <f t="shared" si="185"/>
        <v>#REF!</v>
      </c>
      <c r="AB25" s="1591">
        <f t="shared" ref="AB25:AD25" si="186">AB24/AB23</f>
        <v>0.30321208371853781</v>
      </c>
      <c r="AC25" s="1591">
        <f t="shared" si="186"/>
        <v>0.30321208371853781</v>
      </c>
      <c r="AD25" s="1591">
        <f t="shared" si="186"/>
        <v>0.30321208371853692</v>
      </c>
      <c r="AE25" s="1591">
        <f t="shared" si="185"/>
        <v>0.3019999320328961</v>
      </c>
      <c r="AF25" s="1729"/>
      <c r="AG25" s="1591">
        <v>0</v>
      </c>
      <c r="AH25" s="1591">
        <v>0</v>
      </c>
      <c r="AI25" s="1591">
        <f t="shared" si="185"/>
        <v>0.30199999999999999</v>
      </c>
      <c r="AJ25" s="1729"/>
      <c r="AK25" s="1591" t="e">
        <f t="shared" si="185"/>
        <v>#REF!</v>
      </c>
      <c r="AL25" s="1591" t="e">
        <f t="shared" si="185"/>
        <v>#REF!</v>
      </c>
      <c r="AM25" s="1730"/>
      <c r="AN25" s="1730" t="e">
        <f>#REF!-AM25</f>
        <v>#REF!</v>
      </c>
      <c r="AO25" s="1730" t="e">
        <f t="shared" si="31"/>
        <v>#REF!</v>
      </c>
      <c r="AP25" s="1591">
        <f>AP24/AP23</f>
        <v>0</v>
      </c>
      <c r="AQ25" s="1591">
        <f t="shared" ref="AQ25" si="187">AQ24/AQ23</f>
        <v>0</v>
      </c>
      <c r="AR25" s="1591">
        <f t="shared" ref="AR25" si="188">AR24/AR23</f>
        <v>0</v>
      </c>
      <c r="AS25" s="1591">
        <f>AS24/AS23</f>
        <v>0</v>
      </c>
      <c r="AT25" s="1591">
        <f t="shared" ref="AT25" si="189">AT24/AT23</f>
        <v>0</v>
      </c>
      <c r="AU25" s="1591">
        <f t="shared" ref="AU25" si="190">AU24/AU23</f>
        <v>0</v>
      </c>
      <c r="AV25" s="1591">
        <f>SUM(AV24/AV23)</f>
        <v>0.3019999320328961</v>
      </c>
      <c r="AW25" s="1591">
        <f t="shared" si="64"/>
        <v>0.99999977494336456</v>
      </c>
      <c r="AX25" s="1591">
        <f>SUM(AX24/AX23)</f>
        <v>0.3019999320328961</v>
      </c>
      <c r="AY25" s="1591">
        <f>SUM(AY24/AY23)</f>
        <v>0.3019999320328961</v>
      </c>
      <c r="AZ25" s="1591">
        <f>Y25</f>
        <v>0.30124024611819644</v>
      </c>
      <c r="BA25" s="1591">
        <f t="shared" si="36"/>
        <v>0.99748425866952473</v>
      </c>
      <c r="BB25" s="1591">
        <f>SUM(AZ25)</f>
        <v>0.30124024611819644</v>
      </c>
      <c r="BC25" s="1591">
        <f>SUM(AZ25)</f>
        <v>0.30124024611819644</v>
      </c>
      <c r="BD25" s="1599">
        <f t="shared" ref="BD25:BU25" si="191">BD24/BD23</f>
        <v>0.30191265915692667</v>
      </c>
      <c r="BE25" s="1599">
        <f t="shared" si="191"/>
        <v>0.30191244075450929</v>
      </c>
      <c r="BF25" s="1599">
        <f t="shared" si="191"/>
        <v>0.30194482134780648</v>
      </c>
      <c r="BG25" s="1599">
        <f t="shared" si="191"/>
        <v>0.30132211447187562</v>
      </c>
      <c r="BH25" s="1599">
        <f t="shared" si="191"/>
        <v>0.30132227921744292</v>
      </c>
      <c r="BI25" s="1599">
        <f t="shared" si="191"/>
        <v>0.30129487314454156</v>
      </c>
      <c r="BJ25" s="1599">
        <f t="shared" ref="BJ25:BL25" si="192">BJ24/BJ23</f>
        <v>0.30119982542425222</v>
      </c>
      <c r="BK25" s="1599">
        <f t="shared" si="192"/>
        <v>0.30119987023983524</v>
      </c>
      <c r="BL25" s="1599">
        <f t="shared" si="192"/>
        <v>0.30119355766465339</v>
      </c>
      <c r="BM25" s="1599">
        <f t="shared" ref="BM25:BO25" si="193">BM24/BM23</f>
        <v>0.30187594126693118</v>
      </c>
      <c r="BN25" s="1599">
        <f t="shared" si="193"/>
        <v>0.3018760213914235</v>
      </c>
      <c r="BO25" s="1599">
        <f t="shared" si="193"/>
        <v>0.30186218887262078</v>
      </c>
      <c r="BP25" s="1599">
        <f t="shared" si="191"/>
        <v>0.30120004345359519</v>
      </c>
      <c r="BQ25" s="1599">
        <f t="shared" si="191"/>
        <v>0.30119998620761329</v>
      </c>
      <c r="BR25" s="1599">
        <f t="shared" si="191"/>
        <v>0.30120981107059991</v>
      </c>
      <c r="BS25" s="1599">
        <f t="shared" si="191"/>
        <v>0.30132195511330973</v>
      </c>
      <c r="BT25" s="1599">
        <f t="shared" si="191"/>
        <v>0.30132211447187562</v>
      </c>
      <c r="BU25" s="1599">
        <f t="shared" si="191"/>
        <v>0.30129487314454156</v>
      </c>
      <c r="BV25" s="1599">
        <f>SUM(BM25)</f>
        <v>0.30187594126693118</v>
      </c>
      <c r="BW25" s="1599">
        <f>SUM(BV25)</f>
        <v>0.30187594126693118</v>
      </c>
      <c r="BX25" s="1599">
        <f>SUM(BV25)</f>
        <v>0.30187594126693118</v>
      </c>
      <c r="BY25" s="3418"/>
      <c r="BZ25" s="3736"/>
      <c r="CA25" s="3736" t="s">
        <v>1532</v>
      </c>
      <c r="CB25" s="3738">
        <f>BH10+BH20+BH35+BH32</f>
        <v>5003.2</v>
      </c>
      <c r="CC25" s="3738">
        <f>BI20</f>
        <v>3.09</v>
      </c>
      <c r="CD25" s="3736"/>
      <c r="CE25" s="3736"/>
      <c r="CF25" s="3736"/>
      <c r="CG25" s="3736"/>
      <c r="CH25" s="3736"/>
      <c r="CI25" s="3736"/>
      <c r="CJ25" s="3736"/>
      <c r="CK25" s="1599">
        <f>SUM(BS25)</f>
        <v>0.30132195511330973</v>
      </c>
      <c r="CL25" s="1599">
        <f>SUM(CK25)</f>
        <v>0.30132195511330973</v>
      </c>
      <c r="CM25" s="1599">
        <f>SUM(CK25)</f>
        <v>0.30132195511330973</v>
      </c>
      <c r="CN25" s="1599">
        <f>SUM(CN24/CN23)</f>
        <v>0.30258143516641323</v>
      </c>
      <c r="CO25" s="1599">
        <f t="shared" ref="CO25:CS25" si="194">SUM(CO24/CO23)</f>
        <v>0.30258544987153507</v>
      </c>
      <c r="CP25" s="1599">
        <f t="shared" si="194"/>
        <v>0.30204962243797195</v>
      </c>
      <c r="CQ25" s="1599">
        <f t="shared" si="194"/>
        <v>0.30214432474353742</v>
      </c>
      <c r="CR25" s="1599">
        <f t="shared" si="194"/>
        <v>0.30214399703957256</v>
      </c>
      <c r="CS25" s="1599">
        <f t="shared" si="194"/>
        <v>0.30219256434699715</v>
      </c>
      <c r="CT25" s="1599">
        <f t="shared" ref="CT25:CV25" si="195">SUM(CT24/CT23)</f>
        <v>0.30178300900648314</v>
      </c>
      <c r="CU25" s="1599">
        <f t="shared" si="195"/>
        <v>0.30178053367275559</v>
      </c>
      <c r="CV25" s="1599">
        <f t="shared" si="195"/>
        <v>0.30212808472374858</v>
      </c>
      <c r="CW25" s="1599">
        <f t="shared" ref="CW25:CY25" si="196">SUM(CW24/CW23)</f>
        <v>0.30195970241773668</v>
      </c>
      <c r="CX25" s="1599">
        <f t="shared" si="196"/>
        <v>0.30189985607516628</v>
      </c>
      <c r="CY25" s="1599">
        <f t="shared" si="196"/>
        <v>0.31187424650356016</v>
      </c>
      <c r="CZ25" s="1599">
        <f>SUM(BS25)</f>
        <v>0.30132195511330973</v>
      </c>
      <c r="DA25" s="1599">
        <f t="shared" ref="DA25:DB25" si="197">SUM(BT25)</f>
        <v>0.30132211447187562</v>
      </c>
      <c r="DB25" s="1599">
        <f t="shared" si="197"/>
        <v>0.30129487314454156</v>
      </c>
      <c r="DC25" s="1599">
        <f>SUM(DC24/DC23)</f>
        <v>0.30124933278776495</v>
      </c>
      <c r="DD25" s="1599">
        <f t="shared" ref="DD25:DN25" si="198">SUM(DD24/DD23)</f>
        <v>0.30124279847127944</v>
      </c>
      <c r="DE25" s="1599">
        <f t="shared" si="198"/>
        <v>0.30215542811943841</v>
      </c>
      <c r="DF25" s="1599">
        <f t="shared" si="198"/>
        <v>0.30106562497789868</v>
      </c>
      <c r="DG25" s="1599">
        <f t="shared" si="198"/>
        <v>0.30105824552606725</v>
      </c>
      <c r="DH25" s="1599">
        <f t="shared" si="198"/>
        <v>0.30210993146082515</v>
      </c>
      <c r="DI25" s="1599">
        <f t="shared" si="198"/>
        <v>0.30092684458573626</v>
      </c>
      <c r="DJ25" s="1599">
        <f t="shared" si="198"/>
        <v>0.30091968981855133</v>
      </c>
      <c r="DK25" s="1599">
        <f t="shared" si="198"/>
        <v>0.30193332018149538</v>
      </c>
      <c r="DL25" s="1599">
        <f t="shared" si="198"/>
        <v>0.30129991870785744</v>
      </c>
      <c r="DM25" s="1599">
        <f t="shared" si="198"/>
        <v>0.30129988903833949</v>
      </c>
      <c r="DN25" s="1599">
        <f t="shared" si="198"/>
        <v>0.30130483395800362</v>
      </c>
      <c r="DO25" s="1599">
        <f>SUM(BS25)</f>
        <v>0.30132195511330973</v>
      </c>
      <c r="DP25" s="1599">
        <f t="shared" ref="DP25" si="199">SUM(BT25)</f>
        <v>0.30132211447187562</v>
      </c>
      <c r="DQ25" s="1599">
        <f t="shared" ref="DQ25" si="200">SUM(BU25)</f>
        <v>0.30129487314454156</v>
      </c>
      <c r="DR25" s="1599">
        <f t="shared" ref="DR25:DT25" si="201">SUM(DR24/DR23)</f>
        <v>0.30105883859202826</v>
      </c>
      <c r="DS25" s="1599">
        <f t="shared" si="201"/>
        <v>0.30105354212484181</v>
      </c>
      <c r="DT25" s="1599">
        <f t="shared" si="201"/>
        <v>0.3020304568527919</v>
      </c>
      <c r="DU25" s="1599">
        <f t="shared" ref="DU25:DW25" si="202">SUM(DU24/DU23)</f>
        <v>0.30093382814478742</v>
      </c>
      <c r="DV25" s="1599">
        <f t="shared" si="202"/>
        <v>0.30092762147791369</v>
      </c>
      <c r="DW25" s="1599">
        <f t="shared" si="202"/>
        <v>0.30203508771929821</v>
      </c>
      <c r="DX25" s="1599">
        <f t="shared" ref="DX25:EC25" si="203">SUM(DX24/DX23)</f>
        <v>0.30076525364805345</v>
      </c>
      <c r="DY25" s="1599">
        <f t="shared" si="203"/>
        <v>0.30075805149608448</v>
      </c>
      <c r="DZ25" s="1599">
        <f t="shared" si="203"/>
        <v>0.30200139298590623</v>
      </c>
      <c r="EA25" s="3690">
        <f t="shared" si="203"/>
        <v>0.30100017693855469</v>
      </c>
      <c r="EB25" s="3690">
        <f t="shared" si="203"/>
        <v>0.30100013132692133</v>
      </c>
      <c r="EC25" s="3690">
        <f t="shared" si="203"/>
        <v>0.30100762683867266</v>
      </c>
      <c r="ED25" s="3964">
        <f>SUM(CH25)</f>
        <v>0</v>
      </c>
      <c r="EE25" s="3964">
        <f t="shared" ref="EE25" si="204">SUM(CI25)</f>
        <v>0</v>
      </c>
      <c r="EF25" s="3964">
        <f t="shared" ref="EF25" si="205">SUM(CJ25)</f>
        <v>0</v>
      </c>
      <c r="EG25" s="3690">
        <f t="shared" ref="EG25:EI25" si="206">SUM(EG24/EG23)</f>
        <v>0.30100017693855469</v>
      </c>
      <c r="EH25" s="3690">
        <f t="shared" si="206"/>
        <v>0.30100013132692133</v>
      </c>
      <c r="EI25" s="3690">
        <f t="shared" si="206"/>
        <v>0.30100762683867266</v>
      </c>
      <c r="EJ25" s="3690">
        <f t="shared" ref="EJ25:ER25" si="207">SUM(EJ24/EJ23)</f>
        <v>0.30258254958769448</v>
      </c>
      <c r="EK25" s="3690">
        <f t="shared" si="207"/>
        <v>0.30258544987153513</v>
      </c>
      <c r="EL25" s="3690">
        <f t="shared" si="207"/>
        <v>0.30204962243797195</v>
      </c>
      <c r="EM25" s="3663">
        <f t="shared" ref="EM25:EO25" si="208">SUM(EM24/EM23)</f>
        <v>0.30332561001251918</v>
      </c>
      <c r="EN25" s="3663">
        <f t="shared" si="208"/>
        <v>0.30333381795499698</v>
      </c>
      <c r="EO25" s="3663">
        <f t="shared" si="208"/>
        <v>0.30200612708765684</v>
      </c>
      <c r="EP25" s="3663">
        <f t="shared" si="207"/>
        <v>0.30223405972477968</v>
      </c>
      <c r="EQ25" s="3663">
        <f t="shared" si="207"/>
        <v>0.30223562320338698</v>
      </c>
      <c r="ER25" s="3663">
        <f t="shared" si="207"/>
        <v>0.30199962342308412</v>
      </c>
    </row>
    <row r="26" spans="1:148" ht="21" customHeight="1" x14ac:dyDescent="0.2">
      <c r="A26" s="3214" t="s">
        <v>6</v>
      </c>
      <c r="B26" s="3674">
        <v>5257.9</v>
      </c>
      <c r="C26" s="3193">
        <v>5861.9</v>
      </c>
      <c r="D26" s="1725">
        <f t="shared" si="0"/>
        <v>111.48747598851251</v>
      </c>
      <c r="E26" s="3193">
        <v>7223.5</v>
      </c>
      <c r="F26" s="1725">
        <f t="shared" si="24"/>
        <v>123.22796362953991</v>
      </c>
      <c r="G26" s="3193">
        <v>6350.1</v>
      </c>
      <c r="H26" s="1725">
        <f t="shared" si="2"/>
        <v>87.908908423894232</v>
      </c>
      <c r="I26" s="1597">
        <v>7143.8</v>
      </c>
      <c r="J26" s="1597">
        <v>3535.8</v>
      </c>
      <c r="K26" s="1597">
        <f>'цех стоки 2023'!K48</f>
        <v>4844.7818798570233</v>
      </c>
      <c r="L26" s="1597">
        <v>7419.2</v>
      </c>
      <c r="M26" s="1600">
        <f t="shared" si="25"/>
        <v>116.83595533928599</v>
      </c>
      <c r="N26" s="1597">
        <v>8569.6</v>
      </c>
      <c r="O26" s="1600">
        <f t="shared" si="26"/>
        <v>119.95856546935804</v>
      </c>
      <c r="P26" s="1597">
        <f>'цех стоки 2023'!P48</f>
        <v>7339.1</v>
      </c>
      <c r="Q26" s="1600">
        <f t="shared" si="27"/>
        <v>102.73383913323441</v>
      </c>
      <c r="R26" s="1600">
        <f t="shared" si="28"/>
        <v>98.92036877291352</v>
      </c>
      <c r="S26" s="1597">
        <v>7149.16</v>
      </c>
      <c r="T26" s="1597">
        <v>48.44</v>
      </c>
      <c r="U26" s="1597">
        <v>5813.4</v>
      </c>
      <c r="V26" s="1597"/>
      <c r="W26" s="1597">
        <v>9326.93</v>
      </c>
      <c r="X26" s="1597"/>
      <c r="Y26" s="1597">
        <f>'цех стоки 2023'!X48</f>
        <v>7684.2126026799478</v>
      </c>
      <c r="Z26" s="1597" t="e">
        <f>($Z$75/$Y$75)*Y26</f>
        <v>#REF!</v>
      </c>
      <c r="AA26" s="1597" t="e">
        <f>Y26-Z26</f>
        <v>#REF!</v>
      </c>
      <c r="AB26" s="1597">
        <f>'цех стоки 2023'!AA48</f>
        <v>5917.5</v>
      </c>
      <c r="AC26" s="1597">
        <f>SUM(AC75/AB75)*AB26</f>
        <v>5866.0908463264486</v>
      </c>
      <c r="AD26" s="1597">
        <f>AB26-AC26</f>
        <v>51.409153673551373</v>
      </c>
      <c r="AE26" s="1597">
        <v>7083.35</v>
      </c>
      <c r="AF26" s="1597">
        <f t="shared" si="29"/>
        <v>0.92180557283508913</v>
      </c>
      <c r="AG26" s="1597">
        <v>7020.31</v>
      </c>
      <c r="AH26" s="1597">
        <v>63.04</v>
      </c>
      <c r="AI26" s="1597">
        <f>'цех стоки 2023'!AC48</f>
        <v>7258.9036668341378</v>
      </c>
      <c r="AJ26" s="1597">
        <f t="shared" si="30"/>
        <v>0.94465159179777514</v>
      </c>
      <c r="AK26" s="1597">
        <f>SUM('цех стоки 2023'!X74)</f>
        <v>7258.9036668341378</v>
      </c>
      <c r="AL26" s="1597">
        <f>SUM('цех стоки 2023'!Y74)</f>
        <v>0</v>
      </c>
      <c r="AM26" s="3682" t="e">
        <f>#REF!*Z26/Y26</f>
        <v>#REF!</v>
      </c>
      <c r="AN26" s="3682" t="e">
        <f>#REF!-AM26</f>
        <v>#REF!</v>
      </c>
      <c r="AO26" s="3682" t="e">
        <f t="shared" si="31"/>
        <v>#REF!</v>
      </c>
      <c r="AP26" s="1597">
        <f>SUM('цех стоки 2023'!AE48)</f>
        <v>3273.44</v>
      </c>
      <c r="AQ26" s="1597">
        <f>SUM(AQ75/AP75)*AP26</f>
        <v>3254.4938056190667</v>
      </c>
      <c r="AR26" s="1597">
        <f>AP26-AQ26</f>
        <v>18.946194380933321</v>
      </c>
      <c r="AS26" s="1597">
        <f>SUM('цех стоки 2023'!AF48)</f>
        <v>4615.83</v>
      </c>
      <c r="AT26" s="1597">
        <f>SUM(AT75/AS75)*AS26</f>
        <v>4582.2101288493586</v>
      </c>
      <c r="AU26" s="1597">
        <f>AS26-AT26</f>
        <v>33.619871150641302</v>
      </c>
      <c r="AV26" s="1597">
        <v>9016.44</v>
      </c>
      <c r="AW26" s="1600">
        <f t="shared" ref="AW26" si="209">SUM(AV26/AI26)</f>
        <v>1.2421214571555799</v>
      </c>
      <c r="AX26" s="1597">
        <f>SUM(AX75/AV75)*AV26</f>
        <v>8943.7477109127558</v>
      </c>
      <c r="AY26" s="1597">
        <f>AV26-AX26</f>
        <v>72.692289087244717</v>
      </c>
      <c r="AZ26" s="1597">
        <f>SUM('цех стоки 2023'!AH48)</f>
        <v>6899.5913342835493</v>
      </c>
      <c r="BA26" s="1591">
        <f t="shared" si="36"/>
        <v>0.95050046824670187</v>
      </c>
      <c r="BB26" s="1597">
        <f>SUM(BB75/AZ75)*AZ26</f>
        <v>6861.8858194613713</v>
      </c>
      <c r="BC26" s="1597">
        <f>AZ26-BB26</f>
        <v>37.705514822177975</v>
      </c>
      <c r="BD26" s="1598">
        <f>BE26+BF26</f>
        <v>8053.57</v>
      </c>
      <c r="BE26" s="1597">
        <v>7999.25</v>
      </c>
      <c r="BF26" s="1597">
        <v>54.32</v>
      </c>
      <c r="BG26" s="1598">
        <f>BH26+BI26</f>
        <v>7224.93</v>
      </c>
      <c r="BH26" s="1597">
        <v>7181.5</v>
      </c>
      <c r="BI26" s="1597">
        <v>43.43</v>
      </c>
      <c r="BJ26" s="1598">
        <f>BK26+BL26</f>
        <v>7896.9900000000007</v>
      </c>
      <c r="BK26" s="1597">
        <v>7842.89</v>
      </c>
      <c r="BL26" s="1597">
        <v>54.1</v>
      </c>
      <c r="BM26" s="1598">
        <f>BN26+BO26</f>
        <v>8596.2800000000007</v>
      </c>
      <c r="BN26" s="1597">
        <v>8546.49</v>
      </c>
      <c r="BO26" s="1597">
        <v>49.79</v>
      </c>
      <c r="BP26" s="1598">
        <f>BQ26+BR26</f>
        <v>13146.03</v>
      </c>
      <c r="BQ26" s="1597">
        <v>13069.43</v>
      </c>
      <c r="BR26" s="1597">
        <v>76.599999999999994</v>
      </c>
      <c r="BS26" s="1598">
        <f>'цех стоки 2023'!AN48</f>
        <v>9655.9080002754163</v>
      </c>
      <c r="BT26" s="1597">
        <f>BS26/BS75*BT75</f>
        <v>9599.4220723887611</v>
      </c>
      <c r="BU26" s="1597">
        <f>BS26/BS75*BU75</f>
        <v>56.485927886655645</v>
      </c>
      <c r="BV26" s="1598">
        <f>SUM('цех стоки 2023'!AO48)</f>
        <v>11608.796483245431</v>
      </c>
      <c r="BW26" s="1597">
        <f>BV26/BV75*BW75</f>
        <v>11540.88638706548</v>
      </c>
      <c r="BX26" s="1597">
        <f>BV26/BV75*BX75</f>
        <v>67.910096179951125</v>
      </c>
      <c r="BY26" s="1726" t="str">
        <f>BY16</f>
        <v>Приложение</v>
      </c>
      <c r="BZ26" s="3735"/>
      <c r="CA26" s="3735"/>
      <c r="CB26" s="3735"/>
      <c r="CC26" s="3735"/>
      <c r="CD26" s="3735"/>
      <c r="CE26" s="3735"/>
      <c r="CF26" s="3735"/>
      <c r="CG26" s="3735"/>
      <c r="CH26" s="3735"/>
      <c r="CI26" s="3735"/>
      <c r="CJ26" s="3735"/>
      <c r="CK26" s="1598">
        <f>SUM('цех стоки 2023'!AP48)</f>
        <v>9846.1293878808374</v>
      </c>
      <c r="CL26" s="1597">
        <f>CK26/CK120*CL120+13.34</f>
        <v>9798.3148384276446</v>
      </c>
      <c r="CM26" s="1597">
        <v>47.82</v>
      </c>
      <c r="CN26" s="1597">
        <f t="shared" ref="CN26" si="210">CO26+CP26</f>
        <v>4174.6400000000003</v>
      </c>
      <c r="CO26" s="1597">
        <f>SUM('цех стоки 2023'!AQ48)</f>
        <v>4174.6400000000003</v>
      </c>
      <c r="CP26" s="1597">
        <v>0</v>
      </c>
      <c r="CQ26" s="1597">
        <f t="shared" si="183"/>
        <v>5755.33</v>
      </c>
      <c r="CR26" s="1597">
        <f>SUM('цех стоки 2023'!AR48)</f>
        <v>5755.33</v>
      </c>
      <c r="CS26" s="1597">
        <v>0</v>
      </c>
      <c r="CT26" s="1597">
        <f t="shared" ref="CT26" si="211">CU26+CV26</f>
        <v>8177.6</v>
      </c>
      <c r="CU26" s="1597">
        <f>SUM('цех стоки 2023'!AS48)</f>
        <v>8177.6</v>
      </c>
      <c r="CV26" s="1597">
        <v>0</v>
      </c>
      <c r="CW26" s="1597">
        <f t="shared" ref="CW26" si="212">CX26+CY26</f>
        <v>11993.907460335822</v>
      </c>
      <c r="CX26" s="1597">
        <f>SUM('цех стоки 2023'!AT48)</f>
        <v>11993.907460335822</v>
      </c>
      <c r="CY26" s="1597">
        <v>0</v>
      </c>
      <c r="CZ26" s="1597">
        <f t="shared" ref="CZ26" si="213">DA26+DB26</f>
        <v>12475.112354890985</v>
      </c>
      <c r="DA26" s="1597">
        <f>SUM('цех стоки 2023'!AU48)</f>
        <v>12475.112354890985</v>
      </c>
      <c r="DB26" s="1597">
        <v>0</v>
      </c>
      <c r="DC26" s="1597">
        <f t="shared" ref="DC26" si="214">DD26+DE26</f>
        <v>4242.59</v>
      </c>
      <c r="DD26" s="1597">
        <f>SUM('цех стоки 2023'!AY48)</f>
        <v>4242.59</v>
      </c>
      <c r="DE26" s="1597">
        <v>0</v>
      </c>
      <c r="DF26" s="1597">
        <f t="shared" ref="DF26" si="215">DG26+DH26</f>
        <v>6202.57</v>
      </c>
      <c r="DG26" s="1597">
        <f>SUM('цех стоки 2023'!AZ48)</f>
        <v>6202.57</v>
      </c>
      <c r="DH26" s="1597">
        <v>0</v>
      </c>
      <c r="DI26" s="1597">
        <f t="shared" ref="DI26" si="216">DJ26+DK26</f>
        <v>8136.5949999999993</v>
      </c>
      <c r="DJ26" s="1597">
        <f>SUM('цех стоки 2023'!BA48)-0.01</f>
        <v>8136.5949999999993</v>
      </c>
      <c r="DK26" s="1597">
        <v>0</v>
      </c>
      <c r="DL26" s="1597">
        <f t="shared" ref="DL26" si="217">DM26+DN26</f>
        <v>12715.121288378938</v>
      </c>
      <c r="DM26" s="1597">
        <f>SUM('цех стоки 2023'!BB48)</f>
        <v>12715.121288378938</v>
      </c>
      <c r="DN26" s="1597">
        <v>0</v>
      </c>
      <c r="DO26" s="1597">
        <f t="shared" ref="DO26" si="218">DP26+DQ26</f>
        <v>12656.552333038107</v>
      </c>
      <c r="DP26" s="1597">
        <f>SUM('цех стоки 2023'!BC48)</f>
        <v>12656.552333038107</v>
      </c>
      <c r="DQ26" s="1597">
        <v>0</v>
      </c>
      <c r="DR26" s="1597">
        <f t="shared" ref="DR26" si="219">DS26+DT26</f>
        <v>4502.902</v>
      </c>
      <c r="DS26" s="1597">
        <f>SUM('цех стоки 2023'!BD48)</f>
        <v>4502.902</v>
      </c>
      <c r="DT26" s="1597">
        <v>0</v>
      </c>
      <c r="DU26" s="1597">
        <f t="shared" ref="DU26" si="220">DV26+DW26</f>
        <v>6700.19</v>
      </c>
      <c r="DV26" s="1597">
        <f>SUM('цех стоки 2023'!BE48)</f>
        <v>6700.19</v>
      </c>
      <c r="DW26" s="1597">
        <v>0</v>
      </c>
      <c r="DX26" s="1597">
        <f t="shared" ref="DX26" si="221">DY26+DZ26</f>
        <v>8999.9050000000007</v>
      </c>
      <c r="DY26" s="1597">
        <f>SUM('цех стоки 2023'!BF48)</f>
        <v>8999.9050000000007</v>
      </c>
      <c r="DZ26" s="1597">
        <v>0</v>
      </c>
      <c r="EA26" s="2343">
        <f t="shared" ref="EA26" si="222">EB26+EC26</f>
        <v>13506.950504234906</v>
      </c>
      <c r="EB26" s="2343">
        <f>SUM('цех стоки 2023'!BG48)</f>
        <v>13506.950504234906</v>
      </c>
      <c r="EC26" s="2343">
        <v>0</v>
      </c>
      <c r="ED26" s="3959">
        <f t="shared" ref="ED26" si="223">EE26+EF26</f>
        <v>0</v>
      </c>
      <c r="EE26" s="3959">
        <f>SUM('цех стоки 2023'!BS48)</f>
        <v>0</v>
      </c>
      <c r="EF26" s="3959">
        <v>0</v>
      </c>
      <c r="EG26" s="2343">
        <f t="shared" ref="EG26" si="224">EH26+EI26</f>
        <v>13506.950504234906</v>
      </c>
      <c r="EH26" s="2343">
        <f>SUM('цех стоки 2023'!BG48)</f>
        <v>13506.950504234906</v>
      </c>
      <c r="EI26" s="2343">
        <v>0</v>
      </c>
      <c r="EJ26" s="2343">
        <f t="shared" ref="EJ26" si="225">EK26+EL26</f>
        <v>14142.807324791911</v>
      </c>
      <c r="EK26" s="2343">
        <f>SUM('цех стоки 2023'!BH48)</f>
        <v>14142.807324791911</v>
      </c>
      <c r="EL26" s="2343">
        <v>0</v>
      </c>
      <c r="EM26" s="3662">
        <f t="shared" ref="EM26" si="226">EN26+EO26</f>
        <v>5521.8109999999997</v>
      </c>
      <c r="EN26" s="3662">
        <f>SUM('цех стоки 2023'!BI48)</f>
        <v>5521.8109999999997</v>
      </c>
      <c r="EO26" s="3662">
        <v>0</v>
      </c>
      <c r="EP26" s="3662">
        <f t="shared" ref="EP26" si="227">EQ26+ER26</f>
        <v>11754.985000000001</v>
      </c>
      <c r="EQ26" s="3662">
        <f>SUM('цех стоки 2023'!BJ48)</f>
        <v>11754.985000000001</v>
      </c>
      <c r="ER26" s="3662">
        <v>0</v>
      </c>
    </row>
    <row r="27" spans="1:148" ht="21" customHeight="1" x14ac:dyDescent="0.2">
      <c r="A27" s="3320" t="s">
        <v>529</v>
      </c>
      <c r="B27" s="1722">
        <f>SUM(B28:B33)</f>
        <v>2395.8000000000002</v>
      </c>
      <c r="C27" s="1723">
        <f>SUM(C28:C33)</f>
        <v>2601</v>
      </c>
      <c r="D27" s="1724">
        <f t="shared" si="0"/>
        <v>108.56498873027797</v>
      </c>
      <c r="E27" s="3682">
        <f>SUM(E28:E33)-E31</f>
        <v>2392.9000000000005</v>
      </c>
      <c r="F27" s="3682">
        <f>SUM(F28:F33)</f>
        <v>339.98834519956017</v>
      </c>
      <c r="G27" s="3682">
        <f>SUM(G28:G33)-G31</f>
        <v>3044</v>
      </c>
      <c r="H27" s="1725"/>
      <c r="I27" s="3682">
        <f>SUM(I28:I33)-I31</f>
        <v>3337.4</v>
      </c>
      <c r="J27" s="3682">
        <f>SUM(J28:J33)</f>
        <v>1546.7365654205605</v>
      </c>
      <c r="K27" s="3682">
        <f>SUM(K28:K33)-K31</f>
        <v>2079.5081315642897</v>
      </c>
      <c r="L27" s="3682">
        <f>SUM(L28:L33)-L31</f>
        <v>3384.9</v>
      </c>
      <c r="M27" s="1728">
        <f t="shared" si="25"/>
        <v>111.19908015768725</v>
      </c>
      <c r="N27" s="3682">
        <f>SUM(N28:N33)</f>
        <v>4176.4219929086685</v>
      </c>
      <c r="O27" s="1600">
        <f t="shared" si="26"/>
        <v>125.13998900067922</v>
      </c>
      <c r="P27" s="3682">
        <f>SUM(P28:P33)-P31</f>
        <v>3618.2853557039994</v>
      </c>
      <c r="Q27" s="3682">
        <f>SUM(Q28:Q33)</f>
        <v>535.52937492418869</v>
      </c>
      <c r="R27" s="3682">
        <f>SUM(R28:R33)</f>
        <v>498.49512913534039</v>
      </c>
      <c r="S27" s="3682">
        <f>SUM(S28:S33)-S31</f>
        <v>3539.4</v>
      </c>
      <c r="T27" s="3682">
        <f>SUM(T28:T33)</f>
        <v>0</v>
      </c>
      <c r="U27" s="3682">
        <f>SUM(U28:U33)-U31</f>
        <v>2712</v>
      </c>
      <c r="V27" s="3682">
        <f>SUM(V28:V33)-V31</f>
        <v>0</v>
      </c>
      <c r="W27" s="3682">
        <f>SUM(W28:W33)-W31</f>
        <v>4744.9500000000007</v>
      </c>
      <c r="X27" s="3682"/>
      <c r="Y27" s="3682" t="e">
        <f>SUM(Y28:Y33)-Y31</f>
        <v>#REF!</v>
      </c>
      <c r="Z27" s="3682" t="e">
        <f>SUM(Z28:Z33)-Z31</f>
        <v>#REF!</v>
      </c>
      <c r="AA27" s="3682">
        <f>SUM(AA28:AA33)</f>
        <v>0</v>
      </c>
      <c r="AB27" s="3682">
        <f>SUM(AB28:AB33)-AB31</f>
        <v>2449.9</v>
      </c>
      <c r="AC27" s="3682">
        <f>SUM(AC28:AC33)-AC31</f>
        <v>2444.1835279903339</v>
      </c>
      <c r="AD27" s="3682">
        <f>SUM(AD28:AD33)</f>
        <v>5.716472009665722</v>
      </c>
      <c r="AE27" s="3682">
        <v>3908.46</v>
      </c>
      <c r="AF27" s="1597" t="e">
        <f t="shared" si="29"/>
        <v>#REF!</v>
      </c>
      <c r="AG27" s="3682">
        <v>3908.46</v>
      </c>
      <c r="AH27" s="3682">
        <v>0</v>
      </c>
      <c r="AI27" s="3682">
        <f>SUM(AI28:AI33)</f>
        <v>4015.8612375136295</v>
      </c>
      <c r="AJ27" s="1597" t="e">
        <f t="shared" si="30"/>
        <v>#REF!</v>
      </c>
      <c r="AK27" s="3682">
        <f>SUM(AK28:AK33)-AK31</f>
        <v>4015.5592361464714</v>
      </c>
      <c r="AL27" s="3682">
        <f>SUM(AL28:AL33)</f>
        <v>0</v>
      </c>
      <c r="AM27" s="3682" t="e">
        <f>#REF!</f>
        <v>#REF!</v>
      </c>
      <c r="AN27" s="3682">
        <v>0</v>
      </c>
      <c r="AO27" s="3682" t="e">
        <f t="shared" si="31"/>
        <v>#REF!</v>
      </c>
      <c r="AP27" s="3682">
        <f>SUM(AP28:AP33)-AP31</f>
        <v>1054.58</v>
      </c>
      <c r="AQ27" s="3682">
        <f>SUM(AQ28:AQ33)-AQ31</f>
        <v>1052.5220704597962</v>
      </c>
      <c r="AR27" s="3682"/>
      <c r="AS27" s="3682">
        <f>SUM(AS28:AS33)-AS31</f>
        <v>1686.55</v>
      </c>
      <c r="AT27" s="3682">
        <f>SUM(AT28:AT33)-AT31</f>
        <v>1682.5473690555928</v>
      </c>
      <c r="AU27" s="3682"/>
      <c r="AV27" s="3682">
        <f>SUM(AV28:AV33)-AV31</f>
        <v>5342.0712213395909</v>
      </c>
      <c r="AW27" s="1600">
        <f t="shared" si="64"/>
        <v>1.3302429803692788</v>
      </c>
      <c r="AX27" s="3682">
        <f>SUM(AX28:AX33)-AX31</f>
        <v>5333.9881461884252</v>
      </c>
      <c r="AY27" s="3682">
        <f>SUM(AY28:AY33)</f>
        <v>8.0830751511660992</v>
      </c>
      <c r="AZ27" s="3682">
        <f>SUM(AZ28:AZ33)-AZ31</f>
        <v>3068.8808562007616</v>
      </c>
      <c r="BA27" s="1591">
        <f t="shared" si="36"/>
        <v>0.76418996441740128</v>
      </c>
      <c r="BB27" s="3682">
        <f>SUM(BB28:BB33)-BB31</f>
        <v>3064.6881686210413</v>
      </c>
      <c r="BC27" s="3682">
        <f>SUM(BC28:BC33)</f>
        <v>4.1926875797199727</v>
      </c>
      <c r="BD27" s="3682">
        <f>SUM(BD28:BD33)-BD31</f>
        <v>2886.7500000000005</v>
      </c>
      <c r="BE27" s="3682">
        <f t="shared" ref="BE27:BF27" si="228">SUM(BE28:BE33)-BE31</f>
        <v>2881.03</v>
      </c>
      <c r="BF27" s="3682">
        <f t="shared" si="228"/>
        <v>5.72</v>
      </c>
      <c r="BG27" s="3682">
        <f>SUM(BG28:BG33)-BG31</f>
        <v>2964.45</v>
      </c>
      <c r="BH27" s="3682">
        <f t="shared" ref="BH27" si="229">SUM(BH28:BH33)-BH31</f>
        <v>2958.8299999999995</v>
      </c>
      <c r="BI27" s="3682">
        <f t="shared" ref="BI27" si="230">SUM(BI28:BI33)-BI31</f>
        <v>5.62</v>
      </c>
      <c r="BJ27" s="3682">
        <f>SUM(BJ28:BJ33)-BJ31</f>
        <v>3632.9360000000006</v>
      </c>
      <c r="BK27" s="3682">
        <f t="shared" ref="BK27" si="231">SUM(BK28:BK33)-BK31</f>
        <v>3632.9360000000006</v>
      </c>
      <c r="BL27" s="3682">
        <f t="shared" ref="BL27" si="232">SUM(BL28:BL33)-BL31</f>
        <v>0</v>
      </c>
      <c r="BM27" s="3682">
        <f>SUM(BM28:BM33)-BM31</f>
        <v>3611.2299999999996</v>
      </c>
      <c r="BN27" s="3682">
        <f t="shared" ref="BN27" si="233">SUM(BN28:BN33)-BN31</f>
        <v>3611.2299999999996</v>
      </c>
      <c r="BO27" s="3682">
        <f t="shared" ref="BO27" si="234">SUM(BO28:BO33)-BO31</f>
        <v>0</v>
      </c>
      <c r="BP27" s="3682">
        <f>SUM(BP28:BP33)-BP31</f>
        <v>4714.82</v>
      </c>
      <c r="BQ27" s="3682">
        <f t="shared" ref="BQ27" si="235">SUM(BQ28:BQ33)-BQ31</f>
        <v>4704.5899999999992</v>
      </c>
      <c r="BR27" s="3682">
        <f t="shared" ref="BR27" si="236">SUM(BR28:BR33)-BR31</f>
        <v>10.23</v>
      </c>
      <c r="BS27" s="3682">
        <f>SUM(BS28:BS33)-BS31</f>
        <v>4511.7311866989621</v>
      </c>
      <c r="BT27" s="3682">
        <f t="shared" ref="BT27" si="237">SUM(BT28:BT33)-BT31</f>
        <v>4511.7311866989621</v>
      </c>
      <c r="BU27" s="3682">
        <f t="shared" ref="BU27" si="238">SUM(BU28:BU33)-BU31</f>
        <v>0</v>
      </c>
      <c r="BV27" s="3682">
        <f>SUM(BV28:BV33)-BV31</f>
        <v>5130.8793990234899</v>
      </c>
      <c r="BW27" s="3682">
        <f t="shared" ref="BW27" si="239">SUM(BW28:BW33)-BW31</f>
        <v>5130.8793990234899</v>
      </c>
      <c r="BX27" s="3682">
        <f t="shared" ref="BX27" si="240">SUM(BX28:BX33)-BX31</f>
        <v>0</v>
      </c>
      <c r="BY27" s="1726"/>
      <c r="BZ27" s="3735"/>
      <c r="CA27" s="3735"/>
      <c r="CB27" s="3735"/>
      <c r="CC27" s="3735"/>
      <c r="CD27" s="3735"/>
      <c r="CE27" s="3735"/>
      <c r="CF27" s="3735"/>
      <c r="CG27" s="3735"/>
      <c r="CH27" s="3735"/>
      <c r="CI27" s="3735"/>
      <c r="CJ27" s="3735"/>
      <c r="CK27" s="3682">
        <f>SUM(CK28:CK33)-CK31</f>
        <v>4625.9620530769307</v>
      </c>
      <c r="CL27" s="3682">
        <f t="shared" ref="CL27" si="241">SUM(CL28:CL33)-CL31</f>
        <v>4625.9620530769307</v>
      </c>
      <c r="CM27" s="3682">
        <f t="shared" ref="CM27" si="242">SUM(CM28:CM33)-CM31</f>
        <v>0</v>
      </c>
      <c r="CN27" s="3682">
        <f>SUM(CN28:CN33)-CN31</f>
        <v>2263.2049999999999</v>
      </c>
      <c r="CO27" s="3682">
        <f t="shared" ref="CO27" si="243">SUM(CO28:CO33)-CO31</f>
        <v>2263.2049999999999</v>
      </c>
      <c r="CP27" s="3682">
        <f t="shared" ref="CP27" si="244">SUM(CP28:CP33)-CP31</f>
        <v>0</v>
      </c>
      <c r="CQ27" s="3682">
        <f>SUM(CQ28:CQ33)-CQ31</f>
        <v>3444.8300000000004</v>
      </c>
      <c r="CR27" s="3682">
        <f t="shared" ref="CR27" si="245">SUM(CR28:CR33)-CR31</f>
        <v>3444.8300000000004</v>
      </c>
      <c r="CS27" s="3682">
        <f t="shared" ref="CS27" si="246">SUM(CS28:CS33)-CS31</f>
        <v>0</v>
      </c>
      <c r="CT27" s="3682">
        <f>SUM(CT28:CT33)-CT31</f>
        <v>4662.6200000000008</v>
      </c>
      <c r="CU27" s="3682">
        <f t="shared" ref="CU27" si="247">SUM(CU28:CU33)-CU31</f>
        <v>4662.6200000000008</v>
      </c>
      <c r="CV27" s="3682">
        <f t="shared" ref="CV27" si="248">SUM(CV28:CV33)-CV31</f>
        <v>0</v>
      </c>
      <c r="CW27" s="3682">
        <f>SUM(CW28:CW33)-CW31</f>
        <v>7183.1150543192771</v>
      </c>
      <c r="CX27" s="3682">
        <f t="shared" ref="CX27" si="249">SUM(CX28:CX33)-CX31</f>
        <v>7183.1150543192771</v>
      </c>
      <c r="CY27" s="3682">
        <f t="shared" ref="CY27" si="250">SUM(CY28:CY33)-CY31</f>
        <v>0</v>
      </c>
      <c r="CZ27" s="3682">
        <f>SUM(CZ28:CZ33)-CZ31</f>
        <v>6106.1949423047126</v>
      </c>
      <c r="DA27" s="3682">
        <f t="shared" ref="DA27" si="251">SUM(DA28:DA33)-DA31</f>
        <v>6106.1949423047126</v>
      </c>
      <c r="DB27" s="3682">
        <f t="shared" ref="DB27" si="252">SUM(DB28:DB33)-DB31</f>
        <v>0</v>
      </c>
      <c r="DC27" s="3682">
        <f>SUM(DC28:DC33)-DC31</f>
        <v>2556.7849999999999</v>
      </c>
      <c r="DD27" s="3682">
        <f t="shared" ref="DD27" si="253">SUM(DD28:DD33)-DD31</f>
        <v>2556.7849999999999</v>
      </c>
      <c r="DE27" s="3682">
        <f t="shared" ref="DE27" si="254">SUM(DE28:DE33)-DE31</f>
        <v>0</v>
      </c>
      <c r="DF27" s="3682">
        <f>SUM(DF28:DF33)-DF31</f>
        <v>3631.7200000000003</v>
      </c>
      <c r="DG27" s="3682">
        <f t="shared" ref="DG27" si="255">SUM(DG28:DG33)-DG31</f>
        <v>3631.7200000000003</v>
      </c>
      <c r="DH27" s="3682">
        <f t="shared" ref="DH27" si="256">SUM(DH28:DH33)-DH31</f>
        <v>0</v>
      </c>
      <c r="DI27" s="3682">
        <f>SUM(DI28:DI33)-DI31</f>
        <v>5708.88</v>
      </c>
      <c r="DJ27" s="3682">
        <f t="shared" ref="DJ27" si="257">SUM(DJ28:DJ33)-DJ31</f>
        <v>5708.88</v>
      </c>
      <c r="DK27" s="3682">
        <f t="shared" ref="DK27" si="258">SUM(DK28:DK33)-DK31</f>
        <v>0</v>
      </c>
      <c r="DL27" s="3682">
        <f>SUM(DL28:DL33)-DL31</f>
        <v>8274.5836656429274</v>
      </c>
      <c r="DM27" s="3682">
        <f t="shared" ref="DM27" si="259">SUM(DM28:DM33)-DM31</f>
        <v>8274.5836656429274</v>
      </c>
      <c r="DN27" s="3682">
        <f t="shared" ref="DN27" si="260">SUM(DN28:DN33)-DN31</f>
        <v>0</v>
      </c>
      <c r="DO27" s="3682">
        <f>SUM(DO28:DO33)-DO31</f>
        <v>7017.7286630944063</v>
      </c>
      <c r="DP27" s="3682">
        <f t="shared" ref="DP27" si="261">SUM(DP28:DP33)-DP31</f>
        <v>7017.7286630944063</v>
      </c>
      <c r="DQ27" s="3682">
        <f t="shared" ref="DQ27" si="262">SUM(DQ28:DQ33)-DQ31</f>
        <v>0</v>
      </c>
      <c r="DR27" s="3682">
        <f>SUM(DR28:DR33)-DR31</f>
        <v>2652.0450000000001</v>
      </c>
      <c r="DS27" s="3682">
        <f t="shared" ref="DS27" si="263">SUM(DS28:DS33)-DS31</f>
        <v>2652.0450000000001</v>
      </c>
      <c r="DT27" s="3682">
        <f t="shared" ref="DT27" si="264">SUM(DT28:DT33)-DT31</f>
        <v>0</v>
      </c>
      <c r="DU27" s="3682">
        <f>SUM(DU28:DU33)-DU31</f>
        <v>4268.0569999999998</v>
      </c>
      <c r="DV27" s="3682">
        <f t="shared" ref="DV27" si="265">SUM(DV28:DV33)-DV31</f>
        <v>4268.0569999999998</v>
      </c>
      <c r="DW27" s="3682">
        <f t="shared" ref="DW27" si="266">SUM(DW28:DW33)-DW31</f>
        <v>0</v>
      </c>
      <c r="DX27" s="3682">
        <f>SUM(DX28:DX33)-DX31</f>
        <v>5875.9389999999994</v>
      </c>
      <c r="DY27" s="3682">
        <f t="shared" ref="DY27" si="267">SUM(DY28:DY33)-DY31</f>
        <v>5875.9389999999994</v>
      </c>
      <c r="DZ27" s="3682">
        <f t="shared" ref="DZ27" si="268">SUM(DZ28:DZ33)-DZ31</f>
        <v>0</v>
      </c>
      <c r="EA27" s="2346">
        <f>SUM(EA28:EA33)-EA31</f>
        <v>7982.7296464242036</v>
      </c>
      <c r="EB27" s="2346">
        <f t="shared" ref="EB27" si="269">SUM(EB28:EB33)-EB31</f>
        <v>7982.7296464242036</v>
      </c>
      <c r="EC27" s="2346">
        <f t="shared" ref="EC27" si="270">SUM(EC28:EC33)-EC31</f>
        <v>0</v>
      </c>
      <c r="ED27" s="3960">
        <f>SUM(ED28:ED33)-ED31</f>
        <v>2129.9743560552265</v>
      </c>
      <c r="EE27" s="3960">
        <f t="shared" ref="EE27" si="271">SUM(EE28:EE33)-EE31</f>
        <v>2129.9743560552265</v>
      </c>
      <c r="EF27" s="3960">
        <f t="shared" ref="EF27" si="272">SUM(EF28:EF33)-EF31</f>
        <v>0</v>
      </c>
      <c r="EG27" s="2346">
        <f>SUM(EG28:EG33)-EG31</f>
        <v>7982.7296464242036</v>
      </c>
      <c r="EH27" s="2346">
        <f t="shared" ref="EH27" si="273">SUM(EH28:EH33)-EH31</f>
        <v>7982.7296464242036</v>
      </c>
      <c r="EI27" s="2346">
        <f t="shared" ref="EI27" si="274">SUM(EI28:EI33)-EI31</f>
        <v>0</v>
      </c>
      <c r="EJ27" s="2346">
        <f>SUM(EJ28:EJ33)-EJ31</f>
        <v>7719.5148397220164</v>
      </c>
      <c r="EK27" s="2346">
        <f t="shared" ref="EK27" si="275">SUM(EK28:EK33)-EK31</f>
        <v>7719.5148397220164</v>
      </c>
      <c r="EL27" s="2346">
        <f t="shared" ref="EL27" si="276">SUM(EL28:EL33)-EL31</f>
        <v>0</v>
      </c>
      <c r="EM27" s="4683">
        <f>SUM(EM28:EM33)-EM31</f>
        <v>3174.1729999999998</v>
      </c>
      <c r="EN27" s="4683">
        <f t="shared" ref="EN27" si="277">SUM(EN28:EN33)-EN31</f>
        <v>3174.1729999999998</v>
      </c>
      <c r="EO27" s="4683">
        <f t="shared" ref="EO27" si="278">SUM(EO28:EO33)-EO31</f>
        <v>0</v>
      </c>
      <c r="EP27" s="4683">
        <f>SUM(EP28:EP33)-EP31</f>
        <v>6404.3679999999995</v>
      </c>
      <c r="EQ27" s="4683">
        <f t="shared" ref="EQ27" si="279">SUM(EQ28:EQ33)-EQ31</f>
        <v>6404.3679999999995</v>
      </c>
      <c r="ER27" s="4683">
        <f t="shared" ref="ER27" si="280">SUM(ER28:ER33)-ER31</f>
        <v>0</v>
      </c>
    </row>
    <row r="28" spans="1:148" s="2730" customFormat="1" ht="21" customHeight="1" x14ac:dyDescent="0.2">
      <c r="A28" s="3214" t="s">
        <v>3</v>
      </c>
      <c r="B28" s="3674">
        <v>136.30000000000001</v>
      </c>
      <c r="C28" s="3193">
        <v>303.60000000000002</v>
      </c>
      <c r="D28" s="1725">
        <f t="shared" si="0"/>
        <v>222.74394717534852</v>
      </c>
      <c r="E28" s="3193">
        <v>107.7</v>
      </c>
      <c r="F28" s="1725">
        <f t="shared" si="24"/>
        <v>35.474308300395258</v>
      </c>
      <c r="G28" s="3193">
        <v>238.5</v>
      </c>
      <c r="H28" s="1725">
        <f t="shared" si="2"/>
        <v>221.44846796657382</v>
      </c>
      <c r="I28" s="1597">
        <v>196.9</v>
      </c>
      <c r="J28" s="1597">
        <v>93.1</v>
      </c>
      <c r="K28" s="1597">
        <v>136.4</v>
      </c>
      <c r="L28" s="1597">
        <v>300.60000000000002</v>
      </c>
      <c r="M28" s="1600">
        <f t="shared" si="25"/>
        <v>126.03773584905662</v>
      </c>
      <c r="N28" s="1597">
        <v>216.7</v>
      </c>
      <c r="O28" s="1600">
        <f t="shared" si="26"/>
        <v>110.05586592178771</v>
      </c>
      <c r="P28" s="1597">
        <v>206.7</v>
      </c>
      <c r="Q28" s="1600">
        <f t="shared" si="27"/>
        <v>104.97714575926867</v>
      </c>
      <c r="R28" s="1600">
        <f t="shared" ref="R28:R42" si="281">P28/L28*100</f>
        <v>68.762475049900189</v>
      </c>
      <c r="S28" s="1597">
        <v>206.7</v>
      </c>
      <c r="T28" s="1597"/>
      <c r="U28" s="1597">
        <v>268.8</v>
      </c>
      <c r="V28" s="1597"/>
      <c r="W28" s="1597">
        <v>309</v>
      </c>
      <c r="X28" s="1597"/>
      <c r="Y28" s="1597">
        <f>P28*1.048</f>
        <v>216.6216</v>
      </c>
      <c r="Z28" s="1597">
        <f>Y28</f>
        <v>216.6216</v>
      </c>
      <c r="AA28" s="1597"/>
      <c r="AB28" s="1597">
        <f>SUM(AC28:AD28)</f>
        <v>259.89999999999998</v>
      </c>
      <c r="AC28" s="1597">
        <v>259.89999999999998</v>
      </c>
      <c r="AD28" s="1597">
        <v>0</v>
      </c>
      <c r="AE28" s="1597">
        <v>230</v>
      </c>
      <c r="AF28" s="1597">
        <f t="shared" si="29"/>
        <v>1.0617593074744163</v>
      </c>
      <c r="AG28" s="1597">
        <v>230</v>
      </c>
      <c r="AH28" s="1597">
        <v>0</v>
      </c>
      <c r="AI28" s="1597">
        <f>AK28+AL28</f>
        <v>361.53</v>
      </c>
      <c r="AJ28" s="1597">
        <f t="shared" si="30"/>
        <v>1.6689471410053289</v>
      </c>
      <c r="AK28" s="1597">
        <f>'Ремонт стоки 2015'!G19/1000</f>
        <v>361.53</v>
      </c>
      <c r="AL28" s="1597">
        <f>AA28*1.046</f>
        <v>0</v>
      </c>
      <c r="AM28" s="1597">
        <f>AK28*1.046</f>
        <v>378.16037999999998</v>
      </c>
      <c r="AN28" s="1597">
        <f>AL28*1.046</f>
        <v>0</v>
      </c>
      <c r="AO28" s="1597" t="e">
        <f>#REF!*1.046</f>
        <v>#REF!</v>
      </c>
      <c r="AP28" s="1597">
        <f>SUM(AQ28:AR28)</f>
        <v>0</v>
      </c>
      <c r="AQ28" s="1597">
        <v>0</v>
      </c>
      <c r="AR28" s="1597">
        <v>0</v>
      </c>
      <c r="AS28" s="1597">
        <f>SUM(AT28:AU28)</f>
        <v>0</v>
      </c>
      <c r="AT28" s="1597">
        <v>0</v>
      </c>
      <c r="AU28" s="1597">
        <v>0</v>
      </c>
      <c r="AV28" s="1597">
        <f>SUM(AX28:AY28)</f>
        <v>1081.7670000000001</v>
      </c>
      <c r="AW28" s="1600">
        <f t="shared" si="64"/>
        <v>2.9921915193759858</v>
      </c>
      <c r="AX28" s="1597">
        <f>SUM('Ремонт стоки 2016'!K88/1000)</f>
        <v>1081.7670000000001</v>
      </c>
      <c r="AY28" s="1597">
        <v>0</v>
      </c>
      <c r="AZ28" s="1597">
        <f>'  текРемстоки 2016'!I91/1000</f>
        <v>132.46199999999999</v>
      </c>
      <c r="BA28" s="1591">
        <f t="shared" si="36"/>
        <v>0.36639283047050036</v>
      </c>
      <c r="BB28" s="1597">
        <f>AZ28</f>
        <v>132.46199999999999</v>
      </c>
      <c r="BC28" s="1597">
        <v>0</v>
      </c>
      <c r="BD28" s="1597">
        <f>BE28+BF28</f>
        <v>122.56</v>
      </c>
      <c r="BE28" s="1597">
        <v>122.56</v>
      </c>
      <c r="BF28" s="1597">
        <v>0</v>
      </c>
      <c r="BG28" s="1597">
        <f>BH28+BI28</f>
        <v>300.22000000000003</v>
      </c>
      <c r="BH28" s="1597">
        <v>300.22000000000003</v>
      </c>
      <c r="BI28" s="1597">
        <v>0</v>
      </c>
      <c r="BJ28" s="1597">
        <f>BK28+BL28</f>
        <v>147.84200000000001</v>
      </c>
      <c r="BK28" s="1597">
        <v>147.84200000000001</v>
      </c>
      <c r="BL28" s="1597">
        <v>0</v>
      </c>
      <c r="BM28" s="1597">
        <f>BN28+BO28</f>
        <v>559.78</v>
      </c>
      <c r="BN28" s="1597">
        <v>559.78</v>
      </c>
      <c r="BO28" s="1597">
        <v>0</v>
      </c>
      <c r="BP28" s="1597">
        <f>BQ28+BR28</f>
        <v>1108.3499999999999</v>
      </c>
      <c r="BQ28" s="1597">
        <v>1108.3499999999999</v>
      </c>
      <c r="BR28" s="1597">
        <v>0</v>
      </c>
      <c r="BS28" s="1597">
        <f>'рем программа'!B35</f>
        <v>1027.0439899999999</v>
      </c>
      <c r="BT28" s="1597">
        <f>BS28</f>
        <v>1027.0439899999999</v>
      </c>
      <c r="BU28" s="1597">
        <v>0</v>
      </c>
      <c r="BV28" s="1597">
        <f>SUM('рем программа'!I35:J35)</f>
        <v>1021.43466</v>
      </c>
      <c r="BW28" s="1597">
        <f>BV28</f>
        <v>1021.43466</v>
      </c>
      <c r="BX28" s="1597">
        <v>0</v>
      </c>
      <c r="BY28" s="3675" t="s">
        <v>3489</v>
      </c>
      <c r="BZ28" s="3735"/>
      <c r="CA28" s="3735"/>
      <c r="CB28" s="3735"/>
      <c r="CC28" s="3735"/>
      <c r="CD28" s="3735"/>
      <c r="CE28" s="3735"/>
      <c r="CF28" s="3735"/>
      <c r="CG28" s="3735"/>
      <c r="CH28" s="3735"/>
      <c r="CI28" s="3735"/>
      <c r="CJ28" s="3735"/>
      <c r="CK28" s="1597">
        <f>SUM('рем программа'!K35)</f>
        <v>1047.276756603</v>
      </c>
      <c r="CL28" s="1597">
        <f>SUM(CK28)</f>
        <v>1047.276756603</v>
      </c>
      <c r="CM28" s="1597">
        <v>0</v>
      </c>
      <c r="CN28" s="1597">
        <f t="shared" ref="CN28:CN30" si="282">CO28+CP28</f>
        <v>407.15</v>
      </c>
      <c r="CO28" s="1597">
        <f>SUM('рем программа'!L35)</f>
        <v>407.15</v>
      </c>
      <c r="CP28" s="1597">
        <v>0</v>
      </c>
      <c r="CQ28" s="1597">
        <f t="shared" ref="CQ28:CQ30" si="283">CR28+CS28</f>
        <v>598.23</v>
      </c>
      <c r="CR28" s="1597">
        <f>SUM('рем программа'!M35)</f>
        <v>598.23</v>
      </c>
      <c r="CS28" s="1597">
        <v>0</v>
      </c>
      <c r="CT28" s="1597">
        <f t="shared" ref="CT28:CT30" si="284">CU28+CV28</f>
        <v>678.82</v>
      </c>
      <c r="CU28" s="1597">
        <f>SUM('рем программа'!N35)</f>
        <v>678.82</v>
      </c>
      <c r="CV28" s="1597">
        <v>0</v>
      </c>
      <c r="CW28" s="1597">
        <f t="shared" ref="CW28:CW30" si="285">CX28+CY28</f>
        <v>1182.172464</v>
      </c>
      <c r="CX28" s="1597">
        <f>SUM('рем программа'!O35)</f>
        <v>1182.172464</v>
      </c>
      <c r="CY28" s="1597">
        <v>0</v>
      </c>
      <c r="CZ28" s="1597">
        <f t="shared" ref="CZ28:CZ30" si="286">DA28+DB28</f>
        <v>1076.2146198901498</v>
      </c>
      <c r="DA28" s="1597">
        <f>SUM('рем программа'!P35)</f>
        <v>1076.2146198901498</v>
      </c>
      <c r="DB28" s="1597">
        <v>0</v>
      </c>
      <c r="DC28" s="1597">
        <f t="shared" ref="DC28:DC30" si="287">DD28+DE28</f>
        <v>324.8</v>
      </c>
      <c r="DD28" s="1597">
        <f>SUM('рем программа'!Q35)</f>
        <v>324.8</v>
      </c>
      <c r="DE28" s="1597">
        <v>0</v>
      </c>
      <c r="DF28" s="1597">
        <f t="shared" ref="DF28:DF30" si="288">DG28+DH28</f>
        <v>453.82499999999999</v>
      </c>
      <c r="DG28" s="1597">
        <f>SUM('рем программа'!R35)</f>
        <v>453.82499999999999</v>
      </c>
      <c r="DH28" s="1597">
        <v>0</v>
      </c>
      <c r="DI28" s="1597">
        <f t="shared" ref="DI28:DI30" si="289">DJ28+DK28</f>
        <v>648.54999999999995</v>
      </c>
      <c r="DJ28" s="1597">
        <f>SUM('рем программа'!S35)</f>
        <v>648.54999999999995</v>
      </c>
      <c r="DK28" s="1597">
        <v>0</v>
      </c>
      <c r="DL28" s="1597">
        <f t="shared" ref="DL28:DL30" si="290">DM28+DN28</f>
        <v>1254.1632047999999</v>
      </c>
      <c r="DM28" s="1597">
        <f>SUM('рем программа'!T35)</f>
        <v>1254.1632047999999</v>
      </c>
      <c r="DN28" s="1597">
        <v>0</v>
      </c>
      <c r="DO28" s="1597">
        <f t="shared" ref="DO28:DO30" si="291">DP28+DQ28</f>
        <v>1139.2140743532552</v>
      </c>
      <c r="DP28" s="1597">
        <f>SUM('рем программа'!U35)</f>
        <v>1139.2140743532552</v>
      </c>
      <c r="DQ28" s="1597">
        <v>0</v>
      </c>
      <c r="DR28" s="1597">
        <f t="shared" ref="DR28:DR30" si="292">DS28+DT28</f>
        <v>254.67</v>
      </c>
      <c r="DS28" s="1597">
        <f>SUM('рем программа'!V35)</f>
        <v>254.67</v>
      </c>
      <c r="DT28" s="1597">
        <v>0</v>
      </c>
      <c r="DU28" s="1597">
        <f t="shared" ref="DU28:DU30" si="293">DV28+DW28</f>
        <v>469.96</v>
      </c>
      <c r="DV28" s="1597">
        <f>SUM('рем программа'!W35)</f>
        <v>469.96</v>
      </c>
      <c r="DW28" s="1597">
        <v>0</v>
      </c>
      <c r="DX28" s="1597">
        <f t="shared" ref="DX28:DX30" si="294">DY28+DZ28</f>
        <v>572.07600000000002</v>
      </c>
      <c r="DY28" s="1597">
        <f>SUM('рем программа'!X35)</f>
        <v>572.07600000000002</v>
      </c>
      <c r="DZ28" s="1597">
        <v>0</v>
      </c>
      <c r="EA28" s="2343">
        <f t="shared" ref="EA28:EA30" si="295">EB28+EC28</f>
        <v>1291.7947284000002</v>
      </c>
      <c r="EB28" s="2343">
        <f>SUM('рем программа'!Y35)</f>
        <v>1291.7947284000002</v>
      </c>
      <c r="EC28" s="2343">
        <v>0</v>
      </c>
      <c r="ED28" s="3959">
        <f t="shared" ref="ED28:ED30" si="296">EE28+EF28</f>
        <v>0</v>
      </c>
      <c r="EE28" s="3959">
        <f>SUM('рем программа'!AJ35)</f>
        <v>0</v>
      </c>
      <c r="EF28" s="3959">
        <v>0</v>
      </c>
      <c r="EG28" s="2343">
        <f t="shared" ref="EG28:EG30" si="297">EH28+EI28</f>
        <v>1291.7947284000002</v>
      </c>
      <c r="EH28" s="2343">
        <f>SUM('рем программа'!Y35)</f>
        <v>1291.7947284000002</v>
      </c>
      <c r="EI28" s="2343">
        <v>0</v>
      </c>
      <c r="EJ28" s="2343">
        <f t="shared" ref="EJ28:EJ30" si="298">EK28+EL28</f>
        <v>1314.1482814966762</v>
      </c>
      <c r="EK28" s="2343">
        <f>SUM('рем программа'!Z35)</f>
        <v>1314.1482814966762</v>
      </c>
      <c r="EL28" s="2343">
        <v>0</v>
      </c>
      <c r="EM28" s="3662">
        <f t="shared" ref="EM28:EM30" si="299">EN28+EO28</f>
        <v>555.17499999999995</v>
      </c>
      <c r="EN28" s="3662">
        <f>SUM('рем программа'!AA35)</f>
        <v>555.17499999999995</v>
      </c>
      <c r="EO28" s="3662">
        <v>0</v>
      </c>
      <c r="EP28" s="3662">
        <f t="shared" ref="EP28:EP30" si="300">EQ28+ER28</f>
        <v>1461.3420000000001</v>
      </c>
      <c r="EQ28" s="3662">
        <f>SUM('рем программа'!AB35)</f>
        <v>1461.3420000000001</v>
      </c>
      <c r="ER28" s="3662">
        <v>0</v>
      </c>
    </row>
    <row r="29" spans="1:148" ht="21" customHeight="1" x14ac:dyDescent="0.2">
      <c r="A29" s="3214" t="s">
        <v>4</v>
      </c>
      <c r="B29" s="3674">
        <v>1216.9000000000001</v>
      </c>
      <c r="C29" s="3193">
        <v>1404.6</v>
      </c>
      <c r="D29" s="1725">
        <f t="shared" si="0"/>
        <v>115.4244391486564</v>
      </c>
      <c r="E29" s="3193">
        <v>1305.4000000000001</v>
      </c>
      <c r="F29" s="1725">
        <f t="shared" si="24"/>
        <v>92.937491100669249</v>
      </c>
      <c r="G29" s="3193">
        <v>1610.2</v>
      </c>
      <c r="H29" s="1725">
        <f t="shared" si="2"/>
        <v>123.34916500689444</v>
      </c>
      <c r="I29" s="1597">
        <v>1927.2</v>
      </c>
      <c r="J29" s="1597">
        <v>856</v>
      </c>
      <c r="K29" s="1597">
        <v>1159.5</v>
      </c>
      <c r="L29" s="1597">
        <v>1696.9</v>
      </c>
      <c r="M29" s="1600">
        <f t="shared" si="25"/>
        <v>105.38442429511863</v>
      </c>
      <c r="N29" s="1597">
        <v>2453.6999999999998</v>
      </c>
      <c r="O29" s="1600">
        <f t="shared" si="26"/>
        <v>127.31942714819426</v>
      </c>
      <c r="P29" s="1597">
        <f>ЗП!AP17</f>
        <v>2064.0440519999997</v>
      </c>
      <c r="Q29" s="1600">
        <f t="shared" si="27"/>
        <v>107.10066687422166</v>
      </c>
      <c r="R29" s="1600">
        <f t="shared" si="281"/>
        <v>121.6361631209853</v>
      </c>
      <c r="S29" s="1597">
        <v>2064</v>
      </c>
      <c r="T29" s="1597"/>
      <c r="U29" s="1597">
        <v>1288.8</v>
      </c>
      <c r="V29" s="1597"/>
      <c r="W29" s="1597">
        <v>2633.2</v>
      </c>
      <c r="X29" s="1597"/>
      <c r="Y29" s="1597">
        <f>ЗП!U34</f>
        <v>2179.6305189119998</v>
      </c>
      <c r="Z29" s="1597">
        <f>Y29</f>
        <v>2179.6305189119998</v>
      </c>
      <c r="AA29" s="1597"/>
      <c r="AB29" s="1597">
        <v>1158.3</v>
      </c>
      <c r="AC29" s="1597">
        <f>SUM(AB29)</f>
        <v>1158.3</v>
      </c>
      <c r="AD29" s="1597">
        <v>0</v>
      </c>
      <c r="AE29" s="1597">
        <v>2288.61</v>
      </c>
      <c r="AF29" s="1597">
        <f t="shared" si="29"/>
        <v>1.0499990618329198</v>
      </c>
      <c r="AG29" s="1597">
        <v>2288.61</v>
      </c>
      <c r="AH29" s="1597">
        <v>0</v>
      </c>
      <c r="AI29" s="1597">
        <f>ЗП!BB34</f>
        <v>2257.028571428571</v>
      </c>
      <c r="AJ29" s="1597">
        <f t="shared" si="30"/>
        <v>1.0355097122402221</v>
      </c>
      <c r="AK29" s="1597">
        <f>AI29</f>
        <v>2257.028571428571</v>
      </c>
      <c r="AL29" s="1597">
        <f>AA29*1.05</f>
        <v>0</v>
      </c>
      <c r="AM29" s="3682" t="e">
        <f>#REF!</f>
        <v>#REF!</v>
      </c>
      <c r="AN29" s="3682">
        <v>0</v>
      </c>
      <c r="AO29" s="3682" t="e">
        <f t="shared" si="31"/>
        <v>#REF!</v>
      </c>
      <c r="AP29" s="1597">
        <f>SUM(ЗП!BG34)</f>
        <v>686.3</v>
      </c>
      <c r="AQ29" s="1597">
        <f>SUM(AP29)</f>
        <v>686.3</v>
      </c>
      <c r="AR29" s="1597">
        <v>0</v>
      </c>
      <c r="AS29" s="1597">
        <f>SUM(ЗП!BK34)</f>
        <v>1117.9000000000001</v>
      </c>
      <c r="AT29" s="1597">
        <f>SUM(AS29)</f>
        <v>1117.9000000000001</v>
      </c>
      <c r="AU29" s="1597">
        <v>0</v>
      </c>
      <c r="AV29" s="1597">
        <v>2482.73</v>
      </c>
      <c r="AW29" s="1600">
        <f t="shared" si="64"/>
        <v>1.09999936705656</v>
      </c>
      <c r="AX29" s="1597">
        <f>SUM(AV29)</f>
        <v>2482.73</v>
      </c>
      <c r="AY29" s="1597">
        <v>0</v>
      </c>
      <c r="AZ29" s="1597">
        <f>SUM(ЗП!BS34)</f>
        <v>1648.136533333334</v>
      </c>
      <c r="BA29" s="1591">
        <f t="shared" si="36"/>
        <v>0.73022404509933037</v>
      </c>
      <c r="BB29" s="1597">
        <f>SUM(AZ29)</f>
        <v>1648.136533333334</v>
      </c>
      <c r="BC29" s="1597">
        <v>0</v>
      </c>
      <c r="BD29" s="1597">
        <f t="shared" ref="BD29:BD46" si="301">BE29+BF29</f>
        <v>1443.68</v>
      </c>
      <c r="BE29" s="1597">
        <v>1443.68</v>
      </c>
      <c r="BF29" s="1597">
        <v>0</v>
      </c>
      <c r="BG29" s="1597">
        <f t="shared" ref="BG29:BG30" si="302">BH29+BI29</f>
        <v>1275.97</v>
      </c>
      <c r="BH29" s="1597">
        <v>1275.97</v>
      </c>
      <c r="BI29" s="1597">
        <v>0</v>
      </c>
      <c r="BJ29" s="1597">
        <f t="shared" ref="BJ29:BJ30" si="303">BK29+BL29</f>
        <v>1839.52</v>
      </c>
      <c r="BK29" s="1597">
        <v>1839.52</v>
      </c>
      <c r="BL29" s="1597">
        <v>0</v>
      </c>
      <c r="BM29" s="1597">
        <f t="shared" ref="BM29:BM30" si="304">BN29+BO29</f>
        <v>1276.93</v>
      </c>
      <c r="BN29" s="1597">
        <v>1276.93</v>
      </c>
      <c r="BO29" s="1597">
        <v>0</v>
      </c>
      <c r="BP29" s="1597">
        <f t="shared" ref="BP29:BP30" si="305">BQ29+BR29</f>
        <v>1369.43</v>
      </c>
      <c r="BQ29" s="1597">
        <v>1369.43</v>
      </c>
      <c r="BR29" s="1597">
        <v>0</v>
      </c>
      <c r="BS29" s="1597">
        <f t="shared" ref="BS29:BS30" si="306">BT29+BU29</f>
        <v>1664.635104</v>
      </c>
      <c r="BT29" s="1597">
        <f>ЗП!CR34</f>
        <v>1664.635104</v>
      </c>
      <c r="BU29" s="1597">
        <v>0</v>
      </c>
      <c r="BV29" s="1597">
        <f t="shared" ref="BV29:BV30" si="307">BW29+BX29</f>
        <v>1741.2083187839999</v>
      </c>
      <c r="BW29" s="1597">
        <f>SUM(ЗП!CU34)</f>
        <v>1741.2083187839999</v>
      </c>
      <c r="BX29" s="1597">
        <v>0</v>
      </c>
      <c r="BY29" s="3675" t="str">
        <f>BY23</f>
        <v>Приложение</v>
      </c>
      <c r="BZ29" s="3735"/>
      <c r="CA29" s="3735"/>
      <c r="CB29" s="3735"/>
      <c r="CC29" s="3735"/>
      <c r="CD29" s="3735"/>
      <c r="CE29" s="3735"/>
      <c r="CF29" s="3735"/>
      <c r="CG29" s="3735"/>
      <c r="CH29" s="3735"/>
      <c r="CI29" s="3735"/>
      <c r="CJ29" s="3735"/>
      <c r="CK29" s="1597">
        <f>SUM(ЗП!CX34)</f>
        <v>1697.4284155488001</v>
      </c>
      <c r="CL29" s="1597">
        <f>SUM(CK29)</f>
        <v>1697.4284155488001</v>
      </c>
      <c r="CM29" s="1597">
        <v>0</v>
      </c>
      <c r="CN29" s="1597">
        <f t="shared" si="282"/>
        <v>605.70000000000005</v>
      </c>
      <c r="CO29" s="1597">
        <f>SUM(ЗП!DA34)</f>
        <v>605.70000000000005</v>
      </c>
      <c r="CP29" s="1597">
        <v>0</v>
      </c>
      <c r="CQ29" s="1597">
        <f t="shared" si="283"/>
        <v>1010.97</v>
      </c>
      <c r="CR29" s="1597">
        <f>SUM(ЗП!DD34)</f>
        <v>1010.97</v>
      </c>
      <c r="CS29" s="1597">
        <v>0</v>
      </c>
      <c r="CT29" s="1597">
        <f t="shared" si="284"/>
        <v>1585.67</v>
      </c>
      <c r="CU29" s="1597">
        <f>SUM(ЗП!DG34)</f>
        <v>1585.67</v>
      </c>
      <c r="CV29" s="1597">
        <v>0</v>
      </c>
      <c r="CW29" s="1597">
        <f t="shared" si="285"/>
        <v>2562.4644407999999</v>
      </c>
      <c r="CX29" s="1597">
        <f>SUM(ЗП!DJ34)</f>
        <v>2562.4644407999999</v>
      </c>
      <c r="CY29" s="1597">
        <v>0</v>
      </c>
      <c r="CZ29" s="1597">
        <f t="shared" si="286"/>
        <v>1744.3309664926426</v>
      </c>
      <c r="DA29" s="1597">
        <f>SUM(ЗП!DM34)</f>
        <v>1744.3309664926426</v>
      </c>
      <c r="DB29" s="1597">
        <v>0</v>
      </c>
      <c r="DC29" s="1597">
        <f t="shared" si="287"/>
        <v>1086.8699999999999</v>
      </c>
      <c r="DD29" s="1597">
        <f>SUM(ЗП!DR34)</f>
        <v>1086.8699999999999</v>
      </c>
      <c r="DE29" s="1597">
        <v>0</v>
      </c>
      <c r="DF29" s="1597">
        <f t="shared" si="288"/>
        <v>1549.635</v>
      </c>
      <c r="DG29" s="1597">
        <f>SUM(ЗП!DU34)</f>
        <v>1549.635</v>
      </c>
      <c r="DH29" s="1597">
        <v>0</v>
      </c>
      <c r="DI29" s="1597">
        <f t="shared" si="289"/>
        <v>2086.1</v>
      </c>
      <c r="DJ29" s="1597">
        <f>SUM(ЗП!DX34)</f>
        <v>2086.1</v>
      </c>
      <c r="DK29" s="1597">
        <v>0</v>
      </c>
      <c r="DL29" s="1597">
        <f t="shared" si="290"/>
        <v>2712.6459360000008</v>
      </c>
      <c r="DM29" s="1597">
        <f>SUM(ЗП!EA34)</f>
        <v>2712.6459360000008</v>
      </c>
      <c r="DN29" s="1597">
        <v>0</v>
      </c>
      <c r="DO29" s="1597">
        <f t="shared" si="291"/>
        <v>1846.4406175428719</v>
      </c>
      <c r="DP29" s="1597">
        <f>SUM(ЗП!ED34)</f>
        <v>1846.4406175428719</v>
      </c>
      <c r="DQ29" s="1597">
        <v>0</v>
      </c>
      <c r="DR29" s="1597">
        <f t="shared" si="292"/>
        <v>909.73</v>
      </c>
      <c r="DS29" s="1597">
        <f>SUM(ЗП!EG34)</f>
        <v>909.73</v>
      </c>
      <c r="DT29" s="1597">
        <v>0</v>
      </c>
      <c r="DU29" s="1597">
        <f t="shared" si="293"/>
        <v>1506.1</v>
      </c>
      <c r="DV29" s="1597">
        <f>SUM(ЗП!EJ34)</f>
        <v>1506.1</v>
      </c>
      <c r="DW29" s="1597">
        <v>0</v>
      </c>
      <c r="DX29" s="1597">
        <f t="shared" si="294"/>
        <v>2199.3119999999999</v>
      </c>
      <c r="DY29" s="1597">
        <f>SUM(ЗП!EM34)</f>
        <v>2199.3119999999999</v>
      </c>
      <c r="DZ29" s="1597">
        <v>0</v>
      </c>
      <c r="EA29" s="2343">
        <f t="shared" si="295"/>
        <v>2468.5974719999999</v>
      </c>
      <c r="EB29" s="2343">
        <f>SUM(ЗП!EP34)</f>
        <v>2468.5974719999999</v>
      </c>
      <c r="EC29" s="2343">
        <v>0</v>
      </c>
      <c r="ED29" s="3959">
        <f t="shared" si="296"/>
        <v>2129.9743560552265</v>
      </c>
      <c r="EE29" s="3959">
        <f>SUM(ЗП!ES34)</f>
        <v>2129.9743560552265</v>
      </c>
      <c r="EF29" s="3959">
        <v>0</v>
      </c>
      <c r="EG29" s="2343">
        <f t="shared" si="297"/>
        <v>2468.5974719999999</v>
      </c>
      <c r="EH29" s="2343">
        <f>SUM(ЗП!EP34)</f>
        <v>2468.5974719999999</v>
      </c>
      <c r="EI29" s="2343">
        <v>0</v>
      </c>
      <c r="EJ29" s="2343">
        <f t="shared" si="298"/>
        <v>2129.9743560552265</v>
      </c>
      <c r="EK29" s="2343">
        <f>SUM(ЗП!ES34)</f>
        <v>2129.9743560552265</v>
      </c>
      <c r="EL29" s="2343">
        <v>0</v>
      </c>
      <c r="EM29" s="3662">
        <f t="shared" si="299"/>
        <v>1155.604</v>
      </c>
      <c r="EN29" s="3662">
        <f>SUM(ЗП!EV34)</f>
        <v>1155.604</v>
      </c>
      <c r="EO29" s="3662">
        <v>0</v>
      </c>
      <c r="EP29" s="3662">
        <f t="shared" si="300"/>
        <v>2173.9070000000002</v>
      </c>
      <c r="EQ29" s="3662">
        <f>SUM(ЗП!EY34)</f>
        <v>2173.9070000000002</v>
      </c>
      <c r="ER29" s="3662">
        <v>0</v>
      </c>
    </row>
    <row r="30" spans="1:148" ht="21" customHeight="1" x14ac:dyDescent="0.2">
      <c r="A30" s="3214" t="s">
        <v>113</v>
      </c>
      <c r="B30" s="3674">
        <v>293.3</v>
      </c>
      <c r="C30" s="3193">
        <v>366.3</v>
      </c>
      <c r="D30" s="1725">
        <f t="shared" si="0"/>
        <v>124.88919195363108</v>
      </c>
      <c r="E30" s="3193">
        <v>338</v>
      </c>
      <c r="F30" s="1725">
        <f t="shared" si="24"/>
        <v>92.274092274092268</v>
      </c>
      <c r="G30" s="3193">
        <v>535.70000000000005</v>
      </c>
      <c r="H30" s="1725">
        <f t="shared" si="2"/>
        <v>158.49112426035506</v>
      </c>
      <c r="I30" s="1597">
        <v>578.20000000000005</v>
      </c>
      <c r="J30" s="1597">
        <v>288.10000000000002</v>
      </c>
      <c r="K30" s="1597">
        <v>351.9</v>
      </c>
      <c r="L30" s="1597">
        <v>514</v>
      </c>
      <c r="M30" s="1600">
        <f t="shared" si="25"/>
        <v>95.949225312674997</v>
      </c>
      <c r="N30" s="1597">
        <v>741</v>
      </c>
      <c r="O30" s="1600">
        <f t="shared" si="26"/>
        <v>128.15634728467657</v>
      </c>
      <c r="P30" s="1597">
        <f>P29*30.2/100</f>
        <v>623.34130370399987</v>
      </c>
      <c r="Q30" s="1600">
        <f t="shared" si="27"/>
        <v>107.80721267796606</v>
      </c>
      <c r="R30" s="1600">
        <f t="shared" si="281"/>
        <v>121.2726271797665</v>
      </c>
      <c r="S30" s="1597">
        <v>623.29999999999995</v>
      </c>
      <c r="T30" s="1597"/>
      <c r="U30" s="1597">
        <v>389.6</v>
      </c>
      <c r="V30" s="1597"/>
      <c r="W30" s="1597">
        <v>795.23</v>
      </c>
      <c r="X30" s="1597"/>
      <c r="Y30" s="1597">
        <f>Y29*0.302</f>
        <v>658.24841671142394</v>
      </c>
      <c r="Z30" s="1597">
        <f>Y30</f>
        <v>658.24841671142394</v>
      </c>
      <c r="AA30" s="1597"/>
      <c r="AB30" s="1597">
        <v>348.5</v>
      </c>
      <c r="AC30" s="1597">
        <f>SUM(AB30)</f>
        <v>348.5</v>
      </c>
      <c r="AD30" s="1597">
        <v>0</v>
      </c>
      <c r="AE30" s="1597">
        <v>691.16</v>
      </c>
      <c r="AF30" s="1597">
        <f t="shared" si="29"/>
        <v>1.0499987276125944</v>
      </c>
      <c r="AG30" s="1597">
        <v>691.16</v>
      </c>
      <c r="AH30" s="1597">
        <v>0</v>
      </c>
      <c r="AI30" s="1597">
        <f>AI29*W31</f>
        <v>681.62571428571425</v>
      </c>
      <c r="AJ30" s="1597">
        <f t="shared" si="30"/>
        <v>1.0355144000058247</v>
      </c>
      <c r="AK30" s="1597">
        <f>AK29*W31</f>
        <v>681.62571428571425</v>
      </c>
      <c r="AL30" s="1597">
        <f>AA30*1.05</f>
        <v>0</v>
      </c>
      <c r="AM30" s="3682" t="e">
        <f>#REF!</f>
        <v>#REF!</v>
      </c>
      <c r="AN30" s="3682">
        <v>0</v>
      </c>
      <c r="AO30" s="3682" t="e">
        <f t="shared" si="31"/>
        <v>#REF!</v>
      </c>
      <c r="AP30" s="1597">
        <v>0</v>
      </c>
      <c r="AQ30" s="1597">
        <f>SUM(AP30)</f>
        <v>0</v>
      </c>
      <c r="AR30" s="1597">
        <v>0</v>
      </c>
      <c r="AS30" s="1597">
        <v>0</v>
      </c>
      <c r="AT30" s="1597">
        <f>SUM(AS30)</f>
        <v>0</v>
      </c>
      <c r="AU30" s="1597">
        <v>0</v>
      </c>
      <c r="AV30" s="1598">
        <f t="shared" ref="AV30" si="308">SUM(AX30+AY30)</f>
        <v>749.78422133959032</v>
      </c>
      <c r="AW30" s="1600">
        <f t="shared" si="64"/>
        <v>1.0999940372339099</v>
      </c>
      <c r="AX30" s="1597">
        <f>SUM(AX29*AE31)</f>
        <v>749.78422133959032</v>
      </c>
      <c r="AY30" s="1597">
        <f>SUM(AY29*AE31)</f>
        <v>0</v>
      </c>
      <c r="AZ30" s="1598">
        <f t="shared" ref="AZ30" si="309">SUM(BB30+BC30)</f>
        <v>495.87808155630398</v>
      </c>
      <c r="BA30" s="1591">
        <f t="shared" si="36"/>
        <v>0.72749321389076704</v>
      </c>
      <c r="BB30" s="1597">
        <f>BB29*BB31</f>
        <v>495.87808155630398</v>
      </c>
      <c r="BC30" s="1597">
        <f>SUM(BC29*AV31)</f>
        <v>0</v>
      </c>
      <c r="BD30" s="1597">
        <f t="shared" si="301"/>
        <v>435.99</v>
      </c>
      <c r="BE30" s="1597">
        <v>435.99</v>
      </c>
      <c r="BF30" s="1597">
        <v>0</v>
      </c>
      <c r="BG30" s="1597">
        <f t="shared" si="302"/>
        <v>384.57</v>
      </c>
      <c r="BH30" s="1597">
        <v>384.57</v>
      </c>
      <c r="BI30" s="1597">
        <v>0</v>
      </c>
      <c r="BJ30" s="1597">
        <f t="shared" si="303"/>
        <v>553.51</v>
      </c>
      <c r="BK30" s="1597">
        <v>553.51</v>
      </c>
      <c r="BL30" s="1597">
        <v>0</v>
      </c>
      <c r="BM30" s="1597">
        <f t="shared" si="304"/>
        <v>384.1</v>
      </c>
      <c r="BN30" s="1597">
        <v>384.1</v>
      </c>
      <c r="BO30" s="1597">
        <v>0</v>
      </c>
      <c r="BP30" s="1597">
        <f t="shared" si="305"/>
        <v>412.06</v>
      </c>
      <c r="BQ30" s="1597">
        <v>412.06</v>
      </c>
      <c r="BR30" s="1597">
        <v>0</v>
      </c>
      <c r="BS30" s="1597">
        <f t="shared" si="306"/>
        <v>501.71142107203144</v>
      </c>
      <c r="BT30" s="1597">
        <f>BT29*BG31</f>
        <v>501.71142107203144</v>
      </c>
      <c r="BU30" s="1597">
        <v>0</v>
      </c>
      <c r="BV30" s="1597">
        <f t="shared" si="307"/>
        <v>523.92809892261664</v>
      </c>
      <c r="BW30" s="1597">
        <f>BW29*BJ31</f>
        <v>523.92809892261664</v>
      </c>
      <c r="BX30" s="1597">
        <v>0</v>
      </c>
      <c r="BY30" s="3675" t="str">
        <f>BY24</f>
        <v xml:space="preserve">В размере 30,10% (на уровне факт.за 2014 год) от скорректированного ФОТ </v>
      </c>
      <c r="BZ30" s="3735"/>
      <c r="CA30" s="3735"/>
      <c r="CB30" s="3735"/>
      <c r="CC30" s="3735"/>
      <c r="CD30" s="3735"/>
      <c r="CE30" s="3735"/>
      <c r="CF30" s="3735"/>
      <c r="CG30" s="3735"/>
      <c r="CH30" s="3735"/>
      <c r="CI30" s="3735"/>
      <c r="CJ30" s="3735"/>
      <c r="CK30" s="1598">
        <f>SUM(CK29*CK31)</f>
        <v>511.59513606715052</v>
      </c>
      <c r="CL30" s="1598">
        <f t="shared" ref="CL30:CM30" si="310">SUM(CL29*CL31)</f>
        <v>511.59513606715052</v>
      </c>
      <c r="CM30" s="1598">
        <f t="shared" si="310"/>
        <v>0</v>
      </c>
      <c r="CN30" s="1597">
        <f t="shared" si="282"/>
        <v>186.16</v>
      </c>
      <c r="CO30" s="1597">
        <v>186.16</v>
      </c>
      <c r="CP30" s="1597">
        <v>0</v>
      </c>
      <c r="CQ30" s="1597">
        <f t="shared" si="283"/>
        <v>308.55</v>
      </c>
      <c r="CR30" s="1597">
        <v>308.55</v>
      </c>
      <c r="CS30" s="1597">
        <v>0</v>
      </c>
      <c r="CT30" s="1597">
        <f t="shared" si="284"/>
        <v>481.35</v>
      </c>
      <c r="CU30" s="1597">
        <v>481.35</v>
      </c>
      <c r="CV30" s="1597">
        <v>0</v>
      </c>
      <c r="CW30" s="1597">
        <f t="shared" si="285"/>
        <v>772.32500000000005</v>
      </c>
      <c r="CX30" s="1597">
        <v>772.32500000000005</v>
      </c>
      <c r="CY30" s="1597">
        <v>0</v>
      </c>
      <c r="CZ30" s="1597">
        <f t="shared" si="286"/>
        <v>525.73129445369057</v>
      </c>
      <c r="DA30" s="1597">
        <f>SUM(DA29*DA31)</f>
        <v>525.73129445369057</v>
      </c>
      <c r="DB30" s="1597">
        <f>SUM(DB29*DB31)</f>
        <v>0</v>
      </c>
      <c r="DC30" s="1597">
        <f t="shared" si="287"/>
        <v>327.505</v>
      </c>
      <c r="DD30" s="1597">
        <v>327.505</v>
      </c>
      <c r="DE30" s="1597">
        <v>0</v>
      </c>
      <c r="DF30" s="1597">
        <f t="shared" si="288"/>
        <v>464.69</v>
      </c>
      <c r="DG30" s="1597">
        <v>464.69</v>
      </c>
      <c r="DH30" s="1597">
        <v>0</v>
      </c>
      <c r="DI30" s="1597">
        <f t="shared" si="289"/>
        <v>626.72</v>
      </c>
      <c r="DJ30" s="1597">
        <v>626.72</v>
      </c>
      <c r="DK30" s="1597">
        <v>0</v>
      </c>
      <c r="DL30" s="1597">
        <f t="shared" si="290"/>
        <v>817.59</v>
      </c>
      <c r="DM30" s="1597">
        <v>817.59</v>
      </c>
      <c r="DN30" s="1597">
        <v>0</v>
      </c>
      <c r="DO30" s="1597">
        <f t="shared" si="291"/>
        <v>556.50655445540428</v>
      </c>
      <c r="DP30" s="1597">
        <f>SUM(DP29*DP31)</f>
        <v>556.50655445540428</v>
      </c>
      <c r="DQ30" s="1597">
        <f>SUM(DQ29*DQ31)</f>
        <v>0</v>
      </c>
      <c r="DR30" s="1597">
        <f t="shared" si="292"/>
        <v>273.92500000000001</v>
      </c>
      <c r="DS30" s="1597">
        <v>273.92500000000001</v>
      </c>
      <c r="DT30" s="1597">
        <v>0</v>
      </c>
      <c r="DU30" s="1597">
        <f t="shared" si="293"/>
        <v>454.03</v>
      </c>
      <c r="DV30" s="1597">
        <v>454.03</v>
      </c>
      <c r="DW30" s="1597">
        <v>0</v>
      </c>
      <c r="DX30" s="1597">
        <f t="shared" si="294"/>
        <v>662.40899999999999</v>
      </c>
      <c r="DY30" s="1597">
        <v>662.40899999999999</v>
      </c>
      <c r="DZ30" s="1597">
        <v>0</v>
      </c>
      <c r="EA30" s="2343">
        <f t="shared" si="295"/>
        <v>743.54</v>
      </c>
      <c r="EB30" s="2343">
        <v>743.54</v>
      </c>
      <c r="EC30" s="2343">
        <v>0</v>
      </c>
      <c r="ED30" s="3959">
        <f t="shared" si="296"/>
        <v>0</v>
      </c>
      <c r="EE30" s="3959">
        <f>SUM(EE29*EE31)</f>
        <v>0</v>
      </c>
      <c r="EF30" s="3959">
        <f>SUM(EF29*EF31)</f>
        <v>0</v>
      </c>
      <c r="EG30" s="2343">
        <f t="shared" si="297"/>
        <v>743.54</v>
      </c>
      <c r="EH30" s="2343">
        <v>743.54</v>
      </c>
      <c r="EI30" s="2343">
        <v>0</v>
      </c>
      <c r="EJ30" s="2343">
        <f t="shared" si="298"/>
        <v>654.64095447125806</v>
      </c>
      <c r="EK30" s="2343">
        <v>654.64095447125806</v>
      </c>
      <c r="EL30" s="2343">
        <v>0</v>
      </c>
      <c r="EM30" s="3662">
        <f t="shared" si="299"/>
        <v>348.4</v>
      </c>
      <c r="EN30" s="3662">
        <v>348.4</v>
      </c>
      <c r="EO30" s="3662">
        <v>0</v>
      </c>
      <c r="EP30" s="3662">
        <f t="shared" si="300"/>
        <v>655.255</v>
      </c>
      <c r="EQ30" s="3662">
        <v>655.255</v>
      </c>
      <c r="ER30" s="3662">
        <v>0</v>
      </c>
    </row>
    <row r="31" spans="1:148" s="1731" customFormat="1" ht="21" customHeight="1" x14ac:dyDescent="0.2">
      <c r="A31" s="3199" t="str">
        <f>A25</f>
        <v>то же в %</v>
      </c>
      <c r="B31" s="3196"/>
      <c r="C31" s="1725"/>
      <c r="D31" s="1725"/>
      <c r="E31" s="1599">
        <f>E30/E29</f>
        <v>0.25892446759613907</v>
      </c>
      <c r="F31" s="1599">
        <f t="shared" ref="F31:AE31" si="311">F30/F29</f>
        <v>0.99286188147839727</v>
      </c>
      <c r="G31" s="1599">
        <f t="shared" si="311"/>
        <v>0.33269159110669483</v>
      </c>
      <c r="H31" s="1599"/>
      <c r="I31" s="1599">
        <f t="shared" si="311"/>
        <v>0.30002075550020757</v>
      </c>
      <c r="J31" s="1599">
        <f t="shared" si="311"/>
        <v>0.33656542056074767</v>
      </c>
      <c r="K31" s="1599">
        <f t="shared" si="311"/>
        <v>0.30349288486416559</v>
      </c>
      <c r="L31" s="1599">
        <f t="shared" si="311"/>
        <v>0.30290529789616355</v>
      </c>
      <c r="M31" s="1599">
        <f t="shared" si="311"/>
        <v>0.91046875242188263</v>
      </c>
      <c r="N31" s="1599">
        <f t="shared" si="311"/>
        <v>0.30199290866854139</v>
      </c>
      <c r="O31" s="1599">
        <f t="shared" si="311"/>
        <v>1.0065733891145157</v>
      </c>
      <c r="P31" s="1599">
        <f t="shared" si="311"/>
        <v>0.30199999999999999</v>
      </c>
      <c r="Q31" s="1599">
        <f t="shared" si="311"/>
        <v>1.0065970252507781</v>
      </c>
      <c r="R31" s="1599">
        <f t="shared" si="311"/>
        <v>0.99701128404669248</v>
      </c>
      <c r="S31" s="1599">
        <f t="shared" si="311"/>
        <v>0.3019864341085271</v>
      </c>
      <c r="T31" s="1599"/>
      <c r="U31" s="1599">
        <f t="shared" si="311"/>
        <v>0.30229671011793918</v>
      </c>
      <c r="V31" s="1599"/>
      <c r="W31" s="1591">
        <f t="shared" si="311"/>
        <v>0.30200136715783082</v>
      </c>
      <c r="X31" s="1591"/>
      <c r="Y31" s="1591">
        <f t="shared" si="311"/>
        <v>0.30199999999999999</v>
      </c>
      <c r="Z31" s="1591">
        <f t="shared" si="311"/>
        <v>0.30199999999999999</v>
      </c>
      <c r="AA31" s="3317"/>
      <c r="AB31" s="1591">
        <f t="shared" ref="AB31:AC31" si="312">AB30/AB29</f>
        <v>0.30087196753863421</v>
      </c>
      <c r="AC31" s="1591">
        <f t="shared" si="312"/>
        <v>0.30087196753863421</v>
      </c>
      <c r="AD31" s="1600"/>
      <c r="AE31" s="3317">
        <f t="shared" si="311"/>
        <v>0.30199990387178238</v>
      </c>
      <c r="AF31" s="1597"/>
      <c r="AG31" s="3317">
        <v>0</v>
      </c>
      <c r="AH31" s="3317">
        <v>0</v>
      </c>
      <c r="AI31" s="1591">
        <f>AI30/AI29</f>
        <v>0.30200136715783082</v>
      </c>
      <c r="AJ31" s="1597"/>
      <c r="AK31" s="1591">
        <f>AK30/AK29</f>
        <v>0.30200136715783082</v>
      </c>
      <c r="AL31" s="3317"/>
      <c r="AM31" s="3682" t="e">
        <f>#REF!</f>
        <v>#REF!</v>
      </c>
      <c r="AN31" s="3682">
        <v>0</v>
      </c>
      <c r="AO31" s="3682" t="e">
        <f t="shared" si="31"/>
        <v>#REF!</v>
      </c>
      <c r="AP31" s="3317">
        <f>AP30/AP29</f>
        <v>0</v>
      </c>
      <c r="AQ31" s="3317">
        <f t="shared" ref="AQ31" si="313">AQ30/AQ29</f>
        <v>0</v>
      </c>
      <c r="AR31" s="3317"/>
      <c r="AS31" s="3317">
        <f>AS30/AS29</f>
        <v>0</v>
      </c>
      <c r="AT31" s="3317">
        <f t="shared" ref="AT31" si="314">AT30/AT29</f>
        <v>0</v>
      </c>
      <c r="AU31" s="3317"/>
      <c r="AV31" s="1591">
        <f>SUM(AV30/AV29)</f>
        <v>0.30199990387178238</v>
      </c>
      <c r="AW31" s="1600">
        <f t="shared" si="64"/>
        <v>0.99999515470389355</v>
      </c>
      <c r="AX31" s="1591">
        <f>SUM(AX30/AX29)</f>
        <v>0.30199990387178238</v>
      </c>
      <c r="AY31" s="3317"/>
      <c r="AZ31" s="1591">
        <f>AB31</f>
        <v>0.30087196753863421</v>
      </c>
      <c r="BA31" s="1591">
        <f t="shared" si="36"/>
        <v>0.99626028309134651</v>
      </c>
      <c r="BB31" s="1591">
        <f>AZ31</f>
        <v>0.30087196753863421</v>
      </c>
      <c r="BC31" s="3317"/>
      <c r="BD31" s="1599">
        <f>BD30/BD29</f>
        <v>0.30199905796298349</v>
      </c>
      <c r="BE31" s="1599">
        <f t="shared" ref="BE31" si="315">BE30/BE29</f>
        <v>0.30199905796298349</v>
      </c>
      <c r="BF31" s="1599">
        <v>0</v>
      </c>
      <c r="BG31" s="1599">
        <f>BG30/BG29</f>
        <v>0.30139423340674154</v>
      </c>
      <c r="BH31" s="1599">
        <f t="shared" ref="BH31" si="316">BH30/BH29</f>
        <v>0.30139423340674154</v>
      </c>
      <c r="BI31" s="1599">
        <v>0</v>
      </c>
      <c r="BJ31" s="1599">
        <f>BJ30/BJ29</f>
        <v>0.30089914760372272</v>
      </c>
      <c r="BK31" s="1599">
        <f t="shared" ref="BK31" si="317">BK30/BK29</f>
        <v>0.30089914760372272</v>
      </c>
      <c r="BL31" s="1599">
        <v>0</v>
      </c>
      <c r="BM31" s="1599">
        <f>BM30/BM29</f>
        <v>0.30079957397821339</v>
      </c>
      <c r="BN31" s="1599">
        <f t="shared" ref="BN31" si="318">BN30/BN29</f>
        <v>0.30079957397821339</v>
      </c>
      <c r="BO31" s="1599">
        <v>0</v>
      </c>
      <c r="BP31" s="1599">
        <f>BP30/BP29</f>
        <v>0.30089891414676179</v>
      </c>
      <c r="BQ31" s="1599">
        <f t="shared" ref="BQ31" si="319">BQ30/BQ29</f>
        <v>0.30089891414676179</v>
      </c>
      <c r="BR31" s="1599">
        <v>0</v>
      </c>
      <c r="BS31" s="1599">
        <f>BS30/BS29</f>
        <v>0.30139423340674154</v>
      </c>
      <c r="BT31" s="1599">
        <f t="shared" ref="BT31" si="320">BT30/BT29</f>
        <v>0.30139423340674154</v>
      </c>
      <c r="BU31" s="1599">
        <v>0</v>
      </c>
      <c r="BV31" s="1599">
        <f>BV30/BV29</f>
        <v>0.30089914760372272</v>
      </c>
      <c r="BW31" s="1599">
        <f t="shared" ref="BW31" si="321">BW30/BW29</f>
        <v>0.30089914760372272</v>
      </c>
      <c r="BX31" s="1599">
        <v>0</v>
      </c>
      <c r="BY31" s="3312"/>
      <c r="BZ31" s="3736"/>
      <c r="CA31" s="3736"/>
      <c r="CB31" s="3736"/>
      <c r="CC31" s="3736"/>
      <c r="CD31" s="3736"/>
      <c r="CE31" s="3736"/>
      <c r="CF31" s="3736"/>
      <c r="CG31" s="3736"/>
      <c r="CH31" s="3736"/>
      <c r="CI31" s="3736"/>
      <c r="CJ31" s="3736"/>
      <c r="CK31" s="1599">
        <f>SUM(BS31)</f>
        <v>0.30139423340674154</v>
      </c>
      <c r="CL31" s="1599">
        <f>SUM(BT31)</f>
        <v>0.30139423340674154</v>
      </c>
      <c r="CM31" s="1599">
        <v>0</v>
      </c>
      <c r="CN31" s="1599">
        <f>SUM(CN30/CN29)</f>
        <v>0.30734687138847611</v>
      </c>
      <c r="CO31" s="1599">
        <f t="shared" ref="CO31:CR31" si="322">SUM(CO30/CO29)</f>
        <v>0.30734687138847611</v>
      </c>
      <c r="CP31" s="1599">
        <v>0</v>
      </c>
      <c r="CQ31" s="1599">
        <f t="shared" si="322"/>
        <v>0.30520193477551261</v>
      </c>
      <c r="CR31" s="1599">
        <f t="shared" si="322"/>
        <v>0.30520193477551261</v>
      </c>
      <c r="CS31" s="1599">
        <v>0</v>
      </c>
      <c r="CT31" s="1599">
        <f t="shared" ref="CT31:CU31" si="323">SUM(CT30/CT29)</f>
        <v>0.30356253192656729</v>
      </c>
      <c r="CU31" s="1599">
        <f t="shared" si="323"/>
        <v>0.30356253192656729</v>
      </c>
      <c r="CV31" s="1599">
        <v>0</v>
      </c>
      <c r="CW31" s="1599">
        <f t="shared" ref="CW31:CX31" si="324">SUM(CW30/CW29)</f>
        <v>0.30139930439732487</v>
      </c>
      <c r="CX31" s="1599">
        <f t="shared" si="324"/>
        <v>0.30139930439732487</v>
      </c>
      <c r="CY31" s="1599">
        <v>0</v>
      </c>
      <c r="CZ31" s="1599">
        <f>SUM(BS31)</f>
        <v>0.30139423340674154</v>
      </c>
      <c r="DA31" s="1599">
        <f t="shared" ref="DA31:DB31" si="325">SUM(BT31)</f>
        <v>0.30139423340674154</v>
      </c>
      <c r="DB31" s="1599">
        <f t="shared" si="325"/>
        <v>0</v>
      </c>
      <c r="DC31" s="1599">
        <f>SUM(DC30/DC29)</f>
        <v>0.30132858575542615</v>
      </c>
      <c r="DD31" s="1599">
        <f t="shared" ref="DD31" si="326">SUM(DD30/DD29)</f>
        <v>0.30132858575542615</v>
      </c>
      <c r="DE31" s="1599">
        <v>0</v>
      </c>
      <c r="DF31" s="1599">
        <f t="shared" ref="DF31:DG31" si="327">SUM(DF30/DF29)</f>
        <v>0.29987061469313742</v>
      </c>
      <c r="DG31" s="1599">
        <f t="shared" si="327"/>
        <v>0.29987061469313742</v>
      </c>
      <c r="DH31" s="1599">
        <v>0</v>
      </c>
      <c r="DI31" s="1599">
        <f t="shared" ref="DI31:DJ31" si="328">SUM(DI30/DI29)</f>
        <v>0.30042663343080389</v>
      </c>
      <c r="DJ31" s="1599">
        <f t="shared" si="328"/>
        <v>0.30042663343080389</v>
      </c>
      <c r="DK31" s="1599">
        <v>0</v>
      </c>
      <c r="DL31" s="1599">
        <f t="shared" ref="DL31:DM31" si="329">SUM(DL30/DL29)</f>
        <v>0.30139945252331662</v>
      </c>
      <c r="DM31" s="1599">
        <f t="shared" si="329"/>
        <v>0.30139945252331662</v>
      </c>
      <c r="DN31" s="1599">
        <v>0</v>
      </c>
      <c r="DO31" s="1599">
        <f>SUM(BS31)</f>
        <v>0.30139423340674154</v>
      </c>
      <c r="DP31" s="1599">
        <f t="shared" ref="DP31" si="330">SUM(BT31)</f>
        <v>0.30139423340674154</v>
      </c>
      <c r="DQ31" s="1599">
        <f t="shared" ref="DQ31" si="331">SUM(BU31)</f>
        <v>0</v>
      </c>
      <c r="DR31" s="1599">
        <f t="shared" ref="DR31:DS31" si="332">SUM(DR30/DR29)</f>
        <v>0.30110582260670749</v>
      </c>
      <c r="DS31" s="1599">
        <f t="shared" si="332"/>
        <v>0.30110582260670749</v>
      </c>
      <c r="DT31" s="1599">
        <v>0</v>
      </c>
      <c r="DU31" s="1599">
        <f t="shared" ref="DU31:DV31" si="333">SUM(DU30/DU29)</f>
        <v>0.30146072637939048</v>
      </c>
      <c r="DV31" s="1599">
        <f t="shared" si="333"/>
        <v>0.30146072637939048</v>
      </c>
      <c r="DW31" s="1599">
        <v>0</v>
      </c>
      <c r="DX31" s="1599">
        <f t="shared" ref="DX31:DY31" si="334">SUM(DX30/DX29)</f>
        <v>0.30118919007398676</v>
      </c>
      <c r="DY31" s="1599">
        <f t="shared" si="334"/>
        <v>0.30118919007398676</v>
      </c>
      <c r="DZ31" s="1599">
        <v>0</v>
      </c>
      <c r="EA31" s="3690">
        <f t="shared" ref="EA31:EB31" si="335">SUM(EA30/EA29)</f>
        <v>0.3011993686429571</v>
      </c>
      <c r="EB31" s="3690">
        <f t="shared" si="335"/>
        <v>0.3011993686429571</v>
      </c>
      <c r="EC31" s="3690">
        <v>0</v>
      </c>
      <c r="ED31" s="3964">
        <f>SUM(CH31)</f>
        <v>0</v>
      </c>
      <c r="EE31" s="3964">
        <f t="shared" ref="EE31" si="336">SUM(CI31)</f>
        <v>0</v>
      </c>
      <c r="EF31" s="3964">
        <f t="shared" ref="EF31" si="337">SUM(CJ31)</f>
        <v>0</v>
      </c>
      <c r="EG31" s="3690">
        <f t="shared" ref="EG31:EH31" si="338">SUM(EG30/EG29)</f>
        <v>0.3011993686429571</v>
      </c>
      <c r="EH31" s="3690">
        <f t="shared" si="338"/>
        <v>0.3011993686429571</v>
      </c>
      <c r="EI31" s="3690">
        <v>0</v>
      </c>
      <c r="EJ31" s="3690">
        <f t="shared" ref="EJ31:EK31" si="339">SUM(EJ30/EJ29)</f>
        <v>0.30734687138847616</v>
      </c>
      <c r="EK31" s="3690">
        <f t="shared" si="339"/>
        <v>0.30734687138847616</v>
      </c>
      <c r="EL31" s="3690">
        <v>0</v>
      </c>
      <c r="EM31" s="3663">
        <f t="shared" ref="EM31:EN31" si="340">SUM(EM30/EM29)</f>
        <v>0.30148736072218507</v>
      </c>
      <c r="EN31" s="3663">
        <f t="shared" si="340"/>
        <v>0.30148736072218507</v>
      </c>
      <c r="EO31" s="3663">
        <v>0</v>
      </c>
      <c r="EP31" s="3663">
        <f t="shared" ref="EP31:EQ31" si="341">SUM(EP30/EP29)</f>
        <v>0.30141813794242345</v>
      </c>
      <c r="EQ31" s="3663">
        <f t="shared" si="341"/>
        <v>0.30141813794242345</v>
      </c>
      <c r="ER31" s="3663">
        <v>0</v>
      </c>
    </row>
    <row r="32" spans="1:148" ht="21" customHeight="1" x14ac:dyDescent="0.2">
      <c r="A32" s="3214" t="s">
        <v>2</v>
      </c>
      <c r="B32" s="3674">
        <v>46.2</v>
      </c>
      <c r="C32" s="3193">
        <v>0</v>
      </c>
      <c r="D32" s="1725">
        <f t="shared" si="0"/>
        <v>0</v>
      </c>
      <c r="E32" s="3193">
        <v>18.899999999999999</v>
      </c>
      <c r="F32" s="1725"/>
      <c r="G32" s="3193">
        <v>25.5</v>
      </c>
      <c r="H32" s="1725">
        <f t="shared" si="2"/>
        <v>134.92063492063494</v>
      </c>
      <c r="I32" s="1597">
        <v>26.4</v>
      </c>
      <c r="J32" s="1597">
        <v>12.6</v>
      </c>
      <c r="K32" s="1597">
        <v>18.899999999999999</v>
      </c>
      <c r="L32" s="1597">
        <v>25.5</v>
      </c>
      <c r="M32" s="1600">
        <f t="shared" si="25"/>
        <v>100</v>
      </c>
      <c r="N32" s="1597">
        <v>27.72</v>
      </c>
      <c r="O32" s="1600">
        <f t="shared" si="26"/>
        <v>105</v>
      </c>
      <c r="P32" s="1597">
        <v>26.4</v>
      </c>
      <c r="Q32" s="1600">
        <f t="shared" si="27"/>
        <v>100</v>
      </c>
      <c r="R32" s="1600">
        <f t="shared" si="281"/>
        <v>103.52941176470587</v>
      </c>
      <c r="S32" s="1597">
        <v>26.4</v>
      </c>
      <c r="T32" s="1597"/>
      <c r="U32" s="1597">
        <v>18.899999999999999</v>
      </c>
      <c r="V32" s="1597"/>
      <c r="W32" s="1597">
        <v>26.4</v>
      </c>
      <c r="X32" s="1597"/>
      <c r="Y32" s="1597" t="e">
        <f>Аморт!G16</f>
        <v>#REF!</v>
      </c>
      <c r="Z32" s="1597" t="e">
        <f>Y32</f>
        <v>#REF!</v>
      </c>
      <c r="AA32" s="1597"/>
      <c r="AB32" s="1597">
        <f>SUM(Аморт!L16)</f>
        <v>25.2</v>
      </c>
      <c r="AC32" s="1597">
        <f>AB32</f>
        <v>25.2</v>
      </c>
      <c r="AD32" s="1597">
        <v>0</v>
      </c>
      <c r="AE32" s="1597">
        <v>25.2</v>
      </c>
      <c r="AF32" s="1597" t="e">
        <f t="shared" si="29"/>
        <v>#REF!</v>
      </c>
      <c r="AG32" s="1597">
        <v>25.2</v>
      </c>
      <c r="AH32" s="1597">
        <v>0</v>
      </c>
      <c r="AI32" s="1597">
        <f>Аморт!O16</f>
        <v>25.2</v>
      </c>
      <c r="AJ32" s="1597" t="e">
        <f t="shared" si="30"/>
        <v>#REF!</v>
      </c>
      <c r="AK32" s="1597">
        <f>AI32</f>
        <v>25.2</v>
      </c>
      <c r="AL32" s="1597"/>
      <c r="AM32" s="3682" t="e">
        <f>#REF!</f>
        <v>#REF!</v>
      </c>
      <c r="AN32" s="3682">
        <v>0</v>
      </c>
      <c r="AO32" s="3682" t="e">
        <f t="shared" si="31"/>
        <v>#REF!</v>
      </c>
      <c r="AP32" s="1597">
        <f>SUM(Аморт!Q16)</f>
        <v>12.72</v>
      </c>
      <c r="AQ32" s="1597">
        <f>AP32</f>
        <v>12.72</v>
      </c>
      <c r="AR32" s="1597">
        <v>0</v>
      </c>
      <c r="AS32" s="1597">
        <f>SUM(Аморт!R16)</f>
        <v>19.11</v>
      </c>
      <c r="AT32" s="1597">
        <f>AS32</f>
        <v>19.11</v>
      </c>
      <c r="AU32" s="1597">
        <v>0</v>
      </c>
      <c r="AV32" s="1597">
        <f>SUM(Аморт!T16)</f>
        <v>25.2</v>
      </c>
      <c r="AW32" s="1600">
        <f t="shared" si="64"/>
        <v>1</v>
      </c>
      <c r="AX32" s="1597">
        <f>SUM(AV32)</f>
        <v>25.2</v>
      </c>
      <c r="AY32" s="1597">
        <v>0</v>
      </c>
      <c r="AZ32" s="1597">
        <f>SUM(Аморт!U16)</f>
        <v>25.2</v>
      </c>
      <c r="BA32" s="1591">
        <f t="shared" si="36"/>
        <v>1</v>
      </c>
      <c r="BB32" s="1597">
        <f>SUM(AZ32)</f>
        <v>25.2</v>
      </c>
      <c r="BC32" s="1597">
        <v>0</v>
      </c>
      <c r="BD32" s="1597">
        <f t="shared" si="301"/>
        <v>36.94</v>
      </c>
      <c r="BE32" s="1597">
        <v>36.94</v>
      </c>
      <c r="BF32" s="1597">
        <v>0</v>
      </c>
      <c r="BG32" s="1597">
        <f t="shared" ref="BG32:BG33" si="342">BH32+BI32</f>
        <v>68.540000000000006</v>
      </c>
      <c r="BH32" s="1597">
        <v>68.540000000000006</v>
      </c>
      <c r="BI32" s="1597">
        <v>0</v>
      </c>
      <c r="BJ32" s="1597">
        <f t="shared" ref="BJ32:BJ33" si="343">BK32+BL32</f>
        <v>36.94</v>
      </c>
      <c r="BK32" s="1597">
        <v>36.94</v>
      </c>
      <c r="BL32" s="1597">
        <v>0</v>
      </c>
      <c r="BM32" s="1597">
        <f t="shared" ref="BM32:BM33" si="344">BN32+BO32</f>
        <v>95.24</v>
      </c>
      <c r="BN32" s="1597">
        <v>95.24</v>
      </c>
      <c r="BO32" s="1597">
        <v>0</v>
      </c>
      <c r="BP32" s="1597">
        <f t="shared" ref="BP32:BP33" si="345">BQ32+BR32</f>
        <v>68.540000000000006</v>
      </c>
      <c r="BQ32" s="1597">
        <v>68.540000000000006</v>
      </c>
      <c r="BR32" s="1597">
        <v>0</v>
      </c>
      <c r="BS32" s="1597">
        <f t="shared" ref="BS32" si="346">BT32+BU32</f>
        <v>68.540000000000006</v>
      </c>
      <c r="BT32" s="1597">
        <f>Аморт!AM16</f>
        <v>68.540000000000006</v>
      </c>
      <c r="BU32" s="1597">
        <v>0</v>
      </c>
      <c r="BV32" s="1597">
        <f t="shared" ref="BV32" si="347">BW32+BX32</f>
        <v>95.24</v>
      </c>
      <c r="BW32" s="1597">
        <f>SUM(Аморт!AS16)</f>
        <v>95.24</v>
      </c>
      <c r="BX32" s="1597">
        <v>0</v>
      </c>
      <c r="BY32" s="3675" t="str">
        <f>BY20</f>
        <v>Приложение</v>
      </c>
      <c r="BZ32" s="3735"/>
      <c r="CA32" s="3735"/>
      <c r="CB32" s="3735"/>
      <c r="CC32" s="3735"/>
      <c r="CD32" s="3735"/>
      <c r="CE32" s="3735"/>
      <c r="CF32" s="3735"/>
      <c r="CG32" s="3735"/>
      <c r="CH32" s="3735"/>
      <c r="CI32" s="3735"/>
      <c r="CJ32" s="3735"/>
      <c r="CK32" s="1597">
        <f t="shared" ref="CK32" si="348">CL32+CM32</f>
        <v>95.24</v>
      </c>
      <c r="CL32" s="1597">
        <f>SUM(Аморт!AT16)</f>
        <v>95.24</v>
      </c>
      <c r="CM32" s="1597">
        <v>0</v>
      </c>
      <c r="CN32" s="1597">
        <f t="shared" ref="CN32:CN33" si="349">CO32+CP32</f>
        <v>152.58000000000001</v>
      </c>
      <c r="CO32" s="1597">
        <f>SUM(Аморт!AV16)</f>
        <v>152.58000000000001</v>
      </c>
      <c r="CP32" s="1597">
        <f>SUM(Аморт!AW16)</f>
        <v>0</v>
      </c>
      <c r="CQ32" s="1597">
        <f t="shared" ref="CQ32:CQ33" si="350">CR32+CS32</f>
        <v>231.78</v>
      </c>
      <c r="CR32" s="1597">
        <f>SUM(Аморт!AY16)</f>
        <v>231.78</v>
      </c>
      <c r="CS32" s="1597">
        <f>SUM(Аморт!AZ16)</f>
        <v>0</v>
      </c>
      <c r="CT32" s="1597">
        <f t="shared" ref="CT32:CT33" si="351">CU32+CV32</f>
        <v>311.02</v>
      </c>
      <c r="CU32" s="1597">
        <f>SUM(Аморт!BB16)</f>
        <v>311.02</v>
      </c>
      <c r="CV32" s="1597">
        <f>SUM(Аморт!BC16)</f>
        <v>0</v>
      </c>
      <c r="CW32" s="1597">
        <f t="shared" ref="CW32:CW33" si="352">CX32+CY32</f>
        <v>311.02</v>
      </c>
      <c r="CX32" s="1597">
        <f>SUM(Аморт!BD16)</f>
        <v>311.02</v>
      </c>
      <c r="CY32" s="1597">
        <f>SUM(Аморт!BF16)</f>
        <v>0</v>
      </c>
      <c r="CZ32" s="1597">
        <f t="shared" ref="CZ32:CZ33" si="353">DA32+DB32</f>
        <v>310.2951384847442</v>
      </c>
      <c r="DA32" s="1597">
        <f>SUM(Аморт!BE16)</f>
        <v>310.2951384847442</v>
      </c>
      <c r="DB32" s="1597">
        <v>0</v>
      </c>
      <c r="DC32" s="1597">
        <f t="shared" ref="DC32:DC33" si="354">DD32+DE32</f>
        <v>158.41</v>
      </c>
      <c r="DD32" s="1597">
        <f>SUM(Аморт!BJ16)</f>
        <v>158.41</v>
      </c>
      <c r="DE32" s="1597">
        <f>SUM(Аморт!BK16)</f>
        <v>0</v>
      </c>
      <c r="DF32" s="1597">
        <f t="shared" ref="DF32:DF33" si="355">DG32+DH32</f>
        <v>237.61</v>
      </c>
      <c r="DG32" s="1597">
        <f>SUM(Аморт!BM16)</f>
        <v>237.61</v>
      </c>
      <c r="DH32" s="1597">
        <v>0</v>
      </c>
      <c r="DI32" s="1597">
        <f t="shared" ref="DI32:DI33" si="356">DJ32+DK32</f>
        <v>316.86</v>
      </c>
      <c r="DJ32" s="1597">
        <f>SUM(Аморт!BP16)</f>
        <v>316.86</v>
      </c>
      <c r="DK32" s="1597">
        <v>0</v>
      </c>
      <c r="DL32" s="1597">
        <f t="shared" ref="DL32:DL33" si="357">DM32+DN32</f>
        <v>316.86</v>
      </c>
      <c r="DM32" s="1597">
        <f>SUM(Аморт!BR16)</f>
        <v>316.86</v>
      </c>
      <c r="DN32" s="1597">
        <v>0</v>
      </c>
      <c r="DO32" s="1597">
        <f t="shared" ref="DO32:DO33" si="358">DP32+DQ32</f>
        <v>316.86</v>
      </c>
      <c r="DP32" s="1597">
        <f>SUM(Аморт!BS16)</f>
        <v>316.86</v>
      </c>
      <c r="DQ32" s="1597">
        <v>0</v>
      </c>
      <c r="DR32" s="1597">
        <f t="shared" ref="DR32:DR33" si="359">DS32+DT32</f>
        <v>175.08</v>
      </c>
      <c r="DS32" s="1597">
        <f>SUM(Аморт!BU16)</f>
        <v>175.08</v>
      </c>
      <c r="DT32" s="1597">
        <v>0</v>
      </c>
      <c r="DU32" s="1597">
        <f t="shared" ref="DU32:DU33" si="360">DV32+DW32</f>
        <v>279.29399999999998</v>
      </c>
      <c r="DV32" s="1597">
        <f>SUM(Аморт!BX16)</f>
        <v>279.29399999999998</v>
      </c>
      <c r="DW32" s="1597">
        <v>0</v>
      </c>
      <c r="DX32" s="1597">
        <f t="shared" ref="DX32:DX33" si="361">DY32+DZ32</f>
        <v>372.09399999999999</v>
      </c>
      <c r="DY32" s="1597">
        <f>SUM(Аморт!CA16)</f>
        <v>372.09399999999999</v>
      </c>
      <c r="DZ32" s="1597">
        <v>0</v>
      </c>
      <c r="EA32" s="2343">
        <f t="shared" ref="EA32:EA33" si="362">EB32+EC32</f>
        <v>372.09399999999999</v>
      </c>
      <c r="EB32" s="2343">
        <f>SUM(Аморт!CC16)</f>
        <v>372.09399999999999</v>
      </c>
      <c r="EC32" s="2343">
        <v>0</v>
      </c>
      <c r="ED32" s="3959">
        <f t="shared" ref="ED32:ED33" si="363">EE32+EF32</f>
        <v>0</v>
      </c>
      <c r="EE32" s="3959">
        <f>SUM(Аморт!CG16)</f>
        <v>0</v>
      </c>
      <c r="EF32" s="3959">
        <v>0</v>
      </c>
      <c r="EG32" s="2343">
        <f t="shared" ref="EG32:EG33" si="364">EH32+EI32</f>
        <v>372.09399999999999</v>
      </c>
      <c r="EH32" s="2343">
        <f>SUM(Аморт!CC16)</f>
        <v>372.09399999999999</v>
      </c>
      <c r="EI32" s="2343">
        <v>0</v>
      </c>
      <c r="EJ32" s="2343">
        <f t="shared" ref="EJ32:EJ33" si="365">EK32+EL32</f>
        <v>367.79579793901507</v>
      </c>
      <c r="EK32" s="2343">
        <f>SUM(Аморт!CD16)</f>
        <v>367.79579793901507</v>
      </c>
      <c r="EL32" s="2343">
        <v>0</v>
      </c>
      <c r="EM32" s="3662">
        <f t="shared" ref="EM32:EM33" si="366">EN32+EO32</f>
        <v>174.14400000000001</v>
      </c>
      <c r="EN32" s="3662">
        <f>SUM(Аморт!CE16)</f>
        <v>174.14400000000001</v>
      </c>
      <c r="EO32" s="3662">
        <v>0</v>
      </c>
      <c r="EP32" s="3662">
        <f t="shared" ref="EP32:EP33" si="367">EQ32+ER32</f>
        <v>348.28800000000001</v>
      </c>
      <c r="EQ32" s="3662">
        <f>SUM(Аморт!CF16)</f>
        <v>348.28800000000001</v>
      </c>
      <c r="ER32" s="3662">
        <v>0</v>
      </c>
    </row>
    <row r="33" spans="1:148" ht="21" customHeight="1" x14ac:dyDescent="0.2">
      <c r="A33" s="3214" t="s">
        <v>6</v>
      </c>
      <c r="B33" s="3674">
        <v>703.1</v>
      </c>
      <c r="C33" s="3193">
        <v>526.5</v>
      </c>
      <c r="D33" s="1725">
        <f t="shared" si="0"/>
        <v>74.882662494666477</v>
      </c>
      <c r="E33" s="3193">
        <v>622.9</v>
      </c>
      <c r="F33" s="1725">
        <f t="shared" ref="F33:F42" si="368">E33/C33*100</f>
        <v>118.30959164292499</v>
      </c>
      <c r="G33" s="3193">
        <v>634.1</v>
      </c>
      <c r="H33" s="1725">
        <f t="shared" si="2"/>
        <v>101.79804141916841</v>
      </c>
      <c r="I33" s="1597">
        <v>608.70000000000005</v>
      </c>
      <c r="J33" s="1597">
        <v>296.60000000000002</v>
      </c>
      <c r="K33" s="1597">
        <f>'цех стоки 2023'!K49</f>
        <v>412.80813156428934</v>
      </c>
      <c r="L33" s="1597">
        <f>'цех стоки 2023'!L49</f>
        <v>847.9</v>
      </c>
      <c r="M33" s="1728">
        <f t="shared" si="25"/>
        <v>133.71707932502758</v>
      </c>
      <c r="N33" s="1597">
        <v>737</v>
      </c>
      <c r="O33" s="1600">
        <f t="shared" si="26"/>
        <v>121.07770658781007</v>
      </c>
      <c r="P33" s="1597">
        <f>'цех стоки 2023'!P49</f>
        <v>697.8</v>
      </c>
      <c r="Q33" s="1600">
        <f t="shared" si="27"/>
        <v>114.6377525874815</v>
      </c>
      <c r="R33" s="1600">
        <f t="shared" si="281"/>
        <v>82.297440735935837</v>
      </c>
      <c r="S33" s="1597">
        <v>619</v>
      </c>
      <c r="T33" s="1597"/>
      <c r="U33" s="1597">
        <v>745.9</v>
      </c>
      <c r="V33" s="1597"/>
      <c r="W33" s="1597">
        <v>981.12</v>
      </c>
      <c r="X33" s="1597"/>
      <c r="Y33" s="1597">
        <f>'цех стоки 2023'!X49</f>
        <v>730.61322970801143</v>
      </c>
      <c r="Z33" s="1597">
        <f>Y33</f>
        <v>730.61322970801143</v>
      </c>
      <c r="AA33" s="1597"/>
      <c r="AB33" s="1597">
        <f>'цех стоки 2023'!AA49</f>
        <v>658</v>
      </c>
      <c r="AC33" s="1597">
        <f>SUM(AC75/AB75)*AB33</f>
        <v>652.28352799033428</v>
      </c>
      <c r="AD33" s="1597">
        <f>AB33-AC33</f>
        <v>5.716472009665722</v>
      </c>
      <c r="AE33" s="1597">
        <v>673.48</v>
      </c>
      <c r="AF33" s="1597">
        <f t="shared" si="29"/>
        <v>0.92180099211884703</v>
      </c>
      <c r="AG33" s="1597">
        <v>673.48</v>
      </c>
      <c r="AH33" s="1597">
        <v>0</v>
      </c>
      <c r="AI33" s="1597">
        <f>'цех стоки 2023'!AC49</f>
        <v>690.17495043218662</v>
      </c>
      <c r="AJ33" s="1597">
        <f t="shared" si="30"/>
        <v>0.94465159179777525</v>
      </c>
      <c r="AK33" s="1597">
        <f>SUM('цех стоки 2023'!X100)</f>
        <v>690.17495043218662</v>
      </c>
      <c r="AL33" s="1597">
        <f>SUM('цех стоки 2023'!Y100)</f>
        <v>0</v>
      </c>
      <c r="AM33" s="3682" t="e">
        <f>#REF!</f>
        <v>#REF!</v>
      </c>
      <c r="AN33" s="3682">
        <v>0</v>
      </c>
      <c r="AO33" s="3682" t="e">
        <f t="shared" si="31"/>
        <v>#REF!</v>
      </c>
      <c r="AP33" s="1597">
        <f>SUM('цех стоки 2023'!AE49)</f>
        <v>355.56</v>
      </c>
      <c r="AQ33" s="1597">
        <f>SUM(AQ75/AP75)*AP33</f>
        <v>353.50207045979624</v>
      </c>
      <c r="AR33" s="1597">
        <f>AP33-AQ33</f>
        <v>2.0579295402037587</v>
      </c>
      <c r="AS33" s="1597">
        <f>SUM('цех стоки 2023'!AF49)</f>
        <v>549.54</v>
      </c>
      <c r="AT33" s="1597">
        <f>SUM(AT75/AS75)*AS33</f>
        <v>545.53736905559265</v>
      </c>
      <c r="AU33" s="1597">
        <f>AS33-AT33</f>
        <v>4.0026309444073149</v>
      </c>
      <c r="AV33" s="1597">
        <v>1002.59</v>
      </c>
      <c r="AW33" s="1600">
        <f t="shared" ref="AW33" si="369">SUM(AV33/AI33)</f>
        <v>1.4526606614340023</v>
      </c>
      <c r="AX33" s="1597">
        <f>SUM(AX75/AV75)*AV33</f>
        <v>994.50692484883393</v>
      </c>
      <c r="AY33" s="1597">
        <f>AV33-AX33</f>
        <v>8.0830751511660992</v>
      </c>
      <c r="AZ33" s="1597">
        <f>SUM('цех стоки 2023'!AH49)</f>
        <v>767.20424131112384</v>
      </c>
      <c r="BA33" s="1591">
        <f t="shared" si="36"/>
        <v>1.1116083549985429</v>
      </c>
      <c r="BB33" s="1597">
        <f>SUM(BB75/AZ75)*AZ33</f>
        <v>763.01155373140386</v>
      </c>
      <c r="BC33" s="1597">
        <f>AZ33-BB33</f>
        <v>4.1926875797199727</v>
      </c>
      <c r="BD33" s="1597">
        <f t="shared" si="301"/>
        <v>847.58</v>
      </c>
      <c r="BE33" s="1597">
        <v>841.86</v>
      </c>
      <c r="BF33" s="1597">
        <v>5.72</v>
      </c>
      <c r="BG33" s="1597">
        <f t="shared" si="342"/>
        <v>935.15</v>
      </c>
      <c r="BH33" s="1597">
        <v>929.53</v>
      </c>
      <c r="BI33" s="1597">
        <v>5.62</v>
      </c>
      <c r="BJ33" s="1597">
        <f t="shared" si="343"/>
        <v>1055.124</v>
      </c>
      <c r="BK33" s="1597">
        <v>1055.124</v>
      </c>
      <c r="BL33" s="1597">
        <v>0</v>
      </c>
      <c r="BM33" s="1597">
        <f t="shared" si="344"/>
        <v>1295.18</v>
      </c>
      <c r="BN33" s="1597">
        <v>1295.18</v>
      </c>
      <c r="BO33" s="1597">
        <v>0</v>
      </c>
      <c r="BP33" s="1597">
        <f t="shared" si="345"/>
        <v>1756.44</v>
      </c>
      <c r="BQ33" s="1597">
        <v>1746.21</v>
      </c>
      <c r="BR33" s="1597">
        <v>10.23</v>
      </c>
      <c r="BS33" s="1597">
        <f>'цех стоки 2023'!AN49</f>
        <v>1249.8006716269299</v>
      </c>
      <c r="BT33" s="1597">
        <f>BS33</f>
        <v>1249.8006716269299</v>
      </c>
      <c r="BU33" s="1597">
        <v>0</v>
      </c>
      <c r="BV33" s="1597">
        <f>SUM('цех стоки 2023'!AO49)</f>
        <v>1749.0683213168738</v>
      </c>
      <c r="BW33" s="1597">
        <f>BV33</f>
        <v>1749.0683213168738</v>
      </c>
      <c r="BX33" s="1597">
        <v>0</v>
      </c>
      <c r="BY33" s="3675" t="str">
        <f>BY26</f>
        <v>Приложение</v>
      </c>
      <c r="BZ33" s="3735"/>
      <c r="CA33" s="3735"/>
      <c r="CB33" s="3735"/>
      <c r="CC33" s="3735"/>
      <c r="CD33" s="3735"/>
      <c r="CE33" s="3735"/>
      <c r="CF33" s="3735"/>
      <c r="CG33" s="3735"/>
      <c r="CH33" s="3735"/>
      <c r="CI33" s="3735"/>
      <c r="CJ33" s="3735"/>
      <c r="CK33" s="1597">
        <f>SUM('цех стоки 2023'!AP49)</f>
        <v>1274.4217448579798</v>
      </c>
      <c r="CL33" s="1597">
        <f>CK33</f>
        <v>1274.4217448579798</v>
      </c>
      <c r="CM33" s="1597">
        <v>0</v>
      </c>
      <c r="CN33" s="1597">
        <f t="shared" si="349"/>
        <v>911.61500000000001</v>
      </c>
      <c r="CO33" s="1597">
        <f>SUM('цех стоки 2023'!AQ49)</f>
        <v>911.61500000000001</v>
      </c>
      <c r="CP33" s="1597">
        <v>0</v>
      </c>
      <c r="CQ33" s="1597">
        <f t="shared" si="350"/>
        <v>1295.3</v>
      </c>
      <c r="CR33" s="1597">
        <f>SUM('цех стоки 2023'!AR49)</f>
        <v>1295.3</v>
      </c>
      <c r="CS33" s="1597">
        <v>0</v>
      </c>
      <c r="CT33" s="1597">
        <f t="shared" si="351"/>
        <v>1605.76</v>
      </c>
      <c r="CU33" s="1597">
        <f>SUM('цех стоки 2023'!AS49)</f>
        <v>1605.76</v>
      </c>
      <c r="CV33" s="1597">
        <v>0</v>
      </c>
      <c r="CW33" s="1597">
        <f t="shared" si="352"/>
        <v>2355.133149519278</v>
      </c>
      <c r="CX33" s="1597">
        <f>SUM('цех стоки 2023'!AT49)</f>
        <v>2355.133149519278</v>
      </c>
      <c r="CY33" s="1597">
        <v>0</v>
      </c>
      <c r="CZ33" s="1597">
        <f t="shared" si="353"/>
        <v>2449.6229229834853</v>
      </c>
      <c r="DA33" s="1597">
        <f>SUM('цех стоки 2023'!AU49)</f>
        <v>2449.6229229834853</v>
      </c>
      <c r="DB33" s="1597">
        <v>0</v>
      </c>
      <c r="DC33" s="1597">
        <f t="shared" si="354"/>
        <v>659.2</v>
      </c>
      <c r="DD33" s="1597">
        <f>SUM('цех стоки 2023'!AY49)</f>
        <v>659.2</v>
      </c>
      <c r="DE33" s="1597">
        <v>0</v>
      </c>
      <c r="DF33" s="1597">
        <f t="shared" si="355"/>
        <v>925.96</v>
      </c>
      <c r="DG33" s="1597">
        <f>SUM('цех стоки 2023'!AZ49)</f>
        <v>925.96</v>
      </c>
      <c r="DH33" s="1597">
        <v>0</v>
      </c>
      <c r="DI33" s="1597">
        <f t="shared" si="356"/>
        <v>2030.65</v>
      </c>
      <c r="DJ33" s="1597">
        <f>SUM('цех стоки 2023'!BA49)-0.01</f>
        <v>2030.65</v>
      </c>
      <c r="DK33" s="1597">
        <v>0</v>
      </c>
      <c r="DL33" s="1597">
        <f t="shared" si="357"/>
        <v>3173.3245248429257</v>
      </c>
      <c r="DM33" s="1597">
        <f>SUM('цех стоки 2023'!BB49)</f>
        <v>3173.3245248429257</v>
      </c>
      <c r="DN33" s="1597">
        <v>0</v>
      </c>
      <c r="DO33" s="1597">
        <f t="shared" si="358"/>
        <v>3158.707416742875</v>
      </c>
      <c r="DP33" s="1597">
        <f>SUM('цех стоки 2023'!BC49)</f>
        <v>3158.707416742875</v>
      </c>
      <c r="DQ33" s="1597">
        <v>0</v>
      </c>
      <c r="DR33" s="1597">
        <f t="shared" si="359"/>
        <v>1038.6400000000001</v>
      </c>
      <c r="DS33" s="1597">
        <f>SUM('цех стоки 2023'!BD49)</f>
        <v>1038.6400000000001</v>
      </c>
      <c r="DT33" s="1597">
        <v>0</v>
      </c>
      <c r="DU33" s="1597">
        <f t="shared" si="360"/>
        <v>1558.673</v>
      </c>
      <c r="DV33" s="1597">
        <f>SUM('цех стоки 2023'!BE49)</f>
        <v>1558.673</v>
      </c>
      <c r="DW33" s="1597">
        <v>0</v>
      </c>
      <c r="DX33" s="1597">
        <f t="shared" si="361"/>
        <v>2070.0479999999998</v>
      </c>
      <c r="DY33" s="1597">
        <f>SUM('цех стоки 2023'!BF49)</f>
        <v>2070.0479999999998</v>
      </c>
      <c r="DZ33" s="1597">
        <v>0</v>
      </c>
      <c r="EA33" s="2343">
        <f t="shared" si="362"/>
        <v>3106.703446024203</v>
      </c>
      <c r="EB33" s="2343">
        <f>SUM('цех стоки 2023'!BG49)</f>
        <v>3106.703446024203</v>
      </c>
      <c r="EC33" s="2343">
        <v>0</v>
      </c>
      <c r="ED33" s="3959">
        <f t="shared" si="363"/>
        <v>0</v>
      </c>
      <c r="EE33" s="3959">
        <f>SUM('цех стоки 2023'!BS49)</f>
        <v>0</v>
      </c>
      <c r="EF33" s="3959">
        <v>0</v>
      </c>
      <c r="EG33" s="2343">
        <f t="shared" si="364"/>
        <v>3106.703446024203</v>
      </c>
      <c r="EH33" s="2343">
        <f>SUM('цех стоки 2023'!BG49)</f>
        <v>3106.703446024203</v>
      </c>
      <c r="EI33" s="2343">
        <v>0</v>
      </c>
      <c r="EJ33" s="2343">
        <f t="shared" si="365"/>
        <v>3252.955449759841</v>
      </c>
      <c r="EK33" s="2343">
        <f>SUM('цех стоки 2023'!BH49)</f>
        <v>3252.955449759841</v>
      </c>
      <c r="EL33" s="2343">
        <v>0</v>
      </c>
      <c r="EM33" s="3662">
        <f t="shared" si="366"/>
        <v>940.85</v>
      </c>
      <c r="EN33" s="3662">
        <f>SUM('цех стоки 2023'!BI49)</f>
        <v>940.85</v>
      </c>
      <c r="EO33" s="3662">
        <v>0</v>
      </c>
      <c r="EP33" s="3662">
        <f t="shared" si="367"/>
        <v>1765.576</v>
      </c>
      <c r="EQ33" s="3662">
        <f>SUM('цех стоки 2023'!BJ49)</f>
        <v>1765.576</v>
      </c>
      <c r="ER33" s="3662">
        <v>0</v>
      </c>
    </row>
    <row r="34" spans="1:148" ht="21" customHeight="1" x14ac:dyDescent="0.2">
      <c r="A34" s="3320" t="s">
        <v>521</v>
      </c>
      <c r="B34" s="1722">
        <f>SUM(B35:B41)</f>
        <v>5314.8</v>
      </c>
      <c r="C34" s="1723">
        <f>SUM(C35:C41)</f>
        <v>5623.9</v>
      </c>
      <c r="D34" s="1724">
        <f t="shared" si="0"/>
        <v>105.81583502671783</v>
      </c>
      <c r="E34" s="3682">
        <f>SUM(E35:E41)-E40</f>
        <v>7123.4000000000005</v>
      </c>
      <c r="F34" s="3682">
        <f>SUM(F35:F41)</f>
        <v>913.65189698036852</v>
      </c>
      <c r="G34" s="3682">
        <v>12529.9</v>
      </c>
      <c r="H34" s="1600"/>
      <c r="I34" s="3682">
        <f>I35+I37+I38+I39+I41</f>
        <v>11227.5098</v>
      </c>
      <c r="J34" s="3682">
        <f>SUM(J35:J41)</f>
        <v>5757.3238488674342</v>
      </c>
      <c r="K34" s="3682">
        <f>SUM(K35:K41)-K40</f>
        <v>8391.3600740438869</v>
      </c>
      <c r="L34" s="3682">
        <f>SUM(L35:L41)-L40</f>
        <v>11925.999999999998</v>
      </c>
      <c r="M34" s="1600">
        <f t="shared" si="25"/>
        <v>95.180328653859959</v>
      </c>
      <c r="N34" s="3682">
        <v>16741.8</v>
      </c>
      <c r="O34" s="1600">
        <f t="shared" si="26"/>
        <v>149.11409830165545</v>
      </c>
      <c r="P34" s="3682">
        <f>P35+P37+P38+P39+P41</f>
        <v>12235.25798464</v>
      </c>
      <c r="Q34" s="3682">
        <f t="shared" ref="Q34:AK34" si="370">Q35+Q37+Q38+Q39+Q41</f>
        <v>543.11165966081455</v>
      </c>
      <c r="R34" s="3682">
        <f t="shared" si="370"/>
        <v>719.07045660461495</v>
      </c>
      <c r="S34" s="3682">
        <f t="shared" si="370"/>
        <v>12517.6</v>
      </c>
      <c r="T34" s="3682">
        <f t="shared" si="370"/>
        <v>0</v>
      </c>
      <c r="U34" s="3682">
        <f t="shared" si="370"/>
        <v>9500.4</v>
      </c>
      <c r="V34" s="3682">
        <f t="shared" si="370"/>
        <v>0</v>
      </c>
      <c r="W34" s="3682">
        <f t="shared" si="370"/>
        <v>17090.59</v>
      </c>
      <c r="X34" s="3682"/>
      <c r="Y34" s="3682" t="e">
        <f t="shared" si="370"/>
        <v>#REF!</v>
      </c>
      <c r="Z34" s="3682" t="e">
        <f t="shared" si="370"/>
        <v>#REF!</v>
      </c>
      <c r="AA34" s="3682">
        <f t="shared" si="370"/>
        <v>0</v>
      </c>
      <c r="AB34" s="3682">
        <f t="shared" ref="AB34:AD34" si="371">AB35+AB37+AB38+AB39+AB41</f>
        <v>11982.7</v>
      </c>
      <c r="AC34" s="3682">
        <f t="shared" si="371"/>
        <v>11982.7</v>
      </c>
      <c r="AD34" s="3682">
        <f t="shared" si="371"/>
        <v>0</v>
      </c>
      <c r="AE34" s="3682">
        <v>15733.22</v>
      </c>
      <c r="AF34" s="1597" t="e">
        <f t="shared" si="29"/>
        <v>#REF!</v>
      </c>
      <c r="AG34" s="3682">
        <v>15733.22</v>
      </c>
      <c r="AH34" s="3682">
        <v>0</v>
      </c>
      <c r="AI34" s="3682">
        <f>AI35+AI37+AI38+AI39+AI41</f>
        <v>14124.397647353169</v>
      </c>
      <c r="AJ34" s="1597" t="e">
        <f t="shared" si="30"/>
        <v>#REF!</v>
      </c>
      <c r="AK34" s="3682">
        <f t="shared" si="370"/>
        <v>14124.397647353169</v>
      </c>
      <c r="AL34" s="3682">
        <f>AL35+AL37+AL38+AL39+AL41</f>
        <v>0</v>
      </c>
      <c r="AM34" s="3682" t="e">
        <f>#REF!</f>
        <v>#REF!</v>
      </c>
      <c r="AN34" s="3682">
        <v>0</v>
      </c>
      <c r="AO34" s="3682" t="e">
        <f t="shared" si="31"/>
        <v>#REF!</v>
      </c>
      <c r="AP34" s="3682">
        <f t="shared" ref="AP34:BC34" si="372">AP35+AP37+AP38+AP39+AP41</f>
        <v>5196.55</v>
      </c>
      <c r="AQ34" s="3682">
        <f t="shared" si="372"/>
        <v>5196.55</v>
      </c>
      <c r="AR34" s="3682">
        <f t="shared" si="372"/>
        <v>0</v>
      </c>
      <c r="AS34" s="3682">
        <f t="shared" si="372"/>
        <v>7853.18</v>
      </c>
      <c r="AT34" s="3682">
        <f t="shared" si="372"/>
        <v>7853.18</v>
      </c>
      <c r="AU34" s="3682">
        <f t="shared" si="372"/>
        <v>0</v>
      </c>
      <c r="AV34" s="3682">
        <f t="shared" si="372"/>
        <v>16901.098910000001</v>
      </c>
      <c r="AW34" s="1600">
        <f t="shared" si="64"/>
        <v>1.1965890037914055</v>
      </c>
      <c r="AX34" s="3682">
        <f t="shared" si="372"/>
        <v>16901.098910000001</v>
      </c>
      <c r="AY34" s="3682">
        <f t="shared" si="372"/>
        <v>0</v>
      </c>
      <c r="AZ34" s="3682">
        <f t="shared" si="372"/>
        <v>13151.996497389971</v>
      </c>
      <c r="BA34" s="1591">
        <f t="shared" si="36"/>
        <v>0.93115450483331441</v>
      </c>
      <c r="BB34" s="3682">
        <f t="shared" si="372"/>
        <v>13151.996497389971</v>
      </c>
      <c r="BC34" s="3682">
        <f t="shared" si="372"/>
        <v>0</v>
      </c>
      <c r="BD34" s="3682">
        <f t="shared" ref="BD34:BF34" si="373">BD35+BD37+BD38+BD39+BD41</f>
        <v>12825.269999999999</v>
      </c>
      <c r="BE34" s="3682">
        <f t="shared" si="373"/>
        <v>12825.269999999999</v>
      </c>
      <c r="BF34" s="3682">
        <f t="shared" si="373"/>
        <v>0</v>
      </c>
      <c r="BG34" s="3682">
        <f t="shared" ref="BG34:BI34" si="374">BG35+BG37+BG38+BG39+BG41</f>
        <v>12698.41</v>
      </c>
      <c r="BH34" s="3682">
        <f t="shared" si="374"/>
        <v>12698.41</v>
      </c>
      <c r="BI34" s="3682">
        <f t="shared" si="374"/>
        <v>0</v>
      </c>
      <c r="BJ34" s="3682">
        <f t="shared" ref="BJ34:BL34" si="375">BJ35+BJ37+BJ38+BJ39+BJ41</f>
        <v>14090.9</v>
      </c>
      <c r="BK34" s="3682">
        <f t="shared" si="375"/>
        <v>14090.9</v>
      </c>
      <c r="BL34" s="3682">
        <f t="shared" si="375"/>
        <v>0</v>
      </c>
      <c r="BM34" s="3682">
        <f t="shared" ref="BM34:BO34" si="376">BM35+BM37+BM38+BM39+BM41</f>
        <v>12930.99</v>
      </c>
      <c r="BN34" s="3682">
        <f t="shared" si="376"/>
        <v>12930.99</v>
      </c>
      <c r="BO34" s="3682">
        <f t="shared" si="376"/>
        <v>0</v>
      </c>
      <c r="BP34" s="3682">
        <f t="shared" ref="BP34:BR34" si="377">BP35+BP37+BP38+BP39+BP41</f>
        <v>17091.93</v>
      </c>
      <c r="BQ34" s="3682">
        <f t="shared" si="377"/>
        <v>17091.93</v>
      </c>
      <c r="BR34" s="3682">
        <f t="shared" si="377"/>
        <v>0</v>
      </c>
      <c r="BS34" s="3682">
        <f t="shared" ref="BS34:BU34" si="378">BS35+BS37+BS38+BS39+BS41</f>
        <v>15059.4956506622</v>
      </c>
      <c r="BT34" s="3682">
        <f t="shared" si="378"/>
        <v>15059.4956506622</v>
      </c>
      <c r="BU34" s="3682">
        <f t="shared" si="378"/>
        <v>0</v>
      </c>
      <c r="BV34" s="3682">
        <f t="shared" ref="BV34:BX34" si="379">BV35+BV37+BV38+BV39+BV41</f>
        <v>16085.392793077295</v>
      </c>
      <c r="BW34" s="3682">
        <f t="shared" si="379"/>
        <v>16085.392793077295</v>
      </c>
      <c r="BX34" s="3682">
        <f t="shared" si="379"/>
        <v>0</v>
      </c>
      <c r="BY34" s="3675"/>
      <c r="BZ34" s="3735"/>
      <c r="CA34" s="3735"/>
      <c r="CB34" s="3735"/>
      <c r="CC34" s="3735"/>
      <c r="CD34" s="3735"/>
      <c r="CE34" s="3735"/>
      <c r="CF34" s="3735"/>
      <c r="CG34" s="3735"/>
      <c r="CH34" s="3735"/>
      <c r="CI34" s="3735"/>
      <c r="CJ34" s="3735"/>
      <c r="CK34" s="3682">
        <f t="shared" ref="CK34:CM34" si="380">CK35+CK37+CK38+CK39+CK41</f>
        <v>15290.806349980245</v>
      </c>
      <c r="CL34" s="3682">
        <f t="shared" si="380"/>
        <v>15290.806349980245</v>
      </c>
      <c r="CM34" s="3682">
        <f t="shared" si="380"/>
        <v>0</v>
      </c>
      <c r="CN34" s="3682">
        <f t="shared" ref="CN34:CP34" si="381">CN35+CN37+CN38+CN39+CN41</f>
        <v>6110.6350000000002</v>
      </c>
      <c r="CO34" s="3682">
        <f t="shared" si="381"/>
        <v>6110.6350000000002</v>
      </c>
      <c r="CP34" s="3682">
        <f t="shared" si="381"/>
        <v>0</v>
      </c>
      <c r="CQ34" s="3682">
        <f t="shared" ref="CQ34:CS34" si="382">CQ35+CQ37+CQ38+CQ39+CQ41</f>
        <v>9780.5049999999992</v>
      </c>
      <c r="CR34" s="3682">
        <f t="shared" si="382"/>
        <v>9780.5049999999992</v>
      </c>
      <c r="CS34" s="3682">
        <f t="shared" si="382"/>
        <v>0</v>
      </c>
      <c r="CT34" s="3682">
        <f t="shared" ref="CT34:CV34" si="383">CT35+CT37+CT38+CT39+CT41</f>
        <v>13097.359999999999</v>
      </c>
      <c r="CU34" s="3682">
        <f t="shared" si="383"/>
        <v>13097.359999999999</v>
      </c>
      <c r="CV34" s="3682">
        <f t="shared" si="383"/>
        <v>0</v>
      </c>
      <c r="CW34" s="3682">
        <f t="shared" ref="CW34:CY34" si="384">CW35+CW37+CW38+CW39+CW41</f>
        <v>18499.427536177158</v>
      </c>
      <c r="CX34" s="3682">
        <f t="shared" si="384"/>
        <v>18499.427536177158</v>
      </c>
      <c r="CY34" s="3682">
        <f t="shared" si="384"/>
        <v>0</v>
      </c>
      <c r="CZ34" s="3682">
        <f t="shared" ref="CZ34:DB34" si="385">CZ35+CZ37+CZ38+CZ39+CZ41</f>
        <v>16799.413373074774</v>
      </c>
      <c r="DA34" s="3682">
        <f t="shared" si="385"/>
        <v>16799.413373074774</v>
      </c>
      <c r="DB34" s="3682">
        <f t="shared" si="385"/>
        <v>0</v>
      </c>
      <c r="DC34" s="3682">
        <f t="shared" ref="DC34:DQ34" si="386">DC35+DC37+DC38+DC39+DC41</f>
        <v>6688.5259999999989</v>
      </c>
      <c r="DD34" s="3682">
        <f t="shared" si="386"/>
        <v>6688.5259999999989</v>
      </c>
      <c r="DE34" s="3682">
        <f t="shared" si="386"/>
        <v>0</v>
      </c>
      <c r="DF34" s="3682">
        <f t="shared" si="386"/>
        <v>10186</v>
      </c>
      <c r="DG34" s="3682">
        <f t="shared" si="386"/>
        <v>10186</v>
      </c>
      <c r="DH34" s="3682">
        <f t="shared" si="386"/>
        <v>0</v>
      </c>
      <c r="DI34" s="3682">
        <f t="shared" si="386"/>
        <v>13944.24</v>
      </c>
      <c r="DJ34" s="3682">
        <f t="shared" si="386"/>
        <v>13944.24</v>
      </c>
      <c r="DK34" s="3682">
        <f t="shared" si="386"/>
        <v>0</v>
      </c>
      <c r="DL34" s="3682">
        <f t="shared" si="386"/>
        <v>20197.962452367254</v>
      </c>
      <c r="DM34" s="3682">
        <f t="shared" si="386"/>
        <v>20197.962452367254</v>
      </c>
      <c r="DN34" s="3682">
        <f t="shared" si="386"/>
        <v>0</v>
      </c>
      <c r="DO34" s="3682">
        <f t="shared" si="386"/>
        <v>18240.313157516735</v>
      </c>
      <c r="DP34" s="3682">
        <f t="shared" si="386"/>
        <v>18240.313157516735</v>
      </c>
      <c r="DQ34" s="3682">
        <f t="shared" si="386"/>
        <v>0</v>
      </c>
      <c r="DR34" s="3682">
        <f t="shared" ref="DR34:DT34" si="387">DR35+DR37+DR38+DR39+DR41</f>
        <v>6996.5650000000005</v>
      </c>
      <c r="DS34" s="3682">
        <f t="shared" si="387"/>
        <v>6996.5650000000005</v>
      </c>
      <c r="DT34" s="3682">
        <f t="shared" si="387"/>
        <v>0</v>
      </c>
      <c r="DU34" s="3682">
        <f t="shared" ref="DU34:DW34" si="388">DU35+DU37+DU38+DU39+DU41</f>
        <v>11653.872000000001</v>
      </c>
      <c r="DV34" s="3682">
        <f t="shared" si="388"/>
        <v>11653.872000000001</v>
      </c>
      <c r="DW34" s="3682">
        <f t="shared" si="388"/>
        <v>0</v>
      </c>
      <c r="DX34" s="3682">
        <f t="shared" ref="DX34:EF34" si="389">DX35+DX37+DX38+DX39+DX41</f>
        <v>15424.269</v>
      </c>
      <c r="DY34" s="3682">
        <f t="shared" si="389"/>
        <v>15424.269</v>
      </c>
      <c r="DZ34" s="3682">
        <f t="shared" si="389"/>
        <v>0</v>
      </c>
      <c r="EA34" s="2346">
        <f t="shared" si="389"/>
        <v>22686.442608470497</v>
      </c>
      <c r="EB34" s="2346">
        <f t="shared" si="389"/>
        <v>22686.442608470497</v>
      </c>
      <c r="EC34" s="2346">
        <f t="shared" si="389"/>
        <v>0</v>
      </c>
      <c r="ED34" s="3960">
        <f t="shared" si="389"/>
        <v>7099.9145201840884</v>
      </c>
      <c r="EE34" s="3960">
        <f t="shared" si="389"/>
        <v>7099.9145201840884</v>
      </c>
      <c r="EF34" s="3960">
        <f t="shared" si="389"/>
        <v>0</v>
      </c>
      <c r="EG34" s="2346">
        <f t="shared" ref="EG34:EI34" si="390">EG35+EG37+EG38+EG39+EG41</f>
        <v>22686.442608470497</v>
      </c>
      <c r="EH34" s="2346">
        <f t="shared" si="390"/>
        <v>22686.442608470497</v>
      </c>
      <c r="EI34" s="2346">
        <f t="shared" si="390"/>
        <v>0</v>
      </c>
      <c r="EJ34" s="2346">
        <f t="shared" ref="EJ34:ER34" si="391">EJ35+EJ37+EJ38+EJ39+EJ41</f>
        <v>21023.153509299606</v>
      </c>
      <c r="EK34" s="2346">
        <f t="shared" si="391"/>
        <v>21023.153509299606</v>
      </c>
      <c r="EL34" s="2346">
        <f t="shared" si="391"/>
        <v>0</v>
      </c>
      <c r="EM34" s="4683">
        <f t="shared" ref="EM34:EO34" si="392">EM35+EM37+EM38+EM39+EM41</f>
        <v>9426.0990000000002</v>
      </c>
      <c r="EN34" s="4683">
        <f>EN35+EN36+EN37+EN38+EN39+EN41</f>
        <v>9496.4470000000001</v>
      </c>
      <c r="EO34" s="4683">
        <f t="shared" si="392"/>
        <v>0</v>
      </c>
      <c r="EP34" s="4683">
        <f t="shared" si="391"/>
        <v>21171.143</v>
      </c>
      <c r="EQ34" s="4683">
        <f>EQ35+EQ36+EQ37+EQ38+EQ39+EQ41</f>
        <v>21248.399000000001</v>
      </c>
      <c r="ER34" s="4683">
        <f t="shared" si="391"/>
        <v>0</v>
      </c>
    </row>
    <row r="35" spans="1:148" ht="21" customHeight="1" x14ac:dyDescent="0.2">
      <c r="A35" s="3214" t="s">
        <v>2</v>
      </c>
      <c r="B35" s="3674">
        <v>1184.9000000000001</v>
      </c>
      <c r="C35" s="3193">
        <v>1102.8</v>
      </c>
      <c r="D35" s="1725">
        <f t="shared" si="0"/>
        <v>93.071145244324399</v>
      </c>
      <c r="E35" s="3193">
        <v>1090</v>
      </c>
      <c r="F35" s="1725">
        <f t="shared" si="368"/>
        <v>98.839318099383391</v>
      </c>
      <c r="G35" s="3193" t="e">
        <f>Аморт!#REF!</f>
        <v>#REF!</v>
      </c>
      <c r="H35" s="1725" t="e">
        <f t="shared" si="2"/>
        <v>#REF!</v>
      </c>
      <c r="I35" s="1597">
        <v>2025</v>
      </c>
      <c r="J35" s="1597">
        <v>1460.8</v>
      </c>
      <c r="K35" s="1597">
        <v>2699.1</v>
      </c>
      <c r="L35" s="1597">
        <v>3595</v>
      </c>
      <c r="M35" s="1600" t="e">
        <f t="shared" si="25"/>
        <v>#REF!</v>
      </c>
      <c r="N35" s="1597" t="e">
        <f>Аморт!#REF!</f>
        <v>#REF!</v>
      </c>
      <c r="O35" s="1600" t="e">
        <f t="shared" si="26"/>
        <v>#REF!</v>
      </c>
      <c r="P35" s="1597">
        <v>2025</v>
      </c>
      <c r="Q35" s="1600">
        <f t="shared" si="27"/>
        <v>100</v>
      </c>
      <c r="R35" s="1600">
        <f t="shared" si="281"/>
        <v>56.328233657858142</v>
      </c>
      <c r="S35" s="1597">
        <v>2025</v>
      </c>
      <c r="T35" s="1597"/>
      <c r="U35" s="1597">
        <v>2658.5</v>
      </c>
      <c r="V35" s="1597"/>
      <c r="W35" s="1597">
        <v>3595</v>
      </c>
      <c r="X35" s="1597"/>
      <c r="Y35" s="1597" t="e">
        <f>Аморт!G17</f>
        <v>#REF!</v>
      </c>
      <c r="Z35" s="1597" t="e">
        <f t="shared" ref="Z35:Z41" si="393">Y35</f>
        <v>#REF!</v>
      </c>
      <c r="AA35" s="1597"/>
      <c r="AB35" s="1597">
        <f>SUM(Аморт!L17)</f>
        <v>3567.6</v>
      </c>
      <c r="AC35" s="1597">
        <f t="shared" ref="AC35" si="394">AB35</f>
        <v>3567.6</v>
      </c>
      <c r="AD35" s="1597">
        <v>0</v>
      </c>
      <c r="AE35" s="1597">
        <v>3562.4</v>
      </c>
      <c r="AF35" s="1597" t="e">
        <f t="shared" si="29"/>
        <v>#REF!</v>
      </c>
      <c r="AG35" s="1597">
        <v>3562.4</v>
      </c>
      <c r="AH35" s="1597">
        <v>0</v>
      </c>
      <c r="AI35" s="1597">
        <f>Аморт!O17</f>
        <v>3562.4</v>
      </c>
      <c r="AJ35" s="1597" t="e">
        <f t="shared" si="30"/>
        <v>#REF!</v>
      </c>
      <c r="AK35" s="1597">
        <f>AI35</f>
        <v>3562.4</v>
      </c>
      <c r="AL35" s="1597"/>
      <c r="AM35" s="3682" t="e">
        <f>#REF!</f>
        <v>#REF!</v>
      </c>
      <c r="AN35" s="3682">
        <v>0</v>
      </c>
      <c r="AO35" s="3682" t="e">
        <f t="shared" si="31"/>
        <v>#REF!</v>
      </c>
      <c r="AP35" s="1597">
        <f>SUM(Аморт!Q17)</f>
        <v>1790.52</v>
      </c>
      <c r="AQ35" s="1597">
        <f t="shared" ref="AQ35" si="395">AP35</f>
        <v>1790.52</v>
      </c>
      <c r="AR35" s="1597">
        <v>0</v>
      </c>
      <c r="AS35" s="1597">
        <f>SUM(Аморт!R17)</f>
        <v>2713.05</v>
      </c>
      <c r="AT35" s="1597">
        <f t="shared" ref="AT35" si="396">AS35</f>
        <v>2713.05</v>
      </c>
      <c r="AU35" s="1597">
        <v>0</v>
      </c>
      <c r="AV35" s="1597">
        <f>SUM(Аморт!T17)</f>
        <v>3562.4</v>
      </c>
      <c r="AW35" s="1600">
        <f t="shared" si="64"/>
        <v>1</v>
      </c>
      <c r="AX35" s="1597">
        <f>SUM(AV35)</f>
        <v>3562.4</v>
      </c>
      <c r="AY35" s="1597">
        <v>0</v>
      </c>
      <c r="AZ35" s="1597">
        <f>SUM(Аморт!U17)</f>
        <v>3562.4</v>
      </c>
      <c r="BA35" s="1591">
        <f t="shared" si="36"/>
        <v>1</v>
      </c>
      <c r="BB35" s="1597">
        <f>SUM(AZ35)</f>
        <v>3562.4</v>
      </c>
      <c r="BC35" s="1597">
        <v>0</v>
      </c>
      <c r="BD35" s="1597">
        <f t="shared" si="301"/>
        <v>3912.88</v>
      </c>
      <c r="BE35" s="1597">
        <v>3912.88</v>
      </c>
      <c r="BF35" s="1597">
        <v>0</v>
      </c>
      <c r="BG35" s="1597">
        <f t="shared" ref="BG35:BG39" si="397">BH35+BI35</f>
        <v>3925.45</v>
      </c>
      <c r="BH35" s="1597">
        <v>3925.45</v>
      </c>
      <c r="BI35" s="1597">
        <v>0</v>
      </c>
      <c r="BJ35" s="1597">
        <f t="shared" ref="BJ35:BJ39" si="398">BK35+BL35</f>
        <v>3912.88</v>
      </c>
      <c r="BK35" s="1597">
        <v>3912.88</v>
      </c>
      <c r="BL35" s="1597">
        <v>0</v>
      </c>
      <c r="BM35" s="1597">
        <f t="shared" ref="BM35:BM39" si="399">BN35+BO35</f>
        <v>3937.42</v>
      </c>
      <c r="BN35" s="1597">
        <v>3937.42</v>
      </c>
      <c r="BO35" s="1597">
        <v>0</v>
      </c>
      <c r="BP35" s="1597">
        <f t="shared" ref="BP35:BP39" si="400">BQ35+BR35</f>
        <v>3925.45</v>
      </c>
      <c r="BQ35" s="1597">
        <v>3925.45</v>
      </c>
      <c r="BR35" s="1597">
        <v>0</v>
      </c>
      <c r="BS35" s="1597">
        <f t="shared" ref="BS35:BS39" si="401">BT35+BU35</f>
        <v>3925.45</v>
      </c>
      <c r="BT35" s="1597">
        <f>Аморт!AM17</f>
        <v>3925.45</v>
      </c>
      <c r="BU35" s="1597">
        <v>0</v>
      </c>
      <c r="BV35" s="1597">
        <f t="shared" ref="BV35:BV36" si="402">BW35+BX35</f>
        <v>3937.42</v>
      </c>
      <c r="BW35" s="1597">
        <f>SUM(Аморт!AS17)</f>
        <v>3937.42</v>
      </c>
      <c r="BX35" s="1597">
        <v>0</v>
      </c>
      <c r="BY35" s="3675" t="str">
        <f>BY32</f>
        <v>Приложение</v>
      </c>
      <c r="BZ35" s="3735"/>
      <c r="CA35" s="3735"/>
      <c r="CB35" s="3735"/>
      <c r="CC35" s="3735"/>
      <c r="CD35" s="3735"/>
      <c r="CE35" s="3735"/>
      <c r="CF35" s="3735"/>
      <c r="CG35" s="3735"/>
      <c r="CH35" s="3735"/>
      <c r="CI35" s="3735"/>
      <c r="CJ35" s="3735"/>
      <c r="CK35" s="1597">
        <f t="shared" ref="CK35:CK36" si="403">CL35+CM35</f>
        <v>3937.42</v>
      </c>
      <c r="CL35" s="1597">
        <f>SUM(Аморт!AT17)</f>
        <v>3937.42</v>
      </c>
      <c r="CM35" s="1597">
        <v>0</v>
      </c>
      <c r="CN35" s="1597">
        <f t="shared" ref="CN35:CN37" si="404">CO35+CP35</f>
        <v>1973.89</v>
      </c>
      <c r="CO35" s="1597">
        <f>SUM(Аморт!AV17)</f>
        <v>1973.89</v>
      </c>
      <c r="CP35" s="1597">
        <f>SUM(Аморт!AW17)</f>
        <v>0</v>
      </c>
      <c r="CQ35" s="1597">
        <f t="shared" ref="CQ35:CQ37" si="405">CR35+CS35</f>
        <v>2982.19</v>
      </c>
      <c r="CR35" s="1597">
        <f>SUM(Аморт!AY17)</f>
        <v>2982.19</v>
      </c>
      <c r="CS35" s="1597">
        <f>SUM(Аморт!AZ17)</f>
        <v>0</v>
      </c>
      <c r="CT35" s="1597">
        <f t="shared" ref="CT35:CT39" si="406">CU35+CV35</f>
        <v>4007.33</v>
      </c>
      <c r="CU35" s="1597">
        <f>SUM(Аморт!BB17)</f>
        <v>4007.33</v>
      </c>
      <c r="CV35" s="1597">
        <f>SUM(Аморт!BC17)</f>
        <v>0</v>
      </c>
      <c r="CW35" s="1597">
        <f t="shared" ref="CW35:CW39" si="407">CX35+CY35</f>
        <v>4007.33</v>
      </c>
      <c r="CX35" s="1597">
        <f>SUM(Аморт!BD17)</f>
        <v>4007.33</v>
      </c>
      <c r="CY35" s="1597">
        <f>SUM(Аморт!BF17)</f>
        <v>0</v>
      </c>
      <c r="CZ35" s="1597">
        <f t="shared" ref="CZ35:CZ39" si="408">DA35+DB35</f>
        <v>3997.9905385636621</v>
      </c>
      <c r="DA35" s="1597">
        <f>SUM(Аморт!BE17)</f>
        <v>3997.9905385636621</v>
      </c>
      <c r="DB35" s="1597">
        <v>0</v>
      </c>
      <c r="DC35" s="1597">
        <f t="shared" ref="DC35:DC39" si="409">DD35+DE35</f>
        <v>2057.556</v>
      </c>
      <c r="DD35" s="1597">
        <f>SUM(Аморт!BJ17)</f>
        <v>2057.556</v>
      </c>
      <c r="DE35" s="1597">
        <v>0</v>
      </c>
      <c r="DF35" s="1597">
        <f t="shared" ref="DF35:DF39" si="410">DG35+DH35</f>
        <v>3093.25</v>
      </c>
      <c r="DG35" s="1597">
        <f>SUM(Аморт!BM17)</f>
        <v>3093.25</v>
      </c>
      <c r="DH35" s="1597">
        <v>0</v>
      </c>
      <c r="DI35" s="1597">
        <f t="shared" ref="DI35:DI39" si="411">DJ35+DK35</f>
        <v>4128.96</v>
      </c>
      <c r="DJ35" s="1597">
        <f>SUM(Аморт!BP17)</f>
        <v>4128.96</v>
      </c>
      <c r="DK35" s="1597">
        <v>0</v>
      </c>
      <c r="DL35" s="1597">
        <f t="shared" ref="DL35:DL39" si="412">DM35+DN35</f>
        <v>4128.96</v>
      </c>
      <c r="DM35" s="1597">
        <f>SUM(Аморт!BR17)</f>
        <v>4128.96</v>
      </c>
      <c r="DN35" s="1597">
        <v>0</v>
      </c>
      <c r="DO35" s="1597">
        <f t="shared" ref="DO35:DO39" si="413">DP35+DQ35</f>
        <v>4128.96</v>
      </c>
      <c r="DP35" s="1597">
        <f>SUM(Аморт!BS17)</f>
        <v>4128.96</v>
      </c>
      <c r="DQ35" s="1597">
        <v>0</v>
      </c>
      <c r="DR35" s="1597">
        <f t="shared" ref="DR35:DR39" si="414">DS35+DT35</f>
        <v>2120.25</v>
      </c>
      <c r="DS35" s="1597">
        <f>SUM(Аморт!BU17)</f>
        <v>2120.25</v>
      </c>
      <c r="DT35" s="1597">
        <v>0</v>
      </c>
      <c r="DU35" s="1597">
        <f t="shared" ref="DU35:DU39" si="415">DV35+DW35</f>
        <v>3226.26</v>
      </c>
      <c r="DV35" s="1597">
        <f>SUM(Аморт!BX17)</f>
        <v>3226.26</v>
      </c>
      <c r="DW35" s="1597">
        <v>0</v>
      </c>
      <c r="DX35" s="1597">
        <f t="shared" ref="DX35:DX39" si="416">DY35+DZ35</f>
        <v>4359.9430000000002</v>
      </c>
      <c r="DY35" s="1597">
        <f>SUM(Аморт!CA17)</f>
        <v>4359.9430000000002</v>
      </c>
      <c r="DZ35" s="1597">
        <v>0</v>
      </c>
      <c r="EA35" s="2343">
        <f t="shared" ref="EA35:EA39" si="417">EB35+EC35</f>
        <v>4359.9430000000002</v>
      </c>
      <c r="EB35" s="2343">
        <f>SUM(Аморт!CC17)</f>
        <v>4359.9430000000002</v>
      </c>
      <c r="EC35" s="2343">
        <v>0</v>
      </c>
      <c r="ED35" s="3959">
        <f t="shared" ref="ED35:ED39" si="418">EE35+EF35</f>
        <v>0</v>
      </c>
      <c r="EE35" s="3959">
        <f>SUM(Аморт!CG17)</f>
        <v>0</v>
      </c>
      <c r="EF35" s="3959">
        <v>0</v>
      </c>
      <c r="EG35" s="2343">
        <f t="shared" ref="EG35:EG39" si="419">EH35+EI35</f>
        <v>4359.9430000000002</v>
      </c>
      <c r="EH35" s="2343">
        <f>SUM(Аморт!CC17)</f>
        <v>4359.9430000000002</v>
      </c>
      <c r="EI35" s="2343">
        <v>0</v>
      </c>
      <c r="EJ35" s="2343">
        <f t="shared" ref="EJ35:EJ39" si="420">EK35+EL35</f>
        <v>4309.5796079851416</v>
      </c>
      <c r="EK35" s="2343">
        <f>SUM(Аморт!CD17)</f>
        <v>4309.5796079851416</v>
      </c>
      <c r="EL35" s="2343">
        <v>0</v>
      </c>
      <c r="EM35" s="3662">
        <f t="shared" ref="EM35:EM39" si="421">EN35+EO35</f>
        <v>2301.9760000000001</v>
      </c>
      <c r="EN35" s="3662">
        <f>SUM(Аморт!CE17)</f>
        <v>2301.9760000000001</v>
      </c>
      <c r="EO35" s="3662">
        <v>0</v>
      </c>
      <c r="EP35" s="3662">
        <f t="shared" ref="EP35:EP39" si="422">EQ35+ER35</f>
        <v>4708.3540000000003</v>
      </c>
      <c r="EQ35" s="3662">
        <f>SUM(Аморт!CF17)</f>
        <v>4708.3540000000003</v>
      </c>
      <c r="ER35" s="3662">
        <v>0</v>
      </c>
    </row>
    <row r="36" spans="1:148" ht="21" customHeight="1" x14ac:dyDescent="0.2">
      <c r="A36" s="3214" t="s">
        <v>4280</v>
      </c>
      <c r="B36" s="3674">
        <v>9.1</v>
      </c>
      <c r="C36" s="3193">
        <v>9</v>
      </c>
      <c r="D36" s="1725">
        <f t="shared" si="0"/>
        <v>98.901098901098905</v>
      </c>
      <c r="E36" s="3193">
        <v>9.8000000000000007</v>
      </c>
      <c r="F36" s="1725">
        <f t="shared" si="368"/>
        <v>108.8888888888889</v>
      </c>
      <c r="G36" s="3193"/>
      <c r="H36" s="1725">
        <f t="shared" si="2"/>
        <v>0</v>
      </c>
      <c r="I36" s="1597"/>
      <c r="J36" s="1597">
        <v>14.8</v>
      </c>
      <c r="K36" s="1597">
        <v>7.8</v>
      </c>
      <c r="L36" s="1597">
        <v>10.1</v>
      </c>
      <c r="M36" s="1600"/>
      <c r="N36" s="1597"/>
      <c r="O36" s="1600"/>
      <c r="P36" s="1597"/>
      <c r="Q36" s="1600"/>
      <c r="R36" s="1600">
        <f t="shared" si="281"/>
        <v>0</v>
      </c>
      <c r="S36" s="1597"/>
      <c r="T36" s="1597"/>
      <c r="U36" s="1597"/>
      <c r="V36" s="1597"/>
      <c r="W36" s="1597">
        <v>0</v>
      </c>
      <c r="X36" s="1597"/>
      <c r="Y36" s="1597">
        <v>0</v>
      </c>
      <c r="Z36" s="1597">
        <f t="shared" si="393"/>
        <v>0</v>
      </c>
      <c r="AA36" s="1597"/>
      <c r="AB36" s="1597">
        <v>0</v>
      </c>
      <c r="AC36" s="1597">
        <v>0</v>
      </c>
      <c r="AD36" s="1597">
        <v>0</v>
      </c>
      <c r="AE36" s="1597">
        <v>0</v>
      </c>
      <c r="AF36" s="1597"/>
      <c r="AG36" s="1597">
        <v>0</v>
      </c>
      <c r="AH36" s="1597">
        <v>0</v>
      </c>
      <c r="AI36" s="1597">
        <f>Y36</f>
        <v>0</v>
      </c>
      <c r="AJ36" s="1597"/>
      <c r="AK36" s="1597"/>
      <c r="AL36" s="1597"/>
      <c r="AM36" s="3682" t="e">
        <f>#REF!</f>
        <v>#REF!</v>
      </c>
      <c r="AN36" s="3682">
        <v>0</v>
      </c>
      <c r="AO36" s="3682" t="e">
        <f t="shared" si="31"/>
        <v>#REF!</v>
      </c>
      <c r="AP36" s="1597">
        <v>0</v>
      </c>
      <c r="AQ36" s="1597">
        <v>0</v>
      </c>
      <c r="AR36" s="1597">
        <v>0</v>
      </c>
      <c r="AS36" s="1597">
        <v>0</v>
      </c>
      <c r="AT36" s="1597">
        <v>0</v>
      </c>
      <c r="AU36" s="1597">
        <v>0</v>
      </c>
      <c r="AV36" s="1597">
        <v>0</v>
      </c>
      <c r="AW36" s="1600">
        <v>0</v>
      </c>
      <c r="AX36" s="1597">
        <v>0</v>
      </c>
      <c r="AY36" s="1597">
        <v>0</v>
      </c>
      <c r="AZ36" s="1597">
        <v>0</v>
      </c>
      <c r="BA36" s="1591">
        <v>0</v>
      </c>
      <c r="BB36" s="1597">
        <v>0</v>
      </c>
      <c r="BC36" s="1597">
        <v>0</v>
      </c>
      <c r="BD36" s="1597">
        <f t="shared" si="301"/>
        <v>0</v>
      </c>
      <c r="BE36" s="1597">
        <v>0</v>
      </c>
      <c r="BF36" s="1597">
        <v>0</v>
      </c>
      <c r="BG36" s="1597">
        <f t="shared" si="397"/>
        <v>0</v>
      </c>
      <c r="BH36" s="1597">
        <v>0</v>
      </c>
      <c r="BI36" s="1597">
        <v>0</v>
      </c>
      <c r="BJ36" s="1597">
        <f t="shared" si="398"/>
        <v>0</v>
      </c>
      <c r="BK36" s="1597">
        <v>0</v>
      </c>
      <c r="BL36" s="1597">
        <v>0</v>
      </c>
      <c r="BM36" s="1597">
        <f t="shared" si="399"/>
        <v>0</v>
      </c>
      <c r="BN36" s="1597">
        <v>0</v>
      </c>
      <c r="BO36" s="1597">
        <v>0</v>
      </c>
      <c r="BP36" s="1597">
        <f t="shared" si="400"/>
        <v>0</v>
      </c>
      <c r="BQ36" s="1597">
        <v>0</v>
      </c>
      <c r="BR36" s="1597">
        <v>0</v>
      </c>
      <c r="BS36" s="1597">
        <f t="shared" si="401"/>
        <v>0</v>
      </c>
      <c r="BT36" s="1597">
        <v>0</v>
      </c>
      <c r="BU36" s="1597">
        <v>0</v>
      </c>
      <c r="BV36" s="1597">
        <f t="shared" si="402"/>
        <v>0</v>
      </c>
      <c r="BW36" s="1597">
        <v>0</v>
      </c>
      <c r="BX36" s="1597">
        <v>0</v>
      </c>
      <c r="BY36" s="3675"/>
      <c r="BZ36" s="3735"/>
      <c r="CA36" s="3735"/>
      <c r="CB36" s="3735"/>
      <c r="CC36" s="3735"/>
      <c r="CD36" s="3735"/>
      <c r="CE36" s="3735"/>
      <c r="CF36" s="3735"/>
      <c r="CG36" s="3735"/>
      <c r="CH36" s="3735"/>
      <c r="CI36" s="3735"/>
      <c r="CJ36" s="3735"/>
      <c r="CK36" s="1597">
        <f t="shared" si="403"/>
        <v>0</v>
      </c>
      <c r="CL36" s="1597">
        <v>0</v>
      </c>
      <c r="CM36" s="1597">
        <v>0</v>
      </c>
      <c r="CN36" s="1597">
        <f t="shared" si="404"/>
        <v>0</v>
      </c>
      <c r="CO36" s="1597">
        <v>0</v>
      </c>
      <c r="CP36" s="1597">
        <v>0</v>
      </c>
      <c r="CQ36" s="1597">
        <f t="shared" si="405"/>
        <v>0</v>
      </c>
      <c r="CR36" s="1597">
        <v>0</v>
      </c>
      <c r="CS36" s="1597">
        <v>0</v>
      </c>
      <c r="CT36" s="1597">
        <f t="shared" si="406"/>
        <v>0</v>
      </c>
      <c r="CU36" s="1597">
        <v>0</v>
      </c>
      <c r="CV36" s="1597">
        <v>0</v>
      </c>
      <c r="CW36" s="1597">
        <f t="shared" si="407"/>
        <v>0</v>
      </c>
      <c r="CX36" s="1597">
        <v>0</v>
      </c>
      <c r="CY36" s="1597">
        <v>0</v>
      </c>
      <c r="CZ36" s="1597">
        <f t="shared" si="408"/>
        <v>0</v>
      </c>
      <c r="DA36" s="1597">
        <v>0</v>
      </c>
      <c r="DB36" s="1597">
        <v>0</v>
      </c>
      <c r="DC36" s="1597">
        <f t="shared" si="409"/>
        <v>0</v>
      </c>
      <c r="DD36" s="1597">
        <v>0</v>
      </c>
      <c r="DE36" s="1597">
        <v>0</v>
      </c>
      <c r="DF36" s="1597">
        <f t="shared" si="410"/>
        <v>0</v>
      </c>
      <c r="DG36" s="1597">
        <v>0</v>
      </c>
      <c r="DH36" s="1597">
        <v>0</v>
      </c>
      <c r="DI36" s="1597">
        <f t="shared" si="411"/>
        <v>0</v>
      </c>
      <c r="DJ36" s="1597">
        <v>0</v>
      </c>
      <c r="DK36" s="1597">
        <v>0</v>
      </c>
      <c r="DL36" s="1597">
        <f t="shared" si="412"/>
        <v>0</v>
      </c>
      <c r="DM36" s="1597">
        <v>0</v>
      </c>
      <c r="DN36" s="1597">
        <v>0</v>
      </c>
      <c r="DO36" s="1597">
        <f t="shared" si="413"/>
        <v>0</v>
      </c>
      <c r="DP36" s="1597">
        <v>0</v>
      </c>
      <c r="DQ36" s="1597">
        <v>0</v>
      </c>
      <c r="DR36" s="1597">
        <f t="shared" si="414"/>
        <v>0</v>
      </c>
      <c r="DS36" s="1597">
        <v>0</v>
      </c>
      <c r="DT36" s="1597">
        <v>0</v>
      </c>
      <c r="DU36" s="1597">
        <f t="shared" si="415"/>
        <v>0</v>
      </c>
      <c r="DV36" s="1597">
        <v>0</v>
      </c>
      <c r="DW36" s="1597">
        <v>0</v>
      </c>
      <c r="DX36" s="1597">
        <f t="shared" si="416"/>
        <v>0</v>
      </c>
      <c r="DY36" s="1597">
        <v>0</v>
      </c>
      <c r="DZ36" s="1597">
        <v>0</v>
      </c>
      <c r="EA36" s="2343">
        <f t="shared" si="417"/>
        <v>0</v>
      </c>
      <c r="EB36" s="2343">
        <v>0</v>
      </c>
      <c r="EC36" s="2343">
        <v>0</v>
      </c>
      <c r="ED36" s="3959">
        <f t="shared" si="418"/>
        <v>0</v>
      </c>
      <c r="EE36" s="3959">
        <v>0</v>
      </c>
      <c r="EF36" s="3959">
        <v>0</v>
      </c>
      <c r="EG36" s="2343">
        <f t="shared" si="419"/>
        <v>0</v>
      </c>
      <c r="EH36" s="2343">
        <v>0</v>
      </c>
      <c r="EI36" s="2343">
        <v>0</v>
      </c>
      <c r="EJ36" s="2343">
        <f t="shared" si="420"/>
        <v>0</v>
      </c>
      <c r="EK36" s="2343">
        <v>0</v>
      </c>
      <c r="EL36" s="2343">
        <v>0</v>
      </c>
      <c r="EM36" s="3662">
        <f t="shared" si="421"/>
        <v>70.347999999999999</v>
      </c>
      <c r="EN36" s="3662">
        <v>70.347999999999999</v>
      </c>
      <c r="EO36" s="3662">
        <v>0</v>
      </c>
      <c r="EP36" s="3662">
        <f t="shared" si="422"/>
        <v>77.256</v>
      </c>
      <c r="EQ36" s="3662">
        <v>77.256</v>
      </c>
      <c r="ER36" s="3662">
        <v>0</v>
      </c>
    </row>
    <row r="37" spans="1:148" s="2730" customFormat="1" ht="21" customHeight="1" x14ac:dyDescent="0.2">
      <c r="A37" s="3214" t="s">
        <v>3</v>
      </c>
      <c r="B37" s="3674">
        <v>160.5</v>
      </c>
      <c r="C37" s="3193">
        <v>209.5</v>
      </c>
      <c r="D37" s="1725">
        <f t="shared" si="0"/>
        <v>130.52959501557632</v>
      </c>
      <c r="E37" s="3193">
        <v>596.1</v>
      </c>
      <c r="F37" s="1725">
        <f t="shared" si="368"/>
        <v>284.53460620525061</v>
      </c>
      <c r="G37" s="3193" t="e">
        <f>G34-G35-G38-G39-G41</f>
        <v>#REF!</v>
      </c>
      <c r="H37" s="1725" t="e">
        <f t="shared" si="2"/>
        <v>#REF!</v>
      </c>
      <c r="I37" s="1597">
        <v>735.9</v>
      </c>
      <c r="J37" s="1597">
        <v>344.8</v>
      </c>
      <c r="K37" s="1597">
        <v>224.8</v>
      </c>
      <c r="L37" s="1597">
        <v>250.9</v>
      </c>
      <c r="M37" s="1600" t="e">
        <f t="shared" si="25"/>
        <v>#REF!</v>
      </c>
      <c r="N37" s="1597" t="e">
        <f>N34-N35-N38-N39-N41</f>
        <v>#REF!</v>
      </c>
      <c r="O37" s="1600" t="e">
        <f t="shared" si="26"/>
        <v>#REF!</v>
      </c>
      <c r="P37" s="1597">
        <f>I37*1.049</f>
        <v>771.95909999999992</v>
      </c>
      <c r="Q37" s="1600">
        <f t="shared" si="27"/>
        <v>104.89999999999999</v>
      </c>
      <c r="R37" s="1600">
        <f t="shared" si="281"/>
        <v>307.6760063770426</v>
      </c>
      <c r="S37" s="1597">
        <v>772</v>
      </c>
      <c r="T37" s="1597"/>
      <c r="U37" s="1597">
        <v>114.9</v>
      </c>
      <c r="V37" s="1597"/>
      <c r="W37" s="1597">
        <v>842</v>
      </c>
      <c r="X37" s="1597"/>
      <c r="Y37" s="1597">
        <v>0</v>
      </c>
      <c r="Z37" s="1597">
        <f t="shared" si="393"/>
        <v>0</v>
      </c>
      <c r="AA37" s="1597"/>
      <c r="AB37" s="1597">
        <f>SUM(AC37:AD37)</f>
        <v>50.4</v>
      </c>
      <c r="AC37" s="1597">
        <v>50.4</v>
      </c>
      <c r="AD37" s="1597">
        <v>0</v>
      </c>
      <c r="AE37" s="1597">
        <v>730</v>
      </c>
      <c r="AF37" s="1597"/>
      <c r="AG37" s="1597">
        <v>730</v>
      </c>
      <c r="AH37" s="1597">
        <v>0</v>
      </c>
      <c r="AI37" s="1597">
        <v>0</v>
      </c>
      <c r="AJ37" s="1597"/>
      <c r="AK37" s="1597">
        <f>AI37</f>
        <v>0</v>
      </c>
      <c r="AL37" s="1597"/>
      <c r="AM37" s="3682" t="e">
        <f>#REF!</f>
        <v>#REF!</v>
      </c>
      <c r="AN37" s="3682">
        <v>0</v>
      </c>
      <c r="AO37" s="3682" t="e">
        <f t="shared" si="31"/>
        <v>#REF!</v>
      </c>
      <c r="AP37" s="1597">
        <f>SUM(AQ37:AR37)</f>
        <v>0</v>
      </c>
      <c r="AQ37" s="1597">
        <v>0</v>
      </c>
      <c r="AR37" s="1597">
        <v>0</v>
      </c>
      <c r="AS37" s="1597">
        <f>SUM(AT37:AU37)</f>
        <v>0</v>
      </c>
      <c r="AT37" s="1597">
        <v>0</v>
      </c>
      <c r="AU37" s="1597">
        <v>0</v>
      </c>
      <c r="AV37" s="1597">
        <v>168.81</v>
      </c>
      <c r="AW37" s="1600"/>
      <c r="AX37" s="1597">
        <v>168.81</v>
      </c>
      <c r="AY37" s="1597">
        <v>0</v>
      </c>
      <c r="AZ37" s="1597">
        <f>SUM(BB37:BC37)</f>
        <v>168.81355932203391</v>
      </c>
      <c r="BA37" s="1591"/>
      <c r="BB37" s="1597">
        <f>'Кап Рем'!G13</f>
        <v>168.81355932203391</v>
      </c>
      <c r="BC37" s="1597">
        <v>0</v>
      </c>
      <c r="BD37" s="1597">
        <f t="shared" si="301"/>
        <v>335.88</v>
      </c>
      <c r="BE37" s="1597">
        <v>335.88</v>
      </c>
      <c r="BF37" s="1597">
        <v>0</v>
      </c>
      <c r="BG37" s="1597">
        <f t="shared" si="397"/>
        <v>174.81</v>
      </c>
      <c r="BH37" s="1597">
        <v>174.81</v>
      </c>
      <c r="BI37" s="1597">
        <v>0</v>
      </c>
      <c r="BJ37" s="1597">
        <f t="shared" si="398"/>
        <v>188.42</v>
      </c>
      <c r="BK37" s="1597">
        <v>188.42</v>
      </c>
      <c r="BL37" s="1597">
        <v>0</v>
      </c>
      <c r="BM37" s="1597">
        <f t="shared" si="399"/>
        <v>431.05</v>
      </c>
      <c r="BN37" s="1597">
        <v>431.05</v>
      </c>
      <c r="BO37" s="1597">
        <v>0</v>
      </c>
      <c r="BP37" s="1597">
        <f t="shared" si="400"/>
        <v>1202.8599999999999</v>
      </c>
      <c r="BQ37" s="1597">
        <v>1202.8599999999999</v>
      </c>
      <c r="BR37" s="1597">
        <v>0</v>
      </c>
      <c r="BS37" s="1597">
        <f>ремонты!E40</f>
        <v>752.84633000000008</v>
      </c>
      <c r="BT37" s="1597">
        <f>BS37</f>
        <v>752.84633000000008</v>
      </c>
      <c r="BU37" s="1597">
        <v>0</v>
      </c>
      <c r="BV37" s="1597">
        <f>SUM('рем программа'!I36:J36)</f>
        <v>779.6024885682001</v>
      </c>
      <c r="BW37" s="1597">
        <f>BV37</f>
        <v>779.6024885682001</v>
      </c>
      <c r="BX37" s="1597">
        <v>0</v>
      </c>
      <c r="BY37" s="3675" t="s">
        <v>3491</v>
      </c>
      <c r="BZ37" s="3735"/>
      <c r="CA37" s="3735"/>
      <c r="CB37" s="3735"/>
      <c r="CC37" s="3735"/>
      <c r="CD37" s="3735"/>
      <c r="CE37" s="3735"/>
      <c r="CF37" s="3735"/>
      <c r="CG37" s="3735"/>
      <c r="CH37" s="3735"/>
      <c r="CI37" s="3735"/>
      <c r="CJ37" s="3735"/>
      <c r="CK37" s="1597">
        <f>SUM('рем программа'!K36)</f>
        <v>767.67740270100012</v>
      </c>
      <c r="CL37" s="1597">
        <f>SUM(CK37)</f>
        <v>767.67740270100012</v>
      </c>
      <c r="CM37" s="1597">
        <v>0</v>
      </c>
      <c r="CN37" s="1597">
        <f t="shared" si="404"/>
        <v>267.86</v>
      </c>
      <c r="CO37" s="1597">
        <f>SUM('рем программа'!L36)</f>
        <v>267.86</v>
      </c>
      <c r="CP37" s="1597">
        <v>0</v>
      </c>
      <c r="CQ37" s="1597">
        <f t="shared" si="405"/>
        <v>480.74</v>
      </c>
      <c r="CR37" s="1597">
        <f>SUM('рем программа'!M36)</f>
        <v>480.74</v>
      </c>
      <c r="CS37" s="1597">
        <v>0</v>
      </c>
      <c r="CT37" s="1597">
        <f t="shared" si="406"/>
        <v>678.24</v>
      </c>
      <c r="CU37" s="1597">
        <f>SUM('рем программа'!N36)</f>
        <v>678.24</v>
      </c>
      <c r="CV37" s="1597">
        <v>0</v>
      </c>
      <c r="CW37" s="1597">
        <f t="shared" si="407"/>
        <v>1321.4629494000001</v>
      </c>
      <c r="CX37" s="1597">
        <f>SUM('рем программа'!O36)</f>
        <v>1321.4629494000001</v>
      </c>
      <c r="CY37" s="1597">
        <v>0</v>
      </c>
      <c r="CZ37" s="1597">
        <f t="shared" si="408"/>
        <v>788.89335264432009</v>
      </c>
      <c r="DA37" s="1597">
        <f>SUM('рем программа'!P36)</f>
        <v>788.89335264432009</v>
      </c>
      <c r="DB37" s="1597">
        <v>0</v>
      </c>
      <c r="DC37" s="1597">
        <f t="shared" si="409"/>
        <v>114.47499999999999</v>
      </c>
      <c r="DD37" s="1597">
        <f>SUM('рем программа'!Q36)</f>
        <v>114.47499999999999</v>
      </c>
      <c r="DE37" s="1597">
        <v>0</v>
      </c>
      <c r="DF37" s="1597">
        <f t="shared" si="410"/>
        <v>243.505</v>
      </c>
      <c r="DG37" s="1597">
        <f>SUM('рем программа'!R36)</f>
        <v>243.505</v>
      </c>
      <c r="DH37" s="1597">
        <v>0</v>
      </c>
      <c r="DI37" s="1597">
        <f t="shared" si="411"/>
        <v>716.42</v>
      </c>
      <c r="DJ37" s="1597">
        <f>SUM('рем программа'!S36)</f>
        <v>716.42</v>
      </c>
      <c r="DK37" s="1597">
        <v>0</v>
      </c>
      <c r="DL37" s="1597">
        <f t="shared" si="412"/>
        <v>1361.1137760000001</v>
      </c>
      <c r="DM37" s="1597">
        <f>SUM('рем программа'!T36)</f>
        <v>1361.1137760000001</v>
      </c>
      <c r="DN37" s="1597">
        <v>0</v>
      </c>
      <c r="DO37" s="1597">
        <f t="shared" si="413"/>
        <v>835.07359395272692</v>
      </c>
      <c r="DP37" s="1597">
        <f>SUM('рем программа'!U36)</f>
        <v>835.07359395272692</v>
      </c>
      <c r="DQ37" s="1597">
        <v>0</v>
      </c>
      <c r="DR37" s="1597">
        <f t="shared" si="414"/>
        <v>126.63</v>
      </c>
      <c r="DS37" s="1597">
        <f>SUM('рем программа'!V36)</f>
        <v>126.63</v>
      </c>
      <c r="DT37" s="1597">
        <v>0</v>
      </c>
      <c r="DU37" s="1597">
        <f t="shared" si="415"/>
        <v>1185.25</v>
      </c>
      <c r="DV37" s="1597">
        <f>SUM('рем программа'!W36)</f>
        <v>1185.25</v>
      </c>
      <c r="DW37" s="1597">
        <v>0</v>
      </c>
      <c r="DX37" s="1597">
        <f t="shared" si="416"/>
        <v>1328.702</v>
      </c>
      <c r="DY37" s="1597">
        <f>SUM('рем программа'!X36)</f>
        <v>1328.702</v>
      </c>
      <c r="DZ37" s="1597">
        <v>0</v>
      </c>
      <c r="EA37" s="2343">
        <f t="shared" si="417"/>
        <v>1401.9451182</v>
      </c>
      <c r="EB37" s="2343">
        <f>SUM('рем программа'!Y36)</f>
        <v>1401.9451182</v>
      </c>
      <c r="EC37" s="2343">
        <v>0</v>
      </c>
      <c r="ED37" s="3959">
        <f t="shared" si="418"/>
        <v>0</v>
      </c>
      <c r="EE37" s="3959">
        <f>SUM('рем программа'!AJ36)</f>
        <v>0</v>
      </c>
      <c r="EF37" s="3959">
        <v>0</v>
      </c>
      <c r="EG37" s="2343">
        <f t="shared" si="419"/>
        <v>1401.9451182</v>
      </c>
      <c r="EH37" s="2343">
        <f>SUM('рем программа'!Y36)</f>
        <v>1401.9451182</v>
      </c>
      <c r="EI37" s="2343">
        <v>0</v>
      </c>
      <c r="EJ37" s="2343">
        <f t="shared" si="420"/>
        <v>963.30492496701413</v>
      </c>
      <c r="EK37" s="2343">
        <f>SUM('рем программа'!Z36)</f>
        <v>963.30492496701413</v>
      </c>
      <c r="EL37" s="2343">
        <v>0</v>
      </c>
      <c r="EM37" s="3662">
        <f t="shared" si="421"/>
        <v>370.077</v>
      </c>
      <c r="EN37" s="3662">
        <f>SUM('рем программа'!AA36)</f>
        <v>370.077</v>
      </c>
      <c r="EO37" s="3662">
        <v>0</v>
      </c>
      <c r="EP37" s="3662">
        <f t="shared" si="422"/>
        <v>2531.19</v>
      </c>
      <c r="EQ37" s="3662">
        <f>SUM('рем программа'!AB36)</f>
        <v>2531.19</v>
      </c>
      <c r="ER37" s="3662">
        <v>0</v>
      </c>
    </row>
    <row r="38" spans="1:148" ht="21" customHeight="1" x14ac:dyDescent="0.2">
      <c r="A38" s="3214" t="s">
        <v>4</v>
      </c>
      <c r="B38" s="3674">
        <v>2374.9</v>
      </c>
      <c r="C38" s="3193">
        <v>2766.9</v>
      </c>
      <c r="D38" s="1725">
        <f t="shared" si="0"/>
        <v>116.50595814560614</v>
      </c>
      <c r="E38" s="3193">
        <v>2966.8</v>
      </c>
      <c r="F38" s="1725">
        <f t="shared" si="368"/>
        <v>107.22469189345478</v>
      </c>
      <c r="G38" s="3193">
        <v>4252.5</v>
      </c>
      <c r="H38" s="1725">
        <f t="shared" si="2"/>
        <v>143.33625455035727</v>
      </c>
      <c r="I38" s="1597">
        <v>4819.8999999999996</v>
      </c>
      <c r="J38" s="1597">
        <v>2154.4</v>
      </c>
      <c r="K38" s="1597">
        <v>3078.5</v>
      </c>
      <c r="L38" s="1597">
        <v>4557.5</v>
      </c>
      <c r="M38" s="1600">
        <f t="shared" si="25"/>
        <v>107.17225161669606</v>
      </c>
      <c r="N38" s="1597">
        <f>ЗП!AF18</f>
        <v>6581.9040000000005</v>
      </c>
      <c r="O38" s="1600">
        <f t="shared" si="26"/>
        <v>136.55685802610014</v>
      </c>
      <c r="P38" s="1597">
        <f>ЗП!AP18</f>
        <v>5162.1343200000001</v>
      </c>
      <c r="Q38" s="1600">
        <f t="shared" si="27"/>
        <v>107.10044440756033</v>
      </c>
      <c r="R38" s="1600">
        <f t="shared" si="281"/>
        <v>113.26679802523314</v>
      </c>
      <c r="S38" s="1597">
        <v>5162.1000000000004</v>
      </c>
      <c r="T38" s="1597"/>
      <c r="U38" s="1597">
        <v>3781.1</v>
      </c>
      <c r="V38" s="1597"/>
      <c r="W38" s="1597">
        <v>6778.1</v>
      </c>
      <c r="X38" s="1597"/>
      <c r="Y38" s="1597">
        <f>ЗП!U35</f>
        <v>4303.5898752000003</v>
      </c>
      <c r="Z38" s="1597">
        <f t="shared" si="393"/>
        <v>4303.5898752000003</v>
      </c>
      <c r="AA38" s="1597"/>
      <c r="AB38" s="1597">
        <v>4690</v>
      </c>
      <c r="AC38" s="1597">
        <f>SUM(AB38)</f>
        <v>4690</v>
      </c>
      <c r="AD38" s="1597">
        <v>0</v>
      </c>
      <c r="AE38" s="1597">
        <v>6778.1</v>
      </c>
      <c r="AF38" s="1597">
        <f t="shared" si="29"/>
        <v>1.5749874399184012</v>
      </c>
      <c r="AG38" s="1597">
        <v>6778.1</v>
      </c>
      <c r="AH38" s="1597">
        <v>0</v>
      </c>
      <c r="AI38" s="1597">
        <f>ЗП!BB35</f>
        <v>6064.6157894736843</v>
      </c>
      <c r="AJ38" s="1597">
        <f t="shared" si="30"/>
        <v>1.4091992883480431</v>
      </c>
      <c r="AK38" s="1597">
        <f>AI38</f>
        <v>6064.6157894736843</v>
      </c>
      <c r="AL38" s="1597">
        <f>AA38*1.05</f>
        <v>0</v>
      </c>
      <c r="AM38" s="3682" t="e">
        <f>#REF!</f>
        <v>#REF!</v>
      </c>
      <c r="AN38" s="3682">
        <v>0</v>
      </c>
      <c r="AO38" s="3682" t="e">
        <f t="shared" si="31"/>
        <v>#REF!</v>
      </c>
      <c r="AP38" s="1597">
        <f>SUM(ЗП!BG35)</f>
        <v>2164</v>
      </c>
      <c r="AQ38" s="1597">
        <f>SUM(AP38)</f>
        <v>2164</v>
      </c>
      <c r="AR38" s="1597">
        <v>0</v>
      </c>
      <c r="AS38" s="1597">
        <f>SUM(ЗП!BK35)</f>
        <v>3339</v>
      </c>
      <c r="AT38" s="1597">
        <f>SUM(AS38)</f>
        <v>3339</v>
      </c>
      <c r="AU38" s="1597">
        <v>0</v>
      </c>
      <c r="AV38" s="1597">
        <f>SUM(ЗП!BO35)</f>
        <v>7455.91</v>
      </c>
      <c r="AW38" s="1600">
        <f t="shared" si="64"/>
        <v>1.2294117647058822</v>
      </c>
      <c r="AX38" s="1597">
        <f>SUM(AV38)</f>
        <v>7455.91</v>
      </c>
      <c r="AY38" s="1597">
        <v>0</v>
      </c>
      <c r="AZ38" s="1597">
        <f>SUM(ЗП!BS35)</f>
        <v>5210.6322580645156</v>
      </c>
      <c r="BA38" s="1591">
        <f t="shared" si="36"/>
        <v>0.85918588067995627</v>
      </c>
      <c r="BB38" s="1597">
        <f>SUM(AZ38)</f>
        <v>5210.6322580645156</v>
      </c>
      <c r="BC38" s="1597">
        <v>0</v>
      </c>
      <c r="BD38" s="1597">
        <f t="shared" si="301"/>
        <v>4641.97</v>
      </c>
      <c r="BE38" s="1597">
        <v>4641.97</v>
      </c>
      <c r="BF38" s="1597">
        <v>0</v>
      </c>
      <c r="BG38" s="1597">
        <f t="shared" si="397"/>
        <v>4788.53</v>
      </c>
      <c r="BH38" s="1597">
        <v>4788.53</v>
      </c>
      <c r="BI38" s="1597">
        <v>0</v>
      </c>
      <c r="BJ38" s="1597">
        <f t="shared" si="398"/>
        <v>5815.7</v>
      </c>
      <c r="BK38" s="1597">
        <v>5815.7</v>
      </c>
      <c r="BL38" s="1597">
        <v>0</v>
      </c>
      <c r="BM38" s="1597">
        <f t="shared" si="399"/>
        <v>4408.58</v>
      </c>
      <c r="BN38" s="1597">
        <v>4408.58</v>
      </c>
      <c r="BO38" s="1597">
        <v>0</v>
      </c>
      <c r="BP38" s="1597">
        <f t="shared" si="400"/>
        <v>6087.71</v>
      </c>
      <c r="BQ38" s="1597">
        <v>6087.71</v>
      </c>
      <c r="BR38" s="1597">
        <v>0</v>
      </c>
      <c r="BS38" s="1597">
        <f t="shared" si="401"/>
        <v>5548.7836799999995</v>
      </c>
      <c r="BT38" s="1597">
        <f>ЗП!CR35</f>
        <v>5548.7836799999995</v>
      </c>
      <c r="BU38" s="1597">
        <v>0</v>
      </c>
      <c r="BV38" s="1597">
        <f t="shared" ref="BV38" si="423">BW38+BX38</f>
        <v>5804.0277292799992</v>
      </c>
      <c r="BW38" s="1597">
        <f>SUM(ЗП!CU35)</f>
        <v>5804.0277292799992</v>
      </c>
      <c r="BX38" s="1597">
        <v>0</v>
      </c>
      <c r="BY38" s="3675" t="str">
        <f>BY29</f>
        <v>Приложение</v>
      </c>
      <c r="BZ38" s="3735"/>
      <c r="CA38" s="3735"/>
      <c r="CB38" s="3735"/>
      <c r="CC38" s="3735"/>
      <c r="CD38" s="3735"/>
      <c r="CE38" s="3735"/>
      <c r="CF38" s="3735"/>
      <c r="CG38" s="3735"/>
      <c r="CH38" s="3735"/>
      <c r="CI38" s="3735"/>
      <c r="CJ38" s="3735"/>
      <c r="CK38" s="1597">
        <f>SUM(ЗП!CX35)</f>
        <v>5658.0947184960005</v>
      </c>
      <c r="CL38" s="1597">
        <f>SUM(CK38)</f>
        <v>5658.0947184960005</v>
      </c>
      <c r="CM38" s="1597">
        <v>0</v>
      </c>
      <c r="CN38" s="1597">
        <f t="shared" ref="CN38:CN39" si="424">CO38+CP38</f>
        <v>1961.26</v>
      </c>
      <c r="CO38" s="1597">
        <f>SUM(ЗП!DA35)</f>
        <v>1961.26</v>
      </c>
      <c r="CP38" s="1597">
        <v>0</v>
      </c>
      <c r="CQ38" s="1597">
        <f t="shared" ref="CQ38:CQ39" si="425">CR38+CS38</f>
        <v>3269.41</v>
      </c>
      <c r="CR38" s="1597">
        <f>SUM(ЗП!DD35)</f>
        <v>3269.41</v>
      </c>
      <c r="CS38" s="1597">
        <v>0</v>
      </c>
      <c r="CT38" s="1597">
        <f t="shared" si="406"/>
        <v>4222.8999999999996</v>
      </c>
      <c r="CU38" s="1597">
        <f>SUM(ЗП!DG35)</f>
        <v>4222.8999999999996</v>
      </c>
      <c r="CV38" s="1597">
        <v>0</v>
      </c>
      <c r="CW38" s="1597">
        <f t="shared" si="407"/>
        <v>6833.2385088000001</v>
      </c>
      <c r="CX38" s="1597">
        <f>SUM(ЗП!DJ35)</f>
        <v>6833.2385088000001</v>
      </c>
      <c r="CY38" s="1597">
        <v>0</v>
      </c>
      <c r="CZ38" s="1597">
        <f t="shared" si="408"/>
        <v>5814.4365549754757</v>
      </c>
      <c r="DA38" s="1597">
        <f>SUM(ЗП!DM35)</f>
        <v>5814.4365549754757</v>
      </c>
      <c r="DB38" s="1597">
        <v>0</v>
      </c>
      <c r="DC38" s="1597">
        <f t="shared" si="409"/>
        <v>2158.2399999999998</v>
      </c>
      <c r="DD38" s="1597">
        <f>SUM(ЗП!DR35)</f>
        <v>2158.2399999999998</v>
      </c>
      <c r="DE38" s="1597">
        <v>0</v>
      </c>
      <c r="DF38" s="1597">
        <f t="shared" si="410"/>
        <v>3286.0949999999998</v>
      </c>
      <c r="DG38" s="1597">
        <f>SUM(ЗП!DU35)</f>
        <v>3286.0949999999998</v>
      </c>
      <c r="DH38" s="1597">
        <v>0</v>
      </c>
      <c r="DI38" s="1597">
        <f t="shared" si="411"/>
        <v>4396.04</v>
      </c>
      <c r="DJ38" s="1597">
        <f>SUM(ЗП!DX35)</f>
        <v>4396.04</v>
      </c>
      <c r="DK38" s="1597">
        <v>0</v>
      </c>
      <c r="DL38" s="1597">
        <f t="shared" si="412"/>
        <v>7233.7224960000012</v>
      </c>
      <c r="DM38" s="1597">
        <f>SUM(ЗП!EA35)</f>
        <v>7233.7224960000012</v>
      </c>
      <c r="DN38" s="1597">
        <v>0</v>
      </c>
      <c r="DO38" s="1597">
        <f t="shared" si="413"/>
        <v>6154.8020584762398</v>
      </c>
      <c r="DP38" s="1597">
        <f>SUM(ЗП!ED35)</f>
        <v>6154.8020584762398</v>
      </c>
      <c r="DQ38" s="1597">
        <v>0</v>
      </c>
      <c r="DR38" s="1597">
        <f t="shared" si="414"/>
        <v>1921.52</v>
      </c>
      <c r="DS38" s="1597">
        <f>SUM(ЗП!EG35)</f>
        <v>1921.52</v>
      </c>
      <c r="DT38" s="1597">
        <v>0</v>
      </c>
      <c r="DU38" s="1597">
        <f t="shared" si="415"/>
        <v>3083.53</v>
      </c>
      <c r="DV38" s="1597">
        <f>SUM(ЗП!EJ35)</f>
        <v>3083.53</v>
      </c>
      <c r="DW38" s="1597">
        <v>0</v>
      </c>
      <c r="DX38" s="1597">
        <f t="shared" si="416"/>
        <v>4299.24</v>
      </c>
      <c r="DY38" s="1597">
        <f>SUM(ЗП!EM35)</f>
        <v>4299.24</v>
      </c>
      <c r="DZ38" s="1597">
        <v>0</v>
      </c>
      <c r="EA38" s="2343">
        <f t="shared" si="417"/>
        <v>8228.6582399999988</v>
      </c>
      <c r="EB38" s="2343">
        <f>SUM(ЗП!EP35)</f>
        <v>8228.6582399999988</v>
      </c>
      <c r="EC38" s="2343">
        <v>0</v>
      </c>
      <c r="ED38" s="3959">
        <f t="shared" si="418"/>
        <v>7099.9145201840884</v>
      </c>
      <c r="EE38" s="3959">
        <f>SUM(ЗП!ES35)</f>
        <v>7099.9145201840884</v>
      </c>
      <c r="EF38" s="3959">
        <v>0</v>
      </c>
      <c r="EG38" s="2343">
        <f t="shared" si="419"/>
        <v>8228.6582399999988</v>
      </c>
      <c r="EH38" s="2343">
        <f>SUM(ЗП!EP35)</f>
        <v>8228.6582399999988</v>
      </c>
      <c r="EI38" s="2343">
        <v>0</v>
      </c>
      <c r="EJ38" s="2343">
        <f t="shared" si="420"/>
        <v>7099.9145201840884</v>
      </c>
      <c r="EK38" s="2343">
        <f>SUM(ЗП!ES35)</f>
        <v>7099.9145201840884</v>
      </c>
      <c r="EL38" s="2343">
        <v>0</v>
      </c>
      <c r="EM38" s="3662">
        <f t="shared" si="421"/>
        <v>3460.02</v>
      </c>
      <c r="EN38" s="3662">
        <f>SUM(ЗП!EV35)</f>
        <v>3460.02</v>
      </c>
      <c r="EO38" s="3662">
        <v>0</v>
      </c>
      <c r="EP38" s="3662">
        <f t="shared" si="422"/>
        <v>7328.5110000000004</v>
      </c>
      <c r="EQ38" s="3662">
        <f>SUM(ЗП!EY35)</f>
        <v>7328.5110000000004</v>
      </c>
      <c r="ER38" s="3662">
        <v>0</v>
      </c>
    </row>
    <row r="39" spans="1:148" ht="21" customHeight="1" x14ac:dyDescent="0.2">
      <c r="A39" s="3214" t="s">
        <v>113</v>
      </c>
      <c r="B39" s="3674">
        <v>606.79999999999995</v>
      </c>
      <c r="C39" s="3193">
        <v>710.5</v>
      </c>
      <c r="D39" s="1725">
        <f t="shared" si="0"/>
        <v>117.08965062623599</v>
      </c>
      <c r="E39" s="3193">
        <v>765</v>
      </c>
      <c r="F39" s="1725">
        <f t="shared" si="368"/>
        <v>107.67065446868402</v>
      </c>
      <c r="G39" s="3193">
        <f>G38*0.302</f>
        <v>1284.2549999999999</v>
      </c>
      <c r="H39" s="1725">
        <f t="shared" si="2"/>
        <v>167.87647058823526</v>
      </c>
      <c r="I39" s="1597">
        <f>I38*30.2/100</f>
        <v>1455.6097999999997</v>
      </c>
      <c r="J39" s="1597">
        <v>697.7</v>
      </c>
      <c r="K39" s="1597">
        <v>895.2</v>
      </c>
      <c r="L39" s="1597">
        <v>1327.3</v>
      </c>
      <c r="M39" s="1600">
        <f t="shared" si="25"/>
        <v>103.35174867919534</v>
      </c>
      <c r="N39" s="1597">
        <f>N38*0.302</f>
        <v>1987.7350080000001</v>
      </c>
      <c r="O39" s="1600">
        <f t="shared" si="26"/>
        <v>136.55685802610014</v>
      </c>
      <c r="P39" s="1597">
        <f>P38*30.2/100</f>
        <v>1558.9645646399999</v>
      </c>
      <c r="Q39" s="1600">
        <f t="shared" si="27"/>
        <v>107.10044440756035</v>
      </c>
      <c r="R39" s="1600">
        <f t="shared" si="281"/>
        <v>117.45382088751602</v>
      </c>
      <c r="S39" s="1597">
        <v>1559</v>
      </c>
      <c r="T39" s="1597"/>
      <c r="U39" s="1597">
        <v>1128.4000000000001</v>
      </c>
      <c r="V39" s="1597"/>
      <c r="W39" s="1597">
        <v>2046.99</v>
      </c>
      <c r="X39" s="1597"/>
      <c r="Y39" s="1597">
        <f>Y38*U40</f>
        <v>1284.3275277500413</v>
      </c>
      <c r="Z39" s="1597">
        <f t="shared" si="393"/>
        <v>1284.3275277500413</v>
      </c>
      <c r="AA39" s="1597"/>
      <c r="AB39" s="1597">
        <v>1397.5</v>
      </c>
      <c r="AC39" s="1597">
        <f>SUM(AB39)</f>
        <v>1397.5</v>
      </c>
      <c r="AD39" s="1597">
        <v>0</v>
      </c>
      <c r="AE39" s="1597">
        <v>2040.21</v>
      </c>
      <c r="AF39" s="1597">
        <f t="shared" si="29"/>
        <v>1.5885433862607905</v>
      </c>
      <c r="AG39" s="1597">
        <v>2040.21</v>
      </c>
      <c r="AH39" s="1597">
        <v>0</v>
      </c>
      <c r="AI39" s="1597">
        <f>AI38*Y40</f>
        <v>1809.8734381111599</v>
      </c>
      <c r="AJ39" s="1597">
        <f t="shared" si="30"/>
        <v>1.4091992883480431</v>
      </c>
      <c r="AK39" s="1597">
        <f>AK38*Z40</f>
        <v>1809.8734381111599</v>
      </c>
      <c r="AL39" s="1597">
        <f>AA39*1.05</f>
        <v>0</v>
      </c>
      <c r="AM39" s="3682" t="e">
        <f>#REF!</f>
        <v>#REF!</v>
      </c>
      <c r="AN39" s="3682">
        <v>0</v>
      </c>
      <c r="AO39" s="3682" t="e">
        <f t="shared" si="31"/>
        <v>#REF!</v>
      </c>
      <c r="AP39" s="1597">
        <v>0</v>
      </c>
      <c r="AQ39" s="1597">
        <f>SUM(AP39)</f>
        <v>0</v>
      </c>
      <c r="AR39" s="1597">
        <v>0</v>
      </c>
      <c r="AS39" s="1597">
        <v>0</v>
      </c>
      <c r="AT39" s="1597">
        <f>SUM(AS39)</f>
        <v>0</v>
      </c>
      <c r="AU39" s="1597">
        <v>0</v>
      </c>
      <c r="AV39" s="1598">
        <f t="shared" ref="AV39" si="426">SUM(AX39+AY39)</f>
        <v>2244.2289099999998</v>
      </c>
      <c r="AW39" s="1600">
        <f t="shared" ref="AW39:AW40" si="427">SUM(AV39/AI39)</f>
        <v>1.2399921799737261</v>
      </c>
      <c r="AX39" s="1597">
        <f>SUM(AX38*AE40)</f>
        <v>2244.2289099999998</v>
      </c>
      <c r="AY39" s="1597">
        <f>SUM(AY38*AE40)</f>
        <v>0</v>
      </c>
      <c r="AZ39" s="1598">
        <f t="shared" ref="AZ39" si="428">SUM(BB39+BC39)</f>
        <v>1555.0177038427971</v>
      </c>
      <c r="BA39" s="1591">
        <f t="shared" si="36"/>
        <v>0.85918588067995616</v>
      </c>
      <c r="BB39" s="1597">
        <f>BB38*BB40</f>
        <v>1555.0177038427971</v>
      </c>
      <c r="BC39" s="1597">
        <f>SUM(BC38*AV40)</f>
        <v>0</v>
      </c>
      <c r="BD39" s="1597">
        <f t="shared" si="301"/>
        <v>1416.48</v>
      </c>
      <c r="BE39" s="1597">
        <v>1416.48</v>
      </c>
      <c r="BF39" s="1597">
        <v>0</v>
      </c>
      <c r="BG39" s="1597">
        <f t="shared" si="397"/>
        <v>1457.64</v>
      </c>
      <c r="BH39" s="1597">
        <v>1457.64</v>
      </c>
      <c r="BI39" s="1597">
        <v>0</v>
      </c>
      <c r="BJ39" s="1597">
        <f t="shared" si="398"/>
        <v>1735.4</v>
      </c>
      <c r="BK39" s="1597">
        <v>1735.4</v>
      </c>
      <c r="BL39" s="1597">
        <v>0</v>
      </c>
      <c r="BM39" s="1597">
        <f t="shared" si="399"/>
        <v>1336.36</v>
      </c>
      <c r="BN39" s="1597">
        <v>1336.36</v>
      </c>
      <c r="BO39" s="1597">
        <v>0</v>
      </c>
      <c r="BP39" s="1597">
        <f t="shared" si="400"/>
        <v>1816.57</v>
      </c>
      <c r="BQ39" s="1597">
        <v>1816.57</v>
      </c>
      <c r="BR39" s="1597">
        <v>0</v>
      </c>
      <c r="BS39" s="1597">
        <f t="shared" si="401"/>
        <v>1689.0630409155212</v>
      </c>
      <c r="BT39" s="1597">
        <f>BT38*BG40</f>
        <v>1689.0630409155212</v>
      </c>
      <c r="BU39" s="1597">
        <v>0</v>
      </c>
      <c r="BV39" s="1597">
        <f>SUM(BV38*BV40)</f>
        <v>1759.3580010571702</v>
      </c>
      <c r="BW39" s="1597">
        <f>SUM(BW38*BW40)</f>
        <v>1759.3580010571702</v>
      </c>
      <c r="BX39" s="1597">
        <v>0</v>
      </c>
      <c r="BY39" s="3675" t="s">
        <v>239</v>
      </c>
      <c r="BZ39" s="3735"/>
      <c r="CA39" s="3735"/>
      <c r="CB39" s="3735"/>
      <c r="CC39" s="3735"/>
      <c r="CD39" s="3735"/>
      <c r="CE39" s="3735"/>
      <c r="CF39" s="3735"/>
      <c r="CG39" s="3735"/>
      <c r="CH39" s="3735"/>
      <c r="CI39" s="3735"/>
      <c r="CJ39" s="3735"/>
      <c r="CK39" s="1597">
        <f>SUM(CK38*CK40)</f>
        <v>1722.3375828215571</v>
      </c>
      <c r="CL39" s="1597">
        <f>SUM(CL38*CL40)</f>
        <v>1722.3375828215571</v>
      </c>
      <c r="CM39" s="1597">
        <v>0</v>
      </c>
      <c r="CN39" s="1597">
        <f t="shared" si="424"/>
        <v>593.83000000000004</v>
      </c>
      <c r="CO39" s="1597">
        <v>593.83000000000004</v>
      </c>
      <c r="CP39" s="1597">
        <v>0</v>
      </c>
      <c r="CQ39" s="1597">
        <f t="shared" si="425"/>
        <v>995.61</v>
      </c>
      <c r="CR39" s="1597">
        <v>995.61</v>
      </c>
      <c r="CS39" s="1597">
        <v>0</v>
      </c>
      <c r="CT39" s="1597">
        <f t="shared" si="406"/>
        <v>1286.17</v>
      </c>
      <c r="CU39" s="1597">
        <v>1286.17</v>
      </c>
      <c r="CV39" s="1597">
        <v>0</v>
      </c>
      <c r="CW39" s="1597">
        <f t="shared" si="407"/>
        <v>2080.04</v>
      </c>
      <c r="CX39" s="1597">
        <v>2080.04</v>
      </c>
      <c r="CY39" s="1597">
        <v>0</v>
      </c>
      <c r="CZ39" s="1597">
        <f t="shared" si="408"/>
        <v>1769.928412267325</v>
      </c>
      <c r="DA39" s="1597">
        <f>SUM(DA38*DA40)</f>
        <v>1769.928412267325</v>
      </c>
      <c r="DB39" s="1597">
        <f>SUM(DB38*DB40)</f>
        <v>0</v>
      </c>
      <c r="DC39" s="1597">
        <f t="shared" si="409"/>
        <v>656.89499999999998</v>
      </c>
      <c r="DD39" s="1597">
        <v>656.89499999999998</v>
      </c>
      <c r="DE39" s="1597">
        <v>0</v>
      </c>
      <c r="DF39" s="1597">
        <f t="shared" si="410"/>
        <v>998.29</v>
      </c>
      <c r="DG39" s="1597">
        <v>998.29</v>
      </c>
      <c r="DH39" s="1597">
        <v>0</v>
      </c>
      <c r="DI39" s="1597">
        <f t="shared" si="411"/>
        <v>1329.04</v>
      </c>
      <c r="DJ39" s="1597">
        <v>1329.04</v>
      </c>
      <c r="DK39" s="1597">
        <v>0</v>
      </c>
      <c r="DL39" s="1597">
        <f t="shared" si="412"/>
        <v>2201.94</v>
      </c>
      <c r="DM39" s="1597">
        <v>2201.94</v>
      </c>
      <c r="DN39" s="1597">
        <v>0</v>
      </c>
      <c r="DO39" s="1597">
        <f t="shared" si="413"/>
        <v>1873.5364866707127</v>
      </c>
      <c r="DP39" s="1597">
        <f>SUM(DP38*DP40)</f>
        <v>1873.5364866707127</v>
      </c>
      <c r="DQ39" s="1597">
        <f>SUM(DQ38*DQ40)</f>
        <v>0</v>
      </c>
      <c r="DR39" s="1597">
        <f t="shared" si="414"/>
        <v>580.34500000000003</v>
      </c>
      <c r="DS39" s="1597">
        <v>580.34500000000003</v>
      </c>
      <c r="DT39" s="1597">
        <v>0</v>
      </c>
      <c r="DU39" s="1597">
        <f t="shared" si="415"/>
        <v>931.00199999999995</v>
      </c>
      <c r="DV39" s="1597">
        <v>931.00199999999995</v>
      </c>
      <c r="DW39" s="1597">
        <v>0</v>
      </c>
      <c r="DX39" s="1597">
        <f t="shared" si="416"/>
        <v>1299.6400000000001</v>
      </c>
      <c r="DY39" s="1597">
        <v>1299.6400000000001</v>
      </c>
      <c r="DZ39" s="1597">
        <v>0</v>
      </c>
      <c r="EA39" s="2343">
        <f t="shared" si="417"/>
        <v>2487.52</v>
      </c>
      <c r="EB39" s="2343">
        <v>2487.52</v>
      </c>
      <c r="EC39" s="2343">
        <v>0</v>
      </c>
      <c r="ED39" s="3959">
        <f t="shared" si="418"/>
        <v>0</v>
      </c>
      <c r="EE39" s="3959">
        <f>SUM(EE38*EE40)</f>
        <v>0</v>
      </c>
      <c r="EF39" s="3959">
        <f>SUM(EF38*EF40)</f>
        <v>0</v>
      </c>
      <c r="EG39" s="2343">
        <f t="shared" si="419"/>
        <v>2487.52</v>
      </c>
      <c r="EH39" s="2343">
        <v>2487.52</v>
      </c>
      <c r="EI39" s="2343">
        <v>0</v>
      </c>
      <c r="EJ39" s="2343">
        <f t="shared" si="420"/>
        <v>2149.7110222616702</v>
      </c>
      <c r="EK39" s="2343">
        <v>2149.7110222616702</v>
      </c>
      <c r="EL39" s="2343">
        <v>0</v>
      </c>
      <c r="EM39" s="3662">
        <f t="shared" si="421"/>
        <v>1052.6120000000001</v>
      </c>
      <c r="EN39" s="3662">
        <v>1052.6120000000001</v>
      </c>
      <c r="EO39" s="3662">
        <v>0</v>
      </c>
      <c r="EP39" s="3662">
        <f t="shared" si="422"/>
        <v>2219.1480000000001</v>
      </c>
      <c r="EQ39" s="3662">
        <v>2219.1480000000001</v>
      </c>
      <c r="ER39" s="3662">
        <v>0</v>
      </c>
    </row>
    <row r="40" spans="1:148" s="1731" customFormat="1" ht="21" customHeight="1" x14ac:dyDescent="0.2">
      <c r="A40" s="3199" t="str">
        <f>A31</f>
        <v>то же в %</v>
      </c>
      <c r="B40" s="3196"/>
      <c r="C40" s="1725"/>
      <c r="D40" s="1725"/>
      <c r="E40" s="1599">
        <f>E39/E38</f>
        <v>0.25785357961439936</v>
      </c>
      <c r="F40" s="1599">
        <f t="shared" ref="F40:Z40" si="429">F39/F38</f>
        <v>1.0041591406545833</v>
      </c>
      <c r="G40" s="1599">
        <f t="shared" si="429"/>
        <v>0.30199999999999999</v>
      </c>
      <c r="H40" s="1599"/>
      <c r="I40" s="1599">
        <f t="shared" si="429"/>
        <v>0.30199999999999999</v>
      </c>
      <c r="J40" s="1599">
        <f t="shared" si="429"/>
        <v>0.32384886743408836</v>
      </c>
      <c r="K40" s="1599">
        <f t="shared" si="429"/>
        <v>0.29079096962806561</v>
      </c>
      <c r="L40" s="1599">
        <f t="shared" si="429"/>
        <v>0.29123422929237519</v>
      </c>
      <c r="M40" s="1599">
        <f t="shared" si="429"/>
        <v>0.96435175262375905</v>
      </c>
      <c r="N40" s="1599">
        <f t="shared" si="429"/>
        <v>0.30199999999999999</v>
      </c>
      <c r="O40" s="1599">
        <f t="shared" si="429"/>
        <v>1</v>
      </c>
      <c r="P40" s="1599">
        <f t="shared" si="429"/>
        <v>0.30199999999999999</v>
      </c>
      <c r="Q40" s="1599">
        <f t="shared" si="429"/>
        <v>1.0000000000000002</v>
      </c>
      <c r="R40" s="1599">
        <f t="shared" si="429"/>
        <v>1.0369660212461387</v>
      </c>
      <c r="S40" s="1599">
        <f t="shared" si="429"/>
        <v>0.30200887235814877</v>
      </c>
      <c r="T40" s="1599"/>
      <c r="U40" s="1599">
        <f t="shared" si="429"/>
        <v>0.29843167332257814</v>
      </c>
      <c r="V40" s="1599"/>
      <c r="W40" s="1599">
        <f t="shared" si="429"/>
        <v>0.30200056062908481</v>
      </c>
      <c r="X40" s="1599"/>
      <c r="Y40" s="1599">
        <f t="shared" si="429"/>
        <v>0.29843167332257814</v>
      </c>
      <c r="Z40" s="1599">
        <f t="shared" si="429"/>
        <v>0.29843167332257814</v>
      </c>
      <c r="AA40" s="1599"/>
      <c r="AB40" s="1599">
        <f t="shared" ref="AB40:AC40" si="430">AB39/AB38</f>
        <v>0.29797441364605542</v>
      </c>
      <c r="AC40" s="1599">
        <f t="shared" si="430"/>
        <v>0.29797441364605542</v>
      </c>
      <c r="AD40" s="1599"/>
      <c r="AE40" s="1599">
        <v>0.30099999999999999</v>
      </c>
      <c r="AF40" s="1727"/>
      <c r="AG40" s="1599">
        <v>0.30099999999999999</v>
      </c>
      <c r="AH40" s="1599">
        <v>0</v>
      </c>
      <c r="AI40" s="1599">
        <f>AI39/AI38</f>
        <v>0.29843167332257814</v>
      </c>
      <c r="AJ40" s="1727"/>
      <c r="AK40" s="1599">
        <f>AK39/AK38</f>
        <v>0.29843167332257814</v>
      </c>
      <c r="AL40" s="1599"/>
      <c r="AM40" s="3417" t="e">
        <f>#REF!</f>
        <v>#REF!</v>
      </c>
      <c r="AN40" s="3417">
        <v>0</v>
      </c>
      <c r="AO40" s="3417" t="e">
        <f t="shared" si="31"/>
        <v>#REF!</v>
      </c>
      <c r="AP40" s="1599">
        <f>AP39/AP38</f>
        <v>0</v>
      </c>
      <c r="AQ40" s="1599">
        <f t="shared" ref="AQ40" si="431">AQ39/AQ38</f>
        <v>0</v>
      </c>
      <c r="AR40" s="1599"/>
      <c r="AS40" s="1599">
        <f>AS39/AS38</f>
        <v>0</v>
      </c>
      <c r="AT40" s="1599">
        <f t="shared" ref="AT40" si="432">AT39/AT38</f>
        <v>0</v>
      </c>
      <c r="AU40" s="1599"/>
      <c r="AV40" s="1599">
        <f>SUM(AV39/AV38)</f>
        <v>0.30099999999999999</v>
      </c>
      <c r="AW40" s="1599">
        <f t="shared" si="427"/>
        <v>1.0086060794044662</v>
      </c>
      <c r="AX40" s="1599">
        <f>SUM(AX39/AX38)</f>
        <v>0.30099999999999999</v>
      </c>
      <c r="AY40" s="1599"/>
      <c r="AZ40" s="1599">
        <f>Y40</f>
        <v>0.29843167332257814</v>
      </c>
      <c r="BA40" s="1591">
        <f t="shared" si="36"/>
        <v>1</v>
      </c>
      <c r="BB40" s="1599">
        <f>Z40</f>
        <v>0.29843167332257814</v>
      </c>
      <c r="BC40" s="1599"/>
      <c r="BD40" s="1599">
        <f>BD39/BD38</f>
        <v>0.30514630641731849</v>
      </c>
      <c r="BE40" s="1599">
        <f t="shared" ref="BE40" si="433">BE39/BE38</f>
        <v>0.30514630641731849</v>
      </c>
      <c r="BF40" s="1599">
        <v>0</v>
      </c>
      <c r="BG40" s="1599">
        <f>BG39/BG38</f>
        <v>0.30440239488945464</v>
      </c>
      <c r="BH40" s="1599">
        <f t="shared" ref="BH40" si="434">BH39/BH38</f>
        <v>0.30440239488945464</v>
      </c>
      <c r="BI40" s="1599">
        <v>0</v>
      </c>
      <c r="BJ40" s="1599">
        <f>BJ39/BJ38</f>
        <v>0.29839916089206803</v>
      </c>
      <c r="BK40" s="1599">
        <f t="shared" ref="BK40" si="435">BK39/BK38</f>
        <v>0.29839916089206803</v>
      </c>
      <c r="BL40" s="1599">
        <v>0</v>
      </c>
      <c r="BM40" s="1599">
        <f>BM39/BM38</f>
        <v>0.30312708400437327</v>
      </c>
      <c r="BN40" s="1599">
        <f t="shared" ref="BN40" si="436">BN39/BN38</f>
        <v>0.30312708400437327</v>
      </c>
      <c r="BO40" s="1599">
        <v>0</v>
      </c>
      <c r="BP40" s="1599">
        <f>BP39/BP38</f>
        <v>0.29839956239702614</v>
      </c>
      <c r="BQ40" s="1599">
        <f t="shared" ref="BQ40" si="437">BQ39/BQ38</f>
        <v>0.29839956239702614</v>
      </c>
      <c r="BR40" s="1599">
        <v>0</v>
      </c>
      <c r="BS40" s="1599">
        <f>BS39/BS38</f>
        <v>0.30440239488945464</v>
      </c>
      <c r="BT40" s="1599">
        <f t="shared" ref="BT40" si="438">BT39/BT38</f>
        <v>0.30440239488945464</v>
      </c>
      <c r="BU40" s="1599">
        <v>0</v>
      </c>
      <c r="BV40" s="1599">
        <f>SUM(BM40)</f>
        <v>0.30312708400437327</v>
      </c>
      <c r="BW40" s="1599">
        <f>SUM(BV40)</f>
        <v>0.30312708400437327</v>
      </c>
      <c r="BX40" s="1599">
        <v>0</v>
      </c>
      <c r="BY40" s="3312"/>
      <c r="BZ40" s="3736"/>
      <c r="CA40" s="3736"/>
      <c r="CB40" s="3736"/>
      <c r="CC40" s="3736"/>
      <c r="CD40" s="3736"/>
      <c r="CE40" s="3736"/>
      <c r="CF40" s="3736"/>
      <c r="CG40" s="3736"/>
      <c r="CH40" s="3736"/>
      <c r="CI40" s="3736"/>
      <c r="CJ40" s="3736"/>
      <c r="CK40" s="1599">
        <f>SUM(BS40)</f>
        <v>0.30440239488945464</v>
      </c>
      <c r="CL40" s="1599">
        <f>SUM(CK40)</f>
        <v>0.30440239488945464</v>
      </c>
      <c r="CM40" s="1599">
        <v>0</v>
      </c>
      <c r="CN40" s="1599">
        <f>SUM(CN39/CN38)</f>
        <v>0.30277984560945514</v>
      </c>
      <c r="CO40" s="1599">
        <f t="shared" ref="CO40:CR40" si="439">SUM(CO39/CO38)</f>
        <v>0.30277984560945514</v>
      </c>
      <c r="CP40" s="1599">
        <v>0</v>
      </c>
      <c r="CQ40" s="1599">
        <f t="shared" si="439"/>
        <v>0.30452283439519673</v>
      </c>
      <c r="CR40" s="1599">
        <f t="shared" si="439"/>
        <v>0.30452283439519673</v>
      </c>
      <c r="CS40" s="1599">
        <v>0</v>
      </c>
      <c r="CT40" s="1599">
        <f t="shared" ref="CT40:CU40" si="440">SUM(CT39/CT38)</f>
        <v>0.30457031897511194</v>
      </c>
      <c r="CU40" s="1599">
        <f t="shared" si="440"/>
        <v>0.30457031897511194</v>
      </c>
      <c r="CV40" s="1599">
        <v>0</v>
      </c>
      <c r="CW40" s="1599">
        <f t="shared" ref="CW40:CX40" si="441">SUM(CW39/CW38)</f>
        <v>0.30440032165148007</v>
      </c>
      <c r="CX40" s="1599">
        <f t="shared" si="441"/>
        <v>0.30440032165148007</v>
      </c>
      <c r="CY40" s="1599">
        <v>0</v>
      </c>
      <c r="CZ40" s="1599">
        <f>SUM(BS40)</f>
        <v>0.30440239488945464</v>
      </c>
      <c r="DA40" s="1599">
        <f t="shared" ref="DA40:DB40" si="442">SUM(BT40)</f>
        <v>0.30440239488945464</v>
      </c>
      <c r="DB40" s="1599">
        <f t="shared" si="442"/>
        <v>0</v>
      </c>
      <c r="DC40" s="1599">
        <f>SUM(DC39/DC38)</f>
        <v>0.30436605752835644</v>
      </c>
      <c r="DD40" s="1599">
        <f t="shared" ref="DD40" si="443">SUM(DD39/DD38)</f>
        <v>0.30436605752835644</v>
      </c>
      <c r="DE40" s="1599">
        <v>0</v>
      </c>
      <c r="DF40" s="1599">
        <f t="shared" ref="DF40:DG40" si="444">SUM(DF39/DF38)</f>
        <v>0.30379219103525612</v>
      </c>
      <c r="DG40" s="1599">
        <f t="shared" si="444"/>
        <v>0.30379219103525612</v>
      </c>
      <c r="DH40" s="1599">
        <v>0</v>
      </c>
      <c r="DI40" s="1599">
        <f t="shared" ref="DI40:DJ40" si="445">SUM(DI39/DI38)</f>
        <v>0.30232663943003246</v>
      </c>
      <c r="DJ40" s="1599">
        <f t="shared" si="445"/>
        <v>0.30232663943003246</v>
      </c>
      <c r="DK40" s="1599">
        <v>0</v>
      </c>
      <c r="DL40" s="1599">
        <f t="shared" ref="DL40:DM40" si="446">SUM(DL39/DL38)</f>
        <v>0.30439929112812897</v>
      </c>
      <c r="DM40" s="1599">
        <f t="shared" si="446"/>
        <v>0.30439929112812897</v>
      </c>
      <c r="DN40" s="1599">
        <v>0</v>
      </c>
      <c r="DO40" s="1599">
        <f>SUM(BS40)</f>
        <v>0.30440239488945464</v>
      </c>
      <c r="DP40" s="1599">
        <f t="shared" ref="DP40" si="447">SUM(BT40)</f>
        <v>0.30440239488945464</v>
      </c>
      <c r="DQ40" s="1599">
        <f t="shared" ref="DQ40" si="448">SUM(BU40)</f>
        <v>0</v>
      </c>
      <c r="DR40" s="1599">
        <f t="shared" ref="DR40:DS40" si="449">SUM(DR39/DR38)</f>
        <v>0.30202391856446981</v>
      </c>
      <c r="DS40" s="1599">
        <f t="shared" si="449"/>
        <v>0.30202391856446981</v>
      </c>
      <c r="DT40" s="1599">
        <v>0</v>
      </c>
      <c r="DU40" s="1599">
        <f t="shared" ref="DU40:DV40" si="450">SUM(DU39/DU38)</f>
        <v>0.30192733652664311</v>
      </c>
      <c r="DV40" s="1599">
        <f t="shared" si="450"/>
        <v>0.30192733652664311</v>
      </c>
      <c r="DW40" s="1599">
        <v>0</v>
      </c>
      <c r="DX40" s="1599">
        <f t="shared" ref="DX40:DY40" si="451">SUM(DX39/DX38)</f>
        <v>0.30229528939998701</v>
      </c>
      <c r="DY40" s="1599">
        <f t="shared" si="451"/>
        <v>0.30229528939998701</v>
      </c>
      <c r="DZ40" s="1599">
        <v>0</v>
      </c>
      <c r="EA40" s="3690">
        <f t="shared" ref="EA40:EB40" si="452">SUM(EA39/EA38)</f>
        <v>0.30229958851711897</v>
      </c>
      <c r="EB40" s="3690">
        <f t="shared" si="452"/>
        <v>0.30229958851711897</v>
      </c>
      <c r="EC40" s="3690">
        <v>0</v>
      </c>
      <c r="ED40" s="3964">
        <f>SUM(CH40)</f>
        <v>0</v>
      </c>
      <c r="EE40" s="3964">
        <f t="shared" ref="EE40" si="453">SUM(CI40)</f>
        <v>0</v>
      </c>
      <c r="EF40" s="3964">
        <f t="shared" ref="EF40" si="454">SUM(CJ40)</f>
        <v>0</v>
      </c>
      <c r="EG40" s="3690">
        <f t="shared" ref="EG40:EH40" si="455">SUM(EG39/EG38)</f>
        <v>0.30229958851711897</v>
      </c>
      <c r="EH40" s="3690">
        <f t="shared" si="455"/>
        <v>0.30229958851711897</v>
      </c>
      <c r="EI40" s="3690">
        <v>0</v>
      </c>
      <c r="EJ40" s="3690">
        <f t="shared" ref="EJ40:EK40" si="456">SUM(EJ39/EJ38)</f>
        <v>0.30277984560945559</v>
      </c>
      <c r="EK40" s="3690">
        <f t="shared" si="456"/>
        <v>0.30277984560945559</v>
      </c>
      <c r="EL40" s="3690">
        <v>0</v>
      </c>
      <c r="EM40" s="3663">
        <f t="shared" ref="EM40:EN40" si="457">SUM(EM39/EM38)</f>
        <v>0.30422136288229551</v>
      </c>
      <c r="EN40" s="3663">
        <f t="shared" si="457"/>
        <v>0.30422136288229551</v>
      </c>
      <c r="EO40" s="3663">
        <v>0</v>
      </c>
      <c r="EP40" s="3663">
        <f t="shared" ref="EP40:EQ40" si="458">SUM(EP39/EP38)</f>
        <v>0.30281021615441389</v>
      </c>
      <c r="EQ40" s="3663">
        <f t="shared" si="458"/>
        <v>0.30281021615441389</v>
      </c>
      <c r="ER40" s="3663">
        <v>0</v>
      </c>
    </row>
    <row r="41" spans="1:148" ht="21" customHeight="1" x14ac:dyDescent="0.2">
      <c r="A41" s="3214" t="s">
        <v>6</v>
      </c>
      <c r="B41" s="3674">
        <v>978.6</v>
      </c>
      <c r="C41" s="3193">
        <v>825.2</v>
      </c>
      <c r="D41" s="1725">
        <f t="shared" si="0"/>
        <v>84.32454526875128</v>
      </c>
      <c r="E41" s="3193">
        <v>1695.7</v>
      </c>
      <c r="F41" s="1725">
        <f t="shared" si="368"/>
        <v>205.48957828405236</v>
      </c>
      <c r="G41" s="3193">
        <f>'цех стоки 2023'!G45-стоки!G16-стоки!G26-стоки!G33</f>
        <v>2385.1000000000008</v>
      </c>
      <c r="H41" s="1725">
        <f t="shared" si="2"/>
        <v>140.65577637553815</v>
      </c>
      <c r="I41" s="1597">
        <v>2191.1</v>
      </c>
      <c r="J41" s="1597">
        <v>1084.5</v>
      </c>
      <c r="K41" s="1597">
        <f>'цех стоки 2023'!K50</f>
        <v>1485.9600740438873</v>
      </c>
      <c r="L41" s="1597">
        <f>'цех стоки 2023'!L50</f>
        <v>2185.1999999999998</v>
      </c>
      <c r="M41" s="1600">
        <f t="shared" si="25"/>
        <v>91.618800050312316</v>
      </c>
      <c r="N41" s="1597">
        <f>'цех стоки 2023'!N50</f>
        <v>3571.6000000000022</v>
      </c>
      <c r="O41" s="1600">
        <f t="shared" si="26"/>
        <v>163.00488339190372</v>
      </c>
      <c r="P41" s="1597">
        <v>2717.2</v>
      </c>
      <c r="Q41" s="1600">
        <f t="shared" si="27"/>
        <v>124.01077084569394</v>
      </c>
      <c r="R41" s="1600">
        <f t="shared" si="281"/>
        <v>124.34559765696504</v>
      </c>
      <c r="S41" s="1597">
        <v>2999.5</v>
      </c>
      <c r="T41" s="1597"/>
      <c r="U41" s="1597">
        <v>1817.5</v>
      </c>
      <c r="V41" s="1597"/>
      <c r="W41" s="1597">
        <v>3828.5</v>
      </c>
      <c r="X41" s="1597"/>
      <c r="Y41" s="1597">
        <f>'цех стоки 2023'!X50</f>
        <v>2844.973155291787</v>
      </c>
      <c r="Z41" s="1597">
        <f t="shared" si="393"/>
        <v>2844.973155291787</v>
      </c>
      <c r="AA41" s="1597"/>
      <c r="AB41" s="1597">
        <f>'цех стоки 2023'!AA50</f>
        <v>2277.1999999999998</v>
      </c>
      <c r="AC41" s="1597">
        <f t="shared" ref="AC41" si="459">AB41</f>
        <v>2277.1999999999998</v>
      </c>
      <c r="AD41" s="1597">
        <v>0</v>
      </c>
      <c r="AE41" s="1597">
        <v>2622.51</v>
      </c>
      <c r="AF41" s="1597">
        <f t="shared" si="29"/>
        <v>0.92180483148742742</v>
      </c>
      <c r="AG41" s="1597">
        <v>2622.51</v>
      </c>
      <c r="AH41" s="1597">
        <v>0</v>
      </c>
      <c r="AI41" s="1597">
        <f>'цех стоки 2023'!AC50</f>
        <v>2687.5084197683254</v>
      </c>
      <c r="AJ41" s="1597">
        <f t="shared" si="30"/>
        <v>0.94465159179777514</v>
      </c>
      <c r="AK41" s="1597">
        <f>SUM('цех стоки 2023'!X113)</f>
        <v>2687.5084197683254</v>
      </c>
      <c r="AL41" s="1597">
        <f>SUM('цех стоки 2023'!Y113)</f>
        <v>0</v>
      </c>
      <c r="AM41" s="3682" t="e">
        <f>#REF!</f>
        <v>#REF!</v>
      </c>
      <c r="AN41" s="3682">
        <v>0</v>
      </c>
      <c r="AO41" s="3682" t="e">
        <f t="shared" si="31"/>
        <v>#REF!</v>
      </c>
      <c r="AP41" s="1597">
        <f>SUM('цех стоки 2023'!AE50)</f>
        <v>1242.03</v>
      </c>
      <c r="AQ41" s="1597">
        <f>SUM(AP41)</f>
        <v>1242.03</v>
      </c>
      <c r="AR41" s="1597">
        <v>0</v>
      </c>
      <c r="AS41" s="1597">
        <f>SUM('цех стоки 2023'!AF50)</f>
        <v>1801.13</v>
      </c>
      <c r="AT41" s="1597">
        <f>SUM(AS41)</f>
        <v>1801.13</v>
      </c>
      <c r="AU41" s="1597">
        <v>0</v>
      </c>
      <c r="AV41" s="1597">
        <v>3469.75</v>
      </c>
      <c r="AW41" s="1600">
        <f>SUM(AV41/AI41)</f>
        <v>1.2910657226142224</v>
      </c>
      <c r="AX41" s="1597">
        <f>SUM(AV41)</f>
        <v>3469.75</v>
      </c>
      <c r="AY41" s="1597">
        <v>0</v>
      </c>
      <c r="AZ41" s="1597">
        <f>SUM('цех стоки 2023'!AH50)</f>
        <v>2655.1329761606248</v>
      </c>
      <c r="BA41" s="1591">
        <f t="shared" si="36"/>
        <v>0.9879533610501241</v>
      </c>
      <c r="BB41" s="1597">
        <f>SUM(AZ41)</f>
        <v>2655.1329761606248</v>
      </c>
      <c r="BC41" s="1597">
        <v>0</v>
      </c>
      <c r="BD41" s="1597">
        <f t="shared" si="301"/>
        <v>2518.06</v>
      </c>
      <c r="BE41" s="1597">
        <v>2518.06</v>
      </c>
      <c r="BF41" s="1597">
        <v>0</v>
      </c>
      <c r="BG41" s="1597">
        <f t="shared" ref="BG41" si="460">BH41+BI41</f>
        <v>2351.98</v>
      </c>
      <c r="BH41" s="1597">
        <v>2351.98</v>
      </c>
      <c r="BI41" s="1597">
        <v>0</v>
      </c>
      <c r="BJ41" s="1597">
        <f t="shared" ref="BJ41" si="461">BK41+BL41</f>
        <v>2438.5</v>
      </c>
      <c r="BK41" s="1597">
        <v>2438.5</v>
      </c>
      <c r="BL41" s="1597">
        <v>0</v>
      </c>
      <c r="BM41" s="1597">
        <f t="shared" ref="BM41" si="462">BN41+BO41</f>
        <v>2817.58</v>
      </c>
      <c r="BN41" s="1597">
        <v>2817.58</v>
      </c>
      <c r="BO41" s="1597">
        <v>0</v>
      </c>
      <c r="BP41" s="1597">
        <f t="shared" ref="BP41" si="463">BQ41+BR41</f>
        <v>4059.34</v>
      </c>
      <c r="BQ41" s="1597">
        <v>4059.34</v>
      </c>
      <c r="BR41" s="1597">
        <v>0</v>
      </c>
      <c r="BS41" s="1597">
        <f t="shared" ref="BS41" si="464">BT41+BU41</f>
        <v>3143.3525997466791</v>
      </c>
      <c r="BT41" s="1597">
        <f>'цех стоки 2023'!AN50</f>
        <v>3143.3525997466791</v>
      </c>
      <c r="BU41" s="1597">
        <v>0</v>
      </c>
      <c r="BV41" s="1597">
        <f t="shared" ref="BV41" si="465">BW41+BX41</f>
        <v>3804.9845741719278</v>
      </c>
      <c r="BW41" s="1597">
        <f>SUM('цех стоки 2023'!AO50)</f>
        <v>3804.9845741719278</v>
      </c>
      <c r="BX41" s="1597">
        <v>0</v>
      </c>
      <c r="BY41" s="3675" t="str">
        <f>BY33</f>
        <v>Приложение</v>
      </c>
      <c r="BZ41" s="3735"/>
      <c r="CA41" s="3735"/>
      <c r="CB41" s="3735"/>
      <c r="CC41" s="3735"/>
      <c r="CD41" s="3735"/>
      <c r="CE41" s="3735"/>
      <c r="CF41" s="3735"/>
      <c r="CG41" s="3735"/>
      <c r="CH41" s="3735"/>
      <c r="CI41" s="3735"/>
      <c r="CJ41" s="3735"/>
      <c r="CK41" s="1597">
        <f t="shared" ref="CK41" si="466">CL41+CM41</f>
        <v>3205.2766459616873</v>
      </c>
      <c r="CL41" s="1597">
        <f>SUM('цех стоки 2023'!AP50)</f>
        <v>3205.2766459616873</v>
      </c>
      <c r="CM41" s="1597">
        <v>0</v>
      </c>
      <c r="CN41" s="1597">
        <f t="shared" ref="CN41" si="467">CO41+CP41</f>
        <v>1313.7950000000001</v>
      </c>
      <c r="CO41" s="1597">
        <f>SUM('цех стоки 2023'!AQ50)</f>
        <v>1313.7950000000001</v>
      </c>
      <c r="CP41" s="1597">
        <v>0</v>
      </c>
      <c r="CQ41" s="1597">
        <f t="shared" ref="CQ41" si="468">CR41+CS41</f>
        <v>2052.5549999999998</v>
      </c>
      <c r="CR41" s="1597">
        <f>SUM('цех стоки 2023'!AR50)</f>
        <v>2052.5549999999998</v>
      </c>
      <c r="CS41" s="1597">
        <v>0</v>
      </c>
      <c r="CT41" s="1597">
        <f t="shared" ref="CT41" si="469">CU41+CV41</f>
        <v>2902.72</v>
      </c>
      <c r="CU41" s="1597">
        <f>SUM('цех стоки 2023'!AS50)</f>
        <v>2902.72</v>
      </c>
      <c r="CV41" s="1597">
        <v>0</v>
      </c>
      <c r="CW41" s="1597">
        <f t="shared" ref="CW41" si="470">CX41+CY41</f>
        <v>4257.356077977156</v>
      </c>
      <c r="CX41" s="1597">
        <f>SUM('цех стоки 2023'!AT50)</f>
        <v>4257.356077977156</v>
      </c>
      <c r="CY41" s="1597">
        <v>0</v>
      </c>
      <c r="CZ41" s="1597">
        <f t="shared" ref="CZ41" si="471">DA41+DB41</f>
        <v>4428.1645146239916</v>
      </c>
      <c r="DA41" s="1597">
        <f>SUM('цех стоки 2023'!AU50)</f>
        <v>4428.1645146239916</v>
      </c>
      <c r="DB41" s="1597">
        <v>0</v>
      </c>
      <c r="DC41" s="1597">
        <f t="shared" ref="DC41" si="472">DD41+DE41</f>
        <v>1701.36</v>
      </c>
      <c r="DD41" s="1597">
        <f>SUM('цех стоки 2023'!AY50)</f>
        <v>1701.36</v>
      </c>
      <c r="DE41" s="1597">
        <v>0</v>
      </c>
      <c r="DF41" s="1597">
        <f t="shared" ref="DF41" si="473">DG41+DH41</f>
        <v>2564.86</v>
      </c>
      <c r="DG41" s="1597">
        <f>SUM('цех стоки 2023'!AZ50)</f>
        <v>2564.86</v>
      </c>
      <c r="DH41" s="1597">
        <v>0</v>
      </c>
      <c r="DI41" s="1597">
        <f t="shared" ref="DI41" si="474">DJ41+DK41</f>
        <v>3373.78</v>
      </c>
      <c r="DJ41" s="1597">
        <f>SUM('цех стоки 2023'!BA50)</f>
        <v>3373.78</v>
      </c>
      <c r="DK41" s="1597">
        <v>0</v>
      </c>
      <c r="DL41" s="1597">
        <f t="shared" ref="DL41" si="475">DM41+DN41</f>
        <v>5272.2261803672527</v>
      </c>
      <c r="DM41" s="1597">
        <f>SUM('цех стоки 2023'!BB50)</f>
        <v>5272.2261803672527</v>
      </c>
      <c r="DN41" s="1597">
        <v>0</v>
      </c>
      <c r="DO41" s="1597">
        <f t="shared" ref="DO41" si="476">DP41+DQ41</f>
        <v>5247.9410184170556</v>
      </c>
      <c r="DP41" s="1597">
        <f>SUM('цех стоки 2023'!BC50)</f>
        <v>5247.9410184170556</v>
      </c>
      <c r="DQ41" s="1597">
        <v>0</v>
      </c>
      <c r="DR41" s="1597">
        <f t="shared" ref="DR41" si="477">DS41+DT41</f>
        <v>2247.8200000000002</v>
      </c>
      <c r="DS41" s="1597">
        <f>SUM('цех стоки 2023'!BD50)</f>
        <v>2247.8200000000002</v>
      </c>
      <c r="DT41" s="1597">
        <v>0</v>
      </c>
      <c r="DU41" s="1597">
        <f t="shared" ref="DU41" si="478">DV41+DW41</f>
        <v>3227.83</v>
      </c>
      <c r="DV41" s="1597">
        <f>SUM('цех стоки 2023'!BE50)</f>
        <v>3227.83</v>
      </c>
      <c r="DW41" s="1597">
        <v>0</v>
      </c>
      <c r="DX41" s="1597">
        <f t="shared" ref="DX41" si="479">DY41+DZ41</f>
        <v>4136.7439999999997</v>
      </c>
      <c r="DY41" s="1597">
        <f>SUM('цех стоки 2023'!BF50)</f>
        <v>4136.7439999999997</v>
      </c>
      <c r="DZ41" s="1597">
        <v>0</v>
      </c>
      <c r="EA41" s="2343">
        <f t="shared" ref="EA41" si="480">EB41+EC41</f>
        <v>6208.3762502704994</v>
      </c>
      <c r="EB41" s="2343">
        <f>SUM('цех стоки 2023'!BG50)</f>
        <v>6208.3762502704994</v>
      </c>
      <c r="EC41" s="2343">
        <v>0</v>
      </c>
      <c r="ED41" s="3959">
        <f t="shared" ref="ED41" si="481">EE41+EF41</f>
        <v>0</v>
      </c>
      <c r="EE41" s="3959">
        <f>SUM('цех стоки 2023'!BS50)</f>
        <v>0</v>
      </c>
      <c r="EF41" s="3959">
        <v>0</v>
      </c>
      <c r="EG41" s="2343">
        <f t="shared" ref="EG41" si="482">EH41+EI41</f>
        <v>6208.3762502704994</v>
      </c>
      <c r="EH41" s="2343">
        <f>SUM('цех стоки 2023'!BG50)</f>
        <v>6208.3762502704994</v>
      </c>
      <c r="EI41" s="2343">
        <v>0</v>
      </c>
      <c r="EJ41" s="2343">
        <f t="shared" ref="EJ41" si="483">EK41+EL41</f>
        <v>6500.6434339016896</v>
      </c>
      <c r="EK41" s="2343">
        <f>SUM('цех стоки 2023'!BH50)</f>
        <v>6500.6434339016896</v>
      </c>
      <c r="EL41" s="2343">
        <v>0</v>
      </c>
      <c r="EM41" s="3662">
        <f t="shared" ref="EM41" si="484">EN41+EO41</f>
        <v>2241.4140000000002</v>
      </c>
      <c r="EN41" s="3662">
        <f>SUM('цех стоки 2023'!BI50)</f>
        <v>2241.4140000000002</v>
      </c>
      <c r="EO41" s="3662">
        <v>0</v>
      </c>
      <c r="EP41" s="3662">
        <f t="shared" ref="EP41" si="485">EQ41+ER41</f>
        <v>4383.9399999999996</v>
      </c>
      <c r="EQ41" s="3662">
        <f>SUM('цех стоки 2023'!BJ50)</f>
        <v>4383.9399999999996</v>
      </c>
      <c r="ER41" s="3662">
        <v>0</v>
      </c>
    </row>
    <row r="42" spans="1:148" s="1920" customFormat="1" ht="21" customHeight="1" x14ac:dyDescent="0.2">
      <c r="A42" s="3320" t="s">
        <v>10</v>
      </c>
      <c r="B42" s="1722">
        <v>87.2</v>
      </c>
      <c r="C42" s="1723">
        <v>78.3</v>
      </c>
      <c r="D42" s="1724">
        <f t="shared" si="0"/>
        <v>89.793577981651367</v>
      </c>
      <c r="E42" s="1723">
        <v>159.30000000000001</v>
      </c>
      <c r="F42" s="1724">
        <f t="shared" si="368"/>
        <v>203.44827586206898</v>
      </c>
      <c r="G42" s="1723">
        <v>151.1</v>
      </c>
      <c r="H42" s="1724">
        <f t="shared" si="2"/>
        <v>94.852479598242297</v>
      </c>
      <c r="I42" s="3682">
        <v>217.2</v>
      </c>
      <c r="J42" s="3682">
        <v>72.400000000000006</v>
      </c>
      <c r="K42" s="3682">
        <v>258.60000000000002</v>
      </c>
      <c r="L42" s="3682">
        <f>L43+L44</f>
        <v>338.40000000000003</v>
      </c>
      <c r="M42" s="1728">
        <f t="shared" si="25"/>
        <v>223.95764394440772</v>
      </c>
      <c r="N42" s="3682">
        <v>250</v>
      </c>
      <c r="O42" s="1728">
        <f t="shared" si="26"/>
        <v>115.10128913443832</v>
      </c>
      <c r="P42" s="3682">
        <f>227.84+P46</f>
        <v>1927.1399999999999</v>
      </c>
      <c r="Q42" s="1728">
        <f t="shared" si="27"/>
        <v>887.26519337016578</v>
      </c>
      <c r="R42" s="1728">
        <f t="shared" si="281"/>
        <v>569.48581560283685</v>
      </c>
      <c r="S42" s="3682">
        <f>1927.14</f>
        <v>1927.14</v>
      </c>
      <c r="T42" s="3682">
        <v>0</v>
      </c>
      <c r="U42" s="3682">
        <f>U43+U44+U46</f>
        <v>188.8</v>
      </c>
      <c r="V42" s="3682"/>
      <c r="W42" s="3682">
        <f>W43+W44+W46</f>
        <v>2157</v>
      </c>
      <c r="X42" s="3682"/>
      <c r="Y42" s="3682">
        <f t="shared" ref="Y42:AL42" si="486">Y43+Y44+Y46</f>
        <v>1927.84</v>
      </c>
      <c r="Z42" s="3682">
        <f t="shared" si="486"/>
        <v>1927.04</v>
      </c>
      <c r="AA42" s="3682">
        <f t="shared" si="486"/>
        <v>0.8</v>
      </c>
      <c r="AB42" s="3682">
        <f t="shared" ref="AB42:AD42" si="487">AB43+AB44+AB46</f>
        <v>1970.4</v>
      </c>
      <c r="AC42" s="3682">
        <f t="shared" si="487"/>
        <v>1969.1630113342155</v>
      </c>
      <c r="AD42" s="3682">
        <f t="shared" si="487"/>
        <v>1.2369886657844305</v>
      </c>
      <c r="AE42" s="3682">
        <v>1927.84</v>
      </c>
      <c r="AF42" s="3682">
        <f t="shared" si="29"/>
        <v>1</v>
      </c>
      <c r="AG42" s="3682">
        <v>1927.04</v>
      </c>
      <c r="AH42" s="3682">
        <v>0.8</v>
      </c>
      <c r="AI42" s="3682">
        <f t="shared" si="486"/>
        <v>1927.84</v>
      </c>
      <c r="AJ42" s="3682">
        <f t="shared" si="30"/>
        <v>1</v>
      </c>
      <c r="AK42" s="3682">
        <f t="shared" si="486"/>
        <v>1927.04</v>
      </c>
      <c r="AL42" s="3682">
        <f t="shared" si="486"/>
        <v>0.8</v>
      </c>
      <c r="AM42" s="3682" t="e">
        <f>#REF!*Z42/Y42</f>
        <v>#REF!</v>
      </c>
      <c r="AN42" s="3682" t="e">
        <f>#REF!-AM42</f>
        <v>#REF!</v>
      </c>
      <c r="AO42" s="3682" t="e">
        <f t="shared" si="31"/>
        <v>#REF!</v>
      </c>
      <c r="AP42" s="3682">
        <f t="shared" ref="AP42:BC42" si="488">AP43+AP44+AP46</f>
        <v>209.94</v>
      </c>
      <c r="AQ42" s="3682">
        <f t="shared" si="488"/>
        <v>209.88906688054394</v>
      </c>
      <c r="AR42" s="3682">
        <f t="shared" si="488"/>
        <v>5.0933119456050946E-2</v>
      </c>
      <c r="AS42" s="3682">
        <f t="shared" si="488"/>
        <v>1548.24</v>
      </c>
      <c r="AT42" s="3682">
        <f t="shared" si="488"/>
        <v>1539.1544341812178</v>
      </c>
      <c r="AU42" s="3682">
        <f t="shared" si="488"/>
        <v>9.0855658187824382</v>
      </c>
      <c r="AV42" s="3682">
        <f t="shared" si="488"/>
        <v>2116.7799999999997</v>
      </c>
      <c r="AW42" s="1728">
        <f t="shared" si="64"/>
        <v>1.0980060585940741</v>
      </c>
      <c r="AX42" s="3682">
        <f t="shared" si="488"/>
        <v>2103.3719090123814</v>
      </c>
      <c r="AY42" s="3682">
        <f t="shared" si="488"/>
        <v>13.408090987618772</v>
      </c>
      <c r="AZ42" s="3682">
        <f t="shared" si="488"/>
        <v>1684.7746853333333</v>
      </c>
      <c r="BA42" s="1604">
        <f t="shared" si="36"/>
        <v>0.87391831548952892</v>
      </c>
      <c r="BB42" s="3682">
        <f t="shared" si="488"/>
        <v>1676.7703977774761</v>
      </c>
      <c r="BC42" s="3682">
        <f t="shared" si="488"/>
        <v>8.0042875558570898</v>
      </c>
      <c r="BD42" s="3682">
        <f t="shared" ref="BD42:BF42" si="489">BD43+BD44+BD46</f>
        <v>3612.81</v>
      </c>
      <c r="BE42" s="3682">
        <f t="shared" si="489"/>
        <v>3603.6299999999997</v>
      </c>
      <c r="BF42" s="3682">
        <f t="shared" si="489"/>
        <v>9.18</v>
      </c>
      <c r="BG42" s="3682">
        <f t="shared" ref="BG42:BI42" si="490">BG43+BG44+BG46</f>
        <v>1274.3600000000001</v>
      </c>
      <c r="BH42" s="3682">
        <f t="shared" si="490"/>
        <v>1266.71</v>
      </c>
      <c r="BI42" s="3682">
        <f t="shared" si="490"/>
        <v>7.6499999999999995</v>
      </c>
      <c r="BJ42" s="3682">
        <f t="shared" ref="BJ42:BL42" si="491">BJ43+BJ44+BJ46</f>
        <v>1513.4680000000001</v>
      </c>
      <c r="BK42" s="3682">
        <f t="shared" si="491"/>
        <v>1502.7640000000001</v>
      </c>
      <c r="BL42" s="3682">
        <f t="shared" si="491"/>
        <v>10.704000000000001</v>
      </c>
      <c r="BM42" s="3682">
        <f t="shared" ref="BM42:BO42" si="492">BM43+BM44+BM46</f>
        <v>1372.646</v>
      </c>
      <c r="BN42" s="3682">
        <f t="shared" si="492"/>
        <v>1364.6959999999999</v>
      </c>
      <c r="BO42" s="3682">
        <f t="shared" si="492"/>
        <v>7.95</v>
      </c>
      <c r="BP42" s="3682">
        <f t="shared" ref="BP42:BR42" si="493">BP43+BP44+BP46</f>
        <v>5916.76</v>
      </c>
      <c r="BQ42" s="3682">
        <f t="shared" si="493"/>
        <v>5882.2799999999988</v>
      </c>
      <c r="BR42" s="3682">
        <f t="shared" si="493"/>
        <v>34.480000000000004</v>
      </c>
      <c r="BS42" s="3682">
        <f t="shared" ref="BS42:BU42" si="494">BS43+BS44+BS46</f>
        <v>1009.6659076200001</v>
      </c>
      <c r="BT42" s="3682">
        <f t="shared" si="494"/>
        <v>1003.7495993986286</v>
      </c>
      <c r="BU42" s="3682">
        <f t="shared" si="494"/>
        <v>5.9163082213716169</v>
      </c>
      <c r="BV42" s="3682">
        <f t="shared" ref="BV42:BX42" si="495">BV43+BV44+BV46</f>
        <v>1015.2016110307974</v>
      </c>
      <c r="BW42" s="3682">
        <f t="shared" si="495"/>
        <v>1009.9095993986285</v>
      </c>
      <c r="BX42" s="3682">
        <f t="shared" si="495"/>
        <v>5.2920116321688591</v>
      </c>
      <c r="BY42" s="3169" t="s">
        <v>239</v>
      </c>
      <c r="BZ42" s="3739"/>
      <c r="CA42" s="3739"/>
      <c r="CB42" s="3739"/>
      <c r="CC42" s="3739"/>
      <c r="CD42" s="3739"/>
      <c r="CE42" s="3739"/>
      <c r="CF42" s="3739"/>
      <c r="CG42" s="3739"/>
      <c r="CH42" s="3739"/>
      <c r="CI42" s="3739"/>
      <c r="CJ42" s="3739"/>
      <c r="CK42" s="3682">
        <f t="shared" ref="CK42:CM42" si="496">CK43+CK44+CK46</f>
        <v>999.06410213079732</v>
      </c>
      <c r="CL42" s="3682">
        <f t="shared" si="496"/>
        <v>993.77209049862847</v>
      </c>
      <c r="CM42" s="3682">
        <f t="shared" si="496"/>
        <v>5.2920116321688591</v>
      </c>
      <c r="CN42" s="3682">
        <f t="shared" ref="CN42:CP42" si="497">CN43+CN44+CN46</f>
        <v>1128.57</v>
      </c>
      <c r="CO42" s="3682">
        <f t="shared" si="497"/>
        <v>1128.57</v>
      </c>
      <c r="CP42" s="3682">
        <f t="shared" si="497"/>
        <v>0</v>
      </c>
      <c r="CQ42" s="3682">
        <f t="shared" ref="CQ42:CS42" si="498">CQ43+CQ44+CQ46</f>
        <v>1694.01</v>
      </c>
      <c r="CR42" s="3682">
        <f t="shared" si="498"/>
        <v>1694.01</v>
      </c>
      <c r="CS42" s="3682">
        <f t="shared" si="498"/>
        <v>0</v>
      </c>
      <c r="CT42" s="3682">
        <f t="shared" ref="CT42:CV42" si="499">CT43+CT44+CT46</f>
        <v>2751.05</v>
      </c>
      <c r="CU42" s="3682">
        <f t="shared" si="499"/>
        <v>2751.05</v>
      </c>
      <c r="CV42" s="3682">
        <f t="shared" si="499"/>
        <v>0</v>
      </c>
      <c r="CW42" s="3682">
        <f t="shared" ref="CW42:CY42" si="500">CW43+CW44+CW46</f>
        <v>2756.342011632169</v>
      </c>
      <c r="CX42" s="3682">
        <f t="shared" si="500"/>
        <v>2751.05</v>
      </c>
      <c r="CY42" s="3682">
        <f t="shared" si="500"/>
        <v>5.2920116321688591</v>
      </c>
      <c r="CZ42" s="3682">
        <f t="shared" ref="CZ42:DB42" si="501">CZ43+CZ44+CZ46</f>
        <v>2345.44022</v>
      </c>
      <c r="DA42" s="3682">
        <f t="shared" si="501"/>
        <v>2345.44022</v>
      </c>
      <c r="DB42" s="3682">
        <f t="shared" si="501"/>
        <v>0</v>
      </c>
      <c r="DC42" s="3682">
        <f t="shared" ref="DC42:DQ42" si="502">DC43+DC44+DC46</f>
        <v>1372.3319999999999</v>
      </c>
      <c r="DD42" s="3682">
        <f t="shared" si="502"/>
        <v>1372.3319999999999</v>
      </c>
      <c r="DE42" s="3682">
        <f t="shared" si="502"/>
        <v>0</v>
      </c>
      <c r="DF42" s="3682">
        <f t="shared" si="502"/>
        <v>2055.6059999999998</v>
      </c>
      <c r="DG42" s="3682">
        <f t="shared" si="502"/>
        <v>2055.6059999999998</v>
      </c>
      <c r="DH42" s="3682">
        <f t="shared" si="502"/>
        <v>0</v>
      </c>
      <c r="DI42" s="3682">
        <f t="shared" si="502"/>
        <v>2660.1779999999999</v>
      </c>
      <c r="DJ42" s="3682">
        <f t="shared" si="502"/>
        <v>2660.1779999999999</v>
      </c>
      <c r="DK42" s="3682">
        <f t="shared" si="502"/>
        <v>0</v>
      </c>
      <c r="DL42" s="3682">
        <f t="shared" si="502"/>
        <v>2718.5740000000001</v>
      </c>
      <c r="DM42" s="3682">
        <f t="shared" si="502"/>
        <v>2718.5740000000001</v>
      </c>
      <c r="DN42" s="3682">
        <f t="shared" si="502"/>
        <v>0</v>
      </c>
      <c r="DO42" s="3682">
        <f t="shared" si="502"/>
        <v>2707.2991499999998</v>
      </c>
      <c r="DP42" s="3682">
        <f t="shared" si="502"/>
        <v>2707.2991499999998</v>
      </c>
      <c r="DQ42" s="3682">
        <f t="shared" si="502"/>
        <v>0</v>
      </c>
      <c r="DR42" s="3682">
        <f t="shared" ref="DR42:DT42" si="503">DR43+DR44+DR46</f>
        <v>1283.4539800000002</v>
      </c>
      <c r="DS42" s="3682">
        <f t="shared" si="503"/>
        <v>1283.4539800000002</v>
      </c>
      <c r="DT42" s="3682">
        <f t="shared" si="503"/>
        <v>0</v>
      </c>
      <c r="DU42" s="3682">
        <f t="shared" ref="DU42:DW42" si="504">DU43+DU44+DU46</f>
        <v>1930.7335700000001</v>
      </c>
      <c r="DV42" s="3682">
        <f t="shared" si="504"/>
        <v>1930.7335700000001</v>
      </c>
      <c r="DW42" s="3682">
        <f t="shared" si="504"/>
        <v>0</v>
      </c>
      <c r="DX42" s="3682">
        <f>DX43+DX44+DX46+DX45</f>
        <v>5349.3708999999999</v>
      </c>
      <c r="DY42" s="3682">
        <f>DY43+DY44+DY46+DY45</f>
        <v>5349.3708999999999</v>
      </c>
      <c r="DZ42" s="3682">
        <f t="shared" ref="DZ42:EF42" si="505">DZ43+DZ44+DZ46</f>
        <v>0</v>
      </c>
      <c r="EA42" s="2346">
        <f>EA43+EA44+EA46+EA45</f>
        <v>4857.9588240000003</v>
      </c>
      <c r="EB42" s="2346">
        <f>EB43+EB44+EB46+EB45</f>
        <v>4857.9588240000003</v>
      </c>
      <c r="EC42" s="2346">
        <f t="shared" si="505"/>
        <v>0</v>
      </c>
      <c r="ED42" s="3960">
        <f t="shared" si="505"/>
        <v>0</v>
      </c>
      <c r="EE42" s="3960">
        <f t="shared" si="505"/>
        <v>0</v>
      </c>
      <c r="EF42" s="3960">
        <f t="shared" si="505"/>
        <v>0</v>
      </c>
      <c r="EG42" s="2346">
        <f>EG43+EG44+EG46+EG45</f>
        <v>4857.9588240000003</v>
      </c>
      <c r="EH42" s="2346">
        <f>EH43+EH44+EH46+EH45</f>
        <v>4857.9588240000003</v>
      </c>
      <c r="EI42" s="2346">
        <f t="shared" ref="EI42" si="506">EI43+EI44+EI46</f>
        <v>0</v>
      </c>
      <c r="EJ42" s="2346">
        <f>EJ43+EJ44+EJ46+EJ45</f>
        <v>3256.4037000000003</v>
      </c>
      <c r="EK42" s="2346">
        <f>EK43+EK44+EK46+EK45</f>
        <v>3256.4037000000003</v>
      </c>
      <c r="EL42" s="2346">
        <f t="shared" ref="EL42" si="507">EL43+EL44+EL46</f>
        <v>0</v>
      </c>
      <c r="EM42" s="4683">
        <f>EM43+EM44+EM46+EM45</f>
        <v>0</v>
      </c>
      <c r="EN42" s="4683">
        <f>EN43+EN44+EN46+EN45</f>
        <v>0</v>
      </c>
      <c r="EO42" s="4683">
        <f t="shared" ref="EO42" si="508">EO43+EO44+EO46</f>
        <v>0</v>
      </c>
      <c r="EP42" s="4683">
        <f>EP43+EP44+EP46+EP45</f>
        <v>0</v>
      </c>
      <c r="EQ42" s="4683">
        <f>EQ43+EQ44+EQ46+EQ45</f>
        <v>0</v>
      </c>
      <c r="ER42" s="4683">
        <f t="shared" ref="ER42" si="509">ER43+ER44+ER46</f>
        <v>0</v>
      </c>
    </row>
    <row r="43" spans="1:148" ht="21" customHeight="1" x14ac:dyDescent="0.2">
      <c r="A43" s="3199" t="s">
        <v>79</v>
      </c>
      <c r="B43" s="1722"/>
      <c r="C43" s="1723"/>
      <c r="D43" s="1725"/>
      <c r="E43" s="1723"/>
      <c r="F43" s="1724"/>
      <c r="G43" s="1723"/>
      <c r="H43" s="1725"/>
      <c r="I43" s="1597"/>
      <c r="J43" s="1597">
        <v>44.4</v>
      </c>
      <c r="K43" s="1597">
        <v>236.1</v>
      </c>
      <c r="L43" s="1597">
        <v>303.3</v>
      </c>
      <c r="M43" s="1728"/>
      <c r="N43" s="1597"/>
      <c r="O43" s="1600"/>
      <c r="P43" s="1597">
        <v>227.84</v>
      </c>
      <c r="Q43" s="1600"/>
      <c r="R43" s="1600"/>
      <c r="S43" s="1597">
        <v>227.84</v>
      </c>
      <c r="T43" s="1597"/>
      <c r="U43" s="1597">
        <v>138.5</v>
      </c>
      <c r="V43" s="1597"/>
      <c r="W43" s="1597">
        <v>418</v>
      </c>
      <c r="X43" s="1597"/>
      <c r="Y43" s="1597">
        <f>P43</f>
        <v>227.84</v>
      </c>
      <c r="Z43" s="1597">
        <f>Y43</f>
        <v>227.84</v>
      </c>
      <c r="AA43" s="1597">
        <v>0</v>
      </c>
      <c r="AB43" s="1597">
        <v>220.1</v>
      </c>
      <c r="AC43" s="1597">
        <f>AB43</f>
        <v>220.1</v>
      </c>
      <c r="AD43" s="1597">
        <v>0</v>
      </c>
      <c r="AE43" s="1597">
        <v>227.84</v>
      </c>
      <c r="AF43" s="1597">
        <f t="shared" si="29"/>
        <v>1</v>
      </c>
      <c r="AG43" s="1597">
        <v>227.84</v>
      </c>
      <c r="AH43" s="1597">
        <v>0</v>
      </c>
      <c r="AI43" s="1597">
        <f>Y43</f>
        <v>227.84</v>
      </c>
      <c r="AJ43" s="1597">
        <f t="shared" si="30"/>
        <v>1</v>
      </c>
      <c r="AK43" s="1597">
        <f>AI43</f>
        <v>227.84</v>
      </c>
      <c r="AL43" s="1597">
        <f>AA43*1.046</f>
        <v>0</v>
      </c>
      <c r="AM43" s="1597" t="e">
        <f>#REF!</f>
        <v>#REF!</v>
      </c>
      <c r="AN43" s="1597" t="e">
        <f>#REF!-AM43</f>
        <v>#REF!</v>
      </c>
      <c r="AO43" s="3682" t="e">
        <f t="shared" si="31"/>
        <v>#REF!</v>
      </c>
      <c r="AP43" s="1597">
        <v>201.14</v>
      </c>
      <c r="AQ43" s="1597">
        <f>SUM(AP43)</f>
        <v>201.14</v>
      </c>
      <c r="AR43" s="1597">
        <v>0</v>
      </c>
      <c r="AS43" s="1597">
        <v>300.83999999999997</v>
      </c>
      <c r="AT43" s="1597">
        <f>SUM(AS43)</f>
        <v>300.83999999999997</v>
      </c>
      <c r="AU43" s="1597">
        <v>0</v>
      </c>
      <c r="AV43" s="1597">
        <v>453.58</v>
      </c>
      <c r="AW43" s="1600">
        <f>SUM(AV43/AI43)</f>
        <v>1.9907830056179774</v>
      </c>
      <c r="AX43" s="1597">
        <f>SUM(AV43)</f>
        <v>453.58</v>
      </c>
      <c r="AY43" s="1597">
        <v>0</v>
      </c>
      <c r="AZ43" s="1597">
        <v>220.1</v>
      </c>
      <c r="BA43" s="1591">
        <f t="shared" si="36"/>
        <v>0.96602879213483139</v>
      </c>
      <c r="BB43" s="1597">
        <f>SUM(AZ43)</f>
        <v>220.1</v>
      </c>
      <c r="BC43" s="1597">
        <v>0</v>
      </c>
      <c r="BD43" s="1597">
        <f t="shared" si="301"/>
        <v>2252.29</v>
      </c>
      <c r="BE43" s="1597">
        <v>2252.29</v>
      </c>
      <c r="BF43" s="1597">
        <v>0</v>
      </c>
      <c r="BG43" s="1597">
        <f t="shared" ref="BG43:BG46" si="510">BH43+BI43</f>
        <v>1.4</v>
      </c>
      <c r="BH43" s="1597">
        <v>1.4</v>
      </c>
      <c r="BI43" s="1597">
        <v>0</v>
      </c>
      <c r="BJ43" s="1597">
        <f t="shared" ref="BJ43:BJ46" si="511">BK43+BL43</f>
        <v>152.738</v>
      </c>
      <c r="BK43" s="1597">
        <v>151.654</v>
      </c>
      <c r="BL43" s="1597">
        <v>1.0840000000000001</v>
      </c>
      <c r="BM43" s="1597">
        <f t="shared" ref="BM43:BM46" si="512">BN43+BO43</f>
        <v>2.726</v>
      </c>
      <c r="BN43" s="1597">
        <v>2.71</v>
      </c>
      <c r="BO43" s="1597">
        <v>1.6E-2</v>
      </c>
      <c r="BP43" s="1597">
        <f t="shared" ref="BP43:BP46" si="513">BQ43+BR43</f>
        <v>4637.42</v>
      </c>
      <c r="BQ43" s="1597">
        <v>4610.3999999999996</v>
      </c>
      <c r="BR43" s="1597">
        <v>27.02</v>
      </c>
      <c r="BS43" s="1597">
        <f t="shared" ref="BS43:BS46" si="514">BT43+BU43</f>
        <v>18.439999999999998</v>
      </c>
      <c r="BT43" s="1597">
        <f>НАЛОГИ!M27</f>
        <v>18.329999999999998</v>
      </c>
      <c r="BU43" s="1597">
        <f>НАЛОГИ!M35</f>
        <v>0.11</v>
      </c>
      <c r="BV43" s="1597">
        <f t="shared" ref="BV43:BV46" si="515">BW43+BX43</f>
        <v>19.169999999999998</v>
      </c>
      <c r="BW43" s="1597">
        <f>SUM(НВОС!H16)</f>
        <v>19.059999999999999</v>
      </c>
      <c r="BX43" s="1597">
        <f>SUM(НВОС!H17)</f>
        <v>0.11</v>
      </c>
      <c r="BY43" s="3675" t="s">
        <v>239</v>
      </c>
      <c r="BZ43" s="3735"/>
      <c r="CA43" s="3735"/>
      <c r="CB43" s="3735"/>
      <c r="CC43" s="3735"/>
      <c r="CD43" s="3735"/>
      <c r="CE43" s="3735"/>
      <c r="CF43" s="3735"/>
      <c r="CG43" s="3735"/>
      <c r="CH43" s="3735"/>
      <c r="CI43" s="3735"/>
      <c r="CJ43" s="3735"/>
      <c r="CK43" s="1597">
        <f>SUM(CL43:CM43)</f>
        <v>3.0324911000000001</v>
      </c>
      <c r="CL43" s="1597">
        <f>SUM(НАЛОГИ!T27)</f>
        <v>2.9224911000000002</v>
      </c>
      <c r="CM43" s="1597">
        <f>SUM(НАЛОГИ!T35)</f>
        <v>0.11</v>
      </c>
      <c r="CN43" s="1597">
        <f t="shared" ref="CN43:CN50" si="516">CO43+CP43</f>
        <v>17.12</v>
      </c>
      <c r="CO43" s="1597">
        <f>SUM(НВОС!J16)</f>
        <v>17.12</v>
      </c>
      <c r="CP43" s="1597">
        <f>SUM(НВОС!J17)</f>
        <v>0</v>
      </c>
      <c r="CQ43" s="1597">
        <f t="shared" ref="CQ43:CQ50" si="517">CR43+CS43</f>
        <v>25.67</v>
      </c>
      <c r="CR43" s="1597">
        <f>SUM(НВОС!K16)</f>
        <v>25.67</v>
      </c>
      <c r="CS43" s="1597">
        <f>SUM(НВОС!K17)</f>
        <v>0</v>
      </c>
      <c r="CT43" s="1597">
        <f t="shared" ref="CT43:CT50" si="518">CU43+CV43</f>
        <v>525.82000000000005</v>
      </c>
      <c r="CU43" s="1597">
        <f>SUM(НВОС!L10)</f>
        <v>525.82000000000005</v>
      </c>
      <c r="CV43" s="1597">
        <f>SUM(НВОС!N17)</f>
        <v>0</v>
      </c>
      <c r="CW43" s="1597">
        <f t="shared" ref="CW43:CW50" si="519">CX43+CY43</f>
        <v>525.93000000000006</v>
      </c>
      <c r="CX43" s="1597">
        <f>SUM(НВОС!M10)</f>
        <v>525.82000000000005</v>
      </c>
      <c r="CY43" s="1597">
        <f>SUM(НАЛОГИ!X35)</f>
        <v>0.11</v>
      </c>
      <c r="CZ43" s="1597">
        <f t="shared" ref="CZ43:CZ50" si="520">DA43+DB43</f>
        <v>525.82000000000005</v>
      </c>
      <c r="DA43" s="1597">
        <f>SUM(НВОС!N16)</f>
        <v>525.82000000000005</v>
      </c>
      <c r="DB43" s="1597">
        <f>SUM(НАЛОГИ!AA35)</f>
        <v>0</v>
      </c>
      <c r="DC43" s="1597">
        <f t="shared" ref="DC43:DC50" si="521">DD43+DE43</f>
        <v>262.89999999999998</v>
      </c>
      <c r="DD43" s="1597">
        <f>SUM(НВОС!O16)</f>
        <v>262.89999999999998</v>
      </c>
      <c r="DE43" s="1597">
        <f>SUM(НВОС!O17)</f>
        <v>0</v>
      </c>
      <c r="DF43" s="1597">
        <f t="shared" ref="DF43:DF50" si="522">DG43+DH43</f>
        <v>394.36</v>
      </c>
      <c r="DG43" s="1597">
        <f>SUM(НВОС!P16)</f>
        <v>394.36</v>
      </c>
      <c r="DH43" s="1597">
        <f>SUM(НВОС!Z17)</f>
        <v>0</v>
      </c>
      <c r="DI43" s="1597">
        <f t="shared" ref="DI43:DI50" si="523">DJ43+DK43</f>
        <v>467.42</v>
      </c>
      <c r="DJ43" s="1597">
        <f>SUM(НВОС!Q10)</f>
        <v>467.42</v>
      </c>
      <c r="DK43" s="1597">
        <f>SUM(НВОС!AC17)</f>
        <v>0</v>
      </c>
      <c r="DL43" s="1597">
        <f t="shared" ref="DL43:DL50" si="524">DM43+DN43</f>
        <v>525.82000000000005</v>
      </c>
      <c r="DM43" s="1597">
        <f>SUM(НВОС!R10)</f>
        <v>525.82000000000005</v>
      </c>
      <c r="DN43" s="1597">
        <f>SUM(НАЛОГИ!AP35)</f>
        <v>0</v>
      </c>
      <c r="DO43" s="1597">
        <f t="shared" ref="DO43:DO50" si="525">DP43+DQ43</f>
        <v>467.42099999999999</v>
      </c>
      <c r="DP43" s="1597">
        <f>SUM(НВОС!S16)</f>
        <v>467.42099999999999</v>
      </c>
      <c r="DQ43" s="1597">
        <f>SUM(НАЛОГИ!AD35)</f>
        <v>0</v>
      </c>
      <c r="DR43" s="1597">
        <f t="shared" ref="DR43:DR50" si="526">DS43+DT43</f>
        <v>233.70758000000001</v>
      </c>
      <c r="DS43" s="1597">
        <f>SUM(НВОС!Y10)</f>
        <v>233.70758000000001</v>
      </c>
      <c r="DT43" s="1597">
        <f>SUM(НВОС!AL17)</f>
        <v>0</v>
      </c>
      <c r="DU43" s="1597">
        <f t="shared" ref="DU43:DU50" si="527">DV43+DW43</f>
        <v>350.56137000000001</v>
      </c>
      <c r="DV43" s="1597">
        <f>SUM(НВОС!Z10)</f>
        <v>350.56137000000001</v>
      </c>
      <c r="DW43" s="1597">
        <f>SUM(НВОС!AO17)</f>
        <v>0</v>
      </c>
      <c r="DX43" s="1597">
        <f t="shared" ref="DX43:DX50" si="528">DY43+DZ43</f>
        <v>1112.1341</v>
      </c>
      <c r="DY43" s="1597">
        <f>SUM(НВОС!AA14)</f>
        <v>1112.1341</v>
      </c>
      <c r="DZ43" s="1597">
        <f>SUM(НВОС!AR17)</f>
        <v>0</v>
      </c>
      <c r="EA43" s="2343">
        <f t="shared" ref="EA43:EA45" si="529">EB43+EC43</f>
        <v>1112.1341</v>
      </c>
      <c r="EB43" s="2343">
        <f>SUM(НВОС!AB14)</f>
        <v>1112.1341</v>
      </c>
      <c r="EC43" s="2343">
        <f>SUM(НАЛОГИ!BE35)</f>
        <v>0</v>
      </c>
      <c r="ED43" s="3959">
        <f t="shared" ref="ED43:ED44" si="530">EE43+EF43</f>
        <v>0</v>
      </c>
      <c r="EE43" s="3959">
        <f>SUM(НВОС!AH16)</f>
        <v>0</v>
      </c>
      <c r="EF43" s="3959">
        <f>SUM(НАЛОГИ!AS35)</f>
        <v>0</v>
      </c>
      <c r="EG43" s="2343">
        <f t="shared" ref="EG43:EG50" si="531">EH43+EI43</f>
        <v>1112.1341</v>
      </c>
      <c r="EH43" s="2343">
        <f>SUM(НВОС!AB14)</f>
        <v>1112.1341</v>
      </c>
      <c r="EI43" s="2343">
        <f>SUM(НАЛОГИ!BE35)</f>
        <v>0</v>
      </c>
      <c r="EJ43" s="2343">
        <f t="shared" ref="EJ43:EJ50" si="532">EK43+EL43</f>
        <v>1112.1341</v>
      </c>
      <c r="EK43" s="2343">
        <f>SUM(НВОС!AC16)</f>
        <v>1112.1341</v>
      </c>
      <c r="EL43" s="2343">
        <f>SUM(НАЛОГИ!BH35)</f>
        <v>0</v>
      </c>
      <c r="EM43" s="4681">
        <f t="shared" ref="EM43:EM48" si="533">EN43+EO43</f>
        <v>0</v>
      </c>
      <c r="EN43" s="4681">
        <f>SUM(НВОС!AM14)</f>
        <v>0</v>
      </c>
      <c r="EO43" s="4681">
        <f>SUM(НВОС!BD17)</f>
        <v>0</v>
      </c>
      <c r="EP43" s="4681">
        <f t="shared" ref="EP43:EP48" si="534">EQ43+ER43</f>
        <v>0</v>
      </c>
      <c r="EQ43" s="4681">
        <f>SUM(НВОС!AP14)</f>
        <v>0</v>
      </c>
      <c r="ER43" s="4681">
        <f>SUM(НВОС!BG17)</f>
        <v>0</v>
      </c>
    </row>
    <row r="44" spans="1:148" ht="21" customHeight="1" x14ac:dyDescent="0.2">
      <c r="A44" s="3199" t="s">
        <v>522</v>
      </c>
      <c r="B44" s="1722"/>
      <c r="C44" s="1723"/>
      <c r="D44" s="1725"/>
      <c r="E44" s="1723"/>
      <c r="F44" s="1724"/>
      <c r="G44" s="1723"/>
      <c r="H44" s="1725"/>
      <c r="I44" s="1597"/>
      <c r="J44" s="1597">
        <v>28</v>
      </c>
      <c r="K44" s="1597">
        <v>22.5</v>
      </c>
      <c r="L44" s="1597">
        <v>35.1</v>
      </c>
      <c r="M44" s="1728"/>
      <c r="N44" s="1597"/>
      <c r="O44" s="1600"/>
      <c r="P44" s="1597"/>
      <c r="Q44" s="1600"/>
      <c r="R44" s="1600"/>
      <c r="S44" s="1597"/>
      <c r="T44" s="1597"/>
      <c r="U44" s="1597">
        <v>50.3</v>
      </c>
      <c r="V44" s="1597"/>
      <c r="W44" s="1597">
        <v>39</v>
      </c>
      <c r="X44" s="1597"/>
      <c r="Y44" s="1597">
        <v>0</v>
      </c>
      <c r="Z44" s="1597">
        <v>0</v>
      </c>
      <c r="AA44" s="1597">
        <v>0</v>
      </c>
      <c r="AB44" s="1597">
        <v>50.3</v>
      </c>
      <c r="AC44" s="1597">
        <f>SUM(AC75/AB75)*AB44</f>
        <v>49.863011334215521</v>
      </c>
      <c r="AD44" s="1597">
        <f>AB44-AC44</f>
        <v>0.43698866578447593</v>
      </c>
      <c r="AE44" s="1597">
        <v>0</v>
      </c>
      <c r="AF44" s="1597"/>
      <c r="AG44" s="1597">
        <v>0</v>
      </c>
      <c r="AH44" s="1597">
        <v>0</v>
      </c>
      <c r="AI44" s="1597">
        <f>Y44</f>
        <v>0</v>
      </c>
      <c r="AJ44" s="1597"/>
      <c r="AK44" s="1597"/>
      <c r="AL44" s="1597"/>
      <c r="AM44" s="1597" t="e">
        <f>#REF!</f>
        <v>#REF!</v>
      </c>
      <c r="AN44" s="1597" t="e">
        <f>#REF!-AM44</f>
        <v>#REF!</v>
      </c>
      <c r="AO44" s="3682" t="e">
        <f t="shared" si="31"/>
        <v>#REF!</v>
      </c>
      <c r="AP44" s="1597">
        <v>8.8000000000000007</v>
      </c>
      <c r="AQ44" s="1597">
        <f>SUM(AQ75/AP75)*AP44</f>
        <v>8.7490668805439498</v>
      </c>
      <c r="AR44" s="1597">
        <f>AP44-AQ44</f>
        <v>5.0933119456050946E-2</v>
      </c>
      <c r="AS44" s="1597">
        <v>17.5</v>
      </c>
      <c r="AT44" s="1597">
        <f>SUM(AT75/AS75)*AS44</f>
        <v>17.372536955404289</v>
      </c>
      <c r="AU44" s="1597">
        <f>AS44-AT44</f>
        <v>0.12746304459571078</v>
      </c>
      <c r="AV44" s="1597">
        <v>23.33</v>
      </c>
      <c r="AW44" s="1600"/>
      <c r="AX44" s="1597">
        <f>SUM(AX75/AV75)*AV44</f>
        <v>23.141909012381227</v>
      </c>
      <c r="AY44" s="1597">
        <f>AV44-AX44</f>
        <v>0.18809098761877152</v>
      </c>
      <c r="AZ44" s="1597">
        <f>AS44/3*4</f>
        <v>23.333333333333332</v>
      </c>
      <c r="BA44" s="1591"/>
      <c r="BB44" s="1597">
        <f>SUM(BB75/AZ75)*AZ44</f>
        <v>23.205819209202648</v>
      </c>
      <c r="BC44" s="1597">
        <f>AZ44-BB44</f>
        <v>0.12751412413068408</v>
      </c>
      <c r="BD44" s="1597">
        <f t="shared" si="301"/>
        <v>29.689999999999998</v>
      </c>
      <c r="BE44" s="1597">
        <v>29.49</v>
      </c>
      <c r="BF44" s="1597">
        <v>0.2</v>
      </c>
      <c r="BG44" s="1597">
        <f t="shared" si="510"/>
        <v>43.12</v>
      </c>
      <c r="BH44" s="1597">
        <v>42.86</v>
      </c>
      <c r="BI44" s="1597">
        <v>0.26</v>
      </c>
      <c r="BJ44" s="1597">
        <f t="shared" si="511"/>
        <v>29.900000000000002</v>
      </c>
      <c r="BK44" s="1597">
        <v>29.69</v>
      </c>
      <c r="BL44" s="1597">
        <v>0.21</v>
      </c>
      <c r="BM44" s="1597">
        <f t="shared" si="512"/>
        <v>48.57</v>
      </c>
      <c r="BN44" s="1597">
        <v>48.29</v>
      </c>
      <c r="BO44" s="1597">
        <v>0.28000000000000003</v>
      </c>
      <c r="BP44" s="1597">
        <f t="shared" si="513"/>
        <v>43.12</v>
      </c>
      <c r="BQ44" s="1597">
        <v>42.86</v>
      </c>
      <c r="BR44" s="1597">
        <v>0.26</v>
      </c>
      <c r="BS44" s="1597">
        <f t="shared" si="514"/>
        <v>43.12</v>
      </c>
      <c r="BT44" s="1597">
        <f>НАЛОГИ!M28</f>
        <v>42.86</v>
      </c>
      <c r="BU44" s="1597">
        <f>НАЛОГИ!M36</f>
        <v>0.26</v>
      </c>
      <c r="BV44" s="1597">
        <f t="shared" si="515"/>
        <v>48.57</v>
      </c>
      <c r="BW44" s="1597">
        <f>SUM(НАЛОГИ!S28)</f>
        <v>48.29</v>
      </c>
      <c r="BX44" s="1597">
        <f>SUM(НАЛОГИ!S36)</f>
        <v>0.28000000000000003</v>
      </c>
      <c r="BY44" s="3322" t="s">
        <v>993</v>
      </c>
      <c r="BZ44" s="3735"/>
      <c r="CA44" s="3735"/>
      <c r="CB44" s="3735"/>
      <c r="CC44" s="3735"/>
      <c r="CD44" s="3735"/>
      <c r="CE44" s="3735"/>
      <c r="CF44" s="3735"/>
      <c r="CG44" s="3735"/>
      <c r="CH44" s="3735"/>
      <c r="CI44" s="3735"/>
      <c r="CJ44" s="3735"/>
      <c r="CK44" s="1597">
        <f t="shared" ref="CK44:CK46" si="535">SUM(CL44:CM44)</f>
        <v>48.57</v>
      </c>
      <c r="CL44" s="1597">
        <f>SUM(НАЛОГИ!T28)</f>
        <v>48.29</v>
      </c>
      <c r="CM44" s="1597">
        <f>SUM(НАЛОГИ!T36)</f>
        <v>0.28000000000000003</v>
      </c>
      <c r="CN44" s="1597">
        <f t="shared" si="516"/>
        <v>35.979999999999997</v>
      </c>
      <c r="CO44" s="1597">
        <f>SUM(НАЛОГИ!U28)</f>
        <v>35.979999999999997</v>
      </c>
      <c r="CP44" s="1597">
        <f>SUM(НАЛОГИ!U36)</f>
        <v>0</v>
      </c>
      <c r="CQ44" s="1597">
        <f t="shared" si="517"/>
        <v>55.14</v>
      </c>
      <c r="CR44" s="1597">
        <f>SUM(НАЛОГИ!V28)</f>
        <v>55.14</v>
      </c>
      <c r="CS44" s="1597">
        <f>SUM(НАЛОГИ!V36)</f>
        <v>0</v>
      </c>
      <c r="CT44" s="1597">
        <f t="shared" si="518"/>
        <v>74.290000000000006</v>
      </c>
      <c r="CU44" s="1597">
        <f>SUM(НАЛОГИ!W28)</f>
        <v>74.290000000000006</v>
      </c>
      <c r="CV44" s="1597">
        <f>SUM(НАЛОГИ!Y36)</f>
        <v>0</v>
      </c>
      <c r="CW44" s="1597">
        <f t="shared" si="519"/>
        <v>74.570000000000007</v>
      </c>
      <c r="CX44" s="1597">
        <f>SUM(НАЛОГИ!X28)</f>
        <v>74.290000000000006</v>
      </c>
      <c r="CY44" s="1597">
        <f>SUM(НАЛОГИ!X36)</f>
        <v>0.28000000000000003</v>
      </c>
      <c r="CZ44" s="1597">
        <f t="shared" si="520"/>
        <v>74.290000000000006</v>
      </c>
      <c r="DA44" s="1597">
        <f>SUM(НАЛОГИ!Y28)</f>
        <v>74.290000000000006</v>
      </c>
      <c r="DB44" s="1597">
        <f>SUM(НАЛОГИ!AA36)</f>
        <v>0</v>
      </c>
      <c r="DC44" s="1597">
        <f t="shared" si="521"/>
        <v>40.716000000000001</v>
      </c>
      <c r="DD44" s="1597">
        <f>SUM(НАЛОГИ!Z28)</f>
        <v>40.716000000000001</v>
      </c>
      <c r="DE44" s="1597">
        <f>SUM(НАЛОГИ!Z36)</f>
        <v>0</v>
      </c>
      <c r="DF44" s="1597">
        <f t="shared" si="522"/>
        <v>61.08</v>
      </c>
      <c r="DG44" s="1597">
        <f>SUM(НАЛОГИ!AA28)</f>
        <v>61.08</v>
      </c>
      <c r="DH44" s="1597">
        <f>SUM(НАЛОГИ!AN36)</f>
        <v>0</v>
      </c>
      <c r="DI44" s="1597">
        <f t="shared" si="523"/>
        <v>81.433999999999997</v>
      </c>
      <c r="DJ44" s="1597">
        <f>SUM(НАЛОГИ!AB28)</f>
        <v>81.433999999999997</v>
      </c>
      <c r="DK44" s="1597">
        <f>SUM(НАЛОГИ!AQ36)</f>
        <v>0</v>
      </c>
      <c r="DL44" s="1597">
        <f t="shared" si="524"/>
        <v>81.433999999999997</v>
      </c>
      <c r="DM44" s="1597">
        <f>SUM(НАЛОГИ!AB28)</f>
        <v>81.433999999999997</v>
      </c>
      <c r="DN44" s="1597">
        <f>SUM(НАЛОГИ!AP36)</f>
        <v>0</v>
      </c>
      <c r="DO44" s="1597">
        <f t="shared" si="525"/>
        <v>81.423999999999992</v>
      </c>
      <c r="DP44" s="1597">
        <f>SUM(НАЛОГИ!AD28)</f>
        <v>81.423999999999992</v>
      </c>
      <c r="DQ44" s="1597">
        <f>SUM(НАЛОГИ!AD36)</f>
        <v>0</v>
      </c>
      <c r="DR44" s="1597">
        <f t="shared" si="526"/>
        <v>28.978000000000002</v>
      </c>
      <c r="DS44" s="1597">
        <f>SUM(НАЛОГИ!AE28)</f>
        <v>28.978000000000002</v>
      </c>
      <c r="DT44" s="1597">
        <f>SUM(НАЛОГИ!AZ36)</f>
        <v>0</v>
      </c>
      <c r="DU44" s="1597">
        <f t="shared" si="527"/>
        <v>43.466999999999999</v>
      </c>
      <c r="DV44" s="1597">
        <f>SUM(НАЛОГИ!AF28)</f>
        <v>43.466999999999999</v>
      </c>
      <c r="DW44" s="1597">
        <f>SUM(НАЛОГИ!BC36)</f>
        <v>0</v>
      </c>
      <c r="DX44" s="1597">
        <f t="shared" si="528"/>
        <v>57.95</v>
      </c>
      <c r="DY44" s="1597">
        <f>SUM(НАЛОГИ!AG28)</f>
        <v>57.95</v>
      </c>
      <c r="DZ44" s="1597">
        <f>SUM(НАЛОГИ!BF36)</f>
        <v>0</v>
      </c>
      <c r="EA44" s="2343">
        <f t="shared" si="529"/>
        <v>57.95</v>
      </c>
      <c r="EB44" s="2343">
        <f>SUM(НАЛОГИ!AH28)</f>
        <v>57.95</v>
      </c>
      <c r="EC44" s="2343">
        <f>SUM(НАЛОГИ!BE36)</f>
        <v>0</v>
      </c>
      <c r="ED44" s="3959">
        <f t="shared" si="530"/>
        <v>0</v>
      </c>
      <c r="EE44" s="3959">
        <f>SUM(НАЛОГИ!AS28)</f>
        <v>0</v>
      </c>
      <c r="EF44" s="3959">
        <f>SUM(НАЛОГИ!AS36)</f>
        <v>0</v>
      </c>
      <c r="EG44" s="2343">
        <f t="shared" si="531"/>
        <v>57.95</v>
      </c>
      <c r="EH44" s="2343">
        <f>SUM(НАЛОГИ!AH28)</f>
        <v>57.95</v>
      </c>
      <c r="EI44" s="2343">
        <f>SUM(НАЛОГИ!BE36)</f>
        <v>0</v>
      </c>
      <c r="EJ44" s="2343">
        <f t="shared" si="532"/>
        <v>57.95</v>
      </c>
      <c r="EK44" s="2343">
        <f>SUM(НАЛОГИ!AI28)</f>
        <v>57.95</v>
      </c>
      <c r="EL44" s="2343">
        <f>SUM(НАЛОГИ!BH36)</f>
        <v>0</v>
      </c>
      <c r="EM44" s="4681">
        <f t="shared" si="533"/>
        <v>0</v>
      </c>
      <c r="EN44" s="4681">
        <f>SUM(НАЛОГИ!AS28)</f>
        <v>0</v>
      </c>
      <c r="EO44" s="4681">
        <f>SUM(НАЛОГИ!BR36)</f>
        <v>0</v>
      </c>
      <c r="EP44" s="4681">
        <f t="shared" si="534"/>
        <v>0</v>
      </c>
      <c r="EQ44" s="4681">
        <f>SUM(НАЛОГИ!AV28)</f>
        <v>0</v>
      </c>
      <c r="ER44" s="4681">
        <f>SUM(НАЛОГИ!BU36)</f>
        <v>0</v>
      </c>
    </row>
    <row r="45" spans="1:148" ht="21" customHeight="1" x14ac:dyDescent="0.2">
      <c r="A45" s="3195" t="s">
        <v>3961</v>
      </c>
      <c r="B45" s="1722"/>
      <c r="C45" s="1723"/>
      <c r="D45" s="1725"/>
      <c r="E45" s="1723"/>
      <c r="F45" s="1724"/>
      <c r="G45" s="1723"/>
      <c r="H45" s="1725"/>
      <c r="I45" s="1597"/>
      <c r="J45" s="1597"/>
      <c r="K45" s="1597"/>
      <c r="L45" s="1597"/>
      <c r="M45" s="3874"/>
      <c r="N45" s="1597"/>
      <c r="O45" s="1600"/>
      <c r="P45" s="1597"/>
      <c r="Q45" s="1600"/>
      <c r="R45" s="1600"/>
      <c r="S45" s="1597"/>
      <c r="T45" s="1597"/>
      <c r="U45" s="1597"/>
      <c r="V45" s="1597"/>
      <c r="W45" s="1597"/>
      <c r="X45" s="1597"/>
      <c r="Y45" s="1597"/>
      <c r="Z45" s="1597"/>
      <c r="AA45" s="1597"/>
      <c r="AB45" s="1597"/>
      <c r="AC45" s="1597"/>
      <c r="AD45" s="1597"/>
      <c r="AE45" s="1597"/>
      <c r="AF45" s="1597"/>
      <c r="AG45" s="1597"/>
      <c r="AH45" s="1597"/>
      <c r="AI45" s="1597"/>
      <c r="AJ45" s="1597"/>
      <c r="AK45" s="1597"/>
      <c r="AL45" s="1597"/>
      <c r="AM45" s="1597"/>
      <c r="AN45" s="1597"/>
      <c r="AO45" s="3682"/>
      <c r="AP45" s="1597"/>
      <c r="AQ45" s="1597"/>
      <c r="AR45" s="1597"/>
      <c r="AS45" s="1597"/>
      <c r="AT45" s="1597"/>
      <c r="AU45" s="1597"/>
      <c r="AV45" s="1597"/>
      <c r="AW45" s="1600"/>
      <c r="AX45" s="1597"/>
      <c r="AY45" s="1597"/>
      <c r="AZ45" s="1597"/>
      <c r="BA45" s="1591"/>
      <c r="BB45" s="1597"/>
      <c r="BC45" s="1597"/>
      <c r="BD45" s="1597"/>
      <c r="BE45" s="1597"/>
      <c r="BF45" s="1597"/>
      <c r="BG45" s="1597"/>
      <c r="BH45" s="1597"/>
      <c r="BI45" s="1597"/>
      <c r="BJ45" s="1597"/>
      <c r="BK45" s="1597"/>
      <c r="BL45" s="1597"/>
      <c r="BM45" s="1597"/>
      <c r="BN45" s="1597"/>
      <c r="BO45" s="1597"/>
      <c r="BP45" s="1597"/>
      <c r="BQ45" s="1597"/>
      <c r="BR45" s="1597"/>
      <c r="BS45" s="1597"/>
      <c r="BT45" s="1597"/>
      <c r="BU45" s="1597"/>
      <c r="BV45" s="1597"/>
      <c r="BW45" s="1597"/>
      <c r="BX45" s="1597"/>
      <c r="BY45" s="3322"/>
      <c r="BZ45" s="3735"/>
      <c r="CA45" s="3735"/>
      <c r="CB45" s="3735"/>
      <c r="CC45" s="3735"/>
      <c r="CD45" s="3735"/>
      <c r="CE45" s="3735"/>
      <c r="CF45" s="3735"/>
      <c r="CG45" s="3735"/>
      <c r="CH45" s="3735"/>
      <c r="CI45" s="3735"/>
      <c r="CJ45" s="3735"/>
      <c r="CK45" s="1597"/>
      <c r="CL45" s="1597"/>
      <c r="CM45" s="1597"/>
      <c r="CN45" s="1597"/>
      <c r="CO45" s="1597"/>
      <c r="CP45" s="1597"/>
      <c r="CQ45" s="1597"/>
      <c r="CR45" s="1597"/>
      <c r="CS45" s="1597"/>
      <c r="CT45" s="1597"/>
      <c r="CU45" s="1597"/>
      <c r="CV45" s="1597"/>
      <c r="CW45" s="1597"/>
      <c r="CX45" s="1597"/>
      <c r="CY45" s="1597"/>
      <c r="CZ45" s="1597"/>
      <c r="DA45" s="1597"/>
      <c r="DB45" s="1597"/>
      <c r="DC45" s="1597"/>
      <c r="DD45" s="1597"/>
      <c r="DE45" s="1597"/>
      <c r="DF45" s="1597"/>
      <c r="DG45" s="1597"/>
      <c r="DH45" s="1597"/>
      <c r="DI45" s="1597"/>
      <c r="DJ45" s="1597"/>
      <c r="DK45" s="1597"/>
      <c r="DL45" s="1597"/>
      <c r="DM45" s="1597"/>
      <c r="DN45" s="1597"/>
      <c r="DO45" s="1597"/>
      <c r="DP45" s="1597"/>
      <c r="DQ45" s="1597"/>
      <c r="DR45" s="1597">
        <f t="shared" ref="DR45" si="536">DS45+DT45</f>
        <v>0</v>
      </c>
      <c r="DS45" s="1597">
        <v>0</v>
      </c>
      <c r="DT45" s="1597">
        <v>0</v>
      </c>
      <c r="DU45" s="1597">
        <f t="shared" ref="DU45" si="537">DV45+DW45</f>
        <v>0</v>
      </c>
      <c r="DV45" s="1597">
        <v>0</v>
      </c>
      <c r="DW45" s="1597">
        <v>0</v>
      </c>
      <c r="DX45" s="1597">
        <f t="shared" ref="DX45" si="538">DY45+DZ45</f>
        <v>2092.9672</v>
      </c>
      <c r="DY45" s="1597">
        <f>SUM(НАЛОГИ!AG25)</f>
        <v>2092.9672</v>
      </c>
      <c r="DZ45" s="1597">
        <v>0</v>
      </c>
      <c r="EA45" s="2343">
        <f t="shared" si="529"/>
        <v>1601.555124</v>
      </c>
      <c r="EB45" s="2343">
        <f>SUM(НАЛОГИ!AH25)</f>
        <v>1601.555124</v>
      </c>
      <c r="EC45" s="2343">
        <v>0</v>
      </c>
      <c r="ED45" s="3959"/>
      <c r="EE45" s="3959"/>
      <c r="EF45" s="3959"/>
      <c r="EG45" s="2343">
        <f t="shared" si="531"/>
        <v>1601.555124</v>
      </c>
      <c r="EH45" s="2343">
        <f>SUM(НАЛОГИ!AH25)</f>
        <v>1601.555124</v>
      </c>
      <c r="EI45" s="2343">
        <v>0</v>
      </c>
      <c r="EJ45" s="2343">
        <f t="shared" si="532"/>
        <v>0</v>
      </c>
      <c r="EK45" s="2343">
        <v>0</v>
      </c>
      <c r="EL45" s="2343">
        <v>0</v>
      </c>
      <c r="EM45" s="4681">
        <f t="shared" si="533"/>
        <v>0</v>
      </c>
      <c r="EN45" s="4681">
        <f>SUM(НАЛОГИ!AS25)</f>
        <v>0</v>
      </c>
      <c r="EO45" s="4681">
        <v>0</v>
      </c>
      <c r="EP45" s="4681">
        <f t="shared" si="534"/>
        <v>0</v>
      </c>
      <c r="EQ45" s="4681">
        <f>SUM(НАЛОГИ!AV25)</f>
        <v>0</v>
      </c>
      <c r="ER45" s="4681">
        <v>0</v>
      </c>
    </row>
    <row r="46" spans="1:148" ht="21" customHeight="1" x14ac:dyDescent="0.2">
      <c r="A46" s="3199" t="s">
        <v>524</v>
      </c>
      <c r="B46" s="1722"/>
      <c r="C46" s="1723"/>
      <c r="D46" s="1725"/>
      <c r="E46" s="1723"/>
      <c r="F46" s="1724"/>
      <c r="G46" s="1723"/>
      <c r="H46" s="1725"/>
      <c r="I46" s="1597"/>
      <c r="J46" s="1597"/>
      <c r="K46" s="1597"/>
      <c r="L46" s="1597">
        <v>0</v>
      </c>
      <c r="M46" s="1728"/>
      <c r="N46" s="1597"/>
      <c r="O46" s="1600"/>
      <c r="P46" s="1597">
        <v>1699.3</v>
      </c>
      <c r="Q46" s="1600"/>
      <c r="R46" s="1600"/>
      <c r="S46" s="1597">
        <v>1699.3</v>
      </c>
      <c r="T46" s="1597"/>
      <c r="U46" s="1597">
        <v>0</v>
      </c>
      <c r="V46" s="1597"/>
      <c r="W46" s="1597">
        <v>1700</v>
      </c>
      <c r="X46" s="1597"/>
      <c r="Y46" s="1597">
        <v>1700</v>
      </c>
      <c r="Z46" s="1597">
        <f>Y46-AA46</f>
        <v>1699.2</v>
      </c>
      <c r="AA46" s="1597">
        <v>0.8</v>
      </c>
      <c r="AB46" s="1597">
        <v>1700</v>
      </c>
      <c r="AC46" s="1597">
        <v>1699.2</v>
      </c>
      <c r="AD46" s="1597">
        <f>AB46-AC46</f>
        <v>0.79999999999995453</v>
      </c>
      <c r="AE46" s="1597">
        <v>1700</v>
      </c>
      <c r="AF46" s="1597">
        <f t="shared" si="29"/>
        <v>1</v>
      </c>
      <c r="AG46" s="1597">
        <v>1699.2</v>
      </c>
      <c r="AH46" s="1597">
        <v>0.8</v>
      </c>
      <c r="AI46" s="1597">
        <f>Y46</f>
        <v>1700</v>
      </c>
      <c r="AJ46" s="1597">
        <f t="shared" si="30"/>
        <v>1</v>
      </c>
      <c r="AK46" s="1597">
        <f>Z46</f>
        <v>1699.2</v>
      </c>
      <c r="AL46" s="1597">
        <f>AA46</f>
        <v>0.8</v>
      </c>
      <c r="AM46" s="3682" t="e">
        <f>#REF!*Z46/Y46</f>
        <v>#REF!</v>
      </c>
      <c r="AN46" s="1597" t="e">
        <f>#REF!-AM46</f>
        <v>#REF!</v>
      </c>
      <c r="AO46" s="3682" t="e">
        <f t="shared" si="31"/>
        <v>#REF!</v>
      </c>
      <c r="AP46" s="1597">
        <v>0</v>
      </c>
      <c r="AQ46" s="1597">
        <f>SUM(AQ75/AP75)*AP46</f>
        <v>0</v>
      </c>
      <c r="AR46" s="1597">
        <f>AP46-AQ46</f>
        <v>0</v>
      </c>
      <c r="AS46" s="1597">
        <v>1229.9000000000001</v>
      </c>
      <c r="AT46" s="1597">
        <f>SUM(AT75/AS75)*AS46</f>
        <v>1220.9418972258134</v>
      </c>
      <c r="AU46" s="1597">
        <f>AS46-AT46</f>
        <v>8.9581027741867274</v>
      </c>
      <c r="AV46" s="1597">
        <v>1639.87</v>
      </c>
      <c r="AW46" s="1600">
        <f t="shared" si="64"/>
        <v>0.96462941176470585</v>
      </c>
      <c r="AX46" s="1597">
        <v>1626.65</v>
      </c>
      <c r="AY46" s="1597">
        <v>13.22</v>
      </c>
      <c r="AZ46" s="1597">
        <f>'налог на имущ'!D15</f>
        <v>1441.3413519999999</v>
      </c>
      <c r="BA46" s="1591">
        <f t="shared" si="36"/>
        <v>0.84784785411764696</v>
      </c>
      <c r="BB46" s="1597">
        <f>SUM(BB75/AZ75)*AZ46</f>
        <v>1433.4645785682735</v>
      </c>
      <c r="BC46" s="1597">
        <f>AZ46-BB46</f>
        <v>7.8767734317264058</v>
      </c>
      <c r="BD46" s="1597">
        <f t="shared" si="301"/>
        <v>1330.83</v>
      </c>
      <c r="BE46" s="1597">
        <v>1321.85</v>
      </c>
      <c r="BF46" s="1597">
        <v>8.98</v>
      </c>
      <c r="BG46" s="1597">
        <f t="shared" si="510"/>
        <v>1229.8400000000001</v>
      </c>
      <c r="BH46" s="1597">
        <v>1222.45</v>
      </c>
      <c r="BI46" s="1597">
        <v>7.39</v>
      </c>
      <c r="BJ46" s="1597">
        <f t="shared" si="511"/>
        <v>1330.8300000000002</v>
      </c>
      <c r="BK46" s="1597">
        <v>1321.42</v>
      </c>
      <c r="BL46" s="1597">
        <v>9.41</v>
      </c>
      <c r="BM46" s="1597">
        <f t="shared" si="512"/>
        <v>1321.35</v>
      </c>
      <c r="BN46" s="1597">
        <v>1313.6959999999999</v>
      </c>
      <c r="BO46" s="1597">
        <v>7.6539999999999999</v>
      </c>
      <c r="BP46" s="1597">
        <f t="shared" si="513"/>
        <v>1236.22</v>
      </c>
      <c r="BQ46" s="1597">
        <v>1229.02</v>
      </c>
      <c r="BR46" s="1597">
        <v>7.2</v>
      </c>
      <c r="BS46" s="1597">
        <f t="shared" si="514"/>
        <v>948.10590762000015</v>
      </c>
      <c r="BT46" s="1597">
        <f>НАЛОГИ!M26</f>
        <v>942.55959939862851</v>
      </c>
      <c r="BU46" s="1597">
        <f>НАЛОГИ!M34</f>
        <v>5.5463082213716168</v>
      </c>
      <c r="BV46" s="1597">
        <f t="shared" si="515"/>
        <v>947.46161103079737</v>
      </c>
      <c r="BW46" s="1597">
        <f>SUM(НАЛОГИ!S26)</f>
        <v>942.55959939862851</v>
      </c>
      <c r="BX46" s="1597">
        <f>SUM(НАЛОГИ!S34)</f>
        <v>4.9020116321688594</v>
      </c>
      <c r="BY46" s="3322" t="s">
        <v>960</v>
      </c>
      <c r="BZ46" s="3735"/>
      <c r="CA46" s="3735"/>
      <c r="CB46" s="3735"/>
      <c r="CC46" s="3735"/>
      <c r="CD46" s="3735"/>
      <c r="CE46" s="3735"/>
      <c r="CF46" s="3735"/>
      <c r="CG46" s="3735"/>
      <c r="CH46" s="3735"/>
      <c r="CI46" s="3735"/>
      <c r="CJ46" s="3735"/>
      <c r="CK46" s="1597">
        <f t="shared" si="535"/>
        <v>947.46161103079737</v>
      </c>
      <c r="CL46" s="1597">
        <f>SUM(НАЛОГИ!T26)</f>
        <v>942.55959939862851</v>
      </c>
      <c r="CM46" s="1597">
        <f>SUM(НАЛОГИ!T34)</f>
        <v>4.9020116321688594</v>
      </c>
      <c r="CN46" s="1597">
        <f t="shared" si="516"/>
        <v>1075.47</v>
      </c>
      <c r="CO46" s="1597">
        <f>SUM('4.2. Налог на имущество'!Q36/1000)</f>
        <v>1075.47</v>
      </c>
      <c r="CP46" s="1597">
        <f>SUM(НАЛОГИ!U34)</f>
        <v>0</v>
      </c>
      <c r="CQ46" s="1597">
        <f t="shared" si="517"/>
        <v>1613.2</v>
      </c>
      <c r="CR46" s="1597">
        <f>SUM(НАЛОГИ!V26)</f>
        <v>1613.2</v>
      </c>
      <c r="CS46" s="1597">
        <f>SUM(НАЛОГИ!V34)</f>
        <v>0</v>
      </c>
      <c r="CT46" s="1597">
        <f t="shared" si="518"/>
        <v>2150.94</v>
      </c>
      <c r="CU46" s="1597">
        <f>SUM(НАЛОГИ!W26)</f>
        <v>2150.94</v>
      </c>
      <c r="CV46" s="1597">
        <f>SUM(НАЛОГИ!Y34)</f>
        <v>0</v>
      </c>
      <c r="CW46" s="1597">
        <f t="shared" si="519"/>
        <v>2155.842011632169</v>
      </c>
      <c r="CX46" s="1597">
        <f>SUM(НАЛОГИ!X26)</f>
        <v>2150.94</v>
      </c>
      <c r="CY46" s="1597">
        <f>SUM(НАЛОГИ!X34)</f>
        <v>4.9020116321688594</v>
      </c>
      <c r="CZ46" s="1597">
        <f t="shared" si="520"/>
        <v>1745.3302200000001</v>
      </c>
      <c r="DA46" s="1597">
        <f>SUM(НАЛОГИ!Y26)</f>
        <v>1745.3302200000001</v>
      </c>
      <c r="DB46" s="1597">
        <f>SUM(НАЛОГИ!AA34)</f>
        <v>0</v>
      </c>
      <c r="DC46" s="1597">
        <f t="shared" si="521"/>
        <v>1068.7159999999999</v>
      </c>
      <c r="DD46" s="1597">
        <f>SUM('4.2. Налог на имущество'!V36)/1000</f>
        <v>1068.7159999999999</v>
      </c>
      <c r="DE46" s="1597">
        <f>SUM(НАЛОГИ!AD34)</f>
        <v>0</v>
      </c>
      <c r="DF46" s="1597">
        <f t="shared" si="522"/>
        <v>1600.1659999999999</v>
      </c>
      <c r="DG46" s="1597">
        <f>SUM('4.2. Налог на имущество'!W36)/1000</f>
        <v>1600.1659999999999</v>
      </c>
      <c r="DH46" s="1597">
        <f>SUM(НАЛОГИ!AN34)</f>
        <v>0</v>
      </c>
      <c r="DI46" s="1597">
        <f t="shared" si="523"/>
        <v>2111.3240000000001</v>
      </c>
      <c r="DJ46" s="1597">
        <f>SUM(НАЛОГИ!AB26)+0.004</f>
        <v>2111.3240000000001</v>
      </c>
      <c r="DK46" s="1597">
        <f>SUM(НАЛОГИ!AQ34)</f>
        <v>0</v>
      </c>
      <c r="DL46" s="1597">
        <f t="shared" si="524"/>
        <v>2111.3200000000002</v>
      </c>
      <c r="DM46" s="1597">
        <f>SUM(НАЛОГИ!AB26)</f>
        <v>2111.3200000000002</v>
      </c>
      <c r="DN46" s="1597">
        <f>SUM(НАЛОГИ!AP34)</f>
        <v>0</v>
      </c>
      <c r="DO46" s="1597">
        <f t="shared" si="525"/>
        <v>2158.45415</v>
      </c>
      <c r="DP46" s="1597">
        <f>SUM(НАЛОГИ!AD26)</f>
        <v>2158.45415</v>
      </c>
      <c r="DQ46" s="1597">
        <f>SUM(НАЛОГИ!AD34)</f>
        <v>0</v>
      </c>
      <c r="DR46" s="1597">
        <f t="shared" si="526"/>
        <v>1020.7684000000002</v>
      </c>
      <c r="DS46" s="1597">
        <f>SUM('4.2. Налог на имущество'!AA36)/1000</f>
        <v>1020.7684000000002</v>
      </c>
      <c r="DT46" s="1597">
        <f>SUM(НАЛОГИ!AZ34)</f>
        <v>0</v>
      </c>
      <c r="DU46" s="1597">
        <f t="shared" si="527"/>
        <v>1536.7052000000001</v>
      </c>
      <c r="DV46" s="1597">
        <f>SUM('4.2. Налог на имущество'!AB36)/1000</f>
        <v>1536.7052000000001</v>
      </c>
      <c r="DW46" s="1597">
        <f>SUM(НАЛОГИ!BC34)</f>
        <v>0</v>
      </c>
      <c r="DX46" s="1597">
        <f t="shared" si="528"/>
        <v>2086.3196000000003</v>
      </c>
      <c r="DY46" s="1597">
        <f>SUM('4.2. Налог на имущество'!AC36)/1000</f>
        <v>2086.3196000000003</v>
      </c>
      <c r="DZ46" s="1597">
        <f>SUM(НАЛОГИ!BF34)</f>
        <v>0</v>
      </c>
      <c r="EA46" s="2343">
        <f t="shared" ref="EA46:EA50" si="539">EB46+EC46</f>
        <v>2086.3196000000003</v>
      </c>
      <c r="EB46" s="2343">
        <f>SUM('4.2. Налог на имущество'!AD36)/1000</f>
        <v>2086.3196000000003</v>
      </c>
      <c r="EC46" s="2343">
        <f>SUM(НАЛОГИ!BE34)</f>
        <v>0</v>
      </c>
      <c r="ED46" s="3959">
        <f t="shared" ref="ED46:ED50" si="540">EE46+EF46</f>
        <v>0</v>
      </c>
      <c r="EE46" s="3959">
        <f>SUM(НАЛОГИ!AS26)</f>
        <v>0</v>
      </c>
      <c r="EF46" s="3959">
        <f>SUM(НАЛОГИ!AS34)</f>
        <v>0</v>
      </c>
      <c r="EG46" s="2343">
        <f t="shared" si="531"/>
        <v>2086.3196000000003</v>
      </c>
      <c r="EH46" s="2343">
        <f>SUM('4.2. Налог на имущество'!AD36)/1000</f>
        <v>2086.3196000000003</v>
      </c>
      <c r="EI46" s="2343">
        <f>SUM(НАЛОГИ!BE34)</f>
        <v>0</v>
      </c>
      <c r="EJ46" s="2343">
        <f t="shared" si="532"/>
        <v>2086.3196000000003</v>
      </c>
      <c r="EK46" s="2343">
        <f>SUM('4.2. Налог на имущество'!AG36)/1000</f>
        <v>2086.3196000000003</v>
      </c>
      <c r="EL46" s="2343">
        <f>SUM(НАЛОГИ!BH34)</f>
        <v>0</v>
      </c>
      <c r="EM46" s="4681">
        <f t="shared" si="533"/>
        <v>0</v>
      </c>
      <c r="EN46" s="4681">
        <f>SUM('4.2. Налог на имущество'!AN36)/1000</f>
        <v>0</v>
      </c>
      <c r="EO46" s="4681">
        <f>SUM(НАЛОГИ!BR34)</f>
        <v>0</v>
      </c>
      <c r="EP46" s="4681">
        <f t="shared" si="534"/>
        <v>0</v>
      </c>
      <c r="EQ46" s="4681">
        <f>SUM('4.2. Налог на имущество'!AQ36)/1000</f>
        <v>0</v>
      </c>
      <c r="ER46" s="4681">
        <f>SUM(НАЛОГИ!BU34)</f>
        <v>0</v>
      </c>
    </row>
    <row r="47" spans="1:148" ht="21" customHeight="1" x14ac:dyDescent="0.2">
      <c r="A47" s="3320" t="s">
        <v>11</v>
      </c>
      <c r="B47" s="1722">
        <v>6566.2</v>
      </c>
      <c r="C47" s="1723">
        <v>7034.8</v>
      </c>
      <c r="D47" s="1725">
        <f>C47/B47*100</f>
        <v>107.13654777496879</v>
      </c>
      <c r="E47" s="3682">
        <v>7166.7</v>
      </c>
      <c r="F47" s="3682">
        <f>E47/C47*100</f>
        <v>101.87496446238697</v>
      </c>
      <c r="G47" s="3682">
        <v>7614.1</v>
      </c>
      <c r="H47" s="1725">
        <f t="shared" si="2"/>
        <v>106.24276166157367</v>
      </c>
      <c r="I47" s="3682">
        <v>8986</v>
      </c>
      <c r="J47" s="3682">
        <v>4011.7</v>
      </c>
      <c r="K47" s="3682">
        <v>6062.9</v>
      </c>
      <c r="L47" s="3682">
        <v>8448.7000000000007</v>
      </c>
      <c r="M47" s="3682">
        <f t="shared" si="25"/>
        <v>110.96124295714529</v>
      </c>
      <c r="N47" s="3682">
        <v>10151.1</v>
      </c>
      <c r="O47" s="3682">
        <f t="shared" si="26"/>
        <v>112.96572446027153</v>
      </c>
      <c r="P47" s="3682">
        <v>8915.7999999999993</v>
      </c>
      <c r="Q47" s="3682">
        <f t="shared" si="27"/>
        <v>99.218784776318714</v>
      </c>
      <c r="R47" s="3682">
        <f>P47/L47*100</f>
        <v>105.52866121415127</v>
      </c>
      <c r="S47" s="3682">
        <f>P47-T47</f>
        <v>8876.5</v>
      </c>
      <c r="T47" s="3682">
        <v>39.299999999999997</v>
      </c>
      <c r="U47" s="3682">
        <v>7513.6</v>
      </c>
      <c r="V47" s="3682"/>
      <c r="W47" s="3682">
        <v>10701.5</v>
      </c>
      <c r="X47" s="3682"/>
      <c r="Y47" s="3682">
        <v>10806.57</v>
      </c>
      <c r="Z47" s="3682">
        <f>Y47-AA47</f>
        <v>10753.369999999999</v>
      </c>
      <c r="AA47" s="3682">
        <v>53.2</v>
      </c>
      <c r="AB47" s="3682">
        <f>SUM('ОХР '!AD57)</f>
        <v>9591.77</v>
      </c>
      <c r="AC47" s="3682">
        <f>SUM(AC75/AB75)*AB47</f>
        <v>9508.4400839997706</v>
      </c>
      <c r="AD47" s="3682">
        <f>AB47-AC47</f>
        <v>83.329916000229787</v>
      </c>
      <c r="AE47" s="3682">
        <v>9051.4500000000007</v>
      </c>
      <c r="AF47" s="3682">
        <f t="shared" si="29"/>
        <v>0.83758768971098152</v>
      </c>
      <c r="AG47" s="3682">
        <v>8995.59</v>
      </c>
      <c r="AH47" s="3682">
        <v>55.86</v>
      </c>
      <c r="AI47" s="3682">
        <f>SUM('ОХР '!AH57)</f>
        <v>8833.3841337506801</v>
      </c>
      <c r="AJ47" s="3682">
        <f t="shared" si="30"/>
        <v>0.8174086813624194</v>
      </c>
      <c r="AK47" s="3682">
        <f>AI47-AL47</f>
        <v>8777.5241337506795</v>
      </c>
      <c r="AL47" s="3682">
        <f>AA47*1.05</f>
        <v>55.860000000000007</v>
      </c>
      <c r="AM47" s="3682" t="e">
        <f>#REF!*Z47/Y47</f>
        <v>#REF!</v>
      </c>
      <c r="AN47" s="3682" t="e">
        <f>#REF!-AM47</f>
        <v>#REF!</v>
      </c>
      <c r="AO47" s="3682" t="e">
        <f t="shared" si="31"/>
        <v>#REF!</v>
      </c>
      <c r="AP47" s="3682">
        <v>0</v>
      </c>
      <c r="AQ47" s="3682">
        <f>SUM(AQ75/AP75)*AP47</f>
        <v>0</v>
      </c>
      <c r="AR47" s="3682">
        <f>AP47-AQ47</f>
        <v>0</v>
      </c>
      <c r="AS47" s="3682">
        <f>SUM('цех стоки 2023'!AF62)</f>
        <v>0</v>
      </c>
      <c r="AT47" s="3682">
        <f>SUM(AT75/AS75)*AS47</f>
        <v>0</v>
      </c>
      <c r="AU47" s="3682">
        <f>AS47-AT47</f>
        <v>0</v>
      </c>
      <c r="AV47" s="3682">
        <v>10189.549999999999</v>
      </c>
      <c r="AW47" s="1728">
        <f t="shared" ref="AW47" si="541">SUM(AV47/AI47)</f>
        <v>1.1535273283392791</v>
      </c>
      <c r="AX47" s="3682">
        <v>10189.549999999999</v>
      </c>
      <c r="AY47" s="3682">
        <v>0</v>
      </c>
      <c r="AZ47" s="3682">
        <f>SUM('ОХР '!AM57)+2500</f>
        <v>13195.647202096725</v>
      </c>
      <c r="BA47" s="1604">
        <f t="shared" si="36"/>
        <v>1.4938382620176867</v>
      </c>
      <c r="BB47" s="3682">
        <f>SUM(AZ47-BC47)</f>
        <v>13195.647202096725</v>
      </c>
      <c r="BC47" s="3682">
        <v>0</v>
      </c>
      <c r="BD47" s="3682">
        <f>BE47+BF47</f>
        <v>9307.77</v>
      </c>
      <c r="BE47" s="3682">
        <v>9244.99</v>
      </c>
      <c r="BF47" s="3682">
        <v>62.78</v>
      </c>
      <c r="BG47" s="3682">
        <f>BH47+BI47</f>
        <v>9770.4</v>
      </c>
      <c r="BH47" s="3682">
        <v>9711.67</v>
      </c>
      <c r="BI47" s="3682">
        <v>58.73</v>
      </c>
      <c r="BJ47" s="3682">
        <f>BK47+BL47</f>
        <v>15214.178</v>
      </c>
      <c r="BK47" s="3682">
        <v>15206.884</v>
      </c>
      <c r="BL47" s="3682">
        <v>7.2939999999999996</v>
      </c>
      <c r="BM47" s="3682">
        <f>BN47+BO47</f>
        <v>10336.434000000001</v>
      </c>
      <c r="BN47" s="3682">
        <v>10276.564</v>
      </c>
      <c r="BO47" s="3682">
        <v>59.87</v>
      </c>
      <c r="BP47" s="3682">
        <f>BQ47+BR47</f>
        <v>18419.43</v>
      </c>
      <c r="BQ47" s="3682">
        <v>18312.11</v>
      </c>
      <c r="BR47" s="3682">
        <v>107.32</v>
      </c>
      <c r="BS47" s="3682">
        <f>'ОХР '!BM49+'вода 2019-2023 коррект'!X77</f>
        <v>14542.724168003919</v>
      </c>
      <c r="BT47" s="3682">
        <f>BS47/BS75*BT75+28.6+3.31+16.935+6.95+27.89</f>
        <v>14541.335939405846</v>
      </c>
      <c r="BU47" s="3682">
        <f>BS47/BS75*BU75-28.6-3.31-16.935-6.95-27.89</f>
        <v>1.3882285980731162</v>
      </c>
      <c r="BV47" s="3682">
        <f>SUM('ОХР '!BS49)</f>
        <v>12112.235843928804</v>
      </c>
      <c r="BW47" s="3682">
        <f>BV47/BV75*BW75</f>
        <v>12041.380686608869</v>
      </c>
      <c r="BX47" s="3682">
        <f>BV47/BV75*BX75</f>
        <v>70.855157319934435</v>
      </c>
      <c r="BY47" s="3675" t="str">
        <f>вода!CB59</f>
        <v>Приложение</v>
      </c>
      <c r="BZ47" s="3735"/>
      <c r="CA47" s="3735"/>
      <c r="CB47" s="3735"/>
      <c r="CC47" s="3735"/>
      <c r="CD47" s="3735"/>
      <c r="CE47" s="3735"/>
      <c r="CF47" s="3735"/>
      <c r="CG47" s="3735"/>
      <c r="CH47" s="3735"/>
      <c r="CI47" s="3735"/>
      <c r="CJ47" s="3735"/>
      <c r="CK47" s="3682">
        <f>SUM(CL47:CM47)</f>
        <v>14761.135834113597</v>
      </c>
      <c r="CL47" s="3682">
        <f>SUM(BT47*1.03)*(1-0.01)-68.08</f>
        <v>14759.720257412142</v>
      </c>
      <c r="CM47" s="3682">
        <f>SUM(BU47*1.03)*(1-0.01)</f>
        <v>1.4155767014551566</v>
      </c>
      <c r="CN47" s="3682">
        <f t="shared" si="516"/>
        <v>5211.848</v>
      </c>
      <c r="CO47" s="3682">
        <f>SUM('ОХР '!CE49)</f>
        <v>5195.26</v>
      </c>
      <c r="CP47" s="3682">
        <f>SUM('ОХР '!CF49)</f>
        <v>16.588000000000001</v>
      </c>
      <c r="CQ47" s="3682">
        <f t="shared" si="517"/>
        <v>7707.0548100000015</v>
      </c>
      <c r="CR47" s="3682">
        <f>SUM('ОХР '!CL49)</f>
        <v>7685.5966600000011</v>
      </c>
      <c r="CS47" s="3682">
        <f>SUM('ОХР '!CM49)</f>
        <v>21.458150000000003</v>
      </c>
      <c r="CT47" s="3682">
        <f t="shared" si="518"/>
        <v>10235.575049999999</v>
      </c>
      <c r="CU47" s="3682">
        <f>SUM('ОХР '!CS49)</f>
        <v>10206.049999999999</v>
      </c>
      <c r="CV47" s="3682">
        <f>SUM('ОХР '!CT49)</f>
        <v>29.52505</v>
      </c>
      <c r="CW47" s="3682">
        <f t="shared" si="519"/>
        <v>11205.210177673807</v>
      </c>
      <c r="CX47" s="3682">
        <f>SUM('ОХР '!CZ49)</f>
        <v>11172.868878785355</v>
      </c>
      <c r="CY47" s="3682">
        <f>SUM('ОХР '!DA49)</f>
        <v>32.341298888451682</v>
      </c>
      <c r="CZ47" s="3682">
        <f t="shared" si="520"/>
        <v>10657.340266752199</v>
      </c>
      <c r="DA47" s="3682">
        <f>SUM('ОХР '!DE49)</f>
        <v>10596.696266752198</v>
      </c>
      <c r="DB47" s="3438">
        <v>60.643999999999998</v>
      </c>
      <c r="DC47" s="3682">
        <f t="shared" si="521"/>
        <v>4807.4112599999999</v>
      </c>
      <c r="DD47" s="3682">
        <f>SUM('ОХР '!DI49)</f>
        <v>4794.3121899999996</v>
      </c>
      <c r="DE47" s="3682">
        <f>SUM('ОХР '!DJ49)</f>
        <v>13.099070000000001</v>
      </c>
      <c r="DF47" s="3682">
        <f t="shared" si="522"/>
        <v>7266.85581</v>
      </c>
      <c r="DG47" s="3682">
        <f>SUM('ОХР '!DP49)</f>
        <v>7247.1235900000001</v>
      </c>
      <c r="DH47" s="3682">
        <f>SUM('ОХР '!DQ49)</f>
        <v>19.732219999999998</v>
      </c>
      <c r="DI47" s="3682">
        <f t="shared" si="523"/>
        <v>9954.2642699999997</v>
      </c>
      <c r="DJ47" s="3682">
        <f>SUM('ОХР '!DW49)</f>
        <v>9926.4969999999994</v>
      </c>
      <c r="DK47" s="3682">
        <f>SUM('ОХР '!DX49)</f>
        <v>27.76727</v>
      </c>
      <c r="DL47" s="3682">
        <f t="shared" si="524"/>
        <v>11292.599607599956</v>
      </c>
      <c r="DM47" s="3682">
        <f>SUM('ОХР '!ED49)</f>
        <v>11261.111978686311</v>
      </c>
      <c r="DN47" s="3682">
        <f>SUM('ОХР '!EE49)</f>
        <v>31.487628913643789</v>
      </c>
      <c r="DO47" s="3682">
        <f t="shared" si="525"/>
        <v>10734.563234436084</v>
      </c>
      <c r="DP47" s="3682">
        <f>SUM('ОХР '!EI49)</f>
        <v>10670.370672107132</v>
      </c>
      <c r="DQ47" s="3438">
        <f>SUM(DB47*1.06*0.99*(1+0.043)*0.99)-1.52</f>
        <v>64.192562328951993</v>
      </c>
      <c r="DR47" s="3682">
        <f t="shared" si="526"/>
        <v>6260.7203099999997</v>
      </c>
      <c r="DS47" s="3682">
        <f>SUM('ОХР '!EN49)</f>
        <v>6246.6289799999995</v>
      </c>
      <c r="DT47" s="3682">
        <f>SUM('ОХР '!EO49)</f>
        <v>14.091330000000003</v>
      </c>
      <c r="DU47" s="3682">
        <f t="shared" si="527"/>
        <v>9060.9280500000004</v>
      </c>
      <c r="DV47" s="3682">
        <f>SUM('ОХР '!EU49)</f>
        <v>9039.8180000000011</v>
      </c>
      <c r="DW47" s="3682">
        <f>SUM('ОХР '!EV49)</f>
        <v>21.110050000000001</v>
      </c>
      <c r="DX47" s="3682">
        <f t="shared" si="528"/>
        <v>11660.02339</v>
      </c>
      <c r="DY47" s="3682">
        <f>SUM('ОХР '!FB49)</f>
        <v>11632.231</v>
      </c>
      <c r="DZ47" s="3682">
        <f>SUM('ОХР '!FC49)+0.03</f>
        <v>27.792390000000001</v>
      </c>
      <c r="EA47" s="2346">
        <f t="shared" si="539"/>
        <v>13223.441062418895</v>
      </c>
      <c r="EB47" s="2346">
        <f>SUM('ОХР '!FI49)</f>
        <v>13191.920328544649</v>
      </c>
      <c r="EC47" s="2346">
        <f>SUM('ОХР '!FJ49)</f>
        <v>31.520733874245003</v>
      </c>
      <c r="ED47" s="3960">
        <f t="shared" si="540"/>
        <v>569.80114979975588</v>
      </c>
      <c r="EE47" s="3960">
        <f>SUM('ОХР '!EX49)</f>
        <v>501.76344000000006</v>
      </c>
      <c r="EF47" s="3986">
        <f>SUM(DQ47*1.06*0.99*(1+0.043)*0.99)-1.52</f>
        <v>68.037709799755859</v>
      </c>
      <c r="EG47" s="2346">
        <f t="shared" si="531"/>
        <v>13223.441062418895</v>
      </c>
      <c r="EH47" s="2346">
        <f>SUM('ОХР '!FI49)</f>
        <v>13191.920328544649</v>
      </c>
      <c r="EI47" s="2346">
        <f>SUM('ОХР '!FJ49)</f>
        <v>31.520733874245003</v>
      </c>
      <c r="EJ47" s="2346">
        <f t="shared" si="532"/>
        <v>12403.380867759941</v>
      </c>
      <c r="EK47" s="2346">
        <f>SUM('ОХР '!FN49)</f>
        <v>12315.59286775994</v>
      </c>
      <c r="EL47" s="2346">
        <v>87.787999999999997</v>
      </c>
      <c r="EM47" s="4834">
        <f t="shared" si="533"/>
        <v>6178.0772800000004</v>
      </c>
      <c r="EN47" s="4834">
        <f>SUM('ОХР '!FQ49)</f>
        <v>6162.6033500000003</v>
      </c>
      <c r="EO47" s="4834">
        <f>SUM('ОХР '!FR49)</f>
        <v>15.473929999999999</v>
      </c>
      <c r="EP47" s="4683">
        <f t="shared" si="534"/>
        <v>13852.45888</v>
      </c>
      <c r="EQ47" s="4683">
        <f>SUM('ОХР '!FU49)</f>
        <v>13814.14431</v>
      </c>
      <c r="ER47" s="4683">
        <f>SUM('ОХР '!FV49)</f>
        <v>38.314569999999996</v>
      </c>
    </row>
    <row r="48" spans="1:148" ht="21" customHeight="1" x14ac:dyDescent="0.2">
      <c r="A48" s="3320" t="s">
        <v>889</v>
      </c>
      <c r="B48" s="1722"/>
      <c r="C48" s="1723"/>
      <c r="D48" s="1725"/>
      <c r="E48" s="3682"/>
      <c r="F48" s="3682"/>
      <c r="G48" s="3682"/>
      <c r="H48" s="1725"/>
      <c r="I48" s="3682"/>
      <c r="J48" s="3682"/>
      <c r="K48" s="3682"/>
      <c r="L48" s="3682"/>
      <c r="M48" s="3682"/>
      <c r="N48" s="3682"/>
      <c r="O48" s="3682"/>
      <c r="P48" s="3682"/>
      <c r="Q48" s="3682"/>
      <c r="R48" s="3682"/>
      <c r="S48" s="3682"/>
      <c r="T48" s="3682"/>
      <c r="U48" s="3682"/>
      <c r="V48" s="3682"/>
      <c r="W48" s="3682"/>
      <c r="X48" s="3682"/>
      <c r="Y48" s="3682"/>
      <c r="Z48" s="3682"/>
      <c r="AA48" s="3682"/>
      <c r="AB48" s="3682"/>
      <c r="AC48" s="3682"/>
      <c r="AD48" s="3682"/>
      <c r="AE48" s="3682"/>
      <c r="AF48" s="3682"/>
      <c r="AG48" s="3682"/>
      <c r="AH48" s="3682"/>
      <c r="AI48" s="3682"/>
      <c r="AJ48" s="3682"/>
      <c r="AK48" s="3682"/>
      <c r="AL48" s="3682"/>
      <c r="AM48" s="3682"/>
      <c r="AN48" s="3682"/>
      <c r="AO48" s="3682"/>
      <c r="AP48" s="3682"/>
      <c r="AQ48" s="3682"/>
      <c r="AR48" s="3682"/>
      <c r="AS48" s="3682"/>
      <c r="AT48" s="3682"/>
      <c r="AU48" s="3682"/>
      <c r="AV48" s="3682">
        <v>828.88</v>
      </c>
      <c r="AW48" s="1728"/>
      <c r="AX48" s="3682">
        <v>828.88</v>
      </c>
      <c r="AY48" s="3682"/>
      <c r="AZ48" s="3682">
        <f>BB48+BC48</f>
        <v>286.40476017160813</v>
      </c>
      <c r="BA48" s="1604"/>
      <c r="BB48" s="3682">
        <f>'Резерв ДЗ'!F12</f>
        <v>286.40476017160813</v>
      </c>
      <c r="BC48" s="3682"/>
      <c r="BD48" s="3682">
        <v>0</v>
      </c>
      <c r="BE48" s="3682"/>
      <c r="BF48" s="3682"/>
      <c r="BG48" s="3682">
        <v>0</v>
      </c>
      <c r="BH48" s="3682"/>
      <c r="BI48" s="3682"/>
      <c r="BJ48" s="3682">
        <f>SUM(BK48:BL48)</f>
        <v>365.37</v>
      </c>
      <c r="BK48" s="3682">
        <v>365.37</v>
      </c>
      <c r="BL48" s="3682">
        <v>0</v>
      </c>
      <c r="BM48" s="3682"/>
      <c r="BN48" s="3682"/>
      <c r="BO48" s="3682"/>
      <c r="BP48" s="3682">
        <v>241.01</v>
      </c>
      <c r="BQ48" s="3682">
        <v>241.01</v>
      </c>
      <c r="BR48" s="3682"/>
      <c r="BS48" s="3682">
        <f>BP48</f>
        <v>241.01</v>
      </c>
      <c r="BT48" s="3682">
        <f>BS48</f>
        <v>241.01</v>
      </c>
      <c r="BU48" s="3682">
        <v>0</v>
      </c>
      <c r="BV48" s="3682">
        <v>249.2</v>
      </c>
      <c r="BW48" s="3682">
        <f>BV48</f>
        <v>249.2</v>
      </c>
      <c r="BX48" s="3682">
        <v>0</v>
      </c>
      <c r="BY48" s="3675" t="s">
        <v>960</v>
      </c>
      <c r="BZ48" s="3735"/>
      <c r="CA48" s="3735"/>
      <c r="CB48" s="3735"/>
      <c r="CC48" s="3735"/>
      <c r="CD48" s="3735"/>
      <c r="CE48" s="3735"/>
      <c r="CF48" s="3735"/>
      <c r="CG48" s="3735"/>
      <c r="CH48" s="3735"/>
      <c r="CI48" s="3735"/>
      <c r="CJ48" s="3735"/>
      <c r="CK48" s="3682">
        <f>SUM(CL48:CM48)</f>
        <v>249.2</v>
      </c>
      <c r="CL48" s="3682">
        <f>SUM('рез к 2018-2024 (кор) '!G64:G67)</f>
        <v>249.2</v>
      </c>
      <c r="CM48" s="3682">
        <v>0</v>
      </c>
      <c r="CN48" s="3682">
        <f t="shared" si="516"/>
        <v>0</v>
      </c>
      <c r="CO48" s="3682">
        <v>0</v>
      </c>
      <c r="CP48" s="3682">
        <v>0</v>
      </c>
      <c r="CQ48" s="3682">
        <f t="shared" si="517"/>
        <v>0</v>
      </c>
      <c r="CR48" s="3682">
        <v>0</v>
      </c>
      <c r="CS48" s="3682">
        <v>0</v>
      </c>
      <c r="CT48" s="3352">
        <f t="shared" si="518"/>
        <v>-0.01</v>
      </c>
      <c r="CU48" s="3352">
        <v>-0.01</v>
      </c>
      <c r="CV48" s="3682">
        <v>0</v>
      </c>
      <c r="CW48" s="3352">
        <f t="shared" si="519"/>
        <v>293.68776219786787</v>
      </c>
      <c r="CX48" s="3352">
        <f>SUM('рез к 2018-2024 (кор) '!F74:F77)</f>
        <v>293.68776219786787</v>
      </c>
      <c r="CY48" s="3682">
        <v>0</v>
      </c>
      <c r="CZ48" s="3352">
        <f t="shared" si="520"/>
        <v>0</v>
      </c>
      <c r="DA48" s="3352">
        <f>SUM('рез к 2018-2024 (кор) '!I74:I77)</f>
        <v>0</v>
      </c>
      <c r="DB48" s="3682">
        <v>0</v>
      </c>
      <c r="DC48" s="3682">
        <f t="shared" si="521"/>
        <v>0</v>
      </c>
      <c r="DD48" s="3682">
        <v>0</v>
      </c>
      <c r="DE48" s="3682">
        <v>0</v>
      </c>
      <c r="DF48" s="3682">
        <f t="shared" si="522"/>
        <v>0</v>
      </c>
      <c r="DG48" s="3682">
        <v>0</v>
      </c>
      <c r="DH48" s="3682">
        <v>0</v>
      </c>
      <c r="DI48" s="3682">
        <f t="shared" si="523"/>
        <v>1813.5450000000001</v>
      </c>
      <c r="DJ48" s="3682">
        <v>1813.5450000000001</v>
      </c>
      <c r="DK48" s="3682">
        <v>0</v>
      </c>
      <c r="DL48" s="3352">
        <f t="shared" si="524"/>
        <v>302.96730829756518</v>
      </c>
      <c r="DM48" s="3352">
        <f>SUM('рез к 2018-2024 (кор) '!F84:F87)</f>
        <v>302.96730829756518</v>
      </c>
      <c r="DN48" s="3682">
        <v>0</v>
      </c>
      <c r="DO48" s="3352">
        <f t="shared" si="525"/>
        <v>302.96730829756518</v>
      </c>
      <c r="DP48" s="3352">
        <f>SUM('рез к 2018-2024 (кор) '!G84:G87)</f>
        <v>302.96730829756518</v>
      </c>
      <c r="DQ48" s="3682">
        <v>0</v>
      </c>
      <c r="DR48" s="3682">
        <f t="shared" si="526"/>
        <v>0</v>
      </c>
      <c r="DS48" s="3682">
        <v>0</v>
      </c>
      <c r="DT48" s="3682">
        <v>0</v>
      </c>
      <c r="DU48" s="3682">
        <f t="shared" si="527"/>
        <v>0</v>
      </c>
      <c r="DV48" s="3682">
        <v>0</v>
      </c>
      <c r="DW48" s="3682">
        <v>0</v>
      </c>
      <c r="DX48" s="3682">
        <f t="shared" si="528"/>
        <v>1581.2724800000001</v>
      </c>
      <c r="DY48" s="3682">
        <v>1581.2724800000001</v>
      </c>
      <c r="DZ48" s="3682">
        <v>0</v>
      </c>
      <c r="EA48" s="3766">
        <f t="shared" si="539"/>
        <v>387.72721987781551</v>
      </c>
      <c r="EB48" s="3766">
        <f>SUM('рез к 2018-2024 (кор) '!F89:F92)</f>
        <v>387.72721987781551</v>
      </c>
      <c r="EC48" s="2346">
        <v>0</v>
      </c>
      <c r="ED48" s="3987">
        <f t="shared" si="540"/>
        <v>0</v>
      </c>
      <c r="EE48" s="3987">
        <f>SUM('рез к 2018-2024 (кор) '!V84:V87)</f>
        <v>0</v>
      </c>
      <c r="EF48" s="3960">
        <v>0</v>
      </c>
      <c r="EG48" s="3766">
        <f t="shared" si="531"/>
        <v>387.72721987781551</v>
      </c>
      <c r="EH48" s="3766">
        <f>SUM('рез к 2018-2024 (кор) '!F89:F92)</f>
        <v>387.72721987781551</v>
      </c>
      <c r="EI48" s="2346">
        <v>0</v>
      </c>
      <c r="EJ48" s="3766">
        <f t="shared" si="532"/>
        <v>0</v>
      </c>
      <c r="EK48" s="3766">
        <f>SUM('рез к 2018-2024 (кор) '!G94:G97)</f>
        <v>0</v>
      </c>
      <c r="EL48" s="2346">
        <v>0</v>
      </c>
      <c r="EM48" s="4683">
        <f t="shared" si="533"/>
        <v>0</v>
      </c>
      <c r="EN48" s="4683">
        <v>0</v>
      </c>
      <c r="EO48" s="4683">
        <v>0</v>
      </c>
      <c r="EP48" s="4683">
        <f t="shared" si="534"/>
        <v>0</v>
      </c>
      <c r="EQ48" s="4683">
        <v>0</v>
      </c>
      <c r="ER48" s="4683">
        <v>0</v>
      </c>
    </row>
    <row r="49" spans="1:148" ht="39.75" customHeight="1" x14ac:dyDescent="0.2">
      <c r="A49" s="3320" t="s">
        <v>4163</v>
      </c>
      <c r="B49" s="1722"/>
      <c r="C49" s="1723"/>
      <c r="D49" s="1725"/>
      <c r="E49" s="3682"/>
      <c r="F49" s="3682"/>
      <c r="G49" s="3682"/>
      <c r="H49" s="1725"/>
      <c r="I49" s="3682"/>
      <c r="J49" s="3682"/>
      <c r="K49" s="3682"/>
      <c r="L49" s="3682"/>
      <c r="M49" s="3682"/>
      <c r="N49" s="3682"/>
      <c r="O49" s="3682"/>
      <c r="P49" s="3682"/>
      <c r="Q49" s="3682"/>
      <c r="R49" s="3682"/>
      <c r="S49" s="3682"/>
      <c r="T49" s="3682"/>
      <c r="U49" s="3682"/>
      <c r="V49" s="3682"/>
      <c r="W49" s="3682"/>
      <c r="X49" s="3682"/>
      <c r="Y49" s="3682"/>
      <c r="Z49" s="3682"/>
      <c r="AA49" s="3682"/>
      <c r="AB49" s="3682"/>
      <c r="AC49" s="3682"/>
      <c r="AD49" s="3682"/>
      <c r="AE49" s="3682"/>
      <c r="AF49" s="3682"/>
      <c r="AG49" s="3682"/>
      <c r="AH49" s="3682"/>
      <c r="AI49" s="3682"/>
      <c r="AJ49" s="3682"/>
      <c r="AK49" s="3682"/>
      <c r="AL49" s="3682"/>
      <c r="AM49" s="3682"/>
      <c r="AN49" s="3682"/>
      <c r="AO49" s="3682"/>
      <c r="AP49" s="3682"/>
      <c r="AQ49" s="3682"/>
      <c r="AR49" s="3682"/>
      <c r="AS49" s="3682"/>
      <c r="AT49" s="3682"/>
      <c r="AU49" s="3682"/>
      <c r="AV49" s="3682"/>
      <c r="AW49" s="4129"/>
      <c r="AX49" s="3682"/>
      <c r="AY49" s="3682"/>
      <c r="AZ49" s="3682"/>
      <c r="BA49" s="1604"/>
      <c r="BB49" s="3682"/>
      <c r="BC49" s="3682"/>
      <c r="BD49" s="3682"/>
      <c r="BE49" s="3682"/>
      <c r="BF49" s="3682"/>
      <c r="BG49" s="3682"/>
      <c r="BH49" s="3682"/>
      <c r="BI49" s="3682"/>
      <c r="BJ49" s="3682"/>
      <c r="BK49" s="3682"/>
      <c r="BL49" s="3682"/>
      <c r="BM49" s="3682"/>
      <c r="BN49" s="3682"/>
      <c r="BO49" s="3682"/>
      <c r="BP49" s="3682"/>
      <c r="BQ49" s="3682"/>
      <c r="BR49" s="3682"/>
      <c r="BS49" s="3682"/>
      <c r="BT49" s="3682"/>
      <c r="BU49" s="3682"/>
      <c r="BV49" s="3682"/>
      <c r="BW49" s="3682"/>
      <c r="BX49" s="3682"/>
      <c r="BY49" s="4126"/>
      <c r="BZ49" s="3735"/>
      <c r="CA49" s="3735"/>
      <c r="CB49" s="3735"/>
      <c r="CC49" s="3735"/>
      <c r="CD49" s="3735"/>
      <c r="CE49" s="3735"/>
      <c r="CF49" s="3735"/>
      <c r="CG49" s="3735"/>
      <c r="CH49" s="3735"/>
      <c r="CI49" s="3735"/>
      <c r="CJ49" s="3735"/>
      <c r="CK49" s="3682"/>
      <c r="CL49" s="3682"/>
      <c r="CM49" s="3682"/>
      <c r="CN49" s="3682"/>
      <c r="CO49" s="3682"/>
      <c r="CP49" s="3682"/>
      <c r="CQ49" s="3682"/>
      <c r="CR49" s="3682"/>
      <c r="CS49" s="3682"/>
      <c r="CT49" s="3352"/>
      <c r="CU49" s="3352"/>
      <c r="CV49" s="3682"/>
      <c r="CW49" s="3352"/>
      <c r="CX49" s="3352"/>
      <c r="CY49" s="3682"/>
      <c r="CZ49" s="3352"/>
      <c r="DA49" s="3352"/>
      <c r="DB49" s="3682"/>
      <c r="DC49" s="3682"/>
      <c r="DD49" s="3682"/>
      <c r="DE49" s="3682"/>
      <c r="DF49" s="3682"/>
      <c r="DG49" s="3682"/>
      <c r="DH49" s="3682"/>
      <c r="DI49" s="3682"/>
      <c r="DJ49" s="3682"/>
      <c r="DK49" s="3682"/>
      <c r="DL49" s="3352"/>
      <c r="DM49" s="3352"/>
      <c r="DN49" s="3682"/>
      <c r="DO49" s="3352"/>
      <c r="DP49" s="3352"/>
      <c r="DQ49" s="3682"/>
      <c r="DR49" s="3682"/>
      <c r="DS49" s="3682"/>
      <c r="DT49" s="3682"/>
      <c r="DU49" s="3682"/>
      <c r="DV49" s="3682"/>
      <c r="DW49" s="3682"/>
      <c r="DX49" s="3682"/>
      <c r="DY49" s="3682"/>
      <c r="DZ49" s="3682"/>
      <c r="EA49" s="3766"/>
      <c r="EB49" s="3766"/>
      <c r="EC49" s="2346"/>
      <c r="ED49" s="3987"/>
      <c r="EE49" s="3987"/>
      <c r="EF49" s="3960"/>
      <c r="EG49" s="3766">
        <f t="shared" si="531"/>
        <v>2478.0332096000006</v>
      </c>
      <c r="EH49" s="3766">
        <f>SUM('Сбытовые расходы (дополн.)'!H10)/1000</f>
        <v>2478.0332096000006</v>
      </c>
      <c r="EI49" s="2346">
        <v>0</v>
      </c>
      <c r="EJ49" s="3766">
        <f t="shared" si="532"/>
        <v>0</v>
      </c>
      <c r="EK49" s="3766">
        <v>0</v>
      </c>
      <c r="EL49" s="2346">
        <v>0</v>
      </c>
      <c r="EM49" s="4683"/>
      <c r="EN49" s="4683"/>
      <c r="EO49" s="4683"/>
      <c r="EP49" s="4683"/>
      <c r="EQ49" s="4683"/>
      <c r="ER49" s="4683"/>
    </row>
    <row r="50" spans="1:148" ht="21" customHeight="1" x14ac:dyDescent="0.2">
      <c r="A50" s="3200" t="s">
        <v>3651</v>
      </c>
      <c r="B50" s="3419"/>
      <c r="C50" s="1724"/>
      <c r="D50" s="1725"/>
      <c r="E50" s="1728"/>
      <c r="F50" s="1728"/>
      <c r="G50" s="1728"/>
      <c r="H50" s="1725"/>
      <c r="I50" s="1728"/>
      <c r="J50" s="1728"/>
      <c r="K50" s="1728"/>
      <c r="L50" s="1728"/>
      <c r="M50" s="1728"/>
      <c r="N50" s="1728"/>
      <c r="O50" s="1728"/>
      <c r="P50" s="1728"/>
      <c r="Q50" s="1728"/>
      <c r="R50" s="1728"/>
      <c r="S50" s="1728"/>
      <c r="T50" s="1728"/>
      <c r="U50" s="1728"/>
      <c r="V50" s="1728"/>
      <c r="W50" s="1728"/>
      <c r="X50" s="1728"/>
      <c r="Y50" s="1728"/>
      <c r="Z50" s="1728"/>
      <c r="AA50" s="1728"/>
      <c r="AB50" s="1728"/>
      <c r="AC50" s="1728"/>
      <c r="AD50" s="1728"/>
      <c r="AE50" s="1728"/>
      <c r="AF50" s="1728"/>
      <c r="AG50" s="1728"/>
      <c r="AH50" s="1728"/>
      <c r="AI50" s="1728"/>
      <c r="AJ50" s="1728"/>
      <c r="AK50" s="1728"/>
      <c r="AL50" s="1728"/>
      <c r="AM50" s="1728"/>
      <c r="AN50" s="1728"/>
      <c r="AO50" s="1728"/>
      <c r="AP50" s="1728"/>
      <c r="AQ50" s="1728"/>
      <c r="AR50" s="1728"/>
      <c r="AS50" s="1728"/>
      <c r="AT50" s="1728"/>
      <c r="AU50" s="1728"/>
      <c r="AV50" s="1728"/>
      <c r="AW50" s="1728"/>
      <c r="AX50" s="1728"/>
      <c r="AY50" s="1728"/>
      <c r="AZ50" s="1728"/>
      <c r="BA50" s="1604"/>
      <c r="BB50" s="1728"/>
      <c r="BC50" s="1728"/>
      <c r="BD50" s="1728"/>
      <c r="BE50" s="1728"/>
      <c r="BF50" s="1728"/>
      <c r="BG50" s="1728"/>
      <c r="BH50" s="1728"/>
      <c r="BI50" s="1728"/>
      <c r="BJ50" s="1728"/>
      <c r="BK50" s="1728"/>
      <c r="BL50" s="1728"/>
      <c r="BM50" s="1728">
        <f>SUM(BN50:BO50)</f>
        <v>92.364000000000004</v>
      </c>
      <c r="BN50" s="1728">
        <v>92.36</v>
      </c>
      <c r="BO50" s="2688">
        <v>4.0000000000000001E-3</v>
      </c>
      <c r="BP50" s="1728"/>
      <c r="BQ50" s="1728"/>
      <c r="BR50" s="1728"/>
      <c r="BS50" s="1728">
        <f>'Аренда земли'!M13</f>
        <v>105.48881849999999</v>
      </c>
      <c r="BT50" s="1728">
        <f>BS50</f>
        <v>105.48881849999999</v>
      </c>
      <c r="BU50" s="1728">
        <v>0</v>
      </c>
      <c r="BV50" s="1728">
        <f>SUM('Аренда земли'!S15)</f>
        <v>98.938174399999994</v>
      </c>
      <c r="BW50" s="1728">
        <f>BV50</f>
        <v>98.938174399999994</v>
      </c>
      <c r="BX50" s="1728">
        <v>0</v>
      </c>
      <c r="BY50" s="3312"/>
      <c r="BZ50" s="3736"/>
      <c r="CA50" s="3736"/>
      <c r="CB50" s="3736"/>
      <c r="CC50" s="3736"/>
      <c r="CD50" s="3736"/>
      <c r="CE50" s="3736"/>
      <c r="CF50" s="3736"/>
      <c r="CG50" s="3736"/>
      <c r="CH50" s="3736"/>
      <c r="CI50" s="3736"/>
      <c r="CJ50" s="3736"/>
      <c r="CK50" s="1728">
        <f>SUM(CL50:CM50)</f>
        <v>93.10991940000001</v>
      </c>
      <c r="CL50" s="1728">
        <f>SUM('Аренда земли'!T13)</f>
        <v>93.10991940000001</v>
      </c>
      <c r="CM50" s="1728">
        <v>0</v>
      </c>
      <c r="CN50" s="1728">
        <f t="shared" si="516"/>
        <v>47.810090000000002</v>
      </c>
      <c r="CO50" s="1728">
        <f>SUM('Аренда земли'!U15)</f>
        <v>47.794029999999999</v>
      </c>
      <c r="CP50" s="1728">
        <f>SUM('Аренда земли'!V18)</f>
        <v>1.6060000000000001E-2</v>
      </c>
      <c r="CQ50" s="1728">
        <f t="shared" si="517"/>
        <v>71.728929999999991</v>
      </c>
      <c r="CR50" s="1728">
        <f>SUM('Аренда земли'!V15)</f>
        <v>71.712869999999995</v>
      </c>
      <c r="CS50" s="1728">
        <f>SUM('Аренда земли'!V18)</f>
        <v>1.6060000000000001E-2</v>
      </c>
      <c r="CT50" s="1728">
        <f t="shared" si="518"/>
        <v>95.605999999999995</v>
      </c>
      <c r="CU50" s="1728">
        <f>SUM('Аренда земли'!W15)</f>
        <v>95.585999999999999</v>
      </c>
      <c r="CV50" s="1728">
        <f>SUM('Аренда земли'!W18)</f>
        <v>0.02</v>
      </c>
      <c r="CW50" s="1728">
        <f t="shared" si="519"/>
        <v>93.10991940000001</v>
      </c>
      <c r="CX50" s="1728">
        <f>SUM('Аренда земли'!Y16)</f>
        <v>93.10991940000001</v>
      </c>
      <c r="CY50" s="1728">
        <v>0</v>
      </c>
      <c r="CZ50" s="1728">
        <f t="shared" si="520"/>
        <v>93.109919000000005</v>
      </c>
      <c r="DA50" s="1728">
        <f>SUM('Аренда земли'!Z16)</f>
        <v>93.109919000000005</v>
      </c>
      <c r="DB50" s="1728">
        <v>0</v>
      </c>
      <c r="DC50" s="1728">
        <f t="shared" si="521"/>
        <v>0</v>
      </c>
      <c r="DD50" s="1728">
        <v>0</v>
      </c>
      <c r="DE50" s="1728">
        <v>0</v>
      </c>
      <c r="DF50" s="1728">
        <f t="shared" si="522"/>
        <v>0</v>
      </c>
      <c r="DG50" s="1728">
        <v>0</v>
      </c>
      <c r="DH50" s="1728">
        <v>0</v>
      </c>
      <c r="DI50" s="1728">
        <f t="shared" si="523"/>
        <v>76.042000000000002</v>
      </c>
      <c r="DJ50" s="1728">
        <f>SUM('Аренда земли'!AC15)</f>
        <v>76.042000000000002</v>
      </c>
      <c r="DK50" s="1728">
        <v>0</v>
      </c>
      <c r="DL50" s="3985">
        <f t="shared" si="524"/>
        <v>97.765414950000007</v>
      </c>
      <c r="DM50" s="3985">
        <f>SUM('Аренда земли'!AD16)</f>
        <v>97.765414950000007</v>
      </c>
      <c r="DN50" s="3985">
        <v>0</v>
      </c>
      <c r="DO50" s="3985">
        <f t="shared" si="525"/>
        <v>62.334811559999999</v>
      </c>
      <c r="DP50" s="3985">
        <f>SUM('Аренда земли'!AE16)</f>
        <v>62.334811559999999</v>
      </c>
      <c r="DQ50" s="3985">
        <v>0</v>
      </c>
      <c r="DR50" s="3985">
        <f t="shared" si="526"/>
        <v>76.490679999999998</v>
      </c>
      <c r="DS50" s="3985">
        <f>SUM('Аренда земли'!AL15)</f>
        <v>76.490679999999998</v>
      </c>
      <c r="DT50" s="3985">
        <v>0</v>
      </c>
      <c r="DU50" s="3985">
        <f t="shared" si="527"/>
        <v>0</v>
      </c>
      <c r="DV50" s="3985">
        <f>SUM('Аренда земли'!AO15)</f>
        <v>0</v>
      </c>
      <c r="DW50" s="3985">
        <v>0</v>
      </c>
      <c r="DX50" s="3985">
        <f t="shared" si="528"/>
        <v>0</v>
      </c>
      <c r="DY50" s="3985">
        <f>SUM('Аренда земли'!AR15)</f>
        <v>0</v>
      </c>
      <c r="DZ50" s="3985">
        <v>0</v>
      </c>
      <c r="EA50" s="3696">
        <f t="shared" si="539"/>
        <v>133.48947150000001</v>
      </c>
      <c r="EB50" s="3696">
        <f>SUM('Аренда земли'!AI16)</f>
        <v>133.48947150000001</v>
      </c>
      <c r="EC50" s="3696">
        <v>0</v>
      </c>
      <c r="ED50" s="3965">
        <f t="shared" si="540"/>
        <v>0</v>
      </c>
      <c r="EE50" s="3965">
        <f>SUM('Аренда земли'!AT16)</f>
        <v>0</v>
      </c>
      <c r="EF50" s="3965">
        <v>0</v>
      </c>
      <c r="EG50" s="3696">
        <f t="shared" si="531"/>
        <v>133.48947150000001</v>
      </c>
      <c r="EH50" s="3696">
        <f>SUM('Аренда земли'!AI16)</f>
        <v>133.48947150000001</v>
      </c>
      <c r="EI50" s="3696">
        <v>0</v>
      </c>
      <c r="EJ50" s="3696">
        <f t="shared" si="532"/>
        <v>77.86</v>
      </c>
      <c r="EK50" s="3696">
        <f>SUM('Аренда земли'!AJ16)</f>
        <v>77.86</v>
      </c>
      <c r="EL50" s="3696">
        <v>0</v>
      </c>
      <c r="EM50" s="3713">
        <f t="shared" ref="EM50" si="542">EN50+EO50</f>
        <v>0</v>
      </c>
      <c r="EN50" s="3713">
        <f>SUM('Аренда земли'!BD15)</f>
        <v>0</v>
      </c>
      <c r="EO50" s="3713">
        <v>0</v>
      </c>
      <c r="EP50" s="3713">
        <f t="shared" ref="EP50" si="543">EQ50+ER50</f>
        <v>0</v>
      </c>
      <c r="EQ50" s="3713">
        <f>SUM('Аренда земли'!BG15)</f>
        <v>0</v>
      </c>
      <c r="ER50" s="3713">
        <v>0</v>
      </c>
    </row>
    <row r="51" spans="1:148" ht="21" customHeight="1" x14ac:dyDescent="0.2">
      <c r="A51" s="3320" t="s">
        <v>4074</v>
      </c>
      <c r="B51" s="1722"/>
      <c r="C51" s="1723"/>
      <c r="D51" s="1725"/>
      <c r="E51" s="3682"/>
      <c r="F51" s="3682"/>
      <c r="G51" s="3682"/>
      <c r="H51" s="1725"/>
      <c r="I51" s="3682"/>
      <c r="J51" s="3682"/>
      <c r="K51" s="3682"/>
      <c r="L51" s="3682"/>
      <c r="M51" s="3682"/>
      <c r="N51" s="3682"/>
      <c r="O51" s="3682"/>
      <c r="P51" s="3682"/>
      <c r="Q51" s="3682"/>
      <c r="R51" s="3682"/>
      <c r="S51" s="3682"/>
      <c r="T51" s="3682"/>
      <c r="U51" s="3682"/>
      <c r="V51" s="3682"/>
      <c r="W51" s="3682"/>
      <c r="X51" s="3682"/>
      <c r="Y51" s="3682"/>
      <c r="Z51" s="3682"/>
      <c r="AA51" s="3682"/>
      <c r="AB51" s="3682"/>
      <c r="AC51" s="3682"/>
      <c r="AD51" s="3682"/>
      <c r="AE51" s="3682"/>
      <c r="AF51" s="3682"/>
      <c r="AG51" s="3682"/>
      <c r="AH51" s="3682"/>
      <c r="AI51" s="3682"/>
      <c r="AJ51" s="3682"/>
      <c r="AK51" s="3682"/>
      <c r="AL51" s="3682"/>
      <c r="AM51" s="3682"/>
      <c r="AN51" s="3682"/>
      <c r="AO51" s="3682"/>
      <c r="AP51" s="3682"/>
      <c r="AQ51" s="3682"/>
      <c r="AR51" s="3682"/>
      <c r="AS51" s="3682"/>
      <c r="AT51" s="3682"/>
      <c r="AU51" s="3682"/>
      <c r="AV51" s="3682"/>
      <c r="AW51" s="1728"/>
      <c r="AX51" s="3682"/>
      <c r="AY51" s="3682"/>
      <c r="AZ51" s="3682"/>
      <c r="BA51" s="1604"/>
      <c r="BB51" s="3682"/>
      <c r="BC51" s="3682"/>
      <c r="BD51" s="3682"/>
      <c r="BE51" s="3682"/>
      <c r="BF51" s="3682"/>
      <c r="BG51" s="3682"/>
      <c r="BH51" s="3682"/>
      <c r="BI51" s="3682"/>
      <c r="BJ51" s="3682"/>
      <c r="BK51" s="3682"/>
      <c r="BL51" s="3682"/>
      <c r="BM51" s="3682"/>
      <c r="BN51" s="3682"/>
      <c r="BO51" s="3682"/>
      <c r="BP51" s="3682"/>
      <c r="BQ51" s="3682"/>
      <c r="BR51" s="3682"/>
      <c r="BS51" s="3682">
        <f>BT51</f>
        <v>517.29666900000007</v>
      </c>
      <c r="BT51" s="3682">
        <f>'Транспортировка КЭМЗ'!C12</f>
        <v>517.29666900000007</v>
      </c>
      <c r="BU51" s="3682">
        <v>0</v>
      </c>
      <c r="BV51" s="3682">
        <f>BW51</f>
        <v>549.04411800000003</v>
      </c>
      <c r="BW51" s="3682">
        <f>SUM('Транспортировка КЭМЗ'!I12)</f>
        <v>549.04411800000003</v>
      </c>
      <c r="BX51" s="3682">
        <v>0</v>
      </c>
      <c r="BY51" s="3675"/>
      <c r="BZ51" s="3735"/>
      <c r="CA51" s="3735"/>
      <c r="CB51" s="3735"/>
      <c r="CC51" s="3735"/>
      <c r="CD51" s="3735"/>
      <c r="CE51" s="3735"/>
      <c r="CF51" s="3735"/>
      <c r="CG51" s="3735"/>
      <c r="CH51" s="3735"/>
      <c r="CI51" s="3735"/>
      <c r="CJ51" s="3735"/>
      <c r="CK51" s="3682">
        <f>CL51</f>
        <v>322.41899999999998</v>
      </c>
      <c r="CL51" s="3682">
        <v>322.41899999999998</v>
      </c>
      <c r="CM51" s="3682">
        <v>0</v>
      </c>
      <c r="CN51" s="3682">
        <f>CO51</f>
        <v>0</v>
      </c>
      <c r="CO51" s="3682">
        <v>0</v>
      </c>
      <c r="CP51" s="3682">
        <v>0</v>
      </c>
      <c r="CQ51" s="3682">
        <f>CR51</f>
        <v>0</v>
      </c>
      <c r="CR51" s="3682">
        <v>0</v>
      </c>
      <c r="CS51" s="3682">
        <v>0</v>
      </c>
      <c r="CT51" s="3682">
        <f>CU51</f>
        <v>648.35</v>
      </c>
      <c r="CU51" s="3682">
        <f>SUM('Транспортировка КЭМЗ'!J12)</f>
        <v>648.35</v>
      </c>
      <c r="CV51" s="3682">
        <v>0</v>
      </c>
      <c r="CW51" s="3682">
        <f>CX51</f>
        <v>704.58079999999995</v>
      </c>
      <c r="CX51" s="3682">
        <f>SUM('Транспортировка КЭМЗ'!K12)</f>
        <v>704.58079999999995</v>
      </c>
      <c r="CY51" s="3682">
        <v>0</v>
      </c>
      <c r="CZ51" s="3682">
        <f>DA51</f>
        <v>316.125</v>
      </c>
      <c r="DA51" s="3682">
        <f>SUM('Транспортировка КЭМЗ'!L12)</f>
        <v>316.125</v>
      </c>
      <c r="DB51" s="3682">
        <v>0</v>
      </c>
      <c r="DC51" s="3682">
        <f>DD51</f>
        <v>193.685</v>
      </c>
      <c r="DD51" s="3682">
        <v>193.685</v>
      </c>
      <c r="DE51" s="3682">
        <v>0</v>
      </c>
      <c r="DF51" s="3682">
        <f>DG51</f>
        <v>280.77</v>
      </c>
      <c r="DG51" s="3682">
        <v>280.77</v>
      </c>
      <c r="DH51" s="3682">
        <v>0</v>
      </c>
      <c r="DI51" s="3682">
        <f>DJ51</f>
        <v>380.57900000000001</v>
      </c>
      <c r="DJ51" s="3682">
        <f>SUM('Транспортировка КЭМЗ'!N12)</f>
        <v>380.57900000000001</v>
      </c>
      <c r="DK51" s="3682">
        <v>0</v>
      </c>
      <c r="DL51" s="3682">
        <f>DM51</f>
        <v>331.93125000000003</v>
      </c>
      <c r="DM51" s="3682">
        <f>SUM('Транспортировка КЭМЗ'!O12)</f>
        <v>331.93125000000003</v>
      </c>
      <c r="DN51" s="3682">
        <v>0</v>
      </c>
      <c r="DO51" s="3682">
        <f>DP51</f>
        <v>211.25448</v>
      </c>
      <c r="DP51" s="3682">
        <f>SUM('Транспортировка КЭМЗ'!P12)</f>
        <v>211.25448</v>
      </c>
      <c r="DQ51" s="3682">
        <v>0</v>
      </c>
      <c r="DR51" s="3682">
        <f>DS51</f>
        <v>141.36000000000001</v>
      </c>
      <c r="DS51" s="3682">
        <f>SUM('Транспортировка КЭМЗ'!Q12)</f>
        <v>141.36000000000001</v>
      </c>
      <c r="DT51" s="3682">
        <v>0</v>
      </c>
      <c r="DU51" s="3682">
        <f>DV51</f>
        <v>199.53399999999999</v>
      </c>
      <c r="DV51" s="3682">
        <f>SUM('Транспортировка КЭМЗ'!R12)</f>
        <v>199.53399999999999</v>
      </c>
      <c r="DW51" s="3682">
        <v>0</v>
      </c>
      <c r="DX51" s="3682">
        <f>DY51</f>
        <v>269.267</v>
      </c>
      <c r="DY51" s="3682">
        <f>SUM('Транспортировка КЭМЗ'!S12)</f>
        <v>269.267</v>
      </c>
      <c r="DZ51" s="3682">
        <v>0</v>
      </c>
      <c r="EA51" s="2346">
        <f>EB51</f>
        <v>219.59903196000005</v>
      </c>
      <c r="EB51" s="2346">
        <f>SUM('Транспортировка КЭМЗ'!T12)</f>
        <v>219.59903196000005</v>
      </c>
      <c r="EC51" s="2346">
        <v>0</v>
      </c>
      <c r="ED51" s="3960">
        <f>EE51</f>
        <v>0</v>
      </c>
      <c r="EE51" s="3960">
        <f>SUM('Транспортировка КЭМЗ'!AE12)</f>
        <v>0</v>
      </c>
      <c r="EF51" s="3960">
        <v>0</v>
      </c>
      <c r="EG51" s="2346">
        <f>EH51</f>
        <v>219.59903196000005</v>
      </c>
      <c r="EH51" s="2346">
        <f>SUM('Транспортировка КЭМЗ'!T12)</f>
        <v>219.59903196000005</v>
      </c>
      <c r="EI51" s="2346">
        <v>0</v>
      </c>
      <c r="EJ51" s="2346">
        <f>EK51</f>
        <v>207.92939999999999</v>
      </c>
      <c r="EK51" s="2346">
        <f>SUM('Транспортировка КЭМЗ'!U12)</f>
        <v>207.92939999999999</v>
      </c>
      <c r="EL51" s="2346">
        <v>0</v>
      </c>
      <c r="EM51" s="4834">
        <f>EN51</f>
        <v>92.610810000000001</v>
      </c>
      <c r="EN51" s="4834">
        <f>SUM('Транспортировка КЭМЗ'!V12)</f>
        <v>92.610810000000001</v>
      </c>
      <c r="EO51" s="4834">
        <v>0</v>
      </c>
      <c r="EP51" s="4834">
        <f>EQ51</f>
        <v>139.07459</v>
      </c>
      <c r="EQ51" s="4834">
        <f>SUM('Транспортировка КЭМЗ'!W12)</f>
        <v>139.07459</v>
      </c>
      <c r="ER51" s="4834">
        <v>0</v>
      </c>
    </row>
    <row r="52" spans="1:148" ht="40.5" customHeight="1" x14ac:dyDescent="0.2">
      <c r="A52" s="3320" t="str">
        <f>вода!A64</f>
        <v>Выпадающие расходы прошлых периодов</v>
      </c>
      <c r="B52" s="1722"/>
      <c r="C52" s="1723"/>
      <c r="D52" s="1725"/>
      <c r="E52" s="3682"/>
      <c r="F52" s="3682"/>
      <c r="G52" s="3682"/>
      <c r="H52" s="1725"/>
      <c r="I52" s="3682"/>
      <c r="J52" s="3682"/>
      <c r="K52" s="3682"/>
      <c r="L52" s="3682"/>
      <c r="M52" s="3682"/>
      <c r="N52" s="3682"/>
      <c r="O52" s="3682"/>
      <c r="P52" s="3682"/>
      <c r="Q52" s="3682"/>
      <c r="R52" s="3682"/>
      <c r="S52" s="3682"/>
      <c r="T52" s="3682"/>
      <c r="U52" s="3682"/>
      <c r="V52" s="3682"/>
      <c r="W52" s="3682"/>
      <c r="X52" s="3682"/>
      <c r="Y52" s="3682"/>
      <c r="Z52" s="3682"/>
      <c r="AA52" s="3682"/>
      <c r="AB52" s="3682"/>
      <c r="AC52" s="3682"/>
      <c r="AD52" s="3682"/>
      <c r="AE52" s="3682">
        <v>885.62</v>
      </c>
      <c r="AF52" s="3682"/>
      <c r="AG52" s="3682">
        <v>885.62</v>
      </c>
      <c r="AH52" s="3682">
        <v>0</v>
      </c>
      <c r="AI52" s="3682">
        <f>SUM(AK52+AL52)</f>
        <v>1458.3999999999999</v>
      </c>
      <c r="AJ52" s="3682"/>
      <c r="AK52" s="3682">
        <v>1450.3</v>
      </c>
      <c r="AL52" s="3682">
        <v>8.1</v>
      </c>
      <c r="AM52" s="3682"/>
      <c r="AN52" s="3682"/>
      <c r="AO52" s="3682"/>
      <c r="AP52" s="3682">
        <f>SUM(AQ52:AR52)</f>
        <v>0</v>
      </c>
      <c r="AQ52" s="3682">
        <v>0</v>
      </c>
      <c r="AR52" s="3682">
        <v>0</v>
      </c>
      <c r="AS52" s="3682">
        <f>SUM(AT52:AU52)</f>
        <v>0</v>
      </c>
      <c r="AT52" s="3682">
        <v>0</v>
      </c>
      <c r="AU52" s="3682">
        <v>0</v>
      </c>
      <c r="AV52" s="3682">
        <v>26.1</v>
      </c>
      <c r="AW52" s="1728">
        <f t="shared" si="64"/>
        <v>1.7896324739440486E-2</v>
      </c>
      <c r="AX52" s="3682">
        <v>26.1</v>
      </c>
      <c r="AY52" s="3682">
        <v>0</v>
      </c>
      <c r="AZ52" s="3682">
        <f>SUM(BB52:BC52)</f>
        <v>26.100000000000009</v>
      </c>
      <c r="BA52" s="1604">
        <f t="shared" si="36"/>
        <v>1.789632473944049E-2</v>
      </c>
      <c r="BB52" s="3682">
        <f>'Выпадающ15-16'!G25</f>
        <v>26.100000000000009</v>
      </c>
      <c r="BC52" s="3682">
        <v>0</v>
      </c>
      <c r="BD52" s="3682">
        <v>0</v>
      </c>
      <c r="BE52" s="3682"/>
      <c r="BF52" s="3682"/>
      <c r="BG52" s="3682">
        <v>0</v>
      </c>
      <c r="BH52" s="3682"/>
      <c r="BI52" s="3682"/>
      <c r="BJ52" s="3682">
        <v>0</v>
      </c>
      <c r="BK52" s="3682"/>
      <c r="BL52" s="3682"/>
      <c r="BM52" s="3682"/>
      <c r="BN52" s="3682"/>
      <c r="BO52" s="3682"/>
      <c r="BP52" s="3682">
        <f>BQ52+BR52</f>
        <v>0</v>
      </c>
      <c r="BQ52" s="3682">
        <v>0</v>
      </c>
      <c r="BR52" s="3682">
        <v>0</v>
      </c>
      <c r="BS52" s="3682">
        <f>BT52+BU52</f>
        <v>0</v>
      </c>
      <c r="BT52" s="3682">
        <v>0</v>
      </c>
      <c r="BU52" s="3682">
        <v>0</v>
      </c>
      <c r="BV52" s="3682">
        <f>BW52+BX52</f>
        <v>0</v>
      </c>
      <c r="BW52" s="3682">
        <v>0</v>
      </c>
      <c r="BX52" s="3682">
        <v>0</v>
      </c>
      <c r="BY52" s="3675" t="s">
        <v>960</v>
      </c>
      <c r="BZ52" s="3735"/>
      <c r="CA52" s="3735"/>
      <c r="CB52" s="3735"/>
      <c r="CC52" s="3735"/>
      <c r="CD52" s="3735"/>
      <c r="CE52" s="3735"/>
      <c r="CF52" s="3735"/>
      <c r="CG52" s="3735"/>
      <c r="CH52" s="3735"/>
      <c r="CI52" s="3735"/>
      <c r="CJ52" s="3735"/>
      <c r="CK52" s="3682">
        <f>CL52+CM52</f>
        <v>0</v>
      </c>
      <c r="CL52" s="3682">
        <v>0</v>
      </c>
      <c r="CM52" s="3682">
        <v>0</v>
      </c>
      <c r="CN52" s="3682">
        <f>CO52+CP52</f>
        <v>0</v>
      </c>
      <c r="CO52" s="3682">
        <v>0</v>
      </c>
      <c r="CP52" s="3682">
        <v>0</v>
      </c>
      <c r="CQ52" s="3682">
        <f>CR52+CS52</f>
        <v>0</v>
      </c>
      <c r="CR52" s="3682">
        <v>0</v>
      </c>
      <c r="CS52" s="3682">
        <v>0</v>
      </c>
      <c r="CT52" s="3682">
        <f>CU52+CV52</f>
        <v>0</v>
      </c>
      <c r="CU52" s="3682">
        <v>0</v>
      </c>
      <c r="CV52" s="3682">
        <v>0</v>
      </c>
      <c r="CW52" s="3682">
        <f>CX52+CY52</f>
        <v>0</v>
      </c>
      <c r="CX52" s="3682">
        <v>0</v>
      </c>
      <c r="CY52" s="3682">
        <v>0</v>
      </c>
      <c r="CZ52" s="3682">
        <f>DA52+DB52</f>
        <v>0</v>
      </c>
      <c r="DA52" s="3682">
        <v>0</v>
      </c>
      <c r="DB52" s="3682">
        <v>0</v>
      </c>
      <c r="DC52" s="3682">
        <f>DD52+DE52</f>
        <v>0</v>
      </c>
      <c r="DD52" s="3682">
        <v>0</v>
      </c>
      <c r="DE52" s="3682">
        <v>0</v>
      </c>
      <c r="DF52" s="3682">
        <f>DG52+DH52</f>
        <v>0</v>
      </c>
      <c r="DG52" s="3682">
        <v>0</v>
      </c>
      <c r="DH52" s="3682">
        <v>0</v>
      </c>
      <c r="DI52" s="3682">
        <f>DJ52+DK52</f>
        <v>0</v>
      </c>
      <c r="DJ52" s="3682">
        <v>0</v>
      </c>
      <c r="DK52" s="3682">
        <v>0</v>
      </c>
      <c r="DL52" s="3682">
        <f>DM52+DN52</f>
        <v>0</v>
      </c>
      <c r="DM52" s="3682">
        <v>0</v>
      </c>
      <c r="DN52" s="3682">
        <v>0</v>
      </c>
      <c r="DO52" s="3682">
        <f>DP52+DQ52</f>
        <v>0</v>
      </c>
      <c r="DP52" s="3682">
        <v>0</v>
      </c>
      <c r="DQ52" s="3682">
        <v>0</v>
      </c>
      <c r="DR52" s="3682">
        <f>DS52+DT52</f>
        <v>0</v>
      </c>
      <c r="DS52" s="3682">
        <v>0</v>
      </c>
      <c r="DT52" s="3682">
        <v>0</v>
      </c>
      <c r="DU52" s="3682">
        <f>DV52+DW52</f>
        <v>0</v>
      </c>
      <c r="DV52" s="3682">
        <v>0</v>
      </c>
      <c r="DW52" s="3682">
        <v>0</v>
      </c>
      <c r="DX52" s="3682">
        <f>DY52+DZ52</f>
        <v>0</v>
      </c>
      <c r="DY52" s="3682">
        <v>0</v>
      </c>
      <c r="DZ52" s="3682">
        <v>0</v>
      </c>
      <c r="EA52" s="2346">
        <f>EB52+EC52</f>
        <v>1530.9629800000009</v>
      </c>
      <c r="EB52" s="2346">
        <f>SUM('выпадающие расходы'!F54)</f>
        <v>1530.9629800000009</v>
      </c>
      <c r="EC52" s="2346">
        <v>0</v>
      </c>
      <c r="ED52" s="3960">
        <f>EE52+EF52</f>
        <v>0</v>
      </c>
      <c r="EE52" s="3960">
        <v>0</v>
      </c>
      <c r="EF52" s="3960">
        <v>0</v>
      </c>
      <c r="EG52" s="2346">
        <f>EH52+EI52</f>
        <v>1530.9629800000009</v>
      </c>
      <c r="EH52" s="2346">
        <f>SUM('выпадающие расходы'!F54)</f>
        <v>1530.9629800000009</v>
      </c>
      <c r="EI52" s="2346">
        <v>0</v>
      </c>
      <c r="EJ52" s="2346">
        <f>EK52+EL52</f>
        <v>0</v>
      </c>
      <c r="EK52" s="2346">
        <v>0</v>
      </c>
      <c r="EL52" s="2346">
        <v>0</v>
      </c>
      <c r="EM52" s="4683">
        <f>EN52+EO52</f>
        <v>0</v>
      </c>
      <c r="EN52" s="4683">
        <v>0</v>
      </c>
      <c r="EO52" s="4683">
        <v>0</v>
      </c>
      <c r="EP52" s="4683">
        <f>EQ52+ER52</f>
        <v>0</v>
      </c>
      <c r="EQ52" s="4683">
        <v>0</v>
      </c>
      <c r="ER52" s="4683">
        <v>0</v>
      </c>
    </row>
    <row r="53" spans="1:148" ht="40.5" customHeight="1" x14ac:dyDescent="0.2">
      <c r="A53" s="3420" t="s">
        <v>3962</v>
      </c>
      <c r="B53" s="3421"/>
      <c r="C53" s="3422"/>
      <c r="D53" s="3423"/>
      <c r="E53" s="2670"/>
      <c r="F53" s="2670"/>
      <c r="G53" s="2670"/>
      <c r="H53" s="3423"/>
      <c r="I53" s="2670"/>
      <c r="J53" s="2670"/>
      <c r="K53" s="2670"/>
      <c r="L53" s="2670"/>
      <c r="M53" s="2670"/>
      <c r="N53" s="2670"/>
      <c r="O53" s="2670"/>
      <c r="P53" s="2670"/>
      <c r="Q53" s="2670"/>
      <c r="R53" s="2670"/>
      <c r="S53" s="2670"/>
      <c r="T53" s="2670"/>
      <c r="U53" s="2670"/>
      <c r="V53" s="2670"/>
      <c r="W53" s="2670"/>
      <c r="X53" s="2670"/>
      <c r="Y53" s="2670"/>
      <c r="Z53" s="2670"/>
      <c r="AA53" s="2670"/>
      <c r="AB53" s="2670"/>
      <c r="AC53" s="2670"/>
      <c r="AD53" s="2670"/>
      <c r="AE53" s="2670"/>
      <c r="AF53" s="2670"/>
      <c r="AG53" s="2670"/>
      <c r="AH53" s="2670"/>
      <c r="AI53" s="2670"/>
      <c r="AJ53" s="2670"/>
      <c r="AK53" s="2670"/>
      <c r="AL53" s="2670"/>
      <c r="AM53" s="2670"/>
      <c r="AN53" s="2670"/>
      <c r="AO53" s="2670"/>
      <c r="AP53" s="2670"/>
      <c r="AQ53" s="2670"/>
      <c r="AR53" s="2670"/>
      <c r="AS53" s="2670"/>
      <c r="AT53" s="2670"/>
      <c r="AU53" s="2670"/>
      <c r="AV53" s="2670"/>
      <c r="AW53" s="3424"/>
      <c r="AX53" s="2670"/>
      <c r="AY53" s="2670"/>
      <c r="AZ53" s="2670"/>
      <c r="BA53" s="3334"/>
      <c r="BB53" s="2670"/>
      <c r="BC53" s="2670"/>
      <c r="BD53" s="2670"/>
      <c r="BE53" s="2670"/>
      <c r="BF53" s="2670"/>
      <c r="BG53" s="2670"/>
      <c r="BH53" s="2670"/>
      <c r="BI53" s="2670"/>
      <c r="BJ53" s="2670"/>
      <c r="BK53" s="2670"/>
      <c r="BL53" s="2670"/>
      <c r="BM53" s="2670"/>
      <c r="BN53" s="2670"/>
      <c r="BO53" s="2670"/>
      <c r="BP53" s="2670"/>
      <c r="BQ53" s="2670"/>
      <c r="BR53" s="2670"/>
      <c r="BS53" s="2670"/>
      <c r="BT53" s="2670"/>
      <c r="BU53" s="2670"/>
      <c r="BV53" s="2670"/>
      <c r="BW53" s="2670"/>
      <c r="BX53" s="2670"/>
      <c r="BY53" s="3172"/>
      <c r="BZ53" s="3735"/>
      <c r="CA53" s="3735"/>
      <c r="CB53" s="3735"/>
      <c r="CC53" s="3735"/>
      <c r="CD53" s="3735"/>
      <c r="CE53" s="3735"/>
      <c r="CF53" s="3735"/>
      <c r="CG53" s="3735"/>
      <c r="CH53" s="3735"/>
      <c r="CI53" s="3735"/>
      <c r="CJ53" s="3735"/>
      <c r="CK53" s="2670"/>
      <c r="CL53" s="2670"/>
      <c r="CM53" s="2670"/>
      <c r="CN53" s="2670"/>
      <c r="CO53" s="2670"/>
      <c r="CP53" s="2670"/>
      <c r="CQ53" s="2670"/>
      <c r="CR53" s="2670"/>
      <c r="CS53" s="2670"/>
      <c r="CT53" s="2670"/>
      <c r="CU53" s="2670"/>
      <c r="CV53" s="2670"/>
      <c r="CW53" s="2670"/>
      <c r="CX53" s="2670"/>
      <c r="CY53" s="2670"/>
      <c r="CZ53" s="2670"/>
      <c r="DA53" s="2670"/>
      <c r="DB53" s="2670"/>
      <c r="DC53" s="2670"/>
      <c r="DD53" s="2670"/>
      <c r="DE53" s="2670"/>
      <c r="DF53" s="2670"/>
      <c r="DG53" s="2670"/>
      <c r="DH53" s="2670"/>
      <c r="DI53" s="2670"/>
      <c r="DJ53" s="2670"/>
      <c r="DK53" s="2670"/>
      <c r="DL53" s="3682"/>
      <c r="DM53" s="3682"/>
      <c r="DN53" s="3682"/>
      <c r="DO53" s="3682"/>
      <c r="DP53" s="3682"/>
      <c r="DQ53" s="3682"/>
      <c r="DR53" s="3682">
        <f>DS53+DT53</f>
        <v>136.93757199999999</v>
      </c>
      <c r="DS53" s="3682">
        <v>136.93757199999999</v>
      </c>
      <c r="DT53" s="3682">
        <v>0</v>
      </c>
      <c r="DU53" s="3682">
        <f>DV53+DW53</f>
        <v>211.18517600000001</v>
      </c>
      <c r="DV53" s="3682">
        <v>211.18517600000001</v>
      </c>
      <c r="DW53" s="3682">
        <v>0</v>
      </c>
      <c r="DX53" s="3682">
        <f>DY53+DZ53</f>
        <v>278.86663199999998</v>
      </c>
      <c r="DY53" s="3682">
        <v>278.86663199999998</v>
      </c>
      <c r="DZ53" s="3682">
        <v>0</v>
      </c>
      <c r="EA53" s="2346">
        <f>EB53+EC53</f>
        <v>252.89879999999999</v>
      </c>
      <c r="EB53" s="2346">
        <f>SUM('Прочие расходы дополнительно'!E6)</f>
        <v>252.89879999999999</v>
      </c>
      <c r="EC53" s="2346">
        <v>0</v>
      </c>
      <c r="ED53" s="3960"/>
      <c r="EE53" s="3960"/>
      <c r="EF53" s="3960"/>
      <c r="EG53" s="2346">
        <f>EH53+EI53</f>
        <v>252.89879999999999</v>
      </c>
      <c r="EH53" s="2346">
        <f>SUM('Прочие расходы дополнительно'!E6)</f>
        <v>252.89879999999999</v>
      </c>
      <c r="EI53" s="2346">
        <v>0</v>
      </c>
      <c r="EJ53" s="2346">
        <f>EK53+EL53</f>
        <v>0</v>
      </c>
      <c r="EK53" s="2346">
        <v>0</v>
      </c>
      <c r="EL53" s="2346">
        <v>0</v>
      </c>
      <c r="EM53" s="4683">
        <f>EN53+EO53</f>
        <v>0</v>
      </c>
      <c r="EN53" s="4683">
        <v>0</v>
      </c>
      <c r="EO53" s="4683">
        <v>0</v>
      </c>
      <c r="EP53" s="4683">
        <f>EQ53+ER53</f>
        <v>0</v>
      </c>
      <c r="EQ53" s="4683">
        <v>0</v>
      </c>
      <c r="ER53" s="4683">
        <v>0</v>
      </c>
    </row>
    <row r="54" spans="1:148" ht="40.5" customHeight="1" x14ac:dyDescent="0.2">
      <c r="A54" s="3420" t="s">
        <v>3919</v>
      </c>
      <c r="B54" s="3421"/>
      <c r="C54" s="3422"/>
      <c r="D54" s="3423"/>
      <c r="E54" s="2670"/>
      <c r="F54" s="2670"/>
      <c r="G54" s="2670"/>
      <c r="H54" s="3423"/>
      <c r="I54" s="2670"/>
      <c r="J54" s="2670"/>
      <c r="K54" s="2670"/>
      <c r="L54" s="2670"/>
      <c r="M54" s="2670"/>
      <c r="N54" s="2670"/>
      <c r="O54" s="2670"/>
      <c r="P54" s="2670"/>
      <c r="Q54" s="2670"/>
      <c r="R54" s="2670"/>
      <c r="S54" s="2670"/>
      <c r="T54" s="2670"/>
      <c r="U54" s="2670"/>
      <c r="V54" s="2670"/>
      <c r="W54" s="2670"/>
      <c r="X54" s="2670"/>
      <c r="Y54" s="2670"/>
      <c r="Z54" s="2670"/>
      <c r="AA54" s="2670"/>
      <c r="AB54" s="2670"/>
      <c r="AC54" s="2670"/>
      <c r="AD54" s="2670"/>
      <c r="AE54" s="2670"/>
      <c r="AF54" s="2670"/>
      <c r="AG54" s="2670"/>
      <c r="AH54" s="2670"/>
      <c r="AI54" s="2670"/>
      <c r="AJ54" s="2670"/>
      <c r="AK54" s="2670"/>
      <c r="AL54" s="2670"/>
      <c r="AM54" s="2670"/>
      <c r="AN54" s="2670"/>
      <c r="AO54" s="2670"/>
      <c r="AP54" s="2670"/>
      <c r="AQ54" s="2670"/>
      <c r="AR54" s="2670"/>
      <c r="AS54" s="2670"/>
      <c r="AT54" s="2670"/>
      <c r="AU54" s="2670"/>
      <c r="AV54" s="2670"/>
      <c r="AW54" s="3424"/>
      <c r="AX54" s="2670"/>
      <c r="AY54" s="2670"/>
      <c r="AZ54" s="2670"/>
      <c r="BA54" s="3334"/>
      <c r="BB54" s="2670"/>
      <c r="BC54" s="2670"/>
      <c r="BD54" s="2670"/>
      <c r="BE54" s="2670"/>
      <c r="BF54" s="2670"/>
      <c r="BG54" s="2670"/>
      <c r="BH54" s="2670"/>
      <c r="BI54" s="2670"/>
      <c r="BJ54" s="2670"/>
      <c r="BK54" s="2670"/>
      <c r="BL54" s="2670"/>
      <c r="BM54" s="2670"/>
      <c r="BN54" s="2670"/>
      <c r="BO54" s="2670"/>
      <c r="BP54" s="2670"/>
      <c r="BQ54" s="2670"/>
      <c r="BR54" s="2670"/>
      <c r="BS54" s="2670"/>
      <c r="BT54" s="2670"/>
      <c r="BU54" s="2670"/>
      <c r="BV54" s="2670"/>
      <c r="BW54" s="2670"/>
      <c r="BX54" s="2670"/>
      <c r="BY54" s="3172"/>
      <c r="BZ54" s="3735"/>
      <c r="CA54" s="3735"/>
      <c r="CB54" s="3735"/>
      <c r="CC54" s="3735"/>
      <c r="CD54" s="3735"/>
      <c r="CE54" s="3735"/>
      <c r="CF54" s="3735"/>
      <c r="CG54" s="3735"/>
      <c r="CH54" s="3735"/>
      <c r="CI54" s="3735"/>
      <c r="CJ54" s="3735"/>
      <c r="CK54" s="2670"/>
      <c r="CL54" s="2670"/>
      <c r="CM54" s="2670"/>
      <c r="CN54" s="2670"/>
      <c r="CO54" s="2670"/>
      <c r="CP54" s="2670"/>
      <c r="CQ54" s="2670"/>
      <c r="CR54" s="2670"/>
      <c r="CS54" s="2670"/>
      <c r="CT54" s="2670"/>
      <c r="CU54" s="2670"/>
      <c r="CV54" s="2670"/>
      <c r="CW54" s="2670"/>
      <c r="CX54" s="2670"/>
      <c r="CY54" s="2670"/>
      <c r="CZ54" s="2670"/>
      <c r="DA54" s="2670"/>
      <c r="DB54" s="2670"/>
      <c r="DC54" s="2670"/>
      <c r="DD54" s="2670"/>
      <c r="DE54" s="2670"/>
      <c r="DF54" s="2670"/>
      <c r="DG54" s="2670"/>
      <c r="DH54" s="2670"/>
      <c r="DI54" s="2670"/>
      <c r="DJ54" s="2670"/>
      <c r="DK54" s="2670"/>
      <c r="DL54" s="3682">
        <f>DM54+DN54</f>
        <v>491.5470695043191</v>
      </c>
      <c r="DM54" s="3682">
        <f>SUM('Бесхоз. сети стоки'!DO14)</f>
        <v>491.5470695043191</v>
      </c>
      <c r="DN54" s="3682">
        <v>0</v>
      </c>
      <c r="DO54" s="3682">
        <f>DP54+DQ54</f>
        <v>397.84000000000003</v>
      </c>
      <c r="DP54" s="3682">
        <f>SUM('Бесхоз. сети стоки'!DP14)</f>
        <v>397.84000000000003</v>
      </c>
      <c r="DQ54" s="3682">
        <v>0</v>
      </c>
      <c r="DR54" s="2670"/>
      <c r="DS54" s="2670"/>
      <c r="DT54" s="2670"/>
      <c r="DU54" s="2670"/>
      <c r="DV54" s="2670"/>
      <c r="DW54" s="2670"/>
      <c r="DX54" s="2670"/>
      <c r="DY54" s="2670"/>
      <c r="DZ54" s="2670"/>
      <c r="EA54" s="2346">
        <f>EB54+EC54</f>
        <v>413.55468000000002</v>
      </c>
      <c r="EB54" s="2346">
        <f>SUM('Бесхоз. сети стоки'!DQ14)</f>
        <v>413.55468000000002</v>
      </c>
      <c r="EC54" s="2346">
        <v>0</v>
      </c>
      <c r="ED54" s="3960">
        <f>EE54+EF54</f>
        <v>0</v>
      </c>
      <c r="EE54" s="3960">
        <f>SUM('Бесхоз. сети стоки'!EE14)</f>
        <v>0</v>
      </c>
      <c r="EF54" s="3960">
        <v>0</v>
      </c>
      <c r="EG54" s="2346">
        <f>EH54+EI54</f>
        <v>413.55468000000002</v>
      </c>
      <c r="EH54" s="2346">
        <f>SUM('Бесхоз. сети стоки'!DQ14)</f>
        <v>413.55468000000002</v>
      </c>
      <c r="EI54" s="2346">
        <v>0</v>
      </c>
      <c r="EJ54" s="2346">
        <f>EK54+EL54</f>
        <v>413.56</v>
      </c>
      <c r="EK54" s="2346">
        <f>SUM('Бесхоз. сети стоки'!DR14)</f>
        <v>413.56</v>
      </c>
      <c r="EL54" s="2346">
        <v>0</v>
      </c>
      <c r="EM54" s="4689"/>
      <c r="EN54" s="4689"/>
      <c r="EO54" s="4689"/>
      <c r="EP54" s="4689"/>
      <c r="EQ54" s="4689"/>
      <c r="ER54" s="4689"/>
    </row>
    <row r="55" spans="1:148" ht="57.75" customHeight="1" x14ac:dyDescent="0.2">
      <c r="A55" s="3420" t="s">
        <v>3974</v>
      </c>
      <c r="B55" s="3421"/>
      <c r="C55" s="3422"/>
      <c r="D55" s="3423"/>
      <c r="E55" s="2670"/>
      <c r="F55" s="2670"/>
      <c r="G55" s="2670"/>
      <c r="H55" s="3423"/>
      <c r="I55" s="2670"/>
      <c r="J55" s="2670"/>
      <c r="K55" s="2670"/>
      <c r="L55" s="2670"/>
      <c r="M55" s="2670"/>
      <c r="N55" s="2670"/>
      <c r="O55" s="2670"/>
      <c r="P55" s="2670"/>
      <c r="Q55" s="2670"/>
      <c r="R55" s="2670"/>
      <c r="S55" s="2670"/>
      <c r="T55" s="2670"/>
      <c r="U55" s="2670"/>
      <c r="V55" s="2670"/>
      <c r="W55" s="2670"/>
      <c r="X55" s="2670"/>
      <c r="Y55" s="2670"/>
      <c r="Z55" s="2670"/>
      <c r="AA55" s="2670"/>
      <c r="AB55" s="2670"/>
      <c r="AC55" s="2670"/>
      <c r="AD55" s="2670"/>
      <c r="AE55" s="2670"/>
      <c r="AF55" s="2670"/>
      <c r="AG55" s="2670"/>
      <c r="AH55" s="2670"/>
      <c r="AI55" s="2670"/>
      <c r="AJ55" s="2670"/>
      <c r="AK55" s="2670"/>
      <c r="AL55" s="2670"/>
      <c r="AM55" s="2670"/>
      <c r="AN55" s="2670"/>
      <c r="AO55" s="2670"/>
      <c r="AP55" s="2670"/>
      <c r="AQ55" s="2670"/>
      <c r="AR55" s="2670"/>
      <c r="AS55" s="2670"/>
      <c r="AT55" s="2670"/>
      <c r="AU55" s="2670"/>
      <c r="AV55" s="2670"/>
      <c r="AW55" s="3424"/>
      <c r="AX55" s="2670"/>
      <c r="AY55" s="2670"/>
      <c r="AZ55" s="2670"/>
      <c r="BA55" s="3334"/>
      <c r="BB55" s="2670"/>
      <c r="BC55" s="2670"/>
      <c r="BD55" s="2670"/>
      <c r="BE55" s="2670"/>
      <c r="BF55" s="2670"/>
      <c r="BG55" s="2670"/>
      <c r="BH55" s="2670"/>
      <c r="BI55" s="2670"/>
      <c r="BJ55" s="2670"/>
      <c r="BK55" s="2670"/>
      <c r="BL55" s="2670"/>
      <c r="BM55" s="2670"/>
      <c r="BN55" s="2670"/>
      <c r="BO55" s="2670"/>
      <c r="BP55" s="2670"/>
      <c r="BQ55" s="2670"/>
      <c r="BR55" s="2670"/>
      <c r="BS55" s="2670"/>
      <c r="BT55" s="2670"/>
      <c r="BU55" s="2670"/>
      <c r="BV55" s="2670"/>
      <c r="BW55" s="2670"/>
      <c r="BX55" s="2670"/>
      <c r="BY55" s="3172"/>
      <c r="BZ55" s="3735"/>
      <c r="CA55" s="3735"/>
      <c r="CB55" s="3735"/>
      <c r="CC55" s="3735"/>
      <c r="CD55" s="3735"/>
      <c r="CE55" s="3735"/>
      <c r="CF55" s="3735"/>
      <c r="CG55" s="3735"/>
      <c r="CH55" s="3735"/>
      <c r="CI55" s="3735"/>
      <c r="CJ55" s="3735"/>
      <c r="CK55" s="2670"/>
      <c r="CL55" s="2670"/>
      <c r="CM55" s="2670"/>
      <c r="CN55" s="2670"/>
      <c r="CO55" s="2670"/>
      <c r="CP55" s="2670"/>
      <c r="CQ55" s="2670"/>
      <c r="CR55" s="2670"/>
      <c r="CS55" s="2670"/>
      <c r="CT55" s="2670"/>
      <c r="CU55" s="2670"/>
      <c r="CV55" s="2670"/>
      <c r="CW55" s="2670"/>
      <c r="CX55" s="2670"/>
      <c r="CY55" s="2670"/>
      <c r="CZ55" s="2670"/>
      <c r="DA55" s="2670"/>
      <c r="DB55" s="2670"/>
      <c r="DC55" s="2670"/>
      <c r="DD55" s="2670"/>
      <c r="DE55" s="2670"/>
      <c r="DF55" s="2670"/>
      <c r="DG55" s="2670"/>
      <c r="DH55" s="2670"/>
      <c r="DI55" s="2670"/>
      <c r="DJ55" s="2670"/>
      <c r="DK55" s="2670"/>
      <c r="DL55" s="2670"/>
      <c r="DM55" s="2670"/>
      <c r="DN55" s="2670"/>
      <c r="DO55" s="2670"/>
      <c r="DP55" s="2670"/>
      <c r="DQ55" s="2670"/>
      <c r="DR55" s="2670"/>
      <c r="DS55" s="2670"/>
      <c r="DT55" s="2670"/>
      <c r="DU55" s="2670"/>
      <c r="DV55" s="2670"/>
      <c r="DW55" s="2670"/>
      <c r="DX55" s="2670"/>
      <c r="DY55" s="2670"/>
      <c r="DZ55" s="2670"/>
      <c r="EA55" s="2346">
        <f>EB55+EC55</f>
        <v>1150.4000000000001</v>
      </c>
      <c r="EB55" s="2346">
        <f>SUM('Прочие расходы дополнительно'!E7)</f>
        <v>1150.4000000000001</v>
      </c>
      <c r="EC55" s="2346">
        <v>0</v>
      </c>
      <c r="ED55" s="3988"/>
      <c r="EE55" s="3988"/>
      <c r="EF55" s="3988"/>
      <c r="EG55" s="2346">
        <f>EH55+EI55</f>
        <v>1150.4000000000001</v>
      </c>
      <c r="EH55" s="2346">
        <f>SUM('Прочие расходы дополнительно'!E7)</f>
        <v>1150.4000000000001</v>
      </c>
      <c r="EI55" s="2346">
        <v>0</v>
      </c>
      <c r="EJ55" s="2346">
        <f>EK55+EL55</f>
        <v>0</v>
      </c>
      <c r="EK55" s="2346">
        <v>0</v>
      </c>
      <c r="EL55" s="2346">
        <v>0</v>
      </c>
      <c r="EM55" s="4689"/>
      <c r="EN55" s="4689"/>
      <c r="EO55" s="4689"/>
      <c r="EP55" s="4689"/>
      <c r="EQ55" s="4689"/>
      <c r="ER55" s="4689"/>
    </row>
    <row r="56" spans="1:148" ht="57.75" customHeight="1" x14ac:dyDescent="0.2">
      <c r="A56" s="3420" t="s">
        <v>3978</v>
      </c>
      <c r="B56" s="3421"/>
      <c r="C56" s="3422"/>
      <c r="D56" s="3423"/>
      <c r="E56" s="2670"/>
      <c r="F56" s="2670"/>
      <c r="G56" s="2670"/>
      <c r="H56" s="3423"/>
      <c r="I56" s="2670"/>
      <c r="J56" s="2670"/>
      <c r="K56" s="2670"/>
      <c r="L56" s="2670"/>
      <c r="M56" s="2670"/>
      <c r="N56" s="2670"/>
      <c r="O56" s="2670"/>
      <c r="P56" s="2670"/>
      <c r="Q56" s="2670"/>
      <c r="R56" s="2670"/>
      <c r="S56" s="2670"/>
      <c r="T56" s="2670"/>
      <c r="U56" s="2670"/>
      <c r="V56" s="2670"/>
      <c r="W56" s="2670"/>
      <c r="X56" s="2670"/>
      <c r="Y56" s="2670"/>
      <c r="Z56" s="2670"/>
      <c r="AA56" s="2670"/>
      <c r="AB56" s="2670"/>
      <c r="AC56" s="2670"/>
      <c r="AD56" s="2670"/>
      <c r="AE56" s="2670"/>
      <c r="AF56" s="2670"/>
      <c r="AG56" s="2670"/>
      <c r="AH56" s="2670"/>
      <c r="AI56" s="2670"/>
      <c r="AJ56" s="2670"/>
      <c r="AK56" s="2670"/>
      <c r="AL56" s="2670"/>
      <c r="AM56" s="2670"/>
      <c r="AN56" s="2670"/>
      <c r="AO56" s="2670"/>
      <c r="AP56" s="2670"/>
      <c r="AQ56" s="2670"/>
      <c r="AR56" s="2670"/>
      <c r="AS56" s="2670"/>
      <c r="AT56" s="2670"/>
      <c r="AU56" s="2670"/>
      <c r="AV56" s="2670"/>
      <c r="AW56" s="3424"/>
      <c r="AX56" s="2670"/>
      <c r="AY56" s="2670"/>
      <c r="AZ56" s="2670"/>
      <c r="BA56" s="3334"/>
      <c r="BB56" s="2670"/>
      <c r="BC56" s="2670"/>
      <c r="BD56" s="2670"/>
      <c r="BE56" s="2670"/>
      <c r="BF56" s="2670"/>
      <c r="BG56" s="2670"/>
      <c r="BH56" s="2670"/>
      <c r="BI56" s="2670"/>
      <c r="BJ56" s="2670"/>
      <c r="BK56" s="2670"/>
      <c r="BL56" s="2670"/>
      <c r="BM56" s="2670"/>
      <c r="BN56" s="2670"/>
      <c r="BO56" s="2670"/>
      <c r="BP56" s="2670"/>
      <c r="BQ56" s="2670"/>
      <c r="BR56" s="2670"/>
      <c r="BS56" s="2670"/>
      <c r="BT56" s="2670"/>
      <c r="BU56" s="2670"/>
      <c r="BV56" s="2670"/>
      <c r="BW56" s="2670"/>
      <c r="BX56" s="2670"/>
      <c r="BY56" s="3172"/>
      <c r="BZ56" s="3735"/>
      <c r="CA56" s="3735"/>
      <c r="CB56" s="3735"/>
      <c r="CC56" s="3735"/>
      <c r="CD56" s="3735"/>
      <c r="CE56" s="3735"/>
      <c r="CF56" s="3735"/>
      <c r="CG56" s="3735"/>
      <c r="CH56" s="3735"/>
      <c r="CI56" s="3735"/>
      <c r="CJ56" s="3735"/>
      <c r="CK56" s="2670"/>
      <c r="CL56" s="2670"/>
      <c r="CM56" s="2670"/>
      <c r="CN56" s="2670"/>
      <c r="CO56" s="2670"/>
      <c r="CP56" s="2670"/>
      <c r="CQ56" s="2670"/>
      <c r="CR56" s="2670"/>
      <c r="CS56" s="2670"/>
      <c r="CT56" s="2670"/>
      <c r="CU56" s="2670"/>
      <c r="CV56" s="2670"/>
      <c r="CW56" s="2670"/>
      <c r="CX56" s="2670"/>
      <c r="CY56" s="2670"/>
      <c r="CZ56" s="2670"/>
      <c r="DA56" s="2670"/>
      <c r="DB56" s="2670"/>
      <c r="DC56" s="2670"/>
      <c r="DD56" s="2670"/>
      <c r="DE56" s="2670"/>
      <c r="DF56" s="2670"/>
      <c r="DG56" s="2670"/>
      <c r="DH56" s="2670"/>
      <c r="DI56" s="2670"/>
      <c r="DJ56" s="2670"/>
      <c r="DK56" s="2670"/>
      <c r="DL56" s="2670"/>
      <c r="DM56" s="2670"/>
      <c r="DN56" s="2670"/>
      <c r="DO56" s="2670"/>
      <c r="DP56" s="2670"/>
      <c r="DQ56" s="2670"/>
      <c r="DR56" s="2670"/>
      <c r="DS56" s="2670"/>
      <c r="DT56" s="2670"/>
      <c r="DU56" s="2670"/>
      <c r="DV56" s="2670"/>
      <c r="DW56" s="2670"/>
      <c r="DX56" s="2670"/>
      <c r="DY56" s="2670"/>
      <c r="DZ56" s="2670"/>
      <c r="EA56" s="2346">
        <f t="shared" ref="EA56:EA57" si="544">EB56+EC56</f>
        <v>206</v>
      </c>
      <c r="EB56" s="2346">
        <f>SUM('Прочие расходы дополнительно'!E8)</f>
        <v>206</v>
      </c>
      <c r="EC56" s="2346">
        <v>0</v>
      </c>
      <c r="ED56" s="3988"/>
      <c r="EE56" s="3988"/>
      <c r="EF56" s="3988"/>
      <c r="EG56" s="2346">
        <f t="shared" ref="EG56:EG57" si="545">EH56+EI56</f>
        <v>206</v>
      </c>
      <c r="EH56" s="2346">
        <f>SUM('Прочие расходы дополнительно'!E8)</f>
        <v>206</v>
      </c>
      <c r="EI56" s="2346">
        <v>0</v>
      </c>
      <c r="EJ56" s="2346">
        <f t="shared" ref="EJ56:EJ57" si="546">EK56+EL56</f>
        <v>0</v>
      </c>
      <c r="EK56" s="2346">
        <v>0</v>
      </c>
      <c r="EL56" s="2346">
        <v>0</v>
      </c>
      <c r="EM56" s="4689"/>
      <c r="EN56" s="4689"/>
      <c r="EO56" s="4689"/>
      <c r="EP56" s="4689"/>
      <c r="EQ56" s="4689"/>
      <c r="ER56" s="4689"/>
    </row>
    <row r="57" spans="1:148" ht="73.5" customHeight="1" x14ac:dyDescent="0.2">
      <c r="A57" s="3420" t="s">
        <v>4075</v>
      </c>
      <c r="B57" s="3421"/>
      <c r="C57" s="3422"/>
      <c r="D57" s="3423"/>
      <c r="E57" s="2670"/>
      <c r="F57" s="2670"/>
      <c r="G57" s="2670"/>
      <c r="H57" s="3423"/>
      <c r="I57" s="2670"/>
      <c r="J57" s="2670"/>
      <c r="K57" s="2670"/>
      <c r="L57" s="2670"/>
      <c r="M57" s="2670"/>
      <c r="N57" s="2670"/>
      <c r="O57" s="2670"/>
      <c r="P57" s="2670"/>
      <c r="Q57" s="2670"/>
      <c r="R57" s="2670"/>
      <c r="S57" s="2670"/>
      <c r="T57" s="2670"/>
      <c r="U57" s="2670"/>
      <c r="V57" s="2670"/>
      <c r="W57" s="2670"/>
      <c r="X57" s="2670"/>
      <c r="Y57" s="2670"/>
      <c r="Z57" s="2670"/>
      <c r="AA57" s="2670"/>
      <c r="AB57" s="2670"/>
      <c r="AC57" s="2670"/>
      <c r="AD57" s="2670"/>
      <c r="AE57" s="2670"/>
      <c r="AF57" s="2670"/>
      <c r="AG57" s="2670"/>
      <c r="AH57" s="2670"/>
      <c r="AI57" s="2670"/>
      <c r="AJ57" s="2670"/>
      <c r="AK57" s="2670"/>
      <c r="AL57" s="2670"/>
      <c r="AM57" s="2670"/>
      <c r="AN57" s="2670"/>
      <c r="AO57" s="2670"/>
      <c r="AP57" s="2670"/>
      <c r="AQ57" s="2670"/>
      <c r="AR57" s="2670"/>
      <c r="AS57" s="2670"/>
      <c r="AT57" s="2670"/>
      <c r="AU57" s="2670"/>
      <c r="AV57" s="2670"/>
      <c r="AW57" s="3424"/>
      <c r="AX57" s="2670"/>
      <c r="AY57" s="2670"/>
      <c r="AZ57" s="2670"/>
      <c r="BA57" s="3334"/>
      <c r="BB57" s="2670"/>
      <c r="BC57" s="2670"/>
      <c r="BD57" s="2670"/>
      <c r="BE57" s="2670"/>
      <c r="BF57" s="2670"/>
      <c r="BG57" s="2670"/>
      <c r="BH57" s="2670"/>
      <c r="BI57" s="2670"/>
      <c r="BJ57" s="2670"/>
      <c r="BK57" s="2670"/>
      <c r="BL57" s="2670"/>
      <c r="BM57" s="2670"/>
      <c r="BN57" s="2670"/>
      <c r="BO57" s="2670"/>
      <c r="BP57" s="2670"/>
      <c r="BQ57" s="2670"/>
      <c r="BR57" s="2670"/>
      <c r="BS57" s="2670"/>
      <c r="BT57" s="2670"/>
      <c r="BU57" s="2670"/>
      <c r="BV57" s="2670"/>
      <c r="BW57" s="2670"/>
      <c r="BX57" s="2670"/>
      <c r="BY57" s="3172"/>
      <c r="BZ57" s="3735"/>
      <c r="CA57" s="3735"/>
      <c r="CB57" s="3735"/>
      <c r="CC57" s="3735"/>
      <c r="CD57" s="3735"/>
      <c r="CE57" s="3735"/>
      <c r="CF57" s="3735"/>
      <c r="CG57" s="3735"/>
      <c r="CH57" s="3735"/>
      <c r="CI57" s="3735"/>
      <c r="CJ57" s="3735"/>
      <c r="CK57" s="2670"/>
      <c r="CL57" s="2670"/>
      <c r="CM57" s="2670"/>
      <c r="CN57" s="2670"/>
      <c r="CO57" s="2670"/>
      <c r="CP57" s="2670"/>
      <c r="CQ57" s="2670"/>
      <c r="CR57" s="2670"/>
      <c r="CS57" s="2670"/>
      <c r="CT57" s="2670"/>
      <c r="CU57" s="2670"/>
      <c r="CV57" s="2670"/>
      <c r="CW57" s="2670"/>
      <c r="CX57" s="2670"/>
      <c r="CY57" s="2670"/>
      <c r="CZ57" s="2670"/>
      <c r="DA57" s="2670"/>
      <c r="DB57" s="2670"/>
      <c r="DC57" s="2670"/>
      <c r="DD57" s="2670"/>
      <c r="DE57" s="2670"/>
      <c r="DF57" s="2670"/>
      <c r="DG57" s="2670"/>
      <c r="DH57" s="2670"/>
      <c r="DI57" s="2670"/>
      <c r="DJ57" s="2670"/>
      <c r="DK57" s="2670"/>
      <c r="DL57" s="2670"/>
      <c r="DM57" s="2670"/>
      <c r="DN57" s="2670"/>
      <c r="DO57" s="2670"/>
      <c r="DP57" s="2670"/>
      <c r="DQ57" s="2670"/>
      <c r="DR57" s="2670"/>
      <c r="DS57" s="2670"/>
      <c r="DT57" s="2670"/>
      <c r="DU57" s="2670"/>
      <c r="DV57" s="2670"/>
      <c r="DW57" s="2670"/>
      <c r="DX57" s="2670"/>
      <c r="DY57" s="2670"/>
      <c r="DZ57" s="2670"/>
      <c r="EA57" s="2346">
        <f t="shared" si="544"/>
        <v>6484.85</v>
      </c>
      <c r="EB57" s="2346">
        <f>SUM('Прочие расходы дополнительно'!E9)</f>
        <v>6484.85</v>
      </c>
      <c r="EC57" s="2346">
        <v>0</v>
      </c>
      <c r="ED57" s="3988"/>
      <c r="EE57" s="3988"/>
      <c r="EF57" s="3988"/>
      <c r="EG57" s="2346">
        <f t="shared" si="545"/>
        <v>6484.85</v>
      </c>
      <c r="EH57" s="2346">
        <f>SUM('Прочие расходы дополнительно'!E9)</f>
        <v>6484.85</v>
      </c>
      <c r="EI57" s="2346">
        <v>0</v>
      </c>
      <c r="EJ57" s="2346">
        <f t="shared" si="546"/>
        <v>0</v>
      </c>
      <c r="EK57" s="2346">
        <v>0</v>
      </c>
      <c r="EL57" s="2346">
        <v>0</v>
      </c>
      <c r="EM57" s="4689"/>
      <c r="EN57" s="4689"/>
      <c r="EO57" s="4689"/>
      <c r="EP57" s="4689"/>
      <c r="EQ57" s="4689"/>
      <c r="ER57" s="4689"/>
    </row>
    <row r="58" spans="1:148" ht="114.75" customHeight="1" x14ac:dyDescent="0.2">
      <c r="A58" s="3214" t="s">
        <v>4110</v>
      </c>
      <c r="B58" s="3421"/>
      <c r="C58" s="3422"/>
      <c r="D58" s="3423"/>
      <c r="E58" s="2670"/>
      <c r="F58" s="2670"/>
      <c r="G58" s="2670"/>
      <c r="H58" s="3423"/>
      <c r="I58" s="2670"/>
      <c r="J58" s="2670"/>
      <c r="K58" s="2670"/>
      <c r="L58" s="2670"/>
      <c r="M58" s="2670"/>
      <c r="N58" s="2670"/>
      <c r="O58" s="2670"/>
      <c r="P58" s="2670"/>
      <c r="Q58" s="2670"/>
      <c r="R58" s="2670"/>
      <c r="S58" s="2670"/>
      <c r="T58" s="2670"/>
      <c r="U58" s="2670"/>
      <c r="V58" s="2670"/>
      <c r="W58" s="2670"/>
      <c r="X58" s="2670"/>
      <c r="Y58" s="2670"/>
      <c r="Z58" s="2670"/>
      <c r="AA58" s="2670"/>
      <c r="AB58" s="2670"/>
      <c r="AC58" s="2670"/>
      <c r="AD58" s="2670"/>
      <c r="AE58" s="2670"/>
      <c r="AF58" s="2670"/>
      <c r="AG58" s="2670"/>
      <c r="AH58" s="2670"/>
      <c r="AI58" s="2670"/>
      <c r="AJ58" s="2670"/>
      <c r="AK58" s="2670"/>
      <c r="AL58" s="2670"/>
      <c r="AM58" s="2670"/>
      <c r="AN58" s="2670"/>
      <c r="AO58" s="2670"/>
      <c r="AP58" s="2670"/>
      <c r="AQ58" s="2670"/>
      <c r="AR58" s="2670"/>
      <c r="AS58" s="2670"/>
      <c r="AT58" s="2670"/>
      <c r="AU58" s="2670"/>
      <c r="AV58" s="2670"/>
      <c r="AW58" s="3424"/>
      <c r="AX58" s="2670"/>
      <c r="AY58" s="2670"/>
      <c r="AZ58" s="2670"/>
      <c r="BA58" s="3334"/>
      <c r="BB58" s="2670"/>
      <c r="BC58" s="2670"/>
      <c r="BD58" s="2670"/>
      <c r="BE58" s="2670"/>
      <c r="BF58" s="2670"/>
      <c r="BG58" s="2670"/>
      <c r="BH58" s="2670"/>
      <c r="BI58" s="2670"/>
      <c r="BJ58" s="2670"/>
      <c r="BK58" s="2670"/>
      <c r="BL58" s="2670"/>
      <c r="BM58" s="2670"/>
      <c r="BN58" s="2670"/>
      <c r="BO58" s="2670"/>
      <c r="BP58" s="2670"/>
      <c r="BQ58" s="2670"/>
      <c r="BR58" s="2670"/>
      <c r="BS58" s="2670"/>
      <c r="BT58" s="2670"/>
      <c r="BU58" s="2670"/>
      <c r="BV58" s="2670"/>
      <c r="BW58" s="2670"/>
      <c r="BX58" s="2670"/>
      <c r="BY58" s="3172"/>
      <c r="BZ58" s="3735"/>
      <c r="CA58" s="3735"/>
      <c r="CB58" s="3735"/>
      <c r="CC58" s="3735"/>
      <c r="CD58" s="3735"/>
      <c r="CE58" s="3735"/>
      <c r="CF58" s="3735"/>
      <c r="CG58" s="3735"/>
      <c r="CH58" s="3735"/>
      <c r="CI58" s="3735"/>
      <c r="CJ58" s="3735"/>
      <c r="CK58" s="2670"/>
      <c r="CL58" s="2670"/>
      <c r="CM58" s="2670"/>
      <c r="CN58" s="2670"/>
      <c r="CO58" s="2670"/>
      <c r="CP58" s="2670"/>
      <c r="CQ58" s="2670"/>
      <c r="CR58" s="2670"/>
      <c r="CS58" s="2670"/>
      <c r="CT58" s="2670"/>
      <c r="CU58" s="2670"/>
      <c r="CV58" s="2670"/>
      <c r="CW58" s="2670"/>
      <c r="CX58" s="2670"/>
      <c r="CY58" s="2670"/>
      <c r="CZ58" s="2670"/>
      <c r="DA58" s="2670"/>
      <c r="DB58" s="2670"/>
      <c r="DC58" s="2670"/>
      <c r="DD58" s="2670"/>
      <c r="DE58" s="2670"/>
      <c r="DF58" s="2670"/>
      <c r="DG58" s="2670"/>
      <c r="DH58" s="2670"/>
      <c r="DI58" s="2670"/>
      <c r="DJ58" s="2670"/>
      <c r="DK58" s="2670"/>
      <c r="DL58" s="2670"/>
      <c r="DM58" s="2670"/>
      <c r="DN58" s="2670"/>
      <c r="DO58" s="2670"/>
      <c r="DP58" s="2670"/>
      <c r="DQ58" s="2670"/>
      <c r="DR58" s="2670"/>
      <c r="DS58" s="2670"/>
      <c r="DT58" s="2670"/>
      <c r="DU58" s="2670"/>
      <c r="DV58" s="2670"/>
      <c r="DW58" s="2670"/>
      <c r="DX58" s="2670"/>
      <c r="DY58" s="2670"/>
      <c r="DZ58" s="2670"/>
      <c r="EA58" s="3355"/>
      <c r="EB58" s="3355"/>
      <c r="EC58" s="3355"/>
      <c r="ED58" s="3988"/>
      <c r="EE58" s="3988"/>
      <c r="EF58" s="3988"/>
      <c r="EG58" s="3355">
        <f>SUM(EH58:EI58)</f>
        <v>5245.8</v>
      </c>
      <c r="EH58" s="3355">
        <f>SUM('Прочие неподконтр. расх'!C8)</f>
        <v>5245.8</v>
      </c>
      <c r="EI58" s="3355"/>
      <c r="EJ58" s="3355">
        <f>SUM(EK58:EL58)</f>
        <v>2259.8003728559956</v>
      </c>
      <c r="EK58" s="3355">
        <f>SUM(Лизинг!V7)</f>
        <v>2259.8003728559956</v>
      </c>
      <c r="EL58" s="3355">
        <v>0</v>
      </c>
      <c r="EM58" s="4689"/>
      <c r="EN58" s="4689"/>
      <c r="EO58" s="4689"/>
      <c r="EP58" s="4689"/>
      <c r="EQ58" s="4689"/>
      <c r="ER58" s="4689"/>
    </row>
    <row r="59" spans="1:148" ht="93.75" customHeight="1" x14ac:dyDescent="0.2">
      <c r="A59" s="3214" t="s">
        <v>4111</v>
      </c>
      <c r="B59" s="3421"/>
      <c r="C59" s="3422"/>
      <c r="D59" s="3423"/>
      <c r="E59" s="2670"/>
      <c r="F59" s="2670"/>
      <c r="G59" s="2670"/>
      <c r="H59" s="3423"/>
      <c r="I59" s="2670"/>
      <c r="J59" s="2670"/>
      <c r="K59" s="2670"/>
      <c r="L59" s="2670"/>
      <c r="M59" s="2670"/>
      <c r="N59" s="2670"/>
      <c r="O59" s="2670"/>
      <c r="P59" s="2670"/>
      <c r="Q59" s="2670"/>
      <c r="R59" s="2670"/>
      <c r="S59" s="2670"/>
      <c r="T59" s="2670"/>
      <c r="U59" s="2670"/>
      <c r="V59" s="2670"/>
      <c r="W59" s="2670"/>
      <c r="X59" s="2670"/>
      <c r="Y59" s="2670"/>
      <c r="Z59" s="2670"/>
      <c r="AA59" s="2670"/>
      <c r="AB59" s="2670"/>
      <c r="AC59" s="2670"/>
      <c r="AD59" s="2670"/>
      <c r="AE59" s="2670"/>
      <c r="AF59" s="2670"/>
      <c r="AG59" s="2670"/>
      <c r="AH59" s="2670"/>
      <c r="AI59" s="2670"/>
      <c r="AJ59" s="2670"/>
      <c r="AK59" s="2670"/>
      <c r="AL59" s="2670"/>
      <c r="AM59" s="2670"/>
      <c r="AN59" s="2670"/>
      <c r="AO59" s="2670"/>
      <c r="AP59" s="2670"/>
      <c r="AQ59" s="2670"/>
      <c r="AR59" s="2670"/>
      <c r="AS59" s="2670"/>
      <c r="AT59" s="2670"/>
      <c r="AU59" s="2670"/>
      <c r="AV59" s="2670"/>
      <c r="AW59" s="3424"/>
      <c r="AX59" s="2670"/>
      <c r="AY59" s="2670"/>
      <c r="AZ59" s="2670"/>
      <c r="BA59" s="3334"/>
      <c r="BB59" s="2670"/>
      <c r="BC59" s="2670"/>
      <c r="BD59" s="2670"/>
      <c r="BE59" s="2670"/>
      <c r="BF59" s="2670"/>
      <c r="BG59" s="2670"/>
      <c r="BH59" s="2670"/>
      <c r="BI59" s="2670"/>
      <c r="BJ59" s="2670"/>
      <c r="BK59" s="2670"/>
      <c r="BL59" s="2670"/>
      <c r="BM59" s="2670"/>
      <c r="BN59" s="2670"/>
      <c r="BO59" s="2670"/>
      <c r="BP59" s="2670"/>
      <c r="BQ59" s="2670"/>
      <c r="BR59" s="2670"/>
      <c r="BS59" s="2670"/>
      <c r="BT59" s="2670"/>
      <c r="BU59" s="2670"/>
      <c r="BV59" s="2670"/>
      <c r="BW59" s="2670"/>
      <c r="BX59" s="2670"/>
      <c r="BY59" s="3172"/>
      <c r="BZ59" s="3735"/>
      <c r="CA59" s="3735"/>
      <c r="CB59" s="3735"/>
      <c r="CC59" s="3735"/>
      <c r="CD59" s="3735"/>
      <c r="CE59" s="3735"/>
      <c r="CF59" s="3735"/>
      <c r="CG59" s="3735"/>
      <c r="CH59" s="3735"/>
      <c r="CI59" s="3735"/>
      <c r="CJ59" s="3735"/>
      <c r="CK59" s="2670"/>
      <c r="CL59" s="2670"/>
      <c r="CM59" s="2670"/>
      <c r="CN59" s="2670"/>
      <c r="CO59" s="2670"/>
      <c r="CP59" s="2670"/>
      <c r="CQ59" s="2670"/>
      <c r="CR59" s="2670"/>
      <c r="CS59" s="2670"/>
      <c r="CT59" s="2670"/>
      <c r="CU59" s="2670"/>
      <c r="CV59" s="2670"/>
      <c r="CW59" s="2670"/>
      <c r="CX59" s="2670"/>
      <c r="CY59" s="2670"/>
      <c r="CZ59" s="2670"/>
      <c r="DA59" s="2670"/>
      <c r="DB59" s="2670"/>
      <c r="DC59" s="2670"/>
      <c r="DD59" s="2670"/>
      <c r="DE59" s="2670"/>
      <c r="DF59" s="2670"/>
      <c r="DG59" s="2670"/>
      <c r="DH59" s="2670"/>
      <c r="DI59" s="2670"/>
      <c r="DJ59" s="2670"/>
      <c r="DK59" s="2670"/>
      <c r="DL59" s="2670"/>
      <c r="DM59" s="2670"/>
      <c r="DN59" s="2670"/>
      <c r="DO59" s="2670"/>
      <c r="DP59" s="2670"/>
      <c r="DQ59" s="2670"/>
      <c r="DR59" s="2670"/>
      <c r="DS59" s="2670"/>
      <c r="DT59" s="2670"/>
      <c r="DU59" s="2670"/>
      <c r="DV59" s="2670"/>
      <c r="DW59" s="2670"/>
      <c r="DX59" s="2670"/>
      <c r="DY59" s="2670"/>
      <c r="DZ59" s="2670"/>
      <c r="EA59" s="3355"/>
      <c r="EB59" s="3355"/>
      <c r="EC59" s="3355"/>
      <c r="ED59" s="3988"/>
      <c r="EE59" s="3988"/>
      <c r="EF59" s="3988"/>
      <c r="EG59" s="3355">
        <f t="shared" ref="EG59:EG60" si="547">SUM(EH59:EI59)</f>
        <v>7930.4092920000003</v>
      </c>
      <c r="EH59" s="3355">
        <f>SUM('Прочие неподконтр. расх'!C9)</f>
        <v>7930.4092920000003</v>
      </c>
      <c r="EI59" s="3355"/>
      <c r="EJ59" s="3355">
        <f t="shared" ref="EJ59:EJ60" si="548">SUM(EK59:EL59)</f>
        <v>0</v>
      </c>
      <c r="EK59" s="3355">
        <v>0</v>
      </c>
      <c r="EL59" s="3355">
        <v>0</v>
      </c>
      <c r="EM59" s="4689"/>
      <c r="EN59" s="4689"/>
      <c r="EO59" s="4689"/>
      <c r="EP59" s="4689"/>
      <c r="EQ59" s="4689"/>
      <c r="ER59" s="4689"/>
    </row>
    <row r="60" spans="1:148" ht="73.5" customHeight="1" x14ac:dyDescent="0.2">
      <c r="A60" s="3191" t="s">
        <v>4112</v>
      </c>
      <c r="B60" s="3421"/>
      <c r="C60" s="3422"/>
      <c r="D60" s="3423"/>
      <c r="E60" s="2670"/>
      <c r="F60" s="2670"/>
      <c r="G60" s="2670"/>
      <c r="H60" s="3423"/>
      <c r="I60" s="2670"/>
      <c r="J60" s="2670"/>
      <c r="K60" s="2670"/>
      <c r="L60" s="2670"/>
      <c r="M60" s="2670"/>
      <c r="N60" s="2670"/>
      <c r="O60" s="2670"/>
      <c r="P60" s="2670"/>
      <c r="Q60" s="2670"/>
      <c r="R60" s="2670"/>
      <c r="S60" s="2670"/>
      <c r="T60" s="2670"/>
      <c r="U60" s="2670"/>
      <c r="V60" s="2670"/>
      <c r="W60" s="2670"/>
      <c r="X60" s="2670"/>
      <c r="Y60" s="2670"/>
      <c r="Z60" s="2670"/>
      <c r="AA60" s="2670"/>
      <c r="AB60" s="2670"/>
      <c r="AC60" s="2670"/>
      <c r="AD60" s="2670"/>
      <c r="AE60" s="2670"/>
      <c r="AF60" s="2670"/>
      <c r="AG60" s="2670"/>
      <c r="AH60" s="2670"/>
      <c r="AI60" s="2670"/>
      <c r="AJ60" s="2670"/>
      <c r="AK60" s="2670"/>
      <c r="AL60" s="2670"/>
      <c r="AM60" s="2670"/>
      <c r="AN60" s="2670"/>
      <c r="AO60" s="2670"/>
      <c r="AP60" s="2670"/>
      <c r="AQ60" s="2670"/>
      <c r="AR60" s="2670"/>
      <c r="AS60" s="2670"/>
      <c r="AT60" s="2670"/>
      <c r="AU60" s="2670"/>
      <c r="AV60" s="2670"/>
      <c r="AW60" s="3424"/>
      <c r="AX60" s="2670"/>
      <c r="AY60" s="2670"/>
      <c r="AZ60" s="2670"/>
      <c r="BA60" s="3334"/>
      <c r="BB60" s="2670"/>
      <c r="BC60" s="2670"/>
      <c r="BD60" s="2670"/>
      <c r="BE60" s="2670"/>
      <c r="BF60" s="2670"/>
      <c r="BG60" s="2670"/>
      <c r="BH60" s="2670"/>
      <c r="BI60" s="2670"/>
      <c r="BJ60" s="2670"/>
      <c r="BK60" s="2670"/>
      <c r="BL60" s="2670"/>
      <c r="BM60" s="2670"/>
      <c r="BN60" s="2670"/>
      <c r="BO60" s="2670"/>
      <c r="BP60" s="2670"/>
      <c r="BQ60" s="2670"/>
      <c r="BR60" s="2670"/>
      <c r="BS60" s="2670"/>
      <c r="BT60" s="2670"/>
      <c r="BU60" s="2670"/>
      <c r="BV60" s="2670"/>
      <c r="BW60" s="2670"/>
      <c r="BX60" s="2670"/>
      <c r="BY60" s="3172"/>
      <c r="BZ60" s="3735"/>
      <c r="CA60" s="3735"/>
      <c r="CB60" s="3735"/>
      <c r="CC60" s="3735"/>
      <c r="CD60" s="3735"/>
      <c r="CE60" s="3735"/>
      <c r="CF60" s="3735"/>
      <c r="CG60" s="3735"/>
      <c r="CH60" s="3735"/>
      <c r="CI60" s="3735"/>
      <c r="CJ60" s="3735"/>
      <c r="CK60" s="2670"/>
      <c r="CL60" s="2670"/>
      <c r="CM60" s="2670"/>
      <c r="CN60" s="2670"/>
      <c r="CO60" s="2670"/>
      <c r="CP60" s="2670"/>
      <c r="CQ60" s="2670"/>
      <c r="CR60" s="2670"/>
      <c r="CS60" s="2670"/>
      <c r="CT60" s="2670"/>
      <c r="CU60" s="2670"/>
      <c r="CV60" s="2670"/>
      <c r="CW60" s="2670"/>
      <c r="CX60" s="2670"/>
      <c r="CY60" s="2670"/>
      <c r="CZ60" s="2670"/>
      <c r="DA60" s="2670"/>
      <c r="DB60" s="2670"/>
      <c r="DC60" s="2670"/>
      <c r="DD60" s="2670"/>
      <c r="DE60" s="2670"/>
      <c r="DF60" s="2670"/>
      <c r="DG60" s="2670"/>
      <c r="DH60" s="2670"/>
      <c r="DI60" s="2670"/>
      <c r="DJ60" s="2670"/>
      <c r="DK60" s="2670"/>
      <c r="DL60" s="2670"/>
      <c r="DM60" s="2670"/>
      <c r="DN60" s="2670"/>
      <c r="DO60" s="2670"/>
      <c r="DP60" s="2670"/>
      <c r="DQ60" s="2670"/>
      <c r="DR60" s="2670"/>
      <c r="DS60" s="2670"/>
      <c r="DT60" s="2670"/>
      <c r="DU60" s="2670"/>
      <c r="DV60" s="2670"/>
      <c r="DW60" s="2670"/>
      <c r="DX60" s="2670"/>
      <c r="DY60" s="2670"/>
      <c r="DZ60" s="2670"/>
      <c r="EA60" s="3355"/>
      <c r="EB60" s="3355"/>
      <c r="EC60" s="3355"/>
      <c r="ED60" s="3988"/>
      <c r="EE60" s="3988"/>
      <c r="EF60" s="3988"/>
      <c r="EG60" s="3355">
        <f t="shared" si="547"/>
        <v>1673.61</v>
      </c>
      <c r="EH60" s="3355">
        <f>SUM('Прочие неподконтр. расх'!C10)</f>
        <v>1673.61</v>
      </c>
      <c r="EI60" s="3355"/>
      <c r="EJ60" s="3355">
        <f t="shared" si="548"/>
        <v>0</v>
      </c>
      <c r="EK60" s="3355">
        <v>0</v>
      </c>
      <c r="EL60" s="3355">
        <v>0</v>
      </c>
      <c r="EM60" s="4689"/>
      <c r="EN60" s="4689"/>
      <c r="EO60" s="4689"/>
      <c r="EP60" s="4689"/>
      <c r="EQ60" s="4689"/>
      <c r="ER60" s="4689"/>
    </row>
    <row r="61" spans="1:148" ht="21" customHeight="1" x14ac:dyDescent="0.2">
      <c r="A61" s="3420" t="s">
        <v>3639</v>
      </c>
      <c r="B61" s="3421">
        <f>B8+B17+B27+B34+B42+B47</f>
        <v>48804.800000000003</v>
      </c>
      <c r="C61" s="3422">
        <f>C8+C17+C27+C34+C42+C47</f>
        <v>53462.30000000001</v>
      </c>
      <c r="D61" s="3423">
        <f>C61/B61*100</f>
        <v>109.54311870963514</v>
      </c>
      <c r="E61" s="2670">
        <f>E8+E17+E27+E34+E42+E47</f>
        <v>60125.35753296347</v>
      </c>
      <c r="F61" s="2670">
        <f>F8+F17+F27+F34+F42+F47</f>
        <v>3129.1316842549895</v>
      </c>
      <c r="G61" s="2670">
        <f>G8+G17+G27+G34+G42+G47</f>
        <v>67514.555567248346</v>
      </c>
      <c r="H61" s="3423">
        <f t="shared" si="2"/>
        <v>112.28965337999659</v>
      </c>
      <c r="I61" s="2670">
        <f>I8+I17+I27+I34+I42+I47</f>
        <v>71839.299339999998</v>
      </c>
      <c r="J61" s="2670" t="e">
        <f>J8+J17+J27+J34+J42+J47+#REF!</f>
        <v>#REF!</v>
      </c>
      <c r="K61" s="2670">
        <f>K8+K17+K27+K34+K42+K47</f>
        <v>48024.894049536379</v>
      </c>
      <c r="L61" s="2670">
        <f>L8+L17+L27+L34+L42+L47</f>
        <v>69413.700222854182</v>
      </c>
      <c r="M61" s="2670">
        <f t="shared" si="25"/>
        <v>102.81294106085639</v>
      </c>
      <c r="N61" s="2670">
        <f>N8+N17+N27+N34+N42+N47</f>
        <v>89172.253990794445</v>
      </c>
      <c r="O61" s="2670">
        <f t="shared" si="26"/>
        <v>124.12739936223667</v>
      </c>
      <c r="P61" s="2670" t="e">
        <f>P8+P17+P27+P34+P42+P47</f>
        <v>#REF!</v>
      </c>
      <c r="Q61" s="2670" t="e">
        <f t="shared" ref="Q61:AA61" si="549">Q8+Q17+Q27+Q34+Q42+Q47</f>
        <v>#REF!</v>
      </c>
      <c r="R61" s="2670" t="e">
        <f t="shared" si="549"/>
        <v>#REF!</v>
      </c>
      <c r="S61" s="2670" t="e">
        <f t="shared" si="549"/>
        <v>#REF!</v>
      </c>
      <c r="T61" s="2670" t="e">
        <f t="shared" si="549"/>
        <v>#REF!</v>
      </c>
      <c r="U61" s="2670">
        <f>U8+U17+U27+U34+U42+U47</f>
        <v>56869.5</v>
      </c>
      <c r="V61" s="2670">
        <f>V8+V17+V27+V34+V42+V47</f>
        <v>0</v>
      </c>
      <c r="W61" s="2670">
        <f>W8+W17+W27+W34+W42+W47</f>
        <v>96034.68</v>
      </c>
      <c r="X61" s="2670"/>
      <c r="Y61" s="2670" t="e">
        <f t="shared" si="549"/>
        <v>#REF!</v>
      </c>
      <c r="Z61" s="2670" t="e">
        <f t="shared" si="549"/>
        <v>#REF!</v>
      </c>
      <c r="AA61" s="2670" t="e">
        <f t="shared" si="549"/>
        <v>#REF!</v>
      </c>
      <c r="AB61" s="2670">
        <f t="shared" ref="AB61:AD61" si="550">AB8+AB17+AB27+AB34+AB42+AB47</f>
        <v>70897.669500000004</v>
      </c>
      <c r="AC61" s="2670">
        <f t="shared" si="550"/>
        <v>70520.933541510851</v>
      </c>
      <c r="AD61" s="2670">
        <f t="shared" si="550"/>
        <v>376.73595848915204</v>
      </c>
      <c r="AE61" s="2670">
        <v>85498.66</v>
      </c>
      <c r="AF61" s="2670" t="e">
        <f t="shared" si="29"/>
        <v>#REF!</v>
      </c>
      <c r="AG61" s="2670">
        <v>85304.62</v>
      </c>
      <c r="AH61" s="2670">
        <v>343.42</v>
      </c>
      <c r="AI61" s="2670">
        <f>AI8+AI17+AI27+AI34+AI42+AI47+AI52</f>
        <v>81206.130865212966</v>
      </c>
      <c r="AJ61" s="2670" t="e">
        <f t="shared" si="30"/>
        <v>#REF!</v>
      </c>
      <c r="AK61" s="2670" t="e">
        <f>AK8+AK17+AK27+AK34+AK42+AK47+AK52</f>
        <v>#REF!</v>
      </c>
      <c r="AL61" s="2670" t="e">
        <f>AL8+AL17+AL27+AL34+AL42+AL47+AL52</f>
        <v>#REF!</v>
      </c>
      <c r="AM61" s="2670" t="e">
        <f>AM47+AM42+AM34+AM27+AM17+AM8</f>
        <v>#REF!</v>
      </c>
      <c r="AN61" s="2670" t="e">
        <f>#REF!-AM61</f>
        <v>#REF!</v>
      </c>
      <c r="AO61" s="2670" t="e">
        <f t="shared" si="31"/>
        <v>#REF!</v>
      </c>
      <c r="AP61" s="2670">
        <f t="shared" ref="AP61:BC61" si="551">AP8+AP17+AP27+AP34+AP42+AP47</f>
        <v>25525.760000000002</v>
      </c>
      <c r="AQ61" s="2670">
        <f t="shared" si="551"/>
        <v>25440.449918838356</v>
      </c>
      <c r="AR61" s="2670">
        <f t="shared" si="551"/>
        <v>83.252151621438273</v>
      </c>
      <c r="AS61" s="2670">
        <f t="shared" si="551"/>
        <v>40253.669999999991</v>
      </c>
      <c r="AT61" s="2670">
        <f t="shared" si="551"/>
        <v>40082.039917911483</v>
      </c>
      <c r="AU61" s="2670">
        <f t="shared" si="551"/>
        <v>167.62745114410106</v>
      </c>
      <c r="AV61" s="2670">
        <f>AV8+AV17+AV27+AV34+AV42+AV47+AV48+AV52</f>
        <v>92986.85384440083</v>
      </c>
      <c r="AW61" s="3424">
        <f t="shared" si="64"/>
        <v>1.1450718419123018</v>
      </c>
      <c r="AX61" s="2670">
        <f>AX8+AX17+AX27+AX34+AX42+AX47+AX48+AX52</f>
        <v>92625.832754033516</v>
      </c>
      <c r="AY61" s="2670">
        <f>AY8+AY17+AY27+AY34+AY42+AY47+AY52</f>
        <v>361.02109036731986</v>
      </c>
      <c r="AZ61" s="2670">
        <f>AZ8+AZ17+AZ27+AZ34+AZ42+AZ47+AZ48+AZ52</f>
        <v>81331.231157922157</v>
      </c>
      <c r="BA61" s="3334">
        <f t="shared" si="36"/>
        <v>1.0015405276840099</v>
      </c>
      <c r="BB61" s="2670">
        <f>BB8+BB17+BB27+BB34+BB42+BB47+BB48+BB52</f>
        <v>81065.511009907219</v>
      </c>
      <c r="BC61" s="2670">
        <f t="shared" si="551"/>
        <v>265.72014801492946</v>
      </c>
      <c r="BD61" s="2670">
        <f t="shared" ref="BD61:BR61" si="552">BD8+BD17+BD27+BD34+BD42+BD47+BD48+BD52</f>
        <v>81554.210000000006</v>
      </c>
      <c r="BE61" s="2670">
        <f t="shared" si="552"/>
        <v>81207.200000000012</v>
      </c>
      <c r="BF61" s="2670">
        <f t="shared" si="552"/>
        <v>347.01</v>
      </c>
      <c r="BG61" s="2670">
        <f t="shared" si="552"/>
        <v>79589.19</v>
      </c>
      <c r="BH61" s="2670">
        <f t="shared" si="552"/>
        <v>79280.180000000008</v>
      </c>
      <c r="BI61" s="2670">
        <f t="shared" si="552"/>
        <v>309.01</v>
      </c>
      <c r="BJ61" s="2670">
        <f t="shared" ref="BJ61:BL61" si="553">BJ8+BJ17+BJ27+BJ34+BJ42+BJ47+BJ48+BJ52</f>
        <v>89291.181999999986</v>
      </c>
      <c r="BK61" s="2670">
        <f t="shared" si="553"/>
        <v>88993.983999999997</v>
      </c>
      <c r="BL61" s="2670">
        <f t="shared" si="553"/>
        <v>297.19800000000004</v>
      </c>
      <c r="BM61" s="2670">
        <f t="shared" ref="BM61:BO61" si="554">BM8+BM17+BM27+BM34+BM42+BM47+BM48+BM52</f>
        <v>81692.375999999989</v>
      </c>
      <c r="BN61" s="2670">
        <f t="shared" si="554"/>
        <v>81392.004000000001</v>
      </c>
      <c r="BO61" s="2670">
        <f t="shared" si="554"/>
        <v>300.37199999999996</v>
      </c>
      <c r="BP61" s="2670">
        <f t="shared" si="552"/>
        <v>116751.68999999999</v>
      </c>
      <c r="BQ61" s="2670">
        <f t="shared" si="552"/>
        <v>116299.35999999999</v>
      </c>
      <c r="BR61" s="2670">
        <f t="shared" si="552"/>
        <v>452.33000000000004</v>
      </c>
      <c r="BS61" s="2670">
        <f>BS8+BS17+BS27+BS34+BS42+BS47+BS48+BS52+BS50+BS51+BS52</f>
        <v>96528.560192143865</v>
      </c>
      <c r="BT61" s="2670">
        <f t="shared" ref="BT61:BU61" si="555">BT8+BT17+BT27+BT34+BT42+BT47+BT48+BT52+BT50+BT51+BT52</f>
        <v>96264.34182001678</v>
      </c>
      <c r="BU61" s="2670">
        <f t="shared" si="555"/>
        <v>264.2183721270805</v>
      </c>
      <c r="BV61" s="2670">
        <f>BV8+BV17+BV27+BV34+BV42+BV47+BV48+BV52+BV50+BV51+BV52</f>
        <v>100796.00724788888</v>
      </c>
      <c r="BW61" s="2670">
        <f t="shared" ref="BW61:BX61" si="556">BW8+BW17+BW27+BW34+BW42+BW47+BW48+BW52+BW50+BW51+BW52</f>
        <v>100435.51397593354</v>
      </c>
      <c r="BX61" s="2670">
        <f t="shared" si="556"/>
        <v>360.49327195531799</v>
      </c>
      <c r="BY61" s="2592"/>
      <c r="BZ61" s="3735"/>
      <c r="CA61" s="3735"/>
      <c r="CB61" s="3735"/>
      <c r="CC61" s="3735"/>
      <c r="CD61" s="3735"/>
      <c r="CE61" s="3735"/>
      <c r="CF61" s="3735"/>
      <c r="CG61" s="3735"/>
      <c r="CH61" s="3735"/>
      <c r="CI61" s="3735"/>
      <c r="CJ61" s="3735"/>
      <c r="CK61" s="2670">
        <f>CK8+CK17+CK27+CK34+CK42+CK47+CK48+CK52+CK50+CK51+CK52</f>
        <v>97878.705887118602</v>
      </c>
      <c r="CL61" s="2670">
        <f t="shared" ref="CL61:CM61" si="557">CL8+CL17+CL27+CL34+CL42+CL47+CL48+CL52+CL50+CL51+CL52</f>
        <v>97610.762389121417</v>
      </c>
      <c r="CM61" s="2670">
        <f t="shared" si="557"/>
        <v>267.9489485440202</v>
      </c>
      <c r="CN61" s="2670">
        <f>CN8+CN17+CN27+CN34+CN42+CN47+CN48+CN52+CN51+CN52</f>
        <v>41431.43548</v>
      </c>
      <c r="CO61" s="2670">
        <f>CO8+CO17+CO27+CO34+CO42+CO47+CO48+CO52++CO51+CO52</f>
        <v>41333.026150000005</v>
      </c>
      <c r="CP61" s="2670">
        <f>CP8+CP17+CP27+CP34+CP42+CP47+CP48+CP52++CP51+CP52</f>
        <v>98.409330000000011</v>
      </c>
      <c r="CQ61" s="2670">
        <f>CQ8+CQ17+CQ27+CQ34+CQ42+CQ47+CQ48+CQ52+CQ51+CQ52</f>
        <v>62414.571280000004</v>
      </c>
      <c r="CR61" s="2670">
        <f>CR8+CR17+CR27+CR34+CR42+CR47+CR48+CR52++CR51+CR52</f>
        <v>62279.233330000003</v>
      </c>
      <c r="CS61" s="2670">
        <f>CS8+CS17+CS27+CS34+CS42+CS47+CS48+CS52++CS51+CS52</f>
        <v>135.33795000000001</v>
      </c>
      <c r="CT61" s="2670">
        <f>CT8+CT17+CT27+CT34+CT42+CT47+CT48+CT52+CT51+CT52</f>
        <v>83657.96805000001</v>
      </c>
      <c r="CU61" s="2670">
        <f>CU8+CU17+CU27+CU34+CU42+CU47+CU48+CU52+CU51+CU52</f>
        <v>83476.863000000012</v>
      </c>
      <c r="CV61" s="2670">
        <f>CV8+CV17+CV27+CV34+CV42+CV47+CV48+CV52++CV51+CV52</f>
        <v>181.10505000000001</v>
      </c>
      <c r="CW61" s="2670">
        <f>CW8+CW17+CW27+CW34+CW42+CW47+CW48+CW52+CW51+CW52</f>
        <v>115457.93360235622</v>
      </c>
      <c r="CX61" s="2670">
        <f>CX8+CX17+CX27+CX34+CX42+CX47+CX48+CX52+CX51+CX52</f>
        <v>115167.01183817482</v>
      </c>
      <c r="CY61" s="2670">
        <f>CY8+CY17+CY27+CY34+CY42+CY47+CY48+CY52++CY51+CY52</f>
        <v>290.92176418141588</v>
      </c>
      <c r="CZ61" s="2670">
        <f>CZ8+CZ17+CZ27+CZ34+CZ42+CZ47+CZ48+CZ52+CZ51+CZ52</f>
        <v>100870.7046716</v>
      </c>
      <c r="DA61" s="2670">
        <f>DA8+DA17+DA27+DA34+DA42+DA47+DA48+DA52+DA51+DA52</f>
        <v>100595.26039686298</v>
      </c>
      <c r="DB61" s="2670">
        <f>DB8+DB17+DB27+DB34+DB42+DB47+DB48+DB52++DB51+DB52</f>
        <v>275.44427473702683</v>
      </c>
      <c r="DC61" s="2670">
        <f>DC8+DC17+DC27+DC34+DC42+DC47+DC48+DC52+DC51+DC52</f>
        <v>41578.582459999998</v>
      </c>
      <c r="DD61" s="2670">
        <f>DD8+DD17+DD27+DD34+DD42+DD47+DD48+DD52++DD51+DD52</f>
        <v>41485.347179999997</v>
      </c>
      <c r="DE61" s="2670">
        <f>DE8+DE17+DE27+DE34+DE42+DE47+DE48+DE52++DE51+DE52</f>
        <v>93.235280000000003</v>
      </c>
      <c r="DF61" s="2670">
        <f>DF8+DF17+DF27+DF34+DF42+DF47+DF48+DF52+DF51+DF52</f>
        <v>62789.189829999996</v>
      </c>
      <c r="DG61" s="2670">
        <f>DG8+DG17+DG27+DG34+DG42+DG47+DG48+DG52++DG51+DG52</f>
        <v>62650.197609999996</v>
      </c>
      <c r="DH61" s="2670">
        <f>DH8+DH17+DH27+DH34+DH42+DH47+DH48+DH52++DH51+DH52</f>
        <v>138.99222</v>
      </c>
      <c r="DI61" s="2670">
        <f>DI8+DI17+DI27+DI34+DI42+DI47+DI48+DI52+DI51+DI52</f>
        <v>86741.147790000003</v>
      </c>
      <c r="DJ61" s="2670">
        <f>DJ8+DJ17+DJ27+DJ34+DJ42+DJ47+DJ48+DJ52+DJ51+DJ52</f>
        <v>86551.370519999997</v>
      </c>
      <c r="DK61" s="2670">
        <f>DK8+DK17+DK27+DK34+DK42+DK47+DK48+DK52++DK51+DK52</f>
        <v>189.77726999999999</v>
      </c>
      <c r="DL61" s="2670">
        <f>DL8+DL17+DL27+DL34+DL42+DL47+DL48+DL52+DL51+DL52+DL54</f>
        <v>123716.07303595294</v>
      </c>
      <c r="DM61" s="2670">
        <f>DM8+DM17+DM27+DM34+DM42+DM47+DM48+DM52+DM51+DM52+DM54</f>
        <v>123417.20271235975</v>
      </c>
      <c r="DN61" s="2670">
        <f>DN8+DN17+DN27+DN34+DN42+DN47+DN48+DN52++DN51+DN52+DN54</f>
        <v>298.87032359320347</v>
      </c>
      <c r="DO61" s="2670">
        <f>DO8+DO17+DO27+DO34+DO42+DO47+DO48+DO52+DO51+DO52+DO54</f>
        <v>107412.21695140716</v>
      </c>
      <c r="DP61" s="2670">
        <f>DP8+DP17+DP27+DP34+DP42+DP47+DP48+DP52+DP51+DP52+DP54</f>
        <v>107131.75579748891</v>
      </c>
      <c r="DQ61" s="2670">
        <f>DQ8+DQ17+DQ27+DQ34+DQ42+DQ47+DQ48+DQ52++DQ51+DQ52+DQ54</f>
        <v>280.46115391825549</v>
      </c>
      <c r="DR61" s="2670">
        <f>DR8+DR17+DR27+DR34+DR42+DR47+DR48+DR52+DR51+DR52+DR53</f>
        <v>45798.910731999997</v>
      </c>
      <c r="DS61" s="2670">
        <f>DS8+DS17+DS27+DS34+DS42+DS47+DS48+DS52+DS51+DS52+DS53</f>
        <v>45710.888032000003</v>
      </c>
      <c r="DT61" s="2670">
        <f>DT8+DT17+DT27+DT34+DT42+DT47+DT48+DT52++DT51+DT52+DT53</f>
        <v>88.0227</v>
      </c>
      <c r="DU61" s="2670">
        <f>DU8+DU17+DU27+DU34+DU42+DU47+DU48+DU52+DU51+DU52+DU53</f>
        <v>70324.041755999991</v>
      </c>
      <c r="DV61" s="2670">
        <f>DV8+DV17+DV27+DV34+DV42+DV47+DV48+DV52+DV51+DV52+DV53</f>
        <v>70192.051706000013</v>
      </c>
      <c r="DW61" s="2670">
        <f>DW8+DW17+DW27+DW34+DW42+DW47+DW48+DW52++DW51+DW52+DW53</f>
        <v>131.99005</v>
      </c>
      <c r="DX61" s="2670">
        <f>DX8+DX17+DX27+DX34+DX42+DX47+DX48+DX52+DX51+DX52+DX53</f>
        <v>98450.759162000002</v>
      </c>
      <c r="DY61" s="2670">
        <f>DY8+DY17+DY27+DY34+DY42+DY47+DY48+DY52+DY51+DY52+DY53</f>
        <v>98263.109771999996</v>
      </c>
      <c r="DZ61" s="2670">
        <f>DZ8+DZ17+DZ27+DZ34+DZ42+DZ47+DZ48+DZ52++DZ51+DZ52+DZ53</f>
        <v>187.64939000000004</v>
      </c>
      <c r="EA61" s="3355">
        <f>EA8+EA17+EA27+EA34+EA42+EA47+EA48+EA52+EA51+EA54+EA53+EA55+EA56+EA57</f>
        <v>144767.69176373296</v>
      </c>
      <c r="EB61" s="3355">
        <f>EB8+EB17+EB27+EB34+EB42+EB47+EB48+EB52+EB51+EB54+EB53+EB55+EB56+EB57</f>
        <v>144460.17023174241</v>
      </c>
      <c r="EC61" s="3355">
        <f>EC8+EC17+EC27+EC34+EC42+EC47+EC48+EC52+EC51+EC54+EC53+EC55+EC56+EC57</f>
        <v>307.52153199058324</v>
      </c>
      <c r="ED61" s="3988">
        <f>ED8+ED17+ED27+ED34+ED42+ED47+ED48+ED52+ED51+ED52+ED54</f>
        <v>48813.720316046958</v>
      </c>
      <c r="EE61" s="3988">
        <f>EE8+EE17+EE27+EE34+EE42+EE47+EE48+EE52+EE51+EE52+EE54</f>
        <v>48603.684314247199</v>
      </c>
      <c r="EF61" s="3988">
        <f>EF8+EF17+EF27+EF34+EF42+EF47+EF48+EF52++EF51+EF52+EF54</f>
        <v>210.03600179975587</v>
      </c>
      <c r="EG61" s="3355">
        <f>EG8+EG17+EG27+EG34+EG42+EG47+EG48+EG52+EG51+EG54+EG53+EG55+EG56+EG57+EG58+EG59+EG60+EG49</f>
        <v>162256.55679208093</v>
      </c>
      <c r="EH61" s="3355">
        <f>EH8+EH17+EH27+EH34+EH42+EH47+EH48+EH52+EH51+EH54+EH53+EH55+EH56+EH57+EH58+EH59+EH60+EH49</f>
        <v>161949.03526009037</v>
      </c>
      <c r="EI61" s="3355">
        <f>EI8+EI17+EI27+EI34+EI42+EI47+EI48+EI52+EI51+EI54+EI53+EI55+EI56+EI57</f>
        <v>307.52153199058324</v>
      </c>
      <c r="EJ61" s="3355">
        <f>EJ8+EJ17+EJ27+EJ34+EJ42+EJ47+EJ48+EJ52+EJ51+EJ54+EJ53+EJ55+EJ56+EJ57+EJ58+EJ59+EJ60+EJ49</f>
        <v>125138.73069444198</v>
      </c>
      <c r="EK61" s="3355">
        <f>EK8+EK17+EK27+EK34+EK42+EK47+EK48+EK52+EK51+EK54+EK53+EK55+EK56+EK57+EK58+EK59+EK60+EK49</f>
        <v>124815.83308740372</v>
      </c>
      <c r="EL61" s="3355">
        <f>EL8+EL17+EL27+EL34+EL42+EL47+EL48+EL52+EL51+EL54+EL53+EL55+EL56+EL57</f>
        <v>322.89760703825834</v>
      </c>
      <c r="EM61" s="4689">
        <f>EM8+EM17+EM27+EM34+EM42+EM47+EM48+EM52+EM51+EM52+EM53</f>
        <v>52749.766479999998</v>
      </c>
      <c r="EN61" s="4689">
        <f>EN8+EN17+EN27+EN34+EN42+EN47+EN48+EN52+EN51+EN52+EN53</f>
        <v>52711.782470000006</v>
      </c>
      <c r="EO61" s="4689">
        <f>EO8+EO17+EO27+EO34+EO42+EO47+EO48+EO52++EO51+EO52+EO53</f>
        <v>108.33201</v>
      </c>
      <c r="EP61" s="4689">
        <f>EP8+EP17+EP27+EP34+EP42+EP47+EP48+EP52+EP51+EP52+EP53</f>
        <v>110283.14370000002</v>
      </c>
      <c r="EQ61" s="4689">
        <f>EQ8+EQ17+EQ27+EQ34+EQ42+EQ47+EQ48+EQ52+EQ51+EQ52+EQ53</f>
        <v>110118.00274000001</v>
      </c>
      <c r="ER61" s="4689">
        <f>ER8+ER17+ER27+ER34+ER42+ER47+ER48+ER52++ER51+ER52+ER53</f>
        <v>242.39696000000004</v>
      </c>
    </row>
    <row r="62" spans="1:148" ht="21" customHeight="1" x14ac:dyDescent="0.2">
      <c r="A62" s="3314" t="s">
        <v>13</v>
      </c>
      <c r="B62" s="3421"/>
      <c r="C62" s="3422"/>
      <c r="D62" s="3423"/>
      <c r="E62" s="2670"/>
      <c r="F62" s="2670"/>
      <c r="G62" s="2670"/>
      <c r="H62" s="3423"/>
      <c r="I62" s="2670"/>
      <c r="J62" s="2670"/>
      <c r="K62" s="2670"/>
      <c r="L62" s="2670"/>
      <c r="M62" s="2670"/>
      <c r="N62" s="2670"/>
      <c r="O62" s="2670"/>
      <c r="P62" s="2670"/>
      <c r="Q62" s="2670"/>
      <c r="R62" s="2670"/>
      <c r="S62" s="2670"/>
      <c r="T62" s="2670"/>
      <c r="U62" s="2670"/>
      <c r="V62" s="2670"/>
      <c r="W62" s="2670"/>
      <c r="X62" s="2670"/>
      <c r="Y62" s="2670"/>
      <c r="Z62" s="2670"/>
      <c r="AA62" s="2670"/>
      <c r="AB62" s="2670"/>
      <c r="AC62" s="2670"/>
      <c r="AD62" s="2670"/>
      <c r="AE62" s="2670"/>
      <c r="AF62" s="2670"/>
      <c r="AG62" s="2670"/>
      <c r="AH62" s="2670"/>
      <c r="AI62" s="2670"/>
      <c r="AJ62" s="2670"/>
      <c r="AK62" s="2670"/>
      <c r="AL62" s="2670"/>
      <c r="AM62" s="2670"/>
      <c r="AN62" s="2670"/>
      <c r="AO62" s="2670"/>
      <c r="AP62" s="2670"/>
      <c r="AQ62" s="2670"/>
      <c r="AR62" s="2670"/>
      <c r="AS62" s="2670"/>
      <c r="AT62" s="2670"/>
      <c r="AU62" s="2670"/>
      <c r="AV62" s="2670"/>
      <c r="AW62" s="3424"/>
      <c r="AX62" s="2670"/>
      <c r="AY62" s="2670"/>
      <c r="AZ62" s="2670"/>
      <c r="BA62" s="3334"/>
      <c r="BB62" s="2670"/>
      <c r="BC62" s="2670"/>
      <c r="BD62" s="2670"/>
      <c r="BE62" s="2670"/>
      <c r="BF62" s="2670"/>
      <c r="BG62" s="2670"/>
      <c r="BH62" s="2670"/>
      <c r="BI62" s="2670"/>
      <c r="BJ62" s="2670">
        <f>SUM(BJ120)</f>
        <v>3248.93</v>
      </c>
      <c r="BK62" s="2670">
        <f t="shared" ref="BK62:CS62" si="558">SUM(BK120)</f>
        <v>3230</v>
      </c>
      <c r="BL62" s="2670">
        <f t="shared" si="558"/>
        <v>18.93</v>
      </c>
      <c r="BM62" s="2670">
        <f t="shared" si="558"/>
        <v>3150.37</v>
      </c>
      <c r="BN62" s="2670">
        <f t="shared" si="558"/>
        <v>3132.12</v>
      </c>
      <c r="BO62" s="2670">
        <f t="shared" si="558"/>
        <v>18.25</v>
      </c>
      <c r="BP62" s="2670">
        <f t="shared" si="558"/>
        <v>3248.93</v>
      </c>
      <c r="BQ62" s="2670">
        <f t="shared" si="558"/>
        <v>3230</v>
      </c>
      <c r="BR62" s="2670">
        <f t="shared" si="558"/>
        <v>18.93</v>
      </c>
      <c r="BS62" s="2670">
        <f t="shared" si="558"/>
        <v>3020.0036431580988</v>
      </c>
      <c r="BT62" s="2670">
        <f t="shared" si="558"/>
        <v>3002.3369764914323</v>
      </c>
      <c r="BU62" s="2670">
        <f t="shared" si="558"/>
        <v>17.666666666666668</v>
      </c>
      <c r="BV62" s="2670">
        <f t="shared" si="558"/>
        <v>3020.0036431580988</v>
      </c>
      <c r="BW62" s="2670">
        <f t="shared" si="558"/>
        <v>3002.3369764914323</v>
      </c>
      <c r="BX62" s="2670">
        <f t="shared" si="558"/>
        <v>17.666666666666668</v>
      </c>
      <c r="BY62" s="2670">
        <f t="shared" si="558"/>
        <v>0</v>
      </c>
      <c r="BZ62" s="2670">
        <f t="shared" si="558"/>
        <v>0</v>
      </c>
      <c r="CA62" s="2670">
        <f t="shared" si="558"/>
        <v>0</v>
      </c>
      <c r="CB62" s="2670">
        <f t="shared" si="558"/>
        <v>0</v>
      </c>
      <c r="CC62" s="2670">
        <f t="shared" si="558"/>
        <v>0</v>
      </c>
      <c r="CD62" s="2670">
        <f t="shared" si="558"/>
        <v>0</v>
      </c>
      <c r="CE62" s="2670">
        <f t="shared" si="558"/>
        <v>0</v>
      </c>
      <c r="CF62" s="2670">
        <f t="shared" si="558"/>
        <v>0</v>
      </c>
      <c r="CG62" s="2670">
        <f t="shared" si="558"/>
        <v>0</v>
      </c>
      <c r="CH62" s="2670">
        <f t="shared" si="558"/>
        <v>0</v>
      </c>
      <c r="CI62" s="2670">
        <f t="shared" si="558"/>
        <v>0</v>
      </c>
      <c r="CJ62" s="2670">
        <f t="shared" si="558"/>
        <v>0</v>
      </c>
      <c r="CK62" s="2670">
        <f t="shared" si="558"/>
        <v>2844.4046666666663</v>
      </c>
      <c r="CL62" s="2670">
        <f t="shared" si="558"/>
        <v>2826.7379999999998</v>
      </c>
      <c r="CM62" s="2670">
        <f t="shared" si="558"/>
        <v>17.666666666666668</v>
      </c>
      <c r="CN62" s="2670">
        <f t="shared" si="558"/>
        <v>1547.3829999999998</v>
      </c>
      <c r="CO62" s="2670">
        <f t="shared" si="558"/>
        <v>1538.6509999999998</v>
      </c>
      <c r="CP62" s="2670">
        <f t="shared" si="558"/>
        <v>8.7319999999999993</v>
      </c>
      <c r="CQ62" s="2670">
        <f t="shared" si="558"/>
        <v>2322.4540000000002</v>
      </c>
      <c r="CR62" s="2670">
        <f t="shared" si="558"/>
        <v>2309.123</v>
      </c>
      <c r="CS62" s="2670">
        <f t="shared" si="558"/>
        <v>13.331</v>
      </c>
      <c r="CT62" s="2670">
        <f t="shared" ref="CT62:CV62" si="559">SUM(CT120)</f>
        <v>3120.433</v>
      </c>
      <c r="CU62" s="2670">
        <f t="shared" si="559"/>
        <v>3105.598</v>
      </c>
      <c r="CV62" s="2670">
        <f t="shared" si="559"/>
        <v>14.835000000000001</v>
      </c>
      <c r="CW62" s="2670">
        <f t="shared" ref="CW62:CY62" si="560">SUM(CW120)</f>
        <v>2844.4046666666663</v>
      </c>
      <c r="CX62" s="2670">
        <f t="shared" si="560"/>
        <v>2826.7379999999998</v>
      </c>
      <c r="CY62" s="2670">
        <f t="shared" si="560"/>
        <v>17.666666666666668</v>
      </c>
      <c r="CZ62" s="2670">
        <f t="shared" ref="CZ62:DB62" si="561">SUM(CZ120)</f>
        <v>2844.4049999999997</v>
      </c>
      <c r="DA62" s="2670">
        <f t="shared" si="561"/>
        <v>2826.7379999999998</v>
      </c>
      <c r="DB62" s="2670">
        <f t="shared" si="561"/>
        <v>17.667000000000002</v>
      </c>
      <c r="DC62" s="2670">
        <f t="shared" ref="DC62:DQ62" si="562">SUM(DC120)</f>
        <v>1567.3310000000001</v>
      </c>
      <c r="DD62" s="2670">
        <f t="shared" si="562"/>
        <v>1559.5720000000001</v>
      </c>
      <c r="DE62" s="2670">
        <f t="shared" si="562"/>
        <v>7.7590000000000003</v>
      </c>
      <c r="DF62" s="2670">
        <f t="shared" si="562"/>
        <v>2286.9459999999999</v>
      </c>
      <c r="DG62" s="2670">
        <f t="shared" si="562"/>
        <v>2275.0949999999998</v>
      </c>
      <c r="DH62" s="2670">
        <f t="shared" si="562"/>
        <v>11.851000000000001</v>
      </c>
      <c r="DI62" s="2670">
        <f t="shared" si="562"/>
        <v>3075.5420000000004</v>
      </c>
      <c r="DJ62" s="2670">
        <f t="shared" si="562"/>
        <v>3059.2510000000002</v>
      </c>
      <c r="DK62" s="2670">
        <f t="shared" si="562"/>
        <v>16.291</v>
      </c>
      <c r="DL62" s="2670">
        <f t="shared" si="562"/>
        <v>2844.4049999999997</v>
      </c>
      <c r="DM62" s="2670">
        <f t="shared" si="562"/>
        <v>2826.7379999999998</v>
      </c>
      <c r="DN62" s="2670">
        <f t="shared" si="562"/>
        <v>17.667000000000002</v>
      </c>
      <c r="DO62" s="2670">
        <f t="shared" si="562"/>
        <v>2997.3360299999999</v>
      </c>
      <c r="DP62" s="2670">
        <f t="shared" si="562"/>
        <v>2982.5243</v>
      </c>
      <c r="DQ62" s="2670">
        <f t="shared" si="562"/>
        <v>14.811730000000001</v>
      </c>
      <c r="DR62" s="2670">
        <f t="shared" ref="DR62:DT62" si="563">SUM(DR120)</f>
        <v>1585.1690000000001</v>
      </c>
      <c r="DS62" s="2670">
        <f t="shared" si="563"/>
        <v>1577.7370000000001</v>
      </c>
      <c r="DT62" s="2670">
        <f t="shared" si="563"/>
        <v>7.4320000000000004</v>
      </c>
      <c r="DU62" s="2670">
        <f t="shared" ref="DU62:DW62" si="564">SUM(DU120)</f>
        <v>2327.3589999999999</v>
      </c>
      <c r="DV62" s="2670">
        <f t="shared" si="564"/>
        <v>2315.75</v>
      </c>
      <c r="DW62" s="2670">
        <f t="shared" si="564"/>
        <v>11.609</v>
      </c>
      <c r="DX62" s="2670">
        <f t="shared" ref="DX62:EF62" si="565">SUM(DX120)</f>
        <v>3104.08</v>
      </c>
      <c r="DY62" s="2670">
        <f t="shared" si="565"/>
        <v>3087.8620000000001</v>
      </c>
      <c r="DZ62" s="2670">
        <f t="shared" si="565"/>
        <v>16.218</v>
      </c>
      <c r="EA62" s="3355">
        <f t="shared" si="565"/>
        <v>2997.3360299999999</v>
      </c>
      <c r="EB62" s="3355">
        <f t="shared" si="565"/>
        <v>2982.5243</v>
      </c>
      <c r="EC62" s="3355">
        <f t="shared" si="565"/>
        <v>14.811730000000001</v>
      </c>
      <c r="ED62" s="3988">
        <f t="shared" si="565"/>
        <v>0</v>
      </c>
      <c r="EE62" s="3988">
        <f t="shared" si="565"/>
        <v>0</v>
      </c>
      <c r="EF62" s="3988">
        <f t="shared" si="565"/>
        <v>0</v>
      </c>
      <c r="EG62" s="3355">
        <f t="shared" ref="EG62" si="566">SUM(EG120)</f>
        <v>2997.3360299999999</v>
      </c>
      <c r="EH62" s="3355">
        <f>SUM(EB120)</f>
        <v>2982.5243</v>
      </c>
      <c r="EI62" s="3355">
        <f>SUM(EC120)</f>
        <v>14.811730000000001</v>
      </c>
      <c r="EJ62" s="3730">
        <f>SUM(EK62:EL62)</f>
        <v>3074.2522484906162</v>
      </c>
      <c r="EK62" s="3730">
        <f>SUM(EK120)</f>
        <v>3059.0289771459002</v>
      </c>
      <c r="EL62" s="3730">
        <f>SUM(EL120)</f>
        <v>15.2232713447161</v>
      </c>
      <c r="EM62" s="4689">
        <f t="shared" ref="EM62" si="567">SUM(EM120)</f>
        <v>1652.5140000000001</v>
      </c>
      <c r="EN62" s="4689">
        <f>SUM('объемы ВС и ВО 2023'!CK63)</f>
        <v>1645.6220000000001</v>
      </c>
      <c r="EO62" s="4689">
        <f>SUM('объемы ВС и ВО 2023'!CL63)</f>
        <v>6.8920000000000003</v>
      </c>
      <c r="EP62" s="4689">
        <f t="shared" ref="EP62" si="568">SUM(EP120)</f>
        <v>3225.5614</v>
      </c>
      <c r="EQ62" s="4689">
        <f>SUM('объемы ВС и ВО 2023'!CM63)</f>
        <v>3210.7348999999999</v>
      </c>
      <c r="ER62" s="4689">
        <f>SUM('объемы ВС и ВО 2023'!CN63)</f>
        <v>14.826499999999999</v>
      </c>
    </row>
    <row r="63" spans="1:148" ht="21" customHeight="1" x14ac:dyDescent="0.2">
      <c r="A63" s="3339" t="s">
        <v>14</v>
      </c>
      <c r="B63" s="1722"/>
      <c r="C63" s="1723"/>
      <c r="D63" s="1725"/>
      <c r="E63" s="3682"/>
      <c r="F63" s="3682"/>
      <c r="G63" s="3682"/>
      <c r="H63" s="1725"/>
      <c r="I63" s="3682"/>
      <c r="J63" s="3682"/>
      <c r="K63" s="3682"/>
      <c r="L63" s="3682"/>
      <c r="M63" s="3682"/>
      <c r="N63" s="3682"/>
      <c r="O63" s="3682"/>
      <c r="P63" s="3682"/>
      <c r="Q63" s="3682"/>
      <c r="R63" s="3682"/>
      <c r="S63" s="3682"/>
      <c r="T63" s="3682"/>
      <c r="U63" s="3682"/>
      <c r="V63" s="3682"/>
      <c r="W63" s="3682"/>
      <c r="X63" s="3682"/>
      <c r="Y63" s="3682"/>
      <c r="Z63" s="3682"/>
      <c r="AA63" s="3682"/>
      <c r="AB63" s="3682"/>
      <c r="AC63" s="3682"/>
      <c r="AD63" s="3682"/>
      <c r="AE63" s="3682">
        <v>885.62</v>
      </c>
      <c r="AF63" s="3682"/>
      <c r="AG63" s="3682">
        <v>885.62</v>
      </c>
      <c r="AH63" s="3682">
        <v>0</v>
      </c>
      <c r="AI63" s="3682">
        <f>SUM(AK63+AL63)</f>
        <v>1458.3999999999999</v>
      </c>
      <c r="AJ63" s="3682"/>
      <c r="AK63" s="3682">
        <v>1450.3</v>
      </c>
      <c r="AL63" s="3682">
        <v>8.1</v>
      </c>
      <c r="AM63" s="3682"/>
      <c r="AN63" s="3682"/>
      <c r="AO63" s="3682"/>
      <c r="AP63" s="3682">
        <f>SUM(AQ63:AR63)</f>
        <v>0</v>
      </c>
      <c r="AQ63" s="3682">
        <v>0</v>
      </c>
      <c r="AR63" s="3682">
        <v>0</v>
      </c>
      <c r="AS63" s="3682">
        <f>SUM(AT63:AU63)</f>
        <v>0</v>
      </c>
      <c r="AT63" s="3682">
        <v>0</v>
      </c>
      <c r="AU63" s="3682">
        <v>0</v>
      </c>
      <c r="AV63" s="3682">
        <v>26.1</v>
      </c>
      <c r="AW63" s="1728">
        <f t="shared" ref="AW63" si="569">SUM(AV63/AI63)</f>
        <v>1.7896324739440486E-2</v>
      </c>
      <c r="AX63" s="3682">
        <v>26.1</v>
      </c>
      <c r="AY63" s="3682">
        <v>0</v>
      </c>
      <c r="AZ63" s="3682">
        <f>SUM(BB63:BC63)</f>
        <v>0</v>
      </c>
      <c r="BA63" s="1604">
        <f t="shared" ref="BA63" si="570">SUM(AZ63/AI63)</f>
        <v>0</v>
      </c>
      <c r="BB63" s="3682">
        <f>'Выпадающ15-16'!G27</f>
        <v>0</v>
      </c>
      <c r="BC63" s="3682">
        <v>0</v>
      </c>
      <c r="BD63" s="3682">
        <v>0</v>
      </c>
      <c r="BE63" s="3682"/>
      <c r="BF63" s="3682"/>
      <c r="BG63" s="3682">
        <v>0</v>
      </c>
      <c r="BH63" s="3682"/>
      <c r="BI63" s="3682"/>
      <c r="BJ63" s="3682">
        <f t="shared" ref="BJ63:CO63" si="571">SUM(BJ61/BJ62)</f>
        <v>27.48325818038554</v>
      </c>
      <c r="BK63" s="3682">
        <f t="shared" si="571"/>
        <v>27.552317027863776</v>
      </c>
      <c r="BL63" s="3682">
        <f t="shared" si="571"/>
        <v>15.699841521394614</v>
      </c>
      <c r="BM63" s="3682">
        <f t="shared" si="571"/>
        <v>25.931041750651509</v>
      </c>
      <c r="BN63" s="3682">
        <f t="shared" si="571"/>
        <v>25.986234243898704</v>
      </c>
      <c r="BO63" s="3682">
        <f t="shared" si="571"/>
        <v>16.458739726027396</v>
      </c>
      <c r="BP63" s="3682">
        <f t="shared" si="571"/>
        <v>35.93542797167067</v>
      </c>
      <c r="BQ63" s="3682">
        <f t="shared" si="571"/>
        <v>36.005993808049531</v>
      </c>
      <c r="BR63" s="3682">
        <f t="shared" si="571"/>
        <v>23.894875858425781</v>
      </c>
      <c r="BS63" s="3682">
        <f t="shared" si="571"/>
        <v>31.963060842933739</v>
      </c>
      <c r="BT63" s="3682">
        <f t="shared" si="571"/>
        <v>32.063137007529534</v>
      </c>
      <c r="BU63" s="3682">
        <f t="shared" si="571"/>
        <v>14.955756912853612</v>
      </c>
      <c r="BV63" s="3682">
        <f t="shared" si="571"/>
        <v>33.376121077285781</v>
      </c>
      <c r="BW63" s="3682">
        <f t="shared" si="571"/>
        <v>33.452445465766374</v>
      </c>
      <c r="BX63" s="3682">
        <f t="shared" si="571"/>
        <v>20.405279544640639</v>
      </c>
      <c r="BY63" s="3682" t="e">
        <f t="shared" si="571"/>
        <v>#DIV/0!</v>
      </c>
      <c r="BZ63" s="3682" t="e">
        <f t="shared" si="571"/>
        <v>#DIV/0!</v>
      </c>
      <c r="CA63" s="3682" t="e">
        <f t="shared" si="571"/>
        <v>#DIV/0!</v>
      </c>
      <c r="CB63" s="3682" t="e">
        <f t="shared" si="571"/>
        <v>#DIV/0!</v>
      </c>
      <c r="CC63" s="3682" t="e">
        <f t="shared" si="571"/>
        <v>#DIV/0!</v>
      </c>
      <c r="CD63" s="3682" t="e">
        <f t="shared" si="571"/>
        <v>#DIV/0!</v>
      </c>
      <c r="CE63" s="3682" t="e">
        <f t="shared" si="571"/>
        <v>#DIV/0!</v>
      </c>
      <c r="CF63" s="3682" t="e">
        <f t="shared" si="571"/>
        <v>#DIV/0!</v>
      </c>
      <c r="CG63" s="3682" t="e">
        <f t="shared" si="571"/>
        <v>#DIV/0!</v>
      </c>
      <c r="CH63" s="3682" t="e">
        <f t="shared" si="571"/>
        <v>#DIV/0!</v>
      </c>
      <c r="CI63" s="3682" t="e">
        <f t="shared" si="571"/>
        <v>#DIV/0!</v>
      </c>
      <c r="CJ63" s="3682" t="e">
        <f t="shared" si="571"/>
        <v>#DIV/0!</v>
      </c>
      <c r="CK63" s="3682">
        <f t="shared" si="571"/>
        <v>34.410963754261388</v>
      </c>
      <c r="CL63" s="3682">
        <f t="shared" si="571"/>
        <v>34.531237910666434</v>
      </c>
      <c r="CM63" s="3682">
        <f t="shared" si="571"/>
        <v>15.166921615699255</v>
      </c>
      <c r="CN63" s="3682">
        <f t="shared" si="571"/>
        <v>26.775165217661048</v>
      </c>
      <c r="CO63" s="3682">
        <f t="shared" si="571"/>
        <v>26.863158799493849</v>
      </c>
      <c r="CP63" s="3682">
        <f t="shared" ref="CP63:DQ63" si="572">SUM(CP61/CP62)</f>
        <v>11.269964498396703</v>
      </c>
      <c r="CQ63" s="3682">
        <f t="shared" si="572"/>
        <v>26.874405813850348</v>
      </c>
      <c r="CR63" s="3682">
        <f t="shared" si="572"/>
        <v>26.970946688418071</v>
      </c>
      <c r="CS63" s="3682">
        <f t="shared" si="572"/>
        <v>10.152122871502513</v>
      </c>
      <c r="CT63" s="3682">
        <f t="shared" si="572"/>
        <v>26.80973058867151</v>
      </c>
      <c r="CU63" s="3682">
        <f t="shared" si="572"/>
        <v>26.879481182046103</v>
      </c>
      <c r="CV63" s="3682">
        <f t="shared" si="572"/>
        <v>12.207957532861476</v>
      </c>
      <c r="CW63" s="3682">
        <f t="shared" si="572"/>
        <v>40.591247425304076</v>
      </c>
      <c r="CX63" s="3682">
        <f t="shared" si="572"/>
        <v>40.742018481435075</v>
      </c>
      <c r="CY63" s="3682">
        <f t="shared" si="572"/>
        <v>16.467269670646182</v>
      </c>
      <c r="CZ63" s="3682">
        <f t="shared" si="572"/>
        <v>35.462848881084099</v>
      </c>
      <c r="DA63" s="3682">
        <f t="shared" si="572"/>
        <v>35.587047825749323</v>
      </c>
      <c r="DB63" s="3682">
        <f t="shared" si="572"/>
        <v>15.590891194714825</v>
      </c>
      <c r="DC63" s="3682">
        <f t="shared" si="572"/>
        <v>26.528271603126587</v>
      </c>
      <c r="DD63" s="3682">
        <f t="shared" si="572"/>
        <v>26.600469346718199</v>
      </c>
      <c r="DE63" s="3682">
        <f t="shared" si="572"/>
        <v>12.01640417579585</v>
      </c>
      <c r="DF63" s="3682">
        <f t="shared" si="572"/>
        <v>27.455475481275027</v>
      </c>
      <c r="DG63" s="3682">
        <f t="shared" si="572"/>
        <v>27.537398486656603</v>
      </c>
      <c r="DH63" s="3682">
        <f t="shared" si="572"/>
        <v>11.728311534891569</v>
      </c>
      <c r="DI63" s="3682">
        <f t="shared" si="572"/>
        <v>28.203532187172211</v>
      </c>
      <c r="DJ63" s="3682">
        <f t="shared" si="572"/>
        <v>28.291686599105464</v>
      </c>
      <c r="DK63" s="3682">
        <f t="shared" si="572"/>
        <v>11.649209379411944</v>
      </c>
      <c r="DL63" s="3682">
        <f t="shared" si="572"/>
        <v>43.4945350735753</v>
      </c>
      <c r="DM63" s="3682">
        <f t="shared" si="572"/>
        <v>43.660644429147574</v>
      </c>
      <c r="DN63" s="3682">
        <f t="shared" si="572"/>
        <v>16.916868941710728</v>
      </c>
      <c r="DO63" s="3682">
        <f t="shared" si="572"/>
        <v>35.835894232855551</v>
      </c>
      <c r="DP63" s="3682">
        <f t="shared" si="572"/>
        <v>35.9198266372847</v>
      </c>
      <c r="DQ63" s="3682">
        <f t="shared" si="572"/>
        <v>18.935070644567208</v>
      </c>
      <c r="DR63" s="3682">
        <f t="shared" ref="DR63:DT63" si="573">SUM(DR61/DR62)</f>
        <v>28.892131206199462</v>
      </c>
      <c r="DS63" s="3682">
        <f t="shared" si="573"/>
        <v>28.972438392457043</v>
      </c>
      <c r="DT63" s="3682">
        <f t="shared" si="573"/>
        <v>11.843743272335844</v>
      </c>
      <c r="DU63" s="3682">
        <f t="shared" ref="DU63:DW63" si="574">SUM(DU61/DU62)</f>
        <v>30.216241566513801</v>
      </c>
      <c r="DV63" s="3682">
        <f t="shared" si="574"/>
        <v>30.310720805786467</v>
      </c>
      <c r="DW63" s="3682">
        <f t="shared" si="574"/>
        <v>11.369631320527176</v>
      </c>
      <c r="DX63" s="3682">
        <f t="shared" ref="DX63:EF63" si="575">SUM(DX61/DX62)</f>
        <v>31.716566313368215</v>
      </c>
      <c r="DY63" s="3682">
        <f t="shared" si="575"/>
        <v>31.822377351060375</v>
      </c>
      <c r="DZ63" s="3682">
        <f t="shared" si="575"/>
        <v>11.570439634973489</v>
      </c>
      <c r="EA63" s="2346">
        <f t="shared" si="575"/>
        <v>48.298786093640949</v>
      </c>
      <c r="EB63" s="2346">
        <f t="shared" si="575"/>
        <v>48.435538389994811</v>
      </c>
      <c r="EC63" s="2346">
        <f t="shared" si="575"/>
        <v>20.762026582349478</v>
      </c>
      <c r="ED63" s="3960" t="e">
        <f t="shared" si="575"/>
        <v>#DIV/0!</v>
      </c>
      <c r="EE63" s="3960" t="e">
        <f t="shared" si="575"/>
        <v>#DIV/0!</v>
      </c>
      <c r="EF63" s="3960" t="e">
        <f t="shared" si="575"/>
        <v>#DIV/0!</v>
      </c>
      <c r="EG63" s="2346">
        <f>SUM(EA61/EA62)</f>
        <v>48.298786093640949</v>
      </c>
      <c r="EH63" s="2346">
        <f t="shared" ref="EH63:EI63" si="576">SUM(EH61/EH62)</f>
        <v>54.299317950264602</v>
      </c>
      <c r="EI63" s="2346">
        <f t="shared" si="576"/>
        <v>20.762026582349478</v>
      </c>
      <c r="EJ63" s="2346">
        <f t="shared" ref="EJ63:ER63" si="577">SUM(EJ61/EJ62)</f>
        <v>40.705420563937814</v>
      </c>
      <c r="EK63" s="2346">
        <f t="shared" si="577"/>
        <v>40.802435681357274</v>
      </c>
      <c r="EL63" s="2346">
        <f t="shared" si="577"/>
        <v>21.210789699963801</v>
      </c>
      <c r="EM63" s="4683">
        <f t="shared" ref="EM63:EO63" si="578">SUM(EM61/EM62)</f>
        <v>31.920919568608795</v>
      </c>
      <c r="EN63" s="4683">
        <f t="shared" si="578"/>
        <v>32.031525143684277</v>
      </c>
      <c r="EO63" s="4683">
        <f t="shared" si="578"/>
        <v>15.718515670342425</v>
      </c>
      <c r="EP63" s="4683">
        <f t="shared" si="577"/>
        <v>34.190371852788175</v>
      </c>
      <c r="EQ63" s="4683">
        <f t="shared" si="577"/>
        <v>34.296821808614602</v>
      </c>
      <c r="ER63" s="4683">
        <f t="shared" si="577"/>
        <v>16.348899605436216</v>
      </c>
    </row>
    <row r="64" spans="1:148" ht="79.5" customHeight="1" x14ac:dyDescent="0.2">
      <c r="A64" s="2671" t="s">
        <v>3640</v>
      </c>
      <c r="B64" s="2689"/>
      <c r="C64" s="2690"/>
      <c r="D64" s="2691"/>
      <c r="E64" s="2678"/>
      <c r="F64" s="2678"/>
      <c r="G64" s="2678"/>
      <c r="H64" s="2691"/>
      <c r="I64" s="2678"/>
      <c r="J64" s="2678"/>
      <c r="K64" s="2678"/>
      <c r="L64" s="2678"/>
      <c r="M64" s="2678"/>
      <c r="N64" s="2678"/>
      <c r="O64" s="2678"/>
      <c r="P64" s="2678"/>
      <c r="Q64" s="2678"/>
      <c r="R64" s="2678"/>
      <c r="S64" s="2678"/>
      <c r="T64" s="2678"/>
      <c r="U64" s="2678"/>
      <c r="V64" s="2678"/>
      <c r="W64" s="2678"/>
      <c r="X64" s="2678"/>
      <c r="Y64" s="2678"/>
      <c r="Z64" s="2678"/>
      <c r="AA64" s="2678"/>
      <c r="AB64" s="2678"/>
      <c r="AC64" s="2678"/>
      <c r="AD64" s="2678"/>
      <c r="AE64" s="2678"/>
      <c r="AF64" s="2678"/>
      <c r="AG64" s="2678"/>
      <c r="AH64" s="2678"/>
      <c r="AI64" s="2678"/>
      <c r="AJ64" s="2678"/>
      <c r="AK64" s="2678"/>
      <c r="AL64" s="2678"/>
      <c r="AM64" s="2678"/>
      <c r="AN64" s="2678"/>
      <c r="AO64" s="2678"/>
      <c r="AP64" s="2678"/>
      <c r="AQ64" s="2678"/>
      <c r="AR64" s="2678"/>
      <c r="AS64" s="2678"/>
      <c r="AT64" s="2678"/>
      <c r="AU64" s="2678"/>
      <c r="AV64" s="2678"/>
      <c r="AW64" s="2692"/>
      <c r="AX64" s="2678"/>
      <c r="AY64" s="2678"/>
      <c r="AZ64" s="2678"/>
      <c r="BA64" s="2679"/>
      <c r="BB64" s="2678"/>
      <c r="BC64" s="2678"/>
      <c r="BD64" s="2678"/>
      <c r="BE64" s="2678"/>
      <c r="BF64" s="2678"/>
      <c r="BG64" s="2678"/>
      <c r="BH64" s="2678"/>
      <c r="BI64" s="2678"/>
      <c r="BJ64" s="2678"/>
      <c r="BK64" s="2678"/>
      <c r="BL64" s="2678"/>
      <c r="BM64" s="2678"/>
      <c r="BN64" s="2678"/>
      <c r="BO64" s="2678"/>
      <c r="BP64" s="2678"/>
      <c r="BQ64" s="2678"/>
      <c r="BR64" s="2678"/>
      <c r="BS64" s="2678"/>
      <c r="BT64" s="2678"/>
      <c r="BU64" s="2678"/>
      <c r="BV64" s="2678"/>
      <c r="BW64" s="2678"/>
      <c r="BX64" s="2678"/>
      <c r="BY64" s="2693"/>
      <c r="BZ64" s="2693"/>
      <c r="CA64" s="2693"/>
      <c r="CB64" s="2693"/>
      <c r="CC64" s="2693"/>
      <c r="CD64" s="2693"/>
      <c r="CE64" s="2693"/>
      <c r="CF64" s="2693"/>
      <c r="CG64" s="2693"/>
      <c r="CH64" s="2693"/>
      <c r="CI64" s="2693"/>
      <c r="CJ64" s="2693"/>
      <c r="CK64" s="2678"/>
      <c r="CL64" s="2678"/>
      <c r="CM64" s="2678"/>
      <c r="CN64" s="2678"/>
      <c r="CO64" s="2678">
        <f>SUM(CO65:CO66)</f>
        <v>5361.5251600000001</v>
      </c>
      <c r="CP64" s="2678">
        <f>SUM(CP65:CP66)</f>
        <v>9.5513300000000019</v>
      </c>
      <c r="CQ64" s="2678"/>
      <c r="CR64" s="2678">
        <f>SUM(CR65:CR66)</f>
        <v>7955.8100499999991</v>
      </c>
      <c r="CS64" s="2678">
        <f>SUM(CS65:CS66)</f>
        <v>18.440630000000002</v>
      </c>
      <c r="CT64" s="2678"/>
      <c r="CU64" s="2678">
        <f>SUM(CU65:CU66)</f>
        <v>10817.41</v>
      </c>
      <c r="CV64" s="2678">
        <f>SUM(CV65:CV66)</f>
        <v>21.48</v>
      </c>
      <c r="CW64" s="2678"/>
      <c r="CX64" s="2678">
        <f>SUM(CX65:CX66)</f>
        <v>10967.044172434635</v>
      </c>
      <c r="CY64" s="2678">
        <f>SUM(CY65:CY66)</f>
        <v>51.834953565114759</v>
      </c>
      <c r="CZ64" s="2678"/>
      <c r="DA64" s="2678">
        <f>SUM(DA65:DA66)</f>
        <v>8341.9678483495227</v>
      </c>
      <c r="DB64" s="2678">
        <f>SUM(DB65:DB66)</f>
        <v>52.136967054177305</v>
      </c>
      <c r="DC64" s="2678"/>
      <c r="DD64" s="2678">
        <f>SUM(DD65:DD66)</f>
        <v>5242.8322800000005</v>
      </c>
      <c r="DE64" s="2678">
        <f>SUM(DE65:DE66)</f>
        <v>14.352130000000001</v>
      </c>
      <c r="DF64" s="2678"/>
      <c r="DG64" s="2678">
        <f>SUM(DG65:DG66)</f>
        <v>7803.0482599999996</v>
      </c>
      <c r="DH64" s="2678">
        <f>SUM(DH65:DH66)</f>
        <v>22.44096</v>
      </c>
      <c r="DI64" s="2678"/>
      <c r="DJ64" s="2678">
        <f>SUM(DJ65:DJ66)</f>
        <v>10863.77816</v>
      </c>
      <c r="DK64" s="2678">
        <f>SUM(DK65:DK66)</f>
        <v>30.1447</v>
      </c>
      <c r="DL64" s="2678"/>
      <c r="DM64" s="2678">
        <f>SUM(DM65:DM66)</f>
        <v>11440.916513397124</v>
      </c>
      <c r="DN64" s="2678">
        <f>SUM(DN65:DN66)</f>
        <v>55.715177920288554</v>
      </c>
      <c r="DO64" s="2678"/>
      <c r="DP64" s="2678">
        <f>SUM(DP65:DP66)</f>
        <v>8876.715260128165</v>
      </c>
      <c r="DQ64" s="2678">
        <f>SUM(DQ65:DQ66)</f>
        <v>44.083298741236796</v>
      </c>
      <c r="DR64" s="2678"/>
      <c r="DS64" s="2678">
        <f>SUM(DS65:DS66)</f>
        <v>5634.8295100000014</v>
      </c>
      <c r="DT64" s="2678">
        <f>SUM(DT65:DT66)</f>
        <v>15.057510000000001</v>
      </c>
      <c r="DU64" s="2678"/>
      <c r="DV64" s="2678">
        <f>SUM(DV65:DV66)</f>
        <v>8317.2990000000009</v>
      </c>
      <c r="DW64" s="2678">
        <f>SUM(DW65:DW66)</f>
        <v>18.272410000000001</v>
      </c>
      <c r="DX64" s="2678"/>
      <c r="DY64" s="2678">
        <f>SUM(DY65:DY66)</f>
        <v>11370.129000000001</v>
      </c>
      <c r="DZ64" s="2678">
        <f>SUM(DZ65:DZ66)</f>
        <v>32.988460000000003</v>
      </c>
      <c r="EA64" s="2678"/>
      <c r="EB64" s="2678">
        <f>SUM(EB65:EB66)</f>
        <v>9845.9346216578506</v>
      </c>
      <c r="EC64" s="2678">
        <f>SUM(EC65:EC66)</f>
        <v>35.407248287468214</v>
      </c>
      <c r="ED64" s="3989"/>
      <c r="EE64" s="3989">
        <f>SUM(EE65:EE66)</f>
        <v>0</v>
      </c>
      <c r="EF64" s="3989">
        <f>SUM(EF65:EF66)</f>
        <v>0</v>
      </c>
      <c r="EG64" s="2678"/>
      <c r="EH64" s="2678">
        <f>SUM(EH65:EH66)</f>
        <v>9845.9346216578506</v>
      </c>
      <c r="EI64" s="2678">
        <f>SUM(EI65:EI66)</f>
        <v>35.407248287468214</v>
      </c>
      <c r="EJ64" s="3989"/>
      <c r="EK64" s="3989">
        <f>SUM(EK65:EK66)</f>
        <v>10091.578329214033</v>
      </c>
      <c r="EL64" s="3989">
        <f>SUM(EL65:EL66)</f>
        <v>50.220784552821428</v>
      </c>
      <c r="EM64" s="4690"/>
      <c r="EN64" s="4690">
        <f>SUM(EN65:EN66)</f>
        <v>5682.9468796453421</v>
      </c>
      <c r="EO64" s="4690">
        <f>SUM(EO65:EO66)</f>
        <v>13.828140000000001</v>
      </c>
      <c r="EP64" s="4690"/>
      <c r="EQ64" s="4690">
        <f>SUM(EQ65:EQ66)</f>
        <v>11089.271580000001</v>
      </c>
      <c r="ER64" s="4690">
        <f>SUM(ER65:ER66)</f>
        <v>31.234769999999997</v>
      </c>
    </row>
    <row r="65" spans="1:148" ht="21" customHeight="1" x14ac:dyDescent="0.2">
      <c r="A65" s="2685" t="s">
        <v>3633</v>
      </c>
      <c r="B65" s="2689"/>
      <c r="C65" s="2690"/>
      <c r="D65" s="2691"/>
      <c r="E65" s="2678"/>
      <c r="F65" s="2678"/>
      <c r="G65" s="2678"/>
      <c r="H65" s="2691"/>
      <c r="I65" s="2678"/>
      <c r="J65" s="2678"/>
      <c r="K65" s="2678"/>
      <c r="L65" s="2678"/>
      <c r="M65" s="2678"/>
      <c r="N65" s="2678"/>
      <c r="O65" s="2678"/>
      <c r="P65" s="2678"/>
      <c r="Q65" s="2678"/>
      <c r="R65" s="2678"/>
      <c r="S65" s="2678"/>
      <c r="T65" s="2678"/>
      <c r="U65" s="2678"/>
      <c r="V65" s="2678"/>
      <c r="W65" s="2678"/>
      <c r="X65" s="2678"/>
      <c r="Y65" s="2678"/>
      <c r="Z65" s="2678"/>
      <c r="AA65" s="2678"/>
      <c r="AB65" s="2678"/>
      <c r="AC65" s="2678"/>
      <c r="AD65" s="2678"/>
      <c r="AE65" s="2678"/>
      <c r="AF65" s="2678"/>
      <c r="AG65" s="2678"/>
      <c r="AH65" s="2678"/>
      <c r="AI65" s="2678"/>
      <c r="AJ65" s="2678"/>
      <c r="AK65" s="2678"/>
      <c r="AL65" s="2678"/>
      <c r="AM65" s="2678"/>
      <c r="AN65" s="2678"/>
      <c r="AO65" s="2678"/>
      <c r="AP65" s="2678"/>
      <c r="AQ65" s="2678"/>
      <c r="AR65" s="2678"/>
      <c r="AS65" s="2678"/>
      <c r="AT65" s="2678"/>
      <c r="AU65" s="2678"/>
      <c r="AV65" s="2678"/>
      <c r="AW65" s="2692"/>
      <c r="AX65" s="2678"/>
      <c r="AY65" s="2678"/>
      <c r="AZ65" s="2678"/>
      <c r="BA65" s="2679"/>
      <c r="BB65" s="2678"/>
      <c r="BC65" s="2678"/>
      <c r="BD65" s="2678"/>
      <c r="BE65" s="2678"/>
      <c r="BF65" s="2678"/>
      <c r="BG65" s="2678"/>
      <c r="BH65" s="2678"/>
      <c r="BI65" s="2678"/>
      <c r="BJ65" s="2678"/>
      <c r="BK65" s="2678"/>
      <c r="BL65" s="2678"/>
      <c r="BM65" s="2678"/>
      <c r="BN65" s="2678"/>
      <c r="BO65" s="2678"/>
      <c r="BP65" s="2678"/>
      <c r="BQ65" s="2678"/>
      <c r="BR65" s="2678"/>
      <c r="BS65" s="2678"/>
      <c r="BT65" s="2678"/>
      <c r="BU65" s="2678"/>
      <c r="BV65" s="2678"/>
      <c r="BW65" s="2678"/>
      <c r="BX65" s="2678"/>
      <c r="BY65" s="2693"/>
      <c r="BZ65" s="2693"/>
      <c r="CA65" s="2693"/>
      <c r="CB65" s="2693"/>
      <c r="CC65" s="2693"/>
      <c r="CD65" s="2693"/>
      <c r="CE65" s="2693"/>
      <c r="CF65" s="2693"/>
      <c r="CG65" s="2693"/>
      <c r="CH65" s="2693"/>
      <c r="CI65" s="2693"/>
      <c r="CJ65" s="2693"/>
      <c r="CK65" s="2678"/>
      <c r="CL65" s="2678"/>
      <c r="CM65" s="2678"/>
      <c r="CN65" s="2678"/>
      <c r="CO65" s="2686">
        <f>SUM(CO9+CO18+'цех стоки 2023'!AQ19)</f>
        <v>5309.9451600000002</v>
      </c>
      <c r="CP65" s="2686">
        <f>SUM(CP9+CP18)</f>
        <v>9.4013300000000015</v>
      </c>
      <c r="CQ65" s="2678"/>
      <c r="CR65" s="2686">
        <f>SUM(CR9+CR18+'цех стоки 2023'!AR19)</f>
        <v>7889.7076099999995</v>
      </c>
      <c r="CS65" s="2686">
        <f>SUM(CS9+CS18)</f>
        <v>18.259800000000002</v>
      </c>
      <c r="CT65" s="2678"/>
      <c r="CU65" s="2686">
        <f>SUM(CU9+CU18+'цех стоки 2023'!AS19)</f>
        <v>10735.01</v>
      </c>
      <c r="CV65" s="2686">
        <f>SUM(CV9+CV18)</f>
        <v>21.25</v>
      </c>
      <c r="CW65" s="2678"/>
      <c r="CX65" s="2686">
        <f>SUM(CX9+CX18+'цех стоки 2023'!AT19)</f>
        <v>10882.573012856936</v>
      </c>
      <c r="CY65" s="2686">
        <f>SUM(CY9+CY18)</f>
        <v>51.590587212795349</v>
      </c>
      <c r="CZ65" s="2678"/>
      <c r="DA65" s="2686">
        <f>SUM(DA9+DA18+'цех стоки 2023'!AW19)</f>
        <v>8341.9678483495227</v>
      </c>
      <c r="DB65" s="2686">
        <f>SUM(DB9+DB18)</f>
        <v>52.136967054177305</v>
      </c>
      <c r="DC65" s="2678"/>
      <c r="DD65" s="2686">
        <f>SUM(DD9+DD18+'цех стоки 2023'!AY19)</f>
        <v>5216.8918000000003</v>
      </c>
      <c r="DE65" s="2686">
        <f>SUM(DE9+DE18)</f>
        <v>14.286210000000001</v>
      </c>
      <c r="DF65" s="2678"/>
      <c r="DG65" s="2686">
        <f>SUM(DG9+DG18+'цех стоки 2023'!AZ19)</f>
        <v>7775.4539999999997</v>
      </c>
      <c r="DH65" s="2686">
        <f>SUM(DH9+DH18)</f>
        <v>22.37</v>
      </c>
      <c r="DI65" s="2678"/>
      <c r="DJ65" s="2686">
        <f>SUM(DJ9+DJ18+'цех стоки 2023'!BA19)</f>
        <v>10818.42116</v>
      </c>
      <c r="DK65" s="2686">
        <f>SUM(DK9+DK18)</f>
        <v>30.02</v>
      </c>
      <c r="DL65" s="2678"/>
      <c r="DM65" s="2686">
        <f>SUM(DM9+DM18+'цех стоки 2023'!BB19)</f>
        <v>11393.999855129414</v>
      </c>
      <c r="DN65" s="2686">
        <f>SUM(DN9+DN18)</f>
        <v>55.583938519559652</v>
      </c>
      <c r="DO65" s="2678"/>
      <c r="DP65" s="2686">
        <f>SUM(DP9+DP18+'цех стоки 2023'!BM19)</f>
        <v>8876.715260128165</v>
      </c>
      <c r="DQ65" s="2686">
        <f>SUM(DQ9+DQ18)</f>
        <v>44.083298741236796</v>
      </c>
      <c r="DR65" s="2678"/>
      <c r="DS65" s="2686">
        <f>SUM(DS9+DS18+'цех стоки 2023'!BD19)</f>
        <v>5583.6994800000011</v>
      </c>
      <c r="DT65" s="2686">
        <f>SUM(DT9+DT18)</f>
        <v>14.93637</v>
      </c>
      <c r="DU65" s="2678"/>
      <c r="DV65" s="2686">
        <f>SUM(DV9+DV18+'цех стоки 2023'!BE19)</f>
        <v>8249.8350000000009</v>
      </c>
      <c r="DW65" s="2686">
        <f>SUM(DW9+DW18)</f>
        <v>18.11</v>
      </c>
      <c r="DX65" s="2678"/>
      <c r="DY65" s="2686">
        <f>SUM(DY9+DY18+'цех стоки 2023'!BF19)</f>
        <v>11268.93</v>
      </c>
      <c r="DZ65" s="2686">
        <f>SUM(DZ9+DZ18)</f>
        <v>32.74</v>
      </c>
      <c r="EA65" s="2678"/>
      <c r="EB65" s="2686">
        <f>SUM(EB9+EB18+'цех стоки 2023'!BG19)</f>
        <v>9731.3757850733509</v>
      </c>
      <c r="EC65" s="2686">
        <f>SUM(EC9+EC18)</f>
        <v>35.125987716338216</v>
      </c>
      <c r="ED65" s="3989"/>
      <c r="EE65" s="3990">
        <f>SUM(EE9+EE18+'цех стоки 2023'!CB19)</f>
        <v>0</v>
      </c>
      <c r="EF65" s="3990">
        <f>SUM(EF9+EF18)</f>
        <v>0</v>
      </c>
      <c r="EG65" s="2678"/>
      <c r="EH65" s="2686">
        <f>SUM(EB9+EB18+'цех стоки 2023'!BG19)</f>
        <v>9731.3757850733509</v>
      </c>
      <c r="EI65" s="2686">
        <f>SUM(EI9+EI18)</f>
        <v>35.125987716338216</v>
      </c>
      <c r="EJ65" s="3989"/>
      <c r="EK65" s="3990">
        <f>SUM(EK9+EK18+'цех стоки 2023'!CH19)</f>
        <v>10091.578329214033</v>
      </c>
      <c r="EL65" s="3990">
        <f>SUM(EL9+EL18)</f>
        <v>50.220784552821428</v>
      </c>
      <c r="EM65" s="4690"/>
      <c r="EN65" s="4691">
        <f>SUM(EN9+EN18+'цех стоки 2023'!BS19)</f>
        <v>5616.5268699999997</v>
      </c>
      <c r="EO65" s="4691">
        <f>SUM(EO9+EO18)</f>
        <v>13.80808</v>
      </c>
      <c r="EP65" s="4690"/>
      <c r="EQ65" s="4691">
        <f>SUM(EQ9+EQ18+'цех стоки 2023'!BV19)</f>
        <v>11002.331180000001</v>
      </c>
      <c r="ER65" s="4691">
        <f>SUM(ER9+ER18)</f>
        <v>31.209389999999999</v>
      </c>
    </row>
    <row r="66" spans="1:148" ht="21" customHeight="1" x14ac:dyDescent="0.2">
      <c r="A66" s="2685" t="s">
        <v>3634</v>
      </c>
      <c r="B66" s="2689"/>
      <c r="C66" s="2690"/>
      <c r="D66" s="2691"/>
      <c r="E66" s="2678"/>
      <c r="F66" s="2678"/>
      <c r="G66" s="2678"/>
      <c r="H66" s="2691"/>
      <c r="I66" s="2678"/>
      <c r="J66" s="2678"/>
      <c r="K66" s="2678"/>
      <c r="L66" s="2678"/>
      <c r="M66" s="2678"/>
      <c r="N66" s="2678"/>
      <c r="O66" s="2678"/>
      <c r="P66" s="2678"/>
      <c r="Q66" s="2678"/>
      <c r="R66" s="2678"/>
      <c r="S66" s="2678"/>
      <c r="T66" s="2678"/>
      <c r="U66" s="2678"/>
      <c r="V66" s="2678"/>
      <c r="W66" s="2678"/>
      <c r="X66" s="2678"/>
      <c r="Y66" s="2678"/>
      <c r="Z66" s="2678"/>
      <c r="AA66" s="2678"/>
      <c r="AB66" s="2678"/>
      <c r="AC66" s="2678"/>
      <c r="AD66" s="2678"/>
      <c r="AE66" s="2678"/>
      <c r="AF66" s="2678"/>
      <c r="AG66" s="2678"/>
      <c r="AH66" s="2678"/>
      <c r="AI66" s="2678"/>
      <c r="AJ66" s="2678"/>
      <c r="AK66" s="2678"/>
      <c r="AL66" s="2678"/>
      <c r="AM66" s="2678"/>
      <c r="AN66" s="2678"/>
      <c r="AO66" s="2678"/>
      <c r="AP66" s="2678"/>
      <c r="AQ66" s="2678"/>
      <c r="AR66" s="2678"/>
      <c r="AS66" s="2678"/>
      <c r="AT66" s="2678"/>
      <c r="AU66" s="2678"/>
      <c r="AV66" s="2678"/>
      <c r="AW66" s="2692"/>
      <c r="AX66" s="2678"/>
      <c r="AY66" s="2678"/>
      <c r="AZ66" s="2678"/>
      <c r="BA66" s="2679"/>
      <c r="BB66" s="2678"/>
      <c r="BC66" s="2678"/>
      <c r="BD66" s="2678"/>
      <c r="BE66" s="2678"/>
      <c r="BF66" s="2678"/>
      <c r="BG66" s="2678"/>
      <c r="BH66" s="2678"/>
      <c r="BI66" s="2678"/>
      <c r="BJ66" s="2678"/>
      <c r="BK66" s="2678"/>
      <c r="BL66" s="2678"/>
      <c r="BM66" s="2678"/>
      <c r="BN66" s="2678"/>
      <c r="BO66" s="2678"/>
      <c r="BP66" s="2678"/>
      <c r="BQ66" s="2678"/>
      <c r="BR66" s="2678"/>
      <c r="BS66" s="2678"/>
      <c r="BT66" s="2678"/>
      <c r="BU66" s="2678"/>
      <c r="BV66" s="2678"/>
      <c r="BW66" s="2678"/>
      <c r="BX66" s="2678"/>
      <c r="BY66" s="2693"/>
      <c r="BZ66" s="2693"/>
      <c r="CA66" s="2693"/>
      <c r="CB66" s="2693"/>
      <c r="CC66" s="2693"/>
      <c r="CD66" s="2693"/>
      <c r="CE66" s="2693"/>
      <c r="CF66" s="2693"/>
      <c r="CG66" s="2693"/>
      <c r="CH66" s="2693"/>
      <c r="CI66" s="2693"/>
      <c r="CJ66" s="2693"/>
      <c r="CK66" s="2678"/>
      <c r="CL66" s="2678"/>
      <c r="CM66" s="2678"/>
      <c r="CN66" s="2678"/>
      <c r="CO66" s="2686">
        <f>SUM('ОХР '!CE17+'ОХР '!CE21)</f>
        <v>51.58</v>
      </c>
      <c r="CP66" s="2686">
        <f>SUM('ОХР '!CF17+'ОХР '!CF21)</f>
        <v>0.15000000000000002</v>
      </c>
      <c r="CQ66" s="2678"/>
      <c r="CR66" s="2686">
        <f>SUM('ОХР '!CL17+'ОХР '!CL21)</f>
        <v>66.102440000000001</v>
      </c>
      <c r="CS66" s="2686">
        <f>SUM('ОХР '!CM17+'ОХР '!CM21)</f>
        <v>0.18082999999999999</v>
      </c>
      <c r="CT66" s="2678"/>
      <c r="CU66" s="2686">
        <f>SUM('ОХР '!CS17+'ОХР '!CS21)</f>
        <v>82.4</v>
      </c>
      <c r="CV66" s="2686">
        <f>SUM('ОХР '!CT17+'ОХР '!CT21)</f>
        <v>0.22999999999999998</v>
      </c>
      <c r="CW66" s="2678"/>
      <c r="CX66" s="2686">
        <f>SUM('ОХР '!CZ17+'ОХР '!CZ21)</f>
        <v>84.471159577698486</v>
      </c>
      <c r="CY66" s="2686">
        <f>SUM('ОХР '!DA17+'ОХР '!DA21)</f>
        <v>0.24436635231941123</v>
      </c>
      <c r="CZ66" s="2678"/>
      <c r="DA66" s="2686">
        <v>0</v>
      </c>
      <c r="DB66" s="2686">
        <v>0</v>
      </c>
      <c r="DC66" s="2678"/>
      <c r="DD66" s="2686">
        <f>SUM('ОХР '!DI17+'ОХР '!DI21)</f>
        <v>25.940480000000001</v>
      </c>
      <c r="DE66" s="2602">
        <f>SUM('ОХР '!DJ17+'ОХР '!DJ21)</f>
        <v>6.5920000000000006E-2</v>
      </c>
      <c r="DF66" s="2678"/>
      <c r="DG66" s="2686">
        <f>SUM('ОХР '!DP17+'ОХР '!DP21)</f>
        <v>27.594259999999998</v>
      </c>
      <c r="DH66" s="2602">
        <f>SUM('ОХР '!DQ17+'ОХР '!DQ21)</f>
        <v>7.0959999999999995E-2</v>
      </c>
      <c r="DI66" s="2678"/>
      <c r="DJ66" s="2686">
        <f>SUM('ОХР '!DW17+'ОХР '!DW21)</f>
        <v>45.357000000000006</v>
      </c>
      <c r="DK66" s="2686">
        <f>SUM('ОХР '!DX17+'ОХР '!DX21)</f>
        <v>0.12469999999999999</v>
      </c>
      <c r="DL66" s="2678"/>
      <c r="DM66" s="2686">
        <f>SUM('ОХР '!ED17+'ОХР '!ED21)</f>
        <v>46.916658267709948</v>
      </c>
      <c r="DN66" s="2686">
        <f>SUM('ОХР '!EE17+'ОХР '!EE21)</f>
        <v>0.13123940072890111</v>
      </c>
      <c r="DO66" s="2678"/>
      <c r="DP66" s="2686">
        <v>0</v>
      </c>
      <c r="DQ66" s="2686">
        <v>0</v>
      </c>
      <c r="DR66" s="2678"/>
      <c r="DS66" s="2686">
        <f>SUM('ОХР '!EN17+'ОХР '!EN21)</f>
        <v>51.130030000000005</v>
      </c>
      <c r="DT66" s="2686">
        <f>SUM('ОХР '!EO17+'ОХР '!EO21)</f>
        <v>0.12114</v>
      </c>
      <c r="DU66" s="2678"/>
      <c r="DV66" s="2686">
        <f>SUM('ОХР '!EU17+'ОХР '!EU21)</f>
        <v>67.463999999999999</v>
      </c>
      <c r="DW66" s="2686">
        <f>SUM('ОХР '!EV17+'ОХР '!EV21)</f>
        <v>0.16241</v>
      </c>
      <c r="DX66" s="2678"/>
      <c r="DY66" s="2686">
        <f>SUM('ОХР '!FB17+'ОХР '!FB21)</f>
        <v>101.19900000000001</v>
      </c>
      <c r="DZ66" s="2686">
        <f>SUM('ОХР '!FC17+'ОХР '!FC21)</f>
        <v>0.24845999999999999</v>
      </c>
      <c r="EA66" s="2678"/>
      <c r="EB66" s="2686">
        <f>SUM('ОХР '!FI17+'ОХР '!FI21)</f>
        <v>114.55883658450003</v>
      </c>
      <c r="EC66" s="2686">
        <f>SUM('ОХР '!FJ17+'ОХР '!FJ21)</f>
        <v>0.28126057113000008</v>
      </c>
      <c r="ED66" s="3989"/>
      <c r="EE66" s="3990">
        <v>0</v>
      </c>
      <c r="EF66" s="3990">
        <v>0</v>
      </c>
      <c r="EG66" s="2678"/>
      <c r="EH66" s="2686">
        <f>SUM('ОХР '!FI17+'ОХР '!FI21)</f>
        <v>114.55883658450003</v>
      </c>
      <c r="EI66" s="2686">
        <f>SUM('ОХР '!FJ17+'ОХР '!FJ21)</f>
        <v>0.28126057113000008</v>
      </c>
      <c r="EJ66" s="3989"/>
      <c r="EK66" s="3990">
        <v>0</v>
      </c>
      <c r="EL66" s="3990">
        <v>0</v>
      </c>
      <c r="EM66" s="4690"/>
      <c r="EN66" s="4691">
        <f>SUM('ОХР '!FN17+'ОХР '!FN21)</f>
        <v>66.42000964534239</v>
      </c>
      <c r="EO66" s="4691">
        <f>SUM('ОХР '!FP17+'ОХР '!FP21)</f>
        <v>2.0060000000000001E-2</v>
      </c>
      <c r="EP66" s="4690"/>
      <c r="EQ66" s="4691">
        <f>SUM('ОХР '!FO17+'ОХР '!FO21)</f>
        <v>86.940400000000011</v>
      </c>
      <c r="ER66" s="4691">
        <f>SUM('ОХР '!FT17+'ОХР '!FT21)</f>
        <v>2.538E-2</v>
      </c>
    </row>
    <row r="67" spans="1:148" ht="21" customHeight="1" x14ac:dyDescent="0.2">
      <c r="A67" s="2687" t="s">
        <v>3641</v>
      </c>
      <c r="B67" s="2689"/>
      <c r="C67" s="2690"/>
      <c r="D67" s="2691"/>
      <c r="E67" s="2678"/>
      <c r="F67" s="2678"/>
      <c r="G67" s="2678"/>
      <c r="H67" s="2691"/>
      <c r="I67" s="2678"/>
      <c r="J67" s="2678"/>
      <c r="K67" s="2678"/>
      <c r="L67" s="2678"/>
      <c r="M67" s="2678"/>
      <c r="N67" s="2678"/>
      <c r="O67" s="2678"/>
      <c r="P67" s="2678"/>
      <c r="Q67" s="2678"/>
      <c r="R67" s="2678"/>
      <c r="S67" s="2678"/>
      <c r="T67" s="2678"/>
      <c r="U67" s="2678"/>
      <c r="V67" s="2678"/>
      <c r="W67" s="2678"/>
      <c r="X67" s="2678"/>
      <c r="Y67" s="2678"/>
      <c r="Z67" s="2678"/>
      <c r="AA67" s="2678"/>
      <c r="AB67" s="2678"/>
      <c r="AC67" s="2678"/>
      <c r="AD67" s="2678"/>
      <c r="AE67" s="2678"/>
      <c r="AF67" s="2678"/>
      <c r="AG67" s="2678"/>
      <c r="AH67" s="2678"/>
      <c r="AI67" s="2678"/>
      <c r="AJ67" s="2678"/>
      <c r="AK67" s="2678"/>
      <c r="AL67" s="2678"/>
      <c r="AM67" s="2678"/>
      <c r="AN67" s="2678"/>
      <c r="AO67" s="2678"/>
      <c r="AP67" s="2678"/>
      <c r="AQ67" s="2678"/>
      <c r="AR67" s="2678"/>
      <c r="AS67" s="2678"/>
      <c r="AT67" s="2678"/>
      <c r="AU67" s="2678"/>
      <c r="AV67" s="2678"/>
      <c r="AW67" s="2692"/>
      <c r="AX67" s="2678"/>
      <c r="AY67" s="2678"/>
      <c r="AZ67" s="2678"/>
      <c r="BA67" s="2679"/>
      <c r="BB67" s="2678"/>
      <c r="BC67" s="2678"/>
      <c r="BD67" s="2678"/>
      <c r="BE67" s="2678"/>
      <c r="BF67" s="2678"/>
      <c r="BG67" s="2678"/>
      <c r="BH67" s="2678"/>
      <c r="BI67" s="2678"/>
      <c r="BJ67" s="2678"/>
      <c r="BK67" s="2678"/>
      <c r="BL67" s="2678"/>
      <c r="BM67" s="2678"/>
      <c r="BN67" s="2678"/>
      <c r="BO67" s="2678"/>
      <c r="BP67" s="2678"/>
      <c r="BQ67" s="2678"/>
      <c r="BR67" s="2678"/>
      <c r="BS67" s="2678"/>
      <c r="BT67" s="2678"/>
      <c r="BU67" s="2678"/>
      <c r="BV67" s="2678"/>
      <c r="BW67" s="2678"/>
      <c r="BX67" s="2678"/>
      <c r="BY67" s="2693"/>
      <c r="BZ67" s="2693"/>
      <c r="CA67" s="2693"/>
      <c r="CB67" s="2693"/>
      <c r="CC67" s="2693"/>
      <c r="CD67" s="2693"/>
      <c r="CE67" s="2693"/>
      <c r="CF67" s="2693"/>
      <c r="CG67" s="2693"/>
      <c r="CH67" s="2693"/>
      <c r="CI67" s="2693"/>
      <c r="CJ67" s="2693"/>
      <c r="CK67" s="2678"/>
      <c r="CL67" s="2678"/>
      <c r="CM67" s="2678"/>
      <c r="CN67" s="2678"/>
      <c r="CO67" s="2678">
        <f>SUM(CO68:CO69)</f>
        <v>47.794029999999999</v>
      </c>
      <c r="CP67" s="2601">
        <f>SUM(CP68:CP69)</f>
        <v>1.1979999999999999E-2</v>
      </c>
      <c r="CQ67" s="2678"/>
      <c r="CR67" s="2678">
        <f>SUM(CR68:CR69)</f>
        <v>71.712869999999995</v>
      </c>
      <c r="CS67" s="2601">
        <f>SUM(CS68:CS69)</f>
        <v>1.6060000000000001E-2</v>
      </c>
      <c r="CT67" s="2678"/>
      <c r="CU67" s="2678">
        <f>SUM(CU68:CU69)</f>
        <v>95.585999999999999</v>
      </c>
      <c r="CV67" s="2601">
        <f>SUM(CV68:CV69)</f>
        <v>0.02</v>
      </c>
      <c r="CW67" s="2678"/>
      <c r="CX67" s="2678">
        <f>SUM(CX68:CX69)</f>
        <v>93.10991940000001</v>
      </c>
      <c r="CY67" s="2601">
        <f>SUM(CY68:CY69)</f>
        <v>0</v>
      </c>
      <c r="CZ67" s="2678"/>
      <c r="DA67" s="2678">
        <f>SUM(DA68:DA69)</f>
        <v>93.109919000000005</v>
      </c>
      <c r="DB67" s="2601">
        <f>SUM(DB68:DB69)</f>
        <v>0</v>
      </c>
      <c r="DC67" s="2678"/>
      <c r="DD67" s="2678">
        <f>SUM(DD68:DD69)</f>
        <v>37.875640000000004</v>
      </c>
      <c r="DE67" s="2601">
        <f>SUM(DE68:DE69)</f>
        <v>2.9909999999999999E-2</v>
      </c>
      <c r="DF67" s="2678"/>
      <c r="DG67" s="2678">
        <f>SUM(DG68:DG69)</f>
        <v>56.916460000000001</v>
      </c>
      <c r="DH67" s="2601">
        <f>SUM(DH68:DH69)</f>
        <v>4.4929999999999998E-2</v>
      </c>
      <c r="DI67" s="2678"/>
      <c r="DJ67" s="2678">
        <f>SUM(DJ68:DJ69)</f>
        <v>76.042000000000002</v>
      </c>
      <c r="DK67" s="2601">
        <f>SUM(DK68:DK69)</f>
        <v>6.08E-2</v>
      </c>
      <c r="DL67" s="2678"/>
      <c r="DM67" s="2678">
        <f>SUM(DM68:DM69)</f>
        <v>97.765414950000007</v>
      </c>
      <c r="DN67" s="2601">
        <f>SUM(DN68:DN69)</f>
        <v>0</v>
      </c>
      <c r="DO67" s="2678"/>
      <c r="DP67" s="2678">
        <f>SUM(DP68:DP69)</f>
        <v>0</v>
      </c>
      <c r="DQ67" s="2601">
        <f>SUM(DQ68:DQ69)</f>
        <v>0</v>
      </c>
      <c r="DR67" s="2678"/>
      <c r="DS67" s="2678">
        <f>SUM(DS68:DS69)</f>
        <v>38.315100000000001</v>
      </c>
      <c r="DT67" s="2601">
        <f>SUM(DT68:DT69)</f>
        <v>1.9099999999999999E-2</v>
      </c>
      <c r="DU67" s="2678"/>
      <c r="DV67" s="2678">
        <f>SUM(DV68:DV69)</f>
        <v>58.102870000000003</v>
      </c>
      <c r="DW67" s="2601">
        <f>SUM(DW68:DW69)</f>
        <v>3.1980000000000001E-2</v>
      </c>
      <c r="DX67" s="2678"/>
      <c r="DY67" s="2678">
        <f>SUM(DY68:DY69)</f>
        <v>77.863069999999993</v>
      </c>
      <c r="DZ67" s="2601">
        <f>SUM(DZ68:DZ69)</f>
        <v>4.3970000000000002E-2</v>
      </c>
      <c r="EA67" s="2678"/>
      <c r="EB67" s="2678">
        <f>SUM(EB68:EB69)</f>
        <v>133.48947150000001</v>
      </c>
      <c r="EC67" s="2601">
        <f>SUM(EC68:EC69)</f>
        <v>0</v>
      </c>
      <c r="ED67" s="3989"/>
      <c r="EE67" s="3989">
        <f>SUM(EE68:EE69)</f>
        <v>0</v>
      </c>
      <c r="EF67" s="3991">
        <f>SUM(EF68:EF69)</f>
        <v>0</v>
      </c>
      <c r="EG67" s="2678"/>
      <c r="EH67" s="2678">
        <f>SUM(EH68:EH69)</f>
        <v>133.48947150000001</v>
      </c>
      <c r="EI67" s="2601">
        <f>SUM(EI68:EI69)</f>
        <v>0</v>
      </c>
      <c r="EJ67" s="3989"/>
      <c r="EK67" s="3989">
        <f>SUM(EK68:EK69)</f>
        <v>0</v>
      </c>
      <c r="EL67" s="3991">
        <f>SUM(EL68:EL69)</f>
        <v>0</v>
      </c>
      <c r="EM67" s="4690"/>
      <c r="EN67" s="4690">
        <f>SUM(EN68:EN69)</f>
        <v>10.279199999999999</v>
      </c>
      <c r="EO67" s="4692">
        <f>SUM(EO68:EO69)</f>
        <v>3.1029999999999999E-2</v>
      </c>
      <c r="EP67" s="4690"/>
      <c r="EQ67" s="4690">
        <f>SUM(EQ68:EQ69)</f>
        <v>15.693680000000001</v>
      </c>
      <c r="ER67" s="4692">
        <f>SUM(ER68:ER69)</f>
        <v>4.41E-2</v>
      </c>
    </row>
    <row r="68" spans="1:148" ht="21" customHeight="1" x14ac:dyDescent="0.2">
      <c r="A68" s="2685" t="s">
        <v>3633</v>
      </c>
      <c r="B68" s="2689"/>
      <c r="C68" s="2690"/>
      <c r="D68" s="2691"/>
      <c r="E68" s="2678"/>
      <c r="F68" s="2678"/>
      <c r="G68" s="2678"/>
      <c r="H68" s="2691"/>
      <c r="I68" s="2678"/>
      <c r="J68" s="2678"/>
      <c r="K68" s="2678"/>
      <c r="L68" s="2678"/>
      <c r="M68" s="2678"/>
      <c r="N68" s="2678"/>
      <c r="O68" s="2678"/>
      <c r="P68" s="2678"/>
      <c r="Q68" s="2678"/>
      <c r="R68" s="2678"/>
      <c r="S68" s="2678"/>
      <c r="T68" s="2678"/>
      <c r="U68" s="2678"/>
      <c r="V68" s="2678"/>
      <c r="W68" s="2678"/>
      <c r="X68" s="2678"/>
      <c r="Y68" s="2678"/>
      <c r="Z68" s="2678"/>
      <c r="AA68" s="2678"/>
      <c r="AB68" s="2678"/>
      <c r="AC68" s="2678"/>
      <c r="AD68" s="2678"/>
      <c r="AE68" s="2678"/>
      <c r="AF68" s="2678"/>
      <c r="AG68" s="2678"/>
      <c r="AH68" s="2678"/>
      <c r="AI68" s="2678"/>
      <c r="AJ68" s="2678"/>
      <c r="AK68" s="2678"/>
      <c r="AL68" s="2678"/>
      <c r="AM68" s="2678"/>
      <c r="AN68" s="2678"/>
      <c r="AO68" s="2678"/>
      <c r="AP68" s="2678"/>
      <c r="AQ68" s="2678"/>
      <c r="AR68" s="2678"/>
      <c r="AS68" s="2678"/>
      <c r="AT68" s="2678"/>
      <c r="AU68" s="2678"/>
      <c r="AV68" s="2678"/>
      <c r="AW68" s="2692"/>
      <c r="AX68" s="2678"/>
      <c r="AY68" s="2678"/>
      <c r="AZ68" s="2678"/>
      <c r="BA68" s="2679"/>
      <c r="BB68" s="2678"/>
      <c r="BC68" s="2678"/>
      <c r="BD68" s="2678"/>
      <c r="BE68" s="2678"/>
      <c r="BF68" s="2678"/>
      <c r="BG68" s="2678"/>
      <c r="BH68" s="2678"/>
      <c r="BI68" s="2678"/>
      <c r="BJ68" s="2678"/>
      <c r="BK68" s="2678"/>
      <c r="BL68" s="2678"/>
      <c r="BM68" s="2678"/>
      <c r="BN68" s="2678"/>
      <c r="BO68" s="2678"/>
      <c r="BP68" s="2678"/>
      <c r="BQ68" s="2678"/>
      <c r="BR68" s="2678"/>
      <c r="BS68" s="2678"/>
      <c r="BT68" s="2678"/>
      <c r="BU68" s="2678"/>
      <c r="BV68" s="2678"/>
      <c r="BW68" s="2678"/>
      <c r="BX68" s="2678"/>
      <c r="BY68" s="2693"/>
      <c r="BZ68" s="2693"/>
      <c r="CA68" s="2693"/>
      <c r="CB68" s="2693"/>
      <c r="CC68" s="2693"/>
      <c r="CD68" s="2693"/>
      <c r="CE68" s="2693"/>
      <c r="CF68" s="2693"/>
      <c r="CG68" s="2693"/>
      <c r="CH68" s="2693"/>
      <c r="CI68" s="2693"/>
      <c r="CJ68" s="2693"/>
      <c r="CK68" s="2678"/>
      <c r="CL68" s="2678"/>
      <c r="CM68" s="2678"/>
      <c r="CN68" s="2678"/>
      <c r="CO68" s="2686">
        <f>SUM('Аренда земли'!U16)</f>
        <v>44.8675</v>
      </c>
      <c r="CP68" s="2686">
        <v>0</v>
      </c>
      <c r="CQ68" s="2678"/>
      <c r="CR68" s="2686">
        <f>SUM('Аренда земли'!V16)</f>
        <v>67.301249999999996</v>
      </c>
      <c r="CS68" s="2686">
        <v>0</v>
      </c>
      <c r="CT68" s="2678"/>
      <c r="CU68" s="2686">
        <f>SUM('Аренда земли'!W16)</f>
        <v>89.734999999999999</v>
      </c>
      <c r="CV68" s="2686">
        <v>0</v>
      </c>
      <c r="CW68" s="2678"/>
      <c r="CX68" s="2686">
        <f>SUM('Аренда земли'!Y16)</f>
        <v>93.10991940000001</v>
      </c>
      <c r="CY68" s="2686">
        <v>0</v>
      </c>
      <c r="CZ68" s="2678"/>
      <c r="DA68" s="2686">
        <f>SUM('Аренда земли'!Z16)</f>
        <v>93.109919000000005</v>
      </c>
      <c r="DB68" s="2686">
        <v>0</v>
      </c>
      <c r="DC68" s="2678"/>
      <c r="DD68" s="2686">
        <f>SUM('Аренда земли'!AA16)</f>
        <v>28.192</v>
      </c>
      <c r="DE68" s="2686">
        <v>0</v>
      </c>
      <c r="DF68" s="2678"/>
      <c r="DG68" s="2686">
        <f>SUM('Аренда земли'!AB16)</f>
        <v>42.287999999999997</v>
      </c>
      <c r="DH68" s="2686">
        <v>0</v>
      </c>
      <c r="DI68" s="2678"/>
      <c r="DJ68" s="2686">
        <f>SUM('Аренда земли'!AC16)</f>
        <v>56.381999999999998</v>
      </c>
      <c r="DK68" s="2686">
        <v>0</v>
      </c>
      <c r="DL68" s="2678"/>
      <c r="DM68" s="2686">
        <f>SUM('Аренда земли'!AD16)</f>
        <v>97.765414950000007</v>
      </c>
      <c r="DN68" s="2686">
        <v>0</v>
      </c>
      <c r="DO68" s="2678"/>
      <c r="DP68" s="2686">
        <f>SUM('Аренда земли'!AO16)</f>
        <v>0</v>
      </c>
      <c r="DQ68" s="2686">
        <v>0</v>
      </c>
      <c r="DR68" s="2678"/>
      <c r="DS68" s="2686">
        <f>SUM('Аренда земли'!AF16)</f>
        <v>28.899000000000001</v>
      </c>
      <c r="DT68" s="2686">
        <v>0</v>
      </c>
      <c r="DU68" s="2678"/>
      <c r="DV68" s="2686">
        <f>SUM('Аренда земли'!AG16)</f>
        <v>43.588000000000001</v>
      </c>
      <c r="DW68" s="2686">
        <v>0</v>
      </c>
      <c r="DX68" s="2678"/>
      <c r="DY68" s="2686">
        <f>SUM('Аренда земли'!AH16)</f>
        <v>58.277000000000001</v>
      </c>
      <c r="DZ68" s="2686">
        <v>0</v>
      </c>
      <c r="EA68" s="2678"/>
      <c r="EB68" s="2686">
        <f>SUM('Аренда земли'!AI16)</f>
        <v>133.48947150000001</v>
      </c>
      <c r="EC68" s="2686">
        <v>0</v>
      </c>
      <c r="ED68" s="3989"/>
      <c r="EE68" s="3990">
        <f>SUM('Аренда земли'!BD16)</f>
        <v>0</v>
      </c>
      <c r="EF68" s="3990">
        <v>0</v>
      </c>
      <c r="EG68" s="2678"/>
      <c r="EH68" s="2686">
        <f>SUM('Аренда земли'!AI16)</f>
        <v>133.48947150000001</v>
      </c>
      <c r="EI68" s="2686">
        <v>0</v>
      </c>
      <c r="EJ68" s="3989"/>
      <c r="EK68" s="3990">
        <f>SUM('Аренда земли'!BJ16)</f>
        <v>0</v>
      </c>
      <c r="EL68" s="3990">
        <v>0</v>
      </c>
      <c r="EM68" s="4690"/>
      <c r="EN68" s="4691">
        <f>SUM('Аренда земли'!AT16)</f>
        <v>0</v>
      </c>
      <c r="EO68" s="4691">
        <v>0</v>
      </c>
      <c r="EP68" s="4690"/>
      <c r="EQ68" s="4691">
        <f>SUM('Аренда земли'!AW16)</f>
        <v>0</v>
      </c>
      <c r="ER68" s="4691">
        <v>0</v>
      </c>
    </row>
    <row r="69" spans="1:148" ht="21" customHeight="1" x14ac:dyDescent="0.2">
      <c r="A69" s="2685" t="s">
        <v>3634</v>
      </c>
      <c r="B69" s="2689"/>
      <c r="C69" s="2690"/>
      <c r="D69" s="2691"/>
      <c r="E69" s="2678"/>
      <c r="F69" s="2678"/>
      <c r="G69" s="2678"/>
      <c r="H69" s="2691"/>
      <c r="I69" s="2678"/>
      <c r="J69" s="2678"/>
      <c r="K69" s="2678"/>
      <c r="L69" s="2678"/>
      <c r="M69" s="2678"/>
      <c r="N69" s="2678"/>
      <c r="O69" s="2678"/>
      <c r="P69" s="2678"/>
      <c r="Q69" s="2678"/>
      <c r="R69" s="2678"/>
      <c r="S69" s="2678"/>
      <c r="T69" s="2678"/>
      <c r="U69" s="2678"/>
      <c r="V69" s="2678"/>
      <c r="W69" s="2678"/>
      <c r="X69" s="2678"/>
      <c r="Y69" s="2678"/>
      <c r="Z69" s="2678"/>
      <c r="AA69" s="2678"/>
      <c r="AB69" s="2678"/>
      <c r="AC69" s="2678"/>
      <c r="AD69" s="2678"/>
      <c r="AE69" s="2678"/>
      <c r="AF69" s="2678"/>
      <c r="AG69" s="2678"/>
      <c r="AH69" s="2678"/>
      <c r="AI69" s="2678"/>
      <c r="AJ69" s="2678"/>
      <c r="AK69" s="2678"/>
      <c r="AL69" s="2678"/>
      <c r="AM69" s="2678"/>
      <c r="AN69" s="2678"/>
      <c r="AO69" s="2678"/>
      <c r="AP69" s="2678"/>
      <c r="AQ69" s="2678"/>
      <c r="AR69" s="2678"/>
      <c r="AS69" s="2678"/>
      <c r="AT69" s="2678"/>
      <c r="AU69" s="2678"/>
      <c r="AV69" s="2678"/>
      <c r="AW69" s="2692"/>
      <c r="AX69" s="2678"/>
      <c r="AY69" s="2678"/>
      <c r="AZ69" s="2678"/>
      <c r="BA69" s="2679"/>
      <c r="BB69" s="2678"/>
      <c r="BC69" s="2678"/>
      <c r="BD69" s="2678"/>
      <c r="BE69" s="2678"/>
      <c r="BF69" s="2678"/>
      <c r="BG69" s="2678"/>
      <c r="BH69" s="2678"/>
      <c r="BI69" s="2678"/>
      <c r="BJ69" s="2678"/>
      <c r="BK69" s="2678"/>
      <c r="BL69" s="2678"/>
      <c r="BM69" s="2678"/>
      <c r="BN69" s="2678"/>
      <c r="BO69" s="2678"/>
      <c r="BP69" s="2678"/>
      <c r="BQ69" s="2678"/>
      <c r="BR69" s="2678"/>
      <c r="BS69" s="2678"/>
      <c r="BT69" s="2678"/>
      <c r="BU69" s="2678"/>
      <c r="BV69" s="2678"/>
      <c r="BW69" s="2678"/>
      <c r="BX69" s="2678"/>
      <c r="BY69" s="2693"/>
      <c r="BZ69" s="2693"/>
      <c r="CA69" s="2693"/>
      <c r="CB69" s="2693"/>
      <c r="CC69" s="2693"/>
      <c r="CD69" s="2693"/>
      <c r="CE69" s="2693"/>
      <c r="CF69" s="2693"/>
      <c r="CG69" s="2693"/>
      <c r="CH69" s="2693"/>
      <c r="CI69" s="2693"/>
      <c r="CJ69" s="2693"/>
      <c r="CK69" s="2678"/>
      <c r="CL69" s="2678"/>
      <c r="CM69" s="2678"/>
      <c r="CN69" s="2678"/>
      <c r="CO69" s="2686">
        <f>SUM('Аренда земли'!U17)</f>
        <v>2.9265300000000001</v>
      </c>
      <c r="CP69" s="2602">
        <f>SUM('Аренда земли'!U18)</f>
        <v>1.1979999999999999E-2</v>
      </c>
      <c r="CQ69" s="2678"/>
      <c r="CR69" s="2686">
        <f>SUM('Аренда земли'!V17)</f>
        <v>4.4116200000000001</v>
      </c>
      <c r="CS69" s="2602">
        <f>SUM('Аренда земли'!V18)</f>
        <v>1.6060000000000001E-2</v>
      </c>
      <c r="CT69" s="2678"/>
      <c r="CU69" s="2686">
        <f>SUM('Аренда земли'!W17)</f>
        <v>5.851</v>
      </c>
      <c r="CV69" s="2602">
        <f>SUM('Аренда земли'!W18)</f>
        <v>0.02</v>
      </c>
      <c r="CW69" s="2678"/>
      <c r="CX69" s="2686">
        <f>SUM('Аренда земли'!Z17)</f>
        <v>0</v>
      </c>
      <c r="CY69" s="2602">
        <f>SUM('Аренда земли'!Z18)</f>
        <v>0</v>
      </c>
      <c r="CZ69" s="2678"/>
      <c r="DA69" s="2686">
        <v>0</v>
      </c>
      <c r="DB69" s="2602">
        <f>SUM(DB50)</f>
        <v>0</v>
      </c>
      <c r="DC69" s="2678"/>
      <c r="DD69" s="2686">
        <f>SUM('Аренда земли'!AA17)</f>
        <v>9.6836400000000005</v>
      </c>
      <c r="DE69" s="2602">
        <f>SUM('Аренда земли'!AA18)</f>
        <v>2.9909999999999999E-2</v>
      </c>
      <c r="DF69" s="2678"/>
      <c r="DG69" s="2686">
        <f>SUM('Аренда земли'!AB17)</f>
        <v>14.62846</v>
      </c>
      <c r="DH69" s="2602">
        <f>SUM('Аренда земли'!AB18)</f>
        <v>4.4929999999999998E-2</v>
      </c>
      <c r="DI69" s="2678"/>
      <c r="DJ69" s="2686">
        <f>SUM('Аренда земли'!AC17)</f>
        <v>19.66</v>
      </c>
      <c r="DK69" s="2602">
        <f>SUM('Аренда земли'!AC18)</f>
        <v>6.08E-2</v>
      </c>
      <c r="DL69" s="2678"/>
      <c r="DM69" s="2686">
        <f>SUM('Аренда земли'!AD17)</f>
        <v>0</v>
      </c>
      <c r="DN69" s="2602">
        <f>SUM('Аренда земли'!AD18)</f>
        <v>0</v>
      </c>
      <c r="DO69" s="2678"/>
      <c r="DP69" s="2686">
        <v>0</v>
      </c>
      <c r="DQ69" s="2602">
        <f>SUM(DQ50)</f>
        <v>0</v>
      </c>
      <c r="DR69" s="2678"/>
      <c r="DS69" s="2686">
        <f>SUM('Аренда земли'!AF17)</f>
        <v>9.4161000000000001</v>
      </c>
      <c r="DT69" s="2602">
        <f>SUM('Аренда земли'!AF18)</f>
        <v>1.9099999999999999E-2</v>
      </c>
      <c r="DU69" s="2678"/>
      <c r="DV69" s="2686">
        <f>SUM('Аренда земли'!AG17)</f>
        <v>14.51487</v>
      </c>
      <c r="DW69" s="2602">
        <f>SUM('Аренда земли'!AG18)</f>
        <v>3.1980000000000001E-2</v>
      </c>
      <c r="DX69" s="2678"/>
      <c r="DY69" s="2686">
        <f>SUM('Аренда земли'!AH17)</f>
        <v>19.586069999999999</v>
      </c>
      <c r="DZ69" s="2602">
        <f>SUM('Аренда земли'!AH18)</f>
        <v>4.3970000000000002E-2</v>
      </c>
      <c r="EA69" s="2678"/>
      <c r="EB69" s="2686">
        <f>SUM('Аренда земли'!AI17)</f>
        <v>0</v>
      </c>
      <c r="EC69" s="2602">
        <f>SUM('Аренда земли'!AS18)</f>
        <v>0</v>
      </c>
      <c r="ED69" s="3989"/>
      <c r="EE69" s="3990">
        <v>0</v>
      </c>
      <c r="EF69" s="3992">
        <f>SUM(EF50)</f>
        <v>0</v>
      </c>
      <c r="EG69" s="2678"/>
      <c r="EH69" s="2686">
        <f>SUM('Аренда земли'!AI17)</f>
        <v>0</v>
      </c>
      <c r="EI69" s="2602">
        <f>SUM('Аренда земли'!AS18)</f>
        <v>0</v>
      </c>
      <c r="EJ69" s="3989"/>
      <c r="EK69" s="3990">
        <v>0</v>
      </c>
      <c r="EL69" s="3992">
        <f>SUM(EL50)</f>
        <v>0</v>
      </c>
      <c r="EM69" s="4690"/>
      <c r="EN69" s="4691">
        <f>SUM('Аренда земли'!AK17)</f>
        <v>10.279199999999999</v>
      </c>
      <c r="EO69" s="4693">
        <f>SUM('Аренда земли'!AK18)</f>
        <v>3.1029999999999999E-2</v>
      </c>
      <c r="EP69" s="4690"/>
      <c r="EQ69" s="4691">
        <f>SUM('Аренда земли'!AL17)</f>
        <v>15.693680000000001</v>
      </c>
      <c r="ER69" s="4693">
        <f>SUM('Аренда земли'!AL18)</f>
        <v>4.41E-2</v>
      </c>
    </row>
    <row r="70" spans="1:148" ht="21" customHeight="1" x14ac:dyDescent="0.2">
      <c r="A70" s="2865"/>
      <c r="B70" s="3427"/>
      <c r="C70" s="3428"/>
      <c r="D70" s="3429"/>
      <c r="E70" s="3362"/>
      <c r="F70" s="3362"/>
      <c r="G70" s="3362"/>
      <c r="H70" s="3429"/>
      <c r="I70" s="3362"/>
      <c r="J70" s="3362"/>
      <c r="K70" s="3362"/>
      <c r="L70" s="3362"/>
      <c r="M70" s="3362"/>
      <c r="N70" s="3362"/>
      <c r="O70" s="3362"/>
      <c r="P70" s="3362"/>
      <c r="Q70" s="3362"/>
      <c r="R70" s="3362"/>
      <c r="S70" s="3362"/>
      <c r="T70" s="3362"/>
      <c r="U70" s="3362"/>
      <c r="V70" s="3362"/>
      <c r="W70" s="3362"/>
      <c r="X70" s="3362"/>
      <c r="Y70" s="3362"/>
      <c r="Z70" s="3362"/>
      <c r="AA70" s="3362"/>
      <c r="AB70" s="3362"/>
      <c r="AC70" s="3362"/>
      <c r="AD70" s="3362"/>
      <c r="AE70" s="3362"/>
      <c r="AF70" s="3362"/>
      <c r="AG70" s="3362"/>
      <c r="AH70" s="3362"/>
      <c r="AI70" s="3362"/>
      <c r="AJ70" s="3362"/>
      <c r="AK70" s="3362"/>
      <c r="AL70" s="3362"/>
      <c r="AM70" s="3362"/>
      <c r="AN70" s="3362"/>
      <c r="AO70" s="3362"/>
      <c r="AP70" s="3362"/>
      <c r="AQ70" s="3362"/>
      <c r="AR70" s="3362"/>
      <c r="AS70" s="3362"/>
      <c r="AT70" s="3362"/>
      <c r="AU70" s="3362"/>
      <c r="AV70" s="3362"/>
      <c r="AW70" s="3430"/>
      <c r="AX70" s="3362"/>
      <c r="AY70" s="3362"/>
      <c r="AZ70" s="3362"/>
      <c r="BA70" s="3363"/>
      <c r="BB70" s="3362"/>
      <c r="BC70" s="3362"/>
      <c r="BD70" s="3362"/>
      <c r="BE70" s="3362"/>
      <c r="BF70" s="3362"/>
      <c r="BG70" s="3362"/>
      <c r="BH70" s="3362"/>
      <c r="BI70" s="3362"/>
      <c r="BJ70" s="3362"/>
      <c r="BK70" s="3362"/>
      <c r="BL70" s="3362"/>
      <c r="BM70" s="3362"/>
      <c r="BN70" s="3362"/>
      <c r="BO70" s="3362"/>
      <c r="BP70" s="3362"/>
      <c r="BQ70" s="3362"/>
      <c r="BR70" s="3362"/>
      <c r="BS70" s="3362"/>
      <c r="BT70" s="3362"/>
      <c r="BU70" s="3362"/>
      <c r="BV70" s="3362"/>
      <c r="BW70" s="3362"/>
      <c r="BX70" s="3362"/>
      <c r="BY70" s="3431"/>
      <c r="BZ70" s="394"/>
      <c r="CA70" s="394"/>
      <c r="CB70" s="394"/>
      <c r="CC70" s="394"/>
      <c r="CD70" s="394"/>
      <c r="CE70" s="394"/>
      <c r="CF70" s="394"/>
      <c r="CG70" s="394"/>
      <c r="CH70" s="394"/>
      <c r="CI70" s="394"/>
      <c r="CJ70" s="394"/>
      <c r="CK70" s="394"/>
      <c r="CL70" s="394"/>
      <c r="CM70" s="394"/>
      <c r="CN70" s="394"/>
      <c r="CO70" s="394"/>
      <c r="CP70" s="394"/>
      <c r="CQ70" s="394"/>
      <c r="CR70" s="394"/>
      <c r="CS70" s="394"/>
      <c r="CT70" s="394"/>
      <c r="CU70" s="394"/>
      <c r="CV70" s="394"/>
    </row>
    <row r="71" spans="1:148" ht="21" customHeight="1" x14ac:dyDescent="0.2">
      <c r="A71" s="2865"/>
      <c r="B71" s="3427"/>
      <c r="C71" s="3428"/>
      <c r="D71" s="3429"/>
      <c r="E71" s="3362"/>
      <c r="F71" s="3362"/>
      <c r="G71" s="3362"/>
      <c r="H71" s="3429"/>
      <c r="I71" s="3362"/>
      <c r="J71" s="3362"/>
      <c r="K71" s="3362"/>
      <c r="L71" s="3362"/>
      <c r="M71" s="3362"/>
      <c r="N71" s="3362"/>
      <c r="O71" s="3362"/>
      <c r="P71" s="3362"/>
      <c r="Q71" s="3362"/>
      <c r="R71" s="3362"/>
      <c r="S71" s="3362"/>
      <c r="T71" s="3362"/>
      <c r="U71" s="3362"/>
      <c r="V71" s="3362"/>
      <c r="W71" s="3362"/>
      <c r="X71" s="3362"/>
      <c r="Y71" s="3362"/>
      <c r="Z71" s="3362"/>
      <c r="AA71" s="3362"/>
      <c r="AB71" s="3362"/>
      <c r="AC71" s="3362"/>
      <c r="AD71" s="3362"/>
      <c r="AE71" s="3362"/>
      <c r="AF71" s="3362"/>
      <c r="AG71" s="3362"/>
      <c r="AH71" s="3362"/>
      <c r="AI71" s="3362"/>
      <c r="AJ71" s="3362"/>
      <c r="AK71" s="3362"/>
      <c r="AL71" s="3362"/>
      <c r="AM71" s="3362"/>
      <c r="AN71" s="3362"/>
      <c r="AO71" s="3362"/>
      <c r="AP71" s="3362"/>
      <c r="AQ71" s="3362"/>
      <c r="AR71" s="3362"/>
      <c r="AS71" s="3362"/>
      <c r="AT71" s="3362"/>
      <c r="AU71" s="3362"/>
      <c r="AV71" s="3362"/>
      <c r="AW71" s="3430"/>
      <c r="AX71" s="3362"/>
      <c r="AY71" s="3362"/>
      <c r="AZ71" s="3362"/>
      <c r="BA71" s="3363"/>
      <c r="BB71" s="3362"/>
      <c r="BC71" s="3362"/>
      <c r="BD71" s="3362"/>
      <c r="BE71" s="3362"/>
      <c r="BF71" s="3362"/>
      <c r="BG71" s="3362"/>
      <c r="BH71" s="3362"/>
      <c r="BI71" s="3362"/>
      <c r="BJ71" s="3362"/>
      <c r="BK71" s="3362"/>
      <c r="BL71" s="3362"/>
      <c r="BM71" s="3362"/>
      <c r="BN71" s="3362"/>
      <c r="BO71" s="3362"/>
      <c r="BP71" s="3362"/>
      <c r="BQ71" s="3362"/>
      <c r="BR71" s="3362"/>
      <c r="BS71" s="3362"/>
      <c r="BT71" s="3362"/>
      <c r="BU71" s="3362"/>
      <c r="BV71" s="3362"/>
      <c r="BW71" s="3362"/>
      <c r="BX71" s="3362"/>
      <c r="BY71" s="3431"/>
      <c r="BZ71" s="394"/>
      <c r="CA71" s="394"/>
      <c r="CB71" s="394"/>
      <c r="CC71" s="394"/>
      <c r="CD71" s="394"/>
      <c r="CE71" s="394"/>
      <c r="CF71" s="394"/>
      <c r="CG71" s="394"/>
      <c r="CH71" s="394"/>
      <c r="CI71" s="394"/>
      <c r="CJ71" s="394"/>
      <c r="CK71" s="394"/>
      <c r="CL71" s="394"/>
      <c r="CM71" s="394"/>
      <c r="CN71" s="394"/>
      <c r="CO71" s="394"/>
      <c r="CP71" s="394"/>
      <c r="CQ71" s="394"/>
      <c r="CR71" s="394"/>
      <c r="CS71" s="394"/>
      <c r="CT71" s="394"/>
      <c r="CU71" s="394"/>
      <c r="CV71" s="394"/>
      <c r="DS71" s="3871">
        <f>SUM(DS61-DS46-DS53-DS48-DS45)</f>
        <v>44553.182059999999</v>
      </c>
      <c r="DV71" s="3871">
        <f>SUM(DV61-DV46-DV53-DV48-DV45)</f>
        <v>68444.161330000017</v>
      </c>
      <c r="DY71" s="577"/>
    </row>
    <row r="72" spans="1:148" ht="21" customHeight="1" x14ac:dyDescent="0.2">
      <c r="A72" s="2865"/>
      <c r="B72" s="3427"/>
      <c r="C72" s="3428"/>
      <c r="D72" s="3429"/>
      <c r="E72" s="3362"/>
      <c r="F72" s="3362"/>
      <c r="G72" s="3362"/>
      <c r="H72" s="3429"/>
      <c r="I72" s="3362"/>
      <c r="J72" s="3362"/>
      <c r="K72" s="3362"/>
      <c r="L72" s="3362"/>
      <c r="M72" s="3362"/>
      <c r="N72" s="3362"/>
      <c r="O72" s="3362"/>
      <c r="P72" s="3362"/>
      <c r="Q72" s="3362"/>
      <c r="R72" s="3362"/>
      <c r="S72" s="3362"/>
      <c r="T72" s="3362"/>
      <c r="U72" s="3362"/>
      <c r="V72" s="3362"/>
      <c r="W72" s="3362"/>
      <c r="X72" s="3362"/>
      <c r="Y72" s="3362"/>
      <c r="Z72" s="3362"/>
      <c r="AA72" s="3362"/>
      <c r="AB72" s="3362"/>
      <c r="AC72" s="3362"/>
      <c r="AD72" s="3362"/>
      <c r="AE72" s="3362"/>
      <c r="AF72" s="3362"/>
      <c r="AG72" s="3362"/>
      <c r="AH72" s="3362"/>
      <c r="AI72" s="3362"/>
      <c r="AJ72" s="3362"/>
      <c r="AK72" s="3362"/>
      <c r="AL72" s="3362"/>
      <c r="AM72" s="3362"/>
      <c r="AN72" s="3362"/>
      <c r="AO72" s="3362"/>
      <c r="AP72" s="3362"/>
      <c r="AQ72" s="3362"/>
      <c r="AR72" s="3362"/>
      <c r="AS72" s="3362"/>
      <c r="AT72" s="3362"/>
      <c r="AU72" s="3362"/>
      <c r="AV72" s="3362"/>
      <c r="AW72" s="3430"/>
      <c r="AX72" s="3362"/>
      <c r="AY72" s="3362"/>
      <c r="AZ72" s="3362"/>
      <c r="BA72" s="3363"/>
      <c r="BB72" s="3362"/>
      <c r="BC72" s="3362"/>
      <c r="BD72" s="3362"/>
      <c r="BE72" s="3362"/>
      <c r="BF72" s="3362"/>
      <c r="BG72" s="3362"/>
      <c r="BH72" s="3362"/>
      <c r="BI72" s="3362"/>
      <c r="BJ72" s="3362"/>
      <c r="BK72" s="3362"/>
      <c r="BL72" s="3362"/>
      <c r="BM72" s="3362"/>
      <c r="BN72" s="3362"/>
      <c r="BO72" s="3362"/>
      <c r="BP72" s="3362"/>
      <c r="BQ72" s="3362"/>
      <c r="BR72" s="3362"/>
      <c r="BS72" s="3362"/>
      <c r="BT72" s="3362"/>
      <c r="BU72" s="3362"/>
      <c r="BV72" s="3362"/>
      <c r="BW72" s="3362"/>
      <c r="BX72" s="3362"/>
      <c r="BY72" s="3431"/>
      <c r="BZ72" s="394"/>
      <c r="CA72" s="394"/>
      <c r="CB72" s="394"/>
      <c r="CC72" s="394"/>
      <c r="CD72" s="394"/>
      <c r="CE72" s="394"/>
      <c r="CF72" s="394"/>
      <c r="CG72" s="394"/>
      <c r="CH72" s="394"/>
      <c r="CI72" s="394"/>
      <c r="CJ72" s="394"/>
      <c r="CK72" s="394"/>
      <c r="CL72" s="394"/>
      <c r="CM72" s="394"/>
      <c r="CN72" s="394"/>
      <c r="CO72" s="394"/>
      <c r="CP72" s="394"/>
      <c r="CQ72" s="394"/>
      <c r="CR72" s="394"/>
      <c r="CS72" s="394"/>
      <c r="CT72" s="394"/>
      <c r="CU72" s="394"/>
      <c r="CV72" s="394"/>
    </row>
    <row r="73" spans="1:148" ht="21" customHeight="1" x14ac:dyDescent="0.2">
      <c r="A73" s="3382" t="s">
        <v>4076</v>
      </c>
      <c r="B73" s="3427"/>
      <c r="C73" s="3428"/>
      <c r="D73" s="3429"/>
      <c r="E73" s="3362"/>
      <c r="F73" s="3362"/>
      <c r="G73" s="3362"/>
      <c r="H73" s="3429"/>
      <c r="I73" s="3362"/>
      <c r="J73" s="3362"/>
      <c r="K73" s="3362"/>
      <c r="L73" s="3362"/>
      <c r="M73" s="3362"/>
      <c r="N73" s="3362"/>
      <c r="O73" s="3362"/>
      <c r="P73" s="3362"/>
      <c r="Q73" s="3362"/>
      <c r="R73" s="3362"/>
      <c r="S73" s="3362"/>
      <c r="T73" s="3362"/>
      <c r="U73" s="3362"/>
      <c r="V73" s="3362"/>
      <c r="W73" s="3362"/>
      <c r="X73" s="3362"/>
      <c r="Y73" s="3362"/>
      <c r="Z73" s="3362"/>
      <c r="AA73" s="3362"/>
      <c r="AB73" s="3362"/>
      <c r="AC73" s="3362"/>
      <c r="AD73" s="3362"/>
      <c r="AE73" s="3362"/>
      <c r="AF73" s="3362"/>
      <c r="AG73" s="3362"/>
      <c r="AH73" s="3362"/>
      <c r="AI73" s="3362"/>
      <c r="AJ73" s="3362"/>
      <c r="AK73" s="3362"/>
      <c r="AL73" s="3362"/>
      <c r="AM73" s="3362"/>
      <c r="AN73" s="3362"/>
      <c r="AO73" s="3362"/>
      <c r="AP73" s="3362"/>
      <c r="AQ73" s="3362"/>
      <c r="AR73" s="3362"/>
      <c r="AS73" s="3362"/>
      <c r="AT73" s="3362"/>
      <c r="AU73" s="3362"/>
      <c r="AV73" s="3362"/>
      <c r="AW73" s="3430"/>
      <c r="AX73" s="3362"/>
      <c r="AY73" s="3362"/>
      <c r="AZ73" s="3362"/>
      <c r="BA73" s="3363"/>
      <c r="BB73" s="3362"/>
      <c r="BC73" s="3362"/>
      <c r="BD73" s="3362"/>
      <c r="BE73" s="3362"/>
      <c r="BF73" s="3362"/>
      <c r="BG73" s="3362"/>
      <c r="BH73" s="3362"/>
      <c r="BI73" s="3362"/>
      <c r="BJ73" s="3362"/>
      <c r="BK73" s="3362"/>
      <c r="BL73" s="3362"/>
      <c r="BM73" s="3362"/>
      <c r="BN73" s="3362"/>
      <c r="BO73" s="3362"/>
      <c r="BP73" s="3362"/>
      <c r="BQ73" s="3362"/>
      <c r="BR73" s="3362"/>
      <c r="BS73" s="3362"/>
      <c r="BT73" s="3362"/>
      <c r="BU73" s="3362"/>
      <c r="BV73" s="3362"/>
      <c r="BW73" s="3362"/>
      <c r="BX73" s="3362"/>
      <c r="BY73" s="3431"/>
      <c r="BZ73" s="394"/>
      <c r="CA73" s="394"/>
      <c r="CB73" s="394"/>
      <c r="CC73" s="394"/>
      <c r="CD73" s="394"/>
      <c r="CE73" s="394"/>
      <c r="CF73" s="394"/>
      <c r="CG73" s="394"/>
      <c r="CH73" s="394"/>
      <c r="CI73" s="394"/>
      <c r="CJ73" s="394"/>
      <c r="CK73" s="394"/>
      <c r="CL73" s="394"/>
      <c r="CM73" s="394"/>
      <c r="CN73" s="394"/>
      <c r="CO73" s="394"/>
      <c r="CP73" s="394"/>
      <c r="CQ73" s="394"/>
      <c r="CR73" s="394"/>
      <c r="CS73" s="394"/>
      <c r="CT73" s="394"/>
      <c r="CU73" s="394"/>
      <c r="CV73" s="394"/>
    </row>
    <row r="74" spans="1:148" ht="21" hidden="1" customHeight="1" x14ac:dyDescent="0.2">
      <c r="A74" s="3432"/>
      <c r="B74" s="3433"/>
      <c r="C74" s="3434"/>
      <c r="D74" s="3435"/>
      <c r="E74" s="3376"/>
      <c r="F74" s="3376"/>
      <c r="G74" s="3376"/>
      <c r="H74" s="3435"/>
      <c r="I74" s="3376"/>
      <c r="J74" s="3376"/>
      <c r="K74" s="3376"/>
      <c r="L74" s="3376"/>
      <c r="M74" s="3376"/>
      <c r="N74" s="3376"/>
      <c r="O74" s="3376"/>
      <c r="P74" s="3376"/>
      <c r="Q74" s="3376"/>
      <c r="R74" s="3376"/>
      <c r="S74" s="3376"/>
      <c r="T74" s="3376"/>
      <c r="U74" s="3376"/>
      <c r="V74" s="3376"/>
      <c r="W74" s="3376"/>
      <c r="X74" s="3376"/>
      <c r="Y74" s="3376"/>
      <c r="Z74" s="3376"/>
      <c r="AA74" s="3376"/>
      <c r="AB74" s="3376"/>
      <c r="AC74" s="3376"/>
      <c r="AD74" s="3376"/>
      <c r="AE74" s="3376"/>
      <c r="AF74" s="3376"/>
      <c r="AG74" s="3376"/>
      <c r="AH74" s="3376"/>
      <c r="AI74" s="3376"/>
      <c r="AJ74" s="3376"/>
      <c r="AK74" s="3376"/>
      <c r="AL74" s="3376"/>
      <c r="AM74" s="3376"/>
      <c r="AN74" s="3376"/>
      <c r="AO74" s="3376"/>
      <c r="AP74" s="3376"/>
      <c r="AQ74" s="3376"/>
      <c r="AR74" s="3376"/>
      <c r="AS74" s="3376"/>
      <c r="AT74" s="3376"/>
      <c r="AU74" s="3376"/>
      <c r="AV74" s="3376"/>
      <c r="AW74" s="3436"/>
      <c r="AX74" s="3376"/>
      <c r="AY74" s="3376"/>
      <c r="AZ74" s="3376"/>
      <c r="BA74" s="3377"/>
      <c r="BB74" s="3376"/>
      <c r="BC74" s="3376"/>
      <c r="BD74" s="3376"/>
      <c r="BE74" s="3376"/>
      <c r="BF74" s="3376"/>
      <c r="BG74" s="3376"/>
      <c r="BH74" s="3376"/>
      <c r="BI74" s="3376"/>
      <c r="BJ74" s="3376"/>
      <c r="BK74" s="3376"/>
      <c r="BL74" s="3376"/>
      <c r="BM74" s="3376"/>
      <c r="BN74" s="3376"/>
      <c r="BO74" s="3376"/>
      <c r="BP74" s="3376"/>
      <c r="BQ74" s="3376"/>
      <c r="BR74" s="3376"/>
      <c r="BS74" s="3376"/>
      <c r="BT74" s="3376"/>
      <c r="BU74" s="3376"/>
      <c r="BV74" s="3376"/>
      <c r="BW74" s="3376"/>
      <c r="BX74" s="3376"/>
      <c r="BY74" s="3437"/>
      <c r="BZ74" s="394"/>
      <c r="CA74" s="394"/>
      <c r="CB74" s="394"/>
      <c r="CC74" s="394"/>
      <c r="CD74" s="394"/>
      <c r="CE74" s="394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  <c r="CR74" s="394"/>
      <c r="CS74" s="394"/>
      <c r="CT74" s="394"/>
      <c r="CU74" s="394"/>
      <c r="CV74" s="394"/>
    </row>
    <row r="75" spans="1:148" ht="21" hidden="1" customHeight="1" x14ac:dyDescent="0.2">
      <c r="A75" s="3320" t="s">
        <v>13</v>
      </c>
      <c r="B75" s="1722">
        <f>'объемы ВС и ВО 2023'!B22</f>
        <v>4738.2</v>
      </c>
      <c r="C75" s="1723">
        <f>'объемы ВС и ВО 2023'!C22</f>
        <v>4585.8</v>
      </c>
      <c r="D75" s="1725">
        <f>C75/B75*100</f>
        <v>96.783588704571372</v>
      </c>
      <c r="E75" s="1601">
        <f>'объемы ВС и ВО 2023'!E22</f>
        <v>4415.2</v>
      </c>
      <c r="F75" s="1601">
        <f>E75/C75*100</f>
        <v>96.279820314885072</v>
      </c>
      <c r="G75" s="1601">
        <f>'объемы ВС и ВО 2023'!G22</f>
        <v>4093.2000000000003</v>
      </c>
      <c r="H75" s="1725">
        <f t="shared" si="2"/>
        <v>92.707012139880419</v>
      </c>
      <c r="I75" s="1601">
        <v>4224.5</v>
      </c>
      <c r="J75" s="1601">
        <f>'объемы ВС и ВО 2023'!J22</f>
        <v>0</v>
      </c>
      <c r="K75" s="1601">
        <f>'объемы ВС и ВО 2023'!L22</f>
        <v>2958.3</v>
      </c>
      <c r="L75" s="1601">
        <v>4006.6</v>
      </c>
      <c r="M75" s="1601">
        <f t="shared" si="25"/>
        <v>97.884295905404073</v>
      </c>
      <c r="N75" s="1601">
        <f>'объемы ВС и ВО 2023'!M22</f>
        <v>3695</v>
      </c>
      <c r="O75" s="1601">
        <f t="shared" si="26"/>
        <v>87.46597230441472</v>
      </c>
      <c r="P75" s="1601" t="e">
        <f>'объемы ВС и ВО 2023'!#REF!</f>
        <v>#REF!</v>
      </c>
      <c r="Q75" s="1601" t="e">
        <f t="shared" si="27"/>
        <v>#REF!</v>
      </c>
      <c r="R75" s="1601" t="e">
        <f>P75/L75*100</f>
        <v>#REF!</v>
      </c>
      <c r="S75" s="1601" t="e">
        <f>P75-T75</f>
        <v>#REF!</v>
      </c>
      <c r="T75" s="1601">
        <v>28</v>
      </c>
      <c r="U75" s="1601" t="e">
        <f>'объемы ВС и ВО 2023'!#REF!</f>
        <v>#REF!</v>
      </c>
      <c r="V75" s="1601" t="e">
        <f>'объемы ВС и ВО 2023'!#REF!</f>
        <v>#REF!</v>
      </c>
      <c r="W75" s="1601">
        <f>'объемы ВС и ВО 2023'!E63</f>
        <v>3600</v>
      </c>
      <c r="X75" s="1601"/>
      <c r="Y75" s="1601" t="e">
        <f>'объемы ВС и ВО 2023'!G63</f>
        <v>#REF!</v>
      </c>
      <c r="Z75" s="1601" t="e">
        <f>Y75-AA75</f>
        <v>#REF!</v>
      </c>
      <c r="AA75" s="1601">
        <f>'объемы ВС и ВО 2023'!G70</f>
        <v>28</v>
      </c>
      <c r="AB75" s="1601">
        <f>SUM('объемы ВС и ВО 2023'!K63)</f>
        <v>3476.2</v>
      </c>
      <c r="AC75" s="1601">
        <f>AB75-AD75</f>
        <v>3446</v>
      </c>
      <c r="AD75" s="1601">
        <f>SUM('объемы ВС и ВО 2023'!K70)</f>
        <v>30.2</v>
      </c>
      <c r="AE75" s="1601">
        <v>3672.7</v>
      </c>
      <c r="AF75" s="1601" t="e">
        <f t="shared" si="29"/>
        <v>#REF!</v>
      </c>
      <c r="AG75" s="1601">
        <v>3644.7</v>
      </c>
      <c r="AH75" s="1601">
        <v>28</v>
      </c>
      <c r="AI75" s="1601">
        <f>'объемы ВС и ВО 2023'!M63</f>
        <v>3644.7</v>
      </c>
      <c r="AJ75" s="1601" t="e">
        <f t="shared" si="30"/>
        <v>#REF!</v>
      </c>
      <c r="AK75" s="1601">
        <f>'объемы ВС и ВО 2023'!M63-'объемы ВС и ВО 2023'!M70</f>
        <v>3644.7</v>
      </c>
      <c r="AL75" s="1601">
        <f>'объемы ВС и ВО 2023'!M70</f>
        <v>0</v>
      </c>
      <c r="AM75" s="1601" t="e">
        <f>#REF!</f>
        <v>#REF!</v>
      </c>
      <c r="AN75" s="1601" t="e">
        <f>#REF!-AM75</f>
        <v>#REF!</v>
      </c>
      <c r="AO75" s="1601" t="e">
        <f t="shared" si="31"/>
        <v>#REF!</v>
      </c>
      <c r="AP75" s="1601">
        <f>SUM('объемы ВС и ВО 2023'!P63)</f>
        <v>1670.74</v>
      </c>
      <c r="AQ75" s="1601">
        <f>AP75-AR75</f>
        <v>1661.07</v>
      </c>
      <c r="AR75" s="1601">
        <f>SUM('объемы ВС и ВО 2023'!P70)</f>
        <v>9.67</v>
      </c>
      <c r="AS75" s="1601">
        <f>'объемы ВС и ВО 2023'!R63+'объемы ВС и ВО 2023'!S63</f>
        <v>3209.95</v>
      </c>
      <c r="AT75" s="1601">
        <f>AS75-AU75</f>
        <v>3186.5699999999997</v>
      </c>
      <c r="AU75" s="1601">
        <f>SUM('объемы ВС и ВО 2023'!S70)</f>
        <v>23.38</v>
      </c>
      <c r="AV75" s="1601">
        <f>SUM('объемы ВС и ВО 2023'!T63)</f>
        <v>3473</v>
      </c>
      <c r="AW75" s="1728">
        <f t="shared" si="64"/>
        <v>0.95289049853211516</v>
      </c>
      <c r="AX75" s="1601">
        <f>AV75-AY75</f>
        <v>3445</v>
      </c>
      <c r="AY75" s="1601">
        <f>SUM('объемы ВС и ВО 2023'!T70)</f>
        <v>28</v>
      </c>
      <c r="AZ75" s="1601">
        <f>'объемы ВС и ВО 2023'!AA63+'объемы ВС и ВО 2023'!AB63</f>
        <v>3463.93</v>
      </c>
      <c r="BA75" s="1604">
        <f t="shared" si="36"/>
        <v>0.95040195352155188</v>
      </c>
      <c r="BB75" s="1601">
        <f>AZ75-BC75</f>
        <v>3445</v>
      </c>
      <c r="BC75" s="1601">
        <f>'объемы ВС и ВО 2023'!AB63</f>
        <v>18.93</v>
      </c>
      <c r="BD75" s="1601">
        <f>BE75+BF75</f>
        <v>3061.4900000000002</v>
      </c>
      <c r="BE75" s="1601">
        <v>3040.84</v>
      </c>
      <c r="BF75" s="1601">
        <v>20.65</v>
      </c>
      <c r="BG75" s="1601">
        <f>BH75+BI75</f>
        <v>3197.3199999999997</v>
      </c>
      <c r="BH75" s="1601">
        <v>3178.1</v>
      </c>
      <c r="BI75" s="1601">
        <v>19.22</v>
      </c>
      <c r="BJ75" s="1601">
        <f>BK75+BL75</f>
        <v>3248.93</v>
      </c>
      <c r="BK75" s="1601">
        <v>3230</v>
      </c>
      <c r="BL75" s="1601">
        <v>18.93</v>
      </c>
      <c r="BM75" s="1601"/>
      <c r="BN75" s="1601"/>
      <c r="BO75" s="1601"/>
      <c r="BP75" s="1601">
        <f>BQ75+BR75</f>
        <v>3248.93</v>
      </c>
      <c r="BQ75" s="1601">
        <v>3230</v>
      </c>
      <c r="BR75" s="1601">
        <v>18.93</v>
      </c>
      <c r="BS75" s="1601">
        <f>BT75+BU75</f>
        <v>3020.0036431580988</v>
      </c>
      <c r="BT75" s="1601">
        <f>'объемы ВС и ВО 2023'!AZ63</f>
        <v>3002.3369764914323</v>
      </c>
      <c r="BU75" s="1601">
        <f>'объемы ВС и ВО 2023'!BA63</f>
        <v>17.666666666666668</v>
      </c>
      <c r="BV75" s="1601">
        <f>BW75+BX75</f>
        <v>3020.0036431580988</v>
      </c>
      <c r="BW75" s="1601">
        <f>SUM('объемы ВС и ВО 2023'!BB63)</f>
        <v>3002.3369764914323</v>
      </c>
      <c r="BX75" s="1601">
        <f>SUM('объемы ВС и ВО 2023'!BC63)</f>
        <v>17.666666666666668</v>
      </c>
      <c r="BY75" s="1726"/>
      <c r="BZ75" s="394"/>
      <c r="CA75" s="394"/>
      <c r="CB75" s="394"/>
      <c r="CC75" s="394"/>
      <c r="CD75" s="394"/>
      <c r="CE75" s="394"/>
      <c r="CF75" s="394"/>
      <c r="CG75" s="394"/>
      <c r="CH75" s="394"/>
      <c r="CI75" s="394"/>
      <c r="CJ75" s="394"/>
      <c r="CK75" s="394"/>
      <c r="CL75" s="394"/>
      <c r="CM75" s="394"/>
      <c r="CN75" s="394"/>
      <c r="CO75" s="394"/>
      <c r="CP75" s="394"/>
      <c r="CQ75" s="394"/>
      <c r="CR75" s="394"/>
      <c r="CS75" s="394"/>
      <c r="CT75" s="394"/>
      <c r="CU75" s="394"/>
      <c r="CV75" s="394"/>
    </row>
    <row r="76" spans="1:148" s="2169" customFormat="1" ht="21" hidden="1" customHeight="1" x14ac:dyDescent="0.2">
      <c r="A76" s="3214" t="s">
        <v>1818</v>
      </c>
      <c r="B76" s="1722"/>
      <c r="C76" s="1723"/>
      <c r="D76" s="1725"/>
      <c r="E76" s="1601"/>
      <c r="F76" s="1601"/>
      <c r="G76" s="1601"/>
      <c r="H76" s="1725"/>
      <c r="I76" s="1601">
        <v>28</v>
      </c>
      <c r="J76" s="1601"/>
      <c r="K76" s="1601"/>
      <c r="L76" s="1601"/>
      <c r="M76" s="1601" t="e">
        <f t="shared" si="25"/>
        <v>#DIV/0!</v>
      </c>
      <c r="N76" s="1601"/>
      <c r="O76" s="1601"/>
      <c r="P76" s="1601" t="e">
        <f>'объемы ВС и ВО 2023'!#REF!</f>
        <v>#REF!</v>
      </c>
      <c r="Q76" s="1601" t="e">
        <f t="shared" si="27"/>
        <v>#REF!</v>
      </c>
      <c r="R76" s="1601"/>
      <c r="S76" s="1601"/>
      <c r="T76" s="1601"/>
      <c r="U76" s="1601"/>
      <c r="V76" s="1601"/>
      <c r="W76" s="1601"/>
      <c r="X76" s="1601"/>
      <c r="Y76" s="1601"/>
      <c r="Z76" s="1601"/>
      <c r="AA76" s="1601"/>
      <c r="AB76" s="1601"/>
      <c r="AC76" s="1601"/>
      <c r="AD76" s="1601"/>
      <c r="AE76" s="1601"/>
      <c r="AF76" s="1601" t="e">
        <f t="shared" si="29"/>
        <v>#DIV/0!</v>
      </c>
      <c r="AG76" s="1601"/>
      <c r="AH76" s="1601"/>
      <c r="AI76" s="1601"/>
      <c r="AJ76" s="1601" t="e">
        <f t="shared" si="30"/>
        <v>#DIV/0!</v>
      </c>
      <c r="AK76" s="1601"/>
      <c r="AL76" s="1601"/>
      <c r="AM76" s="1601" t="e">
        <f>#REF!*Z76/Y76</f>
        <v>#REF!</v>
      </c>
      <c r="AN76" s="1601" t="e">
        <f>#REF!-AM76</f>
        <v>#REF!</v>
      </c>
      <c r="AO76" s="1601" t="e">
        <f t="shared" si="31"/>
        <v>#REF!</v>
      </c>
      <c r="AP76" s="1601"/>
      <c r="AQ76" s="1601"/>
      <c r="AR76" s="1601"/>
      <c r="AS76" s="1601"/>
      <c r="AT76" s="1601"/>
      <c r="AU76" s="1601"/>
      <c r="AV76" s="1601"/>
      <c r="AW76" s="1728" t="e">
        <f t="shared" si="64"/>
        <v>#DIV/0!</v>
      </c>
      <c r="AX76" s="1601"/>
      <c r="AY76" s="1601"/>
      <c r="AZ76" s="1601"/>
      <c r="BA76" s="1604" t="e">
        <f t="shared" si="36"/>
        <v>#DIV/0!</v>
      </c>
      <c r="BB76" s="1601"/>
      <c r="BC76" s="1601"/>
      <c r="BD76" s="1601"/>
      <c r="BE76" s="1601"/>
      <c r="BF76" s="1601"/>
      <c r="BG76" s="1601"/>
      <c r="BH76" s="1601"/>
      <c r="BI76" s="1601"/>
      <c r="BJ76" s="1601"/>
      <c r="BK76" s="1601"/>
      <c r="BL76" s="1601"/>
      <c r="BM76" s="1601"/>
      <c r="BN76" s="1601"/>
      <c r="BO76" s="1601"/>
      <c r="BP76" s="1601">
        <v>7731.78</v>
      </c>
      <c r="BQ76" s="1601">
        <v>7731.78</v>
      </c>
      <c r="BR76" s="1601"/>
      <c r="BS76" s="1601"/>
      <c r="BT76" s="1601"/>
      <c r="BU76" s="1601"/>
      <c r="BV76" s="1601"/>
      <c r="BW76" s="1601"/>
      <c r="BX76" s="1601"/>
      <c r="BY76" s="1726"/>
      <c r="BZ76" s="394"/>
      <c r="CA76" s="394"/>
      <c r="CB76" s="394"/>
      <c r="CC76" s="394"/>
      <c r="CD76" s="394"/>
      <c r="CE76" s="394"/>
      <c r="CF76" s="394"/>
      <c r="CG76" s="394"/>
      <c r="CH76" s="394"/>
      <c r="CI76" s="394"/>
      <c r="CJ76" s="394"/>
      <c r="CK76" s="394"/>
      <c r="CL76" s="394"/>
      <c r="CM76" s="394"/>
      <c r="CN76" s="394"/>
      <c r="CO76" s="394"/>
      <c r="CP76" s="394"/>
      <c r="CQ76" s="394"/>
      <c r="CR76" s="394"/>
      <c r="CS76" s="394"/>
      <c r="CT76" s="394"/>
      <c r="CU76" s="394"/>
      <c r="CV76" s="394"/>
    </row>
    <row r="77" spans="1:148" s="2169" customFormat="1" ht="21" hidden="1" customHeight="1" x14ac:dyDescent="0.2">
      <c r="A77" s="3214" t="s">
        <v>2038</v>
      </c>
      <c r="B77" s="1722"/>
      <c r="C77" s="1723"/>
      <c r="D77" s="1725"/>
      <c r="E77" s="1601"/>
      <c r="F77" s="1601"/>
      <c r="G77" s="1601"/>
      <c r="H77" s="1725"/>
      <c r="I77" s="1601"/>
      <c r="J77" s="1601"/>
      <c r="K77" s="1601"/>
      <c r="L77" s="1601"/>
      <c r="M77" s="1601"/>
      <c r="N77" s="1601"/>
      <c r="O77" s="1601"/>
      <c r="P77" s="1601"/>
      <c r="Q77" s="1601"/>
      <c r="R77" s="1601"/>
      <c r="S77" s="1601"/>
      <c r="T77" s="1601"/>
      <c r="U77" s="1601"/>
      <c r="V77" s="1601"/>
      <c r="W77" s="1601"/>
      <c r="X77" s="1601"/>
      <c r="Y77" s="1601"/>
      <c r="Z77" s="1601"/>
      <c r="AA77" s="1601"/>
      <c r="AB77" s="1601"/>
      <c r="AC77" s="1601"/>
      <c r="AD77" s="1601"/>
      <c r="AE77" s="1601"/>
      <c r="AF77" s="1601"/>
      <c r="AG77" s="1601"/>
      <c r="AH77" s="1601"/>
      <c r="AI77" s="1601"/>
      <c r="AJ77" s="1601"/>
      <c r="AK77" s="1601"/>
      <c r="AL77" s="1601"/>
      <c r="AM77" s="1601"/>
      <c r="AN77" s="1601"/>
      <c r="AO77" s="1601"/>
      <c r="AP77" s="1601"/>
      <c r="AQ77" s="1601"/>
      <c r="AR77" s="1601"/>
      <c r="AS77" s="1601"/>
      <c r="AT77" s="1601"/>
      <c r="AU77" s="1601"/>
      <c r="AV77" s="1601"/>
      <c r="AW77" s="1728"/>
      <c r="AX77" s="1601"/>
      <c r="AY77" s="1601"/>
      <c r="AZ77" s="1601"/>
      <c r="BA77" s="1604"/>
      <c r="BB77" s="1601"/>
      <c r="BC77" s="1601"/>
      <c r="BD77" s="1601"/>
      <c r="BE77" s="1601"/>
      <c r="BF77" s="1601"/>
      <c r="BG77" s="1601"/>
      <c r="BH77" s="1601"/>
      <c r="BI77" s="1601"/>
      <c r="BJ77" s="1601"/>
      <c r="BK77" s="1601"/>
      <c r="BL77" s="1601"/>
      <c r="BM77" s="1601"/>
      <c r="BN77" s="1601"/>
      <c r="BO77" s="1601"/>
      <c r="BP77" s="1601">
        <v>-2903.83</v>
      </c>
      <c r="BQ77" s="1601">
        <v>-2903.83</v>
      </c>
      <c r="BR77" s="1601"/>
      <c r="BS77" s="1601"/>
      <c r="BT77" s="1601"/>
      <c r="BU77" s="1601"/>
      <c r="BV77" s="1601"/>
      <c r="BW77" s="1601"/>
      <c r="BX77" s="1601"/>
      <c r="BY77" s="1726"/>
      <c r="BZ77" s="394"/>
      <c r="CA77" s="394"/>
      <c r="CB77" s="394"/>
      <c r="CC77" s="394"/>
      <c r="CD77" s="394"/>
      <c r="CE77" s="394"/>
      <c r="CF77" s="394"/>
      <c r="CG77" s="394"/>
      <c r="CH77" s="394"/>
      <c r="CI77" s="394"/>
      <c r="CJ77" s="394"/>
      <c r="CK77" s="394"/>
      <c r="CL77" s="394"/>
      <c r="CM77" s="394"/>
      <c r="CN77" s="394"/>
      <c r="CO77" s="394"/>
      <c r="CP77" s="394"/>
      <c r="CQ77" s="394"/>
      <c r="CR77" s="394"/>
      <c r="CS77" s="394"/>
      <c r="CT77" s="394"/>
      <c r="CU77" s="394"/>
      <c r="CV77" s="394"/>
    </row>
    <row r="78" spans="1:148" ht="21" hidden="1" customHeight="1" x14ac:dyDescent="0.2">
      <c r="A78" s="3320" t="s">
        <v>14</v>
      </c>
      <c r="B78" s="3438">
        <f>B61/B75</f>
        <v>10.300282807817316</v>
      </c>
      <c r="C78" s="3438">
        <f>C61/C75</f>
        <v>11.658227572070306</v>
      </c>
      <c r="D78" s="1725">
        <f>C78/B78*100</f>
        <v>113.18356776789069</v>
      </c>
      <c r="E78" s="1601">
        <f>E61/E75</f>
        <v>13.617810638920881</v>
      </c>
      <c r="F78" s="1601">
        <f>F61/F75</f>
        <v>32.500389739211208</v>
      </c>
      <c r="G78" s="1601">
        <f>G61/G75</f>
        <v>16.494321207673298</v>
      </c>
      <c r="H78" s="1725">
        <f t="shared" si="2"/>
        <v>121.12315000570723</v>
      </c>
      <c r="I78" s="1601" t="e">
        <f>#REF!/#REF!</f>
        <v>#REF!</v>
      </c>
      <c r="J78" s="1601" t="e">
        <f>J61/J75</f>
        <v>#REF!</v>
      </c>
      <c r="K78" s="1601">
        <f>K61/K75</f>
        <v>16.233949920405767</v>
      </c>
      <c r="L78" s="1601">
        <f>L61/L75</f>
        <v>17.324839071245989</v>
      </c>
      <c r="M78" s="1601">
        <f t="shared" si="25"/>
        <v>105.03517454956757</v>
      </c>
      <c r="N78" s="1601">
        <f>N61/N75</f>
        <v>24.133221648388211</v>
      </c>
      <c r="O78" s="1601"/>
      <c r="P78" s="1601" t="e">
        <f>P61/P75</f>
        <v>#REF!</v>
      </c>
      <c r="Q78" s="1601" t="e">
        <f t="shared" si="27"/>
        <v>#REF!</v>
      </c>
      <c r="R78" s="1601"/>
      <c r="S78" s="1601" t="e">
        <f>S61/S75</f>
        <v>#REF!</v>
      </c>
      <c r="T78" s="1601" t="e">
        <f>T61/T75</f>
        <v>#REF!</v>
      </c>
      <c r="U78" s="1601" t="e">
        <f>U61/U75</f>
        <v>#REF!</v>
      </c>
      <c r="V78" s="1601" t="e">
        <f>V61/V75</f>
        <v>#REF!</v>
      </c>
      <c r="W78" s="1601">
        <f>W61/W75</f>
        <v>26.676299999999998</v>
      </c>
      <c r="X78" s="1601"/>
      <c r="Y78" s="1601" t="e">
        <f t="shared" ref="Y78:AE78" si="579">Y61/Y75</f>
        <v>#REF!</v>
      </c>
      <c r="Z78" s="1601" t="e">
        <f t="shared" si="579"/>
        <v>#REF!</v>
      </c>
      <c r="AA78" s="1601" t="e">
        <f t="shared" si="579"/>
        <v>#REF!</v>
      </c>
      <c r="AB78" s="1601">
        <f t="shared" si="579"/>
        <v>20.395164115988724</v>
      </c>
      <c r="AC78" s="1601">
        <f t="shared" si="579"/>
        <v>20.464577348087886</v>
      </c>
      <c r="AD78" s="1601">
        <f t="shared" si="579"/>
        <v>12.474700612223577</v>
      </c>
      <c r="AE78" s="1601">
        <f t="shared" si="579"/>
        <v>23.279510986467724</v>
      </c>
      <c r="AF78" s="1601" t="e">
        <f t="shared" si="29"/>
        <v>#REF!</v>
      </c>
      <c r="AG78" s="1601">
        <f>AG61/AG75</f>
        <v>23.405114275523363</v>
      </c>
      <c r="AH78" s="1601">
        <f>AH61/AH75</f>
        <v>12.265000000000001</v>
      </c>
      <c r="AI78" s="1601">
        <f>AI61/AI75</f>
        <v>22.280607694793254</v>
      </c>
      <c r="AJ78" s="1601" t="e">
        <f t="shared" si="30"/>
        <v>#REF!</v>
      </c>
      <c r="AK78" s="1601" t="e">
        <f>AK61/AK75</f>
        <v>#REF!</v>
      </c>
      <c r="AL78" s="1601" t="e">
        <f>AL61/AL75</f>
        <v>#REF!</v>
      </c>
      <c r="AM78" s="1601" t="e">
        <f>#REF!</f>
        <v>#REF!</v>
      </c>
      <c r="AN78" s="1601" t="e">
        <f>#REF!-AM78</f>
        <v>#REF!</v>
      </c>
      <c r="AO78" s="1601" t="e">
        <f t="shared" si="31"/>
        <v>#REF!</v>
      </c>
      <c r="AP78" s="1601">
        <f t="shared" ref="AP78:AV78" si="580">AP61/AP75</f>
        <v>15.278116283802389</v>
      </c>
      <c r="AQ78" s="1601">
        <f t="shared" si="580"/>
        <v>15.315700072145278</v>
      </c>
      <c r="AR78" s="1601">
        <f t="shared" si="580"/>
        <v>8.6093228150401515</v>
      </c>
      <c r="AS78" s="1601">
        <f t="shared" si="580"/>
        <v>12.540279443605039</v>
      </c>
      <c r="AT78" s="1601">
        <f t="shared" si="580"/>
        <v>12.578427562523807</v>
      </c>
      <c r="AU78" s="1601">
        <f t="shared" si="580"/>
        <v>7.1696942319974797</v>
      </c>
      <c r="AV78" s="1601">
        <f t="shared" si="580"/>
        <v>26.774216482695316</v>
      </c>
      <c r="AW78" s="1728">
        <f t="shared" si="64"/>
        <v>1.2016825056774449</v>
      </c>
      <c r="AX78" s="1601">
        <f>AX61/AX75</f>
        <v>26.887034181141804</v>
      </c>
      <c r="AY78" s="1601">
        <f>AY61/AY75</f>
        <v>12.893610370261424</v>
      </c>
      <c r="AZ78" s="1601">
        <f>AZ61/AZ75</f>
        <v>23.479467298104222</v>
      </c>
      <c r="BA78" s="1604">
        <f t="shared" si="36"/>
        <v>1.0538073117095064</v>
      </c>
      <c r="BB78" s="1601">
        <f t="shared" ref="BB78:BL78" si="581">BB61/BB75</f>
        <v>23.531352978202385</v>
      </c>
      <c r="BC78" s="1601">
        <f t="shared" si="581"/>
        <v>14.036986160323796</v>
      </c>
      <c r="BD78" s="1601">
        <f t="shared" si="581"/>
        <v>26.638731467357399</v>
      </c>
      <c r="BE78" s="1601">
        <f t="shared" si="581"/>
        <v>26.705515581220983</v>
      </c>
      <c r="BF78" s="1601">
        <f t="shared" si="581"/>
        <v>16.804358353510896</v>
      </c>
      <c r="BG78" s="1601">
        <f t="shared" si="581"/>
        <v>24.892469318053873</v>
      </c>
      <c r="BH78" s="1601">
        <f t="shared" si="581"/>
        <v>24.945778924514649</v>
      </c>
      <c r="BI78" s="1601">
        <f t="shared" si="581"/>
        <v>16.077523413111344</v>
      </c>
      <c r="BJ78" s="1601">
        <f t="shared" si="581"/>
        <v>27.48325818038554</v>
      </c>
      <c r="BK78" s="1601">
        <f t="shared" si="581"/>
        <v>27.552317027863776</v>
      </c>
      <c r="BL78" s="1601">
        <f t="shared" si="581"/>
        <v>15.699841521394614</v>
      </c>
      <c r="BM78" s="1601"/>
      <c r="BN78" s="1601"/>
      <c r="BO78" s="1601"/>
      <c r="BP78" s="1601">
        <f t="shared" ref="BP78:BU78" si="582">BP61/BP75</f>
        <v>35.93542797167067</v>
      </c>
      <c r="BQ78" s="1601">
        <f t="shared" si="582"/>
        <v>36.005993808049531</v>
      </c>
      <c r="BR78" s="1601">
        <f t="shared" si="582"/>
        <v>23.894875858425781</v>
      </c>
      <c r="BS78" s="1601">
        <f t="shared" si="582"/>
        <v>31.963060842933739</v>
      </c>
      <c r="BT78" s="1601">
        <f t="shared" si="582"/>
        <v>32.063137007529534</v>
      </c>
      <c r="BU78" s="1601">
        <f t="shared" si="582"/>
        <v>14.955756912853612</v>
      </c>
      <c r="BV78" s="1601"/>
      <c r="BW78" s="1601"/>
      <c r="BX78" s="1601"/>
      <c r="BY78" s="1726"/>
      <c r="BZ78" s="394"/>
      <c r="CA78" s="394"/>
      <c r="CB78" s="394"/>
      <c r="CC78" s="394"/>
      <c r="CD78" s="394"/>
      <c r="CE78" s="394"/>
      <c r="CF78" s="394"/>
      <c r="CG78" s="394"/>
      <c r="CH78" s="394"/>
      <c r="CI78" s="394"/>
      <c r="CJ78" s="394"/>
      <c r="CK78" s="394"/>
      <c r="CL78" s="394"/>
      <c r="CM78" s="394"/>
      <c r="CN78" s="394"/>
      <c r="CO78" s="394"/>
      <c r="CP78" s="394"/>
      <c r="CQ78" s="394"/>
      <c r="CR78" s="394"/>
      <c r="CS78" s="394"/>
      <c r="CT78" s="394"/>
      <c r="CU78" s="394"/>
      <c r="CV78" s="394"/>
    </row>
    <row r="79" spans="1:148" ht="21" hidden="1" customHeight="1" x14ac:dyDescent="0.2">
      <c r="A79" s="3320" t="s">
        <v>418</v>
      </c>
      <c r="B79" s="3191"/>
      <c r="C79" s="3191"/>
      <c r="D79" s="3191"/>
      <c r="E79" s="3191"/>
      <c r="F79" s="3191"/>
      <c r="G79" s="3191"/>
      <c r="H79" s="3191"/>
      <c r="I79" s="1597">
        <v>0</v>
      </c>
      <c r="J79" s="2578"/>
      <c r="K79" s="2578"/>
      <c r="L79" s="2578"/>
      <c r="M79" s="2578"/>
      <c r="N79" s="1597">
        <v>0</v>
      </c>
      <c r="O79" s="1728"/>
      <c r="P79" s="1597">
        <f>S79+T79</f>
        <v>184.96</v>
      </c>
      <c r="Q79" s="1600"/>
      <c r="R79" s="2578"/>
      <c r="S79" s="1597">
        <v>180.3</v>
      </c>
      <c r="T79" s="1597">
        <v>4.66</v>
      </c>
      <c r="U79" s="1597"/>
      <c r="V79" s="1597"/>
      <c r="W79" s="1601">
        <v>0</v>
      </c>
      <c r="X79" s="1601"/>
      <c r="Y79" s="1601">
        <f>Z79+AA79</f>
        <v>0</v>
      </c>
      <c r="Z79" s="1601">
        <f>G162</f>
        <v>0</v>
      </c>
      <c r="AA79" s="1601">
        <v>0</v>
      </c>
      <c r="AB79" s="1601">
        <f>AC79+AD79</f>
        <v>0</v>
      </c>
      <c r="AC79" s="1601">
        <f>J162</f>
        <v>0</v>
      </c>
      <c r="AD79" s="1601">
        <v>0</v>
      </c>
      <c r="AE79" s="1601">
        <v>4275.2299999999996</v>
      </c>
      <c r="AF79" s="1601"/>
      <c r="AG79" s="1601">
        <v>4265.2299999999996</v>
      </c>
      <c r="AH79" s="1601">
        <v>10</v>
      </c>
      <c r="AI79" s="1601" t="e">
        <f>AK79+AL79</f>
        <v>#REF!</v>
      </c>
      <c r="AJ79" s="1601"/>
      <c r="AK79" s="1601" t="e">
        <f>AK61*0.05</f>
        <v>#REF!</v>
      </c>
      <c r="AL79" s="1601">
        <v>12.43</v>
      </c>
      <c r="AM79" s="1601">
        <v>0</v>
      </c>
      <c r="AN79" s="1601">
        <v>0</v>
      </c>
      <c r="AO79" s="1601">
        <f t="shared" si="31"/>
        <v>0</v>
      </c>
      <c r="AP79" s="1601">
        <f>AQ79+AR79</f>
        <v>0</v>
      </c>
      <c r="AQ79" s="1601">
        <f>X162</f>
        <v>0</v>
      </c>
      <c r="AR79" s="1601">
        <v>0</v>
      </c>
      <c r="AS79" s="1601">
        <f>AT79+AU79</f>
        <v>0</v>
      </c>
      <c r="AT79" s="1601">
        <f>AA162</f>
        <v>0</v>
      </c>
      <c r="AU79" s="1601">
        <v>0</v>
      </c>
      <c r="AV79" s="1601">
        <f>SUM(AX79:AY79)</f>
        <v>4649.3426922200424</v>
      </c>
      <c r="AW79" s="1728" t="e">
        <f t="shared" si="64"/>
        <v>#REF!</v>
      </c>
      <c r="AX79" s="1601">
        <f>AX61*0.05</f>
        <v>4631.2916377016763</v>
      </c>
      <c r="AY79" s="1601">
        <f>AY61*0.05</f>
        <v>18.051054518365994</v>
      </c>
      <c r="AZ79" s="1601">
        <f>SUM(BB79:BC79)</f>
        <v>4053.2755504953611</v>
      </c>
      <c r="BA79" s="1604" t="e">
        <f t="shared" si="36"/>
        <v>#REF!</v>
      </c>
      <c r="BB79" s="1601">
        <f>BB61*0.05</f>
        <v>4053.2755504953611</v>
      </c>
      <c r="BC79" s="1601">
        <v>0</v>
      </c>
      <c r="BD79" s="1601">
        <f>SUM(BF79:BG79)</f>
        <v>0</v>
      </c>
      <c r="BE79" s="1601"/>
      <c r="BF79" s="1601"/>
      <c r="BG79" s="1601">
        <f>SUM(BI79:BY79)</f>
        <v>0</v>
      </c>
      <c r="BH79" s="1601"/>
      <c r="BI79" s="1601"/>
      <c r="BJ79" s="1601">
        <f>SUM(BL79:CB79)</f>
        <v>0</v>
      </c>
      <c r="BK79" s="1601"/>
      <c r="BL79" s="1601"/>
      <c r="BM79" s="1601"/>
      <c r="BN79" s="1601"/>
      <c r="BO79" s="1601"/>
      <c r="BP79" s="1601">
        <f>SUM(BR79:CB79)</f>
        <v>0</v>
      </c>
      <c r="BQ79" s="1601">
        <v>0</v>
      </c>
      <c r="BR79" s="1601">
        <v>0</v>
      </c>
      <c r="BS79" s="1601">
        <f>SUM(BU79:CE79)</f>
        <v>0</v>
      </c>
      <c r="BT79" s="1601">
        <v>0</v>
      </c>
      <c r="BU79" s="1601">
        <v>0</v>
      </c>
      <c r="BV79" s="1601"/>
      <c r="BW79" s="1601"/>
      <c r="BX79" s="1601"/>
      <c r="BY79" s="1726"/>
      <c r="BZ79" s="394"/>
      <c r="CA79" s="394"/>
      <c r="CB79" s="394"/>
      <c r="CC79" s="394"/>
      <c r="CD79" s="394"/>
      <c r="CE79" s="394"/>
      <c r="CF79" s="394"/>
      <c r="CG79" s="394"/>
      <c r="CH79" s="394"/>
      <c r="CI79" s="394"/>
      <c r="CJ79" s="394"/>
      <c r="CK79" s="394"/>
      <c r="CL79" s="394"/>
      <c r="CM79" s="394"/>
      <c r="CN79" s="394"/>
      <c r="CO79" s="394"/>
      <c r="CP79" s="394"/>
      <c r="CQ79" s="394"/>
      <c r="CR79" s="394"/>
      <c r="CS79" s="394"/>
      <c r="CT79" s="394"/>
      <c r="CU79" s="394"/>
      <c r="CV79" s="394"/>
    </row>
    <row r="80" spans="1:148" ht="21" hidden="1" customHeight="1" x14ac:dyDescent="0.2">
      <c r="A80" s="3320" t="s">
        <v>527</v>
      </c>
      <c r="B80" s="3314"/>
      <c r="C80" s="3314"/>
      <c r="D80" s="3314"/>
      <c r="E80" s="3314"/>
      <c r="F80" s="3314"/>
      <c r="G80" s="3314"/>
      <c r="H80" s="3314"/>
      <c r="I80" s="1601"/>
      <c r="J80" s="3439"/>
      <c r="K80" s="3439"/>
      <c r="L80" s="3439"/>
      <c r="M80" s="3439"/>
      <c r="N80" s="1601"/>
      <c r="O80" s="1728"/>
      <c r="P80" s="1601"/>
      <c r="Q80" s="1728"/>
      <c r="R80" s="3439"/>
      <c r="S80" s="1601"/>
      <c r="T80" s="1601"/>
      <c r="U80" s="1601"/>
      <c r="V80" s="1601"/>
      <c r="W80" s="1601">
        <f>SUM(W61+W79)</f>
        <v>96034.68</v>
      </c>
      <c r="X80" s="1601"/>
      <c r="Y80" s="1601" t="e">
        <f t="shared" ref="Y80:AE80" si="583">SUM(Y61+Y79)</f>
        <v>#REF!</v>
      </c>
      <c r="Z80" s="1601" t="e">
        <f t="shared" si="583"/>
        <v>#REF!</v>
      </c>
      <c r="AA80" s="1601" t="e">
        <f t="shared" si="583"/>
        <v>#REF!</v>
      </c>
      <c r="AB80" s="1601">
        <f t="shared" si="583"/>
        <v>70897.669500000004</v>
      </c>
      <c r="AC80" s="1601">
        <f t="shared" si="583"/>
        <v>70520.933541510851</v>
      </c>
      <c r="AD80" s="1601">
        <f t="shared" si="583"/>
        <v>376.73595848915204</v>
      </c>
      <c r="AE80" s="1601">
        <f t="shared" si="583"/>
        <v>89773.89</v>
      </c>
      <c r="AF80" s="1601"/>
      <c r="AG80" s="1601">
        <f>SUM(AG61+AG79)</f>
        <v>89569.849999999991</v>
      </c>
      <c r="AH80" s="1601">
        <f>SUM(AH61+AH79)</f>
        <v>353.42</v>
      </c>
      <c r="AI80" s="1601" t="e">
        <f>SUM(AI61+AI79)</f>
        <v>#REF!</v>
      </c>
      <c r="AJ80" s="1601"/>
      <c r="AK80" s="1601" t="e">
        <f>SUM(AK61+AK79)</f>
        <v>#REF!</v>
      </c>
      <c r="AL80" s="1601" t="e">
        <f>SUM(AL61+AL79)</f>
        <v>#REF!</v>
      </c>
      <c r="AM80" s="1601"/>
      <c r="AN80" s="1601"/>
      <c r="AO80" s="1601"/>
      <c r="AP80" s="1601">
        <f t="shared" ref="AP80:AV80" si="584">SUM(AP61+AP79)</f>
        <v>25525.760000000002</v>
      </c>
      <c r="AQ80" s="1601">
        <f t="shared" si="584"/>
        <v>25440.449918838356</v>
      </c>
      <c r="AR80" s="1601">
        <f t="shared" si="584"/>
        <v>83.252151621438273</v>
      </c>
      <c r="AS80" s="1601">
        <f t="shared" si="584"/>
        <v>40253.669999999991</v>
      </c>
      <c r="AT80" s="1601">
        <f t="shared" si="584"/>
        <v>40082.039917911483</v>
      </c>
      <c r="AU80" s="1601">
        <f t="shared" si="584"/>
        <v>167.62745114410106</v>
      </c>
      <c r="AV80" s="1601">
        <f t="shared" si="584"/>
        <v>97636.196536620875</v>
      </c>
      <c r="AW80" s="1728" t="e">
        <f t="shared" si="64"/>
        <v>#REF!</v>
      </c>
      <c r="AX80" s="1601">
        <f>SUM(AX61+AX79)</f>
        <v>97257.124391735197</v>
      </c>
      <c r="AY80" s="1601">
        <f>SUM(AY61+AY79)</f>
        <v>379.07214488568587</v>
      </c>
      <c r="AZ80" s="1601">
        <f>SUM(AZ61+AZ79)</f>
        <v>85384.506708417524</v>
      </c>
      <c r="BA80" s="1604" t="e">
        <f t="shared" si="36"/>
        <v>#REF!</v>
      </c>
      <c r="BB80" s="1601">
        <f t="shared" ref="BB80:BL80" si="585">SUM(BB61+BB79)</f>
        <v>85118.786560402586</v>
      </c>
      <c r="BC80" s="1601">
        <f t="shared" si="585"/>
        <v>265.72014801492946</v>
      </c>
      <c r="BD80" s="1601">
        <f t="shared" si="585"/>
        <v>81554.210000000006</v>
      </c>
      <c r="BE80" s="1601">
        <f t="shared" si="585"/>
        <v>81207.200000000012</v>
      </c>
      <c r="BF80" s="1601">
        <f t="shared" si="585"/>
        <v>347.01</v>
      </c>
      <c r="BG80" s="1601">
        <f t="shared" si="585"/>
        <v>79589.19</v>
      </c>
      <c r="BH80" s="1601">
        <f t="shared" si="585"/>
        <v>79280.180000000008</v>
      </c>
      <c r="BI80" s="1601">
        <f t="shared" si="585"/>
        <v>309.01</v>
      </c>
      <c r="BJ80" s="1601">
        <f t="shared" si="585"/>
        <v>89291.181999999986</v>
      </c>
      <c r="BK80" s="1601">
        <f t="shared" si="585"/>
        <v>88993.983999999997</v>
      </c>
      <c r="BL80" s="1601">
        <f t="shared" si="585"/>
        <v>297.19800000000004</v>
      </c>
      <c r="BM80" s="1601"/>
      <c r="BN80" s="1601"/>
      <c r="BO80" s="1601"/>
      <c r="BP80" s="1601">
        <f t="shared" ref="BP80:BU80" si="586">SUM(BP61+BP79+BP76+BP77)</f>
        <v>121579.63999999998</v>
      </c>
      <c r="BQ80" s="1601">
        <f t="shared" si="586"/>
        <v>121127.30999999998</v>
      </c>
      <c r="BR80" s="1601">
        <f t="shared" si="586"/>
        <v>452.33000000000004</v>
      </c>
      <c r="BS80" s="1601">
        <f t="shared" si="586"/>
        <v>96528.560192143865</v>
      </c>
      <c r="BT80" s="1601">
        <f t="shared" si="586"/>
        <v>96264.34182001678</v>
      </c>
      <c r="BU80" s="1601">
        <f t="shared" si="586"/>
        <v>264.2183721270805</v>
      </c>
      <c r="BV80" s="1601"/>
      <c r="BW80" s="1601"/>
      <c r="BX80" s="1601"/>
      <c r="BY80" s="1726"/>
      <c r="BZ80" s="394"/>
      <c r="CA80" s="394"/>
      <c r="CB80" s="394"/>
      <c r="CC80" s="394"/>
      <c r="CD80" s="394"/>
      <c r="CE80" s="394"/>
      <c r="CF80" s="394"/>
      <c r="CG80" s="394"/>
      <c r="CH80" s="394"/>
      <c r="CI80" s="394"/>
      <c r="CJ80" s="394"/>
      <c r="CK80" s="394"/>
      <c r="CL80" s="394"/>
      <c r="CM80" s="394"/>
      <c r="CN80" s="394"/>
      <c r="CO80" s="394"/>
      <c r="CP80" s="394"/>
      <c r="CQ80" s="394"/>
      <c r="CR80" s="394"/>
      <c r="CS80" s="394"/>
      <c r="CT80" s="394"/>
      <c r="CU80" s="394"/>
      <c r="CV80" s="394"/>
    </row>
    <row r="81" spans="1:148" ht="21" hidden="1" customHeight="1" x14ac:dyDescent="0.2">
      <c r="A81" s="3320" t="s">
        <v>68</v>
      </c>
      <c r="B81" s="3191"/>
      <c r="C81" s="3191"/>
      <c r="D81" s="3191"/>
      <c r="E81" s="3191"/>
      <c r="F81" s="3191"/>
      <c r="G81" s="3191"/>
      <c r="H81" s="3191"/>
      <c r="I81" s="1601" t="e">
        <f>(#REF!+I79)/#REF!</f>
        <v>#REF!</v>
      </c>
      <c r="J81" s="2578"/>
      <c r="K81" s="2578"/>
      <c r="L81" s="2578"/>
      <c r="M81" s="2578"/>
      <c r="N81" s="1601">
        <f>(N61+N79)/N75</f>
        <v>24.133221648388211</v>
      </c>
      <c r="O81" s="3326"/>
      <c r="P81" s="1601" t="e">
        <f>(P61+P79)/P75</f>
        <v>#REF!</v>
      </c>
      <c r="Q81" s="1600" t="e">
        <f t="shared" si="27"/>
        <v>#REF!</v>
      </c>
      <c r="R81" s="2578"/>
      <c r="S81" s="1597" t="e">
        <f>(S61+S79)/S75</f>
        <v>#REF!</v>
      </c>
      <c r="T81" s="1597" t="e">
        <f>(T61+T79)/T75</f>
        <v>#REF!</v>
      </c>
      <c r="U81" s="1597" t="e">
        <f>(U61+U79)/U75</f>
        <v>#REF!</v>
      </c>
      <c r="V81" s="1597" t="e">
        <f>(V61+V79)/V75</f>
        <v>#REF!</v>
      </c>
      <c r="W81" s="1601">
        <f>(W61+W79)/W75</f>
        <v>26.676299999999998</v>
      </c>
      <c r="X81" s="1601"/>
      <c r="Y81" s="1601" t="e">
        <f t="shared" ref="Y81:AE81" si="587">(Y61+Y79)/Y75</f>
        <v>#REF!</v>
      </c>
      <c r="Z81" s="1601" t="e">
        <f t="shared" si="587"/>
        <v>#REF!</v>
      </c>
      <c r="AA81" s="1601" t="e">
        <f t="shared" si="587"/>
        <v>#REF!</v>
      </c>
      <c r="AB81" s="1601">
        <f t="shared" si="587"/>
        <v>20.395164115988724</v>
      </c>
      <c r="AC81" s="1601">
        <f t="shared" si="587"/>
        <v>20.464577348087886</v>
      </c>
      <c r="AD81" s="1601">
        <f t="shared" si="587"/>
        <v>12.474700612223577</v>
      </c>
      <c r="AE81" s="1601">
        <f t="shared" si="587"/>
        <v>24.443567402728238</v>
      </c>
      <c r="AF81" s="1601" t="e">
        <f t="shared" si="29"/>
        <v>#REF!</v>
      </c>
      <c r="AG81" s="1601">
        <f>(AG61+AG79)/AG75</f>
        <v>24.575369714928524</v>
      </c>
      <c r="AH81" s="1601">
        <f>(AH61+AH79)/AH75</f>
        <v>12.622142857142858</v>
      </c>
      <c r="AI81" s="1601" t="e">
        <f>(AI61+AI79)/AI75</f>
        <v>#REF!</v>
      </c>
      <c r="AJ81" s="1601" t="e">
        <f t="shared" si="30"/>
        <v>#REF!</v>
      </c>
      <c r="AK81" s="1601" t="e">
        <f>(AK61+AK79)/AK75</f>
        <v>#REF!</v>
      </c>
      <c r="AL81" s="1601" t="e">
        <f>(AL61+AL79)/AL75</f>
        <v>#REF!</v>
      </c>
      <c r="AM81" s="1601" t="e">
        <f>#REF!</f>
        <v>#REF!</v>
      </c>
      <c r="AN81" s="1601" t="e">
        <f>#REF!-AM81</f>
        <v>#REF!</v>
      </c>
      <c r="AO81" s="1601" t="e">
        <f t="shared" si="31"/>
        <v>#REF!</v>
      </c>
      <c r="AP81" s="1601">
        <f t="shared" ref="AP81:AV81" si="588">(AP61+AP79)/AP75</f>
        <v>15.278116283802389</v>
      </c>
      <c r="AQ81" s="1601">
        <f t="shared" si="588"/>
        <v>15.315700072145278</v>
      </c>
      <c r="AR81" s="1601">
        <f t="shared" si="588"/>
        <v>8.6093228150401515</v>
      </c>
      <c r="AS81" s="1601">
        <f t="shared" si="588"/>
        <v>12.540279443605039</v>
      </c>
      <c r="AT81" s="1601">
        <f t="shared" si="588"/>
        <v>12.578427562523807</v>
      </c>
      <c r="AU81" s="1601">
        <f t="shared" si="588"/>
        <v>7.1696942319974797</v>
      </c>
      <c r="AV81" s="1601">
        <f t="shared" si="588"/>
        <v>28.11292730683008</v>
      </c>
      <c r="AW81" s="1728" t="e">
        <f t="shared" si="64"/>
        <v>#REF!</v>
      </c>
      <c r="AX81" s="1601">
        <f>(AX61+AX79)/AX75</f>
        <v>28.231385890198897</v>
      </c>
      <c r="AY81" s="1601">
        <f>(AY61+AY79)/AY75</f>
        <v>13.538290888774496</v>
      </c>
      <c r="AZ81" s="1601">
        <f>(AZ61+AZ79)/AZ75</f>
        <v>24.649605133018717</v>
      </c>
      <c r="BA81" s="1604" t="e">
        <f t="shared" si="36"/>
        <v>#REF!</v>
      </c>
      <c r="BB81" s="1601">
        <f t="shared" ref="BB81:BL81" si="589">(BB61+BB79)/BB75</f>
        <v>24.707920627112507</v>
      </c>
      <c r="BC81" s="1601">
        <f t="shared" si="589"/>
        <v>14.036986160323796</v>
      </c>
      <c r="BD81" s="1601">
        <f t="shared" si="589"/>
        <v>26.638731467357399</v>
      </c>
      <c r="BE81" s="1601">
        <f t="shared" si="589"/>
        <v>26.705515581220983</v>
      </c>
      <c r="BF81" s="1601">
        <f t="shared" si="589"/>
        <v>16.804358353510896</v>
      </c>
      <c r="BG81" s="1601">
        <f t="shared" si="589"/>
        <v>24.892469318053873</v>
      </c>
      <c r="BH81" s="1601">
        <f t="shared" si="589"/>
        <v>24.945778924514649</v>
      </c>
      <c r="BI81" s="1601">
        <f t="shared" si="589"/>
        <v>16.077523413111344</v>
      </c>
      <c r="BJ81" s="1601">
        <f t="shared" si="589"/>
        <v>27.48325818038554</v>
      </c>
      <c r="BK81" s="1601">
        <f t="shared" si="589"/>
        <v>27.552317027863776</v>
      </c>
      <c r="BL81" s="1601">
        <f t="shared" si="589"/>
        <v>15.699841521394614</v>
      </c>
      <c r="BM81" s="1601"/>
      <c r="BN81" s="1601"/>
      <c r="BO81" s="1601"/>
      <c r="BP81" s="1601">
        <f>BP80/BP75</f>
        <v>37.421440289572253</v>
      </c>
      <c r="BQ81" s="1601">
        <f t="shared" ref="BQ81:BR81" si="590">BQ80/BQ75</f>
        <v>37.500715170278632</v>
      </c>
      <c r="BR81" s="1601">
        <f t="shared" si="590"/>
        <v>23.894875858425781</v>
      </c>
      <c r="BS81" s="1601">
        <f>BS80/BS75</f>
        <v>31.963060842933739</v>
      </c>
      <c r="BT81" s="1601">
        <f t="shared" ref="BT81" si="591">BT80/BT75</f>
        <v>32.063137007529534</v>
      </c>
      <c r="BU81" s="1601">
        <f t="shared" ref="BU81" si="592">BU80/BU75</f>
        <v>14.955756912853612</v>
      </c>
      <c r="BV81" s="1601"/>
      <c r="BW81" s="1601"/>
      <c r="BX81" s="1601"/>
      <c r="BY81" s="1726"/>
      <c r="BZ81" s="394"/>
      <c r="CA81" s="394"/>
      <c r="CB81" s="394"/>
      <c r="CC81" s="394"/>
      <c r="CD81" s="394"/>
      <c r="CE81" s="394"/>
      <c r="CF81" s="394"/>
      <c r="CG81" s="394"/>
      <c r="CH81" s="394"/>
      <c r="CI81" s="394"/>
      <c r="CJ81" s="394"/>
      <c r="CK81" s="394"/>
      <c r="CL81" s="394"/>
      <c r="CM81" s="394"/>
      <c r="CN81" s="394"/>
      <c r="CO81" s="394"/>
      <c r="CP81" s="394"/>
      <c r="CQ81" s="394"/>
      <c r="CR81" s="394"/>
      <c r="CS81" s="394"/>
      <c r="CT81" s="394"/>
      <c r="CU81" s="394"/>
      <c r="CV81" s="394"/>
    </row>
    <row r="82" spans="1:148" ht="21" hidden="1" customHeight="1" x14ac:dyDescent="0.2">
      <c r="A82" s="3320" t="s">
        <v>145</v>
      </c>
      <c r="B82" s="3191"/>
      <c r="C82" s="3191"/>
      <c r="D82" s="3191"/>
      <c r="E82" s="3191"/>
      <c r="F82" s="3191"/>
      <c r="G82" s="3191"/>
      <c r="H82" s="3191"/>
      <c r="I82" s="3307"/>
      <c r="J82" s="3191"/>
      <c r="K82" s="3191"/>
      <c r="L82" s="3191"/>
      <c r="M82" s="3191"/>
      <c r="N82" s="3193" t="e">
        <f>N81/I81*100</f>
        <v>#REF!</v>
      </c>
      <c r="O82" s="1724"/>
      <c r="P82" s="3193" t="e">
        <f>P81/I81*100</f>
        <v>#REF!</v>
      </c>
      <c r="Q82" s="3193"/>
      <c r="R82" s="3191"/>
      <c r="S82" s="3307"/>
      <c r="T82" s="3307"/>
      <c r="U82" s="3307"/>
      <c r="V82" s="3307"/>
      <c r="W82" s="1601"/>
      <c r="X82" s="1601"/>
      <c r="Y82" s="1601"/>
      <c r="Z82" s="1601"/>
      <c r="AA82" s="1601"/>
      <c r="AB82" s="1601"/>
      <c r="AC82" s="1601"/>
      <c r="AD82" s="1601"/>
      <c r="AE82" s="1601"/>
      <c r="AF82" s="1601" t="e">
        <f t="shared" si="29"/>
        <v>#DIV/0!</v>
      </c>
      <c r="AG82" s="1601"/>
      <c r="AH82" s="1601"/>
      <c r="AI82" s="1601"/>
      <c r="AJ82" s="1601" t="e">
        <f t="shared" si="30"/>
        <v>#DIV/0!</v>
      </c>
      <c r="AK82" s="1601"/>
      <c r="AL82" s="1601"/>
      <c r="AM82" s="1601"/>
      <c r="AN82" s="1601"/>
      <c r="AO82" s="1601"/>
      <c r="AP82" s="1601"/>
      <c r="AQ82" s="1601"/>
      <c r="AR82" s="1601"/>
      <c r="AS82" s="1601"/>
      <c r="AT82" s="1601"/>
      <c r="AU82" s="1601"/>
      <c r="AV82" s="1601"/>
      <c r="AW82" s="1728" t="e">
        <f t="shared" si="64"/>
        <v>#DIV/0!</v>
      </c>
      <c r="AX82" s="1601"/>
      <c r="AY82" s="1601"/>
      <c r="AZ82" s="1601"/>
      <c r="BA82" s="1604" t="e">
        <f t="shared" si="36"/>
        <v>#DIV/0!</v>
      </c>
      <c r="BB82" s="1601"/>
      <c r="BC82" s="1601"/>
      <c r="BD82" s="1601"/>
      <c r="BE82" s="1601"/>
      <c r="BF82" s="1601"/>
      <c r="BG82" s="1601"/>
      <c r="BH82" s="1601"/>
      <c r="BI82" s="1601"/>
      <c r="BJ82" s="1601"/>
      <c r="BK82" s="1601"/>
      <c r="BL82" s="1601"/>
      <c r="BM82" s="1601"/>
      <c r="BN82" s="1601"/>
      <c r="BO82" s="1601"/>
      <c r="BP82" s="1601"/>
      <c r="BQ82" s="1601"/>
      <c r="BR82" s="1601"/>
      <c r="BS82" s="1601"/>
      <c r="BT82" s="1601"/>
      <c r="BU82" s="1601"/>
      <c r="BV82" s="1601"/>
      <c r="BW82" s="1601"/>
      <c r="BX82" s="1601"/>
      <c r="BY82" s="1726"/>
      <c r="BZ82" s="394"/>
      <c r="CA82" s="394"/>
      <c r="CB82" s="394"/>
      <c r="CC82" s="394"/>
      <c r="CD82" s="394"/>
      <c r="CE82" s="394"/>
      <c r="CF82" s="394"/>
      <c r="CG82" s="394"/>
      <c r="CH82" s="394"/>
      <c r="CI82" s="394"/>
      <c r="CJ82" s="394"/>
      <c r="CK82" s="394"/>
      <c r="CL82" s="394"/>
      <c r="CM82" s="394"/>
      <c r="CN82" s="394"/>
      <c r="CO82" s="394"/>
      <c r="CP82" s="394"/>
      <c r="CQ82" s="394"/>
      <c r="CR82" s="394"/>
      <c r="CS82" s="394"/>
      <c r="CT82" s="394"/>
      <c r="CU82" s="394"/>
      <c r="CV82" s="394"/>
    </row>
    <row r="83" spans="1:148" ht="21" hidden="1" customHeight="1" x14ac:dyDescent="0.2">
      <c r="A83" s="3320" t="s">
        <v>310</v>
      </c>
      <c r="B83" s="3191"/>
      <c r="C83" s="3191"/>
      <c r="D83" s="3191"/>
      <c r="E83" s="3191"/>
      <c r="F83" s="3191"/>
      <c r="G83" s="3191"/>
      <c r="H83" s="3191"/>
      <c r="I83" s="3307"/>
      <c r="J83" s="3191"/>
      <c r="K83" s="3191"/>
      <c r="L83" s="3191"/>
      <c r="M83" s="3191"/>
      <c r="N83" s="3193"/>
      <c r="O83" s="1724"/>
      <c r="P83" s="3193"/>
      <c r="Q83" s="3193"/>
      <c r="R83" s="3191"/>
      <c r="S83" s="3307"/>
      <c r="T83" s="3307"/>
      <c r="U83" s="3307"/>
      <c r="V83" s="3307"/>
      <c r="W83" s="1601">
        <v>4947</v>
      </c>
      <c r="X83" s="3440"/>
      <c r="Y83" s="1601">
        <f>Z83</f>
        <v>4947</v>
      </c>
      <c r="Z83" s="1601">
        <f>4947</f>
        <v>4947</v>
      </c>
      <c r="AA83" s="1601"/>
      <c r="AB83" s="1601">
        <f>'кап влож'!O16</f>
        <v>1044.8800000000001</v>
      </c>
      <c r="AC83" s="1601">
        <f>AB83</f>
        <v>1044.8800000000001</v>
      </c>
      <c r="AD83" s="1601">
        <v>0</v>
      </c>
      <c r="AE83" s="1601">
        <v>5656.1</v>
      </c>
      <c r="AF83" s="1601">
        <f t="shared" si="29"/>
        <v>1.1433393976147161</v>
      </c>
      <c r="AG83" s="1601">
        <f>AE83</f>
        <v>5656.1</v>
      </c>
      <c r="AH83" s="1601">
        <v>0</v>
      </c>
      <c r="AI83" s="1601">
        <f>AK83</f>
        <v>3568.1</v>
      </c>
      <c r="AJ83" s="1601">
        <f t="shared" si="30"/>
        <v>0.72126541338184758</v>
      </c>
      <c r="AK83" s="1601">
        <v>3568.1</v>
      </c>
      <c r="AL83" s="1601">
        <v>0</v>
      </c>
      <c r="AM83" s="1601" t="e">
        <f>#REF!*Z83/Y83</f>
        <v>#REF!</v>
      </c>
      <c r="AN83" s="1601" t="e">
        <f>#REF!-AM83</f>
        <v>#REF!</v>
      </c>
      <c r="AO83" s="1601" t="e">
        <f t="shared" si="31"/>
        <v>#REF!</v>
      </c>
      <c r="AP83" s="1601">
        <v>0</v>
      </c>
      <c r="AQ83" s="1601">
        <v>0</v>
      </c>
      <c r="AR83" s="1601">
        <v>0</v>
      </c>
      <c r="AS83" s="1601">
        <v>0</v>
      </c>
      <c r="AT83" s="1601">
        <v>0</v>
      </c>
      <c r="AU83" s="1601">
        <v>0</v>
      </c>
      <c r="AV83" s="1601">
        <f>SUM(AX83:AY83)</f>
        <v>0.9</v>
      </c>
      <c r="AW83" s="1728">
        <f t="shared" si="64"/>
        <v>2.5223508309744685E-4</v>
      </c>
      <c r="AX83" s="1601">
        <v>0.9</v>
      </c>
      <c r="AY83" s="1601">
        <v>0</v>
      </c>
      <c r="AZ83" s="1601">
        <f>SUM(BB83:BC83)</f>
        <v>0.9</v>
      </c>
      <c r="BA83" s="1604">
        <f t="shared" si="36"/>
        <v>2.5223508309744685E-4</v>
      </c>
      <c r="BB83" s="1601">
        <v>0.9</v>
      </c>
      <c r="BC83" s="1601">
        <v>0</v>
      </c>
      <c r="BD83" s="1601">
        <f>SUM(BF83:BG83)</f>
        <v>0</v>
      </c>
      <c r="BE83" s="1601"/>
      <c r="BF83" s="1601"/>
      <c r="BG83" s="1601"/>
      <c r="BH83" s="1601"/>
      <c r="BI83" s="1601"/>
      <c r="BJ83" s="1601"/>
      <c r="BK83" s="1601"/>
      <c r="BL83" s="1601"/>
      <c r="BM83" s="1601"/>
      <c r="BN83" s="1601"/>
      <c r="BO83" s="1601"/>
      <c r="BP83" s="1601"/>
      <c r="BQ83" s="1601"/>
      <c r="BR83" s="1601"/>
      <c r="BS83" s="1601"/>
      <c r="BT83" s="1601"/>
      <c r="BU83" s="1601"/>
      <c r="BV83" s="1601"/>
      <c r="BW83" s="1601"/>
      <c r="BX83" s="1601"/>
      <c r="BY83" s="1726" t="s">
        <v>239</v>
      </c>
      <c r="BZ83" s="394"/>
      <c r="CA83" s="394"/>
      <c r="CB83" s="394"/>
      <c r="CC83" s="394"/>
      <c r="CD83" s="394"/>
      <c r="CE83" s="394"/>
      <c r="CF83" s="394"/>
      <c r="CG83" s="394"/>
      <c r="CH83" s="394"/>
      <c r="CI83" s="394"/>
      <c r="CJ83" s="394"/>
      <c r="CK83" s="394"/>
      <c r="CL83" s="394"/>
      <c r="CM83" s="394"/>
      <c r="CN83" s="394"/>
      <c r="CO83" s="394"/>
      <c r="CP83" s="394"/>
      <c r="CQ83" s="394"/>
      <c r="CR83" s="394"/>
      <c r="CS83" s="394"/>
      <c r="CT83" s="394"/>
      <c r="CU83" s="394"/>
      <c r="CV83" s="394"/>
    </row>
    <row r="84" spans="1:148" ht="20.25" hidden="1" customHeight="1" x14ac:dyDescent="0.2">
      <c r="A84" s="3320" t="s">
        <v>530</v>
      </c>
      <c r="B84" s="3191"/>
      <c r="C84" s="3191"/>
      <c r="D84" s="3191"/>
      <c r="E84" s="3191"/>
      <c r="F84" s="3191"/>
      <c r="G84" s="3191"/>
      <c r="H84" s="3191"/>
      <c r="I84" s="3307"/>
      <c r="J84" s="3191"/>
      <c r="K84" s="3191"/>
      <c r="L84" s="3191"/>
      <c r="M84" s="3191"/>
      <c r="N84" s="3193"/>
      <c r="O84" s="1724"/>
      <c r="P84" s="3193"/>
      <c r="Q84" s="3193"/>
      <c r="R84" s="3191"/>
      <c r="S84" s="3307"/>
      <c r="T84" s="3307"/>
      <c r="U84" s="3307"/>
      <c r="V84" s="3307"/>
      <c r="W84" s="1601">
        <f>W61+W79+W83</f>
        <v>100981.68</v>
      </c>
      <c r="X84" s="1601"/>
      <c r="Y84" s="1601" t="e">
        <f t="shared" ref="Y84:AE84" si="593">Y61+Y79+Y83</f>
        <v>#REF!</v>
      </c>
      <c r="Z84" s="1601" t="e">
        <f t="shared" si="593"/>
        <v>#REF!</v>
      </c>
      <c r="AA84" s="1601" t="e">
        <f t="shared" si="593"/>
        <v>#REF!</v>
      </c>
      <c r="AB84" s="1601">
        <f t="shared" si="593"/>
        <v>71942.549500000008</v>
      </c>
      <c r="AC84" s="1601">
        <f t="shared" si="593"/>
        <v>71565.813541510855</v>
      </c>
      <c r="AD84" s="1601">
        <f t="shared" si="593"/>
        <v>376.73595848915204</v>
      </c>
      <c r="AE84" s="1601">
        <f t="shared" si="593"/>
        <v>95429.99</v>
      </c>
      <c r="AF84" s="1601" t="e">
        <f t="shared" si="29"/>
        <v>#REF!</v>
      </c>
      <c r="AG84" s="1601">
        <f>AG61+AG79+AG83</f>
        <v>95225.95</v>
      </c>
      <c r="AH84" s="1601">
        <f>AH61+AH79+AH83</f>
        <v>353.42</v>
      </c>
      <c r="AI84" s="1601" t="e">
        <f>AI61+AI79+AI83</f>
        <v>#REF!</v>
      </c>
      <c r="AJ84" s="1601" t="e">
        <f t="shared" si="30"/>
        <v>#REF!</v>
      </c>
      <c r="AK84" s="1601" t="e">
        <f>AK61+AK79+AK83</f>
        <v>#REF!</v>
      </c>
      <c r="AL84" s="1601" t="e">
        <f>AL61+AL79+AL83</f>
        <v>#REF!</v>
      </c>
      <c r="AM84" s="1601" t="e">
        <f>AM61+AM79+AM83</f>
        <v>#REF!</v>
      </c>
      <c r="AN84" s="1601" t="e">
        <f>#REF!-AM84</f>
        <v>#REF!</v>
      </c>
      <c r="AO84" s="1601" t="e">
        <f t="shared" si="31"/>
        <v>#REF!</v>
      </c>
      <c r="AP84" s="1601">
        <f t="shared" ref="AP84:AV84" si="594">AP61+AP79+AP83</f>
        <v>25525.760000000002</v>
      </c>
      <c r="AQ84" s="1601">
        <f t="shared" si="594"/>
        <v>25440.449918838356</v>
      </c>
      <c r="AR84" s="1601">
        <f t="shared" si="594"/>
        <v>83.252151621438273</v>
      </c>
      <c r="AS84" s="1601">
        <f t="shared" si="594"/>
        <v>40253.669999999991</v>
      </c>
      <c r="AT84" s="1601">
        <f t="shared" si="594"/>
        <v>40082.039917911483</v>
      </c>
      <c r="AU84" s="1601">
        <f t="shared" si="594"/>
        <v>167.62745114410106</v>
      </c>
      <c r="AV84" s="1601">
        <f t="shared" si="594"/>
        <v>97637.096536620869</v>
      </c>
      <c r="AW84" s="1728" t="e">
        <f t="shared" si="64"/>
        <v>#REF!</v>
      </c>
      <c r="AX84" s="1601">
        <f>AX61+AX79+AX83</f>
        <v>97258.024391735191</v>
      </c>
      <c r="AY84" s="1601">
        <f>AY61+AY79+AY83</f>
        <v>379.07214488568587</v>
      </c>
      <c r="AZ84" s="1601">
        <f>AZ61+AZ79+AZ83</f>
        <v>85385.406708417519</v>
      </c>
      <c r="BA84" s="1604" t="e">
        <f t="shared" si="36"/>
        <v>#REF!</v>
      </c>
      <c r="BB84" s="1601">
        <f>BB61+BB79+BB83</f>
        <v>85119.686560402581</v>
      </c>
      <c r="BC84" s="1601">
        <f>BC61+BC79+BC83</f>
        <v>265.72014801492946</v>
      </c>
      <c r="BD84" s="1601">
        <f>BD61+BD79+BD83</f>
        <v>81554.210000000006</v>
      </c>
      <c r="BE84" s="1601"/>
      <c r="BF84" s="1601"/>
      <c r="BG84" s="1601"/>
      <c r="BH84" s="1601"/>
      <c r="BI84" s="1601"/>
      <c r="BJ84" s="1601"/>
      <c r="BK84" s="1601"/>
      <c r="BL84" s="1601"/>
      <c r="BM84" s="1601"/>
      <c r="BN84" s="1601"/>
      <c r="BO84" s="1601"/>
      <c r="BP84" s="1601"/>
      <c r="BQ84" s="1601"/>
      <c r="BR84" s="1601"/>
      <c r="BS84" s="1601"/>
      <c r="BT84" s="1601"/>
      <c r="BU84" s="1601"/>
      <c r="BV84" s="1601"/>
      <c r="BW84" s="1601"/>
      <c r="BX84" s="1601"/>
      <c r="BY84" s="1726"/>
      <c r="BZ84" s="394"/>
      <c r="CA84" s="394"/>
      <c r="CB84" s="394"/>
      <c r="CC84" s="394"/>
      <c r="CD84" s="394"/>
      <c r="CE84" s="394"/>
      <c r="CF84" s="394"/>
      <c r="CG84" s="394"/>
      <c r="CH84" s="394"/>
      <c r="CI84" s="394"/>
      <c r="CJ84" s="394"/>
      <c r="CK84" s="394"/>
      <c r="CL84" s="394"/>
      <c r="CM84" s="394"/>
      <c r="CN84" s="394"/>
      <c r="CO84" s="394"/>
      <c r="CP84" s="394"/>
      <c r="CQ84" s="394"/>
      <c r="CR84" s="394"/>
      <c r="CS84" s="394"/>
      <c r="CT84" s="394"/>
      <c r="CU84" s="394"/>
      <c r="CV84" s="394"/>
    </row>
    <row r="85" spans="1:148" ht="21" hidden="1" customHeight="1" x14ac:dyDescent="0.2">
      <c r="A85" s="3320" t="s">
        <v>311</v>
      </c>
      <c r="B85" s="3191"/>
      <c r="C85" s="3191"/>
      <c r="D85" s="3191"/>
      <c r="E85" s="3191"/>
      <c r="F85" s="3191"/>
      <c r="G85" s="3191"/>
      <c r="H85" s="3191"/>
      <c r="I85" s="3307"/>
      <c r="J85" s="3191"/>
      <c r="K85" s="3191"/>
      <c r="L85" s="3191"/>
      <c r="M85" s="3191"/>
      <c r="N85" s="3193"/>
      <c r="O85" s="1724"/>
      <c r="P85" s="3193"/>
      <c r="Q85" s="3193"/>
      <c r="R85" s="3191"/>
      <c r="S85" s="3307"/>
      <c r="T85" s="3307"/>
      <c r="U85" s="3307"/>
      <c r="V85" s="3307"/>
      <c r="W85" s="1601">
        <f>W84/W75</f>
        <v>28.050466666666665</v>
      </c>
      <c r="X85" s="1601"/>
      <c r="Y85" s="1601" t="e">
        <f t="shared" ref="Y85:AE85" si="595">Y84/Y75</f>
        <v>#REF!</v>
      </c>
      <c r="Z85" s="1601" t="e">
        <f t="shared" si="595"/>
        <v>#REF!</v>
      </c>
      <c r="AA85" s="1601" t="e">
        <f t="shared" si="595"/>
        <v>#REF!</v>
      </c>
      <c r="AB85" s="1601">
        <f t="shared" si="595"/>
        <v>20.6957452102871</v>
      </c>
      <c r="AC85" s="1601">
        <f t="shared" si="595"/>
        <v>20.767792670200482</v>
      </c>
      <c r="AD85" s="1601">
        <f t="shared" si="595"/>
        <v>12.474700612223577</v>
      </c>
      <c r="AE85" s="1601">
        <f t="shared" si="595"/>
        <v>25.983606066381682</v>
      </c>
      <c r="AF85" s="1601" t="e">
        <f t="shared" si="29"/>
        <v>#REF!</v>
      </c>
      <c r="AG85" s="1601">
        <f>AG84/AG75</f>
        <v>26.127239553324006</v>
      </c>
      <c r="AH85" s="1601">
        <f>AH84/AH75</f>
        <v>12.622142857142858</v>
      </c>
      <c r="AI85" s="1601" t="e">
        <f>AI84/AI75</f>
        <v>#REF!</v>
      </c>
      <c r="AJ85" s="1601" t="e">
        <f t="shared" si="30"/>
        <v>#REF!</v>
      </c>
      <c r="AK85" s="1601" t="e">
        <f>AK84/AK75</f>
        <v>#REF!</v>
      </c>
      <c r="AL85" s="1601" t="e">
        <f>AL84/AL75</f>
        <v>#REF!</v>
      </c>
      <c r="AM85" s="1601" t="e">
        <f>#REF!*Z85/Y85</f>
        <v>#REF!</v>
      </c>
      <c r="AN85" s="1601" t="e">
        <f>#REF!-AM85</f>
        <v>#REF!</v>
      </c>
      <c r="AO85" s="1601" t="e">
        <f t="shared" si="31"/>
        <v>#REF!</v>
      </c>
      <c r="AP85" s="1601">
        <f t="shared" ref="AP85:AV85" si="596">AP84/AP75</f>
        <v>15.278116283802389</v>
      </c>
      <c r="AQ85" s="1601">
        <f t="shared" si="596"/>
        <v>15.315700072145278</v>
      </c>
      <c r="AR85" s="1601">
        <f t="shared" si="596"/>
        <v>8.6093228150401515</v>
      </c>
      <c r="AS85" s="1601">
        <f t="shared" si="596"/>
        <v>12.540279443605039</v>
      </c>
      <c r="AT85" s="1601">
        <f t="shared" si="596"/>
        <v>12.578427562523807</v>
      </c>
      <c r="AU85" s="1601">
        <f t="shared" si="596"/>
        <v>7.1696942319974797</v>
      </c>
      <c r="AV85" s="1601">
        <f t="shared" si="596"/>
        <v>28.113186448782283</v>
      </c>
      <c r="AW85" s="1728" t="e">
        <f t="shared" si="64"/>
        <v>#REF!</v>
      </c>
      <c r="AX85" s="1601">
        <f>AX84/AX75</f>
        <v>28.23164713838467</v>
      </c>
      <c r="AY85" s="1601">
        <f>AY84/AY75</f>
        <v>13.538290888774496</v>
      </c>
      <c r="AZ85" s="1601">
        <f>AZ84/AZ75</f>
        <v>24.649864953511624</v>
      </c>
      <c r="BA85" s="1604" t="e">
        <f t="shared" si="36"/>
        <v>#REF!</v>
      </c>
      <c r="BB85" s="1601">
        <f>BB84/BB75</f>
        <v>24.708181875298283</v>
      </c>
      <c r="BC85" s="1601">
        <f>BC84/BC75</f>
        <v>14.036986160323796</v>
      </c>
      <c r="BD85" s="1601">
        <f>BD84/BD75</f>
        <v>26.638731467357399</v>
      </c>
      <c r="BE85" s="1601"/>
      <c r="BF85" s="1601"/>
      <c r="BG85" s="1601"/>
      <c r="BH85" s="1601"/>
      <c r="BI85" s="1601"/>
      <c r="BJ85" s="1601"/>
      <c r="BK85" s="1601"/>
      <c r="BL85" s="1601"/>
      <c r="BM85" s="1601"/>
      <c r="BN85" s="1601"/>
      <c r="BO85" s="1601"/>
      <c r="BP85" s="1601"/>
      <c r="BQ85" s="1601"/>
      <c r="BR85" s="1601"/>
      <c r="BS85" s="1601"/>
      <c r="BT85" s="1601"/>
      <c r="BU85" s="1601"/>
      <c r="BV85" s="1601"/>
      <c r="BW85" s="1601"/>
      <c r="BX85" s="1601"/>
      <c r="BY85" s="1726"/>
      <c r="BZ85" s="394"/>
      <c r="CA85" s="394"/>
      <c r="CB85" s="394"/>
      <c r="CC85" s="394"/>
      <c r="CD85" s="394"/>
      <c r="CE85" s="394"/>
      <c r="CF85" s="394"/>
      <c r="CG85" s="394"/>
      <c r="CH85" s="394"/>
      <c r="CI85" s="394"/>
      <c r="CJ85" s="394"/>
      <c r="CK85" s="394"/>
      <c r="CL85" s="394"/>
      <c r="CM85" s="394"/>
      <c r="CN85" s="394"/>
      <c r="CO85" s="394"/>
      <c r="CP85" s="394"/>
      <c r="CQ85" s="394"/>
      <c r="CR85" s="394"/>
      <c r="CS85" s="394"/>
      <c r="CT85" s="394"/>
      <c r="CU85" s="394"/>
      <c r="CV85" s="394"/>
    </row>
    <row r="86" spans="1:148" ht="20.25" hidden="1" customHeight="1" x14ac:dyDescent="0.35">
      <c r="A86" s="369"/>
      <c r="B86" s="859"/>
      <c r="C86" s="859"/>
      <c r="D86" s="859"/>
      <c r="E86" s="859"/>
      <c r="F86" s="859"/>
      <c r="G86" s="859"/>
      <c r="H86" s="859"/>
      <c r="I86" s="3306"/>
      <c r="J86" s="105"/>
      <c r="K86" s="105"/>
      <c r="L86" s="105"/>
      <c r="M86" s="105"/>
      <c r="N86" s="861"/>
      <c r="O86" s="862"/>
      <c r="P86" s="863"/>
      <c r="Q86" s="861"/>
      <c r="R86" s="105"/>
      <c r="S86" s="3306"/>
      <c r="T86" s="3306"/>
      <c r="U86" s="3306"/>
      <c r="V86" s="3306"/>
      <c r="W86" s="864"/>
      <c r="X86" s="3306"/>
      <c r="Y86" s="864"/>
      <c r="Z86" s="864"/>
      <c r="AA86" s="864"/>
      <c r="AB86" s="864"/>
      <c r="AC86" s="864"/>
      <c r="AD86" s="864"/>
      <c r="AE86" s="864"/>
      <c r="AF86" s="864"/>
      <c r="AG86" s="864"/>
      <c r="AH86" s="864"/>
      <c r="AI86" s="864"/>
      <c r="AJ86" s="864"/>
      <c r="AK86" s="865"/>
      <c r="AL86" s="865"/>
      <c r="AM86" s="866"/>
      <c r="AN86" s="867"/>
      <c r="AO86" s="866"/>
      <c r="AP86" s="866"/>
      <c r="AQ86" s="866"/>
      <c r="AR86" s="866"/>
      <c r="AS86" s="866"/>
      <c r="AT86" s="866"/>
      <c r="AU86" s="866"/>
      <c r="AV86" s="866"/>
      <c r="AW86" s="1368"/>
      <c r="AX86" s="866"/>
      <c r="AY86" s="866"/>
      <c r="AZ86" s="866">
        <f>BB75</f>
        <v>3445</v>
      </c>
      <c r="BA86" s="1368"/>
      <c r="BB86" s="866">
        <f>AZ86/2</f>
        <v>1722.5</v>
      </c>
      <c r="BC86" s="866">
        <f>BB86</f>
        <v>1722.5</v>
      </c>
      <c r="BD86" s="866"/>
      <c r="BE86" s="866"/>
      <c r="BF86" s="866"/>
      <c r="BG86" s="866"/>
      <c r="BH86" s="866"/>
      <c r="BI86" s="866"/>
      <c r="BJ86" s="866"/>
      <c r="BK86" s="866"/>
      <c r="BL86" s="866"/>
      <c r="BM86" s="866"/>
      <c r="BN86" s="866"/>
      <c r="BO86" s="866"/>
      <c r="BP86" s="866"/>
      <c r="BQ86" s="866"/>
      <c r="BR86" s="866"/>
      <c r="BS86" s="866"/>
      <c r="BT86" s="866"/>
      <c r="BU86" s="866"/>
      <c r="BV86" s="866"/>
      <c r="BW86" s="866"/>
      <c r="BX86" s="866"/>
      <c r="BY86" s="105"/>
      <c r="BZ86" s="394"/>
      <c r="CA86" s="394"/>
      <c r="CB86" s="394"/>
      <c r="CC86" s="394"/>
      <c r="CD86" s="394"/>
      <c r="CE86" s="394"/>
      <c r="CF86" s="394"/>
      <c r="CG86" s="394"/>
      <c r="CH86" s="394"/>
      <c r="CI86" s="394"/>
      <c r="CJ86" s="394"/>
      <c r="CK86" s="394"/>
      <c r="CL86" s="394"/>
      <c r="CM86" s="394"/>
      <c r="CN86" s="394"/>
      <c r="CO86" s="394"/>
      <c r="CP86" s="394"/>
      <c r="CQ86" s="394"/>
      <c r="CR86" s="394"/>
      <c r="CS86" s="394"/>
      <c r="CT86" s="394"/>
      <c r="CU86" s="394"/>
      <c r="CV86" s="394"/>
    </row>
    <row r="87" spans="1:148" ht="20.25" hidden="1" customHeight="1" x14ac:dyDescent="0.35">
      <c r="A87" s="369"/>
      <c r="B87" s="859"/>
      <c r="C87" s="859"/>
      <c r="D87" s="859"/>
      <c r="E87" s="859"/>
      <c r="F87" s="859"/>
      <c r="G87" s="859"/>
      <c r="H87" s="859"/>
      <c r="I87" s="3306"/>
      <c r="J87" s="105"/>
      <c r="K87" s="105"/>
      <c r="L87" s="105"/>
      <c r="M87" s="105"/>
      <c r="N87" s="861"/>
      <c r="O87" s="862"/>
      <c r="P87" s="863"/>
      <c r="Q87" s="861"/>
      <c r="R87" s="105"/>
      <c r="S87" s="3306"/>
      <c r="T87" s="3306"/>
      <c r="U87" s="3306"/>
      <c r="V87" s="3306"/>
      <c r="W87" s="864"/>
      <c r="X87" s="3306"/>
      <c r="Y87" s="864"/>
      <c r="Z87" s="864"/>
      <c r="AA87" s="864"/>
      <c r="AB87" s="864"/>
      <c r="AC87" s="864"/>
      <c r="AD87" s="864"/>
      <c r="AE87" s="864"/>
      <c r="AF87" s="864"/>
      <c r="AG87" s="864"/>
      <c r="AH87" s="864"/>
      <c r="AI87" s="864"/>
      <c r="AJ87" s="864"/>
      <c r="AK87" s="865"/>
      <c r="AL87" s="865"/>
      <c r="AM87" s="866"/>
      <c r="AN87" s="867"/>
      <c r="AO87" s="866"/>
      <c r="AP87" s="866"/>
      <c r="AQ87" s="866"/>
      <c r="AR87" s="866"/>
      <c r="AS87" s="866"/>
      <c r="AT87" s="866"/>
      <c r="AU87" s="866"/>
      <c r="AV87" s="866"/>
      <c r="AW87" s="1368"/>
      <c r="AX87" s="866"/>
      <c r="AY87" s="866"/>
      <c r="AZ87" s="866">
        <f>BB85</f>
        <v>24.708181875298283</v>
      </c>
      <c r="BA87" s="1368"/>
      <c r="BB87" s="866">
        <v>24.29</v>
      </c>
      <c r="BC87" s="866">
        <f>BC88/BC86</f>
        <v>25.126363750596564</v>
      </c>
      <c r="BD87" s="866"/>
      <c r="BE87" s="866"/>
      <c r="BF87" s="866"/>
      <c r="BG87" s="866"/>
      <c r="BH87" s="866"/>
      <c r="BI87" s="866"/>
      <c r="BJ87" s="866"/>
      <c r="BK87" s="866"/>
      <c r="BL87" s="866"/>
      <c r="BM87" s="866"/>
      <c r="BN87" s="866"/>
      <c r="BO87" s="866"/>
      <c r="BP87" s="866"/>
      <c r="BQ87" s="866"/>
      <c r="BR87" s="866"/>
      <c r="BS87" s="866"/>
      <c r="BT87" s="866"/>
      <c r="BU87" s="866"/>
      <c r="BV87" s="866"/>
      <c r="BW87" s="866"/>
      <c r="BX87" s="866"/>
      <c r="BY87" s="3441">
        <f>BC87/BB87</f>
        <v>1.034432431066141</v>
      </c>
      <c r="BZ87" s="394"/>
      <c r="CA87" s="394"/>
      <c r="CB87" s="394"/>
      <c r="CC87" s="394"/>
      <c r="CD87" s="394"/>
      <c r="CE87" s="394"/>
      <c r="CF87" s="394"/>
      <c r="CG87" s="394"/>
      <c r="CH87" s="394"/>
      <c r="CI87" s="394"/>
      <c r="CJ87" s="394"/>
      <c r="CK87" s="394"/>
      <c r="CL87" s="394"/>
      <c r="CM87" s="394"/>
      <c r="CN87" s="394"/>
      <c r="CO87" s="394"/>
      <c r="CP87" s="394"/>
      <c r="CQ87" s="394"/>
      <c r="CR87" s="394"/>
      <c r="CS87" s="394"/>
      <c r="CT87" s="394"/>
      <c r="CU87" s="394"/>
      <c r="CV87" s="394"/>
    </row>
    <row r="88" spans="1:148" ht="20.25" hidden="1" customHeight="1" x14ac:dyDescent="0.35">
      <c r="A88" s="369"/>
      <c r="B88" s="859"/>
      <c r="C88" s="859"/>
      <c r="D88" s="859"/>
      <c r="E88" s="859"/>
      <c r="F88" s="859"/>
      <c r="G88" s="859"/>
      <c r="H88" s="859"/>
      <c r="I88" s="3306"/>
      <c r="J88" s="105"/>
      <c r="K88" s="105"/>
      <c r="L88" s="105"/>
      <c r="M88" s="105"/>
      <c r="N88" s="861"/>
      <c r="O88" s="862"/>
      <c r="P88" s="863"/>
      <c r="Q88" s="861"/>
      <c r="R88" s="105"/>
      <c r="S88" s="3306"/>
      <c r="T88" s="3306"/>
      <c r="U88" s="3306"/>
      <c r="V88" s="3306"/>
      <c r="W88" s="864"/>
      <c r="X88" s="3306"/>
      <c r="Y88" s="864"/>
      <c r="Z88" s="864"/>
      <c r="AA88" s="864"/>
      <c r="AB88" s="864"/>
      <c r="AC88" s="864"/>
      <c r="AD88" s="864"/>
      <c r="AE88" s="864"/>
      <c r="AF88" s="864"/>
      <c r="AG88" s="864"/>
      <c r="AH88" s="864"/>
      <c r="AI88" s="864"/>
      <c r="AJ88" s="864"/>
      <c r="AK88" s="865"/>
      <c r="AL88" s="865"/>
      <c r="AM88" s="866"/>
      <c r="AN88" s="867"/>
      <c r="AO88" s="866"/>
      <c r="AP88" s="866"/>
      <c r="AQ88" s="866"/>
      <c r="AR88" s="866"/>
      <c r="AS88" s="866"/>
      <c r="AT88" s="866"/>
      <c r="AU88" s="866"/>
      <c r="AV88" s="866"/>
      <c r="AW88" s="1368"/>
      <c r="AX88" s="866"/>
      <c r="AY88" s="866"/>
      <c r="AZ88" s="866">
        <f>BB84</f>
        <v>85119.686560402581</v>
      </c>
      <c r="BA88" s="1368"/>
      <c r="BB88" s="866">
        <f>BB86*BB87</f>
        <v>41839.525000000001</v>
      </c>
      <c r="BC88" s="866">
        <f>AZ88-BB88</f>
        <v>43280.161560402579</v>
      </c>
      <c r="BD88" s="866"/>
      <c r="BE88" s="866"/>
      <c r="BF88" s="866"/>
      <c r="BG88" s="866"/>
      <c r="BH88" s="866"/>
      <c r="BI88" s="866"/>
      <c r="BJ88" s="866"/>
      <c r="BK88" s="866"/>
      <c r="BL88" s="866"/>
      <c r="BM88" s="866"/>
      <c r="BN88" s="866"/>
      <c r="BO88" s="866"/>
      <c r="BP88" s="866"/>
      <c r="BQ88" s="866"/>
      <c r="BR88" s="866"/>
      <c r="BS88" s="866"/>
      <c r="BT88" s="866"/>
      <c r="BU88" s="866"/>
      <c r="BV88" s="866"/>
      <c r="BW88" s="866"/>
      <c r="BX88" s="866"/>
      <c r="BY88" s="105"/>
      <c r="BZ88" s="394"/>
      <c r="CA88" s="394"/>
      <c r="CB88" s="394"/>
      <c r="CC88" s="394"/>
      <c r="CD88" s="394"/>
      <c r="CE88" s="394"/>
      <c r="CF88" s="394"/>
      <c r="CG88" s="394"/>
      <c r="CH88" s="394"/>
      <c r="CI88" s="394"/>
      <c r="CJ88" s="394"/>
      <c r="CK88" s="394"/>
      <c r="CL88" s="394"/>
      <c r="CM88" s="394"/>
      <c r="CN88" s="394"/>
      <c r="CO88" s="394"/>
      <c r="CP88" s="394"/>
      <c r="CQ88" s="394"/>
      <c r="CR88" s="394"/>
      <c r="CS88" s="394"/>
      <c r="CT88" s="394"/>
      <c r="CU88" s="394"/>
      <c r="CV88" s="394"/>
    </row>
    <row r="89" spans="1:148" ht="20.25" customHeight="1" x14ac:dyDescent="0.35">
      <c r="A89" s="369"/>
      <c r="B89" s="859"/>
      <c r="C89" s="859"/>
      <c r="D89" s="859"/>
      <c r="E89" s="859"/>
      <c r="F89" s="859"/>
      <c r="G89" s="859"/>
      <c r="H89" s="859"/>
      <c r="I89" s="3306"/>
      <c r="J89" s="105"/>
      <c r="K89" s="105"/>
      <c r="L89" s="105"/>
      <c r="M89" s="105"/>
      <c r="N89" s="861"/>
      <c r="O89" s="862"/>
      <c r="P89" s="863"/>
      <c r="Q89" s="861"/>
      <c r="R89" s="105"/>
      <c r="S89" s="3306"/>
      <c r="T89" s="3306"/>
      <c r="U89" s="3306"/>
      <c r="V89" s="3306"/>
      <c r="W89" s="864"/>
      <c r="X89" s="3306"/>
      <c r="Y89" s="864"/>
      <c r="Z89" s="864"/>
      <c r="AA89" s="864"/>
      <c r="AB89" s="864"/>
      <c r="AC89" s="864"/>
      <c r="AD89" s="864"/>
      <c r="AE89" s="864"/>
      <c r="AF89" s="864"/>
      <c r="AG89" s="864"/>
      <c r="AH89" s="864"/>
      <c r="AI89" s="864"/>
      <c r="AJ89" s="864"/>
      <c r="AK89" s="865"/>
      <c r="AL89" s="865"/>
      <c r="AM89" s="866"/>
      <c r="AN89" s="867"/>
      <c r="AO89" s="866"/>
      <c r="AP89" s="866"/>
      <c r="AQ89" s="866"/>
      <c r="AR89" s="866"/>
      <c r="AS89" s="866"/>
      <c r="AT89" s="866"/>
      <c r="AU89" s="866"/>
      <c r="AV89" s="866"/>
      <c r="AW89" s="1368"/>
      <c r="AX89" s="866"/>
      <c r="AY89" s="866"/>
      <c r="AZ89" s="866"/>
      <c r="BA89" s="1368"/>
      <c r="BB89" s="866"/>
      <c r="BC89" s="866"/>
      <c r="BD89" s="866"/>
      <c r="BE89" s="866"/>
      <c r="BF89" s="866"/>
      <c r="BG89" s="866"/>
      <c r="BH89" s="866"/>
      <c r="BI89" s="866"/>
      <c r="BJ89" s="866"/>
      <c r="BK89" s="866"/>
      <c r="BL89" s="866"/>
      <c r="BM89" s="866"/>
      <c r="BN89" s="866"/>
      <c r="BO89" s="866"/>
      <c r="BP89" s="866"/>
      <c r="BQ89" s="866"/>
      <c r="BR89" s="866"/>
      <c r="BS89" s="866"/>
      <c r="BT89" s="866"/>
      <c r="BU89" s="866"/>
      <c r="BV89" s="866"/>
      <c r="BW89" s="866"/>
      <c r="BX89" s="866"/>
      <c r="BY89" s="105"/>
      <c r="BZ89" s="394"/>
      <c r="CA89" s="394"/>
      <c r="CB89" s="394"/>
      <c r="CC89" s="394"/>
      <c r="CD89" s="394"/>
      <c r="CE89" s="394"/>
      <c r="CF89" s="394"/>
      <c r="CG89" s="394"/>
      <c r="CH89" s="394"/>
      <c r="CI89" s="394"/>
      <c r="CJ89" s="394"/>
      <c r="CK89" s="394"/>
      <c r="CL89" s="394"/>
      <c r="CM89" s="394"/>
      <c r="CN89" s="394"/>
      <c r="CO89" s="394"/>
      <c r="CP89" s="394"/>
      <c r="CQ89" s="394"/>
      <c r="CR89" s="394"/>
      <c r="CS89" s="394"/>
      <c r="CT89" s="394"/>
      <c r="CU89" s="394"/>
      <c r="CV89" s="394"/>
      <c r="DY89" s="3871">
        <f>SUM(DY61-DY46-DY53-DY48-DY45)</f>
        <v>92223.68385999999</v>
      </c>
      <c r="EB89" s="3871">
        <f>SUM(EB61-EB46-EB53-EB48-EB45-EB52-EB54-EB55-EB56-EB57)</f>
        <v>130345.90182786458</v>
      </c>
    </row>
    <row r="90" spans="1:148" ht="57" customHeight="1" x14ac:dyDescent="0.2">
      <c r="A90" s="5524" t="s">
        <v>4151</v>
      </c>
      <c r="B90" s="5524"/>
      <c r="C90" s="5524"/>
      <c r="D90" s="5524"/>
      <c r="E90" s="5524"/>
      <c r="F90" s="5524"/>
      <c r="G90" s="5524"/>
      <c r="H90" s="5524"/>
      <c r="I90" s="5524"/>
      <c r="J90" s="5524"/>
      <c r="K90" s="5524"/>
      <c r="L90" s="5524"/>
      <c r="M90" s="5524"/>
      <c r="N90" s="5524"/>
      <c r="O90" s="5524"/>
      <c r="P90" s="5524"/>
      <c r="Q90" s="5524"/>
      <c r="R90" s="5524"/>
      <c r="S90" s="5524"/>
      <c r="T90" s="5524"/>
      <c r="U90" s="5524"/>
      <c r="V90" s="5524"/>
      <c r="W90" s="5524"/>
      <c r="X90" s="5524"/>
      <c r="Y90" s="5524"/>
      <c r="Z90" s="5524"/>
      <c r="AA90" s="5524"/>
      <c r="AB90" s="5524"/>
      <c r="AC90" s="5524"/>
      <c r="AD90" s="5524"/>
      <c r="AE90" s="5524"/>
      <c r="AF90" s="5524"/>
      <c r="AG90" s="5524"/>
      <c r="AH90" s="5524"/>
      <c r="AI90" s="5524"/>
      <c r="AJ90" s="5524"/>
      <c r="AK90" s="5524"/>
      <c r="AL90" s="5524"/>
      <c r="AM90" s="5524"/>
      <c r="AN90" s="5524"/>
      <c r="AO90" s="5524"/>
      <c r="AP90" s="5524"/>
      <c r="AQ90" s="5524"/>
      <c r="AR90" s="5524"/>
      <c r="AS90" s="5524"/>
      <c r="AT90" s="5524"/>
      <c r="AU90" s="5524"/>
      <c r="AV90" s="5524"/>
      <c r="AW90" s="5524"/>
      <c r="AX90" s="5524"/>
      <c r="AY90" s="5524"/>
      <c r="AZ90" s="5524"/>
      <c r="BA90" s="5524"/>
      <c r="BB90" s="5524"/>
      <c r="BC90" s="5524"/>
      <c r="BD90" s="5524"/>
      <c r="BE90" s="5524"/>
      <c r="BF90" s="5524"/>
      <c r="BG90" s="5524"/>
      <c r="BH90" s="5524"/>
      <c r="BI90" s="5524"/>
      <c r="BJ90" s="5524"/>
      <c r="BK90" s="5524"/>
      <c r="BL90" s="5524"/>
      <c r="BM90" s="5524"/>
      <c r="BN90" s="5524"/>
      <c r="BO90" s="5524"/>
      <c r="BP90" s="5524"/>
      <c r="BQ90" s="5524"/>
      <c r="BR90" s="5524"/>
      <c r="BS90" s="5524"/>
      <c r="BT90" s="5524"/>
      <c r="BU90" s="5524"/>
      <c r="BV90" s="5524"/>
      <c r="BW90" s="5524"/>
      <c r="BX90" s="5524"/>
      <c r="BY90" s="5524"/>
      <c r="BZ90" s="5525"/>
      <c r="CA90" s="5525"/>
      <c r="CB90" s="5525"/>
      <c r="CC90" s="5525"/>
      <c r="CD90" s="5525"/>
      <c r="CE90" s="5525"/>
      <c r="CF90" s="5525"/>
      <c r="CG90" s="5525"/>
      <c r="CH90" s="5525"/>
      <c r="CI90" s="5525"/>
      <c r="CJ90" s="5525"/>
      <c r="CK90" s="5525"/>
      <c r="CL90" s="5525"/>
      <c r="CM90" s="5525"/>
      <c r="CN90" s="5525"/>
      <c r="CO90" s="5525"/>
      <c r="CP90" s="5525"/>
      <c r="CQ90" s="5525"/>
      <c r="CR90" s="5525"/>
      <c r="CS90" s="5525"/>
      <c r="CT90" s="5525"/>
      <c r="CU90" s="5525"/>
      <c r="CV90" s="5525"/>
      <c r="CW90" s="5525"/>
      <c r="CX90" s="5525"/>
      <c r="CY90" s="5525"/>
      <c r="CZ90" s="5525"/>
      <c r="DA90" s="5525"/>
      <c r="DB90" s="5525"/>
      <c r="DC90" s="5525"/>
      <c r="DD90" s="5525"/>
      <c r="DE90" s="5525"/>
      <c r="DF90" s="5525"/>
      <c r="DG90" s="5525"/>
      <c r="DH90" s="5525"/>
      <c r="DI90" s="5525"/>
      <c r="DJ90" s="5525"/>
      <c r="DK90" s="5525"/>
      <c r="DL90" s="5525"/>
      <c r="DM90" s="5525"/>
      <c r="DN90" s="5525"/>
      <c r="DO90" s="5525"/>
      <c r="DP90" s="5525"/>
      <c r="DQ90" s="5525"/>
      <c r="DR90" s="5525"/>
      <c r="DS90" s="5525"/>
      <c r="DT90" s="5525"/>
      <c r="DU90" s="5525"/>
      <c r="DV90" s="5525"/>
      <c r="DW90" s="5525"/>
      <c r="DX90" s="5525"/>
      <c r="DY90" s="5525"/>
      <c r="DZ90" s="5525"/>
      <c r="EA90" s="5525"/>
      <c r="EB90" s="5525"/>
      <c r="EC90" s="5525"/>
      <c r="ED90" s="5525"/>
      <c r="EE90" s="5525"/>
      <c r="EF90" s="5525"/>
      <c r="EG90" s="5525"/>
      <c r="EH90" s="5525"/>
      <c r="EI90" s="5525"/>
      <c r="EJ90" s="4910"/>
      <c r="EK90" s="4910"/>
      <c r="EL90" s="4910"/>
      <c r="EM90" s="4910"/>
      <c r="EN90" s="4910"/>
      <c r="EO90" s="4910"/>
      <c r="EP90" s="4910"/>
      <c r="EQ90" s="4910"/>
      <c r="ER90" s="4910"/>
    </row>
    <row r="91" spans="1:148" ht="20.25" customHeight="1" x14ac:dyDescent="0.2">
      <c r="A91" s="371"/>
      <c r="B91" s="371"/>
      <c r="C91" s="371"/>
      <c r="D91" s="371"/>
      <c r="E91" s="371"/>
      <c r="F91" s="371"/>
      <c r="G91" s="371"/>
      <c r="H91" s="371"/>
      <c r="I91" s="371"/>
      <c r="J91" s="371"/>
      <c r="K91" s="371"/>
      <c r="L91" s="371"/>
      <c r="M91" s="371"/>
      <c r="N91" s="371"/>
      <c r="O91" s="371"/>
      <c r="P91" s="371"/>
      <c r="Q91" s="371"/>
      <c r="R91" s="371"/>
      <c r="S91" s="371"/>
      <c r="T91" s="371"/>
      <c r="U91" s="371"/>
      <c r="V91" s="371"/>
      <c r="W91" s="371"/>
      <c r="X91" s="371"/>
      <c r="Y91" s="371"/>
      <c r="Z91" s="371"/>
      <c r="AA91" s="371"/>
      <c r="AB91" s="371"/>
      <c r="AC91" s="371"/>
      <c r="AD91" s="371"/>
      <c r="AE91" s="371"/>
      <c r="AF91" s="371"/>
      <c r="AG91" s="371"/>
      <c r="AH91" s="371"/>
      <c r="AI91" s="371"/>
      <c r="AJ91" s="371"/>
      <c r="AK91" s="371"/>
      <c r="AL91" s="371"/>
      <c r="AM91" s="371"/>
      <c r="AN91" s="371"/>
      <c r="AO91" s="371"/>
      <c r="AP91" s="371"/>
      <c r="AQ91" s="371"/>
      <c r="AR91" s="371"/>
      <c r="AS91" s="371"/>
      <c r="AT91" s="371"/>
      <c r="AU91" s="371"/>
      <c r="AV91" s="371"/>
      <c r="AW91" s="1367"/>
      <c r="AX91" s="371"/>
      <c r="AY91" s="371"/>
      <c r="AZ91" s="371"/>
      <c r="BA91" s="1367"/>
      <c r="BB91" s="371"/>
      <c r="BC91" s="371"/>
      <c r="BD91" s="371"/>
      <c r="BE91" s="371"/>
      <c r="BF91" s="371"/>
      <c r="BG91" s="371"/>
      <c r="BH91" s="371"/>
      <c r="BI91" s="371"/>
      <c r="BJ91" s="371"/>
      <c r="BK91" s="371"/>
      <c r="BL91" s="371"/>
      <c r="BM91" s="371"/>
      <c r="BN91" s="371"/>
      <c r="BO91" s="371"/>
      <c r="BP91" s="371"/>
      <c r="BQ91" s="371"/>
      <c r="BR91" s="371"/>
      <c r="BS91" s="371"/>
      <c r="BT91" s="371"/>
      <c r="BU91" s="371"/>
      <c r="BV91" s="371"/>
      <c r="BW91" s="371"/>
      <c r="BX91" s="371"/>
      <c r="BY91" s="371"/>
    </row>
    <row r="92" spans="1:148" ht="42" customHeight="1" x14ac:dyDescent="0.2">
      <c r="A92" s="5557" t="s">
        <v>525</v>
      </c>
      <c r="B92" s="5522" t="s">
        <v>57</v>
      </c>
      <c r="C92" s="5557" t="s">
        <v>58</v>
      </c>
      <c r="D92" s="5557"/>
      <c r="E92" s="5555" t="s">
        <v>66</v>
      </c>
      <c r="F92" s="5555"/>
      <c r="G92" s="5555" t="s">
        <v>91</v>
      </c>
      <c r="H92" s="5555"/>
      <c r="I92" s="5555" t="s">
        <v>116</v>
      </c>
      <c r="J92" s="5555"/>
      <c r="K92" s="5555"/>
      <c r="L92" s="5555"/>
      <c r="M92" s="5555"/>
      <c r="N92" s="5543" t="s">
        <v>153</v>
      </c>
      <c r="O92" s="5543"/>
      <c r="P92" s="5543"/>
      <c r="Q92" s="5543"/>
      <c r="R92" s="5543"/>
      <c r="S92" s="5543"/>
      <c r="T92" s="5543"/>
      <c r="U92" s="5543"/>
      <c r="V92" s="5543"/>
      <c r="W92" s="5520" t="s">
        <v>227</v>
      </c>
      <c r="X92" s="5520"/>
      <c r="Y92" s="5520"/>
      <c r="Z92" s="5520"/>
      <c r="AA92" s="5520"/>
      <c r="AB92" s="5556"/>
      <c r="AC92" s="5556"/>
      <c r="AD92" s="5556"/>
      <c r="AE92" s="5520" t="s">
        <v>362</v>
      </c>
      <c r="AF92" s="5566"/>
      <c r="AG92" s="5566"/>
      <c r="AH92" s="5566"/>
      <c r="AI92" s="5566"/>
      <c r="AJ92" s="5566"/>
      <c r="AK92" s="5566"/>
      <c r="AL92" s="5566"/>
      <c r="AM92" s="5566"/>
      <c r="AN92" s="5566"/>
      <c r="AO92" s="5566"/>
      <c r="AP92" s="5566"/>
      <c r="AQ92" s="5566"/>
      <c r="AR92" s="5566"/>
      <c r="AS92" s="5566"/>
      <c r="AT92" s="5566"/>
      <c r="AU92" s="5566"/>
      <c r="AV92" s="5542" t="s">
        <v>815</v>
      </c>
      <c r="AW92" s="5549"/>
      <c r="AX92" s="5549"/>
      <c r="AY92" s="5549"/>
      <c r="AZ92" s="5549"/>
      <c r="BA92" s="5549"/>
      <c r="BB92" s="5549"/>
      <c r="BC92" s="5549"/>
      <c r="BD92" s="5549"/>
      <c r="BE92" s="5549"/>
      <c r="BF92" s="5550"/>
      <c r="BG92" s="5542" t="s">
        <v>2037</v>
      </c>
      <c r="BH92" s="5549"/>
      <c r="BI92" s="5550"/>
      <c r="BJ92" s="5542" t="s">
        <v>893</v>
      </c>
      <c r="BK92" s="5530"/>
      <c r="BL92" s="5530"/>
      <c r="BM92" s="5530"/>
      <c r="BN92" s="5530"/>
      <c r="BO92" s="5531"/>
      <c r="BP92" s="5542" t="s">
        <v>1799</v>
      </c>
      <c r="BQ92" s="5549"/>
      <c r="BR92" s="5549"/>
      <c r="BS92" s="5549"/>
      <c r="BT92" s="5549"/>
      <c r="BU92" s="5550"/>
      <c r="BV92" s="5520" t="s">
        <v>3517</v>
      </c>
      <c r="BW92" s="5526"/>
      <c r="BX92" s="5526"/>
      <c r="BY92" s="5526"/>
      <c r="BZ92" s="5526"/>
      <c r="CA92" s="5526"/>
      <c r="CB92" s="5526"/>
      <c r="CC92" s="5526"/>
      <c r="CD92" s="5526"/>
      <c r="CE92" s="5526"/>
      <c r="CF92" s="5526"/>
      <c r="CG92" s="5526"/>
      <c r="CH92" s="5526"/>
      <c r="CI92" s="5526"/>
      <c r="CJ92" s="5526"/>
      <c r="CK92" s="5526"/>
      <c r="CL92" s="5526"/>
      <c r="CM92" s="5526"/>
      <c r="CN92" s="5532" t="s">
        <v>3614</v>
      </c>
      <c r="CO92" s="5533"/>
      <c r="CP92" s="5534"/>
      <c r="CQ92" s="5532" t="s">
        <v>3615</v>
      </c>
      <c r="CR92" s="5533"/>
      <c r="CS92" s="5534"/>
      <c r="CT92" s="5532" t="s">
        <v>3608</v>
      </c>
      <c r="CU92" s="5533"/>
      <c r="CV92" s="5534"/>
      <c r="CW92" s="5520" t="s">
        <v>3862</v>
      </c>
      <c r="CX92" s="5526"/>
      <c r="CY92" s="5526"/>
      <c r="CZ92" s="5526"/>
      <c r="DA92" s="5526"/>
      <c r="DB92" s="5526"/>
      <c r="DC92" s="5532" t="s">
        <v>3867</v>
      </c>
      <c r="DD92" s="5533"/>
      <c r="DE92" s="5534"/>
      <c r="DF92" s="5532" t="s">
        <v>3868</v>
      </c>
      <c r="DG92" s="5533"/>
      <c r="DH92" s="5534"/>
      <c r="DI92" s="5532" t="s">
        <v>3866</v>
      </c>
      <c r="DJ92" s="5533"/>
      <c r="DK92" s="5534"/>
      <c r="DL92" s="5520" t="s">
        <v>3905</v>
      </c>
      <c r="DM92" s="5526"/>
      <c r="DN92" s="5526"/>
      <c r="DO92" s="5526"/>
      <c r="DP92" s="5526"/>
      <c r="DQ92" s="5526"/>
      <c r="DR92" s="5520" t="s">
        <v>3926</v>
      </c>
      <c r="DS92" s="5521"/>
      <c r="DT92" s="5521"/>
      <c r="DU92" s="5520" t="s">
        <v>3928</v>
      </c>
      <c r="DV92" s="5521"/>
      <c r="DW92" s="5521"/>
      <c r="DX92" s="5520" t="s">
        <v>3927</v>
      </c>
      <c r="DY92" s="5521"/>
      <c r="DZ92" s="5521"/>
      <c r="EA92" s="5520" t="s">
        <v>4104</v>
      </c>
      <c r="EB92" s="5526"/>
      <c r="EC92" s="5526"/>
      <c r="ED92" s="5526"/>
      <c r="EE92" s="5526"/>
      <c r="EF92" s="5526"/>
      <c r="EG92" s="5520" t="s">
        <v>4014</v>
      </c>
      <c r="EH92" s="5526"/>
      <c r="EI92" s="5526"/>
      <c r="EJ92" s="5526"/>
      <c r="EK92" s="5526"/>
      <c r="EL92" s="5526"/>
      <c r="EM92" s="5520" t="s">
        <v>4254</v>
      </c>
      <c r="EN92" s="5521"/>
      <c r="EO92" s="5521"/>
      <c r="EP92" s="5520" t="s">
        <v>4252</v>
      </c>
      <c r="EQ92" s="5521"/>
      <c r="ER92" s="5521"/>
    </row>
    <row r="93" spans="1:148" ht="20.25" customHeight="1" x14ac:dyDescent="0.3">
      <c r="A93" s="5557"/>
      <c r="B93" s="5522"/>
      <c r="C93" s="5522" t="s">
        <v>60</v>
      </c>
      <c r="D93" s="5522" t="s">
        <v>61</v>
      </c>
      <c r="E93" s="5522" t="s">
        <v>60</v>
      </c>
      <c r="F93" s="5522" t="s">
        <v>65</v>
      </c>
      <c r="G93" s="5522" t="s">
        <v>60</v>
      </c>
      <c r="H93" s="5522" t="s">
        <v>108</v>
      </c>
      <c r="I93" s="5522" t="s">
        <v>59</v>
      </c>
      <c r="J93" s="5522" t="s">
        <v>62</v>
      </c>
      <c r="K93" s="5522" t="s">
        <v>106</v>
      </c>
      <c r="L93" s="5522" t="s">
        <v>60</v>
      </c>
      <c r="M93" s="5522" t="s">
        <v>115</v>
      </c>
      <c r="N93" s="5522" t="s">
        <v>118</v>
      </c>
      <c r="O93" s="5522" t="s">
        <v>93</v>
      </c>
      <c r="P93" s="5522" t="s">
        <v>119</v>
      </c>
      <c r="Q93" s="5522" t="s">
        <v>93</v>
      </c>
      <c r="R93" s="5522" t="s">
        <v>152</v>
      </c>
      <c r="S93" s="5557" t="s">
        <v>23</v>
      </c>
      <c r="T93" s="5557"/>
      <c r="U93" s="5522" t="s">
        <v>106</v>
      </c>
      <c r="V93" s="5522" t="s">
        <v>391</v>
      </c>
      <c r="W93" s="5522" t="s">
        <v>118</v>
      </c>
      <c r="X93" s="5522" t="s">
        <v>93</v>
      </c>
      <c r="Y93" s="5543" t="s">
        <v>119</v>
      </c>
      <c r="Z93" s="5574"/>
      <c r="AA93" s="5574"/>
      <c r="AB93" s="5543" t="s">
        <v>814</v>
      </c>
      <c r="AC93" s="5543"/>
      <c r="AD93" s="5543"/>
      <c r="AE93" s="5543" t="s">
        <v>118</v>
      </c>
      <c r="AF93" s="5573"/>
      <c r="AG93" s="5573"/>
      <c r="AH93" s="5573"/>
      <c r="AI93" s="5543" t="s">
        <v>119</v>
      </c>
      <c r="AJ93" s="5575"/>
      <c r="AK93" s="5575"/>
      <c r="AL93" s="5575"/>
      <c r="AM93" s="2200"/>
      <c r="AN93" s="2200"/>
      <c r="AO93" s="2201"/>
      <c r="AP93" s="5543" t="s">
        <v>844</v>
      </c>
      <c r="AQ93" s="5543"/>
      <c r="AR93" s="5543"/>
      <c r="AS93" s="5543" t="s">
        <v>845</v>
      </c>
      <c r="AT93" s="5522"/>
      <c r="AU93" s="5522"/>
      <c r="AV93" s="5543" t="s">
        <v>118</v>
      </c>
      <c r="AW93" s="5572"/>
      <c r="AX93" s="5572"/>
      <c r="AY93" s="5572"/>
      <c r="AZ93" s="5543" t="s">
        <v>119</v>
      </c>
      <c r="BA93" s="5543"/>
      <c r="BB93" s="5543"/>
      <c r="BC93" s="5543"/>
      <c r="BD93" s="5569" t="s">
        <v>1516</v>
      </c>
      <c r="BE93" s="5570"/>
      <c r="BF93" s="5571"/>
      <c r="BG93" s="5569" t="s">
        <v>60</v>
      </c>
      <c r="BH93" s="5570"/>
      <c r="BI93" s="5571"/>
      <c r="BJ93" s="5543" t="s">
        <v>1585</v>
      </c>
      <c r="BK93" s="5544"/>
      <c r="BL93" s="5544"/>
      <c r="BM93" s="5529" t="s">
        <v>1674</v>
      </c>
      <c r="BN93" s="5545"/>
      <c r="BO93" s="5546"/>
      <c r="BP93" s="5569" t="s">
        <v>118</v>
      </c>
      <c r="BQ93" s="5570"/>
      <c r="BR93" s="5571"/>
      <c r="BS93" s="5569" t="s">
        <v>1521</v>
      </c>
      <c r="BT93" s="5570"/>
      <c r="BU93" s="5571"/>
      <c r="BV93" s="5543" t="s">
        <v>118</v>
      </c>
      <c r="BW93" s="5543"/>
      <c r="BX93" s="5543"/>
      <c r="BY93" s="5543" t="s">
        <v>1521</v>
      </c>
      <c r="BZ93" s="5543"/>
      <c r="CA93" s="5543"/>
      <c r="CB93" s="2661"/>
      <c r="CC93" s="2661"/>
      <c r="CD93" s="2661"/>
      <c r="CE93" s="2661"/>
      <c r="CF93" s="2661"/>
      <c r="CG93" s="2661"/>
      <c r="CH93" s="2661"/>
      <c r="CI93" s="2661"/>
      <c r="CJ93" s="2661"/>
      <c r="CK93" s="5543" t="s">
        <v>1521</v>
      </c>
      <c r="CL93" s="5543"/>
      <c r="CM93" s="5543"/>
      <c r="CN93" s="5535"/>
      <c r="CO93" s="5536"/>
      <c r="CP93" s="5537"/>
      <c r="CQ93" s="5535"/>
      <c r="CR93" s="5536"/>
      <c r="CS93" s="5537"/>
      <c r="CT93" s="5535"/>
      <c r="CU93" s="5536"/>
      <c r="CV93" s="5537"/>
      <c r="CW93" s="5543" t="s">
        <v>118</v>
      </c>
      <c r="CX93" s="5543"/>
      <c r="CY93" s="5543"/>
      <c r="CZ93" s="5543" t="s">
        <v>1521</v>
      </c>
      <c r="DA93" s="5543"/>
      <c r="DB93" s="5543"/>
      <c r="DC93" s="5535"/>
      <c r="DD93" s="5536"/>
      <c r="DE93" s="5537"/>
      <c r="DF93" s="5535"/>
      <c r="DG93" s="5536"/>
      <c r="DH93" s="5537"/>
      <c r="DI93" s="5535"/>
      <c r="DJ93" s="5536"/>
      <c r="DK93" s="5537"/>
      <c r="DL93" s="5543" t="s">
        <v>118</v>
      </c>
      <c r="DM93" s="5543"/>
      <c r="DN93" s="5543"/>
      <c r="DO93" s="5543" t="s">
        <v>1521</v>
      </c>
      <c r="DP93" s="5543"/>
      <c r="DQ93" s="5543"/>
      <c r="DR93" s="5521"/>
      <c r="DS93" s="5521"/>
      <c r="DT93" s="5521"/>
      <c r="DU93" s="5521"/>
      <c r="DV93" s="5521"/>
      <c r="DW93" s="5521"/>
      <c r="DX93" s="5521"/>
      <c r="DY93" s="5521"/>
      <c r="DZ93" s="5521"/>
      <c r="EA93" s="5543" t="s">
        <v>118</v>
      </c>
      <c r="EB93" s="5543"/>
      <c r="EC93" s="5543"/>
      <c r="ED93" s="5543" t="s">
        <v>1521</v>
      </c>
      <c r="EE93" s="5543"/>
      <c r="EF93" s="5543"/>
      <c r="EG93" s="5543" t="s">
        <v>118</v>
      </c>
      <c r="EH93" s="5543"/>
      <c r="EI93" s="5543"/>
      <c r="EJ93" s="5543" t="s">
        <v>1521</v>
      </c>
      <c r="EK93" s="5543"/>
      <c r="EL93" s="5543"/>
      <c r="EM93" s="5521"/>
      <c r="EN93" s="5521"/>
      <c r="EO93" s="5521"/>
      <c r="EP93" s="5521"/>
      <c r="EQ93" s="5521"/>
      <c r="ER93" s="5521"/>
    </row>
    <row r="94" spans="1:148" ht="20.25" customHeight="1" x14ac:dyDescent="0.2">
      <c r="A94" s="5557"/>
      <c r="B94" s="5522"/>
      <c r="C94" s="5522"/>
      <c r="D94" s="5522"/>
      <c r="E94" s="5522"/>
      <c r="F94" s="5522"/>
      <c r="G94" s="5522"/>
      <c r="H94" s="5522"/>
      <c r="I94" s="5522"/>
      <c r="J94" s="5522"/>
      <c r="K94" s="5522"/>
      <c r="L94" s="5522"/>
      <c r="M94" s="5522"/>
      <c r="N94" s="5522"/>
      <c r="O94" s="5522"/>
      <c r="P94" s="5522"/>
      <c r="Q94" s="5522"/>
      <c r="R94" s="5522"/>
      <c r="S94" s="5522" t="s">
        <v>47</v>
      </c>
      <c r="T94" s="5522" t="s">
        <v>201</v>
      </c>
      <c r="U94" s="5522"/>
      <c r="V94" s="5522"/>
      <c r="W94" s="5522"/>
      <c r="X94" s="5522"/>
      <c r="Y94" s="5557" t="s">
        <v>288</v>
      </c>
      <c r="Z94" s="5557" t="s">
        <v>50</v>
      </c>
      <c r="AA94" s="5557"/>
      <c r="AB94" s="5557" t="s">
        <v>288</v>
      </c>
      <c r="AC94" s="5557" t="s">
        <v>50</v>
      </c>
      <c r="AD94" s="5155"/>
      <c r="AE94" s="5557" t="s">
        <v>288</v>
      </c>
      <c r="AF94" s="5522" t="s">
        <v>93</v>
      </c>
      <c r="AG94" s="5557" t="s">
        <v>50</v>
      </c>
      <c r="AH94" s="5155"/>
      <c r="AI94" s="5557" t="s">
        <v>288</v>
      </c>
      <c r="AJ94" s="5522" t="s">
        <v>93</v>
      </c>
      <c r="AK94" s="5557" t="s">
        <v>50</v>
      </c>
      <c r="AL94" s="5155"/>
      <c r="AM94" s="2200"/>
      <c r="AN94" s="2200"/>
      <c r="AO94" s="2201"/>
      <c r="AP94" s="5557" t="s">
        <v>288</v>
      </c>
      <c r="AQ94" s="5557" t="s">
        <v>50</v>
      </c>
      <c r="AR94" s="5155"/>
      <c r="AS94" s="5557" t="s">
        <v>288</v>
      </c>
      <c r="AT94" s="5557" t="s">
        <v>50</v>
      </c>
      <c r="AU94" s="5155"/>
      <c r="AV94" s="5557" t="s">
        <v>288</v>
      </c>
      <c r="AW94" s="5553" t="s">
        <v>93</v>
      </c>
      <c r="AX94" s="5557" t="s">
        <v>50</v>
      </c>
      <c r="AY94" s="5557"/>
      <c r="AZ94" s="5557" t="s">
        <v>288</v>
      </c>
      <c r="BA94" s="5553" t="s">
        <v>93</v>
      </c>
      <c r="BB94" s="5557" t="s">
        <v>50</v>
      </c>
      <c r="BC94" s="5557"/>
      <c r="BD94" s="5557" t="s">
        <v>288</v>
      </c>
      <c r="BE94" s="5557" t="s">
        <v>50</v>
      </c>
      <c r="BF94" s="5557"/>
      <c r="BG94" s="5567" t="s">
        <v>288</v>
      </c>
      <c r="BH94" s="5557" t="s">
        <v>50</v>
      </c>
      <c r="BI94" s="5557"/>
      <c r="BJ94" s="5567" t="s">
        <v>288</v>
      </c>
      <c r="BK94" s="5557" t="s">
        <v>50</v>
      </c>
      <c r="BL94" s="5557"/>
      <c r="BM94" s="5567" t="s">
        <v>288</v>
      </c>
      <c r="BN94" s="5557" t="s">
        <v>50</v>
      </c>
      <c r="BO94" s="5557"/>
      <c r="BP94" s="5567" t="s">
        <v>288</v>
      </c>
      <c r="BQ94" s="5557" t="s">
        <v>50</v>
      </c>
      <c r="BR94" s="5557"/>
      <c r="BS94" s="5567" t="s">
        <v>288</v>
      </c>
      <c r="BT94" s="5557" t="s">
        <v>50</v>
      </c>
      <c r="BU94" s="5557"/>
      <c r="BV94" s="5557" t="s">
        <v>288</v>
      </c>
      <c r="BW94" s="5557" t="s">
        <v>50</v>
      </c>
      <c r="BX94" s="5557"/>
      <c r="BY94" s="5557" t="s">
        <v>288</v>
      </c>
      <c r="BZ94" s="5557" t="s">
        <v>50</v>
      </c>
      <c r="CA94" s="5557"/>
      <c r="CB94" s="2661"/>
      <c r="CC94" s="2661"/>
      <c r="CD94" s="2661"/>
      <c r="CE94" s="2661"/>
      <c r="CF94" s="2661"/>
      <c r="CG94" s="2661"/>
      <c r="CH94" s="2661"/>
      <c r="CI94" s="2661"/>
      <c r="CJ94" s="2661"/>
      <c r="CK94" s="5557" t="s">
        <v>288</v>
      </c>
      <c r="CL94" s="5557" t="s">
        <v>50</v>
      </c>
      <c r="CM94" s="5557"/>
      <c r="CN94" s="5567" t="s">
        <v>288</v>
      </c>
      <c r="CO94" s="5557" t="s">
        <v>50</v>
      </c>
      <c r="CP94" s="5557"/>
      <c r="CQ94" s="5567" t="s">
        <v>288</v>
      </c>
      <c r="CR94" s="5557" t="s">
        <v>50</v>
      </c>
      <c r="CS94" s="5557"/>
      <c r="CT94" s="5567" t="s">
        <v>288</v>
      </c>
      <c r="CU94" s="5557" t="s">
        <v>50</v>
      </c>
      <c r="CV94" s="5557"/>
      <c r="CW94" s="5557" t="s">
        <v>288</v>
      </c>
      <c r="CX94" s="5557" t="s">
        <v>50</v>
      </c>
      <c r="CY94" s="5557"/>
      <c r="CZ94" s="5557" t="s">
        <v>288</v>
      </c>
      <c r="DA94" s="5557" t="s">
        <v>50</v>
      </c>
      <c r="DB94" s="5557"/>
      <c r="DC94" s="5567" t="s">
        <v>288</v>
      </c>
      <c r="DD94" s="5557" t="s">
        <v>50</v>
      </c>
      <c r="DE94" s="5557"/>
      <c r="DF94" s="5567" t="s">
        <v>288</v>
      </c>
      <c r="DG94" s="5557" t="s">
        <v>50</v>
      </c>
      <c r="DH94" s="5557"/>
      <c r="DI94" s="5567" t="s">
        <v>288</v>
      </c>
      <c r="DJ94" s="5557" t="s">
        <v>50</v>
      </c>
      <c r="DK94" s="5557"/>
      <c r="DL94" s="5557" t="s">
        <v>288</v>
      </c>
      <c r="DM94" s="5557" t="s">
        <v>50</v>
      </c>
      <c r="DN94" s="5557"/>
      <c r="DO94" s="5557" t="s">
        <v>288</v>
      </c>
      <c r="DP94" s="5557" t="s">
        <v>50</v>
      </c>
      <c r="DQ94" s="5557"/>
      <c r="DR94" s="5522" t="s">
        <v>288</v>
      </c>
      <c r="DS94" s="5522" t="s">
        <v>50</v>
      </c>
      <c r="DT94" s="5523"/>
      <c r="DU94" s="5522" t="s">
        <v>288</v>
      </c>
      <c r="DV94" s="5522" t="s">
        <v>50</v>
      </c>
      <c r="DW94" s="5523"/>
      <c r="DX94" s="5522" t="s">
        <v>288</v>
      </c>
      <c r="DY94" s="5522" t="s">
        <v>50</v>
      </c>
      <c r="DZ94" s="5523"/>
      <c r="EA94" s="5557" t="s">
        <v>288</v>
      </c>
      <c r="EB94" s="5557" t="s">
        <v>50</v>
      </c>
      <c r="EC94" s="5557"/>
      <c r="ED94" s="5557" t="s">
        <v>288</v>
      </c>
      <c r="EE94" s="5557" t="s">
        <v>50</v>
      </c>
      <c r="EF94" s="5557"/>
      <c r="EG94" s="5557" t="s">
        <v>288</v>
      </c>
      <c r="EH94" s="5557" t="s">
        <v>50</v>
      </c>
      <c r="EI94" s="5557"/>
      <c r="EJ94" s="5557" t="s">
        <v>288</v>
      </c>
      <c r="EK94" s="5557" t="s">
        <v>50</v>
      </c>
      <c r="EL94" s="5557"/>
      <c r="EM94" s="5522" t="s">
        <v>288</v>
      </c>
      <c r="EN94" s="5522" t="s">
        <v>50</v>
      </c>
      <c r="EO94" s="5523"/>
      <c r="EP94" s="5522" t="s">
        <v>288</v>
      </c>
      <c r="EQ94" s="5522" t="s">
        <v>50</v>
      </c>
      <c r="ER94" s="5523"/>
    </row>
    <row r="95" spans="1:148" ht="43.5" customHeight="1" x14ac:dyDescent="0.2">
      <c r="A95" s="5557"/>
      <c r="B95" s="5522"/>
      <c r="C95" s="5522"/>
      <c r="D95" s="5522"/>
      <c r="E95" s="5522"/>
      <c r="F95" s="5522"/>
      <c r="G95" s="5522"/>
      <c r="H95" s="5522"/>
      <c r="I95" s="5522"/>
      <c r="J95" s="5522"/>
      <c r="K95" s="5522"/>
      <c r="L95" s="5522"/>
      <c r="M95" s="5522"/>
      <c r="N95" s="5522"/>
      <c r="O95" s="5522"/>
      <c r="P95" s="5522"/>
      <c r="Q95" s="5522"/>
      <c r="R95" s="5522"/>
      <c r="S95" s="5522"/>
      <c r="T95" s="5522"/>
      <c r="U95" s="5522"/>
      <c r="V95" s="5522"/>
      <c r="W95" s="5522"/>
      <c r="X95" s="5522"/>
      <c r="Y95" s="5557"/>
      <c r="Z95" s="2197" t="s">
        <v>47</v>
      </c>
      <c r="AA95" s="2197" t="s">
        <v>526</v>
      </c>
      <c r="AB95" s="5557"/>
      <c r="AC95" s="2197" t="s">
        <v>47</v>
      </c>
      <c r="AD95" s="2197" t="s">
        <v>526</v>
      </c>
      <c r="AE95" s="5155"/>
      <c r="AF95" s="5144"/>
      <c r="AG95" s="2197" t="s">
        <v>47</v>
      </c>
      <c r="AH95" s="2197" t="s">
        <v>526</v>
      </c>
      <c r="AI95" s="5155"/>
      <c r="AJ95" s="5144"/>
      <c r="AK95" s="2197" t="s">
        <v>47</v>
      </c>
      <c r="AL95" s="2197" t="s">
        <v>526</v>
      </c>
      <c r="AM95" s="2218" t="s">
        <v>246</v>
      </c>
      <c r="AN95" s="2201" t="s">
        <v>355</v>
      </c>
      <c r="AO95" s="2201"/>
      <c r="AP95" s="5557"/>
      <c r="AQ95" s="2197" t="s">
        <v>47</v>
      </c>
      <c r="AR95" s="2197" t="s">
        <v>526</v>
      </c>
      <c r="AS95" s="5557"/>
      <c r="AT95" s="2197" t="s">
        <v>47</v>
      </c>
      <c r="AU95" s="2197" t="s">
        <v>526</v>
      </c>
      <c r="AV95" s="5557"/>
      <c r="AW95" s="5553"/>
      <c r="AX95" s="2197" t="s">
        <v>47</v>
      </c>
      <c r="AY95" s="2197" t="s">
        <v>526</v>
      </c>
      <c r="AZ95" s="5557"/>
      <c r="BA95" s="5553"/>
      <c r="BB95" s="2197" t="s">
        <v>47</v>
      </c>
      <c r="BC95" s="2197" t="s">
        <v>526</v>
      </c>
      <c r="BD95" s="5557"/>
      <c r="BE95" s="2197" t="s">
        <v>47</v>
      </c>
      <c r="BF95" s="2197" t="s">
        <v>526</v>
      </c>
      <c r="BG95" s="5568"/>
      <c r="BH95" s="2197" t="s">
        <v>47</v>
      </c>
      <c r="BI95" s="2197" t="s">
        <v>526</v>
      </c>
      <c r="BJ95" s="5568"/>
      <c r="BK95" s="2388" t="s">
        <v>47</v>
      </c>
      <c r="BL95" s="2388" t="s">
        <v>526</v>
      </c>
      <c r="BM95" s="5568"/>
      <c r="BN95" s="2388" t="s">
        <v>47</v>
      </c>
      <c r="BO95" s="2388" t="s">
        <v>526</v>
      </c>
      <c r="BP95" s="5568"/>
      <c r="BQ95" s="2197" t="s">
        <v>47</v>
      </c>
      <c r="BR95" s="2197" t="s">
        <v>526</v>
      </c>
      <c r="BS95" s="5568"/>
      <c r="BT95" s="2197" t="s">
        <v>47</v>
      </c>
      <c r="BU95" s="2197" t="s">
        <v>526</v>
      </c>
      <c r="BV95" s="5557"/>
      <c r="BW95" s="2659" t="s">
        <v>47</v>
      </c>
      <c r="BX95" s="2659" t="s">
        <v>526</v>
      </c>
      <c r="BY95" s="5557"/>
      <c r="BZ95" s="2659" t="s">
        <v>47</v>
      </c>
      <c r="CA95" s="2659" t="s">
        <v>526</v>
      </c>
      <c r="CB95" s="2661"/>
      <c r="CC95" s="2661"/>
      <c r="CD95" s="2661"/>
      <c r="CE95" s="2661"/>
      <c r="CF95" s="2661"/>
      <c r="CG95" s="2661"/>
      <c r="CH95" s="2661"/>
      <c r="CI95" s="2661"/>
      <c r="CJ95" s="2661"/>
      <c r="CK95" s="5557"/>
      <c r="CL95" s="2659" t="s">
        <v>47</v>
      </c>
      <c r="CM95" s="2659" t="s">
        <v>526</v>
      </c>
      <c r="CN95" s="5568"/>
      <c r="CO95" s="2538" t="s">
        <v>47</v>
      </c>
      <c r="CP95" s="2538" t="s">
        <v>526</v>
      </c>
      <c r="CQ95" s="5568"/>
      <c r="CR95" s="2538" t="s">
        <v>47</v>
      </c>
      <c r="CS95" s="2538" t="s">
        <v>526</v>
      </c>
      <c r="CT95" s="5568"/>
      <c r="CU95" s="2538" t="s">
        <v>47</v>
      </c>
      <c r="CV95" s="2538" t="s">
        <v>526</v>
      </c>
      <c r="CW95" s="5557"/>
      <c r="CX95" s="3243" t="s">
        <v>47</v>
      </c>
      <c r="CY95" s="3243" t="s">
        <v>526</v>
      </c>
      <c r="CZ95" s="5557"/>
      <c r="DA95" s="3243" t="s">
        <v>47</v>
      </c>
      <c r="DB95" s="3243" t="s">
        <v>526</v>
      </c>
      <c r="DC95" s="5568"/>
      <c r="DD95" s="3553" t="s">
        <v>47</v>
      </c>
      <c r="DE95" s="3553" t="s">
        <v>526</v>
      </c>
      <c r="DF95" s="5568"/>
      <c r="DG95" s="3553" t="s">
        <v>47</v>
      </c>
      <c r="DH95" s="3553" t="s">
        <v>526</v>
      </c>
      <c r="DI95" s="5568"/>
      <c r="DJ95" s="3553" t="s">
        <v>47</v>
      </c>
      <c r="DK95" s="3553" t="s">
        <v>526</v>
      </c>
      <c r="DL95" s="5557"/>
      <c r="DM95" s="3650" t="s">
        <v>47</v>
      </c>
      <c r="DN95" s="3650" t="s">
        <v>526</v>
      </c>
      <c r="DO95" s="5557"/>
      <c r="DP95" s="3650" t="s">
        <v>47</v>
      </c>
      <c r="DQ95" s="3650" t="s">
        <v>526</v>
      </c>
      <c r="DR95" s="5523"/>
      <c r="DS95" s="3778" t="s">
        <v>366</v>
      </c>
      <c r="DT95" s="3778" t="s">
        <v>367</v>
      </c>
      <c r="DU95" s="5523"/>
      <c r="DV95" s="3778" t="s">
        <v>366</v>
      </c>
      <c r="DW95" s="3778" t="s">
        <v>367</v>
      </c>
      <c r="DX95" s="5523"/>
      <c r="DY95" s="3778" t="s">
        <v>366</v>
      </c>
      <c r="DZ95" s="3778" t="s">
        <v>367</v>
      </c>
      <c r="EA95" s="5557"/>
      <c r="EB95" s="3984" t="s">
        <v>47</v>
      </c>
      <c r="EC95" s="3984" t="s">
        <v>526</v>
      </c>
      <c r="ED95" s="5557"/>
      <c r="EE95" s="3984" t="s">
        <v>47</v>
      </c>
      <c r="EF95" s="3984" t="s">
        <v>526</v>
      </c>
      <c r="EG95" s="5557"/>
      <c r="EH95" s="4139" t="s">
        <v>47</v>
      </c>
      <c r="EI95" s="4139" t="s">
        <v>526</v>
      </c>
      <c r="EJ95" s="5557"/>
      <c r="EK95" s="4139" t="s">
        <v>47</v>
      </c>
      <c r="EL95" s="4139" t="s">
        <v>526</v>
      </c>
      <c r="EM95" s="5523"/>
      <c r="EN95" s="4565" t="s">
        <v>366</v>
      </c>
      <c r="EO95" s="4565" t="s">
        <v>367</v>
      </c>
      <c r="EP95" s="5523"/>
      <c r="EQ95" s="4565" t="s">
        <v>366</v>
      </c>
      <c r="ER95" s="4565" t="s">
        <v>367</v>
      </c>
    </row>
    <row r="96" spans="1:148" ht="27" customHeight="1" x14ac:dyDescent="0.2">
      <c r="A96" s="3191" t="s">
        <v>1</v>
      </c>
      <c r="B96" s="3191"/>
      <c r="C96" s="3191"/>
      <c r="D96" s="3191"/>
      <c r="E96" s="3191"/>
      <c r="F96" s="3191"/>
      <c r="G96" s="3191"/>
      <c r="H96" s="3191"/>
      <c r="I96" s="3191"/>
      <c r="J96" s="3191"/>
      <c r="K96" s="3191"/>
      <c r="L96" s="3191"/>
      <c r="M96" s="3191"/>
      <c r="N96" s="3191"/>
      <c r="O96" s="3191"/>
      <c r="P96" s="3191"/>
      <c r="Q96" s="3191"/>
      <c r="R96" s="3191"/>
      <c r="S96" s="3191"/>
      <c r="T96" s="3191"/>
      <c r="U96" s="3191"/>
      <c r="V96" s="3191"/>
      <c r="W96" s="2578">
        <f>SUM(W9+W18)</f>
        <v>11950.3</v>
      </c>
      <c r="X96" s="3191"/>
      <c r="Y96" s="2578">
        <f t="shared" ref="Y96:AE96" si="597">SUM(Y9+Y18)</f>
        <v>8235.3261012666553</v>
      </c>
      <c r="Z96" s="2578" t="e">
        <f t="shared" si="597"/>
        <v>#REF!</v>
      </c>
      <c r="AA96" s="2578" t="e">
        <f t="shared" si="597"/>
        <v>#REF!</v>
      </c>
      <c r="AB96" s="2578">
        <f t="shared" si="597"/>
        <v>8646.5</v>
      </c>
      <c r="AC96" s="2578">
        <f t="shared" si="597"/>
        <v>8584.7838214141884</v>
      </c>
      <c r="AD96" s="2578">
        <f t="shared" si="597"/>
        <v>61.716178585811576</v>
      </c>
      <c r="AE96" s="2578">
        <f t="shared" si="597"/>
        <v>8729.4500000000007</v>
      </c>
      <c r="AF96" s="3740">
        <f t="shared" ref="AF96:AF130" si="598">SUM(AE96/Y96)</f>
        <v>1.0600005261063488</v>
      </c>
      <c r="AG96" s="2578">
        <f>SUM(AG9+AG18)</f>
        <v>8678.7799999999988</v>
      </c>
      <c r="AH96" s="2578">
        <f>SUM(AH9+AH18)</f>
        <v>50.67</v>
      </c>
      <c r="AI96" s="2578">
        <f>SUM(AI9+AI18)</f>
        <v>7646.5854110996133</v>
      </c>
      <c r="AJ96" s="3740">
        <f t="shared" ref="AJ96:AJ130" si="599">SUM(AI96/Y96)</f>
        <v>0.92851033669735439</v>
      </c>
      <c r="AK96" s="2578" t="e">
        <f t="shared" ref="AK96:AV96" si="600">SUM(AK9+AK18)</f>
        <v>#REF!</v>
      </c>
      <c r="AL96" s="2578" t="e">
        <f t="shared" si="600"/>
        <v>#REF!</v>
      </c>
      <c r="AM96" s="2578" t="e">
        <f t="shared" si="600"/>
        <v>#REF!</v>
      </c>
      <c r="AN96" s="2578" t="e">
        <f t="shared" si="600"/>
        <v>#REF!</v>
      </c>
      <c r="AO96" s="2578" t="e">
        <f t="shared" si="600"/>
        <v>#REF!</v>
      </c>
      <c r="AP96" s="2578">
        <f t="shared" si="600"/>
        <v>4209.3</v>
      </c>
      <c r="AQ96" s="2578">
        <f t="shared" si="600"/>
        <v>4189.1750511749278</v>
      </c>
      <c r="AR96" s="2578">
        <f t="shared" si="600"/>
        <v>20.124948825071897</v>
      </c>
      <c r="AS96" s="2578">
        <f t="shared" si="600"/>
        <v>6232.7999999999993</v>
      </c>
      <c r="AT96" s="2578">
        <f t="shared" si="600"/>
        <v>6194.4889789560575</v>
      </c>
      <c r="AU96" s="2578">
        <f t="shared" si="600"/>
        <v>38.311021043941764</v>
      </c>
      <c r="AV96" s="2578">
        <f t="shared" si="600"/>
        <v>7986.29</v>
      </c>
      <c r="AW96" s="3741">
        <f t="shared" ref="AW96:AW130" si="601">SUM(AV96/AI96)</f>
        <v>1.0444256580731157</v>
      </c>
      <c r="AX96" s="2578">
        <f>SUM(AX9+AX18)</f>
        <v>7938.0262395623386</v>
      </c>
      <c r="AY96" s="2578">
        <f>SUM(AY9+AY18)</f>
        <v>48.263760437661404</v>
      </c>
      <c r="AZ96" s="2578">
        <f>SUM(AZ9+AZ18)</f>
        <v>7602.7637999597591</v>
      </c>
      <c r="BA96" s="3741">
        <f t="shared" ref="BA96:BA130" si="602">SUM(AZ96/AI96)</f>
        <v>0.99426912683454194</v>
      </c>
      <c r="BB96" s="2578">
        <f t="shared" ref="BB96:BX96" si="603">SUM(BB9+BB18)</f>
        <v>7570.0132064598265</v>
      </c>
      <c r="BC96" s="2578">
        <f t="shared" si="603"/>
        <v>32.75059349993262</v>
      </c>
      <c r="BD96" s="2578">
        <f t="shared" si="603"/>
        <v>9995.23</v>
      </c>
      <c r="BE96" s="2578">
        <f t="shared" si="603"/>
        <v>9932.52</v>
      </c>
      <c r="BF96" s="2578">
        <f t="shared" si="603"/>
        <v>62.71</v>
      </c>
      <c r="BG96" s="2578">
        <f t="shared" si="603"/>
        <v>11205.95</v>
      </c>
      <c r="BH96" s="2578">
        <f t="shared" si="603"/>
        <v>11143.92</v>
      </c>
      <c r="BI96" s="2578">
        <f t="shared" si="603"/>
        <v>62.03</v>
      </c>
      <c r="BJ96" s="2578">
        <f t="shared" si="603"/>
        <v>7949.4199999999992</v>
      </c>
      <c r="BK96" s="2578">
        <f t="shared" si="603"/>
        <v>7912.73</v>
      </c>
      <c r="BL96" s="2578">
        <f t="shared" si="603"/>
        <v>36.69</v>
      </c>
      <c r="BM96" s="2578">
        <f t="shared" si="603"/>
        <v>10828.01</v>
      </c>
      <c r="BN96" s="2578">
        <f t="shared" si="603"/>
        <v>10771.54</v>
      </c>
      <c r="BO96" s="2578">
        <f t="shared" si="603"/>
        <v>56.47</v>
      </c>
      <c r="BP96" s="2578">
        <f t="shared" si="603"/>
        <v>12087.67</v>
      </c>
      <c r="BQ96" s="2578">
        <f t="shared" si="603"/>
        <v>12029.1</v>
      </c>
      <c r="BR96" s="2578">
        <f t="shared" si="603"/>
        <v>58.57</v>
      </c>
      <c r="BS96" s="2578">
        <f t="shared" si="603"/>
        <v>8924.2698001334466</v>
      </c>
      <c r="BT96" s="2578">
        <f t="shared" si="603"/>
        <v>8882.0761197497486</v>
      </c>
      <c r="BU96" s="2578">
        <f t="shared" si="603"/>
        <v>42.193680383698222</v>
      </c>
      <c r="BV96" s="2578">
        <f t="shared" si="603"/>
        <v>9299.0891317390524</v>
      </c>
      <c r="BW96" s="2578">
        <f t="shared" si="603"/>
        <v>9255.1233167792379</v>
      </c>
      <c r="BX96" s="2578">
        <f t="shared" si="603"/>
        <v>43.965814959813549</v>
      </c>
      <c r="BY96" s="1726"/>
      <c r="BZ96" s="3735"/>
      <c r="CA96" s="3735"/>
      <c r="CB96" s="3735"/>
      <c r="CC96" s="3735"/>
      <c r="CD96" s="3735"/>
      <c r="CE96" s="3735"/>
      <c r="CF96" s="3735"/>
      <c r="CG96" s="3735"/>
      <c r="CH96" s="3735"/>
      <c r="CI96" s="3735"/>
      <c r="CJ96" s="3735"/>
      <c r="CK96" s="2578">
        <f t="shared" ref="CK96:DQ96" si="604">SUM(CK9+CK18)</f>
        <v>8855.1467408308945</v>
      </c>
      <c r="CL96" s="2578">
        <f t="shared" si="604"/>
        <v>8812.7885117623136</v>
      </c>
      <c r="CM96" s="2578">
        <f t="shared" si="604"/>
        <v>42.358229068582141</v>
      </c>
      <c r="CN96" s="2578">
        <f t="shared" si="604"/>
        <v>5060.2864899999986</v>
      </c>
      <c r="CO96" s="2578">
        <f t="shared" si="604"/>
        <v>5050.8851599999998</v>
      </c>
      <c r="CP96" s="2578">
        <f t="shared" si="604"/>
        <v>9.4013300000000015</v>
      </c>
      <c r="CQ96" s="2578">
        <f t="shared" si="604"/>
        <v>7637.2774099999997</v>
      </c>
      <c r="CR96" s="2578">
        <f t="shared" si="604"/>
        <v>7619.0176099999999</v>
      </c>
      <c r="CS96" s="2578">
        <f t="shared" si="604"/>
        <v>18.259800000000002</v>
      </c>
      <c r="CT96" s="2578">
        <f t="shared" si="604"/>
        <v>10344.35</v>
      </c>
      <c r="CU96" s="2578">
        <f t="shared" si="604"/>
        <v>10323.1</v>
      </c>
      <c r="CV96" s="2578">
        <f t="shared" si="604"/>
        <v>21.25</v>
      </c>
      <c r="CW96" s="2578">
        <f t="shared" si="604"/>
        <v>10507.61431866973</v>
      </c>
      <c r="CX96" s="2578">
        <f t="shared" si="604"/>
        <v>10456.023731456935</v>
      </c>
      <c r="CY96" s="2578">
        <f t="shared" si="604"/>
        <v>51.590587212795349</v>
      </c>
      <c r="CZ96" s="2578">
        <f t="shared" si="604"/>
        <v>8394.1048154036998</v>
      </c>
      <c r="DA96" s="2578">
        <f t="shared" si="604"/>
        <v>8341.9678483495227</v>
      </c>
      <c r="DB96" s="2578">
        <f t="shared" si="604"/>
        <v>52.136967054177305</v>
      </c>
      <c r="DC96" s="2578">
        <f t="shared" si="604"/>
        <v>4996.4980100000002</v>
      </c>
      <c r="DD96" s="2578">
        <f t="shared" si="604"/>
        <v>4982.2118</v>
      </c>
      <c r="DE96" s="2578">
        <f t="shared" si="604"/>
        <v>14.286210000000001</v>
      </c>
      <c r="DF96" s="2578">
        <f t="shared" si="604"/>
        <v>7553.0339999999997</v>
      </c>
      <c r="DG96" s="2578">
        <f t="shared" si="604"/>
        <v>7530.6639999999998</v>
      </c>
      <c r="DH96" s="2578">
        <f t="shared" si="604"/>
        <v>22.37</v>
      </c>
      <c r="DI96" s="2578">
        <f t="shared" si="604"/>
        <v>10458.07116</v>
      </c>
      <c r="DJ96" s="2578">
        <f t="shared" si="604"/>
        <v>10428.051159999999</v>
      </c>
      <c r="DK96" s="2578">
        <f t="shared" si="604"/>
        <v>30.02</v>
      </c>
      <c r="DL96" s="2578">
        <f t="shared" si="604"/>
        <v>11043.794178648976</v>
      </c>
      <c r="DM96" s="2578">
        <f t="shared" si="604"/>
        <v>10988.210240129414</v>
      </c>
      <c r="DN96" s="2578">
        <f t="shared" si="604"/>
        <v>55.583938519559652</v>
      </c>
      <c r="DO96" s="2578">
        <f t="shared" si="604"/>
        <v>8920.7985588694028</v>
      </c>
      <c r="DP96" s="2578">
        <f t="shared" si="604"/>
        <v>8876.715260128165</v>
      </c>
      <c r="DQ96" s="2578">
        <f t="shared" si="604"/>
        <v>44.083298741236796</v>
      </c>
      <c r="DR96" s="2578">
        <f t="shared" ref="DR96:DT96" si="605">SUM(DR9+DR18)</f>
        <v>5286.3758500000004</v>
      </c>
      <c r="DS96" s="2578">
        <f t="shared" si="605"/>
        <v>5271.4394800000009</v>
      </c>
      <c r="DT96" s="2578">
        <f t="shared" si="605"/>
        <v>14.93637</v>
      </c>
      <c r="DU96" s="2578">
        <f t="shared" ref="DU96:DW96" si="606">SUM(DU9+DU18)</f>
        <v>7937.0749999999998</v>
      </c>
      <c r="DV96" s="2578">
        <f t="shared" si="606"/>
        <v>7918.9650000000001</v>
      </c>
      <c r="DW96" s="2578">
        <f t="shared" si="606"/>
        <v>18.11</v>
      </c>
      <c r="DX96" s="2578">
        <f t="shared" ref="DX96:EF96" si="607">SUM(DX9+DX18)</f>
        <v>10802.9</v>
      </c>
      <c r="DY96" s="2578">
        <f t="shared" si="607"/>
        <v>10770.16</v>
      </c>
      <c r="DZ96" s="2578">
        <f t="shared" si="607"/>
        <v>32.74</v>
      </c>
      <c r="EA96" s="2442">
        <f t="shared" si="607"/>
        <v>9355.6770108509118</v>
      </c>
      <c r="EB96" s="2442">
        <f t="shared" si="607"/>
        <v>9320.5510231345743</v>
      </c>
      <c r="EC96" s="2442">
        <f t="shared" si="607"/>
        <v>35.125987716338216</v>
      </c>
      <c r="ED96" s="3961">
        <f t="shared" si="607"/>
        <v>0</v>
      </c>
      <c r="EE96" s="3961">
        <f t="shared" si="607"/>
        <v>0</v>
      </c>
      <c r="EF96" s="3961">
        <f t="shared" si="607"/>
        <v>0</v>
      </c>
      <c r="EG96" s="2442">
        <f t="shared" ref="EG96:EI96" si="608">SUM(EG9+EG18)</f>
        <v>9355.6770108509118</v>
      </c>
      <c r="EH96" s="2442">
        <f t="shared" si="608"/>
        <v>9320.5510231345743</v>
      </c>
      <c r="EI96" s="2442">
        <f t="shared" si="608"/>
        <v>35.125987716338216</v>
      </c>
      <c r="EJ96" s="2442">
        <f t="shared" ref="EJ96:ER96" si="609">SUM(EJ9+EJ18)</f>
        <v>10141.799113766854</v>
      </c>
      <c r="EK96" s="2442">
        <f t="shared" si="609"/>
        <v>10091.578329214033</v>
      </c>
      <c r="EL96" s="2442">
        <f t="shared" si="609"/>
        <v>50.220784552821428</v>
      </c>
      <c r="EM96" s="4849">
        <f t="shared" ref="EM96:EO96" si="610">SUM(EM9+EM18)</f>
        <v>5630.3349499999995</v>
      </c>
      <c r="EN96" s="4849">
        <f t="shared" si="610"/>
        <v>5616.5268699999997</v>
      </c>
      <c r="EO96" s="4849">
        <f t="shared" si="610"/>
        <v>13.80808</v>
      </c>
      <c r="EP96" s="4849">
        <f t="shared" si="609"/>
        <v>11033.540570000001</v>
      </c>
      <c r="EQ96" s="4849">
        <f t="shared" si="609"/>
        <v>11002.331180000001</v>
      </c>
      <c r="ER96" s="4849">
        <f t="shared" si="609"/>
        <v>31.209389999999999</v>
      </c>
    </row>
    <row r="97" spans="1:148" ht="27" customHeight="1" x14ac:dyDescent="0.2">
      <c r="A97" s="3191" t="s">
        <v>2</v>
      </c>
      <c r="B97" s="3191"/>
      <c r="C97" s="3191"/>
      <c r="D97" s="3191"/>
      <c r="E97" s="3191"/>
      <c r="F97" s="3191"/>
      <c r="G97" s="3191"/>
      <c r="H97" s="3191"/>
      <c r="I97" s="3191"/>
      <c r="J97" s="3191"/>
      <c r="K97" s="3191"/>
      <c r="L97" s="3191"/>
      <c r="M97" s="3191"/>
      <c r="N97" s="3191"/>
      <c r="O97" s="3191"/>
      <c r="P97" s="3191"/>
      <c r="Q97" s="3191"/>
      <c r="R97" s="3191"/>
      <c r="S97" s="3191"/>
      <c r="T97" s="3191"/>
      <c r="U97" s="3191"/>
      <c r="V97" s="3191"/>
      <c r="W97" s="2578">
        <f>SUM(W10+W20+W32+W35+W11+W21+W36)</f>
        <v>5225.95</v>
      </c>
      <c r="X97" s="3191"/>
      <c r="Y97" s="2578" t="e">
        <f t="shared" ref="Y97:AE97" si="611">SUM(Y10+Y20+Y32+Y35+Y11+Y21+Y36)</f>
        <v>#REF!</v>
      </c>
      <c r="Z97" s="2578" t="e">
        <f t="shared" si="611"/>
        <v>#REF!</v>
      </c>
      <c r="AA97" s="2578" t="e">
        <f t="shared" si="611"/>
        <v>#REF!</v>
      </c>
      <c r="AB97" s="2578">
        <f t="shared" si="611"/>
        <v>4702.5</v>
      </c>
      <c r="AC97" s="2578">
        <f t="shared" si="611"/>
        <v>4695.2553708072028</v>
      </c>
      <c r="AD97" s="2578">
        <f t="shared" si="611"/>
        <v>7.2446291927966513</v>
      </c>
      <c r="AE97" s="2578">
        <f t="shared" si="611"/>
        <v>4822.1000000000004</v>
      </c>
      <c r="AF97" s="3740" t="e">
        <f t="shared" si="598"/>
        <v>#REF!</v>
      </c>
      <c r="AG97" s="2578">
        <f>SUM(AG10+AG20+AG32+AG35+AG11+AG21+AG36)</f>
        <v>5112.1000000000004</v>
      </c>
      <c r="AH97" s="2578">
        <f>SUM(AH10+AH20+AH32+AH35+AH11+AH21+AH36)</f>
        <v>0</v>
      </c>
      <c r="AI97" s="2578">
        <f>SUM(AI10+AI20+AI32+AI35+AI11+AI21+AI36)</f>
        <v>4822.1000000000004</v>
      </c>
      <c r="AJ97" s="3740" t="e">
        <f t="shared" si="599"/>
        <v>#REF!</v>
      </c>
      <c r="AK97" s="2578">
        <f t="shared" ref="AK97:AV97" si="612">SUM(AK10+AK20+AK32+AK35+AK11+AK21+AK36)</f>
        <v>4822.1000000000004</v>
      </c>
      <c r="AL97" s="2578">
        <f t="shared" si="612"/>
        <v>0</v>
      </c>
      <c r="AM97" s="2578" t="e">
        <f t="shared" si="612"/>
        <v>#REF!</v>
      </c>
      <c r="AN97" s="2578" t="e">
        <f t="shared" si="612"/>
        <v>#REF!</v>
      </c>
      <c r="AO97" s="2578" t="e">
        <f t="shared" si="612"/>
        <v>#REF!</v>
      </c>
      <c r="AP97" s="2578">
        <f t="shared" si="612"/>
        <v>2400.7200000000003</v>
      </c>
      <c r="AQ97" s="2578">
        <f t="shared" si="612"/>
        <v>2398.3597129415707</v>
      </c>
      <c r="AR97" s="2578">
        <f t="shared" si="612"/>
        <v>2.3602870584292077</v>
      </c>
      <c r="AS97" s="2578">
        <f t="shared" si="612"/>
        <v>3628.3500000000004</v>
      </c>
      <c r="AT97" s="2578">
        <f t="shared" si="612"/>
        <v>3624.0619246717242</v>
      </c>
      <c r="AU97" s="2578">
        <f t="shared" si="612"/>
        <v>4.2880753282761361</v>
      </c>
      <c r="AV97" s="2578">
        <f t="shared" si="612"/>
        <v>4822.1000000000004</v>
      </c>
      <c r="AW97" s="3741">
        <f t="shared" si="601"/>
        <v>1</v>
      </c>
      <c r="AX97" s="2578">
        <f>SUM(AX10+AX20+AX32+AX35+AX11+AX21+AX36)</f>
        <v>4814.3530377195511</v>
      </c>
      <c r="AY97" s="2578">
        <f>SUM(AY10+AY20+AY32+AY35+AY11+AY21+AY36)</f>
        <v>7.7469622804491109</v>
      </c>
      <c r="AZ97" s="2578">
        <f>SUM(AZ10+AZ20+AZ32+AZ35+AZ11+AZ21+AZ36)</f>
        <v>4822.1000000000004</v>
      </c>
      <c r="BA97" s="3741">
        <f t="shared" si="602"/>
        <v>1</v>
      </c>
      <c r="BB97" s="2578">
        <f t="shared" ref="BB97:BX97" si="613">SUM(BB10+BB20+BB32+BB35+BB11+BB21+BB36)</f>
        <v>4816.8487862052643</v>
      </c>
      <c r="BC97" s="2578">
        <f t="shared" si="613"/>
        <v>5.2512137947360316</v>
      </c>
      <c r="BD97" s="2578">
        <f t="shared" si="613"/>
        <v>5036.88</v>
      </c>
      <c r="BE97" s="2578">
        <f t="shared" si="613"/>
        <v>5032.91</v>
      </c>
      <c r="BF97" s="2578">
        <f t="shared" si="613"/>
        <v>3.97</v>
      </c>
      <c r="BG97" s="2578">
        <f t="shared" si="613"/>
        <v>5006.29</v>
      </c>
      <c r="BH97" s="2578">
        <f t="shared" si="613"/>
        <v>5003.2</v>
      </c>
      <c r="BI97" s="2578">
        <f t="shared" si="613"/>
        <v>3.09</v>
      </c>
      <c r="BJ97" s="2578">
        <f t="shared" si="613"/>
        <v>5036.88</v>
      </c>
      <c r="BK97" s="2578">
        <f t="shared" si="613"/>
        <v>5031.76</v>
      </c>
      <c r="BL97" s="2578">
        <f t="shared" si="613"/>
        <v>5.12</v>
      </c>
      <c r="BM97" s="2578">
        <f t="shared" si="613"/>
        <v>4827.91</v>
      </c>
      <c r="BN97" s="2578">
        <f t="shared" si="613"/>
        <v>4825.28</v>
      </c>
      <c r="BO97" s="2578">
        <f t="shared" si="613"/>
        <v>2.63</v>
      </c>
      <c r="BP97" s="2578">
        <f t="shared" si="613"/>
        <v>5006.29</v>
      </c>
      <c r="BQ97" s="2578">
        <f t="shared" si="613"/>
        <v>5003.2999999999993</v>
      </c>
      <c r="BR97" s="2578">
        <f t="shared" si="613"/>
        <v>2.99</v>
      </c>
      <c r="BS97" s="2578">
        <f t="shared" si="613"/>
        <v>5006.29</v>
      </c>
      <c r="BT97" s="2578">
        <f t="shared" si="613"/>
        <v>5003.2866117908889</v>
      </c>
      <c r="BU97" s="2578">
        <f t="shared" si="613"/>
        <v>3.0033882091110118</v>
      </c>
      <c r="BV97" s="2578">
        <f t="shared" si="613"/>
        <v>5044.96</v>
      </c>
      <c r="BW97" s="2578">
        <f t="shared" si="613"/>
        <v>5041.9566117908889</v>
      </c>
      <c r="BX97" s="2578">
        <f t="shared" si="613"/>
        <v>3.0033882091110118</v>
      </c>
      <c r="BY97" s="1726"/>
      <c r="BZ97" s="3735"/>
      <c r="CA97" s="3735"/>
      <c r="CB97" s="3735"/>
      <c r="CC97" s="3735"/>
      <c r="CD97" s="3735"/>
      <c r="CE97" s="3735"/>
      <c r="CF97" s="3735"/>
      <c r="CG97" s="3735"/>
      <c r="CH97" s="3735"/>
      <c r="CI97" s="3735"/>
      <c r="CJ97" s="3735"/>
      <c r="CK97" s="2578">
        <f t="shared" ref="CK97:DQ97" si="614">SUM(CK10+CK20+CK32+CK35+CK11+CK21+CK36)</f>
        <v>5044.96</v>
      </c>
      <c r="CL97" s="2578">
        <f t="shared" si="614"/>
        <v>5041.9611979847214</v>
      </c>
      <c r="CM97" s="2578">
        <f t="shared" si="614"/>
        <v>2.9988020152781827</v>
      </c>
      <c r="CN97" s="2578">
        <f t="shared" si="614"/>
        <v>2555.2600000000002</v>
      </c>
      <c r="CO97" s="2578">
        <f t="shared" si="614"/>
        <v>2555.2600000000002</v>
      </c>
      <c r="CP97" s="2578">
        <f t="shared" si="614"/>
        <v>0</v>
      </c>
      <c r="CQ97" s="2578">
        <f t="shared" si="614"/>
        <v>3844.0299999999997</v>
      </c>
      <c r="CR97" s="2578">
        <f t="shared" si="614"/>
        <v>3844.0299999999997</v>
      </c>
      <c r="CS97" s="2578">
        <f t="shared" si="614"/>
        <v>0</v>
      </c>
      <c r="CT97" s="2578">
        <f t="shared" si="614"/>
        <v>5144.6099999999997</v>
      </c>
      <c r="CU97" s="2578">
        <f t="shared" si="614"/>
        <v>5144.6099999999997</v>
      </c>
      <c r="CV97" s="2578">
        <f t="shared" si="614"/>
        <v>0</v>
      </c>
      <c r="CW97" s="2578">
        <f t="shared" si="614"/>
        <v>5144.6099999999997</v>
      </c>
      <c r="CX97" s="2578">
        <f t="shared" si="614"/>
        <v>5144.6099999999997</v>
      </c>
      <c r="CY97" s="2578">
        <f t="shared" si="614"/>
        <v>0</v>
      </c>
      <c r="CZ97" s="2578">
        <f t="shared" si="614"/>
        <v>5132.6200000000008</v>
      </c>
      <c r="DA97" s="2578">
        <f t="shared" si="614"/>
        <v>5132.6200000000008</v>
      </c>
      <c r="DB97" s="2578">
        <f t="shared" si="614"/>
        <v>0</v>
      </c>
      <c r="DC97" s="2578">
        <f t="shared" si="614"/>
        <v>2631.4059999999999</v>
      </c>
      <c r="DD97" s="2578">
        <f t="shared" si="614"/>
        <v>2631.4059999999999</v>
      </c>
      <c r="DE97" s="2578">
        <f t="shared" si="614"/>
        <v>0</v>
      </c>
      <c r="DF97" s="2578">
        <f t="shared" si="614"/>
        <v>3945.87</v>
      </c>
      <c r="DG97" s="2578">
        <f t="shared" si="614"/>
        <v>3945.87</v>
      </c>
      <c r="DH97" s="2578">
        <f t="shared" si="614"/>
        <v>0</v>
      </c>
      <c r="DI97" s="2578">
        <f t="shared" si="614"/>
        <v>5268.7</v>
      </c>
      <c r="DJ97" s="2578">
        <f t="shared" si="614"/>
        <v>5268.7</v>
      </c>
      <c r="DK97" s="2578">
        <f t="shared" si="614"/>
        <v>0</v>
      </c>
      <c r="DL97" s="2578">
        <f t="shared" si="614"/>
        <v>5268.7</v>
      </c>
      <c r="DM97" s="2578">
        <f t="shared" si="614"/>
        <v>5268.7</v>
      </c>
      <c r="DN97" s="2578">
        <f t="shared" si="614"/>
        <v>0</v>
      </c>
      <c r="DO97" s="2578">
        <f t="shared" si="614"/>
        <v>5268.7</v>
      </c>
      <c r="DP97" s="2578">
        <f t="shared" si="614"/>
        <v>5268.7</v>
      </c>
      <c r="DQ97" s="2578">
        <f t="shared" si="614"/>
        <v>0</v>
      </c>
      <c r="DR97" s="2578">
        <f t="shared" ref="DR97:DZ97" si="615">SUM(DR10+DR20+DR32+DR35+DR21+DR36)</f>
        <v>2669.63</v>
      </c>
      <c r="DS97" s="2578">
        <f t="shared" si="615"/>
        <v>2669.63</v>
      </c>
      <c r="DT97" s="2578">
        <f t="shared" si="615"/>
        <v>0</v>
      </c>
      <c r="DU97" s="2578">
        <f t="shared" si="615"/>
        <v>4056.498</v>
      </c>
      <c r="DV97" s="2578">
        <f t="shared" si="615"/>
        <v>4056.498</v>
      </c>
      <c r="DW97" s="2578">
        <f t="shared" si="615"/>
        <v>0</v>
      </c>
      <c r="DX97" s="2578">
        <f t="shared" si="615"/>
        <v>5490.75</v>
      </c>
      <c r="DY97" s="2578">
        <f t="shared" si="615"/>
        <v>5490.75</v>
      </c>
      <c r="DZ97" s="2578">
        <f t="shared" si="615"/>
        <v>0</v>
      </c>
      <c r="EA97" s="2442">
        <f t="shared" ref="EA97:EF97" si="616">SUM(EA10+EA20+EA32+EA35+EA11+EA21+EA36)</f>
        <v>5554.9170000000004</v>
      </c>
      <c r="EB97" s="2442">
        <f t="shared" si="616"/>
        <v>5554.9170000000004</v>
      </c>
      <c r="EC97" s="2442">
        <f t="shared" si="616"/>
        <v>0</v>
      </c>
      <c r="ED97" s="3961">
        <f t="shared" si="616"/>
        <v>0</v>
      </c>
      <c r="EE97" s="3961">
        <f t="shared" si="616"/>
        <v>0</v>
      </c>
      <c r="EF97" s="3961">
        <f t="shared" si="616"/>
        <v>0</v>
      </c>
      <c r="EG97" s="2442">
        <f t="shared" ref="EG97:EI97" si="617">SUM(EG10+EG20+EG32+EG35+EG11+EG21+EG36)</f>
        <v>5554.9170000000004</v>
      </c>
      <c r="EH97" s="2442">
        <f t="shared" si="617"/>
        <v>5554.9170000000004</v>
      </c>
      <c r="EI97" s="2442">
        <f t="shared" si="617"/>
        <v>0</v>
      </c>
      <c r="EJ97" s="2442">
        <f t="shared" ref="EJ97:EL97" si="618">SUM(EJ10+EJ20+EJ32+EJ35+EJ11+EJ21+EJ36)</f>
        <v>5490.75</v>
      </c>
      <c r="EK97" s="2442">
        <f t="shared" si="618"/>
        <v>5490.75</v>
      </c>
      <c r="EL97" s="2442">
        <f t="shared" si="618"/>
        <v>0</v>
      </c>
      <c r="EM97" s="4849">
        <f t="shared" ref="EM97:EO97" si="619">SUM(EM10+EM20+EM32+EM35+EM21+EM36)</f>
        <v>3057.453</v>
      </c>
      <c r="EN97" s="4849">
        <f>SUM(EN10+EN20+EN32+EN35)</f>
        <v>2987.105</v>
      </c>
      <c r="EO97" s="4849">
        <f t="shared" si="619"/>
        <v>0</v>
      </c>
      <c r="EP97" s="4849">
        <f t="shared" ref="EP97:ER97" si="620">SUM(EP10+EP20+EP32+EP35+EP21+EP36)</f>
        <v>6674.9360000000006</v>
      </c>
      <c r="EQ97" s="4849">
        <f t="shared" si="620"/>
        <v>6674.9360000000006</v>
      </c>
      <c r="ER97" s="4849">
        <f t="shared" si="620"/>
        <v>0</v>
      </c>
    </row>
    <row r="98" spans="1:148" ht="27" customHeight="1" x14ac:dyDescent="0.2">
      <c r="A98" s="3191" t="s">
        <v>4281</v>
      </c>
      <c r="B98" s="3191"/>
      <c r="C98" s="3191"/>
      <c r="D98" s="3191"/>
      <c r="E98" s="3191"/>
      <c r="F98" s="3191"/>
      <c r="G98" s="3191"/>
      <c r="H98" s="3191"/>
      <c r="I98" s="3191"/>
      <c r="J98" s="3191"/>
      <c r="K98" s="3191"/>
      <c r="L98" s="3191"/>
      <c r="M98" s="3191"/>
      <c r="N98" s="3191"/>
      <c r="O98" s="3191"/>
      <c r="P98" s="3191"/>
      <c r="Q98" s="3191"/>
      <c r="R98" s="3191"/>
      <c r="S98" s="3191"/>
      <c r="T98" s="3191"/>
      <c r="U98" s="3191"/>
      <c r="V98" s="3191"/>
      <c r="W98" s="2578"/>
      <c r="X98" s="3191"/>
      <c r="Y98" s="2578"/>
      <c r="Z98" s="2578"/>
      <c r="AA98" s="2578"/>
      <c r="AB98" s="2578"/>
      <c r="AC98" s="2578"/>
      <c r="AD98" s="2578"/>
      <c r="AE98" s="2578"/>
      <c r="AF98" s="3740"/>
      <c r="AG98" s="2578"/>
      <c r="AH98" s="2578"/>
      <c r="AI98" s="2578"/>
      <c r="AJ98" s="3740"/>
      <c r="AK98" s="2578"/>
      <c r="AL98" s="2578"/>
      <c r="AM98" s="2578"/>
      <c r="AN98" s="2578"/>
      <c r="AO98" s="2578"/>
      <c r="AP98" s="2578"/>
      <c r="AQ98" s="2578"/>
      <c r="AR98" s="2578"/>
      <c r="AS98" s="2578"/>
      <c r="AT98" s="2578"/>
      <c r="AU98" s="2578"/>
      <c r="AV98" s="2578"/>
      <c r="AW98" s="3741"/>
      <c r="AX98" s="2578"/>
      <c r="AY98" s="2578"/>
      <c r="AZ98" s="2578"/>
      <c r="BA98" s="3741"/>
      <c r="BB98" s="2578"/>
      <c r="BC98" s="2578"/>
      <c r="BD98" s="2578"/>
      <c r="BE98" s="2578"/>
      <c r="BF98" s="2578"/>
      <c r="BG98" s="2578"/>
      <c r="BH98" s="2578"/>
      <c r="BI98" s="2578"/>
      <c r="BJ98" s="2578"/>
      <c r="BK98" s="2578"/>
      <c r="BL98" s="2578"/>
      <c r="BM98" s="2578"/>
      <c r="BN98" s="2578"/>
      <c r="BO98" s="2578"/>
      <c r="BP98" s="2578"/>
      <c r="BQ98" s="2578"/>
      <c r="BR98" s="2578"/>
      <c r="BS98" s="2578"/>
      <c r="BT98" s="2578"/>
      <c r="BU98" s="2578"/>
      <c r="BV98" s="2578"/>
      <c r="BW98" s="2578"/>
      <c r="BX98" s="2578"/>
      <c r="BY98" s="1726"/>
      <c r="BZ98" s="3735"/>
      <c r="CA98" s="3735"/>
      <c r="CB98" s="3735"/>
      <c r="CC98" s="3735"/>
      <c r="CD98" s="3735"/>
      <c r="CE98" s="3735"/>
      <c r="CF98" s="3735"/>
      <c r="CG98" s="3735"/>
      <c r="CH98" s="3735"/>
      <c r="CI98" s="3735"/>
      <c r="CJ98" s="3735"/>
      <c r="CK98" s="2578"/>
      <c r="CL98" s="2578"/>
      <c r="CM98" s="2578"/>
      <c r="CN98" s="2578"/>
      <c r="CO98" s="2578"/>
      <c r="CP98" s="2578"/>
      <c r="CQ98" s="2578"/>
      <c r="CR98" s="2578"/>
      <c r="CS98" s="2578"/>
      <c r="CT98" s="2578"/>
      <c r="CU98" s="2578"/>
      <c r="CV98" s="2578"/>
      <c r="CW98" s="2578"/>
      <c r="CX98" s="2578"/>
      <c r="CY98" s="2578"/>
      <c r="CZ98" s="2578"/>
      <c r="DA98" s="2578"/>
      <c r="DB98" s="2578"/>
      <c r="DC98" s="2578"/>
      <c r="DD98" s="2578"/>
      <c r="DE98" s="2578"/>
      <c r="DF98" s="2578"/>
      <c r="DG98" s="2578"/>
      <c r="DH98" s="2578"/>
      <c r="DI98" s="2578"/>
      <c r="DJ98" s="2578"/>
      <c r="DK98" s="2578"/>
      <c r="DL98" s="2578"/>
      <c r="DM98" s="2578"/>
      <c r="DN98" s="2578"/>
      <c r="DO98" s="2578"/>
      <c r="DP98" s="2578"/>
      <c r="DQ98" s="2578"/>
      <c r="DR98" s="2578">
        <f>SUM(DS98:DT98)</f>
        <v>12.515000000000001</v>
      </c>
      <c r="DS98" s="2578">
        <f>SUM(DS11)</f>
        <v>12.515000000000001</v>
      </c>
      <c r="DT98" s="2578">
        <v>0</v>
      </c>
      <c r="DU98" s="2578">
        <f>SUM(DV98:DW98)</f>
        <v>31.31</v>
      </c>
      <c r="DV98" s="2578">
        <f>SUM(DV11)</f>
        <v>31.31</v>
      </c>
      <c r="DW98" s="2578">
        <v>0</v>
      </c>
      <c r="DX98" s="2578">
        <f>SUM(DY98:DZ98)</f>
        <v>54.28</v>
      </c>
      <c r="DY98" s="2578">
        <f>SUM(DY11)</f>
        <v>54.28</v>
      </c>
      <c r="DZ98" s="2578">
        <v>0</v>
      </c>
      <c r="EA98" s="2442"/>
      <c r="EB98" s="2442"/>
      <c r="EC98" s="2442"/>
      <c r="ED98" s="3961"/>
      <c r="EE98" s="3961"/>
      <c r="EF98" s="3961"/>
      <c r="EG98" s="2442"/>
      <c r="EH98" s="2442"/>
      <c r="EI98" s="2442"/>
      <c r="EJ98" s="2442"/>
      <c r="EK98" s="2442"/>
      <c r="EL98" s="2442"/>
      <c r="EM98" s="4849">
        <f>SUM(EN98:EO98)</f>
        <v>116.27199999999999</v>
      </c>
      <c r="EN98" s="4849">
        <f>SUM(EN11+EN21+EN36)</f>
        <v>116.27199999999999</v>
      </c>
      <c r="EO98" s="4849">
        <v>0</v>
      </c>
      <c r="EP98" s="4849">
        <f>SUM(EQ98:ER98)</f>
        <v>169.10399999999998</v>
      </c>
      <c r="EQ98" s="4849">
        <f>SUM(EQ11+EQ21+EQ36)</f>
        <v>169.10399999999998</v>
      </c>
      <c r="ER98" s="4849">
        <v>0</v>
      </c>
    </row>
    <row r="99" spans="1:148" s="2730" customFormat="1" ht="27" customHeight="1" x14ac:dyDescent="0.2">
      <c r="A99" s="3191" t="s">
        <v>3</v>
      </c>
      <c r="B99" s="3191"/>
      <c r="C99" s="3191"/>
      <c r="D99" s="3191"/>
      <c r="E99" s="3191"/>
      <c r="F99" s="3191"/>
      <c r="G99" s="3191"/>
      <c r="H99" s="3191"/>
      <c r="I99" s="3191"/>
      <c r="J99" s="3191"/>
      <c r="K99" s="3191"/>
      <c r="L99" s="3191"/>
      <c r="M99" s="3191"/>
      <c r="N99" s="3191"/>
      <c r="O99" s="3191"/>
      <c r="P99" s="3191"/>
      <c r="Q99" s="3191"/>
      <c r="R99" s="3191"/>
      <c r="S99" s="3191"/>
      <c r="T99" s="3191"/>
      <c r="U99" s="3191"/>
      <c r="V99" s="3191"/>
      <c r="W99" s="2578">
        <f>SUM(W12+W22+W28+W37)</f>
        <v>2541</v>
      </c>
      <c r="X99" s="3191"/>
      <c r="Y99" s="2578">
        <f t="shared" ref="Y99:AE101" si="621">SUM(Y12+Y22+Y28+Y37)</f>
        <v>699.72213333333343</v>
      </c>
      <c r="Z99" s="2578">
        <f t="shared" si="621"/>
        <v>699.72213333333343</v>
      </c>
      <c r="AA99" s="2578">
        <f t="shared" si="621"/>
        <v>0.3</v>
      </c>
      <c r="AB99" s="2578">
        <f t="shared" si="621"/>
        <v>658.1</v>
      </c>
      <c r="AC99" s="2578">
        <f t="shared" si="621"/>
        <v>658.1</v>
      </c>
      <c r="AD99" s="2578">
        <f t="shared" si="621"/>
        <v>0</v>
      </c>
      <c r="AE99" s="2578">
        <f t="shared" si="621"/>
        <v>1570</v>
      </c>
      <c r="AF99" s="3740">
        <f t="shared" si="598"/>
        <v>2.2437478038901535</v>
      </c>
      <c r="AG99" s="2578">
        <f t="shared" ref="AG99:AI101" si="622">SUM(AG12+AG22+AG28+AG37)</f>
        <v>1570</v>
      </c>
      <c r="AH99" s="2578">
        <f t="shared" si="622"/>
        <v>0</v>
      </c>
      <c r="AI99" s="2578">
        <f t="shared" si="622"/>
        <v>361.53</v>
      </c>
      <c r="AJ99" s="3740">
        <f t="shared" si="599"/>
        <v>0.51667652454803004</v>
      </c>
      <c r="AK99" s="2578">
        <f t="shared" ref="AK99:AV99" si="623">SUM(AK12+AK22+AK28+AK37)</f>
        <v>361.53</v>
      </c>
      <c r="AL99" s="2578">
        <f t="shared" si="623"/>
        <v>0</v>
      </c>
      <c r="AM99" s="2578" t="e">
        <f t="shared" si="623"/>
        <v>#REF!</v>
      </c>
      <c r="AN99" s="2578" t="e">
        <f t="shared" si="623"/>
        <v>#REF!</v>
      </c>
      <c r="AO99" s="2578" t="e">
        <f t="shared" si="623"/>
        <v>#REF!</v>
      </c>
      <c r="AP99" s="2578">
        <f t="shared" si="623"/>
        <v>0</v>
      </c>
      <c r="AQ99" s="2578">
        <f t="shared" si="623"/>
        <v>0</v>
      </c>
      <c r="AR99" s="2578">
        <f t="shared" si="623"/>
        <v>0</v>
      </c>
      <c r="AS99" s="2578">
        <f t="shared" si="623"/>
        <v>0</v>
      </c>
      <c r="AT99" s="2578">
        <f t="shared" si="623"/>
        <v>0</v>
      </c>
      <c r="AU99" s="2578">
        <f t="shared" si="623"/>
        <v>0</v>
      </c>
      <c r="AV99" s="2578">
        <f t="shared" si="623"/>
        <v>1598.377</v>
      </c>
      <c r="AW99" s="3741">
        <f t="shared" si="601"/>
        <v>4.4211462395928418</v>
      </c>
      <c r="AX99" s="2578">
        <f t="shared" ref="AX99:AZ101" si="624">SUM(AX12+AX22+AX28+AX37)</f>
        <v>1598.377</v>
      </c>
      <c r="AY99" s="2578">
        <f t="shared" si="624"/>
        <v>0</v>
      </c>
      <c r="AZ99" s="2578">
        <f t="shared" si="624"/>
        <v>301.27555932203393</v>
      </c>
      <c r="BA99" s="3741">
        <f t="shared" si="602"/>
        <v>0.83333488043048698</v>
      </c>
      <c r="BB99" s="2578">
        <f t="shared" ref="BB99:BX99" si="625">SUM(BB12+BB22+BB28+BB37)</f>
        <v>301.27555932203393</v>
      </c>
      <c r="BC99" s="2578">
        <f t="shared" si="625"/>
        <v>0</v>
      </c>
      <c r="BD99" s="2578">
        <f t="shared" si="625"/>
        <v>1247.0700000000002</v>
      </c>
      <c r="BE99" s="2578">
        <f t="shared" si="625"/>
        <v>1247.0700000000002</v>
      </c>
      <c r="BF99" s="2578">
        <f t="shared" si="625"/>
        <v>0</v>
      </c>
      <c r="BG99" s="2578">
        <f t="shared" si="625"/>
        <v>1740.05</v>
      </c>
      <c r="BH99" s="2578">
        <f t="shared" si="625"/>
        <v>1740.05</v>
      </c>
      <c r="BI99" s="2578">
        <f t="shared" si="625"/>
        <v>0</v>
      </c>
      <c r="BJ99" s="2578">
        <f t="shared" si="625"/>
        <v>336.262</v>
      </c>
      <c r="BK99" s="2578">
        <f t="shared" si="625"/>
        <v>336.262</v>
      </c>
      <c r="BL99" s="2578">
        <f t="shared" si="625"/>
        <v>0</v>
      </c>
      <c r="BM99" s="2578">
        <f t="shared" si="625"/>
        <v>2879.9859999999999</v>
      </c>
      <c r="BN99" s="2578">
        <f t="shared" si="625"/>
        <v>2872.4580000000005</v>
      </c>
      <c r="BO99" s="2578">
        <f t="shared" si="625"/>
        <v>7.5279999999999996</v>
      </c>
      <c r="BP99" s="2578">
        <f t="shared" si="625"/>
        <v>3668.0099999999993</v>
      </c>
      <c r="BQ99" s="2578">
        <f t="shared" si="625"/>
        <v>3668.0099999999993</v>
      </c>
      <c r="BR99" s="2578">
        <f t="shared" si="625"/>
        <v>0</v>
      </c>
      <c r="BS99" s="2578">
        <f t="shared" si="625"/>
        <v>1779.89032</v>
      </c>
      <c r="BT99" s="2578">
        <f t="shared" si="625"/>
        <v>1779.89032</v>
      </c>
      <c r="BU99" s="2578">
        <f t="shared" si="625"/>
        <v>0</v>
      </c>
      <c r="BV99" s="2578">
        <f t="shared" si="625"/>
        <v>2717.4521485681998</v>
      </c>
      <c r="BW99" s="2578">
        <f t="shared" si="625"/>
        <v>2717.4521485681998</v>
      </c>
      <c r="BX99" s="2578">
        <f t="shared" si="625"/>
        <v>0</v>
      </c>
      <c r="BY99" s="1726"/>
      <c r="BZ99" s="3735"/>
      <c r="CA99" s="3735"/>
      <c r="CB99" s="3735"/>
      <c r="CC99" s="3735"/>
      <c r="CD99" s="3735"/>
      <c r="CE99" s="3735"/>
      <c r="CF99" s="3735"/>
      <c r="CG99" s="3735"/>
      <c r="CH99" s="3735"/>
      <c r="CI99" s="3735"/>
      <c r="CJ99" s="3735"/>
      <c r="CK99" s="2578">
        <f t="shared" ref="CK99:DQ99" si="626">SUM(CK12+CK22+CK28+CK37)</f>
        <v>1814.9541593040001</v>
      </c>
      <c r="CL99" s="2578">
        <f t="shared" si="626"/>
        <v>1814.9541593040001</v>
      </c>
      <c r="CM99" s="2578">
        <f t="shared" si="626"/>
        <v>0</v>
      </c>
      <c r="CN99" s="2578">
        <f t="shared" si="626"/>
        <v>1424.46</v>
      </c>
      <c r="CO99" s="2578">
        <f t="shared" si="626"/>
        <v>1424.46</v>
      </c>
      <c r="CP99" s="2578">
        <f t="shared" si="626"/>
        <v>0</v>
      </c>
      <c r="CQ99" s="2578">
        <f t="shared" si="626"/>
        <v>2580.04</v>
      </c>
      <c r="CR99" s="2578">
        <f t="shared" si="626"/>
        <v>2580.04</v>
      </c>
      <c r="CS99" s="2578">
        <f t="shared" si="626"/>
        <v>0</v>
      </c>
      <c r="CT99" s="2578">
        <f t="shared" si="626"/>
        <v>2890.87</v>
      </c>
      <c r="CU99" s="2578">
        <f t="shared" si="626"/>
        <v>2890.87</v>
      </c>
      <c r="CV99" s="2578">
        <f t="shared" si="626"/>
        <v>0</v>
      </c>
      <c r="CW99" s="2578">
        <f t="shared" si="626"/>
        <v>3261.9406446000003</v>
      </c>
      <c r="CX99" s="2578">
        <f t="shared" si="626"/>
        <v>3261.9406446000003</v>
      </c>
      <c r="CY99" s="2578">
        <f t="shared" si="626"/>
        <v>0</v>
      </c>
      <c r="CZ99" s="2578">
        <f t="shared" si="626"/>
        <v>1865.1079725344698</v>
      </c>
      <c r="DA99" s="2578">
        <f t="shared" si="626"/>
        <v>1865.1079725344698</v>
      </c>
      <c r="DB99" s="2578">
        <f t="shared" si="626"/>
        <v>0</v>
      </c>
      <c r="DC99" s="2578">
        <f t="shared" si="626"/>
        <v>862.01499999999999</v>
      </c>
      <c r="DD99" s="2578">
        <f t="shared" si="626"/>
        <v>862.01499999999999</v>
      </c>
      <c r="DE99" s="2578">
        <f t="shared" si="626"/>
        <v>0</v>
      </c>
      <c r="DF99" s="2578">
        <f t="shared" si="626"/>
        <v>1354.6999999999998</v>
      </c>
      <c r="DG99" s="2578">
        <f t="shared" si="626"/>
        <v>1354.6999999999998</v>
      </c>
      <c r="DH99" s="2578">
        <f t="shared" si="626"/>
        <v>0</v>
      </c>
      <c r="DI99" s="2578">
        <f t="shared" si="626"/>
        <v>2181.8199999999997</v>
      </c>
      <c r="DJ99" s="2578">
        <f t="shared" si="626"/>
        <v>2181.8199999999997</v>
      </c>
      <c r="DK99" s="2578">
        <f t="shared" si="626"/>
        <v>0</v>
      </c>
      <c r="DL99" s="2578">
        <f t="shared" si="626"/>
        <v>3567.3758207999999</v>
      </c>
      <c r="DM99" s="2578">
        <f t="shared" si="626"/>
        <v>3567.3758207999999</v>
      </c>
      <c r="DN99" s="2578">
        <f t="shared" si="626"/>
        <v>0</v>
      </c>
      <c r="DO99" s="2578">
        <f t="shared" si="626"/>
        <v>1974.2876683059822</v>
      </c>
      <c r="DP99" s="2578">
        <f t="shared" si="626"/>
        <v>1974.2876683059822</v>
      </c>
      <c r="DQ99" s="2578">
        <f t="shared" si="626"/>
        <v>0</v>
      </c>
      <c r="DR99" s="2578">
        <f t="shared" ref="DR99:DT99" si="627">SUM(DR12+DR22+DR28+DR37)</f>
        <v>1053.3899999999999</v>
      </c>
      <c r="DS99" s="2578">
        <f t="shared" si="627"/>
        <v>1053.3899999999999</v>
      </c>
      <c r="DT99" s="2578">
        <f t="shared" si="627"/>
        <v>0</v>
      </c>
      <c r="DU99" s="2578">
        <f t="shared" ref="DU99:DW99" si="628">SUM(DU12+DU22+DU28+DU37)</f>
        <v>2798.6800000000003</v>
      </c>
      <c r="DV99" s="2578">
        <f t="shared" si="628"/>
        <v>2798.6800000000003</v>
      </c>
      <c r="DW99" s="2578">
        <f t="shared" si="628"/>
        <v>0</v>
      </c>
      <c r="DX99" s="2578">
        <f t="shared" ref="DX99:EF99" si="629">SUM(DX12+DX22+DX28+DX37)</f>
        <v>3615.4970000000003</v>
      </c>
      <c r="DY99" s="2578">
        <f t="shared" si="629"/>
        <v>3615.4970000000003</v>
      </c>
      <c r="DZ99" s="2578">
        <f t="shared" si="629"/>
        <v>0</v>
      </c>
      <c r="EA99" s="2442">
        <f t="shared" si="629"/>
        <v>3678.8907949200002</v>
      </c>
      <c r="EB99" s="2442">
        <f t="shared" si="629"/>
        <v>3678.8907949200002</v>
      </c>
      <c r="EC99" s="2442">
        <f t="shared" si="629"/>
        <v>0</v>
      </c>
      <c r="ED99" s="3961">
        <f t="shared" si="629"/>
        <v>0</v>
      </c>
      <c r="EE99" s="3961">
        <f t="shared" si="629"/>
        <v>0</v>
      </c>
      <c r="EF99" s="3961">
        <f t="shared" si="629"/>
        <v>0</v>
      </c>
      <c r="EG99" s="2442">
        <f t="shared" ref="EG99:EI99" si="630">SUM(EG12+EG22+EG28+EG37)</f>
        <v>3678.8907949200002</v>
      </c>
      <c r="EH99" s="2442">
        <f t="shared" si="630"/>
        <v>3678.8907949200002</v>
      </c>
      <c r="EI99" s="2442">
        <f t="shared" si="630"/>
        <v>0</v>
      </c>
      <c r="EJ99" s="2442">
        <f t="shared" ref="EJ99:ER99" si="631">SUM(EJ12+EJ22+EJ28+EJ37)</f>
        <v>2277.4532064636905</v>
      </c>
      <c r="EK99" s="2442">
        <f t="shared" si="631"/>
        <v>2277.4532064636905</v>
      </c>
      <c r="EL99" s="2442">
        <f t="shared" si="631"/>
        <v>0</v>
      </c>
      <c r="EM99" s="4849">
        <f t="shared" ref="EM99:EO99" si="632">SUM(EM12+EM22+EM28+EM37)</f>
        <v>2411.395</v>
      </c>
      <c r="EN99" s="4849">
        <f t="shared" si="632"/>
        <v>2411.395</v>
      </c>
      <c r="EO99" s="4849">
        <f t="shared" si="632"/>
        <v>0</v>
      </c>
      <c r="EP99" s="4849">
        <f t="shared" si="631"/>
        <v>6812.3960000000006</v>
      </c>
      <c r="EQ99" s="4849">
        <f t="shared" si="631"/>
        <v>6812.3960000000006</v>
      </c>
      <c r="ER99" s="4849">
        <f t="shared" si="631"/>
        <v>0</v>
      </c>
    </row>
    <row r="100" spans="1:148" ht="27" customHeight="1" x14ac:dyDescent="0.2">
      <c r="A100" s="3191" t="s">
        <v>4</v>
      </c>
      <c r="B100" s="3191"/>
      <c r="C100" s="3191"/>
      <c r="D100" s="3191"/>
      <c r="E100" s="3191"/>
      <c r="F100" s="3191"/>
      <c r="G100" s="3191"/>
      <c r="H100" s="3191"/>
      <c r="I100" s="3191"/>
      <c r="J100" s="3191"/>
      <c r="K100" s="3191"/>
      <c r="L100" s="3191"/>
      <c r="M100" s="3191"/>
      <c r="N100" s="3191"/>
      <c r="O100" s="3191"/>
      <c r="P100" s="3191"/>
      <c r="Q100" s="3191"/>
      <c r="R100" s="3191"/>
      <c r="S100" s="3191"/>
      <c r="T100" s="3191"/>
      <c r="U100" s="3191"/>
      <c r="V100" s="3191"/>
      <c r="W100" s="2578">
        <f>SUM(W13+W23+W29+W38)</f>
        <v>36122.5</v>
      </c>
      <c r="X100" s="3191"/>
      <c r="Y100" s="2578">
        <f t="shared" si="621"/>
        <v>29058.489073151999</v>
      </c>
      <c r="Z100" s="2578" t="e">
        <f t="shared" si="621"/>
        <v>#REF!</v>
      </c>
      <c r="AA100" s="2578" t="e">
        <f t="shared" si="621"/>
        <v>#REF!</v>
      </c>
      <c r="AB100" s="2578">
        <f t="shared" si="621"/>
        <v>27156.3</v>
      </c>
      <c r="AC100" s="2578">
        <f t="shared" si="621"/>
        <v>27031.316897761924</v>
      </c>
      <c r="AD100" s="2578">
        <f t="shared" si="621"/>
        <v>124.98310223807493</v>
      </c>
      <c r="AE100" s="2578">
        <f t="shared" si="621"/>
        <v>35777.909999999996</v>
      </c>
      <c r="AF100" s="3740">
        <f t="shared" si="598"/>
        <v>1.2312377945712349</v>
      </c>
      <c r="AG100" s="2578">
        <f t="shared" si="622"/>
        <v>35648.080000000002</v>
      </c>
      <c r="AH100" s="2578">
        <f t="shared" si="622"/>
        <v>129.83000000000001</v>
      </c>
      <c r="AI100" s="2578">
        <f t="shared" si="622"/>
        <v>33825.43102756892</v>
      </c>
      <c r="AJ100" s="3740">
        <f t="shared" si="599"/>
        <v>1.1640464492980553</v>
      </c>
      <c r="AK100" s="2578" t="e">
        <f t="shared" ref="AK100:AV100" si="633">SUM(AK13+AK23+AK29+AK38)</f>
        <v>#REF!</v>
      </c>
      <c r="AL100" s="2578" t="e">
        <f t="shared" si="633"/>
        <v>#REF!</v>
      </c>
      <c r="AM100" s="2578" t="e">
        <f t="shared" si="633"/>
        <v>#REF!</v>
      </c>
      <c r="AN100" s="2578" t="e">
        <f t="shared" si="633"/>
        <v>#REF!</v>
      </c>
      <c r="AO100" s="2578" t="e">
        <f t="shared" si="633"/>
        <v>#REF!</v>
      </c>
      <c r="AP100" s="2578">
        <f t="shared" si="633"/>
        <v>13487.5</v>
      </c>
      <c r="AQ100" s="2578">
        <f t="shared" si="633"/>
        <v>13445.730211762451</v>
      </c>
      <c r="AR100" s="2578">
        <f t="shared" si="633"/>
        <v>41.7697882375478</v>
      </c>
      <c r="AS100" s="2578">
        <f t="shared" si="633"/>
        <v>21008.800000000003</v>
      </c>
      <c r="AT100" s="2578">
        <f t="shared" si="633"/>
        <v>20926.47708219754</v>
      </c>
      <c r="AU100" s="2578">
        <f t="shared" si="633"/>
        <v>82.322917802459415</v>
      </c>
      <c r="AV100" s="2578">
        <f t="shared" si="633"/>
        <v>38721.19</v>
      </c>
      <c r="AW100" s="3741">
        <f t="shared" si="601"/>
        <v>1.144736041011299</v>
      </c>
      <c r="AX100" s="2578">
        <f t="shared" si="624"/>
        <v>38561.41738842499</v>
      </c>
      <c r="AY100" s="2578">
        <f t="shared" si="624"/>
        <v>159.7726115750047</v>
      </c>
      <c r="AZ100" s="2578">
        <f t="shared" si="624"/>
        <v>32268.319991397846</v>
      </c>
      <c r="BA100" s="3741">
        <f t="shared" si="602"/>
        <v>0.95396626180751476</v>
      </c>
      <c r="BB100" s="2578">
        <f t="shared" ref="BB100:BX100" si="634">SUM(BB13+BB23+BB29+BB38)</f>
        <v>32172.39931023628</v>
      </c>
      <c r="BC100" s="2578">
        <f t="shared" si="634"/>
        <v>95.920681161569519</v>
      </c>
      <c r="BD100" s="2578">
        <f t="shared" si="634"/>
        <v>30272.25</v>
      </c>
      <c r="BE100" s="2578">
        <f t="shared" si="634"/>
        <v>30161.7</v>
      </c>
      <c r="BF100" s="2578">
        <f t="shared" si="634"/>
        <v>110.55</v>
      </c>
      <c r="BG100" s="2578">
        <f t="shared" si="634"/>
        <v>29994.03</v>
      </c>
      <c r="BH100" s="2578">
        <f t="shared" si="634"/>
        <v>29899.040000000001</v>
      </c>
      <c r="BI100" s="2578">
        <f t="shared" si="634"/>
        <v>94.99</v>
      </c>
      <c r="BJ100" s="2578">
        <f t="shared" si="634"/>
        <v>36015.370000000003</v>
      </c>
      <c r="BK100" s="2578">
        <f t="shared" si="634"/>
        <v>35876.29</v>
      </c>
      <c r="BL100" s="2578">
        <f t="shared" si="634"/>
        <v>139.08000000000001</v>
      </c>
      <c r="BM100" s="2578">
        <f t="shared" si="634"/>
        <v>29360.980000000003</v>
      </c>
      <c r="BN100" s="2578">
        <f t="shared" si="634"/>
        <v>29273.556000000004</v>
      </c>
      <c r="BO100" s="2578">
        <f t="shared" si="634"/>
        <v>87.424000000000007</v>
      </c>
      <c r="BP100" s="2578">
        <f t="shared" si="634"/>
        <v>39243.86</v>
      </c>
      <c r="BQ100" s="2578">
        <f t="shared" si="634"/>
        <v>39123.18</v>
      </c>
      <c r="BR100" s="2578">
        <f t="shared" si="634"/>
        <v>120.68</v>
      </c>
      <c r="BS100" s="2578">
        <f t="shared" si="634"/>
        <v>37593.009431999999</v>
      </c>
      <c r="BT100" s="2578">
        <f t="shared" si="634"/>
        <v>37473.719913512112</v>
      </c>
      <c r="BU100" s="2578">
        <f t="shared" si="634"/>
        <v>119.28951848788896</v>
      </c>
      <c r="BV100" s="2578">
        <f t="shared" si="634"/>
        <v>39322.287865872</v>
      </c>
      <c r="BW100" s="2578">
        <f t="shared" si="634"/>
        <v>39197.511029533664</v>
      </c>
      <c r="BX100" s="2578">
        <f t="shared" si="634"/>
        <v>124.77683633833182</v>
      </c>
      <c r="BY100" s="1726"/>
      <c r="BZ100" s="3735"/>
      <c r="CA100" s="3735"/>
      <c r="CB100" s="3735"/>
      <c r="CC100" s="3735"/>
      <c r="CD100" s="3735"/>
      <c r="CE100" s="3735"/>
      <c r="CF100" s="3735"/>
      <c r="CG100" s="3735"/>
      <c r="CH100" s="3735"/>
      <c r="CI100" s="3735"/>
      <c r="CJ100" s="3735"/>
      <c r="CK100" s="2578">
        <f t="shared" ref="CK100:DQ100" si="635">SUM(CK13+CK23+CK29+CK38)</f>
        <v>38333.591717810399</v>
      </c>
      <c r="CL100" s="2578">
        <f t="shared" si="635"/>
        <v>38204.442794697126</v>
      </c>
      <c r="CM100" s="2578">
        <f t="shared" si="635"/>
        <v>129.14892311326759</v>
      </c>
      <c r="CN100" s="2578">
        <f t="shared" si="635"/>
        <v>14838.970000000001</v>
      </c>
      <c r="CO100" s="2578">
        <f t="shared" si="635"/>
        <v>14783.35</v>
      </c>
      <c r="CP100" s="2578">
        <f t="shared" si="635"/>
        <v>55.62</v>
      </c>
      <c r="CQ100" s="2578">
        <f t="shared" si="635"/>
        <v>22473.55</v>
      </c>
      <c r="CR100" s="2578">
        <f t="shared" si="635"/>
        <v>22400.12</v>
      </c>
      <c r="CS100" s="2578">
        <f t="shared" si="635"/>
        <v>73.430000000000007</v>
      </c>
      <c r="CT100" s="2578">
        <f t="shared" si="635"/>
        <v>29236.870000000003</v>
      </c>
      <c r="CU100" s="2578">
        <f t="shared" si="635"/>
        <v>29136.78</v>
      </c>
      <c r="CV100" s="2578">
        <f t="shared" si="635"/>
        <v>100.09</v>
      </c>
      <c r="CW100" s="2578">
        <f t="shared" si="635"/>
        <v>47320.176673440008</v>
      </c>
      <c r="CX100" s="2578">
        <f t="shared" si="635"/>
        <v>47166.428806992008</v>
      </c>
      <c r="CY100" s="2578">
        <f t="shared" si="635"/>
        <v>153.74786644800002</v>
      </c>
      <c r="CZ100" s="2578">
        <f t="shared" si="635"/>
        <v>39517.808773111457</v>
      </c>
      <c r="DA100" s="2578">
        <f t="shared" si="635"/>
        <v>39392.807659958853</v>
      </c>
      <c r="DB100" s="2578">
        <f t="shared" si="635"/>
        <v>125.001113152608</v>
      </c>
      <c r="DC100" s="2578">
        <f t="shared" si="635"/>
        <v>14780.99</v>
      </c>
      <c r="DD100" s="2578">
        <f t="shared" si="635"/>
        <v>14730.42</v>
      </c>
      <c r="DE100" s="2578">
        <f t="shared" si="635"/>
        <v>50.57</v>
      </c>
      <c r="DF100" s="2578">
        <f t="shared" si="635"/>
        <v>22164.314000000002</v>
      </c>
      <c r="DG100" s="2578">
        <f t="shared" si="635"/>
        <v>22089.903999999999</v>
      </c>
      <c r="DH100" s="2578">
        <f t="shared" si="635"/>
        <v>74.41</v>
      </c>
      <c r="DI100" s="2578">
        <f t="shared" si="635"/>
        <v>29579.579999999998</v>
      </c>
      <c r="DJ100" s="2578">
        <f t="shared" si="635"/>
        <v>29478.199999999997</v>
      </c>
      <c r="DK100" s="2578">
        <f t="shared" si="635"/>
        <v>101.38</v>
      </c>
      <c r="DL100" s="2578">
        <f t="shared" si="635"/>
        <v>50093.528284800006</v>
      </c>
      <c r="DM100" s="2578">
        <f t="shared" si="635"/>
        <v>49930.769528640005</v>
      </c>
      <c r="DN100" s="2578">
        <f t="shared" si="635"/>
        <v>162.75875616000002</v>
      </c>
      <c r="DO100" s="2578">
        <f t="shared" si="635"/>
        <v>41831.102374844413</v>
      </c>
      <c r="DP100" s="2578">
        <f t="shared" si="635"/>
        <v>41698.783946176525</v>
      </c>
      <c r="DQ100" s="2578">
        <f t="shared" si="635"/>
        <v>132.31842866788975</v>
      </c>
      <c r="DR100" s="2578">
        <f t="shared" ref="DR100:DT100" si="636">SUM(DR13+DR23+DR29+DR38)</f>
        <v>15869.749999999998</v>
      </c>
      <c r="DS100" s="2578">
        <f t="shared" si="636"/>
        <v>15824.439999999999</v>
      </c>
      <c r="DT100" s="2578">
        <f t="shared" si="636"/>
        <v>45.31</v>
      </c>
      <c r="DU100" s="2578">
        <f t="shared" ref="DU100:DW100" si="637">SUM(DU13+DU23+DU29+DU38)</f>
        <v>24450.199999999997</v>
      </c>
      <c r="DV100" s="2578">
        <f t="shared" si="637"/>
        <v>24378.949999999997</v>
      </c>
      <c r="DW100" s="2578">
        <f t="shared" si="637"/>
        <v>71.25</v>
      </c>
      <c r="DX100" s="2578">
        <f t="shared" ref="DX100:EF100" si="638">SUM(DX13+DX23+DX29+DX38)</f>
        <v>33216.114999999998</v>
      </c>
      <c r="DY100" s="2578">
        <f t="shared" si="638"/>
        <v>33118.483</v>
      </c>
      <c r="DZ100" s="2578">
        <f t="shared" si="638"/>
        <v>97.632000000000005</v>
      </c>
      <c r="EA100" s="2442">
        <f t="shared" si="638"/>
        <v>55934.304386399999</v>
      </c>
      <c r="EB100" s="2442">
        <f t="shared" si="638"/>
        <v>55749.159575999998</v>
      </c>
      <c r="EC100" s="2442">
        <f t="shared" si="638"/>
        <v>185.14481039999998</v>
      </c>
      <c r="ED100" s="3961">
        <f t="shared" si="638"/>
        <v>48243.9191662472</v>
      </c>
      <c r="EE100" s="3961">
        <f t="shared" si="638"/>
        <v>48101.920874247196</v>
      </c>
      <c r="EF100" s="3961">
        <f t="shared" si="638"/>
        <v>141.99829200000002</v>
      </c>
      <c r="EG100" s="2442">
        <f t="shared" ref="EG100:EI100" si="639">SUM(EG13+EG23+EG29+EG38)</f>
        <v>55934.304386399999</v>
      </c>
      <c r="EH100" s="2442">
        <f t="shared" si="639"/>
        <v>55749.159575999998</v>
      </c>
      <c r="EI100" s="2442">
        <f t="shared" si="639"/>
        <v>185.14481039999998</v>
      </c>
      <c r="EJ100" s="2442">
        <f t="shared" ref="EJ100:ER100" si="640">SUM(EJ13+EJ23+EJ29+EJ38)</f>
        <v>48243.9191662472</v>
      </c>
      <c r="EK100" s="2442">
        <f t="shared" si="640"/>
        <v>48101.920874247196</v>
      </c>
      <c r="EL100" s="2442">
        <f t="shared" si="640"/>
        <v>141.99829200000002</v>
      </c>
      <c r="EM100" s="4849">
        <f t="shared" ref="EM100:EO100" si="641">SUM(EM13+EM23+EM29+EM38)</f>
        <v>20156.454000000002</v>
      </c>
      <c r="EN100" s="4849">
        <f t="shared" si="641"/>
        <v>20095.740000000002</v>
      </c>
      <c r="EO100" s="4849">
        <f t="shared" si="641"/>
        <v>60.713999999999999</v>
      </c>
      <c r="EP100" s="4849">
        <f t="shared" si="640"/>
        <v>40493.133999999998</v>
      </c>
      <c r="EQ100" s="4849">
        <f t="shared" si="640"/>
        <v>40360.358999999997</v>
      </c>
      <c r="ER100" s="4849">
        <f t="shared" si="640"/>
        <v>132.77500000000001</v>
      </c>
    </row>
    <row r="101" spans="1:148" ht="27" customHeight="1" x14ac:dyDescent="0.2">
      <c r="A101" s="3191" t="s">
        <v>5</v>
      </c>
      <c r="B101" s="3191"/>
      <c r="C101" s="3191"/>
      <c r="D101" s="3191"/>
      <c r="E101" s="3191"/>
      <c r="F101" s="3191"/>
      <c r="G101" s="3191"/>
      <c r="H101" s="3191"/>
      <c r="I101" s="3191"/>
      <c r="J101" s="3191"/>
      <c r="K101" s="3191"/>
      <c r="L101" s="3191"/>
      <c r="M101" s="3191"/>
      <c r="N101" s="3191"/>
      <c r="O101" s="3191"/>
      <c r="P101" s="3191"/>
      <c r="Q101" s="3191"/>
      <c r="R101" s="3191"/>
      <c r="S101" s="3191"/>
      <c r="T101" s="3191"/>
      <c r="U101" s="3191"/>
      <c r="V101" s="3191"/>
      <c r="W101" s="2578">
        <f>SUM(W14+W24+W30+W39)</f>
        <v>10909</v>
      </c>
      <c r="X101" s="3191"/>
      <c r="Y101" s="2578">
        <f t="shared" si="621"/>
        <v>8727.1974454428309</v>
      </c>
      <c r="Z101" s="2578" t="e">
        <f t="shared" si="621"/>
        <v>#REF!</v>
      </c>
      <c r="AA101" s="2578" t="e">
        <f t="shared" si="621"/>
        <v>#REF!</v>
      </c>
      <c r="AB101" s="2578">
        <f t="shared" si="621"/>
        <v>8173.8</v>
      </c>
      <c r="AC101" s="2578">
        <f t="shared" si="621"/>
        <v>8135.9036131407865</v>
      </c>
      <c r="AD101" s="2578">
        <f t="shared" si="621"/>
        <v>37.896386859213635</v>
      </c>
      <c r="AE101" s="2578">
        <f t="shared" si="621"/>
        <v>10789.099999999999</v>
      </c>
      <c r="AF101" s="3740">
        <f t="shared" si="598"/>
        <v>1.2362617057133103</v>
      </c>
      <c r="AG101" s="2578">
        <f t="shared" si="622"/>
        <v>10749.89</v>
      </c>
      <c r="AH101" s="2578">
        <f t="shared" si="622"/>
        <v>39.21</v>
      </c>
      <c r="AI101" s="2578">
        <f t="shared" si="622"/>
        <v>10168.746925188269</v>
      </c>
      <c r="AJ101" s="3740">
        <f t="shared" si="599"/>
        <v>1.1651789693950589</v>
      </c>
      <c r="AK101" s="2578" t="e">
        <f t="shared" ref="AK101:AV101" si="642">SUM(AK14+AK24+AK30+AK39)</f>
        <v>#REF!</v>
      </c>
      <c r="AL101" s="2578" t="e">
        <f t="shared" si="642"/>
        <v>#REF!</v>
      </c>
      <c r="AM101" s="2578" t="e">
        <f t="shared" si="642"/>
        <v>#REF!</v>
      </c>
      <c r="AN101" s="2578" t="e">
        <f t="shared" si="642"/>
        <v>#REF!</v>
      </c>
      <c r="AO101" s="2578" t="e">
        <f t="shared" si="642"/>
        <v>#REF!</v>
      </c>
      <c r="AP101" s="2578">
        <f t="shared" si="642"/>
        <v>0</v>
      </c>
      <c r="AQ101" s="2578">
        <f t="shared" si="642"/>
        <v>0</v>
      </c>
      <c r="AR101" s="2578">
        <f t="shared" si="642"/>
        <v>0</v>
      </c>
      <c r="AS101" s="2578">
        <f t="shared" si="642"/>
        <v>0</v>
      </c>
      <c r="AT101" s="2578">
        <f t="shared" si="642"/>
        <v>0</v>
      </c>
      <c r="AU101" s="2578">
        <f t="shared" si="642"/>
        <v>0</v>
      </c>
      <c r="AV101" s="2578">
        <f t="shared" si="642"/>
        <v>11677.376844400829</v>
      </c>
      <c r="AW101" s="3741">
        <f t="shared" si="601"/>
        <v>1.1483594714581442</v>
      </c>
      <c r="AX101" s="2578">
        <f t="shared" si="624"/>
        <v>11629.12552656446</v>
      </c>
      <c r="AY101" s="2578">
        <f t="shared" si="624"/>
        <v>48.251317836369729</v>
      </c>
      <c r="AZ101" s="2578">
        <f t="shared" si="624"/>
        <v>9686.319944566636</v>
      </c>
      <c r="BA101" s="3741">
        <f t="shared" si="602"/>
        <v>0.9525578732393617</v>
      </c>
      <c r="BB101" s="2578">
        <f t="shared" ref="BB101:BX101" si="643">SUM(BB14+BB24+BB30+BB39)</f>
        <v>9657.4247749657006</v>
      </c>
      <c r="BC101" s="2578">
        <f t="shared" si="643"/>
        <v>28.895169600936249</v>
      </c>
      <c r="BD101" s="2578">
        <f t="shared" si="643"/>
        <v>9149.27</v>
      </c>
      <c r="BE101" s="2578">
        <f t="shared" si="643"/>
        <v>9115.89</v>
      </c>
      <c r="BF101" s="2578">
        <f t="shared" si="643"/>
        <v>33.380000000000003</v>
      </c>
      <c r="BG101" s="2578">
        <f t="shared" si="643"/>
        <v>9038.15</v>
      </c>
      <c r="BH101" s="2578">
        <f t="shared" si="643"/>
        <v>9009.5299999999988</v>
      </c>
      <c r="BI101" s="2578">
        <f t="shared" si="643"/>
        <v>28.62</v>
      </c>
      <c r="BJ101" s="2578">
        <f t="shared" si="643"/>
        <v>10809.94</v>
      </c>
      <c r="BK101" s="2578">
        <f t="shared" si="643"/>
        <v>10768.05</v>
      </c>
      <c r="BL101" s="2578">
        <f t="shared" si="643"/>
        <v>41.89</v>
      </c>
      <c r="BM101" s="2578">
        <f t="shared" si="643"/>
        <v>8860.77</v>
      </c>
      <c r="BN101" s="2578">
        <f t="shared" si="643"/>
        <v>8834.380000000001</v>
      </c>
      <c r="BO101" s="2578">
        <f t="shared" si="643"/>
        <v>26.39</v>
      </c>
      <c r="BP101" s="2578">
        <f t="shared" si="643"/>
        <v>11776.21</v>
      </c>
      <c r="BQ101" s="2578">
        <f t="shared" si="643"/>
        <v>11739.859999999999</v>
      </c>
      <c r="BR101" s="2578">
        <f t="shared" si="643"/>
        <v>36.35</v>
      </c>
      <c r="BS101" s="2578">
        <f t="shared" si="643"/>
        <v>11326.925411453287</v>
      </c>
      <c r="BT101" s="2578">
        <f t="shared" si="643"/>
        <v>11290.984091113007</v>
      </c>
      <c r="BU101" s="2578">
        <f t="shared" si="643"/>
        <v>35.941320340281948</v>
      </c>
      <c r="BV101" s="2578">
        <f t="shared" si="643"/>
        <v>11867.803540362864</v>
      </c>
      <c r="BW101" s="2578">
        <f t="shared" si="643"/>
        <v>11830.13641544492</v>
      </c>
      <c r="BX101" s="2578">
        <f t="shared" si="643"/>
        <v>37.667124917943738</v>
      </c>
      <c r="BY101" s="1726"/>
      <c r="BZ101" s="3735"/>
      <c r="CA101" s="3735"/>
      <c r="CB101" s="3735"/>
      <c r="CC101" s="3735"/>
      <c r="CD101" s="3735"/>
      <c r="CE101" s="3735"/>
      <c r="CF101" s="3735"/>
      <c r="CG101" s="3735"/>
      <c r="CH101" s="3735"/>
      <c r="CI101" s="3735"/>
      <c r="CJ101" s="3735"/>
      <c r="CK101" s="2578">
        <f t="shared" ref="CK101:DQ101" si="644">SUM(CK14+CK24+CK30+CK39)</f>
        <v>11550.065842058917</v>
      </c>
      <c r="CL101" s="2578">
        <f t="shared" si="644"/>
        <v>11511.150436045646</v>
      </c>
      <c r="CM101" s="2578">
        <f t="shared" si="644"/>
        <v>38.915406013268303</v>
      </c>
      <c r="CN101" s="2578">
        <f t="shared" si="644"/>
        <v>4488.8600000000006</v>
      </c>
      <c r="CO101" s="2578">
        <f t="shared" si="644"/>
        <v>4472.0600000000004</v>
      </c>
      <c r="CP101" s="2578">
        <f t="shared" si="644"/>
        <v>16.8</v>
      </c>
      <c r="CQ101" s="2578">
        <f t="shared" si="644"/>
        <v>6808.03</v>
      </c>
      <c r="CR101" s="2578">
        <f t="shared" si="644"/>
        <v>6785.84</v>
      </c>
      <c r="CS101" s="2578">
        <f t="shared" si="644"/>
        <v>22.19</v>
      </c>
      <c r="CT101" s="2578">
        <f t="shared" si="644"/>
        <v>8857.82</v>
      </c>
      <c r="CU101" s="2578">
        <f t="shared" si="644"/>
        <v>8827.58</v>
      </c>
      <c r="CV101" s="2578">
        <f t="shared" si="644"/>
        <v>30.24</v>
      </c>
      <c r="CW101" s="2578">
        <f t="shared" si="644"/>
        <v>14293.455000000002</v>
      </c>
      <c r="CX101" s="2578">
        <f t="shared" si="644"/>
        <v>14245.505000000001</v>
      </c>
      <c r="CY101" s="2578">
        <f t="shared" si="644"/>
        <v>47.95</v>
      </c>
      <c r="CZ101" s="2578">
        <f t="shared" si="644"/>
        <v>11906.877478564469</v>
      </c>
      <c r="DA101" s="2578">
        <f t="shared" si="644"/>
        <v>11869.215284034228</v>
      </c>
      <c r="DB101" s="2578">
        <f t="shared" si="644"/>
        <v>37.662194530241514</v>
      </c>
      <c r="DC101" s="2578">
        <f t="shared" si="644"/>
        <v>4457.3</v>
      </c>
      <c r="DD101" s="2578">
        <f t="shared" si="644"/>
        <v>4442.0200000000004</v>
      </c>
      <c r="DE101" s="2578">
        <f t="shared" si="644"/>
        <v>15.28</v>
      </c>
      <c r="DF101" s="2578">
        <f t="shared" si="644"/>
        <v>6457.8429999999998</v>
      </c>
      <c r="DG101" s="2578">
        <f t="shared" si="644"/>
        <v>6435.3629999999994</v>
      </c>
      <c r="DH101" s="2578">
        <f t="shared" si="644"/>
        <v>22.48</v>
      </c>
      <c r="DI101" s="2578">
        <f t="shared" si="644"/>
        <v>8889.2150000000001</v>
      </c>
      <c r="DJ101" s="2578">
        <f t="shared" si="644"/>
        <v>8858.6049999999996</v>
      </c>
      <c r="DK101" s="2578">
        <f t="shared" si="644"/>
        <v>30.61</v>
      </c>
      <c r="DL101" s="2578">
        <f t="shared" si="644"/>
        <v>15098.94</v>
      </c>
      <c r="DM101" s="2578">
        <f t="shared" si="644"/>
        <v>15049.9</v>
      </c>
      <c r="DN101" s="2578">
        <f t="shared" si="644"/>
        <v>49.04</v>
      </c>
      <c r="DO101" s="2578">
        <f t="shared" si="644"/>
        <v>12603.882306082203</v>
      </c>
      <c r="DP101" s="2578">
        <f t="shared" si="644"/>
        <v>12564.015441902027</v>
      </c>
      <c r="DQ101" s="2578">
        <f t="shared" si="644"/>
        <v>39.866864180176911</v>
      </c>
      <c r="DR101" s="2578">
        <f t="shared" ref="DR101:DT101" si="645">SUM(DR14+DR24+DR30+DR39)</f>
        <v>4777.3850000000002</v>
      </c>
      <c r="DS101" s="2578">
        <f t="shared" si="645"/>
        <v>4763.7</v>
      </c>
      <c r="DT101" s="2578">
        <f t="shared" si="645"/>
        <v>13.685</v>
      </c>
      <c r="DU101" s="2578">
        <f t="shared" ref="DU101:DW101" si="646">SUM(DU14+DU24+DU30+DU39)</f>
        <v>7359.402</v>
      </c>
      <c r="DV101" s="2578">
        <f t="shared" si="646"/>
        <v>7337.8819999999996</v>
      </c>
      <c r="DW101" s="2578">
        <f t="shared" si="646"/>
        <v>21.52</v>
      </c>
      <c r="DX101" s="2578">
        <f t="shared" ref="DX101:EF101" si="647">SUM(DX14+DX24+DX30+DX39)</f>
        <v>9995.3039999999983</v>
      </c>
      <c r="DY101" s="2578">
        <f t="shared" si="647"/>
        <v>9965.8189999999995</v>
      </c>
      <c r="DZ101" s="2578">
        <f t="shared" si="647"/>
        <v>29.484999999999999</v>
      </c>
      <c r="EA101" s="2442">
        <f t="shared" si="647"/>
        <v>16832.600000000002</v>
      </c>
      <c r="EB101" s="2442">
        <f t="shared" si="647"/>
        <v>16776.870000000003</v>
      </c>
      <c r="EC101" s="2442">
        <f t="shared" si="647"/>
        <v>55.73</v>
      </c>
      <c r="ED101" s="3961">
        <f t="shared" si="647"/>
        <v>0</v>
      </c>
      <c r="EE101" s="3961">
        <f t="shared" si="647"/>
        <v>0</v>
      </c>
      <c r="EF101" s="3961">
        <f t="shared" si="647"/>
        <v>0</v>
      </c>
      <c r="EG101" s="2442">
        <f t="shared" ref="EG101:EI101" si="648">SUM(EG14+EG24+EG30+EG39)</f>
        <v>16832.600000000002</v>
      </c>
      <c r="EH101" s="2442">
        <f t="shared" si="648"/>
        <v>16776.870000000003</v>
      </c>
      <c r="EI101" s="2442">
        <f t="shared" si="648"/>
        <v>55.73</v>
      </c>
      <c r="EJ101" s="2442">
        <f t="shared" ref="EJ101:ER101" si="649">SUM(EJ14+EJ24+EJ30+EJ39)</f>
        <v>14597.672423611686</v>
      </c>
      <c r="EK101" s="2442">
        <f t="shared" si="649"/>
        <v>14554.78189312625</v>
      </c>
      <c r="EL101" s="2442">
        <f t="shared" si="649"/>
        <v>42.890530485436898</v>
      </c>
      <c r="EM101" s="4849">
        <f t="shared" ref="EM101:EO101" si="650">SUM(EM14+EM24+EM30+EM39)</f>
        <v>6096.0319999999992</v>
      </c>
      <c r="EN101" s="4849">
        <f t="shared" si="650"/>
        <v>6077.6959999999999</v>
      </c>
      <c r="EO101" s="4849">
        <f t="shared" si="650"/>
        <v>18.335999999999999</v>
      </c>
      <c r="EP101" s="4849">
        <f t="shared" si="649"/>
        <v>12219.514999999999</v>
      </c>
      <c r="EQ101" s="4849">
        <f t="shared" si="649"/>
        <v>12179.416999999998</v>
      </c>
      <c r="ER101" s="4849">
        <f t="shared" si="649"/>
        <v>40.097999999999999</v>
      </c>
    </row>
    <row r="102" spans="1:148" ht="27" customHeight="1" x14ac:dyDescent="0.2">
      <c r="A102" s="3191" t="s">
        <v>8</v>
      </c>
      <c r="B102" s="3191"/>
      <c r="C102" s="3191"/>
      <c r="D102" s="3191"/>
      <c r="E102" s="3191"/>
      <c r="F102" s="3191"/>
      <c r="G102" s="3191"/>
      <c r="H102" s="3191"/>
      <c r="I102" s="3191"/>
      <c r="J102" s="3191"/>
      <c r="K102" s="3191"/>
      <c r="L102" s="3191"/>
      <c r="M102" s="3191"/>
      <c r="N102" s="3191"/>
      <c r="O102" s="3191"/>
      <c r="P102" s="3191"/>
      <c r="Q102" s="3191"/>
      <c r="R102" s="3191"/>
      <c r="S102" s="3191"/>
      <c r="T102" s="3191"/>
      <c r="U102" s="3191"/>
      <c r="V102" s="3191"/>
      <c r="W102" s="2578">
        <f>SUM(W19)</f>
        <v>598.5</v>
      </c>
      <c r="X102" s="3191"/>
      <c r="Y102" s="2578">
        <f t="shared" ref="Y102:AE102" si="651">SUM(Y19)</f>
        <v>489.28469176470583</v>
      </c>
      <c r="Z102" s="2578" t="e">
        <f t="shared" si="651"/>
        <v>#REF!</v>
      </c>
      <c r="AA102" s="2578" t="e">
        <f t="shared" si="651"/>
        <v>#REF!</v>
      </c>
      <c r="AB102" s="2578">
        <f t="shared" si="651"/>
        <v>368.69950000000006</v>
      </c>
      <c r="AC102" s="2578">
        <f t="shared" si="651"/>
        <v>365.49636873597615</v>
      </c>
      <c r="AD102" s="2578">
        <f t="shared" si="651"/>
        <v>3.2031312640239094</v>
      </c>
      <c r="AE102" s="2578">
        <f t="shared" si="651"/>
        <v>473.71</v>
      </c>
      <c r="AF102" s="3740">
        <f t="shared" si="598"/>
        <v>0.96816844665928026</v>
      </c>
      <c r="AG102" s="2578">
        <f>SUM(AG19)</f>
        <v>469.69</v>
      </c>
      <c r="AH102" s="2578">
        <f>SUM(AH19)</f>
        <v>4.01</v>
      </c>
      <c r="AI102" s="2578">
        <f>SUM(AI19)</f>
        <v>406.01364163361512</v>
      </c>
      <c r="AJ102" s="3740">
        <f t="shared" si="599"/>
        <v>0.82981063676699851</v>
      </c>
      <c r="AK102" s="2578" t="e">
        <f t="shared" ref="AK102:AV102" si="652">SUM(AK19)</f>
        <v>#REF!</v>
      </c>
      <c r="AL102" s="2578" t="e">
        <f t="shared" si="652"/>
        <v>#REF!</v>
      </c>
      <c r="AM102" s="2578" t="e">
        <f t="shared" si="652"/>
        <v>#REF!</v>
      </c>
      <c r="AN102" s="2578" t="e">
        <f t="shared" si="652"/>
        <v>#REF!</v>
      </c>
      <c r="AO102" s="2578" t="e">
        <f t="shared" si="652"/>
        <v>#REF!</v>
      </c>
      <c r="AP102" s="2578">
        <f t="shared" si="652"/>
        <v>0</v>
      </c>
      <c r="AQ102" s="2578">
        <f t="shared" si="652"/>
        <v>0</v>
      </c>
      <c r="AR102" s="2578">
        <f t="shared" si="652"/>
        <v>0</v>
      </c>
      <c r="AS102" s="2578">
        <f t="shared" si="652"/>
        <v>0</v>
      </c>
      <c r="AT102" s="2578">
        <f t="shared" si="652"/>
        <v>0</v>
      </c>
      <c r="AU102" s="2578">
        <f t="shared" si="652"/>
        <v>0</v>
      </c>
      <c r="AV102" s="2578">
        <f t="shared" si="652"/>
        <v>347.67</v>
      </c>
      <c r="AW102" s="3741">
        <f t="shared" si="601"/>
        <v>0.8563012774672627</v>
      </c>
      <c r="AX102" s="2578">
        <f>SUM(AX19)</f>
        <v>344.86701698819468</v>
      </c>
      <c r="AY102" s="2578">
        <f>SUM(AY19)</f>
        <v>2.8029830118053383</v>
      </c>
      <c r="AZ102" s="2578">
        <f>SUM(AZ19)</f>
        <v>229.75931518119856</v>
      </c>
      <c r="BA102" s="3741">
        <f t="shared" si="602"/>
        <v>0.56589062933144574</v>
      </c>
      <c r="BB102" s="2578">
        <f t="shared" ref="BB102:BX102" si="653">SUM(BB19)</f>
        <v>176.75931518119856</v>
      </c>
      <c r="BC102" s="2578">
        <f t="shared" si="653"/>
        <v>53</v>
      </c>
      <c r="BD102" s="2578">
        <f t="shared" si="653"/>
        <v>652.05999999999995</v>
      </c>
      <c r="BE102" s="2578">
        <f t="shared" si="653"/>
        <v>647.66</v>
      </c>
      <c r="BF102" s="2578">
        <f t="shared" si="653"/>
        <v>4.4000000000000004</v>
      </c>
      <c r="BG102" s="2578">
        <f t="shared" si="653"/>
        <v>806.69</v>
      </c>
      <c r="BH102" s="2578">
        <f t="shared" si="653"/>
        <v>801.84</v>
      </c>
      <c r="BI102" s="2578">
        <f t="shared" si="653"/>
        <v>4.8499999999999996</v>
      </c>
      <c r="BJ102" s="2578">
        <f t="shared" si="653"/>
        <v>326.33999999999997</v>
      </c>
      <c r="BK102" s="2578">
        <f t="shared" si="653"/>
        <v>324.02</v>
      </c>
      <c r="BL102" s="2578">
        <f t="shared" si="653"/>
        <v>2.3199999999999998</v>
      </c>
      <c r="BM102" s="2578">
        <f t="shared" si="653"/>
        <v>400.76</v>
      </c>
      <c r="BN102" s="2578">
        <f t="shared" si="653"/>
        <v>398.44</v>
      </c>
      <c r="BO102" s="2578">
        <f t="shared" si="653"/>
        <v>2.3199999999999998</v>
      </c>
      <c r="BP102" s="2578">
        <f t="shared" si="653"/>
        <v>876.38</v>
      </c>
      <c r="BQ102" s="2578">
        <f t="shared" si="653"/>
        <v>871.27</v>
      </c>
      <c r="BR102" s="2578">
        <f t="shared" si="653"/>
        <v>5.1100000000000003</v>
      </c>
      <c r="BS102" s="2578">
        <f t="shared" si="653"/>
        <v>1110.5582713405854</v>
      </c>
      <c r="BT102" s="2578">
        <f t="shared" si="653"/>
        <v>1110.5582713405854</v>
      </c>
      <c r="BU102" s="2578">
        <f t="shared" si="653"/>
        <v>0</v>
      </c>
      <c r="BV102" s="2578">
        <f t="shared" si="653"/>
        <v>1200.5099789137807</v>
      </c>
      <c r="BW102" s="2578">
        <f t="shared" si="653"/>
        <v>1193.4871365157173</v>
      </c>
      <c r="BX102" s="2578">
        <f t="shared" si="653"/>
        <v>7.0228423980634549</v>
      </c>
      <c r="BY102" s="1726"/>
      <c r="BZ102" s="3735"/>
      <c r="CA102" s="3735"/>
      <c r="CB102" s="3735"/>
      <c r="CC102" s="3735"/>
      <c r="CD102" s="3735"/>
      <c r="CE102" s="3735"/>
      <c r="CF102" s="3735"/>
      <c r="CG102" s="3735"/>
      <c r="CH102" s="3735"/>
      <c r="CI102" s="3735"/>
      <c r="CJ102" s="3735"/>
      <c r="CK102" s="2578">
        <f t="shared" ref="CK102:DQ102" si="654">SUM(CK19)</f>
        <v>1200.5099789137807</v>
      </c>
      <c r="CL102" s="2578">
        <f t="shared" si="654"/>
        <v>1200.5099789137807</v>
      </c>
      <c r="CM102" s="2578">
        <f t="shared" si="654"/>
        <v>0</v>
      </c>
      <c r="CN102" s="2578">
        <f t="shared" si="654"/>
        <v>293.62099000000001</v>
      </c>
      <c r="CO102" s="2578">
        <f t="shared" si="654"/>
        <v>293.62099000000001</v>
      </c>
      <c r="CP102" s="2578">
        <f t="shared" si="654"/>
        <v>0</v>
      </c>
      <c r="CQ102" s="2578">
        <f t="shared" si="654"/>
        <v>489.59906000000007</v>
      </c>
      <c r="CR102" s="2578">
        <f t="shared" si="654"/>
        <v>489.59906000000007</v>
      </c>
      <c r="CS102" s="2578">
        <f t="shared" si="654"/>
        <v>0</v>
      </c>
      <c r="CT102" s="2578">
        <f t="shared" si="654"/>
        <v>719.07300000000009</v>
      </c>
      <c r="CU102" s="2578">
        <f t="shared" si="654"/>
        <v>719.07300000000009</v>
      </c>
      <c r="CV102" s="2578">
        <f t="shared" si="654"/>
        <v>0</v>
      </c>
      <c r="CW102" s="2578">
        <f t="shared" si="654"/>
        <v>1153.7005431992195</v>
      </c>
      <c r="CX102" s="2578">
        <f t="shared" si="654"/>
        <v>1153.7005431992195</v>
      </c>
      <c r="CY102" s="2578">
        <f t="shared" si="654"/>
        <v>0</v>
      </c>
      <c r="CZ102" s="2578">
        <f t="shared" si="654"/>
        <v>1163.7272205416152</v>
      </c>
      <c r="DA102" s="2578">
        <f t="shared" si="654"/>
        <v>1163.7272205416152</v>
      </c>
      <c r="DB102" s="2578">
        <f t="shared" si="654"/>
        <v>0</v>
      </c>
      <c r="DC102" s="2578">
        <f t="shared" si="654"/>
        <v>821.90519000000006</v>
      </c>
      <c r="DD102" s="2578">
        <f t="shared" si="654"/>
        <v>821.90519000000006</v>
      </c>
      <c r="DE102" s="2578">
        <f t="shared" si="654"/>
        <v>0</v>
      </c>
      <c r="DF102" s="2578">
        <f t="shared" si="654"/>
        <v>1732.74702</v>
      </c>
      <c r="DG102" s="2578">
        <f t="shared" si="654"/>
        <v>1732.74702</v>
      </c>
      <c r="DH102" s="2578">
        <f t="shared" si="654"/>
        <v>0</v>
      </c>
      <c r="DI102" s="2578">
        <f t="shared" si="654"/>
        <v>1908.4353599999997</v>
      </c>
      <c r="DJ102" s="2578">
        <f t="shared" si="654"/>
        <v>1908.4353599999997</v>
      </c>
      <c r="DK102" s="2578">
        <f t="shared" si="654"/>
        <v>0</v>
      </c>
      <c r="DL102" s="2578">
        <f t="shared" si="654"/>
        <v>2180.210805943962</v>
      </c>
      <c r="DM102" s="2578">
        <f t="shared" si="654"/>
        <v>2180.210805943962</v>
      </c>
      <c r="DN102" s="2578">
        <f t="shared" si="654"/>
        <v>0</v>
      </c>
      <c r="DO102" s="2578">
        <f t="shared" si="654"/>
        <v>1231.8494878691774</v>
      </c>
      <c r="DP102" s="2578">
        <f t="shared" si="654"/>
        <v>1231.8494878691774</v>
      </c>
      <c r="DQ102" s="2578">
        <f t="shared" si="654"/>
        <v>0</v>
      </c>
      <c r="DR102" s="2578">
        <f t="shared" ref="DR102:DT102" si="655">SUM(DR19)</f>
        <v>405.68701999999996</v>
      </c>
      <c r="DS102" s="2578">
        <f t="shared" si="655"/>
        <v>405.68701999999996</v>
      </c>
      <c r="DT102" s="2578">
        <f t="shared" si="655"/>
        <v>0</v>
      </c>
      <c r="DU102" s="2578">
        <f t="shared" ref="DU102:DW102" si="656">SUM(DU19)</f>
        <v>530.97896000000003</v>
      </c>
      <c r="DV102" s="2578">
        <f t="shared" si="656"/>
        <v>530.97896000000003</v>
      </c>
      <c r="DW102" s="2578">
        <f t="shared" si="656"/>
        <v>0</v>
      </c>
      <c r="DX102" s="2578">
        <f t="shared" ref="DX102:EF102" si="657">SUM(DX19)</f>
        <v>609.7087600000001</v>
      </c>
      <c r="DY102" s="2578">
        <f t="shared" si="657"/>
        <v>609.7087600000001</v>
      </c>
      <c r="DZ102" s="2578">
        <f t="shared" si="657"/>
        <v>0</v>
      </c>
      <c r="EA102" s="2442">
        <f t="shared" si="657"/>
        <v>1380.5665172067152</v>
      </c>
      <c r="EB102" s="2442">
        <f t="shared" si="657"/>
        <v>1380.5665172067152</v>
      </c>
      <c r="EC102" s="2442">
        <f t="shared" si="657"/>
        <v>0</v>
      </c>
      <c r="ED102" s="3961">
        <f t="shared" si="657"/>
        <v>0</v>
      </c>
      <c r="EE102" s="3961">
        <f t="shared" si="657"/>
        <v>0</v>
      </c>
      <c r="EF102" s="3961">
        <f t="shared" si="657"/>
        <v>0</v>
      </c>
      <c r="EG102" s="2442">
        <f t="shared" ref="EG102:EI102" si="658">SUM(EG19)</f>
        <v>1541.5790439547163</v>
      </c>
      <c r="EH102" s="2442">
        <f t="shared" si="658"/>
        <v>1541.5790439547163</v>
      </c>
      <c r="EI102" s="2442">
        <f t="shared" si="658"/>
        <v>0</v>
      </c>
      <c r="EJ102" s="2442">
        <f t="shared" ref="EJ102:ER102" si="659">SUM(EJ19)</f>
        <v>1445.684547947367</v>
      </c>
      <c r="EK102" s="2442">
        <f t="shared" si="659"/>
        <v>1445.684547947367</v>
      </c>
      <c r="EL102" s="2442">
        <f t="shared" si="659"/>
        <v>0</v>
      </c>
      <c r="EM102" s="4849">
        <f t="shared" ref="EM102:EO102" si="660">SUM(EM19)</f>
        <v>328.28644000000003</v>
      </c>
      <c r="EN102" s="4849">
        <f t="shared" si="660"/>
        <v>328.28644000000003</v>
      </c>
      <c r="EO102" s="4849">
        <f t="shared" si="660"/>
        <v>0</v>
      </c>
      <c r="EP102" s="4849">
        <f t="shared" si="659"/>
        <v>666.09566000000007</v>
      </c>
      <c r="EQ102" s="4849">
        <f t="shared" si="659"/>
        <v>666.09566000000007</v>
      </c>
      <c r="ER102" s="4849">
        <f t="shared" si="659"/>
        <v>0</v>
      </c>
    </row>
    <row r="103" spans="1:148" ht="27" customHeight="1" x14ac:dyDescent="0.2">
      <c r="A103" s="3191" t="s">
        <v>6</v>
      </c>
      <c r="B103" s="3191"/>
      <c r="C103" s="3191"/>
      <c r="D103" s="3191"/>
      <c r="E103" s="3191"/>
      <c r="F103" s="3191"/>
      <c r="G103" s="3191"/>
      <c r="H103" s="3191"/>
      <c r="I103" s="3191"/>
      <c r="J103" s="3191"/>
      <c r="K103" s="3191"/>
      <c r="L103" s="3191"/>
      <c r="M103" s="3191"/>
      <c r="N103" s="3191"/>
      <c r="O103" s="3191"/>
      <c r="P103" s="3191"/>
      <c r="Q103" s="3191"/>
      <c r="R103" s="3191"/>
      <c r="S103" s="3191"/>
      <c r="T103" s="3191"/>
      <c r="U103" s="3191"/>
      <c r="V103" s="3191"/>
      <c r="W103" s="2578">
        <f>SUM(W16+W26+W33+W41)</f>
        <v>15828.930000000002</v>
      </c>
      <c r="X103" s="3191"/>
      <c r="Y103" s="2578">
        <f t="shared" ref="Y103:AE103" si="661">SUM(Y16+Y26+Y33+Y41)</f>
        <v>12442.203000734</v>
      </c>
      <c r="Z103" s="2578" t="e">
        <f t="shared" si="661"/>
        <v>#REF!</v>
      </c>
      <c r="AA103" s="2578" t="e">
        <f t="shared" si="661"/>
        <v>#REF!</v>
      </c>
      <c r="AB103" s="2578">
        <f t="shared" si="661"/>
        <v>9629.5999999999985</v>
      </c>
      <c r="AC103" s="2578">
        <f t="shared" si="661"/>
        <v>9572.4743743167819</v>
      </c>
      <c r="AD103" s="2578">
        <f t="shared" si="661"/>
        <v>57.125625683217095</v>
      </c>
      <c r="AE103" s="2578">
        <f t="shared" si="661"/>
        <v>11471.480000000001</v>
      </c>
      <c r="AF103" s="3740">
        <f t="shared" si="598"/>
        <v>0.92198142075991418</v>
      </c>
      <c r="AG103" s="2578">
        <f>SUM(AG16+AG26+AG33+AG41)</f>
        <v>11557.82</v>
      </c>
      <c r="AH103" s="2578">
        <f>SUM(AH16+AH26+AH33+AH41)</f>
        <v>63.04</v>
      </c>
      <c r="AI103" s="2578">
        <f>SUM(AI16+AI26+AI33+AI41)</f>
        <v>11755.79772460473</v>
      </c>
      <c r="AJ103" s="3740">
        <f t="shared" si="599"/>
        <v>0.94483249661745783</v>
      </c>
      <c r="AK103" s="2578">
        <f t="shared" ref="AK103:AV103" si="662">SUM(AK16+AK26+AK33+AK41)</f>
        <v>11755.79772460473</v>
      </c>
      <c r="AL103" s="2578">
        <f t="shared" si="662"/>
        <v>0</v>
      </c>
      <c r="AM103" s="2578" t="e">
        <f t="shared" si="662"/>
        <v>#REF!</v>
      </c>
      <c r="AN103" s="2578" t="e">
        <f t="shared" si="662"/>
        <v>#REF!</v>
      </c>
      <c r="AO103" s="2578" t="e">
        <f t="shared" si="662"/>
        <v>#REF!</v>
      </c>
      <c r="AP103" s="2578">
        <f t="shared" si="662"/>
        <v>5218.3</v>
      </c>
      <c r="AQ103" s="2578">
        <f t="shared" si="662"/>
        <v>5197.2958760788633</v>
      </c>
      <c r="AR103" s="2578">
        <f t="shared" si="662"/>
        <v>21.004123921137079</v>
      </c>
      <c r="AS103" s="2578">
        <f t="shared" si="662"/>
        <v>7835.48</v>
      </c>
      <c r="AT103" s="2578">
        <f t="shared" si="662"/>
        <v>7797.8574979049517</v>
      </c>
      <c r="AU103" s="2578">
        <f t="shared" si="662"/>
        <v>37.622502095048617</v>
      </c>
      <c r="AV103" s="2578">
        <f t="shared" si="662"/>
        <v>14672.54</v>
      </c>
      <c r="AW103" s="3741">
        <f t="shared" si="601"/>
        <v>1.2481109613931658</v>
      </c>
      <c r="AX103" s="2578">
        <f>SUM(AX16+AX26+AX33+AX41)</f>
        <v>14591.76463576159</v>
      </c>
      <c r="AY103" s="2578">
        <f>SUM(AY16+AY26+AY33+AY41)</f>
        <v>80.775364238410816</v>
      </c>
      <c r="AZ103" s="2578">
        <f>SUM(AZ16+AZ26+AZ33+AZ41)</f>
        <v>11227.765899893006</v>
      </c>
      <c r="BA103" s="3741">
        <f t="shared" si="602"/>
        <v>0.95508328425840805</v>
      </c>
      <c r="BB103" s="2578">
        <f t="shared" ref="BB103:BX103" si="663">SUM(BB16+BB26+BB33+BB41)</f>
        <v>11185.867697491109</v>
      </c>
      <c r="BC103" s="2578">
        <f t="shared" si="663"/>
        <v>41.898202401897947</v>
      </c>
      <c r="BD103" s="2578">
        <f t="shared" si="663"/>
        <v>12280.869999999999</v>
      </c>
      <c r="BE103" s="2578">
        <f t="shared" si="663"/>
        <v>12220.83</v>
      </c>
      <c r="BF103" s="2578">
        <f t="shared" si="663"/>
        <v>60.04</v>
      </c>
      <c r="BG103" s="2578">
        <f t="shared" si="663"/>
        <v>10753.27</v>
      </c>
      <c r="BH103" s="2578">
        <f t="shared" si="663"/>
        <v>10704.22</v>
      </c>
      <c r="BI103" s="2578">
        <f t="shared" si="663"/>
        <v>49.05</v>
      </c>
      <c r="BJ103" s="2578">
        <f t="shared" si="663"/>
        <v>11723.954</v>
      </c>
      <c r="BK103" s="2578">
        <f t="shared" si="663"/>
        <v>11669.854000000001</v>
      </c>
      <c r="BL103" s="2578">
        <f t="shared" si="663"/>
        <v>54.1</v>
      </c>
      <c r="BM103" s="2578">
        <f t="shared" si="663"/>
        <v>12824.880000000001</v>
      </c>
      <c r="BN103" s="2578">
        <f t="shared" si="663"/>
        <v>12775.09</v>
      </c>
      <c r="BO103" s="2578">
        <f t="shared" si="663"/>
        <v>49.79</v>
      </c>
      <c r="BP103" s="2578">
        <f t="shared" si="663"/>
        <v>19516.07</v>
      </c>
      <c r="BQ103" s="2578">
        <f t="shared" si="663"/>
        <v>19429.240000000002</v>
      </c>
      <c r="BR103" s="2578">
        <f t="shared" si="663"/>
        <v>86.83</v>
      </c>
      <c r="BS103" s="2578">
        <f t="shared" si="663"/>
        <v>14371.431394092624</v>
      </c>
      <c r="BT103" s="2578">
        <f t="shared" si="663"/>
        <v>14314.945466205969</v>
      </c>
      <c r="BU103" s="2578">
        <f t="shared" si="663"/>
        <v>56.485927886655645</v>
      </c>
      <c r="BV103" s="2578">
        <f t="shared" si="663"/>
        <v>17319.284835073388</v>
      </c>
      <c r="BW103" s="2578">
        <f t="shared" si="663"/>
        <v>17251.374738893439</v>
      </c>
      <c r="BX103" s="2578">
        <f t="shared" si="663"/>
        <v>67.910096179951125</v>
      </c>
      <c r="BY103" s="1726"/>
      <c r="BZ103" s="3735"/>
      <c r="CA103" s="3735"/>
      <c r="CB103" s="3735"/>
      <c r="CC103" s="3735"/>
      <c r="CD103" s="3735"/>
      <c r="CE103" s="3735"/>
      <c r="CF103" s="3735"/>
      <c r="CG103" s="3735"/>
      <c r="CH103" s="3735"/>
      <c r="CI103" s="3735"/>
      <c r="CJ103" s="3735"/>
      <c r="CK103" s="2578">
        <f t="shared" ref="CK103:DQ103" si="664">SUM(CK16+CK26+CK33+CK41)</f>
        <v>14654.548592556243</v>
      </c>
      <c r="CL103" s="2578">
        <f t="shared" si="664"/>
        <v>14606.73404310305</v>
      </c>
      <c r="CM103" s="2578">
        <f t="shared" si="664"/>
        <v>47.82</v>
      </c>
      <c r="CN103" s="2578">
        <f t="shared" si="664"/>
        <v>6429.56</v>
      </c>
      <c r="CO103" s="2578">
        <f t="shared" si="664"/>
        <v>6429.56</v>
      </c>
      <c r="CP103" s="2578">
        <f t="shared" si="664"/>
        <v>0</v>
      </c>
      <c r="CQ103" s="2578">
        <f t="shared" si="664"/>
        <v>9180.98</v>
      </c>
      <c r="CR103" s="2578">
        <f t="shared" si="664"/>
        <v>9180.98</v>
      </c>
      <c r="CS103" s="2578">
        <f t="shared" si="664"/>
        <v>0</v>
      </c>
      <c r="CT103" s="2578">
        <f t="shared" si="664"/>
        <v>12829.41</v>
      </c>
      <c r="CU103" s="2578">
        <f t="shared" si="664"/>
        <v>12829.41</v>
      </c>
      <c r="CV103" s="2578">
        <f t="shared" si="664"/>
        <v>0</v>
      </c>
      <c r="CW103" s="2578">
        <f t="shared" si="664"/>
        <v>18816.615670943429</v>
      </c>
      <c r="CX103" s="2578">
        <f t="shared" si="664"/>
        <v>18816.615670943429</v>
      </c>
      <c r="CY103" s="2578">
        <f t="shared" si="664"/>
        <v>0</v>
      </c>
      <c r="CZ103" s="2578">
        <f t="shared" si="664"/>
        <v>19571.552924692078</v>
      </c>
      <c r="DA103" s="2578">
        <f t="shared" si="664"/>
        <v>19571.552924692078</v>
      </c>
      <c r="DB103" s="2578">
        <f t="shared" si="664"/>
        <v>0</v>
      </c>
      <c r="DC103" s="2578">
        <f t="shared" si="664"/>
        <v>6655.04</v>
      </c>
      <c r="DD103" s="2578">
        <f t="shared" si="664"/>
        <v>6655.04</v>
      </c>
      <c r="DE103" s="2578">
        <f t="shared" si="664"/>
        <v>0</v>
      </c>
      <c r="DF103" s="2578">
        <f t="shared" si="664"/>
        <v>9977.4500000000007</v>
      </c>
      <c r="DG103" s="2578">
        <f t="shared" si="664"/>
        <v>9977.4500000000007</v>
      </c>
      <c r="DH103" s="2578">
        <f t="shared" si="664"/>
        <v>0</v>
      </c>
      <c r="DI103" s="2578">
        <f t="shared" si="664"/>
        <v>13646.76</v>
      </c>
      <c r="DJ103" s="2578">
        <f t="shared" si="664"/>
        <v>13646.76</v>
      </c>
      <c r="DK103" s="2578">
        <f t="shared" si="664"/>
        <v>0</v>
      </c>
      <c r="DL103" s="2578">
        <f t="shared" si="664"/>
        <v>21325.90471035818</v>
      </c>
      <c r="DM103" s="2578">
        <f t="shared" si="664"/>
        <v>21325.90471035818</v>
      </c>
      <c r="DN103" s="2578">
        <f t="shared" si="664"/>
        <v>0</v>
      </c>
      <c r="DO103" s="2578">
        <f t="shared" si="664"/>
        <v>21227.672382702338</v>
      </c>
      <c r="DP103" s="2578">
        <f t="shared" si="664"/>
        <v>21227.672382702338</v>
      </c>
      <c r="DQ103" s="2578">
        <f t="shared" si="664"/>
        <v>0</v>
      </c>
      <c r="DR103" s="2578">
        <f t="shared" ref="DR103:DT103" si="665">SUM(DR16+DR26+DR33+DR41)</f>
        <v>7901.7060000000001</v>
      </c>
      <c r="DS103" s="2578">
        <f t="shared" si="665"/>
        <v>7901.7060000000001</v>
      </c>
      <c r="DT103" s="2578">
        <f t="shared" si="665"/>
        <v>0</v>
      </c>
      <c r="DU103" s="2578">
        <f t="shared" ref="DU103:DW103" si="666">SUM(DU16+DU26+DU33+DU41)</f>
        <v>11757.517</v>
      </c>
      <c r="DV103" s="2578">
        <f t="shared" si="666"/>
        <v>11757.517</v>
      </c>
      <c r="DW103" s="2578">
        <f t="shared" si="666"/>
        <v>0</v>
      </c>
      <c r="DX103" s="2578">
        <f t="shared" ref="DX103:EF103" si="667">SUM(DX16+DX26+DX33+DX41)</f>
        <v>15527.403999999999</v>
      </c>
      <c r="DY103" s="2578">
        <f t="shared" si="667"/>
        <v>15527.403999999999</v>
      </c>
      <c r="DZ103" s="2578">
        <f t="shared" si="667"/>
        <v>0</v>
      </c>
      <c r="EA103" s="2442">
        <f t="shared" si="667"/>
        <v>23303.343456098602</v>
      </c>
      <c r="EB103" s="2442">
        <f t="shared" si="667"/>
        <v>23303.343456098602</v>
      </c>
      <c r="EC103" s="2442">
        <f t="shared" si="667"/>
        <v>0</v>
      </c>
      <c r="ED103" s="3961">
        <f t="shared" si="667"/>
        <v>0</v>
      </c>
      <c r="EE103" s="3961">
        <f t="shared" si="667"/>
        <v>0</v>
      </c>
      <c r="EF103" s="3961">
        <f t="shared" si="667"/>
        <v>0</v>
      </c>
      <c r="EG103" s="2442">
        <f t="shared" ref="EG103:EI103" si="668">SUM(EG16+EG26+EG33+EG41)</f>
        <v>23303.343456098602</v>
      </c>
      <c r="EH103" s="2442">
        <f t="shared" si="668"/>
        <v>23303.343456098602</v>
      </c>
      <c r="EI103" s="2442">
        <f t="shared" si="668"/>
        <v>0</v>
      </c>
      <c r="EJ103" s="2442">
        <f t="shared" ref="EJ103:ER103" si="669">SUM(EJ16+EJ26+EJ33+EJ41)</f>
        <v>24400.377895789257</v>
      </c>
      <c r="EK103" s="2442">
        <f t="shared" si="669"/>
        <v>24400.377895789257</v>
      </c>
      <c r="EL103" s="2442">
        <f t="shared" si="669"/>
        <v>0</v>
      </c>
      <c r="EM103" s="4849">
        <f t="shared" ref="EM103:EO103" si="670">SUM(EM16+EM26+EM33+EM41)</f>
        <v>8823.5470000000005</v>
      </c>
      <c r="EN103" s="4849">
        <f t="shared" si="670"/>
        <v>8823.5470000000005</v>
      </c>
      <c r="EO103" s="4849">
        <f t="shared" si="670"/>
        <v>0</v>
      </c>
      <c r="EP103" s="4849">
        <f t="shared" si="669"/>
        <v>18377.400999999998</v>
      </c>
      <c r="EQ103" s="4849">
        <f t="shared" si="669"/>
        <v>18377.400999999998</v>
      </c>
      <c r="ER103" s="4849">
        <f t="shared" si="669"/>
        <v>0</v>
      </c>
    </row>
    <row r="104" spans="1:148" ht="27" customHeight="1" x14ac:dyDescent="0.2">
      <c r="A104" s="3191" t="s">
        <v>10</v>
      </c>
      <c r="B104" s="3191"/>
      <c r="C104" s="3191"/>
      <c r="D104" s="3191"/>
      <c r="E104" s="3191"/>
      <c r="F104" s="3191"/>
      <c r="G104" s="3191"/>
      <c r="H104" s="3191"/>
      <c r="I104" s="3191"/>
      <c r="J104" s="3191"/>
      <c r="K104" s="3191"/>
      <c r="L104" s="3191"/>
      <c r="M104" s="3191"/>
      <c r="N104" s="3191"/>
      <c r="O104" s="3191"/>
      <c r="P104" s="3191"/>
      <c r="Q104" s="3191"/>
      <c r="R104" s="3191"/>
      <c r="S104" s="3191"/>
      <c r="T104" s="3191"/>
      <c r="U104" s="3191"/>
      <c r="V104" s="3191"/>
      <c r="W104" s="2578">
        <f>SUM(W42)</f>
        <v>2157</v>
      </c>
      <c r="X104" s="3191"/>
      <c r="Y104" s="2578">
        <f t="shared" ref="Y104:AE104" si="671">SUM(Y42)</f>
        <v>1927.84</v>
      </c>
      <c r="Z104" s="2578">
        <f t="shared" si="671"/>
        <v>1927.04</v>
      </c>
      <c r="AA104" s="2578">
        <f t="shared" si="671"/>
        <v>0.8</v>
      </c>
      <c r="AB104" s="2578">
        <f t="shared" si="671"/>
        <v>1970.4</v>
      </c>
      <c r="AC104" s="2578">
        <f t="shared" si="671"/>
        <v>1969.1630113342155</v>
      </c>
      <c r="AD104" s="2578">
        <f t="shared" si="671"/>
        <v>1.2369886657844305</v>
      </c>
      <c r="AE104" s="2578">
        <f t="shared" si="671"/>
        <v>1927.84</v>
      </c>
      <c r="AF104" s="3740">
        <f t="shared" si="598"/>
        <v>1</v>
      </c>
      <c r="AG104" s="2578">
        <f>SUM(AG42)</f>
        <v>1927.04</v>
      </c>
      <c r="AH104" s="2578">
        <f>SUM(AH42)</f>
        <v>0.8</v>
      </c>
      <c r="AI104" s="2578">
        <f>SUM(AI42)</f>
        <v>1927.84</v>
      </c>
      <c r="AJ104" s="3740">
        <f t="shared" si="599"/>
        <v>1</v>
      </c>
      <c r="AK104" s="2578">
        <f t="shared" ref="AK104:AV104" si="672">SUM(AK42)</f>
        <v>1927.04</v>
      </c>
      <c r="AL104" s="2578">
        <f t="shared" si="672"/>
        <v>0.8</v>
      </c>
      <c r="AM104" s="2578" t="e">
        <f t="shared" si="672"/>
        <v>#REF!</v>
      </c>
      <c r="AN104" s="2578" t="e">
        <f t="shared" si="672"/>
        <v>#REF!</v>
      </c>
      <c r="AO104" s="2578" t="e">
        <f t="shared" si="672"/>
        <v>#REF!</v>
      </c>
      <c r="AP104" s="2578">
        <f t="shared" si="672"/>
        <v>209.94</v>
      </c>
      <c r="AQ104" s="2578">
        <f t="shared" si="672"/>
        <v>209.88906688054394</v>
      </c>
      <c r="AR104" s="2578">
        <f t="shared" si="672"/>
        <v>5.0933119456050946E-2</v>
      </c>
      <c r="AS104" s="2578">
        <f t="shared" si="672"/>
        <v>1548.24</v>
      </c>
      <c r="AT104" s="2578">
        <f t="shared" si="672"/>
        <v>1539.1544341812178</v>
      </c>
      <c r="AU104" s="2578">
        <f t="shared" si="672"/>
        <v>9.0855658187824382</v>
      </c>
      <c r="AV104" s="2578">
        <f t="shared" si="672"/>
        <v>2116.7799999999997</v>
      </c>
      <c r="AW104" s="3741">
        <f t="shared" si="601"/>
        <v>1.0980060585940741</v>
      </c>
      <c r="AX104" s="2578">
        <f>SUM(AX42)</f>
        <v>2103.3719090123814</v>
      </c>
      <c r="AY104" s="2578">
        <f>SUM(AY42)</f>
        <v>13.408090987618772</v>
      </c>
      <c r="AZ104" s="2578">
        <f>SUM(AZ42)</f>
        <v>1684.7746853333333</v>
      </c>
      <c r="BA104" s="3741">
        <f t="shared" si="602"/>
        <v>0.87391831548952892</v>
      </c>
      <c r="BB104" s="2578">
        <f t="shared" ref="BB104:BX104" si="673">SUM(BB42)</f>
        <v>1676.7703977774761</v>
      </c>
      <c r="BC104" s="2578">
        <f t="shared" si="673"/>
        <v>8.0042875558570898</v>
      </c>
      <c r="BD104" s="2578">
        <f t="shared" si="673"/>
        <v>3612.81</v>
      </c>
      <c r="BE104" s="2578">
        <f t="shared" si="673"/>
        <v>3603.6299999999997</v>
      </c>
      <c r="BF104" s="2578">
        <f t="shared" si="673"/>
        <v>9.18</v>
      </c>
      <c r="BG104" s="2578">
        <f t="shared" si="673"/>
        <v>1274.3600000000001</v>
      </c>
      <c r="BH104" s="2578">
        <f t="shared" si="673"/>
        <v>1266.71</v>
      </c>
      <c r="BI104" s="2578">
        <f t="shared" si="673"/>
        <v>7.6499999999999995</v>
      </c>
      <c r="BJ104" s="2578">
        <f t="shared" si="673"/>
        <v>1513.4680000000001</v>
      </c>
      <c r="BK104" s="2578">
        <f t="shared" si="673"/>
        <v>1502.7640000000001</v>
      </c>
      <c r="BL104" s="2578">
        <f t="shared" si="673"/>
        <v>10.704000000000001</v>
      </c>
      <c r="BM104" s="2578">
        <f t="shared" si="673"/>
        <v>1372.646</v>
      </c>
      <c r="BN104" s="2578">
        <f t="shared" si="673"/>
        <v>1364.6959999999999</v>
      </c>
      <c r="BO104" s="2578">
        <f t="shared" si="673"/>
        <v>7.95</v>
      </c>
      <c r="BP104" s="2578">
        <f t="shared" si="673"/>
        <v>5916.76</v>
      </c>
      <c r="BQ104" s="2578">
        <f t="shared" si="673"/>
        <v>5882.2799999999988</v>
      </c>
      <c r="BR104" s="2578">
        <f t="shared" si="673"/>
        <v>34.480000000000004</v>
      </c>
      <c r="BS104" s="2578">
        <f t="shared" si="673"/>
        <v>1009.6659076200001</v>
      </c>
      <c r="BT104" s="2578">
        <f t="shared" si="673"/>
        <v>1003.7495993986286</v>
      </c>
      <c r="BU104" s="2578">
        <f t="shared" si="673"/>
        <v>5.9163082213716169</v>
      </c>
      <c r="BV104" s="2578">
        <f t="shared" si="673"/>
        <v>1015.2016110307974</v>
      </c>
      <c r="BW104" s="2578">
        <f t="shared" si="673"/>
        <v>1009.9095993986285</v>
      </c>
      <c r="BX104" s="2578">
        <f t="shared" si="673"/>
        <v>5.2920116321688591</v>
      </c>
      <c r="BY104" s="1726"/>
      <c r="BZ104" s="3735"/>
      <c r="CA104" s="3735"/>
      <c r="CB104" s="3735"/>
      <c r="CC104" s="3735"/>
      <c r="CD104" s="3735"/>
      <c r="CE104" s="3735"/>
      <c r="CF104" s="3735"/>
      <c r="CG104" s="3735"/>
      <c r="CH104" s="3735"/>
      <c r="CI104" s="3735"/>
      <c r="CJ104" s="3735"/>
      <c r="CK104" s="2578">
        <f t="shared" ref="CK104:DQ104" si="674">SUM(CK42)</f>
        <v>999.06410213079732</v>
      </c>
      <c r="CL104" s="2578">
        <f t="shared" si="674"/>
        <v>993.77209049862847</v>
      </c>
      <c r="CM104" s="2578">
        <f t="shared" si="674"/>
        <v>5.2920116321688591</v>
      </c>
      <c r="CN104" s="2578">
        <f t="shared" si="674"/>
        <v>1128.57</v>
      </c>
      <c r="CO104" s="2578">
        <f t="shared" si="674"/>
        <v>1128.57</v>
      </c>
      <c r="CP104" s="2578">
        <f t="shared" si="674"/>
        <v>0</v>
      </c>
      <c r="CQ104" s="2578">
        <f t="shared" si="674"/>
        <v>1694.01</v>
      </c>
      <c r="CR104" s="2578">
        <f t="shared" si="674"/>
        <v>1694.01</v>
      </c>
      <c r="CS104" s="2578">
        <f t="shared" si="674"/>
        <v>0</v>
      </c>
      <c r="CT104" s="2578">
        <f t="shared" si="674"/>
        <v>2751.05</v>
      </c>
      <c r="CU104" s="2578">
        <f t="shared" si="674"/>
        <v>2751.05</v>
      </c>
      <c r="CV104" s="2578">
        <f t="shared" si="674"/>
        <v>0</v>
      </c>
      <c r="CW104" s="2578">
        <f t="shared" si="674"/>
        <v>2756.342011632169</v>
      </c>
      <c r="CX104" s="2578">
        <f t="shared" si="674"/>
        <v>2751.05</v>
      </c>
      <c r="CY104" s="2578">
        <f t="shared" si="674"/>
        <v>5.2920116321688591</v>
      </c>
      <c r="CZ104" s="2578">
        <f t="shared" si="674"/>
        <v>2345.44022</v>
      </c>
      <c r="DA104" s="2578">
        <f t="shared" si="674"/>
        <v>2345.44022</v>
      </c>
      <c r="DB104" s="2578">
        <f t="shared" si="674"/>
        <v>0</v>
      </c>
      <c r="DC104" s="2578">
        <f t="shared" si="674"/>
        <v>1372.3319999999999</v>
      </c>
      <c r="DD104" s="2578">
        <f t="shared" si="674"/>
        <v>1372.3319999999999</v>
      </c>
      <c r="DE104" s="2578">
        <f t="shared" si="674"/>
        <v>0</v>
      </c>
      <c r="DF104" s="2578">
        <f t="shared" si="674"/>
        <v>2055.6059999999998</v>
      </c>
      <c r="DG104" s="2578">
        <f t="shared" si="674"/>
        <v>2055.6059999999998</v>
      </c>
      <c r="DH104" s="2578">
        <f t="shared" si="674"/>
        <v>0</v>
      </c>
      <c r="DI104" s="2578">
        <f t="shared" si="674"/>
        <v>2660.1779999999999</v>
      </c>
      <c r="DJ104" s="2578">
        <f t="shared" si="674"/>
        <v>2660.1779999999999</v>
      </c>
      <c r="DK104" s="2578">
        <f t="shared" si="674"/>
        <v>0</v>
      </c>
      <c r="DL104" s="2578">
        <f t="shared" si="674"/>
        <v>2718.5740000000001</v>
      </c>
      <c r="DM104" s="2578">
        <f t="shared" si="674"/>
        <v>2718.5740000000001</v>
      </c>
      <c r="DN104" s="2578">
        <f t="shared" si="674"/>
        <v>0</v>
      </c>
      <c r="DO104" s="2578">
        <f t="shared" si="674"/>
        <v>2707.2991499999998</v>
      </c>
      <c r="DP104" s="2578">
        <f t="shared" si="674"/>
        <v>2707.2991499999998</v>
      </c>
      <c r="DQ104" s="2578">
        <f t="shared" si="674"/>
        <v>0</v>
      </c>
      <c r="DR104" s="2578">
        <f t="shared" ref="DR104:DT104" si="675">SUM(DR42)</f>
        <v>1283.4539800000002</v>
      </c>
      <c r="DS104" s="2578">
        <f t="shared" si="675"/>
        <v>1283.4539800000002</v>
      </c>
      <c r="DT104" s="2578">
        <f t="shared" si="675"/>
        <v>0</v>
      </c>
      <c r="DU104" s="2578">
        <f t="shared" ref="DU104:DW104" si="676">SUM(DU42)</f>
        <v>1930.7335700000001</v>
      </c>
      <c r="DV104" s="2578">
        <f t="shared" si="676"/>
        <v>1930.7335700000001</v>
      </c>
      <c r="DW104" s="2578">
        <f t="shared" si="676"/>
        <v>0</v>
      </c>
      <c r="DX104" s="2578">
        <f t="shared" ref="DX104:EF104" si="677">SUM(DX42)</f>
        <v>5349.3708999999999</v>
      </c>
      <c r="DY104" s="2578">
        <f t="shared" si="677"/>
        <v>5349.3708999999999</v>
      </c>
      <c r="DZ104" s="2578">
        <f t="shared" si="677"/>
        <v>0</v>
      </c>
      <c r="EA104" s="2442">
        <f t="shared" si="677"/>
        <v>4857.9588240000003</v>
      </c>
      <c r="EB104" s="2442">
        <f t="shared" si="677"/>
        <v>4857.9588240000003</v>
      </c>
      <c r="EC104" s="2442">
        <f t="shared" si="677"/>
        <v>0</v>
      </c>
      <c r="ED104" s="3961">
        <f t="shared" si="677"/>
        <v>0</v>
      </c>
      <c r="EE104" s="3961">
        <f t="shared" si="677"/>
        <v>0</v>
      </c>
      <c r="EF104" s="3961">
        <f t="shared" si="677"/>
        <v>0</v>
      </c>
      <c r="EG104" s="2442">
        <f t="shared" ref="EG104:EI104" si="678">SUM(EG42)</f>
        <v>4857.9588240000003</v>
      </c>
      <c r="EH104" s="2442">
        <f t="shared" si="678"/>
        <v>4857.9588240000003</v>
      </c>
      <c r="EI104" s="2442">
        <f t="shared" si="678"/>
        <v>0</v>
      </c>
      <c r="EJ104" s="2442">
        <f t="shared" ref="EJ104:ER104" si="679">SUM(EJ42)</f>
        <v>3256.4037000000003</v>
      </c>
      <c r="EK104" s="2442">
        <f t="shared" si="679"/>
        <v>3256.4037000000003</v>
      </c>
      <c r="EL104" s="2442">
        <f t="shared" si="679"/>
        <v>0</v>
      </c>
      <c r="EM104" s="4849">
        <f t="shared" ref="EM104:EO104" si="680">SUM(EM42)</f>
        <v>0</v>
      </c>
      <c r="EN104" s="4849">
        <f t="shared" si="680"/>
        <v>0</v>
      </c>
      <c r="EO104" s="4849">
        <f t="shared" si="680"/>
        <v>0</v>
      </c>
      <c r="EP104" s="4849">
        <f t="shared" si="679"/>
        <v>0</v>
      </c>
      <c r="EQ104" s="4849">
        <f t="shared" si="679"/>
        <v>0</v>
      </c>
      <c r="ER104" s="4849">
        <f t="shared" si="679"/>
        <v>0</v>
      </c>
    </row>
    <row r="105" spans="1:148" ht="27" customHeight="1" x14ac:dyDescent="0.2">
      <c r="A105" s="3191" t="s">
        <v>11</v>
      </c>
      <c r="B105" s="3191"/>
      <c r="C105" s="3191"/>
      <c r="D105" s="3191"/>
      <c r="E105" s="3191"/>
      <c r="F105" s="3191"/>
      <c r="G105" s="3191"/>
      <c r="H105" s="3191"/>
      <c r="I105" s="3191"/>
      <c r="J105" s="3191"/>
      <c r="K105" s="3191"/>
      <c r="L105" s="3191"/>
      <c r="M105" s="3191"/>
      <c r="N105" s="3191"/>
      <c r="O105" s="3191"/>
      <c r="P105" s="3191"/>
      <c r="Q105" s="3191"/>
      <c r="R105" s="3191"/>
      <c r="S105" s="3191"/>
      <c r="T105" s="3191"/>
      <c r="U105" s="3191"/>
      <c r="V105" s="3191"/>
      <c r="W105" s="2578">
        <f>SUM(W47)</f>
        <v>10701.5</v>
      </c>
      <c r="X105" s="3191"/>
      <c r="Y105" s="2578">
        <f t="shared" ref="Y105:AE105" si="681">SUM(Y47)</f>
        <v>10806.57</v>
      </c>
      <c r="Z105" s="2578">
        <f t="shared" si="681"/>
        <v>10753.369999999999</v>
      </c>
      <c r="AA105" s="2578">
        <f t="shared" si="681"/>
        <v>53.2</v>
      </c>
      <c r="AB105" s="2578">
        <f t="shared" si="681"/>
        <v>9591.77</v>
      </c>
      <c r="AC105" s="2578">
        <f t="shared" si="681"/>
        <v>9508.4400839997706</v>
      </c>
      <c r="AD105" s="2578">
        <f t="shared" si="681"/>
        <v>83.329916000229787</v>
      </c>
      <c r="AE105" s="2578">
        <f t="shared" si="681"/>
        <v>9051.4500000000007</v>
      </c>
      <c r="AF105" s="3740">
        <f t="shared" si="598"/>
        <v>0.83758768971098152</v>
      </c>
      <c r="AG105" s="2578">
        <f>SUM(AG47)</f>
        <v>8995.59</v>
      </c>
      <c r="AH105" s="2578">
        <f>SUM(AH47)</f>
        <v>55.86</v>
      </c>
      <c r="AI105" s="2578">
        <f>SUM(AI47)</f>
        <v>8833.3841337506801</v>
      </c>
      <c r="AJ105" s="3740">
        <f t="shared" si="599"/>
        <v>0.8174086813624194</v>
      </c>
      <c r="AK105" s="2578">
        <f t="shared" ref="AK105:AV105" si="682">SUM(AK47)</f>
        <v>8777.5241337506795</v>
      </c>
      <c r="AL105" s="2578">
        <f t="shared" si="682"/>
        <v>55.860000000000007</v>
      </c>
      <c r="AM105" s="2578" t="e">
        <f t="shared" si="682"/>
        <v>#REF!</v>
      </c>
      <c r="AN105" s="2578" t="e">
        <f t="shared" si="682"/>
        <v>#REF!</v>
      </c>
      <c r="AO105" s="2578" t="e">
        <f t="shared" si="682"/>
        <v>#REF!</v>
      </c>
      <c r="AP105" s="2578">
        <f t="shared" si="682"/>
        <v>0</v>
      </c>
      <c r="AQ105" s="2578">
        <f t="shared" si="682"/>
        <v>0</v>
      </c>
      <c r="AR105" s="2578">
        <f t="shared" si="682"/>
        <v>0</v>
      </c>
      <c r="AS105" s="2578">
        <f t="shared" si="682"/>
        <v>0</v>
      </c>
      <c r="AT105" s="2578">
        <f t="shared" si="682"/>
        <v>0</v>
      </c>
      <c r="AU105" s="2578">
        <f t="shared" si="682"/>
        <v>0</v>
      </c>
      <c r="AV105" s="2578">
        <f t="shared" si="682"/>
        <v>10189.549999999999</v>
      </c>
      <c r="AW105" s="3741">
        <f t="shared" si="601"/>
        <v>1.1535273283392791</v>
      </c>
      <c r="AX105" s="2578">
        <f>SUM(AX47)</f>
        <v>10189.549999999999</v>
      </c>
      <c r="AY105" s="2578">
        <f>SUM(AY47)</f>
        <v>0</v>
      </c>
      <c r="AZ105" s="2578">
        <f>SUM(AZ47)</f>
        <v>13195.647202096725</v>
      </c>
      <c r="BA105" s="3741">
        <f t="shared" si="602"/>
        <v>1.4938382620176867</v>
      </c>
      <c r="BB105" s="2578">
        <f t="shared" ref="BB105:BX105" si="683">SUM(BB47)</f>
        <v>13195.647202096725</v>
      </c>
      <c r="BC105" s="2578">
        <f t="shared" si="683"/>
        <v>0</v>
      </c>
      <c r="BD105" s="2578">
        <f t="shared" si="683"/>
        <v>9307.77</v>
      </c>
      <c r="BE105" s="2578">
        <f t="shared" si="683"/>
        <v>9244.99</v>
      </c>
      <c r="BF105" s="2578">
        <f t="shared" si="683"/>
        <v>62.78</v>
      </c>
      <c r="BG105" s="2578">
        <f t="shared" si="683"/>
        <v>9770.4</v>
      </c>
      <c r="BH105" s="2578">
        <f t="shared" si="683"/>
        <v>9711.67</v>
      </c>
      <c r="BI105" s="2578">
        <f t="shared" si="683"/>
        <v>58.73</v>
      </c>
      <c r="BJ105" s="2578">
        <f t="shared" si="683"/>
        <v>15214.178</v>
      </c>
      <c r="BK105" s="2578">
        <f t="shared" si="683"/>
        <v>15206.884</v>
      </c>
      <c r="BL105" s="2578">
        <f t="shared" si="683"/>
        <v>7.2939999999999996</v>
      </c>
      <c r="BM105" s="2578">
        <f t="shared" si="683"/>
        <v>10336.434000000001</v>
      </c>
      <c r="BN105" s="2578">
        <f t="shared" si="683"/>
        <v>10276.564</v>
      </c>
      <c r="BO105" s="2578">
        <f t="shared" si="683"/>
        <v>59.87</v>
      </c>
      <c r="BP105" s="2578">
        <f t="shared" si="683"/>
        <v>18419.43</v>
      </c>
      <c r="BQ105" s="2578">
        <f t="shared" si="683"/>
        <v>18312.11</v>
      </c>
      <c r="BR105" s="2578">
        <f t="shared" si="683"/>
        <v>107.32</v>
      </c>
      <c r="BS105" s="2578">
        <f t="shared" si="683"/>
        <v>14542.724168003919</v>
      </c>
      <c r="BT105" s="2578">
        <f t="shared" si="683"/>
        <v>14541.335939405846</v>
      </c>
      <c r="BU105" s="2578">
        <f t="shared" si="683"/>
        <v>1.3882285980731162</v>
      </c>
      <c r="BV105" s="2578">
        <f t="shared" si="683"/>
        <v>12112.235843928804</v>
      </c>
      <c r="BW105" s="2578">
        <f t="shared" si="683"/>
        <v>12041.380686608869</v>
      </c>
      <c r="BX105" s="2578">
        <f t="shared" si="683"/>
        <v>70.855157319934435</v>
      </c>
      <c r="BY105" s="1726"/>
      <c r="BZ105" s="3735"/>
      <c r="CA105" s="3735"/>
      <c r="CB105" s="3735"/>
      <c r="CC105" s="3735"/>
      <c r="CD105" s="3735"/>
      <c r="CE105" s="3735"/>
      <c r="CF105" s="3735"/>
      <c r="CG105" s="3735"/>
      <c r="CH105" s="3735"/>
      <c r="CI105" s="3735"/>
      <c r="CJ105" s="3735"/>
      <c r="CK105" s="2578">
        <f t="shared" ref="CK105:DQ105" si="684">SUM(CK47)</f>
        <v>14761.135834113597</v>
      </c>
      <c r="CL105" s="2578">
        <f t="shared" si="684"/>
        <v>14759.720257412142</v>
      </c>
      <c r="CM105" s="2578">
        <f t="shared" si="684"/>
        <v>1.4155767014551566</v>
      </c>
      <c r="CN105" s="2578">
        <f t="shared" si="684"/>
        <v>5211.848</v>
      </c>
      <c r="CO105" s="2578">
        <f t="shared" si="684"/>
        <v>5195.26</v>
      </c>
      <c r="CP105" s="2578">
        <f t="shared" si="684"/>
        <v>16.588000000000001</v>
      </c>
      <c r="CQ105" s="2578">
        <f t="shared" si="684"/>
        <v>7707.0548100000015</v>
      </c>
      <c r="CR105" s="2578">
        <f t="shared" si="684"/>
        <v>7685.5966600000011</v>
      </c>
      <c r="CS105" s="2578">
        <f t="shared" si="684"/>
        <v>21.458150000000003</v>
      </c>
      <c r="CT105" s="2578">
        <f t="shared" si="684"/>
        <v>10235.575049999999</v>
      </c>
      <c r="CU105" s="2578">
        <f t="shared" si="684"/>
        <v>10206.049999999999</v>
      </c>
      <c r="CV105" s="2578">
        <f t="shared" si="684"/>
        <v>29.52505</v>
      </c>
      <c r="CW105" s="2578">
        <f t="shared" si="684"/>
        <v>11205.210177673807</v>
      </c>
      <c r="CX105" s="2578">
        <f t="shared" si="684"/>
        <v>11172.868878785355</v>
      </c>
      <c r="CY105" s="2578">
        <f t="shared" si="684"/>
        <v>32.341298888451682</v>
      </c>
      <c r="CZ105" s="2578">
        <f t="shared" si="684"/>
        <v>10657.340266752199</v>
      </c>
      <c r="DA105" s="2578">
        <f t="shared" si="684"/>
        <v>10596.696266752198</v>
      </c>
      <c r="DB105" s="2578">
        <f t="shared" si="684"/>
        <v>60.643999999999998</v>
      </c>
      <c r="DC105" s="2578">
        <f t="shared" si="684"/>
        <v>4807.4112599999999</v>
      </c>
      <c r="DD105" s="2578">
        <f t="shared" si="684"/>
        <v>4794.3121899999996</v>
      </c>
      <c r="DE105" s="2578">
        <f t="shared" si="684"/>
        <v>13.099070000000001</v>
      </c>
      <c r="DF105" s="2578">
        <f t="shared" si="684"/>
        <v>7266.85581</v>
      </c>
      <c r="DG105" s="2578">
        <f t="shared" si="684"/>
        <v>7247.1235900000001</v>
      </c>
      <c r="DH105" s="2578">
        <f t="shared" si="684"/>
        <v>19.732219999999998</v>
      </c>
      <c r="DI105" s="2578">
        <f t="shared" si="684"/>
        <v>9954.2642699999997</v>
      </c>
      <c r="DJ105" s="2578">
        <f t="shared" si="684"/>
        <v>9926.4969999999994</v>
      </c>
      <c r="DK105" s="2578">
        <f t="shared" si="684"/>
        <v>27.76727</v>
      </c>
      <c r="DL105" s="2578">
        <f t="shared" si="684"/>
        <v>11292.599607599956</v>
      </c>
      <c r="DM105" s="2578">
        <f t="shared" si="684"/>
        <v>11261.111978686311</v>
      </c>
      <c r="DN105" s="2578">
        <f t="shared" si="684"/>
        <v>31.487628913643789</v>
      </c>
      <c r="DO105" s="2578">
        <f t="shared" si="684"/>
        <v>10734.563234436084</v>
      </c>
      <c r="DP105" s="2578">
        <f t="shared" si="684"/>
        <v>10670.370672107132</v>
      </c>
      <c r="DQ105" s="2578">
        <f t="shared" si="684"/>
        <v>64.192562328951993</v>
      </c>
      <c r="DR105" s="2578">
        <f t="shared" ref="DR105:DT105" si="685">SUM(DR47)</f>
        <v>6260.7203099999997</v>
      </c>
      <c r="DS105" s="2578">
        <f t="shared" si="685"/>
        <v>6246.6289799999995</v>
      </c>
      <c r="DT105" s="2578">
        <f t="shared" si="685"/>
        <v>14.091330000000003</v>
      </c>
      <c r="DU105" s="2578">
        <f t="shared" ref="DU105:DW105" si="686">SUM(DU47)</f>
        <v>9060.9280500000004</v>
      </c>
      <c r="DV105" s="2578">
        <f t="shared" si="686"/>
        <v>9039.8180000000011</v>
      </c>
      <c r="DW105" s="2578">
        <f t="shared" si="686"/>
        <v>21.110050000000001</v>
      </c>
      <c r="DX105" s="2578">
        <f t="shared" ref="DX105:EF105" si="687">SUM(DX47)</f>
        <v>11660.02339</v>
      </c>
      <c r="DY105" s="2578">
        <f t="shared" si="687"/>
        <v>11632.231</v>
      </c>
      <c r="DZ105" s="2578">
        <f t="shared" si="687"/>
        <v>27.792390000000001</v>
      </c>
      <c r="EA105" s="2442">
        <f t="shared" si="687"/>
        <v>13223.441062418895</v>
      </c>
      <c r="EB105" s="2442">
        <f t="shared" si="687"/>
        <v>13191.920328544649</v>
      </c>
      <c r="EC105" s="2442">
        <f t="shared" si="687"/>
        <v>31.520733874245003</v>
      </c>
      <c r="ED105" s="3961">
        <f t="shared" si="687"/>
        <v>569.80114979975588</v>
      </c>
      <c r="EE105" s="3961">
        <f t="shared" si="687"/>
        <v>501.76344000000006</v>
      </c>
      <c r="EF105" s="3961">
        <f t="shared" si="687"/>
        <v>68.037709799755859</v>
      </c>
      <c r="EG105" s="2442">
        <f t="shared" ref="EG105:EI105" si="688">SUM(EG47)</f>
        <v>13223.441062418895</v>
      </c>
      <c r="EH105" s="2442">
        <f t="shared" si="688"/>
        <v>13191.920328544649</v>
      </c>
      <c r="EI105" s="2442">
        <f t="shared" si="688"/>
        <v>31.520733874245003</v>
      </c>
      <c r="EJ105" s="2442">
        <f t="shared" ref="EJ105:ER105" si="689">SUM(EJ47)</f>
        <v>12403.380867759941</v>
      </c>
      <c r="EK105" s="2442">
        <f t="shared" si="689"/>
        <v>12315.59286775994</v>
      </c>
      <c r="EL105" s="2442">
        <f t="shared" si="689"/>
        <v>87.787999999999997</v>
      </c>
      <c r="EM105" s="4849">
        <f t="shared" ref="EM105:EO105" si="690">SUM(EM47)</f>
        <v>6178.0772800000004</v>
      </c>
      <c r="EN105" s="4849">
        <f t="shared" si="690"/>
        <v>6162.6033500000003</v>
      </c>
      <c r="EO105" s="4849">
        <f t="shared" si="690"/>
        <v>15.473929999999999</v>
      </c>
      <c r="EP105" s="4849">
        <f t="shared" si="689"/>
        <v>13852.45888</v>
      </c>
      <c r="EQ105" s="4849">
        <f t="shared" si="689"/>
        <v>13814.14431</v>
      </c>
      <c r="ER105" s="4849">
        <f t="shared" si="689"/>
        <v>38.314569999999996</v>
      </c>
    </row>
    <row r="106" spans="1:148" ht="27" customHeight="1" x14ac:dyDescent="0.2">
      <c r="A106" s="3191" t="s">
        <v>889</v>
      </c>
      <c r="B106" s="3191"/>
      <c r="C106" s="3191"/>
      <c r="D106" s="3191"/>
      <c r="E106" s="3191"/>
      <c r="F106" s="3191"/>
      <c r="G106" s="3191"/>
      <c r="H106" s="3191"/>
      <c r="I106" s="3191"/>
      <c r="J106" s="3191"/>
      <c r="K106" s="3191"/>
      <c r="L106" s="3191"/>
      <c r="M106" s="3191"/>
      <c r="N106" s="3191"/>
      <c r="O106" s="3191"/>
      <c r="P106" s="3191"/>
      <c r="Q106" s="3191"/>
      <c r="R106" s="3191"/>
      <c r="S106" s="3191"/>
      <c r="T106" s="3191"/>
      <c r="U106" s="3191"/>
      <c r="V106" s="3191"/>
      <c r="W106" s="2578"/>
      <c r="X106" s="3191"/>
      <c r="Y106" s="2578"/>
      <c r="Z106" s="2578"/>
      <c r="AA106" s="2578"/>
      <c r="AB106" s="2578"/>
      <c r="AC106" s="2578"/>
      <c r="AD106" s="2578"/>
      <c r="AE106" s="2578"/>
      <c r="AF106" s="3740"/>
      <c r="AG106" s="2578"/>
      <c r="AH106" s="2578"/>
      <c r="AI106" s="2578"/>
      <c r="AJ106" s="3740"/>
      <c r="AK106" s="2578"/>
      <c r="AL106" s="2578"/>
      <c r="AM106" s="2578"/>
      <c r="AN106" s="2578"/>
      <c r="AO106" s="2578"/>
      <c r="AP106" s="2578"/>
      <c r="AQ106" s="2578"/>
      <c r="AR106" s="2578"/>
      <c r="AS106" s="2578"/>
      <c r="AT106" s="2578"/>
      <c r="AU106" s="2578"/>
      <c r="AV106" s="2578"/>
      <c r="AW106" s="3741"/>
      <c r="AX106" s="2578"/>
      <c r="AY106" s="2578"/>
      <c r="AZ106" s="2578">
        <f>AZ48</f>
        <v>286.40476017160813</v>
      </c>
      <c r="BA106" s="3741"/>
      <c r="BB106" s="2578">
        <f t="shared" ref="BB106:BX106" si="691">BB48</f>
        <v>286.40476017160813</v>
      </c>
      <c r="BC106" s="2578">
        <f t="shared" si="691"/>
        <v>0</v>
      </c>
      <c r="BD106" s="2578">
        <f t="shared" si="691"/>
        <v>0</v>
      </c>
      <c r="BE106" s="2578">
        <f t="shared" si="691"/>
        <v>0</v>
      </c>
      <c r="BF106" s="2578">
        <f t="shared" si="691"/>
        <v>0</v>
      </c>
      <c r="BG106" s="2578">
        <f t="shared" si="691"/>
        <v>0</v>
      </c>
      <c r="BH106" s="2578">
        <f t="shared" si="691"/>
        <v>0</v>
      </c>
      <c r="BI106" s="2578">
        <f t="shared" si="691"/>
        <v>0</v>
      </c>
      <c r="BJ106" s="2578">
        <f t="shared" si="691"/>
        <v>365.37</v>
      </c>
      <c r="BK106" s="2578">
        <f t="shared" si="691"/>
        <v>365.37</v>
      </c>
      <c r="BL106" s="2578">
        <f t="shared" si="691"/>
        <v>0</v>
      </c>
      <c r="BM106" s="2578">
        <f t="shared" si="691"/>
        <v>0</v>
      </c>
      <c r="BN106" s="2578">
        <f t="shared" si="691"/>
        <v>0</v>
      </c>
      <c r="BO106" s="2578">
        <f t="shared" si="691"/>
        <v>0</v>
      </c>
      <c r="BP106" s="2578">
        <f t="shared" si="691"/>
        <v>241.01</v>
      </c>
      <c r="BQ106" s="2578">
        <f t="shared" si="691"/>
        <v>241.01</v>
      </c>
      <c r="BR106" s="2578">
        <f t="shared" si="691"/>
        <v>0</v>
      </c>
      <c r="BS106" s="2578">
        <f t="shared" si="691"/>
        <v>241.01</v>
      </c>
      <c r="BT106" s="2578">
        <f t="shared" si="691"/>
        <v>241.01</v>
      </c>
      <c r="BU106" s="2578">
        <f t="shared" si="691"/>
        <v>0</v>
      </c>
      <c r="BV106" s="2578">
        <f t="shared" si="691"/>
        <v>249.2</v>
      </c>
      <c r="BW106" s="2578">
        <f t="shared" si="691"/>
        <v>249.2</v>
      </c>
      <c r="BX106" s="2578">
        <f t="shared" si="691"/>
        <v>0</v>
      </c>
      <c r="BY106" s="1726"/>
      <c r="BZ106" s="3735"/>
      <c r="CA106" s="3735"/>
      <c r="CB106" s="3735"/>
      <c r="CC106" s="3735"/>
      <c r="CD106" s="3735"/>
      <c r="CE106" s="3735"/>
      <c r="CF106" s="3735"/>
      <c r="CG106" s="3735"/>
      <c r="CH106" s="3735"/>
      <c r="CI106" s="3735"/>
      <c r="CJ106" s="3735"/>
      <c r="CK106" s="2578">
        <f t="shared" ref="CK106:DQ106" si="692">CK48</f>
        <v>249.2</v>
      </c>
      <c r="CL106" s="2578">
        <f t="shared" si="692"/>
        <v>249.2</v>
      </c>
      <c r="CM106" s="2578">
        <f t="shared" si="692"/>
        <v>0</v>
      </c>
      <c r="CN106" s="2578">
        <f t="shared" si="692"/>
        <v>0</v>
      </c>
      <c r="CO106" s="2578">
        <f t="shared" si="692"/>
        <v>0</v>
      </c>
      <c r="CP106" s="2578">
        <f t="shared" si="692"/>
        <v>0</v>
      </c>
      <c r="CQ106" s="2578">
        <f t="shared" si="692"/>
        <v>0</v>
      </c>
      <c r="CR106" s="2578">
        <f t="shared" si="692"/>
        <v>0</v>
      </c>
      <c r="CS106" s="2578">
        <f t="shared" si="692"/>
        <v>0</v>
      </c>
      <c r="CT106" s="2578">
        <f t="shared" si="692"/>
        <v>-0.01</v>
      </c>
      <c r="CU106" s="2578">
        <f t="shared" si="692"/>
        <v>-0.01</v>
      </c>
      <c r="CV106" s="2578">
        <f t="shared" si="692"/>
        <v>0</v>
      </c>
      <c r="CW106" s="2578">
        <f t="shared" si="692"/>
        <v>293.68776219786787</v>
      </c>
      <c r="CX106" s="2578">
        <f t="shared" si="692"/>
        <v>293.68776219786787</v>
      </c>
      <c r="CY106" s="2578">
        <f t="shared" si="692"/>
        <v>0</v>
      </c>
      <c r="CZ106" s="2578">
        <f t="shared" si="692"/>
        <v>0</v>
      </c>
      <c r="DA106" s="2578">
        <f t="shared" si="692"/>
        <v>0</v>
      </c>
      <c r="DB106" s="2578">
        <f t="shared" si="692"/>
        <v>0</v>
      </c>
      <c r="DC106" s="2578">
        <f t="shared" si="692"/>
        <v>0</v>
      </c>
      <c r="DD106" s="2578">
        <f t="shared" si="692"/>
        <v>0</v>
      </c>
      <c r="DE106" s="2578">
        <f t="shared" si="692"/>
        <v>0</v>
      </c>
      <c r="DF106" s="2578">
        <f t="shared" si="692"/>
        <v>0</v>
      </c>
      <c r="DG106" s="2578">
        <f t="shared" si="692"/>
        <v>0</v>
      </c>
      <c r="DH106" s="2578">
        <f t="shared" si="692"/>
        <v>0</v>
      </c>
      <c r="DI106" s="2578">
        <f t="shared" si="692"/>
        <v>1813.5450000000001</v>
      </c>
      <c r="DJ106" s="2578">
        <f t="shared" si="692"/>
        <v>1813.5450000000001</v>
      </c>
      <c r="DK106" s="2578">
        <f t="shared" si="692"/>
        <v>0</v>
      </c>
      <c r="DL106" s="2578">
        <f t="shared" si="692"/>
        <v>302.96730829756518</v>
      </c>
      <c r="DM106" s="2578">
        <f t="shared" si="692"/>
        <v>302.96730829756518</v>
      </c>
      <c r="DN106" s="2578">
        <f t="shared" si="692"/>
        <v>0</v>
      </c>
      <c r="DO106" s="2578">
        <f t="shared" si="692"/>
        <v>302.96730829756518</v>
      </c>
      <c r="DP106" s="2578">
        <f t="shared" si="692"/>
        <v>302.96730829756518</v>
      </c>
      <c r="DQ106" s="2578">
        <f t="shared" si="692"/>
        <v>0</v>
      </c>
      <c r="DR106" s="2578">
        <f t="shared" ref="DR106:DT106" si="693">DR48</f>
        <v>0</v>
      </c>
      <c r="DS106" s="2578">
        <f t="shared" si="693"/>
        <v>0</v>
      </c>
      <c r="DT106" s="2578">
        <f t="shared" si="693"/>
        <v>0</v>
      </c>
      <c r="DU106" s="2578">
        <f t="shared" ref="DU106:DW106" si="694">DU48</f>
        <v>0</v>
      </c>
      <c r="DV106" s="2578">
        <f t="shared" si="694"/>
        <v>0</v>
      </c>
      <c r="DW106" s="2578">
        <f t="shared" si="694"/>
        <v>0</v>
      </c>
      <c r="DX106" s="2578">
        <f t="shared" ref="DX106:EF106" si="695">DX48</f>
        <v>1581.2724800000001</v>
      </c>
      <c r="DY106" s="2578">
        <f t="shared" si="695"/>
        <v>1581.2724800000001</v>
      </c>
      <c r="DZ106" s="2578">
        <f t="shared" si="695"/>
        <v>0</v>
      </c>
      <c r="EA106" s="2442">
        <f t="shared" si="695"/>
        <v>387.72721987781551</v>
      </c>
      <c r="EB106" s="2442">
        <f t="shared" si="695"/>
        <v>387.72721987781551</v>
      </c>
      <c r="EC106" s="2442">
        <f t="shared" si="695"/>
        <v>0</v>
      </c>
      <c r="ED106" s="3961">
        <f t="shared" si="695"/>
        <v>0</v>
      </c>
      <c r="EE106" s="3961">
        <f t="shared" si="695"/>
        <v>0</v>
      </c>
      <c r="EF106" s="3961">
        <f t="shared" si="695"/>
        <v>0</v>
      </c>
      <c r="EG106" s="2442">
        <f t="shared" ref="EG106:EI107" si="696">EG48</f>
        <v>387.72721987781551</v>
      </c>
      <c r="EH106" s="2442">
        <f t="shared" si="696"/>
        <v>387.72721987781551</v>
      </c>
      <c r="EI106" s="2442">
        <f t="shared" si="696"/>
        <v>0</v>
      </c>
      <c r="EJ106" s="2442">
        <f t="shared" ref="EJ106:ER106" si="697">EJ48</f>
        <v>0</v>
      </c>
      <c r="EK106" s="2442">
        <f t="shared" si="697"/>
        <v>0</v>
      </c>
      <c r="EL106" s="2442">
        <f t="shared" si="697"/>
        <v>0</v>
      </c>
      <c r="EM106" s="4849">
        <f t="shared" ref="EM106:EO106" si="698">EM48</f>
        <v>0</v>
      </c>
      <c r="EN106" s="4849">
        <f t="shared" si="698"/>
        <v>0</v>
      </c>
      <c r="EO106" s="4849">
        <f t="shared" si="698"/>
        <v>0</v>
      </c>
      <c r="EP106" s="4849">
        <f t="shared" si="697"/>
        <v>0</v>
      </c>
      <c r="EQ106" s="4849">
        <f t="shared" si="697"/>
        <v>0</v>
      </c>
      <c r="ER106" s="4849">
        <f t="shared" si="697"/>
        <v>0</v>
      </c>
    </row>
    <row r="107" spans="1:148" ht="42" customHeight="1" x14ac:dyDescent="0.2">
      <c r="A107" s="3214" t="s">
        <v>4163</v>
      </c>
      <c r="B107" s="3191"/>
      <c r="C107" s="3191"/>
      <c r="D107" s="3191"/>
      <c r="E107" s="3191"/>
      <c r="F107" s="3191"/>
      <c r="G107" s="3191"/>
      <c r="H107" s="3191"/>
      <c r="I107" s="3191"/>
      <c r="J107" s="3191"/>
      <c r="K107" s="3191"/>
      <c r="L107" s="3191"/>
      <c r="M107" s="3191"/>
      <c r="N107" s="3191"/>
      <c r="O107" s="3191"/>
      <c r="P107" s="3191"/>
      <c r="Q107" s="3191"/>
      <c r="R107" s="3191"/>
      <c r="S107" s="3191"/>
      <c r="T107" s="3191"/>
      <c r="U107" s="3191"/>
      <c r="V107" s="3191"/>
      <c r="W107" s="2578"/>
      <c r="X107" s="3191"/>
      <c r="Y107" s="2578"/>
      <c r="Z107" s="2578"/>
      <c r="AA107" s="2578"/>
      <c r="AB107" s="2578"/>
      <c r="AC107" s="2578"/>
      <c r="AD107" s="2578"/>
      <c r="AE107" s="2578"/>
      <c r="AF107" s="3740"/>
      <c r="AG107" s="2578"/>
      <c r="AH107" s="2578"/>
      <c r="AI107" s="2578"/>
      <c r="AJ107" s="3740"/>
      <c r="AK107" s="2578"/>
      <c r="AL107" s="2578"/>
      <c r="AM107" s="2578"/>
      <c r="AN107" s="2578"/>
      <c r="AO107" s="2578"/>
      <c r="AP107" s="2578"/>
      <c r="AQ107" s="2578"/>
      <c r="AR107" s="2578"/>
      <c r="AS107" s="2578"/>
      <c r="AT107" s="2578"/>
      <c r="AU107" s="2578"/>
      <c r="AV107" s="2578"/>
      <c r="AW107" s="3741"/>
      <c r="AX107" s="2578"/>
      <c r="AY107" s="2578"/>
      <c r="AZ107" s="2578"/>
      <c r="BA107" s="3741"/>
      <c r="BB107" s="2578"/>
      <c r="BC107" s="2578"/>
      <c r="BD107" s="2578"/>
      <c r="BE107" s="2578"/>
      <c r="BF107" s="2578"/>
      <c r="BG107" s="2578"/>
      <c r="BH107" s="2578"/>
      <c r="BI107" s="2578"/>
      <c r="BJ107" s="2578"/>
      <c r="BK107" s="2578"/>
      <c r="BL107" s="2578"/>
      <c r="BM107" s="2578"/>
      <c r="BN107" s="2578"/>
      <c r="BO107" s="2578"/>
      <c r="BP107" s="2578"/>
      <c r="BQ107" s="2578"/>
      <c r="BR107" s="2578"/>
      <c r="BS107" s="2578"/>
      <c r="BT107" s="2578"/>
      <c r="BU107" s="2578"/>
      <c r="BV107" s="2578"/>
      <c r="BW107" s="2578"/>
      <c r="BX107" s="2578"/>
      <c r="BY107" s="4128"/>
      <c r="BZ107" s="3735"/>
      <c r="CA107" s="3735"/>
      <c r="CB107" s="3735"/>
      <c r="CC107" s="3735"/>
      <c r="CD107" s="3735"/>
      <c r="CE107" s="3735"/>
      <c r="CF107" s="3735"/>
      <c r="CG107" s="3735"/>
      <c r="CH107" s="3735"/>
      <c r="CI107" s="3735"/>
      <c r="CJ107" s="3735"/>
      <c r="CK107" s="2578"/>
      <c r="CL107" s="2578"/>
      <c r="CM107" s="2578"/>
      <c r="CN107" s="2578"/>
      <c r="CO107" s="2578"/>
      <c r="CP107" s="2578"/>
      <c r="CQ107" s="2578"/>
      <c r="CR107" s="2578"/>
      <c r="CS107" s="2578"/>
      <c r="CT107" s="2578"/>
      <c r="CU107" s="2578"/>
      <c r="CV107" s="2578"/>
      <c r="CW107" s="2578"/>
      <c r="CX107" s="2578"/>
      <c r="CY107" s="2578"/>
      <c r="CZ107" s="2578"/>
      <c r="DA107" s="2578"/>
      <c r="DB107" s="2578"/>
      <c r="DC107" s="2578"/>
      <c r="DD107" s="2578"/>
      <c r="DE107" s="2578"/>
      <c r="DF107" s="2578"/>
      <c r="DG107" s="2578"/>
      <c r="DH107" s="2578"/>
      <c r="DI107" s="2578"/>
      <c r="DJ107" s="2578"/>
      <c r="DK107" s="2578"/>
      <c r="DL107" s="2578"/>
      <c r="DM107" s="2578"/>
      <c r="DN107" s="2578"/>
      <c r="DO107" s="2578"/>
      <c r="DP107" s="2578"/>
      <c r="DQ107" s="2578"/>
      <c r="DR107" s="2578"/>
      <c r="DS107" s="2578"/>
      <c r="DT107" s="2578"/>
      <c r="DU107" s="2578"/>
      <c r="DV107" s="2578"/>
      <c r="DW107" s="2578"/>
      <c r="DX107" s="2578"/>
      <c r="DY107" s="2578"/>
      <c r="DZ107" s="2578"/>
      <c r="EA107" s="2442"/>
      <c r="EB107" s="2442"/>
      <c r="EC107" s="2442"/>
      <c r="ED107" s="3961"/>
      <c r="EE107" s="3961"/>
      <c r="EF107" s="3961"/>
      <c r="EG107" s="2442">
        <f t="shared" si="696"/>
        <v>2478.0332096000006</v>
      </c>
      <c r="EH107" s="2442">
        <f>SUM(EH49)</f>
        <v>2478.0332096000006</v>
      </c>
      <c r="EI107" s="2442">
        <v>0</v>
      </c>
      <c r="EJ107" s="2442">
        <f t="shared" ref="EJ107" si="699">EJ49</f>
        <v>0</v>
      </c>
      <c r="EK107" s="2442">
        <f>SUM(EK49)</f>
        <v>0</v>
      </c>
      <c r="EL107" s="2442">
        <v>0</v>
      </c>
      <c r="EM107" s="4849"/>
      <c r="EN107" s="4849"/>
      <c r="EO107" s="4849"/>
      <c r="EP107" s="4849"/>
      <c r="EQ107" s="4849"/>
      <c r="ER107" s="4849"/>
    </row>
    <row r="108" spans="1:148" ht="27" customHeight="1" x14ac:dyDescent="0.2">
      <c r="A108" s="3195" t="s">
        <v>3651</v>
      </c>
      <c r="B108" s="3195"/>
      <c r="C108" s="3195"/>
      <c r="D108" s="3195"/>
      <c r="E108" s="3195"/>
      <c r="F108" s="3195"/>
      <c r="G108" s="3195"/>
      <c r="H108" s="3195"/>
      <c r="I108" s="3195"/>
      <c r="J108" s="3195"/>
      <c r="K108" s="3195"/>
      <c r="L108" s="3195"/>
      <c r="M108" s="3195"/>
      <c r="N108" s="3195"/>
      <c r="O108" s="3195"/>
      <c r="P108" s="3195"/>
      <c r="Q108" s="3195"/>
      <c r="R108" s="3195"/>
      <c r="S108" s="3195"/>
      <c r="T108" s="3195"/>
      <c r="U108" s="3195"/>
      <c r="V108" s="3195"/>
      <c r="W108" s="2579"/>
      <c r="X108" s="3195"/>
      <c r="Y108" s="2579"/>
      <c r="Z108" s="2579"/>
      <c r="AA108" s="2579"/>
      <c r="AB108" s="2579"/>
      <c r="AC108" s="2579"/>
      <c r="AD108" s="2579"/>
      <c r="AE108" s="2579"/>
      <c r="AF108" s="3741"/>
      <c r="AG108" s="2579"/>
      <c r="AH108" s="2579"/>
      <c r="AI108" s="2579"/>
      <c r="AJ108" s="3741"/>
      <c r="AK108" s="2579"/>
      <c r="AL108" s="2579"/>
      <c r="AM108" s="2579"/>
      <c r="AN108" s="2579"/>
      <c r="AO108" s="2579"/>
      <c r="AP108" s="2579"/>
      <c r="AQ108" s="2579"/>
      <c r="AR108" s="2579"/>
      <c r="AS108" s="2579"/>
      <c r="AT108" s="2579"/>
      <c r="AU108" s="2579"/>
      <c r="AV108" s="2579"/>
      <c r="AW108" s="3741"/>
      <c r="AX108" s="2579"/>
      <c r="AY108" s="2579"/>
      <c r="AZ108" s="2579"/>
      <c r="BA108" s="3741"/>
      <c r="BB108" s="2579"/>
      <c r="BC108" s="2579"/>
      <c r="BD108" s="2579"/>
      <c r="BE108" s="2579"/>
      <c r="BF108" s="2579"/>
      <c r="BG108" s="2579"/>
      <c r="BH108" s="2579"/>
      <c r="BI108" s="2579"/>
      <c r="BJ108" s="2579"/>
      <c r="BK108" s="2579"/>
      <c r="BL108" s="2579"/>
      <c r="BM108" s="2579"/>
      <c r="BN108" s="2579"/>
      <c r="BO108" s="2579"/>
      <c r="BP108" s="2579"/>
      <c r="BQ108" s="2579"/>
      <c r="BR108" s="2579"/>
      <c r="BS108" s="2579">
        <f t="shared" ref="BS108:BX108" si="700">BS50</f>
        <v>105.48881849999999</v>
      </c>
      <c r="BT108" s="2579">
        <f t="shared" si="700"/>
        <v>105.48881849999999</v>
      </c>
      <c r="BU108" s="2579">
        <f t="shared" si="700"/>
        <v>0</v>
      </c>
      <c r="BV108" s="2579">
        <f t="shared" si="700"/>
        <v>98.938174399999994</v>
      </c>
      <c r="BW108" s="2579">
        <f t="shared" si="700"/>
        <v>98.938174399999994</v>
      </c>
      <c r="BX108" s="2579">
        <f t="shared" si="700"/>
        <v>0</v>
      </c>
      <c r="BY108" s="3418"/>
      <c r="BZ108" s="3736"/>
      <c r="CA108" s="3736"/>
      <c r="CB108" s="3736"/>
      <c r="CC108" s="3736"/>
      <c r="CD108" s="3736"/>
      <c r="CE108" s="3736"/>
      <c r="CF108" s="3736"/>
      <c r="CG108" s="3736"/>
      <c r="CH108" s="3736"/>
      <c r="CI108" s="3736"/>
      <c r="CJ108" s="3736"/>
      <c r="CK108" s="2579">
        <f t="shared" ref="CK108:DQ108" si="701">CK50</f>
        <v>93.10991940000001</v>
      </c>
      <c r="CL108" s="2579">
        <f t="shared" si="701"/>
        <v>93.10991940000001</v>
      </c>
      <c r="CM108" s="2579">
        <f t="shared" si="701"/>
        <v>0</v>
      </c>
      <c r="CN108" s="2579">
        <f t="shared" si="701"/>
        <v>47.810090000000002</v>
      </c>
      <c r="CO108" s="2579">
        <f t="shared" si="701"/>
        <v>47.794029999999999</v>
      </c>
      <c r="CP108" s="2579">
        <f t="shared" si="701"/>
        <v>1.6060000000000001E-2</v>
      </c>
      <c r="CQ108" s="2579">
        <f t="shared" si="701"/>
        <v>71.728929999999991</v>
      </c>
      <c r="CR108" s="2579">
        <f t="shared" si="701"/>
        <v>71.712869999999995</v>
      </c>
      <c r="CS108" s="2579">
        <f t="shared" si="701"/>
        <v>1.6060000000000001E-2</v>
      </c>
      <c r="CT108" s="2579">
        <f t="shared" si="701"/>
        <v>95.605999999999995</v>
      </c>
      <c r="CU108" s="2579">
        <f t="shared" si="701"/>
        <v>95.585999999999999</v>
      </c>
      <c r="CV108" s="2579">
        <f t="shared" si="701"/>
        <v>0.02</v>
      </c>
      <c r="CW108" s="2579">
        <f t="shared" si="701"/>
        <v>93.10991940000001</v>
      </c>
      <c r="CX108" s="2579">
        <f t="shared" si="701"/>
        <v>93.10991940000001</v>
      </c>
      <c r="CY108" s="2579">
        <f t="shared" si="701"/>
        <v>0</v>
      </c>
      <c r="CZ108" s="2579">
        <f t="shared" si="701"/>
        <v>93.109919000000005</v>
      </c>
      <c r="DA108" s="2579">
        <f t="shared" si="701"/>
        <v>93.109919000000005</v>
      </c>
      <c r="DB108" s="2579">
        <f t="shared" si="701"/>
        <v>0</v>
      </c>
      <c r="DC108" s="2579">
        <f t="shared" si="701"/>
        <v>0</v>
      </c>
      <c r="DD108" s="2579">
        <f t="shared" si="701"/>
        <v>0</v>
      </c>
      <c r="DE108" s="2579">
        <f t="shared" si="701"/>
        <v>0</v>
      </c>
      <c r="DF108" s="2579">
        <f t="shared" si="701"/>
        <v>0</v>
      </c>
      <c r="DG108" s="2579">
        <f t="shared" si="701"/>
        <v>0</v>
      </c>
      <c r="DH108" s="2579">
        <f t="shared" si="701"/>
        <v>0</v>
      </c>
      <c r="DI108" s="2579">
        <f t="shared" si="701"/>
        <v>76.042000000000002</v>
      </c>
      <c r="DJ108" s="2579">
        <f t="shared" si="701"/>
        <v>76.042000000000002</v>
      </c>
      <c r="DK108" s="2579">
        <f t="shared" si="701"/>
        <v>0</v>
      </c>
      <c r="DL108" s="2579">
        <f t="shared" si="701"/>
        <v>97.765414950000007</v>
      </c>
      <c r="DM108" s="2579">
        <f t="shared" si="701"/>
        <v>97.765414950000007</v>
      </c>
      <c r="DN108" s="2579">
        <f t="shared" si="701"/>
        <v>0</v>
      </c>
      <c r="DO108" s="2579">
        <f t="shared" si="701"/>
        <v>62.334811559999999</v>
      </c>
      <c r="DP108" s="2579">
        <f t="shared" si="701"/>
        <v>62.334811559999999</v>
      </c>
      <c r="DQ108" s="2579">
        <f t="shared" si="701"/>
        <v>0</v>
      </c>
      <c r="DR108" s="2579">
        <f t="shared" ref="DR108:DT108" si="702">DR50</f>
        <v>76.490679999999998</v>
      </c>
      <c r="DS108" s="2579">
        <f t="shared" si="702"/>
        <v>76.490679999999998</v>
      </c>
      <c r="DT108" s="2579">
        <f t="shared" si="702"/>
        <v>0</v>
      </c>
      <c r="DU108" s="2579">
        <f t="shared" ref="DU108:DW108" si="703">DU50</f>
        <v>0</v>
      </c>
      <c r="DV108" s="2579">
        <f t="shared" si="703"/>
        <v>0</v>
      </c>
      <c r="DW108" s="2579">
        <f t="shared" si="703"/>
        <v>0</v>
      </c>
      <c r="DX108" s="2579">
        <f t="shared" ref="DX108:EF108" si="704">DX50</f>
        <v>0</v>
      </c>
      <c r="DY108" s="2579">
        <f t="shared" si="704"/>
        <v>0</v>
      </c>
      <c r="DZ108" s="2579">
        <f t="shared" si="704"/>
        <v>0</v>
      </c>
      <c r="EA108" s="2441">
        <f t="shared" si="704"/>
        <v>133.48947150000001</v>
      </c>
      <c r="EB108" s="2441">
        <f t="shared" si="704"/>
        <v>133.48947150000001</v>
      </c>
      <c r="EC108" s="2441">
        <f t="shared" si="704"/>
        <v>0</v>
      </c>
      <c r="ED108" s="3962">
        <f t="shared" si="704"/>
        <v>0</v>
      </c>
      <c r="EE108" s="3962">
        <f t="shared" si="704"/>
        <v>0</v>
      </c>
      <c r="EF108" s="3962">
        <f t="shared" si="704"/>
        <v>0</v>
      </c>
      <c r="EG108" s="2441">
        <f t="shared" ref="EG108:EI108" si="705">EG50</f>
        <v>133.48947150000001</v>
      </c>
      <c r="EH108" s="2441">
        <f t="shared" si="705"/>
        <v>133.48947150000001</v>
      </c>
      <c r="EI108" s="2441">
        <f t="shared" si="705"/>
        <v>0</v>
      </c>
      <c r="EJ108" s="2441">
        <f t="shared" ref="EJ108:ER108" si="706">EJ50</f>
        <v>77.86</v>
      </c>
      <c r="EK108" s="2441">
        <f t="shared" si="706"/>
        <v>77.86</v>
      </c>
      <c r="EL108" s="2441">
        <f t="shared" si="706"/>
        <v>0</v>
      </c>
      <c r="EM108" s="4850">
        <f t="shared" ref="EM108:EO108" si="707">EM50</f>
        <v>0</v>
      </c>
      <c r="EN108" s="4850">
        <f t="shared" si="707"/>
        <v>0</v>
      </c>
      <c r="EO108" s="4850">
        <f t="shared" si="707"/>
        <v>0</v>
      </c>
      <c r="EP108" s="4850">
        <f t="shared" si="706"/>
        <v>0</v>
      </c>
      <c r="EQ108" s="4850">
        <f t="shared" si="706"/>
        <v>0</v>
      </c>
      <c r="ER108" s="4850">
        <f t="shared" si="706"/>
        <v>0</v>
      </c>
    </row>
    <row r="109" spans="1:148" ht="27" customHeight="1" x14ac:dyDescent="0.2">
      <c r="A109" s="3191" t="s">
        <v>4074</v>
      </c>
      <c r="B109" s="3191"/>
      <c r="C109" s="3191"/>
      <c r="D109" s="3191"/>
      <c r="E109" s="3191"/>
      <c r="F109" s="3191"/>
      <c r="G109" s="3191"/>
      <c r="H109" s="3191"/>
      <c r="I109" s="3191"/>
      <c r="J109" s="3191"/>
      <c r="K109" s="3191"/>
      <c r="L109" s="3191"/>
      <c r="M109" s="3191"/>
      <c r="N109" s="3191"/>
      <c r="O109" s="3191"/>
      <c r="P109" s="3191"/>
      <c r="Q109" s="3191"/>
      <c r="R109" s="3191"/>
      <c r="S109" s="3191"/>
      <c r="T109" s="3191"/>
      <c r="U109" s="3191"/>
      <c r="V109" s="3191"/>
      <c r="W109" s="2578"/>
      <c r="X109" s="3191"/>
      <c r="Y109" s="2578"/>
      <c r="Z109" s="2578"/>
      <c r="AA109" s="2578"/>
      <c r="AB109" s="2578"/>
      <c r="AC109" s="2578"/>
      <c r="AD109" s="2578"/>
      <c r="AE109" s="2578"/>
      <c r="AF109" s="3740"/>
      <c r="AG109" s="2578"/>
      <c r="AH109" s="2578"/>
      <c r="AI109" s="2578"/>
      <c r="AJ109" s="3740"/>
      <c r="AK109" s="2578"/>
      <c r="AL109" s="2578"/>
      <c r="AM109" s="2578"/>
      <c r="AN109" s="2578"/>
      <c r="AO109" s="2578"/>
      <c r="AP109" s="2578"/>
      <c r="AQ109" s="2578"/>
      <c r="AR109" s="2578"/>
      <c r="AS109" s="2578"/>
      <c r="AT109" s="2578"/>
      <c r="AU109" s="2578"/>
      <c r="AV109" s="2578"/>
      <c r="AW109" s="3741"/>
      <c r="AX109" s="2578"/>
      <c r="AY109" s="2578"/>
      <c r="AZ109" s="2578"/>
      <c r="BA109" s="3741"/>
      <c r="BB109" s="2578"/>
      <c r="BC109" s="2578"/>
      <c r="BD109" s="2578"/>
      <c r="BE109" s="2578"/>
      <c r="BF109" s="2578"/>
      <c r="BG109" s="2578"/>
      <c r="BH109" s="2578"/>
      <c r="BI109" s="2578"/>
      <c r="BJ109" s="2578"/>
      <c r="BK109" s="2578"/>
      <c r="BL109" s="2578"/>
      <c r="BM109" s="2578"/>
      <c r="BN109" s="2578"/>
      <c r="BO109" s="2578"/>
      <c r="BP109" s="2578"/>
      <c r="BQ109" s="2578"/>
      <c r="BR109" s="2578"/>
      <c r="BS109" s="2578">
        <f t="shared" ref="BS109:BX109" si="708">BS51</f>
        <v>517.29666900000007</v>
      </c>
      <c r="BT109" s="2578">
        <f t="shared" si="708"/>
        <v>517.29666900000007</v>
      </c>
      <c r="BU109" s="2578">
        <f t="shared" si="708"/>
        <v>0</v>
      </c>
      <c r="BV109" s="2578">
        <f t="shared" si="708"/>
        <v>549.04411800000003</v>
      </c>
      <c r="BW109" s="2578">
        <f t="shared" si="708"/>
        <v>549.04411800000003</v>
      </c>
      <c r="BX109" s="2578">
        <f t="shared" si="708"/>
        <v>0</v>
      </c>
      <c r="BY109" s="1726"/>
      <c r="BZ109" s="3735"/>
      <c r="CA109" s="3735"/>
      <c r="CB109" s="3735"/>
      <c r="CC109" s="3735"/>
      <c r="CD109" s="3735"/>
      <c r="CE109" s="3735"/>
      <c r="CF109" s="3735"/>
      <c r="CG109" s="3735"/>
      <c r="CH109" s="3735"/>
      <c r="CI109" s="3735"/>
      <c r="CJ109" s="3735"/>
      <c r="CK109" s="2578">
        <f t="shared" ref="CK109:DP109" si="709">CK51</f>
        <v>322.41899999999998</v>
      </c>
      <c r="CL109" s="2578">
        <f t="shared" si="709"/>
        <v>322.41899999999998</v>
      </c>
      <c r="CM109" s="2578">
        <f t="shared" si="709"/>
        <v>0</v>
      </c>
      <c r="CN109" s="2578">
        <f t="shared" si="709"/>
        <v>0</v>
      </c>
      <c r="CO109" s="2578">
        <f t="shared" si="709"/>
        <v>0</v>
      </c>
      <c r="CP109" s="2578">
        <f t="shared" si="709"/>
        <v>0</v>
      </c>
      <c r="CQ109" s="2578">
        <f t="shared" si="709"/>
        <v>0</v>
      </c>
      <c r="CR109" s="2578">
        <f t="shared" si="709"/>
        <v>0</v>
      </c>
      <c r="CS109" s="2578">
        <f t="shared" si="709"/>
        <v>0</v>
      </c>
      <c r="CT109" s="2578">
        <f t="shared" si="709"/>
        <v>648.35</v>
      </c>
      <c r="CU109" s="2578">
        <f t="shared" si="709"/>
        <v>648.35</v>
      </c>
      <c r="CV109" s="2578">
        <f t="shared" si="709"/>
        <v>0</v>
      </c>
      <c r="CW109" s="2578">
        <f t="shared" si="709"/>
        <v>704.58079999999995</v>
      </c>
      <c r="CX109" s="2578">
        <f t="shared" si="709"/>
        <v>704.58079999999995</v>
      </c>
      <c r="CY109" s="2578">
        <f t="shared" si="709"/>
        <v>0</v>
      </c>
      <c r="CZ109" s="2578">
        <f t="shared" si="709"/>
        <v>316.125</v>
      </c>
      <c r="DA109" s="2578">
        <f t="shared" si="709"/>
        <v>316.125</v>
      </c>
      <c r="DB109" s="2578">
        <f t="shared" si="709"/>
        <v>0</v>
      </c>
      <c r="DC109" s="2578">
        <f t="shared" si="709"/>
        <v>193.685</v>
      </c>
      <c r="DD109" s="2578">
        <f t="shared" si="709"/>
        <v>193.685</v>
      </c>
      <c r="DE109" s="2578">
        <f t="shared" si="709"/>
        <v>0</v>
      </c>
      <c r="DF109" s="2578">
        <f t="shared" si="709"/>
        <v>280.77</v>
      </c>
      <c r="DG109" s="2578">
        <f t="shared" si="709"/>
        <v>280.77</v>
      </c>
      <c r="DH109" s="2578">
        <f t="shared" si="709"/>
        <v>0</v>
      </c>
      <c r="DI109" s="2578">
        <f t="shared" si="709"/>
        <v>380.57900000000001</v>
      </c>
      <c r="DJ109" s="2578">
        <f t="shared" si="709"/>
        <v>380.57900000000001</v>
      </c>
      <c r="DK109" s="2578">
        <f t="shared" si="709"/>
        <v>0</v>
      </c>
      <c r="DL109" s="2578">
        <f t="shared" si="709"/>
        <v>331.93125000000003</v>
      </c>
      <c r="DM109" s="2578">
        <f t="shared" si="709"/>
        <v>331.93125000000003</v>
      </c>
      <c r="DN109" s="2578">
        <f t="shared" si="709"/>
        <v>0</v>
      </c>
      <c r="DO109" s="2578">
        <f t="shared" si="709"/>
        <v>211.25448</v>
      </c>
      <c r="DP109" s="2578">
        <f t="shared" si="709"/>
        <v>211.25448</v>
      </c>
      <c r="DQ109" s="2578">
        <f t="shared" ref="DQ109:EI109" si="710">DQ51</f>
        <v>0</v>
      </c>
      <c r="DR109" s="2578">
        <f t="shared" si="710"/>
        <v>141.36000000000001</v>
      </c>
      <c r="DS109" s="2578">
        <f t="shared" si="710"/>
        <v>141.36000000000001</v>
      </c>
      <c r="DT109" s="2578">
        <f t="shared" si="710"/>
        <v>0</v>
      </c>
      <c r="DU109" s="2578">
        <f t="shared" si="710"/>
        <v>199.53399999999999</v>
      </c>
      <c r="DV109" s="2578">
        <f t="shared" si="710"/>
        <v>199.53399999999999</v>
      </c>
      <c r="DW109" s="2578">
        <f t="shared" si="710"/>
        <v>0</v>
      </c>
      <c r="DX109" s="2578">
        <f t="shared" si="710"/>
        <v>269.267</v>
      </c>
      <c r="DY109" s="2578">
        <f t="shared" si="710"/>
        <v>269.267</v>
      </c>
      <c r="DZ109" s="2578">
        <f t="shared" si="710"/>
        <v>0</v>
      </c>
      <c r="EA109" s="2442">
        <f t="shared" si="710"/>
        <v>219.59903196000005</v>
      </c>
      <c r="EB109" s="2442">
        <f t="shared" si="710"/>
        <v>219.59903196000005</v>
      </c>
      <c r="EC109" s="2442">
        <f t="shared" si="710"/>
        <v>0</v>
      </c>
      <c r="ED109" s="3961">
        <f t="shared" si="710"/>
        <v>0</v>
      </c>
      <c r="EE109" s="3961">
        <f t="shared" si="710"/>
        <v>0</v>
      </c>
      <c r="EF109" s="3961">
        <f t="shared" si="710"/>
        <v>0</v>
      </c>
      <c r="EG109" s="2442">
        <f t="shared" si="710"/>
        <v>219.59903196000005</v>
      </c>
      <c r="EH109" s="2442">
        <f t="shared" si="710"/>
        <v>219.59903196000005</v>
      </c>
      <c r="EI109" s="2442">
        <f t="shared" si="710"/>
        <v>0</v>
      </c>
      <c r="EJ109" s="2442">
        <f t="shared" ref="EJ109:ER109" si="711">EJ51</f>
        <v>207.92939999999999</v>
      </c>
      <c r="EK109" s="2442">
        <f t="shared" si="711"/>
        <v>207.92939999999999</v>
      </c>
      <c r="EL109" s="2442">
        <f t="shared" si="711"/>
        <v>0</v>
      </c>
      <c r="EM109" s="4849">
        <f t="shared" ref="EM109:EO109" si="712">EM51</f>
        <v>92.610810000000001</v>
      </c>
      <c r="EN109" s="4849">
        <f t="shared" si="712"/>
        <v>92.610810000000001</v>
      </c>
      <c r="EO109" s="4849">
        <f t="shared" si="712"/>
        <v>0</v>
      </c>
      <c r="EP109" s="4849">
        <f t="shared" si="711"/>
        <v>139.07459</v>
      </c>
      <c r="EQ109" s="4849">
        <f t="shared" si="711"/>
        <v>139.07459</v>
      </c>
      <c r="ER109" s="4849">
        <f t="shared" si="711"/>
        <v>0</v>
      </c>
    </row>
    <row r="110" spans="1:148" ht="27" customHeight="1" x14ac:dyDescent="0.2">
      <c r="A110" s="3214" t="s">
        <v>504</v>
      </c>
      <c r="B110" s="3191"/>
      <c r="C110" s="3191"/>
      <c r="D110" s="3191"/>
      <c r="E110" s="3191"/>
      <c r="F110" s="3191"/>
      <c r="G110" s="3191"/>
      <c r="H110" s="3191"/>
      <c r="I110" s="3191"/>
      <c r="J110" s="3191"/>
      <c r="K110" s="3191"/>
      <c r="L110" s="3191"/>
      <c r="M110" s="3191"/>
      <c r="N110" s="3191"/>
      <c r="O110" s="3191"/>
      <c r="P110" s="3191"/>
      <c r="Q110" s="3191"/>
      <c r="R110" s="3191"/>
      <c r="S110" s="3191"/>
      <c r="T110" s="3191"/>
      <c r="U110" s="3191"/>
      <c r="V110" s="3191"/>
      <c r="W110" s="2578">
        <f>SUM(W52)</f>
        <v>0</v>
      </c>
      <c r="X110" s="3191"/>
      <c r="Y110" s="2578">
        <f t="shared" ref="Y110:AE110" si="713">SUM(Y52)</f>
        <v>0</v>
      </c>
      <c r="Z110" s="2578">
        <f t="shared" si="713"/>
        <v>0</v>
      </c>
      <c r="AA110" s="2578">
        <f t="shared" si="713"/>
        <v>0</v>
      </c>
      <c r="AB110" s="2578">
        <f t="shared" si="713"/>
        <v>0</v>
      </c>
      <c r="AC110" s="2578">
        <f t="shared" si="713"/>
        <v>0</v>
      </c>
      <c r="AD110" s="2578">
        <f t="shared" si="713"/>
        <v>0</v>
      </c>
      <c r="AE110" s="2578">
        <f t="shared" si="713"/>
        <v>885.62</v>
      </c>
      <c r="AF110" s="3740" t="e">
        <f t="shared" si="598"/>
        <v>#DIV/0!</v>
      </c>
      <c r="AG110" s="2578">
        <f>SUM(AG52)</f>
        <v>885.62</v>
      </c>
      <c r="AH110" s="2578">
        <f>SUM(AH52)</f>
        <v>0</v>
      </c>
      <c r="AI110" s="2578">
        <f>SUM(AI52)</f>
        <v>1458.3999999999999</v>
      </c>
      <c r="AJ110" s="3740" t="e">
        <f t="shared" si="599"/>
        <v>#DIV/0!</v>
      </c>
      <c r="AK110" s="2578">
        <f t="shared" ref="AK110:AV110" si="714">SUM(AK52)</f>
        <v>1450.3</v>
      </c>
      <c r="AL110" s="2578">
        <f t="shared" si="714"/>
        <v>8.1</v>
      </c>
      <c r="AM110" s="2578">
        <f t="shared" si="714"/>
        <v>0</v>
      </c>
      <c r="AN110" s="2578">
        <f t="shared" si="714"/>
        <v>0</v>
      </c>
      <c r="AO110" s="2578">
        <f t="shared" si="714"/>
        <v>0</v>
      </c>
      <c r="AP110" s="2578">
        <f t="shared" si="714"/>
        <v>0</v>
      </c>
      <c r="AQ110" s="2578">
        <f t="shared" si="714"/>
        <v>0</v>
      </c>
      <c r="AR110" s="2578">
        <f t="shared" si="714"/>
        <v>0</v>
      </c>
      <c r="AS110" s="2578">
        <f t="shared" si="714"/>
        <v>0</v>
      </c>
      <c r="AT110" s="2578">
        <f t="shared" si="714"/>
        <v>0</v>
      </c>
      <c r="AU110" s="2578">
        <f t="shared" si="714"/>
        <v>0</v>
      </c>
      <c r="AV110" s="2578">
        <f t="shared" si="714"/>
        <v>26.1</v>
      </c>
      <c r="AW110" s="3741">
        <f t="shared" si="601"/>
        <v>1.7896324739440486E-2</v>
      </c>
      <c r="AX110" s="2578">
        <f>SUM(AX52)</f>
        <v>26.1</v>
      </c>
      <c r="AY110" s="2578">
        <f>SUM(AY52)</f>
        <v>0</v>
      </c>
      <c r="AZ110" s="2578">
        <f>SUM(AZ52)</f>
        <v>26.100000000000009</v>
      </c>
      <c r="BA110" s="3741">
        <f t="shared" si="602"/>
        <v>1.789632473944049E-2</v>
      </c>
      <c r="BB110" s="2578">
        <f t="shared" ref="BB110:BX110" si="715">SUM(BB52)</f>
        <v>26.100000000000009</v>
      </c>
      <c r="BC110" s="2578">
        <f t="shared" si="715"/>
        <v>0</v>
      </c>
      <c r="BD110" s="2578">
        <f t="shared" si="715"/>
        <v>0</v>
      </c>
      <c r="BE110" s="2578">
        <f t="shared" si="715"/>
        <v>0</v>
      </c>
      <c r="BF110" s="2578">
        <f t="shared" si="715"/>
        <v>0</v>
      </c>
      <c r="BG110" s="2578">
        <f t="shared" si="715"/>
        <v>0</v>
      </c>
      <c r="BH110" s="2578">
        <f t="shared" si="715"/>
        <v>0</v>
      </c>
      <c r="BI110" s="2578">
        <f t="shared" si="715"/>
        <v>0</v>
      </c>
      <c r="BJ110" s="2578">
        <f t="shared" si="715"/>
        <v>0</v>
      </c>
      <c r="BK110" s="2578">
        <f t="shared" si="715"/>
        <v>0</v>
      </c>
      <c r="BL110" s="2578">
        <f t="shared" si="715"/>
        <v>0</v>
      </c>
      <c r="BM110" s="2578">
        <f t="shared" si="715"/>
        <v>0</v>
      </c>
      <c r="BN110" s="2578">
        <f t="shared" si="715"/>
        <v>0</v>
      </c>
      <c r="BO110" s="2578">
        <f t="shared" si="715"/>
        <v>0</v>
      </c>
      <c r="BP110" s="2578">
        <f t="shared" si="715"/>
        <v>0</v>
      </c>
      <c r="BQ110" s="2578">
        <f t="shared" si="715"/>
        <v>0</v>
      </c>
      <c r="BR110" s="2578">
        <f t="shared" si="715"/>
        <v>0</v>
      </c>
      <c r="BS110" s="2578">
        <f t="shared" si="715"/>
        <v>0</v>
      </c>
      <c r="BT110" s="2578">
        <f t="shared" si="715"/>
        <v>0</v>
      </c>
      <c r="BU110" s="2578">
        <f t="shared" si="715"/>
        <v>0</v>
      </c>
      <c r="BV110" s="2578">
        <f t="shared" si="715"/>
        <v>0</v>
      </c>
      <c r="BW110" s="2578">
        <f t="shared" si="715"/>
        <v>0</v>
      </c>
      <c r="BX110" s="2578">
        <f t="shared" si="715"/>
        <v>0</v>
      </c>
      <c r="BY110" s="1726"/>
      <c r="BZ110" s="3735"/>
      <c r="CA110" s="3735"/>
      <c r="CB110" s="3735"/>
      <c r="CC110" s="3735"/>
      <c r="CD110" s="3735"/>
      <c r="CE110" s="3735"/>
      <c r="CF110" s="3735"/>
      <c r="CG110" s="3735"/>
      <c r="CH110" s="3735"/>
      <c r="CI110" s="3735"/>
      <c r="CJ110" s="3735"/>
      <c r="CK110" s="2578">
        <f t="shared" ref="CK110:DP110" si="716">SUM(CK52)</f>
        <v>0</v>
      </c>
      <c r="CL110" s="2578">
        <f t="shared" si="716"/>
        <v>0</v>
      </c>
      <c r="CM110" s="2578">
        <f t="shared" si="716"/>
        <v>0</v>
      </c>
      <c r="CN110" s="2578">
        <f t="shared" si="716"/>
        <v>0</v>
      </c>
      <c r="CO110" s="2578">
        <f t="shared" si="716"/>
        <v>0</v>
      </c>
      <c r="CP110" s="2578">
        <f t="shared" si="716"/>
        <v>0</v>
      </c>
      <c r="CQ110" s="2578">
        <f t="shared" si="716"/>
        <v>0</v>
      </c>
      <c r="CR110" s="2578">
        <f t="shared" si="716"/>
        <v>0</v>
      </c>
      <c r="CS110" s="2578">
        <f t="shared" si="716"/>
        <v>0</v>
      </c>
      <c r="CT110" s="2578">
        <f t="shared" si="716"/>
        <v>0</v>
      </c>
      <c r="CU110" s="2578">
        <f t="shared" si="716"/>
        <v>0</v>
      </c>
      <c r="CV110" s="2578">
        <f t="shared" si="716"/>
        <v>0</v>
      </c>
      <c r="CW110" s="2578">
        <f t="shared" si="716"/>
        <v>0</v>
      </c>
      <c r="CX110" s="2578">
        <f t="shared" si="716"/>
        <v>0</v>
      </c>
      <c r="CY110" s="2578">
        <f t="shared" si="716"/>
        <v>0</v>
      </c>
      <c r="CZ110" s="2578">
        <f t="shared" si="716"/>
        <v>0</v>
      </c>
      <c r="DA110" s="2578">
        <f t="shared" si="716"/>
        <v>0</v>
      </c>
      <c r="DB110" s="2578">
        <f t="shared" si="716"/>
        <v>0</v>
      </c>
      <c r="DC110" s="2578">
        <f t="shared" si="716"/>
        <v>0</v>
      </c>
      <c r="DD110" s="2578">
        <f t="shared" si="716"/>
        <v>0</v>
      </c>
      <c r="DE110" s="2578">
        <f t="shared" si="716"/>
        <v>0</v>
      </c>
      <c r="DF110" s="2578">
        <f t="shared" si="716"/>
        <v>0</v>
      </c>
      <c r="DG110" s="2578">
        <f t="shared" si="716"/>
        <v>0</v>
      </c>
      <c r="DH110" s="2578">
        <f t="shared" si="716"/>
        <v>0</v>
      </c>
      <c r="DI110" s="2578">
        <f t="shared" si="716"/>
        <v>0</v>
      </c>
      <c r="DJ110" s="2578">
        <f t="shared" si="716"/>
        <v>0</v>
      </c>
      <c r="DK110" s="2578">
        <f t="shared" si="716"/>
        <v>0</v>
      </c>
      <c r="DL110" s="2578">
        <f t="shared" si="716"/>
        <v>0</v>
      </c>
      <c r="DM110" s="2578">
        <f t="shared" si="716"/>
        <v>0</v>
      </c>
      <c r="DN110" s="2578">
        <f t="shared" si="716"/>
        <v>0</v>
      </c>
      <c r="DO110" s="2578">
        <f t="shared" si="716"/>
        <v>0</v>
      </c>
      <c r="DP110" s="2578">
        <f t="shared" si="716"/>
        <v>0</v>
      </c>
      <c r="DQ110" s="2578">
        <f t="shared" ref="DQ110:EI110" si="717">SUM(DQ52)</f>
        <v>0</v>
      </c>
      <c r="DR110" s="2578">
        <f t="shared" si="717"/>
        <v>0</v>
      </c>
      <c r="DS110" s="2578">
        <f t="shared" si="717"/>
        <v>0</v>
      </c>
      <c r="DT110" s="2578">
        <f t="shared" si="717"/>
        <v>0</v>
      </c>
      <c r="DU110" s="2578">
        <f t="shared" si="717"/>
        <v>0</v>
      </c>
      <c r="DV110" s="2578">
        <f t="shared" si="717"/>
        <v>0</v>
      </c>
      <c r="DW110" s="2578">
        <f t="shared" si="717"/>
        <v>0</v>
      </c>
      <c r="DX110" s="2578">
        <f t="shared" si="717"/>
        <v>0</v>
      </c>
      <c r="DY110" s="2578">
        <f t="shared" si="717"/>
        <v>0</v>
      </c>
      <c r="DZ110" s="2578">
        <f t="shared" si="717"/>
        <v>0</v>
      </c>
      <c r="EA110" s="2442">
        <f t="shared" si="717"/>
        <v>1530.9629800000009</v>
      </c>
      <c r="EB110" s="2442">
        <f t="shared" si="717"/>
        <v>1530.9629800000009</v>
      </c>
      <c r="EC110" s="2442">
        <f t="shared" si="717"/>
        <v>0</v>
      </c>
      <c r="ED110" s="3961">
        <f t="shared" si="717"/>
        <v>0</v>
      </c>
      <c r="EE110" s="3961">
        <f t="shared" si="717"/>
        <v>0</v>
      </c>
      <c r="EF110" s="3961">
        <f t="shared" si="717"/>
        <v>0</v>
      </c>
      <c r="EG110" s="2442">
        <f t="shared" si="717"/>
        <v>1530.9629800000009</v>
      </c>
      <c r="EH110" s="2442">
        <f t="shared" si="717"/>
        <v>1530.9629800000009</v>
      </c>
      <c r="EI110" s="2442">
        <f t="shared" si="717"/>
        <v>0</v>
      </c>
      <c r="EJ110" s="2442">
        <f t="shared" ref="EJ110:ER110" si="718">SUM(EJ52)</f>
        <v>0</v>
      </c>
      <c r="EK110" s="2442">
        <f t="shared" si="718"/>
        <v>0</v>
      </c>
      <c r="EL110" s="2442">
        <f t="shared" si="718"/>
        <v>0</v>
      </c>
      <c r="EM110" s="4849">
        <f t="shared" ref="EM110:EO110" si="719">SUM(EM52)</f>
        <v>0</v>
      </c>
      <c r="EN110" s="4849">
        <f t="shared" si="719"/>
        <v>0</v>
      </c>
      <c r="EO110" s="4849">
        <f t="shared" si="719"/>
        <v>0</v>
      </c>
      <c r="EP110" s="4849">
        <f t="shared" si="718"/>
        <v>0</v>
      </c>
      <c r="EQ110" s="4849">
        <f t="shared" si="718"/>
        <v>0</v>
      </c>
      <c r="ER110" s="4849">
        <f t="shared" si="718"/>
        <v>0</v>
      </c>
    </row>
    <row r="111" spans="1:148" ht="27" customHeight="1" x14ac:dyDescent="0.2">
      <c r="A111" s="3724" t="s">
        <v>3962</v>
      </c>
      <c r="B111" s="3191"/>
      <c r="C111" s="3191"/>
      <c r="D111" s="3191"/>
      <c r="E111" s="3191"/>
      <c r="F111" s="3191"/>
      <c r="G111" s="3191"/>
      <c r="H111" s="3191"/>
      <c r="I111" s="3191"/>
      <c r="J111" s="3191"/>
      <c r="K111" s="3191"/>
      <c r="L111" s="3191"/>
      <c r="M111" s="3191"/>
      <c r="N111" s="3191"/>
      <c r="O111" s="3191"/>
      <c r="P111" s="3191"/>
      <c r="Q111" s="3191"/>
      <c r="R111" s="3191"/>
      <c r="S111" s="3191"/>
      <c r="T111" s="3191"/>
      <c r="U111" s="3191"/>
      <c r="V111" s="3191"/>
      <c r="W111" s="2578"/>
      <c r="X111" s="3191"/>
      <c r="Y111" s="2578"/>
      <c r="Z111" s="2578"/>
      <c r="AA111" s="2578"/>
      <c r="AB111" s="2578"/>
      <c r="AC111" s="2578"/>
      <c r="AD111" s="2578"/>
      <c r="AE111" s="2578"/>
      <c r="AF111" s="3740"/>
      <c r="AG111" s="2578"/>
      <c r="AH111" s="2578"/>
      <c r="AI111" s="2578"/>
      <c r="AJ111" s="3740"/>
      <c r="AK111" s="2578"/>
      <c r="AL111" s="2578"/>
      <c r="AM111" s="2578"/>
      <c r="AN111" s="2578"/>
      <c r="AO111" s="2578"/>
      <c r="AP111" s="2578"/>
      <c r="AQ111" s="2578"/>
      <c r="AR111" s="2578"/>
      <c r="AS111" s="2578"/>
      <c r="AT111" s="2578"/>
      <c r="AU111" s="2578"/>
      <c r="AV111" s="2578"/>
      <c r="AW111" s="3741"/>
      <c r="AX111" s="2578"/>
      <c r="AY111" s="2578"/>
      <c r="AZ111" s="2578"/>
      <c r="BA111" s="3741"/>
      <c r="BB111" s="2578"/>
      <c r="BC111" s="2578"/>
      <c r="BD111" s="2578"/>
      <c r="BE111" s="2578"/>
      <c r="BF111" s="2578"/>
      <c r="BG111" s="2578"/>
      <c r="BH111" s="2578"/>
      <c r="BI111" s="2578"/>
      <c r="BJ111" s="2578"/>
      <c r="BK111" s="2578"/>
      <c r="BL111" s="2578"/>
      <c r="BM111" s="2578"/>
      <c r="BN111" s="2578"/>
      <c r="BO111" s="2578"/>
      <c r="BP111" s="2578"/>
      <c r="BQ111" s="2578"/>
      <c r="BR111" s="2578"/>
      <c r="BS111" s="2578"/>
      <c r="BT111" s="2578"/>
      <c r="BU111" s="2578"/>
      <c r="BV111" s="2578"/>
      <c r="BW111" s="2578"/>
      <c r="BX111" s="2578"/>
      <c r="BY111" s="1726"/>
      <c r="BZ111" s="3735"/>
      <c r="CA111" s="3735"/>
      <c r="CB111" s="3735"/>
      <c r="CC111" s="3735"/>
      <c r="CD111" s="3735"/>
      <c r="CE111" s="3735"/>
      <c r="CF111" s="3735"/>
      <c r="CG111" s="3735"/>
      <c r="CH111" s="3735"/>
      <c r="CI111" s="3735"/>
      <c r="CJ111" s="3735"/>
      <c r="CK111" s="2578"/>
      <c r="CL111" s="2578"/>
      <c r="CM111" s="2578"/>
      <c r="CN111" s="2578"/>
      <c r="CO111" s="2578"/>
      <c r="CP111" s="2578"/>
      <c r="CQ111" s="2578"/>
      <c r="CR111" s="2578"/>
      <c r="CS111" s="2578"/>
      <c r="CT111" s="2578"/>
      <c r="CU111" s="2578"/>
      <c r="CV111" s="2578"/>
      <c r="CW111" s="2578"/>
      <c r="CX111" s="2578"/>
      <c r="CY111" s="2578"/>
      <c r="CZ111" s="2578"/>
      <c r="DA111" s="2578"/>
      <c r="DB111" s="2578"/>
      <c r="DC111" s="2578"/>
      <c r="DD111" s="2578"/>
      <c r="DE111" s="2578"/>
      <c r="DF111" s="2578"/>
      <c r="DG111" s="2578"/>
      <c r="DH111" s="2578"/>
      <c r="DI111" s="2578"/>
      <c r="DJ111" s="2578"/>
      <c r="DK111" s="2578"/>
      <c r="DL111" s="2578"/>
      <c r="DM111" s="2578"/>
      <c r="DN111" s="2578"/>
      <c r="DO111" s="2578"/>
      <c r="DP111" s="2578"/>
      <c r="DQ111" s="2578"/>
      <c r="DR111" s="2578">
        <f t="shared" ref="DR111:EC111" si="720">SUM(DR53)</f>
        <v>136.93757199999999</v>
      </c>
      <c r="DS111" s="2578">
        <f t="shared" si="720"/>
        <v>136.93757199999999</v>
      </c>
      <c r="DT111" s="2578">
        <f t="shared" si="720"/>
        <v>0</v>
      </c>
      <c r="DU111" s="2578">
        <f t="shared" si="720"/>
        <v>211.18517600000001</v>
      </c>
      <c r="DV111" s="2578">
        <f t="shared" si="720"/>
        <v>211.18517600000001</v>
      </c>
      <c r="DW111" s="2578">
        <f t="shared" si="720"/>
        <v>0</v>
      </c>
      <c r="DX111" s="2578">
        <f t="shared" si="720"/>
        <v>278.86663199999998</v>
      </c>
      <c r="DY111" s="2578">
        <f t="shared" si="720"/>
        <v>278.86663199999998</v>
      </c>
      <c r="DZ111" s="2578">
        <f t="shared" si="720"/>
        <v>0</v>
      </c>
      <c r="EA111" s="2442">
        <f t="shared" si="720"/>
        <v>252.89879999999999</v>
      </c>
      <c r="EB111" s="2442">
        <f t="shared" si="720"/>
        <v>252.89879999999999</v>
      </c>
      <c r="EC111" s="2442">
        <f t="shared" si="720"/>
        <v>0</v>
      </c>
      <c r="ED111" s="3961"/>
      <c r="EE111" s="3961"/>
      <c r="EF111" s="3961"/>
      <c r="EG111" s="2442">
        <f t="shared" ref="EG111:EI115" si="721">SUM(EG53)</f>
        <v>252.89879999999999</v>
      </c>
      <c r="EH111" s="2442">
        <f t="shared" si="721"/>
        <v>252.89879999999999</v>
      </c>
      <c r="EI111" s="2442">
        <f t="shared" si="721"/>
        <v>0</v>
      </c>
      <c r="EJ111" s="2442">
        <f t="shared" ref="EJ111:ER111" si="722">SUM(EJ53)</f>
        <v>0</v>
      </c>
      <c r="EK111" s="2442">
        <f t="shared" si="722"/>
        <v>0</v>
      </c>
      <c r="EL111" s="2442">
        <f t="shared" si="722"/>
        <v>0</v>
      </c>
      <c r="EM111" s="4849">
        <f t="shared" ref="EM111:EO111" si="723">SUM(EM53)</f>
        <v>0</v>
      </c>
      <c r="EN111" s="4849">
        <f t="shared" si="723"/>
        <v>0</v>
      </c>
      <c r="EO111" s="4849">
        <f t="shared" si="723"/>
        <v>0</v>
      </c>
      <c r="EP111" s="4849">
        <f t="shared" si="722"/>
        <v>0</v>
      </c>
      <c r="EQ111" s="4849">
        <f t="shared" si="722"/>
        <v>0</v>
      </c>
      <c r="ER111" s="4849">
        <f t="shared" si="722"/>
        <v>0</v>
      </c>
    </row>
    <row r="112" spans="1:148" ht="34.5" customHeight="1" x14ac:dyDescent="0.2">
      <c r="A112" s="3724" t="s">
        <v>3920</v>
      </c>
      <c r="B112" s="3191"/>
      <c r="C112" s="3191"/>
      <c r="D112" s="3191"/>
      <c r="E112" s="3191"/>
      <c r="F112" s="3191"/>
      <c r="G112" s="3191"/>
      <c r="H112" s="3191"/>
      <c r="I112" s="3191"/>
      <c r="J112" s="3191"/>
      <c r="K112" s="3191"/>
      <c r="L112" s="3191"/>
      <c r="M112" s="3191"/>
      <c r="N112" s="3191"/>
      <c r="O112" s="3191"/>
      <c r="P112" s="3191"/>
      <c r="Q112" s="3191"/>
      <c r="R112" s="3191"/>
      <c r="S112" s="3191"/>
      <c r="T112" s="3191"/>
      <c r="U112" s="3191"/>
      <c r="V112" s="3191"/>
      <c r="W112" s="2578"/>
      <c r="X112" s="3191"/>
      <c r="Y112" s="2578"/>
      <c r="Z112" s="2578"/>
      <c r="AA112" s="2578"/>
      <c r="AB112" s="2578"/>
      <c r="AC112" s="2578"/>
      <c r="AD112" s="2578"/>
      <c r="AE112" s="2578"/>
      <c r="AF112" s="3740"/>
      <c r="AG112" s="2578"/>
      <c r="AH112" s="2578"/>
      <c r="AI112" s="2578"/>
      <c r="AJ112" s="3740"/>
      <c r="AK112" s="2578"/>
      <c r="AL112" s="2578"/>
      <c r="AM112" s="2578"/>
      <c r="AN112" s="2578"/>
      <c r="AO112" s="2578"/>
      <c r="AP112" s="2578"/>
      <c r="AQ112" s="2578"/>
      <c r="AR112" s="2578"/>
      <c r="AS112" s="2578"/>
      <c r="AT112" s="2578"/>
      <c r="AU112" s="2578"/>
      <c r="AV112" s="2578"/>
      <c r="AW112" s="3741"/>
      <c r="AX112" s="2578"/>
      <c r="AY112" s="2578"/>
      <c r="AZ112" s="2578"/>
      <c r="BA112" s="3741"/>
      <c r="BB112" s="2578"/>
      <c r="BC112" s="2578"/>
      <c r="BD112" s="2578"/>
      <c r="BE112" s="2578"/>
      <c r="BF112" s="2578"/>
      <c r="BG112" s="2578"/>
      <c r="BH112" s="2578"/>
      <c r="BI112" s="2578"/>
      <c r="BJ112" s="2578"/>
      <c r="BK112" s="2578"/>
      <c r="BL112" s="2578"/>
      <c r="BM112" s="2578"/>
      <c r="BN112" s="2578"/>
      <c r="BO112" s="2578"/>
      <c r="BP112" s="2578"/>
      <c r="BQ112" s="2578"/>
      <c r="BR112" s="2578"/>
      <c r="BS112" s="2578"/>
      <c r="BT112" s="2578"/>
      <c r="BU112" s="2578"/>
      <c r="BV112" s="2578"/>
      <c r="BW112" s="2578"/>
      <c r="BX112" s="2578"/>
      <c r="BY112" s="1726"/>
      <c r="BZ112" s="3735"/>
      <c r="CA112" s="3735"/>
      <c r="CB112" s="3735"/>
      <c r="CC112" s="3735"/>
      <c r="CD112" s="3735"/>
      <c r="CE112" s="3735"/>
      <c r="CF112" s="3735"/>
      <c r="CG112" s="3735"/>
      <c r="CH112" s="3735"/>
      <c r="CI112" s="3735"/>
      <c r="CJ112" s="3735"/>
      <c r="CK112" s="2578"/>
      <c r="CL112" s="2578"/>
      <c r="CM112" s="2578"/>
      <c r="CN112" s="2578"/>
      <c r="CO112" s="2578"/>
      <c r="CP112" s="2578"/>
      <c r="CQ112" s="2578"/>
      <c r="CR112" s="2578"/>
      <c r="CS112" s="2578"/>
      <c r="CT112" s="2578"/>
      <c r="CU112" s="2578"/>
      <c r="CV112" s="2578"/>
      <c r="CW112" s="2578"/>
      <c r="CX112" s="2578"/>
      <c r="CY112" s="2578"/>
      <c r="CZ112" s="2578"/>
      <c r="DA112" s="2578"/>
      <c r="DB112" s="2578"/>
      <c r="DC112" s="2578"/>
      <c r="DD112" s="2578"/>
      <c r="DE112" s="2578"/>
      <c r="DF112" s="2578"/>
      <c r="DG112" s="2578"/>
      <c r="DH112" s="2578"/>
      <c r="DI112" s="2578"/>
      <c r="DJ112" s="2578"/>
      <c r="DK112" s="2578"/>
      <c r="DL112" s="2578">
        <f t="shared" ref="DL112:DQ112" si="724">SUM(DL54)</f>
        <v>491.5470695043191</v>
      </c>
      <c r="DM112" s="2578">
        <f t="shared" si="724"/>
        <v>491.5470695043191</v>
      </c>
      <c r="DN112" s="2578">
        <f t="shared" si="724"/>
        <v>0</v>
      </c>
      <c r="DO112" s="2578">
        <f t="shared" si="724"/>
        <v>397.84000000000003</v>
      </c>
      <c r="DP112" s="2578">
        <f t="shared" si="724"/>
        <v>397.84000000000003</v>
      </c>
      <c r="DQ112" s="2578">
        <f t="shared" si="724"/>
        <v>0</v>
      </c>
      <c r="DR112" s="2578"/>
      <c r="DS112" s="2578"/>
      <c r="DT112" s="2578"/>
      <c r="DU112" s="2578"/>
      <c r="DV112" s="2578"/>
      <c r="DW112" s="2578"/>
      <c r="DX112" s="2578"/>
      <c r="DY112" s="2578"/>
      <c r="DZ112" s="2578"/>
      <c r="EA112" s="2442">
        <f t="shared" ref="EA112:EF112" si="725">SUM(EA54)</f>
        <v>413.55468000000002</v>
      </c>
      <c r="EB112" s="2442">
        <f t="shared" si="725"/>
        <v>413.55468000000002</v>
      </c>
      <c r="EC112" s="2442">
        <f t="shared" si="725"/>
        <v>0</v>
      </c>
      <c r="ED112" s="3961">
        <f t="shared" si="725"/>
        <v>0</v>
      </c>
      <c r="EE112" s="3961">
        <f t="shared" si="725"/>
        <v>0</v>
      </c>
      <c r="EF112" s="3961">
        <f t="shared" si="725"/>
        <v>0</v>
      </c>
      <c r="EG112" s="2442">
        <f t="shared" si="721"/>
        <v>413.55468000000002</v>
      </c>
      <c r="EH112" s="2442">
        <f t="shared" si="721"/>
        <v>413.55468000000002</v>
      </c>
      <c r="EI112" s="2442">
        <f t="shared" si="721"/>
        <v>0</v>
      </c>
      <c r="EJ112" s="2442">
        <f t="shared" ref="EJ112:EL112" si="726">SUM(EJ54)</f>
        <v>413.56</v>
      </c>
      <c r="EK112" s="2442">
        <f t="shared" si="726"/>
        <v>413.56</v>
      </c>
      <c r="EL112" s="2442">
        <f t="shared" si="726"/>
        <v>0</v>
      </c>
      <c r="EM112" s="4849"/>
      <c r="EN112" s="4849"/>
      <c r="EO112" s="4849"/>
      <c r="EP112" s="4849"/>
      <c r="EQ112" s="4849"/>
      <c r="ER112" s="4849"/>
    </row>
    <row r="113" spans="1:148" ht="59.25" customHeight="1" x14ac:dyDescent="0.2">
      <c r="A113" s="3724" t="s">
        <v>3974</v>
      </c>
      <c r="B113" s="3191"/>
      <c r="C113" s="3191"/>
      <c r="D113" s="3191"/>
      <c r="E113" s="3191"/>
      <c r="F113" s="3191"/>
      <c r="G113" s="3191"/>
      <c r="H113" s="3191"/>
      <c r="I113" s="3191"/>
      <c r="J113" s="3191"/>
      <c r="K113" s="3191"/>
      <c r="L113" s="3191"/>
      <c r="M113" s="3191"/>
      <c r="N113" s="3191"/>
      <c r="O113" s="3191"/>
      <c r="P113" s="3191"/>
      <c r="Q113" s="3191"/>
      <c r="R113" s="3191"/>
      <c r="S113" s="3191"/>
      <c r="T113" s="3191"/>
      <c r="U113" s="3191"/>
      <c r="V113" s="3191"/>
      <c r="W113" s="2578"/>
      <c r="X113" s="3191"/>
      <c r="Y113" s="2578"/>
      <c r="Z113" s="2578"/>
      <c r="AA113" s="2578"/>
      <c r="AB113" s="2578"/>
      <c r="AC113" s="2578"/>
      <c r="AD113" s="2578"/>
      <c r="AE113" s="2578"/>
      <c r="AF113" s="3740"/>
      <c r="AG113" s="2578"/>
      <c r="AH113" s="2578"/>
      <c r="AI113" s="2578"/>
      <c r="AJ113" s="3740"/>
      <c r="AK113" s="2578"/>
      <c r="AL113" s="2578"/>
      <c r="AM113" s="2578"/>
      <c r="AN113" s="2578"/>
      <c r="AO113" s="2578"/>
      <c r="AP113" s="2578"/>
      <c r="AQ113" s="2578"/>
      <c r="AR113" s="2578"/>
      <c r="AS113" s="2578"/>
      <c r="AT113" s="2578"/>
      <c r="AU113" s="2578"/>
      <c r="AV113" s="2578"/>
      <c r="AW113" s="3741"/>
      <c r="AX113" s="2578"/>
      <c r="AY113" s="2578"/>
      <c r="AZ113" s="2578"/>
      <c r="BA113" s="3741"/>
      <c r="BB113" s="2578"/>
      <c r="BC113" s="2578"/>
      <c r="BD113" s="2578"/>
      <c r="BE113" s="2578"/>
      <c r="BF113" s="2578"/>
      <c r="BG113" s="2578"/>
      <c r="BH113" s="2578"/>
      <c r="BI113" s="2578"/>
      <c r="BJ113" s="2578"/>
      <c r="BK113" s="2578"/>
      <c r="BL113" s="2578"/>
      <c r="BM113" s="2578"/>
      <c r="BN113" s="2578"/>
      <c r="BO113" s="2578"/>
      <c r="BP113" s="2578"/>
      <c r="BQ113" s="2578"/>
      <c r="BR113" s="2578"/>
      <c r="BS113" s="2578"/>
      <c r="BT113" s="2578"/>
      <c r="BU113" s="2578"/>
      <c r="BV113" s="2578"/>
      <c r="BW113" s="2578"/>
      <c r="BX113" s="2578"/>
      <c r="BY113" s="4008"/>
      <c r="BZ113" s="3735"/>
      <c r="CA113" s="3735"/>
      <c r="CB113" s="3735"/>
      <c r="CC113" s="3735"/>
      <c r="CD113" s="3735"/>
      <c r="CE113" s="3735"/>
      <c r="CF113" s="3735"/>
      <c r="CG113" s="3735"/>
      <c r="CH113" s="3735"/>
      <c r="CI113" s="3735"/>
      <c r="CJ113" s="3735"/>
      <c r="CK113" s="2578"/>
      <c r="CL113" s="2578"/>
      <c r="CM113" s="2578"/>
      <c r="CN113" s="2578"/>
      <c r="CO113" s="2578"/>
      <c r="CP113" s="2578"/>
      <c r="CQ113" s="2578"/>
      <c r="CR113" s="2578"/>
      <c r="CS113" s="2578"/>
      <c r="CT113" s="2578"/>
      <c r="CU113" s="2578"/>
      <c r="CV113" s="2578"/>
      <c r="CW113" s="2578"/>
      <c r="CX113" s="2578"/>
      <c r="CY113" s="2578"/>
      <c r="CZ113" s="2578"/>
      <c r="DA113" s="2578"/>
      <c r="DB113" s="2578"/>
      <c r="DC113" s="2578"/>
      <c r="DD113" s="2578"/>
      <c r="DE113" s="2578"/>
      <c r="DF113" s="2578"/>
      <c r="DG113" s="2578"/>
      <c r="DH113" s="2578"/>
      <c r="DI113" s="2578"/>
      <c r="DJ113" s="2578"/>
      <c r="DK113" s="2578"/>
      <c r="DL113" s="2578"/>
      <c r="DM113" s="2578"/>
      <c r="DN113" s="2578"/>
      <c r="DO113" s="2578"/>
      <c r="DP113" s="2578"/>
      <c r="DQ113" s="2578"/>
      <c r="DR113" s="2578"/>
      <c r="DS113" s="2578"/>
      <c r="DT113" s="2578"/>
      <c r="DU113" s="2578"/>
      <c r="DV113" s="2578"/>
      <c r="DW113" s="2578"/>
      <c r="DX113" s="2578"/>
      <c r="DY113" s="2578"/>
      <c r="DZ113" s="2578"/>
      <c r="EA113" s="2442">
        <f t="shared" ref="EA113:EC115" si="727">SUM(EA55)</f>
        <v>1150.4000000000001</v>
      </c>
      <c r="EB113" s="2442">
        <f t="shared" si="727"/>
        <v>1150.4000000000001</v>
      </c>
      <c r="EC113" s="2442">
        <f t="shared" si="727"/>
        <v>0</v>
      </c>
      <c r="ED113" s="3961"/>
      <c r="EE113" s="3961"/>
      <c r="EF113" s="3961"/>
      <c r="EG113" s="2442">
        <f t="shared" si="721"/>
        <v>1150.4000000000001</v>
      </c>
      <c r="EH113" s="2442">
        <f t="shared" si="721"/>
        <v>1150.4000000000001</v>
      </c>
      <c r="EI113" s="2442">
        <f t="shared" si="721"/>
        <v>0</v>
      </c>
      <c r="EJ113" s="2442">
        <f t="shared" ref="EJ113:EL113" si="728">SUM(EJ55)</f>
        <v>0</v>
      </c>
      <c r="EK113" s="2442">
        <f t="shared" si="728"/>
        <v>0</v>
      </c>
      <c r="EL113" s="2442">
        <f t="shared" si="728"/>
        <v>0</v>
      </c>
      <c r="EM113" s="4849"/>
      <c r="EN113" s="4849"/>
      <c r="EO113" s="4849"/>
      <c r="EP113" s="4849"/>
      <c r="EQ113" s="4849"/>
      <c r="ER113" s="4849"/>
    </row>
    <row r="114" spans="1:148" ht="60" customHeight="1" x14ac:dyDescent="0.2">
      <c r="A114" s="3724" t="s">
        <v>3978</v>
      </c>
      <c r="B114" s="3191"/>
      <c r="C114" s="3191"/>
      <c r="D114" s="3191"/>
      <c r="E114" s="3191"/>
      <c r="F114" s="3191"/>
      <c r="G114" s="3191"/>
      <c r="H114" s="3191"/>
      <c r="I114" s="3191"/>
      <c r="J114" s="3191"/>
      <c r="K114" s="3191"/>
      <c r="L114" s="3191"/>
      <c r="M114" s="3191"/>
      <c r="N114" s="3191"/>
      <c r="O114" s="3191"/>
      <c r="P114" s="3191"/>
      <c r="Q114" s="3191"/>
      <c r="R114" s="3191"/>
      <c r="S114" s="3191"/>
      <c r="T114" s="3191"/>
      <c r="U114" s="3191"/>
      <c r="V114" s="3191"/>
      <c r="W114" s="2578"/>
      <c r="X114" s="3191"/>
      <c r="Y114" s="2578"/>
      <c r="Z114" s="2578"/>
      <c r="AA114" s="2578"/>
      <c r="AB114" s="2578"/>
      <c r="AC114" s="2578"/>
      <c r="AD114" s="2578"/>
      <c r="AE114" s="2578"/>
      <c r="AF114" s="3740"/>
      <c r="AG114" s="2578"/>
      <c r="AH114" s="2578"/>
      <c r="AI114" s="2578"/>
      <c r="AJ114" s="3740"/>
      <c r="AK114" s="2578"/>
      <c r="AL114" s="2578"/>
      <c r="AM114" s="2578"/>
      <c r="AN114" s="2578"/>
      <c r="AO114" s="2578"/>
      <c r="AP114" s="2578"/>
      <c r="AQ114" s="2578"/>
      <c r="AR114" s="2578"/>
      <c r="AS114" s="2578"/>
      <c r="AT114" s="2578"/>
      <c r="AU114" s="2578"/>
      <c r="AV114" s="2578"/>
      <c r="AW114" s="3741"/>
      <c r="AX114" s="2578"/>
      <c r="AY114" s="2578"/>
      <c r="AZ114" s="2578"/>
      <c r="BA114" s="3741"/>
      <c r="BB114" s="2578"/>
      <c r="BC114" s="2578"/>
      <c r="BD114" s="2578"/>
      <c r="BE114" s="2578"/>
      <c r="BF114" s="2578"/>
      <c r="BG114" s="2578"/>
      <c r="BH114" s="2578"/>
      <c r="BI114" s="2578"/>
      <c r="BJ114" s="2578"/>
      <c r="BK114" s="2578"/>
      <c r="BL114" s="2578"/>
      <c r="BM114" s="2578"/>
      <c r="BN114" s="2578"/>
      <c r="BO114" s="2578"/>
      <c r="BP114" s="2578"/>
      <c r="BQ114" s="2578"/>
      <c r="BR114" s="2578"/>
      <c r="BS114" s="2578"/>
      <c r="BT114" s="2578"/>
      <c r="BU114" s="2578"/>
      <c r="BV114" s="2578"/>
      <c r="BW114" s="2578"/>
      <c r="BX114" s="2578"/>
      <c r="BY114" s="4008"/>
      <c r="BZ114" s="3735"/>
      <c r="CA114" s="3735"/>
      <c r="CB114" s="3735"/>
      <c r="CC114" s="3735"/>
      <c r="CD114" s="3735"/>
      <c r="CE114" s="3735"/>
      <c r="CF114" s="3735"/>
      <c r="CG114" s="3735"/>
      <c r="CH114" s="3735"/>
      <c r="CI114" s="3735"/>
      <c r="CJ114" s="3735"/>
      <c r="CK114" s="2578"/>
      <c r="CL114" s="2578"/>
      <c r="CM114" s="2578"/>
      <c r="CN114" s="2578"/>
      <c r="CO114" s="2578"/>
      <c r="CP114" s="2578"/>
      <c r="CQ114" s="2578"/>
      <c r="CR114" s="2578"/>
      <c r="CS114" s="2578"/>
      <c r="CT114" s="2578"/>
      <c r="CU114" s="2578"/>
      <c r="CV114" s="2578"/>
      <c r="CW114" s="2578"/>
      <c r="CX114" s="2578"/>
      <c r="CY114" s="2578"/>
      <c r="CZ114" s="2578"/>
      <c r="DA114" s="2578"/>
      <c r="DB114" s="2578"/>
      <c r="DC114" s="2578"/>
      <c r="DD114" s="2578"/>
      <c r="DE114" s="2578"/>
      <c r="DF114" s="2578"/>
      <c r="DG114" s="2578"/>
      <c r="DH114" s="2578"/>
      <c r="DI114" s="2578"/>
      <c r="DJ114" s="2578"/>
      <c r="DK114" s="2578"/>
      <c r="DL114" s="2578"/>
      <c r="DM114" s="2578"/>
      <c r="DN114" s="2578"/>
      <c r="DO114" s="2578"/>
      <c r="DP114" s="2578"/>
      <c r="DQ114" s="2578"/>
      <c r="DR114" s="2578"/>
      <c r="DS114" s="2578"/>
      <c r="DT114" s="2578"/>
      <c r="DU114" s="2578"/>
      <c r="DV114" s="2578"/>
      <c r="DW114" s="2578"/>
      <c r="DX114" s="2578"/>
      <c r="DY114" s="2578"/>
      <c r="DZ114" s="2578"/>
      <c r="EA114" s="2442">
        <f t="shared" si="727"/>
        <v>206</v>
      </c>
      <c r="EB114" s="2442">
        <f t="shared" si="727"/>
        <v>206</v>
      </c>
      <c r="EC114" s="2442">
        <f t="shared" si="727"/>
        <v>0</v>
      </c>
      <c r="ED114" s="3961"/>
      <c r="EE114" s="3961"/>
      <c r="EF114" s="3961"/>
      <c r="EG114" s="2442">
        <f t="shared" si="721"/>
        <v>206</v>
      </c>
      <c r="EH114" s="2442">
        <f t="shared" si="721"/>
        <v>206</v>
      </c>
      <c r="EI114" s="2442">
        <f t="shared" si="721"/>
        <v>0</v>
      </c>
      <c r="EJ114" s="2442">
        <f t="shared" ref="EJ114:EL114" si="729">SUM(EJ56)</f>
        <v>0</v>
      </c>
      <c r="EK114" s="2442">
        <f t="shared" si="729"/>
        <v>0</v>
      </c>
      <c r="EL114" s="2442">
        <f t="shared" si="729"/>
        <v>0</v>
      </c>
      <c r="EM114" s="4849"/>
      <c r="EN114" s="4849"/>
      <c r="EO114" s="4849"/>
      <c r="EP114" s="4849"/>
      <c r="EQ114" s="4849"/>
      <c r="ER114" s="4849"/>
    </row>
    <row r="115" spans="1:148" ht="75" customHeight="1" x14ac:dyDescent="0.2">
      <c r="A115" s="3724" t="s">
        <v>4075</v>
      </c>
      <c r="B115" s="3191"/>
      <c r="C115" s="3191"/>
      <c r="D115" s="3191"/>
      <c r="E115" s="3191"/>
      <c r="F115" s="3191"/>
      <c r="G115" s="3191"/>
      <c r="H115" s="3191"/>
      <c r="I115" s="3191"/>
      <c r="J115" s="3191"/>
      <c r="K115" s="3191"/>
      <c r="L115" s="3191"/>
      <c r="M115" s="3191"/>
      <c r="N115" s="3191"/>
      <c r="O115" s="3191"/>
      <c r="P115" s="3191"/>
      <c r="Q115" s="3191"/>
      <c r="R115" s="3191"/>
      <c r="S115" s="3191"/>
      <c r="T115" s="3191"/>
      <c r="U115" s="3191"/>
      <c r="V115" s="3191"/>
      <c r="W115" s="2578"/>
      <c r="X115" s="3191"/>
      <c r="Y115" s="2578"/>
      <c r="Z115" s="2578"/>
      <c r="AA115" s="2578"/>
      <c r="AB115" s="2578"/>
      <c r="AC115" s="2578"/>
      <c r="AD115" s="2578"/>
      <c r="AE115" s="2578"/>
      <c r="AF115" s="3740"/>
      <c r="AG115" s="2578"/>
      <c r="AH115" s="2578"/>
      <c r="AI115" s="2578"/>
      <c r="AJ115" s="3740"/>
      <c r="AK115" s="2578"/>
      <c r="AL115" s="2578"/>
      <c r="AM115" s="2578"/>
      <c r="AN115" s="2578"/>
      <c r="AO115" s="2578"/>
      <c r="AP115" s="2578"/>
      <c r="AQ115" s="2578"/>
      <c r="AR115" s="2578"/>
      <c r="AS115" s="2578"/>
      <c r="AT115" s="2578"/>
      <c r="AU115" s="2578"/>
      <c r="AV115" s="2578"/>
      <c r="AW115" s="3741"/>
      <c r="AX115" s="2578"/>
      <c r="AY115" s="2578"/>
      <c r="AZ115" s="2578"/>
      <c r="BA115" s="3741"/>
      <c r="BB115" s="2578"/>
      <c r="BC115" s="2578"/>
      <c r="BD115" s="2578"/>
      <c r="BE115" s="2578"/>
      <c r="BF115" s="2578"/>
      <c r="BG115" s="2578"/>
      <c r="BH115" s="2578"/>
      <c r="BI115" s="2578"/>
      <c r="BJ115" s="2578"/>
      <c r="BK115" s="2578"/>
      <c r="BL115" s="2578"/>
      <c r="BM115" s="2578"/>
      <c r="BN115" s="2578"/>
      <c r="BO115" s="2578"/>
      <c r="BP115" s="2578"/>
      <c r="BQ115" s="2578"/>
      <c r="BR115" s="2578"/>
      <c r="BS115" s="2578"/>
      <c r="BT115" s="2578"/>
      <c r="BU115" s="2578"/>
      <c r="BV115" s="2578"/>
      <c r="BW115" s="2578"/>
      <c r="BX115" s="2578"/>
      <c r="BY115" s="4008"/>
      <c r="BZ115" s="3735"/>
      <c r="CA115" s="3735"/>
      <c r="CB115" s="3735"/>
      <c r="CC115" s="3735"/>
      <c r="CD115" s="3735"/>
      <c r="CE115" s="3735"/>
      <c r="CF115" s="3735"/>
      <c r="CG115" s="3735"/>
      <c r="CH115" s="3735"/>
      <c r="CI115" s="3735"/>
      <c r="CJ115" s="3735"/>
      <c r="CK115" s="2578"/>
      <c r="CL115" s="2578"/>
      <c r="CM115" s="2578"/>
      <c r="CN115" s="2578"/>
      <c r="CO115" s="2578"/>
      <c r="CP115" s="2578"/>
      <c r="CQ115" s="2578"/>
      <c r="CR115" s="2578"/>
      <c r="CS115" s="2578"/>
      <c r="CT115" s="2578"/>
      <c r="CU115" s="2578"/>
      <c r="CV115" s="2578"/>
      <c r="CW115" s="2578"/>
      <c r="CX115" s="2578"/>
      <c r="CY115" s="2578"/>
      <c r="CZ115" s="2578"/>
      <c r="DA115" s="2578"/>
      <c r="DB115" s="2578"/>
      <c r="DC115" s="2578"/>
      <c r="DD115" s="2578"/>
      <c r="DE115" s="2578"/>
      <c r="DF115" s="2578"/>
      <c r="DG115" s="2578"/>
      <c r="DH115" s="2578"/>
      <c r="DI115" s="2578"/>
      <c r="DJ115" s="2578"/>
      <c r="DK115" s="2578"/>
      <c r="DL115" s="2578"/>
      <c r="DM115" s="2578"/>
      <c r="DN115" s="2578"/>
      <c r="DO115" s="2578"/>
      <c r="DP115" s="2578"/>
      <c r="DQ115" s="2578"/>
      <c r="DR115" s="2578"/>
      <c r="DS115" s="2578"/>
      <c r="DT115" s="2578"/>
      <c r="DU115" s="2578"/>
      <c r="DV115" s="2578"/>
      <c r="DW115" s="2578"/>
      <c r="DX115" s="2578"/>
      <c r="DY115" s="2578"/>
      <c r="DZ115" s="2578"/>
      <c r="EA115" s="2442">
        <f t="shared" si="727"/>
        <v>6484.85</v>
      </c>
      <c r="EB115" s="2442">
        <f t="shared" si="727"/>
        <v>6484.85</v>
      </c>
      <c r="EC115" s="2442">
        <f t="shared" si="727"/>
        <v>0</v>
      </c>
      <c r="ED115" s="3961"/>
      <c r="EE115" s="3961"/>
      <c r="EF115" s="3961"/>
      <c r="EG115" s="2442">
        <f t="shared" si="721"/>
        <v>6484.85</v>
      </c>
      <c r="EH115" s="2442">
        <f t="shared" si="721"/>
        <v>6484.85</v>
      </c>
      <c r="EI115" s="2442">
        <f t="shared" si="721"/>
        <v>0</v>
      </c>
      <c r="EJ115" s="2442">
        <f t="shared" ref="EJ115:EL116" si="730">SUM(EJ57)</f>
        <v>0</v>
      </c>
      <c r="EK115" s="2442">
        <f t="shared" si="730"/>
        <v>0</v>
      </c>
      <c r="EL115" s="2442">
        <f t="shared" si="730"/>
        <v>0</v>
      </c>
      <c r="EM115" s="4849"/>
      <c r="EN115" s="4849"/>
      <c r="EO115" s="4849"/>
      <c r="EP115" s="4849"/>
      <c r="EQ115" s="4849"/>
      <c r="ER115" s="4849"/>
    </row>
    <row r="116" spans="1:148" ht="120.75" customHeight="1" x14ac:dyDescent="0.2">
      <c r="A116" s="3214" t="s">
        <v>4110</v>
      </c>
      <c r="B116" s="3191"/>
      <c r="C116" s="3191"/>
      <c r="D116" s="3191"/>
      <c r="E116" s="3191"/>
      <c r="F116" s="3191"/>
      <c r="G116" s="3191"/>
      <c r="H116" s="3191"/>
      <c r="I116" s="3191"/>
      <c r="J116" s="3191"/>
      <c r="K116" s="3191"/>
      <c r="L116" s="3191"/>
      <c r="M116" s="3191"/>
      <c r="N116" s="3191"/>
      <c r="O116" s="3191"/>
      <c r="P116" s="3191"/>
      <c r="Q116" s="3191"/>
      <c r="R116" s="3191"/>
      <c r="S116" s="3191"/>
      <c r="T116" s="3191"/>
      <c r="U116" s="3191"/>
      <c r="V116" s="3191"/>
      <c r="W116" s="2578"/>
      <c r="X116" s="3191"/>
      <c r="Y116" s="2578"/>
      <c r="Z116" s="2578"/>
      <c r="AA116" s="2578"/>
      <c r="AB116" s="2578"/>
      <c r="AC116" s="2578"/>
      <c r="AD116" s="2578"/>
      <c r="AE116" s="2578"/>
      <c r="AF116" s="3740"/>
      <c r="AG116" s="2578"/>
      <c r="AH116" s="2578"/>
      <c r="AI116" s="2578"/>
      <c r="AJ116" s="3740"/>
      <c r="AK116" s="2578"/>
      <c r="AL116" s="2578"/>
      <c r="AM116" s="2578"/>
      <c r="AN116" s="2578"/>
      <c r="AO116" s="2578"/>
      <c r="AP116" s="2578"/>
      <c r="AQ116" s="2578"/>
      <c r="AR116" s="2578"/>
      <c r="AS116" s="2578"/>
      <c r="AT116" s="2578"/>
      <c r="AU116" s="2578"/>
      <c r="AV116" s="2578"/>
      <c r="AW116" s="3741"/>
      <c r="AX116" s="2578"/>
      <c r="AY116" s="2578"/>
      <c r="AZ116" s="2578"/>
      <c r="BA116" s="3741"/>
      <c r="BB116" s="2578"/>
      <c r="BC116" s="2578"/>
      <c r="BD116" s="2578"/>
      <c r="BE116" s="2578"/>
      <c r="BF116" s="2578"/>
      <c r="BG116" s="2578"/>
      <c r="BH116" s="2578"/>
      <c r="BI116" s="2578"/>
      <c r="BJ116" s="2578"/>
      <c r="BK116" s="2578"/>
      <c r="BL116" s="2578"/>
      <c r="BM116" s="2578"/>
      <c r="BN116" s="2578"/>
      <c r="BO116" s="2578"/>
      <c r="BP116" s="2578"/>
      <c r="BQ116" s="2578"/>
      <c r="BR116" s="2578"/>
      <c r="BS116" s="2578"/>
      <c r="BT116" s="2578"/>
      <c r="BU116" s="2578"/>
      <c r="BV116" s="2578"/>
      <c r="BW116" s="2578"/>
      <c r="BX116" s="2578"/>
      <c r="BY116" s="4068"/>
      <c r="BZ116" s="3735"/>
      <c r="CA116" s="3735"/>
      <c r="CB116" s="3735"/>
      <c r="CC116" s="3735"/>
      <c r="CD116" s="3735"/>
      <c r="CE116" s="3735"/>
      <c r="CF116" s="3735"/>
      <c r="CG116" s="3735"/>
      <c r="CH116" s="3735"/>
      <c r="CI116" s="3735"/>
      <c r="CJ116" s="3735"/>
      <c r="CK116" s="2578"/>
      <c r="CL116" s="2578"/>
      <c r="CM116" s="2578"/>
      <c r="CN116" s="2578"/>
      <c r="CO116" s="2578"/>
      <c r="CP116" s="2578"/>
      <c r="CQ116" s="2578"/>
      <c r="CR116" s="2578"/>
      <c r="CS116" s="2578"/>
      <c r="CT116" s="2578"/>
      <c r="CU116" s="2578"/>
      <c r="CV116" s="2578"/>
      <c r="CW116" s="2578"/>
      <c r="CX116" s="2578"/>
      <c r="CY116" s="2578"/>
      <c r="CZ116" s="2578"/>
      <c r="DA116" s="2578"/>
      <c r="DB116" s="2578"/>
      <c r="DC116" s="2578"/>
      <c r="DD116" s="2578"/>
      <c r="DE116" s="2578"/>
      <c r="DF116" s="2578"/>
      <c r="DG116" s="2578"/>
      <c r="DH116" s="2578"/>
      <c r="DI116" s="2578"/>
      <c r="DJ116" s="2578"/>
      <c r="DK116" s="2578"/>
      <c r="DL116" s="2578"/>
      <c r="DM116" s="2578"/>
      <c r="DN116" s="2578"/>
      <c r="DO116" s="2578"/>
      <c r="DP116" s="2578"/>
      <c r="DQ116" s="2578"/>
      <c r="DR116" s="2578"/>
      <c r="DS116" s="2578"/>
      <c r="DT116" s="2578"/>
      <c r="DU116" s="2578"/>
      <c r="DV116" s="2578"/>
      <c r="DW116" s="2578"/>
      <c r="DX116" s="2578"/>
      <c r="DY116" s="2578"/>
      <c r="DZ116" s="2578"/>
      <c r="EA116" s="2442"/>
      <c r="EB116" s="2442"/>
      <c r="EC116" s="2442"/>
      <c r="ED116" s="3961"/>
      <c r="EE116" s="3961"/>
      <c r="EF116" s="3961"/>
      <c r="EG116" s="2442">
        <f>SUM(EH116:EI116)</f>
        <v>5245.8</v>
      </c>
      <c r="EH116" s="2442">
        <f>SUM('Прочие неподконтр. расх'!C8)</f>
        <v>5245.8</v>
      </c>
      <c r="EI116" s="2442"/>
      <c r="EJ116" s="2442">
        <f>SUM(EK116:EL116)</f>
        <v>2259.8003728559956</v>
      </c>
      <c r="EK116" s="2442">
        <f t="shared" si="730"/>
        <v>2259.8003728559956</v>
      </c>
      <c r="EL116" s="2442">
        <f t="shared" si="730"/>
        <v>0</v>
      </c>
      <c r="EM116" s="4849"/>
      <c r="EN116" s="4849"/>
      <c r="EO116" s="4849"/>
      <c r="EP116" s="4849"/>
      <c r="EQ116" s="4849"/>
      <c r="ER116" s="4849"/>
    </row>
    <row r="117" spans="1:148" ht="141.75" customHeight="1" x14ac:dyDescent="0.2">
      <c r="A117" s="3214" t="s">
        <v>4111</v>
      </c>
      <c r="B117" s="3191"/>
      <c r="C117" s="3191"/>
      <c r="D117" s="3191"/>
      <c r="E117" s="3191"/>
      <c r="F117" s="3191"/>
      <c r="G117" s="3191"/>
      <c r="H117" s="3191"/>
      <c r="I117" s="3191"/>
      <c r="J117" s="3191"/>
      <c r="K117" s="3191"/>
      <c r="L117" s="3191"/>
      <c r="M117" s="3191"/>
      <c r="N117" s="3191"/>
      <c r="O117" s="3191"/>
      <c r="P117" s="3191"/>
      <c r="Q117" s="3191"/>
      <c r="R117" s="3191"/>
      <c r="S117" s="3191"/>
      <c r="T117" s="3191"/>
      <c r="U117" s="3191"/>
      <c r="V117" s="3191"/>
      <c r="W117" s="2578"/>
      <c r="X117" s="3191"/>
      <c r="Y117" s="2578"/>
      <c r="Z117" s="2578"/>
      <c r="AA117" s="2578"/>
      <c r="AB117" s="2578"/>
      <c r="AC117" s="2578"/>
      <c r="AD117" s="2578"/>
      <c r="AE117" s="2578"/>
      <c r="AF117" s="3740"/>
      <c r="AG117" s="2578"/>
      <c r="AH117" s="2578"/>
      <c r="AI117" s="2578"/>
      <c r="AJ117" s="3740"/>
      <c r="AK117" s="2578"/>
      <c r="AL117" s="2578"/>
      <c r="AM117" s="2578"/>
      <c r="AN117" s="2578"/>
      <c r="AO117" s="2578"/>
      <c r="AP117" s="2578"/>
      <c r="AQ117" s="2578"/>
      <c r="AR117" s="2578"/>
      <c r="AS117" s="2578"/>
      <c r="AT117" s="2578"/>
      <c r="AU117" s="2578"/>
      <c r="AV117" s="2578"/>
      <c r="AW117" s="3741"/>
      <c r="AX117" s="2578"/>
      <c r="AY117" s="2578"/>
      <c r="AZ117" s="2578"/>
      <c r="BA117" s="3741"/>
      <c r="BB117" s="2578"/>
      <c r="BC117" s="2578"/>
      <c r="BD117" s="2578"/>
      <c r="BE117" s="2578"/>
      <c r="BF117" s="2578"/>
      <c r="BG117" s="2578"/>
      <c r="BH117" s="2578"/>
      <c r="BI117" s="2578"/>
      <c r="BJ117" s="2578"/>
      <c r="BK117" s="2578"/>
      <c r="BL117" s="2578"/>
      <c r="BM117" s="2578"/>
      <c r="BN117" s="2578"/>
      <c r="BO117" s="2578"/>
      <c r="BP117" s="2578"/>
      <c r="BQ117" s="2578"/>
      <c r="BR117" s="2578"/>
      <c r="BS117" s="2578"/>
      <c r="BT117" s="2578"/>
      <c r="BU117" s="2578"/>
      <c r="BV117" s="2578"/>
      <c r="BW117" s="2578"/>
      <c r="BX117" s="2578"/>
      <c r="BY117" s="4068"/>
      <c r="BZ117" s="3735"/>
      <c r="CA117" s="3735"/>
      <c r="CB117" s="3735"/>
      <c r="CC117" s="3735"/>
      <c r="CD117" s="3735"/>
      <c r="CE117" s="3735"/>
      <c r="CF117" s="3735"/>
      <c r="CG117" s="3735"/>
      <c r="CH117" s="3735"/>
      <c r="CI117" s="3735"/>
      <c r="CJ117" s="3735"/>
      <c r="CK117" s="2578"/>
      <c r="CL117" s="2578"/>
      <c r="CM117" s="2578"/>
      <c r="CN117" s="2578"/>
      <c r="CO117" s="2578"/>
      <c r="CP117" s="2578"/>
      <c r="CQ117" s="2578"/>
      <c r="CR117" s="2578"/>
      <c r="CS117" s="2578"/>
      <c r="CT117" s="2578"/>
      <c r="CU117" s="2578"/>
      <c r="CV117" s="2578"/>
      <c r="CW117" s="2578"/>
      <c r="CX117" s="2578"/>
      <c r="CY117" s="2578"/>
      <c r="CZ117" s="2578"/>
      <c r="DA117" s="2578"/>
      <c r="DB117" s="2578"/>
      <c r="DC117" s="2578"/>
      <c r="DD117" s="2578"/>
      <c r="DE117" s="2578"/>
      <c r="DF117" s="2578"/>
      <c r="DG117" s="2578"/>
      <c r="DH117" s="2578"/>
      <c r="DI117" s="2578"/>
      <c r="DJ117" s="2578"/>
      <c r="DK117" s="2578"/>
      <c r="DL117" s="2578"/>
      <c r="DM117" s="2578"/>
      <c r="DN117" s="2578"/>
      <c r="DO117" s="2578"/>
      <c r="DP117" s="2578"/>
      <c r="DQ117" s="2578"/>
      <c r="DR117" s="2578"/>
      <c r="DS117" s="2578"/>
      <c r="DT117" s="2578"/>
      <c r="DU117" s="2578"/>
      <c r="DV117" s="2578"/>
      <c r="DW117" s="2578"/>
      <c r="DX117" s="2578"/>
      <c r="DY117" s="2578"/>
      <c r="DZ117" s="2578"/>
      <c r="EA117" s="2442"/>
      <c r="EB117" s="2442"/>
      <c r="EC117" s="2442"/>
      <c r="ED117" s="3961"/>
      <c r="EE117" s="3961"/>
      <c r="EF117" s="3961"/>
      <c r="EG117" s="2442">
        <f t="shared" ref="EG117:EG118" si="731">SUM(EH117:EI117)</f>
        <v>7930.4092920000003</v>
      </c>
      <c r="EH117" s="2442">
        <f>SUM('Прочие неподконтр. расх'!C9)</f>
        <v>7930.4092920000003</v>
      </c>
      <c r="EI117" s="2442"/>
      <c r="EJ117" s="2442">
        <f t="shared" ref="EJ117:EJ118" si="732">SUM(EK117:EL117)</f>
        <v>0</v>
      </c>
      <c r="EK117" s="2442">
        <f t="shared" ref="EK117:EL117" si="733">SUM(EK59)</f>
        <v>0</v>
      </c>
      <c r="EL117" s="2442">
        <f t="shared" si="733"/>
        <v>0</v>
      </c>
      <c r="EM117" s="4849"/>
      <c r="EN117" s="4849"/>
      <c r="EO117" s="4849"/>
      <c r="EP117" s="4849"/>
      <c r="EQ117" s="4849"/>
      <c r="ER117" s="4849"/>
    </row>
    <row r="118" spans="1:148" ht="75" customHeight="1" x14ac:dyDescent="0.2">
      <c r="A118" s="3191" t="s">
        <v>4112</v>
      </c>
      <c r="B118" s="3191"/>
      <c r="C118" s="3191"/>
      <c r="D118" s="3191"/>
      <c r="E118" s="3191"/>
      <c r="F118" s="3191"/>
      <c r="G118" s="3191"/>
      <c r="H118" s="3191"/>
      <c r="I118" s="3191"/>
      <c r="J118" s="3191"/>
      <c r="K118" s="3191"/>
      <c r="L118" s="3191"/>
      <c r="M118" s="3191"/>
      <c r="N118" s="3191"/>
      <c r="O118" s="3191"/>
      <c r="P118" s="3191"/>
      <c r="Q118" s="3191"/>
      <c r="R118" s="3191"/>
      <c r="S118" s="3191"/>
      <c r="T118" s="3191"/>
      <c r="U118" s="3191"/>
      <c r="V118" s="3191"/>
      <c r="W118" s="2578"/>
      <c r="X118" s="3191"/>
      <c r="Y118" s="2578"/>
      <c r="Z118" s="2578"/>
      <c r="AA118" s="2578"/>
      <c r="AB118" s="2578"/>
      <c r="AC118" s="2578"/>
      <c r="AD118" s="2578"/>
      <c r="AE118" s="2578"/>
      <c r="AF118" s="3740"/>
      <c r="AG118" s="2578"/>
      <c r="AH118" s="2578"/>
      <c r="AI118" s="2578"/>
      <c r="AJ118" s="3740"/>
      <c r="AK118" s="2578"/>
      <c r="AL118" s="2578"/>
      <c r="AM118" s="2578"/>
      <c r="AN118" s="2578"/>
      <c r="AO118" s="2578"/>
      <c r="AP118" s="2578"/>
      <c r="AQ118" s="2578"/>
      <c r="AR118" s="2578"/>
      <c r="AS118" s="2578"/>
      <c r="AT118" s="2578"/>
      <c r="AU118" s="2578"/>
      <c r="AV118" s="2578"/>
      <c r="AW118" s="3741"/>
      <c r="AX118" s="2578"/>
      <c r="AY118" s="2578"/>
      <c r="AZ118" s="2578"/>
      <c r="BA118" s="3741"/>
      <c r="BB118" s="2578"/>
      <c r="BC118" s="2578"/>
      <c r="BD118" s="2578"/>
      <c r="BE118" s="2578"/>
      <c r="BF118" s="2578"/>
      <c r="BG118" s="2578"/>
      <c r="BH118" s="2578"/>
      <c r="BI118" s="2578"/>
      <c r="BJ118" s="2578"/>
      <c r="BK118" s="2578"/>
      <c r="BL118" s="2578"/>
      <c r="BM118" s="2578"/>
      <c r="BN118" s="2578"/>
      <c r="BO118" s="2578"/>
      <c r="BP118" s="2578"/>
      <c r="BQ118" s="2578"/>
      <c r="BR118" s="2578"/>
      <c r="BS118" s="2578"/>
      <c r="BT118" s="2578"/>
      <c r="BU118" s="2578"/>
      <c r="BV118" s="2578"/>
      <c r="BW118" s="2578"/>
      <c r="BX118" s="2578"/>
      <c r="BY118" s="4068"/>
      <c r="BZ118" s="3735"/>
      <c r="CA118" s="3735"/>
      <c r="CB118" s="3735"/>
      <c r="CC118" s="3735"/>
      <c r="CD118" s="3735"/>
      <c r="CE118" s="3735"/>
      <c r="CF118" s="3735"/>
      <c r="CG118" s="3735"/>
      <c r="CH118" s="3735"/>
      <c r="CI118" s="3735"/>
      <c r="CJ118" s="3735"/>
      <c r="CK118" s="2578"/>
      <c r="CL118" s="2578"/>
      <c r="CM118" s="2578"/>
      <c r="CN118" s="2578"/>
      <c r="CO118" s="2578"/>
      <c r="CP118" s="2578"/>
      <c r="CQ118" s="2578"/>
      <c r="CR118" s="2578"/>
      <c r="CS118" s="2578"/>
      <c r="CT118" s="2578"/>
      <c r="CU118" s="2578"/>
      <c r="CV118" s="2578"/>
      <c r="CW118" s="2578"/>
      <c r="CX118" s="2578"/>
      <c r="CY118" s="2578"/>
      <c r="CZ118" s="2578"/>
      <c r="DA118" s="2578"/>
      <c r="DB118" s="2578"/>
      <c r="DC118" s="2578"/>
      <c r="DD118" s="2578"/>
      <c r="DE118" s="2578"/>
      <c r="DF118" s="2578"/>
      <c r="DG118" s="2578"/>
      <c r="DH118" s="2578"/>
      <c r="DI118" s="2578"/>
      <c r="DJ118" s="2578"/>
      <c r="DK118" s="2578"/>
      <c r="DL118" s="2578"/>
      <c r="DM118" s="2578"/>
      <c r="DN118" s="2578"/>
      <c r="DO118" s="2578"/>
      <c r="DP118" s="2578"/>
      <c r="DQ118" s="2578"/>
      <c r="DR118" s="2578"/>
      <c r="DS118" s="2578"/>
      <c r="DT118" s="2578"/>
      <c r="DU118" s="2578"/>
      <c r="DV118" s="2578"/>
      <c r="DW118" s="2578"/>
      <c r="DX118" s="2578"/>
      <c r="DY118" s="2578"/>
      <c r="DZ118" s="2578"/>
      <c r="EA118" s="2442"/>
      <c r="EB118" s="2442"/>
      <c r="EC118" s="2442"/>
      <c r="ED118" s="3961"/>
      <c r="EE118" s="3961"/>
      <c r="EF118" s="3961"/>
      <c r="EG118" s="2442">
        <f t="shared" si="731"/>
        <v>1673.61</v>
      </c>
      <c r="EH118" s="2442">
        <f>SUM('Прочие неподконтр. расх'!C10)</f>
        <v>1673.61</v>
      </c>
      <c r="EI118" s="2442"/>
      <c r="EJ118" s="2442">
        <f t="shared" si="732"/>
        <v>0</v>
      </c>
      <c r="EK118" s="2442">
        <f t="shared" ref="EK118:EL118" si="734">SUM(EK60)</f>
        <v>0</v>
      </c>
      <c r="EL118" s="2442">
        <f t="shared" si="734"/>
        <v>0</v>
      </c>
      <c r="EM118" s="4849"/>
      <c r="EN118" s="4849"/>
      <c r="EO118" s="4849"/>
      <c r="EP118" s="4849"/>
      <c r="EQ118" s="4849"/>
      <c r="ER118" s="4849"/>
    </row>
    <row r="119" spans="1:148" ht="27" customHeight="1" x14ac:dyDescent="0.2">
      <c r="A119" s="3314" t="s">
        <v>12</v>
      </c>
      <c r="B119" s="3314"/>
      <c r="C119" s="3314"/>
      <c r="D119" s="3314"/>
      <c r="E119" s="3314"/>
      <c r="F119" s="3314"/>
      <c r="G119" s="3314"/>
      <c r="H119" s="3314"/>
      <c r="I119" s="3314"/>
      <c r="J119" s="3314"/>
      <c r="K119" s="3314"/>
      <c r="L119" s="3314"/>
      <c r="M119" s="3314"/>
      <c r="N119" s="3314"/>
      <c r="O119" s="3314"/>
      <c r="P119" s="3314"/>
      <c r="Q119" s="3314"/>
      <c r="R119" s="3314"/>
      <c r="S119" s="3314"/>
      <c r="T119" s="3314"/>
      <c r="U119" s="3314"/>
      <c r="V119" s="3314"/>
      <c r="W119" s="3439">
        <f>SUM(W96:W110)</f>
        <v>96034.680000000008</v>
      </c>
      <c r="X119" s="3314"/>
      <c r="Y119" s="3439" t="e">
        <f t="shared" ref="Y119:AE119" si="735">SUM(Y96:Y110)</f>
        <v>#REF!</v>
      </c>
      <c r="Z119" s="3439" t="e">
        <f t="shared" si="735"/>
        <v>#REF!</v>
      </c>
      <c r="AA119" s="3439" t="e">
        <f t="shared" si="735"/>
        <v>#REF!</v>
      </c>
      <c r="AB119" s="3439">
        <f t="shared" si="735"/>
        <v>70897.669500000004</v>
      </c>
      <c r="AC119" s="3439">
        <f t="shared" si="735"/>
        <v>70520.933541510851</v>
      </c>
      <c r="AD119" s="3439">
        <f t="shared" si="735"/>
        <v>376.73595848915204</v>
      </c>
      <c r="AE119" s="3439">
        <f t="shared" si="735"/>
        <v>85498.659999999989</v>
      </c>
      <c r="AF119" s="3425" t="e">
        <f t="shared" si="598"/>
        <v>#REF!</v>
      </c>
      <c r="AG119" s="3439">
        <f>SUM(AG96:AG110)</f>
        <v>85594.609999999986</v>
      </c>
      <c r="AH119" s="3439">
        <f>SUM(AH96:AH110)</f>
        <v>343.42</v>
      </c>
      <c r="AI119" s="3439">
        <f>SUM(AI96:AI110)</f>
        <v>81205.828863845803</v>
      </c>
      <c r="AJ119" s="3425" t="e">
        <f t="shared" si="599"/>
        <v>#REF!</v>
      </c>
      <c r="AK119" s="3439" t="e">
        <f t="shared" ref="AK119:AV119" si="736">SUM(AK96:AK110)</f>
        <v>#REF!</v>
      </c>
      <c r="AL119" s="3439" t="e">
        <f t="shared" si="736"/>
        <v>#REF!</v>
      </c>
      <c r="AM119" s="3439" t="e">
        <f t="shared" si="736"/>
        <v>#REF!</v>
      </c>
      <c r="AN119" s="3439" t="e">
        <f t="shared" si="736"/>
        <v>#REF!</v>
      </c>
      <c r="AO119" s="3439" t="e">
        <f t="shared" si="736"/>
        <v>#REF!</v>
      </c>
      <c r="AP119" s="3439">
        <f t="shared" si="736"/>
        <v>25525.759999999998</v>
      </c>
      <c r="AQ119" s="3439">
        <f t="shared" si="736"/>
        <v>25440.449918838356</v>
      </c>
      <c r="AR119" s="3439">
        <f t="shared" si="736"/>
        <v>85.310081161642032</v>
      </c>
      <c r="AS119" s="3439">
        <f t="shared" si="736"/>
        <v>40253.670000000006</v>
      </c>
      <c r="AT119" s="3439">
        <f t="shared" si="736"/>
        <v>40082.03991791149</v>
      </c>
      <c r="AU119" s="3439">
        <f t="shared" si="736"/>
        <v>171.63008208850837</v>
      </c>
      <c r="AV119" s="3439">
        <f t="shared" si="736"/>
        <v>92157.97384440084</v>
      </c>
      <c r="AW119" s="3426">
        <f t="shared" si="601"/>
        <v>1.1348689513275951</v>
      </c>
      <c r="AX119" s="3439">
        <f>SUM(AX96:AX110)</f>
        <v>91796.952754033511</v>
      </c>
      <c r="AY119" s="3439">
        <f>SUM(AY96:AY110)</f>
        <v>361.02109036731986</v>
      </c>
      <c r="AZ119" s="3439">
        <f>SUM(AZ96:AZ110)</f>
        <v>81331.231157922142</v>
      </c>
      <c r="BA119" s="3426">
        <f t="shared" si="602"/>
        <v>1.0015442523748708</v>
      </c>
      <c r="BB119" s="3439">
        <f t="shared" ref="BB119:BX119" si="737">SUM(BB96:BB110)</f>
        <v>81065.511009907219</v>
      </c>
      <c r="BC119" s="3439">
        <f t="shared" si="737"/>
        <v>265.72014801492946</v>
      </c>
      <c r="BD119" s="3439">
        <f t="shared" si="737"/>
        <v>81554.209999999992</v>
      </c>
      <c r="BE119" s="3439">
        <f t="shared" si="737"/>
        <v>81207.200000000012</v>
      </c>
      <c r="BF119" s="3439">
        <f t="shared" si="737"/>
        <v>347.01</v>
      </c>
      <c r="BG119" s="3439">
        <f t="shared" si="737"/>
        <v>79589.19</v>
      </c>
      <c r="BH119" s="3439">
        <f t="shared" si="737"/>
        <v>79280.179999999993</v>
      </c>
      <c r="BI119" s="3439">
        <f t="shared" si="737"/>
        <v>309.01</v>
      </c>
      <c r="BJ119" s="3439">
        <f t="shared" si="737"/>
        <v>89291.181999999986</v>
      </c>
      <c r="BK119" s="3439">
        <f t="shared" si="737"/>
        <v>88993.983999999997</v>
      </c>
      <c r="BL119" s="3439">
        <f t="shared" si="737"/>
        <v>297.19800000000004</v>
      </c>
      <c r="BM119" s="3439">
        <f t="shared" si="737"/>
        <v>81692.375999999989</v>
      </c>
      <c r="BN119" s="3439">
        <f t="shared" si="737"/>
        <v>81392.004000000001</v>
      </c>
      <c r="BO119" s="3439">
        <f t="shared" si="737"/>
        <v>300.37199999999996</v>
      </c>
      <c r="BP119" s="3439">
        <f t="shared" si="737"/>
        <v>116751.69000000002</v>
      </c>
      <c r="BQ119" s="3439">
        <f t="shared" si="737"/>
        <v>116299.36</v>
      </c>
      <c r="BR119" s="3439">
        <f t="shared" si="737"/>
        <v>452.33000000000004</v>
      </c>
      <c r="BS119" s="3439">
        <f t="shared" si="737"/>
        <v>96528.560192143865</v>
      </c>
      <c r="BT119" s="3439">
        <f t="shared" si="737"/>
        <v>96264.341820016794</v>
      </c>
      <c r="BU119" s="3439">
        <f t="shared" si="737"/>
        <v>264.2183721270805</v>
      </c>
      <c r="BV119" s="3439">
        <f t="shared" si="737"/>
        <v>100796.00724788889</v>
      </c>
      <c r="BW119" s="3439">
        <f t="shared" si="737"/>
        <v>100435.51397593357</v>
      </c>
      <c r="BX119" s="3439">
        <f t="shared" si="737"/>
        <v>360.49327195531799</v>
      </c>
      <c r="BY119" s="1726"/>
      <c r="BZ119" s="3735"/>
      <c r="CA119" s="3735"/>
      <c r="CB119" s="3735"/>
      <c r="CC119" s="3735"/>
      <c r="CD119" s="3735"/>
      <c r="CE119" s="3735"/>
      <c r="CF119" s="3735"/>
      <c r="CG119" s="3735"/>
      <c r="CH119" s="3735"/>
      <c r="CI119" s="3735"/>
      <c r="CJ119" s="3735"/>
      <c r="CK119" s="3439">
        <f>SUM(CK96:CK110)</f>
        <v>97878.705887118602</v>
      </c>
      <c r="CL119" s="3439">
        <f>SUM(CL96:CL110)</f>
        <v>97610.762389121403</v>
      </c>
      <c r="CM119" s="3439">
        <f>SUM(CM96:CM110)</f>
        <v>267.9489485440202</v>
      </c>
      <c r="CN119" s="3439">
        <f t="shared" ref="CN119:DK119" si="738">SUM(CN96:CN110)-CN108</f>
        <v>41431.43548</v>
      </c>
      <c r="CO119" s="3439">
        <f t="shared" si="738"/>
        <v>41333.026149999998</v>
      </c>
      <c r="CP119" s="3439">
        <f t="shared" si="738"/>
        <v>98.409330000000011</v>
      </c>
      <c r="CQ119" s="3439">
        <f t="shared" si="738"/>
        <v>62414.571279999996</v>
      </c>
      <c r="CR119" s="3439">
        <f t="shared" si="738"/>
        <v>62279.233330000003</v>
      </c>
      <c r="CS119" s="3439">
        <f t="shared" si="738"/>
        <v>135.33795000000001</v>
      </c>
      <c r="CT119" s="3439">
        <f t="shared" si="738"/>
        <v>83657.96805000001</v>
      </c>
      <c r="CU119" s="3439">
        <f t="shared" si="738"/>
        <v>83476.863000000012</v>
      </c>
      <c r="CV119" s="3439">
        <f t="shared" si="738"/>
        <v>181.10505000000001</v>
      </c>
      <c r="CW119" s="3439">
        <f t="shared" si="738"/>
        <v>115457.93360235622</v>
      </c>
      <c r="CX119" s="3439">
        <f t="shared" si="738"/>
        <v>115167.01183817482</v>
      </c>
      <c r="CY119" s="3439">
        <f t="shared" si="738"/>
        <v>290.92176418141588</v>
      </c>
      <c r="CZ119" s="3439">
        <f t="shared" si="738"/>
        <v>100870.70467159999</v>
      </c>
      <c r="DA119" s="3439">
        <f t="shared" si="738"/>
        <v>100595.26039686297</v>
      </c>
      <c r="DB119" s="3439">
        <f t="shared" si="738"/>
        <v>275.44427473702683</v>
      </c>
      <c r="DC119" s="3439">
        <f t="shared" si="738"/>
        <v>41578.582459999998</v>
      </c>
      <c r="DD119" s="3439">
        <f t="shared" si="738"/>
        <v>41485.347179999997</v>
      </c>
      <c r="DE119" s="3439">
        <f t="shared" si="738"/>
        <v>93.235280000000003</v>
      </c>
      <c r="DF119" s="3439">
        <f t="shared" si="738"/>
        <v>62789.189830000003</v>
      </c>
      <c r="DG119" s="3439">
        <f t="shared" si="738"/>
        <v>62650.197609999996</v>
      </c>
      <c r="DH119" s="3439">
        <f t="shared" si="738"/>
        <v>138.99222</v>
      </c>
      <c r="DI119" s="3439">
        <f t="shared" si="738"/>
        <v>86741.147789999988</v>
      </c>
      <c r="DJ119" s="3439">
        <f t="shared" si="738"/>
        <v>86551.370519999997</v>
      </c>
      <c r="DK119" s="3439">
        <f t="shared" si="738"/>
        <v>189.77726999999999</v>
      </c>
      <c r="DL119" s="3439">
        <f t="shared" ref="DL119:DZ119" si="739">SUM(DL96:DL112)-DL108</f>
        <v>123716.07303595296</v>
      </c>
      <c r="DM119" s="3439">
        <f t="shared" si="739"/>
        <v>123417.20271235974</v>
      </c>
      <c r="DN119" s="3439">
        <f t="shared" si="739"/>
        <v>298.87032359320347</v>
      </c>
      <c r="DO119" s="3439">
        <f t="shared" si="739"/>
        <v>107412.21695140716</v>
      </c>
      <c r="DP119" s="3439">
        <f t="shared" si="739"/>
        <v>107131.75579748892</v>
      </c>
      <c r="DQ119" s="3439">
        <f t="shared" si="739"/>
        <v>280.46115391825549</v>
      </c>
      <c r="DR119" s="3439">
        <f t="shared" si="739"/>
        <v>45798.910732000004</v>
      </c>
      <c r="DS119" s="3439">
        <f t="shared" si="739"/>
        <v>45710.888032000003</v>
      </c>
      <c r="DT119" s="3439">
        <f t="shared" si="739"/>
        <v>88.0227</v>
      </c>
      <c r="DU119" s="3439">
        <f t="shared" si="739"/>
        <v>70324.041755999991</v>
      </c>
      <c r="DV119" s="3439">
        <f t="shared" si="739"/>
        <v>70192.051705999998</v>
      </c>
      <c r="DW119" s="3439">
        <f t="shared" si="739"/>
        <v>131.99005</v>
      </c>
      <c r="DX119" s="3439">
        <f t="shared" si="739"/>
        <v>98450.759162000002</v>
      </c>
      <c r="DY119" s="3439">
        <f t="shared" si="739"/>
        <v>98263.109772000011</v>
      </c>
      <c r="DZ119" s="3439">
        <f t="shared" si="739"/>
        <v>187.64939000000004</v>
      </c>
      <c r="EA119" s="3730">
        <f>SUM(EA96:EA115)-EA108</f>
        <v>144767.69176373296</v>
      </c>
      <c r="EB119" s="3730">
        <f>SUM(EB96:EB115)-EB108</f>
        <v>144460.17023174238</v>
      </c>
      <c r="EC119" s="3730">
        <f>SUM(EC96:EC115)-EC108</f>
        <v>307.52153199058324</v>
      </c>
      <c r="ED119" s="3993">
        <f>SUM(ED96:ED112)-ED108</f>
        <v>48813.720316046958</v>
      </c>
      <c r="EE119" s="3993">
        <f>SUM(EE96:EE112)-EE108</f>
        <v>48603.684314247199</v>
      </c>
      <c r="EF119" s="3993">
        <f>SUM(EF96:EF112)-EF108</f>
        <v>210.03600179975587</v>
      </c>
      <c r="EG119" s="3730">
        <f>SUM(EG96:EG118)-EG108</f>
        <v>162256.55679208093</v>
      </c>
      <c r="EH119" s="3730">
        <f>SUM(EH96:EH118)-EH108</f>
        <v>161949.03526009034</v>
      </c>
      <c r="EI119" s="3730">
        <f>SUM(EI96:EI115)-EI108</f>
        <v>307.52153199058324</v>
      </c>
      <c r="EJ119" s="3730">
        <f>SUM(EJ96:EJ118)-EJ108</f>
        <v>125138.73069444198</v>
      </c>
      <c r="EK119" s="3730">
        <f>SUM(EK96:EK118)-EK108</f>
        <v>124815.83308740372</v>
      </c>
      <c r="EL119" s="3730">
        <f>SUM(EL96:EL115)-EL108</f>
        <v>322.89760703825834</v>
      </c>
      <c r="EM119" s="4853">
        <f t="shared" ref="EM119:EO119" si="740">SUM(EM96:EM112)-EM108</f>
        <v>52890.462480000002</v>
      </c>
      <c r="EN119" s="4853">
        <f t="shared" si="740"/>
        <v>52711.782469999998</v>
      </c>
      <c r="EO119" s="4853">
        <f t="shared" si="740"/>
        <v>108.33201</v>
      </c>
      <c r="EP119" s="4853">
        <f t="shared" ref="EP119:ER119" si="741">SUM(EP96:EP112)-EP108</f>
        <v>110437.65570000002</v>
      </c>
      <c r="EQ119" s="4853">
        <f t="shared" si="741"/>
        <v>110195.25874</v>
      </c>
      <c r="ER119" s="4853">
        <f t="shared" si="741"/>
        <v>242.39696000000004</v>
      </c>
    </row>
    <row r="120" spans="1:148" ht="27" customHeight="1" x14ac:dyDescent="0.2">
      <c r="A120" s="3314" t="s">
        <v>13</v>
      </c>
      <c r="B120" s="3314"/>
      <c r="C120" s="3314"/>
      <c r="D120" s="3314"/>
      <c r="E120" s="3314"/>
      <c r="F120" s="3314"/>
      <c r="G120" s="3314"/>
      <c r="H120" s="3314"/>
      <c r="I120" s="3314"/>
      <c r="J120" s="3314"/>
      <c r="K120" s="3314"/>
      <c r="L120" s="3314"/>
      <c r="M120" s="3314"/>
      <c r="N120" s="3314"/>
      <c r="O120" s="3314"/>
      <c r="P120" s="3314"/>
      <c r="Q120" s="3314"/>
      <c r="R120" s="3314"/>
      <c r="S120" s="3314"/>
      <c r="T120" s="3314"/>
      <c r="U120" s="3314"/>
      <c r="V120" s="3314"/>
      <c r="W120" s="3439">
        <f>SUM(W75)</f>
        <v>3600</v>
      </c>
      <c r="X120" s="3314"/>
      <c r="Y120" s="3439" t="e">
        <f t="shared" ref="Y120:AE120" si="742">SUM(Y75)</f>
        <v>#REF!</v>
      </c>
      <c r="Z120" s="3439" t="e">
        <f t="shared" si="742"/>
        <v>#REF!</v>
      </c>
      <c r="AA120" s="3439">
        <f t="shared" si="742"/>
        <v>28</v>
      </c>
      <c r="AB120" s="3439">
        <f t="shared" si="742"/>
        <v>3476.2</v>
      </c>
      <c r="AC120" s="3439">
        <f t="shared" si="742"/>
        <v>3446</v>
      </c>
      <c r="AD120" s="3439">
        <f t="shared" si="742"/>
        <v>30.2</v>
      </c>
      <c r="AE120" s="3439">
        <f t="shared" si="742"/>
        <v>3672.7</v>
      </c>
      <c r="AF120" s="3425" t="e">
        <f t="shared" si="598"/>
        <v>#REF!</v>
      </c>
      <c r="AG120" s="3439">
        <f>SUM(AG75)</f>
        <v>3644.7</v>
      </c>
      <c r="AH120" s="3439">
        <f>SUM(AH75)</f>
        <v>28</v>
      </c>
      <c r="AI120" s="3439">
        <f>SUM(AI75)</f>
        <v>3644.7</v>
      </c>
      <c r="AJ120" s="3425" t="e">
        <f t="shared" si="599"/>
        <v>#REF!</v>
      </c>
      <c r="AK120" s="3439">
        <f t="shared" ref="AK120:AV120" si="743">SUM(AK75)</f>
        <v>3644.7</v>
      </c>
      <c r="AL120" s="3439">
        <f t="shared" si="743"/>
        <v>0</v>
      </c>
      <c r="AM120" s="3439" t="e">
        <f t="shared" si="743"/>
        <v>#REF!</v>
      </c>
      <c r="AN120" s="3439" t="e">
        <f t="shared" si="743"/>
        <v>#REF!</v>
      </c>
      <c r="AO120" s="3439" t="e">
        <f t="shared" si="743"/>
        <v>#REF!</v>
      </c>
      <c r="AP120" s="3439">
        <f t="shared" si="743"/>
        <v>1670.74</v>
      </c>
      <c r="AQ120" s="3439">
        <f t="shared" si="743"/>
        <v>1661.07</v>
      </c>
      <c r="AR120" s="3439">
        <f t="shared" si="743"/>
        <v>9.67</v>
      </c>
      <c r="AS120" s="3439">
        <f t="shared" si="743"/>
        <v>3209.95</v>
      </c>
      <c r="AT120" s="3439">
        <f t="shared" si="743"/>
        <v>3186.5699999999997</v>
      </c>
      <c r="AU120" s="3439">
        <f t="shared" si="743"/>
        <v>23.38</v>
      </c>
      <c r="AV120" s="3439">
        <f t="shared" si="743"/>
        <v>3473</v>
      </c>
      <c r="AW120" s="3426">
        <f t="shared" si="601"/>
        <v>0.95289049853211516</v>
      </c>
      <c r="AX120" s="3439">
        <f>SUM(AX75)</f>
        <v>3445</v>
      </c>
      <c r="AY120" s="3439">
        <f>SUM(AY75)</f>
        <v>28</v>
      </c>
      <c r="AZ120" s="3439">
        <f>SUM(AZ75)</f>
        <v>3463.93</v>
      </c>
      <c r="BA120" s="3426">
        <f t="shared" si="602"/>
        <v>0.95040195352155188</v>
      </c>
      <c r="BB120" s="3439">
        <f t="shared" ref="BB120:BL120" si="744">SUM(BB75)</f>
        <v>3445</v>
      </c>
      <c r="BC120" s="3439">
        <f t="shared" si="744"/>
        <v>18.93</v>
      </c>
      <c r="BD120" s="3439">
        <f t="shared" si="744"/>
        <v>3061.4900000000002</v>
      </c>
      <c r="BE120" s="3439">
        <f t="shared" si="744"/>
        <v>3040.84</v>
      </c>
      <c r="BF120" s="3439">
        <f t="shared" si="744"/>
        <v>20.65</v>
      </c>
      <c r="BG120" s="3439">
        <f t="shared" si="744"/>
        <v>3197.3199999999997</v>
      </c>
      <c r="BH120" s="3439">
        <f t="shared" si="744"/>
        <v>3178.1</v>
      </c>
      <c r="BI120" s="3439">
        <f t="shared" si="744"/>
        <v>19.22</v>
      </c>
      <c r="BJ120" s="3439">
        <f t="shared" si="744"/>
        <v>3248.93</v>
      </c>
      <c r="BK120" s="3439">
        <f t="shared" si="744"/>
        <v>3230</v>
      </c>
      <c r="BL120" s="3439">
        <f t="shared" si="744"/>
        <v>18.93</v>
      </c>
      <c r="BM120" s="3439">
        <f>SUM(BN120:BO120)</f>
        <v>3150.37</v>
      </c>
      <c r="BN120" s="3439">
        <v>3132.12</v>
      </c>
      <c r="BO120" s="3439">
        <v>18.25</v>
      </c>
      <c r="BP120" s="3439">
        <f t="shared" ref="BP120:BX120" si="745">SUM(BP75)</f>
        <v>3248.93</v>
      </c>
      <c r="BQ120" s="3439">
        <f t="shared" si="745"/>
        <v>3230</v>
      </c>
      <c r="BR120" s="3439">
        <f t="shared" si="745"/>
        <v>18.93</v>
      </c>
      <c r="BS120" s="3439">
        <f t="shared" si="745"/>
        <v>3020.0036431580988</v>
      </c>
      <c r="BT120" s="3439">
        <f t="shared" si="745"/>
        <v>3002.3369764914323</v>
      </c>
      <c r="BU120" s="3439">
        <f t="shared" si="745"/>
        <v>17.666666666666668</v>
      </c>
      <c r="BV120" s="3439">
        <f t="shared" si="745"/>
        <v>3020.0036431580988</v>
      </c>
      <c r="BW120" s="3439">
        <f t="shared" si="745"/>
        <v>3002.3369764914323</v>
      </c>
      <c r="BX120" s="3439">
        <f t="shared" si="745"/>
        <v>17.666666666666668</v>
      </c>
      <c r="BY120" s="1726"/>
      <c r="BZ120" s="3735"/>
      <c r="CA120" s="3735"/>
      <c r="CB120" s="3735"/>
      <c r="CC120" s="3735"/>
      <c r="CD120" s="3735"/>
      <c r="CE120" s="3735"/>
      <c r="CF120" s="3735"/>
      <c r="CG120" s="3735"/>
      <c r="CH120" s="3735"/>
      <c r="CI120" s="3735"/>
      <c r="CJ120" s="3735"/>
      <c r="CK120" s="3439">
        <f>SUM(CL120:CM120)</f>
        <v>2844.4046666666663</v>
      </c>
      <c r="CL120" s="3439">
        <f>SUM('объемы ВС и ВО 2023'!BD63)</f>
        <v>2826.7379999999998</v>
      </c>
      <c r="CM120" s="3439">
        <f>SUM('объемы ВС и ВО 2023'!BE63)</f>
        <v>17.666666666666668</v>
      </c>
      <c r="CN120" s="3439">
        <f>SUM(CO120:CP120)</f>
        <v>1547.3829999999998</v>
      </c>
      <c r="CO120" s="3439">
        <f>SUM('объемы ВС и ВО 2023'!BF63)</f>
        <v>1538.6509999999998</v>
      </c>
      <c r="CP120" s="3439">
        <f>SUM('объемы ВС и ВО 2023'!BG63)</f>
        <v>8.7319999999999993</v>
      </c>
      <c r="CQ120" s="3439">
        <f>SUM(CR120:CS120)</f>
        <v>2322.4540000000002</v>
      </c>
      <c r="CR120" s="3439">
        <f>SUM('объемы ВС и ВО 2023'!BH63)</f>
        <v>2309.123</v>
      </c>
      <c r="CS120" s="3439">
        <f>SUM('объемы ВС и ВО 2023'!BI63)</f>
        <v>13.331</v>
      </c>
      <c r="CT120" s="3439">
        <f>SUM(CU120:CV120)</f>
        <v>3120.433</v>
      </c>
      <c r="CU120" s="3439">
        <f>SUM('объемы ВС и ВО 2023'!BJ63)</f>
        <v>3105.598</v>
      </c>
      <c r="CV120" s="3439">
        <f>SUM('объемы ВС и ВО 2023'!BK63)</f>
        <v>14.835000000000001</v>
      </c>
      <c r="CW120" s="3439">
        <f>SUM(CX120:CY120)</f>
        <v>2844.4046666666663</v>
      </c>
      <c r="CX120" s="3439">
        <f>SUM('объемы ВС и ВО 2023'!BL63)</f>
        <v>2826.7379999999998</v>
      </c>
      <c r="CY120" s="3439">
        <f>SUM('объемы ВС и ВО 2023'!BM63)</f>
        <v>17.666666666666668</v>
      </c>
      <c r="CZ120" s="3439">
        <f>SUM(DA120:DB120)</f>
        <v>2844.4049999999997</v>
      </c>
      <c r="DA120" s="3439">
        <f>SUM('объемы ВС и ВО 2023'!BN63)</f>
        <v>2826.7379999999998</v>
      </c>
      <c r="DB120" s="3439">
        <f>SUM('объемы ВС и ВО 2023'!BO63)</f>
        <v>17.667000000000002</v>
      </c>
      <c r="DC120" s="3439">
        <f>SUM(DD120:DE120)</f>
        <v>1567.3310000000001</v>
      </c>
      <c r="DD120" s="3439">
        <f>SUM('объемы ВС и ВО 2023'!BQ63)</f>
        <v>1559.5720000000001</v>
      </c>
      <c r="DE120" s="3439">
        <f>SUM('объемы ВС и ВО 2023'!BR63)</f>
        <v>7.7590000000000003</v>
      </c>
      <c r="DF120" s="3439">
        <f>SUM(DG120:DH120)</f>
        <v>2286.9459999999999</v>
      </c>
      <c r="DG120" s="3439">
        <f>SUM('объемы ВС и ВО 2023'!BS63)</f>
        <v>2275.0949999999998</v>
      </c>
      <c r="DH120" s="3439">
        <f>SUM('объемы ВС и ВО 2023'!BT63)</f>
        <v>11.851000000000001</v>
      </c>
      <c r="DI120" s="3439">
        <f>SUM(DJ120:DK120)</f>
        <v>3075.5420000000004</v>
      </c>
      <c r="DJ120" s="3439">
        <f>SUM('объемы ВС и ВО 2023'!BU63)</f>
        <v>3059.2510000000002</v>
      </c>
      <c r="DK120" s="3439">
        <f>SUM('объемы ВС и ВО 2023'!BV63)</f>
        <v>16.291</v>
      </c>
      <c r="DL120" s="3439">
        <f>SUM(DM120:DN120)</f>
        <v>2844.4049999999997</v>
      </c>
      <c r="DM120" s="3439">
        <f>SUM('объемы ВС и ВО 2023'!BW63)</f>
        <v>2826.7379999999998</v>
      </c>
      <c r="DN120" s="3439">
        <f>SUM('объемы ВС и ВО 2023'!BX63)</f>
        <v>17.667000000000002</v>
      </c>
      <c r="DO120" s="3439">
        <f>SUM(DP120:DQ120)</f>
        <v>2997.3360299999999</v>
      </c>
      <c r="DP120" s="3439">
        <f>SUM('объемы ВС и ВО 2023'!BY63)</f>
        <v>2982.5243</v>
      </c>
      <c r="DQ120" s="3439">
        <f>SUM('объемы ВС и ВО 2023'!BZ63)</f>
        <v>14.811730000000001</v>
      </c>
      <c r="DR120" s="3439">
        <f>SUM(DS120:DT120)</f>
        <v>1585.1690000000001</v>
      </c>
      <c r="DS120" s="3439">
        <f>SUM('объемы ВС и ВО 2023'!CA63)</f>
        <v>1577.7370000000001</v>
      </c>
      <c r="DT120" s="3439">
        <f>SUM('объемы ВС и ВО 2023'!CB63)</f>
        <v>7.4320000000000004</v>
      </c>
      <c r="DU120" s="3439">
        <f>SUM(DV120:DW120)</f>
        <v>2327.3589999999999</v>
      </c>
      <c r="DV120" s="3439">
        <f>SUM('объемы ВС и ВО 2023'!CC63)</f>
        <v>2315.75</v>
      </c>
      <c r="DW120" s="3439">
        <f>SUM('объемы ВС и ВО 2023'!CD63)</f>
        <v>11.609</v>
      </c>
      <c r="DX120" s="3439">
        <f>SUM(DY120:DZ120)</f>
        <v>3104.08</v>
      </c>
      <c r="DY120" s="3439">
        <f>SUM('объемы ВС и ВО 2023'!CE63)</f>
        <v>3087.8620000000001</v>
      </c>
      <c r="DZ120" s="3439">
        <f>SUM('объемы ВС и ВО 2023'!CF63)</f>
        <v>16.218</v>
      </c>
      <c r="EA120" s="3730">
        <f>SUM(EB120:EC120)</f>
        <v>2997.3360299999999</v>
      </c>
      <c r="EB120" s="3730">
        <f>SUM('объемы ВС и ВО 2023'!CG63)</f>
        <v>2982.5243</v>
      </c>
      <c r="EC120" s="3730">
        <f>SUM('объемы ВС и ВО 2023'!CH63)</f>
        <v>14.811730000000001</v>
      </c>
      <c r="ED120" s="3993">
        <f>SUM(EE120:EF120)</f>
        <v>0</v>
      </c>
      <c r="EE120" s="3993">
        <f>SUM('объемы ВС и ВО 2023'!CP63)</f>
        <v>0</v>
      </c>
      <c r="EF120" s="3993">
        <f>SUM('объемы ВС и ВО 2023'!CQ63)</f>
        <v>0</v>
      </c>
      <c r="EG120" s="3730">
        <f>SUM(EH120:EI120)</f>
        <v>2997.3360299999999</v>
      </c>
      <c r="EH120" s="3730">
        <f>SUM('объемы ВС и ВО 2023'!CG63)</f>
        <v>2982.5243</v>
      </c>
      <c r="EI120" s="3730">
        <f>SUM('объемы ВС и ВО 2023'!CH63)</f>
        <v>14.811730000000001</v>
      </c>
      <c r="EJ120" s="3730">
        <f>SUM(EK120:EL120)</f>
        <v>3074.2522484906162</v>
      </c>
      <c r="EK120" s="3730">
        <f>SUM('объемы ВС и ВО 2023'!CI63)</f>
        <v>3059.0289771459002</v>
      </c>
      <c r="EL120" s="3730">
        <f>SUM('объемы ВС и ВО 2023'!CJ63)</f>
        <v>15.2232713447161</v>
      </c>
      <c r="EM120" s="4853">
        <f>SUM(EN120:EO120)</f>
        <v>1652.5140000000001</v>
      </c>
      <c r="EN120" s="4853">
        <f>SUM('объемы ВС и ВО 2023'!CK63)</f>
        <v>1645.6220000000001</v>
      </c>
      <c r="EO120" s="4853">
        <f>SUM('объемы ВС и ВО 2023'!CL63)</f>
        <v>6.8920000000000003</v>
      </c>
      <c r="EP120" s="4853">
        <f>SUM(EQ120:ER120)</f>
        <v>3225.5614</v>
      </c>
      <c r="EQ120" s="4853">
        <f>SUM('объемы ВС и ВО 2023'!CM63)</f>
        <v>3210.7348999999999</v>
      </c>
      <c r="ER120" s="4853">
        <f>SUM('объемы ВС и ВО 2023'!CN63)</f>
        <v>14.826499999999999</v>
      </c>
    </row>
    <row r="121" spans="1:148" ht="27" customHeight="1" x14ac:dyDescent="0.2">
      <c r="A121" s="3314" t="s">
        <v>14</v>
      </c>
      <c r="B121" s="3314"/>
      <c r="C121" s="3314"/>
      <c r="D121" s="3314"/>
      <c r="E121" s="3314"/>
      <c r="F121" s="3314"/>
      <c r="G121" s="3314"/>
      <c r="H121" s="3314"/>
      <c r="I121" s="3314"/>
      <c r="J121" s="3314"/>
      <c r="K121" s="3314"/>
      <c r="L121" s="3314"/>
      <c r="M121" s="3314"/>
      <c r="N121" s="3314"/>
      <c r="O121" s="3314"/>
      <c r="P121" s="3314"/>
      <c r="Q121" s="3314"/>
      <c r="R121" s="3314"/>
      <c r="S121" s="3314"/>
      <c r="T121" s="3314"/>
      <c r="U121" s="3314"/>
      <c r="V121" s="3314"/>
      <c r="W121" s="3732">
        <f>SUM(W119/W120)</f>
        <v>26.676300000000001</v>
      </c>
      <c r="X121" s="3314"/>
      <c r="Y121" s="3732" t="e">
        <f t="shared" ref="Y121:AE121" si="746">SUM(Y119/Y120)</f>
        <v>#REF!</v>
      </c>
      <c r="Z121" s="3732" t="e">
        <f t="shared" si="746"/>
        <v>#REF!</v>
      </c>
      <c r="AA121" s="3732" t="e">
        <f t="shared" si="746"/>
        <v>#REF!</v>
      </c>
      <c r="AB121" s="3732">
        <f t="shared" si="746"/>
        <v>20.395164115988724</v>
      </c>
      <c r="AC121" s="3732">
        <f t="shared" si="746"/>
        <v>20.464577348087886</v>
      </c>
      <c r="AD121" s="3732">
        <f t="shared" si="746"/>
        <v>12.474700612223577</v>
      </c>
      <c r="AE121" s="3732">
        <f t="shared" si="746"/>
        <v>23.27951098646772</v>
      </c>
      <c r="AF121" s="3425" t="e">
        <f t="shared" si="598"/>
        <v>#REF!</v>
      </c>
      <c r="AG121" s="3732">
        <f>SUM(AG119/AG120)</f>
        <v>23.484679123110269</v>
      </c>
      <c r="AH121" s="3732">
        <f>SUM(AH119/AH120)</f>
        <v>12.265000000000001</v>
      </c>
      <c r="AI121" s="3732">
        <f>SUM(AI119/AI120)</f>
        <v>22.280524834374791</v>
      </c>
      <c r="AJ121" s="3425" t="e">
        <f t="shared" si="599"/>
        <v>#REF!</v>
      </c>
      <c r="AK121" s="3732" t="e">
        <f t="shared" ref="AK121:AV121" si="747">SUM(AK119/AK120)</f>
        <v>#REF!</v>
      </c>
      <c r="AL121" s="3732" t="e">
        <f t="shared" si="747"/>
        <v>#REF!</v>
      </c>
      <c r="AM121" s="3732" t="e">
        <f t="shared" si="747"/>
        <v>#REF!</v>
      </c>
      <c r="AN121" s="3732" t="e">
        <f t="shared" si="747"/>
        <v>#REF!</v>
      </c>
      <c r="AO121" s="3732" t="e">
        <f t="shared" si="747"/>
        <v>#REF!</v>
      </c>
      <c r="AP121" s="3732">
        <f t="shared" si="747"/>
        <v>15.278116283802387</v>
      </c>
      <c r="AQ121" s="3732">
        <f t="shared" si="747"/>
        <v>15.315700072145278</v>
      </c>
      <c r="AR121" s="3732">
        <f t="shared" si="747"/>
        <v>8.8221386930343364</v>
      </c>
      <c r="AS121" s="3732">
        <f t="shared" si="747"/>
        <v>12.540279443605042</v>
      </c>
      <c r="AT121" s="3732">
        <f t="shared" si="747"/>
        <v>12.578427562523808</v>
      </c>
      <c r="AU121" s="3732">
        <f t="shared" si="747"/>
        <v>7.3408931603297001</v>
      </c>
      <c r="AV121" s="3732">
        <f t="shared" si="747"/>
        <v>26.535552503426675</v>
      </c>
      <c r="AW121" s="3426">
        <f t="shared" si="601"/>
        <v>1.1909751992236355</v>
      </c>
      <c r="AX121" s="3732">
        <f>SUM(AX119/AX120)</f>
        <v>26.646430407556899</v>
      </c>
      <c r="AY121" s="3732">
        <f>SUM(AY119/AY120)</f>
        <v>12.893610370261424</v>
      </c>
      <c r="AZ121" s="3732">
        <f>SUM(AZ119/AZ120)</f>
        <v>23.479467298104218</v>
      </c>
      <c r="BA121" s="3426">
        <f t="shared" si="602"/>
        <v>1.0538112307785352</v>
      </c>
      <c r="BB121" s="3732">
        <f t="shared" ref="BB121:BX121" si="748">SUM(BB119/BB120)</f>
        <v>23.531352978202385</v>
      </c>
      <c r="BC121" s="3732">
        <f t="shared" si="748"/>
        <v>14.036986160323796</v>
      </c>
      <c r="BD121" s="3732">
        <f t="shared" si="748"/>
        <v>26.638731467357392</v>
      </c>
      <c r="BE121" s="3732">
        <f t="shared" si="748"/>
        <v>26.705515581220983</v>
      </c>
      <c r="BF121" s="3732">
        <f t="shared" si="748"/>
        <v>16.804358353510896</v>
      </c>
      <c r="BG121" s="3732">
        <f t="shared" si="748"/>
        <v>24.892469318053873</v>
      </c>
      <c r="BH121" s="3732">
        <f t="shared" si="748"/>
        <v>24.945778924514645</v>
      </c>
      <c r="BI121" s="3732">
        <f t="shared" si="748"/>
        <v>16.077523413111344</v>
      </c>
      <c r="BJ121" s="3732">
        <f t="shared" si="748"/>
        <v>27.48325818038554</v>
      </c>
      <c r="BK121" s="3732">
        <f t="shared" si="748"/>
        <v>27.552317027863776</v>
      </c>
      <c r="BL121" s="3732">
        <f t="shared" si="748"/>
        <v>15.699841521394614</v>
      </c>
      <c r="BM121" s="3732">
        <f t="shared" si="748"/>
        <v>25.931041750651509</v>
      </c>
      <c r="BN121" s="3732">
        <f t="shared" si="748"/>
        <v>25.986234243898704</v>
      </c>
      <c r="BO121" s="3732">
        <f t="shared" si="748"/>
        <v>16.458739726027396</v>
      </c>
      <c r="BP121" s="3732">
        <f t="shared" si="748"/>
        <v>35.935427971670677</v>
      </c>
      <c r="BQ121" s="3732">
        <f t="shared" si="748"/>
        <v>36.005993808049539</v>
      </c>
      <c r="BR121" s="3732">
        <f t="shared" si="748"/>
        <v>23.894875858425781</v>
      </c>
      <c r="BS121" s="3732">
        <f t="shared" si="748"/>
        <v>31.963060842933739</v>
      </c>
      <c r="BT121" s="3732">
        <f t="shared" si="748"/>
        <v>32.063137007529541</v>
      </c>
      <c r="BU121" s="3732">
        <f t="shared" si="748"/>
        <v>14.955756912853612</v>
      </c>
      <c r="BV121" s="3732">
        <f t="shared" si="748"/>
        <v>33.376121077285788</v>
      </c>
      <c r="BW121" s="3732">
        <f t="shared" si="748"/>
        <v>33.452445465766388</v>
      </c>
      <c r="BX121" s="3732">
        <f t="shared" si="748"/>
        <v>20.405279544640639</v>
      </c>
      <c r="BY121" s="1726"/>
      <c r="BZ121" s="3735"/>
      <c r="CA121" s="3735"/>
      <c r="CB121" s="3735"/>
      <c r="CC121" s="3735"/>
      <c r="CD121" s="3735"/>
      <c r="CE121" s="3735"/>
      <c r="CF121" s="3735"/>
      <c r="CG121" s="3735"/>
      <c r="CH121" s="3735"/>
      <c r="CI121" s="3735"/>
      <c r="CJ121" s="3735"/>
      <c r="CK121" s="3732">
        <f t="shared" ref="CK121:CS121" si="749">SUM(CK119/CK120)</f>
        <v>34.410963754261388</v>
      </c>
      <c r="CL121" s="3732">
        <f t="shared" si="749"/>
        <v>34.531237910666434</v>
      </c>
      <c r="CM121" s="3732">
        <f t="shared" si="749"/>
        <v>15.166921615699255</v>
      </c>
      <c r="CN121" s="3732">
        <f t="shared" si="749"/>
        <v>26.775165217661048</v>
      </c>
      <c r="CO121" s="3732">
        <f t="shared" si="749"/>
        <v>26.863158799493842</v>
      </c>
      <c r="CP121" s="3732">
        <f t="shared" si="749"/>
        <v>11.269964498396703</v>
      </c>
      <c r="CQ121" s="3732">
        <f t="shared" si="749"/>
        <v>26.874405813850345</v>
      </c>
      <c r="CR121" s="3732">
        <f t="shared" si="749"/>
        <v>26.970946688418071</v>
      </c>
      <c r="CS121" s="3732">
        <f t="shared" si="749"/>
        <v>10.152122871502513</v>
      </c>
      <c r="CT121" s="3732">
        <f t="shared" ref="CT121:CV121" si="750">SUM(CT119/CT120)</f>
        <v>26.80973058867151</v>
      </c>
      <c r="CU121" s="3732">
        <f t="shared" si="750"/>
        <v>26.879481182046103</v>
      </c>
      <c r="CV121" s="3732">
        <f t="shared" si="750"/>
        <v>12.207957532861476</v>
      </c>
      <c r="CW121" s="3732">
        <f t="shared" ref="CW121:CY121" si="751">SUM(CW119/CW120)</f>
        <v>40.591247425304076</v>
      </c>
      <c r="CX121" s="3732">
        <f t="shared" si="751"/>
        <v>40.742018481435075</v>
      </c>
      <c r="CY121" s="3732">
        <f t="shared" si="751"/>
        <v>16.467269670646182</v>
      </c>
      <c r="CZ121" s="3732">
        <f t="shared" ref="CZ121:DB121" si="752">SUM(CZ119/CZ120)</f>
        <v>35.462848881084092</v>
      </c>
      <c r="DA121" s="3732">
        <f t="shared" si="752"/>
        <v>35.587047825749316</v>
      </c>
      <c r="DB121" s="3732">
        <f t="shared" si="752"/>
        <v>15.590891194714825</v>
      </c>
      <c r="DC121" s="3732">
        <f t="shared" ref="DC121:DQ121" si="753">SUM(DC119/DC120)</f>
        <v>26.528271603126587</v>
      </c>
      <c r="DD121" s="3732">
        <f t="shared" si="753"/>
        <v>26.600469346718199</v>
      </c>
      <c r="DE121" s="3732">
        <f t="shared" si="753"/>
        <v>12.01640417579585</v>
      </c>
      <c r="DF121" s="3732">
        <f t="shared" si="753"/>
        <v>27.45547548127503</v>
      </c>
      <c r="DG121" s="3732">
        <f t="shared" si="753"/>
        <v>27.537398486656603</v>
      </c>
      <c r="DH121" s="3732">
        <f t="shared" si="753"/>
        <v>11.728311534891569</v>
      </c>
      <c r="DI121" s="3732">
        <f t="shared" si="753"/>
        <v>28.203532187172204</v>
      </c>
      <c r="DJ121" s="3732">
        <f t="shared" si="753"/>
        <v>28.291686599105464</v>
      </c>
      <c r="DK121" s="3732">
        <f t="shared" si="753"/>
        <v>11.649209379411944</v>
      </c>
      <c r="DL121" s="3732">
        <f t="shared" si="753"/>
        <v>43.494535073575307</v>
      </c>
      <c r="DM121" s="3732">
        <f t="shared" si="753"/>
        <v>43.660644429147567</v>
      </c>
      <c r="DN121" s="3732">
        <f t="shared" si="753"/>
        <v>16.916868941710728</v>
      </c>
      <c r="DO121" s="3732">
        <f t="shared" si="753"/>
        <v>35.835894232855551</v>
      </c>
      <c r="DP121" s="3732">
        <f t="shared" si="753"/>
        <v>35.919826637284707</v>
      </c>
      <c r="DQ121" s="3732">
        <f t="shared" si="753"/>
        <v>18.935070644567208</v>
      </c>
      <c r="DR121" s="3732">
        <f t="shared" ref="DR121:DT121" si="754">SUM(DR119/DR120)</f>
        <v>28.892131206199466</v>
      </c>
      <c r="DS121" s="3732">
        <f t="shared" si="754"/>
        <v>28.972438392457043</v>
      </c>
      <c r="DT121" s="3732">
        <f t="shared" si="754"/>
        <v>11.843743272335844</v>
      </c>
      <c r="DU121" s="3732">
        <f t="shared" ref="DU121:DW121" si="755">SUM(DU119/DU120)</f>
        <v>30.216241566513801</v>
      </c>
      <c r="DV121" s="3732">
        <f t="shared" si="755"/>
        <v>30.310720805786463</v>
      </c>
      <c r="DW121" s="3732">
        <f t="shared" si="755"/>
        <v>11.369631320527176</v>
      </c>
      <c r="DX121" s="3732">
        <f t="shared" ref="DX121:EF121" si="756">SUM(DX119/DX120)</f>
        <v>31.716566313368215</v>
      </c>
      <c r="DY121" s="3732">
        <f t="shared" si="756"/>
        <v>31.822377351060382</v>
      </c>
      <c r="DZ121" s="3732">
        <f t="shared" si="756"/>
        <v>11.570439634973489</v>
      </c>
      <c r="EA121" s="3733">
        <f t="shared" si="756"/>
        <v>48.298786093640949</v>
      </c>
      <c r="EB121" s="3733">
        <f t="shared" si="756"/>
        <v>48.435538389994804</v>
      </c>
      <c r="EC121" s="3733">
        <f t="shared" si="756"/>
        <v>20.762026582349478</v>
      </c>
      <c r="ED121" s="3994" t="e">
        <f t="shared" si="756"/>
        <v>#DIV/0!</v>
      </c>
      <c r="EE121" s="3994" t="e">
        <f t="shared" si="756"/>
        <v>#DIV/0!</v>
      </c>
      <c r="EF121" s="3994" t="e">
        <f t="shared" si="756"/>
        <v>#DIV/0!</v>
      </c>
      <c r="EG121" s="3733">
        <f t="shared" ref="EG121:EI121" si="757">SUM(EG119/EG120)</f>
        <v>54.133589016404322</v>
      </c>
      <c r="EH121" s="3733">
        <f t="shared" si="757"/>
        <v>54.299317950264594</v>
      </c>
      <c r="EI121" s="3733">
        <f t="shared" si="757"/>
        <v>20.762026582349478</v>
      </c>
      <c r="EJ121" s="3733">
        <f t="shared" ref="EJ121:ER121" si="758">SUM(EJ119/EJ120)</f>
        <v>40.705420563937814</v>
      </c>
      <c r="EK121" s="3733">
        <f t="shared" si="758"/>
        <v>40.802435681357274</v>
      </c>
      <c r="EL121" s="3733">
        <f t="shared" si="758"/>
        <v>21.210789699963801</v>
      </c>
      <c r="EM121" s="4854">
        <f t="shared" ref="EM121:EO121" si="759">SUM(EM119/EM120)</f>
        <v>32.006060148355779</v>
      </c>
      <c r="EN121" s="4854">
        <f t="shared" si="759"/>
        <v>32.03152514368427</v>
      </c>
      <c r="EO121" s="4854">
        <f t="shared" si="759"/>
        <v>15.718515670342425</v>
      </c>
      <c r="EP121" s="4854">
        <f t="shared" si="758"/>
        <v>34.238274211738776</v>
      </c>
      <c r="EQ121" s="4854">
        <f t="shared" si="758"/>
        <v>34.320883589610595</v>
      </c>
      <c r="ER121" s="4854">
        <f t="shared" si="758"/>
        <v>16.348899605436216</v>
      </c>
    </row>
    <row r="122" spans="1:148" ht="27" customHeight="1" x14ac:dyDescent="0.2">
      <c r="A122" s="3731" t="s">
        <v>1750</v>
      </c>
      <c r="B122" s="3314"/>
      <c r="C122" s="3314"/>
      <c r="D122" s="3314"/>
      <c r="E122" s="3314"/>
      <c r="F122" s="3314"/>
      <c r="G122" s="3314"/>
      <c r="H122" s="3314"/>
      <c r="I122" s="3314"/>
      <c r="J122" s="3314"/>
      <c r="K122" s="3314"/>
      <c r="L122" s="3314"/>
      <c r="M122" s="3314"/>
      <c r="N122" s="3314"/>
      <c r="O122" s="3314"/>
      <c r="P122" s="3314"/>
      <c r="Q122" s="3314"/>
      <c r="R122" s="3314"/>
      <c r="S122" s="3314"/>
      <c r="T122" s="3314"/>
      <c r="U122" s="3314"/>
      <c r="V122" s="3314"/>
      <c r="W122" s="3732"/>
      <c r="X122" s="3314"/>
      <c r="Y122" s="3732"/>
      <c r="Z122" s="3732"/>
      <c r="AA122" s="3732"/>
      <c r="AB122" s="3732"/>
      <c r="AC122" s="3732"/>
      <c r="AD122" s="3732"/>
      <c r="AE122" s="3732"/>
      <c r="AF122" s="3425"/>
      <c r="AG122" s="3732"/>
      <c r="AH122" s="3732"/>
      <c r="AI122" s="3732"/>
      <c r="AJ122" s="3425"/>
      <c r="AK122" s="3732"/>
      <c r="AL122" s="3732"/>
      <c r="AM122" s="3732"/>
      <c r="AN122" s="3732"/>
      <c r="AO122" s="3732"/>
      <c r="AP122" s="3732"/>
      <c r="AQ122" s="3732"/>
      <c r="AR122" s="3732"/>
      <c r="AS122" s="3732"/>
      <c r="AT122" s="3732"/>
      <c r="AU122" s="3732"/>
      <c r="AV122" s="3732"/>
      <c r="AW122" s="3426"/>
      <c r="AX122" s="3732"/>
      <c r="AY122" s="3732"/>
      <c r="AZ122" s="3732"/>
      <c r="BA122" s="3426"/>
      <c r="BB122" s="3732"/>
      <c r="BC122" s="3732"/>
      <c r="BD122" s="3732"/>
      <c r="BE122" s="3732"/>
      <c r="BF122" s="3732"/>
      <c r="BG122" s="3732"/>
      <c r="BH122" s="3732"/>
      <c r="BI122" s="3732"/>
      <c r="BJ122" s="3732">
        <f>SUM(BK122:BL122)</f>
        <v>9965.7099999999991</v>
      </c>
      <c r="BK122" s="3732">
        <v>9993.2999999999993</v>
      </c>
      <c r="BL122" s="3732">
        <v>-27.59</v>
      </c>
      <c r="BM122" s="3732">
        <f>SUM(BN122:BO122)</f>
        <v>0</v>
      </c>
      <c r="BN122" s="3732">
        <v>0</v>
      </c>
      <c r="BO122" s="3732">
        <v>0</v>
      </c>
      <c r="BP122" s="3732">
        <f>SUM(BQ122:BR122)</f>
        <v>0</v>
      </c>
      <c r="BQ122" s="3732">
        <v>0</v>
      </c>
      <c r="BR122" s="3732">
        <v>0</v>
      </c>
      <c r="BS122" s="3732">
        <f>SUM(BT122:BU122)</f>
        <v>-9.82</v>
      </c>
      <c r="BT122" s="3732">
        <v>0</v>
      </c>
      <c r="BU122" s="3732">
        <v>-9.82</v>
      </c>
      <c r="BV122" s="3732">
        <f>SUM(BW122:BX122)</f>
        <v>0</v>
      </c>
      <c r="BW122" s="3732">
        <v>0</v>
      </c>
      <c r="BX122" s="3732">
        <v>0</v>
      </c>
      <c r="BY122" s="1726"/>
      <c r="BZ122" s="3735"/>
      <c r="CA122" s="3735"/>
      <c r="CB122" s="3735"/>
      <c r="CC122" s="3735"/>
      <c r="CD122" s="3735"/>
      <c r="CE122" s="3735"/>
      <c r="CF122" s="3735"/>
      <c r="CG122" s="3735"/>
      <c r="CH122" s="3735"/>
      <c r="CI122" s="3735"/>
      <c r="CJ122" s="3735"/>
      <c r="CK122" s="3732">
        <f>SUM(CL122:CM122)</f>
        <v>-5458.3959430282457</v>
      </c>
      <c r="CL122" s="3732">
        <f>SUM('стоки 2019-2023'!AI40+'стоки 2019-2023'!AI41+'стоки 2019-2023'!AI42+'стоки 2019-2023'!AI43)</f>
        <v>-5448.5845688482459</v>
      </c>
      <c r="CM122" s="3732">
        <f>SUM('очистка 2019-2023'!AG33)</f>
        <v>-9.8113741799999996</v>
      </c>
      <c r="CN122" s="3732">
        <f>SUM(CO122:CP122)</f>
        <v>0</v>
      </c>
      <c r="CO122" s="3732">
        <v>0</v>
      </c>
      <c r="CP122" s="3732">
        <v>0</v>
      </c>
      <c r="CQ122" s="3732">
        <f>SUM(CR122:CS122)</f>
        <v>0</v>
      </c>
      <c r="CR122" s="3732">
        <v>0</v>
      </c>
      <c r="CS122" s="3732">
        <v>0</v>
      </c>
      <c r="CT122" s="3732">
        <f>SUM(CU122:CV122)</f>
        <v>0</v>
      </c>
      <c r="CU122" s="3732">
        <v>0</v>
      </c>
      <c r="CV122" s="3732">
        <v>0</v>
      </c>
      <c r="CW122" s="3732">
        <f>SUM(CX122:CY122)</f>
        <v>0</v>
      </c>
      <c r="CX122" s="3732">
        <v>0</v>
      </c>
      <c r="CY122" s="3732">
        <v>0</v>
      </c>
      <c r="CZ122" s="3732">
        <f>SUM(DA122:DB122)</f>
        <v>-5069.93</v>
      </c>
      <c r="DA122" s="3732">
        <f>-2807.35-2292.83</f>
        <v>-5100.18</v>
      </c>
      <c r="DB122" s="3732">
        <v>30.25</v>
      </c>
      <c r="DC122" s="3732">
        <f>SUM(DD122:DE122)</f>
        <v>0</v>
      </c>
      <c r="DD122" s="3732">
        <v>0</v>
      </c>
      <c r="DE122" s="3732">
        <v>0</v>
      </c>
      <c r="DF122" s="3732">
        <f>SUM(DG122:DH122)</f>
        <v>0</v>
      </c>
      <c r="DG122" s="3732">
        <v>0</v>
      </c>
      <c r="DH122" s="3732">
        <v>0</v>
      </c>
      <c r="DI122" s="3732">
        <f>SUM(DJ122:DK122)</f>
        <v>0</v>
      </c>
      <c r="DJ122" s="3732">
        <v>0</v>
      </c>
      <c r="DK122" s="3732">
        <v>0</v>
      </c>
      <c r="DL122" s="3732">
        <f>SUM(DM122:DN122)</f>
        <v>2807.35</v>
      </c>
      <c r="DM122" s="3732">
        <v>2807.35</v>
      </c>
      <c r="DN122" s="3732">
        <v>0</v>
      </c>
      <c r="DO122" s="3732">
        <f>SUM(DP122:DQ122)</f>
        <v>-4295.7510000000002</v>
      </c>
      <c r="DP122" s="3732">
        <v>-4311.3209999999999</v>
      </c>
      <c r="DQ122" s="3732">
        <v>15.57</v>
      </c>
      <c r="DR122" s="3732">
        <f>SUM(DS122:DT122)</f>
        <v>0</v>
      </c>
      <c r="DS122" s="3732">
        <v>0</v>
      </c>
      <c r="DT122" s="3732">
        <v>0</v>
      </c>
      <c r="DU122" s="3732">
        <f>SUM(DV122:DW122)</f>
        <v>0</v>
      </c>
      <c r="DV122" s="3732">
        <v>0</v>
      </c>
      <c r="DW122" s="3732">
        <v>0</v>
      </c>
      <c r="DX122" s="3732">
        <f>SUM(DY122:DZ122)</f>
        <v>0</v>
      </c>
      <c r="DY122" s="3732">
        <v>0</v>
      </c>
      <c r="DZ122" s="3732">
        <v>0</v>
      </c>
      <c r="EA122" s="3733">
        <f>SUM(EB122:EC122)</f>
        <v>0</v>
      </c>
      <c r="EB122" s="3733">
        <v>0</v>
      </c>
      <c r="EC122" s="3733">
        <v>0</v>
      </c>
      <c r="ED122" s="3994">
        <f>SUM(EE122:EF122)</f>
        <v>-4295.7510000000002</v>
      </c>
      <c r="EE122" s="3994">
        <v>-4311.3209999999999</v>
      </c>
      <c r="EF122" s="3994">
        <v>15.57</v>
      </c>
      <c r="EG122" s="3733">
        <f>SUM(EH122:EI122)</f>
        <v>0</v>
      </c>
      <c r="EH122" s="3733">
        <v>0</v>
      </c>
      <c r="EI122" s="3733">
        <v>0</v>
      </c>
      <c r="EJ122" s="3733">
        <f>SUM(EK122:EL122)</f>
        <v>-288.97579195846379</v>
      </c>
      <c r="EK122" s="3733">
        <v>-312.85201244842</v>
      </c>
      <c r="EL122" s="3733">
        <v>23.8762204899562</v>
      </c>
      <c r="EM122" s="4854">
        <f>SUM(EN122:EO122)</f>
        <v>0</v>
      </c>
      <c r="EN122" s="4854">
        <v>0</v>
      </c>
      <c r="EO122" s="4854">
        <v>0</v>
      </c>
      <c r="EP122" s="4854">
        <f>SUM(EQ122:ER122)</f>
        <v>0</v>
      </c>
      <c r="EQ122" s="4854">
        <v>0</v>
      </c>
      <c r="ER122" s="4854">
        <v>0</v>
      </c>
    </row>
    <row r="123" spans="1:148" ht="27" customHeight="1" x14ac:dyDescent="0.2">
      <c r="A123" s="3314" t="s">
        <v>3675</v>
      </c>
      <c r="B123" s="3314"/>
      <c r="C123" s="3314"/>
      <c r="D123" s="3314"/>
      <c r="E123" s="3314"/>
      <c r="F123" s="3314"/>
      <c r="G123" s="3314"/>
      <c r="H123" s="3314"/>
      <c r="I123" s="3314"/>
      <c r="J123" s="3314"/>
      <c r="K123" s="3314"/>
      <c r="L123" s="3314"/>
      <c r="M123" s="3314"/>
      <c r="N123" s="3314"/>
      <c r="O123" s="3314"/>
      <c r="P123" s="3314"/>
      <c r="Q123" s="3314"/>
      <c r="R123" s="3314"/>
      <c r="S123" s="3314"/>
      <c r="T123" s="3314"/>
      <c r="U123" s="3314"/>
      <c r="V123" s="3314"/>
      <c r="W123" s="3732"/>
      <c r="X123" s="3314"/>
      <c r="Y123" s="3732"/>
      <c r="Z123" s="3732"/>
      <c r="AA123" s="3732"/>
      <c r="AB123" s="3732"/>
      <c r="AC123" s="3732"/>
      <c r="AD123" s="3732"/>
      <c r="AE123" s="3732"/>
      <c r="AF123" s="3425"/>
      <c r="AG123" s="3732"/>
      <c r="AH123" s="3732"/>
      <c r="AI123" s="3732"/>
      <c r="AJ123" s="3425"/>
      <c r="AK123" s="3732"/>
      <c r="AL123" s="3732"/>
      <c r="AM123" s="3732"/>
      <c r="AN123" s="3732"/>
      <c r="AO123" s="3732"/>
      <c r="AP123" s="3732"/>
      <c r="AQ123" s="3732"/>
      <c r="AR123" s="3732"/>
      <c r="AS123" s="3732"/>
      <c r="AT123" s="3732"/>
      <c r="AU123" s="3732"/>
      <c r="AV123" s="3732"/>
      <c r="AW123" s="3426"/>
      <c r="AX123" s="3732"/>
      <c r="AY123" s="3732"/>
      <c r="AZ123" s="3732"/>
      <c r="BA123" s="3426"/>
      <c r="BB123" s="3732"/>
      <c r="BC123" s="3732"/>
      <c r="BD123" s="3732"/>
      <c r="BE123" s="3732"/>
      <c r="BF123" s="3732"/>
      <c r="BG123" s="3732"/>
      <c r="BH123" s="3732"/>
      <c r="BI123" s="3732"/>
      <c r="BJ123" s="3732">
        <f>SUM(BK123:BL123)</f>
        <v>99256.891999999993</v>
      </c>
      <c r="BK123" s="3732">
        <f>SUM(BK119+BK122)</f>
        <v>98987.284</v>
      </c>
      <c r="BL123" s="3732">
        <f>SUM(BL119+BL122)</f>
        <v>269.60800000000006</v>
      </c>
      <c r="BM123" s="3732">
        <f>SUM(BN123:BO123)</f>
        <v>81692.376000000004</v>
      </c>
      <c r="BN123" s="3732">
        <f>SUM(BN119+BN122)</f>
        <v>81392.004000000001</v>
      </c>
      <c r="BO123" s="3732">
        <f>SUM(BO119+BO122)</f>
        <v>300.37199999999996</v>
      </c>
      <c r="BP123" s="3732">
        <f>SUM(BQ123:BR123)</f>
        <v>116751.69</v>
      </c>
      <c r="BQ123" s="3732">
        <f>SUM(BQ119+BQ122)</f>
        <v>116299.36</v>
      </c>
      <c r="BR123" s="3732">
        <f>SUM(BR119+BR122)</f>
        <v>452.33000000000004</v>
      </c>
      <c r="BS123" s="3732">
        <f>SUM(BT123:BU123)</f>
        <v>96518.740192143872</v>
      </c>
      <c r="BT123" s="3732">
        <f>SUM(BT119+BT122)</f>
        <v>96264.341820016794</v>
      </c>
      <c r="BU123" s="3732">
        <f>SUM(BU119+BU122)</f>
        <v>254.39837212708051</v>
      </c>
      <c r="BV123" s="3732">
        <f>SUM(BW123:BX123)</f>
        <v>100796.00724788889</v>
      </c>
      <c r="BW123" s="3732">
        <f>SUM(BW119+BW122)</f>
        <v>100435.51397593357</v>
      </c>
      <c r="BX123" s="3732">
        <f>SUM(BX119+BX122)</f>
        <v>360.49327195531799</v>
      </c>
      <c r="BY123" s="1726"/>
      <c r="BZ123" s="3735"/>
      <c r="CA123" s="3735"/>
      <c r="CB123" s="3735"/>
      <c r="CC123" s="3735"/>
      <c r="CD123" s="3735"/>
      <c r="CE123" s="3735"/>
      <c r="CF123" s="3735"/>
      <c r="CG123" s="3735"/>
      <c r="CH123" s="3735"/>
      <c r="CI123" s="3735"/>
      <c r="CJ123" s="3735"/>
      <c r="CK123" s="3732">
        <f>SUM(CL123:CM123)</f>
        <v>92420.315394637175</v>
      </c>
      <c r="CL123" s="3732">
        <f>SUM(CL119+CL122)</f>
        <v>92162.177820273151</v>
      </c>
      <c r="CM123" s="3732">
        <f>SUM(CM119+CM122)</f>
        <v>258.13757436402022</v>
      </c>
      <c r="CN123" s="3732">
        <f>SUM(CO123:CP123)</f>
        <v>41431.43548</v>
      </c>
      <c r="CO123" s="3732">
        <f>SUM(CO119+CO122)</f>
        <v>41333.026149999998</v>
      </c>
      <c r="CP123" s="3732">
        <f>SUM(CP119+CP122)</f>
        <v>98.409330000000011</v>
      </c>
      <c r="CQ123" s="3732">
        <f>SUM(CR123:CS123)</f>
        <v>62414.571280000004</v>
      </c>
      <c r="CR123" s="3732">
        <f>SUM(CR119+CR122)</f>
        <v>62279.233330000003</v>
      </c>
      <c r="CS123" s="3732">
        <f>SUM(CS119+CS122)</f>
        <v>135.33795000000001</v>
      </c>
      <c r="CT123" s="3732">
        <f>SUM(CU123:CV123)</f>
        <v>83657.96805000001</v>
      </c>
      <c r="CU123" s="3732">
        <f>SUM(CU119+CU122)</f>
        <v>83476.863000000012</v>
      </c>
      <c r="CV123" s="3732">
        <f>SUM(CV119+CV122)</f>
        <v>181.10505000000001</v>
      </c>
      <c r="CW123" s="3732">
        <f>SUM(CX123:CY123)</f>
        <v>115457.93360235624</v>
      </c>
      <c r="CX123" s="3732">
        <f>SUM(CX119+CX122)</f>
        <v>115167.01183817482</v>
      </c>
      <c r="CY123" s="3732">
        <f>SUM(CY119+CY122)</f>
        <v>290.92176418141588</v>
      </c>
      <c r="CZ123" s="3732">
        <f>SUM(DA123:DB123)</f>
        <v>95800.774671599997</v>
      </c>
      <c r="DA123" s="3732">
        <f>SUM(DA119+DA122)</f>
        <v>95495.080396862963</v>
      </c>
      <c r="DB123" s="3732">
        <f>SUM(DB119+DB122)</f>
        <v>305.69427473702683</v>
      </c>
      <c r="DC123" s="3732">
        <f>SUM(DD123:DE123)</f>
        <v>41578.582459999998</v>
      </c>
      <c r="DD123" s="3732">
        <f>SUM(DD119+DD122)</f>
        <v>41485.347179999997</v>
      </c>
      <c r="DE123" s="3732">
        <f>SUM(DE119+DE122)</f>
        <v>93.235280000000003</v>
      </c>
      <c r="DF123" s="3732">
        <f>SUM(DG123:DH123)</f>
        <v>62789.189829999996</v>
      </c>
      <c r="DG123" s="3732">
        <f>SUM(DG119+DG122)</f>
        <v>62650.197609999996</v>
      </c>
      <c r="DH123" s="3732">
        <f>SUM(DH119+DH122)</f>
        <v>138.99222</v>
      </c>
      <c r="DI123" s="3732">
        <f>SUM(DJ123:DK123)</f>
        <v>86741.147790000003</v>
      </c>
      <c r="DJ123" s="3732">
        <f>SUM(DJ119+DJ122)</f>
        <v>86551.370519999997</v>
      </c>
      <c r="DK123" s="3732">
        <f>SUM(DK119+DK122)</f>
        <v>189.77726999999999</v>
      </c>
      <c r="DL123" s="3732">
        <f>SUM(DM123:DN123)</f>
        <v>126523.42303595295</v>
      </c>
      <c r="DM123" s="3732">
        <f>SUM(DM119+DM122)</f>
        <v>126224.55271235974</v>
      </c>
      <c r="DN123" s="3732">
        <f>SUM(DN119+DN122)</f>
        <v>298.87032359320347</v>
      </c>
      <c r="DO123" s="3732">
        <f>SUM(DP123:DQ123)</f>
        <v>103116.46595140718</v>
      </c>
      <c r="DP123" s="3732">
        <f>SUM(DP119+DP122)</f>
        <v>102820.43479748892</v>
      </c>
      <c r="DQ123" s="3732">
        <f>SUM(DQ119+DQ122)</f>
        <v>296.03115391825548</v>
      </c>
      <c r="DR123" s="3732">
        <f>SUM(DS123:DT123)</f>
        <v>45798.910732000004</v>
      </c>
      <c r="DS123" s="3732">
        <f>SUM(DS119+DS122)</f>
        <v>45710.888032000003</v>
      </c>
      <c r="DT123" s="3732">
        <f>SUM(DT119+DT122)</f>
        <v>88.0227</v>
      </c>
      <c r="DU123" s="3732">
        <f>SUM(DV123:DW123)</f>
        <v>70324.041755999991</v>
      </c>
      <c r="DV123" s="3732">
        <f>SUM(DV119+DV122)</f>
        <v>70192.051705999998</v>
      </c>
      <c r="DW123" s="3732">
        <f>SUM(DW119+DW122)</f>
        <v>131.99005</v>
      </c>
      <c r="DX123" s="3732">
        <f>SUM(DY123:DZ123)</f>
        <v>98450.759162000017</v>
      </c>
      <c r="DY123" s="3732">
        <f>SUM(DY119+DY122)</f>
        <v>98263.109772000011</v>
      </c>
      <c r="DZ123" s="3732">
        <f>SUM(DZ119+DZ122)</f>
        <v>187.64939000000004</v>
      </c>
      <c r="EA123" s="3733">
        <f>SUM(EB123:EC123)</f>
        <v>144767.69176373296</v>
      </c>
      <c r="EB123" s="3733">
        <f>SUM(EB119+EB122)</f>
        <v>144460.17023174238</v>
      </c>
      <c r="EC123" s="3733">
        <f>SUM(EC119+EC122)</f>
        <v>307.52153199058324</v>
      </c>
      <c r="ED123" s="3994">
        <f>SUM(EE123:EF123)</f>
        <v>44517.969316046954</v>
      </c>
      <c r="EE123" s="3994">
        <f>SUM(EE119+EE122)</f>
        <v>44292.363314247195</v>
      </c>
      <c r="EF123" s="3994">
        <f>SUM(EF119+EF122)</f>
        <v>225.60600179975586</v>
      </c>
      <c r="EG123" s="3733">
        <f>SUM(EH123:EI123)</f>
        <v>162256.55679208093</v>
      </c>
      <c r="EH123" s="3733">
        <f>SUM(EH119+EH122)</f>
        <v>161949.03526009034</v>
      </c>
      <c r="EI123" s="3733">
        <f>SUM(EI119+EI122)</f>
        <v>307.52153199058324</v>
      </c>
      <c r="EJ123" s="3733">
        <f>SUM(EK123:EL123)</f>
        <v>124849.75490248352</v>
      </c>
      <c r="EK123" s="3733">
        <f>SUM(EK119+EK122)</f>
        <v>124502.9810749553</v>
      </c>
      <c r="EL123" s="3733">
        <f>SUM(EL119+EL122)</f>
        <v>346.77382752821455</v>
      </c>
      <c r="EM123" s="4854">
        <f>SUM(EN123:EO123)</f>
        <v>52820.114479999997</v>
      </c>
      <c r="EN123" s="4854">
        <f>SUM(EN119+EN122)</f>
        <v>52711.782469999998</v>
      </c>
      <c r="EO123" s="4854">
        <f>SUM(EO119+EO122)</f>
        <v>108.33201</v>
      </c>
      <c r="EP123" s="4854">
        <f>SUM(EQ123:ER123)</f>
        <v>110437.6557</v>
      </c>
      <c r="EQ123" s="4854">
        <f>SUM(EQ119+EQ122)</f>
        <v>110195.25874</v>
      </c>
      <c r="ER123" s="4854">
        <f>SUM(ER119+ER122)</f>
        <v>242.39696000000004</v>
      </c>
    </row>
    <row r="124" spans="1:148" ht="27" customHeight="1" x14ac:dyDescent="0.2">
      <c r="A124" s="3314" t="s">
        <v>3674</v>
      </c>
      <c r="B124" s="3314"/>
      <c r="C124" s="3314"/>
      <c r="D124" s="3314"/>
      <c r="E124" s="3314"/>
      <c r="F124" s="3314"/>
      <c r="G124" s="3314"/>
      <c r="H124" s="3314"/>
      <c r="I124" s="3314"/>
      <c r="J124" s="3314"/>
      <c r="K124" s="3314"/>
      <c r="L124" s="3314"/>
      <c r="M124" s="3314"/>
      <c r="N124" s="3314"/>
      <c r="O124" s="3314"/>
      <c r="P124" s="3314"/>
      <c r="Q124" s="3314"/>
      <c r="R124" s="3314"/>
      <c r="S124" s="3314"/>
      <c r="T124" s="3314"/>
      <c r="U124" s="3314"/>
      <c r="V124" s="3314"/>
      <c r="W124" s="3732"/>
      <c r="X124" s="3314"/>
      <c r="Y124" s="3732"/>
      <c r="Z124" s="3732"/>
      <c r="AA124" s="3732"/>
      <c r="AB124" s="3732"/>
      <c r="AC124" s="3732"/>
      <c r="AD124" s="3732"/>
      <c r="AE124" s="3732"/>
      <c r="AF124" s="3425"/>
      <c r="AG124" s="3732"/>
      <c r="AH124" s="3732"/>
      <c r="AI124" s="3732"/>
      <c r="AJ124" s="3425"/>
      <c r="AK124" s="3732"/>
      <c r="AL124" s="3732"/>
      <c r="AM124" s="3732"/>
      <c r="AN124" s="3732"/>
      <c r="AO124" s="3732"/>
      <c r="AP124" s="3732"/>
      <c r="AQ124" s="3732"/>
      <c r="AR124" s="3732"/>
      <c r="AS124" s="3732"/>
      <c r="AT124" s="3732"/>
      <c r="AU124" s="3732"/>
      <c r="AV124" s="3732"/>
      <c r="AW124" s="3426"/>
      <c r="AX124" s="3732"/>
      <c r="AY124" s="3732"/>
      <c r="AZ124" s="3732"/>
      <c r="BA124" s="3426"/>
      <c r="BB124" s="3732"/>
      <c r="BC124" s="3732"/>
      <c r="BD124" s="3732"/>
      <c r="BE124" s="3732"/>
      <c r="BF124" s="3732"/>
      <c r="BG124" s="3732"/>
      <c r="BH124" s="3732"/>
      <c r="BI124" s="3732"/>
      <c r="BJ124" s="3732">
        <f>SUM(BJ123/BJ120)</f>
        <v>30.550640364673907</v>
      </c>
      <c r="BK124" s="3732">
        <f t="shared" ref="BK124:CS124" si="760">SUM(BK123/BK120)</f>
        <v>30.646217956656347</v>
      </c>
      <c r="BL124" s="3732">
        <f t="shared" si="760"/>
        <v>14.242366613840469</v>
      </c>
      <c r="BM124" s="3732">
        <f t="shared" si="760"/>
        <v>25.931041750651513</v>
      </c>
      <c r="BN124" s="3732">
        <f t="shared" si="760"/>
        <v>25.986234243898704</v>
      </c>
      <c r="BO124" s="3732">
        <f t="shared" si="760"/>
        <v>16.458739726027396</v>
      </c>
      <c r="BP124" s="3732">
        <f t="shared" si="760"/>
        <v>35.935427971670677</v>
      </c>
      <c r="BQ124" s="3732">
        <f t="shared" si="760"/>
        <v>36.005993808049539</v>
      </c>
      <c r="BR124" s="3732">
        <f t="shared" si="760"/>
        <v>23.894875858425781</v>
      </c>
      <c r="BS124" s="3732">
        <f t="shared" si="760"/>
        <v>31.959809191227212</v>
      </c>
      <c r="BT124" s="3732">
        <f t="shared" si="760"/>
        <v>32.063137007529541</v>
      </c>
      <c r="BU124" s="3732">
        <f t="shared" si="760"/>
        <v>14.39990785624984</v>
      </c>
      <c r="BV124" s="3732">
        <f t="shared" si="760"/>
        <v>33.376121077285788</v>
      </c>
      <c r="BW124" s="3732">
        <f t="shared" si="760"/>
        <v>33.452445465766388</v>
      </c>
      <c r="BX124" s="3732">
        <f t="shared" si="760"/>
        <v>20.405279544640639</v>
      </c>
      <c r="BY124" s="3732" t="e">
        <f t="shared" si="760"/>
        <v>#DIV/0!</v>
      </c>
      <c r="BZ124" s="3732" t="e">
        <f t="shared" si="760"/>
        <v>#DIV/0!</v>
      </c>
      <c r="CA124" s="3732" t="e">
        <f t="shared" si="760"/>
        <v>#DIV/0!</v>
      </c>
      <c r="CB124" s="3732" t="e">
        <f t="shared" si="760"/>
        <v>#DIV/0!</v>
      </c>
      <c r="CC124" s="3732" t="e">
        <f t="shared" si="760"/>
        <v>#DIV/0!</v>
      </c>
      <c r="CD124" s="3732" t="e">
        <f t="shared" si="760"/>
        <v>#DIV/0!</v>
      </c>
      <c r="CE124" s="3732" t="e">
        <f t="shared" si="760"/>
        <v>#DIV/0!</v>
      </c>
      <c r="CF124" s="3732" t="e">
        <f t="shared" si="760"/>
        <v>#DIV/0!</v>
      </c>
      <c r="CG124" s="3732" t="e">
        <f t="shared" si="760"/>
        <v>#DIV/0!</v>
      </c>
      <c r="CH124" s="3732" t="e">
        <f t="shared" si="760"/>
        <v>#DIV/0!</v>
      </c>
      <c r="CI124" s="3732" t="e">
        <f t="shared" si="760"/>
        <v>#DIV/0!</v>
      </c>
      <c r="CJ124" s="3732" t="e">
        <f t="shared" si="760"/>
        <v>#DIV/0!</v>
      </c>
      <c r="CK124" s="3732">
        <f t="shared" si="760"/>
        <v>32.491971510841232</v>
      </c>
      <c r="CL124" s="3732">
        <f t="shared" si="760"/>
        <v>32.603721257602636</v>
      </c>
      <c r="CM124" s="3732">
        <f t="shared" si="760"/>
        <v>14.611560813057748</v>
      </c>
      <c r="CN124" s="3732">
        <f t="shared" si="760"/>
        <v>26.775165217661048</v>
      </c>
      <c r="CO124" s="3732">
        <f t="shared" si="760"/>
        <v>26.863158799493842</v>
      </c>
      <c r="CP124" s="3732">
        <f t="shared" si="760"/>
        <v>11.269964498396703</v>
      </c>
      <c r="CQ124" s="3732">
        <f t="shared" si="760"/>
        <v>26.874405813850348</v>
      </c>
      <c r="CR124" s="3732">
        <f t="shared" si="760"/>
        <v>26.970946688418071</v>
      </c>
      <c r="CS124" s="3732">
        <f t="shared" si="760"/>
        <v>10.152122871502513</v>
      </c>
      <c r="CT124" s="3732">
        <f t="shared" ref="CT124:CV124" si="761">SUM(CT123/CT120)</f>
        <v>26.80973058867151</v>
      </c>
      <c r="CU124" s="3732">
        <f t="shared" si="761"/>
        <v>26.879481182046103</v>
      </c>
      <c r="CV124" s="3732">
        <f t="shared" si="761"/>
        <v>12.207957532861476</v>
      </c>
      <c r="CW124" s="3732">
        <f t="shared" ref="CW124:CY124" si="762">SUM(CW123/CW120)</f>
        <v>40.591247425304083</v>
      </c>
      <c r="CX124" s="3732">
        <f t="shared" si="762"/>
        <v>40.742018481435075</v>
      </c>
      <c r="CY124" s="3732">
        <f t="shared" si="762"/>
        <v>16.467269670646182</v>
      </c>
      <c r="CZ124" s="3732">
        <f t="shared" ref="CZ124:DB124" si="763">SUM(CZ123/CZ120)</f>
        <v>33.680426898279258</v>
      </c>
      <c r="DA124" s="3732">
        <f t="shared" si="763"/>
        <v>33.782784395604743</v>
      </c>
      <c r="DB124" s="3732">
        <f t="shared" si="763"/>
        <v>17.303123039397001</v>
      </c>
      <c r="DC124" s="3732">
        <f t="shared" ref="DC124:DQ124" si="764">SUM(DC123/DC120)</f>
        <v>26.528271603126587</v>
      </c>
      <c r="DD124" s="3732">
        <f t="shared" si="764"/>
        <v>26.600469346718199</v>
      </c>
      <c r="DE124" s="3732">
        <f t="shared" si="764"/>
        <v>12.01640417579585</v>
      </c>
      <c r="DF124" s="3732">
        <f t="shared" si="764"/>
        <v>27.455475481275027</v>
      </c>
      <c r="DG124" s="3732">
        <f t="shared" si="764"/>
        <v>27.537398486656603</v>
      </c>
      <c r="DH124" s="3732">
        <f t="shared" si="764"/>
        <v>11.728311534891569</v>
      </c>
      <c r="DI124" s="3732">
        <f t="shared" si="764"/>
        <v>28.203532187172211</v>
      </c>
      <c r="DJ124" s="3732">
        <f t="shared" si="764"/>
        <v>28.291686599105464</v>
      </c>
      <c r="DK124" s="3732">
        <f t="shared" si="764"/>
        <v>11.649209379411944</v>
      </c>
      <c r="DL124" s="3732">
        <f t="shared" si="764"/>
        <v>44.481507744485384</v>
      </c>
      <c r="DM124" s="3732">
        <f t="shared" si="764"/>
        <v>44.653785639970792</v>
      </c>
      <c r="DN124" s="3732">
        <f t="shared" si="764"/>
        <v>16.916868941710728</v>
      </c>
      <c r="DO124" s="3732">
        <f t="shared" si="764"/>
        <v>34.402704574771079</v>
      </c>
      <c r="DP124" s="3732">
        <f t="shared" si="764"/>
        <v>34.474299102102513</v>
      </c>
      <c r="DQ124" s="3732">
        <f t="shared" si="764"/>
        <v>19.98626452941388</v>
      </c>
      <c r="DR124" s="3732">
        <f t="shared" ref="DR124:DT124" si="765">SUM(DR123/DR120)</f>
        <v>28.892131206199466</v>
      </c>
      <c r="DS124" s="3732">
        <f t="shared" si="765"/>
        <v>28.972438392457043</v>
      </c>
      <c r="DT124" s="3732">
        <f t="shared" si="765"/>
        <v>11.843743272335844</v>
      </c>
      <c r="DU124" s="3732">
        <f t="shared" ref="DU124:DW124" si="766">SUM(DU123/DU120)</f>
        <v>30.216241566513801</v>
      </c>
      <c r="DV124" s="3732">
        <f t="shared" si="766"/>
        <v>30.310720805786463</v>
      </c>
      <c r="DW124" s="3732">
        <f t="shared" si="766"/>
        <v>11.369631320527176</v>
      </c>
      <c r="DX124" s="3732">
        <f t="shared" ref="DX124:EF124" si="767">SUM(DX123/DX120)</f>
        <v>31.716566313368219</v>
      </c>
      <c r="DY124" s="3732">
        <f t="shared" si="767"/>
        <v>31.822377351060382</v>
      </c>
      <c r="DZ124" s="3732">
        <f t="shared" si="767"/>
        <v>11.570439634973489</v>
      </c>
      <c r="EA124" s="3733">
        <f t="shared" si="767"/>
        <v>48.298786093640949</v>
      </c>
      <c r="EB124" s="3733">
        <f t="shared" si="767"/>
        <v>48.435538389994804</v>
      </c>
      <c r="EC124" s="3733">
        <f t="shared" si="767"/>
        <v>20.762026582349478</v>
      </c>
      <c r="ED124" s="3994" t="e">
        <f t="shared" si="767"/>
        <v>#DIV/0!</v>
      </c>
      <c r="EE124" s="3994" t="e">
        <f t="shared" si="767"/>
        <v>#DIV/0!</v>
      </c>
      <c r="EF124" s="3994" t="e">
        <f t="shared" si="767"/>
        <v>#DIV/0!</v>
      </c>
      <c r="EG124" s="3733">
        <f t="shared" ref="EG124:EI124" si="768">SUM(EG123/EG120)</f>
        <v>54.133589016404322</v>
      </c>
      <c r="EH124" s="3733">
        <f t="shared" si="768"/>
        <v>54.299317950264594</v>
      </c>
      <c r="EI124" s="3733">
        <f t="shared" si="768"/>
        <v>20.762026582349478</v>
      </c>
      <c r="EJ124" s="3733">
        <f t="shared" ref="EJ124:ER124" si="769">SUM(EJ123/EJ120)</f>
        <v>40.611421838849346</v>
      </c>
      <c r="EK124" s="3733">
        <f t="shared" si="769"/>
        <v>40.700164007964915</v>
      </c>
      <c r="EL124" s="3733">
        <f t="shared" si="769"/>
        <v>22.779192440038688</v>
      </c>
      <c r="EM124" s="4854">
        <f t="shared" ref="EM124:EO124" si="770">SUM(EM123/EM120)</f>
        <v>31.963489858482284</v>
      </c>
      <c r="EN124" s="4854">
        <f t="shared" si="770"/>
        <v>32.03152514368427</v>
      </c>
      <c r="EO124" s="4854">
        <f t="shared" si="770"/>
        <v>15.718515670342425</v>
      </c>
      <c r="EP124" s="4854">
        <f t="shared" si="769"/>
        <v>34.238274211738769</v>
      </c>
      <c r="EQ124" s="4854">
        <f t="shared" si="769"/>
        <v>34.320883589610595</v>
      </c>
      <c r="ER124" s="4854">
        <f t="shared" si="769"/>
        <v>16.348899605436216</v>
      </c>
    </row>
    <row r="125" spans="1:148" ht="27" customHeight="1" x14ac:dyDescent="0.2">
      <c r="A125" s="3320" t="s">
        <v>419</v>
      </c>
      <c r="B125" s="3314"/>
      <c r="C125" s="3314"/>
      <c r="D125" s="3314"/>
      <c r="E125" s="3314"/>
      <c r="F125" s="3314"/>
      <c r="G125" s="3314"/>
      <c r="H125" s="3314"/>
      <c r="I125" s="3314"/>
      <c r="J125" s="3314"/>
      <c r="K125" s="3314"/>
      <c r="L125" s="3314"/>
      <c r="M125" s="3314"/>
      <c r="N125" s="3314"/>
      <c r="O125" s="3314"/>
      <c r="P125" s="3314"/>
      <c r="Q125" s="3314"/>
      <c r="R125" s="3314"/>
      <c r="S125" s="3314"/>
      <c r="T125" s="3314"/>
      <c r="U125" s="3314"/>
      <c r="V125" s="3314"/>
      <c r="W125" s="3439">
        <f>SUM(W79)</f>
        <v>0</v>
      </c>
      <c r="X125" s="3314"/>
      <c r="Y125" s="3439">
        <f t="shared" ref="Y125:AE125" si="771">SUM(Y79)</f>
        <v>0</v>
      </c>
      <c r="Z125" s="3439">
        <f t="shared" si="771"/>
        <v>0</v>
      </c>
      <c r="AA125" s="3439">
        <f t="shared" si="771"/>
        <v>0</v>
      </c>
      <c r="AB125" s="3439">
        <f t="shared" si="771"/>
        <v>0</v>
      </c>
      <c r="AC125" s="3439">
        <f t="shared" si="771"/>
        <v>0</v>
      </c>
      <c r="AD125" s="3439">
        <f t="shared" si="771"/>
        <v>0</v>
      </c>
      <c r="AE125" s="3439">
        <f t="shared" si="771"/>
        <v>4275.2299999999996</v>
      </c>
      <c r="AF125" s="3425" t="e">
        <f t="shared" si="598"/>
        <v>#DIV/0!</v>
      </c>
      <c r="AG125" s="3439">
        <f>SUM(AG79)</f>
        <v>4265.2299999999996</v>
      </c>
      <c r="AH125" s="3439">
        <f>SUM(AH79)</f>
        <v>10</v>
      </c>
      <c r="AI125" s="3439" t="e">
        <f>SUM(AI79)</f>
        <v>#REF!</v>
      </c>
      <c r="AJ125" s="3425" t="e">
        <f t="shared" si="599"/>
        <v>#REF!</v>
      </c>
      <c r="AK125" s="3439" t="e">
        <f t="shared" ref="AK125:AV125" si="772">SUM(AK79)</f>
        <v>#REF!</v>
      </c>
      <c r="AL125" s="3439">
        <f t="shared" si="772"/>
        <v>12.43</v>
      </c>
      <c r="AM125" s="3439">
        <f t="shared" si="772"/>
        <v>0</v>
      </c>
      <c r="AN125" s="3439">
        <f t="shared" si="772"/>
        <v>0</v>
      </c>
      <c r="AO125" s="3439">
        <f t="shared" si="772"/>
        <v>0</v>
      </c>
      <c r="AP125" s="3439">
        <f t="shared" si="772"/>
        <v>0</v>
      </c>
      <c r="AQ125" s="3439">
        <f t="shared" si="772"/>
        <v>0</v>
      </c>
      <c r="AR125" s="3439">
        <f t="shared" si="772"/>
        <v>0</v>
      </c>
      <c r="AS125" s="3439">
        <f t="shared" si="772"/>
        <v>0</v>
      </c>
      <c r="AT125" s="3439">
        <f t="shared" si="772"/>
        <v>0</v>
      </c>
      <c r="AU125" s="3439">
        <f t="shared" si="772"/>
        <v>0</v>
      </c>
      <c r="AV125" s="3439">
        <f t="shared" si="772"/>
        <v>4649.3426922200424</v>
      </c>
      <c r="AW125" s="3426" t="e">
        <f t="shared" si="601"/>
        <v>#REF!</v>
      </c>
      <c r="AX125" s="3439">
        <f>SUM(AX79)</f>
        <v>4631.2916377016763</v>
      </c>
      <c r="AY125" s="3439">
        <f>SUM(AY79)</f>
        <v>18.051054518365994</v>
      </c>
      <c r="AZ125" s="3439">
        <f>SUM(AZ79)</f>
        <v>4053.2755504953611</v>
      </c>
      <c r="BA125" s="3426" t="e">
        <f t="shared" si="602"/>
        <v>#REF!</v>
      </c>
      <c r="BB125" s="3439">
        <f t="shared" ref="BB125:BX125" si="773">SUM(BB79)</f>
        <v>4053.2755504953611</v>
      </c>
      <c r="BC125" s="3439">
        <f t="shared" si="773"/>
        <v>0</v>
      </c>
      <c r="BD125" s="3439">
        <f t="shared" si="773"/>
        <v>0</v>
      </c>
      <c r="BE125" s="3439">
        <f t="shared" si="773"/>
        <v>0</v>
      </c>
      <c r="BF125" s="3439">
        <f t="shared" si="773"/>
        <v>0</v>
      </c>
      <c r="BG125" s="3439">
        <f t="shared" si="773"/>
        <v>0</v>
      </c>
      <c r="BH125" s="3439">
        <f t="shared" si="773"/>
        <v>0</v>
      </c>
      <c r="BI125" s="3439">
        <f t="shared" si="773"/>
        <v>0</v>
      </c>
      <c r="BJ125" s="3439">
        <f t="shared" si="773"/>
        <v>0</v>
      </c>
      <c r="BK125" s="3439">
        <f t="shared" si="773"/>
        <v>0</v>
      </c>
      <c r="BL125" s="3439">
        <f t="shared" si="773"/>
        <v>0</v>
      </c>
      <c r="BM125" s="3439">
        <f t="shared" si="773"/>
        <v>0</v>
      </c>
      <c r="BN125" s="3439">
        <f t="shared" si="773"/>
        <v>0</v>
      </c>
      <c r="BO125" s="3439">
        <f t="shared" si="773"/>
        <v>0</v>
      </c>
      <c r="BP125" s="3439">
        <f t="shared" si="773"/>
        <v>0</v>
      </c>
      <c r="BQ125" s="3439">
        <f t="shared" si="773"/>
        <v>0</v>
      </c>
      <c r="BR125" s="3439">
        <f t="shared" si="773"/>
        <v>0</v>
      </c>
      <c r="BS125" s="3439">
        <f t="shared" si="773"/>
        <v>0</v>
      </c>
      <c r="BT125" s="3439">
        <f t="shared" si="773"/>
        <v>0</v>
      </c>
      <c r="BU125" s="3439">
        <f t="shared" si="773"/>
        <v>0</v>
      </c>
      <c r="BV125" s="3439">
        <f t="shared" si="773"/>
        <v>0</v>
      </c>
      <c r="BW125" s="3439">
        <f t="shared" si="773"/>
        <v>0</v>
      </c>
      <c r="BX125" s="3439">
        <f t="shared" si="773"/>
        <v>0</v>
      </c>
      <c r="BY125" s="1726"/>
      <c r="BZ125" s="3735"/>
      <c r="CA125" s="3735"/>
      <c r="CB125" s="3735"/>
      <c r="CC125" s="3735"/>
      <c r="CD125" s="3735"/>
      <c r="CE125" s="3735"/>
      <c r="CF125" s="3735"/>
      <c r="CG125" s="3735"/>
      <c r="CH125" s="3735"/>
      <c r="CI125" s="3735"/>
      <c r="CJ125" s="3735"/>
      <c r="CK125" s="3439">
        <f t="shared" ref="CK125:DP125" si="774">SUM(CK79)</f>
        <v>0</v>
      </c>
      <c r="CL125" s="3439">
        <f t="shared" si="774"/>
        <v>0</v>
      </c>
      <c r="CM125" s="3439">
        <f t="shared" si="774"/>
        <v>0</v>
      </c>
      <c r="CN125" s="3439">
        <f t="shared" si="774"/>
        <v>0</v>
      </c>
      <c r="CO125" s="3439">
        <f t="shared" si="774"/>
        <v>0</v>
      </c>
      <c r="CP125" s="3439">
        <f t="shared" si="774"/>
        <v>0</v>
      </c>
      <c r="CQ125" s="3439">
        <f t="shared" si="774"/>
        <v>0</v>
      </c>
      <c r="CR125" s="3439">
        <f t="shared" si="774"/>
        <v>0</v>
      </c>
      <c r="CS125" s="3439">
        <f t="shared" si="774"/>
        <v>0</v>
      </c>
      <c r="CT125" s="3439">
        <f t="shared" si="774"/>
        <v>0</v>
      </c>
      <c r="CU125" s="3439">
        <f t="shared" si="774"/>
        <v>0</v>
      </c>
      <c r="CV125" s="3439">
        <f t="shared" si="774"/>
        <v>0</v>
      </c>
      <c r="CW125" s="3439">
        <f t="shared" si="774"/>
        <v>0</v>
      </c>
      <c r="CX125" s="3439">
        <f t="shared" si="774"/>
        <v>0</v>
      </c>
      <c r="CY125" s="3439">
        <f t="shared" si="774"/>
        <v>0</v>
      </c>
      <c r="CZ125" s="3439">
        <f t="shared" si="774"/>
        <v>0</v>
      </c>
      <c r="DA125" s="3439">
        <f t="shared" si="774"/>
        <v>0</v>
      </c>
      <c r="DB125" s="3439">
        <f t="shared" si="774"/>
        <v>0</v>
      </c>
      <c r="DC125" s="3439">
        <f t="shared" si="774"/>
        <v>0</v>
      </c>
      <c r="DD125" s="3439">
        <f t="shared" si="774"/>
        <v>0</v>
      </c>
      <c r="DE125" s="3439">
        <f t="shared" si="774"/>
        <v>0</v>
      </c>
      <c r="DF125" s="3439">
        <f t="shared" si="774"/>
        <v>0</v>
      </c>
      <c r="DG125" s="3439">
        <f t="shared" si="774"/>
        <v>0</v>
      </c>
      <c r="DH125" s="3439">
        <f t="shared" si="774"/>
        <v>0</v>
      </c>
      <c r="DI125" s="3439">
        <f t="shared" si="774"/>
        <v>0</v>
      </c>
      <c r="DJ125" s="3439">
        <f t="shared" si="774"/>
        <v>0</v>
      </c>
      <c r="DK125" s="3439">
        <f t="shared" si="774"/>
        <v>0</v>
      </c>
      <c r="DL125" s="3439">
        <f t="shared" si="774"/>
        <v>0</v>
      </c>
      <c r="DM125" s="3439">
        <f t="shared" si="774"/>
        <v>0</v>
      </c>
      <c r="DN125" s="3439">
        <f t="shared" si="774"/>
        <v>0</v>
      </c>
      <c r="DO125" s="3439">
        <f t="shared" si="774"/>
        <v>0</v>
      </c>
      <c r="DP125" s="3439">
        <f t="shared" si="774"/>
        <v>0</v>
      </c>
      <c r="DQ125" s="3439">
        <f t="shared" ref="DQ125:EI125" si="775">SUM(DQ79)</f>
        <v>0</v>
      </c>
      <c r="DR125" s="3439">
        <f t="shared" si="775"/>
        <v>0</v>
      </c>
      <c r="DS125" s="3439">
        <f t="shared" si="775"/>
        <v>0</v>
      </c>
      <c r="DT125" s="3439">
        <f t="shared" si="775"/>
        <v>0</v>
      </c>
      <c r="DU125" s="3439">
        <f t="shared" si="775"/>
        <v>0</v>
      </c>
      <c r="DV125" s="3439">
        <f t="shared" si="775"/>
        <v>0</v>
      </c>
      <c r="DW125" s="3439">
        <f t="shared" si="775"/>
        <v>0</v>
      </c>
      <c r="DX125" s="3439">
        <f t="shared" si="775"/>
        <v>0</v>
      </c>
      <c r="DY125" s="3439">
        <f t="shared" si="775"/>
        <v>0</v>
      </c>
      <c r="DZ125" s="3439">
        <f t="shared" si="775"/>
        <v>0</v>
      </c>
      <c r="EA125" s="3730">
        <f t="shared" si="775"/>
        <v>0</v>
      </c>
      <c r="EB125" s="3730">
        <f t="shared" si="775"/>
        <v>0</v>
      </c>
      <c r="EC125" s="3730">
        <f t="shared" si="775"/>
        <v>0</v>
      </c>
      <c r="ED125" s="3993">
        <f t="shared" si="775"/>
        <v>0</v>
      </c>
      <c r="EE125" s="3993">
        <f t="shared" si="775"/>
        <v>0</v>
      </c>
      <c r="EF125" s="3993">
        <f t="shared" si="775"/>
        <v>0</v>
      </c>
      <c r="EG125" s="3730">
        <f t="shared" si="775"/>
        <v>0</v>
      </c>
      <c r="EH125" s="3730">
        <f t="shared" si="775"/>
        <v>0</v>
      </c>
      <c r="EI125" s="3730">
        <f t="shared" si="775"/>
        <v>0</v>
      </c>
      <c r="EJ125" s="3730">
        <f t="shared" ref="EJ125:ER125" si="776">SUM(EJ79)</f>
        <v>0</v>
      </c>
      <c r="EK125" s="3730">
        <f t="shared" si="776"/>
        <v>0</v>
      </c>
      <c r="EL125" s="3730">
        <f t="shared" si="776"/>
        <v>0</v>
      </c>
      <c r="EM125" s="4853">
        <f t="shared" ref="EM125:EO125" si="777">SUM(EM79)</f>
        <v>0</v>
      </c>
      <c r="EN125" s="4853">
        <f t="shared" si="777"/>
        <v>0</v>
      </c>
      <c r="EO125" s="4853">
        <f t="shared" si="777"/>
        <v>0</v>
      </c>
      <c r="EP125" s="4853">
        <f t="shared" si="776"/>
        <v>0</v>
      </c>
      <c r="EQ125" s="4853">
        <f t="shared" si="776"/>
        <v>0</v>
      </c>
      <c r="ER125" s="4853">
        <f t="shared" si="776"/>
        <v>0</v>
      </c>
    </row>
    <row r="126" spans="1:148" ht="27" customHeight="1" x14ac:dyDescent="0.2">
      <c r="A126" s="3320" t="s">
        <v>527</v>
      </c>
      <c r="B126" s="3314"/>
      <c r="C126" s="3314"/>
      <c r="D126" s="3314"/>
      <c r="E126" s="3314"/>
      <c r="F126" s="3314"/>
      <c r="G126" s="3314"/>
      <c r="H126" s="3314"/>
      <c r="I126" s="3314"/>
      <c r="J126" s="3314"/>
      <c r="K126" s="3314"/>
      <c r="L126" s="3314"/>
      <c r="M126" s="3314"/>
      <c r="N126" s="3314"/>
      <c r="O126" s="3314"/>
      <c r="P126" s="3314"/>
      <c r="Q126" s="3314"/>
      <c r="R126" s="3314"/>
      <c r="S126" s="3314"/>
      <c r="T126" s="3314"/>
      <c r="U126" s="3314"/>
      <c r="V126" s="3314"/>
      <c r="W126" s="3439">
        <f>SUM(W119+W125)</f>
        <v>96034.680000000008</v>
      </c>
      <c r="X126" s="3314"/>
      <c r="Y126" s="3439" t="e">
        <f t="shared" ref="Y126:AE126" si="778">SUM(Y119+Y125)</f>
        <v>#REF!</v>
      </c>
      <c r="Z126" s="3439" t="e">
        <f t="shared" si="778"/>
        <v>#REF!</v>
      </c>
      <c r="AA126" s="3439" t="e">
        <f t="shared" si="778"/>
        <v>#REF!</v>
      </c>
      <c r="AB126" s="3439">
        <f t="shared" si="778"/>
        <v>70897.669500000004</v>
      </c>
      <c r="AC126" s="3439">
        <f t="shared" si="778"/>
        <v>70520.933541510851</v>
      </c>
      <c r="AD126" s="3439">
        <f t="shared" si="778"/>
        <v>376.73595848915204</v>
      </c>
      <c r="AE126" s="3439">
        <f t="shared" si="778"/>
        <v>89773.889999999985</v>
      </c>
      <c r="AF126" s="3425" t="e">
        <f t="shared" si="598"/>
        <v>#REF!</v>
      </c>
      <c r="AG126" s="3439">
        <f>SUM(AG119+AG125)</f>
        <v>89859.839999999982</v>
      </c>
      <c r="AH126" s="3439">
        <f>SUM(AH119+AH125)</f>
        <v>353.42</v>
      </c>
      <c r="AI126" s="3439" t="e">
        <f>SUM(AI119+AI125)</f>
        <v>#REF!</v>
      </c>
      <c r="AJ126" s="3425" t="e">
        <f t="shared" si="599"/>
        <v>#REF!</v>
      </c>
      <c r="AK126" s="3439" t="e">
        <f t="shared" ref="AK126:AV126" si="779">SUM(AK119+AK125)</f>
        <v>#REF!</v>
      </c>
      <c r="AL126" s="3439" t="e">
        <f t="shared" si="779"/>
        <v>#REF!</v>
      </c>
      <c r="AM126" s="3439" t="e">
        <f t="shared" si="779"/>
        <v>#REF!</v>
      </c>
      <c r="AN126" s="3439" t="e">
        <f t="shared" si="779"/>
        <v>#REF!</v>
      </c>
      <c r="AO126" s="3439" t="e">
        <f t="shared" si="779"/>
        <v>#REF!</v>
      </c>
      <c r="AP126" s="3439">
        <f t="shared" si="779"/>
        <v>25525.759999999998</v>
      </c>
      <c r="AQ126" s="3439">
        <f t="shared" si="779"/>
        <v>25440.449918838356</v>
      </c>
      <c r="AR126" s="3439">
        <f t="shared" si="779"/>
        <v>85.310081161642032</v>
      </c>
      <c r="AS126" s="3439">
        <f t="shared" si="779"/>
        <v>40253.670000000006</v>
      </c>
      <c r="AT126" s="3439">
        <f t="shared" si="779"/>
        <v>40082.03991791149</v>
      </c>
      <c r="AU126" s="3439">
        <f t="shared" si="779"/>
        <v>171.63008208850837</v>
      </c>
      <c r="AV126" s="3439">
        <f t="shared" si="779"/>
        <v>96807.316536620885</v>
      </c>
      <c r="AW126" s="3426" t="e">
        <f t="shared" si="601"/>
        <v>#REF!</v>
      </c>
      <c r="AX126" s="3439">
        <f>SUM(AX119+AX125)</f>
        <v>96428.244391735192</v>
      </c>
      <c r="AY126" s="3439">
        <f>SUM(AY119+AY125)</f>
        <v>379.07214488568587</v>
      </c>
      <c r="AZ126" s="3439">
        <f>SUM(AZ119+AZ125)</f>
        <v>85384.50670841751</v>
      </c>
      <c r="BA126" s="3426" t="e">
        <f t="shared" si="602"/>
        <v>#REF!</v>
      </c>
      <c r="BB126" s="3439">
        <f t="shared" ref="BB126:BI126" si="780">SUM(BB119+BB125)</f>
        <v>85118.786560402586</v>
      </c>
      <c r="BC126" s="3439">
        <f t="shared" si="780"/>
        <v>265.72014801492946</v>
      </c>
      <c r="BD126" s="3439">
        <f t="shared" si="780"/>
        <v>81554.209999999992</v>
      </c>
      <c r="BE126" s="3439">
        <f t="shared" si="780"/>
        <v>81207.200000000012</v>
      </c>
      <c r="BF126" s="3439">
        <f t="shared" si="780"/>
        <v>347.01</v>
      </c>
      <c r="BG126" s="3439">
        <f t="shared" si="780"/>
        <v>79589.19</v>
      </c>
      <c r="BH126" s="3439">
        <f t="shared" si="780"/>
        <v>79280.179999999993</v>
      </c>
      <c r="BI126" s="3439">
        <f t="shared" si="780"/>
        <v>309.01</v>
      </c>
      <c r="BJ126" s="3732">
        <f>SUM(BK126:BL126)</f>
        <v>99256.891999999993</v>
      </c>
      <c r="BK126" s="3439">
        <f>SUM(BK123+BK125)</f>
        <v>98987.284</v>
      </c>
      <c r="BL126" s="3439">
        <f>SUM(BL123+BL125)</f>
        <v>269.60800000000006</v>
      </c>
      <c r="BM126" s="3732">
        <f>SUM(BN126:BO126)</f>
        <v>81692.376000000004</v>
      </c>
      <c r="BN126" s="3439">
        <f>SUM(BN123+BN125)</f>
        <v>81392.004000000001</v>
      </c>
      <c r="BO126" s="3439">
        <f>SUM(BO123+BO125)</f>
        <v>300.37199999999996</v>
      </c>
      <c r="BP126" s="3732">
        <f>SUM(BQ126:BR126)</f>
        <v>116751.69</v>
      </c>
      <c r="BQ126" s="3439">
        <f>SUM(BQ123+BQ125)</f>
        <v>116299.36</v>
      </c>
      <c r="BR126" s="3439">
        <f>SUM(BR123+BR125)</f>
        <v>452.33000000000004</v>
      </c>
      <c r="BS126" s="3732">
        <f>SUM(BT126:BU126)</f>
        <v>96518.740192143872</v>
      </c>
      <c r="BT126" s="3439">
        <f>SUM(BT123+BT125)</f>
        <v>96264.341820016794</v>
      </c>
      <c r="BU126" s="3439">
        <f>SUM(BU123+BU125)</f>
        <v>254.39837212708051</v>
      </c>
      <c r="BV126" s="3732">
        <f>SUM(BW126:BX126)</f>
        <v>100796.00724788889</v>
      </c>
      <c r="BW126" s="3439">
        <f>SUM(BW123+BW125)</f>
        <v>100435.51397593357</v>
      </c>
      <c r="BX126" s="3439">
        <f>SUM(BX123+BX125)</f>
        <v>360.49327195531799</v>
      </c>
      <c r="BY126" s="1726"/>
      <c r="BZ126" s="3735"/>
      <c r="CA126" s="3735"/>
      <c r="CB126" s="3735"/>
      <c r="CC126" s="3735"/>
      <c r="CD126" s="3735"/>
      <c r="CE126" s="3735"/>
      <c r="CF126" s="3735"/>
      <c r="CG126" s="3735"/>
      <c r="CH126" s="3735"/>
      <c r="CI126" s="3735"/>
      <c r="CJ126" s="3735"/>
      <c r="CK126" s="3732">
        <f>SUM(CL126:CM126)</f>
        <v>92420.315394637175</v>
      </c>
      <c r="CL126" s="3439">
        <f>SUM(CL123+CL125)</f>
        <v>92162.177820273151</v>
      </c>
      <c r="CM126" s="3439">
        <f>SUM(CM123+CM125)</f>
        <v>258.13757436402022</v>
      </c>
      <c r="CN126" s="3732">
        <f>SUM(CO126:CP126)</f>
        <v>41431.43548</v>
      </c>
      <c r="CO126" s="3439">
        <f>SUM(CO123+CO125)</f>
        <v>41333.026149999998</v>
      </c>
      <c r="CP126" s="3439">
        <f>SUM(CP123+CP125)</f>
        <v>98.409330000000011</v>
      </c>
      <c r="CQ126" s="3732">
        <f>SUM(CR126:CS126)</f>
        <v>62414.571280000004</v>
      </c>
      <c r="CR126" s="3439">
        <f>SUM(CR123+CR125)</f>
        <v>62279.233330000003</v>
      </c>
      <c r="CS126" s="3439">
        <f>SUM(CS123+CS125)</f>
        <v>135.33795000000001</v>
      </c>
      <c r="CT126" s="3732">
        <f>SUM(CU126:CV126)</f>
        <v>83657.96805000001</v>
      </c>
      <c r="CU126" s="3439">
        <f>SUM(CU123+CU125)</f>
        <v>83476.863000000012</v>
      </c>
      <c r="CV126" s="3439">
        <f>SUM(CV123+CV125)</f>
        <v>181.10505000000001</v>
      </c>
      <c r="CW126" s="3732">
        <f>SUM(CX126:CY126)</f>
        <v>115457.93360235624</v>
      </c>
      <c r="CX126" s="3439">
        <f>SUM(CX123+CX125)</f>
        <v>115167.01183817482</v>
      </c>
      <c r="CY126" s="3439">
        <f>SUM(CY123+CY125)</f>
        <v>290.92176418141588</v>
      </c>
      <c r="CZ126" s="3732">
        <f>SUM(DA126:DB126)</f>
        <v>95800.774671599997</v>
      </c>
      <c r="DA126" s="3439">
        <f>SUM(DA123+DA125)</f>
        <v>95495.080396862963</v>
      </c>
      <c r="DB126" s="3439">
        <f>SUM(DB123+DB125)</f>
        <v>305.69427473702683</v>
      </c>
      <c r="DC126" s="3732">
        <f>SUM(DD126:DE126)</f>
        <v>41578.582459999998</v>
      </c>
      <c r="DD126" s="3439">
        <f>SUM(DD123+DD125)</f>
        <v>41485.347179999997</v>
      </c>
      <c r="DE126" s="3439">
        <f>SUM(DE123+DE125)</f>
        <v>93.235280000000003</v>
      </c>
      <c r="DF126" s="3732">
        <f>SUM(DG126:DH126)</f>
        <v>62789.189829999996</v>
      </c>
      <c r="DG126" s="3439">
        <f>SUM(DG123+DG125)</f>
        <v>62650.197609999996</v>
      </c>
      <c r="DH126" s="3439">
        <f>SUM(DH123+DH125)</f>
        <v>138.99222</v>
      </c>
      <c r="DI126" s="3732">
        <f>SUM(DJ126:DK126)</f>
        <v>86741.147790000003</v>
      </c>
      <c r="DJ126" s="3439">
        <f>SUM(DJ123+DJ125)</f>
        <v>86551.370519999997</v>
      </c>
      <c r="DK126" s="3439">
        <f>SUM(DK123+DK125)</f>
        <v>189.77726999999999</v>
      </c>
      <c r="DL126" s="3732">
        <f>SUM(DM126:DN126)</f>
        <v>126523.42303595295</v>
      </c>
      <c r="DM126" s="3439">
        <f>SUM(DM123+DM125)</f>
        <v>126224.55271235974</v>
      </c>
      <c r="DN126" s="3439">
        <f>SUM(DN123+DN125)</f>
        <v>298.87032359320347</v>
      </c>
      <c r="DO126" s="3732">
        <f>SUM(DP126:DQ126)</f>
        <v>103116.46595140718</v>
      </c>
      <c r="DP126" s="3439">
        <f>SUM(DP123+DP125)</f>
        <v>102820.43479748892</v>
      </c>
      <c r="DQ126" s="3439">
        <f>SUM(DQ123+DQ125)</f>
        <v>296.03115391825548</v>
      </c>
      <c r="DR126" s="3732">
        <f>SUM(DS126:DT126)</f>
        <v>45798.910732000004</v>
      </c>
      <c r="DS126" s="3439">
        <f>SUM(DS123+DS125)</f>
        <v>45710.888032000003</v>
      </c>
      <c r="DT126" s="3439">
        <f>SUM(DT123+DT125)</f>
        <v>88.0227</v>
      </c>
      <c r="DU126" s="3732">
        <f>SUM(DV126:DW126)</f>
        <v>70324.041755999991</v>
      </c>
      <c r="DV126" s="3439">
        <f>SUM(DV123+DV125)</f>
        <v>70192.051705999998</v>
      </c>
      <c r="DW126" s="3439">
        <f>SUM(DW123+DW125)</f>
        <v>131.99005</v>
      </c>
      <c r="DX126" s="3732">
        <f>SUM(DY126:DZ126)</f>
        <v>98450.759162000017</v>
      </c>
      <c r="DY126" s="3439">
        <f>SUM(DY123+DY125)</f>
        <v>98263.109772000011</v>
      </c>
      <c r="DZ126" s="3439">
        <f>SUM(DZ123+DZ125)</f>
        <v>187.64939000000004</v>
      </c>
      <c r="EA126" s="3733">
        <f>SUM(EB126:EC126)</f>
        <v>144767.69176373296</v>
      </c>
      <c r="EB126" s="3730">
        <f>SUM(EB123+EB125)</f>
        <v>144460.17023174238</v>
      </c>
      <c r="EC126" s="3730">
        <f>SUM(EC123+EC125)</f>
        <v>307.52153199058324</v>
      </c>
      <c r="ED126" s="3994">
        <f>SUM(EE126:EF126)</f>
        <v>44517.969316046954</v>
      </c>
      <c r="EE126" s="3993">
        <f>SUM(EE123+EE125)</f>
        <v>44292.363314247195</v>
      </c>
      <c r="EF126" s="3993">
        <f>SUM(EF123+EF125)</f>
        <v>225.60600179975586</v>
      </c>
      <c r="EG126" s="3733">
        <f>SUM(EH126:EI126)</f>
        <v>162256.55679208093</v>
      </c>
      <c r="EH126" s="3730">
        <f>SUM(EH123+EH125)</f>
        <v>161949.03526009034</v>
      </c>
      <c r="EI126" s="3730">
        <f>SUM(EI123+EI125)</f>
        <v>307.52153199058324</v>
      </c>
      <c r="EJ126" s="3733">
        <f>SUM(EK126:EL126)</f>
        <v>124849.75490248352</v>
      </c>
      <c r="EK126" s="3730">
        <f>SUM(EK123+EK125)</f>
        <v>124502.9810749553</v>
      </c>
      <c r="EL126" s="3730">
        <f>SUM(EL123+EL125)</f>
        <v>346.77382752821455</v>
      </c>
      <c r="EM126" s="4854">
        <f>SUM(EN126:EO126)</f>
        <v>52820.114479999997</v>
      </c>
      <c r="EN126" s="4853">
        <f>SUM(EN123+EN125)</f>
        <v>52711.782469999998</v>
      </c>
      <c r="EO126" s="4853">
        <f>SUM(EO123+EO125)</f>
        <v>108.33201</v>
      </c>
      <c r="EP126" s="4854">
        <f>SUM(EQ126:ER126)</f>
        <v>110437.6557</v>
      </c>
      <c r="EQ126" s="4853">
        <f>SUM(EQ123+EQ125)</f>
        <v>110195.25874</v>
      </c>
      <c r="ER126" s="4853">
        <f>SUM(ER123+ER125)</f>
        <v>242.39696000000004</v>
      </c>
    </row>
    <row r="127" spans="1:148" ht="27" customHeight="1" x14ac:dyDescent="0.2">
      <c r="A127" s="3314" t="s">
        <v>68</v>
      </c>
      <c r="B127" s="3314"/>
      <c r="C127" s="3314"/>
      <c r="D127" s="3314"/>
      <c r="E127" s="3314"/>
      <c r="F127" s="3314"/>
      <c r="G127" s="3314"/>
      <c r="H127" s="3314"/>
      <c r="I127" s="3314"/>
      <c r="J127" s="3314"/>
      <c r="K127" s="3314"/>
      <c r="L127" s="3314"/>
      <c r="M127" s="3314"/>
      <c r="N127" s="3314"/>
      <c r="O127" s="3314"/>
      <c r="P127" s="3314"/>
      <c r="Q127" s="3314"/>
      <c r="R127" s="3314"/>
      <c r="S127" s="3314"/>
      <c r="T127" s="3314"/>
      <c r="U127" s="3314"/>
      <c r="V127" s="3314"/>
      <c r="W127" s="3732">
        <f>SUM(W126/W120)</f>
        <v>26.676300000000001</v>
      </c>
      <c r="X127" s="3314"/>
      <c r="Y127" s="3732" t="e">
        <f t="shared" ref="Y127:AE127" si="781">SUM(Y126/Y120)</f>
        <v>#REF!</v>
      </c>
      <c r="Z127" s="3732" t="e">
        <f t="shared" si="781"/>
        <v>#REF!</v>
      </c>
      <c r="AA127" s="3732" t="e">
        <f t="shared" si="781"/>
        <v>#REF!</v>
      </c>
      <c r="AB127" s="3732">
        <f t="shared" si="781"/>
        <v>20.395164115988724</v>
      </c>
      <c r="AC127" s="3732">
        <f t="shared" si="781"/>
        <v>20.464577348087886</v>
      </c>
      <c r="AD127" s="3732">
        <f t="shared" si="781"/>
        <v>12.474700612223577</v>
      </c>
      <c r="AE127" s="3732">
        <f t="shared" si="781"/>
        <v>24.443567402728235</v>
      </c>
      <c r="AF127" s="3425" t="e">
        <f t="shared" si="598"/>
        <v>#REF!</v>
      </c>
      <c r="AG127" s="3732">
        <f>SUM(AG126/AG120)</f>
        <v>24.654934562515429</v>
      </c>
      <c r="AH127" s="3732">
        <f>SUM(AH126/AH120)</f>
        <v>12.622142857142858</v>
      </c>
      <c r="AI127" s="3732" t="e">
        <f>SUM(AI126/AI120)</f>
        <v>#REF!</v>
      </c>
      <c r="AJ127" s="3425" t="e">
        <f t="shared" si="599"/>
        <v>#REF!</v>
      </c>
      <c r="AK127" s="3732" t="e">
        <f t="shared" ref="AK127:AV127" si="782">SUM(AK126/AK120)</f>
        <v>#REF!</v>
      </c>
      <c r="AL127" s="3732" t="e">
        <f t="shared" si="782"/>
        <v>#REF!</v>
      </c>
      <c r="AM127" s="3732" t="e">
        <f t="shared" si="782"/>
        <v>#REF!</v>
      </c>
      <c r="AN127" s="3732" t="e">
        <f t="shared" si="782"/>
        <v>#REF!</v>
      </c>
      <c r="AO127" s="3732" t="e">
        <f t="shared" si="782"/>
        <v>#REF!</v>
      </c>
      <c r="AP127" s="3732">
        <f t="shared" si="782"/>
        <v>15.278116283802387</v>
      </c>
      <c r="AQ127" s="3732">
        <f t="shared" si="782"/>
        <v>15.315700072145278</v>
      </c>
      <c r="AR127" s="3732">
        <f t="shared" si="782"/>
        <v>8.8221386930343364</v>
      </c>
      <c r="AS127" s="3732">
        <f t="shared" si="782"/>
        <v>12.540279443605042</v>
      </c>
      <c r="AT127" s="3732">
        <f t="shared" si="782"/>
        <v>12.578427562523808</v>
      </c>
      <c r="AU127" s="3732">
        <f t="shared" si="782"/>
        <v>7.3408931603297001</v>
      </c>
      <c r="AV127" s="3732">
        <f t="shared" si="782"/>
        <v>27.87426332756144</v>
      </c>
      <c r="AW127" s="3426" t="e">
        <f t="shared" si="601"/>
        <v>#REF!</v>
      </c>
      <c r="AX127" s="3732">
        <f>SUM(AX126/AX120)</f>
        <v>27.990782116613989</v>
      </c>
      <c r="AY127" s="3732">
        <f>SUM(AY126/AY120)</f>
        <v>13.538290888774496</v>
      </c>
      <c r="AZ127" s="3732">
        <f>SUM(AZ126/AZ120)</f>
        <v>24.649605133018714</v>
      </c>
      <c r="BA127" s="3426" t="e">
        <f t="shared" si="602"/>
        <v>#REF!</v>
      </c>
      <c r="BB127" s="3732">
        <f t="shared" ref="BB127:BJ127" si="783">SUM(BB126/BB120)</f>
        <v>24.707920627112507</v>
      </c>
      <c r="BC127" s="3732">
        <f t="shared" si="783"/>
        <v>14.036986160323796</v>
      </c>
      <c r="BD127" s="3732">
        <f t="shared" si="783"/>
        <v>26.638731467357392</v>
      </c>
      <c r="BE127" s="3732">
        <f t="shared" si="783"/>
        <v>26.705515581220983</v>
      </c>
      <c r="BF127" s="3732">
        <f t="shared" si="783"/>
        <v>16.804358353510896</v>
      </c>
      <c r="BG127" s="3732">
        <f t="shared" si="783"/>
        <v>24.892469318053873</v>
      </c>
      <c r="BH127" s="3732">
        <f t="shared" si="783"/>
        <v>24.945778924514645</v>
      </c>
      <c r="BI127" s="3732">
        <f t="shared" si="783"/>
        <v>16.077523413111344</v>
      </c>
      <c r="BJ127" s="3732">
        <f t="shared" si="783"/>
        <v>30.550640364673907</v>
      </c>
      <c r="BK127" s="3732">
        <f t="shared" ref="BK127:CS127" si="784">SUM(BK126/BK120)</f>
        <v>30.646217956656347</v>
      </c>
      <c r="BL127" s="3732">
        <f t="shared" si="784"/>
        <v>14.242366613840469</v>
      </c>
      <c r="BM127" s="3732">
        <f t="shared" si="784"/>
        <v>25.931041750651513</v>
      </c>
      <c r="BN127" s="3732">
        <f t="shared" si="784"/>
        <v>25.986234243898704</v>
      </c>
      <c r="BO127" s="3732">
        <f t="shared" si="784"/>
        <v>16.458739726027396</v>
      </c>
      <c r="BP127" s="3732">
        <f t="shared" si="784"/>
        <v>35.935427971670677</v>
      </c>
      <c r="BQ127" s="3732">
        <f t="shared" si="784"/>
        <v>36.005993808049539</v>
      </c>
      <c r="BR127" s="3732">
        <f t="shared" si="784"/>
        <v>23.894875858425781</v>
      </c>
      <c r="BS127" s="3732">
        <f t="shared" si="784"/>
        <v>31.959809191227212</v>
      </c>
      <c r="BT127" s="3732">
        <f t="shared" si="784"/>
        <v>32.063137007529541</v>
      </c>
      <c r="BU127" s="3732">
        <f t="shared" si="784"/>
        <v>14.39990785624984</v>
      </c>
      <c r="BV127" s="3732">
        <f t="shared" si="784"/>
        <v>33.376121077285788</v>
      </c>
      <c r="BW127" s="3732">
        <f t="shared" si="784"/>
        <v>33.452445465766388</v>
      </c>
      <c r="BX127" s="3732">
        <f t="shared" si="784"/>
        <v>20.405279544640639</v>
      </c>
      <c r="BY127" s="3732" t="e">
        <f t="shared" si="784"/>
        <v>#DIV/0!</v>
      </c>
      <c r="BZ127" s="3732" t="e">
        <f t="shared" si="784"/>
        <v>#DIV/0!</v>
      </c>
      <c r="CA127" s="3732" t="e">
        <f t="shared" si="784"/>
        <v>#DIV/0!</v>
      </c>
      <c r="CB127" s="3732" t="e">
        <f t="shared" si="784"/>
        <v>#DIV/0!</v>
      </c>
      <c r="CC127" s="3732" t="e">
        <f t="shared" si="784"/>
        <v>#DIV/0!</v>
      </c>
      <c r="CD127" s="3732" t="e">
        <f t="shared" si="784"/>
        <v>#DIV/0!</v>
      </c>
      <c r="CE127" s="3732" t="e">
        <f t="shared" si="784"/>
        <v>#DIV/0!</v>
      </c>
      <c r="CF127" s="3732" t="e">
        <f t="shared" si="784"/>
        <v>#DIV/0!</v>
      </c>
      <c r="CG127" s="3732" t="e">
        <f t="shared" si="784"/>
        <v>#DIV/0!</v>
      </c>
      <c r="CH127" s="3732" t="e">
        <f t="shared" si="784"/>
        <v>#DIV/0!</v>
      </c>
      <c r="CI127" s="3732" t="e">
        <f t="shared" si="784"/>
        <v>#DIV/0!</v>
      </c>
      <c r="CJ127" s="3732" t="e">
        <f t="shared" si="784"/>
        <v>#DIV/0!</v>
      </c>
      <c r="CK127" s="3732">
        <f t="shared" si="784"/>
        <v>32.491971510841232</v>
      </c>
      <c r="CL127" s="3732">
        <f t="shared" si="784"/>
        <v>32.603721257602636</v>
      </c>
      <c r="CM127" s="3732">
        <f t="shared" si="784"/>
        <v>14.611560813057748</v>
      </c>
      <c r="CN127" s="3732">
        <f t="shared" si="784"/>
        <v>26.775165217661048</v>
      </c>
      <c r="CO127" s="3732">
        <f t="shared" si="784"/>
        <v>26.863158799493842</v>
      </c>
      <c r="CP127" s="3732">
        <f t="shared" si="784"/>
        <v>11.269964498396703</v>
      </c>
      <c r="CQ127" s="3732">
        <f t="shared" si="784"/>
        <v>26.874405813850348</v>
      </c>
      <c r="CR127" s="3732">
        <f t="shared" si="784"/>
        <v>26.970946688418071</v>
      </c>
      <c r="CS127" s="3732">
        <f t="shared" si="784"/>
        <v>10.152122871502513</v>
      </c>
      <c r="CT127" s="3732">
        <f t="shared" ref="CT127:CV127" si="785">SUM(CT126/CT120)</f>
        <v>26.80973058867151</v>
      </c>
      <c r="CU127" s="3732">
        <f t="shared" si="785"/>
        <v>26.879481182046103</v>
      </c>
      <c r="CV127" s="3732">
        <f t="shared" si="785"/>
        <v>12.207957532861476</v>
      </c>
      <c r="CW127" s="3732">
        <f t="shared" ref="CW127:CY127" si="786">SUM(CW126/CW120)</f>
        <v>40.591247425304083</v>
      </c>
      <c r="CX127" s="3732">
        <f t="shared" si="786"/>
        <v>40.742018481435075</v>
      </c>
      <c r="CY127" s="3732">
        <f t="shared" si="786"/>
        <v>16.467269670646182</v>
      </c>
      <c r="CZ127" s="3732">
        <f t="shared" ref="CZ127:DB127" si="787">SUM(CZ126/CZ120)</f>
        <v>33.680426898279258</v>
      </c>
      <c r="DA127" s="3732">
        <f t="shared" si="787"/>
        <v>33.782784395604743</v>
      </c>
      <c r="DB127" s="3732">
        <f t="shared" si="787"/>
        <v>17.303123039397001</v>
      </c>
      <c r="DC127" s="3732">
        <f t="shared" ref="DC127:DQ127" si="788">SUM(DC126/DC120)</f>
        <v>26.528271603126587</v>
      </c>
      <c r="DD127" s="3732">
        <f t="shared" si="788"/>
        <v>26.600469346718199</v>
      </c>
      <c r="DE127" s="3732">
        <f t="shared" si="788"/>
        <v>12.01640417579585</v>
      </c>
      <c r="DF127" s="3732">
        <f t="shared" si="788"/>
        <v>27.455475481275027</v>
      </c>
      <c r="DG127" s="3732">
        <f t="shared" si="788"/>
        <v>27.537398486656603</v>
      </c>
      <c r="DH127" s="3732">
        <f t="shared" si="788"/>
        <v>11.728311534891569</v>
      </c>
      <c r="DI127" s="3732">
        <f t="shared" si="788"/>
        <v>28.203532187172211</v>
      </c>
      <c r="DJ127" s="3732">
        <f t="shared" si="788"/>
        <v>28.291686599105464</v>
      </c>
      <c r="DK127" s="3732">
        <f t="shared" si="788"/>
        <v>11.649209379411944</v>
      </c>
      <c r="DL127" s="3732">
        <f t="shared" si="788"/>
        <v>44.481507744485384</v>
      </c>
      <c r="DM127" s="3732">
        <f t="shared" si="788"/>
        <v>44.653785639970792</v>
      </c>
      <c r="DN127" s="3732">
        <f t="shared" si="788"/>
        <v>16.916868941710728</v>
      </c>
      <c r="DO127" s="3732">
        <f t="shared" si="788"/>
        <v>34.402704574771079</v>
      </c>
      <c r="DP127" s="3732">
        <f t="shared" si="788"/>
        <v>34.474299102102513</v>
      </c>
      <c r="DQ127" s="3732">
        <f t="shared" si="788"/>
        <v>19.98626452941388</v>
      </c>
      <c r="DR127" s="3732">
        <f t="shared" ref="DR127:DT127" si="789">SUM(DR126/DR120)</f>
        <v>28.892131206199466</v>
      </c>
      <c r="DS127" s="3732">
        <f t="shared" si="789"/>
        <v>28.972438392457043</v>
      </c>
      <c r="DT127" s="3732">
        <f t="shared" si="789"/>
        <v>11.843743272335844</v>
      </c>
      <c r="DU127" s="3732">
        <f t="shared" ref="DU127:DW127" si="790">SUM(DU126/DU120)</f>
        <v>30.216241566513801</v>
      </c>
      <c r="DV127" s="3732">
        <f t="shared" si="790"/>
        <v>30.310720805786463</v>
      </c>
      <c r="DW127" s="3732">
        <f t="shared" si="790"/>
        <v>11.369631320527176</v>
      </c>
      <c r="DX127" s="3732">
        <f t="shared" ref="DX127:EF127" si="791">SUM(DX126/DX120)</f>
        <v>31.716566313368219</v>
      </c>
      <c r="DY127" s="3732">
        <f t="shared" si="791"/>
        <v>31.822377351060382</v>
      </c>
      <c r="DZ127" s="3732">
        <f t="shared" si="791"/>
        <v>11.570439634973489</v>
      </c>
      <c r="EA127" s="3733">
        <f t="shared" si="791"/>
        <v>48.298786093640949</v>
      </c>
      <c r="EB127" s="3733">
        <f t="shared" si="791"/>
        <v>48.435538389994804</v>
      </c>
      <c r="EC127" s="3733">
        <f t="shared" si="791"/>
        <v>20.762026582349478</v>
      </c>
      <c r="ED127" s="3994" t="e">
        <f t="shared" si="791"/>
        <v>#DIV/0!</v>
      </c>
      <c r="EE127" s="3994" t="e">
        <f t="shared" si="791"/>
        <v>#DIV/0!</v>
      </c>
      <c r="EF127" s="3994" t="e">
        <f t="shared" si="791"/>
        <v>#DIV/0!</v>
      </c>
      <c r="EG127" s="3733">
        <f t="shared" ref="EG127:EI127" si="792">SUM(EG126/EG120)</f>
        <v>54.133589016404322</v>
      </c>
      <c r="EH127" s="3733">
        <f t="shared" si="792"/>
        <v>54.299317950264594</v>
      </c>
      <c r="EI127" s="3733">
        <f t="shared" si="792"/>
        <v>20.762026582349478</v>
      </c>
      <c r="EJ127" s="3733">
        <f t="shared" ref="EJ127:ER127" si="793">SUM(EJ126/EJ120)</f>
        <v>40.611421838849346</v>
      </c>
      <c r="EK127" s="3733">
        <f t="shared" si="793"/>
        <v>40.700164007964915</v>
      </c>
      <c r="EL127" s="3733">
        <f t="shared" si="793"/>
        <v>22.779192440038688</v>
      </c>
      <c r="EM127" s="4854">
        <f t="shared" ref="EM127:EO127" si="794">SUM(EM126/EM120)</f>
        <v>31.963489858482284</v>
      </c>
      <c r="EN127" s="4854">
        <f t="shared" si="794"/>
        <v>32.03152514368427</v>
      </c>
      <c r="EO127" s="4854">
        <f t="shared" si="794"/>
        <v>15.718515670342425</v>
      </c>
      <c r="EP127" s="4854">
        <f t="shared" si="793"/>
        <v>34.238274211738769</v>
      </c>
      <c r="EQ127" s="4854">
        <f t="shared" si="793"/>
        <v>34.320883589610595</v>
      </c>
      <c r="ER127" s="4854">
        <f t="shared" si="793"/>
        <v>16.348899605436216</v>
      </c>
    </row>
    <row r="128" spans="1:148" ht="39.75" hidden="1" customHeight="1" x14ac:dyDescent="0.2">
      <c r="A128" s="3314" t="s">
        <v>310</v>
      </c>
      <c r="B128" s="3314"/>
      <c r="C128" s="3314"/>
      <c r="D128" s="3314"/>
      <c r="E128" s="3314"/>
      <c r="F128" s="3314"/>
      <c r="G128" s="3314"/>
      <c r="H128" s="3314"/>
      <c r="I128" s="3314"/>
      <c r="J128" s="3314"/>
      <c r="K128" s="3314"/>
      <c r="L128" s="3314"/>
      <c r="M128" s="3314"/>
      <c r="N128" s="3314"/>
      <c r="O128" s="3314"/>
      <c r="P128" s="3314"/>
      <c r="Q128" s="3314"/>
      <c r="R128" s="3314"/>
      <c r="S128" s="3314"/>
      <c r="T128" s="3314"/>
      <c r="U128" s="3314"/>
      <c r="V128" s="3314"/>
      <c r="W128" s="3439">
        <f>SUM(W83)</f>
        <v>4947</v>
      </c>
      <c r="X128" s="3314"/>
      <c r="Y128" s="3439">
        <f t="shared" ref="Y128:AE128" si="795">SUM(Y83)</f>
        <v>4947</v>
      </c>
      <c r="Z128" s="3439">
        <f t="shared" si="795"/>
        <v>4947</v>
      </c>
      <c r="AA128" s="3439">
        <f t="shared" si="795"/>
        <v>0</v>
      </c>
      <c r="AB128" s="3439">
        <f t="shared" si="795"/>
        <v>1044.8800000000001</v>
      </c>
      <c r="AC128" s="3439">
        <f t="shared" si="795"/>
        <v>1044.8800000000001</v>
      </c>
      <c r="AD128" s="3439">
        <f t="shared" si="795"/>
        <v>0</v>
      </c>
      <c r="AE128" s="3439">
        <f t="shared" si="795"/>
        <v>5656.1</v>
      </c>
      <c r="AF128" s="3425">
        <f t="shared" si="598"/>
        <v>1.1433393976147161</v>
      </c>
      <c r="AG128" s="3439">
        <f>SUM(AG83)</f>
        <v>5656.1</v>
      </c>
      <c r="AH128" s="3439">
        <f>SUM(AH83)</f>
        <v>0</v>
      </c>
      <c r="AI128" s="3439">
        <f>SUM(AI83)</f>
        <v>3568.1</v>
      </c>
      <c r="AJ128" s="3425">
        <f t="shared" si="599"/>
        <v>0.72126541338184758</v>
      </c>
      <c r="AK128" s="3439">
        <f t="shared" ref="AK128:AV128" si="796">SUM(AK83)</f>
        <v>3568.1</v>
      </c>
      <c r="AL128" s="3439">
        <f t="shared" si="796"/>
        <v>0</v>
      </c>
      <c r="AM128" s="3439" t="e">
        <f t="shared" si="796"/>
        <v>#REF!</v>
      </c>
      <c r="AN128" s="3439" t="e">
        <f t="shared" si="796"/>
        <v>#REF!</v>
      </c>
      <c r="AO128" s="3439" t="e">
        <f t="shared" si="796"/>
        <v>#REF!</v>
      </c>
      <c r="AP128" s="3439">
        <f t="shared" si="796"/>
        <v>0</v>
      </c>
      <c r="AQ128" s="3439">
        <f t="shared" si="796"/>
        <v>0</v>
      </c>
      <c r="AR128" s="3439">
        <f t="shared" si="796"/>
        <v>0</v>
      </c>
      <c r="AS128" s="3439">
        <f t="shared" si="796"/>
        <v>0</v>
      </c>
      <c r="AT128" s="3439">
        <f t="shared" si="796"/>
        <v>0</v>
      </c>
      <c r="AU128" s="3439">
        <f t="shared" si="796"/>
        <v>0</v>
      </c>
      <c r="AV128" s="3439">
        <f t="shared" si="796"/>
        <v>0.9</v>
      </c>
      <c r="AW128" s="3426">
        <f t="shared" si="601"/>
        <v>2.5223508309744685E-4</v>
      </c>
      <c r="AX128" s="3439">
        <f>SUM(AX83)</f>
        <v>0.9</v>
      </c>
      <c r="AY128" s="3439">
        <f>SUM(AY83)</f>
        <v>0</v>
      </c>
      <c r="AZ128" s="3439">
        <f>SUM(AZ83)</f>
        <v>0.9</v>
      </c>
      <c r="BA128" s="3426">
        <f t="shared" si="602"/>
        <v>2.5223508309744685E-4</v>
      </c>
      <c r="BB128" s="3439">
        <f t="shared" ref="BB128:BI128" si="797">SUM(BB83)</f>
        <v>0.9</v>
      </c>
      <c r="BC128" s="3439">
        <f t="shared" si="797"/>
        <v>0</v>
      </c>
      <c r="BD128" s="3439">
        <f t="shared" si="797"/>
        <v>0</v>
      </c>
      <c r="BE128" s="3439">
        <f t="shared" si="797"/>
        <v>0</v>
      </c>
      <c r="BF128" s="3439">
        <f t="shared" si="797"/>
        <v>0</v>
      </c>
      <c r="BG128" s="3439">
        <f t="shared" si="797"/>
        <v>0</v>
      </c>
      <c r="BH128" s="3439">
        <f t="shared" si="797"/>
        <v>0</v>
      </c>
      <c r="BI128" s="3439">
        <f t="shared" si="797"/>
        <v>0</v>
      </c>
      <c r="BJ128" s="3439"/>
      <c r="BK128" s="3439"/>
      <c r="BL128" s="3439"/>
      <c r="BM128" s="3439"/>
      <c r="BN128" s="3439"/>
      <c r="BO128" s="3439"/>
      <c r="BP128" s="3439">
        <f t="shared" ref="BP128:BX128" si="798">SUM(BP83)</f>
        <v>0</v>
      </c>
      <c r="BQ128" s="3439">
        <f t="shared" si="798"/>
        <v>0</v>
      </c>
      <c r="BR128" s="3439">
        <f t="shared" si="798"/>
        <v>0</v>
      </c>
      <c r="BS128" s="3439">
        <f t="shared" si="798"/>
        <v>0</v>
      </c>
      <c r="BT128" s="3439">
        <f t="shared" si="798"/>
        <v>0</v>
      </c>
      <c r="BU128" s="3439">
        <f t="shared" si="798"/>
        <v>0</v>
      </c>
      <c r="BV128" s="3439">
        <f t="shared" si="798"/>
        <v>0</v>
      </c>
      <c r="BW128" s="3439">
        <f t="shared" si="798"/>
        <v>0</v>
      </c>
      <c r="BX128" s="3439">
        <f t="shared" si="798"/>
        <v>0</v>
      </c>
      <c r="BY128" s="1726"/>
      <c r="BZ128" s="3735"/>
      <c r="CA128" s="3735"/>
      <c r="CB128" s="3735"/>
      <c r="CC128" s="3735"/>
      <c r="CD128" s="3735"/>
      <c r="CE128" s="3735"/>
      <c r="CF128" s="3735"/>
      <c r="CG128" s="3735"/>
      <c r="CH128" s="3735"/>
      <c r="CI128" s="3735"/>
      <c r="CJ128" s="3735"/>
      <c r="CK128" s="3439">
        <f t="shared" ref="CK128:DQ128" si="799">SUM(CK83)</f>
        <v>0</v>
      </c>
      <c r="CL128" s="3439">
        <f t="shared" si="799"/>
        <v>0</v>
      </c>
      <c r="CM128" s="3439">
        <f t="shared" si="799"/>
        <v>0</v>
      </c>
      <c r="CN128" s="3439">
        <f t="shared" si="799"/>
        <v>0</v>
      </c>
      <c r="CO128" s="3439">
        <f t="shared" si="799"/>
        <v>0</v>
      </c>
      <c r="CP128" s="3439">
        <f t="shared" si="799"/>
        <v>0</v>
      </c>
      <c r="CQ128" s="3439">
        <f t="shared" si="799"/>
        <v>0</v>
      </c>
      <c r="CR128" s="3439">
        <f t="shared" si="799"/>
        <v>0</v>
      </c>
      <c r="CS128" s="3439">
        <f t="shared" si="799"/>
        <v>0</v>
      </c>
      <c r="CT128" s="3439">
        <f t="shared" si="799"/>
        <v>0</v>
      </c>
      <c r="CU128" s="3439">
        <f t="shared" si="799"/>
        <v>0</v>
      </c>
      <c r="CV128" s="3439">
        <f t="shared" si="799"/>
        <v>0</v>
      </c>
      <c r="CW128" s="3439">
        <f t="shared" si="799"/>
        <v>0</v>
      </c>
      <c r="CX128" s="3439">
        <f t="shared" si="799"/>
        <v>0</v>
      </c>
      <c r="CY128" s="3439">
        <f t="shared" si="799"/>
        <v>0</v>
      </c>
      <c r="CZ128" s="3439">
        <f t="shared" si="799"/>
        <v>0</v>
      </c>
      <c r="DA128" s="3439">
        <f t="shared" si="799"/>
        <v>0</v>
      </c>
      <c r="DB128" s="3439">
        <f t="shared" si="799"/>
        <v>0</v>
      </c>
      <c r="DC128" s="3439">
        <f t="shared" si="799"/>
        <v>0</v>
      </c>
      <c r="DD128" s="3439">
        <f t="shared" si="799"/>
        <v>0</v>
      </c>
      <c r="DE128" s="3439">
        <f t="shared" si="799"/>
        <v>0</v>
      </c>
      <c r="DF128" s="3439">
        <f t="shared" si="799"/>
        <v>0</v>
      </c>
      <c r="DG128" s="3439">
        <f t="shared" si="799"/>
        <v>0</v>
      </c>
      <c r="DH128" s="3439">
        <f t="shared" si="799"/>
        <v>0</v>
      </c>
      <c r="DI128" s="3439">
        <f t="shared" si="799"/>
        <v>0</v>
      </c>
      <c r="DJ128" s="3439">
        <f t="shared" si="799"/>
        <v>0</v>
      </c>
      <c r="DK128" s="3439">
        <f t="shared" si="799"/>
        <v>0</v>
      </c>
      <c r="DL128" s="3439">
        <f t="shared" si="799"/>
        <v>0</v>
      </c>
      <c r="DM128" s="3439">
        <f t="shared" si="799"/>
        <v>0</v>
      </c>
      <c r="DN128" s="3439">
        <f t="shared" si="799"/>
        <v>0</v>
      </c>
      <c r="DO128" s="3439">
        <f t="shared" si="799"/>
        <v>0</v>
      </c>
      <c r="DP128" s="3439">
        <f t="shared" si="799"/>
        <v>0</v>
      </c>
      <c r="DQ128" s="3439">
        <f t="shared" si="799"/>
        <v>0</v>
      </c>
      <c r="DR128" s="394"/>
      <c r="DS128" s="394"/>
      <c r="DT128" s="394"/>
      <c r="DU128" s="394"/>
      <c r="DV128" s="394"/>
      <c r="DW128" s="394"/>
      <c r="DX128" s="394"/>
      <c r="DY128" s="394"/>
      <c r="DZ128" s="394"/>
      <c r="EA128" s="3439">
        <f t="shared" ref="EA128:EI128" si="800">SUM(EA83)</f>
        <v>0</v>
      </c>
      <c r="EB128" s="3439">
        <f t="shared" si="800"/>
        <v>0</v>
      </c>
      <c r="EC128" s="3439">
        <f t="shared" si="800"/>
        <v>0</v>
      </c>
      <c r="ED128" s="3993">
        <f t="shared" si="800"/>
        <v>0</v>
      </c>
      <c r="EE128" s="3993">
        <f t="shared" si="800"/>
        <v>0</v>
      </c>
      <c r="EF128" s="3993">
        <f t="shared" si="800"/>
        <v>0</v>
      </c>
      <c r="EG128" s="3439">
        <f t="shared" si="800"/>
        <v>0</v>
      </c>
      <c r="EH128" s="3439">
        <f t="shared" si="800"/>
        <v>0</v>
      </c>
      <c r="EI128" s="3439">
        <f t="shared" si="800"/>
        <v>0</v>
      </c>
      <c r="EJ128" s="3439">
        <f t="shared" ref="EJ128:EL128" si="801">SUM(EJ83)</f>
        <v>0</v>
      </c>
      <c r="EK128" s="3439">
        <f t="shared" si="801"/>
        <v>0</v>
      </c>
      <c r="EL128" s="3439">
        <f t="shared" si="801"/>
        <v>0</v>
      </c>
      <c r="EM128" s="394"/>
      <c r="EN128" s="394"/>
      <c r="EO128" s="394"/>
      <c r="EP128" s="394"/>
      <c r="EQ128" s="394"/>
      <c r="ER128" s="394"/>
    </row>
    <row r="129" spans="1:148" ht="39.75" hidden="1" customHeight="1" x14ac:dyDescent="0.2">
      <c r="A129" s="3320" t="s">
        <v>528</v>
      </c>
      <c r="B129" s="3314"/>
      <c r="C129" s="3314"/>
      <c r="D129" s="3314"/>
      <c r="E129" s="3314"/>
      <c r="F129" s="3314"/>
      <c r="G129" s="3314"/>
      <c r="H129" s="3314"/>
      <c r="I129" s="3314"/>
      <c r="J129" s="3314"/>
      <c r="K129" s="3314"/>
      <c r="L129" s="3314"/>
      <c r="M129" s="3314"/>
      <c r="N129" s="3314"/>
      <c r="O129" s="3314"/>
      <c r="P129" s="3314"/>
      <c r="Q129" s="3314"/>
      <c r="R129" s="3314"/>
      <c r="S129" s="3314"/>
      <c r="T129" s="3314"/>
      <c r="U129" s="3314"/>
      <c r="V129" s="3314"/>
      <c r="W129" s="3439">
        <f>SUM(W126+W128)</f>
        <v>100981.68000000001</v>
      </c>
      <c r="X129" s="3314"/>
      <c r="Y129" s="3439" t="e">
        <f t="shared" ref="Y129:AE129" si="802">SUM(Y126+Y128)</f>
        <v>#REF!</v>
      </c>
      <c r="Z129" s="3439" t="e">
        <f t="shared" si="802"/>
        <v>#REF!</v>
      </c>
      <c r="AA129" s="3439" t="e">
        <f t="shared" si="802"/>
        <v>#REF!</v>
      </c>
      <c r="AB129" s="3439">
        <f t="shared" si="802"/>
        <v>71942.549500000008</v>
      </c>
      <c r="AC129" s="3439">
        <f t="shared" si="802"/>
        <v>71565.813541510855</v>
      </c>
      <c r="AD129" s="3439">
        <f t="shared" si="802"/>
        <v>376.73595848915204</v>
      </c>
      <c r="AE129" s="3439">
        <f t="shared" si="802"/>
        <v>95429.989999999991</v>
      </c>
      <c r="AF129" s="3425" t="e">
        <f t="shared" si="598"/>
        <v>#REF!</v>
      </c>
      <c r="AG129" s="3439">
        <f t="shared" ref="AG129" si="803">SUM(AG126+AG128)</f>
        <v>95515.939999999988</v>
      </c>
      <c r="AH129" s="3439">
        <f t="shared" ref="AH129" si="804">SUM(AH126+AH128)</f>
        <v>353.42</v>
      </c>
      <c r="AI129" s="3439" t="e">
        <f t="shared" ref="AI129:AK129" si="805">SUM(AI126+AI128)</f>
        <v>#REF!</v>
      </c>
      <c r="AJ129" s="3425" t="e">
        <f t="shared" si="599"/>
        <v>#REF!</v>
      </c>
      <c r="AK129" s="3439" t="e">
        <f t="shared" si="805"/>
        <v>#REF!</v>
      </c>
      <c r="AL129" s="3439" t="e">
        <f t="shared" ref="AL129" si="806">SUM(AL126+AL128)</f>
        <v>#REF!</v>
      </c>
      <c r="AM129" s="3439" t="e">
        <f t="shared" ref="AM129" si="807">SUM(AM126+AM128)</f>
        <v>#REF!</v>
      </c>
      <c r="AN129" s="3439" t="e">
        <f t="shared" ref="AN129" si="808">SUM(AN126+AN128)</f>
        <v>#REF!</v>
      </c>
      <c r="AO129" s="3439" t="e">
        <f t="shared" ref="AO129" si="809">SUM(AO126+AO128)</f>
        <v>#REF!</v>
      </c>
      <c r="AP129" s="3439">
        <f t="shared" ref="AP129" si="810">SUM(AP126+AP128)</f>
        <v>25525.759999999998</v>
      </c>
      <c r="AQ129" s="3439">
        <f t="shared" ref="AQ129" si="811">SUM(AQ126+AQ128)</f>
        <v>25440.449918838356</v>
      </c>
      <c r="AR129" s="3439">
        <f t="shared" ref="AR129" si="812">SUM(AR126+AR128)</f>
        <v>85.310081161642032</v>
      </c>
      <c r="AS129" s="3439">
        <f t="shared" ref="AS129" si="813">SUM(AS126+AS128)</f>
        <v>40253.670000000006</v>
      </c>
      <c r="AT129" s="3439">
        <f t="shared" ref="AT129" si="814">SUM(AT126+AT128)</f>
        <v>40082.03991791149</v>
      </c>
      <c r="AU129" s="3439">
        <f t="shared" ref="AU129" si="815">SUM(AU126+AU128)</f>
        <v>171.63008208850837</v>
      </c>
      <c r="AV129" s="3439">
        <f t="shared" ref="AV129" si="816">SUM(AV126+AV128)</f>
        <v>96808.216536620879</v>
      </c>
      <c r="AW129" s="3426" t="e">
        <f t="shared" si="601"/>
        <v>#REF!</v>
      </c>
      <c r="AX129" s="3439">
        <f t="shared" ref="AX129" si="817">SUM(AX126+AX128)</f>
        <v>96429.144391735186</v>
      </c>
      <c r="AY129" s="3439">
        <f t="shared" ref="AY129" si="818">SUM(AY126+AY128)</f>
        <v>379.07214488568587</v>
      </c>
      <c r="AZ129" s="3439">
        <f t="shared" ref="AZ129" si="819">SUM(AZ126+AZ128)</f>
        <v>85385.406708417504</v>
      </c>
      <c r="BA129" s="3426" t="e">
        <f t="shared" si="602"/>
        <v>#REF!</v>
      </c>
      <c r="BB129" s="3439">
        <f t="shared" ref="BB129" si="820">SUM(BB126+BB128)</f>
        <v>85119.686560402581</v>
      </c>
      <c r="BC129" s="3439">
        <f t="shared" ref="BC129:BE129" si="821">SUM(BC126+BC128)</f>
        <v>265.72014801492946</v>
      </c>
      <c r="BD129" s="3439">
        <f t="shared" si="821"/>
        <v>81554.209999999992</v>
      </c>
      <c r="BE129" s="3439">
        <f t="shared" si="821"/>
        <v>81207.200000000012</v>
      </c>
      <c r="BF129" s="3439">
        <f t="shared" ref="BF129:BH129" si="822">SUM(BF126+BF128)</f>
        <v>347.01</v>
      </c>
      <c r="BG129" s="3439">
        <f t="shared" si="822"/>
        <v>79589.19</v>
      </c>
      <c r="BH129" s="3439">
        <f t="shared" si="822"/>
        <v>79280.179999999993</v>
      </c>
      <c r="BI129" s="3439">
        <f t="shared" ref="BI129:BQ129" si="823">SUM(BI126+BI128)</f>
        <v>309.01</v>
      </c>
      <c r="BJ129" s="3439"/>
      <c r="BK129" s="3439"/>
      <c r="BL129" s="3439"/>
      <c r="BM129" s="3439"/>
      <c r="BN129" s="3439"/>
      <c r="BO129" s="3439"/>
      <c r="BP129" s="3439">
        <f t="shared" si="823"/>
        <v>116751.69</v>
      </c>
      <c r="BQ129" s="3439">
        <f t="shared" si="823"/>
        <v>116299.36</v>
      </c>
      <c r="BR129" s="3439">
        <f t="shared" ref="BR129:BT129" si="824">SUM(BR126+BR128)</f>
        <v>452.33000000000004</v>
      </c>
      <c r="BS129" s="3439">
        <f t="shared" si="824"/>
        <v>96518.740192143872</v>
      </c>
      <c r="BT129" s="3439">
        <f t="shared" si="824"/>
        <v>96264.341820016794</v>
      </c>
      <c r="BU129" s="3439">
        <f t="shared" ref="BU129:BW129" si="825">SUM(BU126+BU128)</f>
        <v>254.39837212708051</v>
      </c>
      <c r="BV129" s="3439">
        <f t="shared" si="825"/>
        <v>100796.00724788889</v>
      </c>
      <c r="BW129" s="3439">
        <f t="shared" si="825"/>
        <v>100435.51397593357</v>
      </c>
      <c r="BX129" s="3439">
        <f t="shared" ref="BX129" si="826">SUM(BX126+BX128)</f>
        <v>360.49327195531799</v>
      </c>
      <c r="BY129" s="1726"/>
      <c r="BZ129" s="3735"/>
      <c r="CA129" s="3735"/>
      <c r="CB129" s="3735"/>
      <c r="CC129" s="3735"/>
      <c r="CD129" s="3735"/>
      <c r="CE129" s="3735"/>
      <c r="CF129" s="3735"/>
      <c r="CG129" s="3735"/>
      <c r="CH129" s="3735"/>
      <c r="CI129" s="3735"/>
      <c r="CJ129" s="3735"/>
      <c r="CK129" s="3439">
        <f t="shared" ref="CK129:CM129" si="827">SUM(CK126+CK128)</f>
        <v>92420.315394637175</v>
      </c>
      <c r="CL129" s="3439">
        <f t="shared" si="827"/>
        <v>92162.177820273151</v>
      </c>
      <c r="CM129" s="3439">
        <f t="shared" si="827"/>
        <v>258.13757436402022</v>
      </c>
      <c r="CN129" s="3439">
        <f t="shared" ref="CN129:CP129" si="828">SUM(CN126+CN128)</f>
        <v>41431.43548</v>
      </c>
      <c r="CO129" s="3439">
        <f t="shared" si="828"/>
        <v>41333.026149999998</v>
      </c>
      <c r="CP129" s="3439">
        <f t="shared" si="828"/>
        <v>98.409330000000011</v>
      </c>
      <c r="CQ129" s="3439">
        <f t="shared" ref="CQ129:CS129" si="829">SUM(CQ126+CQ128)</f>
        <v>62414.571280000004</v>
      </c>
      <c r="CR129" s="3439">
        <f t="shared" si="829"/>
        <v>62279.233330000003</v>
      </c>
      <c r="CS129" s="3439">
        <f t="shared" si="829"/>
        <v>135.33795000000001</v>
      </c>
      <c r="CT129" s="3439">
        <f t="shared" ref="CT129:CV129" si="830">SUM(CT126+CT128)</f>
        <v>83657.96805000001</v>
      </c>
      <c r="CU129" s="3439">
        <f t="shared" si="830"/>
        <v>83476.863000000012</v>
      </c>
      <c r="CV129" s="3439">
        <f t="shared" si="830"/>
        <v>181.10505000000001</v>
      </c>
      <c r="CW129" s="3439">
        <f t="shared" ref="CW129:CY129" si="831">SUM(CW126+CW128)</f>
        <v>115457.93360235624</v>
      </c>
      <c r="CX129" s="3439">
        <f t="shared" si="831"/>
        <v>115167.01183817482</v>
      </c>
      <c r="CY129" s="3439">
        <f t="shared" si="831"/>
        <v>290.92176418141588</v>
      </c>
      <c r="CZ129" s="3439">
        <f t="shared" ref="CZ129:DB129" si="832">SUM(CZ126+CZ128)</f>
        <v>95800.774671599997</v>
      </c>
      <c r="DA129" s="3439">
        <f t="shared" si="832"/>
        <v>95495.080396862963</v>
      </c>
      <c r="DB129" s="3439">
        <f t="shared" si="832"/>
        <v>305.69427473702683</v>
      </c>
      <c r="DC129" s="3439">
        <f t="shared" ref="DC129:DQ129" si="833">SUM(DC126+DC128)</f>
        <v>41578.582459999998</v>
      </c>
      <c r="DD129" s="3439">
        <f t="shared" si="833"/>
        <v>41485.347179999997</v>
      </c>
      <c r="DE129" s="3439">
        <f t="shared" si="833"/>
        <v>93.235280000000003</v>
      </c>
      <c r="DF129" s="3439">
        <f t="shared" si="833"/>
        <v>62789.189829999996</v>
      </c>
      <c r="DG129" s="3439">
        <f t="shared" si="833"/>
        <v>62650.197609999996</v>
      </c>
      <c r="DH129" s="3439">
        <f t="shared" si="833"/>
        <v>138.99222</v>
      </c>
      <c r="DI129" s="3439">
        <f t="shared" si="833"/>
        <v>86741.147790000003</v>
      </c>
      <c r="DJ129" s="3439">
        <f t="shared" si="833"/>
        <v>86551.370519999997</v>
      </c>
      <c r="DK129" s="3439">
        <f t="shared" si="833"/>
        <v>189.77726999999999</v>
      </c>
      <c r="DL129" s="3439">
        <f t="shared" si="833"/>
        <v>126523.42303595295</v>
      </c>
      <c r="DM129" s="3439">
        <f t="shared" si="833"/>
        <v>126224.55271235974</v>
      </c>
      <c r="DN129" s="3439">
        <f t="shared" si="833"/>
        <v>298.87032359320347</v>
      </c>
      <c r="DO129" s="3439">
        <f t="shared" si="833"/>
        <v>103116.46595140718</v>
      </c>
      <c r="DP129" s="3439">
        <f t="shared" si="833"/>
        <v>102820.43479748892</v>
      </c>
      <c r="DQ129" s="3439">
        <f t="shared" si="833"/>
        <v>296.03115391825548</v>
      </c>
      <c r="DR129" s="394"/>
      <c r="DS129" s="394"/>
      <c r="DT129" s="394"/>
      <c r="DU129" s="394"/>
      <c r="DV129" s="394"/>
      <c r="DW129" s="394"/>
      <c r="DX129" s="394"/>
      <c r="DY129" s="394"/>
      <c r="DZ129" s="394"/>
      <c r="EA129" s="3439">
        <f t="shared" ref="EA129:EF129" si="834">SUM(EA126+EA128)</f>
        <v>144767.69176373296</v>
      </c>
      <c r="EB129" s="3439">
        <f t="shared" si="834"/>
        <v>144460.17023174238</v>
      </c>
      <c r="EC129" s="3439">
        <f t="shared" si="834"/>
        <v>307.52153199058324</v>
      </c>
      <c r="ED129" s="3993">
        <f t="shared" si="834"/>
        <v>44517.969316046954</v>
      </c>
      <c r="EE129" s="3993">
        <f t="shared" si="834"/>
        <v>44292.363314247195</v>
      </c>
      <c r="EF129" s="3993">
        <f t="shared" si="834"/>
        <v>225.60600179975586</v>
      </c>
      <c r="EG129" s="3439">
        <f t="shared" ref="EG129:EI129" si="835">SUM(EG126+EG128)</f>
        <v>162256.55679208093</v>
      </c>
      <c r="EH129" s="3439">
        <f t="shared" si="835"/>
        <v>161949.03526009034</v>
      </c>
      <c r="EI129" s="3439">
        <f t="shared" si="835"/>
        <v>307.52153199058324</v>
      </c>
      <c r="EJ129" s="3439">
        <f t="shared" ref="EJ129:EL129" si="836">SUM(EJ126+EJ128)</f>
        <v>124849.75490248352</v>
      </c>
      <c r="EK129" s="3439">
        <f t="shared" si="836"/>
        <v>124502.9810749553</v>
      </c>
      <c r="EL129" s="3439">
        <f t="shared" si="836"/>
        <v>346.77382752821455</v>
      </c>
      <c r="EM129" s="394"/>
      <c r="EN129" s="394"/>
      <c r="EO129" s="394"/>
      <c r="EP129" s="394"/>
      <c r="EQ129" s="394"/>
      <c r="ER129" s="394"/>
    </row>
    <row r="130" spans="1:148" ht="39.75" hidden="1" customHeight="1" x14ac:dyDescent="0.2">
      <c r="A130" s="3320" t="s">
        <v>311</v>
      </c>
      <c r="B130" s="3314"/>
      <c r="C130" s="3314"/>
      <c r="D130" s="3314"/>
      <c r="E130" s="3314"/>
      <c r="F130" s="3314"/>
      <c r="G130" s="3314"/>
      <c r="H130" s="3314"/>
      <c r="I130" s="3314"/>
      <c r="J130" s="3314"/>
      <c r="K130" s="3314"/>
      <c r="L130" s="3314"/>
      <c r="M130" s="3314"/>
      <c r="N130" s="3314"/>
      <c r="O130" s="3314"/>
      <c r="P130" s="3314"/>
      <c r="Q130" s="3314"/>
      <c r="R130" s="3314"/>
      <c r="S130" s="3314"/>
      <c r="T130" s="3314"/>
      <c r="U130" s="3314"/>
      <c r="V130" s="3314"/>
      <c r="W130" s="3732">
        <f>SUM(W129/W120)</f>
        <v>28.050466666666669</v>
      </c>
      <c r="X130" s="3314"/>
      <c r="Y130" s="3732" t="e">
        <f t="shared" ref="Y130:AE130" si="837">SUM(Y129/Y120)</f>
        <v>#REF!</v>
      </c>
      <c r="Z130" s="3732" t="e">
        <f t="shared" si="837"/>
        <v>#REF!</v>
      </c>
      <c r="AA130" s="3732" t="e">
        <f t="shared" si="837"/>
        <v>#REF!</v>
      </c>
      <c r="AB130" s="3732">
        <f t="shared" si="837"/>
        <v>20.6957452102871</v>
      </c>
      <c r="AC130" s="3732">
        <f t="shared" si="837"/>
        <v>20.767792670200482</v>
      </c>
      <c r="AD130" s="3732">
        <f t="shared" si="837"/>
        <v>12.474700612223577</v>
      </c>
      <c r="AE130" s="3732">
        <f t="shared" si="837"/>
        <v>25.983606066381679</v>
      </c>
      <c r="AF130" s="3425" t="e">
        <f t="shared" si="598"/>
        <v>#REF!</v>
      </c>
      <c r="AG130" s="3732">
        <f>SUM(AG129/AG120)</f>
        <v>26.206804400910908</v>
      </c>
      <c r="AH130" s="3732">
        <f>SUM(AH129/AH120)</f>
        <v>12.622142857142858</v>
      </c>
      <c r="AI130" s="3732" t="e">
        <f>SUM(AI129/AI120)</f>
        <v>#REF!</v>
      </c>
      <c r="AJ130" s="3425" t="e">
        <f t="shared" si="599"/>
        <v>#REF!</v>
      </c>
      <c r="AK130" s="3732" t="e">
        <f t="shared" ref="AK130:AV130" si="838">SUM(AK129/AK120)</f>
        <v>#REF!</v>
      </c>
      <c r="AL130" s="3732" t="e">
        <f t="shared" si="838"/>
        <v>#REF!</v>
      </c>
      <c r="AM130" s="3732" t="e">
        <f t="shared" si="838"/>
        <v>#REF!</v>
      </c>
      <c r="AN130" s="3732" t="e">
        <f t="shared" si="838"/>
        <v>#REF!</v>
      </c>
      <c r="AO130" s="3732" t="e">
        <f t="shared" si="838"/>
        <v>#REF!</v>
      </c>
      <c r="AP130" s="3732">
        <f t="shared" si="838"/>
        <v>15.278116283802387</v>
      </c>
      <c r="AQ130" s="3732">
        <f t="shared" si="838"/>
        <v>15.315700072145278</v>
      </c>
      <c r="AR130" s="3732">
        <f t="shared" si="838"/>
        <v>8.8221386930343364</v>
      </c>
      <c r="AS130" s="3732">
        <f t="shared" si="838"/>
        <v>12.540279443605042</v>
      </c>
      <c r="AT130" s="3732">
        <f t="shared" si="838"/>
        <v>12.578427562523808</v>
      </c>
      <c r="AU130" s="3732">
        <f t="shared" si="838"/>
        <v>7.3408931603297001</v>
      </c>
      <c r="AV130" s="3732">
        <f t="shared" si="838"/>
        <v>27.874522469513643</v>
      </c>
      <c r="AW130" s="3426" t="e">
        <f t="shared" si="601"/>
        <v>#REF!</v>
      </c>
      <c r="AX130" s="3732">
        <f>SUM(AX129/AX120)</f>
        <v>27.991043364799765</v>
      </c>
      <c r="AY130" s="3732">
        <f>SUM(AY129/AY120)</f>
        <v>13.538290888774496</v>
      </c>
      <c r="AZ130" s="3732">
        <f>SUM(AZ129/AZ120)</f>
        <v>24.649864953511621</v>
      </c>
      <c r="BA130" s="3426" t="e">
        <f t="shared" si="602"/>
        <v>#REF!</v>
      </c>
      <c r="BB130" s="3732">
        <f t="shared" ref="BB130:BI130" si="839">SUM(BB129/BB120)</f>
        <v>24.708181875298283</v>
      </c>
      <c r="BC130" s="3732">
        <f t="shared" si="839"/>
        <v>14.036986160323796</v>
      </c>
      <c r="BD130" s="3732">
        <f t="shared" si="839"/>
        <v>26.638731467357392</v>
      </c>
      <c r="BE130" s="3732">
        <f t="shared" si="839"/>
        <v>26.705515581220983</v>
      </c>
      <c r="BF130" s="3732">
        <f t="shared" si="839"/>
        <v>16.804358353510896</v>
      </c>
      <c r="BG130" s="3732">
        <f t="shared" si="839"/>
        <v>24.892469318053873</v>
      </c>
      <c r="BH130" s="3732">
        <f t="shared" si="839"/>
        <v>24.945778924514645</v>
      </c>
      <c r="BI130" s="3732">
        <f t="shared" si="839"/>
        <v>16.077523413111344</v>
      </c>
      <c r="BJ130" s="3732"/>
      <c r="BK130" s="3732"/>
      <c r="BL130" s="3732"/>
      <c r="BM130" s="3732"/>
      <c r="BN130" s="3732"/>
      <c r="BO130" s="3732"/>
      <c r="BP130" s="3732">
        <f t="shared" ref="BP130:BX130" si="840">SUM(BP129/BP120)</f>
        <v>35.935427971670677</v>
      </c>
      <c r="BQ130" s="3732">
        <f t="shared" si="840"/>
        <v>36.005993808049539</v>
      </c>
      <c r="BR130" s="3732">
        <f t="shared" si="840"/>
        <v>23.894875858425781</v>
      </c>
      <c r="BS130" s="3732">
        <f t="shared" si="840"/>
        <v>31.959809191227212</v>
      </c>
      <c r="BT130" s="3732">
        <f t="shared" si="840"/>
        <v>32.063137007529541</v>
      </c>
      <c r="BU130" s="3732">
        <f t="shared" si="840"/>
        <v>14.39990785624984</v>
      </c>
      <c r="BV130" s="3732">
        <f t="shared" si="840"/>
        <v>33.376121077285788</v>
      </c>
      <c r="BW130" s="3732">
        <f t="shared" si="840"/>
        <v>33.452445465766388</v>
      </c>
      <c r="BX130" s="3732">
        <f t="shared" si="840"/>
        <v>20.405279544640639</v>
      </c>
      <c r="BY130" s="1726"/>
      <c r="BZ130" s="3735"/>
      <c r="CA130" s="3735"/>
      <c r="CB130" s="3735"/>
      <c r="CC130" s="3735"/>
      <c r="CD130" s="3735"/>
      <c r="CE130" s="3735"/>
      <c r="CF130" s="3735"/>
      <c r="CG130" s="3735"/>
      <c r="CH130" s="3735"/>
      <c r="CI130" s="3735"/>
      <c r="CJ130" s="3735"/>
      <c r="CK130" s="3732">
        <f t="shared" ref="CK130:CS130" si="841">SUM(CK129/CK120)</f>
        <v>32.491971510841232</v>
      </c>
      <c r="CL130" s="3732">
        <f t="shared" si="841"/>
        <v>32.603721257602636</v>
      </c>
      <c r="CM130" s="3732">
        <f t="shared" si="841"/>
        <v>14.611560813057748</v>
      </c>
      <c r="CN130" s="3732">
        <f t="shared" si="841"/>
        <v>26.775165217661048</v>
      </c>
      <c r="CO130" s="3732">
        <f t="shared" si="841"/>
        <v>26.863158799493842</v>
      </c>
      <c r="CP130" s="3732">
        <f t="shared" si="841"/>
        <v>11.269964498396703</v>
      </c>
      <c r="CQ130" s="3732">
        <f t="shared" si="841"/>
        <v>26.874405813850348</v>
      </c>
      <c r="CR130" s="3732">
        <f t="shared" si="841"/>
        <v>26.970946688418071</v>
      </c>
      <c r="CS130" s="3732">
        <f t="shared" si="841"/>
        <v>10.152122871502513</v>
      </c>
      <c r="CT130" s="3732">
        <f t="shared" ref="CT130:CV130" si="842">SUM(CT129/CT120)</f>
        <v>26.80973058867151</v>
      </c>
      <c r="CU130" s="3732">
        <f t="shared" si="842"/>
        <v>26.879481182046103</v>
      </c>
      <c r="CV130" s="3732">
        <f t="shared" si="842"/>
        <v>12.207957532861476</v>
      </c>
      <c r="CW130" s="3732">
        <f t="shared" ref="CW130:CY130" si="843">SUM(CW129/CW120)</f>
        <v>40.591247425304083</v>
      </c>
      <c r="CX130" s="3732">
        <f t="shared" si="843"/>
        <v>40.742018481435075</v>
      </c>
      <c r="CY130" s="3732">
        <f t="shared" si="843"/>
        <v>16.467269670646182</v>
      </c>
      <c r="CZ130" s="3732">
        <f t="shared" ref="CZ130:DB130" si="844">SUM(CZ129/CZ120)</f>
        <v>33.680426898279258</v>
      </c>
      <c r="DA130" s="3732">
        <f t="shared" si="844"/>
        <v>33.782784395604743</v>
      </c>
      <c r="DB130" s="3732">
        <f t="shared" si="844"/>
        <v>17.303123039397001</v>
      </c>
      <c r="DC130" s="3732">
        <f t="shared" ref="DC130:DQ130" si="845">SUM(DC129/DC120)</f>
        <v>26.528271603126587</v>
      </c>
      <c r="DD130" s="3732">
        <f t="shared" si="845"/>
        <v>26.600469346718199</v>
      </c>
      <c r="DE130" s="3732">
        <f t="shared" si="845"/>
        <v>12.01640417579585</v>
      </c>
      <c r="DF130" s="3732">
        <f t="shared" si="845"/>
        <v>27.455475481275027</v>
      </c>
      <c r="DG130" s="3732">
        <f t="shared" si="845"/>
        <v>27.537398486656603</v>
      </c>
      <c r="DH130" s="3732">
        <f t="shared" si="845"/>
        <v>11.728311534891569</v>
      </c>
      <c r="DI130" s="3732">
        <f t="shared" si="845"/>
        <v>28.203532187172211</v>
      </c>
      <c r="DJ130" s="3732">
        <f t="shared" si="845"/>
        <v>28.291686599105464</v>
      </c>
      <c r="DK130" s="3732">
        <f t="shared" si="845"/>
        <v>11.649209379411944</v>
      </c>
      <c r="DL130" s="3732">
        <f t="shared" si="845"/>
        <v>44.481507744485384</v>
      </c>
      <c r="DM130" s="3732">
        <f t="shared" si="845"/>
        <v>44.653785639970792</v>
      </c>
      <c r="DN130" s="3732">
        <f t="shared" si="845"/>
        <v>16.916868941710728</v>
      </c>
      <c r="DO130" s="3732">
        <f t="shared" si="845"/>
        <v>34.402704574771079</v>
      </c>
      <c r="DP130" s="3732">
        <f t="shared" si="845"/>
        <v>34.474299102102513</v>
      </c>
      <c r="DQ130" s="3732">
        <f t="shared" si="845"/>
        <v>19.98626452941388</v>
      </c>
      <c r="DR130" s="394"/>
      <c r="DS130" s="394"/>
      <c r="DT130" s="394"/>
      <c r="DU130" s="394"/>
      <c r="DV130" s="394"/>
      <c r="DW130" s="394"/>
      <c r="DX130" s="394"/>
      <c r="DY130" s="394"/>
      <c r="DZ130" s="394"/>
      <c r="EA130" s="3732">
        <f t="shared" ref="EA130:EF130" si="846">SUM(EA129/EA120)</f>
        <v>48.298786093640949</v>
      </c>
      <c r="EB130" s="3732">
        <f t="shared" si="846"/>
        <v>48.435538389994804</v>
      </c>
      <c r="EC130" s="3732">
        <f t="shared" si="846"/>
        <v>20.762026582349478</v>
      </c>
      <c r="ED130" s="3994" t="e">
        <f t="shared" si="846"/>
        <v>#DIV/0!</v>
      </c>
      <c r="EE130" s="3994" t="e">
        <f t="shared" si="846"/>
        <v>#DIV/0!</v>
      </c>
      <c r="EF130" s="3994" t="e">
        <f t="shared" si="846"/>
        <v>#DIV/0!</v>
      </c>
      <c r="EG130" s="3732">
        <f t="shared" ref="EG130:EI130" si="847">SUM(EG129/EG120)</f>
        <v>54.133589016404322</v>
      </c>
      <c r="EH130" s="3732">
        <f t="shared" si="847"/>
        <v>54.299317950264594</v>
      </c>
      <c r="EI130" s="3732">
        <f t="shared" si="847"/>
        <v>20.762026582349478</v>
      </c>
      <c r="EJ130" s="3732">
        <f t="shared" ref="EJ130:EL130" si="848">SUM(EJ129/EJ120)</f>
        <v>40.611421838849346</v>
      </c>
      <c r="EK130" s="3732">
        <f t="shared" si="848"/>
        <v>40.700164007964915</v>
      </c>
      <c r="EL130" s="3732">
        <f t="shared" si="848"/>
        <v>22.779192440038688</v>
      </c>
      <c r="EM130" s="394"/>
      <c r="EN130" s="394"/>
      <c r="EO130" s="394"/>
      <c r="EP130" s="394"/>
      <c r="EQ130" s="394"/>
      <c r="ER130" s="394"/>
    </row>
    <row r="131" spans="1:148" ht="20.25" hidden="1" customHeight="1" x14ac:dyDescent="0.2">
      <c r="A131" s="3742"/>
      <c r="B131" s="3743"/>
      <c r="C131" s="3743"/>
      <c r="D131" s="3743"/>
      <c r="E131" s="3743"/>
      <c r="F131" s="3743"/>
      <c r="G131" s="3743"/>
      <c r="H131" s="3743"/>
      <c r="I131" s="2417"/>
      <c r="J131" s="3431"/>
      <c r="K131" s="3431"/>
      <c r="L131" s="3431"/>
      <c r="M131" s="3431"/>
      <c r="N131" s="3744"/>
      <c r="O131" s="3358"/>
      <c r="P131" s="3745"/>
      <c r="Q131" s="3744"/>
      <c r="R131" s="3431"/>
      <c r="S131" s="2417"/>
      <c r="T131" s="2417"/>
      <c r="U131" s="2417"/>
      <c r="V131" s="2417"/>
      <c r="W131" s="3361"/>
      <c r="X131" s="2417"/>
      <c r="Y131" s="3361"/>
      <c r="Z131" s="3361"/>
      <c r="AA131" s="3361"/>
      <c r="AB131" s="3361"/>
      <c r="AC131" s="3361"/>
      <c r="AD131" s="3361"/>
      <c r="AE131" s="3361"/>
      <c r="AF131" s="3361"/>
      <c r="AG131" s="3361"/>
      <c r="AH131" s="3361"/>
      <c r="AI131" s="3361"/>
      <c r="AJ131" s="3361"/>
      <c r="AK131" s="3746"/>
      <c r="AL131" s="3746"/>
      <c r="AM131" s="3362"/>
      <c r="AN131" s="3747"/>
      <c r="AO131" s="3362"/>
      <c r="AP131" s="3362"/>
      <c r="AQ131" s="3362"/>
      <c r="AR131" s="3362"/>
      <c r="AS131" s="3362"/>
      <c r="AT131" s="3362"/>
      <c r="AU131" s="3362"/>
      <c r="AV131" s="3362"/>
      <c r="AW131" s="3430"/>
      <c r="AX131" s="3362"/>
      <c r="AY131" s="3362"/>
      <c r="AZ131" s="3362"/>
      <c r="BA131" s="3430"/>
      <c r="BB131" s="3362"/>
      <c r="BC131" s="3362"/>
      <c r="BD131" s="3362"/>
      <c r="BE131" s="3362"/>
      <c r="BF131" s="3362"/>
      <c r="BG131" s="3362"/>
      <c r="BH131" s="3362"/>
      <c r="BI131" s="3362"/>
      <c r="BJ131" s="3362"/>
      <c r="BK131" s="3362"/>
      <c r="BL131" s="3362"/>
      <c r="BM131" s="3362"/>
      <c r="BN131" s="3362"/>
      <c r="BO131" s="3362"/>
      <c r="BP131" s="3362"/>
      <c r="BQ131" s="3362"/>
      <c r="BR131" s="3362"/>
      <c r="BS131" s="3362"/>
      <c r="BT131" s="3362"/>
      <c r="BU131" s="3362"/>
      <c r="BV131" s="3362"/>
      <c r="BW131" s="3362"/>
      <c r="BX131" s="3362"/>
      <c r="BY131" s="3431"/>
      <c r="BZ131" s="371"/>
      <c r="CA131" s="371"/>
      <c r="CB131" s="371"/>
      <c r="CC131" s="371"/>
      <c r="CD131" s="371"/>
      <c r="CE131" s="371"/>
      <c r="CF131" s="371"/>
      <c r="CG131" s="371"/>
      <c r="CH131" s="371"/>
      <c r="CI131" s="371"/>
      <c r="CJ131" s="371"/>
      <c r="CK131" s="3362"/>
      <c r="CL131" s="3362"/>
      <c r="CM131" s="3362"/>
      <c r="CN131" s="371"/>
      <c r="CO131" s="371"/>
      <c r="CP131" s="371"/>
      <c r="CQ131" s="371"/>
      <c r="CR131" s="371"/>
      <c r="CS131" s="371"/>
      <c r="CT131" s="371"/>
      <c r="CU131" s="371"/>
      <c r="CV131" s="371"/>
      <c r="CW131" s="3735"/>
      <c r="CX131" s="3735"/>
      <c r="CY131" s="3735"/>
      <c r="CZ131" s="3735"/>
      <c r="DA131" s="3735"/>
      <c r="DB131" s="3735"/>
      <c r="DC131" s="3735"/>
      <c r="DD131" s="3735"/>
      <c r="DE131" s="3735"/>
      <c r="DF131" s="3735"/>
      <c r="DG131" s="3735"/>
      <c r="DH131" s="3735"/>
      <c r="DI131" s="3735"/>
      <c r="DJ131" s="3735"/>
      <c r="DK131" s="3735"/>
      <c r="DL131" s="3735"/>
      <c r="DM131" s="3735"/>
      <c r="DN131" s="3735"/>
      <c r="DO131" s="3735"/>
      <c r="DP131" s="3735"/>
      <c r="DQ131" s="3735"/>
      <c r="DR131" s="394"/>
      <c r="DS131" s="394"/>
      <c r="DT131" s="394"/>
      <c r="DU131" s="394"/>
      <c r="DV131" s="394"/>
      <c r="DW131" s="394"/>
      <c r="DX131" s="394"/>
      <c r="DY131" s="394"/>
      <c r="DZ131" s="394"/>
      <c r="EA131" s="371"/>
      <c r="EB131" s="371"/>
      <c r="EC131" s="371"/>
      <c r="ED131" s="3995"/>
      <c r="EE131" s="3995"/>
      <c r="EF131" s="3995"/>
      <c r="EG131" s="371"/>
      <c r="EH131" s="371"/>
      <c r="EI131" s="371"/>
      <c r="EJ131" s="371"/>
      <c r="EK131" s="371"/>
      <c r="EL131" s="371"/>
      <c r="EM131" s="394"/>
      <c r="EN131" s="394"/>
      <c r="EO131" s="394"/>
      <c r="EP131" s="394"/>
      <c r="EQ131" s="394"/>
      <c r="ER131" s="394"/>
    </row>
    <row r="132" spans="1:148" ht="20.25" hidden="1" customHeight="1" x14ac:dyDescent="0.2">
      <c r="A132" s="3742"/>
      <c r="B132" s="3743"/>
      <c r="C132" s="3743"/>
      <c r="D132" s="3743"/>
      <c r="E132" s="3743"/>
      <c r="F132" s="3743"/>
      <c r="G132" s="3743"/>
      <c r="H132" s="3743"/>
      <c r="I132" s="2417"/>
      <c r="J132" s="3431"/>
      <c r="K132" s="3431"/>
      <c r="L132" s="3431"/>
      <c r="M132" s="3431"/>
      <c r="N132" s="3744"/>
      <c r="O132" s="3358"/>
      <c r="P132" s="3745"/>
      <c r="Q132" s="3744"/>
      <c r="R132" s="3431"/>
      <c r="S132" s="2417"/>
      <c r="T132" s="2417"/>
      <c r="U132" s="2417"/>
      <c r="V132" s="2417"/>
      <c r="W132" s="3361"/>
      <c r="X132" s="2417"/>
      <c r="Y132" s="3361"/>
      <c r="Z132" s="3361"/>
      <c r="AA132" s="3361"/>
      <c r="AB132" s="3361"/>
      <c r="AC132" s="3361"/>
      <c r="AD132" s="3361"/>
      <c r="AE132" s="3361"/>
      <c r="AF132" s="3361"/>
      <c r="AG132" s="3361"/>
      <c r="AH132" s="3361"/>
      <c r="AI132" s="3361"/>
      <c r="AJ132" s="3361"/>
      <c r="AK132" s="3746"/>
      <c r="AL132" s="3746"/>
      <c r="AM132" s="3362"/>
      <c r="AN132" s="3747"/>
      <c r="AO132" s="3362"/>
      <c r="AP132" s="3362"/>
      <c r="AQ132" s="3362"/>
      <c r="AR132" s="3362"/>
      <c r="AS132" s="3362"/>
      <c r="AT132" s="3362"/>
      <c r="AU132" s="3362"/>
      <c r="AV132" s="3362"/>
      <c r="AW132" s="3430"/>
      <c r="AX132" s="3362">
        <f>BB132</f>
        <v>24.29</v>
      </c>
      <c r="AY132" s="3362"/>
      <c r="AZ132" s="3362"/>
      <c r="BA132" s="3430"/>
      <c r="BB132" s="3680">
        <f>BB87</f>
        <v>24.29</v>
      </c>
      <c r="BC132" s="3362"/>
      <c r="BD132" s="3362"/>
      <c r="BE132" s="3362"/>
      <c r="BF132" s="3362"/>
      <c r="BG132" s="3362"/>
      <c r="BH132" s="3362"/>
      <c r="BI132" s="3362"/>
      <c r="BJ132" s="3362"/>
      <c r="BK132" s="3362"/>
      <c r="BL132" s="3362"/>
      <c r="BM132" s="3362"/>
      <c r="BN132" s="3362"/>
      <c r="BO132" s="3362"/>
      <c r="BP132" s="3362"/>
      <c r="BQ132" s="3362"/>
      <c r="BR132" s="3362"/>
      <c r="BS132" s="3362"/>
      <c r="BT132" s="3362"/>
      <c r="BU132" s="3362"/>
      <c r="BV132" s="3362"/>
      <c r="BW132" s="3362"/>
      <c r="BX132" s="3362"/>
      <c r="BY132" s="3431"/>
      <c r="BZ132" s="371"/>
      <c r="CA132" s="371"/>
      <c r="CB132" s="371"/>
      <c r="CC132" s="371"/>
      <c r="CD132" s="371"/>
      <c r="CE132" s="371"/>
      <c r="CF132" s="371"/>
      <c r="CG132" s="371"/>
      <c r="CH132" s="371"/>
      <c r="CI132" s="371"/>
      <c r="CJ132" s="371"/>
      <c r="CK132" s="3362"/>
      <c r="CL132" s="3362"/>
      <c r="CM132" s="3362"/>
      <c r="CN132" s="371"/>
      <c r="CO132" s="371"/>
      <c r="CP132" s="371"/>
      <c r="CQ132" s="371"/>
      <c r="CR132" s="371"/>
      <c r="CS132" s="371"/>
      <c r="CT132" s="371"/>
      <c r="CU132" s="371"/>
      <c r="CV132" s="371"/>
      <c r="CW132" s="3735"/>
      <c r="CX132" s="3735"/>
      <c r="CY132" s="3735"/>
      <c r="CZ132" s="3735"/>
      <c r="DA132" s="3735"/>
      <c r="DB132" s="3735"/>
      <c r="DC132" s="3735"/>
      <c r="DD132" s="3735"/>
      <c r="DE132" s="3735"/>
      <c r="DF132" s="3735"/>
      <c r="DG132" s="3735"/>
      <c r="DH132" s="3735"/>
      <c r="DI132" s="3735"/>
      <c r="DJ132" s="3735"/>
      <c r="DK132" s="3735"/>
      <c r="DL132" s="3735"/>
      <c r="DM132" s="3735"/>
      <c r="DN132" s="3735"/>
      <c r="DO132" s="3735"/>
      <c r="DP132" s="3735"/>
      <c r="DQ132" s="3735"/>
      <c r="DR132" s="394"/>
      <c r="DS132" s="394"/>
      <c r="DT132" s="394"/>
      <c r="DU132" s="394"/>
      <c r="DV132" s="394"/>
      <c r="DW132" s="394"/>
      <c r="DX132" s="394"/>
      <c r="DY132" s="394"/>
      <c r="DZ132" s="394"/>
      <c r="EA132" s="371"/>
      <c r="EB132" s="371"/>
      <c r="EC132" s="371"/>
      <c r="ED132" s="3995"/>
      <c r="EE132" s="3995"/>
      <c r="EF132" s="3995"/>
      <c r="EG132" s="371"/>
      <c r="EH132" s="371"/>
      <c r="EI132" s="371"/>
      <c r="EJ132" s="371"/>
      <c r="EK132" s="371"/>
      <c r="EL132" s="371"/>
      <c r="EM132" s="394"/>
      <c r="EN132" s="394"/>
      <c r="EO132" s="394"/>
      <c r="EP132" s="394"/>
      <c r="EQ132" s="394"/>
      <c r="ER132" s="394"/>
    </row>
    <row r="133" spans="1:148" ht="20.25" hidden="1" customHeight="1" x14ac:dyDescent="0.2">
      <c r="A133" s="3742"/>
      <c r="B133" s="3743"/>
      <c r="C133" s="3743"/>
      <c r="D133" s="3743"/>
      <c r="E133" s="3743"/>
      <c r="F133" s="3743"/>
      <c r="G133" s="3743"/>
      <c r="H133" s="3743"/>
      <c r="I133" s="2417"/>
      <c r="J133" s="3431"/>
      <c r="K133" s="3431"/>
      <c r="L133" s="3431"/>
      <c r="M133" s="3431"/>
      <c r="N133" s="3744"/>
      <c r="O133" s="3358"/>
      <c r="P133" s="3745"/>
      <c r="Q133" s="3744"/>
      <c r="R133" s="3431"/>
      <c r="S133" s="2417"/>
      <c r="T133" s="2417"/>
      <c r="U133" s="2417"/>
      <c r="V133" s="2417"/>
      <c r="W133" s="3361"/>
      <c r="X133" s="2417"/>
      <c r="Y133" s="3361"/>
      <c r="Z133" s="3361"/>
      <c r="AA133" s="3361"/>
      <c r="AB133" s="3361"/>
      <c r="AC133" s="3361"/>
      <c r="AD133" s="3361"/>
      <c r="AE133" s="3361"/>
      <c r="AF133" s="3361"/>
      <c r="AG133" s="3361"/>
      <c r="AH133" s="3361"/>
      <c r="AI133" s="3361"/>
      <c r="AJ133" s="3361"/>
      <c r="AK133" s="3746"/>
      <c r="AL133" s="3746"/>
      <c r="AM133" s="3362"/>
      <c r="AN133" s="3747"/>
      <c r="AO133" s="3362"/>
      <c r="AP133" s="3362"/>
      <c r="AQ133" s="3362"/>
      <c r="AR133" s="3362"/>
      <c r="AS133" s="3362"/>
      <c r="AT133" s="3362"/>
      <c r="AU133" s="3362"/>
      <c r="AV133" s="3362"/>
      <c r="AW133" s="3430"/>
      <c r="AX133" s="3362"/>
      <c r="AY133" s="3362"/>
      <c r="AZ133" s="3362"/>
      <c r="BA133" s="3430"/>
      <c r="BB133" s="3362"/>
      <c r="BC133" s="3362"/>
      <c r="BD133" s="3362"/>
      <c r="BE133" s="3362"/>
      <c r="BF133" s="3362"/>
      <c r="BG133" s="3362"/>
      <c r="BH133" s="3362"/>
      <c r="BI133" s="3362"/>
      <c r="BJ133" s="3362"/>
      <c r="BK133" s="3362"/>
      <c r="BL133" s="3362"/>
      <c r="BM133" s="3362"/>
      <c r="BN133" s="3362"/>
      <c r="BO133" s="3362"/>
      <c r="BP133" s="3362"/>
      <c r="BQ133" s="3362"/>
      <c r="BR133" s="3362"/>
      <c r="BS133" s="3362"/>
      <c r="BT133" s="3362"/>
      <c r="BU133" s="3362"/>
      <c r="BV133" s="3362"/>
      <c r="BW133" s="3362"/>
      <c r="BX133" s="3362"/>
      <c r="BY133" s="3431"/>
      <c r="BZ133" s="371"/>
      <c r="CA133" s="371"/>
      <c r="CB133" s="371"/>
      <c r="CC133" s="371"/>
      <c r="CD133" s="371"/>
      <c r="CE133" s="371"/>
      <c r="CF133" s="371"/>
      <c r="CG133" s="371"/>
      <c r="CH133" s="371"/>
      <c r="CI133" s="371"/>
      <c r="CJ133" s="371"/>
      <c r="CK133" s="3362"/>
      <c r="CL133" s="3362"/>
      <c r="CM133" s="3362"/>
      <c r="CN133" s="371"/>
      <c r="CO133" s="371"/>
      <c r="CP133" s="371"/>
      <c r="CQ133" s="371"/>
      <c r="CR133" s="371"/>
      <c r="CS133" s="371"/>
      <c r="CT133" s="371"/>
      <c r="CU133" s="371"/>
      <c r="CV133" s="371"/>
      <c r="CW133" s="3735"/>
      <c r="CX133" s="3735"/>
      <c r="CY133" s="3735"/>
      <c r="CZ133" s="3735"/>
      <c r="DA133" s="3735"/>
      <c r="DB133" s="3735"/>
      <c r="DC133" s="3735"/>
      <c r="DD133" s="3735"/>
      <c r="DE133" s="3735"/>
      <c r="DF133" s="3735"/>
      <c r="DG133" s="3735"/>
      <c r="DH133" s="3735"/>
      <c r="DI133" s="3735"/>
      <c r="DJ133" s="3735"/>
      <c r="DK133" s="3735"/>
      <c r="DL133" s="3735"/>
      <c r="DM133" s="3735"/>
      <c r="DN133" s="3735"/>
      <c r="DO133" s="3735"/>
      <c r="DP133" s="3735"/>
      <c r="DQ133" s="3735"/>
      <c r="DR133" s="394"/>
      <c r="DS133" s="394"/>
      <c r="DT133" s="394"/>
      <c r="DU133" s="394"/>
      <c r="DV133" s="394"/>
      <c r="DW133" s="394"/>
      <c r="DX133" s="394"/>
      <c r="DY133" s="394"/>
      <c r="DZ133" s="394"/>
      <c r="EA133" s="371"/>
      <c r="EB133" s="371"/>
      <c r="EC133" s="371"/>
      <c r="ED133" s="3995"/>
      <c r="EE133" s="3995"/>
      <c r="EF133" s="3995"/>
      <c r="EG133" s="371"/>
      <c r="EH133" s="371"/>
      <c r="EI133" s="371"/>
      <c r="EJ133" s="371"/>
      <c r="EK133" s="371"/>
      <c r="EL133" s="371"/>
      <c r="EM133" s="394"/>
      <c r="EN133" s="394"/>
      <c r="EO133" s="394"/>
      <c r="EP133" s="394"/>
      <c r="EQ133" s="394"/>
      <c r="ER133" s="394"/>
    </row>
    <row r="134" spans="1:148" ht="20.25" hidden="1" customHeight="1" x14ac:dyDescent="0.2">
      <c r="A134" s="3742"/>
      <c r="B134" s="3743"/>
      <c r="C134" s="3743"/>
      <c r="D134" s="3743"/>
      <c r="E134" s="3743"/>
      <c r="F134" s="3743"/>
      <c r="G134" s="3743"/>
      <c r="H134" s="3743"/>
      <c r="I134" s="2417"/>
      <c r="J134" s="3431"/>
      <c r="K134" s="3431"/>
      <c r="L134" s="3431"/>
      <c r="M134" s="3431"/>
      <c r="N134" s="3744"/>
      <c r="O134" s="3358"/>
      <c r="P134" s="3745"/>
      <c r="Q134" s="3744"/>
      <c r="R134" s="3431"/>
      <c r="S134" s="2417"/>
      <c r="T134" s="2417"/>
      <c r="U134" s="2417"/>
      <c r="V134" s="2417"/>
      <c r="W134" s="3361"/>
      <c r="X134" s="2417"/>
      <c r="Y134" s="3361"/>
      <c r="Z134" s="3361"/>
      <c r="AA134" s="3361"/>
      <c r="AB134" s="3361"/>
      <c r="AC134" s="3361"/>
      <c r="AD134" s="3361"/>
      <c r="AE134" s="3361"/>
      <c r="AF134" s="3361"/>
      <c r="AG134" s="3361"/>
      <c r="AH134" s="3361"/>
      <c r="AI134" s="3361"/>
      <c r="AJ134" s="3361"/>
      <c r="AK134" s="3746"/>
      <c r="AL134" s="3746"/>
      <c r="AM134" s="3362"/>
      <c r="AN134" s="3747"/>
      <c r="AO134" s="3362"/>
      <c r="AP134" s="3362"/>
      <c r="AQ134" s="3362"/>
      <c r="AR134" s="3362"/>
      <c r="AS134" s="3362"/>
      <c r="AT134" s="3362"/>
      <c r="AU134" s="3362"/>
      <c r="AV134" s="3362"/>
      <c r="AW134" s="3430"/>
      <c r="AX134" s="3362"/>
      <c r="AY134" s="3362"/>
      <c r="AZ134" s="3362"/>
      <c r="BA134" s="3430"/>
      <c r="BB134" s="3362"/>
      <c r="BC134" s="3362"/>
      <c r="BD134" s="3362"/>
      <c r="BE134" s="3362"/>
      <c r="BF134" s="3362"/>
      <c r="BG134" s="3362"/>
      <c r="BH134" s="3362"/>
      <c r="BI134" s="3362"/>
      <c r="BJ134" s="3362"/>
      <c r="BK134" s="3362"/>
      <c r="BL134" s="3362"/>
      <c r="BM134" s="3362"/>
      <c r="BN134" s="3362"/>
      <c r="BO134" s="3362"/>
      <c r="BP134" s="3362"/>
      <c r="BQ134" s="3362"/>
      <c r="BR134" s="3362"/>
      <c r="BS134" s="3362"/>
      <c r="BT134" s="3362"/>
      <c r="BU134" s="3362"/>
      <c r="BV134" s="3362"/>
      <c r="BW134" s="3362"/>
      <c r="BX134" s="3362"/>
      <c r="BY134" s="3431"/>
      <c r="BZ134" s="371"/>
      <c r="CA134" s="371"/>
      <c r="CB134" s="371"/>
      <c r="CC134" s="371"/>
      <c r="CD134" s="371"/>
      <c r="CE134" s="371"/>
      <c r="CF134" s="371"/>
      <c r="CG134" s="371"/>
      <c r="CH134" s="371"/>
      <c r="CI134" s="371"/>
      <c r="CJ134" s="371"/>
      <c r="CK134" s="3362"/>
      <c r="CL134" s="3362"/>
      <c r="CM134" s="3362"/>
      <c r="CN134" s="371"/>
      <c r="CO134" s="371"/>
      <c r="CP134" s="371"/>
      <c r="CQ134" s="371"/>
      <c r="CR134" s="371"/>
      <c r="CS134" s="371"/>
      <c r="CT134" s="371"/>
      <c r="CU134" s="371"/>
      <c r="CV134" s="371"/>
      <c r="CW134" s="3735"/>
      <c r="CX134" s="3735"/>
      <c r="CY134" s="3735"/>
      <c r="CZ134" s="3735"/>
      <c r="DA134" s="3735"/>
      <c r="DB134" s="3735"/>
      <c r="DC134" s="3735"/>
      <c r="DD134" s="3735"/>
      <c r="DE134" s="3735"/>
      <c r="DF134" s="3735"/>
      <c r="DG134" s="3735"/>
      <c r="DH134" s="3735"/>
      <c r="DI134" s="3735"/>
      <c r="DJ134" s="3735"/>
      <c r="DK134" s="3735"/>
      <c r="DL134" s="3735"/>
      <c r="DM134" s="3735"/>
      <c r="DN134" s="3735"/>
      <c r="DO134" s="3735"/>
      <c r="DP134" s="3735"/>
      <c r="DQ134" s="3735"/>
      <c r="DR134" s="394"/>
      <c r="DS134" s="394"/>
      <c r="DT134" s="394"/>
      <c r="DU134" s="394"/>
      <c r="DV134" s="394"/>
      <c r="DW134" s="394"/>
      <c r="DX134" s="394"/>
      <c r="DY134" s="394"/>
      <c r="DZ134" s="394"/>
      <c r="EA134" s="371"/>
      <c r="EB134" s="371"/>
      <c r="EC134" s="371"/>
      <c r="ED134" s="3995"/>
      <c r="EE134" s="3995"/>
      <c r="EF134" s="3995"/>
      <c r="EG134" s="371"/>
      <c r="EH134" s="371"/>
      <c r="EI134" s="371"/>
      <c r="EJ134" s="371"/>
      <c r="EK134" s="371"/>
      <c r="EL134" s="371"/>
      <c r="EM134" s="394"/>
      <c r="EN134" s="394"/>
      <c r="EO134" s="394"/>
      <c r="EP134" s="394"/>
      <c r="EQ134" s="394"/>
      <c r="ER134" s="394"/>
    </row>
    <row r="135" spans="1:148" ht="20.25" hidden="1" customHeight="1" x14ac:dyDescent="0.2">
      <c r="A135" s="3382"/>
      <c r="B135" s="3743"/>
      <c r="C135" s="3743"/>
      <c r="D135" s="3743"/>
      <c r="E135" s="3743"/>
      <c r="F135" s="3743"/>
      <c r="G135" s="3743"/>
      <c r="H135" s="3743"/>
      <c r="I135" s="2417"/>
      <c r="J135" s="3431"/>
      <c r="K135" s="3431"/>
      <c r="L135" s="3431"/>
      <c r="M135" s="3431"/>
      <c r="N135" s="3744"/>
      <c r="O135" s="3358"/>
      <c r="P135" s="3745"/>
      <c r="Q135" s="3744"/>
      <c r="R135" s="3431"/>
      <c r="S135" s="2417"/>
      <c r="T135" s="2417"/>
      <c r="U135" s="2417"/>
      <c r="V135" s="2417"/>
      <c r="W135" s="3361"/>
      <c r="X135" s="2417"/>
      <c r="Y135" s="3361"/>
      <c r="Z135" s="3361"/>
      <c r="AA135" s="3361"/>
      <c r="AB135" s="3361"/>
      <c r="AC135" s="3361"/>
      <c r="AD135" s="3361"/>
      <c r="AE135" s="3361"/>
      <c r="AF135" s="3361"/>
      <c r="AG135" s="3361"/>
      <c r="AH135" s="3361"/>
      <c r="AI135" s="3361"/>
      <c r="AJ135" s="3361"/>
      <c r="AK135" s="3746"/>
      <c r="AL135" s="3746"/>
      <c r="AM135" s="3362"/>
      <c r="AN135" s="3747"/>
      <c r="AO135" s="3362"/>
      <c r="AP135" s="3362"/>
      <c r="AQ135" s="3362"/>
      <c r="AR135" s="3362"/>
      <c r="AS135" s="3362"/>
      <c r="AT135" s="3362"/>
      <c r="AU135" s="3362"/>
      <c r="AV135" s="3362"/>
      <c r="AW135" s="3430"/>
      <c r="AX135" s="3362"/>
      <c r="AY135" s="3362"/>
      <c r="AZ135" s="3362"/>
      <c r="BA135" s="3430"/>
      <c r="BB135" s="3362"/>
      <c r="BC135" s="3362"/>
      <c r="BD135" s="3362"/>
      <c r="BE135" s="3362"/>
      <c r="BF135" s="3362"/>
      <c r="BG135" s="3362"/>
      <c r="BH135" s="3362"/>
      <c r="BI135" s="3362"/>
      <c r="BJ135" s="3362"/>
      <c r="BK135" s="3362"/>
      <c r="BL135" s="3362"/>
      <c r="BM135" s="3362"/>
      <c r="BN135" s="3362"/>
      <c r="BO135" s="3362"/>
      <c r="BP135" s="3362"/>
      <c r="BQ135" s="3362"/>
      <c r="BR135" s="3362"/>
      <c r="BS135" s="3362"/>
      <c r="BT135" s="3362"/>
      <c r="BU135" s="3362"/>
      <c r="BV135" s="3362"/>
      <c r="BW135" s="3362"/>
      <c r="BX135" s="3362"/>
      <c r="BY135" s="3431"/>
      <c r="BZ135" s="371"/>
      <c r="CA135" s="371"/>
      <c r="CB135" s="371"/>
      <c r="CC135" s="371"/>
      <c r="CD135" s="371"/>
      <c r="CE135" s="371"/>
      <c r="CF135" s="371"/>
      <c r="CG135" s="371"/>
      <c r="CH135" s="371"/>
      <c r="CI135" s="371"/>
      <c r="CJ135" s="371"/>
      <c r="CK135" s="3362"/>
      <c r="CL135" s="3362"/>
      <c r="CM135" s="3362"/>
      <c r="CN135" s="371"/>
      <c r="CO135" s="371"/>
      <c r="CP135" s="371"/>
      <c r="CQ135" s="371"/>
      <c r="CR135" s="371"/>
      <c r="CS135" s="371"/>
      <c r="CT135" s="371"/>
      <c r="CU135" s="371"/>
      <c r="CV135" s="371"/>
      <c r="CW135" s="3735"/>
      <c r="CX135" s="3735"/>
      <c r="CY135" s="3735"/>
      <c r="CZ135" s="3735"/>
      <c r="DA135" s="3735"/>
      <c r="DB135" s="3735"/>
      <c r="DC135" s="3735"/>
      <c r="DD135" s="3735"/>
      <c r="DE135" s="3735"/>
      <c r="DF135" s="3735"/>
      <c r="DG135" s="3735"/>
      <c r="DH135" s="3735"/>
      <c r="DI135" s="3735"/>
      <c r="DJ135" s="3735"/>
      <c r="DK135" s="3735"/>
      <c r="DL135" s="3735"/>
      <c r="DM135" s="3735"/>
      <c r="DN135" s="3735"/>
      <c r="DO135" s="3735"/>
      <c r="DP135" s="3735"/>
      <c r="DQ135" s="3735"/>
      <c r="DR135" s="394"/>
      <c r="DS135" s="394"/>
      <c r="DT135" s="394"/>
      <c r="DU135" s="394"/>
      <c r="DV135" s="394"/>
      <c r="DW135" s="394"/>
      <c r="DX135" s="394"/>
      <c r="DY135" s="394"/>
      <c r="DZ135" s="394"/>
      <c r="EA135" s="371"/>
      <c r="EB135" s="371"/>
      <c r="EC135" s="371"/>
      <c r="ED135" s="3995"/>
      <c r="EE135" s="3995"/>
      <c r="EF135" s="3995"/>
      <c r="EG135" s="371"/>
      <c r="EH135" s="371"/>
      <c r="EI135" s="371"/>
      <c r="EJ135" s="371"/>
      <c r="EK135" s="371"/>
      <c r="EL135" s="371"/>
      <c r="EM135" s="394"/>
      <c r="EN135" s="394"/>
      <c r="EO135" s="394"/>
      <c r="EP135" s="394"/>
      <c r="EQ135" s="394"/>
      <c r="ER135" s="394"/>
    </row>
    <row r="136" spans="1:148" ht="20.25" customHeight="1" x14ac:dyDescent="0.2">
      <c r="A136" s="3742"/>
      <c r="B136" s="3743"/>
      <c r="C136" s="3743"/>
      <c r="D136" s="3743"/>
      <c r="E136" s="3743"/>
      <c r="F136" s="3743"/>
      <c r="G136" s="3743"/>
      <c r="H136" s="3743"/>
      <c r="I136" s="2417"/>
      <c r="J136" s="3431"/>
      <c r="K136" s="3431"/>
      <c r="L136" s="3431"/>
      <c r="M136" s="3431"/>
      <c r="N136" s="3744"/>
      <c r="O136" s="3358"/>
      <c r="P136" s="3745"/>
      <c r="Q136" s="3744"/>
      <c r="R136" s="3431"/>
      <c r="S136" s="2417"/>
      <c r="T136" s="2417"/>
      <c r="U136" s="2417"/>
      <c r="V136" s="2417"/>
      <c r="W136" s="3361"/>
      <c r="X136" s="2417"/>
      <c r="Y136" s="3361"/>
      <c r="Z136" s="3361"/>
      <c r="AA136" s="3361"/>
      <c r="AB136" s="3361"/>
      <c r="AC136" s="3361"/>
      <c r="AD136" s="3361"/>
      <c r="AE136" s="3361"/>
      <c r="AF136" s="3361"/>
      <c r="AG136" s="3361"/>
      <c r="AH136" s="3361"/>
      <c r="AI136" s="3361"/>
      <c r="AJ136" s="3361"/>
      <c r="AK136" s="3746"/>
      <c r="AL136" s="3746"/>
      <c r="AM136" s="3362"/>
      <c r="AN136" s="3747"/>
      <c r="AO136" s="3362"/>
      <c r="AP136" s="3362"/>
      <c r="AQ136" s="3362"/>
      <c r="AR136" s="3362"/>
      <c r="AS136" s="3362"/>
      <c r="AT136" s="3362"/>
      <c r="AU136" s="3362"/>
      <c r="AV136" s="3362"/>
      <c r="AW136" s="3430"/>
      <c r="AX136" s="3362"/>
      <c r="AY136" s="3362"/>
      <c r="AZ136" s="3362"/>
      <c r="BA136" s="3430"/>
      <c r="BB136" s="3362"/>
      <c r="BC136" s="3362"/>
      <c r="BD136" s="3362"/>
      <c r="BE136" s="3362"/>
      <c r="BF136" s="3362"/>
      <c r="BG136" s="3362"/>
      <c r="BH136" s="3362"/>
      <c r="BI136" s="3362"/>
      <c r="BJ136" s="3362"/>
      <c r="BK136" s="3362"/>
      <c r="BL136" s="3362"/>
      <c r="BM136" s="3362"/>
      <c r="BN136" s="3362"/>
      <c r="BO136" s="3362"/>
      <c r="BP136" s="3362"/>
      <c r="BQ136" s="3362"/>
      <c r="BR136" s="3362"/>
      <c r="BS136" s="3362"/>
      <c r="BT136" s="3362"/>
      <c r="BU136" s="3362"/>
      <c r="BV136" s="3362"/>
      <c r="BW136" s="3362"/>
      <c r="BX136" s="3362"/>
      <c r="BY136" s="3431"/>
      <c r="BZ136" s="371"/>
      <c r="CA136" s="371"/>
      <c r="CB136" s="371"/>
      <c r="CC136" s="371"/>
      <c r="CD136" s="371"/>
      <c r="CE136" s="371"/>
      <c r="CF136" s="371"/>
      <c r="CG136" s="371"/>
      <c r="CH136" s="371"/>
      <c r="CI136" s="371"/>
      <c r="CJ136" s="371"/>
      <c r="CK136" s="3362"/>
      <c r="CL136" s="3362"/>
      <c r="CM136" s="3362"/>
      <c r="CN136" s="371"/>
      <c r="CO136" s="371"/>
      <c r="CP136" s="371"/>
      <c r="CQ136" s="371"/>
      <c r="CR136" s="371"/>
      <c r="CS136" s="371"/>
      <c r="CT136" s="371"/>
      <c r="CU136" s="371"/>
      <c r="CV136" s="371"/>
      <c r="CW136" s="3735"/>
      <c r="CX136" s="3735"/>
      <c r="CY136" s="3735"/>
      <c r="CZ136" s="3735"/>
      <c r="DA136" s="3735"/>
      <c r="DB136" s="3735"/>
      <c r="DC136" s="3735"/>
      <c r="DD136" s="3735"/>
      <c r="DE136" s="3735"/>
      <c r="DF136" s="3735"/>
      <c r="DG136" s="3735"/>
      <c r="DH136" s="3735"/>
      <c r="DI136" s="3735"/>
      <c r="DJ136" s="3735"/>
      <c r="DK136" s="3735"/>
      <c r="DL136" s="3735"/>
      <c r="DM136" s="3735"/>
      <c r="DN136" s="3735"/>
      <c r="DO136" s="3735"/>
      <c r="DP136" s="3735"/>
      <c r="DQ136" s="3735"/>
      <c r="DR136" s="394"/>
      <c r="DS136" s="394"/>
      <c r="DT136" s="394"/>
      <c r="DU136" s="394"/>
      <c r="DV136" s="394"/>
      <c r="DW136" s="394"/>
      <c r="DX136" s="394"/>
      <c r="DY136" s="394"/>
      <c r="DZ136" s="394"/>
      <c r="EA136" s="371"/>
      <c r="EB136" s="371"/>
      <c r="EC136" s="371"/>
      <c r="ED136" s="3995"/>
      <c r="EE136" s="3995"/>
      <c r="EF136" s="3995"/>
      <c r="EG136" s="371"/>
      <c r="EH136" s="371"/>
      <c r="EI136" s="371"/>
      <c r="EJ136" s="371"/>
      <c r="EK136" s="371"/>
      <c r="EL136" s="371"/>
      <c r="EM136" s="394"/>
      <c r="EN136" s="394"/>
      <c r="EO136" s="394"/>
      <c r="EP136" s="394"/>
      <c r="EQ136" s="394"/>
      <c r="ER136" s="394"/>
    </row>
    <row r="137" spans="1:148" ht="20.25" customHeight="1" x14ac:dyDescent="0.2">
      <c r="A137" s="3742"/>
      <c r="B137" s="3743"/>
      <c r="C137" s="3743"/>
      <c r="D137" s="3743"/>
      <c r="E137" s="3743"/>
      <c r="F137" s="3743"/>
      <c r="G137" s="3743"/>
      <c r="H137" s="3743"/>
      <c r="I137" s="2417"/>
      <c r="J137" s="3431"/>
      <c r="K137" s="3431"/>
      <c r="L137" s="3431"/>
      <c r="M137" s="3431"/>
      <c r="N137" s="3744"/>
      <c r="O137" s="3358"/>
      <c r="P137" s="3745"/>
      <c r="Q137" s="3744"/>
      <c r="R137" s="3431"/>
      <c r="S137" s="2417"/>
      <c r="T137" s="2417"/>
      <c r="U137" s="2417"/>
      <c r="V137" s="2417"/>
      <c r="W137" s="3361"/>
      <c r="X137" s="2417"/>
      <c r="Y137" s="3361"/>
      <c r="Z137" s="3361"/>
      <c r="AA137" s="3361"/>
      <c r="AB137" s="3361"/>
      <c r="AC137" s="3361"/>
      <c r="AD137" s="3361"/>
      <c r="AE137" s="3361"/>
      <c r="AF137" s="3361"/>
      <c r="AG137" s="3361"/>
      <c r="AH137" s="3361"/>
      <c r="AI137" s="3361"/>
      <c r="AJ137" s="3361"/>
      <c r="AK137" s="3746"/>
      <c r="AL137" s="3746"/>
      <c r="AM137" s="3362"/>
      <c r="AN137" s="3747"/>
      <c r="AO137" s="3362"/>
      <c r="AP137" s="3362"/>
      <c r="AQ137" s="3362"/>
      <c r="AR137" s="3362"/>
      <c r="AS137" s="3362"/>
      <c r="AT137" s="3362"/>
      <c r="AU137" s="3362"/>
      <c r="AV137" s="3362"/>
      <c r="AW137" s="3430"/>
      <c r="AX137" s="3362">
        <f>AX130*2-AX132</f>
        <v>31.692086729599531</v>
      </c>
      <c r="AY137" s="3362"/>
      <c r="AZ137" s="3362"/>
      <c r="BA137" s="3430"/>
      <c r="BB137" s="3362">
        <f>BB130*2-BB132</f>
        <v>25.126363750596568</v>
      </c>
      <c r="BC137" s="3362"/>
      <c r="BD137" s="3362"/>
      <c r="BE137" s="3362"/>
      <c r="BF137" s="3362"/>
      <c r="BG137" s="3362"/>
      <c r="BH137" s="3362"/>
      <c r="BI137" s="3362"/>
      <c r="BJ137" s="3362"/>
      <c r="BK137" s="3362"/>
      <c r="BL137" s="3362"/>
      <c r="BM137" s="3362"/>
      <c r="BN137" s="3362">
        <f>BN99+BN100+BN101+BN102+BN103+BN105</f>
        <v>64430.487999999998</v>
      </c>
      <c r="BO137" s="3362">
        <f>BO99+BO100+BO101+BO102+BO103+BO105</f>
        <v>233.322</v>
      </c>
      <c r="BP137" s="3362"/>
      <c r="BQ137" s="3362"/>
      <c r="BR137" s="1659" t="s">
        <v>2011</v>
      </c>
      <c r="BS137" s="3362"/>
      <c r="BT137" s="3747">
        <f>BT99+BT100+BT101+BT102+BT103+BT105</f>
        <v>80511.434001577523</v>
      </c>
      <c r="BU137" s="3747">
        <f>BU99+BU100+BU101+BU102+BU103+BU105</f>
        <v>213.10499531289966</v>
      </c>
      <c r="BV137" s="3747"/>
      <c r="BW137" s="3747">
        <f>BW99+BW100+BW101+BW102+BW103+BW105</f>
        <v>84231.342155564809</v>
      </c>
      <c r="BX137" s="3747">
        <f>BX99+BX100+BX101+BX102+BX103+BX105</f>
        <v>308.23205715422455</v>
      </c>
      <c r="BY137" s="3431"/>
      <c r="BZ137" s="371"/>
      <c r="CA137" s="371"/>
      <c r="CB137" s="371"/>
      <c r="CC137" s="371"/>
      <c r="CD137" s="371"/>
      <c r="CE137" s="371"/>
      <c r="CF137" s="371"/>
      <c r="CG137" s="371"/>
      <c r="CH137" s="371"/>
      <c r="CI137" s="371"/>
      <c r="CJ137" s="371"/>
      <c r="CK137" s="3747"/>
      <c r="CL137" s="3747">
        <f>CL99+CL100+CL101+CL102+CL103+CL105</f>
        <v>82097.511669475745</v>
      </c>
      <c r="CM137" s="3747">
        <f>CM99+CM100+CM101+CM102+CM103+CM105</f>
        <v>217.29990582799104</v>
      </c>
      <c r="CN137" s="371"/>
      <c r="CO137" s="3747">
        <f>CO99+CO100+CO101+CO102+CO103+CO105-'цех стоки 2023'!AQ19-'ОХР '!CE17-'ОХР '!CE21-'Аренда земли'!U15</f>
        <v>32239.876960000005</v>
      </c>
      <c r="CP137" s="3747">
        <f>CP99+CP100+CP101+CP102+CP103+CP105-'ОХР '!CF17-'ОХР '!CF21-'Аренда земли'!U18</f>
        <v>88.846020000000024</v>
      </c>
      <c r="CQ137" s="371"/>
      <c r="CR137" s="3747">
        <f>CR99+CR100+CR101+CR102+CR103+CR105-'цех стоки 2023'!AR19-'ОХР '!CL17-'ОХР '!CL21-'Аренда земли'!V15</f>
        <v>48713.670409999999</v>
      </c>
      <c r="CS137" s="3747">
        <f>CS99+CS100+CS101+CS102+CS103+CS105-'ОХР '!CM17-'ОХР '!CM21-'Аренда земли'!V18</f>
        <v>116.88126000000001</v>
      </c>
      <c r="CT137" s="371"/>
      <c r="CU137" s="3747">
        <f>CU99+CU100+CU101+CU102+CU103+CU105-'цех стоки 2023'!AS19-'ОХР '!CS17-'ОХР '!CS21-'Аренда земли'!W15</f>
        <v>64019.866999999991</v>
      </c>
      <c r="CV137" s="3747">
        <f>CV99+CV100+CV101+CV102+CV103+CV105-'ОХР '!CT17-'ОХР '!CT21-'Аренда земли'!W18</f>
        <v>159.60504999999998</v>
      </c>
      <c r="CW137" s="3748"/>
      <c r="CX137" s="3747">
        <f>CX99+CX100+CX101+CX102+CX103+CX105-'цех стоки 2023'!AT19-'ОХР '!CZ17-'ОХР '!CZ21-'Аренда земли'!Y16</f>
        <v>95212.929184142311</v>
      </c>
      <c r="CY137" s="3747">
        <f>CY99+CY100+CY101+CY102+CY103+CY105-'ОХР '!CZ17-'ОХР '!CZ21-'Аренда земли'!Y18</f>
        <v>149.56800575875323</v>
      </c>
      <c r="CZ137" s="3748" t="s">
        <v>2011</v>
      </c>
      <c r="DA137" s="3747">
        <f>DA99+DA100+DA101+DA102+DA103+DA105-DA108</f>
        <v>84365.997409513438</v>
      </c>
      <c r="DB137" s="3747">
        <f>DB99+DB100+DB101+DB102+DB103+DB105</f>
        <v>223.30730768284951</v>
      </c>
      <c r="DC137" s="3748" t="s">
        <v>2011</v>
      </c>
      <c r="DD137" s="3747">
        <f>DD99+DD100+DD101+DD102+DD103+DD105-'цех стоки 2023'!AY19-'ОХР '!DI17-'ОХР '!DI21-'Аренда земли'!AA15</f>
        <v>32007.216260000008</v>
      </c>
      <c r="DE137" s="3747">
        <f>DE99+DE100+DE101+DE102+DE103+DE105-'ОХР '!DJ17-'ОХР '!DJ21-'Аренда земли'!AA18</f>
        <v>78.853239999999985</v>
      </c>
      <c r="DF137" s="3735"/>
      <c r="DG137" s="3747">
        <f>DG99+DG100+DG101+DG102+DG103+DG105-'цех стоки 2023'!AZ19-'ОХР '!DP17-'ОХР '!DP21-'Аренда земли'!AB15</f>
        <v>48507.98689</v>
      </c>
      <c r="DH137" s="3747">
        <f>DH99+DH100+DH101+DH102+DH103+DH105-'ОХР '!DQ17-'ОХР '!DQ21-'Аренда земли'!AB18</f>
        <v>116.50633000000001</v>
      </c>
      <c r="DI137" s="3735"/>
      <c r="DJ137" s="3747">
        <f>DJ99+DJ100+DJ101+DJ102+DJ103+DJ105-'цех стоки 2023'!BA19-'ОХР '!DW17-'ОХР '!DW21-'Аренда земли'!AC15</f>
        <v>65488.548360000001</v>
      </c>
      <c r="DK137" s="3747">
        <f>DK99+DK100+DK101+DK102+DK103+DK105-'ОХР '!DX17-'ОХР '!DX21-'Аренда земли'!AC18</f>
        <v>159.57176999999999</v>
      </c>
      <c r="DL137" s="3748"/>
      <c r="DM137" s="3747">
        <f>DM99+DM100+DM101+DM102+DM103+DM105-'цех стоки 2023'!BB19-'ОХР '!ED17-'ОХР '!ED21-'Аренда земли'!AD16</f>
        <v>102764.80115621074</v>
      </c>
      <c r="DN137" s="3747">
        <f>DN99+DN100+DN101+DN102+DN103+DN105-'ОХР '!EE17-'ОХР '!EE21-'Аренда земли'!AD18</f>
        <v>243.1551456729149</v>
      </c>
      <c r="DO137" s="3748" t="s">
        <v>2011</v>
      </c>
      <c r="DP137" s="4012">
        <f>DP99+DP100+DP101+DP102+DP103+DP105-DP108</f>
        <v>89304.644787503188</v>
      </c>
      <c r="DQ137" s="4012">
        <f>DQ99+DQ100+DQ101+DQ102+DQ103+DQ105</f>
        <v>236.37785517701866</v>
      </c>
      <c r="DR137" s="4013"/>
      <c r="DS137" s="4012">
        <f>DS99+DS100+DS101+DS102+DS103+DS105+DS98-'цех стоки 2023'!BD19-'ОХР '!EN17-'ОХР '!EN21-'Аренда земли'!AF15</f>
        <v>35806.361870000001</v>
      </c>
      <c r="DT137" s="4012">
        <f>DT99+DT100+DT101+DT102+DT103+DT105-'ОХР '!EO17-'ОХР '!EO21-'Аренда земли'!AF18</f>
        <v>72.946090000000012</v>
      </c>
      <c r="DU137" s="4013"/>
      <c r="DV137" s="4012">
        <f>DV99+DV100+DV101+DV102+DV103+DV105+DV98-'цех стоки 2023'!BE19-'ОХР '!EU17-'ОХР '!EU21-'Аренда земли'!AG15</f>
        <v>55418.699089999987</v>
      </c>
      <c r="DW137" s="4012">
        <f>DW99+DW100+DW101+DW102+DW103+DW105-'ОХР '!EV17-'ОХР '!EV21-'Аренда земли'!AG18</f>
        <v>113.68566</v>
      </c>
      <c r="DX137" s="4013"/>
      <c r="DY137" s="4012">
        <f>DY99+DY100+DY101+DY102+DY103+DY105+DY98-'цех стоки 2023'!BF19-'ОХР '!FB17-'ОХР '!FB21-'Аренда земли'!AH15</f>
        <v>73845.590689999983</v>
      </c>
      <c r="DZ137" s="4012">
        <f>DZ99+DZ100+DZ101+DZ102+DZ103+DZ105-'ОХР '!FC17-'ОХР '!FC21-'Аренда земли'!AH18</f>
        <v>154.61696000000001</v>
      </c>
      <c r="EA137" s="4014"/>
      <c r="EB137" s="4012">
        <f>EB99+EB100+EB101+EB103+EB105+EB98-'цех стоки 2023'!BG19-'ОХР '!FI17-'ОХР '!FI21-'Аренда земли'!AI15</f>
        <v>112041.31108553999</v>
      </c>
      <c r="EC137" s="4012">
        <f>EC99+EC100+EC101+EC102+EC103+EC105-'ОХР '!FJ17-'ОХР '!FJ21-'Аренда земли'!AI18</f>
        <v>272.11428370311495</v>
      </c>
      <c r="ED137" s="3996" t="s">
        <v>2011</v>
      </c>
      <c r="EE137" s="3997">
        <f>EE99+EE100+EE101+EE102+EE103+EE105-EE108</f>
        <v>48603.684314247199</v>
      </c>
      <c r="EF137" s="3997">
        <f>EF99+EF100+EF101+EF102+EF103+EF105</f>
        <v>210.03600179975587</v>
      </c>
      <c r="EG137" s="4014"/>
      <c r="EH137" s="4012">
        <f>EB99+EB100+EB101+EB103+EB105+EB98-'цех стоки 2023'!BG19-'ОХР '!FI17-'ОХР '!FI21-'Аренда земли'!AI15</f>
        <v>112041.31108553999</v>
      </c>
      <c r="EI137" s="4012">
        <f>EC99+EC100+EC101+EC102+EC103+EC105-'ОХР '!FJ17-'ОХР '!FJ21-'Аренда земли'!AI18</f>
        <v>272.11428370311495</v>
      </c>
      <c r="EJ137" s="4014"/>
      <c r="EK137" s="4012"/>
      <c r="EL137" s="4012"/>
      <c r="EM137" s="3748" t="s">
        <v>2011</v>
      </c>
      <c r="EN137" s="4861">
        <f>EN99+EN100+EN101+EN102+EN103+EN105+EN98-'цех стоки 2023'!BI19-'ОХР '!FQ17-'ОХР '!FQ21-'Аренда земли'!AK15</f>
        <v>43596.034319999999</v>
      </c>
      <c r="EO137" s="4861">
        <f>EO99+EO100+EO101+EO102+EO103+EO105-'ОХР '!FR17-'ОХР '!FR21-'Аренда земли'!AL18</f>
        <v>94.327780000000004</v>
      </c>
      <c r="EP137" s="4862"/>
      <c r="EQ137" s="4861">
        <f>EQ99+EQ100+EQ101+EQ102+EQ103+EQ105+EQ98-'цех стоки 2023'!BJ19-'ОХР '!FU17-'ОХР '!FU21-'Аренда земли'!AL15</f>
        <v>91689.79972000001</v>
      </c>
      <c r="ER137" s="4861">
        <f>ER99+ER100+ER101+ER102+ER103+ER105-'ОХР '!FV17-'ОХР '!FV21-'Аренда земли'!AL18</f>
        <v>210.86100000000002</v>
      </c>
    </row>
    <row r="138" spans="1:148" ht="20.25" customHeight="1" x14ac:dyDescent="0.2">
      <c r="A138" s="3742"/>
      <c r="B138" s="3743"/>
      <c r="C138" s="3743"/>
      <c r="D138" s="3743"/>
      <c r="E138" s="3743"/>
      <c r="F138" s="3743"/>
      <c r="G138" s="3743"/>
      <c r="H138" s="3743"/>
      <c r="I138" s="2417"/>
      <c r="J138" s="3431"/>
      <c r="K138" s="3431"/>
      <c r="L138" s="3431"/>
      <c r="M138" s="3431"/>
      <c r="N138" s="3744"/>
      <c r="O138" s="3358"/>
      <c r="P138" s="3745"/>
      <c r="Q138" s="3744"/>
      <c r="R138" s="3431"/>
      <c r="S138" s="2417"/>
      <c r="T138" s="2417"/>
      <c r="U138" s="2417"/>
      <c r="V138" s="2417"/>
      <c r="W138" s="3361"/>
      <c r="X138" s="2417"/>
      <c r="Y138" s="3361"/>
      <c r="Z138" s="3361"/>
      <c r="AA138" s="3361"/>
      <c r="AB138" s="3361"/>
      <c r="AC138" s="3361"/>
      <c r="AD138" s="3361"/>
      <c r="AE138" s="3361"/>
      <c r="AF138" s="3361"/>
      <c r="AG138" s="3361"/>
      <c r="AH138" s="3361"/>
      <c r="AI138" s="3361"/>
      <c r="AJ138" s="3361"/>
      <c r="AK138" s="3746"/>
      <c r="AL138" s="3746"/>
      <c r="AM138" s="3362"/>
      <c r="AN138" s="3747"/>
      <c r="AO138" s="3362"/>
      <c r="AP138" s="3362"/>
      <c r="AQ138" s="3362"/>
      <c r="AR138" s="3362"/>
      <c r="AS138" s="3362"/>
      <c r="AT138" s="3362"/>
      <c r="AU138" s="3362"/>
      <c r="AV138" s="3362"/>
      <c r="AW138" s="3430"/>
      <c r="AX138" s="3749">
        <f>AX137/AX132</f>
        <v>1.304738029213649</v>
      </c>
      <c r="AY138" s="3362"/>
      <c r="AZ138" s="3362"/>
      <c r="BA138" s="3430"/>
      <c r="BB138" s="3749">
        <f>BB137/BB132</f>
        <v>1.0344324310661412</v>
      </c>
      <c r="BC138" s="3362"/>
      <c r="BD138" s="3362"/>
      <c r="BE138" s="3362"/>
      <c r="BF138" s="3362"/>
      <c r="BG138" s="3362"/>
      <c r="BH138" s="3362"/>
      <c r="BI138" s="3362"/>
      <c r="BJ138" s="3362"/>
      <c r="BK138" s="3362"/>
      <c r="BL138" s="3362"/>
      <c r="BM138" s="3362"/>
      <c r="BN138" s="3362">
        <f>BN96</f>
        <v>10771.54</v>
      </c>
      <c r="BO138" s="3362">
        <f>BO96</f>
        <v>56.47</v>
      </c>
      <c r="BP138" s="3362"/>
      <c r="BQ138" s="3362"/>
      <c r="BR138" s="1659" t="s">
        <v>2012</v>
      </c>
      <c r="BS138" s="3362"/>
      <c r="BT138" s="3747">
        <f>BT96</f>
        <v>8882.0761197497486</v>
      </c>
      <c r="BU138" s="3747">
        <f>BU96</f>
        <v>42.193680383698222</v>
      </c>
      <c r="BV138" s="3747"/>
      <c r="BW138" s="3747">
        <f>BW96</f>
        <v>9255.1233167792379</v>
      </c>
      <c r="BX138" s="3747">
        <f>BX96</f>
        <v>43.965814959813549</v>
      </c>
      <c r="BY138" s="3431"/>
      <c r="BZ138" s="371"/>
      <c r="CA138" s="371"/>
      <c r="CB138" s="371"/>
      <c r="CC138" s="371"/>
      <c r="CD138" s="371"/>
      <c r="CE138" s="371"/>
      <c r="CF138" s="371"/>
      <c r="CG138" s="371"/>
      <c r="CH138" s="371"/>
      <c r="CI138" s="371"/>
      <c r="CJ138" s="371"/>
      <c r="CK138" s="3747"/>
      <c r="CL138" s="3747">
        <f>CL96</f>
        <v>8812.7885117623136</v>
      </c>
      <c r="CM138" s="3747">
        <f>CM96</f>
        <v>42.358229068582141</v>
      </c>
      <c r="CN138" s="371"/>
      <c r="CO138" s="3747">
        <f>SUM(CO9+CO18+'цех стоки 2023'!AQ19+'ОХР '!CE17+'ОХР '!CE21)</f>
        <v>5361.5251600000001</v>
      </c>
      <c r="CP138" s="3747">
        <f>CP96+'ОХР '!CF17+'ОХР '!CF21</f>
        <v>9.5513300000000019</v>
      </c>
      <c r="CQ138" s="371"/>
      <c r="CR138" s="3747">
        <f>SUM(CR9+CR18+'цех стоки 2023'!AR19+'ОХР '!CL17+'ОХР '!CL21)</f>
        <v>7955.81005</v>
      </c>
      <c r="CS138" s="3747">
        <f>CS96+'ОХР '!CM17+'ОХР '!CM21</f>
        <v>18.440630000000002</v>
      </c>
      <c r="CT138" s="371"/>
      <c r="CU138" s="3747">
        <f>SUM(CU9+CU18+'цех стоки 2023'!AS19+'ОХР '!CS17+'ОХР '!CS21)</f>
        <v>10817.41</v>
      </c>
      <c r="CV138" s="3747">
        <f>CV96+'ОХР '!CT17+'ОХР '!CT21</f>
        <v>21.48</v>
      </c>
      <c r="CW138" s="3748"/>
      <c r="CX138" s="3747">
        <f>SUM(CX9+CX18+'цех стоки 2023'!AT19+'ОХР '!CZ17+'ОХР '!CZ21)</f>
        <v>10967.044172434635</v>
      </c>
      <c r="CY138" s="3747">
        <f>CY96+'ОХР '!CZ17+'ОХР '!CZ21</f>
        <v>136.06174679049383</v>
      </c>
      <c r="CZ138" s="3748" t="s">
        <v>2012</v>
      </c>
      <c r="DA138" s="3747">
        <f>SUM(DA9+DA18)</f>
        <v>8341.9678483495227</v>
      </c>
      <c r="DB138" s="3747">
        <f>DB96</f>
        <v>52.136967054177305</v>
      </c>
      <c r="DC138" s="3748" t="s">
        <v>2012</v>
      </c>
      <c r="DD138" s="3747">
        <f>SUM(DD9+DD18+'цех стоки 2023'!AY19+'ОХР '!DI17+'ОХР '!DI21)</f>
        <v>5242.8322800000005</v>
      </c>
      <c r="DE138" s="3747">
        <f>DE96+'ОХР '!DJ17+'ОХР '!DJ21</f>
        <v>14.352130000000001</v>
      </c>
      <c r="DF138" s="3735"/>
      <c r="DG138" s="3747">
        <f>SUM(DG9+DG18+'цех стоки 2023'!AZ19+'ОХР '!DP17+'ОХР '!DP21)</f>
        <v>7803.0482599999996</v>
      </c>
      <c r="DH138" s="3747">
        <f>DH96+'ОХР '!DQ17+'ОХР '!DQ21</f>
        <v>22.44096</v>
      </c>
      <c r="DI138" s="3735"/>
      <c r="DJ138" s="3747">
        <f>SUM(DJ9+DJ18+'цех стоки 2023'!BA19+'ОХР '!DW17+'ОХР '!DW21)</f>
        <v>10863.77816</v>
      </c>
      <c r="DK138" s="3747">
        <f>DK96+'ОХР '!DX17+'ОХР '!DX21</f>
        <v>30.144699999999997</v>
      </c>
      <c r="DL138" s="3748"/>
      <c r="DM138" s="3747">
        <f>SUM(DM9+DM18+'цех стоки 2023'!BB19+'ОХР '!ED17+'ОХР '!ED21)</f>
        <v>11440.916513397124</v>
      </c>
      <c r="DN138" s="3747">
        <f>DN96+'ОХР '!EE17+'ОХР '!EE21</f>
        <v>55.715177920288554</v>
      </c>
      <c r="DO138" s="3748" t="s">
        <v>2012</v>
      </c>
      <c r="DP138" s="4012">
        <f>SUM(DP9+DP18)</f>
        <v>8876.715260128165</v>
      </c>
      <c r="DQ138" s="4012">
        <f>DQ96</f>
        <v>44.083298741236796</v>
      </c>
      <c r="DR138" s="4013"/>
      <c r="DS138" s="4012">
        <f>SUM(DS9+DS18+'цех стоки 2023'!BD19+'ОХР '!EN17+'ОХР '!EN21)</f>
        <v>5634.8295100000014</v>
      </c>
      <c r="DT138" s="4012">
        <f>DT96+'ОХР '!EO17+'ОХР '!EO21</f>
        <v>15.057509999999999</v>
      </c>
      <c r="DU138" s="4013"/>
      <c r="DV138" s="4012">
        <f>SUM(DV9+DV18+'цех стоки 2023'!BE19+'ОХР '!EU17+'ОХР '!EU21)</f>
        <v>8317.2990000000009</v>
      </c>
      <c r="DW138" s="4012">
        <f>DW96+'ОХР '!EV17+'ОХР '!EV21</f>
        <v>18.272409999999997</v>
      </c>
      <c r="DX138" s="4013"/>
      <c r="DY138" s="4012">
        <f>SUM(DY9+DY18+'цех стоки 2023'!BF19+'ОХР '!FB17+'ОХР '!FB21)</f>
        <v>11370.128999999999</v>
      </c>
      <c r="DZ138" s="4012">
        <f>DZ96+'ОХР '!FC17+'ОХР '!FC21</f>
        <v>32.988459999999996</v>
      </c>
      <c r="EA138" s="4014"/>
      <c r="EB138" s="4012">
        <f>SUM(EB9+EB18+'цех стоки 2023'!BG19+'ОХР '!FI17+'ОХР '!FI21)</f>
        <v>9845.9346216578506</v>
      </c>
      <c r="EC138" s="4012">
        <f>EC96+'ОХР '!FJ17+'ОХР '!FJ21</f>
        <v>35.407248287468214</v>
      </c>
      <c r="ED138" s="3996" t="s">
        <v>2012</v>
      </c>
      <c r="EE138" s="3997">
        <f>SUM(EE9+EE18)</f>
        <v>0</v>
      </c>
      <c r="EF138" s="3997">
        <f>EF96</f>
        <v>0</v>
      </c>
      <c r="EG138" s="4014"/>
      <c r="EH138" s="4012">
        <f>SUM(EB9+EB18+'цех стоки 2023'!BG19+'ОХР '!FI17+'ОХР '!FI21)</f>
        <v>9845.9346216578506</v>
      </c>
      <c r="EI138" s="4012">
        <f>EC96+'ОХР '!FJ17+'ОХР '!FJ21</f>
        <v>35.407248287468214</v>
      </c>
      <c r="EJ138" s="4014"/>
      <c r="EK138" s="4012"/>
      <c r="EL138" s="4012"/>
      <c r="EM138" s="3748" t="s">
        <v>2012</v>
      </c>
      <c r="EN138" s="4861">
        <f>SUM(EN9+EN18+'цех стоки 2023'!BI19+'ОХР '!FQ17+'ОХР '!FQ21)</f>
        <v>5995.6051399999997</v>
      </c>
      <c r="EO138" s="4861">
        <f>EO96+'ОХР '!FR17+'ОХР '!FR21</f>
        <v>13.960130000000001</v>
      </c>
      <c r="EP138" s="4862"/>
      <c r="EQ138" s="4861">
        <f>SUM(EQ9+EQ18+'цех стоки 2023'!BJ19+'ОХР '!FU17+'ОХР '!FU21)</f>
        <v>11614.957750000001</v>
      </c>
      <c r="ER138" s="4861">
        <f>ER96+'ОХР '!FV17+'ОХР '!FV21</f>
        <v>31.491859999999999</v>
      </c>
    </row>
    <row r="139" spans="1:148" ht="24" customHeight="1" x14ac:dyDescent="0.2">
      <c r="A139" s="3742"/>
      <c r="B139" s="3750"/>
      <c r="C139" s="3750"/>
      <c r="D139" s="3750"/>
      <c r="E139" s="3750"/>
      <c r="F139" s="3750"/>
      <c r="G139" s="3750"/>
      <c r="H139" s="3750"/>
      <c r="I139" s="2417"/>
      <c r="J139" s="3431"/>
      <c r="K139" s="3431"/>
      <c r="L139" s="3431"/>
      <c r="M139" s="3431"/>
      <c r="N139" s="3744"/>
      <c r="O139" s="3358"/>
      <c r="P139" s="3745"/>
      <c r="Q139" s="3744"/>
      <c r="R139" s="3431"/>
      <c r="S139" s="2417"/>
      <c r="T139" s="2417"/>
      <c r="U139" s="2417"/>
      <c r="V139" s="2417"/>
      <c r="W139" s="3361"/>
      <c r="X139" s="2417"/>
      <c r="Y139" s="3361"/>
      <c r="Z139" s="3751"/>
      <c r="AA139" s="3735"/>
      <c r="AB139" s="3735"/>
      <c r="AC139" s="3735"/>
      <c r="AD139" s="3735"/>
      <c r="AE139" s="3735"/>
      <c r="AF139" s="3735"/>
      <c r="AG139" s="3735"/>
      <c r="AH139" s="3735"/>
      <c r="AI139" s="3735"/>
      <c r="AJ139" s="3735"/>
      <c r="AK139" s="3735"/>
      <c r="AL139" s="3751"/>
      <c r="AM139" s="3362"/>
      <c r="AN139" s="3747"/>
      <c r="AO139" s="3362"/>
      <c r="AP139" s="3362"/>
      <c r="AQ139" s="3362"/>
      <c r="AR139" s="3362"/>
      <c r="AS139" s="3362"/>
      <c r="AT139" s="3362"/>
      <c r="AU139" s="3362"/>
      <c r="AV139" s="3362"/>
      <c r="AW139" s="3430"/>
      <c r="AX139" s="3362"/>
      <c r="AY139" s="3362"/>
      <c r="AZ139" s="3362"/>
      <c r="BA139" s="3430"/>
      <c r="BB139" s="3362"/>
      <c r="BC139" s="3362"/>
      <c r="BD139" s="3362"/>
      <c r="BE139" s="3362"/>
      <c r="BF139" s="3362"/>
      <c r="BG139" s="3362"/>
      <c r="BH139" s="3362"/>
      <c r="BI139" s="3362"/>
      <c r="BJ139" s="3362"/>
      <c r="BK139" s="3362"/>
      <c r="BL139" s="3362"/>
      <c r="BM139" s="3362"/>
      <c r="BN139" s="3362"/>
      <c r="BO139" s="3362"/>
      <c r="BP139" s="3362"/>
      <c r="BQ139" s="3362"/>
      <c r="BR139" s="1659" t="s">
        <v>2013</v>
      </c>
      <c r="BS139" s="3362"/>
      <c r="BT139" s="3362"/>
      <c r="BU139" s="3362"/>
      <c r="BV139" s="3362"/>
      <c r="BW139" s="3362"/>
      <c r="BX139" s="3362"/>
      <c r="BY139" s="3431"/>
      <c r="BZ139" s="371"/>
      <c r="CA139" s="371"/>
      <c r="CB139" s="371"/>
      <c r="CC139" s="371"/>
      <c r="CD139" s="371"/>
      <c r="CE139" s="371"/>
      <c r="CF139" s="371"/>
      <c r="CG139" s="371"/>
      <c r="CH139" s="371"/>
      <c r="CI139" s="371"/>
      <c r="CJ139" s="371"/>
      <c r="CK139" s="3362"/>
      <c r="CL139" s="3362"/>
      <c r="CM139" s="3362"/>
      <c r="CN139" s="371"/>
      <c r="CO139" s="3362"/>
      <c r="CP139" s="3362"/>
      <c r="CQ139" s="371"/>
      <c r="CR139" s="3362"/>
      <c r="CS139" s="3362"/>
      <c r="CT139" s="371"/>
      <c r="CU139" s="3362"/>
      <c r="CV139" s="3362"/>
      <c r="CW139" s="3748"/>
      <c r="CX139" s="3362"/>
      <c r="CY139" s="3362"/>
      <c r="CZ139" s="3748" t="s">
        <v>2013</v>
      </c>
      <c r="DA139" s="3362"/>
      <c r="DB139" s="3362"/>
      <c r="DC139" s="3748" t="s">
        <v>2013</v>
      </c>
      <c r="DD139" s="3362"/>
      <c r="DE139" s="3362"/>
      <c r="DF139" s="3735"/>
      <c r="DG139" s="3362"/>
      <c r="DH139" s="3362"/>
      <c r="DI139" s="3735"/>
      <c r="DJ139" s="3362"/>
      <c r="DK139" s="3362"/>
      <c r="DL139" s="3748"/>
      <c r="DM139" s="3362"/>
      <c r="DN139" s="3362"/>
      <c r="DO139" s="3748" t="s">
        <v>2013</v>
      </c>
      <c r="DP139" s="4015"/>
      <c r="DQ139" s="4015"/>
      <c r="DR139" s="4013"/>
      <c r="DS139" s="4015"/>
      <c r="DT139" s="4015"/>
      <c r="DU139" s="4013"/>
      <c r="DV139" s="4015"/>
      <c r="DW139" s="4015"/>
      <c r="DX139" s="4013"/>
      <c r="DY139" s="4015"/>
      <c r="DZ139" s="4015"/>
      <c r="EA139" s="4014"/>
      <c r="EB139" s="4012">
        <f>SUM(EB113+EB114+EB115)</f>
        <v>7841.25</v>
      </c>
      <c r="EC139" s="4015"/>
      <c r="ED139" s="3996" t="s">
        <v>2013</v>
      </c>
      <c r="EE139" s="3998"/>
      <c r="EF139" s="3998"/>
      <c r="EG139" s="4014"/>
      <c r="EH139" s="4012">
        <f>SUM(EH113+EH114+EH115)</f>
        <v>7841.25</v>
      </c>
      <c r="EI139" s="4015"/>
      <c r="EJ139" s="4014"/>
      <c r="EK139" s="4012"/>
      <c r="EL139" s="4015"/>
      <c r="EM139" s="3748" t="s">
        <v>2013</v>
      </c>
      <c r="EN139" s="4863"/>
      <c r="EO139" s="4863"/>
      <c r="EP139" s="4862"/>
      <c r="EQ139" s="4863"/>
      <c r="ER139" s="4863"/>
    </row>
    <row r="140" spans="1:148" ht="18.75" x14ac:dyDescent="0.2">
      <c r="A140" s="5577"/>
      <c r="B140" s="5577"/>
      <c r="C140" s="5577"/>
      <c r="D140" s="5577"/>
      <c r="E140" s="5577"/>
      <c r="F140" s="5577"/>
      <c r="G140" s="5577"/>
      <c r="H140" s="5577"/>
      <c r="I140" s="3431"/>
      <c r="J140" s="3431"/>
      <c r="K140" s="5577"/>
      <c r="L140" s="5577"/>
      <c r="M140" s="5577"/>
      <c r="N140" s="5577"/>
      <c r="O140" s="5577"/>
      <c r="P140" s="5577"/>
      <c r="Q140" s="5577"/>
      <c r="R140" s="5577"/>
      <c r="S140" s="5577"/>
      <c r="T140" s="3431"/>
      <c r="U140" s="3431"/>
      <c r="V140" s="3431"/>
      <c r="W140" s="3431"/>
      <c r="X140" s="3431"/>
      <c r="Y140" s="3431"/>
      <c r="Z140" s="3752"/>
      <c r="AA140" s="3431"/>
      <c r="AB140" s="3431"/>
      <c r="AC140" s="3431"/>
      <c r="AD140" s="3431"/>
      <c r="AE140" s="3431"/>
      <c r="AF140" s="3431"/>
      <c r="AG140" s="3431"/>
      <c r="AH140" s="3431"/>
      <c r="AI140" s="3431"/>
      <c r="AJ140" s="3431"/>
      <c r="AK140" s="3431"/>
      <c r="AL140" s="3431"/>
      <c r="AM140" s="3431"/>
      <c r="AN140" s="3431"/>
      <c r="AO140" s="3431"/>
      <c r="AP140" s="3431"/>
      <c r="AQ140" s="3431"/>
      <c r="AR140" s="3431"/>
      <c r="AS140" s="3431"/>
      <c r="AT140" s="3431"/>
      <c r="AU140" s="3431"/>
      <c r="AV140" s="3431"/>
      <c r="AW140" s="3753"/>
      <c r="AX140" s="3431"/>
      <c r="AY140" s="3431"/>
      <c r="AZ140" s="3431"/>
      <c r="BA140" s="3753"/>
      <c r="BB140" s="3431"/>
      <c r="BC140" s="3735"/>
      <c r="BD140" s="3735"/>
      <c r="BE140" s="3735"/>
      <c r="BF140" s="3735"/>
      <c r="BG140" s="3735"/>
      <c r="BH140" s="3735"/>
      <c r="BI140" s="3735"/>
      <c r="BJ140" s="3735"/>
      <c r="BK140" s="3735"/>
      <c r="BL140" s="3735"/>
      <c r="BM140" s="3735"/>
      <c r="BN140" s="3737">
        <f>BN109</f>
        <v>0</v>
      </c>
      <c r="BO140" s="3737">
        <f>BO109</f>
        <v>0</v>
      </c>
      <c r="BP140" s="3735"/>
      <c r="BQ140" s="3735"/>
      <c r="BR140" s="1659" t="s">
        <v>2014</v>
      </c>
      <c r="BS140" s="3735"/>
      <c r="BT140" s="3754">
        <f>BT109</f>
        <v>517.29666900000007</v>
      </c>
      <c r="BU140" s="3754">
        <f>BU109</f>
        <v>0</v>
      </c>
      <c r="BV140" s="3725"/>
      <c r="BW140" s="3754">
        <f>BW109</f>
        <v>549.04411800000003</v>
      </c>
      <c r="BX140" s="3754">
        <f>BX109</f>
        <v>0</v>
      </c>
      <c r="BY140" s="3725"/>
      <c r="BZ140" s="3755"/>
      <c r="CA140" s="3755"/>
      <c r="CB140" s="3755"/>
      <c r="CC140" s="3755"/>
      <c r="CD140" s="3755"/>
      <c r="CE140" s="3755"/>
      <c r="CF140" s="3755"/>
      <c r="CG140" s="3755"/>
      <c r="CH140" s="3755"/>
      <c r="CI140" s="3755"/>
      <c r="CJ140" s="3755"/>
      <c r="CK140" s="3725"/>
      <c r="CL140" s="3754">
        <f>CL109</f>
        <v>322.41899999999998</v>
      </c>
      <c r="CM140" s="3754">
        <f>CM109</f>
        <v>0</v>
      </c>
      <c r="CN140" s="3755"/>
      <c r="CO140" s="3754">
        <f>CO109</f>
        <v>0</v>
      </c>
      <c r="CP140" s="3754">
        <f>CP109</f>
        <v>0</v>
      </c>
      <c r="CQ140" s="3755"/>
      <c r="CR140" s="3754">
        <f>CR109</f>
        <v>0</v>
      </c>
      <c r="CS140" s="3754">
        <f>CS109</f>
        <v>0</v>
      </c>
      <c r="CT140" s="3755"/>
      <c r="CU140" s="3754">
        <f>CU109</f>
        <v>648.35</v>
      </c>
      <c r="CV140" s="3754">
        <f>CV109</f>
        <v>0</v>
      </c>
      <c r="CW140" s="3748"/>
      <c r="CX140" s="3754">
        <f>CX109</f>
        <v>704.58079999999995</v>
      </c>
      <c r="CY140" s="3754">
        <f>CY109</f>
        <v>0</v>
      </c>
      <c r="CZ140" s="3748" t="s">
        <v>2014</v>
      </c>
      <c r="DA140" s="3754">
        <f>DA109</f>
        <v>316.125</v>
      </c>
      <c r="DB140" s="3754">
        <f>DB109</f>
        <v>0</v>
      </c>
      <c r="DC140" s="3748" t="s">
        <v>2014</v>
      </c>
      <c r="DD140" s="3754">
        <f>DD109</f>
        <v>193.685</v>
      </c>
      <c r="DE140" s="3754">
        <f>DE109</f>
        <v>0</v>
      </c>
      <c r="DF140" s="3725"/>
      <c r="DG140" s="3754">
        <f>DG109</f>
        <v>280.77</v>
      </c>
      <c r="DH140" s="3754">
        <f>DH109</f>
        <v>0</v>
      </c>
      <c r="DI140" s="3725"/>
      <c r="DJ140" s="3754">
        <f>DJ109</f>
        <v>380.57900000000001</v>
      </c>
      <c r="DK140" s="3754">
        <f>DK109</f>
        <v>0</v>
      </c>
      <c r="DL140" s="3748"/>
      <c r="DM140" s="3754">
        <f>DM109</f>
        <v>331.93125000000003</v>
      </c>
      <c r="DN140" s="3754">
        <f>DN109</f>
        <v>0</v>
      </c>
      <c r="DO140" s="3748" t="s">
        <v>2014</v>
      </c>
      <c r="DP140" s="4016">
        <f>DP109</f>
        <v>211.25448</v>
      </c>
      <c r="DQ140" s="4016">
        <f>DQ109</f>
        <v>0</v>
      </c>
      <c r="DR140" s="4017"/>
      <c r="DS140" s="4016">
        <f>DS109</f>
        <v>141.36000000000001</v>
      </c>
      <c r="DT140" s="4016">
        <f>DT109</f>
        <v>0</v>
      </c>
      <c r="DU140" s="4017"/>
      <c r="DV140" s="4016">
        <f>DV109</f>
        <v>199.53399999999999</v>
      </c>
      <c r="DW140" s="4016">
        <f>DW109</f>
        <v>0</v>
      </c>
      <c r="DX140" s="4017"/>
      <c r="DY140" s="4016">
        <f>DY109</f>
        <v>269.267</v>
      </c>
      <c r="DZ140" s="4016">
        <f>DZ109</f>
        <v>0</v>
      </c>
      <c r="EA140" s="4014"/>
      <c r="EB140" s="4016">
        <f>EB109</f>
        <v>219.59903196000005</v>
      </c>
      <c r="EC140" s="4016">
        <f>EC109</f>
        <v>0</v>
      </c>
      <c r="ED140" s="3996" t="s">
        <v>2014</v>
      </c>
      <c r="EE140" s="3999">
        <f>EE109</f>
        <v>0</v>
      </c>
      <c r="EF140" s="3999">
        <f>EF109</f>
        <v>0</v>
      </c>
      <c r="EG140" s="4014"/>
      <c r="EH140" s="4016">
        <f>EH109</f>
        <v>219.59903196000005</v>
      </c>
      <c r="EI140" s="4016">
        <f>EI109</f>
        <v>0</v>
      </c>
      <c r="EJ140" s="4014"/>
      <c r="EK140" s="4016"/>
      <c r="EL140" s="4016"/>
      <c r="EM140" s="3748" t="s">
        <v>2014</v>
      </c>
      <c r="EN140" s="4864">
        <f>EN109</f>
        <v>92.610810000000001</v>
      </c>
      <c r="EO140" s="4864">
        <f>EO109</f>
        <v>0</v>
      </c>
      <c r="EP140" s="4865"/>
      <c r="EQ140" s="4864">
        <f>EQ109</f>
        <v>139.07459</v>
      </c>
      <c r="ER140" s="4864">
        <f>ER109</f>
        <v>0</v>
      </c>
    </row>
    <row r="141" spans="1:148" ht="18.75" x14ac:dyDescent="0.2">
      <c r="A141" s="3431"/>
      <c r="B141" s="3431"/>
      <c r="C141" s="3431"/>
      <c r="D141" s="3431"/>
      <c r="E141" s="3431"/>
      <c r="F141" s="3431"/>
      <c r="G141" s="3431"/>
      <c r="H141" s="3431"/>
      <c r="I141" s="3431"/>
      <c r="J141" s="3431"/>
      <c r="K141" s="3431"/>
      <c r="L141" s="2417"/>
      <c r="M141" s="2417"/>
      <c r="N141" s="2417"/>
      <c r="O141" s="2417"/>
      <c r="P141" s="2417"/>
      <c r="Q141" s="2417"/>
      <c r="R141" s="2417"/>
      <c r="S141" s="2417"/>
      <c r="T141" s="3431"/>
      <c r="U141" s="3431"/>
      <c r="V141" s="3431"/>
      <c r="W141" s="3431"/>
      <c r="X141" s="3431"/>
      <c r="Y141" s="3431"/>
      <c r="Z141" s="3431"/>
      <c r="AA141" s="3431"/>
      <c r="AB141" s="3431"/>
      <c r="AC141" s="3431"/>
      <c r="AD141" s="3431"/>
      <c r="AE141" s="3431"/>
      <c r="AF141" s="3431"/>
      <c r="AG141" s="3431"/>
      <c r="AH141" s="3431"/>
      <c r="AI141" s="3431"/>
      <c r="AJ141" s="3431"/>
      <c r="AK141" s="3431"/>
      <c r="AL141" s="3431"/>
      <c r="AM141" s="3431"/>
      <c r="AN141" s="3431"/>
      <c r="AO141" s="3431"/>
      <c r="AP141" s="3431"/>
      <c r="AQ141" s="3431"/>
      <c r="AR141" s="3431"/>
      <c r="AS141" s="3431"/>
      <c r="AT141" s="3431"/>
      <c r="AU141" s="3431"/>
      <c r="AV141" s="3431"/>
      <c r="AW141" s="3753"/>
      <c r="AX141" s="3431"/>
      <c r="AY141" s="3431"/>
      <c r="AZ141" s="3431"/>
      <c r="BA141" s="3753"/>
      <c r="BB141" s="3431"/>
      <c r="BC141" s="3735"/>
      <c r="BD141" s="3735"/>
      <c r="BE141" s="3735"/>
      <c r="BF141" s="3735"/>
      <c r="BG141" s="3735"/>
      <c r="BH141" s="3735"/>
      <c r="BI141" s="3735"/>
      <c r="BJ141" s="3735"/>
      <c r="BK141" s="3735"/>
      <c r="BL141" s="3735"/>
      <c r="BM141" s="3735"/>
      <c r="BN141" s="3737">
        <f>BN104</f>
        <v>1364.6959999999999</v>
      </c>
      <c r="BO141" s="3737">
        <f>BO104</f>
        <v>7.95</v>
      </c>
      <c r="BP141" s="3735"/>
      <c r="BQ141" s="3735"/>
      <c r="BR141" s="1659" t="s">
        <v>2015</v>
      </c>
      <c r="BS141" s="3735"/>
      <c r="BT141" s="3754">
        <f>BT104</f>
        <v>1003.7495993986286</v>
      </c>
      <c r="BU141" s="3754">
        <f>BU104</f>
        <v>5.9163082213716169</v>
      </c>
      <c r="BV141" s="3725"/>
      <c r="BW141" s="3754">
        <f>BW104</f>
        <v>1009.9095993986285</v>
      </c>
      <c r="BX141" s="3754">
        <f>BX104</f>
        <v>5.2920116321688591</v>
      </c>
      <c r="BY141" s="3725"/>
      <c r="BZ141" s="3755"/>
      <c r="CA141" s="3755"/>
      <c r="CB141" s="3755"/>
      <c r="CC141" s="3755"/>
      <c r="CD141" s="3755"/>
      <c r="CE141" s="3755"/>
      <c r="CF141" s="3755"/>
      <c r="CG141" s="3755"/>
      <c r="CH141" s="3755"/>
      <c r="CI141" s="3755"/>
      <c r="CJ141" s="3755"/>
      <c r="CK141" s="3725"/>
      <c r="CL141" s="3754">
        <f>CL104</f>
        <v>993.77209049862847</v>
      </c>
      <c r="CM141" s="3754">
        <f>CM104</f>
        <v>5.2920116321688591</v>
      </c>
      <c r="CN141" s="3755"/>
      <c r="CO141" s="3754">
        <f>CO104</f>
        <v>1128.57</v>
      </c>
      <c r="CP141" s="3754">
        <f>CP104</f>
        <v>0</v>
      </c>
      <c r="CQ141" s="3755"/>
      <c r="CR141" s="3754">
        <f>CR104</f>
        <v>1694.01</v>
      </c>
      <c r="CS141" s="3754">
        <f>CS104</f>
        <v>0</v>
      </c>
      <c r="CT141" s="3755"/>
      <c r="CU141" s="3754">
        <f>CU104</f>
        <v>2751.05</v>
      </c>
      <c r="CV141" s="3754">
        <f>CV104</f>
        <v>0</v>
      </c>
      <c r="CW141" s="3748"/>
      <c r="CX141" s="3754">
        <f>CX104</f>
        <v>2751.05</v>
      </c>
      <c r="CY141" s="3754">
        <f>CY104</f>
        <v>5.2920116321688591</v>
      </c>
      <c r="CZ141" s="3748" t="s">
        <v>2015</v>
      </c>
      <c r="DA141" s="3754">
        <f>DA104</f>
        <v>2345.44022</v>
      </c>
      <c r="DB141" s="3754">
        <f>DB104</f>
        <v>0</v>
      </c>
      <c r="DC141" s="3748" t="s">
        <v>2015</v>
      </c>
      <c r="DD141" s="3754">
        <f>DD104</f>
        <v>1372.3319999999999</v>
      </c>
      <c r="DE141" s="3754">
        <f>DE104</f>
        <v>0</v>
      </c>
      <c r="DF141" s="3725"/>
      <c r="DG141" s="3754">
        <f>DG104</f>
        <v>2055.6059999999998</v>
      </c>
      <c r="DH141" s="3754">
        <f>DH104</f>
        <v>0</v>
      </c>
      <c r="DI141" s="3725"/>
      <c r="DJ141" s="3754">
        <f>DJ104</f>
        <v>2660.1779999999999</v>
      </c>
      <c r="DK141" s="3754">
        <f>DK104</f>
        <v>0</v>
      </c>
      <c r="DL141" s="3748"/>
      <c r="DM141" s="3754">
        <f>DM104</f>
        <v>2718.5740000000001</v>
      </c>
      <c r="DN141" s="3754">
        <f>DN104</f>
        <v>0</v>
      </c>
      <c r="DO141" s="3748" t="s">
        <v>2015</v>
      </c>
      <c r="DP141" s="4016">
        <f>DP104</f>
        <v>2707.2991499999998</v>
      </c>
      <c r="DQ141" s="4016">
        <f>DQ104</f>
        <v>0</v>
      </c>
      <c r="DR141" s="4017"/>
      <c r="DS141" s="4016">
        <f>DS104</f>
        <v>1283.4539800000002</v>
      </c>
      <c r="DT141" s="4016">
        <f>DT104</f>
        <v>0</v>
      </c>
      <c r="DU141" s="4017"/>
      <c r="DV141" s="4016">
        <f>DV104</f>
        <v>1930.7335700000001</v>
      </c>
      <c r="DW141" s="4016">
        <f>DW104</f>
        <v>0</v>
      </c>
      <c r="DX141" s="4017"/>
      <c r="DY141" s="4016">
        <f>DY104</f>
        <v>5349.3708999999999</v>
      </c>
      <c r="DZ141" s="4016">
        <f>DZ104</f>
        <v>0</v>
      </c>
      <c r="EA141" s="4014"/>
      <c r="EB141" s="4016">
        <f>EB104</f>
        <v>4857.9588240000003</v>
      </c>
      <c r="EC141" s="4016">
        <f>EC104</f>
        <v>0</v>
      </c>
      <c r="ED141" s="3996" t="s">
        <v>2015</v>
      </c>
      <c r="EE141" s="3999">
        <f>EE104</f>
        <v>0</v>
      </c>
      <c r="EF141" s="3999">
        <f>EF104</f>
        <v>0</v>
      </c>
      <c r="EG141" s="4014"/>
      <c r="EH141" s="4016">
        <f>EH104</f>
        <v>4857.9588240000003</v>
      </c>
      <c r="EI141" s="4016">
        <f>EI104</f>
        <v>0</v>
      </c>
      <c r="EJ141" s="4014"/>
      <c r="EK141" s="4016"/>
      <c r="EL141" s="4016"/>
      <c r="EM141" s="3748" t="s">
        <v>2015</v>
      </c>
      <c r="EN141" s="4864">
        <f>EN104</f>
        <v>0</v>
      </c>
      <c r="EO141" s="4864">
        <f>EO104</f>
        <v>0</v>
      </c>
      <c r="EP141" s="4865"/>
      <c r="EQ141" s="4864">
        <f>EQ104</f>
        <v>0</v>
      </c>
      <c r="ER141" s="4864">
        <f>ER104</f>
        <v>0</v>
      </c>
    </row>
    <row r="142" spans="1:148" ht="18.75" x14ac:dyDescent="0.2">
      <c r="A142" s="3756"/>
      <c r="B142" s="3431"/>
      <c r="C142" s="3431"/>
      <c r="D142" s="3431"/>
      <c r="E142" s="3757"/>
      <c r="F142" s="3757"/>
      <c r="G142" s="3757"/>
      <c r="H142" s="3757"/>
      <c r="I142" s="3431"/>
      <c r="J142" s="3431"/>
      <c r="K142" s="3758"/>
      <c r="L142" s="3759"/>
      <c r="M142" s="3431"/>
      <c r="N142" s="3431"/>
      <c r="O142" s="3757"/>
      <c r="P142" s="3757"/>
      <c r="Q142" s="3757"/>
      <c r="R142" s="3757"/>
      <c r="S142" s="3757"/>
      <c r="T142" s="3431"/>
      <c r="U142" s="3431"/>
      <c r="V142" s="3431"/>
      <c r="W142" s="3431"/>
      <c r="X142" s="3431"/>
      <c r="Y142" s="3431"/>
      <c r="Z142" s="3431"/>
      <c r="AA142" s="3431"/>
      <c r="AB142" s="3431"/>
      <c r="AC142" s="3431"/>
      <c r="AD142" s="3431"/>
      <c r="AE142" s="3431"/>
      <c r="AF142" s="3431"/>
      <c r="AG142" s="3431"/>
      <c r="AH142" s="3431"/>
      <c r="AI142" s="3431"/>
      <c r="AJ142" s="3431"/>
      <c r="AK142" s="3431"/>
      <c r="AL142" s="3431"/>
      <c r="AM142" s="3431"/>
      <c r="AN142" s="3431"/>
      <c r="AO142" s="3431"/>
      <c r="AP142" s="3431"/>
      <c r="AQ142" s="3431"/>
      <c r="AR142" s="3431"/>
      <c r="AS142" s="3431"/>
      <c r="AT142" s="3431"/>
      <c r="AU142" s="3431"/>
      <c r="AV142" s="3431"/>
      <c r="AW142" s="3753"/>
      <c r="AX142" s="3431"/>
      <c r="AY142" s="3431"/>
      <c r="AZ142" s="3431"/>
      <c r="BA142" s="3753"/>
      <c r="BB142" s="3431"/>
      <c r="BC142" s="3735"/>
      <c r="BD142" s="3735"/>
      <c r="BE142" s="3735"/>
      <c r="BF142" s="3735"/>
      <c r="BG142" s="3735"/>
      <c r="BH142" s="3735"/>
      <c r="BI142" s="3735"/>
      <c r="BJ142" s="3735"/>
      <c r="BK142" s="3735"/>
      <c r="BL142" s="3735"/>
      <c r="BM142" s="3735"/>
      <c r="BN142" s="3737">
        <f>BN108</f>
        <v>0</v>
      </c>
      <c r="BO142" s="3737">
        <f>BO108</f>
        <v>0</v>
      </c>
      <c r="BP142" s="3735"/>
      <c r="BQ142" s="3735"/>
      <c r="BR142" s="1659" t="s">
        <v>2016</v>
      </c>
      <c r="BS142" s="3735"/>
      <c r="BT142" s="3754">
        <f>BT108</f>
        <v>105.48881849999999</v>
      </c>
      <c r="BU142" s="3754">
        <f>BU108</f>
        <v>0</v>
      </c>
      <c r="BV142" s="3725"/>
      <c r="BW142" s="3754">
        <f>BW108</f>
        <v>98.938174399999994</v>
      </c>
      <c r="BX142" s="3754">
        <f>BX108</f>
        <v>0</v>
      </c>
      <c r="BY142" s="3725"/>
      <c r="BZ142" s="3755"/>
      <c r="CA142" s="3755"/>
      <c r="CB142" s="3755"/>
      <c r="CC142" s="3755"/>
      <c r="CD142" s="3755"/>
      <c r="CE142" s="3755"/>
      <c r="CF142" s="3755"/>
      <c r="CG142" s="3755"/>
      <c r="CH142" s="3755"/>
      <c r="CI142" s="3755"/>
      <c r="CJ142" s="3755"/>
      <c r="CK142" s="3725"/>
      <c r="CL142" s="3754">
        <f>CL108</f>
        <v>93.10991940000001</v>
      </c>
      <c r="CM142" s="3754">
        <f>CM108</f>
        <v>0</v>
      </c>
      <c r="CN142" s="3755"/>
      <c r="CO142" s="3754">
        <f>SUM('Аренда земли'!U15)</f>
        <v>47.794029999999999</v>
      </c>
      <c r="CP142" s="3760">
        <f>SUM('Аренда земли'!U18)</f>
        <v>1.1979999999999999E-2</v>
      </c>
      <c r="CQ142" s="3755"/>
      <c r="CR142" s="3754">
        <f>CR108</f>
        <v>71.712869999999995</v>
      </c>
      <c r="CS142" s="3754">
        <f>CS108</f>
        <v>1.6060000000000001E-2</v>
      </c>
      <c r="CT142" s="3755"/>
      <c r="CU142" s="3754">
        <f>CU108</f>
        <v>95.585999999999999</v>
      </c>
      <c r="CV142" s="3754">
        <f>CV108</f>
        <v>0.02</v>
      </c>
      <c r="CW142" s="3748"/>
      <c r="CX142" s="3754">
        <f>CX108</f>
        <v>93.10991940000001</v>
      </c>
      <c r="CY142" s="3754">
        <f>CY108</f>
        <v>0</v>
      </c>
      <c r="CZ142" s="3748" t="s">
        <v>2016</v>
      </c>
      <c r="DA142" s="3754">
        <f>DA108</f>
        <v>93.109919000000005</v>
      </c>
      <c r="DB142" s="3754">
        <f>DB108</f>
        <v>0</v>
      </c>
      <c r="DC142" s="3748" t="s">
        <v>2016</v>
      </c>
      <c r="DD142" s="3754">
        <f>SUM('Аренда земли'!AA15)</f>
        <v>37.875640000000004</v>
      </c>
      <c r="DE142" s="3760">
        <f>SUM('Аренда земли'!AA18)</f>
        <v>2.9909999999999999E-2</v>
      </c>
      <c r="DF142" s="3725"/>
      <c r="DG142" s="3754">
        <f>SUM('Аренда земли'!AB15)</f>
        <v>56.916460000000001</v>
      </c>
      <c r="DH142" s="3760">
        <f>SUM('Аренда земли'!AB18)</f>
        <v>4.4929999999999998E-2</v>
      </c>
      <c r="DI142" s="3725"/>
      <c r="DJ142" s="3754">
        <f>SUM('Аренда земли'!AC15)</f>
        <v>76.042000000000002</v>
      </c>
      <c r="DK142" s="3754">
        <f>SUM('Аренда земли'!AC18)</f>
        <v>6.08E-2</v>
      </c>
      <c r="DL142" s="3748"/>
      <c r="DM142" s="3754">
        <f>DM108</f>
        <v>97.765414950000007</v>
      </c>
      <c r="DN142" s="3754">
        <f>DN108</f>
        <v>0</v>
      </c>
      <c r="DO142" s="3748" t="s">
        <v>2016</v>
      </c>
      <c r="DP142" s="4016">
        <f>DP108</f>
        <v>62.334811559999999</v>
      </c>
      <c r="DQ142" s="4016">
        <f>DQ108</f>
        <v>0</v>
      </c>
      <c r="DR142" s="4017"/>
      <c r="DS142" s="4016">
        <f>SUM('Аренда земли'!AF15)</f>
        <v>38.315100000000001</v>
      </c>
      <c r="DT142" s="4016">
        <f>SUM('Аренда земли'!AF18)</f>
        <v>1.9099999999999999E-2</v>
      </c>
      <c r="DU142" s="4017"/>
      <c r="DV142" s="4016">
        <f>SUM('Аренда земли'!AG15)</f>
        <v>58.102870000000003</v>
      </c>
      <c r="DW142" s="4016">
        <f>SUM('Аренда земли'!AG18)</f>
        <v>3.1980000000000001E-2</v>
      </c>
      <c r="DX142" s="4017"/>
      <c r="DY142" s="4016">
        <f>SUM('Аренда земли'!AH15)</f>
        <v>77.863069999999993</v>
      </c>
      <c r="DZ142" s="4016">
        <f>SUM('Аренда земли'!AH18)</f>
        <v>4.3970000000000002E-2</v>
      </c>
      <c r="EA142" s="4014"/>
      <c r="EB142" s="4016">
        <f>SUM('Аренда земли'!AI15)</f>
        <v>133.48947150000001</v>
      </c>
      <c r="EC142" s="4016">
        <f>SUM('Аренда земли'!AI18)</f>
        <v>0</v>
      </c>
      <c r="ED142" s="3996" t="s">
        <v>2016</v>
      </c>
      <c r="EE142" s="3999">
        <f>EE108</f>
        <v>0</v>
      </c>
      <c r="EF142" s="3999">
        <f>EF108</f>
        <v>0</v>
      </c>
      <c r="EG142" s="4014"/>
      <c r="EH142" s="4016">
        <f>SUM('Аренда земли'!AI15)</f>
        <v>133.48947150000001</v>
      </c>
      <c r="EI142" s="4016">
        <f>SUM('Аренда земли'!AI18)</f>
        <v>0</v>
      </c>
      <c r="EJ142" s="4014"/>
      <c r="EK142" s="4016"/>
      <c r="EL142" s="4016"/>
      <c r="EM142" s="3748" t="s">
        <v>2016</v>
      </c>
      <c r="EN142" s="4864">
        <f>SUM('Аренда земли'!AK15)</f>
        <v>40.427199999999999</v>
      </c>
      <c r="EO142" s="4864">
        <f>SUM('Аренда земли'!AL18)</f>
        <v>4.41E-2</v>
      </c>
      <c r="EP142" s="4865"/>
      <c r="EQ142" s="4864">
        <f>SUM('Аренда земли'!AL15)</f>
        <v>76.490679999999998</v>
      </c>
      <c r="ER142" s="4864">
        <f>SUM('Аренда земли'!AL18)</f>
        <v>4.41E-2</v>
      </c>
    </row>
    <row r="143" spans="1:148" ht="18.75" x14ac:dyDescent="0.2">
      <c r="A143" s="3756"/>
      <c r="B143" s="3431"/>
      <c r="C143" s="3431"/>
      <c r="D143" s="3431"/>
      <c r="E143" s="3757"/>
      <c r="F143" s="3757"/>
      <c r="G143" s="3757"/>
      <c r="H143" s="3757"/>
      <c r="I143" s="3431"/>
      <c r="J143" s="3431"/>
      <c r="K143" s="3758"/>
      <c r="L143" s="3759"/>
      <c r="M143" s="3431"/>
      <c r="N143" s="3431"/>
      <c r="O143" s="3757"/>
      <c r="P143" s="3757"/>
      <c r="Q143" s="3757"/>
      <c r="R143" s="3757"/>
      <c r="S143" s="3757"/>
      <c r="T143" s="3431"/>
      <c r="U143" s="3431"/>
      <c r="V143" s="3431"/>
      <c r="W143" s="3431"/>
      <c r="X143" s="3431"/>
      <c r="Y143" s="3431"/>
      <c r="Z143" s="3431"/>
      <c r="AA143" s="3431"/>
      <c r="AB143" s="3431"/>
      <c r="AC143" s="3431"/>
      <c r="AD143" s="3431"/>
      <c r="AE143" s="3431"/>
      <c r="AF143" s="3431"/>
      <c r="AG143" s="3431"/>
      <c r="AH143" s="3431"/>
      <c r="AI143" s="3431"/>
      <c r="AJ143" s="3431"/>
      <c r="AK143" s="3431"/>
      <c r="AL143" s="3431"/>
      <c r="AM143" s="3431"/>
      <c r="AN143" s="3431"/>
      <c r="AO143" s="3431"/>
      <c r="AP143" s="3431"/>
      <c r="AQ143" s="3431"/>
      <c r="AR143" s="3431"/>
      <c r="AS143" s="3431"/>
      <c r="AT143" s="3431"/>
      <c r="AU143" s="3431"/>
      <c r="AV143" s="3431"/>
      <c r="AW143" s="3753"/>
      <c r="AX143" s="3431"/>
      <c r="AY143" s="3431"/>
      <c r="AZ143" s="3431"/>
      <c r="BA143" s="3753"/>
      <c r="BB143" s="3431"/>
      <c r="BC143" s="3735"/>
      <c r="BD143" s="3735"/>
      <c r="BE143" s="3735"/>
      <c r="BF143" s="3735"/>
      <c r="BG143" s="3735"/>
      <c r="BH143" s="3735"/>
      <c r="BI143" s="3735"/>
      <c r="BJ143" s="3735"/>
      <c r="BK143" s="3735"/>
      <c r="BL143" s="3735"/>
      <c r="BM143" s="3735"/>
      <c r="BN143" s="3737">
        <f>BN106</f>
        <v>0</v>
      </c>
      <c r="BO143" s="3737">
        <f>BO106</f>
        <v>0</v>
      </c>
      <c r="BP143" s="3735"/>
      <c r="BQ143" s="3735"/>
      <c r="BR143" s="1659" t="s">
        <v>2092</v>
      </c>
      <c r="BS143" s="3735"/>
      <c r="BT143" s="3754">
        <f>BT106</f>
        <v>241.01</v>
      </c>
      <c r="BU143" s="3754">
        <f>BU106</f>
        <v>0</v>
      </c>
      <c r="BV143" s="3725"/>
      <c r="BW143" s="3754">
        <f>BW106</f>
        <v>249.2</v>
      </c>
      <c r="BX143" s="3754">
        <f>BX106</f>
        <v>0</v>
      </c>
      <c r="BY143" s="3725"/>
      <c r="BZ143" s="3755"/>
      <c r="CA143" s="3755"/>
      <c r="CB143" s="3755"/>
      <c r="CC143" s="3755"/>
      <c r="CD143" s="3755"/>
      <c r="CE143" s="3755"/>
      <c r="CF143" s="3755"/>
      <c r="CG143" s="3755"/>
      <c r="CH143" s="3755"/>
      <c r="CI143" s="3755"/>
      <c r="CJ143" s="3755"/>
      <c r="CK143" s="3725"/>
      <c r="CL143" s="3754">
        <f>CL106</f>
        <v>249.2</v>
      </c>
      <c r="CM143" s="3754">
        <f>CM106</f>
        <v>0</v>
      </c>
      <c r="CN143" s="3755"/>
      <c r="CO143" s="3754">
        <f>CO106</f>
        <v>0</v>
      </c>
      <c r="CP143" s="3754">
        <f>CP106</f>
        <v>0</v>
      </c>
      <c r="CQ143" s="3755"/>
      <c r="CR143" s="3754">
        <f>CR106</f>
        <v>0</v>
      </c>
      <c r="CS143" s="3754">
        <f>CS106</f>
        <v>0</v>
      </c>
      <c r="CT143" s="3755"/>
      <c r="CU143" s="3761">
        <f>CU106</f>
        <v>-0.01</v>
      </c>
      <c r="CV143" s="3754">
        <f>CV106</f>
        <v>0</v>
      </c>
      <c r="CW143" s="3748"/>
      <c r="CX143" s="3761">
        <f>CX106</f>
        <v>293.68776219786787</v>
      </c>
      <c r="CY143" s="3754">
        <v>0</v>
      </c>
      <c r="CZ143" s="3748" t="s">
        <v>2092</v>
      </c>
      <c r="DA143" s="3761">
        <f>DA106</f>
        <v>0</v>
      </c>
      <c r="DB143" s="3754">
        <v>0</v>
      </c>
      <c r="DC143" s="3748" t="s">
        <v>2092</v>
      </c>
      <c r="DD143" s="3754">
        <f>DD106</f>
        <v>0</v>
      </c>
      <c r="DE143" s="3754">
        <f>DE106</f>
        <v>0</v>
      </c>
      <c r="DF143" s="3725"/>
      <c r="DG143" s="3754">
        <f>DG106</f>
        <v>0</v>
      </c>
      <c r="DH143" s="3754">
        <f>DH106</f>
        <v>0</v>
      </c>
      <c r="DI143" s="3725"/>
      <c r="DJ143" s="3761">
        <f>DJ106</f>
        <v>1813.5450000000001</v>
      </c>
      <c r="DK143" s="3754">
        <f>DK106</f>
        <v>0</v>
      </c>
      <c r="DL143" s="3748"/>
      <c r="DM143" s="3761">
        <f>DM106</f>
        <v>302.96730829756518</v>
      </c>
      <c r="DN143" s="3754">
        <v>0</v>
      </c>
      <c r="DO143" s="3748" t="s">
        <v>2092</v>
      </c>
      <c r="DP143" s="4018">
        <f>DP106</f>
        <v>302.96730829756518</v>
      </c>
      <c r="DQ143" s="4016">
        <v>0</v>
      </c>
      <c r="DR143" s="4017"/>
      <c r="DS143" s="4018">
        <f>DS106</f>
        <v>0</v>
      </c>
      <c r="DT143" s="4016">
        <f>DT106</f>
        <v>0</v>
      </c>
      <c r="DU143" s="4017"/>
      <c r="DV143" s="4018">
        <f>DV106</f>
        <v>0</v>
      </c>
      <c r="DW143" s="4016">
        <f>DW106</f>
        <v>0</v>
      </c>
      <c r="DX143" s="4017"/>
      <c r="DY143" s="4018">
        <f>DY106</f>
        <v>1581.2724800000001</v>
      </c>
      <c r="DZ143" s="4016">
        <f>DZ106</f>
        <v>0</v>
      </c>
      <c r="EA143" s="4014"/>
      <c r="EB143" s="4018">
        <f>EB106</f>
        <v>387.72721987781551</v>
      </c>
      <c r="EC143" s="4016">
        <v>0</v>
      </c>
      <c r="ED143" s="3996" t="s">
        <v>2092</v>
      </c>
      <c r="EE143" s="4000">
        <f>EE106</f>
        <v>0</v>
      </c>
      <c r="EF143" s="3999">
        <v>0</v>
      </c>
      <c r="EG143" s="4014"/>
      <c r="EH143" s="4018">
        <f>EH106</f>
        <v>387.72721987781551</v>
      </c>
      <c r="EI143" s="4016">
        <v>0</v>
      </c>
      <c r="EJ143" s="4014"/>
      <c r="EK143" s="4018"/>
      <c r="EL143" s="4016"/>
      <c r="EM143" s="3748" t="s">
        <v>2092</v>
      </c>
      <c r="EN143" s="4866">
        <f>EN106</f>
        <v>0</v>
      </c>
      <c r="EO143" s="4864">
        <f>EO106</f>
        <v>0</v>
      </c>
      <c r="EP143" s="4865"/>
      <c r="EQ143" s="4866">
        <f>EQ106</f>
        <v>0</v>
      </c>
      <c r="ER143" s="4864">
        <f>ER106</f>
        <v>0</v>
      </c>
    </row>
    <row r="144" spans="1:148" ht="18.75" x14ac:dyDescent="0.2">
      <c r="A144" s="3756"/>
      <c r="B144" s="3431"/>
      <c r="C144" s="3431"/>
      <c r="D144" s="3431"/>
      <c r="E144" s="3757"/>
      <c r="F144" s="3757"/>
      <c r="G144" s="3757"/>
      <c r="H144" s="3757"/>
      <c r="I144" s="3431"/>
      <c r="J144" s="3431"/>
      <c r="K144" s="3758"/>
      <c r="L144" s="3757"/>
      <c r="M144" s="3431"/>
      <c r="N144" s="3431"/>
      <c r="O144" s="3757"/>
      <c r="P144" s="3757"/>
      <c r="Q144" s="3757"/>
      <c r="R144" s="3757"/>
      <c r="S144" s="3757"/>
      <c r="T144" s="3431"/>
      <c r="U144" s="3431"/>
      <c r="V144" s="3431"/>
      <c r="W144" s="3431"/>
      <c r="X144" s="3431"/>
      <c r="Y144" s="3431"/>
      <c r="Z144" s="3431"/>
      <c r="AA144" s="3431"/>
      <c r="AB144" s="3431"/>
      <c r="AC144" s="3431"/>
      <c r="AD144" s="3431"/>
      <c r="AE144" s="3431"/>
      <c r="AF144" s="3431"/>
      <c r="AG144" s="3431"/>
      <c r="AH144" s="3431"/>
      <c r="AI144" s="3431"/>
      <c r="AJ144" s="3431"/>
      <c r="AK144" s="3757"/>
      <c r="AL144" s="3431"/>
      <c r="AM144" s="3431"/>
      <c r="AN144" s="3431"/>
      <c r="AO144" s="3431"/>
      <c r="AP144" s="3431"/>
      <c r="AQ144" s="3431"/>
      <c r="AR144" s="3431"/>
      <c r="AS144" s="3431"/>
      <c r="AT144" s="3431"/>
      <c r="AU144" s="3431"/>
      <c r="AV144" s="3431"/>
      <c r="AW144" s="3753"/>
      <c r="AX144" s="3431"/>
      <c r="AY144" s="3431"/>
      <c r="AZ144" s="3431"/>
      <c r="BA144" s="3753"/>
      <c r="BB144" s="3431"/>
      <c r="BC144" s="3735"/>
      <c r="BD144" s="3735"/>
      <c r="BE144" s="3735"/>
      <c r="BF144" s="3735"/>
      <c r="BG144" s="3735"/>
      <c r="BH144" s="3735"/>
      <c r="BI144" s="3735"/>
      <c r="BJ144" s="3735"/>
      <c r="BK144" s="3735"/>
      <c r="BL144" s="3735"/>
      <c r="BM144" s="3735"/>
      <c r="BN144" s="3737">
        <f>BN97</f>
        <v>4825.28</v>
      </c>
      <c r="BO144" s="3737">
        <f>BO97</f>
        <v>2.63</v>
      </c>
      <c r="BP144" s="3735"/>
      <c r="BQ144" s="3735"/>
      <c r="BR144" s="1659" t="s">
        <v>2</v>
      </c>
      <c r="BS144" s="3735"/>
      <c r="BT144" s="3754">
        <f>BT97</f>
        <v>5003.2866117908889</v>
      </c>
      <c r="BU144" s="3754">
        <f>BU97</f>
        <v>3.0033882091110118</v>
      </c>
      <c r="BV144" s="3725"/>
      <c r="BW144" s="3754">
        <f>BW97</f>
        <v>5041.9566117908889</v>
      </c>
      <c r="BX144" s="3754">
        <f>BX97</f>
        <v>3.0033882091110118</v>
      </c>
      <c r="BY144" s="3725"/>
      <c r="BZ144" s="3755"/>
      <c r="CA144" s="3755"/>
      <c r="CB144" s="3755"/>
      <c r="CC144" s="3755"/>
      <c r="CD144" s="3755"/>
      <c r="CE144" s="3755"/>
      <c r="CF144" s="3755"/>
      <c r="CG144" s="3755"/>
      <c r="CH144" s="3755"/>
      <c r="CI144" s="3755"/>
      <c r="CJ144" s="3755"/>
      <c r="CK144" s="3725"/>
      <c r="CL144" s="3754">
        <f>CL97</f>
        <v>5041.9611979847214</v>
      </c>
      <c r="CM144" s="3754">
        <f>CM97</f>
        <v>2.9988020152781827</v>
      </c>
      <c r="CN144" s="3755"/>
      <c r="CO144" s="3754">
        <f>CO97</f>
        <v>2555.2600000000002</v>
      </c>
      <c r="CP144" s="3754">
        <f>CP97</f>
        <v>0</v>
      </c>
      <c r="CQ144" s="3755"/>
      <c r="CR144" s="3754">
        <f>CR97</f>
        <v>3844.0299999999997</v>
      </c>
      <c r="CS144" s="3754">
        <f>CS97</f>
        <v>0</v>
      </c>
      <c r="CT144" s="3755"/>
      <c r="CU144" s="3754">
        <f>CU97</f>
        <v>5144.6099999999997</v>
      </c>
      <c r="CV144" s="3754">
        <f>CV97</f>
        <v>0</v>
      </c>
      <c r="CW144" s="3748"/>
      <c r="CX144" s="3754">
        <f>CX97</f>
        <v>5144.6099999999997</v>
      </c>
      <c r="CY144" s="3754">
        <f>CY97</f>
        <v>0</v>
      </c>
      <c r="CZ144" s="3748" t="s">
        <v>2</v>
      </c>
      <c r="DA144" s="3754">
        <f>DA97</f>
        <v>5132.6200000000008</v>
      </c>
      <c r="DB144" s="3754">
        <f>DB97</f>
        <v>0</v>
      </c>
      <c r="DC144" s="3748" t="s">
        <v>2</v>
      </c>
      <c r="DD144" s="3754">
        <f>DD97</f>
        <v>2631.4059999999999</v>
      </c>
      <c r="DE144" s="3754">
        <f>DE97</f>
        <v>0</v>
      </c>
      <c r="DF144" s="3725"/>
      <c r="DG144" s="3754">
        <f>DG97</f>
        <v>3945.87</v>
      </c>
      <c r="DH144" s="3754">
        <f>DH97</f>
        <v>0</v>
      </c>
      <c r="DI144" s="3725"/>
      <c r="DJ144" s="3754">
        <f>DJ97</f>
        <v>5268.7</v>
      </c>
      <c r="DK144" s="3754">
        <f>DK97</f>
        <v>0</v>
      </c>
      <c r="DL144" s="3748"/>
      <c r="DM144" s="3754">
        <f>DM97</f>
        <v>5268.7</v>
      </c>
      <c r="DN144" s="3754">
        <f>DN97</f>
        <v>0</v>
      </c>
      <c r="DO144" s="3748" t="s">
        <v>2</v>
      </c>
      <c r="DP144" s="4016">
        <f>DP97</f>
        <v>5268.7</v>
      </c>
      <c r="DQ144" s="4016">
        <f>DQ97</f>
        <v>0</v>
      </c>
      <c r="DR144" s="4017"/>
      <c r="DS144" s="4016">
        <f>DS97</f>
        <v>2669.63</v>
      </c>
      <c r="DT144" s="4016">
        <f>DT97</f>
        <v>0</v>
      </c>
      <c r="DU144" s="4017"/>
      <c r="DV144" s="4016">
        <f>DV97</f>
        <v>4056.498</v>
      </c>
      <c r="DW144" s="4016">
        <f>DW97</f>
        <v>0</v>
      </c>
      <c r="DX144" s="4017"/>
      <c r="DY144" s="4016">
        <f>DY97</f>
        <v>5490.75</v>
      </c>
      <c r="DZ144" s="4016">
        <f>DZ97</f>
        <v>0</v>
      </c>
      <c r="EA144" s="4014"/>
      <c r="EB144" s="4016">
        <f>EB97</f>
        <v>5554.9170000000004</v>
      </c>
      <c r="EC144" s="4016">
        <f>EC97</f>
        <v>0</v>
      </c>
      <c r="ED144" s="3996" t="s">
        <v>2</v>
      </c>
      <c r="EE144" s="3999">
        <f>EE97</f>
        <v>0</v>
      </c>
      <c r="EF144" s="3999">
        <f>EF97</f>
        <v>0</v>
      </c>
      <c r="EG144" s="4014"/>
      <c r="EH144" s="4016">
        <f>EH97</f>
        <v>5554.9170000000004</v>
      </c>
      <c r="EI144" s="4016">
        <f>EI97</f>
        <v>0</v>
      </c>
      <c r="EJ144" s="4014"/>
      <c r="EK144" s="4016"/>
      <c r="EL144" s="4016"/>
      <c r="EM144" s="3748" t="s">
        <v>2</v>
      </c>
      <c r="EN144" s="4864">
        <f>EN97</f>
        <v>2987.105</v>
      </c>
      <c r="EO144" s="4864">
        <f>EO97</f>
        <v>0</v>
      </c>
      <c r="EP144" s="4865"/>
      <c r="EQ144" s="4864">
        <f>EQ97</f>
        <v>6674.9360000000006</v>
      </c>
      <c r="ER144" s="4864">
        <f>ER97</f>
        <v>0</v>
      </c>
    </row>
    <row r="145" spans="1:148" ht="18.75" x14ac:dyDescent="0.25">
      <c r="A145" s="3756"/>
      <c r="B145" s="3431"/>
      <c r="C145" s="3431"/>
      <c r="D145" s="3431"/>
      <c r="E145" s="3757"/>
      <c r="F145" s="3757"/>
      <c r="G145" s="3757"/>
      <c r="H145" s="3757"/>
      <c r="I145" s="3431"/>
      <c r="J145" s="3431"/>
      <c r="K145" s="3758"/>
      <c r="L145" s="3757"/>
      <c r="M145" s="3431"/>
      <c r="N145" s="3431"/>
      <c r="O145" s="3757"/>
      <c r="P145" s="3757"/>
      <c r="Q145" s="3757"/>
      <c r="R145" s="3757"/>
      <c r="S145" s="3757"/>
      <c r="T145" s="3431"/>
      <c r="U145" s="3431"/>
      <c r="V145" s="3431"/>
      <c r="W145" s="3431"/>
      <c r="X145" s="3431"/>
      <c r="Y145" s="3431"/>
      <c r="Z145" s="3431"/>
      <c r="AA145" s="3431"/>
      <c r="AB145" s="3431"/>
      <c r="AC145" s="3431"/>
      <c r="AD145" s="3431"/>
      <c r="AE145" s="3431"/>
      <c r="AF145" s="3431"/>
      <c r="AG145" s="3431"/>
      <c r="AH145" s="3431"/>
      <c r="AI145" s="3431"/>
      <c r="AJ145" s="3431"/>
      <c r="AK145" s="3757"/>
      <c r="AL145" s="3431"/>
      <c r="AM145" s="3431"/>
      <c r="AN145" s="3431"/>
      <c r="AO145" s="3431"/>
      <c r="AP145" s="3431"/>
      <c r="AQ145" s="3431"/>
      <c r="AR145" s="3431"/>
      <c r="AS145" s="3431"/>
      <c r="AT145" s="3431"/>
      <c r="AU145" s="3431"/>
      <c r="AV145" s="3431"/>
      <c r="AW145" s="3753"/>
      <c r="AX145" s="3431"/>
      <c r="AY145" s="3431"/>
      <c r="AZ145" s="3431"/>
      <c r="BA145" s="3753"/>
      <c r="BB145" s="3431"/>
      <c r="BC145" s="3735"/>
      <c r="BD145" s="3735"/>
      <c r="BE145" s="3735"/>
      <c r="BF145" s="3735"/>
      <c r="BG145" s="3735"/>
      <c r="BH145" s="3735"/>
      <c r="BI145" s="3735"/>
      <c r="BJ145" s="3735"/>
      <c r="BK145" s="3735"/>
      <c r="BL145" s="3735"/>
      <c r="BM145" s="3735"/>
      <c r="BN145" s="3737"/>
      <c r="BO145" s="3737"/>
      <c r="BP145" s="3735"/>
      <c r="BQ145" s="3735"/>
      <c r="BR145" s="2387" t="s">
        <v>3921</v>
      </c>
      <c r="BS145" s="3735"/>
      <c r="BT145" s="3754"/>
      <c r="BU145" s="3754"/>
      <c r="BV145" s="3725"/>
      <c r="BW145" s="3754"/>
      <c r="BX145" s="3754"/>
      <c r="BY145" s="3725"/>
      <c r="BZ145" s="3755"/>
      <c r="CA145" s="3755"/>
      <c r="CB145" s="3755"/>
      <c r="CC145" s="3755"/>
      <c r="CD145" s="3755"/>
      <c r="CE145" s="3755"/>
      <c r="CF145" s="3755"/>
      <c r="CG145" s="3755"/>
      <c r="CH145" s="3755"/>
      <c r="CI145" s="3755"/>
      <c r="CJ145" s="3755"/>
      <c r="CK145" s="3725"/>
      <c r="CL145" s="3754"/>
      <c r="CM145" s="3754"/>
      <c r="CN145" s="3755"/>
      <c r="CO145" s="3754"/>
      <c r="CP145" s="3754"/>
      <c r="CQ145" s="3755"/>
      <c r="CR145" s="3754"/>
      <c r="CS145" s="3754"/>
      <c r="CT145" s="3755"/>
      <c r="CU145" s="3754"/>
      <c r="CV145" s="3754"/>
      <c r="CW145" s="3748"/>
      <c r="CX145" s="3754"/>
      <c r="CY145" s="3754"/>
      <c r="CZ145" s="2387" t="s">
        <v>3921</v>
      </c>
      <c r="DA145" s="3754"/>
      <c r="DB145" s="3754"/>
      <c r="DC145" s="3748"/>
      <c r="DD145" s="3754"/>
      <c r="DE145" s="3754"/>
      <c r="DF145" s="3725"/>
      <c r="DG145" s="3754"/>
      <c r="DH145" s="3754"/>
      <c r="DI145" s="3725"/>
      <c r="DJ145" s="3754"/>
      <c r="DK145" s="3754"/>
      <c r="DL145" s="3748"/>
      <c r="DM145" s="3754">
        <f>SUM(DM112)</f>
        <v>491.5470695043191</v>
      </c>
      <c r="DN145" s="3754">
        <f>SUM(DN112)</f>
        <v>0</v>
      </c>
      <c r="DO145" s="2387" t="s">
        <v>3921</v>
      </c>
      <c r="DP145" s="4016">
        <f>SUM(DP112)</f>
        <v>397.84000000000003</v>
      </c>
      <c r="DQ145" s="4016"/>
      <c r="DR145" s="4017"/>
      <c r="DS145" s="4016"/>
      <c r="DT145" s="4016"/>
      <c r="DU145" s="4017"/>
      <c r="DV145" s="4016"/>
      <c r="DW145" s="4016"/>
      <c r="DX145" s="4017"/>
      <c r="DY145" s="4016"/>
      <c r="DZ145" s="4016"/>
      <c r="EA145" s="4014"/>
      <c r="EB145" s="4016">
        <f>SUM(EB112)</f>
        <v>413.55468000000002</v>
      </c>
      <c r="EC145" s="4016">
        <f>SUM(EC112)</f>
        <v>0</v>
      </c>
      <c r="ED145" s="4001" t="s">
        <v>3921</v>
      </c>
      <c r="EE145" s="3999">
        <f>SUM(EE112)</f>
        <v>0</v>
      </c>
      <c r="EF145" s="3999"/>
      <c r="EG145" s="4014"/>
      <c r="EH145" s="4016">
        <f>SUM(EH112)</f>
        <v>413.55468000000002</v>
      </c>
      <c r="EI145" s="4016">
        <f>SUM(EI112)</f>
        <v>0</v>
      </c>
      <c r="EJ145" s="4014"/>
      <c r="EK145" s="4016"/>
      <c r="EL145" s="4016"/>
      <c r="EM145" s="2387" t="s">
        <v>3921</v>
      </c>
      <c r="EN145" s="4864"/>
      <c r="EO145" s="4864"/>
      <c r="EP145" s="4865"/>
      <c r="EQ145" s="4864"/>
      <c r="ER145" s="4864"/>
    </row>
    <row r="146" spans="1:148" ht="18.75" x14ac:dyDescent="0.25">
      <c r="A146" s="3756"/>
      <c r="B146" s="3431"/>
      <c r="C146" s="3431"/>
      <c r="D146" s="3431"/>
      <c r="E146" s="3757"/>
      <c r="F146" s="3757"/>
      <c r="G146" s="3757"/>
      <c r="H146" s="3757"/>
      <c r="I146" s="3431"/>
      <c r="J146" s="3431"/>
      <c r="K146" s="3758"/>
      <c r="L146" s="3757"/>
      <c r="M146" s="3431"/>
      <c r="N146" s="3431"/>
      <c r="O146" s="3757"/>
      <c r="P146" s="3757"/>
      <c r="Q146" s="3757"/>
      <c r="R146" s="3757"/>
      <c r="S146" s="3757"/>
      <c r="T146" s="3431"/>
      <c r="U146" s="3431"/>
      <c r="V146" s="3431"/>
      <c r="W146" s="3431"/>
      <c r="X146" s="3431"/>
      <c r="Y146" s="3431"/>
      <c r="Z146" s="3431"/>
      <c r="AA146" s="3431"/>
      <c r="AB146" s="3431"/>
      <c r="AC146" s="3431"/>
      <c r="AD146" s="3431"/>
      <c r="AE146" s="3431"/>
      <c r="AF146" s="3431"/>
      <c r="AG146" s="3431"/>
      <c r="AH146" s="3431"/>
      <c r="AI146" s="3431"/>
      <c r="AJ146" s="3431"/>
      <c r="AK146" s="3757"/>
      <c r="AL146" s="3431"/>
      <c r="AM146" s="3431"/>
      <c r="AN146" s="3431"/>
      <c r="AO146" s="3431"/>
      <c r="AP146" s="3431"/>
      <c r="AQ146" s="3431"/>
      <c r="AR146" s="3431"/>
      <c r="AS146" s="3431"/>
      <c r="AT146" s="3431"/>
      <c r="AU146" s="3431"/>
      <c r="AV146" s="3431"/>
      <c r="AW146" s="3753"/>
      <c r="AX146" s="3431"/>
      <c r="AY146" s="3431"/>
      <c r="AZ146" s="3431"/>
      <c r="BA146" s="3753"/>
      <c r="BB146" s="3431"/>
      <c r="BC146" s="3735"/>
      <c r="BD146" s="3735"/>
      <c r="BE146" s="3735"/>
      <c r="BF146" s="3735"/>
      <c r="BG146" s="3735"/>
      <c r="BH146" s="3735"/>
      <c r="BI146" s="3735"/>
      <c r="BJ146" s="3735"/>
      <c r="BK146" s="3735"/>
      <c r="BL146" s="3735"/>
      <c r="BM146" s="3735"/>
      <c r="BN146" s="3737"/>
      <c r="BO146" s="3737"/>
      <c r="BP146" s="3735"/>
      <c r="BQ146" s="3735"/>
      <c r="BR146" s="2387"/>
      <c r="BS146" s="3735"/>
      <c r="BT146" s="3754"/>
      <c r="BU146" s="3754"/>
      <c r="BV146" s="3725"/>
      <c r="BW146" s="3754"/>
      <c r="BX146" s="3754"/>
      <c r="BY146" s="3725"/>
      <c r="BZ146" s="3755"/>
      <c r="CA146" s="3755"/>
      <c r="CB146" s="3755"/>
      <c r="CC146" s="3755"/>
      <c r="CD146" s="3755"/>
      <c r="CE146" s="3755"/>
      <c r="CF146" s="3755"/>
      <c r="CG146" s="3755"/>
      <c r="CH146" s="3755"/>
      <c r="CI146" s="3755"/>
      <c r="CJ146" s="3755"/>
      <c r="CK146" s="3725"/>
      <c r="CL146" s="3754"/>
      <c r="CM146" s="3754"/>
      <c r="CN146" s="3755"/>
      <c r="CO146" s="3754"/>
      <c r="CP146" s="3754"/>
      <c r="CQ146" s="3755"/>
      <c r="CR146" s="3754"/>
      <c r="CS146" s="3754"/>
      <c r="CT146" s="3755"/>
      <c r="CU146" s="3754"/>
      <c r="CV146" s="3754"/>
      <c r="CW146" s="3748"/>
      <c r="CX146" s="3754"/>
      <c r="CY146" s="3754"/>
      <c r="CZ146" s="2387"/>
      <c r="DA146" s="3754"/>
      <c r="DB146" s="3754"/>
      <c r="DC146" s="3748"/>
      <c r="DD146" s="3754"/>
      <c r="DE146" s="3754"/>
      <c r="DF146" s="3725"/>
      <c r="DG146" s="3754"/>
      <c r="DH146" s="3754"/>
      <c r="DI146" s="3725"/>
      <c r="DJ146" s="3754"/>
      <c r="DK146" s="3754"/>
      <c r="DL146" s="3748"/>
      <c r="DM146" s="3754"/>
      <c r="DN146" s="3754"/>
      <c r="DO146" s="2387" t="s">
        <v>3964</v>
      </c>
      <c r="DP146" s="4016"/>
      <c r="DQ146" s="4016"/>
      <c r="DR146" s="4017"/>
      <c r="DS146" s="4016">
        <f>DS111</f>
        <v>136.93757199999999</v>
      </c>
      <c r="DT146" s="4016">
        <f>DT111</f>
        <v>0</v>
      </c>
      <c r="DU146" s="4017"/>
      <c r="DV146" s="4016">
        <f>DV111</f>
        <v>211.18517600000001</v>
      </c>
      <c r="DW146" s="4016">
        <f>DW111</f>
        <v>0</v>
      </c>
      <c r="DX146" s="4017"/>
      <c r="DY146" s="4016">
        <f>DY111</f>
        <v>278.86663199999998</v>
      </c>
      <c r="DZ146" s="4016">
        <f>DZ111</f>
        <v>0</v>
      </c>
      <c r="EA146" s="4014"/>
      <c r="EB146" s="4016">
        <f>EB111</f>
        <v>252.89879999999999</v>
      </c>
      <c r="EC146" s="4016">
        <f>EC111</f>
        <v>0</v>
      </c>
      <c r="ED146" s="4001" t="s">
        <v>3964</v>
      </c>
      <c r="EE146" s="3999"/>
      <c r="EF146" s="3999"/>
      <c r="EG146" s="4014"/>
      <c r="EH146" s="4016">
        <f>EH111</f>
        <v>252.89879999999999</v>
      </c>
      <c r="EI146" s="4016">
        <f>EI111</f>
        <v>0</v>
      </c>
      <c r="EJ146" s="4014"/>
      <c r="EK146" s="4016"/>
      <c r="EL146" s="4016"/>
      <c r="EM146" s="2387" t="s">
        <v>3964</v>
      </c>
      <c r="EN146" s="4864">
        <f>EN111</f>
        <v>0</v>
      </c>
      <c r="EO146" s="4864">
        <f>EO111</f>
        <v>0</v>
      </c>
      <c r="EP146" s="4865"/>
      <c r="EQ146" s="4864">
        <f>EQ111</f>
        <v>0</v>
      </c>
      <c r="ER146" s="4864">
        <f>ER111</f>
        <v>0</v>
      </c>
    </row>
    <row r="147" spans="1:148" ht="18.75" x14ac:dyDescent="0.25">
      <c r="A147" s="3756"/>
      <c r="B147" s="3431"/>
      <c r="C147" s="3431"/>
      <c r="D147" s="3431"/>
      <c r="E147" s="3757"/>
      <c r="F147" s="3757"/>
      <c r="G147" s="3757"/>
      <c r="H147" s="3757"/>
      <c r="I147" s="3431"/>
      <c r="J147" s="3431"/>
      <c r="K147" s="3758"/>
      <c r="L147" s="3757"/>
      <c r="M147" s="3431"/>
      <c r="N147" s="3431"/>
      <c r="O147" s="3757"/>
      <c r="P147" s="3757"/>
      <c r="Q147" s="3757"/>
      <c r="R147" s="3757"/>
      <c r="S147" s="3757"/>
      <c r="T147" s="3431"/>
      <c r="U147" s="3431"/>
      <c r="V147" s="3431"/>
      <c r="W147" s="3431"/>
      <c r="X147" s="3431"/>
      <c r="Y147" s="3431"/>
      <c r="Z147" s="3431"/>
      <c r="AA147" s="3431"/>
      <c r="AB147" s="3431"/>
      <c r="AC147" s="3431"/>
      <c r="AD147" s="3431"/>
      <c r="AE147" s="3431"/>
      <c r="AF147" s="3431"/>
      <c r="AG147" s="3431"/>
      <c r="AH147" s="3431"/>
      <c r="AI147" s="3431"/>
      <c r="AJ147" s="3431"/>
      <c r="AK147" s="3757"/>
      <c r="AL147" s="3431"/>
      <c r="AM147" s="3431"/>
      <c r="AN147" s="3431"/>
      <c r="AO147" s="3431"/>
      <c r="AP147" s="3431"/>
      <c r="AQ147" s="3431"/>
      <c r="AR147" s="3431"/>
      <c r="AS147" s="3431"/>
      <c r="AT147" s="3431"/>
      <c r="AU147" s="3431"/>
      <c r="AV147" s="3431"/>
      <c r="AW147" s="3753"/>
      <c r="AX147" s="3431"/>
      <c r="AY147" s="3431"/>
      <c r="AZ147" s="3431"/>
      <c r="BA147" s="3753"/>
      <c r="BB147" s="3431"/>
      <c r="BC147" s="3735"/>
      <c r="BD147" s="3735"/>
      <c r="BE147" s="3735"/>
      <c r="BF147" s="3735"/>
      <c r="BG147" s="3735"/>
      <c r="BH147" s="3735"/>
      <c r="BI147" s="3735"/>
      <c r="BJ147" s="3735"/>
      <c r="BK147" s="3735"/>
      <c r="BL147" s="3735"/>
      <c r="BM147" s="3735"/>
      <c r="BN147" s="3737"/>
      <c r="BO147" s="3737"/>
      <c r="BP147" s="3735"/>
      <c r="BQ147" s="3735"/>
      <c r="BR147" s="2387"/>
      <c r="BS147" s="3735"/>
      <c r="BT147" s="3754"/>
      <c r="BU147" s="3754"/>
      <c r="BV147" s="3725"/>
      <c r="BW147" s="3754"/>
      <c r="BX147" s="3754"/>
      <c r="BY147" s="3725"/>
      <c r="BZ147" s="3755"/>
      <c r="CA147" s="3755"/>
      <c r="CB147" s="3755"/>
      <c r="CC147" s="3755"/>
      <c r="CD147" s="3755"/>
      <c r="CE147" s="3755"/>
      <c r="CF147" s="3755"/>
      <c r="CG147" s="3755"/>
      <c r="CH147" s="3755"/>
      <c r="CI147" s="3755"/>
      <c r="CJ147" s="3755"/>
      <c r="CK147" s="3725"/>
      <c r="CL147" s="3754"/>
      <c r="CM147" s="3754"/>
      <c r="CN147" s="3755"/>
      <c r="CO147" s="3754"/>
      <c r="CP147" s="3754"/>
      <c r="CQ147" s="3755"/>
      <c r="CR147" s="3754"/>
      <c r="CS147" s="3754"/>
      <c r="CT147" s="3755"/>
      <c r="CU147" s="3754"/>
      <c r="CV147" s="3754"/>
      <c r="CW147" s="3748"/>
      <c r="CX147" s="3754"/>
      <c r="CY147" s="3754"/>
      <c r="CZ147" s="2387"/>
      <c r="DA147" s="3754"/>
      <c r="DB147" s="3754"/>
      <c r="DC147" s="3748"/>
      <c r="DD147" s="3754"/>
      <c r="DE147" s="3754"/>
      <c r="DF147" s="3725"/>
      <c r="DG147" s="3754"/>
      <c r="DH147" s="3754"/>
      <c r="DI147" s="3725"/>
      <c r="DJ147" s="3754"/>
      <c r="DK147" s="3754"/>
      <c r="DL147" s="3748"/>
      <c r="DM147" s="3754"/>
      <c r="DN147" s="3754"/>
      <c r="DO147" s="2387" t="s">
        <v>4078</v>
      </c>
      <c r="DP147" s="4016"/>
      <c r="DQ147" s="4016"/>
      <c r="DR147" s="4017"/>
      <c r="DS147" s="4016"/>
      <c r="DT147" s="4016"/>
      <c r="DU147" s="4017"/>
      <c r="DV147" s="4016"/>
      <c r="DW147" s="4016"/>
      <c r="DX147" s="4017"/>
      <c r="DY147" s="4016"/>
      <c r="DZ147" s="4016"/>
      <c r="EA147" s="4014"/>
      <c r="EB147" s="4016">
        <f>SUM(EB110)</f>
        <v>1530.9629800000009</v>
      </c>
      <c r="EC147" s="4016">
        <f>SUM(EC110)</f>
        <v>0</v>
      </c>
      <c r="ED147" s="4001"/>
      <c r="EE147" s="3999"/>
      <c r="EF147" s="3999"/>
      <c r="EG147" s="4014"/>
      <c r="EH147" s="4016">
        <f>SUM(EH110)</f>
        <v>1530.9629800000009</v>
      </c>
      <c r="EI147" s="4016">
        <f>SUM(EI110)</f>
        <v>0</v>
      </c>
      <c r="EJ147" s="4014"/>
      <c r="EK147" s="4016"/>
      <c r="EL147" s="4016"/>
      <c r="EM147" s="2387" t="s">
        <v>4078</v>
      </c>
      <c r="EN147" s="4864"/>
      <c r="EO147" s="4864"/>
      <c r="EP147" s="4865"/>
      <c r="EQ147" s="4864"/>
      <c r="ER147" s="4864"/>
    </row>
    <row r="148" spans="1:148" ht="18.75" x14ac:dyDescent="0.25">
      <c r="A148" s="3756"/>
      <c r="B148" s="3431"/>
      <c r="C148" s="3431"/>
      <c r="D148" s="3431"/>
      <c r="E148" s="3757"/>
      <c r="F148" s="3757"/>
      <c r="G148" s="3757"/>
      <c r="H148" s="3757"/>
      <c r="I148" s="3431"/>
      <c r="J148" s="3431"/>
      <c r="K148" s="3758"/>
      <c r="L148" s="3757"/>
      <c r="M148" s="3431"/>
      <c r="N148" s="3431"/>
      <c r="O148" s="3757"/>
      <c r="P148" s="3757"/>
      <c r="Q148" s="3757"/>
      <c r="R148" s="3757"/>
      <c r="S148" s="3757"/>
      <c r="T148" s="3431"/>
      <c r="U148" s="3431"/>
      <c r="V148" s="3431"/>
      <c r="W148" s="3431"/>
      <c r="X148" s="3431"/>
      <c r="Y148" s="3431"/>
      <c r="Z148" s="3431"/>
      <c r="AA148" s="3431"/>
      <c r="AB148" s="3431"/>
      <c r="AC148" s="3431"/>
      <c r="AD148" s="3431"/>
      <c r="AE148" s="3431"/>
      <c r="AF148" s="3431"/>
      <c r="AG148" s="3431"/>
      <c r="AH148" s="3431"/>
      <c r="AI148" s="3431"/>
      <c r="AJ148" s="3431"/>
      <c r="AK148" s="3757"/>
      <c r="AL148" s="3431"/>
      <c r="AM148" s="3431"/>
      <c r="AN148" s="3431"/>
      <c r="AO148" s="3431"/>
      <c r="AP148" s="3431"/>
      <c r="AQ148" s="3431"/>
      <c r="AR148" s="3431"/>
      <c r="AS148" s="3431"/>
      <c r="AT148" s="3431"/>
      <c r="AU148" s="3431"/>
      <c r="AV148" s="3431"/>
      <c r="AW148" s="3753"/>
      <c r="AX148" s="3431"/>
      <c r="AY148" s="3431"/>
      <c r="AZ148" s="3431"/>
      <c r="BA148" s="3753"/>
      <c r="BB148" s="3431"/>
      <c r="BC148" s="3735"/>
      <c r="BD148" s="3735"/>
      <c r="BE148" s="3735"/>
      <c r="BF148" s="3735"/>
      <c r="BG148" s="3735"/>
      <c r="BH148" s="3735"/>
      <c r="BI148" s="3735"/>
      <c r="BJ148" s="3735"/>
      <c r="BK148" s="3735"/>
      <c r="BL148" s="3735"/>
      <c r="BM148" s="3735"/>
      <c r="BN148" s="3737"/>
      <c r="BO148" s="3737"/>
      <c r="BP148" s="3735"/>
      <c r="BQ148" s="3735"/>
      <c r="BR148" s="2387"/>
      <c r="BS148" s="3735"/>
      <c r="BT148" s="3754"/>
      <c r="BU148" s="3754"/>
      <c r="BV148" s="3725"/>
      <c r="BW148" s="3754"/>
      <c r="BX148" s="3754"/>
      <c r="BY148" s="3725"/>
      <c r="BZ148" s="3755"/>
      <c r="CA148" s="3755"/>
      <c r="CB148" s="3755"/>
      <c r="CC148" s="3755"/>
      <c r="CD148" s="3755"/>
      <c r="CE148" s="3755"/>
      <c r="CF148" s="3755"/>
      <c r="CG148" s="3755"/>
      <c r="CH148" s="3755"/>
      <c r="CI148" s="3755"/>
      <c r="CJ148" s="3755"/>
      <c r="CK148" s="3725"/>
      <c r="CL148" s="3754"/>
      <c r="CM148" s="3754"/>
      <c r="CN148" s="3755"/>
      <c r="CO148" s="3754"/>
      <c r="CP148" s="3754"/>
      <c r="CQ148" s="3755"/>
      <c r="CR148" s="3754"/>
      <c r="CS148" s="3754"/>
      <c r="CT148" s="3755"/>
      <c r="CU148" s="3754"/>
      <c r="CV148" s="3754"/>
      <c r="CW148" s="3748"/>
      <c r="CX148" s="3754"/>
      <c r="CY148" s="3754"/>
      <c r="CZ148" s="2387"/>
      <c r="DA148" s="3754"/>
      <c r="DB148" s="3754"/>
      <c r="DC148" s="3748"/>
      <c r="DD148" s="3754"/>
      <c r="DE148" s="3754"/>
      <c r="DF148" s="3725"/>
      <c r="DG148" s="3754"/>
      <c r="DH148" s="3754"/>
      <c r="DI148" s="3725"/>
      <c r="DJ148" s="3754"/>
      <c r="DK148" s="3754"/>
      <c r="DL148" s="3748"/>
      <c r="DM148" s="3754"/>
      <c r="DN148" s="3754"/>
      <c r="DO148" s="2387" t="s">
        <v>4116</v>
      </c>
      <c r="DP148" s="4016"/>
      <c r="DQ148" s="4016"/>
      <c r="DR148" s="4017"/>
      <c r="DS148" s="4016"/>
      <c r="DT148" s="4016"/>
      <c r="DU148" s="4017"/>
      <c r="DV148" s="4016"/>
      <c r="DW148" s="4016"/>
      <c r="DX148" s="4017"/>
      <c r="DY148" s="4016"/>
      <c r="DZ148" s="4016"/>
      <c r="EA148" s="4014"/>
      <c r="EB148" s="4016">
        <f>SUM(EB102)</f>
        <v>1380.5665172067152</v>
      </c>
      <c r="EC148" s="4016"/>
      <c r="ED148" s="4001"/>
      <c r="EE148" s="3999"/>
      <c r="EF148" s="3999"/>
      <c r="EG148" s="4014"/>
      <c r="EH148" s="4016">
        <f>SUM(EH102)</f>
        <v>1541.5790439547163</v>
      </c>
      <c r="EI148" s="4016"/>
      <c r="EJ148" s="4014"/>
      <c r="EK148" s="4016"/>
      <c r="EL148" s="4016"/>
      <c r="EM148" s="2387" t="s">
        <v>4116</v>
      </c>
      <c r="EN148" s="4864"/>
      <c r="EO148" s="4864"/>
      <c r="EP148" s="4865"/>
      <c r="EQ148" s="4864"/>
      <c r="ER148" s="4864"/>
    </row>
    <row r="149" spans="1:148" ht="18.75" x14ac:dyDescent="0.25">
      <c r="A149" s="3756"/>
      <c r="B149" s="3431"/>
      <c r="C149" s="3431"/>
      <c r="D149" s="3431"/>
      <c r="E149" s="3757"/>
      <c r="F149" s="3757"/>
      <c r="G149" s="3757"/>
      <c r="H149" s="3757"/>
      <c r="I149" s="3431"/>
      <c r="J149" s="3431"/>
      <c r="K149" s="3758"/>
      <c r="L149" s="3757"/>
      <c r="M149" s="3431"/>
      <c r="N149" s="3431"/>
      <c r="O149" s="3757"/>
      <c r="P149" s="3757"/>
      <c r="Q149" s="3757"/>
      <c r="R149" s="3757"/>
      <c r="S149" s="3757"/>
      <c r="T149" s="3431"/>
      <c r="U149" s="3431"/>
      <c r="V149" s="3431"/>
      <c r="W149" s="3431"/>
      <c r="X149" s="3431"/>
      <c r="Y149" s="3431"/>
      <c r="Z149" s="3431"/>
      <c r="AA149" s="3431"/>
      <c r="AB149" s="3431"/>
      <c r="AC149" s="3431"/>
      <c r="AD149" s="3431"/>
      <c r="AE149" s="3431"/>
      <c r="AF149" s="3431"/>
      <c r="AG149" s="3431"/>
      <c r="AH149" s="3431"/>
      <c r="AI149" s="3431"/>
      <c r="AJ149" s="3431"/>
      <c r="AK149" s="3757"/>
      <c r="AL149" s="3431"/>
      <c r="AM149" s="3431"/>
      <c r="AN149" s="3431"/>
      <c r="AO149" s="3431"/>
      <c r="AP149" s="3431"/>
      <c r="AQ149" s="3431"/>
      <c r="AR149" s="3431"/>
      <c r="AS149" s="3431"/>
      <c r="AT149" s="3431"/>
      <c r="AU149" s="3431"/>
      <c r="AV149" s="3431"/>
      <c r="AW149" s="3753"/>
      <c r="AX149" s="3431"/>
      <c r="AY149" s="3431"/>
      <c r="AZ149" s="3431"/>
      <c r="BA149" s="3753"/>
      <c r="BB149" s="3431"/>
      <c r="BC149" s="3735"/>
      <c r="BD149" s="3735"/>
      <c r="BE149" s="3735"/>
      <c r="BF149" s="3735"/>
      <c r="BG149" s="3735"/>
      <c r="BH149" s="3735"/>
      <c r="BI149" s="3735"/>
      <c r="BJ149" s="3735"/>
      <c r="BK149" s="3735"/>
      <c r="BL149" s="3735"/>
      <c r="BM149" s="3735"/>
      <c r="BN149" s="3737"/>
      <c r="BO149" s="3737"/>
      <c r="BP149" s="3735"/>
      <c r="BQ149" s="3735"/>
      <c r="BR149" s="2387"/>
      <c r="BS149" s="3735"/>
      <c r="BT149" s="3754"/>
      <c r="BU149" s="3754"/>
      <c r="BV149" s="3725"/>
      <c r="BW149" s="3754"/>
      <c r="BX149" s="3754"/>
      <c r="BY149" s="3725"/>
      <c r="BZ149" s="3755"/>
      <c r="CA149" s="3755"/>
      <c r="CB149" s="3755"/>
      <c r="CC149" s="3755"/>
      <c r="CD149" s="3755"/>
      <c r="CE149" s="3755"/>
      <c r="CF149" s="3755"/>
      <c r="CG149" s="3755"/>
      <c r="CH149" s="3755"/>
      <c r="CI149" s="3755"/>
      <c r="CJ149" s="3755"/>
      <c r="CK149" s="3725"/>
      <c r="CL149" s="3754"/>
      <c r="CM149" s="3754"/>
      <c r="CN149" s="3755"/>
      <c r="CO149" s="3754"/>
      <c r="CP149" s="3754"/>
      <c r="CQ149" s="3755"/>
      <c r="CR149" s="3754"/>
      <c r="CS149" s="3754"/>
      <c r="CT149" s="3755"/>
      <c r="CU149" s="3754"/>
      <c r="CV149" s="3754"/>
      <c r="CW149" s="3748"/>
      <c r="CX149" s="3754"/>
      <c r="CY149" s="3754"/>
      <c r="CZ149" s="2387"/>
      <c r="DA149" s="3754"/>
      <c r="DB149" s="3754"/>
      <c r="DC149" s="3748"/>
      <c r="DD149" s="3754"/>
      <c r="DE149" s="3754"/>
      <c r="DF149" s="3725"/>
      <c r="DG149" s="3754"/>
      <c r="DH149" s="3754"/>
      <c r="DI149" s="3725"/>
      <c r="DJ149" s="3754"/>
      <c r="DK149" s="3754"/>
      <c r="DL149" s="3748"/>
      <c r="DM149" s="3754"/>
      <c r="DN149" s="3754"/>
      <c r="DO149" s="2387" t="s">
        <v>4123</v>
      </c>
      <c r="DP149" s="4016"/>
      <c r="DQ149" s="4016"/>
      <c r="DR149" s="4017"/>
      <c r="DS149" s="4016"/>
      <c r="DT149" s="4016"/>
      <c r="DU149" s="4017"/>
      <c r="DV149" s="4016"/>
      <c r="DW149" s="4016"/>
      <c r="DX149" s="4017"/>
      <c r="DY149" s="4016"/>
      <c r="DZ149" s="4016"/>
      <c r="EA149" s="4014"/>
      <c r="EB149" s="4016"/>
      <c r="EC149" s="4016"/>
      <c r="ED149" s="4001"/>
      <c r="EE149" s="3999"/>
      <c r="EF149" s="3999"/>
      <c r="EG149" s="4014"/>
      <c r="EH149" s="4016">
        <f>SUM('Прочие неподконтр. расх'!C8)</f>
        <v>5245.8</v>
      </c>
      <c r="EI149" s="4016"/>
      <c r="EJ149" s="4014"/>
      <c r="EK149" s="4016"/>
      <c r="EL149" s="4016"/>
      <c r="EM149" s="2387" t="s">
        <v>4123</v>
      </c>
      <c r="EN149" s="4864"/>
      <c r="EO149" s="4864"/>
      <c r="EP149" s="4865"/>
      <c r="EQ149" s="4864"/>
      <c r="ER149" s="4864"/>
    </row>
    <row r="150" spans="1:148" ht="18.75" x14ac:dyDescent="0.25">
      <c r="A150" s="3756"/>
      <c r="B150" s="3431"/>
      <c r="C150" s="3431"/>
      <c r="D150" s="3431"/>
      <c r="E150" s="3757"/>
      <c r="F150" s="3757"/>
      <c r="G150" s="3757"/>
      <c r="H150" s="3757"/>
      <c r="I150" s="3431"/>
      <c r="J150" s="3431"/>
      <c r="K150" s="3758"/>
      <c r="L150" s="3757"/>
      <c r="M150" s="3431"/>
      <c r="N150" s="3431"/>
      <c r="O150" s="3757"/>
      <c r="P150" s="3757"/>
      <c r="Q150" s="3757"/>
      <c r="R150" s="3757"/>
      <c r="S150" s="3757"/>
      <c r="T150" s="3431"/>
      <c r="U150" s="3431"/>
      <c r="V150" s="3431"/>
      <c r="W150" s="3431"/>
      <c r="X150" s="3431"/>
      <c r="Y150" s="3431"/>
      <c r="Z150" s="3431"/>
      <c r="AA150" s="3431"/>
      <c r="AB150" s="3431"/>
      <c r="AC150" s="3431"/>
      <c r="AD150" s="3431"/>
      <c r="AE150" s="3431"/>
      <c r="AF150" s="3431"/>
      <c r="AG150" s="3431"/>
      <c r="AH150" s="3431"/>
      <c r="AI150" s="3431"/>
      <c r="AJ150" s="3431"/>
      <c r="AK150" s="3757"/>
      <c r="AL150" s="3431"/>
      <c r="AM150" s="3431"/>
      <c r="AN150" s="3431"/>
      <c r="AO150" s="3431"/>
      <c r="AP150" s="3431"/>
      <c r="AQ150" s="3431"/>
      <c r="AR150" s="3431"/>
      <c r="AS150" s="3431"/>
      <c r="AT150" s="3431"/>
      <c r="AU150" s="3431"/>
      <c r="AV150" s="3431"/>
      <c r="AW150" s="3753"/>
      <c r="AX150" s="3431"/>
      <c r="AY150" s="3431"/>
      <c r="AZ150" s="3431"/>
      <c r="BA150" s="3753"/>
      <c r="BB150" s="3431"/>
      <c r="BC150" s="3735"/>
      <c r="BD150" s="3735"/>
      <c r="BE150" s="3735"/>
      <c r="BF150" s="3735"/>
      <c r="BG150" s="3735"/>
      <c r="BH150" s="3735"/>
      <c r="BI150" s="3735"/>
      <c r="BJ150" s="3735"/>
      <c r="BK150" s="3735"/>
      <c r="BL150" s="3735"/>
      <c r="BM150" s="3735"/>
      <c r="BN150" s="3737"/>
      <c r="BO150" s="3737"/>
      <c r="BP150" s="3735"/>
      <c r="BQ150" s="3735"/>
      <c r="BR150" s="2387"/>
      <c r="BS150" s="3735"/>
      <c r="BT150" s="3754"/>
      <c r="BU150" s="3754"/>
      <c r="BV150" s="3725"/>
      <c r="BW150" s="3754"/>
      <c r="BX150" s="3754"/>
      <c r="BY150" s="3725"/>
      <c r="BZ150" s="3755"/>
      <c r="CA150" s="3755"/>
      <c r="CB150" s="3755"/>
      <c r="CC150" s="3755"/>
      <c r="CD150" s="3755"/>
      <c r="CE150" s="3755"/>
      <c r="CF150" s="3755"/>
      <c r="CG150" s="3755"/>
      <c r="CH150" s="3755"/>
      <c r="CI150" s="3755"/>
      <c r="CJ150" s="3755"/>
      <c r="CK150" s="3725"/>
      <c r="CL150" s="3754"/>
      <c r="CM150" s="3754"/>
      <c r="CN150" s="3755"/>
      <c r="CO150" s="3754"/>
      <c r="CP150" s="3754"/>
      <c r="CQ150" s="3755"/>
      <c r="CR150" s="3754"/>
      <c r="CS150" s="3754"/>
      <c r="CT150" s="3755"/>
      <c r="CU150" s="3754"/>
      <c r="CV150" s="3754"/>
      <c r="CW150" s="3748"/>
      <c r="CX150" s="3754"/>
      <c r="CY150" s="3754"/>
      <c r="CZ150" s="2387"/>
      <c r="DA150" s="3754"/>
      <c r="DB150" s="3754"/>
      <c r="DC150" s="3748"/>
      <c r="DD150" s="3754"/>
      <c r="DE150" s="3754"/>
      <c r="DF150" s="3725"/>
      <c r="DG150" s="3754"/>
      <c r="DH150" s="3754"/>
      <c r="DI150" s="3725"/>
      <c r="DJ150" s="3754"/>
      <c r="DK150" s="3754"/>
      <c r="DL150" s="3748"/>
      <c r="DM150" s="3754"/>
      <c r="DN150" s="3754"/>
      <c r="DO150" s="2387" t="s">
        <v>4124</v>
      </c>
      <c r="DP150" s="4016"/>
      <c r="DQ150" s="4016"/>
      <c r="DR150" s="4017"/>
      <c r="DS150" s="4016"/>
      <c r="DT150" s="4016"/>
      <c r="DU150" s="4017"/>
      <c r="DV150" s="4016"/>
      <c r="DW150" s="4016"/>
      <c r="DX150" s="4017"/>
      <c r="DY150" s="4016"/>
      <c r="DZ150" s="4016"/>
      <c r="EA150" s="4014"/>
      <c r="EB150" s="4016"/>
      <c r="EC150" s="4016"/>
      <c r="ED150" s="4001"/>
      <c r="EE150" s="3999"/>
      <c r="EF150" s="3999"/>
      <c r="EG150" s="4014"/>
      <c r="EH150" s="4016">
        <f>SUM('Прочие неподконтр. расх'!C9)</f>
        <v>7930.4092920000003</v>
      </c>
      <c r="EI150" s="4016"/>
      <c r="EJ150" s="4014"/>
      <c r="EK150" s="4016"/>
      <c r="EL150" s="4016"/>
      <c r="EM150" s="2387" t="s">
        <v>4124</v>
      </c>
      <c r="EN150" s="4864"/>
      <c r="EO150" s="4864"/>
      <c r="EP150" s="4865"/>
      <c r="EQ150" s="4864"/>
      <c r="ER150" s="4864"/>
    </row>
    <row r="151" spans="1:148" ht="18.75" x14ac:dyDescent="0.25">
      <c r="A151" s="3756"/>
      <c r="B151" s="3431"/>
      <c r="C151" s="3431"/>
      <c r="D151" s="3431"/>
      <c r="E151" s="3757"/>
      <c r="F151" s="3757"/>
      <c r="G151" s="3757"/>
      <c r="H151" s="3757"/>
      <c r="I151" s="3431"/>
      <c r="J151" s="3431"/>
      <c r="K151" s="3758"/>
      <c r="L151" s="3757"/>
      <c r="M151" s="3431"/>
      <c r="N151" s="3431"/>
      <c r="O151" s="3757"/>
      <c r="P151" s="3757"/>
      <c r="Q151" s="3757"/>
      <c r="R151" s="3757"/>
      <c r="S151" s="3757"/>
      <c r="T151" s="3431"/>
      <c r="U151" s="3431"/>
      <c r="V151" s="3431"/>
      <c r="W151" s="3431"/>
      <c r="X151" s="3431"/>
      <c r="Y151" s="3431"/>
      <c r="Z151" s="3431"/>
      <c r="AA151" s="3431"/>
      <c r="AB151" s="3431"/>
      <c r="AC151" s="3431"/>
      <c r="AD151" s="3431"/>
      <c r="AE151" s="3431"/>
      <c r="AF151" s="3431"/>
      <c r="AG151" s="3431"/>
      <c r="AH151" s="3431"/>
      <c r="AI151" s="3431"/>
      <c r="AJ151" s="3431"/>
      <c r="AK151" s="3757"/>
      <c r="AL151" s="3431"/>
      <c r="AM151" s="3431"/>
      <c r="AN151" s="3431"/>
      <c r="AO151" s="3431"/>
      <c r="AP151" s="3431"/>
      <c r="AQ151" s="3431"/>
      <c r="AR151" s="3431"/>
      <c r="AS151" s="3431"/>
      <c r="AT151" s="3431"/>
      <c r="AU151" s="3431"/>
      <c r="AV151" s="3431"/>
      <c r="AW151" s="3753"/>
      <c r="AX151" s="3431"/>
      <c r="AY151" s="3431"/>
      <c r="AZ151" s="3431"/>
      <c r="BA151" s="3753"/>
      <c r="BB151" s="3431"/>
      <c r="BC151" s="3735"/>
      <c r="BD151" s="3735"/>
      <c r="BE151" s="3735"/>
      <c r="BF151" s="3735"/>
      <c r="BG151" s="3735"/>
      <c r="BH151" s="3735"/>
      <c r="BI151" s="3735"/>
      <c r="BJ151" s="3735"/>
      <c r="BK151" s="3735"/>
      <c r="BL151" s="3735"/>
      <c r="BM151" s="3735"/>
      <c r="BN151" s="3737"/>
      <c r="BO151" s="3737"/>
      <c r="BP151" s="3735"/>
      <c r="BQ151" s="3735"/>
      <c r="BR151" s="2387"/>
      <c r="BS151" s="3735"/>
      <c r="BT151" s="3754"/>
      <c r="BU151" s="3754"/>
      <c r="BV151" s="3725"/>
      <c r="BW151" s="3754"/>
      <c r="BX151" s="3754"/>
      <c r="BY151" s="3725"/>
      <c r="BZ151" s="3755"/>
      <c r="CA151" s="3755"/>
      <c r="CB151" s="3755"/>
      <c r="CC151" s="3755"/>
      <c r="CD151" s="3755"/>
      <c r="CE151" s="3755"/>
      <c r="CF151" s="3755"/>
      <c r="CG151" s="3755"/>
      <c r="CH151" s="3755"/>
      <c r="CI151" s="3755"/>
      <c r="CJ151" s="3755"/>
      <c r="CK151" s="3725"/>
      <c r="CL151" s="3754"/>
      <c r="CM151" s="3754"/>
      <c r="CN151" s="3755"/>
      <c r="CO151" s="3754"/>
      <c r="CP151" s="3754"/>
      <c r="CQ151" s="3755"/>
      <c r="CR151" s="3754"/>
      <c r="CS151" s="3754"/>
      <c r="CT151" s="3755"/>
      <c r="CU151" s="3754"/>
      <c r="CV151" s="3754"/>
      <c r="CW151" s="3748"/>
      <c r="CX151" s="3754"/>
      <c r="CY151" s="3754"/>
      <c r="CZ151" s="2387"/>
      <c r="DA151" s="3754"/>
      <c r="DB151" s="3754"/>
      <c r="DC151" s="3748"/>
      <c r="DD151" s="3754"/>
      <c r="DE151" s="3754"/>
      <c r="DF151" s="3725"/>
      <c r="DG151" s="3754"/>
      <c r="DH151" s="3754"/>
      <c r="DI151" s="3725"/>
      <c r="DJ151" s="3754"/>
      <c r="DK151" s="3754"/>
      <c r="DL151" s="3748"/>
      <c r="DM151" s="3754"/>
      <c r="DN151" s="3754"/>
      <c r="DO151" s="2387" t="s">
        <v>4122</v>
      </c>
      <c r="DP151" s="4016"/>
      <c r="DQ151" s="4016"/>
      <c r="DR151" s="4017"/>
      <c r="DS151" s="4016"/>
      <c r="DT151" s="4016"/>
      <c r="DU151" s="4017"/>
      <c r="DV151" s="4016"/>
      <c r="DW151" s="4016"/>
      <c r="DX151" s="4017"/>
      <c r="DY151" s="4016"/>
      <c r="DZ151" s="4016"/>
      <c r="EA151" s="4014"/>
      <c r="EB151" s="4016"/>
      <c r="EC151" s="4016"/>
      <c r="ED151" s="4001"/>
      <c r="EE151" s="3999"/>
      <c r="EF151" s="3999"/>
      <c r="EG151" s="4014"/>
      <c r="EH151" s="4016">
        <f>SUM('Прочие неподконтр. расх'!C10)</f>
        <v>1673.61</v>
      </c>
      <c r="EI151" s="4016"/>
      <c r="EJ151" s="4014"/>
      <c r="EK151" s="4016"/>
      <c r="EL151" s="4016"/>
      <c r="EM151" s="2387" t="s">
        <v>4122</v>
      </c>
      <c r="EN151" s="4864"/>
      <c r="EO151" s="4864"/>
      <c r="EP151" s="4865"/>
      <c r="EQ151" s="4864"/>
      <c r="ER151" s="4864"/>
    </row>
    <row r="152" spans="1:148" ht="18.75" x14ac:dyDescent="0.2">
      <c r="A152" s="3756"/>
      <c r="B152" s="3431"/>
      <c r="C152" s="3431"/>
      <c r="D152" s="3431"/>
      <c r="E152" s="3757"/>
      <c r="F152" s="3757"/>
      <c r="G152" s="3757"/>
      <c r="H152" s="3757"/>
      <c r="I152" s="3431"/>
      <c r="J152" s="3431"/>
      <c r="K152" s="3758"/>
      <c r="L152" s="3757"/>
      <c r="M152" s="3431"/>
      <c r="N152" s="3431"/>
      <c r="O152" s="3757"/>
      <c r="P152" s="3757"/>
      <c r="Q152" s="3757"/>
      <c r="R152" s="3757"/>
      <c r="S152" s="3757"/>
      <c r="T152" s="3431"/>
      <c r="U152" s="3431"/>
      <c r="V152" s="3431"/>
      <c r="W152" s="3431"/>
      <c r="X152" s="3431"/>
      <c r="Y152" s="3431"/>
      <c r="Z152" s="3431"/>
      <c r="AA152" s="3431"/>
      <c r="AB152" s="3431"/>
      <c r="AC152" s="3431"/>
      <c r="AD152" s="3431"/>
      <c r="AE152" s="3431"/>
      <c r="AF152" s="3431"/>
      <c r="AG152" s="3431"/>
      <c r="AH152" s="3431"/>
      <c r="AI152" s="3431"/>
      <c r="AJ152" s="3431"/>
      <c r="AK152" s="3757"/>
      <c r="AL152" s="3431"/>
      <c r="AM152" s="3431"/>
      <c r="AN152" s="3431"/>
      <c r="AO152" s="3431"/>
      <c r="AP152" s="3431"/>
      <c r="AQ152" s="3431"/>
      <c r="AR152" s="3431"/>
      <c r="AS152" s="3431"/>
      <c r="AT152" s="3431"/>
      <c r="AU152" s="3431"/>
      <c r="AV152" s="3431"/>
      <c r="AW152" s="3753"/>
      <c r="AX152" s="3431"/>
      <c r="AY152" s="3431"/>
      <c r="AZ152" s="3431"/>
      <c r="BA152" s="3753"/>
      <c r="BB152" s="3431"/>
      <c r="BC152" s="3735"/>
      <c r="BD152" s="3735"/>
      <c r="BE152" s="3735"/>
      <c r="BF152" s="3735"/>
      <c r="BG152" s="3735"/>
      <c r="BH152" s="3735"/>
      <c r="BI152" s="3735"/>
      <c r="BJ152" s="3735"/>
      <c r="BK152" s="3735"/>
      <c r="BL152" s="3735"/>
      <c r="BM152" s="3735"/>
      <c r="BN152" s="3762">
        <f>SUM(BN137:BN144)</f>
        <v>81392.003999999986</v>
      </c>
      <c r="BO152" s="3762">
        <f>SUM(BO137:BO144)</f>
        <v>300.37200000000001</v>
      </c>
      <c r="BP152" s="3735"/>
      <c r="BQ152" s="3735"/>
      <c r="BR152" s="1659"/>
      <c r="BS152" s="3735"/>
      <c r="BT152" s="3763">
        <f>SUM(BT137:BT144)</f>
        <v>96264.34182001678</v>
      </c>
      <c r="BU152" s="3763">
        <f>SUM(BU137:BU144)</f>
        <v>264.2183721270805</v>
      </c>
      <c r="BV152" s="3725"/>
      <c r="BW152" s="3763">
        <f>SUM(BW137:BW144)</f>
        <v>100435.51397593356</v>
      </c>
      <c r="BX152" s="3763">
        <f>SUM(BX137:BX144)</f>
        <v>360.49327195531794</v>
      </c>
      <c r="BY152" s="3725"/>
      <c r="BZ152" s="3755"/>
      <c r="CA152" s="3755"/>
      <c r="CB152" s="3755"/>
      <c r="CC152" s="3755"/>
      <c r="CD152" s="3755"/>
      <c r="CE152" s="3755"/>
      <c r="CF152" s="3755"/>
      <c r="CG152" s="3755"/>
      <c r="CH152" s="3755"/>
      <c r="CI152" s="3755"/>
      <c r="CJ152" s="3755"/>
      <c r="CK152" s="3725"/>
      <c r="CL152" s="3763">
        <f>SUM(CL137:CL144)</f>
        <v>97610.762389121403</v>
      </c>
      <c r="CM152" s="3763">
        <f>SUM(CM137:CM144)</f>
        <v>267.9489485440202</v>
      </c>
      <c r="CN152" s="3755"/>
      <c r="CO152" s="3763">
        <f>SUM(CO137:CO144)</f>
        <v>41333.026150000005</v>
      </c>
      <c r="CP152" s="3763">
        <f>SUM(CP137:CP144)</f>
        <v>98.409330000000026</v>
      </c>
      <c r="CQ152" s="3755"/>
      <c r="CR152" s="3763">
        <f>SUM(CR137:CR144)</f>
        <v>62279.233330000003</v>
      </c>
      <c r="CS152" s="3763">
        <f>SUM(CS137:CS144)</f>
        <v>135.33795000000003</v>
      </c>
      <c r="CT152" s="3755"/>
      <c r="CU152" s="3763">
        <f>SUM(CU137:CU144)</f>
        <v>83476.862999999998</v>
      </c>
      <c r="CV152" s="3763">
        <f>SUM(CV137:CV144)</f>
        <v>181.10504999999998</v>
      </c>
      <c r="CW152" s="3725"/>
      <c r="CX152" s="3763">
        <f>SUM(CX137:CX144)</f>
        <v>115167.0118381748</v>
      </c>
      <c r="CY152" s="3763">
        <f>SUM(CY137:CY144)</f>
        <v>290.92176418141594</v>
      </c>
      <c r="CZ152" s="3725"/>
      <c r="DA152" s="3763">
        <f>SUM(DA137:DA144)</f>
        <v>100595.26039686296</v>
      </c>
      <c r="DB152" s="3763">
        <f>SUM(DB137:DB144)</f>
        <v>275.44427473702683</v>
      </c>
      <c r="DC152" s="3725"/>
      <c r="DD152" s="3763">
        <f>SUM(DD137:DD144)</f>
        <v>41485.347180000012</v>
      </c>
      <c r="DE152" s="3763">
        <f>SUM(DE137:DE144)</f>
        <v>93.235279999999989</v>
      </c>
      <c r="DF152" s="3725"/>
      <c r="DG152" s="3763">
        <f>SUM(DG137:DG144)</f>
        <v>62650.197609999996</v>
      </c>
      <c r="DH152" s="3763">
        <f>SUM(DH137:DH144)</f>
        <v>138.99222</v>
      </c>
      <c r="DI152" s="3725"/>
      <c r="DJ152" s="3763">
        <f>SUM(DJ137:DJ144)</f>
        <v>86551.370519999997</v>
      </c>
      <c r="DK152" s="3763">
        <f>SUM(DK137:DK144)</f>
        <v>189.77726999999999</v>
      </c>
      <c r="DL152" s="3725"/>
      <c r="DM152" s="3763">
        <f>SUM(DM137:DM145)</f>
        <v>123417.20271235974</v>
      </c>
      <c r="DN152" s="3763">
        <f>SUM(DN137:DN145)</f>
        <v>298.87032359320347</v>
      </c>
      <c r="DO152" s="3725"/>
      <c r="DP152" s="3763">
        <f>SUM(DP137:DP145)</f>
        <v>107131.75579748892</v>
      </c>
      <c r="DQ152" s="3763">
        <f>SUM(DQ137:DQ145)</f>
        <v>280.46115391825543</v>
      </c>
      <c r="DR152" s="3725"/>
      <c r="DS152" s="3763">
        <f>SUM(DS137:DS146)</f>
        <v>45710.888032000003</v>
      </c>
      <c r="DT152" s="3763">
        <f>SUM(DT137:DT146)</f>
        <v>88.0227</v>
      </c>
      <c r="DU152" s="3725"/>
      <c r="DV152" s="3763">
        <f>SUM(DV137:DV146)</f>
        <v>70192.051705999998</v>
      </c>
      <c r="DW152" s="3763">
        <f>SUM(DW137:DW146)</f>
        <v>131.99005</v>
      </c>
      <c r="DX152" s="3725"/>
      <c r="DY152" s="3763">
        <f>SUM(DY137:DY146)</f>
        <v>98263.109771999996</v>
      </c>
      <c r="DZ152" s="3763">
        <f>SUM(DZ137:DZ146)</f>
        <v>187.64939000000001</v>
      </c>
      <c r="EA152" s="3755"/>
      <c r="EB152" s="3763">
        <f>SUM(EB137:EB148)</f>
        <v>144460.17023174238</v>
      </c>
      <c r="EC152" s="3763">
        <f>SUM(EC137:EC147)</f>
        <v>307.52153199058318</v>
      </c>
      <c r="ED152" s="4002"/>
      <c r="EE152" s="4003">
        <f>SUM(EE137:EE145)</f>
        <v>48603.684314247199</v>
      </c>
      <c r="EF152" s="4003">
        <f>SUM(EF137:EF145)</f>
        <v>210.03600179975587</v>
      </c>
      <c r="EG152" s="3755"/>
      <c r="EH152" s="3763">
        <f>SUM(EH137:EH151)</f>
        <v>159471.00205049035</v>
      </c>
      <c r="EI152" s="3763">
        <f>SUM(EI137:EI147)</f>
        <v>307.52153199058318</v>
      </c>
      <c r="EJ152" s="3755"/>
      <c r="EK152" s="3763"/>
      <c r="EL152" s="3763"/>
      <c r="EM152" s="3725"/>
      <c r="EN152" s="4867">
        <f>SUM(EN137:EN146)</f>
        <v>52711.782469999998</v>
      </c>
      <c r="EO152" s="4867">
        <f>SUM(EO137:EO146)</f>
        <v>108.33201000000001</v>
      </c>
      <c r="EP152" s="4868"/>
      <c r="EQ152" s="4867">
        <f>SUM(EQ137:EQ146)</f>
        <v>110195.25874000002</v>
      </c>
      <c r="ER152" s="4867">
        <f>SUM(ER137:ER146)</f>
        <v>242.39696000000001</v>
      </c>
    </row>
    <row r="153" spans="1:148" ht="15.75" customHeight="1" x14ac:dyDescent="0.3">
      <c r="A153" s="105"/>
      <c r="B153" s="105"/>
      <c r="C153" s="105"/>
      <c r="D153" s="105"/>
      <c r="E153" s="105"/>
      <c r="F153" s="105"/>
      <c r="G153" s="2224"/>
      <c r="H153" s="105"/>
      <c r="I153" s="105"/>
      <c r="J153" s="105"/>
      <c r="K153" s="105"/>
      <c r="L153" s="105"/>
      <c r="M153" s="105"/>
      <c r="N153" s="105"/>
      <c r="O153" s="105"/>
      <c r="P153" s="2225"/>
      <c r="Q153" s="2226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2221"/>
      <c r="AX153" s="105"/>
      <c r="AY153" s="105"/>
      <c r="AZ153" s="105"/>
      <c r="BA153" s="2221"/>
      <c r="BB153" s="105"/>
      <c r="BC153" s="394"/>
      <c r="BD153" s="394"/>
      <c r="BE153" s="394"/>
      <c r="BF153" s="394"/>
      <c r="BG153" s="394"/>
      <c r="BH153" s="394"/>
      <c r="BI153" s="394"/>
      <c r="BJ153" s="394"/>
      <c r="BK153" s="394"/>
      <c r="BL153" s="394"/>
      <c r="BM153" s="394"/>
      <c r="BN153" s="394"/>
      <c r="BO153" s="394"/>
      <c r="BP153" s="394"/>
      <c r="BQ153" s="394"/>
      <c r="BR153" s="394"/>
      <c r="BS153" s="394"/>
      <c r="BT153" s="394"/>
      <c r="BU153" s="394"/>
      <c r="BV153" s="394"/>
      <c r="BW153" s="394"/>
      <c r="BX153" s="394"/>
      <c r="BY153" s="394"/>
      <c r="CK153" s="394"/>
      <c r="CL153" s="394"/>
      <c r="CM153" s="394"/>
      <c r="CZ153" s="5" t="s">
        <v>3925</v>
      </c>
      <c r="DM153" s="3764">
        <f>SUM(DM122)</f>
        <v>2807.35</v>
      </c>
      <c r="DO153" s="394"/>
      <c r="DP153" s="3764">
        <f>SUM(DP122)</f>
        <v>-4311.3209999999999</v>
      </c>
      <c r="EB153" s="3764">
        <f>SUM(EB122)</f>
        <v>0</v>
      </c>
      <c r="ED153" s="4004"/>
      <c r="EE153" s="4005">
        <f>SUM(EE122)</f>
        <v>-4311.3209999999999</v>
      </c>
      <c r="EF153" s="4004"/>
      <c r="EH153" s="3764">
        <f>SUM(EH122)</f>
        <v>0</v>
      </c>
      <c r="EK153" s="3764"/>
    </row>
    <row r="154" spans="1:148" ht="15.75" customHeight="1" x14ac:dyDescent="0.3">
      <c r="A154" s="105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2227"/>
      <c r="Q154" s="105"/>
      <c r="R154" s="105"/>
      <c r="S154" s="105"/>
      <c r="T154" s="105"/>
      <c r="U154" s="105"/>
      <c r="V154" s="105"/>
      <c r="W154" s="105"/>
      <c r="X154" s="2222"/>
      <c r="Y154" s="2222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2221"/>
      <c r="AX154" s="105"/>
      <c r="AY154" s="105"/>
      <c r="AZ154" s="105"/>
      <c r="BA154" s="2221"/>
      <c r="BB154" s="105"/>
      <c r="BC154" s="394"/>
      <c r="BD154" s="394"/>
      <c r="BE154" s="394"/>
      <c r="BF154" s="394"/>
      <c r="BG154" s="394"/>
      <c r="BH154" s="394"/>
      <c r="BI154" s="394"/>
      <c r="BJ154" s="394"/>
      <c r="BK154" s="394"/>
      <c r="BL154" s="394"/>
      <c r="BM154" s="394"/>
      <c r="BN154" s="394"/>
      <c r="BO154" s="394"/>
      <c r="BP154" s="394"/>
      <c r="BQ154" s="394"/>
      <c r="BR154" s="394"/>
      <c r="BS154" s="394"/>
      <c r="BT154" s="394"/>
      <c r="BU154" s="394"/>
      <c r="BV154" s="394"/>
      <c r="BW154" s="394"/>
      <c r="BX154" s="394"/>
      <c r="BY154" s="577"/>
      <c r="CZ154" s="5" t="s">
        <v>614</v>
      </c>
      <c r="DM154" s="3765">
        <f>SUM(DM152+DM153)</f>
        <v>126224.55271235974</v>
      </c>
      <c r="DO154" s="394"/>
      <c r="DP154" s="3765">
        <f>SUM(DP152+DP153)</f>
        <v>102820.43479748892</v>
      </c>
      <c r="EB154" s="3765">
        <f>SUM(EB152+EB153)</f>
        <v>144460.17023174238</v>
      </c>
      <c r="ED154" s="4004"/>
      <c r="EE154" s="4006">
        <f>SUM(EE152+EE153)</f>
        <v>44292.363314247195</v>
      </c>
      <c r="EF154" s="4004"/>
      <c r="EH154" s="3765">
        <f>SUM(EH152+EH153)</f>
        <v>159471.00205049035</v>
      </c>
      <c r="EK154" s="3765"/>
    </row>
    <row r="155" spans="1:148" ht="15.75" customHeight="1" x14ac:dyDescent="0.2">
      <c r="A155" s="105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2222"/>
      <c r="R155" s="105"/>
      <c r="S155" s="105"/>
      <c r="T155" s="105"/>
      <c r="U155" s="105"/>
      <c r="V155" s="105"/>
      <c r="W155" s="105"/>
      <c r="X155" s="2222"/>
      <c r="Y155" s="2222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2221"/>
      <c r="AX155" s="105"/>
      <c r="AY155" s="105"/>
      <c r="AZ155" s="105"/>
      <c r="BA155" s="2221"/>
      <c r="BB155" s="105"/>
      <c r="BC155" s="394"/>
      <c r="BD155" s="394"/>
      <c r="BE155" s="394"/>
      <c r="BF155" s="394"/>
      <c r="BG155" s="394"/>
      <c r="BH155" s="394"/>
      <c r="BI155" s="394"/>
      <c r="BJ155" s="394"/>
      <c r="BK155" s="394"/>
      <c r="BL155" s="394"/>
      <c r="BM155" s="394"/>
      <c r="BN155" s="394"/>
      <c r="BO155" s="394"/>
      <c r="BP155" s="394"/>
      <c r="BQ155" s="394"/>
      <c r="BR155" s="394"/>
      <c r="BS155" s="394"/>
      <c r="BT155" s="394"/>
      <c r="BU155" s="394"/>
      <c r="BV155" s="394"/>
      <c r="BW155" s="394"/>
      <c r="BX155" s="394"/>
      <c r="BY155" s="577"/>
      <c r="DO155" s="3661"/>
      <c r="DP155" s="3661"/>
      <c r="DQ155" s="3661"/>
    </row>
    <row r="156" spans="1:148" ht="21" x14ac:dyDescent="0.35">
      <c r="A156" s="3414" t="s">
        <v>4077</v>
      </c>
      <c r="B156" s="859"/>
      <c r="C156" s="859"/>
      <c r="D156" s="859"/>
      <c r="E156" s="859"/>
      <c r="F156" s="859"/>
      <c r="G156" s="859"/>
      <c r="H156" s="859"/>
      <c r="I156" s="3306"/>
      <c r="J156" s="105"/>
      <c r="K156" s="105"/>
      <c r="L156" s="105"/>
      <c r="M156" s="105"/>
      <c r="N156" s="861"/>
      <c r="O156" s="862"/>
      <c r="P156" s="863"/>
      <c r="Q156" s="861"/>
      <c r="R156" s="105"/>
      <c r="S156" s="3306"/>
      <c r="T156" s="3306"/>
      <c r="U156" s="3306"/>
      <c r="V156" s="3306"/>
      <c r="W156" s="864"/>
      <c r="X156" s="3306"/>
      <c r="Y156" s="864"/>
      <c r="Z156" s="864"/>
      <c r="AA156" s="864"/>
      <c r="AB156" s="864"/>
      <c r="AC156" s="864"/>
      <c r="AD156" s="864"/>
      <c r="AE156" s="864"/>
      <c r="AF156" s="864"/>
      <c r="AG156" s="864"/>
      <c r="AH156" s="864"/>
      <c r="AI156" s="864"/>
      <c r="AJ156" s="864"/>
      <c r="AK156" s="865"/>
      <c r="AL156" s="865"/>
      <c r="AM156" s="866"/>
      <c r="AN156" s="867"/>
      <c r="AO156" s="866"/>
      <c r="AP156" s="866"/>
      <c r="AQ156" s="866"/>
      <c r="AR156" s="866"/>
      <c r="AS156" s="866"/>
      <c r="AT156" s="866"/>
      <c r="AU156" s="866"/>
      <c r="AV156" s="866"/>
      <c r="AW156" s="1368"/>
      <c r="AX156" s="866"/>
      <c r="AY156" s="866"/>
      <c r="AZ156" s="866"/>
      <c r="BA156" s="1368"/>
      <c r="BB156" s="866"/>
      <c r="BC156" s="866"/>
      <c r="BD156" s="866"/>
      <c r="BE156" s="866"/>
      <c r="BF156" s="866"/>
      <c r="BG156" s="866"/>
      <c r="BH156" s="866"/>
      <c r="BI156" s="866"/>
      <c r="BJ156" s="866"/>
      <c r="BK156" s="866"/>
      <c r="BL156" s="866"/>
      <c r="BM156" s="866"/>
      <c r="BN156" s="866"/>
      <c r="BO156" s="866"/>
      <c r="BP156" s="866"/>
      <c r="BQ156" s="866"/>
      <c r="BR156" s="866"/>
      <c r="BS156" s="866"/>
      <c r="BT156" s="866"/>
      <c r="BU156" s="866"/>
      <c r="BV156" s="866"/>
      <c r="BW156" s="866"/>
      <c r="BX156" s="394"/>
      <c r="BY156" s="394"/>
      <c r="DO156" s="3661"/>
      <c r="DP156" s="3661"/>
      <c r="DQ156" s="3661"/>
    </row>
    <row r="157" spans="1:148" x14ac:dyDescent="0.2">
      <c r="A157" s="27"/>
      <c r="B157" s="105"/>
      <c r="C157" s="105"/>
      <c r="D157" s="105"/>
      <c r="E157" s="2222"/>
      <c r="F157" s="2222"/>
      <c r="G157" s="2222"/>
      <c r="H157" s="2222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2222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2221"/>
      <c r="AX157" s="105"/>
      <c r="AY157" s="105"/>
      <c r="AZ157" s="105"/>
      <c r="BA157" s="2221"/>
      <c r="BB157" s="105"/>
      <c r="BC157" s="394"/>
      <c r="BD157" s="394"/>
      <c r="BE157" s="394"/>
      <c r="BF157" s="394"/>
      <c r="BG157" s="394"/>
      <c r="BH157" s="394"/>
      <c r="BI157" s="394"/>
      <c r="BJ157" s="394"/>
      <c r="BK157" s="394"/>
      <c r="BL157" s="394"/>
      <c r="BM157" s="394"/>
      <c r="BN157" s="394"/>
      <c r="BO157" s="394"/>
      <c r="BP157" s="394"/>
      <c r="BQ157" s="394"/>
      <c r="BR157" s="394"/>
      <c r="BS157" s="394"/>
      <c r="BT157" s="394"/>
      <c r="BU157" s="394"/>
      <c r="BV157" s="394"/>
      <c r="BW157" s="394"/>
      <c r="BX157" s="394"/>
      <c r="BY157" s="394"/>
      <c r="DO157" s="3661"/>
      <c r="DP157" s="3661"/>
      <c r="DQ157" s="3661"/>
    </row>
    <row r="158" spans="1:148" ht="20.25" x14ac:dyDescent="0.3">
      <c r="A158" s="105"/>
      <c r="B158" s="105"/>
      <c r="C158" s="105"/>
      <c r="D158" s="105"/>
      <c r="E158" s="105"/>
      <c r="F158" s="105"/>
      <c r="G158" s="222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2221"/>
      <c r="AX158" s="105"/>
      <c r="AY158" s="105"/>
      <c r="AZ158" s="105"/>
      <c r="BA158" s="2221"/>
      <c r="BB158" s="105"/>
      <c r="BC158" s="394"/>
      <c r="BD158" s="394"/>
      <c r="BE158" s="394"/>
      <c r="BF158" s="394"/>
      <c r="BG158" s="394"/>
      <c r="BH158" s="394"/>
      <c r="BI158" s="394"/>
      <c r="BJ158" s="394"/>
      <c r="BK158" s="394"/>
      <c r="BL158" s="394"/>
      <c r="BM158" s="394"/>
      <c r="BN158" s="394"/>
      <c r="BO158" s="394"/>
      <c r="BP158" s="394"/>
      <c r="BQ158" s="394"/>
      <c r="BR158" s="394"/>
      <c r="BS158" s="394"/>
      <c r="BT158" s="394"/>
      <c r="BU158" s="394"/>
      <c r="BV158" s="394"/>
      <c r="BW158" s="394"/>
      <c r="BX158" s="394"/>
      <c r="BY158" s="394"/>
      <c r="DO158" s="3661"/>
      <c r="DP158" s="3661"/>
      <c r="DQ158" s="3661"/>
    </row>
    <row r="159" spans="1:148" x14ac:dyDescent="0.2">
      <c r="A159" s="105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2221"/>
      <c r="AX159" s="105"/>
      <c r="AY159" s="105"/>
      <c r="AZ159" s="105"/>
      <c r="BA159" s="2221"/>
      <c r="BB159" s="105"/>
      <c r="BC159" s="394"/>
      <c r="BD159" s="394"/>
      <c r="BE159" s="394"/>
      <c r="BF159" s="394"/>
      <c r="BG159" s="394"/>
      <c r="BH159" s="394"/>
      <c r="BI159" s="394"/>
      <c r="BJ159" s="394"/>
      <c r="BK159" s="394"/>
      <c r="BL159" s="394"/>
      <c r="BM159" s="394"/>
      <c r="BN159" s="394"/>
      <c r="BO159" s="394"/>
      <c r="BP159" s="394"/>
      <c r="BQ159" s="394"/>
      <c r="BR159" s="394"/>
      <c r="BS159" s="394"/>
      <c r="BT159" s="394"/>
      <c r="BU159" s="394"/>
      <c r="BV159" s="394"/>
      <c r="BW159" s="394"/>
      <c r="BX159" s="394"/>
      <c r="BY159" s="394"/>
      <c r="DO159" s="3661"/>
      <c r="DP159" s="3661"/>
      <c r="DQ159" s="3661"/>
    </row>
    <row r="160" spans="1:148" x14ac:dyDescent="0.2">
      <c r="A160" s="105"/>
      <c r="B160" s="105"/>
      <c r="C160" s="105"/>
      <c r="D160" s="105"/>
      <c r="E160" s="136"/>
      <c r="F160" s="136"/>
      <c r="G160" s="136"/>
      <c r="H160" s="5576"/>
      <c r="I160" s="5576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2222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2221"/>
      <c r="AX160" s="105"/>
      <c r="AY160" s="105"/>
      <c r="AZ160" s="105"/>
      <c r="BA160" s="2221"/>
      <c r="BB160" s="105"/>
      <c r="BC160" s="394"/>
      <c r="BD160" s="394"/>
      <c r="BE160" s="394"/>
      <c r="BF160" s="394"/>
      <c r="BG160" s="394"/>
      <c r="BH160" s="394"/>
      <c r="BI160" s="394"/>
      <c r="BJ160" s="394"/>
      <c r="BK160" s="394"/>
      <c r="BL160" s="394"/>
      <c r="BM160" s="394"/>
      <c r="BN160" s="394"/>
      <c r="BO160" s="394"/>
      <c r="BP160" s="394"/>
      <c r="BQ160" s="394"/>
      <c r="BR160" s="394"/>
      <c r="BS160" s="394"/>
      <c r="BT160" s="394"/>
      <c r="BU160" s="394"/>
      <c r="BV160" s="394"/>
      <c r="BW160" s="394"/>
      <c r="BX160" s="394"/>
      <c r="BY160" s="394"/>
      <c r="DO160" s="3661"/>
      <c r="DP160" s="3661"/>
      <c r="DQ160" s="3661"/>
    </row>
    <row r="161" spans="1:121" x14ac:dyDescent="0.2">
      <c r="A161" s="105"/>
      <c r="B161" s="105"/>
      <c r="C161" s="105"/>
      <c r="D161" s="105"/>
      <c r="E161" s="2222"/>
      <c r="F161" s="105"/>
      <c r="G161" s="105"/>
      <c r="H161" s="5576"/>
      <c r="I161" s="5576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2221"/>
      <c r="AX161" s="105"/>
      <c r="AY161" s="105"/>
      <c r="AZ161" s="105"/>
      <c r="BA161" s="2221"/>
      <c r="BB161" s="105"/>
      <c r="BC161" s="394"/>
      <c r="BD161" s="394"/>
      <c r="BE161" s="394"/>
      <c r="BF161" s="394"/>
      <c r="BG161" s="394"/>
      <c r="BH161" s="394"/>
      <c r="BI161" s="394"/>
      <c r="BJ161" s="394"/>
      <c r="BK161" s="394"/>
      <c r="BL161" s="394"/>
      <c r="BM161" s="394"/>
      <c r="BN161" s="394"/>
      <c r="BO161" s="394"/>
      <c r="BP161" s="394"/>
      <c r="BQ161" s="394"/>
      <c r="BR161" s="394"/>
      <c r="BS161" s="394"/>
      <c r="BT161" s="394"/>
      <c r="BU161" s="394"/>
      <c r="BV161" s="394"/>
      <c r="BW161" s="394"/>
      <c r="BX161" s="394"/>
      <c r="BY161" s="394"/>
      <c r="DO161" s="3661"/>
      <c r="DP161" s="3661"/>
      <c r="DQ161" s="3661"/>
    </row>
    <row r="162" spans="1:121" ht="31.5" customHeight="1" x14ac:dyDescent="0.2">
      <c r="A162" s="105"/>
      <c r="B162" s="105"/>
      <c r="C162" s="105"/>
      <c r="D162" s="105"/>
      <c r="E162" s="2222"/>
      <c r="F162" s="105"/>
      <c r="G162" s="2223"/>
      <c r="H162" s="5578"/>
      <c r="I162" s="5578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2221"/>
      <c r="AX162" s="105"/>
      <c r="AY162" s="105"/>
      <c r="AZ162" s="105"/>
      <c r="BA162" s="2221"/>
      <c r="BB162" s="105"/>
      <c r="BC162" s="394"/>
      <c r="BD162" s="394"/>
      <c r="BE162" s="394"/>
      <c r="BF162" s="394"/>
      <c r="BG162" s="394"/>
      <c r="BH162" s="394"/>
      <c r="BI162" s="394"/>
      <c r="BJ162" s="394"/>
      <c r="BK162" s="394"/>
      <c r="BL162" s="394"/>
      <c r="BM162" s="394"/>
      <c r="BN162" s="394"/>
      <c r="BO162" s="394"/>
      <c r="BP162" s="394"/>
      <c r="BQ162" s="394"/>
      <c r="BR162" s="394"/>
      <c r="BS162" s="394"/>
      <c r="BT162" s="394"/>
      <c r="BU162" s="394"/>
      <c r="BV162" s="394"/>
      <c r="BW162" s="394"/>
      <c r="BX162" s="394"/>
      <c r="BY162" s="394"/>
      <c r="DO162" s="3661"/>
      <c r="DP162" s="3661"/>
      <c r="DQ162" s="3661"/>
    </row>
    <row r="163" spans="1:121" x14ac:dyDescent="0.2">
      <c r="A163" s="105"/>
      <c r="B163" s="105"/>
      <c r="C163" s="105"/>
      <c r="D163" s="105"/>
      <c r="E163" s="2222"/>
      <c r="F163" s="105"/>
      <c r="G163" s="105"/>
      <c r="H163" s="5576"/>
      <c r="I163" s="5576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2221"/>
      <c r="AX163" s="105"/>
      <c r="AY163" s="105"/>
      <c r="AZ163" s="105"/>
      <c r="BA163" s="2221"/>
      <c r="BB163" s="105"/>
      <c r="BC163" s="394"/>
      <c r="BD163" s="394"/>
      <c r="BE163" s="394"/>
      <c r="BF163" s="394"/>
      <c r="BG163" s="394"/>
      <c r="BH163" s="394"/>
      <c r="BI163" s="394"/>
      <c r="BJ163" s="394"/>
      <c r="BK163" s="394"/>
      <c r="BL163" s="394"/>
      <c r="BM163" s="394"/>
      <c r="BN163" s="394"/>
      <c r="BO163" s="394"/>
      <c r="BP163" s="394"/>
      <c r="BQ163" s="394"/>
      <c r="BR163" s="394"/>
      <c r="BS163" s="394"/>
      <c r="BT163" s="394"/>
      <c r="BU163" s="394"/>
      <c r="BV163" s="394"/>
      <c r="BW163" s="394"/>
      <c r="BX163" s="394"/>
      <c r="BY163" s="394"/>
      <c r="DO163" s="3661"/>
      <c r="DP163" s="3661"/>
      <c r="DQ163" s="3661"/>
    </row>
    <row r="164" spans="1:121" x14ac:dyDescent="0.2">
      <c r="A164" s="105"/>
      <c r="B164" s="105"/>
      <c r="C164" s="105"/>
      <c r="D164" s="105"/>
      <c r="E164" s="2222"/>
      <c r="F164" s="105"/>
      <c r="G164" s="105"/>
      <c r="H164" s="5576"/>
      <c r="I164" s="5576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2222"/>
      <c r="U164" s="2222"/>
      <c r="V164" s="2222"/>
      <c r="W164" s="105"/>
      <c r="X164" s="105"/>
      <c r="Y164" s="2222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2221"/>
      <c r="AX164" s="105"/>
      <c r="AY164" s="105"/>
      <c r="AZ164" s="105"/>
      <c r="BA164" s="2221"/>
      <c r="BB164" s="105"/>
      <c r="BC164" s="394"/>
      <c r="BD164" s="394"/>
      <c r="BE164" s="394"/>
      <c r="BF164" s="394"/>
      <c r="BG164" s="394"/>
      <c r="BH164" s="394"/>
      <c r="BI164" s="394"/>
      <c r="BJ164" s="394"/>
      <c r="BK164" s="394"/>
      <c r="BL164" s="394"/>
      <c r="BM164" s="394"/>
      <c r="BN164" s="394"/>
      <c r="BO164" s="394"/>
      <c r="BP164" s="394"/>
      <c r="BQ164" s="394"/>
      <c r="BR164" s="394"/>
      <c r="BS164" s="394"/>
      <c r="BT164" s="394"/>
      <c r="BU164" s="394"/>
      <c r="BV164" s="394"/>
      <c r="BW164" s="394"/>
      <c r="BX164" s="394"/>
      <c r="BY164" s="394"/>
      <c r="DO164" s="3661"/>
      <c r="DP164" s="3661"/>
      <c r="DQ164" s="3661"/>
    </row>
    <row r="165" spans="1:121" x14ac:dyDescent="0.2">
      <c r="A165" s="105"/>
      <c r="B165" s="105"/>
      <c r="C165" s="105"/>
      <c r="D165" s="105"/>
      <c r="E165" s="2222"/>
      <c r="F165" s="105"/>
      <c r="G165" s="105"/>
      <c r="H165" s="5576"/>
      <c r="I165" s="5576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2222"/>
      <c r="U165" s="105"/>
      <c r="V165" s="105"/>
      <c r="W165" s="105"/>
      <c r="X165" s="105"/>
      <c r="Y165" s="2222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2221"/>
      <c r="AX165" s="105"/>
      <c r="AY165" s="105"/>
      <c r="AZ165" s="105"/>
      <c r="BA165" s="2221"/>
      <c r="BB165" s="105"/>
      <c r="BC165" s="394"/>
      <c r="BD165" s="394"/>
      <c r="BE165" s="394"/>
      <c r="BF165" s="394"/>
      <c r="BG165" s="394"/>
      <c r="BH165" s="394"/>
      <c r="BI165" s="394"/>
      <c r="BJ165" s="394"/>
      <c r="BK165" s="394"/>
      <c r="BL165" s="394"/>
      <c r="BM165" s="394"/>
      <c r="BN165" s="394"/>
      <c r="BO165" s="394"/>
      <c r="BP165" s="394"/>
      <c r="BQ165" s="394"/>
      <c r="BR165" s="394"/>
      <c r="BS165" s="394"/>
      <c r="BT165" s="394"/>
      <c r="BU165" s="394"/>
      <c r="BV165" s="394"/>
      <c r="BW165" s="394"/>
      <c r="BX165" s="394"/>
      <c r="BY165" s="394"/>
      <c r="DO165" s="3661"/>
      <c r="DP165" s="3661"/>
      <c r="DQ165" s="3661"/>
    </row>
    <row r="166" spans="1:121" x14ac:dyDescent="0.2">
      <c r="A166" s="105"/>
      <c r="B166" s="105"/>
      <c r="C166" s="105"/>
      <c r="D166" s="105"/>
      <c r="E166" s="2222"/>
      <c r="F166" s="105"/>
      <c r="G166" s="105"/>
      <c r="H166" s="5576"/>
      <c r="I166" s="5576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2222"/>
      <c r="U166" s="2222"/>
      <c r="V166" s="2222"/>
      <c r="W166" s="105"/>
      <c r="X166" s="105"/>
      <c r="Y166" s="2222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2221"/>
      <c r="AX166" s="105"/>
      <c r="AY166" s="105"/>
      <c r="AZ166" s="105"/>
      <c r="BA166" s="2221"/>
      <c r="BB166" s="105"/>
      <c r="BC166" s="394"/>
      <c r="BD166" s="394"/>
      <c r="BE166" s="394"/>
      <c r="BF166" s="394"/>
      <c r="BG166" s="394"/>
      <c r="BH166" s="394"/>
      <c r="BI166" s="394"/>
      <c r="BJ166" s="394"/>
      <c r="BK166" s="394"/>
      <c r="BL166" s="394"/>
      <c r="BM166" s="394"/>
      <c r="BN166" s="394"/>
      <c r="BO166" s="394"/>
      <c r="BP166" s="394"/>
      <c r="BQ166" s="394"/>
      <c r="BR166" s="394"/>
      <c r="BS166" s="394"/>
      <c r="BT166" s="394"/>
      <c r="BU166" s="394"/>
      <c r="BV166" s="394"/>
      <c r="BW166" s="394"/>
      <c r="BX166" s="394"/>
      <c r="BY166" s="394"/>
      <c r="DO166" s="3661"/>
      <c r="DP166" s="3661"/>
      <c r="DQ166" s="3661"/>
    </row>
    <row r="167" spans="1:121" x14ac:dyDescent="0.2">
      <c r="A167" s="105"/>
      <c r="B167" s="105"/>
      <c r="C167" s="105"/>
      <c r="D167" s="105"/>
      <c r="E167" s="2222"/>
      <c r="F167" s="105"/>
      <c r="G167" s="105"/>
      <c r="H167" s="5576"/>
      <c r="I167" s="5576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2221"/>
      <c r="AX167" s="105"/>
      <c r="AY167" s="105"/>
      <c r="AZ167" s="105"/>
      <c r="BA167" s="2221"/>
      <c r="BB167" s="105"/>
      <c r="BC167" s="394"/>
      <c r="BD167" s="394"/>
      <c r="BE167" s="394"/>
      <c r="BF167" s="394"/>
      <c r="BG167" s="394"/>
      <c r="BH167" s="394"/>
      <c r="BI167" s="394"/>
      <c r="BJ167" s="394"/>
      <c r="BK167" s="394"/>
      <c r="BL167" s="394"/>
      <c r="BM167" s="394"/>
      <c r="BN167" s="394"/>
      <c r="BO167" s="394"/>
      <c r="BP167" s="394"/>
      <c r="BQ167" s="394"/>
      <c r="BR167" s="394"/>
      <c r="BS167" s="394"/>
      <c r="BT167" s="394"/>
      <c r="BU167" s="394"/>
      <c r="BV167" s="394"/>
      <c r="BW167" s="394"/>
      <c r="BX167" s="394"/>
      <c r="BY167" s="394"/>
      <c r="DO167" s="3661"/>
      <c r="DP167" s="3661"/>
      <c r="DQ167" s="3661"/>
    </row>
    <row r="168" spans="1:121" x14ac:dyDescent="0.2">
      <c r="A168" s="105"/>
      <c r="B168" s="105"/>
      <c r="C168" s="105"/>
      <c r="D168" s="105"/>
      <c r="E168" s="2222"/>
      <c r="F168" s="105"/>
      <c r="G168" s="105"/>
      <c r="H168" s="5576"/>
      <c r="I168" s="5576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2221"/>
      <c r="AX168" s="105"/>
      <c r="AY168" s="105"/>
      <c r="AZ168" s="105"/>
      <c r="BA168" s="2221"/>
      <c r="BB168" s="105"/>
      <c r="BC168" s="394"/>
      <c r="BD168" s="394"/>
      <c r="BE168" s="394"/>
      <c r="BF168" s="394"/>
      <c r="BG168" s="394"/>
      <c r="BH168" s="394"/>
      <c r="BI168" s="394"/>
      <c r="BJ168" s="394"/>
      <c r="BK168" s="394"/>
      <c r="BL168" s="394"/>
      <c r="BM168" s="394"/>
      <c r="BN168" s="394"/>
      <c r="BO168" s="394"/>
      <c r="BP168" s="394"/>
      <c r="BQ168" s="394"/>
      <c r="BR168" s="394"/>
      <c r="BS168" s="394"/>
      <c r="BT168" s="394"/>
      <c r="BU168" s="394"/>
      <c r="BV168" s="394"/>
      <c r="BW168" s="394"/>
      <c r="BX168" s="394"/>
      <c r="BY168" s="394"/>
      <c r="DO168" s="3661"/>
      <c r="DP168" s="3661"/>
      <c r="DQ168" s="3661"/>
    </row>
    <row r="169" spans="1:121" x14ac:dyDescent="0.2">
      <c r="A169" s="105"/>
      <c r="B169" s="105"/>
      <c r="C169" s="105"/>
      <c r="D169" s="105"/>
      <c r="E169" s="2222"/>
      <c r="F169" s="105"/>
      <c r="G169" s="105"/>
      <c r="H169" s="5576"/>
      <c r="I169" s="5576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2221"/>
      <c r="AX169" s="105"/>
      <c r="AY169" s="105"/>
      <c r="AZ169" s="105"/>
      <c r="BA169" s="2221"/>
      <c r="BB169" s="105"/>
      <c r="BC169" s="394"/>
      <c r="BD169" s="394"/>
      <c r="BE169" s="394"/>
      <c r="BF169" s="394"/>
      <c r="BG169" s="394"/>
      <c r="BH169" s="394"/>
      <c r="BI169" s="394"/>
      <c r="BJ169" s="394"/>
      <c r="BK169" s="394"/>
      <c r="BL169" s="394"/>
      <c r="BM169" s="394"/>
      <c r="BN169" s="394"/>
      <c r="BO169" s="394"/>
      <c r="BP169" s="394"/>
      <c r="BQ169" s="394"/>
      <c r="BR169" s="394"/>
      <c r="BS169" s="394"/>
      <c r="BT169" s="394"/>
      <c r="BU169" s="394"/>
      <c r="BV169" s="394"/>
      <c r="BW169" s="394"/>
      <c r="BX169" s="394"/>
      <c r="BY169" s="394"/>
      <c r="DO169" s="3661"/>
      <c r="DP169" s="3661"/>
      <c r="DQ169" s="3661"/>
    </row>
    <row r="170" spans="1:121" x14ac:dyDescent="0.2">
      <c r="A170" s="105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2221"/>
      <c r="AX170" s="105"/>
      <c r="AY170" s="105"/>
      <c r="AZ170" s="105"/>
      <c r="BA170" s="2221"/>
      <c r="BB170" s="105"/>
      <c r="BC170" s="394"/>
      <c r="BD170" s="394"/>
      <c r="BE170" s="394"/>
      <c r="BF170" s="394"/>
      <c r="BG170" s="394"/>
      <c r="BH170" s="394"/>
      <c r="BI170" s="394"/>
      <c r="BJ170" s="394"/>
      <c r="BK170" s="394"/>
      <c r="BL170" s="394"/>
      <c r="BM170" s="394"/>
      <c r="BN170" s="394"/>
      <c r="BO170" s="394"/>
      <c r="BP170" s="394"/>
      <c r="BQ170" s="394"/>
      <c r="BR170" s="394"/>
      <c r="BS170" s="394"/>
      <c r="BT170" s="394"/>
      <c r="BU170" s="394"/>
      <c r="BV170" s="394"/>
      <c r="BW170" s="394"/>
      <c r="BX170" s="394"/>
      <c r="BY170" s="394"/>
      <c r="DO170" s="3661"/>
      <c r="DP170" s="3661"/>
      <c r="DQ170" s="3661"/>
    </row>
    <row r="171" spans="1:121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228"/>
      <c r="AX171" s="29"/>
      <c r="AY171" s="29"/>
      <c r="AZ171" s="29"/>
      <c r="BA171" s="2228"/>
      <c r="BB171" s="29"/>
      <c r="DO171" s="3661"/>
      <c r="DP171" s="3661"/>
      <c r="DQ171" s="3661"/>
    </row>
    <row r="172" spans="1:121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228"/>
      <c r="AX172" s="29"/>
      <c r="AY172" s="29"/>
      <c r="AZ172" s="29"/>
      <c r="BA172" s="2228"/>
      <c r="BB172" s="29"/>
      <c r="DO172" s="3661"/>
      <c r="DP172" s="3661"/>
      <c r="DQ172" s="3661"/>
    </row>
    <row r="173" spans="1:121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228"/>
      <c r="AX173" s="29"/>
      <c r="AY173" s="29"/>
      <c r="AZ173" s="29"/>
      <c r="BA173" s="2228"/>
      <c r="BB173" s="29"/>
      <c r="DO173" s="3661"/>
      <c r="DP173" s="3661"/>
      <c r="DQ173" s="3661"/>
    </row>
    <row r="174" spans="1:121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228"/>
      <c r="AX174" s="29"/>
      <c r="AY174" s="29"/>
      <c r="AZ174" s="29"/>
      <c r="BA174" s="2228"/>
      <c r="BB174" s="29"/>
      <c r="DO174" s="3661"/>
      <c r="DP174" s="3661"/>
      <c r="DQ174" s="3661"/>
    </row>
    <row r="175" spans="1:121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228"/>
      <c r="AX175" s="29"/>
      <c r="AY175" s="29"/>
      <c r="AZ175" s="29"/>
      <c r="BA175" s="2228"/>
      <c r="BB175" s="29"/>
    </row>
    <row r="176" spans="1:121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228"/>
      <c r="AX176" s="29"/>
      <c r="AY176" s="29"/>
      <c r="AZ176" s="29"/>
      <c r="BA176" s="2228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228"/>
      <c r="AX177" s="29"/>
      <c r="AY177" s="29"/>
      <c r="AZ177" s="29"/>
      <c r="BA177" s="2228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228"/>
      <c r="AX178" s="29"/>
      <c r="AY178" s="29"/>
      <c r="AZ178" s="29"/>
      <c r="BA178" s="2228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228"/>
      <c r="AX179" s="29"/>
      <c r="AY179" s="29"/>
      <c r="AZ179" s="29"/>
      <c r="BA179" s="2228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228"/>
      <c r="AX180" s="29"/>
      <c r="AY180" s="29"/>
      <c r="AZ180" s="29"/>
      <c r="BA180" s="2228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228"/>
      <c r="AX181" s="29"/>
      <c r="AY181" s="29"/>
      <c r="AZ181" s="29"/>
      <c r="BA181" s="2228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228"/>
      <c r="AX182" s="29"/>
      <c r="AY182" s="29"/>
      <c r="AZ182" s="29"/>
      <c r="BA182" s="2228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228"/>
      <c r="AX183" s="29"/>
      <c r="AY183" s="29"/>
      <c r="AZ183" s="29"/>
      <c r="BA183" s="2228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228"/>
      <c r="AX184" s="29"/>
      <c r="AY184" s="29"/>
      <c r="AZ184" s="29"/>
      <c r="BA184" s="2228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228"/>
      <c r="AX185" s="29"/>
      <c r="AY185" s="29"/>
      <c r="AZ185" s="29"/>
      <c r="BA185" s="2228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228"/>
      <c r="AX186" s="29"/>
      <c r="AY186" s="29"/>
      <c r="AZ186" s="29"/>
      <c r="BA186" s="2228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228"/>
      <c r="AX187" s="29"/>
      <c r="AY187" s="29"/>
      <c r="AZ187" s="29"/>
      <c r="BA187" s="2228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228"/>
      <c r="AX188" s="29"/>
      <c r="AY188" s="29"/>
      <c r="AZ188" s="29"/>
      <c r="BA188" s="2228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228"/>
      <c r="AX189" s="29"/>
      <c r="AY189" s="29"/>
      <c r="AZ189" s="29"/>
      <c r="BA189" s="2228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228"/>
      <c r="AX190" s="29"/>
      <c r="AY190" s="29"/>
      <c r="AZ190" s="29"/>
      <c r="BA190" s="2228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228"/>
      <c r="AX191" s="29"/>
      <c r="AY191" s="29"/>
      <c r="AZ191" s="29"/>
      <c r="BA191" s="2228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228"/>
      <c r="AX192" s="29"/>
      <c r="AY192" s="29"/>
      <c r="AZ192" s="29"/>
      <c r="BA192" s="2228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228"/>
      <c r="AX193" s="29"/>
      <c r="AY193" s="29"/>
      <c r="AZ193" s="29"/>
      <c r="BA193" s="2228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228"/>
      <c r="AX194" s="29"/>
      <c r="AY194" s="29"/>
      <c r="AZ194" s="29"/>
      <c r="BA194" s="2228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228"/>
      <c r="AX195" s="29"/>
      <c r="AY195" s="29"/>
      <c r="AZ195" s="29"/>
      <c r="BA195" s="2228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228"/>
      <c r="AX196" s="29"/>
      <c r="AY196" s="29"/>
      <c r="AZ196" s="29"/>
      <c r="BA196" s="2228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228"/>
      <c r="AX197" s="29"/>
      <c r="AY197" s="29"/>
      <c r="AZ197" s="29"/>
      <c r="BA197" s="2228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228"/>
      <c r="AX198" s="29"/>
      <c r="AY198" s="29"/>
      <c r="AZ198" s="29"/>
      <c r="BA198" s="2228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228"/>
      <c r="AX199" s="29"/>
      <c r="AY199" s="29"/>
      <c r="AZ199" s="29"/>
      <c r="BA199" s="2228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228"/>
      <c r="AX200" s="29"/>
      <c r="AY200" s="29"/>
      <c r="AZ200" s="29"/>
      <c r="BA200" s="2228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228"/>
      <c r="AX201" s="29"/>
      <c r="AY201" s="29"/>
      <c r="AZ201" s="29"/>
      <c r="BA201" s="2228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228"/>
      <c r="AX202" s="29"/>
      <c r="AY202" s="29"/>
      <c r="AZ202" s="29"/>
      <c r="BA202" s="2228"/>
      <c r="BB202" s="29"/>
    </row>
    <row r="203" spans="1:54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228"/>
      <c r="AX203" s="29"/>
      <c r="AY203" s="29"/>
      <c r="AZ203" s="29"/>
      <c r="BA203" s="2228"/>
      <c r="BB203" s="29"/>
    </row>
    <row r="204" spans="1:54" x14ac:dyDescent="0.2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228"/>
      <c r="AX204" s="29"/>
      <c r="AY204" s="29"/>
      <c r="AZ204" s="29"/>
      <c r="BA204" s="2228"/>
      <c r="BB204" s="29"/>
    </row>
    <row r="205" spans="1:54" x14ac:dyDescent="0.2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228"/>
      <c r="AX205" s="29"/>
      <c r="AY205" s="29"/>
      <c r="AZ205" s="29"/>
      <c r="BA205" s="2228"/>
      <c r="BB205" s="29"/>
    </row>
    <row r="206" spans="1:54" x14ac:dyDescent="0.2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228"/>
      <c r="AX206" s="29"/>
      <c r="AY206" s="29"/>
      <c r="AZ206" s="29"/>
      <c r="BA206" s="2228"/>
      <c r="BB206" s="29"/>
    </row>
    <row r="207" spans="1:54" x14ac:dyDescent="0.2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228"/>
      <c r="AX207" s="29"/>
      <c r="AY207" s="29"/>
      <c r="AZ207" s="29"/>
      <c r="BA207" s="2228"/>
      <c r="BB207" s="29"/>
    </row>
    <row r="208" spans="1:54" x14ac:dyDescent="0.2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228"/>
      <c r="AX208" s="29"/>
      <c r="AY208" s="29"/>
      <c r="AZ208" s="29"/>
      <c r="BA208" s="2228"/>
      <c r="BB208" s="29"/>
    </row>
    <row r="209" spans="1:54" x14ac:dyDescent="0.2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228"/>
      <c r="AX209" s="29"/>
      <c r="AY209" s="29"/>
      <c r="AZ209" s="29"/>
      <c r="BA209" s="2228"/>
      <c r="BB209" s="29"/>
    </row>
    <row r="210" spans="1:54" x14ac:dyDescent="0.2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228"/>
      <c r="AX210" s="29"/>
      <c r="AY210" s="29"/>
      <c r="AZ210" s="29"/>
      <c r="BA210" s="2228"/>
      <c r="BB210" s="29"/>
    </row>
    <row r="211" spans="1:54" x14ac:dyDescent="0.2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228"/>
      <c r="AX211" s="29"/>
      <c r="AY211" s="29"/>
      <c r="AZ211" s="29"/>
      <c r="BA211" s="2228"/>
      <c r="BB211" s="29"/>
    </row>
    <row r="212" spans="1:54" x14ac:dyDescent="0.2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228"/>
      <c r="AX212" s="29"/>
      <c r="AY212" s="29"/>
      <c r="AZ212" s="29"/>
      <c r="BA212" s="2228"/>
      <c r="BB212" s="29"/>
    </row>
    <row r="213" spans="1:54" x14ac:dyDescent="0.2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228"/>
      <c r="AX213" s="29"/>
      <c r="AY213" s="29"/>
      <c r="AZ213" s="29"/>
      <c r="BA213" s="2228"/>
      <c r="BB213" s="29"/>
    </row>
    <row r="214" spans="1:54" x14ac:dyDescent="0.2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228"/>
      <c r="AX214" s="29"/>
      <c r="AY214" s="29"/>
      <c r="AZ214" s="29"/>
      <c r="BA214" s="2228"/>
      <c r="BB214" s="29"/>
    </row>
    <row r="215" spans="1:54" x14ac:dyDescent="0.2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228"/>
      <c r="AX215" s="29"/>
      <c r="AY215" s="29"/>
      <c r="AZ215" s="29"/>
      <c r="BA215" s="2228"/>
      <c r="BB215" s="29"/>
    </row>
    <row r="216" spans="1:54" x14ac:dyDescent="0.2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228"/>
      <c r="AX216" s="29"/>
      <c r="AY216" s="29"/>
      <c r="AZ216" s="29"/>
      <c r="BA216" s="2228"/>
      <c r="BB216" s="29"/>
    </row>
    <row r="217" spans="1:54" x14ac:dyDescent="0.2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228"/>
      <c r="AX217" s="29"/>
      <c r="AY217" s="29"/>
      <c r="AZ217" s="29"/>
      <c r="BA217" s="2228"/>
      <c r="BB217" s="29"/>
    </row>
    <row r="218" spans="1:54" x14ac:dyDescent="0.2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228"/>
      <c r="AX218" s="29"/>
      <c r="AY218" s="29"/>
      <c r="AZ218" s="29"/>
      <c r="BA218" s="2228"/>
      <c r="BB218" s="29"/>
    </row>
    <row r="219" spans="1:54" x14ac:dyDescent="0.2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228"/>
      <c r="AX219" s="29"/>
      <c r="AY219" s="29"/>
      <c r="AZ219" s="29"/>
      <c r="BA219" s="2228"/>
      <c r="BB219" s="29"/>
    </row>
    <row r="220" spans="1:54" x14ac:dyDescent="0.2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228"/>
      <c r="AX220" s="29"/>
      <c r="AY220" s="29"/>
      <c r="AZ220" s="29"/>
      <c r="BA220" s="2228"/>
      <c r="BB220" s="29"/>
    </row>
    <row r="221" spans="1:54" x14ac:dyDescent="0.2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228"/>
      <c r="AX221" s="29"/>
      <c r="AY221" s="29"/>
      <c r="AZ221" s="29"/>
      <c r="BA221" s="2228"/>
      <c r="BB221" s="29"/>
    </row>
    <row r="222" spans="1:54" x14ac:dyDescent="0.2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228"/>
      <c r="AX222" s="29"/>
      <c r="AY222" s="29"/>
      <c r="AZ222" s="29"/>
      <c r="BA222" s="2228"/>
      <c r="BB222" s="29"/>
    </row>
    <row r="223" spans="1:54" x14ac:dyDescent="0.2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228"/>
      <c r="AX223" s="29"/>
      <c r="AY223" s="29"/>
      <c r="AZ223" s="29"/>
      <c r="BA223" s="2228"/>
      <c r="BB223" s="29"/>
    </row>
    <row r="224" spans="1:54" x14ac:dyDescent="0.2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228"/>
      <c r="AX224" s="29"/>
      <c r="AY224" s="29"/>
      <c r="AZ224" s="29"/>
      <c r="BA224" s="2228"/>
      <c r="BB224" s="29"/>
    </row>
    <row r="225" spans="1:54" x14ac:dyDescent="0.2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228"/>
      <c r="AX225" s="29"/>
      <c r="AY225" s="29"/>
      <c r="AZ225" s="29"/>
      <c r="BA225" s="2228"/>
      <c r="BB225" s="29"/>
    </row>
    <row r="226" spans="1:54" x14ac:dyDescent="0.2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228"/>
      <c r="AX226" s="29"/>
      <c r="AY226" s="29"/>
      <c r="AZ226" s="29"/>
      <c r="BA226" s="2228"/>
      <c r="BB226" s="29"/>
    </row>
    <row r="227" spans="1:54" x14ac:dyDescent="0.2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228"/>
      <c r="AX227" s="29"/>
      <c r="AY227" s="29"/>
      <c r="AZ227" s="29"/>
      <c r="BA227" s="2228"/>
      <c r="BB227" s="29"/>
    </row>
    <row r="228" spans="1:54" x14ac:dyDescent="0.2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228"/>
      <c r="AX228" s="29"/>
      <c r="AY228" s="29"/>
      <c r="AZ228" s="29"/>
      <c r="BA228" s="2228"/>
      <c r="BB228" s="29"/>
    </row>
    <row r="229" spans="1:54" x14ac:dyDescent="0.2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228"/>
      <c r="AX229" s="29"/>
      <c r="AY229" s="29"/>
      <c r="AZ229" s="29"/>
      <c r="BA229" s="2228"/>
      <c r="BB229" s="29"/>
    </row>
  </sheetData>
  <mergeCells count="320">
    <mergeCell ref="EB6:EC6"/>
    <mergeCell ref="ED6:ED7"/>
    <mergeCell ref="EE6:EF6"/>
    <mergeCell ref="EA92:EF92"/>
    <mergeCell ref="EA93:EC93"/>
    <mergeCell ref="ED93:EF93"/>
    <mergeCell ref="EA94:EA95"/>
    <mergeCell ref="EB94:EC94"/>
    <mergeCell ref="EG94:EG95"/>
    <mergeCell ref="ED94:ED95"/>
    <mergeCell ref="EE94:EF94"/>
    <mergeCell ref="EH94:EI94"/>
    <mergeCell ref="EJ94:EJ95"/>
    <mergeCell ref="EK94:EL94"/>
    <mergeCell ref="EG4:EL4"/>
    <mergeCell ref="EG5:EI5"/>
    <mergeCell ref="EJ5:EL5"/>
    <mergeCell ref="EG6:EG7"/>
    <mergeCell ref="EH6:EI6"/>
    <mergeCell ref="EJ6:EJ7"/>
    <mergeCell ref="EK6:EL6"/>
    <mergeCell ref="EG92:EL92"/>
    <mergeCell ref="EG93:EI93"/>
    <mergeCell ref="EJ93:EL93"/>
    <mergeCell ref="DX92:DZ93"/>
    <mergeCell ref="DX94:DX95"/>
    <mergeCell ref="DY94:DZ94"/>
    <mergeCell ref="DR4:DT5"/>
    <mergeCell ref="DR6:DR7"/>
    <mergeCell ref="DS6:DT6"/>
    <mergeCell ref="DU4:DW5"/>
    <mergeCell ref="DU6:DU7"/>
    <mergeCell ref="DV6:DW6"/>
    <mergeCell ref="DX4:DZ5"/>
    <mergeCell ref="DX6:DX7"/>
    <mergeCell ref="DY6:DZ6"/>
    <mergeCell ref="EA4:EF4"/>
    <mergeCell ref="EA5:EC5"/>
    <mergeCell ref="ED5:EF5"/>
    <mergeCell ref="EA6:EA7"/>
    <mergeCell ref="DL93:DN93"/>
    <mergeCell ref="DO93:DQ93"/>
    <mergeCell ref="DL94:DL95"/>
    <mergeCell ref="DM94:DN94"/>
    <mergeCell ref="DO94:DO95"/>
    <mergeCell ref="DP94:DQ94"/>
    <mergeCell ref="DL4:DQ4"/>
    <mergeCell ref="DL5:DN5"/>
    <mergeCell ref="DO5:DQ5"/>
    <mergeCell ref="DL6:DL7"/>
    <mergeCell ref="DM6:DN6"/>
    <mergeCell ref="DO6:DO7"/>
    <mergeCell ref="DP6:DQ6"/>
    <mergeCell ref="DL92:DQ92"/>
    <mergeCell ref="DR92:DT93"/>
    <mergeCell ref="DR94:DR95"/>
    <mergeCell ref="DS94:DT94"/>
    <mergeCell ref="DU92:DW93"/>
    <mergeCell ref="DU94:DU95"/>
    <mergeCell ref="DV94:DW94"/>
    <mergeCell ref="W5:W7"/>
    <mergeCell ref="X5:X7"/>
    <mergeCell ref="N5:N7"/>
    <mergeCell ref="O5:O7"/>
    <mergeCell ref="R5:R7"/>
    <mergeCell ref="AI5:AL5"/>
    <mergeCell ref="AI6:AI7"/>
    <mergeCell ref="AJ6:AJ7"/>
    <mergeCell ref="AT6:AU6"/>
    <mergeCell ref="AS6:AS7"/>
    <mergeCell ref="P5:P7"/>
    <mergeCell ref="AC6:AD6"/>
    <mergeCell ref="Z6:AA6"/>
    <mergeCell ref="Y5:AA5"/>
    <mergeCell ref="AB5:AD5"/>
    <mergeCell ref="AB6:AB7"/>
    <mergeCell ref="AK6:AL6"/>
    <mergeCell ref="AP5:AR5"/>
    <mergeCell ref="Y6:Y7"/>
    <mergeCell ref="AP6:AP7"/>
    <mergeCell ref="AQ6:AR6"/>
    <mergeCell ref="H160:I160"/>
    <mergeCell ref="H161:I161"/>
    <mergeCell ref="H168:I168"/>
    <mergeCell ref="J5:J7"/>
    <mergeCell ref="L5:L7"/>
    <mergeCell ref="G4:H4"/>
    <mergeCell ref="H162:I162"/>
    <mergeCell ref="H163:I163"/>
    <mergeCell ref="H164:I164"/>
    <mergeCell ref="H165:I165"/>
    <mergeCell ref="K140:S140"/>
    <mergeCell ref="N4:V4"/>
    <mergeCell ref="V5:V7"/>
    <mergeCell ref="U5:U7"/>
    <mergeCell ref="S5:T5"/>
    <mergeCell ref="S6:S7"/>
    <mergeCell ref="T6:T7"/>
    <mergeCell ref="Q5:Q7"/>
    <mergeCell ref="M93:M95"/>
    <mergeCell ref="N93:N95"/>
    <mergeCell ref="O93:O95"/>
    <mergeCell ref="P93:P95"/>
    <mergeCell ref="Q93:Q95"/>
    <mergeCell ref="R93:R95"/>
    <mergeCell ref="H169:I169"/>
    <mergeCell ref="A140:H140"/>
    <mergeCell ref="BG4:BI4"/>
    <mergeCell ref="BG5:BI5"/>
    <mergeCell ref="BP6:BP7"/>
    <mergeCell ref="BD93:BF93"/>
    <mergeCell ref="BD94:BD95"/>
    <mergeCell ref="BE94:BF94"/>
    <mergeCell ref="AV92:BF92"/>
    <mergeCell ref="BG92:BI92"/>
    <mergeCell ref="BG93:BI93"/>
    <mergeCell ref="BG94:BG95"/>
    <mergeCell ref="BH94:BI94"/>
    <mergeCell ref="BP92:BU92"/>
    <mergeCell ref="BP93:BR93"/>
    <mergeCell ref="BS93:BU93"/>
    <mergeCell ref="BP94:BP95"/>
    <mergeCell ref="BT94:BU94"/>
    <mergeCell ref="H166:I166"/>
    <mergeCell ref="H167:I167"/>
    <mergeCell ref="A92:A95"/>
    <mergeCell ref="I4:M4"/>
    <mergeCell ref="H5:H7"/>
    <mergeCell ref="M5:M7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B92:B95"/>
    <mergeCell ref="C92:D92"/>
    <mergeCell ref="E92:F92"/>
    <mergeCell ref="G92:H92"/>
    <mergeCell ref="I92:M92"/>
    <mergeCell ref="N92:V92"/>
    <mergeCell ref="W92:AD92"/>
    <mergeCell ref="AE92:AU92"/>
    <mergeCell ref="AE93:AH93"/>
    <mergeCell ref="AI93:AL93"/>
    <mergeCell ref="AP93:AR93"/>
    <mergeCell ref="AS93:AU93"/>
    <mergeCell ref="S94:S95"/>
    <mergeCell ref="T94:T95"/>
    <mergeCell ref="Y94:Y95"/>
    <mergeCell ref="AI94:AI95"/>
    <mergeCell ref="AJ94:AJ95"/>
    <mergeCell ref="AG94:AH94"/>
    <mergeCell ref="S93:T93"/>
    <mergeCell ref="U93:U95"/>
    <mergeCell ref="V93:V95"/>
    <mergeCell ref="AK94:AL94"/>
    <mergeCell ref="AP94:AP95"/>
    <mergeCell ref="C93:C95"/>
    <mergeCell ref="AB93:AD93"/>
    <mergeCell ref="AC94:AD94"/>
    <mergeCell ref="AE94:AE95"/>
    <mergeCell ref="AF94:AF95"/>
    <mergeCell ref="D93:D95"/>
    <mergeCell ref="E93:E95"/>
    <mergeCell ref="F93:F95"/>
    <mergeCell ref="G93:G95"/>
    <mergeCell ref="H93:H95"/>
    <mergeCell ref="I93:I95"/>
    <mergeCell ref="J93:J95"/>
    <mergeCell ref="K93:K95"/>
    <mergeCell ref="L93:L95"/>
    <mergeCell ref="BQ94:BR94"/>
    <mergeCell ref="BS94:BS95"/>
    <mergeCell ref="BY5:CA5"/>
    <mergeCell ref="BY6:BY7"/>
    <mergeCell ref="BZ6:CA6"/>
    <mergeCell ref="W93:W95"/>
    <mergeCell ref="BJ93:BL93"/>
    <mergeCell ref="AS94:AS95"/>
    <mergeCell ref="AT94:AU94"/>
    <mergeCell ref="AV94:AV95"/>
    <mergeCell ref="AW94:AW95"/>
    <mergeCell ref="AV93:AY93"/>
    <mergeCell ref="AZ93:BC93"/>
    <mergeCell ref="AX94:AY94"/>
    <mergeCell ref="BJ94:BJ95"/>
    <mergeCell ref="BK94:BL94"/>
    <mergeCell ref="Z94:AA94"/>
    <mergeCell ref="AB94:AB95"/>
    <mergeCell ref="AQ94:AR94"/>
    <mergeCell ref="AZ94:AZ95"/>
    <mergeCell ref="BA94:BA95"/>
    <mergeCell ref="BB94:BC94"/>
    <mergeCell ref="X93:X95"/>
    <mergeCell ref="Y93:AA93"/>
    <mergeCell ref="BK6:BL6"/>
    <mergeCell ref="BM6:BM7"/>
    <mergeCell ref="BN6:BO6"/>
    <mergeCell ref="AE5:AH5"/>
    <mergeCell ref="AE6:AE7"/>
    <mergeCell ref="AF6:AF7"/>
    <mergeCell ref="AS5:AU5"/>
    <mergeCell ref="BV93:BX93"/>
    <mergeCell ref="BV94:BV95"/>
    <mergeCell ref="BW94:BX94"/>
    <mergeCell ref="BQ6:BR6"/>
    <mergeCell ref="BS5:BU5"/>
    <mergeCell ref="BS6:BS7"/>
    <mergeCell ref="BT6:BU6"/>
    <mergeCell ref="BV92:CM92"/>
    <mergeCell ref="BY93:CA93"/>
    <mergeCell ref="CK93:CM93"/>
    <mergeCell ref="BY94:BY95"/>
    <mergeCell ref="BZ94:CA94"/>
    <mergeCell ref="CK94:CK95"/>
    <mergeCell ref="CL94:CM94"/>
    <mergeCell ref="CK5:CM5"/>
    <mergeCell ref="CK6:CK7"/>
    <mergeCell ref="CL6:CM6"/>
    <mergeCell ref="BM93:BO93"/>
    <mergeCell ref="BM94:BM95"/>
    <mergeCell ref="BN94:BO94"/>
    <mergeCell ref="W4:AD4"/>
    <mergeCell ref="BG6:BG7"/>
    <mergeCell ref="AG6:AH6"/>
    <mergeCell ref="CQ6:CQ7"/>
    <mergeCell ref="CR6:CS6"/>
    <mergeCell ref="CT6:CT7"/>
    <mergeCell ref="CN92:CP93"/>
    <mergeCell ref="CQ92:CS93"/>
    <mergeCell ref="CT92:CV93"/>
    <mergeCell ref="CN94:CN95"/>
    <mergeCell ref="CO94:CP94"/>
    <mergeCell ref="CQ94:CQ95"/>
    <mergeCell ref="CR94:CS94"/>
    <mergeCell ref="CT94:CT95"/>
    <mergeCell ref="CU94:CV94"/>
    <mergeCell ref="CN6:CN7"/>
    <mergeCell ref="CO6:CP6"/>
    <mergeCell ref="BJ4:BO4"/>
    <mergeCell ref="BJ5:BL5"/>
    <mergeCell ref="BM5:BO5"/>
    <mergeCell ref="BJ6:BJ7"/>
    <mergeCell ref="CU6:CV6"/>
    <mergeCell ref="BP4:BU4"/>
    <mergeCell ref="BP5:BR5"/>
    <mergeCell ref="AV4:BF4"/>
    <mergeCell ref="BJ92:BO92"/>
    <mergeCell ref="BV5:BX5"/>
    <mergeCell ref="BV6:BV7"/>
    <mergeCell ref="BW6:BX6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BV4:CM4"/>
    <mergeCell ref="CN4:CP5"/>
    <mergeCell ref="CQ4:CS5"/>
    <mergeCell ref="CT4:CV5"/>
    <mergeCell ref="DC94:DC95"/>
    <mergeCell ref="DD94:DE94"/>
    <mergeCell ref="DF94:DF95"/>
    <mergeCell ref="DG94:DH94"/>
    <mergeCell ref="DI94:DI95"/>
    <mergeCell ref="DJ94:DK94"/>
    <mergeCell ref="CW94:CW95"/>
    <mergeCell ref="CX94:CY94"/>
    <mergeCell ref="CZ94:CZ95"/>
    <mergeCell ref="DA94:DB94"/>
    <mergeCell ref="DG6:DH6"/>
    <mergeCell ref="DI6:DI7"/>
    <mergeCell ref="DJ6:DK6"/>
    <mergeCell ref="DC92:DE93"/>
    <mergeCell ref="DF92:DH93"/>
    <mergeCell ref="DI92:DK93"/>
    <mergeCell ref="CW4:DB4"/>
    <mergeCell ref="CW5:CY5"/>
    <mergeCell ref="CZ5:DB5"/>
    <mergeCell ref="CW6:CW7"/>
    <mergeCell ref="CX6:CY6"/>
    <mergeCell ref="CZ6:CZ7"/>
    <mergeCell ref="DA6:DB6"/>
    <mergeCell ref="EP4:ER5"/>
    <mergeCell ref="EP6:EP7"/>
    <mergeCell ref="EQ6:ER6"/>
    <mergeCell ref="EP92:ER93"/>
    <mergeCell ref="EP94:EP95"/>
    <mergeCell ref="EQ94:ER94"/>
    <mergeCell ref="A2:ER2"/>
    <mergeCell ref="A90:ER90"/>
    <mergeCell ref="EM4:EO5"/>
    <mergeCell ref="EM6:EM7"/>
    <mergeCell ref="EN6:EO6"/>
    <mergeCell ref="EM92:EO93"/>
    <mergeCell ref="EM94:EM95"/>
    <mergeCell ref="EN94:EO94"/>
    <mergeCell ref="AE4:AU4"/>
    <mergeCell ref="CW92:DB92"/>
    <mergeCell ref="CW93:CY93"/>
    <mergeCell ref="CZ93:DB93"/>
    <mergeCell ref="DC4:DE5"/>
    <mergeCell ref="DF4:DH5"/>
    <mergeCell ref="DI4:DK5"/>
    <mergeCell ref="DC6:DC7"/>
    <mergeCell ref="DD6:DE6"/>
    <mergeCell ref="DF6:DF7"/>
  </mergeCells>
  <phoneticPr fontId="10" type="noConversion"/>
  <printOptions horizontalCentered="1"/>
  <pageMargins left="0.19685039370078741" right="0.19685039370078741" top="0.19685039370078741" bottom="0.19685039370078741" header="0" footer="0"/>
  <pageSetup paperSize="9" scale="40" orientation="landscape" r:id="rId1"/>
  <headerFooter alignWithMargins="0"/>
  <rowBreaks count="1" manualBreakCount="1">
    <brk id="41" max="14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247" customWidth="1"/>
    <col min="2" max="2" width="39.42578125" style="2247" customWidth="1"/>
    <col min="3" max="3" width="39" style="1815" customWidth="1"/>
    <col min="4" max="4" width="11.7109375" style="1815" customWidth="1"/>
    <col min="5" max="5" width="9.140625" style="1815"/>
    <col min="6" max="6" width="10" style="1815" bestFit="1" customWidth="1"/>
    <col min="7" max="7" width="11.5703125" style="1815" customWidth="1"/>
    <col min="8" max="8" width="16.5703125" style="2094" customWidth="1"/>
    <col min="9" max="9" width="26.42578125" style="2247" customWidth="1"/>
    <col min="10" max="256" width="9.140625" style="2247"/>
    <col min="257" max="257" width="9.42578125" style="2247" customWidth="1"/>
    <col min="258" max="258" width="39.42578125" style="2247" customWidth="1"/>
    <col min="259" max="259" width="60.5703125" style="2247" customWidth="1"/>
    <col min="260" max="260" width="11.7109375" style="2247" customWidth="1"/>
    <col min="261" max="261" width="9.140625" style="2247"/>
    <col min="262" max="262" width="9.5703125" style="2247" bestFit="1" customWidth="1"/>
    <col min="263" max="263" width="11.5703125" style="2247" customWidth="1"/>
    <col min="264" max="264" width="16.5703125" style="2247" customWidth="1"/>
    <col min="265" max="265" width="26.42578125" style="2247" customWidth="1"/>
    <col min="266" max="512" width="9.140625" style="2247"/>
    <col min="513" max="513" width="9.42578125" style="2247" customWidth="1"/>
    <col min="514" max="514" width="39.42578125" style="2247" customWidth="1"/>
    <col min="515" max="515" width="60.5703125" style="2247" customWidth="1"/>
    <col min="516" max="516" width="11.7109375" style="2247" customWidth="1"/>
    <col min="517" max="517" width="9.140625" style="2247"/>
    <col min="518" max="518" width="9.5703125" style="2247" bestFit="1" customWidth="1"/>
    <col min="519" max="519" width="11.5703125" style="2247" customWidth="1"/>
    <col min="520" max="520" width="16.5703125" style="2247" customWidth="1"/>
    <col min="521" max="521" width="26.42578125" style="2247" customWidth="1"/>
    <col min="522" max="768" width="9.140625" style="2247"/>
    <col min="769" max="769" width="9.42578125" style="2247" customWidth="1"/>
    <col min="770" max="770" width="39.42578125" style="2247" customWidth="1"/>
    <col min="771" max="771" width="60.5703125" style="2247" customWidth="1"/>
    <col min="772" max="772" width="11.7109375" style="2247" customWidth="1"/>
    <col min="773" max="773" width="9.140625" style="2247"/>
    <col min="774" max="774" width="9.5703125" style="2247" bestFit="1" customWidth="1"/>
    <col min="775" max="775" width="11.5703125" style="2247" customWidth="1"/>
    <col min="776" max="776" width="16.5703125" style="2247" customWidth="1"/>
    <col min="777" max="777" width="26.42578125" style="2247" customWidth="1"/>
    <col min="778" max="1024" width="9.140625" style="2247"/>
    <col min="1025" max="1025" width="9.42578125" style="2247" customWidth="1"/>
    <col min="1026" max="1026" width="39.42578125" style="2247" customWidth="1"/>
    <col min="1027" max="1027" width="60.5703125" style="2247" customWidth="1"/>
    <col min="1028" max="1028" width="11.7109375" style="2247" customWidth="1"/>
    <col min="1029" max="1029" width="9.140625" style="2247"/>
    <col min="1030" max="1030" width="9.5703125" style="2247" bestFit="1" customWidth="1"/>
    <col min="1031" max="1031" width="11.5703125" style="2247" customWidth="1"/>
    <col min="1032" max="1032" width="16.5703125" style="2247" customWidth="1"/>
    <col min="1033" max="1033" width="26.42578125" style="2247" customWidth="1"/>
    <col min="1034" max="1280" width="9.140625" style="2247"/>
    <col min="1281" max="1281" width="9.42578125" style="2247" customWidth="1"/>
    <col min="1282" max="1282" width="39.42578125" style="2247" customWidth="1"/>
    <col min="1283" max="1283" width="60.5703125" style="2247" customWidth="1"/>
    <col min="1284" max="1284" width="11.7109375" style="2247" customWidth="1"/>
    <col min="1285" max="1285" width="9.140625" style="2247"/>
    <col min="1286" max="1286" width="9.5703125" style="2247" bestFit="1" customWidth="1"/>
    <col min="1287" max="1287" width="11.5703125" style="2247" customWidth="1"/>
    <col min="1288" max="1288" width="16.5703125" style="2247" customWidth="1"/>
    <col min="1289" max="1289" width="26.42578125" style="2247" customWidth="1"/>
    <col min="1290" max="1536" width="9.140625" style="2247"/>
    <col min="1537" max="1537" width="9.42578125" style="2247" customWidth="1"/>
    <col min="1538" max="1538" width="39.42578125" style="2247" customWidth="1"/>
    <col min="1539" max="1539" width="60.5703125" style="2247" customWidth="1"/>
    <col min="1540" max="1540" width="11.7109375" style="2247" customWidth="1"/>
    <col min="1541" max="1541" width="9.140625" style="2247"/>
    <col min="1542" max="1542" width="9.5703125" style="2247" bestFit="1" customWidth="1"/>
    <col min="1543" max="1543" width="11.5703125" style="2247" customWidth="1"/>
    <col min="1544" max="1544" width="16.5703125" style="2247" customWidth="1"/>
    <col min="1545" max="1545" width="26.42578125" style="2247" customWidth="1"/>
    <col min="1546" max="1792" width="9.140625" style="2247"/>
    <col min="1793" max="1793" width="9.42578125" style="2247" customWidth="1"/>
    <col min="1794" max="1794" width="39.42578125" style="2247" customWidth="1"/>
    <col min="1795" max="1795" width="60.5703125" style="2247" customWidth="1"/>
    <col min="1796" max="1796" width="11.7109375" style="2247" customWidth="1"/>
    <col min="1797" max="1797" width="9.140625" style="2247"/>
    <col min="1798" max="1798" width="9.5703125" style="2247" bestFit="1" customWidth="1"/>
    <col min="1799" max="1799" width="11.5703125" style="2247" customWidth="1"/>
    <col min="1800" max="1800" width="16.5703125" style="2247" customWidth="1"/>
    <col min="1801" max="1801" width="26.42578125" style="2247" customWidth="1"/>
    <col min="1802" max="2048" width="9.140625" style="2247"/>
    <col min="2049" max="2049" width="9.42578125" style="2247" customWidth="1"/>
    <col min="2050" max="2050" width="39.42578125" style="2247" customWidth="1"/>
    <col min="2051" max="2051" width="60.5703125" style="2247" customWidth="1"/>
    <col min="2052" max="2052" width="11.7109375" style="2247" customWidth="1"/>
    <col min="2053" max="2053" width="9.140625" style="2247"/>
    <col min="2054" max="2054" width="9.5703125" style="2247" bestFit="1" customWidth="1"/>
    <col min="2055" max="2055" width="11.5703125" style="2247" customWidth="1"/>
    <col min="2056" max="2056" width="16.5703125" style="2247" customWidth="1"/>
    <col min="2057" max="2057" width="26.42578125" style="2247" customWidth="1"/>
    <col min="2058" max="2304" width="9.140625" style="2247"/>
    <col min="2305" max="2305" width="9.42578125" style="2247" customWidth="1"/>
    <col min="2306" max="2306" width="39.42578125" style="2247" customWidth="1"/>
    <col min="2307" max="2307" width="60.5703125" style="2247" customWidth="1"/>
    <col min="2308" max="2308" width="11.7109375" style="2247" customWidth="1"/>
    <col min="2309" max="2309" width="9.140625" style="2247"/>
    <col min="2310" max="2310" width="9.5703125" style="2247" bestFit="1" customWidth="1"/>
    <col min="2311" max="2311" width="11.5703125" style="2247" customWidth="1"/>
    <col min="2312" max="2312" width="16.5703125" style="2247" customWidth="1"/>
    <col min="2313" max="2313" width="26.42578125" style="2247" customWidth="1"/>
    <col min="2314" max="2560" width="9.140625" style="2247"/>
    <col min="2561" max="2561" width="9.42578125" style="2247" customWidth="1"/>
    <col min="2562" max="2562" width="39.42578125" style="2247" customWidth="1"/>
    <col min="2563" max="2563" width="60.5703125" style="2247" customWidth="1"/>
    <col min="2564" max="2564" width="11.7109375" style="2247" customWidth="1"/>
    <col min="2565" max="2565" width="9.140625" style="2247"/>
    <col min="2566" max="2566" width="9.5703125" style="2247" bestFit="1" customWidth="1"/>
    <col min="2567" max="2567" width="11.5703125" style="2247" customWidth="1"/>
    <col min="2568" max="2568" width="16.5703125" style="2247" customWidth="1"/>
    <col min="2569" max="2569" width="26.42578125" style="2247" customWidth="1"/>
    <col min="2570" max="2816" width="9.140625" style="2247"/>
    <col min="2817" max="2817" width="9.42578125" style="2247" customWidth="1"/>
    <col min="2818" max="2818" width="39.42578125" style="2247" customWidth="1"/>
    <col min="2819" max="2819" width="60.5703125" style="2247" customWidth="1"/>
    <col min="2820" max="2820" width="11.7109375" style="2247" customWidth="1"/>
    <col min="2821" max="2821" width="9.140625" style="2247"/>
    <col min="2822" max="2822" width="9.5703125" style="2247" bestFit="1" customWidth="1"/>
    <col min="2823" max="2823" width="11.5703125" style="2247" customWidth="1"/>
    <col min="2824" max="2824" width="16.5703125" style="2247" customWidth="1"/>
    <col min="2825" max="2825" width="26.42578125" style="2247" customWidth="1"/>
    <col min="2826" max="3072" width="9.140625" style="2247"/>
    <col min="3073" max="3073" width="9.42578125" style="2247" customWidth="1"/>
    <col min="3074" max="3074" width="39.42578125" style="2247" customWidth="1"/>
    <col min="3075" max="3075" width="60.5703125" style="2247" customWidth="1"/>
    <col min="3076" max="3076" width="11.7109375" style="2247" customWidth="1"/>
    <col min="3077" max="3077" width="9.140625" style="2247"/>
    <col min="3078" max="3078" width="9.5703125" style="2247" bestFit="1" customWidth="1"/>
    <col min="3079" max="3079" width="11.5703125" style="2247" customWidth="1"/>
    <col min="3080" max="3080" width="16.5703125" style="2247" customWidth="1"/>
    <col min="3081" max="3081" width="26.42578125" style="2247" customWidth="1"/>
    <col min="3082" max="3328" width="9.140625" style="2247"/>
    <col min="3329" max="3329" width="9.42578125" style="2247" customWidth="1"/>
    <col min="3330" max="3330" width="39.42578125" style="2247" customWidth="1"/>
    <col min="3331" max="3331" width="60.5703125" style="2247" customWidth="1"/>
    <col min="3332" max="3332" width="11.7109375" style="2247" customWidth="1"/>
    <col min="3333" max="3333" width="9.140625" style="2247"/>
    <col min="3334" max="3334" width="9.5703125" style="2247" bestFit="1" customWidth="1"/>
    <col min="3335" max="3335" width="11.5703125" style="2247" customWidth="1"/>
    <col min="3336" max="3336" width="16.5703125" style="2247" customWidth="1"/>
    <col min="3337" max="3337" width="26.42578125" style="2247" customWidth="1"/>
    <col min="3338" max="3584" width="9.140625" style="2247"/>
    <col min="3585" max="3585" width="9.42578125" style="2247" customWidth="1"/>
    <col min="3586" max="3586" width="39.42578125" style="2247" customWidth="1"/>
    <col min="3587" max="3587" width="60.5703125" style="2247" customWidth="1"/>
    <col min="3588" max="3588" width="11.7109375" style="2247" customWidth="1"/>
    <col min="3589" max="3589" width="9.140625" style="2247"/>
    <col min="3590" max="3590" width="9.5703125" style="2247" bestFit="1" customWidth="1"/>
    <col min="3591" max="3591" width="11.5703125" style="2247" customWidth="1"/>
    <col min="3592" max="3592" width="16.5703125" style="2247" customWidth="1"/>
    <col min="3593" max="3593" width="26.42578125" style="2247" customWidth="1"/>
    <col min="3594" max="3840" width="9.140625" style="2247"/>
    <col min="3841" max="3841" width="9.42578125" style="2247" customWidth="1"/>
    <col min="3842" max="3842" width="39.42578125" style="2247" customWidth="1"/>
    <col min="3843" max="3843" width="60.5703125" style="2247" customWidth="1"/>
    <col min="3844" max="3844" width="11.7109375" style="2247" customWidth="1"/>
    <col min="3845" max="3845" width="9.140625" style="2247"/>
    <col min="3846" max="3846" width="9.5703125" style="2247" bestFit="1" customWidth="1"/>
    <col min="3847" max="3847" width="11.5703125" style="2247" customWidth="1"/>
    <col min="3848" max="3848" width="16.5703125" style="2247" customWidth="1"/>
    <col min="3849" max="3849" width="26.42578125" style="2247" customWidth="1"/>
    <col min="3850" max="4096" width="9.140625" style="2247"/>
    <col min="4097" max="4097" width="9.42578125" style="2247" customWidth="1"/>
    <col min="4098" max="4098" width="39.42578125" style="2247" customWidth="1"/>
    <col min="4099" max="4099" width="60.5703125" style="2247" customWidth="1"/>
    <col min="4100" max="4100" width="11.7109375" style="2247" customWidth="1"/>
    <col min="4101" max="4101" width="9.140625" style="2247"/>
    <col min="4102" max="4102" width="9.5703125" style="2247" bestFit="1" customWidth="1"/>
    <col min="4103" max="4103" width="11.5703125" style="2247" customWidth="1"/>
    <col min="4104" max="4104" width="16.5703125" style="2247" customWidth="1"/>
    <col min="4105" max="4105" width="26.42578125" style="2247" customWidth="1"/>
    <col min="4106" max="4352" width="9.140625" style="2247"/>
    <col min="4353" max="4353" width="9.42578125" style="2247" customWidth="1"/>
    <col min="4354" max="4354" width="39.42578125" style="2247" customWidth="1"/>
    <col min="4355" max="4355" width="60.5703125" style="2247" customWidth="1"/>
    <col min="4356" max="4356" width="11.7109375" style="2247" customWidth="1"/>
    <col min="4357" max="4357" width="9.140625" style="2247"/>
    <col min="4358" max="4358" width="9.5703125" style="2247" bestFit="1" customWidth="1"/>
    <col min="4359" max="4359" width="11.5703125" style="2247" customWidth="1"/>
    <col min="4360" max="4360" width="16.5703125" style="2247" customWidth="1"/>
    <col min="4361" max="4361" width="26.42578125" style="2247" customWidth="1"/>
    <col min="4362" max="4608" width="9.140625" style="2247"/>
    <col min="4609" max="4609" width="9.42578125" style="2247" customWidth="1"/>
    <col min="4610" max="4610" width="39.42578125" style="2247" customWidth="1"/>
    <col min="4611" max="4611" width="60.5703125" style="2247" customWidth="1"/>
    <col min="4612" max="4612" width="11.7109375" style="2247" customWidth="1"/>
    <col min="4613" max="4613" width="9.140625" style="2247"/>
    <col min="4614" max="4614" width="9.5703125" style="2247" bestFit="1" customWidth="1"/>
    <col min="4615" max="4615" width="11.5703125" style="2247" customWidth="1"/>
    <col min="4616" max="4616" width="16.5703125" style="2247" customWidth="1"/>
    <col min="4617" max="4617" width="26.42578125" style="2247" customWidth="1"/>
    <col min="4618" max="4864" width="9.140625" style="2247"/>
    <col min="4865" max="4865" width="9.42578125" style="2247" customWidth="1"/>
    <col min="4866" max="4866" width="39.42578125" style="2247" customWidth="1"/>
    <col min="4867" max="4867" width="60.5703125" style="2247" customWidth="1"/>
    <col min="4868" max="4868" width="11.7109375" style="2247" customWidth="1"/>
    <col min="4869" max="4869" width="9.140625" style="2247"/>
    <col min="4870" max="4870" width="9.5703125" style="2247" bestFit="1" customWidth="1"/>
    <col min="4871" max="4871" width="11.5703125" style="2247" customWidth="1"/>
    <col min="4872" max="4872" width="16.5703125" style="2247" customWidth="1"/>
    <col min="4873" max="4873" width="26.42578125" style="2247" customWidth="1"/>
    <col min="4874" max="5120" width="9.140625" style="2247"/>
    <col min="5121" max="5121" width="9.42578125" style="2247" customWidth="1"/>
    <col min="5122" max="5122" width="39.42578125" style="2247" customWidth="1"/>
    <col min="5123" max="5123" width="60.5703125" style="2247" customWidth="1"/>
    <col min="5124" max="5124" width="11.7109375" style="2247" customWidth="1"/>
    <col min="5125" max="5125" width="9.140625" style="2247"/>
    <col min="5126" max="5126" width="9.5703125" style="2247" bestFit="1" customWidth="1"/>
    <col min="5127" max="5127" width="11.5703125" style="2247" customWidth="1"/>
    <col min="5128" max="5128" width="16.5703125" style="2247" customWidth="1"/>
    <col min="5129" max="5129" width="26.42578125" style="2247" customWidth="1"/>
    <col min="5130" max="5376" width="9.140625" style="2247"/>
    <col min="5377" max="5377" width="9.42578125" style="2247" customWidth="1"/>
    <col min="5378" max="5378" width="39.42578125" style="2247" customWidth="1"/>
    <col min="5379" max="5379" width="60.5703125" style="2247" customWidth="1"/>
    <col min="5380" max="5380" width="11.7109375" style="2247" customWidth="1"/>
    <col min="5381" max="5381" width="9.140625" style="2247"/>
    <col min="5382" max="5382" width="9.5703125" style="2247" bestFit="1" customWidth="1"/>
    <col min="5383" max="5383" width="11.5703125" style="2247" customWidth="1"/>
    <col min="5384" max="5384" width="16.5703125" style="2247" customWidth="1"/>
    <col min="5385" max="5385" width="26.42578125" style="2247" customWidth="1"/>
    <col min="5386" max="5632" width="9.140625" style="2247"/>
    <col min="5633" max="5633" width="9.42578125" style="2247" customWidth="1"/>
    <col min="5634" max="5634" width="39.42578125" style="2247" customWidth="1"/>
    <col min="5635" max="5635" width="60.5703125" style="2247" customWidth="1"/>
    <col min="5636" max="5636" width="11.7109375" style="2247" customWidth="1"/>
    <col min="5637" max="5637" width="9.140625" style="2247"/>
    <col min="5638" max="5638" width="9.5703125" style="2247" bestFit="1" customWidth="1"/>
    <col min="5639" max="5639" width="11.5703125" style="2247" customWidth="1"/>
    <col min="5640" max="5640" width="16.5703125" style="2247" customWidth="1"/>
    <col min="5641" max="5641" width="26.42578125" style="2247" customWidth="1"/>
    <col min="5642" max="5888" width="9.140625" style="2247"/>
    <col min="5889" max="5889" width="9.42578125" style="2247" customWidth="1"/>
    <col min="5890" max="5890" width="39.42578125" style="2247" customWidth="1"/>
    <col min="5891" max="5891" width="60.5703125" style="2247" customWidth="1"/>
    <col min="5892" max="5892" width="11.7109375" style="2247" customWidth="1"/>
    <col min="5893" max="5893" width="9.140625" style="2247"/>
    <col min="5894" max="5894" width="9.5703125" style="2247" bestFit="1" customWidth="1"/>
    <col min="5895" max="5895" width="11.5703125" style="2247" customWidth="1"/>
    <col min="5896" max="5896" width="16.5703125" style="2247" customWidth="1"/>
    <col min="5897" max="5897" width="26.42578125" style="2247" customWidth="1"/>
    <col min="5898" max="6144" width="9.140625" style="2247"/>
    <col min="6145" max="6145" width="9.42578125" style="2247" customWidth="1"/>
    <col min="6146" max="6146" width="39.42578125" style="2247" customWidth="1"/>
    <col min="6147" max="6147" width="60.5703125" style="2247" customWidth="1"/>
    <col min="6148" max="6148" width="11.7109375" style="2247" customWidth="1"/>
    <col min="6149" max="6149" width="9.140625" style="2247"/>
    <col min="6150" max="6150" width="9.5703125" style="2247" bestFit="1" customWidth="1"/>
    <col min="6151" max="6151" width="11.5703125" style="2247" customWidth="1"/>
    <col min="6152" max="6152" width="16.5703125" style="2247" customWidth="1"/>
    <col min="6153" max="6153" width="26.42578125" style="2247" customWidth="1"/>
    <col min="6154" max="6400" width="9.140625" style="2247"/>
    <col min="6401" max="6401" width="9.42578125" style="2247" customWidth="1"/>
    <col min="6402" max="6402" width="39.42578125" style="2247" customWidth="1"/>
    <col min="6403" max="6403" width="60.5703125" style="2247" customWidth="1"/>
    <col min="6404" max="6404" width="11.7109375" style="2247" customWidth="1"/>
    <col min="6405" max="6405" width="9.140625" style="2247"/>
    <col min="6406" max="6406" width="9.5703125" style="2247" bestFit="1" customWidth="1"/>
    <col min="6407" max="6407" width="11.5703125" style="2247" customWidth="1"/>
    <col min="6408" max="6408" width="16.5703125" style="2247" customWidth="1"/>
    <col min="6409" max="6409" width="26.42578125" style="2247" customWidth="1"/>
    <col min="6410" max="6656" width="9.140625" style="2247"/>
    <col min="6657" max="6657" width="9.42578125" style="2247" customWidth="1"/>
    <col min="6658" max="6658" width="39.42578125" style="2247" customWidth="1"/>
    <col min="6659" max="6659" width="60.5703125" style="2247" customWidth="1"/>
    <col min="6660" max="6660" width="11.7109375" style="2247" customWidth="1"/>
    <col min="6661" max="6661" width="9.140625" style="2247"/>
    <col min="6662" max="6662" width="9.5703125" style="2247" bestFit="1" customWidth="1"/>
    <col min="6663" max="6663" width="11.5703125" style="2247" customWidth="1"/>
    <col min="6664" max="6664" width="16.5703125" style="2247" customWidth="1"/>
    <col min="6665" max="6665" width="26.42578125" style="2247" customWidth="1"/>
    <col min="6666" max="6912" width="9.140625" style="2247"/>
    <col min="6913" max="6913" width="9.42578125" style="2247" customWidth="1"/>
    <col min="6914" max="6914" width="39.42578125" style="2247" customWidth="1"/>
    <col min="6915" max="6915" width="60.5703125" style="2247" customWidth="1"/>
    <col min="6916" max="6916" width="11.7109375" style="2247" customWidth="1"/>
    <col min="6917" max="6917" width="9.140625" style="2247"/>
    <col min="6918" max="6918" width="9.5703125" style="2247" bestFit="1" customWidth="1"/>
    <col min="6919" max="6919" width="11.5703125" style="2247" customWidth="1"/>
    <col min="6920" max="6920" width="16.5703125" style="2247" customWidth="1"/>
    <col min="6921" max="6921" width="26.42578125" style="2247" customWidth="1"/>
    <col min="6922" max="7168" width="9.140625" style="2247"/>
    <col min="7169" max="7169" width="9.42578125" style="2247" customWidth="1"/>
    <col min="7170" max="7170" width="39.42578125" style="2247" customWidth="1"/>
    <col min="7171" max="7171" width="60.5703125" style="2247" customWidth="1"/>
    <col min="7172" max="7172" width="11.7109375" style="2247" customWidth="1"/>
    <col min="7173" max="7173" width="9.140625" style="2247"/>
    <col min="7174" max="7174" width="9.5703125" style="2247" bestFit="1" customWidth="1"/>
    <col min="7175" max="7175" width="11.5703125" style="2247" customWidth="1"/>
    <col min="7176" max="7176" width="16.5703125" style="2247" customWidth="1"/>
    <col min="7177" max="7177" width="26.42578125" style="2247" customWidth="1"/>
    <col min="7178" max="7424" width="9.140625" style="2247"/>
    <col min="7425" max="7425" width="9.42578125" style="2247" customWidth="1"/>
    <col min="7426" max="7426" width="39.42578125" style="2247" customWidth="1"/>
    <col min="7427" max="7427" width="60.5703125" style="2247" customWidth="1"/>
    <col min="7428" max="7428" width="11.7109375" style="2247" customWidth="1"/>
    <col min="7429" max="7429" width="9.140625" style="2247"/>
    <col min="7430" max="7430" width="9.5703125" style="2247" bestFit="1" customWidth="1"/>
    <col min="7431" max="7431" width="11.5703125" style="2247" customWidth="1"/>
    <col min="7432" max="7432" width="16.5703125" style="2247" customWidth="1"/>
    <col min="7433" max="7433" width="26.42578125" style="2247" customWidth="1"/>
    <col min="7434" max="7680" width="9.140625" style="2247"/>
    <col min="7681" max="7681" width="9.42578125" style="2247" customWidth="1"/>
    <col min="7682" max="7682" width="39.42578125" style="2247" customWidth="1"/>
    <col min="7683" max="7683" width="60.5703125" style="2247" customWidth="1"/>
    <col min="7684" max="7684" width="11.7109375" style="2247" customWidth="1"/>
    <col min="7685" max="7685" width="9.140625" style="2247"/>
    <col min="7686" max="7686" width="9.5703125" style="2247" bestFit="1" customWidth="1"/>
    <col min="7687" max="7687" width="11.5703125" style="2247" customWidth="1"/>
    <col min="7688" max="7688" width="16.5703125" style="2247" customWidth="1"/>
    <col min="7689" max="7689" width="26.42578125" style="2247" customWidth="1"/>
    <col min="7690" max="7936" width="9.140625" style="2247"/>
    <col min="7937" max="7937" width="9.42578125" style="2247" customWidth="1"/>
    <col min="7938" max="7938" width="39.42578125" style="2247" customWidth="1"/>
    <col min="7939" max="7939" width="60.5703125" style="2247" customWidth="1"/>
    <col min="7940" max="7940" width="11.7109375" style="2247" customWidth="1"/>
    <col min="7941" max="7941" width="9.140625" style="2247"/>
    <col min="7942" max="7942" width="9.5703125" style="2247" bestFit="1" customWidth="1"/>
    <col min="7943" max="7943" width="11.5703125" style="2247" customWidth="1"/>
    <col min="7944" max="7944" width="16.5703125" style="2247" customWidth="1"/>
    <col min="7945" max="7945" width="26.42578125" style="2247" customWidth="1"/>
    <col min="7946" max="8192" width="9.140625" style="2247"/>
    <col min="8193" max="8193" width="9.42578125" style="2247" customWidth="1"/>
    <col min="8194" max="8194" width="39.42578125" style="2247" customWidth="1"/>
    <col min="8195" max="8195" width="60.5703125" style="2247" customWidth="1"/>
    <col min="8196" max="8196" width="11.7109375" style="2247" customWidth="1"/>
    <col min="8197" max="8197" width="9.140625" style="2247"/>
    <col min="8198" max="8198" width="9.5703125" style="2247" bestFit="1" customWidth="1"/>
    <col min="8199" max="8199" width="11.5703125" style="2247" customWidth="1"/>
    <col min="8200" max="8200" width="16.5703125" style="2247" customWidth="1"/>
    <col min="8201" max="8201" width="26.42578125" style="2247" customWidth="1"/>
    <col min="8202" max="8448" width="9.140625" style="2247"/>
    <col min="8449" max="8449" width="9.42578125" style="2247" customWidth="1"/>
    <col min="8450" max="8450" width="39.42578125" style="2247" customWidth="1"/>
    <col min="8451" max="8451" width="60.5703125" style="2247" customWidth="1"/>
    <col min="8452" max="8452" width="11.7109375" style="2247" customWidth="1"/>
    <col min="8453" max="8453" width="9.140625" style="2247"/>
    <col min="8454" max="8454" width="9.5703125" style="2247" bestFit="1" customWidth="1"/>
    <col min="8455" max="8455" width="11.5703125" style="2247" customWidth="1"/>
    <col min="8456" max="8456" width="16.5703125" style="2247" customWidth="1"/>
    <col min="8457" max="8457" width="26.42578125" style="2247" customWidth="1"/>
    <col min="8458" max="8704" width="9.140625" style="2247"/>
    <col min="8705" max="8705" width="9.42578125" style="2247" customWidth="1"/>
    <col min="8706" max="8706" width="39.42578125" style="2247" customWidth="1"/>
    <col min="8707" max="8707" width="60.5703125" style="2247" customWidth="1"/>
    <col min="8708" max="8708" width="11.7109375" style="2247" customWidth="1"/>
    <col min="8709" max="8709" width="9.140625" style="2247"/>
    <col min="8710" max="8710" width="9.5703125" style="2247" bestFit="1" customWidth="1"/>
    <col min="8711" max="8711" width="11.5703125" style="2247" customWidth="1"/>
    <col min="8712" max="8712" width="16.5703125" style="2247" customWidth="1"/>
    <col min="8713" max="8713" width="26.42578125" style="2247" customWidth="1"/>
    <col min="8714" max="8960" width="9.140625" style="2247"/>
    <col min="8961" max="8961" width="9.42578125" style="2247" customWidth="1"/>
    <col min="8962" max="8962" width="39.42578125" style="2247" customWidth="1"/>
    <col min="8963" max="8963" width="60.5703125" style="2247" customWidth="1"/>
    <col min="8964" max="8964" width="11.7109375" style="2247" customWidth="1"/>
    <col min="8965" max="8965" width="9.140625" style="2247"/>
    <col min="8966" max="8966" width="9.5703125" style="2247" bestFit="1" customWidth="1"/>
    <col min="8967" max="8967" width="11.5703125" style="2247" customWidth="1"/>
    <col min="8968" max="8968" width="16.5703125" style="2247" customWidth="1"/>
    <col min="8969" max="8969" width="26.42578125" style="2247" customWidth="1"/>
    <col min="8970" max="9216" width="9.140625" style="2247"/>
    <col min="9217" max="9217" width="9.42578125" style="2247" customWidth="1"/>
    <col min="9218" max="9218" width="39.42578125" style="2247" customWidth="1"/>
    <col min="9219" max="9219" width="60.5703125" style="2247" customWidth="1"/>
    <col min="9220" max="9220" width="11.7109375" style="2247" customWidth="1"/>
    <col min="9221" max="9221" width="9.140625" style="2247"/>
    <col min="9222" max="9222" width="9.5703125" style="2247" bestFit="1" customWidth="1"/>
    <col min="9223" max="9223" width="11.5703125" style="2247" customWidth="1"/>
    <col min="9224" max="9224" width="16.5703125" style="2247" customWidth="1"/>
    <col min="9225" max="9225" width="26.42578125" style="2247" customWidth="1"/>
    <col min="9226" max="9472" width="9.140625" style="2247"/>
    <col min="9473" max="9473" width="9.42578125" style="2247" customWidth="1"/>
    <col min="9474" max="9474" width="39.42578125" style="2247" customWidth="1"/>
    <col min="9475" max="9475" width="60.5703125" style="2247" customWidth="1"/>
    <col min="9476" max="9476" width="11.7109375" style="2247" customWidth="1"/>
    <col min="9477" max="9477" width="9.140625" style="2247"/>
    <col min="9478" max="9478" width="9.5703125" style="2247" bestFit="1" customWidth="1"/>
    <col min="9479" max="9479" width="11.5703125" style="2247" customWidth="1"/>
    <col min="9480" max="9480" width="16.5703125" style="2247" customWidth="1"/>
    <col min="9481" max="9481" width="26.42578125" style="2247" customWidth="1"/>
    <col min="9482" max="9728" width="9.140625" style="2247"/>
    <col min="9729" max="9729" width="9.42578125" style="2247" customWidth="1"/>
    <col min="9730" max="9730" width="39.42578125" style="2247" customWidth="1"/>
    <col min="9731" max="9731" width="60.5703125" style="2247" customWidth="1"/>
    <col min="9732" max="9732" width="11.7109375" style="2247" customWidth="1"/>
    <col min="9733" max="9733" width="9.140625" style="2247"/>
    <col min="9734" max="9734" width="9.5703125" style="2247" bestFit="1" customWidth="1"/>
    <col min="9735" max="9735" width="11.5703125" style="2247" customWidth="1"/>
    <col min="9736" max="9736" width="16.5703125" style="2247" customWidth="1"/>
    <col min="9737" max="9737" width="26.42578125" style="2247" customWidth="1"/>
    <col min="9738" max="9984" width="9.140625" style="2247"/>
    <col min="9985" max="9985" width="9.42578125" style="2247" customWidth="1"/>
    <col min="9986" max="9986" width="39.42578125" style="2247" customWidth="1"/>
    <col min="9987" max="9987" width="60.5703125" style="2247" customWidth="1"/>
    <col min="9988" max="9988" width="11.7109375" style="2247" customWidth="1"/>
    <col min="9989" max="9989" width="9.140625" style="2247"/>
    <col min="9990" max="9990" width="9.5703125" style="2247" bestFit="1" customWidth="1"/>
    <col min="9991" max="9991" width="11.5703125" style="2247" customWidth="1"/>
    <col min="9992" max="9992" width="16.5703125" style="2247" customWidth="1"/>
    <col min="9993" max="9993" width="26.42578125" style="2247" customWidth="1"/>
    <col min="9994" max="10240" width="9.140625" style="2247"/>
    <col min="10241" max="10241" width="9.42578125" style="2247" customWidth="1"/>
    <col min="10242" max="10242" width="39.42578125" style="2247" customWidth="1"/>
    <col min="10243" max="10243" width="60.5703125" style="2247" customWidth="1"/>
    <col min="10244" max="10244" width="11.7109375" style="2247" customWidth="1"/>
    <col min="10245" max="10245" width="9.140625" style="2247"/>
    <col min="10246" max="10246" width="9.5703125" style="2247" bestFit="1" customWidth="1"/>
    <col min="10247" max="10247" width="11.5703125" style="2247" customWidth="1"/>
    <col min="10248" max="10248" width="16.5703125" style="2247" customWidth="1"/>
    <col min="10249" max="10249" width="26.42578125" style="2247" customWidth="1"/>
    <col min="10250" max="10496" width="9.140625" style="2247"/>
    <col min="10497" max="10497" width="9.42578125" style="2247" customWidth="1"/>
    <col min="10498" max="10498" width="39.42578125" style="2247" customWidth="1"/>
    <col min="10499" max="10499" width="60.5703125" style="2247" customWidth="1"/>
    <col min="10500" max="10500" width="11.7109375" style="2247" customWidth="1"/>
    <col min="10501" max="10501" width="9.140625" style="2247"/>
    <col min="10502" max="10502" width="9.5703125" style="2247" bestFit="1" customWidth="1"/>
    <col min="10503" max="10503" width="11.5703125" style="2247" customWidth="1"/>
    <col min="10504" max="10504" width="16.5703125" style="2247" customWidth="1"/>
    <col min="10505" max="10505" width="26.42578125" style="2247" customWidth="1"/>
    <col min="10506" max="10752" width="9.140625" style="2247"/>
    <col min="10753" max="10753" width="9.42578125" style="2247" customWidth="1"/>
    <col min="10754" max="10754" width="39.42578125" style="2247" customWidth="1"/>
    <col min="10755" max="10755" width="60.5703125" style="2247" customWidth="1"/>
    <col min="10756" max="10756" width="11.7109375" style="2247" customWidth="1"/>
    <col min="10757" max="10757" width="9.140625" style="2247"/>
    <col min="10758" max="10758" width="9.5703125" style="2247" bestFit="1" customWidth="1"/>
    <col min="10759" max="10759" width="11.5703125" style="2247" customWidth="1"/>
    <col min="10760" max="10760" width="16.5703125" style="2247" customWidth="1"/>
    <col min="10761" max="10761" width="26.42578125" style="2247" customWidth="1"/>
    <col min="10762" max="11008" width="9.140625" style="2247"/>
    <col min="11009" max="11009" width="9.42578125" style="2247" customWidth="1"/>
    <col min="11010" max="11010" width="39.42578125" style="2247" customWidth="1"/>
    <col min="11011" max="11011" width="60.5703125" style="2247" customWidth="1"/>
    <col min="11012" max="11012" width="11.7109375" style="2247" customWidth="1"/>
    <col min="11013" max="11013" width="9.140625" style="2247"/>
    <col min="11014" max="11014" width="9.5703125" style="2247" bestFit="1" customWidth="1"/>
    <col min="11015" max="11015" width="11.5703125" style="2247" customWidth="1"/>
    <col min="11016" max="11016" width="16.5703125" style="2247" customWidth="1"/>
    <col min="11017" max="11017" width="26.42578125" style="2247" customWidth="1"/>
    <col min="11018" max="11264" width="9.140625" style="2247"/>
    <col min="11265" max="11265" width="9.42578125" style="2247" customWidth="1"/>
    <col min="11266" max="11266" width="39.42578125" style="2247" customWidth="1"/>
    <col min="11267" max="11267" width="60.5703125" style="2247" customWidth="1"/>
    <col min="11268" max="11268" width="11.7109375" style="2247" customWidth="1"/>
    <col min="11269" max="11269" width="9.140625" style="2247"/>
    <col min="11270" max="11270" width="9.5703125" style="2247" bestFit="1" customWidth="1"/>
    <col min="11271" max="11271" width="11.5703125" style="2247" customWidth="1"/>
    <col min="11272" max="11272" width="16.5703125" style="2247" customWidth="1"/>
    <col min="11273" max="11273" width="26.42578125" style="2247" customWidth="1"/>
    <col min="11274" max="11520" width="9.140625" style="2247"/>
    <col min="11521" max="11521" width="9.42578125" style="2247" customWidth="1"/>
    <col min="11522" max="11522" width="39.42578125" style="2247" customWidth="1"/>
    <col min="11523" max="11523" width="60.5703125" style="2247" customWidth="1"/>
    <col min="11524" max="11524" width="11.7109375" style="2247" customWidth="1"/>
    <col min="11525" max="11525" width="9.140625" style="2247"/>
    <col min="11526" max="11526" width="9.5703125" style="2247" bestFit="1" customWidth="1"/>
    <col min="11527" max="11527" width="11.5703125" style="2247" customWidth="1"/>
    <col min="11528" max="11528" width="16.5703125" style="2247" customWidth="1"/>
    <col min="11529" max="11529" width="26.42578125" style="2247" customWidth="1"/>
    <col min="11530" max="11776" width="9.140625" style="2247"/>
    <col min="11777" max="11777" width="9.42578125" style="2247" customWidth="1"/>
    <col min="11778" max="11778" width="39.42578125" style="2247" customWidth="1"/>
    <col min="11779" max="11779" width="60.5703125" style="2247" customWidth="1"/>
    <col min="11780" max="11780" width="11.7109375" style="2247" customWidth="1"/>
    <col min="11781" max="11781" width="9.140625" style="2247"/>
    <col min="11782" max="11782" width="9.5703125" style="2247" bestFit="1" customWidth="1"/>
    <col min="11783" max="11783" width="11.5703125" style="2247" customWidth="1"/>
    <col min="11784" max="11784" width="16.5703125" style="2247" customWidth="1"/>
    <col min="11785" max="11785" width="26.42578125" style="2247" customWidth="1"/>
    <col min="11786" max="12032" width="9.140625" style="2247"/>
    <col min="12033" max="12033" width="9.42578125" style="2247" customWidth="1"/>
    <col min="12034" max="12034" width="39.42578125" style="2247" customWidth="1"/>
    <col min="12035" max="12035" width="60.5703125" style="2247" customWidth="1"/>
    <col min="12036" max="12036" width="11.7109375" style="2247" customWidth="1"/>
    <col min="12037" max="12037" width="9.140625" style="2247"/>
    <col min="12038" max="12038" width="9.5703125" style="2247" bestFit="1" customWidth="1"/>
    <col min="12039" max="12039" width="11.5703125" style="2247" customWidth="1"/>
    <col min="12040" max="12040" width="16.5703125" style="2247" customWidth="1"/>
    <col min="12041" max="12041" width="26.42578125" style="2247" customWidth="1"/>
    <col min="12042" max="12288" width="9.140625" style="2247"/>
    <col min="12289" max="12289" width="9.42578125" style="2247" customWidth="1"/>
    <col min="12290" max="12290" width="39.42578125" style="2247" customWidth="1"/>
    <col min="12291" max="12291" width="60.5703125" style="2247" customWidth="1"/>
    <col min="12292" max="12292" width="11.7109375" style="2247" customWidth="1"/>
    <col min="12293" max="12293" width="9.140625" style="2247"/>
    <col min="12294" max="12294" width="9.5703125" style="2247" bestFit="1" customWidth="1"/>
    <col min="12295" max="12295" width="11.5703125" style="2247" customWidth="1"/>
    <col min="12296" max="12296" width="16.5703125" style="2247" customWidth="1"/>
    <col min="12297" max="12297" width="26.42578125" style="2247" customWidth="1"/>
    <col min="12298" max="12544" width="9.140625" style="2247"/>
    <col min="12545" max="12545" width="9.42578125" style="2247" customWidth="1"/>
    <col min="12546" max="12546" width="39.42578125" style="2247" customWidth="1"/>
    <col min="12547" max="12547" width="60.5703125" style="2247" customWidth="1"/>
    <col min="12548" max="12548" width="11.7109375" style="2247" customWidth="1"/>
    <col min="12549" max="12549" width="9.140625" style="2247"/>
    <col min="12550" max="12550" width="9.5703125" style="2247" bestFit="1" customWidth="1"/>
    <col min="12551" max="12551" width="11.5703125" style="2247" customWidth="1"/>
    <col min="12552" max="12552" width="16.5703125" style="2247" customWidth="1"/>
    <col min="12553" max="12553" width="26.42578125" style="2247" customWidth="1"/>
    <col min="12554" max="12800" width="9.140625" style="2247"/>
    <col min="12801" max="12801" width="9.42578125" style="2247" customWidth="1"/>
    <col min="12802" max="12802" width="39.42578125" style="2247" customWidth="1"/>
    <col min="12803" max="12803" width="60.5703125" style="2247" customWidth="1"/>
    <col min="12804" max="12804" width="11.7109375" style="2247" customWidth="1"/>
    <col min="12805" max="12805" width="9.140625" style="2247"/>
    <col min="12806" max="12806" width="9.5703125" style="2247" bestFit="1" customWidth="1"/>
    <col min="12807" max="12807" width="11.5703125" style="2247" customWidth="1"/>
    <col min="12808" max="12808" width="16.5703125" style="2247" customWidth="1"/>
    <col min="12809" max="12809" width="26.42578125" style="2247" customWidth="1"/>
    <col min="12810" max="13056" width="9.140625" style="2247"/>
    <col min="13057" max="13057" width="9.42578125" style="2247" customWidth="1"/>
    <col min="13058" max="13058" width="39.42578125" style="2247" customWidth="1"/>
    <col min="13059" max="13059" width="60.5703125" style="2247" customWidth="1"/>
    <col min="13060" max="13060" width="11.7109375" style="2247" customWidth="1"/>
    <col min="13061" max="13061" width="9.140625" style="2247"/>
    <col min="13062" max="13062" width="9.5703125" style="2247" bestFit="1" customWidth="1"/>
    <col min="13063" max="13063" width="11.5703125" style="2247" customWidth="1"/>
    <col min="13064" max="13064" width="16.5703125" style="2247" customWidth="1"/>
    <col min="13065" max="13065" width="26.42578125" style="2247" customWidth="1"/>
    <col min="13066" max="13312" width="9.140625" style="2247"/>
    <col min="13313" max="13313" width="9.42578125" style="2247" customWidth="1"/>
    <col min="13314" max="13314" width="39.42578125" style="2247" customWidth="1"/>
    <col min="13315" max="13315" width="60.5703125" style="2247" customWidth="1"/>
    <col min="13316" max="13316" width="11.7109375" style="2247" customWidth="1"/>
    <col min="13317" max="13317" width="9.140625" style="2247"/>
    <col min="13318" max="13318" width="9.5703125" style="2247" bestFit="1" customWidth="1"/>
    <col min="13319" max="13319" width="11.5703125" style="2247" customWidth="1"/>
    <col min="13320" max="13320" width="16.5703125" style="2247" customWidth="1"/>
    <col min="13321" max="13321" width="26.42578125" style="2247" customWidth="1"/>
    <col min="13322" max="13568" width="9.140625" style="2247"/>
    <col min="13569" max="13569" width="9.42578125" style="2247" customWidth="1"/>
    <col min="13570" max="13570" width="39.42578125" style="2247" customWidth="1"/>
    <col min="13571" max="13571" width="60.5703125" style="2247" customWidth="1"/>
    <col min="13572" max="13572" width="11.7109375" style="2247" customWidth="1"/>
    <col min="13573" max="13573" width="9.140625" style="2247"/>
    <col min="13574" max="13574" width="9.5703125" style="2247" bestFit="1" customWidth="1"/>
    <col min="13575" max="13575" width="11.5703125" style="2247" customWidth="1"/>
    <col min="13576" max="13576" width="16.5703125" style="2247" customWidth="1"/>
    <col min="13577" max="13577" width="26.42578125" style="2247" customWidth="1"/>
    <col min="13578" max="13824" width="9.140625" style="2247"/>
    <col min="13825" max="13825" width="9.42578125" style="2247" customWidth="1"/>
    <col min="13826" max="13826" width="39.42578125" style="2247" customWidth="1"/>
    <col min="13827" max="13827" width="60.5703125" style="2247" customWidth="1"/>
    <col min="13828" max="13828" width="11.7109375" style="2247" customWidth="1"/>
    <col min="13829" max="13829" width="9.140625" style="2247"/>
    <col min="13830" max="13830" width="9.5703125" style="2247" bestFit="1" customWidth="1"/>
    <col min="13831" max="13831" width="11.5703125" style="2247" customWidth="1"/>
    <col min="13832" max="13832" width="16.5703125" style="2247" customWidth="1"/>
    <col min="13833" max="13833" width="26.42578125" style="2247" customWidth="1"/>
    <col min="13834" max="14080" width="9.140625" style="2247"/>
    <col min="14081" max="14081" width="9.42578125" style="2247" customWidth="1"/>
    <col min="14082" max="14082" width="39.42578125" style="2247" customWidth="1"/>
    <col min="14083" max="14083" width="60.5703125" style="2247" customWidth="1"/>
    <col min="14084" max="14084" width="11.7109375" style="2247" customWidth="1"/>
    <col min="14085" max="14085" width="9.140625" style="2247"/>
    <col min="14086" max="14086" width="9.5703125" style="2247" bestFit="1" customWidth="1"/>
    <col min="14087" max="14087" width="11.5703125" style="2247" customWidth="1"/>
    <col min="14088" max="14088" width="16.5703125" style="2247" customWidth="1"/>
    <col min="14089" max="14089" width="26.42578125" style="2247" customWidth="1"/>
    <col min="14090" max="14336" width="9.140625" style="2247"/>
    <col min="14337" max="14337" width="9.42578125" style="2247" customWidth="1"/>
    <col min="14338" max="14338" width="39.42578125" style="2247" customWidth="1"/>
    <col min="14339" max="14339" width="60.5703125" style="2247" customWidth="1"/>
    <col min="14340" max="14340" width="11.7109375" style="2247" customWidth="1"/>
    <col min="14341" max="14341" width="9.140625" style="2247"/>
    <col min="14342" max="14342" width="9.5703125" style="2247" bestFit="1" customWidth="1"/>
    <col min="14343" max="14343" width="11.5703125" style="2247" customWidth="1"/>
    <col min="14344" max="14344" width="16.5703125" style="2247" customWidth="1"/>
    <col min="14345" max="14345" width="26.42578125" style="2247" customWidth="1"/>
    <col min="14346" max="14592" width="9.140625" style="2247"/>
    <col min="14593" max="14593" width="9.42578125" style="2247" customWidth="1"/>
    <col min="14594" max="14594" width="39.42578125" style="2247" customWidth="1"/>
    <col min="14595" max="14595" width="60.5703125" style="2247" customWidth="1"/>
    <col min="14596" max="14596" width="11.7109375" style="2247" customWidth="1"/>
    <col min="14597" max="14597" width="9.140625" style="2247"/>
    <col min="14598" max="14598" width="9.5703125" style="2247" bestFit="1" customWidth="1"/>
    <col min="14599" max="14599" width="11.5703125" style="2247" customWidth="1"/>
    <col min="14600" max="14600" width="16.5703125" style="2247" customWidth="1"/>
    <col min="14601" max="14601" width="26.42578125" style="2247" customWidth="1"/>
    <col min="14602" max="14848" width="9.140625" style="2247"/>
    <col min="14849" max="14849" width="9.42578125" style="2247" customWidth="1"/>
    <col min="14850" max="14850" width="39.42578125" style="2247" customWidth="1"/>
    <col min="14851" max="14851" width="60.5703125" style="2247" customWidth="1"/>
    <col min="14852" max="14852" width="11.7109375" style="2247" customWidth="1"/>
    <col min="14853" max="14853" width="9.140625" style="2247"/>
    <col min="14854" max="14854" width="9.5703125" style="2247" bestFit="1" customWidth="1"/>
    <col min="14855" max="14855" width="11.5703125" style="2247" customWidth="1"/>
    <col min="14856" max="14856" width="16.5703125" style="2247" customWidth="1"/>
    <col min="14857" max="14857" width="26.42578125" style="2247" customWidth="1"/>
    <col min="14858" max="15104" width="9.140625" style="2247"/>
    <col min="15105" max="15105" width="9.42578125" style="2247" customWidth="1"/>
    <col min="15106" max="15106" width="39.42578125" style="2247" customWidth="1"/>
    <col min="15107" max="15107" width="60.5703125" style="2247" customWidth="1"/>
    <col min="15108" max="15108" width="11.7109375" style="2247" customWidth="1"/>
    <col min="15109" max="15109" width="9.140625" style="2247"/>
    <col min="15110" max="15110" width="9.5703125" style="2247" bestFit="1" customWidth="1"/>
    <col min="15111" max="15111" width="11.5703125" style="2247" customWidth="1"/>
    <col min="15112" max="15112" width="16.5703125" style="2247" customWidth="1"/>
    <col min="15113" max="15113" width="26.42578125" style="2247" customWidth="1"/>
    <col min="15114" max="15360" width="9.140625" style="2247"/>
    <col min="15361" max="15361" width="9.42578125" style="2247" customWidth="1"/>
    <col min="15362" max="15362" width="39.42578125" style="2247" customWidth="1"/>
    <col min="15363" max="15363" width="60.5703125" style="2247" customWidth="1"/>
    <col min="15364" max="15364" width="11.7109375" style="2247" customWidth="1"/>
    <col min="15365" max="15365" width="9.140625" style="2247"/>
    <col min="15366" max="15366" width="9.5703125" style="2247" bestFit="1" customWidth="1"/>
    <col min="15367" max="15367" width="11.5703125" style="2247" customWidth="1"/>
    <col min="15368" max="15368" width="16.5703125" style="2247" customWidth="1"/>
    <col min="15369" max="15369" width="26.42578125" style="2247" customWidth="1"/>
    <col min="15370" max="15616" width="9.140625" style="2247"/>
    <col min="15617" max="15617" width="9.42578125" style="2247" customWidth="1"/>
    <col min="15618" max="15618" width="39.42578125" style="2247" customWidth="1"/>
    <col min="15619" max="15619" width="60.5703125" style="2247" customWidth="1"/>
    <col min="15620" max="15620" width="11.7109375" style="2247" customWidth="1"/>
    <col min="15621" max="15621" width="9.140625" style="2247"/>
    <col min="15622" max="15622" width="9.5703125" style="2247" bestFit="1" customWidth="1"/>
    <col min="15623" max="15623" width="11.5703125" style="2247" customWidth="1"/>
    <col min="15624" max="15624" width="16.5703125" style="2247" customWidth="1"/>
    <col min="15625" max="15625" width="26.42578125" style="2247" customWidth="1"/>
    <col min="15626" max="15872" width="9.140625" style="2247"/>
    <col min="15873" max="15873" width="9.42578125" style="2247" customWidth="1"/>
    <col min="15874" max="15874" width="39.42578125" style="2247" customWidth="1"/>
    <col min="15875" max="15875" width="60.5703125" style="2247" customWidth="1"/>
    <col min="15876" max="15876" width="11.7109375" style="2247" customWidth="1"/>
    <col min="15877" max="15877" width="9.140625" style="2247"/>
    <col min="15878" max="15878" width="9.5703125" style="2247" bestFit="1" customWidth="1"/>
    <col min="15879" max="15879" width="11.5703125" style="2247" customWidth="1"/>
    <col min="15880" max="15880" width="16.5703125" style="2247" customWidth="1"/>
    <col min="15881" max="15881" width="26.42578125" style="2247" customWidth="1"/>
    <col min="15882" max="16128" width="9.140625" style="2247"/>
    <col min="16129" max="16129" width="9.42578125" style="2247" customWidth="1"/>
    <col min="16130" max="16130" width="39.42578125" style="2247" customWidth="1"/>
    <col min="16131" max="16131" width="60.5703125" style="2247" customWidth="1"/>
    <col min="16132" max="16132" width="11.7109375" style="2247" customWidth="1"/>
    <col min="16133" max="16133" width="9.140625" style="2247"/>
    <col min="16134" max="16134" width="9.5703125" style="2247" bestFit="1" customWidth="1"/>
    <col min="16135" max="16135" width="11.5703125" style="2247" customWidth="1"/>
    <col min="16136" max="16136" width="16.5703125" style="2247" customWidth="1"/>
    <col min="16137" max="16137" width="26.42578125" style="2247" customWidth="1"/>
    <col min="16138" max="16384" width="9.140625" style="2247"/>
  </cols>
  <sheetData>
    <row r="1" spans="1:8" ht="30" customHeight="1" x14ac:dyDescent="0.2">
      <c r="A1" s="2254"/>
      <c r="B1" s="2254"/>
      <c r="C1" s="2255"/>
      <c r="D1" s="5088" t="s">
        <v>2111</v>
      </c>
      <c r="E1" s="5088"/>
      <c r="F1" s="5088"/>
      <c r="G1" s="5088"/>
      <c r="H1" s="5088"/>
    </row>
    <row r="2" spans="1:8" ht="21.75" customHeight="1" x14ac:dyDescent="0.2">
      <c r="A2" s="5088" t="s">
        <v>2160</v>
      </c>
      <c r="B2" s="5088"/>
      <c r="C2" s="5088"/>
      <c r="D2" s="5088"/>
      <c r="E2" s="5088"/>
      <c r="F2" s="5088"/>
      <c r="G2" s="5088"/>
      <c r="H2" s="5088"/>
    </row>
    <row r="3" spans="1:8" ht="17.25" customHeight="1" x14ac:dyDescent="0.2">
      <c r="A3" s="5088"/>
      <c r="B3" s="5088"/>
      <c r="C3" s="5088"/>
      <c r="D3" s="5088"/>
      <c r="E3" s="5088"/>
      <c r="F3" s="5088"/>
      <c r="G3" s="5088"/>
      <c r="H3" s="5088"/>
    </row>
    <row r="4" spans="1:8" x14ac:dyDescent="0.2">
      <c r="A4" s="2247" t="s">
        <v>2112</v>
      </c>
      <c r="B4" s="2247" t="s">
        <v>1718</v>
      </c>
      <c r="C4" s="1815" t="s">
        <v>2113</v>
      </c>
      <c r="D4" s="5088" t="s">
        <v>2114</v>
      </c>
      <c r="E4" s="5088"/>
      <c r="F4" s="5088"/>
      <c r="G4" s="5088"/>
      <c r="H4" s="5088"/>
    </row>
    <row r="5" spans="1:8" ht="22.5" customHeight="1" x14ac:dyDescent="0.2">
      <c r="B5" s="5088" t="s">
        <v>2115</v>
      </c>
      <c r="C5" s="5088"/>
      <c r="D5" s="5088"/>
      <c r="E5" s="5088"/>
      <c r="F5" s="5088"/>
      <c r="G5" s="5088"/>
      <c r="H5" s="2094">
        <f>H6+H115+H117+H122</f>
        <v>1573447.4338753289</v>
      </c>
    </row>
    <row r="6" spans="1:8" ht="21.75" customHeight="1" x14ac:dyDescent="0.2">
      <c r="A6" s="2247" t="s">
        <v>2116</v>
      </c>
      <c r="B6" s="5088" t="s">
        <v>2117</v>
      </c>
      <c r="C6" s="5088"/>
      <c r="D6" s="5088"/>
      <c r="E6" s="5088"/>
      <c r="F6" s="5088"/>
      <c r="G6" s="5088"/>
      <c r="H6" s="2094">
        <f>H7+H82+H84+H86</f>
        <v>117995.40387532883</v>
      </c>
    </row>
    <row r="7" spans="1:8" ht="168" customHeight="1" x14ac:dyDescent="0.2">
      <c r="A7" s="2247" t="s">
        <v>900</v>
      </c>
      <c r="B7" s="2247" t="s">
        <v>2118</v>
      </c>
      <c r="C7" s="1815" t="s">
        <v>2119</v>
      </c>
      <c r="H7" s="2122">
        <v>27239.97</v>
      </c>
    </row>
    <row r="8" spans="1:8" ht="15.75" customHeight="1" x14ac:dyDescent="0.2">
      <c r="A8" s="5089" t="s">
        <v>902</v>
      </c>
      <c r="B8" s="5088" t="s">
        <v>2120</v>
      </c>
      <c r="C8" s="5090" t="s">
        <v>2121</v>
      </c>
      <c r="D8" s="1815" t="s">
        <v>2122</v>
      </c>
      <c r="F8" s="1815" t="s">
        <v>2123</v>
      </c>
      <c r="G8" s="1815" t="s">
        <v>2124</v>
      </c>
    </row>
    <row r="9" spans="1:8" ht="12" customHeight="1" x14ac:dyDescent="0.2">
      <c r="A9" s="5089"/>
      <c r="B9" s="5088"/>
      <c r="C9" s="5090"/>
      <c r="D9" s="1815">
        <v>1</v>
      </c>
      <c r="F9" s="1815">
        <v>8</v>
      </c>
      <c r="G9" s="1815">
        <v>28</v>
      </c>
      <c r="H9" s="2094">
        <f>1.92*F9*SQRT(G9)</f>
        <v>81.277480275904225</v>
      </c>
    </row>
    <row r="10" spans="1:8" ht="12" customHeight="1" x14ac:dyDescent="0.2">
      <c r="A10" s="5089"/>
      <c r="B10" s="5088"/>
      <c r="C10" s="5090"/>
      <c r="D10" s="1815">
        <v>2</v>
      </c>
      <c r="F10" s="1815">
        <v>8</v>
      </c>
      <c r="G10" s="1815">
        <v>28</v>
      </c>
      <c r="H10" s="2094">
        <f>1.92*F10*SQRT(G10)</f>
        <v>81.277480275904225</v>
      </c>
    </row>
    <row r="11" spans="1:8" ht="20.100000000000001" customHeight="1" x14ac:dyDescent="0.2">
      <c r="A11" s="5089"/>
      <c r="B11" s="5088"/>
      <c r="C11" s="5090"/>
      <c r="D11" s="1815">
        <v>3</v>
      </c>
      <c r="F11" s="1815">
        <v>8</v>
      </c>
      <c r="G11" s="1815">
        <v>28</v>
      </c>
      <c r="H11" s="2094">
        <f t="shared" ref="H11:H39" si="0">1.92*F11*SQRT(G11)</f>
        <v>81.277480275904225</v>
      </c>
    </row>
    <row r="12" spans="1:8" ht="20.100000000000001" customHeight="1" x14ac:dyDescent="0.2">
      <c r="A12" s="5089"/>
      <c r="B12" s="5088"/>
      <c r="C12" s="5090"/>
      <c r="D12" s="1815">
        <v>4</v>
      </c>
      <c r="F12" s="1815">
        <v>2</v>
      </c>
      <c r="G12" s="1815">
        <v>30</v>
      </c>
      <c r="H12" s="2094">
        <f t="shared" si="0"/>
        <v>21.032546208198379</v>
      </c>
    </row>
    <row r="13" spans="1:8" ht="20.100000000000001" customHeight="1" x14ac:dyDescent="0.2">
      <c r="A13" s="5089"/>
      <c r="B13" s="5088"/>
      <c r="C13" s="5090"/>
      <c r="D13" s="1815">
        <v>5</v>
      </c>
      <c r="F13" s="1815">
        <v>3</v>
      </c>
      <c r="G13" s="1815">
        <v>30</v>
      </c>
      <c r="H13" s="2094">
        <f t="shared" si="0"/>
        <v>31.548819312297567</v>
      </c>
    </row>
    <row r="14" spans="1:8" ht="20.100000000000001" customHeight="1" x14ac:dyDescent="0.2">
      <c r="A14" s="5089"/>
      <c r="B14" s="5088"/>
      <c r="C14" s="5090"/>
      <c r="D14" s="1815">
        <v>6</v>
      </c>
      <c r="F14" s="1815">
        <v>3</v>
      </c>
      <c r="G14" s="1815">
        <v>30</v>
      </c>
      <c r="H14" s="2094">
        <f t="shared" si="0"/>
        <v>31.548819312297567</v>
      </c>
    </row>
    <row r="15" spans="1:8" ht="20.100000000000001" customHeight="1" x14ac:dyDescent="0.2">
      <c r="A15" s="5089"/>
      <c r="B15" s="5088"/>
      <c r="C15" s="5090"/>
      <c r="D15" s="1815">
        <v>7</v>
      </c>
      <c r="F15" s="1815">
        <v>3</v>
      </c>
      <c r="G15" s="1815">
        <v>40</v>
      </c>
      <c r="H15" s="2094">
        <f t="shared" si="0"/>
        <v>36.429438645139733</v>
      </c>
    </row>
    <row r="16" spans="1:8" ht="20.100000000000001" customHeight="1" x14ac:dyDescent="0.2">
      <c r="A16" s="5089"/>
      <c r="B16" s="5088"/>
      <c r="C16" s="5090"/>
      <c r="D16" s="1815">
        <v>8</v>
      </c>
      <c r="F16" s="1815">
        <v>3</v>
      </c>
      <c r="G16" s="1815">
        <v>40</v>
      </c>
      <c r="H16" s="2094">
        <f t="shared" si="0"/>
        <v>36.429438645139733</v>
      </c>
    </row>
    <row r="17" spans="1:8" ht="20.100000000000001" customHeight="1" x14ac:dyDescent="0.2">
      <c r="A17" s="5089"/>
      <c r="B17" s="5088"/>
      <c r="C17" s="5090"/>
      <c r="D17" s="1815">
        <v>9</v>
      </c>
      <c r="F17" s="1815">
        <v>4</v>
      </c>
      <c r="G17" s="1815">
        <v>28</v>
      </c>
      <c r="H17" s="2094">
        <f t="shared" si="0"/>
        <v>40.638740137952112</v>
      </c>
    </row>
    <row r="18" spans="1:8" ht="20.100000000000001" customHeight="1" x14ac:dyDescent="0.2">
      <c r="A18" s="5089"/>
      <c r="B18" s="5088"/>
      <c r="C18" s="5090"/>
      <c r="D18" s="1815">
        <v>10</v>
      </c>
      <c r="F18" s="1815">
        <v>4</v>
      </c>
      <c r="G18" s="1815">
        <v>28</v>
      </c>
      <c r="H18" s="2094">
        <f t="shared" si="0"/>
        <v>40.638740137952112</v>
      </c>
    </row>
    <row r="19" spans="1:8" ht="20.100000000000001" customHeight="1" x14ac:dyDescent="0.2">
      <c r="A19" s="5089"/>
      <c r="B19" s="5088"/>
      <c r="C19" s="5090"/>
      <c r="D19" s="1815">
        <v>11</v>
      </c>
      <c r="F19" s="1815">
        <v>4</v>
      </c>
      <c r="G19" s="1815">
        <v>28</v>
      </c>
      <c r="H19" s="2094">
        <f t="shared" si="0"/>
        <v>40.638740137952112</v>
      </c>
    </row>
    <row r="20" spans="1:8" ht="20.100000000000001" customHeight="1" x14ac:dyDescent="0.2">
      <c r="A20" s="5089"/>
      <c r="B20" s="5088"/>
      <c r="C20" s="5090"/>
      <c r="D20" s="1815">
        <v>12</v>
      </c>
      <c r="F20" s="1815">
        <v>8</v>
      </c>
      <c r="G20" s="1815">
        <v>28</v>
      </c>
      <c r="H20" s="2094">
        <f t="shared" si="0"/>
        <v>81.277480275904225</v>
      </c>
    </row>
    <row r="21" spans="1:8" ht="20.100000000000001" customHeight="1" x14ac:dyDescent="0.2">
      <c r="A21" s="5089"/>
      <c r="B21" s="5088"/>
      <c r="C21" s="5090"/>
      <c r="D21" s="1815">
        <v>13</v>
      </c>
      <c r="F21" s="1815">
        <v>8</v>
      </c>
      <c r="G21" s="1815">
        <v>28</v>
      </c>
      <c r="H21" s="2094">
        <f t="shared" si="0"/>
        <v>81.277480275904225</v>
      </c>
    </row>
    <row r="22" spans="1:8" ht="20.100000000000001" customHeight="1" x14ac:dyDescent="0.2">
      <c r="A22" s="5089"/>
      <c r="B22" s="5088"/>
      <c r="C22" s="5090"/>
      <c r="D22" s="1815">
        <v>14</v>
      </c>
      <c r="F22" s="1815">
        <v>8</v>
      </c>
      <c r="G22" s="1815">
        <v>30</v>
      </c>
      <c r="H22" s="2094">
        <f t="shared" si="0"/>
        <v>84.130184832793518</v>
      </c>
    </row>
    <row r="23" spans="1:8" ht="20.100000000000001" customHeight="1" x14ac:dyDescent="0.2">
      <c r="A23" s="5089"/>
      <c r="B23" s="5088"/>
      <c r="C23" s="5090"/>
      <c r="D23" s="1815">
        <v>15</v>
      </c>
      <c r="F23" s="1815">
        <v>8</v>
      </c>
      <c r="G23" s="1815">
        <v>30</v>
      </c>
      <c r="H23" s="2094">
        <f t="shared" si="0"/>
        <v>84.130184832793518</v>
      </c>
    </row>
    <row r="24" spans="1:8" ht="20.100000000000001" customHeight="1" x14ac:dyDescent="0.2">
      <c r="A24" s="5089"/>
      <c r="B24" s="5088"/>
      <c r="C24" s="5090"/>
      <c r="D24" s="1815">
        <v>16</v>
      </c>
      <c r="F24" s="1815">
        <v>8</v>
      </c>
      <c r="G24" s="1815">
        <v>32</v>
      </c>
      <c r="H24" s="2094">
        <f t="shared" si="0"/>
        <v>86.889281272202965</v>
      </c>
    </row>
    <row r="25" spans="1:8" ht="20.100000000000001" customHeight="1" x14ac:dyDescent="0.2">
      <c r="A25" s="5089"/>
      <c r="B25" s="5088"/>
      <c r="C25" s="5090"/>
      <c r="D25" s="1815">
        <v>17</v>
      </c>
      <c r="F25" s="1815">
        <v>8</v>
      </c>
      <c r="G25" s="1815">
        <v>32</v>
      </c>
      <c r="H25" s="2094">
        <f t="shared" si="0"/>
        <v>86.889281272202965</v>
      </c>
    </row>
    <row r="26" spans="1:8" ht="20.100000000000001" customHeight="1" x14ac:dyDescent="0.2">
      <c r="A26" s="5089"/>
      <c r="B26" s="5088"/>
      <c r="C26" s="5090"/>
      <c r="D26" s="1815">
        <v>18</v>
      </c>
      <c r="F26" s="1815">
        <v>8</v>
      </c>
      <c r="G26" s="1815">
        <v>35</v>
      </c>
      <c r="H26" s="2094">
        <f t="shared" si="0"/>
        <v>90.870985468410097</v>
      </c>
    </row>
    <row r="27" spans="1:8" ht="20.100000000000001" customHeight="1" x14ac:dyDescent="0.2">
      <c r="A27" s="5089"/>
      <c r="B27" s="5088"/>
      <c r="C27" s="5090"/>
      <c r="D27" s="1815">
        <v>19</v>
      </c>
      <c r="F27" s="1815">
        <v>8</v>
      </c>
      <c r="G27" s="1815">
        <v>35</v>
      </c>
      <c r="H27" s="2094">
        <f t="shared" si="0"/>
        <v>90.870985468410097</v>
      </c>
    </row>
    <row r="28" spans="1:8" ht="20.100000000000001" customHeight="1" x14ac:dyDescent="0.2">
      <c r="A28" s="5089"/>
      <c r="B28" s="5088"/>
      <c r="C28" s="5090"/>
      <c r="D28" s="1815">
        <v>20</v>
      </c>
      <c r="F28" s="1815">
        <v>8</v>
      </c>
      <c r="G28" s="1815">
        <v>40</v>
      </c>
      <c r="H28" s="2094">
        <f t="shared" si="0"/>
        <v>97.145169720372621</v>
      </c>
    </row>
    <row r="29" spans="1:8" ht="20.100000000000001" customHeight="1" x14ac:dyDescent="0.2">
      <c r="A29" s="5089"/>
      <c r="B29" s="5088"/>
      <c r="C29" s="5090"/>
      <c r="D29" s="1815">
        <v>21</v>
      </c>
      <c r="F29" s="1815">
        <v>8</v>
      </c>
      <c r="G29" s="1815">
        <v>40</v>
      </c>
      <c r="H29" s="2094">
        <f t="shared" si="0"/>
        <v>97.145169720372621</v>
      </c>
    </row>
    <row r="30" spans="1:8" ht="20.100000000000001" customHeight="1" x14ac:dyDescent="0.2">
      <c r="A30" s="5089"/>
      <c r="B30" s="5088"/>
      <c r="C30" s="5090"/>
      <c r="D30" s="1815">
        <v>22</v>
      </c>
      <c r="F30" s="1815">
        <v>8</v>
      </c>
      <c r="G30" s="1815">
        <v>42</v>
      </c>
      <c r="H30" s="2094">
        <f t="shared" si="0"/>
        <v>99.544177127544728</v>
      </c>
    </row>
    <row r="31" spans="1:8" ht="20.100000000000001" customHeight="1" x14ac:dyDescent="0.2">
      <c r="A31" s="5089"/>
      <c r="B31" s="5088"/>
      <c r="C31" s="5090"/>
      <c r="D31" s="1815">
        <v>23</v>
      </c>
      <c r="F31" s="1815">
        <v>8</v>
      </c>
      <c r="G31" s="1815">
        <v>45</v>
      </c>
      <c r="H31" s="2094">
        <f t="shared" si="0"/>
        <v>103.03801240319031</v>
      </c>
    </row>
    <row r="32" spans="1:8" ht="18.75" customHeight="1" x14ac:dyDescent="0.2">
      <c r="A32" s="5089"/>
      <c r="B32" s="5088"/>
      <c r="C32" s="5090"/>
      <c r="D32" s="1815">
        <v>24</v>
      </c>
      <c r="F32" s="1815">
        <v>8</v>
      </c>
      <c r="G32" s="1815">
        <v>28</v>
      </c>
      <c r="H32" s="2094">
        <f t="shared" si="0"/>
        <v>81.277480275904225</v>
      </c>
    </row>
    <row r="33" spans="1:8" ht="19.5" customHeight="1" x14ac:dyDescent="0.2">
      <c r="A33" s="5089"/>
      <c r="B33" s="5088"/>
      <c r="C33" s="5090"/>
      <c r="D33" s="1815">
        <v>25</v>
      </c>
      <c r="F33" s="1815">
        <v>8</v>
      </c>
      <c r="G33" s="1815">
        <v>28</v>
      </c>
      <c r="H33" s="2094">
        <f t="shared" si="0"/>
        <v>81.277480275904225</v>
      </c>
    </row>
    <row r="34" spans="1:8" x14ac:dyDescent="0.2">
      <c r="A34" s="5089"/>
      <c r="B34" s="5088"/>
      <c r="C34" s="5090"/>
      <c r="D34" s="1815">
        <v>26</v>
      </c>
      <c r="F34" s="1815">
        <v>8</v>
      </c>
      <c r="G34" s="1815">
        <v>28</v>
      </c>
      <c r="H34" s="2094">
        <f t="shared" si="0"/>
        <v>81.277480275904225</v>
      </c>
    </row>
    <row r="35" spans="1:8" x14ac:dyDescent="0.2">
      <c r="A35" s="5089"/>
      <c r="B35" s="5088"/>
      <c r="C35" s="5090"/>
      <c r="D35" s="1815">
        <v>27</v>
      </c>
      <c r="F35" s="1815">
        <v>8</v>
      </c>
      <c r="G35" s="1815">
        <v>30</v>
      </c>
      <c r="H35" s="2094">
        <f t="shared" si="0"/>
        <v>84.130184832793518</v>
      </c>
    </row>
    <row r="36" spans="1:8" x14ac:dyDescent="0.2">
      <c r="A36" s="5089"/>
      <c r="B36" s="5088"/>
      <c r="C36" s="5090"/>
      <c r="D36" s="1815">
        <v>28</v>
      </c>
      <c r="F36" s="1815">
        <v>8</v>
      </c>
      <c r="G36" s="1815">
        <v>30</v>
      </c>
      <c r="H36" s="2094">
        <f t="shared" si="0"/>
        <v>84.130184832793518</v>
      </c>
    </row>
    <row r="37" spans="1:8" x14ac:dyDescent="0.2">
      <c r="A37" s="5089"/>
      <c r="B37" s="5088"/>
      <c r="C37" s="5090"/>
      <c r="D37" s="1815">
        <v>29</v>
      </c>
      <c r="F37" s="1815">
        <v>8</v>
      </c>
      <c r="G37" s="1815">
        <v>32</v>
      </c>
      <c r="H37" s="2094">
        <f t="shared" si="0"/>
        <v>86.889281272202965</v>
      </c>
    </row>
    <row r="38" spans="1:8" x14ac:dyDescent="0.2">
      <c r="A38" s="5089"/>
      <c r="B38" s="5088"/>
      <c r="C38" s="5090"/>
      <c r="D38" s="1815">
        <v>30</v>
      </c>
      <c r="F38" s="1815">
        <v>8</v>
      </c>
      <c r="G38" s="1815">
        <v>28</v>
      </c>
      <c r="H38" s="2094">
        <f t="shared" si="0"/>
        <v>81.277480275904225</v>
      </c>
    </row>
    <row r="39" spans="1:8" x14ac:dyDescent="0.2">
      <c r="A39" s="5089"/>
      <c r="B39" s="5088"/>
      <c r="C39" s="5090"/>
      <c r="D39" s="1815">
        <v>31</v>
      </c>
      <c r="F39" s="1815">
        <v>8</v>
      </c>
      <c r="G39" s="1815">
        <v>28</v>
      </c>
      <c r="H39" s="2094">
        <f t="shared" si="0"/>
        <v>81.277480275904225</v>
      </c>
    </row>
    <row r="40" spans="1:8" ht="24" hidden="1" customHeight="1" x14ac:dyDescent="0.2">
      <c r="A40" s="5089"/>
      <c r="B40" s="5088"/>
      <c r="C40" s="5090"/>
      <c r="D40" s="1815">
        <v>32</v>
      </c>
      <c r="H40" s="2094">
        <f t="shared" ref="H40:H53" si="1">1.92*F40*SQRT(G40)</f>
        <v>0</v>
      </c>
    </row>
    <row r="41" spans="1:8" ht="20.100000000000001" hidden="1" customHeight="1" x14ac:dyDescent="0.2">
      <c r="A41" s="5089"/>
      <c r="B41" s="5088"/>
      <c r="C41" s="5090"/>
      <c r="D41" s="1815">
        <v>33</v>
      </c>
      <c r="H41" s="2094">
        <f t="shared" si="1"/>
        <v>0</v>
      </c>
    </row>
    <row r="42" spans="1:8" ht="20.100000000000001" hidden="1" customHeight="1" x14ac:dyDescent="0.2">
      <c r="A42" s="5089"/>
      <c r="B42" s="5088"/>
      <c r="C42" s="5090"/>
      <c r="D42" s="1815">
        <v>34</v>
      </c>
      <c r="H42" s="2094">
        <f t="shared" si="1"/>
        <v>0</v>
      </c>
    </row>
    <row r="43" spans="1:8" ht="20.100000000000001" hidden="1" customHeight="1" x14ac:dyDescent="0.2">
      <c r="A43" s="5089"/>
      <c r="B43" s="5088"/>
      <c r="C43" s="5090"/>
      <c r="D43" s="1815">
        <v>35</v>
      </c>
      <c r="H43" s="2094">
        <f t="shared" si="1"/>
        <v>0</v>
      </c>
    </row>
    <row r="44" spans="1:8" ht="20.100000000000001" hidden="1" customHeight="1" x14ac:dyDescent="0.2">
      <c r="A44" s="5089"/>
      <c r="B44" s="5088"/>
      <c r="C44" s="5090"/>
      <c r="D44" s="1815">
        <v>36</v>
      </c>
      <c r="H44" s="2094">
        <f t="shared" si="1"/>
        <v>0</v>
      </c>
    </row>
    <row r="45" spans="1:8" ht="20.100000000000001" hidden="1" customHeight="1" x14ac:dyDescent="0.2">
      <c r="A45" s="5089"/>
      <c r="B45" s="5088"/>
      <c r="C45" s="5090"/>
      <c r="D45" s="1815">
        <v>37</v>
      </c>
      <c r="H45" s="2094">
        <f t="shared" si="1"/>
        <v>0</v>
      </c>
    </row>
    <row r="46" spans="1:8" ht="20.100000000000001" hidden="1" customHeight="1" x14ac:dyDescent="0.2">
      <c r="A46" s="5089"/>
      <c r="B46" s="5088"/>
      <c r="C46" s="5090"/>
      <c r="D46" s="1815">
        <v>38</v>
      </c>
      <c r="H46" s="2094">
        <f t="shared" si="1"/>
        <v>0</v>
      </c>
    </row>
    <row r="47" spans="1:8" ht="20.100000000000001" hidden="1" customHeight="1" x14ac:dyDescent="0.2">
      <c r="A47" s="5089"/>
      <c r="B47" s="5088"/>
      <c r="C47" s="5090"/>
      <c r="D47" s="1815">
        <v>39</v>
      </c>
      <c r="H47" s="2094">
        <f t="shared" si="1"/>
        <v>0</v>
      </c>
    </row>
    <row r="48" spans="1:8" ht="20.100000000000001" hidden="1" customHeight="1" x14ac:dyDescent="0.2">
      <c r="A48" s="5089"/>
      <c r="B48" s="5088"/>
      <c r="C48" s="5090"/>
      <c r="D48" s="1815">
        <v>40</v>
      </c>
      <c r="H48" s="2094">
        <f t="shared" si="1"/>
        <v>0</v>
      </c>
    </row>
    <row r="49" spans="1:8" ht="20.100000000000001" hidden="1" customHeight="1" x14ac:dyDescent="0.2">
      <c r="A49" s="5089"/>
      <c r="B49" s="5088"/>
      <c r="C49" s="5090"/>
      <c r="D49" s="1815">
        <v>41</v>
      </c>
      <c r="H49" s="2094">
        <f t="shared" si="1"/>
        <v>0</v>
      </c>
    </row>
    <row r="50" spans="1:8" ht="20.100000000000001" hidden="1" customHeight="1" x14ac:dyDescent="0.2">
      <c r="A50" s="5089"/>
      <c r="B50" s="5088"/>
      <c r="C50" s="5090"/>
      <c r="D50" s="1815">
        <v>42</v>
      </c>
      <c r="H50" s="2094">
        <f t="shared" si="1"/>
        <v>0</v>
      </c>
    </row>
    <row r="51" spans="1:8" ht="20.100000000000001" hidden="1" customHeight="1" x14ac:dyDescent="0.2">
      <c r="A51" s="5089"/>
      <c r="B51" s="5088"/>
      <c r="C51" s="5090"/>
      <c r="D51" s="1815">
        <v>43</v>
      </c>
      <c r="H51" s="2094">
        <f t="shared" si="1"/>
        <v>0</v>
      </c>
    </row>
    <row r="52" spans="1:8" ht="20.100000000000001" hidden="1" customHeight="1" x14ac:dyDescent="0.2">
      <c r="A52" s="5089"/>
      <c r="B52" s="5088"/>
      <c r="C52" s="5090"/>
      <c r="D52" s="1815">
        <v>44</v>
      </c>
      <c r="H52" s="2094">
        <f t="shared" si="1"/>
        <v>0</v>
      </c>
    </row>
    <row r="53" spans="1:8" x14ac:dyDescent="0.2">
      <c r="A53" s="5089"/>
      <c r="B53" s="5088"/>
      <c r="C53" s="5090"/>
      <c r="H53" s="2094">
        <f t="shared" si="1"/>
        <v>0</v>
      </c>
    </row>
    <row r="54" spans="1:8" ht="20.100000000000001" customHeight="1" x14ac:dyDescent="0.2">
      <c r="A54" s="5089"/>
      <c r="B54" s="5088"/>
      <c r="C54" s="5090"/>
      <c r="D54" s="5090" t="s">
        <v>54</v>
      </c>
      <c r="E54" s="5090"/>
      <c r="F54" s="5090"/>
      <c r="G54" s="5090"/>
      <c r="H54" s="2122">
        <f>SUM(H8:H53)</f>
        <v>2267.4831683520547</v>
      </c>
    </row>
    <row r="55" spans="1:8" ht="25.5" customHeight="1" x14ac:dyDescent="0.2">
      <c r="A55" s="5088" t="s">
        <v>904</v>
      </c>
      <c r="B55" s="5088" t="s">
        <v>2125</v>
      </c>
      <c r="C55" s="5090" t="s">
        <v>2126</v>
      </c>
      <c r="D55" s="1815" t="s">
        <v>2122</v>
      </c>
      <c r="E55" s="1815" t="s">
        <v>2127</v>
      </c>
      <c r="F55" s="1815" t="s">
        <v>2123</v>
      </c>
      <c r="G55" s="1815" t="s">
        <v>2124</v>
      </c>
    </row>
    <row r="56" spans="1:8" ht="20.100000000000001" customHeight="1" x14ac:dyDescent="0.2">
      <c r="A56" s="5088"/>
      <c r="B56" s="5088"/>
      <c r="C56" s="5090"/>
      <c r="D56" s="1815">
        <v>1</v>
      </c>
      <c r="E56" s="1815">
        <v>0.15</v>
      </c>
      <c r="F56" s="1815">
        <v>8</v>
      </c>
      <c r="G56" s="1815">
        <v>40</v>
      </c>
      <c r="H56" s="2094">
        <f>374.4*E56*E56*F56*SQRT(G56)</f>
        <v>426.22443214813484</v>
      </c>
    </row>
    <row r="57" spans="1:8" ht="20.100000000000001" customHeight="1" x14ac:dyDescent="0.2">
      <c r="A57" s="5088"/>
      <c r="B57" s="5088"/>
      <c r="C57" s="5090"/>
      <c r="D57" s="1815">
        <v>2</v>
      </c>
      <c r="E57" s="1815">
        <v>0.15</v>
      </c>
      <c r="F57" s="1815">
        <v>8</v>
      </c>
      <c r="G57" s="1815">
        <v>40</v>
      </c>
      <c r="H57" s="2094">
        <f t="shared" ref="H57:H67" si="2">374.4*E57*E57*F57*SQRT(G57)</f>
        <v>426.22443214813484</v>
      </c>
    </row>
    <row r="58" spans="1:8" ht="20.100000000000001" customHeight="1" x14ac:dyDescent="0.2">
      <c r="A58" s="5088"/>
      <c r="B58" s="5088"/>
      <c r="C58" s="5090"/>
      <c r="D58" s="1815">
        <v>3</v>
      </c>
      <c r="E58" s="1815">
        <v>0.15</v>
      </c>
      <c r="F58" s="1815">
        <v>6</v>
      </c>
      <c r="G58" s="1815">
        <v>40</v>
      </c>
      <c r="H58" s="2094">
        <f t="shared" si="2"/>
        <v>319.66832411110113</v>
      </c>
    </row>
    <row r="59" spans="1:8" ht="20.100000000000001" customHeight="1" x14ac:dyDescent="0.2">
      <c r="A59" s="5088"/>
      <c r="B59" s="5088"/>
      <c r="C59" s="5090"/>
      <c r="D59" s="1815">
        <v>4</v>
      </c>
      <c r="E59" s="1815">
        <v>0.15</v>
      </c>
      <c r="F59" s="1815">
        <v>4</v>
      </c>
      <c r="G59" s="1815">
        <v>35</v>
      </c>
      <c r="H59" s="2094">
        <f t="shared" si="2"/>
        <v>199.34822437132465</v>
      </c>
    </row>
    <row r="60" spans="1:8" ht="20.100000000000001" customHeight="1" x14ac:dyDescent="0.2">
      <c r="A60" s="5088"/>
      <c r="B60" s="5088"/>
      <c r="C60" s="5090"/>
      <c r="D60" s="1815">
        <v>5</v>
      </c>
      <c r="E60" s="1815">
        <v>0.15</v>
      </c>
      <c r="F60" s="1815">
        <v>4</v>
      </c>
      <c r="G60" s="1815">
        <v>30</v>
      </c>
      <c r="H60" s="2094">
        <f t="shared" si="2"/>
        <v>184.56059297694077</v>
      </c>
    </row>
    <row r="61" spans="1:8" ht="20.100000000000001" customHeight="1" x14ac:dyDescent="0.2">
      <c r="A61" s="5088"/>
      <c r="B61" s="5088"/>
      <c r="C61" s="5090"/>
      <c r="D61" s="1815">
        <v>6</v>
      </c>
      <c r="E61" s="1815">
        <v>0.1</v>
      </c>
      <c r="F61" s="1815">
        <v>6</v>
      </c>
      <c r="G61" s="1815">
        <v>30</v>
      </c>
      <c r="H61" s="2094">
        <f t="shared" si="2"/>
        <v>123.0403953179605</v>
      </c>
    </row>
    <row r="62" spans="1:8" ht="20.100000000000001" customHeight="1" x14ac:dyDescent="0.2">
      <c r="A62" s="5088"/>
      <c r="B62" s="5088"/>
      <c r="C62" s="5090"/>
      <c r="D62" s="1815">
        <v>7</v>
      </c>
      <c r="E62" s="1815">
        <v>0.1</v>
      </c>
      <c r="F62" s="1815">
        <v>6</v>
      </c>
      <c r="G62" s="1815">
        <v>30</v>
      </c>
      <c r="H62" s="2094">
        <f t="shared" si="2"/>
        <v>123.0403953179605</v>
      </c>
    </row>
    <row r="63" spans="1:8" ht="20.100000000000001" customHeight="1" x14ac:dyDescent="0.2">
      <c r="A63" s="5088"/>
      <c r="B63" s="5088"/>
      <c r="C63" s="5090"/>
      <c r="D63" s="1815">
        <v>8</v>
      </c>
      <c r="E63" s="1815">
        <v>0.1</v>
      </c>
      <c r="F63" s="1815">
        <v>6</v>
      </c>
      <c r="G63" s="1815">
        <v>30</v>
      </c>
      <c r="H63" s="2094">
        <f t="shared" si="2"/>
        <v>123.0403953179605</v>
      </c>
    </row>
    <row r="64" spans="1:8" ht="20.100000000000001" customHeight="1" x14ac:dyDescent="0.2">
      <c r="A64" s="5088"/>
      <c r="B64" s="5088"/>
      <c r="C64" s="5090"/>
      <c r="D64" s="1815">
        <v>9</v>
      </c>
      <c r="E64" s="1815">
        <v>0.1</v>
      </c>
      <c r="F64" s="1815">
        <v>4</v>
      </c>
      <c r="G64" s="1815">
        <v>30</v>
      </c>
      <c r="H64" s="2094">
        <f t="shared" si="2"/>
        <v>82.026930211973678</v>
      </c>
    </row>
    <row r="65" spans="1:8" ht="20.100000000000001" customHeight="1" x14ac:dyDescent="0.2">
      <c r="A65" s="5088"/>
      <c r="B65" s="5088"/>
      <c r="C65" s="5090"/>
      <c r="D65" s="1815">
        <v>10</v>
      </c>
      <c r="E65" s="1815">
        <v>0.5</v>
      </c>
      <c r="F65" s="1815">
        <v>12</v>
      </c>
      <c r="G65" s="1815">
        <v>32</v>
      </c>
      <c r="H65" s="2094">
        <f t="shared" si="2"/>
        <v>6353.7786930298407</v>
      </c>
    </row>
    <row r="66" spans="1:8" ht="20.100000000000001" customHeight="1" x14ac:dyDescent="0.2">
      <c r="A66" s="5088"/>
      <c r="B66" s="5088"/>
      <c r="C66" s="5090"/>
      <c r="D66" s="1815">
        <v>11</v>
      </c>
      <c r="E66" s="1815">
        <v>0.5</v>
      </c>
      <c r="F66" s="1815">
        <v>12</v>
      </c>
      <c r="G66" s="1815">
        <v>2.8</v>
      </c>
      <c r="H66" s="2094">
        <f t="shared" si="2"/>
        <v>1879.4730836061469</v>
      </c>
    </row>
    <row r="67" spans="1:8" ht="20.100000000000001" customHeight="1" x14ac:dyDescent="0.2">
      <c r="A67" s="5088"/>
      <c r="B67" s="5088"/>
      <c r="C67" s="5090"/>
      <c r="D67" s="1815">
        <v>12</v>
      </c>
      <c r="E67" s="1815">
        <v>0.5</v>
      </c>
      <c r="F67" s="1815">
        <v>12</v>
      </c>
      <c r="G67" s="1815">
        <v>2.8</v>
      </c>
      <c r="H67" s="2094">
        <f t="shared" si="2"/>
        <v>1879.4730836061469</v>
      </c>
    </row>
    <row r="68" spans="1:8" ht="20.100000000000001" customHeight="1" x14ac:dyDescent="0.2">
      <c r="A68" s="5088"/>
      <c r="B68" s="5088"/>
      <c r="C68" s="5090"/>
      <c r="D68" s="5090" t="s">
        <v>54</v>
      </c>
      <c r="E68" s="5090"/>
      <c r="F68" s="5090"/>
      <c r="G68" s="5090"/>
      <c r="H68" s="2122">
        <f>SUM(H56:H67)</f>
        <v>12119.898982163624</v>
      </c>
    </row>
    <row r="69" spans="1:8" ht="31.5" customHeight="1" x14ac:dyDescent="0.2">
      <c r="A69" s="5088" t="s">
        <v>906</v>
      </c>
      <c r="B69" s="5088" t="s">
        <v>2128</v>
      </c>
      <c r="C69" s="5090" t="s">
        <v>2129</v>
      </c>
      <c r="D69" s="1815" t="s">
        <v>2122</v>
      </c>
      <c r="E69" s="1815" t="s">
        <v>2127</v>
      </c>
      <c r="F69" s="1815" t="s">
        <v>2123</v>
      </c>
      <c r="G69" s="1815" t="s">
        <v>2124</v>
      </c>
    </row>
    <row r="70" spans="1:8" ht="20.100000000000001" customHeight="1" x14ac:dyDescent="0.2">
      <c r="A70" s="5088"/>
      <c r="B70" s="5088"/>
      <c r="C70" s="5090"/>
      <c r="D70" s="1815">
        <v>1</v>
      </c>
      <c r="E70" s="1815">
        <v>0.25</v>
      </c>
      <c r="F70" s="1815">
        <v>1.5</v>
      </c>
      <c r="G70" s="1815">
        <v>2.5</v>
      </c>
      <c r="H70" s="2094">
        <f>5652*E70*E70*F70*SQRT(G70)</f>
        <v>837.80593759086003</v>
      </c>
    </row>
    <row r="71" spans="1:8" ht="20.100000000000001" customHeight="1" x14ac:dyDescent="0.2">
      <c r="A71" s="5088"/>
      <c r="B71" s="5088"/>
      <c r="C71" s="5090"/>
      <c r="D71" s="1815">
        <v>2</v>
      </c>
      <c r="E71" s="1815">
        <v>0.2</v>
      </c>
      <c r="F71" s="1815">
        <v>1</v>
      </c>
      <c r="G71" s="1815">
        <v>2.5</v>
      </c>
      <c r="H71" s="2094">
        <f t="shared" ref="H71:H79" si="3">5652*E71*E71*F71*SQRT(G71)</f>
        <v>357.4638667054337</v>
      </c>
    </row>
    <row r="72" spans="1:8" ht="20.100000000000001" customHeight="1" x14ac:dyDescent="0.2">
      <c r="A72" s="5088"/>
      <c r="B72" s="5088"/>
      <c r="C72" s="5090"/>
      <c r="D72" s="1815">
        <v>3</v>
      </c>
      <c r="E72" s="1815">
        <v>0.25</v>
      </c>
      <c r="F72" s="1815">
        <v>1.5</v>
      </c>
      <c r="G72" s="1815">
        <v>2.5</v>
      </c>
      <c r="H72" s="2094">
        <f t="shared" si="3"/>
        <v>837.80593759086003</v>
      </c>
    </row>
    <row r="73" spans="1:8" ht="20.100000000000001" customHeight="1" x14ac:dyDescent="0.2">
      <c r="A73" s="5088"/>
      <c r="B73" s="5088"/>
      <c r="C73" s="5090"/>
      <c r="D73" s="1815">
        <v>4</v>
      </c>
      <c r="E73" s="1815">
        <v>0.15</v>
      </c>
      <c r="F73" s="1815">
        <v>1.2</v>
      </c>
      <c r="G73" s="1815">
        <v>2.5</v>
      </c>
      <c r="H73" s="2094">
        <f t="shared" si="3"/>
        <v>241.28811002616766</v>
      </c>
    </row>
    <row r="74" spans="1:8" ht="20.100000000000001" customHeight="1" x14ac:dyDescent="0.2">
      <c r="A74" s="5088"/>
      <c r="B74" s="5088"/>
      <c r="C74" s="5090"/>
      <c r="D74" s="1815">
        <v>5</v>
      </c>
      <c r="E74" s="1815">
        <v>0.15</v>
      </c>
      <c r="F74" s="1815">
        <v>1</v>
      </c>
      <c r="G74" s="1815">
        <v>2.5</v>
      </c>
      <c r="H74" s="2094">
        <f t="shared" si="3"/>
        <v>201.0734250218064</v>
      </c>
    </row>
    <row r="75" spans="1:8" ht="20.100000000000001" customHeight="1" x14ac:dyDescent="0.2">
      <c r="A75" s="5088"/>
      <c r="B75" s="5088"/>
      <c r="C75" s="5090"/>
      <c r="D75" s="1815">
        <v>6</v>
      </c>
      <c r="E75" s="1815">
        <v>0.15</v>
      </c>
      <c r="F75" s="1815">
        <v>1.5</v>
      </c>
      <c r="G75" s="1815">
        <v>2.5</v>
      </c>
      <c r="H75" s="2094">
        <f t="shared" si="3"/>
        <v>301.61013753270959</v>
      </c>
    </row>
    <row r="76" spans="1:8" ht="20.100000000000001" customHeight="1" x14ac:dyDescent="0.2">
      <c r="A76" s="5088"/>
      <c r="B76" s="5088"/>
      <c r="C76" s="5090"/>
      <c r="D76" s="1815">
        <v>7</v>
      </c>
      <c r="E76" s="1815">
        <v>0.15</v>
      </c>
      <c r="F76" s="1815">
        <v>1.2</v>
      </c>
      <c r="G76" s="1815">
        <v>2.5</v>
      </c>
      <c r="H76" s="2094">
        <f t="shared" si="3"/>
        <v>241.28811002616766</v>
      </c>
    </row>
    <row r="77" spans="1:8" ht="20.100000000000001" customHeight="1" x14ac:dyDescent="0.2">
      <c r="A77" s="5088"/>
      <c r="B77" s="5088"/>
      <c r="C77" s="5090"/>
      <c r="D77" s="1815">
        <v>8</v>
      </c>
      <c r="E77" s="1815">
        <v>0.15</v>
      </c>
      <c r="F77" s="1815">
        <v>1.1000000000000001</v>
      </c>
      <c r="G77" s="1815">
        <v>2.5</v>
      </c>
      <c r="H77" s="2094">
        <f t="shared" si="3"/>
        <v>221.18076752398704</v>
      </c>
    </row>
    <row r="78" spans="1:8" ht="20.100000000000001" customHeight="1" x14ac:dyDescent="0.2">
      <c r="A78" s="5088"/>
      <c r="B78" s="5088"/>
      <c r="C78" s="5090"/>
      <c r="D78" s="1815">
        <v>9</v>
      </c>
      <c r="E78" s="1815">
        <v>0.1</v>
      </c>
      <c r="F78" s="1815">
        <v>1</v>
      </c>
      <c r="G78" s="1815">
        <v>2.5</v>
      </c>
      <c r="H78" s="2094">
        <f t="shared" si="3"/>
        <v>89.365966676358426</v>
      </c>
    </row>
    <row r="79" spans="1:8" ht="20.100000000000001" customHeight="1" x14ac:dyDescent="0.2">
      <c r="A79" s="5088"/>
      <c r="B79" s="5088"/>
      <c r="C79" s="5090"/>
      <c r="D79" s="1815">
        <v>10</v>
      </c>
      <c r="E79" s="1815">
        <v>0.1</v>
      </c>
      <c r="F79" s="1815">
        <v>1</v>
      </c>
      <c r="G79" s="1815">
        <v>2.5</v>
      </c>
      <c r="H79" s="2094">
        <f t="shared" si="3"/>
        <v>89.365966676358426</v>
      </c>
    </row>
    <row r="80" spans="1:8" ht="20.100000000000001" customHeight="1" x14ac:dyDescent="0.2">
      <c r="A80" s="5088"/>
      <c r="B80" s="5088"/>
      <c r="C80" s="5090"/>
      <c r="D80" s="5090" t="s">
        <v>54</v>
      </c>
      <c r="E80" s="5090"/>
      <c r="F80" s="5090"/>
      <c r="G80" s="5090"/>
      <c r="H80" s="2122">
        <f>SUM(H70:H79)</f>
        <v>3418.2482253707085</v>
      </c>
    </row>
    <row r="81" spans="1:9" ht="146.25" customHeight="1" x14ac:dyDescent="0.2">
      <c r="A81" s="5088" t="s">
        <v>922</v>
      </c>
      <c r="B81" s="5088" t="s">
        <v>2130</v>
      </c>
      <c r="C81" s="5090" t="s">
        <v>2131</v>
      </c>
      <c r="D81" s="1815" t="s">
        <v>2132</v>
      </c>
      <c r="E81" s="1815" t="s">
        <v>2133</v>
      </c>
      <c r="F81" s="1815" t="s">
        <v>2134</v>
      </c>
      <c r="G81" s="1815" t="s">
        <v>2135</v>
      </c>
    </row>
    <row r="82" spans="1:9" ht="77.25" customHeight="1" x14ac:dyDescent="0.2">
      <c r="A82" s="5088"/>
      <c r="B82" s="5088"/>
      <c r="C82" s="5090"/>
      <c r="D82" s="1815">
        <v>0.02</v>
      </c>
      <c r="E82" s="1815">
        <v>2800</v>
      </c>
      <c r="F82" s="1815">
        <v>4.3</v>
      </c>
      <c r="G82" s="1815">
        <v>365</v>
      </c>
      <c r="H82" s="2256">
        <f>D82*E82*F82*G82</f>
        <v>87892</v>
      </c>
    </row>
    <row r="83" spans="1:9" ht="123.75" customHeight="1" x14ac:dyDescent="0.2">
      <c r="A83" s="5088" t="s">
        <v>924</v>
      </c>
      <c r="B83" s="5090" t="s">
        <v>2136</v>
      </c>
      <c r="C83" s="5090" t="s">
        <v>2137</v>
      </c>
      <c r="D83" s="1815" t="s">
        <v>2132</v>
      </c>
      <c r="E83" s="1815" t="s">
        <v>2133</v>
      </c>
      <c r="F83" s="1815" t="s">
        <v>2134</v>
      </c>
      <c r="G83" s="1815" t="s">
        <v>2135</v>
      </c>
    </row>
    <row r="84" spans="1:9" ht="33.75" customHeight="1" x14ac:dyDescent="0.2">
      <c r="A84" s="5088"/>
      <c r="B84" s="5090"/>
      <c r="C84" s="5090"/>
      <c r="D84" s="1815">
        <v>4.9100000000000001E-4</v>
      </c>
      <c r="E84" s="1815">
        <v>30</v>
      </c>
      <c r="F84" s="1815">
        <v>101</v>
      </c>
      <c r="G84" s="1815">
        <v>227</v>
      </c>
      <c r="H84" s="2256">
        <f>D84*E84*F84*G84</f>
        <v>337.71471000000003</v>
      </c>
    </row>
    <row r="85" spans="1:9" ht="141" customHeight="1" x14ac:dyDescent="0.2">
      <c r="A85" s="5088" t="s">
        <v>2138</v>
      </c>
      <c r="B85" s="5090" t="s">
        <v>2139</v>
      </c>
      <c r="C85" s="5090" t="s">
        <v>2140</v>
      </c>
      <c r="E85" s="1815" t="s">
        <v>2141</v>
      </c>
      <c r="F85" s="1815" t="s">
        <v>2133</v>
      </c>
      <c r="G85" s="1815" t="s">
        <v>2135</v>
      </c>
    </row>
    <row r="86" spans="1:9" ht="54" customHeight="1" x14ac:dyDescent="0.2">
      <c r="A86" s="5088"/>
      <c r="B86" s="5090"/>
      <c r="C86" s="5090"/>
      <c r="D86" s="1815">
        <v>1.8000000000000001E-4</v>
      </c>
      <c r="E86" s="1815">
        <v>12</v>
      </c>
      <c r="F86" s="1815">
        <v>34</v>
      </c>
      <c r="G86" s="1815">
        <v>365</v>
      </c>
      <c r="H86" s="2094">
        <f>9600*0.0017*D86*SQRT(E86)*20*F86*G86</f>
        <v>2525.7191653288355</v>
      </c>
    </row>
    <row r="87" spans="1:9" ht="27.75" customHeight="1" x14ac:dyDescent="0.2">
      <c r="A87" s="5088" t="s">
        <v>2142</v>
      </c>
      <c r="B87" s="5088" t="s">
        <v>2143</v>
      </c>
      <c r="C87" s="5090" t="s">
        <v>2144</v>
      </c>
      <c r="D87" s="1815" t="s">
        <v>2145</v>
      </c>
      <c r="F87" s="1815" t="s">
        <v>2133</v>
      </c>
      <c r="G87" s="1815" t="s">
        <v>2123</v>
      </c>
      <c r="I87" s="2247" t="s">
        <v>2146</v>
      </c>
    </row>
    <row r="88" spans="1:9" ht="20.100000000000001" customHeight="1" x14ac:dyDescent="0.2">
      <c r="A88" s="5088"/>
      <c r="B88" s="5088"/>
      <c r="C88" s="5090"/>
      <c r="D88" s="1815">
        <v>50</v>
      </c>
      <c r="E88" s="1815">
        <v>16.733499999999999</v>
      </c>
      <c r="F88" s="1815">
        <v>6.7</v>
      </c>
      <c r="G88" s="1815">
        <v>8760</v>
      </c>
      <c r="H88" s="2094">
        <f>G88*E88*F88/1000</f>
        <v>982.12258199999997</v>
      </c>
    </row>
    <row r="89" spans="1:9" ht="20.100000000000001" customHeight="1" x14ac:dyDescent="0.2">
      <c r="A89" s="5088"/>
      <c r="B89" s="5088"/>
      <c r="C89" s="5090"/>
      <c r="D89" s="1815">
        <v>100</v>
      </c>
      <c r="E89" s="1815">
        <v>20.279900000000001</v>
      </c>
      <c r="F89" s="1815">
        <v>16.8</v>
      </c>
      <c r="G89" s="1815">
        <v>8760</v>
      </c>
      <c r="H89" s="2094">
        <f t="shared" ref="H89:H107" si="4">G89*E89*F89/1000</f>
        <v>2984.5523232</v>
      </c>
    </row>
    <row r="90" spans="1:9" ht="20.100000000000001" customHeight="1" x14ac:dyDescent="0.2">
      <c r="A90" s="5088"/>
      <c r="B90" s="5088"/>
      <c r="C90" s="5090"/>
      <c r="D90" s="1815">
        <v>150</v>
      </c>
      <c r="E90" s="1815">
        <v>25.648</v>
      </c>
      <c r="F90" s="1815">
        <v>25.2</v>
      </c>
      <c r="G90" s="1815">
        <v>8760</v>
      </c>
      <c r="H90" s="2094">
        <f t="shared" si="4"/>
        <v>5661.8472959999999</v>
      </c>
    </row>
    <row r="91" spans="1:9" ht="20.100000000000001" customHeight="1" x14ac:dyDescent="0.2">
      <c r="A91" s="5088"/>
      <c r="B91" s="5088"/>
      <c r="C91" s="5090"/>
      <c r="D91" s="1815">
        <v>200</v>
      </c>
      <c r="E91" s="1815">
        <v>4.0561999999999996</v>
      </c>
      <c r="F91" s="1815">
        <v>33.6</v>
      </c>
      <c r="G91" s="1815">
        <v>8760</v>
      </c>
      <c r="H91" s="2094">
        <f t="shared" si="4"/>
        <v>1193.8856832000001</v>
      </c>
    </row>
    <row r="92" spans="1:9" ht="20.100000000000001" customHeight="1" x14ac:dyDescent="0.2">
      <c r="A92" s="5088"/>
      <c r="B92" s="5088"/>
      <c r="C92" s="5090"/>
      <c r="D92" s="1815">
        <v>250</v>
      </c>
      <c r="E92" s="1815">
        <v>13.918699999999999</v>
      </c>
      <c r="F92" s="1815">
        <v>42</v>
      </c>
      <c r="G92" s="1815">
        <v>8760</v>
      </c>
      <c r="H92" s="2094">
        <f t="shared" si="4"/>
        <v>5120.9681039999996</v>
      </c>
    </row>
    <row r="93" spans="1:9" ht="20.100000000000001" customHeight="1" x14ac:dyDescent="0.2">
      <c r="A93" s="5088"/>
      <c r="B93" s="5088"/>
      <c r="C93" s="5090"/>
      <c r="D93" s="1815">
        <v>300</v>
      </c>
      <c r="E93" s="1815">
        <v>0.47349999999999998</v>
      </c>
      <c r="F93" s="1815">
        <v>51</v>
      </c>
      <c r="G93" s="1815">
        <v>8760</v>
      </c>
      <c r="H93" s="2094">
        <f t="shared" si="4"/>
        <v>211.54085999999998</v>
      </c>
    </row>
    <row r="94" spans="1:9" ht="20.100000000000001" customHeight="1" x14ac:dyDescent="0.2">
      <c r="A94" s="5088"/>
      <c r="B94" s="5088"/>
      <c r="C94" s="5090"/>
      <c r="D94" s="1815">
        <v>350</v>
      </c>
      <c r="E94" s="1815">
        <v>2.4906999999999999</v>
      </c>
      <c r="F94" s="1815">
        <v>54</v>
      </c>
      <c r="G94" s="1815">
        <v>8760</v>
      </c>
      <c r="H94" s="2094">
        <f t="shared" si="4"/>
        <v>1178.2007279999998</v>
      </c>
    </row>
    <row r="95" spans="1:9" ht="20.100000000000001" customHeight="1" x14ac:dyDescent="0.2">
      <c r="A95" s="5088"/>
      <c r="B95" s="5088"/>
      <c r="C95" s="5090"/>
      <c r="D95" s="1815">
        <v>400</v>
      </c>
      <c r="E95" s="1815">
        <v>3.9615</v>
      </c>
      <c r="F95" s="1815">
        <v>60</v>
      </c>
      <c r="G95" s="1815">
        <v>8760</v>
      </c>
      <c r="H95" s="2094">
        <f t="shared" si="4"/>
        <v>2082.1644000000001</v>
      </c>
    </row>
    <row r="96" spans="1:9" ht="20.100000000000001" customHeight="1" x14ac:dyDescent="0.2">
      <c r="A96" s="5088"/>
      <c r="B96" s="5088"/>
      <c r="C96" s="5090"/>
      <c r="D96" s="1815">
        <v>450</v>
      </c>
      <c r="E96" s="1815">
        <v>4.4499999999999998E-2</v>
      </c>
      <c r="F96" s="1815">
        <v>63</v>
      </c>
      <c r="G96" s="1815">
        <v>8760</v>
      </c>
      <c r="H96" s="2094">
        <f t="shared" si="4"/>
        <v>24.55866</v>
      </c>
    </row>
    <row r="97" spans="1:8" ht="20.100000000000001" customHeight="1" x14ac:dyDescent="0.2">
      <c r="A97" s="5088"/>
      <c r="B97" s="5088"/>
      <c r="C97" s="5090"/>
      <c r="D97" s="1815">
        <v>500</v>
      </c>
      <c r="E97" s="1815">
        <v>4.8689999999999998</v>
      </c>
      <c r="F97" s="1815">
        <v>66</v>
      </c>
      <c r="G97" s="1815">
        <v>8760</v>
      </c>
      <c r="H97" s="2094">
        <f t="shared" si="4"/>
        <v>2815.0610399999996</v>
      </c>
    </row>
    <row r="98" spans="1:8" ht="20.100000000000001" customHeight="1" x14ac:dyDescent="0.2">
      <c r="A98" s="5088"/>
      <c r="B98" s="5088"/>
      <c r="C98" s="5090"/>
      <c r="D98" s="1815">
        <v>50</v>
      </c>
      <c r="E98" s="1815">
        <v>4.0964999999999998</v>
      </c>
      <c r="F98" s="1815">
        <v>21</v>
      </c>
      <c r="G98" s="1815">
        <v>8760</v>
      </c>
      <c r="H98" s="2094">
        <f t="shared" si="4"/>
        <v>753.59213999999986</v>
      </c>
    </row>
    <row r="99" spans="1:8" ht="20.100000000000001" customHeight="1" x14ac:dyDescent="0.2">
      <c r="A99" s="5088"/>
      <c r="B99" s="5088"/>
      <c r="C99" s="5090"/>
      <c r="D99" s="1815">
        <v>100</v>
      </c>
      <c r="E99" s="1815">
        <v>3.2572000000000001</v>
      </c>
      <c r="F99" s="1815">
        <v>42</v>
      </c>
      <c r="G99" s="1815">
        <v>8760</v>
      </c>
      <c r="H99" s="2094">
        <f t="shared" si="4"/>
        <v>1198.3890240000001</v>
      </c>
    </row>
    <row r="100" spans="1:8" ht="20.100000000000001" customHeight="1" x14ac:dyDescent="0.2">
      <c r="A100" s="5088"/>
      <c r="B100" s="5088"/>
      <c r="C100" s="5090"/>
      <c r="D100" s="1815">
        <v>150</v>
      </c>
      <c r="E100" s="1815">
        <v>2.8879000000000001</v>
      </c>
      <c r="F100" s="1815">
        <v>63</v>
      </c>
      <c r="G100" s="1815">
        <v>8760</v>
      </c>
      <c r="H100" s="2094">
        <f t="shared" si="4"/>
        <v>1593.7742520000002</v>
      </c>
    </row>
    <row r="101" spans="1:8" ht="20.100000000000001" customHeight="1" x14ac:dyDescent="0.2">
      <c r="A101" s="5088"/>
      <c r="B101" s="5088"/>
      <c r="C101" s="5090"/>
      <c r="D101" s="1815">
        <v>200</v>
      </c>
      <c r="E101" s="1815">
        <v>22.787800000000001</v>
      </c>
      <c r="F101" s="1815">
        <v>84</v>
      </c>
      <c r="G101" s="1815">
        <v>8760</v>
      </c>
      <c r="H101" s="2094">
        <f t="shared" si="4"/>
        <v>16768.174751999999</v>
      </c>
    </row>
    <row r="102" spans="1:8" ht="20.100000000000001" customHeight="1" x14ac:dyDescent="0.2">
      <c r="A102" s="5088"/>
      <c r="B102" s="5088"/>
      <c r="C102" s="5090"/>
      <c r="D102" s="1815">
        <v>250</v>
      </c>
      <c r="E102" s="1815">
        <v>3.8637000000000001</v>
      </c>
      <c r="F102" s="1815">
        <v>93</v>
      </c>
      <c r="G102" s="1815">
        <v>8760</v>
      </c>
      <c r="H102" s="2094">
        <f t="shared" si="4"/>
        <v>3147.6791160000002</v>
      </c>
    </row>
    <row r="103" spans="1:8" ht="20.100000000000001" customHeight="1" x14ac:dyDescent="0.2">
      <c r="A103" s="5088"/>
      <c r="B103" s="5088"/>
      <c r="C103" s="5090"/>
      <c r="D103" s="1815">
        <v>300</v>
      </c>
      <c r="E103" s="1815">
        <v>2.9369999999999998</v>
      </c>
      <c r="F103" s="1815">
        <v>102</v>
      </c>
      <c r="G103" s="1815">
        <v>8760</v>
      </c>
      <c r="H103" s="2094">
        <f t="shared" si="4"/>
        <v>2624.2682399999999</v>
      </c>
    </row>
    <row r="104" spans="1:8" ht="20.100000000000001" customHeight="1" x14ac:dyDescent="0.2">
      <c r="A104" s="5088"/>
      <c r="B104" s="5088"/>
      <c r="C104" s="5090"/>
      <c r="D104" s="1815">
        <v>350</v>
      </c>
      <c r="E104" s="1815">
        <v>0.10100000000000001</v>
      </c>
      <c r="F104" s="1815">
        <v>108</v>
      </c>
      <c r="G104" s="1815">
        <v>8760</v>
      </c>
      <c r="H104" s="2094">
        <f t="shared" si="4"/>
        <v>95.554080000000013</v>
      </c>
    </row>
    <row r="105" spans="1:8" ht="20.100000000000001" customHeight="1" x14ac:dyDescent="0.2">
      <c r="A105" s="5088"/>
      <c r="B105" s="5088"/>
      <c r="C105" s="5090"/>
      <c r="D105" s="1815">
        <v>32</v>
      </c>
      <c r="E105" s="1815">
        <v>1.7849999999999999</v>
      </c>
      <c r="F105" s="1815">
        <v>4.4000000000000004</v>
      </c>
      <c r="G105" s="1815">
        <v>8760</v>
      </c>
      <c r="H105" s="2094">
        <f t="shared" si="4"/>
        <v>68.80104</v>
      </c>
    </row>
    <row r="106" spans="1:8" ht="20.100000000000001" customHeight="1" x14ac:dyDescent="0.2">
      <c r="A106" s="5088"/>
      <c r="B106" s="5088"/>
      <c r="C106" s="5090"/>
      <c r="D106" s="1815">
        <v>60</v>
      </c>
      <c r="E106" s="1815">
        <v>1.2150000000000001</v>
      </c>
      <c r="F106" s="1815">
        <v>10.5</v>
      </c>
      <c r="G106" s="1815">
        <v>8760</v>
      </c>
      <c r="H106" s="2094">
        <f t="shared" si="4"/>
        <v>111.75570000000002</v>
      </c>
    </row>
    <row r="107" spans="1:8" ht="20.100000000000001" customHeight="1" x14ac:dyDescent="0.2">
      <c r="A107" s="5088"/>
      <c r="B107" s="5088"/>
      <c r="C107" s="5090"/>
      <c r="D107" s="1815">
        <v>400</v>
      </c>
      <c r="E107" s="1815">
        <v>5.8502000000000001</v>
      </c>
      <c r="F107" s="1815">
        <v>117</v>
      </c>
      <c r="G107" s="1815">
        <v>8760</v>
      </c>
      <c r="H107" s="2094">
        <f t="shared" si="4"/>
        <v>5995.9869840000001</v>
      </c>
    </row>
    <row r="108" spans="1:8" ht="18.75" customHeight="1" x14ac:dyDescent="0.2">
      <c r="A108" s="5088"/>
      <c r="B108" s="5088"/>
      <c r="C108" s="5090"/>
      <c r="D108" s="5090" t="s">
        <v>54</v>
      </c>
      <c r="E108" s="5090"/>
      <c r="F108" s="5090"/>
      <c r="G108" s="5090"/>
      <c r="H108" s="2122">
        <f>SUM(H88:H107)</f>
        <v>54612.877004400005</v>
      </c>
    </row>
    <row r="109" spans="1:8" ht="20.100000000000001" customHeight="1" x14ac:dyDescent="0.2">
      <c r="A109" s="5088"/>
      <c r="B109" s="5088"/>
      <c r="C109" s="5090" t="s">
        <v>2147</v>
      </c>
      <c r="D109" s="1815" t="s">
        <v>2148</v>
      </c>
      <c r="G109" s="1815" t="s">
        <v>2123</v>
      </c>
    </row>
    <row r="110" spans="1:8" ht="20.100000000000001" customHeight="1" x14ac:dyDescent="0.2">
      <c r="A110" s="5088"/>
      <c r="B110" s="5088"/>
      <c r="C110" s="5090"/>
      <c r="D110" s="1815">
        <v>1</v>
      </c>
      <c r="E110" s="1815">
        <v>0.125</v>
      </c>
      <c r="F110" s="1815">
        <v>642</v>
      </c>
      <c r="G110" s="1815">
        <v>8760</v>
      </c>
      <c r="H110" s="2094">
        <f>F110*0.125*G110/1000</f>
        <v>702.99</v>
      </c>
    </row>
    <row r="111" spans="1:8" ht="20.100000000000001" customHeight="1" x14ac:dyDescent="0.2">
      <c r="A111" s="5088"/>
      <c r="B111" s="5088"/>
      <c r="C111" s="5090"/>
      <c r="D111" s="1815">
        <v>2</v>
      </c>
      <c r="E111" s="1815">
        <v>0.125</v>
      </c>
      <c r="F111" s="1815">
        <v>642</v>
      </c>
      <c r="G111" s="1815">
        <v>8760</v>
      </c>
      <c r="H111" s="2094">
        <f t="shared" ref="H111:H113" si="5">F111*0.125*G111/1000</f>
        <v>702.99</v>
      </c>
    </row>
    <row r="112" spans="1:8" ht="20.100000000000001" customHeight="1" x14ac:dyDescent="0.2">
      <c r="A112" s="5088"/>
      <c r="B112" s="5088"/>
      <c r="C112" s="5090"/>
      <c r="D112" s="1815">
        <v>3</v>
      </c>
      <c r="E112" s="1815">
        <v>0.125</v>
      </c>
      <c r="F112" s="1815">
        <v>325</v>
      </c>
      <c r="G112" s="1815">
        <v>8760</v>
      </c>
      <c r="H112" s="2094">
        <f t="shared" si="5"/>
        <v>355.875</v>
      </c>
    </row>
    <row r="113" spans="1:8" ht="20.100000000000001" customHeight="1" x14ac:dyDescent="0.2">
      <c r="A113" s="5088"/>
      <c r="B113" s="5088"/>
      <c r="C113" s="5090"/>
      <c r="D113" s="1815">
        <v>4</v>
      </c>
      <c r="E113" s="1815">
        <v>0.125</v>
      </c>
      <c r="F113" s="1815">
        <v>325</v>
      </c>
      <c r="G113" s="1815">
        <v>8760</v>
      </c>
      <c r="H113" s="2094">
        <f t="shared" si="5"/>
        <v>355.875</v>
      </c>
    </row>
    <row r="114" spans="1:8" ht="20.100000000000001" customHeight="1" x14ac:dyDescent="0.2">
      <c r="A114" s="5088"/>
      <c r="B114" s="5088"/>
      <c r="C114" s="5090"/>
      <c r="D114" s="5090" t="s">
        <v>54</v>
      </c>
      <c r="E114" s="5090"/>
      <c r="F114" s="5090"/>
      <c r="G114" s="5090"/>
      <c r="H114" s="2122">
        <f>SUM(H110:H113)</f>
        <v>2117.73</v>
      </c>
    </row>
    <row r="115" spans="1:8" ht="20.100000000000001" customHeight="1" x14ac:dyDescent="0.2">
      <c r="A115" s="5088"/>
      <c r="B115" s="5088"/>
      <c r="C115" s="5090" t="s">
        <v>2149</v>
      </c>
      <c r="D115" s="5090"/>
      <c r="E115" s="5090"/>
      <c r="F115" s="5090"/>
      <c r="G115" s="5090"/>
      <c r="H115" s="2122">
        <f>H114+H108</f>
        <v>56730.607004400008</v>
      </c>
    </row>
    <row r="116" spans="1:8" ht="20.100000000000001" customHeight="1" x14ac:dyDescent="0.2">
      <c r="A116" s="5088" t="s">
        <v>2150</v>
      </c>
      <c r="B116" s="5088" t="s">
        <v>2151</v>
      </c>
      <c r="C116" s="5090" t="s">
        <v>2152</v>
      </c>
      <c r="E116" s="1815">
        <v>2015</v>
      </c>
      <c r="F116" s="1815">
        <v>2016</v>
      </c>
      <c r="G116" s="1815">
        <v>2017</v>
      </c>
      <c r="H116" s="2094" t="s">
        <v>2153</v>
      </c>
    </row>
    <row r="117" spans="1:8" ht="44.25" customHeight="1" x14ac:dyDescent="0.2">
      <c r="A117" s="5088"/>
      <c r="B117" s="5088"/>
      <c r="C117" s="5090"/>
      <c r="E117" s="1815">
        <v>254</v>
      </c>
      <c r="F117" s="1815">
        <v>270</v>
      </c>
      <c r="G117" s="1815">
        <v>262</v>
      </c>
      <c r="H117" s="2122">
        <f>(E117+F117+G117)/3</f>
        <v>262</v>
      </c>
    </row>
    <row r="118" spans="1:8" ht="118.5" customHeight="1" x14ac:dyDescent="0.2">
      <c r="A118" s="5088" t="s">
        <v>2154</v>
      </c>
      <c r="B118" s="5088" t="s">
        <v>2155</v>
      </c>
      <c r="C118" s="5090" t="s">
        <v>2156</v>
      </c>
      <c r="G118" s="1815" t="s">
        <v>2157</v>
      </c>
    </row>
    <row r="119" spans="1:8" x14ac:dyDescent="0.2">
      <c r="A119" s="5088"/>
      <c r="B119" s="5088"/>
      <c r="C119" s="5090"/>
      <c r="E119" s="1815">
        <v>1.7999999999999999E-2</v>
      </c>
      <c r="F119" s="2258">
        <f>'объемы ВС и ВО 2023'!AN49*1000+'объемы ВС и ВО 2023'!AO49*1000</f>
        <v>3657570</v>
      </c>
      <c r="G119" s="2257">
        <f>'приборы учета'!C14</f>
        <v>0.72894180113699425</v>
      </c>
      <c r="H119" s="2094">
        <f>E119*F119*G119</f>
        <v>47990.801944523446</v>
      </c>
    </row>
    <row r="120" spans="1:8" ht="111.75" customHeight="1" x14ac:dyDescent="0.2">
      <c r="A120" s="5088"/>
      <c r="B120" s="5088"/>
      <c r="C120" s="5090" t="s">
        <v>2158</v>
      </c>
      <c r="G120" s="1815" t="s">
        <v>2159</v>
      </c>
    </row>
    <row r="121" spans="1:8" ht="19.5" customHeight="1" x14ac:dyDescent="0.2">
      <c r="A121" s="5088"/>
      <c r="B121" s="5088"/>
      <c r="C121" s="5090"/>
      <c r="D121" s="2259">
        <v>5140000</v>
      </c>
      <c r="E121" s="1815">
        <v>0</v>
      </c>
      <c r="F121" s="2131">
        <f>H7</f>
        <v>27239.97</v>
      </c>
      <c r="G121" s="2131">
        <f>H115</f>
        <v>56730.607004400008</v>
      </c>
      <c r="H121" s="2094">
        <f>D121-F119-(E121+F121+G121+H119)</f>
        <v>1350468.6210510766</v>
      </c>
    </row>
    <row r="122" spans="1:8" x14ac:dyDescent="0.2">
      <c r="A122" s="5088"/>
      <c r="B122" s="5088"/>
      <c r="C122" s="1815" t="s">
        <v>288</v>
      </c>
      <c r="H122" s="2094">
        <f>H121+H119</f>
        <v>1398459.4229955999</v>
      </c>
    </row>
  </sheetData>
  <mergeCells count="41"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  <mergeCell ref="B83:B84"/>
    <mergeCell ref="C83:C84"/>
    <mergeCell ref="A85:A86"/>
    <mergeCell ref="B85:B86"/>
    <mergeCell ref="C85:C86"/>
    <mergeCell ref="A69:A80"/>
    <mergeCell ref="B69:B80"/>
    <mergeCell ref="C69:C80"/>
    <mergeCell ref="A81:A82"/>
    <mergeCell ref="B81:B82"/>
    <mergeCell ref="C81:C82"/>
    <mergeCell ref="A8:A54"/>
    <mergeCell ref="B8:B54"/>
    <mergeCell ref="C8:C54"/>
    <mergeCell ref="D54:G54"/>
    <mergeCell ref="A55:A68"/>
    <mergeCell ref="B55:B68"/>
    <mergeCell ref="C55:C68"/>
    <mergeCell ref="D68:G68"/>
    <mergeCell ref="B6:G6"/>
    <mergeCell ref="D1:H1"/>
    <mergeCell ref="A2:H2"/>
    <mergeCell ref="A3:H3"/>
    <mergeCell ref="D4:H4"/>
    <mergeCell ref="B5:G5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Лист24">
    <tabColor rgb="FFCC00FF"/>
    <pageSetUpPr fitToPage="1"/>
  </sheetPr>
  <dimension ref="A2:BZ77"/>
  <sheetViews>
    <sheetView zoomScaleNormal="100" zoomScaleSheetLayoutView="75" workbookViewId="0">
      <pane xSplit="2" ySplit="6" topLeftCell="BK43" activePane="bottomRight" state="frozen"/>
      <selection pane="topRight" activeCell="C1" sqref="C1"/>
      <selection pane="bottomLeft" activeCell="A7" sqref="A7"/>
      <selection pane="bottomRight" activeCell="BY45" sqref="BY45"/>
    </sheetView>
  </sheetViews>
  <sheetFormatPr defaultColWidth="0.85546875" defaultRowHeight="15" x14ac:dyDescent="0.25"/>
  <cols>
    <col min="1" max="1" width="7" style="1233" customWidth="1"/>
    <col min="2" max="2" width="32.5703125" style="1239" customWidth="1"/>
    <col min="3" max="3" width="9.85546875" style="1233" customWidth="1"/>
    <col min="4" max="5" width="12.7109375" style="1233" hidden="1" customWidth="1"/>
    <col min="6" max="9" width="9.7109375" style="1233" hidden="1" customWidth="1"/>
    <col min="10" max="10" width="16.42578125" style="1233" hidden="1" customWidth="1"/>
    <col min="11" max="11" width="11.5703125" style="1233" hidden="1" customWidth="1"/>
    <col min="12" max="14" width="9.7109375" style="1233" hidden="1" customWidth="1"/>
    <col min="15" max="15" width="15.140625" style="1233" hidden="1" customWidth="1"/>
    <col min="16" max="16" width="11.5703125" style="1233" hidden="1" customWidth="1"/>
    <col min="17" max="23" width="11.7109375" style="1233" hidden="1" customWidth="1"/>
    <col min="24" max="24" width="9.7109375" style="1233" hidden="1" customWidth="1"/>
    <col min="25" max="25" width="9.5703125" style="1233" hidden="1" customWidth="1"/>
    <col min="26" max="26" width="10.28515625" style="1233" hidden="1" customWidth="1"/>
    <col min="27" max="27" width="11" style="1233" hidden="1" customWidth="1"/>
    <col min="28" max="28" width="11.42578125" style="1233" hidden="1" customWidth="1"/>
    <col min="29" max="29" width="16" style="1233" hidden="1" customWidth="1"/>
    <col min="30" max="30" width="11.42578125" style="1233" hidden="1" customWidth="1"/>
    <col min="31" max="31" width="17.7109375" style="1233" hidden="1" customWidth="1"/>
    <col min="32" max="32" width="18.140625" style="1233" hidden="1" customWidth="1"/>
    <col min="33" max="33" width="20.7109375" style="1233" hidden="1" customWidth="1"/>
    <col min="34" max="34" width="18.5703125" style="1233" hidden="1" customWidth="1"/>
    <col min="35" max="35" width="14.42578125" style="1233" hidden="1" customWidth="1"/>
    <col min="36" max="36" width="17.7109375" style="1233" hidden="1" customWidth="1"/>
    <col min="37" max="37" width="15.85546875" style="1233" hidden="1" customWidth="1"/>
    <col min="38" max="38" width="13.42578125" style="1233" hidden="1" customWidth="1"/>
    <col min="39" max="39" width="16.5703125" style="1233" hidden="1" customWidth="1"/>
    <col min="40" max="40" width="17.7109375" style="1233" hidden="1" customWidth="1"/>
    <col min="41" max="41" width="10.28515625" style="1233" hidden="1" customWidth="1"/>
    <col min="42" max="42" width="15.140625" style="1233" hidden="1" customWidth="1"/>
    <col min="43" max="43" width="18.140625" style="1233" hidden="1" customWidth="1"/>
    <col min="44" max="44" width="14.28515625" style="1233" hidden="1" customWidth="1"/>
    <col min="45" max="45" width="16.42578125" style="1233" hidden="1" customWidth="1"/>
    <col min="46" max="46" width="15.42578125" style="1233" hidden="1" customWidth="1"/>
    <col min="47" max="47" width="13.5703125" style="1233" hidden="1" customWidth="1"/>
    <col min="48" max="48" width="12.5703125" style="1233" hidden="1" customWidth="1"/>
    <col min="49" max="49" width="13.5703125" style="1233" hidden="1" customWidth="1"/>
    <col min="50" max="50" width="10.5703125" style="1233" hidden="1" customWidth="1"/>
    <col min="51" max="51" width="11.28515625" style="1233" hidden="1" customWidth="1"/>
    <col min="52" max="52" width="11.42578125" style="1233" hidden="1" customWidth="1"/>
    <col min="53" max="54" width="14.42578125" style="1233" hidden="1" customWidth="1"/>
    <col min="55" max="55" width="17.28515625" style="1233" hidden="1" customWidth="1"/>
    <col min="56" max="56" width="19.7109375" style="1233" hidden="1" customWidth="1"/>
    <col min="57" max="57" width="22.5703125" style="1233" hidden="1" customWidth="1"/>
    <col min="58" max="58" width="22.42578125" style="1233" hidden="1" customWidth="1"/>
    <col min="59" max="59" width="19.28515625" style="1233" hidden="1" customWidth="1"/>
    <col min="60" max="60" width="23.7109375" style="1233" hidden="1" customWidth="1"/>
    <col min="61" max="61" width="21.28515625" style="1233" hidden="1" customWidth="1"/>
    <col min="62" max="62" width="12.7109375" style="1233" customWidth="1"/>
    <col min="63" max="63" width="8.7109375" style="1233" customWidth="1"/>
    <col min="64" max="64" width="12.7109375" style="1233" customWidth="1"/>
    <col min="65" max="65" width="8.7109375" style="1233" customWidth="1"/>
    <col min="66" max="66" width="10.7109375" style="1233" hidden="1" customWidth="1"/>
    <col min="67" max="67" width="4.28515625" style="1233" hidden="1" customWidth="1"/>
    <col min="68" max="68" width="11.28515625" style="1233" customWidth="1"/>
    <col min="69" max="69" width="12.7109375" style="1233" hidden="1" customWidth="1"/>
    <col min="70" max="70" width="8.7109375" style="1233" hidden="1" customWidth="1"/>
    <col min="71" max="71" width="12.7109375" style="1233" hidden="1" customWidth="1"/>
    <col min="72" max="72" width="8.7109375" style="1233" hidden="1" customWidth="1"/>
    <col min="73" max="73" width="12.7109375" style="1233" customWidth="1"/>
    <col min="74" max="74" width="10.7109375" style="1233" customWidth="1"/>
    <col min="75" max="75" width="13.42578125" style="1233" customWidth="1"/>
    <col min="76" max="77" width="10.7109375" style="1233" customWidth="1"/>
    <col min="78" max="78" width="11.5703125" style="1233" customWidth="1"/>
    <col min="79" max="91" width="10.7109375" style="1233" customWidth="1"/>
    <col min="92" max="284" width="0.85546875" style="1233"/>
    <col min="285" max="285" width="9.85546875" style="1233" customWidth="1"/>
    <col min="286" max="286" width="81.85546875" style="1233" customWidth="1"/>
    <col min="287" max="287" width="12.7109375" style="1233" customWidth="1"/>
    <col min="288" max="288" width="12.42578125" style="1233" customWidth="1"/>
    <col min="289" max="289" width="14.5703125" style="1233" customWidth="1"/>
    <col min="290" max="290" width="12.28515625" style="1233" customWidth="1"/>
    <col min="291" max="291" width="38.140625" style="1233" customWidth="1"/>
    <col min="292" max="292" width="46.85546875" style="1233" customWidth="1"/>
    <col min="293" max="295" width="12.7109375" style="1233" customWidth="1"/>
    <col min="296" max="296" width="9.28515625" style="1233" customWidth="1"/>
    <col min="297" max="297" width="13.5703125" style="1233" customWidth="1"/>
    <col min="298" max="298" width="10.28515625" style="1233" customWidth="1"/>
    <col min="299" max="299" width="12.85546875" style="1233" customWidth="1"/>
    <col min="300" max="300" width="9.140625" style="1233" customWidth="1"/>
    <col min="301" max="301" width="9.7109375" style="1233" customWidth="1"/>
    <col min="302" max="302" width="9.28515625" style="1233" customWidth="1"/>
    <col min="303" max="303" width="9.42578125" style="1233" customWidth="1"/>
    <col min="304" max="304" width="10.5703125" style="1233" customWidth="1"/>
    <col min="305" max="305" width="12.42578125" style="1233" customWidth="1"/>
    <col min="306" max="306" width="14.5703125" style="1233" customWidth="1"/>
    <col min="307" max="307" width="12.28515625" style="1233" customWidth="1"/>
    <col min="308" max="308" width="25.85546875" style="1233" customWidth="1"/>
    <col min="309" max="540" width="0.85546875" style="1233"/>
    <col min="541" max="541" width="9.85546875" style="1233" customWidth="1"/>
    <col min="542" max="542" width="81.85546875" style="1233" customWidth="1"/>
    <col min="543" max="543" width="12.7109375" style="1233" customWidth="1"/>
    <col min="544" max="544" width="12.42578125" style="1233" customWidth="1"/>
    <col min="545" max="545" width="14.5703125" style="1233" customWidth="1"/>
    <col min="546" max="546" width="12.28515625" style="1233" customWidth="1"/>
    <col min="547" max="547" width="38.140625" style="1233" customWidth="1"/>
    <col min="548" max="548" width="46.85546875" style="1233" customWidth="1"/>
    <col min="549" max="551" width="12.7109375" style="1233" customWidth="1"/>
    <col min="552" max="552" width="9.28515625" style="1233" customWidth="1"/>
    <col min="553" max="553" width="13.5703125" style="1233" customWidth="1"/>
    <col min="554" max="554" width="10.28515625" style="1233" customWidth="1"/>
    <col min="555" max="555" width="12.85546875" style="1233" customWidth="1"/>
    <col min="556" max="556" width="9.140625" style="1233" customWidth="1"/>
    <col min="557" max="557" width="9.7109375" style="1233" customWidth="1"/>
    <col min="558" max="558" width="9.28515625" style="1233" customWidth="1"/>
    <col min="559" max="559" width="9.42578125" style="1233" customWidth="1"/>
    <col min="560" max="560" width="10.5703125" style="1233" customWidth="1"/>
    <col min="561" max="561" width="12.42578125" style="1233" customWidth="1"/>
    <col min="562" max="562" width="14.5703125" style="1233" customWidth="1"/>
    <col min="563" max="563" width="12.28515625" style="1233" customWidth="1"/>
    <col min="564" max="564" width="25.85546875" style="1233" customWidth="1"/>
    <col min="565" max="796" width="0.85546875" style="1233"/>
    <col min="797" max="797" width="9.85546875" style="1233" customWidth="1"/>
    <col min="798" max="798" width="81.85546875" style="1233" customWidth="1"/>
    <col min="799" max="799" width="12.7109375" style="1233" customWidth="1"/>
    <col min="800" max="800" width="12.42578125" style="1233" customWidth="1"/>
    <col min="801" max="801" width="14.5703125" style="1233" customWidth="1"/>
    <col min="802" max="802" width="12.28515625" style="1233" customWidth="1"/>
    <col min="803" max="803" width="38.140625" style="1233" customWidth="1"/>
    <col min="804" max="804" width="46.85546875" style="1233" customWidth="1"/>
    <col min="805" max="807" width="12.7109375" style="1233" customWidth="1"/>
    <col min="808" max="808" width="9.28515625" style="1233" customWidth="1"/>
    <col min="809" max="809" width="13.5703125" style="1233" customWidth="1"/>
    <col min="810" max="810" width="10.28515625" style="1233" customWidth="1"/>
    <col min="811" max="811" width="12.85546875" style="1233" customWidth="1"/>
    <col min="812" max="812" width="9.140625" style="1233" customWidth="1"/>
    <col min="813" max="813" width="9.7109375" style="1233" customWidth="1"/>
    <col min="814" max="814" width="9.28515625" style="1233" customWidth="1"/>
    <col min="815" max="815" width="9.42578125" style="1233" customWidth="1"/>
    <col min="816" max="816" width="10.5703125" style="1233" customWidth="1"/>
    <col min="817" max="817" width="12.42578125" style="1233" customWidth="1"/>
    <col min="818" max="818" width="14.5703125" style="1233" customWidth="1"/>
    <col min="819" max="819" width="12.28515625" style="1233" customWidth="1"/>
    <col min="820" max="820" width="25.85546875" style="1233" customWidth="1"/>
    <col min="821" max="1052" width="0.85546875" style="1233"/>
    <col min="1053" max="1053" width="9.85546875" style="1233" customWidth="1"/>
    <col min="1054" max="1054" width="81.85546875" style="1233" customWidth="1"/>
    <col min="1055" max="1055" width="12.7109375" style="1233" customWidth="1"/>
    <col min="1056" max="1056" width="12.42578125" style="1233" customWidth="1"/>
    <col min="1057" max="1057" width="14.5703125" style="1233" customWidth="1"/>
    <col min="1058" max="1058" width="12.28515625" style="1233" customWidth="1"/>
    <col min="1059" max="1059" width="38.140625" style="1233" customWidth="1"/>
    <col min="1060" max="1060" width="46.85546875" style="1233" customWidth="1"/>
    <col min="1061" max="1063" width="12.7109375" style="1233" customWidth="1"/>
    <col min="1064" max="1064" width="9.28515625" style="1233" customWidth="1"/>
    <col min="1065" max="1065" width="13.5703125" style="1233" customWidth="1"/>
    <col min="1066" max="1066" width="10.28515625" style="1233" customWidth="1"/>
    <col min="1067" max="1067" width="12.85546875" style="1233" customWidth="1"/>
    <col min="1068" max="1068" width="9.140625" style="1233" customWidth="1"/>
    <col min="1069" max="1069" width="9.7109375" style="1233" customWidth="1"/>
    <col min="1070" max="1070" width="9.28515625" style="1233" customWidth="1"/>
    <col min="1071" max="1071" width="9.42578125" style="1233" customWidth="1"/>
    <col min="1072" max="1072" width="10.5703125" style="1233" customWidth="1"/>
    <col min="1073" max="1073" width="12.42578125" style="1233" customWidth="1"/>
    <col min="1074" max="1074" width="14.5703125" style="1233" customWidth="1"/>
    <col min="1075" max="1075" width="12.28515625" style="1233" customWidth="1"/>
    <col min="1076" max="1076" width="25.85546875" style="1233" customWidth="1"/>
    <col min="1077" max="1308" width="0.85546875" style="1233"/>
    <col min="1309" max="1309" width="9.85546875" style="1233" customWidth="1"/>
    <col min="1310" max="1310" width="81.85546875" style="1233" customWidth="1"/>
    <col min="1311" max="1311" width="12.7109375" style="1233" customWidth="1"/>
    <col min="1312" max="1312" width="12.42578125" style="1233" customWidth="1"/>
    <col min="1313" max="1313" width="14.5703125" style="1233" customWidth="1"/>
    <col min="1314" max="1314" width="12.28515625" style="1233" customWidth="1"/>
    <col min="1315" max="1315" width="38.140625" style="1233" customWidth="1"/>
    <col min="1316" max="1316" width="46.85546875" style="1233" customWidth="1"/>
    <col min="1317" max="1319" width="12.7109375" style="1233" customWidth="1"/>
    <col min="1320" max="1320" width="9.28515625" style="1233" customWidth="1"/>
    <col min="1321" max="1321" width="13.5703125" style="1233" customWidth="1"/>
    <col min="1322" max="1322" width="10.28515625" style="1233" customWidth="1"/>
    <col min="1323" max="1323" width="12.85546875" style="1233" customWidth="1"/>
    <col min="1324" max="1324" width="9.140625" style="1233" customWidth="1"/>
    <col min="1325" max="1325" width="9.7109375" style="1233" customWidth="1"/>
    <col min="1326" max="1326" width="9.28515625" style="1233" customWidth="1"/>
    <col min="1327" max="1327" width="9.42578125" style="1233" customWidth="1"/>
    <col min="1328" max="1328" width="10.5703125" style="1233" customWidth="1"/>
    <col min="1329" max="1329" width="12.42578125" style="1233" customWidth="1"/>
    <col min="1330" max="1330" width="14.5703125" style="1233" customWidth="1"/>
    <col min="1331" max="1331" width="12.28515625" style="1233" customWidth="1"/>
    <col min="1332" max="1332" width="25.85546875" style="1233" customWidth="1"/>
    <col min="1333" max="1564" width="0.85546875" style="1233"/>
    <col min="1565" max="1565" width="9.85546875" style="1233" customWidth="1"/>
    <col min="1566" max="1566" width="81.85546875" style="1233" customWidth="1"/>
    <col min="1567" max="1567" width="12.7109375" style="1233" customWidth="1"/>
    <col min="1568" max="1568" width="12.42578125" style="1233" customWidth="1"/>
    <col min="1569" max="1569" width="14.5703125" style="1233" customWidth="1"/>
    <col min="1570" max="1570" width="12.28515625" style="1233" customWidth="1"/>
    <col min="1571" max="1571" width="38.140625" style="1233" customWidth="1"/>
    <col min="1572" max="1572" width="46.85546875" style="1233" customWidth="1"/>
    <col min="1573" max="1575" width="12.7109375" style="1233" customWidth="1"/>
    <col min="1576" max="1576" width="9.28515625" style="1233" customWidth="1"/>
    <col min="1577" max="1577" width="13.5703125" style="1233" customWidth="1"/>
    <col min="1578" max="1578" width="10.28515625" style="1233" customWidth="1"/>
    <col min="1579" max="1579" width="12.85546875" style="1233" customWidth="1"/>
    <col min="1580" max="1580" width="9.140625" style="1233" customWidth="1"/>
    <col min="1581" max="1581" width="9.7109375" style="1233" customWidth="1"/>
    <col min="1582" max="1582" width="9.28515625" style="1233" customWidth="1"/>
    <col min="1583" max="1583" width="9.42578125" style="1233" customWidth="1"/>
    <col min="1584" max="1584" width="10.5703125" style="1233" customWidth="1"/>
    <col min="1585" max="1585" width="12.42578125" style="1233" customWidth="1"/>
    <col min="1586" max="1586" width="14.5703125" style="1233" customWidth="1"/>
    <col min="1587" max="1587" width="12.28515625" style="1233" customWidth="1"/>
    <col min="1588" max="1588" width="25.85546875" style="1233" customWidth="1"/>
    <col min="1589" max="1820" width="0.85546875" style="1233"/>
    <col min="1821" max="1821" width="9.85546875" style="1233" customWidth="1"/>
    <col min="1822" max="1822" width="81.85546875" style="1233" customWidth="1"/>
    <col min="1823" max="1823" width="12.7109375" style="1233" customWidth="1"/>
    <col min="1824" max="1824" width="12.42578125" style="1233" customWidth="1"/>
    <col min="1825" max="1825" width="14.5703125" style="1233" customWidth="1"/>
    <col min="1826" max="1826" width="12.28515625" style="1233" customWidth="1"/>
    <col min="1827" max="1827" width="38.140625" style="1233" customWidth="1"/>
    <col min="1828" max="1828" width="46.85546875" style="1233" customWidth="1"/>
    <col min="1829" max="1831" width="12.7109375" style="1233" customWidth="1"/>
    <col min="1832" max="1832" width="9.28515625" style="1233" customWidth="1"/>
    <col min="1833" max="1833" width="13.5703125" style="1233" customWidth="1"/>
    <col min="1834" max="1834" width="10.28515625" style="1233" customWidth="1"/>
    <col min="1835" max="1835" width="12.85546875" style="1233" customWidth="1"/>
    <col min="1836" max="1836" width="9.140625" style="1233" customWidth="1"/>
    <col min="1837" max="1837" width="9.7109375" style="1233" customWidth="1"/>
    <col min="1838" max="1838" width="9.28515625" style="1233" customWidth="1"/>
    <col min="1839" max="1839" width="9.42578125" style="1233" customWidth="1"/>
    <col min="1840" max="1840" width="10.5703125" style="1233" customWidth="1"/>
    <col min="1841" max="1841" width="12.42578125" style="1233" customWidth="1"/>
    <col min="1842" max="1842" width="14.5703125" style="1233" customWidth="1"/>
    <col min="1843" max="1843" width="12.28515625" style="1233" customWidth="1"/>
    <col min="1844" max="1844" width="25.85546875" style="1233" customWidth="1"/>
    <col min="1845" max="2076" width="0.85546875" style="1233"/>
    <col min="2077" max="2077" width="9.85546875" style="1233" customWidth="1"/>
    <col min="2078" max="2078" width="81.85546875" style="1233" customWidth="1"/>
    <col min="2079" max="2079" width="12.7109375" style="1233" customWidth="1"/>
    <col min="2080" max="2080" width="12.42578125" style="1233" customWidth="1"/>
    <col min="2081" max="2081" width="14.5703125" style="1233" customWidth="1"/>
    <col min="2082" max="2082" width="12.28515625" style="1233" customWidth="1"/>
    <col min="2083" max="2083" width="38.140625" style="1233" customWidth="1"/>
    <col min="2084" max="2084" width="46.85546875" style="1233" customWidth="1"/>
    <col min="2085" max="2087" width="12.7109375" style="1233" customWidth="1"/>
    <col min="2088" max="2088" width="9.28515625" style="1233" customWidth="1"/>
    <col min="2089" max="2089" width="13.5703125" style="1233" customWidth="1"/>
    <col min="2090" max="2090" width="10.28515625" style="1233" customWidth="1"/>
    <col min="2091" max="2091" width="12.85546875" style="1233" customWidth="1"/>
    <col min="2092" max="2092" width="9.140625" style="1233" customWidth="1"/>
    <col min="2093" max="2093" width="9.7109375" style="1233" customWidth="1"/>
    <col min="2094" max="2094" width="9.28515625" style="1233" customWidth="1"/>
    <col min="2095" max="2095" width="9.42578125" style="1233" customWidth="1"/>
    <col min="2096" max="2096" width="10.5703125" style="1233" customWidth="1"/>
    <col min="2097" max="2097" width="12.42578125" style="1233" customWidth="1"/>
    <col min="2098" max="2098" width="14.5703125" style="1233" customWidth="1"/>
    <col min="2099" max="2099" width="12.28515625" style="1233" customWidth="1"/>
    <col min="2100" max="2100" width="25.85546875" style="1233" customWidth="1"/>
    <col min="2101" max="2332" width="0.85546875" style="1233"/>
    <col min="2333" max="2333" width="9.85546875" style="1233" customWidth="1"/>
    <col min="2334" max="2334" width="81.85546875" style="1233" customWidth="1"/>
    <col min="2335" max="2335" width="12.7109375" style="1233" customWidth="1"/>
    <col min="2336" max="2336" width="12.42578125" style="1233" customWidth="1"/>
    <col min="2337" max="2337" width="14.5703125" style="1233" customWidth="1"/>
    <col min="2338" max="2338" width="12.28515625" style="1233" customWidth="1"/>
    <col min="2339" max="2339" width="38.140625" style="1233" customWidth="1"/>
    <col min="2340" max="2340" width="46.85546875" style="1233" customWidth="1"/>
    <col min="2341" max="2343" width="12.7109375" style="1233" customWidth="1"/>
    <col min="2344" max="2344" width="9.28515625" style="1233" customWidth="1"/>
    <col min="2345" max="2345" width="13.5703125" style="1233" customWidth="1"/>
    <col min="2346" max="2346" width="10.28515625" style="1233" customWidth="1"/>
    <col min="2347" max="2347" width="12.85546875" style="1233" customWidth="1"/>
    <col min="2348" max="2348" width="9.140625" style="1233" customWidth="1"/>
    <col min="2349" max="2349" width="9.7109375" style="1233" customWidth="1"/>
    <col min="2350" max="2350" width="9.28515625" style="1233" customWidth="1"/>
    <col min="2351" max="2351" width="9.42578125" style="1233" customWidth="1"/>
    <col min="2352" max="2352" width="10.5703125" style="1233" customWidth="1"/>
    <col min="2353" max="2353" width="12.42578125" style="1233" customWidth="1"/>
    <col min="2354" max="2354" width="14.5703125" style="1233" customWidth="1"/>
    <col min="2355" max="2355" width="12.28515625" style="1233" customWidth="1"/>
    <col min="2356" max="2356" width="25.85546875" style="1233" customWidth="1"/>
    <col min="2357" max="2588" width="0.85546875" style="1233"/>
    <col min="2589" max="2589" width="9.85546875" style="1233" customWidth="1"/>
    <col min="2590" max="2590" width="81.85546875" style="1233" customWidth="1"/>
    <col min="2591" max="2591" width="12.7109375" style="1233" customWidth="1"/>
    <col min="2592" max="2592" width="12.42578125" style="1233" customWidth="1"/>
    <col min="2593" max="2593" width="14.5703125" style="1233" customWidth="1"/>
    <col min="2594" max="2594" width="12.28515625" style="1233" customWidth="1"/>
    <col min="2595" max="2595" width="38.140625" style="1233" customWidth="1"/>
    <col min="2596" max="2596" width="46.85546875" style="1233" customWidth="1"/>
    <col min="2597" max="2599" width="12.7109375" style="1233" customWidth="1"/>
    <col min="2600" max="2600" width="9.28515625" style="1233" customWidth="1"/>
    <col min="2601" max="2601" width="13.5703125" style="1233" customWidth="1"/>
    <col min="2602" max="2602" width="10.28515625" style="1233" customWidth="1"/>
    <col min="2603" max="2603" width="12.85546875" style="1233" customWidth="1"/>
    <col min="2604" max="2604" width="9.140625" style="1233" customWidth="1"/>
    <col min="2605" max="2605" width="9.7109375" style="1233" customWidth="1"/>
    <col min="2606" max="2606" width="9.28515625" style="1233" customWidth="1"/>
    <col min="2607" max="2607" width="9.42578125" style="1233" customWidth="1"/>
    <col min="2608" max="2608" width="10.5703125" style="1233" customWidth="1"/>
    <col min="2609" max="2609" width="12.42578125" style="1233" customWidth="1"/>
    <col min="2610" max="2610" width="14.5703125" style="1233" customWidth="1"/>
    <col min="2611" max="2611" width="12.28515625" style="1233" customWidth="1"/>
    <col min="2612" max="2612" width="25.85546875" style="1233" customWidth="1"/>
    <col min="2613" max="2844" width="0.85546875" style="1233"/>
    <col min="2845" max="2845" width="9.85546875" style="1233" customWidth="1"/>
    <col min="2846" max="2846" width="81.85546875" style="1233" customWidth="1"/>
    <col min="2847" max="2847" width="12.7109375" style="1233" customWidth="1"/>
    <col min="2848" max="2848" width="12.42578125" style="1233" customWidth="1"/>
    <col min="2849" max="2849" width="14.5703125" style="1233" customWidth="1"/>
    <col min="2850" max="2850" width="12.28515625" style="1233" customWidth="1"/>
    <col min="2851" max="2851" width="38.140625" style="1233" customWidth="1"/>
    <col min="2852" max="2852" width="46.85546875" style="1233" customWidth="1"/>
    <col min="2853" max="2855" width="12.7109375" style="1233" customWidth="1"/>
    <col min="2856" max="2856" width="9.28515625" style="1233" customWidth="1"/>
    <col min="2857" max="2857" width="13.5703125" style="1233" customWidth="1"/>
    <col min="2858" max="2858" width="10.28515625" style="1233" customWidth="1"/>
    <col min="2859" max="2859" width="12.85546875" style="1233" customWidth="1"/>
    <col min="2860" max="2860" width="9.140625" style="1233" customWidth="1"/>
    <col min="2861" max="2861" width="9.7109375" style="1233" customWidth="1"/>
    <col min="2862" max="2862" width="9.28515625" style="1233" customWidth="1"/>
    <col min="2863" max="2863" width="9.42578125" style="1233" customWidth="1"/>
    <col min="2864" max="2864" width="10.5703125" style="1233" customWidth="1"/>
    <col min="2865" max="2865" width="12.42578125" style="1233" customWidth="1"/>
    <col min="2866" max="2866" width="14.5703125" style="1233" customWidth="1"/>
    <col min="2867" max="2867" width="12.28515625" style="1233" customWidth="1"/>
    <col min="2868" max="2868" width="25.85546875" style="1233" customWidth="1"/>
    <col min="2869" max="3100" width="0.85546875" style="1233"/>
    <col min="3101" max="3101" width="9.85546875" style="1233" customWidth="1"/>
    <col min="3102" max="3102" width="81.85546875" style="1233" customWidth="1"/>
    <col min="3103" max="3103" width="12.7109375" style="1233" customWidth="1"/>
    <col min="3104" max="3104" width="12.42578125" style="1233" customWidth="1"/>
    <col min="3105" max="3105" width="14.5703125" style="1233" customWidth="1"/>
    <col min="3106" max="3106" width="12.28515625" style="1233" customWidth="1"/>
    <col min="3107" max="3107" width="38.140625" style="1233" customWidth="1"/>
    <col min="3108" max="3108" width="46.85546875" style="1233" customWidth="1"/>
    <col min="3109" max="3111" width="12.7109375" style="1233" customWidth="1"/>
    <col min="3112" max="3112" width="9.28515625" style="1233" customWidth="1"/>
    <col min="3113" max="3113" width="13.5703125" style="1233" customWidth="1"/>
    <col min="3114" max="3114" width="10.28515625" style="1233" customWidth="1"/>
    <col min="3115" max="3115" width="12.85546875" style="1233" customWidth="1"/>
    <col min="3116" max="3116" width="9.140625" style="1233" customWidth="1"/>
    <col min="3117" max="3117" width="9.7109375" style="1233" customWidth="1"/>
    <col min="3118" max="3118" width="9.28515625" style="1233" customWidth="1"/>
    <col min="3119" max="3119" width="9.42578125" style="1233" customWidth="1"/>
    <col min="3120" max="3120" width="10.5703125" style="1233" customWidth="1"/>
    <col min="3121" max="3121" width="12.42578125" style="1233" customWidth="1"/>
    <col min="3122" max="3122" width="14.5703125" style="1233" customWidth="1"/>
    <col min="3123" max="3123" width="12.28515625" style="1233" customWidth="1"/>
    <col min="3124" max="3124" width="25.85546875" style="1233" customWidth="1"/>
    <col min="3125" max="3356" width="0.85546875" style="1233"/>
    <col min="3357" max="3357" width="9.85546875" style="1233" customWidth="1"/>
    <col min="3358" max="3358" width="81.85546875" style="1233" customWidth="1"/>
    <col min="3359" max="3359" width="12.7109375" style="1233" customWidth="1"/>
    <col min="3360" max="3360" width="12.42578125" style="1233" customWidth="1"/>
    <col min="3361" max="3361" width="14.5703125" style="1233" customWidth="1"/>
    <col min="3362" max="3362" width="12.28515625" style="1233" customWidth="1"/>
    <col min="3363" max="3363" width="38.140625" style="1233" customWidth="1"/>
    <col min="3364" max="3364" width="46.85546875" style="1233" customWidth="1"/>
    <col min="3365" max="3367" width="12.7109375" style="1233" customWidth="1"/>
    <col min="3368" max="3368" width="9.28515625" style="1233" customWidth="1"/>
    <col min="3369" max="3369" width="13.5703125" style="1233" customWidth="1"/>
    <col min="3370" max="3370" width="10.28515625" style="1233" customWidth="1"/>
    <col min="3371" max="3371" width="12.85546875" style="1233" customWidth="1"/>
    <col min="3372" max="3372" width="9.140625" style="1233" customWidth="1"/>
    <col min="3373" max="3373" width="9.7109375" style="1233" customWidth="1"/>
    <col min="3374" max="3374" width="9.28515625" style="1233" customWidth="1"/>
    <col min="3375" max="3375" width="9.42578125" style="1233" customWidth="1"/>
    <col min="3376" max="3376" width="10.5703125" style="1233" customWidth="1"/>
    <col min="3377" max="3377" width="12.42578125" style="1233" customWidth="1"/>
    <col min="3378" max="3378" width="14.5703125" style="1233" customWidth="1"/>
    <col min="3379" max="3379" width="12.28515625" style="1233" customWidth="1"/>
    <col min="3380" max="3380" width="25.85546875" style="1233" customWidth="1"/>
    <col min="3381" max="3612" width="0.85546875" style="1233"/>
    <col min="3613" max="3613" width="9.85546875" style="1233" customWidth="1"/>
    <col min="3614" max="3614" width="81.85546875" style="1233" customWidth="1"/>
    <col min="3615" max="3615" width="12.7109375" style="1233" customWidth="1"/>
    <col min="3616" max="3616" width="12.42578125" style="1233" customWidth="1"/>
    <col min="3617" max="3617" width="14.5703125" style="1233" customWidth="1"/>
    <col min="3618" max="3618" width="12.28515625" style="1233" customWidth="1"/>
    <col min="3619" max="3619" width="38.140625" style="1233" customWidth="1"/>
    <col min="3620" max="3620" width="46.85546875" style="1233" customWidth="1"/>
    <col min="3621" max="3623" width="12.7109375" style="1233" customWidth="1"/>
    <col min="3624" max="3624" width="9.28515625" style="1233" customWidth="1"/>
    <col min="3625" max="3625" width="13.5703125" style="1233" customWidth="1"/>
    <col min="3626" max="3626" width="10.28515625" style="1233" customWidth="1"/>
    <col min="3627" max="3627" width="12.85546875" style="1233" customWidth="1"/>
    <col min="3628" max="3628" width="9.140625" style="1233" customWidth="1"/>
    <col min="3629" max="3629" width="9.7109375" style="1233" customWidth="1"/>
    <col min="3630" max="3630" width="9.28515625" style="1233" customWidth="1"/>
    <col min="3631" max="3631" width="9.42578125" style="1233" customWidth="1"/>
    <col min="3632" max="3632" width="10.5703125" style="1233" customWidth="1"/>
    <col min="3633" max="3633" width="12.42578125" style="1233" customWidth="1"/>
    <col min="3634" max="3634" width="14.5703125" style="1233" customWidth="1"/>
    <col min="3635" max="3635" width="12.28515625" style="1233" customWidth="1"/>
    <col min="3636" max="3636" width="25.85546875" style="1233" customWidth="1"/>
    <col min="3637" max="3868" width="0.85546875" style="1233"/>
    <col min="3869" max="3869" width="9.85546875" style="1233" customWidth="1"/>
    <col min="3870" max="3870" width="81.85546875" style="1233" customWidth="1"/>
    <col min="3871" max="3871" width="12.7109375" style="1233" customWidth="1"/>
    <col min="3872" max="3872" width="12.42578125" style="1233" customWidth="1"/>
    <col min="3873" max="3873" width="14.5703125" style="1233" customWidth="1"/>
    <col min="3874" max="3874" width="12.28515625" style="1233" customWidth="1"/>
    <col min="3875" max="3875" width="38.140625" style="1233" customWidth="1"/>
    <col min="3876" max="3876" width="46.85546875" style="1233" customWidth="1"/>
    <col min="3877" max="3879" width="12.7109375" style="1233" customWidth="1"/>
    <col min="3880" max="3880" width="9.28515625" style="1233" customWidth="1"/>
    <col min="3881" max="3881" width="13.5703125" style="1233" customWidth="1"/>
    <col min="3882" max="3882" width="10.28515625" style="1233" customWidth="1"/>
    <col min="3883" max="3883" width="12.85546875" style="1233" customWidth="1"/>
    <col min="3884" max="3884" width="9.140625" style="1233" customWidth="1"/>
    <col min="3885" max="3885" width="9.7109375" style="1233" customWidth="1"/>
    <col min="3886" max="3886" width="9.28515625" style="1233" customWidth="1"/>
    <col min="3887" max="3887" width="9.42578125" style="1233" customWidth="1"/>
    <col min="3888" max="3888" width="10.5703125" style="1233" customWidth="1"/>
    <col min="3889" max="3889" width="12.42578125" style="1233" customWidth="1"/>
    <col min="3890" max="3890" width="14.5703125" style="1233" customWidth="1"/>
    <col min="3891" max="3891" width="12.28515625" style="1233" customWidth="1"/>
    <col min="3892" max="3892" width="25.85546875" style="1233" customWidth="1"/>
    <col min="3893" max="4124" width="0.85546875" style="1233"/>
    <col min="4125" max="4125" width="9.85546875" style="1233" customWidth="1"/>
    <col min="4126" max="4126" width="81.85546875" style="1233" customWidth="1"/>
    <col min="4127" max="4127" width="12.7109375" style="1233" customWidth="1"/>
    <col min="4128" max="4128" width="12.42578125" style="1233" customWidth="1"/>
    <col min="4129" max="4129" width="14.5703125" style="1233" customWidth="1"/>
    <col min="4130" max="4130" width="12.28515625" style="1233" customWidth="1"/>
    <col min="4131" max="4131" width="38.140625" style="1233" customWidth="1"/>
    <col min="4132" max="4132" width="46.85546875" style="1233" customWidth="1"/>
    <col min="4133" max="4135" width="12.7109375" style="1233" customWidth="1"/>
    <col min="4136" max="4136" width="9.28515625" style="1233" customWidth="1"/>
    <col min="4137" max="4137" width="13.5703125" style="1233" customWidth="1"/>
    <col min="4138" max="4138" width="10.28515625" style="1233" customWidth="1"/>
    <col min="4139" max="4139" width="12.85546875" style="1233" customWidth="1"/>
    <col min="4140" max="4140" width="9.140625" style="1233" customWidth="1"/>
    <col min="4141" max="4141" width="9.7109375" style="1233" customWidth="1"/>
    <col min="4142" max="4142" width="9.28515625" style="1233" customWidth="1"/>
    <col min="4143" max="4143" width="9.42578125" style="1233" customWidth="1"/>
    <col min="4144" max="4144" width="10.5703125" style="1233" customWidth="1"/>
    <col min="4145" max="4145" width="12.42578125" style="1233" customWidth="1"/>
    <col min="4146" max="4146" width="14.5703125" style="1233" customWidth="1"/>
    <col min="4147" max="4147" width="12.28515625" style="1233" customWidth="1"/>
    <col min="4148" max="4148" width="25.85546875" style="1233" customWidth="1"/>
    <col min="4149" max="4380" width="0.85546875" style="1233"/>
    <col min="4381" max="4381" width="9.85546875" style="1233" customWidth="1"/>
    <col min="4382" max="4382" width="81.85546875" style="1233" customWidth="1"/>
    <col min="4383" max="4383" width="12.7109375" style="1233" customWidth="1"/>
    <col min="4384" max="4384" width="12.42578125" style="1233" customWidth="1"/>
    <col min="4385" max="4385" width="14.5703125" style="1233" customWidth="1"/>
    <col min="4386" max="4386" width="12.28515625" style="1233" customWidth="1"/>
    <col min="4387" max="4387" width="38.140625" style="1233" customWidth="1"/>
    <col min="4388" max="4388" width="46.85546875" style="1233" customWidth="1"/>
    <col min="4389" max="4391" width="12.7109375" style="1233" customWidth="1"/>
    <col min="4392" max="4392" width="9.28515625" style="1233" customWidth="1"/>
    <col min="4393" max="4393" width="13.5703125" style="1233" customWidth="1"/>
    <col min="4394" max="4394" width="10.28515625" style="1233" customWidth="1"/>
    <col min="4395" max="4395" width="12.85546875" style="1233" customWidth="1"/>
    <col min="4396" max="4396" width="9.140625" style="1233" customWidth="1"/>
    <col min="4397" max="4397" width="9.7109375" style="1233" customWidth="1"/>
    <col min="4398" max="4398" width="9.28515625" style="1233" customWidth="1"/>
    <col min="4399" max="4399" width="9.42578125" style="1233" customWidth="1"/>
    <col min="4400" max="4400" width="10.5703125" style="1233" customWidth="1"/>
    <col min="4401" max="4401" width="12.42578125" style="1233" customWidth="1"/>
    <col min="4402" max="4402" width="14.5703125" style="1233" customWidth="1"/>
    <col min="4403" max="4403" width="12.28515625" style="1233" customWidth="1"/>
    <col min="4404" max="4404" width="25.85546875" style="1233" customWidth="1"/>
    <col min="4405" max="4636" width="0.85546875" style="1233"/>
    <col min="4637" max="4637" width="9.85546875" style="1233" customWidth="1"/>
    <col min="4638" max="4638" width="81.85546875" style="1233" customWidth="1"/>
    <col min="4639" max="4639" width="12.7109375" style="1233" customWidth="1"/>
    <col min="4640" max="4640" width="12.42578125" style="1233" customWidth="1"/>
    <col min="4641" max="4641" width="14.5703125" style="1233" customWidth="1"/>
    <col min="4642" max="4642" width="12.28515625" style="1233" customWidth="1"/>
    <col min="4643" max="4643" width="38.140625" style="1233" customWidth="1"/>
    <col min="4644" max="4644" width="46.85546875" style="1233" customWidth="1"/>
    <col min="4645" max="4647" width="12.7109375" style="1233" customWidth="1"/>
    <col min="4648" max="4648" width="9.28515625" style="1233" customWidth="1"/>
    <col min="4649" max="4649" width="13.5703125" style="1233" customWidth="1"/>
    <col min="4650" max="4650" width="10.28515625" style="1233" customWidth="1"/>
    <col min="4651" max="4651" width="12.85546875" style="1233" customWidth="1"/>
    <col min="4652" max="4652" width="9.140625" style="1233" customWidth="1"/>
    <col min="4653" max="4653" width="9.7109375" style="1233" customWidth="1"/>
    <col min="4654" max="4654" width="9.28515625" style="1233" customWidth="1"/>
    <col min="4655" max="4655" width="9.42578125" style="1233" customWidth="1"/>
    <col min="4656" max="4656" width="10.5703125" style="1233" customWidth="1"/>
    <col min="4657" max="4657" width="12.42578125" style="1233" customWidth="1"/>
    <col min="4658" max="4658" width="14.5703125" style="1233" customWidth="1"/>
    <col min="4659" max="4659" width="12.28515625" style="1233" customWidth="1"/>
    <col min="4660" max="4660" width="25.85546875" style="1233" customWidth="1"/>
    <col min="4661" max="4892" width="0.85546875" style="1233"/>
    <col min="4893" max="4893" width="9.85546875" style="1233" customWidth="1"/>
    <col min="4894" max="4894" width="81.85546875" style="1233" customWidth="1"/>
    <col min="4895" max="4895" width="12.7109375" style="1233" customWidth="1"/>
    <col min="4896" max="4896" width="12.42578125" style="1233" customWidth="1"/>
    <col min="4897" max="4897" width="14.5703125" style="1233" customWidth="1"/>
    <col min="4898" max="4898" width="12.28515625" style="1233" customWidth="1"/>
    <col min="4899" max="4899" width="38.140625" style="1233" customWidth="1"/>
    <col min="4900" max="4900" width="46.85546875" style="1233" customWidth="1"/>
    <col min="4901" max="4903" width="12.7109375" style="1233" customWidth="1"/>
    <col min="4904" max="4904" width="9.28515625" style="1233" customWidth="1"/>
    <col min="4905" max="4905" width="13.5703125" style="1233" customWidth="1"/>
    <col min="4906" max="4906" width="10.28515625" style="1233" customWidth="1"/>
    <col min="4907" max="4907" width="12.85546875" style="1233" customWidth="1"/>
    <col min="4908" max="4908" width="9.140625" style="1233" customWidth="1"/>
    <col min="4909" max="4909" width="9.7109375" style="1233" customWidth="1"/>
    <col min="4910" max="4910" width="9.28515625" style="1233" customWidth="1"/>
    <col min="4911" max="4911" width="9.42578125" style="1233" customWidth="1"/>
    <col min="4912" max="4912" width="10.5703125" style="1233" customWidth="1"/>
    <col min="4913" max="4913" width="12.42578125" style="1233" customWidth="1"/>
    <col min="4914" max="4914" width="14.5703125" style="1233" customWidth="1"/>
    <col min="4915" max="4915" width="12.28515625" style="1233" customWidth="1"/>
    <col min="4916" max="4916" width="25.85546875" style="1233" customWidth="1"/>
    <col min="4917" max="5148" width="0.85546875" style="1233"/>
    <col min="5149" max="5149" width="9.85546875" style="1233" customWidth="1"/>
    <col min="5150" max="5150" width="81.85546875" style="1233" customWidth="1"/>
    <col min="5151" max="5151" width="12.7109375" style="1233" customWidth="1"/>
    <col min="5152" max="5152" width="12.42578125" style="1233" customWidth="1"/>
    <col min="5153" max="5153" width="14.5703125" style="1233" customWidth="1"/>
    <col min="5154" max="5154" width="12.28515625" style="1233" customWidth="1"/>
    <col min="5155" max="5155" width="38.140625" style="1233" customWidth="1"/>
    <col min="5156" max="5156" width="46.85546875" style="1233" customWidth="1"/>
    <col min="5157" max="5159" width="12.7109375" style="1233" customWidth="1"/>
    <col min="5160" max="5160" width="9.28515625" style="1233" customWidth="1"/>
    <col min="5161" max="5161" width="13.5703125" style="1233" customWidth="1"/>
    <col min="5162" max="5162" width="10.28515625" style="1233" customWidth="1"/>
    <col min="5163" max="5163" width="12.85546875" style="1233" customWidth="1"/>
    <col min="5164" max="5164" width="9.140625" style="1233" customWidth="1"/>
    <col min="5165" max="5165" width="9.7109375" style="1233" customWidth="1"/>
    <col min="5166" max="5166" width="9.28515625" style="1233" customWidth="1"/>
    <col min="5167" max="5167" width="9.42578125" style="1233" customWidth="1"/>
    <col min="5168" max="5168" width="10.5703125" style="1233" customWidth="1"/>
    <col min="5169" max="5169" width="12.42578125" style="1233" customWidth="1"/>
    <col min="5170" max="5170" width="14.5703125" style="1233" customWidth="1"/>
    <col min="5171" max="5171" width="12.28515625" style="1233" customWidth="1"/>
    <col min="5172" max="5172" width="25.85546875" style="1233" customWidth="1"/>
    <col min="5173" max="5404" width="0.85546875" style="1233"/>
    <col min="5405" max="5405" width="9.85546875" style="1233" customWidth="1"/>
    <col min="5406" max="5406" width="81.85546875" style="1233" customWidth="1"/>
    <col min="5407" max="5407" width="12.7109375" style="1233" customWidth="1"/>
    <col min="5408" max="5408" width="12.42578125" style="1233" customWidth="1"/>
    <col min="5409" max="5409" width="14.5703125" style="1233" customWidth="1"/>
    <col min="5410" max="5410" width="12.28515625" style="1233" customWidth="1"/>
    <col min="5411" max="5411" width="38.140625" style="1233" customWidth="1"/>
    <col min="5412" max="5412" width="46.85546875" style="1233" customWidth="1"/>
    <col min="5413" max="5415" width="12.7109375" style="1233" customWidth="1"/>
    <col min="5416" max="5416" width="9.28515625" style="1233" customWidth="1"/>
    <col min="5417" max="5417" width="13.5703125" style="1233" customWidth="1"/>
    <col min="5418" max="5418" width="10.28515625" style="1233" customWidth="1"/>
    <col min="5419" max="5419" width="12.85546875" style="1233" customWidth="1"/>
    <col min="5420" max="5420" width="9.140625" style="1233" customWidth="1"/>
    <col min="5421" max="5421" width="9.7109375" style="1233" customWidth="1"/>
    <col min="5422" max="5422" width="9.28515625" style="1233" customWidth="1"/>
    <col min="5423" max="5423" width="9.42578125" style="1233" customWidth="1"/>
    <col min="5424" max="5424" width="10.5703125" style="1233" customWidth="1"/>
    <col min="5425" max="5425" width="12.42578125" style="1233" customWidth="1"/>
    <col min="5426" max="5426" width="14.5703125" style="1233" customWidth="1"/>
    <col min="5427" max="5427" width="12.28515625" style="1233" customWidth="1"/>
    <col min="5428" max="5428" width="25.85546875" style="1233" customWidth="1"/>
    <col min="5429" max="5660" width="0.85546875" style="1233"/>
    <col min="5661" max="5661" width="9.85546875" style="1233" customWidth="1"/>
    <col min="5662" max="5662" width="81.85546875" style="1233" customWidth="1"/>
    <col min="5663" max="5663" width="12.7109375" style="1233" customWidth="1"/>
    <col min="5664" max="5664" width="12.42578125" style="1233" customWidth="1"/>
    <col min="5665" max="5665" width="14.5703125" style="1233" customWidth="1"/>
    <col min="5666" max="5666" width="12.28515625" style="1233" customWidth="1"/>
    <col min="5667" max="5667" width="38.140625" style="1233" customWidth="1"/>
    <col min="5668" max="5668" width="46.85546875" style="1233" customWidth="1"/>
    <col min="5669" max="5671" width="12.7109375" style="1233" customWidth="1"/>
    <col min="5672" max="5672" width="9.28515625" style="1233" customWidth="1"/>
    <col min="5673" max="5673" width="13.5703125" style="1233" customWidth="1"/>
    <col min="5674" max="5674" width="10.28515625" style="1233" customWidth="1"/>
    <col min="5675" max="5675" width="12.85546875" style="1233" customWidth="1"/>
    <col min="5676" max="5676" width="9.140625" style="1233" customWidth="1"/>
    <col min="5677" max="5677" width="9.7109375" style="1233" customWidth="1"/>
    <col min="5678" max="5678" width="9.28515625" style="1233" customWidth="1"/>
    <col min="5679" max="5679" width="9.42578125" style="1233" customWidth="1"/>
    <col min="5680" max="5680" width="10.5703125" style="1233" customWidth="1"/>
    <col min="5681" max="5681" width="12.42578125" style="1233" customWidth="1"/>
    <col min="5682" max="5682" width="14.5703125" style="1233" customWidth="1"/>
    <col min="5683" max="5683" width="12.28515625" style="1233" customWidth="1"/>
    <col min="5684" max="5684" width="25.85546875" style="1233" customWidth="1"/>
    <col min="5685" max="5916" width="0.85546875" style="1233"/>
    <col min="5917" max="5917" width="9.85546875" style="1233" customWidth="1"/>
    <col min="5918" max="5918" width="81.85546875" style="1233" customWidth="1"/>
    <col min="5919" max="5919" width="12.7109375" style="1233" customWidth="1"/>
    <col min="5920" max="5920" width="12.42578125" style="1233" customWidth="1"/>
    <col min="5921" max="5921" width="14.5703125" style="1233" customWidth="1"/>
    <col min="5922" max="5922" width="12.28515625" style="1233" customWidth="1"/>
    <col min="5923" max="5923" width="38.140625" style="1233" customWidth="1"/>
    <col min="5924" max="5924" width="46.85546875" style="1233" customWidth="1"/>
    <col min="5925" max="5927" width="12.7109375" style="1233" customWidth="1"/>
    <col min="5928" max="5928" width="9.28515625" style="1233" customWidth="1"/>
    <col min="5929" max="5929" width="13.5703125" style="1233" customWidth="1"/>
    <col min="5930" max="5930" width="10.28515625" style="1233" customWidth="1"/>
    <col min="5931" max="5931" width="12.85546875" style="1233" customWidth="1"/>
    <col min="5932" max="5932" width="9.140625" style="1233" customWidth="1"/>
    <col min="5933" max="5933" width="9.7109375" style="1233" customWidth="1"/>
    <col min="5934" max="5934" width="9.28515625" style="1233" customWidth="1"/>
    <col min="5935" max="5935" width="9.42578125" style="1233" customWidth="1"/>
    <col min="5936" max="5936" width="10.5703125" style="1233" customWidth="1"/>
    <col min="5937" max="5937" width="12.42578125" style="1233" customWidth="1"/>
    <col min="5938" max="5938" width="14.5703125" style="1233" customWidth="1"/>
    <col min="5939" max="5939" width="12.28515625" style="1233" customWidth="1"/>
    <col min="5940" max="5940" width="25.85546875" style="1233" customWidth="1"/>
    <col min="5941" max="6172" width="0.85546875" style="1233"/>
    <col min="6173" max="6173" width="9.85546875" style="1233" customWidth="1"/>
    <col min="6174" max="6174" width="81.85546875" style="1233" customWidth="1"/>
    <col min="6175" max="6175" width="12.7109375" style="1233" customWidth="1"/>
    <col min="6176" max="6176" width="12.42578125" style="1233" customWidth="1"/>
    <col min="6177" max="6177" width="14.5703125" style="1233" customWidth="1"/>
    <col min="6178" max="6178" width="12.28515625" style="1233" customWidth="1"/>
    <col min="6179" max="6179" width="38.140625" style="1233" customWidth="1"/>
    <col min="6180" max="6180" width="46.85546875" style="1233" customWidth="1"/>
    <col min="6181" max="6183" width="12.7109375" style="1233" customWidth="1"/>
    <col min="6184" max="6184" width="9.28515625" style="1233" customWidth="1"/>
    <col min="6185" max="6185" width="13.5703125" style="1233" customWidth="1"/>
    <col min="6186" max="6186" width="10.28515625" style="1233" customWidth="1"/>
    <col min="6187" max="6187" width="12.85546875" style="1233" customWidth="1"/>
    <col min="6188" max="6188" width="9.140625" style="1233" customWidth="1"/>
    <col min="6189" max="6189" width="9.7109375" style="1233" customWidth="1"/>
    <col min="6190" max="6190" width="9.28515625" style="1233" customWidth="1"/>
    <col min="6191" max="6191" width="9.42578125" style="1233" customWidth="1"/>
    <col min="6192" max="6192" width="10.5703125" style="1233" customWidth="1"/>
    <col min="6193" max="6193" width="12.42578125" style="1233" customWidth="1"/>
    <col min="6194" max="6194" width="14.5703125" style="1233" customWidth="1"/>
    <col min="6195" max="6195" width="12.28515625" style="1233" customWidth="1"/>
    <col min="6196" max="6196" width="25.85546875" style="1233" customWidth="1"/>
    <col min="6197" max="6428" width="0.85546875" style="1233"/>
    <col min="6429" max="6429" width="9.85546875" style="1233" customWidth="1"/>
    <col min="6430" max="6430" width="81.85546875" style="1233" customWidth="1"/>
    <col min="6431" max="6431" width="12.7109375" style="1233" customWidth="1"/>
    <col min="6432" max="6432" width="12.42578125" style="1233" customWidth="1"/>
    <col min="6433" max="6433" width="14.5703125" style="1233" customWidth="1"/>
    <col min="6434" max="6434" width="12.28515625" style="1233" customWidth="1"/>
    <col min="6435" max="6435" width="38.140625" style="1233" customWidth="1"/>
    <col min="6436" max="6436" width="46.85546875" style="1233" customWidth="1"/>
    <col min="6437" max="6439" width="12.7109375" style="1233" customWidth="1"/>
    <col min="6440" max="6440" width="9.28515625" style="1233" customWidth="1"/>
    <col min="6441" max="6441" width="13.5703125" style="1233" customWidth="1"/>
    <col min="6442" max="6442" width="10.28515625" style="1233" customWidth="1"/>
    <col min="6443" max="6443" width="12.85546875" style="1233" customWidth="1"/>
    <col min="6444" max="6444" width="9.140625" style="1233" customWidth="1"/>
    <col min="6445" max="6445" width="9.7109375" style="1233" customWidth="1"/>
    <col min="6446" max="6446" width="9.28515625" style="1233" customWidth="1"/>
    <col min="6447" max="6447" width="9.42578125" style="1233" customWidth="1"/>
    <col min="6448" max="6448" width="10.5703125" style="1233" customWidth="1"/>
    <col min="6449" max="6449" width="12.42578125" style="1233" customWidth="1"/>
    <col min="6450" max="6450" width="14.5703125" style="1233" customWidth="1"/>
    <col min="6451" max="6451" width="12.28515625" style="1233" customWidth="1"/>
    <col min="6452" max="6452" width="25.85546875" style="1233" customWidth="1"/>
    <col min="6453" max="6684" width="0.85546875" style="1233"/>
    <col min="6685" max="6685" width="9.85546875" style="1233" customWidth="1"/>
    <col min="6686" max="6686" width="81.85546875" style="1233" customWidth="1"/>
    <col min="6687" max="6687" width="12.7109375" style="1233" customWidth="1"/>
    <col min="6688" max="6688" width="12.42578125" style="1233" customWidth="1"/>
    <col min="6689" max="6689" width="14.5703125" style="1233" customWidth="1"/>
    <col min="6690" max="6690" width="12.28515625" style="1233" customWidth="1"/>
    <col min="6691" max="6691" width="38.140625" style="1233" customWidth="1"/>
    <col min="6692" max="6692" width="46.85546875" style="1233" customWidth="1"/>
    <col min="6693" max="6695" width="12.7109375" style="1233" customWidth="1"/>
    <col min="6696" max="6696" width="9.28515625" style="1233" customWidth="1"/>
    <col min="6697" max="6697" width="13.5703125" style="1233" customWidth="1"/>
    <col min="6698" max="6698" width="10.28515625" style="1233" customWidth="1"/>
    <col min="6699" max="6699" width="12.85546875" style="1233" customWidth="1"/>
    <col min="6700" max="6700" width="9.140625" style="1233" customWidth="1"/>
    <col min="6701" max="6701" width="9.7109375" style="1233" customWidth="1"/>
    <col min="6702" max="6702" width="9.28515625" style="1233" customWidth="1"/>
    <col min="6703" max="6703" width="9.42578125" style="1233" customWidth="1"/>
    <col min="6704" max="6704" width="10.5703125" style="1233" customWidth="1"/>
    <col min="6705" max="6705" width="12.42578125" style="1233" customWidth="1"/>
    <col min="6706" max="6706" width="14.5703125" style="1233" customWidth="1"/>
    <col min="6707" max="6707" width="12.28515625" style="1233" customWidth="1"/>
    <col min="6708" max="6708" width="25.85546875" style="1233" customWidth="1"/>
    <col min="6709" max="6940" width="0.85546875" style="1233"/>
    <col min="6941" max="6941" width="9.85546875" style="1233" customWidth="1"/>
    <col min="6942" max="6942" width="81.85546875" style="1233" customWidth="1"/>
    <col min="6943" max="6943" width="12.7109375" style="1233" customWidth="1"/>
    <col min="6944" max="6944" width="12.42578125" style="1233" customWidth="1"/>
    <col min="6945" max="6945" width="14.5703125" style="1233" customWidth="1"/>
    <col min="6946" max="6946" width="12.28515625" style="1233" customWidth="1"/>
    <col min="6947" max="6947" width="38.140625" style="1233" customWidth="1"/>
    <col min="6948" max="6948" width="46.85546875" style="1233" customWidth="1"/>
    <col min="6949" max="6951" width="12.7109375" style="1233" customWidth="1"/>
    <col min="6952" max="6952" width="9.28515625" style="1233" customWidth="1"/>
    <col min="6953" max="6953" width="13.5703125" style="1233" customWidth="1"/>
    <col min="6954" max="6954" width="10.28515625" style="1233" customWidth="1"/>
    <col min="6955" max="6955" width="12.85546875" style="1233" customWidth="1"/>
    <col min="6956" max="6956" width="9.140625" style="1233" customWidth="1"/>
    <col min="6957" max="6957" width="9.7109375" style="1233" customWidth="1"/>
    <col min="6958" max="6958" width="9.28515625" style="1233" customWidth="1"/>
    <col min="6959" max="6959" width="9.42578125" style="1233" customWidth="1"/>
    <col min="6960" max="6960" width="10.5703125" style="1233" customWidth="1"/>
    <col min="6961" max="6961" width="12.42578125" style="1233" customWidth="1"/>
    <col min="6962" max="6962" width="14.5703125" style="1233" customWidth="1"/>
    <col min="6963" max="6963" width="12.28515625" style="1233" customWidth="1"/>
    <col min="6964" max="6964" width="25.85546875" style="1233" customWidth="1"/>
    <col min="6965" max="7196" width="0.85546875" style="1233"/>
    <col min="7197" max="7197" width="9.85546875" style="1233" customWidth="1"/>
    <col min="7198" max="7198" width="81.85546875" style="1233" customWidth="1"/>
    <col min="7199" max="7199" width="12.7109375" style="1233" customWidth="1"/>
    <col min="7200" max="7200" width="12.42578125" style="1233" customWidth="1"/>
    <col min="7201" max="7201" width="14.5703125" style="1233" customWidth="1"/>
    <col min="7202" max="7202" width="12.28515625" style="1233" customWidth="1"/>
    <col min="7203" max="7203" width="38.140625" style="1233" customWidth="1"/>
    <col min="7204" max="7204" width="46.85546875" style="1233" customWidth="1"/>
    <col min="7205" max="7207" width="12.7109375" style="1233" customWidth="1"/>
    <col min="7208" max="7208" width="9.28515625" style="1233" customWidth="1"/>
    <col min="7209" max="7209" width="13.5703125" style="1233" customWidth="1"/>
    <col min="7210" max="7210" width="10.28515625" style="1233" customWidth="1"/>
    <col min="7211" max="7211" width="12.85546875" style="1233" customWidth="1"/>
    <col min="7212" max="7212" width="9.140625" style="1233" customWidth="1"/>
    <col min="7213" max="7213" width="9.7109375" style="1233" customWidth="1"/>
    <col min="7214" max="7214" width="9.28515625" style="1233" customWidth="1"/>
    <col min="7215" max="7215" width="9.42578125" style="1233" customWidth="1"/>
    <col min="7216" max="7216" width="10.5703125" style="1233" customWidth="1"/>
    <col min="7217" max="7217" width="12.42578125" style="1233" customWidth="1"/>
    <col min="7218" max="7218" width="14.5703125" style="1233" customWidth="1"/>
    <col min="7219" max="7219" width="12.28515625" style="1233" customWidth="1"/>
    <col min="7220" max="7220" width="25.85546875" style="1233" customWidth="1"/>
    <col min="7221" max="7452" width="0.85546875" style="1233"/>
    <col min="7453" max="7453" width="9.85546875" style="1233" customWidth="1"/>
    <col min="7454" max="7454" width="81.85546875" style="1233" customWidth="1"/>
    <col min="7455" max="7455" width="12.7109375" style="1233" customWidth="1"/>
    <col min="7456" max="7456" width="12.42578125" style="1233" customWidth="1"/>
    <col min="7457" max="7457" width="14.5703125" style="1233" customWidth="1"/>
    <col min="7458" max="7458" width="12.28515625" style="1233" customWidth="1"/>
    <col min="7459" max="7459" width="38.140625" style="1233" customWidth="1"/>
    <col min="7460" max="7460" width="46.85546875" style="1233" customWidth="1"/>
    <col min="7461" max="7463" width="12.7109375" style="1233" customWidth="1"/>
    <col min="7464" max="7464" width="9.28515625" style="1233" customWidth="1"/>
    <col min="7465" max="7465" width="13.5703125" style="1233" customWidth="1"/>
    <col min="7466" max="7466" width="10.28515625" style="1233" customWidth="1"/>
    <col min="7467" max="7467" width="12.85546875" style="1233" customWidth="1"/>
    <col min="7468" max="7468" width="9.140625" style="1233" customWidth="1"/>
    <col min="7469" max="7469" width="9.7109375" style="1233" customWidth="1"/>
    <col min="7470" max="7470" width="9.28515625" style="1233" customWidth="1"/>
    <col min="7471" max="7471" width="9.42578125" style="1233" customWidth="1"/>
    <col min="7472" max="7472" width="10.5703125" style="1233" customWidth="1"/>
    <col min="7473" max="7473" width="12.42578125" style="1233" customWidth="1"/>
    <col min="7474" max="7474" width="14.5703125" style="1233" customWidth="1"/>
    <col min="7475" max="7475" width="12.28515625" style="1233" customWidth="1"/>
    <col min="7476" max="7476" width="25.85546875" style="1233" customWidth="1"/>
    <col min="7477" max="7708" width="0.85546875" style="1233"/>
    <col min="7709" max="7709" width="9.85546875" style="1233" customWidth="1"/>
    <col min="7710" max="7710" width="81.85546875" style="1233" customWidth="1"/>
    <col min="7711" max="7711" width="12.7109375" style="1233" customWidth="1"/>
    <col min="7712" max="7712" width="12.42578125" style="1233" customWidth="1"/>
    <col min="7713" max="7713" width="14.5703125" style="1233" customWidth="1"/>
    <col min="7714" max="7714" width="12.28515625" style="1233" customWidth="1"/>
    <col min="7715" max="7715" width="38.140625" style="1233" customWidth="1"/>
    <col min="7716" max="7716" width="46.85546875" style="1233" customWidth="1"/>
    <col min="7717" max="7719" width="12.7109375" style="1233" customWidth="1"/>
    <col min="7720" max="7720" width="9.28515625" style="1233" customWidth="1"/>
    <col min="7721" max="7721" width="13.5703125" style="1233" customWidth="1"/>
    <col min="7722" max="7722" width="10.28515625" style="1233" customWidth="1"/>
    <col min="7723" max="7723" width="12.85546875" style="1233" customWidth="1"/>
    <col min="7724" max="7724" width="9.140625" style="1233" customWidth="1"/>
    <col min="7725" max="7725" width="9.7109375" style="1233" customWidth="1"/>
    <col min="7726" max="7726" width="9.28515625" style="1233" customWidth="1"/>
    <col min="7727" max="7727" width="9.42578125" style="1233" customWidth="1"/>
    <col min="7728" max="7728" width="10.5703125" style="1233" customWidth="1"/>
    <col min="7729" max="7729" width="12.42578125" style="1233" customWidth="1"/>
    <col min="7730" max="7730" width="14.5703125" style="1233" customWidth="1"/>
    <col min="7731" max="7731" width="12.28515625" style="1233" customWidth="1"/>
    <col min="7732" max="7732" width="25.85546875" style="1233" customWidth="1"/>
    <col min="7733" max="7964" width="0.85546875" style="1233"/>
    <col min="7965" max="7965" width="9.85546875" style="1233" customWidth="1"/>
    <col min="7966" max="7966" width="81.85546875" style="1233" customWidth="1"/>
    <col min="7967" max="7967" width="12.7109375" style="1233" customWidth="1"/>
    <col min="7968" max="7968" width="12.42578125" style="1233" customWidth="1"/>
    <col min="7969" max="7969" width="14.5703125" style="1233" customWidth="1"/>
    <col min="7970" max="7970" width="12.28515625" style="1233" customWidth="1"/>
    <col min="7971" max="7971" width="38.140625" style="1233" customWidth="1"/>
    <col min="7972" max="7972" width="46.85546875" style="1233" customWidth="1"/>
    <col min="7973" max="7975" width="12.7109375" style="1233" customWidth="1"/>
    <col min="7976" max="7976" width="9.28515625" style="1233" customWidth="1"/>
    <col min="7977" max="7977" width="13.5703125" style="1233" customWidth="1"/>
    <col min="7978" max="7978" width="10.28515625" style="1233" customWidth="1"/>
    <col min="7979" max="7979" width="12.85546875" style="1233" customWidth="1"/>
    <col min="7980" max="7980" width="9.140625" style="1233" customWidth="1"/>
    <col min="7981" max="7981" width="9.7109375" style="1233" customWidth="1"/>
    <col min="7982" max="7982" width="9.28515625" style="1233" customWidth="1"/>
    <col min="7983" max="7983" width="9.42578125" style="1233" customWidth="1"/>
    <col min="7984" max="7984" width="10.5703125" style="1233" customWidth="1"/>
    <col min="7985" max="7985" width="12.42578125" style="1233" customWidth="1"/>
    <col min="7986" max="7986" width="14.5703125" style="1233" customWidth="1"/>
    <col min="7987" max="7987" width="12.28515625" style="1233" customWidth="1"/>
    <col min="7988" max="7988" width="25.85546875" style="1233" customWidth="1"/>
    <col min="7989" max="8220" width="0.85546875" style="1233"/>
    <col min="8221" max="8221" width="9.85546875" style="1233" customWidth="1"/>
    <col min="8222" max="8222" width="81.85546875" style="1233" customWidth="1"/>
    <col min="8223" max="8223" width="12.7109375" style="1233" customWidth="1"/>
    <col min="8224" max="8224" width="12.42578125" style="1233" customWidth="1"/>
    <col min="8225" max="8225" width="14.5703125" style="1233" customWidth="1"/>
    <col min="8226" max="8226" width="12.28515625" style="1233" customWidth="1"/>
    <col min="8227" max="8227" width="38.140625" style="1233" customWidth="1"/>
    <col min="8228" max="8228" width="46.85546875" style="1233" customWidth="1"/>
    <col min="8229" max="8231" width="12.7109375" style="1233" customWidth="1"/>
    <col min="8232" max="8232" width="9.28515625" style="1233" customWidth="1"/>
    <col min="8233" max="8233" width="13.5703125" style="1233" customWidth="1"/>
    <col min="8234" max="8234" width="10.28515625" style="1233" customWidth="1"/>
    <col min="8235" max="8235" width="12.85546875" style="1233" customWidth="1"/>
    <col min="8236" max="8236" width="9.140625" style="1233" customWidth="1"/>
    <col min="8237" max="8237" width="9.7109375" style="1233" customWidth="1"/>
    <col min="8238" max="8238" width="9.28515625" style="1233" customWidth="1"/>
    <col min="8239" max="8239" width="9.42578125" style="1233" customWidth="1"/>
    <col min="8240" max="8240" width="10.5703125" style="1233" customWidth="1"/>
    <col min="8241" max="8241" width="12.42578125" style="1233" customWidth="1"/>
    <col min="8242" max="8242" width="14.5703125" style="1233" customWidth="1"/>
    <col min="8243" max="8243" width="12.28515625" style="1233" customWidth="1"/>
    <col min="8244" max="8244" width="25.85546875" style="1233" customWidth="1"/>
    <col min="8245" max="8476" width="0.85546875" style="1233"/>
    <col min="8477" max="8477" width="9.85546875" style="1233" customWidth="1"/>
    <col min="8478" max="8478" width="81.85546875" style="1233" customWidth="1"/>
    <col min="8479" max="8479" width="12.7109375" style="1233" customWidth="1"/>
    <col min="8480" max="8480" width="12.42578125" style="1233" customWidth="1"/>
    <col min="8481" max="8481" width="14.5703125" style="1233" customWidth="1"/>
    <col min="8482" max="8482" width="12.28515625" style="1233" customWidth="1"/>
    <col min="8483" max="8483" width="38.140625" style="1233" customWidth="1"/>
    <col min="8484" max="8484" width="46.85546875" style="1233" customWidth="1"/>
    <col min="8485" max="8487" width="12.7109375" style="1233" customWidth="1"/>
    <col min="8488" max="8488" width="9.28515625" style="1233" customWidth="1"/>
    <col min="8489" max="8489" width="13.5703125" style="1233" customWidth="1"/>
    <col min="8490" max="8490" width="10.28515625" style="1233" customWidth="1"/>
    <col min="8491" max="8491" width="12.85546875" style="1233" customWidth="1"/>
    <col min="8492" max="8492" width="9.140625" style="1233" customWidth="1"/>
    <col min="8493" max="8493" width="9.7109375" style="1233" customWidth="1"/>
    <col min="8494" max="8494" width="9.28515625" style="1233" customWidth="1"/>
    <col min="8495" max="8495" width="9.42578125" style="1233" customWidth="1"/>
    <col min="8496" max="8496" width="10.5703125" style="1233" customWidth="1"/>
    <col min="8497" max="8497" width="12.42578125" style="1233" customWidth="1"/>
    <col min="8498" max="8498" width="14.5703125" style="1233" customWidth="1"/>
    <col min="8499" max="8499" width="12.28515625" style="1233" customWidth="1"/>
    <col min="8500" max="8500" width="25.85546875" style="1233" customWidth="1"/>
    <col min="8501" max="8732" width="0.85546875" style="1233"/>
    <col min="8733" max="8733" width="9.85546875" style="1233" customWidth="1"/>
    <col min="8734" max="8734" width="81.85546875" style="1233" customWidth="1"/>
    <col min="8735" max="8735" width="12.7109375" style="1233" customWidth="1"/>
    <col min="8736" max="8736" width="12.42578125" style="1233" customWidth="1"/>
    <col min="8737" max="8737" width="14.5703125" style="1233" customWidth="1"/>
    <col min="8738" max="8738" width="12.28515625" style="1233" customWidth="1"/>
    <col min="8739" max="8739" width="38.140625" style="1233" customWidth="1"/>
    <col min="8740" max="8740" width="46.85546875" style="1233" customWidth="1"/>
    <col min="8741" max="8743" width="12.7109375" style="1233" customWidth="1"/>
    <col min="8744" max="8744" width="9.28515625" style="1233" customWidth="1"/>
    <col min="8745" max="8745" width="13.5703125" style="1233" customWidth="1"/>
    <col min="8746" max="8746" width="10.28515625" style="1233" customWidth="1"/>
    <col min="8747" max="8747" width="12.85546875" style="1233" customWidth="1"/>
    <col min="8748" max="8748" width="9.140625" style="1233" customWidth="1"/>
    <col min="8749" max="8749" width="9.7109375" style="1233" customWidth="1"/>
    <col min="8750" max="8750" width="9.28515625" style="1233" customWidth="1"/>
    <col min="8751" max="8751" width="9.42578125" style="1233" customWidth="1"/>
    <col min="8752" max="8752" width="10.5703125" style="1233" customWidth="1"/>
    <col min="8753" max="8753" width="12.42578125" style="1233" customWidth="1"/>
    <col min="8754" max="8754" width="14.5703125" style="1233" customWidth="1"/>
    <col min="8755" max="8755" width="12.28515625" style="1233" customWidth="1"/>
    <col min="8756" max="8756" width="25.85546875" style="1233" customWidth="1"/>
    <col min="8757" max="8988" width="0.85546875" style="1233"/>
    <col min="8989" max="8989" width="9.85546875" style="1233" customWidth="1"/>
    <col min="8990" max="8990" width="81.85546875" style="1233" customWidth="1"/>
    <col min="8991" max="8991" width="12.7109375" style="1233" customWidth="1"/>
    <col min="8992" max="8992" width="12.42578125" style="1233" customWidth="1"/>
    <col min="8993" max="8993" width="14.5703125" style="1233" customWidth="1"/>
    <col min="8994" max="8994" width="12.28515625" style="1233" customWidth="1"/>
    <col min="8995" max="8995" width="38.140625" style="1233" customWidth="1"/>
    <col min="8996" max="8996" width="46.85546875" style="1233" customWidth="1"/>
    <col min="8997" max="8999" width="12.7109375" style="1233" customWidth="1"/>
    <col min="9000" max="9000" width="9.28515625" style="1233" customWidth="1"/>
    <col min="9001" max="9001" width="13.5703125" style="1233" customWidth="1"/>
    <col min="9002" max="9002" width="10.28515625" style="1233" customWidth="1"/>
    <col min="9003" max="9003" width="12.85546875" style="1233" customWidth="1"/>
    <col min="9004" max="9004" width="9.140625" style="1233" customWidth="1"/>
    <col min="9005" max="9005" width="9.7109375" style="1233" customWidth="1"/>
    <col min="9006" max="9006" width="9.28515625" style="1233" customWidth="1"/>
    <col min="9007" max="9007" width="9.42578125" style="1233" customWidth="1"/>
    <col min="9008" max="9008" width="10.5703125" style="1233" customWidth="1"/>
    <col min="9009" max="9009" width="12.42578125" style="1233" customWidth="1"/>
    <col min="9010" max="9010" width="14.5703125" style="1233" customWidth="1"/>
    <col min="9011" max="9011" width="12.28515625" style="1233" customWidth="1"/>
    <col min="9012" max="9012" width="25.85546875" style="1233" customWidth="1"/>
    <col min="9013" max="9244" width="0.85546875" style="1233"/>
    <col min="9245" max="9245" width="9.85546875" style="1233" customWidth="1"/>
    <col min="9246" max="9246" width="81.85546875" style="1233" customWidth="1"/>
    <col min="9247" max="9247" width="12.7109375" style="1233" customWidth="1"/>
    <col min="9248" max="9248" width="12.42578125" style="1233" customWidth="1"/>
    <col min="9249" max="9249" width="14.5703125" style="1233" customWidth="1"/>
    <col min="9250" max="9250" width="12.28515625" style="1233" customWidth="1"/>
    <col min="9251" max="9251" width="38.140625" style="1233" customWidth="1"/>
    <col min="9252" max="9252" width="46.85546875" style="1233" customWidth="1"/>
    <col min="9253" max="9255" width="12.7109375" style="1233" customWidth="1"/>
    <col min="9256" max="9256" width="9.28515625" style="1233" customWidth="1"/>
    <col min="9257" max="9257" width="13.5703125" style="1233" customWidth="1"/>
    <col min="9258" max="9258" width="10.28515625" style="1233" customWidth="1"/>
    <col min="9259" max="9259" width="12.85546875" style="1233" customWidth="1"/>
    <col min="9260" max="9260" width="9.140625" style="1233" customWidth="1"/>
    <col min="9261" max="9261" width="9.7109375" style="1233" customWidth="1"/>
    <col min="9262" max="9262" width="9.28515625" style="1233" customWidth="1"/>
    <col min="9263" max="9263" width="9.42578125" style="1233" customWidth="1"/>
    <col min="9264" max="9264" width="10.5703125" style="1233" customWidth="1"/>
    <col min="9265" max="9265" width="12.42578125" style="1233" customWidth="1"/>
    <col min="9266" max="9266" width="14.5703125" style="1233" customWidth="1"/>
    <col min="9267" max="9267" width="12.28515625" style="1233" customWidth="1"/>
    <col min="9268" max="9268" width="25.85546875" style="1233" customWidth="1"/>
    <col min="9269" max="9500" width="0.85546875" style="1233"/>
    <col min="9501" max="9501" width="9.85546875" style="1233" customWidth="1"/>
    <col min="9502" max="9502" width="81.85546875" style="1233" customWidth="1"/>
    <col min="9503" max="9503" width="12.7109375" style="1233" customWidth="1"/>
    <col min="9504" max="9504" width="12.42578125" style="1233" customWidth="1"/>
    <col min="9505" max="9505" width="14.5703125" style="1233" customWidth="1"/>
    <col min="9506" max="9506" width="12.28515625" style="1233" customWidth="1"/>
    <col min="9507" max="9507" width="38.140625" style="1233" customWidth="1"/>
    <col min="9508" max="9508" width="46.85546875" style="1233" customWidth="1"/>
    <col min="9509" max="9511" width="12.7109375" style="1233" customWidth="1"/>
    <col min="9512" max="9512" width="9.28515625" style="1233" customWidth="1"/>
    <col min="9513" max="9513" width="13.5703125" style="1233" customWidth="1"/>
    <col min="9514" max="9514" width="10.28515625" style="1233" customWidth="1"/>
    <col min="9515" max="9515" width="12.85546875" style="1233" customWidth="1"/>
    <col min="9516" max="9516" width="9.140625" style="1233" customWidth="1"/>
    <col min="9517" max="9517" width="9.7109375" style="1233" customWidth="1"/>
    <col min="9518" max="9518" width="9.28515625" style="1233" customWidth="1"/>
    <col min="9519" max="9519" width="9.42578125" style="1233" customWidth="1"/>
    <col min="9520" max="9520" width="10.5703125" style="1233" customWidth="1"/>
    <col min="9521" max="9521" width="12.42578125" style="1233" customWidth="1"/>
    <col min="9522" max="9522" width="14.5703125" style="1233" customWidth="1"/>
    <col min="9523" max="9523" width="12.28515625" style="1233" customWidth="1"/>
    <col min="9524" max="9524" width="25.85546875" style="1233" customWidth="1"/>
    <col min="9525" max="9756" width="0.85546875" style="1233"/>
    <col min="9757" max="9757" width="9.85546875" style="1233" customWidth="1"/>
    <col min="9758" max="9758" width="81.85546875" style="1233" customWidth="1"/>
    <col min="9759" max="9759" width="12.7109375" style="1233" customWidth="1"/>
    <col min="9760" max="9760" width="12.42578125" style="1233" customWidth="1"/>
    <col min="9761" max="9761" width="14.5703125" style="1233" customWidth="1"/>
    <col min="9762" max="9762" width="12.28515625" style="1233" customWidth="1"/>
    <col min="9763" max="9763" width="38.140625" style="1233" customWidth="1"/>
    <col min="9764" max="9764" width="46.85546875" style="1233" customWidth="1"/>
    <col min="9765" max="9767" width="12.7109375" style="1233" customWidth="1"/>
    <col min="9768" max="9768" width="9.28515625" style="1233" customWidth="1"/>
    <col min="9769" max="9769" width="13.5703125" style="1233" customWidth="1"/>
    <col min="9770" max="9770" width="10.28515625" style="1233" customWidth="1"/>
    <col min="9771" max="9771" width="12.85546875" style="1233" customWidth="1"/>
    <col min="9772" max="9772" width="9.140625" style="1233" customWidth="1"/>
    <col min="9773" max="9773" width="9.7109375" style="1233" customWidth="1"/>
    <col min="9774" max="9774" width="9.28515625" style="1233" customWidth="1"/>
    <col min="9775" max="9775" width="9.42578125" style="1233" customWidth="1"/>
    <col min="9776" max="9776" width="10.5703125" style="1233" customWidth="1"/>
    <col min="9777" max="9777" width="12.42578125" style="1233" customWidth="1"/>
    <col min="9778" max="9778" width="14.5703125" style="1233" customWidth="1"/>
    <col min="9779" max="9779" width="12.28515625" style="1233" customWidth="1"/>
    <col min="9780" max="9780" width="25.85546875" style="1233" customWidth="1"/>
    <col min="9781" max="10012" width="0.85546875" style="1233"/>
    <col min="10013" max="10013" width="9.85546875" style="1233" customWidth="1"/>
    <col min="10014" max="10014" width="81.85546875" style="1233" customWidth="1"/>
    <col min="10015" max="10015" width="12.7109375" style="1233" customWidth="1"/>
    <col min="10016" max="10016" width="12.42578125" style="1233" customWidth="1"/>
    <col min="10017" max="10017" width="14.5703125" style="1233" customWidth="1"/>
    <col min="10018" max="10018" width="12.28515625" style="1233" customWidth="1"/>
    <col min="10019" max="10019" width="38.140625" style="1233" customWidth="1"/>
    <col min="10020" max="10020" width="46.85546875" style="1233" customWidth="1"/>
    <col min="10021" max="10023" width="12.7109375" style="1233" customWidth="1"/>
    <col min="10024" max="10024" width="9.28515625" style="1233" customWidth="1"/>
    <col min="10025" max="10025" width="13.5703125" style="1233" customWidth="1"/>
    <col min="10026" max="10026" width="10.28515625" style="1233" customWidth="1"/>
    <col min="10027" max="10027" width="12.85546875" style="1233" customWidth="1"/>
    <col min="10028" max="10028" width="9.140625" style="1233" customWidth="1"/>
    <col min="10029" max="10029" width="9.7109375" style="1233" customWidth="1"/>
    <col min="10030" max="10030" width="9.28515625" style="1233" customWidth="1"/>
    <col min="10031" max="10031" width="9.42578125" style="1233" customWidth="1"/>
    <col min="10032" max="10032" width="10.5703125" style="1233" customWidth="1"/>
    <col min="10033" max="10033" width="12.42578125" style="1233" customWidth="1"/>
    <col min="10034" max="10034" width="14.5703125" style="1233" customWidth="1"/>
    <col min="10035" max="10035" width="12.28515625" style="1233" customWidth="1"/>
    <col min="10036" max="10036" width="25.85546875" style="1233" customWidth="1"/>
    <col min="10037" max="10268" width="0.85546875" style="1233"/>
    <col min="10269" max="10269" width="9.85546875" style="1233" customWidth="1"/>
    <col min="10270" max="10270" width="81.85546875" style="1233" customWidth="1"/>
    <col min="10271" max="10271" width="12.7109375" style="1233" customWidth="1"/>
    <col min="10272" max="10272" width="12.42578125" style="1233" customWidth="1"/>
    <col min="10273" max="10273" width="14.5703125" style="1233" customWidth="1"/>
    <col min="10274" max="10274" width="12.28515625" style="1233" customWidth="1"/>
    <col min="10275" max="10275" width="38.140625" style="1233" customWidth="1"/>
    <col min="10276" max="10276" width="46.85546875" style="1233" customWidth="1"/>
    <col min="10277" max="10279" width="12.7109375" style="1233" customWidth="1"/>
    <col min="10280" max="10280" width="9.28515625" style="1233" customWidth="1"/>
    <col min="10281" max="10281" width="13.5703125" style="1233" customWidth="1"/>
    <col min="10282" max="10282" width="10.28515625" style="1233" customWidth="1"/>
    <col min="10283" max="10283" width="12.85546875" style="1233" customWidth="1"/>
    <col min="10284" max="10284" width="9.140625" style="1233" customWidth="1"/>
    <col min="10285" max="10285" width="9.7109375" style="1233" customWidth="1"/>
    <col min="10286" max="10286" width="9.28515625" style="1233" customWidth="1"/>
    <col min="10287" max="10287" width="9.42578125" style="1233" customWidth="1"/>
    <col min="10288" max="10288" width="10.5703125" style="1233" customWidth="1"/>
    <col min="10289" max="10289" width="12.42578125" style="1233" customWidth="1"/>
    <col min="10290" max="10290" width="14.5703125" style="1233" customWidth="1"/>
    <col min="10291" max="10291" width="12.28515625" style="1233" customWidth="1"/>
    <col min="10292" max="10292" width="25.85546875" style="1233" customWidth="1"/>
    <col min="10293" max="10524" width="0.85546875" style="1233"/>
    <col min="10525" max="10525" width="9.85546875" style="1233" customWidth="1"/>
    <col min="10526" max="10526" width="81.85546875" style="1233" customWidth="1"/>
    <col min="10527" max="10527" width="12.7109375" style="1233" customWidth="1"/>
    <col min="10528" max="10528" width="12.42578125" style="1233" customWidth="1"/>
    <col min="10529" max="10529" width="14.5703125" style="1233" customWidth="1"/>
    <col min="10530" max="10530" width="12.28515625" style="1233" customWidth="1"/>
    <col min="10531" max="10531" width="38.140625" style="1233" customWidth="1"/>
    <col min="10532" max="10532" width="46.85546875" style="1233" customWidth="1"/>
    <col min="10533" max="10535" width="12.7109375" style="1233" customWidth="1"/>
    <col min="10536" max="10536" width="9.28515625" style="1233" customWidth="1"/>
    <col min="10537" max="10537" width="13.5703125" style="1233" customWidth="1"/>
    <col min="10538" max="10538" width="10.28515625" style="1233" customWidth="1"/>
    <col min="10539" max="10539" width="12.85546875" style="1233" customWidth="1"/>
    <col min="10540" max="10540" width="9.140625" style="1233" customWidth="1"/>
    <col min="10541" max="10541" width="9.7109375" style="1233" customWidth="1"/>
    <col min="10542" max="10542" width="9.28515625" style="1233" customWidth="1"/>
    <col min="10543" max="10543" width="9.42578125" style="1233" customWidth="1"/>
    <col min="10544" max="10544" width="10.5703125" style="1233" customWidth="1"/>
    <col min="10545" max="10545" width="12.42578125" style="1233" customWidth="1"/>
    <col min="10546" max="10546" width="14.5703125" style="1233" customWidth="1"/>
    <col min="10547" max="10547" width="12.28515625" style="1233" customWidth="1"/>
    <col min="10548" max="10548" width="25.85546875" style="1233" customWidth="1"/>
    <col min="10549" max="10780" width="0.85546875" style="1233"/>
    <col min="10781" max="10781" width="9.85546875" style="1233" customWidth="1"/>
    <col min="10782" max="10782" width="81.85546875" style="1233" customWidth="1"/>
    <col min="10783" max="10783" width="12.7109375" style="1233" customWidth="1"/>
    <col min="10784" max="10784" width="12.42578125" style="1233" customWidth="1"/>
    <col min="10785" max="10785" width="14.5703125" style="1233" customWidth="1"/>
    <col min="10786" max="10786" width="12.28515625" style="1233" customWidth="1"/>
    <col min="10787" max="10787" width="38.140625" style="1233" customWidth="1"/>
    <col min="10788" max="10788" width="46.85546875" style="1233" customWidth="1"/>
    <col min="10789" max="10791" width="12.7109375" style="1233" customWidth="1"/>
    <col min="10792" max="10792" width="9.28515625" style="1233" customWidth="1"/>
    <col min="10793" max="10793" width="13.5703125" style="1233" customWidth="1"/>
    <col min="10794" max="10794" width="10.28515625" style="1233" customWidth="1"/>
    <col min="10795" max="10795" width="12.85546875" style="1233" customWidth="1"/>
    <col min="10796" max="10796" width="9.140625" style="1233" customWidth="1"/>
    <col min="10797" max="10797" width="9.7109375" style="1233" customWidth="1"/>
    <col min="10798" max="10798" width="9.28515625" style="1233" customWidth="1"/>
    <col min="10799" max="10799" width="9.42578125" style="1233" customWidth="1"/>
    <col min="10800" max="10800" width="10.5703125" style="1233" customWidth="1"/>
    <col min="10801" max="10801" width="12.42578125" style="1233" customWidth="1"/>
    <col min="10802" max="10802" width="14.5703125" style="1233" customWidth="1"/>
    <col min="10803" max="10803" width="12.28515625" style="1233" customWidth="1"/>
    <col min="10804" max="10804" width="25.85546875" style="1233" customWidth="1"/>
    <col min="10805" max="11036" width="0.85546875" style="1233"/>
    <col min="11037" max="11037" width="9.85546875" style="1233" customWidth="1"/>
    <col min="11038" max="11038" width="81.85546875" style="1233" customWidth="1"/>
    <col min="11039" max="11039" width="12.7109375" style="1233" customWidth="1"/>
    <col min="11040" max="11040" width="12.42578125" style="1233" customWidth="1"/>
    <col min="11041" max="11041" width="14.5703125" style="1233" customWidth="1"/>
    <col min="11042" max="11042" width="12.28515625" style="1233" customWidth="1"/>
    <col min="11043" max="11043" width="38.140625" style="1233" customWidth="1"/>
    <col min="11044" max="11044" width="46.85546875" style="1233" customWidth="1"/>
    <col min="11045" max="11047" width="12.7109375" style="1233" customWidth="1"/>
    <col min="11048" max="11048" width="9.28515625" style="1233" customWidth="1"/>
    <col min="11049" max="11049" width="13.5703125" style="1233" customWidth="1"/>
    <col min="11050" max="11050" width="10.28515625" style="1233" customWidth="1"/>
    <col min="11051" max="11051" width="12.85546875" style="1233" customWidth="1"/>
    <col min="11052" max="11052" width="9.140625" style="1233" customWidth="1"/>
    <col min="11053" max="11053" width="9.7109375" style="1233" customWidth="1"/>
    <col min="11054" max="11054" width="9.28515625" style="1233" customWidth="1"/>
    <col min="11055" max="11055" width="9.42578125" style="1233" customWidth="1"/>
    <col min="11056" max="11056" width="10.5703125" style="1233" customWidth="1"/>
    <col min="11057" max="11057" width="12.42578125" style="1233" customWidth="1"/>
    <col min="11058" max="11058" width="14.5703125" style="1233" customWidth="1"/>
    <col min="11059" max="11059" width="12.28515625" style="1233" customWidth="1"/>
    <col min="11060" max="11060" width="25.85546875" style="1233" customWidth="1"/>
    <col min="11061" max="11292" width="0.85546875" style="1233"/>
    <col min="11293" max="11293" width="9.85546875" style="1233" customWidth="1"/>
    <col min="11294" max="11294" width="81.85546875" style="1233" customWidth="1"/>
    <col min="11295" max="11295" width="12.7109375" style="1233" customWidth="1"/>
    <col min="11296" max="11296" width="12.42578125" style="1233" customWidth="1"/>
    <col min="11297" max="11297" width="14.5703125" style="1233" customWidth="1"/>
    <col min="11298" max="11298" width="12.28515625" style="1233" customWidth="1"/>
    <col min="11299" max="11299" width="38.140625" style="1233" customWidth="1"/>
    <col min="11300" max="11300" width="46.85546875" style="1233" customWidth="1"/>
    <col min="11301" max="11303" width="12.7109375" style="1233" customWidth="1"/>
    <col min="11304" max="11304" width="9.28515625" style="1233" customWidth="1"/>
    <col min="11305" max="11305" width="13.5703125" style="1233" customWidth="1"/>
    <col min="11306" max="11306" width="10.28515625" style="1233" customWidth="1"/>
    <col min="11307" max="11307" width="12.85546875" style="1233" customWidth="1"/>
    <col min="11308" max="11308" width="9.140625" style="1233" customWidth="1"/>
    <col min="11309" max="11309" width="9.7109375" style="1233" customWidth="1"/>
    <col min="11310" max="11310" width="9.28515625" style="1233" customWidth="1"/>
    <col min="11311" max="11311" width="9.42578125" style="1233" customWidth="1"/>
    <col min="11312" max="11312" width="10.5703125" style="1233" customWidth="1"/>
    <col min="11313" max="11313" width="12.42578125" style="1233" customWidth="1"/>
    <col min="11314" max="11314" width="14.5703125" style="1233" customWidth="1"/>
    <col min="11315" max="11315" width="12.28515625" style="1233" customWidth="1"/>
    <col min="11316" max="11316" width="25.85546875" style="1233" customWidth="1"/>
    <col min="11317" max="11548" width="0.85546875" style="1233"/>
    <col min="11549" max="11549" width="9.85546875" style="1233" customWidth="1"/>
    <col min="11550" max="11550" width="81.85546875" style="1233" customWidth="1"/>
    <col min="11551" max="11551" width="12.7109375" style="1233" customWidth="1"/>
    <col min="11552" max="11552" width="12.42578125" style="1233" customWidth="1"/>
    <col min="11553" max="11553" width="14.5703125" style="1233" customWidth="1"/>
    <col min="11554" max="11554" width="12.28515625" style="1233" customWidth="1"/>
    <col min="11555" max="11555" width="38.140625" style="1233" customWidth="1"/>
    <col min="11556" max="11556" width="46.85546875" style="1233" customWidth="1"/>
    <col min="11557" max="11559" width="12.7109375" style="1233" customWidth="1"/>
    <col min="11560" max="11560" width="9.28515625" style="1233" customWidth="1"/>
    <col min="11561" max="11561" width="13.5703125" style="1233" customWidth="1"/>
    <col min="11562" max="11562" width="10.28515625" style="1233" customWidth="1"/>
    <col min="11563" max="11563" width="12.85546875" style="1233" customWidth="1"/>
    <col min="11564" max="11564" width="9.140625" style="1233" customWidth="1"/>
    <col min="11565" max="11565" width="9.7109375" style="1233" customWidth="1"/>
    <col min="11566" max="11566" width="9.28515625" style="1233" customWidth="1"/>
    <col min="11567" max="11567" width="9.42578125" style="1233" customWidth="1"/>
    <col min="11568" max="11568" width="10.5703125" style="1233" customWidth="1"/>
    <col min="11569" max="11569" width="12.42578125" style="1233" customWidth="1"/>
    <col min="11570" max="11570" width="14.5703125" style="1233" customWidth="1"/>
    <col min="11571" max="11571" width="12.28515625" style="1233" customWidth="1"/>
    <col min="11572" max="11572" width="25.85546875" style="1233" customWidth="1"/>
    <col min="11573" max="11804" width="0.85546875" style="1233"/>
    <col min="11805" max="11805" width="9.85546875" style="1233" customWidth="1"/>
    <col min="11806" max="11806" width="81.85546875" style="1233" customWidth="1"/>
    <col min="11807" max="11807" width="12.7109375" style="1233" customWidth="1"/>
    <col min="11808" max="11808" width="12.42578125" style="1233" customWidth="1"/>
    <col min="11809" max="11809" width="14.5703125" style="1233" customWidth="1"/>
    <col min="11810" max="11810" width="12.28515625" style="1233" customWidth="1"/>
    <col min="11811" max="11811" width="38.140625" style="1233" customWidth="1"/>
    <col min="11812" max="11812" width="46.85546875" style="1233" customWidth="1"/>
    <col min="11813" max="11815" width="12.7109375" style="1233" customWidth="1"/>
    <col min="11816" max="11816" width="9.28515625" style="1233" customWidth="1"/>
    <col min="11817" max="11817" width="13.5703125" style="1233" customWidth="1"/>
    <col min="11818" max="11818" width="10.28515625" style="1233" customWidth="1"/>
    <col min="11819" max="11819" width="12.85546875" style="1233" customWidth="1"/>
    <col min="11820" max="11820" width="9.140625" style="1233" customWidth="1"/>
    <col min="11821" max="11821" width="9.7109375" style="1233" customWidth="1"/>
    <col min="11822" max="11822" width="9.28515625" style="1233" customWidth="1"/>
    <col min="11823" max="11823" width="9.42578125" style="1233" customWidth="1"/>
    <col min="11824" max="11824" width="10.5703125" style="1233" customWidth="1"/>
    <col min="11825" max="11825" width="12.42578125" style="1233" customWidth="1"/>
    <col min="11826" max="11826" width="14.5703125" style="1233" customWidth="1"/>
    <col min="11827" max="11827" width="12.28515625" style="1233" customWidth="1"/>
    <col min="11828" max="11828" width="25.85546875" style="1233" customWidth="1"/>
    <col min="11829" max="12060" width="0.85546875" style="1233"/>
    <col min="12061" max="12061" width="9.85546875" style="1233" customWidth="1"/>
    <col min="12062" max="12062" width="81.85546875" style="1233" customWidth="1"/>
    <col min="12063" max="12063" width="12.7109375" style="1233" customWidth="1"/>
    <col min="12064" max="12064" width="12.42578125" style="1233" customWidth="1"/>
    <col min="12065" max="12065" width="14.5703125" style="1233" customWidth="1"/>
    <col min="12066" max="12066" width="12.28515625" style="1233" customWidth="1"/>
    <col min="12067" max="12067" width="38.140625" style="1233" customWidth="1"/>
    <col min="12068" max="12068" width="46.85546875" style="1233" customWidth="1"/>
    <col min="12069" max="12071" width="12.7109375" style="1233" customWidth="1"/>
    <col min="12072" max="12072" width="9.28515625" style="1233" customWidth="1"/>
    <col min="12073" max="12073" width="13.5703125" style="1233" customWidth="1"/>
    <col min="12074" max="12074" width="10.28515625" style="1233" customWidth="1"/>
    <col min="12075" max="12075" width="12.85546875" style="1233" customWidth="1"/>
    <col min="12076" max="12076" width="9.140625" style="1233" customWidth="1"/>
    <col min="12077" max="12077" width="9.7109375" style="1233" customWidth="1"/>
    <col min="12078" max="12078" width="9.28515625" style="1233" customWidth="1"/>
    <col min="12079" max="12079" width="9.42578125" style="1233" customWidth="1"/>
    <col min="12080" max="12080" width="10.5703125" style="1233" customWidth="1"/>
    <col min="12081" max="12081" width="12.42578125" style="1233" customWidth="1"/>
    <col min="12082" max="12082" width="14.5703125" style="1233" customWidth="1"/>
    <col min="12083" max="12083" width="12.28515625" style="1233" customWidth="1"/>
    <col min="12084" max="12084" width="25.85546875" style="1233" customWidth="1"/>
    <col min="12085" max="12316" width="0.85546875" style="1233"/>
    <col min="12317" max="12317" width="9.85546875" style="1233" customWidth="1"/>
    <col min="12318" max="12318" width="81.85546875" style="1233" customWidth="1"/>
    <col min="12319" max="12319" width="12.7109375" style="1233" customWidth="1"/>
    <col min="12320" max="12320" width="12.42578125" style="1233" customWidth="1"/>
    <col min="12321" max="12321" width="14.5703125" style="1233" customWidth="1"/>
    <col min="12322" max="12322" width="12.28515625" style="1233" customWidth="1"/>
    <col min="12323" max="12323" width="38.140625" style="1233" customWidth="1"/>
    <col min="12324" max="12324" width="46.85546875" style="1233" customWidth="1"/>
    <col min="12325" max="12327" width="12.7109375" style="1233" customWidth="1"/>
    <col min="12328" max="12328" width="9.28515625" style="1233" customWidth="1"/>
    <col min="12329" max="12329" width="13.5703125" style="1233" customWidth="1"/>
    <col min="12330" max="12330" width="10.28515625" style="1233" customWidth="1"/>
    <col min="12331" max="12331" width="12.85546875" style="1233" customWidth="1"/>
    <col min="12332" max="12332" width="9.140625" style="1233" customWidth="1"/>
    <col min="12333" max="12333" width="9.7109375" style="1233" customWidth="1"/>
    <col min="12334" max="12334" width="9.28515625" style="1233" customWidth="1"/>
    <col min="12335" max="12335" width="9.42578125" style="1233" customWidth="1"/>
    <col min="12336" max="12336" width="10.5703125" style="1233" customWidth="1"/>
    <col min="12337" max="12337" width="12.42578125" style="1233" customWidth="1"/>
    <col min="12338" max="12338" width="14.5703125" style="1233" customWidth="1"/>
    <col min="12339" max="12339" width="12.28515625" style="1233" customWidth="1"/>
    <col min="12340" max="12340" width="25.85546875" style="1233" customWidth="1"/>
    <col min="12341" max="12572" width="0.85546875" style="1233"/>
    <col min="12573" max="12573" width="9.85546875" style="1233" customWidth="1"/>
    <col min="12574" max="12574" width="81.85546875" style="1233" customWidth="1"/>
    <col min="12575" max="12575" width="12.7109375" style="1233" customWidth="1"/>
    <col min="12576" max="12576" width="12.42578125" style="1233" customWidth="1"/>
    <col min="12577" max="12577" width="14.5703125" style="1233" customWidth="1"/>
    <col min="12578" max="12578" width="12.28515625" style="1233" customWidth="1"/>
    <col min="12579" max="12579" width="38.140625" style="1233" customWidth="1"/>
    <col min="12580" max="12580" width="46.85546875" style="1233" customWidth="1"/>
    <col min="12581" max="12583" width="12.7109375" style="1233" customWidth="1"/>
    <col min="12584" max="12584" width="9.28515625" style="1233" customWidth="1"/>
    <col min="12585" max="12585" width="13.5703125" style="1233" customWidth="1"/>
    <col min="12586" max="12586" width="10.28515625" style="1233" customWidth="1"/>
    <col min="12587" max="12587" width="12.85546875" style="1233" customWidth="1"/>
    <col min="12588" max="12588" width="9.140625" style="1233" customWidth="1"/>
    <col min="12589" max="12589" width="9.7109375" style="1233" customWidth="1"/>
    <col min="12590" max="12590" width="9.28515625" style="1233" customWidth="1"/>
    <col min="12591" max="12591" width="9.42578125" style="1233" customWidth="1"/>
    <col min="12592" max="12592" width="10.5703125" style="1233" customWidth="1"/>
    <col min="12593" max="12593" width="12.42578125" style="1233" customWidth="1"/>
    <col min="12594" max="12594" width="14.5703125" style="1233" customWidth="1"/>
    <col min="12595" max="12595" width="12.28515625" style="1233" customWidth="1"/>
    <col min="12596" max="12596" width="25.85546875" style="1233" customWidth="1"/>
    <col min="12597" max="12828" width="0.85546875" style="1233"/>
    <col min="12829" max="12829" width="9.85546875" style="1233" customWidth="1"/>
    <col min="12830" max="12830" width="81.85546875" style="1233" customWidth="1"/>
    <col min="12831" max="12831" width="12.7109375" style="1233" customWidth="1"/>
    <col min="12832" max="12832" width="12.42578125" style="1233" customWidth="1"/>
    <col min="12833" max="12833" width="14.5703125" style="1233" customWidth="1"/>
    <col min="12834" max="12834" width="12.28515625" style="1233" customWidth="1"/>
    <col min="12835" max="12835" width="38.140625" style="1233" customWidth="1"/>
    <col min="12836" max="12836" width="46.85546875" style="1233" customWidth="1"/>
    <col min="12837" max="12839" width="12.7109375" style="1233" customWidth="1"/>
    <col min="12840" max="12840" width="9.28515625" style="1233" customWidth="1"/>
    <col min="12841" max="12841" width="13.5703125" style="1233" customWidth="1"/>
    <col min="12842" max="12842" width="10.28515625" style="1233" customWidth="1"/>
    <col min="12843" max="12843" width="12.85546875" style="1233" customWidth="1"/>
    <col min="12844" max="12844" width="9.140625" style="1233" customWidth="1"/>
    <col min="12845" max="12845" width="9.7109375" style="1233" customWidth="1"/>
    <col min="12846" max="12846" width="9.28515625" style="1233" customWidth="1"/>
    <col min="12847" max="12847" width="9.42578125" style="1233" customWidth="1"/>
    <col min="12848" max="12848" width="10.5703125" style="1233" customWidth="1"/>
    <col min="12849" max="12849" width="12.42578125" style="1233" customWidth="1"/>
    <col min="12850" max="12850" width="14.5703125" style="1233" customWidth="1"/>
    <col min="12851" max="12851" width="12.28515625" style="1233" customWidth="1"/>
    <col min="12852" max="12852" width="25.85546875" style="1233" customWidth="1"/>
    <col min="12853" max="13084" width="0.85546875" style="1233"/>
    <col min="13085" max="13085" width="9.85546875" style="1233" customWidth="1"/>
    <col min="13086" max="13086" width="81.85546875" style="1233" customWidth="1"/>
    <col min="13087" max="13087" width="12.7109375" style="1233" customWidth="1"/>
    <col min="13088" max="13088" width="12.42578125" style="1233" customWidth="1"/>
    <col min="13089" max="13089" width="14.5703125" style="1233" customWidth="1"/>
    <col min="13090" max="13090" width="12.28515625" style="1233" customWidth="1"/>
    <col min="13091" max="13091" width="38.140625" style="1233" customWidth="1"/>
    <col min="13092" max="13092" width="46.85546875" style="1233" customWidth="1"/>
    <col min="13093" max="13095" width="12.7109375" style="1233" customWidth="1"/>
    <col min="13096" max="13096" width="9.28515625" style="1233" customWidth="1"/>
    <col min="13097" max="13097" width="13.5703125" style="1233" customWidth="1"/>
    <col min="13098" max="13098" width="10.28515625" style="1233" customWidth="1"/>
    <col min="13099" max="13099" width="12.85546875" style="1233" customWidth="1"/>
    <col min="13100" max="13100" width="9.140625" style="1233" customWidth="1"/>
    <col min="13101" max="13101" width="9.7109375" style="1233" customWidth="1"/>
    <col min="13102" max="13102" width="9.28515625" style="1233" customWidth="1"/>
    <col min="13103" max="13103" width="9.42578125" style="1233" customWidth="1"/>
    <col min="13104" max="13104" width="10.5703125" style="1233" customWidth="1"/>
    <col min="13105" max="13105" width="12.42578125" style="1233" customWidth="1"/>
    <col min="13106" max="13106" width="14.5703125" style="1233" customWidth="1"/>
    <col min="13107" max="13107" width="12.28515625" style="1233" customWidth="1"/>
    <col min="13108" max="13108" width="25.85546875" style="1233" customWidth="1"/>
    <col min="13109" max="13340" width="0.85546875" style="1233"/>
    <col min="13341" max="13341" width="9.85546875" style="1233" customWidth="1"/>
    <col min="13342" max="13342" width="81.85546875" style="1233" customWidth="1"/>
    <col min="13343" max="13343" width="12.7109375" style="1233" customWidth="1"/>
    <col min="13344" max="13344" width="12.42578125" style="1233" customWidth="1"/>
    <col min="13345" max="13345" width="14.5703125" style="1233" customWidth="1"/>
    <col min="13346" max="13346" width="12.28515625" style="1233" customWidth="1"/>
    <col min="13347" max="13347" width="38.140625" style="1233" customWidth="1"/>
    <col min="13348" max="13348" width="46.85546875" style="1233" customWidth="1"/>
    <col min="13349" max="13351" width="12.7109375" style="1233" customWidth="1"/>
    <col min="13352" max="13352" width="9.28515625" style="1233" customWidth="1"/>
    <col min="13353" max="13353" width="13.5703125" style="1233" customWidth="1"/>
    <col min="13354" max="13354" width="10.28515625" style="1233" customWidth="1"/>
    <col min="13355" max="13355" width="12.85546875" style="1233" customWidth="1"/>
    <col min="13356" max="13356" width="9.140625" style="1233" customWidth="1"/>
    <col min="13357" max="13357" width="9.7109375" style="1233" customWidth="1"/>
    <col min="13358" max="13358" width="9.28515625" style="1233" customWidth="1"/>
    <col min="13359" max="13359" width="9.42578125" style="1233" customWidth="1"/>
    <col min="13360" max="13360" width="10.5703125" style="1233" customWidth="1"/>
    <col min="13361" max="13361" width="12.42578125" style="1233" customWidth="1"/>
    <col min="13362" max="13362" width="14.5703125" style="1233" customWidth="1"/>
    <col min="13363" max="13363" width="12.28515625" style="1233" customWidth="1"/>
    <col min="13364" max="13364" width="25.85546875" style="1233" customWidth="1"/>
    <col min="13365" max="13596" width="0.85546875" style="1233"/>
    <col min="13597" max="13597" width="9.85546875" style="1233" customWidth="1"/>
    <col min="13598" max="13598" width="81.85546875" style="1233" customWidth="1"/>
    <col min="13599" max="13599" width="12.7109375" style="1233" customWidth="1"/>
    <col min="13600" max="13600" width="12.42578125" style="1233" customWidth="1"/>
    <col min="13601" max="13601" width="14.5703125" style="1233" customWidth="1"/>
    <col min="13602" max="13602" width="12.28515625" style="1233" customWidth="1"/>
    <col min="13603" max="13603" width="38.140625" style="1233" customWidth="1"/>
    <col min="13604" max="13604" width="46.85546875" style="1233" customWidth="1"/>
    <col min="13605" max="13607" width="12.7109375" style="1233" customWidth="1"/>
    <col min="13608" max="13608" width="9.28515625" style="1233" customWidth="1"/>
    <col min="13609" max="13609" width="13.5703125" style="1233" customWidth="1"/>
    <col min="13610" max="13610" width="10.28515625" style="1233" customWidth="1"/>
    <col min="13611" max="13611" width="12.85546875" style="1233" customWidth="1"/>
    <col min="13612" max="13612" width="9.140625" style="1233" customWidth="1"/>
    <col min="13613" max="13613" width="9.7109375" style="1233" customWidth="1"/>
    <col min="13614" max="13614" width="9.28515625" style="1233" customWidth="1"/>
    <col min="13615" max="13615" width="9.42578125" style="1233" customWidth="1"/>
    <col min="13616" max="13616" width="10.5703125" style="1233" customWidth="1"/>
    <col min="13617" max="13617" width="12.42578125" style="1233" customWidth="1"/>
    <col min="13618" max="13618" width="14.5703125" style="1233" customWidth="1"/>
    <col min="13619" max="13619" width="12.28515625" style="1233" customWidth="1"/>
    <col min="13620" max="13620" width="25.85546875" style="1233" customWidth="1"/>
    <col min="13621" max="13852" width="0.85546875" style="1233"/>
    <col min="13853" max="13853" width="9.85546875" style="1233" customWidth="1"/>
    <col min="13854" max="13854" width="81.85546875" style="1233" customWidth="1"/>
    <col min="13855" max="13855" width="12.7109375" style="1233" customWidth="1"/>
    <col min="13856" max="13856" width="12.42578125" style="1233" customWidth="1"/>
    <col min="13857" max="13857" width="14.5703125" style="1233" customWidth="1"/>
    <col min="13858" max="13858" width="12.28515625" style="1233" customWidth="1"/>
    <col min="13859" max="13859" width="38.140625" style="1233" customWidth="1"/>
    <col min="13860" max="13860" width="46.85546875" style="1233" customWidth="1"/>
    <col min="13861" max="13863" width="12.7109375" style="1233" customWidth="1"/>
    <col min="13864" max="13864" width="9.28515625" style="1233" customWidth="1"/>
    <col min="13865" max="13865" width="13.5703125" style="1233" customWidth="1"/>
    <col min="13866" max="13866" width="10.28515625" style="1233" customWidth="1"/>
    <col min="13867" max="13867" width="12.85546875" style="1233" customWidth="1"/>
    <col min="13868" max="13868" width="9.140625" style="1233" customWidth="1"/>
    <col min="13869" max="13869" width="9.7109375" style="1233" customWidth="1"/>
    <col min="13870" max="13870" width="9.28515625" style="1233" customWidth="1"/>
    <col min="13871" max="13871" width="9.42578125" style="1233" customWidth="1"/>
    <col min="13872" max="13872" width="10.5703125" style="1233" customWidth="1"/>
    <col min="13873" max="13873" width="12.42578125" style="1233" customWidth="1"/>
    <col min="13874" max="13874" width="14.5703125" style="1233" customWidth="1"/>
    <col min="13875" max="13875" width="12.28515625" style="1233" customWidth="1"/>
    <col min="13876" max="13876" width="25.85546875" style="1233" customWidth="1"/>
    <col min="13877" max="14108" width="0.85546875" style="1233"/>
    <col min="14109" max="14109" width="9.85546875" style="1233" customWidth="1"/>
    <col min="14110" max="14110" width="81.85546875" style="1233" customWidth="1"/>
    <col min="14111" max="14111" width="12.7109375" style="1233" customWidth="1"/>
    <col min="14112" max="14112" width="12.42578125" style="1233" customWidth="1"/>
    <col min="14113" max="14113" width="14.5703125" style="1233" customWidth="1"/>
    <col min="14114" max="14114" width="12.28515625" style="1233" customWidth="1"/>
    <col min="14115" max="14115" width="38.140625" style="1233" customWidth="1"/>
    <col min="14116" max="14116" width="46.85546875" style="1233" customWidth="1"/>
    <col min="14117" max="14119" width="12.7109375" style="1233" customWidth="1"/>
    <col min="14120" max="14120" width="9.28515625" style="1233" customWidth="1"/>
    <col min="14121" max="14121" width="13.5703125" style="1233" customWidth="1"/>
    <col min="14122" max="14122" width="10.28515625" style="1233" customWidth="1"/>
    <col min="14123" max="14123" width="12.85546875" style="1233" customWidth="1"/>
    <col min="14124" max="14124" width="9.140625" style="1233" customWidth="1"/>
    <col min="14125" max="14125" width="9.7109375" style="1233" customWidth="1"/>
    <col min="14126" max="14126" width="9.28515625" style="1233" customWidth="1"/>
    <col min="14127" max="14127" width="9.42578125" style="1233" customWidth="1"/>
    <col min="14128" max="14128" width="10.5703125" style="1233" customWidth="1"/>
    <col min="14129" max="14129" width="12.42578125" style="1233" customWidth="1"/>
    <col min="14130" max="14130" width="14.5703125" style="1233" customWidth="1"/>
    <col min="14131" max="14131" width="12.28515625" style="1233" customWidth="1"/>
    <col min="14132" max="14132" width="25.85546875" style="1233" customWidth="1"/>
    <col min="14133" max="14364" width="0.85546875" style="1233"/>
    <col min="14365" max="14365" width="9.85546875" style="1233" customWidth="1"/>
    <col min="14366" max="14366" width="81.85546875" style="1233" customWidth="1"/>
    <col min="14367" max="14367" width="12.7109375" style="1233" customWidth="1"/>
    <col min="14368" max="14368" width="12.42578125" style="1233" customWidth="1"/>
    <col min="14369" max="14369" width="14.5703125" style="1233" customWidth="1"/>
    <col min="14370" max="14370" width="12.28515625" style="1233" customWidth="1"/>
    <col min="14371" max="14371" width="38.140625" style="1233" customWidth="1"/>
    <col min="14372" max="14372" width="46.85546875" style="1233" customWidth="1"/>
    <col min="14373" max="14375" width="12.7109375" style="1233" customWidth="1"/>
    <col min="14376" max="14376" width="9.28515625" style="1233" customWidth="1"/>
    <col min="14377" max="14377" width="13.5703125" style="1233" customWidth="1"/>
    <col min="14378" max="14378" width="10.28515625" style="1233" customWidth="1"/>
    <col min="14379" max="14379" width="12.85546875" style="1233" customWidth="1"/>
    <col min="14380" max="14380" width="9.140625" style="1233" customWidth="1"/>
    <col min="14381" max="14381" width="9.7109375" style="1233" customWidth="1"/>
    <col min="14382" max="14382" width="9.28515625" style="1233" customWidth="1"/>
    <col min="14383" max="14383" width="9.42578125" style="1233" customWidth="1"/>
    <col min="14384" max="14384" width="10.5703125" style="1233" customWidth="1"/>
    <col min="14385" max="14385" width="12.42578125" style="1233" customWidth="1"/>
    <col min="14386" max="14386" width="14.5703125" style="1233" customWidth="1"/>
    <col min="14387" max="14387" width="12.28515625" style="1233" customWidth="1"/>
    <col min="14388" max="14388" width="25.85546875" style="1233" customWidth="1"/>
    <col min="14389" max="14620" width="0.85546875" style="1233"/>
    <col min="14621" max="14621" width="9.85546875" style="1233" customWidth="1"/>
    <col min="14622" max="14622" width="81.85546875" style="1233" customWidth="1"/>
    <col min="14623" max="14623" width="12.7109375" style="1233" customWidth="1"/>
    <col min="14624" max="14624" width="12.42578125" style="1233" customWidth="1"/>
    <col min="14625" max="14625" width="14.5703125" style="1233" customWidth="1"/>
    <col min="14626" max="14626" width="12.28515625" style="1233" customWidth="1"/>
    <col min="14627" max="14627" width="38.140625" style="1233" customWidth="1"/>
    <col min="14628" max="14628" width="46.85546875" style="1233" customWidth="1"/>
    <col min="14629" max="14631" width="12.7109375" style="1233" customWidth="1"/>
    <col min="14632" max="14632" width="9.28515625" style="1233" customWidth="1"/>
    <col min="14633" max="14633" width="13.5703125" style="1233" customWidth="1"/>
    <col min="14634" max="14634" width="10.28515625" style="1233" customWidth="1"/>
    <col min="14635" max="14635" width="12.85546875" style="1233" customWidth="1"/>
    <col min="14636" max="14636" width="9.140625" style="1233" customWidth="1"/>
    <col min="14637" max="14637" width="9.7109375" style="1233" customWidth="1"/>
    <col min="14638" max="14638" width="9.28515625" style="1233" customWidth="1"/>
    <col min="14639" max="14639" width="9.42578125" style="1233" customWidth="1"/>
    <col min="14640" max="14640" width="10.5703125" style="1233" customWidth="1"/>
    <col min="14641" max="14641" width="12.42578125" style="1233" customWidth="1"/>
    <col min="14642" max="14642" width="14.5703125" style="1233" customWidth="1"/>
    <col min="14643" max="14643" width="12.28515625" style="1233" customWidth="1"/>
    <col min="14644" max="14644" width="25.85546875" style="1233" customWidth="1"/>
    <col min="14645" max="14876" width="0.85546875" style="1233"/>
    <col min="14877" max="14877" width="9.85546875" style="1233" customWidth="1"/>
    <col min="14878" max="14878" width="81.85546875" style="1233" customWidth="1"/>
    <col min="14879" max="14879" width="12.7109375" style="1233" customWidth="1"/>
    <col min="14880" max="14880" width="12.42578125" style="1233" customWidth="1"/>
    <col min="14881" max="14881" width="14.5703125" style="1233" customWidth="1"/>
    <col min="14882" max="14882" width="12.28515625" style="1233" customWidth="1"/>
    <col min="14883" max="14883" width="38.140625" style="1233" customWidth="1"/>
    <col min="14884" max="14884" width="46.85546875" style="1233" customWidth="1"/>
    <col min="14885" max="14887" width="12.7109375" style="1233" customWidth="1"/>
    <col min="14888" max="14888" width="9.28515625" style="1233" customWidth="1"/>
    <col min="14889" max="14889" width="13.5703125" style="1233" customWidth="1"/>
    <col min="14890" max="14890" width="10.28515625" style="1233" customWidth="1"/>
    <col min="14891" max="14891" width="12.85546875" style="1233" customWidth="1"/>
    <col min="14892" max="14892" width="9.140625" style="1233" customWidth="1"/>
    <col min="14893" max="14893" width="9.7109375" style="1233" customWidth="1"/>
    <col min="14894" max="14894" width="9.28515625" style="1233" customWidth="1"/>
    <col min="14895" max="14895" width="9.42578125" style="1233" customWidth="1"/>
    <col min="14896" max="14896" width="10.5703125" style="1233" customWidth="1"/>
    <col min="14897" max="14897" width="12.42578125" style="1233" customWidth="1"/>
    <col min="14898" max="14898" width="14.5703125" style="1233" customWidth="1"/>
    <col min="14899" max="14899" width="12.28515625" style="1233" customWidth="1"/>
    <col min="14900" max="14900" width="25.85546875" style="1233" customWidth="1"/>
    <col min="14901" max="15132" width="0.85546875" style="1233"/>
    <col min="15133" max="15133" width="9.85546875" style="1233" customWidth="1"/>
    <col min="15134" max="15134" width="81.85546875" style="1233" customWidth="1"/>
    <col min="15135" max="15135" width="12.7109375" style="1233" customWidth="1"/>
    <col min="15136" max="15136" width="12.42578125" style="1233" customWidth="1"/>
    <col min="15137" max="15137" width="14.5703125" style="1233" customWidth="1"/>
    <col min="15138" max="15138" width="12.28515625" style="1233" customWidth="1"/>
    <col min="15139" max="15139" width="38.140625" style="1233" customWidth="1"/>
    <col min="15140" max="15140" width="46.85546875" style="1233" customWidth="1"/>
    <col min="15141" max="15143" width="12.7109375" style="1233" customWidth="1"/>
    <col min="15144" max="15144" width="9.28515625" style="1233" customWidth="1"/>
    <col min="15145" max="15145" width="13.5703125" style="1233" customWidth="1"/>
    <col min="15146" max="15146" width="10.28515625" style="1233" customWidth="1"/>
    <col min="15147" max="15147" width="12.85546875" style="1233" customWidth="1"/>
    <col min="15148" max="15148" width="9.140625" style="1233" customWidth="1"/>
    <col min="15149" max="15149" width="9.7109375" style="1233" customWidth="1"/>
    <col min="15150" max="15150" width="9.28515625" style="1233" customWidth="1"/>
    <col min="15151" max="15151" width="9.42578125" style="1233" customWidth="1"/>
    <col min="15152" max="15152" width="10.5703125" style="1233" customWidth="1"/>
    <col min="15153" max="15153" width="12.42578125" style="1233" customWidth="1"/>
    <col min="15154" max="15154" width="14.5703125" style="1233" customWidth="1"/>
    <col min="15155" max="15155" width="12.28515625" style="1233" customWidth="1"/>
    <col min="15156" max="15156" width="25.85546875" style="1233" customWidth="1"/>
    <col min="15157" max="15388" width="0.85546875" style="1233"/>
    <col min="15389" max="15389" width="9.85546875" style="1233" customWidth="1"/>
    <col min="15390" max="15390" width="81.85546875" style="1233" customWidth="1"/>
    <col min="15391" max="15391" width="12.7109375" style="1233" customWidth="1"/>
    <col min="15392" max="15392" width="12.42578125" style="1233" customWidth="1"/>
    <col min="15393" max="15393" width="14.5703125" style="1233" customWidth="1"/>
    <col min="15394" max="15394" width="12.28515625" style="1233" customWidth="1"/>
    <col min="15395" max="15395" width="38.140625" style="1233" customWidth="1"/>
    <col min="15396" max="15396" width="46.85546875" style="1233" customWidth="1"/>
    <col min="15397" max="15399" width="12.7109375" style="1233" customWidth="1"/>
    <col min="15400" max="15400" width="9.28515625" style="1233" customWidth="1"/>
    <col min="15401" max="15401" width="13.5703125" style="1233" customWidth="1"/>
    <col min="15402" max="15402" width="10.28515625" style="1233" customWidth="1"/>
    <col min="15403" max="15403" width="12.85546875" style="1233" customWidth="1"/>
    <col min="15404" max="15404" width="9.140625" style="1233" customWidth="1"/>
    <col min="15405" max="15405" width="9.7109375" style="1233" customWidth="1"/>
    <col min="15406" max="15406" width="9.28515625" style="1233" customWidth="1"/>
    <col min="15407" max="15407" width="9.42578125" style="1233" customWidth="1"/>
    <col min="15408" max="15408" width="10.5703125" style="1233" customWidth="1"/>
    <col min="15409" max="15409" width="12.42578125" style="1233" customWidth="1"/>
    <col min="15410" max="15410" width="14.5703125" style="1233" customWidth="1"/>
    <col min="15411" max="15411" width="12.28515625" style="1233" customWidth="1"/>
    <col min="15412" max="15412" width="25.85546875" style="1233" customWidth="1"/>
    <col min="15413" max="15644" width="0.85546875" style="1233"/>
    <col min="15645" max="15645" width="9.85546875" style="1233" customWidth="1"/>
    <col min="15646" max="15646" width="81.85546875" style="1233" customWidth="1"/>
    <col min="15647" max="15647" width="12.7109375" style="1233" customWidth="1"/>
    <col min="15648" max="15648" width="12.42578125" style="1233" customWidth="1"/>
    <col min="15649" max="15649" width="14.5703125" style="1233" customWidth="1"/>
    <col min="15650" max="15650" width="12.28515625" style="1233" customWidth="1"/>
    <col min="15651" max="15651" width="38.140625" style="1233" customWidth="1"/>
    <col min="15652" max="15652" width="46.85546875" style="1233" customWidth="1"/>
    <col min="15653" max="15655" width="12.7109375" style="1233" customWidth="1"/>
    <col min="15656" max="15656" width="9.28515625" style="1233" customWidth="1"/>
    <col min="15657" max="15657" width="13.5703125" style="1233" customWidth="1"/>
    <col min="15658" max="15658" width="10.28515625" style="1233" customWidth="1"/>
    <col min="15659" max="15659" width="12.85546875" style="1233" customWidth="1"/>
    <col min="15660" max="15660" width="9.140625" style="1233" customWidth="1"/>
    <col min="15661" max="15661" width="9.7109375" style="1233" customWidth="1"/>
    <col min="15662" max="15662" width="9.28515625" style="1233" customWidth="1"/>
    <col min="15663" max="15663" width="9.42578125" style="1233" customWidth="1"/>
    <col min="15664" max="15664" width="10.5703125" style="1233" customWidth="1"/>
    <col min="15665" max="15665" width="12.42578125" style="1233" customWidth="1"/>
    <col min="15666" max="15666" width="14.5703125" style="1233" customWidth="1"/>
    <col min="15667" max="15667" width="12.28515625" style="1233" customWidth="1"/>
    <col min="15668" max="15668" width="25.85546875" style="1233" customWidth="1"/>
    <col min="15669" max="15900" width="0.85546875" style="1233"/>
    <col min="15901" max="15901" width="9.85546875" style="1233" customWidth="1"/>
    <col min="15902" max="15902" width="81.85546875" style="1233" customWidth="1"/>
    <col min="15903" max="15903" width="12.7109375" style="1233" customWidth="1"/>
    <col min="15904" max="15904" width="12.42578125" style="1233" customWidth="1"/>
    <col min="15905" max="15905" width="14.5703125" style="1233" customWidth="1"/>
    <col min="15906" max="15906" width="12.28515625" style="1233" customWidth="1"/>
    <col min="15907" max="15907" width="38.140625" style="1233" customWidth="1"/>
    <col min="15908" max="15908" width="46.85546875" style="1233" customWidth="1"/>
    <col min="15909" max="15911" width="12.7109375" style="1233" customWidth="1"/>
    <col min="15912" max="15912" width="9.28515625" style="1233" customWidth="1"/>
    <col min="15913" max="15913" width="13.5703125" style="1233" customWidth="1"/>
    <col min="15914" max="15914" width="10.28515625" style="1233" customWidth="1"/>
    <col min="15915" max="15915" width="12.85546875" style="1233" customWidth="1"/>
    <col min="15916" max="15916" width="9.140625" style="1233" customWidth="1"/>
    <col min="15917" max="15917" width="9.7109375" style="1233" customWidth="1"/>
    <col min="15918" max="15918" width="9.28515625" style="1233" customWidth="1"/>
    <col min="15919" max="15919" width="9.42578125" style="1233" customWidth="1"/>
    <col min="15920" max="15920" width="10.5703125" style="1233" customWidth="1"/>
    <col min="15921" max="15921" width="12.42578125" style="1233" customWidth="1"/>
    <col min="15922" max="15922" width="14.5703125" style="1233" customWidth="1"/>
    <col min="15923" max="15923" width="12.28515625" style="1233" customWidth="1"/>
    <col min="15924" max="15924" width="25.85546875" style="1233" customWidth="1"/>
    <col min="15925" max="16156" width="0.85546875" style="1233"/>
    <col min="16157" max="16157" width="9.85546875" style="1233" customWidth="1"/>
    <col min="16158" max="16158" width="81.85546875" style="1233" customWidth="1"/>
    <col min="16159" max="16159" width="12.7109375" style="1233" customWidth="1"/>
    <col min="16160" max="16160" width="12.42578125" style="1233" customWidth="1"/>
    <col min="16161" max="16161" width="14.5703125" style="1233" customWidth="1"/>
    <col min="16162" max="16162" width="12.28515625" style="1233" customWidth="1"/>
    <col min="16163" max="16163" width="38.140625" style="1233" customWidth="1"/>
    <col min="16164" max="16164" width="46.85546875" style="1233" customWidth="1"/>
    <col min="16165" max="16167" width="12.7109375" style="1233" customWidth="1"/>
    <col min="16168" max="16168" width="9.28515625" style="1233" customWidth="1"/>
    <col min="16169" max="16169" width="13.5703125" style="1233" customWidth="1"/>
    <col min="16170" max="16170" width="10.28515625" style="1233" customWidth="1"/>
    <col min="16171" max="16171" width="12.85546875" style="1233" customWidth="1"/>
    <col min="16172" max="16172" width="9.140625" style="1233" customWidth="1"/>
    <col min="16173" max="16173" width="9.7109375" style="1233" customWidth="1"/>
    <col min="16174" max="16174" width="9.28515625" style="1233" customWidth="1"/>
    <col min="16175" max="16175" width="9.42578125" style="1233" customWidth="1"/>
    <col min="16176" max="16176" width="10.5703125" style="1233" customWidth="1"/>
    <col min="16177" max="16177" width="12.42578125" style="1233" customWidth="1"/>
    <col min="16178" max="16178" width="14.5703125" style="1233" customWidth="1"/>
    <col min="16179" max="16179" width="12.28515625" style="1233" customWidth="1"/>
    <col min="16180" max="16180" width="25.85546875" style="1233" customWidth="1"/>
    <col min="16181" max="16384" width="0.85546875" style="1233"/>
  </cols>
  <sheetData>
    <row r="2" spans="1:78" ht="36.75" customHeight="1" x14ac:dyDescent="0.3">
      <c r="A2" s="5588" t="s">
        <v>4101</v>
      </c>
      <c r="B2" s="5588"/>
      <c r="C2" s="5588"/>
      <c r="D2" s="5588"/>
      <c r="E2" s="5588"/>
      <c r="F2" s="5588"/>
      <c r="G2" s="5588"/>
      <c r="H2" s="5588"/>
      <c r="I2" s="5588"/>
      <c r="J2" s="5588"/>
      <c r="K2" s="5588"/>
      <c r="L2" s="5588"/>
      <c r="M2" s="5588"/>
      <c r="N2" s="5588"/>
      <c r="O2" s="5588"/>
      <c r="P2" s="5588"/>
      <c r="Q2" s="5588"/>
      <c r="R2" s="5588"/>
      <c r="S2" s="5588"/>
      <c r="T2" s="5588"/>
      <c r="U2" s="5588"/>
      <c r="V2" s="5588"/>
      <c r="W2" s="5588"/>
      <c r="X2" s="5588"/>
      <c r="Y2" s="5588"/>
      <c r="Z2" s="5588"/>
      <c r="AA2" s="5588"/>
      <c r="AB2" s="5588"/>
      <c r="AC2" s="5588"/>
      <c r="AD2" s="5588"/>
      <c r="AE2" s="5588"/>
      <c r="AF2" s="5588"/>
      <c r="AG2" s="5525"/>
      <c r="AH2" s="5525"/>
      <c r="AI2" s="5525"/>
      <c r="AJ2" s="5525"/>
      <c r="AK2" s="5525"/>
      <c r="AL2" s="5525"/>
      <c r="AM2" s="5525"/>
      <c r="AN2" s="5525"/>
      <c r="AO2" s="5525"/>
      <c r="AP2" s="5525"/>
      <c r="AQ2" s="5525"/>
      <c r="AR2" s="5525"/>
      <c r="AS2" s="5525"/>
      <c r="AT2" s="5525"/>
      <c r="AU2" s="5525"/>
      <c r="AV2" s="5525"/>
      <c r="AW2" s="5525"/>
      <c r="AX2" s="5525"/>
      <c r="AY2" s="5525"/>
      <c r="AZ2" s="5525"/>
      <c r="BA2" s="5525"/>
      <c r="BB2" s="5525"/>
      <c r="BC2" s="5525"/>
      <c r="BD2" s="5525"/>
      <c r="BE2" s="5525"/>
      <c r="BF2" s="5525"/>
      <c r="BG2" s="5525"/>
      <c r="BH2" s="5525"/>
      <c r="BI2" s="5525"/>
      <c r="BJ2" s="5525"/>
      <c r="BK2" s="5525"/>
      <c r="BL2" s="5525"/>
      <c r="BM2" s="5525"/>
      <c r="BN2" s="5525"/>
      <c r="BO2" s="5525"/>
      <c r="BP2" s="5525"/>
      <c r="BQ2" s="5525"/>
      <c r="BR2" s="5525"/>
      <c r="BS2" s="5525"/>
      <c r="BT2" s="5525"/>
      <c r="BU2" s="5525"/>
      <c r="BV2" s="5525"/>
      <c r="BW2" s="4910"/>
      <c r="BX2" s="4910"/>
      <c r="BY2" s="4910"/>
      <c r="BZ2" s="4910"/>
    </row>
    <row r="3" spans="1:78" ht="7.5" customHeight="1" x14ac:dyDescent="0.25"/>
    <row r="4" spans="1:78" ht="15.75" customHeight="1" x14ac:dyDescent="0.25">
      <c r="A4" s="5593" t="s">
        <v>890</v>
      </c>
      <c r="B4" s="5593" t="s">
        <v>356</v>
      </c>
      <c r="C4" s="5593" t="s">
        <v>891</v>
      </c>
      <c r="D4" s="5594" t="s">
        <v>1787</v>
      </c>
      <c r="E4" s="5600" t="s">
        <v>1786</v>
      </c>
      <c r="F4" s="5598" t="s">
        <v>1803</v>
      </c>
      <c r="G4" s="5599"/>
      <c r="H4" s="5599"/>
      <c r="I4" s="5599"/>
      <c r="J4" s="5599"/>
      <c r="K4" s="5599"/>
      <c r="L4" s="5599"/>
      <c r="M4" s="5599"/>
      <c r="N4" s="5599"/>
      <c r="O4" s="5599"/>
      <c r="P4" s="5599"/>
      <c r="Q4" s="5531"/>
      <c r="R4" s="5582" t="s">
        <v>1804</v>
      </c>
      <c r="S4" s="5583"/>
      <c r="T4" s="5583"/>
      <c r="U4" s="5583"/>
      <c r="V4" s="5583"/>
      <c r="W4" s="5583"/>
      <c r="X4" s="5583"/>
      <c r="Y4" s="5583"/>
      <c r="Z4" s="5583"/>
      <c r="AA4" s="5583"/>
      <c r="AB4" s="5583"/>
      <c r="AC4" s="5583"/>
      <c r="AD4" s="5583"/>
      <c r="AE4" s="5584"/>
      <c r="AF4" s="5584"/>
      <c r="AG4" s="5585"/>
      <c r="AH4" s="5585"/>
      <c r="AI4" s="5585"/>
      <c r="AJ4" s="5585"/>
      <c r="AK4" s="5585"/>
      <c r="AL4" s="5585"/>
      <c r="AM4" s="5585"/>
      <c r="AN4" s="5585"/>
      <c r="AO4" s="5585"/>
      <c r="AP4" s="5585"/>
      <c r="AQ4" s="5585"/>
      <c r="AR4" s="5585"/>
      <c r="AS4" s="5585"/>
      <c r="AT4" s="5585"/>
      <c r="AU4" s="5585"/>
      <c r="AV4" s="5585"/>
      <c r="AW4" s="5585"/>
      <c r="AX4" s="5585"/>
      <c r="AY4" s="5585"/>
      <c r="AZ4" s="5585"/>
      <c r="BA4" s="5585"/>
      <c r="BB4" s="5585"/>
      <c r="BC4" s="5585"/>
      <c r="BD4" s="5585"/>
      <c r="BE4" s="5585"/>
      <c r="BF4" s="5585"/>
      <c r="BG4" s="5586"/>
      <c r="BH4" s="5586"/>
      <c r="BI4" s="5586"/>
      <c r="BJ4" s="5586"/>
      <c r="BK4" s="5586"/>
      <c r="BL4" s="5586"/>
      <c r="BM4" s="5586"/>
      <c r="BN4" s="5586"/>
      <c r="BO4" s="5586"/>
      <c r="BP4" s="5586"/>
      <c r="BQ4" s="5586"/>
      <c r="BR4" s="5586"/>
      <c r="BS4" s="5586"/>
      <c r="BT4" s="5586"/>
      <c r="BU4" s="5586"/>
      <c r="BV4" s="5586"/>
      <c r="BW4" s="5586"/>
      <c r="BX4" s="5586"/>
      <c r="BY4" s="5586"/>
      <c r="BZ4" s="5587"/>
    </row>
    <row r="5" spans="1:78" ht="25.5" customHeight="1" x14ac:dyDescent="0.25">
      <c r="A5" s="5593"/>
      <c r="B5" s="5593"/>
      <c r="C5" s="5593"/>
      <c r="D5" s="5595"/>
      <c r="E5" s="5601"/>
      <c r="F5" s="5593" t="s">
        <v>815</v>
      </c>
      <c r="G5" s="5593"/>
      <c r="H5" s="5593"/>
      <c r="I5" s="5593" t="s">
        <v>892</v>
      </c>
      <c r="J5" s="5593"/>
      <c r="K5" s="5593"/>
      <c r="L5" s="5593"/>
      <c r="M5" s="5593"/>
      <c r="N5" s="5598" t="s">
        <v>893</v>
      </c>
      <c r="O5" s="5599"/>
      <c r="P5" s="5599"/>
      <c r="Q5" s="5531"/>
      <c r="R5" s="3294" t="s">
        <v>1799</v>
      </c>
      <c r="S5" s="3294" t="s">
        <v>1805</v>
      </c>
      <c r="T5" s="3294" t="s">
        <v>1806</v>
      </c>
      <c r="U5" s="3294" t="s">
        <v>1807</v>
      </c>
      <c r="V5" s="3294" t="s">
        <v>1808</v>
      </c>
      <c r="W5" s="3294" t="s">
        <v>1809</v>
      </c>
      <c r="X5" s="3294" t="s">
        <v>1799</v>
      </c>
      <c r="Y5" s="3294" t="s">
        <v>2047</v>
      </c>
      <c r="Z5" s="3294" t="s">
        <v>1805</v>
      </c>
      <c r="AA5" s="3294" t="s">
        <v>1806</v>
      </c>
      <c r="AB5" s="3294" t="s">
        <v>1807</v>
      </c>
      <c r="AC5" s="3294" t="s">
        <v>1808</v>
      </c>
      <c r="AD5" s="3294" t="s">
        <v>1809</v>
      </c>
      <c r="AE5" s="5579" t="s">
        <v>1805</v>
      </c>
      <c r="AF5" s="5605"/>
      <c r="AG5" s="5605"/>
      <c r="AH5" s="5605"/>
      <c r="AI5" s="5605"/>
      <c r="AJ5" s="5605"/>
      <c r="AK5" s="5605"/>
      <c r="AL5" s="5605"/>
      <c r="AM5" s="5605"/>
      <c r="AN5" s="5605"/>
      <c r="AO5" s="5605"/>
      <c r="AP5" s="5605"/>
      <c r="AQ5" s="5605"/>
      <c r="AR5" s="5605"/>
      <c r="AS5" s="5605"/>
      <c r="AT5" s="5605"/>
      <c r="AU5" s="5605"/>
      <c r="AV5" s="5605"/>
      <c r="AW5" s="5605"/>
      <c r="AX5" s="5605"/>
      <c r="AY5" s="5605"/>
      <c r="AZ5" s="5579" t="s">
        <v>3614</v>
      </c>
      <c r="BA5" s="5579" t="s">
        <v>3615</v>
      </c>
      <c r="BB5" s="5579" t="s">
        <v>3623</v>
      </c>
      <c r="BC5" s="5612" t="s">
        <v>1806</v>
      </c>
      <c r="BD5" s="5613"/>
      <c r="BE5" s="5613"/>
      <c r="BF5" s="5613"/>
      <c r="BG5" s="5579" t="s">
        <v>3867</v>
      </c>
      <c r="BH5" s="5579" t="s">
        <v>3868</v>
      </c>
      <c r="BI5" s="5579" t="s">
        <v>3869</v>
      </c>
      <c r="BJ5" s="5612" t="s">
        <v>1807</v>
      </c>
      <c r="BK5" s="5613"/>
      <c r="BL5" s="5613"/>
      <c r="BM5" s="5613"/>
      <c r="BN5" s="5579" t="s">
        <v>3929</v>
      </c>
      <c r="BO5" s="5579" t="s">
        <v>3930</v>
      </c>
      <c r="BP5" s="5579" t="s">
        <v>3931</v>
      </c>
      <c r="BQ5" s="5579" t="s">
        <v>4107</v>
      </c>
      <c r="BR5" s="5606"/>
      <c r="BS5" s="5606"/>
      <c r="BT5" s="5606"/>
      <c r="BU5" s="5579" t="s">
        <v>4128</v>
      </c>
      <c r="BV5" s="5606"/>
      <c r="BW5" s="5606"/>
      <c r="BX5" s="5606"/>
      <c r="BY5" s="5579" t="s">
        <v>4255</v>
      </c>
      <c r="BZ5" s="5579" t="s">
        <v>4253</v>
      </c>
    </row>
    <row r="6" spans="1:78" ht="63.75" x14ac:dyDescent="0.25">
      <c r="A6" s="5593"/>
      <c r="B6" s="5593"/>
      <c r="C6" s="5593"/>
      <c r="D6" s="5596"/>
      <c r="E6" s="5602"/>
      <c r="F6" s="2055" t="s">
        <v>1585</v>
      </c>
      <c r="G6" s="2055" t="s">
        <v>1801</v>
      </c>
      <c r="H6" s="2055" t="s">
        <v>1802</v>
      </c>
      <c r="I6" s="2055" t="s">
        <v>1585</v>
      </c>
      <c r="J6" s="2055" t="s">
        <v>1510</v>
      </c>
      <c r="K6" s="2055" t="s">
        <v>1679</v>
      </c>
      <c r="L6" s="2055" t="s">
        <v>1801</v>
      </c>
      <c r="M6" s="2055" t="s">
        <v>1802</v>
      </c>
      <c r="N6" s="2055" t="s">
        <v>1585</v>
      </c>
      <c r="O6" s="2055" t="s">
        <v>1684</v>
      </c>
      <c r="P6" s="2055" t="s">
        <v>1679</v>
      </c>
      <c r="Q6" s="2454" t="s">
        <v>1801</v>
      </c>
      <c r="R6" s="5579" t="s">
        <v>118</v>
      </c>
      <c r="S6" s="5579"/>
      <c r="T6" s="5579"/>
      <c r="U6" s="5579"/>
      <c r="V6" s="5579"/>
      <c r="W6" s="5579"/>
      <c r="X6" s="5579" t="s">
        <v>1521</v>
      </c>
      <c r="Y6" s="5579"/>
      <c r="Z6" s="5579"/>
      <c r="AA6" s="5579"/>
      <c r="AB6" s="5579"/>
      <c r="AC6" s="5579"/>
      <c r="AD6" s="5579"/>
      <c r="AE6" s="3294" t="s">
        <v>3538</v>
      </c>
      <c r="AF6" s="3294" t="s">
        <v>3547</v>
      </c>
      <c r="AG6" s="3295"/>
      <c r="AH6" s="3295"/>
      <c r="AI6" s="3295"/>
      <c r="AJ6" s="3295"/>
      <c r="AK6" s="3295"/>
      <c r="AL6" s="3295"/>
      <c r="AM6" s="3295"/>
      <c r="AN6" s="3295"/>
      <c r="AO6" s="3295"/>
      <c r="AP6" s="3295"/>
      <c r="AQ6" s="3295"/>
      <c r="AR6" s="3295"/>
      <c r="AS6" s="3295"/>
      <c r="AT6" s="3295"/>
      <c r="AU6" s="3295"/>
      <c r="AV6" s="3295"/>
      <c r="AW6" s="3295"/>
      <c r="AX6" s="3294" t="s">
        <v>3670</v>
      </c>
      <c r="AY6" s="3294" t="s">
        <v>3547</v>
      </c>
      <c r="AZ6" s="5523"/>
      <c r="BA6" s="5523"/>
      <c r="BB6" s="5523"/>
      <c r="BC6" s="3294" t="s">
        <v>3538</v>
      </c>
      <c r="BD6" s="3294" t="s">
        <v>3863</v>
      </c>
      <c r="BE6" s="3294" t="s">
        <v>3670</v>
      </c>
      <c r="BF6" s="3294" t="s">
        <v>3863</v>
      </c>
      <c r="BG6" s="5523"/>
      <c r="BH6" s="5523"/>
      <c r="BI6" s="5523"/>
      <c r="BJ6" s="3657" t="s">
        <v>3538</v>
      </c>
      <c r="BK6" s="3657" t="s">
        <v>3908</v>
      </c>
      <c r="BL6" s="3657" t="s">
        <v>3670</v>
      </c>
      <c r="BM6" s="3657" t="s">
        <v>3908</v>
      </c>
      <c r="BN6" s="5523"/>
      <c r="BO6" s="5523"/>
      <c r="BP6" s="5523"/>
      <c r="BQ6" s="4027" t="s">
        <v>3538</v>
      </c>
      <c r="BR6" s="4027" t="s">
        <v>4084</v>
      </c>
      <c r="BS6" s="4027" t="s">
        <v>3670</v>
      </c>
      <c r="BT6" s="4027" t="s">
        <v>4084</v>
      </c>
      <c r="BU6" s="4059" t="s">
        <v>3538</v>
      </c>
      <c r="BV6" s="4059" t="s">
        <v>4084</v>
      </c>
      <c r="BW6" s="4059" t="s">
        <v>3670</v>
      </c>
      <c r="BX6" s="4059" t="s">
        <v>4084</v>
      </c>
      <c r="BY6" s="5523"/>
      <c r="BZ6" s="5523"/>
    </row>
    <row r="7" spans="1:78" s="1927" customFormat="1" ht="27" customHeight="1" x14ac:dyDescent="0.25">
      <c r="A7" s="3442"/>
      <c r="B7" s="3443" t="s">
        <v>894</v>
      </c>
      <c r="C7" s="5589" t="s">
        <v>895</v>
      </c>
      <c r="D7" s="5590" t="s">
        <v>895</v>
      </c>
      <c r="E7" s="5597" t="s">
        <v>895</v>
      </c>
      <c r="F7" s="5590" t="s">
        <v>895</v>
      </c>
      <c r="G7" s="5590" t="s">
        <v>895</v>
      </c>
      <c r="H7" s="5590" t="s">
        <v>895</v>
      </c>
      <c r="I7" s="3444">
        <v>0.01</v>
      </c>
      <c r="J7" s="3444"/>
      <c r="K7" s="3444">
        <v>0.01</v>
      </c>
      <c r="L7" s="5590" t="s">
        <v>895</v>
      </c>
      <c r="M7" s="3444">
        <v>0.01</v>
      </c>
      <c r="N7" s="3444">
        <v>0.01</v>
      </c>
      <c r="O7" s="5590" t="s">
        <v>895</v>
      </c>
      <c r="P7" s="3444">
        <v>0.01</v>
      </c>
      <c r="Q7" s="5611" t="s">
        <v>895</v>
      </c>
      <c r="R7" s="5591" t="s">
        <v>895</v>
      </c>
      <c r="S7" s="3445">
        <v>0.01</v>
      </c>
      <c r="T7" s="3445">
        <v>0.01</v>
      </c>
      <c r="U7" s="3445">
        <v>0.01</v>
      </c>
      <c r="V7" s="3445">
        <v>0.01</v>
      </c>
      <c r="W7" s="3445">
        <v>0.01</v>
      </c>
      <c r="X7" s="5591" t="s">
        <v>895</v>
      </c>
      <c r="Y7" s="5591" t="s">
        <v>895</v>
      </c>
      <c r="Z7" s="3445">
        <v>0.01</v>
      </c>
      <c r="AA7" s="3445">
        <v>0.01</v>
      </c>
      <c r="AB7" s="3445">
        <v>0.01</v>
      </c>
      <c r="AC7" s="3445">
        <v>0.01</v>
      </c>
      <c r="AD7" s="3445">
        <v>0.01</v>
      </c>
      <c r="AE7" s="5591" t="s">
        <v>895</v>
      </c>
      <c r="AF7" s="5591" t="s">
        <v>895</v>
      </c>
      <c r="AG7" s="3446"/>
      <c r="AH7" s="3446"/>
      <c r="AI7" s="3446"/>
      <c r="AJ7" s="3446"/>
      <c r="AK7" s="3446"/>
      <c r="AL7" s="3446"/>
      <c r="AM7" s="3446"/>
      <c r="AN7" s="3446"/>
      <c r="AO7" s="3446"/>
      <c r="AP7" s="3446"/>
      <c r="AQ7" s="3446"/>
      <c r="AR7" s="3446"/>
      <c r="AS7" s="3446"/>
      <c r="AT7" s="3446"/>
      <c r="AU7" s="3446"/>
      <c r="AV7" s="3446"/>
      <c r="AW7" s="3446"/>
      <c r="AX7" s="3445">
        <v>0.01</v>
      </c>
      <c r="AY7" s="5591" t="s">
        <v>895</v>
      </c>
      <c r="AZ7" s="5591" t="s">
        <v>895</v>
      </c>
      <c r="BA7" s="5591" t="s">
        <v>895</v>
      </c>
      <c r="BB7" s="5591" t="s">
        <v>895</v>
      </c>
      <c r="BC7" s="3775">
        <v>0.01</v>
      </c>
      <c r="BD7" s="5603" t="s">
        <v>895</v>
      </c>
      <c r="BE7" s="3775">
        <v>0.01</v>
      </c>
      <c r="BF7" s="5603" t="s">
        <v>895</v>
      </c>
      <c r="BG7" s="5603" t="s">
        <v>895</v>
      </c>
      <c r="BH7" s="5603" t="s">
        <v>895</v>
      </c>
      <c r="BI7" s="5603" t="s">
        <v>895</v>
      </c>
      <c r="BJ7" s="4029">
        <v>0.01</v>
      </c>
      <c r="BK7" s="5603" t="s">
        <v>895</v>
      </c>
      <c r="BL7" s="4029">
        <v>0.01</v>
      </c>
      <c r="BM7" s="5603" t="s">
        <v>895</v>
      </c>
      <c r="BN7" s="5607" t="s">
        <v>895</v>
      </c>
      <c r="BO7" s="5607" t="s">
        <v>895</v>
      </c>
      <c r="BP7" s="5603" t="s">
        <v>895</v>
      </c>
      <c r="BQ7" s="4030">
        <v>0.01</v>
      </c>
      <c r="BR7" s="5607" t="s">
        <v>895</v>
      </c>
      <c r="BS7" s="4048">
        <v>0.01</v>
      </c>
      <c r="BT7" s="5609" t="s">
        <v>895</v>
      </c>
      <c r="BU7" s="4060">
        <v>0.01</v>
      </c>
      <c r="BV7" s="5607" t="s">
        <v>895</v>
      </c>
      <c r="BW7" s="4147"/>
      <c r="BX7" s="5607" t="s">
        <v>895</v>
      </c>
      <c r="BY7" s="5580" t="s">
        <v>895</v>
      </c>
      <c r="BZ7" s="5580" t="s">
        <v>895</v>
      </c>
    </row>
    <row r="8" spans="1:78" s="1927" customFormat="1" ht="15" customHeight="1" x14ac:dyDescent="0.25">
      <c r="A8" s="3442"/>
      <c r="B8" s="3443" t="s">
        <v>896</v>
      </c>
      <c r="C8" s="5589"/>
      <c r="D8" s="5590"/>
      <c r="E8" s="5597"/>
      <c r="F8" s="5590"/>
      <c r="G8" s="5590"/>
      <c r="H8" s="5590"/>
      <c r="I8" s="3447">
        <v>7.3999999999999996E-2</v>
      </c>
      <c r="J8" s="3447"/>
      <c r="K8" s="3447">
        <v>7.0999999999999994E-2</v>
      </c>
      <c r="L8" s="5590"/>
      <c r="M8" s="3447">
        <v>3.6999999999999998E-2</v>
      </c>
      <c r="N8" s="3447">
        <v>0.04</v>
      </c>
      <c r="O8" s="5590"/>
      <c r="P8" s="3447">
        <v>3.6999999999999998E-2</v>
      </c>
      <c r="Q8" s="5591"/>
      <c r="R8" s="5591"/>
      <c r="S8" s="3447">
        <v>3.6999999999999998E-2</v>
      </c>
      <c r="T8" s="3447">
        <v>3.6999999999999998E-2</v>
      </c>
      <c r="U8" s="3447">
        <v>3.6999999999999998E-2</v>
      </c>
      <c r="V8" s="3447">
        <v>3.6999999999999998E-2</v>
      </c>
      <c r="W8" s="3447">
        <v>3.6999999999999998E-2</v>
      </c>
      <c r="X8" s="5591"/>
      <c r="Y8" s="5591"/>
      <c r="Z8" s="3447">
        <v>4.5999999999999999E-2</v>
      </c>
      <c r="AA8" s="3447">
        <v>3.4000000000000002E-2</v>
      </c>
      <c r="AB8" s="3447">
        <v>0.04</v>
      </c>
      <c r="AC8" s="3447">
        <v>0.04</v>
      </c>
      <c r="AD8" s="3447">
        <v>0.04</v>
      </c>
      <c r="AE8" s="5591"/>
      <c r="AF8" s="5591"/>
      <c r="AG8" s="3446"/>
      <c r="AH8" s="3446"/>
      <c r="AI8" s="3446"/>
      <c r="AJ8" s="3446"/>
      <c r="AK8" s="3446"/>
      <c r="AL8" s="3446"/>
      <c r="AM8" s="3446"/>
      <c r="AN8" s="3446"/>
      <c r="AO8" s="3446"/>
      <c r="AP8" s="3446"/>
      <c r="AQ8" s="3446"/>
      <c r="AR8" s="3446"/>
      <c r="AS8" s="3446"/>
      <c r="AT8" s="3446"/>
      <c r="AU8" s="3446"/>
      <c r="AV8" s="3446"/>
      <c r="AW8" s="3446"/>
      <c r="AX8" s="3447">
        <v>0.03</v>
      </c>
      <c r="AY8" s="5591"/>
      <c r="AZ8" s="5591"/>
      <c r="BA8" s="5591"/>
      <c r="BB8" s="5591"/>
      <c r="BC8" s="3537">
        <v>4.5999999999999999E-2</v>
      </c>
      <c r="BD8" s="5603"/>
      <c r="BE8" s="3537">
        <v>3.5999999999999997E-2</v>
      </c>
      <c r="BF8" s="5603"/>
      <c r="BG8" s="5603"/>
      <c r="BH8" s="5603"/>
      <c r="BI8" s="5603"/>
      <c r="BJ8" s="3537">
        <v>0.05</v>
      </c>
      <c r="BK8" s="5603"/>
      <c r="BL8" s="3537">
        <v>4.2999999999999997E-2</v>
      </c>
      <c r="BM8" s="5603"/>
      <c r="BN8" s="5607"/>
      <c r="BO8" s="5607"/>
      <c r="BP8" s="5603"/>
      <c r="BQ8" s="3773">
        <v>0.05</v>
      </c>
      <c r="BR8" s="5607"/>
      <c r="BS8" s="4035">
        <v>4.2999999999999997E-2</v>
      </c>
      <c r="BT8" s="5609"/>
      <c r="BU8" s="3773">
        <v>0.05</v>
      </c>
      <c r="BV8" s="5607"/>
      <c r="BW8" s="3773"/>
      <c r="BX8" s="5607"/>
      <c r="BY8" s="5580"/>
      <c r="BZ8" s="5580"/>
    </row>
    <row r="9" spans="1:78" s="1927" customFormat="1" ht="16.5" customHeight="1" x14ac:dyDescent="0.25">
      <c r="A9" s="3442"/>
      <c r="B9" s="4294" t="s">
        <v>897</v>
      </c>
      <c r="C9" s="5589"/>
      <c r="D9" s="5590"/>
      <c r="E9" s="5597"/>
      <c r="F9" s="5590"/>
      <c r="G9" s="5590"/>
      <c r="H9" s="5590"/>
      <c r="I9" s="3448">
        <v>0</v>
      </c>
      <c r="J9" s="3448"/>
      <c r="K9" s="3448">
        <v>0</v>
      </c>
      <c r="L9" s="5590"/>
      <c r="M9" s="3448">
        <v>0</v>
      </c>
      <c r="N9" s="3448">
        <v>0</v>
      </c>
      <c r="O9" s="5590"/>
      <c r="P9" s="3448">
        <v>0</v>
      </c>
      <c r="Q9" s="5592"/>
      <c r="R9" s="5592"/>
      <c r="S9" s="3448">
        <v>0</v>
      </c>
      <c r="T9" s="3448">
        <v>0</v>
      </c>
      <c r="U9" s="3448">
        <v>0</v>
      </c>
      <c r="V9" s="3448">
        <v>0</v>
      </c>
      <c r="W9" s="3448">
        <v>0</v>
      </c>
      <c r="X9" s="5592"/>
      <c r="Y9" s="5592"/>
      <c r="Z9" s="3448">
        <v>0</v>
      </c>
      <c r="AA9" s="3448">
        <v>0</v>
      </c>
      <c r="AB9" s="3448">
        <v>0</v>
      </c>
      <c r="AC9" s="3448">
        <v>0</v>
      </c>
      <c r="AD9" s="3448">
        <v>0</v>
      </c>
      <c r="AE9" s="5592"/>
      <c r="AF9" s="5592"/>
      <c r="AG9" s="3446"/>
      <c r="AH9" s="3446"/>
      <c r="AI9" s="3446"/>
      <c r="AJ9" s="3446"/>
      <c r="AK9" s="3446"/>
      <c r="AL9" s="3446"/>
      <c r="AM9" s="3446"/>
      <c r="AN9" s="3446"/>
      <c r="AO9" s="3446"/>
      <c r="AP9" s="3446"/>
      <c r="AQ9" s="3446"/>
      <c r="AR9" s="3446"/>
      <c r="AS9" s="3446"/>
      <c r="AT9" s="3446"/>
      <c r="AU9" s="3446"/>
      <c r="AV9" s="3446"/>
      <c r="AW9" s="3446"/>
      <c r="AX9" s="3448">
        <v>0</v>
      </c>
      <c r="AY9" s="5592"/>
      <c r="AZ9" s="5592"/>
      <c r="BA9" s="5592"/>
      <c r="BB9" s="5592"/>
      <c r="BC9" s="3538">
        <v>0</v>
      </c>
      <c r="BD9" s="5604"/>
      <c r="BE9" s="3538">
        <v>0</v>
      </c>
      <c r="BF9" s="5604"/>
      <c r="BG9" s="5604"/>
      <c r="BH9" s="5604"/>
      <c r="BI9" s="5604"/>
      <c r="BJ9" s="3538">
        <v>0</v>
      </c>
      <c r="BK9" s="5604"/>
      <c r="BL9" s="3538">
        <v>0</v>
      </c>
      <c r="BM9" s="5604"/>
      <c r="BN9" s="5608"/>
      <c r="BO9" s="5608"/>
      <c r="BP9" s="5604"/>
      <c r="BQ9" s="3774">
        <v>0</v>
      </c>
      <c r="BR9" s="5608"/>
      <c r="BS9" s="4036">
        <v>0</v>
      </c>
      <c r="BT9" s="5610"/>
      <c r="BU9" s="3774">
        <v>0</v>
      </c>
      <c r="BV9" s="5608"/>
      <c r="BW9" s="3774"/>
      <c r="BX9" s="5608"/>
      <c r="BY9" s="5581"/>
      <c r="BZ9" s="5581"/>
    </row>
    <row r="10" spans="1:78" s="1927" customFormat="1" ht="16.5" customHeight="1" x14ac:dyDescent="0.25">
      <c r="A10" s="4292"/>
      <c r="B10" s="3443" t="s">
        <v>4229</v>
      </c>
      <c r="C10" s="4293"/>
      <c r="D10" s="4151"/>
      <c r="E10" s="4153"/>
      <c r="F10" s="4151"/>
      <c r="G10" s="4151"/>
      <c r="H10" s="4151"/>
      <c r="I10" s="3448"/>
      <c r="J10" s="3448"/>
      <c r="K10" s="3448"/>
      <c r="L10" s="4151"/>
      <c r="M10" s="3448"/>
      <c r="N10" s="3448"/>
      <c r="O10" s="4151"/>
      <c r="P10" s="3448"/>
      <c r="Q10" s="4150"/>
      <c r="R10" s="4150"/>
      <c r="S10" s="3448"/>
      <c r="T10" s="3448"/>
      <c r="U10" s="3448"/>
      <c r="V10" s="3448"/>
      <c r="W10" s="3448"/>
      <c r="X10" s="4150"/>
      <c r="Y10" s="4150"/>
      <c r="Z10" s="3448"/>
      <c r="AA10" s="3448"/>
      <c r="AB10" s="3448"/>
      <c r="AC10" s="3448"/>
      <c r="AD10" s="3448"/>
      <c r="AE10" s="4150"/>
      <c r="AF10" s="4150"/>
      <c r="AG10" s="3446"/>
      <c r="AH10" s="3446"/>
      <c r="AI10" s="3446"/>
      <c r="AJ10" s="3446"/>
      <c r="AK10" s="3446"/>
      <c r="AL10" s="3446"/>
      <c r="AM10" s="3446"/>
      <c r="AN10" s="3446"/>
      <c r="AO10" s="3446"/>
      <c r="AP10" s="3446"/>
      <c r="AQ10" s="3446"/>
      <c r="AR10" s="3446"/>
      <c r="AS10" s="3446"/>
      <c r="AT10" s="3446"/>
      <c r="AU10" s="3446"/>
      <c r="AV10" s="3446"/>
      <c r="AW10" s="3446"/>
      <c r="AX10" s="3448"/>
      <c r="AY10" s="4150"/>
      <c r="AZ10" s="4150"/>
      <c r="BA10" s="4150"/>
      <c r="BB10" s="4150"/>
      <c r="BC10" s="3538"/>
      <c r="BD10" s="4149"/>
      <c r="BE10" s="3538"/>
      <c r="BF10" s="4149"/>
      <c r="BG10" s="4149"/>
      <c r="BH10" s="4149"/>
      <c r="BI10" s="4149"/>
      <c r="BJ10" s="3538"/>
      <c r="BK10" s="4149"/>
      <c r="BL10" s="3537">
        <v>0.13900000000000001</v>
      </c>
      <c r="BM10" s="4149"/>
      <c r="BN10" s="4147"/>
      <c r="BO10" s="4147"/>
      <c r="BP10" s="4566"/>
      <c r="BQ10" s="3774"/>
      <c r="BR10" s="4147"/>
      <c r="BS10" s="4036"/>
      <c r="BT10" s="4148"/>
      <c r="BU10" s="3774"/>
      <c r="BV10" s="4147"/>
      <c r="BW10" s="3773">
        <v>0.06</v>
      </c>
      <c r="BX10" s="4705"/>
      <c r="BY10" s="4837"/>
      <c r="BZ10" s="4837"/>
    </row>
    <row r="11" spans="1:78" s="2731" customFormat="1" ht="18" customHeight="1" x14ac:dyDescent="0.25">
      <c r="A11" s="3449">
        <v>1</v>
      </c>
      <c r="B11" s="3487" t="s">
        <v>898</v>
      </c>
      <c r="C11" s="3449" t="s">
        <v>899</v>
      </c>
      <c r="D11" s="3451">
        <f t="shared" ref="D11:X11" si="0">D12+D31+D33+D37</f>
        <v>123199.97</v>
      </c>
      <c r="E11" s="3452">
        <f t="shared" si="0"/>
        <v>115906.66</v>
      </c>
      <c r="F11" s="3451">
        <f t="shared" si="0"/>
        <v>130132.0308002161</v>
      </c>
      <c r="G11" s="3451">
        <f t="shared" si="0"/>
        <v>120535.93</v>
      </c>
      <c r="H11" s="3451">
        <f t="shared" si="0"/>
        <v>126874.32289857589</v>
      </c>
      <c r="I11" s="3451">
        <f t="shared" si="0"/>
        <v>131185.59188472689</v>
      </c>
      <c r="J11" s="3451">
        <f t="shared" si="0"/>
        <v>146598.56</v>
      </c>
      <c r="K11" s="3451">
        <f t="shared" si="0"/>
        <v>132731.59938646757</v>
      </c>
      <c r="L11" s="3451">
        <f t="shared" si="0"/>
        <v>138219.92427999998</v>
      </c>
      <c r="M11" s="3451">
        <f t="shared" si="0"/>
        <v>124314.61225618275</v>
      </c>
      <c r="N11" s="3451">
        <f t="shared" si="0"/>
        <v>135150.34286266143</v>
      </c>
      <c r="O11" s="3451">
        <f t="shared" si="0"/>
        <v>141714.08000000002</v>
      </c>
      <c r="P11" s="3451">
        <f t="shared" si="0"/>
        <v>127775.59977397999</v>
      </c>
      <c r="Q11" s="3451">
        <f t="shared" si="0"/>
        <v>136412.62899999999</v>
      </c>
      <c r="R11" s="3451">
        <f t="shared" si="0"/>
        <v>152193.54</v>
      </c>
      <c r="S11" s="3451">
        <f t="shared" si="0"/>
        <v>163063.53999999998</v>
      </c>
      <c r="T11" s="3451">
        <f t="shared" si="0"/>
        <v>168098.30000000002</v>
      </c>
      <c r="U11" s="3451">
        <f t="shared" si="0"/>
        <v>173305.15999999997</v>
      </c>
      <c r="V11" s="3451">
        <f t="shared" si="0"/>
        <v>178711.02</v>
      </c>
      <c r="W11" s="3451">
        <f t="shared" si="0"/>
        <v>0</v>
      </c>
      <c r="X11" s="3451">
        <f t="shared" si="0"/>
        <v>147544.11811148538</v>
      </c>
      <c r="Y11" s="3451">
        <f>X11/P11*100</f>
        <v>115.47127806284891</v>
      </c>
      <c r="Z11" s="3451">
        <f t="shared" ref="Z11:AE11" si="1">Z12+Z31+Z33+Z37</f>
        <v>152394.79711169572</v>
      </c>
      <c r="AA11" s="3451">
        <f t="shared" si="1"/>
        <v>155941.62487183817</v>
      </c>
      <c r="AB11" s="3451">
        <f t="shared" si="1"/>
        <v>160328.5385559875</v>
      </c>
      <c r="AC11" s="3451">
        <f t="shared" si="1"/>
        <v>164890.69791820081</v>
      </c>
      <c r="AD11" s="3451">
        <f t="shared" si="1"/>
        <v>169657.2078363566</v>
      </c>
      <c r="AE11" s="3451">
        <f t="shared" si="1"/>
        <v>163792.15655699334</v>
      </c>
      <c r="AF11" s="3451">
        <f>AE11/X11*100</f>
        <v>111.0123254342344</v>
      </c>
      <c r="AG11" s="3446"/>
      <c r="AH11" s="3446"/>
      <c r="AI11" s="3446"/>
      <c r="AJ11" s="3446"/>
      <c r="AK11" s="3446"/>
      <c r="AL11" s="3446"/>
      <c r="AM11" s="3446"/>
      <c r="AN11" s="3446"/>
      <c r="AO11" s="3446"/>
      <c r="AP11" s="3446"/>
      <c r="AQ11" s="3446"/>
      <c r="AR11" s="3446"/>
      <c r="AS11" s="3446"/>
      <c r="AT11" s="3446"/>
      <c r="AU11" s="3446"/>
      <c r="AV11" s="3446"/>
      <c r="AW11" s="3446"/>
      <c r="AX11" s="3451">
        <f>AX12+AX31+AX33+AX37</f>
        <v>149826.19082761329</v>
      </c>
      <c r="AY11" s="3451">
        <f>AX11/X11*100</f>
        <v>101.54670531454433</v>
      </c>
      <c r="AZ11" s="3451">
        <f>AZ12+AZ31+AZ33+AZ37</f>
        <v>72783.630038500007</v>
      </c>
      <c r="BA11" s="3451">
        <f>BA12+BA31+BA33+BA37</f>
        <v>111653.58178317001</v>
      </c>
      <c r="BB11" s="3451">
        <f>BB12+BB31+BB33+BB37</f>
        <v>147917.25693788001</v>
      </c>
      <c r="BC11" s="3451">
        <f>BC12+BC31+BC33+BC37</f>
        <v>177938.59485403632</v>
      </c>
      <c r="BD11" s="3451">
        <f>BC11/AX11*100</f>
        <v>118.76334429323411</v>
      </c>
      <c r="BE11" s="3451">
        <f>BE12+BE31+BE33+BE37</f>
        <v>146345.09367614074</v>
      </c>
      <c r="BF11" s="3451">
        <f>BE11/AX11*100</f>
        <v>97.676576350073645</v>
      </c>
      <c r="BG11" s="3451">
        <f>BG12+BG31+BG33+BG37</f>
        <v>74088.261499999993</v>
      </c>
      <c r="BH11" s="3451">
        <f>BH12+BH31+BH33+BH37</f>
        <v>107372.86429100001</v>
      </c>
      <c r="BI11" s="3451">
        <f>BI12+BI31+BI33+BI37</f>
        <v>143651.01626999999</v>
      </c>
      <c r="BJ11" s="3451">
        <f>BJ12+BJ31+BJ33+BJ37</f>
        <v>178777.77565345765</v>
      </c>
      <c r="BK11" s="3451">
        <f>BJ11/BE11*100</f>
        <v>122.16178292187226</v>
      </c>
      <c r="BL11" s="3451">
        <f>BL12+BL31+BL33+BL37</f>
        <v>160588.25959540685</v>
      </c>
      <c r="BM11" s="3451">
        <f>BL11/BE11*100</f>
        <v>109.7325886105796</v>
      </c>
      <c r="BN11" s="3811">
        <f>BN12+BN31+BN33+BN37</f>
        <v>73656.467650274717</v>
      </c>
      <c r="BO11" s="3811">
        <f>BO12+BO31+BO33+BO37</f>
        <v>110591.78015660359</v>
      </c>
      <c r="BP11" s="3451">
        <f>BP12+BP31+BP33+BP37</f>
        <v>153489.50252063922</v>
      </c>
      <c r="BQ11" s="3512">
        <f>BQ12+BQ31+BQ33+BQ37</f>
        <v>210576.02586989829</v>
      </c>
      <c r="BR11" s="3512">
        <f>BQ11/BL11*100</f>
        <v>131.12790835421768</v>
      </c>
      <c r="BS11" s="4037">
        <f>BS12+BS31+BS33+BS37</f>
        <v>148008.18285918472</v>
      </c>
      <c r="BT11" s="4037">
        <f>BS11/BL11*100</f>
        <v>92.166253767294734</v>
      </c>
      <c r="BU11" s="3512">
        <f>BU12+BU31+BU33+BU37</f>
        <v>223494.36021601121</v>
      </c>
      <c r="BV11" s="3512">
        <f>BU11/BL11*100</f>
        <v>139.17229116193971</v>
      </c>
      <c r="BW11" s="3512">
        <f>BW12+BW31+BW33+BW37</f>
        <v>180712.18969988055</v>
      </c>
      <c r="BX11" s="3512">
        <f>BW11/BL11*100</f>
        <v>112.53138315040889</v>
      </c>
      <c r="BY11" s="4838">
        <f>BY12+BY31+BY33+BY37</f>
        <v>83762.605491180002</v>
      </c>
      <c r="BZ11" s="4838">
        <f>BZ12+BZ31+BZ33+BZ37</f>
        <v>174370.71016314</v>
      </c>
    </row>
    <row r="12" spans="1:78" s="2732" customFormat="1" ht="23.25" customHeight="1" x14ac:dyDescent="0.25">
      <c r="A12" s="3453" t="s">
        <v>900</v>
      </c>
      <c r="B12" s="3454" t="s">
        <v>901</v>
      </c>
      <c r="C12" s="3453" t="s">
        <v>899</v>
      </c>
      <c r="D12" s="3451">
        <f t="shared" ref="D12:E12" si="2">D13+D14+D15</f>
        <v>105513.69</v>
      </c>
      <c r="E12" s="3452">
        <f t="shared" si="2"/>
        <v>107557.11</v>
      </c>
      <c r="F12" s="3451">
        <f t="shared" ref="F12:N12" si="3">F13+F14+F15</f>
        <v>111940.9715304191</v>
      </c>
      <c r="G12" s="3451">
        <f t="shared" ref="G12" si="4">G13+G14+G15</f>
        <v>111965.39</v>
      </c>
      <c r="H12" s="3451">
        <f t="shared" si="3"/>
        <v>108393.13558408995</v>
      </c>
      <c r="I12" s="3451">
        <f t="shared" si="3"/>
        <v>116732.41893783511</v>
      </c>
      <c r="J12" s="3451">
        <f t="shared" si="3"/>
        <v>131238.74</v>
      </c>
      <c r="K12" s="3451">
        <f t="shared" si="3"/>
        <v>118241.1578864013</v>
      </c>
      <c r="L12" s="3451">
        <f t="shared" ref="L12:M12" si="5">L13+L14+L15</f>
        <v>127900.23427999999</v>
      </c>
      <c r="M12" s="3451">
        <f t="shared" si="5"/>
        <v>108120.4815480246</v>
      </c>
      <c r="N12" s="3451">
        <f t="shared" si="3"/>
        <v>120508.37225015374</v>
      </c>
      <c r="O12" s="3451">
        <f t="shared" ref="O12:Q12" si="6">O13+O14+O15</f>
        <v>126360.15000000001</v>
      </c>
      <c r="P12" s="3451">
        <f t="shared" si="6"/>
        <v>119298.79540596965</v>
      </c>
      <c r="Q12" s="3451">
        <f t="shared" si="6"/>
        <v>126486.549</v>
      </c>
      <c r="R12" s="3451">
        <f t="shared" ref="R12:AD12" si="7">R13+R14+R15</f>
        <v>145195.96</v>
      </c>
      <c r="S12" s="3451">
        <f t="shared" si="7"/>
        <v>152733.99</v>
      </c>
      <c r="T12" s="3451">
        <f t="shared" si="7"/>
        <v>157758.25000000003</v>
      </c>
      <c r="U12" s="3451">
        <f t="shared" si="7"/>
        <v>162954.28999999998</v>
      </c>
      <c r="V12" s="3451">
        <f t="shared" si="7"/>
        <v>168349</v>
      </c>
      <c r="W12" s="3451">
        <f t="shared" si="7"/>
        <v>0</v>
      </c>
      <c r="X12" s="3451">
        <f t="shared" si="7"/>
        <v>137561.50163301575</v>
      </c>
      <c r="Y12" s="3451">
        <f>X12/P12*100</f>
        <v>115.30837437620282</v>
      </c>
      <c r="Z12" s="3451">
        <f t="shared" si="7"/>
        <v>142410.41711169571</v>
      </c>
      <c r="AA12" s="3451">
        <f t="shared" si="7"/>
        <v>145957.24487183816</v>
      </c>
      <c r="AB12" s="3451">
        <f t="shared" si="7"/>
        <v>150344.15855598749</v>
      </c>
      <c r="AC12" s="3451">
        <f t="shared" si="7"/>
        <v>154906.3179182008</v>
      </c>
      <c r="AD12" s="3451">
        <f t="shared" si="7"/>
        <v>159672.82783635659</v>
      </c>
      <c r="AE12" s="3451">
        <f t="shared" ref="AE12" si="8">AE13+AE14+AE15</f>
        <v>153578.91007852371</v>
      </c>
      <c r="AF12" s="3451">
        <f t="shared" ref="AF12:AF47" si="9">AE12/X12*100</f>
        <v>111.64381622427977</v>
      </c>
      <c r="AG12" s="3446"/>
      <c r="AH12" s="3446"/>
      <c r="AI12" s="3446"/>
      <c r="AJ12" s="3446"/>
      <c r="AK12" s="3446"/>
      <c r="AL12" s="3446"/>
      <c r="AM12" s="3446"/>
      <c r="AN12" s="3446"/>
      <c r="AO12" s="3446"/>
      <c r="AP12" s="3446"/>
      <c r="AQ12" s="3446"/>
      <c r="AR12" s="3446"/>
      <c r="AS12" s="3446"/>
      <c r="AT12" s="3446"/>
      <c r="AU12" s="3446"/>
      <c r="AV12" s="3446"/>
      <c r="AW12" s="3446"/>
      <c r="AX12" s="3451">
        <f t="shared" ref="AX12" si="10">AX13+AX14+AX15</f>
        <v>139612.93959428006</v>
      </c>
      <c r="AY12" s="3451">
        <f t="shared" ref="AY12:AY47" si="11">AX12/X12*100</f>
        <v>101.49128785082407</v>
      </c>
      <c r="AZ12" s="3451">
        <f t="shared" ref="AZ12:BA12" si="12">AZ13+AZ14+AZ15</f>
        <v>64537.180038500002</v>
      </c>
      <c r="BA12" s="3451">
        <f t="shared" si="12"/>
        <v>99483.61178317001</v>
      </c>
      <c r="BB12" s="3451">
        <f t="shared" ref="BB12" si="13">BB13+BB14+BB15</f>
        <v>132239.84693788001</v>
      </c>
      <c r="BC12" s="3451">
        <f t="shared" ref="BC12" si="14">BC13+BC14+BC15</f>
        <v>166229.61485403631</v>
      </c>
      <c r="BD12" s="3451">
        <f>BC12/AX12*100</f>
        <v>119.064619180074</v>
      </c>
      <c r="BE12" s="3451">
        <f t="shared" ref="BE12" si="15">BE13+BE14+BE15</f>
        <v>140202.38367614074</v>
      </c>
      <c r="BF12" s="3451">
        <f t="shared" ref="BF12:BF31" si="16">BE12/AX12*100</f>
        <v>100.42219874717459</v>
      </c>
      <c r="BG12" s="3451">
        <f t="shared" ref="BG12:BJ12" si="17">BG13+BG14+BG15</f>
        <v>66308.6446</v>
      </c>
      <c r="BH12" s="3451">
        <f t="shared" si="17"/>
        <v>95682.164291000008</v>
      </c>
      <c r="BI12" s="3451">
        <f t="shared" si="17"/>
        <v>128053.51626999999</v>
      </c>
      <c r="BJ12" s="3451">
        <f t="shared" si="17"/>
        <v>167148.70565345764</v>
      </c>
      <c r="BK12" s="3451">
        <f>BJ12/BE12*100</f>
        <v>119.21958904747392</v>
      </c>
      <c r="BL12" s="3451">
        <f t="shared" ref="BL12" si="18">BL13+BL14+BL15</f>
        <v>149031.08359540685</v>
      </c>
      <c r="BM12" s="3451">
        <f t="shared" ref="BM12:BM31" si="19">BL12/BE12*100</f>
        <v>106.29711113875202</v>
      </c>
      <c r="BN12" s="3811">
        <f t="shared" ref="BN12:BQ12" si="20">BN13+BN14+BN15</f>
        <v>66020.052292274719</v>
      </c>
      <c r="BO12" s="3811">
        <f t="shared" si="20"/>
        <v>99373.941392603592</v>
      </c>
      <c r="BP12" s="3451">
        <f t="shared" si="20"/>
        <v>138605.05257263919</v>
      </c>
      <c r="BQ12" s="3512">
        <f t="shared" si="20"/>
        <v>198685.83861989831</v>
      </c>
      <c r="BR12" s="3512">
        <f>BQ12/BL12*100</f>
        <v>133.31838823590346</v>
      </c>
      <c r="BS12" s="4037">
        <f t="shared" ref="BS12" si="21">BS13+BS14+BS15</f>
        <v>145140.5645491847</v>
      </c>
      <c r="BT12" s="4037">
        <f t="shared" ref="BT12:BT31" si="22">BS12/BL12*100</f>
        <v>97.389457989325081</v>
      </c>
      <c r="BU12" s="3512">
        <f t="shared" ref="BU12" si="23">BU13+BU14+BU15</f>
        <v>211604.17296601122</v>
      </c>
      <c r="BV12" s="4295">
        <f t="shared" ref="BV12:BV31" si="24">BU12/BL12*100</f>
        <v>141.98660296967262</v>
      </c>
      <c r="BW12" s="3512">
        <f t="shared" ref="BW12" si="25">BW13+BW14+BW15</f>
        <v>170214.46569988056</v>
      </c>
      <c r="BX12" s="3512">
        <f t="shared" ref="BX12:BX47" si="26">BW12/BL12*100</f>
        <v>114.21406970507097</v>
      </c>
      <c r="BY12" s="4838">
        <f t="shared" ref="BY12:BZ12" si="27">BY13+BY14+BY15</f>
        <v>76616.335491179998</v>
      </c>
      <c r="BZ12" s="4838">
        <f t="shared" si="27"/>
        <v>160870.62816314001</v>
      </c>
    </row>
    <row r="13" spans="1:78" s="2732" customFormat="1" ht="21" customHeight="1" x14ac:dyDescent="0.25">
      <c r="A13" s="3453" t="s">
        <v>902</v>
      </c>
      <c r="B13" s="3455" t="s">
        <v>903</v>
      </c>
      <c r="C13" s="3453" t="s">
        <v>899</v>
      </c>
      <c r="D13" s="3453">
        <v>86457.11</v>
      </c>
      <c r="E13" s="3456">
        <v>89990.59</v>
      </c>
      <c r="F13" s="3451">
        <f>вода!BE148+вода!BE149+вода!BE150+вода!BE151+вода!BE152+вода!BE154-F16-F18-'цех вода 2023'!AG18-'ОХР '!AP21-'ОХР '!AP17-'ОХР '!AP24</f>
        <v>93024.157639357698</v>
      </c>
      <c r="G13" s="3451">
        <v>93097.31</v>
      </c>
      <c r="H13" s="3451">
        <f>F13</f>
        <v>93024.157639357698</v>
      </c>
      <c r="I13" s="3451">
        <f>F13*(1-I7)*(1+I8)*(1+I9)</f>
        <v>98908.865851623472</v>
      </c>
      <c r="J13" s="3451">
        <v>108667.4</v>
      </c>
      <c r="K13" s="3451">
        <f>F13*(1-K7)*(1+K8)*(1+K9)</f>
        <v>98632.584103434579</v>
      </c>
      <c r="L13" s="3451">
        <v>103885.18</v>
      </c>
      <c r="M13" s="3451">
        <f>F13*0.99*1.037</f>
        <v>95501.390957293799</v>
      </c>
      <c r="N13" s="3451">
        <f>K13*(1-N7)*(1+N8)*(1+N9)</f>
        <v>101552.10859289626</v>
      </c>
      <c r="O13" s="3451">
        <v>103364.71</v>
      </c>
      <c r="P13" s="3451">
        <f>N13</f>
        <v>101552.10859289626</v>
      </c>
      <c r="Q13" s="3451">
        <f>вода!BQ148+вода!BQ149+вода!BQ150+вода!BQ151+вода!BQ152+вода!BQ154-Q18</f>
        <v>110628.765</v>
      </c>
      <c r="R13" s="3451">
        <v>123419.62</v>
      </c>
      <c r="S13" s="3451">
        <v>127122.16</v>
      </c>
      <c r="T13" s="3451">
        <v>130935.77</v>
      </c>
      <c r="U13" s="3451">
        <v>134863.79999999999</v>
      </c>
      <c r="V13" s="3451">
        <v>138909.66</v>
      </c>
      <c r="W13" s="3451"/>
      <c r="X13" s="3451">
        <f>вода!BW148+вода!BW149+вода!BW150+вода!BW151+вода!BW152+вода!BW154</f>
        <v>116884.44357920038</v>
      </c>
      <c r="Y13" s="3451">
        <f>X13/P13*100</f>
        <v>115.09799766715689</v>
      </c>
      <c r="Z13" s="3451">
        <f>X13*(1-Z7)*(1+Z8)*(1+Z9)</f>
        <v>121038.51670400516</v>
      </c>
      <c r="AA13" s="3451">
        <f t="shared" ref="AA13:AD13" si="28">Z13*(1-AA7)*(1+AA8)*(1+AA9)</f>
        <v>123902.28800922193</v>
      </c>
      <c r="AB13" s="3451">
        <f t="shared" si="28"/>
        <v>127569.79573429489</v>
      </c>
      <c r="AC13" s="3451">
        <f t="shared" si="28"/>
        <v>131345.86168803001</v>
      </c>
      <c r="AD13" s="3451">
        <f t="shared" si="28"/>
        <v>135233.69919399571</v>
      </c>
      <c r="AE13" s="3451">
        <f>вода!BZ148+вода!BZ149+вода!BZ150+вода!BZ151+вода!BZ152+вода!BZ154</f>
        <v>130849.18843561392</v>
      </c>
      <c r="AF13" s="3451">
        <f t="shared" si="9"/>
        <v>111.947479432497</v>
      </c>
      <c r="AG13" s="3446"/>
      <c r="AH13" s="3446"/>
      <c r="AI13" s="3446"/>
      <c r="AJ13" s="3446"/>
      <c r="AK13" s="3446"/>
      <c r="AL13" s="3446"/>
      <c r="AM13" s="3446"/>
      <c r="AN13" s="3446"/>
      <c r="AO13" s="3446"/>
      <c r="AP13" s="3446"/>
      <c r="AQ13" s="3446"/>
      <c r="AR13" s="3446"/>
      <c r="AS13" s="3446"/>
      <c r="AT13" s="3446"/>
      <c r="AU13" s="3446"/>
      <c r="AV13" s="3446"/>
      <c r="AW13" s="3446"/>
      <c r="AX13" s="3451">
        <f>вода!CG148+вода!CG149+вода!CG150+вода!CG151+вода!CG152+вода!CG154</f>
        <v>119187.06933071907</v>
      </c>
      <c r="AY13" s="3451">
        <f t="shared" si="11"/>
        <v>101.97000189333016</v>
      </c>
      <c r="AZ13" s="3451">
        <f>вода!CJ148+вода!CJ149+вода!CJ150+вода!CJ151+вода!CJ152+вода!CJ154-'цех вода 2023'!AY18-'ОХР '!CC17-'ОХР '!CC21-'Аренда земли'!U9</f>
        <v>53163.29103</v>
      </c>
      <c r="BA13" s="3451">
        <f>SUM(вода!CM148+вода!CM149+вода!CM150+вода!CM151+вода!CM152+вода!CM154-'цех вода 2023'!AZ18-'ОХР '!CJ17-'ОХР '!CJ21-'Аренда земли'!V9)</f>
        <v>82817.168450000012</v>
      </c>
      <c r="BB13" s="3451">
        <f>SUM(вода!CP148+вода!CP149+вода!CP150+вода!CP151+вода!CP152+вода!CP154-'цех вода 2023'!BA18-'ОХР '!CQ17-'ОХР '!CQ21-'Аренда земли'!W9)</f>
        <v>109206.64600000001</v>
      </c>
      <c r="BC13" s="3451">
        <f>SUM(вода!CS148+вода!CS149+вода!CS150+вода!CS151+вода!CS152+вода!CS154-'цех вода 2023'!BB18-'ОХР '!CX17-'ОХР '!CX21-'Аренда земли'!Y9)</f>
        <v>138434.62555141863</v>
      </c>
      <c r="BD13" s="3451">
        <f>BC13/AX13*100</f>
        <v>116.1490305355958</v>
      </c>
      <c r="BE13" s="3776">
        <f>X13*(1+0.032)*0.99*(1+BE8)*0.99</f>
        <v>122480.38861281963</v>
      </c>
      <c r="BF13" s="3451">
        <f t="shared" si="16"/>
        <v>102.76315149000123</v>
      </c>
      <c r="BG13" s="3451">
        <f>вода!CY148+вода!CY149+вода!CY150+вода!CY151+вода!CY152+вода!CY154-'цех вода 2023'!BD18-'ОХР '!DG17-'ОХР '!DG21-'Аренда земли'!AA9</f>
        <v>55463.278410000006</v>
      </c>
      <c r="BH13" s="3451">
        <f>SUM(вода!DB148+вода!DB149+вода!DB150+вода!DB151+вода!DB152+вода!DB154-'цех вода 2023'!BE18-'ОХР '!DN17-'ОХР '!DN21-'Аренда земли'!AB9)</f>
        <v>80335.03764000001</v>
      </c>
      <c r="BI13" s="3451">
        <f>SUM(вода!DE148+вода!DE149+вода!DE150+вода!DE151+вода!DE152+вода!DE154-'цех вода 2023'!BF18-'ОХР '!DU17-'ОХР '!DU21-'Аренда земли'!AC9)</f>
        <v>103912.40781</v>
      </c>
      <c r="BJ13" s="3451">
        <f>SUM(вода!DH148+вода!DH149+вода!DH150+вода!DH151+вода!DH152+вода!DH154-'цех вода 2023'!BG18-'ОХР '!EB17-'ОХР '!EB21-'Аренда земли'!AD9)</f>
        <v>143016.38228528624</v>
      </c>
      <c r="BK13" s="3451">
        <f>BJ13/BE13*100</f>
        <v>116.76676070761354</v>
      </c>
      <c r="BL13" s="3776">
        <f>X13*(1+0.034)*0.99*1.06*0.99*(1+BL8)*0.99</f>
        <v>129650.14594786157</v>
      </c>
      <c r="BM13" s="3451">
        <f t="shared" si="19"/>
        <v>105.85380028284095</v>
      </c>
      <c r="BN13" s="3811">
        <f>вода!DN148+вода!DN149+вода!DN150+вода!DN151+вода!DN152+вода!DN154-'цех вода 2023'!BI18-'ОХР '!EL17-'ОХР '!EL21-'Аренда земли'!AF10</f>
        <v>55750.966070000002</v>
      </c>
      <c r="BO13" s="3811">
        <f>SUM(вода!DQ148+вода!DQ149+вода!DQ150+вода!DQ151+вода!DQ152+вода!DQ154-'цех вода 2023'!BJ18-'ОХР '!ES17-'ОХР '!ES21-'Аренда земли'!AG9)</f>
        <v>84831.567909999998</v>
      </c>
      <c r="BP13" s="3451">
        <f>SUM(вода!DT148+вода!DT149+вода!DT150+вода!DT151+вода!DT152+вода!DT154-'цех вода 2023'!BK18-'ОХР '!EZ17-'ОХР '!EZ21-'Аренда земли'!AH9)</f>
        <v>112739.17001</v>
      </c>
      <c r="BQ13" s="3512">
        <f>SUM(вода!DW148+вода!DW149+вода!DW150+вода!DW152+вода!DW154-'цех вода 2023'!BL18-'ОХР '!FG17-'ОХР '!FG21-'Аренда земли'!AI9)</f>
        <v>143864.67354602984</v>
      </c>
      <c r="BR13" s="3512">
        <f>BQ13/BL13*100</f>
        <v>110.9637574984949</v>
      </c>
      <c r="BS13" s="4049">
        <f>AE13*(1+0.034)*0.99*1.06*0.99*(1+BS8)*0.99</f>
        <v>145140.07046918469</v>
      </c>
      <c r="BT13" s="4037">
        <f t="shared" si="22"/>
        <v>111.947479432497</v>
      </c>
      <c r="BU13" s="3512">
        <f>SUM(вода!EC148+вода!EC149+вода!EC150+вода!EC152+вода!EC154-'цех вода 2023'!BL18-'ОХР '!FG17-'ОХР '!FG21-'Аренда земли'!AI9)</f>
        <v>143864.67354602984</v>
      </c>
      <c r="BV13" s="4295">
        <f t="shared" si="24"/>
        <v>110.9637574984949</v>
      </c>
      <c r="BW13" s="4296">
        <f>X13*0.99*1.034*0.99*1.067*0.99*1.139*0.99*1.06</f>
        <v>149558.82334046997</v>
      </c>
      <c r="BX13" s="3512">
        <f t="shared" si="26"/>
        <v>115.35569223394057</v>
      </c>
      <c r="BY13" s="4838">
        <f>SUM(вода!EI147+вода!EI148+вода!EI149+вода!EI150+вода!EI151+вода!EI152+вода!EI154-'цех вода 2023'!BN18-'ОХР '!FO17-'ОХР '!FO21-'Аренда земли'!AK9)</f>
        <v>68721.932959999991</v>
      </c>
      <c r="BZ13" s="4838">
        <f>SUM(вода!EL147+вода!EL148+вода!EL149+вода!EL150+вода!EL151+вода!EL152+вода!EL154-'цех вода 2023'!BO18-'ОХР '!FS17-'ОХР '!FS21-'Аренда земли'!AL9)</f>
        <v>145742.67247000002</v>
      </c>
    </row>
    <row r="14" spans="1:78" s="2732" customFormat="1" ht="62.25" customHeight="1" x14ac:dyDescent="0.25">
      <c r="A14" s="3453" t="s">
        <v>904</v>
      </c>
      <c r="B14" s="3455" t="s">
        <v>905</v>
      </c>
      <c r="C14" s="3453" t="s">
        <v>899</v>
      </c>
      <c r="D14" s="3453">
        <v>14266.2</v>
      </c>
      <c r="E14" s="3456">
        <v>13450.94</v>
      </c>
      <c r="F14" s="3451">
        <f>вода!BE144+'цех вода 2023'!AG18+'ОХР '!AP21+'ОХР '!AP17</f>
        <v>13383.894959795218</v>
      </c>
      <c r="G14" s="3451">
        <v>14650.72</v>
      </c>
      <c r="H14" s="3451">
        <f>'2018 к смета'!C10</f>
        <v>11949.702441618929</v>
      </c>
      <c r="I14" s="3451">
        <f>'электр 2017-2018'!BP51+'цех вода 2023'!AG18*1.06+'ОХР '!AP17*1.025+'ОХР '!AP21*1.066</f>
        <v>13888.068267519839</v>
      </c>
      <c r="J14" s="3451">
        <v>14515.88</v>
      </c>
      <c r="K14" s="3451">
        <f>'2017 к смета'!C4</f>
        <v>13108.636264262597</v>
      </c>
      <c r="L14" s="3451">
        <v>16266.87</v>
      </c>
      <c r="M14" s="3451">
        <f>'ЭЭ вода'!J49</f>
        <v>8668.4926037400128</v>
      </c>
      <c r="N14" s="3451">
        <f>'электр 2017-2018'!BV51+'цех вода 2023'!AG18*1.06*1.051+'ОХР '!AP17*1.025*1.03+'ОХР '!AP21*1.066*1.067</f>
        <v>14746.787693362201</v>
      </c>
      <c r="O14" s="3451">
        <v>13964.95</v>
      </c>
      <c r="P14" s="3451">
        <f>'2018 к смета'!I10</f>
        <v>13543.132730850208</v>
      </c>
      <c r="Q14" s="3451">
        <f>вода!BQ144+вода!BQ145</f>
        <v>11013.124</v>
      </c>
      <c r="R14" s="3451">
        <v>16967.41</v>
      </c>
      <c r="S14" s="3451">
        <v>18046.52</v>
      </c>
      <c r="T14" s="3451">
        <v>19195.810000000001</v>
      </c>
      <c r="U14" s="3451">
        <v>20419.91</v>
      </c>
      <c r="V14" s="3451">
        <v>21723.79</v>
      </c>
      <c r="W14" s="3451"/>
      <c r="X14" s="3451">
        <f>вода!BW144+вода!BW145</f>
        <v>13640.899384903289</v>
      </c>
      <c r="Y14" s="3451">
        <f t="shared" ref="Y14:Y15" si="29">X14/P14*100</f>
        <v>100.72189098339395</v>
      </c>
      <c r="Z14" s="3451">
        <f>'ЭЭ вода'!U49+'Тепловая энергия (3 подъем)'!I10</f>
        <v>14213.817159069227</v>
      </c>
      <c r="AA14" s="3451">
        <f>'ЭЭ вода'!V49+'Тепловая энергия (3 подъем)'!J10</f>
        <v>14782.369845431995</v>
      </c>
      <c r="AB14" s="3451">
        <f>'ЭЭ вода'!W49+'Тепловая энергия (3 подъем)'!K10</f>
        <v>15373.664639249277</v>
      </c>
      <c r="AC14" s="3451">
        <f>'ЭЭ вода'!X49+'Тепловая энергия (3 подъем)'!L10</f>
        <v>15973.237560179998</v>
      </c>
      <c r="AD14" s="3451">
        <f>'ЭЭ вода'!Y49+'Тепловая энергия (3 подъем)'!M10</f>
        <v>16596.193825027018</v>
      </c>
      <c r="AE14" s="3451">
        <f>вода!BZ144+вода!BZ145</f>
        <v>14240.483205953551</v>
      </c>
      <c r="AF14" s="3451">
        <f t="shared" si="9"/>
        <v>104.39548598763095</v>
      </c>
      <c r="AG14" s="3446"/>
      <c r="AH14" s="3446"/>
      <c r="AI14" s="3446"/>
      <c r="AJ14" s="3446"/>
      <c r="AK14" s="3446"/>
      <c r="AL14" s="3446"/>
      <c r="AM14" s="3446"/>
      <c r="AN14" s="3446"/>
      <c r="AO14" s="3446"/>
      <c r="AP14" s="3446"/>
      <c r="AQ14" s="3446"/>
      <c r="AR14" s="3446"/>
      <c r="AS14" s="3446"/>
      <c r="AT14" s="3446"/>
      <c r="AU14" s="3446"/>
      <c r="AV14" s="3446"/>
      <c r="AW14" s="3446"/>
      <c r="AX14" s="3451">
        <f>вода!CG144+вода!CG145</f>
        <v>13549.633074173169</v>
      </c>
      <c r="AY14" s="3451">
        <f t="shared" si="11"/>
        <v>99.330936266335002</v>
      </c>
      <c r="AZ14" s="3451">
        <f>вода!CJ144+'ОХР '!CC21+'цех вода 2023'!AY18+'ОХР '!CC17</f>
        <v>8152.0592999999999</v>
      </c>
      <c r="BA14" s="3451">
        <f>вода!CM144+'ОХР '!CJ21+'цех вода 2023'!AZ18+'ОХР '!CJ17</f>
        <v>11833.197039999997</v>
      </c>
      <c r="BB14" s="3451">
        <f>вода!CP144+'ОХР '!CQ21+'цех вода 2023'!BA18+'ОХР '!CQ17</f>
        <v>16589.37</v>
      </c>
      <c r="BC14" s="3451">
        <f>вода!CS144+'ОХР '!CX21+'цех вода 2023'!BB18+'ОХР '!CX17</f>
        <v>19521.388914557312</v>
      </c>
      <c r="BD14" s="3451">
        <f>BC14/AX14*100</f>
        <v>144.07319229748629</v>
      </c>
      <c r="BE14" s="3451">
        <f>SUM(вода!CV185)</f>
        <v>12565.575762321121</v>
      </c>
      <c r="BF14" s="3451">
        <f t="shared" si="16"/>
        <v>92.737387747216928</v>
      </c>
      <c r="BG14" s="3451">
        <f>вода!CY144+'ОХР '!DG21+'цех вода 2023'!BD18+'ОХР '!DG17</f>
        <v>8242.6339599999992</v>
      </c>
      <c r="BH14" s="3451">
        <f>вода!DB144+'ОХР '!DN21+'цех вода 2023'!BE18+'ОХР '!DN17</f>
        <v>11021.270900000001</v>
      </c>
      <c r="BI14" s="3451">
        <f>вода!DE144+'ОХР '!DU21+'цех вода 2023'!BF18+'ОХР '!DU17</f>
        <v>15157.699999999999</v>
      </c>
      <c r="BJ14" s="3451">
        <f>вода!DH144+'ОХР '!EB21+'цех вода 2023'!BG18+'ОХР '!EB17</f>
        <v>17011.978449211052</v>
      </c>
      <c r="BK14" s="3451">
        <f>BJ14/BE14*100</f>
        <v>135.38558655006341</v>
      </c>
      <c r="BL14" s="3451">
        <f>SUM(вода!DK185)</f>
        <v>12686.905574205315</v>
      </c>
      <c r="BM14" s="3451">
        <f t="shared" si="19"/>
        <v>100.96557304001948</v>
      </c>
      <c r="BN14" s="3811">
        <f>вода!DN144+'ОХР '!EL21+'цех вода 2023'!BI18+'ОХР '!EL17</f>
        <v>7541.9630799999995</v>
      </c>
      <c r="BO14" s="3811">
        <f>вода!DQ144+'ОХР '!ES21+'цех вода 2023'!BJ18+'ОХР '!ES17</f>
        <v>10356.314499999999</v>
      </c>
      <c r="BP14" s="3451">
        <f>вода!DT144+'ОХР '!EZ21+'цех вода 2023'!BK18+'ОХР '!EZ17</f>
        <v>14611.277999999998</v>
      </c>
      <c r="BQ14" s="3512">
        <f>вода!DW144+'ОХР '!FG21+'цех вода 2023'!BL18+'ОХР '!FG17</f>
        <v>16566.451847755194</v>
      </c>
      <c r="BR14" s="3512">
        <f>BQ14/BL14*100</f>
        <v>130.57913729126881</v>
      </c>
      <c r="BS14" s="4037">
        <f>SUM(вода!DR185)</f>
        <v>0.49408000000000002</v>
      </c>
      <c r="BT14" s="4037">
        <f t="shared" si="22"/>
        <v>3.8944090590896374E-3</v>
      </c>
      <c r="BU14" s="3512">
        <f>вода!EC144+'ОХР '!FG21+'цех вода 2023'!BL18+'ОХР '!FG17</f>
        <v>16566.451847755194</v>
      </c>
      <c r="BV14" s="4295">
        <f t="shared" si="24"/>
        <v>130.57913729126881</v>
      </c>
      <c r="BW14" s="3512">
        <f>SUM(вода!EE144+вода!EF47)</f>
        <v>13853.427927142844</v>
      </c>
      <c r="BX14" s="3512">
        <f t="shared" si="26"/>
        <v>109.19469563412902</v>
      </c>
      <c r="BY14" s="4838">
        <f>вода!EI144+вода!EI145+'ОХР '!FO21+'цех вода 2023'!BN18+'ОХР '!FO17</f>
        <v>7819.5986711800006</v>
      </c>
      <c r="BZ14" s="4838">
        <f>вода!EL144+вода!EL145+'ОХР '!FS21+'цех вода 2023'!BO18+'ОХР '!FS17</f>
        <v>14984.278893139999</v>
      </c>
    </row>
    <row r="15" spans="1:78" s="2732" customFormat="1" ht="27" customHeight="1" x14ac:dyDescent="0.25">
      <c r="A15" s="3453" t="s">
        <v>906</v>
      </c>
      <c r="B15" s="3455" t="s">
        <v>907</v>
      </c>
      <c r="C15" s="3453" t="s">
        <v>899</v>
      </c>
      <c r="D15" s="3451">
        <f>D16+D17+D18+D19+D23</f>
        <v>4790.38</v>
      </c>
      <c r="E15" s="3452">
        <f>E16+E17+E18+E19+E23</f>
        <v>4115.58</v>
      </c>
      <c r="F15" s="3451">
        <f>F16+F17+F18+F19+F23</f>
        <v>5532.9189312661874</v>
      </c>
      <c r="G15" s="3451">
        <f>G16+G17+G18+G19+G23</f>
        <v>4217.3599999999997</v>
      </c>
      <c r="H15" s="3451">
        <f>H16+H17+H18+H19+H23</f>
        <v>3419.2755031133252</v>
      </c>
      <c r="I15" s="3451">
        <f t="shared" ref="I15:AD15" si="30">I16+I17+I18+I19+I23</f>
        <v>3935.4848186918089</v>
      </c>
      <c r="J15" s="3451">
        <f t="shared" si="30"/>
        <v>8055.46</v>
      </c>
      <c r="K15" s="3451">
        <f t="shared" si="30"/>
        <v>6499.9375187041169</v>
      </c>
      <c r="L15" s="3451">
        <f t="shared" si="30"/>
        <v>7748.1842800000004</v>
      </c>
      <c r="M15" s="3451">
        <f t="shared" si="30"/>
        <v>3950.5979869907842</v>
      </c>
      <c r="N15" s="3451">
        <f t="shared" si="30"/>
        <v>4209.4759638952746</v>
      </c>
      <c r="O15" s="3451">
        <f>O16+O17+O18+O19+O23</f>
        <v>9030.49</v>
      </c>
      <c r="P15" s="3451">
        <f t="shared" si="30"/>
        <v>4203.5540822231906</v>
      </c>
      <c r="Q15" s="3451">
        <f t="shared" ref="Q15" si="31">Q16+Q17+Q18+Q19+Q23</f>
        <v>4844.66</v>
      </c>
      <c r="R15" s="3451">
        <f t="shared" si="30"/>
        <v>4808.93</v>
      </c>
      <c r="S15" s="3451">
        <f t="shared" si="30"/>
        <v>7565.3099999999995</v>
      </c>
      <c r="T15" s="3451">
        <f t="shared" si="30"/>
        <v>7626.67</v>
      </c>
      <c r="U15" s="3451">
        <f t="shared" si="30"/>
        <v>7670.58</v>
      </c>
      <c r="V15" s="3451">
        <f t="shared" si="30"/>
        <v>7715.5500000000011</v>
      </c>
      <c r="W15" s="3451">
        <f t="shared" si="30"/>
        <v>0</v>
      </c>
      <c r="X15" s="3451">
        <f t="shared" si="30"/>
        <v>7036.1586689121004</v>
      </c>
      <c r="Y15" s="3451">
        <f t="shared" si="29"/>
        <v>167.38594368674785</v>
      </c>
      <c r="Z15" s="3451">
        <f t="shared" si="30"/>
        <v>7158.0832486213121</v>
      </c>
      <c r="AA15" s="3451">
        <f t="shared" si="30"/>
        <v>7272.5870171842435</v>
      </c>
      <c r="AB15" s="3451">
        <f t="shared" si="30"/>
        <v>7400.6981824433287</v>
      </c>
      <c r="AC15" s="3451">
        <f t="shared" si="30"/>
        <v>7587.2186699907925</v>
      </c>
      <c r="AD15" s="3451">
        <f t="shared" si="30"/>
        <v>7842.9348173338822</v>
      </c>
      <c r="AE15" s="3451">
        <f t="shared" ref="AE15" si="32">AE16+AE17+AE18+AE19+AE23</f>
        <v>8489.2384369562533</v>
      </c>
      <c r="AF15" s="3451">
        <f t="shared" si="9"/>
        <v>120.65160603134639</v>
      </c>
      <c r="AG15" s="3446"/>
      <c r="AH15" s="3446"/>
      <c r="AI15" s="3446"/>
      <c r="AJ15" s="3446"/>
      <c r="AK15" s="3446"/>
      <c r="AL15" s="3446"/>
      <c r="AM15" s="3446"/>
      <c r="AN15" s="3446"/>
      <c r="AO15" s="3446"/>
      <c r="AP15" s="3446"/>
      <c r="AQ15" s="3446"/>
      <c r="AR15" s="3446"/>
      <c r="AS15" s="3446"/>
      <c r="AT15" s="3446"/>
      <c r="AU15" s="3446"/>
      <c r="AV15" s="3446"/>
      <c r="AW15" s="3446"/>
      <c r="AX15" s="3451">
        <f t="shared" ref="AX15" si="33">AX16+AX17+AX18+AX19+AX23</f>
        <v>6876.2371893878162</v>
      </c>
      <c r="AY15" s="3451">
        <f t="shared" si="11"/>
        <v>97.727147907694771</v>
      </c>
      <c r="AZ15" s="3451">
        <f t="shared" ref="AZ15:BA15" si="34">AZ16+AZ17+AZ18+AZ19+AZ23</f>
        <v>3221.8297084999999</v>
      </c>
      <c r="BA15" s="3451">
        <f t="shared" si="34"/>
        <v>4833.2462931699993</v>
      </c>
      <c r="BB15" s="3451">
        <f t="shared" ref="BB15" si="35">BB16+BB17+BB18+BB19+BB23</f>
        <v>6443.8309378799995</v>
      </c>
      <c r="BC15" s="3451">
        <f t="shared" ref="BC15" si="36">BC16+BC17+BC18+BC19+BC23</f>
        <v>8273.6003880603639</v>
      </c>
      <c r="BD15" s="3451">
        <f>BC15/AX15*100</f>
        <v>120.32162591524789</v>
      </c>
      <c r="BE15" s="3451">
        <f t="shared" ref="BE15" si="37">BE16+BE17+BE18+BE19+BE23</f>
        <v>5156.4193009999999</v>
      </c>
      <c r="BF15" s="3451">
        <f t="shared" si="16"/>
        <v>74.988967933770041</v>
      </c>
      <c r="BG15" s="3451">
        <f t="shared" ref="BG15:BI15" si="38">BG16+BG17+BG18+BG19+BG23</f>
        <v>2602.7322300000001</v>
      </c>
      <c r="BH15" s="3451">
        <f t="shared" si="38"/>
        <v>4325.8557510000001</v>
      </c>
      <c r="BI15" s="3451">
        <f t="shared" si="38"/>
        <v>8983.4084599999987</v>
      </c>
      <c r="BJ15" s="3451">
        <f>BJ16+BJ17+BJ18+BJ19+BJ23+BJ24</f>
        <v>7120.3449189603662</v>
      </c>
      <c r="BK15" s="3451">
        <f>BJ15/BE15*100</f>
        <v>138.08700385516545</v>
      </c>
      <c r="BL15" s="3451">
        <f>BL16+BL17+BL18+BL19+BL23+BL24</f>
        <v>6694.0320733399603</v>
      </c>
      <c r="BM15" s="3451">
        <f t="shared" si="19"/>
        <v>129.8193898242869</v>
      </c>
      <c r="BN15" s="3811">
        <f t="shared" ref="BN15:BP15" si="39">BN16+BN17+BN18+BN19+BN23</f>
        <v>2727.1231422747096</v>
      </c>
      <c r="BO15" s="3811">
        <f t="shared" si="39"/>
        <v>4186.0589826036057</v>
      </c>
      <c r="BP15" s="3451">
        <f t="shared" si="39"/>
        <v>11254.604562639195</v>
      </c>
      <c r="BQ15" s="3512">
        <f>BQ16+BQ17+BQ18+BQ19+BQ23+BQ24+BQ26+BQ30+BQ25+BQ27+BQ28+BQ29</f>
        <v>38254.713226113265</v>
      </c>
      <c r="BR15" s="3512">
        <f>BQ15/BL15*100</f>
        <v>571.47490192747512</v>
      </c>
      <c r="BS15" s="4037">
        <f>BS16+BS17+BS18+BS19+BS23+BS24</f>
        <v>0</v>
      </c>
      <c r="BT15" s="4037">
        <f t="shared" si="22"/>
        <v>0</v>
      </c>
      <c r="BU15" s="3512">
        <f>BU16+BU17+BU18+BU19+BU23+BU24+BU26+BU30+BU25+BU27+BU28+BU29+BU22</f>
        <v>51173.047572226169</v>
      </c>
      <c r="BV15" s="3512">
        <f t="shared" si="24"/>
        <v>764.45775896459941</v>
      </c>
      <c r="BW15" s="3512">
        <f>BW16+BW17+BW18+BW19+BW23+BW24</f>
        <v>6802.2144322677304</v>
      </c>
      <c r="BX15" s="3512">
        <f t="shared" si="26"/>
        <v>101.61610159232166</v>
      </c>
      <c r="BY15" s="4838">
        <f t="shared" ref="BY15:BZ15" si="40">BY16+BY17+BY18+BY19+BY23</f>
        <v>74.80386</v>
      </c>
      <c r="BZ15" s="4838">
        <f t="shared" si="40"/>
        <v>143.67680000000001</v>
      </c>
    </row>
    <row r="16" spans="1:78" s="2733" customFormat="1" ht="61.5" customHeight="1" x14ac:dyDescent="0.2">
      <c r="A16" s="3457" t="s">
        <v>908</v>
      </c>
      <c r="B16" s="3458" t="s">
        <v>909</v>
      </c>
      <c r="C16" s="3457" t="s">
        <v>899</v>
      </c>
      <c r="D16" s="3457">
        <v>26.21</v>
      </c>
      <c r="E16" s="3459">
        <v>0</v>
      </c>
      <c r="F16" s="3460">
        <f>'цех вода 2023'!AG24</f>
        <v>27.1</v>
      </c>
      <c r="G16" s="3460">
        <v>0</v>
      </c>
      <c r="H16" s="3460">
        <f>'2018 к смета'!C18</f>
        <v>0</v>
      </c>
      <c r="I16" s="3460">
        <v>28.803999999999998</v>
      </c>
      <c r="J16" s="3460">
        <v>29.81</v>
      </c>
      <c r="K16" s="3460">
        <f>'[45]корректировка 2017'!$F$9</f>
        <v>28.83214873684431</v>
      </c>
      <c r="L16" s="3460">
        <v>0</v>
      </c>
      <c r="M16" s="3460">
        <v>0</v>
      </c>
      <c r="N16" s="3460">
        <v>30.17</v>
      </c>
      <c r="O16" s="3460">
        <v>30.84</v>
      </c>
      <c r="P16" s="3460">
        <f>'2018 к смета'!I18</f>
        <v>47.513196494407865</v>
      </c>
      <c r="Q16" s="3460">
        <f>вода!BQ158</f>
        <v>0</v>
      </c>
      <c r="R16" s="3460">
        <v>48.94</v>
      </c>
      <c r="S16" s="3460">
        <v>50.4</v>
      </c>
      <c r="T16" s="3460">
        <v>51.92</v>
      </c>
      <c r="U16" s="3460">
        <v>53.47</v>
      </c>
      <c r="V16" s="3460">
        <v>55.08</v>
      </c>
      <c r="W16" s="3460"/>
      <c r="X16" s="3460">
        <f>вода!BW158</f>
        <v>30.794479507533907</v>
      </c>
      <c r="Y16" s="3460">
        <f>X16/P16*100</f>
        <v>64.812476910826888</v>
      </c>
      <c r="Z16" s="3460">
        <f>'[44]индексация вода'!$T$32</f>
        <v>31.883869298736101</v>
      </c>
      <c r="AA16" s="3460">
        <f>'[44]индексация вода'!$U$32</f>
        <v>32.634882372052552</v>
      </c>
      <c r="AB16" s="3460">
        <f>'[44]индексация вода'!$V$32</f>
        <v>33.596672247871709</v>
      </c>
      <c r="AC16" s="3460">
        <f>'[44]индексация вода'!$W$32</f>
        <v>34.586931104015108</v>
      </c>
      <c r="AD16" s="3460">
        <f>'[44]индексация вода'!$X$32</f>
        <v>35.60650162230035</v>
      </c>
      <c r="AE16" s="3460">
        <f>вода!BZ158</f>
        <v>0</v>
      </c>
      <c r="AF16" s="3451">
        <f t="shared" si="9"/>
        <v>0</v>
      </c>
      <c r="AG16" s="3461"/>
      <c r="AH16" s="3461"/>
      <c r="AI16" s="3461"/>
      <c r="AJ16" s="3461"/>
      <c r="AK16" s="3461"/>
      <c r="AL16" s="3461"/>
      <c r="AM16" s="3461"/>
      <c r="AN16" s="3461"/>
      <c r="AO16" s="3461"/>
      <c r="AP16" s="3461"/>
      <c r="AQ16" s="3461"/>
      <c r="AR16" s="3461"/>
      <c r="AS16" s="3461"/>
      <c r="AT16" s="3461"/>
      <c r="AU16" s="3461"/>
      <c r="AV16" s="3461"/>
      <c r="AW16" s="3461"/>
      <c r="AX16" s="3460">
        <f>вода!CG158</f>
        <v>0</v>
      </c>
      <c r="AY16" s="3451">
        <f t="shared" si="11"/>
        <v>0</v>
      </c>
      <c r="AZ16" s="3460">
        <f>вода!CJ158</f>
        <v>0</v>
      </c>
      <c r="BA16" s="3460">
        <f>вода!CM158</f>
        <v>0</v>
      </c>
      <c r="BB16" s="3460">
        <f>вода!CP158</f>
        <v>0</v>
      </c>
      <c r="BC16" s="3460">
        <f>вода!CS158</f>
        <v>0</v>
      </c>
      <c r="BD16" s="3451">
        <v>0</v>
      </c>
      <c r="BE16" s="3460">
        <v>0</v>
      </c>
      <c r="BF16" s="3451" t="e">
        <f t="shared" si="16"/>
        <v>#DIV/0!</v>
      </c>
      <c r="BG16" s="3460">
        <f>вода!CY158</f>
        <v>0</v>
      </c>
      <c r="BH16" s="3460">
        <f>вода!DB158</f>
        <v>0</v>
      </c>
      <c r="BI16" s="3460">
        <f>вода!DE158</f>
        <v>0</v>
      </c>
      <c r="BJ16" s="3460">
        <f>вода!DH158</f>
        <v>0</v>
      </c>
      <c r="BK16" s="3451">
        <v>0</v>
      </c>
      <c r="BL16" s="3460">
        <v>0</v>
      </c>
      <c r="BM16" s="3451" t="e">
        <f t="shared" si="19"/>
        <v>#DIV/0!</v>
      </c>
      <c r="BN16" s="3812">
        <f>вода!DN158</f>
        <v>0</v>
      </c>
      <c r="BO16" s="3812">
        <f>вода!DQ158</f>
        <v>0</v>
      </c>
      <c r="BP16" s="3460">
        <f>вода!DT158</f>
        <v>0</v>
      </c>
      <c r="BQ16" s="3513">
        <f>вода!DW158</f>
        <v>0</v>
      </c>
      <c r="BR16" s="3512">
        <v>0</v>
      </c>
      <c r="BS16" s="4038">
        <v>0</v>
      </c>
      <c r="BT16" s="4037" t="e">
        <f t="shared" si="22"/>
        <v>#DIV/0!</v>
      </c>
      <c r="BU16" s="3513">
        <f>вода!EC158</f>
        <v>0</v>
      </c>
      <c r="BV16" s="3512"/>
      <c r="BW16" s="3513">
        <v>0</v>
      </c>
      <c r="BX16" s="3512"/>
      <c r="BY16" s="4839">
        <f>вода!EI158</f>
        <v>0</v>
      </c>
      <c r="BZ16" s="4839">
        <f>вода!EL158</f>
        <v>0</v>
      </c>
    </row>
    <row r="17" spans="1:78" s="2733" customFormat="1" ht="122.25" customHeight="1" x14ac:dyDescent="0.2">
      <c r="A17" s="3457" t="s">
        <v>910</v>
      </c>
      <c r="B17" s="3458" t="s">
        <v>911</v>
      </c>
      <c r="C17" s="3457" t="s">
        <v>899</v>
      </c>
      <c r="D17" s="3457">
        <v>3186.57</v>
      </c>
      <c r="E17" s="3459">
        <v>3990.44</v>
      </c>
      <c r="F17" s="3460">
        <v>3107.82</v>
      </c>
      <c r="G17" s="3460">
        <v>4089.2</v>
      </c>
      <c r="H17" s="3460">
        <f>'2018 к смета'!C19</f>
        <v>3291.1155031133253</v>
      </c>
      <c r="I17" s="3460">
        <v>3285.4940000000001</v>
      </c>
      <c r="J17" s="3460">
        <v>3611.01</v>
      </c>
      <c r="K17" s="3460">
        <f>'2017 к смета'!C13</f>
        <v>3603.16741482098</v>
      </c>
      <c r="L17" s="3460">
        <v>4234.54</v>
      </c>
      <c r="M17" s="3460">
        <f>НАЛОГИ!D14</f>
        <v>3397.2979869907845</v>
      </c>
      <c r="N17" s="3460">
        <f>вод.налог!P36+вода!BE54+вода!BE55+вода!BE56</f>
        <v>3511.7727326458821</v>
      </c>
      <c r="O17" s="3460">
        <v>3612.02</v>
      </c>
      <c r="P17" s="3460">
        <f>'2018 к смета'!I19</f>
        <v>3502.9312821041176</v>
      </c>
      <c r="Q17" s="3460">
        <f>вода!BQ153</f>
        <v>4716.59</v>
      </c>
      <c r="R17" s="3460">
        <v>4242.43</v>
      </c>
      <c r="S17" s="3460">
        <v>4324.1899999999996</v>
      </c>
      <c r="T17" s="3460">
        <v>4362.8599999999997</v>
      </c>
      <c r="U17" s="3460">
        <v>4382.58</v>
      </c>
      <c r="V17" s="3460">
        <v>4402.3100000000004</v>
      </c>
      <c r="W17" s="3460"/>
      <c r="X17" s="3460">
        <f>вода!BW153</f>
        <v>6646.6681943163603</v>
      </c>
      <c r="Y17" s="3460">
        <f t="shared" ref="Y17:Y21" si="41">X17/P17*100</f>
        <v>189.74589162719411</v>
      </c>
      <c r="Z17" s="3460">
        <f>НАЛОГИ!N14</f>
        <v>6755.3077204013716</v>
      </c>
      <c r="AA17" s="3460">
        <f>НАЛОГИ!O14</f>
        <v>6854.2248095341383</v>
      </c>
      <c r="AB17" s="3460">
        <f>НАЛОГИ!P14</f>
        <v>6965.945091906282</v>
      </c>
      <c r="AC17" s="3460">
        <f>НАЛОГИ!Q14</f>
        <v>7135.4290638660359</v>
      </c>
      <c r="AD17" s="3460">
        <f>НАЛОГИ!R14</f>
        <v>7373.4375336900102</v>
      </c>
      <c r="AE17" s="3460">
        <f>вода!BZ153</f>
        <v>8047.3436809562545</v>
      </c>
      <c r="AF17" s="3451">
        <f t="shared" si="9"/>
        <v>121.07334751323418</v>
      </c>
      <c r="AG17" s="3461"/>
      <c r="AH17" s="3461"/>
      <c r="AI17" s="3461"/>
      <c r="AJ17" s="3461"/>
      <c r="AK17" s="3461"/>
      <c r="AL17" s="3461"/>
      <c r="AM17" s="3461"/>
      <c r="AN17" s="3461"/>
      <c r="AO17" s="3461"/>
      <c r="AP17" s="3461"/>
      <c r="AQ17" s="3461"/>
      <c r="AR17" s="3461"/>
      <c r="AS17" s="3461"/>
      <c r="AT17" s="3461"/>
      <c r="AU17" s="3461"/>
      <c r="AV17" s="3461"/>
      <c r="AW17" s="3461"/>
      <c r="AX17" s="3460">
        <f>вода!CG153</f>
        <v>6443.3212990978163</v>
      </c>
      <c r="AY17" s="3451">
        <f t="shared" si="11"/>
        <v>96.940619130161664</v>
      </c>
      <c r="AZ17" s="3460">
        <f>вода!CJ153</f>
        <v>3177.0067785000001</v>
      </c>
      <c r="BA17" s="3460">
        <f>вода!CM153</f>
        <v>4766.0355731699992</v>
      </c>
      <c r="BB17" s="3460">
        <f>вода!CP153</f>
        <v>6354.3249378799992</v>
      </c>
      <c r="BC17" s="3460">
        <f>вода!CS153</f>
        <v>7774.0937539999995</v>
      </c>
      <c r="BD17" s="3451">
        <f>BC17/AX17*100</f>
        <v>120.65351692284096</v>
      </c>
      <c r="BE17" s="3460">
        <f>вода!CV153</f>
        <v>5070.1323199999997</v>
      </c>
      <c r="BF17" s="3451">
        <f t="shared" si="16"/>
        <v>78.688180903067988</v>
      </c>
      <c r="BG17" s="3460">
        <f>вода!CY153</f>
        <v>2537.2637800000002</v>
      </c>
      <c r="BH17" s="3460">
        <f>вода!DB153</f>
        <v>4227.7289609999998</v>
      </c>
      <c r="BI17" s="3460">
        <f>вода!DE153</f>
        <v>6132.2974599999998</v>
      </c>
      <c r="BJ17" s="3460">
        <f>вода!DH153</f>
        <v>6352.6427817766298</v>
      </c>
      <c r="BK17" s="3451">
        <f>BJ17/BE17*100</f>
        <v>125.29540415972082</v>
      </c>
      <c r="BL17" s="3460">
        <f>вода!DK153</f>
        <v>6025.5453875757521</v>
      </c>
      <c r="BM17" s="3451">
        <f t="shared" si="19"/>
        <v>118.84394740166766</v>
      </c>
      <c r="BN17" s="3812">
        <f>вода!DN153</f>
        <v>2668.8681422747095</v>
      </c>
      <c r="BO17" s="3812">
        <f>вода!DQ153</f>
        <v>4077.3522626036061</v>
      </c>
      <c r="BP17" s="3460">
        <f>вода!DT153</f>
        <v>8737.3537726391951</v>
      </c>
      <c r="BQ17" s="3513">
        <f>вода!DW153</f>
        <v>9150.4223362823741</v>
      </c>
      <c r="BR17" s="3512">
        <f>BQ17/BL17*100</f>
        <v>151.86048312157595</v>
      </c>
      <c r="BS17" s="4038">
        <f>вода!DR153</f>
        <v>0</v>
      </c>
      <c r="BT17" s="4037">
        <f t="shared" si="22"/>
        <v>0</v>
      </c>
      <c r="BU17" s="3513">
        <f>вода!EC153</f>
        <v>9150.4223362823741</v>
      </c>
      <c r="BV17" s="3512">
        <f t="shared" si="24"/>
        <v>151.86048312157595</v>
      </c>
      <c r="BW17" s="3513">
        <f>SUM(вода!EF52)</f>
        <v>6525.3322779997297</v>
      </c>
      <c r="BX17" s="3512">
        <f t="shared" si="26"/>
        <v>108.29446727684606</v>
      </c>
      <c r="BY17" s="4839">
        <f>вода!EI153</f>
        <v>0</v>
      </c>
      <c r="BZ17" s="4839">
        <f>вода!EL153</f>
        <v>0</v>
      </c>
    </row>
    <row r="18" spans="1:78" s="2733" customFormat="1" ht="39" customHeight="1" x14ac:dyDescent="0.2">
      <c r="A18" s="3457" t="s">
        <v>912</v>
      </c>
      <c r="B18" s="3458" t="s">
        <v>913</v>
      </c>
      <c r="C18" s="3457" t="s">
        <v>899</v>
      </c>
      <c r="D18" s="3457">
        <v>307.8</v>
      </c>
      <c r="E18" s="3459">
        <v>125.14</v>
      </c>
      <c r="F18" s="3460">
        <f>'цех вода 2023'!AG30+'цех вода 2023'!AG42</f>
        <v>216.27343999999999</v>
      </c>
      <c r="G18" s="3460">
        <v>128.16</v>
      </c>
      <c r="H18" s="3460">
        <f>'2018 к смета'!C20</f>
        <v>128.16</v>
      </c>
      <c r="I18" s="3460">
        <f>F18</f>
        <v>216.27343999999999</v>
      </c>
      <c r="J18" s="3460">
        <v>237.9</v>
      </c>
      <c r="K18" s="3460">
        <f>I18</f>
        <v>216.27343999999999</v>
      </c>
      <c r="L18" s="3460">
        <v>156.02000000000001</v>
      </c>
      <c r="M18" s="3460">
        <f>L18</f>
        <v>156.02000000000001</v>
      </c>
      <c r="N18" s="3460">
        <f>I18</f>
        <v>216.27343999999999</v>
      </c>
      <c r="O18" s="3460">
        <v>237.89</v>
      </c>
      <c r="P18" s="3460">
        <f>'2018 к смета'!I20</f>
        <v>216.27</v>
      </c>
      <c r="Q18" s="3460">
        <v>128.07</v>
      </c>
      <c r="R18" s="3460">
        <v>222.75</v>
      </c>
      <c r="S18" s="3460">
        <v>229.44</v>
      </c>
      <c r="T18" s="3460">
        <v>236.32</v>
      </c>
      <c r="U18" s="3460">
        <v>243.41</v>
      </c>
      <c r="V18" s="3460">
        <v>250.71</v>
      </c>
      <c r="W18" s="3460"/>
      <c r="X18" s="3460">
        <f>вода!BW60</f>
        <v>63.885995088205725</v>
      </c>
      <c r="Y18" s="3460">
        <f t="shared" si="41"/>
        <v>29.539924672032981</v>
      </c>
      <c r="Z18" s="3460">
        <f>'Аренда земли'!N9</f>
        <v>66.058118921204724</v>
      </c>
      <c r="AA18" s="3460">
        <f>'Аренда земли'!O9</f>
        <v>68.70044367805292</v>
      </c>
      <c r="AB18" s="3460">
        <f>'Аренда земли'!P9</f>
        <v>71.44846142517504</v>
      </c>
      <c r="AC18" s="3460">
        <f>'Аренда земли'!Q9</f>
        <v>74.306399882182049</v>
      </c>
      <c r="AD18" s="3460">
        <f>'Аренда земли'!R9</f>
        <v>77.278655877469333</v>
      </c>
      <c r="AE18" s="3460">
        <f>вода!BZ60</f>
        <v>147.084756</v>
      </c>
      <c r="AF18" s="3451">
        <f t="shared" si="9"/>
        <v>230.23004618919049</v>
      </c>
      <c r="AG18" s="3461"/>
      <c r="AH18" s="3461"/>
      <c r="AI18" s="3461"/>
      <c r="AJ18" s="3461"/>
      <c r="AK18" s="3461"/>
      <c r="AL18" s="3461"/>
      <c r="AM18" s="3461"/>
      <c r="AN18" s="3461"/>
      <c r="AO18" s="3461"/>
      <c r="AP18" s="3461"/>
      <c r="AQ18" s="3461"/>
      <c r="AR18" s="3461"/>
      <c r="AS18" s="3461"/>
      <c r="AT18" s="3461"/>
      <c r="AU18" s="3461"/>
      <c r="AV18" s="3461"/>
      <c r="AW18" s="3461"/>
      <c r="AX18" s="3460">
        <f>вода!CG60</f>
        <v>138.11089028999999</v>
      </c>
      <c r="AY18" s="3451">
        <f t="shared" si="11"/>
        <v>216.18335927821724</v>
      </c>
      <c r="AZ18" s="3460">
        <f>SUM('Аренда земли'!U9)</f>
        <v>44.822929999999999</v>
      </c>
      <c r="BA18" s="3460">
        <f>вода!CM60</f>
        <v>67.210719999999995</v>
      </c>
      <c r="BB18" s="3460">
        <f>вода!CP60</f>
        <v>89.506</v>
      </c>
      <c r="BC18" s="3460">
        <f>вода!CS60</f>
        <v>138.11089028999999</v>
      </c>
      <c r="BD18" s="3451">
        <f>BC18/AX18*100</f>
        <v>100</v>
      </c>
      <c r="BE18" s="3460">
        <f>вода!CV60</f>
        <v>86.286980999999997</v>
      </c>
      <c r="BF18" s="3451">
        <f t="shared" si="16"/>
        <v>62.476594581946351</v>
      </c>
      <c r="BG18" s="3460">
        <f>SUM('Аренда земли'!AA9)</f>
        <v>65.468450000000004</v>
      </c>
      <c r="BH18" s="3460">
        <f>SUM('Аренда земли'!AB9)</f>
        <v>98.12679</v>
      </c>
      <c r="BI18" s="3460">
        <f>SUM('Аренда земли'!AC9)</f>
        <v>130.78100000000001</v>
      </c>
      <c r="BJ18" s="3460">
        <f>вода!DH60</f>
        <v>137.32005000000001</v>
      </c>
      <c r="BK18" s="3451">
        <f>BJ18/BE18*100</f>
        <v>159.14341701212146</v>
      </c>
      <c r="BL18" s="3460">
        <f>вода!DK60</f>
        <v>115.26003174</v>
      </c>
      <c r="BM18" s="3451">
        <f t="shared" si="19"/>
        <v>133.57754600314502</v>
      </c>
      <c r="BN18" s="3812">
        <f>SUM('Аренда земли'!AF10)</f>
        <v>58.255000000000003</v>
      </c>
      <c r="BO18" s="3812">
        <f>SUM('Аренда земли'!AG9)</f>
        <v>108.70672</v>
      </c>
      <c r="BP18" s="3460">
        <f>SUM('Аренда земли'!AH9)</f>
        <v>145.34207000000001</v>
      </c>
      <c r="BQ18" s="3513">
        <f>вода!DW60</f>
        <v>111.3917805</v>
      </c>
      <c r="BR18" s="3512">
        <f>BQ18/BL18*100</f>
        <v>96.643891918470146</v>
      </c>
      <c r="BS18" s="4038">
        <f>вода!DR60</f>
        <v>0</v>
      </c>
      <c r="BT18" s="4037">
        <f t="shared" si="22"/>
        <v>0</v>
      </c>
      <c r="BU18" s="3513">
        <f>вода!EC60</f>
        <v>111.3917805</v>
      </c>
      <c r="BV18" s="3512">
        <f t="shared" si="24"/>
        <v>96.643891918470146</v>
      </c>
      <c r="BW18" s="3513">
        <f>SUM(вода!EF60)+0.001154268</f>
        <v>89.041154268</v>
      </c>
      <c r="BX18" s="3512">
        <f t="shared" si="26"/>
        <v>77.252411719663812</v>
      </c>
      <c r="BY18" s="4839">
        <f>SUM('Аренда земли'!AK9)</f>
        <v>74.80386</v>
      </c>
      <c r="BZ18" s="4839">
        <f>SUM('Аренда земли'!AL9)</f>
        <v>143.67680000000001</v>
      </c>
    </row>
    <row r="19" spans="1:78" s="2733" customFormat="1" ht="61.5" customHeight="1" x14ac:dyDescent="0.2">
      <c r="A19" s="3457" t="s">
        <v>914</v>
      </c>
      <c r="B19" s="3458" t="s">
        <v>915</v>
      </c>
      <c r="C19" s="3457" t="s">
        <v>899</v>
      </c>
      <c r="D19" s="3457">
        <v>0</v>
      </c>
      <c r="E19" s="3459">
        <v>0</v>
      </c>
      <c r="F19" s="3460">
        <f>вода!BE155</f>
        <v>395.92549126618718</v>
      </c>
      <c r="G19" s="3460">
        <v>0</v>
      </c>
      <c r="H19" s="3460">
        <f>'2018 к смета'!C21</f>
        <v>0</v>
      </c>
      <c r="I19" s="3460">
        <f>'Резерв ДЗ'!F17</f>
        <v>404.91337869180882</v>
      </c>
      <c r="J19" s="3460">
        <v>404.91</v>
      </c>
      <c r="K19" s="3460">
        <v>397.28</v>
      </c>
      <c r="L19" s="3460">
        <v>3357.62428</v>
      </c>
      <c r="M19" s="3460">
        <v>397.28</v>
      </c>
      <c r="N19" s="3460">
        <f>'Резерв ДЗ'!F27</f>
        <v>451.25979124939289</v>
      </c>
      <c r="O19" s="3460">
        <v>444.99</v>
      </c>
      <c r="P19" s="3460">
        <f>'рез к 2017'!G38</f>
        <v>436.83960362466541</v>
      </c>
      <c r="Q19" s="3460">
        <f>вода!BQ62</f>
        <v>0</v>
      </c>
      <c r="R19" s="3460">
        <v>294.81</v>
      </c>
      <c r="S19" s="3460">
        <v>296.76</v>
      </c>
      <c r="T19" s="3460">
        <v>311.05</v>
      </c>
      <c r="U19" s="3460">
        <v>326.60000000000002</v>
      </c>
      <c r="V19" s="3460">
        <v>342.93</v>
      </c>
      <c r="W19" s="3460"/>
      <c r="X19" s="3460">
        <f>вода!BW62</f>
        <v>294.81</v>
      </c>
      <c r="Y19" s="3460">
        <f t="shared" si="41"/>
        <v>67.487012980009496</v>
      </c>
      <c r="Z19" s="3460">
        <f>X19*1.034</f>
        <v>304.83354000000003</v>
      </c>
      <c r="AA19" s="3460">
        <f>Z19*1.04</f>
        <v>317.02688160000002</v>
      </c>
      <c r="AB19" s="3460">
        <f t="shared" ref="AB19:AD19" si="42">AA19*1.04</f>
        <v>329.70795686400004</v>
      </c>
      <c r="AC19" s="3460">
        <f t="shared" si="42"/>
        <v>342.89627513856004</v>
      </c>
      <c r="AD19" s="3460">
        <f t="shared" si="42"/>
        <v>356.61212614410243</v>
      </c>
      <c r="AE19" s="3460">
        <f>вода!BZ62</f>
        <v>294.81</v>
      </c>
      <c r="AF19" s="3451">
        <f t="shared" si="9"/>
        <v>100</v>
      </c>
      <c r="AG19" s="3461"/>
      <c r="AH19" s="3461"/>
      <c r="AI19" s="3461"/>
      <c r="AJ19" s="3461"/>
      <c r="AK19" s="3461"/>
      <c r="AL19" s="3461"/>
      <c r="AM19" s="3461"/>
      <c r="AN19" s="3461"/>
      <c r="AO19" s="3461"/>
      <c r="AP19" s="3461"/>
      <c r="AQ19" s="3461"/>
      <c r="AR19" s="3461"/>
      <c r="AS19" s="3461"/>
      <c r="AT19" s="3461"/>
      <c r="AU19" s="3461"/>
      <c r="AV19" s="3461"/>
      <c r="AW19" s="3461"/>
      <c r="AX19" s="3460">
        <f>вода!CG62</f>
        <v>294.80500000000001</v>
      </c>
      <c r="AY19" s="3451">
        <f t="shared" si="11"/>
        <v>99.998303992401887</v>
      </c>
      <c r="AZ19" s="3460">
        <f>вода!CJ62</f>
        <v>0</v>
      </c>
      <c r="BA19" s="3460">
        <f>вода!CM62</f>
        <v>0</v>
      </c>
      <c r="BB19" s="3460">
        <f>вода!CP62</f>
        <v>0</v>
      </c>
      <c r="BC19" s="3460">
        <f>вода!CS62</f>
        <v>361.3957437703653</v>
      </c>
      <c r="BD19" s="3451">
        <f>BC19/AX19*100</f>
        <v>122.5880645750124</v>
      </c>
      <c r="BE19" s="3460">
        <f>вода!CV62</f>
        <v>0</v>
      </c>
      <c r="BF19" s="3451">
        <f t="shared" si="16"/>
        <v>0</v>
      </c>
      <c r="BG19" s="3460">
        <f>вода!CY62</f>
        <v>0</v>
      </c>
      <c r="BH19" s="3460">
        <f>вода!DB62</f>
        <v>0</v>
      </c>
      <c r="BI19" s="3460">
        <f>вода!DE62</f>
        <v>2720.33</v>
      </c>
      <c r="BJ19" s="3460">
        <f>вода!DH62</f>
        <v>372.81463449789953</v>
      </c>
      <c r="BK19" s="3451" t="e">
        <f>BJ19/BE19*100</f>
        <v>#DIV/0!</v>
      </c>
      <c r="BL19" s="3460">
        <f>вода!DK62</f>
        <v>372.81463449789953</v>
      </c>
      <c r="BM19" s="3451" t="e">
        <f t="shared" si="19"/>
        <v>#DIV/0!</v>
      </c>
      <c r="BN19" s="3812">
        <f>вода!DN62</f>
        <v>0</v>
      </c>
      <c r="BO19" s="3812">
        <f>вода!DQ62</f>
        <v>0</v>
      </c>
      <c r="BP19" s="3460">
        <f>вода!DT62</f>
        <v>2371.9087199999999</v>
      </c>
      <c r="BQ19" s="3513">
        <f>вода!DW62</f>
        <v>387.72721987781551</v>
      </c>
      <c r="BR19" s="3512">
        <f>BQ19/BL19*100</f>
        <v>104</v>
      </c>
      <c r="BS19" s="4038">
        <f>вода!DR62</f>
        <v>0</v>
      </c>
      <c r="BT19" s="4037">
        <f t="shared" si="22"/>
        <v>0</v>
      </c>
      <c r="BU19" s="3513">
        <f>вода!EC62</f>
        <v>387.72721987781551</v>
      </c>
      <c r="BV19" s="3512">
        <f t="shared" si="24"/>
        <v>104</v>
      </c>
      <c r="BW19" s="3513">
        <f>вода!EF62</f>
        <v>0</v>
      </c>
      <c r="BX19" s="3512">
        <f t="shared" si="26"/>
        <v>0</v>
      </c>
      <c r="BY19" s="4839">
        <f>вода!EI62</f>
        <v>0</v>
      </c>
      <c r="BZ19" s="4839">
        <f>вода!EL62</f>
        <v>0</v>
      </c>
    </row>
    <row r="20" spans="1:78" s="2733" customFormat="1" ht="17.25" hidden="1" customHeight="1" x14ac:dyDescent="0.2">
      <c r="A20" s="3457" t="s">
        <v>916</v>
      </c>
      <c r="B20" s="3458" t="s">
        <v>917</v>
      </c>
      <c r="C20" s="3457" t="s">
        <v>899</v>
      </c>
      <c r="D20" s="3457">
        <v>0</v>
      </c>
      <c r="E20" s="3459">
        <v>0</v>
      </c>
      <c r="F20" s="3460">
        <v>0</v>
      </c>
      <c r="G20" s="3460">
        <v>0</v>
      </c>
      <c r="H20" s="3460">
        <f>'2018 к смета'!C22</f>
        <v>0</v>
      </c>
      <c r="I20" s="3460">
        <v>0</v>
      </c>
      <c r="J20" s="3460">
        <v>0</v>
      </c>
      <c r="K20" s="3460">
        <v>0</v>
      </c>
      <c r="L20" s="3460">
        <v>0</v>
      </c>
      <c r="M20" s="3460">
        <v>0</v>
      </c>
      <c r="N20" s="3460">
        <v>0</v>
      </c>
      <c r="O20" s="3460">
        <v>0</v>
      </c>
      <c r="P20" s="3460">
        <f>'2018 к смета'!I22</f>
        <v>0</v>
      </c>
      <c r="Q20" s="3460">
        <v>0</v>
      </c>
      <c r="R20" s="3460">
        <f>'2018 к смета'!J22</f>
        <v>0</v>
      </c>
      <c r="S20" s="3460">
        <f>'2018 к смета'!K22</f>
        <v>0</v>
      </c>
      <c r="T20" s="3460">
        <f>'2018 к смета'!L22</f>
        <v>0</v>
      </c>
      <c r="U20" s="3460">
        <f>'2018 к смета'!M22</f>
        <v>0</v>
      </c>
      <c r="V20" s="3460">
        <f>'2018 к смета'!N22</f>
        <v>0</v>
      </c>
      <c r="W20" s="3460">
        <f>'2018 к смета'!O22</f>
        <v>0</v>
      </c>
      <c r="X20" s="3460">
        <v>0</v>
      </c>
      <c r="Y20" s="3460" t="e">
        <f t="shared" si="41"/>
        <v>#DIV/0!</v>
      </c>
      <c r="Z20" s="3460"/>
      <c r="AA20" s="3460"/>
      <c r="AB20" s="3460"/>
      <c r="AC20" s="3460"/>
      <c r="AD20" s="3460"/>
      <c r="AE20" s="3460">
        <v>0</v>
      </c>
      <c r="AF20" s="3451" t="e">
        <f t="shared" si="9"/>
        <v>#DIV/0!</v>
      </c>
      <c r="AG20" s="3461"/>
      <c r="AH20" s="3461"/>
      <c r="AI20" s="3461"/>
      <c r="AJ20" s="3461"/>
      <c r="AK20" s="3461"/>
      <c r="AL20" s="3461"/>
      <c r="AM20" s="3461"/>
      <c r="AN20" s="3461"/>
      <c r="AO20" s="3461"/>
      <c r="AP20" s="3461"/>
      <c r="AQ20" s="3461"/>
      <c r="AR20" s="3461"/>
      <c r="AS20" s="3461"/>
      <c r="AT20" s="3461"/>
      <c r="AU20" s="3461"/>
      <c r="AV20" s="3461"/>
      <c r="AW20" s="3461"/>
      <c r="AX20" s="3460">
        <v>0</v>
      </c>
      <c r="AY20" s="3451" t="e">
        <f t="shared" si="11"/>
        <v>#DIV/0!</v>
      </c>
      <c r="AZ20" s="3460">
        <v>0</v>
      </c>
      <c r="BA20" s="3460">
        <v>0</v>
      </c>
      <c r="BB20" s="3460">
        <v>0</v>
      </c>
      <c r="BC20" s="3460">
        <v>0</v>
      </c>
      <c r="BD20" s="3451" t="e">
        <f t="shared" ref="BD20:BD21" si="43">BC20/AV20*100</f>
        <v>#DIV/0!</v>
      </c>
      <c r="BE20" s="3460">
        <v>0</v>
      </c>
      <c r="BF20" s="3451" t="e">
        <f t="shared" si="16"/>
        <v>#DIV/0!</v>
      </c>
      <c r="BG20" s="3460">
        <v>0</v>
      </c>
      <c r="BH20" s="3460">
        <v>0</v>
      </c>
      <c r="BI20" s="3460">
        <v>0</v>
      </c>
      <c r="BJ20" s="3460">
        <v>0</v>
      </c>
      <c r="BK20" s="3451" t="e">
        <f t="shared" ref="BK20:BK21" si="44">BJ20/BC20*100</f>
        <v>#DIV/0!</v>
      </c>
      <c r="BL20" s="3460">
        <v>0</v>
      </c>
      <c r="BM20" s="3451" t="e">
        <f t="shared" si="19"/>
        <v>#DIV/0!</v>
      </c>
      <c r="BN20" s="3812">
        <v>0</v>
      </c>
      <c r="BO20" s="3513">
        <v>0</v>
      </c>
      <c r="BP20" s="3460">
        <v>0</v>
      </c>
      <c r="BQ20" s="3513">
        <v>0</v>
      </c>
      <c r="BR20" s="3512" t="e">
        <f t="shared" ref="BR20:BR21" si="45">BQ20/BJ20*100</f>
        <v>#DIV/0!</v>
      </c>
      <c r="BS20" s="4038">
        <v>0</v>
      </c>
      <c r="BT20" s="4037" t="e">
        <f t="shared" si="22"/>
        <v>#DIV/0!</v>
      </c>
      <c r="BU20" s="3513">
        <v>0</v>
      </c>
      <c r="BV20" s="3512" t="e">
        <f t="shared" si="24"/>
        <v>#DIV/0!</v>
      </c>
      <c r="BW20" s="3513">
        <v>0</v>
      </c>
      <c r="BX20" s="3512" t="e">
        <f t="shared" si="26"/>
        <v>#DIV/0!</v>
      </c>
      <c r="BY20" s="4839">
        <v>0</v>
      </c>
      <c r="BZ20" s="4839">
        <v>0</v>
      </c>
    </row>
    <row r="21" spans="1:78" s="2733" customFormat="1" ht="25.5" hidden="1" customHeight="1" x14ac:dyDescent="0.2">
      <c r="A21" s="3457" t="s">
        <v>918</v>
      </c>
      <c r="B21" s="3458" t="s">
        <v>919</v>
      </c>
      <c r="C21" s="3457" t="s">
        <v>899</v>
      </c>
      <c r="D21" s="3457">
        <v>0</v>
      </c>
      <c r="E21" s="3459">
        <v>0</v>
      </c>
      <c r="F21" s="3460">
        <v>0</v>
      </c>
      <c r="G21" s="3460">
        <v>0</v>
      </c>
      <c r="H21" s="3460">
        <f>'2018 к смета'!C23</f>
        <v>0</v>
      </c>
      <c r="I21" s="3460">
        <v>0</v>
      </c>
      <c r="J21" s="3460">
        <v>0</v>
      </c>
      <c r="K21" s="3460">
        <v>0</v>
      </c>
      <c r="L21" s="3460">
        <v>0</v>
      </c>
      <c r="M21" s="3460">
        <v>0</v>
      </c>
      <c r="N21" s="3460">
        <v>0</v>
      </c>
      <c r="O21" s="3460">
        <v>0</v>
      </c>
      <c r="P21" s="3460">
        <f>'2018 к смета'!I23</f>
        <v>0</v>
      </c>
      <c r="Q21" s="3460">
        <v>0</v>
      </c>
      <c r="R21" s="3460">
        <f>'2018 к смета'!J23</f>
        <v>0</v>
      </c>
      <c r="S21" s="3460">
        <f>'2018 к смета'!K23</f>
        <v>0</v>
      </c>
      <c r="T21" s="3460">
        <f>'2018 к смета'!L23</f>
        <v>0</v>
      </c>
      <c r="U21" s="3460">
        <f>'2018 к смета'!M23</f>
        <v>0</v>
      </c>
      <c r="V21" s="3460">
        <f>'2018 к смета'!N23</f>
        <v>0</v>
      </c>
      <c r="W21" s="3460">
        <f>'2018 к смета'!O23</f>
        <v>0</v>
      </c>
      <c r="X21" s="3460">
        <v>0</v>
      </c>
      <c r="Y21" s="3460" t="e">
        <f t="shared" si="41"/>
        <v>#DIV/0!</v>
      </c>
      <c r="Z21" s="3460"/>
      <c r="AA21" s="3460"/>
      <c r="AB21" s="3460"/>
      <c r="AC21" s="3460"/>
      <c r="AD21" s="3460"/>
      <c r="AE21" s="3460">
        <v>0</v>
      </c>
      <c r="AF21" s="3451" t="e">
        <f t="shared" si="9"/>
        <v>#DIV/0!</v>
      </c>
      <c r="AG21" s="3461"/>
      <c r="AH21" s="3461"/>
      <c r="AI21" s="3461"/>
      <c r="AJ21" s="3461"/>
      <c r="AK21" s="3461"/>
      <c r="AL21" s="3461"/>
      <c r="AM21" s="3461"/>
      <c r="AN21" s="3461"/>
      <c r="AO21" s="3461"/>
      <c r="AP21" s="3461"/>
      <c r="AQ21" s="3461"/>
      <c r="AR21" s="3461"/>
      <c r="AS21" s="3461"/>
      <c r="AT21" s="3461"/>
      <c r="AU21" s="3461"/>
      <c r="AV21" s="3461"/>
      <c r="AW21" s="3461"/>
      <c r="AX21" s="3460">
        <v>0</v>
      </c>
      <c r="AY21" s="3451" t="e">
        <f t="shared" si="11"/>
        <v>#DIV/0!</v>
      </c>
      <c r="AZ21" s="3460">
        <v>0</v>
      </c>
      <c r="BA21" s="3460">
        <v>0</v>
      </c>
      <c r="BB21" s="3460">
        <v>0</v>
      </c>
      <c r="BC21" s="3460">
        <v>0</v>
      </c>
      <c r="BD21" s="3451" t="e">
        <f t="shared" si="43"/>
        <v>#DIV/0!</v>
      </c>
      <c r="BE21" s="3460">
        <v>0</v>
      </c>
      <c r="BF21" s="3451" t="e">
        <f t="shared" si="16"/>
        <v>#DIV/0!</v>
      </c>
      <c r="BG21" s="3460">
        <v>0</v>
      </c>
      <c r="BH21" s="3460">
        <v>0</v>
      </c>
      <c r="BI21" s="3460">
        <v>0</v>
      </c>
      <c r="BJ21" s="3460">
        <v>0</v>
      </c>
      <c r="BK21" s="3451" t="e">
        <f t="shared" si="44"/>
        <v>#DIV/0!</v>
      </c>
      <c r="BL21" s="3460">
        <v>0</v>
      </c>
      <c r="BM21" s="3451" t="e">
        <f t="shared" si="19"/>
        <v>#DIV/0!</v>
      </c>
      <c r="BN21" s="3812">
        <v>0</v>
      </c>
      <c r="BO21" s="3513">
        <v>0</v>
      </c>
      <c r="BP21" s="3460">
        <v>0</v>
      </c>
      <c r="BQ21" s="3513">
        <v>0</v>
      </c>
      <c r="BR21" s="3512" t="e">
        <f t="shared" si="45"/>
        <v>#DIV/0!</v>
      </c>
      <c r="BS21" s="4038">
        <v>0</v>
      </c>
      <c r="BT21" s="4037" t="e">
        <f t="shared" si="22"/>
        <v>#DIV/0!</v>
      </c>
      <c r="BU21" s="3513">
        <v>0</v>
      </c>
      <c r="BV21" s="3512" t="e">
        <f t="shared" si="24"/>
        <v>#DIV/0!</v>
      </c>
      <c r="BW21" s="3513">
        <v>0</v>
      </c>
      <c r="BX21" s="3512" t="e">
        <f t="shared" si="26"/>
        <v>#DIV/0!</v>
      </c>
      <c r="BY21" s="4839">
        <v>0</v>
      </c>
      <c r="BZ21" s="4839">
        <v>0</v>
      </c>
    </row>
    <row r="22" spans="1:78" s="2733" customFormat="1" ht="39.75" customHeight="1" x14ac:dyDescent="0.2">
      <c r="A22" s="3457" t="s">
        <v>916</v>
      </c>
      <c r="B22" s="3458" t="s">
        <v>4165</v>
      </c>
      <c r="C22" s="3457"/>
      <c r="D22" s="3457"/>
      <c r="E22" s="3459"/>
      <c r="F22" s="3460"/>
      <c r="G22" s="3460"/>
      <c r="H22" s="3460"/>
      <c r="I22" s="3460"/>
      <c r="J22" s="3460"/>
      <c r="K22" s="3460"/>
      <c r="L22" s="3460"/>
      <c r="M22" s="3460"/>
      <c r="N22" s="3460"/>
      <c r="O22" s="3460"/>
      <c r="P22" s="3460"/>
      <c r="Q22" s="3460"/>
      <c r="R22" s="3460"/>
      <c r="S22" s="3460"/>
      <c r="T22" s="3460"/>
      <c r="U22" s="3460"/>
      <c r="V22" s="3460"/>
      <c r="W22" s="3460"/>
      <c r="X22" s="3460"/>
      <c r="Y22" s="3460"/>
      <c r="Z22" s="3460"/>
      <c r="AA22" s="3460"/>
      <c r="AB22" s="3460"/>
      <c r="AC22" s="3460"/>
      <c r="AD22" s="3460"/>
      <c r="AE22" s="3460"/>
      <c r="AF22" s="3451"/>
      <c r="AG22" s="3461"/>
      <c r="AH22" s="3461"/>
      <c r="AI22" s="3461"/>
      <c r="AJ22" s="3461"/>
      <c r="AK22" s="3461"/>
      <c r="AL22" s="3461"/>
      <c r="AM22" s="3461"/>
      <c r="AN22" s="3461"/>
      <c r="AO22" s="3461"/>
      <c r="AP22" s="3461"/>
      <c r="AQ22" s="3461"/>
      <c r="AR22" s="3461"/>
      <c r="AS22" s="3461"/>
      <c r="AT22" s="3461"/>
      <c r="AU22" s="3461"/>
      <c r="AV22" s="3461"/>
      <c r="AW22" s="3461"/>
      <c r="AX22" s="3460"/>
      <c r="AY22" s="3451"/>
      <c r="AZ22" s="3460"/>
      <c r="BA22" s="3460"/>
      <c r="BB22" s="3460"/>
      <c r="BC22" s="3460"/>
      <c r="BD22" s="3451"/>
      <c r="BE22" s="3460"/>
      <c r="BF22" s="3451"/>
      <c r="BG22" s="3460"/>
      <c r="BH22" s="3460"/>
      <c r="BI22" s="3460"/>
      <c r="BJ22" s="3460"/>
      <c r="BK22" s="3451"/>
      <c r="BL22" s="3460"/>
      <c r="BM22" s="3451"/>
      <c r="BN22" s="3812"/>
      <c r="BO22" s="3513"/>
      <c r="BP22" s="3460">
        <f>SUM(вода!EB63)</f>
        <v>2478.0332096000006</v>
      </c>
      <c r="BQ22" s="3513"/>
      <c r="BR22" s="3512"/>
      <c r="BS22" s="4038"/>
      <c r="BT22" s="4037"/>
      <c r="BU22" s="3513">
        <f>SUM(вода!EC63)</f>
        <v>2478.0332096000006</v>
      </c>
      <c r="BV22" s="3512">
        <v>0</v>
      </c>
      <c r="BW22" s="3513">
        <v>0</v>
      </c>
      <c r="BX22" s="3512"/>
      <c r="BY22" s="4839">
        <f>SUM(вода!EI63)</f>
        <v>0</v>
      </c>
      <c r="BZ22" s="4839">
        <f>SUM(вода!EL63)</f>
        <v>0</v>
      </c>
    </row>
    <row r="23" spans="1:78" s="2733" customFormat="1" ht="74.25" customHeight="1" x14ac:dyDescent="0.2">
      <c r="A23" s="3457" t="s">
        <v>920</v>
      </c>
      <c r="B23" s="3458" t="s">
        <v>921</v>
      </c>
      <c r="C23" s="3457" t="s">
        <v>899</v>
      </c>
      <c r="D23" s="3457">
        <v>1269.8</v>
      </c>
      <c r="E23" s="3459">
        <v>0</v>
      </c>
      <c r="F23" s="3460">
        <f>вода!BE159</f>
        <v>1785.8</v>
      </c>
      <c r="G23" s="3460">
        <v>0</v>
      </c>
      <c r="H23" s="3460">
        <f>'2018 к смета'!C24</f>
        <v>0</v>
      </c>
      <c r="I23" s="3460">
        <v>0</v>
      </c>
      <c r="J23" s="3460">
        <v>3771.83</v>
      </c>
      <c r="K23" s="3460">
        <f>'хим. реагенты'!P15+Аморт!Y25+'водный налог вып'!K12</f>
        <v>2254.3845151462929</v>
      </c>
      <c r="L23" s="3460">
        <v>0</v>
      </c>
      <c r="M23" s="3460">
        <v>0</v>
      </c>
      <c r="N23" s="3460">
        <v>0</v>
      </c>
      <c r="O23" s="3460">
        <v>4704.75</v>
      </c>
      <c r="P23" s="3460">
        <f>'2018 к смета'!I24</f>
        <v>0</v>
      </c>
      <c r="Q23" s="3460">
        <v>0</v>
      </c>
      <c r="R23" s="3460">
        <v>0</v>
      </c>
      <c r="S23" s="3460">
        <v>2664.52</v>
      </c>
      <c r="T23" s="3460">
        <v>2664.52</v>
      </c>
      <c r="U23" s="3460">
        <v>2664.52</v>
      </c>
      <c r="V23" s="3460">
        <v>2664.52</v>
      </c>
      <c r="W23" s="3460"/>
      <c r="X23" s="3460">
        <v>0</v>
      </c>
      <c r="Y23" s="3460">
        <v>0</v>
      </c>
      <c r="Z23" s="3460">
        <v>0</v>
      </c>
      <c r="AA23" s="3460">
        <v>0</v>
      </c>
      <c r="AB23" s="3460">
        <v>0</v>
      </c>
      <c r="AC23" s="3460">
        <v>0</v>
      </c>
      <c r="AD23" s="3460">
        <v>0</v>
      </c>
      <c r="AE23" s="3460">
        <v>0</v>
      </c>
      <c r="AF23" s="3451"/>
      <c r="AG23" s="3462"/>
      <c r="AH23" s="3461"/>
      <c r="AI23" s="3461"/>
      <c r="AJ23" s="3461"/>
      <c r="AK23" s="3461"/>
      <c r="AL23" s="3461"/>
      <c r="AM23" s="3461"/>
      <c r="AN23" s="3461"/>
      <c r="AO23" s="3461"/>
      <c r="AP23" s="3461"/>
      <c r="AQ23" s="3461"/>
      <c r="AR23" s="3461"/>
      <c r="AS23" s="3461"/>
      <c r="AT23" s="3461"/>
      <c r="AU23" s="3461"/>
      <c r="AV23" s="3461"/>
      <c r="AW23" s="3461"/>
      <c r="AX23" s="3460">
        <v>0</v>
      </c>
      <c r="AY23" s="3451" t="e">
        <f t="shared" si="11"/>
        <v>#DIV/0!</v>
      </c>
      <c r="AZ23" s="3460">
        <v>0</v>
      </c>
      <c r="BA23" s="3460">
        <v>0</v>
      </c>
      <c r="BB23" s="3460">
        <v>0</v>
      </c>
      <c r="BC23" s="3460">
        <v>0</v>
      </c>
      <c r="BD23" s="3451"/>
      <c r="BE23" s="3460">
        <v>0</v>
      </c>
      <c r="BF23" s="3451" t="e">
        <f t="shared" si="16"/>
        <v>#DIV/0!</v>
      </c>
      <c r="BG23" s="3460">
        <v>0</v>
      </c>
      <c r="BH23" s="3460">
        <v>0</v>
      </c>
      <c r="BI23" s="3460">
        <v>0</v>
      </c>
      <c r="BJ23" s="3460">
        <v>0</v>
      </c>
      <c r="BK23" s="3451"/>
      <c r="BL23" s="3460">
        <v>0</v>
      </c>
      <c r="BM23" s="3451" t="e">
        <f t="shared" si="19"/>
        <v>#DIV/0!</v>
      </c>
      <c r="BN23" s="3812">
        <v>0</v>
      </c>
      <c r="BO23" s="3812">
        <v>0</v>
      </c>
      <c r="BP23" s="3460">
        <v>0</v>
      </c>
      <c r="BQ23" s="3513">
        <f>вода!DW159</f>
        <v>7841.3784699999987</v>
      </c>
      <c r="BR23" s="3512"/>
      <c r="BS23" s="4038">
        <v>0</v>
      </c>
      <c r="BT23" s="4037" t="e">
        <f t="shared" si="22"/>
        <v>#DIV/0!</v>
      </c>
      <c r="BU23" s="3513">
        <f>вода!EC159</f>
        <v>7841.3784699999987</v>
      </c>
      <c r="BV23" s="3512"/>
      <c r="BW23" s="3513">
        <v>0</v>
      </c>
      <c r="BX23" s="3512"/>
      <c r="BY23" s="4839">
        <v>0</v>
      </c>
      <c r="BZ23" s="4839">
        <v>0</v>
      </c>
    </row>
    <row r="24" spans="1:78" s="2733" customFormat="1" ht="51" customHeight="1" x14ac:dyDescent="0.2">
      <c r="A24" s="3457" t="s">
        <v>3922</v>
      </c>
      <c r="B24" s="3458" t="s">
        <v>3923</v>
      </c>
      <c r="C24" s="3457" t="s">
        <v>899</v>
      </c>
      <c r="D24" s="3457">
        <v>1269.8</v>
      </c>
      <c r="E24" s="3459">
        <v>0</v>
      </c>
      <c r="F24" s="3460">
        <f>вода!BE161</f>
        <v>0</v>
      </c>
      <c r="G24" s="3460">
        <v>0</v>
      </c>
      <c r="H24" s="3460">
        <f>'2018 к смета'!C25</f>
        <v>8496.3795185718263</v>
      </c>
      <c r="I24" s="3460"/>
      <c r="J24" s="3460"/>
      <c r="K24" s="3460"/>
      <c r="L24" s="3460"/>
      <c r="M24" s="3460"/>
      <c r="N24" s="3460"/>
      <c r="O24" s="3460"/>
      <c r="P24" s="3460"/>
      <c r="Q24" s="3460"/>
      <c r="R24" s="3460"/>
      <c r="S24" s="3460"/>
      <c r="T24" s="3460"/>
      <c r="U24" s="3460"/>
      <c r="V24" s="3460"/>
      <c r="W24" s="3460"/>
      <c r="X24" s="3460"/>
      <c r="Y24" s="3460"/>
      <c r="Z24" s="3460"/>
      <c r="AA24" s="3460"/>
      <c r="AB24" s="3460"/>
      <c r="AC24" s="3460"/>
      <c r="AD24" s="3460"/>
      <c r="AE24" s="3460"/>
      <c r="AF24" s="3451"/>
      <c r="AG24" s="3462"/>
      <c r="AH24" s="3461"/>
      <c r="AI24" s="3461"/>
      <c r="AJ24" s="3461"/>
      <c r="AK24" s="3461"/>
      <c r="AL24" s="3461"/>
      <c r="AM24" s="3461"/>
      <c r="AN24" s="3461"/>
      <c r="AO24" s="3461"/>
      <c r="AP24" s="3461"/>
      <c r="AQ24" s="3461"/>
      <c r="AR24" s="3461"/>
      <c r="AS24" s="3461"/>
      <c r="AT24" s="3461"/>
      <c r="AU24" s="3461"/>
      <c r="AV24" s="3461"/>
      <c r="AW24" s="3461"/>
      <c r="AX24" s="3460"/>
      <c r="AY24" s="3451"/>
      <c r="AZ24" s="3460"/>
      <c r="BA24" s="3460"/>
      <c r="BB24" s="3460"/>
      <c r="BC24" s="3460"/>
      <c r="BD24" s="3451"/>
      <c r="BE24" s="3460"/>
      <c r="BF24" s="3451"/>
      <c r="BG24" s="3460"/>
      <c r="BH24" s="3460"/>
      <c r="BI24" s="3460"/>
      <c r="BJ24" s="3460">
        <f>SUM(вода!DH161)</f>
        <v>257.56745268583632</v>
      </c>
      <c r="BK24" s="3451"/>
      <c r="BL24" s="3460">
        <f>вода!DK192</f>
        <v>180.41201952630846</v>
      </c>
      <c r="BM24" s="3451" t="e">
        <f t="shared" ref="BM24" si="46">BL24/BE24*100</f>
        <v>#DIV/0!</v>
      </c>
      <c r="BN24" s="3812"/>
      <c r="BO24" s="3513"/>
      <c r="BP24" s="3460"/>
      <c r="BQ24" s="3513">
        <f>SUM(вода!DW161)</f>
        <v>187.53829429759764</v>
      </c>
      <c r="BR24" s="3512">
        <f>BQ24/BL24*100</f>
        <v>103.95</v>
      </c>
      <c r="BS24" s="4038">
        <f>вода!DR192</f>
        <v>0</v>
      </c>
      <c r="BT24" s="4037">
        <f t="shared" si="22"/>
        <v>0</v>
      </c>
      <c r="BU24" s="3513">
        <f>SUM(вода!EC161)</f>
        <v>187.53829429759764</v>
      </c>
      <c r="BV24" s="3512">
        <f t="shared" si="24"/>
        <v>103.95</v>
      </c>
      <c r="BW24" s="3513">
        <f>вода!EF161</f>
        <v>187.84100000000001</v>
      </c>
      <c r="BX24" s="3512">
        <f t="shared" si="26"/>
        <v>104.11778577347405</v>
      </c>
      <c r="BY24" s="4839"/>
      <c r="BZ24" s="4839"/>
    </row>
    <row r="25" spans="1:78" s="2733" customFormat="1" ht="24.75" customHeight="1" x14ac:dyDescent="0.2">
      <c r="A25" s="3457" t="s">
        <v>4102</v>
      </c>
      <c r="B25" s="3458" t="s">
        <v>4090</v>
      </c>
      <c r="C25" s="3457"/>
      <c r="D25" s="3457"/>
      <c r="E25" s="3459"/>
      <c r="F25" s="3460"/>
      <c r="G25" s="3460"/>
      <c r="H25" s="3460"/>
      <c r="I25" s="3460"/>
      <c r="J25" s="3460"/>
      <c r="K25" s="3460"/>
      <c r="L25" s="3460"/>
      <c r="M25" s="3460"/>
      <c r="N25" s="3460"/>
      <c r="O25" s="3460"/>
      <c r="P25" s="3460"/>
      <c r="Q25" s="3460"/>
      <c r="R25" s="3460"/>
      <c r="S25" s="3460"/>
      <c r="T25" s="3460"/>
      <c r="U25" s="3460"/>
      <c r="V25" s="3460"/>
      <c r="W25" s="3460"/>
      <c r="X25" s="3460"/>
      <c r="Y25" s="3460"/>
      <c r="Z25" s="3460"/>
      <c r="AA25" s="3460"/>
      <c r="AB25" s="3460"/>
      <c r="AC25" s="3460"/>
      <c r="AD25" s="3460"/>
      <c r="AE25" s="3460"/>
      <c r="AF25" s="3451"/>
      <c r="AG25" s="3462"/>
      <c r="AH25" s="3461"/>
      <c r="AI25" s="3461"/>
      <c r="AJ25" s="3461"/>
      <c r="AK25" s="3461"/>
      <c r="AL25" s="3461"/>
      <c r="AM25" s="3461"/>
      <c r="AN25" s="3461"/>
      <c r="AO25" s="3461"/>
      <c r="AP25" s="3461"/>
      <c r="AQ25" s="3461"/>
      <c r="AR25" s="3461"/>
      <c r="AS25" s="3461"/>
      <c r="AT25" s="3461"/>
      <c r="AU25" s="3461"/>
      <c r="AV25" s="3461"/>
      <c r="AW25" s="3461"/>
      <c r="AX25" s="3460"/>
      <c r="AY25" s="3451"/>
      <c r="AZ25" s="3460"/>
      <c r="BA25" s="3460"/>
      <c r="BB25" s="3460"/>
      <c r="BC25" s="3460"/>
      <c r="BD25" s="3451"/>
      <c r="BE25" s="3460"/>
      <c r="BF25" s="3451"/>
      <c r="BG25" s="3460"/>
      <c r="BH25" s="3460"/>
      <c r="BI25" s="3460"/>
      <c r="BJ25" s="3460"/>
      <c r="BK25" s="3451"/>
      <c r="BL25" s="3460"/>
      <c r="BM25" s="3451"/>
      <c r="BN25" s="3812"/>
      <c r="BO25" s="3513"/>
      <c r="BP25" s="3460"/>
      <c r="BQ25" s="3513">
        <f>SUM(вода!DW160)</f>
        <v>379.34819999999996</v>
      </c>
      <c r="BR25" s="3512"/>
      <c r="BS25" s="4038"/>
      <c r="BT25" s="4037"/>
      <c r="BU25" s="3513">
        <f>SUM(вода!EC160)</f>
        <v>379.34819999999996</v>
      </c>
      <c r="BV25" s="3512"/>
      <c r="BW25" s="3513">
        <f>SUM(вода!EF160)</f>
        <v>0</v>
      </c>
      <c r="BX25" s="3512"/>
      <c r="BY25" s="4839"/>
      <c r="BZ25" s="4839"/>
    </row>
    <row r="26" spans="1:78" s="2733" customFormat="1" ht="51" customHeight="1" x14ac:dyDescent="0.2">
      <c r="A26" s="3457" t="s">
        <v>4095</v>
      </c>
      <c r="B26" s="3458" t="s">
        <v>4092</v>
      </c>
      <c r="C26" s="3457"/>
      <c r="D26" s="3457"/>
      <c r="E26" s="3459"/>
      <c r="F26" s="3460"/>
      <c r="G26" s="3460"/>
      <c r="H26" s="3460"/>
      <c r="I26" s="3460"/>
      <c r="J26" s="3460"/>
      <c r="K26" s="3460"/>
      <c r="L26" s="3460"/>
      <c r="M26" s="3460"/>
      <c r="N26" s="3460"/>
      <c r="O26" s="3460"/>
      <c r="P26" s="3460"/>
      <c r="Q26" s="3460"/>
      <c r="R26" s="3460"/>
      <c r="S26" s="3460"/>
      <c r="T26" s="3460"/>
      <c r="U26" s="3460"/>
      <c r="V26" s="3460"/>
      <c r="W26" s="3460"/>
      <c r="X26" s="3460"/>
      <c r="Y26" s="3460"/>
      <c r="Z26" s="3460"/>
      <c r="AA26" s="3460"/>
      <c r="AB26" s="3460"/>
      <c r="AC26" s="3460"/>
      <c r="AD26" s="3460"/>
      <c r="AE26" s="3460"/>
      <c r="AF26" s="3451"/>
      <c r="AG26" s="3462"/>
      <c r="AH26" s="3461"/>
      <c r="AI26" s="3461"/>
      <c r="AJ26" s="3461"/>
      <c r="AK26" s="3461"/>
      <c r="AL26" s="3461"/>
      <c r="AM26" s="3461"/>
      <c r="AN26" s="3461"/>
      <c r="AO26" s="3461"/>
      <c r="AP26" s="3461"/>
      <c r="AQ26" s="3461"/>
      <c r="AR26" s="3461"/>
      <c r="AS26" s="3461"/>
      <c r="AT26" s="3461"/>
      <c r="AU26" s="3461"/>
      <c r="AV26" s="3461"/>
      <c r="AW26" s="3461"/>
      <c r="AX26" s="3460"/>
      <c r="AY26" s="3451"/>
      <c r="AZ26" s="3460"/>
      <c r="BA26" s="3460"/>
      <c r="BB26" s="3460"/>
      <c r="BC26" s="3460"/>
      <c r="BD26" s="3451"/>
      <c r="BE26" s="3460"/>
      <c r="BF26" s="3451"/>
      <c r="BG26" s="3460"/>
      <c r="BH26" s="3460"/>
      <c r="BI26" s="3460"/>
      <c r="BJ26" s="3460"/>
      <c r="BK26" s="3451"/>
      <c r="BL26" s="3460"/>
      <c r="BM26" s="3451"/>
      <c r="BN26" s="3812"/>
      <c r="BO26" s="3513"/>
      <c r="BP26" s="3460"/>
      <c r="BQ26" s="3513">
        <f>SUM(вода!DW162)</f>
        <v>309</v>
      </c>
      <c r="BR26" s="3512"/>
      <c r="BS26" s="4038"/>
      <c r="BT26" s="4037"/>
      <c r="BU26" s="3513">
        <f>SUM(вода!EC162)</f>
        <v>309</v>
      </c>
      <c r="BV26" s="3512"/>
      <c r="BW26" s="3513">
        <f>SUM(вода!EF162)</f>
        <v>0</v>
      </c>
      <c r="BX26" s="3512"/>
      <c r="BY26" s="4839"/>
      <c r="BZ26" s="4839"/>
    </row>
    <row r="27" spans="1:78" s="2733" customFormat="1" ht="51" customHeight="1" x14ac:dyDescent="0.2">
      <c r="A27" s="3457" t="s">
        <v>4096</v>
      </c>
      <c r="B27" s="3458" t="s">
        <v>4117</v>
      </c>
      <c r="C27" s="3457"/>
      <c r="D27" s="3457"/>
      <c r="E27" s="3459"/>
      <c r="F27" s="3460"/>
      <c r="G27" s="3460"/>
      <c r="H27" s="3460"/>
      <c r="I27" s="3460"/>
      <c r="J27" s="3460"/>
      <c r="K27" s="3460"/>
      <c r="L27" s="3460"/>
      <c r="M27" s="3460"/>
      <c r="N27" s="3460"/>
      <c r="O27" s="3460"/>
      <c r="P27" s="3460"/>
      <c r="Q27" s="3460"/>
      <c r="R27" s="3460"/>
      <c r="S27" s="3460"/>
      <c r="T27" s="3460"/>
      <c r="U27" s="3460"/>
      <c r="V27" s="3460"/>
      <c r="W27" s="3460"/>
      <c r="X27" s="3460"/>
      <c r="Y27" s="3460"/>
      <c r="Z27" s="3460"/>
      <c r="AA27" s="3460"/>
      <c r="AB27" s="3460"/>
      <c r="AC27" s="3460"/>
      <c r="AD27" s="3460"/>
      <c r="AE27" s="3460"/>
      <c r="AF27" s="3451"/>
      <c r="AG27" s="3462"/>
      <c r="AH27" s="3461"/>
      <c r="AI27" s="3461"/>
      <c r="AJ27" s="3461"/>
      <c r="AK27" s="3461"/>
      <c r="AL27" s="3461"/>
      <c r="AM27" s="3461"/>
      <c r="AN27" s="3461"/>
      <c r="AO27" s="3461"/>
      <c r="AP27" s="3461"/>
      <c r="AQ27" s="3461"/>
      <c r="AR27" s="3461"/>
      <c r="AS27" s="3461"/>
      <c r="AT27" s="3461"/>
      <c r="AU27" s="3461"/>
      <c r="AV27" s="3461"/>
      <c r="AW27" s="3461"/>
      <c r="AX27" s="3460"/>
      <c r="AY27" s="3451"/>
      <c r="AZ27" s="3460"/>
      <c r="BA27" s="3460"/>
      <c r="BB27" s="3460"/>
      <c r="BC27" s="3460"/>
      <c r="BD27" s="3451"/>
      <c r="BE27" s="3460"/>
      <c r="BF27" s="3451"/>
      <c r="BG27" s="3460"/>
      <c r="BH27" s="3460"/>
      <c r="BI27" s="3460"/>
      <c r="BJ27" s="3460"/>
      <c r="BK27" s="3451"/>
      <c r="BL27" s="3460"/>
      <c r="BM27" s="3451"/>
      <c r="BN27" s="3812"/>
      <c r="BO27" s="3513"/>
      <c r="BP27" s="3460"/>
      <c r="BQ27" s="3513">
        <f>SUM(вода!DW151)</f>
        <v>14537.466925155473</v>
      </c>
      <c r="BR27" s="3512"/>
      <c r="BS27" s="4038"/>
      <c r="BT27" s="4037"/>
      <c r="BU27" s="3513">
        <f>SUM(вода!EC151)</f>
        <v>18704.158061668386</v>
      </c>
      <c r="BV27" s="3512"/>
      <c r="BW27" s="3513">
        <v>0</v>
      </c>
      <c r="BX27" s="3512"/>
      <c r="BY27" s="4839"/>
      <c r="BZ27" s="4839"/>
    </row>
    <row r="28" spans="1:78" s="2733" customFormat="1" ht="51" customHeight="1" x14ac:dyDescent="0.2">
      <c r="A28" s="3457" t="s">
        <v>4113</v>
      </c>
      <c r="B28" s="3458" t="s">
        <v>4118</v>
      </c>
      <c r="C28" s="3457"/>
      <c r="D28" s="3457"/>
      <c r="E28" s="3459"/>
      <c r="F28" s="3460"/>
      <c r="G28" s="3460"/>
      <c r="H28" s="3460"/>
      <c r="I28" s="3460"/>
      <c r="J28" s="3460"/>
      <c r="K28" s="3460"/>
      <c r="L28" s="3460"/>
      <c r="M28" s="3460"/>
      <c r="N28" s="3460"/>
      <c r="O28" s="3460"/>
      <c r="P28" s="3460"/>
      <c r="Q28" s="3460"/>
      <c r="R28" s="3460"/>
      <c r="S28" s="3460"/>
      <c r="T28" s="3460"/>
      <c r="U28" s="3460"/>
      <c r="V28" s="3460"/>
      <c r="W28" s="3460"/>
      <c r="X28" s="3460"/>
      <c r="Y28" s="3460"/>
      <c r="Z28" s="3460"/>
      <c r="AA28" s="3460"/>
      <c r="AB28" s="3460"/>
      <c r="AC28" s="3460"/>
      <c r="AD28" s="3460"/>
      <c r="AE28" s="3460"/>
      <c r="AF28" s="3451"/>
      <c r="AG28" s="3462"/>
      <c r="AH28" s="3461"/>
      <c r="AI28" s="3461"/>
      <c r="AJ28" s="3461"/>
      <c r="AK28" s="3461"/>
      <c r="AL28" s="3461"/>
      <c r="AM28" s="3461"/>
      <c r="AN28" s="3461"/>
      <c r="AO28" s="3461"/>
      <c r="AP28" s="3461"/>
      <c r="AQ28" s="3461"/>
      <c r="AR28" s="3461"/>
      <c r="AS28" s="3461"/>
      <c r="AT28" s="3461"/>
      <c r="AU28" s="3461"/>
      <c r="AV28" s="3461"/>
      <c r="AW28" s="3461"/>
      <c r="AX28" s="3460"/>
      <c r="AY28" s="3451"/>
      <c r="AZ28" s="3460"/>
      <c r="BA28" s="3460"/>
      <c r="BB28" s="3460"/>
      <c r="BC28" s="3460"/>
      <c r="BD28" s="3451"/>
      <c r="BE28" s="3460"/>
      <c r="BF28" s="3451"/>
      <c r="BG28" s="3460"/>
      <c r="BH28" s="3460"/>
      <c r="BI28" s="3460"/>
      <c r="BJ28" s="3460"/>
      <c r="BK28" s="3451"/>
      <c r="BL28" s="3460"/>
      <c r="BM28" s="3451"/>
      <c r="BN28" s="3812"/>
      <c r="BO28" s="3513"/>
      <c r="BP28" s="3460"/>
      <c r="BQ28" s="3513"/>
      <c r="BR28" s="3512"/>
      <c r="BS28" s="4038"/>
      <c r="BT28" s="4037"/>
      <c r="BU28" s="3513">
        <f>SUM('Прочие неподконтр. расх'!B7)</f>
        <v>4600</v>
      </c>
      <c r="BV28" s="3512"/>
      <c r="BW28" s="3513">
        <v>0</v>
      </c>
      <c r="BX28" s="3512"/>
      <c r="BY28" s="4839"/>
      <c r="BZ28" s="4839"/>
    </row>
    <row r="29" spans="1:78" s="2733" customFormat="1" ht="51" customHeight="1" x14ac:dyDescent="0.2">
      <c r="A29" s="3457" t="s">
        <v>4114</v>
      </c>
      <c r="B29" s="3458" t="s">
        <v>4119</v>
      </c>
      <c r="C29" s="3457"/>
      <c r="D29" s="3457"/>
      <c r="E29" s="3459"/>
      <c r="F29" s="3460"/>
      <c r="G29" s="3460"/>
      <c r="H29" s="3460"/>
      <c r="I29" s="3460"/>
      <c r="J29" s="3460"/>
      <c r="K29" s="3460"/>
      <c r="L29" s="3460"/>
      <c r="M29" s="3460"/>
      <c r="N29" s="3460"/>
      <c r="O29" s="3460"/>
      <c r="P29" s="3460"/>
      <c r="Q29" s="3460"/>
      <c r="R29" s="3460"/>
      <c r="S29" s="3460"/>
      <c r="T29" s="3460"/>
      <c r="U29" s="3460"/>
      <c r="V29" s="3460"/>
      <c r="W29" s="3460"/>
      <c r="X29" s="3460"/>
      <c r="Y29" s="3460"/>
      <c r="Z29" s="3460"/>
      <c r="AA29" s="3460"/>
      <c r="AB29" s="3460"/>
      <c r="AC29" s="3460"/>
      <c r="AD29" s="3460"/>
      <c r="AE29" s="3460"/>
      <c r="AF29" s="3451"/>
      <c r="AG29" s="3462"/>
      <c r="AH29" s="3461"/>
      <c r="AI29" s="3461"/>
      <c r="AJ29" s="3461"/>
      <c r="AK29" s="3461"/>
      <c r="AL29" s="3461"/>
      <c r="AM29" s="3461"/>
      <c r="AN29" s="3461"/>
      <c r="AO29" s="3461"/>
      <c r="AP29" s="3461"/>
      <c r="AQ29" s="3461"/>
      <c r="AR29" s="3461"/>
      <c r="AS29" s="3461"/>
      <c r="AT29" s="3461"/>
      <c r="AU29" s="3461"/>
      <c r="AV29" s="3461"/>
      <c r="AW29" s="3461"/>
      <c r="AX29" s="3460"/>
      <c r="AY29" s="3451"/>
      <c r="AZ29" s="3460"/>
      <c r="BA29" s="3460"/>
      <c r="BB29" s="3460"/>
      <c r="BC29" s="3460"/>
      <c r="BD29" s="3451"/>
      <c r="BE29" s="3460"/>
      <c r="BF29" s="3451"/>
      <c r="BG29" s="3460"/>
      <c r="BH29" s="3460"/>
      <c r="BI29" s="3460"/>
      <c r="BJ29" s="3460"/>
      <c r="BK29" s="3451"/>
      <c r="BL29" s="3460"/>
      <c r="BM29" s="3451"/>
      <c r="BN29" s="3812"/>
      <c r="BO29" s="3513"/>
      <c r="BP29" s="3460"/>
      <c r="BQ29" s="3513"/>
      <c r="BR29" s="3512"/>
      <c r="BS29" s="4038"/>
      <c r="BT29" s="4037"/>
      <c r="BU29" s="3513">
        <f>SUM('Прочие неподконтр. расх'!B10)</f>
        <v>1673.61</v>
      </c>
      <c r="BV29" s="3512"/>
      <c r="BW29" s="3513">
        <v>0</v>
      </c>
      <c r="BX29" s="3512"/>
      <c r="BY29" s="4839"/>
      <c r="BZ29" s="4839"/>
    </row>
    <row r="30" spans="1:78" s="2733" customFormat="1" ht="51" customHeight="1" x14ac:dyDescent="0.2">
      <c r="A30" s="3457" t="s">
        <v>4115</v>
      </c>
      <c r="B30" s="3458" t="s">
        <v>4093</v>
      </c>
      <c r="C30" s="3457"/>
      <c r="D30" s="3457"/>
      <c r="E30" s="3459"/>
      <c r="F30" s="3460"/>
      <c r="G30" s="3460"/>
      <c r="H30" s="3460"/>
      <c r="I30" s="3460"/>
      <c r="J30" s="3460"/>
      <c r="K30" s="3460"/>
      <c r="L30" s="3460"/>
      <c r="M30" s="3460"/>
      <c r="N30" s="3460"/>
      <c r="O30" s="3460"/>
      <c r="P30" s="3460"/>
      <c r="Q30" s="3460"/>
      <c r="R30" s="3460"/>
      <c r="S30" s="3460"/>
      <c r="T30" s="3460"/>
      <c r="U30" s="3460"/>
      <c r="V30" s="3460"/>
      <c r="W30" s="3460"/>
      <c r="X30" s="3460"/>
      <c r="Y30" s="3460"/>
      <c r="Z30" s="3460"/>
      <c r="AA30" s="3460"/>
      <c r="AB30" s="3460"/>
      <c r="AC30" s="3460"/>
      <c r="AD30" s="3460"/>
      <c r="AE30" s="3460"/>
      <c r="AF30" s="3451"/>
      <c r="AG30" s="3462"/>
      <c r="AH30" s="3461"/>
      <c r="AI30" s="3461"/>
      <c r="AJ30" s="3461"/>
      <c r="AK30" s="3461"/>
      <c r="AL30" s="3461"/>
      <c r="AM30" s="3461"/>
      <c r="AN30" s="3461"/>
      <c r="AO30" s="3461"/>
      <c r="AP30" s="3461"/>
      <c r="AQ30" s="3461"/>
      <c r="AR30" s="3461"/>
      <c r="AS30" s="3461"/>
      <c r="AT30" s="3461"/>
      <c r="AU30" s="3461"/>
      <c r="AV30" s="3461"/>
      <c r="AW30" s="3461"/>
      <c r="AX30" s="3460"/>
      <c r="AY30" s="3451"/>
      <c r="AZ30" s="3460"/>
      <c r="BA30" s="3460"/>
      <c r="BB30" s="3460"/>
      <c r="BC30" s="3460"/>
      <c r="BD30" s="3451"/>
      <c r="BE30" s="3460"/>
      <c r="BF30" s="3451"/>
      <c r="BG30" s="3460"/>
      <c r="BH30" s="3460"/>
      <c r="BI30" s="3460"/>
      <c r="BJ30" s="3460"/>
      <c r="BK30" s="3451"/>
      <c r="BL30" s="3460"/>
      <c r="BM30" s="3451"/>
      <c r="BN30" s="3812"/>
      <c r="BO30" s="3513"/>
      <c r="BP30" s="3460"/>
      <c r="BQ30" s="3513">
        <f>SUM(вода!DW163)</f>
        <v>5350.44</v>
      </c>
      <c r="BR30" s="3512"/>
      <c r="BS30" s="4038"/>
      <c r="BT30" s="4037"/>
      <c r="BU30" s="3513">
        <f>SUM(вода!EC163)</f>
        <v>5350.44</v>
      </c>
      <c r="BV30" s="3512"/>
      <c r="BW30" s="3513">
        <v>0</v>
      </c>
      <c r="BX30" s="3512"/>
      <c r="BY30" s="4839"/>
      <c r="BZ30" s="4839"/>
    </row>
    <row r="31" spans="1:78" s="2732" customFormat="1" x14ac:dyDescent="0.25">
      <c r="A31" s="3453" t="s">
        <v>922</v>
      </c>
      <c r="B31" s="3454" t="s">
        <v>2</v>
      </c>
      <c r="C31" s="3453" t="s">
        <v>899</v>
      </c>
      <c r="D31" s="3453">
        <v>7587.23</v>
      </c>
      <c r="E31" s="3456">
        <v>8349.5499999999993</v>
      </c>
      <c r="F31" s="3451">
        <f>вода!BE146+'ОХР '!AP24</f>
        <v>8206.2514738828813</v>
      </c>
      <c r="G31" s="3451">
        <v>8570.5400000000009</v>
      </c>
      <c r="H31" s="3451">
        <f>'2018 к смета'!C25</f>
        <v>8496.3795185718263</v>
      </c>
      <c r="I31" s="3451">
        <v>8206.24</v>
      </c>
      <c r="J31" s="3451">
        <v>8378.94</v>
      </c>
      <c r="K31" s="3451">
        <f>'2017 к смета'!C19</f>
        <v>8277.2407919081052</v>
      </c>
      <c r="L31" s="3451">
        <v>10319.69</v>
      </c>
      <c r="M31" s="3451">
        <f>Аморт!AC13-'тех вода 2019-2023'!M22</f>
        <v>9980.9299999999985</v>
      </c>
      <c r="N31" s="3451">
        <f>I31</f>
        <v>8206.24</v>
      </c>
      <c r="O31" s="3451">
        <v>8605.64</v>
      </c>
      <c r="P31" s="3451">
        <f>'2018 к смета'!I25</f>
        <v>8476.8043680103383</v>
      </c>
      <c r="Q31" s="3451">
        <f>вода!BQ146</f>
        <v>9926.08</v>
      </c>
      <c r="R31" s="3451">
        <v>10319.35</v>
      </c>
      <c r="S31" s="3451">
        <v>10329.549999999999</v>
      </c>
      <c r="T31" s="3451">
        <v>10340.049999999999</v>
      </c>
      <c r="U31" s="3451">
        <v>10350.870000000001</v>
      </c>
      <c r="V31" s="3451">
        <v>10362.02</v>
      </c>
      <c r="W31" s="3451"/>
      <c r="X31" s="3451">
        <f>вода!BW146</f>
        <v>9982.6164784696339</v>
      </c>
      <c r="Y31" s="3451">
        <f>X31/P31*100</f>
        <v>117.76391249681201</v>
      </c>
      <c r="Z31" s="3451">
        <f>Аморт!AP13</f>
        <v>9984.3799999999992</v>
      </c>
      <c r="AA31" s="3451">
        <f>Аморт!AQ13</f>
        <v>9984.3799999999992</v>
      </c>
      <c r="AB31" s="3451">
        <f>Аморт!AR13</f>
        <v>9984.3799999999992</v>
      </c>
      <c r="AC31" s="3451">
        <f>AB31</f>
        <v>9984.3799999999992</v>
      </c>
      <c r="AD31" s="3451">
        <f>AC31</f>
        <v>9984.3799999999992</v>
      </c>
      <c r="AE31" s="3451">
        <f>вода!BZ146</f>
        <v>10213.246478469635</v>
      </c>
      <c r="AF31" s="3451">
        <f t="shared" si="9"/>
        <v>102.31031614304146</v>
      </c>
      <c r="AG31" s="3446"/>
      <c r="AH31" s="3446"/>
      <c r="AI31" s="3446"/>
      <c r="AJ31" s="3446"/>
      <c r="AK31" s="3446"/>
      <c r="AL31" s="3446"/>
      <c r="AM31" s="3446"/>
      <c r="AN31" s="3446"/>
      <c r="AO31" s="3446"/>
      <c r="AP31" s="3446"/>
      <c r="AQ31" s="3446"/>
      <c r="AR31" s="3446"/>
      <c r="AS31" s="3446"/>
      <c r="AT31" s="3446"/>
      <c r="AU31" s="3446"/>
      <c r="AV31" s="3446"/>
      <c r="AW31" s="3446"/>
      <c r="AX31" s="3451">
        <f>вода!CG146</f>
        <v>10213.251233333236</v>
      </c>
      <c r="AY31" s="3451">
        <f t="shared" si="11"/>
        <v>102.31036377447768</v>
      </c>
      <c r="AZ31" s="3451">
        <f>вода!CJ146</f>
        <v>8246.4500000000007</v>
      </c>
      <c r="BA31" s="3451">
        <f>вода!CM146</f>
        <v>12169.970000000001</v>
      </c>
      <c r="BB31" s="3451">
        <f>вода!CP146</f>
        <v>15677.41</v>
      </c>
      <c r="BC31" s="3451">
        <f>вода!CS146</f>
        <v>11708.98</v>
      </c>
      <c r="BD31" s="3451">
        <f>BC31/AX31*100</f>
        <v>114.64498162725224</v>
      </c>
      <c r="BE31" s="3451">
        <f>вода!CV146</f>
        <v>6142.7100000000009</v>
      </c>
      <c r="BF31" s="3451">
        <f t="shared" si="16"/>
        <v>60.14451088750161</v>
      </c>
      <c r="BG31" s="3451">
        <f>вода!CY146</f>
        <v>7779.6169</v>
      </c>
      <c r="BH31" s="3451">
        <f>вода!DB146</f>
        <v>11690.7</v>
      </c>
      <c r="BI31" s="3451">
        <f>вода!DE146</f>
        <v>15597.5</v>
      </c>
      <c r="BJ31" s="3451">
        <f>вода!DH146</f>
        <v>11629.07</v>
      </c>
      <c r="BK31" s="3451">
        <f>BJ31/BE31*100</f>
        <v>189.31497661455609</v>
      </c>
      <c r="BL31" s="3451">
        <f>вода!DK146</f>
        <v>11557.18</v>
      </c>
      <c r="BM31" s="3451">
        <f t="shared" si="19"/>
        <v>188.14464625548004</v>
      </c>
      <c r="BN31" s="3811">
        <f>вода!DN146</f>
        <v>7431.009</v>
      </c>
      <c r="BO31" s="3811">
        <f>вода!DQ146</f>
        <v>10901.065000000001</v>
      </c>
      <c r="BP31" s="3451">
        <f>вода!DT146</f>
        <v>14466.153999999999</v>
      </c>
      <c r="BQ31" s="3512">
        <f>вода!DW146</f>
        <v>11890.187249999999</v>
      </c>
      <c r="BR31" s="3512">
        <f>BQ31/BL31*100</f>
        <v>102.88138845289248</v>
      </c>
      <c r="BS31" s="4037">
        <f>вода!DR146</f>
        <v>2867.6223100000002</v>
      </c>
      <c r="BT31" s="4037">
        <f t="shared" si="22"/>
        <v>24.812474236794792</v>
      </c>
      <c r="BU31" s="3512">
        <f>вода!EC146</f>
        <v>11890.187249999999</v>
      </c>
      <c r="BV31" s="3512">
        <f t="shared" si="24"/>
        <v>102.88138845289248</v>
      </c>
      <c r="BW31" s="3512">
        <f>вода!EF146</f>
        <v>10497.724000000002</v>
      </c>
      <c r="BX31" s="3512">
        <f t="shared" si="26"/>
        <v>90.832919449208219</v>
      </c>
      <c r="BY31" s="4838">
        <f>вода!EI146</f>
        <v>7146.27</v>
      </c>
      <c r="BZ31" s="4838">
        <f>вода!EL146</f>
        <v>13500.081999999999</v>
      </c>
    </row>
    <row r="32" spans="1:78" s="2734" customFormat="1" ht="22.5" customHeight="1" x14ac:dyDescent="0.2">
      <c r="A32" s="3463" t="s">
        <v>192</v>
      </c>
      <c r="B32" s="3464" t="s">
        <v>923</v>
      </c>
      <c r="C32" s="3463" t="s">
        <v>44</v>
      </c>
      <c r="D32" s="3465">
        <f t="shared" ref="D32:K32" si="47">D33/(D12+D31)*100</f>
        <v>8.9292377108868788</v>
      </c>
      <c r="E32" s="3466">
        <f t="shared" si="47"/>
        <v>0</v>
      </c>
      <c r="F32" s="3465">
        <f t="shared" si="47"/>
        <v>3.3092733236602863</v>
      </c>
      <c r="G32" s="3465">
        <f t="shared" si="47"/>
        <v>0</v>
      </c>
      <c r="H32" s="3465">
        <f t="shared" si="47"/>
        <v>3.4015026895337508</v>
      </c>
      <c r="I32" s="3465">
        <f t="shared" si="47"/>
        <v>0</v>
      </c>
      <c r="J32" s="3465">
        <f t="shared" si="47"/>
        <v>0</v>
      </c>
      <c r="K32" s="3465">
        <f t="shared" si="47"/>
        <v>0</v>
      </c>
      <c r="L32" s="3465">
        <v>0</v>
      </c>
      <c r="M32" s="3465">
        <v>0</v>
      </c>
      <c r="N32" s="3465">
        <f t="shared" ref="N32:X32" si="48">N33/(N12+N31)*100</f>
        <v>0</v>
      </c>
      <c r="O32" s="3465">
        <f t="shared" si="48"/>
        <v>0</v>
      </c>
      <c r="P32" s="3465">
        <f t="shared" si="48"/>
        <v>0</v>
      </c>
      <c r="Q32" s="3465">
        <f t="shared" si="48"/>
        <v>0</v>
      </c>
      <c r="R32" s="3465">
        <f t="shared" si="48"/>
        <v>-2.1359761942409401</v>
      </c>
      <c r="S32" s="3465">
        <f t="shared" si="48"/>
        <v>0</v>
      </c>
      <c r="T32" s="3465">
        <f t="shared" si="48"/>
        <v>0</v>
      </c>
      <c r="U32" s="3465">
        <f t="shared" si="48"/>
        <v>0</v>
      </c>
      <c r="V32" s="3465">
        <f t="shared" si="48"/>
        <v>0</v>
      </c>
      <c r="W32" s="3465" t="e">
        <f t="shared" si="48"/>
        <v>#DIV/0!</v>
      </c>
      <c r="X32" s="3465">
        <f t="shared" si="48"/>
        <v>0</v>
      </c>
      <c r="Y32" s="3465">
        <v>0</v>
      </c>
      <c r="Z32" s="3465">
        <f t="shared" ref="Z32:AE32" si="49">Z33/(Z12+Z31)*100</f>
        <v>0</v>
      </c>
      <c r="AA32" s="3465">
        <f t="shared" si="49"/>
        <v>0</v>
      </c>
      <c r="AB32" s="3465">
        <f t="shared" si="49"/>
        <v>0</v>
      </c>
      <c r="AC32" s="3465">
        <f t="shared" si="49"/>
        <v>0</v>
      </c>
      <c r="AD32" s="3465">
        <f t="shared" si="49"/>
        <v>0</v>
      </c>
      <c r="AE32" s="3465">
        <f t="shared" si="49"/>
        <v>0</v>
      </c>
      <c r="AF32" s="3451"/>
      <c r="AG32" s="3467"/>
      <c r="AH32" s="3467"/>
      <c r="AI32" s="3467"/>
      <c r="AJ32" s="3467"/>
      <c r="AK32" s="3467"/>
      <c r="AL32" s="3467"/>
      <c r="AM32" s="3467"/>
      <c r="AN32" s="3467"/>
      <c r="AO32" s="3467"/>
      <c r="AP32" s="3467"/>
      <c r="AQ32" s="3467"/>
      <c r="AR32" s="3467"/>
      <c r="AS32" s="3467"/>
      <c r="AT32" s="3467"/>
      <c r="AU32" s="3467"/>
      <c r="AV32" s="3467"/>
      <c r="AW32" s="3467"/>
      <c r="AX32" s="3468">
        <f>AX33/(AX12+AX31)*100</f>
        <v>0</v>
      </c>
      <c r="AY32" s="3451"/>
      <c r="AZ32" s="3465">
        <f>AZ33/(AZ12+AZ31)*100</f>
        <v>0</v>
      </c>
      <c r="BA32" s="3465">
        <f>BA33/(BA12+BA31)*100</f>
        <v>0</v>
      </c>
      <c r="BB32" s="3468">
        <f>BB33/(BB12+BB31)*100</f>
        <v>0</v>
      </c>
      <c r="BC32" s="3468">
        <f>BC33/(BC12+BC31)*100</f>
        <v>0</v>
      </c>
      <c r="BD32" s="3451"/>
      <c r="BE32" s="3468">
        <f>BE33/(BE12+BE31)*100</f>
        <v>0</v>
      </c>
      <c r="BF32" s="3451"/>
      <c r="BG32" s="3468">
        <f>BG33/(BG12+BG31)*100</f>
        <v>0</v>
      </c>
      <c r="BH32" s="3468">
        <f>BH33/(BH12+BH31)*100</f>
        <v>0</v>
      </c>
      <c r="BI32" s="3468">
        <f>BI33/(BI12+BI31)*100</f>
        <v>0</v>
      </c>
      <c r="BJ32" s="3468">
        <f>BJ33/(BJ12+BJ31)*100</f>
        <v>0</v>
      </c>
      <c r="BK32" s="3451"/>
      <c r="BL32" s="3468">
        <f>BL33/(BL12+BL31)*100</f>
        <v>0</v>
      </c>
      <c r="BM32" s="3451"/>
      <c r="BN32" s="3813">
        <f>BN33/(BN12+BN31)*100</f>
        <v>0.27965063320549161</v>
      </c>
      <c r="BO32" s="3813">
        <f>BO33/(BO12+BO31)*100</f>
        <v>0.28726161472364881</v>
      </c>
      <c r="BP32" s="3468">
        <f>BP33/(BP12+BP31)*100</f>
        <v>0.27327147761228221</v>
      </c>
      <c r="BQ32" s="3514">
        <f>BQ33/(BQ12+BQ31)*100</f>
        <v>0</v>
      </c>
      <c r="BR32" s="3512"/>
      <c r="BS32" s="4050">
        <f>BS33/(BS12+BS31)*100</f>
        <v>0</v>
      </c>
      <c r="BT32" s="4037"/>
      <c r="BU32" s="3514">
        <f>BU33/(BU12+BU31)*100</f>
        <v>0</v>
      </c>
      <c r="BV32" s="3512"/>
      <c r="BW32" s="4297">
        <f>BW33/(BW12+BW31)*100</f>
        <v>0</v>
      </c>
      <c r="BX32" s="3512"/>
      <c r="BY32" s="4840">
        <f>BY33/(BY12+BY31)*100</f>
        <v>0</v>
      </c>
      <c r="BZ32" s="4840">
        <f>BZ33/(BZ12+BZ31)*100</f>
        <v>0</v>
      </c>
    </row>
    <row r="33" spans="1:78" s="2732" customFormat="1" ht="28.5" customHeight="1" x14ac:dyDescent="0.25">
      <c r="A33" s="3453" t="s">
        <v>924</v>
      </c>
      <c r="B33" s="3454" t="s">
        <v>925</v>
      </c>
      <c r="C33" s="3453" t="s">
        <v>899</v>
      </c>
      <c r="D33" s="3451">
        <f>D34+D35+D36</f>
        <v>10099.049999999999</v>
      </c>
      <c r="E33" s="3452">
        <f>E34+E35+E36</f>
        <v>0</v>
      </c>
      <c r="F33" s="3451">
        <f>F34+F35+F36</f>
        <v>3976</v>
      </c>
      <c r="G33" s="3451">
        <f>G34+G35+G36</f>
        <v>0</v>
      </c>
      <c r="H33" s="3451">
        <f>H34+H35+H36</f>
        <v>3976</v>
      </c>
      <c r="I33" s="3451">
        <f t="shared" ref="I33:AD33" si="50">I34+I35+I36</f>
        <v>0</v>
      </c>
      <c r="J33" s="3451">
        <f t="shared" si="50"/>
        <v>0</v>
      </c>
      <c r="K33" s="3451">
        <f t="shared" si="50"/>
        <v>0</v>
      </c>
      <c r="L33" s="3451">
        <v>0</v>
      </c>
      <c r="M33" s="3451">
        <v>0</v>
      </c>
      <c r="N33" s="3451">
        <f t="shared" si="50"/>
        <v>0</v>
      </c>
      <c r="O33" s="3451">
        <f t="shared" si="50"/>
        <v>0</v>
      </c>
      <c r="P33" s="3451">
        <f t="shared" si="50"/>
        <v>0</v>
      </c>
      <c r="Q33" s="3451">
        <f t="shared" ref="Q33" si="51">Q34+Q35+Q36</f>
        <v>0</v>
      </c>
      <c r="R33" s="3451">
        <f t="shared" si="50"/>
        <v>-3321.77</v>
      </c>
      <c r="S33" s="3451">
        <f t="shared" si="50"/>
        <v>0</v>
      </c>
      <c r="T33" s="3451">
        <f t="shared" si="50"/>
        <v>0</v>
      </c>
      <c r="U33" s="3451">
        <f t="shared" si="50"/>
        <v>0</v>
      </c>
      <c r="V33" s="3451">
        <f t="shared" si="50"/>
        <v>0</v>
      </c>
      <c r="W33" s="3451">
        <f t="shared" si="50"/>
        <v>0</v>
      </c>
      <c r="X33" s="3451">
        <f t="shared" si="50"/>
        <v>0</v>
      </c>
      <c r="Y33" s="3451">
        <v>0</v>
      </c>
      <c r="Z33" s="3451">
        <f t="shared" si="50"/>
        <v>0</v>
      </c>
      <c r="AA33" s="3451">
        <f t="shared" si="50"/>
        <v>0</v>
      </c>
      <c r="AB33" s="3451">
        <f t="shared" si="50"/>
        <v>0</v>
      </c>
      <c r="AC33" s="3451">
        <f t="shared" si="50"/>
        <v>0</v>
      </c>
      <c r="AD33" s="3451">
        <f t="shared" si="50"/>
        <v>0</v>
      </c>
      <c r="AE33" s="3451">
        <f t="shared" ref="AE33" si="52">AE34+AE35+AE36</f>
        <v>0</v>
      </c>
      <c r="AF33" s="3451"/>
      <c r="AG33" s="3446"/>
      <c r="AH33" s="3446"/>
      <c r="AI33" s="3446"/>
      <c r="AJ33" s="3446"/>
      <c r="AK33" s="3446"/>
      <c r="AL33" s="3446"/>
      <c r="AM33" s="3446"/>
      <c r="AN33" s="3446"/>
      <c r="AO33" s="3446"/>
      <c r="AP33" s="3446"/>
      <c r="AQ33" s="3446"/>
      <c r="AR33" s="3446"/>
      <c r="AS33" s="3446"/>
      <c r="AT33" s="3446"/>
      <c r="AU33" s="3446"/>
      <c r="AV33" s="3446"/>
      <c r="AW33" s="3446"/>
      <c r="AX33" s="3451">
        <f t="shared" ref="AX33" si="53">AX34+AX35+AX36</f>
        <v>0</v>
      </c>
      <c r="AY33" s="3451"/>
      <c r="AZ33" s="3451">
        <f t="shared" ref="AZ33:BA33" si="54">AZ34+AZ35+AZ36</f>
        <v>0</v>
      </c>
      <c r="BA33" s="3451">
        <f t="shared" si="54"/>
        <v>0</v>
      </c>
      <c r="BB33" s="3451">
        <f t="shared" ref="BB33" si="55">BB34+BB35+BB36</f>
        <v>0</v>
      </c>
      <c r="BC33" s="3451">
        <f t="shared" ref="BC33" si="56">BC34+BC35+BC36</f>
        <v>0</v>
      </c>
      <c r="BD33" s="3451"/>
      <c r="BE33" s="3451">
        <f t="shared" ref="BE33" si="57">BE34+BE35+BE36</f>
        <v>0</v>
      </c>
      <c r="BF33" s="3451"/>
      <c r="BG33" s="3451">
        <f t="shared" ref="BG33:BJ33" si="58">BG34+BG35+BG36</f>
        <v>0</v>
      </c>
      <c r="BH33" s="3451">
        <f t="shared" si="58"/>
        <v>0</v>
      </c>
      <c r="BI33" s="3451">
        <f t="shared" si="58"/>
        <v>0</v>
      </c>
      <c r="BJ33" s="3451">
        <f t="shared" si="58"/>
        <v>0</v>
      </c>
      <c r="BK33" s="3451"/>
      <c r="BL33" s="3451">
        <f t="shared" ref="BL33" si="59">BL34+BL35+BL36</f>
        <v>0</v>
      </c>
      <c r="BM33" s="3451"/>
      <c r="BN33" s="3811">
        <f t="shared" ref="BN33:BQ33" si="60">BN34+BN35+BN36</f>
        <v>205.40635800000001</v>
      </c>
      <c r="BO33" s="3811">
        <f t="shared" si="60"/>
        <v>316.77776399999999</v>
      </c>
      <c r="BP33" s="3451">
        <f t="shared" si="60"/>
        <v>418.29994799999997</v>
      </c>
      <c r="BQ33" s="3512">
        <f t="shared" si="60"/>
        <v>0</v>
      </c>
      <c r="BR33" s="3512"/>
      <c r="BS33" s="4037">
        <f t="shared" ref="BS33" si="61">BS34+BS35+BS36</f>
        <v>0</v>
      </c>
      <c r="BT33" s="4037"/>
      <c r="BU33" s="3512">
        <f t="shared" ref="BU33" si="62">BU34+BU35+BU36</f>
        <v>0</v>
      </c>
      <c r="BV33" s="3512"/>
      <c r="BW33" s="3512">
        <f t="shared" ref="BW33" si="63">BW34+BW35+BW36</f>
        <v>0</v>
      </c>
      <c r="BX33" s="3512"/>
      <c r="BY33" s="4838">
        <f t="shared" ref="BY33:BZ33" si="64">BY34+BY35+BY36</f>
        <v>0</v>
      </c>
      <c r="BZ33" s="4838">
        <f t="shared" si="64"/>
        <v>0</v>
      </c>
    </row>
    <row r="34" spans="1:78" s="2732" customFormat="1" ht="27" customHeight="1" x14ac:dyDescent="0.25">
      <c r="A34" s="3453" t="s">
        <v>926</v>
      </c>
      <c r="B34" s="3455" t="s">
        <v>927</v>
      </c>
      <c r="C34" s="3453" t="s">
        <v>899</v>
      </c>
      <c r="D34" s="3453">
        <v>4444</v>
      </c>
      <c r="E34" s="3456">
        <v>0</v>
      </c>
      <c r="F34" s="3451">
        <f>вода!BE92</f>
        <v>3976</v>
      </c>
      <c r="G34" s="3451">
        <v>0</v>
      </c>
      <c r="H34" s="3451">
        <v>3976</v>
      </c>
      <c r="I34" s="3451">
        <v>0</v>
      </c>
      <c r="J34" s="3451">
        <v>0</v>
      </c>
      <c r="K34" s="3451">
        <v>0</v>
      </c>
      <c r="L34" s="3451">
        <v>0</v>
      </c>
      <c r="M34" s="3451">
        <v>0</v>
      </c>
      <c r="N34" s="3451">
        <v>0</v>
      </c>
      <c r="O34" s="3451">
        <v>0</v>
      </c>
      <c r="P34" s="3451">
        <v>0</v>
      </c>
      <c r="Q34" s="3451">
        <v>0</v>
      </c>
      <c r="R34" s="3451">
        <v>-3321.77</v>
      </c>
      <c r="S34" s="3451">
        <v>0</v>
      </c>
      <c r="T34" s="3451">
        <v>0</v>
      </c>
      <c r="U34" s="3451">
        <v>0</v>
      </c>
      <c r="V34" s="3451">
        <v>0</v>
      </c>
      <c r="W34" s="3451"/>
      <c r="X34" s="3451">
        <v>0</v>
      </c>
      <c r="Y34" s="3451">
        <v>0</v>
      </c>
      <c r="Z34" s="3451">
        <v>0</v>
      </c>
      <c r="AA34" s="3451">
        <v>0</v>
      </c>
      <c r="AB34" s="3451">
        <v>0</v>
      </c>
      <c r="AC34" s="3451">
        <v>0</v>
      </c>
      <c r="AD34" s="3451">
        <v>0</v>
      </c>
      <c r="AE34" s="3451">
        <v>0</v>
      </c>
      <c r="AF34" s="3451"/>
      <c r="AG34" s="3446"/>
      <c r="AH34" s="3446"/>
      <c r="AI34" s="3446"/>
      <c r="AJ34" s="3446"/>
      <c r="AK34" s="3446"/>
      <c r="AL34" s="3446"/>
      <c r="AM34" s="3446"/>
      <c r="AN34" s="3446"/>
      <c r="AO34" s="3446"/>
      <c r="AP34" s="3446"/>
      <c r="AQ34" s="3446"/>
      <c r="AR34" s="3446"/>
      <c r="AS34" s="3446"/>
      <c r="AT34" s="3446"/>
      <c r="AU34" s="3446"/>
      <c r="AV34" s="3446"/>
      <c r="AW34" s="3446"/>
      <c r="AX34" s="3451">
        <v>0</v>
      </c>
      <c r="AY34" s="3451"/>
      <c r="AZ34" s="3451">
        <v>0</v>
      </c>
      <c r="BA34" s="3451">
        <v>0</v>
      </c>
      <c r="BB34" s="3451">
        <v>0</v>
      </c>
      <c r="BC34" s="3451">
        <v>0</v>
      </c>
      <c r="BD34" s="3451"/>
      <c r="BE34" s="3451">
        <v>0</v>
      </c>
      <c r="BF34" s="3451"/>
      <c r="BG34" s="3451">
        <v>0</v>
      </c>
      <c r="BH34" s="3451">
        <v>0</v>
      </c>
      <c r="BI34" s="3451">
        <v>0</v>
      </c>
      <c r="BJ34" s="3451">
        <v>0</v>
      </c>
      <c r="BK34" s="3451"/>
      <c r="BL34" s="3451">
        <v>0</v>
      </c>
      <c r="BM34" s="3451"/>
      <c r="BN34" s="3811">
        <v>0</v>
      </c>
      <c r="BO34" s="3811">
        <v>0</v>
      </c>
      <c r="BP34" s="3451">
        <v>0</v>
      </c>
      <c r="BQ34" s="3512">
        <v>0</v>
      </c>
      <c r="BR34" s="3512"/>
      <c r="BS34" s="4037">
        <v>0</v>
      </c>
      <c r="BT34" s="4037"/>
      <c r="BU34" s="3512">
        <v>0</v>
      </c>
      <c r="BV34" s="3512"/>
      <c r="BW34" s="3512">
        <v>0</v>
      </c>
      <c r="BX34" s="3512"/>
      <c r="BY34" s="4838">
        <v>0</v>
      </c>
      <c r="BZ34" s="4838">
        <v>0</v>
      </c>
    </row>
    <row r="35" spans="1:78" s="2732" customFormat="1" ht="62.25" customHeight="1" x14ac:dyDescent="0.25">
      <c r="A35" s="3453" t="s">
        <v>928</v>
      </c>
      <c r="B35" s="3455" t="s">
        <v>929</v>
      </c>
      <c r="C35" s="3453" t="s">
        <v>899</v>
      </c>
      <c r="D35" s="3453">
        <v>0</v>
      </c>
      <c r="E35" s="3456">
        <v>0</v>
      </c>
      <c r="F35" s="3451">
        <v>0</v>
      </c>
      <c r="G35" s="3451">
        <v>0</v>
      </c>
      <c r="H35" s="3451">
        <v>0</v>
      </c>
      <c r="I35" s="3451">
        <v>0</v>
      </c>
      <c r="J35" s="3451">
        <v>0</v>
      </c>
      <c r="K35" s="3451">
        <v>0</v>
      </c>
      <c r="L35" s="3451">
        <v>0</v>
      </c>
      <c r="M35" s="3451">
        <v>0</v>
      </c>
      <c r="N35" s="3451">
        <v>0</v>
      </c>
      <c r="O35" s="3451">
        <v>0</v>
      </c>
      <c r="P35" s="3451">
        <v>0</v>
      </c>
      <c r="Q35" s="3451">
        <v>0</v>
      </c>
      <c r="R35" s="3451">
        <v>0</v>
      </c>
      <c r="S35" s="3451">
        <v>0</v>
      </c>
      <c r="T35" s="3451">
        <v>0</v>
      </c>
      <c r="U35" s="3451">
        <v>0</v>
      </c>
      <c r="V35" s="3451">
        <v>0</v>
      </c>
      <c r="W35" s="3451"/>
      <c r="X35" s="3451">
        <v>0</v>
      </c>
      <c r="Y35" s="3451">
        <v>0</v>
      </c>
      <c r="Z35" s="3451">
        <v>0</v>
      </c>
      <c r="AA35" s="3451">
        <v>0</v>
      </c>
      <c r="AB35" s="3451">
        <v>0</v>
      </c>
      <c r="AC35" s="3451">
        <v>0</v>
      </c>
      <c r="AD35" s="3451">
        <v>0</v>
      </c>
      <c r="AE35" s="3451">
        <v>0</v>
      </c>
      <c r="AF35" s="3451"/>
      <c r="AG35" s="3446"/>
      <c r="AH35" s="3446"/>
      <c r="AI35" s="3446"/>
      <c r="AJ35" s="3446"/>
      <c r="AK35" s="3446"/>
      <c r="AL35" s="3446"/>
      <c r="AM35" s="3446"/>
      <c r="AN35" s="3446"/>
      <c r="AO35" s="3446"/>
      <c r="AP35" s="3446"/>
      <c r="AQ35" s="3446"/>
      <c r="AR35" s="3446"/>
      <c r="AS35" s="3446"/>
      <c r="AT35" s="3446"/>
      <c r="AU35" s="3446"/>
      <c r="AV35" s="3446"/>
      <c r="AW35" s="3446"/>
      <c r="AX35" s="3451">
        <v>0</v>
      </c>
      <c r="AY35" s="3451"/>
      <c r="AZ35" s="3451">
        <v>0</v>
      </c>
      <c r="BA35" s="3451">
        <v>0</v>
      </c>
      <c r="BB35" s="3451">
        <v>0</v>
      </c>
      <c r="BC35" s="3451">
        <v>0</v>
      </c>
      <c r="BD35" s="3451"/>
      <c r="BE35" s="3451">
        <v>0</v>
      </c>
      <c r="BF35" s="3451"/>
      <c r="BG35" s="3451">
        <v>0</v>
      </c>
      <c r="BH35" s="3451">
        <v>0</v>
      </c>
      <c r="BI35" s="3451">
        <v>0</v>
      </c>
      <c r="BJ35" s="3451">
        <v>0</v>
      </c>
      <c r="BK35" s="3451"/>
      <c r="BL35" s="3451">
        <v>0</v>
      </c>
      <c r="BM35" s="3451"/>
      <c r="BN35" s="3811">
        <v>0</v>
      </c>
      <c r="BO35" s="3811">
        <v>0</v>
      </c>
      <c r="BP35" s="3451">
        <v>0</v>
      </c>
      <c r="BQ35" s="3512">
        <v>0</v>
      </c>
      <c r="BR35" s="3512"/>
      <c r="BS35" s="4037">
        <v>0</v>
      </c>
      <c r="BT35" s="4037"/>
      <c r="BU35" s="3512">
        <v>0</v>
      </c>
      <c r="BV35" s="3512"/>
      <c r="BW35" s="3512">
        <v>0</v>
      </c>
      <c r="BX35" s="3512"/>
      <c r="BY35" s="4838">
        <v>0</v>
      </c>
      <c r="BZ35" s="4838">
        <v>0</v>
      </c>
    </row>
    <row r="36" spans="1:78" s="2732" customFormat="1" ht="38.25" customHeight="1" x14ac:dyDescent="0.25">
      <c r="A36" s="3453" t="s">
        <v>930</v>
      </c>
      <c r="B36" s="3455" t="s">
        <v>931</v>
      </c>
      <c r="C36" s="3453" t="s">
        <v>899</v>
      </c>
      <c r="D36" s="3453">
        <v>5655.05</v>
      </c>
      <c r="E36" s="3456">
        <v>0</v>
      </c>
      <c r="F36" s="3451">
        <v>0</v>
      </c>
      <c r="G36" s="3451">
        <v>0</v>
      </c>
      <c r="H36" s="3451">
        <v>0</v>
      </c>
      <c r="I36" s="3451">
        <v>0</v>
      </c>
      <c r="J36" s="3451">
        <v>0</v>
      </c>
      <c r="K36" s="3451">
        <v>0</v>
      </c>
      <c r="L36" s="3451">
        <v>0</v>
      </c>
      <c r="M36" s="3451">
        <v>0</v>
      </c>
      <c r="N36" s="3451">
        <v>0</v>
      </c>
      <c r="O36" s="3451">
        <v>0</v>
      </c>
      <c r="P36" s="3451">
        <v>0</v>
      </c>
      <c r="Q36" s="3451">
        <v>0</v>
      </c>
      <c r="R36" s="3451">
        <v>0</v>
      </c>
      <c r="S36" s="3451">
        <v>0</v>
      </c>
      <c r="T36" s="3451">
        <v>0</v>
      </c>
      <c r="U36" s="3451">
        <v>0</v>
      </c>
      <c r="V36" s="3451">
        <v>0</v>
      </c>
      <c r="W36" s="3451"/>
      <c r="X36" s="3451">
        <v>0</v>
      </c>
      <c r="Y36" s="3451">
        <v>0</v>
      </c>
      <c r="Z36" s="3451">
        <v>0</v>
      </c>
      <c r="AA36" s="3451">
        <v>0</v>
      </c>
      <c r="AB36" s="3451">
        <v>0</v>
      </c>
      <c r="AC36" s="3451">
        <v>0</v>
      </c>
      <c r="AD36" s="3451">
        <v>0</v>
      </c>
      <c r="AE36" s="3451">
        <v>0</v>
      </c>
      <c r="AF36" s="3451"/>
      <c r="AG36" s="3446"/>
      <c r="AH36" s="3446"/>
      <c r="AI36" s="3446"/>
      <c r="AJ36" s="3446"/>
      <c r="AK36" s="3446"/>
      <c r="AL36" s="3446"/>
      <c r="AM36" s="3446"/>
      <c r="AN36" s="3446"/>
      <c r="AO36" s="3446"/>
      <c r="AP36" s="3446"/>
      <c r="AQ36" s="3446"/>
      <c r="AR36" s="3446"/>
      <c r="AS36" s="3446"/>
      <c r="AT36" s="3446"/>
      <c r="AU36" s="3446"/>
      <c r="AV36" s="3446"/>
      <c r="AW36" s="3446"/>
      <c r="AX36" s="3451">
        <v>0</v>
      </c>
      <c r="AY36" s="3451"/>
      <c r="AZ36" s="3451">
        <v>0</v>
      </c>
      <c r="BA36" s="3451">
        <v>0</v>
      </c>
      <c r="BB36" s="3451">
        <v>0</v>
      </c>
      <c r="BC36" s="3451">
        <v>0</v>
      </c>
      <c r="BD36" s="3451"/>
      <c r="BE36" s="3451">
        <v>0</v>
      </c>
      <c r="BF36" s="3451"/>
      <c r="BG36" s="3451">
        <v>0</v>
      </c>
      <c r="BH36" s="3451">
        <v>0</v>
      </c>
      <c r="BI36" s="3451">
        <v>0</v>
      </c>
      <c r="BJ36" s="3451">
        <v>0</v>
      </c>
      <c r="BK36" s="3451"/>
      <c r="BL36" s="3451">
        <v>0</v>
      </c>
      <c r="BM36" s="3451"/>
      <c r="BN36" s="3811">
        <f>SUM(вода!DN65)</f>
        <v>205.40635800000001</v>
      </c>
      <c r="BO36" s="3811">
        <f>SUM(вода!DQ65)</f>
        <v>316.77776399999999</v>
      </c>
      <c r="BP36" s="3451">
        <f>SUM(вода!DT65)</f>
        <v>418.29994799999997</v>
      </c>
      <c r="BQ36" s="3512">
        <v>0</v>
      </c>
      <c r="BR36" s="3512"/>
      <c r="BS36" s="4037">
        <v>0</v>
      </c>
      <c r="BT36" s="4037"/>
      <c r="BU36" s="3512">
        <v>0</v>
      </c>
      <c r="BV36" s="3512"/>
      <c r="BW36" s="3512">
        <v>0</v>
      </c>
      <c r="BX36" s="3512"/>
      <c r="BY36" s="4838">
        <f>SUM(вода!EI65)</f>
        <v>0</v>
      </c>
      <c r="BZ36" s="4838">
        <f>SUM(вода!EL65)</f>
        <v>0</v>
      </c>
    </row>
    <row r="37" spans="1:78" s="2732" customFormat="1" ht="52.5" customHeight="1" x14ac:dyDescent="0.25">
      <c r="A37" s="3453" t="s">
        <v>193</v>
      </c>
      <c r="B37" s="3454" t="s">
        <v>932</v>
      </c>
      <c r="C37" s="3453" t="s">
        <v>899</v>
      </c>
      <c r="D37" s="3453"/>
      <c r="E37" s="3456"/>
      <c r="F37" s="3451">
        <f>вода!BE89</f>
        <v>6008.8077959141219</v>
      </c>
      <c r="G37" s="3451">
        <v>0</v>
      </c>
      <c r="H37" s="3451">
        <f>F37</f>
        <v>6008.8077959141219</v>
      </c>
      <c r="I37" s="3451">
        <f>(I12+I31)*0.05</f>
        <v>6246.9329468917567</v>
      </c>
      <c r="J37" s="3451">
        <v>6980.88</v>
      </c>
      <c r="K37" s="3451">
        <f>(K12+K31-K23)*0.05</f>
        <v>6213.200708158156</v>
      </c>
      <c r="L37" s="3451">
        <v>0</v>
      </c>
      <c r="M37" s="3451">
        <f>K37</f>
        <v>6213.200708158156</v>
      </c>
      <c r="N37" s="3451">
        <f>(N12+N31)*0.05</f>
        <v>6435.7306125076875</v>
      </c>
      <c r="O37" s="3451">
        <v>6748.29</v>
      </c>
      <c r="P37" s="3451">
        <v>0</v>
      </c>
      <c r="Q37" s="3451">
        <v>0</v>
      </c>
      <c r="R37" s="3451">
        <v>0</v>
      </c>
      <c r="S37" s="3451">
        <v>0</v>
      </c>
      <c r="T37" s="3451">
        <v>0</v>
      </c>
      <c r="U37" s="3451">
        <v>0</v>
      </c>
      <c r="V37" s="3451">
        <v>0</v>
      </c>
      <c r="W37" s="3451"/>
      <c r="X37" s="3451">
        <v>0</v>
      </c>
      <c r="Y37" s="3451">
        <v>0</v>
      </c>
      <c r="Z37" s="3451">
        <v>0</v>
      </c>
      <c r="AA37" s="3451">
        <v>0</v>
      </c>
      <c r="AB37" s="3451">
        <v>0</v>
      </c>
      <c r="AC37" s="3451">
        <v>0</v>
      </c>
      <c r="AD37" s="3451">
        <v>0</v>
      </c>
      <c r="AE37" s="3451">
        <v>0</v>
      </c>
      <c r="AF37" s="3451"/>
      <c r="AG37" s="3446"/>
      <c r="AH37" s="3446"/>
      <c r="AI37" s="3446"/>
      <c r="AJ37" s="3446"/>
      <c r="AK37" s="3446"/>
      <c r="AL37" s="3446"/>
      <c r="AM37" s="3446"/>
      <c r="AN37" s="3446"/>
      <c r="AO37" s="3446"/>
      <c r="AP37" s="3446"/>
      <c r="AQ37" s="3446"/>
      <c r="AR37" s="3446"/>
      <c r="AS37" s="3446"/>
      <c r="AT37" s="3446"/>
      <c r="AU37" s="3446"/>
      <c r="AV37" s="3446"/>
      <c r="AW37" s="3446"/>
      <c r="AX37" s="3451">
        <v>0</v>
      </c>
      <c r="AY37" s="3451"/>
      <c r="AZ37" s="3451">
        <v>0</v>
      </c>
      <c r="BA37" s="3451">
        <v>0</v>
      </c>
      <c r="BB37" s="3451">
        <v>0</v>
      </c>
      <c r="BC37" s="3451">
        <v>0</v>
      </c>
      <c r="BD37" s="3451"/>
      <c r="BE37" s="3451">
        <v>0</v>
      </c>
      <c r="BF37" s="3451"/>
      <c r="BG37" s="3451">
        <v>0</v>
      </c>
      <c r="BH37" s="3451">
        <v>0</v>
      </c>
      <c r="BI37" s="3451">
        <v>0</v>
      </c>
      <c r="BJ37" s="3451">
        <v>0</v>
      </c>
      <c r="BK37" s="3451"/>
      <c r="BL37" s="3451">
        <v>-4.0000000000000001E-3</v>
      </c>
      <c r="BM37" s="3451"/>
      <c r="BN37" s="3811">
        <v>0</v>
      </c>
      <c r="BO37" s="3811">
        <v>-4.0000000000000001E-3</v>
      </c>
      <c r="BP37" s="3451">
        <v>-4.0000000000000001E-3</v>
      </c>
      <c r="BQ37" s="3512">
        <v>0</v>
      </c>
      <c r="BR37" s="3512"/>
      <c r="BS37" s="4037">
        <v>-4.0000000000000001E-3</v>
      </c>
      <c r="BT37" s="4037"/>
      <c r="BU37" s="3512">
        <v>0</v>
      </c>
      <c r="BV37" s="3512"/>
      <c r="BW37" s="3512">
        <v>0</v>
      </c>
      <c r="BX37" s="3512"/>
      <c r="BY37" s="4838"/>
      <c r="BZ37" s="4838"/>
    </row>
    <row r="38" spans="1:78" s="2735" customFormat="1" ht="42.75" hidden="1" customHeight="1" x14ac:dyDescent="0.2">
      <c r="A38" s="3411" t="s">
        <v>1601</v>
      </c>
      <c r="B38" s="3409" t="s">
        <v>1695</v>
      </c>
      <c r="C38" s="3411" t="s">
        <v>899</v>
      </c>
      <c r="D38" s="3411"/>
      <c r="E38" s="3412"/>
      <c r="F38" s="2202"/>
      <c r="G38" s="2202"/>
      <c r="H38" s="2202"/>
      <c r="I38" s="2202"/>
      <c r="J38" s="2202"/>
      <c r="K38" s="2202"/>
      <c r="L38" s="2202"/>
      <c r="M38" s="2202"/>
      <c r="N38" s="2202"/>
      <c r="O38" s="2202"/>
      <c r="P38" s="2202"/>
      <c r="Q38" s="2202"/>
      <c r="R38" s="2202"/>
      <c r="S38" s="2202"/>
      <c r="T38" s="2202"/>
      <c r="U38" s="2202"/>
      <c r="V38" s="2202"/>
      <c r="W38" s="2202"/>
      <c r="X38" s="2202"/>
      <c r="Y38" s="2202"/>
      <c r="Z38" s="2202"/>
      <c r="AA38" s="2202"/>
      <c r="AB38" s="2202"/>
      <c r="AC38" s="2202"/>
      <c r="AD38" s="2202"/>
      <c r="AE38" s="2202"/>
      <c r="AF38" s="3451" t="e">
        <f t="shared" si="9"/>
        <v>#DIV/0!</v>
      </c>
      <c r="AG38" s="2202"/>
      <c r="AH38" s="2202"/>
      <c r="AI38" s="2202"/>
      <c r="AJ38" s="2202"/>
      <c r="AK38" s="2202"/>
      <c r="AL38" s="2202"/>
      <c r="AM38" s="2202"/>
      <c r="AN38" s="3469"/>
      <c r="AO38" s="3469"/>
      <c r="AP38" s="3469"/>
      <c r="AQ38" s="3469"/>
      <c r="AR38" s="3469"/>
      <c r="AS38" s="3469"/>
      <c r="AT38" s="3469"/>
      <c r="AU38" s="3469"/>
      <c r="AV38" s="3469"/>
      <c r="AW38" s="3469"/>
      <c r="AX38" s="2202"/>
      <c r="AY38" s="3451"/>
      <c r="AZ38" s="2202"/>
      <c r="BA38" s="2202"/>
      <c r="BB38" s="2202"/>
      <c r="BC38" s="3772"/>
      <c r="BD38" s="3451" t="e">
        <f t="shared" ref="BD38:BD39" si="65">BC38/AV38*100</f>
        <v>#DIV/0!</v>
      </c>
      <c r="BE38" s="3772"/>
      <c r="BF38" s="3451" t="e">
        <f t="shared" ref="BF38:BF39" si="66">BE38/AX38*100</f>
        <v>#DIV/0!</v>
      </c>
      <c r="BG38" s="3772"/>
      <c r="BH38" s="3772"/>
      <c r="BI38" s="3772"/>
      <c r="BJ38" s="4033"/>
      <c r="BK38" s="3451" t="e">
        <f t="shared" ref="BK38:BK39" si="67">BJ38/BC38*100</f>
        <v>#DIV/0!</v>
      </c>
      <c r="BL38" s="4033"/>
      <c r="BM38" s="3451" t="e">
        <f t="shared" ref="BM38:BM39" si="68">BL38/BE38*100</f>
        <v>#DIV/0!</v>
      </c>
      <c r="BN38" s="3814"/>
      <c r="BO38" s="2456"/>
      <c r="BP38" s="4569"/>
      <c r="BQ38" s="2456"/>
      <c r="BR38" s="3512" t="e">
        <f t="shared" ref="BR38:BR39" si="69">BQ38/BJ38*100</f>
        <v>#DIV/0!</v>
      </c>
      <c r="BS38" s="3932"/>
      <c r="BT38" s="4037" t="e">
        <f t="shared" ref="BT38:BT39" si="70">BS38/BL38*100</f>
        <v>#DIV/0!</v>
      </c>
      <c r="BU38" s="2456"/>
      <c r="BV38" s="3512" t="e">
        <f t="shared" ref="BV38:BV39" si="71">BU38/BN38*100</f>
        <v>#DIV/0!</v>
      </c>
      <c r="BW38" s="2456"/>
      <c r="BX38" s="3512" t="e">
        <f t="shared" si="26"/>
        <v>#DIV/0!</v>
      </c>
      <c r="BY38" s="4841"/>
      <c r="BZ38" s="4841"/>
    </row>
    <row r="39" spans="1:78" s="2736" customFormat="1" ht="27" hidden="1" customHeight="1" x14ac:dyDescent="0.2">
      <c r="A39" s="3277" t="s">
        <v>1696</v>
      </c>
      <c r="B39" s="3409" t="s">
        <v>1697</v>
      </c>
      <c r="C39" s="3411" t="s">
        <v>899</v>
      </c>
      <c r="D39" s="3411"/>
      <c r="E39" s="3412"/>
      <c r="F39" s="2202"/>
      <c r="G39" s="2202"/>
      <c r="H39" s="2202"/>
      <c r="I39" s="2202"/>
      <c r="J39" s="2202"/>
      <c r="K39" s="2202"/>
      <c r="L39" s="2202"/>
      <c r="M39" s="2202"/>
      <c r="N39" s="2202"/>
      <c r="O39" s="2202"/>
      <c r="P39" s="2202"/>
      <c r="Q39" s="2202"/>
      <c r="R39" s="2202"/>
      <c r="S39" s="2202"/>
      <c r="T39" s="2202"/>
      <c r="U39" s="2202"/>
      <c r="V39" s="2202"/>
      <c r="W39" s="2202"/>
      <c r="X39" s="2202"/>
      <c r="Y39" s="2202"/>
      <c r="Z39" s="2202"/>
      <c r="AA39" s="2202"/>
      <c r="AB39" s="2202"/>
      <c r="AC39" s="2202"/>
      <c r="AD39" s="2202"/>
      <c r="AE39" s="2202"/>
      <c r="AF39" s="3451" t="e">
        <f t="shared" si="9"/>
        <v>#DIV/0!</v>
      </c>
      <c r="AG39" s="2202"/>
      <c r="AH39" s="2202"/>
      <c r="AI39" s="2202"/>
      <c r="AJ39" s="2202"/>
      <c r="AK39" s="2202"/>
      <c r="AL39" s="2202"/>
      <c r="AM39" s="2202"/>
      <c r="AN39" s="3470"/>
      <c r="AO39" s="3470"/>
      <c r="AP39" s="3470"/>
      <c r="AQ39" s="3470"/>
      <c r="AR39" s="3470"/>
      <c r="AS39" s="3470"/>
      <c r="AT39" s="3470"/>
      <c r="AU39" s="3470"/>
      <c r="AV39" s="3470"/>
      <c r="AW39" s="3470"/>
      <c r="AX39" s="2202"/>
      <c r="AY39" s="3451"/>
      <c r="AZ39" s="2202"/>
      <c r="BA39" s="2202"/>
      <c r="BB39" s="2202"/>
      <c r="BC39" s="3772"/>
      <c r="BD39" s="3451" t="e">
        <f t="shared" si="65"/>
        <v>#DIV/0!</v>
      </c>
      <c r="BE39" s="3772"/>
      <c r="BF39" s="3451" t="e">
        <f t="shared" si="66"/>
        <v>#DIV/0!</v>
      </c>
      <c r="BG39" s="3772"/>
      <c r="BH39" s="3772"/>
      <c r="BI39" s="3772"/>
      <c r="BJ39" s="4033"/>
      <c r="BK39" s="3451" t="e">
        <f t="shared" si="67"/>
        <v>#DIV/0!</v>
      </c>
      <c r="BL39" s="4033"/>
      <c r="BM39" s="3451" t="e">
        <f t="shared" si="68"/>
        <v>#DIV/0!</v>
      </c>
      <c r="BN39" s="3814"/>
      <c r="BO39" s="2456"/>
      <c r="BP39" s="4569"/>
      <c r="BQ39" s="2456"/>
      <c r="BR39" s="3512" t="e">
        <f t="shared" si="69"/>
        <v>#DIV/0!</v>
      </c>
      <c r="BS39" s="3932"/>
      <c r="BT39" s="4037" t="e">
        <f t="shared" si="70"/>
        <v>#DIV/0!</v>
      </c>
      <c r="BU39" s="2456"/>
      <c r="BV39" s="3512" t="e">
        <f t="shared" si="71"/>
        <v>#DIV/0!</v>
      </c>
      <c r="BW39" s="2456"/>
      <c r="BX39" s="3512" t="e">
        <f t="shared" si="26"/>
        <v>#DIV/0!</v>
      </c>
      <c r="BY39" s="4841"/>
      <c r="BZ39" s="4841"/>
    </row>
    <row r="40" spans="1:78" s="2736" customFormat="1" ht="16.5" customHeight="1" x14ac:dyDescent="0.2">
      <c r="A40" s="3277"/>
      <c r="B40" s="3409" t="s">
        <v>1698</v>
      </c>
      <c r="C40" s="3411" t="s">
        <v>899</v>
      </c>
      <c r="D40" s="3411"/>
      <c r="E40" s="3471">
        <f>D47*E45</f>
        <v>115694.38084153089</v>
      </c>
      <c r="F40" s="2202"/>
      <c r="G40" s="2202"/>
      <c r="H40" s="2202">
        <f>ТН!D24</f>
        <v>116250.6013448</v>
      </c>
      <c r="I40" s="2202"/>
      <c r="J40" s="2202"/>
      <c r="K40" s="2202"/>
      <c r="L40" s="2202"/>
      <c r="M40" s="2202">
        <f>ТН!J24</f>
        <v>127442.32099589999</v>
      </c>
      <c r="N40" s="2202"/>
      <c r="O40" s="2202"/>
      <c r="P40" s="2202"/>
      <c r="Q40" s="2202"/>
      <c r="R40" s="2202"/>
      <c r="S40" s="2202"/>
      <c r="T40" s="2202"/>
      <c r="U40" s="2202"/>
      <c r="V40" s="2202"/>
      <c r="W40" s="2202"/>
      <c r="X40" s="2202"/>
      <c r="Y40" s="2202"/>
      <c r="Z40" s="2202"/>
      <c r="AA40" s="2202"/>
      <c r="AB40" s="2202"/>
      <c r="AC40" s="2202"/>
      <c r="AD40" s="2202"/>
      <c r="AE40" s="2202"/>
      <c r="AF40" s="3451"/>
      <c r="AG40" s="2202"/>
      <c r="AH40" s="2202"/>
      <c r="AI40" s="2202"/>
      <c r="AJ40" s="2202"/>
      <c r="AK40" s="2202"/>
      <c r="AL40" s="2202"/>
      <c r="AM40" s="2202"/>
      <c r="AN40" s="3470"/>
      <c r="AO40" s="3470"/>
      <c r="AP40" s="3470"/>
      <c r="AQ40" s="3470"/>
      <c r="AR40" s="3470"/>
      <c r="AS40" s="3470"/>
      <c r="AT40" s="3470"/>
      <c r="AU40" s="3470"/>
      <c r="AV40" s="3470"/>
      <c r="AW40" s="3470"/>
      <c r="AX40" s="2202"/>
      <c r="AY40" s="3451"/>
      <c r="AZ40" s="2202"/>
      <c r="BA40" s="2202"/>
      <c r="BB40" s="2202"/>
      <c r="BC40" s="3772"/>
      <c r="BD40" s="3451"/>
      <c r="BE40" s="3772"/>
      <c r="BF40" s="3451"/>
      <c r="BG40" s="3772"/>
      <c r="BH40" s="3772"/>
      <c r="BI40" s="3772"/>
      <c r="BJ40" s="4033"/>
      <c r="BK40" s="3451"/>
      <c r="BL40" s="4033"/>
      <c r="BM40" s="3451"/>
      <c r="BN40" s="3814"/>
      <c r="BO40" s="2456"/>
      <c r="BP40" s="4569"/>
      <c r="BQ40" s="2456"/>
      <c r="BR40" s="3512"/>
      <c r="BS40" s="3932"/>
      <c r="BT40" s="4037"/>
      <c r="BU40" s="2456"/>
      <c r="BV40" s="3512"/>
      <c r="BW40" s="2456"/>
      <c r="BX40" s="3512"/>
      <c r="BY40" s="4841"/>
      <c r="BZ40" s="4841"/>
    </row>
    <row r="41" spans="1:78" s="2736" customFormat="1" ht="64.5" customHeight="1" x14ac:dyDescent="0.2">
      <c r="A41" s="3411" t="s">
        <v>185</v>
      </c>
      <c r="B41" s="3409" t="s">
        <v>1699</v>
      </c>
      <c r="C41" s="3411" t="s">
        <v>899</v>
      </c>
      <c r="D41" s="2202">
        <f>D11-E40</f>
        <v>7505.5891584691126</v>
      </c>
      <c r="E41" s="3471">
        <f>E11-E40</f>
        <v>212.27915846911492</v>
      </c>
      <c r="F41" s="2202"/>
      <c r="G41" s="2202"/>
      <c r="H41" s="2202">
        <f>H11-H40</f>
        <v>10623.721553775889</v>
      </c>
      <c r="I41" s="2202"/>
      <c r="J41" s="2202"/>
      <c r="K41" s="2202"/>
      <c r="L41" s="2202"/>
      <c r="M41" s="2202">
        <f>M11-M40</f>
        <v>-3127.7087397172436</v>
      </c>
      <c r="N41" s="2202"/>
      <c r="O41" s="2202"/>
      <c r="P41" s="2202">
        <f>H41*1.039*1.037</f>
        <v>11446.454422064953</v>
      </c>
      <c r="Q41" s="2202">
        <f>F41*1.037*1.027</f>
        <v>0</v>
      </c>
      <c r="R41" s="2202">
        <v>5605.37</v>
      </c>
      <c r="S41" s="2202"/>
      <c r="T41" s="2202"/>
      <c r="U41" s="2202"/>
      <c r="V41" s="2202"/>
      <c r="W41" s="2202"/>
      <c r="X41" s="2202">
        <f>M41*1.037*1.027</f>
        <v>-3331.0066800901241</v>
      </c>
      <c r="Y41" s="2202"/>
      <c r="Z41" s="2202"/>
      <c r="AA41" s="2202"/>
      <c r="AB41" s="2202"/>
      <c r="AC41" s="2202"/>
      <c r="AD41" s="2202"/>
      <c r="AE41" s="2202">
        <f>T41*1.037*1.027</f>
        <v>0</v>
      </c>
      <c r="AF41" s="3451"/>
      <c r="AG41" s="2202"/>
      <c r="AH41" s="2202"/>
      <c r="AI41" s="2202"/>
      <c r="AJ41" s="2202"/>
      <c r="AK41" s="2202"/>
      <c r="AL41" s="2202">
        <f>H41</f>
        <v>10623.721553775889</v>
      </c>
      <c r="AM41" s="2202"/>
      <c r="AN41" s="3470"/>
      <c r="AO41" s="3470"/>
      <c r="AP41" s="3470"/>
      <c r="AQ41" s="3470"/>
      <c r="AR41" s="3470"/>
      <c r="AS41" s="3470"/>
      <c r="AT41" s="3470"/>
      <c r="AU41" s="3470"/>
      <c r="AV41" s="3470"/>
      <c r="AW41" s="3470"/>
      <c r="AX41" s="2202">
        <f>-9643.62*1.037*1.05</f>
        <v>-10500.455637000001</v>
      </c>
      <c r="AY41" s="3451"/>
      <c r="AZ41" s="2202">
        <v>0</v>
      </c>
      <c r="BA41" s="2202">
        <v>0</v>
      </c>
      <c r="BB41" s="2202">
        <v>0</v>
      </c>
      <c r="BC41" s="3772">
        <v>0</v>
      </c>
      <c r="BD41" s="3451"/>
      <c r="BE41" s="3772">
        <v>-3320.27</v>
      </c>
      <c r="BF41" s="3451"/>
      <c r="BG41" s="3772">
        <v>0</v>
      </c>
      <c r="BH41" s="3772">
        <v>0</v>
      </c>
      <c r="BI41" s="3772">
        <v>0</v>
      </c>
      <c r="BJ41" s="4033">
        <v>0</v>
      </c>
      <c r="BK41" s="3451"/>
      <c r="BL41" s="4033">
        <v>-1804.8249000000001</v>
      </c>
      <c r="BM41" s="3451"/>
      <c r="BN41" s="3814">
        <v>0</v>
      </c>
      <c r="BO41" s="3814">
        <v>-4.0000000000000001E-3</v>
      </c>
      <c r="BP41" s="4569">
        <v>-4.0000000000000001E-3</v>
      </c>
      <c r="BQ41" s="2456">
        <v>0</v>
      </c>
      <c r="BR41" s="3512"/>
      <c r="BS41" s="3932">
        <v>-1804.8249000000001</v>
      </c>
      <c r="BT41" s="4037"/>
      <c r="BU41" s="2456">
        <v>0</v>
      </c>
      <c r="BV41" s="3512"/>
      <c r="BW41" s="2456">
        <v>6523.6974158123803</v>
      </c>
      <c r="BX41" s="3512">
        <f t="shared" si="26"/>
        <v>-361.45874404837724</v>
      </c>
      <c r="BY41" s="4841">
        <v>0</v>
      </c>
      <c r="BZ41" s="4841">
        <v>-4.8999999999999998E-3</v>
      </c>
    </row>
    <row r="42" spans="1:78" s="2736" customFormat="1" ht="66" customHeight="1" x14ac:dyDescent="0.2">
      <c r="A42" s="3411" t="s">
        <v>936</v>
      </c>
      <c r="B42" s="3409" t="s">
        <v>1700</v>
      </c>
      <c r="C42" s="3411" t="s">
        <v>899</v>
      </c>
      <c r="D42" s="3411"/>
      <c r="E42" s="3412"/>
      <c r="F42" s="2202"/>
      <c r="G42" s="2202"/>
      <c r="H42" s="2202"/>
      <c r="I42" s="2202"/>
      <c r="J42" s="2202"/>
      <c r="K42" s="2202">
        <v>-1205.44</v>
      </c>
      <c r="L42" s="2202"/>
      <c r="M42" s="2202">
        <v>0</v>
      </c>
      <c r="N42" s="2202"/>
      <c r="O42" s="2202"/>
      <c r="P42" s="2202">
        <v>-6624.9</v>
      </c>
      <c r="Q42" s="2202">
        <f>-ИП!F35</f>
        <v>0</v>
      </c>
      <c r="R42" s="2202"/>
      <c r="S42" s="2202"/>
      <c r="T42" s="2202"/>
      <c r="U42" s="2202"/>
      <c r="V42" s="2202"/>
      <c r="W42" s="2202"/>
      <c r="X42" s="2202">
        <f>-ИП!M35</f>
        <v>-4146</v>
      </c>
      <c r="Y42" s="2202"/>
      <c r="Z42" s="2202"/>
      <c r="AA42" s="2202"/>
      <c r="AB42" s="2202"/>
      <c r="AC42" s="2202"/>
      <c r="AD42" s="2202"/>
      <c r="AE42" s="2202">
        <f>-ИП!T35</f>
        <v>0</v>
      </c>
      <c r="AF42" s="3451"/>
      <c r="AG42" s="2202"/>
      <c r="AH42" s="2202"/>
      <c r="AI42" s="2202"/>
      <c r="AJ42" s="2202"/>
      <c r="AK42" s="2202"/>
      <c r="AL42" s="2202"/>
      <c r="AM42" s="2202"/>
      <c r="AN42" s="3470"/>
      <c r="AO42" s="3470"/>
      <c r="AP42" s="3470"/>
      <c r="AQ42" s="3470"/>
      <c r="AR42" s="3470"/>
      <c r="AS42" s="3470"/>
      <c r="AT42" s="3470"/>
      <c r="AU42" s="3470"/>
      <c r="AV42" s="3470"/>
      <c r="AW42" s="3470"/>
      <c r="AX42" s="2202">
        <f>-ИП!AM35</f>
        <v>0</v>
      </c>
      <c r="AY42" s="3451"/>
      <c r="AZ42" s="2202">
        <v>0</v>
      </c>
      <c r="BA42" s="2202">
        <v>0</v>
      </c>
      <c r="BB42" s="3472">
        <v>-0.02</v>
      </c>
      <c r="BC42" s="3472"/>
      <c r="BD42" s="3451"/>
      <c r="BE42" s="3472"/>
      <c r="BF42" s="3451"/>
      <c r="BG42" s="3772">
        <v>0</v>
      </c>
      <c r="BH42" s="3772">
        <v>0</v>
      </c>
      <c r="BI42" s="3472">
        <v>-0.01</v>
      </c>
      <c r="BJ42" s="3472">
        <v>0</v>
      </c>
      <c r="BK42" s="3451"/>
      <c r="BL42" s="3472"/>
      <c r="BM42" s="3451"/>
      <c r="BN42" s="3814">
        <v>0</v>
      </c>
      <c r="BO42" s="3814">
        <v>-4.0000000000000001E-3</v>
      </c>
      <c r="BP42" s="4569">
        <v>-4.0000000000000001E-3</v>
      </c>
      <c r="BQ42" s="3515">
        <v>0</v>
      </c>
      <c r="BR42" s="3512"/>
      <c r="BS42" s="4040"/>
      <c r="BT42" s="4037"/>
      <c r="BU42" s="3515">
        <v>0</v>
      </c>
      <c r="BV42" s="3512"/>
      <c r="BW42" s="2456"/>
      <c r="BX42" s="3512"/>
      <c r="BY42" s="4841">
        <v>-4.0000000000000001E-3</v>
      </c>
      <c r="BZ42" s="4841">
        <v>-4.8999999999999998E-3</v>
      </c>
    </row>
    <row r="43" spans="1:78" s="2737" customFormat="1" ht="155.25" customHeight="1" x14ac:dyDescent="0.25">
      <c r="A43" s="3411" t="s">
        <v>942</v>
      </c>
      <c r="B43" s="3473" t="s">
        <v>1701</v>
      </c>
      <c r="C43" s="3411" t="s">
        <v>899</v>
      </c>
      <c r="D43" s="3474"/>
      <c r="E43" s="3475"/>
      <c r="F43" s="3252"/>
      <c r="G43" s="3252"/>
      <c r="H43" s="3252"/>
      <c r="I43" s="3252"/>
      <c r="J43" s="3252"/>
      <c r="K43" s="3252"/>
      <c r="L43" s="3252"/>
      <c r="M43" s="2202">
        <v>0</v>
      </c>
      <c r="N43" s="3252"/>
      <c r="O43" s="3252"/>
      <c r="P43" s="2202">
        <f>-А!C24</f>
        <v>-1402.0984566147722</v>
      </c>
      <c r="Q43" s="2202">
        <v>0</v>
      </c>
      <c r="R43" s="2202"/>
      <c r="S43" s="2202"/>
      <c r="T43" s="2202"/>
      <c r="U43" s="2202"/>
      <c r="V43" s="2202"/>
      <c r="W43" s="2202"/>
      <c r="X43" s="2202">
        <f>-'А 2017'!C24</f>
        <v>-2860.2146527550749</v>
      </c>
      <c r="Y43" s="2202"/>
      <c r="Z43" s="2202"/>
      <c r="AA43" s="2202"/>
      <c r="AB43" s="2202"/>
      <c r="AC43" s="2202"/>
      <c r="AD43" s="2202"/>
      <c r="AE43" s="2202">
        <f>-'А 2017'!J24</f>
        <v>0</v>
      </c>
      <c r="AF43" s="3451"/>
      <c r="AG43" s="3476"/>
      <c r="AH43" s="3476"/>
      <c r="AI43" s="3476"/>
      <c r="AJ43" s="3476"/>
      <c r="AK43" s="3476"/>
      <c r="AL43" s="3477">
        <f>'[46]дельта ЦП 2018'!C2</f>
        <v>6338.908441769564</v>
      </c>
      <c r="AM43" s="3476"/>
      <c r="AN43" s="3478"/>
      <c r="AO43" s="3478"/>
      <c r="AP43" s="3478"/>
      <c r="AQ43" s="3478"/>
      <c r="AR43" s="3478"/>
      <c r="AS43" s="3478"/>
      <c r="AT43" s="3478"/>
      <c r="AU43" s="3478"/>
      <c r="AV43" s="3478"/>
      <c r="AW43" s="3478"/>
      <c r="AX43" s="2202">
        <f>-SUM('А 2018'!C23)</f>
        <v>-4372.4244373956808</v>
      </c>
      <c r="AY43" s="3451"/>
      <c r="AZ43" s="2202">
        <v>0</v>
      </c>
      <c r="BA43" s="2202">
        <v>0</v>
      </c>
      <c r="BB43" s="2202">
        <v>0</v>
      </c>
      <c r="BC43" s="3772">
        <v>0</v>
      </c>
      <c r="BD43" s="3451"/>
      <c r="BE43" s="3772"/>
      <c r="BF43" s="3451"/>
      <c r="BG43" s="3772">
        <v>0</v>
      </c>
      <c r="BH43" s="3772">
        <v>0</v>
      </c>
      <c r="BI43" s="3772">
        <v>-2E-3</v>
      </c>
      <c r="BJ43" s="4033">
        <v>0</v>
      </c>
      <c r="BK43" s="3451"/>
      <c r="BL43" s="4033"/>
      <c r="BM43" s="3451"/>
      <c r="BN43" s="3814">
        <v>0</v>
      </c>
      <c r="BO43" s="3814">
        <v>-4.0000000000000001E-3</v>
      </c>
      <c r="BP43" s="4569">
        <v>-4.0000000000000001E-3</v>
      </c>
      <c r="BQ43" s="2456">
        <v>0</v>
      </c>
      <c r="BR43" s="3512"/>
      <c r="BS43" s="3932"/>
      <c r="BT43" s="4037"/>
      <c r="BU43" s="2456">
        <v>0</v>
      </c>
      <c r="BV43" s="3512"/>
      <c r="BW43" s="2456"/>
      <c r="BX43" s="3512"/>
      <c r="BY43" s="4841">
        <v>-4.8999999999999998E-3</v>
      </c>
      <c r="BZ43" s="4841">
        <v>-4.8999999999999998E-3</v>
      </c>
    </row>
    <row r="44" spans="1:78" s="2030" customFormat="1" ht="30.75" customHeight="1" x14ac:dyDescent="0.2">
      <c r="A44" s="3479"/>
      <c r="B44" s="3480" t="s">
        <v>1750</v>
      </c>
      <c r="C44" s="3479" t="s">
        <v>899</v>
      </c>
      <c r="D44" s="3481"/>
      <c r="E44" s="3482"/>
      <c r="F44" s="3483"/>
      <c r="G44" s="3483"/>
      <c r="H44" s="3483"/>
      <c r="I44" s="3483"/>
      <c r="J44" s="3483"/>
      <c r="K44" s="3483">
        <f>K11+K41+K42+K43</f>
        <v>131526.15938646757</v>
      </c>
      <c r="L44" s="3483"/>
      <c r="M44" s="3483"/>
      <c r="N44" s="3483"/>
      <c r="O44" s="3483"/>
      <c r="P44" s="3483">
        <f t="shared" ref="P44:X44" si="72">P11+P41+P42+P43</f>
        <v>131195.05573943019</v>
      </c>
      <c r="Q44" s="3483">
        <f t="shared" si="72"/>
        <v>136412.62899999999</v>
      </c>
      <c r="R44" s="3483">
        <f t="shared" si="72"/>
        <v>157798.91</v>
      </c>
      <c r="S44" s="3483">
        <f t="shared" si="72"/>
        <v>163063.53999999998</v>
      </c>
      <c r="T44" s="3483">
        <f t="shared" si="72"/>
        <v>168098.30000000002</v>
      </c>
      <c r="U44" s="3483">
        <f t="shared" si="72"/>
        <v>173305.15999999997</v>
      </c>
      <c r="V44" s="3483">
        <f t="shared" si="72"/>
        <v>178711.02</v>
      </c>
      <c r="W44" s="3483">
        <f t="shared" si="72"/>
        <v>0</v>
      </c>
      <c r="X44" s="3327">
        <f t="shared" si="72"/>
        <v>137206.89677864019</v>
      </c>
      <c r="Y44" s="3327">
        <f>X44/P44*100</f>
        <v>104.5823686001935</v>
      </c>
      <c r="Z44" s="3327">
        <f t="shared" ref="Z44:AE44" si="73">Z11+Z41+Z42+Z43</f>
        <v>152394.79711169572</v>
      </c>
      <c r="AA44" s="3327">
        <f t="shared" si="73"/>
        <v>155941.62487183817</v>
      </c>
      <c r="AB44" s="3327">
        <f t="shared" si="73"/>
        <v>160328.5385559875</v>
      </c>
      <c r="AC44" s="3327">
        <f t="shared" si="73"/>
        <v>164890.69791820081</v>
      </c>
      <c r="AD44" s="3327">
        <f t="shared" si="73"/>
        <v>169657.2078363566</v>
      </c>
      <c r="AE44" s="3483">
        <f t="shared" si="73"/>
        <v>163792.15655699334</v>
      </c>
      <c r="AF44" s="3451">
        <f t="shared" si="9"/>
        <v>119.37603750432744</v>
      </c>
      <c r="AG44" s="3484"/>
      <c r="AH44" s="3484"/>
      <c r="AI44" s="3484"/>
      <c r="AJ44" s="3484"/>
      <c r="AK44" s="3484"/>
      <c r="AL44" s="3484"/>
      <c r="AM44" s="3484"/>
      <c r="AN44" s="3485"/>
      <c r="AO44" s="3485"/>
      <c r="AP44" s="3485"/>
      <c r="AQ44" s="3485"/>
      <c r="AR44" s="3485"/>
      <c r="AS44" s="3485"/>
      <c r="AT44" s="3485"/>
      <c r="AU44" s="3485"/>
      <c r="AV44" s="3485"/>
      <c r="AW44" s="3485"/>
      <c r="AX44" s="3483">
        <f>AX11+AX41+AX42+AX43</f>
        <v>134953.31075321761</v>
      </c>
      <c r="AY44" s="3451">
        <f t="shared" si="11"/>
        <v>98.357527151817763</v>
      </c>
      <c r="AZ44" s="3483">
        <f>AZ11+AZ41+AZ42+AZ43</f>
        <v>72783.630038500007</v>
      </c>
      <c r="BA44" s="3483">
        <f>BA11+BA41+BA42+BA43</f>
        <v>111653.58178317001</v>
      </c>
      <c r="BB44" s="3483">
        <f>BB11+BB41+BB42+BB43</f>
        <v>147917.23693788002</v>
      </c>
      <c r="BC44" s="3483">
        <f>BC11+BC41+BC42+BC43</f>
        <v>177938.59485403632</v>
      </c>
      <c r="BD44" s="3451">
        <f>BC44/AX44*100</f>
        <v>131.85196706987335</v>
      </c>
      <c r="BE44" s="3483">
        <f>BE11+BE41+BE42+BE43</f>
        <v>143024.82367614075</v>
      </c>
      <c r="BF44" s="3451">
        <f t="shared" ref="BF44:BF47" si="74">BE44/AX44*100</f>
        <v>105.98096695655219</v>
      </c>
      <c r="BG44" s="3483">
        <f>BG11+BG41+BG42+BG43</f>
        <v>74088.261499999993</v>
      </c>
      <c r="BH44" s="3483">
        <f>BH11+BH41+BH42+BH43</f>
        <v>107372.86429100001</v>
      </c>
      <c r="BI44" s="3483">
        <f>BI11+BI41+BI42+BI43</f>
        <v>143651.00426999998</v>
      </c>
      <c r="BJ44" s="3483">
        <f>BJ11+BJ41+BJ42+BJ43</f>
        <v>178777.77565345765</v>
      </c>
      <c r="BK44" s="3451">
        <f>BJ44/BE44*100</f>
        <v>124.99772491121846</v>
      </c>
      <c r="BL44" s="3483">
        <f>BL11+BL41+BL42+BL43</f>
        <v>158783.43469540685</v>
      </c>
      <c r="BM44" s="3451">
        <f t="shared" ref="BM44:BM47" si="75">BL44/BE44*100</f>
        <v>111.01809505107254</v>
      </c>
      <c r="BN44" s="3815">
        <f>BN11+BN41+BN42+BN43</f>
        <v>73656.467650274717</v>
      </c>
      <c r="BO44" s="3815">
        <f>BO11+BO41+BO42+BO43</f>
        <v>110591.76815660359</v>
      </c>
      <c r="BP44" s="3483">
        <f>BP11+BP41+BP42+BP43</f>
        <v>153489.49052063926</v>
      </c>
      <c r="BQ44" s="3520">
        <f>BQ11+BQ41+BQ42+BQ43</f>
        <v>210576.02586989829</v>
      </c>
      <c r="BR44" s="3512">
        <f>BQ44/BL44*100</f>
        <v>132.61838445165569</v>
      </c>
      <c r="BS44" s="4051">
        <f>BS11+BS41+BS42+BS43</f>
        <v>146203.35795918471</v>
      </c>
      <c r="BT44" s="4037">
        <f t="shared" ref="BT44:BT47" si="76">BS44/BL44*100</f>
        <v>92.077210849888459</v>
      </c>
      <c r="BU44" s="3520">
        <f>BU11+BU41+BU42+BU43</f>
        <v>223494.36021601121</v>
      </c>
      <c r="BV44" s="3512">
        <f t="shared" ref="BV44:BV46" si="77">BU44/BL44*100</f>
        <v>140.75420439464537</v>
      </c>
      <c r="BW44" s="3520">
        <f>BW11+BW41+BW42+BW43</f>
        <v>187235.88711569292</v>
      </c>
      <c r="BX44" s="3512">
        <f t="shared" si="26"/>
        <v>117.91903070673979</v>
      </c>
      <c r="BY44" s="4842">
        <f>BY11+BY41+BY42+BY43</f>
        <v>83762.596591180001</v>
      </c>
      <c r="BZ44" s="4842">
        <f>BZ11+BZ41+BZ42+BZ43</f>
        <v>174370.69546314</v>
      </c>
    </row>
    <row r="45" spans="1:78" s="2731" customFormat="1" x14ac:dyDescent="0.25">
      <c r="A45" s="3486">
        <v>2</v>
      </c>
      <c r="B45" s="3487" t="s">
        <v>933</v>
      </c>
      <c r="C45" s="3486" t="s">
        <v>934</v>
      </c>
      <c r="D45" s="3488">
        <v>4006.27</v>
      </c>
      <c r="E45" s="3489">
        <v>3762.2</v>
      </c>
      <c r="F45" s="3451">
        <f>'объемы ВС и ВО 2023'!AA49</f>
        <v>3989.2170000000001</v>
      </c>
      <c r="G45" s="3451">
        <v>3566.34</v>
      </c>
      <c r="H45" s="3451">
        <v>3566.34</v>
      </c>
      <c r="I45" s="3451">
        <f>'объемы ВС и ВО 2023'!AE49</f>
        <v>3896.5800000000004</v>
      </c>
      <c r="J45" s="3451">
        <v>3771</v>
      </c>
      <c r="K45" s="3451">
        <f>'объемы ВС и ВО 2023'!AJ49</f>
        <v>3771</v>
      </c>
      <c r="L45" s="3451">
        <f>M45</f>
        <v>3655.8</v>
      </c>
      <c r="M45" s="3451">
        <f>'объемы ВС и ВО 2023'!AP49</f>
        <v>3655.8</v>
      </c>
      <c r="N45" s="3451">
        <f>I45</f>
        <v>3896.5800000000004</v>
      </c>
      <c r="O45" s="3451">
        <f>'объемы ВС и ВО 2023'!AL49</f>
        <v>3600</v>
      </c>
      <c r="P45" s="3451">
        <f>'объемы ВС и ВО 2023'!AR49</f>
        <v>3600</v>
      </c>
      <c r="Q45" s="3451">
        <f>SUM(вода!BQ167)</f>
        <v>3658.53</v>
      </c>
      <c r="R45" s="3451">
        <f>'объемы ВС и ВО 2023'!AX49</f>
        <v>3600</v>
      </c>
      <c r="S45" s="3451">
        <f>R45</f>
        <v>3600</v>
      </c>
      <c r="T45" s="3451">
        <f t="shared" ref="T45:W45" si="78">S45</f>
        <v>3600</v>
      </c>
      <c r="U45" s="3451">
        <f t="shared" si="78"/>
        <v>3600</v>
      </c>
      <c r="V45" s="3451">
        <f t="shared" si="78"/>
        <v>3600</v>
      </c>
      <c r="W45" s="3451">
        <f t="shared" si="78"/>
        <v>3600</v>
      </c>
      <c r="X45" s="3451">
        <f>'объемы ВС и ВО 2023'!AZ49</f>
        <v>3660.6249233333333</v>
      </c>
      <c r="Y45" s="3451">
        <f>X45/P45*100</f>
        <v>101.68402564814815</v>
      </c>
      <c r="Z45" s="3451">
        <f>X45</f>
        <v>3660.6249233333333</v>
      </c>
      <c r="AA45" s="3451">
        <f t="shared" ref="AA45:AD45" si="79">Z45</f>
        <v>3660.6249233333333</v>
      </c>
      <c r="AB45" s="3451">
        <f t="shared" si="79"/>
        <v>3660.6249233333333</v>
      </c>
      <c r="AC45" s="3451">
        <f t="shared" si="79"/>
        <v>3660.6249233333333</v>
      </c>
      <c r="AD45" s="3451">
        <f t="shared" si="79"/>
        <v>3660.6249233333333</v>
      </c>
      <c r="AE45" s="3451">
        <f>SUM('объемы ВС и ВО 2023'!BB49)</f>
        <v>3660.6249233333333</v>
      </c>
      <c r="AF45" s="3451">
        <f t="shared" si="9"/>
        <v>100</v>
      </c>
      <c r="AG45" s="3446"/>
      <c r="AH45" s="3446"/>
      <c r="AI45" s="3446"/>
      <c r="AJ45" s="3446"/>
      <c r="AK45" s="3446"/>
      <c r="AL45" s="3446"/>
      <c r="AM45" s="3446"/>
      <c r="AN45" s="3446"/>
      <c r="AO45" s="3446"/>
      <c r="AP45" s="3446"/>
      <c r="AQ45" s="3446"/>
      <c r="AR45" s="3446"/>
      <c r="AS45" s="3446"/>
      <c r="AT45" s="3446"/>
      <c r="AU45" s="3446"/>
      <c r="AV45" s="3446"/>
      <c r="AW45" s="3446"/>
      <c r="AX45" s="3451">
        <f>SUM('объемы ВС и ВО 2023'!BD49)</f>
        <v>3472.9599999999996</v>
      </c>
      <c r="AY45" s="3451">
        <f t="shared" si="11"/>
        <v>94.873418411781785</v>
      </c>
      <c r="AZ45" s="3451">
        <f>SUM('объемы ВС и ВО 2023'!BF49)</f>
        <v>1750.931</v>
      </c>
      <c r="BA45" s="3451">
        <f>SUM('объемы ВС и ВО 2023'!BH49)</f>
        <v>2638.4280000000003</v>
      </c>
      <c r="BB45" s="3451">
        <f>SUM('объемы ВС и ВО 2023'!BJ49)</f>
        <v>3527.873</v>
      </c>
      <c r="BC45" s="3451">
        <f>SUM('объемы ВС и ВО 2023'!BL49)</f>
        <v>3472.9599999999996</v>
      </c>
      <c r="BD45" s="3451">
        <f>BC45/AX45*100</f>
        <v>100</v>
      </c>
      <c r="BE45" s="3451">
        <f>SUM('объемы ВС и ВО 2023'!BN49)</f>
        <v>3504.67</v>
      </c>
      <c r="BF45" s="3451">
        <f t="shared" si="74"/>
        <v>100.91305399428731</v>
      </c>
      <c r="BG45" s="3451">
        <f>SUM('объемы ВС и ВО 2023'!BQ49)</f>
        <v>1768.3819999999998</v>
      </c>
      <c r="BH45" s="3451">
        <f>SUM('объемы ВС и ВО 2023'!BS49)</f>
        <v>2632.3209999999999</v>
      </c>
      <c r="BI45" s="3451">
        <f>SUM('объемы ВС и ВО 2023'!BU49)</f>
        <v>3534.4369999999999</v>
      </c>
      <c r="BJ45" s="3451">
        <f>SUM('объемы ВС и ВО 2023'!BW49)</f>
        <v>3504.67</v>
      </c>
      <c r="BK45" s="3451">
        <f>BJ45/BE45*100</f>
        <v>100</v>
      </c>
      <c r="BL45" s="3451">
        <f>SUM('объемы ВС и ВО 2023'!BY49)</f>
        <v>3501.2939999999999</v>
      </c>
      <c r="BM45" s="3451">
        <f t="shared" si="75"/>
        <v>99.903671387035004</v>
      </c>
      <c r="BN45" s="3811">
        <f>SUM('объемы ВС и ВО 2023'!CA49)</f>
        <v>1809.999</v>
      </c>
      <c r="BO45" s="3811">
        <f>SUM('объемы ВС и ВО 2023'!CC49)</f>
        <v>2662.1453000000001</v>
      </c>
      <c r="BP45" s="3451">
        <f>SUM('объемы ВС и ВО 2023'!CE49)</f>
        <v>3562.4159999999997</v>
      </c>
      <c r="BQ45" s="3512">
        <f>SUM('объемы ВС и ВО 2023'!CG49)</f>
        <v>3501.2939999999999</v>
      </c>
      <c r="BR45" s="3512">
        <f>BQ45/BL45*100</f>
        <v>100</v>
      </c>
      <c r="BS45" s="4037">
        <f>SUM('объемы ВС и ВО 2023'!CF49)</f>
        <v>0.78200000000000003</v>
      </c>
      <c r="BT45" s="4037">
        <f t="shared" si="76"/>
        <v>2.2334599722274112E-2</v>
      </c>
      <c r="BU45" s="3512">
        <f>SUM('объемы ВС и ВО 2023'!CG49)</f>
        <v>3501.2939999999999</v>
      </c>
      <c r="BV45" s="3512">
        <f t="shared" si="77"/>
        <v>100</v>
      </c>
      <c r="BW45" s="3512">
        <f>SUM('объемы ВС и ВО 2023'!CI49)</f>
        <v>3554.0930725851481</v>
      </c>
      <c r="BX45" s="3512">
        <f t="shared" si="26"/>
        <v>101.50798740651736</v>
      </c>
      <c r="BY45" s="4838">
        <f>SUM('объемы ВС и ВО 2023'!CK49)</f>
        <v>1907.845</v>
      </c>
      <c r="BZ45" s="4838">
        <f>SUM('объемы ВС и ВО 2023'!CM49)</f>
        <v>3774.7598999999996</v>
      </c>
    </row>
    <row r="46" spans="1:78" s="2731" customFormat="1" x14ac:dyDescent="0.25">
      <c r="A46" s="3449" t="s">
        <v>186</v>
      </c>
      <c r="B46" s="3490" t="s">
        <v>935</v>
      </c>
      <c r="C46" s="3449" t="s">
        <v>934</v>
      </c>
      <c r="D46" s="3453">
        <v>2445.42</v>
      </c>
      <c r="E46" s="3456">
        <v>2377.86</v>
      </c>
      <c r="F46" s="3451">
        <f>'объемы ВС и ВО 2023'!AA50</f>
        <v>2428.56</v>
      </c>
      <c r="G46" s="3451"/>
      <c r="H46" s="3451"/>
      <c r="I46" s="3451">
        <f>'объемы ВС и ВО 2023'!AE50</f>
        <v>2388.7330000000002</v>
      </c>
      <c r="J46" s="3451">
        <v>2380</v>
      </c>
      <c r="K46" s="3451">
        <f>'объемы ВС и ВО 2023'!AJ50</f>
        <v>2380</v>
      </c>
      <c r="L46" s="3451">
        <f>M46</f>
        <v>2447.77</v>
      </c>
      <c r="M46" s="3451">
        <f>'объемы ВС и ВО 2023'!AN50</f>
        <v>2447.77</v>
      </c>
      <c r="N46" s="3451">
        <f>I46</f>
        <v>2388.7330000000002</v>
      </c>
      <c r="O46" s="3451">
        <f>'объемы ВС и ВО 2023'!AL50</f>
        <v>2360</v>
      </c>
      <c r="P46" s="3451">
        <f>'объемы ВС и ВО 2023'!AR50</f>
        <v>2360</v>
      </c>
      <c r="Q46" s="3451">
        <f>'объемы ВС и ВО 2023'!AS50</f>
        <v>0</v>
      </c>
      <c r="R46" s="3451">
        <f>'объемы ВС и ВО 2023'!AX50</f>
        <v>2360</v>
      </c>
      <c r="S46" s="3451">
        <f>R46</f>
        <v>2360</v>
      </c>
      <c r="T46" s="3451">
        <f t="shared" ref="T46:W46" si="80">S46</f>
        <v>2360</v>
      </c>
      <c r="U46" s="3451">
        <f t="shared" si="80"/>
        <v>2360</v>
      </c>
      <c r="V46" s="3451">
        <f t="shared" si="80"/>
        <v>2360</v>
      </c>
      <c r="W46" s="3451">
        <f t="shared" si="80"/>
        <v>2360</v>
      </c>
      <c r="X46" s="3451">
        <f>'объемы ВС и ВО 2023'!AZ50</f>
        <v>2460.5733333333333</v>
      </c>
      <c r="Y46" s="3451">
        <f>X46/P46*100</f>
        <v>104.26158192090395</v>
      </c>
      <c r="Z46" s="3451">
        <f>X46</f>
        <v>2460.5733333333333</v>
      </c>
      <c r="AA46" s="3451">
        <f t="shared" ref="AA46:AD46" si="81">Z46</f>
        <v>2460.5733333333333</v>
      </c>
      <c r="AB46" s="3451">
        <f t="shared" si="81"/>
        <v>2460.5733333333333</v>
      </c>
      <c r="AC46" s="3451">
        <f t="shared" si="81"/>
        <v>2460.5733333333333</v>
      </c>
      <c r="AD46" s="3451">
        <f t="shared" si="81"/>
        <v>2460.5733333333333</v>
      </c>
      <c r="AE46" s="3451">
        <f>SUM('объемы ВС и ВО 2023'!BB50)</f>
        <v>2460.5733333333333</v>
      </c>
      <c r="AF46" s="3451">
        <f t="shared" si="9"/>
        <v>100</v>
      </c>
      <c r="AG46" s="3446"/>
      <c r="AH46" s="3446"/>
      <c r="AI46" s="3446"/>
      <c r="AJ46" s="3446"/>
      <c r="AK46" s="3446"/>
      <c r="AL46" s="3446"/>
      <c r="AM46" s="3446"/>
      <c r="AN46" s="3446"/>
      <c r="AO46" s="3446"/>
      <c r="AP46" s="3446"/>
      <c r="AQ46" s="3446"/>
      <c r="AR46" s="3446"/>
      <c r="AS46" s="3446"/>
      <c r="AT46" s="3446"/>
      <c r="AU46" s="3446"/>
      <c r="AV46" s="3446"/>
      <c r="AW46" s="3446"/>
      <c r="AX46" s="3451">
        <f>SUM('объемы ВС и ВО 2023'!BD50)</f>
        <v>2302.7809999999999</v>
      </c>
      <c r="AY46" s="3451">
        <f t="shared" si="11"/>
        <v>93.587172095392404</v>
      </c>
      <c r="AZ46" s="3451">
        <f>SUM('объемы ВС и ВО 2023'!BF50)</f>
        <v>1191.5940000000001</v>
      </c>
      <c r="BA46" s="3451">
        <f>SUM('объемы ВС и ВО 2023'!BH50)</f>
        <v>1796.0029999999999</v>
      </c>
      <c r="BB46" s="3451">
        <f>SUM('объемы ВС и ВО 2023'!BJ50)</f>
        <v>2389.7370000000001</v>
      </c>
      <c r="BC46" s="3451">
        <f>SUM('объемы ВС и ВО 2023'!BL50)</f>
        <v>2302.7809999999999</v>
      </c>
      <c r="BD46" s="3451">
        <f>BC46/AX46*100</f>
        <v>100</v>
      </c>
      <c r="BE46" s="3451">
        <f>SUM('объемы ВС и ВО 2023'!BN50)</f>
        <v>2374.02</v>
      </c>
      <c r="BF46" s="3451">
        <f t="shared" si="74"/>
        <v>103.09360725140601</v>
      </c>
      <c r="BG46" s="3451">
        <f>SUM('объемы ВС и ВО 2023'!BQ50)</f>
        <v>1221.021</v>
      </c>
      <c r="BH46" s="3451">
        <f>SUM('объемы ВС и ВО 2023'!BO50)</f>
        <v>0</v>
      </c>
      <c r="BI46" s="3451">
        <f>SUM('объемы ВС и ВО 2023'!BW50)</f>
        <v>2374.02</v>
      </c>
      <c r="BJ46" s="3451">
        <f>SUM('объемы ВС и ВО 2023'!BW50)</f>
        <v>2374.02</v>
      </c>
      <c r="BK46" s="3451">
        <f>BJ46/BE46*100</f>
        <v>100</v>
      </c>
      <c r="BL46" s="3451">
        <f>SUM('объемы ВС и ВО 2023'!BY50)</f>
        <v>2374.02</v>
      </c>
      <c r="BM46" s="3451">
        <f t="shared" si="75"/>
        <v>100</v>
      </c>
      <c r="BN46" s="3811">
        <f>SUM('объемы ВС и ВО 2023'!CA50)</f>
        <v>1242.634</v>
      </c>
      <c r="BO46" s="3811">
        <f>SUM('объемы ВС и ВО 2023'!CC50)</f>
        <v>1829.7835</v>
      </c>
      <c r="BP46" s="3451">
        <f>SUM('объемы ВС и ВО 2023'!CE50)</f>
        <v>2443.2674999999999</v>
      </c>
      <c r="BQ46" s="3512">
        <f>SUM('объемы ВС и ВО 2023'!CG50)</f>
        <v>2374.02</v>
      </c>
      <c r="BR46" s="3512">
        <f>BQ46/BL46*100</f>
        <v>100</v>
      </c>
      <c r="BS46" s="4037">
        <f>SUM('объемы ВС и ВО 2023'!CF50)</f>
        <v>0</v>
      </c>
      <c r="BT46" s="4037">
        <f t="shared" si="76"/>
        <v>0</v>
      </c>
      <c r="BU46" s="3512">
        <f>SUM('объемы ВС и ВО 2023'!CG50)</f>
        <v>2374.02</v>
      </c>
      <c r="BV46" s="3512">
        <f t="shared" si="77"/>
        <v>100</v>
      </c>
      <c r="BW46" s="3512">
        <f>SUM('объемы ВС и ВО 2023'!CI50)</f>
        <v>2413.1433086400002</v>
      </c>
      <c r="BX46" s="3512">
        <f t="shared" si="26"/>
        <v>101.64797721333436</v>
      </c>
      <c r="BY46" s="4838">
        <f>SUM('объемы ВС и ВО 2023'!CO50)</f>
        <v>0</v>
      </c>
      <c r="BZ46" s="4838">
        <f>SUM('объемы ВС и ВО 2023'!CP50)</f>
        <v>0</v>
      </c>
    </row>
    <row r="47" spans="1:78" s="2044" customFormat="1" ht="14.25" x14ac:dyDescent="0.2">
      <c r="A47" s="3449" t="s">
        <v>936</v>
      </c>
      <c r="B47" s="3450" t="s">
        <v>937</v>
      </c>
      <c r="C47" s="3449" t="s">
        <v>938</v>
      </c>
      <c r="D47" s="3491">
        <f t="shared" ref="D47:J47" si="82">D11/D45</f>
        <v>30.751789070631784</v>
      </c>
      <c r="E47" s="3492">
        <f t="shared" si="82"/>
        <v>30.808213279464145</v>
      </c>
      <c r="F47" s="3493">
        <f t="shared" si="82"/>
        <v>32.620945614193488</v>
      </c>
      <c r="G47" s="3493">
        <f t="shared" si="82"/>
        <v>33.798216098296848</v>
      </c>
      <c r="H47" s="3493">
        <f t="shared" si="82"/>
        <v>35.575498381695489</v>
      </c>
      <c r="I47" s="3493">
        <f t="shared" si="82"/>
        <v>33.666854494127385</v>
      </c>
      <c r="J47" s="3493">
        <f t="shared" si="82"/>
        <v>38.875247944842215</v>
      </c>
      <c r="K47" s="3493">
        <f>K44/K45</f>
        <v>34.878323889278057</v>
      </c>
      <c r="L47" s="3493"/>
      <c r="M47" s="3493"/>
      <c r="N47" s="3493">
        <f>N11/N45</f>
        <v>34.684349573898501</v>
      </c>
      <c r="O47" s="3493">
        <f>O11/O45</f>
        <v>39.36502222222223</v>
      </c>
      <c r="P47" s="3493">
        <f>P44/P45</f>
        <v>36.443071038730608</v>
      </c>
      <c r="Q47" s="3493">
        <f t="shared" ref="Q47" si="83">Q44/Q45</f>
        <v>37.286185708467606</v>
      </c>
      <c r="R47" s="3493">
        <f t="shared" ref="R47:AD47" si="84">R44/R45</f>
        <v>43.83303055555556</v>
      </c>
      <c r="S47" s="3493">
        <f t="shared" si="84"/>
        <v>45.295427777777775</v>
      </c>
      <c r="T47" s="3493">
        <f t="shared" si="84"/>
        <v>46.693972222222229</v>
      </c>
      <c r="U47" s="3493">
        <f t="shared" si="84"/>
        <v>48.140322222222217</v>
      </c>
      <c r="V47" s="3493">
        <f t="shared" si="84"/>
        <v>49.641949999999994</v>
      </c>
      <c r="W47" s="3493">
        <f t="shared" si="84"/>
        <v>0</v>
      </c>
      <c r="X47" s="3493">
        <f t="shared" si="84"/>
        <v>37.481823364110404</v>
      </c>
      <c r="Y47" s="3493">
        <f>X47/P47*100</f>
        <v>102.85034245405893</v>
      </c>
      <c r="Z47" s="3493">
        <f t="shared" si="84"/>
        <v>41.630814492987263</v>
      </c>
      <c r="AA47" s="3493">
        <f t="shared" si="84"/>
        <v>42.599727679786184</v>
      </c>
      <c r="AB47" s="3493">
        <f t="shared" si="84"/>
        <v>43.798133355327131</v>
      </c>
      <c r="AC47" s="3493">
        <f t="shared" si="84"/>
        <v>45.044412189614</v>
      </c>
      <c r="AD47" s="3493">
        <f t="shared" si="84"/>
        <v>46.346514977521437</v>
      </c>
      <c r="AE47" s="3493">
        <f t="shared" ref="AE47" si="85">AE44/AE45</f>
        <v>44.7443155164462</v>
      </c>
      <c r="AF47" s="3493">
        <f t="shared" si="9"/>
        <v>119.37603750432744</v>
      </c>
      <c r="AG47" s="3494"/>
      <c r="AH47" s="3494"/>
      <c r="AI47" s="3494"/>
      <c r="AJ47" s="3494"/>
      <c r="AK47" s="3494"/>
      <c r="AL47" s="3494"/>
      <c r="AM47" s="3494"/>
      <c r="AN47" s="3494"/>
      <c r="AO47" s="3494"/>
      <c r="AP47" s="3494"/>
      <c r="AQ47" s="3494"/>
      <c r="AR47" s="3494"/>
      <c r="AS47" s="3494"/>
      <c r="AT47" s="3494"/>
      <c r="AU47" s="3494"/>
      <c r="AV47" s="3494"/>
      <c r="AW47" s="3494"/>
      <c r="AX47" s="3493">
        <f t="shared" ref="AX47" si="86">AX44/AX45</f>
        <v>38.858296886004339</v>
      </c>
      <c r="AY47" s="3451">
        <f t="shared" si="11"/>
        <v>103.67237609686816</v>
      </c>
      <c r="AZ47" s="3493">
        <f t="shared" ref="AZ47:BA47" si="87">AZ44/AZ45</f>
        <v>41.568531277646009</v>
      </c>
      <c r="BA47" s="3493">
        <f t="shared" si="87"/>
        <v>42.318221980349662</v>
      </c>
      <c r="BB47" s="3493">
        <f t="shared" ref="BB47" si="88">BB44/BB45</f>
        <v>41.928163779671209</v>
      </c>
      <c r="BC47" s="3771">
        <f t="shared" ref="BC47:BE47" si="89">BC44/BC45</f>
        <v>51.235428814048056</v>
      </c>
      <c r="BD47" s="3771">
        <f>BC47/AX47*100</f>
        <v>131.85196706987335</v>
      </c>
      <c r="BE47" s="3771">
        <f t="shared" si="89"/>
        <v>40.809783425013123</v>
      </c>
      <c r="BF47" s="3451">
        <f t="shared" si="74"/>
        <v>105.02205885330929</v>
      </c>
      <c r="BG47" s="3771">
        <f t="shared" ref="BG47:BJ47" si="90">BG44/BG45</f>
        <v>41.896073076970929</v>
      </c>
      <c r="BH47" s="3771">
        <f t="shared" si="90"/>
        <v>40.790186413815036</v>
      </c>
      <c r="BI47" s="3771">
        <f t="shared" si="90"/>
        <v>40.643249340701217</v>
      </c>
      <c r="BJ47" s="4032">
        <f t="shared" si="90"/>
        <v>51.011300822461926</v>
      </c>
      <c r="BK47" s="4032">
        <f>BJ47/BE47*100</f>
        <v>124.99772491121846</v>
      </c>
      <c r="BL47" s="4032">
        <f t="shared" ref="BL47" si="91">BL44/BL45</f>
        <v>45.34992911061078</v>
      </c>
      <c r="BM47" s="3451">
        <f t="shared" si="75"/>
        <v>111.12514035743428</v>
      </c>
      <c r="BN47" s="3816">
        <f t="shared" ref="BN47:BQ47" si="92">BN44/BN45</f>
        <v>40.694203505236587</v>
      </c>
      <c r="BO47" s="3816">
        <f t="shared" si="92"/>
        <v>41.542348630108052</v>
      </c>
      <c r="BP47" s="4567">
        <f t="shared" si="92"/>
        <v>43.085785186412615</v>
      </c>
      <c r="BQ47" s="4031">
        <f t="shared" si="92"/>
        <v>60.142343336463121</v>
      </c>
      <c r="BR47" s="4031">
        <f>BQ47/BL47*100</f>
        <v>132.61838445165569</v>
      </c>
      <c r="BS47" s="4034">
        <f t="shared" ref="BS47" si="93">BS44/BS45</f>
        <v>186960.81580458401</v>
      </c>
      <c r="BT47" s="4037">
        <f t="shared" si="76"/>
        <v>412262.64179724979</v>
      </c>
      <c r="BU47" s="4061">
        <f t="shared" ref="BU47" si="94">BU44/BU45</f>
        <v>63.831931913175879</v>
      </c>
      <c r="BV47" s="4061">
        <f>BU47/BL47*100</f>
        <v>140.75420439464537</v>
      </c>
      <c r="BW47" s="4154">
        <f t="shared" ref="BW47" si="95">BW44/BW45</f>
        <v>52.681762489552014</v>
      </c>
      <c r="BX47" s="3512">
        <f t="shared" si="26"/>
        <v>116.16724330716927</v>
      </c>
      <c r="BY47" s="4843">
        <f t="shared" ref="BY47:BZ47" si="96">BY44/BY45</f>
        <v>43.904298615023755</v>
      </c>
      <c r="BZ47" s="4843">
        <f t="shared" si="96"/>
        <v>46.193850756743501</v>
      </c>
    </row>
    <row r="48" spans="1:78" s="1234" customFormat="1" x14ac:dyDescent="0.25">
      <c r="A48" s="3449"/>
      <c r="B48" s="3495" t="s">
        <v>939</v>
      </c>
      <c r="C48" s="3449" t="s">
        <v>938</v>
      </c>
      <c r="D48" s="3496">
        <v>30</v>
      </c>
      <c r="E48" s="3497"/>
      <c r="F48" s="3451">
        <f>вода!BE136</f>
        <v>31.52</v>
      </c>
      <c r="G48" s="3451">
        <f>F48</f>
        <v>31.52</v>
      </c>
      <c r="H48" s="3451">
        <f>F48</f>
        <v>31.52</v>
      </c>
      <c r="I48" s="3451">
        <f>F49</f>
        <v>33.72189122838698</v>
      </c>
      <c r="J48" s="3451">
        <f>F49</f>
        <v>33.72189122838698</v>
      </c>
      <c r="K48" s="3451">
        <f>F49</f>
        <v>33.72189122838698</v>
      </c>
      <c r="L48" s="3451"/>
      <c r="M48" s="3451"/>
      <c r="N48" s="3451">
        <f>I49</f>
        <v>33.61181775986779</v>
      </c>
      <c r="O48" s="3451">
        <f>K49</f>
        <v>36.034756550169135</v>
      </c>
      <c r="P48" s="3451">
        <f>K49</f>
        <v>36.034756550169135</v>
      </c>
      <c r="Q48" s="3451"/>
      <c r="R48" s="3451"/>
      <c r="S48" s="3451"/>
      <c r="T48" s="3451"/>
      <c r="U48" s="3451"/>
      <c r="V48" s="3451"/>
      <c r="W48" s="3451"/>
      <c r="X48" s="3451">
        <f>P49</f>
        <v>36.851385527292081</v>
      </c>
      <c r="Y48" s="3451"/>
      <c r="Z48" s="3451">
        <f>X49</f>
        <v>38.112261200928728</v>
      </c>
      <c r="AA48" s="3451">
        <f>AA47</f>
        <v>42.599727679786184</v>
      </c>
      <c r="AB48" s="3451">
        <f t="shared" ref="AB48:AD48" si="97">AA49</f>
        <v>42.599727679786184</v>
      </c>
      <c r="AC48" s="3451">
        <f t="shared" si="97"/>
        <v>44.996539030868078</v>
      </c>
      <c r="AD48" s="3451">
        <f t="shared" si="97"/>
        <v>45.092285348359923</v>
      </c>
      <c r="AE48" s="3451">
        <f>SUM(X49)</f>
        <v>38.112261200928728</v>
      </c>
      <c r="AF48" s="3451"/>
      <c r="AG48" s="3446"/>
      <c r="AH48" s="3446"/>
      <c r="AI48" s="3446"/>
      <c r="AJ48" s="3446"/>
      <c r="AK48" s="3446"/>
      <c r="AL48" s="3446"/>
      <c r="AM48" s="3446"/>
      <c r="AN48" s="3446"/>
      <c r="AO48" s="3446"/>
      <c r="AP48" s="3446"/>
      <c r="AQ48" s="3446"/>
      <c r="AR48" s="3446"/>
      <c r="AS48" s="3446"/>
      <c r="AT48" s="3446"/>
      <c r="AU48" s="3446"/>
      <c r="AV48" s="3446"/>
      <c r="AW48" s="3446"/>
      <c r="AX48" s="3451">
        <f>SUM(X49)</f>
        <v>38.112261200928728</v>
      </c>
      <c r="AY48" s="3451"/>
      <c r="AZ48" s="3451"/>
      <c r="BA48" s="3451"/>
      <c r="BB48" s="3451"/>
      <c r="BC48" s="3451">
        <f>SUM(AX49)</f>
        <v>39.604332571079951</v>
      </c>
      <c r="BD48" s="3451"/>
      <c r="BE48" s="3451">
        <f>SUM(AX49)</f>
        <v>39.604332571079951</v>
      </c>
      <c r="BF48" s="3451"/>
      <c r="BG48" s="3451"/>
      <c r="BH48" s="3451"/>
      <c r="BI48" s="3451"/>
      <c r="BJ48" s="3451">
        <f>SUM(BE49)</f>
        <v>42.015234278946295</v>
      </c>
      <c r="BK48" s="3451"/>
      <c r="BL48" s="3451">
        <f>SUM(BE49)</f>
        <v>42.015234278946295</v>
      </c>
      <c r="BM48" s="3451"/>
      <c r="BN48" s="3811"/>
      <c r="BO48" s="3512"/>
      <c r="BP48" s="3451"/>
      <c r="BQ48" s="3512">
        <f>SUM(BL49)</f>
        <v>48.684623942275266</v>
      </c>
      <c r="BR48" s="3512"/>
      <c r="BS48" s="4037">
        <f>SUM(BL49)</f>
        <v>48.684623942275266</v>
      </c>
      <c r="BT48" s="4037"/>
      <c r="BU48" s="3512">
        <f>SUM(BL49)</f>
        <v>48.684623942275266</v>
      </c>
      <c r="BV48" s="3512"/>
      <c r="BW48" s="3512"/>
      <c r="BX48" s="3512"/>
      <c r="BY48" s="4838"/>
      <c r="BZ48" s="4838"/>
    </row>
    <row r="49" spans="1:78" s="1234" customFormat="1" x14ac:dyDescent="0.25">
      <c r="A49" s="3449"/>
      <c r="B49" s="3495" t="s">
        <v>940</v>
      </c>
      <c r="C49" s="3449" t="s">
        <v>938</v>
      </c>
      <c r="D49" s="3496">
        <v>31.52</v>
      </c>
      <c r="E49" s="3497"/>
      <c r="F49" s="3451">
        <f t="shared" ref="F49:N49" si="98">F47*2-F48</f>
        <v>33.72189122838698</v>
      </c>
      <c r="G49" s="3451">
        <f t="shared" si="98"/>
        <v>36.0764321965937</v>
      </c>
      <c r="H49" s="3451">
        <f t="shared" si="98"/>
        <v>39.630996763390982</v>
      </c>
      <c r="I49" s="3451">
        <f t="shared" si="98"/>
        <v>33.61181775986779</v>
      </c>
      <c r="J49" s="3451">
        <f t="shared" si="98"/>
        <v>44.02860466129745</v>
      </c>
      <c r="K49" s="3451">
        <f t="shared" si="98"/>
        <v>36.034756550169135</v>
      </c>
      <c r="L49" s="3451"/>
      <c r="M49" s="3451"/>
      <c r="N49" s="3451">
        <f t="shared" si="98"/>
        <v>35.756881387929212</v>
      </c>
      <c r="O49" s="3451">
        <f t="shared" ref="O49:P49" si="99">O47*2-O48</f>
        <v>42.695287894275324</v>
      </c>
      <c r="P49" s="3451">
        <f t="shared" si="99"/>
        <v>36.851385527292081</v>
      </c>
      <c r="Q49" s="3451"/>
      <c r="R49" s="3451"/>
      <c r="S49" s="3451"/>
      <c r="T49" s="3451"/>
      <c r="U49" s="3451"/>
      <c r="V49" s="3451"/>
      <c r="W49" s="3451"/>
      <c r="X49" s="3451">
        <f t="shared" ref="X49:AD49" si="100">X47*2-X48</f>
        <v>38.112261200928728</v>
      </c>
      <c r="Y49" s="3451"/>
      <c r="Z49" s="3451">
        <f t="shared" si="100"/>
        <v>45.149367785045797</v>
      </c>
      <c r="AA49" s="3451">
        <f t="shared" si="100"/>
        <v>42.599727679786184</v>
      </c>
      <c r="AB49" s="3451">
        <f t="shared" si="100"/>
        <v>44.996539030868078</v>
      </c>
      <c r="AC49" s="3451">
        <f t="shared" si="100"/>
        <v>45.092285348359923</v>
      </c>
      <c r="AD49" s="3451">
        <f t="shared" si="100"/>
        <v>47.600744606682952</v>
      </c>
      <c r="AE49" s="3451">
        <f t="shared" ref="AE49" si="101">AE47*2-AE48</f>
        <v>51.376369831963672</v>
      </c>
      <c r="AF49" s="3451"/>
      <c r="AG49" s="3446"/>
      <c r="AH49" s="3446"/>
      <c r="AI49" s="3446"/>
      <c r="AJ49" s="3446"/>
      <c r="AK49" s="3446"/>
      <c r="AL49" s="3446"/>
      <c r="AM49" s="3446"/>
      <c r="AN49" s="3446"/>
      <c r="AO49" s="3446"/>
      <c r="AP49" s="3446"/>
      <c r="AQ49" s="3446"/>
      <c r="AR49" s="3446"/>
      <c r="AS49" s="3446"/>
      <c r="AT49" s="3446"/>
      <c r="AU49" s="3446"/>
      <c r="AV49" s="3446"/>
      <c r="AW49" s="3446"/>
      <c r="AX49" s="3451">
        <f t="shared" ref="AX49" si="102">AX47*2-AX48</f>
        <v>39.604332571079951</v>
      </c>
      <c r="AY49" s="3451"/>
      <c r="AZ49" s="3451"/>
      <c r="BA49" s="3451"/>
      <c r="BB49" s="3451"/>
      <c r="BC49" s="3451">
        <f t="shared" ref="BC49:BE49" si="103">BC47*2-BC48</f>
        <v>62.866525057016162</v>
      </c>
      <c r="BD49" s="3451"/>
      <c r="BE49" s="3451">
        <f t="shared" si="103"/>
        <v>42.015234278946295</v>
      </c>
      <c r="BF49" s="3451"/>
      <c r="BG49" s="3451"/>
      <c r="BH49" s="3451"/>
      <c r="BI49" s="3451"/>
      <c r="BJ49" s="3451">
        <f t="shared" ref="BJ49" si="104">BJ47*2-BJ48</f>
        <v>60.007367365977558</v>
      </c>
      <c r="BK49" s="3451"/>
      <c r="BL49" s="3451">
        <f t="shared" ref="BL49" si="105">BL47*2-BL48</f>
        <v>48.684623942275266</v>
      </c>
      <c r="BM49" s="3451"/>
      <c r="BN49" s="3811"/>
      <c r="BO49" s="3512"/>
      <c r="BP49" s="3451"/>
      <c r="BQ49" s="3512">
        <f t="shared" ref="BQ49" si="106">BQ47*2-BQ48</f>
        <v>71.600062730650976</v>
      </c>
      <c r="BR49" s="3512"/>
      <c r="BS49" s="4037">
        <f t="shared" ref="BS49" si="107">BS47*2-BS48</f>
        <v>373872.94698522572</v>
      </c>
      <c r="BT49" s="4037"/>
      <c r="BU49" s="3512">
        <f t="shared" ref="BU49" si="108">BU47*2-BU48</f>
        <v>78.979239884076492</v>
      </c>
      <c r="BV49" s="3512"/>
      <c r="BW49" s="3512"/>
      <c r="BX49" s="3512"/>
      <c r="BY49" s="4838"/>
      <c r="BZ49" s="4838"/>
    </row>
    <row r="50" spans="1:78" s="1234" customFormat="1" x14ac:dyDescent="0.25">
      <c r="A50" s="4157"/>
      <c r="B50" s="3495" t="s">
        <v>4230</v>
      </c>
      <c r="C50" s="4157"/>
      <c r="D50" s="3496"/>
      <c r="E50" s="3497"/>
      <c r="F50" s="3451"/>
      <c r="G50" s="3451"/>
      <c r="H50" s="3451"/>
      <c r="I50" s="3451"/>
      <c r="J50" s="3451"/>
      <c r="K50" s="3451"/>
      <c r="L50" s="3451"/>
      <c r="M50" s="3451"/>
      <c r="N50" s="3451"/>
      <c r="O50" s="3451"/>
      <c r="P50" s="3451"/>
      <c r="Q50" s="3451"/>
      <c r="R50" s="3451"/>
      <c r="S50" s="3451"/>
      <c r="T50" s="3451"/>
      <c r="U50" s="3451"/>
      <c r="V50" s="3451"/>
      <c r="W50" s="3451"/>
      <c r="X50" s="3451"/>
      <c r="Y50" s="3451"/>
      <c r="Z50" s="3451"/>
      <c r="AA50" s="3451"/>
      <c r="AB50" s="3451"/>
      <c r="AC50" s="3451"/>
      <c r="AD50" s="3451"/>
      <c r="AE50" s="3451"/>
      <c r="AF50" s="3451"/>
      <c r="AG50" s="3446"/>
      <c r="AH50" s="3446"/>
      <c r="AI50" s="3446"/>
      <c r="AJ50" s="3446"/>
      <c r="AK50" s="3446"/>
      <c r="AL50" s="3446"/>
      <c r="AM50" s="3446"/>
      <c r="AN50" s="3446"/>
      <c r="AO50" s="3446"/>
      <c r="AP50" s="3446"/>
      <c r="AQ50" s="3446"/>
      <c r="AR50" s="3446"/>
      <c r="AS50" s="3446"/>
      <c r="AT50" s="3446"/>
      <c r="AU50" s="3446"/>
      <c r="AV50" s="3446"/>
      <c r="AW50" s="3446"/>
      <c r="AX50" s="3451"/>
      <c r="AY50" s="3451"/>
      <c r="AZ50" s="3451"/>
      <c r="BA50" s="3451"/>
      <c r="BB50" s="3451"/>
      <c r="BC50" s="3451"/>
      <c r="BD50" s="3451"/>
      <c r="BE50" s="3451"/>
      <c r="BF50" s="3451"/>
      <c r="BG50" s="3451"/>
      <c r="BH50" s="3451"/>
      <c r="BI50" s="3451"/>
      <c r="BJ50" s="3451"/>
      <c r="BK50" s="3451"/>
      <c r="BL50" s="3451"/>
      <c r="BM50" s="3451"/>
      <c r="BN50" s="3811"/>
      <c r="BO50" s="3512"/>
      <c r="BP50" s="3451"/>
      <c r="BQ50" s="3512"/>
      <c r="BR50" s="3512"/>
      <c r="BS50" s="4037"/>
      <c r="BT50" s="4037"/>
      <c r="BU50" s="3512"/>
      <c r="BV50" s="3512"/>
      <c r="BW50" s="3512">
        <f>SUM(BW47)</f>
        <v>52.681762489552014</v>
      </c>
      <c r="BX50" s="3512"/>
      <c r="BY50" s="4838"/>
      <c r="BZ50" s="4838"/>
    </row>
    <row r="51" spans="1:78" s="1234" customFormat="1" x14ac:dyDescent="0.25">
      <c r="A51" s="3449"/>
      <c r="B51" s="3450" t="s">
        <v>941</v>
      </c>
      <c r="C51" s="3449"/>
      <c r="D51" s="3449"/>
      <c r="E51" s="3497"/>
      <c r="F51" s="3451"/>
      <c r="G51" s="3451"/>
      <c r="H51" s="3451"/>
      <c r="I51" s="3451"/>
      <c r="J51" s="3451"/>
      <c r="K51" s="3451"/>
      <c r="L51" s="3451"/>
      <c r="M51" s="3451"/>
      <c r="N51" s="3451"/>
      <c r="O51" s="3451"/>
      <c r="P51" s="3451"/>
      <c r="Q51" s="3451"/>
      <c r="R51" s="3451"/>
      <c r="S51" s="3451"/>
      <c r="T51" s="3451"/>
      <c r="U51" s="3451"/>
      <c r="V51" s="3451"/>
      <c r="W51" s="3451"/>
      <c r="X51" s="3451"/>
      <c r="Y51" s="3451"/>
      <c r="Z51" s="3451"/>
      <c r="AA51" s="3451"/>
      <c r="AB51" s="3451"/>
      <c r="AC51" s="3451"/>
      <c r="AD51" s="3451"/>
      <c r="AE51" s="3451"/>
      <c r="AF51" s="3451"/>
      <c r="AG51" s="3446"/>
      <c r="AH51" s="3446"/>
      <c r="AI51" s="3446"/>
      <c r="AJ51" s="3446"/>
      <c r="AK51" s="3446"/>
      <c r="AL51" s="3446"/>
      <c r="AM51" s="3446"/>
      <c r="AN51" s="3446"/>
      <c r="AO51" s="3446"/>
      <c r="AP51" s="3446"/>
      <c r="AQ51" s="3446"/>
      <c r="AR51" s="3446"/>
      <c r="AS51" s="3446"/>
      <c r="AT51" s="3446"/>
      <c r="AU51" s="3446"/>
      <c r="AV51" s="3446"/>
      <c r="AW51" s="3446"/>
      <c r="AX51" s="3451"/>
      <c r="AY51" s="3451"/>
      <c r="AZ51" s="3451"/>
      <c r="BA51" s="3451"/>
      <c r="BB51" s="3451"/>
      <c r="BC51" s="3451"/>
      <c r="BD51" s="3451"/>
      <c r="BE51" s="3451"/>
      <c r="BF51" s="3451"/>
      <c r="BG51" s="3451"/>
      <c r="BH51" s="3451"/>
      <c r="BI51" s="3451"/>
      <c r="BJ51" s="3451"/>
      <c r="BK51" s="3451"/>
      <c r="BL51" s="3451"/>
      <c r="BM51" s="3451"/>
      <c r="BN51" s="3811"/>
      <c r="BO51" s="3512"/>
      <c r="BP51" s="3451"/>
      <c r="BQ51" s="3512"/>
      <c r="BR51" s="3512"/>
      <c r="BS51" s="4037"/>
      <c r="BT51" s="4037"/>
      <c r="BU51" s="3512"/>
      <c r="BV51" s="3512"/>
      <c r="BW51" s="3512"/>
      <c r="BX51" s="3512"/>
      <c r="BY51" s="4838"/>
      <c r="BZ51" s="4838"/>
    </row>
    <row r="52" spans="1:78" s="1234" customFormat="1" x14ac:dyDescent="0.25">
      <c r="A52" s="3449"/>
      <c r="B52" s="3495" t="s">
        <v>939</v>
      </c>
      <c r="C52" s="3449" t="s">
        <v>44</v>
      </c>
      <c r="D52" s="3449"/>
      <c r="E52" s="3497"/>
      <c r="F52" s="3451"/>
      <c r="G52" s="3451"/>
      <c r="H52" s="3451"/>
      <c r="I52" s="3451">
        <f>I48/F49*100</f>
        <v>100</v>
      </c>
      <c r="J52" s="3451"/>
      <c r="K52" s="3451">
        <f>K48/F49*100</f>
        <v>100</v>
      </c>
      <c r="L52" s="3451"/>
      <c r="M52" s="3451"/>
      <c r="N52" s="3451">
        <f>N48/I49*100</f>
        <v>100</v>
      </c>
      <c r="O52" s="3451"/>
      <c r="P52" s="3451">
        <f>P48/K49*100</f>
        <v>100</v>
      </c>
      <c r="Q52" s="3451"/>
      <c r="R52" s="3451"/>
      <c r="S52" s="3451"/>
      <c r="T52" s="3451"/>
      <c r="U52" s="3451"/>
      <c r="V52" s="3451"/>
      <c r="W52" s="3451"/>
      <c r="X52" s="3451">
        <f>X48/P49*100</f>
        <v>100</v>
      </c>
      <c r="Y52" s="3451"/>
      <c r="Z52" s="3451">
        <f>Z48/X49*100</f>
        <v>100</v>
      </c>
      <c r="AA52" s="3451">
        <f t="shared" ref="AA52:AD52" si="109">AA48/Z49*100</f>
        <v>94.352877503405281</v>
      </c>
      <c r="AB52" s="3451">
        <f t="shared" si="109"/>
        <v>100</v>
      </c>
      <c r="AC52" s="3451">
        <f t="shared" si="109"/>
        <v>100</v>
      </c>
      <c r="AD52" s="3451">
        <f t="shared" si="109"/>
        <v>100</v>
      </c>
      <c r="AE52" s="3451">
        <f>AE48/X49*100</f>
        <v>100</v>
      </c>
      <c r="AF52" s="3451"/>
      <c r="AG52" s="3446"/>
      <c r="AH52" s="3446"/>
      <c r="AI52" s="3446"/>
      <c r="AJ52" s="3446"/>
      <c r="AK52" s="3446"/>
      <c r="AL52" s="3446"/>
      <c r="AM52" s="3446"/>
      <c r="AN52" s="3446"/>
      <c r="AO52" s="3446"/>
      <c r="AP52" s="3446"/>
      <c r="AQ52" s="3446"/>
      <c r="AR52" s="3446"/>
      <c r="AS52" s="3446"/>
      <c r="AT52" s="3446"/>
      <c r="AU52" s="3446"/>
      <c r="AV52" s="3446"/>
      <c r="AW52" s="3446"/>
      <c r="AX52" s="3451">
        <f>AX48/X49*100</f>
        <v>100</v>
      </c>
      <c r="AY52" s="3451"/>
      <c r="AZ52" s="3451"/>
      <c r="BA52" s="3451"/>
      <c r="BB52" s="3451"/>
      <c r="BC52" s="3451">
        <f>BC48/AX49*100</f>
        <v>100</v>
      </c>
      <c r="BD52" s="3451"/>
      <c r="BE52" s="3451">
        <f>BE48/AX49*100</f>
        <v>100</v>
      </c>
      <c r="BF52" s="3451"/>
      <c r="BG52" s="3451"/>
      <c r="BH52" s="3451"/>
      <c r="BI52" s="3451"/>
      <c r="BJ52" s="3451">
        <f>BJ48/BE49*100</f>
        <v>100</v>
      </c>
      <c r="BK52" s="3451"/>
      <c r="BL52" s="3451">
        <f>BL48/BE49*100</f>
        <v>100</v>
      </c>
      <c r="BM52" s="3451"/>
      <c r="BN52" s="3811"/>
      <c r="BO52" s="3512"/>
      <c r="BP52" s="3451"/>
      <c r="BQ52" s="3512">
        <f>BQ48/BL49*100</f>
        <v>100</v>
      </c>
      <c r="BR52" s="3512"/>
      <c r="BS52" s="4037">
        <f>BS48/BL49*100</f>
        <v>100</v>
      </c>
      <c r="BT52" s="4037"/>
      <c r="BU52" s="3512">
        <f>BU48/BL49*100</f>
        <v>100</v>
      </c>
      <c r="BV52" s="3512"/>
      <c r="BW52" s="3512"/>
      <c r="BX52" s="3512"/>
      <c r="BY52" s="4838"/>
      <c r="BZ52" s="4838"/>
    </row>
    <row r="53" spans="1:78" s="1234" customFormat="1" x14ac:dyDescent="0.25">
      <c r="A53" s="3449"/>
      <c r="B53" s="3495" t="s">
        <v>940</v>
      </c>
      <c r="C53" s="3449" t="s">
        <v>44</v>
      </c>
      <c r="D53" s="3449"/>
      <c r="E53" s="3497"/>
      <c r="F53" s="3451">
        <f t="shared" ref="F53:N53" si="110">F49/F48*100</f>
        <v>106.98569552153229</v>
      </c>
      <c r="G53" s="3451">
        <f t="shared" si="110"/>
        <v>114.45568590289881</v>
      </c>
      <c r="H53" s="3451">
        <f t="shared" si="110"/>
        <v>125.73285775187495</v>
      </c>
      <c r="I53" s="3451">
        <f t="shared" si="110"/>
        <v>99.673584533638106</v>
      </c>
      <c r="J53" s="3451">
        <f t="shared" si="110"/>
        <v>130.56386536302659</v>
      </c>
      <c r="K53" s="3451">
        <f t="shared" si="110"/>
        <v>106.85864652761585</v>
      </c>
      <c r="L53" s="3451"/>
      <c r="M53" s="3451"/>
      <c r="N53" s="3451">
        <f t="shared" si="110"/>
        <v>106.38187331427997</v>
      </c>
      <c r="O53" s="3451">
        <f t="shared" ref="O53:P53" si="111">O49/O48*100</f>
        <v>118.48363075474954</v>
      </c>
      <c r="P53" s="3498">
        <f t="shared" si="111"/>
        <v>102.26622587552659</v>
      </c>
      <c r="Q53" s="3451"/>
      <c r="R53" s="3498"/>
      <c r="S53" s="3498"/>
      <c r="T53" s="3498"/>
      <c r="U53" s="3498"/>
      <c r="V53" s="3498"/>
      <c r="W53" s="3498"/>
      <c r="X53" s="3451">
        <f>X49/X48*100</f>
        <v>103.42151497316931</v>
      </c>
      <c r="Y53" s="3451"/>
      <c r="Z53" s="3498">
        <f t="shared" ref="Z53:AD53" si="112">Z49/Z48*100</f>
        <v>118.46415395564509</v>
      </c>
      <c r="AA53" s="3498">
        <f t="shared" si="112"/>
        <v>100</v>
      </c>
      <c r="AB53" s="3498">
        <f t="shared" si="112"/>
        <v>105.62635369197253</v>
      </c>
      <c r="AC53" s="3498">
        <f t="shared" si="112"/>
        <v>100.21278595988497</v>
      </c>
      <c r="AD53" s="3498">
        <f t="shared" si="112"/>
        <v>105.56294549931093</v>
      </c>
      <c r="AE53" s="3451">
        <f>AE49/AE48*100</f>
        <v>134.80273332801286</v>
      </c>
      <c r="AF53" s="3451"/>
      <c r="AG53" s="3446"/>
      <c r="AH53" s="3446"/>
      <c r="AI53" s="3446"/>
      <c r="AJ53" s="3446"/>
      <c r="AK53" s="3446"/>
      <c r="AL53" s="3446"/>
      <c r="AM53" s="3446"/>
      <c r="AN53" s="3446"/>
      <c r="AO53" s="3446"/>
      <c r="AP53" s="3446"/>
      <c r="AQ53" s="3446"/>
      <c r="AR53" s="3446"/>
      <c r="AS53" s="3446"/>
      <c r="AT53" s="3446"/>
      <c r="AU53" s="3446"/>
      <c r="AV53" s="3446"/>
      <c r="AW53" s="3446"/>
      <c r="AX53" s="3451">
        <f>AX49/AX48*100</f>
        <v>103.91493793108992</v>
      </c>
      <c r="AY53" s="3451"/>
      <c r="AZ53" s="3451"/>
      <c r="BA53" s="3451"/>
      <c r="BB53" s="3451"/>
      <c r="BC53" s="3451">
        <f>BC49/BC48*100</f>
        <v>158.73648405559254</v>
      </c>
      <c r="BD53" s="3451"/>
      <c r="BE53" s="3451">
        <f>BE49/BE48*100</f>
        <v>106.08746960585532</v>
      </c>
      <c r="BF53" s="3451"/>
      <c r="BG53" s="3451"/>
      <c r="BH53" s="3451"/>
      <c r="BI53" s="3451"/>
      <c r="BJ53" s="3451">
        <f>BJ49/BJ48*100</f>
        <v>142.8228793574693</v>
      </c>
      <c r="BK53" s="3451"/>
      <c r="BL53" s="3451">
        <f>BL49/BL48*100</f>
        <v>115.87374146018028</v>
      </c>
      <c r="BM53" s="3451"/>
      <c r="BN53" s="3811"/>
      <c r="BO53" s="3512"/>
      <c r="BP53" s="3451"/>
      <c r="BQ53" s="3512">
        <f>BQ49/BQ48*100</f>
        <v>147.06915024247954</v>
      </c>
      <c r="BR53" s="3512"/>
      <c r="BS53" s="4037">
        <f>BS49/BS48*100</f>
        <v>767948.72119896021</v>
      </c>
      <c r="BT53" s="4037"/>
      <c r="BU53" s="3512">
        <f>BU49/BU48*100</f>
        <v>162.22625027918704</v>
      </c>
      <c r="BV53" s="3512"/>
      <c r="BW53" s="3512"/>
      <c r="BX53" s="3512"/>
      <c r="BY53" s="4838"/>
      <c r="BZ53" s="4838"/>
    </row>
    <row r="54" spans="1:78" ht="24" hidden="1" customHeight="1" x14ac:dyDescent="0.25">
      <c r="A54" s="2584"/>
      <c r="B54" s="3499"/>
      <c r="C54" s="2584"/>
      <c r="D54" s="2584"/>
      <c r="E54" s="2584"/>
      <c r="F54" s="2584"/>
      <c r="G54" s="2584"/>
      <c r="H54" s="2584"/>
      <c r="I54" s="2584"/>
      <c r="J54" s="3500"/>
      <c r="K54" s="2584"/>
      <c r="L54" s="2584"/>
      <c r="M54" s="2584"/>
      <c r="N54" s="2584"/>
      <c r="O54" s="2584"/>
      <c r="P54" s="2584"/>
      <c r="Q54" s="2584"/>
      <c r="R54" s="2584"/>
      <c r="S54" s="2584"/>
      <c r="T54" s="2584"/>
      <c r="U54" s="2584"/>
      <c r="V54" s="2584"/>
      <c r="W54" s="2584"/>
      <c r="X54" s="2584"/>
      <c r="Y54" s="2584"/>
      <c r="Z54" s="2584"/>
      <c r="AA54" s="2584"/>
      <c r="AB54" s="2584"/>
      <c r="AC54" s="2584"/>
      <c r="AD54" s="2584"/>
      <c r="AE54" s="2584"/>
      <c r="AF54" s="3451"/>
      <c r="AG54" s="3446"/>
      <c r="AH54" s="3446"/>
      <c r="AI54" s="3446"/>
      <c r="AJ54" s="3446"/>
      <c r="AK54" s="3446"/>
      <c r="AL54" s="3446"/>
      <c r="AM54" s="3446"/>
      <c r="AN54" s="3446"/>
      <c r="AO54" s="3446"/>
      <c r="AP54" s="3446"/>
      <c r="AQ54" s="3446"/>
      <c r="AR54" s="3446"/>
      <c r="AS54" s="3446"/>
      <c r="AT54" s="3446"/>
      <c r="AU54" s="3446"/>
      <c r="AV54" s="3446"/>
      <c r="AW54" s="3446"/>
      <c r="AX54" s="2584"/>
      <c r="AY54" s="3451"/>
      <c r="AZ54" s="2584"/>
      <c r="BA54" s="2584"/>
      <c r="BB54" s="2584"/>
      <c r="BC54" s="2584"/>
      <c r="BD54" s="3451"/>
      <c r="BE54" s="2584"/>
      <c r="BF54" s="3451"/>
      <c r="BG54" s="2584"/>
      <c r="BH54" s="2584"/>
      <c r="BI54" s="2584"/>
      <c r="BJ54" s="2584"/>
      <c r="BK54" s="3451"/>
      <c r="BL54" s="2584"/>
      <c r="BM54" s="3451"/>
      <c r="BN54" s="3817"/>
      <c r="BO54" s="2457"/>
      <c r="BP54" s="2584"/>
      <c r="BQ54" s="2457"/>
      <c r="BR54" s="3512"/>
      <c r="BS54" s="4043"/>
      <c r="BT54" s="4037"/>
      <c r="BU54" s="2457"/>
      <c r="BV54" s="3512"/>
      <c r="BW54" s="2457"/>
      <c r="BX54" s="4037"/>
      <c r="BY54" s="4844"/>
      <c r="BZ54" s="4844"/>
    </row>
    <row r="55" spans="1:78" ht="15" customHeight="1" x14ac:dyDescent="0.25">
      <c r="A55" s="2584"/>
      <c r="B55" s="3495" t="s">
        <v>4230</v>
      </c>
      <c r="C55" s="2584"/>
      <c r="D55" s="2584"/>
      <c r="E55" s="2584"/>
      <c r="F55" s="2584"/>
      <c r="G55" s="2584"/>
      <c r="H55" s="2584"/>
      <c r="I55" s="2584"/>
      <c r="J55" s="3500"/>
      <c r="K55" s="2584"/>
      <c r="L55" s="2584"/>
      <c r="M55" s="2584"/>
      <c r="N55" s="2584"/>
      <c r="O55" s="2584"/>
      <c r="P55" s="2584"/>
      <c r="Q55" s="2584"/>
      <c r="R55" s="2584"/>
      <c r="S55" s="2584"/>
      <c r="T55" s="2584"/>
      <c r="U55" s="2584"/>
      <c r="V55" s="2584"/>
      <c r="W55" s="2584"/>
      <c r="X55" s="2584"/>
      <c r="Y55" s="2584"/>
      <c r="Z55" s="2584"/>
      <c r="AA55" s="2584"/>
      <c r="AB55" s="2584"/>
      <c r="AC55" s="2584"/>
      <c r="AD55" s="2584"/>
      <c r="AE55" s="2584"/>
      <c r="AF55" s="3451"/>
      <c r="AG55" s="3446"/>
      <c r="AH55" s="3446"/>
      <c r="AI55" s="3446"/>
      <c r="AJ55" s="3446"/>
      <c r="AK55" s="3446"/>
      <c r="AL55" s="3446"/>
      <c r="AM55" s="3446"/>
      <c r="AN55" s="3446"/>
      <c r="AO55" s="3446"/>
      <c r="AP55" s="3446"/>
      <c r="AQ55" s="3446"/>
      <c r="AR55" s="3446"/>
      <c r="AS55" s="3446"/>
      <c r="AT55" s="3446"/>
      <c r="AU55" s="3446"/>
      <c r="AV55" s="3446"/>
      <c r="AW55" s="3446"/>
      <c r="AX55" s="2584"/>
      <c r="AY55" s="3451"/>
      <c r="AZ55" s="2584"/>
      <c r="BA55" s="2584"/>
      <c r="BB55" s="2584"/>
      <c r="BC55" s="2584"/>
      <c r="BD55" s="3451"/>
      <c r="BE55" s="2584"/>
      <c r="BF55" s="3451"/>
      <c r="BG55" s="2584"/>
      <c r="BH55" s="2584"/>
      <c r="BI55" s="2584"/>
      <c r="BJ55" s="2584"/>
      <c r="BK55" s="3451"/>
      <c r="BL55" s="2584"/>
      <c r="BM55" s="3451"/>
      <c r="BN55" s="3817"/>
      <c r="BO55" s="2457"/>
      <c r="BP55" s="2584"/>
      <c r="BQ55" s="2457"/>
      <c r="BR55" s="3512"/>
      <c r="BS55" s="4043"/>
      <c r="BT55" s="4037"/>
      <c r="BU55" s="2457"/>
      <c r="BV55" s="3512"/>
      <c r="BW55" s="3516">
        <f>SUM(BW50/BL49)*100</f>
        <v>108.21026891779242</v>
      </c>
      <c r="BX55" s="4298"/>
      <c r="BY55" s="4844"/>
      <c r="BZ55" s="4844"/>
    </row>
    <row r="56" spans="1:78" s="2740" customFormat="1" ht="27" customHeight="1" x14ac:dyDescent="0.25">
      <c r="A56" s="3501" t="s">
        <v>942</v>
      </c>
      <c r="B56" s="3450" t="s">
        <v>943</v>
      </c>
      <c r="C56" s="2584"/>
      <c r="D56" s="2584"/>
      <c r="E56" s="2584"/>
      <c r="F56" s="2584"/>
      <c r="G56" s="2584"/>
      <c r="H56" s="2584"/>
      <c r="I56" s="2584"/>
      <c r="J56" s="3500"/>
      <c r="K56" s="2584"/>
      <c r="L56" s="2584"/>
      <c r="M56" s="2584"/>
      <c r="N56" s="2584"/>
      <c r="O56" s="2584"/>
      <c r="P56" s="2584"/>
      <c r="Q56" s="2584"/>
      <c r="R56" s="2584"/>
      <c r="S56" s="2584"/>
      <c r="T56" s="2584"/>
      <c r="U56" s="2584"/>
      <c r="V56" s="2584"/>
      <c r="W56" s="2584"/>
      <c r="X56" s="2584"/>
      <c r="Y56" s="2584"/>
      <c r="Z56" s="2584"/>
      <c r="AA56" s="2584"/>
      <c r="AB56" s="2584"/>
      <c r="AC56" s="2584"/>
      <c r="AD56" s="2584"/>
      <c r="AE56" s="2584"/>
      <c r="AF56" s="3451"/>
      <c r="AG56" s="3446"/>
      <c r="AH56" s="3446"/>
      <c r="AI56" s="3446"/>
      <c r="AJ56" s="3446"/>
      <c r="AK56" s="3446"/>
      <c r="AL56" s="3446"/>
      <c r="AM56" s="3446"/>
      <c r="AN56" s="3446"/>
      <c r="AO56" s="3446"/>
      <c r="AP56" s="3446"/>
      <c r="AQ56" s="3446"/>
      <c r="AR56" s="3446"/>
      <c r="AS56" s="3446"/>
      <c r="AT56" s="3446"/>
      <c r="AU56" s="3446"/>
      <c r="AV56" s="3446"/>
      <c r="AW56" s="3446"/>
      <c r="AX56" s="2584"/>
      <c r="AY56" s="3451"/>
      <c r="AZ56" s="2584"/>
      <c r="BA56" s="2584"/>
      <c r="BB56" s="2584"/>
      <c r="BC56" s="2584"/>
      <c r="BD56" s="3451"/>
      <c r="BE56" s="2584"/>
      <c r="BF56" s="3451"/>
      <c r="BG56" s="2584"/>
      <c r="BH56" s="2584"/>
      <c r="BI56" s="2584"/>
      <c r="BJ56" s="2584"/>
      <c r="BK56" s="3451"/>
      <c r="BL56" s="2584"/>
      <c r="BM56" s="3451"/>
      <c r="BN56" s="3817"/>
      <c r="BO56" s="2457"/>
      <c r="BP56" s="2584"/>
      <c r="BQ56" s="2457"/>
      <c r="BR56" s="3512"/>
      <c r="BS56" s="4043"/>
      <c r="BT56" s="4037"/>
      <c r="BU56" s="2457"/>
      <c r="BV56" s="3512"/>
      <c r="BW56" s="2457"/>
      <c r="BX56" s="4298"/>
      <c r="BY56" s="4844"/>
      <c r="BZ56" s="4844"/>
    </row>
    <row r="57" spans="1:78" s="2740" customFormat="1" x14ac:dyDescent="0.25">
      <c r="A57" s="2584"/>
      <c r="B57" s="3495" t="s">
        <v>939</v>
      </c>
      <c r="C57" s="3502" t="s">
        <v>944</v>
      </c>
      <c r="D57" s="3502"/>
      <c r="E57" s="3502"/>
      <c r="F57" s="3503">
        <v>25.95</v>
      </c>
      <c r="G57" s="3503"/>
      <c r="H57" s="3503"/>
      <c r="I57" s="3504">
        <f>F58</f>
        <v>27.796610169491526</v>
      </c>
      <c r="J57" s="3505"/>
      <c r="K57" s="3504">
        <f>F58</f>
        <v>27.796610169491526</v>
      </c>
      <c r="L57" s="3504"/>
      <c r="M57" s="3504"/>
      <c r="N57" s="3504">
        <f>I58</f>
        <v>29.381016949152542</v>
      </c>
      <c r="O57" s="3504"/>
      <c r="P57" s="3504">
        <f>K58</f>
        <v>28.96406779661017</v>
      </c>
      <c r="Q57" s="3504"/>
      <c r="R57" s="3504"/>
      <c r="S57" s="3504"/>
      <c r="T57" s="3504"/>
      <c r="U57" s="3504"/>
      <c r="V57" s="3504"/>
      <c r="W57" s="3504"/>
      <c r="X57" s="3504">
        <f>P58</f>
        <v>30.296414915254239</v>
      </c>
      <c r="Y57" s="3504"/>
      <c r="Z57" s="3504">
        <f>X58</f>
        <v>30.993232458305084</v>
      </c>
      <c r="AA57" s="3504">
        <f t="shared" ref="AA57:AD57" si="113">Z58</f>
        <v>32.232961756637287</v>
      </c>
      <c r="AB57" s="3504">
        <f t="shared" si="113"/>
        <v>33.52228022690278</v>
      </c>
      <c r="AC57" s="3504">
        <f t="shared" si="113"/>
        <v>34.863171435978892</v>
      </c>
      <c r="AD57" s="3504">
        <f t="shared" si="113"/>
        <v>36.257698293418045</v>
      </c>
      <c r="AE57" s="3504">
        <f>SUM(X58)</f>
        <v>30.993232458305084</v>
      </c>
      <c r="AF57" s="3451"/>
      <c r="AG57" s="3446"/>
      <c r="AH57" s="3446"/>
      <c r="AI57" s="3446"/>
      <c r="AJ57" s="3446"/>
      <c r="AK57" s="3446"/>
      <c r="AL57" s="3446"/>
      <c r="AM57" s="3446"/>
      <c r="AN57" s="3446"/>
      <c r="AO57" s="3446"/>
      <c r="AP57" s="3446"/>
      <c r="AQ57" s="3446"/>
      <c r="AR57" s="3446"/>
      <c r="AS57" s="3446"/>
      <c r="AT57" s="3446"/>
      <c r="AU57" s="3446"/>
      <c r="AV57" s="3446"/>
      <c r="AW57" s="3446"/>
      <c r="AX57" s="3504">
        <f>SUM(X58)</f>
        <v>30.993232458305084</v>
      </c>
      <c r="AY57" s="3451"/>
      <c r="AZ57" s="3504"/>
      <c r="BA57" s="3504"/>
      <c r="BB57" s="3504"/>
      <c r="BC57" s="3504">
        <f>SUM(AX58)</f>
        <v>32.232961756637287</v>
      </c>
      <c r="BD57" s="3451"/>
      <c r="BE57" s="3504">
        <v>32.229999999999997</v>
      </c>
      <c r="BF57" s="3451"/>
      <c r="BG57" s="3504"/>
      <c r="BH57" s="3504"/>
      <c r="BI57" s="3504"/>
      <c r="BJ57" s="3504">
        <f>SUM(BE58)</f>
        <v>33.42</v>
      </c>
      <c r="BK57" s="3451"/>
      <c r="BL57" s="3504">
        <f>SUM(BE58)</f>
        <v>33.42</v>
      </c>
      <c r="BM57" s="3451"/>
      <c r="BN57" s="3818"/>
      <c r="BO57" s="3516"/>
      <c r="BP57" s="3504"/>
      <c r="BQ57" s="3516">
        <f>SUM(BL58)</f>
        <v>34.75</v>
      </c>
      <c r="BR57" s="3512"/>
      <c r="BS57" s="4044">
        <f>SUM(BL58)</f>
        <v>34.75</v>
      </c>
      <c r="BT57" s="4037"/>
      <c r="BU57" s="3516">
        <f>SUM(BL58)</f>
        <v>34.75</v>
      </c>
      <c r="BV57" s="3512"/>
      <c r="BW57" s="3516"/>
      <c r="BX57" s="4298"/>
      <c r="BY57" s="4845"/>
      <c r="BZ57" s="4845"/>
    </row>
    <row r="58" spans="1:78" s="2740" customFormat="1" x14ac:dyDescent="0.25">
      <c r="A58" s="2584"/>
      <c r="B58" s="3495" t="s">
        <v>940</v>
      </c>
      <c r="C58" s="3502" t="s">
        <v>944</v>
      </c>
      <c r="D58" s="3502"/>
      <c r="E58" s="3502"/>
      <c r="F58" s="3504">
        <f>32.8/1.18</f>
        <v>27.796610169491526</v>
      </c>
      <c r="G58" s="3504"/>
      <c r="H58" s="3504"/>
      <c r="I58" s="3504">
        <f>I57*1.057</f>
        <v>29.381016949152542</v>
      </c>
      <c r="J58" s="3505"/>
      <c r="K58" s="3504">
        <f>K57*1.042</f>
        <v>28.96406779661017</v>
      </c>
      <c r="L58" s="3504"/>
      <c r="M58" s="3504"/>
      <c r="N58" s="3504">
        <f>N57*1.046</f>
        <v>30.73254372881356</v>
      </c>
      <c r="O58" s="3504"/>
      <c r="P58" s="3504">
        <f>P57*1.046</f>
        <v>30.296414915254239</v>
      </c>
      <c r="Q58" s="3504"/>
      <c r="R58" s="3504"/>
      <c r="S58" s="3504"/>
      <c r="T58" s="3504"/>
      <c r="U58" s="3504"/>
      <c r="V58" s="3504"/>
      <c r="W58" s="3504"/>
      <c r="X58" s="3504">
        <f>X57*1.023</f>
        <v>30.993232458305084</v>
      </c>
      <c r="Y58" s="3504"/>
      <c r="Z58" s="3504">
        <f>Z57*1.04</f>
        <v>32.232961756637287</v>
      </c>
      <c r="AA58" s="3504">
        <f t="shared" ref="AA58:AD58" si="114">AA57*1.04</f>
        <v>33.52228022690278</v>
      </c>
      <c r="AB58" s="3504">
        <f t="shared" si="114"/>
        <v>34.863171435978892</v>
      </c>
      <c r="AC58" s="3504">
        <f t="shared" si="114"/>
        <v>36.257698293418045</v>
      </c>
      <c r="AD58" s="3504">
        <f t="shared" si="114"/>
        <v>37.708006225154769</v>
      </c>
      <c r="AE58" s="3504">
        <f>AE57*1.04</f>
        <v>32.232961756637287</v>
      </c>
      <c r="AF58" s="3451"/>
      <c r="AG58" s="3446"/>
      <c r="AH58" s="3446"/>
      <c r="AI58" s="3446"/>
      <c r="AJ58" s="3446"/>
      <c r="AK58" s="3446"/>
      <c r="AL58" s="3446"/>
      <c r="AM58" s="3446"/>
      <c r="AN58" s="3446"/>
      <c r="AO58" s="3446"/>
      <c r="AP58" s="3446"/>
      <c r="AQ58" s="3446"/>
      <c r="AR58" s="3446"/>
      <c r="AS58" s="3446"/>
      <c r="AT58" s="3446"/>
      <c r="AU58" s="3446"/>
      <c r="AV58" s="3446"/>
      <c r="AW58" s="3446"/>
      <c r="AX58" s="3504">
        <f>AX57*1.04</f>
        <v>32.232961756637287</v>
      </c>
      <c r="AY58" s="3451"/>
      <c r="AZ58" s="3504"/>
      <c r="BA58" s="3504"/>
      <c r="BB58" s="3504"/>
      <c r="BC58" s="3504">
        <f>BC57*1.04</f>
        <v>33.52228022690278</v>
      </c>
      <c r="BD58" s="3451"/>
      <c r="BE58" s="3504">
        <v>33.42</v>
      </c>
      <c r="BF58" s="3451"/>
      <c r="BG58" s="3504"/>
      <c r="BH58" s="3504"/>
      <c r="BI58" s="3504"/>
      <c r="BJ58" s="3504">
        <f>BJ57*1.05</f>
        <v>35.091000000000001</v>
      </c>
      <c r="BK58" s="3451"/>
      <c r="BL58" s="3504">
        <v>34.75</v>
      </c>
      <c r="BM58" s="3451"/>
      <c r="BN58" s="3818"/>
      <c r="BO58" s="3516"/>
      <c r="BP58" s="3504"/>
      <c r="BQ58" s="3516">
        <f>BQ57*1.1</f>
        <v>38.225000000000001</v>
      </c>
      <c r="BR58" s="3512"/>
      <c r="BS58" s="4044">
        <v>34.75</v>
      </c>
      <c r="BT58" s="4037"/>
      <c r="BU58" s="3516">
        <f>BU57*1.04</f>
        <v>36.14</v>
      </c>
      <c r="BV58" s="3512"/>
      <c r="BW58" s="3516"/>
      <c r="BX58" s="4298"/>
      <c r="BY58" s="4845"/>
      <c r="BZ58" s="4845"/>
    </row>
    <row r="59" spans="1:78" s="2740" customFormat="1" x14ac:dyDescent="0.25">
      <c r="A59" s="2584"/>
      <c r="B59" s="3495" t="s">
        <v>4230</v>
      </c>
      <c r="C59" s="3502"/>
      <c r="D59" s="3502"/>
      <c r="E59" s="3502"/>
      <c r="F59" s="3504"/>
      <c r="G59" s="3504"/>
      <c r="H59" s="3504"/>
      <c r="I59" s="3504"/>
      <c r="J59" s="3505"/>
      <c r="K59" s="3504"/>
      <c r="L59" s="3504"/>
      <c r="M59" s="3504"/>
      <c r="N59" s="3504"/>
      <c r="O59" s="3504"/>
      <c r="P59" s="3504"/>
      <c r="Q59" s="3504"/>
      <c r="R59" s="3504"/>
      <c r="S59" s="3504"/>
      <c r="T59" s="3504"/>
      <c r="U59" s="3504"/>
      <c r="V59" s="3504"/>
      <c r="W59" s="3504"/>
      <c r="X59" s="3504"/>
      <c r="Y59" s="3504"/>
      <c r="Z59" s="3504"/>
      <c r="AA59" s="3504"/>
      <c r="AB59" s="3504"/>
      <c r="AC59" s="3504"/>
      <c r="AD59" s="3504"/>
      <c r="AE59" s="3504"/>
      <c r="AF59" s="3451"/>
      <c r="AG59" s="3446"/>
      <c r="AH59" s="3446"/>
      <c r="AI59" s="3446"/>
      <c r="AJ59" s="3446"/>
      <c r="AK59" s="3446"/>
      <c r="AL59" s="3446"/>
      <c r="AM59" s="3446"/>
      <c r="AN59" s="3446"/>
      <c r="AO59" s="3446"/>
      <c r="AP59" s="3446"/>
      <c r="AQ59" s="3446"/>
      <c r="AR59" s="3446"/>
      <c r="AS59" s="3446"/>
      <c r="AT59" s="3446"/>
      <c r="AU59" s="3446"/>
      <c r="AV59" s="3446"/>
      <c r="AW59" s="3446"/>
      <c r="AX59" s="3504"/>
      <c r="AY59" s="3451"/>
      <c r="AZ59" s="3504"/>
      <c r="BA59" s="3504"/>
      <c r="BB59" s="3504"/>
      <c r="BC59" s="3504"/>
      <c r="BD59" s="3451"/>
      <c r="BE59" s="3504"/>
      <c r="BF59" s="3451"/>
      <c r="BG59" s="3504"/>
      <c r="BH59" s="3504"/>
      <c r="BI59" s="3504"/>
      <c r="BJ59" s="3504"/>
      <c r="BK59" s="3451"/>
      <c r="BL59" s="3504"/>
      <c r="BM59" s="3451"/>
      <c r="BN59" s="3818"/>
      <c r="BO59" s="3516"/>
      <c r="BP59" s="3504"/>
      <c r="BQ59" s="3516"/>
      <c r="BR59" s="3512"/>
      <c r="BS59" s="4044"/>
      <c r="BT59" s="4037"/>
      <c r="BU59" s="3516"/>
      <c r="BV59" s="3512"/>
      <c r="BW59" s="3516">
        <v>37.880000000000003</v>
      </c>
      <c r="BX59" s="4298"/>
      <c r="BY59" s="4845"/>
      <c r="BZ59" s="4845"/>
    </row>
    <row r="60" spans="1:78" s="2740" customFormat="1" x14ac:dyDescent="0.25">
      <c r="A60" s="2584"/>
      <c r="B60" s="3495" t="s">
        <v>347</v>
      </c>
      <c r="C60" s="3502" t="s">
        <v>44</v>
      </c>
      <c r="D60" s="3502"/>
      <c r="E60" s="3502"/>
      <c r="F60" s="3504">
        <f>F58/F57*100</f>
        <v>107.11603148166292</v>
      </c>
      <c r="G60" s="3504"/>
      <c r="H60" s="3504"/>
      <c r="I60" s="3504">
        <f>I58/I57*100</f>
        <v>105.69999999999999</v>
      </c>
      <c r="J60" s="3506"/>
      <c r="K60" s="3504">
        <f>K58/K57*100</f>
        <v>104.2</v>
      </c>
      <c r="L60" s="3504"/>
      <c r="M60" s="3504"/>
      <c r="N60" s="3503">
        <f>N58/N57*100</f>
        <v>104.60000000000001</v>
      </c>
      <c r="O60" s="3503"/>
      <c r="P60" s="3507">
        <f t="shared" ref="P60" si="115">P58/P57*100</f>
        <v>104.60000000000001</v>
      </c>
      <c r="Q60" s="3507"/>
      <c r="R60" s="3507"/>
      <c r="S60" s="3507"/>
      <c r="T60" s="3507"/>
      <c r="U60" s="3507"/>
      <c r="V60" s="3507"/>
      <c r="W60" s="3507"/>
      <c r="X60" s="3507">
        <f t="shared" ref="X60:AD60" si="116">X58/X57*100</f>
        <v>102.3</v>
      </c>
      <c r="Y60" s="3507"/>
      <c r="Z60" s="3507">
        <f t="shared" si="116"/>
        <v>104</v>
      </c>
      <c r="AA60" s="3507">
        <f t="shared" si="116"/>
        <v>104</v>
      </c>
      <c r="AB60" s="3507">
        <f t="shared" si="116"/>
        <v>104</v>
      </c>
      <c r="AC60" s="3507">
        <f t="shared" si="116"/>
        <v>104</v>
      </c>
      <c r="AD60" s="3507">
        <f t="shared" si="116"/>
        <v>104</v>
      </c>
      <c r="AE60" s="3507">
        <f t="shared" ref="AE60" si="117">AE58/AE57*100</f>
        <v>104</v>
      </c>
      <c r="AF60" s="3451"/>
      <c r="AG60" s="3446"/>
      <c r="AH60" s="3446"/>
      <c r="AI60" s="3446"/>
      <c r="AJ60" s="3446"/>
      <c r="AK60" s="3446"/>
      <c r="AL60" s="3446"/>
      <c r="AM60" s="3446"/>
      <c r="AN60" s="3446"/>
      <c r="AO60" s="3446"/>
      <c r="AP60" s="3446"/>
      <c r="AQ60" s="3446"/>
      <c r="AR60" s="3446"/>
      <c r="AS60" s="3446"/>
      <c r="AT60" s="3446"/>
      <c r="AU60" s="3446"/>
      <c r="AV60" s="3446"/>
      <c r="AW60" s="3446"/>
      <c r="AX60" s="3507">
        <f t="shared" ref="AX60" si="118">AX58/AX57*100</f>
        <v>104</v>
      </c>
      <c r="AY60" s="3451"/>
      <c r="AZ60" s="3507"/>
      <c r="BA60" s="3507"/>
      <c r="BB60" s="3507"/>
      <c r="BC60" s="3507">
        <f t="shared" ref="BC60:BE60" si="119">BC58/BC57*100</f>
        <v>104</v>
      </c>
      <c r="BD60" s="3451"/>
      <c r="BE60" s="3507">
        <f t="shared" si="119"/>
        <v>103.69221222463545</v>
      </c>
      <c r="BF60" s="3451"/>
      <c r="BG60" s="3507"/>
      <c r="BH60" s="3507"/>
      <c r="BI60" s="3507"/>
      <c r="BJ60" s="3507">
        <f t="shared" ref="BJ60" si="120">BJ58/BJ57*100</f>
        <v>105</v>
      </c>
      <c r="BK60" s="3451"/>
      <c r="BL60" s="3507">
        <f t="shared" ref="BL60" si="121">BL58/BL57*100</f>
        <v>103.97965290245361</v>
      </c>
      <c r="BM60" s="3451"/>
      <c r="BN60" s="3819"/>
      <c r="BO60" s="3517"/>
      <c r="BP60" s="3507"/>
      <c r="BQ60" s="3517">
        <f t="shared" ref="BQ60" si="122">BQ58/BQ57*100</f>
        <v>110.00000000000001</v>
      </c>
      <c r="BR60" s="3512"/>
      <c r="BS60" s="4045">
        <f t="shared" ref="BS60" si="123">BS58/BS57*100</f>
        <v>100</v>
      </c>
      <c r="BT60" s="4037"/>
      <c r="BU60" s="3517">
        <f t="shared" ref="BU60" si="124">BU58/BU57*100</f>
        <v>104</v>
      </c>
      <c r="BV60" s="3512"/>
      <c r="BW60" s="3517">
        <f>SUM(BW59/BL58)*100</f>
        <v>109.00719424460432</v>
      </c>
      <c r="BX60" s="4298"/>
      <c r="BY60" s="4846"/>
      <c r="BZ60" s="4846"/>
    </row>
    <row r="61" spans="1:78" s="2740" customFormat="1" x14ac:dyDescent="0.25">
      <c r="A61" s="2584"/>
      <c r="B61" s="3450" t="s">
        <v>945</v>
      </c>
      <c r="C61" s="3502" t="s">
        <v>899</v>
      </c>
      <c r="D61" s="3502"/>
      <c r="E61" s="3502"/>
      <c r="F61" s="3508">
        <f>(F48-F57)*F46/2+(F49-F58)*F46/2</f>
        <v>13958.489884195573</v>
      </c>
      <c r="G61" s="3508"/>
      <c r="H61" s="3508"/>
      <c r="I61" s="3508">
        <f>(I48-I57)*I46/2+(I49-I58)*I46/2</f>
        <v>12130.083956320392</v>
      </c>
      <c r="J61" s="3509"/>
      <c r="K61" s="3508">
        <f>(K48-K57)*K46/2+(K49-K58)*K46/2</f>
        <v>15465.204076820759</v>
      </c>
      <c r="L61" s="3508"/>
      <c r="M61" s="3508"/>
      <c r="N61" s="3508">
        <f>(N48-N57)*N46/2+(N49-N58)*N46/2</f>
        <v>11054.027341227289</v>
      </c>
      <c r="O61" s="3508"/>
      <c r="P61" s="3510">
        <f>(P48-P57)*P46/2+(P49-P58)*P46/2</f>
        <v>16078.278051404232</v>
      </c>
      <c r="Q61" s="3510"/>
      <c r="R61" s="3510"/>
      <c r="S61" s="3510"/>
      <c r="T61" s="3510"/>
      <c r="U61" s="3510"/>
      <c r="V61" s="3510"/>
      <c r="W61" s="3510"/>
      <c r="X61" s="3510">
        <f>(X48-X57)*X46/2+(X49-X58)*X46/2</f>
        <v>16822.939086048631</v>
      </c>
      <c r="Y61" s="3510"/>
      <c r="Z61" s="3510">
        <f t="shared" ref="Z61:AE61" si="125">(Z48-Z57)*Z46/2+(Z49-Z58)*Z46/2</f>
        <v>24649.328259670576</v>
      </c>
      <c r="AA61" s="3510">
        <f t="shared" si="125"/>
        <v>23921.956460354195</v>
      </c>
      <c r="AB61" s="3510">
        <f t="shared" si="125"/>
        <v>23634.809609073982</v>
      </c>
      <c r="AC61" s="3510">
        <f t="shared" si="125"/>
        <v>23336.021699625162</v>
      </c>
      <c r="AD61" s="3510">
        <f t="shared" si="125"/>
        <v>23039.978786816628</v>
      </c>
      <c r="AE61" s="3510">
        <f t="shared" si="125"/>
        <v>32310.32585129968</v>
      </c>
      <c r="AF61" s="3451"/>
      <c r="AG61" s="3446"/>
      <c r="AH61" s="3446"/>
      <c r="AI61" s="3446"/>
      <c r="AJ61" s="3446"/>
      <c r="AK61" s="3446"/>
      <c r="AL61" s="3446"/>
      <c r="AM61" s="3446"/>
      <c r="AN61" s="3446"/>
      <c r="AO61" s="3446"/>
      <c r="AP61" s="3446"/>
      <c r="AQ61" s="3446"/>
      <c r="AR61" s="3446"/>
      <c r="AS61" s="3446"/>
      <c r="AT61" s="3446"/>
      <c r="AU61" s="3446"/>
      <c r="AV61" s="3446"/>
      <c r="AW61" s="3446"/>
      <c r="AX61" s="3510">
        <f>(AX48-AX57)*AX46/2+(AX49-AX58)*AX46/2</f>
        <v>16684.108391210357</v>
      </c>
      <c r="AY61" s="3451"/>
      <c r="AZ61" s="3510"/>
      <c r="BA61" s="3510"/>
      <c r="BB61" s="3510"/>
      <c r="BC61" s="3510">
        <f>(BC48-BC57)*BC46/2+(BC49-BC58)*BC46/2</f>
        <v>42274.011054793205</v>
      </c>
      <c r="BD61" s="3451"/>
      <c r="BE61" s="3510">
        <f>(BE48-BE57)*BE46/2+(BE49-BE58)*BE46/2</f>
        <v>18956.035546649655</v>
      </c>
      <c r="BF61" s="3451"/>
      <c r="BG61" s="3510"/>
      <c r="BH61" s="3510"/>
      <c r="BI61" s="3510"/>
      <c r="BJ61" s="3510">
        <f>(BJ48-BJ57)*BJ46/2+(BJ49-BJ58)*BJ46/2</f>
        <v>39778.606268541058</v>
      </c>
      <c r="BK61" s="3451"/>
      <c r="BL61" s="3510">
        <f>(BL48-BL57)*BL46/2+(BL49-BL58)*BL46/2</f>
        <v>26743.167007172204</v>
      </c>
      <c r="BM61" s="3451"/>
      <c r="BN61" s="3820"/>
      <c r="BO61" s="3518"/>
      <c r="BP61" s="3510"/>
      <c r="BQ61" s="3518">
        <f>(BQ48-BQ57)*BQ46/2+(BQ49-BQ58)*BQ46/2</f>
        <v>56157.071177630176</v>
      </c>
      <c r="BR61" s="3512"/>
      <c r="BS61" s="4052">
        <f>(BS48-BS57)*BS46/2+(BS49-BS58)*BS46/2</f>
        <v>0</v>
      </c>
      <c r="BT61" s="4037"/>
      <c r="BU61" s="3518">
        <f>(BU48-BU57)*BU46/2+(BU49-BU58)*BU46/2</f>
        <v>67391.144100517791</v>
      </c>
      <c r="BV61" s="3512"/>
      <c r="BW61" s="3518">
        <f>(BW47-BW59)*BW46/2+(BW47-BW59)*BW46/2</f>
        <v>35718.774107740988</v>
      </c>
      <c r="BX61" s="4298"/>
      <c r="BY61" s="4847"/>
      <c r="BZ61" s="4847"/>
    </row>
    <row r="62" spans="1:78" s="2740" customFormat="1" ht="27" customHeight="1" x14ac:dyDescent="0.25">
      <c r="A62" s="3501">
        <v>5</v>
      </c>
      <c r="B62" s="3450" t="s">
        <v>1549</v>
      </c>
      <c r="C62" s="2584"/>
      <c r="D62" s="2584"/>
      <c r="E62" s="2584"/>
      <c r="F62" s="3510"/>
      <c r="G62" s="3510"/>
      <c r="H62" s="3510"/>
      <c r="I62" s="3510"/>
      <c r="J62" s="3511"/>
      <c r="K62" s="3510"/>
      <c r="L62" s="3510"/>
      <c r="M62" s="3510"/>
      <c r="N62" s="3503"/>
      <c r="O62" s="3503"/>
      <c r="P62" s="3503"/>
      <c r="Q62" s="3503"/>
      <c r="R62" s="3503"/>
      <c r="S62" s="3503"/>
      <c r="T62" s="3503"/>
      <c r="U62" s="3503"/>
      <c r="V62" s="3503"/>
      <c r="W62" s="3503"/>
      <c r="X62" s="3503"/>
      <c r="Y62" s="3503"/>
      <c r="Z62" s="3503"/>
      <c r="AA62" s="3503"/>
      <c r="AB62" s="3503"/>
      <c r="AC62" s="3503"/>
      <c r="AD62" s="3503"/>
      <c r="AE62" s="3503"/>
      <c r="AF62" s="3451"/>
      <c r="AG62" s="3446"/>
      <c r="AH62" s="3446"/>
      <c r="AI62" s="3446"/>
      <c r="AJ62" s="3446"/>
      <c r="AK62" s="3446"/>
      <c r="AL62" s="3446"/>
      <c r="AM62" s="3446"/>
      <c r="AN62" s="3446"/>
      <c r="AO62" s="3446"/>
      <c r="AP62" s="3446"/>
      <c r="AQ62" s="3446"/>
      <c r="AR62" s="3446"/>
      <c r="AS62" s="3446"/>
      <c r="AT62" s="3446"/>
      <c r="AU62" s="3446"/>
      <c r="AV62" s="3446"/>
      <c r="AW62" s="3446"/>
      <c r="AX62" s="3503"/>
      <c r="AY62" s="3451"/>
      <c r="AZ62" s="3503"/>
      <c r="BA62" s="3503"/>
      <c r="BB62" s="3503"/>
      <c r="BC62" s="3503"/>
      <c r="BD62" s="3451"/>
      <c r="BE62" s="3503"/>
      <c r="BF62" s="3451"/>
      <c r="BG62" s="3503"/>
      <c r="BH62" s="3503"/>
      <c r="BI62" s="3503"/>
      <c r="BJ62" s="3503"/>
      <c r="BK62" s="3451"/>
      <c r="BL62" s="3503"/>
      <c r="BM62" s="3451"/>
      <c r="BN62" s="3821"/>
      <c r="BO62" s="3519"/>
      <c r="BP62" s="3503"/>
      <c r="BQ62" s="3519"/>
      <c r="BR62" s="3512"/>
      <c r="BS62" s="4053"/>
      <c r="BT62" s="4037"/>
      <c r="BU62" s="3519"/>
      <c r="BV62" s="3512"/>
      <c r="BW62" s="3519"/>
      <c r="BX62" s="4298"/>
      <c r="BY62" s="4848"/>
      <c r="BZ62" s="4848"/>
    </row>
    <row r="63" spans="1:78" s="2740" customFormat="1" x14ac:dyDescent="0.25">
      <c r="A63" s="2584"/>
      <c r="B63" s="3495" t="s">
        <v>939</v>
      </c>
      <c r="C63" s="3502" t="s">
        <v>944</v>
      </c>
      <c r="D63" s="3502"/>
      <c r="E63" s="3502"/>
      <c r="F63" s="3504">
        <f>F57*1.18</f>
        <v>30.620999999999999</v>
      </c>
      <c r="G63" s="3504"/>
      <c r="H63" s="3504"/>
      <c r="I63" s="3504">
        <f>F64</f>
        <v>32.799999999999997</v>
      </c>
      <c r="J63" s="3505"/>
      <c r="K63" s="3504">
        <f>F64</f>
        <v>32.799999999999997</v>
      </c>
      <c r="L63" s="3504"/>
      <c r="M63" s="3504"/>
      <c r="N63" s="3504">
        <f>I64</f>
        <v>34.669599999999996</v>
      </c>
      <c r="O63" s="3504"/>
      <c r="P63" s="3504">
        <f>P57*1.18</f>
        <v>34.177599999999998</v>
      </c>
      <c r="Q63" s="3504"/>
      <c r="R63" s="3504"/>
      <c r="S63" s="3504"/>
      <c r="T63" s="3504"/>
      <c r="U63" s="3504"/>
      <c r="V63" s="3504"/>
      <c r="W63" s="3504"/>
      <c r="X63" s="3504">
        <f>X57*1.2</f>
        <v>36.355697898305088</v>
      </c>
      <c r="Y63" s="3504"/>
      <c r="Z63" s="3504">
        <f t="shared" ref="Z63:AD63" si="126">Z57*1.2</f>
        <v>37.191878949966096</v>
      </c>
      <c r="AA63" s="3504">
        <f t="shared" si="126"/>
        <v>38.679554107964741</v>
      </c>
      <c r="AB63" s="3504">
        <f t="shared" si="126"/>
        <v>40.226736272283333</v>
      </c>
      <c r="AC63" s="3504">
        <f t="shared" si="126"/>
        <v>41.835805723174666</v>
      </c>
      <c r="AD63" s="3504">
        <f t="shared" si="126"/>
        <v>43.50923795210165</v>
      </c>
      <c r="AE63" s="3504">
        <f>AE57*1.2</f>
        <v>37.191878949966096</v>
      </c>
      <c r="AF63" s="3451"/>
      <c r="AG63" s="3446"/>
      <c r="AH63" s="3446"/>
      <c r="AI63" s="3446"/>
      <c r="AJ63" s="3446"/>
      <c r="AK63" s="3446"/>
      <c r="AL63" s="3446"/>
      <c r="AM63" s="3446"/>
      <c r="AN63" s="3446"/>
      <c r="AO63" s="3446"/>
      <c r="AP63" s="3446"/>
      <c r="AQ63" s="3446"/>
      <c r="AR63" s="3446"/>
      <c r="AS63" s="3446"/>
      <c r="AT63" s="3446"/>
      <c r="AU63" s="3446"/>
      <c r="AV63" s="3446"/>
      <c r="AW63" s="3446"/>
      <c r="AX63" s="3504">
        <f>AX57*1.2</f>
        <v>37.191878949966096</v>
      </c>
      <c r="AY63" s="3451"/>
      <c r="AZ63" s="3504"/>
      <c r="BA63" s="3504"/>
      <c r="BB63" s="3504"/>
      <c r="BC63" s="3504">
        <f>BC57*1.2</f>
        <v>38.679554107964741</v>
      </c>
      <c r="BD63" s="3451"/>
      <c r="BE63" s="3504">
        <f>BE57*1.2</f>
        <v>38.675999999999995</v>
      </c>
      <c r="BF63" s="3451"/>
      <c r="BG63" s="3504"/>
      <c r="BH63" s="3504"/>
      <c r="BI63" s="3504"/>
      <c r="BJ63" s="3504">
        <f>BJ57*1.2</f>
        <v>40.103999999999999</v>
      </c>
      <c r="BK63" s="3451"/>
      <c r="BL63" s="3504">
        <f>BL57*1.2</f>
        <v>40.103999999999999</v>
      </c>
      <c r="BM63" s="3451"/>
      <c r="BN63" s="3818"/>
      <c r="BO63" s="3516"/>
      <c r="BP63" s="3504"/>
      <c r="BQ63" s="3516">
        <f>BQ57*1.2</f>
        <v>41.699999999999996</v>
      </c>
      <c r="BR63" s="3512"/>
      <c r="BS63" s="4044">
        <f>BS57*1.2</f>
        <v>41.699999999999996</v>
      </c>
      <c r="BT63" s="4037"/>
      <c r="BU63" s="3516">
        <f>BU57*1.2</f>
        <v>41.699999999999996</v>
      </c>
      <c r="BV63" s="3512"/>
      <c r="BW63" s="3516"/>
      <c r="BX63" s="4298"/>
      <c r="BY63" s="4845"/>
      <c r="BZ63" s="4845"/>
    </row>
    <row r="64" spans="1:78" s="2740" customFormat="1" x14ac:dyDescent="0.25">
      <c r="A64" s="2584"/>
      <c r="B64" s="3495" t="s">
        <v>940</v>
      </c>
      <c r="C64" s="3502" t="s">
        <v>944</v>
      </c>
      <c r="D64" s="3502"/>
      <c r="E64" s="3502"/>
      <c r="F64" s="3504">
        <f>F58*1.18</f>
        <v>32.799999999999997</v>
      </c>
      <c r="G64" s="3504"/>
      <c r="H64" s="3504"/>
      <c r="I64" s="3504">
        <f>I63*1.057</f>
        <v>34.669599999999996</v>
      </c>
      <c r="J64" s="3505"/>
      <c r="K64" s="3504">
        <f>K58*1.18</f>
        <v>34.177599999999998</v>
      </c>
      <c r="L64" s="3504"/>
      <c r="M64" s="3504"/>
      <c r="N64" s="3504">
        <f>N63*1.046</f>
        <v>36.264401599999999</v>
      </c>
      <c r="O64" s="3504"/>
      <c r="P64" s="3504">
        <f>P58*1.18</f>
        <v>35.7497696</v>
      </c>
      <c r="Q64" s="3504"/>
      <c r="R64" s="3504"/>
      <c r="S64" s="3504"/>
      <c r="T64" s="3504"/>
      <c r="U64" s="3504"/>
      <c r="V64" s="3504"/>
      <c r="W64" s="3504"/>
      <c r="X64" s="3504">
        <f>X58*1.2</f>
        <v>37.191878949966096</v>
      </c>
      <c r="Y64" s="3504"/>
      <c r="Z64" s="3504">
        <f t="shared" ref="Z64:AD64" si="127">Z58*1.2</f>
        <v>38.679554107964741</v>
      </c>
      <c r="AA64" s="3504">
        <f t="shared" si="127"/>
        <v>40.226736272283333</v>
      </c>
      <c r="AB64" s="3504">
        <f t="shared" si="127"/>
        <v>41.835805723174666</v>
      </c>
      <c r="AC64" s="3504">
        <f t="shared" si="127"/>
        <v>43.50923795210165</v>
      </c>
      <c r="AD64" s="3504">
        <f t="shared" si="127"/>
        <v>45.249607470185722</v>
      </c>
      <c r="AE64" s="3504">
        <f>AE58*1.2</f>
        <v>38.679554107964741</v>
      </c>
      <c r="AF64" s="3451"/>
      <c r="AG64" s="3446"/>
      <c r="AH64" s="3446"/>
      <c r="AI64" s="3446"/>
      <c r="AJ64" s="3446"/>
      <c r="AK64" s="3446"/>
      <c r="AL64" s="3446"/>
      <c r="AM64" s="3446"/>
      <c r="AN64" s="3446"/>
      <c r="AO64" s="3446"/>
      <c r="AP64" s="3446"/>
      <c r="AQ64" s="3446"/>
      <c r="AR64" s="3446"/>
      <c r="AS64" s="3446"/>
      <c r="AT64" s="3446"/>
      <c r="AU64" s="3446"/>
      <c r="AV64" s="3446"/>
      <c r="AW64" s="3446"/>
      <c r="AX64" s="3504">
        <f>AX58*1.2</f>
        <v>38.679554107964741</v>
      </c>
      <c r="AY64" s="3451"/>
      <c r="AZ64" s="3504"/>
      <c r="BA64" s="3504"/>
      <c r="BB64" s="3504"/>
      <c r="BC64" s="3504">
        <f>BC58*1.2</f>
        <v>40.226736272283333</v>
      </c>
      <c r="BD64" s="3451"/>
      <c r="BE64" s="3504">
        <f>BE58*1.2</f>
        <v>40.103999999999999</v>
      </c>
      <c r="BF64" s="3451"/>
      <c r="BG64" s="3504"/>
      <c r="BH64" s="3504"/>
      <c r="BI64" s="3504"/>
      <c r="BJ64" s="3504">
        <f>BJ58*1.2</f>
        <v>42.109200000000001</v>
      </c>
      <c r="BK64" s="3451"/>
      <c r="BL64" s="3504">
        <f>BL58*1.2</f>
        <v>41.699999999999996</v>
      </c>
      <c r="BM64" s="3451"/>
      <c r="BN64" s="3818"/>
      <c r="BO64" s="3516"/>
      <c r="BP64" s="3504"/>
      <c r="BQ64" s="3516">
        <f>BQ58*1.2</f>
        <v>45.87</v>
      </c>
      <c r="BR64" s="3512"/>
      <c r="BS64" s="4044">
        <f>BS58*1.2</f>
        <v>41.699999999999996</v>
      </c>
      <c r="BT64" s="4037"/>
      <c r="BU64" s="3516">
        <f>BU58*1.2</f>
        <v>43.368000000000002</v>
      </c>
      <c r="BV64" s="3512"/>
      <c r="BW64" s="3516"/>
      <c r="BX64" s="4298"/>
      <c r="BY64" s="4845"/>
      <c r="BZ64" s="4845"/>
    </row>
    <row r="65" spans="1:78" s="2740" customFormat="1" x14ac:dyDescent="0.25">
      <c r="A65" s="2584"/>
      <c r="B65" s="3495" t="s">
        <v>4230</v>
      </c>
      <c r="C65" s="3502"/>
      <c r="D65" s="3502"/>
      <c r="E65" s="3502"/>
      <c r="F65" s="3504"/>
      <c r="G65" s="3504"/>
      <c r="H65" s="3504"/>
      <c r="I65" s="3504"/>
      <c r="J65" s="3505"/>
      <c r="K65" s="3504"/>
      <c r="L65" s="3504"/>
      <c r="M65" s="3504"/>
      <c r="N65" s="3504"/>
      <c r="O65" s="3504"/>
      <c r="P65" s="3504"/>
      <c r="Q65" s="3504"/>
      <c r="R65" s="3504"/>
      <c r="S65" s="3504"/>
      <c r="T65" s="3504"/>
      <c r="U65" s="3504"/>
      <c r="V65" s="3504"/>
      <c r="W65" s="3504"/>
      <c r="X65" s="3504"/>
      <c r="Y65" s="3504"/>
      <c r="Z65" s="3504"/>
      <c r="AA65" s="3504"/>
      <c r="AB65" s="3504"/>
      <c r="AC65" s="3504"/>
      <c r="AD65" s="3504"/>
      <c r="AE65" s="3504"/>
      <c r="AF65" s="3451"/>
      <c r="AG65" s="3446"/>
      <c r="AH65" s="3446"/>
      <c r="AI65" s="3446"/>
      <c r="AJ65" s="3446"/>
      <c r="AK65" s="3446"/>
      <c r="AL65" s="3446"/>
      <c r="AM65" s="3446"/>
      <c r="AN65" s="3446"/>
      <c r="AO65" s="3446"/>
      <c r="AP65" s="3446"/>
      <c r="AQ65" s="3446"/>
      <c r="AR65" s="3446"/>
      <c r="AS65" s="3446"/>
      <c r="AT65" s="3446"/>
      <c r="AU65" s="3446"/>
      <c r="AV65" s="3446"/>
      <c r="AW65" s="3446"/>
      <c r="AX65" s="3504"/>
      <c r="AY65" s="3451"/>
      <c r="AZ65" s="3504"/>
      <c r="BA65" s="3504"/>
      <c r="BB65" s="3504"/>
      <c r="BC65" s="3504"/>
      <c r="BD65" s="3451"/>
      <c r="BE65" s="3504"/>
      <c r="BF65" s="3451"/>
      <c r="BG65" s="3504"/>
      <c r="BH65" s="3504"/>
      <c r="BI65" s="3504"/>
      <c r="BJ65" s="3504"/>
      <c r="BK65" s="3451"/>
      <c r="BL65" s="3504"/>
      <c r="BM65" s="3451"/>
      <c r="BN65" s="3818"/>
      <c r="BO65" s="3516"/>
      <c r="BP65" s="3504"/>
      <c r="BQ65" s="3516"/>
      <c r="BR65" s="3512"/>
      <c r="BS65" s="4044"/>
      <c r="BT65" s="4037"/>
      <c r="BU65" s="3516"/>
      <c r="BV65" s="3512"/>
      <c r="BW65" s="3516">
        <f>SUM(BW59*1.2)</f>
        <v>45.456000000000003</v>
      </c>
      <c r="BX65" s="4298"/>
      <c r="BY65" s="4845"/>
      <c r="BZ65" s="4845"/>
    </row>
    <row r="66" spans="1:78" s="2740" customFormat="1" x14ac:dyDescent="0.25">
      <c r="A66" s="2584"/>
      <c r="B66" s="3495" t="s">
        <v>347</v>
      </c>
      <c r="C66" s="3502" t="s">
        <v>44</v>
      </c>
      <c r="D66" s="3502"/>
      <c r="E66" s="3502"/>
      <c r="F66" s="3504">
        <f>F64/F63*100</f>
        <v>107.11603148166292</v>
      </c>
      <c r="G66" s="3504"/>
      <c r="H66" s="3504"/>
      <c r="I66" s="3504">
        <f>I64/I63*100</f>
        <v>105.69999999999999</v>
      </c>
      <c r="J66" s="3506"/>
      <c r="K66" s="3504">
        <f>K64/K63*100</f>
        <v>104.2</v>
      </c>
      <c r="L66" s="3504"/>
      <c r="M66" s="3504"/>
      <c r="N66" s="3503">
        <f>N64/N63*100</f>
        <v>104.60000000000001</v>
      </c>
      <c r="O66" s="3503"/>
      <c r="P66" s="3507">
        <f t="shared" ref="P66" si="128">P64/P63*100</f>
        <v>104.60000000000001</v>
      </c>
      <c r="Q66" s="3507"/>
      <c r="R66" s="3507"/>
      <c r="S66" s="3507"/>
      <c r="T66" s="3507"/>
      <c r="U66" s="3507"/>
      <c r="V66" s="3507"/>
      <c r="W66" s="3507"/>
      <c r="X66" s="3507">
        <f t="shared" ref="X66:AD66" si="129">X64/X63*100</f>
        <v>102.29999999999997</v>
      </c>
      <c r="Y66" s="3507"/>
      <c r="Z66" s="3507">
        <f t="shared" si="129"/>
        <v>104</v>
      </c>
      <c r="AA66" s="3507">
        <f t="shared" si="129"/>
        <v>104</v>
      </c>
      <c r="AB66" s="3507">
        <f t="shared" si="129"/>
        <v>104</v>
      </c>
      <c r="AC66" s="3507">
        <f t="shared" si="129"/>
        <v>104</v>
      </c>
      <c r="AD66" s="3507">
        <f t="shared" si="129"/>
        <v>104.00000000000003</v>
      </c>
      <c r="AE66" s="3507">
        <f t="shared" ref="AE66" si="130">AE64/AE63*100</f>
        <v>104</v>
      </c>
      <c r="AF66" s="3451"/>
      <c r="AG66" s="3446"/>
      <c r="AH66" s="3446"/>
      <c r="AI66" s="3446"/>
      <c r="AJ66" s="3446"/>
      <c r="AK66" s="3446"/>
      <c r="AL66" s="3446"/>
      <c r="AM66" s="3446"/>
      <c r="AN66" s="3446"/>
      <c r="AO66" s="3446"/>
      <c r="AP66" s="3446"/>
      <c r="AQ66" s="3446"/>
      <c r="AR66" s="3446"/>
      <c r="AS66" s="3446"/>
      <c r="AT66" s="3446"/>
      <c r="AU66" s="3446"/>
      <c r="AV66" s="3446"/>
      <c r="AW66" s="3446"/>
      <c r="AX66" s="3507">
        <f t="shared" ref="AX66" si="131">AX64/AX63*100</f>
        <v>104</v>
      </c>
      <c r="AY66" s="3451"/>
      <c r="AZ66" s="3507"/>
      <c r="BA66" s="3507"/>
      <c r="BB66" s="3507"/>
      <c r="BC66" s="3507">
        <f t="shared" ref="BC66:BE66" si="132">BC64/BC63*100</f>
        <v>104</v>
      </c>
      <c r="BD66" s="3451"/>
      <c r="BE66" s="3507">
        <f t="shared" si="132"/>
        <v>103.69221222463545</v>
      </c>
      <c r="BF66" s="3451"/>
      <c r="BG66" s="3507"/>
      <c r="BH66" s="3507"/>
      <c r="BI66" s="3507"/>
      <c r="BJ66" s="3507">
        <f t="shared" ref="BJ66" si="133">BJ64/BJ63*100</f>
        <v>105</v>
      </c>
      <c r="BK66" s="3451"/>
      <c r="BL66" s="3507">
        <f t="shared" ref="BL66" si="134">BL64/BL63*100</f>
        <v>103.97965290245361</v>
      </c>
      <c r="BM66" s="3451"/>
      <c r="BN66" s="3819"/>
      <c r="BO66" s="3517"/>
      <c r="BP66" s="3507"/>
      <c r="BQ66" s="3517">
        <f t="shared" ref="BQ66" si="135">BQ64/BQ63*100</f>
        <v>110.00000000000001</v>
      </c>
      <c r="BR66" s="3512"/>
      <c r="BS66" s="4045">
        <f t="shared" ref="BS66" si="136">BS64/BS63*100</f>
        <v>100</v>
      </c>
      <c r="BT66" s="4037"/>
      <c r="BU66" s="3517">
        <f t="shared" ref="BU66" si="137">BU64/BU63*100</f>
        <v>104.00000000000003</v>
      </c>
      <c r="BV66" s="3512"/>
      <c r="BW66" s="3517">
        <f>SUM(BW65/BL64)*100</f>
        <v>109.00719424460435</v>
      </c>
      <c r="BX66" s="4298"/>
      <c r="BY66" s="4846"/>
      <c r="BZ66" s="4846"/>
    </row>
    <row r="67" spans="1:78" x14ac:dyDescent="0.25">
      <c r="X67" s="2494"/>
      <c r="Y67" s="2494"/>
      <c r="Z67" s="2494"/>
      <c r="AA67" s="2494"/>
      <c r="AB67" s="2494"/>
    </row>
    <row r="68" spans="1:78" x14ac:dyDescent="0.25">
      <c r="M68" s="2494">
        <f>M46*K47*2%</f>
        <v>1707.4822973291632</v>
      </c>
      <c r="N68" s="2494"/>
      <c r="O68" s="2494"/>
      <c r="P68" s="2495">
        <f>P61+'стоки 2019-2023'!Q60</f>
        <v>30846.915811557581</v>
      </c>
      <c r="Q68" s="2034"/>
      <c r="X68" s="2495">
        <f>X61+'стоки 2019-2023'!Z60</f>
        <v>32571.200063215969</v>
      </c>
      <c r="Y68" s="2494"/>
      <c r="Z68" s="2494"/>
      <c r="AA68" s="2494"/>
      <c r="AB68" s="2494"/>
    </row>
    <row r="69" spans="1:78" x14ac:dyDescent="0.25">
      <c r="P69" s="2034"/>
      <c r="Q69" s="2034"/>
      <c r="R69" s="2034"/>
      <c r="S69" s="2034"/>
      <c r="T69" s="2034"/>
      <c r="U69" s="2034"/>
      <c r="V69" s="2034"/>
      <c r="W69" s="2034"/>
      <c r="X69" s="2034"/>
      <c r="Y69" s="2034"/>
      <c r="Z69" s="2034"/>
      <c r="AA69" s="2034"/>
      <c r="AB69" s="2034"/>
      <c r="AC69" s="2034"/>
      <c r="AD69" s="2034"/>
      <c r="AE69" s="2034"/>
      <c r="AF69" s="2034"/>
    </row>
    <row r="70" spans="1:78" ht="20.25" x14ac:dyDescent="0.3">
      <c r="A70" s="3521" t="s">
        <v>4086</v>
      </c>
      <c r="P70" s="2034"/>
      <c r="Q70" s="2034"/>
      <c r="R70" s="2034"/>
      <c r="S70" s="2034"/>
      <c r="T70" s="2034"/>
      <c r="U70" s="2034"/>
      <c r="V70" s="2034"/>
      <c r="W70" s="2034"/>
      <c r="X70" s="2034"/>
      <c r="Y70" s="2034"/>
      <c r="Z70" s="2034"/>
      <c r="AA70" s="2034"/>
      <c r="AB70" s="2034"/>
      <c r="AC70" s="2034"/>
      <c r="AD70" s="2034"/>
      <c r="AE70" s="2034"/>
      <c r="AF70" s="2034"/>
      <c r="BV70" s="4124" t="s">
        <v>4152</v>
      </c>
    </row>
    <row r="71" spans="1:78" x14ac:dyDescent="0.25">
      <c r="P71" s="2035"/>
      <c r="Q71" s="2035"/>
      <c r="R71" s="2035"/>
      <c r="S71" s="2035"/>
      <c r="T71" s="2035"/>
      <c r="U71" s="2035"/>
      <c r="V71" s="2035"/>
      <c r="W71" s="2035"/>
      <c r="X71" s="2362">
        <f>X48*1.03</f>
        <v>37.956927093110842</v>
      </c>
      <c r="Y71" s="2035"/>
      <c r="Z71" s="2035"/>
      <c r="AA71" s="2035"/>
      <c r="AB71" s="2035"/>
      <c r="AC71" s="2035"/>
      <c r="AD71" s="2035"/>
      <c r="AE71" s="2035"/>
      <c r="AF71" s="2035"/>
    </row>
    <row r="72" spans="1:78" x14ac:dyDescent="0.25">
      <c r="X72" s="2217">
        <f>(X71+X48)/2</f>
        <v>37.404156310201458</v>
      </c>
    </row>
    <row r="73" spans="1:78" x14ac:dyDescent="0.25">
      <c r="X73" s="2217">
        <f>X72*X45</f>
        <v>136922.58682537923</v>
      </c>
    </row>
    <row r="74" spans="1:78" x14ac:dyDescent="0.25">
      <c r="X74" s="2034">
        <f>X44-X73</f>
        <v>284.30995326096308</v>
      </c>
    </row>
    <row r="77" spans="1:78" x14ac:dyDescent="0.25">
      <c r="X77" s="1233">
        <v>4766.46</v>
      </c>
    </row>
  </sheetData>
  <mergeCells count="63">
    <mergeCell ref="BU5:BX5"/>
    <mergeCell ref="BV7:BV9"/>
    <mergeCell ref="BX7:BX9"/>
    <mergeCell ref="A4:A6"/>
    <mergeCell ref="F4:Q4"/>
    <mergeCell ref="B4:B6"/>
    <mergeCell ref="X6:AD6"/>
    <mergeCell ref="BN5:BN6"/>
    <mergeCell ref="BG5:BG6"/>
    <mergeCell ref="BH5:BH6"/>
    <mergeCell ref="BI5:BI6"/>
    <mergeCell ref="BC5:BF5"/>
    <mergeCell ref="BM7:BM9"/>
    <mergeCell ref="BG7:BG9"/>
    <mergeCell ref="BJ5:BM5"/>
    <mergeCell ref="D7:D9"/>
    <mergeCell ref="F5:H5"/>
    <mergeCell ref="AY7:AY9"/>
    <mergeCell ref="Y7:Y9"/>
    <mergeCell ref="Q7:Q9"/>
    <mergeCell ref="G7:G9"/>
    <mergeCell ref="H7:H9"/>
    <mergeCell ref="AE7:AE9"/>
    <mergeCell ref="X7:X9"/>
    <mergeCell ref="AF7:AF9"/>
    <mergeCell ref="L7:L9"/>
    <mergeCell ref="R6:W6"/>
    <mergeCell ref="BQ5:BT5"/>
    <mergeCell ref="BR7:BR9"/>
    <mergeCell ref="BT7:BT9"/>
    <mergeCell ref="BN7:BN9"/>
    <mergeCell ref="BO7:BO9"/>
    <mergeCell ref="BP7:BP9"/>
    <mergeCell ref="BP5:BP6"/>
    <mergeCell ref="BO5:BO6"/>
    <mergeCell ref="BF7:BF9"/>
    <mergeCell ref="BI7:BI9"/>
    <mergeCell ref="BK7:BK9"/>
    <mergeCell ref="AE5:AY5"/>
    <mergeCell ref="BH7:BH9"/>
    <mergeCell ref="BD7:BD9"/>
    <mergeCell ref="AZ5:AZ6"/>
    <mergeCell ref="BA5:BA6"/>
    <mergeCell ref="BB5:BB6"/>
    <mergeCell ref="BA7:BA9"/>
    <mergeCell ref="BB7:BB9"/>
    <mergeCell ref="AZ7:AZ9"/>
    <mergeCell ref="BZ5:BZ6"/>
    <mergeCell ref="BZ7:BZ9"/>
    <mergeCell ref="R4:BZ4"/>
    <mergeCell ref="A2:BZ2"/>
    <mergeCell ref="BY5:BY6"/>
    <mergeCell ref="BY7:BY9"/>
    <mergeCell ref="C7:C9"/>
    <mergeCell ref="F7:F9"/>
    <mergeCell ref="O7:O9"/>
    <mergeCell ref="R7:R9"/>
    <mergeCell ref="C4:C6"/>
    <mergeCell ref="D4:D6"/>
    <mergeCell ref="E7:E9"/>
    <mergeCell ref="I5:M5"/>
    <mergeCell ref="N5:Q5"/>
    <mergeCell ref="E4:E6"/>
  </mergeCells>
  <printOptions horizontalCentered="1"/>
  <pageMargins left="0.11811023622047245" right="0.11811023622047245" top="0.62992125984251968" bottom="0.27559055118110237" header="0.31496062992125984" footer="0.31496062992125984"/>
  <pageSetup paperSize="9" scale="71" fitToHeight="2" orientation="portrait" r:id="rId1"/>
  <colBreaks count="1" manualBreakCount="1">
    <brk id="32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Лист25">
    <tabColor rgb="FFFF66FF"/>
    <pageSetUpPr fitToPage="1"/>
  </sheetPr>
  <dimension ref="A2:BE54"/>
  <sheetViews>
    <sheetView zoomScaleNormal="100" zoomScaleSheetLayoutView="75" workbookViewId="0">
      <pane xSplit="2" ySplit="6" topLeftCell="AH37" activePane="bottomRight" state="frozen"/>
      <selection pane="topRight" activeCell="C1" sqref="C1"/>
      <selection pane="bottomLeft" activeCell="A7" sqref="A7"/>
      <selection pane="bottomRight" activeCell="BA36" sqref="BA36"/>
    </sheetView>
  </sheetViews>
  <sheetFormatPr defaultColWidth="0.85546875" defaultRowHeight="15" x14ac:dyDescent="0.25"/>
  <cols>
    <col min="1" max="1" width="9.85546875" style="1233" customWidth="1"/>
    <col min="2" max="2" width="33.85546875" style="1239" customWidth="1"/>
    <col min="3" max="3" width="10.5703125" style="1233" customWidth="1"/>
    <col min="4" max="5" width="12.7109375" style="1233" hidden="1" customWidth="1"/>
    <col min="6" max="9" width="9.7109375" style="1233" hidden="1" customWidth="1"/>
    <col min="10" max="10" width="16.85546875" style="1233" hidden="1" customWidth="1"/>
    <col min="11" max="14" width="9.7109375" style="1233" hidden="1" customWidth="1"/>
    <col min="15" max="15" width="12.7109375" style="1233" hidden="1" customWidth="1"/>
    <col min="16" max="23" width="9.7109375" style="1233" hidden="1" customWidth="1"/>
    <col min="24" max="24" width="7.85546875" style="1233" customWidth="1"/>
    <col min="25" max="25" width="9.7109375" style="1233" hidden="1" customWidth="1"/>
    <col min="26" max="30" width="7.85546875" style="1233" customWidth="1"/>
    <col min="31" max="31" width="12.7109375" style="1233" customWidth="1"/>
    <col min="32" max="32" width="8.5703125" style="1233" customWidth="1"/>
    <col min="33" max="33" width="12.7109375" style="1233" customWidth="1"/>
    <col min="34" max="34" width="8.5703125" style="1233" customWidth="1"/>
    <col min="35" max="35" width="9.7109375" style="1233" hidden="1" customWidth="1"/>
    <col min="36" max="36" width="10.140625" style="1233" hidden="1" customWidth="1"/>
    <col min="37" max="37" width="7.85546875" style="1233" customWidth="1"/>
    <col min="38" max="38" width="13" style="1233" customWidth="1"/>
    <col min="39" max="39" width="9" style="1233" customWidth="1"/>
    <col min="40" max="40" width="13.42578125" style="1233" customWidth="1"/>
    <col min="41" max="41" width="9.140625" style="1233" customWidth="1"/>
    <col min="42" max="42" width="9.7109375" style="1233" hidden="1" customWidth="1"/>
    <col min="43" max="43" width="1.140625" style="1233" hidden="1" customWidth="1"/>
    <col min="44" max="44" width="7.85546875" style="1233" customWidth="1"/>
    <col min="45" max="45" width="12.85546875" style="1233" customWidth="1"/>
    <col min="46" max="46" width="9.140625" style="1233" customWidth="1"/>
    <col min="47" max="47" width="12.5703125" style="1233" customWidth="1"/>
    <col min="48" max="48" width="8.5703125" style="1233" customWidth="1"/>
    <col min="49" max="50" width="10.7109375" style="1233" hidden="1" customWidth="1"/>
    <col min="51" max="51" width="7.85546875" style="1233" customWidth="1"/>
    <col min="52" max="52" width="12.85546875" style="1233" customWidth="1"/>
    <col min="53" max="53" width="9.140625" style="1233" customWidth="1"/>
    <col min="54" max="54" width="10" style="1233" customWidth="1"/>
    <col min="55" max="56" width="9.140625" style="1233" customWidth="1"/>
    <col min="57" max="57" width="7.85546875" style="1233" customWidth="1"/>
    <col min="58" max="281" width="0.85546875" style="1233"/>
    <col min="282" max="282" width="9.85546875" style="1233" customWidth="1"/>
    <col min="283" max="283" width="81.85546875" style="1233" customWidth="1"/>
    <col min="284" max="284" width="12.7109375" style="1233" customWidth="1"/>
    <col min="285" max="285" width="12.42578125" style="1233" customWidth="1"/>
    <col min="286" max="286" width="14.5703125" style="1233" customWidth="1"/>
    <col min="287" max="287" width="12.28515625" style="1233" customWidth="1"/>
    <col min="288" max="288" width="38.140625" style="1233" customWidth="1"/>
    <col min="289" max="289" width="46.85546875" style="1233" customWidth="1"/>
    <col min="290" max="292" width="12.7109375" style="1233" customWidth="1"/>
    <col min="293" max="293" width="9.28515625" style="1233" customWidth="1"/>
    <col min="294" max="294" width="13.5703125" style="1233" customWidth="1"/>
    <col min="295" max="295" width="10.28515625" style="1233" customWidth="1"/>
    <col min="296" max="296" width="12.85546875" style="1233" customWidth="1"/>
    <col min="297" max="297" width="9.140625" style="1233" customWidth="1"/>
    <col min="298" max="298" width="9.7109375" style="1233" customWidth="1"/>
    <col min="299" max="299" width="9.28515625" style="1233" customWidth="1"/>
    <col min="300" max="300" width="9.42578125" style="1233" customWidth="1"/>
    <col min="301" max="301" width="10.5703125" style="1233" customWidth="1"/>
    <col min="302" max="302" width="12.42578125" style="1233" customWidth="1"/>
    <col min="303" max="303" width="14.5703125" style="1233" customWidth="1"/>
    <col min="304" max="304" width="12.28515625" style="1233" customWidth="1"/>
    <col min="305" max="305" width="25.85546875" style="1233" customWidth="1"/>
    <col min="306" max="537" width="0.85546875" style="1233"/>
    <col min="538" max="538" width="9.85546875" style="1233" customWidth="1"/>
    <col min="539" max="539" width="81.85546875" style="1233" customWidth="1"/>
    <col min="540" max="540" width="12.7109375" style="1233" customWidth="1"/>
    <col min="541" max="541" width="12.42578125" style="1233" customWidth="1"/>
    <col min="542" max="542" width="14.5703125" style="1233" customWidth="1"/>
    <col min="543" max="543" width="12.28515625" style="1233" customWidth="1"/>
    <col min="544" max="544" width="38.140625" style="1233" customWidth="1"/>
    <col min="545" max="545" width="46.85546875" style="1233" customWidth="1"/>
    <col min="546" max="548" width="12.7109375" style="1233" customWidth="1"/>
    <col min="549" max="549" width="9.28515625" style="1233" customWidth="1"/>
    <col min="550" max="550" width="13.5703125" style="1233" customWidth="1"/>
    <col min="551" max="551" width="10.28515625" style="1233" customWidth="1"/>
    <col min="552" max="552" width="12.85546875" style="1233" customWidth="1"/>
    <col min="553" max="553" width="9.140625" style="1233" customWidth="1"/>
    <col min="554" max="554" width="9.7109375" style="1233" customWidth="1"/>
    <col min="555" max="555" width="9.28515625" style="1233" customWidth="1"/>
    <col min="556" max="556" width="9.42578125" style="1233" customWidth="1"/>
    <col min="557" max="557" width="10.5703125" style="1233" customWidth="1"/>
    <col min="558" max="558" width="12.42578125" style="1233" customWidth="1"/>
    <col min="559" max="559" width="14.5703125" style="1233" customWidth="1"/>
    <col min="560" max="560" width="12.28515625" style="1233" customWidth="1"/>
    <col min="561" max="561" width="25.85546875" style="1233" customWidth="1"/>
    <col min="562" max="793" width="0.85546875" style="1233"/>
    <col min="794" max="794" width="9.85546875" style="1233" customWidth="1"/>
    <col min="795" max="795" width="81.85546875" style="1233" customWidth="1"/>
    <col min="796" max="796" width="12.7109375" style="1233" customWidth="1"/>
    <col min="797" max="797" width="12.42578125" style="1233" customWidth="1"/>
    <col min="798" max="798" width="14.5703125" style="1233" customWidth="1"/>
    <col min="799" max="799" width="12.28515625" style="1233" customWidth="1"/>
    <col min="800" max="800" width="38.140625" style="1233" customWidth="1"/>
    <col min="801" max="801" width="46.85546875" style="1233" customWidth="1"/>
    <col min="802" max="804" width="12.7109375" style="1233" customWidth="1"/>
    <col min="805" max="805" width="9.28515625" style="1233" customWidth="1"/>
    <col min="806" max="806" width="13.5703125" style="1233" customWidth="1"/>
    <col min="807" max="807" width="10.28515625" style="1233" customWidth="1"/>
    <col min="808" max="808" width="12.85546875" style="1233" customWidth="1"/>
    <col min="809" max="809" width="9.140625" style="1233" customWidth="1"/>
    <col min="810" max="810" width="9.7109375" style="1233" customWidth="1"/>
    <col min="811" max="811" width="9.28515625" style="1233" customWidth="1"/>
    <col min="812" max="812" width="9.42578125" style="1233" customWidth="1"/>
    <col min="813" max="813" width="10.5703125" style="1233" customWidth="1"/>
    <col min="814" max="814" width="12.42578125" style="1233" customWidth="1"/>
    <col min="815" max="815" width="14.5703125" style="1233" customWidth="1"/>
    <col min="816" max="816" width="12.28515625" style="1233" customWidth="1"/>
    <col min="817" max="817" width="25.85546875" style="1233" customWidth="1"/>
    <col min="818" max="1049" width="0.85546875" style="1233"/>
    <col min="1050" max="1050" width="9.85546875" style="1233" customWidth="1"/>
    <col min="1051" max="1051" width="81.85546875" style="1233" customWidth="1"/>
    <col min="1052" max="1052" width="12.7109375" style="1233" customWidth="1"/>
    <col min="1053" max="1053" width="12.42578125" style="1233" customWidth="1"/>
    <col min="1054" max="1054" width="14.5703125" style="1233" customWidth="1"/>
    <col min="1055" max="1055" width="12.28515625" style="1233" customWidth="1"/>
    <col min="1056" max="1056" width="38.140625" style="1233" customWidth="1"/>
    <col min="1057" max="1057" width="46.85546875" style="1233" customWidth="1"/>
    <col min="1058" max="1060" width="12.7109375" style="1233" customWidth="1"/>
    <col min="1061" max="1061" width="9.28515625" style="1233" customWidth="1"/>
    <col min="1062" max="1062" width="13.5703125" style="1233" customWidth="1"/>
    <col min="1063" max="1063" width="10.28515625" style="1233" customWidth="1"/>
    <col min="1064" max="1064" width="12.85546875" style="1233" customWidth="1"/>
    <col min="1065" max="1065" width="9.140625" style="1233" customWidth="1"/>
    <col min="1066" max="1066" width="9.7109375" style="1233" customWidth="1"/>
    <col min="1067" max="1067" width="9.28515625" style="1233" customWidth="1"/>
    <col min="1068" max="1068" width="9.42578125" style="1233" customWidth="1"/>
    <col min="1069" max="1069" width="10.5703125" style="1233" customWidth="1"/>
    <col min="1070" max="1070" width="12.42578125" style="1233" customWidth="1"/>
    <col min="1071" max="1071" width="14.5703125" style="1233" customWidth="1"/>
    <col min="1072" max="1072" width="12.28515625" style="1233" customWidth="1"/>
    <col min="1073" max="1073" width="25.85546875" style="1233" customWidth="1"/>
    <col min="1074" max="1305" width="0.85546875" style="1233"/>
    <col min="1306" max="1306" width="9.85546875" style="1233" customWidth="1"/>
    <col min="1307" max="1307" width="81.85546875" style="1233" customWidth="1"/>
    <col min="1308" max="1308" width="12.7109375" style="1233" customWidth="1"/>
    <col min="1309" max="1309" width="12.42578125" style="1233" customWidth="1"/>
    <col min="1310" max="1310" width="14.5703125" style="1233" customWidth="1"/>
    <col min="1311" max="1311" width="12.28515625" style="1233" customWidth="1"/>
    <col min="1312" max="1312" width="38.140625" style="1233" customWidth="1"/>
    <col min="1313" max="1313" width="46.85546875" style="1233" customWidth="1"/>
    <col min="1314" max="1316" width="12.7109375" style="1233" customWidth="1"/>
    <col min="1317" max="1317" width="9.28515625" style="1233" customWidth="1"/>
    <col min="1318" max="1318" width="13.5703125" style="1233" customWidth="1"/>
    <col min="1319" max="1319" width="10.28515625" style="1233" customWidth="1"/>
    <col min="1320" max="1320" width="12.85546875" style="1233" customWidth="1"/>
    <col min="1321" max="1321" width="9.140625" style="1233" customWidth="1"/>
    <col min="1322" max="1322" width="9.7109375" style="1233" customWidth="1"/>
    <col min="1323" max="1323" width="9.28515625" style="1233" customWidth="1"/>
    <col min="1324" max="1324" width="9.42578125" style="1233" customWidth="1"/>
    <col min="1325" max="1325" width="10.5703125" style="1233" customWidth="1"/>
    <col min="1326" max="1326" width="12.42578125" style="1233" customWidth="1"/>
    <col min="1327" max="1327" width="14.5703125" style="1233" customWidth="1"/>
    <col min="1328" max="1328" width="12.28515625" style="1233" customWidth="1"/>
    <col min="1329" max="1329" width="25.85546875" style="1233" customWidth="1"/>
    <col min="1330" max="1561" width="0.85546875" style="1233"/>
    <col min="1562" max="1562" width="9.85546875" style="1233" customWidth="1"/>
    <col min="1563" max="1563" width="81.85546875" style="1233" customWidth="1"/>
    <col min="1564" max="1564" width="12.7109375" style="1233" customWidth="1"/>
    <col min="1565" max="1565" width="12.42578125" style="1233" customWidth="1"/>
    <col min="1566" max="1566" width="14.5703125" style="1233" customWidth="1"/>
    <col min="1567" max="1567" width="12.28515625" style="1233" customWidth="1"/>
    <col min="1568" max="1568" width="38.140625" style="1233" customWidth="1"/>
    <col min="1569" max="1569" width="46.85546875" style="1233" customWidth="1"/>
    <col min="1570" max="1572" width="12.7109375" style="1233" customWidth="1"/>
    <col min="1573" max="1573" width="9.28515625" style="1233" customWidth="1"/>
    <col min="1574" max="1574" width="13.5703125" style="1233" customWidth="1"/>
    <col min="1575" max="1575" width="10.28515625" style="1233" customWidth="1"/>
    <col min="1576" max="1576" width="12.85546875" style="1233" customWidth="1"/>
    <col min="1577" max="1577" width="9.140625" style="1233" customWidth="1"/>
    <col min="1578" max="1578" width="9.7109375" style="1233" customWidth="1"/>
    <col min="1579" max="1579" width="9.28515625" style="1233" customWidth="1"/>
    <col min="1580" max="1580" width="9.42578125" style="1233" customWidth="1"/>
    <col min="1581" max="1581" width="10.5703125" style="1233" customWidth="1"/>
    <col min="1582" max="1582" width="12.42578125" style="1233" customWidth="1"/>
    <col min="1583" max="1583" width="14.5703125" style="1233" customWidth="1"/>
    <col min="1584" max="1584" width="12.28515625" style="1233" customWidth="1"/>
    <col min="1585" max="1585" width="25.85546875" style="1233" customWidth="1"/>
    <col min="1586" max="1817" width="0.85546875" style="1233"/>
    <col min="1818" max="1818" width="9.85546875" style="1233" customWidth="1"/>
    <col min="1819" max="1819" width="81.85546875" style="1233" customWidth="1"/>
    <col min="1820" max="1820" width="12.7109375" style="1233" customWidth="1"/>
    <col min="1821" max="1821" width="12.42578125" style="1233" customWidth="1"/>
    <col min="1822" max="1822" width="14.5703125" style="1233" customWidth="1"/>
    <col min="1823" max="1823" width="12.28515625" style="1233" customWidth="1"/>
    <col min="1824" max="1824" width="38.140625" style="1233" customWidth="1"/>
    <col min="1825" max="1825" width="46.85546875" style="1233" customWidth="1"/>
    <col min="1826" max="1828" width="12.7109375" style="1233" customWidth="1"/>
    <col min="1829" max="1829" width="9.28515625" style="1233" customWidth="1"/>
    <col min="1830" max="1830" width="13.5703125" style="1233" customWidth="1"/>
    <col min="1831" max="1831" width="10.28515625" style="1233" customWidth="1"/>
    <col min="1832" max="1832" width="12.85546875" style="1233" customWidth="1"/>
    <col min="1833" max="1833" width="9.140625" style="1233" customWidth="1"/>
    <col min="1834" max="1834" width="9.7109375" style="1233" customWidth="1"/>
    <col min="1835" max="1835" width="9.28515625" style="1233" customWidth="1"/>
    <col min="1836" max="1836" width="9.42578125" style="1233" customWidth="1"/>
    <col min="1837" max="1837" width="10.5703125" style="1233" customWidth="1"/>
    <col min="1838" max="1838" width="12.42578125" style="1233" customWidth="1"/>
    <col min="1839" max="1839" width="14.5703125" style="1233" customWidth="1"/>
    <col min="1840" max="1840" width="12.28515625" style="1233" customWidth="1"/>
    <col min="1841" max="1841" width="25.85546875" style="1233" customWidth="1"/>
    <col min="1842" max="2073" width="0.85546875" style="1233"/>
    <col min="2074" max="2074" width="9.85546875" style="1233" customWidth="1"/>
    <col min="2075" max="2075" width="81.85546875" style="1233" customWidth="1"/>
    <col min="2076" max="2076" width="12.7109375" style="1233" customWidth="1"/>
    <col min="2077" max="2077" width="12.42578125" style="1233" customWidth="1"/>
    <col min="2078" max="2078" width="14.5703125" style="1233" customWidth="1"/>
    <col min="2079" max="2079" width="12.28515625" style="1233" customWidth="1"/>
    <col min="2080" max="2080" width="38.140625" style="1233" customWidth="1"/>
    <col min="2081" max="2081" width="46.85546875" style="1233" customWidth="1"/>
    <col min="2082" max="2084" width="12.7109375" style="1233" customWidth="1"/>
    <col min="2085" max="2085" width="9.28515625" style="1233" customWidth="1"/>
    <col min="2086" max="2086" width="13.5703125" style="1233" customWidth="1"/>
    <col min="2087" max="2087" width="10.28515625" style="1233" customWidth="1"/>
    <col min="2088" max="2088" width="12.85546875" style="1233" customWidth="1"/>
    <col min="2089" max="2089" width="9.140625" style="1233" customWidth="1"/>
    <col min="2090" max="2090" width="9.7109375" style="1233" customWidth="1"/>
    <col min="2091" max="2091" width="9.28515625" style="1233" customWidth="1"/>
    <col min="2092" max="2092" width="9.42578125" style="1233" customWidth="1"/>
    <col min="2093" max="2093" width="10.5703125" style="1233" customWidth="1"/>
    <col min="2094" max="2094" width="12.42578125" style="1233" customWidth="1"/>
    <col min="2095" max="2095" width="14.5703125" style="1233" customWidth="1"/>
    <col min="2096" max="2096" width="12.28515625" style="1233" customWidth="1"/>
    <col min="2097" max="2097" width="25.85546875" style="1233" customWidth="1"/>
    <col min="2098" max="2329" width="0.85546875" style="1233"/>
    <col min="2330" max="2330" width="9.85546875" style="1233" customWidth="1"/>
    <col min="2331" max="2331" width="81.85546875" style="1233" customWidth="1"/>
    <col min="2332" max="2332" width="12.7109375" style="1233" customWidth="1"/>
    <col min="2333" max="2333" width="12.42578125" style="1233" customWidth="1"/>
    <col min="2334" max="2334" width="14.5703125" style="1233" customWidth="1"/>
    <col min="2335" max="2335" width="12.28515625" style="1233" customWidth="1"/>
    <col min="2336" max="2336" width="38.140625" style="1233" customWidth="1"/>
    <col min="2337" max="2337" width="46.85546875" style="1233" customWidth="1"/>
    <col min="2338" max="2340" width="12.7109375" style="1233" customWidth="1"/>
    <col min="2341" max="2341" width="9.28515625" style="1233" customWidth="1"/>
    <col min="2342" max="2342" width="13.5703125" style="1233" customWidth="1"/>
    <col min="2343" max="2343" width="10.28515625" style="1233" customWidth="1"/>
    <col min="2344" max="2344" width="12.85546875" style="1233" customWidth="1"/>
    <col min="2345" max="2345" width="9.140625" style="1233" customWidth="1"/>
    <col min="2346" max="2346" width="9.7109375" style="1233" customWidth="1"/>
    <col min="2347" max="2347" width="9.28515625" style="1233" customWidth="1"/>
    <col min="2348" max="2348" width="9.42578125" style="1233" customWidth="1"/>
    <col min="2349" max="2349" width="10.5703125" style="1233" customWidth="1"/>
    <col min="2350" max="2350" width="12.42578125" style="1233" customWidth="1"/>
    <col min="2351" max="2351" width="14.5703125" style="1233" customWidth="1"/>
    <col min="2352" max="2352" width="12.28515625" style="1233" customWidth="1"/>
    <col min="2353" max="2353" width="25.85546875" style="1233" customWidth="1"/>
    <col min="2354" max="2585" width="0.85546875" style="1233"/>
    <col min="2586" max="2586" width="9.85546875" style="1233" customWidth="1"/>
    <col min="2587" max="2587" width="81.85546875" style="1233" customWidth="1"/>
    <col min="2588" max="2588" width="12.7109375" style="1233" customWidth="1"/>
    <col min="2589" max="2589" width="12.42578125" style="1233" customWidth="1"/>
    <col min="2590" max="2590" width="14.5703125" style="1233" customWidth="1"/>
    <col min="2591" max="2591" width="12.28515625" style="1233" customWidth="1"/>
    <col min="2592" max="2592" width="38.140625" style="1233" customWidth="1"/>
    <col min="2593" max="2593" width="46.85546875" style="1233" customWidth="1"/>
    <col min="2594" max="2596" width="12.7109375" style="1233" customWidth="1"/>
    <col min="2597" max="2597" width="9.28515625" style="1233" customWidth="1"/>
    <col min="2598" max="2598" width="13.5703125" style="1233" customWidth="1"/>
    <col min="2599" max="2599" width="10.28515625" style="1233" customWidth="1"/>
    <col min="2600" max="2600" width="12.85546875" style="1233" customWidth="1"/>
    <col min="2601" max="2601" width="9.140625" style="1233" customWidth="1"/>
    <col min="2602" max="2602" width="9.7109375" style="1233" customWidth="1"/>
    <col min="2603" max="2603" width="9.28515625" style="1233" customWidth="1"/>
    <col min="2604" max="2604" width="9.42578125" style="1233" customWidth="1"/>
    <col min="2605" max="2605" width="10.5703125" style="1233" customWidth="1"/>
    <col min="2606" max="2606" width="12.42578125" style="1233" customWidth="1"/>
    <col min="2607" max="2607" width="14.5703125" style="1233" customWidth="1"/>
    <col min="2608" max="2608" width="12.28515625" style="1233" customWidth="1"/>
    <col min="2609" max="2609" width="25.85546875" style="1233" customWidth="1"/>
    <col min="2610" max="2841" width="0.85546875" style="1233"/>
    <col min="2842" max="2842" width="9.85546875" style="1233" customWidth="1"/>
    <col min="2843" max="2843" width="81.85546875" style="1233" customWidth="1"/>
    <col min="2844" max="2844" width="12.7109375" style="1233" customWidth="1"/>
    <col min="2845" max="2845" width="12.42578125" style="1233" customWidth="1"/>
    <col min="2846" max="2846" width="14.5703125" style="1233" customWidth="1"/>
    <col min="2847" max="2847" width="12.28515625" style="1233" customWidth="1"/>
    <col min="2848" max="2848" width="38.140625" style="1233" customWidth="1"/>
    <col min="2849" max="2849" width="46.85546875" style="1233" customWidth="1"/>
    <col min="2850" max="2852" width="12.7109375" style="1233" customWidth="1"/>
    <col min="2853" max="2853" width="9.28515625" style="1233" customWidth="1"/>
    <col min="2854" max="2854" width="13.5703125" style="1233" customWidth="1"/>
    <col min="2855" max="2855" width="10.28515625" style="1233" customWidth="1"/>
    <col min="2856" max="2856" width="12.85546875" style="1233" customWidth="1"/>
    <col min="2857" max="2857" width="9.140625" style="1233" customWidth="1"/>
    <col min="2858" max="2858" width="9.7109375" style="1233" customWidth="1"/>
    <col min="2859" max="2859" width="9.28515625" style="1233" customWidth="1"/>
    <col min="2860" max="2860" width="9.42578125" style="1233" customWidth="1"/>
    <col min="2861" max="2861" width="10.5703125" style="1233" customWidth="1"/>
    <col min="2862" max="2862" width="12.42578125" style="1233" customWidth="1"/>
    <col min="2863" max="2863" width="14.5703125" style="1233" customWidth="1"/>
    <col min="2864" max="2864" width="12.28515625" style="1233" customWidth="1"/>
    <col min="2865" max="2865" width="25.85546875" style="1233" customWidth="1"/>
    <col min="2866" max="3097" width="0.85546875" style="1233"/>
    <col min="3098" max="3098" width="9.85546875" style="1233" customWidth="1"/>
    <col min="3099" max="3099" width="81.85546875" style="1233" customWidth="1"/>
    <col min="3100" max="3100" width="12.7109375" style="1233" customWidth="1"/>
    <col min="3101" max="3101" width="12.42578125" style="1233" customWidth="1"/>
    <col min="3102" max="3102" width="14.5703125" style="1233" customWidth="1"/>
    <col min="3103" max="3103" width="12.28515625" style="1233" customWidth="1"/>
    <col min="3104" max="3104" width="38.140625" style="1233" customWidth="1"/>
    <col min="3105" max="3105" width="46.85546875" style="1233" customWidth="1"/>
    <col min="3106" max="3108" width="12.7109375" style="1233" customWidth="1"/>
    <col min="3109" max="3109" width="9.28515625" style="1233" customWidth="1"/>
    <col min="3110" max="3110" width="13.5703125" style="1233" customWidth="1"/>
    <col min="3111" max="3111" width="10.28515625" style="1233" customWidth="1"/>
    <col min="3112" max="3112" width="12.85546875" style="1233" customWidth="1"/>
    <col min="3113" max="3113" width="9.140625" style="1233" customWidth="1"/>
    <col min="3114" max="3114" width="9.7109375" style="1233" customWidth="1"/>
    <col min="3115" max="3115" width="9.28515625" style="1233" customWidth="1"/>
    <col min="3116" max="3116" width="9.42578125" style="1233" customWidth="1"/>
    <col min="3117" max="3117" width="10.5703125" style="1233" customWidth="1"/>
    <col min="3118" max="3118" width="12.42578125" style="1233" customWidth="1"/>
    <col min="3119" max="3119" width="14.5703125" style="1233" customWidth="1"/>
    <col min="3120" max="3120" width="12.28515625" style="1233" customWidth="1"/>
    <col min="3121" max="3121" width="25.85546875" style="1233" customWidth="1"/>
    <col min="3122" max="3353" width="0.85546875" style="1233"/>
    <col min="3354" max="3354" width="9.85546875" style="1233" customWidth="1"/>
    <col min="3355" max="3355" width="81.85546875" style="1233" customWidth="1"/>
    <col min="3356" max="3356" width="12.7109375" style="1233" customWidth="1"/>
    <col min="3357" max="3357" width="12.42578125" style="1233" customWidth="1"/>
    <col min="3358" max="3358" width="14.5703125" style="1233" customWidth="1"/>
    <col min="3359" max="3359" width="12.28515625" style="1233" customWidth="1"/>
    <col min="3360" max="3360" width="38.140625" style="1233" customWidth="1"/>
    <col min="3361" max="3361" width="46.85546875" style="1233" customWidth="1"/>
    <col min="3362" max="3364" width="12.7109375" style="1233" customWidth="1"/>
    <col min="3365" max="3365" width="9.28515625" style="1233" customWidth="1"/>
    <col min="3366" max="3366" width="13.5703125" style="1233" customWidth="1"/>
    <col min="3367" max="3367" width="10.28515625" style="1233" customWidth="1"/>
    <col min="3368" max="3368" width="12.85546875" style="1233" customWidth="1"/>
    <col min="3369" max="3369" width="9.140625" style="1233" customWidth="1"/>
    <col min="3370" max="3370" width="9.7109375" style="1233" customWidth="1"/>
    <col min="3371" max="3371" width="9.28515625" style="1233" customWidth="1"/>
    <col min="3372" max="3372" width="9.42578125" style="1233" customWidth="1"/>
    <col min="3373" max="3373" width="10.5703125" style="1233" customWidth="1"/>
    <col min="3374" max="3374" width="12.42578125" style="1233" customWidth="1"/>
    <col min="3375" max="3375" width="14.5703125" style="1233" customWidth="1"/>
    <col min="3376" max="3376" width="12.28515625" style="1233" customWidth="1"/>
    <col min="3377" max="3377" width="25.85546875" style="1233" customWidth="1"/>
    <col min="3378" max="3609" width="0.85546875" style="1233"/>
    <col min="3610" max="3610" width="9.85546875" style="1233" customWidth="1"/>
    <col min="3611" max="3611" width="81.85546875" style="1233" customWidth="1"/>
    <col min="3612" max="3612" width="12.7109375" style="1233" customWidth="1"/>
    <col min="3613" max="3613" width="12.42578125" style="1233" customWidth="1"/>
    <col min="3614" max="3614" width="14.5703125" style="1233" customWidth="1"/>
    <col min="3615" max="3615" width="12.28515625" style="1233" customWidth="1"/>
    <col min="3616" max="3616" width="38.140625" style="1233" customWidth="1"/>
    <col min="3617" max="3617" width="46.85546875" style="1233" customWidth="1"/>
    <col min="3618" max="3620" width="12.7109375" style="1233" customWidth="1"/>
    <col min="3621" max="3621" width="9.28515625" style="1233" customWidth="1"/>
    <col min="3622" max="3622" width="13.5703125" style="1233" customWidth="1"/>
    <col min="3623" max="3623" width="10.28515625" style="1233" customWidth="1"/>
    <col min="3624" max="3624" width="12.85546875" style="1233" customWidth="1"/>
    <col min="3625" max="3625" width="9.140625" style="1233" customWidth="1"/>
    <col min="3626" max="3626" width="9.7109375" style="1233" customWidth="1"/>
    <col min="3627" max="3627" width="9.28515625" style="1233" customWidth="1"/>
    <col min="3628" max="3628" width="9.42578125" style="1233" customWidth="1"/>
    <col min="3629" max="3629" width="10.5703125" style="1233" customWidth="1"/>
    <col min="3630" max="3630" width="12.42578125" style="1233" customWidth="1"/>
    <col min="3631" max="3631" width="14.5703125" style="1233" customWidth="1"/>
    <col min="3632" max="3632" width="12.28515625" style="1233" customWidth="1"/>
    <col min="3633" max="3633" width="25.85546875" style="1233" customWidth="1"/>
    <col min="3634" max="3865" width="0.85546875" style="1233"/>
    <col min="3866" max="3866" width="9.85546875" style="1233" customWidth="1"/>
    <col min="3867" max="3867" width="81.85546875" style="1233" customWidth="1"/>
    <col min="3868" max="3868" width="12.7109375" style="1233" customWidth="1"/>
    <col min="3869" max="3869" width="12.42578125" style="1233" customWidth="1"/>
    <col min="3870" max="3870" width="14.5703125" style="1233" customWidth="1"/>
    <col min="3871" max="3871" width="12.28515625" style="1233" customWidth="1"/>
    <col min="3872" max="3872" width="38.140625" style="1233" customWidth="1"/>
    <col min="3873" max="3873" width="46.85546875" style="1233" customWidth="1"/>
    <col min="3874" max="3876" width="12.7109375" style="1233" customWidth="1"/>
    <col min="3877" max="3877" width="9.28515625" style="1233" customWidth="1"/>
    <col min="3878" max="3878" width="13.5703125" style="1233" customWidth="1"/>
    <col min="3879" max="3879" width="10.28515625" style="1233" customWidth="1"/>
    <col min="3880" max="3880" width="12.85546875" style="1233" customWidth="1"/>
    <col min="3881" max="3881" width="9.140625" style="1233" customWidth="1"/>
    <col min="3882" max="3882" width="9.7109375" style="1233" customWidth="1"/>
    <col min="3883" max="3883" width="9.28515625" style="1233" customWidth="1"/>
    <col min="3884" max="3884" width="9.42578125" style="1233" customWidth="1"/>
    <col min="3885" max="3885" width="10.5703125" style="1233" customWidth="1"/>
    <col min="3886" max="3886" width="12.42578125" style="1233" customWidth="1"/>
    <col min="3887" max="3887" width="14.5703125" style="1233" customWidth="1"/>
    <col min="3888" max="3888" width="12.28515625" style="1233" customWidth="1"/>
    <col min="3889" max="3889" width="25.85546875" style="1233" customWidth="1"/>
    <col min="3890" max="4121" width="0.85546875" style="1233"/>
    <col min="4122" max="4122" width="9.85546875" style="1233" customWidth="1"/>
    <col min="4123" max="4123" width="81.85546875" style="1233" customWidth="1"/>
    <col min="4124" max="4124" width="12.7109375" style="1233" customWidth="1"/>
    <col min="4125" max="4125" width="12.42578125" style="1233" customWidth="1"/>
    <col min="4126" max="4126" width="14.5703125" style="1233" customWidth="1"/>
    <col min="4127" max="4127" width="12.28515625" style="1233" customWidth="1"/>
    <col min="4128" max="4128" width="38.140625" style="1233" customWidth="1"/>
    <col min="4129" max="4129" width="46.85546875" style="1233" customWidth="1"/>
    <col min="4130" max="4132" width="12.7109375" style="1233" customWidth="1"/>
    <col min="4133" max="4133" width="9.28515625" style="1233" customWidth="1"/>
    <col min="4134" max="4134" width="13.5703125" style="1233" customWidth="1"/>
    <col min="4135" max="4135" width="10.28515625" style="1233" customWidth="1"/>
    <col min="4136" max="4136" width="12.85546875" style="1233" customWidth="1"/>
    <col min="4137" max="4137" width="9.140625" style="1233" customWidth="1"/>
    <col min="4138" max="4138" width="9.7109375" style="1233" customWidth="1"/>
    <col min="4139" max="4139" width="9.28515625" style="1233" customWidth="1"/>
    <col min="4140" max="4140" width="9.42578125" style="1233" customWidth="1"/>
    <col min="4141" max="4141" width="10.5703125" style="1233" customWidth="1"/>
    <col min="4142" max="4142" width="12.42578125" style="1233" customWidth="1"/>
    <col min="4143" max="4143" width="14.5703125" style="1233" customWidth="1"/>
    <col min="4144" max="4144" width="12.28515625" style="1233" customWidth="1"/>
    <col min="4145" max="4145" width="25.85546875" style="1233" customWidth="1"/>
    <col min="4146" max="4377" width="0.85546875" style="1233"/>
    <col min="4378" max="4378" width="9.85546875" style="1233" customWidth="1"/>
    <col min="4379" max="4379" width="81.85546875" style="1233" customWidth="1"/>
    <col min="4380" max="4380" width="12.7109375" style="1233" customWidth="1"/>
    <col min="4381" max="4381" width="12.42578125" style="1233" customWidth="1"/>
    <col min="4382" max="4382" width="14.5703125" style="1233" customWidth="1"/>
    <col min="4383" max="4383" width="12.28515625" style="1233" customWidth="1"/>
    <col min="4384" max="4384" width="38.140625" style="1233" customWidth="1"/>
    <col min="4385" max="4385" width="46.85546875" style="1233" customWidth="1"/>
    <col min="4386" max="4388" width="12.7109375" style="1233" customWidth="1"/>
    <col min="4389" max="4389" width="9.28515625" style="1233" customWidth="1"/>
    <col min="4390" max="4390" width="13.5703125" style="1233" customWidth="1"/>
    <col min="4391" max="4391" width="10.28515625" style="1233" customWidth="1"/>
    <col min="4392" max="4392" width="12.85546875" style="1233" customWidth="1"/>
    <col min="4393" max="4393" width="9.140625" style="1233" customWidth="1"/>
    <col min="4394" max="4394" width="9.7109375" style="1233" customWidth="1"/>
    <col min="4395" max="4395" width="9.28515625" style="1233" customWidth="1"/>
    <col min="4396" max="4396" width="9.42578125" style="1233" customWidth="1"/>
    <col min="4397" max="4397" width="10.5703125" style="1233" customWidth="1"/>
    <col min="4398" max="4398" width="12.42578125" style="1233" customWidth="1"/>
    <col min="4399" max="4399" width="14.5703125" style="1233" customWidth="1"/>
    <col min="4400" max="4400" width="12.28515625" style="1233" customWidth="1"/>
    <col min="4401" max="4401" width="25.85546875" style="1233" customWidth="1"/>
    <col min="4402" max="4633" width="0.85546875" style="1233"/>
    <col min="4634" max="4634" width="9.85546875" style="1233" customWidth="1"/>
    <col min="4635" max="4635" width="81.85546875" style="1233" customWidth="1"/>
    <col min="4636" max="4636" width="12.7109375" style="1233" customWidth="1"/>
    <col min="4637" max="4637" width="12.42578125" style="1233" customWidth="1"/>
    <col min="4638" max="4638" width="14.5703125" style="1233" customWidth="1"/>
    <col min="4639" max="4639" width="12.28515625" style="1233" customWidth="1"/>
    <col min="4640" max="4640" width="38.140625" style="1233" customWidth="1"/>
    <col min="4641" max="4641" width="46.85546875" style="1233" customWidth="1"/>
    <col min="4642" max="4644" width="12.7109375" style="1233" customWidth="1"/>
    <col min="4645" max="4645" width="9.28515625" style="1233" customWidth="1"/>
    <col min="4646" max="4646" width="13.5703125" style="1233" customWidth="1"/>
    <col min="4647" max="4647" width="10.28515625" style="1233" customWidth="1"/>
    <col min="4648" max="4648" width="12.85546875" style="1233" customWidth="1"/>
    <col min="4649" max="4649" width="9.140625" style="1233" customWidth="1"/>
    <col min="4650" max="4650" width="9.7109375" style="1233" customWidth="1"/>
    <col min="4651" max="4651" width="9.28515625" style="1233" customWidth="1"/>
    <col min="4652" max="4652" width="9.42578125" style="1233" customWidth="1"/>
    <col min="4653" max="4653" width="10.5703125" style="1233" customWidth="1"/>
    <col min="4654" max="4654" width="12.42578125" style="1233" customWidth="1"/>
    <col min="4655" max="4655" width="14.5703125" style="1233" customWidth="1"/>
    <col min="4656" max="4656" width="12.28515625" style="1233" customWidth="1"/>
    <col min="4657" max="4657" width="25.85546875" style="1233" customWidth="1"/>
    <col min="4658" max="4889" width="0.85546875" style="1233"/>
    <col min="4890" max="4890" width="9.85546875" style="1233" customWidth="1"/>
    <col min="4891" max="4891" width="81.85546875" style="1233" customWidth="1"/>
    <col min="4892" max="4892" width="12.7109375" style="1233" customWidth="1"/>
    <col min="4893" max="4893" width="12.42578125" style="1233" customWidth="1"/>
    <col min="4894" max="4894" width="14.5703125" style="1233" customWidth="1"/>
    <col min="4895" max="4895" width="12.28515625" style="1233" customWidth="1"/>
    <col min="4896" max="4896" width="38.140625" style="1233" customWidth="1"/>
    <col min="4897" max="4897" width="46.85546875" style="1233" customWidth="1"/>
    <col min="4898" max="4900" width="12.7109375" style="1233" customWidth="1"/>
    <col min="4901" max="4901" width="9.28515625" style="1233" customWidth="1"/>
    <col min="4902" max="4902" width="13.5703125" style="1233" customWidth="1"/>
    <col min="4903" max="4903" width="10.28515625" style="1233" customWidth="1"/>
    <col min="4904" max="4904" width="12.85546875" style="1233" customWidth="1"/>
    <col min="4905" max="4905" width="9.140625" style="1233" customWidth="1"/>
    <col min="4906" max="4906" width="9.7109375" style="1233" customWidth="1"/>
    <col min="4907" max="4907" width="9.28515625" style="1233" customWidth="1"/>
    <col min="4908" max="4908" width="9.42578125" style="1233" customWidth="1"/>
    <col min="4909" max="4909" width="10.5703125" style="1233" customWidth="1"/>
    <col min="4910" max="4910" width="12.42578125" style="1233" customWidth="1"/>
    <col min="4911" max="4911" width="14.5703125" style="1233" customWidth="1"/>
    <col min="4912" max="4912" width="12.28515625" style="1233" customWidth="1"/>
    <col min="4913" max="4913" width="25.85546875" style="1233" customWidth="1"/>
    <col min="4914" max="5145" width="0.85546875" style="1233"/>
    <col min="5146" max="5146" width="9.85546875" style="1233" customWidth="1"/>
    <col min="5147" max="5147" width="81.85546875" style="1233" customWidth="1"/>
    <col min="5148" max="5148" width="12.7109375" style="1233" customWidth="1"/>
    <col min="5149" max="5149" width="12.42578125" style="1233" customWidth="1"/>
    <col min="5150" max="5150" width="14.5703125" style="1233" customWidth="1"/>
    <col min="5151" max="5151" width="12.28515625" style="1233" customWidth="1"/>
    <col min="5152" max="5152" width="38.140625" style="1233" customWidth="1"/>
    <col min="5153" max="5153" width="46.85546875" style="1233" customWidth="1"/>
    <col min="5154" max="5156" width="12.7109375" style="1233" customWidth="1"/>
    <col min="5157" max="5157" width="9.28515625" style="1233" customWidth="1"/>
    <col min="5158" max="5158" width="13.5703125" style="1233" customWidth="1"/>
    <col min="5159" max="5159" width="10.28515625" style="1233" customWidth="1"/>
    <col min="5160" max="5160" width="12.85546875" style="1233" customWidth="1"/>
    <col min="5161" max="5161" width="9.140625" style="1233" customWidth="1"/>
    <col min="5162" max="5162" width="9.7109375" style="1233" customWidth="1"/>
    <col min="5163" max="5163" width="9.28515625" style="1233" customWidth="1"/>
    <col min="5164" max="5164" width="9.42578125" style="1233" customWidth="1"/>
    <col min="5165" max="5165" width="10.5703125" style="1233" customWidth="1"/>
    <col min="5166" max="5166" width="12.42578125" style="1233" customWidth="1"/>
    <col min="5167" max="5167" width="14.5703125" style="1233" customWidth="1"/>
    <col min="5168" max="5168" width="12.28515625" style="1233" customWidth="1"/>
    <col min="5169" max="5169" width="25.85546875" style="1233" customWidth="1"/>
    <col min="5170" max="5401" width="0.85546875" style="1233"/>
    <col min="5402" max="5402" width="9.85546875" style="1233" customWidth="1"/>
    <col min="5403" max="5403" width="81.85546875" style="1233" customWidth="1"/>
    <col min="5404" max="5404" width="12.7109375" style="1233" customWidth="1"/>
    <col min="5405" max="5405" width="12.42578125" style="1233" customWidth="1"/>
    <col min="5406" max="5406" width="14.5703125" style="1233" customWidth="1"/>
    <col min="5407" max="5407" width="12.28515625" style="1233" customWidth="1"/>
    <col min="5408" max="5408" width="38.140625" style="1233" customWidth="1"/>
    <col min="5409" max="5409" width="46.85546875" style="1233" customWidth="1"/>
    <col min="5410" max="5412" width="12.7109375" style="1233" customWidth="1"/>
    <col min="5413" max="5413" width="9.28515625" style="1233" customWidth="1"/>
    <col min="5414" max="5414" width="13.5703125" style="1233" customWidth="1"/>
    <col min="5415" max="5415" width="10.28515625" style="1233" customWidth="1"/>
    <col min="5416" max="5416" width="12.85546875" style="1233" customWidth="1"/>
    <col min="5417" max="5417" width="9.140625" style="1233" customWidth="1"/>
    <col min="5418" max="5418" width="9.7109375" style="1233" customWidth="1"/>
    <col min="5419" max="5419" width="9.28515625" style="1233" customWidth="1"/>
    <col min="5420" max="5420" width="9.42578125" style="1233" customWidth="1"/>
    <col min="5421" max="5421" width="10.5703125" style="1233" customWidth="1"/>
    <col min="5422" max="5422" width="12.42578125" style="1233" customWidth="1"/>
    <col min="5423" max="5423" width="14.5703125" style="1233" customWidth="1"/>
    <col min="5424" max="5424" width="12.28515625" style="1233" customWidth="1"/>
    <col min="5425" max="5425" width="25.85546875" style="1233" customWidth="1"/>
    <col min="5426" max="5657" width="0.85546875" style="1233"/>
    <col min="5658" max="5658" width="9.85546875" style="1233" customWidth="1"/>
    <col min="5659" max="5659" width="81.85546875" style="1233" customWidth="1"/>
    <col min="5660" max="5660" width="12.7109375" style="1233" customWidth="1"/>
    <col min="5661" max="5661" width="12.42578125" style="1233" customWidth="1"/>
    <col min="5662" max="5662" width="14.5703125" style="1233" customWidth="1"/>
    <col min="5663" max="5663" width="12.28515625" style="1233" customWidth="1"/>
    <col min="5664" max="5664" width="38.140625" style="1233" customWidth="1"/>
    <col min="5665" max="5665" width="46.85546875" style="1233" customWidth="1"/>
    <col min="5666" max="5668" width="12.7109375" style="1233" customWidth="1"/>
    <col min="5669" max="5669" width="9.28515625" style="1233" customWidth="1"/>
    <col min="5670" max="5670" width="13.5703125" style="1233" customWidth="1"/>
    <col min="5671" max="5671" width="10.28515625" style="1233" customWidth="1"/>
    <col min="5672" max="5672" width="12.85546875" style="1233" customWidth="1"/>
    <col min="5673" max="5673" width="9.140625" style="1233" customWidth="1"/>
    <col min="5674" max="5674" width="9.7109375" style="1233" customWidth="1"/>
    <col min="5675" max="5675" width="9.28515625" style="1233" customWidth="1"/>
    <col min="5676" max="5676" width="9.42578125" style="1233" customWidth="1"/>
    <col min="5677" max="5677" width="10.5703125" style="1233" customWidth="1"/>
    <col min="5678" max="5678" width="12.42578125" style="1233" customWidth="1"/>
    <col min="5679" max="5679" width="14.5703125" style="1233" customWidth="1"/>
    <col min="5680" max="5680" width="12.28515625" style="1233" customWidth="1"/>
    <col min="5681" max="5681" width="25.85546875" style="1233" customWidth="1"/>
    <col min="5682" max="5913" width="0.85546875" style="1233"/>
    <col min="5914" max="5914" width="9.85546875" style="1233" customWidth="1"/>
    <col min="5915" max="5915" width="81.85546875" style="1233" customWidth="1"/>
    <col min="5916" max="5916" width="12.7109375" style="1233" customWidth="1"/>
    <col min="5917" max="5917" width="12.42578125" style="1233" customWidth="1"/>
    <col min="5918" max="5918" width="14.5703125" style="1233" customWidth="1"/>
    <col min="5919" max="5919" width="12.28515625" style="1233" customWidth="1"/>
    <col min="5920" max="5920" width="38.140625" style="1233" customWidth="1"/>
    <col min="5921" max="5921" width="46.85546875" style="1233" customWidth="1"/>
    <col min="5922" max="5924" width="12.7109375" style="1233" customWidth="1"/>
    <col min="5925" max="5925" width="9.28515625" style="1233" customWidth="1"/>
    <col min="5926" max="5926" width="13.5703125" style="1233" customWidth="1"/>
    <col min="5927" max="5927" width="10.28515625" style="1233" customWidth="1"/>
    <col min="5928" max="5928" width="12.85546875" style="1233" customWidth="1"/>
    <col min="5929" max="5929" width="9.140625" style="1233" customWidth="1"/>
    <col min="5930" max="5930" width="9.7109375" style="1233" customWidth="1"/>
    <col min="5931" max="5931" width="9.28515625" style="1233" customWidth="1"/>
    <col min="5932" max="5932" width="9.42578125" style="1233" customWidth="1"/>
    <col min="5933" max="5933" width="10.5703125" style="1233" customWidth="1"/>
    <col min="5934" max="5934" width="12.42578125" style="1233" customWidth="1"/>
    <col min="5935" max="5935" width="14.5703125" style="1233" customWidth="1"/>
    <col min="5936" max="5936" width="12.28515625" style="1233" customWidth="1"/>
    <col min="5937" max="5937" width="25.85546875" style="1233" customWidth="1"/>
    <col min="5938" max="6169" width="0.85546875" style="1233"/>
    <col min="6170" max="6170" width="9.85546875" style="1233" customWidth="1"/>
    <col min="6171" max="6171" width="81.85546875" style="1233" customWidth="1"/>
    <col min="6172" max="6172" width="12.7109375" style="1233" customWidth="1"/>
    <col min="6173" max="6173" width="12.42578125" style="1233" customWidth="1"/>
    <col min="6174" max="6174" width="14.5703125" style="1233" customWidth="1"/>
    <col min="6175" max="6175" width="12.28515625" style="1233" customWidth="1"/>
    <col min="6176" max="6176" width="38.140625" style="1233" customWidth="1"/>
    <col min="6177" max="6177" width="46.85546875" style="1233" customWidth="1"/>
    <col min="6178" max="6180" width="12.7109375" style="1233" customWidth="1"/>
    <col min="6181" max="6181" width="9.28515625" style="1233" customWidth="1"/>
    <col min="6182" max="6182" width="13.5703125" style="1233" customWidth="1"/>
    <col min="6183" max="6183" width="10.28515625" style="1233" customWidth="1"/>
    <col min="6184" max="6184" width="12.85546875" style="1233" customWidth="1"/>
    <col min="6185" max="6185" width="9.140625" style="1233" customWidth="1"/>
    <col min="6186" max="6186" width="9.7109375" style="1233" customWidth="1"/>
    <col min="6187" max="6187" width="9.28515625" style="1233" customWidth="1"/>
    <col min="6188" max="6188" width="9.42578125" style="1233" customWidth="1"/>
    <col min="6189" max="6189" width="10.5703125" style="1233" customWidth="1"/>
    <col min="6190" max="6190" width="12.42578125" style="1233" customWidth="1"/>
    <col min="6191" max="6191" width="14.5703125" style="1233" customWidth="1"/>
    <col min="6192" max="6192" width="12.28515625" style="1233" customWidth="1"/>
    <col min="6193" max="6193" width="25.85546875" style="1233" customWidth="1"/>
    <col min="6194" max="6425" width="0.85546875" style="1233"/>
    <col min="6426" max="6426" width="9.85546875" style="1233" customWidth="1"/>
    <col min="6427" max="6427" width="81.85546875" style="1233" customWidth="1"/>
    <col min="6428" max="6428" width="12.7109375" style="1233" customWidth="1"/>
    <col min="6429" max="6429" width="12.42578125" style="1233" customWidth="1"/>
    <col min="6430" max="6430" width="14.5703125" style="1233" customWidth="1"/>
    <col min="6431" max="6431" width="12.28515625" style="1233" customWidth="1"/>
    <col min="6432" max="6432" width="38.140625" style="1233" customWidth="1"/>
    <col min="6433" max="6433" width="46.85546875" style="1233" customWidth="1"/>
    <col min="6434" max="6436" width="12.7109375" style="1233" customWidth="1"/>
    <col min="6437" max="6437" width="9.28515625" style="1233" customWidth="1"/>
    <col min="6438" max="6438" width="13.5703125" style="1233" customWidth="1"/>
    <col min="6439" max="6439" width="10.28515625" style="1233" customWidth="1"/>
    <col min="6440" max="6440" width="12.85546875" style="1233" customWidth="1"/>
    <col min="6441" max="6441" width="9.140625" style="1233" customWidth="1"/>
    <col min="6442" max="6442" width="9.7109375" style="1233" customWidth="1"/>
    <col min="6443" max="6443" width="9.28515625" style="1233" customWidth="1"/>
    <col min="6444" max="6444" width="9.42578125" style="1233" customWidth="1"/>
    <col min="6445" max="6445" width="10.5703125" style="1233" customWidth="1"/>
    <col min="6446" max="6446" width="12.42578125" style="1233" customWidth="1"/>
    <col min="6447" max="6447" width="14.5703125" style="1233" customWidth="1"/>
    <col min="6448" max="6448" width="12.28515625" style="1233" customWidth="1"/>
    <col min="6449" max="6449" width="25.85546875" style="1233" customWidth="1"/>
    <col min="6450" max="6681" width="0.85546875" style="1233"/>
    <col min="6682" max="6682" width="9.85546875" style="1233" customWidth="1"/>
    <col min="6683" max="6683" width="81.85546875" style="1233" customWidth="1"/>
    <col min="6684" max="6684" width="12.7109375" style="1233" customWidth="1"/>
    <col min="6685" max="6685" width="12.42578125" style="1233" customWidth="1"/>
    <col min="6686" max="6686" width="14.5703125" style="1233" customWidth="1"/>
    <col min="6687" max="6687" width="12.28515625" style="1233" customWidth="1"/>
    <col min="6688" max="6688" width="38.140625" style="1233" customWidth="1"/>
    <col min="6689" max="6689" width="46.85546875" style="1233" customWidth="1"/>
    <col min="6690" max="6692" width="12.7109375" style="1233" customWidth="1"/>
    <col min="6693" max="6693" width="9.28515625" style="1233" customWidth="1"/>
    <col min="6694" max="6694" width="13.5703125" style="1233" customWidth="1"/>
    <col min="6695" max="6695" width="10.28515625" style="1233" customWidth="1"/>
    <col min="6696" max="6696" width="12.85546875" style="1233" customWidth="1"/>
    <col min="6697" max="6697" width="9.140625" style="1233" customWidth="1"/>
    <col min="6698" max="6698" width="9.7109375" style="1233" customWidth="1"/>
    <col min="6699" max="6699" width="9.28515625" style="1233" customWidth="1"/>
    <col min="6700" max="6700" width="9.42578125" style="1233" customWidth="1"/>
    <col min="6701" max="6701" width="10.5703125" style="1233" customWidth="1"/>
    <col min="6702" max="6702" width="12.42578125" style="1233" customWidth="1"/>
    <col min="6703" max="6703" width="14.5703125" style="1233" customWidth="1"/>
    <col min="6704" max="6704" width="12.28515625" style="1233" customWidth="1"/>
    <col min="6705" max="6705" width="25.85546875" style="1233" customWidth="1"/>
    <col min="6706" max="6937" width="0.85546875" style="1233"/>
    <col min="6938" max="6938" width="9.85546875" style="1233" customWidth="1"/>
    <col min="6939" max="6939" width="81.85546875" style="1233" customWidth="1"/>
    <col min="6940" max="6940" width="12.7109375" style="1233" customWidth="1"/>
    <col min="6941" max="6941" width="12.42578125" style="1233" customWidth="1"/>
    <col min="6942" max="6942" width="14.5703125" style="1233" customWidth="1"/>
    <col min="6943" max="6943" width="12.28515625" style="1233" customWidth="1"/>
    <col min="6944" max="6944" width="38.140625" style="1233" customWidth="1"/>
    <col min="6945" max="6945" width="46.85546875" style="1233" customWidth="1"/>
    <col min="6946" max="6948" width="12.7109375" style="1233" customWidth="1"/>
    <col min="6949" max="6949" width="9.28515625" style="1233" customWidth="1"/>
    <col min="6950" max="6950" width="13.5703125" style="1233" customWidth="1"/>
    <col min="6951" max="6951" width="10.28515625" style="1233" customWidth="1"/>
    <col min="6952" max="6952" width="12.85546875" style="1233" customWidth="1"/>
    <col min="6953" max="6953" width="9.140625" style="1233" customWidth="1"/>
    <col min="6954" max="6954" width="9.7109375" style="1233" customWidth="1"/>
    <col min="6955" max="6955" width="9.28515625" style="1233" customWidth="1"/>
    <col min="6956" max="6956" width="9.42578125" style="1233" customWidth="1"/>
    <col min="6957" max="6957" width="10.5703125" style="1233" customWidth="1"/>
    <col min="6958" max="6958" width="12.42578125" style="1233" customWidth="1"/>
    <col min="6959" max="6959" width="14.5703125" style="1233" customWidth="1"/>
    <col min="6960" max="6960" width="12.28515625" style="1233" customWidth="1"/>
    <col min="6961" max="6961" width="25.85546875" style="1233" customWidth="1"/>
    <col min="6962" max="7193" width="0.85546875" style="1233"/>
    <col min="7194" max="7194" width="9.85546875" style="1233" customWidth="1"/>
    <col min="7195" max="7195" width="81.85546875" style="1233" customWidth="1"/>
    <col min="7196" max="7196" width="12.7109375" style="1233" customWidth="1"/>
    <col min="7197" max="7197" width="12.42578125" style="1233" customWidth="1"/>
    <col min="7198" max="7198" width="14.5703125" style="1233" customWidth="1"/>
    <col min="7199" max="7199" width="12.28515625" style="1233" customWidth="1"/>
    <col min="7200" max="7200" width="38.140625" style="1233" customWidth="1"/>
    <col min="7201" max="7201" width="46.85546875" style="1233" customWidth="1"/>
    <col min="7202" max="7204" width="12.7109375" style="1233" customWidth="1"/>
    <col min="7205" max="7205" width="9.28515625" style="1233" customWidth="1"/>
    <col min="7206" max="7206" width="13.5703125" style="1233" customWidth="1"/>
    <col min="7207" max="7207" width="10.28515625" style="1233" customWidth="1"/>
    <col min="7208" max="7208" width="12.85546875" style="1233" customWidth="1"/>
    <col min="7209" max="7209" width="9.140625" style="1233" customWidth="1"/>
    <col min="7210" max="7210" width="9.7109375" style="1233" customWidth="1"/>
    <col min="7211" max="7211" width="9.28515625" style="1233" customWidth="1"/>
    <col min="7212" max="7212" width="9.42578125" style="1233" customWidth="1"/>
    <col min="7213" max="7213" width="10.5703125" style="1233" customWidth="1"/>
    <col min="7214" max="7214" width="12.42578125" style="1233" customWidth="1"/>
    <col min="7215" max="7215" width="14.5703125" style="1233" customWidth="1"/>
    <col min="7216" max="7216" width="12.28515625" style="1233" customWidth="1"/>
    <col min="7217" max="7217" width="25.85546875" style="1233" customWidth="1"/>
    <col min="7218" max="7449" width="0.85546875" style="1233"/>
    <col min="7450" max="7450" width="9.85546875" style="1233" customWidth="1"/>
    <col min="7451" max="7451" width="81.85546875" style="1233" customWidth="1"/>
    <col min="7452" max="7452" width="12.7109375" style="1233" customWidth="1"/>
    <col min="7453" max="7453" width="12.42578125" style="1233" customWidth="1"/>
    <col min="7454" max="7454" width="14.5703125" style="1233" customWidth="1"/>
    <col min="7455" max="7455" width="12.28515625" style="1233" customWidth="1"/>
    <col min="7456" max="7456" width="38.140625" style="1233" customWidth="1"/>
    <col min="7457" max="7457" width="46.85546875" style="1233" customWidth="1"/>
    <col min="7458" max="7460" width="12.7109375" style="1233" customWidth="1"/>
    <col min="7461" max="7461" width="9.28515625" style="1233" customWidth="1"/>
    <col min="7462" max="7462" width="13.5703125" style="1233" customWidth="1"/>
    <col min="7463" max="7463" width="10.28515625" style="1233" customWidth="1"/>
    <col min="7464" max="7464" width="12.85546875" style="1233" customWidth="1"/>
    <col min="7465" max="7465" width="9.140625" style="1233" customWidth="1"/>
    <col min="7466" max="7466" width="9.7109375" style="1233" customWidth="1"/>
    <col min="7467" max="7467" width="9.28515625" style="1233" customWidth="1"/>
    <col min="7468" max="7468" width="9.42578125" style="1233" customWidth="1"/>
    <col min="7469" max="7469" width="10.5703125" style="1233" customWidth="1"/>
    <col min="7470" max="7470" width="12.42578125" style="1233" customWidth="1"/>
    <col min="7471" max="7471" width="14.5703125" style="1233" customWidth="1"/>
    <col min="7472" max="7472" width="12.28515625" style="1233" customWidth="1"/>
    <col min="7473" max="7473" width="25.85546875" style="1233" customWidth="1"/>
    <col min="7474" max="7705" width="0.85546875" style="1233"/>
    <col min="7706" max="7706" width="9.85546875" style="1233" customWidth="1"/>
    <col min="7707" max="7707" width="81.85546875" style="1233" customWidth="1"/>
    <col min="7708" max="7708" width="12.7109375" style="1233" customWidth="1"/>
    <col min="7709" max="7709" width="12.42578125" style="1233" customWidth="1"/>
    <col min="7710" max="7710" width="14.5703125" style="1233" customWidth="1"/>
    <col min="7711" max="7711" width="12.28515625" style="1233" customWidth="1"/>
    <col min="7712" max="7712" width="38.140625" style="1233" customWidth="1"/>
    <col min="7713" max="7713" width="46.85546875" style="1233" customWidth="1"/>
    <col min="7714" max="7716" width="12.7109375" style="1233" customWidth="1"/>
    <col min="7717" max="7717" width="9.28515625" style="1233" customWidth="1"/>
    <col min="7718" max="7718" width="13.5703125" style="1233" customWidth="1"/>
    <col min="7719" max="7719" width="10.28515625" style="1233" customWidth="1"/>
    <col min="7720" max="7720" width="12.85546875" style="1233" customWidth="1"/>
    <col min="7721" max="7721" width="9.140625" style="1233" customWidth="1"/>
    <col min="7722" max="7722" width="9.7109375" style="1233" customWidth="1"/>
    <col min="7723" max="7723" width="9.28515625" style="1233" customWidth="1"/>
    <col min="7724" max="7724" width="9.42578125" style="1233" customWidth="1"/>
    <col min="7725" max="7725" width="10.5703125" style="1233" customWidth="1"/>
    <col min="7726" max="7726" width="12.42578125" style="1233" customWidth="1"/>
    <col min="7727" max="7727" width="14.5703125" style="1233" customWidth="1"/>
    <col min="7728" max="7728" width="12.28515625" style="1233" customWidth="1"/>
    <col min="7729" max="7729" width="25.85546875" style="1233" customWidth="1"/>
    <col min="7730" max="7961" width="0.85546875" style="1233"/>
    <col min="7962" max="7962" width="9.85546875" style="1233" customWidth="1"/>
    <col min="7963" max="7963" width="81.85546875" style="1233" customWidth="1"/>
    <col min="7964" max="7964" width="12.7109375" style="1233" customWidth="1"/>
    <col min="7965" max="7965" width="12.42578125" style="1233" customWidth="1"/>
    <col min="7966" max="7966" width="14.5703125" style="1233" customWidth="1"/>
    <col min="7967" max="7967" width="12.28515625" style="1233" customWidth="1"/>
    <col min="7968" max="7968" width="38.140625" style="1233" customWidth="1"/>
    <col min="7969" max="7969" width="46.85546875" style="1233" customWidth="1"/>
    <col min="7970" max="7972" width="12.7109375" style="1233" customWidth="1"/>
    <col min="7973" max="7973" width="9.28515625" style="1233" customWidth="1"/>
    <col min="7974" max="7974" width="13.5703125" style="1233" customWidth="1"/>
    <col min="7975" max="7975" width="10.28515625" style="1233" customWidth="1"/>
    <col min="7976" max="7976" width="12.85546875" style="1233" customWidth="1"/>
    <col min="7977" max="7977" width="9.140625" style="1233" customWidth="1"/>
    <col min="7978" max="7978" width="9.7109375" style="1233" customWidth="1"/>
    <col min="7979" max="7979" width="9.28515625" style="1233" customWidth="1"/>
    <col min="7980" max="7980" width="9.42578125" style="1233" customWidth="1"/>
    <col min="7981" max="7981" width="10.5703125" style="1233" customWidth="1"/>
    <col min="7982" max="7982" width="12.42578125" style="1233" customWidth="1"/>
    <col min="7983" max="7983" width="14.5703125" style="1233" customWidth="1"/>
    <col min="7984" max="7984" width="12.28515625" style="1233" customWidth="1"/>
    <col min="7985" max="7985" width="25.85546875" style="1233" customWidth="1"/>
    <col min="7986" max="8217" width="0.85546875" style="1233"/>
    <col min="8218" max="8218" width="9.85546875" style="1233" customWidth="1"/>
    <col min="8219" max="8219" width="81.85546875" style="1233" customWidth="1"/>
    <col min="8220" max="8220" width="12.7109375" style="1233" customWidth="1"/>
    <col min="8221" max="8221" width="12.42578125" style="1233" customWidth="1"/>
    <col min="8222" max="8222" width="14.5703125" style="1233" customWidth="1"/>
    <col min="8223" max="8223" width="12.28515625" style="1233" customWidth="1"/>
    <col min="8224" max="8224" width="38.140625" style="1233" customWidth="1"/>
    <col min="8225" max="8225" width="46.85546875" style="1233" customWidth="1"/>
    <col min="8226" max="8228" width="12.7109375" style="1233" customWidth="1"/>
    <col min="8229" max="8229" width="9.28515625" style="1233" customWidth="1"/>
    <col min="8230" max="8230" width="13.5703125" style="1233" customWidth="1"/>
    <col min="8231" max="8231" width="10.28515625" style="1233" customWidth="1"/>
    <col min="8232" max="8232" width="12.85546875" style="1233" customWidth="1"/>
    <col min="8233" max="8233" width="9.140625" style="1233" customWidth="1"/>
    <col min="8234" max="8234" width="9.7109375" style="1233" customWidth="1"/>
    <col min="8235" max="8235" width="9.28515625" style="1233" customWidth="1"/>
    <col min="8236" max="8236" width="9.42578125" style="1233" customWidth="1"/>
    <col min="8237" max="8237" width="10.5703125" style="1233" customWidth="1"/>
    <col min="8238" max="8238" width="12.42578125" style="1233" customWidth="1"/>
    <col min="8239" max="8239" width="14.5703125" style="1233" customWidth="1"/>
    <col min="8240" max="8240" width="12.28515625" style="1233" customWidth="1"/>
    <col min="8241" max="8241" width="25.85546875" style="1233" customWidth="1"/>
    <col min="8242" max="8473" width="0.85546875" style="1233"/>
    <col min="8474" max="8474" width="9.85546875" style="1233" customWidth="1"/>
    <col min="8475" max="8475" width="81.85546875" style="1233" customWidth="1"/>
    <col min="8476" max="8476" width="12.7109375" style="1233" customWidth="1"/>
    <col min="8477" max="8477" width="12.42578125" style="1233" customWidth="1"/>
    <col min="8478" max="8478" width="14.5703125" style="1233" customWidth="1"/>
    <col min="8479" max="8479" width="12.28515625" style="1233" customWidth="1"/>
    <col min="8480" max="8480" width="38.140625" style="1233" customWidth="1"/>
    <col min="8481" max="8481" width="46.85546875" style="1233" customWidth="1"/>
    <col min="8482" max="8484" width="12.7109375" style="1233" customWidth="1"/>
    <col min="8485" max="8485" width="9.28515625" style="1233" customWidth="1"/>
    <col min="8486" max="8486" width="13.5703125" style="1233" customWidth="1"/>
    <col min="8487" max="8487" width="10.28515625" style="1233" customWidth="1"/>
    <col min="8488" max="8488" width="12.85546875" style="1233" customWidth="1"/>
    <col min="8489" max="8489" width="9.140625" style="1233" customWidth="1"/>
    <col min="8490" max="8490" width="9.7109375" style="1233" customWidth="1"/>
    <col min="8491" max="8491" width="9.28515625" style="1233" customWidth="1"/>
    <col min="8492" max="8492" width="9.42578125" style="1233" customWidth="1"/>
    <col min="8493" max="8493" width="10.5703125" style="1233" customWidth="1"/>
    <col min="8494" max="8494" width="12.42578125" style="1233" customWidth="1"/>
    <col min="8495" max="8495" width="14.5703125" style="1233" customWidth="1"/>
    <col min="8496" max="8496" width="12.28515625" style="1233" customWidth="1"/>
    <col min="8497" max="8497" width="25.85546875" style="1233" customWidth="1"/>
    <col min="8498" max="8729" width="0.85546875" style="1233"/>
    <col min="8730" max="8730" width="9.85546875" style="1233" customWidth="1"/>
    <col min="8731" max="8731" width="81.85546875" style="1233" customWidth="1"/>
    <col min="8732" max="8732" width="12.7109375" style="1233" customWidth="1"/>
    <col min="8733" max="8733" width="12.42578125" style="1233" customWidth="1"/>
    <col min="8734" max="8734" width="14.5703125" style="1233" customWidth="1"/>
    <col min="8735" max="8735" width="12.28515625" style="1233" customWidth="1"/>
    <col min="8736" max="8736" width="38.140625" style="1233" customWidth="1"/>
    <col min="8737" max="8737" width="46.85546875" style="1233" customWidth="1"/>
    <col min="8738" max="8740" width="12.7109375" style="1233" customWidth="1"/>
    <col min="8741" max="8741" width="9.28515625" style="1233" customWidth="1"/>
    <col min="8742" max="8742" width="13.5703125" style="1233" customWidth="1"/>
    <col min="8743" max="8743" width="10.28515625" style="1233" customWidth="1"/>
    <col min="8744" max="8744" width="12.85546875" style="1233" customWidth="1"/>
    <col min="8745" max="8745" width="9.140625" style="1233" customWidth="1"/>
    <col min="8746" max="8746" width="9.7109375" style="1233" customWidth="1"/>
    <col min="8747" max="8747" width="9.28515625" style="1233" customWidth="1"/>
    <col min="8748" max="8748" width="9.42578125" style="1233" customWidth="1"/>
    <col min="8749" max="8749" width="10.5703125" style="1233" customWidth="1"/>
    <col min="8750" max="8750" width="12.42578125" style="1233" customWidth="1"/>
    <col min="8751" max="8751" width="14.5703125" style="1233" customWidth="1"/>
    <col min="8752" max="8752" width="12.28515625" style="1233" customWidth="1"/>
    <col min="8753" max="8753" width="25.85546875" style="1233" customWidth="1"/>
    <col min="8754" max="8985" width="0.85546875" style="1233"/>
    <col min="8986" max="8986" width="9.85546875" style="1233" customWidth="1"/>
    <col min="8987" max="8987" width="81.85546875" style="1233" customWidth="1"/>
    <col min="8988" max="8988" width="12.7109375" style="1233" customWidth="1"/>
    <col min="8989" max="8989" width="12.42578125" style="1233" customWidth="1"/>
    <col min="8990" max="8990" width="14.5703125" style="1233" customWidth="1"/>
    <col min="8991" max="8991" width="12.28515625" style="1233" customWidth="1"/>
    <col min="8992" max="8992" width="38.140625" style="1233" customWidth="1"/>
    <col min="8993" max="8993" width="46.85546875" style="1233" customWidth="1"/>
    <col min="8994" max="8996" width="12.7109375" style="1233" customWidth="1"/>
    <col min="8997" max="8997" width="9.28515625" style="1233" customWidth="1"/>
    <col min="8998" max="8998" width="13.5703125" style="1233" customWidth="1"/>
    <col min="8999" max="8999" width="10.28515625" style="1233" customWidth="1"/>
    <col min="9000" max="9000" width="12.85546875" style="1233" customWidth="1"/>
    <col min="9001" max="9001" width="9.140625" style="1233" customWidth="1"/>
    <col min="9002" max="9002" width="9.7109375" style="1233" customWidth="1"/>
    <col min="9003" max="9003" width="9.28515625" style="1233" customWidth="1"/>
    <col min="9004" max="9004" width="9.42578125" style="1233" customWidth="1"/>
    <col min="9005" max="9005" width="10.5703125" style="1233" customWidth="1"/>
    <col min="9006" max="9006" width="12.42578125" style="1233" customWidth="1"/>
    <col min="9007" max="9007" width="14.5703125" style="1233" customWidth="1"/>
    <col min="9008" max="9008" width="12.28515625" style="1233" customWidth="1"/>
    <col min="9009" max="9009" width="25.85546875" style="1233" customWidth="1"/>
    <col min="9010" max="9241" width="0.85546875" style="1233"/>
    <col min="9242" max="9242" width="9.85546875" style="1233" customWidth="1"/>
    <col min="9243" max="9243" width="81.85546875" style="1233" customWidth="1"/>
    <col min="9244" max="9244" width="12.7109375" style="1233" customWidth="1"/>
    <col min="9245" max="9245" width="12.42578125" style="1233" customWidth="1"/>
    <col min="9246" max="9246" width="14.5703125" style="1233" customWidth="1"/>
    <col min="9247" max="9247" width="12.28515625" style="1233" customWidth="1"/>
    <col min="9248" max="9248" width="38.140625" style="1233" customWidth="1"/>
    <col min="9249" max="9249" width="46.85546875" style="1233" customWidth="1"/>
    <col min="9250" max="9252" width="12.7109375" style="1233" customWidth="1"/>
    <col min="9253" max="9253" width="9.28515625" style="1233" customWidth="1"/>
    <col min="9254" max="9254" width="13.5703125" style="1233" customWidth="1"/>
    <col min="9255" max="9255" width="10.28515625" style="1233" customWidth="1"/>
    <col min="9256" max="9256" width="12.85546875" style="1233" customWidth="1"/>
    <col min="9257" max="9257" width="9.140625" style="1233" customWidth="1"/>
    <col min="9258" max="9258" width="9.7109375" style="1233" customWidth="1"/>
    <col min="9259" max="9259" width="9.28515625" style="1233" customWidth="1"/>
    <col min="9260" max="9260" width="9.42578125" style="1233" customWidth="1"/>
    <col min="9261" max="9261" width="10.5703125" style="1233" customWidth="1"/>
    <col min="9262" max="9262" width="12.42578125" style="1233" customWidth="1"/>
    <col min="9263" max="9263" width="14.5703125" style="1233" customWidth="1"/>
    <col min="9264" max="9264" width="12.28515625" style="1233" customWidth="1"/>
    <col min="9265" max="9265" width="25.85546875" style="1233" customWidth="1"/>
    <col min="9266" max="9497" width="0.85546875" style="1233"/>
    <col min="9498" max="9498" width="9.85546875" style="1233" customWidth="1"/>
    <col min="9499" max="9499" width="81.85546875" style="1233" customWidth="1"/>
    <col min="9500" max="9500" width="12.7109375" style="1233" customWidth="1"/>
    <col min="9501" max="9501" width="12.42578125" style="1233" customWidth="1"/>
    <col min="9502" max="9502" width="14.5703125" style="1233" customWidth="1"/>
    <col min="9503" max="9503" width="12.28515625" style="1233" customWidth="1"/>
    <col min="9504" max="9504" width="38.140625" style="1233" customWidth="1"/>
    <col min="9505" max="9505" width="46.85546875" style="1233" customWidth="1"/>
    <col min="9506" max="9508" width="12.7109375" style="1233" customWidth="1"/>
    <col min="9509" max="9509" width="9.28515625" style="1233" customWidth="1"/>
    <col min="9510" max="9510" width="13.5703125" style="1233" customWidth="1"/>
    <col min="9511" max="9511" width="10.28515625" style="1233" customWidth="1"/>
    <col min="9512" max="9512" width="12.85546875" style="1233" customWidth="1"/>
    <col min="9513" max="9513" width="9.140625" style="1233" customWidth="1"/>
    <col min="9514" max="9514" width="9.7109375" style="1233" customWidth="1"/>
    <col min="9515" max="9515" width="9.28515625" style="1233" customWidth="1"/>
    <col min="9516" max="9516" width="9.42578125" style="1233" customWidth="1"/>
    <col min="9517" max="9517" width="10.5703125" style="1233" customWidth="1"/>
    <col min="9518" max="9518" width="12.42578125" style="1233" customWidth="1"/>
    <col min="9519" max="9519" width="14.5703125" style="1233" customWidth="1"/>
    <col min="9520" max="9520" width="12.28515625" style="1233" customWidth="1"/>
    <col min="9521" max="9521" width="25.85546875" style="1233" customWidth="1"/>
    <col min="9522" max="9753" width="0.85546875" style="1233"/>
    <col min="9754" max="9754" width="9.85546875" style="1233" customWidth="1"/>
    <col min="9755" max="9755" width="81.85546875" style="1233" customWidth="1"/>
    <col min="9756" max="9756" width="12.7109375" style="1233" customWidth="1"/>
    <col min="9757" max="9757" width="12.42578125" style="1233" customWidth="1"/>
    <col min="9758" max="9758" width="14.5703125" style="1233" customWidth="1"/>
    <col min="9759" max="9759" width="12.28515625" style="1233" customWidth="1"/>
    <col min="9760" max="9760" width="38.140625" style="1233" customWidth="1"/>
    <col min="9761" max="9761" width="46.85546875" style="1233" customWidth="1"/>
    <col min="9762" max="9764" width="12.7109375" style="1233" customWidth="1"/>
    <col min="9765" max="9765" width="9.28515625" style="1233" customWidth="1"/>
    <col min="9766" max="9766" width="13.5703125" style="1233" customWidth="1"/>
    <col min="9767" max="9767" width="10.28515625" style="1233" customWidth="1"/>
    <col min="9768" max="9768" width="12.85546875" style="1233" customWidth="1"/>
    <col min="9769" max="9769" width="9.140625" style="1233" customWidth="1"/>
    <col min="9770" max="9770" width="9.7109375" style="1233" customWidth="1"/>
    <col min="9771" max="9771" width="9.28515625" style="1233" customWidth="1"/>
    <col min="9772" max="9772" width="9.42578125" style="1233" customWidth="1"/>
    <col min="9773" max="9773" width="10.5703125" style="1233" customWidth="1"/>
    <col min="9774" max="9774" width="12.42578125" style="1233" customWidth="1"/>
    <col min="9775" max="9775" width="14.5703125" style="1233" customWidth="1"/>
    <col min="9776" max="9776" width="12.28515625" style="1233" customWidth="1"/>
    <col min="9777" max="9777" width="25.85546875" style="1233" customWidth="1"/>
    <col min="9778" max="10009" width="0.85546875" style="1233"/>
    <col min="10010" max="10010" width="9.85546875" style="1233" customWidth="1"/>
    <col min="10011" max="10011" width="81.85546875" style="1233" customWidth="1"/>
    <col min="10012" max="10012" width="12.7109375" style="1233" customWidth="1"/>
    <col min="10013" max="10013" width="12.42578125" style="1233" customWidth="1"/>
    <col min="10014" max="10014" width="14.5703125" style="1233" customWidth="1"/>
    <col min="10015" max="10015" width="12.28515625" style="1233" customWidth="1"/>
    <col min="10016" max="10016" width="38.140625" style="1233" customWidth="1"/>
    <col min="10017" max="10017" width="46.85546875" style="1233" customWidth="1"/>
    <col min="10018" max="10020" width="12.7109375" style="1233" customWidth="1"/>
    <col min="10021" max="10021" width="9.28515625" style="1233" customWidth="1"/>
    <col min="10022" max="10022" width="13.5703125" style="1233" customWidth="1"/>
    <col min="10023" max="10023" width="10.28515625" style="1233" customWidth="1"/>
    <col min="10024" max="10024" width="12.85546875" style="1233" customWidth="1"/>
    <col min="10025" max="10025" width="9.140625" style="1233" customWidth="1"/>
    <col min="10026" max="10026" width="9.7109375" style="1233" customWidth="1"/>
    <col min="10027" max="10027" width="9.28515625" style="1233" customWidth="1"/>
    <col min="10028" max="10028" width="9.42578125" style="1233" customWidth="1"/>
    <col min="10029" max="10029" width="10.5703125" style="1233" customWidth="1"/>
    <col min="10030" max="10030" width="12.42578125" style="1233" customWidth="1"/>
    <col min="10031" max="10031" width="14.5703125" style="1233" customWidth="1"/>
    <col min="10032" max="10032" width="12.28515625" style="1233" customWidth="1"/>
    <col min="10033" max="10033" width="25.85546875" style="1233" customWidth="1"/>
    <col min="10034" max="10265" width="0.85546875" style="1233"/>
    <col min="10266" max="10266" width="9.85546875" style="1233" customWidth="1"/>
    <col min="10267" max="10267" width="81.85546875" style="1233" customWidth="1"/>
    <col min="10268" max="10268" width="12.7109375" style="1233" customWidth="1"/>
    <col min="10269" max="10269" width="12.42578125" style="1233" customWidth="1"/>
    <col min="10270" max="10270" width="14.5703125" style="1233" customWidth="1"/>
    <col min="10271" max="10271" width="12.28515625" style="1233" customWidth="1"/>
    <col min="10272" max="10272" width="38.140625" style="1233" customWidth="1"/>
    <col min="10273" max="10273" width="46.85546875" style="1233" customWidth="1"/>
    <col min="10274" max="10276" width="12.7109375" style="1233" customWidth="1"/>
    <col min="10277" max="10277" width="9.28515625" style="1233" customWidth="1"/>
    <col min="10278" max="10278" width="13.5703125" style="1233" customWidth="1"/>
    <col min="10279" max="10279" width="10.28515625" style="1233" customWidth="1"/>
    <col min="10280" max="10280" width="12.85546875" style="1233" customWidth="1"/>
    <col min="10281" max="10281" width="9.140625" style="1233" customWidth="1"/>
    <col min="10282" max="10282" width="9.7109375" style="1233" customWidth="1"/>
    <col min="10283" max="10283" width="9.28515625" style="1233" customWidth="1"/>
    <col min="10284" max="10284" width="9.42578125" style="1233" customWidth="1"/>
    <col min="10285" max="10285" width="10.5703125" style="1233" customWidth="1"/>
    <col min="10286" max="10286" width="12.42578125" style="1233" customWidth="1"/>
    <col min="10287" max="10287" width="14.5703125" style="1233" customWidth="1"/>
    <col min="10288" max="10288" width="12.28515625" style="1233" customWidth="1"/>
    <col min="10289" max="10289" width="25.85546875" style="1233" customWidth="1"/>
    <col min="10290" max="10521" width="0.85546875" style="1233"/>
    <col min="10522" max="10522" width="9.85546875" style="1233" customWidth="1"/>
    <col min="10523" max="10523" width="81.85546875" style="1233" customWidth="1"/>
    <col min="10524" max="10524" width="12.7109375" style="1233" customWidth="1"/>
    <col min="10525" max="10525" width="12.42578125" style="1233" customWidth="1"/>
    <col min="10526" max="10526" width="14.5703125" style="1233" customWidth="1"/>
    <col min="10527" max="10527" width="12.28515625" style="1233" customWidth="1"/>
    <col min="10528" max="10528" width="38.140625" style="1233" customWidth="1"/>
    <col min="10529" max="10529" width="46.85546875" style="1233" customWidth="1"/>
    <col min="10530" max="10532" width="12.7109375" style="1233" customWidth="1"/>
    <col min="10533" max="10533" width="9.28515625" style="1233" customWidth="1"/>
    <col min="10534" max="10534" width="13.5703125" style="1233" customWidth="1"/>
    <col min="10535" max="10535" width="10.28515625" style="1233" customWidth="1"/>
    <col min="10536" max="10536" width="12.85546875" style="1233" customWidth="1"/>
    <col min="10537" max="10537" width="9.140625" style="1233" customWidth="1"/>
    <col min="10538" max="10538" width="9.7109375" style="1233" customWidth="1"/>
    <col min="10539" max="10539" width="9.28515625" style="1233" customWidth="1"/>
    <col min="10540" max="10540" width="9.42578125" style="1233" customWidth="1"/>
    <col min="10541" max="10541" width="10.5703125" style="1233" customWidth="1"/>
    <col min="10542" max="10542" width="12.42578125" style="1233" customWidth="1"/>
    <col min="10543" max="10543" width="14.5703125" style="1233" customWidth="1"/>
    <col min="10544" max="10544" width="12.28515625" style="1233" customWidth="1"/>
    <col min="10545" max="10545" width="25.85546875" style="1233" customWidth="1"/>
    <col min="10546" max="10777" width="0.85546875" style="1233"/>
    <col min="10778" max="10778" width="9.85546875" style="1233" customWidth="1"/>
    <col min="10779" max="10779" width="81.85546875" style="1233" customWidth="1"/>
    <col min="10780" max="10780" width="12.7109375" style="1233" customWidth="1"/>
    <col min="10781" max="10781" width="12.42578125" style="1233" customWidth="1"/>
    <col min="10782" max="10782" width="14.5703125" style="1233" customWidth="1"/>
    <col min="10783" max="10783" width="12.28515625" style="1233" customWidth="1"/>
    <col min="10784" max="10784" width="38.140625" style="1233" customWidth="1"/>
    <col min="10785" max="10785" width="46.85546875" style="1233" customWidth="1"/>
    <col min="10786" max="10788" width="12.7109375" style="1233" customWidth="1"/>
    <col min="10789" max="10789" width="9.28515625" style="1233" customWidth="1"/>
    <col min="10790" max="10790" width="13.5703125" style="1233" customWidth="1"/>
    <col min="10791" max="10791" width="10.28515625" style="1233" customWidth="1"/>
    <col min="10792" max="10792" width="12.85546875" style="1233" customWidth="1"/>
    <col min="10793" max="10793" width="9.140625" style="1233" customWidth="1"/>
    <col min="10794" max="10794" width="9.7109375" style="1233" customWidth="1"/>
    <col min="10795" max="10795" width="9.28515625" style="1233" customWidth="1"/>
    <col min="10796" max="10796" width="9.42578125" style="1233" customWidth="1"/>
    <col min="10797" max="10797" width="10.5703125" style="1233" customWidth="1"/>
    <col min="10798" max="10798" width="12.42578125" style="1233" customWidth="1"/>
    <col min="10799" max="10799" width="14.5703125" style="1233" customWidth="1"/>
    <col min="10800" max="10800" width="12.28515625" style="1233" customWidth="1"/>
    <col min="10801" max="10801" width="25.85546875" style="1233" customWidth="1"/>
    <col min="10802" max="11033" width="0.85546875" style="1233"/>
    <col min="11034" max="11034" width="9.85546875" style="1233" customWidth="1"/>
    <col min="11035" max="11035" width="81.85546875" style="1233" customWidth="1"/>
    <col min="11036" max="11036" width="12.7109375" style="1233" customWidth="1"/>
    <col min="11037" max="11037" width="12.42578125" style="1233" customWidth="1"/>
    <col min="11038" max="11038" width="14.5703125" style="1233" customWidth="1"/>
    <col min="11039" max="11039" width="12.28515625" style="1233" customWidth="1"/>
    <col min="11040" max="11040" width="38.140625" style="1233" customWidth="1"/>
    <col min="11041" max="11041" width="46.85546875" style="1233" customWidth="1"/>
    <col min="11042" max="11044" width="12.7109375" style="1233" customWidth="1"/>
    <col min="11045" max="11045" width="9.28515625" style="1233" customWidth="1"/>
    <col min="11046" max="11046" width="13.5703125" style="1233" customWidth="1"/>
    <col min="11047" max="11047" width="10.28515625" style="1233" customWidth="1"/>
    <col min="11048" max="11048" width="12.85546875" style="1233" customWidth="1"/>
    <col min="11049" max="11049" width="9.140625" style="1233" customWidth="1"/>
    <col min="11050" max="11050" width="9.7109375" style="1233" customWidth="1"/>
    <col min="11051" max="11051" width="9.28515625" style="1233" customWidth="1"/>
    <col min="11052" max="11052" width="9.42578125" style="1233" customWidth="1"/>
    <col min="11053" max="11053" width="10.5703125" style="1233" customWidth="1"/>
    <col min="11054" max="11054" width="12.42578125" style="1233" customWidth="1"/>
    <col min="11055" max="11055" width="14.5703125" style="1233" customWidth="1"/>
    <col min="11056" max="11056" width="12.28515625" style="1233" customWidth="1"/>
    <col min="11057" max="11057" width="25.85546875" style="1233" customWidth="1"/>
    <col min="11058" max="11289" width="0.85546875" style="1233"/>
    <col min="11290" max="11290" width="9.85546875" style="1233" customWidth="1"/>
    <col min="11291" max="11291" width="81.85546875" style="1233" customWidth="1"/>
    <col min="11292" max="11292" width="12.7109375" style="1233" customWidth="1"/>
    <col min="11293" max="11293" width="12.42578125" style="1233" customWidth="1"/>
    <col min="11294" max="11294" width="14.5703125" style="1233" customWidth="1"/>
    <col min="11295" max="11295" width="12.28515625" style="1233" customWidth="1"/>
    <col min="11296" max="11296" width="38.140625" style="1233" customWidth="1"/>
    <col min="11297" max="11297" width="46.85546875" style="1233" customWidth="1"/>
    <col min="11298" max="11300" width="12.7109375" style="1233" customWidth="1"/>
    <col min="11301" max="11301" width="9.28515625" style="1233" customWidth="1"/>
    <col min="11302" max="11302" width="13.5703125" style="1233" customWidth="1"/>
    <col min="11303" max="11303" width="10.28515625" style="1233" customWidth="1"/>
    <col min="11304" max="11304" width="12.85546875" style="1233" customWidth="1"/>
    <col min="11305" max="11305" width="9.140625" style="1233" customWidth="1"/>
    <col min="11306" max="11306" width="9.7109375" style="1233" customWidth="1"/>
    <col min="11307" max="11307" width="9.28515625" style="1233" customWidth="1"/>
    <col min="11308" max="11308" width="9.42578125" style="1233" customWidth="1"/>
    <col min="11309" max="11309" width="10.5703125" style="1233" customWidth="1"/>
    <col min="11310" max="11310" width="12.42578125" style="1233" customWidth="1"/>
    <col min="11311" max="11311" width="14.5703125" style="1233" customWidth="1"/>
    <col min="11312" max="11312" width="12.28515625" style="1233" customWidth="1"/>
    <col min="11313" max="11313" width="25.85546875" style="1233" customWidth="1"/>
    <col min="11314" max="11545" width="0.85546875" style="1233"/>
    <col min="11546" max="11546" width="9.85546875" style="1233" customWidth="1"/>
    <col min="11547" max="11547" width="81.85546875" style="1233" customWidth="1"/>
    <col min="11548" max="11548" width="12.7109375" style="1233" customWidth="1"/>
    <col min="11549" max="11549" width="12.42578125" style="1233" customWidth="1"/>
    <col min="11550" max="11550" width="14.5703125" style="1233" customWidth="1"/>
    <col min="11551" max="11551" width="12.28515625" style="1233" customWidth="1"/>
    <col min="11552" max="11552" width="38.140625" style="1233" customWidth="1"/>
    <col min="11553" max="11553" width="46.85546875" style="1233" customWidth="1"/>
    <col min="11554" max="11556" width="12.7109375" style="1233" customWidth="1"/>
    <col min="11557" max="11557" width="9.28515625" style="1233" customWidth="1"/>
    <col min="11558" max="11558" width="13.5703125" style="1233" customWidth="1"/>
    <col min="11559" max="11559" width="10.28515625" style="1233" customWidth="1"/>
    <col min="11560" max="11560" width="12.85546875" style="1233" customWidth="1"/>
    <col min="11561" max="11561" width="9.140625" style="1233" customWidth="1"/>
    <col min="11562" max="11562" width="9.7109375" style="1233" customWidth="1"/>
    <col min="11563" max="11563" width="9.28515625" style="1233" customWidth="1"/>
    <col min="11564" max="11564" width="9.42578125" style="1233" customWidth="1"/>
    <col min="11565" max="11565" width="10.5703125" style="1233" customWidth="1"/>
    <col min="11566" max="11566" width="12.42578125" style="1233" customWidth="1"/>
    <col min="11567" max="11567" width="14.5703125" style="1233" customWidth="1"/>
    <col min="11568" max="11568" width="12.28515625" style="1233" customWidth="1"/>
    <col min="11569" max="11569" width="25.85546875" style="1233" customWidth="1"/>
    <col min="11570" max="11801" width="0.85546875" style="1233"/>
    <col min="11802" max="11802" width="9.85546875" style="1233" customWidth="1"/>
    <col min="11803" max="11803" width="81.85546875" style="1233" customWidth="1"/>
    <col min="11804" max="11804" width="12.7109375" style="1233" customWidth="1"/>
    <col min="11805" max="11805" width="12.42578125" style="1233" customWidth="1"/>
    <col min="11806" max="11806" width="14.5703125" style="1233" customWidth="1"/>
    <col min="11807" max="11807" width="12.28515625" style="1233" customWidth="1"/>
    <col min="11808" max="11808" width="38.140625" style="1233" customWidth="1"/>
    <col min="11809" max="11809" width="46.85546875" style="1233" customWidth="1"/>
    <col min="11810" max="11812" width="12.7109375" style="1233" customWidth="1"/>
    <col min="11813" max="11813" width="9.28515625" style="1233" customWidth="1"/>
    <col min="11814" max="11814" width="13.5703125" style="1233" customWidth="1"/>
    <col min="11815" max="11815" width="10.28515625" style="1233" customWidth="1"/>
    <col min="11816" max="11816" width="12.85546875" style="1233" customWidth="1"/>
    <col min="11817" max="11817" width="9.140625" style="1233" customWidth="1"/>
    <col min="11818" max="11818" width="9.7109375" style="1233" customWidth="1"/>
    <col min="11819" max="11819" width="9.28515625" style="1233" customWidth="1"/>
    <col min="11820" max="11820" width="9.42578125" style="1233" customWidth="1"/>
    <col min="11821" max="11821" width="10.5703125" style="1233" customWidth="1"/>
    <col min="11822" max="11822" width="12.42578125" style="1233" customWidth="1"/>
    <col min="11823" max="11823" width="14.5703125" style="1233" customWidth="1"/>
    <col min="11824" max="11824" width="12.28515625" style="1233" customWidth="1"/>
    <col min="11825" max="11825" width="25.85546875" style="1233" customWidth="1"/>
    <col min="11826" max="12057" width="0.85546875" style="1233"/>
    <col min="12058" max="12058" width="9.85546875" style="1233" customWidth="1"/>
    <col min="12059" max="12059" width="81.85546875" style="1233" customWidth="1"/>
    <col min="12060" max="12060" width="12.7109375" style="1233" customWidth="1"/>
    <col min="12061" max="12061" width="12.42578125" style="1233" customWidth="1"/>
    <col min="12062" max="12062" width="14.5703125" style="1233" customWidth="1"/>
    <col min="12063" max="12063" width="12.28515625" style="1233" customWidth="1"/>
    <col min="12064" max="12064" width="38.140625" style="1233" customWidth="1"/>
    <col min="12065" max="12065" width="46.85546875" style="1233" customWidth="1"/>
    <col min="12066" max="12068" width="12.7109375" style="1233" customWidth="1"/>
    <col min="12069" max="12069" width="9.28515625" style="1233" customWidth="1"/>
    <col min="12070" max="12070" width="13.5703125" style="1233" customWidth="1"/>
    <col min="12071" max="12071" width="10.28515625" style="1233" customWidth="1"/>
    <col min="12072" max="12072" width="12.85546875" style="1233" customWidth="1"/>
    <col min="12073" max="12073" width="9.140625" style="1233" customWidth="1"/>
    <col min="12074" max="12074" width="9.7109375" style="1233" customWidth="1"/>
    <col min="12075" max="12075" width="9.28515625" style="1233" customWidth="1"/>
    <col min="12076" max="12076" width="9.42578125" style="1233" customWidth="1"/>
    <col min="12077" max="12077" width="10.5703125" style="1233" customWidth="1"/>
    <col min="12078" max="12078" width="12.42578125" style="1233" customWidth="1"/>
    <col min="12079" max="12079" width="14.5703125" style="1233" customWidth="1"/>
    <col min="12080" max="12080" width="12.28515625" style="1233" customWidth="1"/>
    <col min="12081" max="12081" width="25.85546875" style="1233" customWidth="1"/>
    <col min="12082" max="12313" width="0.85546875" style="1233"/>
    <col min="12314" max="12314" width="9.85546875" style="1233" customWidth="1"/>
    <col min="12315" max="12315" width="81.85546875" style="1233" customWidth="1"/>
    <col min="12316" max="12316" width="12.7109375" style="1233" customWidth="1"/>
    <col min="12317" max="12317" width="12.42578125" style="1233" customWidth="1"/>
    <col min="12318" max="12318" width="14.5703125" style="1233" customWidth="1"/>
    <col min="12319" max="12319" width="12.28515625" style="1233" customWidth="1"/>
    <col min="12320" max="12320" width="38.140625" style="1233" customWidth="1"/>
    <col min="12321" max="12321" width="46.85546875" style="1233" customWidth="1"/>
    <col min="12322" max="12324" width="12.7109375" style="1233" customWidth="1"/>
    <col min="12325" max="12325" width="9.28515625" style="1233" customWidth="1"/>
    <col min="12326" max="12326" width="13.5703125" style="1233" customWidth="1"/>
    <col min="12327" max="12327" width="10.28515625" style="1233" customWidth="1"/>
    <col min="12328" max="12328" width="12.85546875" style="1233" customWidth="1"/>
    <col min="12329" max="12329" width="9.140625" style="1233" customWidth="1"/>
    <col min="12330" max="12330" width="9.7109375" style="1233" customWidth="1"/>
    <col min="12331" max="12331" width="9.28515625" style="1233" customWidth="1"/>
    <col min="12332" max="12332" width="9.42578125" style="1233" customWidth="1"/>
    <col min="12333" max="12333" width="10.5703125" style="1233" customWidth="1"/>
    <col min="12334" max="12334" width="12.42578125" style="1233" customWidth="1"/>
    <col min="12335" max="12335" width="14.5703125" style="1233" customWidth="1"/>
    <col min="12336" max="12336" width="12.28515625" style="1233" customWidth="1"/>
    <col min="12337" max="12337" width="25.85546875" style="1233" customWidth="1"/>
    <col min="12338" max="12569" width="0.85546875" style="1233"/>
    <col min="12570" max="12570" width="9.85546875" style="1233" customWidth="1"/>
    <col min="12571" max="12571" width="81.85546875" style="1233" customWidth="1"/>
    <col min="12572" max="12572" width="12.7109375" style="1233" customWidth="1"/>
    <col min="12573" max="12573" width="12.42578125" style="1233" customWidth="1"/>
    <col min="12574" max="12574" width="14.5703125" style="1233" customWidth="1"/>
    <col min="12575" max="12575" width="12.28515625" style="1233" customWidth="1"/>
    <col min="12576" max="12576" width="38.140625" style="1233" customWidth="1"/>
    <col min="12577" max="12577" width="46.85546875" style="1233" customWidth="1"/>
    <col min="12578" max="12580" width="12.7109375" style="1233" customWidth="1"/>
    <col min="12581" max="12581" width="9.28515625" style="1233" customWidth="1"/>
    <col min="12582" max="12582" width="13.5703125" style="1233" customWidth="1"/>
    <col min="12583" max="12583" width="10.28515625" style="1233" customWidth="1"/>
    <col min="12584" max="12584" width="12.85546875" style="1233" customWidth="1"/>
    <col min="12585" max="12585" width="9.140625" style="1233" customWidth="1"/>
    <col min="12586" max="12586" width="9.7109375" style="1233" customWidth="1"/>
    <col min="12587" max="12587" width="9.28515625" style="1233" customWidth="1"/>
    <col min="12588" max="12588" width="9.42578125" style="1233" customWidth="1"/>
    <col min="12589" max="12589" width="10.5703125" style="1233" customWidth="1"/>
    <col min="12590" max="12590" width="12.42578125" style="1233" customWidth="1"/>
    <col min="12591" max="12591" width="14.5703125" style="1233" customWidth="1"/>
    <col min="12592" max="12592" width="12.28515625" style="1233" customWidth="1"/>
    <col min="12593" max="12593" width="25.85546875" style="1233" customWidth="1"/>
    <col min="12594" max="12825" width="0.85546875" style="1233"/>
    <col min="12826" max="12826" width="9.85546875" style="1233" customWidth="1"/>
    <col min="12827" max="12827" width="81.85546875" style="1233" customWidth="1"/>
    <col min="12828" max="12828" width="12.7109375" style="1233" customWidth="1"/>
    <col min="12829" max="12829" width="12.42578125" style="1233" customWidth="1"/>
    <col min="12830" max="12830" width="14.5703125" style="1233" customWidth="1"/>
    <col min="12831" max="12831" width="12.28515625" style="1233" customWidth="1"/>
    <col min="12832" max="12832" width="38.140625" style="1233" customWidth="1"/>
    <col min="12833" max="12833" width="46.85546875" style="1233" customWidth="1"/>
    <col min="12834" max="12836" width="12.7109375" style="1233" customWidth="1"/>
    <col min="12837" max="12837" width="9.28515625" style="1233" customWidth="1"/>
    <col min="12838" max="12838" width="13.5703125" style="1233" customWidth="1"/>
    <col min="12839" max="12839" width="10.28515625" style="1233" customWidth="1"/>
    <col min="12840" max="12840" width="12.85546875" style="1233" customWidth="1"/>
    <col min="12841" max="12841" width="9.140625" style="1233" customWidth="1"/>
    <col min="12842" max="12842" width="9.7109375" style="1233" customWidth="1"/>
    <col min="12843" max="12843" width="9.28515625" style="1233" customWidth="1"/>
    <col min="12844" max="12844" width="9.42578125" style="1233" customWidth="1"/>
    <col min="12845" max="12845" width="10.5703125" style="1233" customWidth="1"/>
    <col min="12846" max="12846" width="12.42578125" style="1233" customWidth="1"/>
    <col min="12847" max="12847" width="14.5703125" style="1233" customWidth="1"/>
    <col min="12848" max="12848" width="12.28515625" style="1233" customWidth="1"/>
    <col min="12849" max="12849" width="25.85546875" style="1233" customWidth="1"/>
    <col min="12850" max="13081" width="0.85546875" style="1233"/>
    <col min="13082" max="13082" width="9.85546875" style="1233" customWidth="1"/>
    <col min="13083" max="13083" width="81.85546875" style="1233" customWidth="1"/>
    <col min="13084" max="13084" width="12.7109375" style="1233" customWidth="1"/>
    <col min="13085" max="13085" width="12.42578125" style="1233" customWidth="1"/>
    <col min="13086" max="13086" width="14.5703125" style="1233" customWidth="1"/>
    <col min="13087" max="13087" width="12.28515625" style="1233" customWidth="1"/>
    <col min="13088" max="13088" width="38.140625" style="1233" customWidth="1"/>
    <col min="13089" max="13089" width="46.85546875" style="1233" customWidth="1"/>
    <col min="13090" max="13092" width="12.7109375" style="1233" customWidth="1"/>
    <col min="13093" max="13093" width="9.28515625" style="1233" customWidth="1"/>
    <col min="13094" max="13094" width="13.5703125" style="1233" customWidth="1"/>
    <col min="13095" max="13095" width="10.28515625" style="1233" customWidth="1"/>
    <col min="13096" max="13096" width="12.85546875" style="1233" customWidth="1"/>
    <col min="13097" max="13097" width="9.140625" style="1233" customWidth="1"/>
    <col min="13098" max="13098" width="9.7109375" style="1233" customWidth="1"/>
    <col min="13099" max="13099" width="9.28515625" style="1233" customWidth="1"/>
    <col min="13100" max="13100" width="9.42578125" style="1233" customWidth="1"/>
    <col min="13101" max="13101" width="10.5703125" style="1233" customWidth="1"/>
    <col min="13102" max="13102" width="12.42578125" style="1233" customWidth="1"/>
    <col min="13103" max="13103" width="14.5703125" style="1233" customWidth="1"/>
    <col min="13104" max="13104" width="12.28515625" style="1233" customWidth="1"/>
    <col min="13105" max="13105" width="25.85546875" style="1233" customWidth="1"/>
    <col min="13106" max="13337" width="0.85546875" style="1233"/>
    <col min="13338" max="13338" width="9.85546875" style="1233" customWidth="1"/>
    <col min="13339" max="13339" width="81.85546875" style="1233" customWidth="1"/>
    <col min="13340" max="13340" width="12.7109375" style="1233" customWidth="1"/>
    <col min="13341" max="13341" width="12.42578125" style="1233" customWidth="1"/>
    <col min="13342" max="13342" width="14.5703125" style="1233" customWidth="1"/>
    <col min="13343" max="13343" width="12.28515625" style="1233" customWidth="1"/>
    <col min="13344" max="13344" width="38.140625" style="1233" customWidth="1"/>
    <col min="13345" max="13345" width="46.85546875" style="1233" customWidth="1"/>
    <col min="13346" max="13348" width="12.7109375" style="1233" customWidth="1"/>
    <col min="13349" max="13349" width="9.28515625" style="1233" customWidth="1"/>
    <col min="13350" max="13350" width="13.5703125" style="1233" customWidth="1"/>
    <col min="13351" max="13351" width="10.28515625" style="1233" customWidth="1"/>
    <col min="13352" max="13352" width="12.85546875" style="1233" customWidth="1"/>
    <col min="13353" max="13353" width="9.140625" style="1233" customWidth="1"/>
    <col min="13354" max="13354" width="9.7109375" style="1233" customWidth="1"/>
    <col min="13355" max="13355" width="9.28515625" style="1233" customWidth="1"/>
    <col min="13356" max="13356" width="9.42578125" style="1233" customWidth="1"/>
    <col min="13357" max="13357" width="10.5703125" style="1233" customWidth="1"/>
    <col min="13358" max="13358" width="12.42578125" style="1233" customWidth="1"/>
    <col min="13359" max="13359" width="14.5703125" style="1233" customWidth="1"/>
    <col min="13360" max="13360" width="12.28515625" style="1233" customWidth="1"/>
    <col min="13361" max="13361" width="25.85546875" style="1233" customWidth="1"/>
    <col min="13362" max="13593" width="0.85546875" style="1233"/>
    <col min="13594" max="13594" width="9.85546875" style="1233" customWidth="1"/>
    <col min="13595" max="13595" width="81.85546875" style="1233" customWidth="1"/>
    <col min="13596" max="13596" width="12.7109375" style="1233" customWidth="1"/>
    <col min="13597" max="13597" width="12.42578125" style="1233" customWidth="1"/>
    <col min="13598" max="13598" width="14.5703125" style="1233" customWidth="1"/>
    <col min="13599" max="13599" width="12.28515625" style="1233" customWidth="1"/>
    <col min="13600" max="13600" width="38.140625" style="1233" customWidth="1"/>
    <col min="13601" max="13601" width="46.85546875" style="1233" customWidth="1"/>
    <col min="13602" max="13604" width="12.7109375" style="1233" customWidth="1"/>
    <col min="13605" max="13605" width="9.28515625" style="1233" customWidth="1"/>
    <col min="13606" max="13606" width="13.5703125" style="1233" customWidth="1"/>
    <col min="13607" max="13607" width="10.28515625" style="1233" customWidth="1"/>
    <col min="13608" max="13608" width="12.85546875" style="1233" customWidth="1"/>
    <col min="13609" max="13609" width="9.140625" style="1233" customWidth="1"/>
    <col min="13610" max="13610" width="9.7109375" style="1233" customWidth="1"/>
    <col min="13611" max="13611" width="9.28515625" style="1233" customWidth="1"/>
    <col min="13612" max="13612" width="9.42578125" style="1233" customWidth="1"/>
    <col min="13613" max="13613" width="10.5703125" style="1233" customWidth="1"/>
    <col min="13614" max="13614" width="12.42578125" style="1233" customWidth="1"/>
    <col min="13615" max="13615" width="14.5703125" style="1233" customWidth="1"/>
    <col min="13616" max="13616" width="12.28515625" style="1233" customWidth="1"/>
    <col min="13617" max="13617" width="25.85546875" style="1233" customWidth="1"/>
    <col min="13618" max="13849" width="0.85546875" style="1233"/>
    <col min="13850" max="13850" width="9.85546875" style="1233" customWidth="1"/>
    <col min="13851" max="13851" width="81.85546875" style="1233" customWidth="1"/>
    <col min="13852" max="13852" width="12.7109375" style="1233" customWidth="1"/>
    <col min="13853" max="13853" width="12.42578125" style="1233" customWidth="1"/>
    <col min="13854" max="13854" width="14.5703125" style="1233" customWidth="1"/>
    <col min="13855" max="13855" width="12.28515625" style="1233" customWidth="1"/>
    <col min="13856" max="13856" width="38.140625" style="1233" customWidth="1"/>
    <col min="13857" max="13857" width="46.85546875" style="1233" customWidth="1"/>
    <col min="13858" max="13860" width="12.7109375" style="1233" customWidth="1"/>
    <col min="13861" max="13861" width="9.28515625" style="1233" customWidth="1"/>
    <col min="13862" max="13862" width="13.5703125" style="1233" customWidth="1"/>
    <col min="13863" max="13863" width="10.28515625" style="1233" customWidth="1"/>
    <col min="13864" max="13864" width="12.85546875" style="1233" customWidth="1"/>
    <col min="13865" max="13865" width="9.140625" style="1233" customWidth="1"/>
    <col min="13866" max="13866" width="9.7109375" style="1233" customWidth="1"/>
    <col min="13867" max="13867" width="9.28515625" style="1233" customWidth="1"/>
    <col min="13868" max="13868" width="9.42578125" style="1233" customWidth="1"/>
    <col min="13869" max="13869" width="10.5703125" style="1233" customWidth="1"/>
    <col min="13870" max="13870" width="12.42578125" style="1233" customWidth="1"/>
    <col min="13871" max="13871" width="14.5703125" style="1233" customWidth="1"/>
    <col min="13872" max="13872" width="12.28515625" style="1233" customWidth="1"/>
    <col min="13873" max="13873" width="25.85546875" style="1233" customWidth="1"/>
    <col min="13874" max="14105" width="0.85546875" style="1233"/>
    <col min="14106" max="14106" width="9.85546875" style="1233" customWidth="1"/>
    <col min="14107" max="14107" width="81.85546875" style="1233" customWidth="1"/>
    <col min="14108" max="14108" width="12.7109375" style="1233" customWidth="1"/>
    <col min="14109" max="14109" width="12.42578125" style="1233" customWidth="1"/>
    <col min="14110" max="14110" width="14.5703125" style="1233" customWidth="1"/>
    <col min="14111" max="14111" width="12.28515625" style="1233" customWidth="1"/>
    <col min="14112" max="14112" width="38.140625" style="1233" customWidth="1"/>
    <col min="14113" max="14113" width="46.85546875" style="1233" customWidth="1"/>
    <col min="14114" max="14116" width="12.7109375" style="1233" customWidth="1"/>
    <col min="14117" max="14117" width="9.28515625" style="1233" customWidth="1"/>
    <col min="14118" max="14118" width="13.5703125" style="1233" customWidth="1"/>
    <col min="14119" max="14119" width="10.28515625" style="1233" customWidth="1"/>
    <col min="14120" max="14120" width="12.85546875" style="1233" customWidth="1"/>
    <col min="14121" max="14121" width="9.140625" style="1233" customWidth="1"/>
    <col min="14122" max="14122" width="9.7109375" style="1233" customWidth="1"/>
    <col min="14123" max="14123" width="9.28515625" style="1233" customWidth="1"/>
    <col min="14124" max="14124" width="9.42578125" style="1233" customWidth="1"/>
    <col min="14125" max="14125" width="10.5703125" style="1233" customWidth="1"/>
    <col min="14126" max="14126" width="12.42578125" style="1233" customWidth="1"/>
    <col min="14127" max="14127" width="14.5703125" style="1233" customWidth="1"/>
    <col min="14128" max="14128" width="12.28515625" style="1233" customWidth="1"/>
    <col min="14129" max="14129" width="25.85546875" style="1233" customWidth="1"/>
    <col min="14130" max="14361" width="0.85546875" style="1233"/>
    <col min="14362" max="14362" width="9.85546875" style="1233" customWidth="1"/>
    <col min="14363" max="14363" width="81.85546875" style="1233" customWidth="1"/>
    <col min="14364" max="14364" width="12.7109375" style="1233" customWidth="1"/>
    <col min="14365" max="14365" width="12.42578125" style="1233" customWidth="1"/>
    <col min="14366" max="14366" width="14.5703125" style="1233" customWidth="1"/>
    <col min="14367" max="14367" width="12.28515625" style="1233" customWidth="1"/>
    <col min="14368" max="14368" width="38.140625" style="1233" customWidth="1"/>
    <col min="14369" max="14369" width="46.85546875" style="1233" customWidth="1"/>
    <col min="14370" max="14372" width="12.7109375" style="1233" customWidth="1"/>
    <col min="14373" max="14373" width="9.28515625" style="1233" customWidth="1"/>
    <col min="14374" max="14374" width="13.5703125" style="1233" customWidth="1"/>
    <col min="14375" max="14375" width="10.28515625" style="1233" customWidth="1"/>
    <col min="14376" max="14376" width="12.85546875" style="1233" customWidth="1"/>
    <col min="14377" max="14377" width="9.140625" style="1233" customWidth="1"/>
    <col min="14378" max="14378" width="9.7109375" style="1233" customWidth="1"/>
    <col min="14379" max="14379" width="9.28515625" style="1233" customWidth="1"/>
    <col min="14380" max="14380" width="9.42578125" style="1233" customWidth="1"/>
    <col min="14381" max="14381" width="10.5703125" style="1233" customWidth="1"/>
    <col min="14382" max="14382" width="12.42578125" style="1233" customWidth="1"/>
    <col min="14383" max="14383" width="14.5703125" style="1233" customWidth="1"/>
    <col min="14384" max="14384" width="12.28515625" style="1233" customWidth="1"/>
    <col min="14385" max="14385" width="25.85546875" style="1233" customWidth="1"/>
    <col min="14386" max="14617" width="0.85546875" style="1233"/>
    <col min="14618" max="14618" width="9.85546875" style="1233" customWidth="1"/>
    <col min="14619" max="14619" width="81.85546875" style="1233" customWidth="1"/>
    <col min="14620" max="14620" width="12.7109375" style="1233" customWidth="1"/>
    <col min="14621" max="14621" width="12.42578125" style="1233" customWidth="1"/>
    <col min="14622" max="14622" width="14.5703125" style="1233" customWidth="1"/>
    <col min="14623" max="14623" width="12.28515625" style="1233" customWidth="1"/>
    <col min="14624" max="14624" width="38.140625" style="1233" customWidth="1"/>
    <col min="14625" max="14625" width="46.85546875" style="1233" customWidth="1"/>
    <col min="14626" max="14628" width="12.7109375" style="1233" customWidth="1"/>
    <col min="14629" max="14629" width="9.28515625" style="1233" customWidth="1"/>
    <col min="14630" max="14630" width="13.5703125" style="1233" customWidth="1"/>
    <col min="14631" max="14631" width="10.28515625" style="1233" customWidth="1"/>
    <col min="14632" max="14632" width="12.85546875" style="1233" customWidth="1"/>
    <col min="14633" max="14633" width="9.140625" style="1233" customWidth="1"/>
    <col min="14634" max="14634" width="9.7109375" style="1233" customWidth="1"/>
    <col min="14635" max="14635" width="9.28515625" style="1233" customWidth="1"/>
    <col min="14636" max="14636" width="9.42578125" style="1233" customWidth="1"/>
    <col min="14637" max="14637" width="10.5703125" style="1233" customWidth="1"/>
    <col min="14638" max="14638" width="12.42578125" style="1233" customWidth="1"/>
    <col min="14639" max="14639" width="14.5703125" style="1233" customWidth="1"/>
    <col min="14640" max="14640" width="12.28515625" style="1233" customWidth="1"/>
    <col min="14641" max="14641" width="25.85546875" style="1233" customWidth="1"/>
    <col min="14642" max="14873" width="0.85546875" style="1233"/>
    <col min="14874" max="14874" width="9.85546875" style="1233" customWidth="1"/>
    <col min="14875" max="14875" width="81.85546875" style="1233" customWidth="1"/>
    <col min="14876" max="14876" width="12.7109375" style="1233" customWidth="1"/>
    <col min="14877" max="14877" width="12.42578125" style="1233" customWidth="1"/>
    <col min="14878" max="14878" width="14.5703125" style="1233" customWidth="1"/>
    <col min="14879" max="14879" width="12.28515625" style="1233" customWidth="1"/>
    <col min="14880" max="14880" width="38.140625" style="1233" customWidth="1"/>
    <col min="14881" max="14881" width="46.85546875" style="1233" customWidth="1"/>
    <col min="14882" max="14884" width="12.7109375" style="1233" customWidth="1"/>
    <col min="14885" max="14885" width="9.28515625" style="1233" customWidth="1"/>
    <col min="14886" max="14886" width="13.5703125" style="1233" customWidth="1"/>
    <col min="14887" max="14887" width="10.28515625" style="1233" customWidth="1"/>
    <col min="14888" max="14888" width="12.85546875" style="1233" customWidth="1"/>
    <col min="14889" max="14889" width="9.140625" style="1233" customWidth="1"/>
    <col min="14890" max="14890" width="9.7109375" style="1233" customWidth="1"/>
    <col min="14891" max="14891" width="9.28515625" style="1233" customWidth="1"/>
    <col min="14892" max="14892" width="9.42578125" style="1233" customWidth="1"/>
    <col min="14893" max="14893" width="10.5703125" style="1233" customWidth="1"/>
    <col min="14894" max="14894" width="12.42578125" style="1233" customWidth="1"/>
    <col min="14895" max="14895" width="14.5703125" style="1233" customWidth="1"/>
    <col min="14896" max="14896" width="12.28515625" style="1233" customWidth="1"/>
    <col min="14897" max="14897" width="25.85546875" style="1233" customWidth="1"/>
    <col min="14898" max="15129" width="0.85546875" style="1233"/>
    <col min="15130" max="15130" width="9.85546875" style="1233" customWidth="1"/>
    <col min="15131" max="15131" width="81.85546875" style="1233" customWidth="1"/>
    <col min="15132" max="15132" width="12.7109375" style="1233" customWidth="1"/>
    <col min="15133" max="15133" width="12.42578125" style="1233" customWidth="1"/>
    <col min="15134" max="15134" width="14.5703125" style="1233" customWidth="1"/>
    <col min="15135" max="15135" width="12.28515625" style="1233" customWidth="1"/>
    <col min="15136" max="15136" width="38.140625" style="1233" customWidth="1"/>
    <col min="15137" max="15137" width="46.85546875" style="1233" customWidth="1"/>
    <col min="15138" max="15140" width="12.7109375" style="1233" customWidth="1"/>
    <col min="15141" max="15141" width="9.28515625" style="1233" customWidth="1"/>
    <col min="15142" max="15142" width="13.5703125" style="1233" customWidth="1"/>
    <col min="15143" max="15143" width="10.28515625" style="1233" customWidth="1"/>
    <col min="15144" max="15144" width="12.85546875" style="1233" customWidth="1"/>
    <col min="15145" max="15145" width="9.140625" style="1233" customWidth="1"/>
    <col min="15146" max="15146" width="9.7109375" style="1233" customWidth="1"/>
    <col min="15147" max="15147" width="9.28515625" style="1233" customWidth="1"/>
    <col min="15148" max="15148" width="9.42578125" style="1233" customWidth="1"/>
    <col min="15149" max="15149" width="10.5703125" style="1233" customWidth="1"/>
    <col min="15150" max="15150" width="12.42578125" style="1233" customWidth="1"/>
    <col min="15151" max="15151" width="14.5703125" style="1233" customWidth="1"/>
    <col min="15152" max="15152" width="12.28515625" style="1233" customWidth="1"/>
    <col min="15153" max="15153" width="25.85546875" style="1233" customWidth="1"/>
    <col min="15154" max="15385" width="0.85546875" style="1233"/>
    <col min="15386" max="15386" width="9.85546875" style="1233" customWidth="1"/>
    <col min="15387" max="15387" width="81.85546875" style="1233" customWidth="1"/>
    <col min="15388" max="15388" width="12.7109375" style="1233" customWidth="1"/>
    <col min="15389" max="15389" width="12.42578125" style="1233" customWidth="1"/>
    <col min="15390" max="15390" width="14.5703125" style="1233" customWidth="1"/>
    <col min="15391" max="15391" width="12.28515625" style="1233" customWidth="1"/>
    <col min="15392" max="15392" width="38.140625" style="1233" customWidth="1"/>
    <col min="15393" max="15393" width="46.85546875" style="1233" customWidth="1"/>
    <col min="15394" max="15396" width="12.7109375" style="1233" customWidth="1"/>
    <col min="15397" max="15397" width="9.28515625" style="1233" customWidth="1"/>
    <col min="15398" max="15398" width="13.5703125" style="1233" customWidth="1"/>
    <col min="15399" max="15399" width="10.28515625" style="1233" customWidth="1"/>
    <col min="15400" max="15400" width="12.85546875" style="1233" customWidth="1"/>
    <col min="15401" max="15401" width="9.140625" style="1233" customWidth="1"/>
    <col min="15402" max="15402" width="9.7109375" style="1233" customWidth="1"/>
    <col min="15403" max="15403" width="9.28515625" style="1233" customWidth="1"/>
    <col min="15404" max="15404" width="9.42578125" style="1233" customWidth="1"/>
    <col min="15405" max="15405" width="10.5703125" style="1233" customWidth="1"/>
    <col min="15406" max="15406" width="12.42578125" style="1233" customWidth="1"/>
    <col min="15407" max="15407" width="14.5703125" style="1233" customWidth="1"/>
    <col min="15408" max="15408" width="12.28515625" style="1233" customWidth="1"/>
    <col min="15409" max="15409" width="25.85546875" style="1233" customWidth="1"/>
    <col min="15410" max="15641" width="0.85546875" style="1233"/>
    <col min="15642" max="15642" width="9.85546875" style="1233" customWidth="1"/>
    <col min="15643" max="15643" width="81.85546875" style="1233" customWidth="1"/>
    <col min="15644" max="15644" width="12.7109375" style="1233" customWidth="1"/>
    <col min="15645" max="15645" width="12.42578125" style="1233" customWidth="1"/>
    <col min="15646" max="15646" width="14.5703125" style="1233" customWidth="1"/>
    <col min="15647" max="15647" width="12.28515625" style="1233" customWidth="1"/>
    <col min="15648" max="15648" width="38.140625" style="1233" customWidth="1"/>
    <col min="15649" max="15649" width="46.85546875" style="1233" customWidth="1"/>
    <col min="15650" max="15652" width="12.7109375" style="1233" customWidth="1"/>
    <col min="15653" max="15653" width="9.28515625" style="1233" customWidth="1"/>
    <col min="15654" max="15654" width="13.5703125" style="1233" customWidth="1"/>
    <col min="15655" max="15655" width="10.28515625" style="1233" customWidth="1"/>
    <col min="15656" max="15656" width="12.85546875" style="1233" customWidth="1"/>
    <col min="15657" max="15657" width="9.140625" style="1233" customWidth="1"/>
    <col min="15658" max="15658" width="9.7109375" style="1233" customWidth="1"/>
    <col min="15659" max="15659" width="9.28515625" style="1233" customWidth="1"/>
    <col min="15660" max="15660" width="9.42578125" style="1233" customWidth="1"/>
    <col min="15661" max="15661" width="10.5703125" style="1233" customWidth="1"/>
    <col min="15662" max="15662" width="12.42578125" style="1233" customWidth="1"/>
    <col min="15663" max="15663" width="14.5703125" style="1233" customWidth="1"/>
    <col min="15664" max="15664" width="12.28515625" style="1233" customWidth="1"/>
    <col min="15665" max="15665" width="25.85546875" style="1233" customWidth="1"/>
    <col min="15666" max="15897" width="0.85546875" style="1233"/>
    <col min="15898" max="15898" width="9.85546875" style="1233" customWidth="1"/>
    <col min="15899" max="15899" width="81.85546875" style="1233" customWidth="1"/>
    <col min="15900" max="15900" width="12.7109375" style="1233" customWidth="1"/>
    <col min="15901" max="15901" width="12.42578125" style="1233" customWidth="1"/>
    <col min="15902" max="15902" width="14.5703125" style="1233" customWidth="1"/>
    <col min="15903" max="15903" width="12.28515625" style="1233" customWidth="1"/>
    <col min="15904" max="15904" width="38.140625" style="1233" customWidth="1"/>
    <col min="15905" max="15905" width="46.85546875" style="1233" customWidth="1"/>
    <col min="15906" max="15908" width="12.7109375" style="1233" customWidth="1"/>
    <col min="15909" max="15909" width="9.28515625" style="1233" customWidth="1"/>
    <col min="15910" max="15910" width="13.5703125" style="1233" customWidth="1"/>
    <col min="15911" max="15911" width="10.28515625" style="1233" customWidth="1"/>
    <col min="15912" max="15912" width="12.85546875" style="1233" customWidth="1"/>
    <col min="15913" max="15913" width="9.140625" style="1233" customWidth="1"/>
    <col min="15914" max="15914" width="9.7109375" style="1233" customWidth="1"/>
    <col min="15915" max="15915" width="9.28515625" style="1233" customWidth="1"/>
    <col min="15916" max="15916" width="9.42578125" style="1233" customWidth="1"/>
    <col min="15917" max="15917" width="10.5703125" style="1233" customWidth="1"/>
    <col min="15918" max="15918" width="12.42578125" style="1233" customWidth="1"/>
    <col min="15919" max="15919" width="14.5703125" style="1233" customWidth="1"/>
    <col min="15920" max="15920" width="12.28515625" style="1233" customWidth="1"/>
    <col min="15921" max="15921" width="25.85546875" style="1233" customWidth="1"/>
    <col min="15922" max="16153" width="0.85546875" style="1233"/>
    <col min="16154" max="16154" width="9.85546875" style="1233" customWidth="1"/>
    <col min="16155" max="16155" width="81.85546875" style="1233" customWidth="1"/>
    <col min="16156" max="16156" width="12.7109375" style="1233" customWidth="1"/>
    <col min="16157" max="16157" width="12.42578125" style="1233" customWidth="1"/>
    <col min="16158" max="16158" width="14.5703125" style="1233" customWidth="1"/>
    <col min="16159" max="16159" width="12.28515625" style="1233" customWidth="1"/>
    <col min="16160" max="16160" width="38.140625" style="1233" customWidth="1"/>
    <col min="16161" max="16161" width="46.85546875" style="1233" customWidth="1"/>
    <col min="16162" max="16164" width="12.7109375" style="1233" customWidth="1"/>
    <col min="16165" max="16165" width="9.28515625" style="1233" customWidth="1"/>
    <col min="16166" max="16166" width="13.5703125" style="1233" customWidth="1"/>
    <col min="16167" max="16167" width="10.28515625" style="1233" customWidth="1"/>
    <col min="16168" max="16168" width="12.85546875" style="1233" customWidth="1"/>
    <col min="16169" max="16169" width="9.140625" style="1233" customWidth="1"/>
    <col min="16170" max="16170" width="9.7109375" style="1233" customWidth="1"/>
    <col min="16171" max="16171" width="9.28515625" style="1233" customWidth="1"/>
    <col min="16172" max="16172" width="9.42578125" style="1233" customWidth="1"/>
    <col min="16173" max="16173" width="10.5703125" style="1233" customWidth="1"/>
    <col min="16174" max="16174" width="12.42578125" style="1233" customWidth="1"/>
    <col min="16175" max="16175" width="14.5703125" style="1233" customWidth="1"/>
    <col min="16176" max="16176" width="12.28515625" style="1233" customWidth="1"/>
    <col min="16177" max="16177" width="25.85546875" style="1233" customWidth="1"/>
    <col min="16178" max="16384" width="0.85546875" style="1233"/>
  </cols>
  <sheetData>
    <row r="2" spans="1:57" ht="29.25" customHeight="1" x14ac:dyDescent="0.3">
      <c r="A2" s="5615" t="s">
        <v>4099</v>
      </c>
      <c r="B2" s="5615"/>
      <c r="C2" s="5615"/>
      <c r="D2" s="5615"/>
      <c r="E2" s="5615"/>
      <c r="F2" s="5615"/>
      <c r="G2" s="5615"/>
      <c r="H2" s="5615"/>
      <c r="I2" s="5615"/>
      <c r="J2" s="5615"/>
      <c r="K2" s="5615"/>
      <c r="L2" s="5615"/>
      <c r="M2" s="5615"/>
      <c r="N2" s="5615"/>
      <c r="O2" s="5615"/>
      <c r="P2" s="5615"/>
      <c r="Q2" s="5615"/>
      <c r="R2" s="5615"/>
      <c r="S2" s="5615"/>
      <c r="T2" s="5615"/>
      <c r="U2" s="5615"/>
      <c r="V2" s="5615"/>
      <c r="W2" s="5615"/>
      <c r="X2" s="5615"/>
      <c r="Y2" s="5615"/>
      <c r="Z2" s="5615"/>
      <c r="AA2" s="5615"/>
      <c r="AB2" s="5615"/>
      <c r="AC2" s="5615"/>
      <c r="AD2" s="5615"/>
      <c r="AE2" s="5615"/>
      <c r="AF2" s="5615"/>
      <c r="AG2" s="5615"/>
      <c r="AH2" s="5615"/>
      <c r="AI2" s="4910"/>
      <c r="AJ2" s="4910"/>
      <c r="AK2" s="4910"/>
      <c r="AL2" s="4910"/>
      <c r="AM2" s="4910"/>
      <c r="AN2" s="4910"/>
      <c r="AO2" s="4910"/>
      <c r="AP2" s="4910"/>
      <c r="AQ2" s="4910"/>
      <c r="AR2" s="4910"/>
      <c r="AS2" s="4910"/>
      <c r="AT2" s="4910"/>
      <c r="AU2" s="4910"/>
      <c r="AV2" s="4910"/>
      <c r="AW2" s="4910"/>
      <c r="AX2" s="4910"/>
      <c r="AY2" s="4910"/>
      <c r="AZ2" s="4910"/>
      <c r="BA2" s="4910"/>
      <c r="BB2" s="4910"/>
      <c r="BC2" s="4910"/>
      <c r="BD2" s="4910"/>
      <c r="BE2" s="4910"/>
    </row>
    <row r="4" spans="1:57" ht="15.75" customHeight="1" x14ac:dyDescent="0.25">
      <c r="A4" s="5593" t="s">
        <v>890</v>
      </c>
      <c r="B4" s="5593" t="s">
        <v>356</v>
      </c>
      <c r="C4" s="5593" t="s">
        <v>891</v>
      </c>
      <c r="D4" s="5593" t="s">
        <v>1787</v>
      </c>
      <c r="E4" s="5593" t="s">
        <v>1786</v>
      </c>
      <c r="F4" s="5593" t="str">
        <f>'вода 2019-2023 коррект'!F4:AD4</f>
        <v>Установлено на первый долгосрочный период регулирования 2016 - 2018 годы</v>
      </c>
      <c r="G4" s="5593"/>
      <c r="H4" s="5593"/>
      <c r="I4" s="5593"/>
      <c r="J4" s="5593"/>
      <c r="K4" s="5593"/>
      <c r="L4" s="5593"/>
      <c r="M4" s="5593"/>
      <c r="N4" s="5593"/>
      <c r="O4" s="5593"/>
      <c r="P4" s="5593"/>
      <c r="Q4" s="5521"/>
      <c r="R4" s="5598" t="s">
        <v>1804</v>
      </c>
      <c r="S4" s="5599"/>
      <c r="T4" s="5599"/>
      <c r="U4" s="5599"/>
      <c r="V4" s="5599"/>
      <c r="W4" s="5599"/>
      <c r="X4" s="5599"/>
      <c r="Y4" s="5599"/>
      <c r="Z4" s="5599"/>
      <c r="AA4" s="5599"/>
      <c r="AB4" s="5599"/>
      <c r="AC4" s="5599"/>
      <c r="AD4" s="5599"/>
      <c r="AE4" s="5530"/>
      <c r="AF4" s="5530"/>
      <c r="AG4" s="5530"/>
      <c r="AH4" s="5530"/>
      <c r="AI4" s="5586"/>
      <c r="AJ4" s="5586"/>
      <c r="AK4" s="5586"/>
      <c r="AL4" s="5586"/>
      <c r="AM4" s="5586"/>
      <c r="AN4" s="5586"/>
      <c r="AO4" s="5586"/>
      <c r="AP4" s="5586"/>
      <c r="AQ4" s="5586"/>
      <c r="AR4" s="5586"/>
      <c r="AS4" s="5586"/>
      <c r="AT4" s="5586"/>
      <c r="AU4" s="5586"/>
      <c r="AV4" s="5586"/>
      <c r="AW4" s="5586"/>
      <c r="AX4" s="5586"/>
      <c r="AY4" s="5586"/>
      <c r="AZ4" s="5586"/>
      <c r="BA4" s="5586"/>
      <c r="BB4" s="5586"/>
      <c r="BC4" s="5586"/>
      <c r="BD4" s="5586"/>
      <c r="BE4" s="5587"/>
    </row>
    <row r="5" spans="1:57" ht="34.5" customHeight="1" x14ac:dyDescent="0.25">
      <c r="A5" s="5593"/>
      <c r="B5" s="5593"/>
      <c r="C5" s="5593"/>
      <c r="D5" s="5593"/>
      <c r="E5" s="5593"/>
      <c r="F5" s="5593" t="s">
        <v>815</v>
      </c>
      <c r="G5" s="5593"/>
      <c r="H5" s="5593"/>
      <c r="I5" s="5593" t="s">
        <v>892</v>
      </c>
      <c r="J5" s="5593"/>
      <c r="K5" s="5593"/>
      <c r="L5" s="5593"/>
      <c r="M5" s="5593"/>
      <c r="N5" s="5593" t="s">
        <v>893</v>
      </c>
      <c r="O5" s="5593"/>
      <c r="P5" s="5593"/>
      <c r="Q5" s="5521"/>
      <c r="R5" s="2539" t="s">
        <v>1799</v>
      </c>
      <c r="S5" s="2539" t="s">
        <v>1805</v>
      </c>
      <c r="T5" s="2539" t="s">
        <v>1806</v>
      </c>
      <c r="U5" s="2539" t="s">
        <v>1807</v>
      </c>
      <c r="V5" s="2539" t="s">
        <v>1808</v>
      </c>
      <c r="W5" s="2539" t="s">
        <v>1809</v>
      </c>
      <c r="X5" s="2539" t="s">
        <v>1799</v>
      </c>
      <c r="Y5" s="2539" t="s">
        <v>2047</v>
      </c>
      <c r="Z5" s="2539" t="s">
        <v>1805</v>
      </c>
      <c r="AA5" s="2539" t="s">
        <v>1806</v>
      </c>
      <c r="AB5" s="2539" t="s">
        <v>1807</v>
      </c>
      <c r="AC5" s="2539" t="s">
        <v>1808</v>
      </c>
      <c r="AD5" s="2539" t="s">
        <v>1809</v>
      </c>
      <c r="AE5" s="5598" t="s">
        <v>1805</v>
      </c>
      <c r="AF5" s="5530"/>
      <c r="AG5" s="5530"/>
      <c r="AH5" s="5531"/>
      <c r="AI5" s="5593" t="s">
        <v>3614</v>
      </c>
      <c r="AJ5" s="5593" t="s">
        <v>3615</v>
      </c>
      <c r="AK5" s="5593" t="s">
        <v>3623</v>
      </c>
      <c r="AL5" s="5598" t="s">
        <v>1806</v>
      </c>
      <c r="AM5" s="5530"/>
      <c r="AN5" s="5530"/>
      <c r="AO5" s="5531"/>
      <c r="AP5" s="5593" t="s">
        <v>3867</v>
      </c>
      <c r="AQ5" s="5593" t="s">
        <v>3868</v>
      </c>
      <c r="AR5" s="5593" t="s">
        <v>3869</v>
      </c>
      <c r="AS5" s="5598" t="s">
        <v>1807</v>
      </c>
      <c r="AT5" s="5530"/>
      <c r="AU5" s="5530"/>
      <c r="AV5" s="5531"/>
      <c r="AW5" s="5593" t="s">
        <v>3929</v>
      </c>
      <c r="AX5" s="5593" t="s">
        <v>3930</v>
      </c>
      <c r="AY5" s="5593" t="s">
        <v>3931</v>
      </c>
      <c r="AZ5" s="5598" t="s">
        <v>1808</v>
      </c>
      <c r="BA5" s="5530"/>
      <c r="BB5" s="5530"/>
      <c r="BC5" s="5531"/>
      <c r="BD5" s="5593" t="s">
        <v>4255</v>
      </c>
      <c r="BE5" s="5593" t="s">
        <v>4253</v>
      </c>
    </row>
    <row r="6" spans="1:57" ht="67.5" customHeight="1" x14ac:dyDescent="0.25">
      <c r="A6" s="5593"/>
      <c r="B6" s="5593"/>
      <c r="C6" s="5593"/>
      <c r="D6" s="5593"/>
      <c r="E6" s="5593"/>
      <c r="F6" s="2539" t="s">
        <v>1585</v>
      </c>
      <c r="G6" s="2539" t="s">
        <v>1801</v>
      </c>
      <c r="H6" s="2539" t="s">
        <v>1675</v>
      </c>
      <c r="I6" s="2539" t="s">
        <v>1585</v>
      </c>
      <c r="J6" s="2539" t="s">
        <v>1510</v>
      </c>
      <c r="K6" s="2539" t="str">
        <f>'вода 2019-2023 коррект'!K6</f>
        <v>корректировка</v>
      </c>
      <c r="L6" s="2539" t="s">
        <v>1801</v>
      </c>
      <c r="M6" s="2539" t="s">
        <v>1675</v>
      </c>
      <c r="N6" s="2539" t="s">
        <v>1585</v>
      </c>
      <c r="O6" s="2539" t="s">
        <v>1510</v>
      </c>
      <c r="P6" s="2539" t="str">
        <f>'вода 2019-2023 коррект'!P6</f>
        <v>корректировка</v>
      </c>
      <c r="Q6" s="2539" t="s">
        <v>1801</v>
      </c>
      <c r="R6" s="5593" t="s">
        <v>118</v>
      </c>
      <c r="S6" s="5593"/>
      <c r="T6" s="5593"/>
      <c r="U6" s="5593"/>
      <c r="V6" s="5593"/>
      <c r="W6" s="5593"/>
      <c r="X6" s="5593" t="s">
        <v>1521</v>
      </c>
      <c r="Y6" s="5593"/>
      <c r="Z6" s="5593"/>
      <c r="AA6" s="5593"/>
      <c r="AB6" s="5593"/>
      <c r="AC6" s="5593"/>
      <c r="AD6" s="5593"/>
      <c r="AE6" s="2539" t="s">
        <v>3538</v>
      </c>
      <c r="AF6" s="2708" t="s">
        <v>3553</v>
      </c>
      <c r="AG6" s="2708" t="s">
        <v>3670</v>
      </c>
      <c r="AH6" s="2708" t="s">
        <v>3553</v>
      </c>
      <c r="AI6" s="5521"/>
      <c r="AJ6" s="5521"/>
      <c r="AK6" s="5521"/>
      <c r="AL6" s="3279" t="s">
        <v>3538</v>
      </c>
      <c r="AM6" s="3279" t="s">
        <v>3863</v>
      </c>
      <c r="AN6" s="3279" t="s">
        <v>3670</v>
      </c>
      <c r="AO6" s="3279" t="s">
        <v>3863</v>
      </c>
      <c r="AP6" s="5521"/>
      <c r="AQ6" s="5521"/>
      <c r="AR6" s="5521"/>
      <c r="AS6" s="3658" t="s">
        <v>3538</v>
      </c>
      <c r="AT6" s="3658" t="s">
        <v>3908</v>
      </c>
      <c r="AU6" s="3658" t="s">
        <v>3670</v>
      </c>
      <c r="AV6" s="3658" t="s">
        <v>3908</v>
      </c>
      <c r="AW6" s="5521"/>
      <c r="AX6" s="5521"/>
      <c r="AY6" s="5521"/>
      <c r="AZ6" s="4028" t="s">
        <v>3538</v>
      </c>
      <c r="BA6" s="4028" t="s">
        <v>4084</v>
      </c>
      <c r="BB6" s="4028" t="s">
        <v>3670</v>
      </c>
      <c r="BC6" s="4028" t="s">
        <v>4084</v>
      </c>
      <c r="BD6" s="5521"/>
      <c r="BE6" s="5521"/>
    </row>
    <row r="7" spans="1:57" s="2739" customFormat="1" ht="27" customHeight="1" x14ac:dyDescent="0.25">
      <c r="A7" s="3442"/>
      <c r="B7" s="3443" t="s">
        <v>894</v>
      </c>
      <c r="C7" s="5589" t="s">
        <v>895</v>
      </c>
      <c r="D7" s="5590" t="s">
        <v>895</v>
      </c>
      <c r="E7" s="5590" t="s">
        <v>895</v>
      </c>
      <c r="F7" s="5590" t="s">
        <v>895</v>
      </c>
      <c r="G7" s="5590" t="s">
        <v>895</v>
      </c>
      <c r="H7" s="5590" t="s">
        <v>895</v>
      </c>
      <c r="I7" s="3444">
        <v>0.01</v>
      </c>
      <c r="J7" s="3444"/>
      <c r="K7" s="3444">
        <v>0.01</v>
      </c>
      <c r="L7" s="5590" t="s">
        <v>895</v>
      </c>
      <c r="M7" s="3444">
        <v>0.01</v>
      </c>
      <c r="N7" s="3444">
        <v>0.01</v>
      </c>
      <c r="O7" s="5618" t="s">
        <v>895</v>
      </c>
      <c r="P7" s="3444">
        <v>0.01</v>
      </c>
      <c r="Q7" s="5618" t="s">
        <v>895</v>
      </c>
      <c r="R7" s="5618" t="s">
        <v>895</v>
      </c>
      <c r="S7" s="3444">
        <v>0.01</v>
      </c>
      <c r="T7" s="3444">
        <v>0.01</v>
      </c>
      <c r="U7" s="3444">
        <v>0.01</v>
      </c>
      <c r="V7" s="3444">
        <v>0.01</v>
      </c>
      <c r="W7" s="3444">
        <v>0.01</v>
      </c>
      <c r="X7" s="5618" t="s">
        <v>895</v>
      </c>
      <c r="Y7" s="5618" t="s">
        <v>895</v>
      </c>
      <c r="Z7" s="3444">
        <v>0.01</v>
      </c>
      <c r="AA7" s="3444">
        <v>0.01</v>
      </c>
      <c r="AB7" s="3444">
        <v>0.01</v>
      </c>
      <c r="AC7" s="3444">
        <v>0.01</v>
      </c>
      <c r="AD7" s="3444">
        <v>0.01</v>
      </c>
      <c r="AE7" s="5618" t="s">
        <v>895</v>
      </c>
      <c r="AF7" s="5618" t="s">
        <v>895</v>
      </c>
      <c r="AG7" s="3444">
        <v>0.01</v>
      </c>
      <c r="AH7" s="5618" t="s">
        <v>895</v>
      </c>
      <c r="AI7" s="5618" t="s">
        <v>895</v>
      </c>
      <c r="AJ7" s="5618" t="s">
        <v>895</v>
      </c>
      <c r="AK7" s="5618" t="s">
        <v>895</v>
      </c>
      <c r="AL7" s="3771">
        <v>0.01</v>
      </c>
      <c r="AM7" s="5617" t="s">
        <v>895</v>
      </c>
      <c r="AN7" s="3771">
        <v>0.01</v>
      </c>
      <c r="AO7" s="5617" t="s">
        <v>895</v>
      </c>
      <c r="AP7" s="5617" t="s">
        <v>895</v>
      </c>
      <c r="AQ7" s="5617" t="s">
        <v>895</v>
      </c>
      <c r="AR7" s="5617" t="s">
        <v>895</v>
      </c>
      <c r="AS7" s="4032">
        <v>0.01</v>
      </c>
      <c r="AT7" s="5617" t="s">
        <v>895</v>
      </c>
      <c r="AU7" s="4032">
        <v>0.01</v>
      </c>
      <c r="AV7" s="5617" t="s">
        <v>895</v>
      </c>
      <c r="AW7" s="5616" t="s">
        <v>895</v>
      </c>
      <c r="AX7" s="5616" t="s">
        <v>895</v>
      </c>
      <c r="AY7" s="5616" t="s">
        <v>895</v>
      </c>
      <c r="AZ7" s="4031">
        <v>0.01</v>
      </c>
      <c r="BA7" s="5616" t="s">
        <v>895</v>
      </c>
      <c r="BB7" s="4154"/>
      <c r="BC7" s="5616" t="s">
        <v>895</v>
      </c>
      <c r="BD7" s="5614" t="s">
        <v>895</v>
      </c>
      <c r="BE7" s="5614" t="s">
        <v>895</v>
      </c>
    </row>
    <row r="8" spans="1:57" s="2739" customFormat="1" ht="20.100000000000001" customHeight="1" x14ac:dyDescent="0.25">
      <c r="A8" s="3442"/>
      <c r="B8" s="3443" t="s">
        <v>896</v>
      </c>
      <c r="C8" s="5589"/>
      <c r="D8" s="5590"/>
      <c r="E8" s="5590"/>
      <c r="F8" s="5590"/>
      <c r="G8" s="5590"/>
      <c r="H8" s="5590"/>
      <c r="I8" s="3447">
        <v>7.3999999999999996E-2</v>
      </c>
      <c r="J8" s="3447"/>
      <c r="K8" s="3447">
        <v>7.0999999999999994E-2</v>
      </c>
      <c r="L8" s="5590"/>
      <c r="M8" s="3447">
        <v>3.6999999999999998E-2</v>
      </c>
      <c r="N8" s="3447">
        <v>5.8000000000000003E-2</v>
      </c>
      <c r="O8" s="5618"/>
      <c r="P8" s="3447">
        <v>3.6999999999999998E-2</v>
      </c>
      <c r="Q8" s="5618"/>
      <c r="R8" s="5618"/>
      <c r="S8" s="3447">
        <v>3.6999999999999998E-2</v>
      </c>
      <c r="T8" s="3447">
        <v>3.6999999999999998E-2</v>
      </c>
      <c r="U8" s="3447">
        <v>3.6999999999999998E-2</v>
      </c>
      <c r="V8" s="3447">
        <v>3.6999999999999998E-2</v>
      </c>
      <c r="W8" s="3447">
        <v>3.6999999999999998E-2</v>
      </c>
      <c r="X8" s="5618"/>
      <c r="Y8" s="5618"/>
      <c r="Z8" s="3447">
        <v>4.5999999999999999E-2</v>
      </c>
      <c r="AA8" s="3447">
        <v>3.4000000000000002E-2</v>
      </c>
      <c r="AB8" s="3447">
        <v>0.04</v>
      </c>
      <c r="AC8" s="3447">
        <v>0.04</v>
      </c>
      <c r="AD8" s="3447">
        <v>0.04</v>
      </c>
      <c r="AE8" s="5618"/>
      <c r="AF8" s="5618"/>
      <c r="AG8" s="3447">
        <v>0.03</v>
      </c>
      <c r="AH8" s="5618"/>
      <c r="AI8" s="5618"/>
      <c r="AJ8" s="5618"/>
      <c r="AK8" s="5618"/>
      <c r="AL8" s="3537">
        <v>4.5999999999999999E-2</v>
      </c>
      <c r="AM8" s="5617"/>
      <c r="AN8" s="3537">
        <v>3.5999999999999997E-2</v>
      </c>
      <c r="AO8" s="5617"/>
      <c r="AP8" s="5617"/>
      <c r="AQ8" s="5617"/>
      <c r="AR8" s="5617"/>
      <c r="AS8" s="3537">
        <v>0.05</v>
      </c>
      <c r="AT8" s="5617"/>
      <c r="AU8" s="3537">
        <v>4.2999999999999997E-2</v>
      </c>
      <c r="AV8" s="5617"/>
      <c r="AW8" s="5616"/>
      <c r="AX8" s="5616"/>
      <c r="AY8" s="5616"/>
      <c r="AZ8" s="3773">
        <v>0.05</v>
      </c>
      <c r="BA8" s="5616"/>
      <c r="BB8" s="3773"/>
      <c r="BC8" s="5616"/>
      <c r="BD8" s="5614"/>
      <c r="BE8" s="5614"/>
    </row>
    <row r="9" spans="1:57" s="2739" customFormat="1" ht="20.100000000000001" customHeight="1" x14ac:dyDescent="0.25">
      <c r="A9" s="3442"/>
      <c r="B9" s="3443" t="s">
        <v>897</v>
      </c>
      <c r="C9" s="5589"/>
      <c r="D9" s="5590"/>
      <c r="E9" s="5590"/>
      <c r="F9" s="5590"/>
      <c r="G9" s="5590"/>
      <c r="H9" s="5590"/>
      <c r="I9" s="3448">
        <v>0</v>
      </c>
      <c r="J9" s="3448"/>
      <c r="K9" s="3448">
        <v>0</v>
      </c>
      <c r="L9" s="5590"/>
      <c r="M9" s="3448">
        <v>0</v>
      </c>
      <c r="N9" s="3448">
        <v>0</v>
      </c>
      <c r="O9" s="5618"/>
      <c r="P9" s="3448">
        <v>0</v>
      </c>
      <c r="Q9" s="5618"/>
      <c r="R9" s="5618"/>
      <c r="S9" s="3448">
        <v>0</v>
      </c>
      <c r="T9" s="3448">
        <v>0</v>
      </c>
      <c r="U9" s="3448">
        <v>0</v>
      </c>
      <c r="V9" s="3448">
        <v>0</v>
      </c>
      <c r="W9" s="3448">
        <v>0</v>
      </c>
      <c r="X9" s="5618"/>
      <c r="Y9" s="5618"/>
      <c r="Z9" s="3448">
        <v>0</v>
      </c>
      <c r="AA9" s="3448">
        <v>0</v>
      </c>
      <c r="AB9" s="3448">
        <v>0</v>
      </c>
      <c r="AC9" s="3448">
        <v>0</v>
      </c>
      <c r="AD9" s="3448">
        <v>0</v>
      </c>
      <c r="AE9" s="5618"/>
      <c r="AF9" s="5618"/>
      <c r="AG9" s="3448">
        <v>0</v>
      </c>
      <c r="AH9" s="5618"/>
      <c r="AI9" s="5618"/>
      <c r="AJ9" s="5618"/>
      <c r="AK9" s="5618"/>
      <c r="AL9" s="3538">
        <v>0</v>
      </c>
      <c r="AM9" s="5617"/>
      <c r="AN9" s="3538">
        <v>0</v>
      </c>
      <c r="AO9" s="5617"/>
      <c r="AP9" s="5617"/>
      <c r="AQ9" s="5617"/>
      <c r="AR9" s="5617"/>
      <c r="AS9" s="3538">
        <v>0</v>
      </c>
      <c r="AT9" s="5617"/>
      <c r="AU9" s="3538">
        <v>0</v>
      </c>
      <c r="AV9" s="5617"/>
      <c r="AW9" s="5616"/>
      <c r="AX9" s="5616"/>
      <c r="AY9" s="5616"/>
      <c r="AZ9" s="3774">
        <v>0</v>
      </c>
      <c r="BA9" s="5616"/>
      <c r="BB9" s="3774"/>
      <c r="BC9" s="5616"/>
      <c r="BD9" s="5614"/>
      <c r="BE9" s="5614"/>
    </row>
    <row r="10" spans="1:57" s="2731" customFormat="1" x14ac:dyDescent="0.25">
      <c r="A10" s="3449">
        <v>1</v>
      </c>
      <c r="B10" s="3450" t="s">
        <v>898</v>
      </c>
      <c r="C10" s="3449" t="s">
        <v>899</v>
      </c>
      <c r="D10" s="3451">
        <v>868.73</v>
      </c>
      <c r="E10" s="3451">
        <f>E11+E22+E24+E28</f>
        <v>307.76</v>
      </c>
      <c r="F10" s="3451">
        <f>F11+F22+F24+F28</f>
        <v>343.98110328661932</v>
      </c>
      <c r="G10" s="3451">
        <f t="shared" ref="G10:H10" si="0">G11+G22+G24+G28</f>
        <v>41.94</v>
      </c>
      <c r="H10" s="3451">
        <f t="shared" si="0"/>
        <v>274.93607123873733</v>
      </c>
      <c r="I10" s="3451">
        <f>I11+I22+I24+I28</f>
        <v>365.46778424388827</v>
      </c>
      <c r="J10" s="3451">
        <f>J11+J22+J24+J28</f>
        <v>383.20700000000005</v>
      </c>
      <c r="K10" s="3451">
        <f>K11+K22+K24+K28</f>
        <v>345.86970594954454</v>
      </c>
      <c r="L10" s="3451">
        <f t="shared" ref="L10:M10" si="1">L11+L22+L24+L28</f>
        <v>29.1</v>
      </c>
      <c r="M10" s="3451">
        <f t="shared" si="1"/>
        <v>283.78029250458792</v>
      </c>
      <c r="N10" s="3451">
        <f>N11+N22+N24+N28</f>
        <v>383.91179642972696</v>
      </c>
      <c r="O10" s="3451">
        <f t="shared" ref="O10" si="2">O11+O22+O24+O28</f>
        <v>384.57</v>
      </c>
      <c r="P10" s="3451">
        <f>P11+P22+P24+P28</f>
        <v>366.79760876240886</v>
      </c>
      <c r="Q10" s="3451">
        <f t="shared" ref="Q10" si="3">Q11+Q22+Q24+Q28</f>
        <v>24.232999999999997</v>
      </c>
      <c r="R10" s="3451">
        <f t="shared" ref="R10:AD10" si="4">R11+R22+R24+R28</f>
        <v>103.50999999999999</v>
      </c>
      <c r="S10" s="3451">
        <f t="shared" si="4"/>
        <v>106.53999999999999</v>
      </c>
      <c r="T10" s="3451">
        <f t="shared" si="4"/>
        <v>109.44</v>
      </c>
      <c r="U10" s="3451">
        <f t="shared" si="4"/>
        <v>112.58</v>
      </c>
      <c r="V10" s="3451">
        <f t="shared" si="4"/>
        <v>115.67999999999999</v>
      </c>
      <c r="W10" s="3451">
        <f t="shared" si="4"/>
        <v>0</v>
      </c>
      <c r="X10" s="3451">
        <f t="shared" si="4"/>
        <v>30.811242463479257</v>
      </c>
      <c r="Y10" s="3451">
        <f>X10/P10*100</f>
        <v>8.4000663383378456</v>
      </c>
      <c r="Z10" s="3451">
        <f t="shared" si="4"/>
        <v>31.785934257425236</v>
      </c>
      <c r="AA10" s="3451">
        <f t="shared" si="4"/>
        <v>32.583910354880125</v>
      </c>
      <c r="AB10" s="3451">
        <f t="shared" si="4"/>
        <v>33.502140830376895</v>
      </c>
      <c r="AC10" s="3451">
        <f t="shared" si="4"/>
        <v>34.552245945013873</v>
      </c>
      <c r="AD10" s="3451">
        <f t="shared" si="4"/>
        <v>35.58084459643441</v>
      </c>
      <c r="AE10" s="3451">
        <f t="shared" ref="AE10:AI10" si="5">AE11+AE22+AE24+AE28</f>
        <v>34.59801046541218</v>
      </c>
      <c r="AF10" s="3451">
        <f>AE10/X10*100</f>
        <v>112.29021519148863</v>
      </c>
      <c r="AG10" s="3451">
        <f t="shared" ref="AG10" si="6">AG11+AG22+AG24+AG28</f>
        <v>30.517876104420509</v>
      </c>
      <c r="AH10" s="3451">
        <f>AG10/Z10*100</f>
        <v>96.010631171841339</v>
      </c>
      <c r="AI10" s="3451">
        <f t="shared" si="5"/>
        <v>12.51976</v>
      </c>
      <c r="AJ10" s="3451">
        <f t="shared" ref="AJ10:AK10" si="7">AJ11+AJ22+AJ24+AJ28</f>
        <v>18.962799999999998</v>
      </c>
      <c r="AK10" s="3451">
        <f t="shared" si="7"/>
        <v>24.069100000000006</v>
      </c>
      <c r="AL10" s="3451">
        <f t="shared" ref="AL10:AN10" si="8">AL11+AL22+AL24+AL28</f>
        <v>59.179996884835646</v>
      </c>
      <c r="AM10" s="3451">
        <f>AL10/AG10*100</f>
        <v>193.91912032916153</v>
      </c>
      <c r="AN10" s="3451">
        <f t="shared" si="8"/>
        <v>28.926615626442405</v>
      </c>
      <c r="AO10" s="3451">
        <f>AN10/AG10*100</f>
        <v>94.785808578115265</v>
      </c>
      <c r="AP10" s="3451">
        <f t="shared" ref="AP10:AS10" si="9">AP11+AP22+AP24+AP28</f>
        <v>10.47058</v>
      </c>
      <c r="AQ10" s="3451">
        <f t="shared" si="9"/>
        <v>17.489899999999999</v>
      </c>
      <c r="AR10" s="3451">
        <f t="shared" si="9"/>
        <v>20.560550000000003</v>
      </c>
      <c r="AS10" s="3451">
        <f t="shared" si="9"/>
        <v>34.722695029798096</v>
      </c>
      <c r="AT10" s="3451">
        <f>AS10/AN10*100</f>
        <v>120.0371847097708</v>
      </c>
      <c r="AU10" s="3451">
        <f t="shared" ref="AU10" si="10">AU11+AU22+AU24+AU28</f>
        <v>31.170261258094762</v>
      </c>
      <c r="AV10" s="3451">
        <f>AU10/AN10*100</f>
        <v>107.75633645023235</v>
      </c>
      <c r="AW10" s="3811">
        <f t="shared" ref="AW10:AZ10" si="11">AW11+AW22+AW24+AW28</f>
        <v>9.5183499999999981</v>
      </c>
      <c r="AX10" s="3512">
        <f t="shared" si="11"/>
        <v>2882.7314300000003</v>
      </c>
      <c r="AY10" s="3512">
        <f t="shared" si="11"/>
        <v>520.22682999999995</v>
      </c>
      <c r="AZ10" s="3512">
        <f t="shared" si="11"/>
        <v>38.609191905739003</v>
      </c>
      <c r="BA10" s="3512">
        <f>AZ10/AU10*100</f>
        <v>123.86547416477744</v>
      </c>
      <c r="BB10" s="3512">
        <f t="shared" ref="BB10" si="12">BB11+BB22+BB24+BB28</f>
        <v>35.123062783457975</v>
      </c>
      <c r="BC10" s="3532">
        <f>BB10/AU10*100</f>
        <v>112.68132304902221</v>
      </c>
      <c r="BD10" s="4838">
        <f t="shared" ref="BD10:BE10" si="13">BD11+BD22+BD24+BD28</f>
        <v>13.270830519999999</v>
      </c>
      <c r="BE10" s="4838">
        <f t="shared" si="13"/>
        <v>17.941818039999994</v>
      </c>
    </row>
    <row r="11" spans="1:57" s="1235" customFormat="1" x14ac:dyDescent="0.25">
      <c r="A11" s="3453" t="s">
        <v>900</v>
      </c>
      <c r="B11" s="3454" t="s">
        <v>901</v>
      </c>
      <c r="C11" s="3453" t="s">
        <v>899</v>
      </c>
      <c r="D11" s="3451">
        <f>D12+D13+D14</f>
        <v>692.49000000000012</v>
      </c>
      <c r="E11" s="3451">
        <f>E12+E13+E14</f>
        <v>275.3</v>
      </c>
      <c r="F11" s="3451">
        <f>F12+F13+F14</f>
        <v>308.72975697928689</v>
      </c>
      <c r="G11" s="3451">
        <f t="shared" ref="G11:H11" si="14">G12+G13+G14</f>
        <v>37.129999999999995</v>
      </c>
      <c r="H11" s="3451">
        <f t="shared" si="14"/>
        <v>273.41558981056386</v>
      </c>
      <c r="I11" s="3451">
        <f>I12+I13+I14</f>
        <v>330.21643793655585</v>
      </c>
      <c r="J11" s="3451">
        <f>J12+J13+J14</f>
        <v>332.95700000000005</v>
      </c>
      <c r="K11" s="3451">
        <f>K12+K13+K14</f>
        <v>326.43049785764902</v>
      </c>
      <c r="L11" s="3451">
        <f t="shared" ref="L11:M11" si="15">L12+L13+L14</f>
        <v>25.650000000000002</v>
      </c>
      <c r="M11" s="3451">
        <f t="shared" si="15"/>
        <v>280.33029250458793</v>
      </c>
      <c r="N11" s="3451">
        <f>N12+N13+N14</f>
        <v>348.66045012239454</v>
      </c>
      <c r="O11" s="3451">
        <f t="shared" ref="O11:Q11" si="16">O12+O13+O14</f>
        <v>347.08</v>
      </c>
      <c r="P11" s="3451">
        <f t="shared" si="16"/>
        <v>345.70197677274734</v>
      </c>
      <c r="Q11" s="3451">
        <f t="shared" si="16"/>
        <v>21.838999999999999</v>
      </c>
      <c r="R11" s="3451">
        <f t="shared" ref="R11:AD11" si="17">R12+R13+R14</f>
        <v>98.52</v>
      </c>
      <c r="S11" s="3451">
        <f t="shared" si="17"/>
        <v>101.55</v>
      </c>
      <c r="T11" s="3451">
        <f t="shared" si="17"/>
        <v>104.45</v>
      </c>
      <c r="U11" s="3451">
        <f t="shared" si="17"/>
        <v>107.59</v>
      </c>
      <c r="V11" s="3451">
        <f t="shared" si="17"/>
        <v>110.69</v>
      </c>
      <c r="W11" s="3451">
        <f t="shared" si="17"/>
        <v>0</v>
      </c>
      <c r="X11" s="3451">
        <f t="shared" si="17"/>
        <v>29.047720933113659</v>
      </c>
      <c r="Y11" s="3451">
        <f>X11/P11*100</f>
        <v>8.4025324946893889</v>
      </c>
      <c r="Z11" s="3451">
        <f t="shared" si="17"/>
        <v>30.022412727059638</v>
      </c>
      <c r="AA11" s="3451">
        <f t="shared" si="17"/>
        <v>30.820388824514527</v>
      </c>
      <c r="AB11" s="3451">
        <f t="shared" si="17"/>
        <v>31.738619300011297</v>
      </c>
      <c r="AC11" s="3451">
        <f t="shared" si="17"/>
        <v>32.788724414648271</v>
      </c>
      <c r="AD11" s="3451">
        <f t="shared" si="17"/>
        <v>33.817323066068809</v>
      </c>
      <c r="AE11" s="3451">
        <f t="shared" ref="AE11:AI11" si="18">AE12+AE13+AE14</f>
        <v>32.834488935046579</v>
      </c>
      <c r="AF11" s="3451">
        <f t="shared" ref="AF11:AF37" si="19">AE11/X11*100</f>
        <v>113.0363687073849</v>
      </c>
      <c r="AG11" s="3451">
        <f t="shared" ref="AG11" si="20">AG12+AG13+AG14</f>
        <v>28.759109437657912</v>
      </c>
      <c r="AH11" s="3451">
        <f t="shared" ref="AH11:AH14" si="21">AG11/Z11*100</f>
        <v>95.79213269470813</v>
      </c>
      <c r="AI11" s="3451">
        <f t="shared" si="18"/>
        <v>12.51976</v>
      </c>
      <c r="AJ11" s="3451">
        <f t="shared" ref="AJ11:AK11" si="22">AJ12+AJ13+AJ14</f>
        <v>18.962799999999998</v>
      </c>
      <c r="AK11" s="3451">
        <f t="shared" si="22"/>
        <v>24.059100000000004</v>
      </c>
      <c r="AL11" s="3451">
        <f t="shared" ref="AL11:AN11" si="23">AL12+AL13+AL14</f>
        <v>59.179996884835646</v>
      </c>
      <c r="AM11" s="3451">
        <f>AL11/AG11*100</f>
        <v>205.77826658061898</v>
      </c>
      <c r="AN11" s="3451">
        <f t="shared" si="23"/>
        <v>28.926615626442405</v>
      </c>
      <c r="AO11" s="3451">
        <f t="shared" ref="AO11:AO39" si="24">AN11/AG11*100</f>
        <v>100.58244567394412</v>
      </c>
      <c r="AP11" s="3451">
        <f t="shared" ref="AP11:AS11" si="25">AP12+AP13+AP14</f>
        <v>10.47058</v>
      </c>
      <c r="AQ11" s="3451">
        <f t="shared" si="25"/>
        <v>17.489899999999999</v>
      </c>
      <c r="AR11" s="3451">
        <f t="shared" si="25"/>
        <v>20.550550000000001</v>
      </c>
      <c r="AS11" s="3451">
        <f t="shared" si="25"/>
        <v>34.722695029798096</v>
      </c>
      <c r="AT11" s="3451">
        <f>AS11/AN11*100</f>
        <v>120.0371847097708</v>
      </c>
      <c r="AU11" s="3451">
        <f t="shared" ref="AU11" si="26">AU12+AU13+AU14</f>
        <v>31.170261258094762</v>
      </c>
      <c r="AV11" s="3451">
        <f t="shared" ref="AV11:AV14" si="27">AU11/AN11*100</f>
        <v>107.75633645023235</v>
      </c>
      <c r="AW11" s="3811">
        <f t="shared" ref="AW11:AZ11" si="28">AW12+AW13+AW14</f>
        <v>9.5183499999999981</v>
      </c>
      <c r="AX11" s="3512">
        <f t="shared" si="28"/>
        <v>15.109120000000001</v>
      </c>
      <c r="AY11" s="3512">
        <f t="shared" si="28"/>
        <v>19.821830000000006</v>
      </c>
      <c r="AZ11" s="3512">
        <f t="shared" si="28"/>
        <v>38.609191905739003</v>
      </c>
      <c r="BA11" s="3512">
        <f>AZ11/AU11*100</f>
        <v>123.86547416477744</v>
      </c>
      <c r="BB11" s="3512">
        <f t="shared" ref="BB11" si="29">BB12+BB13+BB14</f>
        <v>35.123062783457975</v>
      </c>
      <c r="BC11" s="3532">
        <f t="shared" ref="BC11:BC14" si="30">BB11/AU11*100</f>
        <v>112.68132304902221</v>
      </c>
      <c r="BD11" s="4838">
        <f t="shared" ref="BD11:BE11" si="31">BD12+BD13+BD14</f>
        <v>13.260830519999999</v>
      </c>
      <c r="BE11" s="4838">
        <f t="shared" si="31"/>
        <v>17.951818039999996</v>
      </c>
    </row>
    <row r="12" spans="1:57" s="1236" customFormat="1" ht="20.100000000000001" customHeight="1" x14ac:dyDescent="0.25">
      <c r="A12" s="3453" t="s">
        <v>902</v>
      </c>
      <c r="B12" s="3455" t="s">
        <v>903</v>
      </c>
      <c r="C12" s="3453" t="s">
        <v>899</v>
      </c>
      <c r="D12" s="3453">
        <v>586.07000000000005</v>
      </c>
      <c r="E12" s="3453">
        <v>237.59</v>
      </c>
      <c r="F12" s="3451">
        <f>вода!BF148+вода!BF149+вода!BF150+вода!BF151+вода!BF152+вода!BF154</f>
        <v>270.46955781056386</v>
      </c>
      <c r="G12" s="3451">
        <v>33.08</v>
      </c>
      <c r="H12" s="3451">
        <f>F12</f>
        <v>270.46955781056386</v>
      </c>
      <c r="I12" s="3451">
        <f>F12*(1-I7)*(1+I8)*(1+I9)</f>
        <v>287.57946203766011</v>
      </c>
      <c r="J12" s="3451">
        <v>295.67</v>
      </c>
      <c r="K12" s="3451">
        <f>F12*(1-K7)*(1+K8)*(1+K9)</f>
        <v>286.7761674509627</v>
      </c>
      <c r="L12" s="3451">
        <v>22.53</v>
      </c>
      <c r="M12" s="3451">
        <f>F12*0.99*1.037</f>
        <v>277.67216213505912</v>
      </c>
      <c r="N12" s="3451">
        <f>I12*(1-N7)*(1+N8)*(1+N9)</f>
        <v>301.21648012748597</v>
      </c>
      <c r="O12" s="3451">
        <v>305.13</v>
      </c>
      <c r="P12" s="3451">
        <f>N12</f>
        <v>301.21648012748597</v>
      </c>
      <c r="Q12" s="3451">
        <f>SUM(вода!BR184)</f>
        <v>18.998999999999999</v>
      </c>
      <c r="R12" s="3451">
        <v>83.81</v>
      </c>
      <c r="S12" s="3451">
        <v>86.38</v>
      </c>
      <c r="T12" s="3451">
        <v>89.01</v>
      </c>
      <c r="U12" s="3451">
        <v>91.73</v>
      </c>
      <c r="V12" s="3451">
        <v>94.55</v>
      </c>
      <c r="W12" s="3451"/>
      <c r="X12" s="3451">
        <f>вода!BX184</f>
        <v>25.498907169864808</v>
      </c>
      <c r="Y12" s="3451">
        <f>X12/P12*100</f>
        <v>8.4653094542080591</v>
      </c>
      <c r="Z12" s="3451">
        <f>X12*(1-Z7)*(1+Z8)*(1+Z9)</f>
        <v>26.405138330681805</v>
      </c>
      <c r="AA12" s="3451">
        <f t="shared" ref="AA12:AD12" si="32">Z12*(1-AA7)*(1+AA8)*(1+AA9)</f>
        <v>27.029883903585738</v>
      </c>
      <c r="AB12" s="3451">
        <f t="shared" si="32"/>
        <v>27.829968467131877</v>
      </c>
      <c r="AC12" s="3451">
        <f t="shared" si="32"/>
        <v>28.653735533758983</v>
      </c>
      <c r="AD12" s="3451">
        <f t="shared" si="32"/>
        <v>29.501886105558249</v>
      </c>
      <c r="AE12" s="3451">
        <f>вода!CA184</f>
        <v>29.208594901584028</v>
      </c>
      <c r="AF12" s="3451">
        <f t="shared" si="19"/>
        <v>114.54841851459192</v>
      </c>
      <c r="AG12" s="3451">
        <f>SUM(вода!CH184)</f>
        <v>25.996086932683362</v>
      </c>
      <c r="AH12" s="3451">
        <f t="shared" si="21"/>
        <v>98.450864400421864</v>
      </c>
      <c r="AI12" s="3451">
        <f>вода!CK184</f>
        <v>12.08831</v>
      </c>
      <c r="AJ12" s="3451">
        <f>вода!CN184</f>
        <v>18.326699999999999</v>
      </c>
      <c r="AK12" s="3451">
        <f>вода!CQ184</f>
        <v>23.192100000000003</v>
      </c>
      <c r="AL12" s="3451">
        <f>вода!CT184</f>
        <v>56.99711524232422</v>
      </c>
      <c r="AM12" s="3451">
        <f>AL12/AG12*100</f>
        <v>219.25267210375833</v>
      </c>
      <c r="AN12" s="3451">
        <f>SUM(вода!CW184)</f>
        <v>26.716949065647434</v>
      </c>
      <c r="AO12" s="3451">
        <f t="shared" si="24"/>
        <v>102.77296400350843</v>
      </c>
      <c r="AP12" s="3451">
        <f>вода!CZ184</f>
        <v>10.06808</v>
      </c>
      <c r="AQ12" s="3451">
        <f>вода!DC184</f>
        <v>16.929019999999998</v>
      </c>
      <c r="AR12" s="3451">
        <f>вода!DF184</f>
        <v>19.838090000000001</v>
      </c>
      <c r="AS12" s="3451">
        <f>вода!DI184</f>
        <v>31.570057442758348</v>
      </c>
      <c r="AT12" s="3451">
        <f>AS12/AN12*100</f>
        <v>118.16490485192048</v>
      </c>
      <c r="AU12" s="3451">
        <f>SUM(вода!DL184)</f>
        <v>28.284513821428675</v>
      </c>
      <c r="AV12" s="3451">
        <f t="shared" si="27"/>
        <v>105.86730450370476</v>
      </c>
      <c r="AW12" s="3811">
        <f>вода!DO184</f>
        <v>9.1773999999999987</v>
      </c>
      <c r="AX12" s="3811">
        <f>вода!DR184</f>
        <v>14.61504</v>
      </c>
      <c r="AY12" s="3512">
        <f>вода!DU184</f>
        <v>19.168060000000004</v>
      </c>
      <c r="AZ12" s="3512">
        <f>вода!DX184</f>
        <v>35.396553799655003</v>
      </c>
      <c r="BA12" s="3512">
        <f>AZ12/AU12*100</f>
        <v>125.14464283574908</v>
      </c>
      <c r="BB12" s="3512">
        <f>X12*0.99*1.034*0.99*1.067*0.99*1.139*0.99*1.06</f>
        <v>32.626981281805769</v>
      </c>
      <c r="BC12" s="3532">
        <f t="shared" si="30"/>
        <v>115.3528092715074</v>
      </c>
      <c r="BD12" s="4838">
        <f>вода!EJ184</f>
        <v>12.61046</v>
      </c>
      <c r="BE12" s="4838">
        <f>вода!EM184</f>
        <v>17.275229999999997</v>
      </c>
    </row>
    <row r="13" spans="1:57" s="1236" customFormat="1" ht="62.25" customHeight="1" x14ac:dyDescent="0.25">
      <c r="A13" s="3453" t="s">
        <v>904</v>
      </c>
      <c r="B13" s="3455" t="s">
        <v>905</v>
      </c>
      <c r="C13" s="3453" t="s">
        <v>899</v>
      </c>
      <c r="D13" s="3453">
        <v>52.32</v>
      </c>
      <c r="E13" s="3453">
        <v>18.38</v>
      </c>
      <c r="F13" s="3451">
        <f>вода!BF144</f>
        <v>20.640199168723029</v>
      </c>
      <c r="G13" s="3451">
        <v>1.3</v>
      </c>
      <c r="H13" s="3451">
        <f>'2018 к смета'!D11</f>
        <v>0.72763199999999995</v>
      </c>
      <c r="I13" s="3451">
        <f>F13*1.084</f>
        <v>22.373975898895765</v>
      </c>
      <c r="J13" s="3451">
        <v>20.05</v>
      </c>
      <c r="K13" s="3451">
        <f>'2017 к смета'!D4</f>
        <v>20.927522406686286</v>
      </c>
      <c r="L13" s="3451">
        <v>1.07</v>
      </c>
      <c r="M13" s="3451">
        <f>'ЭЭ вода'!J50</f>
        <v>1.034007169528822</v>
      </c>
      <c r="N13" s="3451">
        <f>I13*1.079</f>
        <v>24.141519994908528</v>
      </c>
      <c r="O13" s="3451">
        <v>22.43</v>
      </c>
      <c r="P13" s="3451">
        <f>'2018 к смета'!J10</f>
        <v>23.594366645261381</v>
      </c>
      <c r="Q13" s="3451">
        <f>SUM(вода!BR185)</f>
        <v>1.1299999999999999</v>
      </c>
      <c r="R13" s="3451">
        <v>6.75</v>
      </c>
      <c r="S13" s="3451">
        <v>7.23</v>
      </c>
      <c r="T13" s="3451">
        <v>7.73</v>
      </c>
      <c r="U13" s="3451">
        <v>8.27</v>
      </c>
      <c r="V13" s="3451">
        <v>8.85</v>
      </c>
      <c r="W13" s="3451"/>
      <c r="X13" s="3451">
        <f>вода!BX185</f>
        <v>1.2183794999999999</v>
      </c>
      <c r="Y13" s="3451">
        <f t="shared" ref="Y13:Y14" si="33">X13/P13*100</f>
        <v>5.1638576204150644</v>
      </c>
      <c r="Z13" s="3451">
        <f>'ЭЭ вода'!U50</f>
        <v>1.269551439</v>
      </c>
      <c r="AA13" s="3451">
        <f>'ЭЭ вода'!V50</f>
        <v>1.32033349656</v>
      </c>
      <c r="AB13" s="3451">
        <f>'ЭЭ вода'!W50</f>
        <v>1.3731468364224</v>
      </c>
      <c r="AC13" s="3451">
        <f>'ЭЭ вода'!X50</f>
        <v>1.4266995630428734</v>
      </c>
      <c r="AD13" s="3451">
        <f>'ЭЭ вода'!Y50</f>
        <v>1.4823408460015455</v>
      </c>
      <c r="AE13" s="3451">
        <f>вода!CA185</f>
        <v>1.269551439</v>
      </c>
      <c r="AF13" s="3451">
        <f t="shared" si="19"/>
        <v>104.2</v>
      </c>
      <c r="AG13" s="3451">
        <f>SUM(вода!CH185)</f>
        <v>0.89212483339199999</v>
      </c>
      <c r="AH13" s="3451">
        <f t="shared" si="21"/>
        <v>70.270869378456112</v>
      </c>
      <c r="AI13" s="3451">
        <f>вода!CK185</f>
        <v>0.43</v>
      </c>
      <c r="AJ13" s="3451">
        <f>вода!CN185</f>
        <v>0.63376999999999994</v>
      </c>
      <c r="AK13" s="3451">
        <f>вода!CQ185</f>
        <v>0.86399999999999999</v>
      </c>
      <c r="AL13" s="3451">
        <f>вода!CT185</f>
        <v>0.96866164251143072</v>
      </c>
      <c r="AM13" s="3451">
        <f>AL13/AG13*100</f>
        <v>108.57915913274442</v>
      </c>
      <c r="AN13" s="3451">
        <f>вода!CW185</f>
        <v>1.4756665607949733</v>
      </c>
      <c r="AO13" s="3451">
        <f t="shared" si="24"/>
        <v>165.41032213891583</v>
      </c>
      <c r="AP13" s="3451">
        <f>вода!CZ185</f>
        <v>0.40250000000000002</v>
      </c>
      <c r="AQ13" s="3451">
        <f>вода!DC185</f>
        <v>0.55088000000000004</v>
      </c>
      <c r="AR13" s="3451">
        <f>вода!DF185</f>
        <v>0.71245999999999998</v>
      </c>
      <c r="AS13" s="3451">
        <f>вода!DI185</f>
        <v>1.75626538703975</v>
      </c>
      <c r="AT13" s="3451">
        <f>AS13/AN13*100</f>
        <v>119.01505622609028</v>
      </c>
      <c r="AU13" s="3451">
        <f>вода!DL185</f>
        <v>1.4885257326660863</v>
      </c>
      <c r="AV13" s="3451">
        <f t="shared" si="27"/>
        <v>100.87141446535087</v>
      </c>
      <c r="AW13" s="3811">
        <f>вода!DO185</f>
        <v>0.34095000000000003</v>
      </c>
      <c r="AX13" s="3811">
        <f>вода!DR185</f>
        <v>0.49408000000000002</v>
      </c>
      <c r="AY13" s="3512">
        <f>вода!DU185</f>
        <v>0.65376999999999996</v>
      </c>
      <c r="AZ13" s="3512">
        <f>вода!DX185</f>
        <v>1.6056597060840001</v>
      </c>
      <c r="BA13" s="3512">
        <f>AZ13/AU13*100</f>
        <v>107.86912653556323</v>
      </c>
      <c r="BB13" s="3512">
        <f>SUM(вода!EG144)</f>
        <v>1.2691573416522</v>
      </c>
      <c r="BC13" s="3532">
        <f t="shared" si="30"/>
        <v>85.262707509867681</v>
      </c>
      <c r="BD13" s="4838">
        <f>вода!EJ185</f>
        <v>0.65037052000000006</v>
      </c>
      <c r="BE13" s="4838">
        <f>вода!EM185</f>
        <v>0.67658804000000006</v>
      </c>
    </row>
    <row r="14" spans="1:57" s="1236" customFormat="1" ht="27" customHeight="1" x14ac:dyDescent="0.25">
      <c r="A14" s="3453" t="s">
        <v>906</v>
      </c>
      <c r="B14" s="3455" t="s">
        <v>907</v>
      </c>
      <c r="C14" s="3453" t="s">
        <v>899</v>
      </c>
      <c r="D14" s="3451">
        <f t="shared" ref="D14:E14" si="34">D15+D16+D17+D18+D21</f>
        <v>54.1</v>
      </c>
      <c r="E14" s="3451">
        <f t="shared" si="34"/>
        <v>19.329999999999998</v>
      </c>
      <c r="F14" s="3451">
        <f>F15+F16+F17+F18+F21</f>
        <v>17.62</v>
      </c>
      <c r="G14" s="3451">
        <f t="shared" ref="G14:H14" si="35">G15+G16+G17+G18+G21</f>
        <v>2.75</v>
      </c>
      <c r="H14" s="3451">
        <f t="shared" si="35"/>
        <v>2.2184000000000004</v>
      </c>
      <c r="I14" s="3451">
        <f t="shared" ref="I14:AD14" si="36">I15+I16+I17+I18+I21</f>
        <v>20.262999999999998</v>
      </c>
      <c r="J14" s="3451">
        <f t="shared" si="36"/>
        <v>17.236999999999998</v>
      </c>
      <c r="K14" s="3451">
        <f t="shared" si="36"/>
        <v>18.726808000000002</v>
      </c>
      <c r="L14" s="3451">
        <f t="shared" si="36"/>
        <v>2.0499999999999998</v>
      </c>
      <c r="M14" s="3451">
        <f t="shared" si="36"/>
        <v>1.6241232000000001</v>
      </c>
      <c r="N14" s="3451">
        <f t="shared" si="36"/>
        <v>23.302449999999997</v>
      </c>
      <c r="O14" s="3451">
        <f t="shared" si="36"/>
        <v>19.52</v>
      </c>
      <c r="P14" s="3451">
        <f t="shared" si="36"/>
        <v>20.89113</v>
      </c>
      <c r="Q14" s="3451">
        <f t="shared" ref="Q14" si="37">Q15+Q16+Q17+Q18+Q21</f>
        <v>1.71</v>
      </c>
      <c r="R14" s="3451">
        <f t="shared" si="36"/>
        <v>7.96</v>
      </c>
      <c r="S14" s="3451">
        <f t="shared" si="36"/>
        <v>7.94</v>
      </c>
      <c r="T14" s="3451">
        <f t="shared" si="36"/>
        <v>7.71</v>
      </c>
      <c r="U14" s="3451">
        <f t="shared" si="36"/>
        <v>7.59</v>
      </c>
      <c r="V14" s="3451">
        <f t="shared" si="36"/>
        <v>7.29</v>
      </c>
      <c r="W14" s="3451">
        <f t="shared" si="36"/>
        <v>0</v>
      </c>
      <c r="X14" s="3451">
        <f t="shared" si="36"/>
        <v>2.3304342632488502</v>
      </c>
      <c r="Y14" s="3451">
        <f t="shared" si="33"/>
        <v>11.155137435116483</v>
      </c>
      <c r="Z14" s="3451">
        <f t="shared" si="36"/>
        <v>2.3477229573778313</v>
      </c>
      <c r="AA14" s="3451">
        <f t="shared" si="36"/>
        <v>2.4701714243687896</v>
      </c>
      <c r="AB14" s="3451">
        <f t="shared" si="36"/>
        <v>2.5355039964570194</v>
      </c>
      <c r="AC14" s="3451">
        <f t="shared" si="36"/>
        <v>2.7082893178464125</v>
      </c>
      <c r="AD14" s="3451">
        <f t="shared" si="36"/>
        <v>2.8330961145090159</v>
      </c>
      <c r="AE14" s="3451">
        <f t="shared" ref="AE14:AI14" si="38">AE15+AE16+AE17+AE18+AE21</f>
        <v>2.3563425944625518</v>
      </c>
      <c r="AF14" s="3451">
        <f t="shared" si="19"/>
        <v>101.11173834088684</v>
      </c>
      <c r="AG14" s="3451">
        <f t="shared" ref="AG14" si="39">AG15+AG16+AG17+AG18+AG21</f>
        <v>1.8708976715825516</v>
      </c>
      <c r="AH14" s="3451">
        <f t="shared" si="21"/>
        <v>79.689882730974134</v>
      </c>
      <c r="AI14" s="3451">
        <f t="shared" si="38"/>
        <v>1.4499999999999999E-3</v>
      </c>
      <c r="AJ14" s="3451">
        <f t="shared" ref="AJ14:AK14" si="40">AJ15+AJ16+AJ17+AJ18+AJ21</f>
        <v>2.33E-3</v>
      </c>
      <c r="AK14" s="3451">
        <f t="shared" si="40"/>
        <v>3.0000000000000001E-3</v>
      </c>
      <c r="AL14" s="3451">
        <f t="shared" ref="AL14:AN14" si="41">AL15+AL16+AL17+AL18+AL21</f>
        <v>1.2142200000000001</v>
      </c>
      <c r="AM14" s="3451">
        <f>AL14/AG14*100</f>
        <v>64.900396127646999</v>
      </c>
      <c r="AN14" s="3451">
        <f t="shared" si="41"/>
        <v>0.73399999999999999</v>
      </c>
      <c r="AO14" s="3451">
        <f t="shared" si="24"/>
        <v>39.23250379477598</v>
      </c>
      <c r="AP14" s="3451">
        <f t="shared" ref="AP14:AS14" si="42">AP15+AP16+AP17+AP18+AP21</f>
        <v>0</v>
      </c>
      <c r="AQ14" s="3451">
        <f t="shared" si="42"/>
        <v>0.01</v>
      </c>
      <c r="AR14" s="3451">
        <f t="shared" si="42"/>
        <v>0</v>
      </c>
      <c r="AS14" s="3451">
        <f t="shared" si="42"/>
        <v>1.3963722000000001</v>
      </c>
      <c r="AT14" s="3451">
        <f>AS14/AN14*100</f>
        <v>190.24144414168939</v>
      </c>
      <c r="AU14" s="3451">
        <f t="shared" ref="AU14" si="43">AU15+AU16+AU17+AU18+AU21</f>
        <v>1.3972217040000001</v>
      </c>
      <c r="AV14" s="3451">
        <f t="shared" si="27"/>
        <v>190.35718038147141</v>
      </c>
      <c r="AW14" s="3811">
        <f t="shared" ref="AW14:AZ14" si="44">AW15+AW16+AW17+AW18+AW21</f>
        <v>0</v>
      </c>
      <c r="AX14" s="3811">
        <f t="shared" si="44"/>
        <v>0</v>
      </c>
      <c r="AY14" s="3512">
        <f t="shared" si="44"/>
        <v>0</v>
      </c>
      <c r="AZ14" s="3512">
        <f t="shared" si="44"/>
        <v>1.6069784</v>
      </c>
      <c r="BA14" s="3512">
        <f>AZ14/AU14*100</f>
        <v>115.01241323402745</v>
      </c>
      <c r="BB14" s="3512">
        <f t="shared" ref="BB14" si="45">BB15+BB16+BB17+BB18+BB21</f>
        <v>1.22692416</v>
      </c>
      <c r="BC14" s="3532">
        <f t="shared" si="30"/>
        <v>87.811702071871039</v>
      </c>
      <c r="BD14" s="4838">
        <f t="shared" ref="BD14:BE14" si="46">BD15+BD16+BD17+BD18+BD21</f>
        <v>0</v>
      </c>
      <c r="BE14" s="4838">
        <f t="shared" si="46"/>
        <v>0</v>
      </c>
    </row>
    <row r="15" spans="1:57" s="1237" customFormat="1" ht="60.75" customHeight="1" x14ac:dyDescent="0.2">
      <c r="A15" s="3457" t="s">
        <v>908</v>
      </c>
      <c r="B15" s="3458" t="s">
        <v>909</v>
      </c>
      <c r="C15" s="3457" t="s">
        <v>899</v>
      </c>
      <c r="D15" s="3457">
        <v>0</v>
      </c>
      <c r="E15" s="3457">
        <v>0</v>
      </c>
      <c r="F15" s="3460">
        <v>0</v>
      </c>
      <c r="G15" s="3460">
        <v>0</v>
      </c>
      <c r="H15" s="3460">
        <f>'2018 к смета'!D18</f>
        <v>0</v>
      </c>
      <c r="I15" s="3460">
        <v>0</v>
      </c>
      <c r="J15" s="3460">
        <v>0</v>
      </c>
      <c r="K15" s="3460">
        <v>0</v>
      </c>
      <c r="L15" s="3460">
        <v>0</v>
      </c>
      <c r="M15" s="3460">
        <v>0</v>
      </c>
      <c r="N15" s="3460">
        <f>I15*1.079</f>
        <v>0</v>
      </c>
      <c r="O15" s="3460">
        <v>0</v>
      </c>
      <c r="P15" s="3460">
        <f>'2018 к смета'!J18</f>
        <v>0</v>
      </c>
      <c r="Q15" s="3460">
        <f>'2018 к смета'!J18</f>
        <v>0</v>
      </c>
      <c r="R15" s="3460">
        <v>0</v>
      </c>
      <c r="S15" s="3460">
        <v>0</v>
      </c>
      <c r="T15" s="3460">
        <f>'2018 к смета'!M18</f>
        <v>0</v>
      </c>
      <c r="U15" s="3460">
        <f>'2018 к смета'!N18</f>
        <v>0</v>
      </c>
      <c r="V15" s="3460">
        <f>'2018 к смета'!O18</f>
        <v>0</v>
      </c>
      <c r="W15" s="3460">
        <f>'2018 к смета'!P18</f>
        <v>0</v>
      </c>
      <c r="X15" s="3460">
        <f>'2018 к смета'!Q18</f>
        <v>0</v>
      </c>
      <c r="Y15" s="3460">
        <v>0</v>
      </c>
      <c r="Z15" s="3460">
        <f>'2018 к смета'!R18</f>
        <v>0</v>
      </c>
      <c r="AA15" s="3460">
        <f>'2018 к смета'!S18</f>
        <v>0</v>
      </c>
      <c r="AB15" s="3460">
        <f>'2018 к смета'!T18</f>
        <v>0</v>
      </c>
      <c r="AC15" s="3460">
        <f>'2018 к смета'!U18</f>
        <v>0</v>
      </c>
      <c r="AD15" s="3460">
        <f>'2018 к смета'!V18</f>
        <v>0</v>
      </c>
      <c r="AE15" s="3460">
        <f>'2018 к смета'!X18</f>
        <v>0</v>
      </c>
      <c r="AF15" s="3451"/>
      <c r="AG15" s="3460">
        <v>0</v>
      </c>
      <c r="AH15" s="3451"/>
      <c r="AI15" s="3460">
        <v>0</v>
      </c>
      <c r="AJ15" s="3460">
        <v>0</v>
      </c>
      <c r="AK15" s="3460">
        <v>0</v>
      </c>
      <c r="AL15" s="3460">
        <v>0</v>
      </c>
      <c r="AM15" s="3451"/>
      <c r="AN15" s="3460">
        <v>0</v>
      </c>
      <c r="AO15" s="3451"/>
      <c r="AP15" s="3460">
        <v>0</v>
      </c>
      <c r="AQ15" s="3543">
        <v>0.01</v>
      </c>
      <c r="AR15" s="3460">
        <v>0</v>
      </c>
      <c r="AS15" s="3460">
        <v>0</v>
      </c>
      <c r="AT15" s="3451"/>
      <c r="AU15" s="3460">
        <v>0</v>
      </c>
      <c r="AV15" s="3451"/>
      <c r="AW15" s="3812">
        <v>0</v>
      </c>
      <c r="AX15" s="3876">
        <v>0</v>
      </c>
      <c r="AY15" s="3513">
        <v>0</v>
      </c>
      <c r="AZ15" s="3513">
        <v>0</v>
      </c>
      <c r="BA15" s="3512"/>
      <c r="BB15" s="3513">
        <v>0</v>
      </c>
      <c r="BC15" s="3532"/>
      <c r="BD15" s="4839">
        <v>0</v>
      </c>
      <c r="BE15" s="4839">
        <v>0</v>
      </c>
    </row>
    <row r="16" spans="1:57" s="1237" customFormat="1" ht="100.5" customHeight="1" x14ac:dyDescent="0.2">
      <c r="A16" s="3457" t="s">
        <v>910</v>
      </c>
      <c r="B16" s="3458" t="s">
        <v>911</v>
      </c>
      <c r="C16" s="3457" t="s">
        <v>899</v>
      </c>
      <c r="D16" s="3457">
        <v>36.6</v>
      </c>
      <c r="E16" s="3457">
        <v>19.329999999999998</v>
      </c>
      <c r="F16" s="3460">
        <v>17.62</v>
      </c>
      <c r="G16" s="3460">
        <v>2.75</v>
      </c>
      <c r="H16" s="3460">
        <f>'2018 к смета'!D19</f>
        <v>2.2184000000000004</v>
      </c>
      <c r="I16" s="3460">
        <f>F16*1.15</f>
        <v>20.262999999999998</v>
      </c>
      <c r="J16" s="3460">
        <f>'2017 к'!D21</f>
        <v>17.236999999999998</v>
      </c>
      <c r="K16" s="3460">
        <f>'2017 к смета'!D13</f>
        <v>18.726808000000002</v>
      </c>
      <c r="L16" s="3460">
        <v>2.0499999999999998</v>
      </c>
      <c r="M16" s="3460">
        <f>НАЛОГИ!D23</f>
        <v>1.6241232000000001</v>
      </c>
      <c r="N16" s="3460">
        <f>I16*1.15</f>
        <v>23.302449999999997</v>
      </c>
      <c r="O16" s="3460">
        <v>19.52</v>
      </c>
      <c r="P16" s="3460">
        <f>'2018 к смета'!J19</f>
        <v>20.89113</v>
      </c>
      <c r="Q16" s="3460">
        <f>SUM(вода!BR188)</f>
        <v>1.71</v>
      </c>
      <c r="R16" s="3460">
        <f>НАЛОГИ!G23</f>
        <v>7.96</v>
      </c>
      <c r="S16" s="3460">
        <f>НАЛОГИ!H23</f>
        <v>7.94</v>
      </c>
      <c r="T16" s="3460">
        <f>НАЛОГИ!I23</f>
        <v>7.71</v>
      </c>
      <c r="U16" s="3460">
        <f>НАЛОГИ!J23</f>
        <v>7.59</v>
      </c>
      <c r="V16" s="3460">
        <f>НАЛОГИ!K23</f>
        <v>7.29</v>
      </c>
      <c r="W16" s="3460"/>
      <c r="X16" s="3460">
        <f>вода!BX188</f>
        <v>2.2995438514545756</v>
      </c>
      <c r="Y16" s="3460">
        <f t="shared" ref="Y16:Y20" si="47">X16/P16*100</f>
        <v>11.007273668081027</v>
      </c>
      <c r="Z16" s="3460">
        <f>НАЛОГИ!N23</f>
        <v>2.3157822715825516</v>
      </c>
      <c r="AA16" s="3460">
        <f>НАЛОГИ!O23</f>
        <v>2.4369531111416984</v>
      </c>
      <c r="AB16" s="3460">
        <f>НАЛОГИ!P23</f>
        <v>2.5009569507008447</v>
      </c>
      <c r="AC16" s="3460">
        <f>НАЛОГИ!Q23</f>
        <v>2.6723603902599908</v>
      </c>
      <c r="AD16" s="3460">
        <f>НАЛОГИ!R23</f>
        <v>2.7957300298191372</v>
      </c>
      <c r="AE16" s="3460">
        <f>вода!CA188</f>
        <v>2.3557822715825516</v>
      </c>
      <c r="AF16" s="3451">
        <f t="shared" si="19"/>
        <v>102.445633732638</v>
      </c>
      <c r="AG16" s="3460">
        <f>SUM(вода!CH188)</f>
        <v>1.8708976715825516</v>
      </c>
      <c r="AH16" s="3451">
        <f t="shared" ref="AH16:AH22" si="48">AG16/Z16*100</f>
        <v>80.789014344773605</v>
      </c>
      <c r="AI16" s="3460">
        <f>вода!CK188</f>
        <v>0</v>
      </c>
      <c r="AJ16" s="3460">
        <f>вода!CN188</f>
        <v>0</v>
      </c>
      <c r="AK16" s="3460">
        <f>вода!CQ188</f>
        <v>0</v>
      </c>
      <c r="AL16" s="3460">
        <f>вода!CT188</f>
        <v>1.2142200000000001</v>
      </c>
      <c r="AM16" s="3451">
        <f>AL16/AG16*100</f>
        <v>64.900396127646999</v>
      </c>
      <c r="AN16" s="3460">
        <f>вода!CW188</f>
        <v>0.73399999999999999</v>
      </c>
      <c r="AO16" s="3451">
        <f t="shared" si="24"/>
        <v>39.23250379477598</v>
      </c>
      <c r="AP16" s="3460">
        <f>вода!CZ188</f>
        <v>0</v>
      </c>
      <c r="AQ16" s="3460">
        <f>вода!DC188</f>
        <v>0</v>
      </c>
      <c r="AR16" s="3460">
        <f>вода!DF188</f>
        <v>0</v>
      </c>
      <c r="AS16" s="3460">
        <f>вода!DI188</f>
        <v>1.3963722000000001</v>
      </c>
      <c r="AT16" s="3451">
        <f>AS16/AN16*100</f>
        <v>190.24144414168939</v>
      </c>
      <c r="AU16" s="3460">
        <f>вода!DL188</f>
        <v>1.3972217040000001</v>
      </c>
      <c r="AV16" s="3451">
        <f t="shared" ref="AV16" si="49">AU16/AN16*100</f>
        <v>190.35718038147141</v>
      </c>
      <c r="AW16" s="3812">
        <f>вода!DO188</f>
        <v>0</v>
      </c>
      <c r="AX16" s="3812">
        <f>вода!DR188</f>
        <v>0</v>
      </c>
      <c r="AY16" s="3513">
        <f>вода!DU188</f>
        <v>0</v>
      </c>
      <c r="AZ16" s="3513">
        <f>вода!DX188</f>
        <v>1.6069784</v>
      </c>
      <c r="BA16" s="3512">
        <f>AZ16/AU16*100</f>
        <v>115.01241323402745</v>
      </c>
      <c r="BB16" s="3513">
        <f>SUM(вода!EG153)</f>
        <v>1.22692416</v>
      </c>
      <c r="BC16" s="3532">
        <f t="shared" ref="BC16" si="50">BB16/AU16*100</f>
        <v>87.811702071871039</v>
      </c>
      <c r="BD16" s="4839">
        <f>вода!EJ188</f>
        <v>0</v>
      </c>
      <c r="BE16" s="4839">
        <f>вода!EM188</f>
        <v>0</v>
      </c>
    </row>
    <row r="17" spans="1:57" s="1237" customFormat="1" ht="39" customHeight="1" x14ac:dyDescent="0.2">
      <c r="A17" s="3457" t="s">
        <v>912</v>
      </c>
      <c r="B17" s="3458" t="s">
        <v>913</v>
      </c>
      <c r="C17" s="3457" t="s">
        <v>899</v>
      </c>
      <c r="D17" s="3457">
        <v>0</v>
      </c>
      <c r="E17" s="3457">
        <v>0</v>
      </c>
      <c r="F17" s="3460">
        <v>0</v>
      </c>
      <c r="G17" s="3460">
        <v>0</v>
      </c>
      <c r="H17" s="3460">
        <f>'2018 к смета'!D20</f>
        <v>0</v>
      </c>
      <c r="I17" s="3460">
        <f>F17</f>
        <v>0</v>
      </c>
      <c r="J17" s="3460">
        <v>0</v>
      </c>
      <c r="K17" s="3460">
        <v>0</v>
      </c>
      <c r="L17" s="3460">
        <v>0</v>
      </c>
      <c r="M17" s="3460">
        <v>0</v>
      </c>
      <c r="N17" s="3460">
        <f>I17</f>
        <v>0</v>
      </c>
      <c r="O17" s="3460">
        <v>0</v>
      </c>
      <c r="P17" s="3460">
        <f>'2018 к смета'!J20</f>
        <v>0</v>
      </c>
      <c r="Q17" s="3460">
        <v>0</v>
      </c>
      <c r="R17" s="3460">
        <v>0</v>
      </c>
      <c r="S17" s="3460">
        <v>0</v>
      </c>
      <c r="T17" s="3460">
        <v>0</v>
      </c>
      <c r="U17" s="3460">
        <v>0</v>
      </c>
      <c r="V17" s="3460">
        <v>0</v>
      </c>
      <c r="W17" s="3460">
        <v>0</v>
      </c>
      <c r="X17" s="3460">
        <f>вода!BX60</f>
        <v>3.0890411794274542E-2</v>
      </c>
      <c r="Y17" s="3460">
        <v>0</v>
      </c>
      <c r="Z17" s="3460">
        <f>'Аренда земли'!N12</f>
        <v>3.194068579527988E-2</v>
      </c>
      <c r="AA17" s="3460">
        <f>'Аренда земли'!O12</f>
        <v>3.3218313227091074E-2</v>
      </c>
      <c r="AB17" s="3460">
        <f>'Аренда земли'!P12</f>
        <v>3.4547045756174719E-2</v>
      </c>
      <c r="AC17" s="3460">
        <f>'Аренда земли'!Q12</f>
        <v>3.5928927586421709E-2</v>
      </c>
      <c r="AD17" s="3460">
        <f>'Аренда земли'!R12</f>
        <v>3.7366084689878579E-2</v>
      </c>
      <c r="AE17" s="3522">
        <f>вода!CA60</f>
        <v>5.6032287999999999E-4</v>
      </c>
      <c r="AF17" s="3451">
        <f t="shared" si="19"/>
        <v>1.8139055048267578</v>
      </c>
      <c r="AG17" s="3522">
        <f>вода!CCG60</f>
        <v>0</v>
      </c>
      <c r="AH17" s="3451">
        <f t="shared" si="48"/>
        <v>0</v>
      </c>
      <c r="AI17" s="3522">
        <f>вода!CK60</f>
        <v>1.4499999999999999E-3</v>
      </c>
      <c r="AJ17" s="3522">
        <f>вода!CN60</f>
        <v>2.33E-3</v>
      </c>
      <c r="AK17" s="3522">
        <f>вода!CQ60</f>
        <v>3.0000000000000001E-3</v>
      </c>
      <c r="AL17" s="3522">
        <f>вода!CT60</f>
        <v>0</v>
      </c>
      <c r="AM17" s="3451">
        <v>0</v>
      </c>
      <c r="AN17" s="3522">
        <f>вода!CW60</f>
        <v>0</v>
      </c>
      <c r="AO17" s="3451"/>
      <c r="AP17" s="3522">
        <f>вода!CZ60</f>
        <v>0</v>
      </c>
      <c r="AQ17" s="3522">
        <f>вода!DC60</f>
        <v>0</v>
      </c>
      <c r="AR17" s="3522">
        <f>вода!DF60</f>
        <v>0</v>
      </c>
      <c r="AS17" s="3522">
        <f>вода!DI60</f>
        <v>0</v>
      </c>
      <c r="AT17" s="3451">
        <v>0</v>
      </c>
      <c r="AU17" s="3522">
        <f>вода!DL60</f>
        <v>0</v>
      </c>
      <c r="AV17" s="3451"/>
      <c r="AW17" s="3822">
        <f>вода!DO60</f>
        <v>0</v>
      </c>
      <c r="AX17" s="3822">
        <f>вода!DR60</f>
        <v>0</v>
      </c>
      <c r="AY17" s="3530">
        <f>вода!DU60</f>
        <v>0</v>
      </c>
      <c r="AZ17" s="3530">
        <f>вода!DX60</f>
        <v>0</v>
      </c>
      <c r="BA17" s="3512">
        <v>0</v>
      </c>
      <c r="BB17" s="3530">
        <f>вода!DS60</f>
        <v>0</v>
      </c>
      <c r="BC17" s="3532"/>
      <c r="BD17" s="4857">
        <f>вода!EJ60</f>
        <v>0</v>
      </c>
      <c r="BE17" s="4857">
        <f>вода!EM60</f>
        <v>0</v>
      </c>
    </row>
    <row r="18" spans="1:57" s="1237" customFormat="1" ht="49.5" hidden="1" customHeight="1" x14ac:dyDescent="0.2">
      <c r="A18" s="3457" t="s">
        <v>914</v>
      </c>
      <c r="B18" s="3458" t="s">
        <v>915</v>
      </c>
      <c r="C18" s="3457" t="s">
        <v>899</v>
      </c>
      <c r="D18" s="3457">
        <v>0</v>
      </c>
      <c r="E18" s="3457">
        <v>0</v>
      </c>
      <c r="F18" s="3460">
        <v>0</v>
      </c>
      <c r="G18" s="3460">
        <v>0</v>
      </c>
      <c r="H18" s="3460">
        <f>'2018 к смета'!D21</f>
        <v>0</v>
      </c>
      <c r="I18" s="3460">
        <v>0</v>
      </c>
      <c r="J18" s="3460">
        <v>0</v>
      </c>
      <c r="K18" s="3460">
        <v>0</v>
      </c>
      <c r="L18" s="3460">
        <v>0</v>
      </c>
      <c r="M18" s="3460">
        <v>0</v>
      </c>
      <c r="N18" s="3460">
        <v>0</v>
      </c>
      <c r="O18" s="3460">
        <v>0</v>
      </c>
      <c r="P18" s="3460">
        <f>'2018 к смета'!J21</f>
        <v>0</v>
      </c>
      <c r="Q18" s="3460">
        <f>'2018 к смета'!J21</f>
        <v>0</v>
      </c>
      <c r="R18" s="3460">
        <v>0</v>
      </c>
      <c r="S18" s="3460">
        <v>0</v>
      </c>
      <c r="T18" s="3460">
        <f>'2018 к смета'!M21</f>
        <v>0</v>
      </c>
      <c r="U18" s="3460">
        <f>'2018 к смета'!N21</f>
        <v>0</v>
      </c>
      <c r="V18" s="3460">
        <f>'2018 к смета'!O21</f>
        <v>0</v>
      </c>
      <c r="W18" s="3460">
        <f>'2018 к смета'!P21</f>
        <v>0</v>
      </c>
      <c r="X18" s="3460">
        <f>'2018 к смета'!Q21</f>
        <v>0</v>
      </c>
      <c r="Y18" s="3460" t="e">
        <f t="shared" si="47"/>
        <v>#DIV/0!</v>
      </c>
      <c r="Z18" s="3460">
        <f>'2018 к смета'!R21</f>
        <v>0</v>
      </c>
      <c r="AA18" s="3460">
        <f>'2018 к смета'!S21</f>
        <v>0</v>
      </c>
      <c r="AB18" s="3460">
        <f>'2018 к смета'!T21</f>
        <v>0</v>
      </c>
      <c r="AC18" s="3460">
        <f>'2018 к смета'!U21</f>
        <v>0</v>
      </c>
      <c r="AD18" s="3460">
        <f>'2018 к смета'!V21</f>
        <v>0</v>
      </c>
      <c r="AE18" s="3460">
        <f>'2018 к смета'!X21</f>
        <v>0</v>
      </c>
      <c r="AF18" s="3451" t="e">
        <f t="shared" si="19"/>
        <v>#DIV/0!</v>
      </c>
      <c r="AG18" s="3460">
        <f>'2018 к смета'!Z21</f>
        <v>0</v>
      </c>
      <c r="AH18" s="3451" t="e">
        <f t="shared" si="48"/>
        <v>#DIV/0!</v>
      </c>
      <c r="AI18" s="3460">
        <f>'2018 к смета'!Z21</f>
        <v>0</v>
      </c>
      <c r="AJ18" s="3460">
        <f>'2018 к смета'!AA21</f>
        <v>0</v>
      </c>
      <c r="AK18" s="3460">
        <f>'2018 к смета'!AB21</f>
        <v>0</v>
      </c>
      <c r="AL18" s="3460">
        <f>'2018 к смета'!AC21</f>
        <v>0</v>
      </c>
      <c r="AM18" s="3451" t="e">
        <f t="shared" ref="AM18:AM21" si="51">AL18/AE18*100</f>
        <v>#DIV/0!</v>
      </c>
      <c r="AN18" s="3460">
        <f>'2018 к смета'!AE21</f>
        <v>0</v>
      </c>
      <c r="AO18" s="3451" t="e">
        <f t="shared" si="24"/>
        <v>#DIV/0!</v>
      </c>
      <c r="AP18" s="3460">
        <f>'2018 к смета'!AG21</f>
        <v>0</v>
      </c>
      <c r="AQ18" s="3460">
        <f>'2018 к смета'!AH21</f>
        <v>0</v>
      </c>
      <c r="AR18" s="3460">
        <f>'2018 к смета'!AI21</f>
        <v>0</v>
      </c>
      <c r="AS18" s="3460">
        <f>'2018 к смета'!AJ21</f>
        <v>0</v>
      </c>
      <c r="AT18" s="3451" t="e">
        <f t="shared" ref="AT18:AT21" si="52">AS18/AL18*100</f>
        <v>#DIV/0!</v>
      </c>
      <c r="AU18" s="3460">
        <f>'2018 к смета'!AL21</f>
        <v>0</v>
      </c>
      <c r="AV18" s="3451" t="e">
        <f t="shared" ref="AV18:AV21" si="53">AU18/AN18*100</f>
        <v>#DIV/0!</v>
      </c>
      <c r="AW18" s="3812">
        <f>'2018 к смета'!AN21</f>
        <v>0</v>
      </c>
      <c r="AX18" s="3812">
        <f>'2018 к смета'!AO21</f>
        <v>0</v>
      </c>
      <c r="AY18" s="3513">
        <f>'2018 к смета'!AP21</f>
        <v>0</v>
      </c>
      <c r="AZ18" s="3513">
        <f>'2018 к смета'!AQ21</f>
        <v>0</v>
      </c>
      <c r="BA18" s="3512" t="e">
        <f t="shared" ref="BA18:BA21" si="54">AZ18/AS18*100</f>
        <v>#DIV/0!</v>
      </c>
      <c r="BB18" s="3513">
        <f>'2018 к смета'!AS21</f>
        <v>0</v>
      </c>
      <c r="BC18" s="3532" t="e">
        <f t="shared" ref="BC18:BC21" si="55">BB18/AU18*100</f>
        <v>#DIV/0!</v>
      </c>
      <c r="BD18" s="4839">
        <f>'2018 к смета'!AT21</f>
        <v>0</v>
      </c>
      <c r="BE18" s="4839">
        <f>'2018 к смета'!AU21</f>
        <v>0</v>
      </c>
    </row>
    <row r="19" spans="1:57" s="1237" customFormat="1" ht="12.75" hidden="1" customHeight="1" x14ac:dyDescent="0.2">
      <c r="A19" s="3457" t="s">
        <v>916</v>
      </c>
      <c r="B19" s="3458" t="s">
        <v>917</v>
      </c>
      <c r="C19" s="3457" t="s">
        <v>899</v>
      </c>
      <c r="D19" s="3457">
        <v>0</v>
      </c>
      <c r="E19" s="3457">
        <v>0</v>
      </c>
      <c r="F19" s="3460">
        <v>0</v>
      </c>
      <c r="G19" s="3460">
        <v>0</v>
      </c>
      <c r="H19" s="3460">
        <f>'2018 к смета'!D22</f>
        <v>0</v>
      </c>
      <c r="I19" s="3460">
        <f>'2018 к смета'!E22</f>
        <v>0</v>
      </c>
      <c r="J19" s="3460">
        <f>'2018 к смета'!F22</f>
        <v>0</v>
      </c>
      <c r="K19" s="3460">
        <f>'2018 к смета'!G22</f>
        <v>0</v>
      </c>
      <c r="L19" s="3460">
        <f>'2018 к смета'!H22</f>
        <v>0</v>
      </c>
      <c r="M19" s="3460">
        <f>'2018 к смета'!I22</f>
        <v>0</v>
      </c>
      <c r="N19" s="3460">
        <f>'2018 к смета'!H22</f>
        <v>0</v>
      </c>
      <c r="O19" s="3460">
        <f>'2018 к смета'!I22</f>
        <v>0</v>
      </c>
      <c r="P19" s="3460">
        <f>'2018 к смета'!J22</f>
        <v>0</v>
      </c>
      <c r="Q19" s="3460">
        <f>'2018 к смета'!J22</f>
        <v>0</v>
      </c>
      <c r="R19" s="3460">
        <f>'2018 к смета'!K22</f>
        <v>0</v>
      </c>
      <c r="S19" s="3460">
        <f>'2018 к смета'!L22</f>
        <v>0</v>
      </c>
      <c r="T19" s="3460">
        <f>'2018 к смета'!M22</f>
        <v>0</v>
      </c>
      <c r="U19" s="3460">
        <f>'2018 к смета'!N22</f>
        <v>0</v>
      </c>
      <c r="V19" s="3460">
        <f>'2018 к смета'!O22</f>
        <v>0</v>
      </c>
      <c r="W19" s="3460">
        <f>'2018 к смета'!P22</f>
        <v>0</v>
      </c>
      <c r="X19" s="3460">
        <f>'2018 к смета'!Q22</f>
        <v>0</v>
      </c>
      <c r="Y19" s="3460" t="e">
        <f t="shared" si="47"/>
        <v>#DIV/0!</v>
      </c>
      <c r="Z19" s="3460">
        <f>'2018 к смета'!R22</f>
        <v>0</v>
      </c>
      <c r="AA19" s="3460">
        <f>'2018 к смета'!S22</f>
        <v>0</v>
      </c>
      <c r="AB19" s="3460">
        <f>'2018 к смета'!T22</f>
        <v>0</v>
      </c>
      <c r="AC19" s="3460">
        <f>'2018 к смета'!U22</f>
        <v>0</v>
      </c>
      <c r="AD19" s="3460">
        <f>'2018 к смета'!V22</f>
        <v>0</v>
      </c>
      <c r="AE19" s="3460">
        <f>'2018 к смета'!X22</f>
        <v>0</v>
      </c>
      <c r="AF19" s="3451" t="e">
        <f t="shared" si="19"/>
        <v>#DIV/0!</v>
      </c>
      <c r="AG19" s="3460">
        <f>'2018 к смета'!Z22</f>
        <v>0</v>
      </c>
      <c r="AH19" s="3451" t="e">
        <f t="shared" si="48"/>
        <v>#DIV/0!</v>
      </c>
      <c r="AI19" s="3460">
        <f>'2018 к смета'!Z22</f>
        <v>0</v>
      </c>
      <c r="AJ19" s="3460">
        <f>'2018 к смета'!AA22</f>
        <v>0</v>
      </c>
      <c r="AK19" s="3460">
        <f>'2018 к смета'!AB22</f>
        <v>0</v>
      </c>
      <c r="AL19" s="3460">
        <f>'2018 к смета'!AC22</f>
        <v>0</v>
      </c>
      <c r="AM19" s="3451" t="e">
        <f t="shared" si="51"/>
        <v>#DIV/0!</v>
      </c>
      <c r="AN19" s="3460">
        <f>'2018 к смета'!AE22</f>
        <v>0</v>
      </c>
      <c r="AO19" s="3451" t="e">
        <f t="shared" si="24"/>
        <v>#DIV/0!</v>
      </c>
      <c r="AP19" s="3460">
        <f>'2018 к смета'!AG22</f>
        <v>0</v>
      </c>
      <c r="AQ19" s="3460">
        <f>'2018 к смета'!AH22</f>
        <v>0</v>
      </c>
      <c r="AR19" s="3460">
        <f>'2018 к смета'!AI22</f>
        <v>0</v>
      </c>
      <c r="AS19" s="3460">
        <f>'2018 к смета'!AJ22</f>
        <v>0</v>
      </c>
      <c r="AT19" s="3451" t="e">
        <f t="shared" si="52"/>
        <v>#DIV/0!</v>
      </c>
      <c r="AU19" s="3460">
        <f>'2018 к смета'!AL22</f>
        <v>0</v>
      </c>
      <c r="AV19" s="3451" t="e">
        <f t="shared" si="53"/>
        <v>#DIV/0!</v>
      </c>
      <c r="AW19" s="3812">
        <f>'2018 к смета'!AN22</f>
        <v>0</v>
      </c>
      <c r="AX19" s="3812">
        <f>'2018 к смета'!AO22</f>
        <v>0</v>
      </c>
      <c r="AY19" s="3513">
        <f>'2018 к смета'!AP22</f>
        <v>0</v>
      </c>
      <c r="AZ19" s="3513">
        <f>'2018 к смета'!AQ22</f>
        <v>0</v>
      </c>
      <c r="BA19" s="3512" t="e">
        <f t="shared" si="54"/>
        <v>#DIV/0!</v>
      </c>
      <c r="BB19" s="3513">
        <f>'2018 к смета'!AS22</f>
        <v>0</v>
      </c>
      <c r="BC19" s="3532" t="e">
        <f t="shared" si="55"/>
        <v>#DIV/0!</v>
      </c>
      <c r="BD19" s="4839">
        <f>'2018 к смета'!AT22</f>
        <v>0</v>
      </c>
      <c r="BE19" s="4839">
        <f>'2018 к смета'!AU22</f>
        <v>0</v>
      </c>
    </row>
    <row r="20" spans="1:57" s="1237" customFormat="1" ht="25.5" hidden="1" customHeight="1" x14ac:dyDescent="0.2">
      <c r="A20" s="3457" t="s">
        <v>918</v>
      </c>
      <c r="B20" s="3458" t="s">
        <v>919</v>
      </c>
      <c r="C20" s="3457" t="s">
        <v>899</v>
      </c>
      <c r="D20" s="3457">
        <v>0</v>
      </c>
      <c r="E20" s="3457">
        <v>0</v>
      </c>
      <c r="F20" s="3460">
        <v>0</v>
      </c>
      <c r="G20" s="3460">
        <v>0</v>
      </c>
      <c r="H20" s="3460">
        <f>'2018 к смета'!D23</f>
        <v>0</v>
      </c>
      <c r="I20" s="3460">
        <f>'2018 к смета'!E23</f>
        <v>0</v>
      </c>
      <c r="J20" s="3460">
        <f>'2018 к смета'!F23</f>
        <v>0</v>
      </c>
      <c r="K20" s="3460">
        <f>'2018 к смета'!G23</f>
        <v>0</v>
      </c>
      <c r="L20" s="3460">
        <f>'2018 к смета'!H23</f>
        <v>0</v>
      </c>
      <c r="M20" s="3460">
        <f>'2018 к смета'!I23</f>
        <v>0</v>
      </c>
      <c r="N20" s="3460">
        <f>'2018 к смета'!H23</f>
        <v>0</v>
      </c>
      <c r="O20" s="3460">
        <f>'2018 к смета'!I23</f>
        <v>0</v>
      </c>
      <c r="P20" s="3460">
        <f>'2018 к смета'!J23</f>
        <v>0</v>
      </c>
      <c r="Q20" s="3460">
        <f>'2018 к смета'!J23</f>
        <v>0</v>
      </c>
      <c r="R20" s="3460">
        <f>'2018 к смета'!K23</f>
        <v>0</v>
      </c>
      <c r="S20" s="3460">
        <f>'2018 к смета'!L23</f>
        <v>0</v>
      </c>
      <c r="T20" s="3460">
        <f>'2018 к смета'!M23</f>
        <v>0</v>
      </c>
      <c r="U20" s="3460">
        <f>'2018 к смета'!N23</f>
        <v>0</v>
      </c>
      <c r="V20" s="3460">
        <f>'2018 к смета'!O23</f>
        <v>0</v>
      </c>
      <c r="W20" s="3460">
        <f>'2018 к смета'!P23</f>
        <v>0</v>
      </c>
      <c r="X20" s="3460">
        <f>'2018 к смета'!Q23</f>
        <v>0</v>
      </c>
      <c r="Y20" s="3460" t="e">
        <f t="shared" si="47"/>
        <v>#DIV/0!</v>
      </c>
      <c r="Z20" s="3460">
        <f>'2018 к смета'!R23</f>
        <v>0</v>
      </c>
      <c r="AA20" s="3460">
        <f>'2018 к смета'!S23</f>
        <v>0</v>
      </c>
      <c r="AB20" s="3460">
        <f>'2018 к смета'!T23</f>
        <v>0</v>
      </c>
      <c r="AC20" s="3460">
        <f>'2018 к смета'!U23</f>
        <v>0</v>
      </c>
      <c r="AD20" s="3460">
        <f>'2018 к смета'!V23</f>
        <v>0</v>
      </c>
      <c r="AE20" s="3460">
        <f>'2018 к смета'!X23</f>
        <v>0</v>
      </c>
      <c r="AF20" s="3451" t="e">
        <f t="shared" si="19"/>
        <v>#DIV/0!</v>
      </c>
      <c r="AG20" s="3460">
        <f>'2018 к смета'!Z23</f>
        <v>0</v>
      </c>
      <c r="AH20" s="3451" t="e">
        <f t="shared" si="48"/>
        <v>#DIV/0!</v>
      </c>
      <c r="AI20" s="3460">
        <f>'2018 к смета'!Z23</f>
        <v>0</v>
      </c>
      <c r="AJ20" s="3460">
        <f>'2018 к смета'!AA23</f>
        <v>0</v>
      </c>
      <c r="AK20" s="3460">
        <f>'2018 к смета'!AB23</f>
        <v>0</v>
      </c>
      <c r="AL20" s="3460">
        <f>'2018 к смета'!AC23</f>
        <v>0</v>
      </c>
      <c r="AM20" s="3451" t="e">
        <f t="shared" si="51"/>
        <v>#DIV/0!</v>
      </c>
      <c r="AN20" s="3460">
        <f>'2018 к смета'!AE23</f>
        <v>0</v>
      </c>
      <c r="AO20" s="3451" t="e">
        <f t="shared" si="24"/>
        <v>#DIV/0!</v>
      </c>
      <c r="AP20" s="3460">
        <f>'2018 к смета'!AG23</f>
        <v>0</v>
      </c>
      <c r="AQ20" s="3460">
        <f>'2018 к смета'!AH23</f>
        <v>0</v>
      </c>
      <c r="AR20" s="3460">
        <f>'2018 к смета'!AI23</f>
        <v>0</v>
      </c>
      <c r="AS20" s="3460">
        <f>'2018 к смета'!AJ23</f>
        <v>0</v>
      </c>
      <c r="AT20" s="3451" t="e">
        <f t="shared" si="52"/>
        <v>#DIV/0!</v>
      </c>
      <c r="AU20" s="3460">
        <f>'2018 к смета'!AL23</f>
        <v>0</v>
      </c>
      <c r="AV20" s="3451" t="e">
        <f t="shared" si="53"/>
        <v>#DIV/0!</v>
      </c>
      <c r="AW20" s="3812">
        <f>'2018 к смета'!AN23</f>
        <v>0</v>
      </c>
      <c r="AX20" s="3812">
        <f>'2018 к смета'!AO23</f>
        <v>0</v>
      </c>
      <c r="AY20" s="3513">
        <f>'2018 к смета'!AP23</f>
        <v>0</v>
      </c>
      <c r="AZ20" s="3513">
        <f>'2018 к смета'!AQ23</f>
        <v>0</v>
      </c>
      <c r="BA20" s="3512" t="e">
        <f t="shared" si="54"/>
        <v>#DIV/0!</v>
      </c>
      <c r="BB20" s="3513">
        <f>'2018 к смета'!AS23</f>
        <v>0</v>
      </c>
      <c r="BC20" s="3532" t="e">
        <f t="shared" si="55"/>
        <v>#DIV/0!</v>
      </c>
      <c r="BD20" s="4839">
        <f>'2018 к смета'!AT23</f>
        <v>0</v>
      </c>
      <c r="BE20" s="4839">
        <f>'2018 к смета'!AU23</f>
        <v>0</v>
      </c>
    </row>
    <row r="21" spans="1:57" s="1237" customFormat="1" ht="51.75" hidden="1" customHeight="1" x14ac:dyDescent="0.2">
      <c r="A21" s="3457" t="s">
        <v>920</v>
      </c>
      <c r="B21" s="3458" t="s">
        <v>921</v>
      </c>
      <c r="C21" s="3457" t="s">
        <v>899</v>
      </c>
      <c r="D21" s="3457">
        <v>17.5</v>
      </c>
      <c r="E21" s="3457">
        <v>0</v>
      </c>
      <c r="F21" s="3460">
        <v>0</v>
      </c>
      <c r="G21" s="3460">
        <v>0</v>
      </c>
      <c r="H21" s="3460">
        <f>'2018 к смета'!D24</f>
        <v>0</v>
      </c>
      <c r="I21" s="3460">
        <v>0</v>
      </c>
      <c r="J21" s="3460">
        <v>0</v>
      </c>
      <c r="K21" s="3460">
        <v>0</v>
      </c>
      <c r="L21" s="3460">
        <v>0</v>
      </c>
      <c r="M21" s="3460">
        <v>0</v>
      </c>
      <c r="N21" s="3460">
        <v>0</v>
      </c>
      <c r="O21" s="3460">
        <v>0</v>
      </c>
      <c r="P21" s="3460">
        <f>'2018 к смета'!J24</f>
        <v>0</v>
      </c>
      <c r="Q21" s="3460">
        <f>'2018 к смета'!J24</f>
        <v>0</v>
      </c>
      <c r="R21" s="3460">
        <f>'2018 к смета'!K24</f>
        <v>0</v>
      </c>
      <c r="S21" s="3460">
        <f>'2018 к смета'!L24</f>
        <v>0</v>
      </c>
      <c r="T21" s="3460">
        <f>'2018 к смета'!M24</f>
        <v>0</v>
      </c>
      <c r="U21" s="3460">
        <f>'2018 к смета'!N24</f>
        <v>0</v>
      </c>
      <c r="V21" s="3460">
        <f>'2018 к смета'!O24</f>
        <v>0</v>
      </c>
      <c r="W21" s="3460">
        <f>'2018 к смета'!P24</f>
        <v>0</v>
      </c>
      <c r="X21" s="3460">
        <f>'2018 к смета'!Q24</f>
        <v>0</v>
      </c>
      <c r="Y21" s="3460">
        <v>0</v>
      </c>
      <c r="Z21" s="3460">
        <f>'2018 к смета'!R24</f>
        <v>0</v>
      </c>
      <c r="AA21" s="3460">
        <f>'2018 к смета'!S24</f>
        <v>0</v>
      </c>
      <c r="AB21" s="3460">
        <f>'2018 к смета'!T24</f>
        <v>0</v>
      </c>
      <c r="AC21" s="3460">
        <f>'2018 к смета'!U24</f>
        <v>0</v>
      </c>
      <c r="AD21" s="3460">
        <f>'2018 к смета'!V24</f>
        <v>0</v>
      </c>
      <c r="AE21" s="3460">
        <f>'2018 к смета'!X24</f>
        <v>0</v>
      </c>
      <c r="AF21" s="3451" t="e">
        <f t="shared" si="19"/>
        <v>#DIV/0!</v>
      </c>
      <c r="AG21" s="3460">
        <f>'2018 к смета'!Z24</f>
        <v>0</v>
      </c>
      <c r="AH21" s="3451" t="e">
        <f t="shared" si="48"/>
        <v>#DIV/0!</v>
      </c>
      <c r="AI21" s="3460">
        <f>'2018 к смета'!Z24</f>
        <v>0</v>
      </c>
      <c r="AJ21" s="3460">
        <f>'2018 к смета'!AA24</f>
        <v>0</v>
      </c>
      <c r="AK21" s="3460">
        <f>'2018 к смета'!AB24</f>
        <v>0</v>
      </c>
      <c r="AL21" s="3460">
        <f>'2018 к смета'!AC24</f>
        <v>0</v>
      </c>
      <c r="AM21" s="3451" t="e">
        <f t="shared" si="51"/>
        <v>#DIV/0!</v>
      </c>
      <c r="AN21" s="3460">
        <f>'2018 к смета'!AE24</f>
        <v>0</v>
      </c>
      <c r="AO21" s="3451" t="e">
        <f t="shared" si="24"/>
        <v>#DIV/0!</v>
      </c>
      <c r="AP21" s="3460">
        <f>'2018 к смета'!AG24</f>
        <v>0</v>
      </c>
      <c r="AQ21" s="3460">
        <f>'2018 к смета'!AH24</f>
        <v>0</v>
      </c>
      <c r="AR21" s="3460">
        <f>'2018 к смета'!AI24</f>
        <v>0</v>
      </c>
      <c r="AS21" s="3460">
        <f>'2018 к смета'!AJ24</f>
        <v>0</v>
      </c>
      <c r="AT21" s="3451" t="e">
        <f t="shared" si="52"/>
        <v>#DIV/0!</v>
      </c>
      <c r="AU21" s="3460">
        <f>'2018 к смета'!AL24</f>
        <v>0</v>
      </c>
      <c r="AV21" s="3451" t="e">
        <f t="shared" si="53"/>
        <v>#DIV/0!</v>
      </c>
      <c r="AW21" s="3812">
        <f>'2018 к смета'!AN24</f>
        <v>0</v>
      </c>
      <c r="AX21" s="3812">
        <f>'2018 к смета'!AO24</f>
        <v>0</v>
      </c>
      <c r="AY21" s="3513">
        <f>'2018 к смета'!AP24</f>
        <v>0</v>
      </c>
      <c r="AZ21" s="3513">
        <f>'2018 к смета'!AQ24</f>
        <v>0</v>
      </c>
      <c r="BA21" s="3512" t="e">
        <f t="shared" si="54"/>
        <v>#DIV/0!</v>
      </c>
      <c r="BB21" s="3513">
        <f>'2018 к смета'!AS24</f>
        <v>0</v>
      </c>
      <c r="BC21" s="3532" t="e">
        <f t="shared" si="55"/>
        <v>#DIV/0!</v>
      </c>
      <c r="BD21" s="4839">
        <f>'2018 к смета'!AT24</f>
        <v>0</v>
      </c>
      <c r="BE21" s="4839">
        <f>'2018 к смета'!AU24</f>
        <v>0</v>
      </c>
    </row>
    <row r="22" spans="1:57" s="1235" customFormat="1" ht="20.100000000000001" customHeight="1" x14ac:dyDescent="0.25">
      <c r="A22" s="3453" t="s">
        <v>922</v>
      </c>
      <c r="B22" s="3454" t="s">
        <v>2</v>
      </c>
      <c r="C22" s="3453" t="s">
        <v>899</v>
      </c>
      <c r="D22" s="3453">
        <v>77.739999999999995</v>
      </c>
      <c r="E22" s="3453">
        <v>32.46</v>
      </c>
      <c r="F22" s="3451">
        <f>вода!BF146</f>
        <v>35.251346307332426</v>
      </c>
      <c r="G22" s="3451">
        <v>4.8099999999999996</v>
      </c>
      <c r="H22" s="3451">
        <f>'2018 к смета'!D25</f>
        <v>1.5204814281734422</v>
      </c>
      <c r="I22" s="3451">
        <f>F22</f>
        <v>35.251346307332426</v>
      </c>
      <c r="J22" s="3451">
        <v>32</v>
      </c>
      <c r="K22" s="3451">
        <f>'2017 к смета'!D19</f>
        <v>19.439208091895523</v>
      </c>
      <c r="L22" s="3451">
        <v>3.45</v>
      </c>
      <c r="M22" s="3451">
        <f>вода!BL146</f>
        <v>3.45</v>
      </c>
      <c r="N22" s="3451">
        <f>I22</f>
        <v>35.251346307332426</v>
      </c>
      <c r="O22" s="3451">
        <v>19.18</v>
      </c>
      <c r="P22" s="3451">
        <f>'2018 к смета'!J25</f>
        <v>21.095631989661516</v>
      </c>
      <c r="Q22" s="3451">
        <f>SUM(вода!BR191)</f>
        <v>2.3940000000000001</v>
      </c>
      <c r="R22" s="3451">
        <v>4.99</v>
      </c>
      <c r="S22" s="3451">
        <v>4.99</v>
      </c>
      <c r="T22" s="3451">
        <v>4.99</v>
      </c>
      <c r="U22" s="3451">
        <v>4.99</v>
      </c>
      <c r="V22" s="3451">
        <v>4.99</v>
      </c>
      <c r="W22" s="3451"/>
      <c r="X22" s="3451">
        <f>вода!BX191</f>
        <v>1.7635215303655989</v>
      </c>
      <c r="Y22" s="3451">
        <f>X22/P22*100</f>
        <v>8.3596525158850916</v>
      </c>
      <c r="Z22" s="3451">
        <f>X22</f>
        <v>1.7635215303655989</v>
      </c>
      <c r="AA22" s="3451">
        <f t="shared" ref="AA22:AD22" si="56">Z22</f>
        <v>1.7635215303655989</v>
      </c>
      <c r="AB22" s="3451">
        <f t="shared" si="56"/>
        <v>1.7635215303655989</v>
      </c>
      <c r="AC22" s="3451">
        <f t="shared" si="56"/>
        <v>1.7635215303655989</v>
      </c>
      <c r="AD22" s="3451">
        <f t="shared" si="56"/>
        <v>1.7635215303655989</v>
      </c>
      <c r="AE22" s="3451">
        <f>вода!CA191</f>
        <v>1.7635215303655989</v>
      </c>
      <c r="AF22" s="3451">
        <f t="shared" si="19"/>
        <v>100</v>
      </c>
      <c r="AG22" s="3451">
        <f>вода!CH191</f>
        <v>1.7587666667625974</v>
      </c>
      <c r="AH22" s="3451">
        <f t="shared" si="48"/>
        <v>99.73037677617603</v>
      </c>
      <c r="AI22" s="3451">
        <f>вода!CK191</f>
        <v>0</v>
      </c>
      <c r="AJ22" s="3451">
        <f>вода!CN191</f>
        <v>0</v>
      </c>
      <c r="AK22" s="3451">
        <f>вода!CQ191</f>
        <v>0</v>
      </c>
      <c r="AL22" s="3451">
        <f>вода!CT191</f>
        <v>0</v>
      </c>
      <c r="AM22" s="3451">
        <f>AL22/AG22*100</f>
        <v>0</v>
      </c>
      <c r="AN22" s="3451">
        <f>вода!CW191</f>
        <v>0</v>
      </c>
      <c r="AO22" s="3451"/>
      <c r="AP22" s="3451">
        <f>вода!CZ191</f>
        <v>0</v>
      </c>
      <c r="AQ22" s="3451">
        <f>вода!DC191</f>
        <v>0</v>
      </c>
      <c r="AR22" s="3451">
        <f>вода!DF191</f>
        <v>0</v>
      </c>
      <c r="AS22" s="3451">
        <f>вода!DI191</f>
        <v>0</v>
      </c>
      <c r="AT22" s="3451" t="e">
        <f>AS22/AN22*100</f>
        <v>#DIV/0!</v>
      </c>
      <c r="AU22" s="3451">
        <f>вода!DL191</f>
        <v>0</v>
      </c>
      <c r="AV22" s="3451"/>
      <c r="AW22" s="3811">
        <f>вода!DO191</f>
        <v>0</v>
      </c>
      <c r="AX22" s="3811">
        <f>вода!DR191</f>
        <v>2867.6223100000002</v>
      </c>
      <c r="AY22" s="3512">
        <f>вода!DU191</f>
        <v>500.40499999999997</v>
      </c>
      <c r="AZ22" s="3512">
        <f>вода!DX191</f>
        <v>0</v>
      </c>
      <c r="BA22" s="3512" t="e">
        <f>AZ22/AU22*100</f>
        <v>#DIV/0!</v>
      </c>
      <c r="BB22" s="3512">
        <f>вода!DS191</f>
        <v>0</v>
      </c>
      <c r="BC22" s="3532"/>
      <c r="BD22" s="4838">
        <f>вода!EJ191</f>
        <v>0</v>
      </c>
      <c r="BE22" s="4838">
        <f>вода!EM191</f>
        <v>0</v>
      </c>
    </row>
    <row r="23" spans="1:57" s="1238" customFormat="1" ht="14.25" x14ac:dyDescent="0.2">
      <c r="A23" s="3463" t="s">
        <v>192</v>
      </c>
      <c r="B23" s="3464" t="s">
        <v>923</v>
      </c>
      <c r="C23" s="3523" t="s">
        <v>44</v>
      </c>
      <c r="D23" s="3524">
        <f t="shared" ref="D23:E23" si="57">D24/(D11+D22)*100</f>
        <v>0</v>
      </c>
      <c r="E23" s="3524">
        <f t="shared" si="57"/>
        <v>0</v>
      </c>
      <c r="F23" s="3524">
        <f>F24/(F11+F22)*100</f>
        <v>0</v>
      </c>
      <c r="G23" s="3524">
        <f t="shared" ref="G23:H23" si="58">G24/(G11+G22)*100</f>
        <v>0</v>
      </c>
      <c r="H23" s="3524">
        <f t="shared" si="58"/>
        <v>0</v>
      </c>
      <c r="I23" s="3524">
        <f t="shared" ref="I23:N23" si="59">I24/(I11+I22)*100</f>
        <v>0</v>
      </c>
      <c r="J23" s="3524">
        <f t="shared" ref="J23:K23" si="60">J24/(J11+J22)*100</f>
        <v>0</v>
      </c>
      <c r="K23" s="3524">
        <f t="shared" si="60"/>
        <v>0</v>
      </c>
      <c r="L23" s="3524">
        <f t="shared" ref="L23:M23" si="61">L24/(L11+L22)*100</f>
        <v>0</v>
      </c>
      <c r="M23" s="3524">
        <f t="shared" si="61"/>
        <v>0</v>
      </c>
      <c r="N23" s="3524">
        <f t="shared" si="59"/>
        <v>0</v>
      </c>
      <c r="O23" s="3524">
        <f t="shared" ref="O23:AD23" si="62">O24/(O11+O22)*100</f>
        <v>0</v>
      </c>
      <c r="P23" s="3524">
        <f t="shared" si="62"/>
        <v>0</v>
      </c>
      <c r="Q23" s="3524">
        <f t="shared" ref="Q23" si="63">Q24/(Q11+Q22)*100</f>
        <v>0</v>
      </c>
      <c r="R23" s="3524">
        <f t="shared" si="62"/>
        <v>0</v>
      </c>
      <c r="S23" s="3524">
        <f t="shared" si="62"/>
        <v>0</v>
      </c>
      <c r="T23" s="3524">
        <f t="shared" si="62"/>
        <v>0</v>
      </c>
      <c r="U23" s="3524">
        <f t="shared" si="62"/>
        <v>0</v>
      </c>
      <c r="V23" s="3524">
        <f t="shared" si="62"/>
        <v>0</v>
      </c>
      <c r="W23" s="3524">
        <v>0</v>
      </c>
      <c r="X23" s="3524">
        <f t="shared" si="62"/>
        <v>0</v>
      </c>
      <c r="Y23" s="3465">
        <v>0</v>
      </c>
      <c r="Z23" s="3524">
        <f t="shared" si="62"/>
        <v>0</v>
      </c>
      <c r="AA23" s="3524">
        <f t="shared" si="62"/>
        <v>0</v>
      </c>
      <c r="AB23" s="3524">
        <f t="shared" si="62"/>
        <v>0</v>
      </c>
      <c r="AC23" s="3524">
        <f t="shared" si="62"/>
        <v>0</v>
      </c>
      <c r="AD23" s="3524">
        <f t="shared" si="62"/>
        <v>0</v>
      </c>
      <c r="AE23" s="3524">
        <f t="shared" ref="AE23:AI23" si="64">AE24/(AE11+AE22)*100</f>
        <v>0</v>
      </c>
      <c r="AF23" s="3451"/>
      <c r="AG23" s="3525">
        <f t="shared" ref="AG23" si="65">AG24/(AG11+AG22)*100</f>
        <v>0</v>
      </c>
      <c r="AH23" s="3451"/>
      <c r="AI23" s="3524">
        <f t="shared" si="64"/>
        <v>0</v>
      </c>
      <c r="AJ23" s="3525">
        <f t="shared" ref="AJ23:AK23" si="66">AJ24/(AJ11+AJ22)*100</f>
        <v>0</v>
      </c>
      <c r="AK23" s="3525">
        <f t="shared" si="66"/>
        <v>0</v>
      </c>
      <c r="AL23" s="3525">
        <f t="shared" ref="AL23:AN23" si="67">AL24/(AL11+AL22)*100</f>
        <v>0</v>
      </c>
      <c r="AM23" s="3451"/>
      <c r="AN23" s="3525">
        <f t="shared" si="67"/>
        <v>0</v>
      </c>
      <c r="AO23" s="3451"/>
      <c r="AP23" s="3525">
        <f t="shared" ref="AP23:AS23" si="68">AP24/(AP11+AP22)*100</f>
        <v>0</v>
      </c>
      <c r="AQ23" s="3525">
        <f t="shared" si="68"/>
        <v>0</v>
      </c>
      <c r="AR23" s="3525">
        <f t="shared" si="68"/>
        <v>0</v>
      </c>
      <c r="AS23" s="3525">
        <f t="shared" si="68"/>
        <v>0</v>
      </c>
      <c r="AT23" s="3451"/>
      <c r="AU23" s="3525">
        <f t="shared" ref="AU23" si="69">AU24/(AU11+AU22)*100</f>
        <v>0</v>
      </c>
      <c r="AV23" s="3451"/>
      <c r="AW23" s="3823">
        <f t="shared" ref="AW23:AZ23" si="70">AW24/(AW11+AW22)*100</f>
        <v>0</v>
      </c>
      <c r="AX23" s="3823">
        <f t="shared" si="70"/>
        <v>0</v>
      </c>
      <c r="AY23" s="3531">
        <f t="shared" si="70"/>
        <v>0</v>
      </c>
      <c r="AZ23" s="3531">
        <f t="shared" si="70"/>
        <v>0</v>
      </c>
      <c r="BA23" s="3512"/>
      <c r="BB23" s="3531">
        <f t="shared" ref="BB23" si="71">BB24/(BB11+BB22)*100</f>
        <v>0</v>
      </c>
      <c r="BC23" s="3532"/>
      <c r="BD23" s="4858">
        <f t="shared" ref="BD23:BE23" si="72">BD24/(BD11+BD22)*100</f>
        <v>0</v>
      </c>
      <c r="BE23" s="4858">
        <f t="shared" si="72"/>
        <v>0</v>
      </c>
    </row>
    <row r="24" spans="1:57" s="1235" customFormat="1" ht="20.100000000000001" customHeight="1" x14ac:dyDescent="0.25">
      <c r="A24" s="3453" t="s">
        <v>924</v>
      </c>
      <c r="B24" s="3454" t="s">
        <v>925</v>
      </c>
      <c r="C24" s="3453" t="s">
        <v>899</v>
      </c>
      <c r="D24" s="3451">
        <f t="shared" ref="D24:E24" si="73">D25+D26+D27</f>
        <v>0</v>
      </c>
      <c r="E24" s="3451">
        <f t="shared" si="73"/>
        <v>0</v>
      </c>
      <c r="F24" s="3451">
        <f>F25+F26+F27</f>
        <v>0</v>
      </c>
      <c r="G24" s="3451">
        <f t="shared" ref="G24:H24" si="74">G25+G26+G27</f>
        <v>0</v>
      </c>
      <c r="H24" s="3451">
        <f t="shared" si="74"/>
        <v>0</v>
      </c>
      <c r="I24" s="3451">
        <f t="shared" ref="I24:AD24" si="75">I25+I26+I27</f>
        <v>0</v>
      </c>
      <c r="J24" s="3451">
        <f t="shared" ref="J24:K24" si="76">J25+J26+J27</f>
        <v>0</v>
      </c>
      <c r="K24" s="3451">
        <f t="shared" si="76"/>
        <v>0</v>
      </c>
      <c r="L24" s="3451">
        <f t="shared" ref="L24:M24" si="77">L25+L26+L27</f>
        <v>0</v>
      </c>
      <c r="M24" s="3451">
        <f t="shared" si="77"/>
        <v>0</v>
      </c>
      <c r="N24" s="3451">
        <f t="shared" si="75"/>
        <v>0</v>
      </c>
      <c r="O24" s="3451">
        <f t="shared" si="75"/>
        <v>0</v>
      </c>
      <c r="P24" s="3451">
        <f t="shared" si="75"/>
        <v>0</v>
      </c>
      <c r="Q24" s="3451">
        <f t="shared" ref="Q24" si="78">Q25+Q26+Q27</f>
        <v>0</v>
      </c>
      <c r="R24" s="3451">
        <f t="shared" si="75"/>
        <v>0</v>
      </c>
      <c r="S24" s="3451">
        <f t="shared" si="75"/>
        <v>0</v>
      </c>
      <c r="T24" s="3451">
        <f t="shared" si="75"/>
        <v>0</v>
      </c>
      <c r="U24" s="3451">
        <f t="shared" si="75"/>
        <v>0</v>
      </c>
      <c r="V24" s="3451">
        <f t="shared" si="75"/>
        <v>0</v>
      </c>
      <c r="W24" s="3451">
        <f t="shared" si="75"/>
        <v>0</v>
      </c>
      <c r="X24" s="3451">
        <f t="shared" si="75"/>
        <v>0</v>
      </c>
      <c r="Y24" s="3451">
        <v>0</v>
      </c>
      <c r="Z24" s="3451">
        <f t="shared" si="75"/>
        <v>0</v>
      </c>
      <c r="AA24" s="3451">
        <f t="shared" si="75"/>
        <v>0</v>
      </c>
      <c r="AB24" s="3451">
        <f t="shared" si="75"/>
        <v>0</v>
      </c>
      <c r="AC24" s="3451">
        <f t="shared" si="75"/>
        <v>0</v>
      </c>
      <c r="AD24" s="3451">
        <f t="shared" si="75"/>
        <v>0</v>
      </c>
      <c r="AE24" s="3451">
        <f t="shared" ref="AE24:AI24" si="79">AE25+AE26+AE27</f>
        <v>0</v>
      </c>
      <c r="AF24" s="3451"/>
      <c r="AG24" s="3451">
        <f t="shared" ref="AG24" si="80">AG25+AG26+AG27</f>
        <v>0</v>
      </c>
      <c r="AH24" s="3451"/>
      <c r="AI24" s="3451">
        <f t="shared" si="79"/>
        <v>0</v>
      </c>
      <c r="AJ24" s="3451">
        <f t="shared" ref="AJ24:AK24" si="81">AJ25+AJ26+AJ27</f>
        <v>0</v>
      </c>
      <c r="AK24" s="3451">
        <f t="shared" si="81"/>
        <v>0</v>
      </c>
      <c r="AL24" s="3451">
        <f t="shared" ref="AL24:AN24" si="82">AL25+AL26+AL27</f>
        <v>0</v>
      </c>
      <c r="AM24" s="3451"/>
      <c r="AN24" s="3451">
        <f t="shared" si="82"/>
        <v>0</v>
      </c>
      <c r="AO24" s="3451"/>
      <c r="AP24" s="3451">
        <f t="shared" ref="AP24:AS24" si="83">AP25+AP26+AP27</f>
        <v>0</v>
      </c>
      <c r="AQ24" s="3451">
        <f t="shared" si="83"/>
        <v>0</v>
      </c>
      <c r="AR24" s="3451">
        <f t="shared" si="83"/>
        <v>0</v>
      </c>
      <c r="AS24" s="3451">
        <f t="shared" si="83"/>
        <v>0</v>
      </c>
      <c r="AT24" s="3451"/>
      <c r="AU24" s="3451">
        <f t="shared" ref="AU24" si="84">AU25+AU26+AU27</f>
        <v>0</v>
      </c>
      <c r="AV24" s="3451"/>
      <c r="AW24" s="3811">
        <f t="shared" ref="AW24:AZ24" si="85">AW25+AW26+AW27</f>
        <v>0</v>
      </c>
      <c r="AX24" s="3811">
        <f t="shared" si="85"/>
        <v>0</v>
      </c>
      <c r="AY24" s="3512">
        <f t="shared" si="85"/>
        <v>0</v>
      </c>
      <c r="AZ24" s="3512">
        <f t="shared" si="85"/>
        <v>0</v>
      </c>
      <c r="BA24" s="3512"/>
      <c r="BB24" s="3512">
        <f t="shared" ref="BB24" si="86">BB25+BB26+BB27</f>
        <v>0</v>
      </c>
      <c r="BC24" s="3532"/>
      <c r="BD24" s="4838">
        <f t="shared" ref="BD24:BE24" si="87">BD25+BD26+BD27</f>
        <v>0</v>
      </c>
      <c r="BE24" s="4838">
        <f t="shared" si="87"/>
        <v>0</v>
      </c>
    </row>
    <row r="25" spans="1:57" s="1236" customFormat="1" ht="24" hidden="1" customHeight="1" x14ac:dyDescent="0.25">
      <c r="A25" s="3453" t="s">
        <v>926</v>
      </c>
      <c r="B25" s="3455" t="s">
        <v>927</v>
      </c>
      <c r="C25" s="3453" t="s">
        <v>899</v>
      </c>
      <c r="D25" s="3451">
        <v>0</v>
      </c>
      <c r="E25" s="3451">
        <v>0</v>
      </c>
      <c r="F25" s="3451">
        <v>0</v>
      </c>
      <c r="G25" s="3451">
        <v>0</v>
      </c>
      <c r="H25" s="3451">
        <v>0</v>
      </c>
      <c r="I25" s="3451">
        <v>0</v>
      </c>
      <c r="J25" s="3451">
        <v>0</v>
      </c>
      <c r="K25" s="3451">
        <v>0</v>
      </c>
      <c r="L25" s="3451">
        <v>0</v>
      </c>
      <c r="M25" s="3451">
        <v>0</v>
      </c>
      <c r="N25" s="3451">
        <v>0</v>
      </c>
      <c r="O25" s="3451">
        <v>0</v>
      </c>
      <c r="P25" s="3451">
        <v>0</v>
      </c>
      <c r="Q25" s="3451">
        <v>0</v>
      </c>
      <c r="R25" s="3451">
        <v>0</v>
      </c>
      <c r="S25" s="3451">
        <v>0</v>
      </c>
      <c r="T25" s="3451">
        <v>0</v>
      </c>
      <c r="U25" s="3451">
        <v>0</v>
      </c>
      <c r="V25" s="3451">
        <v>0</v>
      </c>
      <c r="W25" s="3451">
        <v>0</v>
      </c>
      <c r="X25" s="3451">
        <v>0</v>
      </c>
      <c r="Y25" s="3451">
        <v>0</v>
      </c>
      <c r="Z25" s="3451">
        <v>0</v>
      </c>
      <c r="AA25" s="3451">
        <v>0</v>
      </c>
      <c r="AB25" s="3451">
        <v>0</v>
      </c>
      <c r="AC25" s="3451">
        <v>0</v>
      </c>
      <c r="AD25" s="3451">
        <v>0</v>
      </c>
      <c r="AE25" s="3451">
        <v>0</v>
      </c>
      <c r="AF25" s="3451" t="e">
        <f t="shared" si="19"/>
        <v>#DIV/0!</v>
      </c>
      <c r="AG25" s="3451">
        <v>0</v>
      </c>
      <c r="AH25" s="3451" t="e">
        <f t="shared" ref="AH25:AH27" si="88">AG25/Z25*100</f>
        <v>#DIV/0!</v>
      </c>
      <c r="AI25" s="3451">
        <v>0</v>
      </c>
      <c r="AJ25" s="3451">
        <v>0</v>
      </c>
      <c r="AK25" s="3451">
        <v>0</v>
      </c>
      <c r="AL25" s="3451">
        <v>0</v>
      </c>
      <c r="AM25" s="3451" t="e">
        <f t="shared" ref="AM25:AM27" si="89">AL25/AE25*100</f>
        <v>#DIV/0!</v>
      </c>
      <c r="AN25" s="3451">
        <v>0</v>
      </c>
      <c r="AO25" s="3451" t="e">
        <f t="shared" si="24"/>
        <v>#DIV/0!</v>
      </c>
      <c r="AP25" s="3451">
        <v>0</v>
      </c>
      <c r="AQ25" s="3451">
        <v>0</v>
      </c>
      <c r="AR25" s="3451">
        <v>0</v>
      </c>
      <c r="AS25" s="3451">
        <v>0</v>
      </c>
      <c r="AT25" s="3451" t="e">
        <f t="shared" ref="AT25:AT27" si="90">AS25/AL25*100</f>
        <v>#DIV/0!</v>
      </c>
      <c r="AU25" s="3451">
        <v>0</v>
      </c>
      <c r="AV25" s="3451" t="e">
        <f t="shared" ref="AV25:AV27" si="91">AU25/AN25*100</f>
        <v>#DIV/0!</v>
      </c>
      <c r="AW25" s="3811">
        <v>0</v>
      </c>
      <c r="AX25" s="3811">
        <v>0</v>
      </c>
      <c r="AY25" s="3512">
        <v>0</v>
      </c>
      <c r="AZ25" s="3512">
        <v>0</v>
      </c>
      <c r="BA25" s="3512" t="e">
        <f t="shared" ref="BA25:BA27" si="92">AZ25/AS25*100</f>
        <v>#DIV/0!</v>
      </c>
      <c r="BB25" s="3512">
        <v>0</v>
      </c>
      <c r="BC25" s="3532" t="e">
        <f t="shared" ref="BC25:BC27" si="93">BB25/AU25*100</f>
        <v>#DIV/0!</v>
      </c>
      <c r="BD25" s="4838">
        <v>0</v>
      </c>
      <c r="BE25" s="4838">
        <v>0</v>
      </c>
    </row>
    <row r="26" spans="1:57" s="1236" customFormat="1" ht="56.25" hidden="1" customHeight="1" x14ac:dyDescent="0.25">
      <c r="A26" s="3453" t="s">
        <v>928</v>
      </c>
      <c r="B26" s="3455" t="s">
        <v>929</v>
      </c>
      <c r="C26" s="3453" t="s">
        <v>899</v>
      </c>
      <c r="D26" s="3451">
        <v>0</v>
      </c>
      <c r="E26" s="3451">
        <v>0</v>
      </c>
      <c r="F26" s="3451">
        <v>0</v>
      </c>
      <c r="G26" s="3451">
        <v>0</v>
      </c>
      <c r="H26" s="3451">
        <v>0</v>
      </c>
      <c r="I26" s="3451">
        <v>0</v>
      </c>
      <c r="J26" s="3451">
        <v>0</v>
      </c>
      <c r="K26" s="3451">
        <v>0</v>
      </c>
      <c r="L26" s="3451">
        <v>0</v>
      </c>
      <c r="M26" s="3451">
        <v>0</v>
      </c>
      <c r="N26" s="3451">
        <v>0</v>
      </c>
      <c r="O26" s="3451">
        <v>0</v>
      </c>
      <c r="P26" s="3451">
        <v>0</v>
      </c>
      <c r="Q26" s="3451">
        <v>0</v>
      </c>
      <c r="R26" s="3451">
        <v>0</v>
      </c>
      <c r="S26" s="3451">
        <v>0</v>
      </c>
      <c r="T26" s="3451">
        <v>0</v>
      </c>
      <c r="U26" s="3451">
        <v>0</v>
      </c>
      <c r="V26" s="3451">
        <v>0</v>
      </c>
      <c r="W26" s="3451">
        <v>0</v>
      </c>
      <c r="X26" s="3451">
        <v>0</v>
      </c>
      <c r="Y26" s="3451">
        <v>0</v>
      </c>
      <c r="Z26" s="3451">
        <v>0</v>
      </c>
      <c r="AA26" s="3451">
        <v>0</v>
      </c>
      <c r="AB26" s="3451">
        <v>0</v>
      </c>
      <c r="AC26" s="3451">
        <v>0</v>
      </c>
      <c r="AD26" s="3451">
        <v>0</v>
      </c>
      <c r="AE26" s="3451">
        <v>0</v>
      </c>
      <c r="AF26" s="3451" t="e">
        <f t="shared" si="19"/>
        <v>#DIV/0!</v>
      </c>
      <c r="AG26" s="3451">
        <v>0</v>
      </c>
      <c r="AH26" s="3451" t="e">
        <f t="shared" si="88"/>
        <v>#DIV/0!</v>
      </c>
      <c r="AI26" s="3451">
        <v>0</v>
      </c>
      <c r="AJ26" s="3451">
        <v>0</v>
      </c>
      <c r="AK26" s="3451">
        <v>0</v>
      </c>
      <c r="AL26" s="3451">
        <v>0</v>
      </c>
      <c r="AM26" s="3451" t="e">
        <f t="shared" si="89"/>
        <v>#DIV/0!</v>
      </c>
      <c r="AN26" s="3451">
        <v>0</v>
      </c>
      <c r="AO26" s="3451" t="e">
        <f t="shared" si="24"/>
        <v>#DIV/0!</v>
      </c>
      <c r="AP26" s="3451">
        <v>0</v>
      </c>
      <c r="AQ26" s="3451">
        <v>0</v>
      </c>
      <c r="AR26" s="3451">
        <v>0</v>
      </c>
      <c r="AS26" s="3451">
        <v>0</v>
      </c>
      <c r="AT26" s="3451" t="e">
        <f t="shared" si="90"/>
        <v>#DIV/0!</v>
      </c>
      <c r="AU26" s="3451">
        <v>0</v>
      </c>
      <c r="AV26" s="3451" t="e">
        <f t="shared" si="91"/>
        <v>#DIV/0!</v>
      </c>
      <c r="AW26" s="3811">
        <v>0</v>
      </c>
      <c r="AX26" s="3811">
        <v>0</v>
      </c>
      <c r="AY26" s="3512">
        <v>0</v>
      </c>
      <c r="AZ26" s="3512">
        <v>0</v>
      </c>
      <c r="BA26" s="3512" t="e">
        <f t="shared" si="92"/>
        <v>#DIV/0!</v>
      </c>
      <c r="BB26" s="3512">
        <v>0</v>
      </c>
      <c r="BC26" s="3532" t="e">
        <f t="shared" si="93"/>
        <v>#DIV/0!</v>
      </c>
      <c r="BD26" s="4838">
        <v>0</v>
      </c>
      <c r="BE26" s="4838">
        <v>0</v>
      </c>
    </row>
    <row r="27" spans="1:57" s="1236" customFormat="1" ht="37.5" hidden="1" customHeight="1" x14ac:dyDescent="0.25">
      <c r="A27" s="3453" t="s">
        <v>930</v>
      </c>
      <c r="B27" s="3455" t="s">
        <v>931</v>
      </c>
      <c r="C27" s="3453" t="s">
        <v>899</v>
      </c>
      <c r="D27" s="3451">
        <v>0</v>
      </c>
      <c r="E27" s="3451">
        <v>0</v>
      </c>
      <c r="F27" s="3451">
        <v>0</v>
      </c>
      <c r="G27" s="3451">
        <v>0</v>
      </c>
      <c r="H27" s="3451">
        <v>0</v>
      </c>
      <c r="I27" s="3451">
        <v>0</v>
      </c>
      <c r="J27" s="3451">
        <v>0</v>
      </c>
      <c r="K27" s="3451">
        <v>0</v>
      </c>
      <c r="L27" s="3451">
        <v>0</v>
      </c>
      <c r="M27" s="3451">
        <v>0</v>
      </c>
      <c r="N27" s="3451">
        <v>0</v>
      </c>
      <c r="O27" s="3451">
        <v>0</v>
      </c>
      <c r="P27" s="3451">
        <v>0</v>
      </c>
      <c r="Q27" s="3451">
        <v>0</v>
      </c>
      <c r="R27" s="3451">
        <v>0</v>
      </c>
      <c r="S27" s="3451">
        <v>0</v>
      </c>
      <c r="T27" s="3451">
        <v>0</v>
      </c>
      <c r="U27" s="3451">
        <v>0</v>
      </c>
      <c r="V27" s="3451">
        <v>0</v>
      </c>
      <c r="W27" s="3451">
        <v>0</v>
      </c>
      <c r="X27" s="3451">
        <v>0</v>
      </c>
      <c r="Y27" s="3451">
        <v>0</v>
      </c>
      <c r="Z27" s="3451">
        <v>0</v>
      </c>
      <c r="AA27" s="3451">
        <v>0</v>
      </c>
      <c r="AB27" s="3451">
        <v>0</v>
      </c>
      <c r="AC27" s="3451">
        <v>0</v>
      </c>
      <c r="AD27" s="3451">
        <v>0</v>
      </c>
      <c r="AE27" s="3451">
        <v>0</v>
      </c>
      <c r="AF27" s="3451" t="e">
        <f t="shared" si="19"/>
        <v>#DIV/0!</v>
      </c>
      <c r="AG27" s="3451">
        <v>0</v>
      </c>
      <c r="AH27" s="3451" t="e">
        <f t="shared" si="88"/>
        <v>#DIV/0!</v>
      </c>
      <c r="AI27" s="3451">
        <v>0</v>
      </c>
      <c r="AJ27" s="3451">
        <v>0</v>
      </c>
      <c r="AK27" s="3451">
        <v>0</v>
      </c>
      <c r="AL27" s="3451">
        <v>0</v>
      </c>
      <c r="AM27" s="3451" t="e">
        <f t="shared" si="89"/>
        <v>#DIV/0!</v>
      </c>
      <c r="AN27" s="3451">
        <v>0</v>
      </c>
      <c r="AO27" s="3451" t="e">
        <f t="shared" si="24"/>
        <v>#DIV/0!</v>
      </c>
      <c r="AP27" s="3451">
        <v>0</v>
      </c>
      <c r="AQ27" s="3451">
        <v>0</v>
      </c>
      <c r="AR27" s="3451">
        <v>0</v>
      </c>
      <c r="AS27" s="3451">
        <v>0</v>
      </c>
      <c r="AT27" s="3451" t="e">
        <f t="shared" si="90"/>
        <v>#DIV/0!</v>
      </c>
      <c r="AU27" s="3451">
        <v>0</v>
      </c>
      <c r="AV27" s="3451" t="e">
        <f t="shared" si="91"/>
        <v>#DIV/0!</v>
      </c>
      <c r="AW27" s="3811">
        <v>0</v>
      </c>
      <c r="AX27" s="3811">
        <v>0</v>
      </c>
      <c r="AY27" s="3512">
        <v>0</v>
      </c>
      <c r="AZ27" s="3512">
        <v>0</v>
      </c>
      <c r="BA27" s="3512" t="e">
        <f t="shared" si="92"/>
        <v>#DIV/0!</v>
      </c>
      <c r="BB27" s="3512">
        <v>0</v>
      </c>
      <c r="BC27" s="3532" t="e">
        <f t="shared" si="93"/>
        <v>#DIV/0!</v>
      </c>
      <c r="BD27" s="4838">
        <v>0</v>
      </c>
      <c r="BE27" s="4838">
        <v>0</v>
      </c>
    </row>
    <row r="28" spans="1:57" s="1235" customFormat="1" ht="50.25" customHeight="1" x14ac:dyDescent="0.25">
      <c r="A28" s="3453" t="s">
        <v>193</v>
      </c>
      <c r="B28" s="3454" t="s">
        <v>932</v>
      </c>
      <c r="C28" s="3453" t="s">
        <v>899</v>
      </c>
      <c r="D28" s="3451">
        <v>0</v>
      </c>
      <c r="E28" s="3451">
        <v>0</v>
      </c>
      <c r="F28" s="3451">
        <v>0</v>
      </c>
      <c r="G28" s="3451">
        <v>0</v>
      </c>
      <c r="H28" s="3451">
        <v>0</v>
      </c>
      <c r="I28" s="3451">
        <v>0</v>
      </c>
      <c r="J28" s="3451">
        <f>18.25</f>
        <v>18.25</v>
      </c>
      <c r="K28" s="3451">
        <v>0</v>
      </c>
      <c r="L28" s="3451">
        <v>0</v>
      </c>
      <c r="M28" s="3451">
        <v>0</v>
      </c>
      <c r="N28" s="3451">
        <v>0</v>
      </c>
      <c r="O28" s="3451">
        <v>18.309999999999999</v>
      </c>
      <c r="P28" s="3451">
        <v>0</v>
      </c>
      <c r="Q28" s="3451">
        <v>0</v>
      </c>
      <c r="R28" s="3451">
        <v>0</v>
      </c>
      <c r="S28" s="3451">
        <v>0</v>
      </c>
      <c r="T28" s="3451">
        <v>0</v>
      </c>
      <c r="U28" s="3451">
        <v>0</v>
      </c>
      <c r="V28" s="3451">
        <v>0</v>
      </c>
      <c r="W28" s="3451">
        <v>0</v>
      </c>
      <c r="X28" s="3451">
        <v>0</v>
      </c>
      <c r="Y28" s="3451">
        <v>0</v>
      </c>
      <c r="Z28" s="3451">
        <v>0</v>
      </c>
      <c r="AA28" s="3451">
        <v>0</v>
      </c>
      <c r="AB28" s="3451">
        <v>0</v>
      </c>
      <c r="AC28" s="3451">
        <v>0</v>
      </c>
      <c r="AD28" s="3451">
        <v>0</v>
      </c>
      <c r="AE28" s="3451">
        <v>0</v>
      </c>
      <c r="AF28" s="3451"/>
      <c r="AG28" s="3451">
        <v>0</v>
      </c>
      <c r="AH28" s="3451"/>
      <c r="AI28" s="3451">
        <v>0</v>
      </c>
      <c r="AJ28" s="3451">
        <v>0</v>
      </c>
      <c r="AK28" s="3498">
        <v>0.01</v>
      </c>
      <c r="AL28" s="3498">
        <v>0</v>
      </c>
      <c r="AM28" s="3451"/>
      <c r="AN28" s="3498">
        <v>0</v>
      </c>
      <c r="AO28" s="3451"/>
      <c r="AP28" s="3451">
        <v>0</v>
      </c>
      <c r="AQ28" s="3451">
        <v>0</v>
      </c>
      <c r="AR28" s="3498">
        <v>0.01</v>
      </c>
      <c r="AS28" s="3498">
        <v>0</v>
      </c>
      <c r="AT28" s="3451"/>
      <c r="AU28" s="3498">
        <v>0</v>
      </c>
      <c r="AV28" s="3451"/>
      <c r="AW28" s="3811">
        <v>0</v>
      </c>
      <c r="AX28" s="3811">
        <v>0</v>
      </c>
      <c r="AY28" s="3532">
        <v>0</v>
      </c>
      <c r="AZ28" s="3532">
        <v>0</v>
      </c>
      <c r="BA28" s="3512"/>
      <c r="BB28" s="3532">
        <v>0</v>
      </c>
      <c r="BC28" s="3532"/>
      <c r="BD28" s="4859">
        <v>0.01</v>
      </c>
      <c r="BE28" s="4859">
        <v>-0.01</v>
      </c>
    </row>
    <row r="29" spans="1:57" s="1923" customFormat="1" ht="12.75" hidden="1" customHeight="1" x14ac:dyDescent="0.2">
      <c r="A29" s="3411" t="s">
        <v>1601</v>
      </c>
      <c r="B29" s="3409" t="s">
        <v>1695</v>
      </c>
      <c r="C29" s="3411" t="s">
        <v>899</v>
      </c>
      <c r="D29" s="3411"/>
      <c r="E29" s="3411"/>
      <c r="F29" s="2202"/>
      <c r="G29" s="2202"/>
      <c r="H29" s="2202"/>
      <c r="I29" s="2202"/>
      <c r="J29" s="2202"/>
      <c r="K29" s="2202"/>
      <c r="L29" s="2202"/>
      <c r="M29" s="2202"/>
      <c r="N29" s="2202"/>
      <c r="O29" s="2202"/>
      <c r="P29" s="2202"/>
      <c r="Q29" s="2202"/>
      <c r="R29" s="2202"/>
      <c r="S29" s="2202"/>
      <c r="T29" s="2202"/>
      <c r="U29" s="2202"/>
      <c r="V29" s="2202"/>
      <c r="W29" s="2202"/>
      <c r="X29" s="2202"/>
      <c r="Y29" s="2202"/>
      <c r="Z29" s="2202"/>
      <c r="AA29" s="2202"/>
      <c r="AB29" s="2202"/>
      <c r="AC29" s="2202"/>
      <c r="AD29" s="2202"/>
      <c r="AE29" s="2202"/>
      <c r="AF29" s="3451" t="e">
        <f t="shared" si="19"/>
        <v>#DIV/0!</v>
      </c>
      <c r="AG29" s="2202"/>
      <c r="AH29" s="3451" t="e">
        <f t="shared" ref="AH29:AH30" si="94">AG29/Z29*100</f>
        <v>#DIV/0!</v>
      </c>
      <c r="AI29" s="2202"/>
      <c r="AJ29" s="2202"/>
      <c r="AK29" s="2202"/>
      <c r="AL29" s="3772"/>
      <c r="AM29" s="3451" t="e">
        <f t="shared" ref="AM29:AM30" si="95">AL29/AE29*100</f>
        <v>#DIV/0!</v>
      </c>
      <c r="AN29" s="3772"/>
      <c r="AO29" s="3451" t="e">
        <f t="shared" si="24"/>
        <v>#DIV/0!</v>
      </c>
      <c r="AP29" s="3772"/>
      <c r="AQ29" s="3772"/>
      <c r="AR29" s="3772"/>
      <c r="AS29" s="4033"/>
      <c r="AT29" s="3451" t="e">
        <f t="shared" ref="AT29:AT30" si="96">AS29/AL29*100</f>
        <v>#DIV/0!</v>
      </c>
      <c r="AU29" s="4033"/>
      <c r="AV29" s="3451" t="e">
        <f t="shared" ref="AV29:AV30" si="97">AU29/AN29*100</f>
        <v>#DIV/0!</v>
      </c>
      <c r="AW29" s="3814"/>
      <c r="AX29" s="3814"/>
      <c r="AY29" s="2456"/>
      <c r="AZ29" s="2456"/>
      <c r="BA29" s="3512" t="e">
        <f t="shared" ref="BA29:BA30" si="98">AZ29/AS29*100</f>
        <v>#DIV/0!</v>
      </c>
      <c r="BB29" s="2456"/>
      <c r="BC29" s="3532" t="e">
        <f t="shared" ref="BC29:BC30" si="99">BB29/AU29*100</f>
        <v>#DIV/0!</v>
      </c>
      <c r="BD29" s="4841"/>
      <c r="BE29" s="4841"/>
    </row>
    <row r="30" spans="1:57" s="1924" customFormat="1" ht="12.75" hidden="1" customHeight="1" x14ac:dyDescent="0.2">
      <c r="A30" s="3277" t="s">
        <v>1696</v>
      </c>
      <c r="B30" s="3409" t="s">
        <v>1697</v>
      </c>
      <c r="C30" s="3411" t="s">
        <v>899</v>
      </c>
      <c r="D30" s="3411"/>
      <c r="E30" s="3411"/>
      <c r="F30" s="2202"/>
      <c r="G30" s="2202"/>
      <c r="H30" s="2202"/>
      <c r="I30" s="2202"/>
      <c r="J30" s="2202"/>
      <c r="K30" s="2202"/>
      <c r="L30" s="2202"/>
      <c r="M30" s="2202"/>
      <c r="N30" s="2202"/>
      <c r="O30" s="2202"/>
      <c r="P30" s="2202"/>
      <c r="Q30" s="2202"/>
      <c r="R30" s="2202"/>
      <c r="S30" s="2202"/>
      <c r="T30" s="2202"/>
      <c r="U30" s="2202"/>
      <c r="V30" s="2202"/>
      <c r="W30" s="2202"/>
      <c r="X30" s="2202"/>
      <c r="Y30" s="2202"/>
      <c r="Z30" s="2202"/>
      <c r="AA30" s="2202"/>
      <c r="AB30" s="2202"/>
      <c r="AC30" s="2202"/>
      <c r="AD30" s="2202"/>
      <c r="AE30" s="2202"/>
      <c r="AF30" s="3451" t="e">
        <f t="shared" si="19"/>
        <v>#DIV/0!</v>
      </c>
      <c r="AG30" s="2202"/>
      <c r="AH30" s="3451" t="e">
        <f t="shared" si="94"/>
        <v>#DIV/0!</v>
      </c>
      <c r="AI30" s="2202"/>
      <c r="AJ30" s="2202"/>
      <c r="AK30" s="2202"/>
      <c r="AL30" s="3772"/>
      <c r="AM30" s="3451" t="e">
        <f t="shared" si="95"/>
        <v>#DIV/0!</v>
      </c>
      <c r="AN30" s="3772"/>
      <c r="AO30" s="3451" t="e">
        <f t="shared" si="24"/>
        <v>#DIV/0!</v>
      </c>
      <c r="AP30" s="3772"/>
      <c r="AQ30" s="3772"/>
      <c r="AR30" s="3772"/>
      <c r="AS30" s="4033"/>
      <c r="AT30" s="3451" t="e">
        <f t="shared" si="96"/>
        <v>#DIV/0!</v>
      </c>
      <c r="AU30" s="4033"/>
      <c r="AV30" s="3451" t="e">
        <f t="shared" si="97"/>
        <v>#DIV/0!</v>
      </c>
      <c r="AW30" s="3814"/>
      <c r="AX30" s="3814"/>
      <c r="AY30" s="2456"/>
      <c r="AZ30" s="2456"/>
      <c r="BA30" s="3512" t="e">
        <f t="shared" si="98"/>
        <v>#DIV/0!</v>
      </c>
      <c r="BB30" s="2456"/>
      <c r="BC30" s="3532" t="e">
        <f t="shared" si="99"/>
        <v>#DIV/0!</v>
      </c>
      <c r="BD30" s="4841"/>
      <c r="BE30" s="4841"/>
    </row>
    <row r="31" spans="1:57" s="1924" customFormat="1" ht="20.25" customHeight="1" x14ac:dyDescent="0.2">
      <c r="A31" s="3277"/>
      <c r="B31" s="3409" t="s">
        <v>1698</v>
      </c>
      <c r="C31" s="3411" t="s">
        <v>899</v>
      </c>
      <c r="D31" s="3411"/>
      <c r="E31" s="3411"/>
      <c r="F31" s="2202"/>
      <c r="G31" s="2202"/>
      <c r="H31" s="2202">
        <f>ТН!D40</f>
        <v>38.527939999999987</v>
      </c>
      <c r="I31" s="2202"/>
      <c r="J31" s="2202"/>
      <c r="K31" s="2202"/>
      <c r="L31" s="2202"/>
      <c r="M31" s="2202">
        <f>ТН!J40</f>
        <v>29.77777</v>
      </c>
      <c r="N31" s="2202"/>
      <c r="O31" s="2202"/>
      <c r="P31" s="2202"/>
      <c r="Q31" s="2202"/>
      <c r="R31" s="2202"/>
      <c r="S31" s="2202"/>
      <c r="T31" s="2202"/>
      <c r="U31" s="2202"/>
      <c r="V31" s="2202"/>
      <c r="W31" s="2202"/>
      <c r="X31" s="2202"/>
      <c r="Y31" s="2202"/>
      <c r="Z31" s="2202"/>
      <c r="AA31" s="2202"/>
      <c r="AB31" s="2202"/>
      <c r="AC31" s="2202"/>
      <c r="AD31" s="2202"/>
      <c r="AE31" s="2202"/>
      <c r="AF31" s="3451"/>
      <c r="AG31" s="2202"/>
      <c r="AH31" s="3451"/>
      <c r="AI31" s="2202"/>
      <c r="AJ31" s="2202"/>
      <c r="AK31" s="2202"/>
      <c r="AL31" s="3772"/>
      <c r="AM31" s="3451"/>
      <c r="AN31" s="3772"/>
      <c r="AO31" s="3451"/>
      <c r="AP31" s="3772"/>
      <c r="AQ31" s="3772"/>
      <c r="AR31" s="3772"/>
      <c r="AS31" s="4033"/>
      <c r="AT31" s="3451"/>
      <c r="AU31" s="4033"/>
      <c r="AV31" s="3451"/>
      <c r="AW31" s="3814"/>
      <c r="AX31" s="3814"/>
      <c r="AY31" s="2456"/>
      <c r="AZ31" s="2456"/>
      <c r="BA31" s="3512"/>
      <c r="BB31" s="2456"/>
      <c r="BC31" s="3532"/>
      <c r="BD31" s="4841"/>
      <c r="BE31" s="4841"/>
    </row>
    <row r="32" spans="1:57" s="1925" customFormat="1" ht="63.75" customHeight="1" x14ac:dyDescent="0.2">
      <c r="A32" s="3411" t="s">
        <v>185</v>
      </c>
      <c r="B32" s="3409" t="s">
        <v>1699</v>
      </c>
      <c r="C32" s="3411" t="s">
        <v>899</v>
      </c>
      <c r="D32" s="3411"/>
      <c r="E32" s="3411"/>
      <c r="F32" s="2202"/>
      <c r="G32" s="2202"/>
      <c r="H32" s="2202">
        <f>H10-H31</f>
        <v>236.40813123873733</v>
      </c>
      <c r="I32" s="2202"/>
      <c r="J32" s="2202"/>
      <c r="K32" s="2202"/>
      <c r="L32" s="2202"/>
      <c r="M32" s="2202">
        <f>M10-M31</f>
        <v>254.00252250458792</v>
      </c>
      <c r="N32" s="2202"/>
      <c r="O32" s="2202"/>
      <c r="P32" s="2202">
        <f>H32*1.039*1.037</f>
        <v>254.71628614625882</v>
      </c>
      <c r="Q32" s="2202"/>
      <c r="R32" s="2202"/>
      <c r="S32" s="2202"/>
      <c r="T32" s="2202"/>
      <c r="U32" s="2202"/>
      <c r="V32" s="2202"/>
      <c r="W32" s="2202"/>
      <c r="X32" s="2202"/>
      <c r="Y32" s="2202"/>
      <c r="Z32" s="2202"/>
      <c r="AA32" s="2202"/>
      <c r="AB32" s="2202"/>
      <c r="AC32" s="2202"/>
      <c r="AD32" s="2202"/>
      <c r="AE32" s="2202"/>
      <c r="AF32" s="3451"/>
      <c r="AG32" s="2202"/>
      <c r="AH32" s="3451"/>
      <c r="AI32" s="2202"/>
      <c r="AJ32" s="2202"/>
      <c r="AK32" s="2202"/>
      <c r="AL32" s="3772"/>
      <c r="AM32" s="3451"/>
      <c r="AN32" s="3772">
        <f>SUM(вода!CW169)</f>
        <v>4.8516000000000004</v>
      </c>
      <c r="AO32" s="3451"/>
      <c r="AP32" s="3772"/>
      <c r="AQ32" s="3772"/>
      <c r="AR32" s="3772"/>
      <c r="AS32" s="4033"/>
      <c r="AT32" s="3451"/>
      <c r="AU32" s="4033">
        <f>SUM(вода!DL169)</f>
        <v>7.55</v>
      </c>
      <c r="AV32" s="3451"/>
      <c r="AW32" s="3814"/>
      <c r="AX32" s="3814"/>
      <c r="AY32" s="2456"/>
      <c r="AZ32" s="2456"/>
      <c r="BA32" s="3512"/>
      <c r="BB32" s="2456">
        <f>SUM(вода!EG169)</f>
        <v>2.8909477975794601E-2</v>
      </c>
      <c r="BC32" s="3512"/>
      <c r="BD32" s="4841"/>
      <c r="BE32" s="4841"/>
    </row>
    <row r="33" spans="1:57" s="1925" customFormat="1" ht="63" customHeight="1" x14ac:dyDescent="0.2">
      <c r="A33" s="3411" t="s">
        <v>936</v>
      </c>
      <c r="B33" s="3409" t="s">
        <v>1700</v>
      </c>
      <c r="C33" s="3411" t="s">
        <v>899</v>
      </c>
      <c r="D33" s="3411"/>
      <c r="E33" s="3411"/>
      <c r="F33" s="2202"/>
      <c r="G33" s="2202"/>
      <c r="H33" s="2202"/>
      <c r="I33" s="2202"/>
      <c r="J33" s="2202"/>
      <c r="K33" s="2202"/>
      <c r="L33" s="2202"/>
      <c r="M33" s="2202"/>
      <c r="N33" s="2202"/>
      <c r="O33" s="2202"/>
      <c r="P33" s="2202">
        <v>0</v>
      </c>
      <c r="Q33" s="2202"/>
      <c r="R33" s="2202"/>
      <c r="S33" s="2202"/>
      <c r="T33" s="2202"/>
      <c r="U33" s="2202"/>
      <c r="V33" s="2202"/>
      <c r="W33" s="2202"/>
      <c r="X33" s="2202"/>
      <c r="Y33" s="2202"/>
      <c r="Z33" s="2202"/>
      <c r="AA33" s="2202"/>
      <c r="AB33" s="2202"/>
      <c r="AC33" s="2202"/>
      <c r="AD33" s="2202"/>
      <c r="AE33" s="2202"/>
      <c r="AF33" s="3451"/>
      <c r="AG33" s="2202"/>
      <c r="AH33" s="3451"/>
      <c r="AI33" s="2202"/>
      <c r="AJ33" s="2202"/>
      <c r="AK33" s="2202"/>
      <c r="AL33" s="3772"/>
      <c r="AM33" s="3451"/>
      <c r="AN33" s="3772"/>
      <c r="AO33" s="3451"/>
      <c r="AP33" s="3772"/>
      <c r="AQ33" s="3772"/>
      <c r="AR33" s="3772"/>
      <c r="AS33" s="4033"/>
      <c r="AT33" s="3451"/>
      <c r="AU33" s="4033"/>
      <c r="AV33" s="3451"/>
      <c r="AW33" s="3814"/>
      <c r="AX33" s="3814">
        <v>4.0000000000000001E-3</v>
      </c>
      <c r="AY33" s="2456">
        <v>0</v>
      </c>
      <c r="AZ33" s="2456"/>
      <c r="BA33" s="3512"/>
      <c r="BB33" s="2456"/>
      <c r="BC33" s="3512"/>
      <c r="BD33" s="4841"/>
      <c r="BE33" s="4841"/>
    </row>
    <row r="34" spans="1:57" s="1925" customFormat="1" ht="153.75" customHeight="1" x14ac:dyDescent="0.2">
      <c r="A34" s="3411" t="s">
        <v>942</v>
      </c>
      <c r="B34" s="3526" t="s">
        <v>1701</v>
      </c>
      <c r="C34" s="3411" t="s">
        <v>899</v>
      </c>
      <c r="D34" s="3411"/>
      <c r="E34" s="3411"/>
      <c r="F34" s="2202"/>
      <c r="G34" s="2202"/>
      <c r="H34" s="2202"/>
      <c r="I34" s="2202"/>
      <c r="J34" s="2202"/>
      <c r="K34" s="2202"/>
      <c r="L34" s="2202"/>
      <c r="M34" s="2202"/>
      <c r="N34" s="2202"/>
      <c r="O34" s="2202"/>
      <c r="P34" s="2202">
        <f>-А!C39</f>
        <v>-3.706200318684449</v>
      </c>
      <c r="Q34" s="2202"/>
      <c r="R34" s="2202"/>
      <c r="S34" s="2202"/>
      <c r="T34" s="2202"/>
      <c r="U34" s="2202"/>
      <c r="V34" s="2202"/>
      <c r="W34" s="2202"/>
      <c r="X34" s="2202"/>
      <c r="Y34" s="2202"/>
      <c r="Z34" s="2202"/>
      <c r="AA34" s="2202"/>
      <c r="AB34" s="2202"/>
      <c r="AC34" s="2202"/>
      <c r="AD34" s="2202"/>
      <c r="AE34" s="2202"/>
      <c r="AF34" s="3451"/>
      <c r="AG34" s="2202"/>
      <c r="AH34" s="3451"/>
      <c r="AI34" s="2202"/>
      <c r="AJ34" s="2202"/>
      <c r="AK34" s="2202"/>
      <c r="AL34" s="3772"/>
      <c r="AM34" s="3451"/>
      <c r="AN34" s="3772"/>
      <c r="AO34" s="3451"/>
      <c r="AP34" s="3772"/>
      <c r="AQ34" s="3772"/>
      <c r="AR34" s="3772"/>
      <c r="AS34" s="4033"/>
      <c r="AT34" s="3451"/>
      <c r="AU34" s="4033"/>
      <c r="AV34" s="3451"/>
      <c r="AW34" s="3814"/>
      <c r="AX34" s="3814">
        <v>4.0000000000000001E-3</v>
      </c>
      <c r="AY34" s="2456">
        <v>4.0000000000000001E-3</v>
      </c>
      <c r="AZ34" s="2456"/>
      <c r="BA34" s="3512"/>
      <c r="BB34" s="2456"/>
      <c r="BC34" s="3512"/>
      <c r="BD34" s="4841"/>
      <c r="BE34" s="4841"/>
    </row>
    <row r="35" spans="1:57" s="2032" customFormat="1" ht="24" customHeight="1" x14ac:dyDescent="0.2">
      <c r="A35" s="3527" t="s">
        <v>2039</v>
      </c>
      <c r="B35" s="3528" t="s">
        <v>1750</v>
      </c>
      <c r="C35" s="3410" t="s">
        <v>899</v>
      </c>
      <c r="D35" s="3527"/>
      <c r="E35" s="3527"/>
      <c r="F35" s="3529"/>
      <c r="G35" s="3529"/>
      <c r="H35" s="3529"/>
      <c r="I35" s="3529"/>
      <c r="J35" s="3529"/>
      <c r="K35" s="3529">
        <f>K10</f>
        <v>345.86970594954454</v>
      </c>
      <c r="L35" s="3529"/>
      <c r="M35" s="3529"/>
      <c r="N35" s="3529"/>
      <c r="O35" s="3529"/>
      <c r="P35" s="3529">
        <f>P10+P32+P33+P34</f>
        <v>617.80769458998327</v>
      </c>
      <c r="Q35" s="3529">
        <f t="shared" ref="Q35" si="100">Q10+Q32+Q33+Q34</f>
        <v>24.232999999999997</v>
      </c>
      <c r="R35" s="3529">
        <f t="shared" ref="R35:AD35" si="101">R10+R32+R33+R34</f>
        <v>103.50999999999999</v>
      </c>
      <c r="S35" s="3529">
        <f t="shared" si="101"/>
        <v>106.53999999999999</v>
      </c>
      <c r="T35" s="3529">
        <f t="shared" si="101"/>
        <v>109.44</v>
      </c>
      <c r="U35" s="3529">
        <f t="shared" si="101"/>
        <v>112.58</v>
      </c>
      <c r="V35" s="3529">
        <f t="shared" si="101"/>
        <v>115.67999999999999</v>
      </c>
      <c r="W35" s="3529">
        <f t="shared" si="101"/>
        <v>0</v>
      </c>
      <c r="X35" s="3529">
        <f t="shared" si="101"/>
        <v>30.811242463479257</v>
      </c>
      <c r="Y35" s="3483">
        <f>X35/P35*100</f>
        <v>4.9871898218955613</v>
      </c>
      <c r="Z35" s="3529">
        <f t="shared" si="101"/>
        <v>31.785934257425236</v>
      </c>
      <c r="AA35" s="3529">
        <f t="shared" si="101"/>
        <v>32.583910354880125</v>
      </c>
      <c r="AB35" s="3529">
        <f t="shared" si="101"/>
        <v>33.502140830376895</v>
      </c>
      <c r="AC35" s="3529">
        <f t="shared" si="101"/>
        <v>34.552245945013873</v>
      </c>
      <c r="AD35" s="3529">
        <f t="shared" si="101"/>
        <v>35.58084459643441</v>
      </c>
      <c r="AE35" s="3529">
        <f t="shared" ref="AE35:AI35" si="102">AE10+AE32+AE33+AE34</f>
        <v>34.59801046541218</v>
      </c>
      <c r="AF35" s="3493">
        <f t="shared" si="19"/>
        <v>112.29021519148863</v>
      </c>
      <c r="AG35" s="3529">
        <f t="shared" ref="AG35" si="103">AG10+AG32+AG33+AG34</f>
        <v>30.517876104420509</v>
      </c>
      <c r="AH35" s="3493">
        <f>AG35/X35*100</f>
        <v>99.047859366896745</v>
      </c>
      <c r="AI35" s="3529">
        <f t="shared" si="102"/>
        <v>12.51976</v>
      </c>
      <c r="AJ35" s="3529">
        <f t="shared" ref="AJ35:AK35" si="104">AJ10+AJ32+AJ33+AJ34</f>
        <v>18.962799999999998</v>
      </c>
      <c r="AK35" s="3529">
        <f t="shared" si="104"/>
        <v>24.069100000000006</v>
      </c>
      <c r="AL35" s="3529">
        <f t="shared" ref="AL35:AN35" si="105">AL10+AL32+AL33+AL34</f>
        <v>59.179996884835646</v>
      </c>
      <c r="AM35" s="3771">
        <f>AL35/AG35*100</f>
        <v>193.91912032916153</v>
      </c>
      <c r="AN35" s="3529">
        <f t="shared" si="105"/>
        <v>33.778215626442403</v>
      </c>
      <c r="AO35" s="3451">
        <f t="shared" si="24"/>
        <v>110.68337623124971</v>
      </c>
      <c r="AP35" s="3529">
        <f t="shared" ref="AP35:AS35" si="106">AP10+AP32+AP33+AP34</f>
        <v>10.47058</v>
      </c>
      <c r="AQ35" s="3529">
        <f t="shared" si="106"/>
        <v>17.489899999999999</v>
      </c>
      <c r="AR35" s="3529">
        <f t="shared" si="106"/>
        <v>20.560550000000003</v>
      </c>
      <c r="AS35" s="3529">
        <f t="shared" si="106"/>
        <v>34.722695029798096</v>
      </c>
      <c r="AT35" s="4032">
        <f>AS35/AN35*100</f>
        <v>102.79611988330232</v>
      </c>
      <c r="AU35" s="3529">
        <f t="shared" ref="AU35" si="107">AU10+AU32+AU33+AU34</f>
        <v>38.720261258094759</v>
      </c>
      <c r="AV35" s="3451">
        <f t="shared" ref="AV35:AV39" si="108">AU35/AN35*100</f>
        <v>114.63086649190433</v>
      </c>
      <c r="AW35" s="3824">
        <f t="shared" ref="AW35:AZ35" si="109">AW10+AW32+AW33+AW34</f>
        <v>9.5183499999999981</v>
      </c>
      <c r="AX35" s="3824">
        <f t="shared" si="109"/>
        <v>2882.7394300000001</v>
      </c>
      <c r="AY35" s="3533">
        <f t="shared" si="109"/>
        <v>520.23082999999997</v>
      </c>
      <c r="AZ35" s="3533">
        <f t="shared" si="109"/>
        <v>38.609191905739003</v>
      </c>
      <c r="BA35" s="3512">
        <f>AZ35/AU35*100</f>
        <v>99.713149269279427</v>
      </c>
      <c r="BB35" s="3533">
        <f t="shared" ref="BB35" si="110">BB10+BB32+BB33+BB34</f>
        <v>35.15197226143377</v>
      </c>
      <c r="BC35" s="3512">
        <f t="shared" ref="BC35:BC39" si="111">BB35/AU35*100</f>
        <v>90.784439772045673</v>
      </c>
      <c r="BD35" s="4860">
        <f t="shared" ref="BD35:BE35" si="112">BD10+BD32+BD33+BD34</f>
        <v>13.270830519999999</v>
      </c>
      <c r="BE35" s="4860">
        <f t="shared" si="112"/>
        <v>17.941818039999994</v>
      </c>
    </row>
    <row r="36" spans="1:57" s="2731" customFormat="1" ht="17.25" customHeight="1" x14ac:dyDescent="0.25">
      <c r="A36" s="3449" t="s">
        <v>2040</v>
      </c>
      <c r="B36" s="3450" t="s">
        <v>933</v>
      </c>
      <c r="C36" s="3449" t="s">
        <v>934</v>
      </c>
      <c r="D36" s="3449">
        <v>46.13</v>
      </c>
      <c r="E36" s="3449">
        <v>18.22</v>
      </c>
      <c r="F36" s="3451">
        <f>'объемы ВС и ВО 2023'!AB39</f>
        <v>21.42</v>
      </c>
      <c r="G36" s="3451">
        <f>'объемы ВС и ВО 2023'!Z49</f>
        <v>2.4</v>
      </c>
      <c r="H36" s="3451">
        <f>'объемы ВС и ВО 2023'!Z49</f>
        <v>2.4</v>
      </c>
      <c r="I36" s="3451">
        <f>F36</f>
        <v>21.42</v>
      </c>
      <c r="J36" s="3451">
        <v>18</v>
      </c>
      <c r="K36" s="3451">
        <f>'объемы ВС и ВО 2023'!AK49</f>
        <v>20.349</v>
      </c>
      <c r="L36" s="3451">
        <f>M36</f>
        <v>1.77</v>
      </c>
      <c r="M36" s="3451">
        <f>'объемы ВС и ВО 2023'!AQ49</f>
        <v>1.77</v>
      </c>
      <c r="N36" s="3451">
        <f>I36</f>
        <v>21.42</v>
      </c>
      <c r="O36" s="3451">
        <f>'объемы ВС и ВО 2023'!AM49</f>
        <v>20</v>
      </c>
      <c r="P36" s="3451">
        <f>N36</f>
        <v>21.42</v>
      </c>
      <c r="Q36" s="3451">
        <f>SUM('объемы ВС и ВО 2023'!AW49)</f>
        <v>1.33</v>
      </c>
      <c r="R36" s="3451">
        <f>'объемы ВС и ВО 2023'!AY49</f>
        <v>5</v>
      </c>
      <c r="S36" s="3451">
        <f>R36</f>
        <v>5</v>
      </c>
      <c r="T36" s="3451">
        <f>S36</f>
        <v>5</v>
      </c>
      <c r="U36" s="3451">
        <f t="shared" ref="U36:V36" si="113">T36</f>
        <v>5</v>
      </c>
      <c r="V36" s="3451">
        <f t="shared" si="113"/>
        <v>5</v>
      </c>
      <c r="W36" s="3451">
        <f>'объемы ВС и ВО 2023'!BA49</f>
        <v>1.77</v>
      </c>
      <c r="X36" s="3451">
        <f>W36</f>
        <v>1.77</v>
      </c>
      <c r="Y36" s="3451">
        <f>X36/P36*100</f>
        <v>8.2633053221288506</v>
      </c>
      <c r="Z36" s="3451">
        <f>X36</f>
        <v>1.77</v>
      </c>
      <c r="AA36" s="3451">
        <f t="shared" ref="AA36:AD36" si="114">Z36</f>
        <v>1.77</v>
      </c>
      <c r="AB36" s="3451">
        <f t="shared" si="114"/>
        <v>1.77</v>
      </c>
      <c r="AC36" s="3451">
        <f t="shared" si="114"/>
        <v>1.77</v>
      </c>
      <c r="AD36" s="3451">
        <f t="shared" si="114"/>
        <v>1.77</v>
      </c>
      <c r="AE36" s="3451">
        <f>SUM('объемы ВС и ВО 2023'!BC44)</f>
        <v>1.77</v>
      </c>
      <c r="AF36" s="3451">
        <f t="shared" si="19"/>
        <v>100</v>
      </c>
      <c r="AG36" s="3451">
        <f>SUM('объемы ВС и ВО 2023'!BE44)</f>
        <v>1.77</v>
      </c>
      <c r="AH36" s="3451">
        <f>AG36/X36*100</f>
        <v>100</v>
      </c>
      <c r="AI36" s="3451">
        <f>SUM('объемы ВС и ВО 2023'!BG44)</f>
        <v>0.55800000000000005</v>
      </c>
      <c r="AJ36" s="3451">
        <f>SUM('объемы ВС и ВО 2023'!BI44)</f>
        <v>0.82899999999999996</v>
      </c>
      <c r="AK36" s="3451">
        <f>SUM('объемы ВС и ВО 2023'!BK44)</f>
        <v>1.129</v>
      </c>
      <c r="AL36" s="3451">
        <f>SUM('объемы ВС и ВО 2023'!BM44)</f>
        <v>1.77</v>
      </c>
      <c r="AM36" s="3451">
        <f>AL36/AG36*100</f>
        <v>100</v>
      </c>
      <c r="AN36" s="3451">
        <f>SUM('объемы ВС и ВО 2023'!BO44)</f>
        <v>1.7698</v>
      </c>
      <c r="AO36" s="3451">
        <f t="shared" si="24"/>
        <v>99.988700564971751</v>
      </c>
      <c r="AP36" s="3451">
        <f>SUM('объемы ВС и ВО 2023'!BR44)</f>
        <v>0.54100000000000004</v>
      </c>
      <c r="AQ36" s="3451">
        <f>SUM('объемы ВС и ВО 2023'!BT44)</f>
        <v>0.72599999999999998</v>
      </c>
      <c r="AR36" s="3451">
        <f>SUM('объемы ВС и ВО 2023'!BV44)</f>
        <v>0.93200000000000005</v>
      </c>
      <c r="AS36" s="3451">
        <f>SUM('объемы ВС и ВО 2023'!BX44)</f>
        <v>1.7698</v>
      </c>
      <c r="AT36" s="3451">
        <f>AS36/AN36*100</f>
        <v>100</v>
      </c>
      <c r="AU36" s="3451">
        <f>SUM('объемы ВС и ВО 2023'!BZ44)</f>
        <v>1.7698</v>
      </c>
      <c r="AV36" s="3451">
        <f t="shared" si="108"/>
        <v>100</v>
      </c>
      <c r="AW36" s="3811">
        <f>SUM('объемы ВС и ВО 2023'!CB44)</f>
        <v>0.41399999999999998</v>
      </c>
      <c r="AX36" s="3811">
        <f>SUM('объемы ВС и ВО 2023'!CD44)</f>
        <v>0.59799999999999998</v>
      </c>
      <c r="AY36" s="3512">
        <f>SUM('объемы ВС и ВО 2023'!CF44)</f>
        <v>0.78200000000000003</v>
      </c>
      <c r="AZ36" s="3512">
        <f>SUM('объемы ВС и ВО 2023'!CH44)</f>
        <v>1.7698</v>
      </c>
      <c r="BA36" s="3512">
        <f>AZ36/AU36*100</f>
        <v>100</v>
      </c>
      <c r="BB36" s="3512">
        <f>SUM('объемы ВС и ВО 2023'!CJ49)</f>
        <v>1.351</v>
      </c>
      <c r="BC36" s="3512">
        <f t="shared" si="111"/>
        <v>76.336309187478818</v>
      </c>
      <c r="BD36" s="4838">
        <f>SUM('объемы ВС и ВО 2023'!CL49)</f>
        <v>0.79100000000000004</v>
      </c>
      <c r="BE36" s="4838">
        <f>SUM('объемы ВС и ВО 2023'!CN49)</f>
        <v>0.79100000000000004</v>
      </c>
    </row>
    <row r="37" spans="1:57" s="1234" customFormat="1" ht="21" customHeight="1" x14ac:dyDescent="0.25">
      <c r="A37" s="5619" t="s">
        <v>2041</v>
      </c>
      <c r="B37" s="3450" t="s">
        <v>937</v>
      </c>
      <c r="C37" s="3449" t="s">
        <v>938</v>
      </c>
      <c r="D37" s="3451">
        <v>18.829999999999998</v>
      </c>
      <c r="E37" s="3451">
        <f t="shared" ref="E37:O37" si="115">E10/E36</f>
        <v>16.891328210757411</v>
      </c>
      <c r="F37" s="3451">
        <f t="shared" si="115"/>
        <v>16.058875036723588</v>
      </c>
      <c r="G37" s="3451">
        <f t="shared" si="115"/>
        <v>17.475000000000001</v>
      </c>
      <c r="H37" s="3451">
        <f t="shared" si="115"/>
        <v>114.5566963494739</v>
      </c>
      <c r="I37" s="3451">
        <f t="shared" si="115"/>
        <v>17.061988059938759</v>
      </c>
      <c r="J37" s="3451">
        <f t="shared" si="115"/>
        <v>21.28927777777778</v>
      </c>
      <c r="K37" s="3451">
        <f t="shared" si="115"/>
        <v>16.99688957440388</v>
      </c>
      <c r="L37" s="3451"/>
      <c r="M37" s="3451"/>
      <c r="N37" s="3451">
        <f t="shared" si="115"/>
        <v>17.923053054609099</v>
      </c>
      <c r="O37" s="3451">
        <f t="shared" si="115"/>
        <v>19.2285</v>
      </c>
      <c r="P37" s="3451">
        <f>P35/P36</f>
        <v>28.842562772641607</v>
      </c>
      <c r="Q37" s="3451">
        <f t="shared" ref="Q37" si="116">Q35/Q36</f>
        <v>18.220300751879694</v>
      </c>
      <c r="R37" s="3451">
        <f t="shared" ref="R37:AD37" si="117">R35/R36</f>
        <v>20.701999999999998</v>
      </c>
      <c r="S37" s="3451">
        <f t="shared" si="117"/>
        <v>21.308</v>
      </c>
      <c r="T37" s="3451">
        <f t="shared" si="117"/>
        <v>21.887999999999998</v>
      </c>
      <c r="U37" s="3451">
        <f t="shared" si="117"/>
        <v>22.515999999999998</v>
      </c>
      <c r="V37" s="3451">
        <f t="shared" si="117"/>
        <v>23.135999999999999</v>
      </c>
      <c r="W37" s="3451">
        <f t="shared" si="117"/>
        <v>0</v>
      </c>
      <c r="X37" s="3451">
        <f t="shared" si="117"/>
        <v>17.407481617784892</v>
      </c>
      <c r="Y37" s="3451">
        <f>X37/P37*100</f>
        <v>60.353449709041207</v>
      </c>
      <c r="Z37" s="3451">
        <f t="shared" si="117"/>
        <v>17.958154947697874</v>
      </c>
      <c r="AA37" s="3451">
        <f t="shared" si="117"/>
        <v>18.408988901062216</v>
      </c>
      <c r="AB37" s="3451">
        <f t="shared" si="117"/>
        <v>18.927763181003897</v>
      </c>
      <c r="AC37" s="3451">
        <f t="shared" si="117"/>
        <v>19.5210429067875</v>
      </c>
      <c r="AD37" s="3451">
        <f t="shared" si="117"/>
        <v>20.102172088381021</v>
      </c>
      <c r="AE37" s="3451">
        <f t="shared" ref="AE37:AI37" si="118">AE35/AE36</f>
        <v>19.54689856802948</v>
      </c>
      <c r="AF37" s="3451">
        <f t="shared" si="19"/>
        <v>112.29021519148863</v>
      </c>
      <c r="AG37" s="3451">
        <f t="shared" ref="AG37" si="119">AG35/AG36</f>
        <v>17.241737912101982</v>
      </c>
      <c r="AH37" s="3451">
        <f>AG37/X37*100</f>
        <v>99.047859366896745</v>
      </c>
      <c r="AI37" s="3451">
        <f t="shared" si="118"/>
        <v>22.436845878136197</v>
      </c>
      <c r="AJ37" s="3451">
        <f t="shared" ref="AJ37:AK37" si="120">AJ35/AJ36</f>
        <v>22.874306393244872</v>
      </c>
      <c r="AK37" s="3451">
        <f t="shared" si="120"/>
        <v>21.318954827280784</v>
      </c>
      <c r="AL37" s="3451">
        <f t="shared" ref="AL37:AN37" si="121">AL35/AL36</f>
        <v>33.435026488607711</v>
      </c>
      <c r="AM37" s="3451">
        <f>AL37/AG37*100</f>
        <v>193.91912032916156</v>
      </c>
      <c r="AN37" s="3451">
        <f t="shared" si="121"/>
        <v>19.085894240277096</v>
      </c>
      <c r="AO37" s="3451">
        <f t="shared" si="24"/>
        <v>110.69588424076844</v>
      </c>
      <c r="AP37" s="3451">
        <f t="shared" ref="AP37:AS37" si="122">AP35/AP36</f>
        <v>19.354121996303142</v>
      </c>
      <c r="AQ37" s="3451">
        <f t="shared" si="122"/>
        <v>24.090771349862258</v>
      </c>
      <c r="AR37" s="3451">
        <f t="shared" si="122"/>
        <v>22.060675965665236</v>
      </c>
      <c r="AS37" s="3451">
        <f t="shared" si="122"/>
        <v>19.619558724035539</v>
      </c>
      <c r="AT37" s="3451">
        <f>AS37/AN37*100</f>
        <v>102.79611988330232</v>
      </c>
      <c r="AU37" s="3451">
        <f t="shared" ref="AU37" si="123">AU35/AU36</f>
        <v>21.878325945358096</v>
      </c>
      <c r="AV37" s="3451">
        <f t="shared" si="108"/>
        <v>114.63086649190433</v>
      </c>
      <c r="AW37" s="3825">
        <f t="shared" ref="AW37:AZ37" si="124">AW35/AW36</f>
        <v>22.991183574879223</v>
      </c>
      <c r="AX37" s="3811">
        <f t="shared" si="124"/>
        <v>4820.6344983277595</v>
      </c>
      <c r="AY37" s="3512">
        <f t="shared" si="124"/>
        <v>665.25681585677739</v>
      </c>
      <c r="AZ37" s="3512">
        <f t="shared" si="124"/>
        <v>21.815567807514409</v>
      </c>
      <c r="BA37" s="3512">
        <f>AZ37/AU37*100</f>
        <v>99.713149269279427</v>
      </c>
      <c r="BB37" s="3512">
        <f t="shared" ref="BB37" si="125">BB35/BB36</f>
        <v>26.019224471823662</v>
      </c>
      <c r="BC37" s="3512">
        <f t="shared" si="111"/>
        <v>118.92694412181082</v>
      </c>
      <c r="BD37" s="4838">
        <f t="shared" ref="BD37:BE37" si="126">BD35/BD36</f>
        <v>16.777282579013903</v>
      </c>
      <c r="BE37" s="4838">
        <f t="shared" si="126"/>
        <v>22.682450113780018</v>
      </c>
    </row>
    <row r="38" spans="1:57" s="1234" customFormat="1" ht="13.5" customHeight="1" x14ac:dyDescent="0.25">
      <c r="A38" s="5620"/>
      <c r="B38" s="3495" t="s">
        <v>939</v>
      </c>
      <c r="C38" s="3449" t="s">
        <v>938</v>
      </c>
      <c r="D38" s="3453">
        <v>18.420000000000002</v>
      </c>
      <c r="E38" s="3449"/>
      <c r="F38" s="3451">
        <f>F37</f>
        <v>16.058875036723588</v>
      </c>
      <c r="G38" s="3451">
        <f>F38</f>
        <v>16.058875036723588</v>
      </c>
      <c r="H38" s="3451">
        <f>G38</f>
        <v>16.058875036723588</v>
      </c>
      <c r="I38" s="3451">
        <f>F39</f>
        <v>16.058875036723588</v>
      </c>
      <c r="J38" s="3451">
        <f>F39</f>
        <v>16.058875036723588</v>
      </c>
      <c r="K38" s="3451">
        <f>F39</f>
        <v>16.058875036723588</v>
      </c>
      <c r="L38" s="3451"/>
      <c r="M38" s="3451"/>
      <c r="N38" s="3451">
        <f>I39</f>
        <v>18.06510108315393</v>
      </c>
      <c r="O38" s="3451">
        <f>K39</f>
        <v>17.934904112084173</v>
      </c>
      <c r="P38" s="3451">
        <f>K39</f>
        <v>17.934904112084173</v>
      </c>
      <c r="Q38" s="3451"/>
      <c r="R38" s="3451"/>
      <c r="S38" s="3451"/>
      <c r="T38" s="3451"/>
      <c r="U38" s="3451"/>
      <c r="V38" s="3451"/>
      <c r="W38" s="3451"/>
      <c r="X38" s="3451">
        <f>X37</f>
        <v>17.407481617784892</v>
      </c>
      <c r="Y38" s="3493"/>
      <c r="Z38" s="3451">
        <f>X39</f>
        <v>17.407481617784892</v>
      </c>
      <c r="AA38" s="3451">
        <f>AA37</f>
        <v>18.408988901062216</v>
      </c>
      <c r="AB38" s="3451">
        <f t="shared" ref="AB38:AD38" si="127">AA39</f>
        <v>18.408988901062216</v>
      </c>
      <c r="AC38" s="3451">
        <f t="shared" si="127"/>
        <v>19.446537460945578</v>
      </c>
      <c r="AD38" s="3451">
        <f t="shared" si="127"/>
        <v>19.595548352629422</v>
      </c>
      <c r="AE38" s="3451">
        <f>SUM(X39)</f>
        <v>17.407481617784892</v>
      </c>
      <c r="AF38" s="3493"/>
      <c r="AG38" s="3451">
        <f>SUM(AG37)</f>
        <v>17.241737912101982</v>
      </c>
      <c r="AH38" s="3493"/>
      <c r="AI38" s="3451"/>
      <c r="AJ38" s="3451"/>
      <c r="AK38" s="3451"/>
      <c r="AL38" s="3451">
        <f>SUM(AG39)</f>
        <v>17.241737912101982</v>
      </c>
      <c r="AM38" s="3771"/>
      <c r="AN38" s="3451">
        <f>SUM(AG39)</f>
        <v>17.241737912101982</v>
      </c>
      <c r="AO38" s="3451">
        <f t="shared" si="24"/>
        <v>100</v>
      </c>
      <c r="AP38" s="3451"/>
      <c r="AQ38" s="3451"/>
      <c r="AR38" s="3451"/>
      <c r="AS38" s="3451">
        <f>SUM(AN39)</f>
        <v>20.930050568452209</v>
      </c>
      <c r="AT38" s="4032"/>
      <c r="AU38" s="3451">
        <f>SUM(AN39)</f>
        <v>20.930050568452209</v>
      </c>
      <c r="AV38" s="3451">
        <f t="shared" si="108"/>
        <v>121.39176848153687</v>
      </c>
      <c r="AW38" s="3811"/>
      <c r="AX38" s="3512"/>
      <c r="AY38" s="3512"/>
      <c r="AZ38" s="3512">
        <f>SUM(AU39)</f>
        <v>22.826601322263983</v>
      </c>
      <c r="BA38" s="4031"/>
      <c r="BB38" s="3512"/>
      <c r="BC38" s="3512">
        <f t="shared" si="111"/>
        <v>0</v>
      </c>
      <c r="BD38" s="4838"/>
      <c r="BE38" s="4838"/>
    </row>
    <row r="39" spans="1:57" s="1234" customFormat="1" ht="15" customHeight="1" x14ac:dyDescent="0.25">
      <c r="A39" s="5620"/>
      <c r="B39" s="3495" t="s">
        <v>940</v>
      </c>
      <c r="C39" s="3449" t="s">
        <v>938</v>
      </c>
      <c r="D39" s="3453">
        <v>20.11</v>
      </c>
      <c r="E39" s="3449"/>
      <c r="F39" s="3451">
        <f>F37*2-F38</f>
        <v>16.058875036723588</v>
      </c>
      <c r="G39" s="3451">
        <f t="shared" ref="G39:H39" si="128">G37*2-G38</f>
        <v>18.891124963276415</v>
      </c>
      <c r="H39" s="3451">
        <f t="shared" si="128"/>
        <v>213.05451766222421</v>
      </c>
      <c r="I39" s="3451">
        <f>I37*2-I38</f>
        <v>18.06510108315393</v>
      </c>
      <c r="J39" s="3451">
        <f>J37*2-J38</f>
        <v>26.519680518831972</v>
      </c>
      <c r="K39" s="3451">
        <f>K37*2-K38</f>
        <v>17.934904112084173</v>
      </c>
      <c r="L39" s="3451"/>
      <c r="M39" s="3451"/>
      <c r="N39" s="3451">
        <f>N37*2-N38</f>
        <v>17.781005026064268</v>
      </c>
      <c r="O39" s="3451">
        <f t="shared" ref="O39:P39" si="129">O37*2-O38</f>
        <v>20.522095887915828</v>
      </c>
      <c r="P39" s="3451">
        <f t="shared" si="129"/>
        <v>39.750221433199044</v>
      </c>
      <c r="Q39" s="3451"/>
      <c r="R39" s="3451"/>
      <c r="S39" s="3451"/>
      <c r="T39" s="3451"/>
      <c r="U39" s="3451"/>
      <c r="V39" s="3451"/>
      <c r="W39" s="3451"/>
      <c r="X39" s="3451">
        <f t="shared" ref="X39:AD39" si="130">X37*2-X38</f>
        <v>17.407481617784892</v>
      </c>
      <c r="Y39" s="3451"/>
      <c r="Z39" s="3451">
        <f t="shared" si="130"/>
        <v>18.508828277610856</v>
      </c>
      <c r="AA39" s="3451">
        <f t="shared" si="130"/>
        <v>18.408988901062216</v>
      </c>
      <c r="AB39" s="3451">
        <f t="shared" si="130"/>
        <v>19.446537460945578</v>
      </c>
      <c r="AC39" s="3451">
        <f t="shared" si="130"/>
        <v>19.595548352629422</v>
      </c>
      <c r="AD39" s="3451">
        <f t="shared" si="130"/>
        <v>20.608795824132621</v>
      </c>
      <c r="AE39" s="3451">
        <f t="shared" ref="AE39:AG39" si="131">AE37*2-AE38</f>
        <v>21.686315518274068</v>
      </c>
      <c r="AF39" s="3451"/>
      <c r="AG39" s="3451">
        <f t="shared" si="131"/>
        <v>17.241737912101982</v>
      </c>
      <c r="AH39" s="3451"/>
      <c r="AI39" s="3451"/>
      <c r="AJ39" s="3451"/>
      <c r="AK39" s="3451"/>
      <c r="AL39" s="3451">
        <f t="shared" ref="AL39:AN39" si="132">AL37*2-AL38</f>
        <v>49.628315065113441</v>
      </c>
      <c r="AM39" s="3451"/>
      <c r="AN39" s="3451">
        <f t="shared" si="132"/>
        <v>20.930050568452209</v>
      </c>
      <c r="AO39" s="3451">
        <f t="shared" si="24"/>
        <v>121.39176848153687</v>
      </c>
      <c r="AP39" s="3451"/>
      <c r="AQ39" s="3451"/>
      <c r="AR39" s="3451"/>
      <c r="AS39" s="3451">
        <f t="shared" ref="AS39" si="133">AS37*2-AS38</f>
        <v>18.309066879618868</v>
      </c>
      <c r="AT39" s="3451"/>
      <c r="AU39" s="3451">
        <f t="shared" ref="AU39" si="134">AU37*2-AU38</f>
        <v>22.826601322263983</v>
      </c>
      <c r="AV39" s="3451">
        <f t="shared" si="108"/>
        <v>109.06137683523059</v>
      </c>
      <c r="AW39" s="3811"/>
      <c r="AX39" s="3512"/>
      <c r="AY39" s="3512"/>
      <c r="AZ39" s="3512">
        <f t="shared" ref="AZ39" si="135">AZ37*2-AZ38</f>
        <v>20.804534292764835</v>
      </c>
      <c r="BA39" s="3512"/>
      <c r="BB39" s="3512"/>
      <c r="BC39" s="3512">
        <f t="shared" si="111"/>
        <v>0</v>
      </c>
      <c r="BD39" s="4838"/>
      <c r="BE39" s="4838"/>
    </row>
    <row r="40" spans="1:57" s="1234" customFormat="1" ht="15" customHeight="1" x14ac:dyDescent="0.25">
      <c r="A40" s="5620"/>
      <c r="B40" s="3495" t="s">
        <v>4231</v>
      </c>
      <c r="C40" s="4157"/>
      <c r="D40" s="3453"/>
      <c r="E40" s="4157"/>
      <c r="F40" s="3451"/>
      <c r="G40" s="3451"/>
      <c r="H40" s="3451"/>
      <c r="I40" s="3451"/>
      <c r="J40" s="3451"/>
      <c r="K40" s="3451"/>
      <c r="L40" s="3451"/>
      <c r="M40" s="3451"/>
      <c r="N40" s="3451"/>
      <c r="O40" s="3451"/>
      <c r="P40" s="3451"/>
      <c r="Q40" s="3451"/>
      <c r="R40" s="3451"/>
      <c r="S40" s="3451"/>
      <c r="T40" s="3451"/>
      <c r="U40" s="3451"/>
      <c r="V40" s="3451"/>
      <c r="W40" s="3451"/>
      <c r="X40" s="3451"/>
      <c r="Y40" s="3451"/>
      <c r="Z40" s="3451"/>
      <c r="AA40" s="3451"/>
      <c r="AB40" s="3451"/>
      <c r="AC40" s="3451"/>
      <c r="AD40" s="3451"/>
      <c r="AE40" s="3451"/>
      <c r="AF40" s="3451"/>
      <c r="AG40" s="3451"/>
      <c r="AH40" s="3451"/>
      <c r="AI40" s="3451"/>
      <c r="AJ40" s="3451"/>
      <c r="AK40" s="3451"/>
      <c r="AL40" s="3451"/>
      <c r="AM40" s="3451"/>
      <c r="AN40" s="3451"/>
      <c r="AO40" s="3451"/>
      <c r="AP40" s="3451"/>
      <c r="AQ40" s="3451"/>
      <c r="AR40" s="3451"/>
      <c r="AS40" s="3451"/>
      <c r="AT40" s="3451"/>
      <c r="AU40" s="3451"/>
      <c r="AV40" s="3451"/>
      <c r="AW40" s="3811"/>
      <c r="AX40" s="3512"/>
      <c r="AY40" s="3512"/>
      <c r="AZ40" s="3512"/>
      <c r="BA40" s="3512"/>
      <c r="BB40" s="3512">
        <f>SUM(BB37)</f>
        <v>26.019224471823662</v>
      </c>
      <c r="BC40" s="3512"/>
      <c r="BD40" s="4838"/>
      <c r="BE40" s="4838"/>
    </row>
    <row r="41" spans="1:57" s="1234" customFormat="1" ht="17.25" customHeight="1" x14ac:dyDescent="0.25">
      <c r="A41" s="5620"/>
      <c r="B41" s="3450" t="s">
        <v>941</v>
      </c>
      <c r="C41" s="3449"/>
      <c r="D41" s="3449"/>
      <c r="E41" s="3449"/>
      <c r="F41" s="3451"/>
      <c r="G41" s="3451"/>
      <c r="H41" s="3451"/>
      <c r="I41" s="3451"/>
      <c r="J41" s="3451"/>
      <c r="K41" s="3451"/>
      <c r="L41" s="3451"/>
      <c r="M41" s="3451"/>
      <c r="N41" s="3451"/>
      <c r="O41" s="3451"/>
      <c r="P41" s="3451"/>
      <c r="Q41" s="3451"/>
      <c r="R41" s="3451"/>
      <c r="S41" s="3451"/>
      <c r="T41" s="3451"/>
      <c r="U41" s="3451"/>
      <c r="V41" s="3451"/>
      <c r="W41" s="3451"/>
      <c r="X41" s="3451"/>
      <c r="Y41" s="3451"/>
      <c r="Z41" s="3451"/>
      <c r="AA41" s="3451"/>
      <c r="AB41" s="3451"/>
      <c r="AC41" s="3451"/>
      <c r="AD41" s="3451"/>
      <c r="AE41" s="3451"/>
      <c r="AF41" s="3451"/>
      <c r="AG41" s="3451"/>
      <c r="AH41" s="3451"/>
      <c r="AI41" s="3451"/>
      <c r="AJ41" s="3451"/>
      <c r="AK41" s="3451"/>
      <c r="AL41" s="3451"/>
      <c r="AM41" s="3451"/>
      <c r="AN41" s="3451"/>
      <c r="AO41" s="3451"/>
      <c r="AP41" s="3451"/>
      <c r="AQ41" s="3451"/>
      <c r="AR41" s="3451"/>
      <c r="AS41" s="3451"/>
      <c r="AT41" s="3451"/>
      <c r="AU41" s="3451"/>
      <c r="AV41" s="3451"/>
      <c r="AW41" s="3811"/>
      <c r="AX41" s="3512"/>
      <c r="AY41" s="3512"/>
      <c r="AZ41" s="3512"/>
      <c r="BA41" s="3512"/>
      <c r="BB41" s="3512"/>
      <c r="BC41" s="3512"/>
      <c r="BD41" s="4838"/>
      <c r="BE41" s="4838"/>
    </row>
    <row r="42" spans="1:57" s="1234" customFormat="1" ht="16.5" customHeight="1" x14ac:dyDescent="0.25">
      <c r="A42" s="5620"/>
      <c r="B42" s="3495" t="s">
        <v>939</v>
      </c>
      <c r="C42" s="3449" t="s">
        <v>44</v>
      </c>
      <c r="D42" s="3449"/>
      <c r="E42" s="3449"/>
      <c r="F42" s="3451"/>
      <c r="G42" s="3451"/>
      <c r="H42" s="3451"/>
      <c r="I42" s="3451">
        <f>I38/F39*100</f>
        <v>100</v>
      </c>
      <c r="J42" s="3451"/>
      <c r="K42" s="3451">
        <f>K38/F39*100</f>
        <v>100</v>
      </c>
      <c r="L42" s="3451"/>
      <c r="M42" s="3451"/>
      <c r="N42" s="3451">
        <f>N38/I39*100</f>
        <v>100</v>
      </c>
      <c r="O42" s="3451"/>
      <c r="P42" s="3451">
        <f>P38/K39*100</f>
        <v>100</v>
      </c>
      <c r="Q42" s="3451"/>
      <c r="R42" s="3451"/>
      <c r="S42" s="3451"/>
      <c r="T42" s="3451"/>
      <c r="U42" s="3451"/>
      <c r="V42" s="3451"/>
      <c r="W42" s="3451"/>
      <c r="X42" s="3451">
        <f>X38/P39*100</f>
        <v>43.792162634964122</v>
      </c>
      <c r="Y42" s="3451"/>
      <c r="Z42" s="3451">
        <f>Z38/X39*100</f>
        <v>100</v>
      </c>
      <c r="AA42" s="3451">
        <f t="shared" ref="AA42:AD42" si="136">AA38/Z39*100</f>
        <v>99.460585105382322</v>
      </c>
      <c r="AB42" s="3451">
        <f t="shared" si="136"/>
        <v>100</v>
      </c>
      <c r="AC42" s="3451">
        <f t="shared" si="136"/>
        <v>100</v>
      </c>
      <c r="AD42" s="3451">
        <f t="shared" si="136"/>
        <v>100</v>
      </c>
      <c r="AE42" s="3451">
        <f>AE38/X39*100</f>
        <v>100</v>
      </c>
      <c r="AF42" s="3451"/>
      <c r="AG42" s="3451">
        <f>AG38/X39*100</f>
        <v>99.047859366896745</v>
      </c>
      <c r="AH42" s="3451"/>
      <c r="AI42" s="3451"/>
      <c r="AJ42" s="3451"/>
      <c r="AK42" s="3451"/>
      <c r="AL42" s="3451">
        <f>AL38/AG39*100</f>
        <v>100</v>
      </c>
      <c r="AM42" s="3451"/>
      <c r="AN42" s="3451">
        <f>AN38/AG39*100</f>
        <v>100</v>
      </c>
      <c r="AO42" s="3451"/>
      <c r="AP42" s="3451"/>
      <c r="AQ42" s="3451"/>
      <c r="AR42" s="3451"/>
      <c r="AS42" s="3451">
        <f>AS38/AN39*100</f>
        <v>100</v>
      </c>
      <c r="AT42" s="3451"/>
      <c r="AU42" s="3451">
        <f>AU38/AN39*100</f>
        <v>100</v>
      </c>
      <c r="AV42" s="3451"/>
      <c r="AW42" s="3811"/>
      <c r="AX42" s="3512"/>
      <c r="AY42" s="3512"/>
      <c r="AZ42" s="3512">
        <f>AZ38/AU39*100</f>
        <v>100</v>
      </c>
      <c r="BA42" s="3512"/>
      <c r="BB42" s="3512"/>
      <c r="BC42" s="3512"/>
      <c r="BD42" s="4838"/>
      <c r="BE42" s="4838"/>
    </row>
    <row r="43" spans="1:57" s="1234" customFormat="1" ht="20.25" customHeight="1" x14ac:dyDescent="0.25">
      <c r="A43" s="5620"/>
      <c r="B43" s="3495" t="s">
        <v>940</v>
      </c>
      <c r="C43" s="3449" t="s">
        <v>44</v>
      </c>
      <c r="D43" s="3449"/>
      <c r="E43" s="3449"/>
      <c r="F43" s="3451">
        <f>F39/F38*100</f>
        <v>100</v>
      </c>
      <c r="G43" s="3451">
        <f t="shared" ref="G43:H43" si="137">G39/G38*100</f>
        <v>117.63666458625532</v>
      </c>
      <c r="H43" s="3451">
        <f t="shared" si="137"/>
        <v>1326.708858341628</v>
      </c>
      <c r="I43" s="3451">
        <f>I39/I38*100</f>
        <v>112.4929426366572</v>
      </c>
      <c r="J43" s="3451">
        <f>J39/J38*100</f>
        <v>165.14033802608537</v>
      </c>
      <c r="K43" s="3451">
        <f>K39/K38*100</f>
        <v>111.68219486776292</v>
      </c>
      <c r="L43" s="3451"/>
      <c r="M43" s="3451"/>
      <c r="N43" s="3451">
        <f>N39/N38*100</f>
        <v>98.427376321992526</v>
      </c>
      <c r="O43" s="3451">
        <f t="shared" ref="O43:P43" si="138">O39/O38*100</f>
        <v>114.42545641539539</v>
      </c>
      <c r="P43" s="3451">
        <f t="shared" si="138"/>
        <v>221.63609676851385</v>
      </c>
      <c r="Q43" s="3451"/>
      <c r="R43" s="3451"/>
      <c r="S43" s="3451"/>
      <c r="T43" s="3451"/>
      <c r="U43" s="3451"/>
      <c r="V43" s="3451"/>
      <c r="W43" s="3451"/>
      <c r="X43" s="3451">
        <f>X39/X38*100</f>
        <v>100</v>
      </c>
      <c r="Y43" s="3451"/>
      <c r="Z43" s="3451">
        <f t="shared" ref="Z43:AD43" si="139">Z39/Z38*100</f>
        <v>106.32685809474438</v>
      </c>
      <c r="AA43" s="3451">
        <f t="shared" si="139"/>
        <v>100</v>
      </c>
      <c r="AB43" s="3451">
        <f t="shared" si="139"/>
        <v>105.63609748183124</v>
      </c>
      <c r="AC43" s="3451">
        <f t="shared" si="139"/>
        <v>100.76625924786407</v>
      </c>
      <c r="AD43" s="3451">
        <f t="shared" si="139"/>
        <v>105.17080437489894</v>
      </c>
      <c r="AE43" s="3451">
        <f>AE39/AE38*100</f>
        <v>124.58043038297724</v>
      </c>
      <c r="AF43" s="3451"/>
      <c r="AG43" s="3451">
        <f>AG39/AG38*100</f>
        <v>100</v>
      </c>
      <c r="AH43" s="3451"/>
      <c r="AI43" s="3451"/>
      <c r="AJ43" s="3451"/>
      <c r="AK43" s="3451"/>
      <c r="AL43" s="3451">
        <f>AL39/AG38*100</f>
        <v>287.83824065832312</v>
      </c>
      <c r="AM43" s="3451"/>
      <c r="AN43" s="3451">
        <f>SUM(AN39/AN38)*100</f>
        <v>121.39176848153687</v>
      </c>
      <c r="AO43" s="3451"/>
      <c r="AP43" s="3451"/>
      <c r="AQ43" s="3451"/>
      <c r="AR43" s="3451"/>
      <c r="AS43" s="3451">
        <f>AS39/AS38*100</f>
        <v>87.477413490897433</v>
      </c>
      <c r="AT43" s="3451"/>
      <c r="AU43" s="3451">
        <f>SUM(AU39/AU38)*100</f>
        <v>109.06137683523059</v>
      </c>
      <c r="AV43" s="3451"/>
      <c r="AW43" s="3811"/>
      <c r="AX43" s="3512"/>
      <c r="AY43" s="3512"/>
      <c r="AZ43" s="3512">
        <f>AZ39/AZ38*100</f>
        <v>91.141620248447069</v>
      </c>
      <c r="BA43" s="3512"/>
      <c r="BB43" s="3512"/>
      <c r="BC43" s="3512"/>
      <c r="BD43" s="4838"/>
      <c r="BE43" s="4838"/>
    </row>
    <row r="44" spans="1:57" s="1234" customFormat="1" ht="20.25" customHeight="1" x14ac:dyDescent="0.25">
      <c r="A44" s="5621"/>
      <c r="B44" s="3495" t="s">
        <v>4231</v>
      </c>
      <c r="C44" s="4157"/>
      <c r="D44" s="4157"/>
      <c r="E44" s="4157"/>
      <c r="F44" s="3451"/>
      <c r="G44" s="3451"/>
      <c r="H44" s="3451"/>
      <c r="I44" s="3451"/>
      <c r="J44" s="3451"/>
      <c r="K44" s="3451"/>
      <c r="L44" s="3451"/>
      <c r="M44" s="3451"/>
      <c r="N44" s="3451"/>
      <c r="O44" s="3451"/>
      <c r="P44" s="3451"/>
      <c r="Q44" s="3451"/>
      <c r="R44" s="3451"/>
      <c r="S44" s="3451"/>
      <c r="T44" s="3451"/>
      <c r="U44" s="3451"/>
      <c r="V44" s="3451"/>
      <c r="W44" s="3451"/>
      <c r="X44" s="3451"/>
      <c r="Y44" s="3451"/>
      <c r="Z44" s="3451"/>
      <c r="AA44" s="3451"/>
      <c r="AB44" s="3451"/>
      <c r="AC44" s="3451"/>
      <c r="AD44" s="3451"/>
      <c r="AE44" s="3451"/>
      <c r="AF44" s="3451"/>
      <c r="AG44" s="3451"/>
      <c r="AH44" s="3451"/>
      <c r="AI44" s="3451"/>
      <c r="AJ44" s="3451"/>
      <c r="AK44" s="3451"/>
      <c r="AL44" s="3451"/>
      <c r="AM44" s="3451"/>
      <c r="AN44" s="3451"/>
      <c r="AO44" s="3451"/>
      <c r="AP44" s="3451"/>
      <c r="AQ44" s="3451"/>
      <c r="AR44" s="3451"/>
      <c r="AS44" s="3451"/>
      <c r="AT44" s="3451"/>
      <c r="AU44" s="3451"/>
      <c r="AV44" s="3451"/>
      <c r="AW44" s="3811"/>
      <c r="AX44" s="3512"/>
      <c r="AY44" s="3512"/>
      <c r="AZ44" s="3512"/>
      <c r="BA44" s="3512"/>
      <c r="BB44" s="3532">
        <f>SUM(BB40/AU39)*100</f>
        <v>113.98641481702205</v>
      </c>
      <c r="BC44" s="3512"/>
      <c r="BD44" s="4838"/>
      <c r="BE44" s="4838"/>
    </row>
    <row r="45" spans="1:57" ht="9" customHeight="1" x14ac:dyDescent="0.25"/>
    <row r="46" spans="1:57" ht="31.5" hidden="1" x14ac:dyDescent="0.25">
      <c r="A46" s="1240" t="s">
        <v>942</v>
      </c>
      <c r="B46" s="1241" t="s">
        <v>943</v>
      </c>
      <c r="C46" s="1242"/>
      <c r="D46" s="2045"/>
      <c r="E46" s="2045"/>
      <c r="F46" s="1242"/>
      <c r="G46" s="1994"/>
      <c r="H46" s="1994"/>
      <c r="I46" s="1242"/>
      <c r="J46" s="1570"/>
      <c r="K46" s="1570"/>
      <c r="L46" s="2045"/>
      <c r="M46" s="2045"/>
      <c r="N46" s="1242"/>
      <c r="O46" s="1995"/>
      <c r="P46" s="1995"/>
      <c r="Q46" s="1995"/>
      <c r="R46" s="1995"/>
      <c r="S46" s="1995"/>
      <c r="T46" s="1995"/>
      <c r="U46" s="1995"/>
      <c r="V46" s="1995"/>
      <c r="W46" s="1995"/>
      <c r="X46" s="1995"/>
      <c r="Y46" s="1995"/>
      <c r="Z46" s="1995"/>
      <c r="AA46" s="1995"/>
      <c r="AB46" s="1995"/>
      <c r="AC46" s="1995"/>
      <c r="AD46" s="1995"/>
      <c r="AE46" s="1995"/>
      <c r="AF46" s="1995"/>
      <c r="AG46" s="1995"/>
      <c r="AH46" s="1995"/>
    </row>
    <row r="47" spans="1:57" ht="31.5" hidden="1" x14ac:dyDescent="0.25">
      <c r="A47" s="1242"/>
      <c r="B47" s="1243" t="s">
        <v>939</v>
      </c>
      <c r="C47" s="1244" t="s">
        <v>944</v>
      </c>
      <c r="D47" s="2046"/>
      <c r="E47" s="2046"/>
      <c r="F47" s="1242"/>
      <c r="G47" s="1994"/>
      <c r="H47" s="1994"/>
      <c r="I47" s="1245">
        <f>F48</f>
        <v>0</v>
      </c>
      <c r="J47" s="1571"/>
      <c r="K47" s="1571"/>
      <c r="L47" s="2078"/>
      <c r="M47" s="2078"/>
      <c r="N47" s="1245">
        <f>I48</f>
        <v>0</v>
      </c>
      <c r="O47" s="1996"/>
      <c r="P47" s="1996"/>
      <c r="Q47" s="1996"/>
      <c r="R47" s="1996"/>
      <c r="S47" s="1996"/>
      <c r="T47" s="1996"/>
      <c r="U47" s="1996"/>
      <c r="V47" s="1996"/>
      <c r="W47" s="1996"/>
      <c r="X47" s="1996"/>
      <c r="Y47" s="1996"/>
      <c r="Z47" s="1996"/>
      <c r="AA47" s="1996"/>
      <c r="AB47" s="1996"/>
      <c r="AC47" s="1996"/>
      <c r="AD47" s="1996"/>
      <c r="AE47" s="1996"/>
      <c r="AF47" s="1996"/>
      <c r="AG47" s="1996"/>
      <c r="AH47" s="1996"/>
    </row>
    <row r="48" spans="1:57" ht="31.5" hidden="1" x14ac:dyDescent="0.25">
      <c r="A48" s="1242"/>
      <c r="B48" s="1243" t="s">
        <v>940</v>
      </c>
      <c r="C48" s="1244" t="s">
        <v>944</v>
      </c>
      <c r="D48" s="2046"/>
      <c r="E48" s="2046"/>
      <c r="F48" s="1242"/>
      <c r="G48" s="1994"/>
      <c r="H48" s="1994"/>
      <c r="I48" s="1242"/>
      <c r="J48" s="1570"/>
      <c r="K48" s="1570"/>
      <c r="L48" s="2045"/>
      <c r="M48" s="2045"/>
      <c r="N48" s="1242"/>
      <c r="O48" s="1995"/>
      <c r="P48" s="1995"/>
      <c r="Q48" s="1995"/>
      <c r="R48" s="1995"/>
      <c r="S48" s="1995"/>
      <c r="T48" s="1995"/>
      <c r="U48" s="1995"/>
      <c r="V48" s="1995"/>
      <c r="W48" s="1995"/>
      <c r="X48" s="1995"/>
      <c r="Y48" s="1995"/>
      <c r="Z48" s="1995"/>
      <c r="AA48" s="1995"/>
      <c r="AB48" s="1995"/>
      <c r="AC48" s="1995"/>
      <c r="AD48" s="1995"/>
      <c r="AE48" s="1995"/>
      <c r="AF48" s="1995"/>
      <c r="AG48" s="1995"/>
      <c r="AH48" s="1995"/>
    </row>
    <row r="49" spans="1:34" ht="15.75" hidden="1" x14ac:dyDescent="0.25">
      <c r="A49" s="1242"/>
      <c r="B49" s="1243" t="s">
        <v>347</v>
      </c>
      <c r="C49" s="1244" t="s">
        <v>44</v>
      </c>
      <c r="D49" s="2046"/>
      <c r="E49" s="2046"/>
      <c r="F49" s="1242" t="e">
        <f>F48/F47*100</f>
        <v>#DIV/0!</v>
      </c>
      <c r="G49" s="1994"/>
      <c r="H49" s="1994"/>
      <c r="I49" s="1242" t="e">
        <f>I48/I47*100</f>
        <v>#DIV/0!</v>
      </c>
      <c r="J49" s="1570"/>
      <c r="K49" s="1570"/>
      <c r="L49" s="2045"/>
      <c r="M49" s="2045"/>
      <c r="N49" s="1242" t="e">
        <f>N48/N47*100</f>
        <v>#DIV/0!</v>
      </c>
      <c r="O49" s="1995"/>
      <c r="P49" s="1995"/>
      <c r="Q49" s="1995"/>
      <c r="R49" s="1995"/>
      <c r="S49" s="1995"/>
      <c r="T49" s="1995"/>
      <c r="U49" s="1995"/>
      <c r="V49" s="1995"/>
      <c r="W49" s="1995"/>
      <c r="X49" s="1995"/>
      <c r="Y49" s="1995"/>
      <c r="Z49" s="1995"/>
      <c r="AA49" s="1995"/>
      <c r="AB49" s="1995"/>
      <c r="AC49" s="1995"/>
      <c r="AD49" s="1995"/>
      <c r="AE49" s="1995"/>
      <c r="AF49" s="1995"/>
      <c r="AG49" s="1995"/>
      <c r="AH49" s="1995"/>
    </row>
    <row r="50" spans="1:34" ht="15.75" hidden="1" x14ac:dyDescent="0.25">
      <c r="A50" s="1242"/>
      <c r="B50" s="1241" t="s">
        <v>945</v>
      </c>
      <c r="C50" s="1244" t="s">
        <v>899</v>
      </c>
      <c r="D50" s="2046"/>
      <c r="E50" s="2046"/>
      <c r="F50" s="1242" t="e">
        <f>(F38-F47)*#REF!/2+(F39-F48)*#REF!/2</f>
        <v>#REF!</v>
      </c>
      <c r="G50" s="1994"/>
      <c r="H50" s="1994"/>
      <c r="I50" s="1242" t="e">
        <f>(I38-I47)*#REF!/2+(I39-I48)*#REF!/2</f>
        <v>#REF!</v>
      </c>
      <c r="J50" s="1570"/>
      <c r="K50" s="1570"/>
      <c r="L50" s="2045"/>
      <c r="M50" s="2045"/>
      <c r="N50" s="1242" t="e">
        <f>(N38-N47)*#REF!/2+(N39-N48)*#REF!/2</f>
        <v>#REF!</v>
      </c>
      <c r="O50" s="1995"/>
      <c r="P50" s="1995"/>
      <c r="Q50" s="1995"/>
      <c r="R50" s="1995"/>
      <c r="S50" s="1995"/>
      <c r="T50" s="1995"/>
      <c r="U50" s="1995"/>
      <c r="V50" s="1995"/>
      <c r="W50" s="1995"/>
      <c r="X50" s="1995"/>
      <c r="Y50" s="1995"/>
      <c r="Z50" s="1995"/>
      <c r="AA50" s="1995"/>
      <c r="AB50" s="1995"/>
      <c r="AC50" s="1995"/>
      <c r="AD50" s="1995"/>
      <c r="AE50" s="1995"/>
      <c r="AF50" s="1995"/>
      <c r="AG50" s="1995"/>
      <c r="AH50" s="1995"/>
    </row>
    <row r="51" spans="1:34" hidden="1" x14ac:dyDescent="0.25">
      <c r="C51" s="1246"/>
      <c r="D51" s="1246"/>
      <c r="E51" s="1246"/>
    </row>
    <row r="54" spans="1:34" ht="20.25" x14ac:dyDescent="0.3">
      <c r="A54" s="3521" t="s">
        <v>4100</v>
      </c>
    </row>
  </sheetData>
  <mergeCells count="61">
    <mergeCell ref="AE5:AH5"/>
    <mergeCell ref="AL5:AO5"/>
    <mergeCell ref="AK5:AK6"/>
    <mergeCell ref="A37:A44"/>
    <mergeCell ref="D7:D9"/>
    <mergeCell ref="E7:E9"/>
    <mergeCell ref="L7:L9"/>
    <mergeCell ref="E4:E6"/>
    <mergeCell ref="C7:C9"/>
    <mergeCell ref="F7:F9"/>
    <mergeCell ref="G7:G9"/>
    <mergeCell ref="H7:H9"/>
    <mergeCell ref="AM7:AM9"/>
    <mergeCell ref="AO7:AO9"/>
    <mergeCell ref="AI7:AI9"/>
    <mergeCell ref="AJ7:AJ9"/>
    <mergeCell ref="AK7:AK9"/>
    <mergeCell ref="AW5:AW6"/>
    <mergeCell ref="AX5:AX6"/>
    <mergeCell ref="AY5:AY6"/>
    <mergeCell ref="AW7:AW9"/>
    <mergeCell ref="AX7:AX9"/>
    <mergeCell ref="AY7:AY9"/>
    <mergeCell ref="AP5:AP6"/>
    <mergeCell ref="AQ5:AQ6"/>
    <mergeCell ref="AR5:AR6"/>
    <mergeCell ref="AP7:AP9"/>
    <mergeCell ref="AQ7:AQ9"/>
    <mergeCell ref="AS5:AV5"/>
    <mergeCell ref="O7:O9"/>
    <mergeCell ref="AR7:AR9"/>
    <mergeCell ref="AJ5:AJ6"/>
    <mergeCell ref="I5:M5"/>
    <mergeCell ref="F4:Q4"/>
    <mergeCell ref="N5:Q5"/>
    <mergeCell ref="AE7:AE9"/>
    <mergeCell ref="AF7:AF9"/>
    <mergeCell ref="AH7:AH9"/>
    <mergeCell ref="AI5:AI6"/>
    <mergeCell ref="Q7:Q9"/>
    <mergeCell ref="Y7:Y9"/>
    <mergeCell ref="R6:W6"/>
    <mergeCell ref="X6:AD6"/>
    <mergeCell ref="R7:R9"/>
    <mergeCell ref="X7:X9"/>
    <mergeCell ref="BE5:BE6"/>
    <mergeCell ref="BE7:BE9"/>
    <mergeCell ref="R4:BE4"/>
    <mergeCell ref="A2:BE2"/>
    <mergeCell ref="BD5:BD6"/>
    <mergeCell ref="BD7:BD9"/>
    <mergeCell ref="AZ5:BC5"/>
    <mergeCell ref="BA7:BA9"/>
    <mergeCell ref="BC7:BC9"/>
    <mergeCell ref="A4:A6"/>
    <mergeCell ref="B4:B6"/>
    <mergeCell ref="C4:C6"/>
    <mergeCell ref="D4:D6"/>
    <mergeCell ref="F5:H5"/>
    <mergeCell ref="AT7:AT9"/>
    <mergeCell ref="AV7:AV9"/>
  </mergeCells>
  <printOptions horizontalCentered="1"/>
  <pageMargins left="0.31496062992125984" right="0.31496062992125984" top="0.35433070866141736" bottom="0.15748031496062992" header="0.31496062992125984" footer="0.31496062992125984"/>
  <pageSetup paperSize="9" scale="48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Лист26">
    <tabColor rgb="FFCC00FF"/>
    <pageSetUpPr fitToPage="1"/>
  </sheetPr>
  <dimension ref="A1:BK68"/>
  <sheetViews>
    <sheetView zoomScaleNormal="100" zoomScaleSheetLayoutView="75" workbookViewId="0">
      <pane xSplit="2" ySplit="5" topLeftCell="AV46" activePane="bottomRight" state="frozen"/>
      <selection pane="topRight" activeCell="C1" sqref="C1"/>
      <selection pane="bottomLeft" activeCell="A6" sqref="A6"/>
      <selection pane="bottomRight" activeCell="BJ6" sqref="BJ6:BK65"/>
    </sheetView>
  </sheetViews>
  <sheetFormatPr defaultColWidth="0.85546875" defaultRowHeight="15" x14ac:dyDescent="0.25"/>
  <cols>
    <col min="1" max="1" width="6.85546875" style="1233" customWidth="1"/>
    <col min="2" max="2" width="36.7109375" style="1239" customWidth="1"/>
    <col min="3" max="3" width="9.7109375" style="1233" customWidth="1"/>
    <col min="4" max="5" width="10.7109375" style="1233" hidden="1" customWidth="1"/>
    <col min="6" max="6" width="8.85546875" style="1233" hidden="1" customWidth="1"/>
    <col min="7" max="7" width="9" style="1233" hidden="1" customWidth="1"/>
    <col min="8" max="8" width="8.85546875" style="1233" hidden="1" customWidth="1"/>
    <col min="9" max="9" width="8.28515625" style="1233" hidden="1" customWidth="1"/>
    <col min="10" max="10" width="12.7109375" style="1233" hidden="1" customWidth="1"/>
    <col min="11" max="11" width="11.7109375" style="1233" hidden="1" customWidth="1"/>
    <col min="12" max="12" width="9.28515625" style="1233" hidden="1" customWidth="1"/>
    <col min="13" max="14" width="9.42578125" style="1233" hidden="1" customWidth="1"/>
    <col min="15" max="15" width="12.7109375" style="1233" hidden="1" customWidth="1"/>
    <col min="16" max="16" width="11" style="1233" hidden="1" customWidth="1"/>
    <col min="17" max="17" width="11.28515625" style="1233" hidden="1" customWidth="1"/>
    <col min="18" max="18" width="8.42578125" style="1233" hidden="1" customWidth="1"/>
    <col min="19" max="19" width="10.42578125" style="1233" hidden="1" customWidth="1"/>
    <col min="20" max="23" width="11.7109375" style="1233" hidden="1" customWidth="1"/>
    <col min="24" max="24" width="13.28515625" style="1233" hidden="1" customWidth="1"/>
    <col min="25" max="25" width="8.140625" style="1233" hidden="1" customWidth="1"/>
    <col min="26" max="26" width="11.7109375" style="1233" hidden="1" customWidth="1"/>
    <col min="27" max="27" width="10.42578125" style="1233" hidden="1" customWidth="1"/>
    <col min="28" max="28" width="10.85546875" style="1233" hidden="1" customWidth="1"/>
    <col min="29" max="29" width="12.85546875" style="1233" hidden="1" customWidth="1"/>
    <col min="30" max="30" width="17.85546875" style="1233" hidden="1" customWidth="1"/>
    <col min="31" max="31" width="18.85546875" style="1233" hidden="1" customWidth="1"/>
    <col min="32" max="32" width="18" style="1233" hidden="1" customWidth="1"/>
    <col min="33" max="33" width="13.140625" style="1233" hidden="1" customWidth="1"/>
    <col min="34" max="34" width="10.5703125" style="1233" hidden="1" customWidth="1"/>
    <col min="35" max="35" width="14" style="1233" hidden="1" customWidth="1"/>
    <col min="36" max="36" width="15" style="1233" hidden="1" customWidth="1"/>
    <col min="37" max="37" width="14.140625" style="1233" hidden="1" customWidth="1"/>
    <col min="38" max="38" width="15.42578125" style="1233" hidden="1" customWidth="1"/>
    <col min="39" max="39" width="19.28515625" style="1233" hidden="1" customWidth="1"/>
    <col min="40" max="40" width="19" style="1233" hidden="1" customWidth="1"/>
    <col min="41" max="41" width="17.7109375" style="1233" hidden="1" customWidth="1"/>
    <col min="42" max="42" width="18" style="1233" hidden="1" customWidth="1"/>
    <col min="43" max="43" width="20.140625" style="1233" hidden="1" customWidth="1"/>
    <col min="44" max="44" width="25.42578125" style="1233" hidden="1" customWidth="1"/>
    <col min="45" max="45" width="24.42578125" style="1233" hidden="1" customWidth="1"/>
    <col min="46" max="46" width="27.140625" style="1233" hidden="1" customWidth="1"/>
    <col min="47" max="47" width="12.7109375" style="1233" customWidth="1"/>
    <col min="48" max="48" width="8.28515625" style="1233" customWidth="1"/>
    <col min="49" max="49" width="13" style="1233" customWidth="1"/>
    <col min="50" max="50" width="8.7109375" style="1233" customWidth="1"/>
    <col min="51" max="52" width="10.7109375" style="1233" hidden="1" customWidth="1"/>
    <col min="53" max="53" width="10.7109375" style="1233" customWidth="1"/>
    <col min="54" max="54" width="12.7109375" style="1233" hidden="1" customWidth="1"/>
    <col min="55" max="55" width="9.140625" style="1233" hidden="1" customWidth="1"/>
    <col min="56" max="56" width="12.7109375" style="1233" hidden="1" customWidth="1"/>
    <col min="57" max="57" width="9.140625" style="1233" hidden="1" customWidth="1"/>
    <col min="58" max="58" width="12.7109375" style="1233" customWidth="1"/>
    <col min="59" max="59" width="9.28515625" style="1233" customWidth="1"/>
    <col min="60" max="60" width="12.7109375" style="1233" customWidth="1"/>
    <col min="61" max="61" width="8.28515625" style="1233" customWidth="1"/>
    <col min="62" max="62" width="10.7109375" style="1233" customWidth="1"/>
    <col min="63" max="63" width="11.7109375" style="1233" customWidth="1"/>
    <col min="64" max="281" width="0.85546875" style="1233"/>
    <col min="282" max="282" width="9.85546875" style="1233" customWidth="1"/>
    <col min="283" max="283" width="81.85546875" style="1233" customWidth="1"/>
    <col min="284" max="284" width="12.7109375" style="1233" customWidth="1"/>
    <col min="285" max="285" width="12.42578125" style="1233" customWidth="1"/>
    <col min="286" max="286" width="14.5703125" style="1233" customWidth="1"/>
    <col min="287" max="287" width="12.28515625" style="1233" customWidth="1"/>
    <col min="288" max="288" width="38.140625" style="1233" customWidth="1"/>
    <col min="289" max="289" width="46.85546875" style="1233" customWidth="1"/>
    <col min="290" max="292" width="12.7109375" style="1233" customWidth="1"/>
    <col min="293" max="293" width="9.28515625" style="1233" customWidth="1"/>
    <col min="294" max="294" width="13.5703125" style="1233" customWidth="1"/>
    <col min="295" max="295" width="10.28515625" style="1233" customWidth="1"/>
    <col min="296" max="296" width="12.85546875" style="1233" customWidth="1"/>
    <col min="297" max="297" width="9.140625" style="1233" customWidth="1"/>
    <col min="298" max="298" width="9.7109375" style="1233" customWidth="1"/>
    <col min="299" max="299" width="9.28515625" style="1233" customWidth="1"/>
    <col min="300" max="300" width="9.42578125" style="1233" customWidth="1"/>
    <col min="301" max="301" width="10.5703125" style="1233" customWidth="1"/>
    <col min="302" max="302" width="12.42578125" style="1233" customWidth="1"/>
    <col min="303" max="303" width="14.5703125" style="1233" customWidth="1"/>
    <col min="304" max="304" width="12.28515625" style="1233" customWidth="1"/>
    <col min="305" max="305" width="25.85546875" style="1233" customWidth="1"/>
    <col min="306" max="537" width="0.85546875" style="1233"/>
    <col min="538" max="538" width="9.85546875" style="1233" customWidth="1"/>
    <col min="539" max="539" width="81.85546875" style="1233" customWidth="1"/>
    <col min="540" max="540" width="12.7109375" style="1233" customWidth="1"/>
    <col min="541" max="541" width="12.42578125" style="1233" customWidth="1"/>
    <col min="542" max="542" width="14.5703125" style="1233" customWidth="1"/>
    <col min="543" max="543" width="12.28515625" style="1233" customWidth="1"/>
    <col min="544" max="544" width="38.140625" style="1233" customWidth="1"/>
    <col min="545" max="545" width="46.85546875" style="1233" customWidth="1"/>
    <col min="546" max="548" width="12.7109375" style="1233" customWidth="1"/>
    <col min="549" max="549" width="9.28515625" style="1233" customWidth="1"/>
    <col min="550" max="550" width="13.5703125" style="1233" customWidth="1"/>
    <col min="551" max="551" width="10.28515625" style="1233" customWidth="1"/>
    <col min="552" max="552" width="12.85546875" style="1233" customWidth="1"/>
    <col min="553" max="553" width="9.140625" style="1233" customWidth="1"/>
    <col min="554" max="554" width="9.7109375" style="1233" customWidth="1"/>
    <col min="555" max="555" width="9.28515625" style="1233" customWidth="1"/>
    <col min="556" max="556" width="9.42578125" style="1233" customWidth="1"/>
    <col min="557" max="557" width="10.5703125" style="1233" customWidth="1"/>
    <col min="558" max="558" width="12.42578125" style="1233" customWidth="1"/>
    <col min="559" max="559" width="14.5703125" style="1233" customWidth="1"/>
    <col min="560" max="560" width="12.28515625" style="1233" customWidth="1"/>
    <col min="561" max="561" width="25.85546875" style="1233" customWidth="1"/>
    <col min="562" max="793" width="0.85546875" style="1233"/>
    <col min="794" max="794" width="9.85546875" style="1233" customWidth="1"/>
    <col min="795" max="795" width="81.85546875" style="1233" customWidth="1"/>
    <col min="796" max="796" width="12.7109375" style="1233" customWidth="1"/>
    <col min="797" max="797" width="12.42578125" style="1233" customWidth="1"/>
    <col min="798" max="798" width="14.5703125" style="1233" customWidth="1"/>
    <col min="799" max="799" width="12.28515625" style="1233" customWidth="1"/>
    <col min="800" max="800" width="38.140625" style="1233" customWidth="1"/>
    <col min="801" max="801" width="46.85546875" style="1233" customWidth="1"/>
    <col min="802" max="804" width="12.7109375" style="1233" customWidth="1"/>
    <col min="805" max="805" width="9.28515625" style="1233" customWidth="1"/>
    <col min="806" max="806" width="13.5703125" style="1233" customWidth="1"/>
    <col min="807" max="807" width="10.28515625" style="1233" customWidth="1"/>
    <col min="808" max="808" width="12.85546875" style="1233" customWidth="1"/>
    <col min="809" max="809" width="9.140625" style="1233" customWidth="1"/>
    <col min="810" max="810" width="9.7109375" style="1233" customWidth="1"/>
    <col min="811" max="811" width="9.28515625" style="1233" customWidth="1"/>
    <col min="812" max="812" width="9.42578125" style="1233" customWidth="1"/>
    <col min="813" max="813" width="10.5703125" style="1233" customWidth="1"/>
    <col min="814" max="814" width="12.42578125" style="1233" customWidth="1"/>
    <col min="815" max="815" width="14.5703125" style="1233" customWidth="1"/>
    <col min="816" max="816" width="12.28515625" style="1233" customWidth="1"/>
    <col min="817" max="817" width="25.85546875" style="1233" customWidth="1"/>
    <col min="818" max="1049" width="0.85546875" style="1233"/>
    <col min="1050" max="1050" width="9.85546875" style="1233" customWidth="1"/>
    <col min="1051" max="1051" width="81.85546875" style="1233" customWidth="1"/>
    <col min="1052" max="1052" width="12.7109375" style="1233" customWidth="1"/>
    <col min="1053" max="1053" width="12.42578125" style="1233" customWidth="1"/>
    <col min="1054" max="1054" width="14.5703125" style="1233" customWidth="1"/>
    <col min="1055" max="1055" width="12.28515625" style="1233" customWidth="1"/>
    <col min="1056" max="1056" width="38.140625" style="1233" customWidth="1"/>
    <col min="1057" max="1057" width="46.85546875" style="1233" customWidth="1"/>
    <col min="1058" max="1060" width="12.7109375" style="1233" customWidth="1"/>
    <col min="1061" max="1061" width="9.28515625" style="1233" customWidth="1"/>
    <col min="1062" max="1062" width="13.5703125" style="1233" customWidth="1"/>
    <col min="1063" max="1063" width="10.28515625" style="1233" customWidth="1"/>
    <col min="1064" max="1064" width="12.85546875" style="1233" customWidth="1"/>
    <col min="1065" max="1065" width="9.140625" style="1233" customWidth="1"/>
    <col min="1066" max="1066" width="9.7109375" style="1233" customWidth="1"/>
    <col min="1067" max="1067" width="9.28515625" style="1233" customWidth="1"/>
    <col min="1068" max="1068" width="9.42578125" style="1233" customWidth="1"/>
    <col min="1069" max="1069" width="10.5703125" style="1233" customWidth="1"/>
    <col min="1070" max="1070" width="12.42578125" style="1233" customWidth="1"/>
    <col min="1071" max="1071" width="14.5703125" style="1233" customWidth="1"/>
    <col min="1072" max="1072" width="12.28515625" style="1233" customWidth="1"/>
    <col min="1073" max="1073" width="25.85546875" style="1233" customWidth="1"/>
    <col min="1074" max="1305" width="0.85546875" style="1233"/>
    <col min="1306" max="1306" width="9.85546875" style="1233" customWidth="1"/>
    <col min="1307" max="1307" width="81.85546875" style="1233" customWidth="1"/>
    <col min="1308" max="1308" width="12.7109375" style="1233" customWidth="1"/>
    <col min="1309" max="1309" width="12.42578125" style="1233" customWidth="1"/>
    <col min="1310" max="1310" width="14.5703125" style="1233" customWidth="1"/>
    <col min="1311" max="1311" width="12.28515625" style="1233" customWidth="1"/>
    <col min="1312" max="1312" width="38.140625" style="1233" customWidth="1"/>
    <col min="1313" max="1313" width="46.85546875" style="1233" customWidth="1"/>
    <col min="1314" max="1316" width="12.7109375" style="1233" customWidth="1"/>
    <col min="1317" max="1317" width="9.28515625" style="1233" customWidth="1"/>
    <col min="1318" max="1318" width="13.5703125" style="1233" customWidth="1"/>
    <col min="1319" max="1319" width="10.28515625" style="1233" customWidth="1"/>
    <col min="1320" max="1320" width="12.85546875" style="1233" customWidth="1"/>
    <col min="1321" max="1321" width="9.140625" style="1233" customWidth="1"/>
    <col min="1322" max="1322" width="9.7109375" style="1233" customWidth="1"/>
    <col min="1323" max="1323" width="9.28515625" style="1233" customWidth="1"/>
    <col min="1324" max="1324" width="9.42578125" style="1233" customWidth="1"/>
    <col min="1325" max="1325" width="10.5703125" style="1233" customWidth="1"/>
    <col min="1326" max="1326" width="12.42578125" style="1233" customWidth="1"/>
    <col min="1327" max="1327" width="14.5703125" style="1233" customWidth="1"/>
    <col min="1328" max="1328" width="12.28515625" style="1233" customWidth="1"/>
    <col min="1329" max="1329" width="25.85546875" style="1233" customWidth="1"/>
    <col min="1330" max="1561" width="0.85546875" style="1233"/>
    <col min="1562" max="1562" width="9.85546875" style="1233" customWidth="1"/>
    <col min="1563" max="1563" width="81.85546875" style="1233" customWidth="1"/>
    <col min="1564" max="1564" width="12.7109375" style="1233" customWidth="1"/>
    <col min="1565" max="1565" width="12.42578125" style="1233" customWidth="1"/>
    <col min="1566" max="1566" width="14.5703125" style="1233" customWidth="1"/>
    <col min="1567" max="1567" width="12.28515625" style="1233" customWidth="1"/>
    <col min="1568" max="1568" width="38.140625" style="1233" customWidth="1"/>
    <col min="1569" max="1569" width="46.85546875" style="1233" customWidth="1"/>
    <col min="1570" max="1572" width="12.7109375" style="1233" customWidth="1"/>
    <col min="1573" max="1573" width="9.28515625" style="1233" customWidth="1"/>
    <col min="1574" max="1574" width="13.5703125" style="1233" customWidth="1"/>
    <col min="1575" max="1575" width="10.28515625" style="1233" customWidth="1"/>
    <col min="1576" max="1576" width="12.85546875" style="1233" customWidth="1"/>
    <col min="1577" max="1577" width="9.140625" style="1233" customWidth="1"/>
    <col min="1578" max="1578" width="9.7109375" style="1233" customWidth="1"/>
    <col min="1579" max="1579" width="9.28515625" style="1233" customWidth="1"/>
    <col min="1580" max="1580" width="9.42578125" style="1233" customWidth="1"/>
    <col min="1581" max="1581" width="10.5703125" style="1233" customWidth="1"/>
    <col min="1582" max="1582" width="12.42578125" style="1233" customWidth="1"/>
    <col min="1583" max="1583" width="14.5703125" style="1233" customWidth="1"/>
    <col min="1584" max="1584" width="12.28515625" style="1233" customWidth="1"/>
    <col min="1585" max="1585" width="25.85546875" style="1233" customWidth="1"/>
    <col min="1586" max="1817" width="0.85546875" style="1233"/>
    <col min="1818" max="1818" width="9.85546875" style="1233" customWidth="1"/>
    <col min="1819" max="1819" width="81.85546875" style="1233" customWidth="1"/>
    <col min="1820" max="1820" width="12.7109375" style="1233" customWidth="1"/>
    <col min="1821" max="1821" width="12.42578125" style="1233" customWidth="1"/>
    <col min="1822" max="1822" width="14.5703125" style="1233" customWidth="1"/>
    <col min="1823" max="1823" width="12.28515625" style="1233" customWidth="1"/>
    <col min="1824" max="1824" width="38.140625" style="1233" customWidth="1"/>
    <col min="1825" max="1825" width="46.85546875" style="1233" customWidth="1"/>
    <col min="1826" max="1828" width="12.7109375" style="1233" customWidth="1"/>
    <col min="1829" max="1829" width="9.28515625" style="1233" customWidth="1"/>
    <col min="1830" max="1830" width="13.5703125" style="1233" customWidth="1"/>
    <col min="1831" max="1831" width="10.28515625" style="1233" customWidth="1"/>
    <col min="1832" max="1832" width="12.85546875" style="1233" customWidth="1"/>
    <col min="1833" max="1833" width="9.140625" style="1233" customWidth="1"/>
    <col min="1834" max="1834" width="9.7109375" style="1233" customWidth="1"/>
    <col min="1835" max="1835" width="9.28515625" style="1233" customWidth="1"/>
    <col min="1836" max="1836" width="9.42578125" style="1233" customWidth="1"/>
    <col min="1837" max="1837" width="10.5703125" style="1233" customWidth="1"/>
    <col min="1838" max="1838" width="12.42578125" style="1233" customWidth="1"/>
    <col min="1839" max="1839" width="14.5703125" style="1233" customWidth="1"/>
    <col min="1840" max="1840" width="12.28515625" style="1233" customWidth="1"/>
    <col min="1841" max="1841" width="25.85546875" style="1233" customWidth="1"/>
    <col min="1842" max="2073" width="0.85546875" style="1233"/>
    <col min="2074" max="2074" width="9.85546875" style="1233" customWidth="1"/>
    <col min="2075" max="2075" width="81.85546875" style="1233" customWidth="1"/>
    <col min="2076" max="2076" width="12.7109375" style="1233" customWidth="1"/>
    <col min="2077" max="2077" width="12.42578125" style="1233" customWidth="1"/>
    <col min="2078" max="2078" width="14.5703125" style="1233" customWidth="1"/>
    <col min="2079" max="2079" width="12.28515625" style="1233" customWidth="1"/>
    <col min="2080" max="2080" width="38.140625" style="1233" customWidth="1"/>
    <col min="2081" max="2081" width="46.85546875" style="1233" customWidth="1"/>
    <col min="2082" max="2084" width="12.7109375" style="1233" customWidth="1"/>
    <col min="2085" max="2085" width="9.28515625" style="1233" customWidth="1"/>
    <col min="2086" max="2086" width="13.5703125" style="1233" customWidth="1"/>
    <col min="2087" max="2087" width="10.28515625" style="1233" customWidth="1"/>
    <col min="2088" max="2088" width="12.85546875" style="1233" customWidth="1"/>
    <col min="2089" max="2089" width="9.140625" style="1233" customWidth="1"/>
    <col min="2090" max="2090" width="9.7109375" style="1233" customWidth="1"/>
    <col min="2091" max="2091" width="9.28515625" style="1233" customWidth="1"/>
    <col min="2092" max="2092" width="9.42578125" style="1233" customWidth="1"/>
    <col min="2093" max="2093" width="10.5703125" style="1233" customWidth="1"/>
    <col min="2094" max="2094" width="12.42578125" style="1233" customWidth="1"/>
    <col min="2095" max="2095" width="14.5703125" style="1233" customWidth="1"/>
    <col min="2096" max="2096" width="12.28515625" style="1233" customWidth="1"/>
    <col min="2097" max="2097" width="25.85546875" style="1233" customWidth="1"/>
    <col min="2098" max="2329" width="0.85546875" style="1233"/>
    <col min="2330" max="2330" width="9.85546875" style="1233" customWidth="1"/>
    <col min="2331" max="2331" width="81.85546875" style="1233" customWidth="1"/>
    <col min="2332" max="2332" width="12.7109375" style="1233" customWidth="1"/>
    <col min="2333" max="2333" width="12.42578125" style="1233" customWidth="1"/>
    <col min="2334" max="2334" width="14.5703125" style="1233" customWidth="1"/>
    <col min="2335" max="2335" width="12.28515625" style="1233" customWidth="1"/>
    <col min="2336" max="2336" width="38.140625" style="1233" customWidth="1"/>
    <col min="2337" max="2337" width="46.85546875" style="1233" customWidth="1"/>
    <col min="2338" max="2340" width="12.7109375" style="1233" customWidth="1"/>
    <col min="2341" max="2341" width="9.28515625" style="1233" customWidth="1"/>
    <col min="2342" max="2342" width="13.5703125" style="1233" customWidth="1"/>
    <col min="2343" max="2343" width="10.28515625" style="1233" customWidth="1"/>
    <col min="2344" max="2344" width="12.85546875" style="1233" customWidth="1"/>
    <col min="2345" max="2345" width="9.140625" style="1233" customWidth="1"/>
    <col min="2346" max="2346" width="9.7109375" style="1233" customWidth="1"/>
    <col min="2347" max="2347" width="9.28515625" style="1233" customWidth="1"/>
    <col min="2348" max="2348" width="9.42578125" style="1233" customWidth="1"/>
    <col min="2349" max="2349" width="10.5703125" style="1233" customWidth="1"/>
    <col min="2350" max="2350" width="12.42578125" style="1233" customWidth="1"/>
    <col min="2351" max="2351" width="14.5703125" style="1233" customWidth="1"/>
    <col min="2352" max="2352" width="12.28515625" style="1233" customWidth="1"/>
    <col min="2353" max="2353" width="25.85546875" style="1233" customWidth="1"/>
    <col min="2354" max="2585" width="0.85546875" style="1233"/>
    <col min="2586" max="2586" width="9.85546875" style="1233" customWidth="1"/>
    <col min="2587" max="2587" width="81.85546875" style="1233" customWidth="1"/>
    <col min="2588" max="2588" width="12.7109375" style="1233" customWidth="1"/>
    <col min="2589" max="2589" width="12.42578125" style="1233" customWidth="1"/>
    <col min="2590" max="2590" width="14.5703125" style="1233" customWidth="1"/>
    <col min="2591" max="2591" width="12.28515625" style="1233" customWidth="1"/>
    <col min="2592" max="2592" width="38.140625" style="1233" customWidth="1"/>
    <col min="2593" max="2593" width="46.85546875" style="1233" customWidth="1"/>
    <col min="2594" max="2596" width="12.7109375" style="1233" customWidth="1"/>
    <col min="2597" max="2597" width="9.28515625" style="1233" customWidth="1"/>
    <col min="2598" max="2598" width="13.5703125" style="1233" customWidth="1"/>
    <col min="2599" max="2599" width="10.28515625" style="1233" customWidth="1"/>
    <col min="2600" max="2600" width="12.85546875" style="1233" customWidth="1"/>
    <col min="2601" max="2601" width="9.140625" style="1233" customWidth="1"/>
    <col min="2602" max="2602" width="9.7109375" style="1233" customWidth="1"/>
    <col min="2603" max="2603" width="9.28515625" style="1233" customWidth="1"/>
    <col min="2604" max="2604" width="9.42578125" style="1233" customWidth="1"/>
    <col min="2605" max="2605" width="10.5703125" style="1233" customWidth="1"/>
    <col min="2606" max="2606" width="12.42578125" style="1233" customWidth="1"/>
    <col min="2607" max="2607" width="14.5703125" style="1233" customWidth="1"/>
    <col min="2608" max="2608" width="12.28515625" style="1233" customWidth="1"/>
    <col min="2609" max="2609" width="25.85546875" style="1233" customWidth="1"/>
    <col min="2610" max="2841" width="0.85546875" style="1233"/>
    <col min="2842" max="2842" width="9.85546875" style="1233" customWidth="1"/>
    <col min="2843" max="2843" width="81.85546875" style="1233" customWidth="1"/>
    <col min="2844" max="2844" width="12.7109375" style="1233" customWidth="1"/>
    <col min="2845" max="2845" width="12.42578125" style="1233" customWidth="1"/>
    <col min="2846" max="2846" width="14.5703125" style="1233" customWidth="1"/>
    <col min="2847" max="2847" width="12.28515625" style="1233" customWidth="1"/>
    <col min="2848" max="2848" width="38.140625" style="1233" customWidth="1"/>
    <col min="2849" max="2849" width="46.85546875" style="1233" customWidth="1"/>
    <col min="2850" max="2852" width="12.7109375" style="1233" customWidth="1"/>
    <col min="2853" max="2853" width="9.28515625" style="1233" customWidth="1"/>
    <col min="2854" max="2854" width="13.5703125" style="1233" customWidth="1"/>
    <col min="2855" max="2855" width="10.28515625" style="1233" customWidth="1"/>
    <col min="2856" max="2856" width="12.85546875" style="1233" customWidth="1"/>
    <col min="2857" max="2857" width="9.140625" style="1233" customWidth="1"/>
    <col min="2858" max="2858" width="9.7109375" style="1233" customWidth="1"/>
    <col min="2859" max="2859" width="9.28515625" style="1233" customWidth="1"/>
    <col min="2860" max="2860" width="9.42578125" style="1233" customWidth="1"/>
    <col min="2861" max="2861" width="10.5703125" style="1233" customWidth="1"/>
    <col min="2862" max="2862" width="12.42578125" style="1233" customWidth="1"/>
    <col min="2863" max="2863" width="14.5703125" style="1233" customWidth="1"/>
    <col min="2864" max="2864" width="12.28515625" style="1233" customWidth="1"/>
    <col min="2865" max="2865" width="25.85546875" style="1233" customWidth="1"/>
    <col min="2866" max="3097" width="0.85546875" style="1233"/>
    <col min="3098" max="3098" width="9.85546875" style="1233" customWidth="1"/>
    <col min="3099" max="3099" width="81.85546875" style="1233" customWidth="1"/>
    <col min="3100" max="3100" width="12.7109375" style="1233" customWidth="1"/>
    <col min="3101" max="3101" width="12.42578125" style="1233" customWidth="1"/>
    <col min="3102" max="3102" width="14.5703125" style="1233" customWidth="1"/>
    <col min="3103" max="3103" width="12.28515625" style="1233" customWidth="1"/>
    <col min="3104" max="3104" width="38.140625" style="1233" customWidth="1"/>
    <col min="3105" max="3105" width="46.85546875" style="1233" customWidth="1"/>
    <col min="3106" max="3108" width="12.7109375" style="1233" customWidth="1"/>
    <col min="3109" max="3109" width="9.28515625" style="1233" customWidth="1"/>
    <col min="3110" max="3110" width="13.5703125" style="1233" customWidth="1"/>
    <col min="3111" max="3111" width="10.28515625" style="1233" customWidth="1"/>
    <col min="3112" max="3112" width="12.85546875" style="1233" customWidth="1"/>
    <col min="3113" max="3113" width="9.140625" style="1233" customWidth="1"/>
    <col min="3114" max="3114" width="9.7109375" style="1233" customWidth="1"/>
    <col min="3115" max="3115" width="9.28515625" style="1233" customWidth="1"/>
    <col min="3116" max="3116" width="9.42578125" style="1233" customWidth="1"/>
    <col min="3117" max="3117" width="10.5703125" style="1233" customWidth="1"/>
    <col min="3118" max="3118" width="12.42578125" style="1233" customWidth="1"/>
    <col min="3119" max="3119" width="14.5703125" style="1233" customWidth="1"/>
    <col min="3120" max="3120" width="12.28515625" style="1233" customWidth="1"/>
    <col min="3121" max="3121" width="25.85546875" style="1233" customWidth="1"/>
    <col min="3122" max="3353" width="0.85546875" style="1233"/>
    <col min="3354" max="3354" width="9.85546875" style="1233" customWidth="1"/>
    <col min="3355" max="3355" width="81.85546875" style="1233" customWidth="1"/>
    <col min="3356" max="3356" width="12.7109375" style="1233" customWidth="1"/>
    <col min="3357" max="3357" width="12.42578125" style="1233" customWidth="1"/>
    <col min="3358" max="3358" width="14.5703125" style="1233" customWidth="1"/>
    <col min="3359" max="3359" width="12.28515625" style="1233" customWidth="1"/>
    <col min="3360" max="3360" width="38.140625" style="1233" customWidth="1"/>
    <col min="3361" max="3361" width="46.85546875" style="1233" customWidth="1"/>
    <col min="3362" max="3364" width="12.7109375" style="1233" customWidth="1"/>
    <col min="3365" max="3365" width="9.28515625" style="1233" customWidth="1"/>
    <col min="3366" max="3366" width="13.5703125" style="1233" customWidth="1"/>
    <col min="3367" max="3367" width="10.28515625" style="1233" customWidth="1"/>
    <col min="3368" max="3368" width="12.85546875" style="1233" customWidth="1"/>
    <col min="3369" max="3369" width="9.140625" style="1233" customWidth="1"/>
    <col min="3370" max="3370" width="9.7109375" style="1233" customWidth="1"/>
    <col min="3371" max="3371" width="9.28515625" style="1233" customWidth="1"/>
    <col min="3372" max="3372" width="9.42578125" style="1233" customWidth="1"/>
    <col min="3373" max="3373" width="10.5703125" style="1233" customWidth="1"/>
    <col min="3374" max="3374" width="12.42578125" style="1233" customWidth="1"/>
    <col min="3375" max="3375" width="14.5703125" style="1233" customWidth="1"/>
    <col min="3376" max="3376" width="12.28515625" style="1233" customWidth="1"/>
    <col min="3377" max="3377" width="25.85546875" style="1233" customWidth="1"/>
    <col min="3378" max="3609" width="0.85546875" style="1233"/>
    <col min="3610" max="3610" width="9.85546875" style="1233" customWidth="1"/>
    <col min="3611" max="3611" width="81.85546875" style="1233" customWidth="1"/>
    <col min="3612" max="3612" width="12.7109375" style="1233" customWidth="1"/>
    <col min="3613" max="3613" width="12.42578125" style="1233" customWidth="1"/>
    <col min="3614" max="3614" width="14.5703125" style="1233" customWidth="1"/>
    <col min="3615" max="3615" width="12.28515625" style="1233" customWidth="1"/>
    <col min="3616" max="3616" width="38.140625" style="1233" customWidth="1"/>
    <col min="3617" max="3617" width="46.85546875" style="1233" customWidth="1"/>
    <col min="3618" max="3620" width="12.7109375" style="1233" customWidth="1"/>
    <col min="3621" max="3621" width="9.28515625" style="1233" customWidth="1"/>
    <col min="3622" max="3622" width="13.5703125" style="1233" customWidth="1"/>
    <col min="3623" max="3623" width="10.28515625" style="1233" customWidth="1"/>
    <col min="3624" max="3624" width="12.85546875" style="1233" customWidth="1"/>
    <col min="3625" max="3625" width="9.140625" style="1233" customWidth="1"/>
    <col min="3626" max="3626" width="9.7109375" style="1233" customWidth="1"/>
    <col min="3627" max="3627" width="9.28515625" style="1233" customWidth="1"/>
    <col min="3628" max="3628" width="9.42578125" style="1233" customWidth="1"/>
    <col min="3629" max="3629" width="10.5703125" style="1233" customWidth="1"/>
    <col min="3630" max="3630" width="12.42578125" style="1233" customWidth="1"/>
    <col min="3631" max="3631" width="14.5703125" style="1233" customWidth="1"/>
    <col min="3632" max="3632" width="12.28515625" style="1233" customWidth="1"/>
    <col min="3633" max="3633" width="25.85546875" style="1233" customWidth="1"/>
    <col min="3634" max="3865" width="0.85546875" style="1233"/>
    <col min="3866" max="3866" width="9.85546875" style="1233" customWidth="1"/>
    <col min="3867" max="3867" width="81.85546875" style="1233" customWidth="1"/>
    <col min="3868" max="3868" width="12.7109375" style="1233" customWidth="1"/>
    <col min="3869" max="3869" width="12.42578125" style="1233" customWidth="1"/>
    <col min="3870" max="3870" width="14.5703125" style="1233" customWidth="1"/>
    <col min="3871" max="3871" width="12.28515625" style="1233" customWidth="1"/>
    <col min="3872" max="3872" width="38.140625" style="1233" customWidth="1"/>
    <col min="3873" max="3873" width="46.85546875" style="1233" customWidth="1"/>
    <col min="3874" max="3876" width="12.7109375" style="1233" customWidth="1"/>
    <col min="3877" max="3877" width="9.28515625" style="1233" customWidth="1"/>
    <col min="3878" max="3878" width="13.5703125" style="1233" customWidth="1"/>
    <col min="3879" max="3879" width="10.28515625" style="1233" customWidth="1"/>
    <col min="3880" max="3880" width="12.85546875" style="1233" customWidth="1"/>
    <col min="3881" max="3881" width="9.140625" style="1233" customWidth="1"/>
    <col min="3882" max="3882" width="9.7109375" style="1233" customWidth="1"/>
    <col min="3883" max="3883" width="9.28515625" style="1233" customWidth="1"/>
    <col min="3884" max="3884" width="9.42578125" style="1233" customWidth="1"/>
    <col min="3885" max="3885" width="10.5703125" style="1233" customWidth="1"/>
    <col min="3886" max="3886" width="12.42578125" style="1233" customWidth="1"/>
    <col min="3887" max="3887" width="14.5703125" style="1233" customWidth="1"/>
    <col min="3888" max="3888" width="12.28515625" style="1233" customWidth="1"/>
    <col min="3889" max="3889" width="25.85546875" style="1233" customWidth="1"/>
    <col min="3890" max="4121" width="0.85546875" style="1233"/>
    <col min="4122" max="4122" width="9.85546875" style="1233" customWidth="1"/>
    <col min="4123" max="4123" width="81.85546875" style="1233" customWidth="1"/>
    <col min="4124" max="4124" width="12.7109375" style="1233" customWidth="1"/>
    <col min="4125" max="4125" width="12.42578125" style="1233" customWidth="1"/>
    <col min="4126" max="4126" width="14.5703125" style="1233" customWidth="1"/>
    <col min="4127" max="4127" width="12.28515625" style="1233" customWidth="1"/>
    <col min="4128" max="4128" width="38.140625" style="1233" customWidth="1"/>
    <col min="4129" max="4129" width="46.85546875" style="1233" customWidth="1"/>
    <col min="4130" max="4132" width="12.7109375" style="1233" customWidth="1"/>
    <col min="4133" max="4133" width="9.28515625" style="1233" customWidth="1"/>
    <col min="4134" max="4134" width="13.5703125" style="1233" customWidth="1"/>
    <col min="4135" max="4135" width="10.28515625" style="1233" customWidth="1"/>
    <col min="4136" max="4136" width="12.85546875" style="1233" customWidth="1"/>
    <col min="4137" max="4137" width="9.140625" style="1233" customWidth="1"/>
    <col min="4138" max="4138" width="9.7109375" style="1233" customWidth="1"/>
    <col min="4139" max="4139" width="9.28515625" style="1233" customWidth="1"/>
    <col min="4140" max="4140" width="9.42578125" style="1233" customWidth="1"/>
    <col min="4141" max="4141" width="10.5703125" style="1233" customWidth="1"/>
    <col min="4142" max="4142" width="12.42578125" style="1233" customWidth="1"/>
    <col min="4143" max="4143" width="14.5703125" style="1233" customWidth="1"/>
    <col min="4144" max="4144" width="12.28515625" style="1233" customWidth="1"/>
    <col min="4145" max="4145" width="25.85546875" style="1233" customWidth="1"/>
    <col min="4146" max="4377" width="0.85546875" style="1233"/>
    <col min="4378" max="4378" width="9.85546875" style="1233" customWidth="1"/>
    <col min="4379" max="4379" width="81.85546875" style="1233" customWidth="1"/>
    <col min="4380" max="4380" width="12.7109375" style="1233" customWidth="1"/>
    <col min="4381" max="4381" width="12.42578125" style="1233" customWidth="1"/>
    <col min="4382" max="4382" width="14.5703125" style="1233" customWidth="1"/>
    <col min="4383" max="4383" width="12.28515625" style="1233" customWidth="1"/>
    <col min="4384" max="4384" width="38.140625" style="1233" customWidth="1"/>
    <col min="4385" max="4385" width="46.85546875" style="1233" customWidth="1"/>
    <col min="4386" max="4388" width="12.7109375" style="1233" customWidth="1"/>
    <col min="4389" max="4389" width="9.28515625" style="1233" customWidth="1"/>
    <col min="4390" max="4390" width="13.5703125" style="1233" customWidth="1"/>
    <col min="4391" max="4391" width="10.28515625" style="1233" customWidth="1"/>
    <col min="4392" max="4392" width="12.85546875" style="1233" customWidth="1"/>
    <col min="4393" max="4393" width="9.140625" style="1233" customWidth="1"/>
    <col min="4394" max="4394" width="9.7109375" style="1233" customWidth="1"/>
    <col min="4395" max="4395" width="9.28515625" style="1233" customWidth="1"/>
    <col min="4396" max="4396" width="9.42578125" style="1233" customWidth="1"/>
    <col min="4397" max="4397" width="10.5703125" style="1233" customWidth="1"/>
    <col min="4398" max="4398" width="12.42578125" style="1233" customWidth="1"/>
    <col min="4399" max="4399" width="14.5703125" style="1233" customWidth="1"/>
    <col min="4400" max="4400" width="12.28515625" style="1233" customWidth="1"/>
    <col min="4401" max="4401" width="25.85546875" style="1233" customWidth="1"/>
    <col min="4402" max="4633" width="0.85546875" style="1233"/>
    <col min="4634" max="4634" width="9.85546875" style="1233" customWidth="1"/>
    <col min="4635" max="4635" width="81.85546875" style="1233" customWidth="1"/>
    <col min="4636" max="4636" width="12.7109375" style="1233" customWidth="1"/>
    <col min="4637" max="4637" width="12.42578125" style="1233" customWidth="1"/>
    <col min="4638" max="4638" width="14.5703125" style="1233" customWidth="1"/>
    <col min="4639" max="4639" width="12.28515625" style="1233" customWidth="1"/>
    <col min="4640" max="4640" width="38.140625" style="1233" customWidth="1"/>
    <col min="4641" max="4641" width="46.85546875" style="1233" customWidth="1"/>
    <col min="4642" max="4644" width="12.7109375" style="1233" customWidth="1"/>
    <col min="4645" max="4645" width="9.28515625" style="1233" customWidth="1"/>
    <col min="4646" max="4646" width="13.5703125" style="1233" customWidth="1"/>
    <col min="4647" max="4647" width="10.28515625" style="1233" customWidth="1"/>
    <col min="4648" max="4648" width="12.85546875" style="1233" customWidth="1"/>
    <col min="4649" max="4649" width="9.140625" style="1233" customWidth="1"/>
    <col min="4650" max="4650" width="9.7109375" style="1233" customWidth="1"/>
    <col min="4651" max="4651" width="9.28515625" style="1233" customWidth="1"/>
    <col min="4652" max="4652" width="9.42578125" style="1233" customWidth="1"/>
    <col min="4653" max="4653" width="10.5703125" style="1233" customWidth="1"/>
    <col min="4654" max="4654" width="12.42578125" style="1233" customWidth="1"/>
    <col min="4655" max="4655" width="14.5703125" style="1233" customWidth="1"/>
    <col min="4656" max="4656" width="12.28515625" style="1233" customWidth="1"/>
    <col min="4657" max="4657" width="25.85546875" style="1233" customWidth="1"/>
    <col min="4658" max="4889" width="0.85546875" style="1233"/>
    <col min="4890" max="4890" width="9.85546875" style="1233" customWidth="1"/>
    <col min="4891" max="4891" width="81.85546875" style="1233" customWidth="1"/>
    <col min="4892" max="4892" width="12.7109375" style="1233" customWidth="1"/>
    <col min="4893" max="4893" width="12.42578125" style="1233" customWidth="1"/>
    <col min="4894" max="4894" width="14.5703125" style="1233" customWidth="1"/>
    <col min="4895" max="4895" width="12.28515625" style="1233" customWidth="1"/>
    <col min="4896" max="4896" width="38.140625" style="1233" customWidth="1"/>
    <col min="4897" max="4897" width="46.85546875" style="1233" customWidth="1"/>
    <col min="4898" max="4900" width="12.7109375" style="1233" customWidth="1"/>
    <col min="4901" max="4901" width="9.28515625" style="1233" customWidth="1"/>
    <col min="4902" max="4902" width="13.5703125" style="1233" customWidth="1"/>
    <col min="4903" max="4903" width="10.28515625" style="1233" customWidth="1"/>
    <col min="4904" max="4904" width="12.85546875" style="1233" customWidth="1"/>
    <col min="4905" max="4905" width="9.140625" style="1233" customWidth="1"/>
    <col min="4906" max="4906" width="9.7109375" style="1233" customWidth="1"/>
    <col min="4907" max="4907" width="9.28515625" style="1233" customWidth="1"/>
    <col min="4908" max="4908" width="9.42578125" style="1233" customWidth="1"/>
    <col min="4909" max="4909" width="10.5703125" style="1233" customWidth="1"/>
    <col min="4910" max="4910" width="12.42578125" style="1233" customWidth="1"/>
    <col min="4911" max="4911" width="14.5703125" style="1233" customWidth="1"/>
    <col min="4912" max="4912" width="12.28515625" style="1233" customWidth="1"/>
    <col min="4913" max="4913" width="25.85546875" style="1233" customWidth="1"/>
    <col min="4914" max="5145" width="0.85546875" style="1233"/>
    <col min="5146" max="5146" width="9.85546875" style="1233" customWidth="1"/>
    <col min="5147" max="5147" width="81.85546875" style="1233" customWidth="1"/>
    <col min="5148" max="5148" width="12.7109375" style="1233" customWidth="1"/>
    <col min="5149" max="5149" width="12.42578125" style="1233" customWidth="1"/>
    <col min="5150" max="5150" width="14.5703125" style="1233" customWidth="1"/>
    <col min="5151" max="5151" width="12.28515625" style="1233" customWidth="1"/>
    <col min="5152" max="5152" width="38.140625" style="1233" customWidth="1"/>
    <col min="5153" max="5153" width="46.85546875" style="1233" customWidth="1"/>
    <col min="5154" max="5156" width="12.7109375" style="1233" customWidth="1"/>
    <col min="5157" max="5157" width="9.28515625" style="1233" customWidth="1"/>
    <col min="5158" max="5158" width="13.5703125" style="1233" customWidth="1"/>
    <col min="5159" max="5159" width="10.28515625" style="1233" customWidth="1"/>
    <col min="5160" max="5160" width="12.85546875" style="1233" customWidth="1"/>
    <col min="5161" max="5161" width="9.140625" style="1233" customWidth="1"/>
    <col min="5162" max="5162" width="9.7109375" style="1233" customWidth="1"/>
    <col min="5163" max="5163" width="9.28515625" style="1233" customWidth="1"/>
    <col min="5164" max="5164" width="9.42578125" style="1233" customWidth="1"/>
    <col min="5165" max="5165" width="10.5703125" style="1233" customWidth="1"/>
    <col min="5166" max="5166" width="12.42578125" style="1233" customWidth="1"/>
    <col min="5167" max="5167" width="14.5703125" style="1233" customWidth="1"/>
    <col min="5168" max="5168" width="12.28515625" style="1233" customWidth="1"/>
    <col min="5169" max="5169" width="25.85546875" style="1233" customWidth="1"/>
    <col min="5170" max="5401" width="0.85546875" style="1233"/>
    <col min="5402" max="5402" width="9.85546875" style="1233" customWidth="1"/>
    <col min="5403" max="5403" width="81.85546875" style="1233" customWidth="1"/>
    <col min="5404" max="5404" width="12.7109375" style="1233" customWidth="1"/>
    <col min="5405" max="5405" width="12.42578125" style="1233" customWidth="1"/>
    <col min="5406" max="5406" width="14.5703125" style="1233" customWidth="1"/>
    <col min="5407" max="5407" width="12.28515625" style="1233" customWidth="1"/>
    <col min="5408" max="5408" width="38.140625" style="1233" customWidth="1"/>
    <col min="5409" max="5409" width="46.85546875" style="1233" customWidth="1"/>
    <col min="5410" max="5412" width="12.7109375" style="1233" customWidth="1"/>
    <col min="5413" max="5413" width="9.28515625" style="1233" customWidth="1"/>
    <col min="5414" max="5414" width="13.5703125" style="1233" customWidth="1"/>
    <col min="5415" max="5415" width="10.28515625" style="1233" customWidth="1"/>
    <col min="5416" max="5416" width="12.85546875" style="1233" customWidth="1"/>
    <col min="5417" max="5417" width="9.140625" style="1233" customWidth="1"/>
    <col min="5418" max="5418" width="9.7109375" style="1233" customWidth="1"/>
    <col min="5419" max="5419" width="9.28515625" style="1233" customWidth="1"/>
    <col min="5420" max="5420" width="9.42578125" style="1233" customWidth="1"/>
    <col min="5421" max="5421" width="10.5703125" style="1233" customWidth="1"/>
    <col min="5422" max="5422" width="12.42578125" style="1233" customWidth="1"/>
    <col min="5423" max="5423" width="14.5703125" style="1233" customWidth="1"/>
    <col min="5424" max="5424" width="12.28515625" style="1233" customWidth="1"/>
    <col min="5425" max="5425" width="25.85546875" style="1233" customWidth="1"/>
    <col min="5426" max="5657" width="0.85546875" style="1233"/>
    <col min="5658" max="5658" width="9.85546875" style="1233" customWidth="1"/>
    <col min="5659" max="5659" width="81.85546875" style="1233" customWidth="1"/>
    <col min="5660" max="5660" width="12.7109375" style="1233" customWidth="1"/>
    <col min="5661" max="5661" width="12.42578125" style="1233" customWidth="1"/>
    <col min="5662" max="5662" width="14.5703125" style="1233" customWidth="1"/>
    <col min="5663" max="5663" width="12.28515625" style="1233" customWidth="1"/>
    <col min="5664" max="5664" width="38.140625" style="1233" customWidth="1"/>
    <col min="5665" max="5665" width="46.85546875" style="1233" customWidth="1"/>
    <col min="5666" max="5668" width="12.7109375" style="1233" customWidth="1"/>
    <col min="5669" max="5669" width="9.28515625" style="1233" customWidth="1"/>
    <col min="5670" max="5670" width="13.5703125" style="1233" customWidth="1"/>
    <col min="5671" max="5671" width="10.28515625" style="1233" customWidth="1"/>
    <col min="5672" max="5672" width="12.85546875" style="1233" customWidth="1"/>
    <col min="5673" max="5673" width="9.140625" style="1233" customWidth="1"/>
    <col min="5674" max="5674" width="9.7109375" style="1233" customWidth="1"/>
    <col min="5675" max="5675" width="9.28515625" style="1233" customWidth="1"/>
    <col min="5676" max="5676" width="9.42578125" style="1233" customWidth="1"/>
    <col min="5677" max="5677" width="10.5703125" style="1233" customWidth="1"/>
    <col min="5678" max="5678" width="12.42578125" style="1233" customWidth="1"/>
    <col min="5679" max="5679" width="14.5703125" style="1233" customWidth="1"/>
    <col min="5680" max="5680" width="12.28515625" style="1233" customWidth="1"/>
    <col min="5681" max="5681" width="25.85546875" style="1233" customWidth="1"/>
    <col min="5682" max="5913" width="0.85546875" style="1233"/>
    <col min="5914" max="5914" width="9.85546875" style="1233" customWidth="1"/>
    <col min="5915" max="5915" width="81.85546875" style="1233" customWidth="1"/>
    <col min="5916" max="5916" width="12.7109375" style="1233" customWidth="1"/>
    <col min="5917" max="5917" width="12.42578125" style="1233" customWidth="1"/>
    <col min="5918" max="5918" width="14.5703125" style="1233" customWidth="1"/>
    <col min="5919" max="5919" width="12.28515625" style="1233" customWidth="1"/>
    <col min="5920" max="5920" width="38.140625" style="1233" customWidth="1"/>
    <col min="5921" max="5921" width="46.85546875" style="1233" customWidth="1"/>
    <col min="5922" max="5924" width="12.7109375" style="1233" customWidth="1"/>
    <col min="5925" max="5925" width="9.28515625" style="1233" customWidth="1"/>
    <col min="5926" max="5926" width="13.5703125" style="1233" customWidth="1"/>
    <col min="5927" max="5927" width="10.28515625" style="1233" customWidth="1"/>
    <col min="5928" max="5928" width="12.85546875" style="1233" customWidth="1"/>
    <col min="5929" max="5929" width="9.140625" style="1233" customWidth="1"/>
    <col min="5930" max="5930" width="9.7109375" style="1233" customWidth="1"/>
    <col min="5931" max="5931" width="9.28515625" style="1233" customWidth="1"/>
    <col min="5932" max="5932" width="9.42578125" style="1233" customWidth="1"/>
    <col min="5933" max="5933" width="10.5703125" style="1233" customWidth="1"/>
    <col min="5934" max="5934" width="12.42578125" style="1233" customWidth="1"/>
    <col min="5935" max="5935" width="14.5703125" style="1233" customWidth="1"/>
    <col min="5936" max="5936" width="12.28515625" style="1233" customWidth="1"/>
    <col min="5937" max="5937" width="25.85546875" style="1233" customWidth="1"/>
    <col min="5938" max="6169" width="0.85546875" style="1233"/>
    <col min="6170" max="6170" width="9.85546875" style="1233" customWidth="1"/>
    <col min="6171" max="6171" width="81.85546875" style="1233" customWidth="1"/>
    <col min="6172" max="6172" width="12.7109375" style="1233" customWidth="1"/>
    <col min="6173" max="6173" width="12.42578125" style="1233" customWidth="1"/>
    <col min="6174" max="6174" width="14.5703125" style="1233" customWidth="1"/>
    <col min="6175" max="6175" width="12.28515625" style="1233" customWidth="1"/>
    <col min="6176" max="6176" width="38.140625" style="1233" customWidth="1"/>
    <col min="6177" max="6177" width="46.85546875" style="1233" customWidth="1"/>
    <col min="6178" max="6180" width="12.7109375" style="1233" customWidth="1"/>
    <col min="6181" max="6181" width="9.28515625" style="1233" customWidth="1"/>
    <col min="6182" max="6182" width="13.5703125" style="1233" customWidth="1"/>
    <col min="6183" max="6183" width="10.28515625" style="1233" customWidth="1"/>
    <col min="6184" max="6184" width="12.85546875" style="1233" customWidth="1"/>
    <col min="6185" max="6185" width="9.140625" style="1233" customWidth="1"/>
    <col min="6186" max="6186" width="9.7109375" style="1233" customWidth="1"/>
    <col min="6187" max="6187" width="9.28515625" style="1233" customWidth="1"/>
    <col min="6188" max="6188" width="9.42578125" style="1233" customWidth="1"/>
    <col min="6189" max="6189" width="10.5703125" style="1233" customWidth="1"/>
    <col min="6190" max="6190" width="12.42578125" style="1233" customWidth="1"/>
    <col min="6191" max="6191" width="14.5703125" style="1233" customWidth="1"/>
    <col min="6192" max="6192" width="12.28515625" style="1233" customWidth="1"/>
    <col min="6193" max="6193" width="25.85546875" style="1233" customWidth="1"/>
    <col min="6194" max="6425" width="0.85546875" style="1233"/>
    <col min="6426" max="6426" width="9.85546875" style="1233" customWidth="1"/>
    <col min="6427" max="6427" width="81.85546875" style="1233" customWidth="1"/>
    <col min="6428" max="6428" width="12.7109375" style="1233" customWidth="1"/>
    <col min="6429" max="6429" width="12.42578125" style="1233" customWidth="1"/>
    <col min="6430" max="6430" width="14.5703125" style="1233" customWidth="1"/>
    <col min="6431" max="6431" width="12.28515625" style="1233" customWidth="1"/>
    <col min="6432" max="6432" width="38.140625" style="1233" customWidth="1"/>
    <col min="6433" max="6433" width="46.85546875" style="1233" customWidth="1"/>
    <col min="6434" max="6436" width="12.7109375" style="1233" customWidth="1"/>
    <col min="6437" max="6437" width="9.28515625" style="1233" customWidth="1"/>
    <col min="6438" max="6438" width="13.5703125" style="1233" customWidth="1"/>
    <col min="6439" max="6439" width="10.28515625" style="1233" customWidth="1"/>
    <col min="6440" max="6440" width="12.85546875" style="1233" customWidth="1"/>
    <col min="6441" max="6441" width="9.140625" style="1233" customWidth="1"/>
    <col min="6442" max="6442" width="9.7109375" style="1233" customWidth="1"/>
    <col min="6443" max="6443" width="9.28515625" style="1233" customWidth="1"/>
    <col min="6444" max="6444" width="9.42578125" style="1233" customWidth="1"/>
    <col min="6445" max="6445" width="10.5703125" style="1233" customWidth="1"/>
    <col min="6446" max="6446" width="12.42578125" style="1233" customWidth="1"/>
    <col min="6447" max="6447" width="14.5703125" style="1233" customWidth="1"/>
    <col min="6448" max="6448" width="12.28515625" style="1233" customWidth="1"/>
    <col min="6449" max="6449" width="25.85546875" style="1233" customWidth="1"/>
    <col min="6450" max="6681" width="0.85546875" style="1233"/>
    <col min="6682" max="6682" width="9.85546875" style="1233" customWidth="1"/>
    <col min="6683" max="6683" width="81.85546875" style="1233" customWidth="1"/>
    <col min="6684" max="6684" width="12.7109375" style="1233" customWidth="1"/>
    <col min="6685" max="6685" width="12.42578125" style="1233" customWidth="1"/>
    <col min="6686" max="6686" width="14.5703125" style="1233" customWidth="1"/>
    <col min="6687" max="6687" width="12.28515625" style="1233" customWidth="1"/>
    <col min="6688" max="6688" width="38.140625" style="1233" customWidth="1"/>
    <col min="6689" max="6689" width="46.85546875" style="1233" customWidth="1"/>
    <col min="6690" max="6692" width="12.7109375" style="1233" customWidth="1"/>
    <col min="6693" max="6693" width="9.28515625" style="1233" customWidth="1"/>
    <col min="6694" max="6694" width="13.5703125" style="1233" customWidth="1"/>
    <col min="6695" max="6695" width="10.28515625" style="1233" customWidth="1"/>
    <col min="6696" max="6696" width="12.85546875" style="1233" customWidth="1"/>
    <col min="6697" max="6697" width="9.140625" style="1233" customWidth="1"/>
    <col min="6698" max="6698" width="9.7109375" style="1233" customWidth="1"/>
    <col min="6699" max="6699" width="9.28515625" style="1233" customWidth="1"/>
    <col min="6700" max="6700" width="9.42578125" style="1233" customWidth="1"/>
    <col min="6701" max="6701" width="10.5703125" style="1233" customWidth="1"/>
    <col min="6702" max="6702" width="12.42578125" style="1233" customWidth="1"/>
    <col min="6703" max="6703" width="14.5703125" style="1233" customWidth="1"/>
    <col min="6704" max="6704" width="12.28515625" style="1233" customWidth="1"/>
    <col min="6705" max="6705" width="25.85546875" style="1233" customWidth="1"/>
    <col min="6706" max="6937" width="0.85546875" style="1233"/>
    <col min="6938" max="6938" width="9.85546875" style="1233" customWidth="1"/>
    <col min="6939" max="6939" width="81.85546875" style="1233" customWidth="1"/>
    <col min="6940" max="6940" width="12.7109375" style="1233" customWidth="1"/>
    <col min="6941" max="6941" width="12.42578125" style="1233" customWidth="1"/>
    <col min="6942" max="6942" width="14.5703125" style="1233" customWidth="1"/>
    <col min="6943" max="6943" width="12.28515625" style="1233" customWidth="1"/>
    <col min="6944" max="6944" width="38.140625" style="1233" customWidth="1"/>
    <col min="6945" max="6945" width="46.85546875" style="1233" customWidth="1"/>
    <col min="6946" max="6948" width="12.7109375" style="1233" customWidth="1"/>
    <col min="6949" max="6949" width="9.28515625" style="1233" customWidth="1"/>
    <col min="6950" max="6950" width="13.5703125" style="1233" customWidth="1"/>
    <col min="6951" max="6951" width="10.28515625" style="1233" customWidth="1"/>
    <col min="6952" max="6952" width="12.85546875" style="1233" customWidth="1"/>
    <col min="6953" max="6953" width="9.140625" style="1233" customWidth="1"/>
    <col min="6954" max="6954" width="9.7109375" style="1233" customWidth="1"/>
    <col min="6955" max="6955" width="9.28515625" style="1233" customWidth="1"/>
    <col min="6956" max="6956" width="9.42578125" style="1233" customWidth="1"/>
    <col min="6957" max="6957" width="10.5703125" style="1233" customWidth="1"/>
    <col min="6958" max="6958" width="12.42578125" style="1233" customWidth="1"/>
    <col min="6959" max="6959" width="14.5703125" style="1233" customWidth="1"/>
    <col min="6960" max="6960" width="12.28515625" style="1233" customWidth="1"/>
    <col min="6961" max="6961" width="25.85546875" style="1233" customWidth="1"/>
    <col min="6962" max="7193" width="0.85546875" style="1233"/>
    <col min="7194" max="7194" width="9.85546875" style="1233" customWidth="1"/>
    <col min="7195" max="7195" width="81.85546875" style="1233" customWidth="1"/>
    <col min="7196" max="7196" width="12.7109375" style="1233" customWidth="1"/>
    <col min="7197" max="7197" width="12.42578125" style="1233" customWidth="1"/>
    <col min="7198" max="7198" width="14.5703125" style="1233" customWidth="1"/>
    <col min="7199" max="7199" width="12.28515625" style="1233" customWidth="1"/>
    <col min="7200" max="7200" width="38.140625" style="1233" customWidth="1"/>
    <col min="7201" max="7201" width="46.85546875" style="1233" customWidth="1"/>
    <col min="7202" max="7204" width="12.7109375" style="1233" customWidth="1"/>
    <col min="7205" max="7205" width="9.28515625" style="1233" customWidth="1"/>
    <col min="7206" max="7206" width="13.5703125" style="1233" customWidth="1"/>
    <col min="7207" max="7207" width="10.28515625" style="1233" customWidth="1"/>
    <col min="7208" max="7208" width="12.85546875" style="1233" customWidth="1"/>
    <col min="7209" max="7209" width="9.140625" style="1233" customWidth="1"/>
    <col min="7210" max="7210" width="9.7109375" style="1233" customWidth="1"/>
    <col min="7211" max="7211" width="9.28515625" style="1233" customWidth="1"/>
    <col min="7212" max="7212" width="9.42578125" style="1233" customWidth="1"/>
    <col min="7213" max="7213" width="10.5703125" style="1233" customWidth="1"/>
    <col min="7214" max="7214" width="12.42578125" style="1233" customWidth="1"/>
    <col min="7215" max="7215" width="14.5703125" style="1233" customWidth="1"/>
    <col min="7216" max="7216" width="12.28515625" style="1233" customWidth="1"/>
    <col min="7217" max="7217" width="25.85546875" style="1233" customWidth="1"/>
    <col min="7218" max="7449" width="0.85546875" style="1233"/>
    <col min="7450" max="7450" width="9.85546875" style="1233" customWidth="1"/>
    <col min="7451" max="7451" width="81.85546875" style="1233" customWidth="1"/>
    <col min="7452" max="7452" width="12.7109375" style="1233" customWidth="1"/>
    <col min="7453" max="7453" width="12.42578125" style="1233" customWidth="1"/>
    <col min="7454" max="7454" width="14.5703125" style="1233" customWidth="1"/>
    <col min="7455" max="7455" width="12.28515625" style="1233" customWidth="1"/>
    <col min="7456" max="7456" width="38.140625" style="1233" customWidth="1"/>
    <col min="7457" max="7457" width="46.85546875" style="1233" customWidth="1"/>
    <col min="7458" max="7460" width="12.7109375" style="1233" customWidth="1"/>
    <col min="7461" max="7461" width="9.28515625" style="1233" customWidth="1"/>
    <col min="7462" max="7462" width="13.5703125" style="1233" customWidth="1"/>
    <col min="7463" max="7463" width="10.28515625" style="1233" customWidth="1"/>
    <col min="7464" max="7464" width="12.85546875" style="1233" customWidth="1"/>
    <col min="7465" max="7465" width="9.140625" style="1233" customWidth="1"/>
    <col min="7466" max="7466" width="9.7109375" style="1233" customWidth="1"/>
    <col min="7467" max="7467" width="9.28515625" style="1233" customWidth="1"/>
    <col min="7468" max="7468" width="9.42578125" style="1233" customWidth="1"/>
    <col min="7469" max="7469" width="10.5703125" style="1233" customWidth="1"/>
    <col min="7470" max="7470" width="12.42578125" style="1233" customWidth="1"/>
    <col min="7471" max="7471" width="14.5703125" style="1233" customWidth="1"/>
    <col min="7472" max="7472" width="12.28515625" style="1233" customWidth="1"/>
    <col min="7473" max="7473" width="25.85546875" style="1233" customWidth="1"/>
    <col min="7474" max="7705" width="0.85546875" style="1233"/>
    <col min="7706" max="7706" width="9.85546875" style="1233" customWidth="1"/>
    <col min="7707" max="7707" width="81.85546875" style="1233" customWidth="1"/>
    <col min="7708" max="7708" width="12.7109375" style="1233" customWidth="1"/>
    <col min="7709" max="7709" width="12.42578125" style="1233" customWidth="1"/>
    <col min="7710" max="7710" width="14.5703125" style="1233" customWidth="1"/>
    <col min="7711" max="7711" width="12.28515625" style="1233" customWidth="1"/>
    <col min="7712" max="7712" width="38.140625" style="1233" customWidth="1"/>
    <col min="7713" max="7713" width="46.85546875" style="1233" customWidth="1"/>
    <col min="7714" max="7716" width="12.7109375" style="1233" customWidth="1"/>
    <col min="7717" max="7717" width="9.28515625" style="1233" customWidth="1"/>
    <col min="7718" max="7718" width="13.5703125" style="1233" customWidth="1"/>
    <col min="7719" max="7719" width="10.28515625" style="1233" customWidth="1"/>
    <col min="7720" max="7720" width="12.85546875" style="1233" customWidth="1"/>
    <col min="7721" max="7721" width="9.140625" style="1233" customWidth="1"/>
    <col min="7722" max="7722" width="9.7109375" style="1233" customWidth="1"/>
    <col min="7723" max="7723" width="9.28515625" style="1233" customWidth="1"/>
    <col min="7724" max="7724" width="9.42578125" style="1233" customWidth="1"/>
    <col min="7725" max="7725" width="10.5703125" style="1233" customWidth="1"/>
    <col min="7726" max="7726" width="12.42578125" style="1233" customWidth="1"/>
    <col min="7727" max="7727" width="14.5703125" style="1233" customWidth="1"/>
    <col min="7728" max="7728" width="12.28515625" style="1233" customWidth="1"/>
    <col min="7729" max="7729" width="25.85546875" style="1233" customWidth="1"/>
    <col min="7730" max="7961" width="0.85546875" style="1233"/>
    <col min="7962" max="7962" width="9.85546875" style="1233" customWidth="1"/>
    <col min="7963" max="7963" width="81.85546875" style="1233" customWidth="1"/>
    <col min="7964" max="7964" width="12.7109375" style="1233" customWidth="1"/>
    <col min="7965" max="7965" width="12.42578125" style="1233" customWidth="1"/>
    <col min="7966" max="7966" width="14.5703125" style="1233" customWidth="1"/>
    <col min="7967" max="7967" width="12.28515625" style="1233" customWidth="1"/>
    <col min="7968" max="7968" width="38.140625" style="1233" customWidth="1"/>
    <col min="7969" max="7969" width="46.85546875" style="1233" customWidth="1"/>
    <col min="7970" max="7972" width="12.7109375" style="1233" customWidth="1"/>
    <col min="7973" max="7973" width="9.28515625" style="1233" customWidth="1"/>
    <col min="7974" max="7974" width="13.5703125" style="1233" customWidth="1"/>
    <col min="7975" max="7975" width="10.28515625" style="1233" customWidth="1"/>
    <col min="7976" max="7976" width="12.85546875" style="1233" customWidth="1"/>
    <col min="7977" max="7977" width="9.140625" style="1233" customWidth="1"/>
    <col min="7978" max="7978" width="9.7109375" style="1233" customWidth="1"/>
    <col min="7979" max="7979" width="9.28515625" style="1233" customWidth="1"/>
    <col min="7980" max="7980" width="9.42578125" style="1233" customWidth="1"/>
    <col min="7981" max="7981" width="10.5703125" style="1233" customWidth="1"/>
    <col min="7982" max="7982" width="12.42578125" style="1233" customWidth="1"/>
    <col min="7983" max="7983" width="14.5703125" style="1233" customWidth="1"/>
    <col min="7984" max="7984" width="12.28515625" style="1233" customWidth="1"/>
    <col min="7985" max="7985" width="25.85546875" style="1233" customWidth="1"/>
    <col min="7986" max="8217" width="0.85546875" style="1233"/>
    <col min="8218" max="8218" width="9.85546875" style="1233" customWidth="1"/>
    <col min="8219" max="8219" width="81.85546875" style="1233" customWidth="1"/>
    <col min="8220" max="8220" width="12.7109375" style="1233" customWidth="1"/>
    <col min="8221" max="8221" width="12.42578125" style="1233" customWidth="1"/>
    <col min="8222" max="8222" width="14.5703125" style="1233" customWidth="1"/>
    <col min="8223" max="8223" width="12.28515625" style="1233" customWidth="1"/>
    <col min="8224" max="8224" width="38.140625" style="1233" customWidth="1"/>
    <col min="8225" max="8225" width="46.85546875" style="1233" customWidth="1"/>
    <col min="8226" max="8228" width="12.7109375" style="1233" customWidth="1"/>
    <col min="8229" max="8229" width="9.28515625" style="1233" customWidth="1"/>
    <col min="8230" max="8230" width="13.5703125" style="1233" customWidth="1"/>
    <col min="8231" max="8231" width="10.28515625" style="1233" customWidth="1"/>
    <col min="8232" max="8232" width="12.85546875" style="1233" customWidth="1"/>
    <col min="8233" max="8233" width="9.140625" style="1233" customWidth="1"/>
    <col min="8234" max="8234" width="9.7109375" style="1233" customWidth="1"/>
    <col min="8235" max="8235" width="9.28515625" style="1233" customWidth="1"/>
    <col min="8236" max="8236" width="9.42578125" style="1233" customWidth="1"/>
    <col min="8237" max="8237" width="10.5703125" style="1233" customWidth="1"/>
    <col min="8238" max="8238" width="12.42578125" style="1233" customWidth="1"/>
    <col min="8239" max="8239" width="14.5703125" style="1233" customWidth="1"/>
    <col min="8240" max="8240" width="12.28515625" style="1233" customWidth="1"/>
    <col min="8241" max="8241" width="25.85546875" style="1233" customWidth="1"/>
    <col min="8242" max="8473" width="0.85546875" style="1233"/>
    <col min="8474" max="8474" width="9.85546875" style="1233" customWidth="1"/>
    <col min="8475" max="8475" width="81.85546875" style="1233" customWidth="1"/>
    <col min="8476" max="8476" width="12.7109375" style="1233" customWidth="1"/>
    <col min="8477" max="8477" width="12.42578125" style="1233" customWidth="1"/>
    <col min="8478" max="8478" width="14.5703125" style="1233" customWidth="1"/>
    <col min="8479" max="8479" width="12.28515625" style="1233" customWidth="1"/>
    <col min="8480" max="8480" width="38.140625" style="1233" customWidth="1"/>
    <col min="8481" max="8481" width="46.85546875" style="1233" customWidth="1"/>
    <col min="8482" max="8484" width="12.7109375" style="1233" customWidth="1"/>
    <col min="8485" max="8485" width="9.28515625" style="1233" customWidth="1"/>
    <col min="8486" max="8486" width="13.5703125" style="1233" customWidth="1"/>
    <col min="8487" max="8487" width="10.28515625" style="1233" customWidth="1"/>
    <col min="8488" max="8488" width="12.85546875" style="1233" customWidth="1"/>
    <col min="8489" max="8489" width="9.140625" style="1233" customWidth="1"/>
    <col min="8490" max="8490" width="9.7109375" style="1233" customWidth="1"/>
    <col min="8491" max="8491" width="9.28515625" style="1233" customWidth="1"/>
    <col min="8492" max="8492" width="9.42578125" style="1233" customWidth="1"/>
    <col min="8493" max="8493" width="10.5703125" style="1233" customWidth="1"/>
    <col min="8494" max="8494" width="12.42578125" style="1233" customWidth="1"/>
    <col min="8495" max="8495" width="14.5703125" style="1233" customWidth="1"/>
    <col min="8496" max="8496" width="12.28515625" style="1233" customWidth="1"/>
    <col min="8497" max="8497" width="25.85546875" style="1233" customWidth="1"/>
    <col min="8498" max="8729" width="0.85546875" style="1233"/>
    <col min="8730" max="8730" width="9.85546875" style="1233" customWidth="1"/>
    <col min="8731" max="8731" width="81.85546875" style="1233" customWidth="1"/>
    <col min="8732" max="8732" width="12.7109375" style="1233" customWidth="1"/>
    <col min="8733" max="8733" width="12.42578125" style="1233" customWidth="1"/>
    <col min="8734" max="8734" width="14.5703125" style="1233" customWidth="1"/>
    <col min="8735" max="8735" width="12.28515625" style="1233" customWidth="1"/>
    <col min="8736" max="8736" width="38.140625" style="1233" customWidth="1"/>
    <col min="8737" max="8737" width="46.85546875" style="1233" customWidth="1"/>
    <col min="8738" max="8740" width="12.7109375" style="1233" customWidth="1"/>
    <col min="8741" max="8741" width="9.28515625" style="1233" customWidth="1"/>
    <col min="8742" max="8742" width="13.5703125" style="1233" customWidth="1"/>
    <col min="8743" max="8743" width="10.28515625" style="1233" customWidth="1"/>
    <col min="8744" max="8744" width="12.85546875" style="1233" customWidth="1"/>
    <col min="8745" max="8745" width="9.140625" style="1233" customWidth="1"/>
    <col min="8746" max="8746" width="9.7109375" style="1233" customWidth="1"/>
    <col min="8747" max="8747" width="9.28515625" style="1233" customWidth="1"/>
    <col min="8748" max="8748" width="9.42578125" style="1233" customWidth="1"/>
    <col min="8749" max="8749" width="10.5703125" style="1233" customWidth="1"/>
    <col min="8750" max="8750" width="12.42578125" style="1233" customWidth="1"/>
    <col min="8751" max="8751" width="14.5703125" style="1233" customWidth="1"/>
    <col min="8752" max="8752" width="12.28515625" style="1233" customWidth="1"/>
    <col min="8753" max="8753" width="25.85546875" style="1233" customWidth="1"/>
    <col min="8754" max="8985" width="0.85546875" style="1233"/>
    <col min="8986" max="8986" width="9.85546875" style="1233" customWidth="1"/>
    <col min="8987" max="8987" width="81.85546875" style="1233" customWidth="1"/>
    <col min="8988" max="8988" width="12.7109375" style="1233" customWidth="1"/>
    <col min="8989" max="8989" width="12.42578125" style="1233" customWidth="1"/>
    <col min="8990" max="8990" width="14.5703125" style="1233" customWidth="1"/>
    <col min="8991" max="8991" width="12.28515625" style="1233" customWidth="1"/>
    <col min="8992" max="8992" width="38.140625" style="1233" customWidth="1"/>
    <col min="8993" max="8993" width="46.85546875" style="1233" customWidth="1"/>
    <col min="8994" max="8996" width="12.7109375" style="1233" customWidth="1"/>
    <col min="8997" max="8997" width="9.28515625" style="1233" customWidth="1"/>
    <col min="8998" max="8998" width="13.5703125" style="1233" customWidth="1"/>
    <col min="8999" max="8999" width="10.28515625" style="1233" customWidth="1"/>
    <col min="9000" max="9000" width="12.85546875" style="1233" customWidth="1"/>
    <col min="9001" max="9001" width="9.140625" style="1233" customWidth="1"/>
    <col min="9002" max="9002" width="9.7109375" style="1233" customWidth="1"/>
    <col min="9003" max="9003" width="9.28515625" style="1233" customWidth="1"/>
    <col min="9004" max="9004" width="9.42578125" style="1233" customWidth="1"/>
    <col min="9005" max="9005" width="10.5703125" style="1233" customWidth="1"/>
    <col min="9006" max="9006" width="12.42578125" style="1233" customWidth="1"/>
    <col min="9007" max="9007" width="14.5703125" style="1233" customWidth="1"/>
    <col min="9008" max="9008" width="12.28515625" style="1233" customWidth="1"/>
    <col min="9009" max="9009" width="25.85546875" style="1233" customWidth="1"/>
    <col min="9010" max="9241" width="0.85546875" style="1233"/>
    <col min="9242" max="9242" width="9.85546875" style="1233" customWidth="1"/>
    <col min="9243" max="9243" width="81.85546875" style="1233" customWidth="1"/>
    <col min="9244" max="9244" width="12.7109375" style="1233" customWidth="1"/>
    <col min="9245" max="9245" width="12.42578125" style="1233" customWidth="1"/>
    <col min="9246" max="9246" width="14.5703125" style="1233" customWidth="1"/>
    <col min="9247" max="9247" width="12.28515625" style="1233" customWidth="1"/>
    <col min="9248" max="9248" width="38.140625" style="1233" customWidth="1"/>
    <col min="9249" max="9249" width="46.85546875" style="1233" customWidth="1"/>
    <col min="9250" max="9252" width="12.7109375" style="1233" customWidth="1"/>
    <col min="9253" max="9253" width="9.28515625" style="1233" customWidth="1"/>
    <col min="9254" max="9254" width="13.5703125" style="1233" customWidth="1"/>
    <col min="9255" max="9255" width="10.28515625" style="1233" customWidth="1"/>
    <col min="9256" max="9256" width="12.85546875" style="1233" customWidth="1"/>
    <col min="9257" max="9257" width="9.140625" style="1233" customWidth="1"/>
    <col min="9258" max="9258" width="9.7109375" style="1233" customWidth="1"/>
    <col min="9259" max="9259" width="9.28515625" style="1233" customWidth="1"/>
    <col min="9260" max="9260" width="9.42578125" style="1233" customWidth="1"/>
    <col min="9261" max="9261" width="10.5703125" style="1233" customWidth="1"/>
    <col min="9262" max="9262" width="12.42578125" style="1233" customWidth="1"/>
    <col min="9263" max="9263" width="14.5703125" style="1233" customWidth="1"/>
    <col min="9264" max="9264" width="12.28515625" style="1233" customWidth="1"/>
    <col min="9265" max="9265" width="25.85546875" style="1233" customWidth="1"/>
    <col min="9266" max="9497" width="0.85546875" style="1233"/>
    <col min="9498" max="9498" width="9.85546875" style="1233" customWidth="1"/>
    <col min="9499" max="9499" width="81.85546875" style="1233" customWidth="1"/>
    <col min="9500" max="9500" width="12.7109375" style="1233" customWidth="1"/>
    <col min="9501" max="9501" width="12.42578125" style="1233" customWidth="1"/>
    <col min="9502" max="9502" width="14.5703125" style="1233" customWidth="1"/>
    <col min="9503" max="9503" width="12.28515625" style="1233" customWidth="1"/>
    <col min="9504" max="9504" width="38.140625" style="1233" customWidth="1"/>
    <col min="9505" max="9505" width="46.85546875" style="1233" customWidth="1"/>
    <col min="9506" max="9508" width="12.7109375" style="1233" customWidth="1"/>
    <col min="9509" max="9509" width="9.28515625" style="1233" customWidth="1"/>
    <col min="9510" max="9510" width="13.5703125" style="1233" customWidth="1"/>
    <col min="9511" max="9511" width="10.28515625" style="1233" customWidth="1"/>
    <col min="9512" max="9512" width="12.85546875" style="1233" customWidth="1"/>
    <col min="9513" max="9513" width="9.140625" style="1233" customWidth="1"/>
    <col min="9514" max="9514" width="9.7109375" style="1233" customWidth="1"/>
    <col min="9515" max="9515" width="9.28515625" style="1233" customWidth="1"/>
    <col min="9516" max="9516" width="9.42578125" style="1233" customWidth="1"/>
    <col min="9517" max="9517" width="10.5703125" style="1233" customWidth="1"/>
    <col min="9518" max="9518" width="12.42578125" style="1233" customWidth="1"/>
    <col min="9519" max="9519" width="14.5703125" style="1233" customWidth="1"/>
    <col min="9520" max="9520" width="12.28515625" style="1233" customWidth="1"/>
    <col min="9521" max="9521" width="25.85546875" style="1233" customWidth="1"/>
    <col min="9522" max="9753" width="0.85546875" style="1233"/>
    <col min="9754" max="9754" width="9.85546875" style="1233" customWidth="1"/>
    <col min="9755" max="9755" width="81.85546875" style="1233" customWidth="1"/>
    <col min="9756" max="9756" width="12.7109375" style="1233" customWidth="1"/>
    <col min="9757" max="9757" width="12.42578125" style="1233" customWidth="1"/>
    <col min="9758" max="9758" width="14.5703125" style="1233" customWidth="1"/>
    <col min="9759" max="9759" width="12.28515625" style="1233" customWidth="1"/>
    <col min="9760" max="9760" width="38.140625" style="1233" customWidth="1"/>
    <col min="9761" max="9761" width="46.85546875" style="1233" customWidth="1"/>
    <col min="9762" max="9764" width="12.7109375" style="1233" customWidth="1"/>
    <col min="9765" max="9765" width="9.28515625" style="1233" customWidth="1"/>
    <col min="9766" max="9766" width="13.5703125" style="1233" customWidth="1"/>
    <col min="9767" max="9767" width="10.28515625" style="1233" customWidth="1"/>
    <col min="9768" max="9768" width="12.85546875" style="1233" customWidth="1"/>
    <col min="9769" max="9769" width="9.140625" style="1233" customWidth="1"/>
    <col min="9770" max="9770" width="9.7109375" style="1233" customWidth="1"/>
    <col min="9771" max="9771" width="9.28515625" style="1233" customWidth="1"/>
    <col min="9772" max="9772" width="9.42578125" style="1233" customWidth="1"/>
    <col min="9773" max="9773" width="10.5703125" style="1233" customWidth="1"/>
    <col min="9774" max="9774" width="12.42578125" style="1233" customWidth="1"/>
    <col min="9775" max="9775" width="14.5703125" style="1233" customWidth="1"/>
    <col min="9776" max="9776" width="12.28515625" style="1233" customWidth="1"/>
    <col min="9777" max="9777" width="25.85546875" style="1233" customWidth="1"/>
    <col min="9778" max="10009" width="0.85546875" style="1233"/>
    <col min="10010" max="10010" width="9.85546875" style="1233" customWidth="1"/>
    <col min="10011" max="10011" width="81.85546875" style="1233" customWidth="1"/>
    <col min="10012" max="10012" width="12.7109375" style="1233" customWidth="1"/>
    <col min="10013" max="10013" width="12.42578125" style="1233" customWidth="1"/>
    <col min="10014" max="10014" width="14.5703125" style="1233" customWidth="1"/>
    <col min="10015" max="10015" width="12.28515625" style="1233" customWidth="1"/>
    <col min="10016" max="10016" width="38.140625" style="1233" customWidth="1"/>
    <col min="10017" max="10017" width="46.85546875" style="1233" customWidth="1"/>
    <col min="10018" max="10020" width="12.7109375" style="1233" customWidth="1"/>
    <col min="10021" max="10021" width="9.28515625" style="1233" customWidth="1"/>
    <col min="10022" max="10022" width="13.5703125" style="1233" customWidth="1"/>
    <col min="10023" max="10023" width="10.28515625" style="1233" customWidth="1"/>
    <col min="10024" max="10024" width="12.85546875" style="1233" customWidth="1"/>
    <col min="10025" max="10025" width="9.140625" style="1233" customWidth="1"/>
    <col min="10026" max="10026" width="9.7109375" style="1233" customWidth="1"/>
    <col min="10027" max="10027" width="9.28515625" style="1233" customWidth="1"/>
    <col min="10028" max="10028" width="9.42578125" style="1233" customWidth="1"/>
    <col min="10029" max="10029" width="10.5703125" style="1233" customWidth="1"/>
    <col min="10030" max="10030" width="12.42578125" style="1233" customWidth="1"/>
    <col min="10031" max="10031" width="14.5703125" style="1233" customWidth="1"/>
    <col min="10032" max="10032" width="12.28515625" style="1233" customWidth="1"/>
    <col min="10033" max="10033" width="25.85546875" style="1233" customWidth="1"/>
    <col min="10034" max="10265" width="0.85546875" style="1233"/>
    <col min="10266" max="10266" width="9.85546875" style="1233" customWidth="1"/>
    <col min="10267" max="10267" width="81.85546875" style="1233" customWidth="1"/>
    <col min="10268" max="10268" width="12.7109375" style="1233" customWidth="1"/>
    <col min="10269" max="10269" width="12.42578125" style="1233" customWidth="1"/>
    <col min="10270" max="10270" width="14.5703125" style="1233" customWidth="1"/>
    <col min="10271" max="10271" width="12.28515625" style="1233" customWidth="1"/>
    <col min="10272" max="10272" width="38.140625" style="1233" customWidth="1"/>
    <col min="10273" max="10273" width="46.85546875" style="1233" customWidth="1"/>
    <col min="10274" max="10276" width="12.7109375" style="1233" customWidth="1"/>
    <col min="10277" max="10277" width="9.28515625" style="1233" customWidth="1"/>
    <col min="10278" max="10278" width="13.5703125" style="1233" customWidth="1"/>
    <col min="10279" max="10279" width="10.28515625" style="1233" customWidth="1"/>
    <col min="10280" max="10280" width="12.85546875" style="1233" customWidth="1"/>
    <col min="10281" max="10281" width="9.140625" style="1233" customWidth="1"/>
    <col min="10282" max="10282" width="9.7109375" style="1233" customWidth="1"/>
    <col min="10283" max="10283" width="9.28515625" style="1233" customWidth="1"/>
    <col min="10284" max="10284" width="9.42578125" style="1233" customWidth="1"/>
    <col min="10285" max="10285" width="10.5703125" style="1233" customWidth="1"/>
    <col min="10286" max="10286" width="12.42578125" style="1233" customWidth="1"/>
    <col min="10287" max="10287" width="14.5703125" style="1233" customWidth="1"/>
    <col min="10288" max="10288" width="12.28515625" style="1233" customWidth="1"/>
    <col min="10289" max="10289" width="25.85546875" style="1233" customWidth="1"/>
    <col min="10290" max="10521" width="0.85546875" style="1233"/>
    <col min="10522" max="10522" width="9.85546875" style="1233" customWidth="1"/>
    <col min="10523" max="10523" width="81.85546875" style="1233" customWidth="1"/>
    <col min="10524" max="10524" width="12.7109375" style="1233" customWidth="1"/>
    <col min="10525" max="10525" width="12.42578125" style="1233" customWidth="1"/>
    <col min="10526" max="10526" width="14.5703125" style="1233" customWidth="1"/>
    <col min="10527" max="10527" width="12.28515625" style="1233" customWidth="1"/>
    <col min="10528" max="10528" width="38.140625" style="1233" customWidth="1"/>
    <col min="10529" max="10529" width="46.85546875" style="1233" customWidth="1"/>
    <col min="10530" max="10532" width="12.7109375" style="1233" customWidth="1"/>
    <col min="10533" max="10533" width="9.28515625" style="1233" customWidth="1"/>
    <col min="10534" max="10534" width="13.5703125" style="1233" customWidth="1"/>
    <col min="10535" max="10535" width="10.28515625" style="1233" customWidth="1"/>
    <col min="10536" max="10536" width="12.85546875" style="1233" customWidth="1"/>
    <col min="10537" max="10537" width="9.140625" style="1233" customWidth="1"/>
    <col min="10538" max="10538" width="9.7109375" style="1233" customWidth="1"/>
    <col min="10539" max="10539" width="9.28515625" style="1233" customWidth="1"/>
    <col min="10540" max="10540" width="9.42578125" style="1233" customWidth="1"/>
    <col min="10541" max="10541" width="10.5703125" style="1233" customWidth="1"/>
    <col min="10542" max="10542" width="12.42578125" style="1233" customWidth="1"/>
    <col min="10543" max="10543" width="14.5703125" style="1233" customWidth="1"/>
    <col min="10544" max="10544" width="12.28515625" style="1233" customWidth="1"/>
    <col min="10545" max="10545" width="25.85546875" style="1233" customWidth="1"/>
    <col min="10546" max="10777" width="0.85546875" style="1233"/>
    <col min="10778" max="10778" width="9.85546875" style="1233" customWidth="1"/>
    <col min="10779" max="10779" width="81.85546875" style="1233" customWidth="1"/>
    <col min="10780" max="10780" width="12.7109375" style="1233" customWidth="1"/>
    <col min="10781" max="10781" width="12.42578125" style="1233" customWidth="1"/>
    <col min="10782" max="10782" width="14.5703125" style="1233" customWidth="1"/>
    <col min="10783" max="10783" width="12.28515625" style="1233" customWidth="1"/>
    <col min="10784" max="10784" width="38.140625" style="1233" customWidth="1"/>
    <col min="10785" max="10785" width="46.85546875" style="1233" customWidth="1"/>
    <col min="10786" max="10788" width="12.7109375" style="1233" customWidth="1"/>
    <col min="10789" max="10789" width="9.28515625" style="1233" customWidth="1"/>
    <col min="10790" max="10790" width="13.5703125" style="1233" customWidth="1"/>
    <col min="10791" max="10791" width="10.28515625" style="1233" customWidth="1"/>
    <col min="10792" max="10792" width="12.85546875" style="1233" customWidth="1"/>
    <col min="10793" max="10793" width="9.140625" style="1233" customWidth="1"/>
    <col min="10794" max="10794" width="9.7109375" style="1233" customWidth="1"/>
    <col min="10795" max="10795" width="9.28515625" style="1233" customWidth="1"/>
    <col min="10796" max="10796" width="9.42578125" style="1233" customWidth="1"/>
    <col min="10797" max="10797" width="10.5703125" style="1233" customWidth="1"/>
    <col min="10798" max="10798" width="12.42578125" style="1233" customWidth="1"/>
    <col min="10799" max="10799" width="14.5703125" style="1233" customWidth="1"/>
    <col min="10800" max="10800" width="12.28515625" style="1233" customWidth="1"/>
    <col min="10801" max="10801" width="25.85546875" style="1233" customWidth="1"/>
    <col min="10802" max="11033" width="0.85546875" style="1233"/>
    <col min="11034" max="11034" width="9.85546875" style="1233" customWidth="1"/>
    <col min="11035" max="11035" width="81.85546875" style="1233" customWidth="1"/>
    <col min="11036" max="11036" width="12.7109375" style="1233" customWidth="1"/>
    <col min="11037" max="11037" width="12.42578125" style="1233" customWidth="1"/>
    <col min="11038" max="11038" width="14.5703125" style="1233" customWidth="1"/>
    <col min="11039" max="11039" width="12.28515625" style="1233" customWidth="1"/>
    <col min="11040" max="11040" width="38.140625" style="1233" customWidth="1"/>
    <col min="11041" max="11041" width="46.85546875" style="1233" customWidth="1"/>
    <col min="11042" max="11044" width="12.7109375" style="1233" customWidth="1"/>
    <col min="11045" max="11045" width="9.28515625" style="1233" customWidth="1"/>
    <col min="11046" max="11046" width="13.5703125" style="1233" customWidth="1"/>
    <col min="11047" max="11047" width="10.28515625" style="1233" customWidth="1"/>
    <col min="11048" max="11048" width="12.85546875" style="1233" customWidth="1"/>
    <col min="11049" max="11049" width="9.140625" style="1233" customWidth="1"/>
    <col min="11050" max="11050" width="9.7109375" style="1233" customWidth="1"/>
    <col min="11051" max="11051" width="9.28515625" style="1233" customWidth="1"/>
    <col min="11052" max="11052" width="9.42578125" style="1233" customWidth="1"/>
    <col min="11053" max="11053" width="10.5703125" style="1233" customWidth="1"/>
    <col min="11054" max="11054" width="12.42578125" style="1233" customWidth="1"/>
    <col min="11055" max="11055" width="14.5703125" style="1233" customWidth="1"/>
    <col min="11056" max="11056" width="12.28515625" style="1233" customWidth="1"/>
    <col min="11057" max="11057" width="25.85546875" style="1233" customWidth="1"/>
    <col min="11058" max="11289" width="0.85546875" style="1233"/>
    <col min="11290" max="11290" width="9.85546875" style="1233" customWidth="1"/>
    <col min="11291" max="11291" width="81.85546875" style="1233" customWidth="1"/>
    <col min="11292" max="11292" width="12.7109375" style="1233" customWidth="1"/>
    <col min="11293" max="11293" width="12.42578125" style="1233" customWidth="1"/>
    <col min="11294" max="11294" width="14.5703125" style="1233" customWidth="1"/>
    <col min="11295" max="11295" width="12.28515625" style="1233" customWidth="1"/>
    <col min="11296" max="11296" width="38.140625" style="1233" customWidth="1"/>
    <col min="11297" max="11297" width="46.85546875" style="1233" customWidth="1"/>
    <col min="11298" max="11300" width="12.7109375" style="1233" customWidth="1"/>
    <col min="11301" max="11301" width="9.28515625" style="1233" customWidth="1"/>
    <col min="11302" max="11302" width="13.5703125" style="1233" customWidth="1"/>
    <col min="11303" max="11303" width="10.28515625" style="1233" customWidth="1"/>
    <col min="11304" max="11304" width="12.85546875" style="1233" customWidth="1"/>
    <col min="11305" max="11305" width="9.140625" style="1233" customWidth="1"/>
    <col min="11306" max="11306" width="9.7109375" style="1233" customWidth="1"/>
    <col min="11307" max="11307" width="9.28515625" style="1233" customWidth="1"/>
    <col min="11308" max="11308" width="9.42578125" style="1233" customWidth="1"/>
    <col min="11309" max="11309" width="10.5703125" style="1233" customWidth="1"/>
    <col min="11310" max="11310" width="12.42578125" style="1233" customWidth="1"/>
    <col min="11311" max="11311" width="14.5703125" style="1233" customWidth="1"/>
    <col min="11312" max="11312" width="12.28515625" style="1233" customWidth="1"/>
    <col min="11313" max="11313" width="25.85546875" style="1233" customWidth="1"/>
    <col min="11314" max="11545" width="0.85546875" style="1233"/>
    <col min="11546" max="11546" width="9.85546875" style="1233" customWidth="1"/>
    <col min="11547" max="11547" width="81.85546875" style="1233" customWidth="1"/>
    <col min="11548" max="11548" width="12.7109375" style="1233" customWidth="1"/>
    <col min="11549" max="11549" width="12.42578125" style="1233" customWidth="1"/>
    <col min="11550" max="11550" width="14.5703125" style="1233" customWidth="1"/>
    <col min="11551" max="11551" width="12.28515625" style="1233" customWidth="1"/>
    <col min="11552" max="11552" width="38.140625" style="1233" customWidth="1"/>
    <col min="11553" max="11553" width="46.85546875" style="1233" customWidth="1"/>
    <col min="11554" max="11556" width="12.7109375" style="1233" customWidth="1"/>
    <col min="11557" max="11557" width="9.28515625" style="1233" customWidth="1"/>
    <col min="11558" max="11558" width="13.5703125" style="1233" customWidth="1"/>
    <col min="11559" max="11559" width="10.28515625" style="1233" customWidth="1"/>
    <col min="11560" max="11560" width="12.85546875" style="1233" customWidth="1"/>
    <col min="11561" max="11561" width="9.140625" style="1233" customWidth="1"/>
    <col min="11562" max="11562" width="9.7109375" style="1233" customWidth="1"/>
    <col min="11563" max="11563" width="9.28515625" style="1233" customWidth="1"/>
    <col min="11564" max="11564" width="9.42578125" style="1233" customWidth="1"/>
    <col min="11565" max="11565" width="10.5703125" style="1233" customWidth="1"/>
    <col min="11566" max="11566" width="12.42578125" style="1233" customWidth="1"/>
    <col min="11567" max="11567" width="14.5703125" style="1233" customWidth="1"/>
    <col min="11568" max="11568" width="12.28515625" style="1233" customWidth="1"/>
    <col min="11569" max="11569" width="25.85546875" style="1233" customWidth="1"/>
    <col min="11570" max="11801" width="0.85546875" style="1233"/>
    <col min="11802" max="11802" width="9.85546875" style="1233" customWidth="1"/>
    <col min="11803" max="11803" width="81.85546875" style="1233" customWidth="1"/>
    <col min="11804" max="11804" width="12.7109375" style="1233" customWidth="1"/>
    <col min="11805" max="11805" width="12.42578125" style="1233" customWidth="1"/>
    <col min="11806" max="11806" width="14.5703125" style="1233" customWidth="1"/>
    <col min="11807" max="11807" width="12.28515625" style="1233" customWidth="1"/>
    <col min="11808" max="11808" width="38.140625" style="1233" customWidth="1"/>
    <col min="11809" max="11809" width="46.85546875" style="1233" customWidth="1"/>
    <col min="11810" max="11812" width="12.7109375" style="1233" customWidth="1"/>
    <col min="11813" max="11813" width="9.28515625" style="1233" customWidth="1"/>
    <col min="11814" max="11814" width="13.5703125" style="1233" customWidth="1"/>
    <col min="11815" max="11815" width="10.28515625" style="1233" customWidth="1"/>
    <col min="11816" max="11816" width="12.85546875" style="1233" customWidth="1"/>
    <col min="11817" max="11817" width="9.140625" style="1233" customWidth="1"/>
    <col min="11818" max="11818" width="9.7109375" style="1233" customWidth="1"/>
    <col min="11819" max="11819" width="9.28515625" style="1233" customWidth="1"/>
    <col min="11820" max="11820" width="9.42578125" style="1233" customWidth="1"/>
    <col min="11821" max="11821" width="10.5703125" style="1233" customWidth="1"/>
    <col min="11822" max="11822" width="12.42578125" style="1233" customWidth="1"/>
    <col min="11823" max="11823" width="14.5703125" style="1233" customWidth="1"/>
    <col min="11824" max="11824" width="12.28515625" style="1233" customWidth="1"/>
    <col min="11825" max="11825" width="25.85546875" style="1233" customWidth="1"/>
    <col min="11826" max="12057" width="0.85546875" style="1233"/>
    <col min="12058" max="12058" width="9.85546875" style="1233" customWidth="1"/>
    <col min="12059" max="12059" width="81.85546875" style="1233" customWidth="1"/>
    <col min="12060" max="12060" width="12.7109375" style="1233" customWidth="1"/>
    <col min="12061" max="12061" width="12.42578125" style="1233" customWidth="1"/>
    <col min="12062" max="12062" width="14.5703125" style="1233" customWidth="1"/>
    <col min="12063" max="12063" width="12.28515625" style="1233" customWidth="1"/>
    <col min="12064" max="12064" width="38.140625" style="1233" customWidth="1"/>
    <col min="12065" max="12065" width="46.85546875" style="1233" customWidth="1"/>
    <col min="12066" max="12068" width="12.7109375" style="1233" customWidth="1"/>
    <col min="12069" max="12069" width="9.28515625" style="1233" customWidth="1"/>
    <col min="12070" max="12070" width="13.5703125" style="1233" customWidth="1"/>
    <col min="12071" max="12071" width="10.28515625" style="1233" customWidth="1"/>
    <col min="12072" max="12072" width="12.85546875" style="1233" customWidth="1"/>
    <col min="12073" max="12073" width="9.140625" style="1233" customWidth="1"/>
    <col min="12074" max="12074" width="9.7109375" style="1233" customWidth="1"/>
    <col min="12075" max="12075" width="9.28515625" style="1233" customWidth="1"/>
    <col min="12076" max="12076" width="9.42578125" style="1233" customWidth="1"/>
    <col min="12077" max="12077" width="10.5703125" style="1233" customWidth="1"/>
    <col min="12078" max="12078" width="12.42578125" style="1233" customWidth="1"/>
    <col min="12079" max="12079" width="14.5703125" style="1233" customWidth="1"/>
    <col min="12080" max="12080" width="12.28515625" style="1233" customWidth="1"/>
    <col min="12081" max="12081" width="25.85546875" style="1233" customWidth="1"/>
    <col min="12082" max="12313" width="0.85546875" style="1233"/>
    <col min="12314" max="12314" width="9.85546875" style="1233" customWidth="1"/>
    <col min="12315" max="12315" width="81.85546875" style="1233" customWidth="1"/>
    <col min="12316" max="12316" width="12.7109375" style="1233" customWidth="1"/>
    <col min="12317" max="12317" width="12.42578125" style="1233" customWidth="1"/>
    <col min="12318" max="12318" width="14.5703125" style="1233" customWidth="1"/>
    <col min="12319" max="12319" width="12.28515625" style="1233" customWidth="1"/>
    <col min="12320" max="12320" width="38.140625" style="1233" customWidth="1"/>
    <col min="12321" max="12321" width="46.85546875" style="1233" customWidth="1"/>
    <col min="12322" max="12324" width="12.7109375" style="1233" customWidth="1"/>
    <col min="12325" max="12325" width="9.28515625" style="1233" customWidth="1"/>
    <col min="12326" max="12326" width="13.5703125" style="1233" customWidth="1"/>
    <col min="12327" max="12327" width="10.28515625" style="1233" customWidth="1"/>
    <col min="12328" max="12328" width="12.85546875" style="1233" customWidth="1"/>
    <col min="12329" max="12329" width="9.140625" style="1233" customWidth="1"/>
    <col min="12330" max="12330" width="9.7109375" style="1233" customWidth="1"/>
    <col min="12331" max="12331" width="9.28515625" style="1233" customWidth="1"/>
    <col min="12332" max="12332" width="9.42578125" style="1233" customWidth="1"/>
    <col min="12333" max="12333" width="10.5703125" style="1233" customWidth="1"/>
    <col min="12334" max="12334" width="12.42578125" style="1233" customWidth="1"/>
    <col min="12335" max="12335" width="14.5703125" style="1233" customWidth="1"/>
    <col min="12336" max="12336" width="12.28515625" style="1233" customWidth="1"/>
    <col min="12337" max="12337" width="25.85546875" style="1233" customWidth="1"/>
    <col min="12338" max="12569" width="0.85546875" style="1233"/>
    <col min="12570" max="12570" width="9.85546875" style="1233" customWidth="1"/>
    <col min="12571" max="12571" width="81.85546875" style="1233" customWidth="1"/>
    <col min="12572" max="12572" width="12.7109375" style="1233" customWidth="1"/>
    <col min="12573" max="12573" width="12.42578125" style="1233" customWidth="1"/>
    <col min="12574" max="12574" width="14.5703125" style="1233" customWidth="1"/>
    <col min="12575" max="12575" width="12.28515625" style="1233" customWidth="1"/>
    <col min="12576" max="12576" width="38.140625" style="1233" customWidth="1"/>
    <col min="12577" max="12577" width="46.85546875" style="1233" customWidth="1"/>
    <col min="12578" max="12580" width="12.7109375" style="1233" customWidth="1"/>
    <col min="12581" max="12581" width="9.28515625" style="1233" customWidth="1"/>
    <col min="12582" max="12582" width="13.5703125" style="1233" customWidth="1"/>
    <col min="12583" max="12583" width="10.28515625" style="1233" customWidth="1"/>
    <col min="12584" max="12584" width="12.85546875" style="1233" customWidth="1"/>
    <col min="12585" max="12585" width="9.140625" style="1233" customWidth="1"/>
    <col min="12586" max="12586" width="9.7109375" style="1233" customWidth="1"/>
    <col min="12587" max="12587" width="9.28515625" style="1233" customWidth="1"/>
    <col min="12588" max="12588" width="9.42578125" style="1233" customWidth="1"/>
    <col min="12589" max="12589" width="10.5703125" style="1233" customWidth="1"/>
    <col min="12590" max="12590" width="12.42578125" style="1233" customWidth="1"/>
    <col min="12591" max="12591" width="14.5703125" style="1233" customWidth="1"/>
    <col min="12592" max="12592" width="12.28515625" style="1233" customWidth="1"/>
    <col min="12593" max="12593" width="25.85546875" style="1233" customWidth="1"/>
    <col min="12594" max="12825" width="0.85546875" style="1233"/>
    <col min="12826" max="12826" width="9.85546875" style="1233" customWidth="1"/>
    <col min="12827" max="12827" width="81.85546875" style="1233" customWidth="1"/>
    <col min="12828" max="12828" width="12.7109375" style="1233" customWidth="1"/>
    <col min="12829" max="12829" width="12.42578125" style="1233" customWidth="1"/>
    <col min="12830" max="12830" width="14.5703125" style="1233" customWidth="1"/>
    <col min="12831" max="12831" width="12.28515625" style="1233" customWidth="1"/>
    <col min="12832" max="12832" width="38.140625" style="1233" customWidth="1"/>
    <col min="12833" max="12833" width="46.85546875" style="1233" customWidth="1"/>
    <col min="12834" max="12836" width="12.7109375" style="1233" customWidth="1"/>
    <col min="12837" max="12837" width="9.28515625" style="1233" customWidth="1"/>
    <col min="12838" max="12838" width="13.5703125" style="1233" customWidth="1"/>
    <col min="12839" max="12839" width="10.28515625" style="1233" customWidth="1"/>
    <col min="12840" max="12840" width="12.85546875" style="1233" customWidth="1"/>
    <col min="12841" max="12841" width="9.140625" style="1233" customWidth="1"/>
    <col min="12842" max="12842" width="9.7109375" style="1233" customWidth="1"/>
    <col min="12843" max="12843" width="9.28515625" style="1233" customWidth="1"/>
    <col min="12844" max="12844" width="9.42578125" style="1233" customWidth="1"/>
    <col min="12845" max="12845" width="10.5703125" style="1233" customWidth="1"/>
    <col min="12846" max="12846" width="12.42578125" style="1233" customWidth="1"/>
    <col min="12847" max="12847" width="14.5703125" style="1233" customWidth="1"/>
    <col min="12848" max="12848" width="12.28515625" style="1233" customWidth="1"/>
    <col min="12849" max="12849" width="25.85546875" style="1233" customWidth="1"/>
    <col min="12850" max="13081" width="0.85546875" style="1233"/>
    <col min="13082" max="13082" width="9.85546875" style="1233" customWidth="1"/>
    <col min="13083" max="13083" width="81.85546875" style="1233" customWidth="1"/>
    <col min="13084" max="13084" width="12.7109375" style="1233" customWidth="1"/>
    <col min="13085" max="13085" width="12.42578125" style="1233" customWidth="1"/>
    <col min="13086" max="13086" width="14.5703125" style="1233" customWidth="1"/>
    <col min="13087" max="13087" width="12.28515625" style="1233" customWidth="1"/>
    <col min="13088" max="13088" width="38.140625" style="1233" customWidth="1"/>
    <col min="13089" max="13089" width="46.85546875" style="1233" customWidth="1"/>
    <col min="13090" max="13092" width="12.7109375" style="1233" customWidth="1"/>
    <col min="13093" max="13093" width="9.28515625" style="1233" customWidth="1"/>
    <col min="13094" max="13094" width="13.5703125" style="1233" customWidth="1"/>
    <col min="13095" max="13095" width="10.28515625" style="1233" customWidth="1"/>
    <col min="13096" max="13096" width="12.85546875" style="1233" customWidth="1"/>
    <col min="13097" max="13097" width="9.140625" style="1233" customWidth="1"/>
    <col min="13098" max="13098" width="9.7109375" style="1233" customWidth="1"/>
    <col min="13099" max="13099" width="9.28515625" style="1233" customWidth="1"/>
    <col min="13100" max="13100" width="9.42578125" style="1233" customWidth="1"/>
    <col min="13101" max="13101" width="10.5703125" style="1233" customWidth="1"/>
    <col min="13102" max="13102" width="12.42578125" style="1233" customWidth="1"/>
    <col min="13103" max="13103" width="14.5703125" style="1233" customWidth="1"/>
    <col min="13104" max="13104" width="12.28515625" style="1233" customWidth="1"/>
    <col min="13105" max="13105" width="25.85546875" style="1233" customWidth="1"/>
    <col min="13106" max="13337" width="0.85546875" style="1233"/>
    <col min="13338" max="13338" width="9.85546875" style="1233" customWidth="1"/>
    <col min="13339" max="13339" width="81.85546875" style="1233" customWidth="1"/>
    <col min="13340" max="13340" width="12.7109375" style="1233" customWidth="1"/>
    <col min="13341" max="13341" width="12.42578125" style="1233" customWidth="1"/>
    <col min="13342" max="13342" width="14.5703125" style="1233" customWidth="1"/>
    <col min="13343" max="13343" width="12.28515625" style="1233" customWidth="1"/>
    <col min="13344" max="13344" width="38.140625" style="1233" customWidth="1"/>
    <col min="13345" max="13345" width="46.85546875" style="1233" customWidth="1"/>
    <col min="13346" max="13348" width="12.7109375" style="1233" customWidth="1"/>
    <col min="13349" max="13349" width="9.28515625" style="1233" customWidth="1"/>
    <col min="13350" max="13350" width="13.5703125" style="1233" customWidth="1"/>
    <col min="13351" max="13351" width="10.28515625" style="1233" customWidth="1"/>
    <col min="13352" max="13352" width="12.85546875" style="1233" customWidth="1"/>
    <col min="13353" max="13353" width="9.140625" style="1233" customWidth="1"/>
    <col min="13354" max="13354" width="9.7109375" style="1233" customWidth="1"/>
    <col min="13355" max="13355" width="9.28515625" style="1233" customWidth="1"/>
    <col min="13356" max="13356" width="9.42578125" style="1233" customWidth="1"/>
    <col min="13357" max="13357" width="10.5703125" style="1233" customWidth="1"/>
    <col min="13358" max="13358" width="12.42578125" style="1233" customWidth="1"/>
    <col min="13359" max="13359" width="14.5703125" style="1233" customWidth="1"/>
    <col min="13360" max="13360" width="12.28515625" style="1233" customWidth="1"/>
    <col min="13361" max="13361" width="25.85546875" style="1233" customWidth="1"/>
    <col min="13362" max="13593" width="0.85546875" style="1233"/>
    <col min="13594" max="13594" width="9.85546875" style="1233" customWidth="1"/>
    <col min="13595" max="13595" width="81.85546875" style="1233" customWidth="1"/>
    <col min="13596" max="13596" width="12.7109375" style="1233" customWidth="1"/>
    <col min="13597" max="13597" width="12.42578125" style="1233" customWidth="1"/>
    <col min="13598" max="13598" width="14.5703125" style="1233" customWidth="1"/>
    <col min="13599" max="13599" width="12.28515625" style="1233" customWidth="1"/>
    <col min="13600" max="13600" width="38.140625" style="1233" customWidth="1"/>
    <col min="13601" max="13601" width="46.85546875" style="1233" customWidth="1"/>
    <col min="13602" max="13604" width="12.7109375" style="1233" customWidth="1"/>
    <col min="13605" max="13605" width="9.28515625" style="1233" customWidth="1"/>
    <col min="13606" max="13606" width="13.5703125" style="1233" customWidth="1"/>
    <col min="13607" max="13607" width="10.28515625" style="1233" customWidth="1"/>
    <col min="13608" max="13608" width="12.85546875" style="1233" customWidth="1"/>
    <col min="13609" max="13609" width="9.140625" style="1233" customWidth="1"/>
    <col min="13610" max="13610" width="9.7109375" style="1233" customWidth="1"/>
    <col min="13611" max="13611" width="9.28515625" style="1233" customWidth="1"/>
    <col min="13612" max="13612" width="9.42578125" style="1233" customWidth="1"/>
    <col min="13613" max="13613" width="10.5703125" style="1233" customWidth="1"/>
    <col min="13614" max="13614" width="12.42578125" style="1233" customWidth="1"/>
    <col min="13615" max="13615" width="14.5703125" style="1233" customWidth="1"/>
    <col min="13616" max="13616" width="12.28515625" style="1233" customWidth="1"/>
    <col min="13617" max="13617" width="25.85546875" style="1233" customWidth="1"/>
    <col min="13618" max="13849" width="0.85546875" style="1233"/>
    <col min="13850" max="13850" width="9.85546875" style="1233" customWidth="1"/>
    <col min="13851" max="13851" width="81.85546875" style="1233" customWidth="1"/>
    <col min="13852" max="13852" width="12.7109375" style="1233" customWidth="1"/>
    <col min="13853" max="13853" width="12.42578125" style="1233" customWidth="1"/>
    <col min="13854" max="13854" width="14.5703125" style="1233" customWidth="1"/>
    <col min="13855" max="13855" width="12.28515625" style="1233" customWidth="1"/>
    <col min="13856" max="13856" width="38.140625" style="1233" customWidth="1"/>
    <col min="13857" max="13857" width="46.85546875" style="1233" customWidth="1"/>
    <col min="13858" max="13860" width="12.7109375" style="1233" customWidth="1"/>
    <col min="13861" max="13861" width="9.28515625" style="1233" customWidth="1"/>
    <col min="13862" max="13862" width="13.5703125" style="1233" customWidth="1"/>
    <col min="13863" max="13863" width="10.28515625" style="1233" customWidth="1"/>
    <col min="13864" max="13864" width="12.85546875" style="1233" customWidth="1"/>
    <col min="13865" max="13865" width="9.140625" style="1233" customWidth="1"/>
    <col min="13866" max="13866" width="9.7109375" style="1233" customWidth="1"/>
    <col min="13867" max="13867" width="9.28515625" style="1233" customWidth="1"/>
    <col min="13868" max="13868" width="9.42578125" style="1233" customWidth="1"/>
    <col min="13869" max="13869" width="10.5703125" style="1233" customWidth="1"/>
    <col min="13870" max="13870" width="12.42578125" style="1233" customWidth="1"/>
    <col min="13871" max="13871" width="14.5703125" style="1233" customWidth="1"/>
    <col min="13872" max="13872" width="12.28515625" style="1233" customWidth="1"/>
    <col min="13873" max="13873" width="25.85546875" style="1233" customWidth="1"/>
    <col min="13874" max="14105" width="0.85546875" style="1233"/>
    <col min="14106" max="14106" width="9.85546875" style="1233" customWidth="1"/>
    <col min="14107" max="14107" width="81.85546875" style="1233" customWidth="1"/>
    <col min="14108" max="14108" width="12.7109375" style="1233" customWidth="1"/>
    <col min="14109" max="14109" width="12.42578125" style="1233" customWidth="1"/>
    <col min="14110" max="14110" width="14.5703125" style="1233" customWidth="1"/>
    <col min="14111" max="14111" width="12.28515625" style="1233" customWidth="1"/>
    <col min="14112" max="14112" width="38.140625" style="1233" customWidth="1"/>
    <col min="14113" max="14113" width="46.85546875" style="1233" customWidth="1"/>
    <col min="14114" max="14116" width="12.7109375" style="1233" customWidth="1"/>
    <col min="14117" max="14117" width="9.28515625" style="1233" customWidth="1"/>
    <col min="14118" max="14118" width="13.5703125" style="1233" customWidth="1"/>
    <col min="14119" max="14119" width="10.28515625" style="1233" customWidth="1"/>
    <col min="14120" max="14120" width="12.85546875" style="1233" customWidth="1"/>
    <col min="14121" max="14121" width="9.140625" style="1233" customWidth="1"/>
    <col min="14122" max="14122" width="9.7109375" style="1233" customWidth="1"/>
    <col min="14123" max="14123" width="9.28515625" style="1233" customWidth="1"/>
    <col min="14124" max="14124" width="9.42578125" style="1233" customWidth="1"/>
    <col min="14125" max="14125" width="10.5703125" style="1233" customWidth="1"/>
    <col min="14126" max="14126" width="12.42578125" style="1233" customWidth="1"/>
    <col min="14127" max="14127" width="14.5703125" style="1233" customWidth="1"/>
    <col min="14128" max="14128" width="12.28515625" style="1233" customWidth="1"/>
    <col min="14129" max="14129" width="25.85546875" style="1233" customWidth="1"/>
    <col min="14130" max="14361" width="0.85546875" style="1233"/>
    <col min="14362" max="14362" width="9.85546875" style="1233" customWidth="1"/>
    <col min="14363" max="14363" width="81.85546875" style="1233" customWidth="1"/>
    <col min="14364" max="14364" width="12.7109375" style="1233" customWidth="1"/>
    <col min="14365" max="14365" width="12.42578125" style="1233" customWidth="1"/>
    <col min="14366" max="14366" width="14.5703125" style="1233" customWidth="1"/>
    <col min="14367" max="14367" width="12.28515625" style="1233" customWidth="1"/>
    <col min="14368" max="14368" width="38.140625" style="1233" customWidth="1"/>
    <col min="14369" max="14369" width="46.85546875" style="1233" customWidth="1"/>
    <col min="14370" max="14372" width="12.7109375" style="1233" customWidth="1"/>
    <col min="14373" max="14373" width="9.28515625" style="1233" customWidth="1"/>
    <col min="14374" max="14374" width="13.5703125" style="1233" customWidth="1"/>
    <col min="14375" max="14375" width="10.28515625" style="1233" customWidth="1"/>
    <col min="14376" max="14376" width="12.85546875" style="1233" customWidth="1"/>
    <col min="14377" max="14377" width="9.140625" style="1233" customWidth="1"/>
    <col min="14378" max="14378" width="9.7109375" style="1233" customWidth="1"/>
    <col min="14379" max="14379" width="9.28515625" style="1233" customWidth="1"/>
    <col min="14380" max="14380" width="9.42578125" style="1233" customWidth="1"/>
    <col min="14381" max="14381" width="10.5703125" style="1233" customWidth="1"/>
    <col min="14382" max="14382" width="12.42578125" style="1233" customWidth="1"/>
    <col min="14383" max="14383" width="14.5703125" style="1233" customWidth="1"/>
    <col min="14384" max="14384" width="12.28515625" style="1233" customWidth="1"/>
    <col min="14385" max="14385" width="25.85546875" style="1233" customWidth="1"/>
    <col min="14386" max="14617" width="0.85546875" style="1233"/>
    <col min="14618" max="14618" width="9.85546875" style="1233" customWidth="1"/>
    <col min="14619" max="14619" width="81.85546875" style="1233" customWidth="1"/>
    <col min="14620" max="14620" width="12.7109375" style="1233" customWidth="1"/>
    <col min="14621" max="14621" width="12.42578125" style="1233" customWidth="1"/>
    <col min="14622" max="14622" width="14.5703125" style="1233" customWidth="1"/>
    <col min="14623" max="14623" width="12.28515625" style="1233" customWidth="1"/>
    <col min="14624" max="14624" width="38.140625" style="1233" customWidth="1"/>
    <col min="14625" max="14625" width="46.85546875" style="1233" customWidth="1"/>
    <col min="14626" max="14628" width="12.7109375" style="1233" customWidth="1"/>
    <col min="14629" max="14629" width="9.28515625" style="1233" customWidth="1"/>
    <col min="14630" max="14630" width="13.5703125" style="1233" customWidth="1"/>
    <col min="14631" max="14631" width="10.28515625" style="1233" customWidth="1"/>
    <col min="14632" max="14632" width="12.85546875" style="1233" customWidth="1"/>
    <col min="14633" max="14633" width="9.140625" style="1233" customWidth="1"/>
    <col min="14634" max="14634" width="9.7109375" style="1233" customWidth="1"/>
    <col min="14635" max="14635" width="9.28515625" style="1233" customWidth="1"/>
    <col min="14636" max="14636" width="9.42578125" style="1233" customWidth="1"/>
    <col min="14637" max="14637" width="10.5703125" style="1233" customWidth="1"/>
    <col min="14638" max="14638" width="12.42578125" style="1233" customWidth="1"/>
    <col min="14639" max="14639" width="14.5703125" style="1233" customWidth="1"/>
    <col min="14640" max="14640" width="12.28515625" style="1233" customWidth="1"/>
    <col min="14641" max="14641" width="25.85546875" style="1233" customWidth="1"/>
    <col min="14642" max="14873" width="0.85546875" style="1233"/>
    <col min="14874" max="14874" width="9.85546875" style="1233" customWidth="1"/>
    <col min="14875" max="14875" width="81.85546875" style="1233" customWidth="1"/>
    <col min="14876" max="14876" width="12.7109375" style="1233" customWidth="1"/>
    <col min="14877" max="14877" width="12.42578125" style="1233" customWidth="1"/>
    <col min="14878" max="14878" width="14.5703125" style="1233" customWidth="1"/>
    <col min="14879" max="14879" width="12.28515625" style="1233" customWidth="1"/>
    <col min="14880" max="14880" width="38.140625" style="1233" customWidth="1"/>
    <col min="14881" max="14881" width="46.85546875" style="1233" customWidth="1"/>
    <col min="14882" max="14884" width="12.7109375" style="1233" customWidth="1"/>
    <col min="14885" max="14885" width="9.28515625" style="1233" customWidth="1"/>
    <col min="14886" max="14886" width="13.5703125" style="1233" customWidth="1"/>
    <col min="14887" max="14887" width="10.28515625" style="1233" customWidth="1"/>
    <col min="14888" max="14888" width="12.85546875" style="1233" customWidth="1"/>
    <col min="14889" max="14889" width="9.140625" style="1233" customWidth="1"/>
    <col min="14890" max="14890" width="9.7109375" style="1233" customWidth="1"/>
    <col min="14891" max="14891" width="9.28515625" style="1233" customWidth="1"/>
    <col min="14892" max="14892" width="9.42578125" style="1233" customWidth="1"/>
    <col min="14893" max="14893" width="10.5703125" style="1233" customWidth="1"/>
    <col min="14894" max="14894" width="12.42578125" style="1233" customWidth="1"/>
    <col min="14895" max="14895" width="14.5703125" style="1233" customWidth="1"/>
    <col min="14896" max="14896" width="12.28515625" style="1233" customWidth="1"/>
    <col min="14897" max="14897" width="25.85546875" style="1233" customWidth="1"/>
    <col min="14898" max="15129" width="0.85546875" style="1233"/>
    <col min="15130" max="15130" width="9.85546875" style="1233" customWidth="1"/>
    <col min="15131" max="15131" width="81.85546875" style="1233" customWidth="1"/>
    <col min="15132" max="15132" width="12.7109375" style="1233" customWidth="1"/>
    <col min="15133" max="15133" width="12.42578125" style="1233" customWidth="1"/>
    <col min="15134" max="15134" width="14.5703125" style="1233" customWidth="1"/>
    <col min="15135" max="15135" width="12.28515625" style="1233" customWidth="1"/>
    <col min="15136" max="15136" width="38.140625" style="1233" customWidth="1"/>
    <col min="15137" max="15137" width="46.85546875" style="1233" customWidth="1"/>
    <col min="15138" max="15140" width="12.7109375" style="1233" customWidth="1"/>
    <col min="15141" max="15141" width="9.28515625" style="1233" customWidth="1"/>
    <col min="15142" max="15142" width="13.5703125" style="1233" customWidth="1"/>
    <col min="15143" max="15143" width="10.28515625" style="1233" customWidth="1"/>
    <col min="15144" max="15144" width="12.85546875" style="1233" customWidth="1"/>
    <col min="15145" max="15145" width="9.140625" style="1233" customWidth="1"/>
    <col min="15146" max="15146" width="9.7109375" style="1233" customWidth="1"/>
    <col min="15147" max="15147" width="9.28515625" style="1233" customWidth="1"/>
    <col min="15148" max="15148" width="9.42578125" style="1233" customWidth="1"/>
    <col min="15149" max="15149" width="10.5703125" style="1233" customWidth="1"/>
    <col min="15150" max="15150" width="12.42578125" style="1233" customWidth="1"/>
    <col min="15151" max="15151" width="14.5703125" style="1233" customWidth="1"/>
    <col min="15152" max="15152" width="12.28515625" style="1233" customWidth="1"/>
    <col min="15153" max="15153" width="25.85546875" style="1233" customWidth="1"/>
    <col min="15154" max="15385" width="0.85546875" style="1233"/>
    <col min="15386" max="15386" width="9.85546875" style="1233" customWidth="1"/>
    <col min="15387" max="15387" width="81.85546875" style="1233" customWidth="1"/>
    <col min="15388" max="15388" width="12.7109375" style="1233" customWidth="1"/>
    <col min="15389" max="15389" width="12.42578125" style="1233" customWidth="1"/>
    <col min="15390" max="15390" width="14.5703125" style="1233" customWidth="1"/>
    <col min="15391" max="15391" width="12.28515625" style="1233" customWidth="1"/>
    <col min="15392" max="15392" width="38.140625" style="1233" customWidth="1"/>
    <col min="15393" max="15393" width="46.85546875" style="1233" customWidth="1"/>
    <col min="15394" max="15396" width="12.7109375" style="1233" customWidth="1"/>
    <col min="15397" max="15397" width="9.28515625" style="1233" customWidth="1"/>
    <col min="15398" max="15398" width="13.5703125" style="1233" customWidth="1"/>
    <col min="15399" max="15399" width="10.28515625" style="1233" customWidth="1"/>
    <col min="15400" max="15400" width="12.85546875" style="1233" customWidth="1"/>
    <col min="15401" max="15401" width="9.140625" style="1233" customWidth="1"/>
    <col min="15402" max="15402" width="9.7109375" style="1233" customWidth="1"/>
    <col min="15403" max="15403" width="9.28515625" style="1233" customWidth="1"/>
    <col min="15404" max="15404" width="9.42578125" style="1233" customWidth="1"/>
    <col min="15405" max="15405" width="10.5703125" style="1233" customWidth="1"/>
    <col min="15406" max="15406" width="12.42578125" style="1233" customWidth="1"/>
    <col min="15407" max="15407" width="14.5703125" style="1233" customWidth="1"/>
    <col min="15408" max="15408" width="12.28515625" style="1233" customWidth="1"/>
    <col min="15409" max="15409" width="25.85546875" style="1233" customWidth="1"/>
    <col min="15410" max="15641" width="0.85546875" style="1233"/>
    <col min="15642" max="15642" width="9.85546875" style="1233" customWidth="1"/>
    <col min="15643" max="15643" width="81.85546875" style="1233" customWidth="1"/>
    <col min="15644" max="15644" width="12.7109375" style="1233" customWidth="1"/>
    <col min="15645" max="15645" width="12.42578125" style="1233" customWidth="1"/>
    <col min="15646" max="15646" width="14.5703125" style="1233" customWidth="1"/>
    <col min="15647" max="15647" width="12.28515625" style="1233" customWidth="1"/>
    <col min="15648" max="15648" width="38.140625" style="1233" customWidth="1"/>
    <col min="15649" max="15649" width="46.85546875" style="1233" customWidth="1"/>
    <col min="15650" max="15652" width="12.7109375" style="1233" customWidth="1"/>
    <col min="15653" max="15653" width="9.28515625" style="1233" customWidth="1"/>
    <col min="15654" max="15654" width="13.5703125" style="1233" customWidth="1"/>
    <col min="15655" max="15655" width="10.28515625" style="1233" customWidth="1"/>
    <col min="15656" max="15656" width="12.85546875" style="1233" customWidth="1"/>
    <col min="15657" max="15657" width="9.140625" style="1233" customWidth="1"/>
    <col min="15658" max="15658" width="9.7109375" style="1233" customWidth="1"/>
    <col min="15659" max="15659" width="9.28515625" style="1233" customWidth="1"/>
    <col min="15660" max="15660" width="9.42578125" style="1233" customWidth="1"/>
    <col min="15661" max="15661" width="10.5703125" style="1233" customWidth="1"/>
    <col min="15662" max="15662" width="12.42578125" style="1233" customWidth="1"/>
    <col min="15663" max="15663" width="14.5703125" style="1233" customWidth="1"/>
    <col min="15664" max="15664" width="12.28515625" style="1233" customWidth="1"/>
    <col min="15665" max="15665" width="25.85546875" style="1233" customWidth="1"/>
    <col min="15666" max="15897" width="0.85546875" style="1233"/>
    <col min="15898" max="15898" width="9.85546875" style="1233" customWidth="1"/>
    <col min="15899" max="15899" width="81.85546875" style="1233" customWidth="1"/>
    <col min="15900" max="15900" width="12.7109375" style="1233" customWidth="1"/>
    <col min="15901" max="15901" width="12.42578125" style="1233" customWidth="1"/>
    <col min="15902" max="15902" width="14.5703125" style="1233" customWidth="1"/>
    <col min="15903" max="15903" width="12.28515625" style="1233" customWidth="1"/>
    <col min="15904" max="15904" width="38.140625" style="1233" customWidth="1"/>
    <col min="15905" max="15905" width="46.85546875" style="1233" customWidth="1"/>
    <col min="15906" max="15908" width="12.7109375" style="1233" customWidth="1"/>
    <col min="15909" max="15909" width="9.28515625" style="1233" customWidth="1"/>
    <col min="15910" max="15910" width="13.5703125" style="1233" customWidth="1"/>
    <col min="15911" max="15911" width="10.28515625" style="1233" customWidth="1"/>
    <col min="15912" max="15912" width="12.85546875" style="1233" customWidth="1"/>
    <col min="15913" max="15913" width="9.140625" style="1233" customWidth="1"/>
    <col min="15914" max="15914" width="9.7109375" style="1233" customWidth="1"/>
    <col min="15915" max="15915" width="9.28515625" style="1233" customWidth="1"/>
    <col min="15916" max="15916" width="9.42578125" style="1233" customWidth="1"/>
    <col min="15917" max="15917" width="10.5703125" style="1233" customWidth="1"/>
    <col min="15918" max="15918" width="12.42578125" style="1233" customWidth="1"/>
    <col min="15919" max="15919" width="14.5703125" style="1233" customWidth="1"/>
    <col min="15920" max="15920" width="12.28515625" style="1233" customWidth="1"/>
    <col min="15921" max="15921" width="25.85546875" style="1233" customWidth="1"/>
    <col min="15922" max="16153" width="0.85546875" style="1233"/>
    <col min="16154" max="16154" width="9.85546875" style="1233" customWidth="1"/>
    <col min="16155" max="16155" width="81.85546875" style="1233" customWidth="1"/>
    <col min="16156" max="16156" width="12.7109375" style="1233" customWidth="1"/>
    <col min="16157" max="16157" width="12.42578125" style="1233" customWidth="1"/>
    <col min="16158" max="16158" width="14.5703125" style="1233" customWidth="1"/>
    <col min="16159" max="16159" width="12.28515625" style="1233" customWidth="1"/>
    <col min="16160" max="16160" width="38.140625" style="1233" customWidth="1"/>
    <col min="16161" max="16161" width="46.85546875" style="1233" customWidth="1"/>
    <col min="16162" max="16164" width="12.7109375" style="1233" customWidth="1"/>
    <col min="16165" max="16165" width="9.28515625" style="1233" customWidth="1"/>
    <col min="16166" max="16166" width="13.5703125" style="1233" customWidth="1"/>
    <col min="16167" max="16167" width="10.28515625" style="1233" customWidth="1"/>
    <col min="16168" max="16168" width="12.85546875" style="1233" customWidth="1"/>
    <col min="16169" max="16169" width="9.140625" style="1233" customWidth="1"/>
    <col min="16170" max="16170" width="9.7109375" style="1233" customWidth="1"/>
    <col min="16171" max="16171" width="9.28515625" style="1233" customWidth="1"/>
    <col min="16172" max="16172" width="9.42578125" style="1233" customWidth="1"/>
    <col min="16173" max="16173" width="10.5703125" style="1233" customWidth="1"/>
    <col min="16174" max="16174" width="12.42578125" style="1233" customWidth="1"/>
    <col min="16175" max="16175" width="14.5703125" style="1233" customWidth="1"/>
    <col min="16176" max="16176" width="12.28515625" style="1233" customWidth="1"/>
    <col min="16177" max="16177" width="25.85546875" style="1233" customWidth="1"/>
    <col min="16178" max="16384" width="0.85546875" style="1233"/>
  </cols>
  <sheetData>
    <row r="1" spans="1:63" ht="47.25" customHeight="1" x14ac:dyDescent="0.3">
      <c r="A1" s="5622" t="s">
        <v>4127</v>
      </c>
      <c r="B1" s="5622"/>
      <c r="C1" s="5622"/>
      <c r="D1" s="5622"/>
      <c r="E1" s="5622"/>
      <c r="F1" s="5622"/>
      <c r="G1" s="5622"/>
      <c r="H1" s="5622"/>
      <c r="I1" s="5622"/>
      <c r="J1" s="5622"/>
      <c r="K1" s="5622"/>
      <c r="L1" s="5622"/>
      <c r="M1" s="5622"/>
      <c r="N1" s="5622"/>
      <c r="O1" s="5622"/>
      <c r="P1" s="5622"/>
      <c r="Q1" s="5622"/>
      <c r="R1" s="5622"/>
      <c r="S1" s="5622"/>
      <c r="T1" s="5622"/>
      <c r="U1" s="5622"/>
      <c r="V1" s="5622"/>
      <c r="W1" s="5622"/>
      <c r="X1" s="5622"/>
      <c r="Y1" s="5622"/>
      <c r="Z1" s="5622"/>
      <c r="AA1" s="5622"/>
      <c r="AB1" s="5622"/>
      <c r="AC1" s="5622"/>
      <c r="AD1" s="5622"/>
      <c r="AE1" s="5622"/>
      <c r="AF1" s="5622"/>
      <c r="AG1" s="5622"/>
      <c r="AH1" s="5622"/>
      <c r="AI1" s="5622"/>
      <c r="AJ1" s="5622"/>
      <c r="AK1" s="5623"/>
      <c r="AL1" s="5623"/>
      <c r="AM1" s="5623"/>
      <c r="AN1" s="5623"/>
      <c r="AO1" s="5623"/>
      <c r="AP1" s="5623"/>
      <c r="AQ1" s="5623"/>
      <c r="AR1" s="5623"/>
      <c r="AS1" s="5623"/>
      <c r="AT1" s="5623"/>
      <c r="AU1" s="5623"/>
      <c r="AV1" s="5623"/>
      <c r="AW1" s="5623"/>
      <c r="AX1" s="5623"/>
      <c r="AY1" s="5623"/>
      <c r="AZ1" s="5623"/>
      <c r="BA1" s="5623"/>
      <c r="BB1" s="5623"/>
      <c r="BC1" s="5623"/>
      <c r="BD1" s="5525"/>
      <c r="BE1" s="5525"/>
      <c r="BF1" s="5525"/>
      <c r="BG1" s="5525"/>
      <c r="BH1" s="5525"/>
      <c r="BI1" s="5525"/>
      <c r="BJ1" s="4910"/>
      <c r="BK1" s="4910"/>
    </row>
    <row r="3" spans="1:63" ht="15.75" customHeight="1" x14ac:dyDescent="0.25">
      <c r="A3" s="5593" t="s">
        <v>890</v>
      </c>
      <c r="B3" s="5593" t="s">
        <v>356</v>
      </c>
      <c r="C3" s="5593" t="s">
        <v>891</v>
      </c>
      <c r="D3" s="5593" t="s">
        <v>1787</v>
      </c>
      <c r="E3" s="5593" t="s">
        <v>1786</v>
      </c>
      <c r="F3" s="5593" t="str">
        <f>'тех вода 2019-2023'!F4:P4</f>
        <v>Установлено на первый долгосрочный период регулирования 2016 - 2018 годы</v>
      </c>
      <c r="G3" s="5593"/>
      <c r="H3" s="5593"/>
      <c r="I3" s="5593"/>
      <c r="J3" s="5593"/>
      <c r="K3" s="5593"/>
      <c r="L3" s="5593"/>
      <c r="M3" s="5593"/>
      <c r="N3" s="5593"/>
      <c r="O3" s="5593"/>
      <c r="P3" s="5593"/>
      <c r="Q3" s="5593"/>
      <c r="R3" s="5521"/>
      <c r="S3" s="5521"/>
      <c r="T3" s="5598" t="s">
        <v>4087</v>
      </c>
      <c r="U3" s="5599"/>
      <c r="V3" s="5599"/>
      <c r="W3" s="5599"/>
      <c r="X3" s="5599"/>
      <c r="Y3" s="5599"/>
      <c r="Z3" s="5599"/>
      <c r="AA3" s="5599"/>
      <c r="AB3" s="5599"/>
      <c r="AC3" s="5599"/>
      <c r="AD3" s="5599"/>
      <c r="AE3" s="5599"/>
      <c r="AF3" s="5599"/>
      <c r="AG3" s="5530"/>
      <c r="AH3" s="5530"/>
      <c r="AI3" s="5530"/>
      <c r="AJ3" s="5530"/>
      <c r="AK3" s="5586"/>
      <c r="AL3" s="5586"/>
      <c r="AM3" s="5586"/>
      <c r="AN3" s="5586"/>
      <c r="AO3" s="5586"/>
      <c r="AP3" s="5586"/>
      <c r="AQ3" s="5586"/>
      <c r="AR3" s="5586"/>
      <c r="AS3" s="5586"/>
      <c r="AT3" s="5586"/>
      <c r="AU3" s="5586"/>
      <c r="AV3" s="5586"/>
      <c r="AW3" s="5586"/>
      <c r="AX3" s="5586"/>
      <c r="AY3" s="5586"/>
      <c r="AZ3" s="5586"/>
      <c r="BA3" s="5586"/>
      <c r="BB3" s="5586"/>
      <c r="BC3" s="5586"/>
      <c r="BD3" s="5586"/>
      <c r="BE3" s="5586"/>
      <c r="BF3" s="5586"/>
      <c r="BG3" s="5586"/>
      <c r="BH3" s="5586"/>
      <c r="BI3" s="5586"/>
      <c r="BJ3" s="5586"/>
      <c r="BK3" s="5587"/>
    </row>
    <row r="4" spans="1:63" ht="33" customHeight="1" x14ac:dyDescent="0.25">
      <c r="A4" s="5593"/>
      <c r="B4" s="5593"/>
      <c r="C4" s="5593"/>
      <c r="D4" s="5593"/>
      <c r="E4" s="5593"/>
      <c r="F4" s="5593" t="s">
        <v>815</v>
      </c>
      <c r="G4" s="5593"/>
      <c r="H4" s="5593"/>
      <c r="I4" s="5593" t="s">
        <v>892</v>
      </c>
      <c r="J4" s="5593"/>
      <c r="K4" s="5593"/>
      <c r="L4" s="5593"/>
      <c r="M4" s="5593"/>
      <c r="N4" s="5593" t="s">
        <v>893</v>
      </c>
      <c r="O4" s="5593"/>
      <c r="P4" s="5593"/>
      <c r="Q4" s="5593"/>
      <c r="R4" s="5593"/>
      <c r="S4" s="5521"/>
      <c r="T4" s="2539" t="s">
        <v>1799</v>
      </c>
      <c r="U4" s="2539" t="s">
        <v>1805</v>
      </c>
      <c r="V4" s="2539" t="s">
        <v>1806</v>
      </c>
      <c r="W4" s="2539" t="s">
        <v>1807</v>
      </c>
      <c r="X4" s="2539" t="s">
        <v>1808</v>
      </c>
      <c r="Y4" s="2539" t="s">
        <v>1809</v>
      </c>
      <c r="Z4" s="2539" t="s">
        <v>1799</v>
      </c>
      <c r="AA4" s="2539" t="s">
        <v>2047</v>
      </c>
      <c r="AB4" s="2539" t="s">
        <v>1805</v>
      </c>
      <c r="AC4" s="2539" t="s">
        <v>1806</v>
      </c>
      <c r="AD4" s="2539" t="s">
        <v>1807</v>
      </c>
      <c r="AE4" s="2539" t="s">
        <v>1808</v>
      </c>
      <c r="AF4" s="2539" t="s">
        <v>1809</v>
      </c>
      <c r="AG4" s="5598" t="s">
        <v>1805</v>
      </c>
      <c r="AH4" s="5530"/>
      <c r="AI4" s="5530"/>
      <c r="AJ4" s="5531"/>
      <c r="AK4" s="5593" t="s">
        <v>3614</v>
      </c>
      <c r="AL4" s="5593" t="s">
        <v>3615</v>
      </c>
      <c r="AM4" s="5593" t="s">
        <v>3623</v>
      </c>
      <c r="AN4" s="5598" t="s">
        <v>1806</v>
      </c>
      <c r="AO4" s="5530"/>
      <c r="AP4" s="5530"/>
      <c r="AQ4" s="5531"/>
      <c r="AR4" s="5593" t="s">
        <v>3867</v>
      </c>
      <c r="AS4" s="5593" t="s">
        <v>3868</v>
      </c>
      <c r="AT4" s="5593" t="s">
        <v>3869</v>
      </c>
      <c r="AU4" s="5598" t="s">
        <v>1807</v>
      </c>
      <c r="AV4" s="5530"/>
      <c r="AW4" s="5530"/>
      <c r="AX4" s="5531"/>
      <c r="AY4" s="5594" t="s">
        <v>3929</v>
      </c>
      <c r="AZ4" s="5594" t="s">
        <v>3930</v>
      </c>
      <c r="BA4" s="5594" t="s">
        <v>3931</v>
      </c>
      <c r="BB4" s="5598" t="s">
        <v>4120</v>
      </c>
      <c r="BC4" s="5530"/>
      <c r="BD4" s="5530"/>
      <c r="BE4" s="5531"/>
      <c r="BF4" s="5598" t="s">
        <v>4129</v>
      </c>
      <c r="BG4" s="5530"/>
      <c r="BH4" s="5530"/>
      <c r="BI4" s="5531"/>
      <c r="BJ4" s="5594" t="s">
        <v>4256</v>
      </c>
      <c r="BK4" s="5594" t="s">
        <v>4253</v>
      </c>
    </row>
    <row r="5" spans="1:63" ht="66.75" customHeight="1" x14ac:dyDescent="0.25">
      <c r="A5" s="5593"/>
      <c r="B5" s="5593"/>
      <c r="C5" s="5593"/>
      <c r="D5" s="5593"/>
      <c r="E5" s="5593"/>
      <c r="F5" s="2539" t="s">
        <v>1585</v>
      </c>
      <c r="G5" s="2539" t="s">
        <v>1801</v>
      </c>
      <c r="H5" s="2539" t="s">
        <v>1810</v>
      </c>
      <c r="I5" s="2539" t="s">
        <v>1585</v>
      </c>
      <c r="J5" s="2539" t="s">
        <v>1510</v>
      </c>
      <c r="K5" s="2539" t="str">
        <f>'вода 2019-2023 коррект'!K6</f>
        <v>корректировка</v>
      </c>
      <c r="L5" s="2539" t="s">
        <v>1801</v>
      </c>
      <c r="M5" s="2539" t="s">
        <v>1810</v>
      </c>
      <c r="N5" s="2539" t="s">
        <v>1585</v>
      </c>
      <c r="O5" s="2539" t="s">
        <v>1684</v>
      </c>
      <c r="P5" s="2539" t="str">
        <f>'вода 2019-2023 коррект'!P6</f>
        <v>корректировка</v>
      </c>
      <c r="Q5" s="2539" t="s">
        <v>1679</v>
      </c>
      <c r="R5" s="2539" t="s">
        <v>1675</v>
      </c>
      <c r="S5" s="2539" t="s">
        <v>1801</v>
      </c>
      <c r="T5" s="5593" t="s">
        <v>118</v>
      </c>
      <c r="U5" s="5593"/>
      <c r="V5" s="5593"/>
      <c r="W5" s="5593"/>
      <c r="X5" s="5593"/>
      <c r="Y5" s="5593"/>
      <c r="Z5" s="5593" t="s">
        <v>1521</v>
      </c>
      <c r="AA5" s="5593"/>
      <c r="AB5" s="5593"/>
      <c r="AC5" s="5593"/>
      <c r="AD5" s="5593"/>
      <c r="AE5" s="5593"/>
      <c r="AF5" s="5593"/>
      <c r="AG5" s="2539" t="s">
        <v>3538</v>
      </c>
      <c r="AH5" s="2708" t="s">
        <v>3547</v>
      </c>
      <c r="AI5" s="2708" t="s">
        <v>3670</v>
      </c>
      <c r="AJ5" s="2708" t="s">
        <v>4098</v>
      </c>
      <c r="AK5" s="5521"/>
      <c r="AL5" s="5521"/>
      <c r="AM5" s="5521"/>
      <c r="AN5" s="3279" t="s">
        <v>3538</v>
      </c>
      <c r="AO5" s="3279" t="s">
        <v>3863</v>
      </c>
      <c r="AP5" s="3279" t="s">
        <v>3670</v>
      </c>
      <c r="AQ5" s="3279" t="s">
        <v>3863</v>
      </c>
      <c r="AR5" s="5521"/>
      <c r="AS5" s="5521"/>
      <c r="AT5" s="5521"/>
      <c r="AU5" s="3658" t="s">
        <v>3538</v>
      </c>
      <c r="AV5" s="3658" t="s">
        <v>3908</v>
      </c>
      <c r="AW5" s="3658" t="s">
        <v>3670</v>
      </c>
      <c r="AX5" s="3658" t="s">
        <v>3908</v>
      </c>
      <c r="AY5" s="5596"/>
      <c r="AZ5" s="5596"/>
      <c r="BA5" s="5596"/>
      <c r="BB5" s="4028" t="s">
        <v>3538</v>
      </c>
      <c r="BC5" s="4028" t="s">
        <v>4084</v>
      </c>
      <c r="BD5" s="4028" t="s">
        <v>3670</v>
      </c>
      <c r="BE5" s="4028" t="s">
        <v>4097</v>
      </c>
      <c r="BF5" s="4058" t="s">
        <v>3538</v>
      </c>
      <c r="BG5" s="4058" t="s">
        <v>4084</v>
      </c>
      <c r="BH5" s="4058" t="s">
        <v>3670</v>
      </c>
      <c r="BI5" s="4058" t="s">
        <v>4097</v>
      </c>
      <c r="BJ5" s="5596"/>
      <c r="BK5" s="5596"/>
    </row>
    <row r="6" spans="1:63" s="2739" customFormat="1" ht="27" customHeight="1" x14ac:dyDescent="0.25">
      <c r="A6" s="3786"/>
      <c r="B6" s="3542" t="s">
        <v>894</v>
      </c>
      <c r="C6" s="5589" t="s">
        <v>895</v>
      </c>
      <c r="D6" s="5590" t="s">
        <v>895</v>
      </c>
      <c r="E6" s="5590" t="s">
        <v>895</v>
      </c>
      <c r="F6" s="5590" t="s">
        <v>895</v>
      </c>
      <c r="G6" s="5590" t="s">
        <v>895</v>
      </c>
      <c r="H6" s="5590" t="s">
        <v>895</v>
      </c>
      <c r="I6" s="3493">
        <v>0.01</v>
      </c>
      <c r="J6" s="3493"/>
      <c r="K6" s="3493">
        <v>0.01</v>
      </c>
      <c r="L6" s="5590" t="s">
        <v>895</v>
      </c>
      <c r="M6" s="3493">
        <v>0.01</v>
      </c>
      <c r="N6" s="3493">
        <v>0.01</v>
      </c>
      <c r="O6" s="3493">
        <v>0.01</v>
      </c>
      <c r="P6" s="5617" t="s">
        <v>895</v>
      </c>
      <c r="Q6" s="3493">
        <v>0.01</v>
      </c>
      <c r="R6" s="3493">
        <v>0.01</v>
      </c>
      <c r="S6" s="5617" t="s">
        <v>895</v>
      </c>
      <c r="T6" s="5617" t="s">
        <v>895</v>
      </c>
      <c r="U6" s="3493">
        <v>0.01</v>
      </c>
      <c r="V6" s="3493">
        <v>0.01</v>
      </c>
      <c r="W6" s="3493">
        <v>0.01</v>
      </c>
      <c r="X6" s="3493">
        <v>0.01</v>
      </c>
      <c r="Y6" s="3493">
        <v>0.01</v>
      </c>
      <c r="Z6" s="5617" t="s">
        <v>895</v>
      </c>
      <c r="AA6" s="5617" t="s">
        <v>895</v>
      </c>
      <c r="AB6" s="3493">
        <v>0.01</v>
      </c>
      <c r="AC6" s="3493">
        <v>0.01</v>
      </c>
      <c r="AD6" s="3493">
        <v>0.01</v>
      </c>
      <c r="AE6" s="3493">
        <v>0.01</v>
      </c>
      <c r="AF6" s="3493">
        <v>0.01</v>
      </c>
      <c r="AG6" s="5617" t="s">
        <v>895</v>
      </c>
      <c r="AH6" s="5617" t="s">
        <v>895</v>
      </c>
      <c r="AI6" s="3493">
        <v>0.01</v>
      </c>
      <c r="AJ6" s="3493"/>
      <c r="AK6" s="5617" t="s">
        <v>895</v>
      </c>
      <c r="AL6" s="5617" t="s">
        <v>895</v>
      </c>
      <c r="AM6" s="5617" t="s">
        <v>895</v>
      </c>
      <c r="AN6" s="3771">
        <v>0.01</v>
      </c>
      <c r="AO6" s="5617" t="s">
        <v>895</v>
      </c>
      <c r="AP6" s="3771">
        <v>0.01</v>
      </c>
      <c r="AQ6" s="5617" t="s">
        <v>895</v>
      </c>
      <c r="AR6" s="5617" t="s">
        <v>895</v>
      </c>
      <c r="AS6" s="5617" t="s">
        <v>895</v>
      </c>
      <c r="AT6" s="5617" t="s">
        <v>895</v>
      </c>
      <c r="AU6" s="4032">
        <v>0.01</v>
      </c>
      <c r="AV6" s="5617" t="s">
        <v>895</v>
      </c>
      <c r="AW6" s="4032">
        <v>0.01</v>
      </c>
      <c r="AX6" s="5617" t="s">
        <v>895</v>
      </c>
      <c r="AY6" s="5616" t="s">
        <v>895</v>
      </c>
      <c r="AZ6" s="5616" t="s">
        <v>895</v>
      </c>
      <c r="BA6" s="5617" t="s">
        <v>895</v>
      </c>
      <c r="BB6" s="4031">
        <v>0.01</v>
      </c>
      <c r="BC6" s="5616" t="s">
        <v>895</v>
      </c>
      <c r="BD6" s="4034">
        <v>0.01</v>
      </c>
      <c r="BE6" s="5625" t="s">
        <v>895</v>
      </c>
      <c r="BF6" s="4061">
        <v>0.01</v>
      </c>
      <c r="BG6" s="5616" t="s">
        <v>895</v>
      </c>
      <c r="BH6" s="4154"/>
      <c r="BI6" s="5616" t="s">
        <v>895</v>
      </c>
      <c r="BJ6" s="5624" t="s">
        <v>895</v>
      </c>
      <c r="BK6" s="5624" t="s">
        <v>895</v>
      </c>
    </row>
    <row r="7" spans="1:63" s="2739" customFormat="1" ht="20.100000000000001" customHeight="1" x14ac:dyDescent="0.25">
      <c r="A7" s="3786"/>
      <c r="B7" s="3542" t="s">
        <v>896</v>
      </c>
      <c r="C7" s="5589"/>
      <c r="D7" s="5590"/>
      <c r="E7" s="5590"/>
      <c r="F7" s="5590"/>
      <c r="G7" s="5590"/>
      <c r="H7" s="5590"/>
      <c r="I7" s="3537">
        <v>7.3999999999999996E-2</v>
      </c>
      <c r="J7" s="3537"/>
      <c r="K7" s="3537">
        <v>7.0999999999999994E-2</v>
      </c>
      <c r="L7" s="5590"/>
      <c r="M7" s="3537">
        <v>3.6999999999999998E-2</v>
      </c>
      <c r="N7" s="3537">
        <v>5.8000000000000003E-2</v>
      </c>
      <c r="O7" s="3537">
        <v>0.04</v>
      </c>
      <c r="P7" s="5617"/>
      <c r="Q7" s="3537">
        <v>3.6999999999999998E-2</v>
      </c>
      <c r="R7" s="3537">
        <v>2.7E-2</v>
      </c>
      <c r="S7" s="5617"/>
      <c r="T7" s="5617"/>
      <c r="U7" s="3537">
        <v>3.6999999999999998E-2</v>
      </c>
      <c r="V7" s="3537">
        <v>3.6999999999999998E-2</v>
      </c>
      <c r="W7" s="3537">
        <v>3.6999999999999998E-2</v>
      </c>
      <c r="X7" s="3537">
        <v>3.6999999999999998E-2</v>
      </c>
      <c r="Y7" s="3537">
        <v>3.6999999999999998E-2</v>
      </c>
      <c r="Z7" s="5617"/>
      <c r="AA7" s="5617"/>
      <c r="AB7" s="3537">
        <v>4.5999999999999999E-2</v>
      </c>
      <c r="AC7" s="3537">
        <v>3.4000000000000002E-2</v>
      </c>
      <c r="AD7" s="3537">
        <v>0.04</v>
      </c>
      <c r="AE7" s="3537">
        <v>0.04</v>
      </c>
      <c r="AF7" s="3537">
        <v>0.04</v>
      </c>
      <c r="AG7" s="5617"/>
      <c r="AH7" s="5617"/>
      <c r="AI7" s="3537">
        <v>0.03</v>
      </c>
      <c r="AJ7" s="3493"/>
      <c r="AK7" s="5617"/>
      <c r="AL7" s="5617"/>
      <c r="AM7" s="5617"/>
      <c r="AN7" s="3537">
        <v>4.5999999999999999E-2</v>
      </c>
      <c r="AO7" s="5617"/>
      <c r="AP7" s="3537">
        <v>3.60001E-2</v>
      </c>
      <c r="AQ7" s="5617"/>
      <c r="AR7" s="5617"/>
      <c r="AS7" s="5617"/>
      <c r="AT7" s="5617"/>
      <c r="AU7" s="3537">
        <v>0.05</v>
      </c>
      <c r="AV7" s="5617"/>
      <c r="AW7" s="3537">
        <v>4.2999999999999997E-2</v>
      </c>
      <c r="AX7" s="5617"/>
      <c r="AY7" s="5616"/>
      <c r="AZ7" s="5616"/>
      <c r="BA7" s="5617"/>
      <c r="BB7" s="3773">
        <v>0.05</v>
      </c>
      <c r="BC7" s="5616"/>
      <c r="BD7" s="4035">
        <v>4.2999999999999997E-2</v>
      </c>
      <c r="BE7" s="5625"/>
      <c r="BF7" s="3773">
        <v>0.05</v>
      </c>
      <c r="BG7" s="5616"/>
      <c r="BH7" s="3773"/>
      <c r="BI7" s="5616"/>
      <c r="BJ7" s="5624"/>
      <c r="BK7" s="5624"/>
    </row>
    <row r="8" spans="1:63" s="2739" customFormat="1" ht="20.100000000000001" customHeight="1" x14ac:dyDescent="0.25">
      <c r="A8" s="3786"/>
      <c r="B8" s="3542" t="s">
        <v>897</v>
      </c>
      <c r="C8" s="5589"/>
      <c r="D8" s="5590"/>
      <c r="E8" s="5590"/>
      <c r="F8" s="5590"/>
      <c r="G8" s="5590"/>
      <c r="H8" s="5590"/>
      <c r="I8" s="3538">
        <v>0</v>
      </c>
      <c r="J8" s="3538"/>
      <c r="K8" s="3538">
        <v>0</v>
      </c>
      <c r="L8" s="5590"/>
      <c r="M8" s="3538">
        <v>0</v>
      </c>
      <c r="N8" s="3538">
        <v>0</v>
      </c>
      <c r="O8" s="3538">
        <v>0</v>
      </c>
      <c r="P8" s="5617"/>
      <c r="Q8" s="3538">
        <v>0</v>
      </c>
      <c r="R8" s="3538">
        <v>0</v>
      </c>
      <c r="S8" s="5617"/>
      <c r="T8" s="5617"/>
      <c r="U8" s="3538">
        <v>0</v>
      </c>
      <c r="V8" s="3538">
        <v>0</v>
      </c>
      <c r="W8" s="3538">
        <v>0</v>
      </c>
      <c r="X8" s="3538">
        <v>0</v>
      </c>
      <c r="Y8" s="3538">
        <v>0</v>
      </c>
      <c r="Z8" s="5617"/>
      <c r="AA8" s="5617"/>
      <c r="AB8" s="3538">
        <v>0</v>
      </c>
      <c r="AC8" s="3538">
        <v>0</v>
      </c>
      <c r="AD8" s="3538">
        <v>0</v>
      </c>
      <c r="AE8" s="3538">
        <v>0</v>
      </c>
      <c r="AF8" s="3538">
        <v>0</v>
      </c>
      <c r="AG8" s="5617"/>
      <c r="AH8" s="5617"/>
      <c r="AI8" s="3538">
        <v>0</v>
      </c>
      <c r="AJ8" s="3493"/>
      <c r="AK8" s="5617"/>
      <c r="AL8" s="5617"/>
      <c r="AM8" s="5617"/>
      <c r="AN8" s="3538">
        <v>0</v>
      </c>
      <c r="AO8" s="5617"/>
      <c r="AP8" s="3538">
        <v>0</v>
      </c>
      <c r="AQ8" s="5617"/>
      <c r="AR8" s="5617"/>
      <c r="AS8" s="5617"/>
      <c r="AT8" s="5617"/>
      <c r="AU8" s="3538">
        <v>0</v>
      </c>
      <c r="AV8" s="5617"/>
      <c r="AW8" s="3538">
        <v>0</v>
      </c>
      <c r="AX8" s="5617"/>
      <c r="AY8" s="5616"/>
      <c r="AZ8" s="5616"/>
      <c r="BA8" s="5617"/>
      <c r="BB8" s="3774">
        <v>0</v>
      </c>
      <c r="BC8" s="5616"/>
      <c r="BD8" s="4036">
        <v>0</v>
      </c>
      <c r="BE8" s="5625"/>
      <c r="BF8" s="3774">
        <v>0</v>
      </c>
      <c r="BG8" s="5616"/>
      <c r="BH8" s="3774"/>
      <c r="BI8" s="5616"/>
      <c r="BJ8" s="5624"/>
      <c r="BK8" s="5624"/>
    </row>
    <row r="9" spans="1:63" s="2731" customFormat="1" ht="20.100000000000001" customHeight="1" x14ac:dyDescent="0.25">
      <c r="A9" s="3785">
        <v>1</v>
      </c>
      <c r="B9" s="3450" t="s">
        <v>898</v>
      </c>
      <c r="C9" s="3449" t="s">
        <v>899</v>
      </c>
      <c r="D9" s="3451">
        <f t="shared" ref="D9:Z9" si="0">D10+D30+D32+D36</f>
        <v>88530.32</v>
      </c>
      <c r="E9" s="3451">
        <f t="shared" si="0"/>
        <v>73012.949999999983</v>
      </c>
      <c r="F9" s="3451">
        <f t="shared" si="0"/>
        <v>85119.686560402581</v>
      </c>
      <c r="G9" s="3451">
        <f t="shared" si="0"/>
        <v>81207.200000000012</v>
      </c>
      <c r="H9" s="3451">
        <f t="shared" si="0"/>
        <v>83991.721064670361</v>
      </c>
      <c r="I9" s="3451">
        <f t="shared" si="0"/>
        <v>90133.71597037118</v>
      </c>
      <c r="J9" s="3451">
        <f t="shared" si="0"/>
        <v>89683.209999999992</v>
      </c>
      <c r="K9" s="3451">
        <f t="shared" si="0"/>
        <v>89936.60938437593</v>
      </c>
      <c r="L9" s="3451">
        <f t="shared" si="0"/>
        <v>79280.170000000013</v>
      </c>
      <c r="M9" s="3451">
        <f t="shared" si="0"/>
        <v>86044.710593147334</v>
      </c>
      <c r="N9" s="3451">
        <f t="shared" si="0"/>
        <v>94243.238690983708</v>
      </c>
      <c r="O9" s="3451">
        <f t="shared" si="0"/>
        <v>92093.682063002489</v>
      </c>
      <c r="P9" s="3451">
        <f t="shared" si="0"/>
        <v>92263.49</v>
      </c>
      <c r="Q9" s="3451">
        <f t="shared" si="0"/>
        <v>88991.096374695582</v>
      </c>
      <c r="R9" s="3451">
        <f t="shared" si="0"/>
        <v>84596.059829603386</v>
      </c>
      <c r="S9" s="3451">
        <f t="shared" si="0"/>
        <v>81392.003999999986</v>
      </c>
      <c r="T9" s="3451">
        <f t="shared" si="0"/>
        <v>113395.52</v>
      </c>
      <c r="U9" s="3451">
        <f t="shared" si="0"/>
        <v>121134.76000000001</v>
      </c>
      <c r="V9" s="3451">
        <f t="shared" si="0"/>
        <v>124960.26999999999</v>
      </c>
      <c r="W9" s="3451">
        <f t="shared" si="0"/>
        <v>128922.74</v>
      </c>
      <c r="X9" s="3451">
        <f t="shared" si="0"/>
        <v>133042.88</v>
      </c>
      <c r="Y9" s="3451">
        <f t="shared" si="0"/>
        <v>0</v>
      </c>
      <c r="Z9" s="3451">
        <f t="shared" si="0"/>
        <v>96264.34182001678</v>
      </c>
      <c r="AA9" s="3451">
        <f>Z9/Q9*100</f>
        <v>108.17300352688916</v>
      </c>
      <c r="AB9" s="3451">
        <f t="shared" ref="AB9:AG9" si="1">AB10+AB30+AB32+AB36</f>
        <v>99543.026990291342</v>
      </c>
      <c r="AC9" s="3451">
        <f t="shared" si="1"/>
        <v>101913.99881435509</v>
      </c>
      <c r="AD9" s="3451">
        <f t="shared" si="1"/>
        <v>104857.74105258549</v>
      </c>
      <c r="AE9" s="3451">
        <f t="shared" si="1"/>
        <v>107883.21135720517</v>
      </c>
      <c r="AF9" s="3451">
        <f t="shared" si="1"/>
        <v>111000.61626914772</v>
      </c>
      <c r="AG9" s="3451">
        <f t="shared" si="1"/>
        <v>100435.51397593356</v>
      </c>
      <c r="AH9" s="3451">
        <f>SUM(AG9/Z9)*100</f>
        <v>104.33303970821876</v>
      </c>
      <c r="AI9" s="3451">
        <f>AI10+AI30+AI32+AI36</f>
        <v>97610.762389121403</v>
      </c>
      <c r="AJ9" s="3451">
        <f>SUM(AI9/Z9)*100</f>
        <v>101.39867010322678</v>
      </c>
      <c r="AK9" s="3451">
        <f>AK10+AK30+AK32+AK36</f>
        <v>41333.026150000005</v>
      </c>
      <c r="AL9" s="3451">
        <f>AL10+AL30+AL32+AL36</f>
        <v>62279.233329999995</v>
      </c>
      <c r="AM9" s="3451">
        <f>AM10+AM30+AM32+AM36</f>
        <v>83476.862999999983</v>
      </c>
      <c r="AN9" s="3451">
        <f>AN10+AN30+AN32+AN36</f>
        <v>115167.0118381748</v>
      </c>
      <c r="AO9" s="3451">
        <f>SUM(AN9/AG9)*100</f>
        <v>114.66761833445808</v>
      </c>
      <c r="AP9" s="3451">
        <f>AP10+AP30+AP32+AP36</f>
        <v>100595.26049879487</v>
      </c>
      <c r="AQ9" s="3451">
        <f>SUM(AP9/AI9)*100</f>
        <v>103.05755025022331</v>
      </c>
      <c r="AR9" s="3451">
        <f>AR10+AR30+AR32+AR36</f>
        <v>41485.347180000012</v>
      </c>
      <c r="AS9" s="3451">
        <f>AS10+AS30+AS32+AS36</f>
        <v>62650.197609999996</v>
      </c>
      <c r="AT9" s="3451">
        <f>AT10+AT30+AT32+AT36</f>
        <v>86551.370519999997</v>
      </c>
      <c r="AU9" s="3451">
        <f>AU10+AU30+AU32+AU36</f>
        <v>123417.20271235975</v>
      </c>
      <c r="AV9" s="3451">
        <f t="shared" ref="AV9:AV17" si="2">SUM(AU9/AP9)*100</f>
        <v>122.68689608278144</v>
      </c>
      <c r="AW9" s="3451">
        <f>AW10+AW30+AW32+AW36</f>
        <v>107131.75540224198</v>
      </c>
      <c r="AX9" s="3451">
        <f>SUM(AW9/AP9)*100</f>
        <v>106.49781597168328</v>
      </c>
      <c r="AY9" s="3811">
        <f>AY10+AY30+AY32+AY36</f>
        <v>45573.95046</v>
      </c>
      <c r="AZ9" s="3811">
        <f>AZ10+AZ30+AZ32+AZ36</f>
        <v>69980.866529999999</v>
      </c>
      <c r="BA9" s="3451">
        <f>BA10+BA30+BA32+BA36</f>
        <v>97984.243139999977</v>
      </c>
      <c r="BB9" s="3512">
        <f>BB10+BB30+BB32+BB36</f>
        <v>144460.17023174235</v>
      </c>
      <c r="BC9" s="3512">
        <f t="shared" ref="BC9:BC20" si="3">SUM(BB9/AW9)*100</f>
        <v>134.84346418981499</v>
      </c>
      <c r="BD9" s="4037">
        <f>BD10+BD30+BD32+BD36</f>
        <v>93449.10006761353</v>
      </c>
      <c r="BE9" s="4037">
        <f>SUM(BD9/AW9)*100</f>
        <v>87.228198321538841</v>
      </c>
      <c r="BF9" s="3512">
        <f>BF10+BF30+BF32+BF36</f>
        <v>161949.03526009037</v>
      </c>
      <c r="BG9" s="3512">
        <f>SUM(BF9/AW9)*100</f>
        <v>151.16809638004048</v>
      </c>
      <c r="BH9" s="3512">
        <f>BH10+BH30+BH32+BH36</f>
        <v>124815.82812587469</v>
      </c>
      <c r="BI9" s="3512">
        <f>SUM(BH9/AW9)*100</f>
        <v>116.50684491935677</v>
      </c>
      <c r="BJ9" s="4869">
        <f>BJ10+BJ30+BJ32+BJ36</f>
        <v>52711.782469999998</v>
      </c>
      <c r="BK9" s="4869">
        <f>BK10+BK30+BK32+BK36</f>
        <v>110195.25874000002</v>
      </c>
    </row>
    <row r="10" spans="1:63" s="1235" customFormat="1" ht="20.100000000000001" customHeight="1" x14ac:dyDescent="0.25">
      <c r="A10" s="3453" t="s">
        <v>900</v>
      </c>
      <c r="B10" s="3454" t="s">
        <v>901</v>
      </c>
      <c r="C10" s="3453" t="s">
        <v>899</v>
      </c>
      <c r="D10" s="3451">
        <f t="shared" ref="D10:E10" si="4">D11+D12+D13</f>
        <v>75957.17</v>
      </c>
      <c r="E10" s="3451">
        <f t="shared" si="4"/>
        <v>67775.329999999987</v>
      </c>
      <c r="F10" s="3451">
        <f t="shared" ref="F10:O10" si="5">F11+F12+F13</f>
        <v>76161.408873341803</v>
      </c>
      <c r="G10" s="3451">
        <f t="shared" ref="G10:H10" si="6">G11+G12+G13</f>
        <v>76120.460000000006</v>
      </c>
      <c r="H10" s="3451">
        <f t="shared" si="6"/>
        <v>74908.690565591925</v>
      </c>
      <c r="I10" s="3451">
        <f t="shared" si="5"/>
        <v>80937.532120930948</v>
      </c>
      <c r="J10" s="3451">
        <f t="shared" si="5"/>
        <v>80154.599999999991</v>
      </c>
      <c r="K10" s="3451">
        <f t="shared" si="5"/>
        <v>80478.321315274574</v>
      </c>
      <c r="L10" s="3451">
        <f t="shared" ref="L10:M10" si="7">L11+L12+L13</f>
        <v>74030.680000000008</v>
      </c>
      <c r="M10" s="3451">
        <f t="shared" si="7"/>
        <v>76758.814908177053</v>
      </c>
      <c r="N10" s="3451">
        <f t="shared" si="5"/>
        <v>84851.363283419065</v>
      </c>
      <c r="O10" s="3451">
        <f t="shared" si="5"/>
        <v>82532.676247299867</v>
      </c>
      <c r="P10" s="3451">
        <f t="shared" ref="P10:AF10" si="8">P11+P12+P13</f>
        <v>82710.350000000006</v>
      </c>
      <c r="Q10" s="3451">
        <f t="shared" si="8"/>
        <v>83962.241426112509</v>
      </c>
      <c r="R10" s="3451">
        <f t="shared" ref="R10:S10" si="9">R11+R12+R13</f>
        <v>79567.204881020312</v>
      </c>
      <c r="S10" s="3451">
        <f t="shared" si="9"/>
        <v>76566.723999999987</v>
      </c>
      <c r="T10" s="3451">
        <f t="shared" si="8"/>
        <v>111296.05</v>
      </c>
      <c r="U10" s="3451">
        <f t="shared" si="8"/>
        <v>116131.46</v>
      </c>
      <c r="V10" s="3451">
        <f t="shared" si="8"/>
        <v>119956.96999999999</v>
      </c>
      <c r="W10" s="3451">
        <f t="shared" si="8"/>
        <v>123919.44</v>
      </c>
      <c r="X10" s="3451">
        <f t="shared" si="8"/>
        <v>128039.58</v>
      </c>
      <c r="Y10" s="3451">
        <f t="shared" si="8"/>
        <v>0</v>
      </c>
      <c r="Z10" s="3451">
        <f t="shared" si="8"/>
        <v>91261.055208225895</v>
      </c>
      <c r="AA10" s="3451">
        <f>Z10/Q10*100</f>
        <v>108.6929715764394</v>
      </c>
      <c r="AB10" s="3451">
        <f t="shared" si="8"/>
        <v>94539.740378500457</v>
      </c>
      <c r="AC10" s="3451">
        <f t="shared" si="8"/>
        <v>96910.712202564202</v>
      </c>
      <c r="AD10" s="3451">
        <f t="shared" si="8"/>
        <v>99854.454440794609</v>
      </c>
      <c r="AE10" s="3451">
        <f t="shared" si="8"/>
        <v>102879.92474541429</v>
      </c>
      <c r="AF10" s="3451">
        <f t="shared" si="8"/>
        <v>105997.32965735684</v>
      </c>
      <c r="AG10" s="3451">
        <f t="shared" ref="AG10:AK10" si="10">AG11+AG12+AG13</f>
        <v>95393.557364142674</v>
      </c>
      <c r="AH10" s="3451">
        <f t="shared" ref="AH10:AH47" si="11">SUM(AG10/Z10)*100</f>
        <v>104.52822087854217</v>
      </c>
      <c r="AI10" s="3451">
        <f t="shared" ref="AI10" si="12">AI11+AI12+AI13</f>
        <v>92568.801191136678</v>
      </c>
      <c r="AJ10" s="3451">
        <f t="shared" ref="AJ10:AJ17" si="13">SUM(AI10/Z10)*100</f>
        <v>101.43297267375111</v>
      </c>
      <c r="AK10" s="3451">
        <f t="shared" si="10"/>
        <v>38777.766150000003</v>
      </c>
      <c r="AL10" s="3451">
        <f t="shared" ref="AL10:AM10" si="14">AL11+AL12+AL13</f>
        <v>58435.203329999997</v>
      </c>
      <c r="AM10" s="3451">
        <f t="shared" si="14"/>
        <v>78332.252999999982</v>
      </c>
      <c r="AN10" s="3451">
        <f t="shared" ref="AN10" si="15">AN11+AN12+AN13</f>
        <v>110022.4018381748</v>
      </c>
      <c r="AO10" s="3451">
        <f t="shared" ref="AO10:AO17" si="16">SUM(AN10/AI10)*100</f>
        <v>118.85473336853505</v>
      </c>
      <c r="AP10" s="3451">
        <f t="shared" ref="AP10" si="17">AP11+AP12+AP13</f>
        <v>95462.640498794877</v>
      </c>
      <c r="AQ10" s="3451">
        <f t="shared" ref="AQ10:AQ30" si="18">SUM(AP10/AI10)*100</f>
        <v>103.12614970748403</v>
      </c>
      <c r="AR10" s="3451">
        <f t="shared" ref="AR10:AU10" si="19">AR11+AR12+AR13</f>
        <v>38853.941180000009</v>
      </c>
      <c r="AS10" s="3451">
        <f t="shared" si="19"/>
        <v>58704.327609999993</v>
      </c>
      <c r="AT10" s="3451">
        <f t="shared" si="19"/>
        <v>81282.67052</v>
      </c>
      <c r="AU10" s="3451">
        <f t="shared" si="19"/>
        <v>118148.50271235975</v>
      </c>
      <c r="AV10" s="3451">
        <f t="shared" si="2"/>
        <v>123.76412604452447</v>
      </c>
      <c r="AW10" s="3451">
        <f t="shared" ref="AW10" si="20">AW11+AW12+AW13</f>
        <v>101863.05540224198</v>
      </c>
      <c r="AX10" s="3451">
        <f t="shared" ref="AX10:AX17" si="21">SUM(AW10/AP10)*100</f>
        <v>106.70462797802864</v>
      </c>
      <c r="AY10" s="3811">
        <f t="shared" ref="AY10:BB10" si="22">AY11+AY12+AY13</f>
        <v>42904.320460000003</v>
      </c>
      <c r="AZ10" s="3811">
        <f t="shared" si="22"/>
        <v>65924.368529999992</v>
      </c>
      <c r="BA10" s="3451">
        <f t="shared" si="22"/>
        <v>92493.493139999977</v>
      </c>
      <c r="BB10" s="3512">
        <f t="shared" si="22"/>
        <v>138905.25323174236</v>
      </c>
      <c r="BC10" s="3512">
        <f t="shared" si="3"/>
        <v>136.36470326088912</v>
      </c>
      <c r="BD10" s="4037">
        <f t="shared" ref="BD10" si="23">BD11+BD12+BD13</f>
        <v>93449.10006761353</v>
      </c>
      <c r="BE10" s="4037">
        <f t="shared" ref="BE10:BE17" si="24">SUM(BD10/AW10)*100</f>
        <v>91.73993426625286</v>
      </c>
      <c r="BF10" s="3512">
        <f t="shared" ref="BF10" si="25">BF11+BF12+BF13</f>
        <v>156394.11826009038</v>
      </c>
      <c r="BG10" s="3512">
        <f t="shared" ref="BG10:BG30" si="26">SUM(BF10/AW10)*100</f>
        <v>153.53370036124815</v>
      </c>
      <c r="BH10" s="3512">
        <f t="shared" ref="BH10" si="27">BH11+BH12+BH13</f>
        <v>119325.07812587469</v>
      </c>
      <c r="BI10" s="3512">
        <f t="shared" ref="BI10:BI47" si="28">SUM(BH10/AW10)*100</f>
        <v>117.142645736158</v>
      </c>
      <c r="BJ10" s="4869">
        <f t="shared" ref="BJ10:BK10" si="29">BJ11+BJ12+BJ13</f>
        <v>49724.677469999995</v>
      </c>
      <c r="BK10" s="4869">
        <f t="shared" si="29"/>
        <v>103520.32274000002</v>
      </c>
    </row>
    <row r="11" spans="1:63" s="1236" customFormat="1" ht="20.100000000000001" customHeight="1" x14ac:dyDescent="0.25">
      <c r="A11" s="3453" t="s">
        <v>902</v>
      </c>
      <c r="B11" s="3455" t="s">
        <v>903</v>
      </c>
      <c r="C11" s="3453" t="s">
        <v>899</v>
      </c>
      <c r="D11" s="3453">
        <v>63991.73</v>
      </c>
      <c r="E11" s="3453">
        <v>56507.61</v>
      </c>
      <c r="F11" s="3451">
        <f>стоки!BB99+стоки!BB100+стоки!BB101+стоки!BB103+стоки!BB102+стоки!BB105-F14-F16-'цех стоки 2023'!AH19-'ОХР '!AQ21-'ОХР '!AQ17-'ОХР '!AQ24</f>
        <v>65769.170595226184</v>
      </c>
      <c r="G11" s="3451">
        <v>61981.599999999999</v>
      </c>
      <c r="H11" s="3451">
        <f>F11</f>
        <v>65769.170595226184</v>
      </c>
      <c r="I11" s="3451">
        <f>F11*(1-I6)*(1+I7)*(1+I8)</f>
        <v>69929.7283270802</v>
      </c>
      <c r="J11" s="3451">
        <v>68913.06</v>
      </c>
      <c r="K11" s="3451">
        <f>F11*(1-K6)*(1+K7)*(1+K8)</f>
        <v>69734.393890412364</v>
      </c>
      <c r="L11" s="3451">
        <v>61081.760000000002</v>
      </c>
      <c r="M11" s="3451">
        <f>F11*0.99*1.037</f>
        <v>67520.603608177058</v>
      </c>
      <c r="N11" s="3451">
        <f>I11*(1-N6)*(1+N7)*(1+N8)</f>
        <v>73245.79604435034</v>
      </c>
      <c r="O11" s="3451">
        <f>K11*(1-O6)*(1+O7)*(1+O8)</f>
        <v>71798.531949568569</v>
      </c>
      <c r="P11" s="3451">
        <v>70471.25</v>
      </c>
      <c r="Q11" s="3451">
        <f>N11</f>
        <v>73245.79604435034</v>
      </c>
      <c r="R11" s="3451">
        <f>F11*0.99*1.037*0.99*1.03</f>
        <v>68850.759499258143</v>
      </c>
      <c r="S11" s="3451">
        <f>стоки!BN137-S16</f>
        <v>64344.148000000001</v>
      </c>
      <c r="T11" s="3451">
        <v>92102.22</v>
      </c>
      <c r="U11" s="3451">
        <v>94865.25</v>
      </c>
      <c r="V11" s="3451">
        <v>97711.18</v>
      </c>
      <c r="W11" s="3451">
        <v>100642.49</v>
      </c>
      <c r="X11" s="3451">
        <v>103661.71</v>
      </c>
      <c r="Y11" s="3451"/>
      <c r="Z11" s="3451">
        <f>стоки!BT137</f>
        <v>80511.434001577523</v>
      </c>
      <c r="AA11" s="3451">
        <f>Z11/Q11*100</f>
        <v>109.91952896904532</v>
      </c>
      <c r="AB11" s="3451">
        <f>Z11*(1-AB6)*(1+AB7)*(1+AB8)</f>
        <v>83372.810365993588</v>
      </c>
      <c r="AC11" s="3451">
        <f t="shared" ref="AC11:AF11" si="30">AB11*(1-AC6)*(1+AC7)*(1+AC8)</f>
        <v>85345.411059253005</v>
      </c>
      <c r="AD11" s="3451">
        <f t="shared" si="30"/>
        <v>87871.635226606901</v>
      </c>
      <c r="AE11" s="3451">
        <f t="shared" si="30"/>
        <v>90472.635629314464</v>
      </c>
      <c r="AF11" s="3451">
        <f t="shared" si="30"/>
        <v>93150.62564394217</v>
      </c>
      <c r="AG11" s="3451">
        <f>SUM(стоки!BW137)</f>
        <v>84231.342155564809</v>
      </c>
      <c r="AH11" s="3451">
        <f t="shared" si="11"/>
        <v>104.62034765635202</v>
      </c>
      <c r="AI11" s="3451">
        <f>SUM(стоки!CL137)</f>
        <v>82097.511669475745</v>
      </c>
      <c r="AJ11" s="3451">
        <f t="shared" si="13"/>
        <v>101.97000300338352</v>
      </c>
      <c r="AK11" s="3451">
        <f>SUM(стоки!CO137)</f>
        <v>32239.876960000005</v>
      </c>
      <c r="AL11" s="3451">
        <f>SUM(стоки!CR137)</f>
        <v>48713.670409999999</v>
      </c>
      <c r="AM11" s="3451">
        <f>SUM(стоки!CU137)</f>
        <v>64019.866999999991</v>
      </c>
      <c r="AN11" s="3451">
        <f>SUM(стоки!CX137)</f>
        <v>95212.929184142311</v>
      </c>
      <c r="AO11" s="3451">
        <f t="shared" si="16"/>
        <v>115.97541417268428</v>
      </c>
      <c r="AP11" s="3451">
        <f>Z11*(1+0.032)*0.99*(1+AP7)*0.99</f>
        <v>84365.997511445355</v>
      </c>
      <c r="AQ11" s="3451">
        <f t="shared" si="18"/>
        <v>102.7631602905366</v>
      </c>
      <c r="AR11" s="3451">
        <f>SUM(стоки!DD137)</f>
        <v>32007.216260000008</v>
      </c>
      <c r="AS11" s="3451">
        <f>SUM(стоки!DG137)</f>
        <v>48507.98689</v>
      </c>
      <c r="AT11" s="3451">
        <f>SUM(стоки!DJ137)</f>
        <v>65488.548360000001</v>
      </c>
      <c r="AU11" s="3451">
        <f>SUM(стоки!DM137)</f>
        <v>102764.80115621074</v>
      </c>
      <c r="AV11" s="3451">
        <f t="shared" si="2"/>
        <v>121.80831636853384</v>
      </c>
      <c r="AW11" s="3451">
        <f>Z11*(1+0.034)*0.99*1.06*0.99*(1+AW7)*0.99</f>
        <v>89304.605892256252</v>
      </c>
      <c r="AX11" s="3451">
        <f t="shared" si="21"/>
        <v>105.85379006529368</v>
      </c>
      <c r="AY11" s="3811">
        <f>SUM(стоки!DS137)</f>
        <v>35806.361870000001</v>
      </c>
      <c r="AZ11" s="3811">
        <f>SUM(стоки!DV137)</f>
        <v>55418.699089999987</v>
      </c>
      <c r="BA11" s="3451">
        <f>SUM(стоки!DY137)</f>
        <v>73845.590689999983</v>
      </c>
      <c r="BB11" s="3512">
        <f>SUM(стоки!EB137)</f>
        <v>112041.31108553999</v>
      </c>
      <c r="BC11" s="3512">
        <f t="shared" si="3"/>
        <v>125.45972289572052</v>
      </c>
      <c r="BD11" s="4037">
        <f>AG11*(1+0.034)*0.99*1.06*0.99*(1+BD7)*0.99</f>
        <v>93430.78915761353</v>
      </c>
      <c r="BE11" s="4037">
        <f t="shared" si="24"/>
        <v>104.62034765635202</v>
      </c>
      <c r="BF11" s="3512">
        <f>SUM(стоки!EH137)</f>
        <v>112041.31108553999</v>
      </c>
      <c r="BG11" s="3512">
        <f t="shared" si="26"/>
        <v>125.45972289572052</v>
      </c>
      <c r="BH11" s="4299">
        <f>Z11*0.99*1.034*0.99*1.067*0.99*1.139*0.99*1.06</f>
        <v>103017.94632380466</v>
      </c>
      <c r="BI11" s="3512">
        <f t="shared" si="28"/>
        <v>115.35569223394056</v>
      </c>
      <c r="BJ11" s="4869">
        <f>SUM(стоки!EN137)</f>
        <v>43596.034319999999</v>
      </c>
      <c r="BK11" s="4869">
        <f>SUM(стоки!EQ137)</f>
        <v>91689.79972000001</v>
      </c>
    </row>
    <row r="12" spans="1:63" s="1236" customFormat="1" ht="48.75" customHeight="1" x14ac:dyDescent="0.25">
      <c r="A12" s="3453" t="s">
        <v>904</v>
      </c>
      <c r="B12" s="3455" t="s">
        <v>905</v>
      </c>
      <c r="C12" s="3453" t="s">
        <v>899</v>
      </c>
      <c r="D12" s="3453">
        <v>7909.24</v>
      </c>
      <c r="E12" s="3453">
        <v>9124.32</v>
      </c>
      <c r="F12" s="3451">
        <f>стоки!BB96+'цех стоки 2023'!AH19+'ОХР '!AQ21+'ОХР '!AQ17</f>
        <v>7932.8583201665333</v>
      </c>
      <c r="G12" s="3451">
        <v>10316</v>
      </c>
      <c r="H12" s="3451">
        <f>'2018 к смета'!F10</f>
        <v>7470.4365935489632</v>
      </c>
      <c r="I12" s="3451">
        <f>'электр 2017-2018'!BP55+'цех стоки 2023'!AH19*1.06+'ОХР '!AQ17*1.025+'ОХР '!AQ21*1.066</f>
        <v>8487.4768382307393</v>
      </c>
      <c r="J12" s="3451">
        <v>8194.4599999999991</v>
      </c>
      <c r="K12" s="3451">
        <f>'2017 к смета'!F4</f>
        <v>7843.1079887619744</v>
      </c>
      <c r="L12" s="3451">
        <v>11516.34</v>
      </c>
      <c r="M12" s="3451">
        <f>'ЭЭ стоки'!J40</f>
        <v>7541.6313</v>
      </c>
      <c r="N12" s="3451">
        <f>'электр 2017-2018'!BV55+'цех стоки 2023'!AH19*1.06*1.051+'ОХР '!AQ17*1.025*1.03+'ОХР '!AQ21*1.066*1.067</f>
        <v>9049.018279834816</v>
      </c>
      <c r="O12" s="3451">
        <f>K12*1.043</f>
        <v>8180.3616322787384</v>
      </c>
      <c r="P12" s="3451">
        <v>8338.89</v>
      </c>
      <c r="Q12" s="3451">
        <f>'2018 к смета'!L10</f>
        <v>8258.6676622108262</v>
      </c>
      <c r="R12" s="3451">
        <f>Q12</f>
        <v>8258.6676622108262</v>
      </c>
      <c r="S12" s="3451">
        <f>стоки!BN138</f>
        <v>10771.54</v>
      </c>
      <c r="T12" s="3451">
        <v>12443.86</v>
      </c>
      <c r="U12" s="3451">
        <v>13305.47</v>
      </c>
      <c r="V12" s="3451">
        <v>14226.96</v>
      </c>
      <c r="W12" s="3451">
        <v>15212.51</v>
      </c>
      <c r="X12" s="3451">
        <v>16266.58</v>
      </c>
      <c r="Y12" s="3451"/>
      <c r="Z12" s="3451">
        <f>стоки!BT138</f>
        <v>8882.0761197497486</v>
      </c>
      <c r="AA12" s="3451">
        <f>Z12/Q12*100</f>
        <v>107.54853546645849</v>
      </c>
      <c r="AB12" s="3451">
        <f>'ЭЭ стоки'!T40</f>
        <v>9255.1233167792379</v>
      </c>
      <c r="AC12" s="3451">
        <f>'ЭЭ стоки'!U40</f>
        <v>9625.3282494504074</v>
      </c>
      <c r="AD12" s="3451">
        <f>'ЭЭ стоки'!V40</f>
        <v>10010.341379428424</v>
      </c>
      <c r="AE12" s="3451">
        <f>'ЭЭ стоки'!W40</f>
        <v>10400.74469322613</v>
      </c>
      <c r="AF12" s="3451">
        <f>'ЭЭ стоки'!X40</f>
        <v>10806.37373626195</v>
      </c>
      <c r="AG12" s="3451">
        <f>SUM(стоки!BW138)</f>
        <v>9255.1233167792379</v>
      </c>
      <c r="AH12" s="3451">
        <f t="shared" si="11"/>
        <v>104.2</v>
      </c>
      <c r="AI12" s="3451">
        <f>SUM(стоки!CL138)</f>
        <v>8812.7885117623136</v>
      </c>
      <c r="AJ12" s="3451">
        <f t="shared" si="13"/>
        <v>99.219916525671621</v>
      </c>
      <c r="AK12" s="3451">
        <f>SUM(стоки!CO138)</f>
        <v>5361.5251600000001</v>
      </c>
      <c r="AL12" s="3451">
        <f>SUM(стоки!CR138)</f>
        <v>7955.81005</v>
      </c>
      <c r="AM12" s="3451">
        <f>SUM(стоки!CU138)</f>
        <v>10817.41</v>
      </c>
      <c r="AN12" s="3451">
        <f>SUM(стоки!CX138)</f>
        <v>10967.044172434635</v>
      </c>
      <c r="AO12" s="3451">
        <f t="shared" si="16"/>
        <v>124.44465401384663</v>
      </c>
      <c r="AP12" s="3451">
        <f>SUM(стоки!DA138)</f>
        <v>8341.9678483495227</v>
      </c>
      <c r="AQ12" s="3451">
        <f t="shared" si="18"/>
        <v>94.657529080785352</v>
      </c>
      <c r="AR12" s="3451">
        <f>SUM(стоки!DD138)</f>
        <v>5242.8322800000005</v>
      </c>
      <c r="AS12" s="3451">
        <f>SUM(стоки!DG138)</f>
        <v>7803.0482599999996</v>
      </c>
      <c r="AT12" s="3451">
        <f>SUM(стоки!DJ138)</f>
        <v>10863.77816</v>
      </c>
      <c r="AU12" s="3451">
        <f>SUM(стоки!DM138)</f>
        <v>11440.916513397124</v>
      </c>
      <c r="AV12" s="3451">
        <f t="shared" si="2"/>
        <v>137.14889246019732</v>
      </c>
      <c r="AW12" s="3451">
        <f>SUM(стоки!DP138)</f>
        <v>8876.715260128165</v>
      </c>
      <c r="AX12" s="3451">
        <f t="shared" si="21"/>
        <v>106.41032693364365</v>
      </c>
      <c r="AY12" s="3811">
        <f>SUM(стоки!DS138)</f>
        <v>5634.8295100000014</v>
      </c>
      <c r="AZ12" s="3811">
        <f>SUM(стоки!DV138)</f>
        <v>8317.2990000000009</v>
      </c>
      <c r="BA12" s="3451">
        <f>SUM(стоки!DY138)</f>
        <v>11370.128999999999</v>
      </c>
      <c r="BB12" s="3512">
        <f>SUM(стоки!EB138)</f>
        <v>9845.9346216578506</v>
      </c>
      <c r="BC12" s="3512">
        <f t="shared" si="3"/>
        <v>110.91867130044331</v>
      </c>
      <c r="BD12" s="4037">
        <f>SUM(стоки!DW138)</f>
        <v>18.272409999999997</v>
      </c>
      <c r="BE12" s="4037">
        <f t="shared" si="24"/>
        <v>0.20584652615900373</v>
      </c>
      <c r="BF12" s="3512">
        <f>SUM(стоки!EH138)</f>
        <v>9845.9346216578506</v>
      </c>
      <c r="BG12" s="3512">
        <f t="shared" si="26"/>
        <v>110.91867130044331</v>
      </c>
      <c r="BH12" s="3512">
        <f>SUM(стоки!EK96)</f>
        <v>10091.578329214033</v>
      </c>
      <c r="BI12" s="3512">
        <f t="shared" si="28"/>
        <v>113.68595289456573</v>
      </c>
      <c r="BJ12" s="4869">
        <f>SUM(стоки!EN138)</f>
        <v>5995.6051399999997</v>
      </c>
      <c r="BK12" s="4869">
        <f>SUM(стоки!EQ138)</f>
        <v>11614.957750000001</v>
      </c>
    </row>
    <row r="13" spans="1:63" s="1236" customFormat="1" ht="20.100000000000001" customHeight="1" x14ac:dyDescent="0.25">
      <c r="A13" s="3453" t="s">
        <v>906</v>
      </c>
      <c r="B13" s="3455" t="s">
        <v>907</v>
      </c>
      <c r="C13" s="3453" t="s">
        <v>899</v>
      </c>
      <c r="D13" s="3451">
        <f t="shared" ref="D13:Z13" si="31">D14+D15+D16+D17+D21</f>
        <v>4056.2</v>
      </c>
      <c r="E13" s="3451">
        <f t="shared" si="31"/>
        <v>2143.4</v>
      </c>
      <c r="F13" s="3451">
        <f t="shared" si="31"/>
        <v>2459.3799579490837</v>
      </c>
      <c r="G13" s="3451">
        <f t="shared" si="31"/>
        <v>3822.86</v>
      </c>
      <c r="H13" s="3451">
        <f t="shared" si="31"/>
        <v>1669.0833768167786</v>
      </c>
      <c r="I13" s="3451">
        <f t="shared" si="31"/>
        <v>2520.3269556200053</v>
      </c>
      <c r="J13" s="3451">
        <f t="shared" si="31"/>
        <v>3047.08</v>
      </c>
      <c r="K13" s="3451">
        <f t="shared" si="31"/>
        <v>2900.819436100242</v>
      </c>
      <c r="L13" s="3451">
        <f t="shared" si="31"/>
        <v>1432.58</v>
      </c>
      <c r="M13" s="3451">
        <f t="shared" si="31"/>
        <v>1696.58</v>
      </c>
      <c r="N13" s="3451">
        <f t="shared" si="31"/>
        <v>2556.5489592339159</v>
      </c>
      <c r="O13" s="3451">
        <f t="shared" si="31"/>
        <v>2553.7826654525525</v>
      </c>
      <c r="P13" s="3451">
        <f t="shared" si="31"/>
        <v>3900.21</v>
      </c>
      <c r="Q13" s="3451">
        <f t="shared" si="31"/>
        <v>2457.7777195513509</v>
      </c>
      <c r="R13" s="3451">
        <f t="shared" si="31"/>
        <v>2457.7777195513509</v>
      </c>
      <c r="S13" s="3451">
        <f t="shared" si="31"/>
        <v>1451.0359999999998</v>
      </c>
      <c r="T13" s="3451">
        <f t="shared" si="31"/>
        <v>6749.9700000000012</v>
      </c>
      <c r="U13" s="3451">
        <f t="shared" si="31"/>
        <v>7960.74</v>
      </c>
      <c r="V13" s="3451">
        <f t="shared" si="31"/>
        <v>8018.83</v>
      </c>
      <c r="W13" s="3451">
        <f t="shared" si="31"/>
        <v>8064.44</v>
      </c>
      <c r="X13" s="3451">
        <f t="shared" si="31"/>
        <v>8111.29</v>
      </c>
      <c r="Y13" s="3451">
        <f t="shared" si="31"/>
        <v>0</v>
      </c>
      <c r="Z13" s="3451">
        <f t="shared" si="31"/>
        <v>1867.5450868986286</v>
      </c>
      <c r="AA13" s="3451">
        <f>Z13/Q13*100</f>
        <v>75.985109314097571</v>
      </c>
      <c r="AB13" s="3451">
        <f t="shared" ref="AB13:AG13" si="32">AB14+AB15+AB16+AB17+AB21</f>
        <v>1911.8066957276285</v>
      </c>
      <c r="AC13" s="3451">
        <f t="shared" si="32"/>
        <v>1939.9728938607886</v>
      </c>
      <c r="AD13" s="3451">
        <f t="shared" si="32"/>
        <v>1972.4778347592751</v>
      </c>
      <c r="AE13" s="3451">
        <f t="shared" si="32"/>
        <v>2006.544422873701</v>
      </c>
      <c r="AF13" s="3451">
        <f t="shared" si="32"/>
        <v>2040.3302771527037</v>
      </c>
      <c r="AG13" s="3451">
        <f t="shared" si="32"/>
        <v>1907.0918917986287</v>
      </c>
      <c r="AH13" s="3451">
        <f t="shared" si="11"/>
        <v>102.1175823372315</v>
      </c>
      <c r="AI13" s="3451">
        <f>AI14+AI15+AI16+AI17+AI21</f>
        <v>1658.5010098986286</v>
      </c>
      <c r="AJ13" s="3451">
        <f t="shared" si="13"/>
        <v>88.806477633846441</v>
      </c>
      <c r="AK13" s="3451">
        <f>AK14+AK15+AK16+AK17+AK21</f>
        <v>1176.36403</v>
      </c>
      <c r="AL13" s="3451">
        <f>AL14+AL15+AL16+AL17+AL21</f>
        <v>1765.7228700000001</v>
      </c>
      <c r="AM13" s="3451">
        <f>AM14+AM15+AM16+AM17+AM21</f>
        <v>3494.9759999999997</v>
      </c>
      <c r="AN13" s="3451">
        <f>AN14+AN15+AN16+AN17+AN21</f>
        <v>3842.4284815978676</v>
      </c>
      <c r="AO13" s="3451">
        <f t="shared" si="16"/>
        <v>231.68080445321681</v>
      </c>
      <c r="AP13" s="3451">
        <f>AP14+AP15+AP16+AP17+AP21</f>
        <v>2754.6751389999999</v>
      </c>
      <c r="AQ13" s="3451">
        <f t="shared" si="18"/>
        <v>166.09426961810365</v>
      </c>
      <c r="AR13" s="3451">
        <f>AR14+AR15+AR16+AR17+AR21</f>
        <v>1603.8926399999998</v>
      </c>
      <c r="AS13" s="3451">
        <f>AS14+AS15+AS16+AS17+AS21</f>
        <v>2393.2924599999997</v>
      </c>
      <c r="AT13" s="3451">
        <f>AT14+AT15+AT16+AT17+AT21</f>
        <v>4930.3440000000001</v>
      </c>
      <c r="AU13" s="3451">
        <f>AU14+AU15+AU16+AU17+AU21+AU22</f>
        <v>3942.7850427518842</v>
      </c>
      <c r="AV13" s="3451">
        <f t="shared" si="2"/>
        <v>143.13067217730767</v>
      </c>
      <c r="AW13" s="3451">
        <f>AW14+AW15+AW16+AW17+AW21+AW20</f>
        <v>3681.7342498575654</v>
      </c>
      <c r="AX13" s="3451">
        <f t="shared" si="21"/>
        <v>133.65402684812068</v>
      </c>
      <c r="AY13" s="3811">
        <f>AY14+AY15+AY16+AY17+AY21</f>
        <v>1463.1290800000004</v>
      </c>
      <c r="AZ13" s="3811">
        <f>AZ14+AZ15+AZ16+AZ17+AZ21</f>
        <v>2188.3704400000001</v>
      </c>
      <c r="BA13" s="3451">
        <f>BA14+BA15+BA16+BA17+BA21</f>
        <v>7277.7734500000006</v>
      </c>
      <c r="BB13" s="3512">
        <f>BB14+BB15+BB16+BB17+BB21+BB22+BB20+BB23+BB24+BB29+BB25+BB26+BB27+BB28</f>
        <v>17018.007524544533</v>
      </c>
      <c r="BC13" s="3512">
        <f t="shared" si="3"/>
        <v>462.22802542586845</v>
      </c>
      <c r="BD13" s="4037">
        <f>BD14+BD15+BD16+BD17+BD21+BD20</f>
        <v>3.8500000000000006E-2</v>
      </c>
      <c r="BE13" s="4037">
        <f t="shared" si="24"/>
        <v>1.045702850538152E-3</v>
      </c>
      <c r="BF13" s="3512">
        <f>BF14+BF15+BF16+BF17+BF21+BF22+BF20+BF23+BF24+BF29+BF25+BF26+BF27+BF28+BF18</f>
        <v>34506.872552892535</v>
      </c>
      <c r="BG13" s="3512">
        <f t="shared" si="26"/>
        <v>937.2450647199073</v>
      </c>
      <c r="BH13" s="3512">
        <f>BH14+BH15+BH16+BH17+BH21+BH22+BH20+BH23+BH24+BH29+BH25+BH26+BH27+BH28+BH18</f>
        <v>6215.553472855996</v>
      </c>
      <c r="BI13" s="3512">
        <f t="shared" si="28"/>
        <v>168.82135023994346</v>
      </c>
      <c r="BJ13" s="4869">
        <f>BJ14+BJ15+BJ16+BJ17+BJ21</f>
        <v>133.03800999999999</v>
      </c>
      <c r="BK13" s="4869">
        <f>BK14+BK15+BK16+BK17+BK21</f>
        <v>215.56527</v>
      </c>
    </row>
    <row r="14" spans="1:63" s="1237" customFormat="1" ht="54" customHeight="1" x14ac:dyDescent="0.2">
      <c r="A14" s="3457" t="s">
        <v>908</v>
      </c>
      <c r="B14" s="3458" t="s">
        <v>909</v>
      </c>
      <c r="C14" s="3457" t="s">
        <v>899</v>
      </c>
      <c r="D14" s="3457">
        <v>494.19</v>
      </c>
      <c r="E14" s="3457">
        <v>206.8</v>
      </c>
      <c r="F14" s="3460">
        <f>'цех стоки 2023'!AH38</f>
        <v>318.05</v>
      </c>
      <c r="G14" s="3460">
        <v>61.43</v>
      </c>
      <c r="H14" s="3460">
        <f>'2018 к смета'!F18</f>
        <v>61.43</v>
      </c>
      <c r="I14" s="3460">
        <v>337.9</v>
      </c>
      <c r="J14" s="3460">
        <v>349.86</v>
      </c>
      <c r="K14" s="3460">
        <f>'[47]корректировка 2017'!$F$9</f>
        <v>338.21463610024222</v>
      </c>
      <c r="L14" s="3460">
        <v>0</v>
      </c>
      <c r="M14" s="3460">
        <v>0</v>
      </c>
      <c r="N14" s="3460">
        <v>353.77</v>
      </c>
      <c r="O14" s="3460">
        <f>'[47]корректировка 2017'!$F$9*1.043</f>
        <v>352.75786545255261</v>
      </c>
      <c r="P14" s="3460">
        <v>372.03</v>
      </c>
      <c r="Q14" s="3460">
        <v>437.59</v>
      </c>
      <c r="R14" s="3460">
        <f>Q14</f>
        <v>437.59</v>
      </c>
      <c r="S14" s="3460">
        <v>0</v>
      </c>
      <c r="T14" s="3460">
        <v>450.72</v>
      </c>
      <c r="U14" s="3460">
        <v>464.24</v>
      </c>
      <c r="V14" s="3460">
        <v>478.17</v>
      </c>
      <c r="W14" s="3460">
        <v>492.51</v>
      </c>
      <c r="X14" s="3460">
        <v>507.29</v>
      </c>
      <c r="Y14" s="3460"/>
      <c r="Z14" s="3460">
        <f>'Транспортировка КЭМЗ'!C12</f>
        <v>517.29666900000007</v>
      </c>
      <c r="AA14" s="3460">
        <v>0</v>
      </c>
      <c r="AB14" s="3460">
        <f>'Транспортировка КЭМЗ'!D12</f>
        <v>549.04411800000003</v>
      </c>
      <c r="AC14" s="3460">
        <f>'Транспортировка КЭМЗ'!E12</f>
        <v>562.11659700000007</v>
      </c>
      <c r="AD14" s="3460">
        <f>'Транспортировка КЭМЗ'!F12</f>
        <v>578.92407000000003</v>
      </c>
      <c r="AE14" s="3460">
        <f>'Транспортировка КЭМЗ'!G12</f>
        <v>596.66529150000008</v>
      </c>
      <c r="AF14" s="3460">
        <f>'Транспортировка КЭМЗ'!H12</f>
        <v>613.47276450000004</v>
      </c>
      <c r="AG14" s="3460">
        <f>SUM(стоки!BW109)</f>
        <v>549.04411800000003</v>
      </c>
      <c r="AH14" s="3451">
        <f t="shared" si="11"/>
        <v>106.13718411552347</v>
      </c>
      <c r="AI14" s="3460">
        <f>SUM(стоки!CL109)</f>
        <v>322.41899999999998</v>
      </c>
      <c r="AJ14" s="3451">
        <f t="shared" si="13"/>
        <v>62.327677582629079</v>
      </c>
      <c r="AK14" s="3460">
        <f>SUM(стоки!CO109)</f>
        <v>0</v>
      </c>
      <c r="AL14" s="3460">
        <f>SUM(стоки!CR109)</f>
        <v>0</v>
      </c>
      <c r="AM14" s="3460">
        <f>SUM(стоки!CU109)</f>
        <v>648.35</v>
      </c>
      <c r="AN14" s="3460">
        <f>SUM(стоки!CX109)</f>
        <v>704.58079999999995</v>
      </c>
      <c r="AO14" s="3451">
        <f t="shared" si="16"/>
        <v>218.52955315908801</v>
      </c>
      <c r="AP14" s="3460">
        <f>SUM(стоки!DA109)</f>
        <v>316.125</v>
      </c>
      <c r="AQ14" s="3451">
        <f t="shared" si="18"/>
        <v>98.047881793566759</v>
      </c>
      <c r="AR14" s="3460">
        <f>SUM(стоки!DD109)</f>
        <v>193.685</v>
      </c>
      <c r="AS14" s="3460">
        <f>SUM(стоки!DG109)</f>
        <v>280.77</v>
      </c>
      <c r="AT14" s="3460">
        <f>SUM(стоки!DJ109)</f>
        <v>380.57900000000001</v>
      </c>
      <c r="AU14" s="3460">
        <f>SUM(стоки!DM109)</f>
        <v>331.93125000000003</v>
      </c>
      <c r="AV14" s="3451">
        <f t="shared" si="2"/>
        <v>105</v>
      </c>
      <c r="AW14" s="3460">
        <f>SUM(стоки!DP109)</f>
        <v>211.25448</v>
      </c>
      <c r="AX14" s="3451">
        <f t="shared" si="21"/>
        <v>66.82624911032029</v>
      </c>
      <c r="AY14" s="3812">
        <f>SUM(стоки!DS109)</f>
        <v>141.36000000000001</v>
      </c>
      <c r="AZ14" s="3812">
        <f>SUM(стоки!DV109)</f>
        <v>199.53399999999999</v>
      </c>
      <c r="BA14" s="3460">
        <f>SUM(стоки!DY109)</f>
        <v>269.267</v>
      </c>
      <c r="BB14" s="3513">
        <f>SUM(стоки!EB109)</f>
        <v>219.59903196000005</v>
      </c>
      <c r="BC14" s="3512">
        <f t="shared" si="3"/>
        <v>103.95000000000003</v>
      </c>
      <c r="BD14" s="4038">
        <f>SUM(стоки!DW109)</f>
        <v>0</v>
      </c>
      <c r="BE14" s="4037">
        <f t="shared" si="24"/>
        <v>0</v>
      </c>
      <c r="BF14" s="3513">
        <f>SUM(стоки!EH109)</f>
        <v>219.59903196000005</v>
      </c>
      <c r="BG14" s="3512">
        <f t="shared" si="26"/>
        <v>103.95000000000003</v>
      </c>
      <c r="BH14" s="3513">
        <f>SUM(стоки!EK109)</f>
        <v>207.92939999999999</v>
      </c>
      <c r="BI14" s="3512">
        <f t="shared" si="28"/>
        <v>98.426031012454743</v>
      </c>
      <c r="BJ14" s="4870">
        <f>SUM(стоки!EN109)</f>
        <v>92.610810000000001</v>
      </c>
      <c r="BK14" s="4870">
        <f>SUM(стоки!EQ109)</f>
        <v>139.07459</v>
      </c>
    </row>
    <row r="15" spans="1:63" s="1237" customFormat="1" ht="82.5" customHeight="1" x14ac:dyDescent="0.2">
      <c r="A15" s="3457" t="s">
        <v>910</v>
      </c>
      <c r="B15" s="3458" t="s">
        <v>911</v>
      </c>
      <c r="C15" s="3457" t="s">
        <v>899</v>
      </c>
      <c r="D15" s="3457">
        <v>1927.04</v>
      </c>
      <c r="E15" s="3457">
        <v>1783.57</v>
      </c>
      <c r="F15" s="3460">
        <f>стоки!BB104</f>
        <v>1676.7703977774761</v>
      </c>
      <c r="G15" s="3460">
        <v>3603.63</v>
      </c>
      <c r="H15" s="3460">
        <f>'2018 к смета'!F19</f>
        <v>1449.8533768167786</v>
      </c>
      <c r="I15" s="3460">
        <f>F15</f>
        <v>1676.7703977774761</v>
      </c>
      <c r="J15" s="3460">
        <v>1805.24</v>
      </c>
      <c r="K15" s="3460">
        <f>'2017 к смета'!F13</f>
        <v>1783.57</v>
      </c>
      <c r="L15" s="3460">
        <v>1266.71</v>
      </c>
      <c r="M15" s="3460">
        <f>НАЛОГИ!D31</f>
        <v>1265.31</v>
      </c>
      <c r="N15" s="3460">
        <f>I15</f>
        <v>1676.7703977774761</v>
      </c>
      <c r="O15" s="3460">
        <f>K15</f>
        <v>1783.57</v>
      </c>
      <c r="P15" s="3460">
        <v>1699.21</v>
      </c>
      <c r="Q15" s="3460">
        <f>'2018 к смета'!L19</f>
        <v>1502.7644400919853</v>
      </c>
      <c r="R15" s="3460">
        <f t="shared" ref="R15:R21" si="33">Q15</f>
        <v>1502.7644400919853</v>
      </c>
      <c r="S15" s="3460">
        <f>стоки!BN141</f>
        <v>1364.6959999999999</v>
      </c>
      <c r="T15" s="3460">
        <v>5882.27</v>
      </c>
      <c r="U15" s="3460">
        <v>5936.54</v>
      </c>
      <c r="V15" s="3460">
        <v>5962.21</v>
      </c>
      <c r="W15" s="3460">
        <v>5975.3</v>
      </c>
      <c r="X15" s="3460">
        <v>5988.38</v>
      </c>
      <c r="Y15" s="3460"/>
      <c r="Z15" s="3460">
        <f>стоки!BT141</f>
        <v>1003.7495993986286</v>
      </c>
      <c r="AA15" s="3460">
        <f>Z15/Q15*100</f>
        <v>66.79354212940973</v>
      </c>
      <c r="AB15" s="3460">
        <f>НАЛОГИ!N31</f>
        <v>1004.4827993986286</v>
      </c>
      <c r="AC15" s="3460">
        <f>НАЛОГИ!O31</f>
        <v>1005.2453273986285</v>
      </c>
      <c r="AD15" s="3460">
        <f>НАЛОГИ!P31</f>
        <v>1006.0383565186286</v>
      </c>
      <c r="AE15" s="3460">
        <f>НАЛОГИ!Q31</f>
        <v>1006.8631068034285</v>
      </c>
      <c r="AF15" s="3460">
        <f>НАЛОГИ!R31</f>
        <v>1007.7208470996205</v>
      </c>
      <c r="AG15" s="3460">
        <f>SUM(стоки!BW104)</f>
        <v>1009.9095993986285</v>
      </c>
      <c r="AH15" s="3451">
        <f t="shared" si="11"/>
        <v>100.6136988750671</v>
      </c>
      <c r="AI15" s="3460">
        <f>SUM(стоки!CL104)</f>
        <v>993.77209049862847</v>
      </c>
      <c r="AJ15" s="3451">
        <f t="shared" si="13"/>
        <v>99.005976300665239</v>
      </c>
      <c r="AK15" s="3460">
        <f>SUM(стоки!CO104)</f>
        <v>1128.57</v>
      </c>
      <c r="AL15" s="3460">
        <f>SUM(стоки!CR104)</f>
        <v>1694.01</v>
      </c>
      <c r="AM15" s="3460">
        <f>SUM(стоки!CU104)</f>
        <v>2751.05</v>
      </c>
      <c r="AN15" s="3460">
        <f>SUM(стоки!CX104)</f>
        <v>2751.05</v>
      </c>
      <c r="AO15" s="3451">
        <f t="shared" si="16"/>
        <v>276.82906637271844</v>
      </c>
      <c r="AP15" s="3460">
        <f>SUM(стоки!DA104)</f>
        <v>2345.44022</v>
      </c>
      <c r="AQ15" s="3451">
        <f t="shared" si="18"/>
        <v>236.01389518024877</v>
      </c>
      <c r="AR15" s="3460">
        <f>SUM(стоки!DD104)</f>
        <v>1372.3319999999999</v>
      </c>
      <c r="AS15" s="3460">
        <f>SUM(стоки!DG104)</f>
        <v>2055.6059999999998</v>
      </c>
      <c r="AT15" s="3460">
        <f>SUM(стоки!DJ104)</f>
        <v>2660.1779999999999</v>
      </c>
      <c r="AU15" s="3460">
        <f>SUM(стоки!DM104)</f>
        <v>2718.5740000000001</v>
      </c>
      <c r="AV15" s="3451">
        <f t="shared" si="2"/>
        <v>115.90890174126886</v>
      </c>
      <c r="AW15" s="3460">
        <f>SUM(стоки!DP104)</f>
        <v>2707.2991499999998</v>
      </c>
      <c r="AX15" s="3451">
        <f t="shared" si="21"/>
        <v>115.42818814627474</v>
      </c>
      <c r="AY15" s="3812">
        <f>SUM(стоки!DS104)</f>
        <v>1283.4539800000002</v>
      </c>
      <c r="AZ15" s="3812">
        <f>SUM(стоки!DV104)</f>
        <v>1930.7335700000001</v>
      </c>
      <c r="BA15" s="3460">
        <f>SUM(стоки!DY104)</f>
        <v>5349.3708999999999</v>
      </c>
      <c r="BB15" s="3513">
        <f>SUM(стоки!EB104)</f>
        <v>4857.9588240000003</v>
      </c>
      <c r="BC15" s="3512">
        <f t="shared" si="3"/>
        <v>179.43930666103157</v>
      </c>
      <c r="BD15" s="4038">
        <f>SUM(стоки!DW104)</f>
        <v>0</v>
      </c>
      <c r="BE15" s="4037">
        <f t="shared" si="24"/>
        <v>0</v>
      </c>
      <c r="BF15" s="3513">
        <f>SUM(стоки!EH104)</f>
        <v>4857.9588240000003</v>
      </c>
      <c r="BG15" s="3512">
        <f t="shared" si="26"/>
        <v>179.43930666103157</v>
      </c>
      <c r="BH15" s="3513">
        <f>SUM(стоки!EK104)</f>
        <v>3256.4037000000003</v>
      </c>
      <c r="BI15" s="3512">
        <f t="shared" si="28"/>
        <v>120.28237440993547</v>
      </c>
      <c r="BJ15" s="4870">
        <f>SUM(стоки!EN104)</f>
        <v>0</v>
      </c>
      <c r="BK15" s="4870">
        <f>SUM(стоки!EQ104)</f>
        <v>0</v>
      </c>
    </row>
    <row r="16" spans="1:63" s="1237" customFormat="1" ht="40.5" customHeight="1" x14ac:dyDescent="0.2">
      <c r="A16" s="3457" t="s">
        <v>912</v>
      </c>
      <c r="B16" s="3458" t="s">
        <v>913</v>
      </c>
      <c r="C16" s="3457" t="s">
        <v>899</v>
      </c>
      <c r="D16" s="3457">
        <v>184.67</v>
      </c>
      <c r="E16" s="3457">
        <v>153.03</v>
      </c>
      <c r="F16" s="3460">
        <f>'цех стоки 2023'!AH43+'цех стоки 2023'!AH29</f>
        <v>152.0548</v>
      </c>
      <c r="G16" s="3460">
        <v>157.80000000000001</v>
      </c>
      <c r="H16" s="3460">
        <f>'2018 к смета'!F20</f>
        <v>157.80000000000001</v>
      </c>
      <c r="I16" s="3460">
        <f>F16</f>
        <v>152.0548</v>
      </c>
      <c r="J16" s="3460">
        <v>176.8</v>
      </c>
      <c r="K16" s="3460">
        <f>I16</f>
        <v>152.0548</v>
      </c>
      <c r="L16" s="3460">
        <v>165.87</v>
      </c>
      <c r="M16" s="3460">
        <f>L16</f>
        <v>165.87</v>
      </c>
      <c r="N16" s="3460">
        <f>I16</f>
        <v>152.0548</v>
      </c>
      <c r="O16" s="3460">
        <f>K16</f>
        <v>152.0548</v>
      </c>
      <c r="P16" s="3460">
        <v>167.26</v>
      </c>
      <c r="Q16" s="3460">
        <f>K16</f>
        <v>152.0548</v>
      </c>
      <c r="R16" s="3460">
        <f t="shared" si="33"/>
        <v>152.0548</v>
      </c>
      <c r="S16" s="3460">
        <f>SUM('цех стоки 2023'!AL43)</f>
        <v>86.34</v>
      </c>
      <c r="T16" s="3460">
        <v>175.97</v>
      </c>
      <c r="U16" s="3460">
        <v>181.25</v>
      </c>
      <c r="V16" s="3460">
        <v>186.68</v>
      </c>
      <c r="W16" s="3460">
        <v>192.28</v>
      </c>
      <c r="X16" s="3460">
        <v>198.05</v>
      </c>
      <c r="Y16" s="3460"/>
      <c r="Z16" s="3460">
        <f>стоки!BT50</f>
        <v>105.48881849999999</v>
      </c>
      <c r="AA16" s="3460">
        <v>0</v>
      </c>
      <c r="AB16" s="3460">
        <f>Z16*1.034</f>
        <v>109.07543832899999</v>
      </c>
      <c r="AC16" s="3460">
        <f>AB16*1.04</f>
        <v>113.43845586216</v>
      </c>
      <c r="AD16" s="3460">
        <f t="shared" ref="AD16:AF17" si="34">AC16*1.04</f>
        <v>117.9759940966464</v>
      </c>
      <c r="AE16" s="3460">
        <f t="shared" si="34"/>
        <v>122.69503386051227</v>
      </c>
      <c r="AF16" s="3460">
        <f t="shared" si="34"/>
        <v>127.60283521493277</v>
      </c>
      <c r="AG16" s="3460">
        <f>SUM(стоки!BW108)</f>
        <v>98.938174399999994</v>
      </c>
      <c r="AH16" s="3451">
        <f t="shared" si="11"/>
        <v>93.79020052253216</v>
      </c>
      <c r="AI16" s="3460">
        <f>SUM(стоки!CL108)</f>
        <v>93.10991940000001</v>
      </c>
      <c r="AJ16" s="3451">
        <f t="shared" si="13"/>
        <v>88.265202629035059</v>
      </c>
      <c r="AK16" s="3460">
        <f>SUM(стоки!CO142)</f>
        <v>47.794029999999999</v>
      </c>
      <c r="AL16" s="3460">
        <f>SUM(стоки!CR108)</f>
        <v>71.712869999999995</v>
      </c>
      <c r="AM16" s="3460">
        <f>SUM(стоки!CU108)</f>
        <v>95.585999999999999</v>
      </c>
      <c r="AN16" s="3460">
        <f>SUM(стоки!CX108)</f>
        <v>93.10991940000001</v>
      </c>
      <c r="AO16" s="3451">
        <f t="shared" si="16"/>
        <v>100</v>
      </c>
      <c r="AP16" s="3460">
        <f>SUM(стоки!DA108)</f>
        <v>93.109919000000005</v>
      </c>
      <c r="AQ16" s="3451">
        <f t="shared" si="18"/>
        <v>99.99999957040022</v>
      </c>
      <c r="AR16" s="3460">
        <f>SUM(стоки!DD142)</f>
        <v>37.875640000000004</v>
      </c>
      <c r="AS16" s="3460">
        <f>SUM(стоки!DG142)</f>
        <v>56.916460000000001</v>
      </c>
      <c r="AT16" s="3460">
        <f>SUM(стоки!DJ108)</f>
        <v>76.042000000000002</v>
      </c>
      <c r="AU16" s="3460">
        <f>SUM(стоки!DM108)</f>
        <v>97.765414950000007</v>
      </c>
      <c r="AV16" s="3451">
        <f t="shared" si="2"/>
        <v>105</v>
      </c>
      <c r="AW16" s="3460">
        <f>SUM(стоки!DP108)+0.004</f>
        <v>62.338811559999996</v>
      </c>
      <c r="AX16" s="3451">
        <f t="shared" si="21"/>
        <v>66.951848126943375</v>
      </c>
      <c r="AY16" s="3812">
        <f>SUM(стоки!DS142)</f>
        <v>38.315100000000001</v>
      </c>
      <c r="AZ16" s="3812">
        <f>SUM(стоки!DV142)</f>
        <v>58.102870000000003</v>
      </c>
      <c r="BA16" s="3460">
        <f>SUM(стоки!DY142)</f>
        <v>77.863069999999993</v>
      </c>
      <c r="BB16" s="3513">
        <f>SUM(стоки!EB108)</f>
        <v>133.48947150000001</v>
      </c>
      <c r="BC16" s="3512">
        <f t="shared" si="3"/>
        <v>214.13541285033767</v>
      </c>
      <c r="BD16" s="4038">
        <f>SUM(стоки!DW108)+0.004</f>
        <v>4.0000000000000001E-3</v>
      </c>
      <c r="BE16" s="4037">
        <f t="shared" si="24"/>
        <v>6.4165483747634028E-3</v>
      </c>
      <c r="BF16" s="3513">
        <f>SUM(стоки!EH108)</f>
        <v>133.48947150000001</v>
      </c>
      <c r="BG16" s="3512">
        <f t="shared" si="26"/>
        <v>214.13541285033767</v>
      </c>
      <c r="BH16" s="3513">
        <f>SUM(стоки!EK108)</f>
        <v>77.86</v>
      </c>
      <c r="BI16" s="3512">
        <f t="shared" si="28"/>
        <v>124.89811411476963</v>
      </c>
      <c r="BJ16" s="4870">
        <f>SUM(стоки!EN142)</f>
        <v>40.427199999999999</v>
      </c>
      <c r="BK16" s="4870">
        <f>SUM(стоки!EQ142)</f>
        <v>76.490679999999998</v>
      </c>
    </row>
    <row r="17" spans="1:63" s="1237" customFormat="1" ht="51.75" customHeight="1" x14ac:dyDescent="0.2">
      <c r="A17" s="3457" t="s">
        <v>914</v>
      </c>
      <c r="B17" s="3458" t="s">
        <v>915</v>
      </c>
      <c r="C17" s="3457" t="s">
        <v>899</v>
      </c>
      <c r="D17" s="3457">
        <v>0</v>
      </c>
      <c r="E17" s="3457">
        <v>0</v>
      </c>
      <c r="F17" s="3460">
        <f>стоки!BB106</f>
        <v>286.40476017160813</v>
      </c>
      <c r="G17" s="3460">
        <v>0</v>
      </c>
      <c r="H17" s="3460">
        <f>'2018 к смета'!F21</f>
        <v>0</v>
      </c>
      <c r="I17" s="3460">
        <f>'Резерв ДЗ'!F22</f>
        <v>353.60175784252925</v>
      </c>
      <c r="J17" s="3460">
        <v>353.6</v>
      </c>
      <c r="K17" s="3460">
        <v>265.39999999999998</v>
      </c>
      <c r="L17" s="3460">
        <v>0</v>
      </c>
      <c r="M17" s="3460">
        <v>265.39999999999998</v>
      </c>
      <c r="N17" s="3460">
        <f>'Резерв ДЗ'!F32</f>
        <v>373.95376145643951</v>
      </c>
      <c r="O17" s="3460">
        <v>265.39999999999998</v>
      </c>
      <c r="P17" s="3460">
        <v>370.51</v>
      </c>
      <c r="Q17" s="3460">
        <f>'рез к 2017'!G43</f>
        <v>365.36847945936529</v>
      </c>
      <c r="R17" s="3460">
        <f t="shared" si="33"/>
        <v>365.36847945936529</v>
      </c>
      <c r="S17" s="3460">
        <v>0</v>
      </c>
      <c r="T17" s="3460">
        <v>241.01</v>
      </c>
      <c r="U17" s="3460">
        <v>238.68</v>
      </c>
      <c r="V17" s="3460">
        <v>251.74</v>
      </c>
      <c r="W17" s="3460">
        <v>264.32</v>
      </c>
      <c r="X17" s="3460">
        <v>277.54000000000002</v>
      </c>
      <c r="Y17" s="3460"/>
      <c r="Z17" s="3460">
        <f>T17</f>
        <v>241.01</v>
      </c>
      <c r="AA17" s="3460">
        <f>Z17/Q17*100</f>
        <v>65.963544626679834</v>
      </c>
      <c r="AB17" s="3460">
        <f>Z17*1.034</f>
        <v>249.20434</v>
      </c>
      <c r="AC17" s="3460">
        <f>AB17*1.04</f>
        <v>259.1725136</v>
      </c>
      <c r="AD17" s="3460">
        <f t="shared" si="34"/>
        <v>269.53941414400003</v>
      </c>
      <c r="AE17" s="3460">
        <f t="shared" si="34"/>
        <v>280.32099070976005</v>
      </c>
      <c r="AF17" s="3460">
        <f t="shared" si="34"/>
        <v>291.53383033815044</v>
      </c>
      <c r="AG17" s="3460">
        <f>SUM(стоки!BW106)</f>
        <v>249.2</v>
      </c>
      <c r="AH17" s="3451">
        <f t="shared" si="11"/>
        <v>103.39819924484462</v>
      </c>
      <c r="AI17" s="3460">
        <f>SUM(стоки!CL106)</f>
        <v>249.2</v>
      </c>
      <c r="AJ17" s="3451">
        <f t="shared" si="13"/>
        <v>103.39819924484462</v>
      </c>
      <c r="AK17" s="3460">
        <f>SUM(стоки!CO106)</f>
        <v>0</v>
      </c>
      <c r="AL17" s="3460">
        <f>SUM(стоки!CR106)</f>
        <v>0</v>
      </c>
      <c r="AM17" s="3543">
        <f>SUM(стоки!CU106)</f>
        <v>-0.01</v>
      </c>
      <c r="AN17" s="3543">
        <f>SUM(стоки!CX106)</f>
        <v>293.68776219786787</v>
      </c>
      <c r="AO17" s="3451">
        <f t="shared" si="16"/>
        <v>117.85223202161632</v>
      </c>
      <c r="AP17" s="3460">
        <f>SUM(стоки!DA106)</f>
        <v>0</v>
      </c>
      <c r="AQ17" s="3451">
        <f t="shared" si="18"/>
        <v>0</v>
      </c>
      <c r="AR17" s="3460">
        <f>SUM(стоки!DD106)</f>
        <v>0</v>
      </c>
      <c r="AS17" s="3460">
        <f>SUM(стоки!DG106)</f>
        <v>0</v>
      </c>
      <c r="AT17" s="3543">
        <f>SUM(стоки!DJ106)</f>
        <v>1813.5450000000001</v>
      </c>
      <c r="AU17" s="3543">
        <f>SUM(стоки!DM106)</f>
        <v>302.96730829756518</v>
      </c>
      <c r="AV17" s="3451" t="e">
        <f t="shared" si="2"/>
        <v>#DIV/0!</v>
      </c>
      <c r="AW17" s="3460">
        <f>SUM(стоки!DP106)+0.0345</f>
        <v>303.00180829756516</v>
      </c>
      <c r="AX17" s="3451" t="e">
        <f t="shared" si="21"/>
        <v>#DIV/0!</v>
      </c>
      <c r="AY17" s="3812">
        <f>SUM(стоки!DS106)</f>
        <v>0</v>
      </c>
      <c r="AZ17" s="3812">
        <f>SUM(стоки!DV106)</f>
        <v>0</v>
      </c>
      <c r="BA17" s="3543">
        <f>SUM(стоки!DY106)</f>
        <v>1581.2724800000001</v>
      </c>
      <c r="BB17" s="3548">
        <f>SUM(стоки!EB106)</f>
        <v>387.72721987781551</v>
      </c>
      <c r="BC17" s="3512">
        <f t="shared" si="3"/>
        <v>127.96201516297391</v>
      </c>
      <c r="BD17" s="4038">
        <f>SUM(стоки!DW106)+0.0345</f>
        <v>3.4500000000000003E-2</v>
      </c>
      <c r="BE17" s="4037">
        <f t="shared" si="24"/>
        <v>1.1386070662033483E-2</v>
      </c>
      <c r="BF17" s="3548">
        <f>SUM(стоки!EH106)</f>
        <v>387.72721987781551</v>
      </c>
      <c r="BG17" s="3512">
        <f t="shared" si="26"/>
        <v>127.96201516297391</v>
      </c>
      <c r="BH17" s="3513">
        <f>SUM(стоки!EK107)</f>
        <v>0</v>
      </c>
      <c r="BI17" s="3512">
        <f t="shared" si="28"/>
        <v>0</v>
      </c>
      <c r="BJ17" s="4871">
        <f>SUM(стоки!EN106)</f>
        <v>0</v>
      </c>
      <c r="BK17" s="4871">
        <f>SUM(стоки!EQ106)</f>
        <v>0</v>
      </c>
    </row>
    <row r="18" spans="1:63" s="1237" customFormat="1" ht="41.25" customHeight="1" x14ac:dyDescent="0.2">
      <c r="A18" s="3457" t="s">
        <v>914</v>
      </c>
      <c r="B18" s="3458" t="s">
        <v>4165</v>
      </c>
      <c r="C18" s="3457"/>
      <c r="D18" s="3457"/>
      <c r="E18" s="3457"/>
      <c r="F18" s="3460"/>
      <c r="G18" s="3460"/>
      <c r="H18" s="3460"/>
      <c r="I18" s="3460"/>
      <c r="J18" s="3460"/>
      <c r="K18" s="3460"/>
      <c r="L18" s="3460"/>
      <c r="M18" s="3460"/>
      <c r="N18" s="3460"/>
      <c r="O18" s="3460"/>
      <c r="P18" s="3460"/>
      <c r="Q18" s="3460"/>
      <c r="R18" s="3460"/>
      <c r="S18" s="3460"/>
      <c r="T18" s="3460"/>
      <c r="U18" s="3460"/>
      <c r="V18" s="3460"/>
      <c r="W18" s="3460"/>
      <c r="X18" s="3460"/>
      <c r="Y18" s="3460"/>
      <c r="Z18" s="3460"/>
      <c r="AA18" s="3460"/>
      <c r="AB18" s="3460"/>
      <c r="AC18" s="3460"/>
      <c r="AD18" s="3460"/>
      <c r="AE18" s="3460"/>
      <c r="AF18" s="3460"/>
      <c r="AG18" s="3460"/>
      <c r="AH18" s="3451"/>
      <c r="AI18" s="3460"/>
      <c r="AJ18" s="3451"/>
      <c r="AK18" s="3460"/>
      <c r="AL18" s="3460"/>
      <c r="AM18" s="3543"/>
      <c r="AN18" s="3543"/>
      <c r="AO18" s="3451"/>
      <c r="AP18" s="3460"/>
      <c r="AQ18" s="3451"/>
      <c r="AR18" s="3460"/>
      <c r="AS18" s="3460"/>
      <c r="AT18" s="3543"/>
      <c r="AU18" s="3543"/>
      <c r="AV18" s="3451"/>
      <c r="AW18" s="3460"/>
      <c r="AX18" s="3451"/>
      <c r="AY18" s="3812"/>
      <c r="AZ18" s="3812"/>
      <c r="BA18" s="3543"/>
      <c r="BB18" s="3548"/>
      <c r="BC18" s="3512"/>
      <c r="BD18" s="4038"/>
      <c r="BE18" s="4037"/>
      <c r="BF18" s="3548">
        <f>SUM(стоки!EH107)</f>
        <v>2478.0332096000006</v>
      </c>
      <c r="BG18" s="3512">
        <v>0</v>
      </c>
      <c r="BH18" s="3513">
        <v>0</v>
      </c>
      <c r="BI18" s="3512"/>
      <c r="BJ18" s="4871"/>
      <c r="BK18" s="4871"/>
    </row>
    <row r="19" spans="1:63" s="1237" customFormat="1" ht="20.100000000000001" customHeight="1" x14ac:dyDescent="0.2">
      <c r="A19" s="3457" t="s">
        <v>916</v>
      </c>
      <c r="B19" s="3458" t="s">
        <v>917</v>
      </c>
      <c r="C19" s="3457" t="s">
        <v>899</v>
      </c>
      <c r="D19" s="3457">
        <v>0</v>
      </c>
      <c r="E19" s="3457">
        <v>0</v>
      </c>
      <c r="F19" s="3460">
        <v>0</v>
      </c>
      <c r="G19" s="3460">
        <v>0</v>
      </c>
      <c r="H19" s="3460">
        <f>'2018 к смета'!F22</f>
        <v>0</v>
      </c>
      <c r="I19" s="3460">
        <v>0</v>
      </c>
      <c r="J19" s="3460">
        <v>0</v>
      </c>
      <c r="K19" s="3460">
        <v>0</v>
      </c>
      <c r="L19" s="3460">
        <v>0</v>
      </c>
      <c r="M19" s="3460">
        <v>0</v>
      </c>
      <c r="N19" s="3460">
        <v>0</v>
      </c>
      <c r="O19" s="3460">
        <v>0</v>
      </c>
      <c r="P19" s="3460">
        <v>0</v>
      </c>
      <c r="Q19" s="3460">
        <f>'2018 к смета'!F22</f>
        <v>0</v>
      </c>
      <c r="R19" s="3460">
        <f t="shared" si="33"/>
        <v>0</v>
      </c>
      <c r="S19" s="3460">
        <f>'2018 к смета'!F22</f>
        <v>0</v>
      </c>
      <c r="T19" s="3460">
        <f>'2018 к смета'!G22</f>
        <v>0</v>
      </c>
      <c r="U19" s="3460">
        <f>'2018 к смета'!H22</f>
        <v>0</v>
      </c>
      <c r="V19" s="3460">
        <f>'2018 к смета'!I22</f>
        <v>0</v>
      </c>
      <c r="W19" s="3460">
        <f>'2018 к смета'!J22</f>
        <v>0</v>
      </c>
      <c r="X19" s="3460">
        <f>'2018 к смета'!K22</f>
        <v>0</v>
      </c>
      <c r="Y19" s="3460">
        <f>'2018 к смета'!L22</f>
        <v>0</v>
      </c>
      <c r="Z19" s="3460">
        <f>'2018 к смета'!M22</f>
        <v>0</v>
      </c>
      <c r="AA19" s="3460">
        <v>0</v>
      </c>
      <c r="AB19" s="3460">
        <f>'2018 к смета'!N22</f>
        <v>0</v>
      </c>
      <c r="AC19" s="3460">
        <f>'2018 к смета'!O22</f>
        <v>0</v>
      </c>
      <c r="AD19" s="3460">
        <f>'2018 к смета'!P22</f>
        <v>0</v>
      </c>
      <c r="AE19" s="3460">
        <f>'2018 к смета'!Q22</f>
        <v>0</v>
      </c>
      <c r="AF19" s="3460">
        <f>'2018 к смета'!R22</f>
        <v>0</v>
      </c>
      <c r="AG19" s="3460">
        <f>'2018 к смета'!T22</f>
        <v>0</v>
      </c>
      <c r="AH19" s="3451"/>
      <c r="AI19" s="3460">
        <v>0</v>
      </c>
      <c r="AJ19" s="3451"/>
      <c r="AK19" s="3460">
        <v>0</v>
      </c>
      <c r="AL19" s="3460">
        <v>0</v>
      </c>
      <c r="AM19" s="3460">
        <v>0</v>
      </c>
      <c r="AN19" s="3460">
        <v>0</v>
      </c>
      <c r="AO19" s="3451"/>
      <c r="AP19" s="3460">
        <v>0</v>
      </c>
      <c r="AQ19" s="3451"/>
      <c r="AR19" s="3460">
        <v>0</v>
      </c>
      <c r="AS19" s="3460">
        <v>0</v>
      </c>
      <c r="AT19" s="3460">
        <v>0</v>
      </c>
      <c r="AU19" s="3460">
        <v>0</v>
      </c>
      <c r="AV19" s="3451"/>
      <c r="AW19" s="3460">
        <v>0</v>
      </c>
      <c r="AX19" s="3451"/>
      <c r="AY19" s="3812">
        <v>0</v>
      </c>
      <c r="AZ19" s="3812">
        <v>0</v>
      </c>
      <c r="BA19" s="3460">
        <v>0</v>
      </c>
      <c r="BB19" s="3513">
        <v>0</v>
      </c>
      <c r="BC19" s="3512"/>
      <c r="BD19" s="4038">
        <v>0</v>
      </c>
      <c r="BE19" s="4037"/>
      <c r="BF19" s="3513">
        <v>0</v>
      </c>
      <c r="BG19" s="3512"/>
      <c r="BH19" s="3513">
        <v>0</v>
      </c>
      <c r="BI19" s="3512"/>
      <c r="BJ19" s="4870">
        <v>0</v>
      </c>
      <c r="BK19" s="4870">
        <v>0</v>
      </c>
    </row>
    <row r="20" spans="1:63" s="1237" customFormat="1" ht="49.5" customHeight="1" x14ac:dyDescent="0.2">
      <c r="A20" s="3457" t="s">
        <v>918</v>
      </c>
      <c r="B20" s="4047" t="s">
        <v>3923</v>
      </c>
      <c r="C20" s="3457" t="s">
        <v>899</v>
      </c>
      <c r="D20" s="3457">
        <v>0</v>
      </c>
      <c r="E20" s="3457">
        <v>0</v>
      </c>
      <c r="F20" s="3460">
        <v>0</v>
      </c>
      <c r="G20" s="3460">
        <v>0</v>
      </c>
      <c r="H20" s="3460">
        <f>'2018 к смета'!F23</f>
        <v>0</v>
      </c>
      <c r="I20" s="3460">
        <v>0</v>
      </c>
      <c r="J20" s="3460">
        <v>0</v>
      </c>
      <c r="K20" s="3460">
        <v>0</v>
      </c>
      <c r="L20" s="3460">
        <v>0</v>
      </c>
      <c r="M20" s="3460">
        <v>0</v>
      </c>
      <c r="N20" s="3460">
        <v>0</v>
      </c>
      <c r="O20" s="3460">
        <v>0</v>
      </c>
      <c r="P20" s="3460">
        <v>0</v>
      </c>
      <c r="Q20" s="3460">
        <f>'2018 к смета'!F23</f>
        <v>0</v>
      </c>
      <c r="R20" s="3460">
        <f t="shared" si="33"/>
        <v>0</v>
      </c>
      <c r="S20" s="3460">
        <f>'2018 к смета'!F23</f>
        <v>0</v>
      </c>
      <c r="T20" s="3460">
        <f>'2018 к смета'!G23</f>
        <v>0</v>
      </c>
      <c r="U20" s="3460">
        <f>'2018 к смета'!H23</f>
        <v>0</v>
      </c>
      <c r="V20" s="3460">
        <f>'2018 к смета'!I23</f>
        <v>0</v>
      </c>
      <c r="W20" s="3460">
        <f>'2018 к смета'!J23</f>
        <v>0</v>
      </c>
      <c r="X20" s="3460">
        <f>'2018 к смета'!K23</f>
        <v>0</v>
      </c>
      <c r="Y20" s="3460">
        <f>'2018 к смета'!L23</f>
        <v>0</v>
      </c>
      <c r="Z20" s="3460">
        <f>'2018 к смета'!M23</f>
        <v>0</v>
      </c>
      <c r="AA20" s="3460">
        <v>0</v>
      </c>
      <c r="AB20" s="3460">
        <f>'2018 к смета'!N23</f>
        <v>0</v>
      </c>
      <c r="AC20" s="3460">
        <f>'2018 к смета'!O23</f>
        <v>0</v>
      </c>
      <c r="AD20" s="3460">
        <f>'2018 к смета'!P23</f>
        <v>0</v>
      </c>
      <c r="AE20" s="3460">
        <f>'2018 к смета'!Q23</f>
        <v>0</v>
      </c>
      <c r="AF20" s="3460">
        <f>'2018 к смета'!R23</f>
        <v>0</v>
      </c>
      <c r="AG20" s="3460">
        <f>'2018 к смета'!T23</f>
        <v>0</v>
      </c>
      <c r="AH20" s="3451"/>
      <c r="AI20" s="3460">
        <v>0</v>
      </c>
      <c r="AJ20" s="3451"/>
      <c r="AK20" s="3460">
        <v>0</v>
      </c>
      <c r="AL20" s="3460">
        <v>0</v>
      </c>
      <c r="AM20" s="3460">
        <v>0</v>
      </c>
      <c r="AN20" s="3460">
        <v>0</v>
      </c>
      <c r="AO20" s="3451"/>
      <c r="AP20" s="3460">
        <v>0</v>
      </c>
      <c r="AQ20" s="3451"/>
      <c r="AR20" s="3460">
        <v>0</v>
      </c>
      <c r="AS20" s="3460">
        <v>0</v>
      </c>
      <c r="AT20" s="3460">
        <v>0</v>
      </c>
      <c r="AU20" s="3460">
        <v>0</v>
      </c>
      <c r="AV20" s="3451"/>
      <c r="AW20" s="3460">
        <f>SUM(стоки!DP145)</f>
        <v>397.84000000000003</v>
      </c>
      <c r="AX20" s="3451"/>
      <c r="AY20" s="3812">
        <v>0</v>
      </c>
      <c r="AZ20" s="3812">
        <v>0</v>
      </c>
      <c r="BA20" s="3460">
        <v>0</v>
      </c>
      <c r="BB20" s="3548">
        <f>SUM(стоки!EB145)</f>
        <v>413.55468000000002</v>
      </c>
      <c r="BC20" s="3512">
        <f t="shared" si="3"/>
        <v>103.94999999999999</v>
      </c>
      <c r="BD20" s="4038">
        <f>SUM(стоки!DW145)</f>
        <v>0</v>
      </c>
      <c r="BE20" s="4037"/>
      <c r="BF20" s="3548">
        <f>SUM(стоки!EH145)</f>
        <v>413.55468000000002</v>
      </c>
      <c r="BG20" s="3512">
        <f t="shared" si="26"/>
        <v>103.94999999999999</v>
      </c>
      <c r="BH20" s="3513">
        <f>SUM(стоки!EK112)</f>
        <v>413.56</v>
      </c>
      <c r="BI20" s="3512">
        <f t="shared" si="28"/>
        <v>103.95133722099337</v>
      </c>
      <c r="BJ20" s="4870">
        <v>0</v>
      </c>
      <c r="BK20" s="4870">
        <v>0</v>
      </c>
    </row>
    <row r="21" spans="1:63" s="1237" customFormat="1" ht="59.25" customHeight="1" x14ac:dyDescent="0.2">
      <c r="A21" s="3457" t="s">
        <v>920</v>
      </c>
      <c r="B21" s="3458" t="s">
        <v>921</v>
      </c>
      <c r="C21" s="3457" t="s">
        <v>899</v>
      </c>
      <c r="D21" s="3457">
        <v>1450.3</v>
      </c>
      <c r="E21" s="3457">
        <v>0</v>
      </c>
      <c r="F21" s="3460">
        <f>стоки!BB110</f>
        <v>26.100000000000009</v>
      </c>
      <c r="G21" s="3460">
        <v>0</v>
      </c>
      <c r="H21" s="3460">
        <f>'2018 к смета'!F24</f>
        <v>0</v>
      </c>
      <c r="I21" s="3460"/>
      <c r="J21" s="3460">
        <v>361.58</v>
      </c>
      <c r="K21" s="3460">
        <v>361.58</v>
      </c>
      <c r="L21" s="3460">
        <v>0</v>
      </c>
      <c r="M21" s="3460">
        <v>0</v>
      </c>
      <c r="N21" s="3460">
        <v>0</v>
      </c>
      <c r="O21" s="3460">
        <v>0</v>
      </c>
      <c r="P21" s="3460">
        <v>1291.2</v>
      </c>
      <c r="Q21" s="3460">
        <f>'2018 к смета'!F24</f>
        <v>0</v>
      </c>
      <c r="R21" s="3460">
        <f t="shared" si="33"/>
        <v>0</v>
      </c>
      <c r="S21" s="3460">
        <v>0</v>
      </c>
      <c r="T21" s="3460">
        <f>'2018 к смета'!G24</f>
        <v>0</v>
      </c>
      <c r="U21" s="3460">
        <v>1140.03</v>
      </c>
      <c r="V21" s="3460">
        <v>1140.03</v>
      </c>
      <c r="W21" s="3460">
        <v>1140.03</v>
      </c>
      <c r="X21" s="3460">
        <v>1140.03</v>
      </c>
      <c r="Y21" s="3460"/>
      <c r="Z21" s="3460">
        <v>0</v>
      </c>
      <c r="AA21" s="3460">
        <v>0</v>
      </c>
      <c r="AB21" s="3460">
        <v>0</v>
      </c>
      <c r="AC21" s="3460">
        <v>0</v>
      </c>
      <c r="AD21" s="3460">
        <v>0</v>
      </c>
      <c r="AE21" s="3460">
        <v>0</v>
      </c>
      <c r="AF21" s="3460">
        <v>0</v>
      </c>
      <c r="AG21" s="3460">
        <v>0</v>
      </c>
      <c r="AH21" s="3451"/>
      <c r="AI21" s="3460">
        <v>0</v>
      </c>
      <c r="AJ21" s="3451"/>
      <c r="AK21" s="3460">
        <v>0</v>
      </c>
      <c r="AL21" s="3460">
        <v>0</v>
      </c>
      <c r="AM21" s="3460">
        <v>0</v>
      </c>
      <c r="AN21" s="3460">
        <v>0</v>
      </c>
      <c r="AO21" s="3451"/>
      <c r="AP21" s="3460">
        <v>0</v>
      </c>
      <c r="AQ21" s="3451"/>
      <c r="AR21" s="3460">
        <v>0</v>
      </c>
      <c r="AS21" s="3460">
        <v>0</v>
      </c>
      <c r="AT21" s="3460">
        <v>0</v>
      </c>
      <c r="AU21" s="3460">
        <v>0</v>
      </c>
      <c r="AV21" s="3451"/>
      <c r="AW21" s="3460">
        <v>0</v>
      </c>
      <c r="AX21" s="3451"/>
      <c r="AY21" s="3812">
        <v>0</v>
      </c>
      <c r="AZ21" s="3812">
        <v>0</v>
      </c>
      <c r="BA21" s="3460">
        <v>0</v>
      </c>
      <c r="BB21" s="3548">
        <f>SUM(стоки!EB147)</f>
        <v>1530.9629800000009</v>
      </c>
      <c r="BC21" s="3512"/>
      <c r="BD21" s="4038">
        <v>0</v>
      </c>
      <c r="BE21" s="4037"/>
      <c r="BF21" s="3548">
        <f>SUM(стоки!EH147)</f>
        <v>1530.9629800000009</v>
      </c>
      <c r="BG21" s="3512"/>
      <c r="BH21" s="3513">
        <v>0</v>
      </c>
      <c r="BI21" s="3512"/>
      <c r="BJ21" s="4870">
        <v>0</v>
      </c>
      <c r="BK21" s="4870">
        <v>0</v>
      </c>
    </row>
    <row r="22" spans="1:63" s="1237" customFormat="1" ht="28.5" customHeight="1" x14ac:dyDescent="0.2">
      <c r="A22" s="3457" t="s">
        <v>4089</v>
      </c>
      <c r="B22" s="3458" t="s">
        <v>4090</v>
      </c>
      <c r="C22" s="3457" t="s">
        <v>899</v>
      </c>
      <c r="D22" s="3457"/>
      <c r="E22" s="3457"/>
      <c r="F22" s="3460"/>
      <c r="G22" s="3460"/>
      <c r="H22" s="3460"/>
      <c r="I22" s="3460"/>
      <c r="J22" s="3460"/>
      <c r="K22" s="3460"/>
      <c r="L22" s="3460"/>
      <c r="M22" s="3460"/>
      <c r="N22" s="3460"/>
      <c r="O22" s="3460"/>
      <c r="P22" s="3460"/>
      <c r="Q22" s="3460"/>
      <c r="R22" s="3460"/>
      <c r="S22" s="3460"/>
      <c r="T22" s="3460"/>
      <c r="U22" s="3460"/>
      <c r="V22" s="3460"/>
      <c r="W22" s="3460"/>
      <c r="X22" s="3460"/>
      <c r="Y22" s="3460"/>
      <c r="Z22" s="3460"/>
      <c r="AA22" s="3460"/>
      <c r="AB22" s="3460"/>
      <c r="AC22" s="3460"/>
      <c r="AD22" s="3460"/>
      <c r="AE22" s="3460"/>
      <c r="AF22" s="3460"/>
      <c r="AG22" s="3460"/>
      <c r="AH22" s="3451"/>
      <c r="AI22" s="3460"/>
      <c r="AJ22" s="3451"/>
      <c r="AK22" s="3460"/>
      <c r="AL22" s="3460"/>
      <c r="AM22" s="3460"/>
      <c r="AN22" s="3460"/>
      <c r="AO22" s="3451"/>
      <c r="AP22" s="3460"/>
      <c r="AQ22" s="3451"/>
      <c r="AR22" s="3460"/>
      <c r="AS22" s="3460"/>
      <c r="AT22" s="3460"/>
      <c r="AU22" s="3460">
        <f>SUM(стоки!DM112)</f>
        <v>491.5470695043191</v>
      </c>
      <c r="AV22" s="3451"/>
      <c r="AW22" s="3460"/>
      <c r="AX22" s="3451"/>
      <c r="AY22" s="3812"/>
      <c r="AZ22" s="3812"/>
      <c r="BA22" s="3460"/>
      <c r="BB22" s="3513">
        <f>SUM(стоки!EB111)</f>
        <v>252.89879999999999</v>
      </c>
      <c r="BC22" s="3512"/>
      <c r="BD22" s="4038"/>
      <c r="BE22" s="4037"/>
      <c r="BF22" s="3513">
        <f>SUM(стоки!EH111)</f>
        <v>252.89879999999999</v>
      </c>
      <c r="BG22" s="3512"/>
      <c r="BH22" s="3513"/>
      <c r="BI22" s="3512"/>
      <c r="BJ22" s="4870"/>
      <c r="BK22" s="4870"/>
    </row>
    <row r="23" spans="1:63" s="1237" customFormat="1" ht="50.25" customHeight="1" x14ac:dyDescent="0.2">
      <c r="A23" s="3457" t="s">
        <v>4094</v>
      </c>
      <c r="B23" s="3458" t="s">
        <v>4091</v>
      </c>
      <c r="C23" s="3457"/>
      <c r="D23" s="3457"/>
      <c r="E23" s="3457"/>
      <c r="F23" s="3460"/>
      <c r="G23" s="3460"/>
      <c r="H23" s="3460"/>
      <c r="I23" s="3460"/>
      <c r="J23" s="3460"/>
      <c r="K23" s="3460"/>
      <c r="L23" s="3460"/>
      <c r="M23" s="3460"/>
      <c r="N23" s="3460"/>
      <c r="O23" s="3460"/>
      <c r="P23" s="3460"/>
      <c r="Q23" s="3460"/>
      <c r="R23" s="3460"/>
      <c r="S23" s="3460"/>
      <c r="T23" s="3460"/>
      <c r="U23" s="3460"/>
      <c r="V23" s="3460"/>
      <c r="W23" s="3460"/>
      <c r="X23" s="3460"/>
      <c r="Y23" s="3460"/>
      <c r="Z23" s="3460"/>
      <c r="AA23" s="3460"/>
      <c r="AB23" s="3460"/>
      <c r="AC23" s="3460"/>
      <c r="AD23" s="3460"/>
      <c r="AE23" s="3460"/>
      <c r="AF23" s="3460"/>
      <c r="AG23" s="3460"/>
      <c r="AH23" s="3451"/>
      <c r="AI23" s="3460"/>
      <c r="AJ23" s="3451"/>
      <c r="AK23" s="3460"/>
      <c r="AL23" s="3460"/>
      <c r="AM23" s="3460"/>
      <c r="AN23" s="3460"/>
      <c r="AO23" s="3451"/>
      <c r="AP23" s="3460"/>
      <c r="AQ23" s="3451"/>
      <c r="AR23" s="3460"/>
      <c r="AS23" s="3460"/>
      <c r="AT23" s="3460"/>
      <c r="AU23" s="3460"/>
      <c r="AV23" s="3451"/>
      <c r="AW23" s="3460"/>
      <c r="AX23" s="3451"/>
      <c r="AY23" s="3812"/>
      <c r="AZ23" s="3812"/>
      <c r="BA23" s="3460"/>
      <c r="BB23" s="3513">
        <f>SUM(стоки!EB113)</f>
        <v>1150.4000000000001</v>
      </c>
      <c r="BC23" s="3512"/>
      <c r="BD23" s="4038"/>
      <c r="BE23" s="4037"/>
      <c r="BF23" s="3513">
        <f>SUM(стоки!EH113)</f>
        <v>1150.4000000000001</v>
      </c>
      <c r="BG23" s="3512"/>
      <c r="BH23" s="3513"/>
      <c r="BI23" s="3512"/>
      <c r="BJ23" s="4870"/>
      <c r="BK23" s="4870"/>
    </row>
    <row r="24" spans="1:63" s="1237" customFormat="1" ht="50.25" customHeight="1" x14ac:dyDescent="0.2">
      <c r="A24" s="3457" t="s">
        <v>4095</v>
      </c>
      <c r="B24" s="3458" t="s">
        <v>4092</v>
      </c>
      <c r="C24" s="3457"/>
      <c r="D24" s="3457"/>
      <c r="E24" s="3457"/>
      <c r="F24" s="3460"/>
      <c r="G24" s="3460"/>
      <c r="H24" s="3460"/>
      <c r="I24" s="3460"/>
      <c r="J24" s="3460"/>
      <c r="K24" s="3460"/>
      <c r="L24" s="3460"/>
      <c r="M24" s="3460"/>
      <c r="N24" s="3460"/>
      <c r="O24" s="3460"/>
      <c r="P24" s="3460"/>
      <c r="Q24" s="3460"/>
      <c r="R24" s="3460"/>
      <c r="S24" s="3460"/>
      <c r="T24" s="3460"/>
      <c r="U24" s="3460"/>
      <c r="V24" s="3460"/>
      <c r="W24" s="3460"/>
      <c r="X24" s="3460"/>
      <c r="Y24" s="3460"/>
      <c r="Z24" s="3460"/>
      <c r="AA24" s="3460"/>
      <c r="AB24" s="3460"/>
      <c r="AC24" s="3460"/>
      <c r="AD24" s="3460"/>
      <c r="AE24" s="3460"/>
      <c r="AF24" s="3460"/>
      <c r="AG24" s="3460"/>
      <c r="AH24" s="3451"/>
      <c r="AI24" s="3460"/>
      <c r="AJ24" s="3451"/>
      <c r="AK24" s="3460"/>
      <c r="AL24" s="3460"/>
      <c r="AM24" s="3460"/>
      <c r="AN24" s="3460"/>
      <c r="AO24" s="3451"/>
      <c r="AP24" s="3460"/>
      <c r="AQ24" s="3451"/>
      <c r="AR24" s="3460"/>
      <c r="AS24" s="3460"/>
      <c r="AT24" s="3460"/>
      <c r="AU24" s="3460"/>
      <c r="AV24" s="3451"/>
      <c r="AW24" s="3460"/>
      <c r="AX24" s="3451"/>
      <c r="AY24" s="3812"/>
      <c r="AZ24" s="3812"/>
      <c r="BA24" s="3460"/>
      <c r="BB24" s="3513">
        <f>SUM(стоки!EB114)</f>
        <v>206</v>
      </c>
      <c r="BC24" s="3512"/>
      <c r="BD24" s="4038"/>
      <c r="BE24" s="4037"/>
      <c r="BF24" s="3513">
        <f>SUM(стоки!EH114)</f>
        <v>206</v>
      </c>
      <c r="BG24" s="3512"/>
      <c r="BH24" s="3513"/>
      <c r="BI24" s="3512"/>
      <c r="BJ24" s="4870"/>
      <c r="BK24" s="4870"/>
    </row>
    <row r="25" spans="1:63" s="1237" customFormat="1" ht="50.25" customHeight="1" x14ac:dyDescent="0.2">
      <c r="A25" s="3457" t="s">
        <v>4096</v>
      </c>
      <c r="B25" s="3458" t="s">
        <v>4117</v>
      </c>
      <c r="C25" s="3457"/>
      <c r="D25" s="3457"/>
      <c r="E25" s="3457"/>
      <c r="F25" s="3460"/>
      <c r="G25" s="3460"/>
      <c r="H25" s="3460"/>
      <c r="I25" s="3460"/>
      <c r="J25" s="3460"/>
      <c r="K25" s="3460"/>
      <c r="L25" s="3460"/>
      <c r="M25" s="3460"/>
      <c r="N25" s="3460"/>
      <c r="O25" s="3460"/>
      <c r="P25" s="3460"/>
      <c r="Q25" s="3460"/>
      <c r="R25" s="3460"/>
      <c r="S25" s="3460"/>
      <c r="T25" s="3460"/>
      <c r="U25" s="3460"/>
      <c r="V25" s="3460"/>
      <c r="W25" s="3460"/>
      <c r="X25" s="3460"/>
      <c r="Y25" s="3460"/>
      <c r="Z25" s="3460"/>
      <c r="AA25" s="3460"/>
      <c r="AB25" s="3460"/>
      <c r="AC25" s="3460"/>
      <c r="AD25" s="3460"/>
      <c r="AE25" s="3460"/>
      <c r="AF25" s="3460"/>
      <c r="AG25" s="3460"/>
      <c r="AH25" s="3451"/>
      <c r="AI25" s="3460"/>
      <c r="AJ25" s="3451"/>
      <c r="AK25" s="3460"/>
      <c r="AL25" s="3460"/>
      <c r="AM25" s="3460"/>
      <c r="AN25" s="3460"/>
      <c r="AO25" s="3451"/>
      <c r="AP25" s="3460"/>
      <c r="AQ25" s="3451"/>
      <c r="AR25" s="3460"/>
      <c r="AS25" s="3460"/>
      <c r="AT25" s="3460"/>
      <c r="AU25" s="3460"/>
      <c r="AV25" s="3451"/>
      <c r="AW25" s="3460"/>
      <c r="AX25" s="3451"/>
      <c r="AY25" s="3812"/>
      <c r="AZ25" s="3812"/>
      <c r="BA25" s="3460"/>
      <c r="BB25" s="3513">
        <f>SUM(стоки!EB102)</f>
        <v>1380.5665172067152</v>
      </c>
      <c r="BC25" s="3512"/>
      <c r="BD25" s="4038"/>
      <c r="BE25" s="4037"/>
      <c r="BF25" s="3513">
        <f>SUM(стоки!EH102)</f>
        <v>1541.5790439547163</v>
      </c>
      <c r="BG25" s="3512"/>
      <c r="BH25" s="3513"/>
      <c r="BI25" s="3512"/>
      <c r="BJ25" s="4870"/>
      <c r="BK25" s="4870"/>
    </row>
    <row r="26" spans="1:63" s="1237" customFormat="1" ht="73.5" customHeight="1" x14ac:dyDescent="0.2">
      <c r="A26" s="3457" t="s">
        <v>4113</v>
      </c>
      <c r="B26" s="3312" t="s">
        <v>4110</v>
      </c>
      <c r="C26" s="3457"/>
      <c r="D26" s="3457"/>
      <c r="E26" s="3457"/>
      <c r="F26" s="3460"/>
      <c r="G26" s="3460"/>
      <c r="H26" s="3460"/>
      <c r="I26" s="3460"/>
      <c r="J26" s="3460"/>
      <c r="K26" s="3460"/>
      <c r="L26" s="3460"/>
      <c r="M26" s="3460"/>
      <c r="N26" s="3460"/>
      <c r="O26" s="3460"/>
      <c r="P26" s="3460"/>
      <c r="Q26" s="3460"/>
      <c r="R26" s="3460"/>
      <c r="S26" s="3460"/>
      <c r="T26" s="3460"/>
      <c r="U26" s="3460"/>
      <c r="V26" s="3460"/>
      <c r="W26" s="3460"/>
      <c r="X26" s="3460"/>
      <c r="Y26" s="3460"/>
      <c r="Z26" s="3460"/>
      <c r="AA26" s="3460"/>
      <c r="AB26" s="3460"/>
      <c r="AC26" s="3460"/>
      <c r="AD26" s="3460"/>
      <c r="AE26" s="3460"/>
      <c r="AF26" s="3460"/>
      <c r="AG26" s="3460"/>
      <c r="AH26" s="3451"/>
      <c r="AI26" s="3460"/>
      <c r="AJ26" s="3451"/>
      <c r="AK26" s="3460"/>
      <c r="AL26" s="3460"/>
      <c r="AM26" s="3460"/>
      <c r="AN26" s="3460"/>
      <c r="AO26" s="3451"/>
      <c r="AP26" s="3460"/>
      <c r="AQ26" s="3451"/>
      <c r="AR26" s="3460"/>
      <c r="AS26" s="3460"/>
      <c r="AT26" s="3460"/>
      <c r="AU26" s="3460"/>
      <c r="AV26" s="3451"/>
      <c r="AW26" s="3460"/>
      <c r="AX26" s="3451"/>
      <c r="AY26" s="3812"/>
      <c r="AZ26" s="3812"/>
      <c r="BA26" s="3460"/>
      <c r="BB26" s="3513"/>
      <c r="BC26" s="3512"/>
      <c r="BD26" s="4038"/>
      <c r="BE26" s="4037"/>
      <c r="BF26" s="3513">
        <f>SUM('Прочие неподконтр. расх'!C8)</f>
        <v>5245.8</v>
      </c>
      <c r="BG26" s="3512"/>
      <c r="BH26" s="3513">
        <f>SUM(стоки!EK116)</f>
        <v>2259.8003728559956</v>
      </c>
      <c r="BI26" s="3512"/>
      <c r="BJ26" s="4870"/>
      <c r="BK26" s="4870"/>
    </row>
    <row r="27" spans="1:63" s="1237" customFormat="1" ht="74.25" customHeight="1" x14ac:dyDescent="0.2">
      <c r="A27" s="3457" t="s">
        <v>4114</v>
      </c>
      <c r="B27" s="3312" t="s">
        <v>4111</v>
      </c>
      <c r="C27" s="3457"/>
      <c r="D27" s="3457"/>
      <c r="E27" s="3457"/>
      <c r="F27" s="3460"/>
      <c r="G27" s="3460"/>
      <c r="H27" s="3460"/>
      <c r="I27" s="3460"/>
      <c r="J27" s="3460"/>
      <c r="K27" s="3460"/>
      <c r="L27" s="3460"/>
      <c r="M27" s="3460"/>
      <c r="N27" s="3460"/>
      <c r="O27" s="3460"/>
      <c r="P27" s="3460"/>
      <c r="Q27" s="3460"/>
      <c r="R27" s="3460"/>
      <c r="S27" s="3460"/>
      <c r="T27" s="3460"/>
      <c r="U27" s="3460"/>
      <c r="V27" s="3460"/>
      <c r="W27" s="3460"/>
      <c r="X27" s="3460"/>
      <c r="Y27" s="3460"/>
      <c r="Z27" s="3460"/>
      <c r="AA27" s="3460"/>
      <c r="AB27" s="3460"/>
      <c r="AC27" s="3460"/>
      <c r="AD27" s="3460"/>
      <c r="AE27" s="3460"/>
      <c r="AF27" s="3460"/>
      <c r="AG27" s="3460"/>
      <c r="AH27" s="3451"/>
      <c r="AI27" s="3460"/>
      <c r="AJ27" s="3451"/>
      <c r="AK27" s="3460"/>
      <c r="AL27" s="3460"/>
      <c r="AM27" s="3460"/>
      <c r="AN27" s="3460"/>
      <c r="AO27" s="3451"/>
      <c r="AP27" s="3460"/>
      <c r="AQ27" s="3451"/>
      <c r="AR27" s="3460"/>
      <c r="AS27" s="3460"/>
      <c r="AT27" s="3460"/>
      <c r="AU27" s="3460"/>
      <c r="AV27" s="3451"/>
      <c r="AW27" s="3460"/>
      <c r="AX27" s="3451"/>
      <c r="AY27" s="3812"/>
      <c r="AZ27" s="3812"/>
      <c r="BA27" s="3460"/>
      <c r="BB27" s="3513"/>
      <c r="BC27" s="3512"/>
      <c r="BD27" s="4038"/>
      <c r="BE27" s="4037"/>
      <c r="BF27" s="3513">
        <f>SUM('Прочие неподконтр. расх'!C9)</f>
        <v>7930.4092920000003</v>
      </c>
      <c r="BG27" s="3512"/>
      <c r="BH27" s="3513"/>
      <c r="BI27" s="3512"/>
      <c r="BJ27" s="4870"/>
      <c r="BK27" s="4870"/>
    </row>
    <row r="28" spans="1:63" s="1237" customFormat="1" ht="50.25" customHeight="1" x14ac:dyDescent="0.2">
      <c r="A28" s="3457" t="s">
        <v>4115</v>
      </c>
      <c r="B28" s="3418" t="s">
        <v>4112</v>
      </c>
      <c r="C28" s="3457"/>
      <c r="D28" s="3457"/>
      <c r="E28" s="3457"/>
      <c r="F28" s="3460"/>
      <c r="G28" s="3460"/>
      <c r="H28" s="3460"/>
      <c r="I28" s="3460"/>
      <c r="J28" s="3460"/>
      <c r="K28" s="3460"/>
      <c r="L28" s="3460"/>
      <c r="M28" s="3460"/>
      <c r="N28" s="3460"/>
      <c r="O28" s="3460"/>
      <c r="P28" s="3460"/>
      <c r="Q28" s="3460"/>
      <c r="R28" s="3460"/>
      <c r="S28" s="3460"/>
      <c r="T28" s="3460"/>
      <c r="U28" s="3460"/>
      <c r="V28" s="3460"/>
      <c r="W28" s="3460"/>
      <c r="X28" s="3460"/>
      <c r="Y28" s="3460"/>
      <c r="Z28" s="3460"/>
      <c r="AA28" s="3460"/>
      <c r="AB28" s="3460"/>
      <c r="AC28" s="3460"/>
      <c r="AD28" s="3460"/>
      <c r="AE28" s="3460"/>
      <c r="AF28" s="3460"/>
      <c r="AG28" s="3460"/>
      <c r="AH28" s="3451"/>
      <c r="AI28" s="3460"/>
      <c r="AJ28" s="3451"/>
      <c r="AK28" s="3460"/>
      <c r="AL28" s="3460"/>
      <c r="AM28" s="3460"/>
      <c r="AN28" s="3460"/>
      <c r="AO28" s="3451"/>
      <c r="AP28" s="3460"/>
      <c r="AQ28" s="3451"/>
      <c r="AR28" s="3460"/>
      <c r="AS28" s="3460"/>
      <c r="AT28" s="3460"/>
      <c r="AU28" s="3460"/>
      <c r="AV28" s="3451"/>
      <c r="AW28" s="3460"/>
      <c r="AX28" s="3451"/>
      <c r="AY28" s="3812"/>
      <c r="AZ28" s="3812"/>
      <c r="BA28" s="3460"/>
      <c r="BB28" s="3513"/>
      <c r="BC28" s="3512"/>
      <c r="BD28" s="4038"/>
      <c r="BE28" s="4037"/>
      <c r="BF28" s="3513">
        <f>SUM('Прочие неподконтр. расх'!C10)</f>
        <v>1673.61</v>
      </c>
      <c r="BG28" s="3512"/>
      <c r="BH28" s="3513"/>
      <c r="BI28" s="3512"/>
      <c r="BJ28" s="4870"/>
      <c r="BK28" s="4870"/>
    </row>
    <row r="29" spans="1:63" s="1237" customFormat="1" ht="50.25" customHeight="1" x14ac:dyDescent="0.2">
      <c r="A29" s="3457" t="s">
        <v>4125</v>
      </c>
      <c r="B29" s="3458" t="s">
        <v>4093</v>
      </c>
      <c r="C29" s="3457"/>
      <c r="D29" s="3457"/>
      <c r="E29" s="3457"/>
      <c r="F29" s="3460"/>
      <c r="G29" s="3460"/>
      <c r="H29" s="3460"/>
      <c r="I29" s="3460"/>
      <c r="J29" s="3460"/>
      <c r="K29" s="3460"/>
      <c r="L29" s="3460"/>
      <c r="M29" s="3460"/>
      <c r="N29" s="3460"/>
      <c r="O29" s="3460"/>
      <c r="P29" s="3460"/>
      <c r="Q29" s="3460"/>
      <c r="R29" s="3460"/>
      <c r="S29" s="3460"/>
      <c r="T29" s="3460"/>
      <c r="U29" s="3460"/>
      <c r="V29" s="3460"/>
      <c r="W29" s="3460"/>
      <c r="X29" s="3460"/>
      <c r="Y29" s="3460"/>
      <c r="Z29" s="3460"/>
      <c r="AA29" s="3460"/>
      <c r="AB29" s="3460"/>
      <c r="AC29" s="3460"/>
      <c r="AD29" s="3460"/>
      <c r="AE29" s="3460"/>
      <c r="AF29" s="3460"/>
      <c r="AG29" s="3460"/>
      <c r="AH29" s="3451"/>
      <c r="AI29" s="3460"/>
      <c r="AJ29" s="3451"/>
      <c r="AK29" s="3460"/>
      <c r="AL29" s="3460"/>
      <c r="AM29" s="3460"/>
      <c r="AN29" s="3460"/>
      <c r="AO29" s="3451"/>
      <c r="AP29" s="3460"/>
      <c r="AQ29" s="3451"/>
      <c r="AR29" s="3460"/>
      <c r="AS29" s="3460"/>
      <c r="AT29" s="3460"/>
      <c r="AU29" s="3460"/>
      <c r="AV29" s="3451"/>
      <c r="AW29" s="3460"/>
      <c r="AX29" s="3451"/>
      <c r="AY29" s="3812"/>
      <c r="AZ29" s="3812"/>
      <c r="BA29" s="3460"/>
      <c r="BB29" s="3513">
        <f>SUM(стоки!EB115)</f>
        <v>6484.85</v>
      </c>
      <c r="BC29" s="3512"/>
      <c r="BD29" s="4038"/>
      <c r="BE29" s="4037"/>
      <c r="BF29" s="3513">
        <f>SUM(стоки!EH115)</f>
        <v>6484.85</v>
      </c>
      <c r="BG29" s="3512"/>
      <c r="BH29" s="3513"/>
      <c r="BI29" s="3512"/>
      <c r="BJ29" s="4870"/>
      <c r="BK29" s="4870"/>
    </row>
    <row r="30" spans="1:63" s="1235" customFormat="1" ht="20.100000000000001" customHeight="1" x14ac:dyDescent="0.25">
      <c r="A30" s="3453" t="s">
        <v>922</v>
      </c>
      <c r="B30" s="3454" t="s">
        <v>2</v>
      </c>
      <c r="C30" s="3453" t="s">
        <v>899</v>
      </c>
      <c r="D30" s="3453">
        <v>4899.58</v>
      </c>
      <c r="E30" s="3453">
        <v>5237.62</v>
      </c>
      <c r="F30" s="3451">
        <f>стоки!BB97+'ОХР '!AQ24</f>
        <v>4904.1021365654224</v>
      </c>
      <c r="G30" s="3451">
        <v>5086.74</v>
      </c>
      <c r="H30" s="3451">
        <f>'2018 к смета'!F25</f>
        <v>5028.8549485830717</v>
      </c>
      <c r="I30" s="3451">
        <f>F30</f>
        <v>4904.1021365654224</v>
      </c>
      <c r="J30" s="3451">
        <v>5257.98</v>
      </c>
      <c r="K30" s="3451">
        <f>'2017 к смета'!F19</f>
        <v>5175.5923841310778</v>
      </c>
      <c r="L30" s="3451">
        <v>5249.49</v>
      </c>
      <c r="M30" s="3451">
        <f>Аморт!AC18-'очистка 2019-2023'!M23</f>
        <v>5003.2</v>
      </c>
      <c r="N30" s="3451">
        <f>I30</f>
        <v>4904.1021365654224</v>
      </c>
      <c r="O30" s="3451">
        <f>K30</f>
        <v>5175.5923841310778</v>
      </c>
      <c r="P30" s="3451">
        <v>5159.6400000000003</v>
      </c>
      <c r="Q30" s="3451">
        <f>'2018 к смета'!L25</f>
        <v>5028.8549485830717</v>
      </c>
      <c r="R30" s="3451">
        <f>Q30</f>
        <v>5028.8549485830717</v>
      </c>
      <c r="S30" s="3451">
        <f>стоки!BN144</f>
        <v>4825.28</v>
      </c>
      <c r="T30" s="3451">
        <v>5003.3</v>
      </c>
      <c r="U30" s="3451">
        <v>5003.3</v>
      </c>
      <c r="V30" s="3451">
        <v>5003.3</v>
      </c>
      <c r="W30" s="3451">
        <v>5003.3</v>
      </c>
      <c r="X30" s="3451">
        <v>5003.3</v>
      </c>
      <c r="Y30" s="3451"/>
      <c r="Z30" s="3451">
        <f>стоки!BT144</f>
        <v>5003.2866117908889</v>
      </c>
      <c r="AA30" s="3451">
        <f>Z30/Q30*100</f>
        <v>99.491567423327908</v>
      </c>
      <c r="AB30" s="3451">
        <f>Z30</f>
        <v>5003.2866117908889</v>
      </c>
      <c r="AC30" s="3451">
        <f t="shared" ref="AC30:AF30" si="35">AB30</f>
        <v>5003.2866117908889</v>
      </c>
      <c r="AD30" s="3451">
        <f t="shared" si="35"/>
        <v>5003.2866117908889</v>
      </c>
      <c r="AE30" s="3451">
        <f t="shared" si="35"/>
        <v>5003.2866117908889</v>
      </c>
      <c r="AF30" s="3451">
        <f t="shared" si="35"/>
        <v>5003.2866117908889</v>
      </c>
      <c r="AG30" s="3451">
        <f>SUM(стоки!BW144)</f>
        <v>5041.9566117908889</v>
      </c>
      <c r="AH30" s="3451">
        <f t="shared" si="11"/>
        <v>100.7728919608337</v>
      </c>
      <c r="AI30" s="3451">
        <f>SUM(стоки!CL144)</f>
        <v>5041.9611979847214</v>
      </c>
      <c r="AJ30" s="3451">
        <f t="shared" ref="AJ30" si="36">SUM(AI30/Z30)*100</f>
        <v>100.77298362445779</v>
      </c>
      <c r="AK30" s="3451">
        <f>SUM(стоки!CO144)</f>
        <v>2555.2600000000002</v>
      </c>
      <c r="AL30" s="3451">
        <f>SUM(стоки!CR144)</f>
        <v>3844.0299999999997</v>
      </c>
      <c r="AM30" s="3451">
        <f>SUM(стоки!CU144)</f>
        <v>5144.6099999999997</v>
      </c>
      <c r="AN30" s="3451">
        <f>SUM(стоки!CX144)</f>
        <v>5144.6099999999997</v>
      </c>
      <c r="AO30" s="3451">
        <f>SUM(AN30/AI30)*100</f>
        <v>102.03589036060625</v>
      </c>
      <c r="AP30" s="3451">
        <f>SUM(стоки!DA144)</f>
        <v>5132.6200000000008</v>
      </c>
      <c r="AQ30" s="3451">
        <f t="shared" si="18"/>
        <v>101.79808607118031</v>
      </c>
      <c r="AR30" s="3451">
        <f>SUM(стоки!DD144)</f>
        <v>2631.4059999999999</v>
      </c>
      <c r="AS30" s="3451">
        <f>SUM(стоки!DG144)</f>
        <v>3945.87</v>
      </c>
      <c r="AT30" s="3451">
        <f>SUM(стоки!DJ144)</f>
        <v>5268.7</v>
      </c>
      <c r="AU30" s="3451">
        <f>SUM(стоки!DM144)</f>
        <v>5268.7</v>
      </c>
      <c r="AV30" s="3451">
        <f>SUM(AU30/AP30)*100</f>
        <v>102.65127751518715</v>
      </c>
      <c r="AW30" s="3451">
        <f>SUM(стоки!DP144)</f>
        <v>5268.7</v>
      </c>
      <c r="AX30" s="3451">
        <f t="shared" ref="AX30" si="37">SUM(AW30/AP30)*100</f>
        <v>102.65127751518715</v>
      </c>
      <c r="AY30" s="3811">
        <f>SUM(стоки!DS144)</f>
        <v>2669.63</v>
      </c>
      <c r="AZ30" s="3811">
        <f>SUM(стоки!DV144)</f>
        <v>4056.498</v>
      </c>
      <c r="BA30" s="3451">
        <f>SUM(стоки!DY144)</f>
        <v>5490.75</v>
      </c>
      <c r="BB30" s="3512">
        <f>SUM(стоки!EB144)</f>
        <v>5554.9170000000004</v>
      </c>
      <c r="BC30" s="3512">
        <f>SUM(BB30/AW30)*100</f>
        <v>105.432402679978</v>
      </c>
      <c r="BD30" s="4037">
        <f>SUM(стоки!DW144)</f>
        <v>0</v>
      </c>
      <c r="BE30" s="4037">
        <f t="shared" ref="BE30" si="38">SUM(BD30/AW30)*100</f>
        <v>0</v>
      </c>
      <c r="BF30" s="3512">
        <f>SUM(стоки!EH144)</f>
        <v>5554.9170000000004</v>
      </c>
      <c r="BG30" s="3512">
        <f t="shared" si="26"/>
        <v>105.432402679978</v>
      </c>
      <c r="BH30" s="3512">
        <f>SUM(стоки!EK97)</f>
        <v>5490.75</v>
      </c>
      <c r="BI30" s="3512">
        <f t="shared" si="28"/>
        <v>104.21451211873898</v>
      </c>
      <c r="BJ30" s="4869">
        <f>SUM(стоки!EN144)</f>
        <v>2987.105</v>
      </c>
      <c r="BK30" s="4869">
        <f>SUM(стоки!EQ144)</f>
        <v>6674.9360000000006</v>
      </c>
    </row>
    <row r="31" spans="1:63" s="1999" customFormat="1" ht="20.100000000000001" customHeight="1" x14ac:dyDescent="0.2">
      <c r="A31" s="3463" t="s">
        <v>192</v>
      </c>
      <c r="B31" s="3544" t="s">
        <v>923</v>
      </c>
      <c r="C31" s="3449" t="s">
        <v>44</v>
      </c>
      <c r="D31" s="3491">
        <f t="shared" ref="D31:R31" si="39">D32/(D10+D30)*100</f>
        <v>4.4116292084458006</v>
      </c>
      <c r="E31" s="3491">
        <f t="shared" si="39"/>
        <v>0</v>
      </c>
      <c r="F31" s="3491">
        <f t="shared" si="39"/>
        <v>1.1102131952144343E-3</v>
      </c>
      <c r="G31" s="3491">
        <f t="shared" si="39"/>
        <v>0</v>
      </c>
      <c r="H31" s="3491">
        <f t="shared" si="39"/>
        <v>1.1258789523884078E-3</v>
      </c>
      <c r="I31" s="3491">
        <f t="shared" si="39"/>
        <v>0</v>
      </c>
      <c r="J31" s="3449">
        <f t="shared" si="39"/>
        <v>0</v>
      </c>
      <c r="K31" s="3491">
        <f t="shared" si="39"/>
        <v>0</v>
      </c>
      <c r="L31" s="3491">
        <f t="shared" si="39"/>
        <v>0</v>
      </c>
      <c r="M31" s="3491">
        <f t="shared" si="39"/>
        <v>0</v>
      </c>
      <c r="N31" s="3491">
        <f t="shared" si="39"/>
        <v>0</v>
      </c>
      <c r="O31" s="3491">
        <f t="shared" si="39"/>
        <v>0</v>
      </c>
      <c r="P31" s="3491">
        <f t="shared" si="39"/>
        <v>0</v>
      </c>
      <c r="Q31" s="3491">
        <f t="shared" si="39"/>
        <v>0</v>
      </c>
      <c r="R31" s="3491">
        <f t="shared" si="39"/>
        <v>0</v>
      </c>
      <c r="S31" s="3491">
        <v>0</v>
      </c>
      <c r="T31" s="3491">
        <f>T32/(T10+T30)*100</f>
        <v>-2.4968583229398957</v>
      </c>
      <c r="U31" s="3491">
        <f>U32/(U10+U30)*100</f>
        <v>0</v>
      </c>
      <c r="V31" s="3491">
        <f>V32/(V10+V30)*100</f>
        <v>0</v>
      </c>
      <c r="W31" s="3491">
        <f>W32/(W10+W30)*100</f>
        <v>0</v>
      </c>
      <c r="X31" s="3491">
        <f>X32/(X10+X30)*100</f>
        <v>0</v>
      </c>
      <c r="Y31" s="3491"/>
      <c r="Z31" s="3491">
        <v>0</v>
      </c>
      <c r="AA31" s="3468">
        <v>0</v>
      </c>
      <c r="AB31" s="3491">
        <v>0</v>
      </c>
      <c r="AC31" s="3491">
        <v>0</v>
      </c>
      <c r="AD31" s="3491">
        <v>0</v>
      </c>
      <c r="AE31" s="3491">
        <v>0</v>
      </c>
      <c r="AF31" s="3491">
        <v>0</v>
      </c>
      <c r="AG31" s="3491">
        <v>0</v>
      </c>
      <c r="AH31" s="3451"/>
      <c r="AI31" s="3491">
        <v>0</v>
      </c>
      <c r="AJ31" s="3451"/>
      <c r="AK31" s="3491">
        <v>0</v>
      </c>
      <c r="AL31" s="3491">
        <v>0</v>
      </c>
      <c r="AM31" s="3491">
        <v>0</v>
      </c>
      <c r="AN31" s="3491">
        <v>0</v>
      </c>
      <c r="AO31" s="3451"/>
      <c r="AP31" s="3491">
        <v>0</v>
      </c>
      <c r="AQ31" s="3451"/>
      <c r="AR31" s="3491">
        <v>0</v>
      </c>
      <c r="AS31" s="3491">
        <v>0</v>
      </c>
      <c r="AT31" s="3491">
        <v>0</v>
      </c>
      <c r="AU31" s="3491">
        <v>0</v>
      </c>
      <c r="AV31" s="3451"/>
      <c r="AW31" s="3491">
        <v>0</v>
      </c>
      <c r="AX31" s="3451"/>
      <c r="AY31" s="3826">
        <f>SUM(AY32:AY35)</f>
        <v>136.93757199999999</v>
      </c>
      <c r="AZ31" s="3826">
        <f t="shared" ref="AZ31:BA31" si="40">SUM(AZ32:AZ35)</f>
        <v>211.18517600000001</v>
      </c>
      <c r="BA31" s="3491">
        <f t="shared" si="40"/>
        <v>278.86663199999998</v>
      </c>
      <c r="BB31" s="3535">
        <v>0</v>
      </c>
      <c r="BC31" s="3512"/>
      <c r="BD31" s="4039">
        <v>0</v>
      </c>
      <c r="BE31" s="4037"/>
      <c r="BF31" s="3535">
        <v>0</v>
      </c>
      <c r="BG31" s="3512"/>
      <c r="BH31" s="3535">
        <v>0</v>
      </c>
      <c r="BI31" s="3512"/>
      <c r="BJ31" s="4872">
        <f t="shared" ref="BJ31:BK31" si="41">SUM(BJ32:BJ35)</f>
        <v>0</v>
      </c>
      <c r="BK31" s="4872">
        <f t="shared" si="41"/>
        <v>0</v>
      </c>
    </row>
    <row r="32" spans="1:63" s="1235" customFormat="1" ht="20.100000000000001" customHeight="1" x14ac:dyDescent="0.25">
      <c r="A32" s="3453" t="s">
        <v>924</v>
      </c>
      <c r="B32" s="3454" t="s">
        <v>925</v>
      </c>
      <c r="C32" s="3453" t="s">
        <v>899</v>
      </c>
      <c r="D32" s="3451">
        <f>D33+D34+D35</f>
        <v>3567.1</v>
      </c>
      <c r="E32" s="3451">
        <f>E33+E34+E35</f>
        <v>0</v>
      </c>
      <c r="F32" s="3451">
        <f>F33+F34+F35</f>
        <v>0.9</v>
      </c>
      <c r="G32" s="3451">
        <f t="shared" ref="G32:H32" si="42">G33+G34+G35</f>
        <v>0</v>
      </c>
      <c r="H32" s="3451">
        <f t="shared" si="42"/>
        <v>0.9</v>
      </c>
      <c r="I32" s="3451">
        <f t="shared" ref="I32:N32" si="43">I33+I34+I35</f>
        <v>0</v>
      </c>
      <c r="J32" s="3451">
        <f t="shared" si="43"/>
        <v>0</v>
      </c>
      <c r="K32" s="3451">
        <f t="shared" si="43"/>
        <v>0</v>
      </c>
      <c r="L32" s="3451">
        <f t="shared" si="43"/>
        <v>0</v>
      </c>
      <c r="M32" s="3451">
        <f t="shared" si="43"/>
        <v>0</v>
      </c>
      <c r="N32" s="3451">
        <f t="shared" si="43"/>
        <v>0</v>
      </c>
      <c r="O32" s="3451">
        <f t="shared" ref="O32:X32" si="44">O33+O34+O35</f>
        <v>0</v>
      </c>
      <c r="P32" s="3451">
        <f t="shared" si="44"/>
        <v>0</v>
      </c>
      <c r="Q32" s="3451">
        <f t="shared" si="44"/>
        <v>0</v>
      </c>
      <c r="R32" s="3451">
        <f t="shared" ref="R32" si="45">R33+R34+R35</f>
        <v>0</v>
      </c>
      <c r="S32" s="3451"/>
      <c r="T32" s="3451">
        <f t="shared" si="44"/>
        <v>-2903.83</v>
      </c>
      <c r="U32" s="3451">
        <f t="shared" si="44"/>
        <v>0</v>
      </c>
      <c r="V32" s="3451">
        <f t="shared" si="44"/>
        <v>0</v>
      </c>
      <c r="W32" s="3451">
        <f t="shared" si="44"/>
        <v>0</v>
      </c>
      <c r="X32" s="3451">
        <f t="shared" si="44"/>
        <v>0</v>
      </c>
      <c r="Y32" s="3451"/>
      <c r="Z32" s="3451"/>
      <c r="AA32" s="3451">
        <v>0</v>
      </c>
      <c r="AB32" s="3451"/>
      <c r="AC32" s="3451"/>
      <c r="AD32" s="3451"/>
      <c r="AE32" s="3451"/>
      <c r="AF32" s="3451"/>
      <c r="AG32" s="3451"/>
      <c r="AH32" s="3451"/>
      <c r="AI32" s="3451"/>
      <c r="AJ32" s="3451"/>
      <c r="AK32" s="3451"/>
      <c r="AL32" s="3451"/>
      <c r="AM32" s="3451"/>
      <c r="AN32" s="3451"/>
      <c r="AO32" s="3451"/>
      <c r="AP32" s="3451"/>
      <c r="AQ32" s="3451"/>
      <c r="AR32" s="3451"/>
      <c r="AS32" s="3451"/>
      <c r="AT32" s="3451"/>
      <c r="AU32" s="3451"/>
      <c r="AV32" s="3451"/>
      <c r="AW32" s="3451"/>
      <c r="AX32" s="3451"/>
      <c r="AY32" s="3811"/>
      <c r="AZ32" s="3811"/>
      <c r="BA32" s="3451"/>
      <c r="BB32" s="3512"/>
      <c r="BC32" s="3512"/>
      <c r="BD32" s="4037"/>
      <c r="BE32" s="4037"/>
      <c r="BF32" s="3512"/>
      <c r="BG32" s="3512"/>
      <c r="BH32" s="3512"/>
      <c r="BI32" s="3512"/>
      <c r="BJ32" s="4869"/>
      <c r="BK32" s="4869"/>
    </row>
    <row r="33" spans="1:63" s="1236" customFormat="1" ht="27" customHeight="1" x14ac:dyDescent="0.25">
      <c r="A33" s="3453" t="s">
        <v>926</v>
      </c>
      <c r="B33" s="3455" t="s">
        <v>927</v>
      </c>
      <c r="C33" s="3453" t="s">
        <v>899</v>
      </c>
      <c r="D33" s="3453">
        <v>3567.1</v>
      </c>
      <c r="E33" s="3453">
        <v>0</v>
      </c>
      <c r="F33" s="3451">
        <f>стоки!BB128</f>
        <v>0.9</v>
      </c>
      <c r="G33" s="3451">
        <v>0</v>
      </c>
      <c r="H33" s="3451">
        <v>0.9</v>
      </c>
      <c r="I33" s="3451">
        <v>0</v>
      </c>
      <c r="J33" s="3451">
        <v>0</v>
      </c>
      <c r="K33" s="3451">
        <v>0</v>
      </c>
      <c r="L33" s="3451">
        <v>0</v>
      </c>
      <c r="M33" s="3451">
        <v>0</v>
      </c>
      <c r="N33" s="3451">
        <v>0</v>
      </c>
      <c r="O33" s="3451">
        <f>-ИП!F20</f>
        <v>0</v>
      </c>
      <c r="P33" s="3451">
        <f>-ИП!G20</f>
        <v>0</v>
      </c>
      <c r="Q33" s="3451">
        <f>-ИП!H20</f>
        <v>0</v>
      </c>
      <c r="R33" s="3451">
        <v>0</v>
      </c>
      <c r="S33" s="3451">
        <f>-ИП!H20</f>
        <v>0</v>
      </c>
      <c r="T33" s="3451">
        <v>-2903.83</v>
      </c>
      <c r="U33" s="3451">
        <f>-ИП!J20</f>
        <v>0</v>
      </c>
      <c r="V33" s="3451">
        <f>-ИП!K20</f>
        <v>0</v>
      </c>
      <c r="W33" s="3451">
        <f>-ИП!L20</f>
        <v>0</v>
      </c>
      <c r="X33" s="3451">
        <f>-ИП!M20</f>
        <v>0</v>
      </c>
      <c r="Y33" s="3451">
        <f>-ИП!N20</f>
        <v>0</v>
      </c>
      <c r="Z33" s="3451">
        <f>-ИП!O20</f>
        <v>0</v>
      </c>
      <c r="AA33" s="3451">
        <v>0</v>
      </c>
      <c r="AB33" s="3451">
        <f>-ИП!P20</f>
        <v>0</v>
      </c>
      <c r="AC33" s="3451">
        <f>-ИП!Q20</f>
        <v>0</v>
      </c>
      <c r="AD33" s="3451">
        <f>-ИП!R20</f>
        <v>0</v>
      </c>
      <c r="AE33" s="3451">
        <f>-ИП!S20</f>
        <v>0</v>
      </c>
      <c r="AF33" s="3451">
        <f>-ИП!T20</f>
        <v>0</v>
      </c>
      <c r="AG33" s="3451">
        <f>-ИП!V20</f>
        <v>0</v>
      </c>
      <c r="AH33" s="3451"/>
      <c r="AI33" s="3451">
        <f>-ИП!X20</f>
        <v>0</v>
      </c>
      <c r="AJ33" s="3451"/>
      <c r="AK33" s="3451">
        <v>0</v>
      </c>
      <c r="AL33" s="3451">
        <v>0</v>
      </c>
      <c r="AM33" s="3451">
        <v>0</v>
      </c>
      <c r="AN33" s="3451">
        <v>0</v>
      </c>
      <c r="AO33" s="3451"/>
      <c r="AP33" s="3451">
        <f>-ИП!AE20</f>
        <v>0</v>
      </c>
      <c r="AQ33" s="3451"/>
      <c r="AR33" s="3451">
        <v>0</v>
      </c>
      <c r="AS33" s="3451">
        <v>0</v>
      </c>
      <c r="AT33" s="3451">
        <v>0</v>
      </c>
      <c r="AU33" s="3451">
        <v>0</v>
      </c>
      <c r="AV33" s="3451"/>
      <c r="AW33" s="3451">
        <f>-ИП!AL20</f>
        <v>0</v>
      </c>
      <c r="AX33" s="3451"/>
      <c r="AY33" s="3811">
        <v>0</v>
      </c>
      <c r="AZ33" s="3811">
        <v>0</v>
      </c>
      <c r="BA33" s="3451">
        <v>0</v>
      </c>
      <c r="BB33" s="3512">
        <v>0</v>
      </c>
      <c r="BC33" s="3512"/>
      <c r="BD33" s="4037">
        <f>-ИП!AS20</f>
        <v>0</v>
      </c>
      <c r="BE33" s="4037"/>
      <c r="BF33" s="3512">
        <v>0</v>
      </c>
      <c r="BG33" s="3512"/>
      <c r="BH33" s="3512">
        <v>0</v>
      </c>
      <c r="BI33" s="3512"/>
      <c r="BJ33" s="4869">
        <v>0</v>
      </c>
      <c r="BK33" s="4869">
        <v>0</v>
      </c>
    </row>
    <row r="34" spans="1:63" s="1236" customFormat="1" ht="58.5" customHeight="1" x14ac:dyDescent="0.25">
      <c r="A34" s="3453" t="s">
        <v>928</v>
      </c>
      <c r="B34" s="3455" t="s">
        <v>929</v>
      </c>
      <c r="C34" s="3453" t="s">
        <v>899</v>
      </c>
      <c r="D34" s="3453">
        <v>0</v>
      </c>
      <c r="E34" s="3453">
        <v>0</v>
      </c>
      <c r="F34" s="3451">
        <v>0</v>
      </c>
      <c r="G34" s="3451">
        <v>0</v>
      </c>
      <c r="H34" s="3451">
        <v>0</v>
      </c>
      <c r="I34" s="3451">
        <v>0</v>
      </c>
      <c r="J34" s="3451">
        <v>0</v>
      </c>
      <c r="K34" s="3451">
        <v>0</v>
      </c>
      <c r="L34" s="3451">
        <v>0</v>
      </c>
      <c r="M34" s="3451">
        <v>0</v>
      </c>
      <c r="N34" s="3451">
        <v>0</v>
      </c>
      <c r="O34" s="3451">
        <v>0</v>
      </c>
      <c r="P34" s="3451">
        <v>0</v>
      </c>
      <c r="Q34" s="3451">
        <v>0</v>
      </c>
      <c r="R34" s="3451">
        <v>0</v>
      </c>
      <c r="S34" s="3451">
        <v>0</v>
      </c>
      <c r="T34" s="3451">
        <v>0</v>
      </c>
      <c r="U34" s="3451">
        <v>0</v>
      </c>
      <c r="V34" s="3451">
        <v>0</v>
      </c>
      <c r="W34" s="3451">
        <v>0</v>
      </c>
      <c r="X34" s="3451">
        <v>0</v>
      </c>
      <c r="Y34" s="3451">
        <v>0</v>
      </c>
      <c r="Z34" s="3451">
        <v>0</v>
      </c>
      <c r="AA34" s="3451">
        <v>0</v>
      </c>
      <c r="AB34" s="3451">
        <v>0</v>
      </c>
      <c r="AC34" s="3451">
        <v>0</v>
      </c>
      <c r="AD34" s="3451">
        <v>0</v>
      </c>
      <c r="AE34" s="3451">
        <v>0</v>
      </c>
      <c r="AF34" s="3451">
        <v>0</v>
      </c>
      <c r="AG34" s="3451">
        <v>0</v>
      </c>
      <c r="AH34" s="3451"/>
      <c r="AI34" s="3451">
        <v>0</v>
      </c>
      <c r="AJ34" s="3451"/>
      <c r="AK34" s="3451">
        <v>0</v>
      </c>
      <c r="AL34" s="3451">
        <v>0</v>
      </c>
      <c r="AM34" s="3451">
        <v>0</v>
      </c>
      <c r="AN34" s="3451">
        <v>0</v>
      </c>
      <c r="AO34" s="3451"/>
      <c r="AP34" s="3451">
        <v>0</v>
      </c>
      <c r="AQ34" s="3451"/>
      <c r="AR34" s="3451">
        <v>0</v>
      </c>
      <c r="AS34" s="3451">
        <v>0</v>
      </c>
      <c r="AT34" s="3451">
        <v>0</v>
      </c>
      <c r="AU34" s="3451">
        <v>0</v>
      </c>
      <c r="AV34" s="3451"/>
      <c r="AW34" s="3451">
        <v>0</v>
      </c>
      <c r="AX34" s="3451"/>
      <c r="AY34" s="3811">
        <v>0</v>
      </c>
      <c r="AZ34" s="3811">
        <v>0</v>
      </c>
      <c r="BA34" s="3451">
        <v>0</v>
      </c>
      <c r="BB34" s="3512">
        <v>0</v>
      </c>
      <c r="BC34" s="3512"/>
      <c r="BD34" s="4037">
        <v>0</v>
      </c>
      <c r="BE34" s="4037"/>
      <c r="BF34" s="3512">
        <v>0</v>
      </c>
      <c r="BG34" s="3512"/>
      <c r="BH34" s="3512">
        <v>0</v>
      </c>
      <c r="BI34" s="3512"/>
      <c r="BJ34" s="4869">
        <v>0</v>
      </c>
      <c r="BK34" s="4869">
        <v>0</v>
      </c>
    </row>
    <row r="35" spans="1:63" s="1236" customFormat="1" ht="33.75" customHeight="1" x14ac:dyDescent="0.25">
      <c r="A35" s="3453" t="s">
        <v>930</v>
      </c>
      <c r="B35" s="3455" t="s">
        <v>931</v>
      </c>
      <c r="C35" s="3453" t="s">
        <v>899</v>
      </c>
      <c r="D35" s="3453">
        <v>0</v>
      </c>
      <c r="E35" s="3453">
        <v>0</v>
      </c>
      <c r="F35" s="3451">
        <v>0</v>
      </c>
      <c r="G35" s="3451">
        <v>0</v>
      </c>
      <c r="H35" s="3451">
        <v>0</v>
      </c>
      <c r="I35" s="3451">
        <v>0</v>
      </c>
      <c r="J35" s="3451">
        <v>0</v>
      </c>
      <c r="K35" s="3451">
        <v>0</v>
      </c>
      <c r="L35" s="3451">
        <v>0</v>
      </c>
      <c r="M35" s="3451">
        <v>0</v>
      </c>
      <c r="N35" s="3451">
        <v>0</v>
      </c>
      <c r="O35" s="3451">
        <v>0</v>
      </c>
      <c r="P35" s="3451">
        <v>0</v>
      </c>
      <c r="Q35" s="3451">
        <v>0</v>
      </c>
      <c r="R35" s="3451">
        <v>0</v>
      </c>
      <c r="S35" s="3451">
        <v>0</v>
      </c>
      <c r="T35" s="3451">
        <v>0</v>
      </c>
      <c r="U35" s="3451">
        <v>0</v>
      </c>
      <c r="V35" s="3451">
        <v>0</v>
      </c>
      <c r="W35" s="3451">
        <v>0</v>
      </c>
      <c r="X35" s="3451">
        <v>0</v>
      </c>
      <c r="Y35" s="3451">
        <v>0</v>
      </c>
      <c r="Z35" s="3451">
        <v>0</v>
      </c>
      <c r="AA35" s="3451">
        <v>0</v>
      </c>
      <c r="AB35" s="3451">
        <v>0</v>
      </c>
      <c r="AC35" s="3451">
        <v>0</v>
      </c>
      <c r="AD35" s="3451">
        <v>0</v>
      </c>
      <c r="AE35" s="3451">
        <v>0</v>
      </c>
      <c r="AF35" s="3451">
        <v>0</v>
      </c>
      <c r="AG35" s="3451">
        <v>0</v>
      </c>
      <c r="AH35" s="3451"/>
      <c r="AI35" s="3451">
        <v>0</v>
      </c>
      <c r="AJ35" s="3451"/>
      <c r="AK35" s="3451">
        <v>0</v>
      </c>
      <c r="AL35" s="3451">
        <v>0</v>
      </c>
      <c r="AM35" s="3451">
        <v>0</v>
      </c>
      <c r="AN35" s="3451">
        <v>0</v>
      </c>
      <c r="AO35" s="3451"/>
      <c r="AP35" s="3451">
        <v>0</v>
      </c>
      <c r="AQ35" s="3451"/>
      <c r="AR35" s="3451">
        <v>0</v>
      </c>
      <c r="AS35" s="3451">
        <v>0</v>
      </c>
      <c r="AT35" s="3451">
        <v>0</v>
      </c>
      <c r="AU35" s="3451">
        <v>0</v>
      </c>
      <c r="AV35" s="3451"/>
      <c r="AW35" s="3451">
        <v>0</v>
      </c>
      <c r="AX35" s="3451"/>
      <c r="AY35" s="3811">
        <f>SUM(стоки!DS111)</f>
        <v>136.93757199999999</v>
      </c>
      <c r="AZ35" s="3811">
        <f>SUM(стоки!DV111)</f>
        <v>211.18517600000001</v>
      </c>
      <c r="BA35" s="3451">
        <f>SUM(стоки!DY111)</f>
        <v>278.86663199999998</v>
      </c>
      <c r="BB35" s="3512">
        <v>0</v>
      </c>
      <c r="BC35" s="3512"/>
      <c r="BD35" s="4037">
        <v>0</v>
      </c>
      <c r="BE35" s="4037"/>
      <c r="BF35" s="3512">
        <v>0</v>
      </c>
      <c r="BG35" s="3512"/>
      <c r="BH35" s="3512">
        <v>0</v>
      </c>
      <c r="BI35" s="3512"/>
      <c r="BJ35" s="4869">
        <v>0</v>
      </c>
      <c r="BK35" s="4869">
        <v>0</v>
      </c>
    </row>
    <row r="36" spans="1:63" s="1235" customFormat="1" ht="52.5" customHeight="1" x14ac:dyDescent="0.25">
      <c r="A36" s="3453" t="s">
        <v>193</v>
      </c>
      <c r="B36" s="3454" t="s">
        <v>932</v>
      </c>
      <c r="C36" s="3453" t="s">
        <v>899</v>
      </c>
      <c r="D36" s="3453">
        <v>4106.47</v>
      </c>
      <c r="E36" s="3453">
        <v>0</v>
      </c>
      <c r="F36" s="3451">
        <f>стоки!BB125</f>
        <v>4053.2755504953611</v>
      </c>
      <c r="G36" s="3451">
        <v>0</v>
      </c>
      <c r="H36" s="3451">
        <f>F36</f>
        <v>4053.2755504953611</v>
      </c>
      <c r="I36" s="3451">
        <f>(I10+I30)*0.05</f>
        <v>4292.0817128748185</v>
      </c>
      <c r="J36" s="3451">
        <v>4270.63</v>
      </c>
      <c r="K36" s="3451">
        <f>(K10+K30)*0.05</f>
        <v>4282.6956849702829</v>
      </c>
      <c r="L36" s="3451">
        <v>0</v>
      </c>
      <c r="M36" s="3451">
        <f>K36</f>
        <v>4282.6956849702829</v>
      </c>
      <c r="N36" s="3451">
        <f>(N10+N30)*0.05</f>
        <v>4487.7732709992242</v>
      </c>
      <c r="O36" s="3451">
        <f>(O10+O30)*0.05</f>
        <v>4385.4134315715473</v>
      </c>
      <c r="P36" s="3451">
        <v>4393.5</v>
      </c>
      <c r="Q36" s="3451">
        <v>0</v>
      </c>
      <c r="R36" s="3451">
        <v>0</v>
      </c>
      <c r="S36" s="3451">
        <v>0</v>
      </c>
      <c r="T36" s="3451">
        <v>0</v>
      </c>
      <c r="U36" s="3451">
        <v>0</v>
      </c>
      <c r="V36" s="3451">
        <v>0</v>
      </c>
      <c r="W36" s="3451">
        <v>0</v>
      </c>
      <c r="X36" s="3451">
        <v>0</v>
      </c>
      <c r="Y36" s="3451">
        <v>0</v>
      </c>
      <c r="Z36" s="3451">
        <v>0</v>
      </c>
      <c r="AA36" s="3451">
        <v>0</v>
      </c>
      <c r="AB36" s="3451">
        <v>0</v>
      </c>
      <c r="AC36" s="3451">
        <v>0</v>
      </c>
      <c r="AD36" s="3451">
        <v>0</v>
      </c>
      <c r="AE36" s="3451">
        <v>0</v>
      </c>
      <c r="AF36" s="3451">
        <v>0</v>
      </c>
      <c r="AG36" s="3451">
        <v>0</v>
      </c>
      <c r="AH36" s="3451"/>
      <c r="AI36" s="3451">
        <v>0</v>
      </c>
      <c r="AJ36" s="3451"/>
      <c r="AK36" s="3451">
        <v>0</v>
      </c>
      <c r="AL36" s="3451">
        <v>0</v>
      </c>
      <c r="AM36" s="3451">
        <v>0</v>
      </c>
      <c r="AN36" s="3451">
        <v>0</v>
      </c>
      <c r="AO36" s="3451"/>
      <c r="AP36" s="3451">
        <v>0</v>
      </c>
      <c r="AQ36" s="3451"/>
      <c r="AR36" s="3451">
        <v>0</v>
      </c>
      <c r="AS36" s="3451">
        <v>0</v>
      </c>
      <c r="AT36" s="3451">
        <v>0</v>
      </c>
      <c r="AU36" s="3451">
        <v>0</v>
      </c>
      <c r="AV36" s="3451"/>
      <c r="AW36" s="3451">
        <v>0</v>
      </c>
      <c r="AX36" s="3451"/>
      <c r="AY36" s="3811">
        <v>0</v>
      </c>
      <c r="AZ36" s="3811">
        <v>0</v>
      </c>
      <c r="BA36" s="3451">
        <v>0</v>
      </c>
      <c r="BB36" s="3512">
        <v>0</v>
      </c>
      <c r="BC36" s="3512"/>
      <c r="BD36" s="4037">
        <v>0</v>
      </c>
      <c r="BE36" s="4037"/>
      <c r="BF36" s="3512">
        <v>0</v>
      </c>
      <c r="BG36" s="3512"/>
      <c r="BH36" s="3512">
        <v>0</v>
      </c>
      <c r="BI36" s="3512"/>
      <c r="BJ36" s="4869">
        <v>0</v>
      </c>
      <c r="BK36" s="4869">
        <v>0</v>
      </c>
    </row>
    <row r="37" spans="1:63" s="1923" customFormat="1" ht="27.75" hidden="1" customHeight="1" x14ac:dyDescent="0.2">
      <c r="A37" s="3788" t="s">
        <v>1601</v>
      </c>
      <c r="B37" s="3409" t="s">
        <v>1695</v>
      </c>
      <c r="C37" s="3411" t="s">
        <v>899</v>
      </c>
      <c r="D37" s="3411"/>
      <c r="E37" s="3411"/>
      <c r="F37" s="2202"/>
      <c r="G37" s="2202"/>
      <c r="H37" s="2202"/>
      <c r="I37" s="2202"/>
      <c r="J37" s="2202"/>
      <c r="K37" s="2202"/>
      <c r="L37" s="2202"/>
      <c r="M37" s="2202"/>
      <c r="N37" s="2202"/>
      <c r="O37" s="2202"/>
      <c r="P37" s="2202"/>
      <c r="Q37" s="2202"/>
      <c r="R37" s="2202"/>
      <c r="S37" s="2202"/>
      <c r="T37" s="2202"/>
      <c r="U37" s="2202"/>
      <c r="V37" s="2202"/>
      <c r="W37" s="2202"/>
      <c r="X37" s="2202"/>
      <c r="Y37" s="2202"/>
      <c r="Z37" s="2202"/>
      <c r="AA37" s="2202"/>
      <c r="AB37" s="2202"/>
      <c r="AC37" s="2202"/>
      <c r="AD37" s="2202"/>
      <c r="AE37" s="2202"/>
      <c r="AF37" s="2202"/>
      <c r="AG37" s="2202"/>
      <c r="AH37" s="3451" t="e">
        <f t="shared" si="11"/>
        <v>#DIV/0!</v>
      </c>
      <c r="AI37" s="2202"/>
      <c r="AJ37" s="3451" t="e">
        <f t="shared" ref="AJ37" si="46">SUM(AI37/AB37)*100</f>
        <v>#DIV/0!</v>
      </c>
      <c r="AK37" s="2202"/>
      <c r="AL37" s="2202"/>
      <c r="AM37" s="2202"/>
      <c r="AN37" s="3772"/>
      <c r="AO37" s="3451" t="e">
        <f t="shared" ref="AO37" si="47">SUM(AN37/AG37)*100</f>
        <v>#DIV/0!</v>
      </c>
      <c r="AP37" s="3772"/>
      <c r="AQ37" s="3451" t="e">
        <f t="shared" ref="AQ37" si="48">SUM(AP37/AI37)*100</f>
        <v>#DIV/0!</v>
      </c>
      <c r="AR37" s="3772"/>
      <c r="AS37" s="3772"/>
      <c r="AT37" s="3772"/>
      <c r="AU37" s="4033"/>
      <c r="AV37" s="3451" t="e">
        <f t="shared" ref="AV37" si="49">SUM(AU37/AN37)*100</f>
        <v>#DIV/0!</v>
      </c>
      <c r="AW37" s="4033"/>
      <c r="AX37" s="3451" t="e">
        <f t="shared" ref="AX37" si="50">SUM(AW37/AP37)*100</f>
        <v>#DIV/0!</v>
      </c>
      <c r="AY37" s="3814"/>
      <c r="AZ37" s="3814"/>
      <c r="BA37" s="4569"/>
      <c r="BB37" s="2456"/>
      <c r="BC37" s="3512" t="e">
        <f t="shared" ref="BC37" si="51">SUM(BB37/AU37)*100</f>
        <v>#DIV/0!</v>
      </c>
      <c r="BD37" s="3932"/>
      <c r="BE37" s="4037" t="e">
        <f t="shared" ref="BE37" si="52">SUM(BD37/AW37)*100</f>
        <v>#DIV/0!</v>
      </c>
      <c r="BF37" s="2456"/>
      <c r="BG37" s="3512" t="e">
        <f t="shared" ref="BG37" si="53">SUM(BF37/AY37)*100</f>
        <v>#DIV/0!</v>
      </c>
      <c r="BH37" s="4159"/>
      <c r="BI37" s="3512" t="e">
        <f t="shared" si="28"/>
        <v>#DIV/0!</v>
      </c>
      <c r="BJ37" s="4873"/>
      <c r="BK37" s="4873"/>
    </row>
    <row r="38" spans="1:63" s="1855" customFormat="1" ht="27" customHeight="1" x14ac:dyDescent="0.25">
      <c r="A38" s="3453" t="s">
        <v>1696</v>
      </c>
      <c r="B38" s="3409" t="s">
        <v>1697</v>
      </c>
      <c r="C38" s="3453" t="s">
        <v>899</v>
      </c>
      <c r="D38" s="3453"/>
      <c r="E38" s="3453"/>
      <c r="F38" s="3451"/>
      <c r="G38" s="3451"/>
      <c r="H38" s="3451"/>
      <c r="I38" s="3451"/>
      <c r="J38" s="3451"/>
      <c r="K38" s="3451">
        <v>-5234.7</v>
      </c>
      <c r="L38" s="3451"/>
      <c r="M38" s="3451">
        <f>K38</f>
        <v>-5234.7</v>
      </c>
      <c r="N38" s="3451"/>
      <c r="O38" s="3451">
        <f>-K38</f>
        <v>5234.7</v>
      </c>
      <c r="P38" s="3451">
        <v>5234.7</v>
      </c>
      <c r="Q38" s="3451">
        <f>O38</f>
        <v>5234.7</v>
      </c>
      <c r="R38" s="3451">
        <f>Q38</f>
        <v>5234.7</v>
      </c>
      <c r="S38" s="3451"/>
      <c r="T38" s="3451"/>
      <c r="U38" s="3451"/>
      <c r="V38" s="3451"/>
      <c r="W38" s="3451"/>
      <c r="X38" s="3451"/>
      <c r="Y38" s="3451"/>
      <c r="Z38" s="3451"/>
      <c r="AA38" s="2202"/>
      <c r="AB38" s="3451"/>
      <c r="AC38" s="3451"/>
      <c r="AD38" s="3451"/>
      <c r="AE38" s="3451"/>
      <c r="AF38" s="3451"/>
      <c r="AG38" s="3451"/>
      <c r="AH38" s="3451"/>
      <c r="AI38" s="3451"/>
      <c r="AJ38" s="3451"/>
      <c r="AK38" s="3451"/>
      <c r="AL38" s="3451"/>
      <c r="AM38" s="3451"/>
      <c r="AN38" s="3451"/>
      <c r="AO38" s="3451"/>
      <c r="AP38" s="3451"/>
      <c r="AQ38" s="3451"/>
      <c r="AR38" s="3451"/>
      <c r="AS38" s="3451"/>
      <c r="AT38" s="3451"/>
      <c r="AU38" s="3451"/>
      <c r="AV38" s="3451"/>
      <c r="AW38" s="3451"/>
      <c r="AX38" s="3451"/>
      <c r="AY38" s="3811"/>
      <c r="AZ38" s="3811"/>
      <c r="BA38" s="3451"/>
      <c r="BB38" s="3512"/>
      <c r="BC38" s="3512"/>
      <c r="BD38" s="4037"/>
      <c r="BE38" s="4037"/>
      <c r="BF38" s="3512"/>
      <c r="BG38" s="3512"/>
      <c r="BH38" s="3512"/>
      <c r="BI38" s="3512"/>
      <c r="BJ38" s="4869"/>
      <c r="BK38" s="4869"/>
    </row>
    <row r="39" spans="1:63" s="1924" customFormat="1" ht="20.100000000000001" customHeight="1" x14ac:dyDescent="0.2">
      <c r="A39" s="3277"/>
      <c r="B39" s="3409" t="s">
        <v>1698</v>
      </c>
      <c r="C39" s="3411" t="s">
        <v>899</v>
      </c>
      <c r="D39" s="3411"/>
      <c r="E39" s="3277">
        <f>D47*E45</f>
        <v>77402.272286443331</v>
      </c>
      <c r="F39" s="2202"/>
      <c r="G39" s="2202"/>
      <c r="H39" s="2202">
        <f>ТН!D56</f>
        <v>75099.622775800002</v>
      </c>
      <c r="I39" s="2202"/>
      <c r="J39" s="2202"/>
      <c r="K39" s="2202"/>
      <c r="L39" s="2202"/>
      <c r="M39" s="2202">
        <f>ТН!J56</f>
        <v>82259.710110899992</v>
      </c>
      <c r="N39" s="2202"/>
      <c r="O39" s="2202"/>
      <c r="P39" s="2202"/>
      <c r="Q39" s="2202"/>
      <c r="R39" s="2202">
        <f>M45*Q47</f>
        <v>97396.760368659365</v>
      </c>
      <c r="S39" s="2202"/>
      <c r="T39" s="2202"/>
      <c r="U39" s="2202"/>
      <c r="V39" s="2202"/>
      <c r="W39" s="2202"/>
      <c r="X39" s="2202"/>
      <c r="Y39" s="2202"/>
      <c r="Z39" s="2202"/>
      <c r="AA39" s="2202"/>
      <c r="AB39" s="2202"/>
      <c r="AC39" s="2202"/>
      <c r="AD39" s="2202"/>
      <c r="AE39" s="2202"/>
      <c r="AF39" s="2202"/>
      <c r="AG39" s="2202"/>
      <c r="AH39" s="3451"/>
      <c r="AI39" s="2202"/>
      <c r="AJ39" s="3451"/>
      <c r="AK39" s="2202"/>
      <c r="AL39" s="2202"/>
      <c r="AM39" s="2202"/>
      <c r="AN39" s="3772"/>
      <c r="AO39" s="3451"/>
      <c r="AP39" s="3772"/>
      <c r="AQ39" s="3451"/>
      <c r="AR39" s="3772"/>
      <c r="AS39" s="3772"/>
      <c r="AT39" s="3772"/>
      <c r="AU39" s="4033"/>
      <c r="AV39" s="3451"/>
      <c r="AW39" s="4033"/>
      <c r="AX39" s="3451"/>
      <c r="AY39" s="3814"/>
      <c r="AZ39" s="3814"/>
      <c r="BA39" s="4569"/>
      <c r="BB39" s="2456"/>
      <c r="BC39" s="3512"/>
      <c r="BD39" s="3932"/>
      <c r="BE39" s="4037"/>
      <c r="BF39" s="2456"/>
      <c r="BG39" s="3512"/>
      <c r="BH39" s="2456"/>
      <c r="BI39" s="3512"/>
      <c r="BJ39" s="4873"/>
      <c r="BK39" s="4873"/>
    </row>
    <row r="40" spans="1:63" s="1925" customFormat="1" ht="48.75" customHeight="1" x14ac:dyDescent="0.2">
      <c r="A40" s="3788" t="s">
        <v>185</v>
      </c>
      <c r="B40" s="3409" t="s">
        <v>1699</v>
      </c>
      <c r="C40" s="3411" t="s">
        <v>899</v>
      </c>
      <c r="D40" s="2202">
        <f>D9-E39</f>
        <v>11128.047713556676</v>
      </c>
      <c r="E40" s="2202">
        <f>E9-E39</f>
        <v>-4389.3222864433483</v>
      </c>
      <c r="F40" s="2202"/>
      <c r="G40" s="2202"/>
      <c r="H40" s="2202">
        <f>H9-H39</f>
        <v>8892.0982888703584</v>
      </c>
      <c r="I40" s="2202"/>
      <c r="J40" s="2202"/>
      <c r="K40" s="2202"/>
      <c r="L40" s="2202"/>
      <c r="M40" s="2202">
        <f>(M9+M38)-M39</f>
        <v>-1449.6995177526551</v>
      </c>
      <c r="N40" s="2202"/>
      <c r="O40" s="2202"/>
      <c r="P40" s="2202"/>
      <c r="Q40" s="2202">
        <f>H40*1.039*1.037</f>
        <v>9580.7290566553438</v>
      </c>
      <c r="R40" s="2202">
        <f>(R9+R38)-R39</f>
        <v>-7566.0005390559818</v>
      </c>
      <c r="S40" s="2202">
        <f>F40*1.027*1.046-U40</f>
        <v>0</v>
      </c>
      <c r="T40" s="2202">
        <v>7731.78</v>
      </c>
      <c r="U40" s="2202"/>
      <c r="V40" s="2202"/>
      <c r="W40" s="2202"/>
      <c r="X40" s="2202"/>
      <c r="Y40" s="2202"/>
      <c r="Z40" s="2202">
        <f>M40*1.027*1.046-AB40</f>
        <v>-1557.3281093496475</v>
      </c>
      <c r="AA40" s="2202"/>
      <c r="AB40" s="2202"/>
      <c r="AC40" s="2202"/>
      <c r="AD40" s="2202"/>
      <c r="AE40" s="2202"/>
      <c r="AF40" s="2202"/>
      <c r="AG40" s="2202">
        <v>3311.12</v>
      </c>
      <c r="AH40" s="3451"/>
      <c r="AI40" s="2202">
        <f>-1061.9*1.047*1.03</f>
        <v>-1145.1635790000003</v>
      </c>
      <c r="AJ40" s="3451"/>
      <c r="AK40" s="2202">
        <v>0</v>
      </c>
      <c r="AL40" s="2202">
        <v>0</v>
      </c>
      <c r="AM40" s="2202">
        <v>0</v>
      </c>
      <c r="AN40" s="3772">
        <v>0</v>
      </c>
      <c r="AO40" s="3451"/>
      <c r="AP40" s="3772">
        <v>-2292.83</v>
      </c>
      <c r="AQ40" s="3451"/>
      <c r="AR40" s="3772">
        <v>0</v>
      </c>
      <c r="AS40" s="3772">
        <v>0</v>
      </c>
      <c r="AT40" s="3772">
        <v>0</v>
      </c>
      <c r="AU40" s="4033">
        <v>0</v>
      </c>
      <c r="AV40" s="3451"/>
      <c r="AW40" s="4033">
        <v>-4311.3239999999996</v>
      </c>
      <c r="AX40" s="3451"/>
      <c r="AY40" s="3814">
        <v>0</v>
      </c>
      <c r="AZ40" s="3814">
        <v>0</v>
      </c>
      <c r="BA40" s="4569">
        <v>0</v>
      </c>
      <c r="BB40" s="2456">
        <v>0</v>
      </c>
      <c r="BC40" s="3512"/>
      <c r="BD40" s="3932">
        <v>-4311.3239999999996</v>
      </c>
      <c r="BE40" s="4037"/>
      <c r="BF40" s="2456">
        <v>0</v>
      </c>
      <c r="BG40" s="3512"/>
      <c r="BH40" s="2456">
        <f>SUM(стоки!EK122)</f>
        <v>-312.85201244842</v>
      </c>
      <c r="BI40" s="3512">
        <f t="shared" si="28"/>
        <v>7.2565182400677841</v>
      </c>
      <c r="BJ40" s="4873">
        <v>0</v>
      </c>
      <c r="BK40" s="4873">
        <v>0</v>
      </c>
    </row>
    <row r="41" spans="1:63" s="1925" customFormat="1" ht="48.75" customHeight="1" x14ac:dyDescent="0.2">
      <c r="A41" s="3788" t="s">
        <v>936</v>
      </c>
      <c r="B41" s="3409" t="s">
        <v>1700</v>
      </c>
      <c r="C41" s="3411" t="s">
        <v>899</v>
      </c>
      <c r="D41" s="3411"/>
      <c r="E41" s="3411"/>
      <c r="F41" s="2202"/>
      <c r="G41" s="2202"/>
      <c r="H41" s="2202"/>
      <c r="I41" s="2202"/>
      <c r="J41" s="2202"/>
      <c r="K41" s="2202"/>
      <c r="L41" s="2202"/>
      <c r="M41" s="2202"/>
      <c r="N41" s="2202"/>
      <c r="O41" s="2202"/>
      <c r="P41" s="2202">
        <v>0</v>
      </c>
      <c r="Q41" s="2202">
        <v>-3902.11</v>
      </c>
      <c r="R41" s="2202"/>
      <c r="S41" s="3472">
        <v>0</v>
      </c>
      <c r="T41" s="2202"/>
      <c r="U41" s="2202"/>
      <c r="V41" s="2202"/>
      <c r="W41" s="2202"/>
      <c r="X41" s="2202"/>
      <c r="Y41" s="2202"/>
      <c r="Z41" s="3472">
        <f>'снятие ИП'!G5</f>
        <v>-3569.01</v>
      </c>
      <c r="AA41" s="2202"/>
      <c r="AB41" s="2202"/>
      <c r="AC41" s="2202"/>
      <c r="AD41" s="2202"/>
      <c r="AE41" s="2202"/>
      <c r="AF41" s="2202"/>
      <c r="AG41" s="3472">
        <f>'снятие ИП'!N5</f>
        <v>0</v>
      </c>
      <c r="AH41" s="3451"/>
      <c r="AI41" s="3472">
        <f>'снятие ИП'!P5</f>
        <v>0</v>
      </c>
      <c r="AJ41" s="3451"/>
      <c r="AK41" s="3472">
        <v>0</v>
      </c>
      <c r="AL41" s="3472">
        <v>0</v>
      </c>
      <c r="AM41" s="3472">
        <v>0</v>
      </c>
      <c r="AN41" s="3472">
        <v>0</v>
      </c>
      <c r="AO41" s="3451"/>
      <c r="AP41" s="3472">
        <f>'снятие ИП'!W5</f>
        <v>0</v>
      </c>
      <c r="AQ41" s="3451"/>
      <c r="AR41" s="3472">
        <v>0</v>
      </c>
      <c r="AS41" s="3472">
        <v>0</v>
      </c>
      <c r="AT41" s="3472">
        <v>0</v>
      </c>
      <c r="AU41" s="3472">
        <v>0</v>
      </c>
      <c r="AV41" s="3451"/>
      <c r="AW41" s="3472">
        <f>'снятие ИП'!AD5</f>
        <v>0</v>
      </c>
      <c r="AX41" s="3451"/>
      <c r="AY41" s="3827">
        <v>0</v>
      </c>
      <c r="AZ41" s="3827">
        <v>0</v>
      </c>
      <c r="BA41" s="3472">
        <v>0</v>
      </c>
      <c r="BB41" s="3515">
        <v>0</v>
      </c>
      <c r="BC41" s="3512"/>
      <c r="BD41" s="4040">
        <f>'снятие ИП'!AK5</f>
        <v>0</v>
      </c>
      <c r="BE41" s="4037"/>
      <c r="BF41" s="3515">
        <v>0</v>
      </c>
      <c r="BG41" s="3512"/>
      <c r="BH41" s="3515">
        <v>0</v>
      </c>
      <c r="BI41" s="3512"/>
      <c r="BJ41" s="4874">
        <v>0</v>
      </c>
      <c r="BK41" s="4874">
        <v>0</v>
      </c>
    </row>
    <row r="42" spans="1:63" s="1926" customFormat="1" ht="54.75" customHeight="1" x14ac:dyDescent="0.25">
      <c r="A42" s="3788" t="s">
        <v>942</v>
      </c>
      <c r="B42" s="3545" t="s">
        <v>1701</v>
      </c>
      <c r="C42" s="3411" t="s">
        <v>899</v>
      </c>
      <c r="D42" s="3411"/>
      <c r="E42" s="3411"/>
      <c r="F42" s="3252"/>
      <c r="G42" s="3252"/>
      <c r="H42" s="3252"/>
      <c r="I42" s="3252"/>
      <c r="J42" s="3252"/>
      <c r="K42" s="3252"/>
      <c r="L42" s="3252"/>
      <c r="M42" s="3252"/>
      <c r="N42" s="3252"/>
      <c r="O42" s="3252"/>
      <c r="P42" s="2202">
        <v>0</v>
      </c>
      <c r="Q42" s="2202">
        <f>-А!C31</f>
        <v>-917.11610446699819</v>
      </c>
      <c r="R42" s="2202"/>
      <c r="S42" s="2202">
        <v>0</v>
      </c>
      <c r="T42" s="2202"/>
      <c r="U42" s="2202"/>
      <c r="V42" s="2202"/>
      <c r="W42" s="2202"/>
      <c r="X42" s="2202"/>
      <c r="Y42" s="2202"/>
      <c r="Z42" s="2202">
        <f>-'А 2017'!C31</f>
        <v>-969.01570224930151</v>
      </c>
      <c r="AA42" s="2202"/>
      <c r="AB42" s="2202"/>
      <c r="AC42" s="2202"/>
      <c r="AD42" s="2202"/>
      <c r="AE42" s="2202"/>
      <c r="AF42" s="2202"/>
      <c r="AG42" s="2202">
        <f>-'А 2017'!J31</f>
        <v>0</v>
      </c>
      <c r="AH42" s="3451"/>
      <c r="AI42" s="2202">
        <f>-SUM('А 2018'!C30)</f>
        <v>-1015.4171782492955</v>
      </c>
      <c r="AJ42" s="3451"/>
      <c r="AK42" s="2202">
        <v>0</v>
      </c>
      <c r="AL42" s="2202">
        <v>0</v>
      </c>
      <c r="AM42" s="2202">
        <v>0</v>
      </c>
      <c r="AN42" s="3772">
        <v>0</v>
      </c>
      <c r="AO42" s="3451"/>
      <c r="AP42" s="3772">
        <f>-SUM('А 2018'!J30)</f>
        <v>0</v>
      </c>
      <c r="AQ42" s="3451"/>
      <c r="AR42" s="3772">
        <v>0</v>
      </c>
      <c r="AS42" s="3772">
        <v>0</v>
      </c>
      <c r="AT42" s="3772">
        <v>0</v>
      </c>
      <c r="AU42" s="4033">
        <v>0</v>
      </c>
      <c r="AV42" s="3451"/>
      <c r="AW42" s="4033">
        <f>-SUM('А 2018'!Q30)</f>
        <v>0</v>
      </c>
      <c r="AX42" s="3451"/>
      <c r="AY42" s="3814">
        <v>0</v>
      </c>
      <c r="AZ42" s="3814">
        <v>0</v>
      </c>
      <c r="BA42" s="4569">
        <v>0</v>
      </c>
      <c r="BB42" s="2456">
        <v>0</v>
      </c>
      <c r="BC42" s="3512"/>
      <c r="BD42" s="3932">
        <f>-SUM('А 2018'!X30)</f>
        <v>0</v>
      </c>
      <c r="BE42" s="4037"/>
      <c r="BF42" s="2456">
        <v>0</v>
      </c>
      <c r="BG42" s="3512"/>
      <c r="BH42" s="2456">
        <v>0</v>
      </c>
      <c r="BI42" s="3512"/>
      <c r="BJ42" s="4873">
        <v>0</v>
      </c>
      <c r="BK42" s="4873">
        <v>0</v>
      </c>
    </row>
    <row r="43" spans="1:63" s="2363" customFormat="1" ht="47.25" customHeight="1" x14ac:dyDescent="0.25">
      <c r="A43" s="3788"/>
      <c r="B43" s="3545" t="s">
        <v>3507</v>
      </c>
      <c r="C43" s="3411"/>
      <c r="D43" s="3411"/>
      <c r="E43" s="3411"/>
      <c r="F43" s="3252"/>
      <c r="G43" s="3252"/>
      <c r="H43" s="3252"/>
      <c r="I43" s="3252"/>
      <c r="J43" s="3252"/>
      <c r="K43" s="3252"/>
      <c r="L43" s="3252"/>
      <c r="M43" s="3252"/>
      <c r="N43" s="3252"/>
      <c r="O43" s="3252"/>
      <c r="P43" s="2202"/>
      <c r="Q43" s="2202"/>
      <c r="R43" s="2202"/>
      <c r="S43" s="2202">
        <f>-(S40+S41+S42)</f>
        <v>0</v>
      </c>
      <c r="T43" s="2202"/>
      <c r="U43" s="2202"/>
      <c r="V43" s="2202"/>
      <c r="W43" s="2202"/>
      <c r="X43" s="2202"/>
      <c r="Y43" s="2202"/>
      <c r="Z43" s="2202">
        <f>-(Z40+Z41+Z42)</f>
        <v>6095.3538115989495</v>
      </c>
      <c r="AA43" s="2202"/>
      <c r="AB43" s="2202">
        <f>-Z43+2807.35</f>
        <v>-3288.0038115989496</v>
      </c>
      <c r="AC43" s="2202">
        <f>-2807.35</f>
        <v>-2807.35</v>
      </c>
      <c r="AD43" s="2202"/>
      <c r="AE43" s="2202"/>
      <c r="AF43" s="2202"/>
      <c r="AG43" s="2202">
        <f>SUM(AB43)</f>
        <v>-3288.0038115989496</v>
      </c>
      <c r="AH43" s="3451">
        <f t="shared" si="11"/>
        <v>-53.942788445555898</v>
      </c>
      <c r="AI43" s="2202">
        <f>SUM(AB43)</f>
        <v>-3288.0038115989496</v>
      </c>
      <c r="AJ43" s="3451">
        <f t="shared" ref="AJ43:AJ47" si="54">SUM(AI43/Z43)*100</f>
        <v>-53.942788445555898</v>
      </c>
      <c r="AK43" s="2202">
        <v>0</v>
      </c>
      <c r="AL43" s="2202">
        <v>0</v>
      </c>
      <c r="AM43" s="2202">
        <v>0</v>
      </c>
      <c r="AN43" s="3772">
        <v>0</v>
      </c>
      <c r="AO43" s="3451">
        <f>SUM(AN43/AI43)*100</f>
        <v>0</v>
      </c>
      <c r="AP43" s="3772">
        <f>SUM(AC43)</f>
        <v>-2807.35</v>
      </c>
      <c r="AQ43" s="3451"/>
      <c r="AR43" s="3772">
        <v>0</v>
      </c>
      <c r="AS43" s="3772">
        <v>0</v>
      </c>
      <c r="AT43" s="3772">
        <v>0</v>
      </c>
      <c r="AU43" s="4033">
        <v>2807.35</v>
      </c>
      <c r="AV43" s="3451">
        <f>SUM(AU43/AP43)*100</f>
        <v>-100</v>
      </c>
      <c r="AW43" s="4033">
        <v>0</v>
      </c>
      <c r="AX43" s="3451"/>
      <c r="AY43" s="3814">
        <v>0</v>
      </c>
      <c r="AZ43" s="3814">
        <v>0</v>
      </c>
      <c r="BA43" s="4569">
        <v>0</v>
      </c>
      <c r="BB43" s="2456">
        <v>0</v>
      </c>
      <c r="BC43" s="3512"/>
      <c r="BD43" s="3932">
        <v>0</v>
      </c>
      <c r="BE43" s="4037"/>
      <c r="BF43" s="2456">
        <v>0</v>
      </c>
      <c r="BG43" s="3512"/>
      <c r="BH43" s="2456">
        <v>0</v>
      </c>
      <c r="BI43" s="3512"/>
      <c r="BJ43" s="4873">
        <v>0</v>
      </c>
      <c r="BK43" s="4873">
        <v>0</v>
      </c>
    </row>
    <row r="44" spans="1:63" s="2032" customFormat="1" ht="22.5" customHeight="1" x14ac:dyDescent="0.2">
      <c r="A44" s="3527" t="s">
        <v>2039</v>
      </c>
      <c r="B44" s="3546" t="s">
        <v>1750</v>
      </c>
      <c r="C44" s="3527" t="s">
        <v>899</v>
      </c>
      <c r="D44" s="3527"/>
      <c r="E44" s="3527"/>
      <c r="F44" s="3529"/>
      <c r="G44" s="3529"/>
      <c r="H44" s="3529"/>
      <c r="I44" s="3529"/>
      <c r="J44" s="3529"/>
      <c r="K44" s="3529">
        <f>K9+K38</f>
        <v>84701.909384375933</v>
      </c>
      <c r="L44" s="3529"/>
      <c r="M44" s="3529"/>
      <c r="N44" s="3529"/>
      <c r="O44" s="3529"/>
      <c r="P44" s="3529"/>
      <c r="Q44" s="3529">
        <f>Q9+Q38+Q40+Q41+Q42</f>
        <v>98987.29932688392</v>
      </c>
      <c r="R44" s="3529"/>
      <c r="S44" s="3529">
        <f>S9+S38+S40+S41+S42+S43</f>
        <v>81392.003999999986</v>
      </c>
      <c r="T44" s="3529">
        <f t="shared" ref="T44:Y44" si="55">T9+T38+T40+T41+T42</f>
        <v>121127.3</v>
      </c>
      <c r="U44" s="3529">
        <f t="shared" si="55"/>
        <v>121134.76000000001</v>
      </c>
      <c r="V44" s="3529">
        <f t="shared" si="55"/>
        <v>124960.26999999999</v>
      </c>
      <c r="W44" s="3529">
        <f t="shared" si="55"/>
        <v>128922.74</v>
      </c>
      <c r="X44" s="3529">
        <f t="shared" si="55"/>
        <v>133042.88</v>
      </c>
      <c r="Y44" s="3529">
        <f t="shared" si="55"/>
        <v>0</v>
      </c>
      <c r="Z44" s="3327">
        <f>Z9+Z38+Z40+Z41+Z42+Z43</f>
        <v>96264.34182001678</v>
      </c>
      <c r="AA44" s="3327">
        <f>Z44/Q44*100</f>
        <v>97.249184970816145</v>
      </c>
      <c r="AB44" s="3327">
        <f t="shared" ref="AB44:AG44" si="56">AB9+AB38+AB40+AB41+AB42+AB43</f>
        <v>96255.023178692398</v>
      </c>
      <c r="AC44" s="3327">
        <f t="shared" si="56"/>
        <v>99106.648814355081</v>
      </c>
      <c r="AD44" s="3327">
        <f t="shared" si="56"/>
        <v>104857.74105258549</v>
      </c>
      <c r="AE44" s="3327">
        <f t="shared" si="56"/>
        <v>107883.21135720517</v>
      </c>
      <c r="AF44" s="3327">
        <f t="shared" si="56"/>
        <v>111000.61626914772</v>
      </c>
      <c r="AG44" s="3529">
        <f t="shared" si="56"/>
        <v>100458.63016433461</v>
      </c>
      <c r="AH44" s="3451">
        <f t="shared" si="11"/>
        <v>104.35705294922161</v>
      </c>
      <c r="AI44" s="3529">
        <f>AI9+AI38+AI40+AI41+AI42+AI43</f>
        <v>92162.177820273166</v>
      </c>
      <c r="AJ44" s="3451">
        <f t="shared" si="54"/>
        <v>95.738646395761648</v>
      </c>
      <c r="AK44" s="3529">
        <f>AK9+AK38+AK40+AK41+AK42+AK43</f>
        <v>41333.026150000005</v>
      </c>
      <c r="AL44" s="3529">
        <f>AL9+AL38+AL40+AL41+AL42+AL43</f>
        <v>62279.233329999995</v>
      </c>
      <c r="AM44" s="3529">
        <f>AM9+AM38+AM40+AM41+AM42+AM43</f>
        <v>83476.862999999983</v>
      </c>
      <c r="AN44" s="3529">
        <f>AN9+AN38+AN40+AN41+AN42+AN43</f>
        <v>115167.0118381748</v>
      </c>
      <c r="AO44" s="3451">
        <f>SUM(AN44/AI44)*100</f>
        <v>124.96125261141691</v>
      </c>
      <c r="AP44" s="3529">
        <f>AP9+AP38+AP40+AP41+AP42+AP43</f>
        <v>95495.080498794865</v>
      </c>
      <c r="AQ44" s="3451">
        <f t="shared" ref="AQ44:AQ47" si="57">SUM(AP44/AI44)*100</f>
        <v>103.61634540041061</v>
      </c>
      <c r="AR44" s="3529">
        <f>AR9+AR38+AR40+AR41+AR42+AR43</f>
        <v>41485.347180000012</v>
      </c>
      <c r="AS44" s="3529">
        <f>AS9+AS38+AS40+AS41+AS42+AS43</f>
        <v>62650.197609999996</v>
      </c>
      <c r="AT44" s="3529">
        <f>AT9+AT38+AT40+AT41+AT42+AT43</f>
        <v>86551.370519999997</v>
      </c>
      <c r="AU44" s="3529">
        <f>AU9+AU38+AU40+AU41+AU42+AU43</f>
        <v>126224.55271235976</v>
      </c>
      <c r="AV44" s="3451">
        <f>SUM(AU44/AP44)*100</f>
        <v>132.17911546129613</v>
      </c>
      <c r="AW44" s="3529">
        <f>AW9+AW38+AW40+AW41+AW42+AW43</f>
        <v>102820.43140224199</v>
      </c>
      <c r="AX44" s="3451">
        <f t="shared" ref="AX44:AX47" si="58">SUM(AW44/AP44)*100</f>
        <v>107.6709196590913</v>
      </c>
      <c r="AY44" s="3824">
        <f>AY9+AY38+AY40+AY41+AY42+AY43+AY35</f>
        <v>45710.888032000003</v>
      </c>
      <c r="AZ44" s="3824">
        <f>AZ9+AZ38+AZ40+AZ41+AZ42+AZ43+AZ35</f>
        <v>70192.051705999998</v>
      </c>
      <c r="BA44" s="3529">
        <f>BA9+BA38+BA40+BA41+BA42+BA43+BA35</f>
        <v>98263.109771999982</v>
      </c>
      <c r="BB44" s="3533">
        <f>BB9+BB38+BB40+BB41+BB42+BB43</f>
        <v>144460.17023174235</v>
      </c>
      <c r="BC44" s="3512">
        <f>SUM(BB44/AW44)*100</f>
        <v>140.49753367266305</v>
      </c>
      <c r="BD44" s="4041">
        <f>BD9+BD38+BD40+BD41+BD42+BD43</f>
        <v>89137.776067613537</v>
      </c>
      <c r="BE44" s="4037">
        <f t="shared" ref="BE44:BE47" si="59">SUM(BD44/AW44)*100</f>
        <v>86.692668812970865</v>
      </c>
      <c r="BF44" s="3533">
        <f>BF9+BF38+BF40+BF41+BF42+BF43</f>
        <v>161949.03526009037</v>
      </c>
      <c r="BG44" s="3512">
        <f t="shared" ref="BG44:BG46" si="60">SUM(BF44/AW44)*100</f>
        <v>157.50666774245715</v>
      </c>
      <c r="BH44" s="3533">
        <f>BH9+BH38+BH40+BH41+BH42+BH43</f>
        <v>124502.97611342627</v>
      </c>
      <c r="BI44" s="3512">
        <f t="shared" si="28"/>
        <v>121.08777838750781</v>
      </c>
      <c r="BJ44" s="4875">
        <f>BJ9+BJ38+BJ40+BJ41+BJ42+BJ43+BJ35</f>
        <v>52711.782469999998</v>
      </c>
      <c r="BK44" s="4875">
        <f>BK9+BK38+BK40+BK41+BK42+BK43+BK35</f>
        <v>110195.25874000002</v>
      </c>
    </row>
    <row r="45" spans="1:63" s="2731" customFormat="1" ht="20.100000000000001" customHeight="1" x14ac:dyDescent="0.25">
      <c r="A45" s="3798" t="s">
        <v>2040</v>
      </c>
      <c r="B45" s="3450" t="s">
        <v>1788</v>
      </c>
      <c r="C45" s="3449" t="s">
        <v>934</v>
      </c>
      <c r="D45" s="3453">
        <v>3644.7</v>
      </c>
      <c r="E45" s="3453">
        <v>3186.57</v>
      </c>
      <c r="F45" s="3451">
        <f>'объемы ВС и ВО 2023'!AA63</f>
        <v>3445</v>
      </c>
      <c r="G45" s="3451">
        <f>'объемы ВС и ВО 2023'!W63</f>
        <v>4196.72</v>
      </c>
      <c r="H45" s="3451">
        <f>'объемы ВС и ВО 2023'!Y63</f>
        <v>3040.84</v>
      </c>
      <c r="I45" s="3451">
        <f>F45</f>
        <v>3445</v>
      </c>
      <c r="J45" s="3451">
        <v>3200</v>
      </c>
      <c r="K45" s="3451">
        <f>'объемы ВС и ВО 2023'!AJ62</f>
        <v>3272.75</v>
      </c>
      <c r="L45" s="3451">
        <f>'объемы ВС и ВО 2023'!AN63</f>
        <v>3178.1</v>
      </c>
      <c r="M45" s="3451">
        <f>'объемы ВС и ВО 2023'!AP63</f>
        <v>3178.1</v>
      </c>
      <c r="N45" s="3451">
        <f>'объемы ВС и ВО 2023'!AJ62</f>
        <v>3272.75</v>
      </c>
      <c r="O45" s="3451">
        <f>K45</f>
        <v>3272.75</v>
      </c>
      <c r="P45" s="3451">
        <f>'объемы ВС и ВО 2023'!AL63</f>
        <v>3230</v>
      </c>
      <c r="Q45" s="3451">
        <f>'объемы ВС и ВО 2023'!AR63</f>
        <v>3230</v>
      </c>
      <c r="R45" s="3451"/>
      <c r="S45" s="3451">
        <f>SUM('объемы ВС и ВО 2023'!AV63)</f>
        <v>3132.12</v>
      </c>
      <c r="T45" s="3451">
        <f>'объемы ВС и ВО 2023'!AX63</f>
        <v>3230</v>
      </c>
      <c r="U45" s="3451">
        <f>T45</f>
        <v>3230</v>
      </c>
      <c r="V45" s="3451">
        <f t="shared" ref="V45:Y45" si="61">U45</f>
        <v>3230</v>
      </c>
      <c r="W45" s="3451">
        <f t="shared" si="61"/>
        <v>3230</v>
      </c>
      <c r="X45" s="3451">
        <f t="shared" si="61"/>
        <v>3230</v>
      </c>
      <c r="Y45" s="3451">
        <f t="shared" si="61"/>
        <v>3230</v>
      </c>
      <c r="Z45" s="3451">
        <f>'объемы ВС и ВО 2023'!AZ63</f>
        <v>3002.3369764914323</v>
      </c>
      <c r="AA45" s="3451">
        <f>Z45/Q45*100</f>
        <v>92.951609179301315</v>
      </c>
      <c r="AB45" s="3451">
        <f>Z45</f>
        <v>3002.3369764914323</v>
      </c>
      <c r="AC45" s="3451">
        <f t="shared" ref="AC45:AF45" si="62">AB45</f>
        <v>3002.3369764914323</v>
      </c>
      <c r="AD45" s="3451">
        <f t="shared" si="62"/>
        <v>3002.3369764914323</v>
      </c>
      <c r="AE45" s="3451">
        <f t="shared" si="62"/>
        <v>3002.3369764914323</v>
      </c>
      <c r="AF45" s="3451">
        <f t="shared" si="62"/>
        <v>3002.3369764914323</v>
      </c>
      <c r="AG45" s="3451">
        <f>SUM('объемы ВС и ВО 2023'!BB63)</f>
        <v>3002.3369764914323</v>
      </c>
      <c r="AH45" s="3451">
        <f t="shared" si="11"/>
        <v>100</v>
      </c>
      <c r="AI45" s="3451">
        <f>SUM('объемы ВС и ВО 2023'!BD63)</f>
        <v>2826.7379999999998</v>
      </c>
      <c r="AJ45" s="3451">
        <f t="shared" si="54"/>
        <v>94.151256908655213</v>
      </c>
      <c r="AK45" s="3451">
        <f>SUM('объемы ВС и ВО 2023'!BF63)</f>
        <v>1538.6509999999998</v>
      </c>
      <c r="AL45" s="3451">
        <f>SUM('объемы ВС и ВО 2023'!BH63)</f>
        <v>2309.123</v>
      </c>
      <c r="AM45" s="3451">
        <f>SUM('объемы ВС и ВО 2023'!BJ63)</f>
        <v>3105.598</v>
      </c>
      <c r="AN45" s="3451">
        <f>SUM('объемы ВС и ВО 2023'!BL63)</f>
        <v>2826.7379999999998</v>
      </c>
      <c r="AO45" s="3451">
        <f>SUM(AN45/AI45)*100</f>
        <v>100</v>
      </c>
      <c r="AP45" s="3451">
        <f>SUM('объемы ВС и ВО 2023'!BN63)</f>
        <v>2826.7379999999998</v>
      </c>
      <c r="AQ45" s="3451">
        <f t="shared" si="57"/>
        <v>100</v>
      </c>
      <c r="AR45" s="3451">
        <f>SUM('объемы ВС и ВО 2023'!BQ63)</f>
        <v>1559.5720000000001</v>
      </c>
      <c r="AS45" s="3451">
        <f>SUM('объемы ВС и ВО 2023'!BS63)</f>
        <v>2275.0949999999998</v>
      </c>
      <c r="AT45" s="3451">
        <f>SUM('объемы ВС и ВО 2023'!BU63)</f>
        <v>3059.2510000000002</v>
      </c>
      <c r="AU45" s="3451">
        <f>SUM('объемы ВС и ВО 2023'!BW63)</f>
        <v>2826.7379999999998</v>
      </c>
      <c r="AV45" s="3451">
        <f>SUM(AU45/AP45)*100</f>
        <v>100</v>
      </c>
      <c r="AW45" s="3451">
        <f>SUM('объемы ВС и ВО 2023'!BY63)</f>
        <v>2982.5243</v>
      </c>
      <c r="AX45" s="3451">
        <f t="shared" si="58"/>
        <v>105.51116870399733</v>
      </c>
      <c r="AY45" s="3811">
        <f>SUM('объемы ВС и ВО 2023'!CA63)</f>
        <v>1577.7370000000001</v>
      </c>
      <c r="AZ45" s="3811">
        <f>SUM('объемы ВС и ВО 2023'!CC63)</f>
        <v>2315.75</v>
      </c>
      <c r="BA45" s="3451">
        <f>SUM('объемы ВС и ВО 2023'!CE63)</f>
        <v>3087.8620000000001</v>
      </c>
      <c r="BB45" s="3512">
        <f>SUM('объемы ВС и ВО 2023'!CG63)</f>
        <v>2982.5243</v>
      </c>
      <c r="BC45" s="3512">
        <f>SUM(BB45/AW45)*100</f>
        <v>100</v>
      </c>
      <c r="BD45" s="4037">
        <f>SUM('объемы ВС и ВО 2023'!CF63)</f>
        <v>16.218</v>
      </c>
      <c r="BE45" s="4037">
        <f t="shared" si="59"/>
        <v>0.54376757299177747</v>
      </c>
      <c r="BF45" s="3512">
        <f>SUM('объемы ВС и ВО 2023'!CG63)</f>
        <v>2982.5243</v>
      </c>
      <c r="BG45" s="3512">
        <f t="shared" si="60"/>
        <v>100</v>
      </c>
      <c r="BH45" s="3512">
        <f>SUM('объемы ВС и ВО 2023'!CI63)</f>
        <v>3059.0289771459002</v>
      </c>
      <c r="BI45" s="3512">
        <f t="shared" si="28"/>
        <v>102.56509820040361</v>
      </c>
      <c r="BJ45" s="4869">
        <f>SUM('объемы ВС и ВО 2023'!CK63)</f>
        <v>1645.6220000000001</v>
      </c>
      <c r="BK45" s="4869">
        <f>SUM('объемы ВС и ВО 2023'!CM63)</f>
        <v>3210.7348999999999</v>
      </c>
    </row>
    <row r="46" spans="1:63" s="2731" customFormat="1" ht="20.100000000000001" customHeight="1" x14ac:dyDescent="0.25">
      <c r="A46" s="3785" t="s">
        <v>2044</v>
      </c>
      <c r="B46" s="3490" t="s">
        <v>935</v>
      </c>
      <c r="C46" s="3449" t="s">
        <v>934</v>
      </c>
      <c r="D46" s="3453">
        <v>2600</v>
      </c>
      <c r="E46" s="3453">
        <v>2289.52</v>
      </c>
      <c r="F46" s="3451">
        <f>'объемы ВС и ВО 2023'!AA64</f>
        <v>2448</v>
      </c>
      <c r="G46" s="3451">
        <f>'объемы ВС и ВО 2023'!W64</f>
        <v>2239.89</v>
      </c>
      <c r="H46" s="3451">
        <f>'объемы ВС и ВО 2023'!Y64</f>
        <v>2239.89</v>
      </c>
      <c r="I46" s="3451">
        <f>F46</f>
        <v>2448</v>
      </c>
      <c r="J46" s="3451">
        <v>2300</v>
      </c>
      <c r="K46" s="3451">
        <f>'объемы ВС и ВО 2023'!AJ64</f>
        <v>2300</v>
      </c>
      <c r="L46" s="3451">
        <f>'объемы ВС и ВО 2023'!AN64</f>
        <v>2420.66</v>
      </c>
      <c r="M46" s="3451">
        <f>L46</f>
        <v>2420.66</v>
      </c>
      <c r="N46" s="3451">
        <f>'объемы ВС и ВО 2023'!AJ64</f>
        <v>2300</v>
      </c>
      <c r="O46" s="3451">
        <v>2300</v>
      </c>
      <c r="P46" s="3451">
        <f>'объемы ВС и ВО 2023'!AL64</f>
        <v>2280</v>
      </c>
      <c r="Q46" s="3451">
        <f>'объемы ВС и ВО 2023'!AR64</f>
        <v>2280</v>
      </c>
      <c r="R46" s="3451"/>
      <c r="S46" s="3451">
        <f>'объемы ВС и ВО 2023'!AS64</f>
        <v>0</v>
      </c>
      <c r="T46" s="3451">
        <f>'объемы ВС и ВО 2023'!AX64</f>
        <v>2280</v>
      </c>
      <c r="U46" s="3451">
        <f>T46</f>
        <v>2280</v>
      </c>
      <c r="V46" s="3451">
        <f t="shared" ref="V46:Y46" si="63">U46</f>
        <v>2280</v>
      </c>
      <c r="W46" s="3451">
        <f t="shared" si="63"/>
        <v>2280</v>
      </c>
      <c r="X46" s="3451">
        <f t="shared" si="63"/>
        <v>2280</v>
      </c>
      <c r="Y46" s="3451">
        <f t="shared" si="63"/>
        <v>2280</v>
      </c>
      <c r="Z46" s="3451">
        <f>'объемы ВС и ВО 2023'!AZ64</f>
        <v>2280</v>
      </c>
      <c r="AA46" s="3451">
        <f>Z46/Q46*100</f>
        <v>100</v>
      </c>
      <c r="AB46" s="3451">
        <f>Z46</f>
        <v>2280</v>
      </c>
      <c r="AC46" s="3451">
        <f t="shared" ref="AC46:AF46" si="64">AB46</f>
        <v>2280</v>
      </c>
      <c r="AD46" s="3451">
        <f t="shared" si="64"/>
        <v>2280</v>
      </c>
      <c r="AE46" s="3451">
        <f t="shared" si="64"/>
        <v>2280</v>
      </c>
      <c r="AF46" s="3451">
        <f t="shared" si="64"/>
        <v>2280</v>
      </c>
      <c r="AG46" s="3451">
        <f>SUM('объемы ВС и ВО 2023'!BB64)</f>
        <v>2280</v>
      </c>
      <c r="AH46" s="3451">
        <f t="shared" si="11"/>
        <v>100</v>
      </c>
      <c r="AI46" s="3451">
        <f>SUM('объемы ВС и ВО 2023'!BD64)</f>
        <v>2146.6489999999999</v>
      </c>
      <c r="AJ46" s="3451">
        <f t="shared" si="54"/>
        <v>94.15127192982456</v>
      </c>
      <c r="AK46" s="3451">
        <f>SUM('объемы ВС и ВО 2023'!BF64)</f>
        <v>1172.6869999999999</v>
      </c>
      <c r="AL46" s="3451">
        <f>SUM('объемы ВС и ВО 2023'!BH64)</f>
        <v>1750.2370000000001</v>
      </c>
      <c r="AM46" s="3451">
        <f>SUM('объемы ВС и ВО 2023'!BJ64)</f>
        <v>2347.616</v>
      </c>
      <c r="AN46" s="3451">
        <f>SUM('объемы ВС и ВО 2023'!BL64)</f>
        <v>2146.6489999999999</v>
      </c>
      <c r="AO46" s="3451">
        <f>SUM(AN46/AI46)*100</f>
        <v>100</v>
      </c>
      <c r="AP46" s="3451">
        <f>SUM('объемы ВС и ВО 2023'!BN64)</f>
        <v>2146.6489999999999</v>
      </c>
      <c r="AQ46" s="3451">
        <f t="shared" si="57"/>
        <v>100</v>
      </c>
      <c r="AR46" s="3451">
        <f>SUM('объемы ВС и ВО 2023'!BQ64)</f>
        <v>1225.816</v>
      </c>
      <c r="AS46" s="3451">
        <f>SUM('объемы ВС и ВО 2023'!BS64)</f>
        <v>1807.895</v>
      </c>
      <c r="AT46" s="3451">
        <f>SUM('объемы ВС и ВО 2023'!BU64)</f>
        <v>2407.279</v>
      </c>
      <c r="AU46" s="3451">
        <f>SUM('объемы ВС и ВО 2023'!BW64)</f>
        <v>2146.6489999999999</v>
      </c>
      <c r="AV46" s="3451">
        <f>SUM(AU46/AP46)*100</f>
        <v>100</v>
      </c>
      <c r="AW46" s="3451">
        <f>SUM('объемы ВС и ВО 2023'!BY64)</f>
        <v>2346.9039299999999</v>
      </c>
      <c r="AX46" s="3451">
        <f t="shared" si="58"/>
        <v>109.328722581102</v>
      </c>
      <c r="AY46" s="3811">
        <f>SUM('объемы ВС и ВО 2023'!CA64)</f>
        <v>1224.876</v>
      </c>
      <c r="AZ46" s="3811">
        <f>SUM('объемы ВС и ВО 2023'!CC64)</f>
        <v>1795.617</v>
      </c>
      <c r="BA46" s="3451">
        <f>SUM('объемы ВС и ВО 2023'!CE64)</f>
        <v>2391.0459999999998</v>
      </c>
      <c r="BB46" s="3512">
        <f>SUM('объемы ВС и ВО 2023'!CG64)</f>
        <v>2346.9039299999999</v>
      </c>
      <c r="BC46" s="3512">
        <f>SUM(BB46/AW46)*100</f>
        <v>100</v>
      </c>
      <c r="BD46" s="4037">
        <f>SUM('объемы ВС и ВО 2023'!CF64)</f>
        <v>0</v>
      </c>
      <c r="BE46" s="4037">
        <f t="shared" si="59"/>
        <v>0</v>
      </c>
      <c r="BF46" s="3512">
        <f>SUM('объемы ВС и ВО 2023'!CG64)</f>
        <v>2346.9039299999999</v>
      </c>
      <c r="BG46" s="3512">
        <f t="shared" si="60"/>
        <v>100</v>
      </c>
      <c r="BH46" s="3512">
        <f>SUM('объемы ВС и ВО 2023'!CI64)</f>
        <v>2368.7195216918999</v>
      </c>
      <c r="BI46" s="3512">
        <f t="shared" si="28"/>
        <v>100.92954770806917</v>
      </c>
      <c r="BJ46" s="4869">
        <f>SUM('объемы ВС и ВО 2023'!CK64)</f>
        <v>1250.4010000000001</v>
      </c>
      <c r="BK46" s="4869">
        <f>SUM('объемы ВС и ВО 2023'!CM64)</f>
        <v>2444.7269999999999</v>
      </c>
    </row>
    <row r="47" spans="1:63" s="1234" customFormat="1" ht="20.100000000000001" customHeight="1" x14ac:dyDescent="0.25">
      <c r="A47" s="3785" t="s">
        <v>2041</v>
      </c>
      <c r="B47" s="3450" t="s">
        <v>3959</v>
      </c>
      <c r="C47" s="3449" t="s">
        <v>938</v>
      </c>
      <c r="D47" s="3493">
        <f t="shared" ref="D47:J47" si="65">D9/D45</f>
        <v>24.290152824649493</v>
      </c>
      <c r="E47" s="3493">
        <f t="shared" si="65"/>
        <v>22.912708649111735</v>
      </c>
      <c r="F47" s="3493">
        <f t="shared" si="65"/>
        <v>24.708181875298283</v>
      </c>
      <c r="G47" s="3493">
        <f t="shared" si="65"/>
        <v>19.350159171924744</v>
      </c>
      <c r="H47" s="3493">
        <f t="shared" si="65"/>
        <v>27.621223433219228</v>
      </c>
      <c r="I47" s="3493">
        <f t="shared" si="65"/>
        <v>26.163633082836338</v>
      </c>
      <c r="J47" s="3493">
        <f t="shared" si="65"/>
        <v>28.026003124999999</v>
      </c>
      <c r="K47" s="3493">
        <f>K44/K45</f>
        <v>25.880959249675634</v>
      </c>
      <c r="L47" s="3493"/>
      <c r="M47" s="3493"/>
      <c r="N47" s="3493">
        <f>(N9+N38)/N45</f>
        <v>28.796345180959044</v>
      </c>
      <c r="O47" s="3493">
        <f>(O9+O38)/O45</f>
        <v>29.739021331602622</v>
      </c>
      <c r="P47" s="3493">
        <f>(P9+P38)/P45</f>
        <v>30.185198142414862</v>
      </c>
      <c r="Q47" s="3493">
        <f>Q44/Q45</f>
        <v>30.646222701821646</v>
      </c>
      <c r="R47" s="3493"/>
      <c r="S47" s="3493">
        <f t="shared" ref="S47" si="66">S44/S45</f>
        <v>25.986234243898696</v>
      </c>
      <c r="T47" s="3493">
        <f t="shared" ref="T47:AF47" si="67">T44/T45</f>
        <v>37.500712074303408</v>
      </c>
      <c r="U47" s="3493">
        <f t="shared" si="67"/>
        <v>37.50302167182663</v>
      </c>
      <c r="V47" s="3493">
        <f t="shared" si="67"/>
        <v>38.687390092879255</v>
      </c>
      <c r="W47" s="3493">
        <f t="shared" si="67"/>
        <v>39.914160990712077</v>
      </c>
      <c r="X47" s="3493">
        <f t="shared" si="67"/>
        <v>41.189746130030962</v>
      </c>
      <c r="Y47" s="3493">
        <f t="shared" si="67"/>
        <v>0</v>
      </c>
      <c r="Z47" s="3493">
        <f t="shared" si="67"/>
        <v>32.063137007529534</v>
      </c>
      <c r="AA47" s="3493">
        <f>Z47/Q47*100</f>
        <v>104.6234549670086</v>
      </c>
      <c r="AB47" s="3493">
        <f>AB44/AB45</f>
        <v>32.060033211587459</v>
      </c>
      <c r="AC47" s="3493">
        <f t="shared" si="67"/>
        <v>33.009835201834115</v>
      </c>
      <c r="AD47" s="3493">
        <f t="shared" si="67"/>
        <v>34.925373758385888</v>
      </c>
      <c r="AE47" s="3493">
        <f t="shared" si="67"/>
        <v>35.93307886554387</v>
      </c>
      <c r="AF47" s="3493">
        <f t="shared" si="67"/>
        <v>36.971404988278294</v>
      </c>
      <c r="AG47" s="3493">
        <f t="shared" ref="AG47:AK47" si="68">AG44/AG45</f>
        <v>33.46014486412907</v>
      </c>
      <c r="AH47" s="3493">
        <f t="shared" si="11"/>
        <v>104.35705294922161</v>
      </c>
      <c r="AI47" s="3493">
        <f t="shared" ref="AI47" si="69">AI44/AI45</f>
        <v>32.603721257602643</v>
      </c>
      <c r="AJ47" s="3493">
        <f t="shared" si="54"/>
        <v>101.68599925187034</v>
      </c>
      <c r="AK47" s="3493">
        <f t="shared" si="68"/>
        <v>26.863158799493849</v>
      </c>
      <c r="AL47" s="3493">
        <f t="shared" ref="AL47:AN47" si="70">AL44/AL45</f>
        <v>26.970946688418067</v>
      </c>
      <c r="AM47" s="3493">
        <f t="shared" si="70"/>
        <v>26.879481182046092</v>
      </c>
      <c r="AN47" s="3771">
        <f t="shared" si="70"/>
        <v>40.742018481435075</v>
      </c>
      <c r="AO47" s="3771">
        <f>SUM(AN47/AI47)*100</f>
        <v>124.96125261141691</v>
      </c>
      <c r="AP47" s="3771">
        <f t="shared" ref="AP47" si="71">AP44/AP45</f>
        <v>33.782784431664652</v>
      </c>
      <c r="AQ47" s="3451">
        <f t="shared" si="57"/>
        <v>103.61634540041061</v>
      </c>
      <c r="AR47" s="3771">
        <f t="shared" ref="AR47:AU47" si="72">AR44/AR45</f>
        <v>26.600469346718207</v>
      </c>
      <c r="AS47" s="3771">
        <f t="shared" si="72"/>
        <v>27.537398486656603</v>
      </c>
      <c r="AT47" s="3771">
        <f t="shared" si="72"/>
        <v>28.291686599105464</v>
      </c>
      <c r="AU47" s="4032">
        <f t="shared" si="72"/>
        <v>44.653785639970792</v>
      </c>
      <c r="AV47" s="4032">
        <f>SUM(AU47/AP47)*100</f>
        <v>132.17911546129613</v>
      </c>
      <c r="AW47" s="4032">
        <f t="shared" ref="AW47" si="73">AW44/AW45</f>
        <v>34.474297963722201</v>
      </c>
      <c r="AX47" s="3451">
        <f t="shared" si="58"/>
        <v>102.04694060507751</v>
      </c>
      <c r="AY47" s="3816">
        <f t="shared" ref="AY47:BB47" si="74">AY44/AY45</f>
        <v>28.972438392457043</v>
      </c>
      <c r="AZ47" s="3816">
        <f t="shared" si="74"/>
        <v>30.310720805786463</v>
      </c>
      <c r="BA47" s="4567">
        <f t="shared" si="74"/>
        <v>31.822377351060371</v>
      </c>
      <c r="BB47" s="4031">
        <f t="shared" si="74"/>
        <v>48.43553838999479</v>
      </c>
      <c r="BC47" s="4031">
        <f>SUM(BB47/AW47)*100</f>
        <v>140.49753367266305</v>
      </c>
      <c r="BD47" s="4034">
        <f t="shared" ref="BD47" si="75">BD44/BD45</f>
        <v>5496.2249394261644</v>
      </c>
      <c r="BE47" s="4037">
        <f t="shared" si="59"/>
        <v>15942.964074888258</v>
      </c>
      <c r="BF47" s="4061">
        <f t="shared" ref="BF47" si="76">BF44/BF45</f>
        <v>54.299317950264602</v>
      </c>
      <c r="BG47" s="4061">
        <f>SUM(BF47/AW47)*100</f>
        <v>157.50666774245715</v>
      </c>
      <c r="BH47" s="4154">
        <f t="shared" ref="BH47" si="77">BH44/BH45</f>
        <v>40.700162386035515</v>
      </c>
      <c r="BI47" s="3512">
        <f t="shared" si="28"/>
        <v>118.05943787126539</v>
      </c>
      <c r="BJ47" s="4876">
        <f t="shared" ref="BJ47:BK47" si="78">BJ44/BJ45</f>
        <v>32.03152514368427</v>
      </c>
      <c r="BK47" s="4876">
        <f t="shared" si="78"/>
        <v>34.320883589610595</v>
      </c>
    </row>
    <row r="48" spans="1:63" s="1234" customFormat="1" x14ac:dyDescent="0.25">
      <c r="A48" s="3785"/>
      <c r="B48" s="3495" t="s">
        <v>939</v>
      </c>
      <c r="C48" s="3449" t="s">
        <v>938</v>
      </c>
      <c r="D48" s="3539">
        <f>D47</f>
        <v>24.290152824649493</v>
      </c>
      <c r="E48" s="3449"/>
      <c r="F48" s="3451">
        <v>24.29</v>
      </c>
      <c r="G48" s="3451">
        <f>F48</f>
        <v>24.29</v>
      </c>
      <c r="H48" s="3451">
        <f>F48</f>
        <v>24.29</v>
      </c>
      <c r="I48" s="3451">
        <f>F49</f>
        <v>25.126363750596568</v>
      </c>
      <c r="J48" s="3451"/>
      <c r="K48" s="3451">
        <f>F49</f>
        <v>25.126363750596568</v>
      </c>
      <c r="L48" s="3451"/>
      <c r="M48" s="3451"/>
      <c r="N48" s="3451">
        <f>I49</f>
        <v>27.200902415076108</v>
      </c>
      <c r="O48" s="3451">
        <f>K49</f>
        <v>26.6355547487547</v>
      </c>
      <c r="P48" s="3451">
        <f>K49</f>
        <v>26.6355547487547</v>
      </c>
      <c r="Q48" s="3451">
        <f>K49</f>
        <v>26.6355547487547</v>
      </c>
      <c r="R48" s="3451"/>
      <c r="S48" s="3451"/>
      <c r="T48" s="3451"/>
      <c r="U48" s="3451"/>
      <c r="V48" s="3451"/>
      <c r="W48" s="3451"/>
      <c r="X48" s="3451"/>
      <c r="Y48" s="3451"/>
      <c r="Z48" s="3451">
        <f>Z47</f>
        <v>32.063137007529534</v>
      </c>
      <c r="AA48" s="3451"/>
      <c r="AB48" s="3451">
        <f>Z49</f>
        <v>32.063137007529534</v>
      </c>
      <c r="AC48" s="3451">
        <f>AB49</f>
        <v>32.056929415645385</v>
      </c>
      <c r="AD48" s="3451">
        <f t="shared" ref="AD48:AF48" si="79">AC49</f>
        <v>33.962740988022844</v>
      </c>
      <c r="AE48" s="3451">
        <f t="shared" si="79"/>
        <v>35.888006528748932</v>
      </c>
      <c r="AF48" s="3451">
        <f t="shared" si="79"/>
        <v>35.978151202338807</v>
      </c>
      <c r="AG48" s="3451">
        <f>SUM(Z49)</f>
        <v>32.063137007529534</v>
      </c>
      <c r="AH48" s="3451"/>
      <c r="AI48" s="3451">
        <f>SUM(AB49)+0.006</f>
        <v>32.062929415645385</v>
      </c>
      <c r="AJ48" s="3451"/>
      <c r="AK48" s="3451"/>
      <c r="AL48" s="3451"/>
      <c r="AM48" s="3451"/>
      <c r="AN48" s="3451">
        <f>SUM(AI49)</f>
        <v>33.144513099559902</v>
      </c>
      <c r="AO48" s="3451"/>
      <c r="AP48" s="3451">
        <f>SUM(AI49)</f>
        <v>33.144513099559902</v>
      </c>
      <c r="AQ48" s="3451"/>
      <c r="AR48" s="3451"/>
      <c r="AS48" s="3451"/>
      <c r="AT48" s="3451"/>
      <c r="AU48" s="3451">
        <f>SUM(AP49)</f>
        <v>34.421055763769402</v>
      </c>
      <c r="AV48" s="3451"/>
      <c r="AW48" s="3451">
        <f>SUM(AP49)</f>
        <v>34.421055763769402</v>
      </c>
      <c r="AX48" s="3451"/>
      <c r="AY48" s="3811"/>
      <c r="AZ48" s="3512"/>
      <c r="BA48" s="3451"/>
      <c r="BB48" s="3512">
        <f>SUM(AW49)</f>
        <v>34.527540163674999</v>
      </c>
      <c r="BC48" s="3512"/>
      <c r="BD48" s="4037">
        <f>SUM(AW49)</f>
        <v>34.527540163674999</v>
      </c>
      <c r="BE48" s="4037"/>
      <c r="BF48" s="3512">
        <f>SUM(AW49)</f>
        <v>34.527540163674999</v>
      </c>
      <c r="BG48" s="3512"/>
      <c r="BH48" s="3512"/>
      <c r="BI48" s="3512"/>
      <c r="BJ48" s="4869"/>
      <c r="BK48" s="4869"/>
    </row>
    <row r="49" spans="1:63" s="1234" customFormat="1" x14ac:dyDescent="0.25">
      <c r="A49" s="3785"/>
      <c r="B49" s="3495" t="s">
        <v>940</v>
      </c>
      <c r="C49" s="3449" t="s">
        <v>938</v>
      </c>
      <c r="D49" s="3539">
        <f>D48</f>
        <v>24.290152824649493</v>
      </c>
      <c r="E49" s="3449"/>
      <c r="F49" s="3451">
        <f>F47*2-F48</f>
        <v>25.126363750596568</v>
      </c>
      <c r="G49" s="3451">
        <f t="shared" ref="G49:H49" si="80">G47*2-G48</f>
        <v>14.41031834384949</v>
      </c>
      <c r="H49" s="3451">
        <f t="shared" si="80"/>
        <v>30.952446866438457</v>
      </c>
      <c r="I49" s="3451">
        <f>I47*2-I48</f>
        <v>27.200902415076108</v>
      </c>
      <c r="J49" s="3451"/>
      <c r="K49" s="3451">
        <f>K47*2-K48</f>
        <v>26.6355547487547</v>
      </c>
      <c r="L49" s="3451"/>
      <c r="M49" s="3451"/>
      <c r="N49" s="3451">
        <f>N47*2-N48</f>
        <v>30.39178794684198</v>
      </c>
      <c r="O49" s="3451">
        <f>O47*2-O48</f>
        <v>32.842487914450544</v>
      </c>
      <c r="P49" s="3451">
        <f t="shared" ref="P49:Q49" si="81">P47*2-P48</f>
        <v>33.734841536075024</v>
      </c>
      <c r="Q49" s="3451">
        <f t="shared" si="81"/>
        <v>34.656890654888592</v>
      </c>
      <c r="R49" s="3451"/>
      <c r="S49" s="3451"/>
      <c r="T49" s="3451"/>
      <c r="U49" s="3451"/>
      <c r="V49" s="3451"/>
      <c r="W49" s="3451"/>
      <c r="X49" s="3451"/>
      <c r="Y49" s="3451"/>
      <c r="Z49" s="3451">
        <f t="shared" ref="Z49:AF49" si="82">Z47*2-Z48</f>
        <v>32.063137007529534</v>
      </c>
      <c r="AA49" s="3451"/>
      <c r="AB49" s="3451">
        <f t="shared" si="82"/>
        <v>32.056929415645385</v>
      </c>
      <c r="AC49" s="3451">
        <f t="shared" si="82"/>
        <v>33.962740988022844</v>
      </c>
      <c r="AD49" s="3451">
        <f t="shared" si="82"/>
        <v>35.888006528748932</v>
      </c>
      <c r="AE49" s="3451">
        <f t="shared" si="82"/>
        <v>35.978151202338807</v>
      </c>
      <c r="AF49" s="3451">
        <f t="shared" si="82"/>
        <v>37.964658774217781</v>
      </c>
      <c r="AG49" s="3451">
        <f t="shared" ref="AG49:AI49" si="83">AG47*2-AG48</f>
        <v>34.857152720728607</v>
      </c>
      <c r="AH49" s="3451"/>
      <c r="AI49" s="3451">
        <f t="shared" si="83"/>
        <v>33.144513099559902</v>
      </c>
      <c r="AJ49" s="3451"/>
      <c r="AK49" s="3451"/>
      <c r="AL49" s="3451"/>
      <c r="AM49" s="3451"/>
      <c r="AN49" s="3451">
        <f t="shared" ref="AN49" si="84">AN47*2-AN48</f>
        <v>48.339523863310248</v>
      </c>
      <c r="AO49" s="3451"/>
      <c r="AP49" s="3451">
        <f t="shared" ref="AP49" si="85">AP47*2-AP48</f>
        <v>34.421055763769402</v>
      </c>
      <c r="AQ49" s="3451"/>
      <c r="AR49" s="3451"/>
      <c r="AS49" s="3451"/>
      <c r="AT49" s="3451"/>
      <c r="AU49" s="3451">
        <f t="shared" ref="AU49" si="86">AU47*2-AU48</f>
        <v>54.886515516172182</v>
      </c>
      <c r="AV49" s="3451"/>
      <c r="AW49" s="3451">
        <f t="shared" ref="AW49" si="87">AW47*2-AW48</f>
        <v>34.527540163674999</v>
      </c>
      <c r="AX49" s="3451"/>
      <c r="AY49" s="3811"/>
      <c r="AZ49" s="3512"/>
      <c r="BA49" s="3451"/>
      <c r="BB49" s="3512">
        <f t="shared" ref="BB49" si="88">BB47*2-BB48</f>
        <v>62.34353661631458</v>
      </c>
      <c r="BC49" s="3512"/>
      <c r="BD49" s="4037">
        <f t="shared" ref="BD49" si="89">BD47*2-BD48</f>
        <v>10957.922338688653</v>
      </c>
      <c r="BE49" s="4037"/>
      <c r="BF49" s="3512">
        <f t="shared" ref="BF49" si="90">BF47*2-BF48</f>
        <v>74.071095736854204</v>
      </c>
      <c r="BG49" s="3512"/>
      <c r="BH49" s="3512"/>
      <c r="BI49" s="3512"/>
      <c r="BJ49" s="4869"/>
      <c r="BK49" s="4869"/>
    </row>
    <row r="50" spans="1:63" s="1234" customFormat="1" x14ac:dyDescent="0.25">
      <c r="A50" s="4157"/>
      <c r="B50" s="3495" t="s">
        <v>4231</v>
      </c>
      <c r="C50" s="4157"/>
      <c r="D50" s="3539"/>
      <c r="E50" s="4157"/>
      <c r="F50" s="3451"/>
      <c r="G50" s="3451"/>
      <c r="H50" s="3451"/>
      <c r="I50" s="3451"/>
      <c r="J50" s="3451"/>
      <c r="K50" s="3451"/>
      <c r="L50" s="3451"/>
      <c r="M50" s="3451"/>
      <c r="N50" s="3451"/>
      <c r="O50" s="3451"/>
      <c r="P50" s="3451"/>
      <c r="Q50" s="3451"/>
      <c r="R50" s="3451"/>
      <c r="S50" s="3451"/>
      <c r="T50" s="3451"/>
      <c r="U50" s="3451"/>
      <c r="V50" s="3451"/>
      <c r="W50" s="3451"/>
      <c r="X50" s="3451"/>
      <c r="Y50" s="3451"/>
      <c r="Z50" s="3451"/>
      <c r="AA50" s="3451"/>
      <c r="AB50" s="3451"/>
      <c r="AC50" s="3451"/>
      <c r="AD50" s="3451"/>
      <c r="AE50" s="3451"/>
      <c r="AF50" s="3451"/>
      <c r="AG50" s="3451"/>
      <c r="AH50" s="3451"/>
      <c r="AI50" s="3451"/>
      <c r="AJ50" s="3451"/>
      <c r="AK50" s="3451"/>
      <c r="AL50" s="3451"/>
      <c r="AM50" s="3451"/>
      <c r="AN50" s="3451"/>
      <c r="AO50" s="3451"/>
      <c r="AP50" s="3451"/>
      <c r="AQ50" s="3451"/>
      <c r="AR50" s="3451"/>
      <c r="AS50" s="3451"/>
      <c r="AT50" s="3451"/>
      <c r="AU50" s="3451"/>
      <c r="AV50" s="3451"/>
      <c r="AW50" s="3451"/>
      <c r="AX50" s="3451"/>
      <c r="AY50" s="3811"/>
      <c r="AZ50" s="3512"/>
      <c r="BA50" s="3451"/>
      <c r="BB50" s="3512"/>
      <c r="BC50" s="3512"/>
      <c r="BD50" s="4037"/>
      <c r="BE50" s="4037"/>
      <c r="BF50" s="3512"/>
      <c r="BG50" s="3512"/>
      <c r="BH50" s="3512">
        <f>SUM(BH47)</f>
        <v>40.700162386035515</v>
      </c>
      <c r="BI50" s="3512"/>
      <c r="BJ50" s="4869"/>
      <c r="BK50" s="4869"/>
    </row>
    <row r="51" spans="1:63" s="1234" customFormat="1" x14ac:dyDescent="0.25">
      <c r="A51" s="3785"/>
      <c r="B51" s="3450" t="s">
        <v>941</v>
      </c>
      <c r="C51" s="3449"/>
      <c r="D51" s="3449"/>
      <c r="E51" s="3449"/>
      <c r="F51" s="3451"/>
      <c r="G51" s="3451"/>
      <c r="H51" s="3451"/>
      <c r="I51" s="3451"/>
      <c r="J51" s="3451"/>
      <c r="K51" s="3451"/>
      <c r="L51" s="3451"/>
      <c r="M51" s="3451"/>
      <c r="N51" s="3451"/>
      <c r="O51" s="3451"/>
      <c r="P51" s="3451"/>
      <c r="Q51" s="3451"/>
      <c r="R51" s="3451"/>
      <c r="S51" s="3451"/>
      <c r="T51" s="3451"/>
      <c r="U51" s="3451"/>
      <c r="V51" s="3451"/>
      <c r="W51" s="3451"/>
      <c r="X51" s="3451"/>
      <c r="Y51" s="3451"/>
      <c r="Z51" s="3451"/>
      <c r="AA51" s="3451"/>
      <c r="AB51" s="3451"/>
      <c r="AC51" s="3451"/>
      <c r="AD51" s="3451"/>
      <c r="AE51" s="3451"/>
      <c r="AF51" s="3451"/>
      <c r="AG51" s="3451"/>
      <c r="AH51" s="3451"/>
      <c r="AI51" s="3451"/>
      <c r="AJ51" s="3451"/>
      <c r="AK51" s="3451"/>
      <c r="AL51" s="3451"/>
      <c r="AM51" s="3451"/>
      <c r="AN51" s="3451"/>
      <c r="AO51" s="3451"/>
      <c r="AP51" s="3451"/>
      <c r="AQ51" s="3451"/>
      <c r="AR51" s="3451"/>
      <c r="AS51" s="3451"/>
      <c r="AT51" s="3451"/>
      <c r="AU51" s="3451"/>
      <c r="AV51" s="3451"/>
      <c r="AW51" s="3451"/>
      <c r="AX51" s="3451"/>
      <c r="AY51" s="3811"/>
      <c r="AZ51" s="3512"/>
      <c r="BA51" s="3451"/>
      <c r="BB51" s="3512"/>
      <c r="BC51" s="3512"/>
      <c r="BD51" s="4037"/>
      <c r="BE51" s="4037"/>
      <c r="BF51" s="3512"/>
      <c r="BG51" s="3512"/>
      <c r="BH51" s="3512"/>
      <c r="BI51" s="3512"/>
      <c r="BJ51" s="4869"/>
      <c r="BK51" s="4869"/>
    </row>
    <row r="52" spans="1:63" s="1234" customFormat="1" x14ac:dyDescent="0.25">
      <c r="A52" s="3785"/>
      <c r="B52" s="3495" t="s">
        <v>939</v>
      </c>
      <c r="C52" s="3449" t="s">
        <v>44</v>
      </c>
      <c r="D52" s="3449"/>
      <c r="E52" s="3449"/>
      <c r="F52" s="3451"/>
      <c r="G52" s="3451"/>
      <c r="H52" s="3451"/>
      <c r="I52" s="3451">
        <f>I48/F49*100</f>
        <v>100</v>
      </c>
      <c r="J52" s="3451"/>
      <c r="K52" s="3451">
        <f>K48/F49*100</f>
        <v>100</v>
      </c>
      <c r="L52" s="3451"/>
      <c r="M52" s="3451"/>
      <c r="N52" s="3451">
        <f>N48/I49*100</f>
        <v>100</v>
      </c>
      <c r="O52" s="3451">
        <f>O48/K49*100</f>
        <v>100</v>
      </c>
      <c r="P52" s="3451"/>
      <c r="Q52" s="3451"/>
      <c r="R52" s="3451"/>
      <c r="S52" s="3451"/>
      <c r="T52" s="3451"/>
      <c r="U52" s="3451"/>
      <c r="V52" s="3451"/>
      <c r="W52" s="3451"/>
      <c r="X52" s="3451"/>
      <c r="Y52" s="3451"/>
      <c r="Z52" s="3451">
        <f>Z48/Q49*100</f>
        <v>92.515907808385023</v>
      </c>
      <c r="AA52" s="3451"/>
      <c r="AB52" s="3451">
        <f>AB48/Z49*100</f>
        <v>100</v>
      </c>
      <c r="AC52" s="3451">
        <f t="shared" ref="AC52:AF52" si="91">AC48/AB49*100</f>
        <v>100</v>
      </c>
      <c r="AD52" s="3451">
        <f t="shared" si="91"/>
        <v>100</v>
      </c>
      <c r="AE52" s="3451">
        <f t="shared" si="91"/>
        <v>100</v>
      </c>
      <c r="AF52" s="3451">
        <f t="shared" si="91"/>
        <v>100</v>
      </c>
      <c r="AG52" s="3451">
        <f>SUM(AG48/Z49)*100</f>
        <v>100</v>
      </c>
      <c r="AH52" s="3451"/>
      <c r="AI52" s="3498">
        <f>SUM(AI48/AB49)*100</f>
        <v>100.01871670215886</v>
      </c>
      <c r="AJ52" s="3451"/>
      <c r="AK52" s="3451"/>
      <c r="AL52" s="3451"/>
      <c r="AM52" s="3451"/>
      <c r="AN52" s="3451">
        <f>SUM(AN48/AI49)*100</f>
        <v>100</v>
      </c>
      <c r="AO52" s="3451"/>
      <c r="AP52" s="3498">
        <f>SUM(AP48/AI49)*100</f>
        <v>100</v>
      </c>
      <c r="AQ52" s="3451"/>
      <c r="AR52" s="3451"/>
      <c r="AS52" s="3451"/>
      <c r="AT52" s="3451"/>
      <c r="AU52" s="3451">
        <f>SUM(AU48/AP49)*100</f>
        <v>100</v>
      </c>
      <c r="AV52" s="3451"/>
      <c r="AW52" s="3498">
        <f>SUM(AW48/AP49)*100</f>
        <v>100</v>
      </c>
      <c r="AX52" s="3451"/>
      <c r="AY52" s="3811"/>
      <c r="AZ52" s="3512"/>
      <c r="BA52" s="3451"/>
      <c r="BB52" s="3512">
        <f>SUM(BB48/AW49)*100</f>
        <v>100</v>
      </c>
      <c r="BC52" s="3512"/>
      <c r="BD52" s="4042">
        <f>SUM(BD48/AW49)*100</f>
        <v>100</v>
      </c>
      <c r="BE52" s="4037"/>
      <c r="BF52" s="3512">
        <f>SUM(BF48/AW49)*100</f>
        <v>100</v>
      </c>
      <c r="BG52" s="3512"/>
      <c r="BH52" s="3532"/>
      <c r="BI52" s="3512"/>
      <c r="BJ52" s="4869"/>
      <c r="BK52" s="4869"/>
    </row>
    <row r="53" spans="1:63" s="1234" customFormat="1" x14ac:dyDescent="0.25">
      <c r="A53" s="3785"/>
      <c r="B53" s="3495" t="s">
        <v>940</v>
      </c>
      <c r="C53" s="3449" t="s">
        <v>44</v>
      </c>
      <c r="D53" s="3449"/>
      <c r="E53" s="3449"/>
      <c r="F53" s="3451">
        <f>F49/F48*100</f>
        <v>103.44324310661412</v>
      </c>
      <c r="G53" s="3451"/>
      <c r="H53" s="3451"/>
      <c r="I53" s="3451">
        <f>I49/I48*100</f>
        <v>108.25642215909687</v>
      </c>
      <c r="J53" s="3451"/>
      <c r="K53" s="3451">
        <f>K49/K48*100</f>
        <v>106.00640432152584</v>
      </c>
      <c r="L53" s="3451"/>
      <c r="M53" s="3451"/>
      <c r="N53" s="3451">
        <f>N49/N48*100</f>
        <v>111.73080761466694</v>
      </c>
      <c r="O53" s="3451">
        <f>O49/O48*100</f>
        <v>123.30318712804748</v>
      </c>
      <c r="P53" s="3451">
        <f t="shared" ref="P53:Q53" si="92">P49/P48*100</f>
        <v>126.6534219177554</v>
      </c>
      <c r="Q53" s="3451">
        <f t="shared" si="92"/>
        <v>130.11514489484745</v>
      </c>
      <c r="R53" s="3451"/>
      <c r="S53" s="3451"/>
      <c r="T53" s="3451"/>
      <c r="U53" s="3451"/>
      <c r="V53" s="3451"/>
      <c r="W53" s="3451"/>
      <c r="X53" s="3451"/>
      <c r="Y53" s="3451"/>
      <c r="Z53" s="3451">
        <f>Z49/Z48*100</f>
        <v>100</v>
      </c>
      <c r="AA53" s="3451"/>
      <c r="AB53" s="3451">
        <f t="shared" ref="AB53:AF53" si="93">AB49/AB48*100</f>
        <v>99.980639474288836</v>
      </c>
      <c r="AC53" s="3451">
        <f t="shared" si="93"/>
        <v>105.94508459518062</v>
      </c>
      <c r="AD53" s="3451">
        <f t="shared" si="93"/>
        <v>105.6687578349611</v>
      </c>
      <c r="AE53" s="3451">
        <f t="shared" si="93"/>
        <v>100.25118328463762</v>
      </c>
      <c r="AF53" s="3451">
        <f t="shared" si="93"/>
        <v>105.52142760395604</v>
      </c>
      <c r="AG53" s="3451">
        <f>AG49/AG48*100</f>
        <v>108.71410589844326</v>
      </c>
      <c r="AH53" s="3451"/>
      <c r="AI53" s="3451">
        <f>AI49/AI48*100</f>
        <v>103.37331523858437</v>
      </c>
      <c r="AJ53" s="3451"/>
      <c r="AK53" s="3451"/>
      <c r="AL53" s="3451"/>
      <c r="AM53" s="3451"/>
      <c r="AN53" s="3451">
        <f>AN49/AN48*100</f>
        <v>145.84472463996494</v>
      </c>
      <c r="AO53" s="3451"/>
      <c r="AP53" s="3451">
        <f>AP49/AP48*100</f>
        <v>103.85144491450215</v>
      </c>
      <c r="AQ53" s="3451"/>
      <c r="AR53" s="3451"/>
      <c r="AS53" s="3451"/>
      <c r="AT53" s="3451"/>
      <c r="AU53" s="3451">
        <f>AU49/AU48*100</f>
        <v>159.4562232281792</v>
      </c>
      <c r="AV53" s="3451"/>
      <c r="AW53" s="3451">
        <f>AW49/AW48*100</f>
        <v>100.30935832019911</v>
      </c>
      <c r="AX53" s="3451"/>
      <c r="AY53" s="3811"/>
      <c r="AZ53" s="3512"/>
      <c r="BA53" s="3451"/>
      <c r="BB53" s="3512">
        <f>BB49/BB48*100</f>
        <v>180.56176698594834</v>
      </c>
      <c r="BC53" s="3512"/>
      <c r="BD53" s="4037">
        <f>BD49/BD48*100</f>
        <v>31736.759371630626</v>
      </c>
      <c r="BE53" s="4037"/>
      <c r="BF53" s="3512">
        <f>BF49/BF48*100</f>
        <v>214.52757823385679</v>
      </c>
      <c r="BG53" s="3512"/>
      <c r="BH53" s="3512"/>
      <c r="BI53" s="3512"/>
      <c r="BJ53" s="4869"/>
      <c r="BK53" s="4869"/>
    </row>
    <row r="54" spans="1:63" s="1234" customFormat="1" x14ac:dyDescent="0.25">
      <c r="A54" s="4157"/>
      <c r="B54" s="3495" t="s">
        <v>4231</v>
      </c>
      <c r="C54" s="4157"/>
      <c r="D54" s="4157"/>
      <c r="E54" s="4157"/>
      <c r="F54" s="3451"/>
      <c r="G54" s="3451"/>
      <c r="H54" s="3451"/>
      <c r="I54" s="3451"/>
      <c r="J54" s="3451"/>
      <c r="K54" s="3451"/>
      <c r="L54" s="3451"/>
      <c r="M54" s="3451"/>
      <c r="N54" s="3451"/>
      <c r="O54" s="3451"/>
      <c r="P54" s="3451"/>
      <c r="Q54" s="3451"/>
      <c r="R54" s="3451"/>
      <c r="S54" s="3451"/>
      <c r="T54" s="3451"/>
      <c r="U54" s="3451"/>
      <c r="V54" s="3451"/>
      <c r="W54" s="3451"/>
      <c r="X54" s="3451"/>
      <c r="Y54" s="3451"/>
      <c r="Z54" s="3451"/>
      <c r="AA54" s="3451"/>
      <c r="AB54" s="3451"/>
      <c r="AC54" s="3451"/>
      <c r="AD54" s="3451"/>
      <c r="AE54" s="3451"/>
      <c r="AF54" s="3451"/>
      <c r="AG54" s="3451"/>
      <c r="AH54" s="3451"/>
      <c r="AI54" s="3451"/>
      <c r="AJ54" s="3451"/>
      <c r="AK54" s="3451"/>
      <c r="AL54" s="3451"/>
      <c r="AM54" s="3451"/>
      <c r="AN54" s="3451"/>
      <c r="AO54" s="3451"/>
      <c r="AP54" s="3451"/>
      <c r="AQ54" s="3451"/>
      <c r="AR54" s="3451"/>
      <c r="AS54" s="3451"/>
      <c r="AT54" s="3451"/>
      <c r="AU54" s="3451"/>
      <c r="AV54" s="3451"/>
      <c r="AW54" s="3451"/>
      <c r="AX54" s="3451"/>
      <c r="AY54" s="3811"/>
      <c r="AZ54" s="3512"/>
      <c r="BA54" s="3451"/>
      <c r="BB54" s="3512"/>
      <c r="BC54" s="3512"/>
      <c r="BD54" s="4037"/>
      <c r="BE54" s="4037"/>
      <c r="BF54" s="3512"/>
      <c r="BG54" s="3512"/>
      <c r="BH54" s="3512">
        <f>SUM(BH50/AW49)*100</f>
        <v>117.87738771166352</v>
      </c>
      <c r="BI54" s="3512"/>
      <c r="BJ54" s="4869"/>
      <c r="BK54" s="4869"/>
    </row>
    <row r="55" spans="1:63" s="2740" customFormat="1" ht="20.100000000000001" customHeight="1" x14ac:dyDescent="0.25">
      <c r="A55" s="3501" t="s">
        <v>2045</v>
      </c>
      <c r="B55" s="3450" t="s">
        <v>3551</v>
      </c>
      <c r="C55" s="2584"/>
      <c r="D55" s="2584"/>
      <c r="E55" s="2584"/>
      <c r="F55" s="2584"/>
      <c r="G55" s="2584"/>
      <c r="H55" s="2584"/>
      <c r="I55" s="2584"/>
      <c r="J55" s="2584"/>
      <c r="K55" s="2584"/>
      <c r="L55" s="2584"/>
      <c r="M55" s="2584"/>
      <c r="N55" s="2584"/>
      <c r="O55" s="2584"/>
      <c r="P55" s="2584"/>
      <c r="Q55" s="2584"/>
      <c r="R55" s="2584"/>
      <c r="S55" s="2584"/>
      <c r="T55" s="2584"/>
      <c r="U55" s="2584"/>
      <c r="V55" s="2584"/>
      <c r="W55" s="2584"/>
      <c r="X55" s="2584"/>
      <c r="Y55" s="2584"/>
      <c r="Z55" s="2584"/>
      <c r="AA55" s="2584"/>
      <c r="AB55" s="2584"/>
      <c r="AC55" s="2584"/>
      <c r="AD55" s="2584"/>
      <c r="AE55" s="2584"/>
      <c r="AF55" s="2584"/>
      <c r="AG55" s="2584"/>
      <c r="AH55" s="3451"/>
      <c r="AI55" s="2584"/>
      <c r="AJ55" s="3451"/>
      <c r="AK55" s="2584"/>
      <c r="AL55" s="2584"/>
      <c r="AM55" s="2584"/>
      <c r="AN55" s="2584"/>
      <c r="AO55" s="3451"/>
      <c r="AP55" s="2584"/>
      <c r="AQ55" s="3451"/>
      <c r="AR55" s="2584"/>
      <c r="AS55" s="2584"/>
      <c r="AT55" s="2584"/>
      <c r="AU55" s="2584"/>
      <c r="AV55" s="3451"/>
      <c r="AW55" s="2584"/>
      <c r="AX55" s="3451"/>
      <c r="AY55" s="3817"/>
      <c r="AZ55" s="2457"/>
      <c r="BA55" s="2584"/>
      <c r="BB55" s="2457"/>
      <c r="BC55" s="3512"/>
      <c r="BD55" s="4043"/>
      <c r="BE55" s="4037"/>
      <c r="BF55" s="2457"/>
      <c r="BG55" s="3512"/>
      <c r="BH55" s="2457"/>
      <c r="BI55" s="3512"/>
      <c r="BJ55" s="4877"/>
      <c r="BK55" s="4877"/>
    </row>
    <row r="56" spans="1:63" s="2740" customFormat="1" x14ac:dyDescent="0.25">
      <c r="A56" s="2584"/>
      <c r="B56" s="3495" t="s">
        <v>939</v>
      </c>
      <c r="C56" s="3502" t="s">
        <v>944</v>
      </c>
      <c r="D56" s="3502"/>
      <c r="E56" s="3502"/>
      <c r="F56" s="3504">
        <v>21.01</v>
      </c>
      <c r="G56" s="3504"/>
      <c r="H56" s="3504"/>
      <c r="I56" s="3504">
        <f>F57</f>
        <v>22.500000000000004</v>
      </c>
      <c r="J56" s="3504"/>
      <c r="K56" s="3504">
        <f>F57</f>
        <v>22.500000000000004</v>
      </c>
      <c r="L56" s="3504"/>
      <c r="M56" s="3504"/>
      <c r="N56" s="3504">
        <f>I57</f>
        <v>23.782500000000002</v>
      </c>
      <c r="O56" s="3504"/>
      <c r="P56" s="3504"/>
      <c r="Q56" s="3504">
        <f>K57</f>
        <v>23.467500000000001</v>
      </c>
      <c r="R56" s="3504"/>
      <c r="S56" s="3504"/>
      <c r="T56" s="3504"/>
      <c r="U56" s="3504"/>
      <c r="V56" s="3504"/>
      <c r="W56" s="3504"/>
      <c r="X56" s="3504"/>
      <c r="Y56" s="3504"/>
      <c r="Z56" s="3504">
        <f>Q57</f>
        <v>24.87</v>
      </c>
      <c r="AA56" s="3504"/>
      <c r="AB56" s="3504">
        <f>Z57</f>
        <v>25.44201</v>
      </c>
      <c r="AC56" s="3504">
        <f t="shared" ref="AC56:AF56" si="94">AB57</f>
        <v>26.459690399999999</v>
      </c>
      <c r="AD56" s="3504">
        <f t="shared" si="94"/>
        <v>27.518078016</v>
      </c>
      <c r="AE56" s="3504">
        <f t="shared" si="94"/>
        <v>28.618801136640002</v>
      </c>
      <c r="AF56" s="3504">
        <f t="shared" si="94"/>
        <v>29.763553182105603</v>
      </c>
      <c r="AG56" s="3504">
        <f>SUM(Z57)</f>
        <v>25.44201</v>
      </c>
      <c r="AH56" s="3451"/>
      <c r="AI56" s="3504">
        <f>SUM(Z57)</f>
        <v>25.44201</v>
      </c>
      <c r="AJ56" s="3451"/>
      <c r="AK56" s="3504"/>
      <c r="AL56" s="3504"/>
      <c r="AM56" s="3504"/>
      <c r="AN56" s="3504">
        <f>SUM(AI57)</f>
        <v>26.459690399999999</v>
      </c>
      <c r="AO56" s="3451"/>
      <c r="AP56" s="3504">
        <v>26.46</v>
      </c>
      <c r="AQ56" s="3451"/>
      <c r="AR56" s="3504"/>
      <c r="AS56" s="3504"/>
      <c r="AT56" s="3504"/>
      <c r="AU56" s="3504">
        <f>SUM(AP57)</f>
        <v>27.25</v>
      </c>
      <c r="AV56" s="3451"/>
      <c r="AW56" s="3504">
        <f>SUM(AP57)</f>
        <v>27.25</v>
      </c>
      <c r="AX56" s="3451"/>
      <c r="AY56" s="3818"/>
      <c r="AZ56" s="3516"/>
      <c r="BA56" s="3504"/>
      <c r="BB56" s="3516">
        <f>SUM(AW57)</f>
        <v>29</v>
      </c>
      <c r="BC56" s="3512"/>
      <c r="BD56" s="4044">
        <f>SUM(AW57)</f>
        <v>29</v>
      </c>
      <c r="BE56" s="4037"/>
      <c r="BF56" s="3516">
        <f>SUM(AW57)</f>
        <v>29</v>
      </c>
      <c r="BG56" s="3512"/>
      <c r="BH56" s="3516"/>
      <c r="BI56" s="3512"/>
      <c r="BJ56" s="4878"/>
      <c r="BK56" s="4878"/>
    </row>
    <row r="57" spans="1:63" s="2740" customFormat="1" x14ac:dyDescent="0.25">
      <c r="A57" s="2584"/>
      <c r="B57" s="3495" t="s">
        <v>940</v>
      </c>
      <c r="C57" s="3502" t="s">
        <v>944</v>
      </c>
      <c r="D57" s="3502"/>
      <c r="E57" s="3502"/>
      <c r="F57" s="3504">
        <f>26.55/1.18</f>
        <v>22.500000000000004</v>
      </c>
      <c r="G57" s="3504"/>
      <c r="H57" s="3504"/>
      <c r="I57" s="3504">
        <f>I56*1.057</f>
        <v>23.782500000000002</v>
      </c>
      <c r="J57" s="3504"/>
      <c r="K57" s="3504">
        <f>K56*1.043</f>
        <v>23.467500000000001</v>
      </c>
      <c r="L57" s="3504"/>
      <c r="M57" s="3504"/>
      <c r="N57" s="3504">
        <f>N56*1.06</f>
        <v>25.209450000000004</v>
      </c>
      <c r="O57" s="3504"/>
      <c r="P57" s="3504"/>
      <c r="Q57" s="3504">
        <v>24.87</v>
      </c>
      <c r="R57" s="3504"/>
      <c r="S57" s="3504"/>
      <c r="T57" s="3504"/>
      <c r="U57" s="3504"/>
      <c r="V57" s="3504"/>
      <c r="W57" s="3504"/>
      <c r="X57" s="3504"/>
      <c r="Y57" s="3504"/>
      <c r="Z57" s="3504">
        <f>Z56*1.023</f>
        <v>25.44201</v>
      </c>
      <c r="AA57" s="3504"/>
      <c r="AB57" s="3504">
        <f>AB56*1.04</f>
        <v>26.459690399999999</v>
      </c>
      <c r="AC57" s="3504">
        <f t="shared" ref="AC57:AF57" si="95">AC56*1.04</f>
        <v>27.518078016</v>
      </c>
      <c r="AD57" s="3504">
        <f t="shared" si="95"/>
        <v>28.618801136640002</v>
      </c>
      <c r="AE57" s="3504">
        <f t="shared" si="95"/>
        <v>29.763553182105603</v>
      </c>
      <c r="AF57" s="3504">
        <f t="shared" si="95"/>
        <v>30.954095309389828</v>
      </c>
      <c r="AG57" s="3504">
        <f>AG56*1.04</f>
        <v>26.459690399999999</v>
      </c>
      <c r="AH57" s="3451"/>
      <c r="AI57" s="3504">
        <f>AI56*1.04</f>
        <v>26.459690399999999</v>
      </c>
      <c r="AJ57" s="3451"/>
      <c r="AK57" s="3504"/>
      <c r="AL57" s="3504"/>
      <c r="AM57" s="3504"/>
      <c r="AN57" s="3504">
        <f>AN56*1.04</f>
        <v>27.518078016</v>
      </c>
      <c r="AO57" s="3451"/>
      <c r="AP57" s="3504">
        <v>27.25</v>
      </c>
      <c r="AQ57" s="3451"/>
      <c r="AR57" s="3504"/>
      <c r="AS57" s="3504"/>
      <c r="AT57" s="3504"/>
      <c r="AU57" s="3504">
        <f>AU56*1.05</f>
        <v>28.612500000000001</v>
      </c>
      <c r="AV57" s="3451"/>
      <c r="AW57" s="3504">
        <v>29</v>
      </c>
      <c r="AX57" s="3451"/>
      <c r="AY57" s="3818"/>
      <c r="AZ57" s="3516"/>
      <c r="BA57" s="3504"/>
      <c r="BB57" s="3516">
        <f>BB56*1.1</f>
        <v>31.900000000000002</v>
      </c>
      <c r="BC57" s="3512"/>
      <c r="BD57" s="4044">
        <v>29</v>
      </c>
      <c r="BE57" s="4037"/>
      <c r="BF57" s="3516">
        <f>BB56*1.04</f>
        <v>30.16</v>
      </c>
      <c r="BG57" s="3512"/>
      <c r="BH57" s="3516"/>
      <c r="BI57" s="3512"/>
      <c r="BJ57" s="4878"/>
      <c r="BK57" s="4878"/>
    </row>
    <row r="58" spans="1:63" s="2740" customFormat="1" x14ac:dyDescent="0.25">
      <c r="A58" s="2584"/>
      <c r="B58" s="3495" t="s">
        <v>4231</v>
      </c>
      <c r="C58" s="3502"/>
      <c r="D58" s="3502"/>
      <c r="E58" s="3502"/>
      <c r="F58" s="3504"/>
      <c r="G58" s="3504"/>
      <c r="H58" s="3504"/>
      <c r="I58" s="3504"/>
      <c r="J58" s="3504"/>
      <c r="K58" s="3504"/>
      <c r="L58" s="3504"/>
      <c r="M58" s="3504"/>
      <c r="N58" s="3504"/>
      <c r="O58" s="3504"/>
      <c r="P58" s="3504"/>
      <c r="Q58" s="3504"/>
      <c r="R58" s="3504"/>
      <c r="S58" s="3504"/>
      <c r="T58" s="3504"/>
      <c r="U58" s="3504"/>
      <c r="V58" s="3504"/>
      <c r="W58" s="3504"/>
      <c r="X58" s="3504"/>
      <c r="Y58" s="3504"/>
      <c r="Z58" s="3504"/>
      <c r="AA58" s="3504"/>
      <c r="AB58" s="3504"/>
      <c r="AC58" s="3504"/>
      <c r="AD58" s="3504"/>
      <c r="AE58" s="3504"/>
      <c r="AF58" s="3504"/>
      <c r="AG58" s="3504"/>
      <c r="AH58" s="3451"/>
      <c r="AI58" s="3504"/>
      <c r="AJ58" s="3451"/>
      <c r="AK58" s="3504"/>
      <c r="AL58" s="3504"/>
      <c r="AM58" s="3504"/>
      <c r="AN58" s="3504"/>
      <c r="AO58" s="3451"/>
      <c r="AP58" s="3504"/>
      <c r="AQ58" s="3451"/>
      <c r="AR58" s="3504"/>
      <c r="AS58" s="3504"/>
      <c r="AT58" s="3504"/>
      <c r="AU58" s="3504"/>
      <c r="AV58" s="3451"/>
      <c r="AW58" s="3504"/>
      <c r="AX58" s="3451"/>
      <c r="AY58" s="3818"/>
      <c r="AZ58" s="3516"/>
      <c r="BA58" s="3504"/>
      <c r="BB58" s="3516"/>
      <c r="BC58" s="3512"/>
      <c r="BD58" s="4044"/>
      <c r="BE58" s="4037"/>
      <c r="BF58" s="3516"/>
      <c r="BG58" s="3512"/>
      <c r="BH58" s="3516">
        <v>31.61</v>
      </c>
      <c r="BI58" s="3512"/>
      <c r="BJ58" s="4878"/>
      <c r="BK58" s="4878"/>
    </row>
    <row r="59" spans="1:63" s="2740" customFormat="1" x14ac:dyDescent="0.25">
      <c r="A59" s="2584"/>
      <c r="B59" s="3495" t="s">
        <v>347</v>
      </c>
      <c r="C59" s="3502" t="s">
        <v>44</v>
      </c>
      <c r="D59" s="3502"/>
      <c r="E59" s="3502"/>
      <c r="F59" s="3507">
        <f>F57/F56*100</f>
        <v>107.09186101856261</v>
      </c>
      <c r="G59" s="3507"/>
      <c r="H59" s="3507"/>
      <c r="I59" s="3503">
        <f>I57/I56*100</f>
        <v>105.69999999999999</v>
      </c>
      <c r="J59" s="3503"/>
      <c r="K59" s="3507">
        <f>K57/K56*100</f>
        <v>104.3</v>
      </c>
      <c r="L59" s="3507"/>
      <c r="M59" s="3507"/>
      <c r="N59" s="3507">
        <f>N57/N56*100</f>
        <v>106</v>
      </c>
      <c r="O59" s="3507"/>
      <c r="P59" s="3507"/>
      <c r="Q59" s="3507">
        <f>Q57/Q56*100</f>
        <v>105.97635027165228</v>
      </c>
      <c r="R59" s="3507"/>
      <c r="S59" s="3507"/>
      <c r="T59" s="3507"/>
      <c r="U59" s="3507"/>
      <c r="V59" s="3507"/>
      <c r="W59" s="3507"/>
      <c r="X59" s="3507"/>
      <c r="Y59" s="3507"/>
      <c r="Z59" s="3507">
        <f>Z57/Z56*100</f>
        <v>102.3</v>
      </c>
      <c r="AA59" s="3507"/>
      <c r="AB59" s="3507">
        <f t="shared" ref="AB59:AF59" si="96">AB57/AB56*100</f>
        <v>104</v>
      </c>
      <c r="AC59" s="3507">
        <f t="shared" si="96"/>
        <v>104</v>
      </c>
      <c r="AD59" s="3507">
        <f t="shared" si="96"/>
        <v>104</v>
      </c>
      <c r="AE59" s="3507">
        <f t="shared" si="96"/>
        <v>104</v>
      </c>
      <c r="AF59" s="3507">
        <f t="shared" si="96"/>
        <v>104</v>
      </c>
      <c r="AG59" s="3507">
        <f>AG57/AG56*100</f>
        <v>104</v>
      </c>
      <c r="AH59" s="3451"/>
      <c r="AI59" s="3507">
        <f>AI57/AI56*100</f>
        <v>104</v>
      </c>
      <c r="AJ59" s="3451"/>
      <c r="AK59" s="3507"/>
      <c r="AL59" s="3507"/>
      <c r="AM59" s="3507"/>
      <c r="AN59" s="3507">
        <f>AN57/AN56*100</f>
        <v>104</v>
      </c>
      <c r="AO59" s="3451"/>
      <c r="AP59" s="3507">
        <f>AP57/AP56*100</f>
        <v>102.98563869992441</v>
      </c>
      <c r="AQ59" s="3451"/>
      <c r="AR59" s="3507"/>
      <c r="AS59" s="3507"/>
      <c r="AT59" s="3507"/>
      <c r="AU59" s="3507">
        <f>AU57/AU56*100</f>
        <v>105</v>
      </c>
      <c r="AV59" s="3451"/>
      <c r="AW59" s="3507">
        <f>AW57/AW56*100</f>
        <v>106.42201834862387</v>
      </c>
      <c r="AX59" s="3451"/>
      <c r="AY59" s="3819"/>
      <c r="AZ59" s="3517"/>
      <c r="BA59" s="3507"/>
      <c r="BB59" s="3517">
        <f>BB57/BB56*100</f>
        <v>110.00000000000001</v>
      </c>
      <c r="BC59" s="3512"/>
      <c r="BD59" s="4045">
        <f>BD57/BD56*100</f>
        <v>100</v>
      </c>
      <c r="BE59" s="4037"/>
      <c r="BF59" s="3517">
        <f>BF57/BF56*100</f>
        <v>104</v>
      </c>
      <c r="BG59" s="3512"/>
      <c r="BH59" s="3517">
        <f>SUM(BH58/AW57)*100</f>
        <v>109.00000000000001</v>
      </c>
      <c r="BI59" s="3512"/>
      <c r="BJ59" s="4879"/>
      <c r="BK59" s="4879"/>
    </row>
    <row r="60" spans="1:63" s="2740" customFormat="1" x14ac:dyDescent="0.25">
      <c r="A60" s="2584"/>
      <c r="B60" s="3450" t="s">
        <v>945</v>
      </c>
      <c r="C60" s="3502" t="s">
        <v>899</v>
      </c>
      <c r="D60" s="3502"/>
      <c r="E60" s="3502"/>
      <c r="F60" s="3504">
        <f>(F48-F56)*F46/2+(F49-F57)*F46/2</f>
        <v>7229.3892307301912</v>
      </c>
      <c r="G60" s="3504"/>
      <c r="H60" s="3504"/>
      <c r="I60" s="3504">
        <f>(I48-I56)*I46/2+(I49-I57)*I46/2</f>
        <v>7398.793786783348</v>
      </c>
      <c r="J60" s="3504"/>
      <c r="K60" s="3504">
        <f>(K48-K56)*K46/2+(K49-K57)*K46/2</f>
        <v>6663.5812742539529</v>
      </c>
      <c r="L60" s="3504"/>
      <c r="M60" s="3504"/>
      <c r="N60" s="3504">
        <f>(N48-N56)*N46/2+(N49-N57)*N46/2</f>
        <v>9890.8514162057945</v>
      </c>
      <c r="O60" s="3504"/>
      <c r="P60" s="3504"/>
      <c r="Q60" s="3504">
        <f>(Q48-Q56)*Q46/2+(Q49-Q57)*Q46/2</f>
        <v>14768.63776015335</v>
      </c>
      <c r="R60" s="3504"/>
      <c r="S60" s="3504"/>
      <c r="T60" s="3504"/>
      <c r="U60" s="3504"/>
      <c r="V60" s="3504"/>
      <c r="W60" s="3504"/>
      <c r="X60" s="3504"/>
      <c r="Y60" s="3504"/>
      <c r="Z60" s="3504">
        <f>(Z48-Z56)*Z46/2+(Z49-Z57)*Z46/2</f>
        <v>15748.260977167336</v>
      </c>
      <c r="AA60" s="3504"/>
      <c r="AB60" s="3504">
        <f t="shared" ref="AB60:AF60" si="97">(AB48-AB56)*AB46/2+(AB49-AB57)*AB46/2</f>
        <v>13928.937266419409</v>
      </c>
      <c r="AC60" s="3504">
        <f t="shared" si="97"/>
        <v>13727.768265941781</v>
      </c>
      <c r="AD60" s="3504">
        <f t="shared" si="97"/>
        <v>15633.809935110221</v>
      </c>
      <c r="AE60" s="3504">
        <f t="shared" si="97"/>
        <v>15371.535890070032</v>
      </c>
      <c r="AF60" s="3504">
        <f t="shared" si="97"/>
        <v>15076.684092969721</v>
      </c>
      <c r="AG60" s="3504">
        <f>(AG48-AG56)*AG46/2+(AG49-AG57)*AG46/2</f>
        <v>17121.191834214282</v>
      </c>
      <c r="AH60" s="3451"/>
      <c r="AI60" s="3504">
        <f>(AI48-AI56)*AI46/2+(AI49-AI57)*AI46/2</f>
        <v>14281.379002931657</v>
      </c>
      <c r="AJ60" s="3451"/>
      <c r="AK60" s="3504"/>
      <c r="AL60" s="3504"/>
      <c r="AM60" s="3504"/>
      <c r="AN60" s="3504">
        <f>(AN48-AN56)*AN46/2+(AN49-AN57)*AN46/2</f>
        <v>29523.151934935129</v>
      </c>
      <c r="AO60" s="3451"/>
      <c r="AP60" s="3504">
        <f>(AP48-AP56)*AP46/2+(AP49-AP57)*AP46/2</f>
        <v>14871.521522448493</v>
      </c>
      <c r="AQ60" s="3451"/>
      <c r="AR60" s="3504"/>
      <c r="AS60" s="3504"/>
      <c r="AT60" s="3504"/>
      <c r="AU60" s="3504">
        <f>(AU48-AU56)*AU46/2+(AU49-AU57)*AU46/2</f>
        <v>35897.414409007659</v>
      </c>
      <c r="AV60" s="3451"/>
      <c r="AW60" s="3504">
        <f>(AW48-AW56)*AW46/2+(AW49-AW57)*AW46/2</f>
        <v>14901.192343800631</v>
      </c>
      <c r="AX60" s="3451"/>
      <c r="AY60" s="3818"/>
      <c r="AZ60" s="3516"/>
      <c r="BA60" s="3504"/>
      <c r="BB60" s="3516">
        <f>(BB48-BB56)*BB46/2+(BB49-BB57)*BB46/2</f>
        <v>42210.330730644637</v>
      </c>
      <c r="BC60" s="3512"/>
      <c r="BD60" s="4044">
        <f>(BD48-BD56)*BD46/2+(BD49-BD57)*BD46/2</f>
        <v>0</v>
      </c>
      <c r="BE60" s="4037"/>
      <c r="BF60" s="3516">
        <f>(BF48-BF56)*BF46/2+(BF49-BF57)*BF46/2</f>
        <v>58013.864444395535</v>
      </c>
      <c r="BG60" s="3512"/>
      <c r="BH60" s="3516">
        <f>(BH50-BH58)*BH46/2+(BH50-BH58)*BH46/2</f>
        <v>21532.045099151746</v>
      </c>
      <c r="BI60" s="3512"/>
      <c r="BJ60" s="4878"/>
      <c r="BK60" s="4878"/>
    </row>
    <row r="61" spans="1:63" s="2740" customFormat="1" ht="32.25" customHeight="1" x14ac:dyDescent="0.25">
      <c r="A61" s="3501" t="s">
        <v>2046</v>
      </c>
      <c r="B61" s="3450" t="s">
        <v>3552</v>
      </c>
      <c r="C61" s="2584"/>
      <c r="D61" s="2584"/>
      <c r="E61" s="2584"/>
      <c r="F61" s="3540"/>
      <c r="G61" s="3540"/>
      <c r="H61" s="3540"/>
      <c r="I61" s="3540"/>
      <c r="J61" s="3540"/>
      <c r="K61" s="3540"/>
      <c r="L61" s="3540"/>
      <c r="M61" s="3540"/>
      <c r="N61" s="2584"/>
      <c r="O61" s="2584"/>
      <c r="P61" s="2584"/>
      <c r="Q61" s="2584"/>
      <c r="R61" s="2584"/>
      <c r="S61" s="2584"/>
      <c r="T61" s="2584"/>
      <c r="U61" s="2584"/>
      <c r="V61" s="2584"/>
      <c r="W61" s="2584"/>
      <c r="X61" s="2584"/>
      <c r="Y61" s="2584"/>
      <c r="Z61" s="2584"/>
      <c r="AA61" s="2584"/>
      <c r="AB61" s="2584"/>
      <c r="AC61" s="2584"/>
      <c r="AD61" s="2584"/>
      <c r="AE61" s="2584"/>
      <c r="AF61" s="2584"/>
      <c r="AG61" s="2584"/>
      <c r="AH61" s="3451"/>
      <c r="AI61" s="2584"/>
      <c r="AJ61" s="3451"/>
      <c r="AK61" s="2584"/>
      <c r="AL61" s="2584"/>
      <c r="AM61" s="2584"/>
      <c r="AN61" s="2584"/>
      <c r="AO61" s="3451"/>
      <c r="AP61" s="2584"/>
      <c r="AQ61" s="3451"/>
      <c r="AR61" s="2584"/>
      <c r="AS61" s="2584"/>
      <c r="AT61" s="2584"/>
      <c r="AU61" s="2584"/>
      <c r="AV61" s="3451"/>
      <c r="AW61" s="2584"/>
      <c r="AX61" s="3451"/>
      <c r="AY61" s="3817"/>
      <c r="AZ61" s="2457"/>
      <c r="BA61" s="2584"/>
      <c r="BB61" s="2457"/>
      <c r="BC61" s="3512"/>
      <c r="BD61" s="4043"/>
      <c r="BE61" s="4037"/>
      <c r="BF61" s="2457"/>
      <c r="BG61" s="3512"/>
      <c r="BH61" s="2457"/>
      <c r="BI61" s="3512"/>
      <c r="BJ61" s="4877"/>
      <c r="BK61" s="4877"/>
    </row>
    <row r="62" spans="1:63" s="2740" customFormat="1" x14ac:dyDescent="0.25">
      <c r="A62" s="2584"/>
      <c r="B62" s="3495" t="s">
        <v>939</v>
      </c>
      <c r="C62" s="3502" t="s">
        <v>944</v>
      </c>
      <c r="D62" s="3502"/>
      <c r="E62" s="3502"/>
      <c r="F62" s="3504">
        <f>F56*1.18</f>
        <v>24.791800000000002</v>
      </c>
      <c r="G62" s="3504"/>
      <c r="H62" s="3504"/>
      <c r="I62" s="3504">
        <f>F63</f>
        <v>26.550000000000004</v>
      </c>
      <c r="J62" s="3504"/>
      <c r="K62" s="3496">
        <f>F63</f>
        <v>26.550000000000004</v>
      </c>
      <c r="L62" s="3496"/>
      <c r="M62" s="3496"/>
      <c r="N62" s="3504">
        <f>I63</f>
        <v>28.063350000000003</v>
      </c>
      <c r="O62" s="3504"/>
      <c r="P62" s="3504"/>
      <c r="Q62" s="3504">
        <f>Q56*1.18</f>
        <v>27.691649999999999</v>
      </c>
      <c r="R62" s="3504"/>
      <c r="S62" s="3504"/>
      <c r="T62" s="3504"/>
      <c r="U62" s="3504"/>
      <c r="V62" s="3504"/>
      <c r="W62" s="3504"/>
      <c r="X62" s="3504"/>
      <c r="Y62" s="3504"/>
      <c r="Z62" s="3504">
        <f>Z56*1.2</f>
        <v>29.844000000000001</v>
      </c>
      <c r="AA62" s="3504"/>
      <c r="AB62" s="3504">
        <f t="shared" ref="AB62:AF62" si="98">AB56*1.2</f>
        <v>30.530411999999998</v>
      </c>
      <c r="AC62" s="3504">
        <f t="shared" si="98"/>
        <v>31.751628479999997</v>
      </c>
      <c r="AD62" s="3504">
        <f t="shared" si="98"/>
        <v>33.021693619200001</v>
      </c>
      <c r="AE62" s="3504">
        <f t="shared" si="98"/>
        <v>34.342561363968002</v>
      </c>
      <c r="AF62" s="3504">
        <f t="shared" si="98"/>
        <v>35.71626381852672</v>
      </c>
      <c r="AG62" s="3504">
        <f>AG56*1.2</f>
        <v>30.530411999999998</v>
      </c>
      <c r="AH62" s="3451"/>
      <c r="AI62" s="3504">
        <f>AI56*1.2</f>
        <v>30.530411999999998</v>
      </c>
      <c r="AJ62" s="3451"/>
      <c r="AK62" s="3504"/>
      <c r="AL62" s="3504"/>
      <c r="AM62" s="3504"/>
      <c r="AN62" s="3504">
        <f>AN56*1.2</f>
        <v>31.751628479999997</v>
      </c>
      <c r="AO62" s="3451"/>
      <c r="AP62" s="3504">
        <f>AP56*1.2</f>
        <v>31.751999999999999</v>
      </c>
      <c r="AQ62" s="3451"/>
      <c r="AR62" s="3504"/>
      <c r="AS62" s="3504"/>
      <c r="AT62" s="3504"/>
      <c r="AU62" s="3504">
        <f>AU56*1.2</f>
        <v>32.699999999999996</v>
      </c>
      <c r="AV62" s="3451"/>
      <c r="AW62" s="3504">
        <f>AW56*1.2</f>
        <v>32.699999999999996</v>
      </c>
      <c r="AX62" s="3451"/>
      <c r="AY62" s="3818"/>
      <c r="AZ62" s="3516"/>
      <c r="BA62" s="3504"/>
      <c r="BB62" s="3516">
        <f>BB56*1.2</f>
        <v>34.799999999999997</v>
      </c>
      <c r="BC62" s="3512"/>
      <c r="BD62" s="4044">
        <f>BD56*1.2</f>
        <v>34.799999999999997</v>
      </c>
      <c r="BE62" s="4037"/>
      <c r="BF62" s="3516">
        <f>BF56*1.2</f>
        <v>34.799999999999997</v>
      </c>
      <c r="BG62" s="3512"/>
      <c r="BH62" s="3516"/>
      <c r="BI62" s="3512"/>
      <c r="BJ62" s="4878"/>
      <c r="BK62" s="4878"/>
    </row>
    <row r="63" spans="1:63" s="2740" customFormat="1" x14ac:dyDescent="0.25">
      <c r="A63" s="2584"/>
      <c r="B63" s="3495" t="s">
        <v>940</v>
      </c>
      <c r="C63" s="3502" t="s">
        <v>944</v>
      </c>
      <c r="D63" s="3502"/>
      <c r="E63" s="3502"/>
      <c r="F63" s="3504">
        <f>F57*1.18</f>
        <v>26.550000000000004</v>
      </c>
      <c r="G63" s="3504"/>
      <c r="H63" s="3504"/>
      <c r="I63" s="3504">
        <f>I62*1.057</f>
        <v>28.063350000000003</v>
      </c>
      <c r="J63" s="3504"/>
      <c r="K63" s="3496">
        <f>K57*1.18</f>
        <v>27.691649999999999</v>
      </c>
      <c r="L63" s="3496"/>
      <c r="M63" s="3496"/>
      <c r="N63" s="3541">
        <f>N62*1.046</f>
        <v>29.354264100000005</v>
      </c>
      <c r="O63" s="3541"/>
      <c r="P63" s="3541"/>
      <c r="Q63" s="3504">
        <f>Q57*1.18</f>
        <v>29.346599999999999</v>
      </c>
      <c r="R63" s="3504"/>
      <c r="S63" s="3504"/>
      <c r="T63" s="3504"/>
      <c r="U63" s="3504"/>
      <c r="V63" s="3504"/>
      <c r="W63" s="3504"/>
      <c r="X63" s="3504"/>
      <c r="Y63" s="3504"/>
      <c r="Z63" s="3504">
        <f>Z57*1.2</f>
        <v>30.530411999999998</v>
      </c>
      <c r="AA63" s="3504"/>
      <c r="AB63" s="3504">
        <f t="shared" ref="AB63:AF63" si="99">AB57*1.2</f>
        <v>31.751628479999997</v>
      </c>
      <c r="AC63" s="3504">
        <f t="shared" si="99"/>
        <v>33.021693619200001</v>
      </c>
      <c r="AD63" s="3504">
        <f t="shared" si="99"/>
        <v>34.342561363968002</v>
      </c>
      <c r="AE63" s="3504">
        <f t="shared" si="99"/>
        <v>35.71626381852672</v>
      </c>
      <c r="AF63" s="3504">
        <f t="shared" si="99"/>
        <v>37.144914371267795</v>
      </c>
      <c r="AG63" s="3504">
        <f>AG57*1.2</f>
        <v>31.751628479999997</v>
      </c>
      <c r="AH63" s="3451"/>
      <c r="AI63" s="3504">
        <f>AI57*1.2</f>
        <v>31.751628479999997</v>
      </c>
      <c r="AJ63" s="3451"/>
      <c r="AK63" s="3504"/>
      <c r="AL63" s="3504"/>
      <c r="AM63" s="3504"/>
      <c r="AN63" s="3504">
        <f>AN57*1.2</f>
        <v>33.021693619200001</v>
      </c>
      <c r="AO63" s="3451"/>
      <c r="AP63" s="3504">
        <f>AP57*1.2</f>
        <v>32.699999999999996</v>
      </c>
      <c r="AQ63" s="3451"/>
      <c r="AR63" s="3504"/>
      <c r="AS63" s="3504"/>
      <c r="AT63" s="3504"/>
      <c r="AU63" s="3504">
        <f>AU57*1.2</f>
        <v>34.335000000000001</v>
      </c>
      <c r="AV63" s="3451"/>
      <c r="AW63" s="3504">
        <f>AW57*1.2</f>
        <v>34.799999999999997</v>
      </c>
      <c r="AX63" s="3451"/>
      <c r="AY63" s="3818"/>
      <c r="AZ63" s="3516"/>
      <c r="BA63" s="3504"/>
      <c r="BB63" s="3516">
        <f>BB57*1.2</f>
        <v>38.28</v>
      </c>
      <c r="BC63" s="3512"/>
      <c r="BD63" s="4044">
        <f>BD57*1.2</f>
        <v>34.799999999999997</v>
      </c>
      <c r="BE63" s="4037"/>
      <c r="BF63" s="3516">
        <f>BF57*1.2</f>
        <v>36.192</v>
      </c>
      <c r="BG63" s="3512"/>
      <c r="BH63" s="3516"/>
      <c r="BI63" s="3512"/>
      <c r="BJ63" s="4878"/>
      <c r="BK63" s="4878"/>
    </row>
    <row r="64" spans="1:63" s="2740" customFormat="1" x14ac:dyDescent="0.25">
      <c r="A64" s="2584"/>
      <c r="B64" s="3495" t="s">
        <v>4231</v>
      </c>
      <c r="C64" s="3502"/>
      <c r="D64" s="3502"/>
      <c r="E64" s="3502"/>
      <c r="F64" s="3504"/>
      <c r="G64" s="3504"/>
      <c r="H64" s="3504"/>
      <c r="I64" s="3504"/>
      <c r="J64" s="3504"/>
      <c r="K64" s="3496"/>
      <c r="L64" s="3496"/>
      <c r="M64" s="3496"/>
      <c r="N64" s="3541"/>
      <c r="O64" s="3541"/>
      <c r="P64" s="3541"/>
      <c r="Q64" s="3504"/>
      <c r="R64" s="3504"/>
      <c r="S64" s="3504"/>
      <c r="T64" s="3504"/>
      <c r="U64" s="3504"/>
      <c r="V64" s="3504"/>
      <c r="W64" s="3504"/>
      <c r="X64" s="3504"/>
      <c r="Y64" s="3504"/>
      <c r="Z64" s="3504"/>
      <c r="AA64" s="3504"/>
      <c r="AB64" s="3504"/>
      <c r="AC64" s="3504"/>
      <c r="AD64" s="3504"/>
      <c r="AE64" s="3504"/>
      <c r="AF64" s="3504"/>
      <c r="AG64" s="3504"/>
      <c r="AH64" s="3451"/>
      <c r="AI64" s="3504"/>
      <c r="AJ64" s="3451"/>
      <c r="AK64" s="3504"/>
      <c r="AL64" s="3504"/>
      <c r="AM64" s="3504"/>
      <c r="AN64" s="3504"/>
      <c r="AO64" s="3451"/>
      <c r="AP64" s="3504"/>
      <c r="AQ64" s="3451"/>
      <c r="AR64" s="3504"/>
      <c r="AS64" s="3504"/>
      <c r="AT64" s="3504"/>
      <c r="AU64" s="3504"/>
      <c r="AV64" s="3451"/>
      <c r="AW64" s="3504"/>
      <c r="AX64" s="3451"/>
      <c r="AY64" s="3818"/>
      <c r="AZ64" s="3516"/>
      <c r="BA64" s="3504"/>
      <c r="BB64" s="3516"/>
      <c r="BC64" s="3512"/>
      <c r="BD64" s="4044"/>
      <c r="BE64" s="4037"/>
      <c r="BF64" s="3516"/>
      <c r="BG64" s="3512"/>
      <c r="BH64" s="3516">
        <f>SUM(BH58*1.2)</f>
        <v>37.931999999999995</v>
      </c>
      <c r="BI64" s="3512"/>
      <c r="BJ64" s="4878"/>
      <c r="BK64" s="4878"/>
    </row>
    <row r="65" spans="1:63" s="2740" customFormat="1" x14ac:dyDescent="0.25">
      <c r="A65" s="2584"/>
      <c r="B65" s="3495" t="s">
        <v>347</v>
      </c>
      <c r="C65" s="3502" t="s">
        <v>44</v>
      </c>
      <c r="D65" s="3502"/>
      <c r="E65" s="3502"/>
      <c r="F65" s="3504">
        <f>F63/F62*100</f>
        <v>107.09186101856261</v>
      </c>
      <c r="G65" s="3504"/>
      <c r="H65" s="3504"/>
      <c r="I65" s="3504">
        <f>I63/I62*100</f>
        <v>105.69999999999999</v>
      </c>
      <c r="J65" s="3503"/>
      <c r="K65" s="3504">
        <f>K63/K62*100</f>
        <v>104.29999999999997</v>
      </c>
      <c r="L65" s="3504"/>
      <c r="M65" s="3504"/>
      <c r="N65" s="2584">
        <f>N63/N62*100</f>
        <v>104.60000000000001</v>
      </c>
      <c r="O65" s="2584"/>
      <c r="P65" s="2584"/>
      <c r="Q65" s="3536">
        <f>Q63/Q62*100</f>
        <v>105.97635027165228</v>
      </c>
      <c r="R65" s="3536"/>
      <c r="S65" s="3536"/>
      <c r="T65" s="3536"/>
      <c r="U65" s="3536"/>
      <c r="V65" s="3536"/>
      <c r="W65" s="3536"/>
      <c r="X65" s="3536"/>
      <c r="Y65" s="3536"/>
      <c r="Z65" s="3536">
        <f>Z63/Z62*100</f>
        <v>102.3</v>
      </c>
      <c r="AA65" s="3536"/>
      <c r="AB65" s="3536">
        <f t="shared" ref="AB65:AF65" si="100">AB63/AB62*100</f>
        <v>104</v>
      </c>
      <c r="AC65" s="3536">
        <f t="shared" si="100"/>
        <v>104</v>
      </c>
      <c r="AD65" s="3536">
        <f t="shared" si="100"/>
        <v>104</v>
      </c>
      <c r="AE65" s="3536">
        <f t="shared" si="100"/>
        <v>104</v>
      </c>
      <c r="AF65" s="3536">
        <f t="shared" si="100"/>
        <v>104.00000000000003</v>
      </c>
      <c r="AG65" s="3536">
        <f>AG63/AG62*100</f>
        <v>104</v>
      </c>
      <c r="AH65" s="3451"/>
      <c r="AI65" s="3536">
        <f>AI63/AI62*100</f>
        <v>104</v>
      </c>
      <c r="AJ65" s="3451"/>
      <c r="AK65" s="3536"/>
      <c r="AL65" s="3536"/>
      <c r="AM65" s="3536"/>
      <c r="AN65" s="3536">
        <f>AN63/AN62*100</f>
        <v>104</v>
      </c>
      <c r="AO65" s="3451"/>
      <c r="AP65" s="3536">
        <f>AP63/AP62*100</f>
        <v>102.98563869992441</v>
      </c>
      <c r="AQ65" s="3451"/>
      <c r="AR65" s="3536"/>
      <c r="AS65" s="3536"/>
      <c r="AT65" s="3536"/>
      <c r="AU65" s="3536">
        <f>AU63/AU62*100</f>
        <v>105.00000000000003</v>
      </c>
      <c r="AV65" s="3451"/>
      <c r="AW65" s="3536">
        <f>AW63/AW62*100</f>
        <v>106.42201834862387</v>
      </c>
      <c r="AX65" s="3451"/>
      <c r="AY65" s="3828"/>
      <c r="AZ65" s="3534"/>
      <c r="BA65" s="3536"/>
      <c r="BB65" s="3534">
        <f>BB63/BB62*100</f>
        <v>110.00000000000001</v>
      </c>
      <c r="BC65" s="3512"/>
      <c r="BD65" s="4046">
        <f>BD63/BD62*100</f>
        <v>100</v>
      </c>
      <c r="BE65" s="4037"/>
      <c r="BF65" s="3534">
        <f>BF63/BF62*100</f>
        <v>104</v>
      </c>
      <c r="BG65" s="3512"/>
      <c r="BH65" s="4300">
        <f>SUM(BH64/AW63)</f>
        <v>1.0899999999999999</v>
      </c>
      <c r="BI65" s="3512"/>
      <c r="BJ65" s="4880"/>
      <c r="BK65" s="4880"/>
    </row>
    <row r="68" spans="1:63" ht="20.25" x14ac:dyDescent="0.3">
      <c r="A68" s="3521" t="s">
        <v>4088</v>
      </c>
      <c r="B68" s="3547"/>
      <c r="C68" s="4125"/>
      <c r="D68" s="4125"/>
      <c r="E68" s="4125"/>
      <c r="F68" s="4125"/>
      <c r="G68" s="4125"/>
      <c r="H68" s="4125"/>
      <c r="I68" s="4125"/>
      <c r="J68" s="4125"/>
      <c r="K68" s="4125"/>
      <c r="L68" s="4125"/>
      <c r="M68" s="4125"/>
      <c r="N68" s="4125"/>
      <c r="O68" s="4125"/>
      <c r="P68" s="4125"/>
      <c r="Q68" s="4125"/>
      <c r="R68" s="4125"/>
      <c r="S68" s="4125"/>
      <c r="T68" s="4125"/>
      <c r="U68" s="4125"/>
      <c r="V68" s="4125"/>
      <c r="W68" s="4125"/>
      <c r="X68" s="4125"/>
      <c r="Y68" s="4125"/>
      <c r="Z68" s="4125"/>
      <c r="AA68" s="4125"/>
      <c r="AB68" s="4125"/>
      <c r="AC68" s="4125"/>
      <c r="AD68" s="4125"/>
      <c r="AE68" s="4125"/>
      <c r="AF68" s="4125"/>
      <c r="AG68" s="4125"/>
      <c r="AH68" s="4125"/>
      <c r="AI68" s="4125"/>
      <c r="AJ68" s="4125"/>
      <c r="AK68" s="4125"/>
      <c r="AL68" s="4125"/>
      <c r="AM68" s="4125"/>
      <c r="AN68" s="4125"/>
      <c r="AO68" s="4125"/>
      <c r="AP68" s="4125"/>
      <c r="AQ68" s="4125"/>
      <c r="AR68" s="4125"/>
      <c r="AS68" s="4125"/>
      <c r="AT68" s="4125"/>
      <c r="AU68" s="4125"/>
      <c r="AV68" s="4125"/>
      <c r="AW68" s="4125"/>
      <c r="AX68" s="4125"/>
      <c r="AY68" s="4125"/>
      <c r="AZ68" s="4125"/>
      <c r="BA68" s="4125"/>
      <c r="BB68" s="4125"/>
      <c r="BC68" s="4125"/>
      <c r="BD68" s="4125"/>
      <c r="BE68" s="4125"/>
      <c r="BF68" s="4125"/>
      <c r="BG68" s="4124" t="s">
        <v>4152</v>
      </c>
    </row>
  </sheetData>
  <mergeCells count="62">
    <mergeCell ref="BF4:BI4"/>
    <mergeCell ref="BG6:BG8"/>
    <mergeCell ref="BI6:BI8"/>
    <mergeCell ref="F4:H4"/>
    <mergeCell ref="F3:S3"/>
    <mergeCell ref="AY4:AY5"/>
    <mergeCell ref="AZ4:AZ5"/>
    <mergeCell ref="BA4:BA5"/>
    <mergeCell ref="AN4:AQ4"/>
    <mergeCell ref="T5:Y5"/>
    <mergeCell ref="Z5:AF5"/>
    <mergeCell ref="AY6:AY8"/>
    <mergeCell ref="AZ6:AZ8"/>
    <mergeCell ref="BA6:BA8"/>
    <mergeCell ref="AA6:AA8"/>
    <mergeCell ref="G6:G8"/>
    <mergeCell ref="L6:L8"/>
    <mergeCell ref="A3:A5"/>
    <mergeCell ref="B3:B5"/>
    <mergeCell ref="C3:C5"/>
    <mergeCell ref="D3:D5"/>
    <mergeCell ref="E3:E5"/>
    <mergeCell ref="C6:C8"/>
    <mergeCell ref="I4:M4"/>
    <mergeCell ref="F6:F8"/>
    <mergeCell ref="D6:D8"/>
    <mergeCell ref="E6:E8"/>
    <mergeCell ref="H6:H8"/>
    <mergeCell ref="P6:P8"/>
    <mergeCell ref="AL6:AL8"/>
    <mergeCell ref="AM6:AM8"/>
    <mergeCell ref="AH6:AH8"/>
    <mergeCell ref="AK4:AK5"/>
    <mergeCell ref="AL4:AL5"/>
    <mergeCell ref="AM4:AM5"/>
    <mergeCell ref="AG4:AJ4"/>
    <mergeCell ref="AG6:AG8"/>
    <mergeCell ref="T6:T8"/>
    <mergeCell ref="Z6:Z8"/>
    <mergeCell ref="N4:S4"/>
    <mergeCell ref="S6:S8"/>
    <mergeCell ref="AT4:AT5"/>
    <mergeCell ref="AR6:AR8"/>
    <mergeCell ref="AS6:AS8"/>
    <mergeCell ref="AT6:AT8"/>
    <mergeCell ref="AO6:AO8"/>
    <mergeCell ref="A1:BK1"/>
    <mergeCell ref="BK4:BK5"/>
    <mergeCell ref="BK6:BK8"/>
    <mergeCell ref="BJ6:BJ8"/>
    <mergeCell ref="BJ4:BJ5"/>
    <mergeCell ref="T3:BK3"/>
    <mergeCell ref="BB4:BE4"/>
    <mergeCell ref="BC6:BC8"/>
    <mergeCell ref="BE6:BE8"/>
    <mergeCell ref="AQ6:AQ8"/>
    <mergeCell ref="AK6:AK8"/>
    <mergeCell ref="AU4:AX4"/>
    <mergeCell ref="AV6:AV8"/>
    <mergeCell ref="AX6:AX8"/>
    <mergeCell ref="AR4:AR5"/>
    <mergeCell ref="AS4:AS5"/>
  </mergeCells>
  <printOptions horizontalCentered="1"/>
  <pageMargins left="0" right="0" top="0.59055118110236227" bottom="0.39370078740157483" header="0.31496062992125984" footer="0.31496062992125984"/>
  <pageSetup paperSize="9" scale="69" fitToHeight="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Лист27">
    <tabColor rgb="FFFF66FF"/>
    <pageSetUpPr fitToPage="1"/>
  </sheetPr>
  <dimension ref="A2:BE68"/>
  <sheetViews>
    <sheetView zoomScale="80" zoomScaleNormal="80" zoomScaleSheetLayoutView="75" workbookViewId="0">
      <pane xSplit="5" ySplit="6" topLeftCell="X34" activePane="bottomRight" state="frozen"/>
      <selection pane="topRight" activeCell="F1" sqref="F1"/>
      <selection pane="bottomLeft" activeCell="A7" sqref="A7"/>
      <selection pane="bottomRight" activeCell="BD7" sqref="BD7:BE52"/>
    </sheetView>
  </sheetViews>
  <sheetFormatPr defaultColWidth="0.85546875" defaultRowHeight="15" x14ac:dyDescent="0.25"/>
  <cols>
    <col min="1" max="1" width="9.85546875" style="1233" customWidth="1"/>
    <col min="2" max="2" width="35.140625" style="1239" customWidth="1"/>
    <col min="3" max="3" width="10.28515625" style="2219" customWidth="1"/>
    <col min="4" max="5" width="12.7109375" style="1233" hidden="1" customWidth="1"/>
    <col min="6" max="6" width="10.7109375" style="1233" hidden="1" customWidth="1"/>
    <col min="7" max="7" width="11.7109375" style="1233" hidden="1" customWidth="1"/>
    <col min="8" max="8" width="9.7109375" style="1233" hidden="1" customWidth="1"/>
    <col min="9" max="9" width="10.5703125" style="1233" hidden="1" customWidth="1"/>
    <col min="10" max="10" width="18.42578125" style="1233" hidden="1" customWidth="1"/>
    <col min="11" max="11" width="12.85546875" style="1233" hidden="1" customWidth="1"/>
    <col min="12" max="12" width="12.28515625" style="1233" hidden="1" customWidth="1"/>
    <col min="13" max="13" width="11" style="1233" hidden="1" customWidth="1"/>
    <col min="14" max="14" width="10.28515625" style="1233" hidden="1" customWidth="1"/>
    <col min="15" max="15" width="15" style="1233" hidden="1" customWidth="1"/>
    <col min="16" max="17" width="12.5703125" style="1233" hidden="1" customWidth="1"/>
    <col min="18" max="23" width="10.140625" style="1233" hidden="1" customWidth="1"/>
    <col min="24" max="24" width="9.7109375" style="1233" customWidth="1"/>
    <col min="25" max="25" width="10.5703125" style="1233" hidden="1" customWidth="1"/>
    <col min="26" max="30" width="9.7109375" style="1233" customWidth="1"/>
    <col min="31" max="31" width="14.28515625" style="1233" customWidth="1"/>
    <col min="32" max="32" width="9.7109375" style="1233" customWidth="1"/>
    <col min="33" max="33" width="14.28515625" style="1233" customWidth="1"/>
    <col min="34" max="34" width="10.7109375" style="1233" customWidth="1"/>
    <col min="35" max="35" width="11.5703125" style="1233" hidden="1" customWidth="1"/>
    <col min="36" max="36" width="11.28515625" style="1233" hidden="1" customWidth="1"/>
    <col min="37" max="37" width="9.7109375" style="1233" customWidth="1"/>
    <col min="38" max="38" width="13.5703125" style="1233" customWidth="1"/>
    <col min="39" max="39" width="10.28515625" style="1233" customWidth="1"/>
    <col min="40" max="40" width="14" style="1233" customWidth="1"/>
    <col min="41" max="41" width="9.140625" style="1233" customWidth="1"/>
    <col min="42" max="43" width="10.7109375" style="1233" hidden="1" customWidth="1"/>
    <col min="44" max="44" width="9.7109375" style="1233" customWidth="1"/>
    <col min="45" max="45" width="13.7109375" style="1233" customWidth="1"/>
    <col min="46" max="46" width="9.7109375" style="1233" customWidth="1"/>
    <col min="47" max="47" width="14" style="1233" customWidth="1"/>
    <col min="48" max="48" width="9.7109375" style="1233" customWidth="1"/>
    <col min="49" max="50" width="10.7109375" style="1233" hidden="1" customWidth="1"/>
    <col min="51" max="51" width="9.7109375" style="1233" customWidth="1"/>
    <col min="52" max="52" width="13.7109375" style="1233" customWidth="1"/>
    <col min="53" max="53" width="9.7109375" style="1233" customWidth="1"/>
    <col min="54" max="54" width="13.7109375" style="1233" customWidth="1"/>
    <col min="55" max="55" width="10.5703125" style="1233" customWidth="1"/>
    <col min="56" max="57" width="10.7109375" style="1233" customWidth="1"/>
    <col min="58" max="282" width="0.85546875" style="1233"/>
    <col min="283" max="283" width="9.85546875" style="1233" customWidth="1"/>
    <col min="284" max="284" width="81.85546875" style="1233" customWidth="1"/>
    <col min="285" max="285" width="12.7109375" style="1233" customWidth="1"/>
    <col min="286" max="286" width="12.42578125" style="1233" customWidth="1"/>
    <col min="287" max="287" width="14.5703125" style="1233" customWidth="1"/>
    <col min="288" max="288" width="12.28515625" style="1233" customWidth="1"/>
    <col min="289" max="289" width="38.140625" style="1233" customWidth="1"/>
    <col min="290" max="290" width="46.85546875" style="1233" customWidth="1"/>
    <col min="291" max="293" width="12.7109375" style="1233" customWidth="1"/>
    <col min="294" max="294" width="9.28515625" style="1233" customWidth="1"/>
    <col min="295" max="295" width="13.5703125" style="1233" customWidth="1"/>
    <col min="296" max="296" width="10.28515625" style="1233" customWidth="1"/>
    <col min="297" max="297" width="12.85546875" style="1233" customWidth="1"/>
    <col min="298" max="298" width="9.140625" style="1233" customWidth="1"/>
    <col min="299" max="299" width="9.7109375" style="1233" customWidth="1"/>
    <col min="300" max="300" width="9.28515625" style="1233" customWidth="1"/>
    <col min="301" max="301" width="9.42578125" style="1233" customWidth="1"/>
    <col min="302" max="302" width="10.5703125" style="1233" customWidth="1"/>
    <col min="303" max="303" width="12.42578125" style="1233" customWidth="1"/>
    <col min="304" max="304" width="14.5703125" style="1233" customWidth="1"/>
    <col min="305" max="305" width="12.28515625" style="1233" customWidth="1"/>
    <col min="306" max="306" width="25.85546875" style="1233" customWidth="1"/>
    <col min="307" max="538" width="0.85546875" style="1233"/>
    <col min="539" max="539" width="9.85546875" style="1233" customWidth="1"/>
    <col min="540" max="540" width="81.85546875" style="1233" customWidth="1"/>
    <col min="541" max="541" width="12.7109375" style="1233" customWidth="1"/>
    <col min="542" max="542" width="12.42578125" style="1233" customWidth="1"/>
    <col min="543" max="543" width="14.5703125" style="1233" customWidth="1"/>
    <col min="544" max="544" width="12.28515625" style="1233" customWidth="1"/>
    <col min="545" max="545" width="38.140625" style="1233" customWidth="1"/>
    <col min="546" max="546" width="46.85546875" style="1233" customWidth="1"/>
    <col min="547" max="549" width="12.7109375" style="1233" customWidth="1"/>
    <col min="550" max="550" width="9.28515625" style="1233" customWidth="1"/>
    <col min="551" max="551" width="13.5703125" style="1233" customWidth="1"/>
    <col min="552" max="552" width="10.28515625" style="1233" customWidth="1"/>
    <col min="553" max="553" width="12.85546875" style="1233" customWidth="1"/>
    <col min="554" max="554" width="9.140625" style="1233" customWidth="1"/>
    <col min="555" max="555" width="9.7109375" style="1233" customWidth="1"/>
    <col min="556" max="556" width="9.28515625" style="1233" customWidth="1"/>
    <col min="557" max="557" width="9.42578125" style="1233" customWidth="1"/>
    <col min="558" max="558" width="10.5703125" style="1233" customWidth="1"/>
    <col min="559" max="559" width="12.42578125" style="1233" customWidth="1"/>
    <col min="560" max="560" width="14.5703125" style="1233" customWidth="1"/>
    <col min="561" max="561" width="12.28515625" style="1233" customWidth="1"/>
    <col min="562" max="562" width="25.85546875" style="1233" customWidth="1"/>
    <col min="563" max="794" width="0.85546875" style="1233"/>
    <col min="795" max="795" width="9.85546875" style="1233" customWidth="1"/>
    <col min="796" max="796" width="81.85546875" style="1233" customWidth="1"/>
    <col min="797" max="797" width="12.7109375" style="1233" customWidth="1"/>
    <col min="798" max="798" width="12.42578125" style="1233" customWidth="1"/>
    <col min="799" max="799" width="14.5703125" style="1233" customWidth="1"/>
    <col min="800" max="800" width="12.28515625" style="1233" customWidth="1"/>
    <col min="801" max="801" width="38.140625" style="1233" customWidth="1"/>
    <col min="802" max="802" width="46.85546875" style="1233" customWidth="1"/>
    <col min="803" max="805" width="12.7109375" style="1233" customWidth="1"/>
    <col min="806" max="806" width="9.28515625" style="1233" customWidth="1"/>
    <col min="807" max="807" width="13.5703125" style="1233" customWidth="1"/>
    <col min="808" max="808" width="10.28515625" style="1233" customWidth="1"/>
    <col min="809" max="809" width="12.85546875" style="1233" customWidth="1"/>
    <col min="810" max="810" width="9.140625" style="1233" customWidth="1"/>
    <col min="811" max="811" width="9.7109375" style="1233" customWidth="1"/>
    <col min="812" max="812" width="9.28515625" style="1233" customWidth="1"/>
    <col min="813" max="813" width="9.42578125" style="1233" customWidth="1"/>
    <col min="814" max="814" width="10.5703125" style="1233" customWidth="1"/>
    <col min="815" max="815" width="12.42578125" style="1233" customWidth="1"/>
    <col min="816" max="816" width="14.5703125" style="1233" customWidth="1"/>
    <col min="817" max="817" width="12.28515625" style="1233" customWidth="1"/>
    <col min="818" max="818" width="25.85546875" style="1233" customWidth="1"/>
    <col min="819" max="1050" width="0.85546875" style="1233"/>
    <col min="1051" max="1051" width="9.85546875" style="1233" customWidth="1"/>
    <col min="1052" max="1052" width="81.85546875" style="1233" customWidth="1"/>
    <col min="1053" max="1053" width="12.7109375" style="1233" customWidth="1"/>
    <col min="1054" max="1054" width="12.42578125" style="1233" customWidth="1"/>
    <col min="1055" max="1055" width="14.5703125" style="1233" customWidth="1"/>
    <col min="1056" max="1056" width="12.28515625" style="1233" customWidth="1"/>
    <col min="1057" max="1057" width="38.140625" style="1233" customWidth="1"/>
    <col min="1058" max="1058" width="46.85546875" style="1233" customWidth="1"/>
    <col min="1059" max="1061" width="12.7109375" style="1233" customWidth="1"/>
    <col min="1062" max="1062" width="9.28515625" style="1233" customWidth="1"/>
    <col min="1063" max="1063" width="13.5703125" style="1233" customWidth="1"/>
    <col min="1064" max="1064" width="10.28515625" style="1233" customWidth="1"/>
    <col min="1065" max="1065" width="12.85546875" style="1233" customWidth="1"/>
    <col min="1066" max="1066" width="9.140625" style="1233" customWidth="1"/>
    <col min="1067" max="1067" width="9.7109375" style="1233" customWidth="1"/>
    <col min="1068" max="1068" width="9.28515625" style="1233" customWidth="1"/>
    <col min="1069" max="1069" width="9.42578125" style="1233" customWidth="1"/>
    <col min="1070" max="1070" width="10.5703125" style="1233" customWidth="1"/>
    <col min="1071" max="1071" width="12.42578125" style="1233" customWidth="1"/>
    <col min="1072" max="1072" width="14.5703125" style="1233" customWidth="1"/>
    <col min="1073" max="1073" width="12.28515625" style="1233" customWidth="1"/>
    <col min="1074" max="1074" width="25.85546875" style="1233" customWidth="1"/>
    <col min="1075" max="1306" width="0.85546875" style="1233"/>
    <col min="1307" max="1307" width="9.85546875" style="1233" customWidth="1"/>
    <col min="1308" max="1308" width="81.85546875" style="1233" customWidth="1"/>
    <col min="1309" max="1309" width="12.7109375" style="1233" customWidth="1"/>
    <col min="1310" max="1310" width="12.42578125" style="1233" customWidth="1"/>
    <col min="1311" max="1311" width="14.5703125" style="1233" customWidth="1"/>
    <col min="1312" max="1312" width="12.28515625" style="1233" customWidth="1"/>
    <col min="1313" max="1313" width="38.140625" style="1233" customWidth="1"/>
    <col min="1314" max="1314" width="46.85546875" style="1233" customWidth="1"/>
    <col min="1315" max="1317" width="12.7109375" style="1233" customWidth="1"/>
    <col min="1318" max="1318" width="9.28515625" style="1233" customWidth="1"/>
    <col min="1319" max="1319" width="13.5703125" style="1233" customWidth="1"/>
    <col min="1320" max="1320" width="10.28515625" style="1233" customWidth="1"/>
    <col min="1321" max="1321" width="12.85546875" style="1233" customWidth="1"/>
    <col min="1322" max="1322" width="9.140625" style="1233" customWidth="1"/>
    <col min="1323" max="1323" width="9.7109375" style="1233" customWidth="1"/>
    <col min="1324" max="1324" width="9.28515625" style="1233" customWidth="1"/>
    <col min="1325" max="1325" width="9.42578125" style="1233" customWidth="1"/>
    <col min="1326" max="1326" width="10.5703125" style="1233" customWidth="1"/>
    <col min="1327" max="1327" width="12.42578125" style="1233" customWidth="1"/>
    <col min="1328" max="1328" width="14.5703125" style="1233" customWidth="1"/>
    <col min="1329" max="1329" width="12.28515625" style="1233" customWidth="1"/>
    <col min="1330" max="1330" width="25.85546875" style="1233" customWidth="1"/>
    <col min="1331" max="1562" width="0.85546875" style="1233"/>
    <col min="1563" max="1563" width="9.85546875" style="1233" customWidth="1"/>
    <col min="1564" max="1564" width="81.85546875" style="1233" customWidth="1"/>
    <col min="1565" max="1565" width="12.7109375" style="1233" customWidth="1"/>
    <col min="1566" max="1566" width="12.42578125" style="1233" customWidth="1"/>
    <col min="1567" max="1567" width="14.5703125" style="1233" customWidth="1"/>
    <col min="1568" max="1568" width="12.28515625" style="1233" customWidth="1"/>
    <col min="1569" max="1569" width="38.140625" style="1233" customWidth="1"/>
    <col min="1570" max="1570" width="46.85546875" style="1233" customWidth="1"/>
    <col min="1571" max="1573" width="12.7109375" style="1233" customWidth="1"/>
    <col min="1574" max="1574" width="9.28515625" style="1233" customWidth="1"/>
    <col min="1575" max="1575" width="13.5703125" style="1233" customWidth="1"/>
    <col min="1576" max="1576" width="10.28515625" style="1233" customWidth="1"/>
    <col min="1577" max="1577" width="12.85546875" style="1233" customWidth="1"/>
    <col min="1578" max="1578" width="9.140625" style="1233" customWidth="1"/>
    <col min="1579" max="1579" width="9.7109375" style="1233" customWidth="1"/>
    <col min="1580" max="1580" width="9.28515625" style="1233" customWidth="1"/>
    <col min="1581" max="1581" width="9.42578125" style="1233" customWidth="1"/>
    <col min="1582" max="1582" width="10.5703125" style="1233" customWidth="1"/>
    <col min="1583" max="1583" width="12.42578125" style="1233" customWidth="1"/>
    <col min="1584" max="1584" width="14.5703125" style="1233" customWidth="1"/>
    <col min="1585" max="1585" width="12.28515625" style="1233" customWidth="1"/>
    <col min="1586" max="1586" width="25.85546875" style="1233" customWidth="1"/>
    <col min="1587" max="1818" width="0.85546875" style="1233"/>
    <col min="1819" max="1819" width="9.85546875" style="1233" customWidth="1"/>
    <col min="1820" max="1820" width="81.85546875" style="1233" customWidth="1"/>
    <col min="1821" max="1821" width="12.7109375" style="1233" customWidth="1"/>
    <col min="1822" max="1822" width="12.42578125" style="1233" customWidth="1"/>
    <col min="1823" max="1823" width="14.5703125" style="1233" customWidth="1"/>
    <col min="1824" max="1824" width="12.28515625" style="1233" customWidth="1"/>
    <col min="1825" max="1825" width="38.140625" style="1233" customWidth="1"/>
    <col min="1826" max="1826" width="46.85546875" style="1233" customWidth="1"/>
    <col min="1827" max="1829" width="12.7109375" style="1233" customWidth="1"/>
    <col min="1830" max="1830" width="9.28515625" style="1233" customWidth="1"/>
    <col min="1831" max="1831" width="13.5703125" style="1233" customWidth="1"/>
    <col min="1832" max="1832" width="10.28515625" style="1233" customWidth="1"/>
    <col min="1833" max="1833" width="12.85546875" style="1233" customWidth="1"/>
    <col min="1834" max="1834" width="9.140625" style="1233" customWidth="1"/>
    <col min="1835" max="1835" width="9.7109375" style="1233" customWidth="1"/>
    <col min="1836" max="1836" width="9.28515625" style="1233" customWidth="1"/>
    <col min="1837" max="1837" width="9.42578125" style="1233" customWidth="1"/>
    <col min="1838" max="1838" width="10.5703125" style="1233" customWidth="1"/>
    <col min="1839" max="1839" width="12.42578125" style="1233" customWidth="1"/>
    <col min="1840" max="1840" width="14.5703125" style="1233" customWidth="1"/>
    <col min="1841" max="1841" width="12.28515625" style="1233" customWidth="1"/>
    <col min="1842" max="1842" width="25.85546875" style="1233" customWidth="1"/>
    <col min="1843" max="2074" width="0.85546875" style="1233"/>
    <col min="2075" max="2075" width="9.85546875" style="1233" customWidth="1"/>
    <col min="2076" max="2076" width="81.85546875" style="1233" customWidth="1"/>
    <col min="2077" max="2077" width="12.7109375" style="1233" customWidth="1"/>
    <col min="2078" max="2078" width="12.42578125" style="1233" customWidth="1"/>
    <col min="2079" max="2079" width="14.5703125" style="1233" customWidth="1"/>
    <col min="2080" max="2080" width="12.28515625" style="1233" customWidth="1"/>
    <col min="2081" max="2081" width="38.140625" style="1233" customWidth="1"/>
    <col min="2082" max="2082" width="46.85546875" style="1233" customWidth="1"/>
    <col min="2083" max="2085" width="12.7109375" style="1233" customWidth="1"/>
    <col min="2086" max="2086" width="9.28515625" style="1233" customWidth="1"/>
    <col min="2087" max="2087" width="13.5703125" style="1233" customWidth="1"/>
    <col min="2088" max="2088" width="10.28515625" style="1233" customWidth="1"/>
    <col min="2089" max="2089" width="12.85546875" style="1233" customWidth="1"/>
    <col min="2090" max="2090" width="9.140625" style="1233" customWidth="1"/>
    <col min="2091" max="2091" width="9.7109375" style="1233" customWidth="1"/>
    <col min="2092" max="2092" width="9.28515625" style="1233" customWidth="1"/>
    <col min="2093" max="2093" width="9.42578125" style="1233" customWidth="1"/>
    <col min="2094" max="2094" width="10.5703125" style="1233" customWidth="1"/>
    <col min="2095" max="2095" width="12.42578125" style="1233" customWidth="1"/>
    <col min="2096" max="2096" width="14.5703125" style="1233" customWidth="1"/>
    <col min="2097" max="2097" width="12.28515625" style="1233" customWidth="1"/>
    <col min="2098" max="2098" width="25.85546875" style="1233" customWidth="1"/>
    <col min="2099" max="2330" width="0.85546875" style="1233"/>
    <col min="2331" max="2331" width="9.85546875" style="1233" customWidth="1"/>
    <col min="2332" max="2332" width="81.85546875" style="1233" customWidth="1"/>
    <col min="2333" max="2333" width="12.7109375" style="1233" customWidth="1"/>
    <col min="2334" max="2334" width="12.42578125" style="1233" customWidth="1"/>
    <col min="2335" max="2335" width="14.5703125" style="1233" customWidth="1"/>
    <col min="2336" max="2336" width="12.28515625" style="1233" customWidth="1"/>
    <col min="2337" max="2337" width="38.140625" style="1233" customWidth="1"/>
    <col min="2338" max="2338" width="46.85546875" style="1233" customWidth="1"/>
    <col min="2339" max="2341" width="12.7109375" style="1233" customWidth="1"/>
    <col min="2342" max="2342" width="9.28515625" style="1233" customWidth="1"/>
    <col min="2343" max="2343" width="13.5703125" style="1233" customWidth="1"/>
    <col min="2344" max="2344" width="10.28515625" style="1233" customWidth="1"/>
    <col min="2345" max="2345" width="12.85546875" style="1233" customWidth="1"/>
    <col min="2346" max="2346" width="9.140625" style="1233" customWidth="1"/>
    <col min="2347" max="2347" width="9.7109375" style="1233" customWidth="1"/>
    <col min="2348" max="2348" width="9.28515625" style="1233" customWidth="1"/>
    <col min="2349" max="2349" width="9.42578125" style="1233" customWidth="1"/>
    <col min="2350" max="2350" width="10.5703125" style="1233" customWidth="1"/>
    <col min="2351" max="2351" width="12.42578125" style="1233" customWidth="1"/>
    <col min="2352" max="2352" width="14.5703125" style="1233" customWidth="1"/>
    <col min="2353" max="2353" width="12.28515625" style="1233" customWidth="1"/>
    <col min="2354" max="2354" width="25.85546875" style="1233" customWidth="1"/>
    <col min="2355" max="2586" width="0.85546875" style="1233"/>
    <col min="2587" max="2587" width="9.85546875" style="1233" customWidth="1"/>
    <col min="2588" max="2588" width="81.85546875" style="1233" customWidth="1"/>
    <col min="2589" max="2589" width="12.7109375" style="1233" customWidth="1"/>
    <col min="2590" max="2590" width="12.42578125" style="1233" customWidth="1"/>
    <col min="2591" max="2591" width="14.5703125" style="1233" customWidth="1"/>
    <col min="2592" max="2592" width="12.28515625" style="1233" customWidth="1"/>
    <col min="2593" max="2593" width="38.140625" style="1233" customWidth="1"/>
    <col min="2594" max="2594" width="46.85546875" style="1233" customWidth="1"/>
    <col min="2595" max="2597" width="12.7109375" style="1233" customWidth="1"/>
    <col min="2598" max="2598" width="9.28515625" style="1233" customWidth="1"/>
    <col min="2599" max="2599" width="13.5703125" style="1233" customWidth="1"/>
    <col min="2600" max="2600" width="10.28515625" style="1233" customWidth="1"/>
    <col min="2601" max="2601" width="12.85546875" style="1233" customWidth="1"/>
    <col min="2602" max="2602" width="9.140625" style="1233" customWidth="1"/>
    <col min="2603" max="2603" width="9.7109375" style="1233" customWidth="1"/>
    <col min="2604" max="2604" width="9.28515625" style="1233" customWidth="1"/>
    <col min="2605" max="2605" width="9.42578125" style="1233" customWidth="1"/>
    <col min="2606" max="2606" width="10.5703125" style="1233" customWidth="1"/>
    <col min="2607" max="2607" width="12.42578125" style="1233" customWidth="1"/>
    <col min="2608" max="2608" width="14.5703125" style="1233" customWidth="1"/>
    <col min="2609" max="2609" width="12.28515625" style="1233" customWidth="1"/>
    <col min="2610" max="2610" width="25.85546875" style="1233" customWidth="1"/>
    <col min="2611" max="2842" width="0.85546875" style="1233"/>
    <col min="2843" max="2843" width="9.85546875" style="1233" customWidth="1"/>
    <col min="2844" max="2844" width="81.85546875" style="1233" customWidth="1"/>
    <col min="2845" max="2845" width="12.7109375" style="1233" customWidth="1"/>
    <col min="2846" max="2846" width="12.42578125" style="1233" customWidth="1"/>
    <col min="2847" max="2847" width="14.5703125" style="1233" customWidth="1"/>
    <col min="2848" max="2848" width="12.28515625" style="1233" customWidth="1"/>
    <col min="2849" max="2849" width="38.140625" style="1233" customWidth="1"/>
    <col min="2850" max="2850" width="46.85546875" style="1233" customWidth="1"/>
    <col min="2851" max="2853" width="12.7109375" style="1233" customWidth="1"/>
    <col min="2854" max="2854" width="9.28515625" style="1233" customWidth="1"/>
    <col min="2855" max="2855" width="13.5703125" style="1233" customWidth="1"/>
    <col min="2856" max="2856" width="10.28515625" style="1233" customWidth="1"/>
    <col min="2857" max="2857" width="12.85546875" style="1233" customWidth="1"/>
    <col min="2858" max="2858" width="9.140625" style="1233" customWidth="1"/>
    <col min="2859" max="2859" width="9.7109375" style="1233" customWidth="1"/>
    <col min="2860" max="2860" width="9.28515625" style="1233" customWidth="1"/>
    <col min="2861" max="2861" width="9.42578125" style="1233" customWidth="1"/>
    <col min="2862" max="2862" width="10.5703125" style="1233" customWidth="1"/>
    <col min="2863" max="2863" width="12.42578125" style="1233" customWidth="1"/>
    <col min="2864" max="2864" width="14.5703125" style="1233" customWidth="1"/>
    <col min="2865" max="2865" width="12.28515625" style="1233" customWidth="1"/>
    <col min="2866" max="2866" width="25.85546875" style="1233" customWidth="1"/>
    <col min="2867" max="3098" width="0.85546875" style="1233"/>
    <col min="3099" max="3099" width="9.85546875" style="1233" customWidth="1"/>
    <col min="3100" max="3100" width="81.85546875" style="1233" customWidth="1"/>
    <col min="3101" max="3101" width="12.7109375" style="1233" customWidth="1"/>
    <col min="3102" max="3102" width="12.42578125" style="1233" customWidth="1"/>
    <col min="3103" max="3103" width="14.5703125" style="1233" customWidth="1"/>
    <col min="3104" max="3104" width="12.28515625" style="1233" customWidth="1"/>
    <col min="3105" max="3105" width="38.140625" style="1233" customWidth="1"/>
    <col min="3106" max="3106" width="46.85546875" style="1233" customWidth="1"/>
    <col min="3107" max="3109" width="12.7109375" style="1233" customWidth="1"/>
    <col min="3110" max="3110" width="9.28515625" style="1233" customWidth="1"/>
    <col min="3111" max="3111" width="13.5703125" style="1233" customWidth="1"/>
    <col min="3112" max="3112" width="10.28515625" style="1233" customWidth="1"/>
    <col min="3113" max="3113" width="12.85546875" style="1233" customWidth="1"/>
    <col min="3114" max="3114" width="9.140625" style="1233" customWidth="1"/>
    <col min="3115" max="3115" width="9.7109375" style="1233" customWidth="1"/>
    <col min="3116" max="3116" width="9.28515625" style="1233" customWidth="1"/>
    <col min="3117" max="3117" width="9.42578125" style="1233" customWidth="1"/>
    <col min="3118" max="3118" width="10.5703125" style="1233" customWidth="1"/>
    <col min="3119" max="3119" width="12.42578125" style="1233" customWidth="1"/>
    <col min="3120" max="3120" width="14.5703125" style="1233" customWidth="1"/>
    <col min="3121" max="3121" width="12.28515625" style="1233" customWidth="1"/>
    <col min="3122" max="3122" width="25.85546875" style="1233" customWidth="1"/>
    <col min="3123" max="3354" width="0.85546875" style="1233"/>
    <col min="3355" max="3355" width="9.85546875" style="1233" customWidth="1"/>
    <col min="3356" max="3356" width="81.85546875" style="1233" customWidth="1"/>
    <col min="3357" max="3357" width="12.7109375" style="1233" customWidth="1"/>
    <col min="3358" max="3358" width="12.42578125" style="1233" customWidth="1"/>
    <col min="3359" max="3359" width="14.5703125" style="1233" customWidth="1"/>
    <col min="3360" max="3360" width="12.28515625" style="1233" customWidth="1"/>
    <col min="3361" max="3361" width="38.140625" style="1233" customWidth="1"/>
    <col min="3362" max="3362" width="46.85546875" style="1233" customWidth="1"/>
    <col min="3363" max="3365" width="12.7109375" style="1233" customWidth="1"/>
    <col min="3366" max="3366" width="9.28515625" style="1233" customWidth="1"/>
    <col min="3367" max="3367" width="13.5703125" style="1233" customWidth="1"/>
    <col min="3368" max="3368" width="10.28515625" style="1233" customWidth="1"/>
    <col min="3369" max="3369" width="12.85546875" style="1233" customWidth="1"/>
    <col min="3370" max="3370" width="9.140625" style="1233" customWidth="1"/>
    <col min="3371" max="3371" width="9.7109375" style="1233" customWidth="1"/>
    <col min="3372" max="3372" width="9.28515625" style="1233" customWidth="1"/>
    <col min="3373" max="3373" width="9.42578125" style="1233" customWidth="1"/>
    <col min="3374" max="3374" width="10.5703125" style="1233" customWidth="1"/>
    <col min="3375" max="3375" width="12.42578125" style="1233" customWidth="1"/>
    <col min="3376" max="3376" width="14.5703125" style="1233" customWidth="1"/>
    <col min="3377" max="3377" width="12.28515625" style="1233" customWidth="1"/>
    <col min="3378" max="3378" width="25.85546875" style="1233" customWidth="1"/>
    <col min="3379" max="3610" width="0.85546875" style="1233"/>
    <col min="3611" max="3611" width="9.85546875" style="1233" customWidth="1"/>
    <col min="3612" max="3612" width="81.85546875" style="1233" customWidth="1"/>
    <col min="3613" max="3613" width="12.7109375" style="1233" customWidth="1"/>
    <col min="3614" max="3614" width="12.42578125" style="1233" customWidth="1"/>
    <col min="3615" max="3615" width="14.5703125" style="1233" customWidth="1"/>
    <col min="3616" max="3616" width="12.28515625" style="1233" customWidth="1"/>
    <col min="3617" max="3617" width="38.140625" style="1233" customWidth="1"/>
    <col min="3618" max="3618" width="46.85546875" style="1233" customWidth="1"/>
    <col min="3619" max="3621" width="12.7109375" style="1233" customWidth="1"/>
    <col min="3622" max="3622" width="9.28515625" style="1233" customWidth="1"/>
    <col min="3623" max="3623" width="13.5703125" style="1233" customWidth="1"/>
    <col min="3624" max="3624" width="10.28515625" style="1233" customWidth="1"/>
    <col min="3625" max="3625" width="12.85546875" style="1233" customWidth="1"/>
    <col min="3626" max="3626" width="9.140625" style="1233" customWidth="1"/>
    <col min="3627" max="3627" width="9.7109375" style="1233" customWidth="1"/>
    <col min="3628" max="3628" width="9.28515625" style="1233" customWidth="1"/>
    <col min="3629" max="3629" width="9.42578125" style="1233" customWidth="1"/>
    <col min="3630" max="3630" width="10.5703125" style="1233" customWidth="1"/>
    <col min="3631" max="3631" width="12.42578125" style="1233" customWidth="1"/>
    <col min="3632" max="3632" width="14.5703125" style="1233" customWidth="1"/>
    <col min="3633" max="3633" width="12.28515625" style="1233" customWidth="1"/>
    <col min="3634" max="3634" width="25.85546875" style="1233" customWidth="1"/>
    <col min="3635" max="3866" width="0.85546875" style="1233"/>
    <col min="3867" max="3867" width="9.85546875" style="1233" customWidth="1"/>
    <col min="3868" max="3868" width="81.85546875" style="1233" customWidth="1"/>
    <col min="3869" max="3869" width="12.7109375" style="1233" customWidth="1"/>
    <col min="3870" max="3870" width="12.42578125" style="1233" customWidth="1"/>
    <col min="3871" max="3871" width="14.5703125" style="1233" customWidth="1"/>
    <col min="3872" max="3872" width="12.28515625" style="1233" customWidth="1"/>
    <col min="3873" max="3873" width="38.140625" style="1233" customWidth="1"/>
    <col min="3874" max="3874" width="46.85546875" style="1233" customWidth="1"/>
    <col min="3875" max="3877" width="12.7109375" style="1233" customWidth="1"/>
    <col min="3878" max="3878" width="9.28515625" style="1233" customWidth="1"/>
    <col min="3879" max="3879" width="13.5703125" style="1233" customWidth="1"/>
    <col min="3880" max="3880" width="10.28515625" style="1233" customWidth="1"/>
    <col min="3881" max="3881" width="12.85546875" style="1233" customWidth="1"/>
    <col min="3882" max="3882" width="9.140625" style="1233" customWidth="1"/>
    <col min="3883" max="3883" width="9.7109375" style="1233" customWidth="1"/>
    <col min="3884" max="3884" width="9.28515625" style="1233" customWidth="1"/>
    <col min="3885" max="3885" width="9.42578125" style="1233" customWidth="1"/>
    <col min="3886" max="3886" width="10.5703125" style="1233" customWidth="1"/>
    <col min="3887" max="3887" width="12.42578125" style="1233" customWidth="1"/>
    <col min="3888" max="3888" width="14.5703125" style="1233" customWidth="1"/>
    <col min="3889" max="3889" width="12.28515625" style="1233" customWidth="1"/>
    <col min="3890" max="3890" width="25.85546875" style="1233" customWidth="1"/>
    <col min="3891" max="4122" width="0.85546875" style="1233"/>
    <col min="4123" max="4123" width="9.85546875" style="1233" customWidth="1"/>
    <col min="4124" max="4124" width="81.85546875" style="1233" customWidth="1"/>
    <col min="4125" max="4125" width="12.7109375" style="1233" customWidth="1"/>
    <col min="4126" max="4126" width="12.42578125" style="1233" customWidth="1"/>
    <col min="4127" max="4127" width="14.5703125" style="1233" customWidth="1"/>
    <col min="4128" max="4128" width="12.28515625" style="1233" customWidth="1"/>
    <col min="4129" max="4129" width="38.140625" style="1233" customWidth="1"/>
    <col min="4130" max="4130" width="46.85546875" style="1233" customWidth="1"/>
    <col min="4131" max="4133" width="12.7109375" style="1233" customWidth="1"/>
    <col min="4134" max="4134" width="9.28515625" style="1233" customWidth="1"/>
    <col min="4135" max="4135" width="13.5703125" style="1233" customWidth="1"/>
    <col min="4136" max="4136" width="10.28515625" style="1233" customWidth="1"/>
    <col min="4137" max="4137" width="12.85546875" style="1233" customWidth="1"/>
    <col min="4138" max="4138" width="9.140625" style="1233" customWidth="1"/>
    <col min="4139" max="4139" width="9.7109375" style="1233" customWidth="1"/>
    <col min="4140" max="4140" width="9.28515625" style="1233" customWidth="1"/>
    <col min="4141" max="4141" width="9.42578125" style="1233" customWidth="1"/>
    <col min="4142" max="4142" width="10.5703125" style="1233" customWidth="1"/>
    <col min="4143" max="4143" width="12.42578125" style="1233" customWidth="1"/>
    <col min="4144" max="4144" width="14.5703125" style="1233" customWidth="1"/>
    <col min="4145" max="4145" width="12.28515625" style="1233" customWidth="1"/>
    <col min="4146" max="4146" width="25.85546875" style="1233" customWidth="1"/>
    <col min="4147" max="4378" width="0.85546875" style="1233"/>
    <col min="4379" max="4379" width="9.85546875" style="1233" customWidth="1"/>
    <col min="4380" max="4380" width="81.85546875" style="1233" customWidth="1"/>
    <col min="4381" max="4381" width="12.7109375" style="1233" customWidth="1"/>
    <col min="4382" max="4382" width="12.42578125" style="1233" customWidth="1"/>
    <col min="4383" max="4383" width="14.5703125" style="1233" customWidth="1"/>
    <col min="4384" max="4384" width="12.28515625" style="1233" customWidth="1"/>
    <col min="4385" max="4385" width="38.140625" style="1233" customWidth="1"/>
    <col min="4386" max="4386" width="46.85546875" style="1233" customWidth="1"/>
    <col min="4387" max="4389" width="12.7109375" style="1233" customWidth="1"/>
    <col min="4390" max="4390" width="9.28515625" style="1233" customWidth="1"/>
    <col min="4391" max="4391" width="13.5703125" style="1233" customWidth="1"/>
    <col min="4392" max="4392" width="10.28515625" style="1233" customWidth="1"/>
    <col min="4393" max="4393" width="12.85546875" style="1233" customWidth="1"/>
    <col min="4394" max="4394" width="9.140625" style="1233" customWidth="1"/>
    <col min="4395" max="4395" width="9.7109375" style="1233" customWidth="1"/>
    <col min="4396" max="4396" width="9.28515625" style="1233" customWidth="1"/>
    <col min="4397" max="4397" width="9.42578125" style="1233" customWidth="1"/>
    <col min="4398" max="4398" width="10.5703125" style="1233" customWidth="1"/>
    <col min="4399" max="4399" width="12.42578125" style="1233" customWidth="1"/>
    <col min="4400" max="4400" width="14.5703125" style="1233" customWidth="1"/>
    <col min="4401" max="4401" width="12.28515625" style="1233" customWidth="1"/>
    <col min="4402" max="4402" width="25.85546875" style="1233" customWidth="1"/>
    <col min="4403" max="4634" width="0.85546875" style="1233"/>
    <col min="4635" max="4635" width="9.85546875" style="1233" customWidth="1"/>
    <col min="4636" max="4636" width="81.85546875" style="1233" customWidth="1"/>
    <col min="4637" max="4637" width="12.7109375" style="1233" customWidth="1"/>
    <col min="4638" max="4638" width="12.42578125" style="1233" customWidth="1"/>
    <col min="4639" max="4639" width="14.5703125" style="1233" customWidth="1"/>
    <col min="4640" max="4640" width="12.28515625" style="1233" customWidth="1"/>
    <col min="4641" max="4641" width="38.140625" style="1233" customWidth="1"/>
    <col min="4642" max="4642" width="46.85546875" style="1233" customWidth="1"/>
    <col min="4643" max="4645" width="12.7109375" style="1233" customWidth="1"/>
    <col min="4646" max="4646" width="9.28515625" style="1233" customWidth="1"/>
    <col min="4647" max="4647" width="13.5703125" style="1233" customWidth="1"/>
    <col min="4648" max="4648" width="10.28515625" style="1233" customWidth="1"/>
    <col min="4649" max="4649" width="12.85546875" style="1233" customWidth="1"/>
    <col min="4650" max="4650" width="9.140625" style="1233" customWidth="1"/>
    <col min="4651" max="4651" width="9.7109375" style="1233" customWidth="1"/>
    <col min="4652" max="4652" width="9.28515625" style="1233" customWidth="1"/>
    <col min="4653" max="4653" width="9.42578125" style="1233" customWidth="1"/>
    <col min="4654" max="4654" width="10.5703125" style="1233" customWidth="1"/>
    <col min="4655" max="4655" width="12.42578125" style="1233" customWidth="1"/>
    <col min="4656" max="4656" width="14.5703125" style="1233" customWidth="1"/>
    <col min="4657" max="4657" width="12.28515625" style="1233" customWidth="1"/>
    <col min="4658" max="4658" width="25.85546875" style="1233" customWidth="1"/>
    <col min="4659" max="4890" width="0.85546875" style="1233"/>
    <col min="4891" max="4891" width="9.85546875" style="1233" customWidth="1"/>
    <col min="4892" max="4892" width="81.85546875" style="1233" customWidth="1"/>
    <col min="4893" max="4893" width="12.7109375" style="1233" customWidth="1"/>
    <col min="4894" max="4894" width="12.42578125" style="1233" customWidth="1"/>
    <col min="4895" max="4895" width="14.5703125" style="1233" customWidth="1"/>
    <col min="4896" max="4896" width="12.28515625" style="1233" customWidth="1"/>
    <col min="4897" max="4897" width="38.140625" style="1233" customWidth="1"/>
    <col min="4898" max="4898" width="46.85546875" style="1233" customWidth="1"/>
    <col min="4899" max="4901" width="12.7109375" style="1233" customWidth="1"/>
    <col min="4902" max="4902" width="9.28515625" style="1233" customWidth="1"/>
    <col min="4903" max="4903" width="13.5703125" style="1233" customWidth="1"/>
    <col min="4904" max="4904" width="10.28515625" style="1233" customWidth="1"/>
    <col min="4905" max="4905" width="12.85546875" style="1233" customWidth="1"/>
    <col min="4906" max="4906" width="9.140625" style="1233" customWidth="1"/>
    <col min="4907" max="4907" width="9.7109375" style="1233" customWidth="1"/>
    <col min="4908" max="4908" width="9.28515625" style="1233" customWidth="1"/>
    <col min="4909" max="4909" width="9.42578125" style="1233" customWidth="1"/>
    <col min="4910" max="4910" width="10.5703125" style="1233" customWidth="1"/>
    <col min="4911" max="4911" width="12.42578125" style="1233" customWidth="1"/>
    <col min="4912" max="4912" width="14.5703125" style="1233" customWidth="1"/>
    <col min="4913" max="4913" width="12.28515625" style="1233" customWidth="1"/>
    <col min="4914" max="4914" width="25.85546875" style="1233" customWidth="1"/>
    <col min="4915" max="5146" width="0.85546875" style="1233"/>
    <col min="5147" max="5147" width="9.85546875" style="1233" customWidth="1"/>
    <col min="5148" max="5148" width="81.85546875" style="1233" customWidth="1"/>
    <col min="5149" max="5149" width="12.7109375" style="1233" customWidth="1"/>
    <col min="5150" max="5150" width="12.42578125" style="1233" customWidth="1"/>
    <col min="5151" max="5151" width="14.5703125" style="1233" customWidth="1"/>
    <col min="5152" max="5152" width="12.28515625" style="1233" customWidth="1"/>
    <col min="5153" max="5153" width="38.140625" style="1233" customWidth="1"/>
    <col min="5154" max="5154" width="46.85546875" style="1233" customWidth="1"/>
    <col min="5155" max="5157" width="12.7109375" style="1233" customWidth="1"/>
    <col min="5158" max="5158" width="9.28515625" style="1233" customWidth="1"/>
    <col min="5159" max="5159" width="13.5703125" style="1233" customWidth="1"/>
    <col min="5160" max="5160" width="10.28515625" style="1233" customWidth="1"/>
    <col min="5161" max="5161" width="12.85546875" style="1233" customWidth="1"/>
    <col min="5162" max="5162" width="9.140625" style="1233" customWidth="1"/>
    <col min="5163" max="5163" width="9.7109375" style="1233" customWidth="1"/>
    <col min="5164" max="5164" width="9.28515625" style="1233" customWidth="1"/>
    <col min="5165" max="5165" width="9.42578125" style="1233" customWidth="1"/>
    <col min="5166" max="5166" width="10.5703125" style="1233" customWidth="1"/>
    <col min="5167" max="5167" width="12.42578125" style="1233" customWidth="1"/>
    <col min="5168" max="5168" width="14.5703125" style="1233" customWidth="1"/>
    <col min="5169" max="5169" width="12.28515625" style="1233" customWidth="1"/>
    <col min="5170" max="5170" width="25.85546875" style="1233" customWidth="1"/>
    <col min="5171" max="5402" width="0.85546875" style="1233"/>
    <col min="5403" max="5403" width="9.85546875" style="1233" customWidth="1"/>
    <col min="5404" max="5404" width="81.85546875" style="1233" customWidth="1"/>
    <col min="5405" max="5405" width="12.7109375" style="1233" customWidth="1"/>
    <col min="5406" max="5406" width="12.42578125" style="1233" customWidth="1"/>
    <col min="5407" max="5407" width="14.5703125" style="1233" customWidth="1"/>
    <col min="5408" max="5408" width="12.28515625" style="1233" customWidth="1"/>
    <col min="5409" max="5409" width="38.140625" style="1233" customWidth="1"/>
    <col min="5410" max="5410" width="46.85546875" style="1233" customWidth="1"/>
    <col min="5411" max="5413" width="12.7109375" style="1233" customWidth="1"/>
    <col min="5414" max="5414" width="9.28515625" style="1233" customWidth="1"/>
    <col min="5415" max="5415" width="13.5703125" style="1233" customWidth="1"/>
    <col min="5416" max="5416" width="10.28515625" style="1233" customWidth="1"/>
    <col min="5417" max="5417" width="12.85546875" style="1233" customWidth="1"/>
    <col min="5418" max="5418" width="9.140625" style="1233" customWidth="1"/>
    <col min="5419" max="5419" width="9.7109375" style="1233" customWidth="1"/>
    <col min="5420" max="5420" width="9.28515625" style="1233" customWidth="1"/>
    <col min="5421" max="5421" width="9.42578125" style="1233" customWidth="1"/>
    <col min="5422" max="5422" width="10.5703125" style="1233" customWidth="1"/>
    <col min="5423" max="5423" width="12.42578125" style="1233" customWidth="1"/>
    <col min="5424" max="5424" width="14.5703125" style="1233" customWidth="1"/>
    <col min="5425" max="5425" width="12.28515625" style="1233" customWidth="1"/>
    <col min="5426" max="5426" width="25.85546875" style="1233" customWidth="1"/>
    <col min="5427" max="5658" width="0.85546875" style="1233"/>
    <col min="5659" max="5659" width="9.85546875" style="1233" customWidth="1"/>
    <col min="5660" max="5660" width="81.85546875" style="1233" customWidth="1"/>
    <col min="5661" max="5661" width="12.7109375" style="1233" customWidth="1"/>
    <col min="5662" max="5662" width="12.42578125" style="1233" customWidth="1"/>
    <col min="5663" max="5663" width="14.5703125" style="1233" customWidth="1"/>
    <col min="5664" max="5664" width="12.28515625" style="1233" customWidth="1"/>
    <col min="5665" max="5665" width="38.140625" style="1233" customWidth="1"/>
    <col min="5666" max="5666" width="46.85546875" style="1233" customWidth="1"/>
    <col min="5667" max="5669" width="12.7109375" style="1233" customWidth="1"/>
    <col min="5670" max="5670" width="9.28515625" style="1233" customWidth="1"/>
    <col min="5671" max="5671" width="13.5703125" style="1233" customWidth="1"/>
    <col min="5672" max="5672" width="10.28515625" style="1233" customWidth="1"/>
    <col min="5673" max="5673" width="12.85546875" style="1233" customWidth="1"/>
    <col min="5674" max="5674" width="9.140625" style="1233" customWidth="1"/>
    <col min="5675" max="5675" width="9.7109375" style="1233" customWidth="1"/>
    <col min="5676" max="5676" width="9.28515625" style="1233" customWidth="1"/>
    <col min="5677" max="5677" width="9.42578125" style="1233" customWidth="1"/>
    <col min="5678" max="5678" width="10.5703125" style="1233" customWidth="1"/>
    <col min="5679" max="5679" width="12.42578125" style="1233" customWidth="1"/>
    <col min="5680" max="5680" width="14.5703125" style="1233" customWidth="1"/>
    <col min="5681" max="5681" width="12.28515625" style="1233" customWidth="1"/>
    <col min="5682" max="5682" width="25.85546875" style="1233" customWidth="1"/>
    <col min="5683" max="5914" width="0.85546875" style="1233"/>
    <col min="5915" max="5915" width="9.85546875" style="1233" customWidth="1"/>
    <col min="5916" max="5916" width="81.85546875" style="1233" customWidth="1"/>
    <col min="5917" max="5917" width="12.7109375" style="1233" customWidth="1"/>
    <col min="5918" max="5918" width="12.42578125" style="1233" customWidth="1"/>
    <col min="5919" max="5919" width="14.5703125" style="1233" customWidth="1"/>
    <col min="5920" max="5920" width="12.28515625" style="1233" customWidth="1"/>
    <col min="5921" max="5921" width="38.140625" style="1233" customWidth="1"/>
    <col min="5922" max="5922" width="46.85546875" style="1233" customWidth="1"/>
    <col min="5923" max="5925" width="12.7109375" style="1233" customWidth="1"/>
    <col min="5926" max="5926" width="9.28515625" style="1233" customWidth="1"/>
    <col min="5927" max="5927" width="13.5703125" style="1233" customWidth="1"/>
    <col min="5928" max="5928" width="10.28515625" style="1233" customWidth="1"/>
    <col min="5929" max="5929" width="12.85546875" style="1233" customWidth="1"/>
    <col min="5930" max="5930" width="9.140625" style="1233" customWidth="1"/>
    <col min="5931" max="5931" width="9.7109375" style="1233" customWidth="1"/>
    <col min="5932" max="5932" width="9.28515625" style="1233" customWidth="1"/>
    <col min="5933" max="5933" width="9.42578125" style="1233" customWidth="1"/>
    <col min="5934" max="5934" width="10.5703125" style="1233" customWidth="1"/>
    <col min="5935" max="5935" width="12.42578125" style="1233" customWidth="1"/>
    <col min="5936" max="5936" width="14.5703125" style="1233" customWidth="1"/>
    <col min="5937" max="5937" width="12.28515625" style="1233" customWidth="1"/>
    <col min="5938" max="5938" width="25.85546875" style="1233" customWidth="1"/>
    <col min="5939" max="6170" width="0.85546875" style="1233"/>
    <col min="6171" max="6171" width="9.85546875" style="1233" customWidth="1"/>
    <col min="6172" max="6172" width="81.85546875" style="1233" customWidth="1"/>
    <col min="6173" max="6173" width="12.7109375" style="1233" customWidth="1"/>
    <col min="6174" max="6174" width="12.42578125" style="1233" customWidth="1"/>
    <col min="6175" max="6175" width="14.5703125" style="1233" customWidth="1"/>
    <col min="6176" max="6176" width="12.28515625" style="1233" customWidth="1"/>
    <col min="6177" max="6177" width="38.140625" style="1233" customWidth="1"/>
    <col min="6178" max="6178" width="46.85546875" style="1233" customWidth="1"/>
    <col min="6179" max="6181" width="12.7109375" style="1233" customWidth="1"/>
    <col min="6182" max="6182" width="9.28515625" style="1233" customWidth="1"/>
    <col min="6183" max="6183" width="13.5703125" style="1233" customWidth="1"/>
    <col min="6184" max="6184" width="10.28515625" style="1233" customWidth="1"/>
    <col min="6185" max="6185" width="12.85546875" style="1233" customWidth="1"/>
    <col min="6186" max="6186" width="9.140625" style="1233" customWidth="1"/>
    <col min="6187" max="6187" width="9.7109375" style="1233" customWidth="1"/>
    <col min="6188" max="6188" width="9.28515625" style="1233" customWidth="1"/>
    <col min="6189" max="6189" width="9.42578125" style="1233" customWidth="1"/>
    <col min="6190" max="6190" width="10.5703125" style="1233" customWidth="1"/>
    <col min="6191" max="6191" width="12.42578125" style="1233" customWidth="1"/>
    <col min="6192" max="6192" width="14.5703125" style="1233" customWidth="1"/>
    <col min="6193" max="6193" width="12.28515625" style="1233" customWidth="1"/>
    <col min="6194" max="6194" width="25.85546875" style="1233" customWidth="1"/>
    <col min="6195" max="6426" width="0.85546875" style="1233"/>
    <col min="6427" max="6427" width="9.85546875" style="1233" customWidth="1"/>
    <col min="6428" max="6428" width="81.85546875" style="1233" customWidth="1"/>
    <col min="6429" max="6429" width="12.7109375" style="1233" customWidth="1"/>
    <col min="6430" max="6430" width="12.42578125" style="1233" customWidth="1"/>
    <col min="6431" max="6431" width="14.5703125" style="1233" customWidth="1"/>
    <col min="6432" max="6432" width="12.28515625" style="1233" customWidth="1"/>
    <col min="6433" max="6433" width="38.140625" style="1233" customWidth="1"/>
    <col min="6434" max="6434" width="46.85546875" style="1233" customWidth="1"/>
    <col min="6435" max="6437" width="12.7109375" style="1233" customWidth="1"/>
    <col min="6438" max="6438" width="9.28515625" style="1233" customWidth="1"/>
    <col min="6439" max="6439" width="13.5703125" style="1233" customWidth="1"/>
    <col min="6440" max="6440" width="10.28515625" style="1233" customWidth="1"/>
    <col min="6441" max="6441" width="12.85546875" style="1233" customWidth="1"/>
    <col min="6442" max="6442" width="9.140625" style="1233" customWidth="1"/>
    <col min="6443" max="6443" width="9.7109375" style="1233" customWidth="1"/>
    <col min="6444" max="6444" width="9.28515625" style="1233" customWidth="1"/>
    <col min="6445" max="6445" width="9.42578125" style="1233" customWidth="1"/>
    <col min="6446" max="6446" width="10.5703125" style="1233" customWidth="1"/>
    <col min="6447" max="6447" width="12.42578125" style="1233" customWidth="1"/>
    <col min="6448" max="6448" width="14.5703125" style="1233" customWidth="1"/>
    <col min="6449" max="6449" width="12.28515625" style="1233" customWidth="1"/>
    <col min="6450" max="6450" width="25.85546875" style="1233" customWidth="1"/>
    <col min="6451" max="6682" width="0.85546875" style="1233"/>
    <col min="6683" max="6683" width="9.85546875" style="1233" customWidth="1"/>
    <col min="6684" max="6684" width="81.85546875" style="1233" customWidth="1"/>
    <col min="6685" max="6685" width="12.7109375" style="1233" customWidth="1"/>
    <col min="6686" max="6686" width="12.42578125" style="1233" customWidth="1"/>
    <col min="6687" max="6687" width="14.5703125" style="1233" customWidth="1"/>
    <col min="6688" max="6688" width="12.28515625" style="1233" customWidth="1"/>
    <col min="6689" max="6689" width="38.140625" style="1233" customWidth="1"/>
    <col min="6690" max="6690" width="46.85546875" style="1233" customWidth="1"/>
    <col min="6691" max="6693" width="12.7109375" style="1233" customWidth="1"/>
    <col min="6694" max="6694" width="9.28515625" style="1233" customWidth="1"/>
    <col min="6695" max="6695" width="13.5703125" style="1233" customWidth="1"/>
    <col min="6696" max="6696" width="10.28515625" style="1233" customWidth="1"/>
    <col min="6697" max="6697" width="12.85546875" style="1233" customWidth="1"/>
    <col min="6698" max="6698" width="9.140625" style="1233" customWidth="1"/>
    <col min="6699" max="6699" width="9.7109375" style="1233" customWidth="1"/>
    <col min="6700" max="6700" width="9.28515625" style="1233" customWidth="1"/>
    <col min="6701" max="6701" width="9.42578125" style="1233" customWidth="1"/>
    <col min="6702" max="6702" width="10.5703125" style="1233" customWidth="1"/>
    <col min="6703" max="6703" width="12.42578125" style="1233" customWidth="1"/>
    <col min="6704" max="6704" width="14.5703125" style="1233" customWidth="1"/>
    <col min="6705" max="6705" width="12.28515625" style="1233" customWidth="1"/>
    <col min="6706" max="6706" width="25.85546875" style="1233" customWidth="1"/>
    <col min="6707" max="6938" width="0.85546875" style="1233"/>
    <col min="6939" max="6939" width="9.85546875" style="1233" customWidth="1"/>
    <col min="6940" max="6940" width="81.85546875" style="1233" customWidth="1"/>
    <col min="6941" max="6941" width="12.7109375" style="1233" customWidth="1"/>
    <col min="6942" max="6942" width="12.42578125" style="1233" customWidth="1"/>
    <col min="6943" max="6943" width="14.5703125" style="1233" customWidth="1"/>
    <col min="6944" max="6944" width="12.28515625" style="1233" customWidth="1"/>
    <col min="6945" max="6945" width="38.140625" style="1233" customWidth="1"/>
    <col min="6946" max="6946" width="46.85546875" style="1233" customWidth="1"/>
    <col min="6947" max="6949" width="12.7109375" style="1233" customWidth="1"/>
    <col min="6950" max="6950" width="9.28515625" style="1233" customWidth="1"/>
    <col min="6951" max="6951" width="13.5703125" style="1233" customWidth="1"/>
    <col min="6952" max="6952" width="10.28515625" style="1233" customWidth="1"/>
    <col min="6953" max="6953" width="12.85546875" style="1233" customWidth="1"/>
    <col min="6954" max="6954" width="9.140625" style="1233" customWidth="1"/>
    <col min="6955" max="6955" width="9.7109375" style="1233" customWidth="1"/>
    <col min="6956" max="6956" width="9.28515625" style="1233" customWidth="1"/>
    <col min="6957" max="6957" width="9.42578125" style="1233" customWidth="1"/>
    <col min="6958" max="6958" width="10.5703125" style="1233" customWidth="1"/>
    <col min="6959" max="6959" width="12.42578125" style="1233" customWidth="1"/>
    <col min="6960" max="6960" width="14.5703125" style="1233" customWidth="1"/>
    <col min="6961" max="6961" width="12.28515625" style="1233" customWidth="1"/>
    <col min="6962" max="6962" width="25.85546875" style="1233" customWidth="1"/>
    <col min="6963" max="7194" width="0.85546875" style="1233"/>
    <col min="7195" max="7195" width="9.85546875" style="1233" customWidth="1"/>
    <col min="7196" max="7196" width="81.85546875" style="1233" customWidth="1"/>
    <col min="7197" max="7197" width="12.7109375" style="1233" customWidth="1"/>
    <col min="7198" max="7198" width="12.42578125" style="1233" customWidth="1"/>
    <col min="7199" max="7199" width="14.5703125" style="1233" customWidth="1"/>
    <col min="7200" max="7200" width="12.28515625" style="1233" customWidth="1"/>
    <col min="7201" max="7201" width="38.140625" style="1233" customWidth="1"/>
    <col min="7202" max="7202" width="46.85546875" style="1233" customWidth="1"/>
    <col min="7203" max="7205" width="12.7109375" style="1233" customWidth="1"/>
    <col min="7206" max="7206" width="9.28515625" style="1233" customWidth="1"/>
    <col min="7207" max="7207" width="13.5703125" style="1233" customWidth="1"/>
    <col min="7208" max="7208" width="10.28515625" style="1233" customWidth="1"/>
    <col min="7209" max="7209" width="12.85546875" style="1233" customWidth="1"/>
    <col min="7210" max="7210" width="9.140625" style="1233" customWidth="1"/>
    <col min="7211" max="7211" width="9.7109375" style="1233" customWidth="1"/>
    <col min="7212" max="7212" width="9.28515625" style="1233" customWidth="1"/>
    <col min="7213" max="7213" width="9.42578125" style="1233" customWidth="1"/>
    <col min="7214" max="7214" width="10.5703125" style="1233" customWidth="1"/>
    <col min="7215" max="7215" width="12.42578125" style="1233" customWidth="1"/>
    <col min="7216" max="7216" width="14.5703125" style="1233" customWidth="1"/>
    <col min="7217" max="7217" width="12.28515625" style="1233" customWidth="1"/>
    <col min="7218" max="7218" width="25.85546875" style="1233" customWidth="1"/>
    <col min="7219" max="7450" width="0.85546875" style="1233"/>
    <col min="7451" max="7451" width="9.85546875" style="1233" customWidth="1"/>
    <col min="7452" max="7452" width="81.85546875" style="1233" customWidth="1"/>
    <col min="7453" max="7453" width="12.7109375" style="1233" customWidth="1"/>
    <col min="7454" max="7454" width="12.42578125" style="1233" customWidth="1"/>
    <col min="7455" max="7455" width="14.5703125" style="1233" customWidth="1"/>
    <col min="7456" max="7456" width="12.28515625" style="1233" customWidth="1"/>
    <col min="7457" max="7457" width="38.140625" style="1233" customWidth="1"/>
    <col min="7458" max="7458" width="46.85546875" style="1233" customWidth="1"/>
    <col min="7459" max="7461" width="12.7109375" style="1233" customWidth="1"/>
    <col min="7462" max="7462" width="9.28515625" style="1233" customWidth="1"/>
    <col min="7463" max="7463" width="13.5703125" style="1233" customWidth="1"/>
    <col min="7464" max="7464" width="10.28515625" style="1233" customWidth="1"/>
    <col min="7465" max="7465" width="12.85546875" style="1233" customWidth="1"/>
    <col min="7466" max="7466" width="9.140625" style="1233" customWidth="1"/>
    <col min="7467" max="7467" width="9.7109375" style="1233" customWidth="1"/>
    <col min="7468" max="7468" width="9.28515625" style="1233" customWidth="1"/>
    <col min="7469" max="7469" width="9.42578125" style="1233" customWidth="1"/>
    <col min="7470" max="7470" width="10.5703125" style="1233" customWidth="1"/>
    <col min="7471" max="7471" width="12.42578125" style="1233" customWidth="1"/>
    <col min="7472" max="7472" width="14.5703125" style="1233" customWidth="1"/>
    <col min="7473" max="7473" width="12.28515625" style="1233" customWidth="1"/>
    <col min="7474" max="7474" width="25.85546875" style="1233" customWidth="1"/>
    <col min="7475" max="7706" width="0.85546875" style="1233"/>
    <col min="7707" max="7707" width="9.85546875" style="1233" customWidth="1"/>
    <col min="7708" max="7708" width="81.85546875" style="1233" customWidth="1"/>
    <col min="7709" max="7709" width="12.7109375" style="1233" customWidth="1"/>
    <col min="7710" max="7710" width="12.42578125" style="1233" customWidth="1"/>
    <col min="7711" max="7711" width="14.5703125" style="1233" customWidth="1"/>
    <col min="7712" max="7712" width="12.28515625" style="1233" customWidth="1"/>
    <col min="7713" max="7713" width="38.140625" style="1233" customWidth="1"/>
    <col min="7714" max="7714" width="46.85546875" style="1233" customWidth="1"/>
    <col min="7715" max="7717" width="12.7109375" style="1233" customWidth="1"/>
    <col min="7718" max="7718" width="9.28515625" style="1233" customWidth="1"/>
    <col min="7719" max="7719" width="13.5703125" style="1233" customWidth="1"/>
    <col min="7720" max="7720" width="10.28515625" style="1233" customWidth="1"/>
    <col min="7721" max="7721" width="12.85546875" style="1233" customWidth="1"/>
    <col min="7722" max="7722" width="9.140625" style="1233" customWidth="1"/>
    <col min="7723" max="7723" width="9.7109375" style="1233" customWidth="1"/>
    <col min="7724" max="7724" width="9.28515625" style="1233" customWidth="1"/>
    <col min="7725" max="7725" width="9.42578125" style="1233" customWidth="1"/>
    <col min="7726" max="7726" width="10.5703125" style="1233" customWidth="1"/>
    <col min="7727" max="7727" width="12.42578125" style="1233" customWidth="1"/>
    <col min="7728" max="7728" width="14.5703125" style="1233" customWidth="1"/>
    <col min="7729" max="7729" width="12.28515625" style="1233" customWidth="1"/>
    <col min="7730" max="7730" width="25.85546875" style="1233" customWidth="1"/>
    <col min="7731" max="7962" width="0.85546875" style="1233"/>
    <col min="7963" max="7963" width="9.85546875" style="1233" customWidth="1"/>
    <col min="7964" max="7964" width="81.85546875" style="1233" customWidth="1"/>
    <col min="7965" max="7965" width="12.7109375" style="1233" customWidth="1"/>
    <col min="7966" max="7966" width="12.42578125" style="1233" customWidth="1"/>
    <col min="7967" max="7967" width="14.5703125" style="1233" customWidth="1"/>
    <col min="7968" max="7968" width="12.28515625" style="1233" customWidth="1"/>
    <col min="7969" max="7969" width="38.140625" style="1233" customWidth="1"/>
    <col min="7970" max="7970" width="46.85546875" style="1233" customWidth="1"/>
    <col min="7971" max="7973" width="12.7109375" style="1233" customWidth="1"/>
    <col min="7974" max="7974" width="9.28515625" style="1233" customWidth="1"/>
    <col min="7975" max="7975" width="13.5703125" style="1233" customWidth="1"/>
    <col min="7976" max="7976" width="10.28515625" style="1233" customWidth="1"/>
    <col min="7977" max="7977" width="12.85546875" style="1233" customWidth="1"/>
    <col min="7978" max="7978" width="9.140625" style="1233" customWidth="1"/>
    <col min="7979" max="7979" width="9.7109375" style="1233" customWidth="1"/>
    <col min="7980" max="7980" width="9.28515625" style="1233" customWidth="1"/>
    <col min="7981" max="7981" width="9.42578125" style="1233" customWidth="1"/>
    <col min="7982" max="7982" width="10.5703125" style="1233" customWidth="1"/>
    <col min="7983" max="7983" width="12.42578125" style="1233" customWidth="1"/>
    <col min="7984" max="7984" width="14.5703125" style="1233" customWidth="1"/>
    <col min="7985" max="7985" width="12.28515625" style="1233" customWidth="1"/>
    <col min="7986" max="7986" width="25.85546875" style="1233" customWidth="1"/>
    <col min="7987" max="8218" width="0.85546875" style="1233"/>
    <col min="8219" max="8219" width="9.85546875" style="1233" customWidth="1"/>
    <col min="8220" max="8220" width="81.85546875" style="1233" customWidth="1"/>
    <col min="8221" max="8221" width="12.7109375" style="1233" customWidth="1"/>
    <col min="8222" max="8222" width="12.42578125" style="1233" customWidth="1"/>
    <col min="8223" max="8223" width="14.5703125" style="1233" customWidth="1"/>
    <col min="8224" max="8224" width="12.28515625" style="1233" customWidth="1"/>
    <col min="8225" max="8225" width="38.140625" style="1233" customWidth="1"/>
    <col min="8226" max="8226" width="46.85546875" style="1233" customWidth="1"/>
    <col min="8227" max="8229" width="12.7109375" style="1233" customWidth="1"/>
    <col min="8230" max="8230" width="9.28515625" style="1233" customWidth="1"/>
    <col min="8231" max="8231" width="13.5703125" style="1233" customWidth="1"/>
    <col min="8232" max="8232" width="10.28515625" style="1233" customWidth="1"/>
    <col min="8233" max="8233" width="12.85546875" style="1233" customWidth="1"/>
    <col min="8234" max="8234" width="9.140625" style="1233" customWidth="1"/>
    <col min="8235" max="8235" width="9.7109375" style="1233" customWidth="1"/>
    <col min="8236" max="8236" width="9.28515625" style="1233" customWidth="1"/>
    <col min="8237" max="8237" width="9.42578125" style="1233" customWidth="1"/>
    <col min="8238" max="8238" width="10.5703125" style="1233" customWidth="1"/>
    <col min="8239" max="8239" width="12.42578125" style="1233" customWidth="1"/>
    <col min="8240" max="8240" width="14.5703125" style="1233" customWidth="1"/>
    <col min="8241" max="8241" width="12.28515625" style="1233" customWidth="1"/>
    <col min="8242" max="8242" width="25.85546875" style="1233" customWidth="1"/>
    <col min="8243" max="8474" width="0.85546875" style="1233"/>
    <col min="8475" max="8475" width="9.85546875" style="1233" customWidth="1"/>
    <col min="8476" max="8476" width="81.85546875" style="1233" customWidth="1"/>
    <col min="8477" max="8477" width="12.7109375" style="1233" customWidth="1"/>
    <col min="8478" max="8478" width="12.42578125" style="1233" customWidth="1"/>
    <col min="8479" max="8479" width="14.5703125" style="1233" customWidth="1"/>
    <col min="8480" max="8480" width="12.28515625" style="1233" customWidth="1"/>
    <col min="8481" max="8481" width="38.140625" style="1233" customWidth="1"/>
    <col min="8482" max="8482" width="46.85546875" style="1233" customWidth="1"/>
    <col min="8483" max="8485" width="12.7109375" style="1233" customWidth="1"/>
    <col min="8486" max="8486" width="9.28515625" style="1233" customWidth="1"/>
    <col min="8487" max="8487" width="13.5703125" style="1233" customWidth="1"/>
    <col min="8488" max="8488" width="10.28515625" style="1233" customWidth="1"/>
    <col min="8489" max="8489" width="12.85546875" style="1233" customWidth="1"/>
    <col min="8490" max="8490" width="9.140625" style="1233" customWidth="1"/>
    <col min="8491" max="8491" width="9.7109375" style="1233" customWidth="1"/>
    <col min="8492" max="8492" width="9.28515625" style="1233" customWidth="1"/>
    <col min="8493" max="8493" width="9.42578125" style="1233" customWidth="1"/>
    <col min="8494" max="8494" width="10.5703125" style="1233" customWidth="1"/>
    <col min="8495" max="8495" width="12.42578125" style="1233" customWidth="1"/>
    <col min="8496" max="8496" width="14.5703125" style="1233" customWidth="1"/>
    <col min="8497" max="8497" width="12.28515625" style="1233" customWidth="1"/>
    <col min="8498" max="8498" width="25.85546875" style="1233" customWidth="1"/>
    <col min="8499" max="8730" width="0.85546875" style="1233"/>
    <col min="8731" max="8731" width="9.85546875" style="1233" customWidth="1"/>
    <col min="8732" max="8732" width="81.85546875" style="1233" customWidth="1"/>
    <col min="8733" max="8733" width="12.7109375" style="1233" customWidth="1"/>
    <col min="8734" max="8734" width="12.42578125" style="1233" customWidth="1"/>
    <col min="8735" max="8735" width="14.5703125" style="1233" customWidth="1"/>
    <col min="8736" max="8736" width="12.28515625" style="1233" customWidth="1"/>
    <col min="8737" max="8737" width="38.140625" style="1233" customWidth="1"/>
    <col min="8738" max="8738" width="46.85546875" style="1233" customWidth="1"/>
    <col min="8739" max="8741" width="12.7109375" style="1233" customWidth="1"/>
    <col min="8742" max="8742" width="9.28515625" style="1233" customWidth="1"/>
    <col min="8743" max="8743" width="13.5703125" style="1233" customWidth="1"/>
    <col min="8744" max="8744" width="10.28515625" style="1233" customWidth="1"/>
    <col min="8745" max="8745" width="12.85546875" style="1233" customWidth="1"/>
    <col min="8746" max="8746" width="9.140625" style="1233" customWidth="1"/>
    <col min="8747" max="8747" width="9.7109375" style="1233" customWidth="1"/>
    <col min="8748" max="8748" width="9.28515625" style="1233" customWidth="1"/>
    <col min="8749" max="8749" width="9.42578125" style="1233" customWidth="1"/>
    <col min="8750" max="8750" width="10.5703125" style="1233" customWidth="1"/>
    <col min="8751" max="8751" width="12.42578125" style="1233" customWidth="1"/>
    <col min="8752" max="8752" width="14.5703125" style="1233" customWidth="1"/>
    <col min="8753" max="8753" width="12.28515625" style="1233" customWidth="1"/>
    <col min="8754" max="8754" width="25.85546875" style="1233" customWidth="1"/>
    <col min="8755" max="8986" width="0.85546875" style="1233"/>
    <col min="8987" max="8987" width="9.85546875" style="1233" customWidth="1"/>
    <col min="8988" max="8988" width="81.85546875" style="1233" customWidth="1"/>
    <col min="8989" max="8989" width="12.7109375" style="1233" customWidth="1"/>
    <col min="8990" max="8990" width="12.42578125" style="1233" customWidth="1"/>
    <col min="8991" max="8991" width="14.5703125" style="1233" customWidth="1"/>
    <col min="8992" max="8992" width="12.28515625" style="1233" customWidth="1"/>
    <col min="8993" max="8993" width="38.140625" style="1233" customWidth="1"/>
    <col min="8994" max="8994" width="46.85546875" style="1233" customWidth="1"/>
    <col min="8995" max="8997" width="12.7109375" style="1233" customWidth="1"/>
    <col min="8998" max="8998" width="9.28515625" style="1233" customWidth="1"/>
    <col min="8999" max="8999" width="13.5703125" style="1233" customWidth="1"/>
    <col min="9000" max="9000" width="10.28515625" style="1233" customWidth="1"/>
    <col min="9001" max="9001" width="12.85546875" style="1233" customWidth="1"/>
    <col min="9002" max="9002" width="9.140625" style="1233" customWidth="1"/>
    <col min="9003" max="9003" width="9.7109375" style="1233" customWidth="1"/>
    <col min="9004" max="9004" width="9.28515625" style="1233" customWidth="1"/>
    <col min="9005" max="9005" width="9.42578125" style="1233" customWidth="1"/>
    <col min="9006" max="9006" width="10.5703125" style="1233" customWidth="1"/>
    <col min="9007" max="9007" width="12.42578125" style="1233" customWidth="1"/>
    <col min="9008" max="9008" width="14.5703125" style="1233" customWidth="1"/>
    <col min="9009" max="9009" width="12.28515625" style="1233" customWidth="1"/>
    <col min="9010" max="9010" width="25.85546875" style="1233" customWidth="1"/>
    <col min="9011" max="9242" width="0.85546875" style="1233"/>
    <col min="9243" max="9243" width="9.85546875" style="1233" customWidth="1"/>
    <col min="9244" max="9244" width="81.85546875" style="1233" customWidth="1"/>
    <col min="9245" max="9245" width="12.7109375" style="1233" customWidth="1"/>
    <col min="9246" max="9246" width="12.42578125" style="1233" customWidth="1"/>
    <col min="9247" max="9247" width="14.5703125" style="1233" customWidth="1"/>
    <col min="9248" max="9248" width="12.28515625" style="1233" customWidth="1"/>
    <col min="9249" max="9249" width="38.140625" style="1233" customWidth="1"/>
    <col min="9250" max="9250" width="46.85546875" style="1233" customWidth="1"/>
    <col min="9251" max="9253" width="12.7109375" style="1233" customWidth="1"/>
    <col min="9254" max="9254" width="9.28515625" style="1233" customWidth="1"/>
    <col min="9255" max="9255" width="13.5703125" style="1233" customWidth="1"/>
    <col min="9256" max="9256" width="10.28515625" style="1233" customWidth="1"/>
    <col min="9257" max="9257" width="12.85546875" style="1233" customWidth="1"/>
    <col min="9258" max="9258" width="9.140625" style="1233" customWidth="1"/>
    <col min="9259" max="9259" width="9.7109375" style="1233" customWidth="1"/>
    <col min="9260" max="9260" width="9.28515625" style="1233" customWidth="1"/>
    <col min="9261" max="9261" width="9.42578125" style="1233" customWidth="1"/>
    <col min="9262" max="9262" width="10.5703125" style="1233" customWidth="1"/>
    <col min="9263" max="9263" width="12.42578125" style="1233" customWidth="1"/>
    <col min="9264" max="9264" width="14.5703125" style="1233" customWidth="1"/>
    <col min="9265" max="9265" width="12.28515625" style="1233" customWidth="1"/>
    <col min="9266" max="9266" width="25.85546875" style="1233" customWidth="1"/>
    <col min="9267" max="9498" width="0.85546875" style="1233"/>
    <col min="9499" max="9499" width="9.85546875" style="1233" customWidth="1"/>
    <col min="9500" max="9500" width="81.85546875" style="1233" customWidth="1"/>
    <col min="9501" max="9501" width="12.7109375" style="1233" customWidth="1"/>
    <col min="9502" max="9502" width="12.42578125" style="1233" customWidth="1"/>
    <col min="9503" max="9503" width="14.5703125" style="1233" customWidth="1"/>
    <col min="9504" max="9504" width="12.28515625" style="1233" customWidth="1"/>
    <col min="9505" max="9505" width="38.140625" style="1233" customWidth="1"/>
    <col min="9506" max="9506" width="46.85546875" style="1233" customWidth="1"/>
    <col min="9507" max="9509" width="12.7109375" style="1233" customWidth="1"/>
    <col min="9510" max="9510" width="9.28515625" style="1233" customWidth="1"/>
    <col min="9511" max="9511" width="13.5703125" style="1233" customWidth="1"/>
    <col min="9512" max="9512" width="10.28515625" style="1233" customWidth="1"/>
    <col min="9513" max="9513" width="12.85546875" style="1233" customWidth="1"/>
    <col min="9514" max="9514" width="9.140625" style="1233" customWidth="1"/>
    <col min="9515" max="9515" width="9.7109375" style="1233" customWidth="1"/>
    <col min="9516" max="9516" width="9.28515625" style="1233" customWidth="1"/>
    <col min="9517" max="9517" width="9.42578125" style="1233" customWidth="1"/>
    <col min="9518" max="9518" width="10.5703125" style="1233" customWidth="1"/>
    <col min="9519" max="9519" width="12.42578125" style="1233" customWidth="1"/>
    <col min="9520" max="9520" width="14.5703125" style="1233" customWidth="1"/>
    <col min="9521" max="9521" width="12.28515625" style="1233" customWidth="1"/>
    <col min="9522" max="9522" width="25.85546875" style="1233" customWidth="1"/>
    <col min="9523" max="9754" width="0.85546875" style="1233"/>
    <col min="9755" max="9755" width="9.85546875" style="1233" customWidth="1"/>
    <col min="9756" max="9756" width="81.85546875" style="1233" customWidth="1"/>
    <col min="9757" max="9757" width="12.7109375" style="1233" customWidth="1"/>
    <col min="9758" max="9758" width="12.42578125" style="1233" customWidth="1"/>
    <col min="9759" max="9759" width="14.5703125" style="1233" customWidth="1"/>
    <col min="9760" max="9760" width="12.28515625" style="1233" customWidth="1"/>
    <col min="9761" max="9761" width="38.140625" style="1233" customWidth="1"/>
    <col min="9762" max="9762" width="46.85546875" style="1233" customWidth="1"/>
    <col min="9763" max="9765" width="12.7109375" style="1233" customWidth="1"/>
    <col min="9766" max="9766" width="9.28515625" style="1233" customWidth="1"/>
    <col min="9767" max="9767" width="13.5703125" style="1233" customWidth="1"/>
    <col min="9768" max="9768" width="10.28515625" style="1233" customWidth="1"/>
    <col min="9769" max="9769" width="12.85546875" style="1233" customWidth="1"/>
    <col min="9770" max="9770" width="9.140625" style="1233" customWidth="1"/>
    <col min="9771" max="9771" width="9.7109375" style="1233" customWidth="1"/>
    <col min="9772" max="9772" width="9.28515625" style="1233" customWidth="1"/>
    <col min="9773" max="9773" width="9.42578125" style="1233" customWidth="1"/>
    <col min="9774" max="9774" width="10.5703125" style="1233" customWidth="1"/>
    <col min="9775" max="9775" width="12.42578125" style="1233" customWidth="1"/>
    <col min="9776" max="9776" width="14.5703125" style="1233" customWidth="1"/>
    <col min="9777" max="9777" width="12.28515625" style="1233" customWidth="1"/>
    <col min="9778" max="9778" width="25.85546875" style="1233" customWidth="1"/>
    <col min="9779" max="10010" width="0.85546875" style="1233"/>
    <col min="10011" max="10011" width="9.85546875" style="1233" customWidth="1"/>
    <col min="10012" max="10012" width="81.85546875" style="1233" customWidth="1"/>
    <col min="10013" max="10013" width="12.7109375" style="1233" customWidth="1"/>
    <col min="10014" max="10014" width="12.42578125" style="1233" customWidth="1"/>
    <col min="10015" max="10015" width="14.5703125" style="1233" customWidth="1"/>
    <col min="10016" max="10016" width="12.28515625" style="1233" customWidth="1"/>
    <col min="10017" max="10017" width="38.140625" style="1233" customWidth="1"/>
    <col min="10018" max="10018" width="46.85546875" style="1233" customWidth="1"/>
    <col min="10019" max="10021" width="12.7109375" style="1233" customWidth="1"/>
    <col min="10022" max="10022" width="9.28515625" style="1233" customWidth="1"/>
    <col min="10023" max="10023" width="13.5703125" style="1233" customWidth="1"/>
    <col min="10024" max="10024" width="10.28515625" style="1233" customWidth="1"/>
    <col min="10025" max="10025" width="12.85546875" style="1233" customWidth="1"/>
    <col min="10026" max="10026" width="9.140625" style="1233" customWidth="1"/>
    <col min="10027" max="10027" width="9.7109375" style="1233" customWidth="1"/>
    <col min="10028" max="10028" width="9.28515625" style="1233" customWidth="1"/>
    <col min="10029" max="10029" width="9.42578125" style="1233" customWidth="1"/>
    <col min="10030" max="10030" width="10.5703125" style="1233" customWidth="1"/>
    <col min="10031" max="10031" width="12.42578125" style="1233" customWidth="1"/>
    <col min="10032" max="10032" width="14.5703125" style="1233" customWidth="1"/>
    <col min="10033" max="10033" width="12.28515625" style="1233" customWidth="1"/>
    <col min="10034" max="10034" width="25.85546875" style="1233" customWidth="1"/>
    <col min="10035" max="10266" width="0.85546875" style="1233"/>
    <col min="10267" max="10267" width="9.85546875" style="1233" customWidth="1"/>
    <col min="10268" max="10268" width="81.85546875" style="1233" customWidth="1"/>
    <col min="10269" max="10269" width="12.7109375" style="1233" customWidth="1"/>
    <col min="10270" max="10270" width="12.42578125" style="1233" customWidth="1"/>
    <col min="10271" max="10271" width="14.5703125" style="1233" customWidth="1"/>
    <col min="10272" max="10272" width="12.28515625" style="1233" customWidth="1"/>
    <col min="10273" max="10273" width="38.140625" style="1233" customWidth="1"/>
    <col min="10274" max="10274" width="46.85546875" style="1233" customWidth="1"/>
    <col min="10275" max="10277" width="12.7109375" style="1233" customWidth="1"/>
    <col min="10278" max="10278" width="9.28515625" style="1233" customWidth="1"/>
    <col min="10279" max="10279" width="13.5703125" style="1233" customWidth="1"/>
    <col min="10280" max="10280" width="10.28515625" style="1233" customWidth="1"/>
    <col min="10281" max="10281" width="12.85546875" style="1233" customWidth="1"/>
    <col min="10282" max="10282" width="9.140625" style="1233" customWidth="1"/>
    <col min="10283" max="10283" width="9.7109375" style="1233" customWidth="1"/>
    <col min="10284" max="10284" width="9.28515625" style="1233" customWidth="1"/>
    <col min="10285" max="10285" width="9.42578125" style="1233" customWidth="1"/>
    <col min="10286" max="10286" width="10.5703125" style="1233" customWidth="1"/>
    <col min="10287" max="10287" width="12.42578125" style="1233" customWidth="1"/>
    <col min="10288" max="10288" width="14.5703125" style="1233" customWidth="1"/>
    <col min="10289" max="10289" width="12.28515625" style="1233" customWidth="1"/>
    <col min="10290" max="10290" width="25.85546875" style="1233" customWidth="1"/>
    <col min="10291" max="10522" width="0.85546875" style="1233"/>
    <col min="10523" max="10523" width="9.85546875" style="1233" customWidth="1"/>
    <col min="10524" max="10524" width="81.85546875" style="1233" customWidth="1"/>
    <col min="10525" max="10525" width="12.7109375" style="1233" customWidth="1"/>
    <col min="10526" max="10526" width="12.42578125" style="1233" customWidth="1"/>
    <col min="10527" max="10527" width="14.5703125" style="1233" customWidth="1"/>
    <col min="10528" max="10528" width="12.28515625" style="1233" customWidth="1"/>
    <col min="10529" max="10529" width="38.140625" style="1233" customWidth="1"/>
    <col min="10530" max="10530" width="46.85546875" style="1233" customWidth="1"/>
    <col min="10531" max="10533" width="12.7109375" style="1233" customWidth="1"/>
    <col min="10534" max="10534" width="9.28515625" style="1233" customWidth="1"/>
    <col min="10535" max="10535" width="13.5703125" style="1233" customWidth="1"/>
    <col min="10536" max="10536" width="10.28515625" style="1233" customWidth="1"/>
    <col min="10537" max="10537" width="12.85546875" style="1233" customWidth="1"/>
    <col min="10538" max="10538" width="9.140625" style="1233" customWidth="1"/>
    <col min="10539" max="10539" width="9.7109375" style="1233" customWidth="1"/>
    <col min="10540" max="10540" width="9.28515625" style="1233" customWidth="1"/>
    <col min="10541" max="10541" width="9.42578125" style="1233" customWidth="1"/>
    <col min="10542" max="10542" width="10.5703125" style="1233" customWidth="1"/>
    <col min="10543" max="10543" width="12.42578125" style="1233" customWidth="1"/>
    <col min="10544" max="10544" width="14.5703125" style="1233" customWidth="1"/>
    <col min="10545" max="10545" width="12.28515625" style="1233" customWidth="1"/>
    <col min="10546" max="10546" width="25.85546875" style="1233" customWidth="1"/>
    <col min="10547" max="10778" width="0.85546875" style="1233"/>
    <col min="10779" max="10779" width="9.85546875" style="1233" customWidth="1"/>
    <col min="10780" max="10780" width="81.85546875" style="1233" customWidth="1"/>
    <col min="10781" max="10781" width="12.7109375" style="1233" customWidth="1"/>
    <col min="10782" max="10782" width="12.42578125" style="1233" customWidth="1"/>
    <col min="10783" max="10783" width="14.5703125" style="1233" customWidth="1"/>
    <col min="10784" max="10784" width="12.28515625" style="1233" customWidth="1"/>
    <col min="10785" max="10785" width="38.140625" style="1233" customWidth="1"/>
    <col min="10786" max="10786" width="46.85546875" style="1233" customWidth="1"/>
    <col min="10787" max="10789" width="12.7109375" style="1233" customWidth="1"/>
    <col min="10790" max="10790" width="9.28515625" style="1233" customWidth="1"/>
    <col min="10791" max="10791" width="13.5703125" style="1233" customWidth="1"/>
    <col min="10792" max="10792" width="10.28515625" style="1233" customWidth="1"/>
    <col min="10793" max="10793" width="12.85546875" style="1233" customWidth="1"/>
    <col min="10794" max="10794" width="9.140625" style="1233" customWidth="1"/>
    <col min="10795" max="10795" width="9.7109375" style="1233" customWidth="1"/>
    <col min="10796" max="10796" width="9.28515625" style="1233" customWidth="1"/>
    <col min="10797" max="10797" width="9.42578125" style="1233" customWidth="1"/>
    <col min="10798" max="10798" width="10.5703125" style="1233" customWidth="1"/>
    <col min="10799" max="10799" width="12.42578125" style="1233" customWidth="1"/>
    <col min="10800" max="10800" width="14.5703125" style="1233" customWidth="1"/>
    <col min="10801" max="10801" width="12.28515625" style="1233" customWidth="1"/>
    <col min="10802" max="10802" width="25.85546875" style="1233" customWidth="1"/>
    <col min="10803" max="11034" width="0.85546875" style="1233"/>
    <col min="11035" max="11035" width="9.85546875" style="1233" customWidth="1"/>
    <col min="11036" max="11036" width="81.85546875" style="1233" customWidth="1"/>
    <col min="11037" max="11037" width="12.7109375" style="1233" customWidth="1"/>
    <col min="11038" max="11038" width="12.42578125" style="1233" customWidth="1"/>
    <col min="11039" max="11039" width="14.5703125" style="1233" customWidth="1"/>
    <col min="11040" max="11040" width="12.28515625" style="1233" customWidth="1"/>
    <col min="11041" max="11041" width="38.140625" style="1233" customWidth="1"/>
    <col min="11042" max="11042" width="46.85546875" style="1233" customWidth="1"/>
    <col min="11043" max="11045" width="12.7109375" style="1233" customWidth="1"/>
    <col min="11046" max="11046" width="9.28515625" style="1233" customWidth="1"/>
    <col min="11047" max="11047" width="13.5703125" style="1233" customWidth="1"/>
    <col min="11048" max="11048" width="10.28515625" style="1233" customWidth="1"/>
    <col min="11049" max="11049" width="12.85546875" style="1233" customWidth="1"/>
    <col min="11050" max="11050" width="9.140625" style="1233" customWidth="1"/>
    <col min="11051" max="11051" width="9.7109375" style="1233" customWidth="1"/>
    <col min="11052" max="11052" width="9.28515625" style="1233" customWidth="1"/>
    <col min="11053" max="11053" width="9.42578125" style="1233" customWidth="1"/>
    <col min="11054" max="11054" width="10.5703125" style="1233" customWidth="1"/>
    <col min="11055" max="11055" width="12.42578125" style="1233" customWidth="1"/>
    <col min="11056" max="11056" width="14.5703125" style="1233" customWidth="1"/>
    <col min="11057" max="11057" width="12.28515625" style="1233" customWidth="1"/>
    <col min="11058" max="11058" width="25.85546875" style="1233" customWidth="1"/>
    <col min="11059" max="11290" width="0.85546875" style="1233"/>
    <col min="11291" max="11291" width="9.85546875" style="1233" customWidth="1"/>
    <col min="11292" max="11292" width="81.85546875" style="1233" customWidth="1"/>
    <col min="11293" max="11293" width="12.7109375" style="1233" customWidth="1"/>
    <col min="11294" max="11294" width="12.42578125" style="1233" customWidth="1"/>
    <col min="11295" max="11295" width="14.5703125" style="1233" customWidth="1"/>
    <col min="11296" max="11296" width="12.28515625" style="1233" customWidth="1"/>
    <col min="11297" max="11297" width="38.140625" style="1233" customWidth="1"/>
    <col min="11298" max="11298" width="46.85546875" style="1233" customWidth="1"/>
    <col min="11299" max="11301" width="12.7109375" style="1233" customWidth="1"/>
    <col min="11302" max="11302" width="9.28515625" style="1233" customWidth="1"/>
    <col min="11303" max="11303" width="13.5703125" style="1233" customWidth="1"/>
    <col min="11304" max="11304" width="10.28515625" style="1233" customWidth="1"/>
    <col min="11305" max="11305" width="12.85546875" style="1233" customWidth="1"/>
    <col min="11306" max="11306" width="9.140625" style="1233" customWidth="1"/>
    <col min="11307" max="11307" width="9.7109375" style="1233" customWidth="1"/>
    <col min="11308" max="11308" width="9.28515625" style="1233" customWidth="1"/>
    <col min="11309" max="11309" width="9.42578125" style="1233" customWidth="1"/>
    <col min="11310" max="11310" width="10.5703125" style="1233" customWidth="1"/>
    <col min="11311" max="11311" width="12.42578125" style="1233" customWidth="1"/>
    <col min="11312" max="11312" width="14.5703125" style="1233" customWidth="1"/>
    <col min="11313" max="11313" width="12.28515625" style="1233" customWidth="1"/>
    <col min="11314" max="11314" width="25.85546875" style="1233" customWidth="1"/>
    <col min="11315" max="11546" width="0.85546875" style="1233"/>
    <col min="11547" max="11547" width="9.85546875" style="1233" customWidth="1"/>
    <col min="11548" max="11548" width="81.85546875" style="1233" customWidth="1"/>
    <col min="11549" max="11549" width="12.7109375" style="1233" customWidth="1"/>
    <col min="11550" max="11550" width="12.42578125" style="1233" customWidth="1"/>
    <col min="11551" max="11551" width="14.5703125" style="1233" customWidth="1"/>
    <col min="11552" max="11552" width="12.28515625" style="1233" customWidth="1"/>
    <col min="11553" max="11553" width="38.140625" style="1233" customWidth="1"/>
    <col min="11554" max="11554" width="46.85546875" style="1233" customWidth="1"/>
    <col min="11555" max="11557" width="12.7109375" style="1233" customWidth="1"/>
    <col min="11558" max="11558" width="9.28515625" style="1233" customWidth="1"/>
    <col min="11559" max="11559" width="13.5703125" style="1233" customWidth="1"/>
    <col min="11560" max="11560" width="10.28515625" style="1233" customWidth="1"/>
    <col min="11561" max="11561" width="12.85546875" style="1233" customWidth="1"/>
    <col min="11562" max="11562" width="9.140625" style="1233" customWidth="1"/>
    <col min="11563" max="11563" width="9.7109375" style="1233" customWidth="1"/>
    <col min="11564" max="11564" width="9.28515625" style="1233" customWidth="1"/>
    <col min="11565" max="11565" width="9.42578125" style="1233" customWidth="1"/>
    <col min="11566" max="11566" width="10.5703125" style="1233" customWidth="1"/>
    <col min="11567" max="11567" width="12.42578125" style="1233" customWidth="1"/>
    <col min="11568" max="11568" width="14.5703125" style="1233" customWidth="1"/>
    <col min="11569" max="11569" width="12.28515625" style="1233" customWidth="1"/>
    <col min="11570" max="11570" width="25.85546875" style="1233" customWidth="1"/>
    <col min="11571" max="11802" width="0.85546875" style="1233"/>
    <col min="11803" max="11803" width="9.85546875" style="1233" customWidth="1"/>
    <col min="11804" max="11804" width="81.85546875" style="1233" customWidth="1"/>
    <col min="11805" max="11805" width="12.7109375" style="1233" customWidth="1"/>
    <col min="11806" max="11806" width="12.42578125" style="1233" customWidth="1"/>
    <col min="11807" max="11807" width="14.5703125" style="1233" customWidth="1"/>
    <col min="11808" max="11808" width="12.28515625" style="1233" customWidth="1"/>
    <col min="11809" max="11809" width="38.140625" style="1233" customWidth="1"/>
    <col min="11810" max="11810" width="46.85546875" style="1233" customWidth="1"/>
    <col min="11811" max="11813" width="12.7109375" style="1233" customWidth="1"/>
    <col min="11814" max="11814" width="9.28515625" style="1233" customWidth="1"/>
    <col min="11815" max="11815" width="13.5703125" style="1233" customWidth="1"/>
    <col min="11816" max="11816" width="10.28515625" style="1233" customWidth="1"/>
    <col min="11817" max="11817" width="12.85546875" style="1233" customWidth="1"/>
    <col min="11818" max="11818" width="9.140625" style="1233" customWidth="1"/>
    <col min="11819" max="11819" width="9.7109375" style="1233" customWidth="1"/>
    <col min="11820" max="11820" width="9.28515625" style="1233" customWidth="1"/>
    <col min="11821" max="11821" width="9.42578125" style="1233" customWidth="1"/>
    <col min="11822" max="11822" width="10.5703125" style="1233" customWidth="1"/>
    <col min="11823" max="11823" width="12.42578125" style="1233" customWidth="1"/>
    <col min="11824" max="11824" width="14.5703125" style="1233" customWidth="1"/>
    <col min="11825" max="11825" width="12.28515625" style="1233" customWidth="1"/>
    <col min="11826" max="11826" width="25.85546875" style="1233" customWidth="1"/>
    <col min="11827" max="12058" width="0.85546875" style="1233"/>
    <col min="12059" max="12059" width="9.85546875" style="1233" customWidth="1"/>
    <col min="12060" max="12060" width="81.85546875" style="1233" customWidth="1"/>
    <col min="12061" max="12061" width="12.7109375" style="1233" customWidth="1"/>
    <col min="12062" max="12062" width="12.42578125" style="1233" customWidth="1"/>
    <col min="12063" max="12063" width="14.5703125" style="1233" customWidth="1"/>
    <col min="12064" max="12064" width="12.28515625" style="1233" customWidth="1"/>
    <col min="12065" max="12065" width="38.140625" style="1233" customWidth="1"/>
    <col min="12066" max="12066" width="46.85546875" style="1233" customWidth="1"/>
    <col min="12067" max="12069" width="12.7109375" style="1233" customWidth="1"/>
    <col min="12070" max="12070" width="9.28515625" style="1233" customWidth="1"/>
    <col min="12071" max="12071" width="13.5703125" style="1233" customWidth="1"/>
    <col min="12072" max="12072" width="10.28515625" style="1233" customWidth="1"/>
    <col min="12073" max="12073" width="12.85546875" style="1233" customWidth="1"/>
    <col min="12074" max="12074" width="9.140625" style="1233" customWidth="1"/>
    <col min="12075" max="12075" width="9.7109375" style="1233" customWidth="1"/>
    <col min="12076" max="12076" width="9.28515625" style="1233" customWidth="1"/>
    <col min="12077" max="12077" width="9.42578125" style="1233" customWidth="1"/>
    <col min="12078" max="12078" width="10.5703125" style="1233" customWidth="1"/>
    <col min="12079" max="12079" width="12.42578125" style="1233" customWidth="1"/>
    <col min="12080" max="12080" width="14.5703125" style="1233" customWidth="1"/>
    <col min="12081" max="12081" width="12.28515625" style="1233" customWidth="1"/>
    <col min="12082" max="12082" width="25.85546875" style="1233" customWidth="1"/>
    <col min="12083" max="12314" width="0.85546875" style="1233"/>
    <col min="12315" max="12315" width="9.85546875" style="1233" customWidth="1"/>
    <col min="12316" max="12316" width="81.85546875" style="1233" customWidth="1"/>
    <col min="12317" max="12317" width="12.7109375" style="1233" customWidth="1"/>
    <col min="12318" max="12318" width="12.42578125" style="1233" customWidth="1"/>
    <col min="12319" max="12319" width="14.5703125" style="1233" customWidth="1"/>
    <col min="12320" max="12320" width="12.28515625" style="1233" customWidth="1"/>
    <col min="12321" max="12321" width="38.140625" style="1233" customWidth="1"/>
    <col min="12322" max="12322" width="46.85546875" style="1233" customWidth="1"/>
    <col min="12323" max="12325" width="12.7109375" style="1233" customWidth="1"/>
    <col min="12326" max="12326" width="9.28515625" style="1233" customWidth="1"/>
    <col min="12327" max="12327" width="13.5703125" style="1233" customWidth="1"/>
    <col min="12328" max="12328" width="10.28515625" style="1233" customWidth="1"/>
    <col min="12329" max="12329" width="12.85546875" style="1233" customWidth="1"/>
    <col min="12330" max="12330" width="9.140625" style="1233" customWidth="1"/>
    <col min="12331" max="12331" width="9.7109375" style="1233" customWidth="1"/>
    <col min="12332" max="12332" width="9.28515625" style="1233" customWidth="1"/>
    <col min="12333" max="12333" width="9.42578125" style="1233" customWidth="1"/>
    <col min="12334" max="12334" width="10.5703125" style="1233" customWidth="1"/>
    <col min="12335" max="12335" width="12.42578125" style="1233" customWidth="1"/>
    <col min="12336" max="12336" width="14.5703125" style="1233" customWidth="1"/>
    <col min="12337" max="12337" width="12.28515625" style="1233" customWidth="1"/>
    <col min="12338" max="12338" width="25.85546875" style="1233" customWidth="1"/>
    <col min="12339" max="12570" width="0.85546875" style="1233"/>
    <col min="12571" max="12571" width="9.85546875" style="1233" customWidth="1"/>
    <col min="12572" max="12572" width="81.85546875" style="1233" customWidth="1"/>
    <col min="12573" max="12573" width="12.7109375" style="1233" customWidth="1"/>
    <col min="12574" max="12574" width="12.42578125" style="1233" customWidth="1"/>
    <col min="12575" max="12575" width="14.5703125" style="1233" customWidth="1"/>
    <col min="12576" max="12576" width="12.28515625" style="1233" customWidth="1"/>
    <col min="12577" max="12577" width="38.140625" style="1233" customWidth="1"/>
    <col min="12578" max="12578" width="46.85546875" style="1233" customWidth="1"/>
    <col min="12579" max="12581" width="12.7109375" style="1233" customWidth="1"/>
    <col min="12582" max="12582" width="9.28515625" style="1233" customWidth="1"/>
    <col min="12583" max="12583" width="13.5703125" style="1233" customWidth="1"/>
    <col min="12584" max="12584" width="10.28515625" style="1233" customWidth="1"/>
    <col min="12585" max="12585" width="12.85546875" style="1233" customWidth="1"/>
    <col min="12586" max="12586" width="9.140625" style="1233" customWidth="1"/>
    <col min="12587" max="12587" width="9.7109375" style="1233" customWidth="1"/>
    <col min="12588" max="12588" width="9.28515625" style="1233" customWidth="1"/>
    <col min="12589" max="12589" width="9.42578125" style="1233" customWidth="1"/>
    <col min="12590" max="12590" width="10.5703125" style="1233" customWidth="1"/>
    <col min="12591" max="12591" width="12.42578125" style="1233" customWidth="1"/>
    <col min="12592" max="12592" width="14.5703125" style="1233" customWidth="1"/>
    <col min="12593" max="12593" width="12.28515625" style="1233" customWidth="1"/>
    <col min="12594" max="12594" width="25.85546875" style="1233" customWidth="1"/>
    <col min="12595" max="12826" width="0.85546875" style="1233"/>
    <col min="12827" max="12827" width="9.85546875" style="1233" customWidth="1"/>
    <col min="12828" max="12828" width="81.85546875" style="1233" customWidth="1"/>
    <col min="12829" max="12829" width="12.7109375" style="1233" customWidth="1"/>
    <col min="12830" max="12830" width="12.42578125" style="1233" customWidth="1"/>
    <col min="12831" max="12831" width="14.5703125" style="1233" customWidth="1"/>
    <col min="12832" max="12832" width="12.28515625" style="1233" customWidth="1"/>
    <col min="12833" max="12833" width="38.140625" style="1233" customWidth="1"/>
    <col min="12834" max="12834" width="46.85546875" style="1233" customWidth="1"/>
    <col min="12835" max="12837" width="12.7109375" style="1233" customWidth="1"/>
    <col min="12838" max="12838" width="9.28515625" style="1233" customWidth="1"/>
    <col min="12839" max="12839" width="13.5703125" style="1233" customWidth="1"/>
    <col min="12840" max="12840" width="10.28515625" style="1233" customWidth="1"/>
    <col min="12841" max="12841" width="12.85546875" style="1233" customWidth="1"/>
    <col min="12842" max="12842" width="9.140625" style="1233" customWidth="1"/>
    <col min="12843" max="12843" width="9.7109375" style="1233" customWidth="1"/>
    <col min="12844" max="12844" width="9.28515625" style="1233" customWidth="1"/>
    <col min="12845" max="12845" width="9.42578125" style="1233" customWidth="1"/>
    <col min="12846" max="12846" width="10.5703125" style="1233" customWidth="1"/>
    <col min="12847" max="12847" width="12.42578125" style="1233" customWidth="1"/>
    <col min="12848" max="12848" width="14.5703125" style="1233" customWidth="1"/>
    <col min="12849" max="12849" width="12.28515625" style="1233" customWidth="1"/>
    <col min="12850" max="12850" width="25.85546875" style="1233" customWidth="1"/>
    <col min="12851" max="13082" width="0.85546875" style="1233"/>
    <col min="13083" max="13083" width="9.85546875" style="1233" customWidth="1"/>
    <col min="13084" max="13084" width="81.85546875" style="1233" customWidth="1"/>
    <col min="13085" max="13085" width="12.7109375" style="1233" customWidth="1"/>
    <col min="13086" max="13086" width="12.42578125" style="1233" customWidth="1"/>
    <col min="13087" max="13087" width="14.5703125" style="1233" customWidth="1"/>
    <col min="13088" max="13088" width="12.28515625" style="1233" customWidth="1"/>
    <col min="13089" max="13089" width="38.140625" style="1233" customWidth="1"/>
    <col min="13090" max="13090" width="46.85546875" style="1233" customWidth="1"/>
    <col min="13091" max="13093" width="12.7109375" style="1233" customWidth="1"/>
    <col min="13094" max="13094" width="9.28515625" style="1233" customWidth="1"/>
    <col min="13095" max="13095" width="13.5703125" style="1233" customWidth="1"/>
    <col min="13096" max="13096" width="10.28515625" style="1233" customWidth="1"/>
    <col min="13097" max="13097" width="12.85546875" style="1233" customWidth="1"/>
    <col min="13098" max="13098" width="9.140625" style="1233" customWidth="1"/>
    <col min="13099" max="13099" width="9.7109375" style="1233" customWidth="1"/>
    <col min="13100" max="13100" width="9.28515625" style="1233" customWidth="1"/>
    <col min="13101" max="13101" width="9.42578125" style="1233" customWidth="1"/>
    <col min="13102" max="13102" width="10.5703125" style="1233" customWidth="1"/>
    <col min="13103" max="13103" width="12.42578125" style="1233" customWidth="1"/>
    <col min="13104" max="13104" width="14.5703125" style="1233" customWidth="1"/>
    <col min="13105" max="13105" width="12.28515625" style="1233" customWidth="1"/>
    <col min="13106" max="13106" width="25.85546875" style="1233" customWidth="1"/>
    <col min="13107" max="13338" width="0.85546875" style="1233"/>
    <col min="13339" max="13339" width="9.85546875" style="1233" customWidth="1"/>
    <col min="13340" max="13340" width="81.85546875" style="1233" customWidth="1"/>
    <col min="13341" max="13341" width="12.7109375" style="1233" customWidth="1"/>
    <col min="13342" max="13342" width="12.42578125" style="1233" customWidth="1"/>
    <col min="13343" max="13343" width="14.5703125" style="1233" customWidth="1"/>
    <col min="13344" max="13344" width="12.28515625" style="1233" customWidth="1"/>
    <col min="13345" max="13345" width="38.140625" style="1233" customWidth="1"/>
    <col min="13346" max="13346" width="46.85546875" style="1233" customWidth="1"/>
    <col min="13347" max="13349" width="12.7109375" style="1233" customWidth="1"/>
    <col min="13350" max="13350" width="9.28515625" style="1233" customWidth="1"/>
    <col min="13351" max="13351" width="13.5703125" style="1233" customWidth="1"/>
    <col min="13352" max="13352" width="10.28515625" style="1233" customWidth="1"/>
    <col min="13353" max="13353" width="12.85546875" style="1233" customWidth="1"/>
    <col min="13354" max="13354" width="9.140625" style="1233" customWidth="1"/>
    <col min="13355" max="13355" width="9.7109375" style="1233" customWidth="1"/>
    <col min="13356" max="13356" width="9.28515625" style="1233" customWidth="1"/>
    <col min="13357" max="13357" width="9.42578125" style="1233" customWidth="1"/>
    <col min="13358" max="13358" width="10.5703125" style="1233" customWidth="1"/>
    <col min="13359" max="13359" width="12.42578125" style="1233" customWidth="1"/>
    <col min="13360" max="13360" width="14.5703125" style="1233" customWidth="1"/>
    <col min="13361" max="13361" width="12.28515625" style="1233" customWidth="1"/>
    <col min="13362" max="13362" width="25.85546875" style="1233" customWidth="1"/>
    <col min="13363" max="13594" width="0.85546875" style="1233"/>
    <col min="13595" max="13595" width="9.85546875" style="1233" customWidth="1"/>
    <col min="13596" max="13596" width="81.85546875" style="1233" customWidth="1"/>
    <col min="13597" max="13597" width="12.7109375" style="1233" customWidth="1"/>
    <col min="13598" max="13598" width="12.42578125" style="1233" customWidth="1"/>
    <col min="13599" max="13599" width="14.5703125" style="1233" customWidth="1"/>
    <col min="13600" max="13600" width="12.28515625" style="1233" customWidth="1"/>
    <col min="13601" max="13601" width="38.140625" style="1233" customWidth="1"/>
    <col min="13602" max="13602" width="46.85546875" style="1233" customWidth="1"/>
    <col min="13603" max="13605" width="12.7109375" style="1233" customWidth="1"/>
    <col min="13606" max="13606" width="9.28515625" style="1233" customWidth="1"/>
    <col min="13607" max="13607" width="13.5703125" style="1233" customWidth="1"/>
    <col min="13608" max="13608" width="10.28515625" style="1233" customWidth="1"/>
    <col min="13609" max="13609" width="12.85546875" style="1233" customWidth="1"/>
    <col min="13610" max="13610" width="9.140625" style="1233" customWidth="1"/>
    <col min="13611" max="13611" width="9.7109375" style="1233" customWidth="1"/>
    <col min="13612" max="13612" width="9.28515625" style="1233" customWidth="1"/>
    <col min="13613" max="13613" width="9.42578125" style="1233" customWidth="1"/>
    <col min="13614" max="13614" width="10.5703125" style="1233" customWidth="1"/>
    <col min="13615" max="13615" width="12.42578125" style="1233" customWidth="1"/>
    <col min="13616" max="13616" width="14.5703125" style="1233" customWidth="1"/>
    <col min="13617" max="13617" width="12.28515625" style="1233" customWidth="1"/>
    <col min="13618" max="13618" width="25.85546875" style="1233" customWidth="1"/>
    <col min="13619" max="13850" width="0.85546875" style="1233"/>
    <col min="13851" max="13851" width="9.85546875" style="1233" customWidth="1"/>
    <col min="13852" max="13852" width="81.85546875" style="1233" customWidth="1"/>
    <col min="13853" max="13853" width="12.7109375" style="1233" customWidth="1"/>
    <col min="13854" max="13854" width="12.42578125" style="1233" customWidth="1"/>
    <col min="13855" max="13855" width="14.5703125" style="1233" customWidth="1"/>
    <col min="13856" max="13856" width="12.28515625" style="1233" customWidth="1"/>
    <col min="13857" max="13857" width="38.140625" style="1233" customWidth="1"/>
    <col min="13858" max="13858" width="46.85546875" style="1233" customWidth="1"/>
    <col min="13859" max="13861" width="12.7109375" style="1233" customWidth="1"/>
    <col min="13862" max="13862" width="9.28515625" style="1233" customWidth="1"/>
    <col min="13863" max="13863" width="13.5703125" style="1233" customWidth="1"/>
    <col min="13864" max="13864" width="10.28515625" style="1233" customWidth="1"/>
    <col min="13865" max="13865" width="12.85546875" style="1233" customWidth="1"/>
    <col min="13866" max="13866" width="9.140625" style="1233" customWidth="1"/>
    <col min="13867" max="13867" width="9.7109375" style="1233" customWidth="1"/>
    <col min="13868" max="13868" width="9.28515625" style="1233" customWidth="1"/>
    <col min="13869" max="13869" width="9.42578125" style="1233" customWidth="1"/>
    <col min="13870" max="13870" width="10.5703125" style="1233" customWidth="1"/>
    <col min="13871" max="13871" width="12.42578125" style="1233" customWidth="1"/>
    <col min="13872" max="13872" width="14.5703125" style="1233" customWidth="1"/>
    <col min="13873" max="13873" width="12.28515625" style="1233" customWidth="1"/>
    <col min="13874" max="13874" width="25.85546875" style="1233" customWidth="1"/>
    <col min="13875" max="14106" width="0.85546875" style="1233"/>
    <col min="14107" max="14107" width="9.85546875" style="1233" customWidth="1"/>
    <col min="14108" max="14108" width="81.85546875" style="1233" customWidth="1"/>
    <col min="14109" max="14109" width="12.7109375" style="1233" customWidth="1"/>
    <col min="14110" max="14110" width="12.42578125" style="1233" customWidth="1"/>
    <col min="14111" max="14111" width="14.5703125" style="1233" customWidth="1"/>
    <col min="14112" max="14112" width="12.28515625" style="1233" customWidth="1"/>
    <col min="14113" max="14113" width="38.140625" style="1233" customWidth="1"/>
    <col min="14114" max="14114" width="46.85546875" style="1233" customWidth="1"/>
    <col min="14115" max="14117" width="12.7109375" style="1233" customWidth="1"/>
    <col min="14118" max="14118" width="9.28515625" style="1233" customWidth="1"/>
    <col min="14119" max="14119" width="13.5703125" style="1233" customWidth="1"/>
    <col min="14120" max="14120" width="10.28515625" style="1233" customWidth="1"/>
    <col min="14121" max="14121" width="12.85546875" style="1233" customWidth="1"/>
    <col min="14122" max="14122" width="9.140625" style="1233" customWidth="1"/>
    <col min="14123" max="14123" width="9.7109375" style="1233" customWidth="1"/>
    <col min="14124" max="14124" width="9.28515625" style="1233" customWidth="1"/>
    <col min="14125" max="14125" width="9.42578125" style="1233" customWidth="1"/>
    <col min="14126" max="14126" width="10.5703125" style="1233" customWidth="1"/>
    <col min="14127" max="14127" width="12.42578125" style="1233" customWidth="1"/>
    <col min="14128" max="14128" width="14.5703125" style="1233" customWidth="1"/>
    <col min="14129" max="14129" width="12.28515625" style="1233" customWidth="1"/>
    <col min="14130" max="14130" width="25.85546875" style="1233" customWidth="1"/>
    <col min="14131" max="14362" width="0.85546875" style="1233"/>
    <col min="14363" max="14363" width="9.85546875" style="1233" customWidth="1"/>
    <col min="14364" max="14364" width="81.85546875" style="1233" customWidth="1"/>
    <col min="14365" max="14365" width="12.7109375" style="1233" customWidth="1"/>
    <col min="14366" max="14366" width="12.42578125" style="1233" customWidth="1"/>
    <col min="14367" max="14367" width="14.5703125" style="1233" customWidth="1"/>
    <col min="14368" max="14368" width="12.28515625" style="1233" customWidth="1"/>
    <col min="14369" max="14369" width="38.140625" style="1233" customWidth="1"/>
    <col min="14370" max="14370" width="46.85546875" style="1233" customWidth="1"/>
    <col min="14371" max="14373" width="12.7109375" style="1233" customWidth="1"/>
    <col min="14374" max="14374" width="9.28515625" style="1233" customWidth="1"/>
    <col min="14375" max="14375" width="13.5703125" style="1233" customWidth="1"/>
    <col min="14376" max="14376" width="10.28515625" style="1233" customWidth="1"/>
    <col min="14377" max="14377" width="12.85546875" style="1233" customWidth="1"/>
    <col min="14378" max="14378" width="9.140625" style="1233" customWidth="1"/>
    <col min="14379" max="14379" width="9.7109375" style="1233" customWidth="1"/>
    <col min="14380" max="14380" width="9.28515625" style="1233" customWidth="1"/>
    <col min="14381" max="14381" width="9.42578125" style="1233" customWidth="1"/>
    <col min="14382" max="14382" width="10.5703125" style="1233" customWidth="1"/>
    <col min="14383" max="14383" width="12.42578125" style="1233" customWidth="1"/>
    <col min="14384" max="14384" width="14.5703125" style="1233" customWidth="1"/>
    <col min="14385" max="14385" width="12.28515625" style="1233" customWidth="1"/>
    <col min="14386" max="14386" width="25.85546875" style="1233" customWidth="1"/>
    <col min="14387" max="14618" width="0.85546875" style="1233"/>
    <col min="14619" max="14619" width="9.85546875" style="1233" customWidth="1"/>
    <col min="14620" max="14620" width="81.85546875" style="1233" customWidth="1"/>
    <col min="14621" max="14621" width="12.7109375" style="1233" customWidth="1"/>
    <col min="14622" max="14622" width="12.42578125" style="1233" customWidth="1"/>
    <col min="14623" max="14623" width="14.5703125" style="1233" customWidth="1"/>
    <col min="14624" max="14624" width="12.28515625" style="1233" customWidth="1"/>
    <col min="14625" max="14625" width="38.140625" style="1233" customWidth="1"/>
    <col min="14626" max="14626" width="46.85546875" style="1233" customWidth="1"/>
    <col min="14627" max="14629" width="12.7109375" style="1233" customWidth="1"/>
    <col min="14630" max="14630" width="9.28515625" style="1233" customWidth="1"/>
    <col min="14631" max="14631" width="13.5703125" style="1233" customWidth="1"/>
    <col min="14632" max="14632" width="10.28515625" style="1233" customWidth="1"/>
    <col min="14633" max="14633" width="12.85546875" style="1233" customWidth="1"/>
    <col min="14634" max="14634" width="9.140625" style="1233" customWidth="1"/>
    <col min="14635" max="14635" width="9.7109375" style="1233" customWidth="1"/>
    <col min="14636" max="14636" width="9.28515625" style="1233" customWidth="1"/>
    <col min="14637" max="14637" width="9.42578125" style="1233" customWidth="1"/>
    <col min="14638" max="14638" width="10.5703125" style="1233" customWidth="1"/>
    <col min="14639" max="14639" width="12.42578125" style="1233" customWidth="1"/>
    <col min="14640" max="14640" width="14.5703125" style="1233" customWidth="1"/>
    <col min="14641" max="14641" width="12.28515625" style="1233" customWidth="1"/>
    <col min="14642" max="14642" width="25.85546875" style="1233" customWidth="1"/>
    <col min="14643" max="14874" width="0.85546875" style="1233"/>
    <col min="14875" max="14875" width="9.85546875" style="1233" customWidth="1"/>
    <col min="14876" max="14876" width="81.85546875" style="1233" customWidth="1"/>
    <col min="14877" max="14877" width="12.7109375" style="1233" customWidth="1"/>
    <col min="14878" max="14878" width="12.42578125" style="1233" customWidth="1"/>
    <col min="14879" max="14879" width="14.5703125" style="1233" customWidth="1"/>
    <col min="14880" max="14880" width="12.28515625" style="1233" customWidth="1"/>
    <col min="14881" max="14881" width="38.140625" style="1233" customWidth="1"/>
    <col min="14882" max="14882" width="46.85546875" style="1233" customWidth="1"/>
    <col min="14883" max="14885" width="12.7109375" style="1233" customWidth="1"/>
    <col min="14886" max="14886" width="9.28515625" style="1233" customWidth="1"/>
    <col min="14887" max="14887" width="13.5703125" style="1233" customWidth="1"/>
    <col min="14888" max="14888" width="10.28515625" style="1233" customWidth="1"/>
    <col min="14889" max="14889" width="12.85546875" style="1233" customWidth="1"/>
    <col min="14890" max="14890" width="9.140625" style="1233" customWidth="1"/>
    <col min="14891" max="14891" width="9.7109375" style="1233" customWidth="1"/>
    <col min="14892" max="14892" width="9.28515625" style="1233" customWidth="1"/>
    <col min="14893" max="14893" width="9.42578125" style="1233" customWidth="1"/>
    <col min="14894" max="14894" width="10.5703125" style="1233" customWidth="1"/>
    <col min="14895" max="14895" width="12.42578125" style="1233" customWidth="1"/>
    <col min="14896" max="14896" width="14.5703125" style="1233" customWidth="1"/>
    <col min="14897" max="14897" width="12.28515625" style="1233" customWidth="1"/>
    <col min="14898" max="14898" width="25.85546875" style="1233" customWidth="1"/>
    <col min="14899" max="15130" width="0.85546875" style="1233"/>
    <col min="15131" max="15131" width="9.85546875" style="1233" customWidth="1"/>
    <col min="15132" max="15132" width="81.85546875" style="1233" customWidth="1"/>
    <col min="15133" max="15133" width="12.7109375" style="1233" customWidth="1"/>
    <col min="15134" max="15134" width="12.42578125" style="1233" customWidth="1"/>
    <col min="15135" max="15135" width="14.5703125" style="1233" customWidth="1"/>
    <col min="15136" max="15136" width="12.28515625" style="1233" customWidth="1"/>
    <col min="15137" max="15137" width="38.140625" style="1233" customWidth="1"/>
    <col min="15138" max="15138" width="46.85546875" style="1233" customWidth="1"/>
    <col min="15139" max="15141" width="12.7109375" style="1233" customWidth="1"/>
    <col min="15142" max="15142" width="9.28515625" style="1233" customWidth="1"/>
    <col min="15143" max="15143" width="13.5703125" style="1233" customWidth="1"/>
    <col min="15144" max="15144" width="10.28515625" style="1233" customWidth="1"/>
    <col min="15145" max="15145" width="12.85546875" style="1233" customWidth="1"/>
    <col min="15146" max="15146" width="9.140625" style="1233" customWidth="1"/>
    <col min="15147" max="15147" width="9.7109375" style="1233" customWidth="1"/>
    <col min="15148" max="15148" width="9.28515625" style="1233" customWidth="1"/>
    <col min="15149" max="15149" width="9.42578125" style="1233" customWidth="1"/>
    <col min="15150" max="15150" width="10.5703125" style="1233" customWidth="1"/>
    <col min="15151" max="15151" width="12.42578125" style="1233" customWidth="1"/>
    <col min="15152" max="15152" width="14.5703125" style="1233" customWidth="1"/>
    <col min="15153" max="15153" width="12.28515625" style="1233" customWidth="1"/>
    <col min="15154" max="15154" width="25.85546875" style="1233" customWidth="1"/>
    <col min="15155" max="15386" width="0.85546875" style="1233"/>
    <col min="15387" max="15387" width="9.85546875" style="1233" customWidth="1"/>
    <col min="15388" max="15388" width="81.85546875" style="1233" customWidth="1"/>
    <col min="15389" max="15389" width="12.7109375" style="1233" customWidth="1"/>
    <col min="15390" max="15390" width="12.42578125" style="1233" customWidth="1"/>
    <col min="15391" max="15391" width="14.5703125" style="1233" customWidth="1"/>
    <col min="15392" max="15392" width="12.28515625" style="1233" customWidth="1"/>
    <col min="15393" max="15393" width="38.140625" style="1233" customWidth="1"/>
    <col min="15394" max="15394" width="46.85546875" style="1233" customWidth="1"/>
    <col min="15395" max="15397" width="12.7109375" style="1233" customWidth="1"/>
    <col min="15398" max="15398" width="9.28515625" style="1233" customWidth="1"/>
    <col min="15399" max="15399" width="13.5703125" style="1233" customWidth="1"/>
    <col min="15400" max="15400" width="10.28515625" style="1233" customWidth="1"/>
    <col min="15401" max="15401" width="12.85546875" style="1233" customWidth="1"/>
    <col min="15402" max="15402" width="9.140625" style="1233" customWidth="1"/>
    <col min="15403" max="15403" width="9.7109375" style="1233" customWidth="1"/>
    <col min="15404" max="15404" width="9.28515625" style="1233" customWidth="1"/>
    <col min="15405" max="15405" width="9.42578125" style="1233" customWidth="1"/>
    <col min="15406" max="15406" width="10.5703125" style="1233" customWidth="1"/>
    <col min="15407" max="15407" width="12.42578125" style="1233" customWidth="1"/>
    <col min="15408" max="15408" width="14.5703125" style="1233" customWidth="1"/>
    <col min="15409" max="15409" width="12.28515625" style="1233" customWidth="1"/>
    <col min="15410" max="15410" width="25.85546875" style="1233" customWidth="1"/>
    <col min="15411" max="15642" width="0.85546875" style="1233"/>
    <col min="15643" max="15643" width="9.85546875" style="1233" customWidth="1"/>
    <col min="15644" max="15644" width="81.85546875" style="1233" customWidth="1"/>
    <col min="15645" max="15645" width="12.7109375" style="1233" customWidth="1"/>
    <col min="15646" max="15646" width="12.42578125" style="1233" customWidth="1"/>
    <col min="15647" max="15647" width="14.5703125" style="1233" customWidth="1"/>
    <col min="15648" max="15648" width="12.28515625" style="1233" customWidth="1"/>
    <col min="15649" max="15649" width="38.140625" style="1233" customWidth="1"/>
    <col min="15650" max="15650" width="46.85546875" style="1233" customWidth="1"/>
    <col min="15651" max="15653" width="12.7109375" style="1233" customWidth="1"/>
    <col min="15654" max="15654" width="9.28515625" style="1233" customWidth="1"/>
    <col min="15655" max="15655" width="13.5703125" style="1233" customWidth="1"/>
    <col min="15656" max="15656" width="10.28515625" style="1233" customWidth="1"/>
    <col min="15657" max="15657" width="12.85546875" style="1233" customWidth="1"/>
    <col min="15658" max="15658" width="9.140625" style="1233" customWidth="1"/>
    <col min="15659" max="15659" width="9.7109375" style="1233" customWidth="1"/>
    <col min="15660" max="15660" width="9.28515625" style="1233" customWidth="1"/>
    <col min="15661" max="15661" width="9.42578125" style="1233" customWidth="1"/>
    <col min="15662" max="15662" width="10.5703125" style="1233" customWidth="1"/>
    <col min="15663" max="15663" width="12.42578125" style="1233" customWidth="1"/>
    <col min="15664" max="15664" width="14.5703125" style="1233" customWidth="1"/>
    <col min="15665" max="15665" width="12.28515625" style="1233" customWidth="1"/>
    <col min="15666" max="15666" width="25.85546875" style="1233" customWidth="1"/>
    <col min="15667" max="15898" width="0.85546875" style="1233"/>
    <col min="15899" max="15899" width="9.85546875" style="1233" customWidth="1"/>
    <col min="15900" max="15900" width="81.85546875" style="1233" customWidth="1"/>
    <col min="15901" max="15901" width="12.7109375" style="1233" customWidth="1"/>
    <col min="15902" max="15902" width="12.42578125" style="1233" customWidth="1"/>
    <col min="15903" max="15903" width="14.5703125" style="1233" customWidth="1"/>
    <col min="15904" max="15904" width="12.28515625" style="1233" customWidth="1"/>
    <col min="15905" max="15905" width="38.140625" style="1233" customWidth="1"/>
    <col min="15906" max="15906" width="46.85546875" style="1233" customWidth="1"/>
    <col min="15907" max="15909" width="12.7109375" style="1233" customWidth="1"/>
    <col min="15910" max="15910" width="9.28515625" style="1233" customWidth="1"/>
    <col min="15911" max="15911" width="13.5703125" style="1233" customWidth="1"/>
    <col min="15912" max="15912" width="10.28515625" style="1233" customWidth="1"/>
    <col min="15913" max="15913" width="12.85546875" style="1233" customWidth="1"/>
    <col min="15914" max="15914" width="9.140625" style="1233" customWidth="1"/>
    <col min="15915" max="15915" width="9.7109375" style="1233" customWidth="1"/>
    <col min="15916" max="15916" width="9.28515625" style="1233" customWidth="1"/>
    <col min="15917" max="15917" width="9.42578125" style="1233" customWidth="1"/>
    <col min="15918" max="15918" width="10.5703125" style="1233" customWidth="1"/>
    <col min="15919" max="15919" width="12.42578125" style="1233" customWidth="1"/>
    <col min="15920" max="15920" width="14.5703125" style="1233" customWidth="1"/>
    <col min="15921" max="15921" width="12.28515625" style="1233" customWidth="1"/>
    <col min="15922" max="15922" width="25.85546875" style="1233" customWidth="1"/>
    <col min="15923" max="16154" width="0.85546875" style="1233"/>
    <col min="16155" max="16155" width="9.85546875" style="1233" customWidth="1"/>
    <col min="16156" max="16156" width="81.85546875" style="1233" customWidth="1"/>
    <col min="16157" max="16157" width="12.7109375" style="1233" customWidth="1"/>
    <col min="16158" max="16158" width="12.42578125" style="1233" customWidth="1"/>
    <col min="16159" max="16159" width="14.5703125" style="1233" customWidth="1"/>
    <col min="16160" max="16160" width="12.28515625" style="1233" customWidth="1"/>
    <col min="16161" max="16161" width="38.140625" style="1233" customWidth="1"/>
    <col min="16162" max="16162" width="46.85546875" style="1233" customWidth="1"/>
    <col min="16163" max="16165" width="12.7109375" style="1233" customWidth="1"/>
    <col min="16166" max="16166" width="9.28515625" style="1233" customWidth="1"/>
    <col min="16167" max="16167" width="13.5703125" style="1233" customWidth="1"/>
    <col min="16168" max="16168" width="10.28515625" style="1233" customWidth="1"/>
    <col min="16169" max="16169" width="12.85546875" style="1233" customWidth="1"/>
    <col min="16170" max="16170" width="9.140625" style="1233" customWidth="1"/>
    <col min="16171" max="16171" width="9.7109375" style="1233" customWidth="1"/>
    <col min="16172" max="16172" width="9.28515625" style="1233" customWidth="1"/>
    <col min="16173" max="16173" width="9.42578125" style="1233" customWidth="1"/>
    <col min="16174" max="16174" width="10.5703125" style="1233" customWidth="1"/>
    <col min="16175" max="16175" width="12.42578125" style="1233" customWidth="1"/>
    <col min="16176" max="16176" width="14.5703125" style="1233" customWidth="1"/>
    <col min="16177" max="16177" width="12.28515625" style="1233" customWidth="1"/>
    <col min="16178" max="16178" width="25.85546875" style="1233" customWidth="1"/>
    <col min="16179" max="16384" width="0.85546875" style="1233"/>
  </cols>
  <sheetData>
    <row r="2" spans="1:57" ht="29.25" customHeight="1" x14ac:dyDescent="0.3">
      <c r="A2" s="5615" t="s">
        <v>4085</v>
      </c>
      <c r="B2" s="5615"/>
      <c r="C2" s="5615"/>
      <c r="D2" s="5615"/>
      <c r="E2" s="5615"/>
      <c r="F2" s="5615"/>
      <c r="G2" s="5615"/>
      <c r="H2" s="5615"/>
      <c r="I2" s="5615"/>
      <c r="J2" s="5615"/>
      <c r="K2" s="5615"/>
      <c r="L2" s="5615"/>
      <c r="M2" s="5615"/>
      <c r="N2" s="5615"/>
      <c r="O2" s="5615"/>
      <c r="P2" s="5615"/>
      <c r="Q2" s="5615"/>
      <c r="R2" s="5615"/>
      <c r="S2" s="5615"/>
      <c r="T2" s="5615"/>
      <c r="U2" s="5615"/>
      <c r="V2" s="5615"/>
      <c r="W2" s="5615"/>
      <c r="X2" s="5615"/>
      <c r="Y2" s="5615"/>
      <c r="Z2" s="5615"/>
      <c r="AA2" s="5615"/>
      <c r="AB2" s="5615"/>
      <c r="AC2" s="5615"/>
      <c r="AD2" s="5615"/>
      <c r="AE2" s="5615"/>
      <c r="AF2" s="5615"/>
      <c r="AG2" s="5615"/>
      <c r="AH2" s="5615"/>
      <c r="AI2" s="4910"/>
      <c r="AJ2" s="4910"/>
      <c r="AK2" s="4910"/>
      <c r="AL2" s="4910"/>
      <c r="AM2" s="4910"/>
      <c r="AN2" s="4910"/>
      <c r="AO2" s="4910"/>
      <c r="AP2" s="4910"/>
      <c r="AQ2" s="4910"/>
      <c r="AR2" s="4910"/>
      <c r="AS2" s="4910"/>
      <c r="AT2" s="4910"/>
      <c r="AU2" s="4910"/>
      <c r="AV2" s="4910"/>
      <c r="AW2" s="4910"/>
      <c r="AX2" s="4910"/>
      <c r="AY2" s="4910"/>
      <c r="AZ2" s="4910"/>
      <c r="BA2" s="4910"/>
      <c r="BB2" s="4910"/>
      <c r="BC2" s="4910"/>
      <c r="BD2" s="4910"/>
      <c r="BE2" s="4910"/>
    </row>
    <row r="4" spans="1:57" ht="15.75" customHeight="1" x14ac:dyDescent="0.25">
      <c r="A4" s="5593" t="s">
        <v>890</v>
      </c>
      <c r="B4" s="5593" t="s">
        <v>356</v>
      </c>
      <c r="C4" s="5593" t="s">
        <v>891</v>
      </c>
      <c r="D4" s="5593" t="s">
        <v>1787</v>
      </c>
      <c r="E4" s="5593" t="s">
        <v>1786</v>
      </c>
      <c r="F4" s="5593" t="str">
        <f>'стоки 2019-2023'!F3:Q3</f>
        <v>Установлено на первый долгосрочный период регулирования 2016 - 2018 годы</v>
      </c>
      <c r="G4" s="5593"/>
      <c r="H4" s="5593"/>
      <c r="I4" s="5593"/>
      <c r="J4" s="5593"/>
      <c r="K4" s="5593"/>
      <c r="L4" s="5593"/>
      <c r="M4" s="5593"/>
      <c r="N4" s="5593"/>
      <c r="O4" s="5593"/>
      <c r="P4" s="5593"/>
      <c r="Q4" s="5521"/>
      <c r="R4" s="5598" t="s">
        <v>1804</v>
      </c>
      <c r="S4" s="5599"/>
      <c r="T4" s="5599"/>
      <c r="U4" s="5599"/>
      <c r="V4" s="5599"/>
      <c r="W4" s="5599"/>
      <c r="X4" s="5599"/>
      <c r="Y4" s="5599"/>
      <c r="Z4" s="5599"/>
      <c r="AA4" s="5599"/>
      <c r="AB4" s="5599"/>
      <c r="AC4" s="5599"/>
      <c r="AD4" s="5599"/>
      <c r="AE4" s="5530"/>
      <c r="AF4" s="5530"/>
      <c r="AG4" s="5530"/>
      <c r="AH4" s="5530"/>
      <c r="AI4" s="5586"/>
      <c r="AJ4" s="5586"/>
      <c r="AK4" s="5586"/>
      <c r="AL4" s="5586"/>
      <c r="AM4" s="5586"/>
      <c r="AN4" s="5586"/>
      <c r="AO4" s="5586"/>
      <c r="AP4" s="5586"/>
      <c r="AQ4" s="5586"/>
      <c r="AR4" s="5586"/>
      <c r="AS4" s="5586"/>
      <c r="AT4" s="5586"/>
      <c r="AU4" s="5586"/>
      <c r="AV4" s="5586"/>
      <c r="AW4" s="5586"/>
      <c r="AX4" s="5586"/>
      <c r="AY4" s="5586"/>
      <c r="AZ4" s="5586"/>
      <c r="BA4" s="5586"/>
      <c r="BB4" s="5586"/>
      <c r="BC4" s="5586"/>
      <c r="BD4" s="5586"/>
      <c r="BE4" s="5587"/>
    </row>
    <row r="5" spans="1:57" ht="35.25" customHeight="1" x14ac:dyDescent="0.25">
      <c r="A5" s="5593"/>
      <c r="B5" s="5593"/>
      <c r="C5" s="5593"/>
      <c r="D5" s="5593"/>
      <c r="E5" s="5593"/>
      <c r="F5" s="5593" t="s">
        <v>815</v>
      </c>
      <c r="G5" s="5593"/>
      <c r="H5" s="5593"/>
      <c r="I5" s="5593" t="s">
        <v>892</v>
      </c>
      <c r="J5" s="5593"/>
      <c r="K5" s="5593"/>
      <c r="L5" s="5593"/>
      <c r="M5" s="5593"/>
      <c r="N5" s="5593" t="s">
        <v>893</v>
      </c>
      <c r="O5" s="5593"/>
      <c r="P5" s="5593"/>
      <c r="Q5" s="5521"/>
      <c r="R5" s="2539" t="s">
        <v>1799</v>
      </c>
      <c r="S5" s="2539" t="s">
        <v>1805</v>
      </c>
      <c r="T5" s="2539" t="s">
        <v>1806</v>
      </c>
      <c r="U5" s="2539" t="s">
        <v>1807</v>
      </c>
      <c r="V5" s="2539" t="s">
        <v>1808</v>
      </c>
      <c r="W5" s="2539" t="s">
        <v>1809</v>
      </c>
      <c r="X5" s="2539" t="s">
        <v>1799</v>
      </c>
      <c r="Y5" s="2539" t="s">
        <v>2047</v>
      </c>
      <c r="Z5" s="2539" t="s">
        <v>1805</v>
      </c>
      <c r="AA5" s="2539" t="s">
        <v>1806</v>
      </c>
      <c r="AB5" s="2539" t="s">
        <v>1807</v>
      </c>
      <c r="AC5" s="2539" t="s">
        <v>1808</v>
      </c>
      <c r="AD5" s="2539" t="s">
        <v>1809</v>
      </c>
      <c r="AE5" s="5598" t="s">
        <v>1805</v>
      </c>
      <c r="AF5" s="5530"/>
      <c r="AG5" s="5530"/>
      <c r="AH5" s="5531"/>
      <c r="AI5" s="5593" t="s">
        <v>3614</v>
      </c>
      <c r="AJ5" s="5593" t="s">
        <v>3615</v>
      </c>
      <c r="AK5" s="5593" t="s">
        <v>3623</v>
      </c>
      <c r="AL5" s="5598" t="s">
        <v>1806</v>
      </c>
      <c r="AM5" s="5530"/>
      <c r="AN5" s="5530"/>
      <c r="AO5" s="5531"/>
      <c r="AP5" s="5593" t="s">
        <v>3867</v>
      </c>
      <c r="AQ5" s="5593" t="s">
        <v>3868</v>
      </c>
      <c r="AR5" s="5593" t="s">
        <v>3869</v>
      </c>
      <c r="AS5" s="5598" t="s">
        <v>1807</v>
      </c>
      <c r="AT5" s="5530"/>
      <c r="AU5" s="5530"/>
      <c r="AV5" s="5531"/>
      <c r="AW5" s="5593" t="s">
        <v>3929</v>
      </c>
      <c r="AX5" s="5593" t="s">
        <v>3930</v>
      </c>
      <c r="AY5" s="5593" t="s">
        <v>3931</v>
      </c>
      <c r="AZ5" s="5598" t="s">
        <v>1808</v>
      </c>
      <c r="BA5" s="5530"/>
      <c r="BB5" s="5530"/>
      <c r="BC5" s="5531"/>
      <c r="BD5" s="5593" t="s">
        <v>4256</v>
      </c>
      <c r="BE5" s="5593" t="s">
        <v>4253</v>
      </c>
    </row>
    <row r="6" spans="1:57" ht="56.25" customHeight="1" x14ac:dyDescent="0.25">
      <c r="A6" s="5593"/>
      <c r="B6" s="5593"/>
      <c r="C6" s="5593"/>
      <c r="D6" s="5593"/>
      <c r="E6" s="5593"/>
      <c r="F6" s="2539" t="s">
        <v>1585</v>
      </c>
      <c r="G6" s="2539" t="s">
        <v>1801</v>
      </c>
      <c r="H6" s="2539" t="s">
        <v>1810</v>
      </c>
      <c r="I6" s="2539" t="s">
        <v>1585</v>
      </c>
      <c r="J6" s="2539" t="s">
        <v>1510</v>
      </c>
      <c r="K6" s="2539" t="s">
        <v>1679</v>
      </c>
      <c r="L6" s="2539" t="s">
        <v>1801</v>
      </c>
      <c r="M6" s="2539" t="s">
        <v>1810</v>
      </c>
      <c r="N6" s="2539" t="s">
        <v>1585</v>
      </c>
      <c r="O6" s="2539" t="s">
        <v>1684</v>
      </c>
      <c r="P6" s="2539" t="s">
        <v>1679</v>
      </c>
      <c r="Q6" s="2539" t="s">
        <v>1801</v>
      </c>
      <c r="R6" s="5593" t="s">
        <v>118</v>
      </c>
      <c r="S6" s="5593"/>
      <c r="T6" s="5593"/>
      <c r="U6" s="5593"/>
      <c r="V6" s="5593"/>
      <c r="W6" s="5593"/>
      <c r="X6" s="5593" t="s">
        <v>1521</v>
      </c>
      <c r="Y6" s="5593"/>
      <c r="Z6" s="5593"/>
      <c r="AA6" s="5593"/>
      <c r="AB6" s="5593"/>
      <c r="AC6" s="5593"/>
      <c r="AD6" s="5593"/>
      <c r="AE6" s="2539" t="s">
        <v>3538</v>
      </c>
      <c r="AF6" s="2708" t="s">
        <v>3553</v>
      </c>
      <c r="AG6" s="2708" t="s">
        <v>3670</v>
      </c>
      <c r="AH6" s="2708" t="s">
        <v>3547</v>
      </c>
      <c r="AI6" s="5521"/>
      <c r="AJ6" s="5521"/>
      <c r="AK6" s="5521"/>
      <c r="AL6" s="3279" t="s">
        <v>3538</v>
      </c>
      <c r="AM6" s="3279" t="s">
        <v>3863</v>
      </c>
      <c r="AN6" s="3279" t="s">
        <v>3670</v>
      </c>
      <c r="AO6" s="3279" t="s">
        <v>3863</v>
      </c>
      <c r="AP6" s="5521"/>
      <c r="AQ6" s="5521"/>
      <c r="AR6" s="5521"/>
      <c r="AS6" s="3658" t="s">
        <v>3538</v>
      </c>
      <c r="AT6" s="3658" t="s">
        <v>3908</v>
      </c>
      <c r="AU6" s="3658" t="s">
        <v>3670</v>
      </c>
      <c r="AV6" s="3658" t="s">
        <v>3908</v>
      </c>
      <c r="AW6" s="5521"/>
      <c r="AX6" s="5521"/>
      <c r="AY6" s="5521"/>
      <c r="AZ6" s="4028" t="s">
        <v>3538</v>
      </c>
      <c r="BA6" s="4028" t="s">
        <v>4084</v>
      </c>
      <c r="BB6" s="4028" t="s">
        <v>3670</v>
      </c>
      <c r="BC6" s="4028" t="s">
        <v>4084</v>
      </c>
      <c r="BD6" s="5521"/>
      <c r="BE6" s="5521"/>
    </row>
    <row r="7" spans="1:57" s="2739" customFormat="1" ht="27" customHeight="1" x14ac:dyDescent="0.25">
      <c r="A7" s="5626"/>
      <c r="B7" s="3443" t="s">
        <v>894</v>
      </c>
      <c r="C7" s="5589" t="s">
        <v>895</v>
      </c>
      <c r="D7" s="5590" t="s">
        <v>895</v>
      </c>
      <c r="E7" s="5590" t="s">
        <v>895</v>
      </c>
      <c r="F7" s="5590" t="s">
        <v>895</v>
      </c>
      <c r="G7" s="5590" t="s">
        <v>895</v>
      </c>
      <c r="H7" s="5590" t="s">
        <v>895</v>
      </c>
      <c r="I7" s="3444">
        <v>0.01</v>
      </c>
      <c r="J7" s="3444"/>
      <c r="K7" s="3444">
        <v>0.01</v>
      </c>
      <c r="L7" s="5618" t="s">
        <v>895</v>
      </c>
      <c r="M7" s="3444">
        <v>0.01</v>
      </c>
      <c r="N7" s="3444">
        <v>0.01</v>
      </c>
      <c r="O7" s="5590" t="s">
        <v>895</v>
      </c>
      <c r="P7" s="3444">
        <v>0.01</v>
      </c>
      <c r="Q7" s="5618" t="s">
        <v>895</v>
      </c>
      <c r="R7" s="5618" t="s">
        <v>895</v>
      </c>
      <c r="S7" s="3444">
        <v>0.01</v>
      </c>
      <c r="T7" s="3444">
        <v>0.01</v>
      </c>
      <c r="U7" s="3444">
        <v>0.01</v>
      </c>
      <c r="V7" s="3444">
        <v>0.01</v>
      </c>
      <c r="W7" s="3444">
        <v>0.01</v>
      </c>
      <c r="X7" s="5618" t="s">
        <v>895</v>
      </c>
      <c r="Y7" s="5618" t="s">
        <v>895</v>
      </c>
      <c r="Z7" s="3444">
        <v>0.01</v>
      </c>
      <c r="AA7" s="3444">
        <v>0.01</v>
      </c>
      <c r="AB7" s="3444">
        <v>0.01</v>
      </c>
      <c r="AC7" s="3444">
        <v>0.01</v>
      </c>
      <c r="AD7" s="3444">
        <v>0.01</v>
      </c>
      <c r="AE7" s="5618" t="s">
        <v>895</v>
      </c>
      <c r="AF7" s="5618" t="s">
        <v>895</v>
      </c>
      <c r="AG7" s="3444">
        <v>0.01</v>
      </c>
      <c r="AH7" s="3444"/>
      <c r="AI7" s="5618" t="s">
        <v>895</v>
      </c>
      <c r="AJ7" s="5618" t="s">
        <v>895</v>
      </c>
      <c r="AK7" s="5618" t="s">
        <v>895</v>
      </c>
      <c r="AL7" s="3771">
        <v>0.01</v>
      </c>
      <c r="AM7" s="5617" t="s">
        <v>895</v>
      </c>
      <c r="AN7" s="3771">
        <v>0.01</v>
      </c>
      <c r="AO7" s="5617" t="s">
        <v>895</v>
      </c>
      <c r="AP7" s="5617" t="s">
        <v>895</v>
      </c>
      <c r="AQ7" s="5617" t="s">
        <v>895</v>
      </c>
      <c r="AR7" s="5617" t="s">
        <v>895</v>
      </c>
      <c r="AS7" s="4032">
        <v>0.01</v>
      </c>
      <c r="AT7" s="5617" t="s">
        <v>895</v>
      </c>
      <c r="AU7" s="4032">
        <v>0.01</v>
      </c>
      <c r="AV7" s="5617" t="s">
        <v>895</v>
      </c>
      <c r="AW7" s="5616" t="s">
        <v>895</v>
      </c>
      <c r="AX7" s="5616" t="s">
        <v>895</v>
      </c>
      <c r="AY7" s="5617" t="s">
        <v>895</v>
      </c>
      <c r="AZ7" s="4031">
        <v>0.01</v>
      </c>
      <c r="BA7" s="5616" t="s">
        <v>895</v>
      </c>
      <c r="BB7" s="4154"/>
      <c r="BC7" s="5616" t="s">
        <v>895</v>
      </c>
      <c r="BD7" s="5624" t="s">
        <v>895</v>
      </c>
      <c r="BE7" s="5624" t="s">
        <v>895</v>
      </c>
    </row>
    <row r="8" spans="1:57" s="2739" customFormat="1" ht="27" customHeight="1" x14ac:dyDescent="0.25">
      <c r="A8" s="5626"/>
      <c r="B8" s="3443" t="s">
        <v>896</v>
      </c>
      <c r="C8" s="5589"/>
      <c r="D8" s="5590"/>
      <c r="E8" s="5590"/>
      <c r="F8" s="5590"/>
      <c r="G8" s="5590"/>
      <c r="H8" s="5590"/>
      <c r="I8" s="3444">
        <v>7.3999999999999996E-2</v>
      </c>
      <c r="J8" s="3444"/>
      <c r="K8" s="3447">
        <v>7.0999999999999994E-2</v>
      </c>
      <c r="L8" s="5618"/>
      <c r="M8" s="3447">
        <v>3.6999999999999998E-2</v>
      </c>
      <c r="N8" s="3447">
        <v>5.8000000000000003E-2</v>
      </c>
      <c r="O8" s="5590"/>
      <c r="P8" s="3447">
        <v>3.6999999999999998E-2</v>
      </c>
      <c r="Q8" s="5618"/>
      <c r="R8" s="5618"/>
      <c r="S8" s="3447">
        <v>3.6999999999999998E-2</v>
      </c>
      <c r="T8" s="3447">
        <v>3.6999999999999998E-2</v>
      </c>
      <c r="U8" s="3447">
        <v>3.6999999999999998E-2</v>
      </c>
      <c r="V8" s="3447">
        <v>3.6999999999999998E-2</v>
      </c>
      <c r="W8" s="3447">
        <v>3.6999999999999998E-2</v>
      </c>
      <c r="X8" s="5618"/>
      <c r="Y8" s="5618"/>
      <c r="Z8" s="3447">
        <v>4.5999999999999999E-2</v>
      </c>
      <c r="AA8" s="3447">
        <v>3.4000000000000002E-2</v>
      </c>
      <c r="AB8" s="3447">
        <v>0.04</v>
      </c>
      <c r="AC8" s="3447">
        <v>0.04</v>
      </c>
      <c r="AD8" s="3447">
        <v>0.04</v>
      </c>
      <c r="AE8" s="5618"/>
      <c r="AF8" s="5618"/>
      <c r="AG8" s="3447">
        <v>0.03</v>
      </c>
      <c r="AH8" s="3444"/>
      <c r="AI8" s="5618"/>
      <c r="AJ8" s="5618"/>
      <c r="AK8" s="5618"/>
      <c r="AL8" s="3537">
        <v>4.5999999999999999E-2</v>
      </c>
      <c r="AM8" s="5617"/>
      <c r="AN8" s="3537">
        <v>3.60001E-2</v>
      </c>
      <c r="AO8" s="5617"/>
      <c r="AP8" s="5617"/>
      <c r="AQ8" s="5617"/>
      <c r="AR8" s="5617"/>
      <c r="AS8" s="3537">
        <v>0.05</v>
      </c>
      <c r="AT8" s="5617"/>
      <c r="AU8" s="3537">
        <v>4.2999999999999997E-2</v>
      </c>
      <c r="AV8" s="5617"/>
      <c r="AW8" s="5616"/>
      <c r="AX8" s="5616"/>
      <c r="AY8" s="5617"/>
      <c r="AZ8" s="3773">
        <v>0.05</v>
      </c>
      <c r="BA8" s="5616"/>
      <c r="BB8" s="3773"/>
      <c r="BC8" s="5616"/>
      <c r="BD8" s="5624"/>
      <c r="BE8" s="5624"/>
    </row>
    <row r="9" spans="1:57" s="2739" customFormat="1" ht="27" customHeight="1" x14ac:dyDescent="0.25">
      <c r="A9" s="5626"/>
      <c r="B9" s="3443" t="s">
        <v>897</v>
      </c>
      <c r="C9" s="5589"/>
      <c r="D9" s="5590"/>
      <c r="E9" s="5590"/>
      <c r="F9" s="5590"/>
      <c r="G9" s="5590"/>
      <c r="H9" s="5590"/>
      <c r="I9" s="3448">
        <v>0</v>
      </c>
      <c r="J9" s="3448"/>
      <c r="K9" s="3448">
        <v>0</v>
      </c>
      <c r="L9" s="5618"/>
      <c r="M9" s="3448">
        <v>0</v>
      </c>
      <c r="N9" s="3448">
        <v>0</v>
      </c>
      <c r="O9" s="5590"/>
      <c r="P9" s="3448">
        <v>0</v>
      </c>
      <c r="Q9" s="5618"/>
      <c r="R9" s="5618"/>
      <c r="S9" s="3448">
        <v>0</v>
      </c>
      <c r="T9" s="3448">
        <v>0</v>
      </c>
      <c r="U9" s="3448">
        <v>0</v>
      </c>
      <c r="V9" s="3448">
        <v>0</v>
      </c>
      <c r="W9" s="3448">
        <v>0</v>
      </c>
      <c r="X9" s="5618"/>
      <c r="Y9" s="5618"/>
      <c r="Z9" s="3448">
        <v>0</v>
      </c>
      <c r="AA9" s="3448">
        <v>0</v>
      </c>
      <c r="AB9" s="3448">
        <v>0</v>
      </c>
      <c r="AC9" s="3448">
        <v>0</v>
      </c>
      <c r="AD9" s="3448">
        <v>0</v>
      </c>
      <c r="AE9" s="5618"/>
      <c r="AF9" s="5618"/>
      <c r="AG9" s="3448">
        <v>0</v>
      </c>
      <c r="AH9" s="3444"/>
      <c r="AI9" s="5618"/>
      <c r="AJ9" s="5618"/>
      <c r="AK9" s="5618"/>
      <c r="AL9" s="3538">
        <v>0</v>
      </c>
      <c r="AM9" s="5617"/>
      <c r="AN9" s="3538">
        <v>0</v>
      </c>
      <c r="AO9" s="5617"/>
      <c r="AP9" s="5617"/>
      <c r="AQ9" s="5617"/>
      <c r="AR9" s="5617"/>
      <c r="AS9" s="3538">
        <v>0</v>
      </c>
      <c r="AT9" s="5617"/>
      <c r="AU9" s="3538">
        <v>0</v>
      </c>
      <c r="AV9" s="5617"/>
      <c r="AW9" s="5616"/>
      <c r="AX9" s="5616"/>
      <c r="AY9" s="5617"/>
      <c r="AZ9" s="3774">
        <v>0</v>
      </c>
      <c r="BA9" s="5616"/>
      <c r="BB9" s="3774"/>
      <c r="BC9" s="5616"/>
      <c r="BD9" s="5624"/>
      <c r="BE9" s="5624"/>
    </row>
    <row r="10" spans="1:57" s="2739" customFormat="1" ht="27" customHeight="1" x14ac:dyDescent="0.25">
      <c r="A10" s="4158"/>
      <c r="B10" s="3443" t="s">
        <v>4229</v>
      </c>
      <c r="C10" s="4152"/>
      <c r="D10" s="4151"/>
      <c r="E10" s="4151"/>
      <c r="F10" s="4151"/>
      <c r="G10" s="4151"/>
      <c r="H10" s="4151"/>
      <c r="I10" s="3448"/>
      <c r="J10" s="3448"/>
      <c r="K10" s="3448"/>
      <c r="L10" s="4156"/>
      <c r="M10" s="3448"/>
      <c r="N10" s="3448"/>
      <c r="O10" s="4151"/>
      <c r="P10" s="3448"/>
      <c r="Q10" s="4156"/>
      <c r="R10" s="4156"/>
      <c r="S10" s="3448"/>
      <c r="T10" s="3448"/>
      <c r="U10" s="3448"/>
      <c r="V10" s="3448"/>
      <c r="W10" s="3448"/>
      <c r="X10" s="4156"/>
      <c r="Y10" s="4156"/>
      <c r="Z10" s="3448"/>
      <c r="AA10" s="3448"/>
      <c r="AB10" s="3448"/>
      <c r="AC10" s="3448"/>
      <c r="AD10" s="3448"/>
      <c r="AE10" s="4156"/>
      <c r="AF10" s="4156"/>
      <c r="AG10" s="3448"/>
      <c r="AH10" s="4156"/>
      <c r="AI10" s="4156"/>
      <c r="AJ10" s="4156"/>
      <c r="AK10" s="4156"/>
      <c r="AL10" s="3538"/>
      <c r="AM10" s="4155"/>
      <c r="AN10" s="3538"/>
      <c r="AO10" s="4155"/>
      <c r="AP10" s="4155"/>
      <c r="AQ10" s="4155"/>
      <c r="AR10" s="4155"/>
      <c r="AS10" s="3538"/>
      <c r="AT10" s="4155"/>
      <c r="AU10" s="3538"/>
      <c r="AV10" s="4155"/>
      <c r="AW10" s="4154"/>
      <c r="AX10" s="4154"/>
      <c r="AY10" s="4567"/>
      <c r="AZ10" s="3774"/>
      <c r="BA10" s="4154"/>
      <c r="BB10" s="3773">
        <v>0.06</v>
      </c>
      <c r="BC10" s="4154"/>
      <c r="BD10" s="4876"/>
      <c r="BE10" s="4876"/>
    </row>
    <row r="11" spans="1:57" s="2731" customFormat="1" x14ac:dyDescent="0.25">
      <c r="A11" s="3449">
        <v>1</v>
      </c>
      <c r="B11" s="3450" t="s">
        <v>898</v>
      </c>
      <c r="C11" s="3449" t="s">
        <v>899</v>
      </c>
      <c r="D11" s="3451">
        <f>D12+D23+D25+D29</f>
        <v>357.19</v>
      </c>
      <c r="E11" s="3451">
        <f>E12+E23+E25+E29</f>
        <v>331.11</v>
      </c>
      <c r="F11" s="3451">
        <f>F12+F23+F25+F29</f>
        <v>265.72014801492946</v>
      </c>
      <c r="G11" s="3451">
        <f t="shared" ref="G11:H11" si="0">G12+G23+G25+G29</f>
        <v>347.01</v>
      </c>
      <c r="H11" s="3451">
        <f t="shared" si="0"/>
        <v>269.31954980966509</v>
      </c>
      <c r="I11" s="3451">
        <f>I12+I23+I25+I29</f>
        <v>281.78079818910521</v>
      </c>
      <c r="J11" s="3451">
        <f>J12+J23+J25+J29</f>
        <v>355.28000000000003</v>
      </c>
      <c r="K11" s="3451">
        <f>K12+K23+K25+K29</f>
        <v>335.24464410116991</v>
      </c>
      <c r="L11" s="3451">
        <f t="shared" ref="L11:M11" si="1">L12+L23+L25+L29</f>
        <v>309.01999999999992</v>
      </c>
      <c r="M11" s="3451">
        <f t="shared" si="1"/>
        <v>274.32604240017173</v>
      </c>
      <c r="N11" s="3451">
        <f>N12+N23+N25+N29</f>
        <v>295.19784732288423</v>
      </c>
      <c r="O11" s="3451">
        <f t="shared" ref="O11" si="2">O12+O23+O25+O29</f>
        <v>321.74</v>
      </c>
      <c r="P11" s="3451">
        <f>P12+P23+P25+P29+P33+P34-P35</f>
        <v>269.60817185247777</v>
      </c>
      <c r="Q11" s="3451">
        <f>Q12+Q23+Q25+Q29</f>
        <v>300.37200000000001</v>
      </c>
      <c r="R11" s="3451">
        <f t="shared" ref="R11:AD11" si="3">R12+R23+R25+R29</f>
        <v>452.32</v>
      </c>
      <c r="S11" s="3451">
        <f t="shared" si="3"/>
        <v>467.46000000000004</v>
      </c>
      <c r="T11" s="3451">
        <f t="shared" si="3"/>
        <v>483.04</v>
      </c>
      <c r="U11" s="3451">
        <f t="shared" si="3"/>
        <v>499.20000000000005</v>
      </c>
      <c r="V11" s="3451">
        <f t="shared" si="3"/>
        <v>516.01</v>
      </c>
      <c r="W11" s="3451">
        <f t="shared" si="3"/>
        <v>0</v>
      </c>
      <c r="X11" s="3451">
        <f>X12+X23+X25+X29</f>
        <v>264.2183721270805</v>
      </c>
      <c r="Y11" s="3451">
        <f>X11/P11*100</f>
        <v>98.000876721071194</v>
      </c>
      <c r="Z11" s="3451">
        <f t="shared" si="3"/>
        <v>273.56425823661624</v>
      </c>
      <c r="AA11" s="3451">
        <f t="shared" si="3"/>
        <v>279.90425339618997</v>
      </c>
      <c r="AB11" s="3451">
        <f t="shared" si="3"/>
        <v>287.78015088681792</v>
      </c>
      <c r="AC11" s="3451">
        <f t="shared" si="3"/>
        <v>295.87976165733249</v>
      </c>
      <c r="AD11" s="3451">
        <f t="shared" si="3"/>
        <v>304.25567466548455</v>
      </c>
      <c r="AE11" s="3451">
        <f>AE12+AE23+AE25+AE29</f>
        <v>360.49327195531794</v>
      </c>
      <c r="AF11" s="3451">
        <f>AE11/X11*100</f>
        <v>136.43762508003505</v>
      </c>
      <c r="AG11" s="3451">
        <f>AG12+AG23+AG25+AG29</f>
        <v>267.9489485440202</v>
      </c>
      <c r="AH11" s="3451">
        <f>AG11/X11*100</f>
        <v>101.41192922615745</v>
      </c>
      <c r="AI11" s="3451">
        <f>AI12+AI23+AI25+AI29</f>
        <v>98.409330000000026</v>
      </c>
      <c r="AJ11" s="3451">
        <f>AJ12+AJ23+AJ25+AJ29</f>
        <v>135.33795000000003</v>
      </c>
      <c r="AK11" s="3451">
        <f>AK12+AK23+AK25+AK29</f>
        <v>181.10504999999998</v>
      </c>
      <c r="AL11" s="3451">
        <f>AL12+AL23+AL25+AL29</f>
        <v>290.92176418141594</v>
      </c>
      <c r="AM11" s="3451">
        <f>AL11/AG11*100</f>
        <v>108.57357931883118</v>
      </c>
      <c r="AN11" s="3451">
        <f>AN12+AN23+AN25+AN29</f>
        <v>275.44457208196002</v>
      </c>
      <c r="AO11" s="3451">
        <f>AN11/AG11*100</f>
        <v>102.79740733399758</v>
      </c>
      <c r="AP11" s="3451">
        <f>AP12+AP23+AP25+AP29</f>
        <v>93.235279999999989</v>
      </c>
      <c r="AQ11" s="3451">
        <f>AQ12+AQ23+AQ25+AQ29</f>
        <v>138.99222</v>
      </c>
      <c r="AR11" s="3451">
        <f>AR12+AR23+AR25+AR29</f>
        <v>189.77726999999999</v>
      </c>
      <c r="AS11" s="3451">
        <f>AS12+AS23+AS25+AS29</f>
        <v>298.87032359320347</v>
      </c>
      <c r="AT11" s="3451">
        <f>AS11/AN11*100</f>
        <v>108.5047061679883</v>
      </c>
      <c r="AU11" s="3451">
        <f>AU12+AU23+AU25+AU29</f>
        <v>280.46115391825543</v>
      </c>
      <c r="AV11" s="3451">
        <f>AU11/AN11*100</f>
        <v>101.82126726926487</v>
      </c>
      <c r="AW11" s="3811">
        <f>AW12+AW23+AW25+AW29</f>
        <v>88.0227</v>
      </c>
      <c r="AX11" s="3811">
        <f>AX12+AX23+AX25+AX29</f>
        <v>131.99005</v>
      </c>
      <c r="AY11" s="3451">
        <f>AY12+AY23+AY25+AY29</f>
        <v>187.64939000000001</v>
      </c>
      <c r="AZ11" s="3512">
        <f>AZ12+AZ23+AZ25+AZ29</f>
        <v>307.52153199058318</v>
      </c>
      <c r="BA11" s="3512">
        <f>AZ11/AU11*100</f>
        <v>109.6485298210728</v>
      </c>
      <c r="BB11" s="3512">
        <f>BB12+BB23+BB25+BB29</f>
        <v>322.89806624238605</v>
      </c>
      <c r="BC11" s="3512">
        <f>BB11/AU11*100</f>
        <v>115.1311194906156</v>
      </c>
      <c r="BD11" s="4869">
        <f>BD12+BD23+BD25+BD29</f>
        <v>108.33201000000001</v>
      </c>
      <c r="BE11" s="4869">
        <f>BE12+BE23+BE25+BE29</f>
        <v>242.39696000000001</v>
      </c>
    </row>
    <row r="12" spans="1:57" s="1235" customFormat="1" x14ac:dyDescent="0.25">
      <c r="A12" s="3453" t="s">
        <v>900</v>
      </c>
      <c r="B12" s="3454" t="s">
        <v>901</v>
      </c>
      <c r="C12" s="3453" t="s">
        <v>899</v>
      </c>
      <c r="D12" s="3451">
        <f>D13+D14+D15</f>
        <v>357.19</v>
      </c>
      <c r="E12" s="3451">
        <f>E13+E14+E15</f>
        <v>325.89</v>
      </c>
      <c r="F12" s="3451">
        <f>F13+F14+F15</f>
        <v>260.46893422019343</v>
      </c>
      <c r="G12" s="3451">
        <f t="shared" ref="G12:H12" si="4">G13+G14+G15</f>
        <v>343.03999999999996</v>
      </c>
      <c r="H12" s="3451">
        <f t="shared" si="4"/>
        <v>264.19954980966509</v>
      </c>
      <c r="I12" s="3451">
        <f>I13+I14+I15</f>
        <v>276.52958439436918</v>
      </c>
      <c r="J12" s="3451">
        <f>J13+J14+J15</f>
        <v>333.24</v>
      </c>
      <c r="K12" s="3451">
        <f>K13+K14+K15</f>
        <v>314.16061342968561</v>
      </c>
      <c r="L12" s="3451">
        <f t="shared" ref="L12:M12" si="5">L13+L14+L15</f>
        <v>305.92999999999995</v>
      </c>
      <c r="M12" s="3451">
        <f t="shared" si="5"/>
        <v>271.23604240017175</v>
      </c>
      <c r="N12" s="3451">
        <f>N13+N14+N15</f>
        <v>289.9466335281482</v>
      </c>
      <c r="O12" s="3451">
        <f t="shared" ref="O12:AD12" si="6">O13+O14+O15</f>
        <v>302.26</v>
      </c>
      <c r="P12" s="3451">
        <f t="shared" si="6"/>
        <v>292.08097754926939</v>
      </c>
      <c r="Q12" s="3451">
        <f t="shared" ref="Q12" si="7">Q13+Q14+Q15</f>
        <v>297.74200000000002</v>
      </c>
      <c r="R12" s="3451">
        <f t="shared" si="6"/>
        <v>449.33</v>
      </c>
      <c r="S12" s="3451">
        <f t="shared" si="6"/>
        <v>464.47</v>
      </c>
      <c r="T12" s="3451">
        <f t="shared" si="6"/>
        <v>480.05</v>
      </c>
      <c r="U12" s="3451">
        <f t="shared" si="6"/>
        <v>496.21000000000004</v>
      </c>
      <c r="V12" s="3451">
        <f t="shared" si="6"/>
        <v>513.02</v>
      </c>
      <c r="W12" s="3451">
        <f t="shared" si="6"/>
        <v>0</v>
      </c>
      <c r="X12" s="3451">
        <f t="shared" si="6"/>
        <v>261.21498391796951</v>
      </c>
      <c r="Y12" s="3451">
        <f>X12/P12*100</f>
        <v>89.432384850843889</v>
      </c>
      <c r="Z12" s="3451">
        <f t="shared" si="6"/>
        <v>270.56087002750525</v>
      </c>
      <c r="AA12" s="3451">
        <f t="shared" si="6"/>
        <v>276.90086518707898</v>
      </c>
      <c r="AB12" s="3451">
        <f t="shared" si="6"/>
        <v>284.77676267770693</v>
      </c>
      <c r="AC12" s="3451">
        <f t="shared" si="6"/>
        <v>292.8763734482215</v>
      </c>
      <c r="AD12" s="3451">
        <f t="shared" si="6"/>
        <v>301.25228645637355</v>
      </c>
      <c r="AE12" s="3451">
        <f t="shared" ref="AE12:AG12" si="8">AE13+AE14+AE15</f>
        <v>357.48988374620694</v>
      </c>
      <c r="AF12" s="3451">
        <f t="shared" ref="AF12:AF41" si="9">AE12/X12*100</f>
        <v>136.85657628984677</v>
      </c>
      <c r="AG12" s="3451">
        <f t="shared" si="8"/>
        <v>264.95014652874204</v>
      </c>
      <c r="AH12" s="3451">
        <f t="shared" ref="AH12:AH23" si="10">AG12/X12*100</f>
        <v>101.42991897124305</v>
      </c>
      <c r="AI12" s="3451">
        <f t="shared" ref="AI12:AJ12" si="11">AI13+AI14+AI15</f>
        <v>98.409330000000026</v>
      </c>
      <c r="AJ12" s="3451">
        <f t="shared" si="11"/>
        <v>135.33795000000003</v>
      </c>
      <c r="AK12" s="3451">
        <f t="shared" ref="AK12" si="12">AK13+AK14+AK15</f>
        <v>181.10504999999998</v>
      </c>
      <c r="AL12" s="3451">
        <f t="shared" ref="AL12:AN12" si="13">AL13+AL14+AL15</f>
        <v>290.92176418141594</v>
      </c>
      <c r="AM12" s="3451">
        <f>AL12/AG12*100</f>
        <v>109.80245453453881</v>
      </c>
      <c r="AN12" s="3451">
        <f t="shared" si="13"/>
        <v>275.44457208196002</v>
      </c>
      <c r="AO12" s="3451">
        <f t="shared" ref="AO12:AO39" si="14">AN12/AG12*100</f>
        <v>103.96090573668717</v>
      </c>
      <c r="AP12" s="3451">
        <f t="shared" ref="AP12:AS12" si="15">AP13+AP14+AP15</f>
        <v>93.235279999999989</v>
      </c>
      <c r="AQ12" s="3451">
        <f t="shared" si="15"/>
        <v>138.99222</v>
      </c>
      <c r="AR12" s="3451">
        <f t="shared" si="15"/>
        <v>189.77726999999999</v>
      </c>
      <c r="AS12" s="3451">
        <f t="shared" si="15"/>
        <v>298.87032359320347</v>
      </c>
      <c r="AT12" s="3451">
        <f>AS12/AN12*100</f>
        <v>108.5047061679883</v>
      </c>
      <c r="AU12" s="3451">
        <f t="shared" ref="AU12" si="16">AU13+AU14+AU15</f>
        <v>280.46115391825543</v>
      </c>
      <c r="AV12" s="3451">
        <f t="shared" ref="AV12:AV15" si="17">AU12/AN12*100</f>
        <v>101.82126726926487</v>
      </c>
      <c r="AW12" s="3811">
        <f t="shared" ref="AW12:AZ12" si="18">AW13+AW14+AW15</f>
        <v>88.0227</v>
      </c>
      <c r="AX12" s="3811">
        <f t="shared" si="18"/>
        <v>131.99005</v>
      </c>
      <c r="AY12" s="3451">
        <f t="shared" si="18"/>
        <v>187.64939000000001</v>
      </c>
      <c r="AZ12" s="3512">
        <f t="shared" si="18"/>
        <v>307.52153199058318</v>
      </c>
      <c r="BA12" s="3512">
        <f>AZ12/AU12*100</f>
        <v>109.6485298210728</v>
      </c>
      <c r="BB12" s="3512">
        <f t="shared" ref="BB12" si="19">BB13+BB14+BB15</f>
        <v>322.89806624238605</v>
      </c>
      <c r="BC12" s="3512">
        <f t="shared" ref="BC12:BC14" si="20">BB12/AU12*100</f>
        <v>115.1311194906156</v>
      </c>
      <c r="BD12" s="4869">
        <f t="shared" ref="BD12:BE12" si="21">BD13+BD14+BD15</f>
        <v>108.33201000000001</v>
      </c>
      <c r="BE12" s="4869">
        <f t="shared" si="21"/>
        <v>242.39696000000001</v>
      </c>
    </row>
    <row r="13" spans="1:57" s="1236" customFormat="1" ht="19.5" customHeight="1" x14ac:dyDescent="0.25">
      <c r="A13" s="3453" t="s">
        <v>902</v>
      </c>
      <c r="B13" s="3455" t="s">
        <v>903</v>
      </c>
      <c r="C13" s="3453" t="s">
        <v>899</v>
      </c>
      <c r="D13" s="3453">
        <v>289.52</v>
      </c>
      <c r="E13" s="3453">
        <v>261.37</v>
      </c>
      <c r="F13" s="3451">
        <f>стоки!BC99+стоки!BC100+стоки!BC101+стоки!BC102+стоки!BC103+стоки!BC105</f>
        <v>219.71405316440371</v>
      </c>
      <c r="G13" s="3451">
        <v>271.14999999999998</v>
      </c>
      <c r="H13" s="3451">
        <f>F13</f>
        <v>219.71405316440371</v>
      </c>
      <c r="I13" s="3451">
        <f>F13*(1-I7)*(1+I8)*(1+I9)</f>
        <v>233.6131641675839</v>
      </c>
      <c r="J13" s="3451">
        <v>279</v>
      </c>
      <c r="K13" s="3451">
        <f>F13*(1-K7)*(1+K8)*(1+K9)</f>
        <v>232.96061342968559</v>
      </c>
      <c r="L13" s="3451">
        <v>236.25</v>
      </c>
      <c r="M13" s="3451">
        <f>F13*0.99*1.037</f>
        <v>225.56503840017177</v>
      </c>
      <c r="N13" s="3451">
        <f>I13*(1-N7)*(1+N8)*(1+N9)</f>
        <v>244.69110041241075</v>
      </c>
      <c r="O13" s="3451">
        <v>248.06</v>
      </c>
      <c r="P13" s="3451">
        <f>N13</f>
        <v>244.69110041241075</v>
      </c>
      <c r="Q13" s="3451">
        <f>SUM(стоки!BO137)</f>
        <v>233.322</v>
      </c>
      <c r="R13" s="3451">
        <v>356.28</v>
      </c>
      <c r="S13" s="3451">
        <v>367</v>
      </c>
      <c r="T13" s="3451">
        <v>378.04</v>
      </c>
      <c r="U13" s="3451">
        <v>389.42</v>
      </c>
      <c r="V13" s="3451">
        <v>401.14</v>
      </c>
      <c r="W13" s="3451"/>
      <c r="X13" s="3451">
        <f>стоки!BU137</f>
        <v>213.10499531289966</v>
      </c>
      <c r="Y13" s="3451">
        <f>X13/P13*100</f>
        <v>87.091436898900383</v>
      </c>
      <c r="Z13" s="3451">
        <f>X13*(1-Z7)*(1+Z8)*(1+Z9)</f>
        <v>220.67874684632011</v>
      </c>
      <c r="AA13" s="3451">
        <f t="shared" ref="AA13:AD13" si="22">Z13*(1-AA7)*(1+AA8)*(1+AA9)</f>
        <v>225.90000599670404</v>
      </c>
      <c r="AB13" s="3451">
        <f t="shared" si="22"/>
        <v>232.58664617420649</v>
      </c>
      <c r="AC13" s="3451">
        <f t="shared" si="22"/>
        <v>239.471210900963</v>
      </c>
      <c r="AD13" s="3451">
        <f t="shared" si="22"/>
        <v>246.5595587436315</v>
      </c>
      <c r="AE13" s="3451">
        <f>SUM(стоки!BX137)</f>
        <v>308.23205715422455</v>
      </c>
      <c r="AF13" s="3451">
        <f t="shared" si="9"/>
        <v>144.63858845807479</v>
      </c>
      <c r="AG13" s="3451">
        <f>SUM(стоки!CM137)</f>
        <v>217.29990582799104</v>
      </c>
      <c r="AH13" s="3451">
        <f t="shared" si="10"/>
        <v>101.96847122655761</v>
      </c>
      <c r="AI13" s="3451">
        <f>SUM(стоки!CP137)</f>
        <v>88.846020000000024</v>
      </c>
      <c r="AJ13" s="3451">
        <f>SUM(стоки!CS137)</f>
        <v>116.88126000000001</v>
      </c>
      <c r="AK13" s="3451">
        <f>SUM(стоки!CV137)</f>
        <v>159.60504999999998</v>
      </c>
      <c r="AL13" s="3451">
        <f>SUM(стоки!CY137)</f>
        <v>149.56800575875323</v>
      </c>
      <c r="AM13" s="3451">
        <f>AL13/AG13*100</f>
        <v>68.830221158562026</v>
      </c>
      <c r="AN13" s="3451">
        <f>X13*(1+0.032)*0.99*(1+AN8)*0.99</f>
        <v>223.3076050277827</v>
      </c>
      <c r="AO13" s="3451">
        <f t="shared" si="14"/>
        <v>102.76470400523192</v>
      </c>
      <c r="AP13" s="3451">
        <f>SUM(стоки!DE137)</f>
        <v>78.853239999999985</v>
      </c>
      <c r="AQ13" s="3451">
        <f>SUM(стоки!DH137)</f>
        <v>116.50633000000001</v>
      </c>
      <c r="AR13" s="3451">
        <f>SUM(стоки!DK137)</f>
        <v>159.57176999999999</v>
      </c>
      <c r="AS13" s="3451">
        <f>SUM(стоки!DN137)</f>
        <v>243.1551456729149</v>
      </c>
      <c r="AT13" s="3451">
        <f>AS13/AN13*100</f>
        <v>108.88798240555349</v>
      </c>
      <c r="AU13" s="3451">
        <f>SUM(стоки!DQ137)</f>
        <v>236.37785517701866</v>
      </c>
      <c r="AV13" s="3451">
        <f t="shared" si="17"/>
        <v>105.85302508958878</v>
      </c>
      <c r="AW13" s="3811">
        <f>SUM(стоки!DT137)</f>
        <v>72.946090000000012</v>
      </c>
      <c r="AX13" s="3811">
        <f>SUM(стоки!DW137)</f>
        <v>113.68566</v>
      </c>
      <c r="AY13" s="3451">
        <f>SUM(стоки!DZ137)</f>
        <v>154.61696000000001</v>
      </c>
      <c r="AZ13" s="3512">
        <f>SUM(стоки!EC137)</f>
        <v>272.11428370311495</v>
      </c>
      <c r="BA13" s="3512">
        <f>AZ13/AU13*100</f>
        <v>115.1183487553578</v>
      </c>
      <c r="BB13" s="4299">
        <f>X13*0.99*1.034*0.99*1.067*0.99*1.139*0.99*1.06</f>
        <v>272.67728168956461</v>
      </c>
      <c r="BC13" s="3512">
        <f t="shared" si="20"/>
        <v>115.35652588325671</v>
      </c>
      <c r="BD13" s="4869">
        <f>SUM(стоки!EO137)</f>
        <v>94.327780000000004</v>
      </c>
      <c r="BE13" s="4869">
        <f>SUM(стоки!ER137)</f>
        <v>210.86100000000002</v>
      </c>
    </row>
    <row r="14" spans="1:57" s="1236" customFormat="1" ht="62.25" customHeight="1" x14ac:dyDescent="0.25">
      <c r="A14" s="3453" t="s">
        <v>904</v>
      </c>
      <c r="B14" s="3455" t="s">
        <v>905</v>
      </c>
      <c r="C14" s="3453" t="s">
        <v>899</v>
      </c>
      <c r="D14" s="3453">
        <v>50.67</v>
      </c>
      <c r="E14" s="3453">
        <v>53.99</v>
      </c>
      <c r="F14" s="3451">
        <f>стоки!BC96</f>
        <v>32.75059349993262</v>
      </c>
      <c r="G14" s="3451">
        <v>62.71</v>
      </c>
      <c r="H14" s="3451">
        <f>'2018 к смета'!J10</f>
        <v>23.594366645261381</v>
      </c>
      <c r="I14" s="3451">
        <f>F14*1.066</f>
        <v>34.912132670928173</v>
      </c>
      <c r="J14" s="3451">
        <v>43.77</v>
      </c>
      <c r="K14" s="3451">
        <f>'2017 к смета'!G4</f>
        <v>70.73</v>
      </c>
      <c r="L14" s="3451">
        <v>62.03</v>
      </c>
      <c r="M14" s="3451">
        <f>'ЭЭ стоки'!J41</f>
        <v>38.021003999999998</v>
      </c>
      <c r="N14" s="3451">
        <f>I14*1.067</f>
        <v>37.25124555988036</v>
      </c>
      <c r="O14" s="3451">
        <v>44.58</v>
      </c>
      <c r="P14" s="3451">
        <f>'2018 к смета'!M10</f>
        <v>36.689984838989993</v>
      </c>
      <c r="Q14" s="3451">
        <f>SUM(стоки!BO138)</f>
        <v>56.47</v>
      </c>
      <c r="R14" s="3451">
        <v>58.57</v>
      </c>
      <c r="S14" s="3451">
        <v>62.67</v>
      </c>
      <c r="T14" s="3451">
        <v>67.06</v>
      </c>
      <c r="U14" s="3451">
        <v>71.760000000000005</v>
      </c>
      <c r="V14" s="3451">
        <v>76.78</v>
      </c>
      <c r="W14" s="3451"/>
      <c r="X14" s="3451">
        <f>стоки!BU138</f>
        <v>42.193680383698222</v>
      </c>
      <c r="Y14" s="3451">
        <f t="shared" ref="Y14:Y15" si="23">X14/P14*100</f>
        <v>115.00053916310023</v>
      </c>
      <c r="Z14" s="3451">
        <f>'ЭЭ стоки'!T41</f>
        <v>43.965814959813549</v>
      </c>
      <c r="AA14" s="3451">
        <f>'ЭЭ стоки'!U41</f>
        <v>45.724447558206087</v>
      </c>
      <c r="AB14" s="3451">
        <f>'ЭЭ стоки'!V41</f>
        <v>47.553425460534335</v>
      </c>
      <c r="AC14" s="3451">
        <f>'ЭЭ стоки'!W41</f>
        <v>49.408009053495164</v>
      </c>
      <c r="AD14" s="3451">
        <f>'ЭЭ стоки'!X41</f>
        <v>51.334921406581472</v>
      </c>
      <c r="AE14" s="3451">
        <f>SUM(стоки!BX138)</f>
        <v>43.965814959813549</v>
      </c>
      <c r="AF14" s="3451">
        <f t="shared" si="9"/>
        <v>104.2</v>
      </c>
      <c r="AG14" s="3451">
        <f>SUM(стоки!CM138)</f>
        <v>42.358229068582141</v>
      </c>
      <c r="AH14" s="3451">
        <f t="shared" si="10"/>
        <v>100.38998419523388</v>
      </c>
      <c r="AI14" s="3451">
        <f>SUM(стоки!CP138)</f>
        <v>9.5513300000000019</v>
      </c>
      <c r="AJ14" s="3451">
        <f>SUM(стоки!CS138)</f>
        <v>18.440630000000002</v>
      </c>
      <c r="AK14" s="3451">
        <f>SUM(стоки!CV138)</f>
        <v>21.48</v>
      </c>
      <c r="AL14" s="3451">
        <f>SUM(стоки!CY138)</f>
        <v>136.06174679049383</v>
      </c>
      <c r="AM14" s="3451">
        <f>AL14/AG14*100</f>
        <v>321.21679726080259</v>
      </c>
      <c r="AN14" s="3451">
        <f>SUM(стоки!DB138)</f>
        <v>52.136967054177305</v>
      </c>
      <c r="AO14" s="3451">
        <f t="shared" si="14"/>
        <v>123.08580457828495</v>
      </c>
      <c r="AP14" s="3451">
        <f>SUM(стоки!DE138)</f>
        <v>14.352130000000001</v>
      </c>
      <c r="AQ14" s="3451">
        <f>SUM(стоки!DH138)</f>
        <v>22.44096</v>
      </c>
      <c r="AR14" s="3451">
        <f>SUM(стоки!DK138)</f>
        <v>30.144699999999997</v>
      </c>
      <c r="AS14" s="3451">
        <f>SUM(стоки!DN138)</f>
        <v>55.715177920288554</v>
      </c>
      <c r="AT14" s="3451">
        <f>AS14/AN14*100</f>
        <v>106.86309746862146</v>
      </c>
      <c r="AU14" s="3451">
        <f>SUM(стоки!DQ138)</f>
        <v>44.083298741236796</v>
      </c>
      <c r="AV14" s="3451">
        <f t="shared" si="17"/>
        <v>84.552863797060411</v>
      </c>
      <c r="AW14" s="3811">
        <f>SUM(стоки!DT138)</f>
        <v>15.057509999999999</v>
      </c>
      <c r="AX14" s="3811">
        <f>SUM(стоки!DW138)</f>
        <v>18.272409999999997</v>
      </c>
      <c r="AY14" s="3451">
        <f>SUM(стоки!DZ138)</f>
        <v>32.988459999999996</v>
      </c>
      <c r="AZ14" s="3512">
        <f>SUM(стоки!EC138)</f>
        <v>35.407248287468214</v>
      </c>
      <c r="BA14" s="3512">
        <f>AZ14/AU14*100</f>
        <v>80.318962733038958</v>
      </c>
      <c r="BB14" s="3512">
        <f>SUM(стоки!EL96)</f>
        <v>50.220784552821428</v>
      </c>
      <c r="BC14" s="3512">
        <f t="shared" si="20"/>
        <v>113.9224740135961</v>
      </c>
      <c r="BD14" s="4869">
        <f>SUM(стоки!EO138)</f>
        <v>13.960130000000001</v>
      </c>
      <c r="BE14" s="4869">
        <f>SUM(стоки!ER138)</f>
        <v>31.491859999999999</v>
      </c>
    </row>
    <row r="15" spans="1:57" s="1236" customFormat="1" ht="27" customHeight="1" x14ac:dyDescent="0.25">
      <c r="A15" s="3453" t="s">
        <v>906</v>
      </c>
      <c r="B15" s="3455" t="s">
        <v>907</v>
      </c>
      <c r="C15" s="3453" t="s">
        <v>899</v>
      </c>
      <c r="D15" s="3451">
        <f>D16+D17+D18+D19+D22</f>
        <v>17</v>
      </c>
      <c r="E15" s="3451">
        <f>E16+E17+E18+E19+E22</f>
        <v>10.53</v>
      </c>
      <c r="F15" s="3451">
        <f>F16+F17+F18+F19+F22</f>
        <v>8.0042875558570898</v>
      </c>
      <c r="G15" s="3451">
        <f t="shared" ref="G15:H15" si="24">G16+G17+G18+G19+G22</f>
        <v>9.18</v>
      </c>
      <c r="H15" s="3451">
        <f t="shared" si="24"/>
        <v>20.89113</v>
      </c>
      <c r="I15" s="3451">
        <f t="shared" ref="I15:AD15" si="25">I16+I17+I18+I19+I22</f>
        <v>8.0042875558570898</v>
      </c>
      <c r="J15" s="3451">
        <f t="shared" si="25"/>
        <v>10.47</v>
      </c>
      <c r="K15" s="3451">
        <f t="shared" si="25"/>
        <v>10.47</v>
      </c>
      <c r="L15" s="3451">
        <f t="shared" si="25"/>
        <v>7.65</v>
      </c>
      <c r="M15" s="3451">
        <f t="shared" si="25"/>
        <v>7.6499999999999995</v>
      </c>
      <c r="N15" s="3451">
        <f t="shared" si="25"/>
        <v>8.0042875558570898</v>
      </c>
      <c r="O15" s="3451">
        <f t="shared" si="25"/>
        <v>9.6199999999999992</v>
      </c>
      <c r="P15" s="3451">
        <f t="shared" si="25"/>
        <v>10.699892297868619</v>
      </c>
      <c r="Q15" s="3451">
        <f t="shared" ref="Q15" si="26">Q16+Q17+Q18+Q19+Q22</f>
        <v>7.95</v>
      </c>
      <c r="R15" s="3451">
        <f t="shared" si="25"/>
        <v>34.479999999999997</v>
      </c>
      <c r="S15" s="3451">
        <f t="shared" si="25"/>
        <v>34.799999999999997</v>
      </c>
      <c r="T15" s="3451">
        <f t="shared" si="25"/>
        <v>34.950000000000003</v>
      </c>
      <c r="U15" s="3451">
        <f t="shared" si="25"/>
        <v>35.03</v>
      </c>
      <c r="V15" s="3451">
        <f t="shared" si="25"/>
        <v>35.1</v>
      </c>
      <c r="W15" s="3451">
        <f t="shared" si="25"/>
        <v>0</v>
      </c>
      <c r="X15" s="3451">
        <f t="shared" si="25"/>
        <v>5.9163082213716169</v>
      </c>
      <c r="Y15" s="3451">
        <f t="shared" si="23"/>
        <v>55.293156759625752</v>
      </c>
      <c r="Z15" s="3451">
        <f t="shared" si="25"/>
        <v>5.9163082213716169</v>
      </c>
      <c r="AA15" s="3451">
        <f t="shared" si="25"/>
        <v>5.276411632168859</v>
      </c>
      <c r="AB15" s="3451">
        <f t="shared" si="25"/>
        <v>4.6366910429660999</v>
      </c>
      <c r="AC15" s="3451">
        <f t="shared" si="25"/>
        <v>3.9971534937633431</v>
      </c>
      <c r="AD15" s="3451">
        <f t="shared" si="25"/>
        <v>3.3578063061605841</v>
      </c>
      <c r="AE15" s="3451">
        <f t="shared" ref="AE15:AG15" si="27">AE16+AE17+AE18+AE19+AE22</f>
        <v>5.2920116321688591</v>
      </c>
      <c r="AF15" s="3451">
        <f t="shared" si="9"/>
        <v>89.447869079105828</v>
      </c>
      <c r="AG15" s="3451">
        <f t="shared" si="27"/>
        <v>5.2920116321688591</v>
      </c>
      <c r="AH15" s="3451">
        <f t="shared" si="10"/>
        <v>89.447869079105828</v>
      </c>
      <c r="AI15" s="3451">
        <f t="shared" ref="AI15:AJ15" si="28">AI16+AI17+AI18+AI19+AI22</f>
        <v>1.1979999999999999E-2</v>
      </c>
      <c r="AJ15" s="3451">
        <f t="shared" si="28"/>
        <v>1.6060000000000001E-2</v>
      </c>
      <c r="AK15" s="3451">
        <f t="shared" ref="AK15" si="29">AK16+AK17+AK18+AK19+AK22</f>
        <v>0.02</v>
      </c>
      <c r="AL15" s="3451">
        <f t="shared" ref="AL15:AN15" si="30">AL16+AL17+AL18+AL19+AL22</f>
        <v>5.2920116321688591</v>
      </c>
      <c r="AM15" s="3451">
        <f>AL15/AG15*100</f>
        <v>100</v>
      </c>
      <c r="AN15" s="3451">
        <f t="shared" si="30"/>
        <v>0</v>
      </c>
      <c r="AO15" s="3451">
        <f t="shared" si="14"/>
        <v>0</v>
      </c>
      <c r="AP15" s="3451">
        <f t="shared" ref="AP15:AS15" si="31">AP16+AP17+AP18+AP19+AP22</f>
        <v>2.9909999999999999E-2</v>
      </c>
      <c r="AQ15" s="3451">
        <f t="shared" si="31"/>
        <v>4.4929999999999998E-2</v>
      </c>
      <c r="AR15" s="3451">
        <f t="shared" si="31"/>
        <v>6.08E-2</v>
      </c>
      <c r="AS15" s="3451">
        <f t="shared" si="31"/>
        <v>0</v>
      </c>
      <c r="AT15" s="3451" t="e">
        <f>AS15/AN15*100</f>
        <v>#DIV/0!</v>
      </c>
      <c r="AU15" s="3451">
        <f t="shared" ref="AU15" si="32">AU16+AU17+AU18+AU19+AU22</f>
        <v>0</v>
      </c>
      <c r="AV15" s="3451" t="e">
        <f t="shared" si="17"/>
        <v>#DIV/0!</v>
      </c>
      <c r="AW15" s="3811">
        <f t="shared" ref="AW15:AZ15" si="33">AW16+AW17+AW18+AW19+AW22</f>
        <v>1.9099999999999999E-2</v>
      </c>
      <c r="AX15" s="3811">
        <f t="shared" si="33"/>
        <v>3.1980000000000001E-2</v>
      </c>
      <c r="AY15" s="3451">
        <f t="shared" si="33"/>
        <v>4.3970000000000002E-2</v>
      </c>
      <c r="AZ15" s="3512">
        <f t="shared" si="33"/>
        <v>0</v>
      </c>
      <c r="BA15" s="3512" t="e">
        <f>AZ15/AU15*100</f>
        <v>#DIV/0!</v>
      </c>
      <c r="BB15" s="3512">
        <f t="shared" ref="BB15" si="34">BB16+BB17+BB18+BB19+BB22</f>
        <v>0</v>
      </c>
      <c r="BC15" s="3512"/>
      <c r="BD15" s="4869">
        <f t="shared" ref="BD15:BE15" si="35">BD16+BD17+BD18+BD19+BD22</f>
        <v>4.41E-2</v>
      </c>
      <c r="BE15" s="4869">
        <f t="shared" si="35"/>
        <v>4.41E-2</v>
      </c>
    </row>
    <row r="16" spans="1:57" s="1237" customFormat="1" ht="64.5" customHeight="1" x14ac:dyDescent="0.2">
      <c r="A16" s="3457" t="s">
        <v>908</v>
      </c>
      <c r="B16" s="3458" t="s">
        <v>909</v>
      </c>
      <c r="C16" s="3457" t="s">
        <v>899</v>
      </c>
      <c r="D16" s="3457">
        <v>0</v>
      </c>
      <c r="E16" s="3457">
        <v>0</v>
      </c>
      <c r="F16" s="3460">
        <v>0</v>
      </c>
      <c r="G16" s="3460">
        <v>0</v>
      </c>
      <c r="H16" s="3460">
        <f>'2018 к смета'!J18</f>
        <v>0</v>
      </c>
      <c r="I16" s="3460">
        <f>F16*1.084</f>
        <v>0</v>
      </c>
      <c r="J16" s="3460">
        <v>0</v>
      </c>
      <c r="K16" s="3460">
        <v>0</v>
      </c>
      <c r="L16" s="3460">
        <v>0</v>
      </c>
      <c r="M16" s="3460">
        <v>0</v>
      </c>
      <c r="N16" s="3460">
        <f>I16*1.079</f>
        <v>0</v>
      </c>
      <c r="O16" s="3460">
        <v>0</v>
      </c>
      <c r="P16" s="3460">
        <f>'2018 к смета'!M18</f>
        <v>0</v>
      </c>
      <c r="Q16" s="3460">
        <f>'2018 к смета'!M18</f>
        <v>0</v>
      </c>
      <c r="R16" s="3460">
        <f>'2018 к смета'!N18</f>
        <v>0</v>
      </c>
      <c r="S16" s="3460">
        <f>'2018 к смета'!O18</f>
        <v>0</v>
      </c>
      <c r="T16" s="3460">
        <f>'2018 к смета'!P18</f>
        <v>0</v>
      </c>
      <c r="U16" s="3460">
        <f>'2018 к смета'!Q18</f>
        <v>0</v>
      </c>
      <c r="V16" s="3460">
        <f>'2018 к смета'!R18</f>
        <v>0</v>
      </c>
      <c r="W16" s="3460">
        <f>'2018 к смета'!S18</f>
        <v>0</v>
      </c>
      <c r="X16" s="3460">
        <f>'2018 к смета'!T18</f>
        <v>0</v>
      </c>
      <c r="Y16" s="3460">
        <v>0</v>
      </c>
      <c r="Z16" s="3460">
        <f>'2018 к смета'!U18</f>
        <v>0</v>
      </c>
      <c r="AA16" s="3460">
        <f>'2018 к смета'!V18</f>
        <v>0</v>
      </c>
      <c r="AB16" s="3460">
        <f>'2018 к смета'!W18</f>
        <v>0</v>
      </c>
      <c r="AC16" s="3460">
        <f>'2018 к смета'!X18</f>
        <v>0</v>
      </c>
      <c r="AD16" s="3460">
        <f>'2018 к смета'!Y18</f>
        <v>0</v>
      </c>
      <c r="AE16" s="3460">
        <f>'2018 к смета'!AA18</f>
        <v>0</v>
      </c>
      <c r="AF16" s="3451"/>
      <c r="AG16" s="3460">
        <v>0</v>
      </c>
      <c r="AH16" s="3451"/>
      <c r="AI16" s="3460">
        <v>0</v>
      </c>
      <c r="AJ16" s="3460">
        <v>0</v>
      </c>
      <c r="AK16" s="3460">
        <v>0</v>
      </c>
      <c r="AL16" s="3460">
        <v>0</v>
      </c>
      <c r="AM16" s="3451">
        <v>0</v>
      </c>
      <c r="AN16" s="3460">
        <v>0</v>
      </c>
      <c r="AO16" s="3451"/>
      <c r="AP16" s="3460">
        <v>0</v>
      </c>
      <c r="AQ16" s="3460">
        <v>0</v>
      </c>
      <c r="AR16" s="3460">
        <v>0</v>
      </c>
      <c r="AS16" s="3460">
        <v>0</v>
      </c>
      <c r="AT16" s="3451">
        <v>0</v>
      </c>
      <c r="AU16" s="3460">
        <v>0</v>
      </c>
      <c r="AV16" s="3451"/>
      <c r="AW16" s="3812">
        <v>0</v>
      </c>
      <c r="AX16" s="3812">
        <v>0</v>
      </c>
      <c r="AY16" s="3460">
        <v>0</v>
      </c>
      <c r="AZ16" s="3513">
        <v>0</v>
      </c>
      <c r="BA16" s="3512">
        <v>0</v>
      </c>
      <c r="BB16" s="3513">
        <v>0</v>
      </c>
      <c r="BC16" s="3512"/>
      <c r="BD16" s="4870">
        <v>0</v>
      </c>
      <c r="BE16" s="4870">
        <v>0</v>
      </c>
    </row>
    <row r="17" spans="1:57" s="1237" customFormat="1" ht="94.5" customHeight="1" x14ac:dyDescent="0.2">
      <c r="A17" s="3457" t="s">
        <v>910</v>
      </c>
      <c r="B17" s="3458" t="s">
        <v>911</v>
      </c>
      <c r="C17" s="3457" t="s">
        <v>899</v>
      </c>
      <c r="D17" s="3457">
        <v>8.9</v>
      </c>
      <c r="E17" s="3457">
        <v>10.53</v>
      </c>
      <c r="F17" s="3460">
        <f>стоки!BC42</f>
        <v>8.0042875558570898</v>
      </c>
      <c r="G17" s="3460">
        <v>9.18</v>
      </c>
      <c r="H17" s="3460">
        <f>'2018 к смета'!J19</f>
        <v>20.89113</v>
      </c>
      <c r="I17" s="3460">
        <f>F17</f>
        <v>8.0042875558570898</v>
      </c>
      <c r="J17" s="3460">
        <v>10.47</v>
      </c>
      <c r="K17" s="3460">
        <f>'2017 к смета'!G11</f>
        <v>10.47</v>
      </c>
      <c r="L17" s="3460">
        <v>7.65</v>
      </c>
      <c r="M17" s="3460">
        <f>НАЛОГИ!D39</f>
        <v>7.6499999999999995</v>
      </c>
      <c r="N17" s="3460">
        <f>I17</f>
        <v>8.0042875558570898</v>
      </c>
      <c r="O17" s="3460">
        <v>9.6199999999999992</v>
      </c>
      <c r="P17" s="3460">
        <f>'2018 к смета'!M19</f>
        <v>10.699892297868619</v>
      </c>
      <c r="Q17" s="3460">
        <f>SUM(стоки!BO141)</f>
        <v>7.95</v>
      </c>
      <c r="R17" s="3460">
        <v>34.479999999999997</v>
      </c>
      <c r="S17" s="3460">
        <v>34.799999999999997</v>
      </c>
      <c r="T17" s="3460">
        <v>34.950000000000003</v>
      </c>
      <c r="U17" s="3460">
        <v>35.03</v>
      </c>
      <c r="V17" s="3460">
        <v>35.1</v>
      </c>
      <c r="W17" s="3460"/>
      <c r="X17" s="3460">
        <f>стоки!BU141</f>
        <v>5.9163082213716169</v>
      </c>
      <c r="Y17" s="3460">
        <f t="shared" ref="Y17:Y19" si="36">X17/P17*100</f>
        <v>55.293156759625752</v>
      </c>
      <c r="Z17" s="3460">
        <f>НАЛОГИ!M39</f>
        <v>5.9163082213716169</v>
      </c>
      <c r="AA17" s="3460">
        <f>НАЛОГИ!N39</f>
        <v>5.276411632168859</v>
      </c>
      <c r="AB17" s="3460">
        <f>НАЛОГИ!O39</f>
        <v>4.6366910429660999</v>
      </c>
      <c r="AC17" s="3460">
        <f>НАЛОГИ!P39</f>
        <v>3.9971534937633431</v>
      </c>
      <c r="AD17" s="3460">
        <f>НАЛОГИ!Q39</f>
        <v>3.3578063061605841</v>
      </c>
      <c r="AE17" s="3460">
        <f>SUM(стоки!BX104)</f>
        <v>5.2920116321688591</v>
      </c>
      <c r="AF17" s="3451">
        <f t="shared" si="9"/>
        <v>89.447869079105828</v>
      </c>
      <c r="AG17" s="3460">
        <f>SUM(стоки!CM141)</f>
        <v>5.2920116321688591</v>
      </c>
      <c r="AH17" s="3451">
        <f t="shared" si="10"/>
        <v>89.447869079105828</v>
      </c>
      <c r="AI17" s="3460">
        <f>SUM(стоки!CP104)</f>
        <v>0</v>
      </c>
      <c r="AJ17" s="3460">
        <f>SUM(стоки!CS104)</f>
        <v>0</v>
      </c>
      <c r="AK17" s="3460">
        <f>SUM(стоки!CV104)</f>
        <v>0</v>
      </c>
      <c r="AL17" s="3460">
        <f>SUM(стоки!CY104)</f>
        <v>5.2920116321688591</v>
      </c>
      <c r="AM17" s="3451">
        <f>AL17/AG17*100</f>
        <v>100</v>
      </c>
      <c r="AN17" s="3460">
        <f>SUM(стоки!CDE104)</f>
        <v>0</v>
      </c>
      <c r="AO17" s="3451">
        <f t="shared" si="14"/>
        <v>0</v>
      </c>
      <c r="AP17" s="3460">
        <f>SUM(стоки!DE104)</f>
        <v>0</v>
      </c>
      <c r="AQ17" s="3460">
        <f>SUM(стоки!DH104)</f>
        <v>0</v>
      </c>
      <c r="AR17" s="3460">
        <f>SUM(стоки!DK104)</f>
        <v>0</v>
      </c>
      <c r="AS17" s="3460">
        <f>SUM(стоки!DN104)</f>
        <v>0</v>
      </c>
      <c r="AT17" s="3451" t="e">
        <f>AS17/AN17*100</f>
        <v>#DIV/0!</v>
      </c>
      <c r="AU17" s="3460">
        <f>SUM(стоки!DQ104)</f>
        <v>0</v>
      </c>
      <c r="AV17" s="3451" t="e">
        <f t="shared" ref="AV17" si="37">AU17/AN17*100</f>
        <v>#DIV/0!</v>
      </c>
      <c r="AW17" s="3812">
        <f>SUM(стоки!DT104)</f>
        <v>0</v>
      </c>
      <c r="AX17" s="3812">
        <f>SUM(стоки!DW104)</f>
        <v>0</v>
      </c>
      <c r="AY17" s="3460">
        <f>SUM(стоки!DZ104)</f>
        <v>0</v>
      </c>
      <c r="AZ17" s="3513">
        <f>SUM(стоки!EC104)</f>
        <v>0</v>
      </c>
      <c r="BA17" s="3512" t="e">
        <f>AZ17/AU17*100</f>
        <v>#DIV/0!</v>
      </c>
      <c r="BB17" s="3513">
        <f>SUM(стоки!EL104)</f>
        <v>0</v>
      </c>
      <c r="BC17" s="3512"/>
      <c r="BD17" s="4870">
        <f>SUM(стоки!EO104)</f>
        <v>0</v>
      </c>
      <c r="BE17" s="4870">
        <f>SUM(стоки!ER104)</f>
        <v>0</v>
      </c>
    </row>
    <row r="18" spans="1:57" s="1237" customFormat="1" ht="39" customHeight="1" x14ac:dyDescent="0.2">
      <c r="A18" s="3457" t="s">
        <v>912</v>
      </c>
      <c r="B18" s="3458" t="s">
        <v>913</v>
      </c>
      <c r="C18" s="3457" t="s">
        <v>899</v>
      </c>
      <c r="D18" s="3457">
        <v>0</v>
      </c>
      <c r="E18" s="3457">
        <v>0</v>
      </c>
      <c r="F18" s="3460">
        <v>0</v>
      </c>
      <c r="G18" s="3460">
        <v>0</v>
      </c>
      <c r="H18" s="3460">
        <f>'2018 к смета'!J20</f>
        <v>0</v>
      </c>
      <c r="I18" s="3460">
        <v>0</v>
      </c>
      <c r="J18" s="3460">
        <v>0</v>
      </c>
      <c r="K18" s="3460">
        <v>0</v>
      </c>
      <c r="L18" s="3460">
        <v>0</v>
      </c>
      <c r="M18" s="3460">
        <v>0</v>
      </c>
      <c r="N18" s="3460">
        <v>0</v>
      </c>
      <c r="O18" s="3460">
        <v>0</v>
      </c>
      <c r="P18" s="3460">
        <f>'2018 к смета'!M20</f>
        <v>0</v>
      </c>
      <c r="Q18" s="3460">
        <f>стоки!BN142</f>
        <v>0</v>
      </c>
      <c r="R18" s="3460">
        <f>'2018 к смета'!N20</f>
        <v>0</v>
      </c>
      <c r="S18" s="3460">
        <f>'2018 к смета'!O20</f>
        <v>0</v>
      </c>
      <c r="T18" s="3460">
        <f>'2018 к смета'!P20</f>
        <v>0</v>
      </c>
      <c r="U18" s="3460">
        <f>'2018 к смета'!Q20</f>
        <v>0</v>
      </c>
      <c r="V18" s="3460">
        <f>'2018 к смета'!R20</f>
        <v>0</v>
      </c>
      <c r="W18" s="3460">
        <f>'2018 к смета'!S20</f>
        <v>0</v>
      </c>
      <c r="X18" s="3460">
        <f>стоки!BU142</f>
        <v>0</v>
      </c>
      <c r="Y18" s="3460">
        <v>0</v>
      </c>
      <c r="Z18" s="3460">
        <f>'2018 к смета'!U20</f>
        <v>0</v>
      </c>
      <c r="AA18" s="3460">
        <f>'2018 к смета'!V20</f>
        <v>0</v>
      </c>
      <c r="AB18" s="3460">
        <f>'2018 к смета'!W20</f>
        <v>0</v>
      </c>
      <c r="AC18" s="3460">
        <f>'2018 к смета'!X20</f>
        <v>0</v>
      </c>
      <c r="AD18" s="3460">
        <f>'2018 к смета'!Y20</f>
        <v>0</v>
      </c>
      <c r="AE18" s="3460">
        <f>стоки!CB142</f>
        <v>0</v>
      </c>
      <c r="AF18" s="3451"/>
      <c r="AG18" s="3460">
        <v>0</v>
      </c>
      <c r="AH18" s="3451"/>
      <c r="AI18" s="3460">
        <f>стоки!CP142</f>
        <v>1.1979999999999999E-2</v>
      </c>
      <c r="AJ18" s="3460">
        <f>стоки!CS142</f>
        <v>1.6060000000000001E-2</v>
      </c>
      <c r="AK18" s="3460">
        <f>стоки!CV142</f>
        <v>0.02</v>
      </c>
      <c r="AL18" s="3460">
        <f>стоки!CY142</f>
        <v>0</v>
      </c>
      <c r="AM18" s="3451">
        <v>0</v>
      </c>
      <c r="AN18" s="3460">
        <f>стоки!DB142</f>
        <v>0</v>
      </c>
      <c r="AO18" s="3451"/>
      <c r="AP18" s="3460">
        <f>стоки!DE142</f>
        <v>2.9909999999999999E-2</v>
      </c>
      <c r="AQ18" s="3460">
        <f>стоки!DH142</f>
        <v>4.4929999999999998E-2</v>
      </c>
      <c r="AR18" s="3460">
        <f>стоки!DK142</f>
        <v>6.08E-2</v>
      </c>
      <c r="AS18" s="3460">
        <f>стоки!DN142</f>
        <v>0</v>
      </c>
      <c r="AT18" s="3451">
        <v>0</v>
      </c>
      <c r="AU18" s="3460">
        <f>стоки!DQ142</f>
        <v>0</v>
      </c>
      <c r="AV18" s="3451"/>
      <c r="AW18" s="3812">
        <f>стоки!DT142</f>
        <v>1.9099999999999999E-2</v>
      </c>
      <c r="AX18" s="3812">
        <f>стоки!DW142</f>
        <v>3.1980000000000001E-2</v>
      </c>
      <c r="AY18" s="3460">
        <f>стоки!DZ142</f>
        <v>4.3970000000000002E-2</v>
      </c>
      <c r="AZ18" s="3513">
        <f>стоки!EC142</f>
        <v>0</v>
      </c>
      <c r="BA18" s="3512">
        <v>0</v>
      </c>
      <c r="BB18" s="3513">
        <f>стоки!DX142</f>
        <v>0</v>
      </c>
      <c r="BC18" s="3512"/>
      <c r="BD18" s="4870">
        <f>стоки!EO142</f>
        <v>4.41E-2</v>
      </c>
      <c r="BE18" s="4870">
        <f>стоки!ER142</f>
        <v>4.41E-2</v>
      </c>
    </row>
    <row r="19" spans="1:57" s="1237" customFormat="1" ht="138" hidden="1" customHeight="1" x14ac:dyDescent="0.2">
      <c r="A19" s="3457" t="s">
        <v>914</v>
      </c>
      <c r="B19" s="3458" t="s">
        <v>915</v>
      </c>
      <c r="C19" s="3457" t="s">
        <v>899</v>
      </c>
      <c r="D19" s="3457">
        <v>0</v>
      </c>
      <c r="E19" s="3457">
        <v>0</v>
      </c>
      <c r="F19" s="3460">
        <v>0</v>
      </c>
      <c r="G19" s="3460">
        <v>0</v>
      </c>
      <c r="H19" s="3460">
        <f>'2018 к смета'!J21</f>
        <v>0</v>
      </c>
      <c r="I19" s="3460">
        <v>0</v>
      </c>
      <c r="J19" s="3460">
        <v>0</v>
      </c>
      <c r="K19" s="3460">
        <v>0</v>
      </c>
      <c r="L19" s="3460">
        <v>0</v>
      </c>
      <c r="M19" s="3460">
        <v>0</v>
      </c>
      <c r="N19" s="3460">
        <v>0</v>
      </c>
      <c r="O19" s="3460">
        <v>0</v>
      </c>
      <c r="P19" s="3460">
        <f>'2018 к смета'!M21</f>
        <v>0</v>
      </c>
      <c r="Q19" s="3460">
        <f>'2018 к смета'!M21</f>
        <v>0</v>
      </c>
      <c r="R19" s="3460">
        <f>'2018 к смета'!N21</f>
        <v>0</v>
      </c>
      <c r="S19" s="3460">
        <f>'2018 к смета'!O21</f>
        <v>0</v>
      </c>
      <c r="T19" s="3460">
        <f>'2018 к смета'!P21</f>
        <v>0</v>
      </c>
      <c r="U19" s="3460">
        <f>'2018 к смета'!Q21</f>
        <v>0</v>
      </c>
      <c r="V19" s="3460">
        <f>'2018 к смета'!R21</f>
        <v>0</v>
      </c>
      <c r="W19" s="3460">
        <f>'2018 к смета'!S21</f>
        <v>0</v>
      </c>
      <c r="X19" s="3460">
        <f>'2018 к смета'!T21</f>
        <v>0</v>
      </c>
      <c r="Y19" s="3460" t="e">
        <f t="shared" si="36"/>
        <v>#DIV/0!</v>
      </c>
      <c r="Z19" s="3460">
        <f>'2018 к смета'!U21</f>
        <v>0</v>
      </c>
      <c r="AA19" s="3460">
        <f>'2018 к смета'!V21</f>
        <v>0</v>
      </c>
      <c r="AB19" s="3460">
        <f>'2018 к смета'!W21</f>
        <v>0</v>
      </c>
      <c r="AC19" s="3460">
        <f>'2018 к смета'!X21</f>
        <v>0</v>
      </c>
      <c r="AD19" s="3460">
        <f>'2018 к смета'!Y21</f>
        <v>0</v>
      </c>
      <c r="AE19" s="3460">
        <f>'2018 к смета'!AA21</f>
        <v>0</v>
      </c>
      <c r="AF19" s="3451" t="e">
        <f t="shared" si="9"/>
        <v>#DIV/0!</v>
      </c>
      <c r="AG19" s="3460">
        <f>'2018 к смета'!AC21</f>
        <v>0</v>
      </c>
      <c r="AH19" s="3451" t="e">
        <f t="shared" si="10"/>
        <v>#DIV/0!</v>
      </c>
      <c r="AI19" s="3460">
        <f>'2018 к смета'!AD21</f>
        <v>0</v>
      </c>
      <c r="AJ19" s="3460">
        <f>'2018 к смета'!AE21</f>
        <v>0</v>
      </c>
      <c r="AK19" s="3460">
        <f>'2018 к смета'!AF21</f>
        <v>0</v>
      </c>
      <c r="AL19" s="3460">
        <f>'2018 к смета'!AG21</f>
        <v>0</v>
      </c>
      <c r="AM19" s="3451" t="e">
        <f t="shared" ref="AM19:AM22" si="38">AL19/AE19*100</f>
        <v>#DIV/0!</v>
      </c>
      <c r="AN19" s="3460">
        <f>'2018 к смета'!AI21</f>
        <v>0</v>
      </c>
      <c r="AO19" s="3451"/>
      <c r="AP19" s="3460">
        <f>'2018 к смета'!AK21</f>
        <v>0</v>
      </c>
      <c r="AQ19" s="3460">
        <f>'2018 к смета'!AL21</f>
        <v>0</v>
      </c>
      <c r="AR19" s="3460">
        <f>'2018 к смета'!AM21</f>
        <v>0</v>
      </c>
      <c r="AS19" s="3460">
        <f>'2018 к смета'!AN21</f>
        <v>0</v>
      </c>
      <c r="AT19" s="3451" t="e">
        <f t="shared" ref="AT19:AT22" si="39">AS19/AL19*100</f>
        <v>#DIV/0!</v>
      </c>
      <c r="AU19" s="3460">
        <f>'2018 к смета'!AP21</f>
        <v>0</v>
      </c>
      <c r="AV19" s="3451"/>
      <c r="AW19" s="3812">
        <f>'2018 к смета'!AR21</f>
        <v>0</v>
      </c>
      <c r="AX19" s="3513">
        <f>'2018 к смета'!AS21</f>
        <v>0</v>
      </c>
      <c r="AY19" s="3460">
        <f>'2018 к смета'!AT21</f>
        <v>0</v>
      </c>
      <c r="AZ19" s="3513">
        <f>'2018 к смета'!AU21</f>
        <v>0</v>
      </c>
      <c r="BA19" s="3512" t="e">
        <f t="shared" ref="BA19:BA22" si="40">AZ19/AS19*100</f>
        <v>#DIV/0!</v>
      </c>
      <c r="BB19" s="3513">
        <f>'2018 к смета'!AW21</f>
        <v>0</v>
      </c>
      <c r="BC19" s="3512"/>
      <c r="BD19" s="4870">
        <f>'2018 к смета'!AX21</f>
        <v>0</v>
      </c>
      <c r="BE19" s="4870">
        <f>'2018 к смета'!AY21</f>
        <v>0</v>
      </c>
    </row>
    <row r="20" spans="1:57" s="1237" customFormat="1" ht="23.25" hidden="1" customHeight="1" x14ac:dyDescent="0.2">
      <c r="A20" s="3457" t="s">
        <v>916</v>
      </c>
      <c r="B20" s="3458" t="s">
        <v>917</v>
      </c>
      <c r="C20" s="3457" t="s">
        <v>899</v>
      </c>
      <c r="D20" s="3457">
        <v>0</v>
      </c>
      <c r="E20" s="3457">
        <v>0</v>
      </c>
      <c r="F20" s="3460">
        <v>0</v>
      </c>
      <c r="G20" s="3460">
        <v>0</v>
      </c>
      <c r="H20" s="3460">
        <f>'2018 к смета'!J22</f>
        <v>0</v>
      </c>
      <c r="I20" s="3460">
        <v>0</v>
      </c>
      <c r="J20" s="3460">
        <v>0</v>
      </c>
      <c r="K20" s="3460">
        <v>0</v>
      </c>
      <c r="L20" s="3460">
        <v>0</v>
      </c>
      <c r="M20" s="3460">
        <v>0</v>
      </c>
      <c r="N20" s="3460">
        <v>0</v>
      </c>
      <c r="O20" s="3460">
        <v>0</v>
      </c>
      <c r="P20" s="3460">
        <f>'2018 к смета'!M22</f>
        <v>0</v>
      </c>
      <c r="Q20" s="3460">
        <f>'2018 к смета'!M22</f>
        <v>0</v>
      </c>
      <c r="R20" s="3460">
        <f>'2018 к смета'!N22</f>
        <v>0</v>
      </c>
      <c r="S20" s="3460">
        <f>'2018 к смета'!O22</f>
        <v>0</v>
      </c>
      <c r="T20" s="3460">
        <f>'2018 к смета'!P22</f>
        <v>0</v>
      </c>
      <c r="U20" s="3460">
        <f>'2018 к смета'!Q22</f>
        <v>0</v>
      </c>
      <c r="V20" s="3460">
        <f>'2018 к смета'!R22</f>
        <v>0</v>
      </c>
      <c r="W20" s="3460">
        <f>'2018 к смета'!S22</f>
        <v>0</v>
      </c>
      <c r="X20" s="3460">
        <f>'2018 к смета'!T22</f>
        <v>0</v>
      </c>
      <c r="Y20" s="3460">
        <v>0</v>
      </c>
      <c r="Z20" s="3460">
        <f>'2018 к смета'!U22</f>
        <v>0</v>
      </c>
      <c r="AA20" s="3460">
        <f>'2018 к смета'!V22</f>
        <v>0</v>
      </c>
      <c r="AB20" s="3460">
        <f>'2018 к смета'!W22</f>
        <v>0</v>
      </c>
      <c r="AC20" s="3460">
        <f>'2018 к смета'!X22</f>
        <v>0</v>
      </c>
      <c r="AD20" s="3460">
        <f>'2018 к смета'!Y22</f>
        <v>0</v>
      </c>
      <c r="AE20" s="3460">
        <f>'2018 к смета'!AA22</f>
        <v>0</v>
      </c>
      <c r="AF20" s="3451" t="e">
        <f t="shared" si="9"/>
        <v>#DIV/0!</v>
      </c>
      <c r="AG20" s="3460">
        <f>'2018 к смета'!AC22</f>
        <v>0</v>
      </c>
      <c r="AH20" s="3451" t="e">
        <f t="shared" si="10"/>
        <v>#DIV/0!</v>
      </c>
      <c r="AI20" s="3460">
        <f>'2018 к смета'!AD22</f>
        <v>0</v>
      </c>
      <c r="AJ20" s="3460">
        <f>'2018 к смета'!AE22</f>
        <v>0</v>
      </c>
      <c r="AK20" s="3460">
        <f>'2018 к смета'!AF22</f>
        <v>0</v>
      </c>
      <c r="AL20" s="3460">
        <f>'2018 к смета'!AG22</f>
        <v>0</v>
      </c>
      <c r="AM20" s="3451" t="e">
        <f t="shared" si="38"/>
        <v>#DIV/0!</v>
      </c>
      <c r="AN20" s="3460">
        <f>'2018 к смета'!AI22</f>
        <v>0</v>
      </c>
      <c r="AO20" s="3451"/>
      <c r="AP20" s="3460">
        <f>'2018 к смета'!AK22</f>
        <v>0</v>
      </c>
      <c r="AQ20" s="3460">
        <f>'2018 к смета'!AL22</f>
        <v>0</v>
      </c>
      <c r="AR20" s="3460">
        <f>'2018 к смета'!AM22</f>
        <v>0</v>
      </c>
      <c r="AS20" s="3460">
        <f>'2018 к смета'!AN22</f>
        <v>0</v>
      </c>
      <c r="AT20" s="3451" t="e">
        <f t="shared" si="39"/>
        <v>#DIV/0!</v>
      </c>
      <c r="AU20" s="3460">
        <f>'2018 к смета'!AP22</f>
        <v>0</v>
      </c>
      <c r="AV20" s="3451"/>
      <c r="AW20" s="3812">
        <f>'2018 к смета'!AR22</f>
        <v>0</v>
      </c>
      <c r="AX20" s="3513">
        <f>'2018 к смета'!AS22</f>
        <v>0</v>
      </c>
      <c r="AY20" s="3460">
        <f>'2018 к смета'!AT22</f>
        <v>0</v>
      </c>
      <c r="AZ20" s="3513">
        <f>'2018 к смета'!AU22</f>
        <v>0</v>
      </c>
      <c r="BA20" s="3512" t="e">
        <f t="shared" si="40"/>
        <v>#DIV/0!</v>
      </c>
      <c r="BB20" s="3513">
        <f>'2018 к смета'!AW22</f>
        <v>0</v>
      </c>
      <c r="BC20" s="3512"/>
      <c r="BD20" s="4870">
        <f>'2018 к смета'!AX22</f>
        <v>0</v>
      </c>
      <c r="BE20" s="4870">
        <f>'2018 к смета'!AY22</f>
        <v>0</v>
      </c>
    </row>
    <row r="21" spans="1:57" s="1237" customFormat="1" ht="87.75" hidden="1" customHeight="1" x14ac:dyDescent="0.2">
      <c r="A21" s="3457" t="s">
        <v>918</v>
      </c>
      <c r="B21" s="3458" t="s">
        <v>919</v>
      </c>
      <c r="C21" s="3457" t="s">
        <v>899</v>
      </c>
      <c r="D21" s="3457">
        <v>0</v>
      </c>
      <c r="E21" s="3457">
        <v>0</v>
      </c>
      <c r="F21" s="3460">
        <v>0</v>
      </c>
      <c r="G21" s="3460">
        <v>0</v>
      </c>
      <c r="H21" s="3460">
        <f>'2018 к смета'!J23</f>
        <v>0</v>
      </c>
      <c r="I21" s="3460">
        <v>0</v>
      </c>
      <c r="J21" s="3460">
        <v>0</v>
      </c>
      <c r="K21" s="3460">
        <v>0</v>
      </c>
      <c r="L21" s="3460">
        <v>0</v>
      </c>
      <c r="M21" s="3460">
        <v>0</v>
      </c>
      <c r="N21" s="3460">
        <v>0</v>
      </c>
      <c r="O21" s="3460">
        <v>0</v>
      </c>
      <c r="P21" s="3460">
        <f>'2018 к смета'!M23</f>
        <v>0</v>
      </c>
      <c r="Q21" s="3460">
        <f>'2018 к смета'!M23</f>
        <v>0</v>
      </c>
      <c r="R21" s="3460">
        <f>'2018 к смета'!N23</f>
        <v>0</v>
      </c>
      <c r="S21" s="3460">
        <f>'2018 к смета'!O23</f>
        <v>0</v>
      </c>
      <c r="T21" s="3460">
        <f>'2018 к смета'!P23</f>
        <v>0</v>
      </c>
      <c r="U21" s="3460">
        <f>'2018 к смета'!Q23</f>
        <v>0</v>
      </c>
      <c r="V21" s="3460">
        <f>'2018 к смета'!R23</f>
        <v>0</v>
      </c>
      <c r="W21" s="3460">
        <f>'2018 к смета'!S23</f>
        <v>0</v>
      </c>
      <c r="X21" s="3460">
        <f>'2018 к смета'!T23</f>
        <v>0</v>
      </c>
      <c r="Y21" s="3460">
        <v>0</v>
      </c>
      <c r="Z21" s="3460">
        <f>'2018 к смета'!U23</f>
        <v>0</v>
      </c>
      <c r="AA21" s="3460">
        <f>'2018 к смета'!V23</f>
        <v>0</v>
      </c>
      <c r="AB21" s="3460">
        <f>'2018 к смета'!W23</f>
        <v>0</v>
      </c>
      <c r="AC21" s="3460">
        <f>'2018 к смета'!X23</f>
        <v>0</v>
      </c>
      <c r="AD21" s="3460">
        <f>'2018 к смета'!Y23</f>
        <v>0</v>
      </c>
      <c r="AE21" s="3460">
        <f>'2018 к смета'!AA23</f>
        <v>0</v>
      </c>
      <c r="AF21" s="3451" t="e">
        <f t="shared" si="9"/>
        <v>#DIV/0!</v>
      </c>
      <c r="AG21" s="3460">
        <f>'2018 к смета'!AC23</f>
        <v>0</v>
      </c>
      <c r="AH21" s="3451" t="e">
        <f t="shared" si="10"/>
        <v>#DIV/0!</v>
      </c>
      <c r="AI21" s="3460">
        <f>'2018 к смета'!AD23</f>
        <v>0</v>
      </c>
      <c r="AJ21" s="3460">
        <f>'2018 к смета'!AE23</f>
        <v>0</v>
      </c>
      <c r="AK21" s="3460">
        <f>'2018 к смета'!AF23</f>
        <v>0</v>
      </c>
      <c r="AL21" s="3460">
        <f>'2018 к смета'!AG23</f>
        <v>0</v>
      </c>
      <c r="AM21" s="3451" t="e">
        <f t="shared" si="38"/>
        <v>#DIV/0!</v>
      </c>
      <c r="AN21" s="3460">
        <f>'2018 к смета'!AI23</f>
        <v>0</v>
      </c>
      <c r="AO21" s="3451"/>
      <c r="AP21" s="3460">
        <f>'2018 к смета'!AK23</f>
        <v>0</v>
      </c>
      <c r="AQ21" s="3460">
        <f>'2018 к смета'!AL23</f>
        <v>0</v>
      </c>
      <c r="AR21" s="3460">
        <f>'2018 к смета'!AM23</f>
        <v>0</v>
      </c>
      <c r="AS21" s="3460">
        <f>'2018 к смета'!AN23</f>
        <v>0</v>
      </c>
      <c r="AT21" s="3451" t="e">
        <f t="shared" si="39"/>
        <v>#DIV/0!</v>
      </c>
      <c r="AU21" s="3460">
        <f>'2018 к смета'!AP23</f>
        <v>0</v>
      </c>
      <c r="AV21" s="3451"/>
      <c r="AW21" s="3812">
        <f>'2018 к смета'!AR23</f>
        <v>0</v>
      </c>
      <c r="AX21" s="3513">
        <f>'2018 к смета'!AS23</f>
        <v>0</v>
      </c>
      <c r="AY21" s="3460">
        <f>'2018 к смета'!AT23</f>
        <v>0</v>
      </c>
      <c r="AZ21" s="3513">
        <f>'2018 к смета'!AU23</f>
        <v>0</v>
      </c>
      <c r="BA21" s="3512" t="e">
        <f t="shared" si="40"/>
        <v>#DIV/0!</v>
      </c>
      <c r="BB21" s="3513">
        <f>'2018 к смета'!AW23</f>
        <v>0</v>
      </c>
      <c r="BC21" s="3512"/>
      <c r="BD21" s="4870">
        <f>'2018 к смета'!AX23</f>
        <v>0</v>
      </c>
      <c r="BE21" s="4870">
        <f>'2018 к смета'!AY23</f>
        <v>0</v>
      </c>
    </row>
    <row r="22" spans="1:57" s="1237" customFormat="1" ht="144.75" hidden="1" customHeight="1" x14ac:dyDescent="0.2">
      <c r="A22" s="3457" t="s">
        <v>920</v>
      </c>
      <c r="B22" s="3458" t="s">
        <v>921</v>
      </c>
      <c r="C22" s="3457" t="s">
        <v>899</v>
      </c>
      <c r="D22" s="3457">
        <v>8.1</v>
      </c>
      <c r="E22" s="3457">
        <v>0</v>
      </c>
      <c r="F22" s="3460">
        <v>0</v>
      </c>
      <c r="G22" s="3460">
        <v>0</v>
      </c>
      <c r="H22" s="3460">
        <f>'2018 к смета'!J24</f>
        <v>0</v>
      </c>
      <c r="I22" s="3460">
        <v>0</v>
      </c>
      <c r="J22" s="3460">
        <v>0</v>
      </c>
      <c r="K22" s="3460">
        <v>0</v>
      </c>
      <c r="L22" s="3460">
        <v>0</v>
      </c>
      <c r="M22" s="3460">
        <v>0</v>
      </c>
      <c r="N22" s="3460">
        <v>0</v>
      </c>
      <c r="O22" s="3460">
        <v>0</v>
      </c>
      <c r="P22" s="3460">
        <f>'2018 к смета'!M24</f>
        <v>0</v>
      </c>
      <c r="Q22" s="3460">
        <f>'2018 к смета'!M24</f>
        <v>0</v>
      </c>
      <c r="R22" s="3460">
        <f>'2018 к смета'!N24</f>
        <v>0</v>
      </c>
      <c r="S22" s="3460">
        <f>'2018 к смета'!O24</f>
        <v>0</v>
      </c>
      <c r="T22" s="3460">
        <f>'2018 к смета'!P24</f>
        <v>0</v>
      </c>
      <c r="U22" s="3460">
        <f>'2018 к смета'!Q24</f>
        <v>0</v>
      </c>
      <c r="V22" s="3460">
        <f>'2018 к смета'!R24</f>
        <v>0</v>
      </c>
      <c r="W22" s="3460">
        <f>'2018 к смета'!S24</f>
        <v>0</v>
      </c>
      <c r="X22" s="3460">
        <f>'2018 к смета'!T24</f>
        <v>0</v>
      </c>
      <c r="Y22" s="3460">
        <v>0</v>
      </c>
      <c r="Z22" s="3460">
        <f>'2018 к смета'!U24</f>
        <v>0</v>
      </c>
      <c r="AA22" s="3460">
        <f>'2018 к смета'!V24</f>
        <v>0</v>
      </c>
      <c r="AB22" s="3460">
        <f>'2018 к смета'!W24</f>
        <v>0</v>
      </c>
      <c r="AC22" s="3460">
        <f>'2018 к смета'!X24</f>
        <v>0</v>
      </c>
      <c r="AD22" s="3460">
        <f>'2018 к смета'!Y24</f>
        <v>0</v>
      </c>
      <c r="AE22" s="3460">
        <f>'2018 к смета'!AA24</f>
        <v>0</v>
      </c>
      <c r="AF22" s="3451" t="e">
        <f t="shared" si="9"/>
        <v>#DIV/0!</v>
      </c>
      <c r="AG22" s="3460">
        <f>'2018 к смета'!AC24</f>
        <v>0</v>
      </c>
      <c r="AH22" s="3451" t="e">
        <f t="shared" si="10"/>
        <v>#DIV/0!</v>
      </c>
      <c r="AI22" s="3460">
        <f>'2018 к смета'!AD24</f>
        <v>0</v>
      </c>
      <c r="AJ22" s="3460">
        <f>'2018 к смета'!AE24</f>
        <v>0</v>
      </c>
      <c r="AK22" s="3460">
        <f>'2018 к смета'!AF24</f>
        <v>0</v>
      </c>
      <c r="AL22" s="3460">
        <f>'2018 к смета'!AG24</f>
        <v>0</v>
      </c>
      <c r="AM22" s="3451" t="e">
        <f t="shared" si="38"/>
        <v>#DIV/0!</v>
      </c>
      <c r="AN22" s="3460">
        <f>'2018 к смета'!AI24</f>
        <v>0</v>
      </c>
      <c r="AO22" s="3451"/>
      <c r="AP22" s="3460">
        <f>'2018 к смета'!AK24</f>
        <v>0</v>
      </c>
      <c r="AQ22" s="3460">
        <f>'2018 к смета'!AL24</f>
        <v>0</v>
      </c>
      <c r="AR22" s="3460">
        <f>'2018 к смета'!AM24</f>
        <v>0</v>
      </c>
      <c r="AS22" s="3460">
        <f>'2018 к смета'!AN24</f>
        <v>0</v>
      </c>
      <c r="AT22" s="3451" t="e">
        <f t="shared" si="39"/>
        <v>#DIV/0!</v>
      </c>
      <c r="AU22" s="3460">
        <f>'2018 к смета'!AP24</f>
        <v>0</v>
      </c>
      <c r="AV22" s="3451"/>
      <c r="AW22" s="3812">
        <f>'2018 к смета'!AR24</f>
        <v>0</v>
      </c>
      <c r="AX22" s="3513">
        <f>'2018 к смета'!AS24</f>
        <v>0</v>
      </c>
      <c r="AY22" s="3460">
        <f>'2018 к смета'!AT24</f>
        <v>0</v>
      </c>
      <c r="AZ22" s="3513">
        <f>'2018 к смета'!AU24</f>
        <v>0</v>
      </c>
      <c r="BA22" s="3512" t="e">
        <f t="shared" si="40"/>
        <v>#DIV/0!</v>
      </c>
      <c r="BB22" s="3513">
        <f>'2018 к смета'!AW24</f>
        <v>0</v>
      </c>
      <c r="BC22" s="3512"/>
      <c r="BD22" s="4870">
        <f>'2018 к смета'!AX24</f>
        <v>0</v>
      </c>
      <c r="BE22" s="4870">
        <f>'2018 к смета'!AY24</f>
        <v>0</v>
      </c>
    </row>
    <row r="23" spans="1:57" s="1235" customFormat="1" ht="14.25" customHeight="1" x14ac:dyDescent="0.25">
      <c r="A23" s="3453" t="s">
        <v>922</v>
      </c>
      <c r="B23" s="3454" t="s">
        <v>2</v>
      </c>
      <c r="C23" s="3453" t="s">
        <v>899</v>
      </c>
      <c r="D23" s="3453">
        <v>0</v>
      </c>
      <c r="E23" s="3453">
        <v>5.22</v>
      </c>
      <c r="F23" s="3451">
        <f>стоки!BC97</f>
        <v>5.2512137947360316</v>
      </c>
      <c r="G23" s="3451">
        <v>3.97</v>
      </c>
      <c r="H23" s="3451">
        <f>'2018 к смета'!G25</f>
        <v>5.12</v>
      </c>
      <c r="I23" s="3451">
        <f>F23</f>
        <v>5.2512137947360316</v>
      </c>
      <c r="J23" s="3451">
        <v>5.12</v>
      </c>
      <c r="K23" s="3451">
        <f>'2017 к смета'!G19</f>
        <v>5.12</v>
      </c>
      <c r="L23" s="3451">
        <v>3.09</v>
      </c>
      <c r="M23" s="3451">
        <f>L23</f>
        <v>3.09</v>
      </c>
      <c r="N23" s="3451">
        <f>I23</f>
        <v>5.2512137947360316</v>
      </c>
      <c r="O23" s="3451">
        <v>4.16</v>
      </c>
      <c r="P23" s="3451">
        <f>'2018 к смета'!M25</f>
        <v>5.12</v>
      </c>
      <c r="Q23" s="3451">
        <f>SUM(стоки!BO144)</f>
        <v>2.63</v>
      </c>
      <c r="R23" s="3451">
        <v>2.99</v>
      </c>
      <c r="S23" s="3451">
        <v>2.99</v>
      </c>
      <c r="T23" s="3451">
        <v>2.99</v>
      </c>
      <c r="U23" s="3451">
        <v>2.99</v>
      </c>
      <c r="V23" s="3451">
        <v>2.99</v>
      </c>
      <c r="W23" s="3451"/>
      <c r="X23" s="3451">
        <f>стоки!BU144</f>
        <v>3.0033882091110118</v>
      </c>
      <c r="Y23" s="3451">
        <f>X23/P23*100</f>
        <v>58.659925959199441</v>
      </c>
      <c r="Z23" s="3451">
        <f>X23</f>
        <v>3.0033882091110118</v>
      </c>
      <c r="AA23" s="3451">
        <f t="shared" ref="AA23:AD23" si="41">Z23</f>
        <v>3.0033882091110118</v>
      </c>
      <c r="AB23" s="3451">
        <f t="shared" si="41"/>
        <v>3.0033882091110118</v>
      </c>
      <c r="AC23" s="3451">
        <f t="shared" si="41"/>
        <v>3.0033882091110118</v>
      </c>
      <c r="AD23" s="3451">
        <f t="shared" si="41"/>
        <v>3.0033882091110118</v>
      </c>
      <c r="AE23" s="3451">
        <f>SUM(стоки!BX97)</f>
        <v>3.0033882091110118</v>
      </c>
      <c r="AF23" s="3451">
        <f t="shared" si="9"/>
        <v>100</v>
      </c>
      <c r="AG23" s="3451">
        <f>SUM(стоки!CM144)</f>
        <v>2.9988020152781827</v>
      </c>
      <c r="AH23" s="3451">
        <f t="shared" si="10"/>
        <v>99.847299332836286</v>
      </c>
      <c r="AI23" s="3451">
        <f>SUM(стоки!CP97)</f>
        <v>0</v>
      </c>
      <c r="AJ23" s="3451">
        <f>SUM(стоки!CS97)</f>
        <v>0</v>
      </c>
      <c r="AK23" s="3451">
        <f>SUM(стоки!CV97)</f>
        <v>0</v>
      </c>
      <c r="AL23" s="3451">
        <f>SUM(стоки!CY97)</f>
        <v>0</v>
      </c>
      <c r="AM23" s="3451">
        <f>AL23/AG23*100</f>
        <v>0</v>
      </c>
      <c r="AN23" s="3451">
        <f>SUM(стоки!DB97)</f>
        <v>0</v>
      </c>
      <c r="AO23" s="3451"/>
      <c r="AP23" s="3451">
        <f>SUM(стоки!DE97)</f>
        <v>0</v>
      </c>
      <c r="AQ23" s="3451">
        <f>SUM(стоки!DH97)</f>
        <v>0</v>
      </c>
      <c r="AR23" s="3451">
        <f>SUM(стоки!DK97)</f>
        <v>0</v>
      </c>
      <c r="AS23" s="3451">
        <f>SUM(стоки!DN97)</f>
        <v>0</v>
      </c>
      <c r="AT23" s="3451" t="e">
        <f>AS23/AN23*100</f>
        <v>#DIV/0!</v>
      </c>
      <c r="AU23" s="3451">
        <f>SUM(стоки!DQ97)</f>
        <v>0</v>
      </c>
      <c r="AV23" s="3451"/>
      <c r="AW23" s="3811">
        <f>SUM(стоки!DT97)</f>
        <v>0</v>
      </c>
      <c r="AX23" s="3811">
        <f>SUM(стоки!DW97)</f>
        <v>0</v>
      </c>
      <c r="AY23" s="3451">
        <f>SUM(стоки!DZ97)</f>
        <v>0</v>
      </c>
      <c r="AZ23" s="3512">
        <f>SUM(стоки!EC97)</f>
        <v>0</v>
      </c>
      <c r="BA23" s="3512" t="e">
        <f>AZ23/AU23*100</f>
        <v>#DIV/0!</v>
      </c>
      <c r="BB23" s="3512">
        <f>SUM(стоки!EL97)</f>
        <v>0</v>
      </c>
      <c r="BC23" s="3512"/>
      <c r="BD23" s="4869">
        <f>SUM(стоки!EO97)</f>
        <v>0</v>
      </c>
      <c r="BE23" s="4869">
        <f>SUM(стоки!ER97)</f>
        <v>0</v>
      </c>
    </row>
    <row r="24" spans="1:57" s="1238" customFormat="1" ht="15" customHeight="1" x14ac:dyDescent="0.2">
      <c r="A24" s="3463" t="s">
        <v>192</v>
      </c>
      <c r="B24" s="3464" t="s">
        <v>923</v>
      </c>
      <c r="C24" s="3523" t="s">
        <v>44</v>
      </c>
      <c r="D24" s="3524">
        <f>D25/(D12+D23)*100</f>
        <v>0</v>
      </c>
      <c r="E24" s="3524">
        <f>E25/(E12+E23)*100</f>
        <v>0</v>
      </c>
      <c r="F24" s="3524">
        <f>F25/(F12+F23)*100</f>
        <v>0</v>
      </c>
      <c r="G24" s="3524">
        <f t="shared" ref="G24:H24" si="42">G25/(G12+G23)*100</f>
        <v>0</v>
      </c>
      <c r="H24" s="3524">
        <f t="shared" si="42"/>
        <v>0</v>
      </c>
      <c r="I24" s="3524">
        <f t="shared" ref="I24:P24" si="43">I25/(I12+I23)*100</f>
        <v>0</v>
      </c>
      <c r="J24" s="3524">
        <f t="shared" si="43"/>
        <v>0</v>
      </c>
      <c r="K24" s="3524">
        <f t="shared" si="43"/>
        <v>0</v>
      </c>
      <c r="L24" s="3524">
        <f t="shared" si="43"/>
        <v>0</v>
      </c>
      <c r="M24" s="3524">
        <f t="shared" si="43"/>
        <v>0</v>
      </c>
      <c r="N24" s="3524">
        <f t="shared" si="43"/>
        <v>0</v>
      </c>
      <c r="O24" s="3524">
        <f>O25/(O12+O23)*100</f>
        <v>0</v>
      </c>
      <c r="P24" s="3524">
        <f t="shared" si="43"/>
        <v>0</v>
      </c>
      <c r="Q24" s="3524">
        <v>0</v>
      </c>
      <c r="R24" s="3524">
        <f t="shared" ref="R24:AD24" si="44">R25/(R12+R23)*100</f>
        <v>0</v>
      </c>
      <c r="S24" s="3524">
        <f t="shared" si="44"/>
        <v>0</v>
      </c>
      <c r="T24" s="3524">
        <f t="shared" si="44"/>
        <v>0</v>
      </c>
      <c r="U24" s="3524">
        <f t="shared" si="44"/>
        <v>0</v>
      </c>
      <c r="V24" s="3524">
        <f t="shared" si="44"/>
        <v>0</v>
      </c>
      <c r="W24" s="3524" t="e">
        <f t="shared" si="44"/>
        <v>#DIV/0!</v>
      </c>
      <c r="X24" s="3524">
        <v>0</v>
      </c>
      <c r="Y24" s="3465">
        <v>0</v>
      </c>
      <c r="Z24" s="3524">
        <f t="shared" si="44"/>
        <v>0</v>
      </c>
      <c r="AA24" s="3524">
        <f t="shared" si="44"/>
        <v>0</v>
      </c>
      <c r="AB24" s="3524">
        <f t="shared" si="44"/>
        <v>0</v>
      </c>
      <c r="AC24" s="3524">
        <f t="shared" si="44"/>
        <v>0</v>
      </c>
      <c r="AD24" s="3524">
        <f t="shared" si="44"/>
        <v>0</v>
      </c>
      <c r="AE24" s="3524">
        <v>0</v>
      </c>
      <c r="AF24" s="3451"/>
      <c r="AG24" s="3525">
        <v>0</v>
      </c>
      <c r="AH24" s="3451"/>
      <c r="AI24" s="3524">
        <v>0</v>
      </c>
      <c r="AJ24" s="3525">
        <v>0</v>
      </c>
      <c r="AK24" s="3525">
        <v>0</v>
      </c>
      <c r="AL24" s="3525">
        <v>0</v>
      </c>
      <c r="AM24" s="3451"/>
      <c r="AN24" s="3525">
        <v>0</v>
      </c>
      <c r="AO24" s="3451"/>
      <c r="AP24" s="3525">
        <v>0</v>
      </c>
      <c r="AQ24" s="3525">
        <v>0</v>
      </c>
      <c r="AR24" s="3525">
        <v>0</v>
      </c>
      <c r="AS24" s="3525">
        <v>0</v>
      </c>
      <c r="AT24" s="3451"/>
      <c r="AU24" s="3525">
        <v>0</v>
      </c>
      <c r="AV24" s="3451"/>
      <c r="AW24" s="3823">
        <v>0</v>
      </c>
      <c r="AX24" s="3823">
        <v>0</v>
      </c>
      <c r="AY24" s="3525">
        <v>0</v>
      </c>
      <c r="AZ24" s="3531">
        <v>0</v>
      </c>
      <c r="BA24" s="3512"/>
      <c r="BB24" s="3531">
        <v>0</v>
      </c>
      <c r="BC24" s="3512"/>
      <c r="BD24" s="4881">
        <v>0</v>
      </c>
      <c r="BE24" s="4881">
        <v>0</v>
      </c>
    </row>
    <row r="25" spans="1:57" s="1235" customFormat="1" x14ac:dyDescent="0.25">
      <c r="A25" s="3453" t="s">
        <v>924</v>
      </c>
      <c r="B25" s="3454" t="s">
        <v>925</v>
      </c>
      <c r="C25" s="3453" t="s">
        <v>899</v>
      </c>
      <c r="D25" s="3451">
        <f>D26+D27+D28</f>
        <v>0</v>
      </c>
      <c r="E25" s="3451">
        <f>E26+E27+E28</f>
        <v>0</v>
      </c>
      <c r="F25" s="3451">
        <f>F26+F27+F28</f>
        <v>0</v>
      </c>
      <c r="G25" s="3451">
        <f t="shared" ref="G25:H25" si="45">G26+G27+G28</f>
        <v>0</v>
      </c>
      <c r="H25" s="3451">
        <f t="shared" si="45"/>
        <v>0</v>
      </c>
      <c r="I25" s="3451">
        <f t="shared" ref="I25:Q25" si="46">I26+I27+I28</f>
        <v>0</v>
      </c>
      <c r="J25" s="3451">
        <f t="shared" si="46"/>
        <v>0</v>
      </c>
      <c r="K25" s="3451">
        <f t="shared" si="46"/>
        <v>0</v>
      </c>
      <c r="L25" s="3451">
        <f t="shared" ref="L25:M25" si="47">L26+L27+L28</f>
        <v>0</v>
      </c>
      <c r="M25" s="3451">
        <f t="shared" si="47"/>
        <v>0</v>
      </c>
      <c r="N25" s="3451">
        <f t="shared" si="46"/>
        <v>0</v>
      </c>
      <c r="O25" s="3451">
        <f t="shared" si="46"/>
        <v>0</v>
      </c>
      <c r="P25" s="3451">
        <f t="shared" si="46"/>
        <v>0</v>
      </c>
      <c r="Q25" s="3451">
        <f t="shared" si="46"/>
        <v>0</v>
      </c>
      <c r="R25" s="3451">
        <f t="shared" ref="R25:AD25" si="48">R26+R27+R28</f>
        <v>0</v>
      </c>
      <c r="S25" s="3451">
        <f t="shared" si="48"/>
        <v>0</v>
      </c>
      <c r="T25" s="3451">
        <f t="shared" si="48"/>
        <v>0</v>
      </c>
      <c r="U25" s="3451">
        <f t="shared" si="48"/>
        <v>0</v>
      </c>
      <c r="V25" s="3451">
        <f t="shared" si="48"/>
        <v>0</v>
      </c>
      <c r="W25" s="3451">
        <f t="shared" si="48"/>
        <v>0</v>
      </c>
      <c r="X25" s="3451">
        <f t="shared" si="48"/>
        <v>0</v>
      </c>
      <c r="Y25" s="3451">
        <v>0</v>
      </c>
      <c r="Z25" s="3451">
        <f t="shared" si="48"/>
        <v>0</v>
      </c>
      <c r="AA25" s="3451">
        <f t="shared" si="48"/>
        <v>0</v>
      </c>
      <c r="AB25" s="3451">
        <f t="shared" si="48"/>
        <v>0</v>
      </c>
      <c r="AC25" s="3451">
        <f t="shared" si="48"/>
        <v>0</v>
      </c>
      <c r="AD25" s="3451">
        <f t="shared" si="48"/>
        <v>0</v>
      </c>
      <c r="AE25" s="3451">
        <f t="shared" ref="AE25:AG25" si="49">AE26+AE27+AE28</f>
        <v>0</v>
      </c>
      <c r="AF25" s="3451"/>
      <c r="AG25" s="3451">
        <f t="shared" si="49"/>
        <v>0</v>
      </c>
      <c r="AH25" s="3451"/>
      <c r="AI25" s="3451">
        <f t="shared" ref="AI25:AJ25" si="50">AI26+AI27+AI28</f>
        <v>0</v>
      </c>
      <c r="AJ25" s="3451">
        <f t="shared" si="50"/>
        <v>0</v>
      </c>
      <c r="AK25" s="3451">
        <f t="shared" ref="AK25" si="51">AK26+AK27+AK28</f>
        <v>0</v>
      </c>
      <c r="AL25" s="3451">
        <f t="shared" ref="AL25:AN25" si="52">AL26+AL27+AL28</f>
        <v>0</v>
      </c>
      <c r="AM25" s="3451"/>
      <c r="AN25" s="3451">
        <f t="shared" si="52"/>
        <v>0</v>
      </c>
      <c r="AO25" s="3451"/>
      <c r="AP25" s="3451">
        <f t="shared" ref="AP25:AS25" si="53">AP26+AP27+AP28</f>
        <v>0</v>
      </c>
      <c r="AQ25" s="3451">
        <f t="shared" si="53"/>
        <v>0</v>
      </c>
      <c r="AR25" s="3451">
        <f t="shared" si="53"/>
        <v>0</v>
      </c>
      <c r="AS25" s="3451">
        <f t="shared" si="53"/>
        <v>0</v>
      </c>
      <c r="AT25" s="3451"/>
      <c r="AU25" s="3451">
        <f t="shared" ref="AU25" si="54">AU26+AU27+AU28</f>
        <v>0</v>
      </c>
      <c r="AV25" s="3451"/>
      <c r="AW25" s="3811">
        <f t="shared" ref="AW25:AZ25" si="55">AW26+AW27+AW28</f>
        <v>0</v>
      </c>
      <c r="AX25" s="3811">
        <f t="shared" si="55"/>
        <v>0</v>
      </c>
      <c r="AY25" s="3451">
        <f t="shared" si="55"/>
        <v>0</v>
      </c>
      <c r="AZ25" s="3512">
        <f t="shared" si="55"/>
        <v>0</v>
      </c>
      <c r="BA25" s="3512"/>
      <c r="BB25" s="3512">
        <f t="shared" ref="BB25" si="56">BB26+BB27+BB28</f>
        <v>0</v>
      </c>
      <c r="BC25" s="3512"/>
      <c r="BD25" s="4869">
        <f t="shared" ref="BD25:BE25" si="57">BD26+BD27+BD28</f>
        <v>0</v>
      </c>
      <c r="BE25" s="4869">
        <f t="shared" si="57"/>
        <v>0</v>
      </c>
    </row>
    <row r="26" spans="1:57" s="1236" customFormat="1" ht="35.25" hidden="1" customHeight="1" x14ac:dyDescent="0.25">
      <c r="A26" s="3453" t="s">
        <v>926</v>
      </c>
      <c r="B26" s="3455" t="s">
        <v>927</v>
      </c>
      <c r="C26" s="3453" t="s">
        <v>899</v>
      </c>
      <c r="D26" s="3451">
        <v>0</v>
      </c>
      <c r="E26" s="3451">
        <v>0</v>
      </c>
      <c r="F26" s="3451">
        <v>0</v>
      </c>
      <c r="G26" s="3451">
        <v>0</v>
      </c>
      <c r="H26" s="3451">
        <v>0</v>
      </c>
      <c r="I26" s="3451">
        <v>0</v>
      </c>
      <c r="J26" s="3451">
        <v>0</v>
      </c>
      <c r="K26" s="3451">
        <v>0</v>
      </c>
      <c r="L26" s="3451">
        <v>0</v>
      </c>
      <c r="M26" s="3451">
        <v>0</v>
      </c>
      <c r="N26" s="3451">
        <v>0</v>
      </c>
      <c r="O26" s="3451">
        <v>0</v>
      </c>
      <c r="P26" s="3451">
        <v>0</v>
      </c>
      <c r="Q26" s="3451">
        <v>0</v>
      </c>
      <c r="R26" s="3451">
        <v>0</v>
      </c>
      <c r="S26" s="3451">
        <v>0</v>
      </c>
      <c r="T26" s="3451">
        <v>0</v>
      </c>
      <c r="U26" s="3451">
        <v>0</v>
      </c>
      <c r="V26" s="3451">
        <v>0</v>
      </c>
      <c r="W26" s="3451">
        <v>0</v>
      </c>
      <c r="X26" s="3451">
        <v>0</v>
      </c>
      <c r="Y26" s="3451">
        <v>0</v>
      </c>
      <c r="Z26" s="3451">
        <v>0</v>
      </c>
      <c r="AA26" s="3451">
        <v>0</v>
      </c>
      <c r="AB26" s="3451">
        <v>0</v>
      </c>
      <c r="AC26" s="3451">
        <v>0</v>
      </c>
      <c r="AD26" s="3451">
        <v>0</v>
      </c>
      <c r="AE26" s="3451">
        <v>0</v>
      </c>
      <c r="AF26" s="3451" t="e">
        <f t="shared" si="9"/>
        <v>#DIV/0!</v>
      </c>
      <c r="AG26" s="3451">
        <v>0</v>
      </c>
      <c r="AH26" s="3451" t="e">
        <f t="shared" ref="AH26:AH28" si="58">AG26/Z26*100</f>
        <v>#DIV/0!</v>
      </c>
      <c r="AI26" s="3451">
        <v>0</v>
      </c>
      <c r="AJ26" s="3451">
        <v>0</v>
      </c>
      <c r="AK26" s="3451">
        <v>0</v>
      </c>
      <c r="AL26" s="3451">
        <v>0</v>
      </c>
      <c r="AM26" s="3451" t="e">
        <f t="shared" ref="AM26:AM28" si="59">AL26/AE26*100</f>
        <v>#DIV/0!</v>
      </c>
      <c r="AN26" s="3451">
        <v>0</v>
      </c>
      <c r="AO26" s="3451"/>
      <c r="AP26" s="3451">
        <v>0</v>
      </c>
      <c r="AQ26" s="3451">
        <v>0</v>
      </c>
      <c r="AR26" s="3451">
        <v>0</v>
      </c>
      <c r="AS26" s="3451">
        <v>0</v>
      </c>
      <c r="AT26" s="3451" t="e">
        <f t="shared" ref="AT26:AT28" si="60">AS26/AL26*100</f>
        <v>#DIV/0!</v>
      </c>
      <c r="AU26" s="3451">
        <v>0</v>
      </c>
      <c r="AV26" s="3451"/>
      <c r="AW26" s="3811">
        <v>0</v>
      </c>
      <c r="AX26" s="3512">
        <v>0</v>
      </c>
      <c r="AY26" s="3451">
        <v>0</v>
      </c>
      <c r="AZ26" s="3512">
        <v>0</v>
      </c>
      <c r="BA26" s="3512" t="e">
        <f t="shared" ref="BA26:BA28" si="61">AZ26/AS26*100</f>
        <v>#DIV/0!</v>
      </c>
      <c r="BB26" s="3512">
        <v>0</v>
      </c>
      <c r="BC26" s="3512"/>
      <c r="BD26" s="4869">
        <v>0</v>
      </c>
      <c r="BE26" s="4869">
        <v>0</v>
      </c>
    </row>
    <row r="27" spans="1:57" s="1236" customFormat="1" ht="56.25" hidden="1" customHeight="1" x14ac:dyDescent="0.25">
      <c r="A27" s="3453" t="s">
        <v>928</v>
      </c>
      <c r="B27" s="3455" t="s">
        <v>929</v>
      </c>
      <c r="C27" s="3453" t="s">
        <v>899</v>
      </c>
      <c r="D27" s="3451">
        <v>0</v>
      </c>
      <c r="E27" s="3451">
        <v>0</v>
      </c>
      <c r="F27" s="3451">
        <v>0</v>
      </c>
      <c r="G27" s="3451">
        <v>0</v>
      </c>
      <c r="H27" s="3451">
        <v>0</v>
      </c>
      <c r="I27" s="3451">
        <v>0</v>
      </c>
      <c r="J27" s="3451">
        <v>0</v>
      </c>
      <c r="K27" s="3451">
        <v>0</v>
      </c>
      <c r="L27" s="3451">
        <v>0</v>
      </c>
      <c r="M27" s="3451">
        <v>0</v>
      </c>
      <c r="N27" s="3451">
        <v>0</v>
      </c>
      <c r="O27" s="3451">
        <v>0</v>
      </c>
      <c r="P27" s="3451">
        <v>0</v>
      </c>
      <c r="Q27" s="3451">
        <v>0</v>
      </c>
      <c r="R27" s="3451">
        <v>0</v>
      </c>
      <c r="S27" s="3451">
        <v>0</v>
      </c>
      <c r="T27" s="3451">
        <v>0</v>
      </c>
      <c r="U27" s="3451">
        <v>0</v>
      </c>
      <c r="V27" s="3451">
        <v>0</v>
      </c>
      <c r="W27" s="3451">
        <v>0</v>
      </c>
      <c r="X27" s="3451">
        <v>0</v>
      </c>
      <c r="Y27" s="3451">
        <v>0</v>
      </c>
      <c r="Z27" s="3451">
        <v>0</v>
      </c>
      <c r="AA27" s="3451">
        <v>0</v>
      </c>
      <c r="AB27" s="3451">
        <v>0</v>
      </c>
      <c r="AC27" s="3451">
        <v>0</v>
      </c>
      <c r="AD27" s="3451">
        <v>0</v>
      </c>
      <c r="AE27" s="3451">
        <v>0</v>
      </c>
      <c r="AF27" s="3451" t="e">
        <f t="shared" si="9"/>
        <v>#DIV/0!</v>
      </c>
      <c r="AG27" s="3451">
        <v>0</v>
      </c>
      <c r="AH27" s="3451" t="e">
        <f t="shared" si="58"/>
        <v>#DIV/0!</v>
      </c>
      <c r="AI27" s="3451">
        <v>0</v>
      </c>
      <c r="AJ27" s="3451">
        <v>0</v>
      </c>
      <c r="AK27" s="3451">
        <v>0</v>
      </c>
      <c r="AL27" s="3451">
        <v>0</v>
      </c>
      <c r="AM27" s="3451" t="e">
        <f t="shared" si="59"/>
        <v>#DIV/0!</v>
      </c>
      <c r="AN27" s="3451">
        <v>0</v>
      </c>
      <c r="AO27" s="3451"/>
      <c r="AP27" s="3451">
        <v>0</v>
      </c>
      <c r="AQ27" s="3451">
        <v>0</v>
      </c>
      <c r="AR27" s="3451">
        <v>0</v>
      </c>
      <c r="AS27" s="3451">
        <v>0</v>
      </c>
      <c r="AT27" s="3451" t="e">
        <f t="shared" si="60"/>
        <v>#DIV/0!</v>
      </c>
      <c r="AU27" s="3451">
        <v>0</v>
      </c>
      <c r="AV27" s="3451"/>
      <c r="AW27" s="3811">
        <v>0</v>
      </c>
      <c r="AX27" s="3512">
        <v>0</v>
      </c>
      <c r="AY27" s="3451">
        <v>0</v>
      </c>
      <c r="AZ27" s="3512">
        <v>0</v>
      </c>
      <c r="BA27" s="3512" t="e">
        <f t="shared" si="61"/>
        <v>#DIV/0!</v>
      </c>
      <c r="BB27" s="3512">
        <v>0</v>
      </c>
      <c r="BC27" s="3512"/>
      <c r="BD27" s="4869">
        <v>0</v>
      </c>
      <c r="BE27" s="4869">
        <v>0</v>
      </c>
    </row>
    <row r="28" spans="1:57" s="1236" customFormat="1" ht="75" hidden="1" customHeight="1" x14ac:dyDescent="0.25">
      <c r="A28" s="3453" t="s">
        <v>930</v>
      </c>
      <c r="B28" s="3455" t="s">
        <v>931</v>
      </c>
      <c r="C28" s="3453" t="s">
        <v>899</v>
      </c>
      <c r="D28" s="3451">
        <v>0</v>
      </c>
      <c r="E28" s="3451">
        <v>0</v>
      </c>
      <c r="F28" s="3451">
        <v>0</v>
      </c>
      <c r="G28" s="3451">
        <v>0</v>
      </c>
      <c r="H28" s="3451">
        <v>0</v>
      </c>
      <c r="I28" s="3451">
        <v>0</v>
      </c>
      <c r="J28" s="3451">
        <v>0</v>
      </c>
      <c r="K28" s="3451">
        <v>0</v>
      </c>
      <c r="L28" s="3451">
        <v>0</v>
      </c>
      <c r="M28" s="3451">
        <v>0</v>
      </c>
      <c r="N28" s="3451">
        <v>0</v>
      </c>
      <c r="O28" s="3451">
        <v>0</v>
      </c>
      <c r="P28" s="3451">
        <v>0</v>
      </c>
      <c r="Q28" s="3451">
        <v>0</v>
      </c>
      <c r="R28" s="3451">
        <v>0</v>
      </c>
      <c r="S28" s="3451">
        <v>0</v>
      </c>
      <c r="T28" s="3451">
        <v>0</v>
      </c>
      <c r="U28" s="3451">
        <v>0</v>
      </c>
      <c r="V28" s="3451">
        <v>0</v>
      </c>
      <c r="W28" s="3451">
        <v>0</v>
      </c>
      <c r="X28" s="3451">
        <v>0</v>
      </c>
      <c r="Y28" s="3451">
        <v>0</v>
      </c>
      <c r="Z28" s="3451">
        <v>0</v>
      </c>
      <c r="AA28" s="3451">
        <v>0</v>
      </c>
      <c r="AB28" s="3451">
        <v>0</v>
      </c>
      <c r="AC28" s="3451">
        <v>0</v>
      </c>
      <c r="AD28" s="3451">
        <v>0</v>
      </c>
      <c r="AE28" s="3451">
        <v>0</v>
      </c>
      <c r="AF28" s="3451" t="e">
        <f t="shared" si="9"/>
        <v>#DIV/0!</v>
      </c>
      <c r="AG28" s="3451">
        <v>0</v>
      </c>
      <c r="AH28" s="3451" t="e">
        <f t="shared" si="58"/>
        <v>#DIV/0!</v>
      </c>
      <c r="AI28" s="3451">
        <v>0</v>
      </c>
      <c r="AJ28" s="3451">
        <v>0</v>
      </c>
      <c r="AK28" s="3451">
        <v>0</v>
      </c>
      <c r="AL28" s="3451">
        <v>0</v>
      </c>
      <c r="AM28" s="3451" t="e">
        <f t="shared" si="59"/>
        <v>#DIV/0!</v>
      </c>
      <c r="AN28" s="3451">
        <v>0</v>
      </c>
      <c r="AO28" s="3451"/>
      <c r="AP28" s="3451">
        <v>0</v>
      </c>
      <c r="AQ28" s="3451">
        <v>0</v>
      </c>
      <c r="AR28" s="3451">
        <v>0</v>
      </c>
      <c r="AS28" s="3451">
        <v>0</v>
      </c>
      <c r="AT28" s="3451" t="e">
        <f t="shared" si="60"/>
        <v>#DIV/0!</v>
      </c>
      <c r="AU28" s="3451">
        <v>0</v>
      </c>
      <c r="AV28" s="3451"/>
      <c r="AW28" s="3811">
        <v>0</v>
      </c>
      <c r="AX28" s="3512">
        <v>0</v>
      </c>
      <c r="AY28" s="3451">
        <v>0</v>
      </c>
      <c r="AZ28" s="3512">
        <v>0</v>
      </c>
      <c r="BA28" s="3512" t="e">
        <f t="shared" si="61"/>
        <v>#DIV/0!</v>
      </c>
      <c r="BB28" s="3512">
        <v>0</v>
      </c>
      <c r="BC28" s="3512"/>
      <c r="BD28" s="4869">
        <v>0</v>
      </c>
      <c r="BE28" s="4869">
        <v>0</v>
      </c>
    </row>
    <row r="29" spans="1:57" s="1235" customFormat="1" ht="51" customHeight="1" x14ac:dyDescent="0.25">
      <c r="A29" s="3453" t="s">
        <v>193</v>
      </c>
      <c r="B29" s="3454" t="s">
        <v>932</v>
      </c>
      <c r="C29" s="3453" t="s">
        <v>899</v>
      </c>
      <c r="D29" s="3453">
        <v>0</v>
      </c>
      <c r="E29" s="3453">
        <v>0</v>
      </c>
      <c r="F29" s="3451">
        <v>0</v>
      </c>
      <c r="G29" s="3451">
        <v>0</v>
      </c>
      <c r="H29" s="3451">
        <v>0</v>
      </c>
      <c r="I29" s="3451">
        <v>0</v>
      </c>
      <c r="J29" s="3451">
        <v>16.920000000000002</v>
      </c>
      <c r="K29" s="3451">
        <f>(K12+K23)*0.05</f>
        <v>15.964030671484281</v>
      </c>
      <c r="L29" s="3451">
        <v>0</v>
      </c>
      <c r="M29" s="3451">
        <v>0</v>
      </c>
      <c r="N29" s="3451">
        <v>0</v>
      </c>
      <c r="O29" s="3451">
        <v>15.32</v>
      </c>
      <c r="P29" s="3451">
        <v>0</v>
      </c>
      <c r="Q29" s="3451">
        <v>0</v>
      </c>
      <c r="R29" s="3451">
        <v>0</v>
      </c>
      <c r="S29" s="3451">
        <v>0</v>
      </c>
      <c r="T29" s="3451">
        <v>0</v>
      </c>
      <c r="U29" s="3451">
        <v>0</v>
      </c>
      <c r="V29" s="3451">
        <v>0</v>
      </c>
      <c r="W29" s="3451">
        <v>0</v>
      </c>
      <c r="X29" s="3451">
        <v>0</v>
      </c>
      <c r="Y29" s="3451">
        <v>0</v>
      </c>
      <c r="Z29" s="3451">
        <v>0</v>
      </c>
      <c r="AA29" s="3451">
        <v>0</v>
      </c>
      <c r="AB29" s="3451">
        <v>0</v>
      </c>
      <c r="AC29" s="3451">
        <v>0</v>
      </c>
      <c r="AD29" s="3451">
        <v>0</v>
      </c>
      <c r="AE29" s="3451">
        <v>0</v>
      </c>
      <c r="AF29" s="3451"/>
      <c r="AG29" s="3451">
        <v>0</v>
      </c>
      <c r="AH29" s="3451"/>
      <c r="AI29" s="3451">
        <v>0</v>
      </c>
      <c r="AJ29" s="3451">
        <v>0</v>
      </c>
      <c r="AK29" s="3451">
        <v>0</v>
      </c>
      <c r="AL29" s="3451">
        <v>0</v>
      </c>
      <c r="AM29" s="3451"/>
      <c r="AN29" s="3451">
        <v>0</v>
      </c>
      <c r="AO29" s="3451"/>
      <c r="AP29" s="3451">
        <v>0</v>
      </c>
      <c r="AQ29" s="3451">
        <v>0</v>
      </c>
      <c r="AR29" s="3451">
        <v>0</v>
      </c>
      <c r="AS29" s="3451">
        <v>0</v>
      </c>
      <c r="AT29" s="3451"/>
      <c r="AU29" s="3451">
        <v>0</v>
      </c>
      <c r="AV29" s="3451"/>
      <c r="AW29" s="3811">
        <v>0</v>
      </c>
      <c r="AX29" s="3811">
        <v>0</v>
      </c>
      <c r="AY29" s="3451">
        <v>0</v>
      </c>
      <c r="AZ29" s="3512">
        <v>0</v>
      </c>
      <c r="BA29" s="3512"/>
      <c r="BB29" s="3512">
        <v>0</v>
      </c>
      <c r="BC29" s="3512"/>
      <c r="BD29" s="4869">
        <v>0</v>
      </c>
      <c r="BE29" s="4869">
        <v>0</v>
      </c>
    </row>
    <row r="30" spans="1:57" s="1923" customFormat="1" ht="69" hidden="1" customHeight="1" x14ac:dyDescent="0.2">
      <c r="A30" s="3411" t="s">
        <v>1601</v>
      </c>
      <c r="B30" s="3409" t="s">
        <v>1695</v>
      </c>
      <c r="C30" s="3411" t="s">
        <v>899</v>
      </c>
      <c r="D30" s="3411"/>
      <c r="E30" s="3411"/>
      <c r="F30" s="2202"/>
      <c r="G30" s="2202"/>
      <c r="H30" s="2202"/>
      <c r="I30" s="2202"/>
      <c r="J30" s="2202"/>
      <c r="K30" s="2202"/>
      <c r="L30" s="2202"/>
      <c r="M30" s="2202"/>
      <c r="N30" s="2202"/>
      <c r="O30" s="2202"/>
      <c r="P30" s="2202"/>
      <c r="Q30" s="2202"/>
      <c r="R30" s="2202"/>
      <c r="S30" s="2202"/>
      <c r="T30" s="2202"/>
      <c r="U30" s="2202"/>
      <c r="V30" s="2202"/>
      <c r="W30" s="2202"/>
      <c r="X30" s="2202"/>
      <c r="Y30" s="2202"/>
      <c r="Z30" s="2202"/>
      <c r="AA30" s="2202"/>
      <c r="AB30" s="2202"/>
      <c r="AC30" s="2202"/>
      <c r="AD30" s="2202"/>
      <c r="AE30" s="2202"/>
      <c r="AF30" s="3451" t="e">
        <f t="shared" si="9"/>
        <v>#DIV/0!</v>
      </c>
      <c r="AG30" s="2202"/>
      <c r="AH30" s="3451" t="e">
        <f t="shared" ref="AH30:AH31" si="62">AG30/Z30*100</f>
        <v>#DIV/0!</v>
      </c>
      <c r="AI30" s="2202"/>
      <c r="AJ30" s="2202"/>
      <c r="AK30" s="2202"/>
      <c r="AL30" s="3772"/>
      <c r="AM30" s="3451" t="e">
        <f t="shared" ref="AM30:AM31" si="63">AL30/AE30*100</f>
        <v>#DIV/0!</v>
      </c>
      <c r="AN30" s="3772"/>
      <c r="AO30" s="3451"/>
      <c r="AP30" s="3772"/>
      <c r="AQ30" s="3772"/>
      <c r="AR30" s="3772"/>
      <c r="AS30" s="4033"/>
      <c r="AT30" s="3451" t="e">
        <f t="shared" ref="AT30:AT31" si="64">AS30/AL30*100</f>
        <v>#DIV/0!</v>
      </c>
      <c r="AU30" s="4033"/>
      <c r="AV30" s="3451"/>
      <c r="AW30" s="3814"/>
      <c r="AX30" s="3814"/>
      <c r="AY30" s="4569"/>
      <c r="AZ30" s="2456"/>
      <c r="BA30" s="3512" t="e">
        <f t="shared" ref="BA30:BA31" si="65">AZ30/AS30*100</f>
        <v>#DIV/0!</v>
      </c>
      <c r="BB30" s="2456"/>
      <c r="BC30" s="3512"/>
      <c r="BD30" s="4873"/>
      <c r="BE30" s="4873"/>
    </row>
    <row r="31" spans="1:57" s="1855" customFormat="1" ht="46.5" hidden="1" customHeight="1" x14ac:dyDescent="0.25">
      <c r="A31" s="3453" t="s">
        <v>1696</v>
      </c>
      <c r="B31" s="3409" t="s">
        <v>1697</v>
      </c>
      <c r="C31" s="3453" t="s">
        <v>899</v>
      </c>
      <c r="D31" s="3453"/>
      <c r="E31" s="3453"/>
      <c r="F31" s="3451"/>
      <c r="G31" s="3451"/>
      <c r="H31" s="3451"/>
      <c r="I31" s="3451"/>
      <c r="J31" s="3451"/>
      <c r="K31" s="3451">
        <v>0</v>
      </c>
      <c r="L31" s="3451"/>
      <c r="M31" s="3451"/>
      <c r="N31" s="3451">
        <v>0</v>
      </c>
      <c r="O31" s="3451">
        <v>0</v>
      </c>
      <c r="P31" s="3451">
        <v>0</v>
      </c>
      <c r="Q31" s="3451"/>
      <c r="R31" s="3451"/>
      <c r="S31" s="3451"/>
      <c r="T31" s="3451"/>
      <c r="U31" s="3451"/>
      <c r="V31" s="3451"/>
      <c r="W31" s="3451"/>
      <c r="X31" s="3451"/>
      <c r="Y31" s="2202"/>
      <c r="Z31" s="3451"/>
      <c r="AA31" s="3451"/>
      <c r="AB31" s="3451"/>
      <c r="AC31" s="3451"/>
      <c r="AD31" s="3451"/>
      <c r="AE31" s="3451"/>
      <c r="AF31" s="3451" t="e">
        <f t="shared" si="9"/>
        <v>#DIV/0!</v>
      </c>
      <c r="AG31" s="3451"/>
      <c r="AH31" s="3451" t="e">
        <f t="shared" si="62"/>
        <v>#DIV/0!</v>
      </c>
      <c r="AI31" s="3451"/>
      <c r="AJ31" s="3451"/>
      <c r="AK31" s="3451"/>
      <c r="AL31" s="3451"/>
      <c r="AM31" s="3451" t="e">
        <f t="shared" si="63"/>
        <v>#DIV/0!</v>
      </c>
      <c r="AN31" s="3451"/>
      <c r="AO31" s="3451"/>
      <c r="AP31" s="3451"/>
      <c r="AQ31" s="3451"/>
      <c r="AR31" s="3451"/>
      <c r="AS31" s="3451"/>
      <c r="AT31" s="3451" t="e">
        <f t="shared" si="64"/>
        <v>#DIV/0!</v>
      </c>
      <c r="AU31" s="3451"/>
      <c r="AV31" s="3451"/>
      <c r="AW31" s="3811"/>
      <c r="AX31" s="3811"/>
      <c r="AY31" s="3451"/>
      <c r="AZ31" s="3512"/>
      <c r="BA31" s="3512" t="e">
        <f t="shared" si="65"/>
        <v>#DIV/0!</v>
      </c>
      <c r="BB31" s="3512"/>
      <c r="BC31" s="3512"/>
      <c r="BD31" s="4869"/>
      <c r="BE31" s="4869"/>
    </row>
    <row r="32" spans="1:57" s="1924" customFormat="1" ht="21.75" customHeight="1" x14ac:dyDescent="0.2">
      <c r="A32" s="3277"/>
      <c r="B32" s="3409" t="s">
        <v>1698</v>
      </c>
      <c r="C32" s="3411" t="s">
        <v>899</v>
      </c>
      <c r="D32" s="3411"/>
      <c r="E32" s="3411"/>
      <c r="F32" s="2202"/>
      <c r="G32" s="2202"/>
      <c r="H32" s="2202">
        <f>ТН!D72</f>
        <v>289.80907689999992</v>
      </c>
      <c r="I32" s="2202"/>
      <c r="J32" s="2202"/>
      <c r="K32" s="2202"/>
      <c r="L32" s="2202"/>
      <c r="M32" s="2202">
        <f>ТН!J72</f>
        <v>280.37668049999996</v>
      </c>
      <c r="N32" s="2202"/>
      <c r="O32" s="2202"/>
      <c r="P32" s="2202"/>
      <c r="Q32" s="2202"/>
      <c r="R32" s="2202"/>
      <c r="S32" s="2202"/>
      <c r="T32" s="2202"/>
      <c r="U32" s="2202"/>
      <c r="V32" s="2202"/>
      <c r="W32" s="2202"/>
      <c r="X32" s="2202"/>
      <c r="Y32" s="2202"/>
      <c r="Z32" s="2202"/>
      <c r="AA32" s="2202"/>
      <c r="AB32" s="2202"/>
      <c r="AC32" s="2202"/>
      <c r="AD32" s="2202"/>
      <c r="AE32" s="2202"/>
      <c r="AF32" s="3451"/>
      <c r="AG32" s="2202"/>
      <c r="AH32" s="3451"/>
      <c r="AI32" s="2202"/>
      <c r="AJ32" s="2202"/>
      <c r="AK32" s="2202"/>
      <c r="AL32" s="3772"/>
      <c r="AM32" s="3451"/>
      <c r="AN32" s="3772"/>
      <c r="AO32" s="3451"/>
      <c r="AP32" s="3772"/>
      <c r="AQ32" s="3772"/>
      <c r="AR32" s="3772"/>
      <c r="AS32" s="4033"/>
      <c r="AT32" s="3451"/>
      <c r="AU32" s="4033"/>
      <c r="AV32" s="3451"/>
      <c r="AW32" s="3814"/>
      <c r="AX32" s="3814"/>
      <c r="AY32" s="4569"/>
      <c r="AZ32" s="2456"/>
      <c r="BA32" s="3512"/>
      <c r="BB32" s="2456"/>
      <c r="BC32" s="3512"/>
      <c r="BD32" s="4873"/>
      <c r="BE32" s="4873"/>
    </row>
    <row r="33" spans="1:57" s="1925" customFormat="1" ht="64.5" customHeight="1" x14ac:dyDescent="0.2">
      <c r="A33" s="3411" t="s">
        <v>185</v>
      </c>
      <c r="B33" s="3409" t="s">
        <v>1699</v>
      </c>
      <c r="C33" s="3411" t="s">
        <v>899</v>
      </c>
      <c r="D33" s="3411"/>
      <c r="E33" s="3411"/>
      <c r="F33" s="2202"/>
      <c r="G33" s="2202"/>
      <c r="H33" s="2202">
        <f>H12-H32</f>
        <v>-25.609527090334836</v>
      </c>
      <c r="I33" s="2202"/>
      <c r="J33" s="2202"/>
      <c r="K33" s="2202"/>
      <c r="L33" s="2202"/>
      <c r="M33" s="1593">
        <f>M12-M32</f>
        <v>-9.1406380998282089</v>
      </c>
      <c r="N33" s="2202"/>
      <c r="O33" s="2202"/>
      <c r="P33" s="2202">
        <f>H33*1.039*1.037</f>
        <v>-27.592805696791633</v>
      </c>
      <c r="Q33" s="2202">
        <f>F33*1.027*1.046</f>
        <v>0</v>
      </c>
      <c r="R33" s="2202"/>
      <c r="S33" s="2202"/>
      <c r="T33" s="2202"/>
      <c r="U33" s="2202"/>
      <c r="V33" s="2202"/>
      <c r="W33" s="2202"/>
      <c r="X33" s="2202">
        <f>M33*1.027*1.046</f>
        <v>-9.8192573536356544</v>
      </c>
      <c r="Y33" s="2202"/>
      <c r="Z33" s="2202"/>
      <c r="AA33" s="2202"/>
      <c r="AB33" s="2202"/>
      <c r="AC33" s="2202"/>
      <c r="AD33" s="2202"/>
      <c r="AE33" s="2202">
        <v>9.7100000000000009</v>
      </c>
      <c r="AF33" s="3451"/>
      <c r="AG33" s="2202">
        <f>-9.098*1.047*1.03</f>
        <v>-9.8113741799999996</v>
      </c>
      <c r="AH33" s="3451"/>
      <c r="AI33" s="2202">
        <v>0</v>
      </c>
      <c r="AJ33" s="2202">
        <v>0</v>
      </c>
      <c r="AK33" s="2202">
        <v>0</v>
      </c>
      <c r="AL33" s="3772">
        <v>0</v>
      </c>
      <c r="AM33" s="3451"/>
      <c r="AN33" s="3772">
        <v>30.25</v>
      </c>
      <c r="AO33" s="3451">
        <f t="shared" si="14"/>
        <v>-308.31562883070063</v>
      </c>
      <c r="AP33" s="3772">
        <v>0</v>
      </c>
      <c r="AQ33" s="3772">
        <v>0</v>
      </c>
      <c r="AR33" s="3772">
        <v>0</v>
      </c>
      <c r="AS33" s="4033">
        <v>0</v>
      </c>
      <c r="AT33" s="3451"/>
      <c r="AU33" s="4033">
        <f>SUM(стоки!DQ122)</f>
        <v>15.57</v>
      </c>
      <c r="AV33" s="3451">
        <f t="shared" ref="AV33" si="66">AU33/AN33*100</f>
        <v>51.471074380165291</v>
      </c>
      <c r="AW33" s="3814">
        <v>0</v>
      </c>
      <c r="AX33" s="3814">
        <v>0</v>
      </c>
      <c r="AY33" s="4569">
        <v>0</v>
      </c>
      <c r="AZ33" s="2456">
        <v>0</v>
      </c>
      <c r="BA33" s="3512"/>
      <c r="BB33" s="2456">
        <f>SUM(стоки!EL122)</f>
        <v>23.8762204899562</v>
      </c>
      <c r="BC33" s="3512"/>
      <c r="BD33" s="4873">
        <v>0</v>
      </c>
      <c r="BE33" s="4873">
        <v>0</v>
      </c>
    </row>
    <row r="34" spans="1:57" s="1925" customFormat="1" ht="66" customHeight="1" x14ac:dyDescent="0.2">
      <c r="A34" s="3411" t="s">
        <v>936</v>
      </c>
      <c r="B34" s="3409" t="s">
        <v>1700</v>
      </c>
      <c r="C34" s="3411" t="s">
        <v>899</v>
      </c>
      <c r="D34" s="3411"/>
      <c r="E34" s="3411"/>
      <c r="F34" s="2202"/>
      <c r="G34" s="2202"/>
      <c r="H34" s="2202"/>
      <c r="I34" s="2202"/>
      <c r="J34" s="2202"/>
      <c r="K34" s="2202"/>
      <c r="L34" s="2202"/>
      <c r="M34" s="2202"/>
      <c r="N34" s="2202"/>
      <c r="O34" s="2202"/>
      <c r="P34" s="2202">
        <v>0</v>
      </c>
      <c r="Q34" s="2202"/>
      <c r="R34" s="2202"/>
      <c r="S34" s="2202"/>
      <c r="T34" s="2202"/>
      <c r="U34" s="2202"/>
      <c r="V34" s="2202"/>
      <c r="W34" s="2202"/>
      <c r="X34" s="2202"/>
      <c r="Y34" s="2202"/>
      <c r="Z34" s="2202"/>
      <c r="AA34" s="2202"/>
      <c r="AB34" s="2202"/>
      <c r="AC34" s="2202"/>
      <c r="AD34" s="2202"/>
      <c r="AE34" s="2202"/>
      <c r="AF34" s="3451"/>
      <c r="AG34" s="2202"/>
      <c r="AH34" s="3451"/>
      <c r="AI34" s="2202"/>
      <c r="AJ34" s="2202"/>
      <c r="AK34" s="2202"/>
      <c r="AL34" s="3772"/>
      <c r="AM34" s="3451"/>
      <c r="AN34" s="3772"/>
      <c r="AO34" s="3451"/>
      <c r="AP34" s="3772"/>
      <c r="AQ34" s="3772"/>
      <c r="AR34" s="3772"/>
      <c r="AS34" s="4033"/>
      <c r="AT34" s="3451"/>
      <c r="AU34" s="4033"/>
      <c r="AV34" s="3451"/>
      <c r="AW34" s="3814"/>
      <c r="AX34" s="3814"/>
      <c r="AY34" s="4569"/>
      <c r="AZ34" s="2456"/>
      <c r="BA34" s="3512"/>
      <c r="BB34" s="2456"/>
      <c r="BC34" s="3512"/>
      <c r="BD34" s="4873"/>
      <c r="BE34" s="4873"/>
    </row>
    <row r="35" spans="1:57" s="1926" customFormat="1" ht="75.75" customHeight="1" x14ac:dyDescent="0.25">
      <c r="A35" s="3411" t="s">
        <v>942</v>
      </c>
      <c r="B35" s="3549" t="s">
        <v>1701</v>
      </c>
      <c r="C35" s="3411" t="s">
        <v>899</v>
      </c>
      <c r="D35" s="3411"/>
      <c r="E35" s="3411"/>
      <c r="F35" s="3252"/>
      <c r="G35" s="3252"/>
      <c r="H35" s="3252"/>
      <c r="I35" s="3252"/>
      <c r="J35" s="3252"/>
      <c r="K35" s="3252"/>
      <c r="L35" s="3252"/>
      <c r="M35" s="3252"/>
      <c r="N35" s="3252"/>
      <c r="O35" s="3252"/>
      <c r="P35" s="2202">
        <v>0</v>
      </c>
      <c r="Q35" s="2202"/>
      <c r="R35" s="2202"/>
      <c r="S35" s="2202"/>
      <c r="T35" s="2202"/>
      <c r="U35" s="2202"/>
      <c r="V35" s="2202"/>
      <c r="W35" s="2202"/>
      <c r="X35" s="2202"/>
      <c r="Y35" s="2202"/>
      <c r="Z35" s="2202"/>
      <c r="AA35" s="2202"/>
      <c r="AB35" s="2202"/>
      <c r="AC35" s="2202"/>
      <c r="AD35" s="2202"/>
      <c r="AE35" s="2202"/>
      <c r="AF35" s="3451"/>
      <c r="AG35" s="2202"/>
      <c r="AH35" s="3451"/>
      <c r="AI35" s="2202"/>
      <c r="AJ35" s="2202"/>
      <c r="AK35" s="2202"/>
      <c r="AL35" s="3772"/>
      <c r="AM35" s="3451"/>
      <c r="AN35" s="3772"/>
      <c r="AO35" s="3451"/>
      <c r="AP35" s="3772"/>
      <c r="AQ35" s="3772"/>
      <c r="AR35" s="3772"/>
      <c r="AS35" s="4033"/>
      <c r="AT35" s="3451"/>
      <c r="AU35" s="4033"/>
      <c r="AV35" s="3451"/>
      <c r="AW35" s="3814"/>
      <c r="AX35" s="3814"/>
      <c r="AY35" s="4569"/>
      <c r="AZ35" s="2456"/>
      <c r="BA35" s="3512"/>
      <c r="BB35" s="2456"/>
      <c r="BC35" s="3512"/>
      <c r="BD35" s="4873"/>
      <c r="BE35" s="4873"/>
    </row>
    <row r="36" spans="1:57" s="2738" customFormat="1" ht="22.5" customHeight="1" x14ac:dyDescent="0.25">
      <c r="A36" s="3411"/>
      <c r="B36" s="3550" t="s">
        <v>1818</v>
      </c>
      <c r="C36" s="3411" t="s">
        <v>899</v>
      </c>
      <c r="D36" s="3411"/>
      <c r="E36" s="3411"/>
      <c r="F36" s="3252"/>
      <c r="G36" s="3252"/>
      <c r="H36" s="3252"/>
      <c r="I36" s="3252"/>
      <c r="J36" s="3252"/>
      <c r="K36" s="3252"/>
      <c r="L36" s="3252"/>
      <c r="M36" s="3252"/>
      <c r="N36" s="3252"/>
      <c r="O36" s="3252"/>
      <c r="P36" s="2202">
        <f>P11</f>
        <v>269.60817185247777</v>
      </c>
      <c r="Q36" s="2202">
        <f>Q11+Q33+Q34+Q35</f>
        <v>300.37200000000001</v>
      </c>
      <c r="R36" s="2202">
        <f t="shared" ref="R36:V36" si="67">R11</f>
        <v>452.32</v>
      </c>
      <c r="S36" s="2202">
        <f t="shared" si="67"/>
        <v>467.46000000000004</v>
      </c>
      <c r="T36" s="2202">
        <f t="shared" si="67"/>
        <v>483.04</v>
      </c>
      <c r="U36" s="2202">
        <f t="shared" si="67"/>
        <v>499.20000000000005</v>
      </c>
      <c r="V36" s="2202">
        <f t="shared" si="67"/>
        <v>516.01</v>
      </c>
      <c r="W36" s="2202"/>
      <c r="X36" s="2202">
        <f>X11+X33+X34+X35</f>
        <v>254.39911477344484</v>
      </c>
      <c r="Y36" s="3483">
        <f>X36/P36*100</f>
        <v>94.358829343142119</v>
      </c>
      <c r="Z36" s="2202">
        <f t="shared" ref="Z36:AD36" si="68">Z11+Z33+Z34+Z35</f>
        <v>273.56425823661624</v>
      </c>
      <c r="AA36" s="2202">
        <f t="shared" si="68"/>
        <v>279.90425339618997</v>
      </c>
      <c r="AB36" s="2202">
        <f t="shared" si="68"/>
        <v>287.78015088681792</v>
      </c>
      <c r="AC36" s="2202">
        <f t="shared" si="68"/>
        <v>295.87976165733249</v>
      </c>
      <c r="AD36" s="2202">
        <f t="shared" si="68"/>
        <v>304.25567466548455</v>
      </c>
      <c r="AE36" s="2202">
        <f>AE11+AE33+AE34+AE35</f>
        <v>370.20327195531792</v>
      </c>
      <c r="AF36" s="3451">
        <f t="shared" si="9"/>
        <v>145.52066043350916</v>
      </c>
      <c r="AG36" s="2202">
        <f>AG11+AG33+AG34+AG35</f>
        <v>258.13757436402022</v>
      </c>
      <c r="AH36" s="3451">
        <f t="shared" ref="AH36:AH39" si="69">AG36/X36*100</f>
        <v>101.46952539276903</v>
      </c>
      <c r="AI36" s="2202">
        <f>AI11+AI33+AI34+AI35</f>
        <v>98.409330000000026</v>
      </c>
      <c r="AJ36" s="2202">
        <f>AJ11+AJ33+AJ34+AJ35</f>
        <v>135.33795000000003</v>
      </c>
      <c r="AK36" s="2202">
        <f>AK11+AK33+AK34+AK35</f>
        <v>181.10504999999998</v>
      </c>
      <c r="AL36" s="3772">
        <f>AL11+AL33+AL34+AL35</f>
        <v>290.92176418141594</v>
      </c>
      <c r="AM36" s="3451">
        <f>AL36/AG36*100</f>
        <v>112.70027809712202</v>
      </c>
      <c r="AN36" s="3772">
        <f>AN11+AN33+AN34+AN35</f>
        <v>305.69457208196002</v>
      </c>
      <c r="AO36" s="3451">
        <f t="shared" si="14"/>
        <v>118.42312101797157</v>
      </c>
      <c r="AP36" s="3772">
        <f>AP11+AP33+AP34+AP35</f>
        <v>93.235279999999989</v>
      </c>
      <c r="AQ36" s="3772">
        <f>AQ11+AQ33+AQ34+AQ35</f>
        <v>138.99222</v>
      </c>
      <c r="AR36" s="3772">
        <f>AR11+AR33+AR34+AR35</f>
        <v>189.77726999999999</v>
      </c>
      <c r="AS36" s="4033">
        <f>AS11+AS33+AS34+AS35</f>
        <v>298.87032359320347</v>
      </c>
      <c r="AT36" s="3451">
        <f>AS36/AN36*100</f>
        <v>97.767625233814456</v>
      </c>
      <c r="AU36" s="4033">
        <f>AU11+AU33+AU34+AU35</f>
        <v>296.03115391825543</v>
      </c>
      <c r="AV36" s="3451">
        <f t="shared" ref="AV36:AV39" si="70">AU36/AN36*100</f>
        <v>96.838864982818947</v>
      </c>
      <c r="AW36" s="3814">
        <f>AW11+AW33+AW34+AW35</f>
        <v>88.0227</v>
      </c>
      <c r="AX36" s="3814">
        <f>AX11+AX33+AX34+AX35</f>
        <v>131.99005</v>
      </c>
      <c r="AY36" s="4569">
        <f>AY11+AY33+AY34+AY35</f>
        <v>187.64939000000001</v>
      </c>
      <c r="AZ36" s="2456">
        <f>AZ11+AZ33+AZ34+AZ35</f>
        <v>307.52153199058318</v>
      </c>
      <c r="BA36" s="3512">
        <f>AZ36/AU36*100</f>
        <v>103.8814759596217</v>
      </c>
      <c r="BB36" s="2456">
        <f>BB11+BB33+BB34+BB35</f>
        <v>346.77428673234226</v>
      </c>
      <c r="BC36" s="3512">
        <f>SUM(BB36/AU36)*100</f>
        <v>117.14114617412828</v>
      </c>
      <c r="BD36" s="4873">
        <f>BD11+BD33+BD34+BD35</f>
        <v>108.33201000000001</v>
      </c>
      <c r="BE36" s="4873">
        <f>BE11+BE33+BE34+BE35</f>
        <v>242.39696000000001</v>
      </c>
    </row>
    <row r="37" spans="1:57" s="2731" customFormat="1" x14ac:dyDescent="0.25">
      <c r="A37" s="3449" t="s">
        <v>2039</v>
      </c>
      <c r="B37" s="3450" t="s">
        <v>933</v>
      </c>
      <c r="C37" s="3449" t="s">
        <v>934</v>
      </c>
      <c r="D37" s="3491">
        <v>28</v>
      </c>
      <c r="E37" s="3449">
        <v>23.38</v>
      </c>
      <c r="F37" s="3451">
        <f>'объемы ВС и ВО 2023'!AB63</f>
        <v>18.93</v>
      </c>
      <c r="G37" s="3451">
        <f>'объемы ВС и ВО 2023'!X63</f>
        <v>20.65</v>
      </c>
      <c r="H37" s="3451">
        <f>'объемы ВС и ВО 2023'!Z63</f>
        <v>20.65</v>
      </c>
      <c r="I37" s="3451">
        <f>F37</f>
        <v>18.93</v>
      </c>
      <c r="J37" s="3451">
        <v>23</v>
      </c>
      <c r="K37" s="3451">
        <f>'объемы ВС и ВО 2023'!AK62</f>
        <v>23</v>
      </c>
      <c r="L37" s="3451">
        <f>'объемы ВС и ВО 2023'!AO70</f>
        <v>19.22</v>
      </c>
      <c r="M37" s="3451">
        <f>'объемы ВС и ВО 2023'!AQ62</f>
        <v>19.22</v>
      </c>
      <c r="N37" s="3451">
        <f>I37</f>
        <v>18.93</v>
      </c>
      <c r="O37" s="3451">
        <f>'объемы ВС и ВО 2023'!AM63</f>
        <v>23</v>
      </c>
      <c r="P37" s="3451">
        <f>'объемы ВС и ВО 2023'!AS63</f>
        <v>18.93</v>
      </c>
      <c r="Q37" s="3451">
        <f>SUM('объемы ВС и ВО 2023'!AW63)</f>
        <v>18.25</v>
      </c>
      <c r="R37" s="3451">
        <f>'объемы ВС и ВО 2023'!AY63</f>
        <v>18.93</v>
      </c>
      <c r="S37" s="3451">
        <f>R37</f>
        <v>18.93</v>
      </c>
      <c r="T37" s="3451">
        <f t="shared" ref="T37:W37" si="71">S37</f>
        <v>18.93</v>
      </c>
      <c r="U37" s="3451">
        <f t="shared" si="71"/>
        <v>18.93</v>
      </c>
      <c r="V37" s="3451">
        <f t="shared" si="71"/>
        <v>18.93</v>
      </c>
      <c r="W37" s="3451">
        <f t="shared" si="71"/>
        <v>18.93</v>
      </c>
      <c r="X37" s="3451">
        <f>'объемы ВС и ВО 2023'!BA63</f>
        <v>17.666666666666668</v>
      </c>
      <c r="Y37" s="3451">
        <f>X37/P37*100</f>
        <v>93.32628983976052</v>
      </c>
      <c r="Z37" s="3451">
        <f>X37</f>
        <v>17.666666666666668</v>
      </c>
      <c r="AA37" s="3451">
        <f t="shared" ref="AA37:AD37" si="72">Z37</f>
        <v>17.666666666666668</v>
      </c>
      <c r="AB37" s="3451">
        <f t="shared" si="72"/>
        <v>17.666666666666668</v>
      </c>
      <c r="AC37" s="3451">
        <f t="shared" si="72"/>
        <v>17.666666666666668</v>
      </c>
      <c r="AD37" s="3451">
        <f t="shared" si="72"/>
        <v>17.666666666666668</v>
      </c>
      <c r="AE37" s="3451">
        <f>SUM('объемы ВС и ВО 2023'!BC63)</f>
        <v>17.666666666666668</v>
      </c>
      <c r="AF37" s="3451">
        <f t="shared" si="9"/>
        <v>100</v>
      </c>
      <c r="AG37" s="3451">
        <f>SUM('объемы ВС и ВО 2023'!BE63)</f>
        <v>17.666666666666668</v>
      </c>
      <c r="AH37" s="3451">
        <f t="shared" si="69"/>
        <v>100</v>
      </c>
      <c r="AI37" s="3451">
        <f>SUM('объемы ВС и ВО 2023'!BG63)</f>
        <v>8.7319999999999993</v>
      </c>
      <c r="AJ37" s="3451">
        <f>SUM('объемы ВС и ВО 2023'!BI63)</f>
        <v>13.331</v>
      </c>
      <c r="AK37" s="3451">
        <f>SUM('объемы ВС и ВО 2023'!BK63)</f>
        <v>14.835000000000001</v>
      </c>
      <c r="AL37" s="3451">
        <f>SUM('объемы ВС и ВО 2023'!BM63)</f>
        <v>17.666666666666668</v>
      </c>
      <c r="AM37" s="3451">
        <f>AL37/AG37*100</f>
        <v>100</v>
      </c>
      <c r="AN37" s="3451">
        <f>SUM('объемы ВС и ВО 2023'!BO63)</f>
        <v>17.667000000000002</v>
      </c>
      <c r="AO37" s="3451">
        <f t="shared" si="14"/>
        <v>100.00188679245284</v>
      </c>
      <c r="AP37" s="3451">
        <f>SUM('объемы ВС и ВО 2023'!BR63)</f>
        <v>7.7590000000000003</v>
      </c>
      <c r="AQ37" s="3451">
        <f>SUM('объемы ВС и ВО 2023'!BT63)</f>
        <v>11.851000000000001</v>
      </c>
      <c r="AR37" s="3451">
        <f>SUM('объемы ВС и ВО 2023'!BV63)</f>
        <v>16.291</v>
      </c>
      <c r="AS37" s="3451">
        <f>SUM('объемы ВС и ВО 2023'!BX63)</f>
        <v>17.667000000000002</v>
      </c>
      <c r="AT37" s="3451">
        <f>AS37/AN37*100</f>
        <v>100</v>
      </c>
      <c r="AU37" s="3451">
        <f>SUM('объемы ВС и ВО 2023'!BZ63)</f>
        <v>14.811730000000001</v>
      </c>
      <c r="AV37" s="3451">
        <f t="shared" si="70"/>
        <v>83.838399275485358</v>
      </c>
      <c r="AW37" s="3811">
        <f>SUM('объемы ВС и ВО 2023'!CB63)</f>
        <v>7.4320000000000004</v>
      </c>
      <c r="AX37" s="3811">
        <f>SUM('объемы ВС и ВО 2023'!CD63)</f>
        <v>11.609</v>
      </c>
      <c r="AY37" s="3451">
        <f>SUM('объемы ВС и ВО 2023'!CF63)</f>
        <v>16.218</v>
      </c>
      <c r="AZ37" s="3512">
        <f>SUM('объемы ВС и ВО 2023'!CH63)</f>
        <v>14.811730000000001</v>
      </c>
      <c r="BA37" s="3512">
        <f>AZ37/AU37*100</f>
        <v>100</v>
      </c>
      <c r="BB37" s="3512">
        <f>SUM('объемы ВС и ВО 2023'!CJ63)</f>
        <v>15.2232713447161</v>
      </c>
      <c r="BC37" s="3512">
        <f t="shared" ref="BC37:BC39" si="73">BB37/AU37*100</f>
        <v>102.77848262637855</v>
      </c>
      <c r="BD37" s="4869">
        <f>SUM('объемы ВС и ВО 2023'!CL63)</f>
        <v>6.8920000000000003</v>
      </c>
      <c r="BE37" s="4869">
        <f>SUM('объемы ВС и ВО 2023'!CN63)</f>
        <v>14.826499999999999</v>
      </c>
    </row>
    <row r="38" spans="1:57" s="2731" customFormat="1" ht="18.75" customHeight="1" x14ac:dyDescent="0.25">
      <c r="A38" s="3449" t="s">
        <v>2042</v>
      </c>
      <c r="B38" s="3490" t="s">
        <v>935</v>
      </c>
      <c r="C38" s="3449" t="s">
        <v>934</v>
      </c>
      <c r="D38" s="3449">
        <v>0</v>
      </c>
      <c r="E38" s="3449">
        <v>0</v>
      </c>
      <c r="F38" s="3451">
        <f>F37</f>
        <v>18.93</v>
      </c>
      <c r="G38" s="3451">
        <f t="shared" ref="G38:H38" si="74">G37</f>
        <v>20.65</v>
      </c>
      <c r="H38" s="3451">
        <f t="shared" si="74"/>
        <v>20.65</v>
      </c>
      <c r="I38" s="3451">
        <f>F38</f>
        <v>18.93</v>
      </c>
      <c r="J38" s="3451">
        <v>0</v>
      </c>
      <c r="K38" s="3451">
        <f>K37</f>
        <v>23</v>
      </c>
      <c r="L38" s="3451">
        <f>L37</f>
        <v>19.22</v>
      </c>
      <c r="M38" s="3451">
        <f>M37</f>
        <v>19.22</v>
      </c>
      <c r="N38" s="3451">
        <f>I38</f>
        <v>18.93</v>
      </c>
      <c r="O38" s="3451">
        <f>O37</f>
        <v>23</v>
      </c>
      <c r="P38" s="3451">
        <f>P37</f>
        <v>18.93</v>
      </c>
      <c r="Q38" s="3451">
        <f t="shared" ref="Q38" si="75">Q37</f>
        <v>18.25</v>
      </c>
      <c r="R38" s="3451">
        <f>R37</f>
        <v>18.93</v>
      </c>
      <c r="S38" s="3451">
        <f t="shared" ref="S38:AD38" si="76">S37</f>
        <v>18.93</v>
      </c>
      <c r="T38" s="3451">
        <f t="shared" si="76"/>
        <v>18.93</v>
      </c>
      <c r="U38" s="3451">
        <f t="shared" si="76"/>
        <v>18.93</v>
      </c>
      <c r="V38" s="3451">
        <f t="shared" si="76"/>
        <v>18.93</v>
      </c>
      <c r="W38" s="3451">
        <f t="shared" si="76"/>
        <v>18.93</v>
      </c>
      <c r="X38" s="3451">
        <f t="shared" si="76"/>
        <v>17.666666666666668</v>
      </c>
      <c r="Y38" s="3451">
        <f>X38/P38*100</f>
        <v>93.32628983976052</v>
      </c>
      <c r="Z38" s="3451">
        <f t="shared" si="76"/>
        <v>17.666666666666668</v>
      </c>
      <c r="AA38" s="3451">
        <f t="shared" si="76"/>
        <v>17.666666666666668</v>
      </c>
      <c r="AB38" s="3451">
        <f t="shared" si="76"/>
        <v>17.666666666666668</v>
      </c>
      <c r="AC38" s="3451">
        <f t="shared" si="76"/>
        <v>17.666666666666668</v>
      </c>
      <c r="AD38" s="3451">
        <f t="shared" si="76"/>
        <v>17.666666666666668</v>
      </c>
      <c r="AE38" s="3451">
        <f t="shared" ref="AE38:AG38" si="77">AE37</f>
        <v>17.666666666666668</v>
      </c>
      <c r="AF38" s="3451">
        <f t="shared" si="9"/>
        <v>100</v>
      </c>
      <c r="AG38" s="3451">
        <f t="shared" si="77"/>
        <v>17.666666666666668</v>
      </c>
      <c r="AH38" s="3451">
        <f t="shared" si="69"/>
        <v>100</v>
      </c>
      <c r="AI38" s="3451">
        <f t="shared" ref="AI38:AJ38" si="78">AI37</f>
        <v>8.7319999999999993</v>
      </c>
      <c r="AJ38" s="3451">
        <f t="shared" si="78"/>
        <v>13.331</v>
      </c>
      <c r="AK38" s="3451">
        <f t="shared" ref="AK38" si="79">AK37</f>
        <v>14.835000000000001</v>
      </c>
      <c r="AL38" s="3451">
        <f t="shared" ref="AL38:AN38" si="80">AL37</f>
        <v>17.666666666666668</v>
      </c>
      <c r="AM38" s="3451">
        <f>AL38/AG38*100</f>
        <v>100</v>
      </c>
      <c r="AN38" s="3451">
        <f t="shared" si="80"/>
        <v>17.667000000000002</v>
      </c>
      <c r="AO38" s="3451">
        <f t="shared" si="14"/>
        <v>100.00188679245284</v>
      </c>
      <c r="AP38" s="3451">
        <f t="shared" ref="AP38:AS38" si="81">AP37</f>
        <v>7.7590000000000003</v>
      </c>
      <c r="AQ38" s="3451">
        <f t="shared" si="81"/>
        <v>11.851000000000001</v>
      </c>
      <c r="AR38" s="3451">
        <f t="shared" si="81"/>
        <v>16.291</v>
      </c>
      <c r="AS38" s="3451">
        <f t="shared" si="81"/>
        <v>17.667000000000002</v>
      </c>
      <c r="AT38" s="3451">
        <f>AS38/AN38*100</f>
        <v>100</v>
      </c>
      <c r="AU38" s="3451">
        <f t="shared" ref="AU38" si="82">AU37</f>
        <v>14.811730000000001</v>
      </c>
      <c r="AV38" s="3451">
        <f t="shared" si="70"/>
        <v>83.838399275485358</v>
      </c>
      <c r="AW38" s="3811">
        <f t="shared" ref="AW38:AZ38" si="83">AW37</f>
        <v>7.4320000000000004</v>
      </c>
      <c r="AX38" s="3811">
        <f t="shared" si="83"/>
        <v>11.609</v>
      </c>
      <c r="AY38" s="3451">
        <f t="shared" si="83"/>
        <v>16.218</v>
      </c>
      <c r="AZ38" s="3512">
        <f t="shared" si="83"/>
        <v>14.811730000000001</v>
      </c>
      <c r="BA38" s="3512">
        <f>AZ38/AU38*100</f>
        <v>100</v>
      </c>
      <c r="BB38" s="3512">
        <f t="shared" ref="BB38" si="84">BB37</f>
        <v>15.2232713447161</v>
      </c>
      <c r="BC38" s="3512">
        <f t="shared" si="73"/>
        <v>102.77848262637855</v>
      </c>
      <c r="BD38" s="4869">
        <f t="shared" ref="BD38:BE38" si="85">BD37</f>
        <v>6.8920000000000003</v>
      </c>
      <c r="BE38" s="4869">
        <f t="shared" si="85"/>
        <v>14.826499999999999</v>
      </c>
    </row>
    <row r="39" spans="1:57" s="2044" customFormat="1" ht="23.25" customHeight="1" x14ac:dyDescent="0.2">
      <c r="A39" s="3449" t="s">
        <v>942</v>
      </c>
      <c r="B39" s="3450" t="s">
        <v>937</v>
      </c>
      <c r="C39" s="3449" t="s">
        <v>938</v>
      </c>
      <c r="D39" s="3493">
        <f>D11/D37</f>
        <v>12.756785714285714</v>
      </c>
      <c r="E39" s="3493">
        <f>E11/E37</f>
        <v>14.162104362703166</v>
      </c>
      <c r="F39" s="3493">
        <f>F11/F37</f>
        <v>14.036986160323796</v>
      </c>
      <c r="G39" s="3493">
        <f t="shared" ref="G39:H39" si="86">G11/G37</f>
        <v>16.804358353510896</v>
      </c>
      <c r="H39" s="3493">
        <f t="shared" si="86"/>
        <v>13.042108949620586</v>
      </c>
      <c r="I39" s="3493">
        <f>I11/I37</f>
        <v>14.885409307401227</v>
      </c>
      <c r="J39" s="3493">
        <f>J11/J37</f>
        <v>15.446956521739132</v>
      </c>
      <c r="K39" s="3493">
        <f>K11/K37</f>
        <v>14.575854091355213</v>
      </c>
      <c r="L39" s="3493">
        <f t="shared" ref="L39:M39" si="87">L11/L37</f>
        <v>16.078043704474503</v>
      </c>
      <c r="M39" s="3493">
        <f t="shared" si="87"/>
        <v>14.27294705515982</v>
      </c>
      <c r="N39" s="3493">
        <f>N11/N37</f>
        <v>15.594181052450303</v>
      </c>
      <c r="O39" s="3493">
        <f t="shared" ref="O39:W39" si="88">O11/O37</f>
        <v>13.988695652173913</v>
      </c>
      <c r="P39" s="3493">
        <f>P11/P37</f>
        <v>14.242375692154134</v>
      </c>
      <c r="Q39" s="3493">
        <f>Q36/Q37</f>
        <v>16.4587397260274</v>
      </c>
      <c r="R39" s="3493">
        <f t="shared" si="88"/>
        <v>23.894347596407819</v>
      </c>
      <c r="S39" s="3493">
        <f t="shared" si="88"/>
        <v>24.694136291600636</v>
      </c>
      <c r="T39" s="3493">
        <f t="shared" si="88"/>
        <v>25.51716851558373</v>
      </c>
      <c r="U39" s="3493">
        <f t="shared" si="88"/>
        <v>26.370839936608562</v>
      </c>
      <c r="V39" s="3493">
        <f t="shared" si="88"/>
        <v>27.258848388800846</v>
      </c>
      <c r="W39" s="3493">
        <f t="shared" si="88"/>
        <v>0</v>
      </c>
      <c r="X39" s="3493">
        <f>X36/X37</f>
        <v>14.399949892836499</v>
      </c>
      <c r="Y39" s="3493">
        <f>X39/P39*100</f>
        <v>101.1063758188121</v>
      </c>
      <c r="Z39" s="3493">
        <f t="shared" ref="Z39:AD39" si="89">Z36/Z37</f>
        <v>15.484769334148089</v>
      </c>
      <c r="AA39" s="3493">
        <f t="shared" si="89"/>
        <v>15.843636984689997</v>
      </c>
      <c r="AB39" s="3493">
        <f t="shared" si="89"/>
        <v>16.289442503027427</v>
      </c>
      <c r="AC39" s="3493">
        <f t="shared" si="89"/>
        <v>16.747911037207498</v>
      </c>
      <c r="AD39" s="3493">
        <f t="shared" si="89"/>
        <v>17.222019320687803</v>
      </c>
      <c r="AE39" s="3493">
        <f>AE36/AE37</f>
        <v>20.954902186150068</v>
      </c>
      <c r="AF39" s="3451">
        <f t="shared" si="9"/>
        <v>145.52066043350916</v>
      </c>
      <c r="AG39" s="3493">
        <f>AG36/AG37</f>
        <v>14.611560813057748</v>
      </c>
      <c r="AH39" s="3451">
        <f t="shared" si="69"/>
        <v>101.46952539276903</v>
      </c>
      <c r="AI39" s="3493">
        <f>AI36/AI37</f>
        <v>11.269964498396705</v>
      </c>
      <c r="AJ39" s="3493">
        <f>AJ36/AJ37</f>
        <v>10.152122871502517</v>
      </c>
      <c r="AK39" s="3493">
        <f>AK36/AK37</f>
        <v>12.207957532861474</v>
      </c>
      <c r="AL39" s="3771">
        <f>AL36/AL37</f>
        <v>16.467269670646186</v>
      </c>
      <c r="AM39" s="3451">
        <f>AL39/AG39*100</f>
        <v>112.70027809712202</v>
      </c>
      <c r="AN39" s="3771">
        <f>AN36/AN37</f>
        <v>17.303139869924717</v>
      </c>
      <c r="AO39" s="3451">
        <f t="shared" si="14"/>
        <v>118.42088666161945</v>
      </c>
      <c r="AP39" s="3771">
        <f>AP36/AP37</f>
        <v>12.016404175795849</v>
      </c>
      <c r="AQ39" s="3771">
        <f>AQ36/AQ37</f>
        <v>11.728311534891569</v>
      </c>
      <c r="AR39" s="3771">
        <f>AR36/AR37</f>
        <v>11.649209379411944</v>
      </c>
      <c r="AS39" s="4032">
        <f>AS36/AS37</f>
        <v>16.916868941710728</v>
      </c>
      <c r="AT39" s="3451">
        <f>AS39/AN39*100</f>
        <v>97.767625233814456</v>
      </c>
      <c r="AU39" s="4032">
        <f>AU36/AU37</f>
        <v>19.986264529413877</v>
      </c>
      <c r="AV39" s="3451">
        <f t="shared" si="70"/>
        <v>115.50657672341195</v>
      </c>
      <c r="AW39" s="3816">
        <f>AW36/AW37</f>
        <v>11.843743272335844</v>
      </c>
      <c r="AX39" s="3816">
        <f>AX36/AX37</f>
        <v>11.369631320527176</v>
      </c>
      <c r="AY39" s="4567">
        <f>AY36/AY37</f>
        <v>11.570439634973487</v>
      </c>
      <c r="AZ39" s="4031">
        <f>AZ36/AZ37</f>
        <v>20.762026582349474</v>
      </c>
      <c r="BA39" s="3512">
        <f>AZ39/AU39*100</f>
        <v>103.8814759596217</v>
      </c>
      <c r="BB39" s="4154">
        <f>BB36/BB37</f>
        <v>22.779222604654247</v>
      </c>
      <c r="BC39" s="3512">
        <f t="shared" si="73"/>
        <v>113.97438761570457</v>
      </c>
      <c r="BD39" s="4876">
        <f>BD36/BD37</f>
        <v>15.718515670342427</v>
      </c>
      <c r="BE39" s="4876">
        <f>BE36/BE37</f>
        <v>16.348899605436213</v>
      </c>
    </row>
    <row r="40" spans="1:57" s="1234" customFormat="1" x14ac:dyDescent="0.25">
      <c r="A40" s="3449"/>
      <c r="B40" s="3495" t="s">
        <v>939</v>
      </c>
      <c r="C40" s="3449" t="s">
        <v>938</v>
      </c>
      <c r="D40" s="3453">
        <v>12.04</v>
      </c>
      <c r="E40" s="3449"/>
      <c r="F40" s="3451">
        <v>13.79</v>
      </c>
      <c r="G40" s="3451">
        <v>13.79</v>
      </c>
      <c r="H40" s="3451">
        <v>13.79</v>
      </c>
      <c r="I40" s="3451">
        <f>F41</f>
        <v>14.283972320647592</v>
      </c>
      <c r="J40" s="3451">
        <f>F41</f>
        <v>14.283972320647592</v>
      </c>
      <c r="K40" s="3451">
        <f>F41</f>
        <v>14.283972320647592</v>
      </c>
      <c r="L40" s="3451"/>
      <c r="M40" s="3451"/>
      <c r="N40" s="3451">
        <f>I41</f>
        <v>15.486846294154862</v>
      </c>
      <c r="O40" s="3451">
        <f>K41</f>
        <v>14.867735862062833</v>
      </c>
      <c r="P40" s="3451">
        <f>P39</f>
        <v>14.242375692154134</v>
      </c>
      <c r="Q40" s="3451"/>
      <c r="R40" s="3451"/>
      <c r="S40" s="3451"/>
      <c r="T40" s="3451"/>
      <c r="U40" s="3451"/>
      <c r="V40" s="3451"/>
      <c r="W40" s="3451"/>
      <c r="X40" s="3451">
        <f>P41</f>
        <v>14.242375692154134</v>
      </c>
      <c r="Y40" s="3451"/>
      <c r="Z40" s="3451">
        <f>X41</f>
        <v>14.557524093518865</v>
      </c>
      <c r="AA40" s="3451">
        <f>AA39</f>
        <v>15.843636984689997</v>
      </c>
      <c r="AB40" s="3451">
        <f t="shared" ref="AB40:AD40" si="90">AA41</f>
        <v>15.843636984689997</v>
      </c>
      <c r="AC40" s="3451">
        <f t="shared" si="90"/>
        <v>16.735248021364857</v>
      </c>
      <c r="AD40" s="3451">
        <f t="shared" si="90"/>
        <v>16.760574053050139</v>
      </c>
      <c r="AE40" s="3451">
        <f>SUM(X41)</f>
        <v>14.557524093518865</v>
      </c>
      <c r="AF40" s="3451">
        <f>AE40/X41*100</f>
        <v>100</v>
      </c>
      <c r="AG40" s="3451">
        <f>SUM(X41)</f>
        <v>14.557524093518865</v>
      </c>
      <c r="AH40" s="3451"/>
      <c r="AI40" s="3451"/>
      <c r="AJ40" s="3451"/>
      <c r="AK40" s="3451"/>
      <c r="AL40" s="3451">
        <f>SUM(AG41)</f>
        <v>14.665597532596632</v>
      </c>
      <c r="AM40" s="3451">
        <f>AL40/AG41*100</f>
        <v>100</v>
      </c>
      <c r="AN40" s="3451">
        <f>SUM(AG41)</f>
        <v>14.665597532596632</v>
      </c>
      <c r="AO40" s="3451"/>
      <c r="AP40" s="3451"/>
      <c r="AQ40" s="3451"/>
      <c r="AR40" s="3451"/>
      <c r="AS40" s="3451">
        <f>SUM(AN41)</f>
        <v>19.940682207252802</v>
      </c>
      <c r="AT40" s="3451">
        <f>AS40/AN41*100</f>
        <v>100</v>
      </c>
      <c r="AU40" s="3451">
        <f>SUM(AN41)</f>
        <v>19.940682207252802</v>
      </c>
      <c r="AV40" s="3451"/>
      <c r="AW40" s="3811"/>
      <c r="AX40" s="3512"/>
      <c r="AY40" s="3451"/>
      <c r="AZ40" s="3512">
        <f>SUM(AU41)</f>
        <v>20.031846851574951</v>
      </c>
      <c r="BA40" s="3512">
        <f>AZ40/AU41*100</f>
        <v>100</v>
      </c>
      <c r="BB40" s="3512"/>
      <c r="BC40" s="3512"/>
      <c r="BD40" s="4869"/>
      <c r="BE40" s="4869"/>
    </row>
    <row r="41" spans="1:57" s="1234" customFormat="1" x14ac:dyDescent="0.25">
      <c r="A41" s="3449"/>
      <c r="B41" s="3495" t="s">
        <v>940</v>
      </c>
      <c r="C41" s="3449" t="s">
        <v>938</v>
      </c>
      <c r="D41" s="3451">
        <v>13.79</v>
      </c>
      <c r="E41" s="3449"/>
      <c r="F41" s="3451">
        <f>F39*2-F40</f>
        <v>14.283972320647592</v>
      </c>
      <c r="G41" s="3451">
        <f t="shared" ref="G41:H41" si="91">G39*2-G40</f>
        <v>19.818716707021792</v>
      </c>
      <c r="H41" s="3451">
        <f t="shared" si="91"/>
        <v>12.294217899241172</v>
      </c>
      <c r="I41" s="3451">
        <f>I39*2-I40</f>
        <v>15.486846294154862</v>
      </c>
      <c r="J41" s="3451">
        <f>J39*2-J40</f>
        <v>16.609940722830672</v>
      </c>
      <c r="K41" s="3451">
        <f>K39*2-K40</f>
        <v>14.867735862062833</v>
      </c>
      <c r="L41" s="3451"/>
      <c r="M41" s="3451"/>
      <c r="N41" s="3451">
        <f>N39*2-N40</f>
        <v>15.701515810745743</v>
      </c>
      <c r="O41" s="3451">
        <f t="shared" ref="O41:P41" si="92">O39*2-O40</f>
        <v>13.109655442284993</v>
      </c>
      <c r="P41" s="3451">
        <f t="shared" si="92"/>
        <v>14.242375692154134</v>
      </c>
      <c r="Q41" s="3451"/>
      <c r="R41" s="3451"/>
      <c r="S41" s="3451"/>
      <c r="T41" s="3451"/>
      <c r="U41" s="3451"/>
      <c r="V41" s="3451"/>
      <c r="W41" s="3451"/>
      <c r="X41" s="3451">
        <f t="shared" ref="X41:AD41" si="93">X39*2-X40</f>
        <v>14.557524093518865</v>
      </c>
      <c r="Y41" s="3451"/>
      <c r="Z41" s="3451">
        <f t="shared" si="93"/>
        <v>16.412014574777313</v>
      </c>
      <c r="AA41" s="3451">
        <f t="shared" si="93"/>
        <v>15.843636984689997</v>
      </c>
      <c r="AB41" s="3451">
        <f t="shared" si="93"/>
        <v>16.735248021364857</v>
      </c>
      <c r="AC41" s="3451">
        <f t="shared" si="93"/>
        <v>16.760574053050139</v>
      </c>
      <c r="AD41" s="3451">
        <f t="shared" si="93"/>
        <v>17.683464588325467</v>
      </c>
      <c r="AE41" s="3451">
        <f t="shared" ref="AE41:AG41" si="94">AE39*2-AE40</f>
        <v>27.352280278781272</v>
      </c>
      <c r="AF41" s="3451">
        <f t="shared" si="9"/>
        <v>187.8910184387656</v>
      </c>
      <c r="AG41" s="3451">
        <f t="shared" si="94"/>
        <v>14.665597532596632</v>
      </c>
      <c r="AH41" s="3451"/>
      <c r="AI41" s="3451"/>
      <c r="AJ41" s="3451"/>
      <c r="AK41" s="3451"/>
      <c r="AL41" s="3451">
        <f t="shared" ref="AL41:AN41" si="95">AL39*2-AL40</f>
        <v>18.26894180869574</v>
      </c>
      <c r="AM41" s="3451">
        <f>AL41/AG41*100</f>
        <v>124.57004747396144</v>
      </c>
      <c r="AN41" s="3451">
        <f t="shared" si="95"/>
        <v>19.940682207252802</v>
      </c>
      <c r="AO41" s="3451"/>
      <c r="AP41" s="3451"/>
      <c r="AQ41" s="3451"/>
      <c r="AR41" s="3451"/>
      <c r="AS41" s="3451">
        <f t="shared" ref="AS41" si="96">AS39*2-AS40</f>
        <v>13.893055676168654</v>
      </c>
      <c r="AT41" s="3451">
        <f>AS41/AN41*100</f>
        <v>69.671917599265925</v>
      </c>
      <c r="AU41" s="3451">
        <f t="shared" ref="AU41" si="97">AU39*2-AU40</f>
        <v>20.031846851574951</v>
      </c>
      <c r="AV41" s="3451"/>
      <c r="AW41" s="3811"/>
      <c r="AX41" s="3512"/>
      <c r="AY41" s="3451"/>
      <c r="AZ41" s="3512">
        <f t="shared" ref="AZ41" si="98">AZ39*2-AZ40</f>
        <v>21.492206313123997</v>
      </c>
      <c r="BA41" s="3512">
        <f>AZ41/AU41*100</f>
        <v>107.29018882966466</v>
      </c>
      <c r="BB41" s="3512"/>
      <c r="BC41" s="3512"/>
      <c r="BD41" s="4869"/>
      <c r="BE41" s="4869"/>
    </row>
    <row r="42" spans="1:57" s="1234" customFormat="1" x14ac:dyDescent="0.25">
      <c r="A42" s="4157"/>
      <c r="B42" s="3495" t="s">
        <v>4231</v>
      </c>
      <c r="C42" s="4157"/>
      <c r="D42" s="3451"/>
      <c r="E42" s="4157"/>
      <c r="F42" s="3451"/>
      <c r="G42" s="3451"/>
      <c r="H42" s="3451"/>
      <c r="I42" s="3451"/>
      <c r="J42" s="3451"/>
      <c r="K42" s="3451"/>
      <c r="L42" s="3451"/>
      <c r="M42" s="3451"/>
      <c r="N42" s="3451"/>
      <c r="O42" s="3451"/>
      <c r="P42" s="3451"/>
      <c r="Q42" s="3451"/>
      <c r="R42" s="3451"/>
      <c r="S42" s="3451"/>
      <c r="T42" s="3451"/>
      <c r="U42" s="3451"/>
      <c r="V42" s="3451"/>
      <c r="W42" s="3451"/>
      <c r="X42" s="3451"/>
      <c r="Y42" s="3451"/>
      <c r="Z42" s="3451"/>
      <c r="AA42" s="3451"/>
      <c r="AB42" s="3451"/>
      <c r="AC42" s="3451"/>
      <c r="AD42" s="3451"/>
      <c r="AE42" s="3451"/>
      <c r="AF42" s="3451"/>
      <c r="AG42" s="3451"/>
      <c r="AH42" s="3451"/>
      <c r="AI42" s="3451"/>
      <c r="AJ42" s="3451"/>
      <c r="AK42" s="3451"/>
      <c r="AL42" s="3451"/>
      <c r="AM42" s="3451"/>
      <c r="AN42" s="3451"/>
      <c r="AO42" s="3451"/>
      <c r="AP42" s="3451"/>
      <c r="AQ42" s="3451"/>
      <c r="AR42" s="3451"/>
      <c r="AS42" s="3451"/>
      <c r="AT42" s="3451"/>
      <c r="AU42" s="3451"/>
      <c r="AV42" s="3451"/>
      <c r="AW42" s="3811"/>
      <c r="AX42" s="3512"/>
      <c r="AY42" s="3451"/>
      <c r="AZ42" s="3512"/>
      <c r="BA42" s="3512"/>
      <c r="BB42" s="3512">
        <f>SUM(BB39)</f>
        <v>22.779222604654247</v>
      </c>
      <c r="BC42" s="3512"/>
      <c r="BD42" s="4869"/>
      <c r="BE42" s="4869"/>
    </row>
    <row r="43" spans="1:57" s="1234" customFormat="1" x14ac:dyDescent="0.25">
      <c r="A43" s="3449"/>
      <c r="B43" s="3450" t="s">
        <v>941</v>
      </c>
      <c r="C43" s="3449"/>
      <c r="D43" s="3449"/>
      <c r="E43" s="3449"/>
      <c r="F43" s="3451"/>
      <c r="G43" s="3451"/>
      <c r="H43" s="3451"/>
      <c r="I43" s="3451"/>
      <c r="J43" s="3451"/>
      <c r="K43" s="3451"/>
      <c r="L43" s="3451"/>
      <c r="M43" s="3451"/>
      <c r="N43" s="3451"/>
      <c r="O43" s="3451"/>
      <c r="P43" s="3451"/>
      <c r="Q43" s="3451"/>
      <c r="R43" s="3451"/>
      <c r="S43" s="3451"/>
      <c r="T43" s="3451"/>
      <c r="U43" s="3451"/>
      <c r="V43" s="3451"/>
      <c r="W43" s="3451"/>
      <c r="X43" s="3451"/>
      <c r="Y43" s="3451"/>
      <c r="Z43" s="3451"/>
      <c r="AA43" s="3451"/>
      <c r="AB43" s="3451"/>
      <c r="AC43" s="3451"/>
      <c r="AD43" s="3451"/>
      <c r="AE43" s="3451"/>
      <c r="AF43" s="3451"/>
      <c r="AG43" s="3451"/>
      <c r="AH43" s="3451"/>
      <c r="AI43" s="3451"/>
      <c r="AJ43" s="3451"/>
      <c r="AK43" s="3451"/>
      <c r="AL43" s="3451"/>
      <c r="AM43" s="3451"/>
      <c r="AN43" s="3451"/>
      <c r="AO43" s="3451"/>
      <c r="AP43" s="3451"/>
      <c r="AQ43" s="3451"/>
      <c r="AR43" s="3451"/>
      <c r="AS43" s="3451"/>
      <c r="AT43" s="3451"/>
      <c r="AU43" s="3451"/>
      <c r="AV43" s="3451"/>
      <c r="AW43" s="3811"/>
      <c r="AX43" s="3512"/>
      <c r="AY43" s="3451"/>
      <c r="AZ43" s="3512"/>
      <c r="BA43" s="3512"/>
      <c r="BB43" s="3512"/>
      <c r="BC43" s="3512"/>
      <c r="BD43" s="4869"/>
      <c r="BE43" s="4869"/>
    </row>
    <row r="44" spans="1:57" s="1234" customFormat="1" x14ac:dyDescent="0.25">
      <c r="A44" s="3449"/>
      <c r="B44" s="3495" t="s">
        <v>939</v>
      </c>
      <c r="C44" s="3449" t="s">
        <v>44</v>
      </c>
      <c r="D44" s="3449"/>
      <c r="E44" s="3449"/>
      <c r="F44" s="3451"/>
      <c r="G44" s="3451"/>
      <c r="H44" s="3451"/>
      <c r="I44" s="3451">
        <f>I40/F41*100</f>
        <v>100</v>
      </c>
      <c r="J44" s="3451">
        <f>J40/F41*100</f>
        <v>100</v>
      </c>
      <c r="K44" s="3451">
        <f>K40/F41*100</f>
        <v>100</v>
      </c>
      <c r="L44" s="3451"/>
      <c r="M44" s="3451"/>
      <c r="N44" s="3451">
        <f>N40/I41*100</f>
        <v>100</v>
      </c>
      <c r="O44" s="3451"/>
      <c r="P44" s="3451">
        <f>P40/K41*100</f>
        <v>95.793843960435183</v>
      </c>
      <c r="Q44" s="3451"/>
      <c r="R44" s="3451"/>
      <c r="S44" s="3451"/>
      <c r="T44" s="3451"/>
      <c r="U44" s="3451"/>
      <c r="V44" s="3451"/>
      <c r="W44" s="3451"/>
      <c r="X44" s="3451">
        <f>X40/P41*100</f>
        <v>100</v>
      </c>
      <c r="Y44" s="3451"/>
      <c r="Z44" s="3451">
        <f>Z40/X41*100</f>
        <v>100</v>
      </c>
      <c r="AA44" s="3451">
        <f t="shared" ref="AA44:AD44" si="99">AA40/Z41*100</f>
        <v>96.536820099094825</v>
      </c>
      <c r="AB44" s="3451">
        <f t="shared" si="99"/>
        <v>100</v>
      </c>
      <c r="AC44" s="3451">
        <f t="shared" si="99"/>
        <v>100</v>
      </c>
      <c r="AD44" s="3451">
        <f t="shared" si="99"/>
        <v>100</v>
      </c>
      <c r="AE44" s="3451">
        <f>AE40/X41*100</f>
        <v>100</v>
      </c>
      <c r="AF44" s="3451"/>
      <c r="AG44" s="3451">
        <f>AG40/X41*100</f>
        <v>100</v>
      </c>
      <c r="AH44" s="3451"/>
      <c r="AI44" s="3451"/>
      <c r="AJ44" s="3451"/>
      <c r="AK44" s="3451"/>
      <c r="AL44" s="3451">
        <f>AL40/AG41*100</f>
        <v>100</v>
      </c>
      <c r="AM44" s="3451"/>
      <c r="AN44" s="3451">
        <f>AN40/AG41*100</f>
        <v>100</v>
      </c>
      <c r="AO44" s="3451"/>
      <c r="AP44" s="3451"/>
      <c r="AQ44" s="3451"/>
      <c r="AR44" s="3451"/>
      <c r="AS44" s="3451">
        <f>AS40/AN41*100</f>
        <v>100</v>
      </c>
      <c r="AT44" s="3451"/>
      <c r="AU44" s="3451">
        <f>AU40/AN41*100</f>
        <v>100</v>
      </c>
      <c r="AV44" s="3451"/>
      <c r="AW44" s="3811"/>
      <c r="AX44" s="3512"/>
      <c r="AY44" s="3451"/>
      <c r="AZ44" s="3512">
        <f>AZ40/AU41*100</f>
        <v>100</v>
      </c>
      <c r="BA44" s="3512"/>
      <c r="BB44" s="3512"/>
      <c r="BC44" s="3512"/>
      <c r="BD44" s="4869"/>
      <c r="BE44" s="4869"/>
    </row>
    <row r="45" spans="1:57" s="1234" customFormat="1" x14ac:dyDescent="0.25">
      <c r="A45" s="3449"/>
      <c r="B45" s="3495" t="s">
        <v>940</v>
      </c>
      <c r="C45" s="3449" t="s">
        <v>44</v>
      </c>
      <c r="D45" s="3449"/>
      <c r="E45" s="3449"/>
      <c r="F45" s="3451">
        <f>F41/F40*100</f>
        <v>103.58210529838718</v>
      </c>
      <c r="G45" s="3451">
        <f t="shared" ref="G45:H45" si="100">G41/G40*100</f>
        <v>143.71803268326173</v>
      </c>
      <c r="H45" s="3451">
        <f t="shared" si="100"/>
        <v>89.153139225824305</v>
      </c>
      <c r="I45" s="3451">
        <f>I41/I40*100</f>
        <v>108.42114466833925</v>
      </c>
      <c r="J45" s="3451">
        <f>J41/J40*100</f>
        <v>116.28376441769545</v>
      </c>
      <c r="K45" s="3498">
        <f>K41/K40*100</f>
        <v>104.08684312956422</v>
      </c>
      <c r="L45" s="3498"/>
      <c r="M45" s="3498"/>
      <c r="N45" s="3451">
        <f>N41/N40*100</f>
        <v>101.38614093866163</v>
      </c>
      <c r="O45" s="3451">
        <f t="shared" ref="O45:P45" si="101">O41/O40*100</f>
        <v>88.175197379825434</v>
      </c>
      <c r="P45" s="3451">
        <f t="shared" si="101"/>
        <v>100</v>
      </c>
      <c r="Q45" s="3451"/>
      <c r="R45" s="3451"/>
      <c r="S45" s="3451"/>
      <c r="T45" s="3451"/>
      <c r="U45" s="3451"/>
      <c r="V45" s="3451"/>
      <c r="W45" s="3451"/>
      <c r="X45" s="3451">
        <f>X41/X40*100</f>
        <v>102.21275163762419</v>
      </c>
      <c r="Y45" s="3451"/>
      <c r="Z45" s="3451">
        <f t="shared" ref="Z45:AD45" si="102">Z41/Z40*100</f>
        <v>112.73905143034648</v>
      </c>
      <c r="AA45" s="3451">
        <f t="shared" si="102"/>
        <v>100</v>
      </c>
      <c r="AB45" s="3451">
        <f t="shared" si="102"/>
        <v>105.62756542286623</v>
      </c>
      <c r="AC45" s="3451">
        <f t="shared" si="102"/>
        <v>100.15133347084519</v>
      </c>
      <c r="AD45" s="3451">
        <f t="shared" si="102"/>
        <v>105.50631817474878</v>
      </c>
      <c r="AE45" s="3451">
        <f>AE41/AE40*100</f>
        <v>187.8910184387656</v>
      </c>
      <c r="AF45" s="3451"/>
      <c r="AG45" s="3451">
        <f>AG41/AG40*100</f>
        <v>100.7423888731593</v>
      </c>
      <c r="AH45" s="3451"/>
      <c r="AI45" s="3451"/>
      <c r="AJ45" s="3451"/>
      <c r="AK45" s="3451"/>
      <c r="AL45" s="3451">
        <f>AL41/AL40*100</f>
        <v>124.57004747396144</v>
      </c>
      <c r="AM45" s="3451"/>
      <c r="AN45" s="3451">
        <f>AN41/AN40*100</f>
        <v>135.96910840442371</v>
      </c>
      <c r="AO45" s="3451"/>
      <c r="AP45" s="3451"/>
      <c r="AQ45" s="3451"/>
      <c r="AR45" s="3451"/>
      <c r="AS45" s="3451">
        <f>AS41/AS40*100</f>
        <v>69.671917599265925</v>
      </c>
      <c r="AT45" s="3451"/>
      <c r="AU45" s="3451">
        <f>AU41/AU40*100</f>
        <v>100.45717916455732</v>
      </c>
      <c r="AV45" s="3451"/>
      <c r="AW45" s="3811"/>
      <c r="AX45" s="3512"/>
      <c r="AY45" s="3451"/>
      <c r="AZ45" s="3512">
        <f>AZ41/AZ40*100</f>
        <v>107.29018882966466</v>
      </c>
      <c r="BA45" s="3512"/>
      <c r="BB45" s="3512"/>
      <c r="BC45" s="3512"/>
      <c r="BD45" s="4869"/>
      <c r="BE45" s="4869"/>
    </row>
    <row r="46" spans="1:57" s="1234" customFormat="1" x14ac:dyDescent="0.25">
      <c r="A46" s="4157"/>
      <c r="B46" s="3495" t="s">
        <v>4231</v>
      </c>
      <c r="C46" s="4157"/>
      <c r="D46" s="4157"/>
      <c r="E46" s="4157"/>
      <c r="F46" s="3451"/>
      <c r="G46" s="3451"/>
      <c r="H46" s="3451"/>
      <c r="I46" s="3451"/>
      <c r="J46" s="3451"/>
      <c r="K46" s="3498"/>
      <c r="L46" s="3498"/>
      <c r="M46" s="3498"/>
      <c r="N46" s="3451"/>
      <c r="O46" s="3451"/>
      <c r="P46" s="3451"/>
      <c r="Q46" s="3451"/>
      <c r="R46" s="3451"/>
      <c r="S46" s="3451"/>
      <c r="T46" s="3451"/>
      <c r="U46" s="3451"/>
      <c r="V46" s="3451"/>
      <c r="W46" s="3451"/>
      <c r="X46" s="3451"/>
      <c r="Y46" s="3451"/>
      <c r="Z46" s="3451"/>
      <c r="AA46" s="3451"/>
      <c r="AB46" s="3451"/>
      <c r="AC46" s="3451"/>
      <c r="AD46" s="3451"/>
      <c r="AE46" s="3451"/>
      <c r="AF46" s="3451"/>
      <c r="AG46" s="3451"/>
      <c r="AH46" s="3451"/>
      <c r="AI46" s="3451"/>
      <c r="AJ46" s="3451"/>
      <c r="AK46" s="3451"/>
      <c r="AL46" s="3451"/>
      <c r="AM46" s="3451"/>
      <c r="AN46" s="3451"/>
      <c r="AO46" s="3451"/>
      <c r="AP46" s="3451"/>
      <c r="AQ46" s="3451"/>
      <c r="AR46" s="3451"/>
      <c r="AS46" s="3451"/>
      <c r="AT46" s="3451"/>
      <c r="AU46" s="3451"/>
      <c r="AV46" s="3451"/>
      <c r="AW46" s="3811"/>
      <c r="AX46" s="3512"/>
      <c r="AY46" s="3451"/>
      <c r="AZ46" s="3512"/>
      <c r="BA46" s="3512"/>
      <c r="BB46" s="3512">
        <f>SUM(BB42/AU41)*100</f>
        <v>113.71503972367528</v>
      </c>
      <c r="BC46" s="3512"/>
      <c r="BD46" s="4869"/>
      <c r="BE46" s="4869"/>
    </row>
    <row r="47" spans="1:57" s="2740" customFormat="1" ht="27" customHeight="1" x14ac:dyDescent="0.25">
      <c r="A47" s="3501" t="s">
        <v>2039</v>
      </c>
      <c r="B47" s="3450" t="s">
        <v>2043</v>
      </c>
      <c r="C47" s="2584"/>
      <c r="D47" s="2584"/>
      <c r="E47" s="2584"/>
      <c r="F47" s="2584"/>
      <c r="G47" s="2584"/>
      <c r="H47" s="2584"/>
      <c r="I47" s="2584"/>
      <c r="J47" s="2584"/>
      <c r="K47" s="2584"/>
      <c r="L47" s="2584"/>
      <c r="M47" s="2584"/>
      <c r="N47" s="2584"/>
      <c r="O47" s="3503"/>
      <c r="P47" s="2584"/>
      <c r="Q47" s="2584"/>
      <c r="R47" s="2584"/>
      <c r="S47" s="2584"/>
      <c r="T47" s="2584"/>
      <c r="U47" s="2584"/>
      <c r="V47" s="2584"/>
      <c r="W47" s="2584"/>
      <c r="X47" s="2584"/>
      <c r="Y47" s="2584"/>
      <c r="Z47" s="2584"/>
      <c r="AA47" s="2584"/>
      <c r="AB47" s="2584"/>
      <c r="AC47" s="2584"/>
      <c r="AD47" s="2584"/>
      <c r="AE47" s="2584"/>
      <c r="AF47" s="3451"/>
      <c r="AG47" s="2584"/>
      <c r="AH47" s="3451"/>
      <c r="AI47" s="2584"/>
      <c r="AJ47" s="2584"/>
      <c r="AK47" s="2584"/>
      <c r="AL47" s="2584"/>
      <c r="AM47" s="3451"/>
      <c r="AN47" s="2584"/>
      <c r="AO47" s="3451"/>
      <c r="AP47" s="2584"/>
      <c r="AQ47" s="2584"/>
      <c r="AR47" s="2584"/>
      <c r="AS47" s="2584"/>
      <c r="AT47" s="3451"/>
      <c r="AU47" s="2584"/>
      <c r="AV47" s="3451"/>
      <c r="AW47" s="3817"/>
      <c r="AX47" s="2457"/>
      <c r="AY47" s="2584"/>
      <c r="AZ47" s="2457"/>
      <c r="BA47" s="3512"/>
      <c r="BB47" s="2457"/>
      <c r="BC47" s="3512"/>
      <c r="BD47" s="4877"/>
      <c r="BE47" s="4877"/>
    </row>
    <row r="48" spans="1:57" s="2740" customFormat="1" x14ac:dyDescent="0.25">
      <c r="A48" s="2584"/>
      <c r="B48" s="3495" t="s">
        <v>939</v>
      </c>
      <c r="C48" s="3502" t="s">
        <v>944</v>
      </c>
      <c r="D48" s="3502"/>
      <c r="E48" s="3502"/>
      <c r="F48" s="3504">
        <v>13.79</v>
      </c>
      <c r="G48" s="3504"/>
      <c r="H48" s="3504"/>
      <c r="I48" s="3504">
        <f>F49</f>
        <v>14.283972320647592</v>
      </c>
      <c r="J48" s="3504"/>
      <c r="K48" s="3504">
        <f>F49</f>
        <v>14.283972320647592</v>
      </c>
      <c r="L48" s="3504"/>
      <c r="M48" s="3504"/>
      <c r="N48" s="3504">
        <f t="shared" ref="N48" si="103">I49</f>
        <v>15.486846294154862</v>
      </c>
      <c r="O48" s="3504">
        <f t="shared" ref="O48" si="104">J49</f>
        <v>0</v>
      </c>
      <c r="P48" s="3504">
        <f>P40</f>
        <v>14.242375692154134</v>
      </c>
      <c r="Q48" s="3504"/>
      <c r="R48" s="3504"/>
      <c r="S48" s="3504"/>
      <c r="T48" s="3504"/>
      <c r="U48" s="3504"/>
      <c r="V48" s="3504"/>
      <c r="W48" s="3504"/>
      <c r="X48" s="3504">
        <f>X40</f>
        <v>14.242375692154134</v>
      </c>
      <c r="Y48" s="3504"/>
      <c r="Z48" s="3504">
        <f t="shared" ref="Z48:AD48" si="105">Z40</f>
        <v>14.557524093518865</v>
      </c>
      <c r="AA48" s="3504">
        <f t="shared" si="105"/>
        <v>15.843636984689997</v>
      </c>
      <c r="AB48" s="3504">
        <f t="shared" si="105"/>
        <v>15.843636984689997</v>
      </c>
      <c r="AC48" s="3504">
        <f t="shared" si="105"/>
        <v>16.735248021364857</v>
      </c>
      <c r="AD48" s="3504">
        <f t="shared" si="105"/>
        <v>16.760574053050139</v>
      </c>
      <c r="AE48" s="3504">
        <f>AE40</f>
        <v>14.557524093518865</v>
      </c>
      <c r="AF48" s="3451"/>
      <c r="AG48" s="3504">
        <f>AG40</f>
        <v>14.557524093518865</v>
      </c>
      <c r="AH48" s="3451"/>
      <c r="AI48" s="3504"/>
      <c r="AJ48" s="3504"/>
      <c r="AK48" s="3504"/>
      <c r="AL48" s="3504">
        <f>AL40</f>
        <v>14.665597532596632</v>
      </c>
      <c r="AM48" s="3451"/>
      <c r="AN48" s="3504">
        <f>AN40</f>
        <v>14.665597532596632</v>
      </c>
      <c r="AO48" s="3451"/>
      <c r="AP48" s="3504"/>
      <c r="AQ48" s="3504"/>
      <c r="AR48" s="3504"/>
      <c r="AS48" s="3504">
        <f>AS40</f>
        <v>19.940682207252802</v>
      </c>
      <c r="AT48" s="3451"/>
      <c r="AU48" s="3504">
        <f>AU40</f>
        <v>19.940682207252802</v>
      </c>
      <c r="AV48" s="3451"/>
      <c r="AW48" s="3818"/>
      <c r="AX48" s="3516"/>
      <c r="AY48" s="3504"/>
      <c r="AZ48" s="3516">
        <f>AZ40</f>
        <v>20.031846851574951</v>
      </c>
      <c r="BA48" s="3512"/>
      <c r="BB48" s="3516"/>
      <c r="BC48" s="3512"/>
      <c r="BD48" s="4878"/>
      <c r="BE48" s="4878"/>
    </row>
    <row r="49" spans="1:57" s="2740" customFormat="1" x14ac:dyDescent="0.25">
      <c r="A49" s="2584"/>
      <c r="B49" s="3495" t="s">
        <v>940</v>
      </c>
      <c r="C49" s="3502" t="s">
        <v>944</v>
      </c>
      <c r="D49" s="3502"/>
      <c r="E49" s="3502"/>
      <c r="F49" s="3504">
        <f>F41</f>
        <v>14.283972320647592</v>
      </c>
      <c r="G49" s="3504"/>
      <c r="H49" s="3504"/>
      <c r="I49" s="3504">
        <f>I41</f>
        <v>15.486846294154862</v>
      </c>
      <c r="J49" s="3504"/>
      <c r="K49" s="3504">
        <f>K41</f>
        <v>14.867735862062833</v>
      </c>
      <c r="L49" s="3504"/>
      <c r="M49" s="3504"/>
      <c r="N49" s="3504">
        <f t="shared" ref="N49:P49" si="106">N41</f>
        <v>15.701515810745743</v>
      </c>
      <c r="O49" s="3504">
        <f t="shared" si="106"/>
        <v>13.109655442284993</v>
      </c>
      <c r="P49" s="3504">
        <f t="shared" si="106"/>
        <v>14.242375692154134</v>
      </c>
      <c r="Q49" s="3504"/>
      <c r="R49" s="3504"/>
      <c r="S49" s="3504"/>
      <c r="T49" s="3504"/>
      <c r="U49" s="3504"/>
      <c r="V49" s="3504"/>
      <c r="W49" s="3504"/>
      <c r="X49" s="3504">
        <f>X41</f>
        <v>14.557524093518865</v>
      </c>
      <c r="Y49" s="3504"/>
      <c r="Z49" s="3504">
        <f t="shared" ref="Z49:AD49" si="107">Z41</f>
        <v>16.412014574777313</v>
      </c>
      <c r="AA49" s="3504">
        <f t="shared" si="107"/>
        <v>15.843636984689997</v>
      </c>
      <c r="AB49" s="3504">
        <f t="shared" si="107"/>
        <v>16.735248021364857</v>
      </c>
      <c r="AC49" s="3504">
        <f t="shared" si="107"/>
        <v>16.760574053050139</v>
      </c>
      <c r="AD49" s="3504">
        <f t="shared" si="107"/>
        <v>17.683464588325467</v>
      </c>
      <c r="AE49" s="3504">
        <f>AE41</f>
        <v>27.352280278781272</v>
      </c>
      <c r="AF49" s="3451"/>
      <c r="AG49" s="3504">
        <f>AG41</f>
        <v>14.665597532596632</v>
      </c>
      <c r="AH49" s="3451"/>
      <c r="AI49" s="3504"/>
      <c r="AJ49" s="3504"/>
      <c r="AK49" s="3504"/>
      <c r="AL49" s="3504">
        <f>AL41</f>
        <v>18.26894180869574</v>
      </c>
      <c r="AM49" s="3451"/>
      <c r="AN49" s="3504">
        <f>AN41</f>
        <v>19.940682207252802</v>
      </c>
      <c r="AO49" s="3451"/>
      <c r="AP49" s="3504"/>
      <c r="AQ49" s="3504"/>
      <c r="AR49" s="3504"/>
      <c r="AS49" s="3504">
        <f>AS41</f>
        <v>13.893055676168654</v>
      </c>
      <c r="AT49" s="3451"/>
      <c r="AU49" s="3504">
        <f>AU41</f>
        <v>20.031846851574951</v>
      </c>
      <c r="AV49" s="3451"/>
      <c r="AW49" s="3818"/>
      <c r="AX49" s="3516"/>
      <c r="AY49" s="3504"/>
      <c r="AZ49" s="3516">
        <f>AZ41</f>
        <v>21.492206313123997</v>
      </c>
      <c r="BA49" s="3512"/>
      <c r="BB49" s="3516"/>
      <c r="BC49" s="3512"/>
      <c r="BD49" s="4878"/>
      <c r="BE49" s="4878"/>
    </row>
    <row r="50" spans="1:57" s="2740" customFormat="1" x14ac:dyDescent="0.25">
      <c r="A50" s="2584"/>
      <c r="B50" s="3495" t="s">
        <v>4231</v>
      </c>
      <c r="C50" s="3502"/>
      <c r="D50" s="3502"/>
      <c r="E50" s="3502"/>
      <c r="F50" s="3504"/>
      <c r="G50" s="3504"/>
      <c r="H50" s="3504"/>
      <c r="I50" s="3504"/>
      <c r="J50" s="3504"/>
      <c r="K50" s="3504"/>
      <c r="L50" s="3504"/>
      <c r="M50" s="3504"/>
      <c r="N50" s="3504"/>
      <c r="O50" s="3504"/>
      <c r="P50" s="3504"/>
      <c r="Q50" s="3504"/>
      <c r="R50" s="3504"/>
      <c r="S50" s="3504"/>
      <c r="T50" s="3504"/>
      <c r="U50" s="3504"/>
      <c r="V50" s="3504"/>
      <c r="W50" s="3504"/>
      <c r="X50" s="3504"/>
      <c r="Y50" s="3504"/>
      <c r="Z50" s="3504"/>
      <c r="AA50" s="3504"/>
      <c r="AB50" s="3504"/>
      <c r="AC50" s="3504"/>
      <c r="AD50" s="3504"/>
      <c r="AE50" s="3504"/>
      <c r="AF50" s="3451"/>
      <c r="AG50" s="3504"/>
      <c r="AH50" s="3451"/>
      <c r="AI50" s="3504"/>
      <c r="AJ50" s="3504"/>
      <c r="AK50" s="3504"/>
      <c r="AL50" s="3504"/>
      <c r="AM50" s="3451"/>
      <c r="AN50" s="3504"/>
      <c r="AO50" s="3451"/>
      <c r="AP50" s="3504"/>
      <c r="AQ50" s="3504"/>
      <c r="AR50" s="3504"/>
      <c r="AS50" s="3504"/>
      <c r="AT50" s="3451"/>
      <c r="AU50" s="3504"/>
      <c r="AV50" s="3451"/>
      <c r="AW50" s="3818"/>
      <c r="AX50" s="3516"/>
      <c r="AY50" s="3504"/>
      <c r="AZ50" s="3516"/>
      <c r="BA50" s="3512"/>
      <c r="BB50" s="3516">
        <f>SUM(BB42)</f>
        <v>22.779222604654247</v>
      </c>
      <c r="BC50" s="3512"/>
      <c r="BD50" s="4878"/>
      <c r="BE50" s="4878"/>
    </row>
    <row r="51" spans="1:57" s="2740" customFormat="1" x14ac:dyDescent="0.25">
      <c r="A51" s="2584"/>
      <c r="B51" s="3495" t="s">
        <v>347</v>
      </c>
      <c r="C51" s="3502" t="s">
        <v>44</v>
      </c>
      <c r="D51" s="3502"/>
      <c r="E51" s="3502"/>
      <c r="F51" s="3504">
        <f>F49/F48*100</f>
        <v>103.58210529838718</v>
      </c>
      <c r="G51" s="3504"/>
      <c r="H51" s="3504"/>
      <c r="I51" s="3504">
        <f>I49/I48*100</f>
        <v>108.42114466833925</v>
      </c>
      <c r="J51" s="3504"/>
      <c r="K51" s="3504">
        <f t="shared" ref="K51:P51" si="108">K49/K48*100</f>
        <v>104.08684312956422</v>
      </c>
      <c r="L51" s="3504"/>
      <c r="M51" s="3504"/>
      <c r="N51" s="3504">
        <f t="shared" si="108"/>
        <v>101.38614093866163</v>
      </c>
      <c r="O51" s="3504">
        <v>0</v>
      </c>
      <c r="P51" s="3504">
        <f t="shared" si="108"/>
        <v>100</v>
      </c>
      <c r="Q51" s="3504"/>
      <c r="R51" s="3504"/>
      <c r="S51" s="3504"/>
      <c r="T51" s="3504"/>
      <c r="U51" s="3504"/>
      <c r="V51" s="3504"/>
      <c r="W51" s="3504"/>
      <c r="X51" s="3504">
        <f t="shared" ref="X51:AD51" si="109">X49/X48*100</f>
        <v>102.21275163762419</v>
      </c>
      <c r="Y51" s="3504"/>
      <c r="Z51" s="3504">
        <f t="shared" si="109"/>
        <v>112.73905143034648</v>
      </c>
      <c r="AA51" s="3504">
        <f t="shared" si="109"/>
        <v>100</v>
      </c>
      <c r="AB51" s="3504">
        <f t="shared" si="109"/>
        <v>105.62756542286623</v>
      </c>
      <c r="AC51" s="3504">
        <f t="shared" si="109"/>
        <v>100.15133347084519</v>
      </c>
      <c r="AD51" s="3504">
        <f t="shared" si="109"/>
        <v>105.50631817474878</v>
      </c>
      <c r="AE51" s="3504">
        <f t="shared" ref="AE51:AG51" si="110">AE49/AE48*100</f>
        <v>187.8910184387656</v>
      </c>
      <c r="AF51" s="3451"/>
      <c r="AG51" s="3504">
        <f t="shared" si="110"/>
        <v>100.7423888731593</v>
      </c>
      <c r="AH51" s="3451"/>
      <c r="AI51" s="3504"/>
      <c r="AJ51" s="3504"/>
      <c r="AK51" s="3504"/>
      <c r="AL51" s="3504">
        <f t="shared" ref="AL51:AN51" si="111">AL49/AL48*100</f>
        <v>124.57004747396144</v>
      </c>
      <c r="AM51" s="3451"/>
      <c r="AN51" s="3504">
        <f t="shared" si="111"/>
        <v>135.96910840442371</v>
      </c>
      <c r="AO51" s="3451"/>
      <c r="AP51" s="3504"/>
      <c r="AQ51" s="3504"/>
      <c r="AR51" s="3504"/>
      <c r="AS51" s="3504">
        <f t="shared" ref="AS51" si="112">AS49/AS48*100</f>
        <v>69.671917599265925</v>
      </c>
      <c r="AT51" s="3451"/>
      <c r="AU51" s="3504">
        <f t="shared" ref="AU51" si="113">AU49/AU48*100</f>
        <v>100.45717916455732</v>
      </c>
      <c r="AV51" s="3451"/>
      <c r="AW51" s="3818"/>
      <c r="AX51" s="3516"/>
      <c r="AY51" s="3504"/>
      <c r="AZ51" s="3516">
        <f t="shared" ref="AZ51" si="114">AZ49/AZ48*100</f>
        <v>107.29018882966466</v>
      </c>
      <c r="BA51" s="3512"/>
      <c r="BB51" s="3516">
        <f>SUM(BB50/AU49)*100</f>
        <v>113.71503972367528</v>
      </c>
      <c r="BC51" s="3512"/>
      <c r="BD51" s="4878"/>
      <c r="BE51" s="4878"/>
    </row>
    <row r="52" spans="1:57" s="2740" customFormat="1" x14ac:dyDescent="0.25">
      <c r="A52" s="2584"/>
      <c r="B52" s="3450" t="s">
        <v>945</v>
      </c>
      <c r="C52" s="3502" t="s">
        <v>899</v>
      </c>
      <c r="D52" s="3502"/>
      <c r="E52" s="3502"/>
      <c r="F52" s="3503">
        <f>(F40-F48)*F38/2+(F41-F49)*F38/2</f>
        <v>0</v>
      </c>
      <c r="G52" s="3503"/>
      <c r="H52" s="3503"/>
      <c r="I52" s="3503">
        <f>(I40-I48)*I38/2+(I41-I49)*I38/2</f>
        <v>0</v>
      </c>
      <c r="J52" s="3503">
        <f t="shared" ref="J52:N52" si="115">(J40-J48)*J38/2+(J41-J49)*J38/2</f>
        <v>0</v>
      </c>
      <c r="K52" s="3503">
        <f t="shared" si="115"/>
        <v>0</v>
      </c>
      <c r="L52" s="3503"/>
      <c r="M52" s="3503"/>
      <c r="N52" s="3503">
        <f t="shared" si="115"/>
        <v>0</v>
      </c>
      <c r="O52" s="3503">
        <v>0</v>
      </c>
      <c r="P52" s="3503"/>
      <c r="Q52" s="3503"/>
      <c r="R52" s="3503"/>
      <c r="S52" s="3503"/>
      <c r="T52" s="3503"/>
      <c r="U52" s="3503"/>
      <c r="V52" s="3503"/>
      <c r="W52" s="3503"/>
      <c r="X52" s="3503">
        <f t="shared" ref="X52:AD52" si="116">(X40-X48)*X38/2+(X41-X49)*X38/2</f>
        <v>0</v>
      </c>
      <c r="Y52" s="3503"/>
      <c r="Z52" s="3503">
        <f t="shared" si="116"/>
        <v>0</v>
      </c>
      <c r="AA52" s="3503">
        <f t="shared" si="116"/>
        <v>0</v>
      </c>
      <c r="AB52" s="3503">
        <f t="shared" si="116"/>
        <v>0</v>
      </c>
      <c r="AC52" s="3503">
        <f t="shared" si="116"/>
        <v>0</v>
      </c>
      <c r="AD52" s="3503">
        <f t="shared" si="116"/>
        <v>0</v>
      </c>
      <c r="AE52" s="3503">
        <f t="shared" ref="AE52:AG52" si="117">(AE40-AE48)*AE38/2+(AE41-AE49)*AE38/2</f>
        <v>0</v>
      </c>
      <c r="AF52" s="3451"/>
      <c r="AG52" s="3503">
        <f t="shared" si="117"/>
        <v>0</v>
      </c>
      <c r="AH52" s="3451"/>
      <c r="AI52" s="3503"/>
      <c r="AJ52" s="3503"/>
      <c r="AK52" s="3503"/>
      <c r="AL52" s="3503">
        <f t="shared" ref="AL52:AN52" si="118">(AL40-AL48)*AL38/2+(AL41-AL49)*AL38/2</f>
        <v>0</v>
      </c>
      <c r="AM52" s="3451"/>
      <c r="AN52" s="3503">
        <f t="shared" si="118"/>
        <v>0</v>
      </c>
      <c r="AO52" s="3451"/>
      <c r="AP52" s="3503"/>
      <c r="AQ52" s="3503"/>
      <c r="AR52" s="3503"/>
      <c r="AS52" s="3503">
        <f t="shared" ref="AS52" si="119">(AS40-AS48)*AS38/2+(AS41-AS49)*AS38/2</f>
        <v>0</v>
      </c>
      <c r="AT52" s="3451"/>
      <c r="AU52" s="3503">
        <f t="shared" ref="AU52" si="120">(AU40-AU48)*AU38/2+(AU41-AU49)*AU38/2</f>
        <v>0</v>
      </c>
      <c r="AV52" s="3451"/>
      <c r="AW52" s="3821"/>
      <c r="AX52" s="3519"/>
      <c r="AY52" s="3503"/>
      <c r="AZ52" s="3519">
        <f t="shared" ref="AZ52" si="121">(AZ40-AZ48)*AZ38/2+(AZ41-AZ49)*AZ38/2</f>
        <v>0</v>
      </c>
      <c r="BA52" s="3512"/>
      <c r="BB52" s="3519">
        <f t="shared" ref="BB52" si="122">(BB40-BB48)*BB38/2+(BB41-BB49)*BB38/2</f>
        <v>0</v>
      </c>
      <c r="BC52" s="3512"/>
      <c r="BD52" s="4882"/>
      <c r="BE52" s="4882"/>
    </row>
    <row r="53" spans="1:57" hidden="1" x14ac:dyDescent="0.25">
      <c r="C53" s="1233"/>
      <c r="BD53" s="3446"/>
      <c r="BE53" s="3446"/>
    </row>
    <row r="54" spans="1:57" hidden="1" x14ac:dyDescent="0.25">
      <c r="C54" s="1233"/>
      <c r="M54" s="2494">
        <f>M33*K34*2%</f>
        <v>0</v>
      </c>
      <c r="N54" s="2494"/>
      <c r="O54" s="2494"/>
      <c r="P54" s="2495">
        <f>P47+'стоки 2019-2023'!Q53</f>
        <v>130.11514489484745</v>
      </c>
      <c r="Q54" s="2034"/>
      <c r="X54" s="2494">
        <v>14.4</v>
      </c>
      <c r="BD54" s="3446"/>
      <c r="BE54" s="3446"/>
    </row>
    <row r="55" spans="1:57" hidden="1" x14ac:dyDescent="0.25">
      <c r="C55" s="1233"/>
      <c r="M55" s="2494"/>
      <c r="N55" s="2494"/>
      <c r="O55" s="2494"/>
      <c r="P55" s="2495"/>
      <c r="Q55" s="2034"/>
      <c r="X55" s="2494"/>
      <c r="BD55" s="3446"/>
      <c r="BE55" s="3446"/>
    </row>
    <row r="56" spans="1:57" hidden="1" x14ac:dyDescent="0.25">
      <c r="C56" s="1233"/>
      <c r="P56" s="2034"/>
      <c r="Q56" s="2034"/>
      <c r="R56" s="2034"/>
      <c r="S56" s="2034"/>
      <c r="T56" s="2034"/>
      <c r="X56" s="2494">
        <f>X38*X54</f>
        <v>254.40000000000003</v>
      </c>
      <c r="BD56" s="3446"/>
      <c r="BE56" s="3446"/>
    </row>
    <row r="57" spans="1:57" ht="20.25" hidden="1" x14ac:dyDescent="0.3">
      <c r="A57" s="3521"/>
      <c r="C57" s="1233"/>
      <c r="P57" s="2034"/>
      <c r="Q57" s="2034"/>
      <c r="R57" s="2034"/>
      <c r="S57" s="2034"/>
      <c r="T57" s="2034"/>
      <c r="X57" s="2495">
        <f>X36-X56</f>
        <v>-8.852265551979599E-4</v>
      </c>
      <c r="BD57" s="3446"/>
      <c r="BE57" s="3446"/>
    </row>
    <row r="58" spans="1:57" hidden="1" x14ac:dyDescent="0.25">
      <c r="X58" s="2494"/>
      <c r="BD58" s="3446"/>
      <c r="BE58" s="3446"/>
    </row>
    <row r="59" spans="1:57" hidden="1" x14ac:dyDescent="0.25">
      <c r="BD59" s="3446"/>
      <c r="BE59" s="3446"/>
    </row>
    <row r="60" spans="1:57" hidden="1" x14ac:dyDescent="0.25">
      <c r="BD60" s="3446"/>
      <c r="BE60" s="3446"/>
    </row>
    <row r="61" spans="1:57" hidden="1" x14ac:dyDescent="0.25">
      <c r="BD61" s="3446"/>
      <c r="BE61" s="3446"/>
    </row>
    <row r="62" spans="1:57" hidden="1" x14ac:dyDescent="0.25">
      <c r="BD62" s="3446"/>
      <c r="BE62" s="3446"/>
    </row>
    <row r="63" spans="1:57" hidden="1" x14ac:dyDescent="0.25"/>
    <row r="64" spans="1:57" hidden="1" x14ac:dyDescent="0.25"/>
    <row r="68" spans="1:1" ht="20.25" x14ac:dyDescent="0.3">
      <c r="A68" s="3521" t="s">
        <v>4086</v>
      </c>
    </row>
  </sheetData>
  <mergeCells count="60">
    <mergeCell ref="A4:A6"/>
    <mergeCell ref="Q7:Q9"/>
    <mergeCell ref="A7:A9"/>
    <mergeCell ref="R6:W6"/>
    <mergeCell ref="X6:AD6"/>
    <mergeCell ref="Y7:Y9"/>
    <mergeCell ref="O7:O9"/>
    <mergeCell ref="F5:H5"/>
    <mergeCell ref="F4:Q4"/>
    <mergeCell ref="F7:F9"/>
    <mergeCell ref="B4:B6"/>
    <mergeCell ref="C4:C6"/>
    <mergeCell ref="G7:G9"/>
    <mergeCell ref="H7:H9"/>
    <mergeCell ref="D4:D6"/>
    <mergeCell ref="E4:E6"/>
    <mergeCell ref="D7:D9"/>
    <mergeCell ref="E7:E9"/>
    <mergeCell ref="C7:C9"/>
    <mergeCell ref="AS5:AV5"/>
    <mergeCell ref="AT7:AT9"/>
    <mergeCell ref="AV7:AV9"/>
    <mergeCell ref="AP5:AP6"/>
    <mergeCell ref="AQ5:AQ6"/>
    <mergeCell ref="AL5:AO5"/>
    <mergeCell ref="AM7:AM9"/>
    <mergeCell ref="AE7:AE9"/>
    <mergeCell ref="AF7:AF9"/>
    <mergeCell ref="AE5:AH5"/>
    <mergeCell ref="AI7:AI9"/>
    <mergeCell ref="AJ7:AJ9"/>
    <mergeCell ref="AK7:AK9"/>
    <mergeCell ref="AO7:AO9"/>
    <mergeCell ref="AI5:AI6"/>
    <mergeCell ref="AK5:AK6"/>
    <mergeCell ref="BA7:BA9"/>
    <mergeCell ref="BC7:BC9"/>
    <mergeCell ref="AZ5:BC5"/>
    <mergeCell ref="AW5:AW6"/>
    <mergeCell ref="AX5:AX6"/>
    <mergeCell ref="AY5:AY6"/>
    <mergeCell ref="AW7:AW9"/>
    <mergeCell ref="AX7:AX9"/>
    <mergeCell ref="AY7:AY9"/>
    <mergeCell ref="A2:BE2"/>
    <mergeCell ref="BE5:BE6"/>
    <mergeCell ref="BE7:BE9"/>
    <mergeCell ref="BD5:BD6"/>
    <mergeCell ref="BD7:BD9"/>
    <mergeCell ref="R4:BE4"/>
    <mergeCell ref="R7:R9"/>
    <mergeCell ref="X7:X9"/>
    <mergeCell ref="L7:L9"/>
    <mergeCell ref="I5:M5"/>
    <mergeCell ref="AJ5:AJ6"/>
    <mergeCell ref="N5:Q5"/>
    <mergeCell ref="AR5:AR6"/>
    <mergeCell ref="AP7:AP9"/>
    <mergeCell ref="AQ7:AQ9"/>
    <mergeCell ref="AR7:AR9"/>
  </mergeCells>
  <printOptions horizontalCentered="1"/>
  <pageMargins left="0" right="0" top="0.55118110236220474" bottom="0" header="0.31496062992125984" footer="0.31496062992125984"/>
  <pageSetup paperSize="9" scale="46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CC00FF"/>
    <pageSetUpPr fitToPage="1"/>
  </sheetPr>
  <dimension ref="A1:D15"/>
  <sheetViews>
    <sheetView workbookViewId="0">
      <selection sqref="A1:D15"/>
    </sheetView>
  </sheetViews>
  <sheetFormatPr defaultRowHeight="12.75" x14ac:dyDescent="0.2"/>
  <cols>
    <col min="1" max="1" width="73.28515625" customWidth="1"/>
    <col min="2" max="4" width="30.7109375" customWidth="1"/>
  </cols>
  <sheetData>
    <row r="1" spans="1:4" ht="18.75" x14ac:dyDescent="0.3">
      <c r="A1" s="5637" t="s">
        <v>4108</v>
      </c>
      <c r="B1" s="5637"/>
      <c r="C1" s="5637"/>
      <c r="D1" s="4910"/>
    </row>
    <row r="3" spans="1:4" x14ac:dyDescent="0.2">
      <c r="A3" s="5150" t="s">
        <v>525</v>
      </c>
      <c r="B3" s="5627" t="s">
        <v>4014</v>
      </c>
      <c r="C3" s="5628"/>
      <c r="D3" s="5628"/>
    </row>
    <row r="4" spans="1:4" ht="15.75" customHeight="1" x14ac:dyDescent="0.2">
      <c r="A4" s="5635"/>
      <c r="B4" s="5629" t="s">
        <v>3511</v>
      </c>
      <c r="C4" s="5630"/>
      <c r="D4" s="5631"/>
    </row>
    <row r="5" spans="1:4" x14ac:dyDescent="0.2">
      <c r="A5" s="5635"/>
      <c r="B5" s="5632"/>
      <c r="C5" s="5633"/>
      <c r="D5" s="5634"/>
    </row>
    <row r="6" spans="1:4" x14ac:dyDescent="0.2">
      <c r="A6" s="5636"/>
      <c r="B6" s="4087" t="s">
        <v>384</v>
      </c>
      <c r="C6" s="4088" t="s">
        <v>388</v>
      </c>
      <c r="D6" s="4089" t="s">
        <v>614</v>
      </c>
    </row>
    <row r="7" spans="1:4" ht="50.1" customHeight="1" x14ac:dyDescent="0.2">
      <c r="A7" s="4105" t="s">
        <v>4109</v>
      </c>
      <c r="B7" s="2549">
        <f>SUM(D7)</f>
        <v>4600</v>
      </c>
      <c r="C7" s="4068">
        <v>0</v>
      </c>
      <c r="D7" s="3080">
        <v>4600</v>
      </c>
    </row>
    <row r="8" spans="1:4" ht="50.1" customHeight="1" x14ac:dyDescent="0.2">
      <c r="A8" s="4106" t="s">
        <v>4110</v>
      </c>
      <c r="B8" s="4062">
        <v>0</v>
      </c>
      <c r="C8" s="2551">
        <f>SUM(D8)</f>
        <v>5245.8</v>
      </c>
      <c r="D8" s="3080">
        <v>5245.8</v>
      </c>
    </row>
    <row r="9" spans="1:4" ht="50.1" customHeight="1" x14ac:dyDescent="0.2">
      <c r="A9" s="4106" t="s">
        <v>4111</v>
      </c>
      <c r="B9" s="4062">
        <v>0</v>
      </c>
      <c r="C9" s="2551">
        <f>SUM(D9)</f>
        <v>7930.4092920000003</v>
      </c>
      <c r="D9" s="3080">
        <f>39652046.46/5/1000</f>
        <v>7930.4092920000003</v>
      </c>
    </row>
    <row r="10" spans="1:4" ht="50.1" customHeight="1" x14ac:dyDescent="0.2">
      <c r="A10" s="4068" t="s">
        <v>4112</v>
      </c>
      <c r="B10" s="4068">
        <f>SUM(D10)/2</f>
        <v>1673.61</v>
      </c>
      <c r="C10" s="4068">
        <f>SUM(D10)/2</f>
        <v>1673.61</v>
      </c>
      <c r="D10" s="3080">
        <v>3347.22</v>
      </c>
    </row>
    <row r="11" spans="1:4" ht="50.1" customHeight="1" x14ac:dyDescent="0.2">
      <c r="A11" s="2556" t="s">
        <v>614</v>
      </c>
      <c r="B11" s="2552">
        <f>SUM(B7:B10)</f>
        <v>6273.61</v>
      </c>
      <c r="C11" s="2552">
        <f>SUM(C7:C10)</f>
        <v>14849.819292</v>
      </c>
      <c r="D11" s="4067">
        <f>SUM(D7:D10)</f>
        <v>21123.429292000001</v>
      </c>
    </row>
    <row r="12" spans="1:4" x14ac:dyDescent="0.2">
      <c r="A12" s="5"/>
      <c r="B12" s="5"/>
      <c r="C12" s="5"/>
      <c r="D12" s="5"/>
    </row>
    <row r="13" spans="1:4" x14ac:dyDescent="0.2">
      <c r="A13" s="5"/>
      <c r="B13" s="5"/>
      <c r="C13" s="5"/>
      <c r="D13" s="5"/>
    </row>
    <row r="14" spans="1:4" x14ac:dyDescent="0.2">
      <c r="A14" s="5"/>
      <c r="B14" s="5"/>
      <c r="C14" s="5"/>
      <c r="D14" s="5"/>
    </row>
    <row r="15" spans="1:4" ht="18.75" x14ac:dyDescent="0.3">
      <c r="A15" s="4055" t="s">
        <v>4056</v>
      </c>
      <c r="B15" s="4055"/>
      <c r="C15" s="4055"/>
      <c r="D15" s="5"/>
    </row>
  </sheetData>
  <mergeCells count="4">
    <mergeCell ref="B3:D3"/>
    <mergeCell ref="B4:D5"/>
    <mergeCell ref="A3:A6"/>
    <mergeCell ref="A1:D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66FF"/>
    <pageSetUpPr fitToPage="1"/>
  </sheetPr>
  <dimension ref="A1:F14"/>
  <sheetViews>
    <sheetView workbookViewId="0">
      <selection activeCell="C16" sqref="C16"/>
    </sheetView>
  </sheetViews>
  <sheetFormatPr defaultRowHeight="12.75" x14ac:dyDescent="0.2"/>
  <cols>
    <col min="1" max="1" width="69.7109375" customWidth="1"/>
    <col min="4" max="5" width="15.7109375" customWidth="1"/>
    <col min="6" max="6" width="52.5703125" customWidth="1"/>
  </cols>
  <sheetData>
    <row r="1" spans="1:6" ht="15.75" x14ac:dyDescent="0.25">
      <c r="A1" s="5639" t="s">
        <v>3980</v>
      </c>
      <c r="B1" s="5160"/>
      <c r="C1" s="5160"/>
      <c r="D1" s="5160"/>
      <c r="E1" s="5160"/>
      <c r="F1" s="5160"/>
    </row>
    <row r="2" spans="1:6" ht="15.75" x14ac:dyDescent="0.25">
      <c r="A2" s="1653"/>
      <c r="B2" s="1653"/>
      <c r="C2" s="2033"/>
      <c r="D2" s="2033"/>
      <c r="E2" s="2033"/>
      <c r="F2" s="1653"/>
    </row>
    <row r="3" spans="1:6" ht="15.75" x14ac:dyDescent="0.25">
      <c r="A3" s="5642" t="s">
        <v>693</v>
      </c>
      <c r="B3" s="5642" t="s">
        <v>1520</v>
      </c>
      <c r="C3" s="5640" t="s">
        <v>3979</v>
      </c>
      <c r="D3" s="5641"/>
      <c r="E3" s="5641"/>
      <c r="F3" s="5642" t="s">
        <v>3972</v>
      </c>
    </row>
    <row r="4" spans="1:6" ht="65.25" customHeight="1" x14ac:dyDescent="0.2">
      <c r="A4" s="5643"/>
      <c r="B4" s="5643"/>
      <c r="C4" s="3230" t="s">
        <v>614</v>
      </c>
      <c r="D4" s="3230" t="s">
        <v>345</v>
      </c>
      <c r="E4" s="3230" t="s">
        <v>335</v>
      </c>
      <c r="F4" s="5643"/>
    </row>
    <row r="5" spans="1:6" ht="51" customHeight="1" x14ac:dyDescent="0.2">
      <c r="A5" s="3894" t="s">
        <v>3971</v>
      </c>
      <c r="B5" s="3895" t="s">
        <v>899</v>
      </c>
      <c r="C5" s="2549">
        <v>4003.8879999999999</v>
      </c>
      <c r="D5" s="2549">
        <f>SUM(C5*60%)</f>
        <v>2402.3327999999997</v>
      </c>
      <c r="E5" s="2549">
        <f>SUM(C5*40%)</f>
        <v>1601.5552</v>
      </c>
      <c r="F5" s="3897" t="s">
        <v>4018</v>
      </c>
    </row>
    <row r="6" spans="1:6" ht="51" customHeight="1" x14ac:dyDescent="0.2">
      <c r="A6" s="3894" t="s">
        <v>3976</v>
      </c>
      <c r="B6" s="3895" t="s">
        <v>899</v>
      </c>
      <c r="C6" s="2549">
        <v>632.24699999999996</v>
      </c>
      <c r="D6" s="2549">
        <f>SUM(C6*60%)</f>
        <v>379.34819999999996</v>
      </c>
      <c r="E6" s="2549">
        <f>SUM(C6*40%)</f>
        <v>252.89879999999999</v>
      </c>
      <c r="F6" s="3897" t="s">
        <v>3977</v>
      </c>
    </row>
    <row r="7" spans="1:6" ht="90" customHeight="1" x14ac:dyDescent="0.2">
      <c r="A7" s="1574" t="s">
        <v>3974</v>
      </c>
      <c r="B7" s="3895" t="s">
        <v>899</v>
      </c>
      <c r="C7" s="2549">
        <v>1150.4000000000001</v>
      </c>
      <c r="D7" s="2549"/>
      <c r="E7" s="2549">
        <f>SUM(C7)</f>
        <v>1150.4000000000001</v>
      </c>
      <c r="F7" s="3897" t="s">
        <v>3987</v>
      </c>
    </row>
    <row r="8" spans="1:6" ht="51" customHeight="1" x14ac:dyDescent="0.2">
      <c r="A8" s="1574" t="s">
        <v>3978</v>
      </c>
      <c r="B8" s="3895" t="s">
        <v>899</v>
      </c>
      <c r="C8" s="2549">
        <v>515</v>
      </c>
      <c r="D8" s="2549">
        <f>SUM(C8*60%)</f>
        <v>309</v>
      </c>
      <c r="E8" s="2549">
        <f>SUM(C8*40%)</f>
        <v>206</v>
      </c>
      <c r="F8" s="3897" t="s">
        <v>3975</v>
      </c>
    </row>
    <row r="9" spans="1:6" ht="51" customHeight="1" x14ac:dyDescent="0.2">
      <c r="A9" s="3894" t="s">
        <v>3973</v>
      </c>
      <c r="B9" s="3895" t="s">
        <v>899</v>
      </c>
      <c r="C9" s="2549">
        <v>11835.29</v>
      </c>
      <c r="D9" s="2549">
        <v>5350.44</v>
      </c>
      <c r="E9" s="2549">
        <v>6484.85</v>
      </c>
      <c r="F9" s="3897" t="s">
        <v>3975</v>
      </c>
    </row>
    <row r="10" spans="1:6" ht="51" customHeight="1" x14ac:dyDescent="0.2">
      <c r="A10" s="3169" t="s">
        <v>614</v>
      </c>
      <c r="B10" s="2600" t="s">
        <v>899</v>
      </c>
      <c r="C10" s="2552">
        <f>SUM(C5:C9)</f>
        <v>18136.825000000001</v>
      </c>
      <c r="D10" s="2552">
        <f t="shared" ref="D10:E10" si="0">SUM(D5:D9)</f>
        <v>8441.1209999999992</v>
      </c>
      <c r="E10" s="2552">
        <f t="shared" si="0"/>
        <v>9695.7040000000015</v>
      </c>
      <c r="F10" s="3052"/>
    </row>
    <row r="14" spans="1:6" ht="18.75" x14ac:dyDescent="0.3">
      <c r="A14" s="5638" t="s">
        <v>3981</v>
      </c>
      <c r="B14" s="5638"/>
      <c r="C14" s="5638"/>
      <c r="D14" s="5638"/>
      <c r="E14" s="5638"/>
      <c r="F14" s="5638"/>
    </row>
  </sheetData>
  <mergeCells count="6">
    <mergeCell ref="A14:F14"/>
    <mergeCell ref="A1:F1"/>
    <mergeCell ref="C3:E3"/>
    <mergeCell ref="A3:A4"/>
    <mergeCell ref="B3:B4"/>
    <mergeCell ref="F3:F4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Лист28">
    <tabColor rgb="FFFF66FF"/>
    <pageSetUpPr fitToPage="1"/>
  </sheetPr>
  <dimension ref="A1:BO78"/>
  <sheetViews>
    <sheetView zoomScale="79" zoomScaleNormal="79" zoomScaleSheetLayoutView="100" zoomScalePageLayoutView="80" workbookViewId="0">
      <pane xSplit="35" ySplit="7" topLeftCell="BC14" activePane="bottomRight" state="frozen"/>
      <selection pane="topRight" activeCell="AJ1" sqref="AJ1"/>
      <selection pane="bottomLeft" activeCell="A8" sqref="A8"/>
      <selection pane="bottomRight" activeCell="BV43" sqref="BV43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5" hidden="1" customWidth="1" collapsed="1"/>
    <col min="22" max="22" width="13.42578125" style="365" hidden="1" customWidth="1" outlineLevel="1"/>
    <col min="23" max="23" width="13.85546875" style="365" hidden="1" customWidth="1" collapsed="1"/>
    <col min="24" max="28" width="13.85546875" style="365" hidden="1" customWidth="1"/>
    <col min="29" max="32" width="14.140625" hidden="1" customWidth="1"/>
    <col min="33" max="35" width="15.7109375" hidden="1" customWidth="1"/>
    <col min="36" max="37" width="13.7109375" hidden="1" customWidth="1"/>
    <col min="38" max="38" width="15.7109375" hidden="1" customWidth="1"/>
    <col min="39" max="39" width="2.7109375" customWidth="1"/>
    <col min="40" max="40" width="18.7109375" customWidth="1"/>
    <col min="41" max="41" width="13.85546875" style="565" hidden="1" customWidth="1"/>
    <col min="42" max="42" width="11.7109375" style="565" hidden="1" customWidth="1"/>
    <col min="43" max="43" width="12.28515625" style="565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8" customWidth="1"/>
    <col min="51" max="52" width="12.85546875" hidden="1" customWidth="1"/>
    <col min="53" max="53" width="12.85546875" customWidth="1"/>
    <col min="54" max="54" width="18.42578125" customWidth="1"/>
    <col min="55" max="55" width="17.5703125" customWidth="1"/>
    <col min="56" max="57" width="12.85546875" hidden="1" customWidth="1"/>
    <col min="58" max="58" width="12.85546875" customWidth="1"/>
    <col min="59" max="60" width="18.42578125" customWidth="1"/>
    <col min="61" max="62" width="12.85546875" hidden="1" customWidth="1"/>
    <col min="63" max="63" width="12.85546875" customWidth="1"/>
    <col min="64" max="65" width="18.42578125" customWidth="1"/>
    <col min="66" max="66" width="14.42578125" customWidth="1"/>
    <col min="67" max="67" width="13.42578125" customWidth="1"/>
  </cols>
  <sheetData>
    <row r="1" spans="1:67" x14ac:dyDescent="0.2">
      <c r="AO1" s="565" t="s">
        <v>1494</v>
      </c>
    </row>
    <row r="2" spans="1:67" ht="20.25" x14ac:dyDescent="0.3">
      <c r="A2" s="5645" t="s">
        <v>4026</v>
      </c>
      <c r="B2" s="5645"/>
      <c r="C2" s="5645"/>
      <c r="D2" s="5645"/>
      <c r="E2" s="5645"/>
      <c r="F2" s="5645"/>
      <c r="G2" s="5645"/>
      <c r="H2" s="5645"/>
      <c r="I2" s="5645"/>
      <c r="J2" s="5645"/>
      <c r="K2" s="5645"/>
      <c r="L2" s="5645"/>
      <c r="M2" s="5645"/>
      <c r="N2" s="5645"/>
      <c r="O2" s="5645"/>
      <c r="P2" s="5645"/>
      <c r="Q2" s="5645"/>
      <c r="R2" s="5645"/>
      <c r="S2" s="5645"/>
      <c r="T2" s="5645"/>
      <c r="U2" s="5645"/>
      <c r="V2" s="5645"/>
      <c r="W2" s="5645"/>
      <c r="X2" s="5645"/>
      <c r="Y2" s="5645"/>
      <c r="Z2" s="5645"/>
      <c r="AA2" s="5645"/>
      <c r="AB2" s="5645"/>
      <c r="AC2" s="5645"/>
      <c r="AD2" s="5645"/>
      <c r="AE2" s="5645"/>
      <c r="AF2" s="5645"/>
      <c r="AG2" s="5645"/>
      <c r="AH2" s="5645"/>
      <c r="AI2" s="5645"/>
      <c r="AJ2" s="5645"/>
      <c r="AK2" s="5645"/>
      <c r="AL2" s="5645"/>
      <c r="AM2" s="5645"/>
      <c r="AN2" s="5645"/>
      <c r="AO2" s="5645"/>
      <c r="AP2" s="5160"/>
      <c r="AQ2" s="5160"/>
      <c r="AR2" s="4910"/>
      <c r="AS2" s="4910"/>
      <c r="AT2" s="4910"/>
      <c r="AU2" s="4910"/>
      <c r="AV2" s="4910"/>
      <c r="AW2" s="4910"/>
      <c r="AX2" s="4910"/>
      <c r="AY2" s="4910"/>
      <c r="AZ2" s="4910"/>
      <c r="BA2" s="4910"/>
      <c r="BB2" s="4910"/>
      <c r="BC2" s="4910"/>
      <c r="BD2" s="4910"/>
      <c r="BE2" s="4910"/>
      <c r="BF2" s="4910"/>
      <c r="BG2" s="4910"/>
      <c r="BH2" s="4910"/>
      <c r="BI2" s="4910"/>
      <c r="BJ2" s="4910"/>
      <c r="BK2" s="4910"/>
      <c r="BL2" s="4910"/>
      <c r="BM2" s="4910"/>
      <c r="BN2" s="4910"/>
      <c r="BO2" s="4910"/>
    </row>
    <row r="3" spans="1:6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55</v>
      </c>
      <c r="Q3" s="16"/>
    </row>
    <row r="4" spans="1:67" ht="16.5" customHeight="1" x14ac:dyDescent="0.3">
      <c r="A4" s="5557" t="s">
        <v>525</v>
      </c>
      <c r="B4" s="5522" t="s">
        <v>57</v>
      </c>
      <c r="C4" s="5557" t="s">
        <v>58</v>
      </c>
      <c r="D4" s="5557"/>
      <c r="E4" s="5555" t="s">
        <v>66</v>
      </c>
      <c r="F4" s="5555"/>
      <c r="G4" s="5555" t="s">
        <v>91</v>
      </c>
      <c r="H4" s="5555"/>
      <c r="I4" s="5555" t="s">
        <v>116</v>
      </c>
      <c r="J4" s="5555"/>
      <c r="K4" s="5555"/>
      <c r="L4" s="5555"/>
      <c r="M4" s="5555"/>
      <c r="N4" s="5543" t="s">
        <v>153</v>
      </c>
      <c r="O4" s="5543"/>
      <c r="P4" s="5543"/>
      <c r="Q4" s="5543"/>
      <c r="R4" s="5543"/>
      <c r="S4" s="5543"/>
      <c r="T4" s="5543"/>
      <c r="U4" s="5662" t="s">
        <v>227</v>
      </c>
      <c r="V4" s="5662"/>
      <c r="W4" s="5662"/>
      <c r="X4" s="5662"/>
      <c r="Y4" s="5662"/>
      <c r="Z4" s="5662"/>
      <c r="AA4" s="5662" t="s">
        <v>362</v>
      </c>
      <c r="AB4" s="5662"/>
      <c r="AC4" s="5662"/>
      <c r="AD4" s="5662"/>
      <c r="AE4" s="5662"/>
      <c r="AF4" s="5662" t="s">
        <v>815</v>
      </c>
      <c r="AG4" s="5662"/>
      <c r="AH4" s="5662"/>
      <c r="AI4" s="2540" t="s">
        <v>892</v>
      </c>
      <c r="AJ4" s="5662" t="s">
        <v>893</v>
      </c>
      <c r="AK4" s="5663"/>
      <c r="AL4" s="5662" t="s">
        <v>1799</v>
      </c>
      <c r="AM4" s="5662"/>
      <c r="AN4" s="5569" t="s">
        <v>3659</v>
      </c>
      <c r="AO4" s="5530"/>
      <c r="AP4" s="5530"/>
      <c r="AQ4" s="5530"/>
      <c r="AR4" s="5530"/>
      <c r="AS4" s="5530"/>
      <c r="AT4" s="5530"/>
      <c r="AU4" s="5530"/>
      <c r="AV4" s="5530"/>
      <c r="AW4" s="5530"/>
      <c r="AX4" s="5531"/>
      <c r="AY4" s="5538" t="s">
        <v>3614</v>
      </c>
      <c r="AZ4" s="5522" t="s">
        <v>3615</v>
      </c>
      <c r="BA4" s="5522" t="s">
        <v>3617</v>
      </c>
      <c r="BB4" s="5660" t="s">
        <v>3846</v>
      </c>
      <c r="BC4" s="5661"/>
      <c r="BD4" s="5538" t="s">
        <v>3867</v>
      </c>
      <c r="BE4" s="5522" t="s">
        <v>3868</v>
      </c>
      <c r="BF4" s="5522" t="s">
        <v>3870</v>
      </c>
      <c r="BG4" s="5660" t="s">
        <v>3895</v>
      </c>
      <c r="BH4" s="5661"/>
      <c r="BI4" s="5522" t="s">
        <v>3929</v>
      </c>
      <c r="BJ4" s="5522" t="s">
        <v>3930</v>
      </c>
      <c r="BK4" s="5522" t="s">
        <v>3932</v>
      </c>
      <c r="BL4" s="5660" t="s">
        <v>4014</v>
      </c>
      <c r="BM4" s="5661"/>
      <c r="BN4" s="5522" t="s">
        <v>4257</v>
      </c>
      <c r="BO4" s="5522" t="s">
        <v>4258</v>
      </c>
    </row>
    <row r="5" spans="1:67" ht="12.75" customHeight="1" x14ac:dyDescent="0.2">
      <c r="A5" s="5557"/>
      <c r="B5" s="5522"/>
      <c r="C5" s="5522" t="s">
        <v>60</v>
      </c>
      <c r="D5" s="5522" t="s">
        <v>61</v>
      </c>
      <c r="E5" s="5543" t="s">
        <v>60</v>
      </c>
      <c r="F5" s="5543" t="s">
        <v>65</v>
      </c>
      <c r="G5" s="5543" t="s">
        <v>60</v>
      </c>
      <c r="H5" s="5543" t="s">
        <v>108</v>
      </c>
      <c r="I5" s="5543" t="s">
        <v>59</v>
      </c>
      <c r="J5" s="5543" t="s">
        <v>62</v>
      </c>
      <c r="K5" s="5543" t="s">
        <v>106</v>
      </c>
      <c r="L5" s="5543" t="s">
        <v>60</v>
      </c>
      <c r="M5" s="5543" t="s">
        <v>115</v>
      </c>
      <c r="N5" s="5543" t="s">
        <v>118</v>
      </c>
      <c r="O5" s="5543" t="s">
        <v>152</v>
      </c>
      <c r="P5" s="5543" t="s">
        <v>236</v>
      </c>
      <c r="Q5" s="5543" t="s">
        <v>160</v>
      </c>
      <c r="R5" s="5543" t="s">
        <v>152</v>
      </c>
      <c r="S5" s="5543" t="s">
        <v>106</v>
      </c>
      <c r="T5" s="5543" t="s">
        <v>60</v>
      </c>
      <c r="U5" s="5522" t="s">
        <v>549</v>
      </c>
      <c r="V5" s="5522" t="s">
        <v>232</v>
      </c>
      <c r="W5" s="5522" t="s">
        <v>550</v>
      </c>
      <c r="X5" s="5522" t="s">
        <v>373</v>
      </c>
      <c r="Y5" s="5522" t="s">
        <v>126</v>
      </c>
      <c r="Z5" s="5522" t="s">
        <v>641</v>
      </c>
      <c r="AA5" s="5522" t="s">
        <v>549</v>
      </c>
      <c r="AB5" s="5522" t="s">
        <v>550</v>
      </c>
      <c r="AC5" s="5522" t="s">
        <v>551</v>
      </c>
      <c r="AD5" s="5522" t="s">
        <v>373</v>
      </c>
      <c r="AE5" s="5522" t="s">
        <v>126</v>
      </c>
      <c r="AF5" s="5522" t="s">
        <v>549</v>
      </c>
      <c r="AG5" s="5522" t="s">
        <v>1585</v>
      </c>
      <c r="AH5" s="5522" t="s">
        <v>60</v>
      </c>
      <c r="AI5" s="5522" t="s">
        <v>60</v>
      </c>
      <c r="AJ5" s="5522" t="s">
        <v>1585</v>
      </c>
      <c r="AK5" s="5522" t="s">
        <v>60</v>
      </c>
      <c r="AL5" s="5522" t="s">
        <v>118</v>
      </c>
      <c r="AM5" s="5522" t="s">
        <v>1521</v>
      </c>
      <c r="AN5" s="5538" t="s">
        <v>3511</v>
      </c>
      <c r="AO5" s="2658"/>
      <c r="AP5" s="2663"/>
      <c r="AQ5" s="2663"/>
      <c r="AR5" s="2662"/>
      <c r="AS5" s="2662"/>
      <c r="AT5" s="2662"/>
      <c r="AU5" s="2662"/>
      <c r="AV5" s="2662"/>
      <c r="AW5" s="2662"/>
      <c r="AX5" s="5538" t="s">
        <v>3660</v>
      </c>
      <c r="AY5" s="5646"/>
      <c r="AZ5" s="5644"/>
      <c r="BA5" s="5644"/>
      <c r="BB5" s="5538" t="s">
        <v>3511</v>
      </c>
      <c r="BC5" s="5538" t="s">
        <v>3660</v>
      </c>
      <c r="BD5" s="5646"/>
      <c r="BE5" s="5644"/>
      <c r="BF5" s="5644"/>
      <c r="BG5" s="5538" t="s">
        <v>3511</v>
      </c>
      <c r="BH5" s="5538" t="s">
        <v>3660</v>
      </c>
      <c r="BI5" s="5644"/>
      <c r="BJ5" s="5644"/>
      <c r="BK5" s="5644"/>
      <c r="BL5" s="5538" t="s">
        <v>3511</v>
      </c>
      <c r="BM5" s="5538" t="s">
        <v>3660</v>
      </c>
      <c r="BN5" s="5644"/>
      <c r="BO5" s="5644"/>
    </row>
    <row r="6" spans="1:67" ht="12.75" customHeight="1" x14ac:dyDescent="0.2">
      <c r="A6" s="5557"/>
      <c r="B6" s="5522"/>
      <c r="C6" s="5522"/>
      <c r="D6" s="5522"/>
      <c r="E6" s="5543"/>
      <c r="F6" s="5543"/>
      <c r="G6" s="5543"/>
      <c r="H6" s="5543"/>
      <c r="I6" s="5543"/>
      <c r="J6" s="5543"/>
      <c r="K6" s="5543"/>
      <c r="L6" s="5543"/>
      <c r="M6" s="5543"/>
      <c r="N6" s="5543"/>
      <c r="O6" s="5543"/>
      <c r="P6" s="5543"/>
      <c r="Q6" s="5543"/>
      <c r="R6" s="5543"/>
      <c r="S6" s="5543"/>
      <c r="T6" s="5543"/>
      <c r="U6" s="5522"/>
      <c r="V6" s="5522"/>
      <c r="W6" s="5522"/>
      <c r="X6" s="5522"/>
      <c r="Y6" s="5522"/>
      <c r="Z6" s="5522"/>
      <c r="AA6" s="5522"/>
      <c r="AB6" s="5522"/>
      <c r="AC6" s="5522"/>
      <c r="AD6" s="5522"/>
      <c r="AE6" s="5522"/>
      <c r="AF6" s="5522"/>
      <c r="AG6" s="5522"/>
      <c r="AH6" s="5522"/>
      <c r="AI6" s="5522"/>
      <c r="AJ6" s="5522"/>
      <c r="AK6" s="5522"/>
      <c r="AL6" s="5522"/>
      <c r="AM6" s="5522"/>
      <c r="AN6" s="5651"/>
      <c r="AO6" s="2658"/>
      <c r="AP6" s="2663"/>
      <c r="AQ6" s="2663"/>
      <c r="AR6" s="2662"/>
      <c r="AS6" s="2662"/>
      <c r="AT6" s="2662"/>
      <c r="AU6" s="2662"/>
      <c r="AV6" s="2662"/>
      <c r="AW6" s="2662"/>
      <c r="AX6" s="5651"/>
      <c r="AY6" s="5646"/>
      <c r="AZ6" s="5644"/>
      <c r="BA6" s="5644"/>
      <c r="BB6" s="5651"/>
      <c r="BC6" s="5651"/>
      <c r="BD6" s="5646"/>
      <c r="BE6" s="5644"/>
      <c r="BF6" s="5644"/>
      <c r="BG6" s="5651"/>
      <c r="BH6" s="5651"/>
      <c r="BI6" s="5644"/>
      <c r="BJ6" s="5644"/>
      <c r="BK6" s="5644"/>
      <c r="BL6" s="5651"/>
      <c r="BM6" s="5651"/>
      <c r="BN6" s="5644"/>
      <c r="BO6" s="5644"/>
    </row>
    <row r="7" spans="1:67" ht="27" customHeight="1" x14ac:dyDescent="0.2">
      <c r="A7" s="5557"/>
      <c r="B7" s="5522"/>
      <c r="C7" s="5522"/>
      <c r="D7" s="5522"/>
      <c r="E7" s="5543"/>
      <c r="F7" s="5543"/>
      <c r="G7" s="5543"/>
      <c r="H7" s="5543"/>
      <c r="I7" s="5543"/>
      <c r="J7" s="5543"/>
      <c r="K7" s="5543"/>
      <c r="L7" s="5543"/>
      <c r="M7" s="5543"/>
      <c r="N7" s="5543"/>
      <c r="O7" s="5543"/>
      <c r="P7" s="5543"/>
      <c r="Q7" s="5543"/>
      <c r="R7" s="5543"/>
      <c r="S7" s="5543"/>
      <c r="T7" s="5543"/>
      <c r="U7" s="5522"/>
      <c r="V7" s="5522"/>
      <c r="W7" s="5522"/>
      <c r="X7" s="5522"/>
      <c r="Y7" s="5522"/>
      <c r="Z7" s="5522"/>
      <c r="AA7" s="5522"/>
      <c r="AB7" s="5522"/>
      <c r="AC7" s="5522"/>
      <c r="AD7" s="5522"/>
      <c r="AE7" s="5522"/>
      <c r="AF7" s="5522"/>
      <c r="AG7" s="5522"/>
      <c r="AH7" s="5522"/>
      <c r="AI7" s="5522"/>
      <c r="AJ7" s="5522"/>
      <c r="AK7" s="5522"/>
      <c r="AL7" s="5522"/>
      <c r="AM7" s="5522"/>
      <c r="AN7" s="5652"/>
      <c r="AO7" s="2658"/>
      <c r="AP7" s="2663"/>
      <c r="AQ7" s="2663"/>
      <c r="AR7" s="2662"/>
      <c r="AS7" s="2662"/>
      <c r="AT7" s="2662"/>
      <c r="AU7" s="2662"/>
      <c r="AV7" s="2662"/>
      <c r="AW7" s="2662"/>
      <c r="AX7" s="5652"/>
      <c r="AY7" s="5647"/>
      <c r="AZ7" s="5644"/>
      <c r="BA7" s="5644"/>
      <c r="BB7" s="5652"/>
      <c r="BC7" s="5652"/>
      <c r="BD7" s="5647"/>
      <c r="BE7" s="5644"/>
      <c r="BF7" s="5644"/>
      <c r="BG7" s="5652"/>
      <c r="BH7" s="5652"/>
      <c r="BI7" s="5644"/>
      <c r="BJ7" s="5644"/>
      <c r="BK7" s="5644"/>
      <c r="BL7" s="5652"/>
      <c r="BM7" s="5652"/>
      <c r="BN7" s="5644"/>
      <c r="BO7" s="5644"/>
    </row>
    <row r="8" spans="1:67" ht="20.25" customHeight="1" x14ac:dyDescent="0.2">
      <c r="A8" s="3191" t="s">
        <v>70</v>
      </c>
      <c r="B8" s="3192">
        <v>4357</v>
      </c>
      <c r="C8" s="3193">
        <v>5406.5</v>
      </c>
      <c r="D8" s="1725">
        <f>C8/B8*100</f>
        <v>124.08767500573789</v>
      </c>
      <c r="E8" s="1597">
        <v>6087.5</v>
      </c>
      <c r="F8" s="1600">
        <f t="shared" ref="F8:F16" si="0">E8/C8*100</f>
        <v>112.59594932026265</v>
      </c>
      <c r="G8" s="1597">
        <v>6903.5</v>
      </c>
      <c r="H8" s="1600">
        <f>G8/E8*100</f>
        <v>113.40451745379876</v>
      </c>
      <c r="I8" s="1597">
        <v>6484.8</v>
      </c>
      <c r="J8" s="1597">
        <v>3738.1</v>
      </c>
      <c r="K8" s="1597">
        <v>5035.8999999999996</v>
      </c>
      <c r="L8" s="1597">
        <v>7062.7</v>
      </c>
      <c r="M8" s="1600">
        <f>L8/G8*100</f>
        <v>102.30607662779749</v>
      </c>
      <c r="N8" s="1597">
        <v>8395.1</v>
      </c>
      <c r="O8" s="1600">
        <f t="shared" ref="O8:O17" si="1">N8/L8*100</f>
        <v>118.86530646919735</v>
      </c>
      <c r="P8" s="1597">
        <v>7191.3</v>
      </c>
      <c r="Q8" s="1600">
        <f t="shared" ref="Q8:Q17" si="2">P8/I8*100</f>
        <v>110.89470762398224</v>
      </c>
      <c r="R8" s="1600">
        <f t="shared" ref="R8:R17" si="3">P8/L8*100</f>
        <v>101.82083339232872</v>
      </c>
      <c r="S8" s="1597">
        <v>5453.4</v>
      </c>
      <c r="T8" s="1597">
        <v>6885.5</v>
      </c>
      <c r="U8" s="2578">
        <v>8933.7000000000007</v>
      </c>
      <c r="V8" s="3194">
        <f>U8/P8</f>
        <v>1.2422927704309374</v>
      </c>
      <c r="W8" s="1597">
        <f>P8*1.056</f>
        <v>7594.0128000000004</v>
      </c>
      <c r="X8" s="1597">
        <v>3201.3</v>
      </c>
      <c r="Y8" s="1597">
        <v>4939.3</v>
      </c>
      <c r="Z8" s="1597">
        <v>6586.3</v>
      </c>
      <c r="AA8" s="1597">
        <v>7973.7</v>
      </c>
      <c r="AB8" s="1597">
        <f>T8*1.074*1.067</f>
        <v>7890.4938089999996</v>
      </c>
      <c r="AC8" s="3194">
        <f>AB8/W8</f>
        <v>1.039041415495112</v>
      </c>
      <c r="AD8" s="1597">
        <v>3191.57</v>
      </c>
      <c r="AE8" s="1597">
        <v>5009.13</v>
      </c>
      <c r="AF8" s="1597">
        <f>SUM(AB8*1.1)</f>
        <v>8679.5431898999996</v>
      </c>
      <c r="AG8" s="1597">
        <f>AE8/9*12*1.074</f>
        <v>7173.074160000001</v>
      </c>
      <c r="AH8" s="1597">
        <v>6605.9</v>
      </c>
      <c r="AI8" s="1597">
        <v>6256.63</v>
      </c>
      <c r="AJ8" s="1597">
        <f>AJ9*AJ10*12/1000</f>
        <v>7830.6633600000005</v>
      </c>
      <c r="AK8" s="1597">
        <v>7184.53</v>
      </c>
      <c r="AL8" s="1597">
        <v>9899.81</v>
      </c>
      <c r="AM8" s="1597">
        <f>AM9*AM10*12/1000</f>
        <v>7831.709945391618</v>
      </c>
      <c r="AN8" s="1597">
        <f>AN9*AN10*12/1000</f>
        <v>7515.0183800000004</v>
      </c>
      <c r="AO8" s="5648" t="s">
        <v>239</v>
      </c>
      <c r="AP8" s="5649"/>
      <c r="AQ8" s="5649"/>
      <c r="AR8" s="3203"/>
      <c r="AS8" s="3203"/>
      <c r="AT8" s="3203"/>
      <c r="AU8" s="3203"/>
      <c r="AV8" s="3203"/>
      <c r="AW8" s="3203"/>
      <c r="AX8" s="1597">
        <f>AX9*AX10*12/1000</f>
        <v>7985.9946313158307</v>
      </c>
      <c r="AY8" s="3192">
        <v>3530.11</v>
      </c>
      <c r="AZ8" s="3192">
        <v>5392.32</v>
      </c>
      <c r="BA8" s="3192">
        <v>7522.09</v>
      </c>
      <c r="BB8" s="1597">
        <f>BB9*BB10*12/1000</f>
        <v>9542.0964005916903</v>
      </c>
      <c r="BC8" s="1597">
        <f>BC9*BC10*12/1000</f>
        <v>8206.6599133397849</v>
      </c>
      <c r="BD8" s="3600">
        <v>4227.38</v>
      </c>
      <c r="BE8" s="3600">
        <v>6122.63</v>
      </c>
      <c r="BF8" s="3600">
        <v>8170.53</v>
      </c>
      <c r="BG8" s="1597">
        <f>BG9*BG10*12/1000</f>
        <v>10499.474436820561</v>
      </c>
      <c r="BH8" s="1597">
        <f>BH9*BH10*12/1000</f>
        <v>8687.0613945586665</v>
      </c>
      <c r="BI8" s="3915">
        <v>4240.8</v>
      </c>
      <c r="BJ8" s="3915">
        <v>6249.84</v>
      </c>
      <c r="BK8" s="3915">
        <v>8328.92</v>
      </c>
      <c r="BL8" s="2343">
        <f>BL9*BL10*12/1000</f>
        <v>9428.4665382599978</v>
      </c>
      <c r="BM8" s="2343">
        <f>BM9*BM10*12/1000</f>
        <v>10021.019806480561</v>
      </c>
      <c r="BN8" s="4706">
        <v>5177.5200000000004</v>
      </c>
      <c r="BO8" s="4706">
        <v>9592.09</v>
      </c>
    </row>
    <row r="9" spans="1:67" ht="20.25" customHeight="1" x14ac:dyDescent="0.2">
      <c r="A9" s="3195" t="s">
        <v>1453</v>
      </c>
      <c r="B9" s="3192"/>
      <c r="C9" s="3193"/>
      <c r="D9" s="1725"/>
      <c r="E9" s="1597"/>
      <c r="F9" s="1600"/>
      <c r="G9" s="1597"/>
      <c r="H9" s="1600"/>
      <c r="I9" s="1597"/>
      <c r="J9" s="1597"/>
      <c r="K9" s="1597"/>
      <c r="L9" s="1597"/>
      <c r="M9" s="1600"/>
      <c r="N9" s="1597"/>
      <c r="O9" s="1600"/>
      <c r="P9" s="1597"/>
      <c r="Q9" s="1600"/>
      <c r="R9" s="1600"/>
      <c r="S9" s="1597"/>
      <c r="T9" s="1597"/>
      <c r="U9" s="2578"/>
      <c r="V9" s="3194"/>
      <c r="W9" s="1597"/>
      <c r="X9" s="1597"/>
      <c r="Y9" s="1597"/>
      <c r="Z9" s="1597"/>
      <c r="AA9" s="1597"/>
      <c r="AB9" s="1597"/>
      <c r="AC9" s="3194"/>
      <c r="AD9" s="1597">
        <v>13</v>
      </c>
      <c r="AE9" s="1597">
        <v>13</v>
      </c>
      <c r="AF9" s="1597"/>
      <c r="AG9" s="1597">
        <f>AD9</f>
        <v>13</v>
      </c>
      <c r="AH9" s="1597">
        <v>13</v>
      </c>
      <c r="AI9" s="1597">
        <v>13</v>
      </c>
      <c r="AJ9" s="1597">
        <v>13</v>
      </c>
      <c r="AK9" s="1597">
        <v>14</v>
      </c>
      <c r="AL9" s="1597">
        <v>14</v>
      </c>
      <c r="AM9" s="1597">
        <v>13</v>
      </c>
      <c r="AN9" s="1597">
        <v>14</v>
      </c>
      <c r="AO9" s="5648" t="s">
        <v>2050</v>
      </c>
      <c r="AP9" s="5648"/>
      <c r="AQ9" s="5648"/>
      <c r="AR9" s="3203"/>
      <c r="AS9" s="3203"/>
      <c r="AT9" s="3203"/>
      <c r="AU9" s="3203"/>
      <c r="AV9" s="3203"/>
      <c r="AW9" s="3203"/>
      <c r="AX9" s="1597">
        <f>SUM(AM9)</f>
        <v>13</v>
      </c>
      <c r="AY9" s="3192">
        <v>15</v>
      </c>
      <c r="AZ9" s="3192">
        <v>15</v>
      </c>
      <c r="BA9" s="3192">
        <v>15</v>
      </c>
      <c r="BB9" s="1597">
        <v>15</v>
      </c>
      <c r="BC9" s="1597">
        <v>13</v>
      </c>
      <c r="BD9" s="3600">
        <v>16</v>
      </c>
      <c r="BE9" s="3600">
        <v>16</v>
      </c>
      <c r="BF9" s="3600">
        <v>16</v>
      </c>
      <c r="BG9" s="3956">
        <v>16</v>
      </c>
      <c r="BH9" s="3217">
        <v>13</v>
      </c>
      <c r="BI9" s="3915">
        <v>17</v>
      </c>
      <c r="BJ9" s="3915">
        <v>18</v>
      </c>
      <c r="BK9" s="3915">
        <v>18</v>
      </c>
      <c r="BL9" s="3610">
        <v>18</v>
      </c>
      <c r="BM9" s="4164">
        <v>13</v>
      </c>
      <c r="BN9" s="4706">
        <v>18</v>
      </c>
      <c r="BO9" s="4706">
        <v>17</v>
      </c>
    </row>
    <row r="10" spans="1:67" ht="20.25" customHeight="1" x14ac:dyDescent="0.2">
      <c r="A10" s="3195" t="s">
        <v>1454</v>
      </c>
      <c r="B10" s="3192"/>
      <c r="C10" s="3193"/>
      <c r="D10" s="1725"/>
      <c r="E10" s="1597"/>
      <c r="F10" s="1600"/>
      <c r="G10" s="1597"/>
      <c r="H10" s="1600"/>
      <c r="I10" s="1597"/>
      <c r="J10" s="1597"/>
      <c r="K10" s="1597"/>
      <c r="L10" s="1597"/>
      <c r="M10" s="1600"/>
      <c r="N10" s="1597"/>
      <c r="O10" s="1600"/>
      <c r="P10" s="1597"/>
      <c r="Q10" s="1600"/>
      <c r="R10" s="1600"/>
      <c r="S10" s="1597"/>
      <c r="T10" s="1597"/>
      <c r="U10" s="2578"/>
      <c r="V10" s="3194"/>
      <c r="W10" s="1597"/>
      <c r="X10" s="1597"/>
      <c r="Y10" s="1597"/>
      <c r="Z10" s="1597"/>
      <c r="AA10" s="1597"/>
      <c r="AB10" s="1597"/>
      <c r="AC10" s="3194"/>
      <c r="AD10" s="1597">
        <f>AD8/AD9/6*1000</f>
        <v>40917.564102564109</v>
      </c>
      <c r="AE10" s="1597">
        <f>AE8/AE9/9*1000</f>
        <v>42813.076923076922</v>
      </c>
      <c r="AF10" s="1597"/>
      <c r="AG10" s="1597">
        <f>AG8/AG9/12*1000</f>
        <v>45981.244615384618</v>
      </c>
      <c r="AH10" s="1597">
        <v>42345.51</v>
      </c>
      <c r="AI10" s="1597">
        <v>40106.6</v>
      </c>
      <c r="AJ10" s="1597">
        <v>50196.56</v>
      </c>
      <c r="AK10" s="2579">
        <f t="shared" ref="AK10" si="4">AK8/AK9*1000/12</f>
        <v>42765.059523809527</v>
      </c>
      <c r="AL10" s="1597">
        <v>58927.44</v>
      </c>
      <c r="AM10" s="1597">
        <f>AG10*0.99*1.037*0.99*1.027*1.046</f>
        <v>50203.268880715492</v>
      </c>
      <c r="AN10" s="1600">
        <f>SUM(AK10*1.046)</f>
        <v>44732.252261904767</v>
      </c>
      <c r="AO10" s="5650" t="s">
        <v>2051</v>
      </c>
      <c r="AP10" s="5650"/>
      <c r="AQ10" s="5650"/>
      <c r="AR10" s="3197"/>
      <c r="AS10" s="3197"/>
      <c r="AT10" s="3197"/>
      <c r="AU10" s="3197"/>
      <c r="AV10" s="3197"/>
      <c r="AW10" s="3197"/>
      <c r="AX10" s="3958">
        <f>SUM(AM10*1.03)*(1-0.01)</f>
        <v>51192.27327766559</v>
      </c>
      <c r="AY10" s="2579">
        <f>AY8/AY9*1000/6</f>
        <v>39223.444444444445</v>
      </c>
      <c r="AZ10" s="2579">
        <f>AZ8/AZ9*1000/9</f>
        <v>39943.111111111109</v>
      </c>
      <c r="BA10" s="2579">
        <f>BA8/BA9*1000/12</f>
        <v>41789.388888888891</v>
      </c>
      <c r="BB10" s="3958">
        <f>SUM(AX10*1.046)*(1-0.01)</f>
        <v>53011.646669953829</v>
      </c>
      <c r="BC10" s="3958">
        <f>SUM(AM10*(1+0.032)*0.99*(1+0.036)*0.99)</f>
        <v>52606.79431628067</v>
      </c>
      <c r="BD10" s="2579">
        <f>BD8/BD9*1000/6</f>
        <v>44035.208333333336</v>
      </c>
      <c r="BE10" s="2579">
        <f>BE8/BE9*1000/9</f>
        <v>42518.263888888891</v>
      </c>
      <c r="BF10" s="2579">
        <f>BF8/BF9*1000/12</f>
        <v>42554.84375</v>
      </c>
      <c r="BG10" s="3958">
        <f>SUM(BC10*1.05)*(1-0.01)</f>
        <v>54684.762691773758</v>
      </c>
      <c r="BH10" s="3958">
        <f>SUM(AM10*(1+0.034)*0.99*1.06*0.99*(1+0.043)*0.99)</f>
        <v>55686.290990760681</v>
      </c>
      <c r="BI10" s="2579">
        <f>BI8/BI9*1000/6</f>
        <v>41576.470588235294</v>
      </c>
      <c r="BJ10" s="2579">
        <f>BJ8/BJ9*1000/9</f>
        <v>38579.259259259263</v>
      </c>
      <c r="BK10" s="2579">
        <f>BK8/BK9*1000/12</f>
        <v>38559.81481481481</v>
      </c>
      <c r="BL10" s="3957">
        <f>SUM(BK10*(1+0.1)*0.99*(1+0.05)*0.99)</f>
        <v>43650.308047499995</v>
      </c>
      <c r="BM10" s="4165">
        <f>AM10*0.99*1.034*0.99*1.067*0.99*1.139*0.99*1.06</f>
        <v>64237.30645179846</v>
      </c>
      <c r="BN10" s="4703">
        <f>BN8/BN9*1000/6</f>
        <v>47940.000000000007</v>
      </c>
      <c r="BO10" s="4703">
        <f>BO8/BO9*1000/12</f>
        <v>47020.049019607839</v>
      </c>
    </row>
    <row r="11" spans="1:67" ht="20.25" customHeight="1" x14ac:dyDescent="0.2">
      <c r="A11" s="3191" t="s">
        <v>113</v>
      </c>
      <c r="B11" s="3192">
        <v>1088.3</v>
      </c>
      <c r="C11" s="3193">
        <v>1239</v>
      </c>
      <c r="D11" s="1725">
        <f>C11/B11*100</f>
        <v>113.84728475604153</v>
      </c>
      <c r="E11" s="1597">
        <v>1492.4</v>
      </c>
      <c r="F11" s="1600">
        <f t="shared" si="0"/>
        <v>120.45197740112997</v>
      </c>
      <c r="G11" s="1597">
        <v>2283.5</v>
      </c>
      <c r="H11" s="1600">
        <f t="shared" ref="H11:H46" si="5">G11/E11*100</f>
        <v>153.00857678906459</v>
      </c>
      <c r="I11" s="1597">
        <f>I8*30.2/100</f>
        <v>1958.4096</v>
      </c>
      <c r="J11" s="1597">
        <v>1276.0999999999999</v>
      </c>
      <c r="K11" s="1597">
        <v>1509.5</v>
      </c>
      <c r="L11" s="1597">
        <v>2054.4</v>
      </c>
      <c r="M11" s="1600">
        <f t="shared" ref="M11:M46" si="6">L11/G11*100</f>
        <v>89.967155682067002</v>
      </c>
      <c r="N11" s="1597">
        <v>2535.3000000000002</v>
      </c>
      <c r="O11" s="1600">
        <f t="shared" si="1"/>
        <v>123.40829439252336</v>
      </c>
      <c r="P11" s="1597">
        <v>2171.6999999999998</v>
      </c>
      <c r="Q11" s="1600">
        <f t="shared" si="2"/>
        <v>110.89100053431109</v>
      </c>
      <c r="R11" s="1600">
        <f t="shared" si="3"/>
        <v>105.70969626168223</v>
      </c>
      <c r="S11" s="1597">
        <v>1600.4</v>
      </c>
      <c r="T11" s="1597">
        <v>1941.4</v>
      </c>
      <c r="U11" s="2578">
        <v>2698</v>
      </c>
      <c r="V11" s="3194">
        <f t="shared" ref="V11:V46" si="7">U11/P11</f>
        <v>1.2423447069116362</v>
      </c>
      <c r="W11" s="1597">
        <f>W8*S12</f>
        <v>2228.6019886896256</v>
      </c>
      <c r="X11" s="1597">
        <v>962.5</v>
      </c>
      <c r="Y11" s="1597">
        <v>1485.4</v>
      </c>
      <c r="Z11" s="1597">
        <v>1966.3</v>
      </c>
      <c r="AA11" s="1597">
        <v>2408.1</v>
      </c>
      <c r="AB11" s="1597">
        <f>AB8*AB12</f>
        <v>2372.9150899699553</v>
      </c>
      <c r="AC11" s="3194">
        <f>AB11/W11</f>
        <v>1.0647549908026346</v>
      </c>
      <c r="AD11" s="1597">
        <v>957.03</v>
      </c>
      <c r="AE11" s="1597">
        <v>1502.4</v>
      </c>
      <c r="AF11" s="1597">
        <f>SUM(AF8*AF12)</f>
        <v>2621.2220433497996</v>
      </c>
      <c r="AG11" s="1597">
        <f>AG8*AG12</f>
        <v>2141.4778738909558</v>
      </c>
      <c r="AH11" s="1597">
        <v>1987.5</v>
      </c>
      <c r="AI11" s="1597">
        <v>1853.81</v>
      </c>
      <c r="AJ11" s="1597">
        <v>2337.8000000000002</v>
      </c>
      <c r="AK11" s="1597">
        <v>2161.66</v>
      </c>
      <c r="AL11" s="1597">
        <v>2965.98</v>
      </c>
      <c r="AM11" s="1597">
        <f>AM8*AI12</f>
        <v>2320.4987691243427</v>
      </c>
      <c r="AN11" s="1597">
        <f>AN8*AK12</f>
        <v>2261.0963600000005</v>
      </c>
      <c r="AO11" s="5648"/>
      <c r="AP11" s="5649"/>
      <c r="AQ11" s="5649"/>
      <c r="AR11" s="3203"/>
      <c r="AS11" s="3203"/>
      <c r="AT11" s="3203"/>
      <c r="AU11" s="3203"/>
      <c r="AV11" s="3203"/>
      <c r="AW11" s="3203"/>
      <c r="AX11" s="3204">
        <f>SUM(AX8*AX12)</f>
        <v>2366.2125948760913</v>
      </c>
      <c r="AY11" s="3192">
        <v>1068.26</v>
      </c>
      <c r="AZ11" s="3192">
        <v>1630.24</v>
      </c>
      <c r="BA11" s="3192">
        <v>2292.4299999999998</v>
      </c>
      <c r="BB11" s="3204">
        <f>SUM(BB8*BB12)</f>
        <v>2908.0465737060322</v>
      </c>
      <c r="BC11" s="3204">
        <f>SUM(BC8*BC12)</f>
        <v>2431.594678596693</v>
      </c>
      <c r="BD11" s="3600">
        <v>1270.83</v>
      </c>
      <c r="BE11" s="3600">
        <v>1841.66</v>
      </c>
      <c r="BF11" s="3600">
        <v>2457.7800000000002</v>
      </c>
      <c r="BG11" s="3204">
        <f>SUM(BG8*BG12)</f>
        <v>3158.3505943101418</v>
      </c>
      <c r="BH11" s="3204">
        <f>SUM(BH8*BH12)</f>
        <v>2573.9353747699324</v>
      </c>
      <c r="BI11" s="3915">
        <v>1275.04</v>
      </c>
      <c r="BJ11" s="3915">
        <v>1878.67</v>
      </c>
      <c r="BK11" s="3915">
        <v>2502.0300000000002</v>
      </c>
      <c r="BL11" s="3209">
        <f>SUM(BL8*BL12)</f>
        <v>2832.3367414649997</v>
      </c>
      <c r="BM11" s="3209">
        <f>SUM(BM8*BM12)</f>
        <v>2832.3399452112458</v>
      </c>
      <c r="BN11" s="4706">
        <v>1558.15</v>
      </c>
      <c r="BO11" s="4706">
        <v>2857.7</v>
      </c>
    </row>
    <row r="12" spans="1:67" s="181" customFormat="1" ht="20.25" customHeight="1" x14ac:dyDescent="0.2">
      <c r="A12" s="3195" t="s">
        <v>308</v>
      </c>
      <c r="B12" s="3196"/>
      <c r="C12" s="1725"/>
      <c r="D12" s="1725"/>
      <c r="E12" s="1599">
        <f>E11/E8</f>
        <v>0.24515811088295689</v>
      </c>
      <c r="F12" s="1599">
        <f t="shared" ref="F12:W12" si="8">F11/F8</f>
        <v>1.0697718535017811</v>
      </c>
      <c r="G12" s="1599">
        <f t="shared" si="8"/>
        <v>0.33077424494821467</v>
      </c>
      <c r="H12" s="1599">
        <f t="shared" si="8"/>
        <v>1.3492282337994217</v>
      </c>
      <c r="I12" s="1599">
        <f t="shared" si="8"/>
        <v>0.30199999999999999</v>
      </c>
      <c r="J12" s="1599">
        <f t="shared" si="8"/>
        <v>0.34137663518899974</v>
      </c>
      <c r="K12" s="1599">
        <f t="shared" si="8"/>
        <v>0.29974781071903733</v>
      </c>
      <c r="L12" s="1599">
        <f t="shared" si="8"/>
        <v>0.29088025825817326</v>
      </c>
      <c r="M12" s="1599">
        <f t="shared" si="8"/>
        <v>0.87939210111026878</v>
      </c>
      <c r="N12" s="1599">
        <f t="shared" si="8"/>
        <v>0.3019975938344987</v>
      </c>
      <c r="O12" s="1599">
        <f t="shared" si="8"/>
        <v>1.0382196290765739</v>
      </c>
      <c r="P12" s="1599">
        <f t="shared" si="8"/>
        <v>0.3019899044678987</v>
      </c>
      <c r="Q12" s="1599">
        <f t="shared" si="8"/>
        <v>0.99996657108575715</v>
      </c>
      <c r="R12" s="1599">
        <f t="shared" si="8"/>
        <v>1.0381931942588725</v>
      </c>
      <c r="S12" s="1599">
        <f t="shared" si="8"/>
        <v>0.29346829500861854</v>
      </c>
      <c r="T12" s="1599">
        <f>T11/T8</f>
        <v>0.2819548326192724</v>
      </c>
      <c r="U12" s="1599">
        <f t="shared" si="8"/>
        <v>0.30200252974691333</v>
      </c>
      <c r="V12" s="3194">
        <f t="shared" si="7"/>
        <v>1.0000418069572123</v>
      </c>
      <c r="W12" s="1599">
        <f t="shared" si="8"/>
        <v>0.29346829500861854</v>
      </c>
      <c r="X12" s="1599">
        <f>X11/X8</f>
        <v>0.30065910723768469</v>
      </c>
      <c r="Y12" s="1599">
        <f>Y11/Y8</f>
        <v>0.30073087279574029</v>
      </c>
      <c r="Z12" s="1599">
        <f>Z11/Z8</f>
        <v>0.29854394728451483</v>
      </c>
      <c r="AA12" s="1599">
        <f>X12</f>
        <v>0.30065910723768469</v>
      </c>
      <c r="AB12" s="1599">
        <f>Y12</f>
        <v>0.30073087279574029</v>
      </c>
      <c r="AC12" s="1599">
        <f>Z12</f>
        <v>0.29854394728451483</v>
      </c>
      <c r="AD12" s="1599">
        <f t="shared" ref="AD12:AE12" si="9">AD11/AD8</f>
        <v>0.29986182349125978</v>
      </c>
      <c r="AE12" s="1599">
        <f t="shared" si="9"/>
        <v>0.29993232357714816</v>
      </c>
      <c r="AF12" s="1599">
        <v>0.30199999999999999</v>
      </c>
      <c r="AG12" s="1599">
        <f>Z12</f>
        <v>0.29854394728451483</v>
      </c>
      <c r="AH12" s="1599">
        <f>AH11/AH8</f>
        <v>0.30086740640942189</v>
      </c>
      <c r="AI12" s="1599">
        <f>AI11/AI8</f>
        <v>0.29629528995641424</v>
      </c>
      <c r="AJ12" s="1599">
        <f>AJ11/AJ8</f>
        <v>0.29854431132128251</v>
      </c>
      <c r="AK12" s="1599">
        <f>AK11/AK8</f>
        <v>0.30087702327083332</v>
      </c>
      <c r="AL12" s="1599">
        <f t="shared" ref="AL12:AM12" si="10">AL11/AL8</f>
        <v>0.29959968928696612</v>
      </c>
      <c r="AM12" s="1599">
        <f t="shared" si="10"/>
        <v>0.29629528995641424</v>
      </c>
      <c r="AN12" s="1599">
        <f t="shared" ref="AN12" si="11">AN11/AN8</f>
        <v>0.30087702327083332</v>
      </c>
      <c r="AO12" s="5650" t="s">
        <v>2052</v>
      </c>
      <c r="AP12" s="5649"/>
      <c r="AQ12" s="5649"/>
      <c r="AR12" s="3197"/>
      <c r="AS12" s="3197"/>
      <c r="AT12" s="3197"/>
      <c r="AU12" s="3197"/>
      <c r="AV12" s="3197"/>
      <c r="AW12" s="3197"/>
      <c r="AX12" s="3205">
        <f>SUM(AM12)</f>
        <v>0.29629528995641424</v>
      </c>
      <c r="AY12" s="1599">
        <f t="shared" ref="AY12:BA12" si="12">AY11/AY8</f>
        <v>0.30261379956998508</v>
      </c>
      <c r="AZ12" s="1599">
        <f t="shared" si="12"/>
        <v>0.30232627143789687</v>
      </c>
      <c r="BA12" s="1599">
        <f t="shared" si="12"/>
        <v>0.30475971438788951</v>
      </c>
      <c r="BB12" s="3205">
        <f>SUM(BA12)</f>
        <v>0.30475971438788951</v>
      </c>
      <c r="BC12" s="1599">
        <f>SUM(AM12)</f>
        <v>0.29629528995641424</v>
      </c>
      <c r="BD12" s="1599">
        <f t="shared" ref="BD12:BF12" si="13">BD11/BD8</f>
        <v>0.30061882300621184</v>
      </c>
      <c r="BE12" s="1599">
        <f t="shared" si="13"/>
        <v>0.30079557314422073</v>
      </c>
      <c r="BF12" s="1599">
        <f t="shared" si="13"/>
        <v>0.3008103513480766</v>
      </c>
      <c r="BG12" s="3205">
        <f>SUM(BF12)</f>
        <v>0.3008103513480766</v>
      </c>
      <c r="BH12" s="1599">
        <f>SUM(AM12)</f>
        <v>0.29629528995641424</v>
      </c>
      <c r="BI12" s="1599">
        <f t="shared" ref="BI12:BJ12" si="14">BI11/BI8</f>
        <v>0.30066025278249386</v>
      </c>
      <c r="BJ12" s="1599">
        <f t="shared" si="14"/>
        <v>0.30059489522931787</v>
      </c>
      <c r="BK12" s="1599">
        <f t="shared" ref="BK12" si="15">BK11/BK8</f>
        <v>0.30040269326635388</v>
      </c>
      <c r="BL12" s="3210">
        <f>SUM(BK12)</f>
        <v>0.30040269326635388</v>
      </c>
      <c r="BM12" s="3690">
        <v>0.28263989094000003</v>
      </c>
      <c r="BN12" s="4682">
        <f t="shared" ref="BN12:BO12" si="16">BN11/BN8</f>
        <v>0.30094524019221558</v>
      </c>
      <c r="BO12" s="4682">
        <f t="shared" si="16"/>
        <v>0.29792255910859883</v>
      </c>
    </row>
    <row r="13" spans="1:67" ht="20.25" customHeight="1" x14ac:dyDescent="0.2">
      <c r="A13" s="3191" t="s">
        <v>80</v>
      </c>
      <c r="B13" s="3192">
        <v>324.39999999999998</v>
      </c>
      <c r="C13" s="3193">
        <v>328</v>
      </c>
      <c r="D13" s="1725"/>
      <c r="E13" s="1597">
        <v>140.6</v>
      </c>
      <c r="F13" s="1600">
        <f t="shared" si="0"/>
        <v>42.865853658536587</v>
      </c>
      <c r="G13" s="1597">
        <v>140.6</v>
      </c>
      <c r="H13" s="1600">
        <f t="shared" si="5"/>
        <v>100</v>
      </c>
      <c r="I13" s="1597">
        <v>159.69999999999999</v>
      </c>
      <c r="J13" s="1597">
        <v>0</v>
      </c>
      <c r="K13" s="1597">
        <v>147.30000000000001</v>
      </c>
      <c r="L13" s="1597">
        <v>147.30000000000001</v>
      </c>
      <c r="M13" s="1600">
        <f t="shared" si="6"/>
        <v>104.76529160739689</v>
      </c>
      <c r="N13" s="1597">
        <v>166.9</v>
      </c>
      <c r="O13" s="1600">
        <f t="shared" si="1"/>
        <v>113.306177868296</v>
      </c>
      <c r="P13" s="1597">
        <v>166.9</v>
      </c>
      <c r="Q13" s="1600">
        <f t="shared" si="2"/>
        <v>104.50845335003132</v>
      </c>
      <c r="R13" s="1600">
        <f t="shared" si="3"/>
        <v>113.306177868296</v>
      </c>
      <c r="S13" s="1597">
        <v>0</v>
      </c>
      <c r="T13" s="1597">
        <v>0</v>
      </c>
      <c r="U13" s="2578">
        <v>183</v>
      </c>
      <c r="V13" s="3194">
        <f t="shared" si="7"/>
        <v>1.0964649490713001</v>
      </c>
      <c r="W13" s="1597">
        <v>0</v>
      </c>
      <c r="X13" s="1597">
        <v>80</v>
      </c>
      <c r="Y13" s="1597">
        <v>240</v>
      </c>
      <c r="Z13" s="1597">
        <v>389.6</v>
      </c>
      <c r="AA13" s="1597">
        <v>0</v>
      </c>
      <c r="AB13" s="1597">
        <v>0</v>
      </c>
      <c r="AC13" s="3194"/>
      <c r="AD13" s="1597">
        <v>528</v>
      </c>
      <c r="AE13" s="1597">
        <v>792</v>
      </c>
      <c r="AF13" s="1597">
        <v>1056</v>
      </c>
      <c r="AG13" s="1597">
        <v>1056</v>
      </c>
      <c r="AH13" s="1597">
        <v>1056</v>
      </c>
      <c r="AI13" s="1597">
        <v>1022.37</v>
      </c>
      <c r="AJ13" s="1597">
        <v>1152.81</v>
      </c>
      <c r="AK13" s="1597">
        <v>740</v>
      </c>
      <c r="AL13" s="1597">
        <v>1187.3900000000001</v>
      </c>
      <c r="AM13" s="1597">
        <f>AI13*1.027*1.046</f>
        <v>1098.2727935400001</v>
      </c>
      <c r="AN13" s="1597">
        <f>SUM(AM13*1.046)</f>
        <v>1148.7933420428401</v>
      </c>
      <c r="AO13" s="5648" t="s">
        <v>2053</v>
      </c>
      <c r="AP13" s="5649"/>
      <c r="AQ13" s="5649"/>
      <c r="AR13" s="3203"/>
      <c r="AS13" s="3203"/>
      <c r="AT13" s="3203"/>
      <c r="AU13" s="3203"/>
      <c r="AV13" s="3203"/>
      <c r="AW13" s="3203"/>
      <c r="AX13" s="3204">
        <f t="shared" ref="AX13:AX23" si="17">SUM(AM13*1.03)*(1-0.01)</f>
        <v>1119.908767572738</v>
      </c>
      <c r="AY13" s="3192">
        <v>328.5</v>
      </c>
      <c r="AZ13" s="3192">
        <v>492.75</v>
      </c>
      <c r="BA13" s="3192">
        <v>657</v>
      </c>
      <c r="BB13" s="3204">
        <f>SUM(AX13*1.046)*(1-0.01)</f>
        <v>1159.7103251722731</v>
      </c>
      <c r="BC13" s="3204">
        <v>672.51</v>
      </c>
      <c r="BD13" s="3600">
        <v>324.57</v>
      </c>
      <c r="BE13" s="3600">
        <v>486.84</v>
      </c>
      <c r="BF13" s="3600">
        <v>649.14</v>
      </c>
      <c r="BG13" s="3204">
        <f>SUM(BC13*1.05)*(1-0.01)</f>
        <v>699.07414499999993</v>
      </c>
      <c r="BH13" s="3204">
        <f>SUM(BC13*1.06*0.99*(1+0.043)*0.99)</f>
        <v>728.71768504457987</v>
      </c>
      <c r="BI13" s="3915">
        <v>319.26</v>
      </c>
      <c r="BJ13" s="3915">
        <v>478.89</v>
      </c>
      <c r="BK13" s="3915">
        <v>638.52</v>
      </c>
      <c r="BL13" s="3209">
        <f t="shared" ref="BL13:BL45" si="18">SUM(BK13*(1+0.1)*0.99*(1+0.05)*0.99)</f>
        <v>722.81453706000002</v>
      </c>
      <c r="BM13" s="4163">
        <v>722.81</v>
      </c>
      <c r="BN13" s="4706">
        <v>350.36</v>
      </c>
      <c r="BO13" s="4706">
        <v>709.71</v>
      </c>
    </row>
    <row r="14" spans="1:67" ht="20.25" customHeight="1" x14ac:dyDescent="0.2">
      <c r="A14" s="3191" t="s">
        <v>52</v>
      </c>
      <c r="B14" s="3192">
        <v>107.6</v>
      </c>
      <c r="C14" s="3193">
        <v>91.5</v>
      </c>
      <c r="D14" s="1725">
        <f>C14/B14*100</f>
        <v>85.037174721189587</v>
      </c>
      <c r="E14" s="1597">
        <v>103.9</v>
      </c>
      <c r="F14" s="1600">
        <f t="shared" si="0"/>
        <v>113.55191256830601</v>
      </c>
      <c r="G14" s="1597">
        <v>103.5</v>
      </c>
      <c r="H14" s="1600">
        <f t="shared" si="5"/>
        <v>99.615014436958603</v>
      </c>
      <c r="I14" s="1597">
        <v>112.9</v>
      </c>
      <c r="J14" s="1597">
        <v>50</v>
      </c>
      <c r="K14" s="1597">
        <v>74.5</v>
      </c>
      <c r="L14" s="1597">
        <v>97.9</v>
      </c>
      <c r="M14" s="1600">
        <f t="shared" si="6"/>
        <v>94.589371980676333</v>
      </c>
      <c r="N14" s="1597">
        <v>119.7</v>
      </c>
      <c r="O14" s="1600">
        <f t="shared" si="1"/>
        <v>122.26762002042901</v>
      </c>
      <c r="P14" s="1597">
        <v>118.4</v>
      </c>
      <c r="Q14" s="1600">
        <f t="shared" si="2"/>
        <v>104.87156775907881</v>
      </c>
      <c r="R14" s="1600">
        <f t="shared" si="3"/>
        <v>120.93973442288049</v>
      </c>
      <c r="S14" s="1597">
        <v>86.7</v>
      </c>
      <c r="T14" s="1597">
        <v>113.5</v>
      </c>
      <c r="U14" s="2578">
        <v>124.3</v>
      </c>
      <c r="V14" s="3194">
        <f t="shared" si="7"/>
        <v>1.0498310810810809</v>
      </c>
      <c r="W14" s="1597">
        <f>P14*1.048</f>
        <v>124.08320000000001</v>
      </c>
      <c r="X14" s="1597">
        <v>58.3</v>
      </c>
      <c r="Y14" s="1597">
        <v>86.2</v>
      </c>
      <c r="Z14" s="1597">
        <v>114.6</v>
      </c>
      <c r="AA14" s="1597">
        <v>131</v>
      </c>
      <c r="AB14" s="1597">
        <f>AA14</f>
        <v>131</v>
      </c>
      <c r="AC14" s="3194">
        <f>AB14/W14</f>
        <v>1.0557432432432432</v>
      </c>
      <c r="AD14" s="1597">
        <v>75.569999999999993</v>
      </c>
      <c r="AE14" s="1597">
        <v>113.59</v>
      </c>
      <c r="AF14" s="1597">
        <f>SUM(AB14*1.1)</f>
        <v>144.10000000000002</v>
      </c>
      <c r="AG14" s="1597">
        <f>AF14</f>
        <v>144.10000000000002</v>
      </c>
      <c r="AH14" s="1597">
        <v>158.79</v>
      </c>
      <c r="AI14" s="1597">
        <v>122.86</v>
      </c>
      <c r="AJ14" s="1597">
        <v>157.31</v>
      </c>
      <c r="AK14" s="1597">
        <v>155.08000000000001</v>
      </c>
      <c r="AL14" s="1597">
        <v>162.03</v>
      </c>
      <c r="AM14" s="1597">
        <f>AL14</f>
        <v>162.03</v>
      </c>
      <c r="AN14" s="1597">
        <f>SUM(AM14*1.046)</f>
        <v>169.48338000000001</v>
      </c>
      <c r="AO14" s="5648" t="s">
        <v>2054</v>
      </c>
      <c r="AP14" s="5649"/>
      <c r="AQ14" s="5649"/>
      <c r="AR14" s="3203"/>
      <c r="AS14" s="3203"/>
      <c r="AT14" s="3203"/>
      <c r="AU14" s="3203"/>
      <c r="AV14" s="3203"/>
      <c r="AW14" s="3203"/>
      <c r="AX14" s="3204">
        <f t="shared" si="17"/>
        <v>165.221991</v>
      </c>
      <c r="AY14" s="3192">
        <v>79.08</v>
      </c>
      <c r="AZ14" s="3192">
        <v>145.16999999999999</v>
      </c>
      <c r="BA14" s="3192">
        <v>203.41</v>
      </c>
      <c r="BB14" s="3204">
        <f>SUM(BA14*1.046)*(1-0.01)</f>
        <v>210.63919140000002</v>
      </c>
      <c r="BC14" s="3204">
        <f>SUM(AM14*(1+0.032)*0.99*(1+0.036)*0.99)</f>
        <v>169.78732805865602</v>
      </c>
      <c r="BD14" s="3600">
        <v>157.41</v>
      </c>
      <c r="BE14" s="3600">
        <v>235.82</v>
      </c>
      <c r="BF14" s="3600">
        <v>314.25</v>
      </c>
      <c r="BG14" s="3204">
        <f>SUM(BF14*1.05)*(1-0.01)</f>
        <v>326.66287500000004</v>
      </c>
      <c r="BH14" s="3204">
        <f t="shared" ref="BH14:BH45" si="19">SUM(AM14*(1+0.034)*0.99*1.06*0.99*(1+0.043)*0.99)</f>
        <v>179.72633914878173</v>
      </c>
      <c r="BI14" s="3915">
        <v>146.58000000000001</v>
      </c>
      <c r="BJ14" s="3915">
        <v>219.21</v>
      </c>
      <c r="BK14" s="3915">
        <v>292.32</v>
      </c>
      <c r="BL14" s="3209">
        <f t="shared" si="18"/>
        <v>330.91077096000004</v>
      </c>
      <c r="BM14" s="4163">
        <f>AM14*0.99*1.034*0.99*1.067*0.99*1.139*0.99*1.06</f>
        <v>207.32456265179681</v>
      </c>
      <c r="BN14" s="4706">
        <v>188.98</v>
      </c>
      <c r="BO14" s="4706">
        <v>387.04</v>
      </c>
    </row>
    <row r="15" spans="1:67" ht="20.25" customHeight="1" x14ac:dyDescent="0.2">
      <c r="A15" s="3191" t="s">
        <v>31</v>
      </c>
      <c r="B15" s="3192">
        <v>2520.4</v>
      </c>
      <c r="C15" s="3193">
        <v>1777.2</v>
      </c>
      <c r="D15" s="1725">
        <f>C15/B15*100</f>
        <v>70.512617044913512</v>
      </c>
      <c r="E15" s="1597">
        <v>1991.1</v>
      </c>
      <c r="F15" s="1600">
        <f t="shared" si="0"/>
        <v>112.03578663065497</v>
      </c>
      <c r="G15" s="1597">
        <v>2194.3000000000002</v>
      </c>
      <c r="H15" s="1600">
        <f t="shared" si="5"/>
        <v>110.20541409271259</v>
      </c>
      <c r="I15" s="1597">
        <v>1991.3</v>
      </c>
      <c r="J15" s="1597">
        <v>1139.5</v>
      </c>
      <c r="K15" s="1597">
        <v>1737</v>
      </c>
      <c r="L15" s="1597">
        <v>2367.8000000000002</v>
      </c>
      <c r="M15" s="1600">
        <f t="shared" si="6"/>
        <v>107.90684956478147</v>
      </c>
      <c r="N15" s="1597">
        <v>2413.4</v>
      </c>
      <c r="O15" s="1600">
        <f t="shared" si="1"/>
        <v>101.92583833094011</v>
      </c>
      <c r="P15" s="1597">
        <v>2188.6</v>
      </c>
      <c r="Q15" s="1600">
        <f t="shared" si="2"/>
        <v>109.90810023602671</v>
      </c>
      <c r="R15" s="1600">
        <f t="shared" si="3"/>
        <v>92.431793225779188</v>
      </c>
      <c r="S15" s="1597">
        <v>2103.8000000000002</v>
      </c>
      <c r="T15" s="1597">
        <v>2562.8000000000002</v>
      </c>
      <c r="U15" s="2578">
        <v>2520</v>
      </c>
      <c r="V15" s="3194">
        <f t="shared" si="7"/>
        <v>1.1514209997258522</v>
      </c>
      <c r="W15" s="1597">
        <f>P15*1.03</f>
        <v>2254.2579999999998</v>
      </c>
      <c r="X15" s="1597">
        <v>606.20000000000005</v>
      </c>
      <c r="Y15" s="1597">
        <v>1009.7</v>
      </c>
      <c r="Z15" s="1597">
        <v>1396.8</v>
      </c>
      <c r="AA15" s="1597">
        <v>2637.1</v>
      </c>
      <c r="AB15" s="1597">
        <f>AA15</f>
        <v>2637.1</v>
      </c>
      <c r="AC15" s="3194">
        <f>AB15/W15</f>
        <v>1.1698306050150427</v>
      </c>
      <c r="AD15" s="1597">
        <v>730.2</v>
      </c>
      <c r="AE15" s="1597">
        <v>1127.3599999999999</v>
      </c>
      <c r="AF15" s="1597">
        <f>SUM(AB15*1.15)</f>
        <v>3032.6649999999995</v>
      </c>
      <c r="AG15" s="1597">
        <f>AE15/3*4*1.033</f>
        <v>1552.7505066666663</v>
      </c>
      <c r="AH15" s="1597">
        <v>1643.01</v>
      </c>
      <c r="AI15" s="1597">
        <v>1662.72</v>
      </c>
      <c r="AJ15" s="1597">
        <v>1695.1</v>
      </c>
      <c r="AK15" s="1597">
        <v>1960.9</v>
      </c>
      <c r="AL15" s="1597">
        <v>2011.89</v>
      </c>
      <c r="AM15" s="1597">
        <f>AI15*1.221*1.019</f>
        <v>2068.75456128</v>
      </c>
      <c r="AN15" s="1597">
        <f>SUM(AM15*1.046)</f>
        <v>2163.9172710988801</v>
      </c>
      <c r="AO15" s="5648" t="s">
        <v>2055</v>
      </c>
      <c r="AP15" s="5649"/>
      <c r="AQ15" s="5649"/>
      <c r="AR15" s="3206">
        <f>Z15*1.044*1.033</f>
        <v>1506.3817535999999</v>
      </c>
      <c r="AS15" s="3203">
        <f>AE15/3*4*1.033</f>
        <v>1552.7505066666663</v>
      </c>
      <c r="AT15" s="3203"/>
      <c r="AU15" s="3203"/>
      <c r="AV15" s="3203"/>
      <c r="AW15" s="3203"/>
      <c r="AX15" s="3204">
        <f t="shared" si="17"/>
        <v>2109.5090261372161</v>
      </c>
      <c r="AY15" s="3192">
        <v>810.54</v>
      </c>
      <c r="AZ15" s="3192">
        <v>1246.0899999999999</v>
      </c>
      <c r="BA15" s="3192">
        <v>1676.47</v>
      </c>
      <c r="BB15" s="3204">
        <f>SUM(AX15*1.046)*(1-0.01)</f>
        <v>2184.4809769261328</v>
      </c>
      <c r="BC15" s="3204">
        <v>1918.3</v>
      </c>
      <c r="BD15" s="3600">
        <v>825.73</v>
      </c>
      <c r="BE15" s="3600">
        <v>1391.18</v>
      </c>
      <c r="BF15" s="3600">
        <v>1225.1600000000001</v>
      </c>
      <c r="BG15" s="3204">
        <f>SUM(BC15*1.05)*(1-0.01)</f>
        <v>1994.07285</v>
      </c>
      <c r="BH15" s="3204">
        <f>SUM(BC15*1.06*0.99*(1+0.043)*0.99)</f>
        <v>2078.6295151313998</v>
      </c>
      <c r="BI15" s="3915">
        <v>1240.33</v>
      </c>
      <c r="BJ15" s="3915">
        <v>1732.37</v>
      </c>
      <c r="BK15" s="3915">
        <v>2328.71</v>
      </c>
      <c r="BL15" s="3209">
        <f t="shared" si="18"/>
        <v>2636.135815005</v>
      </c>
      <c r="BM15" s="4163">
        <f>AM15*0.99*1.034*0.99*1.067*0.99*1.139*0.99*1.06</f>
        <v>2647.063103445571</v>
      </c>
      <c r="BN15" s="4706">
        <v>974.14</v>
      </c>
      <c r="BO15" s="4706">
        <v>1871.63</v>
      </c>
    </row>
    <row r="16" spans="1:67" ht="20.25" customHeight="1" x14ac:dyDescent="0.2">
      <c r="A16" s="3191" t="s">
        <v>69</v>
      </c>
      <c r="B16" s="3192">
        <v>113.7</v>
      </c>
      <c r="C16" s="3193">
        <v>71.400000000000006</v>
      </c>
      <c r="D16" s="1725">
        <f>C16/B16*100</f>
        <v>62.79683377308708</v>
      </c>
      <c r="E16" s="1597">
        <v>95.5</v>
      </c>
      <c r="F16" s="1600">
        <f t="shared" si="0"/>
        <v>133.75350140056022</v>
      </c>
      <c r="G16" s="1597">
        <v>111.7</v>
      </c>
      <c r="H16" s="1600">
        <f t="shared" si="5"/>
        <v>116.96335078534032</v>
      </c>
      <c r="I16" s="1597">
        <v>93.4</v>
      </c>
      <c r="J16" s="1597">
        <v>61.3</v>
      </c>
      <c r="K16" s="1597">
        <v>93.4</v>
      </c>
      <c r="L16" s="1597">
        <v>132.30000000000001</v>
      </c>
      <c r="M16" s="1600">
        <f t="shared" si="6"/>
        <v>118.44225604297225</v>
      </c>
      <c r="N16" s="1597">
        <v>122.9</v>
      </c>
      <c r="O16" s="1600">
        <f t="shared" si="1"/>
        <v>92.894935752078595</v>
      </c>
      <c r="P16" s="1597">
        <v>130.69999999999999</v>
      </c>
      <c r="Q16" s="1600">
        <f t="shared" si="2"/>
        <v>139.93576017130619</v>
      </c>
      <c r="R16" s="1600">
        <f t="shared" si="3"/>
        <v>98.790627362055915</v>
      </c>
      <c r="S16" s="1597">
        <v>58.4</v>
      </c>
      <c r="T16" s="1597">
        <v>130.69999999999999</v>
      </c>
      <c r="U16" s="2578">
        <v>148.19999999999999</v>
      </c>
      <c r="V16" s="3194">
        <f t="shared" si="7"/>
        <v>1.13389441469013</v>
      </c>
      <c r="W16" s="1597">
        <f>S16/3*4*1.048</f>
        <v>81.604266666666661</v>
      </c>
      <c r="X16" s="1597">
        <v>70</v>
      </c>
      <c r="Y16" s="1597">
        <v>94.99</v>
      </c>
      <c r="Z16" s="1597">
        <v>124.7</v>
      </c>
      <c r="AA16" s="1597">
        <v>191.1</v>
      </c>
      <c r="AB16" s="1597">
        <f>Y16/3*4*1.049</f>
        <v>132.85934666666665</v>
      </c>
      <c r="AC16" s="3194">
        <f>AB16/W16</f>
        <v>1.6280931389208406</v>
      </c>
      <c r="AD16" s="1597">
        <v>78.25</v>
      </c>
      <c r="AE16" s="1597">
        <v>112.2</v>
      </c>
      <c r="AF16" s="1597">
        <f>SUM(Z16*1.1)</f>
        <v>137.17000000000002</v>
      </c>
      <c r="AG16" s="1597">
        <f>AF16</f>
        <v>137.17000000000002</v>
      </c>
      <c r="AH16" s="1597">
        <v>173.18</v>
      </c>
      <c r="AI16" s="1597">
        <v>144.38</v>
      </c>
      <c r="AJ16" s="1597">
        <v>149.75</v>
      </c>
      <c r="AK16" s="1597">
        <v>139.22</v>
      </c>
      <c r="AL16" s="1597">
        <v>154.24</v>
      </c>
      <c r="AM16" s="1597">
        <v>154.24</v>
      </c>
      <c r="AN16" s="1597">
        <f>SUM(AM16*1.046)</f>
        <v>161.33504000000002</v>
      </c>
      <c r="AO16" s="5648" t="s">
        <v>2054</v>
      </c>
      <c r="AP16" s="5649"/>
      <c r="AQ16" s="5649"/>
      <c r="AR16" s="3203"/>
      <c r="AS16" s="3203"/>
      <c r="AT16" s="3203"/>
      <c r="AU16" s="3203"/>
      <c r="AV16" s="3203"/>
      <c r="AW16" s="3203"/>
      <c r="AX16" s="3204">
        <f t="shared" si="17"/>
        <v>157.27852800000002</v>
      </c>
      <c r="AY16" s="3192">
        <v>65.150000000000006</v>
      </c>
      <c r="AZ16" s="3192">
        <v>97.37</v>
      </c>
      <c r="BA16" s="3192">
        <f>110.84+17.7</f>
        <v>128.54</v>
      </c>
      <c r="BB16" s="3204">
        <f>SUM(AX16*1.046)*(1-0.01)</f>
        <v>162.86820688512003</v>
      </c>
      <c r="BC16" s="3204">
        <f>SUM(AM16*(1+0.032)*0.99*(1+0.036)*0.99)</f>
        <v>161.62437499084797</v>
      </c>
      <c r="BD16" s="3600">
        <v>58.12</v>
      </c>
      <c r="BE16" s="3600">
        <v>88.18</v>
      </c>
      <c r="BF16" s="3600">
        <v>117.21</v>
      </c>
      <c r="BG16" s="3204">
        <f>SUM(BC16*1.05)*(1-0.01)</f>
        <v>168.00853780298647</v>
      </c>
      <c r="BH16" s="3204">
        <f t="shared" si="19"/>
        <v>171.08554311120221</v>
      </c>
      <c r="BI16" s="3915">
        <v>56.28</v>
      </c>
      <c r="BJ16" s="3915">
        <v>82.7</v>
      </c>
      <c r="BK16" s="3915">
        <v>110.24</v>
      </c>
      <c r="BL16" s="3209">
        <f t="shared" si="18"/>
        <v>124.79338872000001</v>
      </c>
      <c r="BM16" s="4163">
        <v>124.79</v>
      </c>
      <c r="BN16" s="4706">
        <v>49.94</v>
      </c>
      <c r="BO16" s="4706">
        <v>134.72999999999999</v>
      </c>
    </row>
    <row r="17" spans="1:67" ht="20.25" customHeight="1" x14ac:dyDescent="0.2">
      <c r="A17" s="3191" t="s">
        <v>832</v>
      </c>
      <c r="B17" s="3192">
        <f>SUM(B18:B22)</f>
        <v>636.9</v>
      </c>
      <c r="C17" s="3193">
        <f>SUM(C18:C22)</f>
        <v>812.49999999999989</v>
      </c>
      <c r="D17" s="1725">
        <f>C17/B17*100</f>
        <v>127.57104726016641</v>
      </c>
      <c r="E17" s="1597">
        <f>SUM(E18:E22)</f>
        <v>929.9</v>
      </c>
      <c r="F17" s="1597">
        <f>SUM(F18:F22)</f>
        <v>498.86527273998672</v>
      </c>
      <c r="G17" s="1597">
        <f>SUM(G18:G22)</f>
        <v>882.49999999999989</v>
      </c>
      <c r="H17" s="1600">
        <f t="shared" si="5"/>
        <v>94.902677707280347</v>
      </c>
      <c r="I17" s="1597">
        <f>SUM(I18:I22)</f>
        <v>978.70000000000016</v>
      </c>
      <c r="J17" s="1597">
        <f>SUM(J18:J22)</f>
        <v>526.9</v>
      </c>
      <c r="K17" s="1597">
        <f>SUM(K18:K22)</f>
        <v>542.70000000000005</v>
      </c>
      <c r="L17" s="1597">
        <f>SUM(L18:L22)</f>
        <v>790.2</v>
      </c>
      <c r="M17" s="1600">
        <f t="shared" si="6"/>
        <v>89.541076487252141</v>
      </c>
      <c r="N17" s="1597">
        <f>SUM(N18:N22)</f>
        <v>1105.9999999999998</v>
      </c>
      <c r="O17" s="1600">
        <f t="shared" si="1"/>
        <v>139.96456593267524</v>
      </c>
      <c r="P17" s="1597">
        <f>SUM(P18:P22)</f>
        <v>868.5</v>
      </c>
      <c r="Q17" s="1600">
        <f t="shared" si="2"/>
        <v>88.740165525697336</v>
      </c>
      <c r="R17" s="1600">
        <f t="shared" si="3"/>
        <v>109.90888382687926</v>
      </c>
      <c r="S17" s="1597">
        <f>SUM(S18:S22)</f>
        <v>477.5</v>
      </c>
      <c r="T17" s="1597">
        <f>SUM(T18:T22)</f>
        <v>5233.3999999999996</v>
      </c>
      <c r="U17" s="1597">
        <f>SUM(U18:U22)</f>
        <v>990.9</v>
      </c>
      <c r="V17" s="3194">
        <f t="shared" si="7"/>
        <v>1.1409326424870465</v>
      </c>
      <c r="W17" s="1597">
        <f t="shared" ref="W17:AB17" si="20">SUM(W18:W22)</f>
        <v>729.71640000000002</v>
      </c>
      <c r="X17" s="1597">
        <f t="shared" si="20"/>
        <v>2335.7000000000003</v>
      </c>
      <c r="Y17" s="1597">
        <f t="shared" si="20"/>
        <v>2529</v>
      </c>
      <c r="Z17" s="1597">
        <f t="shared" si="20"/>
        <v>4147.5</v>
      </c>
      <c r="AA17" s="1597">
        <f t="shared" si="20"/>
        <v>5434.9</v>
      </c>
      <c r="AB17" s="1597">
        <f t="shared" si="20"/>
        <v>4876.6199500000002</v>
      </c>
      <c r="AC17" s="3194">
        <f>AB17/(W17+W25)</f>
        <v>0.96894515275477255</v>
      </c>
      <c r="AD17" s="1597">
        <f t="shared" ref="AD17:AH17" si="21">SUM(AD18:AD22)</f>
        <v>2106.85</v>
      </c>
      <c r="AE17" s="1597">
        <f t="shared" si="21"/>
        <v>2260.81</v>
      </c>
      <c r="AF17" s="1597">
        <f t="shared" si="21"/>
        <v>4616.423065</v>
      </c>
      <c r="AG17" s="1597">
        <f t="shared" si="21"/>
        <v>4448.0314096000002</v>
      </c>
      <c r="AH17" s="1597">
        <f t="shared" si="21"/>
        <v>4402.38</v>
      </c>
      <c r="AI17" s="1597">
        <v>5875.51</v>
      </c>
      <c r="AJ17" s="1597">
        <f>SUM(AJ18:AJ21)</f>
        <v>4829.2780000000002</v>
      </c>
      <c r="AK17" s="1597">
        <f>SUM(AK18:AK21)</f>
        <v>5589.7199999999993</v>
      </c>
      <c r="AL17" s="1597">
        <v>6364.15</v>
      </c>
      <c r="AM17" s="1597">
        <f t="shared" ref="AM17:AN17" si="22">SUM(AM18:AM22)</f>
        <v>6364.15</v>
      </c>
      <c r="AN17" s="1597">
        <f t="shared" si="22"/>
        <v>6656.9009000000005</v>
      </c>
      <c r="AO17" s="5648" t="s">
        <v>2054</v>
      </c>
      <c r="AP17" s="5649"/>
      <c r="AQ17" s="5649"/>
      <c r="AR17" s="3203"/>
      <c r="AS17" s="3203"/>
      <c r="AT17" s="3203"/>
      <c r="AU17" s="3203"/>
      <c r="AV17" s="3203"/>
      <c r="AW17" s="3203"/>
      <c r="AX17" s="1597">
        <f t="shared" ref="AX17" si="23">SUM(AX18:AX22)</f>
        <v>6489.5237550000002</v>
      </c>
      <c r="AY17" s="1597">
        <f>SUM(AY18:AY22)</f>
        <v>2856.7599999999993</v>
      </c>
      <c r="AZ17" s="1597">
        <f t="shared" ref="AZ17:BB17" si="24">SUM(AZ18:AZ22)</f>
        <v>3070.68</v>
      </c>
      <c r="BA17" s="1597">
        <f t="shared" si="24"/>
        <v>4324.7299999999996</v>
      </c>
      <c r="BB17" s="1597">
        <f t="shared" si="24"/>
        <v>6720.1614292526992</v>
      </c>
      <c r="BC17" s="1597">
        <f t="shared" ref="BC17" si="25">SUM(BC18:BC22)</f>
        <v>3501.1291871392</v>
      </c>
      <c r="BD17" s="1597">
        <f>SUM(BD18:BD22)</f>
        <v>1427.0500000000002</v>
      </c>
      <c r="BE17" s="1597">
        <f t="shared" ref="BE17:BH17" si="26">SUM(BE18:BE22)</f>
        <v>1567.65</v>
      </c>
      <c r="BF17" s="1597">
        <f t="shared" si="26"/>
        <v>2552.19</v>
      </c>
      <c r="BG17" s="1597">
        <f t="shared" si="26"/>
        <v>3639.4237900311982</v>
      </c>
      <c r="BH17" s="1597">
        <f t="shared" si="26"/>
        <v>3233.3358864865049</v>
      </c>
      <c r="BI17" s="1597">
        <f t="shared" ref="BI17:BJ17" si="27">SUM(BI18:BI22)</f>
        <v>1810.1499999999999</v>
      </c>
      <c r="BJ17" s="1597">
        <f t="shared" si="27"/>
        <v>1966.91</v>
      </c>
      <c r="BK17" s="1597">
        <f t="shared" ref="BK17:BL17" si="28">SUM(BK18:BK22)</f>
        <v>3178.24</v>
      </c>
      <c r="BL17" s="2343">
        <f t="shared" si="28"/>
        <v>3597.816942720001</v>
      </c>
      <c r="BM17" s="2343">
        <f>SUM(BM18:BM22)</f>
        <v>3597.81</v>
      </c>
      <c r="BN17" s="4681">
        <f t="shared" ref="BN17:BO17" si="29">SUM(BN18:BN22)</f>
        <v>1867.97</v>
      </c>
      <c r="BO17" s="1597">
        <f t="shared" si="29"/>
        <v>3340.0099999999998</v>
      </c>
    </row>
    <row r="18" spans="1:67" ht="20.25" customHeight="1" x14ac:dyDescent="0.2">
      <c r="A18" s="3195" t="s">
        <v>3642</v>
      </c>
      <c r="B18" s="3196">
        <v>240.3</v>
      </c>
      <c r="C18" s="1725">
        <v>359.1</v>
      </c>
      <c r="D18" s="1725">
        <f t="shared" ref="D18:D26" si="30">C18/B18*100</f>
        <v>149.43820224719101</v>
      </c>
      <c r="E18" s="1600">
        <v>465.8</v>
      </c>
      <c r="F18" s="1600">
        <f t="shared" ref="F18:F25" si="31">E18/C18*100</f>
        <v>129.71317181843497</v>
      </c>
      <c r="G18" s="1600">
        <v>457.7</v>
      </c>
      <c r="H18" s="1600">
        <f t="shared" si="5"/>
        <v>98.261056247316432</v>
      </c>
      <c r="I18" s="1600">
        <v>479.1</v>
      </c>
      <c r="J18" s="1600">
        <v>293.2</v>
      </c>
      <c r="K18" s="1600">
        <v>287.8</v>
      </c>
      <c r="L18" s="1600">
        <v>441.5</v>
      </c>
      <c r="M18" s="1600">
        <f t="shared" si="6"/>
        <v>96.460563688005237</v>
      </c>
      <c r="N18" s="1600">
        <v>551</v>
      </c>
      <c r="O18" s="1600">
        <f t="shared" ref="O18:O26" si="32">N18/L18*100</f>
        <v>124.80181200453002</v>
      </c>
      <c r="P18" s="1600">
        <v>512.6</v>
      </c>
      <c r="Q18" s="1600">
        <f t="shared" ref="Q18:Q26" si="33">P18/I18*100</f>
        <v>106.99227718639115</v>
      </c>
      <c r="R18" s="1600">
        <f t="shared" ref="R18:R26" si="34">P18/L18*100</f>
        <v>116.10419026047565</v>
      </c>
      <c r="S18" s="1597">
        <v>228</v>
      </c>
      <c r="T18" s="1597">
        <v>4866.7</v>
      </c>
      <c r="U18" s="2578">
        <v>550</v>
      </c>
      <c r="V18" s="3194">
        <f t="shared" si="7"/>
        <v>1.0729613733905579</v>
      </c>
      <c r="W18" s="1597">
        <f>S18/5*8*1.015</f>
        <v>370.27199999999999</v>
      </c>
      <c r="X18" s="1597">
        <v>2130</v>
      </c>
      <c r="Y18" s="1597">
        <v>2267.8000000000002</v>
      </c>
      <c r="Z18" s="1597">
        <v>3728</v>
      </c>
      <c r="AA18" s="1597">
        <v>5023</v>
      </c>
      <c r="AB18" s="1597">
        <f>1630/3*8*1.035</f>
        <v>4498.8</v>
      </c>
      <c r="AC18" s="3194">
        <f>AB18/(W18+W25)</f>
        <v>0.96262478944989949</v>
      </c>
      <c r="AD18" s="1597">
        <v>2001.55</v>
      </c>
      <c r="AE18" s="1597">
        <v>2110.23</v>
      </c>
      <c r="AF18" s="1597">
        <f>SUM(Z18*1.1)</f>
        <v>4100.8</v>
      </c>
      <c r="AG18" s="1597">
        <f>AF18</f>
        <v>4100.8</v>
      </c>
      <c r="AH18" s="1597">
        <v>4114.47</v>
      </c>
      <c r="AI18" s="1597">
        <v>4870.7</v>
      </c>
      <c r="AJ18" s="1597">
        <v>4450.2139999999999</v>
      </c>
      <c r="AK18" s="1597">
        <v>4527.49</v>
      </c>
      <c r="AL18" s="1597">
        <v>5268.15</v>
      </c>
      <c r="AM18" s="1597">
        <f>AL18</f>
        <v>5268.15</v>
      </c>
      <c r="AN18" s="1597">
        <f>SUM(AM18*1.046)</f>
        <v>5510.4848999999995</v>
      </c>
      <c r="AO18" s="5648" t="s">
        <v>2054</v>
      </c>
      <c r="AP18" s="5649"/>
      <c r="AQ18" s="5649"/>
      <c r="AR18" s="3203"/>
      <c r="AS18" s="3203"/>
      <c r="AT18" s="3203"/>
      <c r="AU18" s="3203"/>
      <c r="AV18" s="3203"/>
      <c r="AW18" s="3203"/>
      <c r="AX18" s="3204">
        <f t="shared" si="17"/>
        <v>5371.9325549999994</v>
      </c>
      <c r="AY18" s="3192">
        <v>2495.2399999999998</v>
      </c>
      <c r="AZ18" s="3192">
        <v>2522.29</v>
      </c>
      <c r="BA18" s="3192">
        <v>3285.45</v>
      </c>
      <c r="BB18" s="3204">
        <f>SUM(AX18*1.046)*(1-0.01)</f>
        <v>5562.8510380046991</v>
      </c>
      <c r="BC18" s="3204">
        <v>2792.58</v>
      </c>
      <c r="BD18" s="3600">
        <v>1269.47</v>
      </c>
      <c r="BE18" s="3600">
        <v>1336.04</v>
      </c>
      <c r="BF18" s="3600">
        <v>2092.9899999999998</v>
      </c>
      <c r="BG18" s="3204">
        <f>SUM(BC18*1.05)*(1-0.01)</f>
        <v>2902.8869099999997</v>
      </c>
      <c r="BH18" s="3204">
        <f>SUM(BF18*1.06*0.99*(1+0.043)*0.99)+199.51</f>
        <v>2467.4299233044194</v>
      </c>
      <c r="BI18" s="3915">
        <v>1495.18</v>
      </c>
      <c r="BJ18" s="3915">
        <v>1595.23</v>
      </c>
      <c r="BK18" s="3915">
        <v>2421.37</v>
      </c>
      <c r="BL18" s="3209">
        <f t="shared" si="18"/>
        <v>2741.0283712350006</v>
      </c>
      <c r="BM18" s="4163">
        <v>2741.03</v>
      </c>
      <c r="BN18" s="4706">
        <v>1536.15</v>
      </c>
      <c r="BO18" s="4706">
        <v>2599.7199999999998</v>
      </c>
    </row>
    <row r="19" spans="1:67" ht="20.25" customHeight="1" x14ac:dyDescent="0.2">
      <c r="A19" s="3195" t="s">
        <v>545</v>
      </c>
      <c r="B19" s="3196">
        <v>27.6</v>
      </c>
      <c r="C19" s="1725">
        <v>31.9</v>
      </c>
      <c r="D19" s="1725">
        <f t="shared" si="30"/>
        <v>115.57971014492752</v>
      </c>
      <c r="E19" s="1600">
        <v>32</v>
      </c>
      <c r="F19" s="1600">
        <f t="shared" si="31"/>
        <v>100.31347962382446</v>
      </c>
      <c r="G19" s="1600">
        <v>38.4</v>
      </c>
      <c r="H19" s="1600">
        <f t="shared" si="5"/>
        <v>120</v>
      </c>
      <c r="I19" s="1600">
        <v>34.700000000000003</v>
      </c>
      <c r="J19" s="1600">
        <v>19.2</v>
      </c>
      <c r="K19" s="1600">
        <v>30.8</v>
      </c>
      <c r="L19" s="1600">
        <v>41.5</v>
      </c>
      <c r="M19" s="1600">
        <f t="shared" si="6"/>
        <v>108.07291666666667</v>
      </c>
      <c r="N19" s="1600">
        <v>42.4</v>
      </c>
      <c r="O19" s="1600">
        <f t="shared" si="32"/>
        <v>102.16867469879519</v>
      </c>
      <c r="P19" s="1600">
        <v>42.4</v>
      </c>
      <c r="Q19" s="1600">
        <f t="shared" si="33"/>
        <v>122.19020172910662</v>
      </c>
      <c r="R19" s="1600">
        <f t="shared" si="34"/>
        <v>102.16867469879519</v>
      </c>
      <c r="S19" s="1597">
        <v>1.5</v>
      </c>
      <c r="T19" s="1597">
        <v>1.5</v>
      </c>
      <c r="U19" s="2578">
        <v>44.5</v>
      </c>
      <c r="V19" s="3194">
        <f t="shared" si="7"/>
        <v>1.0495283018867925</v>
      </c>
      <c r="W19" s="1597">
        <f>P19*1.048</f>
        <v>44.435200000000002</v>
      </c>
      <c r="X19" s="1597">
        <v>0</v>
      </c>
      <c r="Y19" s="1597">
        <v>0</v>
      </c>
      <c r="Z19" s="1597">
        <v>0</v>
      </c>
      <c r="AA19" s="1597">
        <v>47</v>
      </c>
      <c r="AB19" s="1597">
        <f>(E19+G19+L19+S19)/4*1.049</f>
        <v>29.739149999999999</v>
      </c>
      <c r="AC19" s="3194">
        <f>AB19/W19</f>
        <v>0.66927008317730086</v>
      </c>
      <c r="AD19" s="1597">
        <v>0</v>
      </c>
      <c r="AE19" s="1597">
        <v>0</v>
      </c>
      <c r="AF19" s="1597">
        <f>SUM(AB19*1.1)</f>
        <v>32.713065</v>
      </c>
      <c r="AG19" s="1597">
        <v>0</v>
      </c>
      <c r="AH19" s="1597">
        <v>0</v>
      </c>
      <c r="AI19" s="1597">
        <v>0</v>
      </c>
      <c r="AJ19" s="1597">
        <v>0</v>
      </c>
      <c r="AK19" s="1597">
        <v>0</v>
      </c>
      <c r="AL19" s="1597">
        <v>30</v>
      </c>
      <c r="AM19" s="1597">
        <v>30</v>
      </c>
      <c r="AN19" s="1597">
        <f>SUM(AM19*1.046)</f>
        <v>31.380000000000003</v>
      </c>
      <c r="AO19" s="5648" t="s">
        <v>2054</v>
      </c>
      <c r="AP19" s="5649"/>
      <c r="AQ19" s="5649"/>
      <c r="AR19" s="3203"/>
      <c r="AS19" s="3203"/>
      <c r="AT19" s="3203"/>
      <c r="AU19" s="3203"/>
      <c r="AV19" s="3203"/>
      <c r="AW19" s="3203"/>
      <c r="AX19" s="3204">
        <f t="shared" si="17"/>
        <v>30.591000000000001</v>
      </c>
      <c r="AY19" s="3192">
        <v>0</v>
      </c>
      <c r="AZ19" s="3192">
        <v>0</v>
      </c>
      <c r="BA19" s="3192">
        <v>0</v>
      </c>
      <c r="BB19" s="3204">
        <f>SUM(AX19*1.046)*(1-0.01)</f>
        <v>31.678204140000005</v>
      </c>
      <c r="BC19" s="3204">
        <f t="shared" ref="BC19:BC45" si="35">SUM(AM19*(1+0.032)*0.99*(1+0.036)*0.99)</f>
        <v>31.436276256000003</v>
      </c>
      <c r="BD19" s="3600">
        <v>0</v>
      </c>
      <c r="BE19" s="3600">
        <v>0</v>
      </c>
      <c r="BF19" s="3600">
        <v>0</v>
      </c>
      <c r="BG19" s="3204">
        <f>SUM(BC19*1.05)*(1-0.01)</f>
        <v>32.678009168111998</v>
      </c>
      <c r="BH19" s="3204">
        <f t="shared" si="19"/>
        <v>33.276493084388399</v>
      </c>
      <c r="BI19" s="3915">
        <v>0</v>
      </c>
      <c r="BJ19" s="3915">
        <v>0</v>
      </c>
      <c r="BK19" s="3915">
        <v>0</v>
      </c>
      <c r="BL19" s="3209">
        <f t="shared" si="18"/>
        <v>0</v>
      </c>
      <c r="BM19" s="4163">
        <v>0</v>
      </c>
      <c r="BN19" s="4706">
        <v>0</v>
      </c>
      <c r="BO19" s="4568">
        <v>0</v>
      </c>
    </row>
    <row r="20" spans="1:67" ht="20.25" customHeight="1" x14ac:dyDescent="0.2">
      <c r="A20" s="3195" t="s">
        <v>546</v>
      </c>
      <c r="B20" s="3196">
        <v>315.7</v>
      </c>
      <c r="C20" s="1725">
        <v>352.3</v>
      </c>
      <c r="D20" s="1725">
        <f t="shared" si="30"/>
        <v>111.59328476401649</v>
      </c>
      <c r="E20" s="1600">
        <v>378.8</v>
      </c>
      <c r="F20" s="1600">
        <f t="shared" si="31"/>
        <v>107.52199829690605</v>
      </c>
      <c r="G20" s="1600">
        <v>338.8</v>
      </c>
      <c r="H20" s="1600">
        <f t="shared" si="5"/>
        <v>89.440337909186908</v>
      </c>
      <c r="I20" s="1600">
        <v>422.8</v>
      </c>
      <c r="J20" s="1600">
        <v>198.2</v>
      </c>
      <c r="K20" s="1600">
        <v>199.6</v>
      </c>
      <c r="L20" s="1600">
        <v>260.2</v>
      </c>
      <c r="M20" s="1600">
        <f t="shared" si="6"/>
        <v>76.800472255017709</v>
      </c>
      <c r="N20" s="1600">
        <v>454.4</v>
      </c>
      <c r="O20" s="1600">
        <f t="shared" si="32"/>
        <v>174.63489623366641</v>
      </c>
      <c r="P20" s="1600">
        <v>279.2</v>
      </c>
      <c r="Q20" s="1600">
        <f t="shared" si="33"/>
        <v>66.035950804162724</v>
      </c>
      <c r="R20" s="1600">
        <f t="shared" si="34"/>
        <v>107.3020753266718</v>
      </c>
      <c r="S20" s="1597">
        <v>222.9</v>
      </c>
      <c r="T20" s="1597">
        <v>315.10000000000002</v>
      </c>
      <c r="U20" s="2578">
        <v>339.3</v>
      </c>
      <c r="V20" s="3194">
        <f t="shared" si="7"/>
        <v>1.2152578796561606</v>
      </c>
      <c r="W20" s="1597">
        <f>P20</f>
        <v>279.2</v>
      </c>
      <c r="X20" s="1597">
        <v>188.9</v>
      </c>
      <c r="Y20" s="1597">
        <v>235.5</v>
      </c>
      <c r="Z20" s="1597">
        <v>385.4</v>
      </c>
      <c r="AA20" s="1597">
        <v>309.7</v>
      </c>
      <c r="AB20" s="1597">
        <f>W20*1.049</f>
        <v>292.88079999999997</v>
      </c>
      <c r="AC20" s="3194">
        <f>AB20/W20</f>
        <v>1.0489999999999999</v>
      </c>
      <c r="AD20" s="1597">
        <v>87.9</v>
      </c>
      <c r="AE20" s="1597">
        <v>124.62</v>
      </c>
      <c r="AF20" s="1597">
        <f>SUM(Z20*1.1)</f>
        <v>423.94</v>
      </c>
      <c r="AG20" s="1597">
        <f>AB20*1.062</f>
        <v>311.0394096</v>
      </c>
      <c r="AH20" s="1597">
        <v>246.83</v>
      </c>
      <c r="AI20" s="1597">
        <v>966.16</v>
      </c>
      <c r="AJ20" s="1597">
        <v>339.55399999999997</v>
      </c>
      <c r="AK20" s="1597">
        <v>1021.73</v>
      </c>
      <c r="AL20" s="1597">
        <v>1025</v>
      </c>
      <c r="AM20" s="1597">
        <v>1025</v>
      </c>
      <c r="AN20" s="1597">
        <f>SUM(AM20*1.046)</f>
        <v>1072.1500000000001</v>
      </c>
      <c r="AO20" s="5648" t="s">
        <v>2054</v>
      </c>
      <c r="AP20" s="5649"/>
      <c r="AQ20" s="5649"/>
      <c r="AR20" s="3203"/>
      <c r="AS20" s="3203"/>
      <c r="AT20" s="3203"/>
      <c r="AU20" s="3203"/>
      <c r="AV20" s="3203"/>
      <c r="AW20" s="3203"/>
      <c r="AX20" s="3204">
        <f t="shared" si="17"/>
        <v>1045.1924999999999</v>
      </c>
      <c r="AY20" s="3192">
        <v>348.03</v>
      </c>
      <c r="AZ20" s="3192">
        <v>513.28</v>
      </c>
      <c r="BA20" s="3192">
        <v>999.78</v>
      </c>
      <c r="BB20" s="3204">
        <f>SUM(AX20*1.046)*(1-0.01)</f>
        <v>1082.3386414499998</v>
      </c>
      <c r="BC20" s="3204">
        <v>634.15</v>
      </c>
      <c r="BD20" s="3600">
        <v>136.93</v>
      </c>
      <c r="BE20" s="3600">
        <v>203.98</v>
      </c>
      <c r="BF20" s="3600">
        <v>426.26</v>
      </c>
      <c r="BG20" s="3204">
        <f>SUM(BC20*1.05)*(1-0.01)</f>
        <v>659.19892499999992</v>
      </c>
      <c r="BH20" s="3204">
        <f>SUM(BC20*1.06*0.99*(1+0.043)*0.99)</f>
        <v>687.1515962156999</v>
      </c>
      <c r="BI20" s="3915">
        <v>305.63</v>
      </c>
      <c r="BJ20" s="3915">
        <v>356.5</v>
      </c>
      <c r="BK20" s="3915">
        <v>726.08</v>
      </c>
      <c r="BL20" s="3209">
        <f t="shared" si="18"/>
        <v>821.93381424000006</v>
      </c>
      <c r="BM20" s="4163">
        <v>821.93</v>
      </c>
      <c r="BN20" s="4706">
        <v>323.10000000000002</v>
      </c>
      <c r="BO20" s="4706">
        <v>723.48</v>
      </c>
    </row>
    <row r="21" spans="1:67" ht="20.25" customHeight="1" x14ac:dyDescent="0.2">
      <c r="A21" s="3195" t="s">
        <v>547</v>
      </c>
      <c r="B21" s="3196">
        <v>23.9</v>
      </c>
      <c r="C21" s="1725">
        <v>47.8</v>
      </c>
      <c r="D21" s="1725">
        <f t="shared" si="30"/>
        <v>200</v>
      </c>
      <c r="E21" s="1600">
        <v>34</v>
      </c>
      <c r="F21" s="1600">
        <f t="shared" si="31"/>
        <v>71.129707112970721</v>
      </c>
      <c r="G21" s="1600">
        <v>32.799999999999997</v>
      </c>
      <c r="H21" s="1600">
        <f t="shared" si="5"/>
        <v>96.470588235294102</v>
      </c>
      <c r="I21" s="1600">
        <v>34.700000000000003</v>
      </c>
      <c r="J21" s="1600">
        <v>16.3</v>
      </c>
      <c r="K21" s="1600">
        <v>24.5</v>
      </c>
      <c r="L21" s="1600">
        <v>32.200000000000003</v>
      </c>
      <c r="M21" s="1600">
        <f t="shared" si="6"/>
        <v>98.170731707317088</v>
      </c>
      <c r="N21" s="1600">
        <v>40.6</v>
      </c>
      <c r="O21" s="1600">
        <f t="shared" si="32"/>
        <v>126.08695652173911</v>
      </c>
      <c r="P21" s="1600">
        <v>34.299999999999997</v>
      </c>
      <c r="Q21" s="1600">
        <f t="shared" si="33"/>
        <v>98.8472622478386</v>
      </c>
      <c r="R21" s="1600">
        <f t="shared" si="34"/>
        <v>106.52173913043477</v>
      </c>
      <c r="S21" s="1597">
        <v>25.1</v>
      </c>
      <c r="T21" s="1597">
        <v>33.4</v>
      </c>
      <c r="U21" s="2578">
        <v>40.1</v>
      </c>
      <c r="V21" s="3194">
        <f t="shared" si="7"/>
        <v>1.1690962099125366</v>
      </c>
      <c r="W21" s="1597">
        <f>P21*1.044</f>
        <v>35.809199999999997</v>
      </c>
      <c r="X21" s="1597">
        <v>16.8</v>
      </c>
      <c r="Y21" s="1597">
        <v>25.7</v>
      </c>
      <c r="Z21" s="1597">
        <v>34.1</v>
      </c>
      <c r="AA21" s="1597">
        <v>37.700000000000003</v>
      </c>
      <c r="AB21" s="1597">
        <f>AA21</f>
        <v>37.700000000000003</v>
      </c>
      <c r="AC21" s="3194">
        <f>AB21/W21</f>
        <v>1.0528020732102366</v>
      </c>
      <c r="AD21" s="1597">
        <v>17.399999999999999</v>
      </c>
      <c r="AE21" s="1597">
        <v>25.96</v>
      </c>
      <c r="AF21" s="1597">
        <f>SUM(AA21*1.1)</f>
        <v>41.470000000000006</v>
      </c>
      <c r="AG21" s="1597">
        <f>AD21*2*1.04</f>
        <v>36.192</v>
      </c>
      <c r="AH21" s="1597">
        <v>41.08</v>
      </c>
      <c r="AI21" s="1597">
        <v>38.65</v>
      </c>
      <c r="AJ21" s="1597">
        <v>39.51</v>
      </c>
      <c r="AK21" s="1597">
        <v>40.5</v>
      </c>
      <c r="AL21" s="1597">
        <v>41</v>
      </c>
      <c r="AM21" s="1597">
        <v>41</v>
      </c>
      <c r="AN21" s="1597">
        <f>SUM(AM21*1.046)</f>
        <v>42.886000000000003</v>
      </c>
      <c r="AO21" s="5648" t="s">
        <v>2054</v>
      </c>
      <c r="AP21" s="5649"/>
      <c r="AQ21" s="5649"/>
      <c r="AR21" s="3203"/>
      <c r="AS21" s="3203"/>
      <c r="AT21" s="3203"/>
      <c r="AU21" s="3203"/>
      <c r="AV21" s="3203"/>
      <c r="AW21" s="3203"/>
      <c r="AX21" s="3204">
        <f t="shared" si="17"/>
        <v>41.807700000000004</v>
      </c>
      <c r="AY21" s="3192">
        <v>13.49</v>
      </c>
      <c r="AZ21" s="3192">
        <v>35.11</v>
      </c>
      <c r="BA21" s="3192">
        <v>39.5</v>
      </c>
      <c r="BB21" s="3204">
        <f>SUM(AX21*1.046)*(1-0.01)</f>
        <v>43.293545657999999</v>
      </c>
      <c r="BC21" s="3204">
        <f t="shared" si="35"/>
        <v>42.962910883200003</v>
      </c>
      <c r="BD21" s="3600">
        <v>20.65</v>
      </c>
      <c r="BE21" s="3600">
        <v>27.63</v>
      </c>
      <c r="BF21" s="3600">
        <v>32.94</v>
      </c>
      <c r="BG21" s="3204">
        <f>SUM(BC21*1.05)*(1-0.01)</f>
        <v>44.659945863086406</v>
      </c>
      <c r="BH21" s="3204">
        <f t="shared" si="19"/>
        <v>45.477873881997468</v>
      </c>
      <c r="BI21" s="3915">
        <v>9.34</v>
      </c>
      <c r="BJ21" s="3915">
        <v>15.18</v>
      </c>
      <c r="BK21" s="3915">
        <v>30.79</v>
      </c>
      <c r="BL21" s="3209">
        <f t="shared" si="18"/>
        <v>34.854757245000002</v>
      </c>
      <c r="BM21" s="4163">
        <v>34.85</v>
      </c>
      <c r="BN21" s="4706">
        <v>8.7200000000000006</v>
      </c>
      <c r="BO21" s="4706">
        <v>16.809999999999999</v>
      </c>
    </row>
    <row r="22" spans="1:67" ht="20.25" customHeight="1" x14ac:dyDescent="0.2">
      <c r="A22" s="3195" t="s">
        <v>548</v>
      </c>
      <c r="B22" s="3196">
        <v>29.4</v>
      </c>
      <c r="C22" s="1725">
        <v>21.4</v>
      </c>
      <c r="D22" s="1725">
        <f t="shared" si="30"/>
        <v>72.789115646258509</v>
      </c>
      <c r="E22" s="1600">
        <v>19.3</v>
      </c>
      <c r="F22" s="1600">
        <f t="shared" si="31"/>
        <v>90.186915887850475</v>
      </c>
      <c r="G22" s="1600">
        <v>14.8</v>
      </c>
      <c r="H22" s="1600">
        <f t="shared" si="5"/>
        <v>76.683937823834199</v>
      </c>
      <c r="I22" s="1600">
        <v>7.4</v>
      </c>
      <c r="J22" s="1600">
        <v>0</v>
      </c>
      <c r="K22" s="1600">
        <v>0</v>
      </c>
      <c r="L22" s="1600">
        <v>14.8</v>
      </c>
      <c r="M22" s="1600">
        <f t="shared" si="6"/>
        <v>100</v>
      </c>
      <c r="N22" s="1600">
        <v>17.600000000000001</v>
      </c>
      <c r="O22" s="1600"/>
      <c r="P22" s="1600">
        <v>0</v>
      </c>
      <c r="Q22" s="1600">
        <f t="shared" si="33"/>
        <v>0</v>
      </c>
      <c r="R22" s="1600"/>
      <c r="S22" s="1597">
        <v>0</v>
      </c>
      <c r="T22" s="1597">
        <v>16.7</v>
      </c>
      <c r="U22" s="2578">
        <v>17</v>
      </c>
      <c r="V22" s="3194"/>
      <c r="W22" s="1597">
        <f>P22</f>
        <v>0</v>
      </c>
      <c r="X22" s="1597">
        <v>0</v>
      </c>
      <c r="Y22" s="1597">
        <v>0</v>
      </c>
      <c r="Z22" s="1597">
        <v>0</v>
      </c>
      <c r="AA22" s="1597">
        <v>17.5</v>
      </c>
      <c r="AB22" s="1597">
        <f>AA22</f>
        <v>17.5</v>
      </c>
      <c r="AC22" s="3194"/>
      <c r="AD22" s="1597">
        <v>0</v>
      </c>
      <c r="AE22" s="1597">
        <v>0</v>
      </c>
      <c r="AF22" s="1597">
        <f>SUM(AB22)</f>
        <v>17.5</v>
      </c>
      <c r="AG22" s="1597">
        <v>0</v>
      </c>
      <c r="AH22" s="1597">
        <v>0</v>
      </c>
      <c r="AI22" s="1597">
        <v>0</v>
      </c>
      <c r="AJ22" s="1597">
        <v>0</v>
      </c>
      <c r="AK22" s="1597">
        <v>0</v>
      </c>
      <c r="AL22" s="1597">
        <v>0</v>
      </c>
      <c r="AM22" s="1597">
        <v>0</v>
      </c>
      <c r="AN22" s="1597">
        <v>0</v>
      </c>
      <c r="AO22" s="5648"/>
      <c r="AP22" s="5649"/>
      <c r="AQ22" s="5649"/>
      <c r="AR22" s="3203"/>
      <c r="AS22" s="3203"/>
      <c r="AT22" s="3203"/>
      <c r="AU22" s="3203"/>
      <c r="AV22" s="3203"/>
      <c r="AW22" s="3203"/>
      <c r="AX22" s="3204">
        <f t="shared" si="17"/>
        <v>0</v>
      </c>
      <c r="AY22" s="3192">
        <v>0</v>
      </c>
      <c r="AZ22" s="3192">
        <v>0</v>
      </c>
      <c r="BA22" s="3192">
        <v>0</v>
      </c>
      <c r="BB22" s="3204">
        <v>0</v>
      </c>
      <c r="BC22" s="3204">
        <f t="shared" si="35"/>
        <v>0</v>
      </c>
      <c r="BD22" s="3600">
        <v>0</v>
      </c>
      <c r="BE22" s="3600">
        <v>0</v>
      </c>
      <c r="BF22" s="3600">
        <v>0</v>
      </c>
      <c r="BG22" s="3204">
        <v>0</v>
      </c>
      <c r="BH22" s="3204">
        <f t="shared" si="19"/>
        <v>0</v>
      </c>
      <c r="BI22" s="3915">
        <v>0</v>
      </c>
      <c r="BJ22" s="3915">
        <v>0</v>
      </c>
      <c r="BK22" s="3915">
        <v>0</v>
      </c>
      <c r="BL22" s="3209">
        <f t="shared" si="18"/>
        <v>0</v>
      </c>
      <c r="BM22" s="4163">
        <f>AM22*0.99*1.034*0.99*1.067*0.99*1.139*0.99*1.06</f>
        <v>0</v>
      </c>
      <c r="BN22" s="4706">
        <v>0</v>
      </c>
      <c r="BO22" s="4568">
        <v>0</v>
      </c>
    </row>
    <row r="23" spans="1:67" ht="20.25" customHeight="1" x14ac:dyDescent="0.2">
      <c r="A23" s="3191" t="s">
        <v>30</v>
      </c>
      <c r="B23" s="3192">
        <v>596.20000000000005</v>
      </c>
      <c r="C23" s="3193">
        <v>491.2</v>
      </c>
      <c r="D23" s="1725">
        <f t="shared" si="30"/>
        <v>82.388460248238843</v>
      </c>
      <c r="E23" s="1597">
        <v>434.9</v>
      </c>
      <c r="F23" s="1600">
        <f t="shared" si="31"/>
        <v>88.538273615635177</v>
      </c>
      <c r="G23" s="1597">
        <v>447.9</v>
      </c>
      <c r="H23" s="1600">
        <f t="shared" si="5"/>
        <v>102.98919291791215</v>
      </c>
      <c r="I23" s="1600">
        <v>638.6</v>
      </c>
      <c r="J23" s="1597">
        <v>240.8</v>
      </c>
      <c r="K23" s="1597">
        <v>453.7</v>
      </c>
      <c r="L23" s="1600">
        <v>604.6</v>
      </c>
      <c r="M23" s="1600">
        <f t="shared" si="6"/>
        <v>134.98548783210541</v>
      </c>
      <c r="N23" s="1597">
        <v>692.7</v>
      </c>
      <c r="O23" s="1600">
        <f t="shared" si="32"/>
        <v>114.57161759841216</v>
      </c>
      <c r="P23" s="1600">
        <v>634.6</v>
      </c>
      <c r="Q23" s="1600">
        <f t="shared" si="33"/>
        <v>99.373629815220795</v>
      </c>
      <c r="R23" s="1600">
        <f t="shared" si="34"/>
        <v>104.96195831955011</v>
      </c>
      <c r="S23" s="1597">
        <v>521.70000000000005</v>
      </c>
      <c r="T23" s="1597">
        <v>640.4</v>
      </c>
      <c r="U23" s="2578">
        <v>743.4</v>
      </c>
      <c r="V23" s="3194">
        <f t="shared" si="7"/>
        <v>1.1714465805231642</v>
      </c>
      <c r="W23" s="1597">
        <f>P23*1.048</f>
        <v>665.06080000000009</v>
      </c>
      <c r="X23" s="1597">
        <v>580.4</v>
      </c>
      <c r="Y23" s="1597">
        <v>679.7</v>
      </c>
      <c r="Z23" s="1597">
        <v>819.2</v>
      </c>
      <c r="AA23" s="1597">
        <v>748.4</v>
      </c>
      <c r="AB23" s="1597">
        <f>AA23</f>
        <v>748.4</v>
      </c>
      <c r="AC23" s="3194">
        <f>AB23/W23</f>
        <v>1.1253106482895998</v>
      </c>
      <c r="AD23" s="1597">
        <v>235.18</v>
      </c>
      <c r="AE23" s="1597">
        <v>379.87</v>
      </c>
      <c r="AF23" s="1597">
        <f>SUM(Z23*1.1)</f>
        <v>901.12000000000012</v>
      </c>
      <c r="AG23" s="1597">
        <f>AB23*1.062</f>
        <v>794.80079999999998</v>
      </c>
      <c r="AH23" s="1597">
        <v>865.88</v>
      </c>
      <c r="AI23" s="1597">
        <v>805.79</v>
      </c>
      <c r="AJ23" s="1597">
        <v>867.66</v>
      </c>
      <c r="AK23" s="1597">
        <v>902.26</v>
      </c>
      <c r="AL23" s="1597">
        <v>893.69</v>
      </c>
      <c r="AM23" s="1597">
        <f>AI23*1.027*1.046</f>
        <v>865.61346117999994</v>
      </c>
      <c r="AN23" s="1597">
        <f>SUM(AK23*1.046)</f>
        <v>943.76396</v>
      </c>
      <c r="AO23" s="5648" t="s">
        <v>2053</v>
      </c>
      <c r="AP23" s="5649"/>
      <c r="AQ23" s="5649"/>
      <c r="AR23" s="3203">
        <f>AD23*2*1.062</f>
        <v>499.52232000000004</v>
      </c>
      <c r="AS23" s="3203"/>
      <c r="AT23" s="3203"/>
      <c r="AU23" s="3203"/>
      <c r="AV23" s="3203"/>
      <c r="AW23" s="3203"/>
      <c r="AX23" s="3204">
        <f t="shared" si="17"/>
        <v>882.66604636524596</v>
      </c>
      <c r="AY23" s="3192">
        <v>519.22</v>
      </c>
      <c r="AZ23" s="3192">
        <v>656.67</v>
      </c>
      <c r="BA23" s="3192">
        <v>1000.58</v>
      </c>
      <c r="BB23" s="3204">
        <f>SUM(BA23*1.046)*(1-0.01)</f>
        <v>1036.1406132000002</v>
      </c>
      <c r="BC23" s="3204">
        <v>799.42</v>
      </c>
      <c r="BD23" s="3600">
        <v>342.67</v>
      </c>
      <c r="BE23" s="3600">
        <v>477.44</v>
      </c>
      <c r="BF23" s="3600">
        <v>696.8</v>
      </c>
      <c r="BG23" s="3204">
        <f>SUM(BC23*1.05)*(1-0.01)</f>
        <v>830.99708999999996</v>
      </c>
      <c r="BH23" s="3204">
        <f>SUM(BC23*1.06*0.99*(1+0.043)*0.99)</f>
        <v>866.23469060436003</v>
      </c>
      <c r="BI23" s="3915">
        <v>544.64</v>
      </c>
      <c r="BJ23" s="3915">
        <v>714.95</v>
      </c>
      <c r="BK23" s="3915">
        <v>1147.78</v>
      </c>
      <c r="BL23" s="3209">
        <f t="shared" si="18"/>
        <v>1299.3047505900001</v>
      </c>
      <c r="BM23" s="4163">
        <f>AM23*0.99*1.034*0.99*1.067*0.99*1.139*0.99*1.06</f>
        <v>1107.5907687752372</v>
      </c>
      <c r="BN23" s="4706">
        <v>606.54</v>
      </c>
      <c r="BO23" s="4706">
        <v>1217.1400000000001</v>
      </c>
    </row>
    <row r="24" spans="1:67" ht="20.25" customHeight="1" x14ac:dyDescent="0.2">
      <c r="A24" s="3191" t="s">
        <v>283</v>
      </c>
      <c r="B24" s="3192"/>
      <c r="C24" s="3193"/>
      <c r="D24" s="1725"/>
      <c r="E24" s="1597"/>
      <c r="F24" s="1600"/>
      <c r="G24" s="1597"/>
      <c r="H24" s="1600"/>
      <c r="I24" s="1600"/>
      <c r="J24" s="1597"/>
      <c r="K24" s="1597"/>
      <c r="L24" s="1600"/>
      <c r="M24" s="1600"/>
      <c r="N24" s="1597"/>
      <c r="O24" s="1600"/>
      <c r="P24" s="1600"/>
      <c r="Q24" s="1600"/>
      <c r="R24" s="1600"/>
      <c r="S24" s="1597"/>
      <c r="T24" s="1597"/>
      <c r="U24" s="2578"/>
      <c r="V24" s="3194"/>
      <c r="W24" s="1597">
        <f>7.607*3.39</f>
        <v>25.787730000000003</v>
      </c>
      <c r="X24" s="1597">
        <v>0</v>
      </c>
      <c r="Y24" s="1597">
        <v>0</v>
      </c>
      <c r="Z24" s="1597">
        <v>0</v>
      </c>
      <c r="AA24" s="1597">
        <v>27.2</v>
      </c>
      <c r="AB24" s="1597">
        <f>7.607/2*3.39+7.607/2*3.39*1.033</f>
        <v>26.213227545000002</v>
      </c>
      <c r="AC24" s="3194">
        <f>AB24/W24</f>
        <v>1.0165</v>
      </c>
      <c r="AD24" s="1597">
        <v>0</v>
      </c>
      <c r="AE24" s="1597">
        <v>0</v>
      </c>
      <c r="AF24" s="1597">
        <f>SUM(AA24*1.1)</f>
        <v>29.92</v>
      </c>
      <c r="AG24" s="1597">
        <v>27.1</v>
      </c>
      <c r="AH24" s="1597">
        <v>0</v>
      </c>
      <c r="AI24" s="1597">
        <v>0</v>
      </c>
      <c r="AJ24" s="1597">
        <v>47.51</v>
      </c>
      <c r="AK24" s="1597">
        <v>0</v>
      </c>
      <c r="AL24" s="1597">
        <v>48.94</v>
      </c>
      <c r="AM24" s="1597">
        <v>0</v>
      </c>
      <c r="AN24" s="1597">
        <v>0</v>
      </c>
      <c r="AO24" s="5648" t="s">
        <v>2056</v>
      </c>
      <c r="AP24" s="5649"/>
      <c r="AQ24" s="5649"/>
      <c r="AR24" s="3203"/>
      <c r="AS24" s="3203"/>
      <c r="AT24" s="3203"/>
      <c r="AU24" s="3203"/>
      <c r="AV24" s="3203"/>
      <c r="AW24" s="3203"/>
      <c r="AX24" s="3192">
        <v>0</v>
      </c>
      <c r="AY24" s="3192">
        <v>0</v>
      </c>
      <c r="AZ24" s="3192">
        <v>0</v>
      </c>
      <c r="BA24" s="3192">
        <v>0</v>
      </c>
      <c r="BB24" s="3600">
        <v>0</v>
      </c>
      <c r="BC24" s="3204">
        <f t="shared" si="35"/>
        <v>0</v>
      </c>
      <c r="BD24" s="3600">
        <v>0</v>
      </c>
      <c r="BE24" s="3600">
        <v>0</v>
      </c>
      <c r="BF24" s="3600">
        <v>0</v>
      </c>
      <c r="BG24" s="3915">
        <v>0</v>
      </c>
      <c r="BH24" s="3204">
        <f t="shared" si="19"/>
        <v>0</v>
      </c>
      <c r="BI24" s="3915">
        <v>0</v>
      </c>
      <c r="BJ24" s="3915">
        <v>0</v>
      </c>
      <c r="BK24" s="3915">
        <v>0</v>
      </c>
      <c r="BL24" s="3209">
        <f t="shared" si="18"/>
        <v>0</v>
      </c>
      <c r="BM24" s="2343">
        <v>0</v>
      </c>
      <c r="BN24" s="4706">
        <v>0</v>
      </c>
      <c r="BO24" s="4568">
        <v>0</v>
      </c>
    </row>
    <row r="25" spans="1:67" ht="20.25" customHeight="1" x14ac:dyDescent="0.2">
      <c r="A25" s="3191" t="s">
        <v>81</v>
      </c>
      <c r="B25" s="3192">
        <v>2265.5</v>
      </c>
      <c r="C25" s="3193">
        <v>2370.8000000000002</v>
      </c>
      <c r="D25" s="1725">
        <f t="shared" si="30"/>
        <v>104.64798057823882</v>
      </c>
      <c r="E25" s="1597">
        <v>3361.3</v>
      </c>
      <c r="F25" s="1600">
        <f t="shared" si="31"/>
        <v>141.77914627973681</v>
      </c>
      <c r="G25" s="1597">
        <v>3843.8</v>
      </c>
      <c r="H25" s="1600">
        <f t="shared" si="5"/>
        <v>114.35456519798888</v>
      </c>
      <c r="I25" s="1597">
        <v>2976.4</v>
      </c>
      <c r="J25" s="1597">
        <v>2205.8000000000002</v>
      </c>
      <c r="K25" s="1597">
        <v>2484.8000000000002</v>
      </c>
      <c r="L25" s="1600">
        <v>3864.3</v>
      </c>
      <c r="M25" s="1600">
        <f t="shared" si="6"/>
        <v>100.5333263957542</v>
      </c>
      <c r="N25" s="1597">
        <v>4898</v>
      </c>
      <c r="O25" s="1600">
        <f t="shared" si="32"/>
        <v>126.74999353052299</v>
      </c>
      <c r="P25" s="1600">
        <v>3475.4</v>
      </c>
      <c r="Q25" s="1600">
        <f t="shared" si="33"/>
        <v>116.76521972853111</v>
      </c>
      <c r="R25" s="1600">
        <f t="shared" si="34"/>
        <v>89.936081567166099</v>
      </c>
      <c r="S25" s="1597">
        <v>2996.7</v>
      </c>
      <c r="T25" s="1597">
        <v>0</v>
      </c>
      <c r="U25" s="2578">
        <v>4889.2</v>
      </c>
      <c r="V25" s="3194">
        <f t="shared" si="7"/>
        <v>1.4068020947229094</v>
      </c>
      <c r="W25" s="1597">
        <v>4303.2</v>
      </c>
      <c r="X25" s="1597">
        <v>0</v>
      </c>
      <c r="Y25" s="1597">
        <v>0</v>
      </c>
      <c r="Z25" s="1597">
        <v>0</v>
      </c>
      <c r="AA25" s="1597">
        <v>0</v>
      </c>
      <c r="AB25" s="1597">
        <v>0</v>
      </c>
      <c r="AC25" s="3194"/>
      <c r="AD25" s="1597">
        <v>0</v>
      </c>
      <c r="AE25" s="1597">
        <v>0</v>
      </c>
      <c r="AF25" s="1597">
        <f>SUM(Z25*1.1)</f>
        <v>0</v>
      </c>
      <c r="AG25" s="1597">
        <f>AF25</f>
        <v>0</v>
      </c>
      <c r="AH25" s="1597">
        <v>0</v>
      </c>
      <c r="AI25" s="1597">
        <v>0</v>
      </c>
      <c r="AJ25" s="1597">
        <v>0</v>
      </c>
      <c r="AK25" s="1597">
        <v>0</v>
      </c>
      <c r="AL25" s="1597">
        <v>0</v>
      </c>
      <c r="AM25" s="1597">
        <v>0</v>
      </c>
      <c r="AN25" s="1597">
        <v>0</v>
      </c>
      <c r="AO25" s="5648"/>
      <c r="AP25" s="5649"/>
      <c r="AQ25" s="5649"/>
      <c r="AR25" s="3203"/>
      <c r="AS25" s="3203"/>
      <c r="AT25" s="3203"/>
      <c r="AU25" s="3203"/>
      <c r="AV25" s="3203"/>
      <c r="AW25" s="3203"/>
      <c r="AX25" s="3192">
        <v>0</v>
      </c>
      <c r="AY25" s="3192">
        <v>0</v>
      </c>
      <c r="AZ25" s="3192"/>
      <c r="BA25" s="3192"/>
      <c r="BB25" s="3600">
        <v>0</v>
      </c>
      <c r="BC25" s="3204">
        <f t="shared" si="35"/>
        <v>0</v>
      </c>
      <c r="BD25" s="3600">
        <v>0</v>
      </c>
      <c r="BE25" s="3600"/>
      <c r="BF25" s="3600"/>
      <c r="BG25" s="3915">
        <v>0</v>
      </c>
      <c r="BH25" s="3204">
        <f t="shared" si="19"/>
        <v>0</v>
      </c>
      <c r="BI25" s="3915"/>
      <c r="BJ25" s="3915"/>
      <c r="BK25" s="3915"/>
      <c r="BL25" s="3209">
        <f t="shared" si="18"/>
        <v>0</v>
      </c>
      <c r="BM25" s="4163">
        <f>AM25*0.99*1.034*0.99*1.067*0.99*1.139*0.99*1.06</f>
        <v>0</v>
      </c>
      <c r="BN25" s="4706"/>
      <c r="BO25" s="4568"/>
    </row>
    <row r="26" spans="1:67" ht="20.25" customHeight="1" x14ac:dyDescent="0.2">
      <c r="A26" s="3191" t="s">
        <v>834</v>
      </c>
      <c r="B26" s="3192">
        <f>SUM(B27:B41)</f>
        <v>612.30000000000007</v>
      </c>
      <c r="C26" s="3193">
        <f>SUM(C27:C41)</f>
        <v>1059.2000000000003</v>
      </c>
      <c r="D26" s="1725">
        <f t="shared" si="30"/>
        <v>172.98709782786219</v>
      </c>
      <c r="E26" s="1597">
        <f>SUM(E27:E41)</f>
        <v>1540.5</v>
      </c>
      <c r="F26" s="1597">
        <f>SUM(F27:F41)</f>
        <v>7226.5100998898079</v>
      </c>
      <c r="G26" s="1597">
        <f>SUM(G27:G41)</f>
        <v>1630.6000000000001</v>
      </c>
      <c r="H26" s="1600">
        <f t="shared" si="5"/>
        <v>105.84875040571245</v>
      </c>
      <c r="I26" s="1597">
        <f>SUM(I27:I43)</f>
        <v>574.80000000000007</v>
      </c>
      <c r="J26" s="1597">
        <f>SUM(J27:J42)</f>
        <v>833.19999999999993</v>
      </c>
      <c r="K26" s="1597">
        <f>SUM(K27:K43)</f>
        <v>1422.4999999999998</v>
      </c>
      <c r="L26" s="1597">
        <f>SUM(L27:L43)</f>
        <v>2181.3999999999996</v>
      </c>
      <c r="M26" s="1600">
        <f t="shared" si="6"/>
        <v>133.77897706365752</v>
      </c>
      <c r="N26" s="1597">
        <f>SUM(N27:N42)</f>
        <v>1609.2</v>
      </c>
      <c r="O26" s="1600">
        <f t="shared" si="32"/>
        <v>73.769139084991309</v>
      </c>
      <c r="P26" s="1597">
        <f>SUM(P27:P42)</f>
        <v>688.09999999999991</v>
      </c>
      <c r="Q26" s="1600">
        <f t="shared" si="33"/>
        <v>119.71120389700762</v>
      </c>
      <c r="R26" s="1600">
        <f t="shared" si="34"/>
        <v>31.543962592830294</v>
      </c>
      <c r="S26" s="1597">
        <f>SUM(S27:S43)</f>
        <v>1530.4999999999998</v>
      </c>
      <c r="T26" s="1597">
        <f>SUM(T27:T43)</f>
        <v>1994.6</v>
      </c>
      <c r="U26" s="1597">
        <f t="shared" ref="U26:Y26" si="36">SUM(U27:U45)</f>
        <v>1927.9999999999998</v>
      </c>
      <c r="V26" s="1597">
        <f t="shared" si="36"/>
        <v>20.175819892344588</v>
      </c>
      <c r="W26" s="1597">
        <f t="shared" si="36"/>
        <v>717.20720000000006</v>
      </c>
      <c r="X26" s="1597">
        <f t="shared" si="36"/>
        <v>567.9</v>
      </c>
      <c r="Y26" s="1597">
        <f t="shared" si="36"/>
        <v>1099.3100000000002</v>
      </c>
      <c r="Z26" s="1597">
        <f>SUM(Z27:Z45)</f>
        <v>1771.4000000000003</v>
      </c>
      <c r="AA26" s="1597">
        <f t="shared" ref="AA26:AB26" si="37">SUM(AA27:AA45)</f>
        <v>1836.6</v>
      </c>
      <c r="AB26" s="1597">
        <f t="shared" si="37"/>
        <v>884.60680579999996</v>
      </c>
      <c r="AC26" s="3194">
        <f t="shared" ref="AC26:AC36" si="38">AB26/W26</f>
        <v>1.2334048038000733</v>
      </c>
      <c r="AD26" s="1597">
        <f t="shared" ref="AD26:AM26" si="39">SUM(AD27:AD45)</f>
        <v>1469.5699999999997</v>
      </c>
      <c r="AE26" s="1597">
        <f t="shared" si="39"/>
        <v>2026.9600000000003</v>
      </c>
      <c r="AF26" s="1597">
        <f t="shared" si="39"/>
        <v>2123.25</v>
      </c>
      <c r="AG26" s="1597">
        <f>SUM(AG27:AG45)</f>
        <v>1245.10448</v>
      </c>
      <c r="AH26" s="1597">
        <f t="shared" si="39"/>
        <v>2531.66</v>
      </c>
      <c r="AI26" s="1597">
        <f t="shared" si="39"/>
        <v>2092.3800000000006</v>
      </c>
      <c r="AJ26" s="1597">
        <f t="shared" ref="AJ26" si="40">SUM(AJ27:AJ45)</f>
        <v>1339.41</v>
      </c>
      <c r="AK26" s="1597">
        <f t="shared" ref="AK26" si="41">SUM(AK27:AK45)</f>
        <v>2825.5000000000005</v>
      </c>
      <c r="AL26" s="1597">
        <f t="shared" si="39"/>
        <v>2708.1000000000004</v>
      </c>
      <c r="AM26" s="1597">
        <f t="shared" si="39"/>
        <v>1824.8485971790187</v>
      </c>
      <c r="AN26" s="1597">
        <f t="shared" ref="AN26" si="42">SUM(AN27:AN45)</f>
        <v>2979.9258978642943</v>
      </c>
      <c r="AO26" s="5648"/>
      <c r="AP26" s="5649"/>
      <c r="AQ26" s="5649"/>
      <c r="AR26" s="3203"/>
      <c r="AS26" s="3203"/>
      <c r="AT26" s="3203"/>
      <c r="AU26" s="3203"/>
      <c r="AV26" s="3203"/>
      <c r="AW26" s="3203"/>
      <c r="AX26" s="1597">
        <f t="shared" ref="AX26" si="43">SUM(AX27:AX45)</f>
        <v>1860.7981145434453</v>
      </c>
      <c r="AY26" s="1597">
        <f t="shared" ref="AY26:BB26" si="44">SUM(AY27:AY45)</f>
        <v>1588.67</v>
      </c>
      <c r="AZ26" s="1597">
        <f t="shared" si="44"/>
        <v>2434.0900000000006</v>
      </c>
      <c r="BA26" s="1597">
        <f t="shared" si="44"/>
        <v>3071.1500000000005</v>
      </c>
      <c r="BB26" s="1597">
        <f t="shared" si="44"/>
        <v>3496.5303899805376</v>
      </c>
      <c r="BC26" s="1597">
        <f t="shared" ref="BC26:BG26" si="45">SUM(BC27:BC45)</f>
        <v>1565.3675867500465</v>
      </c>
      <c r="BD26" s="1597">
        <f t="shared" si="45"/>
        <v>678.89</v>
      </c>
      <c r="BE26" s="1597">
        <f t="shared" si="45"/>
        <v>1277.2840000000001</v>
      </c>
      <c r="BF26" s="1597">
        <f t="shared" si="45"/>
        <v>1708.97</v>
      </c>
      <c r="BG26" s="1597">
        <f t="shared" si="45"/>
        <v>2338.7786905179728</v>
      </c>
      <c r="BH26" s="1597">
        <f t="shared" ref="BH26:BI26" si="46">SUM(BH27:BH45)</f>
        <v>1794.7189437973102</v>
      </c>
      <c r="BI26" s="1597">
        <f t="shared" si="46"/>
        <v>907.87199999999984</v>
      </c>
      <c r="BJ26" s="1597">
        <f t="shared" ref="BJ26:BL26" si="47">SUM(BJ27:BJ45)</f>
        <v>1979.2959999999998</v>
      </c>
      <c r="BK26" s="1597">
        <f t="shared" si="47"/>
        <v>2729.4399999999996</v>
      </c>
      <c r="BL26" s="2343">
        <f t="shared" si="47"/>
        <v>3089.76838632</v>
      </c>
      <c r="BM26" s="2343">
        <f>SUM(BM27:BM45)</f>
        <v>1540.8354784112205</v>
      </c>
      <c r="BN26" s="4681">
        <f t="shared" ref="BN26:BO26" si="48">SUM(BN27:BN45)</f>
        <v>1575.26</v>
      </c>
      <c r="BO26" s="1597">
        <f t="shared" si="48"/>
        <v>6747.0340000000015</v>
      </c>
    </row>
    <row r="27" spans="1:67" ht="20.25" customHeight="1" x14ac:dyDescent="0.2">
      <c r="A27" s="3195" t="s">
        <v>531</v>
      </c>
      <c r="B27" s="3196">
        <v>84.7</v>
      </c>
      <c r="C27" s="1725">
        <v>70.5</v>
      </c>
      <c r="D27" s="1725">
        <f t="shared" ref="D27:D41" si="49">C27/B27*100</f>
        <v>83.234946871310498</v>
      </c>
      <c r="E27" s="1597">
        <v>133.5</v>
      </c>
      <c r="F27" s="1600">
        <f t="shared" ref="F27:F41" si="50">E27/C27*100</f>
        <v>189.36170212765958</v>
      </c>
      <c r="G27" s="1600">
        <v>78.5</v>
      </c>
      <c r="H27" s="1600">
        <f t="shared" si="5"/>
        <v>58.801498127340821</v>
      </c>
      <c r="I27" s="1600">
        <v>117.7</v>
      </c>
      <c r="J27" s="1597">
        <v>78.5</v>
      </c>
      <c r="K27" s="1597">
        <v>491.2</v>
      </c>
      <c r="L27" s="1600">
        <v>491.2</v>
      </c>
      <c r="M27" s="1600">
        <f t="shared" si="6"/>
        <v>625.73248407643302</v>
      </c>
      <c r="N27" s="1600">
        <v>123</v>
      </c>
      <c r="O27" s="1600">
        <f t="shared" ref="O27:O40" si="51">N27/L27*100</f>
        <v>25.04071661237785</v>
      </c>
      <c r="P27" s="1600">
        <v>123</v>
      </c>
      <c r="Q27" s="1600">
        <f t="shared" ref="Q27:Q41" si="52">P27/I27*100</f>
        <v>104.50297366185217</v>
      </c>
      <c r="R27" s="1600">
        <f t="shared" ref="R27:R43" si="53">P27/L27*100</f>
        <v>25.04071661237785</v>
      </c>
      <c r="S27" s="1597">
        <v>192.6</v>
      </c>
      <c r="T27" s="1597">
        <v>192.6</v>
      </c>
      <c r="U27" s="2578">
        <v>240</v>
      </c>
      <c r="V27" s="3194">
        <f t="shared" si="7"/>
        <v>1.9512195121951219</v>
      </c>
      <c r="W27" s="1597">
        <f>P27*1.048</f>
        <v>128.904</v>
      </c>
      <c r="X27" s="1597">
        <v>0</v>
      </c>
      <c r="Y27" s="1597">
        <v>0</v>
      </c>
      <c r="Z27" s="1597">
        <v>242.3</v>
      </c>
      <c r="AA27" s="1597">
        <v>141</v>
      </c>
      <c r="AB27" s="1597">
        <v>141</v>
      </c>
      <c r="AC27" s="3194">
        <f t="shared" si="38"/>
        <v>1.0938372742506051</v>
      </c>
      <c r="AD27" s="1597">
        <v>0</v>
      </c>
      <c r="AE27" s="1597">
        <v>0</v>
      </c>
      <c r="AF27" s="1597">
        <f>SUM(Z27*1.1)</f>
        <v>266.53000000000003</v>
      </c>
      <c r="AG27" s="1597">
        <f>AF27</f>
        <v>266.53000000000003</v>
      </c>
      <c r="AH27" s="1597">
        <v>0</v>
      </c>
      <c r="AI27" s="1597">
        <v>0</v>
      </c>
      <c r="AJ27" s="1597">
        <v>290.95999999999998</v>
      </c>
      <c r="AK27" s="1597">
        <v>0</v>
      </c>
      <c r="AL27" s="1597">
        <v>299.69</v>
      </c>
      <c r="AM27" s="1597">
        <f>AG27*0.99*1.037*0.99*1.027*1.046</f>
        <v>291.00293753901855</v>
      </c>
      <c r="AN27" s="1597">
        <f>SUM(AM27*1.046)</f>
        <v>304.38907266581339</v>
      </c>
      <c r="AO27" s="5648" t="s">
        <v>2057</v>
      </c>
      <c r="AP27" s="5649"/>
      <c r="AQ27" s="5649"/>
      <c r="AR27" s="3203"/>
      <c r="AS27" s="3203"/>
      <c r="AT27" s="3203"/>
      <c r="AU27" s="3203"/>
      <c r="AV27" s="3203"/>
      <c r="AW27" s="3203"/>
      <c r="AX27" s="3204">
        <f t="shared" ref="AX27:AX45" si="54">SUM(AM27*1.03)*(1-0.01)</f>
        <v>296.73569540853725</v>
      </c>
      <c r="AY27" s="3192"/>
      <c r="AZ27" s="3192"/>
      <c r="BA27" s="3192"/>
      <c r="BB27" s="3204">
        <f>SUM(AX27*1.046)*(1-0.01)</f>
        <v>307.28168202335667</v>
      </c>
      <c r="BC27" s="3204">
        <f t="shared" si="35"/>
        <v>304.93495785947005</v>
      </c>
      <c r="BD27" s="3600"/>
      <c r="BE27" s="3600"/>
      <c r="BF27" s="3600"/>
      <c r="BG27" s="3204">
        <f>SUM(BC27*1.05)*(1-0.01)</f>
        <v>316.97988869491911</v>
      </c>
      <c r="BH27" s="3204">
        <f t="shared" si="19"/>
        <v>322.78524128512868</v>
      </c>
      <c r="BI27" s="3915"/>
      <c r="BJ27" s="3915"/>
      <c r="BK27" s="3915"/>
      <c r="BL27" s="3209">
        <f t="shared" si="18"/>
        <v>0</v>
      </c>
      <c r="BM27" s="4163">
        <v>0</v>
      </c>
      <c r="BN27" s="4706"/>
      <c r="BO27" s="4568"/>
    </row>
    <row r="28" spans="1:67" ht="20.25" customHeight="1" x14ac:dyDescent="0.2">
      <c r="A28" s="3195" t="s">
        <v>532</v>
      </c>
      <c r="B28" s="3196">
        <v>131.6</v>
      </c>
      <c r="C28" s="1725">
        <v>171.2</v>
      </c>
      <c r="D28" s="1725">
        <f t="shared" si="49"/>
        <v>130.09118541033436</v>
      </c>
      <c r="E28" s="1600">
        <v>112.7</v>
      </c>
      <c r="F28" s="1600">
        <f t="shared" si="50"/>
        <v>65.829439252336456</v>
      </c>
      <c r="G28" s="1600">
        <v>319</v>
      </c>
      <c r="H28" s="1600">
        <f t="shared" si="5"/>
        <v>283.05235137533271</v>
      </c>
      <c r="I28" s="1600">
        <v>102.5</v>
      </c>
      <c r="J28" s="1600">
        <v>56.8</v>
      </c>
      <c r="K28" s="1600">
        <v>159.5</v>
      </c>
      <c r="L28" s="1600">
        <v>193.1</v>
      </c>
      <c r="M28" s="1600">
        <f t="shared" si="6"/>
        <v>60.532915360501562</v>
      </c>
      <c r="N28" s="1600">
        <v>245.6</v>
      </c>
      <c r="O28" s="1600">
        <f t="shared" si="51"/>
        <v>127.18798549974106</v>
      </c>
      <c r="P28" s="1600">
        <v>223.1</v>
      </c>
      <c r="Q28" s="1600">
        <f t="shared" si="52"/>
        <v>217.65853658536588</v>
      </c>
      <c r="R28" s="1600">
        <f t="shared" si="53"/>
        <v>115.53599171413775</v>
      </c>
      <c r="S28" s="1597">
        <v>280</v>
      </c>
      <c r="T28" s="1597">
        <v>321.39999999999998</v>
      </c>
      <c r="U28" s="2578">
        <v>260.8</v>
      </c>
      <c r="V28" s="3194">
        <f t="shared" si="7"/>
        <v>1.1689825190497536</v>
      </c>
      <c r="W28" s="1597">
        <f t="shared" ref="W28:W43" si="55">P28*1.048</f>
        <v>233.80879999999999</v>
      </c>
      <c r="X28" s="1597">
        <v>4.9000000000000004</v>
      </c>
      <c r="Y28" s="1597">
        <v>142.5</v>
      </c>
      <c r="Z28" s="1597">
        <v>203.7</v>
      </c>
      <c r="AA28" s="1597">
        <v>273.2</v>
      </c>
      <c r="AB28" s="1597">
        <v>273.2</v>
      </c>
      <c r="AC28" s="3194">
        <f t="shared" si="38"/>
        <v>1.1684761223700733</v>
      </c>
      <c r="AD28" s="1597">
        <v>65.5</v>
      </c>
      <c r="AE28" s="1597">
        <v>229.74</v>
      </c>
      <c r="AF28" s="1597">
        <f>SUM(AB28*1.1)</f>
        <v>300.52000000000004</v>
      </c>
      <c r="AG28" s="1597">
        <f>AF28</f>
        <v>300.52000000000004</v>
      </c>
      <c r="AH28" s="1597">
        <v>404.68</v>
      </c>
      <c r="AI28" s="1597">
        <v>453.94</v>
      </c>
      <c r="AJ28" s="1597">
        <v>328.07</v>
      </c>
      <c r="AK28" s="1597">
        <v>658.32</v>
      </c>
      <c r="AL28" s="1597">
        <v>481.58</v>
      </c>
      <c r="AM28" s="1597">
        <f>AL28</f>
        <v>481.58</v>
      </c>
      <c r="AN28" s="1597">
        <f>SUM(AK28*1.046)</f>
        <v>688.60272000000009</v>
      </c>
      <c r="AO28" s="5648" t="s">
        <v>2054</v>
      </c>
      <c r="AP28" s="5649"/>
      <c r="AQ28" s="5649"/>
      <c r="AR28" s="3203"/>
      <c r="AS28" s="3203"/>
      <c r="AT28" s="3203"/>
      <c r="AU28" s="3203"/>
      <c r="AV28" s="3203"/>
      <c r="AW28" s="3203"/>
      <c r="AX28" s="3204">
        <f t="shared" si="54"/>
        <v>491.06712599999997</v>
      </c>
      <c r="AY28" s="3192">
        <v>304.22000000000003</v>
      </c>
      <c r="AZ28" s="3192">
        <v>706.97</v>
      </c>
      <c r="BA28" s="3192">
        <v>823.56</v>
      </c>
      <c r="BB28" s="3204">
        <f>SUM(BA28*1.046)*(1-0.01)</f>
        <v>852.82932240000002</v>
      </c>
      <c r="BC28" s="3204">
        <v>389.04</v>
      </c>
      <c r="BD28" s="3600"/>
      <c r="BE28" s="3600">
        <v>243</v>
      </c>
      <c r="BF28" s="3600">
        <v>263.76</v>
      </c>
      <c r="BG28" s="3204">
        <f>SUM(BC28*1.05)*(1-0.01)</f>
        <v>404.40708000000001</v>
      </c>
      <c r="BH28" s="3204">
        <f t="shared" si="19"/>
        <v>534.17645131932545</v>
      </c>
      <c r="BI28" s="3915">
        <v>136.47999999999999</v>
      </c>
      <c r="BJ28" s="3915">
        <v>821.18</v>
      </c>
      <c r="BK28" s="3915">
        <v>1079.24</v>
      </c>
      <c r="BL28" s="3209">
        <f t="shared" si="18"/>
        <v>1221.7164082200002</v>
      </c>
      <c r="BM28" s="4163">
        <v>741.31005489999995</v>
      </c>
      <c r="BN28" s="4706">
        <v>57.08</v>
      </c>
      <c r="BO28" s="4706">
        <v>718.87</v>
      </c>
    </row>
    <row r="29" spans="1:67" ht="20.25" customHeight="1" x14ac:dyDescent="0.2">
      <c r="A29" s="3195" t="s">
        <v>533</v>
      </c>
      <c r="B29" s="3196">
        <v>2</v>
      </c>
      <c r="C29" s="1725">
        <v>5</v>
      </c>
      <c r="D29" s="1725">
        <f t="shared" si="49"/>
        <v>250</v>
      </c>
      <c r="E29" s="1600">
        <v>7.5</v>
      </c>
      <c r="F29" s="1600">
        <f t="shared" si="50"/>
        <v>150</v>
      </c>
      <c r="G29" s="1600">
        <v>13.9</v>
      </c>
      <c r="H29" s="1600">
        <f t="shared" si="5"/>
        <v>185.33333333333331</v>
      </c>
      <c r="I29" s="1600">
        <v>6</v>
      </c>
      <c r="J29" s="1600">
        <v>2.9</v>
      </c>
      <c r="K29" s="1600"/>
      <c r="L29" s="1600">
        <v>19.399999999999999</v>
      </c>
      <c r="M29" s="1600">
        <f t="shared" si="6"/>
        <v>139.56834532374097</v>
      </c>
      <c r="N29" s="1600">
        <v>14.6</v>
      </c>
      <c r="O29" s="1600"/>
      <c r="P29" s="1600">
        <v>6.3</v>
      </c>
      <c r="Q29" s="1600">
        <f t="shared" si="52"/>
        <v>105</v>
      </c>
      <c r="R29" s="1600"/>
      <c r="S29" s="1597">
        <v>2.5</v>
      </c>
      <c r="T29" s="1597">
        <v>21</v>
      </c>
      <c r="U29" s="2578">
        <v>21</v>
      </c>
      <c r="V29" s="3194">
        <f t="shared" si="7"/>
        <v>3.3333333333333335</v>
      </c>
      <c r="W29" s="1597">
        <f>P29</f>
        <v>6.3</v>
      </c>
      <c r="X29" s="1597">
        <v>2.6</v>
      </c>
      <c r="Y29" s="1597">
        <v>4.91</v>
      </c>
      <c r="Z29" s="1597">
        <v>15.6</v>
      </c>
      <c r="AA29" s="1597">
        <v>6.8</v>
      </c>
      <c r="AB29" s="1597">
        <v>6.8</v>
      </c>
      <c r="AC29" s="3194">
        <f t="shared" si="38"/>
        <v>1.0793650793650793</v>
      </c>
      <c r="AD29" s="1597">
        <v>1.86</v>
      </c>
      <c r="AE29" s="1597">
        <v>12.54</v>
      </c>
      <c r="AF29" s="1597">
        <f>SUM(Z29*1.1)</f>
        <v>17.16</v>
      </c>
      <c r="AG29" s="1597">
        <f>AF29</f>
        <v>17.16</v>
      </c>
      <c r="AH29" s="1597">
        <v>18.12</v>
      </c>
      <c r="AI29" s="1597">
        <v>16.98</v>
      </c>
      <c r="AJ29" s="1597">
        <v>18.73</v>
      </c>
      <c r="AK29" s="1597">
        <v>16.98</v>
      </c>
      <c r="AL29" s="1597">
        <v>19.3</v>
      </c>
      <c r="AM29" s="1597">
        <f>AI29*1.027*1.046</f>
        <v>18.240629160000001</v>
      </c>
      <c r="AN29" s="1597">
        <f>SUM(AM29*1.046)</f>
        <v>19.079698101360002</v>
      </c>
      <c r="AO29" s="5648" t="s">
        <v>2053</v>
      </c>
      <c r="AP29" s="5649"/>
      <c r="AQ29" s="5649"/>
      <c r="AR29" s="3203"/>
      <c r="AS29" s="3203"/>
      <c r="AT29" s="3203"/>
      <c r="AU29" s="3203"/>
      <c r="AV29" s="3203"/>
      <c r="AW29" s="3203"/>
      <c r="AX29" s="3204">
        <f t="shared" si="54"/>
        <v>18.599969554452002</v>
      </c>
      <c r="AY29" s="3192">
        <v>3.16</v>
      </c>
      <c r="AZ29" s="3192">
        <v>11.32</v>
      </c>
      <c r="BA29" s="3192">
        <v>15.72</v>
      </c>
      <c r="BB29" s="3204">
        <f t="shared" ref="BB29:BB31" si="56">SUM(AX29*1.046)*(1-0.01)</f>
        <v>19.261012472417224</v>
      </c>
      <c r="BC29" s="3204">
        <f t="shared" si="35"/>
        <v>19.113915245233642</v>
      </c>
      <c r="BD29" s="3600">
        <v>3.76</v>
      </c>
      <c r="BE29" s="3600">
        <v>10.7</v>
      </c>
      <c r="BF29" s="3600">
        <v>16.399999999999999</v>
      </c>
      <c r="BG29" s="3204">
        <f>SUM(BC29*1.05)*(1-0.01)</f>
        <v>19.868914897420371</v>
      </c>
      <c r="BH29" s="3204">
        <f t="shared" si="19"/>
        <v>20.23280566992111</v>
      </c>
      <c r="BI29" s="3915">
        <v>11.32</v>
      </c>
      <c r="BJ29" s="3915">
        <v>17.5</v>
      </c>
      <c r="BK29" s="3915">
        <v>28.34</v>
      </c>
      <c r="BL29" s="3209">
        <f t="shared" si="18"/>
        <v>32.081319270000002</v>
      </c>
      <c r="BM29" s="4163">
        <f>AM29*0.99*1.034*0.99*1.067*0.99*1.139*0.99*1.06</f>
        <v>23.339693038885475</v>
      </c>
      <c r="BN29" s="4706">
        <v>1.44</v>
      </c>
      <c r="BO29" s="4706">
        <v>18.55</v>
      </c>
    </row>
    <row r="30" spans="1:67" ht="20.25" customHeight="1" x14ac:dyDescent="0.2">
      <c r="A30" s="3195" t="s">
        <v>534</v>
      </c>
      <c r="B30" s="3196">
        <v>74.7</v>
      </c>
      <c r="C30" s="3196">
        <v>67.5</v>
      </c>
      <c r="D30" s="1725">
        <f t="shared" si="49"/>
        <v>90.361445783132524</v>
      </c>
      <c r="E30" s="1600">
        <v>69.599999999999994</v>
      </c>
      <c r="F30" s="1600">
        <f t="shared" si="50"/>
        <v>103.11111111111111</v>
      </c>
      <c r="G30" s="1600">
        <v>69.599999999999994</v>
      </c>
      <c r="H30" s="1600">
        <f t="shared" si="5"/>
        <v>100</v>
      </c>
      <c r="I30" s="1600">
        <v>66.5</v>
      </c>
      <c r="J30" s="1600">
        <v>34.799999999999997</v>
      </c>
      <c r="K30" s="1600">
        <v>50.1</v>
      </c>
      <c r="L30" s="1600">
        <v>69.400000000000006</v>
      </c>
      <c r="M30" s="1600">
        <f t="shared" si="6"/>
        <v>99.712643678160944</v>
      </c>
      <c r="N30" s="1600">
        <v>73.900000000000006</v>
      </c>
      <c r="O30" s="1600">
        <f t="shared" si="51"/>
        <v>106.48414985590777</v>
      </c>
      <c r="P30" s="1600">
        <v>70.099999999999994</v>
      </c>
      <c r="Q30" s="1600">
        <f t="shared" si="52"/>
        <v>105.41353383458645</v>
      </c>
      <c r="R30" s="1600">
        <f t="shared" si="53"/>
        <v>101.00864553314119</v>
      </c>
      <c r="S30" s="1597">
        <v>16.7</v>
      </c>
      <c r="T30" s="1597">
        <v>81.900000000000006</v>
      </c>
      <c r="U30" s="2578">
        <v>82.3</v>
      </c>
      <c r="V30" s="3194">
        <f t="shared" si="7"/>
        <v>1.1740370898716119</v>
      </c>
      <c r="W30" s="1597">
        <f>P30</f>
        <v>70.099999999999994</v>
      </c>
      <c r="X30" s="1597">
        <v>37.799999999999997</v>
      </c>
      <c r="Y30" s="1597">
        <v>56.7</v>
      </c>
      <c r="Z30" s="1597">
        <v>75.599999999999994</v>
      </c>
      <c r="AA30" s="1597">
        <v>84.2</v>
      </c>
      <c r="AB30" s="1597">
        <f>AA30</f>
        <v>84.2</v>
      </c>
      <c r="AC30" s="3194">
        <f t="shared" si="38"/>
        <v>1.2011412268188304</v>
      </c>
      <c r="AD30" s="1597">
        <v>41.55</v>
      </c>
      <c r="AE30" s="1597">
        <v>62.34</v>
      </c>
      <c r="AF30" s="1597">
        <f>SUM(AB30*1.1)</f>
        <v>92.62</v>
      </c>
      <c r="AG30" s="1597">
        <f>AE30/3*4*1.062</f>
        <v>88.273440000000008</v>
      </c>
      <c r="AH30" s="1597">
        <v>83.16</v>
      </c>
      <c r="AI30" s="1597">
        <v>83.16</v>
      </c>
      <c r="AJ30" s="1597">
        <v>88.27</v>
      </c>
      <c r="AK30" s="1597">
        <v>20.79</v>
      </c>
      <c r="AL30" s="1597">
        <v>90.91</v>
      </c>
      <c r="AM30" s="1597">
        <f>AI30*1.027*1.046</f>
        <v>89.333964719999997</v>
      </c>
      <c r="AN30" s="1597">
        <f>SUM(AM30*1.046)</f>
        <v>93.443327097120005</v>
      </c>
      <c r="AO30" s="5648" t="s">
        <v>2053</v>
      </c>
      <c r="AP30" s="5649"/>
      <c r="AQ30" s="5649"/>
      <c r="AR30" s="3203"/>
      <c r="AS30" s="3203"/>
      <c r="AT30" s="3203"/>
      <c r="AU30" s="3203"/>
      <c r="AV30" s="3203"/>
      <c r="AW30" s="3203"/>
      <c r="AX30" s="3204">
        <f t="shared" si="54"/>
        <v>91.093843824983992</v>
      </c>
      <c r="AY30" s="3192">
        <v>44.88</v>
      </c>
      <c r="AZ30" s="3192">
        <v>89.76</v>
      </c>
      <c r="BA30" s="3192">
        <v>89.76</v>
      </c>
      <c r="BB30" s="3204">
        <f t="shared" si="56"/>
        <v>94.331319034523929</v>
      </c>
      <c r="BC30" s="3204">
        <f t="shared" si="35"/>
        <v>93.610906466055923</v>
      </c>
      <c r="BD30" s="3600">
        <v>47.38</v>
      </c>
      <c r="BE30" s="3600">
        <v>47.38</v>
      </c>
      <c r="BF30" s="3600">
        <v>47.38</v>
      </c>
      <c r="BG30" s="3204">
        <f>SUM(BC30*1.05)*(1-0.01)</f>
        <v>97.308537271465127</v>
      </c>
      <c r="BH30" s="3204">
        <f t="shared" si="19"/>
        <v>99.090701973535914</v>
      </c>
      <c r="BI30" s="3915">
        <v>0</v>
      </c>
      <c r="BJ30" s="3915">
        <v>0</v>
      </c>
      <c r="BK30" s="3915">
        <v>0</v>
      </c>
      <c r="BL30" s="3209">
        <f t="shared" si="18"/>
        <v>0</v>
      </c>
      <c r="BM30" s="4163">
        <v>0</v>
      </c>
      <c r="BN30" s="4706">
        <v>0</v>
      </c>
      <c r="BO30" s="4568">
        <v>0</v>
      </c>
    </row>
    <row r="31" spans="1:67" ht="20.25" customHeight="1" x14ac:dyDescent="0.2">
      <c r="A31" s="3195" t="s">
        <v>535</v>
      </c>
      <c r="B31" s="3196">
        <v>17</v>
      </c>
      <c r="C31" s="1725">
        <v>50.1</v>
      </c>
      <c r="D31" s="1725">
        <f t="shared" si="49"/>
        <v>294.70588235294122</v>
      </c>
      <c r="E31" s="1600">
        <v>33</v>
      </c>
      <c r="F31" s="1600">
        <f t="shared" si="50"/>
        <v>65.868263473053887</v>
      </c>
      <c r="G31" s="1600">
        <v>29.6</v>
      </c>
      <c r="H31" s="1600">
        <f t="shared" si="5"/>
        <v>89.696969696969703</v>
      </c>
      <c r="I31" s="1600">
        <v>35.6</v>
      </c>
      <c r="J31" s="1600">
        <v>6.2</v>
      </c>
      <c r="K31" s="1600">
        <v>13.7</v>
      </c>
      <c r="L31" s="1600">
        <v>13.7</v>
      </c>
      <c r="M31" s="1600">
        <f t="shared" si="6"/>
        <v>46.283783783783775</v>
      </c>
      <c r="N31" s="1600">
        <v>37.200000000000003</v>
      </c>
      <c r="O31" s="1600">
        <f t="shared" si="51"/>
        <v>271.5328467153285</v>
      </c>
      <c r="P31" s="1600">
        <v>19.2</v>
      </c>
      <c r="Q31" s="1600">
        <f t="shared" si="52"/>
        <v>53.932584269662918</v>
      </c>
      <c r="R31" s="1600">
        <f t="shared" si="53"/>
        <v>140.14598540145985</v>
      </c>
      <c r="S31" s="1597">
        <v>23.2</v>
      </c>
      <c r="T31" s="1597">
        <v>23.3</v>
      </c>
      <c r="U31" s="2578">
        <v>20.2</v>
      </c>
      <c r="V31" s="3194">
        <f t="shared" si="7"/>
        <v>1.0520833333333333</v>
      </c>
      <c r="W31" s="1597">
        <f t="shared" si="55"/>
        <v>20.121600000000001</v>
      </c>
      <c r="X31" s="1597">
        <v>37.799999999999997</v>
      </c>
      <c r="Y31" s="1597">
        <v>47</v>
      </c>
      <c r="Z31" s="1597">
        <v>47.2</v>
      </c>
      <c r="AA31" s="1597">
        <v>21.6</v>
      </c>
      <c r="AB31" s="1597">
        <f>AA31</f>
        <v>21.6</v>
      </c>
      <c r="AC31" s="3194">
        <f t="shared" si="38"/>
        <v>1.0734732824427482</v>
      </c>
      <c r="AD31" s="1597">
        <v>39.18</v>
      </c>
      <c r="AE31" s="1597">
        <v>91.2</v>
      </c>
      <c r="AF31" s="1597">
        <f>SUM(Z31*1.1)</f>
        <v>51.920000000000009</v>
      </c>
      <c r="AG31" s="1597">
        <f>AF31</f>
        <v>51.920000000000009</v>
      </c>
      <c r="AH31" s="1597">
        <v>249.52</v>
      </c>
      <c r="AI31" s="1597">
        <v>151.34</v>
      </c>
      <c r="AJ31" s="1597">
        <v>56.68</v>
      </c>
      <c r="AK31" s="1597">
        <v>112.62</v>
      </c>
      <c r="AL31" s="1597">
        <v>160.56</v>
      </c>
      <c r="AM31" s="1597">
        <v>160.56</v>
      </c>
      <c r="AN31" s="1597">
        <f>SUM(AM31*1.046)</f>
        <v>167.94576000000001</v>
      </c>
      <c r="AO31" s="5654" t="s">
        <v>2054</v>
      </c>
      <c r="AP31" s="5655"/>
      <c r="AQ31" s="5655"/>
      <c r="AR31" s="3203"/>
      <c r="AS31" s="3203"/>
      <c r="AT31" s="3203"/>
      <c r="AU31" s="3203"/>
      <c r="AV31" s="3203"/>
      <c r="AW31" s="3203"/>
      <c r="AX31" s="3204">
        <f t="shared" si="54"/>
        <v>163.72303199999999</v>
      </c>
      <c r="AY31" s="3192">
        <v>62.71</v>
      </c>
      <c r="AZ31" s="3192">
        <v>108.63</v>
      </c>
      <c r="BA31" s="3192">
        <v>167.37</v>
      </c>
      <c r="BB31" s="3204">
        <f t="shared" si="56"/>
        <v>169.54174855728002</v>
      </c>
      <c r="BC31" s="3204">
        <f t="shared" si="35"/>
        <v>168.24695052211203</v>
      </c>
      <c r="BD31" s="3600">
        <v>68.5</v>
      </c>
      <c r="BE31" s="3600">
        <v>89.9</v>
      </c>
      <c r="BF31" s="3600">
        <v>137.24</v>
      </c>
      <c r="BG31" s="3204">
        <f>SUM(BC31*1.05)*(1-0.01)</f>
        <v>174.89270506773545</v>
      </c>
      <c r="BH31" s="3204">
        <f t="shared" si="19"/>
        <v>178.09579098764675</v>
      </c>
      <c r="BI31" s="3915">
        <v>59.82</v>
      </c>
      <c r="BJ31" s="3915">
        <v>93.86</v>
      </c>
      <c r="BK31" s="3204">
        <v>139.685</v>
      </c>
      <c r="BL31" s="3209">
        <f t="shared" si="18"/>
        <v>158.12558511750001</v>
      </c>
      <c r="BM31" s="4163">
        <f>AM31*0.99*1.034*0.99*1.067*0.99*1.139*0.99*1.06</f>
        <v>205.44363253331173</v>
      </c>
      <c r="BN31" s="4707">
        <v>50.4</v>
      </c>
      <c r="BO31" s="4707">
        <v>173.59</v>
      </c>
    </row>
    <row r="32" spans="1:67" ht="20.25" customHeight="1" x14ac:dyDescent="0.2">
      <c r="A32" s="3195" t="s">
        <v>3533</v>
      </c>
      <c r="B32" s="3196"/>
      <c r="C32" s="1725"/>
      <c r="D32" s="1725"/>
      <c r="E32" s="1600"/>
      <c r="F32" s="1600"/>
      <c r="G32" s="1600"/>
      <c r="H32" s="1600"/>
      <c r="I32" s="1600"/>
      <c r="J32" s="1600"/>
      <c r="K32" s="1600"/>
      <c r="L32" s="1600"/>
      <c r="M32" s="1600"/>
      <c r="N32" s="1600"/>
      <c r="O32" s="1600"/>
      <c r="P32" s="1600"/>
      <c r="Q32" s="1600"/>
      <c r="R32" s="1600"/>
      <c r="S32" s="1597"/>
      <c r="T32" s="1597"/>
      <c r="U32" s="2578"/>
      <c r="V32" s="3194"/>
      <c r="W32" s="1597"/>
      <c r="X32" s="1597"/>
      <c r="Y32" s="1597"/>
      <c r="Z32" s="1597"/>
      <c r="AA32" s="1597"/>
      <c r="AB32" s="1597"/>
      <c r="AC32" s="3194"/>
      <c r="AD32" s="1597"/>
      <c r="AE32" s="1597"/>
      <c r="AF32" s="1597"/>
      <c r="AG32" s="1597"/>
      <c r="AH32" s="1597"/>
      <c r="AI32" s="1597"/>
      <c r="AJ32" s="1597"/>
      <c r="AK32" s="1597">
        <v>299.49</v>
      </c>
      <c r="AL32" s="1597"/>
      <c r="AM32" s="1597"/>
      <c r="AN32" s="1597"/>
      <c r="AO32" s="3053"/>
      <c r="AP32" s="3198"/>
      <c r="AQ32" s="3198"/>
      <c r="AR32" s="3203"/>
      <c r="AS32" s="3203"/>
      <c r="AT32" s="3203"/>
      <c r="AU32" s="3203"/>
      <c r="AV32" s="3203"/>
      <c r="AW32" s="3203"/>
      <c r="AX32" s="3204">
        <f t="shared" si="54"/>
        <v>0</v>
      </c>
      <c r="AY32" s="3192">
        <v>0</v>
      </c>
      <c r="AZ32" s="3192">
        <v>0</v>
      </c>
      <c r="BA32" s="3192">
        <v>0</v>
      </c>
      <c r="BB32" s="3204">
        <f t="shared" ref="BB32:BB33" si="57">SUM(AQ32*1.03)*(1-0.01)</f>
        <v>0</v>
      </c>
      <c r="BC32" s="3204">
        <f t="shared" si="35"/>
        <v>0</v>
      </c>
      <c r="BD32" s="3600">
        <v>0</v>
      </c>
      <c r="BE32" s="3600">
        <v>0</v>
      </c>
      <c r="BF32" s="3600">
        <v>0</v>
      </c>
      <c r="BG32" s="3204">
        <f t="shared" ref="BG32:BG33" si="58">SUM(AV32*1.03)*(1-0.01)</f>
        <v>0</v>
      </c>
      <c r="BH32" s="3204">
        <f t="shared" si="19"/>
        <v>0</v>
      </c>
      <c r="BI32" s="3915">
        <v>0</v>
      </c>
      <c r="BJ32" s="3915">
        <v>0</v>
      </c>
      <c r="BK32" s="3915">
        <v>0</v>
      </c>
      <c r="BL32" s="3209">
        <f t="shared" si="18"/>
        <v>0</v>
      </c>
      <c r="BM32" s="2343">
        <v>0</v>
      </c>
      <c r="BN32" s="4706">
        <v>0</v>
      </c>
      <c r="BO32" s="4568">
        <v>0</v>
      </c>
    </row>
    <row r="33" spans="1:67" ht="20.25" customHeight="1" x14ac:dyDescent="0.2">
      <c r="A33" s="3195" t="s">
        <v>536</v>
      </c>
      <c r="B33" s="3196">
        <v>3.9</v>
      </c>
      <c r="C33" s="1725">
        <v>6.4</v>
      </c>
      <c r="D33" s="1725">
        <f t="shared" si="49"/>
        <v>164.10256410256412</v>
      </c>
      <c r="E33" s="1600">
        <v>7.3</v>
      </c>
      <c r="F33" s="1600">
        <f t="shared" si="50"/>
        <v>114.0625</v>
      </c>
      <c r="G33" s="1600">
        <v>6.3</v>
      </c>
      <c r="H33" s="1600">
        <f t="shared" si="5"/>
        <v>86.301369863013704</v>
      </c>
      <c r="I33" s="1600">
        <v>6</v>
      </c>
      <c r="J33" s="1600">
        <v>3.6</v>
      </c>
      <c r="K33" s="1600">
        <v>3.8</v>
      </c>
      <c r="L33" s="1600">
        <v>5.5</v>
      </c>
      <c r="M33" s="1600">
        <f t="shared" si="6"/>
        <v>87.301587301587304</v>
      </c>
      <c r="N33" s="1600">
        <v>6.8</v>
      </c>
      <c r="O33" s="1600">
        <f t="shared" si="51"/>
        <v>123.63636363636363</v>
      </c>
      <c r="P33" s="1600">
        <v>5.3</v>
      </c>
      <c r="Q33" s="1600">
        <f t="shared" si="52"/>
        <v>88.333333333333329</v>
      </c>
      <c r="R33" s="1600">
        <f t="shared" si="53"/>
        <v>96.36363636363636</v>
      </c>
      <c r="S33" s="1597">
        <v>4.2</v>
      </c>
      <c r="T33" s="1597">
        <v>4.2</v>
      </c>
      <c r="U33" s="2578">
        <v>5.7</v>
      </c>
      <c r="V33" s="3194">
        <f t="shared" si="7"/>
        <v>1.0754716981132075</v>
      </c>
      <c r="W33" s="1597">
        <f>P33</f>
        <v>5.3</v>
      </c>
      <c r="X33" s="1597">
        <v>0</v>
      </c>
      <c r="Y33" s="1597">
        <v>0</v>
      </c>
      <c r="Z33" s="1597"/>
      <c r="AA33" s="1597">
        <v>6</v>
      </c>
      <c r="AB33" s="1597">
        <f>AA33</f>
        <v>6</v>
      </c>
      <c r="AC33" s="3194">
        <f t="shared" si="38"/>
        <v>1.1320754716981132</v>
      </c>
      <c r="AD33" s="1597">
        <v>0.7</v>
      </c>
      <c r="AE33" s="1597">
        <v>0.7</v>
      </c>
      <c r="AF33" s="1597">
        <f>SUM(AB33)</f>
        <v>6</v>
      </c>
      <c r="AG33" s="1597"/>
      <c r="AH33" s="1597">
        <v>0</v>
      </c>
      <c r="AI33" s="1597">
        <v>0</v>
      </c>
      <c r="AJ33" s="1597">
        <v>0</v>
      </c>
      <c r="AK33" s="1597">
        <v>0</v>
      </c>
      <c r="AL33" s="1597">
        <v>0</v>
      </c>
      <c r="AM33" s="1597">
        <v>0</v>
      </c>
      <c r="AN33" s="1597">
        <v>0</v>
      </c>
      <c r="AO33" s="5648"/>
      <c r="AP33" s="5649"/>
      <c r="AQ33" s="5649"/>
      <c r="AR33" s="3203"/>
      <c r="AS33" s="3203"/>
      <c r="AT33" s="3203"/>
      <c r="AU33" s="3203"/>
      <c r="AV33" s="3203"/>
      <c r="AW33" s="3203"/>
      <c r="AX33" s="3204">
        <f t="shared" si="54"/>
        <v>0</v>
      </c>
      <c r="AY33" s="3192">
        <v>0</v>
      </c>
      <c r="AZ33" s="3192">
        <v>0</v>
      </c>
      <c r="BA33" s="3192">
        <v>0</v>
      </c>
      <c r="BB33" s="3204">
        <f t="shared" si="57"/>
        <v>0</v>
      </c>
      <c r="BC33" s="3204">
        <f t="shared" si="35"/>
        <v>0</v>
      </c>
      <c r="BD33" s="3600">
        <v>0</v>
      </c>
      <c r="BE33" s="3600">
        <v>0</v>
      </c>
      <c r="BF33" s="3600">
        <v>0</v>
      </c>
      <c r="BG33" s="3204">
        <f t="shared" si="58"/>
        <v>0</v>
      </c>
      <c r="BH33" s="3204">
        <f t="shared" si="19"/>
        <v>0</v>
      </c>
      <c r="BI33" s="3915">
        <v>0</v>
      </c>
      <c r="BJ33" s="3915">
        <v>0</v>
      </c>
      <c r="BK33" s="3915">
        <v>0</v>
      </c>
      <c r="BL33" s="3209">
        <f t="shared" si="18"/>
        <v>0</v>
      </c>
      <c r="BM33" s="4163">
        <f>AM33*0.99*1.034*0.99*1.067*0.99*1.139*0.99*1.06</f>
        <v>0</v>
      </c>
      <c r="BN33" s="4706">
        <v>0</v>
      </c>
      <c r="BO33" s="4568">
        <v>0</v>
      </c>
    </row>
    <row r="34" spans="1:67" ht="20.25" customHeight="1" x14ac:dyDescent="0.2">
      <c r="A34" s="3195" t="s">
        <v>537</v>
      </c>
      <c r="B34" s="3196">
        <v>12.6</v>
      </c>
      <c r="C34" s="3196">
        <v>3.3</v>
      </c>
      <c r="D34" s="1725">
        <f t="shared" si="49"/>
        <v>26.190476190476193</v>
      </c>
      <c r="E34" s="1600">
        <v>197.5</v>
      </c>
      <c r="F34" s="1600">
        <f t="shared" si="50"/>
        <v>5984.848484848485</v>
      </c>
      <c r="G34" s="1600">
        <v>73.2</v>
      </c>
      <c r="H34" s="1600">
        <f t="shared" si="5"/>
        <v>37.063291139240505</v>
      </c>
      <c r="I34" s="1600">
        <v>3.6</v>
      </c>
      <c r="J34" s="1600">
        <v>46.2</v>
      </c>
      <c r="K34" s="1600">
        <v>40.5</v>
      </c>
      <c r="L34" s="1600">
        <v>98.8</v>
      </c>
      <c r="M34" s="1600">
        <f t="shared" si="6"/>
        <v>134.9726775956284</v>
      </c>
      <c r="N34" s="1600">
        <v>77.3</v>
      </c>
      <c r="O34" s="1600">
        <f t="shared" si="51"/>
        <v>78.238866396761125</v>
      </c>
      <c r="P34" s="1600">
        <v>56.6</v>
      </c>
      <c r="Q34" s="1600">
        <f t="shared" si="52"/>
        <v>1572.2222222222222</v>
      </c>
      <c r="R34" s="1600">
        <f t="shared" si="53"/>
        <v>57.287449392712553</v>
      </c>
      <c r="S34" s="1597">
        <v>71.400000000000006</v>
      </c>
      <c r="T34" s="1597">
        <v>147.19999999999999</v>
      </c>
      <c r="U34" s="2578">
        <v>104</v>
      </c>
      <c r="V34" s="3194">
        <f t="shared" si="7"/>
        <v>1.8374558303886925</v>
      </c>
      <c r="W34" s="1597">
        <f t="shared" si="55"/>
        <v>59.316800000000001</v>
      </c>
      <c r="X34" s="1597">
        <v>57.1</v>
      </c>
      <c r="Y34" s="1597">
        <v>75.400000000000006</v>
      </c>
      <c r="Z34" s="1597">
        <v>120.8</v>
      </c>
      <c r="AA34" s="1597">
        <v>60.6</v>
      </c>
      <c r="AB34" s="1597">
        <f>AA34</f>
        <v>60.6</v>
      </c>
      <c r="AC34" s="3194">
        <f t="shared" si="38"/>
        <v>1.021632994362474</v>
      </c>
      <c r="AD34" s="1597">
        <v>777.98</v>
      </c>
      <c r="AE34" s="1597">
        <v>815.25</v>
      </c>
      <c r="AF34" s="1597">
        <f t="shared" ref="AF34:AF40" si="59">SUM(Z34*1.1)</f>
        <v>132.88</v>
      </c>
      <c r="AG34" s="1597">
        <f>AF34</f>
        <v>132.88</v>
      </c>
      <c r="AH34" s="1597">
        <v>386.79</v>
      </c>
      <c r="AI34" s="1597">
        <v>59.09</v>
      </c>
      <c r="AJ34" s="1597">
        <v>145.06</v>
      </c>
      <c r="AK34" s="1597">
        <v>176.23</v>
      </c>
      <c r="AL34" s="1597">
        <v>149.41</v>
      </c>
      <c r="AM34" s="1597">
        <f>AI34*1.027*1.046</f>
        <v>63.476959780000001</v>
      </c>
      <c r="AN34" s="1597">
        <f>SUM(AK34*1.046)</f>
        <v>184.33658</v>
      </c>
      <c r="AO34" s="5648" t="s">
        <v>2053</v>
      </c>
      <c r="AP34" s="5649"/>
      <c r="AQ34" s="5649"/>
      <c r="AR34" s="3203"/>
      <c r="AS34" s="3203"/>
      <c r="AT34" s="3203"/>
      <c r="AU34" s="3203"/>
      <c r="AV34" s="3203"/>
      <c r="AW34" s="3203"/>
      <c r="AX34" s="3204">
        <f t="shared" si="54"/>
        <v>64.727455887666011</v>
      </c>
      <c r="AY34" s="3192">
        <v>303.94</v>
      </c>
      <c r="AZ34" s="3192">
        <v>275.39999999999998</v>
      </c>
      <c r="BA34" s="3192">
        <v>335.86</v>
      </c>
      <c r="BB34" s="3204">
        <f t="shared" ref="BB34:BB45" si="60">SUM(BA34*1.046)*(1-0.01)</f>
        <v>347.79646440000005</v>
      </c>
      <c r="BC34" s="3204">
        <f t="shared" si="35"/>
        <v>66.515974784502703</v>
      </c>
      <c r="BD34" s="3600">
        <v>42.89</v>
      </c>
      <c r="BE34" s="3600">
        <v>42.89</v>
      </c>
      <c r="BF34" s="3600">
        <v>169.86</v>
      </c>
      <c r="BG34" s="3204">
        <f>SUM(BF34*1.05)*(1-0.01)</f>
        <v>176.56947</v>
      </c>
      <c r="BH34" s="3204">
        <f t="shared" si="19"/>
        <v>70.409687104572342</v>
      </c>
      <c r="BI34" s="3915">
        <v>94.09</v>
      </c>
      <c r="BJ34" s="3915">
        <v>127.78</v>
      </c>
      <c r="BK34" s="3915">
        <v>324.75</v>
      </c>
      <c r="BL34" s="3209">
        <f t="shared" si="18"/>
        <v>367.62203362500003</v>
      </c>
      <c r="BM34" s="4163">
        <f>AM34*0.99*1.034*0.99*1.067*0.99*1.139*0.99*1.06</f>
        <v>81.221581959231031</v>
      </c>
      <c r="BN34" s="4706">
        <v>341.84</v>
      </c>
      <c r="BO34" s="4706">
        <v>589.13</v>
      </c>
    </row>
    <row r="35" spans="1:67" ht="20.25" customHeight="1" x14ac:dyDescent="0.2">
      <c r="A35" s="3195" t="s">
        <v>538</v>
      </c>
      <c r="B35" s="3196">
        <v>135.5</v>
      </c>
      <c r="C35" s="3196">
        <v>181.6</v>
      </c>
      <c r="D35" s="1725">
        <f t="shared" si="49"/>
        <v>134.02214022140222</v>
      </c>
      <c r="E35" s="1600">
        <v>362.1</v>
      </c>
      <c r="F35" s="1600">
        <f t="shared" si="50"/>
        <v>199.39427312775334</v>
      </c>
      <c r="G35" s="1600">
        <v>395.9</v>
      </c>
      <c r="H35" s="1600">
        <f t="shared" si="5"/>
        <v>109.33443800055231</v>
      </c>
      <c r="I35" s="1600">
        <v>133.5</v>
      </c>
      <c r="J35" s="1600">
        <v>256.10000000000002</v>
      </c>
      <c r="K35" s="1600">
        <v>77.099999999999994</v>
      </c>
      <c r="L35" s="1600">
        <v>109.7</v>
      </c>
      <c r="M35" s="1600">
        <f t="shared" si="6"/>
        <v>27.709017428643602</v>
      </c>
      <c r="N35" s="1600">
        <v>139.5</v>
      </c>
      <c r="O35" s="1600">
        <f t="shared" si="51"/>
        <v>127.16499544211486</v>
      </c>
      <c r="P35" s="1600">
        <v>107.8</v>
      </c>
      <c r="Q35" s="1600">
        <f t="shared" si="52"/>
        <v>80.749063670411985</v>
      </c>
      <c r="R35" s="1600">
        <f t="shared" si="53"/>
        <v>98.268003646308117</v>
      </c>
      <c r="S35" s="1597">
        <v>214</v>
      </c>
      <c r="T35" s="1597">
        <v>253.7</v>
      </c>
      <c r="U35" s="2578">
        <v>176.8</v>
      </c>
      <c r="V35" s="3194">
        <f t="shared" si="7"/>
        <v>1.6400742115027831</v>
      </c>
      <c r="W35" s="1597">
        <f t="shared" si="55"/>
        <v>112.9744</v>
      </c>
      <c r="X35" s="1597">
        <v>7.9</v>
      </c>
      <c r="Y35" s="1597">
        <v>20.100000000000001</v>
      </c>
      <c r="Z35" s="1597">
        <v>43.2</v>
      </c>
      <c r="AA35" s="1597">
        <v>178</v>
      </c>
      <c r="AB35" s="1597">
        <v>28.16</v>
      </c>
      <c r="AC35" s="3194">
        <f t="shared" si="38"/>
        <v>0.24926000934725034</v>
      </c>
      <c r="AD35" s="1597">
        <v>59.79</v>
      </c>
      <c r="AE35" s="1597">
        <v>117.23</v>
      </c>
      <c r="AF35" s="1597">
        <f t="shared" si="59"/>
        <v>47.52000000000001</v>
      </c>
      <c r="AG35" s="1597">
        <f>AF35</f>
        <v>47.52000000000001</v>
      </c>
      <c r="AH35" s="1597">
        <v>122.83</v>
      </c>
      <c r="AI35" s="1597">
        <v>51.35</v>
      </c>
      <c r="AJ35" s="1597">
        <v>51.88</v>
      </c>
      <c r="AK35" s="1597">
        <v>74.92</v>
      </c>
      <c r="AL35" s="1597">
        <v>54.48</v>
      </c>
      <c r="AM35" s="1597">
        <v>54.48</v>
      </c>
      <c r="AN35" s="1597">
        <f>SUM(AK35*1.046)</f>
        <v>78.366320000000002</v>
      </c>
      <c r="AO35" s="5654" t="s">
        <v>2054</v>
      </c>
      <c r="AP35" s="5655"/>
      <c r="AQ35" s="5655"/>
      <c r="AR35" s="3203"/>
      <c r="AS35" s="3203"/>
      <c r="AT35" s="3203"/>
      <c r="AU35" s="3203"/>
      <c r="AV35" s="3203"/>
      <c r="AW35" s="3203"/>
      <c r="AX35" s="3204">
        <f t="shared" si="54"/>
        <v>55.553255999999998</v>
      </c>
      <c r="AY35" s="3192">
        <v>241.36</v>
      </c>
      <c r="AZ35" s="3192">
        <v>355.3</v>
      </c>
      <c r="BA35" s="3192">
        <v>399.48</v>
      </c>
      <c r="BB35" s="3204">
        <f t="shared" si="60"/>
        <v>413.67751920000001</v>
      </c>
      <c r="BC35" s="3204">
        <f t="shared" si="35"/>
        <v>57.088277680895999</v>
      </c>
      <c r="BD35" s="3204">
        <v>82.055000000000007</v>
      </c>
      <c r="BE35" s="3600">
        <v>98.41</v>
      </c>
      <c r="BF35" s="3600">
        <v>133.31</v>
      </c>
      <c r="BG35" s="3204">
        <f>SUM(BF35*1.05)*(1-0.01)</f>
        <v>138.57574500000001</v>
      </c>
      <c r="BH35" s="3204">
        <f t="shared" si="19"/>
        <v>60.430111441249331</v>
      </c>
      <c r="BI35" s="3915">
        <v>75.89</v>
      </c>
      <c r="BJ35" s="3915">
        <v>112.23</v>
      </c>
      <c r="BK35" s="3915">
        <v>123.38</v>
      </c>
      <c r="BL35" s="3209">
        <f t="shared" si="18"/>
        <v>139.66807239000002</v>
      </c>
      <c r="BM35" s="4163">
        <f>AM35*0.99*1.034*0.99*1.067*0.99*1.139*0.99*1.06</f>
        <v>69.709573370794871</v>
      </c>
      <c r="BN35" s="4706">
        <v>71.5</v>
      </c>
      <c r="BO35" s="4707">
        <v>457.56900000000002</v>
      </c>
    </row>
    <row r="36" spans="1:67" ht="20.25" customHeight="1" x14ac:dyDescent="0.2">
      <c r="A36" s="3195" t="s">
        <v>539</v>
      </c>
      <c r="B36" s="3196">
        <v>46.1</v>
      </c>
      <c r="C36" s="1725">
        <v>102.2</v>
      </c>
      <c r="D36" s="1725">
        <f t="shared" si="49"/>
        <v>221.69197396963125</v>
      </c>
      <c r="E36" s="1600">
        <v>50.2</v>
      </c>
      <c r="F36" s="1600">
        <f t="shared" si="50"/>
        <v>49.119373776908027</v>
      </c>
      <c r="G36" s="1600">
        <v>38.799999999999997</v>
      </c>
      <c r="H36" s="1600">
        <f t="shared" si="5"/>
        <v>77.290836653386435</v>
      </c>
      <c r="I36" s="1600">
        <v>56.8</v>
      </c>
      <c r="J36" s="1600">
        <v>23.8</v>
      </c>
      <c r="K36" s="1600">
        <v>39.299999999999997</v>
      </c>
      <c r="L36" s="1600">
        <v>30.8</v>
      </c>
      <c r="M36" s="1600">
        <f t="shared" si="6"/>
        <v>79.381443298969074</v>
      </c>
      <c r="N36" s="1600">
        <v>59.4</v>
      </c>
      <c r="O36" s="1600">
        <f t="shared" si="51"/>
        <v>192.85714285714283</v>
      </c>
      <c r="P36" s="1600">
        <v>55</v>
      </c>
      <c r="Q36" s="1600">
        <f t="shared" si="52"/>
        <v>96.83098591549296</v>
      </c>
      <c r="R36" s="1600">
        <f t="shared" si="53"/>
        <v>178.57142857142856</v>
      </c>
      <c r="S36" s="1597">
        <v>18.2</v>
      </c>
      <c r="T36" s="1597">
        <v>13.8</v>
      </c>
      <c r="U36" s="2578">
        <v>59.6</v>
      </c>
      <c r="V36" s="3194">
        <f t="shared" si="7"/>
        <v>1.0836363636363637</v>
      </c>
      <c r="W36" s="1597">
        <f t="shared" si="55"/>
        <v>57.64</v>
      </c>
      <c r="X36" s="1597">
        <v>3.8</v>
      </c>
      <c r="Y36" s="1597">
        <v>3.8</v>
      </c>
      <c r="Z36" s="1597">
        <v>44.6</v>
      </c>
      <c r="AA36" s="1597">
        <v>65.599999999999994</v>
      </c>
      <c r="AB36" s="1597">
        <f>13.8*1.077*1.049</f>
        <v>15.590867399999999</v>
      </c>
      <c r="AC36" s="3194">
        <f t="shared" si="38"/>
        <v>0.27048694309507282</v>
      </c>
      <c r="AD36" s="1597">
        <v>26.9</v>
      </c>
      <c r="AE36" s="1597">
        <v>26.9</v>
      </c>
      <c r="AF36" s="1597">
        <f t="shared" si="59"/>
        <v>49.06</v>
      </c>
      <c r="AG36" s="1597">
        <f>AF36</f>
        <v>49.06</v>
      </c>
      <c r="AH36" s="1597">
        <v>145.01</v>
      </c>
      <c r="AI36" s="1597">
        <v>58.6</v>
      </c>
      <c r="AJ36" s="1597">
        <v>53.56</v>
      </c>
      <c r="AK36" s="1597">
        <v>98.04</v>
      </c>
      <c r="AL36" s="1597">
        <v>62.17</v>
      </c>
      <c r="AM36" s="1597">
        <v>62.17</v>
      </c>
      <c r="AN36" s="1597">
        <f>SUM(AK36*1.046)</f>
        <v>102.54984000000002</v>
      </c>
      <c r="AO36" s="5648" t="s">
        <v>2054</v>
      </c>
      <c r="AP36" s="5649"/>
      <c r="AQ36" s="5649"/>
      <c r="AR36" s="3203"/>
      <c r="AS36" s="3203"/>
      <c r="AT36" s="3203"/>
      <c r="AU36" s="3203"/>
      <c r="AV36" s="3203"/>
      <c r="AW36" s="3203"/>
      <c r="AX36" s="3204">
        <f t="shared" si="54"/>
        <v>63.394748999999997</v>
      </c>
      <c r="AY36" s="3192">
        <v>72.2</v>
      </c>
      <c r="AZ36" s="3192">
        <v>77.900000000000006</v>
      </c>
      <c r="BA36" s="3192">
        <v>132.04</v>
      </c>
      <c r="BB36" s="3204">
        <f t="shared" si="60"/>
        <v>136.73270160000001</v>
      </c>
      <c r="BC36" s="3204">
        <f t="shared" si="35"/>
        <v>65.14644316118401</v>
      </c>
      <c r="BD36" s="3600">
        <v>51.78</v>
      </c>
      <c r="BE36" s="3600">
        <v>51.78</v>
      </c>
      <c r="BF36" s="3600">
        <v>56.28</v>
      </c>
      <c r="BG36" s="3204">
        <f>SUM(BC36*1.05)*(1-0.01)</f>
        <v>67.719727666050787</v>
      </c>
      <c r="BH36" s="3204">
        <f t="shared" si="19"/>
        <v>68.959985835214241</v>
      </c>
      <c r="BI36" s="3915">
        <v>42.15</v>
      </c>
      <c r="BJ36" s="3915">
        <v>72.38</v>
      </c>
      <c r="BK36" s="3204">
        <v>79.905000000000001</v>
      </c>
      <c r="BL36" s="3209">
        <f t="shared" si="18"/>
        <v>90.453698527500009</v>
      </c>
      <c r="BM36" s="4163">
        <f>AM36*0.99*1.034*0.99*1.067*0.99*1.139*0.99*1.06</f>
        <v>79.549269024638733</v>
      </c>
      <c r="BN36" s="4707">
        <v>91</v>
      </c>
      <c r="BO36" s="4707">
        <v>135.19999999999999</v>
      </c>
    </row>
    <row r="37" spans="1:67" ht="20.25" customHeight="1" x14ac:dyDescent="0.2">
      <c r="A37" s="3199" t="s">
        <v>552</v>
      </c>
      <c r="B37" s="3196">
        <v>21.5</v>
      </c>
      <c r="C37" s="1725">
        <v>304.3</v>
      </c>
      <c r="D37" s="1725">
        <f t="shared" si="49"/>
        <v>1415.3488372093025</v>
      </c>
      <c r="E37" s="1600">
        <v>523.9</v>
      </c>
      <c r="F37" s="1600">
        <f t="shared" si="50"/>
        <v>172.16562602694708</v>
      </c>
      <c r="G37" s="1600">
        <v>556</v>
      </c>
      <c r="H37" s="1600">
        <f t="shared" si="5"/>
        <v>106.12712349685054</v>
      </c>
      <c r="I37" s="1600">
        <v>0</v>
      </c>
      <c r="J37" s="1600">
        <v>275.10000000000002</v>
      </c>
      <c r="K37" s="1600">
        <v>473.8</v>
      </c>
      <c r="L37" s="1600">
        <v>672.1</v>
      </c>
      <c r="M37" s="1600">
        <f t="shared" si="6"/>
        <v>120.88129496402877</v>
      </c>
      <c r="N37" s="1600">
        <v>715</v>
      </c>
      <c r="O37" s="1600">
        <f t="shared" si="51"/>
        <v>106.38297872340425</v>
      </c>
      <c r="P37" s="1600">
        <v>0</v>
      </c>
      <c r="Q37" s="1600"/>
      <c r="R37" s="1600">
        <f t="shared" si="53"/>
        <v>0</v>
      </c>
      <c r="S37" s="1597">
        <v>540.79999999999995</v>
      </c>
      <c r="T37" s="1597">
        <v>706</v>
      </c>
      <c r="U37" s="2578">
        <v>741.3</v>
      </c>
      <c r="V37" s="3194"/>
      <c r="W37" s="1597">
        <f t="shared" si="55"/>
        <v>0</v>
      </c>
      <c r="X37" s="1597">
        <v>313.60000000000002</v>
      </c>
      <c r="Y37" s="1597">
        <v>497.5</v>
      </c>
      <c r="Z37" s="1597">
        <v>652.29999999999995</v>
      </c>
      <c r="AA37" s="1597">
        <v>735</v>
      </c>
      <c r="AB37" s="1597">
        <v>0</v>
      </c>
      <c r="AC37" s="3194"/>
      <c r="AD37" s="1597">
        <v>306.45999999999998</v>
      </c>
      <c r="AE37" s="1597">
        <v>459.06</v>
      </c>
      <c r="AF37" s="1597">
        <f t="shared" si="59"/>
        <v>717.53</v>
      </c>
      <c r="AG37" s="1597">
        <v>0</v>
      </c>
      <c r="AH37" s="1597">
        <v>632.22</v>
      </c>
      <c r="AI37" s="1597">
        <v>579.72</v>
      </c>
      <c r="AJ37" s="1597">
        <v>0</v>
      </c>
      <c r="AK37" s="1597">
        <v>524.98</v>
      </c>
      <c r="AL37" s="1597">
        <v>615.02</v>
      </c>
      <c r="AM37" s="1597">
        <v>0</v>
      </c>
      <c r="AN37" s="1597">
        <f>SUM(AK37*1.046)</f>
        <v>549.12908000000004</v>
      </c>
      <c r="AO37" s="5654" t="s">
        <v>2058</v>
      </c>
      <c r="AP37" s="5655"/>
      <c r="AQ37" s="5655"/>
      <c r="AR37" s="3203"/>
      <c r="AS37" s="3203"/>
      <c r="AT37" s="3203"/>
      <c r="AU37" s="3203"/>
      <c r="AV37" s="3203"/>
      <c r="AW37" s="3203"/>
      <c r="AX37" s="3204">
        <f t="shared" si="54"/>
        <v>0</v>
      </c>
      <c r="AY37" s="3192">
        <v>229.72</v>
      </c>
      <c r="AZ37" s="3192">
        <v>335.92</v>
      </c>
      <c r="BA37" s="3192">
        <v>447.57</v>
      </c>
      <c r="BB37" s="3204">
        <f t="shared" si="60"/>
        <v>463.47663780000005</v>
      </c>
      <c r="BC37" s="3204">
        <f t="shared" si="35"/>
        <v>0</v>
      </c>
      <c r="BD37" s="3600">
        <v>197.1</v>
      </c>
      <c r="BE37" s="3600">
        <v>288.26</v>
      </c>
      <c r="BF37" s="3600">
        <v>381.7</v>
      </c>
      <c r="BG37" s="3204">
        <f>SUM(BF37*1.05)*(1-0.01)</f>
        <v>396.77715000000001</v>
      </c>
      <c r="BH37" s="3204">
        <f t="shared" si="19"/>
        <v>0</v>
      </c>
      <c r="BI37" s="3915">
        <v>171.68</v>
      </c>
      <c r="BJ37" s="3915">
        <v>253.85</v>
      </c>
      <c r="BK37" s="3915">
        <v>335.99</v>
      </c>
      <c r="BL37" s="3209">
        <f t="shared" si="18"/>
        <v>380.34588784500005</v>
      </c>
      <c r="BM37" s="2343">
        <v>0</v>
      </c>
      <c r="BN37" s="4706">
        <v>519.05999999999995</v>
      </c>
      <c r="BO37" s="4706">
        <v>2004.52</v>
      </c>
    </row>
    <row r="38" spans="1:67" ht="20.25" customHeight="1" x14ac:dyDescent="0.2">
      <c r="A38" s="3199" t="s">
        <v>566</v>
      </c>
      <c r="B38" s="3196"/>
      <c r="C38" s="1725"/>
      <c r="D38" s="1725"/>
      <c r="E38" s="1600"/>
      <c r="F38" s="1600"/>
      <c r="G38" s="1600"/>
      <c r="H38" s="1600"/>
      <c r="I38" s="1600"/>
      <c r="J38" s="1600"/>
      <c r="K38" s="1600"/>
      <c r="L38" s="1600"/>
      <c r="M38" s="1600"/>
      <c r="N38" s="1600"/>
      <c r="O38" s="1600"/>
      <c r="P38" s="1600"/>
      <c r="Q38" s="1600"/>
      <c r="R38" s="1600"/>
      <c r="S38" s="1597"/>
      <c r="T38" s="1597"/>
      <c r="U38" s="2578"/>
      <c r="V38" s="3194"/>
      <c r="W38" s="1597"/>
      <c r="X38" s="1597"/>
      <c r="Y38" s="1597"/>
      <c r="Z38" s="1597">
        <v>35.9</v>
      </c>
      <c r="AA38" s="1597"/>
      <c r="AB38" s="1597"/>
      <c r="AC38" s="3194"/>
      <c r="AD38" s="1597">
        <v>21.6</v>
      </c>
      <c r="AE38" s="1597">
        <v>34.4</v>
      </c>
      <c r="AF38" s="1597">
        <f t="shared" si="59"/>
        <v>39.49</v>
      </c>
      <c r="AG38" s="1597">
        <v>0</v>
      </c>
      <c r="AH38" s="1597">
        <v>172.41</v>
      </c>
      <c r="AI38" s="1597">
        <v>318.67</v>
      </c>
      <c r="AJ38" s="1597">
        <v>0</v>
      </c>
      <c r="AK38" s="1597">
        <v>379.71</v>
      </c>
      <c r="AL38" s="1597">
        <v>338.08</v>
      </c>
      <c r="AM38" s="1597">
        <f>AL38</f>
        <v>338.08</v>
      </c>
      <c r="AN38" s="1597">
        <f>SUM(AK38*1.046)</f>
        <v>397.17665999999997</v>
      </c>
      <c r="AO38" s="5654" t="s">
        <v>2054</v>
      </c>
      <c r="AP38" s="5655"/>
      <c r="AQ38" s="5655"/>
      <c r="AR38" s="3203"/>
      <c r="AS38" s="3203"/>
      <c r="AT38" s="3203"/>
      <c r="AU38" s="3203"/>
      <c r="AV38" s="3203"/>
      <c r="AW38" s="3203"/>
      <c r="AX38" s="3204">
        <f t="shared" si="54"/>
        <v>344.74017599999996</v>
      </c>
      <c r="AY38" s="3192">
        <v>42.52</v>
      </c>
      <c r="AZ38" s="3192">
        <v>66.77</v>
      </c>
      <c r="BA38" s="3192">
        <v>101.84</v>
      </c>
      <c r="BB38" s="3204">
        <f t="shared" si="60"/>
        <v>105.4593936</v>
      </c>
      <c r="BC38" s="3204">
        <v>105.51</v>
      </c>
      <c r="BD38" s="3600">
        <v>35.39</v>
      </c>
      <c r="BE38" s="3600">
        <v>61.9</v>
      </c>
      <c r="BF38" s="3600">
        <v>106.89</v>
      </c>
      <c r="BG38" s="3204">
        <f>SUM(BF38*1.05)*(1-0.01)</f>
        <v>111.11215500000002</v>
      </c>
      <c r="BH38" s="3204">
        <f>SUM(BC38*1.06*0.99*(1+0.043)*0.99)</f>
        <v>114.32841585858</v>
      </c>
      <c r="BI38" s="3204">
        <v>49.424999999999997</v>
      </c>
      <c r="BJ38" s="3915">
        <v>78.239999999999995</v>
      </c>
      <c r="BK38" s="3915">
        <v>106.83</v>
      </c>
      <c r="BL38" s="3209">
        <f t="shared" si="18"/>
        <v>120.93321586500001</v>
      </c>
      <c r="BM38" s="4163">
        <v>0</v>
      </c>
      <c r="BN38" s="4706">
        <v>41.71</v>
      </c>
      <c r="BO38" s="4707">
        <v>41.704999999999998</v>
      </c>
    </row>
    <row r="39" spans="1:67" ht="20.25" customHeight="1" x14ac:dyDescent="0.2">
      <c r="A39" s="3195" t="s">
        <v>540</v>
      </c>
      <c r="B39" s="3196">
        <v>57</v>
      </c>
      <c r="C39" s="1725">
        <v>74.2</v>
      </c>
      <c r="D39" s="1725">
        <f t="shared" si="49"/>
        <v>130.17543859649123</v>
      </c>
      <c r="E39" s="1600">
        <v>24.3</v>
      </c>
      <c r="F39" s="1600">
        <f t="shared" si="50"/>
        <v>32.749326145552558</v>
      </c>
      <c r="G39" s="1600">
        <v>26.9</v>
      </c>
      <c r="H39" s="1600">
        <f t="shared" si="5"/>
        <v>110.69958847736625</v>
      </c>
      <c r="I39" s="1600">
        <v>26.1</v>
      </c>
      <c r="J39" s="1600">
        <v>12.9</v>
      </c>
      <c r="K39" s="1600">
        <v>3.8</v>
      </c>
      <c r="L39" s="1600">
        <v>8.1</v>
      </c>
      <c r="M39" s="1600">
        <f t="shared" si="6"/>
        <v>30.111524163568777</v>
      </c>
      <c r="N39" s="1600">
        <v>27.3</v>
      </c>
      <c r="O39" s="1600">
        <f t="shared" si="51"/>
        <v>337.03703703703707</v>
      </c>
      <c r="P39" s="1600">
        <v>5.3</v>
      </c>
      <c r="Q39" s="1600">
        <f t="shared" si="52"/>
        <v>20.306513409961685</v>
      </c>
      <c r="R39" s="1600">
        <f t="shared" si="53"/>
        <v>65.432098765432102</v>
      </c>
      <c r="S39" s="1597">
        <v>17.7</v>
      </c>
      <c r="T39" s="1597">
        <v>21.2</v>
      </c>
      <c r="U39" s="2578">
        <v>9.5</v>
      </c>
      <c r="V39" s="3194">
        <f t="shared" si="7"/>
        <v>1.7924528301886793</v>
      </c>
      <c r="W39" s="1597">
        <f t="shared" si="55"/>
        <v>5.5544000000000002</v>
      </c>
      <c r="X39" s="1597">
        <v>14</v>
      </c>
      <c r="Y39" s="1597">
        <v>27.5</v>
      </c>
      <c r="Z39" s="1597">
        <v>48.8</v>
      </c>
      <c r="AA39" s="1597">
        <v>6.4</v>
      </c>
      <c r="AB39" s="1597">
        <f>W39*1.049</f>
        <v>5.8265655999999995</v>
      </c>
      <c r="AC39" s="3194">
        <f>AB39/W39</f>
        <v>1.0489999999999999</v>
      </c>
      <c r="AD39" s="1597">
        <v>18.73</v>
      </c>
      <c r="AE39" s="1597">
        <v>27.19</v>
      </c>
      <c r="AF39" s="1597">
        <f t="shared" si="59"/>
        <v>53.68</v>
      </c>
      <c r="AG39" s="1597">
        <f>AE39/3*4*1.062</f>
        <v>38.501040000000003</v>
      </c>
      <c r="AH39" s="1597">
        <v>114.88</v>
      </c>
      <c r="AI39" s="1597">
        <v>91.34</v>
      </c>
      <c r="AJ39" s="1597">
        <v>42.024999999999999</v>
      </c>
      <c r="AK39" s="1597">
        <v>62.89</v>
      </c>
      <c r="AL39" s="1597">
        <v>96.9</v>
      </c>
      <c r="AM39" s="1597">
        <f>AL39</f>
        <v>96.9</v>
      </c>
      <c r="AN39" s="1597">
        <f>SUM(AM39*1.046)</f>
        <v>101.35740000000001</v>
      </c>
      <c r="AO39" s="5648" t="s">
        <v>2054</v>
      </c>
      <c r="AP39" s="5649"/>
      <c r="AQ39" s="5649"/>
      <c r="AR39" s="3203"/>
      <c r="AS39" s="3203"/>
      <c r="AT39" s="3203" t="s">
        <v>981</v>
      </c>
      <c r="AU39" s="3203"/>
      <c r="AV39" s="3203"/>
      <c r="AW39" s="3203"/>
      <c r="AX39" s="3204">
        <f t="shared" si="54"/>
        <v>98.808930000000004</v>
      </c>
      <c r="AY39" s="3192">
        <v>88.38</v>
      </c>
      <c r="AZ39" s="3192">
        <v>118.14</v>
      </c>
      <c r="BA39" s="3192">
        <v>140.88</v>
      </c>
      <c r="BB39" s="3204">
        <f t="shared" si="60"/>
        <v>145.88687519999999</v>
      </c>
      <c r="BC39" s="3204">
        <v>93.93</v>
      </c>
      <c r="BD39" s="3600">
        <v>35.79</v>
      </c>
      <c r="BE39" s="3204">
        <v>68.519000000000005</v>
      </c>
      <c r="BF39" s="3204">
        <v>103.985</v>
      </c>
      <c r="BG39" s="3204">
        <f>SUM(BF39*1.05)*(1-0.01)</f>
        <v>108.09240750000001</v>
      </c>
      <c r="BH39" s="3204">
        <f t="shared" si="19"/>
        <v>107.48307266257454</v>
      </c>
      <c r="BI39" s="3204">
        <v>102.434</v>
      </c>
      <c r="BJ39" s="3204">
        <v>142.07</v>
      </c>
      <c r="BK39" s="3204">
        <v>187.1</v>
      </c>
      <c r="BL39" s="3209">
        <f t="shared" si="18"/>
        <v>211.80010005000003</v>
      </c>
      <c r="BM39" s="4163">
        <f t="shared" ref="BM39:BM45" si="61">AM39*0.99*1.034*0.99*1.067*0.99*1.139*0.99*1.06</f>
        <v>123.9878425042222</v>
      </c>
      <c r="BN39" s="4707">
        <v>212.57</v>
      </c>
      <c r="BO39" s="4707">
        <v>2261.5300000000002</v>
      </c>
    </row>
    <row r="40" spans="1:67" ht="20.25" customHeight="1" x14ac:dyDescent="0.2">
      <c r="A40" s="3195" t="s">
        <v>541</v>
      </c>
      <c r="B40" s="3196">
        <v>21.7</v>
      </c>
      <c r="C40" s="1725">
        <v>18.899999999999999</v>
      </c>
      <c r="D40" s="1725">
        <f t="shared" si="49"/>
        <v>87.096774193548384</v>
      </c>
      <c r="E40" s="1600">
        <v>18.899999999999999</v>
      </c>
      <c r="F40" s="1600">
        <f t="shared" si="50"/>
        <v>100</v>
      </c>
      <c r="G40" s="1600">
        <v>18.2</v>
      </c>
      <c r="H40" s="1600">
        <f t="shared" si="5"/>
        <v>96.296296296296305</v>
      </c>
      <c r="I40" s="1600">
        <v>15.7</v>
      </c>
      <c r="J40" s="1600">
        <v>36.299999999999997</v>
      </c>
      <c r="K40" s="1600">
        <v>41.1</v>
      </c>
      <c r="L40" s="1600">
        <v>57.5</v>
      </c>
      <c r="M40" s="1600">
        <f t="shared" si="6"/>
        <v>315.93406593406598</v>
      </c>
      <c r="N40" s="1600">
        <v>16.399999999999999</v>
      </c>
      <c r="O40" s="1600">
        <f t="shared" si="51"/>
        <v>28.521739130434781</v>
      </c>
      <c r="P40" s="1600">
        <v>16.399999999999999</v>
      </c>
      <c r="Q40" s="1600">
        <f t="shared" si="52"/>
        <v>104.45859872611464</v>
      </c>
      <c r="R40" s="1600">
        <f t="shared" si="53"/>
        <v>28.521739130434781</v>
      </c>
      <c r="S40" s="1597">
        <v>22.1</v>
      </c>
      <c r="T40" s="1597">
        <v>35.799999999999997</v>
      </c>
      <c r="U40" s="2578">
        <v>66.7</v>
      </c>
      <c r="V40" s="3194">
        <f t="shared" si="7"/>
        <v>4.0670731707317076</v>
      </c>
      <c r="W40" s="1597">
        <f t="shared" si="55"/>
        <v>17.187200000000001</v>
      </c>
      <c r="X40" s="1597">
        <v>30.9</v>
      </c>
      <c r="Y40" s="1597">
        <v>47.6</v>
      </c>
      <c r="Z40" s="1597">
        <v>100.9</v>
      </c>
      <c r="AA40" s="1597">
        <v>34.6</v>
      </c>
      <c r="AB40" s="1597">
        <f>W40*1.049</f>
        <v>18.029372800000001</v>
      </c>
      <c r="AC40" s="3194">
        <f>AB40/W40</f>
        <v>1.0489999999999999</v>
      </c>
      <c r="AD40" s="1597">
        <v>79.8</v>
      </c>
      <c r="AE40" s="1597">
        <v>108.69</v>
      </c>
      <c r="AF40" s="1597">
        <f t="shared" si="59"/>
        <v>110.99000000000001</v>
      </c>
      <c r="AG40" s="1597">
        <f>AF40</f>
        <v>110.99000000000001</v>
      </c>
      <c r="AH40" s="1597">
        <v>136.12</v>
      </c>
      <c r="AI40" s="1597">
        <v>153.36000000000001</v>
      </c>
      <c r="AJ40" s="1597">
        <v>121.155</v>
      </c>
      <c r="AK40" s="1597">
        <v>260.49</v>
      </c>
      <c r="AL40" s="1597">
        <v>162.69999999999999</v>
      </c>
      <c r="AM40" s="1597">
        <f>AI40</f>
        <v>153.36000000000001</v>
      </c>
      <c r="AN40" s="1597">
        <f>SUM(AK40*1.046)</f>
        <v>272.47254000000004</v>
      </c>
      <c r="AO40" s="5654" t="s">
        <v>2059</v>
      </c>
      <c r="AP40" s="5655"/>
      <c r="AQ40" s="5655"/>
      <c r="AR40" s="3203"/>
      <c r="AS40" s="3203"/>
      <c r="AT40" s="3203">
        <v>2013</v>
      </c>
      <c r="AU40" s="3203">
        <v>2014</v>
      </c>
      <c r="AV40" s="3203"/>
      <c r="AW40" s="3203"/>
      <c r="AX40" s="3204">
        <f t="shared" si="54"/>
        <v>156.381192</v>
      </c>
      <c r="AY40" s="3192">
        <v>142.13999999999999</v>
      </c>
      <c r="AZ40" s="3192">
        <v>186.54</v>
      </c>
      <c r="BA40" s="3192">
        <v>252.67</v>
      </c>
      <c r="BB40" s="3204">
        <f t="shared" si="60"/>
        <v>261.64989179999998</v>
      </c>
      <c r="BC40" s="3204">
        <v>97.14</v>
      </c>
      <c r="BD40" s="3600">
        <v>56.43</v>
      </c>
      <c r="BE40" s="3600">
        <v>84</v>
      </c>
      <c r="BF40" s="3600">
        <v>102</v>
      </c>
      <c r="BG40" s="3204">
        <f>SUM(BF40*1.05)*(1-0.01)</f>
        <v>106.02900000000001</v>
      </c>
      <c r="BH40" s="3204">
        <f>SUM(BC40*1.06*0.99*(1+0.043)*0.99)</f>
        <v>105.25885998011999</v>
      </c>
      <c r="BI40" s="3204">
        <v>46.753999999999998</v>
      </c>
      <c r="BJ40" s="3915">
        <v>78</v>
      </c>
      <c r="BK40" s="3915">
        <v>95.41</v>
      </c>
      <c r="BL40" s="3209">
        <f t="shared" si="18"/>
        <v>108.00559885500002</v>
      </c>
      <c r="BM40" s="4163">
        <f t="shared" si="61"/>
        <v>196.23091358562965</v>
      </c>
      <c r="BN40" s="4706">
        <v>77.8</v>
      </c>
      <c r="BO40" s="4706">
        <v>126.97</v>
      </c>
    </row>
    <row r="41" spans="1:67" ht="20.25" customHeight="1" x14ac:dyDescent="0.2">
      <c r="A41" s="3195" t="s">
        <v>542</v>
      </c>
      <c r="B41" s="3196">
        <v>4</v>
      </c>
      <c r="C41" s="3196">
        <v>4</v>
      </c>
      <c r="D41" s="1725">
        <f t="shared" si="49"/>
        <v>100</v>
      </c>
      <c r="E41" s="1600">
        <v>0</v>
      </c>
      <c r="F41" s="1600">
        <f t="shared" si="50"/>
        <v>0</v>
      </c>
      <c r="G41" s="1600">
        <v>4.7</v>
      </c>
      <c r="H41" s="1600"/>
      <c r="I41" s="1600">
        <v>4.8</v>
      </c>
      <c r="J41" s="1600">
        <v>0</v>
      </c>
      <c r="K41" s="1600">
        <v>0</v>
      </c>
      <c r="L41" s="1600">
        <v>0</v>
      </c>
      <c r="M41" s="1600">
        <f t="shared" si="6"/>
        <v>0</v>
      </c>
      <c r="N41" s="1600">
        <v>5</v>
      </c>
      <c r="O41" s="1600"/>
      <c r="P41" s="1600">
        <v>0</v>
      </c>
      <c r="Q41" s="1600">
        <f t="shared" si="52"/>
        <v>0</v>
      </c>
      <c r="R41" s="1600" t="e">
        <f t="shared" si="53"/>
        <v>#DIV/0!</v>
      </c>
      <c r="S41" s="1597">
        <v>0</v>
      </c>
      <c r="T41" s="1597">
        <v>0</v>
      </c>
      <c r="U41" s="2578">
        <v>0</v>
      </c>
      <c r="V41" s="3194"/>
      <c r="W41" s="1597">
        <f t="shared" si="55"/>
        <v>0</v>
      </c>
      <c r="X41" s="1597">
        <v>0</v>
      </c>
      <c r="Y41" s="1597">
        <v>0</v>
      </c>
      <c r="Z41" s="1597">
        <v>0</v>
      </c>
      <c r="AA41" s="1597">
        <v>0</v>
      </c>
      <c r="AB41" s="1597">
        <v>0</v>
      </c>
      <c r="AC41" s="3194"/>
      <c r="AD41" s="1597">
        <v>0</v>
      </c>
      <c r="AE41" s="1597">
        <v>0</v>
      </c>
      <c r="AF41" s="1597">
        <v>0</v>
      </c>
      <c r="AG41" s="1597">
        <v>0</v>
      </c>
      <c r="AH41" s="1597">
        <v>0</v>
      </c>
      <c r="AI41" s="1597">
        <v>0.19</v>
      </c>
      <c r="AJ41" s="1597">
        <v>0</v>
      </c>
      <c r="AK41" s="1597">
        <v>4.6900000000000004</v>
      </c>
      <c r="AL41" s="1597">
        <v>30</v>
      </c>
      <c r="AM41" s="1597">
        <f>AI41*1.027*1.046</f>
        <v>0.20410597999999999</v>
      </c>
      <c r="AN41" s="1597">
        <f>SUM(AK41*1.046)</f>
        <v>4.9057400000000007</v>
      </c>
      <c r="AO41" s="5648" t="s">
        <v>2053</v>
      </c>
      <c r="AP41" s="5649"/>
      <c r="AQ41" s="5649"/>
      <c r="AR41" s="3203"/>
      <c r="AS41" s="3203"/>
      <c r="AT41" s="3203"/>
      <c r="AU41" s="3207">
        <f>W19+W24+W25+W18-Z18+W33</f>
        <v>1020.9949299999996</v>
      </c>
      <c r="AV41" s="3203"/>
      <c r="AW41" s="3203"/>
      <c r="AX41" s="3204">
        <f t="shared" si="54"/>
        <v>0.20812686780600001</v>
      </c>
      <c r="AY41" s="3192">
        <v>4.71</v>
      </c>
      <c r="AZ41" s="3192">
        <v>30.34</v>
      </c>
      <c r="BA41" s="3192">
        <v>71.78</v>
      </c>
      <c r="BB41" s="3204">
        <f t="shared" si="60"/>
        <v>74.331061199999994</v>
      </c>
      <c r="BC41" s="3204">
        <v>88.89</v>
      </c>
      <c r="BD41" s="3600">
        <v>1.95</v>
      </c>
      <c r="BE41" s="3600">
        <v>104.73</v>
      </c>
      <c r="BF41" s="3204">
        <v>75.284999999999997</v>
      </c>
      <c r="BG41" s="3204">
        <f>SUM(BC41*1.05)*(1-0.01)</f>
        <v>92.401155000000003</v>
      </c>
      <c r="BH41" s="3204">
        <f>SUM(BC41*1.06*0.99*(1+0.043)*0.99)</f>
        <v>96.319333576620011</v>
      </c>
      <c r="BI41" s="3204">
        <v>56.414000000000001</v>
      </c>
      <c r="BJ41" s="3204">
        <v>90.572000000000003</v>
      </c>
      <c r="BK41" s="3204">
        <v>106.04</v>
      </c>
      <c r="BL41" s="3209">
        <f t="shared" si="18"/>
        <v>120.03892362000003</v>
      </c>
      <c r="BM41" s="4163">
        <f t="shared" si="61"/>
        <v>0.26116264295572672</v>
      </c>
      <c r="BN41" s="4707">
        <v>43.65</v>
      </c>
      <c r="BO41" s="4707">
        <v>85.92</v>
      </c>
    </row>
    <row r="42" spans="1:67" ht="20.25" customHeight="1" x14ac:dyDescent="0.2">
      <c r="A42" s="3195" t="s">
        <v>543</v>
      </c>
      <c r="B42" s="3196"/>
      <c r="C42" s="3196"/>
      <c r="D42" s="1725"/>
      <c r="E42" s="1600"/>
      <c r="F42" s="1600"/>
      <c r="G42" s="1600"/>
      <c r="H42" s="1600"/>
      <c r="I42" s="1600">
        <f>E42*1.03</f>
        <v>0</v>
      </c>
      <c r="J42" s="1600"/>
      <c r="K42" s="1600">
        <v>0</v>
      </c>
      <c r="L42" s="1600">
        <v>127.9</v>
      </c>
      <c r="M42" s="1600"/>
      <c r="N42" s="1600">
        <v>68.2</v>
      </c>
      <c r="O42" s="1600"/>
      <c r="P42" s="1600">
        <v>0</v>
      </c>
      <c r="Q42" s="1600"/>
      <c r="R42" s="1600">
        <f t="shared" si="53"/>
        <v>0</v>
      </c>
      <c r="S42" s="1597">
        <v>0</v>
      </c>
      <c r="T42" s="1597">
        <v>172.5</v>
      </c>
      <c r="U42" s="2578">
        <v>140.1</v>
      </c>
      <c r="V42" s="3194"/>
      <c r="W42" s="1597">
        <f t="shared" si="55"/>
        <v>0</v>
      </c>
      <c r="X42" s="1597">
        <v>54</v>
      </c>
      <c r="Y42" s="1597">
        <v>162</v>
      </c>
      <c r="Z42" s="1597">
        <v>128</v>
      </c>
      <c r="AA42" s="1597">
        <v>223.6</v>
      </c>
      <c r="AB42" s="1597">
        <f>AA42</f>
        <v>223.6</v>
      </c>
      <c r="AC42" s="3194"/>
      <c r="AD42" s="1597">
        <v>20.99</v>
      </c>
      <c r="AE42" s="1597">
        <v>31.49</v>
      </c>
      <c r="AF42" s="1597">
        <f>SUM(AB42)</f>
        <v>223.6</v>
      </c>
      <c r="AG42" s="1597">
        <f>Z42</f>
        <v>128</v>
      </c>
      <c r="AH42" s="1597">
        <v>45</v>
      </c>
      <c r="AI42" s="1597">
        <v>72.86</v>
      </c>
      <c r="AJ42" s="1597">
        <v>128</v>
      </c>
      <c r="AK42" s="1597">
        <v>128.07</v>
      </c>
      <c r="AL42" s="1597">
        <v>131.84</v>
      </c>
      <c r="AM42" s="1597">
        <v>0</v>
      </c>
      <c r="AN42" s="1597">
        <v>0</v>
      </c>
      <c r="AO42" s="5648" t="s">
        <v>2056</v>
      </c>
      <c r="AP42" s="5649"/>
      <c r="AQ42" s="5649"/>
      <c r="AR42" s="3203"/>
      <c r="AS42" s="3203"/>
      <c r="AT42" s="3203"/>
      <c r="AU42" s="3203"/>
      <c r="AV42" s="3203"/>
      <c r="AW42" s="3203"/>
      <c r="AX42" s="3204">
        <f t="shared" si="54"/>
        <v>0</v>
      </c>
      <c r="AY42" s="3192">
        <v>40.340000000000003</v>
      </c>
      <c r="AZ42" s="3192">
        <v>60.51</v>
      </c>
      <c r="BA42" s="3192">
        <v>80.709999999999994</v>
      </c>
      <c r="BB42" s="3204">
        <f t="shared" si="60"/>
        <v>83.578433399999994</v>
      </c>
      <c r="BC42" s="3204">
        <f t="shared" si="35"/>
        <v>0</v>
      </c>
      <c r="BD42" s="3600">
        <v>52.13</v>
      </c>
      <c r="BE42" s="3600">
        <v>78.2</v>
      </c>
      <c r="BF42" s="3204">
        <v>104.245</v>
      </c>
      <c r="BG42" s="3204">
        <f>SUM(BF42*1.05)*(1-0.01)</f>
        <v>108.36267750000002</v>
      </c>
      <c r="BH42" s="3204">
        <f t="shared" si="19"/>
        <v>0</v>
      </c>
      <c r="BI42" s="3204">
        <v>58.25</v>
      </c>
      <c r="BJ42" s="3204">
        <v>87.873999999999995</v>
      </c>
      <c r="BK42" s="3204">
        <v>117.48</v>
      </c>
      <c r="BL42" s="3209">
        <f t="shared" si="18"/>
        <v>132.98918094000001</v>
      </c>
      <c r="BM42" s="4163">
        <f t="shared" si="61"/>
        <v>0</v>
      </c>
      <c r="BN42" s="4707">
        <v>60.78</v>
      </c>
      <c r="BO42" s="4707">
        <v>122.56</v>
      </c>
    </row>
    <row r="43" spans="1:67" ht="20.25" customHeight="1" x14ac:dyDescent="0.2">
      <c r="A43" s="3195" t="s">
        <v>287</v>
      </c>
      <c r="B43" s="3196"/>
      <c r="C43" s="3196"/>
      <c r="D43" s="1725"/>
      <c r="E43" s="1600"/>
      <c r="F43" s="1600"/>
      <c r="G43" s="1600"/>
      <c r="H43" s="1600"/>
      <c r="I43" s="1600"/>
      <c r="J43" s="1600"/>
      <c r="K43" s="1600">
        <f>1.4+9.5+17.7</f>
        <v>28.6</v>
      </c>
      <c r="L43" s="1600">
        <v>284.2</v>
      </c>
      <c r="M43" s="1600"/>
      <c r="N43" s="1600"/>
      <c r="O43" s="1600"/>
      <c r="P43" s="1600">
        <v>0</v>
      </c>
      <c r="Q43" s="1600"/>
      <c r="R43" s="1600">
        <f t="shared" si="53"/>
        <v>0</v>
      </c>
      <c r="S43" s="1597">
        <v>127.1</v>
      </c>
      <c r="T43" s="1597">
        <v>0</v>
      </c>
      <c r="U43" s="2578">
        <v>0</v>
      </c>
      <c r="V43" s="3194"/>
      <c r="W43" s="1597">
        <f t="shared" si="55"/>
        <v>0</v>
      </c>
      <c r="X43" s="1597">
        <v>3.5</v>
      </c>
      <c r="Y43" s="1597">
        <v>14.3</v>
      </c>
      <c r="Z43" s="1597"/>
      <c r="AA43" s="1597"/>
      <c r="AB43" s="1597">
        <v>0</v>
      </c>
      <c r="AC43" s="3194"/>
      <c r="AD43" s="1597"/>
      <c r="AE43" s="1597"/>
      <c r="AF43" s="1597">
        <v>0</v>
      </c>
      <c r="AG43" s="1597">
        <v>0</v>
      </c>
      <c r="AH43" s="1597">
        <v>0</v>
      </c>
      <c r="AI43" s="1597">
        <v>0</v>
      </c>
      <c r="AJ43" s="1597">
        <v>0</v>
      </c>
      <c r="AK43" s="1597">
        <v>0</v>
      </c>
      <c r="AL43" s="1597">
        <v>0</v>
      </c>
      <c r="AM43" s="1597">
        <v>0</v>
      </c>
      <c r="AN43" s="1597">
        <v>0</v>
      </c>
      <c r="AO43" s="5654"/>
      <c r="AP43" s="5655"/>
      <c r="AQ43" s="5655"/>
      <c r="AR43" s="3203"/>
      <c r="AS43" s="3203"/>
      <c r="AT43" s="3203"/>
      <c r="AU43" s="3203"/>
      <c r="AV43" s="3203"/>
      <c r="AW43" s="3203"/>
      <c r="AX43" s="3204">
        <f t="shared" si="54"/>
        <v>0</v>
      </c>
      <c r="AY43" s="3192"/>
      <c r="AZ43" s="3192"/>
      <c r="BA43" s="3192"/>
      <c r="BB43" s="3204">
        <f t="shared" si="60"/>
        <v>0</v>
      </c>
      <c r="BC43" s="3204">
        <f t="shared" si="35"/>
        <v>0</v>
      </c>
      <c r="BD43" s="3600"/>
      <c r="BE43" s="3600"/>
      <c r="BF43" s="3600"/>
      <c r="BG43" s="3204">
        <f t="shared" ref="BG43" si="62">SUM(BF43*1.046)*(1-0.01)</f>
        <v>0</v>
      </c>
      <c r="BH43" s="3204">
        <f t="shared" si="19"/>
        <v>0</v>
      </c>
      <c r="BI43" s="3915"/>
      <c r="BJ43" s="3915"/>
      <c r="BK43" s="3915"/>
      <c r="BL43" s="3209">
        <f t="shared" si="18"/>
        <v>0</v>
      </c>
      <c r="BM43" s="4163">
        <f t="shared" si="61"/>
        <v>0</v>
      </c>
      <c r="BN43" s="4706"/>
      <c r="BO43" s="4568"/>
    </row>
    <row r="44" spans="1:67" ht="20.25" customHeight="1" x14ac:dyDescent="0.2">
      <c r="A44" s="3195" t="s">
        <v>833</v>
      </c>
      <c r="B44" s="3196"/>
      <c r="C44" s="3196"/>
      <c r="D44" s="1725"/>
      <c r="E44" s="1600"/>
      <c r="F44" s="1600"/>
      <c r="G44" s="1600"/>
      <c r="H44" s="1600"/>
      <c r="I44" s="1600"/>
      <c r="J44" s="1600"/>
      <c r="K44" s="1600"/>
      <c r="L44" s="1600"/>
      <c r="M44" s="1600"/>
      <c r="N44" s="1600"/>
      <c r="O44" s="1600"/>
      <c r="P44" s="1600"/>
      <c r="Q44" s="1600"/>
      <c r="R44" s="1600"/>
      <c r="S44" s="1597"/>
      <c r="T44" s="1597"/>
      <c r="U44" s="2578"/>
      <c r="V44" s="3194"/>
      <c r="W44" s="1597"/>
      <c r="X44" s="1597"/>
      <c r="Y44" s="1597"/>
      <c r="Z44" s="1597">
        <v>6.4</v>
      </c>
      <c r="AA44" s="1597"/>
      <c r="AB44" s="1597"/>
      <c r="AC44" s="3194"/>
      <c r="AD44" s="1597"/>
      <c r="AE44" s="1597"/>
      <c r="AF44" s="1597">
        <f>SUM(Z44*1.1)</f>
        <v>7.0400000000000009</v>
      </c>
      <c r="AG44" s="1597">
        <f>AF44</f>
        <v>7.0400000000000009</v>
      </c>
      <c r="AH44" s="1597">
        <v>0</v>
      </c>
      <c r="AI44" s="1597">
        <v>0</v>
      </c>
      <c r="AJ44" s="1597">
        <v>7.69</v>
      </c>
      <c r="AK44" s="1597">
        <v>0</v>
      </c>
      <c r="AL44" s="1597">
        <v>7.92</v>
      </c>
      <c r="AM44" s="1597">
        <v>7.92</v>
      </c>
      <c r="AN44" s="1597">
        <f>SUM(AM44*1.046)</f>
        <v>8.284320000000001</v>
      </c>
      <c r="AO44" s="5654" t="s">
        <v>2054</v>
      </c>
      <c r="AP44" s="5655"/>
      <c r="AQ44" s="5655"/>
      <c r="AR44" s="3203"/>
      <c r="AS44" s="3203"/>
      <c r="AT44" s="3203"/>
      <c r="AU44" s="3203"/>
      <c r="AV44" s="3203"/>
      <c r="AW44" s="3203"/>
      <c r="AX44" s="3204">
        <f t="shared" si="54"/>
        <v>8.0760240000000003</v>
      </c>
      <c r="AY44" s="3192"/>
      <c r="AZ44" s="3192"/>
      <c r="BA44" s="3192"/>
      <c r="BB44" s="3204">
        <f t="shared" ref="BB44" si="63">SUM(AX44*1.046)*(1-0.01)</f>
        <v>8.3630458929599989</v>
      </c>
      <c r="BC44" s="3204">
        <f t="shared" si="35"/>
        <v>8.2991769315839985</v>
      </c>
      <c r="BD44" s="3600"/>
      <c r="BE44" s="3600"/>
      <c r="BF44" s="3600"/>
      <c r="BG44" s="3204">
        <f>SUM(BC44*1.05)*(1-0.01)</f>
        <v>8.6269944203815658</v>
      </c>
      <c r="BH44" s="3204">
        <f t="shared" si="19"/>
        <v>8.7849941742785376</v>
      </c>
      <c r="BI44" s="3915"/>
      <c r="BJ44" s="3915"/>
      <c r="BK44" s="3915"/>
      <c r="BL44" s="3209">
        <f t="shared" si="18"/>
        <v>0</v>
      </c>
      <c r="BM44" s="4163">
        <f t="shared" si="61"/>
        <v>10.133990842450357</v>
      </c>
      <c r="BN44" s="4706"/>
      <c r="BO44" s="4568"/>
    </row>
    <row r="45" spans="1:67" ht="20.25" customHeight="1" x14ac:dyDescent="0.2">
      <c r="A45" s="3195" t="s">
        <v>596</v>
      </c>
      <c r="B45" s="3196"/>
      <c r="C45" s="3196"/>
      <c r="D45" s="1725"/>
      <c r="E45" s="1600"/>
      <c r="F45" s="1600"/>
      <c r="G45" s="1600"/>
      <c r="H45" s="1600"/>
      <c r="I45" s="1600"/>
      <c r="J45" s="1600"/>
      <c r="K45" s="1600"/>
      <c r="L45" s="1600"/>
      <c r="M45" s="1600"/>
      <c r="N45" s="1600"/>
      <c r="O45" s="1600"/>
      <c r="P45" s="1600"/>
      <c r="Q45" s="1600"/>
      <c r="R45" s="1600"/>
      <c r="S45" s="1597"/>
      <c r="T45" s="1597"/>
      <c r="U45" s="2578"/>
      <c r="V45" s="3194"/>
      <c r="W45" s="1597"/>
      <c r="X45" s="1597"/>
      <c r="Y45" s="1597"/>
      <c r="Z45" s="1597">
        <v>6.1</v>
      </c>
      <c r="AA45" s="1597"/>
      <c r="AB45" s="1597"/>
      <c r="AC45" s="3194"/>
      <c r="AD45" s="1597">
        <v>8.5299999999999994</v>
      </c>
      <c r="AE45" s="1597">
        <v>10.23</v>
      </c>
      <c r="AF45" s="1597">
        <f>SUM(Z45*1.1)</f>
        <v>6.71</v>
      </c>
      <c r="AG45" s="1597">
        <f>AF45</f>
        <v>6.71</v>
      </c>
      <c r="AH45" s="1597">
        <v>20.92</v>
      </c>
      <c r="AI45" s="1597">
        <v>1.78</v>
      </c>
      <c r="AJ45" s="1597">
        <v>7.33</v>
      </c>
      <c r="AK45" s="1597">
        <v>7.28</v>
      </c>
      <c r="AL45" s="1597">
        <v>7.54</v>
      </c>
      <c r="AM45" s="1597">
        <v>7.54</v>
      </c>
      <c r="AN45" s="1597">
        <f>SUM(AM45*1.046)</f>
        <v>7.8868400000000003</v>
      </c>
      <c r="AO45" s="5654" t="s">
        <v>2054</v>
      </c>
      <c r="AP45" s="5655"/>
      <c r="AQ45" s="5655"/>
      <c r="AR45" s="3203"/>
      <c r="AS45" s="3203"/>
      <c r="AT45" s="3203"/>
      <c r="AU45" s="3203"/>
      <c r="AV45" s="3203"/>
      <c r="AW45" s="3203"/>
      <c r="AX45" s="3204">
        <f t="shared" si="54"/>
        <v>7.6885380000000003</v>
      </c>
      <c r="AY45" s="3192">
        <v>8.39</v>
      </c>
      <c r="AZ45" s="3192">
        <v>10.59</v>
      </c>
      <c r="BA45" s="3192">
        <v>11.91</v>
      </c>
      <c r="BB45" s="3204">
        <f t="shared" si="60"/>
        <v>12.333281400000001</v>
      </c>
      <c r="BC45" s="3204">
        <f t="shared" si="35"/>
        <v>7.9009840990080011</v>
      </c>
      <c r="BD45" s="3204">
        <v>3.7349999999999999</v>
      </c>
      <c r="BE45" s="3204">
        <v>7.6150000000000002</v>
      </c>
      <c r="BF45" s="3204">
        <v>10.635</v>
      </c>
      <c r="BG45" s="3204">
        <f>SUM(BF45*1.05)*(1-0.01)</f>
        <v>11.055082500000001</v>
      </c>
      <c r="BH45" s="3204">
        <f t="shared" si="19"/>
        <v>8.3634919285429508</v>
      </c>
      <c r="BI45" s="3204">
        <v>3.165</v>
      </c>
      <c r="BJ45" s="3204">
        <v>3.76</v>
      </c>
      <c r="BK45" s="3204">
        <v>5.29</v>
      </c>
      <c r="BL45" s="3209">
        <f t="shared" si="18"/>
        <v>5.9883619950000009</v>
      </c>
      <c r="BM45" s="4163">
        <f t="shared" si="61"/>
        <v>9.6477640091004666</v>
      </c>
      <c r="BN45" s="4707">
        <v>6.43</v>
      </c>
      <c r="BO45" s="4707">
        <v>10.92</v>
      </c>
    </row>
    <row r="46" spans="1:67" ht="20.25" customHeight="1" x14ac:dyDescent="0.2">
      <c r="A46" s="3200" t="s">
        <v>54</v>
      </c>
      <c r="B46" s="1722">
        <f>B8+B11+B13+B14+B15+B16+B17+B23+B25+B26</f>
        <v>12622.300000000001</v>
      </c>
      <c r="C46" s="1723">
        <f>C8+C11+C13+C14+C15+C16+C17+C23+C25+C26</f>
        <v>13647.300000000003</v>
      </c>
      <c r="D46" s="1725">
        <f>C46/B46*100</f>
        <v>108.12054855295787</v>
      </c>
      <c r="E46" s="1601">
        <f>E8+E11+E13+E14+E15+E16+E17+E23+E25+E26</f>
        <v>16177.599999999999</v>
      </c>
      <c r="F46" s="1601">
        <f>F8+F11+F13+F14+F15+F16+F17+F23+F25+F26</f>
        <v>8590.9477735046166</v>
      </c>
      <c r="G46" s="1601">
        <f>G8+G11+G13+G14+G15+G16+G17+G23+G25+G26</f>
        <v>18541.900000000001</v>
      </c>
      <c r="H46" s="1600">
        <f t="shared" si="5"/>
        <v>114.61465235881715</v>
      </c>
      <c r="I46" s="1601">
        <f>I8+I11+I13+I14+I15+I16+I17+I23+I25+I26</f>
        <v>15969.009599999999</v>
      </c>
      <c r="J46" s="1601">
        <f>J8+J11+J13+J14+J15+J16+J17+J23+J25+J26</f>
        <v>10071.700000000001</v>
      </c>
      <c r="K46" s="1601">
        <f>K8+K11+K13+K14+K15+K16+K17+K23+K25+K26</f>
        <v>13501.300000000003</v>
      </c>
      <c r="L46" s="1601">
        <f>L8+L11+L13+L14+L15+L16+L17+L23+L25+L26</f>
        <v>19302.900000000001</v>
      </c>
      <c r="M46" s="1600">
        <f t="shared" si="6"/>
        <v>104.10421801433509</v>
      </c>
      <c r="N46" s="1601">
        <f>N8+N11+N13+N14+N15+N16+N17+N23+N25+N26</f>
        <v>22059.200000000001</v>
      </c>
      <c r="O46" s="1600">
        <f>N46/L46*100</f>
        <v>114.27920157074843</v>
      </c>
      <c r="P46" s="1601">
        <f>P8+P11+P13+P14+P15+P16+P17+P23+P25+P26</f>
        <v>17634.2</v>
      </c>
      <c r="Q46" s="1600">
        <f>P46/I46*100</f>
        <v>110.42763729066832</v>
      </c>
      <c r="R46" s="1600">
        <f>P46/L46*100</f>
        <v>91.355184972206246</v>
      </c>
      <c r="S46" s="1601">
        <f>S8+S11+S13+S14+S15+S16+S17+S23+S25+S26</f>
        <v>14829.099999999999</v>
      </c>
      <c r="T46" s="1601">
        <f>T8+T11+T13+T14+T15+T16+T17+T23+T25+T26</f>
        <v>19502.300000000003</v>
      </c>
      <c r="U46" s="1601">
        <f>U8+U11+U13+U14+U15+U16+U17+U23+U25+U26</f>
        <v>23158.7</v>
      </c>
      <c r="V46" s="3194">
        <f t="shared" si="7"/>
        <v>1.3132832790826916</v>
      </c>
      <c r="W46" s="1601">
        <f t="shared" ref="W46:AB46" si="64">W8+W11+W13+W14+W15+W16+W17+W23+W25+W26+W24</f>
        <v>18723.532385356291</v>
      </c>
      <c r="X46" s="1601">
        <f t="shared" si="64"/>
        <v>8462.2999999999993</v>
      </c>
      <c r="Y46" s="1601">
        <f t="shared" si="64"/>
        <v>12163.6</v>
      </c>
      <c r="Z46" s="1601">
        <f t="shared" si="64"/>
        <v>17316.400000000001</v>
      </c>
      <c r="AA46" s="1601">
        <f t="shared" si="64"/>
        <v>21388.100000000002</v>
      </c>
      <c r="AB46" s="1601">
        <f t="shared" si="64"/>
        <v>19700.208228981621</v>
      </c>
      <c r="AC46" s="3194">
        <f>AB46/W46</f>
        <v>1.0521630119532994</v>
      </c>
      <c r="AD46" s="1601">
        <f t="shared" ref="AD46:AF46" si="65">AD8+AD11+AD13+AD14+AD15+AD16+AD17+AD23+AD25+AD26+AD24</f>
        <v>9372.2199999999993</v>
      </c>
      <c r="AE46" s="1601">
        <f t="shared" si="65"/>
        <v>13324.320000000003</v>
      </c>
      <c r="AF46" s="1601">
        <f t="shared" si="65"/>
        <v>23341.413298249798</v>
      </c>
      <c r="AG46" s="1601">
        <f>AG8+AG11+AG13+AG14+AG15+AG16+AG17+AG23+AG25+AG26+AG24</f>
        <v>18719.609230157621</v>
      </c>
      <c r="AH46" s="1601">
        <f t="shared" ref="AH46:AM46" si="66">AH8+AH11+AH13+AH14+AH15+AH16+AH17+AH23+AH25+AH26+AH24</f>
        <v>19424.300000000003</v>
      </c>
      <c r="AI46" s="1601">
        <f t="shared" si="66"/>
        <v>19836.45</v>
      </c>
      <c r="AJ46" s="1601">
        <f t="shared" si="66"/>
        <v>20407.291359999999</v>
      </c>
      <c r="AK46" s="1601">
        <f t="shared" ref="AK46" si="67">AK8+AK11+AK13+AK14+AK15+AK16+AK17+AK23+AK25+AK26+AK24</f>
        <v>21658.869999999995</v>
      </c>
      <c r="AL46" s="1601">
        <f t="shared" si="66"/>
        <v>26396.219999999998</v>
      </c>
      <c r="AM46" s="1601">
        <f t="shared" si="66"/>
        <v>22690.118127694979</v>
      </c>
      <c r="AN46" s="1601">
        <f t="shared" ref="AN46" si="68">AN8+AN11+AN13+AN14+AN15+AN16+AN17+AN23+AN25+AN26+AN24</f>
        <v>24000.234531006015</v>
      </c>
      <c r="AO46" s="5654"/>
      <c r="AP46" s="5654"/>
      <c r="AQ46" s="5654"/>
      <c r="AR46" s="3203"/>
      <c r="AS46" s="3203"/>
      <c r="AT46" s="3203"/>
      <c r="AU46" s="3203"/>
      <c r="AV46" s="3203"/>
      <c r="AW46" s="3203"/>
      <c r="AX46" s="1601">
        <f t="shared" ref="AX46" si="69">AX8+AX11+AX13+AX14+AX15+AX16+AX17+AX23+AX25+AX26+AX24</f>
        <v>23137.113454810569</v>
      </c>
      <c r="AY46" s="1601">
        <f t="shared" ref="AY46:BB46" si="70">AY8+AY11+AY13+AY14+AY15+AY16+AY17+AY23+AY25+AY26+AY24</f>
        <v>10846.289999999997</v>
      </c>
      <c r="AZ46" s="1601">
        <f t="shared" si="70"/>
        <v>15165.380000000001</v>
      </c>
      <c r="BA46" s="1601">
        <f t="shared" si="70"/>
        <v>20876.400000000001</v>
      </c>
      <c r="BB46" s="1601">
        <f t="shared" si="70"/>
        <v>27420.674107114482</v>
      </c>
      <c r="BC46" s="1601">
        <f t="shared" ref="BC46:BG46" si="71">BC8+BC11+BC13+BC14+BC15+BC16+BC17+BC23+BC25+BC26+BC24</f>
        <v>19426.393068875226</v>
      </c>
      <c r="BD46" s="1601">
        <f t="shared" si="71"/>
        <v>9312.65</v>
      </c>
      <c r="BE46" s="1601">
        <f t="shared" si="71"/>
        <v>13488.683999999999</v>
      </c>
      <c r="BF46" s="1601">
        <f t="shared" si="71"/>
        <v>17892.03</v>
      </c>
      <c r="BG46" s="3682">
        <f t="shared" si="71"/>
        <v>23654.843009482858</v>
      </c>
      <c r="BH46" s="3682">
        <f t="shared" ref="BH46:BJ46" si="72">BH8+BH11+BH13+BH14+BH15+BH16+BH17+BH23+BH25+BH26+BH24</f>
        <v>20313.445372652735</v>
      </c>
      <c r="BI46" s="3682">
        <f t="shared" si="72"/>
        <v>10540.951999999999</v>
      </c>
      <c r="BJ46" s="3682">
        <f t="shared" si="72"/>
        <v>15302.836000000001</v>
      </c>
      <c r="BK46" s="3682">
        <f t="shared" ref="BK46:BM46" si="73">BK8+BK11+BK13+BK14+BK15+BK16+BK17+BK23+BK25+BK26+BK24</f>
        <v>21256.199999999997</v>
      </c>
      <c r="BL46" s="2346">
        <f t="shared" si="73"/>
        <v>24062.347871099995</v>
      </c>
      <c r="BM46" s="2346">
        <f t="shared" si="73"/>
        <v>22801.583664975635</v>
      </c>
      <c r="BN46" s="4683">
        <f t="shared" ref="BN46:BO46" si="74">BN8+BN11+BN13+BN14+BN15+BN16+BN17+BN23+BN25+BN26+BN24</f>
        <v>12348.859999999999</v>
      </c>
      <c r="BO46" s="4683">
        <f t="shared" si="74"/>
        <v>26857.084000000003</v>
      </c>
    </row>
    <row r="47" spans="1:67" ht="20.25" customHeight="1" x14ac:dyDescent="0.2">
      <c r="A47" s="3195" t="s">
        <v>211</v>
      </c>
      <c r="B47" s="3191"/>
      <c r="C47" s="3191"/>
      <c r="D47" s="3191"/>
      <c r="E47" s="2579"/>
      <c r="F47" s="2579"/>
      <c r="G47" s="2579"/>
      <c r="H47" s="2579"/>
      <c r="I47" s="2579"/>
      <c r="J47" s="2579"/>
      <c r="K47" s="2579">
        <f t="shared" ref="K47:X47" si="75">K46-K37</f>
        <v>13027.500000000004</v>
      </c>
      <c r="L47" s="2579">
        <f t="shared" si="75"/>
        <v>18630.800000000003</v>
      </c>
      <c r="M47" s="2579">
        <f t="shared" si="75"/>
        <v>-16.777076949693679</v>
      </c>
      <c r="N47" s="2579">
        <f t="shared" si="75"/>
        <v>21344.2</v>
      </c>
      <c r="O47" s="2579">
        <f t="shared" si="75"/>
        <v>7.8962228473441769</v>
      </c>
      <c r="P47" s="2579">
        <f t="shared" si="75"/>
        <v>17634.2</v>
      </c>
      <c r="Q47" s="2579">
        <f t="shared" si="75"/>
        <v>110.42763729066832</v>
      </c>
      <c r="R47" s="2579">
        <f t="shared" si="75"/>
        <v>91.355184972206246</v>
      </c>
      <c r="S47" s="2579">
        <f t="shared" si="75"/>
        <v>14288.3</v>
      </c>
      <c r="T47" s="2579">
        <f t="shared" si="75"/>
        <v>18796.300000000003</v>
      </c>
      <c r="U47" s="2579">
        <f t="shared" si="75"/>
        <v>22417.4</v>
      </c>
      <c r="V47" s="2579">
        <f t="shared" si="75"/>
        <v>1.3132832790826916</v>
      </c>
      <c r="W47" s="2579">
        <f t="shared" si="75"/>
        <v>18723.532385356291</v>
      </c>
      <c r="X47" s="2579">
        <f t="shared" si="75"/>
        <v>8148.6999999999989</v>
      </c>
      <c r="Y47" s="2579"/>
      <c r="Z47" s="2579">
        <f>SUM(Z46-Z37-Z38)</f>
        <v>16628.2</v>
      </c>
      <c r="AA47" s="2579">
        <f t="shared" ref="AA47:AB47" si="76">SUM(AA46-AA37-AA38)</f>
        <v>20653.100000000002</v>
      </c>
      <c r="AB47" s="2579">
        <f t="shared" si="76"/>
        <v>19700.208228981621</v>
      </c>
      <c r="AC47" s="3194">
        <f>AB47/W47</f>
        <v>1.0521630119532994</v>
      </c>
      <c r="AD47" s="2579">
        <f t="shared" ref="AD47" si="77">SUM(AD46-AD37-AD38)</f>
        <v>9044.16</v>
      </c>
      <c r="AE47" s="2579">
        <f t="shared" ref="AE47" si="78">SUM(AE46-AE37-AE38)</f>
        <v>12830.860000000004</v>
      </c>
      <c r="AF47" s="2579">
        <f t="shared" ref="AF47" si="79">SUM(AF46-AF37-AF38)</f>
        <v>22584.393298249797</v>
      </c>
      <c r="AG47" s="2579">
        <f t="shared" ref="AG47:AL47" si="80">SUM(AG46-AG37-AG38)</f>
        <v>18719.609230157621</v>
      </c>
      <c r="AH47" s="2579">
        <f t="shared" si="80"/>
        <v>18619.670000000002</v>
      </c>
      <c r="AI47" s="2579">
        <f t="shared" si="80"/>
        <v>18938.060000000001</v>
      </c>
      <c r="AJ47" s="2579">
        <f t="shared" ref="AJ47" si="81">SUM(AJ46-AJ37-AJ38)</f>
        <v>20407.291359999999</v>
      </c>
      <c r="AK47" s="2579">
        <f t="shared" ref="AK47" si="82">SUM(AK46-AK37-AK38)</f>
        <v>20754.179999999997</v>
      </c>
      <c r="AL47" s="2579">
        <f t="shared" si="80"/>
        <v>25443.119999999995</v>
      </c>
      <c r="AM47" s="2579">
        <f>SUM(AM46-AM37-AM38)</f>
        <v>22352.038127694977</v>
      </c>
      <c r="AN47" s="2579">
        <f>SUM(AN46-AN37-AN38)</f>
        <v>23053.928791006016</v>
      </c>
      <c r="AO47" s="5658"/>
      <c r="AP47" s="5659"/>
      <c r="AQ47" s="5659"/>
      <c r="AR47" s="3208"/>
      <c r="AS47" s="3203"/>
      <c r="AT47" s="3203"/>
      <c r="AU47" s="3203"/>
      <c r="AV47" s="3203"/>
      <c r="AW47" s="3203"/>
      <c r="AX47" s="2579">
        <f>SUM(AX46-AX37-AX38)</f>
        <v>22792.37327881057</v>
      </c>
      <c r="AY47" s="2579">
        <f>SUM(AY48:AY51)</f>
        <v>10846.289999999999</v>
      </c>
      <c r="AZ47" s="2579">
        <f t="shared" ref="AZ47:BA47" si="83">SUM(AZ48:AZ51)</f>
        <v>15165.38</v>
      </c>
      <c r="BA47" s="2579">
        <f t="shared" si="83"/>
        <v>20876.399999999998</v>
      </c>
      <c r="BB47" s="2579">
        <f>SUM(BB46-BB37-BB38)</f>
        <v>26851.738075714486</v>
      </c>
      <c r="BC47" s="2579">
        <f>SUM(BC46-BC37)</f>
        <v>19426.393068875226</v>
      </c>
      <c r="BD47" s="2579">
        <f>SUM(BD48:BD51)</f>
        <v>9312.65</v>
      </c>
      <c r="BE47" s="2579">
        <f t="shared" ref="BE47:BF47" si="84">SUM(BE48:BE51)</f>
        <v>13488.683999999999</v>
      </c>
      <c r="BF47" s="2579">
        <f t="shared" si="84"/>
        <v>17892.030000000002</v>
      </c>
      <c r="BG47" s="2579">
        <f>SUM(BG46-BG37-BG38)</f>
        <v>23146.953704482858</v>
      </c>
      <c r="BH47" s="2579">
        <f>SUM(BH46-BH37)</f>
        <v>20313.445372652735</v>
      </c>
      <c r="BI47" s="2579">
        <f t="shared" ref="BI47:BJ47" si="85">SUM(BI48:BI51)</f>
        <v>10540.95</v>
      </c>
      <c r="BJ47" s="2579">
        <f t="shared" si="85"/>
        <v>15302.830000000002</v>
      </c>
      <c r="BK47" s="2579">
        <f t="shared" ref="BK47" si="86">SUM(BK48:BK51)</f>
        <v>21256.203999999998</v>
      </c>
      <c r="BL47" s="2441">
        <f>SUM(BL46-BL37-BL38)</f>
        <v>23561.068767389996</v>
      </c>
      <c r="BM47" s="2441">
        <f>SUM(BM46-BM37)</f>
        <v>22801.583664975635</v>
      </c>
      <c r="BN47" s="4703">
        <f t="shared" ref="BN47:BO47" si="87">SUM(BN48:BN51)</f>
        <v>12348.86</v>
      </c>
      <c r="BO47" s="4703">
        <f t="shared" si="87"/>
        <v>26857.08</v>
      </c>
    </row>
    <row r="48" spans="1:67" ht="19.5" customHeight="1" x14ac:dyDescent="0.2">
      <c r="A48" s="5653" t="s">
        <v>150</v>
      </c>
      <c r="B48" s="5653"/>
      <c r="C48" s="5653"/>
      <c r="D48" s="3191"/>
      <c r="E48" s="2579"/>
      <c r="F48" s="2579"/>
      <c r="G48" s="2579"/>
      <c r="H48" s="2579"/>
      <c r="I48" s="1600">
        <v>1679.5</v>
      </c>
      <c r="J48" s="2579"/>
      <c r="K48" s="1600">
        <f>I48/I46*K47</f>
        <v>1370.1342035638834</v>
      </c>
      <c r="L48" s="2579">
        <f>I48/I46*L47</f>
        <v>1959.4470404726922</v>
      </c>
      <c r="M48" s="2579"/>
      <c r="N48" s="1600">
        <f>вода!O16</f>
        <v>1662.3</v>
      </c>
      <c r="O48" s="2579"/>
      <c r="P48" s="1600">
        <f>N48/N46*P46</f>
        <v>1328.848310908827</v>
      </c>
      <c r="Q48" s="2579"/>
      <c r="R48" s="2579"/>
      <c r="S48" s="1600">
        <v>832.1</v>
      </c>
      <c r="T48" s="1600"/>
      <c r="U48" s="2579">
        <f>вода!Y16</f>
        <v>1803.5</v>
      </c>
      <c r="V48" s="2579"/>
      <c r="W48" s="2579">
        <f>W47*(P48/P47)</f>
        <v>1410.9363841017698</v>
      </c>
      <c r="X48" s="2579">
        <v>658.7</v>
      </c>
      <c r="Y48" s="2579"/>
      <c r="Z48" s="2579">
        <v>1490.4</v>
      </c>
      <c r="AA48" s="2579">
        <f>SUM(AA46*AA52)</f>
        <v>1665.6132835608219</v>
      </c>
      <c r="AB48" s="2579">
        <f>AB47*(W48/W47)</f>
        <v>1484.5350755710156</v>
      </c>
      <c r="AC48" s="3191"/>
      <c r="AD48" s="2579">
        <v>1047.32</v>
      </c>
      <c r="AE48" s="2579">
        <v>1465.34</v>
      </c>
      <c r="AF48" s="2579">
        <f>SUM(AF46*AF52)</f>
        <v>2008.9650493007493</v>
      </c>
      <c r="AG48" s="2579">
        <f>SUM(AG46*AG52)</f>
        <v>1611.1723912953566</v>
      </c>
      <c r="AH48" s="2579">
        <v>1817.18</v>
      </c>
      <c r="AI48" s="2579">
        <v>1309.4000000000001</v>
      </c>
      <c r="AJ48" s="2579">
        <v>1459.71</v>
      </c>
      <c r="AK48" s="2579">
        <v>792.42</v>
      </c>
      <c r="AL48" s="2579">
        <v>1742.41</v>
      </c>
      <c r="AM48" s="2579">
        <f>AM47*AL52</f>
        <v>1475.4542413298955</v>
      </c>
      <c r="AN48" s="2579">
        <f>AN47*AK52</f>
        <v>843.46017371030848</v>
      </c>
      <c r="AO48" s="5654"/>
      <c r="AP48" s="5655"/>
      <c r="AQ48" s="5655"/>
      <c r="AR48" s="3203"/>
      <c r="AS48" s="3203"/>
      <c r="AT48" s="3203"/>
      <c r="AU48" s="3203"/>
      <c r="AV48" s="3203"/>
      <c r="AW48" s="3203"/>
      <c r="AX48" s="2579">
        <f>AX47*AX52</f>
        <v>1482.103514619803</v>
      </c>
      <c r="AY48" s="3191">
        <v>346.17</v>
      </c>
      <c r="AZ48" s="3191">
        <v>525.76</v>
      </c>
      <c r="BA48" s="3191">
        <v>695.14</v>
      </c>
      <c r="BB48" s="2579">
        <f>BB47*BB52</f>
        <v>894.10612969439967</v>
      </c>
      <c r="BC48" s="2579">
        <f>BC47*BC52</f>
        <v>646.85783362542975</v>
      </c>
      <c r="BD48" s="3191">
        <v>366.83</v>
      </c>
      <c r="BE48" s="3191">
        <v>549.92899999999997</v>
      </c>
      <c r="BF48" s="3191">
        <v>735.96</v>
      </c>
      <c r="BG48" s="2579">
        <f>BG47*BG52</f>
        <v>952.11287083417631</v>
      </c>
      <c r="BH48" s="2579">
        <f>BH47*BH52</f>
        <v>835.56104346222924</v>
      </c>
      <c r="BI48" s="3191">
        <v>368.21</v>
      </c>
      <c r="BJ48" s="3191">
        <v>551.92999999999995</v>
      </c>
      <c r="BK48" s="3191">
        <v>741.79399999999998</v>
      </c>
      <c r="BL48" s="2441">
        <f>BL47*BL52</f>
        <v>822.22878243699699</v>
      </c>
      <c r="BM48" s="2441">
        <f>BM47*BM52</f>
        <v>948.54588046298636</v>
      </c>
      <c r="BN48" s="4708">
        <v>415.31</v>
      </c>
      <c r="BO48" s="4708">
        <v>954.76</v>
      </c>
    </row>
    <row r="49" spans="1:67" ht="20.100000000000001" customHeight="1" x14ac:dyDescent="0.2">
      <c r="A49" s="5653" t="s">
        <v>147</v>
      </c>
      <c r="B49" s="5653"/>
      <c r="C49" s="5653"/>
      <c r="D49" s="3191"/>
      <c r="E49" s="2579"/>
      <c r="F49" s="2579"/>
      <c r="G49" s="2579"/>
      <c r="H49" s="2579"/>
      <c r="I49" s="1600">
        <v>8659.2999999999993</v>
      </c>
      <c r="J49" s="2579"/>
      <c r="K49" s="1600">
        <f>I49/I46*K47</f>
        <v>7064.2471622034736</v>
      </c>
      <c r="L49" s="2579">
        <f>I49/I46*L47</f>
        <v>10102.673270357356</v>
      </c>
      <c r="M49" s="2579"/>
      <c r="N49" s="1600">
        <f>вода!O26</f>
        <v>13061</v>
      </c>
      <c r="O49" s="2579"/>
      <c r="P49" s="1600">
        <f>N49/N46*P46</f>
        <v>10441.008114528178</v>
      </c>
      <c r="Q49" s="2579"/>
      <c r="R49" s="2579"/>
      <c r="S49" s="1600">
        <v>7957</v>
      </c>
      <c r="T49" s="1600"/>
      <c r="U49" s="2579">
        <f>вода!Y26</f>
        <v>13533.8</v>
      </c>
      <c r="V49" s="2579"/>
      <c r="W49" s="2579">
        <f>W47*(P49/P47)</f>
        <v>11085.989359774539</v>
      </c>
      <c r="X49" s="2579">
        <v>4626.8999999999996</v>
      </c>
      <c r="Y49" s="2579"/>
      <c r="Z49" s="2579">
        <v>9696.2999999999993</v>
      </c>
      <c r="AA49" s="2579">
        <f>SUM(AA46*AA53)</f>
        <v>12499.072390937314</v>
      </c>
      <c r="AB49" s="2579">
        <f>AB47*(W49/W47)</f>
        <v>11664.267955262609</v>
      </c>
      <c r="AC49" s="3191"/>
      <c r="AD49" s="2579">
        <v>5322.04</v>
      </c>
      <c r="AE49" s="2579">
        <v>7066.56</v>
      </c>
      <c r="AF49" s="2579">
        <f>SUM(AF46*AF53)</f>
        <v>13069.99987086343</v>
      </c>
      <c r="AG49" s="2579">
        <f>SUM(AG46*AG53)</f>
        <v>10482.025535236962</v>
      </c>
      <c r="AH49" s="2579">
        <v>10745.24</v>
      </c>
      <c r="AI49" s="2579">
        <v>13297.15</v>
      </c>
      <c r="AJ49" s="2579">
        <v>13162.7</v>
      </c>
      <c r="AK49" s="2579">
        <v>15818.07</v>
      </c>
      <c r="AL49" s="2579">
        <v>17694.43</v>
      </c>
      <c r="AM49" s="2579">
        <f>AM47*AL53</f>
        <v>14983.454979835366</v>
      </c>
      <c r="AN49" s="2579">
        <f>AN47*AK53</f>
        <v>16836.919903538299</v>
      </c>
      <c r="AO49" s="5654"/>
      <c r="AP49" s="5655"/>
      <c r="AQ49" s="5655"/>
      <c r="AR49" s="3203"/>
      <c r="AS49" s="3203"/>
      <c r="AT49" s="3203"/>
      <c r="AU49" s="3203"/>
      <c r="AV49" s="3203"/>
      <c r="AW49" s="3203"/>
      <c r="AX49" s="2579">
        <f>AX47*AX53</f>
        <v>15050.97932874242</v>
      </c>
      <c r="AY49" s="3191">
        <v>8011.99</v>
      </c>
      <c r="AZ49" s="3191">
        <v>9993.06</v>
      </c>
      <c r="BA49" s="3191">
        <v>13927.91</v>
      </c>
      <c r="BB49" s="2579">
        <f>BB47*BB53</f>
        <v>17914.419692194271</v>
      </c>
      <c r="BC49" s="2579">
        <f>BC47*BC53</f>
        <v>12960.522613473488</v>
      </c>
      <c r="BD49" s="3191">
        <v>5138.1499999999996</v>
      </c>
      <c r="BE49" s="3609">
        <v>7257.6049999999996</v>
      </c>
      <c r="BF49" s="3191">
        <v>10128.26</v>
      </c>
      <c r="BG49" s="2579">
        <f>BG47*BG53</f>
        <v>13102.949487954445</v>
      </c>
      <c r="BH49" s="2579">
        <f>BH47*BH53</f>
        <v>11498.966647721014</v>
      </c>
      <c r="BI49" s="3191">
        <v>5487.84</v>
      </c>
      <c r="BJ49" s="3191">
        <v>7558.34</v>
      </c>
      <c r="BK49" s="3609">
        <v>10588.994000000001</v>
      </c>
      <c r="BL49" s="2441">
        <f>BL47*BL53</f>
        <v>11737.188011567454</v>
      </c>
      <c r="BM49" s="2441">
        <f>BM47*BM53</f>
        <v>12036.956016740638</v>
      </c>
      <c r="BN49" s="4709">
        <f>6174.91+129.76</f>
        <v>6304.67</v>
      </c>
      <c r="BO49" s="4709">
        <f>14648.43+246.95</f>
        <v>14895.380000000001</v>
      </c>
    </row>
    <row r="50" spans="1:67" ht="20.100000000000001" customHeight="1" x14ac:dyDescent="0.2">
      <c r="A50" s="5653" t="s">
        <v>148</v>
      </c>
      <c r="B50" s="5653"/>
      <c r="C50" s="5653"/>
      <c r="D50" s="3191"/>
      <c r="E50" s="2579"/>
      <c r="F50" s="2579"/>
      <c r="G50" s="2579"/>
      <c r="H50" s="2579"/>
      <c r="I50" s="1600">
        <v>3523.1</v>
      </c>
      <c r="J50" s="2579"/>
      <c r="K50" s="1600">
        <f>I50/I46*K47</f>
        <v>2874.1410018314482</v>
      </c>
      <c r="L50" s="2579">
        <f>I50/I46*L47</f>
        <v>4110.3470486986253</v>
      </c>
      <c r="M50" s="2579"/>
      <c r="N50" s="1600">
        <f>вода!O34</f>
        <v>4691.6000000000004</v>
      </c>
      <c r="O50" s="2579"/>
      <c r="P50" s="1600">
        <f>N50/N46*P46</f>
        <v>3750.4811017625302</v>
      </c>
      <c r="Q50" s="2579"/>
      <c r="R50" s="2579"/>
      <c r="S50" s="1600">
        <v>3991.4</v>
      </c>
      <c r="T50" s="1600"/>
      <c r="U50" s="2579">
        <f>вода!Y34</f>
        <v>5004</v>
      </c>
      <c r="V50" s="2579"/>
      <c r="W50" s="2579">
        <f>W47*(P50/P47)</f>
        <v>3982.1627501966336</v>
      </c>
      <c r="X50" s="2579">
        <v>1750</v>
      </c>
      <c r="Y50" s="2579"/>
      <c r="Z50" s="2579">
        <v>3840.1</v>
      </c>
      <c r="AA50" s="2579">
        <f>SUM(AA46*AA54)</f>
        <v>4621.4188361177448</v>
      </c>
      <c r="AB50" s="2579">
        <f>AB47*(W50/W47)</f>
        <v>4189.8843533351246</v>
      </c>
      <c r="AC50" s="3191"/>
      <c r="AD50" s="2579">
        <v>1853.14</v>
      </c>
      <c r="AE50" s="2579">
        <v>3037.94</v>
      </c>
      <c r="AF50" s="2579">
        <f>SUM(AF46*AF54)</f>
        <v>5176.2122153917117</v>
      </c>
      <c r="AG50" s="2579">
        <f>SUM(AG46*AG54)</f>
        <v>4151.2769054034479</v>
      </c>
      <c r="AH50" s="2579">
        <v>4356.6499999999996</v>
      </c>
      <c r="AI50" s="2579">
        <v>2827.72</v>
      </c>
      <c r="AJ50" s="2579">
        <v>3269.25</v>
      </c>
      <c r="AK50" s="2579">
        <v>2605.86</v>
      </c>
      <c r="AL50" s="2579">
        <v>3762.83</v>
      </c>
      <c r="AM50" s="2579">
        <f>AM47*AL54</f>
        <v>3186.3243914482641</v>
      </c>
      <c r="AN50" s="2579">
        <f>AN47*AK54</f>
        <v>2773.7047629599765</v>
      </c>
      <c r="AO50" s="5654"/>
      <c r="AP50" s="5655"/>
      <c r="AQ50" s="5655"/>
      <c r="AR50" s="3203"/>
      <c r="AS50" s="3203"/>
      <c r="AT50" s="3203"/>
      <c r="AU50" s="3203"/>
      <c r="AV50" s="3203"/>
      <c r="AW50" s="3203"/>
      <c r="AX50" s="2579">
        <f>AX47*AX54</f>
        <v>3200.6838619594887</v>
      </c>
      <c r="AY50" s="3191">
        <v>1185.06</v>
      </c>
      <c r="AZ50" s="3191">
        <v>2334.5700000000002</v>
      </c>
      <c r="BA50" s="3191">
        <v>2408.46</v>
      </c>
      <c r="BB50" s="2579">
        <f>BB47*BB54</f>
        <v>3097.8203658597895</v>
      </c>
      <c r="BC50" s="2579">
        <f>BC47*BC54</f>
        <v>2241.1761918081293</v>
      </c>
      <c r="BD50" s="3191">
        <v>1002.75</v>
      </c>
      <c r="BE50" s="3191">
        <v>1682.74</v>
      </c>
      <c r="BF50" s="3191">
        <v>1619.51</v>
      </c>
      <c r="BG50" s="2579">
        <f>BG47*BG54</f>
        <v>2095.1632092024793</v>
      </c>
      <c r="BH50" s="2579">
        <f>BH47*BH54</f>
        <v>1838.6861588911283</v>
      </c>
      <c r="BI50" s="3191">
        <v>1566.81</v>
      </c>
      <c r="BJ50" s="3191">
        <v>2218.19</v>
      </c>
      <c r="BK50" s="3609">
        <v>3036.5479999999998</v>
      </c>
      <c r="BL50" s="2441">
        <f>BL47*BL54</f>
        <v>3365.8093282656619</v>
      </c>
      <c r="BM50" s="2441">
        <f>BM47*BM54</f>
        <v>2111.4266473767439</v>
      </c>
      <c r="BN50" s="4709">
        <v>1268.74</v>
      </c>
      <c r="BO50" s="4709">
        <v>2527</v>
      </c>
    </row>
    <row r="51" spans="1:67" ht="20.100000000000001" customHeight="1" x14ac:dyDescent="0.2">
      <c r="A51" s="5653" t="s">
        <v>149</v>
      </c>
      <c r="B51" s="5653"/>
      <c r="C51" s="5653"/>
      <c r="D51" s="3191"/>
      <c r="E51" s="2579"/>
      <c r="F51" s="2579"/>
      <c r="G51" s="2579"/>
      <c r="H51" s="2579"/>
      <c r="I51" s="1600">
        <v>2107</v>
      </c>
      <c r="J51" s="2579"/>
      <c r="K51" s="1600">
        <f>I51/I46*K47</f>
        <v>1718.888220844955</v>
      </c>
      <c r="L51" s="2579">
        <f>I51/I46*L46</f>
        <v>2546.8837027939417</v>
      </c>
      <c r="M51" s="2579"/>
      <c r="N51" s="1600">
        <f>N46-N48-N49-N50</f>
        <v>2644.3000000000011</v>
      </c>
      <c r="O51" s="2579"/>
      <c r="P51" s="1600">
        <f>N51/N46*P46</f>
        <v>2113.8624728004652</v>
      </c>
      <c r="Q51" s="2579"/>
      <c r="R51" s="2579"/>
      <c r="S51" s="1600">
        <v>2048.6</v>
      </c>
      <c r="T51" s="1600"/>
      <c r="U51" s="2579">
        <f>вода!Y42</f>
        <v>2817.5</v>
      </c>
      <c r="V51" s="2579"/>
      <c r="W51" s="2579">
        <f>W47*(P51/P47)</f>
        <v>2244.4438912833493</v>
      </c>
      <c r="X51" s="2579">
        <v>1113.8</v>
      </c>
      <c r="Y51" s="2579"/>
      <c r="Z51" s="2579">
        <v>2289.6</v>
      </c>
      <c r="AA51" s="2579">
        <f>SUM(AA46*AA55)</f>
        <v>2602.0878438772475</v>
      </c>
      <c r="AB51" s="2579">
        <f>AB47*(W51/W47)</f>
        <v>2361.5208448128728</v>
      </c>
      <c r="AC51" s="3191"/>
      <c r="AD51" s="2579">
        <v>1149.72</v>
      </c>
      <c r="AE51" s="2579">
        <v>1754.48</v>
      </c>
      <c r="AF51" s="2579">
        <f>SUM(AF46*AF55)</f>
        <v>3086.2361626939046</v>
      </c>
      <c r="AG51" s="2579">
        <f>SUM(AG46*AG55)</f>
        <v>2475.1343982218523</v>
      </c>
      <c r="AH51" s="2579">
        <v>2505.2399999999998</v>
      </c>
      <c r="AI51" s="2579">
        <v>2402.1799999999998</v>
      </c>
      <c r="AJ51" s="2579">
        <v>2516.5500000000002</v>
      </c>
      <c r="AK51" s="2579">
        <v>2442.52</v>
      </c>
      <c r="AL51" s="2579">
        <v>3196.56</v>
      </c>
      <c r="AM51" s="2579">
        <f>AM47*AL55</f>
        <v>2706.8129829750114</v>
      </c>
      <c r="AN51" s="2579">
        <f>AN47*AK55</f>
        <v>2599.8439507974344</v>
      </c>
      <c r="AO51" s="5654"/>
      <c r="AP51" s="5655"/>
      <c r="AQ51" s="5655"/>
      <c r="AR51" s="3203"/>
      <c r="AS51" s="3203"/>
      <c r="AT51" s="3203"/>
      <c r="AU51" s="3203"/>
      <c r="AV51" s="3203"/>
      <c r="AW51" s="3203"/>
      <c r="AX51" s="2579">
        <f>AX47*AX55</f>
        <v>2719.011490230816</v>
      </c>
      <c r="AY51" s="3191">
        <v>1303.07</v>
      </c>
      <c r="AZ51" s="3191">
        <v>2311.9899999999998</v>
      </c>
      <c r="BA51" s="3191">
        <v>3844.89</v>
      </c>
      <c r="BB51" s="2579">
        <f>BB47*BB55</f>
        <v>4945.3918879660223</v>
      </c>
      <c r="BC51" s="2579">
        <f>BC47*BC55</f>
        <v>3577.8364299681775</v>
      </c>
      <c r="BD51" s="3191">
        <v>2804.92</v>
      </c>
      <c r="BE51" s="3191">
        <v>3998.41</v>
      </c>
      <c r="BF51" s="3191">
        <v>5408.3</v>
      </c>
      <c r="BG51" s="2579">
        <f>BG47*BG55</f>
        <v>6996.728136491759</v>
      </c>
      <c r="BH51" s="2579">
        <f>BH47*BH55</f>
        <v>6140.2315225783659</v>
      </c>
      <c r="BI51" s="3191">
        <v>3118.09</v>
      </c>
      <c r="BJ51" s="3191">
        <v>4974.37</v>
      </c>
      <c r="BK51" s="3191">
        <v>6888.8680000000004</v>
      </c>
      <c r="BL51" s="2441">
        <f>BL47*BL55</f>
        <v>7635.8470788509903</v>
      </c>
      <c r="BM51" s="2441">
        <f>BM47*BM55</f>
        <v>7704.6551203952667</v>
      </c>
      <c r="BN51" s="4708">
        <v>4360.1400000000003</v>
      </c>
      <c r="BO51" s="4708">
        <v>8479.94</v>
      </c>
    </row>
    <row r="52" spans="1:67" ht="20.100000000000001" customHeight="1" x14ac:dyDescent="0.3">
      <c r="A52" s="5653" t="s">
        <v>828</v>
      </c>
      <c r="B52" s="5653"/>
      <c r="C52" s="5653"/>
      <c r="D52" s="3201"/>
      <c r="E52" s="3201"/>
      <c r="F52" s="3201"/>
      <c r="G52" s="3201"/>
      <c r="H52" s="3201"/>
      <c r="I52" s="3201"/>
      <c r="J52" s="3201"/>
      <c r="K52" s="3201"/>
      <c r="L52" s="3201"/>
      <c r="M52" s="3201"/>
      <c r="N52" s="3201"/>
      <c r="O52" s="3201"/>
      <c r="P52" s="3201"/>
      <c r="Q52" s="3201"/>
      <c r="R52" s="3201"/>
      <c r="S52" s="3201"/>
      <c r="T52" s="3201"/>
      <c r="U52" s="3202">
        <f>U48/U46</f>
        <v>7.7875701140392162E-2</v>
      </c>
      <c r="V52" s="3201"/>
      <c r="W52" s="3201"/>
      <c r="X52" s="3201"/>
      <c r="Y52" s="3201"/>
      <c r="Z52" s="3202">
        <f>Z48/Z46</f>
        <v>8.6068697881776804E-2</v>
      </c>
      <c r="AA52" s="2583">
        <f>U52</f>
        <v>7.7875701140392162E-2</v>
      </c>
      <c r="AB52" s="3202">
        <f>AB48/AB46</f>
        <v>7.535631391890911E-2</v>
      </c>
      <c r="AC52" s="3201"/>
      <c r="AD52" s="3202">
        <f t="shared" ref="AD52:AE52" si="88">AD48/AD46</f>
        <v>0.11174727012383405</v>
      </c>
      <c r="AE52" s="3202">
        <f t="shared" si="88"/>
        <v>0.10997484299386381</v>
      </c>
      <c r="AF52" s="2583">
        <f>SUM(Z52)</f>
        <v>8.6068697881776804E-2</v>
      </c>
      <c r="AG52" s="2583">
        <f>SUM(AF52)</f>
        <v>8.6068697881776804E-2</v>
      </c>
      <c r="AH52" s="2583">
        <f t="shared" ref="AH52:AN52" si="89">AH48/AH46</f>
        <v>9.3551891187842018E-2</v>
      </c>
      <c r="AI52" s="2583">
        <f t="shared" si="89"/>
        <v>6.6009795099425561E-2</v>
      </c>
      <c r="AJ52" s="2583">
        <f t="shared" ref="AJ52" si="90">AJ48/AJ46</f>
        <v>7.1528845952636019E-2</v>
      </c>
      <c r="AK52" s="2583">
        <f t="shared" si="89"/>
        <v>3.658639624320198E-2</v>
      </c>
      <c r="AL52" s="2583">
        <f t="shared" si="89"/>
        <v>6.6009830195384048E-2</v>
      </c>
      <c r="AM52" s="2583">
        <f t="shared" si="89"/>
        <v>6.5026291755131665E-2</v>
      </c>
      <c r="AN52" s="2583">
        <f t="shared" si="89"/>
        <v>3.5143830474683002E-2</v>
      </c>
      <c r="AO52" s="5656"/>
      <c r="AP52" s="5657"/>
      <c r="AQ52" s="5657"/>
      <c r="AR52" s="3203"/>
      <c r="AS52" s="3203"/>
      <c r="AT52" s="3203"/>
      <c r="AU52" s="3203"/>
      <c r="AV52" s="3203"/>
      <c r="AW52" s="3203"/>
      <c r="AX52" s="2581">
        <f>SUM(AM52)</f>
        <v>6.5026291755131665E-2</v>
      </c>
      <c r="AY52" s="2581">
        <f t="shared" ref="AY52:BA52" si="91">AY48/AY46</f>
        <v>3.191598233128564E-2</v>
      </c>
      <c r="AZ52" s="2581">
        <f t="shared" si="91"/>
        <v>3.466843560794388E-2</v>
      </c>
      <c r="BA52" s="2581">
        <f t="shared" si="91"/>
        <v>3.3297886608802278E-2</v>
      </c>
      <c r="BB52" s="2581">
        <f>SUM(BA52)</f>
        <v>3.3297886608802278E-2</v>
      </c>
      <c r="BC52" s="2581">
        <f>SUM(BB52)</f>
        <v>3.3297886608802278E-2</v>
      </c>
      <c r="BD52" s="2581">
        <f t="shared" ref="BD52:BF52" si="92">BD48/BD46</f>
        <v>3.9390506461640884E-2</v>
      </c>
      <c r="BE52" s="2581">
        <f t="shared" si="92"/>
        <v>4.0769655512724594E-2</v>
      </c>
      <c r="BF52" s="2581">
        <f t="shared" si="92"/>
        <v>4.1133398502014591E-2</v>
      </c>
      <c r="BG52" s="2581">
        <f>SUM(BF52)</f>
        <v>4.1133398502014591E-2</v>
      </c>
      <c r="BH52" s="2581">
        <f>SUM(BG52)</f>
        <v>4.1133398502014591E-2</v>
      </c>
      <c r="BI52" s="2581">
        <f t="shared" ref="BI52:BJ52" si="93">BI48/BI46</f>
        <v>3.4931380011976147E-2</v>
      </c>
      <c r="BJ52" s="2581">
        <f t="shared" si="93"/>
        <v>3.6067170817226289E-2</v>
      </c>
      <c r="BK52" s="2581">
        <f t="shared" ref="BK52" si="94">BK48/BK46</f>
        <v>3.4897771003283749E-2</v>
      </c>
      <c r="BL52" s="2444">
        <f>SUM(BK52)</f>
        <v>3.4897771003283749E-2</v>
      </c>
      <c r="BM52" s="4166">
        <v>4.1599999999999998E-2</v>
      </c>
      <c r="BN52" s="4710">
        <f t="shared" ref="BN52:BO52" si="95">BN48/BN46</f>
        <v>3.3631444522004464E-2</v>
      </c>
      <c r="BO52" s="4710">
        <f t="shared" si="95"/>
        <v>3.5549652374770091E-2</v>
      </c>
    </row>
    <row r="53" spans="1:67" ht="20.100000000000001" customHeight="1" x14ac:dyDescent="0.3">
      <c r="A53" s="5653" t="s">
        <v>829</v>
      </c>
      <c r="B53" s="5653"/>
      <c r="C53" s="5653"/>
      <c r="D53" s="3201"/>
      <c r="E53" s="3201"/>
      <c r="F53" s="3201"/>
      <c r="G53" s="3201"/>
      <c r="H53" s="3201"/>
      <c r="I53" s="3201"/>
      <c r="J53" s="3201"/>
      <c r="K53" s="3201"/>
      <c r="L53" s="3201"/>
      <c r="M53" s="3201"/>
      <c r="N53" s="3201"/>
      <c r="O53" s="3201"/>
      <c r="P53" s="3201"/>
      <c r="Q53" s="3201"/>
      <c r="R53" s="3201"/>
      <c r="S53" s="3201"/>
      <c r="T53" s="3201"/>
      <c r="U53" s="3202">
        <f>U49/U46</f>
        <v>0.58439376994390868</v>
      </c>
      <c r="V53" s="3201"/>
      <c r="W53" s="3201"/>
      <c r="X53" s="3201"/>
      <c r="Y53" s="3201"/>
      <c r="Z53" s="3202">
        <f>Z49/Z46</f>
        <v>0.55994895012820212</v>
      </c>
      <c r="AA53" s="2583">
        <f>U53</f>
        <v>0.58439376994390868</v>
      </c>
      <c r="AB53" s="3202">
        <f>AB49/AB46</f>
        <v>0.59208856168854718</v>
      </c>
      <c r="AC53" s="3201"/>
      <c r="AD53" s="3202">
        <f t="shared" ref="AD53:AE53" si="96">AD49/AD46</f>
        <v>0.56785265390697193</v>
      </c>
      <c r="AE53" s="3202">
        <f t="shared" si="96"/>
        <v>0.53035051694945778</v>
      </c>
      <c r="AF53" s="2583">
        <f>SUM(Z53)</f>
        <v>0.55994895012820212</v>
      </c>
      <c r="AG53" s="2583">
        <f>SUM(AF53)</f>
        <v>0.55994895012820212</v>
      </c>
      <c r="AH53" s="2583">
        <f t="shared" ref="AH53:AN53" si="97">AH49/AH46</f>
        <v>0.55318544297606598</v>
      </c>
      <c r="AI53" s="2583">
        <f t="shared" si="97"/>
        <v>0.67033919879817205</v>
      </c>
      <c r="AJ53" s="2583">
        <f t="shared" ref="AJ53" si="98">AJ49/AJ46</f>
        <v>0.64499985656107184</v>
      </c>
      <c r="AK53" s="2583">
        <f t="shared" si="97"/>
        <v>0.73032757479960875</v>
      </c>
      <c r="AL53" s="2583">
        <f t="shared" si="97"/>
        <v>0.67033954104034599</v>
      </c>
      <c r="AM53" s="2583">
        <f t="shared" si="97"/>
        <v>0.66035156342121215</v>
      </c>
      <c r="AN53" s="2583">
        <f t="shared" si="97"/>
        <v>0.70153147386066594</v>
      </c>
      <c r="AO53" s="5656"/>
      <c r="AP53" s="5657"/>
      <c r="AQ53" s="5657"/>
      <c r="AR53" s="3203"/>
      <c r="AS53" s="3203"/>
      <c r="AT53" s="3203"/>
      <c r="AU53" s="3203"/>
      <c r="AV53" s="3203"/>
      <c r="AW53" s="3203"/>
      <c r="AX53" s="2581">
        <f t="shared" ref="AX53:AX55" si="99">SUM(AM53)</f>
        <v>0.66035156342121215</v>
      </c>
      <c r="AY53" s="2581">
        <f t="shared" ref="AY53:BA53" si="100">AY49/AY46</f>
        <v>0.73868484062292283</v>
      </c>
      <c r="AZ53" s="2581">
        <f t="shared" si="100"/>
        <v>0.65893897811990199</v>
      </c>
      <c r="BA53" s="2581">
        <f t="shared" si="100"/>
        <v>0.66716052576114648</v>
      </c>
      <c r="BB53" s="2581">
        <f t="shared" ref="BB53:BB55" si="101">SUM(BA53)</f>
        <v>0.66716052576114648</v>
      </c>
      <c r="BC53" s="2581">
        <f t="shared" ref="BC53:BC55" si="102">SUM(BB53)</f>
        <v>0.66716052576114648</v>
      </c>
      <c r="BD53" s="2581">
        <f t="shared" ref="BD53:BF53" si="103">BD49/BD46</f>
        <v>0.55173876393937282</v>
      </c>
      <c r="BE53" s="2581">
        <f t="shared" si="103"/>
        <v>0.53805137699126171</v>
      </c>
      <c r="BF53" s="2581">
        <f t="shared" si="103"/>
        <v>0.56607662741455278</v>
      </c>
      <c r="BG53" s="2581">
        <f t="shared" ref="BG53:BG55" si="104">SUM(BF53)</f>
        <v>0.56607662741455278</v>
      </c>
      <c r="BH53" s="2581">
        <f t="shared" ref="BH53:BH55" si="105">SUM(BG53)</f>
        <v>0.56607662741455278</v>
      </c>
      <c r="BI53" s="2581">
        <f t="shared" ref="BI53:BJ53" si="106">BI49/BI46</f>
        <v>0.52062090786486837</v>
      </c>
      <c r="BJ53" s="2581">
        <f t="shared" si="106"/>
        <v>0.49391759801908613</v>
      </c>
      <c r="BK53" s="2581">
        <f t="shared" ref="BK53" si="107">BK49/BK46</f>
        <v>0.49816025441988698</v>
      </c>
      <c r="BL53" s="2444">
        <f t="shared" ref="BL53:BL55" si="108">SUM(BK53)</f>
        <v>0.49816025441988698</v>
      </c>
      <c r="BM53" s="4166">
        <v>0.52790000000000004</v>
      </c>
      <c r="BN53" s="4710">
        <f t="shared" ref="BN53:BO53" si="109">BN49/BN46</f>
        <v>0.5105467225314726</v>
      </c>
      <c r="BO53" s="4710">
        <f t="shared" si="109"/>
        <v>0.55461642820195967</v>
      </c>
    </row>
    <row r="54" spans="1:67" ht="20.100000000000001" customHeight="1" x14ac:dyDescent="0.3">
      <c r="A54" s="5653" t="s">
        <v>830</v>
      </c>
      <c r="B54" s="5653"/>
      <c r="C54" s="5653"/>
      <c r="D54" s="3201"/>
      <c r="E54" s="3201"/>
      <c r="F54" s="3201"/>
      <c r="G54" s="3201"/>
      <c r="H54" s="3201"/>
      <c r="I54" s="3201"/>
      <c r="J54" s="3201"/>
      <c r="K54" s="3201"/>
      <c r="L54" s="3201"/>
      <c r="M54" s="3201"/>
      <c r="N54" s="3201"/>
      <c r="O54" s="3201"/>
      <c r="P54" s="3201"/>
      <c r="Q54" s="3201"/>
      <c r="R54" s="3201"/>
      <c r="S54" s="3201"/>
      <c r="T54" s="3201"/>
      <c r="U54" s="3202">
        <f>U50/U46</f>
        <v>0.21607430468895059</v>
      </c>
      <c r="V54" s="3201"/>
      <c r="W54" s="3201"/>
      <c r="X54" s="3201"/>
      <c r="Y54" s="3201"/>
      <c r="Z54" s="3202">
        <f>Z50/Z46</f>
        <v>0.2217608740846827</v>
      </c>
      <c r="AA54" s="2583">
        <f>U54</f>
        <v>0.21607430468895059</v>
      </c>
      <c r="AB54" s="3202">
        <f>AB50/AB46</f>
        <v>0.21268223688982377</v>
      </c>
      <c r="AC54" s="3201"/>
      <c r="AD54" s="3202">
        <f t="shared" ref="AD54:AE54" si="110">AD50/AD46</f>
        <v>0.19772689928320081</v>
      </c>
      <c r="AE54" s="3202">
        <f t="shared" si="110"/>
        <v>0.22799962774835783</v>
      </c>
      <c r="AF54" s="2583">
        <f>SUM(Z54)</f>
        <v>0.2217608740846827</v>
      </c>
      <c r="AG54" s="2583">
        <f>SUM(AF54)</f>
        <v>0.2217608740846827</v>
      </c>
      <c r="AH54" s="2583">
        <f t="shared" ref="AH54:AN54" si="111">AH50/AH46</f>
        <v>0.22428864875439522</v>
      </c>
      <c r="AI54" s="2583">
        <f t="shared" si="111"/>
        <v>0.14255171666301175</v>
      </c>
      <c r="AJ54" s="2583">
        <f t="shared" ref="AJ54" si="112">AJ50/AJ46</f>
        <v>0.16020009428630022</v>
      </c>
      <c r="AK54" s="2583">
        <f t="shared" si="111"/>
        <v>0.12031375598080604</v>
      </c>
      <c r="AL54" s="2583">
        <f t="shared" si="111"/>
        <v>0.14255185022704009</v>
      </c>
      <c r="AM54" s="2583">
        <f t="shared" si="111"/>
        <v>0.14042784499914604</v>
      </c>
      <c r="AN54" s="2583">
        <f t="shared" si="111"/>
        <v>0.1155699024264373</v>
      </c>
      <c r="AO54" s="5656"/>
      <c r="AP54" s="5657"/>
      <c r="AQ54" s="5657"/>
      <c r="AR54" s="3203"/>
      <c r="AS54" s="3203"/>
      <c r="AT54" s="3203"/>
      <c r="AU54" s="3203"/>
      <c r="AV54" s="3203"/>
      <c r="AW54" s="3203"/>
      <c r="AX54" s="2581">
        <f t="shared" si="99"/>
        <v>0.14042784499914604</v>
      </c>
      <c r="AY54" s="2581">
        <f t="shared" ref="AY54:BA54" si="113">AY50/AY46</f>
        <v>0.10925947950866151</v>
      </c>
      <c r="AZ54" s="2581">
        <f t="shared" si="113"/>
        <v>0.15394075189675432</v>
      </c>
      <c r="BA54" s="2581">
        <f t="shared" si="113"/>
        <v>0.1153675921135828</v>
      </c>
      <c r="BB54" s="2581">
        <f t="shared" si="101"/>
        <v>0.1153675921135828</v>
      </c>
      <c r="BC54" s="2581">
        <f t="shared" si="102"/>
        <v>0.1153675921135828</v>
      </c>
      <c r="BD54" s="2581">
        <f t="shared" ref="BD54:BF54" si="114">BD50/BD46</f>
        <v>0.10767611796856964</v>
      </c>
      <c r="BE54" s="2581">
        <f t="shared" si="114"/>
        <v>0.12475197728703558</v>
      </c>
      <c r="BF54" s="2581">
        <f t="shared" si="114"/>
        <v>9.0515721245716677E-2</v>
      </c>
      <c r="BG54" s="2581">
        <f t="shared" si="104"/>
        <v>9.0515721245716677E-2</v>
      </c>
      <c r="BH54" s="2581">
        <f t="shared" si="105"/>
        <v>9.0515721245716677E-2</v>
      </c>
      <c r="BI54" s="2581">
        <f t="shared" ref="BI54:BJ54" si="115">BI50/BI46</f>
        <v>0.14864027461656215</v>
      </c>
      <c r="BJ54" s="2581">
        <f t="shared" si="115"/>
        <v>0.14495287017386843</v>
      </c>
      <c r="BK54" s="2581">
        <f t="shared" ref="BK54" si="116">BK50/BK46</f>
        <v>0.1428546965120765</v>
      </c>
      <c r="BL54" s="2444">
        <f t="shared" si="108"/>
        <v>0.1428546965120765</v>
      </c>
      <c r="BM54" s="4166">
        <v>9.2600000000000002E-2</v>
      </c>
      <c r="BN54" s="4710">
        <f t="shared" ref="BN54:BO54" si="117">BN50/BN46</f>
        <v>0.10274146763344957</v>
      </c>
      <c r="BO54" s="4710">
        <f t="shared" si="117"/>
        <v>9.4090631730533364E-2</v>
      </c>
    </row>
    <row r="55" spans="1:67" ht="20.100000000000001" customHeight="1" x14ac:dyDescent="0.3">
      <c r="A55" s="5653" t="s">
        <v>831</v>
      </c>
      <c r="B55" s="5653"/>
      <c r="C55" s="5653"/>
      <c r="D55" s="3201"/>
      <c r="E55" s="3201"/>
      <c r="F55" s="3201"/>
      <c r="G55" s="3201"/>
      <c r="H55" s="3201"/>
      <c r="I55" s="3201"/>
      <c r="J55" s="3201"/>
      <c r="K55" s="3201"/>
      <c r="L55" s="3201"/>
      <c r="M55" s="3201"/>
      <c r="N55" s="3201"/>
      <c r="O55" s="3201"/>
      <c r="P55" s="3201"/>
      <c r="Q55" s="3201"/>
      <c r="R55" s="3201"/>
      <c r="S55" s="3201"/>
      <c r="T55" s="3201"/>
      <c r="U55" s="3202">
        <f>U51/U46</f>
        <v>0.12166054225841692</v>
      </c>
      <c r="V55" s="3201"/>
      <c r="W55" s="3201"/>
      <c r="X55" s="3201"/>
      <c r="Y55" s="3201"/>
      <c r="Z55" s="3202">
        <f>Z51/Z46</f>
        <v>0.13222147790533828</v>
      </c>
      <c r="AA55" s="2583">
        <f>U55</f>
        <v>0.12166054225841692</v>
      </c>
      <c r="AB55" s="3202">
        <f>AB51/AB46</f>
        <v>0.11987288750272002</v>
      </c>
      <c r="AC55" s="3201"/>
      <c r="AD55" s="3202">
        <f t="shared" ref="AD55:AE55" si="118">AD51/AD46</f>
        <v>0.1226731766859933</v>
      </c>
      <c r="AE55" s="3202">
        <f t="shared" si="118"/>
        <v>0.1316750123083204</v>
      </c>
      <c r="AF55" s="2583">
        <f>SUM(Z55)</f>
        <v>0.13222147790533828</v>
      </c>
      <c r="AG55" s="2583">
        <f>SUM(AF55)</f>
        <v>0.13222147790533828</v>
      </c>
      <c r="AH55" s="2583">
        <f t="shared" ref="AH55:AN55" si="119">AH51/AH46</f>
        <v>0.12897453190076344</v>
      </c>
      <c r="AI55" s="2583">
        <f t="shared" si="119"/>
        <v>0.12109928943939061</v>
      </c>
      <c r="AJ55" s="2583">
        <f t="shared" ref="AJ55" si="120">AJ51/AJ46</f>
        <v>0.12331621848319611</v>
      </c>
      <c r="AK55" s="2583">
        <f t="shared" si="119"/>
        <v>0.11277227297638337</v>
      </c>
      <c r="AL55" s="2583">
        <f t="shared" si="119"/>
        <v>0.12109915737935205</v>
      </c>
      <c r="AM55" s="2583">
        <f t="shared" si="119"/>
        <v>0.11929479466531047</v>
      </c>
      <c r="AN55" s="2583">
        <f t="shared" si="119"/>
        <v>0.10832577271020764</v>
      </c>
      <c r="AO55" s="5656"/>
      <c r="AP55" s="5657"/>
      <c r="AQ55" s="5657"/>
      <c r="AR55" s="3203"/>
      <c r="AS55" s="3203"/>
      <c r="AT55" s="3203"/>
      <c r="AU55" s="3203"/>
      <c r="AV55" s="3203"/>
      <c r="AW55" s="3203"/>
      <c r="AX55" s="2581">
        <f t="shared" si="99"/>
        <v>0.11929479466531047</v>
      </c>
      <c r="AY55" s="2581">
        <f t="shared" ref="AY55:BA55" si="121">AY51/AY46</f>
        <v>0.12013969753713023</v>
      </c>
      <c r="AZ55" s="2581">
        <f t="shared" si="121"/>
        <v>0.15245183437539975</v>
      </c>
      <c r="BA55" s="2581">
        <f t="shared" si="121"/>
        <v>0.18417399551646835</v>
      </c>
      <c r="BB55" s="2581">
        <f t="shared" si="101"/>
        <v>0.18417399551646835</v>
      </c>
      <c r="BC55" s="2581">
        <f t="shared" si="102"/>
        <v>0.18417399551646835</v>
      </c>
      <c r="BD55" s="2581">
        <f t="shared" ref="BD55:BF55" si="122">BD51/BD46</f>
        <v>0.30119461163041672</v>
      </c>
      <c r="BE55" s="2581">
        <f t="shared" si="122"/>
        <v>0.29642699020897811</v>
      </c>
      <c r="BF55" s="2581">
        <f t="shared" si="122"/>
        <v>0.30227425283771603</v>
      </c>
      <c r="BG55" s="2581">
        <f t="shared" si="104"/>
        <v>0.30227425283771603</v>
      </c>
      <c r="BH55" s="2581">
        <f t="shared" si="105"/>
        <v>0.30227425283771603</v>
      </c>
      <c r="BI55" s="2581">
        <f t="shared" ref="BI55:BJ55" si="123">BI51/BI46</f>
        <v>0.29580724777041012</v>
      </c>
      <c r="BJ55" s="2581">
        <f t="shared" si="123"/>
        <v>0.32506196890563288</v>
      </c>
      <c r="BK55" s="2581">
        <f t="shared" ref="BK55" si="124">BK51/BK46</f>
        <v>0.32408746624514267</v>
      </c>
      <c r="BL55" s="2444">
        <f t="shared" si="108"/>
        <v>0.32408746624514267</v>
      </c>
      <c r="BM55" s="4166">
        <v>0.33789999999999998</v>
      </c>
      <c r="BN55" s="4710">
        <f t="shared" ref="BN55:BO55" si="125">BN51/BN46</f>
        <v>0.35308036531307352</v>
      </c>
      <c r="BO55" s="4710">
        <f t="shared" si="125"/>
        <v>0.31574313875624022</v>
      </c>
    </row>
    <row r="61" spans="1:67" ht="20.25" x14ac:dyDescent="0.3">
      <c r="A61" s="2435" t="s">
        <v>4027</v>
      </c>
      <c r="BC61" s="155"/>
    </row>
    <row r="75" spans="21:47" x14ac:dyDescent="0.2">
      <c r="AC75" s="365"/>
      <c r="AD75" s="365"/>
      <c r="AE75" s="365"/>
      <c r="AF75" s="365"/>
      <c r="AG75" s="365"/>
      <c r="AH75" s="365"/>
      <c r="AI75" s="365"/>
      <c r="AJ75" s="365"/>
      <c r="AK75" s="365"/>
      <c r="AL75" s="365"/>
      <c r="AM75" s="365"/>
      <c r="AN75" s="365"/>
      <c r="AO75" s="365">
        <v>8</v>
      </c>
      <c r="AP75" s="365">
        <v>9</v>
      </c>
      <c r="AQ75" s="365">
        <v>10</v>
      </c>
      <c r="AR75" s="365">
        <v>11</v>
      </c>
      <c r="AS75" s="365">
        <v>12</v>
      </c>
      <c r="AT75" t="s">
        <v>288</v>
      </c>
    </row>
    <row r="76" spans="21:47" x14ac:dyDescent="0.2">
      <c r="U76" s="557"/>
      <c r="W76" s="557"/>
      <c r="X76" s="557"/>
      <c r="Y76" s="557"/>
      <c r="Z76" s="557"/>
      <c r="AA76" s="557"/>
      <c r="AB76" s="557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985">
        <v>5300</v>
      </c>
      <c r="AP76" s="985">
        <v>4625</v>
      </c>
      <c r="AQ76" s="985">
        <f>SUM(U76)</f>
        <v>0</v>
      </c>
      <c r="AR76" s="128">
        <f>SUM(U76)</f>
        <v>0</v>
      </c>
      <c r="AS76" s="128">
        <f>SUM(U76)</f>
        <v>0</v>
      </c>
      <c r="AT76">
        <v>52000</v>
      </c>
      <c r="AU76" s="128">
        <f>SUM(U76:AS76)</f>
        <v>9925</v>
      </c>
    </row>
    <row r="77" spans="21:47" x14ac:dyDescent="0.2">
      <c r="U77" s="557"/>
      <c r="W77" s="557"/>
      <c r="X77" s="557"/>
      <c r="Y77" s="557"/>
      <c r="Z77" s="557"/>
      <c r="AA77" s="557"/>
      <c r="AB77" s="557"/>
      <c r="AC77" s="557"/>
      <c r="AD77" s="557"/>
      <c r="AE77" s="557"/>
      <c r="AF77" s="557"/>
      <c r="AG77" s="557"/>
      <c r="AH77" s="557"/>
      <c r="AI77" s="557"/>
      <c r="AJ77" s="557"/>
      <c r="AK77" s="557"/>
      <c r="AL77" s="557"/>
      <c r="AM77" s="557"/>
      <c r="AN77" s="557"/>
      <c r="AO77" s="557">
        <f>SUM(AO76/AT76*100)</f>
        <v>10.192307692307692</v>
      </c>
      <c r="AP77" s="557">
        <f>SUM(AP76/AT76*100)</f>
        <v>8.8942307692307701</v>
      </c>
      <c r="AQ77" s="557">
        <f>SUM(AQ76/AT76*100)</f>
        <v>0</v>
      </c>
      <c r="AR77" s="557">
        <f>SUM(AR76/AT76*100)</f>
        <v>0</v>
      </c>
      <c r="AS77" s="557">
        <f>SUM(AS76/AT76*100)</f>
        <v>0</v>
      </c>
      <c r="AT77" s="128">
        <f>SUM(U77:AS77)</f>
        <v>19.08653846153846</v>
      </c>
    </row>
    <row r="78" spans="21:47" x14ac:dyDescent="0.2">
      <c r="U78" s="557"/>
    </row>
  </sheetData>
  <mergeCells count="128">
    <mergeCell ref="U4:Z4"/>
    <mergeCell ref="AA4:AE4"/>
    <mergeCell ref="Z5:Z7"/>
    <mergeCell ref="AA5:AA7"/>
    <mergeCell ref="BC5:BC7"/>
    <mergeCell ref="BB4:BC4"/>
    <mergeCell ref="BB5:BB7"/>
    <mergeCell ref="AX5:AX7"/>
    <mergeCell ref="AN4:AX4"/>
    <mergeCell ref="AB5:AB7"/>
    <mergeCell ref="AC5:AC7"/>
    <mergeCell ref="X5:X7"/>
    <mergeCell ref="Y5:Y7"/>
    <mergeCell ref="AJ4:AK4"/>
    <mergeCell ref="AF4:AH4"/>
    <mergeCell ref="AI5:AI7"/>
    <mergeCell ref="AL4:AM4"/>
    <mergeCell ref="AJ5:AJ7"/>
    <mergeCell ref="BA4:BA7"/>
    <mergeCell ref="AY4:AY7"/>
    <mergeCell ref="AZ4:AZ7"/>
    <mergeCell ref="AD5:AD7"/>
    <mergeCell ref="AE5:AE7"/>
    <mergeCell ref="AF5:AF7"/>
    <mergeCell ref="BL4:BM4"/>
    <mergeCell ref="BL5:BL7"/>
    <mergeCell ref="BM5:BM7"/>
    <mergeCell ref="BI4:BI7"/>
    <mergeCell ref="BJ4:BJ7"/>
    <mergeCell ref="BK4:BK7"/>
    <mergeCell ref="BG4:BH4"/>
    <mergeCell ref="BG5:BG7"/>
    <mergeCell ref="BH5:BH7"/>
    <mergeCell ref="AO50:AQ50"/>
    <mergeCell ref="AO14:AQ14"/>
    <mergeCell ref="AO15:AQ15"/>
    <mergeCell ref="AO13:AQ13"/>
    <mergeCell ref="AO9:AQ9"/>
    <mergeCell ref="A54:C54"/>
    <mergeCell ref="AO33:AQ33"/>
    <mergeCell ref="AO34:AQ34"/>
    <mergeCell ref="AO30:AQ30"/>
    <mergeCell ref="AO31:AQ31"/>
    <mergeCell ref="AO35:AQ35"/>
    <mergeCell ref="AO36:AQ36"/>
    <mergeCell ref="AO37:AQ37"/>
    <mergeCell ref="AO41:AQ41"/>
    <mergeCell ref="AO39:AQ39"/>
    <mergeCell ref="A50:C50"/>
    <mergeCell ref="AO43:AQ43"/>
    <mergeCell ref="A51:C51"/>
    <mergeCell ref="AO42:AQ42"/>
    <mergeCell ref="AO40:AQ40"/>
    <mergeCell ref="AO27:AQ27"/>
    <mergeCell ref="AO28:AQ28"/>
    <mergeCell ref="AO29:AQ29"/>
    <mergeCell ref="AO26:AQ26"/>
    <mergeCell ref="AG5:AG7"/>
    <mergeCell ref="AH5:AH7"/>
    <mergeCell ref="AK5:AK7"/>
    <mergeCell ref="AN5:AN7"/>
    <mergeCell ref="AO17:AQ17"/>
    <mergeCell ref="AO18:AQ18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23:AQ23"/>
    <mergeCell ref="AO24:AQ24"/>
    <mergeCell ref="AL5:AL7"/>
    <mergeCell ref="AO25:AQ25"/>
    <mergeCell ref="AO22:AQ22"/>
    <mergeCell ref="AO19:AQ19"/>
    <mergeCell ref="AO16:AQ16"/>
    <mergeCell ref="AO8:AQ8"/>
    <mergeCell ref="AO11:AQ11"/>
    <mergeCell ref="AO12:AQ12"/>
    <mergeCell ref="AO21:AQ21"/>
    <mergeCell ref="AO20:AQ20"/>
    <mergeCell ref="AM5:AM7"/>
    <mergeCell ref="AO10:AQ10"/>
    <mergeCell ref="S5:S7"/>
    <mergeCell ref="W5:W7"/>
    <mergeCell ref="F5:F7"/>
    <mergeCell ref="J5:J7"/>
    <mergeCell ref="P5:P7"/>
    <mergeCell ref="R5:R7"/>
    <mergeCell ref="N5:N7"/>
    <mergeCell ref="O5:O7"/>
    <mergeCell ref="K5:K7"/>
    <mergeCell ref="L5:L7"/>
    <mergeCell ref="BO4:BO7"/>
    <mergeCell ref="BN4:BN7"/>
    <mergeCell ref="A2:BO2"/>
    <mergeCell ref="BD4:BD7"/>
    <mergeCell ref="BE4:BE7"/>
    <mergeCell ref="BF4:BF7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  <mergeCell ref="G4:H4"/>
    <mergeCell ref="I5:I7"/>
    <mergeCell ref="D5:D7"/>
    <mergeCell ref="Q5:Q7"/>
    <mergeCell ref="G5:G7"/>
    <mergeCell ref="E5:E7"/>
    <mergeCell ref="U5:U7"/>
    <mergeCell ref="V5:V7"/>
  </mergeCells>
  <phoneticPr fontId="10" type="noConversion"/>
  <printOptions horizontalCentered="1" verticalCentered="1"/>
  <pageMargins left="0.19685039370078741" right="0.19685039370078741" top="0.39370078740157483" bottom="0.19685039370078741" header="0" footer="0"/>
  <pageSetup paperSize="9" scale="44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Лист29">
    <tabColor rgb="FFCC00FF"/>
    <pageSetUpPr fitToPage="1"/>
  </sheetPr>
  <dimension ref="A1:BK317"/>
  <sheetViews>
    <sheetView zoomScale="80" zoomScaleNormal="80" zoomScalePageLayoutView="80" workbookViewId="0">
      <pane xSplit="36" ySplit="8" topLeftCell="AO36" activePane="bottomRight" state="frozen"/>
      <selection pane="topRight" activeCell="AK1" sqref="AK1"/>
      <selection pane="bottomLeft" activeCell="A9" sqref="A9"/>
      <selection pane="bottomRight" activeCell="BI47" sqref="BI47"/>
    </sheetView>
  </sheetViews>
  <sheetFormatPr defaultRowHeight="12.75" outlineLevelCol="1" x14ac:dyDescent="0.2"/>
  <cols>
    <col min="1" max="1" width="44.8554687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6" hidden="1" customWidth="1" collapsed="1"/>
    <col min="20" max="21" width="10.42578125" style="326" hidden="1" customWidth="1" outlineLevel="1"/>
    <col min="22" max="22" width="13.28515625" style="523" hidden="1" customWidth="1" collapsed="1"/>
    <col min="23" max="23" width="10" hidden="1" customWidth="1" outlineLevel="1"/>
    <col min="24" max="24" width="12.85546875" style="365" hidden="1" customWidth="1" collapsed="1"/>
    <col min="25" max="25" width="13.7109375" style="365" hidden="1" customWidth="1"/>
    <col min="26" max="29" width="12.85546875" style="365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36" width="15.7109375" hidden="1" customWidth="1"/>
    <col min="37" max="38" width="12.7109375" hidden="1" customWidth="1"/>
    <col min="39" max="39" width="15.7109375" hidden="1" customWidth="1"/>
    <col min="40" max="40" width="7.140625" hidden="1" customWidth="1"/>
    <col min="41" max="41" width="18" customWidth="1"/>
    <col min="42" max="42" width="17.28515625" customWidth="1"/>
    <col min="43" max="44" width="12.85546875" hidden="1" customWidth="1"/>
    <col min="45" max="45" width="13.28515625" customWidth="1"/>
    <col min="46" max="46" width="18" customWidth="1"/>
    <col min="47" max="47" width="17.5703125" customWidth="1"/>
    <col min="48" max="52" width="12.85546875" hidden="1" customWidth="1"/>
    <col min="53" max="53" width="12.85546875" customWidth="1"/>
    <col min="54" max="55" width="18" customWidth="1"/>
    <col min="56" max="57" width="12.85546875" hidden="1" customWidth="1"/>
    <col min="58" max="58" width="12.85546875" customWidth="1"/>
    <col min="59" max="60" width="18" customWidth="1"/>
    <col min="61" max="61" width="14" customWidth="1"/>
    <col min="62" max="63" width="12.85546875" customWidth="1"/>
  </cols>
  <sheetData>
    <row r="1" spans="1:62" x14ac:dyDescent="0.2">
      <c r="A1" s="5484" t="s">
        <v>1495</v>
      </c>
      <c r="B1" s="5484"/>
      <c r="C1" s="5484"/>
      <c r="D1" s="5484"/>
      <c r="E1" s="5484"/>
      <c r="F1" s="5484"/>
      <c r="G1" s="5484"/>
      <c r="H1" s="5484"/>
      <c r="I1" s="5484"/>
      <c r="J1" s="5484"/>
      <c r="K1" s="5484"/>
      <c r="L1" s="5484"/>
      <c r="M1" s="5484"/>
      <c r="N1" s="5484"/>
      <c r="O1" s="5484"/>
      <c r="P1" s="5484"/>
      <c r="Q1" s="5484"/>
      <c r="R1" s="5484"/>
      <c r="S1" s="5484"/>
      <c r="T1" s="5484"/>
      <c r="U1" s="5484"/>
      <c r="V1" s="5484"/>
      <c r="W1" s="5484"/>
      <c r="X1" s="5484"/>
      <c r="Y1" s="5484"/>
      <c r="Z1" s="5484"/>
      <c r="AA1" s="5484"/>
      <c r="AB1" s="5484"/>
      <c r="AC1" s="5484"/>
      <c r="AD1" s="5484"/>
      <c r="AE1" s="5484"/>
      <c r="AF1" s="5484"/>
      <c r="AG1" s="5484"/>
      <c r="AH1" s="5484"/>
      <c r="AI1" s="5484"/>
      <c r="AJ1" s="5484"/>
      <c r="AK1" s="5484"/>
      <c r="AL1" s="5484"/>
      <c r="AM1" s="5484"/>
      <c r="AN1" s="5484"/>
      <c r="AO1" s="5484"/>
      <c r="AP1" s="5484"/>
      <c r="AQ1" s="5484"/>
      <c r="AR1" s="5484"/>
      <c r="AS1" s="5484"/>
      <c r="AT1" s="5484"/>
      <c r="AU1" s="5484"/>
      <c r="AV1" s="5484"/>
      <c r="AW1" s="5484"/>
      <c r="AX1" s="5484"/>
      <c r="AY1" s="5484"/>
      <c r="AZ1" s="5484"/>
      <c r="BA1" s="5484"/>
      <c r="BB1" s="4910"/>
      <c r="BC1" s="4910"/>
      <c r="BD1" s="4910"/>
      <c r="BE1" s="4910"/>
      <c r="BF1" s="4910"/>
      <c r="BG1" s="4910"/>
      <c r="BH1" s="4910"/>
      <c r="BI1" s="4910"/>
      <c r="BJ1" s="4910"/>
    </row>
    <row r="2" spans="1:62" ht="20.25" x14ac:dyDescent="0.3">
      <c r="A2" s="5172" t="s">
        <v>4028</v>
      </c>
      <c r="B2" s="5160"/>
      <c r="C2" s="5160"/>
      <c r="D2" s="5160"/>
      <c r="E2" s="5160"/>
      <c r="F2" s="5160"/>
      <c r="G2" s="5160"/>
      <c r="H2" s="5160"/>
      <c r="I2" s="5160"/>
      <c r="J2" s="5160"/>
      <c r="K2" s="5160"/>
      <c r="L2" s="5160"/>
      <c r="M2" s="5160"/>
      <c r="N2" s="5160"/>
      <c r="O2" s="5160"/>
      <c r="P2" s="5160"/>
      <c r="Q2" s="5160"/>
      <c r="R2" s="5160"/>
      <c r="S2" s="5160"/>
      <c r="T2" s="5160"/>
      <c r="U2" s="5160"/>
      <c r="V2" s="5160"/>
      <c r="W2" s="5160"/>
      <c r="X2" s="5160"/>
      <c r="Y2" s="5160"/>
      <c r="Z2" s="5160"/>
      <c r="AA2" s="5160"/>
      <c r="AB2" s="5160"/>
      <c r="AC2" s="5160"/>
      <c r="AD2" s="5160"/>
      <c r="AE2" s="5160"/>
      <c r="AF2" s="5160"/>
      <c r="AG2" s="5160"/>
      <c r="AH2" s="5160"/>
      <c r="AI2" s="5160"/>
      <c r="AJ2" s="5160"/>
      <c r="AK2" s="5160"/>
      <c r="AL2" s="5160"/>
      <c r="AM2" s="5160"/>
      <c r="AN2" s="5160"/>
      <c r="AO2" s="5160"/>
      <c r="AP2" s="5160"/>
      <c r="AQ2" s="5160"/>
      <c r="AR2" s="5160"/>
      <c r="AS2" s="5160"/>
      <c r="AT2" s="5160"/>
      <c r="AU2" s="5160"/>
      <c r="AV2" s="4910"/>
      <c r="AW2" s="4910"/>
      <c r="AX2" s="4910"/>
      <c r="AY2" s="4910"/>
      <c r="AZ2" s="4910"/>
      <c r="BA2" s="4910"/>
      <c r="BB2" s="4910"/>
      <c r="BC2" s="4910"/>
      <c r="BD2" s="4910"/>
      <c r="BE2" s="4910"/>
      <c r="BF2" s="4910"/>
      <c r="BG2" s="4910"/>
      <c r="BH2" s="4910"/>
      <c r="BI2" s="4910"/>
      <c r="BJ2" s="4910"/>
    </row>
    <row r="3" spans="1:62" ht="15.75" x14ac:dyDescent="0.2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1"/>
      <c r="T3" s="391"/>
      <c r="U3" s="391"/>
      <c r="V3" s="394"/>
      <c r="W3" s="5"/>
      <c r="X3" s="394"/>
      <c r="Y3" s="394"/>
      <c r="Z3" s="394"/>
      <c r="AA3" s="394"/>
      <c r="AB3" s="394"/>
      <c r="AC3" s="394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62" x14ac:dyDescent="0.2">
      <c r="A4" s="392"/>
      <c r="B4" s="392"/>
      <c r="C4" s="392"/>
      <c r="D4" s="392"/>
      <c r="E4" s="392"/>
      <c r="F4" s="392"/>
      <c r="G4" s="392"/>
      <c r="H4" s="392"/>
      <c r="I4" s="392"/>
      <c r="J4" s="392"/>
      <c r="K4" s="392"/>
      <c r="L4" s="392"/>
      <c r="M4" s="5"/>
      <c r="N4" s="5"/>
      <c r="O4" s="5"/>
      <c r="P4" s="393" t="s">
        <v>55</v>
      </c>
      <c r="Q4" s="393"/>
      <c r="R4" s="5"/>
      <c r="S4" s="391"/>
      <c r="T4" s="391"/>
      <c r="U4" s="391"/>
      <c r="V4" s="394"/>
      <c r="W4" s="5"/>
      <c r="X4" s="394"/>
      <c r="Y4" s="394"/>
      <c r="Z4" s="394"/>
      <c r="AA4" s="394"/>
      <c r="AB4" s="394"/>
      <c r="AC4" s="394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62" ht="16.5" customHeight="1" x14ac:dyDescent="0.3">
      <c r="A5" s="5557" t="s">
        <v>525</v>
      </c>
      <c r="B5" s="5522" t="s">
        <v>57</v>
      </c>
      <c r="C5" s="5557" t="s">
        <v>58</v>
      </c>
      <c r="D5" s="5557"/>
      <c r="E5" s="5557" t="s">
        <v>66</v>
      </c>
      <c r="F5" s="5557"/>
      <c r="G5" s="5557" t="s">
        <v>91</v>
      </c>
      <c r="H5" s="5557"/>
      <c r="I5" s="5557" t="s">
        <v>116</v>
      </c>
      <c r="J5" s="5557"/>
      <c r="K5" s="5557"/>
      <c r="L5" s="5557"/>
      <c r="M5" s="5557"/>
      <c r="N5" s="5522" t="s">
        <v>154</v>
      </c>
      <c r="O5" s="5522"/>
      <c r="P5" s="5522"/>
      <c r="Q5" s="5522"/>
      <c r="R5" s="5522"/>
      <c r="S5" s="5522"/>
      <c r="T5" s="5522"/>
      <c r="U5" s="5522"/>
      <c r="V5" s="5555" t="s">
        <v>227</v>
      </c>
      <c r="W5" s="5555"/>
      <c r="X5" s="5555"/>
      <c r="Y5" s="5555"/>
      <c r="Z5" s="5555"/>
      <c r="AA5" s="5702"/>
      <c r="AB5" s="5555" t="s">
        <v>362</v>
      </c>
      <c r="AC5" s="5555"/>
      <c r="AD5" s="5555"/>
      <c r="AE5" s="5702"/>
      <c r="AF5" s="5702"/>
      <c r="AG5" s="5669" t="s">
        <v>815</v>
      </c>
      <c r="AH5" s="5670"/>
      <c r="AI5" s="5671"/>
      <c r="AJ5" s="2621" t="s">
        <v>892</v>
      </c>
      <c r="AK5" s="5669" t="s">
        <v>893</v>
      </c>
      <c r="AL5" s="5674"/>
      <c r="AM5" s="5669" t="s">
        <v>1799</v>
      </c>
      <c r="AN5" s="5671"/>
      <c r="AO5" s="5660" t="s">
        <v>3659</v>
      </c>
      <c r="AP5" s="5675"/>
      <c r="AQ5" s="5538" t="s">
        <v>3614</v>
      </c>
      <c r="AR5" s="5538" t="s">
        <v>3615</v>
      </c>
      <c r="AS5" s="5538" t="s">
        <v>3617</v>
      </c>
      <c r="AT5" s="5660" t="s">
        <v>3846</v>
      </c>
      <c r="AU5" s="5675"/>
      <c r="AV5" s="5144" t="s">
        <v>235</v>
      </c>
      <c r="AW5" s="5681"/>
      <c r="AX5" s="5681"/>
      <c r="AY5" s="5538" t="s">
        <v>3867</v>
      </c>
      <c r="AZ5" s="5538" t="s">
        <v>3868</v>
      </c>
      <c r="BA5" s="5538" t="s">
        <v>3870</v>
      </c>
      <c r="BB5" s="5660" t="s">
        <v>3895</v>
      </c>
      <c r="BC5" s="5675"/>
      <c r="BD5" s="5522" t="s">
        <v>3929</v>
      </c>
      <c r="BE5" s="5522" t="s">
        <v>3930</v>
      </c>
      <c r="BF5" s="5522" t="s">
        <v>3932</v>
      </c>
      <c r="BG5" s="5660" t="s">
        <v>4014</v>
      </c>
      <c r="BH5" s="5675"/>
      <c r="BI5" s="5522" t="s">
        <v>4257</v>
      </c>
      <c r="BJ5" s="5522" t="s">
        <v>4258</v>
      </c>
    </row>
    <row r="6" spans="1:62" ht="16.5" customHeight="1" x14ac:dyDescent="0.2">
      <c r="A6" s="5557"/>
      <c r="B6" s="5522"/>
      <c r="C6" s="5522" t="s">
        <v>60</v>
      </c>
      <c r="D6" s="5522" t="s">
        <v>61</v>
      </c>
      <c r="E6" s="5522" t="s">
        <v>60</v>
      </c>
      <c r="F6" s="5522" t="s">
        <v>65</v>
      </c>
      <c r="G6" s="5522" t="s">
        <v>60</v>
      </c>
      <c r="H6" s="5522" t="s">
        <v>108</v>
      </c>
      <c r="I6" s="5522" t="s">
        <v>59</v>
      </c>
      <c r="J6" s="5522" t="s">
        <v>62</v>
      </c>
      <c r="K6" s="5522" t="s">
        <v>106</v>
      </c>
      <c r="L6" s="5522" t="s">
        <v>60</v>
      </c>
      <c r="M6" s="5522" t="s">
        <v>115</v>
      </c>
      <c r="N6" s="5522" t="s">
        <v>118</v>
      </c>
      <c r="O6" s="5522" t="s">
        <v>160</v>
      </c>
      <c r="P6" s="5522" t="s">
        <v>119</v>
      </c>
      <c r="Q6" s="5522" t="s">
        <v>202</v>
      </c>
      <c r="R6" s="5522" t="s">
        <v>203</v>
      </c>
      <c r="S6" s="5522" t="s">
        <v>106</v>
      </c>
      <c r="T6" s="5522" t="s">
        <v>63</v>
      </c>
      <c r="U6" s="5522" t="s">
        <v>60</v>
      </c>
      <c r="V6" s="5522" t="s">
        <v>549</v>
      </c>
      <c r="W6" s="5522" t="s">
        <v>232</v>
      </c>
      <c r="X6" s="5522" t="s">
        <v>550</v>
      </c>
      <c r="Y6" s="5522" t="s">
        <v>373</v>
      </c>
      <c r="Z6" s="5522" t="s">
        <v>126</v>
      </c>
      <c r="AA6" s="5522" t="s">
        <v>641</v>
      </c>
      <c r="AB6" s="5522" t="s">
        <v>549</v>
      </c>
      <c r="AC6" s="5522" t="s">
        <v>550</v>
      </c>
      <c r="AD6" s="5522" t="s">
        <v>551</v>
      </c>
      <c r="AE6" s="5522" t="s">
        <v>373</v>
      </c>
      <c r="AF6" s="5522" t="s">
        <v>126</v>
      </c>
      <c r="AG6" s="5522" t="s">
        <v>549</v>
      </c>
      <c r="AH6" s="5522" t="s">
        <v>1585</v>
      </c>
      <c r="AI6" s="5538" t="s">
        <v>60</v>
      </c>
      <c r="AJ6" s="5538" t="s">
        <v>60</v>
      </c>
      <c r="AK6" s="5522" t="s">
        <v>1585</v>
      </c>
      <c r="AL6" s="5567" t="s">
        <v>60</v>
      </c>
      <c r="AM6" s="5538" t="s">
        <v>1817</v>
      </c>
      <c r="AN6" s="5538" t="s">
        <v>1900</v>
      </c>
      <c r="AO6" s="5538" t="s">
        <v>3511</v>
      </c>
      <c r="AP6" s="5538" t="s">
        <v>3660</v>
      </c>
      <c r="AQ6" s="5646"/>
      <c r="AR6" s="5646"/>
      <c r="AS6" s="5646"/>
      <c r="AT6" s="5538" t="s">
        <v>3511</v>
      </c>
      <c r="AU6" s="5538" t="s">
        <v>3660</v>
      </c>
      <c r="AV6" s="5144"/>
      <c r="AW6" s="5681"/>
      <c r="AX6" s="5681"/>
      <c r="AY6" s="5646"/>
      <c r="AZ6" s="5646"/>
      <c r="BA6" s="5646"/>
      <c r="BB6" s="5538" t="s">
        <v>3511</v>
      </c>
      <c r="BC6" s="5538" t="s">
        <v>3660</v>
      </c>
      <c r="BD6" s="5644"/>
      <c r="BE6" s="5644"/>
      <c r="BF6" s="5644"/>
      <c r="BG6" s="5538" t="s">
        <v>3511</v>
      </c>
      <c r="BH6" s="5538" t="s">
        <v>3660</v>
      </c>
      <c r="BI6" s="5644"/>
      <c r="BJ6" s="5644"/>
    </row>
    <row r="7" spans="1:62" ht="28.5" customHeight="1" x14ac:dyDescent="0.2">
      <c r="A7" s="5557"/>
      <c r="B7" s="5522"/>
      <c r="C7" s="5522"/>
      <c r="D7" s="5522"/>
      <c r="E7" s="5522"/>
      <c r="F7" s="5522"/>
      <c r="G7" s="5522"/>
      <c r="H7" s="5522"/>
      <c r="I7" s="5522"/>
      <c r="J7" s="5522"/>
      <c r="K7" s="5522"/>
      <c r="L7" s="5522"/>
      <c r="M7" s="5522"/>
      <c r="N7" s="5522"/>
      <c r="O7" s="5522"/>
      <c r="P7" s="5522"/>
      <c r="Q7" s="5522"/>
      <c r="R7" s="5522"/>
      <c r="S7" s="5522"/>
      <c r="T7" s="5522"/>
      <c r="U7" s="5522"/>
      <c r="V7" s="5522"/>
      <c r="W7" s="5522"/>
      <c r="X7" s="5522"/>
      <c r="Y7" s="5522"/>
      <c r="Z7" s="5522"/>
      <c r="AA7" s="5522"/>
      <c r="AB7" s="5522"/>
      <c r="AC7" s="5522"/>
      <c r="AD7" s="5522"/>
      <c r="AE7" s="5522"/>
      <c r="AF7" s="5522"/>
      <c r="AG7" s="5522"/>
      <c r="AH7" s="5522"/>
      <c r="AI7" s="5672"/>
      <c r="AJ7" s="5672"/>
      <c r="AK7" s="5522"/>
      <c r="AL7" s="5673"/>
      <c r="AM7" s="5672"/>
      <c r="AN7" s="5672"/>
      <c r="AO7" s="5651"/>
      <c r="AP7" s="5651"/>
      <c r="AQ7" s="5646"/>
      <c r="AR7" s="5646"/>
      <c r="AS7" s="5646"/>
      <c r="AT7" s="5651"/>
      <c r="AU7" s="5651"/>
      <c r="AV7" s="5144"/>
      <c r="AW7" s="5681"/>
      <c r="AX7" s="5681"/>
      <c r="AY7" s="5646"/>
      <c r="AZ7" s="5646"/>
      <c r="BA7" s="5646"/>
      <c r="BB7" s="5651"/>
      <c r="BC7" s="5651"/>
      <c r="BD7" s="5644"/>
      <c r="BE7" s="5644"/>
      <c r="BF7" s="5644"/>
      <c r="BG7" s="5651"/>
      <c r="BH7" s="5651"/>
      <c r="BI7" s="5644"/>
      <c r="BJ7" s="5644"/>
    </row>
    <row r="8" spans="1:62" ht="35.25" customHeight="1" x14ac:dyDescent="0.2">
      <c r="A8" s="5557"/>
      <c r="B8" s="5522"/>
      <c r="C8" s="5522"/>
      <c r="D8" s="5522"/>
      <c r="E8" s="5522"/>
      <c r="F8" s="5522"/>
      <c r="G8" s="5522"/>
      <c r="H8" s="5522"/>
      <c r="I8" s="5522"/>
      <c r="J8" s="5522"/>
      <c r="K8" s="5522"/>
      <c r="L8" s="5522"/>
      <c r="M8" s="5522"/>
      <c r="N8" s="5522"/>
      <c r="O8" s="5522"/>
      <c r="P8" s="5522"/>
      <c r="Q8" s="5522"/>
      <c r="R8" s="5522"/>
      <c r="S8" s="5522"/>
      <c r="T8" s="5522"/>
      <c r="U8" s="5522"/>
      <c r="V8" s="5522"/>
      <c r="W8" s="5522"/>
      <c r="X8" s="5522"/>
      <c r="Y8" s="5522"/>
      <c r="Z8" s="5522"/>
      <c r="AA8" s="5522"/>
      <c r="AB8" s="5522"/>
      <c r="AC8" s="5522"/>
      <c r="AD8" s="5522"/>
      <c r="AE8" s="5522"/>
      <c r="AF8" s="5522"/>
      <c r="AG8" s="5522"/>
      <c r="AH8" s="5522"/>
      <c r="AI8" s="5539"/>
      <c r="AJ8" s="5539"/>
      <c r="AK8" s="5522"/>
      <c r="AL8" s="5568"/>
      <c r="AM8" s="5539"/>
      <c r="AN8" s="5539"/>
      <c r="AO8" s="5652"/>
      <c r="AP8" s="5652"/>
      <c r="AQ8" s="5647"/>
      <c r="AR8" s="5647"/>
      <c r="AS8" s="5647"/>
      <c r="AT8" s="5652"/>
      <c r="AU8" s="5652"/>
      <c r="AV8" s="5144"/>
      <c r="AW8" s="5681"/>
      <c r="AX8" s="5681"/>
      <c r="AY8" s="5647"/>
      <c r="AZ8" s="5647"/>
      <c r="BA8" s="5647"/>
      <c r="BB8" s="5652"/>
      <c r="BC8" s="5652"/>
      <c r="BD8" s="5644"/>
      <c r="BE8" s="5644"/>
      <c r="BF8" s="5644"/>
      <c r="BG8" s="5652"/>
      <c r="BH8" s="5652"/>
      <c r="BI8" s="5644"/>
      <c r="BJ8" s="5644"/>
    </row>
    <row r="9" spans="1:62" ht="46.5" customHeight="1" x14ac:dyDescent="0.2">
      <c r="A9" s="3191" t="s">
        <v>70</v>
      </c>
      <c r="B9" s="3192">
        <v>3590.7</v>
      </c>
      <c r="C9" s="3193">
        <v>3994.1</v>
      </c>
      <c r="D9" s="1725">
        <f t="shared" ref="D9:D18" si="0">C9/B9*100</f>
        <v>111.23457821594675</v>
      </c>
      <c r="E9" s="1597">
        <v>5061.1000000000004</v>
      </c>
      <c r="F9" s="1600">
        <f>E9/C9*100</f>
        <v>126.71440374552465</v>
      </c>
      <c r="G9" s="1597">
        <v>5204.1000000000004</v>
      </c>
      <c r="H9" s="1600">
        <f>G9/E9*100</f>
        <v>102.82547272332101</v>
      </c>
      <c r="I9" s="1597">
        <v>5863.5</v>
      </c>
      <c r="J9" s="1597">
        <v>2662.2</v>
      </c>
      <c r="K9" s="1597">
        <v>3506.3</v>
      </c>
      <c r="L9" s="1597">
        <v>5246.3</v>
      </c>
      <c r="M9" s="1600">
        <f>L9/G9*100</f>
        <v>100.81089909878749</v>
      </c>
      <c r="N9" s="1597">
        <v>7305.8</v>
      </c>
      <c r="O9" s="1600">
        <f>N9/I9*100</f>
        <v>124.59793638611751</v>
      </c>
      <c r="P9" s="1597">
        <v>6279.8</v>
      </c>
      <c r="Q9" s="1600">
        <f>P9/I9*100</f>
        <v>107.09985503538842</v>
      </c>
      <c r="R9" s="1600">
        <f>P9/L9*100</f>
        <v>119.69959781179116</v>
      </c>
      <c r="S9" s="1597">
        <v>4175.6000000000004</v>
      </c>
      <c r="T9" s="1597"/>
      <c r="U9" s="1597">
        <v>5450.9</v>
      </c>
      <c r="V9" s="1597">
        <v>7339.4</v>
      </c>
      <c r="W9" s="3194">
        <f>V9/P9</f>
        <v>1.1687314882639575</v>
      </c>
      <c r="X9" s="2578">
        <f>P9*1.056</f>
        <v>6631.4688000000006</v>
      </c>
      <c r="Y9" s="2578"/>
      <c r="Z9" s="2578"/>
      <c r="AA9" s="2578">
        <v>4558.8999999999996</v>
      </c>
      <c r="AB9" s="2578">
        <v>7001.8</v>
      </c>
      <c r="AC9" s="2578">
        <f>U9*1.074*1.067</f>
        <v>6246.5024621999992</v>
      </c>
      <c r="AD9" s="3194">
        <f>AC9/X9</f>
        <v>0.94194855628363938</v>
      </c>
      <c r="AE9" s="2578">
        <v>2176.5</v>
      </c>
      <c r="AF9" s="2578">
        <v>3321.14</v>
      </c>
      <c r="AG9" s="2578">
        <f>SUM(AC9*1.1)</f>
        <v>6871.1527084199997</v>
      </c>
      <c r="AH9" s="2578">
        <f>AF9/3*4*1.074</f>
        <v>4755.87248</v>
      </c>
      <c r="AI9" s="2578">
        <v>5466</v>
      </c>
      <c r="AJ9" s="2578">
        <v>4915.54</v>
      </c>
      <c r="AK9" s="2578">
        <f>AK10*AK11*12/1000</f>
        <v>5318.6964000000007</v>
      </c>
      <c r="AL9" s="2578">
        <v>5392.82</v>
      </c>
      <c r="AM9" s="2578">
        <v>7986.52</v>
      </c>
      <c r="AN9" s="2578">
        <f>AN10*AN11*12/1000</f>
        <v>5192.5594201064687</v>
      </c>
      <c r="AO9" s="1597">
        <f>AO10*AO11*12/1000</f>
        <v>5974.5588687745021</v>
      </c>
      <c r="AP9" s="1597">
        <f>AP10*AP11*12/1000</f>
        <v>5294.8528406825662</v>
      </c>
      <c r="AQ9" s="2578">
        <v>2670.23</v>
      </c>
      <c r="AR9" s="2578">
        <v>3827.12</v>
      </c>
      <c r="AS9" s="2578">
        <v>5400.11</v>
      </c>
      <c r="AT9" s="3611">
        <f>AT10*AT11*12/1000</f>
        <v>6579.6382927685099</v>
      </c>
      <c r="AU9" s="3611">
        <f>AU10*AU11*12/1000</f>
        <v>6529.3892962464852</v>
      </c>
      <c r="AV9" s="5676" t="str">
        <f>'цех вода 2023'!AO8</f>
        <v xml:space="preserve"> </v>
      </c>
      <c r="AW9" s="5677"/>
      <c r="AX9" s="5677"/>
      <c r="AY9" s="2578">
        <v>3712.42</v>
      </c>
      <c r="AZ9" s="2578">
        <v>5391.73</v>
      </c>
      <c r="BA9" s="2578">
        <v>6999.05</v>
      </c>
      <c r="BB9" s="1597">
        <f>BB10*BB11*12/1000</f>
        <v>7918.5168690229248</v>
      </c>
      <c r="BC9" s="1597">
        <f>BC10*BC11*12/1000</f>
        <v>6911.606705337952</v>
      </c>
      <c r="BD9" s="2578">
        <v>3961.65</v>
      </c>
      <c r="BE9" s="2578">
        <v>5705.06</v>
      </c>
      <c r="BF9" s="2578">
        <v>7559.19</v>
      </c>
      <c r="BG9" s="2343">
        <f>BG10*BG11*12/1000</f>
        <v>8980.7689627485015</v>
      </c>
      <c r="BH9" s="2343">
        <f>BH10*BH11*12/1000</f>
        <v>9301.7537193350527</v>
      </c>
      <c r="BI9" s="4702">
        <v>4161.18</v>
      </c>
      <c r="BJ9" s="4702">
        <v>8041.95</v>
      </c>
    </row>
    <row r="10" spans="1:62" s="181" customFormat="1" ht="28.5" customHeight="1" x14ac:dyDescent="0.2">
      <c r="A10" s="3195" t="s">
        <v>1453</v>
      </c>
      <c r="B10" s="3196"/>
      <c r="C10" s="1725"/>
      <c r="D10" s="1725"/>
      <c r="E10" s="1600"/>
      <c r="F10" s="1600"/>
      <c r="G10" s="1600"/>
      <c r="H10" s="1600"/>
      <c r="I10" s="1600"/>
      <c r="J10" s="1600"/>
      <c r="K10" s="1600"/>
      <c r="L10" s="1600"/>
      <c r="M10" s="1600"/>
      <c r="N10" s="1600"/>
      <c r="O10" s="1600"/>
      <c r="P10" s="1600"/>
      <c r="Q10" s="1600"/>
      <c r="R10" s="1600"/>
      <c r="S10" s="1600"/>
      <c r="T10" s="1600"/>
      <c r="U10" s="1600"/>
      <c r="V10" s="1600"/>
      <c r="W10" s="3213"/>
      <c r="X10" s="2579"/>
      <c r="Y10" s="2579"/>
      <c r="Z10" s="2579"/>
      <c r="AA10" s="2579"/>
      <c r="AB10" s="2579"/>
      <c r="AC10" s="2579"/>
      <c r="AD10" s="3213"/>
      <c r="AE10" s="2579">
        <v>10</v>
      </c>
      <c r="AF10" s="2579">
        <f>AE10</f>
        <v>10</v>
      </c>
      <c r="AG10" s="2579"/>
      <c r="AH10" s="2579">
        <f>AE10</f>
        <v>10</v>
      </c>
      <c r="AI10" s="2579">
        <v>12</v>
      </c>
      <c r="AJ10" s="2579">
        <v>10</v>
      </c>
      <c r="AK10" s="2579">
        <v>10</v>
      </c>
      <c r="AL10" s="2579">
        <v>11</v>
      </c>
      <c r="AM10" s="2579">
        <v>11</v>
      </c>
      <c r="AN10" s="2579">
        <v>10</v>
      </c>
      <c r="AO10" s="1600">
        <v>11</v>
      </c>
      <c r="AP10" s="1600">
        <f>SUM(AN10)</f>
        <v>10</v>
      </c>
      <c r="AQ10" s="2579">
        <v>12</v>
      </c>
      <c r="AR10" s="2579">
        <v>12</v>
      </c>
      <c r="AS10" s="2579">
        <v>12</v>
      </c>
      <c r="AT10" s="3613">
        <v>12</v>
      </c>
      <c r="AU10" s="3613">
        <v>12</v>
      </c>
      <c r="AV10" s="5676" t="str">
        <f>'цех вода 2023'!AO9</f>
        <v>исходя из фактической численности за 2017 год</v>
      </c>
      <c r="AW10" s="5677"/>
      <c r="AX10" s="5677"/>
      <c r="AY10" s="2579">
        <v>14</v>
      </c>
      <c r="AZ10" s="2579">
        <v>14</v>
      </c>
      <c r="BA10" s="2579">
        <v>14</v>
      </c>
      <c r="BB10" s="1600">
        <v>14</v>
      </c>
      <c r="BC10" s="1600">
        <v>12</v>
      </c>
      <c r="BD10" s="2579">
        <v>15</v>
      </c>
      <c r="BE10" s="2579">
        <v>15</v>
      </c>
      <c r="BF10" s="2579">
        <v>15</v>
      </c>
      <c r="BG10" s="2345">
        <v>15</v>
      </c>
      <c r="BH10" s="2345">
        <v>14</v>
      </c>
      <c r="BI10" s="4703">
        <v>15</v>
      </c>
      <c r="BJ10" s="4703">
        <v>15</v>
      </c>
    </row>
    <row r="11" spans="1:62" s="181" customFormat="1" ht="33" customHeight="1" x14ac:dyDescent="0.2">
      <c r="A11" s="3195" t="s">
        <v>1454</v>
      </c>
      <c r="B11" s="3196"/>
      <c r="C11" s="1725"/>
      <c r="D11" s="1725"/>
      <c r="E11" s="1600"/>
      <c r="F11" s="1600"/>
      <c r="G11" s="1600"/>
      <c r="H11" s="1600"/>
      <c r="I11" s="1600"/>
      <c r="J11" s="1600"/>
      <c r="K11" s="1600"/>
      <c r="L11" s="1600"/>
      <c r="M11" s="1600"/>
      <c r="N11" s="1600"/>
      <c r="O11" s="1600"/>
      <c r="P11" s="1600"/>
      <c r="Q11" s="1600"/>
      <c r="R11" s="1600"/>
      <c r="S11" s="1600"/>
      <c r="T11" s="1600"/>
      <c r="U11" s="1600"/>
      <c r="V11" s="1600"/>
      <c r="W11" s="3213"/>
      <c r="X11" s="2579"/>
      <c r="Y11" s="2579"/>
      <c r="Z11" s="2579"/>
      <c r="AA11" s="2579"/>
      <c r="AB11" s="2579"/>
      <c r="AC11" s="2579"/>
      <c r="AD11" s="3213"/>
      <c r="AE11" s="2579">
        <f>AE9/AE10/6*1000</f>
        <v>36275</v>
      </c>
      <c r="AF11" s="2579">
        <f>AF9/AF10/9*1000</f>
        <v>36901.555555555555</v>
      </c>
      <c r="AG11" s="2579"/>
      <c r="AH11" s="2579">
        <f>AH9/AH10*1000/12</f>
        <v>39632.270666666664</v>
      </c>
      <c r="AI11" s="2579">
        <f t="shared" ref="AI11:AM11" si="1">AI9/AI10*1000/12</f>
        <v>37958.333333333336</v>
      </c>
      <c r="AJ11" s="2579">
        <f t="shared" si="1"/>
        <v>40962.833333333336</v>
      </c>
      <c r="AK11" s="2579">
        <v>44322.47</v>
      </c>
      <c r="AL11" s="2579">
        <f t="shared" ref="AL11" si="2">AL9/AL10*1000/12</f>
        <v>40854.696969696968</v>
      </c>
      <c r="AM11" s="2579">
        <f t="shared" si="1"/>
        <v>60503.939393939399</v>
      </c>
      <c r="AN11" s="1600">
        <f>AH11*0.99*1.037*0.99*1.027*1.046</f>
        <v>43271.328500887241</v>
      </c>
      <c r="AO11" s="1600">
        <f>SUM(AN11*1.046)</f>
        <v>45261.809611928053</v>
      </c>
      <c r="AP11" s="1600">
        <f>SUM(AN11*1.03)*(1-0.01)</f>
        <v>44123.77367235472</v>
      </c>
      <c r="AQ11" s="2579">
        <f>AQ9/AQ10*1000/6</f>
        <v>37086.527777777781</v>
      </c>
      <c r="AR11" s="2579">
        <f>AR9/AR10*1000/9</f>
        <v>35436.296296296299</v>
      </c>
      <c r="AS11" s="2579">
        <f t="shared" ref="AS11" si="3">AS9/AS10*1000/12</f>
        <v>37500.763888888891</v>
      </c>
      <c r="AT11" s="3613">
        <f>SUM(AP11*1.046)*(1-0.01)</f>
        <v>45691.932588670206</v>
      </c>
      <c r="AU11" s="3615">
        <f>SUM(AN11*(1+0.032)*0.99*(1+0.036)*0.99)</f>
        <v>45342.981223933923</v>
      </c>
      <c r="AV11" s="5676" t="str">
        <f>'цех вода 2023'!AO10</f>
        <v>исходя из утвержденной в тарифах на догосрочный период регулирования</v>
      </c>
      <c r="AW11" s="5677"/>
      <c r="AX11" s="5677"/>
      <c r="AY11" s="2579">
        <f>AY9/AY10*1000/6</f>
        <v>44195.476190476191</v>
      </c>
      <c r="AZ11" s="2579">
        <f>AZ9/AZ10*1000/9</f>
        <v>42791.507936507929</v>
      </c>
      <c r="BA11" s="2579">
        <f t="shared" ref="BA11" si="4">BA9/BA10*1000/12</f>
        <v>41661.011904761908</v>
      </c>
      <c r="BB11" s="1600">
        <f>SUM(AU11*1.05)*(1-0.01)</f>
        <v>47134.028982279313</v>
      </c>
      <c r="BC11" s="1600">
        <f>SUM(AN11*(1+0.034)*0.99*1.06*0.99*(1+0.043)*0.99)</f>
        <v>47997.268787069108</v>
      </c>
      <c r="BD11" s="2579">
        <f>BD9/BD10*1000/6</f>
        <v>44018.333333333336</v>
      </c>
      <c r="BE11" s="2579">
        <f>BE9/BE10*1000/9</f>
        <v>42259.703703703701</v>
      </c>
      <c r="BF11" s="2579">
        <f t="shared" ref="BF11" si="5">BF9/BF10*1000/12</f>
        <v>41995.499999999993</v>
      </c>
      <c r="BG11" s="3957">
        <f>SUM(BC11*(1+0.05)*0.99)</f>
        <v>49893.160904158343</v>
      </c>
      <c r="BH11" s="4163">
        <f>AN11*0.99*1.034*0.99*1.067*0.99*1.139*0.99*1.06</f>
        <v>55367.581662708646</v>
      </c>
      <c r="BI11" s="4703">
        <f>BI9/BI10*1000/6</f>
        <v>46235.333333333343</v>
      </c>
      <c r="BJ11" s="4703">
        <f t="shared" ref="BJ11" si="6">BJ9/BJ10*1000/12</f>
        <v>44677.5</v>
      </c>
    </row>
    <row r="12" spans="1:62" ht="41.25" customHeight="1" x14ac:dyDescent="0.2">
      <c r="A12" s="3191" t="s">
        <v>5</v>
      </c>
      <c r="B12" s="3192">
        <v>898.5</v>
      </c>
      <c r="C12" s="3193">
        <v>887.6</v>
      </c>
      <c r="D12" s="1725">
        <f t="shared" si="0"/>
        <v>98.786867000556484</v>
      </c>
      <c r="E12" s="1597">
        <v>1300.4000000000001</v>
      </c>
      <c r="F12" s="1600">
        <f t="shared" ref="F12:F45" si="7">E12/C12*100</f>
        <v>146.50743578188374</v>
      </c>
      <c r="G12" s="1597">
        <v>1722.2</v>
      </c>
      <c r="H12" s="1600">
        <f t="shared" ref="H12:H45" si="8">G12/E12*100</f>
        <v>132.4361734850815</v>
      </c>
      <c r="I12" s="1597">
        <f>I9*30.2/100</f>
        <v>1770.7769999999998</v>
      </c>
      <c r="J12" s="1597">
        <v>858</v>
      </c>
      <c r="K12" s="1597">
        <v>1052.7</v>
      </c>
      <c r="L12" s="1597">
        <v>1516.7</v>
      </c>
      <c r="M12" s="1600">
        <f t="shared" ref="M12:M45" si="9">L12/G12*100</f>
        <v>88.067587968877021</v>
      </c>
      <c r="N12" s="1597">
        <v>2206.35</v>
      </c>
      <c r="O12" s="1600">
        <f t="shared" ref="O12:O45" si="10">N12/I12*100</f>
        <v>124.59784603030195</v>
      </c>
      <c r="P12" s="1597">
        <f>P9*30.2/100</f>
        <v>1896.4995999999999</v>
      </c>
      <c r="Q12" s="1600">
        <f t="shared" ref="Q12:Q41" si="11">P12/I12*100</f>
        <v>107.09985503538842</v>
      </c>
      <c r="R12" s="1600">
        <f>P12/L12*100</f>
        <v>125.04118151249422</v>
      </c>
      <c r="S12" s="1597">
        <v>1252.8</v>
      </c>
      <c r="T12" s="1597"/>
      <c r="U12" s="1597">
        <v>1634.9</v>
      </c>
      <c r="V12" s="1597">
        <v>2216.5</v>
      </c>
      <c r="W12" s="3194">
        <f t="shared" ref="W12:W42" si="12">V12/P12</f>
        <v>1.1687321210086203</v>
      </c>
      <c r="X12" s="2578">
        <f>X9*S13</f>
        <v>1989.6312177028451</v>
      </c>
      <c r="Y12" s="2578"/>
      <c r="Z12" s="2578"/>
      <c r="AA12" s="2578">
        <v>1368.5</v>
      </c>
      <c r="AB12" s="2578">
        <v>2114.54</v>
      </c>
      <c r="AC12" s="2578">
        <f>AC9*AC13</f>
        <v>1873.5267342000002</v>
      </c>
      <c r="AD12" s="3194">
        <f t="shared" ref="AD12:AD46" si="13">AC12/X12</f>
        <v>0.9416452242657839</v>
      </c>
      <c r="AE12" s="2578">
        <v>653.79999999999995</v>
      </c>
      <c r="AF12" s="2578">
        <v>997.09</v>
      </c>
      <c r="AG12" s="2578">
        <f>SUM(AG9*AG13)</f>
        <v>2075.0881179428397</v>
      </c>
      <c r="AH12" s="2578">
        <f>AH9*AH13</f>
        <v>1427.627605097721</v>
      </c>
      <c r="AI12" s="2578">
        <v>1645.78</v>
      </c>
      <c r="AJ12" s="2578">
        <v>1479.99</v>
      </c>
      <c r="AK12" s="2578">
        <v>1596.58</v>
      </c>
      <c r="AL12" s="2578">
        <v>1622.77</v>
      </c>
      <c r="AM12" s="2578">
        <v>2399.9499999999998</v>
      </c>
      <c r="AN12" s="2578">
        <f>AN9*AM13</f>
        <v>1560.3645868644314</v>
      </c>
      <c r="AO12" s="1597">
        <f>SUM(AO9*AO13)</f>
        <v>1797.8228265510809</v>
      </c>
      <c r="AP12" s="1597">
        <f>SUM(AP9*AP13)</f>
        <v>1591.1037692256607</v>
      </c>
      <c r="AQ12" s="2578">
        <v>818.09</v>
      </c>
      <c r="AR12" s="2578">
        <v>1165.1099999999999</v>
      </c>
      <c r="AS12" s="2578">
        <v>1646.62</v>
      </c>
      <c r="AT12" s="3611">
        <f>SUM(AT9*AT13)</f>
        <v>2006.2857989260374</v>
      </c>
      <c r="AU12" s="3611">
        <f>SUM(AU9*AU13)</f>
        <v>1962.0820885099831</v>
      </c>
      <c r="AV12" s="5676" t="s">
        <v>239</v>
      </c>
      <c r="AW12" s="5677"/>
      <c r="AX12" s="5677"/>
      <c r="AY12" s="2578">
        <v>1117.92</v>
      </c>
      <c r="AZ12" s="2578">
        <v>1834.39</v>
      </c>
      <c r="BA12" s="2578">
        <v>2102.4699999999998</v>
      </c>
      <c r="BB12" s="1597">
        <f>SUM(BB9*BB13)</f>
        <v>2378.6719857144362</v>
      </c>
      <c r="BC12" s="1597">
        <f>SUM(BC9*BC13)</f>
        <v>2076.9384553567534</v>
      </c>
      <c r="BD12" s="2578">
        <v>1192.24</v>
      </c>
      <c r="BE12" s="2578">
        <v>1716.16</v>
      </c>
      <c r="BF12" s="2578">
        <v>2271.6799999999998</v>
      </c>
      <c r="BG12" s="2343">
        <f>SUM(BG9*BG13)</f>
        <v>2698.8914470064274</v>
      </c>
      <c r="BH12" s="2343">
        <f>SUM(BH9*BH13)</f>
        <v>2795.1778545246439</v>
      </c>
      <c r="BI12" s="4681">
        <v>1244.1300000000001</v>
      </c>
      <c r="BJ12" s="4681">
        <v>2345.36</v>
      </c>
    </row>
    <row r="13" spans="1:62" ht="18.75" x14ac:dyDescent="0.2">
      <c r="A13" s="3191" t="s">
        <v>308</v>
      </c>
      <c r="B13" s="3192"/>
      <c r="C13" s="3193"/>
      <c r="D13" s="1725"/>
      <c r="E13" s="1727">
        <f>E12/E9</f>
        <v>0.25694019086759795</v>
      </c>
      <c r="F13" s="1727">
        <f t="shared" ref="F13:X13" si="14">F12/F9</f>
        <v>1.1562019111584869</v>
      </c>
      <c r="G13" s="1727">
        <f t="shared" si="14"/>
        <v>0.33093138102649833</v>
      </c>
      <c r="H13" s="1727">
        <f t="shared" si="14"/>
        <v>1.2879704802470091</v>
      </c>
      <c r="I13" s="1727">
        <f t="shared" si="14"/>
        <v>0.30199999999999999</v>
      </c>
      <c r="J13" s="1727">
        <f t="shared" si="14"/>
        <v>0.32228983547441969</v>
      </c>
      <c r="K13" s="1727">
        <f t="shared" si="14"/>
        <v>0.3002310127484813</v>
      </c>
      <c r="L13" s="1727">
        <f t="shared" si="14"/>
        <v>0.28909898404589901</v>
      </c>
      <c r="M13" s="1727">
        <f t="shared" si="14"/>
        <v>0.8735919305964831</v>
      </c>
      <c r="N13" s="1727">
        <f t="shared" si="14"/>
        <v>0.30199978099592101</v>
      </c>
      <c r="O13" s="1727">
        <f t="shared" si="14"/>
        <v>0.99999927482093054</v>
      </c>
      <c r="P13" s="1727">
        <f t="shared" si="14"/>
        <v>0.30199999999999999</v>
      </c>
      <c r="Q13" s="1727">
        <f t="shared" si="14"/>
        <v>1</v>
      </c>
      <c r="R13" s="1727">
        <f t="shared" si="14"/>
        <v>1.0446249093426518</v>
      </c>
      <c r="S13" s="1727">
        <f t="shared" si="14"/>
        <v>0.30002873838490274</v>
      </c>
      <c r="T13" s="1727" t="e">
        <f>T12/T9</f>
        <v>#DIV/0!</v>
      </c>
      <c r="U13" s="1727">
        <f>U12/U9</f>
        <v>0.29993212130106961</v>
      </c>
      <c r="V13" s="1727">
        <f t="shared" si="14"/>
        <v>0.30200016350110365</v>
      </c>
      <c r="W13" s="3194">
        <f t="shared" si="12"/>
        <v>1.0000005413943829</v>
      </c>
      <c r="X13" s="1727">
        <f t="shared" si="14"/>
        <v>0.30002873838490274</v>
      </c>
      <c r="Y13" s="1727"/>
      <c r="Z13" s="1727"/>
      <c r="AA13" s="1727">
        <f>SUM(AA12/AA9)</f>
        <v>0.30018206146219484</v>
      </c>
      <c r="AB13" s="1727">
        <f>AB12/AB9</f>
        <v>0.30199948584649661</v>
      </c>
      <c r="AC13" s="1727">
        <f>U13</f>
        <v>0.29993212130106961</v>
      </c>
      <c r="AD13" s="3194">
        <f t="shared" si="13"/>
        <v>0.9996779739022561</v>
      </c>
      <c r="AE13" s="1727">
        <f t="shared" ref="AE13:AF13" si="15">SUM(AE12/AE9)</f>
        <v>0.30039053526303694</v>
      </c>
      <c r="AF13" s="1727">
        <f t="shared" si="15"/>
        <v>0.30022522386891248</v>
      </c>
      <c r="AG13" s="1727">
        <v>0.30199999999999999</v>
      </c>
      <c r="AH13" s="1727">
        <f>AA13</f>
        <v>0.30018206146219484</v>
      </c>
      <c r="AI13" s="1727">
        <f>AI12/AI9</f>
        <v>0.30109403585803146</v>
      </c>
      <c r="AJ13" s="1727">
        <f t="shared" ref="AJ13:AN13" si="16">AJ12/AJ9</f>
        <v>0.30108390939754331</v>
      </c>
      <c r="AK13" s="1727">
        <f t="shared" ref="AK13" si="17">AK12/AK9</f>
        <v>0.30018257857320069</v>
      </c>
      <c r="AL13" s="1727">
        <f t="shared" ref="AL13" si="18">AL12/AL9</f>
        <v>0.30091306589131478</v>
      </c>
      <c r="AM13" s="1727">
        <f t="shared" si="16"/>
        <v>0.30050009265612554</v>
      </c>
      <c r="AN13" s="1727">
        <f t="shared" si="16"/>
        <v>0.30050009265612554</v>
      </c>
      <c r="AO13" s="1727">
        <f>SUM(AL13)</f>
        <v>0.30091306589131478</v>
      </c>
      <c r="AP13" s="1727">
        <f>SUM(AN13)</f>
        <v>0.30050009265612554</v>
      </c>
      <c r="AQ13" s="1727">
        <f t="shared" ref="AQ13:AS13" si="19">AQ12/AQ9</f>
        <v>0.30637435726510454</v>
      </c>
      <c r="AR13" s="1727">
        <f t="shared" si="19"/>
        <v>0.30443518886264342</v>
      </c>
      <c r="AS13" s="1727">
        <f t="shared" si="19"/>
        <v>0.30492341822666574</v>
      </c>
      <c r="AT13" s="3616">
        <f>SUM(AS13)</f>
        <v>0.30492341822666574</v>
      </c>
      <c r="AU13" s="3616">
        <f>SUM(AN13)</f>
        <v>0.30050009265612554</v>
      </c>
      <c r="AV13" s="5676"/>
      <c r="AW13" s="5677"/>
      <c r="AX13" s="5677"/>
      <c r="AY13" s="1727">
        <f t="shared" ref="AY13:BA13" si="20">AY12/AY9</f>
        <v>0.30112972131385995</v>
      </c>
      <c r="AZ13" s="1727">
        <f t="shared" si="20"/>
        <v>0.3402228969180579</v>
      </c>
      <c r="BA13" s="1727">
        <f t="shared" si="20"/>
        <v>0.3003936248490866</v>
      </c>
      <c r="BB13" s="1727">
        <f>SUM(BA13)</f>
        <v>0.3003936248490866</v>
      </c>
      <c r="BC13" s="1727">
        <f>SUM(AN13)</f>
        <v>0.30050009265612554</v>
      </c>
      <c r="BD13" s="1727">
        <f t="shared" ref="BD13:BE13" si="21">BD12/BD9</f>
        <v>0.30094531319021117</v>
      </c>
      <c r="BE13" s="1727">
        <f t="shared" si="21"/>
        <v>0.30081366365997902</v>
      </c>
      <c r="BF13" s="1727">
        <f t="shared" ref="BF13" si="22">BF12/BF9</f>
        <v>0.3005189709479455</v>
      </c>
      <c r="BG13" s="2443">
        <f>SUM(BF13)</f>
        <v>0.3005189709479455</v>
      </c>
      <c r="BH13" s="2443">
        <f>SUM(AN13)</f>
        <v>0.30050009265612554</v>
      </c>
      <c r="BI13" s="4717">
        <f t="shared" ref="BI13:BJ13" si="23">BI12/BI9</f>
        <v>0.29898490332069272</v>
      </c>
      <c r="BJ13" s="4717">
        <f t="shared" si="23"/>
        <v>0.29164070903201339</v>
      </c>
    </row>
    <row r="14" spans="1:62" ht="19.5" customHeight="1" x14ac:dyDescent="0.2">
      <c r="A14" s="3191" t="s">
        <v>52</v>
      </c>
      <c r="B14" s="3192">
        <v>45.4</v>
      </c>
      <c r="C14" s="3193">
        <v>31.8</v>
      </c>
      <c r="D14" s="1725">
        <f t="shared" si="0"/>
        <v>70.044052863436121</v>
      </c>
      <c r="E14" s="1597">
        <v>39.799999999999997</v>
      </c>
      <c r="F14" s="1600">
        <f t="shared" si="7"/>
        <v>125.1572327044025</v>
      </c>
      <c r="G14" s="1597">
        <v>38.6</v>
      </c>
      <c r="H14" s="1600">
        <f t="shared" si="8"/>
        <v>96.984924623115589</v>
      </c>
      <c r="I14" s="1597">
        <v>44.2</v>
      </c>
      <c r="J14" s="1597">
        <v>17.899999999999999</v>
      </c>
      <c r="K14" s="1597">
        <v>38.1</v>
      </c>
      <c r="L14" s="1597">
        <v>39.4</v>
      </c>
      <c r="M14" s="1600">
        <f t="shared" si="9"/>
        <v>102.07253886010361</v>
      </c>
      <c r="N14" s="1597">
        <v>48.62</v>
      </c>
      <c r="O14" s="1600">
        <f t="shared" si="10"/>
        <v>109.99999999999999</v>
      </c>
      <c r="P14" s="1597">
        <v>46.4</v>
      </c>
      <c r="Q14" s="1600">
        <f t="shared" si="11"/>
        <v>104.97737556561084</v>
      </c>
      <c r="R14" s="1600">
        <f>P14/L14*100</f>
        <v>117.76649746192894</v>
      </c>
      <c r="S14" s="1597">
        <v>32.9</v>
      </c>
      <c r="T14" s="1597"/>
      <c r="U14" s="1597">
        <v>43.5</v>
      </c>
      <c r="V14" s="1597">
        <v>50.82</v>
      </c>
      <c r="W14" s="3194">
        <f t="shared" si="12"/>
        <v>1.0952586206896553</v>
      </c>
      <c r="X14" s="2578">
        <f>P14*1.048</f>
        <v>48.627200000000002</v>
      </c>
      <c r="Y14" s="2578"/>
      <c r="Z14" s="2578"/>
      <c r="AA14" s="2578">
        <v>35.1</v>
      </c>
      <c r="AB14" s="2578">
        <v>53.148000000000003</v>
      </c>
      <c r="AC14" s="2578">
        <f>X14*1.076</f>
        <v>52.322867200000005</v>
      </c>
      <c r="AD14" s="3194">
        <f t="shared" si="13"/>
        <v>1.0760000000000001</v>
      </c>
      <c r="AE14" s="2578">
        <v>22.87</v>
      </c>
      <c r="AF14" s="2578">
        <v>36.43</v>
      </c>
      <c r="AG14" s="2578">
        <f>SUM(AC14*1.1)</f>
        <v>57.555153920000009</v>
      </c>
      <c r="AH14" s="2578">
        <f>AG14</f>
        <v>57.555153920000009</v>
      </c>
      <c r="AI14" s="2578">
        <v>49.68</v>
      </c>
      <c r="AJ14" s="2578">
        <v>39.72</v>
      </c>
      <c r="AK14" s="2578">
        <v>64.37</v>
      </c>
      <c r="AL14" s="2578">
        <v>79.14</v>
      </c>
      <c r="AM14" s="2578">
        <v>66.3</v>
      </c>
      <c r="AN14" s="2578">
        <f>AM14</f>
        <v>66.3</v>
      </c>
      <c r="AO14" s="1597">
        <f>SUM(AL14*1.046)</f>
        <v>82.780439999999999</v>
      </c>
      <c r="AP14" s="1597">
        <f>SUM(AN14*1.03)*(1-0.01)</f>
        <v>67.606110000000001</v>
      </c>
      <c r="AQ14" s="2578">
        <v>59.59</v>
      </c>
      <c r="AR14" s="2578">
        <v>108.51</v>
      </c>
      <c r="AS14" s="2578">
        <v>151.79</v>
      </c>
      <c r="AT14" s="3611">
        <f>SUM(AS14*1.046)*(1-0.01)</f>
        <v>157.1846166</v>
      </c>
      <c r="AU14" s="3615">
        <v>180.36</v>
      </c>
      <c r="AV14" s="5676" t="s">
        <v>2054</v>
      </c>
      <c r="AW14" s="5677"/>
      <c r="AX14" s="5677"/>
      <c r="AY14" s="2578">
        <v>87.31</v>
      </c>
      <c r="AZ14" s="2578">
        <v>130.74</v>
      </c>
      <c r="BA14" s="2578">
        <v>173.81</v>
      </c>
      <c r="BB14" s="1597">
        <f>SUM(AU14*1.05)*(1-0.01)</f>
        <v>187.48422000000002</v>
      </c>
      <c r="BC14" s="3204">
        <f>SUM(AU14*1.06*0.99*(1+0.043)*0.99)</f>
        <v>195.43430086488002</v>
      </c>
      <c r="BD14" s="2578">
        <v>85.54</v>
      </c>
      <c r="BE14" s="2578">
        <v>128.79</v>
      </c>
      <c r="BF14" s="2578">
        <v>172.72</v>
      </c>
      <c r="BG14" s="3209">
        <f>SUM(BC14*(1+0.05)*0.99)</f>
        <v>203.15395574904278</v>
      </c>
      <c r="BH14" s="4163">
        <v>203.15</v>
      </c>
      <c r="BI14" s="4702">
        <v>88.15</v>
      </c>
      <c r="BJ14" s="4702">
        <v>196.76</v>
      </c>
    </row>
    <row r="15" spans="1:62" ht="40.5" customHeight="1" x14ac:dyDescent="0.2">
      <c r="A15" s="3191" t="s">
        <v>31</v>
      </c>
      <c r="B15" s="3192">
        <v>644.5</v>
      </c>
      <c r="C15" s="3193">
        <v>514</v>
      </c>
      <c r="D15" s="1725">
        <f t="shared" si="0"/>
        <v>79.751745539177648</v>
      </c>
      <c r="E15" s="1597">
        <v>579.70000000000005</v>
      </c>
      <c r="F15" s="1600">
        <f t="shared" si="7"/>
        <v>112.78210116731518</v>
      </c>
      <c r="G15" s="1597">
        <v>612.70000000000005</v>
      </c>
      <c r="H15" s="1600">
        <f t="shared" si="8"/>
        <v>105.69259962049335</v>
      </c>
      <c r="I15" s="1597">
        <v>587</v>
      </c>
      <c r="J15" s="1597">
        <v>290.39999999999998</v>
      </c>
      <c r="K15" s="1597">
        <v>517.5</v>
      </c>
      <c r="L15" s="1597">
        <v>750.9</v>
      </c>
      <c r="M15" s="1600">
        <f t="shared" si="9"/>
        <v>122.5559001142484</v>
      </c>
      <c r="N15" s="1597">
        <v>682</v>
      </c>
      <c r="O15" s="1600">
        <f t="shared" si="10"/>
        <v>116.1839863713799</v>
      </c>
      <c r="P15" s="1597">
        <v>650.4</v>
      </c>
      <c r="Q15" s="1600">
        <f t="shared" si="11"/>
        <v>110.8006814310051</v>
      </c>
      <c r="R15" s="1600">
        <f>P15/L15*100</f>
        <v>86.616060727127447</v>
      </c>
      <c r="S15" s="1597">
        <v>668.6</v>
      </c>
      <c r="T15" s="1597"/>
      <c r="U15" s="1597">
        <v>837.1</v>
      </c>
      <c r="V15" s="1597">
        <v>867.3</v>
      </c>
      <c r="W15" s="3194">
        <f t="shared" si="12"/>
        <v>1.3334870848708487</v>
      </c>
      <c r="X15" s="2578">
        <f>P15*1.03</f>
        <v>669.91200000000003</v>
      </c>
      <c r="Y15" s="2578"/>
      <c r="Z15" s="2578"/>
      <c r="AA15" s="2578">
        <v>594.9</v>
      </c>
      <c r="AB15" s="2578">
        <v>824.4</v>
      </c>
      <c r="AC15" s="2578">
        <f>AB15</f>
        <v>824.4</v>
      </c>
      <c r="AD15" s="3194">
        <f t="shared" si="13"/>
        <v>1.2306093934725755</v>
      </c>
      <c r="AE15" s="2578">
        <v>286.11</v>
      </c>
      <c r="AF15" s="2578">
        <v>440.35</v>
      </c>
      <c r="AG15" s="2578">
        <f>SUM(AC15*1.1)</f>
        <v>906.84</v>
      </c>
      <c r="AH15" s="2578">
        <f>AA15*1.044*1.033</f>
        <v>641.57109479999997</v>
      </c>
      <c r="AI15" s="2578">
        <v>707.5</v>
      </c>
      <c r="AJ15" s="2578">
        <v>790.73</v>
      </c>
      <c r="AK15" s="2578">
        <v>717.5</v>
      </c>
      <c r="AL15" s="2578">
        <v>1155.2</v>
      </c>
      <c r="AM15" s="2578">
        <v>739.02</v>
      </c>
      <c r="AN15" s="1597">
        <f>AM15</f>
        <v>739.02</v>
      </c>
      <c r="AO15" s="1597">
        <f>SUM(AL15*1.046)</f>
        <v>1208.3392000000001</v>
      </c>
      <c r="AP15" s="1597">
        <f t="shared" ref="AP15:AP44" si="24">SUM(AN15*1.03)*(1-0.01)</f>
        <v>753.57869400000004</v>
      </c>
      <c r="AQ15" s="1597">
        <v>823.41</v>
      </c>
      <c r="AR15" s="1597">
        <v>1160.71</v>
      </c>
      <c r="AS15" s="1597">
        <v>1426.98</v>
      </c>
      <c r="AT15" s="3611">
        <f>SUM(AS15*1.046)*(1-0.01)</f>
        <v>1477.6948692000001</v>
      </c>
      <c r="AU15" s="3615">
        <v>1478.35</v>
      </c>
      <c r="AV15" s="5676" t="s">
        <v>2054</v>
      </c>
      <c r="AW15" s="5677"/>
      <c r="AX15" s="5677"/>
      <c r="AY15" s="1597">
        <v>574.70000000000005</v>
      </c>
      <c r="AZ15" s="1597">
        <v>811.75</v>
      </c>
      <c r="BA15" s="1597">
        <v>1900.54</v>
      </c>
      <c r="BB15" s="1597">
        <f>SUM(BA15*1.05)*(1-0.01)</f>
        <v>1975.61133</v>
      </c>
      <c r="BC15" s="3204">
        <f>SUM(BA15*1.06*0.99*(1+0.043)*0.99)</f>
        <v>2059.3851528373198</v>
      </c>
      <c r="BD15" s="1597">
        <v>948.62</v>
      </c>
      <c r="BE15" s="1597">
        <v>1423.16</v>
      </c>
      <c r="BF15" s="1597">
        <v>1891.54</v>
      </c>
      <c r="BG15" s="3209">
        <f t="shared" ref="BG15:BG16" si="25">SUM(BC15*(1+0.05)*0.99)</f>
        <v>2140.7308663743938</v>
      </c>
      <c r="BH15" s="4163">
        <v>2140.73</v>
      </c>
      <c r="BI15" s="4681">
        <v>870.63</v>
      </c>
      <c r="BJ15" s="4681">
        <v>1563.83</v>
      </c>
    </row>
    <row r="16" spans="1:62" ht="18.75" customHeight="1" x14ac:dyDescent="0.2">
      <c r="A16" s="3191" t="s">
        <v>69</v>
      </c>
      <c r="B16" s="3192">
        <v>17.3</v>
      </c>
      <c r="C16" s="3193">
        <v>13.5</v>
      </c>
      <c r="D16" s="1725">
        <f t="shared" si="0"/>
        <v>78.034682080924853</v>
      </c>
      <c r="E16" s="1597">
        <v>28.4</v>
      </c>
      <c r="F16" s="1600">
        <f t="shared" si="7"/>
        <v>210.37037037037035</v>
      </c>
      <c r="G16" s="1597">
        <v>20</v>
      </c>
      <c r="H16" s="1600">
        <f t="shared" si="8"/>
        <v>70.422535211267615</v>
      </c>
      <c r="I16" s="1597">
        <v>19.5</v>
      </c>
      <c r="J16" s="1597">
        <v>10.199999999999999</v>
      </c>
      <c r="K16" s="1597">
        <v>50.4</v>
      </c>
      <c r="L16" s="1597">
        <v>93.1</v>
      </c>
      <c r="M16" s="1600">
        <f t="shared" si="9"/>
        <v>465.49999999999994</v>
      </c>
      <c r="N16" s="1597">
        <v>21.78</v>
      </c>
      <c r="O16" s="1600">
        <f t="shared" si="10"/>
        <v>111.69230769230769</v>
      </c>
      <c r="P16" s="1597">
        <v>20.5</v>
      </c>
      <c r="Q16" s="1600">
        <f t="shared" si="11"/>
        <v>105.12820512820514</v>
      </c>
      <c r="R16" s="1600">
        <f>P16/L16*100</f>
        <v>22.019334049409238</v>
      </c>
      <c r="S16" s="1597">
        <v>72.400000000000006</v>
      </c>
      <c r="T16" s="1597"/>
      <c r="U16" s="1597">
        <f>96.4+14.5</f>
        <v>110.9</v>
      </c>
      <c r="V16" s="1597">
        <v>103.3</v>
      </c>
      <c r="W16" s="3194">
        <f t="shared" si="12"/>
        <v>5.0390243902439025</v>
      </c>
      <c r="X16" s="2578">
        <f>P16*1.048</f>
        <v>21.484000000000002</v>
      </c>
      <c r="Y16" s="2578"/>
      <c r="Z16" s="2578"/>
      <c r="AA16" s="2578">
        <v>90.9</v>
      </c>
      <c r="AB16" s="2578">
        <f>90.072+14.5</f>
        <v>104.572</v>
      </c>
      <c r="AC16" s="2578">
        <f>AB16</f>
        <v>104.572</v>
      </c>
      <c r="AD16" s="3194">
        <f t="shared" si="13"/>
        <v>4.8674362316142243</v>
      </c>
      <c r="AE16" s="2578">
        <v>44.31</v>
      </c>
      <c r="AF16" s="2578">
        <v>52.63</v>
      </c>
      <c r="AG16" s="2578">
        <f>SUM(AC16*1.1)</f>
        <v>115.02920000000002</v>
      </c>
      <c r="AH16" s="2578">
        <f>AE16*2*1.062</f>
        <v>94.114440000000016</v>
      </c>
      <c r="AI16" s="2578">
        <v>78.150000000000006</v>
      </c>
      <c r="AJ16" s="2578">
        <v>66.77</v>
      </c>
      <c r="AK16" s="2578">
        <v>105.25</v>
      </c>
      <c r="AL16" s="2578">
        <v>69.58</v>
      </c>
      <c r="AM16" s="2578">
        <v>108.41</v>
      </c>
      <c r="AN16" s="2578">
        <f>AM16</f>
        <v>108.41</v>
      </c>
      <c r="AO16" s="1597">
        <f>SUM(AN16*1.046)</f>
        <v>113.39686</v>
      </c>
      <c r="AP16" s="1597">
        <f t="shared" si="24"/>
        <v>110.545677</v>
      </c>
      <c r="AQ16" s="2578">
        <v>45.24</v>
      </c>
      <c r="AR16" s="2578">
        <v>68.62</v>
      </c>
      <c r="AS16" s="2578">
        <v>91.7</v>
      </c>
      <c r="AT16" s="3611">
        <f>SUM(AP16*1.046)*(1-0.01)</f>
        <v>114.47447036058</v>
      </c>
      <c r="AU16" s="3615">
        <f t="shared" ref="AU16" si="26">SUM(AN16*(1+0.032)*0.99*(1+0.036)*0.99)</f>
        <v>113.600223630432</v>
      </c>
      <c r="AV16" s="5667" t="s">
        <v>2054</v>
      </c>
      <c r="AW16" s="5668"/>
      <c r="AX16" s="5668"/>
      <c r="AY16" s="2578">
        <v>42.76</v>
      </c>
      <c r="AZ16" s="2578">
        <v>61.83</v>
      </c>
      <c r="BA16" s="2578">
        <v>81.2</v>
      </c>
      <c r="BB16" s="1597">
        <f>SUM(AU16*1.05)*(1-0.01)</f>
        <v>118.08743246383406</v>
      </c>
      <c r="BC16" s="3204">
        <f>SUM(AN16*(1+0.034)*0.99*1.06*0.99*(1+0.043)*0.99)</f>
        <v>120.2501538426182</v>
      </c>
      <c r="BD16" s="2578">
        <v>35.72</v>
      </c>
      <c r="BE16" s="2578">
        <v>54.79</v>
      </c>
      <c r="BF16" s="2578">
        <v>77.34</v>
      </c>
      <c r="BG16" s="3209">
        <f t="shared" si="25"/>
        <v>125.00003491940163</v>
      </c>
      <c r="BH16" s="4163">
        <f>AN16*0.99*1.034*0.99*1.067*0.99*1.139*0.99*1.06</f>
        <v>138.71539737753073</v>
      </c>
      <c r="BI16" s="4702">
        <v>36.9</v>
      </c>
      <c r="BJ16" s="4702">
        <v>86.87</v>
      </c>
    </row>
    <row r="17" spans="1:62" ht="42.75" hidden="1" customHeight="1" x14ac:dyDescent="0.2">
      <c r="A17" s="3214" t="s">
        <v>982</v>
      </c>
      <c r="B17" s="3192"/>
      <c r="C17" s="3193"/>
      <c r="D17" s="1725"/>
      <c r="E17" s="1597"/>
      <c r="F17" s="1600"/>
      <c r="G17" s="1597"/>
      <c r="H17" s="1600"/>
      <c r="I17" s="1597"/>
      <c r="J17" s="1597"/>
      <c r="K17" s="1597"/>
      <c r="L17" s="1597"/>
      <c r="M17" s="1600"/>
      <c r="N17" s="1597"/>
      <c r="O17" s="1600"/>
      <c r="P17" s="1597"/>
      <c r="Q17" s="1600"/>
      <c r="R17" s="1600"/>
      <c r="S17" s="1597"/>
      <c r="T17" s="1597"/>
      <c r="U17" s="1597"/>
      <c r="V17" s="1597"/>
      <c r="W17" s="3194"/>
      <c r="X17" s="2578"/>
      <c r="Y17" s="2578"/>
      <c r="Z17" s="2578"/>
      <c r="AA17" s="2578"/>
      <c r="AB17" s="2578"/>
      <c r="AC17" s="2578"/>
      <c r="AD17" s="3194"/>
      <c r="AE17" s="2578"/>
      <c r="AF17" s="2578">
        <v>206.8</v>
      </c>
      <c r="AG17" s="2578"/>
      <c r="AH17" s="2578"/>
      <c r="AI17" s="2578">
        <v>0</v>
      </c>
      <c r="AJ17" s="2578">
        <v>0</v>
      </c>
      <c r="AK17" s="2578">
        <v>0</v>
      </c>
      <c r="AL17" s="2578">
        <v>0</v>
      </c>
      <c r="AM17" s="2578">
        <v>0</v>
      </c>
      <c r="AN17" s="2578">
        <v>0</v>
      </c>
      <c r="AO17" s="3215">
        <v>0</v>
      </c>
      <c r="AP17" s="1597">
        <f t="shared" si="24"/>
        <v>0</v>
      </c>
      <c r="AQ17" s="2582">
        <v>0</v>
      </c>
      <c r="AR17" s="2582">
        <v>0</v>
      </c>
      <c r="AS17" s="2578">
        <v>0</v>
      </c>
      <c r="AT17" s="3617">
        <v>0</v>
      </c>
      <c r="AU17" s="3617">
        <v>0</v>
      </c>
      <c r="AV17" s="5678"/>
      <c r="AW17" s="5679"/>
      <c r="AX17" s="5680"/>
      <c r="AY17" s="2582">
        <v>0</v>
      </c>
      <c r="AZ17" s="2582">
        <v>0</v>
      </c>
      <c r="BA17" s="2578">
        <v>0</v>
      </c>
      <c r="BB17" s="3215">
        <v>0</v>
      </c>
      <c r="BC17" s="3215">
        <v>0</v>
      </c>
      <c r="BD17" s="2578">
        <v>0</v>
      </c>
      <c r="BE17" s="2578">
        <v>0</v>
      </c>
      <c r="BF17" s="2578">
        <v>0</v>
      </c>
      <c r="BG17" s="2699">
        <v>0</v>
      </c>
      <c r="BH17" s="2343"/>
      <c r="BI17" s="4702">
        <v>0</v>
      </c>
      <c r="BJ17" s="4702">
        <v>0</v>
      </c>
    </row>
    <row r="18" spans="1:62" ht="18.75" x14ac:dyDescent="0.2">
      <c r="A18" s="3191" t="s">
        <v>836</v>
      </c>
      <c r="B18" s="3192">
        <f>SUM(B19:B23)</f>
        <v>471.59999999999997</v>
      </c>
      <c r="C18" s="3193">
        <f>SUM(C19:C23)</f>
        <v>352.20000000000005</v>
      </c>
      <c r="D18" s="1725">
        <f t="shared" si="0"/>
        <v>74.681933842239204</v>
      </c>
      <c r="E18" s="1597">
        <f>SUM(E19:E23)</f>
        <v>471.29999999999995</v>
      </c>
      <c r="F18" s="1597">
        <f>SUM(F19:F23)</f>
        <v>530.71550893713459</v>
      </c>
      <c r="G18" s="1597">
        <f>SUM(G19:G23)</f>
        <v>454.09999999999997</v>
      </c>
      <c r="H18" s="1600">
        <f t="shared" si="8"/>
        <v>96.350519838743892</v>
      </c>
      <c r="I18" s="1597">
        <f>SUM(I19:I22)</f>
        <v>453.5</v>
      </c>
      <c r="J18" s="1597">
        <f>SUM(J19:J23)</f>
        <v>283.89999999999998</v>
      </c>
      <c r="K18" s="1597">
        <f>SUM(K19:K23)</f>
        <v>296.89999999999998</v>
      </c>
      <c r="L18" s="1597">
        <f>SUM(L19:L23)</f>
        <v>549.20000000000005</v>
      </c>
      <c r="M18" s="1600">
        <f t="shared" si="9"/>
        <v>120.94252367319976</v>
      </c>
      <c r="N18" s="1597">
        <f>SUM(N19:N23)</f>
        <v>577.11</v>
      </c>
      <c r="O18" s="1600">
        <f t="shared" si="10"/>
        <v>127.25689084895259</v>
      </c>
      <c r="P18" s="1597">
        <f t="shared" ref="P18:V18" si="27">SUM(P19:P22)</f>
        <v>537.5</v>
      </c>
      <c r="Q18" s="1597">
        <f t="shared" si="27"/>
        <v>446.08399155210333</v>
      </c>
      <c r="R18" s="1597">
        <f t="shared" si="27"/>
        <v>422.88989770621242</v>
      </c>
      <c r="S18" s="1597">
        <f t="shared" si="27"/>
        <v>277.40000000000003</v>
      </c>
      <c r="T18" s="1597">
        <f t="shared" si="27"/>
        <v>0</v>
      </c>
      <c r="U18" s="1597">
        <f t="shared" si="27"/>
        <v>412.7</v>
      </c>
      <c r="V18" s="1597">
        <f t="shared" si="27"/>
        <v>771.33999999999992</v>
      </c>
      <c r="W18" s="3194">
        <f t="shared" si="12"/>
        <v>1.4350511627906974</v>
      </c>
      <c r="X18" s="1597">
        <f>SUM(X19:X22)</f>
        <v>434.14643333333339</v>
      </c>
      <c r="Y18" s="1597"/>
      <c r="Z18" s="1597"/>
      <c r="AA18" s="1597">
        <f>SUM(AA19:AA22)</f>
        <v>437.90000000000003</v>
      </c>
      <c r="AB18" s="1597">
        <f>SUM(AB19:AB22)</f>
        <v>511.51799999999997</v>
      </c>
      <c r="AC18" s="1597">
        <f>SUM(AC19:AC22)</f>
        <v>457.87871249999995</v>
      </c>
      <c r="AD18" s="3194">
        <f t="shared" si="13"/>
        <v>1.0546642269624387</v>
      </c>
      <c r="AE18" s="1597">
        <f t="shared" ref="AE18:AF18" si="28">SUM(AE19:AE22)</f>
        <v>214.23999999999998</v>
      </c>
      <c r="AF18" s="1597">
        <f t="shared" si="28"/>
        <v>237</v>
      </c>
      <c r="AG18" s="1597">
        <f t="shared" ref="AG18" si="29">SUM(AG19:AG22)</f>
        <v>513.89349000000016</v>
      </c>
      <c r="AH18" s="1597">
        <f t="shared" ref="AH18:AS18" si="30">SUM(AH19:AH22)</f>
        <v>486.57128000000006</v>
      </c>
      <c r="AI18" s="1597">
        <f t="shared" si="30"/>
        <v>491.28999999999996</v>
      </c>
      <c r="AJ18" s="1597">
        <f t="shared" si="30"/>
        <v>458.75000000000006</v>
      </c>
      <c r="AK18" s="1597">
        <f t="shared" ref="AK18" si="31">SUM(AK19:AK22)</f>
        <v>542.42000000000007</v>
      </c>
      <c r="AL18" s="1597">
        <f t="shared" ref="AL18" si="32">SUM(AL19:AL22)</f>
        <v>735.24</v>
      </c>
      <c r="AM18" s="1597">
        <f t="shared" si="30"/>
        <v>564.03</v>
      </c>
      <c r="AN18" s="1597">
        <f t="shared" si="30"/>
        <v>564.03</v>
      </c>
      <c r="AO18" s="1597">
        <f t="shared" si="30"/>
        <v>793.13996000000009</v>
      </c>
      <c r="AP18" s="1597">
        <f t="shared" si="30"/>
        <v>575.141391</v>
      </c>
      <c r="AQ18" s="1597">
        <f t="shared" si="30"/>
        <v>896.20999999999992</v>
      </c>
      <c r="AR18" s="1597">
        <f t="shared" si="30"/>
        <v>934.86</v>
      </c>
      <c r="AS18" s="1597">
        <f t="shared" si="30"/>
        <v>1112.24</v>
      </c>
      <c r="AT18" s="3611">
        <f t="shared" ref="AT18" si="33">SUM(AT19:AT22)</f>
        <v>1157.39717053554</v>
      </c>
      <c r="AU18" s="3611">
        <f t="shared" ref="AU18" si="34">SUM(AU19:AU22)</f>
        <v>1104.4833527485762</v>
      </c>
      <c r="AV18" s="5667" t="s">
        <v>2054</v>
      </c>
      <c r="AW18" s="5668"/>
      <c r="AX18" s="5668"/>
      <c r="AY18" s="1597">
        <f t="shared" ref="AY18:BC18" si="35">SUM(AY19:AY22)</f>
        <v>357.03999999999996</v>
      </c>
      <c r="AZ18" s="1597">
        <f t="shared" si="35"/>
        <v>418.8</v>
      </c>
      <c r="BA18" s="1597">
        <f t="shared" si="35"/>
        <v>599.85</v>
      </c>
      <c r="BB18" s="1597">
        <f t="shared" si="35"/>
        <v>1165.7942379622011</v>
      </c>
      <c r="BC18" s="1597">
        <f t="shared" si="35"/>
        <v>1187.3058169908993</v>
      </c>
      <c r="BD18" s="1597">
        <f t="shared" ref="BD18:BE18" si="36">SUM(BD19:BD22)</f>
        <v>502.75</v>
      </c>
      <c r="BE18" s="1597">
        <f t="shared" si="36"/>
        <v>589.77</v>
      </c>
      <c r="BF18" s="1597">
        <f t="shared" ref="BF18:BG18" si="37">SUM(BF19:BF22)</f>
        <v>867.82999999999993</v>
      </c>
      <c r="BG18" s="2343">
        <f t="shared" si="37"/>
        <v>1234.20439676204</v>
      </c>
      <c r="BH18" s="2343">
        <f t="shared" ref="BH18:BJ18" si="38">SUM(BH19:BH22)</f>
        <v>1398.2999711098814</v>
      </c>
      <c r="BI18" s="4681">
        <f t="shared" ref="BI18" si="39">SUM(BI19:BI22)</f>
        <v>478.37</v>
      </c>
      <c r="BJ18" s="4681">
        <f t="shared" si="38"/>
        <v>1078.08</v>
      </c>
    </row>
    <row r="19" spans="1:62" ht="42.75" customHeight="1" x14ac:dyDescent="0.2">
      <c r="A19" s="3195" t="s">
        <v>3642</v>
      </c>
      <c r="B19" s="3196">
        <v>272.89999999999998</v>
      </c>
      <c r="C19" s="1725">
        <v>192.5</v>
      </c>
      <c r="D19" s="1725">
        <f>C19/B19*100</f>
        <v>70.538658849395389</v>
      </c>
      <c r="E19" s="1600">
        <v>235.4</v>
      </c>
      <c r="F19" s="1600">
        <f t="shared" si="7"/>
        <v>122.28571428571429</v>
      </c>
      <c r="G19" s="1600">
        <v>255.7</v>
      </c>
      <c r="H19" s="1600">
        <f t="shared" si="8"/>
        <v>108.62361937128291</v>
      </c>
      <c r="I19" s="1597">
        <v>242.8</v>
      </c>
      <c r="J19" s="1600">
        <v>165.5</v>
      </c>
      <c r="K19" s="1600">
        <v>165.8</v>
      </c>
      <c r="L19" s="1600">
        <v>266.2</v>
      </c>
      <c r="M19" s="1600">
        <f t="shared" si="9"/>
        <v>104.10637465780211</v>
      </c>
      <c r="N19" s="1600">
        <v>338.3</v>
      </c>
      <c r="O19" s="1600">
        <f t="shared" si="10"/>
        <v>139.332784184514</v>
      </c>
      <c r="P19" s="1597">
        <v>309.89999999999998</v>
      </c>
      <c r="Q19" s="1600">
        <f t="shared" si="11"/>
        <v>127.63591433278417</v>
      </c>
      <c r="R19" s="1600">
        <f>P19/L19*100</f>
        <v>116.41622839969948</v>
      </c>
      <c r="S19" s="1597">
        <v>175</v>
      </c>
      <c r="T19" s="1597"/>
      <c r="U19" s="1597">
        <v>275.7</v>
      </c>
      <c r="V19" s="1597">
        <v>465.7</v>
      </c>
      <c r="W19" s="3194">
        <f t="shared" si="12"/>
        <v>1.5027428202646016</v>
      </c>
      <c r="X19" s="2578">
        <f>S19/6*9*1.015</f>
        <v>266.4375</v>
      </c>
      <c r="Y19" s="2578"/>
      <c r="Z19" s="2578"/>
      <c r="AA19" s="2578">
        <v>282.60000000000002</v>
      </c>
      <c r="AB19" s="2578">
        <v>328.8</v>
      </c>
      <c r="AC19" s="2578">
        <f>X19*1.035</f>
        <v>275.7628125</v>
      </c>
      <c r="AD19" s="3194">
        <f t="shared" si="13"/>
        <v>1.0349999999999999</v>
      </c>
      <c r="AE19" s="2578">
        <v>175.2</v>
      </c>
      <c r="AF19" s="2578">
        <v>179.53</v>
      </c>
      <c r="AG19" s="2578">
        <f>SUM(AA19*1.1)</f>
        <v>310.86000000000007</v>
      </c>
      <c r="AH19" s="2578">
        <f>AG19</f>
        <v>310.86000000000007</v>
      </c>
      <c r="AI19" s="2578">
        <v>324.56</v>
      </c>
      <c r="AJ19" s="2578">
        <v>327.06</v>
      </c>
      <c r="AK19" s="2578">
        <v>345.92</v>
      </c>
      <c r="AL19" s="2578">
        <v>354.85</v>
      </c>
      <c r="AM19" s="2578">
        <v>356.3</v>
      </c>
      <c r="AN19" s="1597">
        <f>AM19</f>
        <v>356.3</v>
      </c>
      <c r="AO19" s="1597">
        <f>SUM(AN19*1.046)</f>
        <v>372.68980000000005</v>
      </c>
      <c r="AP19" s="1597">
        <f t="shared" si="24"/>
        <v>363.31911000000002</v>
      </c>
      <c r="AQ19" s="1597">
        <v>259.06</v>
      </c>
      <c r="AR19" s="1597">
        <v>270.69</v>
      </c>
      <c r="AS19" s="1597">
        <v>411.91</v>
      </c>
      <c r="AT19" s="3611">
        <f>SUM(AS19*1.046)*(1-0.01)</f>
        <v>426.54928140000004</v>
      </c>
      <c r="AU19" s="3615">
        <f t="shared" ref="AU19:AU44" si="40">SUM(AN19*(1+0.032)*0.99*(1+0.036)*0.99)</f>
        <v>373.35817433376008</v>
      </c>
      <c r="AV19" s="5667" t="s">
        <v>2054</v>
      </c>
      <c r="AW19" s="5668"/>
      <c r="AX19" s="5668"/>
      <c r="AY19" s="1597">
        <v>234.68</v>
      </c>
      <c r="AZ19" s="1597">
        <v>244.79</v>
      </c>
      <c r="BA19" s="1597">
        <v>390.37</v>
      </c>
      <c r="BB19" s="1597">
        <f>SUM(BA19*1.05)*(1-0.01)</f>
        <v>405.78961500000003</v>
      </c>
      <c r="BC19" s="3204">
        <f t="shared" ref="BC19:BC20" si="41">SUM(AN19*(1+0.034)*0.99*1.06*0.99*(1+0.043)*0.99)</f>
        <v>395.21381619891963</v>
      </c>
      <c r="BD19" s="1597">
        <v>312.26</v>
      </c>
      <c r="BE19" s="1597">
        <v>330.87</v>
      </c>
      <c r="BF19" s="1597">
        <v>498.77</v>
      </c>
      <c r="BG19" s="3209">
        <f t="shared" ref="BG19:BG44" si="42">SUM(BC19*(1+0.05)*0.99)</f>
        <v>410.82476193877699</v>
      </c>
      <c r="BH19" s="4163">
        <v>574.24</v>
      </c>
      <c r="BI19" s="4681">
        <v>317.63</v>
      </c>
      <c r="BJ19" s="4681">
        <v>505.79</v>
      </c>
    </row>
    <row r="20" spans="1:62" ht="42.75" customHeight="1" x14ac:dyDescent="0.2">
      <c r="A20" s="3195" t="s">
        <v>545</v>
      </c>
      <c r="B20" s="3196">
        <v>12</v>
      </c>
      <c r="C20" s="1725">
        <v>13.2</v>
      </c>
      <c r="D20" s="1725">
        <f>C20/B20*100</f>
        <v>109.99999999999999</v>
      </c>
      <c r="E20" s="1600">
        <v>15.2</v>
      </c>
      <c r="F20" s="1600">
        <f t="shared" si="7"/>
        <v>115.15151515151516</v>
      </c>
      <c r="G20" s="1600">
        <v>16.399999999999999</v>
      </c>
      <c r="H20" s="1600">
        <f t="shared" si="8"/>
        <v>107.89473684210526</v>
      </c>
      <c r="I20" s="1597">
        <v>16.3</v>
      </c>
      <c r="J20" s="1600">
        <v>8.4</v>
      </c>
      <c r="K20" s="1600">
        <v>13.5</v>
      </c>
      <c r="L20" s="1600">
        <v>17.8</v>
      </c>
      <c r="M20" s="1600">
        <f t="shared" si="9"/>
        <v>108.53658536585367</v>
      </c>
      <c r="N20" s="1600">
        <v>17.93</v>
      </c>
      <c r="O20" s="1600">
        <f t="shared" si="10"/>
        <v>109.99999999999999</v>
      </c>
      <c r="P20" s="1597">
        <v>17.100000000000001</v>
      </c>
      <c r="Q20" s="1600">
        <f t="shared" si="11"/>
        <v>104.9079754601227</v>
      </c>
      <c r="R20" s="1600">
        <f>P20/L20*100</f>
        <v>96.067415730337075</v>
      </c>
      <c r="S20" s="1597">
        <v>0</v>
      </c>
      <c r="T20" s="1597"/>
      <c r="U20" s="1597">
        <v>0</v>
      </c>
      <c r="V20" s="1597">
        <v>18.899999999999999</v>
      </c>
      <c r="W20" s="3194">
        <f t="shared" si="12"/>
        <v>1.1052631578947367</v>
      </c>
      <c r="X20" s="2578">
        <f>P20</f>
        <v>17.100000000000001</v>
      </c>
      <c r="Y20" s="2578"/>
      <c r="Z20" s="2578"/>
      <c r="AA20" s="2578">
        <v>0.3</v>
      </c>
      <c r="AB20" s="2578">
        <v>18.54</v>
      </c>
      <c r="AC20" s="2578">
        <f>X20*1.049</f>
        <v>17.937899999999999</v>
      </c>
      <c r="AD20" s="3194">
        <f t="shared" si="13"/>
        <v>1.0489999999999999</v>
      </c>
      <c r="AE20" s="2578">
        <v>0</v>
      </c>
      <c r="AF20" s="2578">
        <v>0</v>
      </c>
      <c r="AG20" s="2578">
        <f>SUM(AC20*1.1)</f>
        <v>19.73169</v>
      </c>
      <c r="AH20" s="2578">
        <v>0</v>
      </c>
      <c r="AI20" s="2578">
        <v>0</v>
      </c>
      <c r="AJ20" s="2578">
        <v>5.17</v>
      </c>
      <c r="AK20" s="2578">
        <v>0</v>
      </c>
      <c r="AL20" s="2578">
        <v>0</v>
      </c>
      <c r="AM20" s="2578">
        <v>5.33</v>
      </c>
      <c r="AN20" s="2578">
        <f>AM20</f>
        <v>5.33</v>
      </c>
      <c r="AO20" s="1597">
        <f>SUM(AN20*1.046)</f>
        <v>5.5751800000000005</v>
      </c>
      <c r="AP20" s="1597">
        <f t="shared" si="24"/>
        <v>5.4350010000000006</v>
      </c>
      <c r="AQ20" s="1597">
        <v>0</v>
      </c>
      <c r="AR20" s="1597">
        <v>0</v>
      </c>
      <c r="AS20" s="1597">
        <v>0</v>
      </c>
      <c r="AT20" s="3611">
        <f>SUM(AP20*1.046)*(1-0.01)</f>
        <v>5.6281609355400004</v>
      </c>
      <c r="AU20" s="3615">
        <f t="shared" si="40"/>
        <v>5.5851784148160002</v>
      </c>
      <c r="AV20" s="5667" t="s">
        <v>2054</v>
      </c>
      <c r="AW20" s="5668"/>
      <c r="AX20" s="5668"/>
      <c r="AY20" s="1597">
        <v>0</v>
      </c>
      <c r="AZ20" s="1597">
        <v>0</v>
      </c>
      <c r="BA20" s="1597">
        <v>0</v>
      </c>
      <c r="BB20" s="1597">
        <f>SUM(AU20*1.05)*(1-0.01)</f>
        <v>5.8057929622012328</v>
      </c>
      <c r="BC20" s="3204">
        <f t="shared" si="41"/>
        <v>5.9121236046596737</v>
      </c>
      <c r="BD20" s="1597">
        <v>0</v>
      </c>
      <c r="BE20" s="1597">
        <v>0</v>
      </c>
      <c r="BF20" s="1597">
        <v>0</v>
      </c>
      <c r="BG20" s="3209">
        <f t="shared" si="42"/>
        <v>6.1456524870437317</v>
      </c>
      <c r="BH20" s="4163">
        <f>AN20*0.99*1.034*0.99*1.067*0.99*1.139*0.99*1.06</f>
        <v>6.8199711098813642</v>
      </c>
      <c r="BI20" s="4681">
        <v>0</v>
      </c>
      <c r="BJ20" s="4681">
        <v>0</v>
      </c>
    </row>
    <row r="21" spans="1:62" ht="18.75" customHeight="1" x14ac:dyDescent="0.2">
      <c r="A21" s="3195" t="s">
        <v>546</v>
      </c>
      <c r="B21" s="3196">
        <v>163.5</v>
      </c>
      <c r="C21" s="1725">
        <v>122.4</v>
      </c>
      <c r="D21" s="1725">
        <f>C21/B21*100</f>
        <v>74.862385321100916</v>
      </c>
      <c r="E21" s="1600">
        <v>186.8</v>
      </c>
      <c r="F21" s="1600">
        <f t="shared" si="7"/>
        <v>152.61437908496734</v>
      </c>
      <c r="G21" s="1600">
        <v>158.30000000000001</v>
      </c>
      <c r="H21" s="1600">
        <f t="shared" si="8"/>
        <v>84.743040685224841</v>
      </c>
      <c r="I21" s="1597">
        <v>163.69999999999999</v>
      </c>
      <c r="J21" s="1600">
        <v>99</v>
      </c>
      <c r="K21" s="1600">
        <v>100.1</v>
      </c>
      <c r="L21" s="1600">
        <v>241.7</v>
      </c>
      <c r="M21" s="1600">
        <f t="shared" si="9"/>
        <v>152.68477574226151</v>
      </c>
      <c r="N21" s="1600">
        <v>187.11</v>
      </c>
      <c r="O21" s="1600">
        <f t="shared" si="10"/>
        <v>114.30054978619428</v>
      </c>
      <c r="P21" s="1597">
        <v>178.4</v>
      </c>
      <c r="Q21" s="1600">
        <f t="shared" si="11"/>
        <v>108.97984117287723</v>
      </c>
      <c r="R21" s="1600">
        <f>P21/L21*100</f>
        <v>73.810508895324787</v>
      </c>
      <c r="S21" s="1597">
        <v>83.8</v>
      </c>
      <c r="T21" s="1597"/>
      <c r="U21" s="1597">
        <v>100.3</v>
      </c>
      <c r="V21" s="1597">
        <v>252.93</v>
      </c>
      <c r="W21" s="3194">
        <f t="shared" si="12"/>
        <v>1.4177690582959641</v>
      </c>
      <c r="X21" s="2578">
        <f>S21/9*12*1.048</f>
        <v>117.09653333333333</v>
      </c>
      <c r="Y21" s="2578"/>
      <c r="Z21" s="2578"/>
      <c r="AA21" s="2578">
        <v>131</v>
      </c>
      <c r="AB21" s="2578">
        <v>128.54</v>
      </c>
      <c r="AC21" s="2578">
        <f>AB21</f>
        <v>128.54</v>
      </c>
      <c r="AD21" s="3194">
        <f t="shared" si="13"/>
        <v>1.0977267758567291</v>
      </c>
      <c r="AE21" s="2578">
        <v>26.16</v>
      </c>
      <c r="AF21" s="2578">
        <v>38.049999999999997</v>
      </c>
      <c r="AG21" s="2578">
        <f>SUM(AA21*1.1)</f>
        <v>144.10000000000002</v>
      </c>
      <c r="AH21" s="2578">
        <f>AC21*1.062</f>
        <v>136.50948</v>
      </c>
      <c r="AI21" s="2578">
        <v>132.46</v>
      </c>
      <c r="AJ21" s="2578">
        <v>103.61</v>
      </c>
      <c r="AK21" s="2578">
        <v>152.66</v>
      </c>
      <c r="AL21" s="2578">
        <v>351.47</v>
      </c>
      <c r="AM21" s="2578">
        <v>157.24</v>
      </c>
      <c r="AN21" s="2578">
        <f>AM21</f>
        <v>157.24</v>
      </c>
      <c r="AO21" s="1597">
        <f>SUM(AL21*1.046)</f>
        <v>367.63762000000003</v>
      </c>
      <c r="AP21" s="1597">
        <f t="shared" si="24"/>
        <v>160.337628</v>
      </c>
      <c r="AQ21" s="2578">
        <v>480.25</v>
      </c>
      <c r="AR21" s="2578">
        <v>490.55</v>
      </c>
      <c r="AS21" s="2578">
        <v>507.13</v>
      </c>
      <c r="AT21" s="3611">
        <f>SUM(AS21*1.046)*(1-0.01)</f>
        <v>525.15340019999996</v>
      </c>
      <c r="AU21" s="3615">
        <v>525.38</v>
      </c>
      <c r="AV21" s="5667" t="s">
        <v>2054</v>
      </c>
      <c r="AW21" s="5668"/>
      <c r="AX21" s="5668"/>
      <c r="AY21" s="2578">
        <v>52.76</v>
      </c>
      <c r="AZ21" s="2578">
        <v>97.14</v>
      </c>
      <c r="BA21" s="2578">
        <v>127.31</v>
      </c>
      <c r="BB21" s="1597">
        <f>SUM(AU21*1.05)*(1-0.01)</f>
        <v>546.13251000000002</v>
      </c>
      <c r="BC21" s="3204">
        <f>SUM(AU21*1.06*0.99*(1+0.043)*0.99)</f>
        <v>569.29071295404003</v>
      </c>
      <c r="BD21" s="2578">
        <v>73.94</v>
      </c>
      <c r="BE21" s="2578">
        <v>99.46</v>
      </c>
      <c r="BF21" s="2578">
        <v>203.74</v>
      </c>
      <c r="BG21" s="3209">
        <f t="shared" si="42"/>
        <v>591.77769611572467</v>
      </c>
      <c r="BH21" s="4163">
        <v>591.78</v>
      </c>
      <c r="BI21" s="4681">
        <v>50.52</v>
      </c>
      <c r="BJ21" s="4681">
        <v>375.19</v>
      </c>
    </row>
    <row r="22" spans="1:62" ht="18.75" customHeight="1" x14ac:dyDescent="0.2">
      <c r="A22" s="3195" t="s">
        <v>547</v>
      </c>
      <c r="B22" s="3196">
        <v>23.2</v>
      </c>
      <c r="C22" s="1725">
        <v>24.1</v>
      </c>
      <c r="D22" s="1725">
        <f>C22/B22*100</f>
        <v>103.8793103448276</v>
      </c>
      <c r="E22" s="1600">
        <v>33.9</v>
      </c>
      <c r="F22" s="1600">
        <f t="shared" si="7"/>
        <v>140.66390041493776</v>
      </c>
      <c r="G22" s="1600">
        <v>23.7</v>
      </c>
      <c r="H22" s="1600">
        <f t="shared" si="8"/>
        <v>69.911504424778755</v>
      </c>
      <c r="I22" s="1597">
        <v>30.7</v>
      </c>
      <c r="J22" s="1600">
        <v>11</v>
      </c>
      <c r="K22" s="1600">
        <v>17.5</v>
      </c>
      <c r="L22" s="1600">
        <v>23.5</v>
      </c>
      <c r="M22" s="1600">
        <f t="shared" si="9"/>
        <v>99.156118143459921</v>
      </c>
      <c r="N22" s="1600">
        <v>33.770000000000003</v>
      </c>
      <c r="O22" s="1600">
        <f t="shared" si="10"/>
        <v>110.00000000000001</v>
      </c>
      <c r="P22" s="1597">
        <v>32.1</v>
      </c>
      <c r="Q22" s="1600">
        <f t="shared" si="11"/>
        <v>104.56026058631922</v>
      </c>
      <c r="R22" s="1600">
        <f>P22/L22*100</f>
        <v>136.59574468085108</v>
      </c>
      <c r="S22" s="1597">
        <v>18.600000000000001</v>
      </c>
      <c r="T22" s="1597"/>
      <c r="U22" s="1597">
        <v>36.700000000000003</v>
      </c>
      <c r="V22" s="1597">
        <v>33.81</v>
      </c>
      <c r="W22" s="3194">
        <f t="shared" si="12"/>
        <v>1.0532710280373832</v>
      </c>
      <c r="X22" s="2578">
        <f>P22*1.044</f>
        <v>33.5124</v>
      </c>
      <c r="Y22" s="2578"/>
      <c r="Z22" s="2578"/>
      <c r="AA22" s="2578">
        <v>24</v>
      </c>
      <c r="AB22" s="2578">
        <v>35.637999999999998</v>
      </c>
      <c r="AC22" s="2578">
        <f>AB22</f>
        <v>35.637999999999998</v>
      </c>
      <c r="AD22" s="3194">
        <f t="shared" si="13"/>
        <v>1.0634272687124766</v>
      </c>
      <c r="AE22" s="2578">
        <v>12.88</v>
      </c>
      <c r="AF22" s="2578">
        <v>19.420000000000002</v>
      </c>
      <c r="AG22" s="2578">
        <f>SUM(AC22*1.1)</f>
        <v>39.201799999999999</v>
      </c>
      <c r="AH22" s="2578">
        <f>AG22</f>
        <v>39.201799999999999</v>
      </c>
      <c r="AI22" s="2578">
        <v>34.270000000000003</v>
      </c>
      <c r="AJ22" s="2578">
        <v>22.91</v>
      </c>
      <c r="AK22" s="2578">
        <v>43.84</v>
      </c>
      <c r="AL22" s="2578">
        <v>28.92</v>
      </c>
      <c r="AM22" s="2578">
        <v>45.16</v>
      </c>
      <c r="AN22" s="2578">
        <f>AM22</f>
        <v>45.16</v>
      </c>
      <c r="AO22" s="1597">
        <f>SUM(AN22*1.046)</f>
        <v>47.237359999999995</v>
      </c>
      <c r="AP22" s="1597">
        <f t="shared" si="24"/>
        <v>46.049652000000002</v>
      </c>
      <c r="AQ22" s="2578">
        <v>156.9</v>
      </c>
      <c r="AR22" s="2578">
        <v>173.62</v>
      </c>
      <c r="AS22" s="2578">
        <v>193.2</v>
      </c>
      <c r="AT22" s="3611">
        <f>SUM(AS22*1.046)*(1-0.01)</f>
        <v>200.066328</v>
      </c>
      <c r="AU22" s="3615">
        <v>200.16</v>
      </c>
      <c r="AV22" s="5667" t="s">
        <v>2054</v>
      </c>
      <c r="AW22" s="5668"/>
      <c r="AX22" s="5668"/>
      <c r="AY22" s="2578">
        <v>69.599999999999994</v>
      </c>
      <c r="AZ22" s="2578">
        <v>76.87</v>
      </c>
      <c r="BA22" s="2578">
        <v>82.17</v>
      </c>
      <c r="BB22" s="1597">
        <f>SUM(AU22*1.05)*(1-0.01)</f>
        <v>208.06631999999999</v>
      </c>
      <c r="BC22" s="3204">
        <f>SUM(AU22*1.06*0.99*(1+0.043)*0.99)</f>
        <v>216.88916423327998</v>
      </c>
      <c r="BD22" s="2578">
        <v>116.55</v>
      </c>
      <c r="BE22" s="2578">
        <v>159.44</v>
      </c>
      <c r="BF22" s="2578">
        <v>165.32</v>
      </c>
      <c r="BG22" s="3209">
        <f t="shared" si="42"/>
        <v>225.45628622049455</v>
      </c>
      <c r="BH22" s="4163">
        <v>225.46</v>
      </c>
      <c r="BI22" s="4681">
        <v>110.22</v>
      </c>
      <c r="BJ22" s="4681">
        <v>197.1</v>
      </c>
    </row>
    <row r="23" spans="1:62" ht="18.75" hidden="1" x14ac:dyDescent="0.2">
      <c r="A23" s="3195" t="s">
        <v>53</v>
      </c>
      <c r="B23" s="3196"/>
      <c r="C23" s="1725"/>
      <c r="D23" s="1725"/>
      <c r="E23" s="1600"/>
      <c r="F23" s="1600"/>
      <c r="G23" s="1600"/>
      <c r="H23" s="1600"/>
      <c r="I23" s="1597"/>
      <c r="J23" s="1600"/>
      <c r="K23" s="1600"/>
      <c r="L23" s="1600"/>
      <c r="M23" s="1600"/>
      <c r="N23" s="1600"/>
      <c r="O23" s="1600"/>
      <c r="P23" s="1597">
        <f>L23*1.049</f>
        <v>0</v>
      </c>
      <c r="Q23" s="1600" t="e">
        <f t="shared" si="11"/>
        <v>#DIV/0!</v>
      </c>
      <c r="R23" s="1600"/>
      <c r="S23" s="1597"/>
      <c r="T23" s="1597"/>
      <c r="U23" s="1597"/>
      <c r="V23" s="1597"/>
      <c r="W23" s="3194" t="e">
        <f t="shared" si="12"/>
        <v>#DIV/0!</v>
      </c>
      <c r="X23" s="2578"/>
      <c r="Y23" s="2578"/>
      <c r="Z23" s="2578"/>
      <c r="AA23" s="2578"/>
      <c r="AB23" s="2578"/>
      <c r="AC23" s="2578"/>
      <c r="AD23" s="3194" t="e">
        <f t="shared" si="13"/>
        <v>#DIV/0!</v>
      </c>
      <c r="AE23" s="2578"/>
      <c r="AF23" s="2578"/>
      <c r="AG23" s="2578"/>
      <c r="AH23" s="2578"/>
      <c r="AI23" s="2578"/>
      <c r="AJ23" s="2578"/>
      <c r="AK23" s="2578"/>
      <c r="AL23" s="2578"/>
      <c r="AM23" s="2578"/>
      <c r="AN23" s="2578"/>
      <c r="AO23" s="1597"/>
      <c r="AP23" s="1597"/>
      <c r="AQ23" s="2578"/>
      <c r="AR23" s="2578"/>
      <c r="AS23" s="2578"/>
      <c r="AT23" s="3611"/>
      <c r="AU23" s="3611"/>
      <c r="AV23" s="3618"/>
      <c r="AW23" s="3619"/>
      <c r="AX23" s="3619"/>
      <c r="AY23" s="2578"/>
      <c r="AZ23" s="2578"/>
      <c r="BA23" s="2578"/>
      <c r="BB23" s="1597"/>
      <c r="BC23" s="1597"/>
      <c r="BD23" s="2578"/>
      <c r="BE23" s="2578"/>
      <c r="BF23" s="2578"/>
      <c r="BG23" s="2343"/>
      <c r="BH23" s="2343"/>
      <c r="BI23" s="4702"/>
      <c r="BJ23" s="4702"/>
    </row>
    <row r="24" spans="1:62" ht="35.25" customHeight="1" x14ac:dyDescent="0.2">
      <c r="A24" s="3191" t="s">
        <v>30</v>
      </c>
      <c r="B24" s="3192">
        <v>583.79999999999995</v>
      </c>
      <c r="C24" s="3193">
        <v>428.9</v>
      </c>
      <c r="D24" s="1725">
        <f>C24/B24*100</f>
        <v>73.466940733127785</v>
      </c>
      <c r="E24" s="1597">
        <v>512.20000000000005</v>
      </c>
      <c r="F24" s="1600">
        <f t="shared" si="7"/>
        <v>119.42177663791097</v>
      </c>
      <c r="G24" s="1597">
        <v>410.6</v>
      </c>
      <c r="H24" s="1600">
        <f t="shared" si="8"/>
        <v>80.163998438110113</v>
      </c>
      <c r="I24" s="1597">
        <v>549.1</v>
      </c>
      <c r="J24" s="1597">
        <v>209.5</v>
      </c>
      <c r="K24" s="1597">
        <v>387.9</v>
      </c>
      <c r="L24" s="1597">
        <v>533.79999999999995</v>
      </c>
      <c r="M24" s="1600">
        <f t="shared" si="9"/>
        <v>130.00487092060396</v>
      </c>
      <c r="N24" s="1597">
        <v>604.01</v>
      </c>
      <c r="O24" s="1600">
        <f t="shared" si="10"/>
        <v>109.99999999999999</v>
      </c>
      <c r="P24" s="1597">
        <v>579</v>
      </c>
      <c r="Q24" s="1600">
        <f t="shared" si="11"/>
        <v>105.44527408486614</v>
      </c>
      <c r="R24" s="1600">
        <f>P24/L24*100</f>
        <v>108.46759085799927</v>
      </c>
      <c r="S24" s="1597">
        <v>426.5</v>
      </c>
      <c r="T24" s="1597"/>
      <c r="U24" s="1597">
        <v>554.29999999999995</v>
      </c>
      <c r="V24" s="1597">
        <v>698.46</v>
      </c>
      <c r="W24" s="3194">
        <f t="shared" si="12"/>
        <v>1.2063212435233162</v>
      </c>
      <c r="X24" s="2578">
        <f>P24*1.048</f>
        <v>606.79200000000003</v>
      </c>
      <c r="Y24" s="2578"/>
      <c r="Z24" s="2578"/>
      <c r="AA24" s="2578">
        <v>391.5</v>
      </c>
      <c r="AB24" s="2578">
        <v>645.6</v>
      </c>
      <c r="AC24" s="2578">
        <f>AB24</f>
        <v>645.6</v>
      </c>
      <c r="AD24" s="3194">
        <f t="shared" si="13"/>
        <v>1.0639560178776253</v>
      </c>
      <c r="AE24" s="2578">
        <v>424.39</v>
      </c>
      <c r="AF24" s="2578">
        <v>525.45000000000005</v>
      </c>
      <c r="AG24" s="2578">
        <f>SUM(AC24*1.1)</f>
        <v>710.16000000000008</v>
      </c>
      <c r="AH24" s="2578">
        <f>AG24</f>
        <v>710.16000000000008</v>
      </c>
      <c r="AI24" s="2578">
        <v>762.78</v>
      </c>
      <c r="AJ24" s="2578">
        <v>833.62</v>
      </c>
      <c r="AK24" s="2578">
        <v>794.2</v>
      </c>
      <c r="AL24" s="2578">
        <v>915.12</v>
      </c>
      <c r="AM24" s="2578">
        <v>884.39</v>
      </c>
      <c r="AN24" s="1597">
        <f>AJ24*1.027*1.046</f>
        <v>895.50961603999997</v>
      </c>
      <c r="AO24" s="1597">
        <f>SUM(AL24*1.046)</f>
        <v>957.21552000000008</v>
      </c>
      <c r="AP24" s="1597">
        <f t="shared" si="24"/>
        <v>913.15115547598793</v>
      </c>
      <c r="AQ24" s="1597">
        <v>504.98</v>
      </c>
      <c r="AR24" s="1597">
        <v>719.29</v>
      </c>
      <c r="AS24" s="1597">
        <v>1062.02</v>
      </c>
      <c r="AT24" s="3611">
        <f>SUM(AS24*1.046)*(1-0.01)</f>
        <v>1099.7641908000001</v>
      </c>
      <c r="AU24" s="3615">
        <v>1100.25</v>
      </c>
      <c r="AV24" s="5667" t="s">
        <v>2053</v>
      </c>
      <c r="AW24" s="5668"/>
      <c r="AX24" s="5668"/>
      <c r="AY24" s="1597">
        <v>387.2</v>
      </c>
      <c r="AZ24" s="1597">
        <v>572.29999999999995</v>
      </c>
      <c r="BA24" s="1597">
        <v>757.26</v>
      </c>
      <c r="BB24" s="1597">
        <f>SUM(AU24*1.05)*(1-0.01)</f>
        <v>1143.709875</v>
      </c>
      <c r="BC24" s="3204">
        <f>SUM(AU24*1.06*0.99*(1+0.043)*0.99)</f>
        <v>1192.2077485395</v>
      </c>
      <c r="BD24" s="1597">
        <v>562.94000000000005</v>
      </c>
      <c r="BE24" s="1597">
        <v>749.32</v>
      </c>
      <c r="BF24" s="1597">
        <v>1020.57</v>
      </c>
      <c r="BG24" s="3209">
        <f t="shared" si="42"/>
        <v>1239.2999546068102</v>
      </c>
      <c r="BH24" s="4163">
        <v>1239.3</v>
      </c>
      <c r="BI24" s="4681">
        <v>663.26</v>
      </c>
      <c r="BJ24" s="4681">
        <v>1293.6400000000001</v>
      </c>
    </row>
    <row r="25" spans="1:62" ht="18.75" x14ac:dyDescent="0.2">
      <c r="A25" s="3191" t="s">
        <v>837</v>
      </c>
      <c r="B25" s="3192">
        <f>SUM(B26:B40)</f>
        <v>1274</v>
      </c>
      <c r="C25" s="3193">
        <f>SUM(C26:C40)</f>
        <v>1570.1999999999998</v>
      </c>
      <c r="D25" s="1725">
        <f>C25/B25*100</f>
        <v>123.24960753532181</v>
      </c>
      <c r="E25" s="1597">
        <f>SUM(E26:E41)</f>
        <v>2458.1999999999998</v>
      </c>
      <c r="F25" s="1597">
        <f>SUM(F26:F41)</f>
        <v>1921.4028595453462</v>
      </c>
      <c r="G25" s="1597">
        <f>SUM(G26:G44)</f>
        <v>1923.4</v>
      </c>
      <c r="H25" s="1600">
        <f t="shared" si="8"/>
        <v>78.24424375559353</v>
      </c>
      <c r="I25" s="1597">
        <f>SUM(I26:I41)</f>
        <v>1629.7320000000004</v>
      </c>
      <c r="J25" s="1597">
        <f>SUM(J26:J41)</f>
        <v>1107.6000000000001</v>
      </c>
      <c r="K25" s="1597">
        <f>SUM(K26:K44)</f>
        <v>2027.9</v>
      </c>
      <c r="L25" s="1597">
        <f>SUM(L26:L44)</f>
        <v>3341.3000000000006</v>
      </c>
      <c r="M25" s="1600">
        <f t="shared" si="9"/>
        <v>173.71841530622859</v>
      </c>
      <c r="N25" s="1597">
        <f>SUM(N26:N44)</f>
        <v>2703.43</v>
      </c>
      <c r="O25" s="1600">
        <f t="shared" si="10"/>
        <v>165.88187505675776</v>
      </c>
      <c r="P25" s="1597">
        <f>SUM(P26:P44)</f>
        <v>1876.2000000000003</v>
      </c>
      <c r="Q25" s="1597">
        <f t="shared" ref="Q25:AC25" si="43">SUM(Q26:Q44)</f>
        <v>1650.0918364803115</v>
      </c>
      <c r="R25" s="1597" t="e">
        <f t="shared" si="43"/>
        <v>#DIV/0!</v>
      </c>
      <c r="S25" s="1597">
        <f t="shared" si="43"/>
        <v>2098.5</v>
      </c>
      <c r="T25" s="1597">
        <f t="shared" si="43"/>
        <v>0</v>
      </c>
      <c r="U25" s="1597">
        <f t="shared" si="43"/>
        <v>2454.1000000000004</v>
      </c>
      <c r="V25" s="1597">
        <f t="shared" si="43"/>
        <v>3781.8249999999998</v>
      </c>
      <c r="W25" s="3194">
        <f t="shared" si="12"/>
        <v>2.0156832960238775</v>
      </c>
      <c r="X25" s="1597">
        <f t="shared" si="43"/>
        <v>2043.1773000000003</v>
      </c>
      <c r="Y25" s="1597"/>
      <c r="Z25" s="1597"/>
      <c r="AA25" s="1597">
        <f t="shared" si="43"/>
        <v>2151.9</v>
      </c>
      <c r="AB25" s="1597">
        <f t="shared" si="43"/>
        <v>3030.5219999999999</v>
      </c>
      <c r="AC25" s="1597">
        <f t="shared" si="43"/>
        <v>1551.6120093000002</v>
      </c>
      <c r="AD25" s="3194">
        <f t="shared" si="13"/>
        <v>0.75941133904531921</v>
      </c>
      <c r="AE25" s="1597">
        <f t="shared" ref="AE25:AF25" si="44">SUM(AE26:AE44)</f>
        <v>1396.08</v>
      </c>
      <c r="AF25" s="1597">
        <f t="shared" si="44"/>
        <v>2018.5900000000001</v>
      </c>
      <c r="AG25" s="1597">
        <f t="shared" ref="AG25:AS25" si="45">SUM(AG26:AG44)</f>
        <v>3301.3489307700006</v>
      </c>
      <c r="AH25" s="1597">
        <f t="shared" si="45"/>
        <v>2251.9940915978004</v>
      </c>
      <c r="AI25" s="1597">
        <f t="shared" si="45"/>
        <v>3079.7400000000002</v>
      </c>
      <c r="AJ25" s="1597">
        <f t="shared" si="45"/>
        <v>2168.15</v>
      </c>
      <c r="AK25" s="1597">
        <f t="shared" ref="AK25" si="46">SUM(AK26:AK44)</f>
        <v>2584.5400000000004</v>
      </c>
      <c r="AL25" s="1597">
        <f t="shared" ref="AL25" si="47">SUM(AL26:AL44)</f>
        <v>2855.01</v>
      </c>
      <c r="AM25" s="1597">
        <f t="shared" si="45"/>
        <v>6767.4799999999987</v>
      </c>
      <c r="AN25" s="1597">
        <f t="shared" si="45"/>
        <v>6198.2877710817211</v>
      </c>
      <c r="AO25" s="1597">
        <f t="shared" si="45"/>
        <v>7388.9214597478012</v>
      </c>
      <c r="AP25" s="1597">
        <f t="shared" si="45"/>
        <v>6320.3940401720311</v>
      </c>
      <c r="AQ25" s="1597">
        <f t="shared" si="45"/>
        <v>611.81000000000006</v>
      </c>
      <c r="AR25" s="1597">
        <f t="shared" si="45"/>
        <v>1196.7619999999999</v>
      </c>
      <c r="AS25" s="1597">
        <f t="shared" si="45"/>
        <v>1937.95</v>
      </c>
      <c r="AT25" s="3611">
        <f t="shared" ref="AT25" si="48">SUM(AT26:AT44)</f>
        <v>6793.1122931527661</v>
      </c>
      <c r="AU25" s="3611">
        <f t="shared" ref="AU25" si="49">SUM(AU26:AU44)</f>
        <v>7103.0379635566014</v>
      </c>
      <c r="AV25" s="5676"/>
      <c r="AW25" s="5677"/>
      <c r="AX25" s="5677"/>
      <c r="AY25" s="1597">
        <f t="shared" ref="AY25:BC25" si="50">SUM(AY26:AY44)</f>
        <v>375.69</v>
      </c>
      <c r="AZ25" s="1597">
        <f t="shared" si="50"/>
        <v>755.91</v>
      </c>
      <c r="BA25" s="1597">
        <f t="shared" si="50"/>
        <v>1032.6000000000001</v>
      </c>
      <c r="BB25" s="1597">
        <f t="shared" si="50"/>
        <v>7476.1546481170881</v>
      </c>
      <c r="BC25" s="1597">
        <f t="shared" si="50"/>
        <v>7484.5440489324174</v>
      </c>
      <c r="BD25" s="1597">
        <f t="shared" ref="BD25:BE25" si="51">SUM(BD26:BD44)</f>
        <v>612.24999999999989</v>
      </c>
      <c r="BE25" s="1597">
        <f t="shared" si="51"/>
        <v>1390.4699999999998</v>
      </c>
      <c r="BF25" s="1597">
        <f t="shared" ref="BF25:BH25" si="52">SUM(BF26:BF44)</f>
        <v>1666.5300000000002</v>
      </c>
      <c r="BG25" s="2343">
        <f t="shared" si="52"/>
        <v>7780.1835388652471</v>
      </c>
      <c r="BH25" s="2343">
        <f t="shared" si="52"/>
        <v>7183.2446676836462</v>
      </c>
      <c r="BI25" s="4681">
        <f t="shared" ref="BI25:BJ25" si="53">SUM(BI26:BI44)</f>
        <v>1280.9250000000002</v>
      </c>
      <c r="BJ25" s="4681">
        <f t="shared" si="53"/>
        <v>3770.9050000000007</v>
      </c>
    </row>
    <row r="26" spans="1:62" ht="47.25" customHeight="1" x14ac:dyDescent="0.2">
      <c r="A26" s="3195" t="s">
        <v>531</v>
      </c>
      <c r="B26" s="3196">
        <v>81.7</v>
      </c>
      <c r="C26" s="1725">
        <v>71.599999999999994</v>
      </c>
      <c r="D26" s="1725">
        <f t="shared" ref="D26:D34" si="54">C26/B26*100</f>
        <v>87.6376988984088</v>
      </c>
      <c r="E26" s="1600">
        <v>58.8</v>
      </c>
      <c r="F26" s="1600">
        <f t="shared" si="7"/>
        <v>82.122905027932973</v>
      </c>
      <c r="G26" s="1600">
        <v>81.8</v>
      </c>
      <c r="H26" s="1600">
        <f t="shared" si="8"/>
        <v>139.1156462585034</v>
      </c>
      <c r="I26" s="1597">
        <v>84.3</v>
      </c>
      <c r="J26" s="1597">
        <v>81.8</v>
      </c>
      <c r="K26" s="1597">
        <v>402.6</v>
      </c>
      <c r="L26" s="1600">
        <v>402.6</v>
      </c>
      <c r="M26" s="1600">
        <f t="shared" si="9"/>
        <v>492.17603911980444</v>
      </c>
      <c r="N26" s="1600">
        <v>92.73</v>
      </c>
      <c r="O26" s="1600">
        <f t="shared" si="10"/>
        <v>110.00000000000001</v>
      </c>
      <c r="P26" s="1597">
        <v>88.4</v>
      </c>
      <c r="Q26" s="1600">
        <f t="shared" si="11"/>
        <v>104.86358244365364</v>
      </c>
      <c r="R26" s="1600">
        <f t="shared" ref="R26:R37" si="55">P26/L26*100</f>
        <v>21.957277694982615</v>
      </c>
      <c r="S26" s="1597">
        <v>169.5</v>
      </c>
      <c r="T26" s="1597"/>
      <c r="U26" s="1597">
        <v>169.5</v>
      </c>
      <c r="V26" s="1597">
        <v>240</v>
      </c>
      <c r="W26" s="3194">
        <f t="shared" si="12"/>
        <v>2.7149321266968323</v>
      </c>
      <c r="X26" s="2578">
        <f>P26*1.048</f>
        <v>92.643200000000007</v>
      </c>
      <c r="Y26" s="2578"/>
      <c r="Z26" s="2578"/>
      <c r="AA26" s="2578">
        <v>273.8</v>
      </c>
      <c r="AB26" s="2578">
        <v>98</v>
      </c>
      <c r="AC26" s="2578">
        <f>AB26</f>
        <v>98</v>
      </c>
      <c r="AD26" s="3194">
        <f t="shared" si="13"/>
        <v>1.0578218368968255</v>
      </c>
      <c r="AE26" s="2578">
        <v>0</v>
      </c>
      <c r="AF26" s="2578">
        <v>0</v>
      </c>
      <c r="AG26" s="2578">
        <f>SUM(AA26*1.1)</f>
        <v>301.18000000000006</v>
      </c>
      <c r="AH26" s="2578">
        <f>AG26</f>
        <v>301.18000000000006</v>
      </c>
      <c r="AI26" s="2578">
        <v>0</v>
      </c>
      <c r="AJ26" s="2578">
        <v>0</v>
      </c>
      <c r="AK26" s="2578">
        <v>336.82</v>
      </c>
      <c r="AL26" s="2578">
        <v>0</v>
      </c>
      <c r="AM26" s="2578">
        <v>346.93</v>
      </c>
      <c r="AN26" s="1597">
        <f>AH26*0.99*1.037*0.99*1.027*1.046</f>
        <v>328.83452042172217</v>
      </c>
      <c r="AO26" s="1597">
        <f>SUM(AN26*1.046)</f>
        <v>343.96090836112143</v>
      </c>
      <c r="AP26" s="1597">
        <f t="shared" si="24"/>
        <v>335.31256047403014</v>
      </c>
      <c r="AQ26" s="1597"/>
      <c r="AR26" s="1597"/>
      <c r="AS26" s="1597"/>
      <c r="AT26" s="3611">
        <f>SUM(AP26*1.046)*(1-0.01)</f>
        <v>347.22956887327717</v>
      </c>
      <c r="AU26" s="3615">
        <f t="shared" si="40"/>
        <v>344.57776088288438</v>
      </c>
      <c r="AV26" s="5667" t="s">
        <v>2057</v>
      </c>
      <c r="AW26" s="5668"/>
      <c r="AX26" s="5668"/>
      <c r="AY26" s="1597"/>
      <c r="AZ26" s="1597"/>
      <c r="BA26" s="1597"/>
      <c r="BB26" s="1597">
        <f>SUM(AU26*1.05)*(1-0.01)</f>
        <v>358.18858243775833</v>
      </c>
      <c r="BC26" s="3204">
        <f t="shared" ref="BC26:BC44" si="56">SUM(AN26*(1+0.034)*0.99*1.06*0.99*(1+0.043)*0.99)</f>
        <v>364.7486548240538</v>
      </c>
      <c r="BD26" s="1597"/>
      <c r="BE26" s="1597"/>
      <c r="BF26" s="1597"/>
      <c r="BG26" s="3209">
        <f t="shared" si="42"/>
        <v>379.15622668960395</v>
      </c>
      <c r="BH26" s="4163">
        <f>AN26*0.99*1.034*0.99*1.067*0.99*1.139*0.99*1.06</f>
        <v>420.75833568627371</v>
      </c>
      <c r="BI26" s="4681"/>
      <c r="BJ26" s="4681"/>
    </row>
    <row r="27" spans="1:62" ht="18.75" customHeight="1" x14ac:dyDescent="0.2">
      <c r="A27" s="3195" t="s">
        <v>532</v>
      </c>
      <c r="B27" s="3196">
        <v>58.5</v>
      </c>
      <c r="C27" s="1725">
        <v>91.6</v>
      </c>
      <c r="D27" s="1725">
        <f t="shared" si="54"/>
        <v>156.58119658119659</v>
      </c>
      <c r="E27" s="1600">
        <v>197.3</v>
      </c>
      <c r="F27" s="1600">
        <f t="shared" si="7"/>
        <v>215.39301310043672</v>
      </c>
      <c r="G27" s="1600">
        <v>132.5</v>
      </c>
      <c r="H27" s="1600">
        <f t="shared" si="8"/>
        <v>67.156614292954885</v>
      </c>
      <c r="I27" s="1597">
        <v>82.5</v>
      </c>
      <c r="J27" s="1600">
        <v>40.700000000000003</v>
      </c>
      <c r="K27" s="1600">
        <v>201.6</v>
      </c>
      <c r="L27" s="1600">
        <v>268.8</v>
      </c>
      <c r="M27" s="1600">
        <f t="shared" si="9"/>
        <v>202.8679245283019</v>
      </c>
      <c r="N27" s="1600">
        <v>112.42</v>
      </c>
      <c r="O27" s="1600">
        <f t="shared" si="10"/>
        <v>136.26666666666668</v>
      </c>
      <c r="P27" s="1597">
        <v>112.4</v>
      </c>
      <c r="Q27" s="1600">
        <f t="shared" si="11"/>
        <v>136.24242424242425</v>
      </c>
      <c r="R27" s="1600">
        <f t="shared" si="55"/>
        <v>41.81547619047619</v>
      </c>
      <c r="S27" s="1597">
        <v>283.3</v>
      </c>
      <c r="T27" s="1597"/>
      <c r="U27" s="1597">
        <v>316.10000000000002</v>
      </c>
      <c r="V27" s="1597">
        <v>285.60000000000002</v>
      </c>
      <c r="W27" s="3194">
        <f t="shared" si="12"/>
        <v>2.5409252669039146</v>
      </c>
      <c r="X27" s="2578">
        <f t="shared" ref="X27:X44" si="57">P27*1.048</f>
        <v>117.79520000000001</v>
      </c>
      <c r="Y27" s="2578"/>
      <c r="Z27" s="2578"/>
      <c r="AA27" s="2578">
        <v>185.6</v>
      </c>
      <c r="AB27" s="2578">
        <v>133.9</v>
      </c>
      <c r="AC27" s="2578">
        <f>AB27</f>
        <v>133.9</v>
      </c>
      <c r="AD27" s="3194">
        <f t="shared" si="13"/>
        <v>1.1367186438836216</v>
      </c>
      <c r="AE27" s="2578">
        <v>45.04</v>
      </c>
      <c r="AF27" s="2578">
        <v>215.01</v>
      </c>
      <c r="AG27" s="2578">
        <f>SUM(AA27*1.1)</f>
        <v>204.16</v>
      </c>
      <c r="AH27" s="2578">
        <f>AG27</f>
        <v>204.16</v>
      </c>
      <c r="AI27" s="2578">
        <v>272</v>
      </c>
      <c r="AJ27" s="2578">
        <v>355.13</v>
      </c>
      <c r="AK27" s="2578">
        <v>230.46</v>
      </c>
      <c r="AL27" s="2578">
        <v>277.44</v>
      </c>
      <c r="AM27" s="2578">
        <v>376.76</v>
      </c>
      <c r="AN27" s="2578">
        <f>AM27</f>
        <v>376.76</v>
      </c>
      <c r="AO27" s="1597">
        <f>SUM(AN27*1.046)</f>
        <v>394.09096</v>
      </c>
      <c r="AP27" s="1597">
        <f t="shared" si="24"/>
        <v>384.18217199999998</v>
      </c>
      <c r="AQ27" s="1597">
        <v>9.08</v>
      </c>
      <c r="AR27" s="1597">
        <v>345.8</v>
      </c>
      <c r="AS27" s="1597">
        <v>401.87</v>
      </c>
      <c r="AT27" s="3611">
        <f>SUM(AS27*1.046)*(1-0.01)</f>
        <v>416.15245979999997</v>
      </c>
      <c r="AU27" s="3615">
        <v>416.33</v>
      </c>
      <c r="AV27" s="5676" t="s">
        <v>2054</v>
      </c>
      <c r="AW27" s="5677"/>
      <c r="AX27" s="5677"/>
      <c r="AY27" s="1597">
        <v>8.8000000000000007</v>
      </c>
      <c r="AZ27" s="1597">
        <v>133.19499999999999</v>
      </c>
      <c r="BA27" s="1597">
        <v>180.4</v>
      </c>
      <c r="BB27" s="1597">
        <f>SUM(AU27*1.05)*(1-0.01)</f>
        <v>432.775035</v>
      </c>
      <c r="BC27" s="3204">
        <f t="shared" si="56"/>
        <v>417.90838448247246</v>
      </c>
      <c r="BD27" s="1597">
        <v>216.57</v>
      </c>
      <c r="BE27" s="1597">
        <v>807.03</v>
      </c>
      <c r="BF27" s="1597">
        <v>899.81</v>
      </c>
      <c r="BG27" s="3209">
        <f t="shared" si="42"/>
        <v>434.41576566953017</v>
      </c>
      <c r="BH27" s="4163">
        <f t="shared" ref="BH27:BH28" si="58">AN27*0.99*1.034*0.99*1.067*0.99*1.139*0.99*1.06</f>
        <v>482.08110982343396</v>
      </c>
      <c r="BI27" s="4681">
        <v>86.67</v>
      </c>
      <c r="BJ27" s="4681">
        <v>222.43</v>
      </c>
    </row>
    <row r="28" spans="1:62" ht="42" customHeight="1" x14ac:dyDescent="0.2">
      <c r="A28" s="3195" t="s">
        <v>553</v>
      </c>
      <c r="B28" s="3196">
        <v>796.5</v>
      </c>
      <c r="C28" s="1725">
        <v>579.4</v>
      </c>
      <c r="D28" s="1725">
        <f t="shared" si="54"/>
        <v>72.743251726302574</v>
      </c>
      <c r="E28" s="1600">
        <v>931.4</v>
      </c>
      <c r="F28" s="1600">
        <f t="shared" si="7"/>
        <v>160.75250258888505</v>
      </c>
      <c r="G28" s="1600">
        <v>362.1</v>
      </c>
      <c r="H28" s="1600">
        <f t="shared" si="8"/>
        <v>38.876959415933008</v>
      </c>
      <c r="I28" s="1597">
        <v>672.9</v>
      </c>
      <c r="J28" s="1600">
        <v>330.4</v>
      </c>
      <c r="K28" s="1600">
        <v>0</v>
      </c>
      <c r="L28" s="1600">
        <v>758.8</v>
      </c>
      <c r="M28" s="1600">
        <f t="shared" si="9"/>
        <v>209.55537144435237</v>
      </c>
      <c r="N28" s="1600">
        <v>740.19</v>
      </c>
      <c r="O28" s="1600">
        <f t="shared" si="10"/>
        <v>110.00000000000001</v>
      </c>
      <c r="P28" s="1597">
        <v>705.8</v>
      </c>
      <c r="Q28" s="1600">
        <f t="shared" si="11"/>
        <v>104.88928518353396</v>
      </c>
      <c r="R28" s="1600">
        <f t="shared" si="55"/>
        <v>93.015287295730104</v>
      </c>
      <c r="S28" s="1597">
        <v>240.3</v>
      </c>
      <c r="T28" s="1597"/>
      <c r="U28" s="1597">
        <v>240.3</v>
      </c>
      <c r="V28" s="1597">
        <v>875.7</v>
      </c>
      <c r="W28" s="3194">
        <f t="shared" si="12"/>
        <v>1.2407197506375744</v>
      </c>
      <c r="X28" s="2578">
        <f>P28*1.044</f>
        <v>736.85519999999997</v>
      </c>
      <c r="Y28" s="2578"/>
      <c r="Z28" s="2578"/>
      <c r="AA28" s="2578">
        <v>0</v>
      </c>
      <c r="AB28" s="2578">
        <v>786.92</v>
      </c>
      <c r="AC28" s="2578">
        <f>U28*1.077*1.049</f>
        <v>271.48445190000001</v>
      </c>
      <c r="AD28" s="3194">
        <f t="shared" si="13"/>
        <v>0.36843663707604973</v>
      </c>
      <c r="AE28" s="2578">
        <v>0</v>
      </c>
      <c r="AF28" s="2578">
        <v>0</v>
      </c>
      <c r="AG28" s="2578">
        <f>SUM(AC28*1.1)</f>
        <v>298.63289709000003</v>
      </c>
      <c r="AH28" s="2578">
        <f>AC28*1.062</f>
        <v>288.31648791780003</v>
      </c>
      <c r="AI28" s="2578">
        <v>0</v>
      </c>
      <c r="AJ28" s="2578">
        <v>0</v>
      </c>
      <c r="AK28" s="2578">
        <v>322.44</v>
      </c>
      <c r="AL28" s="2578">
        <v>0</v>
      </c>
      <c r="AM28" s="2578">
        <v>3012.97</v>
      </c>
      <c r="AN28" s="1597">
        <f>AM28</f>
        <v>3012.97</v>
      </c>
      <c r="AO28" s="1597">
        <f>SUM(AN28*1.046)</f>
        <v>3151.5666200000001</v>
      </c>
      <c r="AP28" s="1597">
        <f t="shared" si="24"/>
        <v>3072.3255089999998</v>
      </c>
      <c r="AQ28" s="1597"/>
      <c r="AR28" s="1597"/>
      <c r="AS28" s="1597"/>
      <c r="AT28" s="3611">
        <f t="shared" ref="AT28:AT32" si="59">SUM(AP28*1.046)*(1-0.01)</f>
        <v>3181.5159575898597</v>
      </c>
      <c r="AU28" s="3615">
        <f t="shared" si="40"/>
        <v>3157.2185757013435</v>
      </c>
      <c r="AV28" s="5676" t="s">
        <v>2054</v>
      </c>
      <c r="AW28" s="5677"/>
      <c r="AX28" s="5677"/>
      <c r="AY28" s="1597"/>
      <c r="AZ28" s="1597"/>
      <c r="BA28" s="1597"/>
      <c r="BB28" s="1597">
        <f>SUM(AU28*1.05)*(1-0.01)</f>
        <v>3281.9287094415467</v>
      </c>
      <c r="BC28" s="3204">
        <f t="shared" si="56"/>
        <v>3342.0358456156569</v>
      </c>
      <c r="BD28" s="1597"/>
      <c r="BE28" s="1597"/>
      <c r="BF28" s="1597"/>
      <c r="BG28" s="3209">
        <f t="shared" si="42"/>
        <v>3474.0462615174752</v>
      </c>
      <c r="BH28" s="4163">
        <f t="shared" si="58"/>
        <v>3855.2285844163703</v>
      </c>
      <c r="BI28" s="4681"/>
      <c r="BJ28" s="4681"/>
    </row>
    <row r="29" spans="1:62" ht="38.25" customHeight="1" x14ac:dyDescent="0.2">
      <c r="A29" s="3195" t="s">
        <v>534</v>
      </c>
      <c r="B29" s="3196">
        <v>61.2</v>
      </c>
      <c r="C29" s="3196">
        <v>61.2</v>
      </c>
      <c r="D29" s="1725">
        <f t="shared" si="54"/>
        <v>100</v>
      </c>
      <c r="E29" s="1600">
        <v>61.2</v>
      </c>
      <c r="F29" s="1600">
        <f t="shared" si="7"/>
        <v>100</v>
      </c>
      <c r="G29" s="1600">
        <v>61</v>
      </c>
      <c r="H29" s="1600">
        <f t="shared" si="8"/>
        <v>99.673202614379079</v>
      </c>
      <c r="I29" s="1597">
        <f>E29*1.03</f>
        <v>63.036000000000001</v>
      </c>
      <c r="J29" s="1600">
        <v>30.6</v>
      </c>
      <c r="K29" s="1600">
        <v>45.9</v>
      </c>
      <c r="L29" s="1600">
        <v>61</v>
      </c>
      <c r="M29" s="1600">
        <f t="shared" si="9"/>
        <v>100</v>
      </c>
      <c r="N29" s="1600">
        <v>69.3</v>
      </c>
      <c r="O29" s="1600">
        <f t="shared" si="10"/>
        <v>109.93717875499713</v>
      </c>
      <c r="P29" s="1597">
        <v>66.099999999999994</v>
      </c>
      <c r="Q29" s="1600">
        <f t="shared" si="11"/>
        <v>104.86071451234213</v>
      </c>
      <c r="R29" s="1600">
        <f t="shared" si="55"/>
        <v>108.3606557377049</v>
      </c>
      <c r="S29" s="1597">
        <v>56.7</v>
      </c>
      <c r="T29" s="1597"/>
      <c r="U29" s="1597">
        <v>75.599999999999994</v>
      </c>
      <c r="V29" s="1597">
        <v>69.3</v>
      </c>
      <c r="W29" s="3194">
        <f t="shared" si="12"/>
        <v>1.0484114977307111</v>
      </c>
      <c r="X29" s="2578">
        <f>P29</f>
        <v>66.099999999999994</v>
      </c>
      <c r="Y29" s="2578"/>
      <c r="Z29" s="2578"/>
      <c r="AA29" s="2578">
        <v>75.599999999999994</v>
      </c>
      <c r="AB29" s="2578">
        <v>77.867999999999995</v>
      </c>
      <c r="AC29" s="2578">
        <f>AB29</f>
        <v>77.867999999999995</v>
      </c>
      <c r="AD29" s="3194">
        <f t="shared" si="13"/>
        <v>1.1780332829046898</v>
      </c>
      <c r="AE29" s="2578">
        <v>41.55</v>
      </c>
      <c r="AF29" s="2578">
        <v>62.34</v>
      </c>
      <c r="AG29" s="2578">
        <f>SUM(AC29*1.1)</f>
        <v>85.654799999999994</v>
      </c>
      <c r="AH29" s="2578">
        <f>AG29</f>
        <v>85.654799999999994</v>
      </c>
      <c r="AI29" s="2578">
        <v>83.16</v>
      </c>
      <c r="AJ29" s="2578">
        <v>83.16</v>
      </c>
      <c r="AK29" s="2578">
        <v>85.65</v>
      </c>
      <c r="AL29" s="2578">
        <v>20.79</v>
      </c>
      <c r="AM29" s="2578">
        <v>88.22</v>
      </c>
      <c r="AN29" s="1597">
        <f>AM29</f>
        <v>88.22</v>
      </c>
      <c r="AO29" s="1597">
        <f>SUM(AN29*1.046)</f>
        <v>92.278120000000001</v>
      </c>
      <c r="AP29" s="1597">
        <f t="shared" si="24"/>
        <v>89.957934000000009</v>
      </c>
      <c r="AQ29" s="1597"/>
      <c r="AR29" s="1597"/>
      <c r="AS29" s="1597"/>
      <c r="AT29" s="3611">
        <f t="shared" si="59"/>
        <v>93.155038974360011</v>
      </c>
      <c r="AU29" s="3615">
        <f t="shared" si="40"/>
        <v>92.443609710144017</v>
      </c>
      <c r="AV29" s="5676" t="s">
        <v>2054</v>
      </c>
      <c r="AW29" s="5677"/>
      <c r="AX29" s="5677"/>
      <c r="AY29" s="1597"/>
      <c r="AZ29" s="1597"/>
      <c r="BA29" s="1597"/>
      <c r="BB29" s="1597">
        <f>SUM(AU29*1.05)*(1-0.01)</f>
        <v>96.095132293694704</v>
      </c>
      <c r="BC29" s="3204">
        <f t="shared" si="56"/>
        <v>97.855073996824842</v>
      </c>
      <c r="BD29" s="1597"/>
      <c r="BE29" s="1597"/>
      <c r="BF29" s="1597"/>
      <c r="BG29" s="3209">
        <f t="shared" si="42"/>
        <v>101.72034941969943</v>
      </c>
      <c r="BH29" s="4163">
        <f>AN29*0.99*1.034*0.99*1.067*0.99*1.139*0.99*1.06</f>
        <v>112.88139799507206</v>
      </c>
      <c r="BI29" s="4681"/>
      <c r="BJ29" s="4681"/>
    </row>
    <row r="30" spans="1:62" ht="33" customHeight="1" x14ac:dyDescent="0.2">
      <c r="A30" s="3195" t="s">
        <v>535</v>
      </c>
      <c r="B30" s="3196">
        <v>3.8</v>
      </c>
      <c r="C30" s="1725">
        <v>11.5</v>
      </c>
      <c r="D30" s="1725">
        <f t="shared" si="54"/>
        <v>302.63157894736844</v>
      </c>
      <c r="E30" s="1600">
        <v>1.9</v>
      </c>
      <c r="F30" s="1600">
        <f t="shared" si="7"/>
        <v>16.521739130434781</v>
      </c>
      <c r="G30" s="1600">
        <v>37.1</v>
      </c>
      <c r="H30" s="1600">
        <f t="shared" si="8"/>
        <v>1952.6315789473686</v>
      </c>
      <c r="I30" s="1597">
        <v>10.9</v>
      </c>
      <c r="J30" s="1600">
        <v>3.5</v>
      </c>
      <c r="K30" s="1600">
        <v>23.7</v>
      </c>
      <c r="L30" s="1600">
        <v>23.7</v>
      </c>
      <c r="M30" s="1600">
        <f t="shared" si="9"/>
        <v>63.881401617250667</v>
      </c>
      <c r="N30" s="1600">
        <v>14.19</v>
      </c>
      <c r="O30" s="1600">
        <f t="shared" si="10"/>
        <v>130.18348623853211</v>
      </c>
      <c r="P30" s="1597">
        <v>14.2</v>
      </c>
      <c r="Q30" s="1600">
        <f t="shared" si="11"/>
        <v>130.27522935779817</v>
      </c>
      <c r="R30" s="1600">
        <f t="shared" si="55"/>
        <v>59.915611814345993</v>
      </c>
      <c r="S30" s="1597">
        <v>51.1</v>
      </c>
      <c r="T30" s="1597"/>
      <c r="U30" s="1597">
        <v>51.1</v>
      </c>
      <c r="V30" s="1597">
        <v>25.8</v>
      </c>
      <c r="W30" s="3194">
        <f t="shared" si="12"/>
        <v>1.8169014084507045</v>
      </c>
      <c r="X30" s="2578">
        <f t="shared" si="57"/>
        <v>14.881600000000001</v>
      </c>
      <c r="Y30" s="2578"/>
      <c r="Z30" s="2578"/>
      <c r="AA30" s="2578">
        <v>50.4</v>
      </c>
      <c r="AB30" s="2578">
        <v>15.862</v>
      </c>
      <c r="AC30" s="2578">
        <f>AB30</f>
        <v>15.862</v>
      </c>
      <c r="AD30" s="3194">
        <f t="shared" si="13"/>
        <v>1.0658800129018384</v>
      </c>
      <c r="AE30" s="2578">
        <v>33.6</v>
      </c>
      <c r="AF30" s="2578">
        <v>67.5</v>
      </c>
      <c r="AG30" s="2578">
        <f>SUM(AA30*1.1)</f>
        <v>55.440000000000005</v>
      </c>
      <c r="AH30" s="2578">
        <f>AG30</f>
        <v>55.440000000000005</v>
      </c>
      <c r="AI30" s="2578">
        <v>43.16</v>
      </c>
      <c r="AJ30" s="2578">
        <v>56.49</v>
      </c>
      <c r="AK30" s="2578">
        <v>62</v>
      </c>
      <c r="AL30" s="2578">
        <v>25.45</v>
      </c>
      <c r="AM30" s="2578">
        <v>63.86</v>
      </c>
      <c r="AN30" s="1597">
        <f>AJ30*1.027*1.046</f>
        <v>60.683930579999995</v>
      </c>
      <c r="AO30" s="1597">
        <f>SUM(AN30*1.046)</f>
        <v>63.475391386679995</v>
      </c>
      <c r="AP30" s="1597">
        <f t="shared" si="24"/>
        <v>61.879404012426001</v>
      </c>
      <c r="AQ30" s="1597">
        <v>7.67</v>
      </c>
      <c r="AR30" s="1597">
        <v>26.38</v>
      </c>
      <c r="AS30" s="1597">
        <v>26.38</v>
      </c>
      <c r="AT30" s="3611">
        <f t="shared" si="59"/>
        <v>64.078598031027624</v>
      </c>
      <c r="AU30" s="3615">
        <f t="shared" si="40"/>
        <v>63.589226867093537</v>
      </c>
      <c r="AV30" s="5667" t="s">
        <v>2053</v>
      </c>
      <c r="AW30" s="5668"/>
      <c r="AX30" s="5668"/>
      <c r="AY30" s="1597">
        <v>6.8949999999999996</v>
      </c>
      <c r="AZ30" s="1597">
        <v>20.145</v>
      </c>
      <c r="BA30" s="1597">
        <v>39.1</v>
      </c>
      <c r="BB30" s="1597">
        <f>SUM(AU30*1.05)*(1-0.01)</f>
        <v>66.101001328343742</v>
      </c>
      <c r="BC30" s="3204">
        <f t="shared" si="56"/>
        <v>67.311613209295857</v>
      </c>
      <c r="BD30" s="1597">
        <v>17.05</v>
      </c>
      <c r="BE30" s="1597">
        <v>30.49</v>
      </c>
      <c r="BF30" s="1597">
        <v>52.62</v>
      </c>
      <c r="BG30" s="3209">
        <f t="shared" si="42"/>
        <v>69.970421931063044</v>
      </c>
      <c r="BH30" s="4163">
        <f>AN30*0.99*1.034*0.99*1.067*0.99*1.139*0.99*1.06</f>
        <v>77.647777371415799</v>
      </c>
      <c r="BI30" s="4681">
        <v>34.54</v>
      </c>
      <c r="BJ30" s="4681">
        <v>68.540000000000006</v>
      </c>
    </row>
    <row r="31" spans="1:62" ht="30" customHeight="1" x14ac:dyDescent="0.2">
      <c r="A31" s="3195" t="s">
        <v>536</v>
      </c>
      <c r="B31" s="3196">
        <v>2.8</v>
      </c>
      <c r="C31" s="1725">
        <v>4.2</v>
      </c>
      <c r="D31" s="1725">
        <f t="shared" si="54"/>
        <v>150.00000000000003</v>
      </c>
      <c r="E31" s="1600">
        <v>7.2</v>
      </c>
      <c r="F31" s="1600">
        <f t="shared" si="7"/>
        <v>171.42857142857142</v>
      </c>
      <c r="G31" s="1600">
        <v>5.9</v>
      </c>
      <c r="H31" s="1600">
        <f t="shared" si="8"/>
        <v>81.944444444444443</v>
      </c>
      <c r="I31" s="1597">
        <v>9.6999999999999993</v>
      </c>
      <c r="J31" s="1600">
        <v>3.2</v>
      </c>
      <c r="K31" s="1600">
        <v>3.7</v>
      </c>
      <c r="L31" s="1600">
        <v>5.5</v>
      </c>
      <c r="M31" s="1600">
        <f t="shared" si="9"/>
        <v>93.220338983050837</v>
      </c>
      <c r="N31" s="1600">
        <v>12.98</v>
      </c>
      <c r="O31" s="1600">
        <f t="shared" si="10"/>
        <v>133.81443298969074</v>
      </c>
      <c r="P31" s="1597">
        <v>5.2</v>
      </c>
      <c r="Q31" s="1600">
        <f t="shared" si="11"/>
        <v>53.608247422680421</v>
      </c>
      <c r="R31" s="1600">
        <f t="shared" si="55"/>
        <v>94.545454545454547</v>
      </c>
      <c r="S31" s="1597">
        <v>4.0999999999999996</v>
      </c>
      <c r="T31" s="1597"/>
      <c r="U31" s="1597">
        <v>4.2</v>
      </c>
      <c r="V31" s="1597">
        <v>6.3</v>
      </c>
      <c r="W31" s="3194">
        <f t="shared" si="12"/>
        <v>1.2115384615384615</v>
      </c>
      <c r="X31" s="2578">
        <f>P31</f>
        <v>5.2</v>
      </c>
      <c r="Y31" s="2578"/>
      <c r="Z31" s="2578"/>
      <c r="AA31" s="2578">
        <v>0</v>
      </c>
      <c r="AB31" s="2578">
        <v>158.21</v>
      </c>
      <c r="AC31" s="2578">
        <f>X31</f>
        <v>5.2</v>
      </c>
      <c r="AD31" s="3194">
        <f t="shared" si="13"/>
        <v>1</v>
      </c>
      <c r="AE31" s="2578">
        <v>0</v>
      </c>
      <c r="AF31" s="2578">
        <v>0</v>
      </c>
      <c r="AG31" s="2578">
        <f>SUM(AC31*1.1)</f>
        <v>5.7200000000000006</v>
      </c>
      <c r="AH31" s="2578">
        <v>0</v>
      </c>
      <c r="AI31" s="2578">
        <v>0</v>
      </c>
      <c r="AJ31" s="2578">
        <v>0</v>
      </c>
      <c r="AK31" s="2578">
        <v>0</v>
      </c>
      <c r="AL31" s="2578">
        <v>0</v>
      </c>
      <c r="AM31" s="2578">
        <v>0</v>
      </c>
      <c r="AN31" s="2578">
        <v>0</v>
      </c>
      <c r="AO31" s="1597">
        <v>0</v>
      </c>
      <c r="AP31" s="1597">
        <f t="shared" si="24"/>
        <v>0</v>
      </c>
      <c r="AQ31" s="2578">
        <v>0</v>
      </c>
      <c r="AR31" s="2578">
        <v>0</v>
      </c>
      <c r="AS31" s="2578">
        <v>0</v>
      </c>
      <c r="AT31" s="3611">
        <v>0</v>
      </c>
      <c r="AU31" s="3615">
        <f t="shared" si="40"/>
        <v>0</v>
      </c>
      <c r="AV31" s="5667"/>
      <c r="AW31" s="5668"/>
      <c r="AX31" s="5668"/>
      <c r="AY31" s="2578">
        <v>0</v>
      </c>
      <c r="AZ31" s="2578">
        <v>0</v>
      </c>
      <c r="BA31" s="2578">
        <v>0</v>
      </c>
      <c r="BB31" s="1597">
        <v>0</v>
      </c>
      <c r="BC31" s="3204">
        <f t="shared" si="56"/>
        <v>0</v>
      </c>
      <c r="BD31" s="2578">
        <v>0</v>
      </c>
      <c r="BE31" s="2578">
        <v>0</v>
      </c>
      <c r="BF31" s="2578">
        <v>0</v>
      </c>
      <c r="BG31" s="3209">
        <f t="shared" si="42"/>
        <v>0</v>
      </c>
      <c r="BH31" s="4163">
        <f>AN31*0.99*1.034*0.99*1.067*0.99*1.139*0.99*1.06</f>
        <v>0</v>
      </c>
      <c r="BI31" s="4681">
        <v>0</v>
      </c>
      <c r="BJ31" s="4681">
        <v>0</v>
      </c>
    </row>
    <row r="32" spans="1:62" ht="44.25" customHeight="1" x14ac:dyDescent="0.2">
      <c r="A32" s="3195" t="s">
        <v>564</v>
      </c>
      <c r="B32" s="3196">
        <v>51.5</v>
      </c>
      <c r="C32" s="3196">
        <v>192.5</v>
      </c>
      <c r="D32" s="1725">
        <f t="shared" si="54"/>
        <v>373.78640776699029</v>
      </c>
      <c r="E32" s="1600">
        <v>211.5</v>
      </c>
      <c r="F32" s="1600">
        <f t="shared" si="7"/>
        <v>109.87012987012987</v>
      </c>
      <c r="G32" s="1600">
        <v>29.9</v>
      </c>
      <c r="H32" s="1600">
        <f t="shared" si="8"/>
        <v>14.137115839243497</v>
      </c>
      <c r="I32" s="1597">
        <v>253.5</v>
      </c>
      <c r="J32" s="1600">
        <v>132.1</v>
      </c>
      <c r="K32" s="1600">
        <v>40.6</v>
      </c>
      <c r="L32" s="1600">
        <v>42.8</v>
      </c>
      <c r="M32" s="1600">
        <f t="shared" si="9"/>
        <v>143.1438127090301</v>
      </c>
      <c r="N32" s="1600">
        <v>278.85000000000002</v>
      </c>
      <c r="O32" s="1600">
        <f t="shared" si="10"/>
        <v>110.00000000000001</v>
      </c>
      <c r="P32" s="1597">
        <v>265.89999999999998</v>
      </c>
      <c r="Q32" s="1600">
        <f t="shared" si="11"/>
        <v>104.89151873767257</v>
      </c>
      <c r="R32" s="1600">
        <f t="shared" si="55"/>
        <v>621.26168224299056</v>
      </c>
      <c r="S32" s="1597">
        <v>98</v>
      </c>
      <c r="T32" s="1597"/>
      <c r="U32" s="1597">
        <v>98.2</v>
      </c>
      <c r="V32" s="1597">
        <v>316.05</v>
      </c>
      <c r="W32" s="3194">
        <f t="shared" si="12"/>
        <v>1.1886047386235428</v>
      </c>
      <c r="X32" s="2578">
        <f t="shared" si="57"/>
        <v>278.66319999999996</v>
      </c>
      <c r="Y32" s="2578"/>
      <c r="Z32" s="2578"/>
      <c r="AA32" s="2578">
        <v>507.1</v>
      </c>
      <c r="AB32" s="2578">
        <v>296.64</v>
      </c>
      <c r="AC32" s="2578">
        <f>U32*1.077*1.049</f>
        <v>110.94370859999999</v>
      </c>
      <c r="AD32" s="3194">
        <f t="shared" si="13"/>
        <v>0.39812830901245666</v>
      </c>
      <c r="AE32" s="2578">
        <v>487.79</v>
      </c>
      <c r="AF32" s="2578">
        <v>487.79</v>
      </c>
      <c r="AG32" s="2578">
        <f>SUM(AA32*1.1)</f>
        <v>557.81000000000006</v>
      </c>
      <c r="AH32" s="2578">
        <f>AG32</f>
        <v>557.81000000000006</v>
      </c>
      <c r="AI32" s="2578">
        <v>9.58</v>
      </c>
      <c r="AJ32" s="2578">
        <v>4.43</v>
      </c>
      <c r="AK32" s="2578">
        <v>623.82000000000005</v>
      </c>
      <c r="AL32" s="2578">
        <v>0</v>
      </c>
      <c r="AM32" s="2578">
        <v>642.54</v>
      </c>
      <c r="AN32" s="2578">
        <f t="shared" ref="AN32:AN37" si="60">AM32</f>
        <v>642.54</v>
      </c>
      <c r="AO32" s="1597">
        <f>SUM(AN32*1.046)</f>
        <v>672.09684000000004</v>
      </c>
      <c r="AP32" s="1597">
        <f t="shared" si="24"/>
        <v>655.198038</v>
      </c>
      <c r="AQ32" s="1597"/>
      <c r="AR32" s="1597"/>
      <c r="AS32" s="1597"/>
      <c r="AT32" s="3611">
        <f t="shared" si="59"/>
        <v>678.48377627052002</v>
      </c>
      <c r="AU32" s="3615">
        <f t="shared" si="40"/>
        <v>673.302164851008</v>
      </c>
      <c r="AV32" s="5676" t="s">
        <v>2054</v>
      </c>
      <c r="AW32" s="5677"/>
      <c r="AX32" s="5677"/>
      <c r="AY32" s="1597"/>
      <c r="AZ32" s="1597"/>
      <c r="BA32" s="1597"/>
      <c r="BB32" s="1597">
        <f>SUM(AU32*1.05)*(1-0.01)</f>
        <v>699.89760036262282</v>
      </c>
      <c r="BC32" s="3204">
        <f t="shared" si="56"/>
        <v>712.71592888143073</v>
      </c>
      <c r="BD32" s="1597"/>
      <c r="BE32" s="1597"/>
      <c r="BF32" s="1597">
        <v>10.6</v>
      </c>
      <c r="BG32" s="3209">
        <f t="shared" si="42"/>
        <v>740.86820807224728</v>
      </c>
      <c r="BH32" s="4163">
        <f>AN32*0.99*1.034*0.99*1.067*0.99*1.139*0.99*1.06</f>
        <v>822.15839342273398</v>
      </c>
      <c r="BI32" s="4681">
        <v>0</v>
      </c>
      <c r="BJ32" s="4681">
        <v>0</v>
      </c>
    </row>
    <row r="33" spans="1:62" ht="18.75" customHeight="1" x14ac:dyDescent="0.2">
      <c r="A33" s="3195" t="s">
        <v>3534</v>
      </c>
      <c r="B33" s="3196">
        <v>8.6999999999999993</v>
      </c>
      <c r="C33" s="1725">
        <v>7.2</v>
      </c>
      <c r="D33" s="1725">
        <f t="shared" si="54"/>
        <v>82.758620689655189</v>
      </c>
      <c r="E33" s="1600">
        <v>22.4</v>
      </c>
      <c r="F33" s="1600">
        <f t="shared" si="7"/>
        <v>311.11111111111109</v>
      </c>
      <c r="G33" s="1600">
        <v>17.3</v>
      </c>
      <c r="H33" s="1600">
        <f t="shared" si="8"/>
        <v>77.232142857142861</v>
      </c>
      <c r="I33" s="1597">
        <v>28.9</v>
      </c>
      <c r="J33" s="1600">
        <v>2.5</v>
      </c>
      <c r="K33" s="1600">
        <v>0</v>
      </c>
      <c r="L33" s="1600">
        <v>69.3</v>
      </c>
      <c r="M33" s="1600">
        <f t="shared" si="9"/>
        <v>400.5780346820809</v>
      </c>
      <c r="N33" s="1600">
        <v>31.79</v>
      </c>
      <c r="O33" s="1600">
        <f t="shared" si="10"/>
        <v>110.00000000000001</v>
      </c>
      <c r="P33" s="1597">
        <v>30.3</v>
      </c>
      <c r="Q33" s="1600">
        <f t="shared" si="11"/>
        <v>104.84429065743946</v>
      </c>
      <c r="R33" s="1600">
        <f t="shared" si="55"/>
        <v>43.722943722943725</v>
      </c>
      <c r="S33" s="1597">
        <v>2.5</v>
      </c>
      <c r="T33" s="1597"/>
      <c r="U33" s="1597">
        <v>10</v>
      </c>
      <c r="V33" s="1597">
        <v>72.099999999999994</v>
      </c>
      <c r="W33" s="3194">
        <f t="shared" si="12"/>
        <v>2.3795379537953791</v>
      </c>
      <c r="X33" s="2578">
        <f t="shared" si="57"/>
        <v>31.7544</v>
      </c>
      <c r="Y33" s="2578"/>
      <c r="Z33" s="2578"/>
      <c r="AA33" s="2578">
        <v>27.3</v>
      </c>
      <c r="AB33" s="2578">
        <v>33.372</v>
      </c>
      <c r="AC33" s="2578">
        <f>AB33</f>
        <v>33.372</v>
      </c>
      <c r="AD33" s="3194">
        <f t="shared" si="13"/>
        <v>1.0509409719597913</v>
      </c>
      <c r="AE33" s="2578">
        <v>388.02</v>
      </c>
      <c r="AF33" s="2578">
        <v>389.92</v>
      </c>
      <c r="AG33" s="2578">
        <f>SUM(AC33*1.1)</f>
        <v>36.709200000000003</v>
      </c>
      <c r="AH33" s="2578">
        <f>AG33</f>
        <v>36.709200000000003</v>
      </c>
      <c r="AI33" s="2578">
        <v>639.74</v>
      </c>
      <c r="AJ33" s="2578">
        <v>124.49</v>
      </c>
      <c r="AK33" s="2578">
        <v>41.05</v>
      </c>
      <c r="AL33" s="2578">
        <v>152.78</v>
      </c>
      <c r="AM33" s="2578">
        <v>132.07</v>
      </c>
      <c r="AN33" s="2578">
        <f t="shared" si="60"/>
        <v>132.07</v>
      </c>
      <c r="AO33" s="1597">
        <f>SUM(AL33*1.046)</f>
        <v>159.80788000000001</v>
      </c>
      <c r="AP33" s="1597">
        <f t="shared" si="24"/>
        <v>134.67177899999999</v>
      </c>
      <c r="AQ33" s="2578">
        <v>85.67</v>
      </c>
      <c r="AR33" s="2578">
        <v>104.92</v>
      </c>
      <c r="AS33" s="2578">
        <v>549.05999999999995</v>
      </c>
      <c r="AT33" s="3611">
        <f t="shared" ref="AT33:AT37" si="61">SUM(AS33*1.046)*(1-0.01)</f>
        <v>568.57359239999994</v>
      </c>
      <c r="AU33" s="3615">
        <v>568.83000000000004</v>
      </c>
      <c r="AV33" s="5676" t="s">
        <v>2054</v>
      </c>
      <c r="AW33" s="5677"/>
      <c r="AX33" s="5677"/>
      <c r="AY33" s="2578">
        <v>0</v>
      </c>
      <c r="AZ33" s="2578"/>
      <c r="BA33" s="2578"/>
      <c r="BB33" s="1597">
        <f>SUM(AU33*1.05)*(1-0.01)</f>
        <v>591.29878500000007</v>
      </c>
      <c r="BC33" s="3204">
        <f>SUM(AU33*1.06*0.99*(1+0.043)*0.99)</f>
        <v>616.37221867914002</v>
      </c>
      <c r="BD33" s="2578">
        <v>5.8</v>
      </c>
      <c r="BE33" s="2578">
        <v>5.8</v>
      </c>
      <c r="BF33" s="2578">
        <v>5.7949999999999999</v>
      </c>
      <c r="BG33" s="3209">
        <f t="shared" si="42"/>
        <v>640.71892131696609</v>
      </c>
      <c r="BH33" s="4163">
        <v>640.72</v>
      </c>
      <c r="BI33" s="4702">
        <v>550.66999999999996</v>
      </c>
      <c r="BJ33" s="4702">
        <v>637.33000000000004</v>
      </c>
    </row>
    <row r="34" spans="1:62" ht="18.75" x14ac:dyDescent="0.2">
      <c r="A34" s="3195" t="s">
        <v>539</v>
      </c>
      <c r="B34" s="3196">
        <v>20.9</v>
      </c>
      <c r="C34" s="1725">
        <v>26.9</v>
      </c>
      <c r="D34" s="1725">
        <f t="shared" si="54"/>
        <v>128.70813397129186</v>
      </c>
      <c r="E34" s="1600">
        <v>50.6</v>
      </c>
      <c r="F34" s="1600">
        <f t="shared" si="7"/>
        <v>188.10408921933086</v>
      </c>
      <c r="G34" s="1600">
        <v>29.7</v>
      </c>
      <c r="H34" s="1600">
        <f t="shared" si="8"/>
        <v>58.695652173913039</v>
      </c>
      <c r="I34" s="1597">
        <v>0</v>
      </c>
      <c r="J34" s="1600">
        <v>14.7</v>
      </c>
      <c r="K34" s="1600">
        <v>18.3</v>
      </c>
      <c r="L34" s="1600">
        <v>18.3</v>
      </c>
      <c r="M34" s="1600">
        <f t="shared" si="9"/>
        <v>61.616161616161627</v>
      </c>
      <c r="N34" s="1600">
        <v>0</v>
      </c>
      <c r="O34" s="1600"/>
      <c r="P34" s="1597">
        <v>0</v>
      </c>
      <c r="Q34" s="1600"/>
      <c r="R34" s="1600">
        <f t="shared" si="55"/>
        <v>0</v>
      </c>
      <c r="S34" s="1597">
        <v>0</v>
      </c>
      <c r="T34" s="1597"/>
      <c r="U34" s="1597">
        <v>0</v>
      </c>
      <c r="V34" s="1597">
        <v>24.7</v>
      </c>
      <c r="W34" s="3194"/>
      <c r="X34" s="2578">
        <f t="shared" si="57"/>
        <v>0</v>
      </c>
      <c r="Y34" s="2578"/>
      <c r="Z34" s="2578"/>
      <c r="AA34" s="2578">
        <v>0</v>
      </c>
      <c r="AB34" s="2578"/>
      <c r="AC34" s="2578"/>
      <c r="AD34" s="3194"/>
      <c r="AE34" s="2578">
        <v>9.5</v>
      </c>
      <c r="AF34" s="2578">
        <v>9.5</v>
      </c>
      <c r="AG34" s="2578">
        <v>0</v>
      </c>
      <c r="AH34" s="2578">
        <v>0</v>
      </c>
      <c r="AI34" s="2578">
        <v>60.9</v>
      </c>
      <c r="AJ34" s="2578">
        <v>16.760000000000002</v>
      </c>
      <c r="AK34" s="2578">
        <v>0</v>
      </c>
      <c r="AL34" s="2578">
        <v>15.6</v>
      </c>
      <c r="AM34" s="2578">
        <v>17.78</v>
      </c>
      <c r="AN34" s="2578">
        <f t="shared" si="60"/>
        <v>17.78</v>
      </c>
      <c r="AO34" s="1597">
        <f>SUM(AN34*1.046)</f>
        <v>18.597880000000004</v>
      </c>
      <c r="AP34" s="1597">
        <f t="shared" si="24"/>
        <v>18.130266000000002</v>
      </c>
      <c r="AQ34" s="2578">
        <v>99.06</v>
      </c>
      <c r="AR34" s="2578">
        <v>113.26</v>
      </c>
      <c r="AS34" s="2578">
        <v>141.76</v>
      </c>
      <c r="AT34" s="3611">
        <f t="shared" si="61"/>
        <v>146.7981504</v>
      </c>
      <c r="AU34" s="3615">
        <v>146.87</v>
      </c>
      <c r="AV34" s="5676" t="s">
        <v>2054</v>
      </c>
      <c r="AW34" s="5677"/>
      <c r="AX34" s="5677"/>
      <c r="AY34" s="2578">
        <v>4.6950000000000003</v>
      </c>
      <c r="AZ34" s="2578">
        <v>4.7</v>
      </c>
      <c r="BA34" s="2578">
        <v>11.3</v>
      </c>
      <c r="BB34" s="1597">
        <f>SUM(AU34*1.05)*(1-0.01)</f>
        <v>152.67136500000001</v>
      </c>
      <c r="BC34" s="3204">
        <f>SUM(AU34*1.06*0.99*(1+0.043)*0.99)</f>
        <v>159.14524156146001</v>
      </c>
      <c r="BD34" s="2578">
        <v>20.02</v>
      </c>
      <c r="BE34" s="2578">
        <v>22.315000000000001</v>
      </c>
      <c r="BF34" s="2578">
        <v>24.625</v>
      </c>
      <c r="BG34" s="3209">
        <f t="shared" si="42"/>
        <v>165.43147860313769</v>
      </c>
      <c r="BH34" s="4163">
        <f>AN34*0.99*1.034*0.99*1.067*0.99*1.139*0.99*1.06</f>
        <v>22.750297623581737</v>
      </c>
      <c r="BI34" s="4702">
        <v>9.1999999999999993</v>
      </c>
      <c r="BJ34" s="4702">
        <v>46</v>
      </c>
    </row>
    <row r="35" spans="1:62" ht="18.75" x14ac:dyDescent="0.2">
      <c r="A35" s="3195" t="s">
        <v>565</v>
      </c>
      <c r="B35" s="3196"/>
      <c r="C35" s="1725">
        <v>5.0999999999999996</v>
      </c>
      <c r="D35" s="1725"/>
      <c r="E35" s="1600">
        <v>2</v>
      </c>
      <c r="F35" s="1600">
        <f t="shared" si="7"/>
        <v>39.215686274509807</v>
      </c>
      <c r="G35" s="1600">
        <v>3.3</v>
      </c>
      <c r="H35" s="1600">
        <f t="shared" si="8"/>
        <v>165</v>
      </c>
      <c r="I35" s="1597">
        <v>0</v>
      </c>
      <c r="J35" s="1600">
        <v>2.8</v>
      </c>
      <c r="K35" s="1600">
        <v>5.4</v>
      </c>
      <c r="L35" s="1600">
        <v>8</v>
      </c>
      <c r="M35" s="1600">
        <f t="shared" si="9"/>
        <v>242.42424242424244</v>
      </c>
      <c r="N35" s="1600">
        <v>10.1</v>
      </c>
      <c r="O35" s="1600"/>
      <c r="P35" s="1597">
        <v>0</v>
      </c>
      <c r="Q35" s="1600"/>
      <c r="R35" s="1600">
        <f t="shared" si="55"/>
        <v>0</v>
      </c>
      <c r="S35" s="1597">
        <v>5.0999999999999996</v>
      </c>
      <c r="T35" s="1597"/>
      <c r="U35" s="1597">
        <v>6.5</v>
      </c>
      <c r="V35" s="1597">
        <v>8.4</v>
      </c>
      <c r="W35" s="3194"/>
      <c r="X35" s="2578">
        <f t="shared" si="57"/>
        <v>0</v>
      </c>
      <c r="Y35" s="2578"/>
      <c r="Z35" s="2578"/>
      <c r="AA35" s="2578">
        <v>8.8000000000000007</v>
      </c>
      <c r="AB35" s="2578"/>
      <c r="AC35" s="2578"/>
      <c r="AD35" s="3194"/>
      <c r="AE35" s="2578">
        <v>0</v>
      </c>
      <c r="AF35" s="2578">
        <v>5.69</v>
      </c>
      <c r="AG35" s="2578">
        <f>SUM(AA35*1.1)</f>
        <v>9.6800000000000015</v>
      </c>
      <c r="AH35" s="2578">
        <f>AG35</f>
        <v>9.6800000000000015</v>
      </c>
      <c r="AI35" s="2578">
        <v>3.88</v>
      </c>
      <c r="AJ35" s="2578">
        <v>3.88</v>
      </c>
      <c r="AK35" s="2578">
        <v>10.83</v>
      </c>
      <c r="AL35" s="2578">
        <v>5.24</v>
      </c>
      <c r="AM35" s="2578">
        <v>11.15</v>
      </c>
      <c r="AN35" s="2578">
        <f t="shared" si="60"/>
        <v>11.15</v>
      </c>
      <c r="AO35" s="1597">
        <f>SUM(AN35*1.046)</f>
        <v>11.6629</v>
      </c>
      <c r="AP35" s="1597">
        <f t="shared" si="24"/>
        <v>11.369655</v>
      </c>
      <c r="AQ35" s="2578">
        <v>1.36</v>
      </c>
      <c r="AR35" s="2578">
        <v>7.2</v>
      </c>
      <c r="AS35" s="2578">
        <v>8.4600000000000009</v>
      </c>
      <c r="AT35" s="3611">
        <f t="shared" si="61"/>
        <v>8.7606684000000019</v>
      </c>
      <c r="AU35" s="3615">
        <f t="shared" si="40"/>
        <v>11.683816008480001</v>
      </c>
      <c r="AV35" s="5676" t="s">
        <v>2054</v>
      </c>
      <c r="AW35" s="5677"/>
      <c r="AX35" s="5677"/>
      <c r="AY35" s="2578">
        <v>2.72</v>
      </c>
      <c r="AZ35" s="2578">
        <v>5.335</v>
      </c>
      <c r="BA35" s="2578">
        <v>9.2200000000000006</v>
      </c>
      <c r="BB35" s="1597">
        <f>SUM(AU35*1.05)*(1-0.01)</f>
        <v>12.14532674081496</v>
      </c>
      <c r="BC35" s="3204">
        <f t="shared" si="56"/>
        <v>12.367763263031021</v>
      </c>
      <c r="BD35" s="2578">
        <v>9.2799999999999994</v>
      </c>
      <c r="BE35" s="2578">
        <v>15.074999999999999</v>
      </c>
      <c r="BF35" s="2578">
        <v>14.695</v>
      </c>
      <c r="BG35" s="3209">
        <f t="shared" si="42"/>
        <v>12.856289911920747</v>
      </c>
      <c r="BH35" s="4163">
        <f>AN35*0.99*1.034*0.99*1.067*0.99*1.139*0.99*1.06</f>
        <v>14.266918925924427</v>
      </c>
      <c r="BI35" s="4702">
        <v>0.74</v>
      </c>
      <c r="BJ35" s="4702">
        <v>10.32</v>
      </c>
    </row>
    <row r="36" spans="1:62" ht="18.75" x14ac:dyDescent="0.2">
      <c r="A36" s="3195" t="s">
        <v>4259</v>
      </c>
      <c r="B36" s="3196">
        <v>25.7</v>
      </c>
      <c r="C36" s="1725">
        <v>304.89999999999998</v>
      </c>
      <c r="D36" s="1725">
        <f>C36/B36*100</f>
        <v>1186.3813229571983</v>
      </c>
      <c r="E36" s="1600">
        <v>523.9</v>
      </c>
      <c r="F36" s="1600">
        <f t="shared" si="7"/>
        <v>171.8268284683503</v>
      </c>
      <c r="G36" s="1600">
        <v>556</v>
      </c>
      <c r="H36" s="1600">
        <f t="shared" si="8"/>
        <v>106.12712349685054</v>
      </c>
      <c r="I36" s="1597">
        <v>0</v>
      </c>
      <c r="J36" s="1600">
        <v>275.10000000000002</v>
      </c>
      <c r="K36" s="1600">
        <v>473.8</v>
      </c>
      <c r="L36" s="1600">
        <v>672.1</v>
      </c>
      <c r="M36" s="1600">
        <f t="shared" si="9"/>
        <v>120.88129496402877</v>
      </c>
      <c r="N36" s="1600">
        <v>642.4</v>
      </c>
      <c r="O36" s="1600"/>
      <c r="P36" s="1597">
        <v>0</v>
      </c>
      <c r="Q36" s="1600"/>
      <c r="R36" s="1600">
        <f t="shared" si="55"/>
        <v>0</v>
      </c>
      <c r="S36" s="1597">
        <v>533.6</v>
      </c>
      <c r="T36" s="1597"/>
      <c r="U36" s="1597">
        <v>698.7</v>
      </c>
      <c r="V36" s="1597">
        <v>832.05</v>
      </c>
      <c r="W36" s="3194"/>
      <c r="X36" s="2578">
        <f t="shared" si="57"/>
        <v>0</v>
      </c>
      <c r="Y36" s="2578"/>
      <c r="Z36" s="2578"/>
      <c r="AA36" s="2578">
        <v>688.1</v>
      </c>
      <c r="AB36" s="2578">
        <v>713</v>
      </c>
      <c r="AC36" s="2578">
        <v>0</v>
      </c>
      <c r="AD36" s="3194"/>
      <c r="AE36" s="2578">
        <v>328.05</v>
      </c>
      <c r="AF36" s="2578">
        <v>493.45</v>
      </c>
      <c r="AG36" s="2578">
        <f>SUM(AA36*1.1)</f>
        <v>756.91000000000008</v>
      </c>
      <c r="AH36" s="2578">
        <v>0</v>
      </c>
      <c r="AI36" s="2578">
        <v>799.92</v>
      </c>
      <c r="AJ36" s="2578">
        <v>898.34</v>
      </c>
      <c r="AK36" s="2578">
        <v>0</v>
      </c>
      <c r="AL36" s="2578">
        <v>904.69</v>
      </c>
      <c r="AM36" s="2578">
        <v>953.05</v>
      </c>
      <c r="AN36" s="2578">
        <f t="shared" si="60"/>
        <v>953.05</v>
      </c>
      <c r="AO36" s="1597">
        <f>SUM(AN36*1.046)</f>
        <v>996.89030000000002</v>
      </c>
      <c r="AP36" s="1597">
        <f t="shared" si="24"/>
        <v>971.82508499999994</v>
      </c>
      <c r="AQ36" s="2578">
        <v>272.24</v>
      </c>
      <c r="AR36" s="2578">
        <v>402.68</v>
      </c>
      <c r="AS36" s="2578">
        <v>549.41</v>
      </c>
      <c r="AT36" s="3611">
        <f t="shared" si="61"/>
        <v>568.93603140000005</v>
      </c>
      <c r="AU36" s="3615">
        <f t="shared" si="40"/>
        <v>998.67810285936014</v>
      </c>
      <c r="AV36" s="5676" t="s">
        <v>2054</v>
      </c>
      <c r="AW36" s="5677"/>
      <c r="AX36" s="5677"/>
      <c r="AY36" s="2578">
        <v>232.49</v>
      </c>
      <c r="AZ36" s="2578">
        <v>350.15499999999997</v>
      </c>
      <c r="BA36" s="2578">
        <v>488.6</v>
      </c>
      <c r="BB36" s="1597">
        <f>SUM(AU36*1.05)*(1-0.01)</f>
        <v>1038.1258879223049</v>
      </c>
      <c r="BC36" s="3204">
        <f t="shared" si="56"/>
        <v>1057.1387244692121</v>
      </c>
      <c r="BD36" s="2578">
        <v>221.12</v>
      </c>
      <c r="BE36" s="2578">
        <v>332.1</v>
      </c>
      <c r="BF36" s="2578">
        <v>442.82499999999999</v>
      </c>
      <c r="BG36" s="3209">
        <f t="shared" si="42"/>
        <v>1098.895704085746</v>
      </c>
      <c r="BH36" s="4163">
        <v>0</v>
      </c>
      <c r="BI36" s="4702">
        <v>470.63</v>
      </c>
      <c r="BJ36" s="4702">
        <v>1645.51</v>
      </c>
    </row>
    <row r="37" spans="1:62" ht="18.75" customHeight="1" x14ac:dyDescent="0.2">
      <c r="A37" s="3195" t="s">
        <v>540</v>
      </c>
      <c r="B37" s="3196"/>
      <c r="C37" s="1725">
        <v>54</v>
      </c>
      <c r="D37" s="1725"/>
      <c r="E37" s="1600"/>
      <c r="F37" s="1600">
        <f t="shared" si="7"/>
        <v>0</v>
      </c>
      <c r="G37" s="1600">
        <v>9.1999999999999993</v>
      </c>
      <c r="H37" s="1600"/>
      <c r="I37" s="1597">
        <f>E37*1.03</f>
        <v>0</v>
      </c>
      <c r="J37" s="1600"/>
      <c r="K37" s="1600">
        <v>3.4</v>
      </c>
      <c r="L37" s="1600">
        <v>7.4</v>
      </c>
      <c r="M37" s="1600">
        <f t="shared" si="9"/>
        <v>80.43478260869567</v>
      </c>
      <c r="N37" s="1600">
        <v>10.1</v>
      </c>
      <c r="O37" s="1600"/>
      <c r="P37" s="1597">
        <v>0</v>
      </c>
      <c r="Q37" s="1600"/>
      <c r="R37" s="1600">
        <f t="shared" si="55"/>
        <v>0</v>
      </c>
      <c r="S37" s="1597">
        <v>6.1</v>
      </c>
      <c r="T37" s="1597"/>
      <c r="U37" s="1597">
        <v>10</v>
      </c>
      <c r="V37" s="1597">
        <v>8.4</v>
      </c>
      <c r="W37" s="3194"/>
      <c r="X37" s="2578">
        <f t="shared" si="57"/>
        <v>0</v>
      </c>
      <c r="Y37" s="2578"/>
      <c r="Z37" s="2578"/>
      <c r="AA37" s="2578">
        <v>18.100000000000001</v>
      </c>
      <c r="AB37" s="2578">
        <v>6</v>
      </c>
      <c r="AC37" s="2578">
        <f>AB37</f>
        <v>6</v>
      </c>
      <c r="AD37" s="3194"/>
      <c r="AE37" s="2578">
        <v>2.48</v>
      </c>
      <c r="AF37" s="2578">
        <v>13.32</v>
      </c>
      <c r="AG37" s="2578">
        <f>SUM(AA37*1.1)</f>
        <v>19.910000000000004</v>
      </c>
      <c r="AH37" s="2578">
        <f>AF37/3*4*1.062</f>
        <v>18.861120000000003</v>
      </c>
      <c r="AI37" s="2578">
        <v>27.34</v>
      </c>
      <c r="AJ37" s="2578">
        <v>19.64</v>
      </c>
      <c r="AK37" s="2578">
        <v>21.09</v>
      </c>
      <c r="AL37" s="2578">
        <v>9.6</v>
      </c>
      <c r="AM37" s="2578">
        <v>21.73</v>
      </c>
      <c r="AN37" s="2578">
        <f t="shared" si="60"/>
        <v>21.73</v>
      </c>
      <c r="AO37" s="1597">
        <f>SUM(AN37*1.046)</f>
        <v>22.729580000000002</v>
      </c>
      <c r="AP37" s="1597">
        <f t="shared" si="24"/>
        <v>22.158081000000003</v>
      </c>
      <c r="AQ37" s="2578">
        <v>7.2</v>
      </c>
      <c r="AR37" s="2578">
        <v>21.87</v>
      </c>
      <c r="AS37" s="2578">
        <v>28.43</v>
      </c>
      <c r="AT37" s="3611">
        <f t="shared" si="61"/>
        <v>29.440402200000001</v>
      </c>
      <c r="AU37" s="3615">
        <v>29.45</v>
      </c>
      <c r="AV37" s="5676" t="s">
        <v>2054</v>
      </c>
      <c r="AW37" s="5677"/>
      <c r="AX37" s="5677"/>
      <c r="AY37" s="2578">
        <v>34.69</v>
      </c>
      <c r="AZ37" s="2578">
        <v>49.58</v>
      </c>
      <c r="BA37" s="2578">
        <v>62</v>
      </c>
      <c r="BB37" s="1597">
        <f>SUM(BA37*1.05)*(1-0.01)</f>
        <v>64.449000000000012</v>
      </c>
      <c r="BC37" s="3204">
        <f t="shared" si="56"/>
        <v>24.103273157458666</v>
      </c>
      <c r="BD37" s="2578">
        <v>35.979999999999997</v>
      </c>
      <c r="BE37" s="2578">
        <v>48.375</v>
      </c>
      <c r="BF37" s="2578">
        <v>60.795000000000002</v>
      </c>
      <c r="BG37" s="3209">
        <f t="shared" si="42"/>
        <v>25.055352447178283</v>
      </c>
      <c r="BH37" s="4163">
        <f>AN37*0.99*1.034*0.99*1.067*0.99*1.139*0.99*1.06</f>
        <v>27.804497601824018</v>
      </c>
      <c r="BI37" s="4702">
        <v>28.17</v>
      </c>
      <c r="BJ37" s="4702">
        <v>874.46</v>
      </c>
    </row>
    <row r="38" spans="1:62" ht="18.75" customHeight="1" x14ac:dyDescent="0.2">
      <c r="A38" s="3195" t="s">
        <v>883</v>
      </c>
      <c r="B38" s="3196">
        <v>141.6</v>
      </c>
      <c r="C38" s="1725">
        <v>138.1</v>
      </c>
      <c r="D38" s="1725">
        <f>C38/B38*100</f>
        <v>97.528248587570616</v>
      </c>
      <c r="E38" s="1600">
        <v>344.7</v>
      </c>
      <c r="F38" s="1600">
        <f t="shared" si="7"/>
        <v>249.6017378711079</v>
      </c>
      <c r="G38" s="1600">
        <v>361.6</v>
      </c>
      <c r="H38" s="1600">
        <f t="shared" si="8"/>
        <v>104.90281404119526</v>
      </c>
      <c r="I38" s="1597">
        <v>373.9</v>
      </c>
      <c r="J38" s="1600">
        <v>179.1</v>
      </c>
      <c r="K38" s="1600"/>
      <c r="L38" s="1600">
        <v>711.9</v>
      </c>
      <c r="M38" s="1600">
        <f t="shared" si="9"/>
        <v>196.87499999999997</v>
      </c>
      <c r="N38" s="1600">
        <v>411.29</v>
      </c>
      <c r="O38" s="1600">
        <f t="shared" si="10"/>
        <v>110.00000000000001</v>
      </c>
      <c r="P38" s="1597">
        <v>392.2</v>
      </c>
      <c r="Q38" s="1600">
        <f t="shared" si="11"/>
        <v>104.89435677988767</v>
      </c>
      <c r="R38" s="1600">
        <f>P38/L38*100</f>
        <v>55.092007304396681</v>
      </c>
      <c r="S38" s="1597">
        <v>-59.3</v>
      </c>
      <c r="T38" s="1597"/>
      <c r="U38" s="1597">
        <v>-59.3</v>
      </c>
      <c r="V38" s="1597">
        <v>747.6</v>
      </c>
      <c r="W38" s="3194">
        <f t="shared" si="12"/>
        <v>1.906170321264661</v>
      </c>
      <c r="X38" s="2578">
        <f>150.21/2*3.23+150.21/2*3.35</f>
        <v>494.19090000000006</v>
      </c>
      <c r="Y38" s="2578"/>
      <c r="Z38" s="2578"/>
      <c r="AA38" s="2578">
        <v>0</v>
      </c>
      <c r="AB38" s="2578">
        <v>510.06</v>
      </c>
      <c r="AC38" s="2578">
        <f>X38</f>
        <v>494.19090000000006</v>
      </c>
      <c r="AD38" s="3194">
        <f t="shared" si="13"/>
        <v>1</v>
      </c>
      <c r="AE38" s="2578">
        <v>0</v>
      </c>
      <c r="AF38" s="2578">
        <v>0</v>
      </c>
      <c r="AG38" s="2578">
        <f>SUM(AC38*1.1)</f>
        <v>543.60999000000015</v>
      </c>
      <c r="AH38" s="2578">
        <v>318.05</v>
      </c>
      <c r="AI38" s="2578">
        <v>61.43</v>
      </c>
      <c r="AJ38" s="2578">
        <v>0</v>
      </c>
      <c r="AK38" s="2578">
        <v>437.59</v>
      </c>
      <c r="AL38" s="2578">
        <v>0</v>
      </c>
      <c r="AM38" s="2578">
        <v>450.72</v>
      </c>
      <c r="AN38" s="2578">
        <v>0</v>
      </c>
      <c r="AO38" s="1597">
        <v>0</v>
      </c>
      <c r="AP38" s="1597">
        <f t="shared" si="24"/>
        <v>0</v>
      </c>
      <c r="AQ38" s="2578"/>
      <c r="AR38" s="2578"/>
      <c r="AS38" s="2578"/>
      <c r="AT38" s="3611">
        <v>0</v>
      </c>
      <c r="AU38" s="3615">
        <f t="shared" si="40"/>
        <v>0</v>
      </c>
      <c r="AV38" s="5683" t="s">
        <v>2056</v>
      </c>
      <c r="AW38" s="5684"/>
      <c r="AX38" s="5684"/>
      <c r="AY38" s="5664" t="s">
        <v>3881</v>
      </c>
      <c r="AZ38" s="5665"/>
      <c r="BA38" s="5665"/>
      <c r="BB38" s="5665"/>
      <c r="BC38" s="5665"/>
      <c r="BD38" s="5666"/>
      <c r="BE38" s="5666"/>
      <c r="BF38" s="5666"/>
      <c r="BG38" s="5666"/>
      <c r="BH38" s="5666"/>
      <c r="BI38" s="5586"/>
      <c r="BJ38" s="5587"/>
    </row>
    <row r="39" spans="1:62" ht="19.5" customHeight="1" x14ac:dyDescent="0.2">
      <c r="A39" s="3195" t="s">
        <v>538</v>
      </c>
      <c r="B39" s="3196"/>
      <c r="C39" s="1725"/>
      <c r="D39" s="1725"/>
      <c r="E39" s="1600"/>
      <c r="F39" s="1600"/>
      <c r="G39" s="1600">
        <v>135.19999999999999</v>
      </c>
      <c r="H39" s="1600"/>
      <c r="I39" s="1597">
        <v>23.7</v>
      </c>
      <c r="J39" s="1600"/>
      <c r="K39" s="1600">
        <v>758.8</v>
      </c>
      <c r="L39" s="1600">
        <v>0</v>
      </c>
      <c r="M39" s="1600">
        <f t="shared" si="9"/>
        <v>0</v>
      </c>
      <c r="N39" s="1600">
        <v>148.69999999999999</v>
      </c>
      <c r="O39" s="1600">
        <f t="shared" si="10"/>
        <v>627.42616033755269</v>
      </c>
      <c r="P39" s="1597">
        <v>138.4</v>
      </c>
      <c r="Q39" s="1600">
        <f t="shared" si="11"/>
        <v>583.96624472573842</v>
      </c>
      <c r="R39" s="1600" t="e">
        <f>P39/L39*100</f>
        <v>#DIV/0!</v>
      </c>
      <c r="S39" s="1597">
        <v>689</v>
      </c>
      <c r="T39" s="1597"/>
      <c r="U39" s="1597">
        <v>691.8</v>
      </c>
      <c r="V39" s="1597">
        <v>142.80000000000001</v>
      </c>
      <c r="W39" s="3194">
        <f t="shared" si="12"/>
        <v>1.0317919075144508</v>
      </c>
      <c r="X39" s="2578">
        <f t="shared" si="57"/>
        <v>145.04320000000001</v>
      </c>
      <c r="Y39" s="2578"/>
      <c r="Z39" s="2578"/>
      <c r="AA39" s="2578">
        <v>217.6</v>
      </c>
      <c r="AB39" s="2578">
        <v>0</v>
      </c>
      <c r="AC39" s="2578">
        <v>135.18</v>
      </c>
      <c r="AD39" s="3194">
        <f t="shared" si="13"/>
        <v>0.93199819088381941</v>
      </c>
      <c r="AE39" s="2578">
        <v>0</v>
      </c>
      <c r="AF39" s="2578">
        <v>177.8</v>
      </c>
      <c r="AG39" s="2578">
        <f>SUM(AA39*1.1)</f>
        <v>239.36</v>
      </c>
      <c r="AH39" s="2578">
        <f>AG39</f>
        <v>239.36</v>
      </c>
      <c r="AI39" s="2578">
        <v>895.92</v>
      </c>
      <c r="AJ39" s="2578">
        <v>444.29</v>
      </c>
      <c r="AK39" s="2578">
        <v>267.69</v>
      </c>
      <c r="AL39" s="2578">
        <v>1306.8699999999999</v>
      </c>
      <c r="AM39" s="2578">
        <v>471.35</v>
      </c>
      <c r="AN39" s="2578">
        <f>AM39</f>
        <v>471.35</v>
      </c>
      <c r="AO39" s="1597">
        <f>SUM(AL39*1.046)</f>
        <v>1366.9860199999998</v>
      </c>
      <c r="AP39" s="1597">
        <f t="shared" si="24"/>
        <v>480.63559500000002</v>
      </c>
      <c r="AQ39" s="2578">
        <v>35.76</v>
      </c>
      <c r="AR39" s="2578">
        <v>41.22</v>
      </c>
      <c r="AS39" s="2578">
        <v>74.55</v>
      </c>
      <c r="AT39" s="3611">
        <f t="shared" ref="AT39" si="62">SUM(AP39*1.046)*(1-0.01)</f>
        <v>497.71738404630003</v>
      </c>
      <c r="AU39" s="3615">
        <f t="shared" si="40"/>
        <v>493.9162937755201</v>
      </c>
      <c r="AV39" s="5676" t="s">
        <v>2054</v>
      </c>
      <c r="AW39" s="5677"/>
      <c r="AX39" s="5677"/>
      <c r="AY39" s="2578">
        <v>46.83</v>
      </c>
      <c r="AZ39" s="2578">
        <v>96.17</v>
      </c>
      <c r="BA39" s="2578">
        <v>112.76</v>
      </c>
      <c r="BB39" s="1597">
        <f>SUM(AU39*1.05)*(1-0.01)</f>
        <v>513.42598737965318</v>
      </c>
      <c r="BC39" s="3204">
        <f t="shared" si="56"/>
        <v>522.82916717754915</v>
      </c>
      <c r="BD39" s="2578">
        <v>2.1549999999999998</v>
      </c>
      <c r="BE39" s="2578">
        <v>18.355</v>
      </c>
      <c r="BF39" s="2578">
        <v>21.295000000000002</v>
      </c>
      <c r="BG39" s="3209">
        <f t="shared" si="42"/>
        <v>543.48091928106237</v>
      </c>
      <c r="BH39" s="4163">
        <f t="shared" ref="BH39:BH44" si="63">AN39*0.99*1.034*0.99*1.067*0.99*1.139*0.99*1.06</f>
        <v>603.11320499860813</v>
      </c>
      <c r="BI39" s="4702">
        <v>33.911000000000001</v>
      </c>
      <c r="BJ39" s="4702">
        <v>109.26</v>
      </c>
    </row>
    <row r="40" spans="1:62" ht="36.75" customHeight="1" x14ac:dyDescent="0.2">
      <c r="A40" s="3195" t="s">
        <v>542</v>
      </c>
      <c r="B40" s="3196">
        <v>21.1</v>
      </c>
      <c r="C40" s="3196">
        <v>22</v>
      </c>
      <c r="D40" s="1725">
        <f>C40/B40*100</f>
        <v>104.26540284360189</v>
      </c>
      <c r="E40" s="1600">
        <v>23.2</v>
      </c>
      <c r="F40" s="1600">
        <f t="shared" si="7"/>
        <v>105.45454545454544</v>
      </c>
      <c r="G40" s="1600">
        <v>26.6</v>
      </c>
      <c r="H40" s="1600">
        <f t="shared" si="8"/>
        <v>114.65517241379311</v>
      </c>
      <c r="I40" s="1597">
        <f>E40*1.03</f>
        <v>23.896000000000001</v>
      </c>
      <c r="J40" s="1600">
        <v>8.6999999999999993</v>
      </c>
      <c r="K40" s="1600">
        <v>23.5</v>
      </c>
      <c r="L40" s="1600">
        <v>26.9</v>
      </c>
      <c r="M40" s="1600">
        <f t="shared" si="9"/>
        <v>101.12781954887218</v>
      </c>
      <c r="N40" s="1600">
        <v>30.59</v>
      </c>
      <c r="O40" s="1600">
        <f t="shared" si="10"/>
        <v>128.01305657850685</v>
      </c>
      <c r="P40" s="1597">
        <v>27.9</v>
      </c>
      <c r="Q40" s="1600">
        <f t="shared" si="11"/>
        <v>116.75594241714093</v>
      </c>
      <c r="R40" s="1600">
        <f>P40/L40*100</f>
        <v>103.71747211895909</v>
      </c>
      <c r="S40" s="1597">
        <v>10.199999999999999</v>
      </c>
      <c r="T40" s="1597"/>
      <c r="U40" s="1597">
        <v>26.9</v>
      </c>
      <c r="V40" s="1597">
        <v>33.325000000000003</v>
      </c>
      <c r="W40" s="3194">
        <f t="shared" si="12"/>
        <v>1.1944444444444446</v>
      </c>
      <c r="X40" s="2578">
        <f t="shared" si="57"/>
        <v>29.2392</v>
      </c>
      <c r="Y40" s="2578"/>
      <c r="Z40" s="2578"/>
      <c r="AA40" s="2578">
        <v>29.3</v>
      </c>
      <c r="AB40" s="2578">
        <v>30.49</v>
      </c>
      <c r="AC40" s="2578">
        <f>AB40</f>
        <v>30.49</v>
      </c>
      <c r="AD40" s="3194">
        <f t="shared" si="13"/>
        <v>1.0427781881857232</v>
      </c>
      <c r="AE40" s="2578">
        <v>10.45</v>
      </c>
      <c r="AF40" s="2578">
        <v>24.59</v>
      </c>
      <c r="AG40" s="2578">
        <f>SUM(AC40*1.1)</f>
        <v>33.539000000000001</v>
      </c>
      <c r="AH40" s="2578">
        <f>AF40/3*4*1.062</f>
        <v>34.819440000000007</v>
      </c>
      <c r="AI40" s="2578">
        <v>29.75</v>
      </c>
      <c r="AJ40" s="2578">
        <v>31.24</v>
      </c>
      <c r="AK40" s="2578">
        <v>38.94</v>
      </c>
      <c r="AL40" s="2578">
        <v>42.54</v>
      </c>
      <c r="AM40" s="2578">
        <v>40.11</v>
      </c>
      <c r="AN40" s="2578">
        <f>AJ40*1.027*1.046</f>
        <v>33.559320079999992</v>
      </c>
      <c r="AO40" s="1597">
        <f>SUM(AL40*1.046)</f>
        <v>44.496839999999999</v>
      </c>
      <c r="AP40" s="1597">
        <f t="shared" si="24"/>
        <v>34.220438685575992</v>
      </c>
      <c r="AQ40" s="2578">
        <v>27.684999999999999</v>
      </c>
      <c r="AR40" s="2578">
        <v>44.22</v>
      </c>
      <c r="AS40" s="2578">
        <v>46.23</v>
      </c>
      <c r="AT40" s="3611">
        <f t="shared" ref="AT40:AT41" si="64">SUM(AS40*1.046)*(1-0.01)</f>
        <v>47.8730142</v>
      </c>
      <c r="AU40" s="3615">
        <v>52.13</v>
      </c>
      <c r="AV40" s="5667" t="s">
        <v>2053</v>
      </c>
      <c r="AW40" s="5668"/>
      <c r="AX40" s="5668"/>
      <c r="AY40" s="2578">
        <v>6.96</v>
      </c>
      <c r="AZ40" s="2578">
        <v>50.32</v>
      </c>
      <c r="BA40" s="2578">
        <v>52.23</v>
      </c>
      <c r="BB40" s="1597">
        <f>SUM(BA40*1.05)*(1-0.01)</f>
        <v>54.293084999999998</v>
      </c>
      <c r="BC40" s="3204">
        <f t="shared" si="56"/>
        <v>37.224549418629884</v>
      </c>
      <c r="BD40" s="2578">
        <v>54.875</v>
      </c>
      <c r="BE40" s="2578">
        <v>66.745000000000005</v>
      </c>
      <c r="BF40" s="2578">
        <v>74.594999999999999</v>
      </c>
      <c r="BG40" s="3209">
        <f t="shared" si="42"/>
        <v>38.694919120665766</v>
      </c>
      <c r="BH40" s="4163">
        <f t="shared" si="63"/>
        <v>42.940636662825796</v>
      </c>
      <c r="BI40" s="4702">
        <v>36.244</v>
      </c>
      <c r="BJ40" s="4702">
        <v>76.581000000000003</v>
      </c>
    </row>
    <row r="41" spans="1:62" ht="18.75" x14ac:dyDescent="0.2">
      <c r="A41" s="3195" t="s">
        <v>596</v>
      </c>
      <c r="B41" s="3196"/>
      <c r="C41" s="3196"/>
      <c r="D41" s="1725"/>
      <c r="E41" s="1600">
        <f>9.9+12.2</f>
        <v>22.1</v>
      </c>
      <c r="F41" s="1600"/>
      <c r="G41" s="1600">
        <v>2.9</v>
      </c>
      <c r="H41" s="1600">
        <f t="shared" si="8"/>
        <v>13.122171945701355</v>
      </c>
      <c r="I41" s="1597">
        <v>2.5</v>
      </c>
      <c r="J41" s="1600">
        <v>2.4</v>
      </c>
      <c r="K41" s="1600">
        <v>19.600000000000001</v>
      </c>
      <c r="L41" s="1600">
        <v>205.8</v>
      </c>
      <c r="M41" s="1600">
        <f t="shared" si="9"/>
        <v>7096.5517241379321</v>
      </c>
      <c r="N41" s="1600"/>
      <c r="O41" s="1600">
        <f t="shared" si="10"/>
        <v>0</v>
      </c>
      <c r="P41" s="1597">
        <v>0</v>
      </c>
      <c r="Q41" s="1600">
        <f t="shared" si="11"/>
        <v>0</v>
      </c>
      <c r="R41" s="1600"/>
      <c r="S41" s="1597">
        <v>8.3000000000000007</v>
      </c>
      <c r="T41" s="1597"/>
      <c r="U41" s="1597"/>
      <c r="V41" s="1597">
        <v>0</v>
      </c>
      <c r="W41" s="3194"/>
      <c r="X41" s="2578">
        <f t="shared" si="57"/>
        <v>0</v>
      </c>
      <c r="Y41" s="2578"/>
      <c r="Z41" s="2578"/>
      <c r="AA41" s="2578">
        <v>0</v>
      </c>
      <c r="AB41" s="2578">
        <v>0</v>
      </c>
      <c r="AC41" s="2578">
        <v>0</v>
      </c>
      <c r="AD41" s="3194"/>
      <c r="AE41" s="2578">
        <v>0.35</v>
      </c>
      <c r="AF41" s="2578">
        <v>0.44</v>
      </c>
      <c r="AG41" s="2578">
        <v>0</v>
      </c>
      <c r="AH41" s="2578"/>
      <c r="AI41" s="2578">
        <v>2.63</v>
      </c>
      <c r="AJ41" s="2578">
        <v>0</v>
      </c>
      <c r="AK41" s="2578">
        <v>0</v>
      </c>
      <c r="AL41" s="2578">
        <v>0.48</v>
      </c>
      <c r="AM41" s="2578">
        <v>0</v>
      </c>
      <c r="AN41" s="2578">
        <v>0</v>
      </c>
      <c r="AO41" s="1597">
        <f>SUM(AL41*1.046)</f>
        <v>0.50207999999999997</v>
      </c>
      <c r="AP41" s="1597">
        <f t="shared" si="24"/>
        <v>0</v>
      </c>
      <c r="AQ41" s="2578">
        <v>0.85499999999999998</v>
      </c>
      <c r="AR41" s="2578">
        <v>0.85699999999999998</v>
      </c>
      <c r="AS41" s="2578">
        <v>1</v>
      </c>
      <c r="AT41" s="3611">
        <f t="shared" si="64"/>
        <v>1.0355400000000001</v>
      </c>
      <c r="AU41" s="3615">
        <v>4.1500000000000004</v>
      </c>
      <c r="AV41" s="5676"/>
      <c r="AW41" s="5677"/>
      <c r="AX41" s="5677"/>
      <c r="AY41" s="2578">
        <v>3.41</v>
      </c>
      <c r="AZ41" s="2578">
        <v>4.01</v>
      </c>
      <c r="BA41" s="2578">
        <v>2.61</v>
      </c>
      <c r="BB41" s="1597">
        <f>SUM(AU41*1.05)*(1-0.01)</f>
        <v>4.3139250000000011</v>
      </c>
      <c r="BC41" s="3204">
        <f t="shared" si="56"/>
        <v>0</v>
      </c>
      <c r="BD41" s="2578">
        <v>0.5</v>
      </c>
      <c r="BE41" s="2578">
        <v>0.6</v>
      </c>
      <c r="BF41" s="2578">
        <v>0.6</v>
      </c>
      <c r="BG41" s="3209">
        <f t="shared" si="42"/>
        <v>0</v>
      </c>
      <c r="BH41" s="4163">
        <f t="shared" si="63"/>
        <v>0</v>
      </c>
      <c r="BI41" s="4702">
        <v>0</v>
      </c>
      <c r="BJ41" s="4702">
        <v>7.0000000000000007E-2</v>
      </c>
    </row>
    <row r="42" spans="1:62" ht="37.5" customHeight="1" x14ac:dyDescent="0.2">
      <c r="A42" s="3195" t="s">
        <v>567</v>
      </c>
      <c r="B42" s="3196"/>
      <c r="C42" s="3196"/>
      <c r="D42" s="1725"/>
      <c r="E42" s="1600"/>
      <c r="F42" s="1600"/>
      <c r="G42" s="1600">
        <v>10.4</v>
      </c>
      <c r="H42" s="1600"/>
      <c r="I42" s="1597"/>
      <c r="J42" s="1600"/>
      <c r="K42" s="1600">
        <v>7</v>
      </c>
      <c r="L42" s="1600">
        <v>7</v>
      </c>
      <c r="M42" s="1600">
        <f t="shared" si="9"/>
        <v>67.307692307692307</v>
      </c>
      <c r="N42" s="1600">
        <v>30.8</v>
      </c>
      <c r="O42" s="1600"/>
      <c r="P42" s="1597">
        <v>29.4</v>
      </c>
      <c r="Q42" s="1600"/>
      <c r="R42" s="1600"/>
      <c r="S42" s="1597">
        <v>0</v>
      </c>
      <c r="T42" s="1597"/>
      <c r="U42" s="1597">
        <v>7.7</v>
      </c>
      <c r="V42" s="1597">
        <v>31.5</v>
      </c>
      <c r="W42" s="3194">
        <f t="shared" si="12"/>
        <v>1.0714285714285714</v>
      </c>
      <c r="X42" s="2578">
        <f t="shared" si="57"/>
        <v>30.811199999999999</v>
      </c>
      <c r="Y42" s="2578"/>
      <c r="Z42" s="2578"/>
      <c r="AA42" s="2578">
        <v>3.8</v>
      </c>
      <c r="AB42" s="2578">
        <v>63.4</v>
      </c>
      <c r="AC42" s="2578">
        <f>X42*1.049</f>
        <v>32.320948799999996</v>
      </c>
      <c r="AD42" s="3194">
        <f t="shared" si="13"/>
        <v>1.0489999999999999</v>
      </c>
      <c r="AE42" s="2578">
        <v>14.3</v>
      </c>
      <c r="AF42" s="2578">
        <v>18.79</v>
      </c>
      <c r="AG42" s="2578">
        <f>SUM(AC42*1.1)</f>
        <v>35.553043680000002</v>
      </c>
      <c r="AH42" s="2578">
        <f>AG42</f>
        <v>35.553043680000002</v>
      </c>
      <c r="AI42" s="2578">
        <v>75.69</v>
      </c>
      <c r="AJ42" s="2578">
        <v>47.59</v>
      </c>
      <c r="AK42" s="2578">
        <v>39.76</v>
      </c>
      <c r="AL42" s="2578">
        <v>7.19</v>
      </c>
      <c r="AM42" s="2578">
        <v>50.49</v>
      </c>
      <c r="AN42" s="2578">
        <f>AJ42</f>
        <v>47.59</v>
      </c>
      <c r="AO42" s="1597">
        <f>SUM(AN42*1.046)</f>
        <v>49.779140000000005</v>
      </c>
      <c r="AP42" s="1597">
        <f t="shared" si="24"/>
        <v>48.527523000000002</v>
      </c>
      <c r="AQ42" s="2578">
        <v>20.37</v>
      </c>
      <c r="AR42" s="2578">
        <v>21.065000000000001</v>
      </c>
      <c r="AS42" s="2578">
        <v>21.06</v>
      </c>
      <c r="AT42" s="3611">
        <f t="shared" ref="AT42" si="65">SUM(AP42*1.046)*(1-0.01)</f>
        <v>50.252191167420001</v>
      </c>
      <c r="AU42" s="3615">
        <f t="shared" si="40"/>
        <v>49.868412900768007</v>
      </c>
      <c r="AV42" s="5676" t="s">
        <v>2060</v>
      </c>
      <c r="AW42" s="5677"/>
      <c r="AX42" s="5677"/>
      <c r="AY42" s="2578">
        <v>0</v>
      </c>
      <c r="AZ42" s="2578">
        <v>0</v>
      </c>
      <c r="BA42" s="2578">
        <v>18</v>
      </c>
      <c r="BB42" s="1597">
        <f>SUM(AU42*1.05)*(1-0.01)</f>
        <v>51.838215210348345</v>
      </c>
      <c r="BC42" s="3204">
        <f t="shared" si="56"/>
        <v>52.787610196201463</v>
      </c>
      <c r="BD42" s="2578">
        <v>0</v>
      </c>
      <c r="BE42" s="2578">
        <v>0</v>
      </c>
      <c r="BF42" s="2578">
        <v>0</v>
      </c>
      <c r="BG42" s="3209">
        <f t="shared" si="42"/>
        <v>54.87272079895142</v>
      </c>
      <c r="BH42" s="4163">
        <f t="shared" si="63"/>
        <v>60.893513155582397</v>
      </c>
      <c r="BI42" s="4702">
        <v>0</v>
      </c>
      <c r="BJ42" s="4702">
        <v>19.603999999999999</v>
      </c>
    </row>
    <row r="43" spans="1:62" ht="18.75" x14ac:dyDescent="0.2">
      <c r="A43" s="3195" t="s">
        <v>543</v>
      </c>
      <c r="B43" s="3196"/>
      <c r="C43" s="3196"/>
      <c r="D43" s="1725"/>
      <c r="E43" s="1600"/>
      <c r="F43" s="1600"/>
      <c r="G43" s="1600">
        <v>60.1</v>
      </c>
      <c r="H43" s="1600"/>
      <c r="I43" s="1597"/>
      <c r="J43" s="1600"/>
      <c r="K43" s="1600"/>
      <c r="L43" s="1600">
        <v>51.4</v>
      </c>
      <c r="M43" s="1600">
        <f t="shared" si="9"/>
        <v>85.52412645590681</v>
      </c>
      <c r="N43" s="1600">
        <v>66.099999999999994</v>
      </c>
      <c r="O43" s="1600"/>
      <c r="P43" s="1597">
        <v>0</v>
      </c>
      <c r="Q43" s="1600"/>
      <c r="R43" s="1600"/>
      <c r="S43" s="1597">
        <v>0</v>
      </c>
      <c r="T43" s="1597"/>
      <c r="U43" s="1597">
        <v>106.8</v>
      </c>
      <c r="V43" s="1597">
        <v>62.2</v>
      </c>
      <c r="W43" s="3194"/>
      <c r="X43" s="2578">
        <f t="shared" si="57"/>
        <v>0</v>
      </c>
      <c r="Y43" s="2578"/>
      <c r="Z43" s="2578"/>
      <c r="AA43" s="2578">
        <v>66.400000000000006</v>
      </c>
      <c r="AB43" s="2578">
        <v>106.8</v>
      </c>
      <c r="AC43" s="2578">
        <f>AB43</f>
        <v>106.8</v>
      </c>
      <c r="AD43" s="3194"/>
      <c r="AE43" s="2578">
        <v>34.950000000000003</v>
      </c>
      <c r="AF43" s="2578">
        <v>52.45</v>
      </c>
      <c r="AG43" s="2578">
        <f>SUM(AC43*1.1)</f>
        <v>117.48</v>
      </c>
      <c r="AH43" s="2578">
        <f>AA43</f>
        <v>66.400000000000006</v>
      </c>
      <c r="AI43" s="2578">
        <v>74.64</v>
      </c>
      <c r="AJ43" s="2578">
        <v>82.71</v>
      </c>
      <c r="AK43" s="2578">
        <v>66.400000000000006</v>
      </c>
      <c r="AL43" s="2578">
        <v>86.34</v>
      </c>
      <c r="AM43" s="2578">
        <v>87.75</v>
      </c>
      <c r="AN43" s="2578">
        <v>0</v>
      </c>
      <c r="AO43" s="1597">
        <v>0</v>
      </c>
      <c r="AP43" s="1597">
        <f t="shared" si="24"/>
        <v>0</v>
      </c>
      <c r="AQ43" s="2578">
        <v>44.86</v>
      </c>
      <c r="AR43" s="2578">
        <v>67.290000000000006</v>
      </c>
      <c r="AS43" s="2578">
        <v>89.74</v>
      </c>
      <c r="AT43" s="3611">
        <f>SUM('Аренда земли'!Y16)</f>
        <v>93.10991940000001</v>
      </c>
      <c r="AU43" s="3615">
        <f t="shared" si="40"/>
        <v>0</v>
      </c>
      <c r="AV43" s="5683" t="s">
        <v>2056</v>
      </c>
      <c r="AW43" s="5684"/>
      <c r="AX43" s="5684"/>
      <c r="AY43" s="2578">
        <v>28.2</v>
      </c>
      <c r="AZ43" s="2578">
        <v>42.3</v>
      </c>
      <c r="BA43" s="2578">
        <v>56.38</v>
      </c>
      <c r="BB43" s="1597">
        <f>SUM(BA43*1.05)*(1-0.01)</f>
        <v>58.607010000000002</v>
      </c>
      <c r="BC43" s="3204">
        <f t="shared" si="56"/>
        <v>0</v>
      </c>
      <c r="BD43" s="2578">
        <v>28.9</v>
      </c>
      <c r="BE43" s="2578">
        <v>43.585000000000001</v>
      </c>
      <c r="BF43" s="2578">
        <v>58.274999999999999</v>
      </c>
      <c r="BG43" s="3209">
        <f t="shared" si="42"/>
        <v>0</v>
      </c>
      <c r="BH43" s="4163">
        <f t="shared" si="63"/>
        <v>0</v>
      </c>
      <c r="BI43" s="4702">
        <v>30.15</v>
      </c>
      <c r="BJ43" s="4702">
        <v>60.8</v>
      </c>
    </row>
    <row r="44" spans="1:62" ht="18.75" x14ac:dyDescent="0.2">
      <c r="A44" s="3195" t="s">
        <v>568</v>
      </c>
      <c r="B44" s="3196"/>
      <c r="C44" s="3196"/>
      <c r="D44" s="1725"/>
      <c r="E44" s="1600"/>
      <c r="F44" s="1600"/>
      <c r="G44" s="1600">
        <v>0.8</v>
      </c>
      <c r="H44" s="1600"/>
      <c r="I44" s="1597"/>
      <c r="J44" s="1600"/>
      <c r="K44" s="1600"/>
      <c r="L44" s="1600">
        <v>0</v>
      </c>
      <c r="M44" s="1600">
        <f t="shared" si="9"/>
        <v>0</v>
      </c>
      <c r="N44" s="1600">
        <v>0.9</v>
      </c>
      <c r="O44" s="1600"/>
      <c r="P44" s="1597">
        <f>L44*1.049</f>
        <v>0</v>
      </c>
      <c r="Q44" s="1600"/>
      <c r="R44" s="1600"/>
      <c r="S44" s="1597">
        <v>0</v>
      </c>
      <c r="T44" s="1597"/>
      <c r="U44" s="1597"/>
      <c r="V44" s="1597">
        <v>0</v>
      </c>
      <c r="W44" s="3194"/>
      <c r="X44" s="2578">
        <f t="shared" si="57"/>
        <v>0</v>
      </c>
      <c r="Y44" s="2578"/>
      <c r="Z44" s="2578"/>
      <c r="AA44" s="2578">
        <v>0</v>
      </c>
      <c r="AB44" s="2578"/>
      <c r="AC44" s="2578"/>
      <c r="AD44" s="3194"/>
      <c r="AE44" s="2578">
        <v>0</v>
      </c>
      <c r="AF44" s="2578">
        <v>0</v>
      </c>
      <c r="AG44" s="2578">
        <v>0</v>
      </c>
      <c r="AH44" s="2578">
        <v>0</v>
      </c>
      <c r="AI44" s="2578">
        <v>0</v>
      </c>
      <c r="AJ44" s="2578">
        <v>0</v>
      </c>
      <c r="AK44" s="2578">
        <v>0</v>
      </c>
      <c r="AL44" s="2578">
        <v>0</v>
      </c>
      <c r="AM44" s="2578">
        <v>0</v>
      </c>
      <c r="AN44" s="2578">
        <v>0</v>
      </c>
      <c r="AO44" s="1597"/>
      <c r="AP44" s="1597">
        <f t="shared" si="24"/>
        <v>0</v>
      </c>
      <c r="AQ44" s="2578">
        <v>0</v>
      </c>
      <c r="AR44" s="2578">
        <v>0</v>
      </c>
      <c r="AS44" s="2578">
        <v>0</v>
      </c>
      <c r="AT44" s="3611">
        <v>0</v>
      </c>
      <c r="AU44" s="3615">
        <f t="shared" si="40"/>
        <v>0</v>
      </c>
      <c r="AV44" s="5676"/>
      <c r="AW44" s="5677"/>
      <c r="AX44" s="5677"/>
      <c r="AY44" s="2578">
        <v>0</v>
      </c>
      <c r="AZ44" s="2578">
        <v>0</v>
      </c>
      <c r="BA44" s="2578">
        <v>0</v>
      </c>
      <c r="BB44" s="1597">
        <v>0</v>
      </c>
      <c r="BC44" s="3204">
        <f t="shared" si="56"/>
        <v>0</v>
      </c>
      <c r="BD44" s="2578">
        <v>0</v>
      </c>
      <c r="BE44" s="2578">
        <v>0</v>
      </c>
      <c r="BF44" s="2578">
        <v>0</v>
      </c>
      <c r="BG44" s="3209">
        <f t="shared" si="42"/>
        <v>0</v>
      </c>
      <c r="BH44" s="4163">
        <f t="shared" si="63"/>
        <v>0</v>
      </c>
      <c r="BI44" s="4702">
        <v>0</v>
      </c>
      <c r="BJ44" s="4702">
        <v>0</v>
      </c>
    </row>
    <row r="45" spans="1:62" ht="19.5" x14ac:dyDescent="0.2">
      <c r="A45" s="3200" t="s">
        <v>54</v>
      </c>
      <c r="B45" s="1722">
        <f>B9+B12+B14+B15+B16+B18+B24+B25</f>
        <v>7525.8</v>
      </c>
      <c r="C45" s="1723">
        <f>C9+C12+C14+C15+C16+C18+C24+C25</f>
        <v>7792.2999999999993</v>
      </c>
      <c r="D45" s="1725">
        <f>C45/B45*100</f>
        <v>103.54115177124027</v>
      </c>
      <c r="E45" s="1601">
        <f>E9+E12+E14+E15+E16+E18+E24+E25</f>
        <v>10451.099999999999</v>
      </c>
      <c r="F45" s="1600">
        <f t="shared" si="7"/>
        <v>134.12086290312232</v>
      </c>
      <c r="G45" s="1601">
        <f>G9+G12+G14+G15+G16+G18+G24+G25</f>
        <v>10385.700000000001</v>
      </c>
      <c r="H45" s="1600">
        <f t="shared" si="8"/>
        <v>99.374228550104789</v>
      </c>
      <c r="I45" s="1601">
        <f>I9+I12+I14+I15+I16+I18+I24+I25</f>
        <v>10917.308999999999</v>
      </c>
      <c r="J45" s="1601">
        <f>J9+J12+J14+J15+J16+J18+J24+J25</f>
        <v>5439.7</v>
      </c>
      <c r="K45" s="1601">
        <f>K9+K12+K14+K15+K16+K18+K24+K25</f>
        <v>7877.6999999999989</v>
      </c>
      <c r="L45" s="1601">
        <f>L9+L12+L14+L15+L16+L18+L24+L25</f>
        <v>12070.7</v>
      </c>
      <c r="M45" s="1600">
        <f t="shared" si="9"/>
        <v>116.22423139509132</v>
      </c>
      <c r="N45" s="1601">
        <f>N9+N12+N14+N15+N16+N18+N24+N25</f>
        <v>14149.100000000002</v>
      </c>
      <c r="O45" s="1600">
        <f t="shared" si="10"/>
        <v>129.60245056725978</v>
      </c>
      <c r="P45" s="1601">
        <f t="shared" ref="P45:V45" si="66">P9+P12+P14+P15+P16+P18+P24+P25</f>
        <v>11886.2996</v>
      </c>
      <c r="Q45" s="1601">
        <f t="shared" si="66"/>
        <v>2736.7270743128793</v>
      </c>
      <c r="R45" s="1601" t="e">
        <f t="shared" si="66"/>
        <v>#DIV/0!</v>
      </c>
      <c r="S45" s="1601">
        <f t="shared" si="66"/>
        <v>9004.7000000000007</v>
      </c>
      <c r="T45" s="1601">
        <f t="shared" si="66"/>
        <v>0</v>
      </c>
      <c r="U45" s="1601">
        <f t="shared" si="66"/>
        <v>11498.4</v>
      </c>
      <c r="V45" s="1601">
        <f t="shared" si="66"/>
        <v>15828.945</v>
      </c>
      <c r="W45" s="3216">
        <f>V45/P45</f>
        <v>1.33169661986309</v>
      </c>
      <c r="X45" s="1601">
        <f>X9+X12+X14+X15+X16+X18+X24+X25</f>
        <v>12445.238951036179</v>
      </c>
      <c r="Y45" s="1601"/>
      <c r="Z45" s="1601"/>
      <c r="AA45" s="1601">
        <f>AA9+AA12+AA14+AA15+AA16+AA18+AA24+AA25</f>
        <v>9629.5999999999985</v>
      </c>
      <c r="AB45" s="1601">
        <f>AB9+AB12+AB14+AB15+AB16+AB18+AB24+AB25</f>
        <v>14286.099999999999</v>
      </c>
      <c r="AC45" s="1601">
        <f>AC9+AC12+AC14+AC15+AC16+AC18+AC24+AC25</f>
        <v>11756.4147854</v>
      </c>
      <c r="AD45" s="3194">
        <f t="shared" si="13"/>
        <v>0.94465159179777514</v>
      </c>
      <c r="AE45" s="1601">
        <f>AE9+AE12+AE14+AE15+AE16+AE18+AE24+AE25</f>
        <v>5218.2999999999993</v>
      </c>
      <c r="AF45" s="1601">
        <f>AF9+AF12+AF14+AF15+AF16+AF18+AF24+AF25+AF17</f>
        <v>7835.4800000000005</v>
      </c>
      <c r="AG45" s="1601">
        <f t="shared" ref="AG45:AH45" si="67">AG9+AG12+AG14+AG15+AG16+AG18+AG24+AG25</f>
        <v>14551.06760105284</v>
      </c>
      <c r="AH45" s="1601">
        <f t="shared" si="67"/>
        <v>10425.466145415521</v>
      </c>
      <c r="AI45" s="1601">
        <f t="shared" ref="AI45:AP45" si="68">AI9+AI12+AI14+AI15+AI16+AI18+AI24+AI25</f>
        <v>12280.92</v>
      </c>
      <c r="AJ45" s="1601">
        <f t="shared" si="68"/>
        <v>10753.27</v>
      </c>
      <c r="AK45" s="1601">
        <f t="shared" ref="AK45" si="69">AK9+AK12+AK14+AK15+AK16+AK18+AK24+AK25</f>
        <v>11723.556400000001</v>
      </c>
      <c r="AL45" s="1601">
        <f t="shared" ref="AL45" si="70">AL9+AL12+AL14+AL15+AL16+AL18+AL24+AL25</f>
        <v>12824.880000000001</v>
      </c>
      <c r="AM45" s="1601">
        <f t="shared" si="68"/>
        <v>19516.099999999999</v>
      </c>
      <c r="AN45" s="1601">
        <f t="shared" si="68"/>
        <v>15324.481394092623</v>
      </c>
      <c r="AO45" s="1601">
        <f>AO9+AO12+AO14+AO15+AO16+AO18+AO24+AO25</f>
        <v>18316.175135073387</v>
      </c>
      <c r="AP45" s="1601">
        <f t="shared" si="68"/>
        <v>15626.373677556243</v>
      </c>
      <c r="AQ45" s="1601">
        <f t="shared" ref="AQ45:AS45" si="71">AQ9+AQ12+AQ14+AQ15+AQ16+AQ18+AQ24+AQ25</f>
        <v>6429.56</v>
      </c>
      <c r="AR45" s="1601">
        <f t="shared" si="71"/>
        <v>9180.982</v>
      </c>
      <c r="AS45" s="1601">
        <f t="shared" si="71"/>
        <v>12829.410000000002</v>
      </c>
      <c r="AT45" s="3620">
        <f>AT9+AT12+AT14+AT15+AT16+AT18+AT24+AT25</f>
        <v>19385.551702343433</v>
      </c>
      <c r="AU45" s="3620">
        <f>AU9+AU12+AU14+AU15+AU16+AU18+AU24+AU25</f>
        <v>19571.552924692081</v>
      </c>
      <c r="AV45" s="5693"/>
      <c r="AW45" s="5694"/>
      <c r="AX45" s="5694"/>
      <c r="AY45" s="3682">
        <f t="shared" ref="AY45:BA45" si="72">AY9+AY12+AY14+AY15+AY16+AY18+AY24+AY25</f>
        <v>6655.04</v>
      </c>
      <c r="AZ45" s="3682">
        <f t="shared" si="72"/>
        <v>9977.4499999999989</v>
      </c>
      <c r="BA45" s="3682">
        <f t="shared" si="72"/>
        <v>13646.78</v>
      </c>
      <c r="BB45" s="3682">
        <f>BB9+BB12+BB14+BB15+BB16+BB18+BB24+BB25</f>
        <v>22364.030598280486</v>
      </c>
      <c r="BC45" s="3682">
        <f>BC9+BC12+BC14+BC15+BC16+BC18+BC24+BC25</f>
        <v>21227.672382702342</v>
      </c>
      <c r="BD45" s="3682">
        <f t="shared" ref="BD45:BF45" si="73">BD9+BD12+BD14+BD15+BD16+BD18+BD24+BD25</f>
        <v>7901.7100000000009</v>
      </c>
      <c r="BE45" s="3682">
        <f t="shared" si="73"/>
        <v>11757.52</v>
      </c>
      <c r="BF45" s="3682">
        <f t="shared" si="73"/>
        <v>15527.399999999998</v>
      </c>
      <c r="BG45" s="2346">
        <f>BG9+BG12+BG14+BG15+BG16+BG18+BG24+BG25</f>
        <v>24402.233157031864</v>
      </c>
      <c r="BH45" s="2346">
        <f>BH9+BH12+BH14+BH15+BH16+BH18+BH24+BH25</f>
        <v>24400.371610030757</v>
      </c>
      <c r="BI45" s="4683">
        <f t="shared" ref="BI45:BJ45" si="74">BI9+BI12+BI14+BI15+BI16+BI18+BI24+BI25</f>
        <v>8823.5450000000001</v>
      </c>
      <c r="BJ45" s="4683">
        <f t="shared" si="74"/>
        <v>18377.395</v>
      </c>
    </row>
    <row r="46" spans="1:62" ht="18.75" x14ac:dyDescent="0.2">
      <c r="A46" s="3195" t="s">
        <v>210</v>
      </c>
      <c r="B46" s="3191"/>
      <c r="C46" s="3191"/>
      <c r="D46" s="3191"/>
      <c r="E46" s="3191"/>
      <c r="F46" s="3191"/>
      <c r="G46" s="3191"/>
      <c r="H46" s="3191"/>
      <c r="I46" s="3191"/>
      <c r="J46" s="3191"/>
      <c r="K46" s="3217">
        <f t="shared" ref="K46:S46" si="75">K45-K36</f>
        <v>7403.8999999999987</v>
      </c>
      <c r="L46" s="2580">
        <f t="shared" si="75"/>
        <v>11398.6</v>
      </c>
      <c r="M46" s="2580">
        <f t="shared" si="75"/>
        <v>-4.6570635689374456</v>
      </c>
      <c r="N46" s="2580">
        <f t="shared" si="75"/>
        <v>13506.700000000003</v>
      </c>
      <c r="O46" s="2580">
        <f t="shared" si="75"/>
        <v>129.60245056725978</v>
      </c>
      <c r="P46" s="2580">
        <f t="shared" si="75"/>
        <v>11886.2996</v>
      </c>
      <c r="Q46" s="2580">
        <f t="shared" si="75"/>
        <v>2736.7270743128793</v>
      </c>
      <c r="R46" s="2580" t="e">
        <f t="shared" si="75"/>
        <v>#DIV/0!</v>
      </c>
      <c r="S46" s="2580">
        <f t="shared" si="75"/>
        <v>8471.1</v>
      </c>
      <c r="T46" s="2580"/>
      <c r="U46" s="2580"/>
      <c r="V46" s="2580">
        <f>V45-V36</f>
        <v>14996.895</v>
      </c>
      <c r="W46" s="2580">
        <f>W45-W36</f>
        <v>1.33169661986309</v>
      </c>
      <c r="X46" s="2580">
        <f>X45-X36</f>
        <v>12445.238951036179</v>
      </c>
      <c r="Y46" s="2580"/>
      <c r="Z46" s="2580"/>
      <c r="AA46" s="2580">
        <f>AA45-AA36</f>
        <v>8941.4999999999982</v>
      </c>
      <c r="AB46" s="2580">
        <f>AB45-AB36</f>
        <v>13573.099999999999</v>
      </c>
      <c r="AC46" s="2580">
        <f>AC45-AC36</f>
        <v>11756.4147854</v>
      </c>
      <c r="AD46" s="3194">
        <f t="shared" si="13"/>
        <v>0.94465159179777514</v>
      </c>
      <c r="AE46" s="2580">
        <f t="shared" ref="AE46:AF46" si="76">AE45-AE36</f>
        <v>4890.2499999999991</v>
      </c>
      <c r="AF46" s="2580">
        <f t="shared" si="76"/>
        <v>7342.0300000000007</v>
      </c>
      <c r="AG46" s="2580">
        <f t="shared" ref="AG46" si="77">AG45-AG36</f>
        <v>13794.157601052841</v>
      </c>
      <c r="AH46" s="2580">
        <f t="shared" ref="AH46:AM46" si="78">AH45-AH36</f>
        <v>10425.466145415521</v>
      </c>
      <c r="AI46" s="2580">
        <f t="shared" si="78"/>
        <v>11481</v>
      </c>
      <c r="AJ46" s="2580">
        <f t="shared" si="78"/>
        <v>9854.93</v>
      </c>
      <c r="AK46" s="2580">
        <f t="shared" ref="AK46" si="79">AK45-AK36</f>
        <v>11723.556400000001</v>
      </c>
      <c r="AL46" s="2580">
        <f t="shared" ref="AL46" si="80">AL45-AL36</f>
        <v>11920.19</v>
      </c>
      <c r="AM46" s="2580">
        <f t="shared" si="78"/>
        <v>18563.05</v>
      </c>
      <c r="AN46" s="2578">
        <f>AN45-AN36</f>
        <v>14371.431394092624</v>
      </c>
      <c r="AO46" s="2578">
        <f>AO45-AO36</f>
        <v>17319.284835073388</v>
      </c>
      <c r="AP46" s="2578">
        <f>AP45-AP36</f>
        <v>14654.548592556243</v>
      </c>
      <c r="AQ46" s="2578">
        <f>SUM(AQ47:AQ50)</f>
        <v>6429.56</v>
      </c>
      <c r="AR46" s="2578">
        <f t="shared" ref="AR46:AS46" si="81">SUM(AR47:AR50)</f>
        <v>9180.98</v>
      </c>
      <c r="AS46" s="2578">
        <f t="shared" si="81"/>
        <v>12829.41</v>
      </c>
      <c r="AT46" s="3612">
        <f>AT45-AT36</f>
        <v>18816.615670943433</v>
      </c>
      <c r="AU46" s="3612">
        <f>SUM(AU45)</f>
        <v>19571.552924692081</v>
      </c>
      <c r="AV46" s="5676"/>
      <c r="AW46" s="5687"/>
      <c r="AX46" s="5687"/>
      <c r="AY46" s="2578">
        <f>SUM(AY47:AY50)</f>
        <v>6655.04</v>
      </c>
      <c r="AZ46" s="2578">
        <f t="shared" ref="AZ46:BA46" si="82">SUM(AZ47:AZ50)</f>
        <v>9977.4500000000007</v>
      </c>
      <c r="BA46" s="2578">
        <f t="shared" si="82"/>
        <v>13646.78</v>
      </c>
      <c r="BB46" s="2578">
        <f>BB45-BB36</f>
        <v>21325.90471035818</v>
      </c>
      <c r="BC46" s="2578">
        <f>SUM(BC45)</f>
        <v>21227.672382702342</v>
      </c>
      <c r="BD46" s="2578">
        <f t="shared" ref="BD46:BF46" si="83">SUM(BD47:BD50)</f>
        <v>7901.7060000000001</v>
      </c>
      <c r="BE46" s="2578">
        <f t="shared" si="83"/>
        <v>11757.517</v>
      </c>
      <c r="BF46" s="2578">
        <f t="shared" si="83"/>
        <v>15527.403999999999</v>
      </c>
      <c r="BG46" s="2442">
        <f>BG45-BG36</f>
        <v>23303.337452946118</v>
      </c>
      <c r="BH46" s="2442">
        <f>SUM(BH45)</f>
        <v>24400.371610030757</v>
      </c>
      <c r="BI46" s="4702">
        <f t="shared" ref="BI46:BJ46" si="84">SUM(BI47:BI50)</f>
        <v>8823.5470000000005</v>
      </c>
      <c r="BJ46" s="4702">
        <f t="shared" si="84"/>
        <v>18377.400999999998</v>
      </c>
    </row>
    <row r="47" spans="1:62" ht="18.75" x14ac:dyDescent="0.2">
      <c r="A47" s="5653" t="s">
        <v>146</v>
      </c>
      <c r="B47" s="5653"/>
      <c r="C47" s="5653"/>
      <c r="D47" s="3191"/>
      <c r="E47" s="3191"/>
      <c r="F47" s="3191"/>
      <c r="G47" s="3191"/>
      <c r="H47" s="3191"/>
      <c r="I47" s="1597">
        <v>973.7</v>
      </c>
      <c r="J47" s="1597"/>
      <c r="K47" s="1597">
        <f>I47/I45*K46</f>
        <v>660.34381091530884</v>
      </c>
      <c r="L47" s="1597">
        <v>1618.4</v>
      </c>
      <c r="M47" s="1597"/>
      <c r="N47" s="1597">
        <f>стоки!N16</f>
        <v>1270.9000000000001</v>
      </c>
      <c r="O47" s="1597"/>
      <c r="P47" s="1597">
        <v>1129.3</v>
      </c>
      <c r="Q47" s="3193"/>
      <c r="R47" s="3193"/>
      <c r="S47" s="3191"/>
      <c r="T47" s="3191"/>
      <c r="U47" s="3191"/>
      <c r="V47" s="1597">
        <v>1692.38</v>
      </c>
      <c r="W47" s="3191"/>
      <c r="X47" s="1597">
        <f>X45*(P47/P45)</f>
        <v>1182.4040130542526</v>
      </c>
      <c r="Y47" s="1597"/>
      <c r="Z47" s="1597"/>
      <c r="AA47" s="1597">
        <v>776.9</v>
      </c>
      <c r="AB47" s="1597">
        <f>AB46*AB51</f>
        <v>1292.15912</v>
      </c>
      <c r="AC47" s="1597">
        <f>AC46*X51</f>
        <v>1119.2106875700802</v>
      </c>
      <c r="AD47" s="3191"/>
      <c r="AE47" s="1597">
        <v>347.27</v>
      </c>
      <c r="AF47" s="1597">
        <v>868.98</v>
      </c>
      <c r="AG47" s="2579">
        <f>SUM(AG45*AG51)</f>
        <v>1264.2984308290504</v>
      </c>
      <c r="AH47" s="2579">
        <f>SUM(AH45*AH51)</f>
        <v>905.83734813770843</v>
      </c>
      <c r="AI47" s="2579">
        <v>861.66</v>
      </c>
      <c r="AJ47" s="2579">
        <v>241.21</v>
      </c>
      <c r="AK47" s="2579">
        <v>333.34</v>
      </c>
      <c r="AL47" s="2579">
        <v>115.84</v>
      </c>
      <c r="AM47" s="2579">
        <v>554.26</v>
      </c>
      <c r="AN47" s="2579">
        <f>AN46*AJ51</f>
        <v>322.3701224435992</v>
      </c>
      <c r="AO47" s="2579">
        <f>AO46*AL51</f>
        <v>156.43545633915491</v>
      </c>
      <c r="AP47" s="2579">
        <f>AP46*AP51</f>
        <v>328.72081385573796</v>
      </c>
      <c r="AQ47" s="2579">
        <v>29.51</v>
      </c>
      <c r="AR47" s="2579">
        <v>77.795000000000002</v>
      </c>
      <c r="AS47" s="2579">
        <v>143.33000000000001</v>
      </c>
      <c r="AT47" s="3614">
        <f>AT46*AT51</f>
        <v>210.21898311117363</v>
      </c>
      <c r="AU47" s="3614">
        <f>AU46*AU51</f>
        <v>218.6531321936173</v>
      </c>
      <c r="AV47" s="5676"/>
      <c r="AW47" s="5687"/>
      <c r="AX47" s="5687"/>
      <c r="AY47" s="2579">
        <v>51.89</v>
      </c>
      <c r="AZ47" s="2579">
        <v>284.06</v>
      </c>
      <c r="BA47" s="2579">
        <v>105.735</v>
      </c>
      <c r="BB47" s="2579">
        <f>BB46*BB51</f>
        <v>165.23271676906361</v>
      </c>
      <c r="BC47" s="2579">
        <f>BC46*BC51</f>
        <v>164.47161450430301</v>
      </c>
      <c r="BD47" s="2579">
        <v>112.34399999999999</v>
      </c>
      <c r="BE47" s="2579">
        <v>270.82400000000001</v>
      </c>
      <c r="BF47" s="2579">
        <v>320.70699999999999</v>
      </c>
      <c r="BG47" s="2441">
        <f>BG46*BG51</f>
        <v>481.31325556899361</v>
      </c>
      <c r="BH47" s="2441">
        <f>BH46*BH51</f>
        <v>503.97168733581509</v>
      </c>
      <c r="BI47" s="4703">
        <v>119.47199999999999</v>
      </c>
      <c r="BJ47" s="4703">
        <v>472.9</v>
      </c>
    </row>
    <row r="48" spans="1:62" ht="18.75" x14ac:dyDescent="0.2">
      <c r="A48" s="5653" t="s">
        <v>147</v>
      </c>
      <c r="B48" s="5653"/>
      <c r="C48" s="5653"/>
      <c r="D48" s="3191"/>
      <c r="E48" s="3191"/>
      <c r="F48" s="3191"/>
      <c r="G48" s="3191"/>
      <c r="H48" s="3191"/>
      <c r="I48" s="1597">
        <v>7143.8</v>
      </c>
      <c r="J48" s="1597"/>
      <c r="K48" s="1597">
        <f>I48/I45*K46</f>
        <v>4844.7818798570233</v>
      </c>
      <c r="L48" s="1597">
        <v>7419.2</v>
      </c>
      <c r="M48" s="1597"/>
      <c r="N48" s="1597">
        <f>стоки!N26</f>
        <v>8569.6</v>
      </c>
      <c r="O48" s="1597"/>
      <c r="P48" s="1597">
        <v>7339.1</v>
      </c>
      <c r="Q48" s="3193"/>
      <c r="R48" s="3193"/>
      <c r="S48" s="3191"/>
      <c r="T48" s="3191"/>
      <c r="U48" s="3191"/>
      <c r="V48" s="1597">
        <v>9326.93</v>
      </c>
      <c r="W48" s="3191"/>
      <c r="X48" s="1597">
        <f>X45*(P48/P45)</f>
        <v>7684.2126026799478</v>
      </c>
      <c r="Y48" s="1597"/>
      <c r="Z48" s="1597"/>
      <c r="AA48" s="1597">
        <v>5917.5</v>
      </c>
      <c r="AB48" s="1597">
        <f>AB46*W52</f>
        <v>0</v>
      </c>
      <c r="AC48" s="1597">
        <f>AC46*X52</f>
        <v>7258.9036668341378</v>
      </c>
      <c r="AD48" s="3191"/>
      <c r="AE48" s="1597">
        <v>3273.44</v>
      </c>
      <c r="AF48" s="1597">
        <v>4615.83</v>
      </c>
      <c r="AG48" s="2579">
        <f>SUM(AG45*AG52)</f>
        <v>9629.9214370329591</v>
      </c>
      <c r="AH48" s="2579">
        <f>SUM(AH45*AH52)</f>
        <v>6899.5913342835493</v>
      </c>
      <c r="AI48" s="2579">
        <v>8053.57</v>
      </c>
      <c r="AJ48" s="2579">
        <v>7224.93</v>
      </c>
      <c r="AK48" s="2579">
        <v>7896.99</v>
      </c>
      <c r="AL48" s="2579">
        <v>8596.2800000000007</v>
      </c>
      <c r="AM48" s="2579">
        <v>13146.02</v>
      </c>
      <c r="AN48" s="2579">
        <f>AN46*AJ52</f>
        <v>9655.9080002754163</v>
      </c>
      <c r="AO48" s="2579">
        <f>AO46*AL52</f>
        <v>11608.796483245431</v>
      </c>
      <c r="AP48" s="2579">
        <f>AP46*AP52</f>
        <v>9846.1293878808374</v>
      </c>
      <c r="AQ48" s="2579">
        <v>4174.6400000000003</v>
      </c>
      <c r="AR48" s="2579">
        <v>5755.33</v>
      </c>
      <c r="AS48" s="2579">
        <v>8177.6</v>
      </c>
      <c r="AT48" s="3614">
        <f>AT46*AT52</f>
        <v>11993.907460335822</v>
      </c>
      <c r="AU48" s="3614">
        <f>AU46*AU52</f>
        <v>12475.112354890985</v>
      </c>
      <c r="AV48" s="5676"/>
      <c r="AW48" s="5687"/>
      <c r="AX48" s="5687"/>
      <c r="AY48" s="2579">
        <v>4242.59</v>
      </c>
      <c r="AZ48" s="2579">
        <v>6202.57</v>
      </c>
      <c r="BA48" s="2579">
        <v>8136.6049999999996</v>
      </c>
      <c r="BB48" s="2579">
        <f>BB46*BB52</f>
        <v>12715.121288378938</v>
      </c>
      <c r="BC48" s="2579">
        <f>BC46*BC52</f>
        <v>12656.552333038107</v>
      </c>
      <c r="BD48" s="2579">
        <v>4502.902</v>
      </c>
      <c r="BE48" s="2579">
        <v>6700.19</v>
      </c>
      <c r="BF48" s="2579">
        <v>8999.9050000000007</v>
      </c>
      <c r="BG48" s="2441">
        <f>BG46*BG52</f>
        <v>13506.950504234906</v>
      </c>
      <c r="BH48" s="2441">
        <f>BH46*BH52</f>
        <v>14142.807324791911</v>
      </c>
      <c r="BI48" s="4703">
        <v>5521.8109999999997</v>
      </c>
      <c r="BJ48" s="4703">
        <v>11754.985000000001</v>
      </c>
    </row>
    <row r="49" spans="1:63" ht="18.75" x14ac:dyDescent="0.2">
      <c r="A49" s="5653" t="s">
        <v>148</v>
      </c>
      <c r="B49" s="5653"/>
      <c r="C49" s="5653"/>
      <c r="D49" s="3191"/>
      <c r="E49" s="3191"/>
      <c r="F49" s="3191"/>
      <c r="G49" s="3191"/>
      <c r="H49" s="3191"/>
      <c r="I49" s="1597">
        <v>608.70000000000005</v>
      </c>
      <c r="J49" s="1597"/>
      <c r="K49" s="1597">
        <f>I49/I45*K46</f>
        <v>412.80813156428934</v>
      </c>
      <c r="L49" s="1597">
        <v>847.9</v>
      </c>
      <c r="M49" s="1597"/>
      <c r="N49" s="1597">
        <f>стоки!N33</f>
        <v>737</v>
      </c>
      <c r="O49" s="1597"/>
      <c r="P49" s="1597">
        <v>697.8</v>
      </c>
      <c r="Q49" s="3193"/>
      <c r="R49" s="3193"/>
      <c r="S49" s="3191"/>
      <c r="T49" s="3191"/>
      <c r="U49" s="3191"/>
      <c r="V49" s="1597">
        <v>981.12</v>
      </c>
      <c r="W49" s="3191"/>
      <c r="X49" s="1597">
        <f>X45*(P49/P45)</f>
        <v>730.61322970801143</v>
      </c>
      <c r="Y49" s="1597"/>
      <c r="Z49" s="1597"/>
      <c r="AA49" s="1597">
        <v>658</v>
      </c>
      <c r="AB49" s="1597">
        <f>AB46*W53</f>
        <v>0</v>
      </c>
      <c r="AC49" s="1597">
        <f>AC46*X53</f>
        <v>690.17495043218662</v>
      </c>
      <c r="AD49" s="3191"/>
      <c r="AE49" s="1597">
        <v>355.56</v>
      </c>
      <c r="AF49" s="1597">
        <v>549.54</v>
      </c>
      <c r="AG49" s="2579">
        <f>SUM(AG45*AG53)</f>
        <v>1070.8049523561785</v>
      </c>
      <c r="AH49" s="2579">
        <f>SUM(AH45*AH53)</f>
        <v>767.20424131112384</v>
      </c>
      <c r="AI49" s="2579">
        <v>847.58</v>
      </c>
      <c r="AJ49" s="2579">
        <v>935.15</v>
      </c>
      <c r="AK49" s="2579">
        <v>1055.1199999999999</v>
      </c>
      <c r="AL49" s="2579">
        <v>1295.18</v>
      </c>
      <c r="AM49" s="2579">
        <v>1756.45</v>
      </c>
      <c r="AN49" s="2579">
        <f>AN46*AJ53</f>
        <v>1249.8006716269299</v>
      </c>
      <c r="AO49" s="2579">
        <f>AO46*AL53</f>
        <v>1749.0683213168738</v>
      </c>
      <c r="AP49" s="2579">
        <f>AP46*AP53</f>
        <v>1274.4217448579798</v>
      </c>
      <c r="AQ49" s="2579">
        <v>911.61500000000001</v>
      </c>
      <c r="AR49" s="2579">
        <v>1295.3</v>
      </c>
      <c r="AS49" s="2579">
        <v>1605.76</v>
      </c>
      <c r="AT49" s="3614">
        <f>AT46*AT53</f>
        <v>2355.133149519278</v>
      </c>
      <c r="AU49" s="3614">
        <f>AU46*AU53</f>
        <v>2449.6229229834853</v>
      </c>
      <c r="AV49" s="5676"/>
      <c r="AW49" s="5687"/>
      <c r="AX49" s="5687"/>
      <c r="AY49" s="2579">
        <v>659.2</v>
      </c>
      <c r="AZ49" s="2579">
        <v>925.96</v>
      </c>
      <c r="BA49" s="2579">
        <v>2030.66</v>
      </c>
      <c r="BB49" s="2579">
        <f>BB46*BB53</f>
        <v>3173.3245248429257</v>
      </c>
      <c r="BC49" s="2579">
        <f>BC46*BC53</f>
        <v>3158.707416742875</v>
      </c>
      <c r="BD49" s="2579">
        <v>1038.6400000000001</v>
      </c>
      <c r="BE49" s="2579">
        <v>1558.673</v>
      </c>
      <c r="BF49" s="2579">
        <v>2070.0479999999998</v>
      </c>
      <c r="BG49" s="2441">
        <f>BG46*BG53</f>
        <v>3106.703446024203</v>
      </c>
      <c r="BH49" s="2441">
        <f>BH46*BH53</f>
        <v>3252.955449759841</v>
      </c>
      <c r="BI49" s="4703">
        <v>940.85</v>
      </c>
      <c r="BJ49" s="4703">
        <v>1765.576</v>
      </c>
    </row>
    <row r="50" spans="1:63" ht="18.75" x14ac:dyDescent="0.2">
      <c r="A50" s="5653" t="s">
        <v>149</v>
      </c>
      <c r="B50" s="5653"/>
      <c r="C50" s="5653"/>
      <c r="D50" s="3191"/>
      <c r="E50" s="3191"/>
      <c r="F50" s="3191"/>
      <c r="G50" s="3191"/>
      <c r="H50" s="3191"/>
      <c r="I50" s="1597">
        <v>2191.1</v>
      </c>
      <c r="J50" s="1597"/>
      <c r="K50" s="1597">
        <f>I50/I45*K46</f>
        <v>1485.9600740438873</v>
      </c>
      <c r="L50" s="1597">
        <v>2185.1999999999998</v>
      </c>
      <c r="M50" s="1597"/>
      <c r="N50" s="1597">
        <f>N45-N47-N48-N49</f>
        <v>3571.6000000000022</v>
      </c>
      <c r="O50" s="1597"/>
      <c r="P50" s="1597">
        <v>2717.2</v>
      </c>
      <c r="Q50" s="3193"/>
      <c r="R50" s="3193"/>
      <c r="S50" s="3191"/>
      <c r="T50" s="3191"/>
      <c r="U50" s="3191"/>
      <c r="V50" s="1597">
        <v>3828.5</v>
      </c>
      <c r="W50" s="3191"/>
      <c r="X50" s="1597">
        <f>X45*(P50/P45)</f>
        <v>2844.973155291787</v>
      </c>
      <c r="Y50" s="1597"/>
      <c r="Z50" s="1597"/>
      <c r="AA50" s="1597">
        <v>2277.1999999999998</v>
      </c>
      <c r="AB50" s="1597">
        <f>AB46*W54</f>
        <v>0</v>
      </c>
      <c r="AC50" s="1597">
        <f>AC46*X54</f>
        <v>2687.5084197683254</v>
      </c>
      <c r="AD50" s="3191"/>
      <c r="AE50" s="1597">
        <v>1242.03</v>
      </c>
      <c r="AF50" s="1597">
        <v>1801.13</v>
      </c>
      <c r="AG50" s="2579">
        <f>SUM(AG45*AG54)</f>
        <v>3705.8313639901057</v>
      </c>
      <c r="AH50" s="2579">
        <f>SUM(AH45*AH54)</f>
        <v>2655.1329761606248</v>
      </c>
      <c r="AI50" s="2579">
        <v>2518.06</v>
      </c>
      <c r="AJ50" s="2579">
        <v>2351.98</v>
      </c>
      <c r="AK50" s="2579">
        <v>2438.5</v>
      </c>
      <c r="AL50" s="2579">
        <v>2817.58</v>
      </c>
      <c r="AM50" s="2579">
        <v>4059.34</v>
      </c>
      <c r="AN50" s="2579">
        <f>AN46*AJ54</f>
        <v>3143.3525997466791</v>
      </c>
      <c r="AO50" s="2579">
        <f>AO46*AL54</f>
        <v>3804.9845741719278</v>
      </c>
      <c r="AP50" s="2579">
        <f>AP46*AP54</f>
        <v>3205.2766459616873</v>
      </c>
      <c r="AQ50" s="2579">
        <v>1313.7950000000001</v>
      </c>
      <c r="AR50" s="2579">
        <v>2052.5549999999998</v>
      </c>
      <c r="AS50" s="2579">
        <v>2902.72</v>
      </c>
      <c r="AT50" s="3614">
        <f>AT46*AT54</f>
        <v>4257.356077977156</v>
      </c>
      <c r="AU50" s="3614">
        <f>AU46*AU54</f>
        <v>4428.1645146239916</v>
      </c>
      <c r="AV50" s="5676"/>
      <c r="AW50" s="5687"/>
      <c r="AX50" s="5687"/>
      <c r="AY50" s="2579">
        <v>1701.36</v>
      </c>
      <c r="AZ50" s="2579">
        <v>2564.86</v>
      </c>
      <c r="BA50" s="2579">
        <v>3373.78</v>
      </c>
      <c r="BB50" s="2579">
        <f>BB46*BB54</f>
        <v>5272.2261803672527</v>
      </c>
      <c r="BC50" s="2579">
        <f>BC46*BC54</f>
        <v>5247.9410184170556</v>
      </c>
      <c r="BD50" s="2579">
        <v>2247.8200000000002</v>
      </c>
      <c r="BE50" s="2579">
        <v>3227.83</v>
      </c>
      <c r="BF50" s="2579">
        <v>4136.7439999999997</v>
      </c>
      <c r="BG50" s="2441">
        <f>BG46*BG54</f>
        <v>6208.3762502704994</v>
      </c>
      <c r="BH50" s="2441">
        <f>BH46*BH54</f>
        <v>6500.6434339016896</v>
      </c>
      <c r="BI50" s="4703">
        <v>2241.4140000000002</v>
      </c>
      <c r="BJ50" s="4703">
        <v>4383.9399999999996</v>
      </c>
    </row>
    <row r="51" spans="1:63" ht="18.75" x14ac:dyDescent="0.2">
      <c r="A51" s="5653" t="s">
        <v>835</v>
      </c>
      <c r="B51" s="5653"/>
      <c r="C51" s="5653"/>
      <c r="D51" s="3191"/>
      <c r="E51" s="3191"/>
      <c r="F51" s="3191"/>
      <c r="G51" s="3191"/>
      <c r="H51" s="3191"/>
      <c r="I51" s="3191"/>
      <c r="J51" s="3191"/>
      <c r="K51" s="3191"/>
      <c r="L51" s="3191"/>
      <c r="M51" s="3191"/>
      <c r="N51" s="3191"/>
      <c r="O51" s="3191"/>
      <c r="P51" s="3191"/>
      <c r="Q51" s="3191"/>
      <c r="R51" s="3191"/>
      <c r="S51" s="3191"/>
      <c r="T51" s="3191"/>
      <c r="U51" s="3191"/>
      <c r="V51" s="3191"/>
      <c r="W51" s="3191"/>
      <c r="X51" s="3216">
        <v>9.5200000000000007E-2</v>
      </c>
      <c r="Y51" s="3191"/>
      <c r="Z51" s="3191"/>
      <c r="AA51" s="3216">
        <f>SUM(AA47/AA46)</f>
        <v>8.688698764189455E-2</v>
      </c>
      <c r="AB51" s="3216">
        <v>9.5200000000000007E-2</v>
      </c>
      <c r="AC51" s="3216">
        <f>SUM(AC47/AC46)</f>
        <v>9.5200000000000007E-2</v>
      </c>
      <c r="AD51" s="3191"/>
      <c r="AE51" s="3216">
        <f t="shared" ref="AE51:AF51" si="85">SUM(AE47/AE46)</f>
        <v>7.1012729410561845E-2</v>
      </c>
      <c r="AF51" s="3216">
        <f t="shared" si="85"/>
        <v>0.11835691218913569</v>
      </c>
      <c r="AG51" s="2581">
        <f>SUM(AA51)</f>
        <v>8.688698764189455E-2</v>
      </c>
      <c r="AH51" s="2581">
        <f>SUM(AG51)</f>
        <v>8.688698764189455E-2</v>
      </c>
      <c r="AI51" s="2581">
        <f>AI47/AI45</f>
        <v>7.0162495969357336E-2</v>
      </c>
      <c r="AJ51" s="2581">
        <f>AJ47/AJ45</f>
        <v>2.2431316241478174E-2</v>
      </c>
      <c r="AK51" s="2581">
        <f>AK47/AK45</f>
        <v>2.8433351504156192E-2</v>
      </c>
      <c r="AL51" s="2581">
        <f>AL47/AL45</f>
        <v>9.0324431885522513E-3</v>
      </c>
      <c r="AM51" s="2581">
        <f>AM47/AM45</f>
        <v>2.8400141421697986E-2</v>
      </c>
      <c r="AN51" s="2581">
        <f>AN47/AN46</f>
        <v>2.2431316241478174E-2</v>
      </c>
      <c r="AO51" s="2581">
        <f>AO47/AO46</f>
        <v>9.0324431885522513E-3</v>
      </c>
      <c r="AP51" s="2581">
        <f>SUM(AN51)</f>
        <v>2.2431316241478174E-2</v>
      </c>
      <c r="AQ51" s="2581">
        <f t="shared" ref="AQ51:AS51" si="86">AQ47/AQ45</f>
        <v>4.5897386446350913E-3</v>
      </c>
      <c r="AR51" s="2581">
        <f t="shared" si="86"/>
        <v>8.4734944475438473E-3</v>
      </c>
      <c r="AS51" s="2581">
        <f t="shared" si="86"/>
        <v>1.1171986864555734E-2</v>
      </c>
      <c r="AT51" s="3621">
        <f>SUM(AS51)</f>
        <v>1.1171986864555734E-2</v>
      </c>
      <c r="AU51" s="3621">
        <f>SUM(AT51)</f>
        <v>1.1171986864555734E-2</v>
      </c>
      <c r="AV51" s="5695"/>
      <c r="AW51" s="5696"/>
      <c r="AX51" s="5696"/>
      <c r="AY51" s="2581">
        <f t="shared" ref="AY51:AZ51" si="87">AY47/AY45</f>
        <v>7.7970981391546857E-3</v>
      </c>
      <c r="AZ51" s="2581">
        <f t="shared" si="87"/>
        <v>2.8470200301680293E-2</v>
      </c>
      <c r="BA51" s="2581">
        <f t="shared" ref="BA51" si="88">BA47/BA45</f>
        <v>7.7479815751408023E-3</v>
      </c>
      <c r="BB51" s="2581">
        <f>SUM(BA51)</f>
        <v>7.7479815751408023E-3</v>
      </c>
      <c r="BC51" s="2581">
        <f>SUM(BB51)</f>
        <v>7.7479815751408023E-3</v>
      </c>
      <c r="BD51" s="2581">
        <f t="shared" ref="BD51:BF51" si="89">BD47/BD45</f>
        <v>1.4217681995416179E-2</v>
      </c>
      <c r="BE51" s="2581">
        <f t="shared" si="89"/>
        <v>2.3034109233920078E-2</v>
      </c>
      <c r="BF51" s="2581">
        <f t="shared" si="89"/>
        <v>2.0654262787073177E-2</v>
      </c>
      <c r="BG51" s="2444">
        <f>SUM(BF51)</f>
        <v>2.0654262787073177E-2</v>
      </c>
      <c r="BH51" s="2444">
        <f>SUM(BG51)</f>
        <v>2.0654262787073177E-2</v>
      </c>
      <c r="BI51" s="4710">
        <f t="shared" ref="BI51:BJ51" si="90">BI47/BI45</f>
        <v>1.3540136079092926E-2</v>
      </c>
      <c r="BJ51" s="4710">
        <f t="shared" si="90"/>
        <v>2.5732700418095163E-2</v>
      </c>
    </row>
    <row r="52" spans="1:63" ht="18.75" x14ac:dyDescent="0.2">
      <c r="A52" s="5653" t="s">
        <v>829</v>
      </c>
      <c r="B52" s="5653"/>
      <c r="C52" s="5653"/>
      <c r="D52" s="3191"/>
      <c r="E52" s="3191"/>
      <c r="F52" s="3191"/>
      <c r="G52" s="3191"/>
      <c r="H52" s="3191"/>
      <c r="I52" s="3191"/>
      <c r="J52" s="3191"/>
      <c r="K52" s="3191"/>
      <c r="L52" s="3191"/>
      <c r="M52" s="3191"/>
      <c r="N52" s="3191"/>
      <c r="O52" s="3191"/>
      <c r="P52" s="3191"/>
      <c r="Q52" s="3191"/>
      <c r="R52" s="3191"/>
      <c r="S52" s="3191"/>
      <c r="T52" s="3191"/>
      <c r="U52" s="3191"/>
      <c r="V52" s="3191"/>
      <c r="W52" s="3191"/>
      <c r="X52" s="3216">
        <f>X48/$X$46</f>
        <v>0.61744194972167787</v>
      </c>
      <c r="Y52" s="3191"/>
      <c r="Z52" s="3191"/>
      <c r="AA52" s="3216">
        <f>AA48/AA46</f>
        <v>0.66180171112229502</v>
      </c>
      <c r="AB52" s="3216">
        <f>AB48/$X$46</f>
        <v>0</v>
      </c>
      <c r="AC52" s="3216">
        <f>AC48/AC46</f>
        <v>0.61744194972167787</v>
      </c>
      <c r="AD52" s="3191"/>
      <c r="AE52" s="3216">
        <f t="shared" ref="AE52:AF52" si="91">AE48/AE46</f>
        <v>0.66938091099637043</v>
      </c>
      <c r="AF52" s="3216">
        <f t="shared" si="91"/>
        <v>0.62868579943149228</v>
      </c>
      <c r="AG52" s="2581">
        <f>SUM(AA52)</f>
        <v>0.66180171112229502</v>
      </c>
      <c r="AH52" s="2581">
        <f>SUM(AG52)</f>
        <v>0.66180171112229502</v>
      </c>
      <c r="AI52" s="2581">
        <f>AI48/AI45</f>
        <v>0.65577904586952762</v>
      </c>
      <c r="AJ52" s="2581">
        <f>AJ48/AJ45</f>
        <v>0.67188213445770451</v>
      </c>
      <c r="AK52" s="2581">
        <f>AK48/AK45</f>
        <v>0.67360020548030963</v>
      </c>
      <c r="AL52" s="2581">
        <f>AL48/AL45</f>
        <v>0.67028151530462665</v>
      </c>
      <c r="AM52" s="2581">
        <f>AM48/AM45</f>
        <v>0.67359872105594876</v>
      </c>
      <c r="AN52" s="2581">
        <f>AN48/AN46</f>
        <v>0.67188213445770451</v>
      </c>
      <c r="AO52" s="2581">
        <f>AO48/AO46</f>
        <v>0.67028151530462665</v>
      </c>
      <c r="AP52" s="2581">
        <f t="shared" ref="AP52:AP54" si="92">SUM(AN52)</f>
        <v>0.67188213445770451</v>
      </c>
      <c r="AQ52" s="2581">
        <f t="shared" ref="AQ52:AS52" si="93">AQ48/AQ45</f>
        <v>0.64928859828666352</v>
      </c>
      <c r="AR52" s="2581">
        <f t="shared" si="93"/>
        <v>0.62687520790259688</v>
      </c>
      <c r="AS52" s="2581">
        <f t="shared" si="93"/>
        <v>0.63741044989598117</v>
      </c>
      <c r="AT52" s="3621">
        <f t="shared" ref="AT52:AU54" si="94">SUM(AS52)</f>
        <v>0.63741044989598117</v>
      </c>
      <c r="AU52" s="3621">
        <f t="shared" si="94"/>
        <v>0.63741044989598117</v>
      </c>
      <c r="AV52" s="5695"/>
      <c r="AW52" s="5696"/>
      <c r="AX52" s="5696"/>
      <c r="AY52" s="2581">
        <f t="shared" ref="AY52:AZ52" si="95">AY48/AY45</f>
        <v>0.63750030052411411</v>
      </c>
      <c r="AZ52" s="2581">
        <f t="shared" si="95"/>
        <v>0.62165884068574639</v>
      </c>
      <c r="BA52" s="2581">
        <f t="shared" ref="BA52" si="96">BA48/BA45</f>
        <v>0.59622892726342769</v>
      </c>
      <c r="BB52" s="2581">
        <f t="shared" ref="BB52:BB54" si="97">SUM(BA52)</f>
        <v>0.59622892726342769</v>
      </c>
      <c r="BC52" s="2581">
        <f t="shared" ref="BC52:BC54" si="98">SUM(BB52)</f>
        <v>0.59622892726342769</v>
      </c>
      <c r="BD52" s="2581">
        <f t="shared" ref="BD52:BF52" si="99">BD48/BD45</f>
        <v>0.56986424457490836</v>
      </c>
      <c r="BE52" s="2581">
        <f t="shared" si="99"/>
        <v>0.56986422306744955</v>
      </c>
      <c r="BF52" s="2581">
        <f t="shared" si="99"/>
        <v>0.57961442353517023</v>
      </c>
      <c r="BG52" s="2444">
        <f t="shared" ref="BG52:BG54" si="100">SUM(BF52)</f>
        <v>0.57961442353517023</v>
      </c>
      <c r="BH52" s="2444">
        <f t="shared" ref="BH52:BH54" si="101">SUM(BG52)</f>
        <v>0.57961442353517023</v>
      </c>
      <c r="BI52" s="4710">
        <f t="shared" ref="BI52:BJ52" si="102">BI48/BI45</f>
        <v>0.62580414107935067</v>
      </c>
      <c r="BJ52" s="4710">
        <f t="shared" si="102"/>
        <v>0.63964370358258071</v>
      </c>
    </row>
    <row r="53" spans="1:63" ht="18.75" x14ac:dyDescent="0.2">
      <c r="A53" s="5653" t="s">
        <v>830</v>
      </c>
      <c r="B53" s="5653"/>
      <c r="C53" s="5653"/>
      <c r="D53" s="3191"/>
      <c r="E53" s="3191"/>
      <c r="F53" s="3191"/>
      <c r="G53" s="3191"/>
      <c r="H53" s="3191"/>
      <c r="I53" s="3191"/>
      <c r="J53" s="3191"/>
      <c r="K53" s="3191"/>
      <c r="L53" s="3191"/>
      <c r="M53" s="3191"/>
      <c r="N53" s="3191"/>
      <c r="O53" s="3191"/>
      <c r="P53" s="3191"/>
      <c r="Q53" s="3191"/>
      <c r="R53" s="3191"/>
      <c r="S53" s="3191"/>
      <c r="T53" s="3191"/>
      <c r="U53" s="3191"/>
      <c r="V53" s="3191"/>
      <c r="W53" s="3191"/>
      <c r="X53" s="3216">
        <f>X49/$X$46</f>
        <v>5.870624361512812E-2</v>
      </c>
      <c r="Y53" s="3191"/>
      <c r="Z53" s="3191"/>
      <c r="AA53" s="3216">
        <f>AA49/AA46</f>
        <v>7.3589442487278431E-2</v>
      </c>
      <c r="AB53" s="3216">
        <f>AB49/$X$46</f>
        <v>0</v>
      </c>
      <c r="AC53" s="3216">
        <f>AC49/AC46</f>
        <v>5.870624361512812E-2</v>
      </c>
      <c r="AD53" s="3191"/>
      <c r="AE53" s="3216">
        <f t="shared" ref="AE53:AF53" si="103">AE49/AE46</f>
        <v>7.2707939266908661E-2</v>
      </c>
      <c r="AF53" s="3216">
        <f t="shared" si="103"/>
        <v>7.4848509199771707E-2</v>
      </c>
      <c r="AG53" s="2581">
        <f>SUM(AA53)</f>
        <v>7.3589442487278431E-2</v>
      </c>
      <c r="AH53" s="2581">
        <f>SUM(AG53)</f>
        <v>7.3589442487278431E-2</v>
      </c>
      <c r="AI53" s="2581">
        <f>AI49/AI45</f>
        <v>6.9016002058477702E-2</v>
      </c>
      <c r="AJ53" s="2581">
        <f>AJ49/AJ45</f>
        <v>8.6964244364737417E-2</v>
      </c>
      <c r="AK53" s="2581">
        <f>AK49/AK45</f>
        <v>8.9999993517325488E-2</v>
      </c>
      <c r="AL53" s="2581">
        <f>AL49/AL45</f>
        <v>0.10098963888940871</v>
      </c>
      <c r="AM53" s="2581">
        <f>AM49/AM45</f>
        <v>9.0000051239745651E-2</v>
      </c>
      <c r="AN53" s="2581">
        <f>AN49/AN46</f>
        <v>8.6964244364737417E-2</v>
      </c>
      <c r="AO53" s="2581">
        <f>AO49/AO46</f>
        <v>0.10098963888940871</v>
      </c>
      <c r="AP53" s="2581">
        <f t="shared" si="92"/>
        <v>8.6964244364737417E-2</v>
      </c>
      <c r="AQ53" s="2581">
        <f t="shared" ref="AQ53:AS53" si="104">AQ49/AQ45</f>
        <v>0.14178497439949234</v>
      </c>
      <c r="AR53" s="2581">
        <f t="shared" si="104"/>
        <v>0.14108512575234328</v>
      </c>
      <c r="AS53" s="2581">
        <f t="shared" si="104"/>
        <v>0.12516241978391834</v>
      </c>
      <c r="AT53" s="3621">
        <f t="shared" si="94"/>
        <v>0.12516241978391834</v>
      </c>
      <c r="AU53" s="3621">
        <f t="shared" si="94"/>
        <v>0.12516241978391834</v>
      </c>
      <c r="AV53" s="5695"/>
      <c r="AW53" s="5696"/>
      <c r="AX53" s="5696"/>
      <c r="AY53" s="2581">
        <f t="shared" ref="AY53:AZ53" si="105">AY49/AY45</f>
        <v>9.9052747992498927E-2</v>
      </c>
      <c r="AZ53" s="2581">
        <f t="shared" si="105"/>
        <v>9.2805275897148085E-2</v>
      </c>
      <c r="BA53" s="2581">
        <f t="shared" ref="BA53" si="106">BA49/BA45</f>
        <v>0.14880140223554567</v>
      </c>
      <c r="BB53" s="2581">
        <f t="shared" si="97"/>
        <v>0.14880140223554567</v>
      </c>
      <c r="BC53" s="2581">
        <f t="shared" si="98"/>
        <v>0.14880140223554567</v>
      </c>
      <c r="BD53" s="2581">
        <f t="shared" ref="BD53:BF53" si="107">BD49/BD45</f>
        <v>0.13144496570995393</v>
      </c>
      <c r="BE53" s="2581">
        <f t="shared" si="107"/>
        <v>0.13256817764290429</v>
      </c>
      <c r="BF53" s="2581">
        <f t="shared" si="107"/>
        <v>0.13331581591251596</v>
      </c>
      <c r="BG53" s="2444">
        <f t="shared" si="100"/>
        <v>0.13331581591251596</v>
      </c>
      <c r="BH53" s="2444">
        <f t="shared" si="101"/>
        <v>0.13331581591251596</v>
      </c>
      <c r="BI53" s="4710">
        <f t="shared" ref="BI53:BJ53" si="108">BI49/BI45</f>
        <v>0.10662947828792169</v>
      </c>
      <c r="BJ53" s="4710">
        <f t="shared" si="108"/>
        <v>9.6073246507462018E-2</v>
      </c>
    </row>
    <row r="54" spans="1:63" ht="18.75" x14ac:dyDescent="0.2">
      <c r="A54" s="5653" t="s">
        <v>831</v>
      </c>
      <c r="B54" s="5653"/>
      <c r="C54" s="5653"/>
      <c r="D54" s="3191"/>
      <c r="E54" s="3191"/>
      <c r="F54" s="3191"/>
      <c r="G54" s="3191"/>
      <c r="H54" s="3191"/>
      <c r="I54" s="3191"/>
      <c r="J54" s="3191"/>
      <c r="K54" s="3191"/>
      <c r="L54" s="3191"/>
      <c r="M54" s="3191"/>
      <c r="N54" s="3191"/>
      <c r="O54" s="3191"/>
      <c r="P54" s="3191"/>
      <c r="Q54" s="3191"/>
      <c r="R54" s="3191"/>
      <c r="S54" s="3191"/>
      <c r="T54" s="3191"/>
      <c r="U54" s="3191"/>
      <c r="V54" s="3191"/>
      <c r="W54" s="3191"/>
      <c r="X54" s="3216">
        <f>X50/$X$46</f>
        <v>0.22859931950562645</v>
      </c>
      <c r="Y54" s="3191"/>
      <c r="Z54" s="3191"/>
      <c r="AA54" s="3216">
        <f>AA50/AA46</f>
        <v>0.25467762679639883</v>
      </c>
      <c r="AB54" s="3216">
        <f>AB50/$X$46</f>
        <v>0</v>
      </c>
      <c r="AC54" s="3216">
        <f>AC50/AC46</f>
        <v>0.22859931950562645</v>
      </c>
      <c r="AD54" s="3191"/>
      <c r="AE54" s="3216">
        <f t="shared" ref="AE54:AF54" si="109">AE50/AE46</f>
        <v>0.25398088032309191</v>
      </c>
      <c r="AF54" s="3216">
        <f t="shared" si="109"/>
        <v>0.24531771185898177</v>
      </c>
      <c r="AG54" s="2581">
        <f>SUM(AA54)</f>
        <v>0.25467762679639883</v>
      </c>
      <c r="AH54" s="2581">
        <f>SUM(AG54)</f>
        <v>0.25467762679639883</v>
      </c>
      <c r="AI54" s="2581">
        <f>AI50/AI45</f>
        <v>0.20503838474641964</v>
      </c>
      <c r="AJ54" s="2581">
        <f>AJ50/AJ45</f>
        <v>0.21872230493607991</v>
      </c>
      <c r="AK54" s="2581">
        <f>AK50/AK45</f>
        <v>0.20800002292819605</v>
      </c>
      <c r="AL54" s="2581">
        <f>AL50/AL45</f>
        <v>0.21969640261741238</v>
      </c>
      <c r="AM54" s="2581">
        <f>AM50/AM45</f>
        <v>0.20799954909023835</v>
      </c>
      <c r="AN54" s="2581">
        <f>AN50/AN46</f>
        <v>0.21872230493607991</v>
      </c>
      <c r="AO54" s="2581">
        <f>AO50/AO46</f>
        <v>0.21969640261741238</v>
      </c>
      <c r="AP54" s="2581">
        <f t="shared" si="92"/>
        <v>0.21872230493607991</v>
      </c>
      <c r="AQ54" s="2581">
        <f t="shared" ref="AQ54:AS54" si="110">AQ50/AQ45</f>
        <v>0.20433668866920909</v>
      </c>
      <c r="AR54" s="2581">
        <f t="shared" si="110"/>
        <v>0.22356595405589511</v>
      </c>
      <c r="AS54" s="2581">
        <f t="shared" si="110"/>
        <v>0.22625514345554468</v>
      </c>
      <c r="AT54" s="3621">
        <f t="shared" si="94"/>
        <v>0.22625514345554468</v>
      </c>
      <c r="AU54" s="3621">
        <f t="shared" si="94"/>
        <v>0.22625514345554468</v>
      </c>
      <c r="AV54" s="5695"/>
      <c r="AW54" s="5696"/>
      <c r="AX54" s="5696"/>
      <c r="AY54" s="2581">
        <f t="shared" ref="AY54:AZ54" si="111">AY50/AY45</f>
        <v>0.25564985334423235</v>
      </c>
      <c r="AZ54" s="2581">
        <f t="shared" si="111"/>
        <v>0.25706568311542533</v>
      </c>
      <c r="BA54" s="2581">
        <f t="shared" ref="BA54" si="112">BA50/BA45</f>
        <v>0.24722168892588581</v>
      </c>
      <c r="BB54" s="2581">
        <f t="shared" si="97"/>
        <v>0.24722168892588581</v>
      </c>
      <c r="BC54" s="2581">
        <f t="shared" si="98"/>
        <v>0.24722168892588581</v>
      </c>
      <c r="BD54" s="2581">
        <f t="shared" ref="BD54:BF54" si="113">BD50/BD45</f>
        <v>0.28447260150018161</v>
      </c>
      <c r="BE54" s="2581">
        <f t="shared" si="113"/>
        <v>0.27453323489987685</v>
      </c>
      <c r="BF54" s="2581">
        <f t="shared" si="113"/>
        <v>0.26641575537437051</v>
      </c>
      <c r="BG54" s="2444">
        <f t="shared" si="100"/>
        <v>0.26641575537437051</v>
      </c>
      <c r="BH54" s="2444">
        <f t="shared" si="101"/>
        <v>0.26641575537437051</v>
      </c>
      <c r="BI54" s="4710">
        <f t="shared" ref="BI54:BJ54" si="114">BI50/BI45</f>
        <v>0.25402647121990085</v>
      </c>
      <c r="BJ54" s="4710">
        <f t="shared" si="114"/>
        <v>0.23855067597991986</v>
      </c>
    </row>
    <row r="55" spans="1:63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1"/>
      <c r="T55" s="391"/>
      <c r="U55" s="391"/>
      <c r="V55" s="394"/>
      <c r="W55" s="5"/>
      <c r="X55" s="395"/>
      <c r="Y55" s="394"/>
      <c r="Z55" s="394"/>
      <c r="AA55" s="394"/>
      <c r="AB55" s="394"/>
      <c r="AC55" s="394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63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1"/>
      <c r="T56" s="391"/>
      <c r="U56" s="391"/>
      <c r="V56" s="394"/>
      <c r="W56" s="5"/>
      <c r="X56" s="394"/>
      <c r="Y56" s="394"/>
      <c r="Z56" s="394"/>
      <c r="AA56" s="394"/>
      <c r="AB56" s="394"/>
      <c r="AC56" s="394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63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1"/>
      <c r="T57" s="391"/>
      <c r="U57" s="391"/>
      <c r="V57" s="394"/>
      <c r="W57" s="5"/>
      <c r="X57" s="394"/>
      <c r="Y57" s="394"/>
      <c r="Z57" s="394"/>
      <c r="AA57" s="394"/>
      <c r="AB57" s="394"/>
      <c r="AC57" s="394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63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1"/>
      <c r="T58" s="391"/>
      <c r="U58" s="391"/>
      <c r="V58" s="394"/>
      <c r="W58" s="5"/>
      <c r="X58" s="394"/>
      <c r="Y58" s="394"/>
      <c r="Z58" s="394"/>
      <c r="AA58" s="394"/>
      <c r="AB58" s="394"/>
      <c r="AC58" s="394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BI58" s="155"/>
      <c r="BJ58" s="155"/>
    </row>
    <row r="59" spans="1:63" ht="20.25" x14ac:dyDescent="0.3">
      <c r="A59" s="2435" t="s">
        <v>4027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1"/>
      <c r="T59" s="391"/>
      <c r="U59" s="391"/>
      <c r="V59" s="394"/>
      <c r="W59" s="5"/>
      <c r="X59" s="394"/>
      <c r="Y59" s="394"/>
      <c r="Z59" s="394"/>
      <c r="AA59" s="394"/>
      <c r="AB59" s="394"/>
      <c r="AC59" s="394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63" ht="20.25" hidden="1" x14ac:dyDescent="0.3">
      <c r="A60" s="5172" t="s">
        <v>599</v>
      </c>
      <c r="B60" s="5172"/>
      <c r="C60" s="5172"/>
      <c r="D60" s="5172"/>
      <c r="E60" s="5172"/>
      <c r="F60" s="5172"/>
      <c r="G60" s="5172"/>
      <c r="H60" s="5172"/>
      <c r="I60" s="5172"/>
      <c r="J60" s="5172"/>
      <c r="K60" s="5172"/>
      <c r="L60" s="5172"/>
      <c r="M60" s="5172"/>
      <c r="N60" s="5172"/>
      <c r="O60" s="5172"/>
      <c r="P60" s="5172"/>
      <c r="Q60" s="5172"/>
      <c r="R60" s="5172"/>
      <c r="S60" s="5172"/>
      <c r="T60" s="5172"/>
      <c r="U60" s="5172"/>
      <c r="V60" s="5172"/>
      <c r="W60" s="5172"/>
      <c r="X60" s="5172"/>
      <c r="Y60" s="5172"/>
      <c r="Z60" s="5172"/>
      <c r="AA60" s="5172"/>
      <c r="AB60" s="5172"/>
      <c r="AC60" s="5172"/>
      <c r="AD60" s="5172"/>
      <c r="AE60" s="5172"/>
      <c r="AF60" s="5172"/>
      <c r="AG60" s="5172"/>
      <c r="AH60" s="5172"/>
      <c r="AI60" s="5172"/>
      <c r="AJ60" s="5172"/>
      <c r="AK60" s="5172"/>
      <c r="AL60" s="5172"/>
      <c r="AM60" s="5172"/>
      <c r="AN60" s="5172"/>
      <c r="AO60" s="5172"/>
      <c r="AP60" s="5172"/>
      <c r="AQ60" s="5172"/>
      <c r="AR60" s="5172"/>
      <c r="AS60" s="5172"/>
      <c r="AT60" s="5172"/>
      <c r="AU60" s="5172"/>
      <c r="AV60" s="5172"/>
      <c r="AW60" s="5172"/>
      <c r="AX60" s="5172"/>
      <c r="AY60" s="5172"/>
      <c r="AZ60" s="5172"/>
      <c r="BA60" s="5172"/>
      <c r="BB60" s="5172"/>
      <c r="BC60" s="5172"/>
      <c r="BD60" s="5172"/>
      <c r="BE60" s="5172"/>
      <c r="BF60" s="5172"/>
      <c r="BG60" s="5172"/>
      <c r="BH60" s="5172"/>
      <c r="BI60" s="4562"/>
    </row>
    <row r="61" spans="1:63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1"/>
      <c r="T61" s="391"/>
      <c r="U61" s="391"/>
      <c r="V61" s="394"/>
      <c r="W61" s="5"/>
      <c r="X61" s="394"/>
      <c r="Y61" s="394"/>
      <c r="Z61" s="394"/>
      <c r="AA61" s="394"/>
      <c r="AB61" s="394"/>
      <c r="AC61" s="394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63" ht="18.75" hidden="1" customHeight="1" x14ac:dyDescent="0.2">
      <c r="A62" s="5697" t="s">
        <v>525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1"/>
      <c r="U62" s="391"/>
      <c r="V62" s="5688" t="s">
        <v>585</v>
      </c>
      <c r="W62" s="547"/>
      <c r="X62" s="5690" t="s">
        <v>557</v>
      </c>
      <c r="Y62" s="5691"/>
      <c r="Z62" s="5682" t="s">
        <v>569</v>
      </c>
      <c r="AA62" s="790"/>
      <c r="AB62" s="5682" t="s">
        <v>570</v>
      </c>
      <c r="AC62" s="5682" t="s">
        <v>571</v>
      </c>
      <c r="AD62" s="5685" t="s">
        <v>583</v>
      </c>
      <c r="AE62" s="812"/>
      <c r="AF62" s="812"/>
      <c r="AG62" s="812"/>
      <c r="AH62" s="812"/>
      <c r="AI62" s="2134"/>
      <c r="AJ62" s="2134"/>
      <c r="AK62" s="2134"/>
      <c r="AL62" s="2134"/>
      <c r="AM62" s="2134"/>
      <c r="AN62" s="2134"/>
      <c r="AO62" s="2134"/>
      <c r="AP62" s="2134"/>
      <c r="AQ62" s="2134"/>
      <c r="AR62" s="2134"/>
      <c r="AS62" s="2134"/>
      <c r="AT62" s="2134"/>
      <c r="AU62" s="2134"/>
      <c r="AV62" s="5682" t="s">
        <v>572</v>
      </c>
      <c r="AW62" s="5682" t="s">
        <v>573</v>
      </c>
      <c r="AX62" s="5682" t="s">
        <v>574</v>
      </c>
      <c r="AY62" s="5685" t="s">
        <v>582</v>
      </c>
      <c r="AZ62" s="5685" t="s">
        <v>581</v>
      </c>
      <c r="BA62" s="5682" t="s">
        <v>575</v>
      </c>
      <c r="BB62" s="5682" t="s">
        <v>576</v>
      </c>
      <c r="BC62" s="5682" t="s">
        <v>577</v>
      </c>
      <c r="BD62" s="5685" t="s">
        <v>214</v>
      </c>
      <c r="BE62" s="5685" t="s">
        <v>218</v>
      </c>
      <c r="BF62" s="5682" t="s">
        <v>578</v>
      </c>
      <c r="BG62" s="5682" t="s">
        <v>579</v>
      </c>
      <c r="BH62" s="5682" t="s">
        <v>580</v>
      </c>
      <c r="BI62" s="4563"/>
      <c r="BJ62" s="5685" t="s">
        <v>127</v>
      </c>
      <c r="BK62" s="5692" t="s">
        <v>584</v>
      </c>
    </row>
    <row r="63" spans="1:63" ht="37.5" hidden="1" x14ac:dyDescent="0.3">
      <c r="A63" s="5698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1"/>
      <c r="U63" s="391"/>
      <c r="V63" s="5689"/>
      <c r="W63" s="547"/>
      <c r="X63" s="540" t="s">
        <v>335</v>
      </c>
      <c r="Y63" s="540" t="s">
        <v>636</v>
      </c>
      <c r="Z63" s="5360"/>
      <c r="AA63" s="790"/>
      <c r="AB63" s="5360"/>
      <c r="AC63" s="5360"/>
      <c r="AD63" s="5686"/>
      <c r="AE63" s="812"/>
      <c r="AF63" s="812"/>
      <c r="AG63" s="812"/>
      <c r="AH63" s="812"/>
      <c r="AI63" s="2080"/>
      <c r="AJ63" s="2080"/>
      <c r="AK63" s="2445"/>
      <c r="AL63" s="2431"/>
      <c r="AM63" s="2080"/>
      <c r="AN63" s="2080"/>
      <c r="AO63" s="2431"/>
      <c r="AP63" s="2664"/>
      <c r="AQ63" s="2541"/>
      <c r="AR63" s="2541"/>
      <c r="AS63" s="2541"/>
      <c r="AT63" s="3068"/>
      <c r="AU63" s="3068"/>
      <c r="AV63" s="5360"/>
      <c r="AW63" s="5360"/>
      <c r="AX63" s="5360"/>
      <c r="AY63" s="5686"/>
      <c r="AZ63" s="5686"/>
      <c r="BA63" s="5360"/>
      <c r="BB63" s="5360"/>
      <c r="BC63" s="5360"/>
      <c r="BD63" s="5686"/>
      <c r="BE63" s="5686"/>
      <c r="BF63" s="5360"/>
      <c r="BG63" s="5360"/>
      <c r="BH63" s="5360"/>
      <c r="BI63" s="4564"/>
      <c r="BJ63" s="5686"/>
      <c r="BK63" s="5692"/>
    </row>
    <row r="64" spans="1:63" ht="18.75" hidden="1" x14ac:dyDescent="0.3">
      <c r="A64" s="546" t="s">
        <v>602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1"/>
      <c r="U64" s="391"/>
      <c r="V64" s="544">
        <f>SUM(AC47)</f>
        <v>1119.2106875700802</v>
      </c>
      <c r="W64" s="547"/>
      <c r="X64" s="544">
        <f>SUM(V64:W64)</f>
        <v>1119.2106875700802</v>
      </c>
      <c r="Y64" s="550">
        <f>SUM(V64-X64)</f>
        <v>0</v>
      </c>
      <c r="Z64" s="373">
        <f>SUM(Z65+Z66+Z67+Z68+Z69+Z72)</f>
        <v>90.153406861278143</v>
      </c>
      <c r="AA64" s="806"/>
      <c r="AB64" s="373">
        <f t="shared" ref="AB64:AC64" si="115">SUM(AB65+AB66+AB67+AB68+AB69+AB72)</f>
        <v>90.153406861278143</v>
      </c>
      <c r="AC64" s="373">
        <f t="shared" si="115"/>
        <v>90.153406861278143</v>
      </c>
      <c r="AD64" s="552">
        <f>SUM(Z64+AB64+AC64)</f>
        <v>270.46022058383443</v>
      </c>
      <c r="AE64" s="813"/>
      <c r="AF64" s="813"/>
      <c r="AG64" s="813"/>
      <c r="AH64" s="813"/>
      <c r="AI64" s="2135"/>
      <c r="AJ64" s="2135"/>
      <c r="AK64" s="2135"/>
      <c r="AL64" s="2135"/>
      <c r="AM64" s="2135"/>
      <c r="AN64" s="2135"/>
      <c r="AO64" s="2135"/>
      <c r="AP64" s="2135"/>
      <c r="AQ64" s="2575"/>
      <c r="AR64" s="2575"/>
      <c r="AS64" s="2575"/>
      <c r="AT64" s="2135"/>
      <c r="AU64" s="2135"/>
      <c r="AV64" s="373">
        <f t="shared" ref="AV64" si="116">SUM(AV65+AV66+AV67+AV68+AV69+AV72)</f>
        <v>90.185841587003935</v>
      </c>
      <c r="AW64" s="373">
        <f t="shared" ref="AW64" si="117">SUM(AW65+AW66+AW67+AW68+AW69+AW72)</f>
        <v>90.722816490686299</v>
      </c>
      <c r="AX64" s="373">
        <f t="shared" ref="AX64" si="118">SUM(AX65+AX66+AX67+AX68+AX69+AX72)</f>
        <v>91.191318084503138</v>
      </c>
      <c r="AY64" s="552">
        <f>SUM(AV64+AW64+AX64)</f>
        <v>272.09997616219334</v>
      </c>
      <c r="AZ64" s="552">
        <f t="shared" ref="AZ64:AZ95" si="119">SUM(AD64+AY64)</f>
        <v>542.56019674602771</v>
      </c>
      <c r="BA64" s="373">
        <f t="shared" ref="BA64" si="120">SUM(BA65+BA66+BA67+BA68+BA69+BA72)</f>
        <v>96.822579746378238</v>
      </c>
      <c r="BB64" s="373">
        <f t="shared" ref="BB64" si="121">SUM(BB65+BB66+BB67+BB68+BB69+BB72)</f>
        <v>96.682029268233194</v>
      </c>
      <c r="BC64" s="373">
        <f t="shared" ref="BC64" si="122">SUM(BC65+BC66+BC67+BC68+BC69+BC72)</f>
        <v>96.213527674416355</v>
      </c>
      <c r="BD64" s="552">
        <f>SUM(BA64+BB64+BC64)</f>
        <v>289.7181366890278</v>
      </c>
      <c r="BE64" s="552">
        <f>SUM(AZ64+BD64)</f>
        <v>832.27833343505552</v>
      </c>
      <c r="BF64" s="373">
        <f t="shared" ref="BF64" si="123">SUM(BF65+BF66+BF67+BF68+BF69+BF72)</f>
        <v>95.644118045008199</v>
      </c>
      <c r="BG64" s="373">
        <f t="shared" ref="BG64" si="124">SUM(BG65+BG66+BG67+BG68+BG69+BG72)</f>
        <v>95.644118045008199</v>
      </c>
      <c r="BH64" s="373">
        <f t="shared" ref="BH64" si="125">SUM(BH65+BH66+BH67+BH68+BH69+BH72)</f>
        <v>95.644118045008199</v>
      </c>
      <c r="BI64" s="4711"/>
      <c r="BJ64" s="552">
        <f>SUM(BF64+BG64+BH64)</f>
        <v>286.93235413502458</v>
      </c>
      <c r="BK64" s="549">
        <f t="shared" ref="BK64:BK95" si="126">SUM(BH64+BG64+BF64+BC64+BB64+BA64+AX64+AW64+AV64+AC64+AB64+Z64)</f>
        <v>1119.2106875700802</v>
      </c>
    </row>
    <row r="65" spans="1:63" ht="18.75" hidden="1" x14ac:dyDescent="0.3">
      <c r="A65" s="396" t="s">
        <v>70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1"/>
      <c r="U65" s="391"/>
      <c r="V65" s="541">
        <f>SUM(V64*69.75%)</f>
        <v>780.64945458013096</v>
      </c>
      <c r="W65" s="547"/>
      <c r="X65" s="541">
        <f>SUM(V65)</f>
        <v>780.64945458013096</v>
      </c>
      <c r="Y65" s="551">
        <f>SUM(V65-X65)</f>
        <v>0</v>
      </c>
      <c r="Z65" s="376">
        <f>SUM(V65/2)/(1+(106.7%*100-100)/2/100)/6</f>
        <v>62.945448684093776</v>
      </c>
      <c r="AA65" s="807"/>
      <c r="AB65" s="375">
        <f>SUM(Z65)</f>
        <v>62.945448684093776</v>
      </c>
      <c r="AC65" s="376">
        <f>SUM(Z65)</f>
        <v>62.945448684093776</v>
      </c>
      <c r="AD65" s="543">
        <f>SUM(Z65+AB65+AC65)</f>
        <v>188.83634605228133</v>
      </c>
      <c r="AE65" s="814"/>
      <c r="AF65" s="814"/>
      <c r="AG65" s="814"/>
      <c r="AH65" s="814"/>
      <c r="AI65" s="2136"/>
      <c r="AJ65" s="2136"/>
      <c r="AK65" s="2136"/>
      <c r="AL65" s="2136"/>
      <c r="AM65" s="2136"/>
      <c r="AN65" s="2136"/>
      <c r="AO65" s="2136"/>
      <c r="AP65" s="2136"/>
      <c r="AQ65" s="2576"/>
      <c r="AR65" s="2576"/>
      <c r="AS65" s="2576"/>
      <c r="AT65" s="2136"/>
      <c r="AU65" s="2136"/>
      <c r="AV65" s="542">
        <f>SUM(Z65)</f>
        <v>62.945448684093776</v>
      </c>
      <c r="AW65" s="542">
        <f>SUM(Z65)</f>
        <v>62.945448684093776</v>
      </c>
      <c r="AX65" s="542">
        <f>SUM(Z65)</f>
        <v>62.945448684093776</v>
      </c>
      <c r="AY65" s="543">
        <f>SUM(AV65+AW65+AX65)</f>
        <v>188.83634605228133</v>
      </c>
      <c r="AZ65" s="543">
        <f t="shared" si="119"/>
        <v>377.67269210456266</v>
      </c>
      <c r="BA65" s="542">
        <f>SUM(V65-AZ65)/6</f>
        <v>67.162793745928056</v>
      </c>
      <c r="BB65" s="542">
        <f>SUM(BA65)</f>
        <v>67.162793745928056</v>
      </c>
      <c r="BC65" s="542">
        <f>SUM(BA65)</f>
        <v>67.162793745928056</v>
      </c>
      <c r="BD65" s="543">
        <f>SUM(BA65+BB65+BC65)</f>
        <v>201.48838123778415</v>
      </c>
      <c r="BE65" s="543">
        <f>SUM(AZ65+BD65)</f>
        <v>579.16107334234675</v>
      </c>
      <c r="BF65" s="542">
        <f>SUM(BA65)</f>
        <v>67.162793745928056</v>
      </c>
      <c r="BG65" s="542">
        <f>SUM(BA65)</f>
        <v>67.162793745928056</v>
      </c>
      <c r="BH65" s="542">
        <f>SUM(BA65)</f>
        <v>67.162793745928056</v>
      </c>
      <c r="BI65" s="4712"/>
      <c r="BJ65" s="543">
        <f>SUM(BF65+BG65+BH65)</f>
        <v>201.48838123778415</v>
      </c>
      <c r="BK65" s="549">
        <f t="shared" si="126"/>
        <v>780.64945458013108</v>
      </c>
    </row>
    <row r="66" spans="1:63" ht="18.75" hidden="1" x14ac:dyDescent="0.3">
      <c r="A66" s="396" t="s">
        <v>113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1"/>
      <c r="U66" s="391"/>
      <c r="V66" s="541">
        <f>SUM(V64*21.06%)</f>
        <v>235.70577080225885</v>
      </c>
      <c r="W66" s="547"/>
      <c r="X66" s="541">
        <f t="shared" ref="X66:X73" si="127">SUM(V66)</f>
        <v>235.70577080225885</v>
      </c>
      <c r="Y66" s="551">
        <f t="shared" ref="Y66:Y73" si="128">SUM(V66-X66)</f>
        <v>0</v>
      </c>
      <c r="Z66" s="376">
        <f>SUM(Z65*(V66/V65))</f>
        <v>19.005464505907021</v>
      </c>
      <c r="AA66" s="807"/>
      <c r="AB66" s="376">
        <f>SUM(Z66)</f>
        <v>19.005464505907021</v>
      </c>
      <c r="AC66" s="375">
        <f>SUM(Z66)</f>
        <v>19.005464505907021</v>
      </c>
      <c r="AD66" s="543">
        <f t="shared" ref="AD66:AD113" si="129">SUM(Z66+AB66+AC66)</f>
        <v>57.016393517721063</v>
      </c>
      <c r="AE66" s="814"/>
      <c r="AF66" s="814"/>
      <c r="AG66" s="814"/>
      <c r="AH66" s="814"/>
      <c r="AI66" s="2136"/>
      <c r="AJ66" s="2136"/>
      <c r="AK66" s="2136"/>
      <c r="AL66" s="2136"/>
      <c r="AM66" s="2136"/>
      <c r="AN66" s="2136"/>
      <c r="AO66" s="2136"/>
      <c r="AP66" s="2136"/>
      <c r="AQ66" s="2576"/>
      <c r="AR66" s="2576"/>
      <c r="AS66" s="2576"/>
      <c r="AT66" s="2136"/>
      <c r="AU66" s="2136"/>
      <c r="AV66" s="542">
        <f>SUM(Z66)</f>
        <v>19.005464505907021</v>
      </c>
      <c r="AW66" s="542">
        <f>SUM(Z66)</f>
        <v>19.005464505907021</v>
      </c>
      <c r="AX66" s="542">
        <f>SUM(Z66)</f>
        <v>19.005464505907021</v>
      </c>
      <c r="AY66" s="543">
        <f t="shared" ref="AY66:AY113" si="130">SUM(AV66+AW66+AX66)</f>
        <v>57.016393517721063</v>
      </c>
      <c r="AZ66" s="543">
        <f t="shared" si="119"/>
        <v>114.03278703544213</v>
      </c>
      <c r="BA66" s="542">
        <f>SUM(V66-AZ66)/6</f>
        <v>20.278830627802787</v>
      </c>
      <c r="BB66" s="542">
        <f>SUM(BA66)</f>
        <v>20.278830627802787</v>
      </c>
      <c r="BC66" s="542">
        <f>SUM(BA66)</f>
        <v>20.278830627802787</v>
      </c>
      <c r="BD66" s="543">
        <f t="shared" ref="BD66:BD113" si="131">SUM(BA66+BB66+BC66)</f>
        <v>60.836491883408357</v>
      </c>
      <c r="BE66" s="543">
        <f t="shared" ref="BE66:BE113" si="132">SUM(AZ66+BD66)</f>
        <v>174.86927891885048</v>
      </c>
      <c r="BF66" s="542">
        <f>SUM(BA66)</f>
        <v>20.278830627802787</v>
      </c>
      <c r="BG66" s="542">
        <f>SUM(BA66)</f>
        <v>20.278830627802787</v>
      </c>
      <c r="BH66" s="542">
        <f>SUM(BA66)</f>
        <v>20.278830627802787</v>
      </c>
      <c r="BI66" s="4712"/>
      <c r="BJ66" s="543">
        <f t="shared" ref="BJ66:BJ113" si="133">SUM(BF66+BG66+BH66)</f>
        <v>60.836491883408357</v>
      </c>
      <c r="BK66" s="549">
        <f t="shared" si="126"/>
        <v>235.70577080225883</v>
      </c>
    </row>
    <row r="67" spans="1:63" ht="18.75" hidden="1" x14ac:dyDescent="0.3">
      <c r="A67" s="396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1"/>
      <c r="U67" s="391"/>
      <c r="V67" s="541">
        <f>SUM(V64*2.01%)</f>
        <v>22.496134820158606</v>
      </c>
      <c r="W67" s="547"/>
      <c r="X67" s="541">
        <f t="shared" si="127"/>
        <v>22.496134820158606</v>
      </c>
      <c r="Y67" s="551">
        <f t="shared" si="128"/>
        <v>0</v>
      </c>
      <c r="Z67" s="376">
        <f t="shared" ref="Z67:Z68" si="134">SUM(V67/12)</f>
        <v>1.8746779016798838</v>
      </c>
      <c r="AA67" s="807"/>
      <c r="AB67" s="376">
        <f t="shared" ref="AB67:AB71" si="135">SUM(Z67)</f>
        <v>1.8746779016798838</v>
      </c>
      <c r="AC67" s="376">
        <f t="shared" ref="AC67:AC68" si="136">SUM(Z67)</f>
        <v>1.8746779016798838</v>
      </c>
      <c r="AD67" s="543">
        <f t="shared" ref="AD67:AD68" si="137">SUM(Z67+AB67+AC67)</f>
        <v>5.6240337050396514</v>
      </c>
      <c r="AE67" s="814"/>
      <c r="AF67" s="814"/>
      <c r="AG67" s="814"/>
      <c r="AH67" s="814"/>
      <c r="AI67" s="2136"/>
      <c r="AJ67" s="2136"/>
      <c r="AK67" s="2136"/>
      <c r="AL67" s="2136"/>
      <c r="AM67" s="2136"/>
      <c r="AN67" s="2136"/>
      <c r="AO67" s="2136"/>
      <c r="AP67" s="2136"/>
      <c r="AQ67" s="2576"/>
      <c r="AR67" s="2576"/>
      <c r="AS67" s="2576"/>
      <c r="AT67" s="2136"/>
      <c r="AU67" s="2136"/>
      <c r="AV67" s="542">
        <f>SUM(Z67)</f>
        <v>1.8746779016798838</v>
      </c>
      <c r="AW67" s="542">
        <f>SUM(Z67)</f>
        <v>1.8746779016798838</v>
      </c>
      <c r="AX67" s="542">
        <f>SUM(Z67)</f>
        <v>1.8746779016798838</v>
      </c>
      <c r="AY67" s="543">
        <f t="shared" ref="AY67:AY68" si="138">SUM(AV67+AW67+AX67)</f>
        <v>5.6240337050396514</v>
      </c>
      <c r="AZ67" s="543">
        <f t="shared" si="119"/>
        <v>11.248067410079303</v>
      </c>
      <c r="BA67" s="542">
        <f>SUM(Z67)</f>
        <v>1.8746779016798838</v>
      </c>
      <c r="BB67" s="542">
        <f>SUM(Z67)</f>
        <v>1.8746779016798838</v>
      </c>
      <c r="BC67" s="542">
        <f>SUM(Z67)</f>
        <v>1.8746779016798838</v>
      </c>
      <c r="BD67" s="543">
        <f t="shared" ref="BD67:BD68" si="139">SUM(BA67+BB67+BC67)</f>
        <v>5.6240337050396514</v>
      </c>
      <c r="BE67" s="543">
        <f t="shared" si="132"/>
        <v>16.872101115118955</v>
      </c>
      <c r="BF67" s="542">
        <f>SUM(Z67)</f>
        <v>1.8746779016798838</v>
      </c>
      <c r="BG67" s="542">
        <f>SUM(Z67)</f>
        <v>1.8746779016798838</v>
      </c>
      <c r="BH67" s="542">
        <f>SUM(Z67)</f>
        <v>1.8746779016798838</v>
      </c>
      <c r="BI67" s="4712"/>
      <c r="BJ67" s="543">
        <f t="shared" ref="BJ67:BJ68" si="140">SUM(BF67+BG67+BH67)</f>
        <v>5.6240337050396514</v>
      </c>
      <c r="BK67" s="549">
        <f t="shared" si="126"/>
        <v>22.496134820158613</v>
      </c>
    </row>
    <row r="68" spans="1:63" ht="18.75" hidden="1" x14ac:dyDescent="0.3">
      <c r="A68" s="396" t="s">
        <v>588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1"/>
      <c r="U68" s="391"/>
      <c r="V68" s="541">
        <f>SUM(V64*2.15%)</f>
        <v>24.063029782756722</v>
      </c>
      <c r="W68" s="547"/>
      <c r="X68" s="541">
        <f t="shared" si="127"/>
        <v>24.063029782756722</v>
      </c>
      <c r="Y68" s="551">
        <f t="shared" si="128"/>
        <v>0</v>
      </c>
      <c r="Z68" s="376">
        <f t="shared" si="134"/>
        <v>2.0052524818963935</v>
      </c>
      <c r="AA68" s="807"/>
      <c r="AB68" s="376">
        <f t="shared" si="135"/>
        <v>2.0052524818963935</v>
      </c>
      <c r="AC68" s="376">
        <f t="shared" si="136"/>
        <v>2.0052524818963935</v>
      </c>
      <c r="AD68" s="543">
        <f t="shared" si="137"/>
        <v>6.0157574456891805</v>
      </c>
      <c r="AE68" s="814"/>
      <c r="AF68" s="814"/>
      <c r="AG68" s="814"/>
      <c r="AH68" s="814"/>
      <c r="AI68" s="2136"/>
      <c r="AJ68" s="2136"/>
      <c r="AK68" s="2136"/>
      <c r="AL68" s="2136"/>
      <c r="AM68" s="2136"/>
      <c r="AN68" s="2136"/>
      <c r="AO68" s="2136"/>
      <c r="AP68" s="2136"/>
      <c r="AQ68" s="2576"/>
      <c r="AR68" s="2576"/>
      <c r="AS68" s="2576"/>
      <c r="AT68" s="2136"/>
      <c r="AU68" s="2136"/>
      <c r="AV68" s="542">
        <f>SUM(Z68)</f>
        <v>2.0052524818963935</v>
      </c>
      <c r="AW68" s="542">
        <f>SUM(Z68)</f>
        <v>2.0052524818963935</v>
      </c>
      <c r="AX68" s="542">
        <f>SUM(Z68)</f>
        <v>2.0052524818963935</v>
      </c>
      <c r="AY68" s="543">
        <f t="shared" si="138"/>
        <v>6.0157574456891805</v>
      </c>
      <c r="AZ68" s="543">
        <f t="shared" si="119"/>
        <v>12.031514891378361</v>
      </c>
      <c r="BA68" s="542">
        <f>SUM(Z68)</f>
        <v>2.0052524818963935</v>
      </c>
      <c r="BB68" s="542">
        <f>SUM(Z68)</f>
        <v>2.0052524818963935</v>
      </c>
      <c r="BC68" s="542">
        <f>SUM(Z68)</f>
        <v>2.0052524818963935</v>
      </c>
      <c r="BD68" s="543">
        <f t="shared" si="139"/>
        <v>6.0157574456891805</v>
      </c>
      <c r="BE68" s="543">
        <f t="shared" si="132"/>
        <v>18.04727233706754</v>
      </c>
      <c r="BF68" s="542">
        <f>SUM(Z68)</f>
        <v>2.0052524818963935</v>
      </c>
      <c r="BG68" s="542">
        <f>SUM(Z68)</f>
        <v>2.0052524818963935</v>
      </c>
      <c r="BH68" s="542">
        <f>SUM(Z68)</f>
        <v>2.0052524818963935</v>
      </c>
      <c r="BI68" s="4712"/>
      <c r="BJ68" s="543">
        <f t="shared" si="140"/>
        <v>6.0157574456891805</v>
      </c>
      <c r="BK68" s="549">
        <f t="shared" si="126"/>
        <v>24.063029782756715</v>
      </c>
    </row>
    <row r="69" spans="1:63" ht="18.75" hidden="1" x14ac:dyDescent="0.3">
      <c r="A69" s="396" t="s">
        <v>589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1"/>
      <c r="U69" s="391"/>
      <c r="V69" s="541">
        <f>SUM(V70:V71)</f>
        <v>20.25771344501845</v>
      </c>
      <c r="W69" s="547"/>
      <c r="X69" s="541">
        <f t="shared" si="127"/>
        <v>20.25771344501845</v>
      </c>
      <c r="Y69" s="551">
        <f t="shared" si="128"/>
        <v>0</v>
      </c>
      <c r="Z69" s="376">
        <f>SUM(Z70:Z71)</f>
        <v>1.6881427870848709</v>
      </c>
      <c r="AA69" s="807"/>
      <c r="AB69" s="376">
        <f>SUM(AB70:AB71)</f>
        <v>1.6881427870848709</v>
      </c>
      <c r="AC69" s="376">
        <f>SUM(AC70:AC71)</f>
        <v>1.6881427870848709</v>
      </c>
      <c r="AD69" s="543">
        <f t="shared" si="129"/>
        <v>5.0644283612546124</v>
      </c>
      <c r="AE69" s="814"/>
      <c r="AF69" s="814"/>
      <c r="AG69" s="814"/>
      <c r="AH69" s="814"/>
      <c r="AI69" s="2136"/>
      <c r="AJ69" s="2136"/>
      <c r="AK69" s="2136"/>
      <c r="AL69" s="2136"/>
      <c r="AM69" s="2136"/>
      <c r="AN69" s="2136"/>
      <c r="AO69" s="2136"/>
      <c r="AP69" s="2136"/>
      <c r="AQ69" s="2576"/>
      <c r="AR69" s="2576"/>
      <c r="AS69" s="2576"/>
      <c r="AT69" s="2136"/>
      <c r="AU69" s="2136"/>
      <c r="AV69" s="376">
        <f>SUM(AV70:AV71)</f>
        <v>1.6881427870848709</v>
      </c>
      <c r="AW69" s="376">
        <f>SUM(AW70:AW71)</f>
        <v>1.6881427870848709</v>
      </c>
      <c r="AX69" s="376">
        <f>SUM(AX70:AX71)</f>
        <v>1.6881427870848709</v>
      </c>
      <c r="AY69" s="543">
        <f t="shared" si="130"/>
        <v>5.0644283612546124</v>
      </c>
      <c r="AZ69" s="543">
        <f t="shared" si="119"/>
        <v>10.128856722509225</v>
      </c>
      <c r="BA69" s="376">
        <f>SUM(BA70:BA71)</f>
        <v>1.6881427870848709</v>
      </c>
      <c r="BB69" s="376">
        <f>SUM(BB70:BB71)</f>
        <v>1.6881427870848709</v>
      </c>
      <c r="BC69" s="376">
        <f>SUM(BC70:BC71)</f>
        <v>1.6881427870848709</v>
      </c>
      <c r="BD69" s="543">
        <f t="shared" si="131"/>
        <v>5.0644283612546124</v>
      </c>
      <c r="BE69" s="543">
        <f t="shared" si="132"/>
        <v>15.193285083763836</v>
      </c>
      <c r="BF69" s="376">
        <f>SUM(BF70:BF71)</f>
        <v>1.6881427870848709</v>
      </c>
      <c r="BG69" s="376">
        <f>SUM(BG70:BG71)</f>
        <v>1.6881427870848709</v>
      </c>
      <c r="BH69" s="376">
        <f>SUM(BH70:BH71)</f>
        <v>1.6881427870848709</v>
      </c>
      <c r="BI69" s="4713"/>
      <c r="BJ69" s="543">
        <f t="shared" si="133"/>
        <v>5.0644283612546124</v>
      </c>
      <c r="BK69" s="549">
        <f t="shared" si="126"/>
        <v>20.25771344501845</v>
      </c>
    </row>
    <row r="70" spans="1:63" ht="18.75" hidden="1" x14ac:dyDescent="0.3">
      <c r="A70" s="388" t="s">
        <v>546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1"/>
      <c r="U70" s="391"/>
      <c r="V70" s="541">
        <f>SUM(V64*1.34%)</f>
        <v>14.997423213439074</v>
      </c>
      <c r="W70" s="547"/>
      <c r="X70" s="541">
        <f t="shared" si="127"/>
        <v>14.997423213439074</v>
      </c>
      <c r="Y70" s="551">
        <f t="shared" si="128"/>
        <v>0</v>
      </c>
      <c r="Z70" s="376">
        <f t="shared" ref="Z70:Z71" si="141">SUM(V70/12)</f>
        <v>1.2497852677865895</v>
      </c>
      <c r="AA70" s="807"/>
      <c r="AB70" s="376">
        <f t="shared" si="135"/>
        <v>1.2497852677865895</v>
      </c>
      <c r="AC70" s="376">
        <f t="shared" ref="AC70:AC71" si="142">SUM(Z70)</f>
        <v>1.2497852677865895</v>
      </c>
      <c r="AD70" s="543">
        <f t="shared" si="129"/>
        <v>3.7493558033597685</v>
      </c>
      <c r="AE70" s="814"/>
      <c r="AF70" s="814"/>
      <c r="AG70" s="814"/>
      <c r="AH70" s="814"/>
      <c r="AI70" s="2136"/>
      <c r="AJ70" s="2136"/>
      <c r="AK70" s="2136"/>
      <c r="AL70" s="2136"/>
      <c r="AM70" s="2136"/>
      <c r="AN70" s="2136"/>
      <c r="AO70" s="2136"/>
      <c r="AP70" s="2136"/>
      <c r="AQ70" s="2576"/>
      <c r="AR70" s="2576"/>
      <c r="AS70" s="2576"/>
      <c r="AT70" s="2136"/>
      <c r="AU70" s="2136"/>
      <c r="AV70" s="542">
        <f>SUM(Z70)</f>
        <v>1.2497852677865895</v>
      </c>
      <c r="AW70" s="542">
        <f>SUM(Z70)</f>
        <v>1.2497852677865895</v>
      </c>
      <c r="AX70" s="542">
        <f>SUM(Z70)</f>
        <v>1.2497852677865895</v>
      </c>
      <c r="AY70" s="543">
        <f t="shared" si="130"/>
        <v>3.7493558033597685</v>
      </c>
      <c r="AZ70" s="543">
        <f t="shared" si="119"/>
        <v>7.498711606719537</v>
      </c>
      <c r="BA70" s="542">
        <f>SUM(Z70)</f>
        <v>1.2497852677865895</v>
      </c>
      <c r="BB70" s="542">
        <f>SUM(Z70)</f>
        <v>1.2497852677865895</v>
      </c>
      <c r="BC70" s="542">
        <f>SUM(Z70)</f>
        <v>1.2497852677865895</v>
      </c>
      <c r="BD70" s="543">
        <f t="shared" si="131"/>
        <v>3.7493558033597685</v>
      </c>
      <c r="BE70" s="543">
        <f t="shared" si="132"/>
        <v>11.248067410079305</v>
      </c>
      <c r="BF70" s="542">
        <f>SUM(Z70)</f>
        <v>1.2497852677865895</v>
      </c>
      <c r="BG70" s="542">
        <f>SUM(Z70)</f>
        <v>1.2497852677865895</v>
      </c>
      <c r="BH70" s="542">
        <f>SUM(Z70)</f>
        <v>1.2497852677865895</v>
      </c>
      <c r="BI70" s="4712"/>
      <c r="BJ70" s="543">
        <f t="shared" si="133"/>
        <v>3.7493558033597685</v>
      </c>
      <c r="BK70" s="549">
        <f t="shared" si="126"/>
        <v>14.99742321343907</v>
      </c>
    </row>
    <row r="71" spans="1:63" ht="18.75" hidden="1" x14ac:dyDescent="0.3">
      <c r="A71" s="388" t="s">
        <v>547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1"/>
      <c r="U71" s="391"/>
      <c r="V71" s="541">
        <f>SUM(V64*0.47%)</f>
        <v>5.2602902315793756</v>
      </c>
      <c r="W71" s="547"/>
      <c r="X71" s="541">
        <f t="shared" si="127"/>
        <v>5.2602902315793756</v>
      </c>
      <c r="Y71" s="551">
        <f t="shared" si="128"/>
        <v>0</v>
      </c>
      <c r="Z71" s="376">
        <f t="shared" si="141"/>
        <v>0.43835751929828132</v>
      </c>
      <c r="AA71" s="807"/>
      <c r="AB71" s="376">
        <f t="shared" si="135"/>
        <v>0.43835751929828132</v>
      </c>
      <c r="AC71" s="376">
        <f t="shared" si="142"/>
        <v>0.43835751929828132</v>
      </c>
      <c r="AD71" s="543">
        <f t="shared" ref="AD71" si="143">SUM(Z71+AB71+AC71)</f>
        <v>1.3150725578948439</v>
      </c>
      <c r="AE71" s="814"/>
      <c r="AF71" s="814"/>
      <c r="AG71" s="814"/>
      <c r="AH71" s="814"/>
      <c r="AI71" s="2136"/>
      <c r="AJ71" s="2136"/>
      <c r="AK71" s="2136"/>
      <c r="AL71" s="2136"/>
      <c r="AM71" s="2136"/>
      <c r="AN71" s="2136"/>
      <c r="AO71" s="2136"/>
      <c r="AP71" s="2136"/>
      <c r="AQ71" s="2576"/>
      <c r="AR71" s="2576"/>
      <c r="AS71" s="2576"/>
      <c r="AT71" s="2136"/>
      <c r="AU71" s="2136"/>
      <c r="AV71" s="542">
        <f>SUM(Z71)</f>
        <v>0.43835751929828132</v>
      </c>
      <c r="AW71" s="542">
        <f>SUM(Z71)</f>
        <v>0.43835751929828132</v>
      </c>
      <c r="AX71" s="542">
        <f>SUM(Z71)</f>
        <v>0.43835751929828132</v>
      </c>
      <c r="AY71" s="543">
        <f t="shared" ref="AY71" si="144">SUM(AV71+AW71+AX71)</f>
        <v>1.3150725578948439</v>
      </c>
      <c r="AZ71" s="543">
        <f t="shared" si="119"/>
        <v>2.6301451157896878</v>
      </c>
      <c r="BA71" s="542">
        <f>SUM(Z71)</f>
        <v>0.43835751929828132</v>
      </c>
      <c r="BB71" s="542">
        <f>SUM(Z71)</f>
        <v>0.43835751929828132</v>
      </c>
      <c r="BC71" s="542">
        <f>SUM(Z71)</f>
        <v>0.43835751929828132</v>
      </c>
      <c r="BD71" s="543">
        <f t="shared" ref="BD71" si="145">SUM(BA71+BB71+BC71)</f>
        <v>1.3150725578948439</v>
      </c>
      <c r="BE71" s="543">
        <f t="shared" si="132"/>
        <v>3.9452176736845317</v>
      </c>
      <c r="BF71" s="542">
        <f>SUM(Z71)</f>
        <v>0.43835751929828132</v>
      </c>
      <c r="BG71" s="542">
        <f>SUM(Z71)</f>
        <v>0.43835751929828132</v>
      </c>
      <c r="BH71" s="542">
        <f>SUM(Z71)</f>
        <v>0.43835751929828132</v>
      </c>
      <c r="BI71" s="4712"/>
      <c r="BJ71" s="543">
        <f t="shared" ref="BJ71" si="146">SUM(BF71+BG71+BH71)</f>
        <v>1.3150725578948439</v>
      </c>
      <c r="BK71" s="549">
        <f t="shared" si="126"/>
        <v>5.2602902315793756</v>
      </c>
    </row>
    <row r="72" spans="1:63" ht="18.75" hidden="1" x14ac:dyDescent="0.3">
      <c r="A72" s="396" t="s">
        <v>592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1"/>
      <c r="U72" s="391"/>
      <c r="V72" s="541">
        <f>SUM(V73:V73)</f>
        <v>36.03858413975658</v>
      </c>
      <c r="W72" s="547"/>
      <c r="X72" s="541">
        <f t="shared" si="127"/>
        <v>36.03858413975658</v>
      </c>
      <c r="Y72" s="551">
        <f t="shared" si="128"/>
        <v>0</v>
      </c>
      <c r="Z72" s="376">
        <f>SUM(Z73:Z73)</f>
        <v>2.6344205006162058</v>
      </c>
      <c r="AA72" s="807"/>
      <c r="AB72" s="376">
        <f>SUM(AB73:AB73)</f>
        <v>2.6344205006162058</v>
      </c>
      <c r="AC72" s="376">
        <f>SUM(AC73:AC73)</f>
        <v>2.6344205006162058</v>
      </c>
      <c r="AD72" s="543">
        <f t="shared" si="129"/>
        <v>7.9032615018486174</v>
      </c>
      <c r="AE72" s="814"/>
      <c r="AF72" s="814"/>
      <c r="AG72" s="814"/>
      <c r="AH72" s="814"/>
      <c r="AI72" s="2136"/>
      <c r="AJ72" s="2136"/>
      <c r="AK72" s="2136"/>
      <c r="AL72" s="2136"/>
      <c r="AM72" s="2136"/>
      <c r="AN72" s="2136"/>
      <c r="AO72" s="2136"/>
      <c r="AP72" s="2136"/>
      <c r="AQ72" s="2576"/>
      <c r="AR72" s="2576"/>
      <c r="AS72" s="2576"/>
      <c r="AT72" s="2136"/>
      <c r="AU72" s="2136"/>
      <c r="AV72" s="376">
        <f>SUM(AV73:AV73)</f>
        <v>2.6668552263419874</v>
      </c>
      <c r="AW72" s="376">
        <f>SUM(AW73:AW73)</f>
        <v>3.2038301300243601</v>
      </c>
      <c r="AX72" s="376">
        <f>SUM(AX73:AX73)</f>
        <v>3.6723317238411952</v>
      </c>
      <c r="AY72" s="543">
        <f t="shared" si="130"/>
        <v>9.5430170802075427</v>
      </c>
      <c r="AZ72" s="543">
        <f t="shared" si="119"/>
        <v>17.446278582056159</v>
      </c>
      <c r="BA72" s="376">
        <f>SUM(BA73:BA73)</f>
        <v>3.8128822019862465</v>
      </c>
      <c r="BB72" s="376">
        <f>SUM(BB73:BB73)</f>
        <v>3.6723317238411952</v>
      </c>
      <c r="BC72" s="376">
        <f>SUM(BC73:BC73)</f>
        <v>3.2038301300243601</v>
      </c>
      <c r="BD72" s="543">
        <f t="shared" si="131"/>
        <v>10.689044055851802</v>
      </c>
      <c r="BE72" s="543">
        <f t="shared" si="132"/>
        <v>28.135322637907962</v>
      </c>
      <c r="BF72" s="376">
        <f>SUM(BF73:BF73)</f>
        <v>2.6344205006162058</v>
      </c>
      <c r="BG72" s="376">
        <f>SUM(BG73:BG73)</f>
        <v>2.6344205006162058</v>
      </c>
      <c r="BH72" s="376">
        <f>SUM(BH73:BH73)</f>
        <v>2.6344205006162058</v>
      </c>
      <c r="BI72" s="4713"/>
      <c r="BJ72" s="543">
        <f t="shared" si="133"/>
        <v>7.9032615018486174</v>
      </c>
      <c r="BK72" s="549">
        <f t="shared" si="126"/>
        <v>36.038584139756587</v>
      </c>
    </row>
    <row r="73" spans="1:63" ht="18.75" hidden="1" x14ac:dyDescent="0.3">
      <c r="A73" s="388" t="s">
        <v>532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1"/>
      <c r="U73" s="391"/>
      <c r="V73" s="541">
        <f>SUM(V64*3.22%)</f>
        <v>36.03858413975658</v>
      </c>
      <c r="W73" s="547"/>
      <c r="X73" s="541">
        <f t="shared" si="127"/>
        <v>36.03858413975658</v>
      </c>
      <c r="Y73" s="551">
        <f t="shared" si="128"/>
        <v>0</v>
      </c>
      <c r="Z73" s="376">
        <f>SUM(V73*7.31%)</f>
        <v>2.6344205006162058</v>
      </c>
      <c r="AA73" s="807"/>
      <c r="AB73" s="376">
        <f>SUM(V73*7.31%)</f>
        <v>2.6344205006162058</v>
      </c>
      <c r="AC73" s="376">
        <f>SUM(V73*7.31%)</f>
        <v>2.6344205006162058</v>
      </c>
      <c r="AD73" s="543">
        <f t="shared" si="129"/>
        <v>7.9032615018486174</v>
      </c>
      <c r="AE73" s="814"/>
      <c r="AF73" s="814"/>
      <c r="AG73" s="814"/>
      <c r="AH73" s="814"/>
      <c r="AI73" s="2136"/>
      <c r="AJ73" s="2136"/>
      <c r="AK73" s="2136"/>
      <c r="AL73" s="2136"/>
      <c r="AM73" s="2136"/>
      <c r="AN73" s="2136"/>
      <c r="AO73" s="2136"/>
      <c r="AP73" s="2136"/>
      <c r="AQ73" s="2576"/>
      <c r="AR73" s="2576"/>
      <c r="AS73" s="2576"/>
      <c r="AT73" s="2136"/>
      <c r="AU73" s="2136"/>
      <c r="AV73" s="376">
        <f>SUM(V73*7.4%)</f>
        <v>2.6668552263419874</v>
      </c>
      <c r="AW73" s="376">
        <f>SUM(V73*8.89%)</f>
        <v>3.2038301300243601</v>
      </c>
      <c r="AX73" s="376">
        <f>SUM(V73*10.19%)</f>
        <v>3.6723317238411952</v>
      </c>
      <c r="AY73" s="543">
        <f t="shared" si="130"/>
        <v>9.5430170802075427</v>
      </c>
      <c r="AZ73" s="543">
        <f t="shared" si="119"/>
        <v>17.446278582056159</v>
      </c>
      <c r="BA73" s="376">
        <f>SUM(V73*10.58%)</f>
        <v>3.8128822019862465</v>
      </c>
      <c r="BB73" s="376">
        <f>SUM(V73*10.19%)</f>
        <v>3.6723317238411952</v>
      </c>
      <c r="BC73" s="376">
        <f>SUM(V73*8.89%)</f>
        <v>3.2038301300243601</v>
      </c>
      <c r="BD73" s="543">
        <f t="shared" si="131"/>
        <v>10.689044055851802</v>
      </c>
      <c r="BE73" s="543">
        <f t="shared" si="132"/>
        <v>28.135322637907962</v>
      </c>
      <c r="BF73" s="376">
        <f>SUM(V73*7.31%)</f>
        <v>2.6344205006162058</v>
      </c>
      <c r="BG73" s="376">
        <f>SUM(V73*7.31%)</f>
        <v>2.6344205006162058</v>
      </c>
      <c r="BH73" s="376">
        <f>SUM(V73*7.31%)</f>
        <v>2.6344205006162058</v>
      </c>
      <c r="BI73" s="4713"/>
      <c r="BJ73" s="543">
        <f t="shared" si="133"/>
        <v>7.9032615018486174</v>
      </c>
      <c r="BK73" s="549">
        <f t="shared" si="126"/>
        <v>36.038584139756587</v>
      </c>
    </row>
    <row r="74" spans="1:63" ht="18.75" hidden="1" x14ac:dyDescent="0.3">
      <c r="A74" s="539" t="s">
        <v>603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1"/>
      <c r="U74" s="391"/>
      <c r="V74" s="544">
        <f>SUM(AC48)</f>
        <v>7258.9036668341378</v>
      </c>
      <c r="W74" s="547"/>
      <c r="X74" s="544">
        <f>SUM(V74*стоки!AK75/стоки!AI75)</f>
        <v>7258.9036668341378</v>
      </c>
      <c r="Y74" s="550">
        <f t="shared" ref="Y74:Y99" si="147">SUM(V74-X74)</f>
        <v>0</v>
      </c>
      <c r="Z74" s="373">
        <f>SUM(Z75+Z76+Z77+Z78+Z79+Z80+Z81+Z83+Z82+Z84+Z85+Z86+Z87+Z88+Z89+Z90+Z95)</f>
        <v>625.28484900900469</v>
      </c>
      <c r="AA74" s="806"/>
      <c r="AB74" s="373">
        <f t="shared" ref="AB74:AC74" si="148">SUM(AB75+AB76+AB77+AB78+AB79+AB80+AB81+AB83+AB82+AB84+AB85+AB86+AB87+AB88+AB89+AB90+AB95)</f>
        <v>615.72894793095543</v>
      </c>
      <c r="AC74" s="373">
        <f t="shared" si="148"/>
        <v>611.59052191282149</v>
      </c>
      <c r="AD74" s="552">
        <f t="shared" si="129"/>
        <v>1852.6043188527817</v>
      </c>
      <c r="AE74" s="813"/>
      <c r="AF74" s="813"/>
      <c r="AG74" s="813"/>
      <c r="AH74" s="813"/>
      <c r="AI74" s="2135"/>
      <c r="AJ74" s="2135"/>
      <c r="AK74" s="2135"/>
      <c r="AL74" s="2135"/>
      <c r="AM74" s="2135"/>
      <c r="AN74" s="2135"/>
      <c r="AO74" s="2135"/>
      <c r="AP74" s="2135"/>
      <c r="AQ74" s="2575"/>
      <c r="AR74" s="2575"/>
      <c r="AS74" s="2575"/>
      <c r="AT74" s="2135"/>
      <c r="AU74" s="2135"/>
      <c r="AV74" s="373">
        <f t="shared" ref="AV74" si="149">SUM(AV75+AV76+AV77+AV78+AV79+AV80+AV81+AV83+AV82+AV84+AV85+AV86+AV87+AV88+AV89+AV90+AV95)</f>
        <v>597.30146283878855</v>
      </c>
      <c r="AW74" s="373">
        <f t="shared" ref="AW74" si="150">SUM(AW75+AW76+AW77+AW78+AW79+AW80+AW81+AW83+AW82+AW84+AW85+AW86+AW87+AW88+AW89+AW90+AW95)</f>
        <v>570.53813423573115</v>
      </c>
      <c r="AX74" s="373">
        <f t="shared" ref="AX74" si="151">SUM(AX75+AX76+AX77+AX78+AX79+AX80+AX81+AX83+AX82+AX84+AX85+AX86+AX87+AX88+AX89+AX90+AX95)</f>
        <v>563.68623000650098</v>
      </c>
      <c r="AY74" s="552">
        <f t="shared" si="130"/>
        <v>1731.5258270810205</v>
      </c>
      <c r="AZ74" s="552">
        <f t="shared" si="119"/>
        <v>3584.1301459338019</v>
      </c>
      <c r="BA74" s="373">
        <f t="shared" ref="BA74" si="152">SUM(BA75+BA76+BA77+BA78+BA79+BA80+BA81+BA83+BA82+BA84+BA85+BA86+BA87+BA88+BA89+BA90+BA95)</f>
        <v>588.04619592196752</v>
      </c>
      <c r="BB74" s="373">
        <f t="shared" ref="BB74" si="153">SUM(BB75+BB76+BB77+BB78+BB79+BB80+BB81+BB83+BB82+BB84+BB85+BB86+BB87+BB88+BB89+BB90+BB95)</f>
        <v>587.40356518034264</v>
      </c>
      <c r="BC74" s="373">
        <f t="shared" ref="BC74" si="154">SUM(BC75+BC76+BC77+BC78+BC79+BC80+BC81+BC83+BC82+BC84+BC85+BC86+BC87+BC88+BC89+BC90+BC95)</f>
        <v>601.26757853062486</v>
      </c>
      <c r="BD74" s="552">
        <f t="shared" si="131"/>
        <v>1776.7173396329351</v>
      </c>
      <c r="BE74" s="552">
        <f t="shared" si="132"/>
        <v>5360.8474855667373</v>
      </c>
      <c r="BF74" s="373">
        <f t="shared" ref="BF74" si="155">SUM(BF75+BF76+BF77+BF78+BF79+BF80+BF81+BF83+BF82+BF84+BF85+BF86+BF87+BF88+BF89+BF90+BF95)</f>
        <v>622.00308544719371</v>
      </c>
      <c r="BG74" s="373">
        <f t="shared" ref="BG74" si="156">SUM(BG75+BG76+BG77+BG78+BG79+BG80+BG81+BG83+BG82+BG84+BG85+BG86+BG87+BG88+BG89+BG90+BG95)</f>
        <v>632.13245149013187</v>
      </c>
      <c r="BH74" s="373">
        <f t="shared" ref="BH74" si="157">SUM(BH75+BH76+BH77+BH78+BH79+BH80+BH81+BH83+BH82+BH84+BH85+BH86+BH87+BH88+BH89+BH90+BH95)</f>
        <v>643.92064433007522</v>
      </c>
      <c r="BI74" s="4711"/>
      <c r="BJ74" s="552">
        <f t="shared" si="133"/>
        <v>1898.0561812674007</v>
      </c>
      <c r="BK74" s="549">
        <f t="shared" si="126"/>
        <v>7258.9036668341387</v>
      </c>
    </row>
    <row r="75" spans="1:63" ht="18.75" hidden="1" x14ac:dyDescent="0.3">
      <c r="A75" s="396" t="s">
        <v>70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1"/>
      <c r="U75" s="391"/>
      <c r="V75" s="541">
        <f>SUM(V74*46.54%)</f>
        <v>3378.2937665446075</v>
      </c>
      <c r="W75" s="547"/>
      <c r="X75" s="541">
        <f>SUM(V75*стоки!AK75/стоки!AI75)</f>
        <v>3378.2937665446075</v>
      </c>
      <c r="Y75" s="551">
        <f t="shared" si="147"/>
        <v>0</v>
      </c>
      <c r="Z75" s="376">
        <f>SUM(V75/2)/(1+(106.7%*100-100)/2/100)/6</f>
        <v>272.39911034870244</v>
      </c>
      <c r="AA75" s="807"/>
      <c r="AB75" s="375">
        <f>SUM(Z75)</f>
        <v>272.39911034870244</v>
      </c>
      <c r="AC75" s="376">
        <f>SUM(Z75)</f>
        <v>272.39911034870244</v>
      </c>
      <c r="AD75" s="543">
        <f>SUM(Z75+AB75+AC75)</f>
        <v>817.19733104610737</v>
      </c>
      <c r="AE75" s="814"/>
      <c r="AF75" s="814"/>
      <c r="AG75" s="814"/>
      <c r="AH75" s="814"/>
      <c r="AI75" s="2136"/>
      <c r="AJ75" s="2136"/>
      <c r="AK75" s="2136"/>
      <c r="AL75" s="2136"/>
      <c r="AM75" s="2136"/>
      <c r="AN75" s="2136"/>
      <c r="AO75" s="2136"/>
      <c r="AP75" s="2136"/>
      <c r="AQ75" s="2576"/>
      <c r="AR75" s="2576"/>
      <c r="AS75" s="2576"/>
      <c r="AT75" s="2136"/>
      <c r="AU75" s="2136"/>
      <c r="AV75" s="542">
        <f t="shared" ref="AV75:AV89" si="158">SUM(Z75)</f>
        <v>272.39911034870244</v>
      </c>
      <c r="AW75" s="542">
        <f t="shared" ref="AW75:AW89" si="159">SUM(Z75)</f>
        <v>272.39911034870244</v>
      </c>
      <c r="AX75" s="542">
        <f t="shared" ref="AX75:AX89" si="160">SUM(Z75)</f>
        <v>272.39911034870244</v>
      </c>
      <c r="AY75" s="543">
        <f>SUM(AV75+AW75+AX75)</f>
        <v>817.19733104610737</v>
      </c>
      <c r="AZ75" s="543">
        <f t="shared" si="119"/>
        <v>1634.3946620922147</v>
      </c>
      <c r="BA75" s="542">
        <f>SUM(V75-AZ75)/6</f>
        <v>290.64985074206544</v>
      </c>
      <c r="BB75" s="542">
        <f>SUM(BA75)</f>
        <v>290.64985074206544</v>
      </c>
      <c r="BC75" s="542">
        <f>SUM(BA75)</f>
        <v>290.64985074206544</v>
      </c>
      <c r="BD75" s="543">
        <f>SUM(BA75+BB75+BC75)</f>
        <v>871.94955222619637</v>
      </c>
      <c r="BE75" s="543">
        <f>SUM(AZ75+BD75)</f>
        <v>2506.3442143184111</v>
      </c>
      <c r="BF75" s="542">
        <f>SUM(BA75)</f>
        <v>290.64985074206544</v>
      </c>
      <c r="BG75" s="542">
        <f>SUM(BA75)</f>
        <v>290.64985074206544</v>
      </c>
      <c r="BH75" s="542">
        <f>SUM(BA75)</f>
        <v>290.64985074206544</v>
      </c>
      <c r="BI75" s="4712"/>
      <c r="BJ75" s="543">
        <f>SUM(BF75+BG75+BH75)</f>
        <v>871.94955222619637</v>
      </c>
      <c r="BK75" s="549">
        <f t="shared" si="126"/>
        <v>3378.293766544607</v>
      </c>
    </row>
    <row r="76" spans="1:63" ht="18.75" hidden="1" x14ac:dyDescent="0.3">
      <c r="A76" s="396" t="s">
        <v>113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1"/>
      <c r="U76" s="391"/>
      <c r="V76" s="541">
        <f>SUM(V74*13.94%)</f>
        <v>1011.8911711566788</v>
      </c>
      <c r="W76" s="547"/>
      <c r="X76" s="541">
        <f>SUM(V76*стоки!AK75/стоки!AI75)</f>
        <v>1011.8911711566788</v>
      </c>
      <c r="Y76" s="551">
        <f t="shared" si="147"/>
        <v>0</v>
      </c>
      <c r="Z76" s="376">
        <f>SUM(Z75*(V76/V75))</f>
        <v>81.590966872817191</v>
      </c>
      <c r="AA76" s="807"/>
      <c r="AB76" s="376">
        <f>SUM(Z76)</f>
        <v>81.590966872817191</v>
      </c>
      <c r="AC76" s="375">
        <f>SUM(Z76)</f>
        <v>81.590966872817191</v>
      </c>
      <c r="AD76" s="543">
        <f t="shared" ref="AD76" si="161">SUM(Z76+AB76+AC76)</f>
        <v>244.77290061845156</v>
      </c>
      <c r="AE76" s="814"/>
      <c r="AF76" s="814"/>
      <c r="AG76" s="814"/>
      <c r="AH76" s="814"/>
      <c r="AI76" s="2136"/>
      <c r="AJ76" s="2136"/>
      <c r="AK76" s="2136"/>
      <c r="AL76" s="2136"/>
      <c r="AM76" s="2136"/>
      <c r="AN76" s="2136"/>
      <c r="AO76" s="2136"/>
      <c r="AP76" s="2136"/>
      <c r="AQ76" s="2576"/>
      <c r="AR76" s="2576"/>
      <c r="AS76" s="2576"/>
      <c r="AT76" s="2136"/>
      <c r="AU76" s="2136"/>
      <c r="AV76" s="542">
        <f t="shared" si="158"/>
        <v>81.590966872817191</v>
      </c>
      <c r="AW76" s="542">
        <f t="shared" si="159"/>
        <v>81.590966872817191</v>
      </c>
      <c r="AX76" s="542">
        <f t="shared" si="160"/>
        <v>81.590966872817191</v>
      </c>
      <c r="AY76" s="543">
        <f t="shared" ref="AY76" si="162">SUM(AV76+AW76+AX76)</f>
        <v>244.77290061845156</v>
      </c>
      <c r="AZ76" s="543">
        <f t="shared" si="119"/>
        <v>489.54580123690312</v>
      </c>
      <c r="BA76" s="542">
        <f>SUM(V76-AZ76)/6</f>
        <v>87.057561653295934</v>
      </c>
      <c r="BB76" s="542">
        <f>SUM(BA76)</f>
        <v>87.057561653295934</v>
      </c>
      <c r="BC76" s="542">
        <f>SUM(BA76)</f>
        <v>87.057561653295934</v>
      </c>
      <c r="BD76" s="543">
        <f t="shared" ref="BD76" si="163">SUM(BA76+BB76+BC76)</f>
        <v>261.17268495988782</v>
      </c>
      <c r="BE76" s="543">
        <f t="shared" ref="BE76:BE88" si="164">SUM(AZ76+BD76)</f>
        <v>750.71848619679099</v>
      </c>
      <c r="BF76" s="542">
        <f>SUM(BA76)</f>
        <v>87.057561653295934</v>
      </c>
      <c r="BG76" s="542">
        <f>SUM(BA76)</f>
        <v>87.057561653295934</v>
      </c>
      <c r="BH76" s="542">
        <f>SUM(BA76)</f>
        <v>87.057561653295934</v>
      </c>
      <c r="BI76" s="4712"/>
      <c r="BJ76" s="543">
        <f t="shared" ref="BJ76" si="165">SUM(BF76+BG76+BH76)</f>
        <v>261.17268495988782</v>
      </c>
      <c r="BK76" s="549">
        <f t="shared" si="126"/>
        <v>1011.8911711566785</v>
      </c>
    </row>
    <row r="77" spans="1:63" ht="18.75" hidden="1" x14ac:dyDescent="0.3">
      <c r="A77" s="396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1"/>
      <c r="U77" s="391"/>
      <c r="V77" s="541">
        <f>SUM(V74*0.36%)</f>
        <v>26.132053200602897</v>
      </c>
      <c r="W77" s="547"/>
      <c r="X77" s="541">
        <f>SUM(V77*стоки!AK75/стоки!AI75)</f>
        <v>26.132053200602897</v>
      </c>
      <c r="Y77" s="551">
        <f t="shared" si="147"/>
        <v>0</v>
      </c>
      <c r="Z77" s="376">
        <f t="shared" ref="Z77" si="166">SUM(V77/12)</f>
        <v>2.1776711000502416</v>
      </c>
      <c r="AA77" s="807"/>
      <c r="AB77" s="376">
        <f t="shared" ref="AB77:AB89" si="167">SUM(Z77)</f>
        <v>2.1776711000502416</v>
      </c>
      <c r="AC77" s="376">
        <f t="shared" ref="AC77:AC89" si="168">SUM(Z77)</f>
        <v>2.1776711000502416</v>
      </c>
      <c r="AD77" s="543">
        <f t="shared" ref="AD77:AD89" si="169">SUM(Z77+AB77+AC77)</f>
        <v>6.5330133001507242</v>
      </c>
      <c r="AE77" s="814"/>
      <c r="AF77" s="814"/>
      <c r="AG77" s="814"/>
      <c r="AH77" s="814"/>
      <c r="AI77" s="2136"/>
      <c r="AJ77" s="2136"/>
      <c r="AK77" s="2136"/>
      <c r="AL77" s="2136"/>
      <c r="AM77" s="2136"/>
      <c r="AN77" s="2136"/>
      <c r="AO77" s="2136"/>
      <c r="AP77" s="2136"/>
      <c r="AQ77" s="2576"/>
      <c r="AR77" s="2576"/>
      <c r="AS77" s="2576"/>
      <c r="AT77" s="2136"/>
      <c r="AU77" s="2136"/>
      <c r="AV77" s="542">
        <f t="shared" si="158"/>
        <v>2.1776711000502416</v>
      </c>
      <c r="AW77" s="542">
        <f t="shared" si="159"/>
        <v>2.1776711000502416</v>
      </c>
      <c r="AX77" s="542">
        <f t="shared" si="160"/>
        <v>2.1776711000502416</v>
      </c>
      <c r="AY77" s="543">
        <f t="shared" ref="AY77:AY89" si="170">SUM(AV77+AW77+AX77)</f>
        <v>6.5330133001507242</v>
      </c>
      <c r="AZ77" s="543">
        <f t="shared" si="119"/>
        <v>13.066026600301448</v>
      </c>
      <c r="BA77" s="542">
        <f t="shared" ref="BA77:BA89" si="171">SUM(Z77)</f>
        <v>2.1776711000502416</v>
      </c>
      <c r="BB77" s="542">
        <f t="shared" ref="BB77:BB89" si="172">SUM(Z77)</f>
        <v>2.1776711000502416</v>
      </c>
      <c r="BC77" s="542">
        <f t="shared" ref="BC77:BC89" si="173">SUM(Z77)</f>
        <v>2.1776711000502416</v>
      </c>
      <c r="BD77" s="543">
        <f t="shared" ref="BD77:BD89" si="174">SUM(BA77+BB77+BC77)</f>
        <v>6.5330133001507242</v>
      </c>
      <c r="BE77" s="543">
        <f t="shared" si="164"/>
        <v>19.599039900452173</v>
      </c>
      <c r="BF77" s="542">
        <f t="shared" ref="BF77:BF89" si="175">SUM(Z77)</f>
        <v>2.1776711000502416</v>
      </c>
      <c r="BG77" s="542">
        <f t="shared" ref="BG77:BG89" si="176">SUM(Z77)</f>
        <v>2.1776711000502416</v>
      </c>
      <c r="BH77" s="542">
        <f t="shared" ref="BH77:BH89" si="177">SUM(Z77)</f>
        <v>2.1776711000502416</v>
      </c>
      <c r="BI77" s="4712"/>
      <c r="BJ77" s="543">
        <f t="shared" ref="BJ77:BJ89" si="178">SUM(BF77+BG77+BH77)</f>
        <v>6.5330133001507242</v>
      </c>
      <c r="BK77" s="549">
        <f t="shared" si="126"/>
        <v>26.132053200602893</v>
      </c>
    </row>
    <row r="78" spans="1:63" ht="18.75" hidden="1" x14ac:dyDescent="0.3">
      <c r="A78" s="396" t="s">
        <v>620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1"/>
      <c r="U78" s="391"/>
      <c r="V78" s="541">
        <f>SUM(V74*9.75%)</f>
        <v>707.74310751632845</v>
      </c>
      <c r="W78" s="547"/>
      <c r="X78" s="541">
        <f>SUM(V78*стоки!AK75/стоки!AI75)</f>
        <v>707.74310751632845</v>
      </c>
      <c r="Y78" s="551">
        <f t="shared" si="147"/>
        <v>0</v>
      </c>
      <c r="Z78" s="376">
        <f t="shared" ref="Z78:Z86" si="179">SUM(V78/12)</f>
        <v>58.978592293027368</v>
      </c>
      <c r="AA78" s="807"/>
      <c r="AB78" s="376">
        <f t="shared" si="167"/>
        <v>58.978592293027368</v>
      </c>
      <c r="AC78" s="376">
        <f t="shared" si="168"/>
        <v>58.978592293027368</v>
      </c>
      <c r="AD78" s="543">
        <f t="shared" si="169"/>
        <v>176.93577687908211</v>
      </c>
      <c r="AE78" s="814"/>
      <c r="AF78" s="814"/>
      <c r="AG78" s="814"/>
      <c r="AH78" s="814"/>
      <c r="AI78" s="2136"/>
      <c r="AJ78" s="2136"/>
      <c r="AK78" s="2136"/>
      <c r="AL78" s="2136"/>
      <c r="AM78" s="2136"/>
      <c r="AN78" s="2136"/>
      <c r="AO78" s="2136"/>
      <c r="AP78" s="2136"/>
      <c r="AQ78" s="2576"/>
      <c r="AR78" s="2576"/>
      <c r="AS78" s="2576"/>
      <c r="AT78" s="2136"/>
      <c r="AU78" s="2136"/>
      <c r="AV78" s="542">
        <f t="shared" si="158"/>
        <v>58.978592293027368</v>
      </c>
      <c r="AW78" s="542">
        <f t="shared" si="159"/>
        <v>58.978592293027368</v>
      </c>
      <c r="AX78" s="542">
        <f t="shared" si="160"/>
        <v>58.978592293027368</v>
      </c>
      <c r="AY78" s="543">
        <f t="shared" si="170"/>
        <v>176.93577687908211</v>
      </c>
      <c r="AZ78" s="543">
        <f t="shared" si="119"/>
        <v>353.87155375816423</v>
      </c>
      <c r="BA78" s="542">
        <f t="shared" si="171"/>
        <v>58.978592293027368</v>
      </c>
      <c r="BB78" s="542">
        <f t="shared" si="172"/>
        <v>58.978592293027368</v>
      </c>
      <c r="BC78" s="542">
        <f t="shared" si="173"/>
        <v>58.978592293027368</v>
      </c>
      <c r="BD78" s="543">
        <f t="shared" si="174"/>
        <v>176.93577687908211</v>
      </c>
      <c r="BE78" s="543">
        <f t="shared" si="164"/>
        <v>530.80733063724631</v>
      </c>
      <c r="BF78" s="542">
        <f t="shared" si="175"/>
        <v>58.978592293027368</v>
      </c>
      <c r="BG78" s="542">
        <f t="shared" si="176"/>
        <v>58.978592293027368</v>
      </c>
      <c r="BH78" s="542">
        <f t="shared" si="177"/>
        <v>58.978592293027368</v>
      </c>
      <c r="BI78" s="4712"/>
      <c r="BJ78" s="543">
        <f t="shared" si="178"/>
        <v>176.93577687908211</v>
      </c>
      <c r="BK78" s="549">
        <f t="shared" si="126"/>
        <v>707.74310751632856</v>
      </c>
    </row>
    <row r="79" spans="1:63" ht="18.75" hidden="1" x14ac:dyDescent="0.3">
      <c r="A79" s="576" t="s">
        <v>622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1"/>
      <c r="U79" s="391"/>
      <c r="V79" s="541">
        <f>SUM(V74*1.41%)</f>
        <v>102.35054170236134</v>
      </c>
      <c r="W79" s="547"/>
      <c r="X79" s="541">
        <f>SUM(V79*стоки!AK75/стоки!AI75)</f>
        <v>102.35054170236134</v>
      </c>
      <c r="Y79" s="551">
        <f t="shared" ref="Y79" si="180">SUM(V79-X79)</f>
        <v>0</v>
      </c>
      <c r="Z79" s="376">
        <f t="shared" ref="Z79" si="181">SUM(V79/12)</f>
        <v>8.5292118085301123</v>
      </c>
      <c r="AA79" s="807"/>
      <c r="AB79" s="376">
        <f t="shared" ref="AB79" si="182">SUM(Z79)</f>
        <v>8.5292118085301123</v>
      </c>
      <c r="AC79" s="376">
        <f t="shared" ref="AC79" si="183">SUM(Z79)</f>
        <v>8.5292118085301123</v>
      </c>
      <c r="AD79" s="543">
        <f t="shared" ref="AD79" si="184">SUM(Z79+AB79+AC79)</f>
        <v>25.587635425590335</v>
      </c>
      <c r="AE79" s="814"/>
      <c r="AF79" s="814"/>
      <c r="AG79" s="814"/>
      <c r="AH79" s="814"/>
      <c r="AI79" s="2136"/>
      <c r="AJ79" s="2136"/>
      <c r="AK79" s="2136"/>
      <c r="AL79" s="2136"/>
      <c r="AM79" s="2136"/>
      <c r="AN79" s="2136"/>
      <c r="AO79" s="2136"/>
      <c r="AP79" s="2136"/>
      <c r="AQ79" s="2576"/>
      <c r="AR79" s="2576"/>
      <c r="AS79" s="2576"/>
      <c r="AT79" s="2136"/>
      <c r="AU79" s="2136"/>
      <c r="AV79" s="542">
        <f t="shared" si="158"/>
        <v>8.5292118085301123</v>
      </c>
      <c r="AW79" s="542">
        <f t="shared" si="159"/>
        <v>8.5292118085301123</v>
      </c>
      <c r="AX79" s="542">
        <f t="shared" si="160"/>
        <v>8.5292118085301123</v>
      </c>
      <c r="AY79" s="543">
        <f t="shared" ref="AY79" si="185">SUM(AV79+AW79+AX79)</f>
        <v>25.587635425590335</v>
      </c>
      <c r="AZ79" s="543">
        <f t="shared" si="119"/>
        <v>51.17527085118067</v>
      </c>
      <c r="BA79" s="542">
        <f t="shared" si="171"/>
        <v>8.5292118085301123</v>
      </c>
      <c r="BB79" s="542">
        <f t="shared" si="172"/>
        <v>8.5292118085301123</v>
      </c>
      <c r="BC79" s="542">
        <f t="shared" si="173"/>
        <v>8.5292118085301123</v>
      </c>
      <c r="BD79" s="543">
        <f t="shared" ref="BD79" si="186">SUM(BA79+BB79+BC79)</f>
        <v>25.587635425590335</v>
      </c>
      <c r="BE79" s="543">
        <f t="shared" ref="BE79" si="187">SUM(AZ79+BD79)</f>
        <v>76.762906276771005</v>
      </c>
      <c r="BF79" s="542">
        <f t="shared" si="175"/>
        <v>8.5292118085301123</v>
      </c>
      <c r="BG79" s="542">
        <f t="shared" si="176"/>
        <v>8.5292118085301123</v>
      </c>
      <c r="BH79" s="542">
        <f t="shared" si="177"/>
        <v>8.5292118085301123</v>
      </c>
      <c r="BI79" s="4712"/>
      <c r="BJ79" s="543">
        <f t="shared" ref="BJ79" si="188">SUM(BF79+BG79+BH79)</f>
        <v>25.587635425590335</v>
      </c>
      <c r="BK79" s="549">
        <f t="shared" si="126"/>
        <v>102.35054170236133</v>
      </c>
    </row>
    <row r="80" spans="1:63" ht="18.75" hidden="1" x14ac:dyDescent="0.3">
      <c r="A80" s="396" t="s">
        <v>588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1"/>
      <c r="U80" s="391"/>
      <c r="V80" s="541">
        <f>SUM(V74*8.87%)</f>
        <v>643.86475524818798</v>
      </c>
      <c r="W80" s="547"/>
      <c r="X80" s="541">
        <f>SUM(V80*стоки!AK75/стоки!AI75)</f>
        <v>643.86475524818798</v>
      </c>
      <c r="Y80" s="551">
        <f t="shared" si="147"/>
        <v>0</v>
      </c>
      <c r="Z80" s="376">
        <f t="shared" ref="Z80" si="189">SUM(V80/12)</f>
        <v>53.655396270682331</v>
      </c>
      <c r="AA80" s="807"/>
      <c r="AB80" s="376">
        <f t="shared" ref="AB80" si="190">SUM(Z80)</f>
        <v>53.655396270682331</v>
      </c>
      <c r="AC80" s="376">
        <f t="shared" ref="AC80" si="191">SUM(Z80)</f>
        <v>53.655396270682331</v>
      </c>
      <c r="AD80" s="543">
        <f t="shared" si="169"/>
        <v>160.96618881204699</v>
      </c>
      <c r="AE80" s="814"/>
      <c r="AF80" s="814"/>
      <c r="AG80" s="814"/>
      <c r="AH80" s="814"/>
      <c r="AI80" s="2136"/>
      <c r="AJ80" s="2136"/>
      <c r="AK80" s="2136"/>
      <c r="AL80" s="2136"/>
      <c r="AM80" s="2136"/>
      <c r="AN80" s="2136"/>
      <c r="AO80" s="2136"/>
      <c r="AP80" s="2136"/>
      <c r="AQ80" s="2576"/>
      <c r="AR80" s="2576"/>
      <c r="AS80" s="2576"/>
      <c r="AT80" s="2136"/>
      <c r="AU80" s="2136"/>
      <c r="AV80" s="542">
        <f t="shared" si="158"/>
        <v>53.655396270682331</v>
      </c>
      <c r="AW80" s="542">
        <f t="shared" si="159"/>
        <v>53.655396270682331</v>
      </c>
      <c r="AX80" s="542">
        <f t="shared" si="160"/>
        <v>53.655396270682331</v>
      </c>
      <c r="AY80" s="543">
        <f t="shared" si="170"/>
        <v>160.96618881204699</v>
      </c>
      <c r="AZ80" s="543">
        <f t="shared" si="119"/>
        <v>321.93237762409399</v>
      </c>
      <c r="BA80" s="542">
        <f t="shared" si="171"/>
        <v>53.655396270682331</v>
      </c>
      <c r="BB80" s="542">
        <f t="shared" si="172"/>
        <v>53.655396270682331</v>
      </c>
      <c r="BC80" s="542">
        <f t="shared" si="173"/>
        <v>53.655396270682331</v>
      </c>
      <c r="BD80" s="543">
        <f t="shared" si="174"/>
        <v>160.96618881204699</v>
      </c>
      <c r="BE80" s="543">
        <f t="shared" si="164"/>
        <v>482.89856643614098</v>
      </c>
      <c r="BF80" s="542">
        <f t="shared" si="175"/>
        <v>53.655396270682331</v>
      </c>
      <c r="BG80" s="542">
        <f t="shared" si="176"/>
        <v>53.655396270682331</v>
      </c>
      <c r="BH80" s="542">
        <f t="shared" si="177"/>
        <v>53.655396270682331</v>
      </c>
      <c r="BI80" s="4712"/>
      <c r="BJ80" s="543">
        <f t="shared" si="178"/>
        <v>160.96618881204699</v>
      </c>
      <c r="BK80" s="549">
        <f t="shared" si="126"/>
        <v>643.86475524818798</v>
      </c>
    </row>
    <row r="81" spans="1:63" ht="18.75" hidden="1" x14ac:dyDescent="0.3">
      <c r="A81" s="396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1"/>
      <c r="U81" s="391"/>
      <c r="V81" s="541">
        <f>SUM(V74*0.56%)</f>
        <v>40.649860534271177</v>
      </c>
      <c r="W81" s="547"/>
      <c r="X81" s="541">
        <f>SUM(V81*стоки!AK75/стоки!AI75)</f>
        <v>40.649860534271177</v>
      </c>
      <c r="Y81" s="551">
        <f t="shared" si="147"/>
        <v>0</v>
      </c>
      <c r="Z81" s="376">
        <f t="shared" si="179"/>
        <v>3.3874883778559313</v>
      </c>
      <c r="AA81" s="807"/>
      <c r="AB81" s="376">
        <f t="shared" si="167"/>
        <v>3.3874883778559313</v>
      </c>
      <c r="AC81" s="376">
        <f t="shared" si="168"/>
        <v>3.3874883778559313</v>
      </c>
      <c r="AD81" s="543">
        <f t="shared" si="169"/>
        <v>10.162465133567794</v>
      </c>
      <c r="AE81" s="814"/>
      <c r="AF81" s="814"/>
      <c r="AG81" s="814"/>
      <c r="AH81" s="814"/>
      <c r="AI81" s="2136"/>
      <c r="AJ81" s="2136"/>
      <c r="AK81" s="2136"/>
      <c r="AL81" s="2136"/>
      <c r="AM81" s="2136"/>
      <c r="AN81" s="2136"/>
      <c r="AO81" s="2136"/>
      <c r="AP81" s="2136"/>
      <c r="AQ81" s="2576"/>
      <c r="AR81" s="2576"/>
      <c r="AS81" s="2576"/>
      <c r="AT81" s="2136"/>
      <c r="AU81" s="2136"/>
      <c r="AV81" s="542">
        <f t="shared" si="158"/>
        <v>3.3874883778559313</v>
      </c>
      <c r="AW81" s="542">
        <f t="shared" si="159"/>
        <v>3.3874883778559313</v>
      </c>
      <c r="AX81" s="542">
        <f t="shared" si="160"/>
        <v>3.3874883778559313</v>
      </c>
      <c r="AY81" s="543">
        <f t="shared" si="170"/>
        <v>10.162465133567794</v>
      </c>
      <c r="AZ81" s="543">
        <f t="shared" si="119"/>
        <v>20.324930267135588</v>
      </c>
      <c r="BA81" s="542">
        <f t="shared" si="171"/>
        <v>3.3874883778559313</v>
      </c>
      <c r="BB81" s="542">
        <f t="shared" si="172"/>
        <v>3.3874883778559313</v>
      </c>
      <c r="BC81" s="542">
        <f t="shared" si="173"/>
        <v>3.3874883778559313</v>
      </c>
      <c r="BD81" s="543">
        <f t="shared" si="174"/>
        <v>10.162465133567794</v>
      </c>
      <c r="BE81" s="543">
        <f t="shared" si="164"/>
        <v>30.487395400703384</v>
      </c>
      <c r="BF81" s="542">
        <f t="shared" si="175"/>
        <v>3.3874883778559313</v>
      </c>
      <c r="BG81" s="542">
        <f t="shared" si="176"/>
        <v>3.3874883778559313</v>
      </c>
      <c r="BH81" s="542">
        <f t="shared" si="177"/>
        <v>3.3874883778559313</v>
      </c>
      <c r="BI81" s="4712"/>
      <c r="BJ81" s="543">
        <f t="shared" si="178"/>
        <v>10.162465133567794</v>
      </c>
      <c r="BK81" s="549">
        <f t="shared" si="126"/>
        <v>40.649860534271177</v>
      </c>
    </row>
    <row r="82" spans="1:63" ht="18.75" hidden="1" x14ac:dyDescent="0.3">
      <c r="A82" s="578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1"/>
      <c r="U82" s="391"/>
      <c r="V82" s="580">
        <f>SUM(X82:Y82)</f>
        <v>0</v>
      </c>
      <c r="W82" s="547"/>
      <c r="X82" s="580">
        <f>SUM(AC34)</f>
        <v>0</v>
      </c>
      <c r="Y82" s="581">
        <f>SUM(X82)</f>
        <v>0</v>
      </c>
      <c r="Z82" s="376">
        <f t="shared" ref="Z82" si="192">SUM(V82/12)</f>
        <v>0</v>
      </c>
      <c r="AA82" s="807"/>
      <c r="AB82" s="376">
        <f t="shared" ref="AB82" si="193">SUM(Z82)</f>
        <v>0</v>
      </c>
      <c r="AC82" s="376">
        <f t="shared" ref="AC82" si="194">SUM(Z82)</f>
        <v>0</v>
      </c>
      <c r="AD82" s="543">
        <f t="shared" si="169"/>
        <v>0</v>
      </c>
      <c r="AE82" s="814"/>
      <c r="AF82" s="814"/>
      <c r="AG82" s="814"/>
      <c r="AH82" s="814"/>
      <c r="AI82" s="2136"/>
      <c r="AJ82" s="2136"/>
      <c r="AK82" s="2136"/>
      <c r="AL82" s="2136"/>
      <c r="AM82" s="2136"/>
      <c r="AN82" s="2136"/>
      <c r="AO82" s="2136"/>
      <c r="AP82" s="2136"/>
      <c r="AQ82" s="2576"/>
      <c r="AR82" s="2576"/>
      <c r="AS82" s="2576"/>
      <c r="AT82" s="2136"/>
      <c r="AU82" s="2136"/>
      <c r="AV82" s="542">
        <f t="shared" si="158"/>
        <v>0</v>
      </c>
      <c r="AW82" s="542">
        <f t="shared" si="159"/>
        <v>0</v>
      </c>
      <c r="AX82" s="542">
        <f t="shared" si="160"/>
        <v>0</v>
      </c>
      <c r="AY82" s="543">
        <f t="shared" ref="AY82" si="195">SUM(AV82+AW82+AX82)</f>
        <v>0</v>
      </c>
      <c r="AZ82" s="543">
        <f t="shared" si="119"/>
        <v>0</v>
      </c>
      <c r="BA82" s="542">
        <f t="shared" si="171"/>
        <v>0</v>
      </c>
      <c r="BB82" s="542">
        <f t="shared" si="172"/>
        <v>0</v>
      </c>
      <c r="BC82" s="542">
        <f t="shared" si="173"/>
        <v>0</v>
      </c>
      <c r="BD82" s="543">
        <f t="shared" ref="BD82" si="196">SUM(BA82+BB82+BC82)</f>
        <v>0</v>
      </c>
      <c r="BE82" s="543">
        <f t="shared" ref="BE82" si="197">SUM(AZ82+BD82)</f>
        <v>0</v>
      </c>
      <c r="BF82" s="542">
        <f t="shared" si="175"/>
        <v>0</v>
      </c>
      <c r="BG82" s="542">
        <f t="shared" si="176"/>
        <v>0</v>
      </c>
      <c r="BH82" s="542">
        <f t="shared" si="177"/>
        <v>0</v>
      </c>
      <c r="BI82" s="4712"/>
      <c r="BJ82" s="543">
        <f t="shared" ref="BJ82" si="198">SUM(BF82+BG82+BH82)</f>
        <v>0</v>
      </c>
      <c r="BK82" s="549">
        <f t="shared" si="126"/>
        <v>0</v>
      </c>
    </row>
    <row r="83" spans="1:63" ht="18.75" hidden="1" x14ac:dyDescent="0.3">
      <c r="A83" s="396" t="s">
        <v>590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1"/>
      <c r="U83" s="391"/>
      <c r="V83" s="541">
        <f>SUM(V74*1.45%)</f>
        <v>105.25410316909499</v>
      </c>
      <c r="W83" s="547"/>
      <c r="X83" s="541">
        <f>SUM(V83*стоки!AK75/стоки!AI75)</f>
        <v>105.25410316909499</v>
      </c>
      <c r="Y83" s="551">
        <f t="shared" si="147"/>
        <v>0</v>
      </c>
      <c r="Z83" s="376">
        <f t="shared" si="179"/>
        <v>8.7711752640912497</v>
      </c>
      <c r="AA83" s="807"/>
      <c r="AB83" s="376">
        <f t="shared" si="167"/>
        <v>8.7711752640912497</v>
      </c>
      <c r="AC83" s="376">
        <f t="shared" si="168"/>
        <v>8.7711752640912497</v>
      </c>
      <c r="AD83" s="543">
        <f t="shared" si="169"/>
        <v>26.313525792273751</v>
      </c>
      <c r="AE83" s="814"/>
      <c r="AF83" s="814"/>
      <c r="AG83" s="814"/>
      <c r="AH83" s="814"/>
      <c r="AI83" s="2136"/>
      <c r="AJ83" s="2136"/>
      <c r="AK83" s="2136"/>
      <c r="AL83" s="2136"/>
      <c r="AM83" s="2136"/>
      <c r="AN83" s="2136"/>
      <c r="AO83" s="2136"/>
      <c r="AP83" s="2136"/>
      <c r="AQ83" s="2576"/>
      <c r="AR83" s="2576"/>
      <c r="AS83" s="2576"/>
      <c r="AT83" s="2136"/>
      <c r="AU83" s="2136"/>
      <c r="AV83" s="542">
        <f t="shared" si="158"/>
        <v>8.7711752640912497</v>
      </c>
      <c r="AW83" s="542">
        <f t="shared" si="159"/>
        <v>8.7711752640912497</v>
      </c>
      <c r="AX83" s="542">
        <f t="shared" si="160"/>
        <v>8.7711752640912497</v>
      </c>
      <c r="AY83" s="543">
        <f t="shared" si="170"/>
        <v>26.313525792273751</v>
      </c>
      <c r="AZ83" s="543">
        <f t="shared" si="119"/>
        <v>52.627051584547502</v>
      </c>
      <c r="BA83" s="542">
        <f t="shared" si="171"/>
        <v>8.7711752640912497</v>
      </c>
      <c r="BB83" s="542">
        <f t="shared" si="172"/>
        <v>8.7711752640912497</v>
      </c>
      <c r="BC83" s="542">
        <f t="shared" si="173"/>
        <v>8.7711752640912497</v>
      </c>
      <c r="BD83" s="543">
        <f t="shared" si="174"/>
        <v>26.313525792273751</v>
      </c>
      <c r="BE83" s="543">
        <f t="shared" si="164"/>
        <v>78.940577376821253</v>
      </c>
      <c r="BF83" s="542">
        <f t="shared" si="175"/>
        <v>8.7711752640912497</v>
      </c>
      <c r="BG83" s="542">
        <f t="shared" si="176"/>
        <v>8.7711752640912497</v>
      </c>
      <c r="BH83" s="542">
        <f t="shared" si="177"/>
        <v>8.7711752640912497</v>
      </c>
      <c r="BI83" s="4712"/>
      <c r="BJ83" s="543">
        <f t="shared" si="178"/>
        <v>26.313525792273751</v>
      </c>
      <c r="BK83" s="549">
        <f t="shared" si="126"/>
        <v>105.25410316909502</v>
      </c>
    </row>
    <row r="84" spans="1:63" ht="18.75" hidden="1" x14ac:dyDescent="0.3">
      <c r="A84" s="396" t="s">
        <v>94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1"/>
      <c r="U84" s="391"/>
      <c r="V84" s="541">
        <f>SUM(V74*1.28%)</f>
        <v>92.913966935476964</v>
      </c>
      <c r="W84" s="547"/>
      <c r="X84" s="541">
        <f>SUM(V84*стоки!AK75/стоки!AI75)</f>
        <v>92.913966935476964</v>
      </c>
      <c r="Y84" s="551">
        <f t="shared" si="147"/>
        <v>0</v>
      </c>
      <c r="Z84" s="376">
        <f t="shared" si="179"/>
        <v>7.7428305779564139</v>
      </c>
      <c r="AA84" s="807"/>
      <c r="AB84" s="376">
        <f t="shared" si="167"/>
        <v>7.7428305779564139</v>
      </c>
      <c r="AC84" s="376">
        <f t="shared" si="168"/>
        <v>7.7428305779564139</v>
      </c>
      <c r="AD84" s="543">
        <f t="shared" si="169"/>
        <v>23.228491733869241</v>
      </c>
      <c r="AE84" s="814"/>
      <c r="AF84" s="814"/>
      <c r="AG84" s="814"/>
      <c r="AH84" s="814"/>
      <c r="AI84" s="2136"/>
      <c r="AJ84" s="2136"/>
      <c r="AK84" s="2136"/>
      <c r="AL84" s="2136"/>
      <c r="AM84" s="2136"/>
      <c r="AN84" s="2136"/>
      <c r="AO84" s="2136"/>
      <c r="AP84" s="2136"/>
      <c r="AQ84" s="2576"/>
      <c r="AR84" s="2576"/>
      <c r="AS84" s="2576"/>
      <c r="AT84" s="2136"/>
      <c r="AU84" s="2136"/>
      <c r="AV84" s="542">
        <f t="shared" si="158"/>
        <v>7.7428305779564139</v>
      </c>
      <c r="AW84" s="542">
        <f t="shared" si="159"/>
        <v>7.7428305779564139</v>
      </c>
      <c r="AX84" s="542">
        <f t="shared" si="160"/>
        <v>7.7428305779564139</v>
      </c>
      <c r="AY84" s="543">
        <f t="shared" si="170"/>
        <v>23.228491733869241</v>
      </c>
      <c r="AZ84" s="543">
        <f t="shared" si="119"/>
        <v>46.456983467738482</v>
      </c>
      <c r="BA84" s="542">
        <f t="shared" si="171"/>
        <v>7.7428305779564139</v>
      </c>
      <c r="BB84" s="542">
        <f t="shared" si="172"/>
        <v>7.7428305779564139</v>
      </c>
      <c r="BC84" s="542">
        <f t="shared" si="173"/>
        <v>7.7428305779564139</v>
      </c>
      <c r="BD84" s="543">
        <f t="shared" si="174"/>
        <v>23.228491733869241</v>
      </c>
      <c r="BE84" s="543">
        <f t="shared" si="164"/>
        <v>69.685475201607716</v>
      </c>
      <c r="BF84" s="542">
        <f t="shared" si="175"/>
        <v>7.7428305779564139</v>
      </c>
      <c r="BG84" s="542">
        <f t="shared" si="176"/>
        <v>7.7428305779564139</v>
      </c>
      <c r="BH84" s="542">
        <f t="shared" si="177"/>
        <v>7.7428305779564139</v>
      </c>
      <c r="BI84" s="4712"/>
      <c r="BJ84" s="543">
        <f t="shared" si="178"/>
        <v>23.228491733869241</v>
      </c>
      <c r="BK84" s="549">
        <f t="shared" si="126"/>
        <v>92.91396693547695</v>
      </c>
    </row>
    <row r="85" spans="1:63" ht="18.75" hidden="1" x14ac:dyDescent="0.3">
      <c r="A85" s="396" t="s">
        <v>591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1"/>
      <c r="U85" s="391"/>
      <c r="V85" s="541">
        <f>SUM(V74*0.97%)</f>
        <v>70.411365568291131</v>
      </c>
      <c r="W85" s="547"/>
      <c r="X85" s="541">
        <f>SUM(V85*стоки!AK75/стоки!AI75)</f>
        <v>70.411365568291131</v>
      </c>
      <c r="Y85" s="551">
        <f t="shared" si="147"/>
        <v>0</v>
      </c>
      <c r="Z85" s="376">
        <f t="shared" si="179"/>
        <v>5.8676137973575946</v>
      </c>
      <c r="AA85" s="807"/>
      <c r="AB85" s="376">
        <f t="shared" si="167"/>
        <v>5.8676137973575946</v>
      </c>
      <c r="AC85" s="376">
        <f t="shared" si="168"/>
        <v>5.8676137973575946</v>
      </c>
      <c r="AD85" s="543">
        <f t="shared" si="169"/>
        <v>17.602841392072783</v>
      </c>
      <c r="AE85" s="814"/>
      <c r="AF85" s="814"/>
      <c r="AG85" s="814"/>
      <c r="AH85" s="814"/>
      <c r="AI85" s="2136"/>
      <c r="AJ85" s="2136"/>
      <c r="AK85" s="2136"/>
      <c r="AL85" s="2136"/>
      <c r="AM85" s="2136"/>
      <c r="AN85" s="2136"/>
      <c r="AO85" s="2136"/>
      <c r="AP85" s="2136"/>
      <c r="AQ85" s="2576"/>
      <c r="AR85" s="2576"/>
      <c r="AS85" s="2576"/>
      <c r="AT85" s="2136"/>
      <c r="AU85" s="2136"/>
      <c r="AV85" s="542">
        <f t="shared" si="158"/>
        <v>5.8676137973575946</v>
      </c>
      <c r="AW85" s="542">
        <f t="shared" si="159"/>
        <v>5.8676137973575946</v>
      </c>
      <c r="AX85" s="542">
        <f t="shared" si="160"/>
        <v>5.8676137973575946</v>
      </c>
      <c r="AY85" s="543">
        <f t="shared" si="170"/>
        <v>17.602841392072783</v>
      </c>
      <c r="AZ85" s="543">
        <f t="shared" si="119"/>
        <v>35.205682784145566</v>
      </c>
      <c r="BA85" s="542">
        <f t="shared" si="171"/>
        <v>5.8676137973575946</v>
      </c>
      <c r="BB85" s="542">
        <f t="shared" si="172"/>
        <v>5.8676137973575946</v>
      </c>
      <c r="BC85" s="542">
        <f t="shared" si="173"/>
        <v>5.8676137973575946</v>
      </c>
      <c r="BD85" s="543">
        <f t="shared" si="174"/>
        <v>17.602841392072783</v>
      </c>
      <c r="BE85" s="543">
        <f t="shared" si="164"/>
        <v>52.808524176218349</v>
      </c>
      <c r="BF85" s="542">
        <f t="shared" si="175"/>
        <v>5.8676137973575946</v>
      </c>
      <c r="BG85" s="542">
        <f t="shared" si="176"/>
        <v>5.8676137973575946</v>
      </c>
      <c r="BH85" s="542">
        <f t="shared" si="177"/>
        <v>5.8676137973575946</v>
      </c>
      <c r="BI85" s="4712"/>
      <c r="BJ85" s="543">
        <f t="shared" si="178"/>
        <v>17.602841392072783</v>
      </c>
      <c r="BK85" s="549">
        <f t="shared" si="126"/>
        <v>70.411365568291117</v>
      </c>
    </row>
    <row r="86" spans="1:63" ht="18.75" hidden="1" x14ac:dyDescent="0.3">
      <c r="A86" s="396" t="s">
        <v>594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1"/>
      <c r="U86" s="391"/>
      <c r="V86" s="541">
        <f>SUM(V74*0.39%)</f>
        <v>28.309724300653141</v>
      </c>
      <c r="W86" s="547"/>
      <c r="X86" s="541">
        <f>SUM(V86*стоки!AK75/стоки!AI75)</f>
        <v>28.309724300653141</v>
      </c>
      <c r="Y86" s="551">
        <f t="shared" si="147"/>
        <v>0</v>
      </c>
      <c r="Z86" s="376">
        <f t="shared" si="179"/>
        <v>2.3591436917210951</v>
      </c>
      <c r="AA86" s="807"/>
      <c r="AB86" s="376">
        <f t="shared" si="167"/>
        <v>2.3591436917210951</v>
      </c>
      <c r="AC86" s="376">
        <f t="shared" si="168"/>
        <v>2.3591436917210951</v>
      </c>
      <c r="AD86" s="543">
        <f t="shared" si="169"/>
        <v>7.0774310751632852</v>
      </c>
      <c r="AE86" s="814"/>
      <c r="AF86" s="814"/>
      <c r="AG86" s="814"/>
      <c r="AH86" s="814"/>
      <c r="AI86" s="2136"/>
      <c r="AJ86" s="2136"/>
      <c r="AK86" s="2136"/>
      <c r="AL86" s="2136"/>
      <c r="AM86" s="2136"/>
      <c r="AN86" s="2136"/>
      <c r="AO86" s="2136"/>
      <c r="AP86" s="2136"/>
      <c r="AQ86" s="2576"/>
      <c r="AR86" s="2576"/>
      <c r="AS86" s="2576"/>
      <c r="AT86" s="2136"/>
      <c r="AU86" s="2136"/>
      <c r="AV86" s="542">
        <f t="shared" si="158"/>
        <v>2.3591436917210951</v>
      </c>
      <c r="AW86" s="542">
        <f t="shared" si="159"/>
        <v>2.3591436917210951</v>
      </c>
      <c r="AX86" s="542">
        <f t="shared" si="160"/>
        <v>2.3591436917210951</v>
      </c>
      <c r="AY86" s="543">
        <f t="shared" si="170"/>
        <v>7.0774310751632852</v>
      </c>
      <c r="AZ86" s="543">
        <f t="shared" si="119"/>
        <v>14.15486215032657</v>
      </c>
      <c r="BA86" s="542">
        <f t="shared" si="171"/>
        <v>2.3591436917210951</v>
      </c>
      <c r="BB86" s="542">
        <f t="shared" si="172"/>
        <v>2.3591436917210951</v>
      </c>
      <c r="BC86" s="542">
        <f t="shared" si="173"/>
        <v>2.3591436917210951</v>
      </c>
      <c r="BD86" s="543">
        <f t="shared" si="174"/>
        <v>7.0774310751632852</v>
      </c>
      <c r="BE86" s="543">
        <f t="shared" si="164"/>
        <v>21.232293225489855</v>
      </c>
      <c r="BF86" s="542">
        <f t="shared" si="175"/>
        <v>2.3591436917210951</v>
      </c>
      <c r="BG86" s="542">
        <f t="shared" si="176"/>
        <v>2.3591436917210951</v>
      </c>
      <c r="BH86" s="542">
        <f t="shared" si="177"/>
        <v>2.3591436917210951</v>
      </c>
      <c r="BI86" s="4712"/>
      <c r="BJ86" s="543">
        <f t="shared" si="178"/>
        <v>7.0774310751632852</v>
      </c>
      <c r="BK86" s="549">
        <f t="shared" si="126"/>
        <v>28.309724300653134</v>
      </c>
    </row>
    <row r="87" spans="1:63" ht="18.75" hidden="1" x14ac:dyDescent="0.3">
      <c r="A87" s="396" t="s">
        <v>598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1"/>
      <c r="U87" s="391"/>
      <c r="V87" s="548">
        <v>0</v>
      </c>
      <c r="W87" s="553"/>
      <c r="X87" s="541">
        <f>SUM(V87*стоки!AK75/стоки!AI75)</f>
        <v>0</v>
      </c>
      <c r="Y87" s="551">
        <f t="shared" si="147"/>
        <v>0</v>
      </c>
      <c r="Z87" s="377">
        <f t="shared" ref="Z87:Z88" si="199">SUM(V87/12)</f>
        <v>0</v>
      </c>
      <c r="AA87" s="808"/>
      <c r="AB87" s="377">
        <f t="shared" si="167"/>
        <v>0</v>
      </c>
      <c r="AC87" s="377">
        <f t="shared" si="168"/>
        <v>0</v>
      </c>
      <c r="AD87" s="554">
        <f t="shared" si="169"/>
        <v>0</v>
      </c>
      <c r="AE87" s="815"/>
      <c r="AF87" s="815"/>
      <c r="AG87" s="815"/>
      <c r="AH87" s="815"/>
      <c r="AI87" s="2137"/>
      <c r="AJ87" s="2137"/>
      <c r="AK87" s="2137"/>
      <c r="AL87" s="2137"/>
      <c r="AM87" s="2137"/>
      <c r="AN87" s="2137"/>
      <c r="AO87" s="2137"/>
      <c r="AP87" s="2137"/>
      <c r="AQ87" s="2577"/>
      <c r="AR87" s="2577"/>
      <c r="AS87" s="2577"/>
      <c r="AT87" s="2137"/>
      <c r="AU87" s="2137"/>
      <c r="AV87" s="555">
        <f t="shared" si="158"/>
        <v>0</v>
      </c>
      <c r="AW87" s="555">
        <f t="shared" si="159"/>
        <v>0</v>
      </c>
      <c r="AX87" s="555">
        <f t="shared" si="160"/>
        <v>0</v>
      </c>
      <c r="AY87" s="554">
        <f t="shared" si="170"/>
        <v>0</v>
      </c>
      <c r="AZ87" s="554">
        <f t="shared" si="119"/>
        <v>0</v>
      </c>
      <c r="BA87" s="555">
        <f t="shared" si="171"/>
        <v>0</v>
      </c>
      <c r="BB87" s="555">
        <f t="shared" si="172"/>
        <v>0</v>
      </c>
      <c r="BC87" s="555">
        <f t="shared" si="173"/>
        <v>0</v>
      </c>
      <c r="BD87" s="554">
        <f t="shared" si="174"/>
        <v>0</v>
      </c>
      <c r="BE87" s="554">
        <f t="shared" si="164"/>
        <v>0</v>
      </c>
      <c r="BF87" s="555">
        <f t="shared" si="175"/>
        <v>0</v>
      </c>
      <c r="BG87" s="555">
        <f t="shared" si="176"/>
        <v>0</v>
      </c>
      <c r="BH87" s="555">
        <f t="shared" si="177"/>
        <v>0</v>
      </c>
      <c r="BI87" s="4714"/>
      <c r="BJ87" s="554">
        <f t="shared" si="178"/>
        <v>0</v>
      </c>
      <c r="BK87" s="556">
        <f t="shared" si="126"/>
        <v>0</v>
      </c>
    </row>
    <row r="88" spans="1:63" ht="18.75" hidden="1" x14ac:dyDescent="0.3">
      <c r="A88" s="396" t="s">
        <v>595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1"/>
      <c r="U88" s="391"/>
      <c r="V88" s="548">
        <v>0</v>
      </c>
      <c r="W88" s="553"/>
      <c r="X88" s="541">
        <f>SUM(V88*стоки!AK75/стоки!AI75)</f>
        <v>0</v>
      </c>
      <c r="Y88" s="551">
        <f t="shared" si="147"/>
        <v>0</v>
      </c>
      <c r="Z88" s="377">
        <f t="shared" si="199"/>
        <v>0</v>
      </c>
      <c r="AA88" s="808"/>
      <c r="AB88" s="377">
        <f t="shared" si="167"/>
        <v>0</v>
      </c>
      <c r="AC88" s="377">
        <f t="shared" si="168"/>
        <v>0</v>
      </c>
      <c r="AD88" s="554">
        <f t="shared" si="169"/>
        <v>0</v>
      </c>
      <c r="AE88" s="815"/>
      <c r="AF88" s="815"/>
      <c r="AG88" s="815"/>
      <c r="AH88" s="815"/>
      <c r="AI88" s="2137"/>
      <c r="AJ88" s="2137"/>
      <c r="AK88" s="2137"/>
      <c r="AL88" s="2137"/>
      <c r="AM88" s="2137"/>
      <c r="AN88" s="2137"/>
      <c r="AO88" s="2137"/>
      <c r="AP88" s="2137"/>
      <c r="AQ88" s="2577"/>
      <c r="AR88" s="2577"/>
      <c r="AS88" s="2577"/>
      <c r="AT88" s="2137"/>
      <c r="AU88" s="2137"/>
      <c r="AV88" s="555">
        <f t="shared" si="158"/>
        <v>0</v>
      </c>
      <c r="AW88" s="555">
        <f t="shared" si="159"/>
        <v>0</v>
      </c>
      <c r="AX88" s="555">
        <f t="shared" si="160"/>
        <v>0</v>
      </c>
      <c r="AY88" s="554">
        <f t="shared" si="170"/>
        <v>0</v>
      </c>
      <c r="AZ88" s="554">
        <f t="shared" si="119"/>
        <v>0</v>
      </c>
      <c r="BA88" s="555">
        <f t="shared" si="171"/>
        <v>0</v>
      </c>
      <c r="BB88" s="555">
        <f t="shared" si="172"/>
        <v>0</v>
      </c>
      <c r="BC88" s="555">
        <f t="shared" si="173"/>
        <v>0</v>
      </c>
      <c r="BD88" s="554">
        <f t="shared" si="174"/>
        <v>0</v>
      </c>
      <c r="BE88" s="554">
        <f t="shared" si="164"/>
        <v>0</v>
      </c>
      <c r="BF88" s="555">
        <f t="shared" si="175"/>
        <v>0</v>
      </c>
      <c r="BG88" s="555">
        <f t="shared" si="176"/>
        <v>0</v>
      </c>
      <c r="BH88" s="555">
        <f t="shared" si="177"/>
        <v>0</v>
      </c>
      <c r="BI88" s="4714"/>
      <c r="BJ88" s="554">
        <f t="shared" si="178"/>
        <v>0</v>
      </c>
      <c r="BK88" s="556">
        <f t="shared" si="126"/>
        <v>0</v>
      </c>
    </row>
    <row r="89" spans="1:63" ht="18.75" hidden="1" x14ac:dyDescent="0.3">
      <c r="A89" s="396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1"/>
      <c r="U89" s="391"/>
      <c r="V89" s="541">
        <f>SUM(V74*0.29%)</f>
        <v>21.050820633818997</v>
      </c>
      <c r="W89" s="547"/>
      <c r="X89" s="541">
        <f>SUM(V89*стоки!AK75/стоки!AI75)</f>
        <v>21.050820633818994</v>
      </c>
      <c r="Y89" s="551">
        <f t="shared" si="147"/>
        <v>3.5527136788005009E-15</v>
      </c>
      <c r="Z89" s="376">
        <f t="shared" ref="Z89" si="200">SUM(V89/12)</f>
        <v>1.7542350528182498</v>
      </c>
      <c r="AA89" s="807"/>
      <c r="AB89" s="376">
        <f t="shared" si="167"/>
        <v>1.7542350528182498</v>
      </c>
      <c r="AC89" s="376">
        <f t="shared" si="168"/>
        <v>1.7542350528182498</v>
      </c>
      <c r="AD89" s="543">
        <f t="shared" si="169"/>
        <v>5.2627051584547493</v>
      </c>
      <c r="AE89" s="814"/>
      <c r="AF89" s="814"/>
      <c r="AG89" s="814"/>
      <c r="AH89" s="814"/>
      <c r="AI89" s="2136"/>
      <c r="AJ89" s="2136"/>
      <c r="AK89" s="2136"/>
      <c r="AL89" s="2136"/>
      <c r="AM89" s="2136"/>
      <c r="AN89" s="2136"/>
      <c r="AO89" s="2136"/>
      <c r="AP89" s="2136"/>
      <c r="AQ89" s="2576"/>
      <c r="AR89" s="2576"/>
      <c r="AS89" s="2576"/>
      <c r="AT89" s="2136"/>
      <c r="AU89" s="2136"/>
      <c r="AV89" s="542">
        <f t="shared" si="158"/>
        <v>1.7542350528182498</v>
      </c>
      <c r="AW89" s="542">
        <f t="shared" si="159"/>
        <v>1.7542350528182498</v>
      </c>
      <c r="AX89" s="542">
        <f t="shared" si="160"/>
        <v>1.7542350528182498</v>
      </c>
      <c r="AY89" s="543">
        <f t="shared" si="170"/>
        <v>5.2627051584547493</v>
      </c>
      <c r="AZ89" s="543">
        <f t="shared" si="119"/>
        <v>10.525410316909499</v>
      </c>
      <c r="BA89" s="542">
        <f t="shared" si="171"/>
        <v>1.7542350528182498</v>
      </c>
      <c r="BB89" s="542">
        <f t="shared" si="172"/>
        <v>1.7542350528182498</v>
      </c>
      <c r="BC89" s="542">
        <f t="shared" si="173"/>
        <v>1.7542350528182498</v>
      </c>
      <c r="BD89" s="543">
        <f t="shared" si="174"/>
        <v>5.2627051584547493</v>
      </c>
      <c r="BE89" s="543">
        <f t="shared" si="132"/>
        <v>15.788115475364247</v>
      </c>
      <c r="BF89" s="542">
        <f t="shared" si="175"/>
        <v>1.7542350528182498</v>
      </c>
      <c r="BG89" s="542">
        <f t="shared" si="176"/>
        <v>1.7542350528182498</v>
      </c>
      <c r="BH89" s="542">
        <f t="shared" si="177"/>
        <v>1.7542350528182498</v>
      </c>
      <c r="BI89" s="4712"/>
      <c r="BJ89" s="543">
        <f t="shared" si="178"/>
        <v>5.2627051584547493</v>
      </c>
      <c r="BK89" s="549">
        <f t="shared" si="126"/>
        <v>21.05082063381899</v>
      </c>
    </row>
    <row r="90" spans="1:63" ht="18.75" hidden="1" x14ac:dyDescent="0.3">
      <c r="A90" s="396" t="s">
        <v>589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1"/>
      <c r="U90" s="391"/>
      <c r="V90" s="541">
        <f>SUM(V91:V94)</f>
        <v>556.03202087949489</v>
      </c>
      <c r="W90" s="547"/>
      <c r="X90" s="541">
        <f>SUM(X91:X94)</f>
        <v>556.03202087949489</v>
      </c>
      <c r="Y90" s="541">
        <f>SUM(Y91:Y94)</f>
        <v>0</v>
      </c>
      <c r="Z90" s="375">
        <f t="shared" ref="Z90:AC90" si="201">SUM(Z91:Z94)</f>
        <v>80.25709855849864</v>
      </c>
      <c r="AA90" s="809"/>
      <c r="AB90" s="375">
        <f t="shared" si="201"/>
        <v>70.701197480449366</v>
      </c>
      <c r="AC90" s="375">
        <f t="shared" si="201"/>
        <v>66.562771462315453</v>
      </c>
      <c r="AD90" s="543">
        <f t="shared" si="129"/>
        <v>217.52106750126345</v>
      </c>
      <c r="AE90" s="814"/>
      <c r="AF90" s="814"/>
      <c r="AG90" s="814"/>
      <c r="AH90" s="814"/>
      <c r="AI90" s="2136"/>
      <c r="AJ90" s="2136"/>
      <c r="AK90" s="2136"/>
      <c r="AL90" s="2136"/>
      <c r="AM90" s="2136"/>
      <c r="AN90" s="2136"/>
      <c r="AO90" s="2136"/>
      <c r="AP90" s="2136"/>
      <c r="AQ90" s="2576"/>
      <c r="AR90" s="2576"/>
      <c r="AS90" s="2576"/>
      <c r="AT90" s="2136"/>
      <c r="AU90" s="2136"/>
      <c r="AV90" s="375">
        <f t="shared" ref="AV90:AX90" si="202">SUM(AV91:AV94)</f>
        <v>52.125412986369064</v>
      </c>
      <c r="AW90" s="375">
        <f t="shared" si="202"/>
        <v>22.906905396078344</v>
      </c>
      <c r="AX90" s="375">
        <f t="shared" si="202"/>
        <v>13.912898694765433</v>
      </c>
      <c r="AY90" s="543">
        <f t="shared" si="130"/>
        <v>88.945217077212845</v>
      </c>
      <c r="AZ90" s="543">
        <f t="shared" si="119"/>
        <v>306.46628457847629</v>
      </c>
      <c r="BA90" s="375">
        <f t="shared" ref="BA90:BC90" si="203">SUM(BA91:BA94)</f>
        <v>13.912898694765433</v>
      </c>
      <c r="BB90" s="375">
        <f t="shared" si="203"/>
        <v>13.912898694765433</v>
      </c>
      <c r="BC90" s="375">
        <f t="shared" si="203"/>
        <v>29.919014517130307</v>
      </c>
      <c r="BD90" s="543">
        <f t="shared" si="131"/>
        <v>57.74481190666117</v>
      </c>
      <c r="BE90" s="543">
        <f t="shared" si="132"/>
        <v>364.21109648513743</v>
      </c>
      <c r="BF90" s="375">
        <f t="shared" ref="BF90:BH90" si="204">SUM(BF91:BF94)</f>
        <v>53.257999822845946</v>
      </c>
      <c r="BG90" s="375">
        <f t="shared" si="204"/>
        <v>63.387365865784112</v>
      </c>
      <c r="BH90" s="375">
        <f t="shared" si="204"/>
        <v>75.175558705727454</v>
      </c>
      <c r="BI90" s="4715"/>
      <c r="BJ90" s="543">
        <f t="shared" si="133"/>
        <v>191.82092439435752</v>
      </c>
      <c r="BK90" s="549">
        <f t="shared" si="126"/>
        <v>556.03202087949501</v>
      </c>
    </row>
    <row r="91" spans="1:63" ht="18.75" hidden="1" x14ac:dyDescent="0.3">
      <c r="A91" s="388" t="s">
        <v>634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1"/>
      <c r="U91" s="391"/>
      <c r="V91" s="541">
        <f>SUM(V74*5.36%)</f>
        <v>389.07723654230978</v>
      </c>
      <c r="W91" s="547"/>
      <c r="X91" s="541">
        <f>SUM(V91*стоки!AK75/стоки!AI75)</f>
        <v>389.07723654230978</v>
      </c>
      <c r="Y91" s="551">
        <f t="shared" si="147"/>
        <v>0</v>
      </c>
      <c r="Z91" s="376">
        <f>SUM(V91/2094.54)/(1+(101%*100-100)/2/100)*358.94</f>
        <v>66.344199863733209</v>
      </c>
      <c r="AA91" s="807"/>
      <c r="AB91" s="376">
        <f>SUM(V91/2094.54)/(1+(101%*100-100)/2/100)*307.24</f>
        <v>56.788298785683942</v>
      </c>
      <c r="AC91" s="376">
        <f>SUM(V91/2094.54)/(1+(101%*100-100)/2/100)*284.85</f>
        <v>52.649872767550029</v>
      </c>
      <c r="AD91" s="543">
        <f t="shared" si="129"/>
        <v>175.78237141696718</v>
      </c>
      <c r="AE91" s="814"/>
      <c r="AF91" s="814"/>
      <c r="AG91" s="814"/>
      <c r="AH91" s="814"/>
      <c r="AI91" s="2136"/>
      <c r="AJ91" s="2136"/>
      <c r="AK91" s="2136"/>
      <c r="AL91" s="2136"/>
      <c r="AM91" s="2136"/>
      <c r="AN91" s="2136"/>
      <c r="AO91" s="2136"/>
      <c r="AP91" s="2136"/>
      <c r="AQ91" s="2576"/>
      <c r="AR91" s="2576"/>
      <c r="AS91" s="2576"/>
      <c r="AT91" s="2136"/>
      <c r="AU91" s="2136"/>
      <c r="AV91" s="376">
        <f>SUM(V91/2094.54)/(1+(101%*100-100)/2/100)*206.74</f>
        <v>38.212514291603625</v>
      </c>
      <c r="AW91" s="376">
        <f>SUM(V91/2094.54)/(1+(101%*100-100)/2/100)*48.66</f>
        <v>8.9940067013129159</v>
      </c>
      <c r="AX91" s="376">
        <v>0</v>
      </c>
      <c r="AY91" s="543">
        <f t="shared" si="130"/>
        <v>47.206520992916538</v>
      </c>
      <c r="AZ91" s="543">
        <f t="shared" si="119"/>
        <v>222.9888924098837</v>
      </c>
      <c r="BA91" s="376">
        <v>0</v>
      </c>
      <c r="BB91" s="376">
        <v>0</v>
      </c>
      <c r="BC91" s="376">
        <f>SUM(V91/2094.54)/(1+(101%*100-100)/2/100)*101%*85.74</f>
        <v>16.00611582236488</v>
      </c>
      <c r="BD91" s="543">
        <f t="shared" si="131"/>
        <v>16.00611582236488</v>
      </c>
      <c r="BE91" s="543">
        <f t="shared" si="132"/>
        <v>238.99500823224858</v>
      </c>
      <c r="BF91" s="376">
        <f>SUM(V91/2094.54)/(1+(101%*100-100)/2/100)*101%*210.76</f>
        <v>39.345101128080508</v>
      </c>
      <c r="BG91" s="376">
        <f>SUM(V91/2094.54)/(1+(101%*100-100)/2/100)*101%*265.02</f>
        <v>49.474467171018674</v>
      </c>
      <c r="BH91" s="376">
        <f>SUM(V91-BE91-BF91-BG91)</f>
        <v>61.262660010962023</v>
      </c>
      <c r="BI91" s="4713"/>
      <c r="BJ91" s="543">
        <f t="shared" si="133"/>
        <v>150.08222831006123</v>
      </c>
      <c r="BK91" s="549">
        <f t="shared" si="126"/>
        <v>389.07723654230978</v>
      </c>
    </row>
    <row r="92" spans="1:63" ht="18.75" hidden="1" x14ac:dyDescent="0.3">
      <c r="A92" s="388" t="s">
        <v>546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1"/>
      <c r="U92" s="391"/>
      <c r="V92" s="541">
        <f>SUM(V74*1.89%)</f>
        <v>137.19327930316521</v>
      </c>
      <c r="W92" s="547"/>
      <c r="X92" s="541">
        <f>SUM(V92*стоки!AK75/стоки!AI75)</f>
        <v>137.19327930316521</v>
      </c>
      <c r="Y92" s="551">
        <f t="shared" si="147"/>
        <v>0</v>
      </c>
      <c r="Z92" s="376">
        <f t="shared" ref="Z92:Z94" si="205">SUM(V92/12)</f>
        <v>11.432773275263768</v>
      </c>
      <c r="AA92" s="807"/>
      <c r="AB92" s="376">
        <f t="shared" ref="AB92:AB94" si="206">SUM(Z92)</f>
        <v>11.432773275263768</v>
      </c>
      <c r="AC92" s="376">
        <f t="shared" ref="AC92:AC94" si="207">SUM(Z92)</f>
        <v>11.432773275263768</v>
      </c>
      <c r="AD92" s="543">
        <f t="shared" ref="AD92:AD94" si="208">SUM(Z92+AB92+AC92)</f>
        <v>34.298319825791303</v>
      </c>
      <c r="AE92" s="814"/>
      <c r="AF92" s="814"/>
      <c r="AG92" s="814"/>
      <c r="AH92" s="814"/>
      <c r="AI92" s="2136"/>
      <c r="AJ92" s="2136"/>
      <c r="AK92" s="2136"/>
      <c r="AL92" s="2136"/>
      <c r="AM92" s="2136"/>
      <c r="AN92" s="2136"/>
      <c r="AO92" s="2136"/>
      <c r="AP92" s="2136"/>
      <c r="AQ92" s="2576"/>
      <c r="AR92" s="2576"/>
      <c r="AS92" s="2576"/>
      <c r="AT92" s="2136"/>
      <c r="AU92" s="2136"/>
      <c r="AV92" s="542">
        <f>SUM(Z92)</f>
        <v>11.432773275263768</v>
      </c>
      <c r="AW92" s="542">
        <f>SUM(Z92)</f>
        <v>11.432773275263768</v>
      </c>
      <c r="AX92" s="542">
        <f>SUM(Z92)</f>
        <v>11.432773275263768</v>
      </c>
      <c r="AY92" s="543">
        <f t="shared" ref="AY92:AY94" si="209">SUM(AV92+AW92+AX92)</f>
        <v>34.298319825791303</v>
      </c>
      <c r="AZ92" s="543">
        <f t="shared" si="119"/>
        <v>68.596639651582606</v>
      </c>
      <c r="BA92" s="542">
        <f>SUM(Z92)</f>
        <v>11.432773275263768</v>
      </c>
      <c r="BB92" s="542">
        <f>SUM(Z92)</f>
        <v>11.432773275263768</v>
      </c>
      <c r="BC92" s="542">
        <f>SUM(Z92)</f>
        <v>11.432773275263768</v>
      </c>
      <c r="BD92" s="543">
        <f t="shared" ref="BD92:BD94" si="210">SUM(BA92+BB92+BC92)</f>
        <v>34.298319825791303</v>
      </c>
      <c r="BE92" s="543">
        <f t="shared" si="132"/>
        <v>102.8949594773739</v>
      </c>
      <c r="BF92" s="542">
        <f>SUM(Z92)</f>
        <v>11.432773275263768</v>
      </c>
      <c r="BG92" s="542">
        <f>SUM(Z92)</f>
        <v>11.432773275263768</v>
      </c>
      <c r="BH92" s="542">
        <f>SUM(Z92)</f>
        <v>11.432773275263768</v>
      </c>
      <c r="BI92" s="4712"/>
      <c r="BJ92" s="543">
        <f t="shared" ref="BJ92:BJ94" si="211">SUM(BF92+BG92+BH92)</f>
        <v>34.298319825791303</v>
      </c>
      <c r="BK92" s="549">
        <f t="shared" si="126"/>
        <v>137.19327930316521</v>
      </c>
    </row>
    <row r="93" spans="1:63" ht="18.75" hidden="1" x14ac:dyDescent="0.3">
      <c r="A93" s="388" t="s">
        <v>545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1"/>
      <c r="U93" s="391"/>
      <c r="V93" s="541">
        <f>SUM(V74*0.01%)</f>
        <v>0.72589036668341378</v>
      </c>
      <c r="W93" s="547"/>
      <c r="X93" s="541">
        <f>SUM(V93*стоки!AK75/стоки!AI75)</f>
        <v>0.72589036668341378</v>
      </c>
      <c r="Y93" s="551">
        <f t="shared" si="147"/>
        <v>0</v>
      </c>
      <c r="Z93" s="376">
        <f t="shared" si="205"/>
        <v>6.0490863890284484E-2</v>
      </c>
      <c r="AA93" s="807"/>
      <c r="AB93" s="376">
        <f t="shared" si="206"/>
        <v>6.0490863890284484E-2</v>
      </c>
      <c r="AC93" s="376">
        <f t="shared" si="207"/>
        <v>6.0490863890284484E-2</v>
      </c>
      <c r="AD93" s="543">
        <f t="shared" si="208"/>
        <v>0.18147259167085344</v>
      </c>
      <c r="AE93" s="814"/>
      <c r="AF93" s="814"/>
      <c r="AG93" s="814"/>
      <c r="AH93" s="814"/>
      <c r="AI93" s="2136"/>
      <c r="AJ93" s="2136"/>
      <c r="AK93" s="2136"/>
      <c r="AL93" s="2136"/>
      <c r="AM93" s="2136"/>
      <c r="AN93" s="2136"/>
      <c r="AO93" s="2136"/>
      <c r="AP93" s="2136"/>
      <c r="AQ93" s="2576"/>
      <c r="AR93" s="2576"/>
      <c r="AS93" s="2576"/>
      <c r="AT93" s="2136"/>
      <c r="AU93" s="2136"/>
      <c r="AV93" s="542">
        <f>SUM(Z93)</f>
        <v>6.0490863890284484E-2</v>
      </c>
      <c r="AW93" s="542">
        <f>SUM(Z93)</f>
        <v>6.0490863890284484E-2</v>
      </c>
      <c r="AX93" s="542">
        <f>SUM(Z93)</f>
        <v>6.0490863890284484E-2</v>
      </c>
      <c r="AY93" s="543">
        <f t="shared" si="209"/>
        <v>0.18147259167085344</v>
      </c>
      <c r="AZ93" s="543">
        <f t="shared" si="119"/>
        <v>0.36294518334170689</v>
      </c>
      <c r="BA93" s="542">
        <f>SUM(Z93)</f>
        <v>6.0490863890284484E-2</v>
      </c>
      <c r="BB93" s="542">
        <f>SUM(Z93)</f>
        <v>6.0490863890284484E-2</v>
      </c>
      <c r="BC93" s="542">
        <f>SUM(Z93)</f>
        <v>6.0490863890284484E-2</v>
      </c>
      <c r="BD93" s="543">
        <f t="shared" si="210"/>
        <v>0.18147259167085344</v>
      </c>
      <c r="BE93" s="543">
        <f t="shared" si="132"/>
        <v>0.54441777501256028</v>
      </c>
      <c r="BF93" s="542">
        <f>SUM(Z93)</f>
        <v>6.0490863890284484E-2</v>
      </c>
      <c r="BG93" s="542">
        <f>SUM(Z93)</f>
        <v>6.0490863890284484E-2</v>
      </c>
      <c r="BH93" s="542">
        <f>SUM(Z93)</f>
        <v>6.0490863890284484E-2</v>
      </c>
      <c r="BI93" s="4712"/>
      <c r="BJ93" s="543">
        <f t="shared" si="211"/>
        <v>0.18147259167085344</v>
      </c>
      <c r="BK93" s="549">
        <f t="shared" si="126"/>
        <v>0.72589036668341367</v>
      </c>
    </row>
    <row r="94" spans="1:63" ht="18.75" hidden="1" x14ac:dyDescent="0.3">
      <c r="A94" s="388" t="s">
        <v>547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1"/>
      <c r="U94" s="391"/>
      <c r="V94" s="541">
        <f>SUM(V74*0.4%)</f>
        <v>29.035614667336553</v>
      </c>
      <c r="W94" s="547"/>
      <c r="X94" s="541">
        <f>SUM(V94*стоки!AK75/стоки!AI75)</f>
        <v>29.035614667336553</v>
      </c>
      <c r="Y94" s="551">
        <f t="shared" si="147"/>
        <v>0</v>
      </c>
      <c r="Z94" s="376">
        <f t="shared" si="205"/>
        <v>2.4196345556113794</v>
      </c>
      <c r="AA94" s="807"/>
      <c r="AB94" s="376">
        <f t="shared" si="206"/>
        <v>2.4196345556113794</v>
      </c>
      <c r="AC94" s="376">
        <f t="shared" si="207"/>
        <v>2.4196345556113794</v>
      </c>
      <c r="AD94" s="543">
        <f t="shared" si="208"/>
        <v>7.2589036668341382</v>
      </c>
      <c r="AE94" s="814"/>
      <c r="AF94" s="814"/>
      <c r="AG94" s="814"/>
      <c r="AH94" s="814"/>
      <c r="AI94" s="2136"/>
      <c r="AJ94" s="2136"/>
      <c r="AK94" s="2136"/>
      <c r="AL94" s="2136"/>
      <c r="AM94" s="2136"/>
      <c r="AN94" s="2136"/>
      <c r="AO94" s="2136"/>
      <c r="AP94" s="2136"/>
      <c r="AQ94" s="2576"/>
      <c r="AR94" s="2576"/>
      <c r="AS94" s="2576"/>
      <c r="AT94" s="2136"/>
      <c r="AU94" s="2136"/>
      <c r="AV94" s="542">
        <f>SUM(Z94)</f>
        <v>2.4196345556113794</v>
      </c>
      <c r="AW94" s="542">
        <f>SUM(Z94)</f>
        <v>2.4196345556113794</v>
      </c>
      <c r="AX94" s="542">
        <f>SUM(Z94)</f>
        <v>2.4196345556113794</v>
      </c>
      <c r="AY94" s="543">
        <f t="shared" si="209"/>
        <v>7.2589036668341382</v>
      </c>
      <c r="AZ94" s="543">
        <f t="shared" si="119"/>
        <v>14.517807333668276</v>
      </c>
      <c r="BA94" s="542">
        <f>SUM(Z94)</f>
        <v>2.4196345556113794</v>
      </c>
      <c r="BB94" s="542">
        <f>SUM(Z94)</f>
        <v>2.4196345556113794</v>
      </c>
      <c r="BC94" s="542">
        <f>SUM(Z94)</f>
        <v>2.4196345556113794</v>
      </c>
      <c r="BD94" s="543">
        <f t="shared" si="210"/>
        <v>7.2589036668341382</v>
      </c>
      <c r="BE94" s="543">
        <f t="shared" si="132"/>
        <v>21.776711000502416</v>
      </c>
      <c r="BF94" s="542">
        <f>SUM(Z94)</f>
        <v>2.4196345556113794</v>
      </c>
      <c r="BG94" s="542">
        <f>SUM(Z94)</f>
        <v>2.4196345556113794</v>
      </c>
      <c r="BH94" s="542">
        <f>SUM(Z94)</f>
        <v>2.4196345556113794</v>
      </c>
      <c r="BI94" s="4712"/>
      <c r="BJ94" s="543">
        <f t="shared" si="211"/>
        <v>7.2589036668341382</v>
      </c>
      <c r="BK94" s="549">
        <f t="shared" si="126"/>
        <v>29.03561466733656</v>
      </c>
    </row>
    <row r="95" spans="1:63" ht="18.75" hidden="1" x14ac:dyDescent="0.3">
      <c r="A95" s="396" t="s">
        <v>592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1"/>
      <c r="U95" s="391"/>
      <c r="V95" s="541">
        <f>SUM(V96:V99)</f>
        <v>474.0064094442692</v>
      </c>
      <c r="W95" s="547"/>
      <c r="X95" s="541">
        <f>SUM(V95*стоки!AK75/стоки!AI75)</f>
        <v>474.0064094442692</v>
      </c>
      <c r="Y95" s="551">
        <f t="shared" ref="Y95" si="212">SUM(V95-X95)</f>
        <v>0</v>
      </c>
      <c r="Z95" s="375">
        <f t="shared" ref="Z95:AC95" si="213">SUM(Z96:Z99)</f>
        <v>37.814314994895753</v>
      </c>
      <c r="AA95" s="809"/>
      <c r="AB95" s="375">
        <f t="shared" si="213"/>
        <v>37.814314994895753</v>
      </c>
      <c r="AC95" s="375">
        <f t="shared" si="213"/>
        <v>37.814314994895753</v>
      </c>
      <c r="AD95" s="543">
        <f t="shared" si="129"/>
        <v>113.44294498468726</v>
      </c>
      <c r="AE95" s="814"/>
      <c r="AF95" s="814"/>
      <c r="AG95" s="814"/>
      <c r="AH95" s="814"/>
      <c r="AI95" s="2136"/>
      <c r="AJ95" s="2136"/>
      <c r="AK95" s="2136"/>
      <c r="AL95" s="2136"/>
      <c r="AM95" s="2136"/>
      <c r="AN95" s="2136"/>
      <c r="AO95" s="2136"/>
      <c r="AP95" s="2136"/>
      <c r="AQ95" s="2576"/>
      <c r="AR95" s="2576"/>
      <c r="AS95" s="2576"/>
      <c r="AT95" s="2136"/>
      <c r="AU95" s="2136"/>
      <c r="AV95" s="375">
        <f t="shared" ref="AV95:AX95" si="214">SUM(AV96:AV99)</f>
        <v>37.96261439680918</v>
      </c>
      <c r="AW95" s="375">
        <f t="shared" si="214"/>
        <v>40.41779338404249</v>
      </c>
      <c r="AX95" s="375">
        <f t="shared" si="214"/>
        <v>42.559895856125237</v>
      </c>
      <c r="AY95" s="543">
        <f t="shared" si="130"/>
        <v>120.94030363697691</v>
      </c>
      <c r="AZ95" s="543">
        <f t="shared" si="119"/>
        <v>234.38324862166417</v>
      </c>
      <c r="BA95" s="375">
        <f t="shared" ref="BA95:BC95" si="215">SUM(BA96:BA99)</f>
        <v>43.202526597750065</v>
      </c>
      <c r="BB95" s="375">
        <f t="shared" si="215"/>
        <v>42.559895856125237</v>
      </c>
      <c r="BC95" s="375">
        <f t="shared" si="215"/>
        <v>40.41779338404249</v>
      </c>
      <c r="BD95" s="543">
        <f t="shared" si="131"/>
        <v>126.18021583791779</v>
      </c>
      <c r="BE95" s="543">
        <f t="shared" si="132"/>
        <v>360.56346445958195</v>
      </c>
      <c r="BF95" s="375">
        <f t="shared" ref="BF95:BH95" si="216">SUM(BF96:BF99)</f>
        <v>37.814314994895753</v>
      </c>
      <c r="BG95" s="375">
        <f t="shared" si="216"/>
        <v>37.814314994895753</v>
      </c>
      <c r="BH95" s="375">
        <f t="shared" si="216"/>
        <v>37.814314994895753</v>
      </c>
      <c r="BI95" s="4715"/>
      <c r="BJ95" s="543">
        <f t="shared" si="133"/>
        <v>113.44294498468726</v>
      </c>
      <c r="BK95" s="549">
        <f t="shared" si="126"/>
        <v>474.00640944426931</v>
      </c>
    </row>
    <row r="96" spans="1:63" ht="18.75" hidden="1" x14ac:dyDescent="0.3">
      <c r="A96" s="388" t="s">
        <v>532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1"/>
      <c r="U96" s="391"/>
      <c r="V96" s="541">
        <f>SUM(V74*2.27%)</f>
        <v>164.77711323713493</v>
      </c>
      <c r="W96" s="547"/>
      <c r="X96" s="541">
        <f>SUM(V96*стоки!AK75/стоки!AI75)</f>
        <v>164.77711323713493</v>
      </c>
      <c r="Y96" s="551">
        <f t="shared" si="147"/>
        <v>0</v>
      </c>
      <c r="Z96" s="376">
        <f>SUM(V96*7.31%)</f>
        <v>12.045206977634562</v>
      </c>
      <c r="AA96" s="807"/>
      <c r="AB96" s="376">
        <f>SUM(V96*7.31%)</f>
        <v>12.045206977634562</v>
      </c>
      <c r="AC96" s="376">
        <f>SUM(V96*7.31%)</f>
        <v>12.045206977634562</v>
      </c>
      <c r="AD96" s="543">
        <f t="shared" ref="AD96:AD99" si="217">SUM(Z96+AB96+AC96)</f>
        <v>36.135620932903684</v>
      </c>
      <c r="AE96" s="814"/>
      <c r="AF96" s="814"/>
      <c r="AG96" s="814"/>
      <c r="AH96" s="814"/>
      <c r="AI96" s="2136"/>
      <c r="AJ96" s="2136"/>
      <c r="AK96" s="2136"/>
      <c r="AL96" s="2136"/>
      <c r="AM96" s="2136"/>
      <c r="AN96" s="2136"/>
      <c r="AO96" s="2136"/>
      <c r="AP96" s="2136"/>
      <c r="AQ96" s="2576"/>
      <c r="AR96" s="2576"/>
      <c r="AS96" s="2576"/>
      <c r="AT96" s="2136"/>
      <c r="AU96" s="2136"/>
      <c r="AV96" s="376">
        <f>SUM(V96*7.4%)</f>
        <v>12.193506379547987</v>
      </c>
      <c r="AW96" s="376">
        <f>SUM(V96*8.89%)</f>
        <v>14.648685366781296</v>
      </c>
      <c r="AX96" s="376">
        <f>SUM(V96*10.19%)</f>
        <v>16.790787838864048</v>
      </c>
      <c r="AY96" s="543">
        <f t="shared" ref="AY96:AY99" si="218">SUM(AV96+AW96+AX96)</f>
        <v>43.632979585193333</v>
      </c>
      <c r="AZ96" s="543">
        <f t="shared" ref="AZ96:AZ124" si="219">SUM(AD96+AY96)</f>
        <v>79.768600518097017</v>
      </c>
      <c r="BA96" s="376">
        <f>SUM(V96*10.58%)</f>
        <v>17.433418580488876</v>
      </c>
      <c r="BB96" s="376">
        <f>SUM(V96*10.19%)</f>
        <v>16.790787838864048</v>
      </c>
      <c r="BC96" s="376">
        <f>SUM(V96*8.89%)</f>
        <v>14.648685366781296</v>
      </c>
      <c r="BD96" s="543">
        <f t="shared" ref="BD96:BD99" si="220">SUM(BA96+BB96+BC96)</f>
        <v>48.872891786134218</v>
      </c>
      <c r="BE96" s="543">
        <f t="shared" si="132"/>
        <v>128.64149230423124</v>
      </c>
      <c r="BF96" s="376">
        <f>SUM(V96*7.31%)</f>
        <v>12.045206977634562</v>
      </c>
      <c r="BG96" s="376">
        <f>SUM(V96*7.31%)</f>
        <v>12.045206977634562</v>
      </c>
      <c r="BH96" s="376">
        <f>SUM(V96*7.31%)</f>
        <v>12.045206977634562</v>
      </c>
      <c r="BI96" s="4713"/>
      <c r="BJ96" s="543">
        <f t="shared" ref="BJ96:BJ99" si="221">SUM(BF96+BG96+BH96)</f>
        <v>36.135620932903684</v>
      </c>
      <c r="BK96" s="549">
        <f t="shared" ref="BK96:BK124" si="222">SUM(BH96+BG96+BF96+BC96+BB96+BA96+AX96+AW96+AV96+AC96+AB96+Z96)</f>
        <v>164.77711323713493</v>
      </c>
    </row>
    <row r="97" spans="1:63" ht="18.75" hidden="1" x14ac:dyDescent="0.3">
      <c r="A97" s="388" t="s">
        <v>626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1"/>
      <c r="U97" s="391"/>
      <c r="V97" s="541">
        <f>SUM(V74*4.18%)</f>
        <v>303.42217327366694</v>
      </c>
      <c r="W97" s="547"/>
      <c r="X97" s="541">
        <f>SUM(V97*стоки!AK75/стоки!AI75)</f>
        <v>303.42217327366689</v>
      </c>
      <c r="Y97" s="551">
        <f t="shared" si="147"/>
        <v>5.6843418860808015E-14</v>
      </c>
      <c r="Z97" s="376">
        <f t="shared" ref="Z97:Z99" si="223">SUM(V97/12)</f>
        <v>25.285181106138911</v>
      </c>
      <c r="AA97" s="807"/>
      <c r="AB97" s="376">
        <f t="shared" ref="AB97:AB99" si="224">SUM(Z97)</f>
        <v>25.285181106138911</v>
      </c>
      <c r="AC97" s="376">
        <f t="shared" ref="AC97:AC99" si="225">SUM(Z97)</f>
        <v>25.285181106138911</v>
      </c>
      <c r="AD97" s="543">
        <f t="shared" si="217"/>
        <v>75.855543318416736</v>
      </c>
      <c r="AE97" s="814"/>
      <c r="AF97" s="814"/>
      <c r="AG97" s="814"/>
      <c r="AH97" s="814"/>
      <c r="AI97" s="2136"/>
      <c r="AJ97" s="2136"/>
      <c r="AK97" s="2136"/>
      <c r="AL97" s="2136"/>
      <c r="AM97" s="2136"/>
      <c r="AN97" s="2136"/>
      <c r="AO97" s="2136"/>
      <c r="AP97" s="2136"/>
      <c r="AQ97" s="2576"/>
      <c r="AR97" s="2576"/>
      <c r="AS97" s="2576"/>
      <c r="AT97" s="2136"/>
      <c r="AU97" s="2136"/>
      <c r="AV97" s="542">
        <f>SUM(Z97)</f>
        <v>25.285181106138911</v>
      </c>
      <c r="AW97" s="542">
        <f>SUM(Z97)</f>
        <v>25.285181106138911</v>
      </c>
      <c r="AX97" s="542">
        <f>SUM(Z97)</f>
        <v>25.285181106138911</v>
      </c>
      <c r="AY97" s="543">
        <f t="shared" si="218"/>
        <v>75.855543318416736</v>
      </c>
      <c r="AZ97" s="543">
        <f t="shared" si="219"/>
        <v>151.71108663683347</v>
      </c>
      <c r="BA97" s="542">
        <f>SUM(Z97)</f>
        <v>25.285181106138911</v>
      </c>
      <c r="BB97" s="542">
        <f>SUM(Z97)</f>
        <v>25.285181106138911</v>
      </c>
      <c r="BC97" s="542">
        <f>SUM(Z97)</f>
        <v>25.285181106138911</v>
      </c>
      <c r="BD97" s="543">
        <f t="shared" si="220"/>
        <v>75.855543318416736</v>
      </c>
      <c r="BE97" s="543">
        <f t="shared" si="132"/>
        <v>227.56662995525022</v>
      </c>
      <c r="BF97" s="542">
        <f>SUM(Z97)</f>
        <v>25.285181106138911</v>
      </c>
      <c r="BG97" s="542">
        <f>SUM(Z97)</f>
        <v>25.285181106138911</v>
      </c>
      <c r="BH97" s="542">
        <f>SUM(Z97)</f>
        <v>25.285181106138911</v>
      </c>
      <c r="BI97" s="4712"/>
      <c r="BJ97" s="543">
        <f t="shared" si="221"/>
        <v>75.855543318416736</v>
      </c>
      <c r="BK97" s="549">
        <f t="shared" si="222"/>
        <v>303.42217327366694</v>
      </c>
    </row>
    <row r="98" spans="1:63" ht="18.75" hidden="1" x14ac:dyDescent="0.3">
      <c r="A98" s="388" t="s">
        <v>541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1"/>
      <c r="U98" s="391"/>
      <c r="V98" s="541">
        <f>SUM(V74*0.07%)</f>
        <v>5.0812325667838971</v>
      </c>
      <c r="W98" s="547"/>
      <c r="X98" s="541">
        <f>SUM(V98*стоки!AK75/стоки!AI75)</f>
        <v>5.0812325667838971</v>
      </c>
      <c r="Y98" s="551">
        <f t="shared" si="147"/>
        <v>0</v>
      </c>
      <c r="Z98" s="376">
        <f t="shared" si="223"/>
        <v>0.42343604723199141</v>
      </c>
      <c r="AA98" s="807"/>
      <c r="AB98" s="376">
        <f t="shared" si="224"/>
        <v>0.42343604723199141</v>
      </c>
      <c r="AC98" s="376">
        <f t="shared" si="225"/>
        <v>0.42343604723199141</v>
      </c>
      <c r="AD98" s="543">
        <f t="shared" si="217"/>
        <v>1.2703081416959743</v>
      </c>
      <c r="AE98" s="814"/>
      <c r="AF98" s="814"/>
      <c r="AG98" s="814"/>
      <c r="AH98" s="814"/>
      <c r="AI98" s="2136"/>
      <c r="AJ98" s="2136"/>
      <c r="AK98" s="2136"/>
      <c r="AL98" s="2136"/>
      <c r="AM98" s="2136"/>
      <c r="AN98" s="2136"/>
      <c r="AO98" s="2136"/>
      <c r="AP98" s="2136"/>
      <c r="AQ98" s="2576"/>
      <c r="AR98" s="2576"/>
      <c r="AS98" s="2576"/>
      <c r="AT98" s="2136"/>
      <c r="AU98" s="2136"/>
      <c r="AV98" s="542">
        <f>SUM(Z98)</f>
        <v>0.42343604723199141</v>
      </c>
      <c r="AW98" s="542">
        <f>SUM(Z98)</f>
        <v>0.42343604723199141</v>
      </c>
      <c r="AX98" s="542">
        <f>SUM(Z98)</f>
        <v>0.42343604723199141</v>
      </c>
      <c r="AY98" s="543">
        <f t="shared" si="218"/>
        <v>1.2703081416959743</v>
      </c>
      <c r="AZ98" s="543">
        <f t="shared" si="219"/>
        <v>2.5406162833919486</v>
      </c>
      <c r="BA98" s="542">
        <f>SUM(Z98)</f>
        <v>0.42343604723199141</v>
      </c>
      <c r="BB98" s="542">
        <f>SUM(Z98)</f>
        <v>0.42343604723199141</v>
      </c>
      <c r="BC98" s="542">
        <f>SUM(Z98)</f>
        <v>0.42343604723199141</v>
      </c>
      <c r="BD98" s="543">
        <f t="shared" si="220"/>
        <v>1.2703081416959743</v>
      </c>
      <c r="BE98" s="543">
        <f t="shared" si="132"/>
        <v>3.8109244250879231</v>
      </c>
      <c r="BF98" s="542">
        <f>SUM(Z98)</f>
        <v>0.42343604723199141</v>
      </c>
      <c r="BG98" s="542">
        <f>SUM(Z98)</f>
        <v>0.42343604723199141</v>
      </c>
      <c r="BH98" s="542">
        <f>SUM(Z98)</f>
        <v>0.42343604723199141</v>
      </c>
      <c r="BI98" s="4712"/>
      <c r="BJ98" s="543">
        <f t="shared" si="221"/>
        <v>1.2703081416959743</v>
      </c>
      <c r="BK98" s="549">
        <f t="shared" si="222"/>
        <v>5.0812325667838971</v>
      </c>
    </row>
    <row r="99" spans="1:63" ht="18.75" hidden="1" x14ac:dyDescent="0.3">
      <c r="A99" s="388" t="s">
        <v>596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1"/>
      <c r="U99" s="391"/>
      <c r="V99" s="541">
        <f>SUM(V74*0.01%)</f>
        <v>0.72589036668341378</v>
      </c>
      <c r="W99" s="547"/>
      <c r="X99" s="541">
        <f>SUM(V99*стоки!AK75/стоки!AI75)</f>
        <v>0.72589036668341378</v>
      </c>
      <c r="Y99" s="551">
        <f t="shared" si="147"/>
        <v>0</v>
      </c>
      <c r="Z99" s="376">
        <f t="shared" si="223"/>
        <v>6.0490863890284484E-2</v>
      </c>
      <c r="AA99" s="807"/>
      <c r="AB99" s="376">
        <f t="shared" si="224"/>
        <v>6.0490863890284484E-2</v>
      </c>
      <c r="AC99" s="376">
        <f t="shared" si="225"/>
        <v>6.0490863890284484E-2</v>
      </c>
      <c r="AD99" s="543">
        <f t="shared" si="217"/>
        <v>0.18147259167085344</v>
      </c>
      <c r="AE99" s="814"/>
      <c r="AF99" s="814"/>
      <c r="AG99" s="814"/>
      <c r="AH99" s="814"/>
      <c r="AI99" s="2136"/>
      <c r="AJ99" s="2136"/>
      <c r="AK99" s="2136"/>
      <c r="AL99" s="2136"/>
      <c r="AM99" s="2136"/>
      <c r="AN99" s="2136"/>
      <c r="AO99" s="2136"/>
      <c r="AP99" s="2136"/>
      <c r="AQ99" s="2576"/>
      <c r="AR99" s="2576"/>
      <c r="AS99" s="2576"/>
      <c r="AT99" s="2136"/>
      <c r="AU99" s="2136"/>
      <c r="AV99" s="542">
        <f>SUM(Z99)</f>
        <v>6.0490863890284484E-2</v>
      </c>
      <c r="AW99" s="542">
        <f>SUM(Z99)</f>
        <v>6.0490863890284484E-2</v>
      </c>
      <c r="AX99" s="542">
        <f>SUM(Z99)</f>
        <v>6.0490863890284484E-2</v>
      </c>
      <c r="AY99" s="543">
        <f t="shared" si="218"/>
        <v>0.18147259167085344</v>
      </c>
      <c r="AZ99" s="543">
        <f t="shared" si="219"/>
        <v>0.36294518334170689</v>
      </c>
      <c r="BA99" s="542">
        <f>SUM(Z99)</f>
        <v>6.0490863890284484E-2</v>
      </c>
      <c r="BB99" s="542">
        <f>SUM(Z99)</f>
        <v>6.0490863890284484E-2</v>
      </c>
      <c r="BC99" s="542">
        <f>SUM(Z99)</f>
        <v>6.0490863890284484E-2</v>
      </c>
      <c r="BD99" s="543">
        <f t="shared" si="220"/>
        <v>0.18147259167085344</v>
      </c>
      <c r="BE99" s="543">
        <f t="shared" si="132"/>
        <v>0.54441777501256028</v>
      </c>
      <c r="BF99" s="542">
        <f>SUM(Z99)</f>
        <v>6.0490863890284484E-2</v>
      </c>
      <c r="BG99" s="542">
        <f>SUM(Z99)</f>
        <v>6.0490863890284484E-2</v>
      </c>
      <c r="BH99" s="542">
        <f>SUM(Z99)</f>
        <v>6.0490863890284484E-2</v>
      </c>
      <c r="BI99" s="4712"/>
      <c r="BJ99" s="543">
        <f t="shared" si="221"/>
        <v>0.18147259167085344</v>
      </c>
      <c r="BK99" s="549">
        <f t="shared" si="222"/>
        <v>0.72589036668341367</v>
      </c>
    </row>
    <row r="100" spans="1:63" ht="18.75" hidden="1" x14ac:dyDescent="0.3">
      <c r="A100" s="539" t="s">
        <v>604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1"/>
      <c r="U100" s="391"/>
      <c r="V100" s="544">
        <f>SUM(AC49)</f>
        <v>690.17495043218662</v>
      </c>
      <c r="W100" s="547"/>
      <c r="X100" s="544">
        <f>SUM(V100*стоки!AK75/стоки!AI75)</f>
        <v>690.17495043218662</v>
      </c>
      <c r="Y100" s="550">
        <f>SUM(V100-X100)</f>
        <v>0</v>
      </c>
      <c r="Z100" s="373">
        <f>SUM(Z101+Z102+Z104+Z105+Z106+Z107+Z108+Z109+Z111)</f>
        <v>57.514004056890194</v>
      </c>
      <c r="AA100" s="806"/>
      <c r="AB100" s="373">
        <f t="shared" ref="AB100:AC100" si="226">SUM(AB101+AB102+AB104+AB105+AB106+AB107+AB108+AB109+AB111)</f>
        <v>57.514004056890194</v>
      </c>
      <c r="AC100" s="373">
        <f t="shared" si="226"/>
        <v>57.514004056890194</v>
      </c>
      <c r="AD100" s="552">
        <f t="shared" si="129"/>
        <v>172.54201217067057</v>
      </c>
      <c r="AE100" s="813"/>
      <c r="AF100" s="813"/>
      <c r="AG100" s="813"/>
      <c r="AH100" s="813"/>
      <c r="AI100" s="2135"/>
      <c r="AJ100" s="2135"/>
      <c r="AK100" s="2135"/>
      <c r="AL100" s="2135"/>
      <c r="AM100" s="2135"/>
      <c r="AN100" s="2135"/>
      <c r="AO100" s="2135"/>
      <c r="AP100" s="2135"/>
      <c r="AQ100" s="2575"/>
      <c r="AR100" s="2575"/>
      <c r="AS100" s="2575"/>
      <c r="AT100" s="2135"/>
      <c r="AU100" s="2135"/>
      <c r="AV100" s="373">
        <f t="shared" ref="AV100" si="227">SUM(AV101+AV102+AV104+AV105+AV106+AV107+AV108+AV109+AV111)</f>
        <v>57.514004056890194</v>
      </c>
      <c r="AW100" s="373">
        <f t="shared" ref="AW100" si="228">SUM(AW101+AW102+AW104+AW105+AW106+AW107+AW108+AW109+AW111)</f>
        <v>57.514004056890194</v>
      </c>
      <c r="AX100" s="373">
        <f t="shared" ref="AX100" si="229">SUM(AX101+AX102+AX104+AX105+AX106+AX107+AX108+AX109+AX111)</f>
        <v>57.514004056890194</v>
      </c>
      <c r="AY100" s="552">
        <f t="shared" si="130"/>
        <v>172.54201217067057</v>
      </c>
      <c r="AZ100" s="552">
        <f t="shared" si="219"/>
        <v>345.08402434134115</v>
      </c>
      <c r="BA100" s="373">
        <f t="shared" ref="BA100" si="230">SUM(BA101+BA102+BA104+BA105+BA106+BA107+BA108+BA109+BA111)</f>
        <v>57.514004056890194</v>
      </c>
      <c r="BB100" s="373">
        <f t="shared" ref="BB100" si="231">SUM(BB101+BB102+BB104+BB105+BB106+BB107+BB108+BB109+BB111)</f>
        <v>57.514004056890194</v>
      </c>
      <c r="BC100" s="373">
        <f t="shared" ref="BC100" si="232">SUM(BC101+BC102+BC104+BC105+BC106+BC107+BC108+BC109+BC111)</f>
        <v>57.514004056890194</v>
      </c>
      <c r="BD100" s="552">
        <f t="shared" si="131"/>
        <v>172.54201217067057</v>
      </c>
      <c r="BE100" s="552">
        <f t="shared" si="132"/>
        <v>517.62603651201175</v>
      </c>
      <c r="BF100" s="373">
        <f t="shared" ref="BF100" si="233">SUM(BF101+BF102+BF104+BF105+BF106+BF107+BF108+BF109+BF111)</f>
        <v>57.514004056890194</v>
      </c>
      <c r="BG100" s="373">
        <f t="shared" ref="BG100" si="234">SUM(BG101+BG102+BG104+BG105+BG106+BG107+BG108+BG109+BG111)</f>
        <v>57.514004056890194</v>
      </c>
      <c r="BH100" s="373">
        <f t="shared" ref="BH100" si="235">SUM(BH101+BH102+BH104+BH105+BH106+BH107+BH108+BH109+BH111)</f>
        <v>57.514004056890194</v>
      </c>
      <c r="BI100" s="4711"/>
      <c r="BJ100" s="552">
        <f t="shared" si="133"/>
        <v>172.54201217067057</v>
      </c>
      <c r="BK100" s="549">
        <f t="shared" si="222"/>
        <v>690.16804868268218</v>
      </c>
    </row>
    <row r="101" spans="1:63" ht="18.75" hidden="1" x14ac:dyDescent="0.3">
      <c r="A101" s="396" t="s">
        <v>70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1"/>
      <c r="U101" s="391"/>
      <c r="V101" s="541">
        <f>SUM(V100*0%)</f>
        <v>0</v>
      </c>
      <c r="W101" s="547"/>
      <c r="X101" s="541">
        <f>SUM(V101*стоки!AK75/стоки!AI75)</f>
        <v>0</v>
      </c>
      <c r="Y101" s="551">
        <f t="shared" ref="Y101:Y109" si="236">SUM(V101-X101)</f>
        <v>0</v>
      </c>
      <c r="Z101" s="376">
        <f>SUM(V101/2)/(1+(106.7%*100-100)/2/100)/6</f>
        <v>0</v>
      </c>
      <c r="AA101" s="807"/>
      <c r="AB101" s="375">
        <f>SUM(Z101)</f>
        <v>0</v>
      </c>
      <c r="AC101" s="376">
        <f>SUM(Z101)</f>
        <v>0</v>
      </c>
      <c r="AD101" s="543">
        <f>SUM(Z101+AB101+AC101)</f>
        <v>0</v>
      </c>
      <c r="AE101" s="814"/>
      <c r="AF101" s="814"/>
      <c r="AG101" s="814"/>
      <c r="AH101" s="814"/>
      <c r="AI101" s="2136"/>
      <c r="AJ101" s="2136"/>
      <c r="AK101" s="2136"/>
      <c r="AL101" s="2136"/>
      <c r="AM101" s="2136"/>
      <c r="AN101" s="2136"/>
      <c r="AO101" s="2136"/>
      <c r="AP101" s="2136"/>
      <c r="AQ101" s="2576"/>
      <c r="AR101" s="2576"/>
      <c r="AS101" s="2576"/>
      <c r="AT101" s="2136"/>
      <c r="AU101" s="2136"/>
      <c r="AV101" s="542">
        <f t="shared" ref="AV101:AV108" si="237">SUM(Z101)</f>
        <v>0</v>
      </c>
      <c r="AW101" s="542">
        <f t="shared" ref="AW101:AW108" si="238">SUM(Z101)</f>
        <v>0</v>
      </c>
      <c r="AX101" s="542">
        <f t="shared" ref="AX101:AX108" si="239">SUM(Z101)</f>
        <v>0</v>
      </c>
      <c r="AY101" s="543">
        <f>SUM(AV101+AW101+AX101)</f>
        <v>0</v>
      </c>
      <c r="AZ101" s="543">
        <f t="shared" si="219"/>
        <v>0</v>
      </c>
      <c r="BA101" s="542">
        <f>SUM(V101-AZ101)/6</f>
        <v>0</v>
      </c>
      <c r="BB101" s="542">
        <f>SUM(BA101)</f>
        <v>0</v>
      </c>
      <c r="BC101" s="542">
        <f>SUM(BA101)</f>
        <v>0</v>
      </c>
      <c r="BD101" s="543">
        <f>SUM(BA101+BB101+BC101)</f>
        <v>0</v>
      </c>
      <c r="BE101" s="543">
        <f>SUM(AZ101+BD101)</f>
        <v>0</v>
      </c>
      <c r="BF101" s="542">
        <f>SUM(BA101)</f>
        <v>0</v>
      </c>
      <c r="BG101" s="542">
        <f>SUM(BA101)</f>
        <v>0</v>
      </c>
      <c r="BH101" s="542">
        <f>SUM(BA101)</f>
        <v>0</v>
      </c>
      <c r="BI101" s="4712"/>
      <c r="BJ101" s="543">
        <f>SUM(BF101+BG101+BH101)</f>
        <v>0</v>
      </c>
      <c r="BK101" s="549">
        <f t="shared" si="222"/>
        <v>0</v>
      </c>
    </row>
    <row r="102" spans="1:63" ht="18.75" hidden="1" x14ac:dyDescent="0.3">
      <c r="A102" s="396" t="s">
        <v>113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1"/>
      <c r="U102" s="391"/>
      <c r="V102" s="541">
        <f>SUM(V100*0%)</f>
        <v>0</v>
      </c>
      <c r="W102" s="547"/>
      <c r="X102" s="541">
        <f>SUM(V102*стоки!AK75/стоки!AI75)</f>
        <v>0</v>
      </c>
      <c r="Y102" s="551">
        <f t="shared" si="236"/>
        <v>0</v>
      </c>
      <c r="Z102" s="376">
        <v>0</v>
      </c>
      <c r="AA102" s="807"/>
      <c r="AB102" s="376">
        <f>SUM(Z102)</f>
        <v>0</v>
      </c>
      <c r="AC102" s="375">
        <f>SUM(Z102)</f>
        <v>0</v>
      </c>
      <c r="AD102" s="543">
        <f t="shared" ref="AD102" si="240">SUM(Z102+AB102+AC102)</f>
        <v>0</v>
      </c>
      <c r="AE102" s="814"/>
      <c r="AF102" s="814"/>
      <c r="AG102" s="814"/>
      <c r="AH102" s="814"/>
      <c r="AI102" s="2136"/>
      <c r="AJ102" s="2136"/>
      <c r="AK102" s="2136"/>
      <c r="AL102" s="2136"/>
      <c r="AM102" s="2136"/>
      <c r="AN102" s="2136"/>
      <c r="AO102" s="2136"/>
      <c r="AP102" s="2136"/>
      <c r="AQ102" s="2576"/>
      <c r="AR102" s="2576"/>
      <c r="AS102" s="2576"/>
      <c r="AT102" s="2136"/>
      <c r="AU102" s="2136"/>
      <c r="AV102" s="542">
        <f t="shared" si="237"/>
        <v>0</v>
      </c>
      <c r="AW102" s="542">
        <f t="shared" si="238"/>
        <v>0</v>
      </c>
      <c r="AX102" s="542">
        <f t="shared" si="239"/>
        <v>0</v>
      </c>
      <c r="AY102" s="543">
        <f t="shared" ref="AY102" si="241">SUM(AV102+AW102+AX102)</f>
        <v>0</v>
      </c>
      <c r="AZ102" s="543">
        <f t="shared" si="219"/>
        <v>0</v>
      </c>
      <c r="BA102" s="542">
        <f>SUM(V102-AZ102)/6</f>
        <v>0</v>
      </c>
      <c r="BB102" s="542">
        <f>SUM(BA102)</f>
        <v>0</v>
      </c>
      <c r="BC102" s="542">
        <f>SUM(BA102)</f>
        <v>0</v>
      </c>
      <c r="BD102" s="543">
        <f t="shared" ref="BD102" si="242">SUM(BA102+BB102+BC102)</f>
        <v>0</v>
      </c>
      <c r="BE102" s="543">
        <f t="shared" ref="BE102:BE108" si="243">SUM(AZ102+BD102)</f>
        <v>0</v>
      </c>
      <c r="BF102" s="542">
        <f>SUM(BA102)</f>
        <v>0</v>
      </c>
      <c r="BG102" s="542">
        <f>SUM(BA102)</f>
        <v>0</v>
      </c>
      <c r="BH102" s="542">
        <f>SUM(BA102)</f>
        <v>0</v>
      </c>
      <c r="BI102" s="4712"/>
      <c r="BJ102" s="543">
        <f t="shared" ref="BJ102" si="244">SUM(BF102+BG102+BH102)</f>
        <v>0</v>
      </c>
      <c r="BK102" s="549">
        <f t="shared" si="222"/>
        <v>0</v>
      </c>
    </row>
    <row r="103" spans="1:63" ht="18.75" hidden="1" x14ac:dyDescent="0.3">
      <c r="A103" s="578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1"/>
      <c r="U103" s="391"/>
      <c r="V103" s="580">
        <v>0</v>
      </c>
      <c r="W103" s="547"/>
      <c r="X103" s="580">
        <v>0</v>
      </c>
      <c r="Y103" s="581">
        <v>0</v>
      </c>
      <c r="Z103" s="376">
        <v>0</v>
      </c>
      <c r="AA103" s="807"/>
      <c r="AB103" s="376">
        <f>SUM(Z103)</f>
        <v>0</v>
      </c>
      <c r="AC103" s="375">
        <f>SUM(Z103)</f>
        <v>0</v>
      </c>
      <c r="AD103" s="543">
        <f t="shared" ref="AD103" si="245">SUM(Z103+AB103+AC103)</f>
        <v>0</v>
      </c>
      <c r="AE103" s="814"/>
      <c r="AF103" s="814"/>
      <c r="AG103" s="814"/>
      <c r="AH103" s="814"/>
      <c r="AI103" s="2136"/>
      <c r="AJ103" s="2136"/>
      <c r="AK103" s="2136"/>
      <c r="AL103" s="2136"/>
      <c r="AM103" s="2136"/>
      <c r="AN103" s="2136"/>
      <c r="AO103" s="2136"/>
      <c r="AP103" s="2136"/>
      <c r="AQ103" s="2576"/>
      <c r="AR103" s="2576"/>
      <c r="AS103" s="2576"/>
      <c r="AT103" s="2136"/>
      <c r="AU103" s="2136"/>
      <c r="AV103" s="542">
        <f t="shared" si="237"/>
        <v>0</v>
      </c>
      <c r="AW103" s="542">
        <f t="shared" si="238"/>
        <v>0</v>
      </c>
      <c r="AX103" s="542">
        <f t="shared" si="239"/>
        <v>0</v>
      </c>
      <c r="AY103" s="543">
        <f t="shared" ref="AY103" si="246">SUM(AV103+AW103+AX103)</f>
        <v>0</v>
      </c>
      <c r="AZ103" s="543">
        <f t="shared" si="219"/>
        <v>0</v>
      </c>
      <c r="BA103" s="542">
        <f>SUM(V103-AZ103)/6</f>
        <v>0</v>
      </c>
      <c r="BB103" s="542">
        <f>SUM(BA103)</f>
        <v>0</v>
      </c>
      <c r="BC103" s="542">
        <f>SUM(BA103)</f>
        <v>0</v>
      </c>
      <c r="BD103" s="543">
        <f t="shared" ref="BD103" si="247">SUM(BA103+BB103+BC103)</f>
        <v>0</v>
      </c>
      <c r="BE103" s="543">
        <f t="shared" ref="BE103" si="248">SUM(AZ103+BD103)</f>
        <v>0</v>
      </c>
      <c r="BF103" s="542">
        <f>SUM(BA103)</f>
        <v>0</v>
      </c>
      <c r="BG103" s="542">
        <f>SUM(BA103)</f>
        <v>0</v>
      </c>
      <c r="BH103" s="542">
        <f>SUM(BA103)</f>
        <v>0</v>
      </c>
      <c r="BI103" s="4712"/>
      <c r="BJ103" s="543">
        <f t="shared" ref="BJ103" si="249">SUM(BF103+BG103+BH103)</f>
        <v>0</v>
      </c>
      <c r="BK103" s="549">
        <f t="shared" si="222"/>
        <v>0</v>
      </c>
    </row>
    <row r="104" spans="1:63" ht="18.75" hidden="1" x14ac:dyDescent="0.3">
      <c r="A104" s="396" t="s">
        <v>586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1"/>
      <c r="U104" s="391"/>
      <c r="V104" s="541">
        <f>SUM(V100*88.63%)</f>
        <v>611.70205856804694</v>
      </c>
      <c r="W104" s="547"/>
      <c r="X104" s="541">
        <f>SUM(V104*стоки!AK75/стоки!AI75)</f>
        <v>611.70205856804705</v>
      </c>
      <c r="Y104" s="551">
        <f t="shared" si="236"/>
        <v>-1.1368683772161603E-13</v>
      </c>
      <c r="Z104" s="376">
        <f t="shared" ref="Z104:Z108" si="250">SUM(V104/12)</f>
        <v>50.975171547337247</v>
      </c>
      <c r="AA104" s="807"/>
      <c r="AB104" s="376">
        <f t="shared" ref="AB104:AB108" si="251">SUM(Z104)</f>
        <v>50.975171547337247</v>
      </c>
      <c r="AC104" s="376">
        <f t="shared" ref="AC104:AC108" si="252">SUM(Z104)</f>
        <v>50.975171547337247</v>
      </c>
      <c r="AD104" s="543">
        <f t="shared" ref="AD104:AD108" si="253">SUM(Z104+AB104+AC104)</f>
        <v>152.92551464201173</v>
      </c>
      <c r="AE104" s="814"/>
      <c r="AF104" s="814"/>
      <c r="AG104" s="814"/>
      <c r="AH104" s="814"/>
      <c r="AI104" s="2136"/>
      <c r="AJ104" s="2136"/>
      <c r="AK104" s="2136"/>
      <c r="AL104" s="2136"/>
      <c r="AM104" s="2136"/>
      <c r="AN104" s="2136"/>
      <c r="AO104" s="2136"/>
      <c r="AP104" s="2136"/>
      <c r="AQ104" s="2576"/>
      <c r="AR104" s="2576"/>
      <c r="AS104" s="2576"/>
      <c r="AT104" s="2136"/>
      <c r="AU104" s="2136"/>
      <c r="AV104" s="542">
        <f t="shared" si="237"/>
        <v>50.975171547337247</v>
      </c>
      <c r="AW104" s="542">
        <f t="shared" si="238"/>
        <v>50.975171547337247</v>
      </c>
      <c r="AX104" s="542">
        <f t="shared" si="239"/>
        <v>50.975171547337247</v>
      </c>
      <c r="AY104" s="543">
        <f t="shared" ref="AY104:AY108" si="254">SUM(AV104+AW104+AX104)</f>
        <v>152.92551464201173</v>
      </c>
      <c r="AZ104" s="543">
        <f t="shared" si="219"/>
        <v>305.85102928402347</v>
      </c>
      <c r="BA104" s="542">
        <f>SUM(Z104)</f>
        <v>50.975171547337247</v>
      </c>
      <c r="BB104" s="542">
        <f>SUM(Z104)</f>
        <v>50.975171547337247</v>
      </c>
      <c r="BC104" s="542">
        <f>SUM(Z104)</f>
        <v>50.975171547337247</v>
      </c>
      <c r="BD104" s="543">
        <f t="shared" ref="BD104:BD108" si="255">SUM(BA104+BB104+BC104)</f>
        <v>152.92551464201173</v>
      </c>
      <c r="BE104" s="543">
        <f t="shared" si="243"/>
        <v>458.77654392603517</v>
      </c>
      <c r="BF104" s="542">
        <f>SUM(Z104)</f>
        <v>50.975171547337247</v>
      </c>
      <c r="BG104" s="542">
        <f>SUM(Z104)</f>
        <v>50.975171547337247</v>
      </c>
      <c r="BH104" s="542">
        <f>SUM(Z104)</f>
        <v>50.975171547337247</v>
      </c>
      <c r="BI104" s="4712"/>
      <c r="BJ104" s="543">
        <f t="shared" ref="BJ104:BJ108" si="256">SUM(BF104+BG104+BH104)</f>
        <v>152.92551464201173</v>
      </c>
      <c r="BK104" s="549">
        <f t="shared" si="222"/>
        <v>611.70205856804694</v>
      </c>
    </row>
    <row r="105" spans="1:63" ht="18.75" hidden="1" x14ac:dyDescent="0.3">
      <c r="A105" s="396" t="s">
        <v>588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1"/>
      <c r="U105" s="391"/>
      <c r="V105" s="541">
        <f>SUM(V100*6.9%)</f>
        <v>47.622071579820883</v>
      </c>
      <c r="W105" s="547"/>
      <c r="X105" s="541">
        <f>SUM(V105*стоки!AK75/стоки!AI75)</f>
        <v>47.622071579820883</v>
      </c>
      <c r="Y105" s="551">
        <f t="shared" si="236"/>
        <v>0</v>
      </c>
      <c r="Z105" s="376">
        <f t="shared" si="250"/>
        <v>3.9685059649850736</v>
      </c>
      <c r="AA105" s="807"/>
      <c r="AB105" s="376">
        <f t="shared" si="251"/>
        <v>3.9685059649850736</v>
      </c>
      <c r="AC105" s="376">
        <f t="shared" si="252"/>
        <v>3.9685059649850736</v>
      </c>
      <c r="AD105" s="543">
        <f t="shared" si="253"/>
        <v>11.905517894955221</v>
      </c>
      <c r="AE105" s="814"/>
      <c r="AF105" s="814"/>
      <c r="AG105" s="814"/>
      <c r="AH105" s="814"/>
      <c r="AI105" s="2136"/>
      <c r="AJ105" s="2136"/>
      <c r="AK105" s="2136"/>
      <c r="AL105" s="2136"/>
      <c r="AM105" s="2136"/>
      <c r="AN105" s="2136"/>
      <c r="AO105" s="2136"/>
      <c r="AP105" s="2136"/>
      <c r="AQ105" s="2576"/>
      <c r="AR105" s="2576"/>
      <c r="AS105" s="2576"/>
      <c r="AT105" s="2136"/>
      <c r="AU105" s="2136"/>
      <c r="AV105" s="542">
        <f t="shared" si="237"/>
        <v>3.9685059649850736</v>
      </c>
      <c r="AW105" s="542">
        <f t="shared" si="238"/>
        <v>3.9685059649850736</v>
      </c>
      <c r="AX105" s="542">
        <f t="shared" si="239"/>
        <v>3.9685059649850736</v>
      </c>
      <c r="AY105" s="543">
        <f t="shared" si="254"/>
        <v>11.905517894955221</v>
      </c>
      <c r="AZ105" s="543">
        <f t="shared" si="219"/>
        <v>23.811035789910441</v>
      </c>
      <c r="BA105" s="542">
        <f>SUM(Z105)</f>
        <v>3.9685059649850736</v>
      </c>
      <c r="BB105" s="542">
        <f>SUM(Z105)</f>
        <v>3.9685059649850736</v>
      </c>
      <c r="BC105" s="542">
        <f>SUM(Z105)</f>
        <v>3.9685059649850736</v>
      </c>
      <c r="BD105" s="543">
        <f t="shared" si="255"/>
        <v>11.905517894955221</v>
      </c>
      <c r="BE105" s="543">
        <f t="shared" si="243"/>
        <v>35.716553684865659</v>
      </c>
      <c r="BF105" s="542">
        <f>SUM(Z105)</f>
        <v>3.9685059649850736</v>
      </c>
      <c r="BG105" s="542">
        <f>SUM(Z105)</f>
        <v>3.9685059649850736</v>
      </c>
      <c r="BH105" s="542">
        <f>SUM(Z105)</f>
        <v>3.9685059649850736</v>
      </c>
      <c r="BI105" s="4712"/>
      <c r="BJ105" s="543">
        <f t="shared" si="256"/>
        <v>11.905517894955221</v>
      </c>
      <c r="BK105" s="549">
        <f t="shared" si="222"/>
        <v>47.622071579820869</v>
      </c>
    </row>
    <row r="106" spans="1:63" ht="18.75" hidden="1" x14ac:dyDescent="0.3">
      <c r="A106" s="396" t="s">
        <v>587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1"/>
      <c r="U106" s="391"/>
      <c r="V106" s="541">
        <f>SUM(V100*2.28%)</f>
        <v>15.735988869853854</v>
      </c>
      <c r="W106" s="547"/>
      <c r="X106" s="541">
        <f>SUM(V106*стоки!AK75/стоки!AI75)</f>
        <v>15.735988869853854</v>
      </c>
      <c r="Y106" s="551">
        <f t="shared" si="236"/>
        <v>0</v>
      </c>
      <c r="Z106" s="376">
        <f t="shared" si="250"/>
        <v>1.3113324058211544</v>
      </c>
      <c r="AA106" s="807"/>
      <c r="AB106" s="376">
        <f t="shared" si="251"/>
        <v>1.3113324058211544</v>
      </c>
      <c r="AC106" s="376">
        <f t="shared" si="252"/>
        <v>1.3113324058211544</v>
      </c>
      <c r="AD106" s="543">
        <f t="shared" si="253"/>
        <v>3.933997217463463</v>
      </c>
      <c r="AE106" s="814"/>
      <c r="AF106" s="814"/>
      <c r="AG106" s="814"/>
      <c r="AH106" s="814"/>
      <c r="AI106" s="2136"/>
      <c r="AJ106" s="2136"/>
      <c r="AK106" s="2136"/>
      <c r="AL106" s="2136"/>
      <c r="AM106" s="2136"/>
      <c r="AN106" s="2136"/>
      <c r="AO106" s="2136"/>
      <c r="AP106" s="2136"/>
      <c r="AQ106" s="2576"/>
      <c r="AR106" s="2576"/>
      <c r="AS106" s="2576"/>
      <c r="AT106" s="2136"/>
      <c r="AU106" s="2136"/>
      <c r="AV106" s="542">
        <f t="shared" si="237"/>
        <v>1.3113324058211544</v>
      </c>
      <c r="AW106" s="542">
        <f t="shared" si="238"/>
        <v>1.3113324058211544</v>
      </c>
      <c r="AX106" s="542">
        <f t="shared" si="239"/>
        <v>1.3113324058211544</v>
      </c>
      <c r="AY106" s="543">
        <f t="shared" si="254"/>
        <v>3.933997217463463</v>
      </c>
      <c r="AZ106" s="543">
        <f t="shared" si="219"/>
        <v>7.867994434926926</v>
      </c>
      <c r="BA106" s="542">
        <f>SUM(Z106)</f>
        <v>1.3113324058211544</v>
      </c>
      <c r="BB106" s="542">
        <f>SUM(Z106)</f>
        <v>1.3113324058211544</v>
      </c>
      <c r="BC106" s="542">
        <f>SUM(Z106)</f>
        <v>1.3113324058211544</v>
      </c>
      <c r="BD106" s="543">
        <f t="shared" si="255"/>
        <v>3.933997217463463</v>
      </c>
      <c r="BE106" s="543">
        <f t="shared" si="243"/>
        <v>11.801991652390388</v>
      </c>
      <c r="BF106" s="542">
        <f>SUM(Z106)</f>
        <v>1.3113324058211544</v>
      </c>
      <c r="BG106" s="542">
        <f>SUM(Z106)</f>
        <v>1.3113324058211544</v>
      </c>
      <c r="BH106" s="542">
        <f>SUM(Z106)</f>
        <v>1.3113324058211544</v>
      </c>
      <c r="BI106" s="4712"/>
      <c r="BJ106" s="543">
        <f t="shared" si="256"/>
        <v>3.933997217463463</v>
      </c>
      <c r="BK106" s="549">
        <f t="shared" si="222"/>
        <v>15.735988869853854</v>
      </c>
    </row>
    <row r="107" spans="1:63" ht="18.75" hidden="1" x14ac:dyDescent="0.3">
      <c r="A107" s="396" t="s">
        <v>597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1"/>
      <c r="U107" s="391"/>
      <c r="V107" s="541">
        <f>SUM(V100*1.11%)</f>
        <v>7.6609419497972722</v>
      </c>
      <c r="W107" s="547"/>
      <c r="X107" s="541">
        <f>SUM(V107*стоки!AK75/стоки!AI75)</f>
        <v>7.6609419497972722</v>
      </c>
      <c r="Y107" s="551">
        <f t="shared" si="236"/>
        <v>0</v>
      </c>
      <c r="Z107" s="376">
        <f t="shared" si="250"/>
        <v>0.63841182914977268</v>
      </c>
      <c r="AA107" s="807"/>
      <c r="AB107" s="376">
        <f t="shared" si="251"/>
        <v>0.63841182914977268</v>
      </c>
      <c r="AC107" s="376">
        <f t="shared" si="252"/>
        <v>0.63841182914977268</v>
      </c>
      <c r="AD107" s="543">
        <f t="shared" si="253"/>
        <v>1.915235487449318</v>
      </c>
      <c r="AE107" s="814"/>
      <c r="AF107" s="814"/>
      <c r="AG107" s="814"/>
      <c r="AH107" s="814"/>
      <c r="AI107" s="2136"/>
      <c r="AJ107" s="2136"/>
      <c r="AK107" s="2136"/>
      <c r="AL107" s="2136"/>
      <c r="AM107" s="2136"/>
      <c r="AN107" s="2136"/>
      <c r="AO107" s="2136"/>
      <c r="AP107" s="2136"/>
      <c r="AQ107" s="2576"/>
      <c r="AR107" s="2576"/>
      <c r="AS107" s="2576"/>
      <c r="AT107" s="2136"/>
      <c r="AU107" s="2136"/>
      <c r="AV107" s="542">
        <f t="shared" si="237"/>
        <v>0.63841182914977268</v>
      </c>
      <c r="AW107" s="542">
        <f t="shared" si="238"/>
        <v>0.63841182914977268</v>
      </c>
      <c r="AX107" s="542">
        <f t="shared" si="239"/>
        <v>0.63841182914977268</v>
      </c>
      <c r="AY107" s="543">
        <f t="shared" si="254"/>
        <v>1.915235487449318</v>
      </c>
      <c r="AZ107" s="543">
        <f t="shared" si="219"/>
        <v>3.8304709748986361</v>
      </c>
      <c r="BA107" s="542">
        <f>SUM(Z107)</f>
        <v>0.63841182914977268</v>
      </c>
      <c r="BB107" s="542">
        <f>SUM(Z107)</f>
        <v>0.63841182914977268</v>
      </c>
      <c r="BC107" s="542">
        <f>SUM(Z107)</f>
        <v>0.63841182914977268</v>
      </c>
      <c r="BD107" s="543">
        <f t="shared" si="255"/>
        <v>1.915235487449318</v>
      </c>
      <c r="BE107" s="543">
        <f t="shared" si="243"/>
        <v>5.7457064623479539</v>
      </c>
      <c r="BF107" s="542">
        <f>SUM(Z107)</f>
        <v>0.63841182914977268</v>
      </c>
      <c r="BG107" s="542">
        <f>SUM(Z107)</f>
        <v>0.63841182914977268</v>
      </c>
      <c r="BH107" s="542">
        <f>SUM(Z107)</f>
        <v>0.63841182914977268</v>
      </c>
      <c r="BI107" s="4712"/>
      <c r="BJ107" s="543">
        <f t="shared" si="256"/>
        <v>1.915235487449318</v>
      </c>
      <c r="BK107" s="549">
        <f t="shared" si="222"/>
        <v>7.6609419497972704</v>
      </c>
    </row>
    <row r="108" spans="1:63" ht="18.75" hidden="1" x14ac:dyDescent="0.3">
      <c r="A108" s="396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1"/>
      <c r="U108" s="391"/>
      <c r="V108" s="541">
        <f>SUM(V100*0.76%)</f>
        <v>5.2453296232846185</v>
      </c>
      <c r="W108" s="547"/>
      <c r="X108" s="541">
        <f>SUM(V108*стоки!AK75/стоки!AI75)</f>
        <v>5.2453296232846185</v>
      </c>
      <c r="Y108" s="551">
        <f t="shared" si="236"/>
        <v>0</v>
      </c>
      <c r="Z108" s="376">
        <f t="shared" si="250"/>
        <v>0.43711080194038487</v>
      </c>
      <c r="AA108" s="807"/>
      <c r="AB108" s="376">
        <f t="shared" si="251"/>
        <v>0.43711080194038487</v>
      </c>
      <c r="AC108" s="376">
        <f t="shared" si="252"/>
        <v>0.43711080194038487</v>
      </c>
      <c r="AD108" s="543">
        <f t="shared" si="253"/>
        <v>1.3113324058211546</v>
      </c>
      <c r="AE108" s="814"/>
      <c r="AF108" s="814"/>
      <c r="AG108" s="814"/>
      <c r="AH108" s="814"/>
      <c r="AI108" s="2136"/>
      <c r="AJ108" s="2136"/>
      <c r="AK108" s="2136"/>
      <c r="AL108" s="2136"/>
      <c r="AM108" s="2136"/>
      <c r="AN108" s="2136"/>
      <c r="AO108" s="2136"/>
      <c r="AP108" s="2136"/>
      <c r="AQ108" s="2576"/>
      <c r="AR108" s="2576"/>
      <c r="AS108" s="2576"/>
      <c r="AT108" s="2136"/>
      <c r="AU108" s="2136"/>
      <c r="AV108" s="542">
        <f t="shared" si="237"/>
        <v>0.43711080194038487</v>
      </c>
      <c r="AW108" s="542">
        <f t="shared" si="238"/>
        <v>0.43711080194038487</v>
      </c>
      <c r="AX108" s="542">
        <f t="shared" si="239"/>
        <v>0.43711080194038487</v>
      </c>
      <c r="AY108" s="543">
        <f t="shared" si="254"/>
        <v>1.3113324058211546</v>
      </c>
      <c r="AZ108" s="543">
        <f t="shared" si="219"/>
        <v>2.6226648116423092</v>
      </c>
      <c r="BA108" s="542">
        <f>SUM(Z108)</f>
        <v>0.43711080194038487</v>
      </c>
      <c r="BB108" s="542">
        <f>SUM(Z108)</f>
        <v>0.43711080194038487</v>
      </c>
      <c r="BC108" s="542">
        <f>SUM(Z108)</f>
        <v>0.43711080194038487</v>
      </c>
      <c r="BD108" s="543">
        <f t="shared" si="255"/>
        <v>1.3113324058211546</v>
      </c>
      <c r="BE108" s="543">
        <f t="shared" si="243"/>
        <v>3.9339972174634639</v>
      </c>
      <c r="BF108" s="542">
        <f>SUM(Z108)</f>
        <v>0.43711080194038487</v>
      </c>
      <c r="BG108" s="542">
        <f>SUM(Z108)</f>
        <v>0.43711080194038487</v>
      </c>
      <c r="BH108" s="542">
        <f>SUM(Z108)</f>
        <v>0.43711080194038487</v>
      </c>
      <c r="BI108" s="4712"/>
      <c r="BJ108" s="543">
        <f t="shared" si="256"/>
        <v>1.3113324058211546</v>
      </c>
      <c r="BK108" s="549">
        <f t="shared" si="222"/>
        <v>5.2453296232846185</v>
      </c>
    </row>
    <row r="109" spans="1:63" ht="18.75" hidden="1" x14ac:dyDescent="0.3">
      <c r="A109" s="396" t="s">
        <v>589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1"/>
      <c r="U109" s="391"/>
      <c r="V109" s="541">
        <f>SUM(V110)</f>
        <v>2.0705248512965597</v>
      </c>
      <c r="W109" s="547"/>
      <c r="X109" s="541">
        <f>SUM(V109*стоки!AK75/стоки!AI75)</f>
        <v>2.0705248512965597</v>
      </c>
      <c r="Y109" s="551">
        <f t="shared" si="236"/>
        <v>0</v>
      </c>
      <c r="Z109" s="375">
        <f t="shared" ref="Z109:AX109" si="257">SUM(Z110)</f>
        <v>0.17254373760804664</v>
      </c>
      <c r="AA109" s="809"/>
      <c r="AB109" s="375">
        <f t="shared" si="257"/>
        <v>0.17254373760804664</v>
      </c>
      <c r="AC109" s="375">
        <f t="shared" si="257"/>
        <v>0.17254373760804664</v>
      </c>
      <c r="AD109" s="543">
        <f t="shared" si="129"/>
        <v>0.51763121282413993</v>
      </c>
      <c r="AE109" s="814"/>
      <c r="AF109" s="814"/>
      <c r="AG109" s="814"/>
      <c r="AH109" s="814"/>
      <c r="AI109" s="2136"/>
      <c r="AJ109" s="2136"/>
      <c r="AK109" s="2136"/>
      <c r="AL109" s="2136"/>
      <c r="AM109" s="2136"/>
      <c r="AN109" s="2136"/>
      <c r="AO109" s="2136"/>
      <c r="AP109" s="2136"/>
      <c r="AQ109" s="2576"/>
      <c r="AR109" s="2576"/>
      <c r="AS109" s="2576"/>
      <c r="AT109" s="2136"/>
      <c r="AU109" s="2136"/>
      <c r="AV109" s="375">
        <f t="shared" si="257"/>
        <v>0.17254373760804664</v>
      </c>
      <c r="AW109" s="375">
        <f t="shared" si="257"/>
        <v>0.17254373760804664</v>
      </c>
      <c r="AX109" s="375">
        <f t="shared" si="257"/>
        <v>0.17254373760804664</v>
      </c>
      <c r="AY109" s="543">
        <f t="shared" si="130"/>
        <v>0.51763121282413993</v>
      </c>
      <c r="AZ109" s="543">
        <f t="shared" si="219"/>
        <v>1.0352624256482799</v>
      </c>
      <c r="BA109" s="375">
        <f t="shared" ref="BA109:BC109" si="258">SUM(BA110)</f>
        <v>0.17254373760804664</v>
      </c>
      <c r="BB109" s="375">
        <f t="shared" si="258"/>
        <v>0.17254373760804664</v>
      </c>
      <c r="BC109" s="375">
        <f t="shared" si="258"/>
        <v>0.17254373760804664</v>
      </c>
      <c r="BD109" s="543">
        <f t="shared" si="131"/>
        <v>0.51763121282413993</v>
      </c>
      <c r="BE109" s="543">
        <f t="shared" si="132"/>
        <v>1.5528936384724199</v>
      </c>
      <c r="BF109" s="375">
        <f t="shared" ref="BF109:BH109" si="259">SUM(BF110)</f>
        <v>0.17254373760804664</v>
      </c>
      <c r="BG109" s="375">
        <f t="shared" si="259"/>
        <v>0.17254373760804664</v>
      </c>
      <c r="BH109" s="375">
        <f t="shared" si="259"/>
        <v>0.17254373760804664</v>
      </c>
      <c r="BI109" s="4715"/>
      <c r="BJ109" s="543">
        <f t="shared" si="133"/>
        <v>0.51763121282413993</v>
      </c>
      <c r="BK109" s="549">
        <f t="shared" si="222"/>
        <v>2.0705248512965602</v>
      </c>
    </row>
    <row r="110" spans="1:63" ht="18.75" hidden="1" x14ac:dyDescent="0.3">
      <c r="A110" s="388" t="s">
        <v>546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1"/>
      <c r="U110" s="391"/>
      <c r="V110" s="541">
        <f>SUM(V100*0.3%)</f>
        <v>2.0705248512965597</v>
      </c>
      <c r="W110" s="547"/>
      <c r="X110" s="541">
        <f>SUM(V110*стоки!AK75/стоки!AI75)</f>
        <v>2.0705248512965597</v>
      </c>
      <c r="Y110" s="551">
        <f t="shared" ref="Y110:Y111" si="260">SUM(V110-X110)</f>
        <v>0</v>
      </c>
      <c r="Z110" s="376">
        <f t="shared" ref="Z110" si="261">SUM(V110/12)</f>
        <v>0.17254373760804664</v>
      </c>
      <c r="AA110" s="807"/>
      <c r="AB110" s="376">
        <f t="shared" ref="AB110" si="262">SUM(Z110)</f>
        <v>0.17254373760804664</v>
      </c>
      <c r="AC110" s="376">
        <f t="shared" ref="AC110" si="263">SUM(Z110)</f>
        <v>0.17254373760804664</v>
      </c>
      <c r="AD110" s="543">
        <f t="shared" ref="AD110" si="264">SUM(Z110+AB110+AC110)</f>
        <v>0.51763121282413993</v>
      </c>
      <c r="AE110" s="814"/>
      <c r="AF110" s="814"/>
      <c r="AG110" s="814"/>
      <c r="AH110" s="814"/>
      <c r="AI110" s="2136"/>
      <c r="AJ110" s="2136"/>
      <c r="AK110" s="2136"/>
      <c r="AL110" s="2136"/>
      <c r="AM110" s="2136"/>
      <c r="AN110" s="2136"/>
      <c r="AO110" s="2136"/>
      <c r="AP110" s="2136"/>
      <c r="AQ110" s="2576"/>
      <c r="AR110" s="2576"/>
      <c r="AS110" s="2576"/>
      <c r="AT110" s="2136"/>
      <c r="AU110" s="2136"/>
      <c r="AV110" s="376">
        <f>SUM(Z110)</f>
        <v>0.17254373760804664</v>
      </c>
      <c r="AW110" s="376">
        <f>SUM(Z110)</f>
        <v>0.17254373760804664</v>
      </c>
      <c r="AX110" s="376">
        <f>SUM(Z110)</f>
        <v>0.17254373760804664</v>
      </c>
      <c r="AY110" s="543">
        <f t="shared" ref="AY110" si="265">SUM(AV110+AW110+AX110)</f>
        <v>0.51763121282413993</v>
      </c>
      <c r="AZ110" s="543">
        <f t="shared" si="219"/>
        <v>1.0352624256482799</v>
      </c>
      <c r="BA110" s="376">
        <f>SUM(Z110)</f>
        <v>0.17254373760804664</v>
      </c>
      <c r="BB110" s="376">
        <f>SUM(Z110)</f>
        <v>0.17254373760804664</v>
      </c>
      <c r="BC110" s="376">
        <f>SUM(Z110)</f>
        <v>0.17254373760804664</v>
      </c>
      <c r="BD110" s="543">
        <f t="shared" ref="BD110" si="266">SUM(BA110+BB110+BC110)</f>
        <v>0.51763121282413993</v>
      </c>
      <c r="BE110" s="543">
        <f t="shared" si="132"/>
        <v>1.5528936384724199</v>
      </c>
      <c r="BF110" s="376">
        <f>SUM(Z110)</f>
        <v>0.17254373760804664</v>
      </c>
      <c r="BG110" s="376">
        <f>SUM(Z110)</f>
        <v>0.17254373760804664</v>
      </c>
      <c r="BH110" s="376">
        <f>SUM(Z110)</f>
        <v>0.17254373760804664</v>
      </c>
      <c r="BI110" s="4713"/>
      <c r="BJ110" s="543">
        <f t="shared" ref="BJ110" si="267">SUM(BF110+BG110+BH110)</f>
        <v>0.51763121282413993</v>
      </c>
      <c r="BK110" s="549">
        <f t="shared" si="222"/>
        <v>2.0705248512965602</v>
      </c>
    </row>
    <row r="111" spans="1:63" ht="18.75" hidden="1" x14ac:dyDescent="0.3">
      <c r="A111" s="396" t="s">
        <v>592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1"/>
      <c r="U111" s="391"/>
      <c r="V111" s="541">
        <f>SUM(V112:V112)</f>
        <v>0.13113324058211545</v>
      </c>
      <c r="W111" s="547"/>
      <c r="X111" s="541">
        <f>SUM(V111*стоки!AK75/стоки!AI75)</f>
        <v>0.13113324058211545</v>
      </c>
      <c r="Y111" s="551">
        <f t="shared" si="260"/>
        <v>0</v>
      </c>
      <c r="Z111" s="375">
        <f>SUM(Z112)</f>
        <v>1.0927770048509622E-2</v>
      </c>
      <c r="AA111" s="809"/>
      <c r="AB111" s="375">
        <f>SUM(AB112)</f>
        <v>1.0927770048509622E-2</v>
      </c>
      <c r="AC111" s="375">
        <f>SUM(AC112)</f>
        <v>1.0927770048509622E-2</v>
      </c>
      <c r="AD111" s="543">
        <f t="shared" si="129"/>
        <v>3.2783310145528863E-2</v>
      </c>
      <c r="AE111" s="814"/>
      <c r="AF111" s="814"/>
      <c r="AG111" s="814"/>
      <c r="AH111" s="814"/>
      <c r="AI111" s="2136"/>
      <c r="AJ111" s="2136"/>
      <c r="AK111" s="2136"/>
      <c r="AL111" s="2136"/>
      <c r="AM111" s="2136"/>
      <c r="AN111" s="2136"/>
      <c r="AO111" s="2136"/>
      <c r="AP111" s="2136"/>
      <c r="AQ111" s="2576"/>
      <c r="AR111" s="2576"/>
      <c r="AS111" s="2576"/>
      <c r="AT111" s="2136"/>
      <c r="AU111" s="2136"/>
      <c r="AV111" s="375">
        <f t="shared" ref="AV111:AX111" si="268">SUM(AV112)</f>
        <v>1.0927770048509622E-2</v>
      </c>
      <c r="AW111" s="375">
        <f t="shared" si="268"/>
        <v>1.0927770048509622E-2</v>
      </c>
      <c r="AX111" s="375">
        <f t="shared" si="268"/>
        <v>1.0927770048509622E-2</v>
      </c>
      <c r="AY111" s="543">
        <f t="shared" si="130"/>
        <v>3.2783310145528863E-2</v>
      </c>
      <c r="AZ111" s="543">
        <f t="shared" si="219"/>
        <v>6.5566620291057726E-2</v>
      </c>
      <c r="BA111" s="375">
        <f t="shared" ref="BA111" si="269">SUM(BA112)</f>
        <v>1.0927770048509622E-2</v>
      </c>
      <c r="BB111" s="375">
        <f t="shared" ref="BB111" si="270">SUM(BB112)</f>
        <v>1.0927770048509622E-2</v>
      </c>
      <c r="BC111" s="375">
        <f t="shared" ref="BC111" si="271">SUM(BC112)</f>
        <v>1.0927770048509622E-2</v>
      </c>
      <c r="BD111" s="543">
        <f t="shared" si="131"/>
        <v>3.2783310145528863E-2</v>
      </c>
      <c r="BE111" s="543">
        <f t="shared" si="132"/>
        <v>9.8349930436586588E-2</v>
      </c>
      <c r="BF111" s="375">
        <f t="shared" ref="BF111" si="272">SUM(BF112)</f>
        <v>1.0927770048509622E-2</v>
      </c>
      <c r="BG111" s="375">
        <f t="shared" ref="BG111" si="273">SUM(BG112)</f>
        <v>1.0927770048509622E-2</v>
      </c>
      <c r="BH111" s="375">
        <f t="shared" ref="BH111" si="274">SUM(BH112)</f>
        <v>1.0927770048509622E-2</v>
      </c>
      <c r="BI111" s="4715"/>
      <c r="BJ111" s="543">
        <f t="shared" si="133"/>
        <v>3.2783310145528863E-2</v>
      </c>
      <c r="BK111" s="549">
        <f t="shared" si="222"/>
        <v>0.13113324058211542</v>
      </c>
    </row>
    <row r="112" spans="1:63" ht="18.75" hidden="1" x14ac:dyDescent="0.3">
      <c r="A112" s="388" t="s">
        <v>596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1"/>
      <c r="U112" s="391"/>
      <c r="V112" s="541">
        <f>SUM(V100*0.019%)</f>
        <v>0.13113324058211545</v>
      </c>
      <c r="W112" s="547"/>
      <c r="X112" s="541">
        <f>SUM(V112*стоки!AK75/стоки!AI75)</f>
        <v>0.13113324058211545</v>
      </c>
      <c r="Y112" s="551">
        <f t="shared" ref="Y112" si="275">SUM(V112-X112)</f>
        <v>0</v>
      </c>
      <c r="Z112" s="376">
        <f t="shared" ref="Z112" si="276">SUM(V112/12)</f>
        <v>1.0927770048509622E-2</v>
      </c>
      <c r="AA112" s="807"/>
      <c r="AB112" s="376">
        <f t="shared" ref="AB112" si="277">SUM(Z112)</f>
        <v>1.0927770048509622E-2</v>
      </c>
      <c r="AC112" s="376">
        <f t="shared" ref="AC112" si="278">SUM(Z112)</f>
        <v>1.0927770048509622E-2</v>
      </c>
      <c r="AD112" s="543">
        <f t="shared" ref="AD112" si="279">SUM(Z112+AB112+AC112)</f>
        <v>3.2783310145528863E-2</v>
      </c>
      <c r="AE112" s="814"/>
      <c r="AF112" s="814"/>
      <c r="AG112" s="814"/>
      <c r="AH112" s="814"/>
      <c r="AI112" s="2136"/>
      <c r="AJ112" s="2136"/>
      <c r="AK112" s="2136"/>
      <c r="AL112" s="2136"/>
      <c r="AM112" s="2136"/>
      <c r="AN112" s="2136"/>
      <c r="AO112" s="2136"/>
      <c r="AP112" s="2136"/>
      <c r="AQ112" s="2576"/>
      <c r="AR112" s="2576"/>
      <c r="AS112" s="2576"/>
      <c r="AT112" s="2136"/>
      <c r="AU112" s="2136"/>
      <c r="AV112" s="542">
        <f>SUM(Z112)</f>
        <v>1.0927770048509622E-2</v>
      </c>
      <c r="AW112" s="542">
        <f>SUM(Z112)</f>
        <v>1.0927770048509622E-2</v>
      </c>
      <c r="AX112" s="542">
        <f>SUM(Z112)</f>
        <v>1.0927770048509622E-2</v>
      </c>
      <c r="AY112" s="543">
        <f t="shared" ref="AY112" si="280">SUM(AV112+AW112+AX112)</f>
        <v>3.2783310145528863E-2</v>
      </c>
      <c r="AZ112" s="543">
        <f t="shared" si="219"/>
        <v>6.5566620291057726E-2</v>
      </c>
      <c r="BA112" s="542">
        <f>SUM(Z112)</f>
        <v>1.0927770048509622E-2</v>
      </c>
      <c r="BB112" s="542">
        <f>SUM(Z112)</f>
        <v>1.0927770048509622E-2</v>
      </c>
      <c r="BC112" s="542">
        <f>SUM(Z112)</f>
        <v>1.0927770048509622E-2</v>
      </c>
      <c r="BD112" s="543">
        <f t="shared" ref="BD112" si="281">SUM(BA112+BB112+BC112)</f>
        <v>3.2783310145528863E-2</v>
      </c>
      <c r="BE112" s="543">
        <f t="shared" si="132"/>
        <v>9.8349930436586588E-2</v>
      </c>
      <c r="BF112" s="542">
        <f>SUM(Z112)</f>
        <v>1.0927770048509622E-2</v>
      </c>
      <c r="BG112" s="542">
        <f>SUM(Z112)</f>
        <v>1.0927770048509622E-2</v>
      </c>
      <c r="BH112" s="542">
        <f>SUM(Z112)</f>
        <v>1.0927770048509622E-2</v>
      </c>
      <c r="BI112" s="4712"/>
      <c r="BJ112" s="543">
        <f t="shared" ref="BJ112" si="282">SUM(BF112+BG112+BH112)</f>
        <v>3.2783310145528863E-2</v>
      </c>
      <c r="BK112" s="549">
        <f t="shared" si="222"/>
        <v>0.13113324058211542</v>
      </c>
    </row>
    <row r="113" spans="1:63" ht="18.75" hidden="1" customHeight="1" x14ac:dyDescent="0.3">
      <c r="A113" s="538" t="s">
        <v>605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1"/>
      <c r="U113" s="391"/>
      <c r="V113" s="544">
        <f>SUM(AC50)</f>
        <v>2687.5084197683254</v>
      </c>
      <c r="W113" s="547"/>
      <c r="X113" s="544">
        <f t="shared" ref="X113:X122" si="283">SUM(V113)</f>
        <v>2687.5084197683254</v>
      </c>
      <c r="Y113" s="550">
        <f>SUM(V113-X113)</f>
        <v>0</v>
      </c>
      <c r="Z113" s="373">
        <f>SUM(Z114+Z115+Z116+Z117+Z118+Z120)</f>
        <v>216.83777765156583</v>
      </c>
      <c r="AA113" s="806"/>
      <c r="AB113" s="373">
        <f t="shared" ref="AB113:AC113" si="284">SUM(AB114+AB115+AB116+AB117+AB118+AB120)</f>
        <v>216.83777765156583</v>
      </c>
      <c r="AC113" s="373">
        <f t="shared" si="284"/>
        <v>216.83777765156583</v>
      </c>
      <c r="AD113" s="552">
        <f t="shared" si="129"/>
        <v>650.51333295469749</v>
      </c>
      <c r="AE113" s="813"/>
      <c r="AF113" s="813"/>
      <c r="AG113" s="813"/>
      <c r="AH113" s="813"/>
      <c r="AI113" s="2135"/>
      <c r="AJ113" s="2135"/>
      <c r="AK113" s="2135"/>
      <c r="AL113" s="2135"/>
      <c r="AM113" s="2135"/>
      <c r="AN113" s="2135"/>
      <c r="AO113" s="2135"/>
      <c r="AP113" s="2135"/>
      <c r="AQ113" s="2575"/>
      <c r="AR113" s="2575"/>
      <c r="AS113" s="2575"/>
      <c r="AT113" s="2135"/>
      <c r="AU113" s="2135"/>
      <c r="AV113" s="373">
        <f t="shared" ref="AV113" si="285">SUM(AV114+AV115+AV116+AV117+AV118+AV120)</f>
        <v>216.88276654251274</v>
      </c>
      <c r="AW113" s="373">
        <f t="shared" ref="AW113" si="286">SUM(AW114+AW115+AW116+AW117+AW118+AW120)</f>
        <v>217.62758262596734</v>
      </c>
      <c r="AX113" s="373">
        <f t="shared" ref="AX113" si="287">SUM(AX114+AX115+AX116+AX117+AX118+AX120)</f>
        <v>218.27742216186732</v>
      </c>
      <c r="AY113" s="552">
        <f t="shared" si="130"/>
        <v>652.78777133034737</v>
      </c>
      <c r="AZ113" s="552">
        <f t="shared" si="219"/>
        <v>1303.3011042850449</v>
      </c>
      <c r="BA113" s="373">
        <f t="shared" ref="BA113" si="288">SUM(BA114+BA115+BA116+BA117+BA118+BA120)</f>
        <v>231.69180797565591</v>
      </c>
      <c r="BB113" s="373">
        <f t="shared" ref="BB113" si="289">SUM(BB114+BB115+BB116+BB117+BB118+BB120)</f>
        <v>231.4968561148859</v>
      </c>
      <c r="BC113" s="373">
        <f t="shared" ref="BC113" si="290">SUM(BC114+BC115+BC116+BC117+BC118+BC120)</f>
        <v>230.84701657898592</v>
      </c>
      <c r="BD113" s="552">
        <f t="shared" si="131"/>
        <v>694.03568066952766</v>
      </c>
      <c r="BE113" s="552">
        <f t="shared" si="132"/>
        <v>1997.3367849545725</v>
      </c>
      <c r="BF113" s="373">
        <f t="shared" ref="BF113" si="291">SUM(BF114+BF115+BF116+BF117+BF118+BF120)</f>
        <v>230.05721160458441</v>
      </c>
      <c r="BG113" s="373">
        <f t="shared" ref="BG113" si="292">SUM(BG114+BG115+BG116+BG117+BG118+BG120)</f>
        <v>230.05721160458441</v>
      </c>
      <c r="BH113" s="373">
        <f t="shared" ref="BH113" si="293">SUM(BH114+BH115+BH116+BH117+BH118+BH120)</f>
        <v>230.05721160458441</v>
      </c>
      <c r="BI113" s="4711"/>
      <c r="BJ113" s="552">
        <f t="shared" si="133"/>
        <v>690.17163481375326</v>
      </c>
      <c r="BK113" s="549">
        <f t="shared" si="222"/>
        <v>2687.5084197683259</v>
      </c>
    </row>
    <row r="114" spans="1:63" ht="18.75" hidden="1" x14ac:dyDescent="0.3">
      <c r="A114" s="396" t="s">
        <v>70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1"/>
      <c r="U114" s="391"/>
      <c r="V114" s="541">
        <f>SUM(V113*70.01%)</f>
        <v>1881.5246446798049</v>
      </c>
      <c r="W114" s="547"/>
      <c r="X114" s="541">
        <f t="shared" si="283"/>
        <v>1881.5246446798049</v>
      </c>
      <c r="Y114" s="551">
        <f t="shared" ref="Y114:Y117" si="294">SUM(V114-X114)</f>
        <v>0</v>
      </c>
      <c r="Z114" s="376">
        <f>SUM(V114/2)/(1+(106.7%*100-100)/2/100)/6</f>
        <v>151.71138886307088</v>
      </c>
      <c r="AA114" s="807"/>
      <c r="AB114" s="375">
        <f>SUM(Z114)</f>
        <v>151.71138886307088</v>
      </c>
      <c r="AC114" s="376">
        <f>SUM(Z114)</f>
        <v>151.71138886307088</v>
      </c>
      <c r="AD114" s="543">
        <f>SUM(Z114+AB114+AC114)</f>
        <v>455.13416658921267</v>
      </c>
      <c r="AE114" s="814"/>
      <c r="AF114" s="814"/>
      <c r="AG114" s="814"/>
      <c r="AH114" s="814"/>
      <c r="AI114" s="2136"/>
      <c r="AJ114" s="2136"/>
      <c r="AK114" s="2136"/>
      <c r="AL114" s="2136"/>
      <c r="AM114" s="2136"/>
      <c r="AN114" s="2136"/>
      <c r="AO114" s="2136"/>
      <c r="AP114" s="2136"/>
      <c r="AQ114" s="2576"/>
      <c r="AR114" s="2576"/>
      <c r="AS114" s="2576"/>
      <c r="AT114" s="2136"/>
      <c r="AU114" s="2136"/>
      <c r="AV114" s="542">
        <f>SUM(Z114)</f>
        <v>151.71138886307088</v>
      </c>
      <c r="AW114" s="542">
        <f>SUM(Z114)</f>
        <v>151.71138886307088</v>
      </c>
      <c r="AX114" s="542">
        <f>SUM(Z114)</f>
        <v>151.71138886307088</v>
      </c>
      <c r="AY114" s="543">
        <f>SUM(AV114+AW114+AX114)</f>
        <v>455.13416658921267</v>
      </c>
      <c r="AZ114" s="543">
        <f t="shared" si="219"/>
        <v>910.26833317842534</v>
      </c>
      <c r="BA114" s="542">
        <f>SUM(V114-AZ114)/6</f>
        <v>161.87605191689659</v>
      </c>
      <c r="BB114" s="542">
        <f>SUM(BA114)</f>
        <v>161.87605191689659</v>
      </c>
      <c r="BC114" s="542">
        <f>SUM(BA114)</f>
        <v>161.87605191689659</v>
      </c>
      <c r="BD114" s="543">
        <f>SUM(BA114+BB114+BC114)</f>
        <v>485.62815575068976</v>
      </c>
      <c r="BE114" s="543">
        <f>SUM(AZ114+BD114)</f>
        <v>1395.8964889291151</v>
      </c>
      <c r="BF114" s="542">
        <f>SUM(BA114)</f>
        <v>161.87605191689659</v>
      </c>
      <c r="BG114" s="542">
        <f>SUM(BA114)</f>
        <v>161.87605191689659</v>
      </c>
      <c r="BH114" s="542">
        <f>SUM(BA114)</f>
        <v>161.87605191689659</v>
      </c>
      <c r="BI114" s="4712"/>
      <c r="BJ114" s="543">
        <f>SUM(BF114+BG114+BH114)</f>
        <v>485.62815575068976</v>
      </c>
      <c r="BK114" s="549">
        <f t="shared" si="222"/>
        <v>1881.5246446798046</v>
      </c>
    </row>
    <row r="115" spans="1:63" ht="18.75" hidden="1" x14ac:dyDescent="0.3">
      <c r="A115" s="396" t="s">
        <v>113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1"/>
      <c r="U115" s="391"/>
      <c r="V115" s="541">
        <f>SUM(V113*21.04%)</f>
        <v>565.45177151925566</v>
      </c>
      <c r="W115" s="547"/>
      <c r="X115" s="541">
        <f t="shared" si="283"/>
        <v>565.45177151925566</v>
      </c>
      <c r="Y115" s="551">
        <f t="shared" si="294"/>
        <v>0</v>
      </c>
      <c r="Z115" s="376">
        <f>SUM(Z114*(V115/V114))</f>
        <v>45.593595510341537</v>
      </c>
      <c r="AA115" s="807"/>
      <c r="AB115" s="376">
        <f>SUM(Z115)</f>
        <v>45.593595510341537</v>
      </c>
      <c r="AC115" s="375">
        <f>SUM(Z115)</f>
        <v>45.593595510341537</v>
      </c>
      <c r="AD115" s="543">
        <f t="shared" ref="AD115" si="295">SUM(Z115+AB115+AC115)</f>
        <v>136.7807865310246</v>
      </c>
      <c r="AE115" s="814"/>
      <c r="AF115" s="814"/>
      <c r="AG115" s="814"/>
      <c r="AH115" s="814"/>
      <c r="AI115" s="2136"/>
      <c r="AJ115" s="2136"/>
      <c r="AK115" s="2136"/>
      <c r="AL115" s="2136"/>
      <c r="AM115" s="2136"/>
      <c r="AN115" s="2136"/>
      <c r="AO115" s="2136"/>
      <c r="AP115" s="2136"/>
      <c r="AQ115" s="2576"/>
      <c r="AR115" s="2576"/>
      <c r="AS115" s="2576"/>
      <c r="AT115" s="2136"/>
      <c r="AU115" s="2136"/>
      <c r="AV115" s="542">
        <f>SUM(Z115)</f>
        <v>45.593595510341537</v>
      </c>
      <c r="AW115" s="542">
        <f>SUM(Z115)</f>
        <v>45.593595510341537</v>
      </c>
      <c r="AX115" s="542">
        <f>SUM(Z115)</f>
        <v>45.593595510341537</v>
      </c>
      <c r="AY115" s="543">
        <f t="shared" ref="AY115" si="296">SUM(AV115+AW115+AX115)</f>
        <v>136.7807865310246</v>
      </c>
      <c r="AZ115" s="543">
        <f t="shared" si="219"/>
        <v>273.56157306204921</v>
      </c>
      <c r="BA115" s="542">
        <f>SUM(V115-AZ115)/6</f>
        <v>48.648366409534411</v>
      </c>
      <c r="BB115" s="542">
        <f>SUM(BA115)</f>
        <v>48.648366409534411</v>
      </c>
      <c r="BC115" s="542">
        <f>SUM(BA115)</f>
        <v>48.648366409534411</v>
      </c>
      <c r="BD115" s="543">
        <f t="shared" ref="BD115" si="297">SUM(BA115+BB115+BC115)</f>
        <v>145.94509922860323</v>
      </c>
      <c r="BE115" s="543">
        <f t="shared" ref="BE115:BE124" si="298">SUM(AZ115+BD115)</f>
        <v>419.50667229065243</v>
      </c>
      <c r="BF115" s="542">
        <f>SUM(BA115)</f>
        <v>48.648366409534411</v>
      </c>
      <c r="BG115" s="542">
        <f>SUM(BA115)</f>
        <v>48.648366409534411</v>
      </c>
      <c r="BH115" s="542">
        <f>SUM(BA115)</f>
        <v>48.648366409534411</v>
      </c>
      <c r="BI115" s="4712"/>
      <c r="BJ115" s="543">
        <f t="shared" ref="BJ115" si="299">SUM(BF115+BG115+BH115)</f>
        <v>145.94509922860323</v>
      </c>
      <c r="BK115" s="549">
        <f t="shared" si="222"/>
        <v>565.45177151925554</v>
      </c>
    </row>
    <row r="116" spans="1:63" ht="18.75" hidden="1" x14ac:dyDescent="0.3">
      <c r="A116" s="396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1"/>
      <c r="U116" s="391"/>
      <c r="V116" s="541">
        <f>SUM(V113*0.18%)</f>
        <v>4.8375151555829854</v>
      </c>
      <c r="W116" s="547"/>
      <c r="X116" s="541">
        <f t="shared" si="283"/>
        <v>4.8375151555829854</v>
      </c>
      <c r="Y116" s="551">
        <f t="shared" si="294"/>
        <v>0</v>
      </c>
      <c r="Z116" s="376">
        <f t="shared" ref="Z116:Z117" si="300">SUM(V116/12)</f>
        <v>0.40312626296524878</v>
      </c>
      <c r="AA116" s="807"/>
      <c r="AB116" s="376">
        <f t="shared" ref="AB116:AB117" si="301">SUM(Z116)</f>
        <v>0.40312626296524878</v>
      </c>
      <c r="AC116" s="376">
        <f t="shared" ref="AC116:AC117" si="302">SUM(Z116)</f>
        <v>0.40312626296524878</v>
      </c>
      <c r="AD116" s="543">
        <f t="shared" ref="AD116:AD117" si="303">SUM(Z116+AB116+AC116)</f>
        <v>1.2093787888957463</v>
      </c>
      <c r="AE116" s="814"/>
      <c r="AF116" s="814"/>
      <c r="AG116" s="814"/>
      <c r="AH116" s="814"/>
      <c r="AI116" s="2136"/>
      <c r="AJ116" s="2136"/>
      <c r="AK116" s="2136"/>
      <c r="AL116" s="2136"/>
      <c r="AM116" s="2136"/>
      <c r="AN116" s="2136"/>
      <c r="AO116" s="2136"/>
      <c r="AP116" s="2136"/>
      <c r="AQ116" s="2576"/>
      <c r="AR116" s="2576"/>
      <c r="AS116" s="2576"/>
      <c r="AT116" s="2136"/>
      <c r="AU116" s="2136"/>
      <c r="AV116" s="542">
        <f>SUM(Z116)</f>
        <v>0.40312626296524878</v>
      </c>
      <c r="AW116" s="542">
        <f>SUM(Z116)</f>
        <v>0.40312626296524878</v>
      </c>
      <c r="AX116" s="542">
        <f>SUM(Z116)</f>
        <v>0.40312626296524878</v>
      </c>
      <c r="AY116" s="543">
        <f t="shared" ref="AY116:AY117" si="304">SUM(AV116+AW116+AX116)</f>
        <v>1.2093787888957463</v>
      </c>
      <c r="AZ116" s="543">
        <f t="shared" si="219"/>
        <v>2.4187575777914927</v>
      </c>
      <c r="BA116" s="542">
        <f>SUM(Z116)</f>
        <v>0.40312626296524878</v>
      </c>
      <c r="BB116" s="542">
        <f>SUM(Z116)</f>
        <v>0.40312626296524878</v>
      </c>
      <c r="BC116" s="542">
        <f>SUM(Z116)</f>
        <v>0.40312626296524878</v>
      </c>
      <c r="BD116" s="543">
        <f t="shared" ref="BD116:BD117" si="305">SUM(BA116+BB116+BC116)</f>
        <v>1.2093787888957463</v>
      </c>
      <c r="BE116" s="543">
        <f t="shared" si="298"/>
        <v>3.6281363666872393</v>
      </c>
      <c r="BF116" s="542">
        <f>SUM(Z116)</f>
        <v>0.40312626296524878</v>
      </c>
      <c r="BG116" s="542">
        <f>SUM(Z116)</f>
        <v>0.40312626296524878</v>
      </c>
      <c r="BH116" s="542">
        <f>SUM(Z116)</f>
        <v>0.40312626296524878</v>
      </c>
      <c r="BI116" s="4712"/>
      <c r="BJ116" s="543">
        <f t="shared" ref="BJ116:BJ117" si="306">SUM(BF116+BG116+BH116)</f>
        <v>1.2093787888957463</v>
      </c>
      <c r="BK116" s="549">
        <f t="shared" si="222"/>
        <v>4.8375151555829872</v>
      </c>
    </row>
    <row r="117" spans="1:63" ht="18.75" hidden="1" x14ac:dyDescent="0.3">
      <c r="A117" s="396" t="s">
        <v>588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1"/>
      <c r="U117" s="391"/>
      <c r="V117" s="541">
        <f>SUM(V113*6.19%)</f>
        <v>166.35677118365936</v>
      </c>
      <c r="W117" s="547"/>
      <c r="X117" s="541">
        <f t="shared" si="283"/>
        <v>166.35677118365936</v>
      </c>
      <c r="Y117" s="551">
        <f t="shared" si="294"/>
        <v>0</v>
      </c>
      <c r="Z117" s="376">
        <f t="shared" si="300"/>
        <v>13.863064265304947</v>
      </c>
      <c r="AA117" s="807"/>
      <c r="AB117" s="376">
        <f t="shared" si="301"/>
        <v>13.863064265304947</v>
      </c>
      <c r="AC117" s="376">
        <f t="shared" si="302"/>
        <v>13.863064265304947</v>
      </c>
      <c r="AD117" s="543">
        <f t="shared" si="303"/>
        <v>41.58919279591484</v>
      </c>
      <c r="AE117" s="814"/>
      <c r="AF117" s="814"/>
      <c r="AG117" s="814"/>
      <c r="AH117" s="814"/>
      <c r="AI117" s="2136"/>
      <c r="AJ117" s="2136"/>
      <c r="AK117" s="2136"/>
      <c r="AL117" s="2136"/>
      <c r="AM117" s="2136"/>
      <c r="AN117" s="2136"/>
      <c r="AO117" s="2136"/>
      <c r="AP117" s="2136"/>
      <c r="AQ117" s="2576"/>
      <c r="AR117" s="2576"/>
      <c r="AS117" s="2576"/>
      <c r="AT117" s="2136"/>
      <c r="AU117" s="2136"/>
      <c r="AV117" s="542">
        <f>SUM(Z117)</f>
        <v>13.863064265304947</v>
      </c>
      <c r="AW117" s="542">
        <f>SUM(Z117)</f>
        <v>13.863064265304947</v>
      </c>
      <c r="AX117" s="542">
        <f>SUM(Z117)</f>
        <v>13.863064265304947</v>
      </c>
      <c r="AY117" s="543">
        <f t="shared" si="304"/>
        <v>41.58919279591484</v>
      </c>
      <c r="AZ117" s="543">
        <f t="shared" si="219"/>
        <v>83.178385591829681</v>
      </c>
      <c r="BA117" s="542">
        <f>SUM(Z117)</f>
        <v>13.863064265304947</v>
      </c>
      <c r="BB117" s="542">
        <f>SUM(Z117)</f>
        <v>13.863064265304947</v>
      </c>
      <c r="BC117" s="542">
        <f>SUM(Z117)</f>
        <v>13.863064265304947</v>
      </c>
      <c r="BD117" s="543">
        <f t="shared" si="305"/>
        <v>41.58919279591484</v>
      </c>
      <c r="BE117" s="543">
        <f t="shared" si="298"/>
        <v>124.76757838774452</v>
      </c>
      <c r="BF117" s="542">
        <f>SUM(Z117)</f>
        <v>13.863064265304947</v>
      </c>
      <c r="BG117" s="542">
        <f>SUM(Z117)</f>
        <v>13.863064265304947</v>
      </c>
      <c r="BH117" s="542">
        <f>SUM(Z117)</f>
        <v>13.863064265304947</v>
      </c>
      <c r="BI117" s="4712"/>
      <c r="BJ117" s="543">
        <f t="shared" si="306"/>
        <v>41.58919279591484</v>
      </c>
      <c r="BK117" s="549">
        <f t="shared" si="222"/>
        <v>166.35677118365936</v>
      </c>
    </row>
    <row r="118" spans="1:63" ht="18.75" hidden="1" x14ac:dyDescent="0.3">
      <c r="A118" s="396" t="s">
        <v>589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1"/>
      <c r="U118" s="391"/>
      <c r="V118" s="541">
        <f>SUM(V119)</f>
        <v>18.812558938378277</v>
      </c>
      <c r="W118" s="547"/>
      <c r="X118" s="541">
        <f t="shared" si="283"/>
        <v>18.812558938378277</v>
      </c>
      <c r="Y118" s="541">
        <f t="shared" ref="Y118:AX118" si="307">SUM(Y119)</f>
        <v>0</v>
      </c>
      <c r="Z118" s="375">
        <f t="shared" si="307"/>
        <v>1.5677132448648565</v>
      </c>
      <c r="AA118" s="809"/>
      <c r="AB118" s="375">
        <f t="shared" si="307"/>
        <v>1.5677132448648565</v>
      </c>
      <c r="AC118" s="375">
        <f t="shared" si="307"/>
        <v>1.5677132448648565</v>
      </c>
      <c r="AD118" s="543">
        <f t="shared" ref="AD118:AD124" si="308">SUM(Z118+AB118+AC118)</f>
        <v>4.7031397345945694</v>
      </c>
      <c r="AE118" s="814"/>
      <c r="AF118" s="814"/>
      <c r="AG118" s="814"/>
      <c r="AH118" s="814"/>
      <c r="AI118" s="2136"/>
      <c r="AJ118" s="2136"/>
      <c r="AK118" s="2136"/>
      <c r="AL118" s="2136"/>
      <c r="AM118" s="2136"/>
      <c r="AN118" s="2136"/>
      <c r="AO118" s="2136"/>
      <c r="AP118" s="2136"/>
      <c r="AQ118" s="2576"/>
      <c r="AR118" s="2576"/>
      <c r="AS118" s="2576"/>
      <c r="AT118" s="2136"/>
      <c r="AU118" s="2136"/>
      <c r="AV118" s="375">
        <f t="shared" si="307"/>
        <v>1.5677132448648565</v>
      </c>
      <c r="AW118" s="375">
        <f t="shared" si="307"/>
        <v>1.5677132448648565</v>
      </c>
      <c r="AX118" s="375">
        <f t="shared" si="307"/>
        <v>1.5677132448648565</v>
      </c>
      <c r="AY118" s="543">
        <f t="shared" ref="AY118:AY124" si="309">SUM(AV118+AW118+AX118)</f>
        <v>4.7031397345945694</v>
      </c>
      <c r="AZ118" s="543">
        <f t="shared" si="219"/>
        <v>9.4062794691891387</v>
      </c>
      <c r="BA118" s="375">
        <f t="shared" ref="BA118:BC118" si="310">SUM(BA119)</f>
        <v>1.5677132448648565</v>
      </c>
      <c r="BB118" s="375">
        <f t="shared" si="310"/>
        <v>1.5677132448648565</v>
      </c>
      <c r="BC118" s="375">
        <f t="shared" si="310"/>
        <v>1.5677132448648565</v>
      </c>
      <c r="BD118" s="543">
        <f t="shared" ref="BD118:BD124" si="311">SUM(BA118+BB118+BC118)</f>
        <v>4.7031397345945694</v>
      </c>
      <c r="BE118" s="543">
        <f t="shared" si="298"/>
        <v>14.109419203783709</v>
      </c>
      <c r="BF118" s="375">
        <f t="shared" ref="BF118:BH118" si="312">SUM(BF119)</f>
        <v>1.5677132448648565</v>
      </c>
      <c r="BG118" s="375">
        <f t="shared" si="312"/>
        <v>1.5677132448648565</v>
      </c>
      <c r="BH118" s="375">
        <f t="shared" si="312"/>
        <v>1.5677132448648565</v>
      </c>
      <c r="BI118" s="4715"/>
      <c r="BJ118" s="543">
        <f t="shared" ref="BJ118:BJ124" si="313">SUM(BF118+BG118+BH118)</f>
        <v>4.7031397345945694</v>
      </c>
      <c r="BK118" s="549">
        <f t="shared" si="222"/>
        <v>18.812558938378277</v>
      </c>
    </row>
    <row r="119" spans="1:63" ht="18.75" hidden="1" x14ac:dyDescent="0.3">
      <c r="A119" s="388" t="s">
        <v>546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1"/>
      <c r="U119" s="391"/>
      <c r="V119" s="541">
        <f>SUM(V113*0.7%)</f>
        <v>18.812558938378277</v>
      </c>
      <c r="W119" s="547"/>
      <c r="X119" s="541">
        <f t="shared" si="283"/>
        <v>18.812558938378277</v>
      </c>
      <c r="Y119" s="551">
        <f t="shared" ref="Y119" si="314">SUM(V119-X119)</f>
        <v>0</v>
      </c>
      <c r="Z119" s="376">
        <f t="shared" ref="Z119" si="315">SUM(V119/12)</f>
        <v>1.5677132448648565</v>
      </c>
      <c r="AA119" s="807"/>
      <c r="AB119" s="376">
        <f t="shared" ref="AB119" si="316">SUM(Z119)</f>
        <v>1.5677132448648565</v>
      </c>
      <c r="AC119" s="376">
        <f t="shared" ref="AC119" si="317">SUM(Z119)</f>
        <v>1.5677132448648565</v>
      </c>
      <c r="AD119" s="543">
        <f t="shared" si="308"/>
        <v>4.7031397345945694</v>
      </c>
      <c r="AE119" s="814"/>
      <c r="AF119" s="814"/>
      <c r="AG119" s="814"/>
      <c r="AH119" s="814"/>
      <c r="AI119" s="2136"/>
      <c r="AJ119" s="2136"/>
      <c r="AK119" s="2136"/>
      <c r="AL119" s="2136"/>
      <c r="AM119" s="2136"/>
      <c r="AN119" s="2136"/>
      <c r="AO119" s="2136"/>
      <c r="AP119" s="2136"/>
      <c r="AQ119" s="2576"/>
      <c r="AR119" s="2576"/>
      <c r="AS119" s="2576"/>
      <c r="AT119" s="2136"/>
      <c r="AU119" s="2136"/>
      <c r="AV119" s="376">
        <f>SUM(Z119)</f>
        <v>1.5677132448648565</v>
      </c>
      <c r="AW119" s="376">
        <f>SUM(Z119)</f>
        <v>1.5677132448648565</v>
      </c>
      <c r="AX119" s="376">
        <f>SUM(Z119)</f>
        <v>1.5677132448648565</v>
      </c>
      <c r="AY119" s="543">
        <f t="shared" si="309"/>
        <v>4.7031397345945694</v>
      </c>
      <c r="AZ119" s="543">
        <f t="shared" si="219"/>
        <v>9.4062794691891387</v>
      </c>
      <c r="BA119" s="376">
        <f>SUM(Z119)</f>
        <v>1.5677132448648565</v>
      </c>
      <c r="BB119" s="376">
        <f>SUM(Z119)</f>
        <v>1.5677132448648565</v>
      </c>
      <c r="BC119" s="376">
        <f>SUM(Z119)</f>
        <v>1.5677132448648565</v>
      </c>
      <c r="BD119" s="543">
        <f t="shared" si="311"/>
        <v>4.7031397345945694</v>
      </c>
      <c r="BE119" s="543">
        <f t="shared" si="298"/>
        <v>14.109419203783709</v>
      </c>
      <c r="BF119" s="376">
        <f>SUM(Z119)</f>
        <v>1.5677132448648565</v>
      </c>
      <c r="BG119" s="376">
        <f>SUM(Z119)</f>
        <v>1.5677132448648565</v>
      </c>
      <c r="BH119" s="376">
        <f>SUM(Z119)</f>
        <v>1.5677132448648565</v>
      </c>
      <c r="BI119" s="4713"/>
      <c r="BJ119" s="543">
        <f t="shared" si="313"/>
        <v>4.7031397345945694</v>
      </c>
      <c r="BK119" s="549">
        <f t="shared" si="222"/>
        <v>18.812558938378277</v>
      </c>
    </row>
    <row r="120" spans="1:63" ht="18.75" hidden="1" x14ac:dyDescent="0.3">
      <c r="A120" s="396" t="s">
        <v>592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1"/>
      <c r="U120" s="391"/>
      <c r="V120" s="541">
        <f>SUM(V121:V122)</f>
        <v>50.525158291644523</v>
      </c>
      <c r="W120" s="547"/>
      <c r="X120" s="541">
        <f t="shared" si="283"/>
        <v>50.525158291644523</v>
      </c>
      <c r="Y120" s="541">
        <f>SUM(Y121:Y122)</f>
        <v>0</v>
      </c>
      <c r="Z120" s="375">
        <f>SUM(Z121:Z122)</f>
        <v>3.6988895050183404</v>
      </c>
      <c r="AA120" s="809"/>
      <c r="AB120" s="375">
        <f>SUM(AB121:AB122)</f>
        <v>3.6988895050183404</v>
      </c>
      <c r="AC120" s="375">
        <f>SUM(AC121:AC122)</f>
        <v>3.6988895050183404</v>
      </c>
      <c r="AD120" s="543">
        <f t="shared" si="308"/>
        <v>11.096668515055022</v>
      </c>
      <c r="AE120" s="814"/>
      <c r="AF120" s="814"/>
      <c r="AG120" s="814"/>
      <c r="AH120" s="814"/>
      <c r="AI120" s="2136"/>
      <c r="AJ120" s="2136"/>
      <c r="AK120" s="2136"/>
      <c r="AL120" s="2136"/>
      <c r="AM120" s="2136"/>
      <c r="AN120" s="2136"/>
      <c r="AO120" s="2136"/>
      <c r="AP120" s="2136"/>
      <c r="AQ120" s="2576"/>
      <c r="AR120" s="2576"/>
      <c r="AS120" s="2576"/>
      <c r="AT120" s="2136"/>
      <c r="AU120" s="2136"/>
      <c r="AV120" s="375">
        <f>SUM(AV121:AV122)</f>
        <v>3.7438783959652628</v>
      </c>
      <c r="AW120" s="375">
        <f>SUM(AW121:AW122)</f>
        <v>4.4886944794198564</v>
      </c>
      <c r="AX120" s="375">
        <f>SUM(AX121:AX122)</f>
        <v>5.138534015319836</v>
      </c>
      <c r="AY120" s="543">
        <f t="shared" si="309"/>
        <v>13.371106890704956</v>
      </c>
      <c r="AZ120" s="543">
        <f t="shared" si="219"/>
        <v>24.46777540575998</v>
      </c>
      <c r="BA120" s="375">
        <f>SUM(BA121:BA122)</f>
        <v>5.3334858760898314</v>
      </c>
      <c r="BB120" s="375">
        <f>SUM(BB121:BB122)</f>
        <v>5.138534015319836</v>
      </c>
      <c r="BC120" s="375">
        <f>SUM(BC121:BC122)</f>
        <v>4.4886944794198564</v>
      </c>
      <c r="BD120" s="543">
        <f t="shared" si="311"/>
        <v>14.960714370829525</v>
      </c>
      <c r="BE120" s="543">
        <f t="shared" si="298"/>
        <v>39.428489776589501</v>
      </c>
      <c r="BF120" s="375">
        <f>SUM(BF121:BF122)</f>
        <v>3.6988895050183404</v>
      </c>
      <c r="BG120" s="375">
        <f>SUM(BG121:BG122)</f>
        <v>3.6988895050183404</v>
      </c>
      <c r="BH120" s="375">
        <f>SUM(BH121:BH122)</f>
        <v>3.6988895050183404</v>
      </c>
      <c r="BI120" s="4715"/>
      <c r="BJ120" s="543">
        <f t="shared" si="313"/>
        <v>11.096668515055022</v>
      </c>
      <c r="BK120" s="549">
        <f t="shared" si="222"/>
        <v>50.525158291644523</v>
      </c>
    </row>
    <row r="121" spans="1:63" ht="18.75" hidden="1" x14ac:dyDescent="0.3">
      <c r="A121" s="388" t="s">
        <v>532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1"/>
      <c r="U121" s="391"/>
      <c r="V121" s="541">
        <f>SUM(V113*1.86%)</f>
        <v>49.987656607690859</v>
      </c>
      <c r="W121" s="547"/>
      <c r="X121" s="541">
        <f t="shared" si="283"/>
        <v>49.987656607690859</v>
      </c>
      <c r="Y121" s="551">
        <f t="shared" ref="Y121:Y122" si="318">SUM(V121-X121)</f>
        <v>0</v>
      </c>
      <c r="Z121" s="376">
        <f>SUM(V121*7.31%)</f>
        <v>3.6540976980222015</v>
      </c>
      <c r="AA121" s="807"/>
      <c r="AB121" s="376">
        <f>SUM(V121*7.31%)</f>
        <v>3.6540976980222015</v>
      </c>
      <c r="AC121" s="376">
        <f>SUM(V121*7.31%)</f>
        <v>3.6540976980222015</v>
      </c>
      <c r="AD121" s="543">
        <f t="shared" ref="AD121:AD122" si="319">SUM(Z121+AB121+AC121)</f>
        <v>10.962293094066604</v>
      </c>
      <c r="AE121" s="814"/>
      <c r="AF121" s="814"/>
      <c r="AG121" s="814"/>
      <c r="AH121" s="814"/>
      <c r="AI121" s="2136"/>
      <c r="AJ121" s="2136"/>
      <c r="AK121" s="2136"/>
      <c r="AL121" s="2136"/>
      <c r="AM121" s="2136"/>
      <c r="AN121" s="2136"/>
      <c r="AO121" s="2136"/>
      <c r="AP121" s="2136"/>
      <c r="AQ121" s="2576"/>
      <c r="AR121" s="2576"/>
      <c r="AS121" s="2576"/>
      <c r="AT121" s="2136"/>
      <c r="AU121" s="2136"/>
      <c r="AV121" s="376">
        <f>SUM(V121*7.4%)</f>
        <v>3.699086588969124</v>
      </c>
      <c r="AW121" s="376">
        <f>SUM(V121*8.89%)</f>
        <v>4.4439026724237181</v>
      </c>
      <c r="AX121" s="376">
        <f>SUM(V121*10.19%)</f>
        <v>5.0937422083236976</v>
      </c>
      <c r="AY121" s="543">
        <f t="shared" ref="AY121:AY122" si="320">SUM(AV121+AW121+AX121)</f>
        <v>13.236731469716538</v>
      </c>
      <c r="AZ121" s="543">
        <f t="shared" si="219"/>
        <v>24.199024563783141</v>
      </c>
      <c r="BA121" s="376">
        <f>SUM(V121*10.58%)</f>
        <v>5.288694069093693</v>
      </c>
      <c r="BB121" s="376">
        <f>SUM(V121*10.19%)</f>
        <v>5.0937422083236976</v>
      </c>
      <c r="BC121" s="376">
        <f>SUM(V121*8.89%)</f>
        <v>4.4439026724237181</v>
      </c>
      <c r="BD121" s="543">
        <f t="shared" ref="BD121:BD122" si="321">SUM(BA121+BB121+BC121)</f>
        <v>14.826338949841109</v>
      </c>
      <c r="BE121" s="543">
        <f t="shared" si="298"/>
        <v>39.025363513624249</v>
      </c>
      <c r="BF121" s="376">
        <f>SUM(V121*7.31%)</f>
        <v>3.6540976980222015</v>
      </c>
      <c r="BG121" s="376">
        <f>SUM(V121*7.31%)</f>
        <v>3.6540976980222015</v>
      </c>
      <c r="BH121" s="376">
        <f>SUM(V121*7.31%)</f>
        <v>3.6540976980222015</v>
      </c>
      <c r="BI121" s="4713"/>
      <c r="BJ121" s="543">
        <f t="shared" ref="BJ121:BJ122" si="322">SUM(BF121+BG121+BH121)</f>
        <v>10.962293094066604</v>
      </c>
      <c r="BK121" s="549">
        <f t="shared" si="222"/>
        <v>49.987656607690852</v>
      </c>
    </row>
    <row r="122" spans="1:63" ht="18.75" hidden="1" x14ac:dyDescent="0.3">
      <c r="A122" s="558" t="s">
        <v>596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1"/>
      <c r="U122" s="391"/>
      <c r="V122" s="541">
        <f>SUM(V113*0.02%)</f>
        <v>0.53750168395366515</v>
      </c>
      <c r="W122" s="547"/>
      <c r="X122" s="541">
        <f t="shared" si="283"/>
        <v>0.53750168395366515</v>
      </c>
      <c r="Y122" s="559">
        <f t="shared" si="318"/>
        <v>0</v>
      </c>
      <c r="Z122" s="382">
        <f t="shared" ref="Z122" si="323">SUM(V122/12)</f>
        <v>4.4791806996138765E-2</v>
      </c>
      <c r="AA122" s="810"/>
      <c r="AB122" s="382">
        <f t="shared" ref="AB122" si="324">SUM(Z122)</f>
        <v>4.4791806996138765E-2</v>
      </c>
      <c r="AC122" s="382">
        <f t="shared" ref="AC122" si="325">SUM(Z122)</f>
        <v>4.4791806996138765E-2</v>
      </c>
      <c r="AD122" s="560">
        <f t="shared" si="319"/>
        <v>0.13437542098841629</v>
      </c>
      <c r="AE122" s="816"/>
      <c r="AF122" s="816"/>
      <c r="AG122" s="816"/>
      <c r="AH122" s="816"/>
      <c r="AI122" s="2138"/>
      <c r="AJ122" s="2138"/>
      <c r="AK122" s="2138"/>
      <c r="AL122" s="2138"/>
      <c r="AM122" s="2138"/>
      <c r="AN122" s="2138"/>
      <c r="AO122" s="2138"/>
      <c r="AP122" s="2138"/>
      <c r="AQ122" s="2138"/>
      <c r="AR122" s="2138"/>
      <c r="AS122" s="2138"/>
      <c r="AT122" s="2138"/>
      <c r="AU122" s="2138"/>
      <c r="AV122" s="561">
        <f t="shared" ref="AV122" si="326">SUM(Z122)</f>
        <v>4.4791806996138765E-2</v>
      </c>
      <c r="AW122" s="561">
        <f t="shared" ref="AW122" si="327">SUM(Z122)</f>
        <v>4.4791806996138765E-2</v>
      </c>
      <c r="AX122" s="561">
        <f t="shared" ref="AX122" si="328">SUM(Z122)</f>
        <v>4.4791806996138765E-2</v>
      </c>
      <c r="AY122" s="560">
        <f t="shared" si="320"/>
        <v>0.13437542098841629</v>
      </c>
      <c r="AZ122" s="560">
        <f t="shared" si="219"/>
        <v>0.26875084197683258</v>
      </c>
      <c r="BA122" s="561">
        <f t="shared" ref="BA122" si="329">SUM(Z122)</f>
        <v>4.4791806996138765E-2</v>
      </c>
      <c r="BB122" s="561">
        <f t="shared" ref="BB122" si="330">SUM(Z122)</f>
        <v>4.4791806996138765E-2</v>
      </c>
      <c r="BC122" s="561">
        <f t="shared" ref="BC122" si="331">SUM(Z122)</f>
        <v>4.4791806996138765E-2</v>
      </c>
      <c r="BD122" s="560">
        <f t="shared" si="321"/>
        <v>0.13437542098841629</v>
      </c>
      <c r="BE122" s="560">
        <f t="shared" si="298"/>
        <v>0.40312626296524889</v>
      </c>
      <c r="BF122" s="561">
        <f t="shared" ref="BF122" si="332">SUM(Z122)</f>
        <v>4.4791806996138765E-2</v>
      </c>
      <c r="BG122" s="561">
        <f t="shared" ref="BG122" si="333">SUM(Z122)</f>
        <v>4.4791806996138765E-2</v>
      </c>
      <c r="BH122" s="561">
        <f t="shared" ref="BH122" si="334">SUM(Z122)</f>
        <v>4.4791806996138765E-2</v>
      </c>
      <c r="BI122" s="4716"/>
      <c r="BJ122" s="560">
        <f t="shared" si="322"/>
        <v>0.13437542098841629</v>
      </c>
      <c r="BK122" s="549">
        <f t="shared" si="222"/>
        <v>0.53750168395366515</v>
      </c>
    </row>
    <row r="123" spans="1:63" ht="19.5" hidden="1" x14ac:dyDescent="0.3">
      <c r="A123" s="397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1"/>
      <c r="U123" s="391"/>
      <c r="V123" s="544">
        <f>SUM(V64+V74+V100+V113)</f>
        <v>11755.79772460473</v>
      </c>
      <c r="W123" s="562"/>
      <c r="X123" s="544">
        <f>SUM(X64+X74+X100+X113)</f>
        <v>11755.79772460473</v>
      </c>
      <c r="Y123" s="544">
        <f>SUM(Y64+Y74+Y100+Y113)</f>
        <v>0</v>
      </c>
      <c r="Z123" s="373">
        <f>SUM(Z64+Z74+Z100+Z113)</f>
        <v>989.79003757873875</v>
      </c>
      <c r="AA123" s="806"/>
      <c r="AB123" s="373">
        <f>SUM(AB64+AB74+AB100+AB113)</f>
        <v>980.2341365006896</v>
      </c>
      <c r="AC123" s="373">
        <f>SUM(AC64+AC74+AC100+AC113)</f>
        <v>976.09571048255566</v>
      </c>
      <c r="AD123" s="552">
        <f t="shared" si="308"/>
        <v>2946.1198845619838</v>
      </c>
      <c r="AE123" s="813"/>
      <c r="AF123" s="813"/>
      <c r="AG123" s="813"/>
      <c r="AH123" s="813"/>
      <c r="AI123" s="2135"/>
      <c r="AJ123" s="2135"/>
      <c r="AK123" s="2135"/>
      <c r="AL123" s="2135"/>
      <c r="AM123" s="2135"/>
      <c r="AN123" s="2135"/>
      <c r="AO123" s="2135"/>
      <c r="AP123" s="2135"/>
      <c r="AQ123" s="2575"/>
      <c r="AR123" s="2575"/>
      <c r="AS123" s="2575"/>
      <c r="AT123" s="2135"/>
      <c r="AU123" s="2135"/>
      <c r="AV123" s="373">
        <f>SUM(AV64+AV74+AV100+AV113)</f>
        <v>961.88407502519533</v>
      </c>
      <c r="AW123" s="373">
        <f>SUM(AW64+AW74+AW100+AW113)</f>
        <v>936.40253740927494</v>
      </c>
      <c r="AX123" s="373">
        <f>SUM(AX64+AX74+AX100+AX113)</f>
        <v>930.66897430976155</v>
      </c>
      <c r="AY123" s="552">
        <f t="shared" si="309"/>
        <v>2828.9555867442318</v>
      </c>
      <c r="AZ123" s="552">
        <f t="shared" si="219"/>
        <v>5775.0754713062161</v>
      </c>
      <c r="BA123" s="373">
        <f>SUM(BA64+BA74+BA100+BA113)</f>
        <v>974.07458770089181</v>
      </c>
      <c r="BB123" s="373">
        <f>SUM(BB64+BB74+BB100+BB113)</f>
        <v>973.09645462035189</v>
      </c>
      <c r="BC123" s="373">
        <f>SUM(BC64+BC74+BC100+BC113)</f>
        <v>985.84212684091722</v>
      </c>
      <c r="BD123" s="552">
        <f t="shared" si="311"/>
        <v>2933.0131691621609</v>
      </c>
      <c r="BE123" s="552">
        <f t="shared" si="298"/>
        <v>8708.088640468377</v>
      </c>
      <c r="BF123" s="373">
        <f>SUM(BF64+BF74+BF100+BF113)</f>
        <v>1005.2184191536765</v>
      </c>
      <c r="BG123" s="373">
        <f>SUM(BG64+BG74+BG100+BG113)</f>
        <v>1015.3477851966146</v>
      </c>
      <c r="BH123" s="373">
        <f>SUM(BH64+BH74+BH100+BH113)</f>
        <v>1027.1359780365581</v>
      </c>
      <c r="BI123" s="4711"/>
      <c r="BJ123" s="552">
        <f t="shared" si="313"/>
        <v>3047.702182386849</v>
      </c>
      <c r="BK123" s="549">
        <f t="shared" si="222"/>
        <v>11755.790822855226</v>
      </c>
    </row>
    <row r="124" spans="1:63" ht="19.5" hidden="1" x14ac:dyDescent="0.3">
      <c r="A124" s="397" t="s">
        <v>593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1"/>
      <c r="U124" s="391"/>
      <c r="V124" s="563">
        <f>SUM(V123-V87-V88)</f>
        <v>11755.79772460473</v>
      </c>
      <c r="W124" s="562"/>
      <c r="X124" s="563">
        <f>SUM(X123-X87-X88)</f>
        <v>11755.79772460473</v>
      </c>
      <c r="Y124" s="563">
        <f>SUM(Y123-Y87-Y88)</f>
        <v>0</v>
      </c>
      <c r="Z124" s="564">
        <f>SUM(Z123-Z87-Z88)</f>
        <v>989.79003757873875</v>
      </c>
      <c r="AA124" s="811"/>
      <c r="AB124" s="564">
        <f>SUM(AB123-AB87-AB88)</f>
        <v>980.2341365006896</v>
      </c>
      <c r="AC124" s="564">
        <f>SUM(AC123-AC87-AC88)</f>
        <v>976.09571048255566</v>
      </c>
      <c r="AD124" s="552">
        <f t="shared" si="308"/>
        <v>2946.1198845619838</v>
      </c>
      <c r="AE124" s="813"/>
      <c r="AF124" s="813"/>
      <c r="AG124" s="813"/>
      <c r="AH124" s="813"/>
      <c r="AI124" s="2135"/>
      <c r="AJ124" s="2135"/>
      <c r="AK124" s="2135"/>
      <c r="AL124" s="2135"/>
      <c r="AM124" s="2135"/>
      <c r="AN124" s="2135"/>
      <c r="AO124" s="2135"/>
      <c r="AP124" s="2135"/>
      <c r="AQ124" s="2575"/>
      <c r="AR124" s="2575"/>
      <c r="AS124" s="2575"/>
      <c r="AT124" s="2135"/>
      <c r="AU124" s="2135"/>
      <c r="AV124" s="564">
        <f>SUM(AV123-AV87-AV88)</f>
        <v>961.88407502519533</v>
      </c>
      <c r="AW124" s="564">
        <f>SUM(AW123-AW87-AW88)</f>
        <v>936.40253740927494</v>
      </c>
      <c r="AX124" s="564">
        <f>SUM(AX123-AX87-AX88)</f>
        <v>930.66897430976155</v>
      </c>
      <c r="AY124" s="552">
        <f t="shared" si="309"/>
        <v>2828.9555867442318</v>
      </c>
      <c r="AZ124" s="552">
        <f t="shared" si="219"/>
        <v>5775.0754713062161</v>
      </c>
      <c r="BA124" s="564">
        <f>SUM(BA123-BA87-BA88)</f>
        <v>974.07458770089181</v>
      </c>
      <c r="BB124" s="564">
        <f>SUM(BB123-BB87-BB88)</f>
        <v>973.09645462035189</v>
      </c>
      <c r="BC124" s="564">
        <f>SUM(BC123-BC87-BC88)</f>
        <v>985.84212684091722</v>
      </c>
      <c r="BD124" s="552">
        <f t="shared" si="311"/>
        <v>2933.0131691621609</v>
      </c>
      <c r="BE124" s="552">
        <f t="shared" si="298"/>
        <v>8708.088640468377</v>
      </c>
      <c r="BF124" s="564">
        <f>SUM(BF123-BF87-BF88)</f>
        <v>1005.2184191536765</v>
      </c>
      <c r="BG124" s="564">
        <f>SUM(BG123-BG87-BG88)</f>
        <v>1015.3477851966146</v>
      </c>
      <c r="BH124" s="564">
        <f>SUM(BH123-BH87-BH88)</f>
        <v>1027.1359780365581</v>
      </c>
      <c r="BI124" s="4500"/>
      <c r="BJ124" s="552">
        <f t="shared" si="313"/>
        <v>3047.702182386849</v>
      </c>
      <c r="BK124" s="549">
        <f t="shared" si="222"/>
        <v>11755.790822855226</v>
      </c>
    </row>
    <row r="125" spans="1:63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1"/>
      <c r="T125" s="391"/>
      <c r="U125" s="391"/>
      <c r="V125" s="394"/>
      <c r="W125" s="5"/>
      <c r="X125" s="394"/>
      <c r="Y125" s="394"/>
      <c r="Z125" s="394"/>
      <c r="AA125" s="394"/>
      <c r="AB125" s="394"/>
      <c r="AC125" s="394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63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1"/>
      <c r="T126" s="391"/>
      <c r="U126" s="391"/>
      <c r="V126" s="394"/>
      <c r="W126" s="5"/>
      <c r="X126" s="394"/>
      <c r="Y126" s="394"/>
      <c r="Z126" s="394"/>
      <c r="AA126" s="394"/>
      <c r="AB126" s="394"/>
      <c r="AC126" s="394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63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1"/>
      <c r="T127" s="391"/>
      <c r="U127" s="391"/>
      <c r="V127" s="394"/>
      <c r="W127" s="5"/>
      <c r="X127" s="577"/>
      <c r="Y127" s="577"/>
      <c r="Z127" s="577"/>
      <c r="AA127" s="577"/>
      <c r="AB127" s="394"/>
      <c r="AC127" s="394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63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1"/>
      <c r="T128" s="391"/>
      <c r="U128" s="391"/>
      <c r="V128" s="394"/>
      <c r="W128" s="5"/>
      <c r="X128" s="394"/>
      <c r="Y128" s="394"/>
      <c r="Z128" s="394"/>
      <c r="AA128" s="394"/>
      <c r="AB128" s="394"/>
      <c r="AC128" s="394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1"/>
      <c r="T129" s="391"/>
      <c r="U129" s="391"/>
      <c r="V129" s="394"/>
      <c r="W129" s="5"/>
      <c r="X129" s="394"/>
      <c r="Y129" s="394"/>
      <c r="Z129" s="394"/>
      <c r="AA129" s="394"/>
      <c r="AB129" s="394"/>
      <c r="AC129" s="394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1"/>
      <c r="T130" s="391"/>
      <c r="U130" s="391"/>
      <c r="V130" s="394"/>
      <c r="W130" s="5"/>
      <c r="X130" s="394"/>
      <c r="Y130" s="394"/>
      <c r="Z130" s="394"/>
      <c r="AA130" s="394"/>
      <c r="AB130" s="394"/>
      <c r="AC130" s="394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 ht="18.75" hidden="1" x14ac:dyDescent="0.3">
      <c r="A131" s="5699" t="s">
        <v>631</v>
      </c>
      <c r="B131" s="5700"/>
      <c r="C131" s="5700"/>
      <c r="D131" s="5700"/>
      <c r="E131" s="5700"/>
      <c r="F131" s="5700"/>
      <c r="G131" s="5700"/>
      <c r="H131" s="5700"/>
      <c r="I131" s="5700"/>
      <c r="J131" s="5700"/>
      <c r="K131" s="5700"/>
      <c r="L131" s="5700"/>
      <c r="M131" s="5700"/>
      <c r="N131" s="5700"/>
      <c r="O131" s="5700"/>
      <c r="P131" s="5700"/>
      <c r="Q131" s="5700"/>
      <c r="R131" s="5700"/>
      <c r="S131" s="5700"/>
      <c r="T131" s="5700"/>
      <c r="U131" s="5700"/>
      <c r="V131" s="5700"/>
      <c r="W131" s="5700"/>
      <c r="X131" s="5700"/>
      <c r="Y131" s="5700"/>
      <c r="Z131" s="5701"/>
      <c r="AA131" s="818"/>
      <c r="AB131" s="394"/>
      <c r="AC131" s="394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 ht="18.75" hidden="1" x14ac:dyDescent="0.3">
      <c r="A132" s="570" t="s">
        <v>606</v>
      </c>
      <c r="B132" s="570"/>
      <c r="C132" s="570"/>
      <c r="D132" s="570"/>
      <c r="E132" s="570"/>
      <c r="F132" s="570"/>
      <c r="G132" s="570"/>
      <c r="H132" s="570"/>
      <c r="I132" s="570"/>
      <c r="J132" s="570"/>
      <c r="K132" s="570"/>
      <c r="L132" s="570"/>
      <c r="M132" s="570"/>
      <c r="N132" s="570"/>
      <c r="O132" s="570"/>
      <c r="P132" s="570"/>
      <c r="Q132" s="570"/>
      <c r="R132" s="570"/>
      <c r="S132" s="570"/>
      <c r="T132" s="570"/>
      <c r="U132" s="570"/>
      <c r="V132" s="571" t="s">
        <v>607</v>
      </c>
      <c r="W132" s="571"/>
      <c r="X132" s="571" t="s">
        <v>610</v>
      </c>
      <c r="Y132" s="571" t="s">
        <v>280</v>
      </c>
      <c r="Z132" s="571" t="s">
        <v>44</v>
      </c>
      <c r="AA132" s="819"/>
      <c r="AB132" s="394"/>
      <c r="AC132" s="394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 ht="18.75" hidden="1" x14ac:dyDescent="0.3">
      <c r="A133" s="569" t="s">
        <v>608</v>
      </c>
      <c r="B133" s="569"/>
      <c r="C133" s="569"/>
      <c r="D133" s="569"/>
      <c r="E133" s="569"/>
      <c r="F133" s="569"/>
      <c r="G133" s="569"/>
      <c r="H133" s="569"/>
      <c r="I133" s="569"/>
      <c r="J133" s="569"/>
      <c r="K133" s="569"/>
      <c r="L133" s="569"/>
      <c r="M133" s="569"/>
      <c r="N133" s="569"/>
      <c r="O133" s="569"/>
      <c r="P133" s="569"/>
      <c r="Q133" s="569"/>
      <c r="R133" s="569"/>
      <c r="S133" s="569"/>
      <c r="T133" s="569"/>
      <c r="U133" s="569"/>
      <c r="V133" s="569">
        <v>544342.37</v>
      </c>
      <c r="W133" s="569"/>
      <c r="X133" s="569"/>
      <c r="Y133" s="569">
        <f>SUM(V133:X133)</f>
        <v>544342.37</v>
      </c>
      <c r="Z133" s="572">
        <f>SUM(Y133/Y140)</f>
        <v>0.6974668420563781</v>
      </c>
      <c r="AA133" s="820"/>
      <c r="AB133" s="394"/>
      <c r="AC133" s="394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 ht="18.75" hidden="1" x14ac:dyDescent="0.3">
      <c r="A134" s="569" t="s">
        <v>609</v>
      </c>
      <c r="B134" s="569"/>
      <c r="C134" s="569"/>
      <c r="D134" s="569"/>
      <c r="E134" s="569"/>
      <c r="F134" s="569"/>
      <c r="G134" s="569"/>
      <c r="H134" s="569"/>
      <c r="I134" s="569"/>
      <c r="J134" s="569"/>
      <c r="K134" s="569"/>
      <c r="L134" s="569"/>
      <c r="M134" s="569"/>
      <c r="N134" s="569"/>
      <c r="O134" s="569"/>
      <c r="P134" s="569"/>
      <c r="Q134" s="569"/>
      <c r="R134" s="569"/>
      <c r="S134" s="569"/>
      <c r="T134" s="569"/>
      <c r="U134" s="569"/>
      <c r="V134" s="569">
        <v>164391.41</v>
      </c>
      <c r="W134" s="569"/>
      <c r="X134" s="569"/>
      <c r="Y134" s="569">
        <f t="shared" ref="Y134:Y139" si="335">SUM(V134:X134)</f>
        <v>164391.41</v>
      </c>
      <c r="Z134" s="572">
        <f>SUM(Y134/Y140)</f>
        <v>0.21063500457238943</v>
      </c>
      <c r="AA134" s="820"/>
      <c r="AB134" s="394"/>
      <c r="AC134" s="394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 ht="18.75" hidden="1" x14ac:dyDescent="0.3">
      <c r="A135" s="569" t="s">
        <v>611</v>
      </c>
      <c r="B135" s="569"/>
      <c r="C135" s="569"/>
      <c r="D135" s="569"/>
      <c r="E135" s="569"/>
      <c r="F135" s="569"/>
      <c r="G135" s="569"/>
      <c r="H135" s="569"/>
      <c r="I135" s="569"/>
      <c r="J135" s="569"/>
      <c r="K135" s="569"/>
      <c r="L135" s="569"/>
      <c r="M135" s="569"/>
      <c r="N135" s="569"/>
      <c r="O135" s="569"/>
      <c r="P135" s="569"/>
      <c r="Q135" s="569"/>
      <c r="R135" s="569"/>
      <c r="S135" s="569"/>
      <c r="T135" s="569"/>
      <c r="U135" s="569"/>
      <c r="V135" s="569"/>
      <c r="W135" s="569"/>
      <c r="X135" s="569">
        <v>3667.86</v>
      </c>
      <c r="Y135" s="569">
        <f t="shared" si="335"/>
        <v>3667.86</v>
      </c>
      <c r="Z135" s="572">
        <f>SUM(Y135/Y140)</f>
        <v>4.6996355093668479E-3</v>
      </c>
      <c r="AA135" s="820"/>
      <c r="AB135" s="394"/>
      <c r="AC135" s="394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 ht="18.75" hidden="1" x14ac:dyDescent="0.3">
      <c r="A136" s="569" t="s">
        <v>588</v>
      </c>
      <c r="B136" s="569"/>
      <c r="C136" s="569"/>
      <c r="D136" s="569"/>
      <c r="E136" s="569"/>
      <c r="F136" s="569"/>
      <c r="G136" s="569"/>
      <c r="H136" s="569"/>
      <c r="I136" s="569"/>
      <c r="J136" s="569"/>
      <c r="K136" s="569"/>
      <c r="L136" s="569"/>
      <c r="M136" s="569"/>
      <c r="N136" s="569"/>
      <c r="O136" s="569"/>
      <c r="P136" s="569"/>
      <c r="Q136" s="569"/>
      <c r="R136" s="569"/>
      <c r="S136" s="569"/>
      <c r="T136" s="569"/>
      <c r="U136" s="569"/>
      <c r="V136" s="569"/>
      <c r="W136" s="569"/>
      <c r="X136" s="569">
        <v>16761.7</v>
      </c>
      <c r="Y136" s="569">
        <f t="shared" si="335"/>
        <v>16761.7</v>
      </c>
      <c r="Z136" s="572">
        <f>SUM(Y136/Y140)</f>
        <v>2.1476795874802827E-2</v>
      </c>
      <c r="AA136" s="820"/>
      <c r="AB136" s="394"/>
      <c r="AC136" s="394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 ht="18.75" hidden="1" x14ac:dyDescent="0.3">
      <c r="A137" s="569" t="s">
        <v>612</v>
      </c>
      <c r="B137" s="569"/>
      <c r="C137" s="569"/>
      <c r="D137" s="569"/>
      <c r="E137" s="569"/>
      <c r="F137" s="569"/>
      <c r="G137" s="569"/>
      <c r="H137" s="569"/>
      <c r="I137" s="569"/>
      <c r="J137" s="569"/>
      <c r="K137" s="569"/>
      <c r="L137" s="569"/>
      <c r="M137" s="569"/>
      <c r="N137" s="569"/>
      <c r="O137" s="569"/>
      <c r="P137" s="569"/>
      <c r="Q137" s="569"/>
      <c r="R137" s="569"/>
      <c r="S137" s="569"/>
      <c r="T137" s="569"/>
      <c r="U137" s="569"/>
      <c r="V137" s="569"/>
      <c r="W137" s="569"/>
      <c r="X137" s="569">
        <v>25135.3</v>
      </c>
      <c r="Y137" s="569">
        <f t="shared" si="335"/>
        <v>25135.3</v>
      </c>
      <c r="Z137" s="572">
        <f>SUM(Y137/Y140)</f>
        <v>3.2205904374373207E-2</v>
      </c>
      <c r="AA137" s="820"/>
      <c r="AB137" s="394"/>
      <c r="AC137" s="394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 ht="18.75" hidden="1" x14ac:dyDescent="0.3">
      <c r="A138" s="569" t="s">
        <v>34</v>
      </c>
      <c r="B138" s="569"/>
      <c r="C138" s="569"/>
      <c r="D138" s="569"/>
      <c r="E138" s="569"/>
      <c r="F138" s="569"/>
      <c r="G138" s="569"/>
      <c r="H138" s="569"/>
      <c r="I138" s="569"/>
      <c r="J138" s="569"/>
      <c r="K138" s="569"/>
      <c r="L138" s="569"/>
      <c r="M138" s="569"/>
      <c r="N138" s="569"/>
      <c r="O138" s="569"/>
      <c r="P138" s="569"/>
      <c r="Q138" s="569"/>
      <c r="R138" s="569"/>
      <c r="S138" s="569"/>
      <c r="T138" s="569"/>
      <c r="U138" s="569"/>
      <c r="V138" s="569"/>
      <c r="W138" s="569"/>
      <c r="X138" s="569">
        <v>10460.129999999999</v>
      </c>
      <c r="Y138" s="569">
        <f t="shared" si="335"/>
        <v>10460.129999999999</v>
      </c>
      <c r="Z138" s="572">
        <f>SUM(Y138/Y140)</f>
        <v>1.3402583081304478E-2</v>
      </c>
      <c r="AA138" s="820"/>
      <c r="AB138" s="394"/>
      <c r="AC138" s="394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 ht="18.75" hidden="1" x14ac:dyDescent="0.3">
      <c r="A139" s="569" t="s">
        <v>52</v>
      </c>
      <c r="B139" s="569"/>
      <c r="C139" s="569"/>
      <c r="D139" s="569"/>
      <c r="E139" s="569"/>
      <c r="F139" s="569"/>
      <c r="G139" s="569"/>
      <c r="H139" s="569"/>
      <c r="I139" s="569"/>
      <c r="J139" s="569"/>
      <c r="K139" s="569"/>
      <c r="L139" s="569"/>
      <c r="M139" s="569"/>
      <c r="N139" s="569"/>
      <c r="O139" s="569"/>
      <c r="P139" s="569"/>
      <c r="Q139" s="569"/>
      <c r="R139" s="569"/>
      <c r="S139" s="569"/>
      <c r="T139" s="569"/>
      <c r="U139" s="569"/>
      <c r="V139" s="569"/>
      <c r="W139" s="569"/>
      <c r="X139" s="569">
        <v>15697.5</v>
      </c>
      <c r="Y139" s="569">
        <f t="shared" si="335"/>
        <v>15697.5</v>
      </c>
      <c r="Z139" s="572">
        <f>SUM(Y139/Y140)</f>
        <v>2.0113234531385082E-2</v>
      </c>
      <c r="AA139" s="820"/>
      <c r="AB139" s="394"/>
      <c r="AC139" s="394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 ht="18.75" hidden="1" x14ac:dyDescent="0.3">
      <c r="A140" s="570" t="s">
        <v>614</v>
      </c>
      <c r="B140" s="570"/>
      <c r="C140" s="570"/>
      <c r="D140" s="570"/>
      <c r="E140" s="570"/>
      <c r="F140" s="570"/>
      <c r="G140" s="570"/>
      <c r="H140" s="570"/>
      <c r="I140" s="570"/>
      <c r="J140" s="570"/>
      <c r="K140" s="570"/>
      <c r="L140" s="570"/>
      <c r="M140" s="570"/>
      <c r="N140" s="570"/>
      <c r="O140" s="570"/>
      <c r="P140" s="570"/>
      <c r="Q140" s="570"/>
      <c r="R140" s="570"/>
      <c r="S140" s="570"/>
      <c r="T140" s="570"/>
      <c r="U140" s="570"/>
      <c r="V140" s="570">
        <f>SUM(V133:V139)</f>
        <v>708733.78</v>
      </c>
      <c r="W140" s="570"/>
      <c r="X140" s="570">
        <f>SUM(X133:X139)</f>
        <v>71722.489999999991</v>
      </c>
      <c r="Y140" s="570">
        <f>SUM(Y133:Y139)</f>
        <v>780456.27</v>
      </c>
      <c r="Z140" s="573">
        <f>SUM(Z133:Z139)</f>
        <v>1</v>
      </c>
      <c r="AA140" s="821"/>
      <c r="AB140" s="394"/>
      <c r="AC140" s="394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 ht="18.75" hidden="1" x14ac:dyDescent="0.3">
      <c r="A141" s="570" t="s">
        <v>615</v>
      </c>
      <c r="B141" s="570"/>
      <c r="C141" s="570"/>
      <c r="D141" s="570"/>
      <c r="E141" s="570"/>
      <c r="F141" s="570"/>
      <c r="G141" s="570"/>
      <c r="H141" s="570"/>
      <c r="I141" s="570"/>
      <c r="J141" s="570"/>
      <c r="K141" s="570"/>
      <c r="L141" s="570"/>
      <c r="M141" s="570"/>
      <c r="N141" s="570"/>
      <c r="O141" s="570"/>
      <c r="P141" s="570"/>
      <c r="Q141" s="570"/>
      <c r="R141" s="570"/>
      <c r="S141" s="570"/>
      <c r="T141" s="570"/>
      <c r="U141" s="570"/>
      <c r="V141" s="574" t="s">
        <v>617</v>
      </c>
      <c r="W141" s="574"/>
      <c r="X141" s="574" t="s">
        <v>616</v>
      </c>
      <c r="Y141" s="574" t="s">
        <v>280</v>
      </c>
      <c r="Z141" s="574" t="s">
        <v>44</v>
      </c>
      <c r="AA141" s="819"/>
      <c r="AB141" s="394"/>
      <c r="AC141" s="394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 ht="18.75" hidden="1" x14ac:dyDescent="0.3">
      <c r="A142" s="569" t="s">
        <v>608</v>
      </c>
      <c r="B142" s="569"/>
      <c r="C142" s="569"/>
      <c r="D142" s="569"/>
      <c r="E142" s="569"/>
      <c r="F142" s="569"/>
      <c r="G142" s="569"/>
      <c r="H142" s="569"/>
      <c r="I142" s="569"/>
      <c r="J142" s="569"/>
      <c r="K142" s="569"/>
      <c r="L142" s="569"/>
      <c r="M142" s="569"/>
      <c r="N142" s="569"/>
      <c r="O142" s="569"/>
      <c r="P142" s="569"/>
      <c r="Q142" s="569"/>
      <c r="R142" s="569"/>
      <c r="S142" s="569"/>
      <c r="T142" s="569"/>
      <c r="U142" s="569"/>
      <c r="V142" s="569">
        <v>2420280.5099999998</v>
      </c>
      <c r="W142" s="569"/>
      <c r="X142" s="569"/>
      <c r="Y142" s="569">
        <f>SUM(V142:X142)</f>
        <v>2420280.5099999998</v>
      </c>
      <c r="Z142" s="572">
        <f>SUM(Y142/Y164)</f>
        <v>0.46536359043589531</v>
      </c>
      <c r="AA142" s="820"/>
      <c r="AB142" s="394"/>
      <c r="AC142" s="394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 ht="18.75" hidden="1" x14ac:dyDescent="0.3">
      <c r="A143" s="569" t="s">
        <v>609</v>
      </c>
      <c r="B143" s="569"/>
      <c r="C143" s="569"/>
      <c r="D143" s="569"/>
      <c r="E143" s="569"/>
      <c r="F143" s="569"/>
      <c r="G143" s="569"/>
      <c r="H143" s="569"/>
      <c r="I143" s="569"/>
      <c r="J143" s="569"/>
      <c r="K143" s="569"/>
      <c r="L143" s="569"/>
      <c r="M143" s="569"/>
      <c r="N143" s="569"/>
      <c r="O143" s="569"/>
      <c r="P143" s="569"/>
      <c r="Q143" s="569"/>
      <c r="R143" s="569"/>
      <c r="S143" s="569"/>
      <c r="T143" s="569"/>
      <c r="U143" s="569"/>
      <c r="V143" s="569">
        <v>724985.49</v>
      </c>
      <c r="W143" s="569"/>
      <c r="X143" s="569"/>
      <c r="Y143" s="569">
        <f t="shared" ref="Y143:Y163" si="336">SUM(V143:X143)</f>
        <v>724985.49</v>
      </c>
      <c r="Z143" s="572">
        <f>SUM(Y143/Y164)</f>
        <v>0.1393978298161509</v>
      </c>
      <c r="AA143" s="820"/>
      <c r="AB143" s="394"/>
      <c r="AC143" s="394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 ht="18.75" hidden="1" x14ac:dyDescent="0.3">
      <c r="A144" s="569" t="s">
        <v>590</v>
      </c>
      <c r="B144" s="569"/>
      <c r="C144" s="569"/>
      <c r="D144" s="569"/>
      <c r="E144" s="569"/>
      <c r="F144" s="569"/>
      <c r="G144" s="569"/>
      <c r="H144" s="569"/>
      <c r="I144" s="569"/>
      <c r="J144" s="569"/>
      <c r="K144" s="569"/>
      <c r="L144" s="569"/>
      <c r="M144" s="569"/>
      <c r="N144" s="569"/>
      <c r="O144" s="569"/>
      <c r="P144" s="569"/>
      <c r="Q144" s="569"/>
      <c r="R144" s="569"/>
      <c r="S144" s="569"/>
      <c r="T144" s="569"/>
      <c r="U144" s="569"/>
      <c r="V144" s="569"/>
      <c r="W144" s="569"/>
      <c r="X144" s="569">
        <v>75600</v>
      </c>
      <c r="Y144" s="569">
        <f t="shared" si="336"/>
        <v>75600</v>
      </c>
      <c r="Z144" s="572">
        <f>SUM(Y144/Y164)</f>
        <v>1.4536119797516235E-2</v>
      </c>
      <c r="AA144" s="820"/>
      <c r="AB144" s="394"/>
      <c r="AC144" s="394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 ht="18.75" hidden="1" x14ac:dyDescent="0.3">
      <c r="A145" s="569" t="s">
        <v>618</v>
      </c>
      <c r="B145" s="569"/>
      <c r="C145" s="569"/>
      <c r="D145" s="569"/>
      <c r="E145" s="569"/>
      <c r="F145" s="569"/>
      <c r="G145" s="569"/>
      <c r="H145" s="569"/>
      <c r="I145" s="569"/>
      <c r="J145" s="569"/>
      <c r="K145" s="569"/>
      <c r="L145" s="569"/>
      <c r="M145" s="569"/>
      <c r="N145" s="569"/>
      <c r="O145" s="569"/>
      <c r="P145" s="569"/>
      <c r="Q145" s="569"/>
      <c r="R145" s="569"/>
      <c r="S145" s="569"/>
      <c r="T145" s="569"/>
      <c r="U145" s="569"/>
      <c r="V145" s="569"/>
      <c r="W145" s="569"/>
      <c r="X145" s="569">
        <v>300</v>
      </c>
      <c r="Y145" s="569">
        <f t="shared" si="336"/>
        <v>300</v>
      </c>
      <c r="Z145" s="572">
        <f>SUM(Y145/Y164)</f>
        <v>5.768301506950887E-5</v>
      </c>
      <c r="AA145" s="820"/>
      <c r="AB145" s="394"/>
      <c r="AC145" s="394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 ht="18.75" hidden="1" x14ac:dyDescent="0.3">
      <c r="A146" s="569" t="s">
        <v>32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69"/>
      <c r="P146" s="569"/>
      <c r="Q146" s="569"/>
      <c r="R146" s="569"/>
      <c r="S146" s="569"/>
      <c r="T146" s="569"/>
      <c r="U146" s="569"/>
      <c r="V146" s="569"/>
      <c r="W146" s="569"/>
      <c r="X146" s="569">
        <v>15305</v>
      </c>
      <c r="Y146" s="569">
        <f t="shared" si="336"/>
        <v>15305</v>
      </c>
      <c r="Z146" s="572">
        <f>SUM(Y146/Y164)</f>
        <v>2.9427951521294442E-3</v>
      </c>
      <c r="AA146" s="820"/>
      <c r="AB146" s="394"/>
      <c r="AC146" s="394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 ht="18.75" hidden="1" x14ac:dyDescent="0.3">
      <c r="A147" s="569" t="s">
        <v>74</v>
      </c>
      <c r="B147" s="569"/>
      <c r="C147" s="569"/>
      <c r="D147" s="569"/>
      <c r="E147" s="569"/>
      <c r="F147" s="569"/>
      <c r="G147" s="569"/>
      <c r="H147" s="569"/>
      <c r="I147" s="569"/>
      <c r="J147" s="569"/>
      <c r="K147" s="569"/>
      <c r="L147" s="569"/>
      <c r="M147" s="569"/>
      <c r="N147" s="569"/>
      <c r="O147" s="569"/>
      <c r="P147" s="569"/>
      <c r="Q147" s="569"/>
      <c r="R147" s="569"/>
      <c r="S147" s="569"/>
      <c r="T147" s="569"/>
      <c r="U147" s="569"/>
      <c r="V147" s="569"/>
      <c r="W147" s="569"/>
      <c r="X147" s="569">
        <v>129</v>
      </c>
      <c r="Y147" s="569">
        <f t="shared" si="336"/>
        <v>129</v>
      </c>
      <c r="Z147" s="575">
        <f>SUM(Y147/Y164)</f>
        <v>2.4803696479888814E-5</v>
      </c>
      <c r="AA147" s="822"/>
      <c r="AB147" s="394"/>
      <c r="AC147" s="394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 ht="18.75" hidden="1" x14ac:dyDescent="0.3">
      <c r="A148" s="569" t="s">
        <v>632</v>
      </c>
      <c r="B148" s="569"/>
      <c r="C148" s="569"/>
      <c r="D148" s="569"/>
      <c r="E148" s="569"/>
      <c r="F148" s="569"/>
      <c r="G148" s="569"/>
      <c r="H148" s="569"/>
      <c r="I148" s="569"/>
      <c r="J148" s="569"/>
      <c r="K148" s="569"/>
      <c r="L148" s="569"/>
      <c r="M148" s="569"/>
      <c r="N148" s="569"/>
      <c r="O148" s="569"/>
      <c r="P148" s="569"/>
      <c r="Q148" s="569"/>
      <c r="R148" s="569"/>
      <c r="S148" s="569"/>
      <c r="T148" s="569"/>
      <c r="U148" s="569"/>
      <c r="V148" s="569"/>
      <c r="W148" s="569"/>
      <c r="X148" s="569">
        <v>3814.4</v>
      </c>
      <c r="Y148" s="569">
        <f t="shared" si="336"/>
        <v>3814.4</v>
      </c>
      <c r="Z148" s="572">
        <f>SUM(Y148/Y164)</f>
        <v>7.3342030893711551E-4</v>
      </c>
      <c r="AA148" s="820"/>
      <c r="AB148" s="394"/>
      <c r="AC148" s="394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 ht="18.75" hidden="1" x14ac:dyDescent="0.3">
      <c r="A149" s="569" t="s">
        <v>619</v>
      </c>
      <c r="B149" s="569"/>
      <c r="C149" s="569"/>
      <c r="D149" s="569"/>
      <c r="E149" s="569"/>
      <c r="F149" s="569"/>
      <c r="G149" s="569"/>
      <c r="H149" s="569"/>
      <c r="I149" s="569"/>
      <c r="J149" s="569"/>
      <c r="K149" s="569"/>
      <c r="L149" s="569"/>
      <c r="M149" s="569"/>
      <c r="N149" s="569"/>
      <c r="O149" s="569"/>
      <c r="P149" s="569"/>
      <c r="Q149" s="569"/>
      <c r="R149" s="569"/>
      <c r="S149" s="569"/>
      <c r="T149" s="569"/>
      <c r="U149" s="569"/>
      <c r="V149" s="569"/>
      <c r="W149" s="569"/>
      <c r="X149" s="569">
        <v>642468.41</v>
      </c>
      <c r="Y149" s="569">
        <v>0</v>
      </c>
      <c r="Z149" s="572">
        <f>SUM(Y149/Y164)</f>
        <v>0</v>
      </c>
      <c r="AA149" s="820"/>
      <c r="AB149" s="394"/>
      <c r="AC149" s="394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 ht="18.75" hidden="1" x14ac:dyDescent="0.3">
      <c r="A150" s="569" t="s">
        <v>620</v>
      </c>
      <c r="B150" s="569"/>
      <c r="C150" s="569"/>
      <c r="D150" s="569"/>
      <c r="E150" s="569"/>
      <c r="F150" s="569"/>
      <c r="G150" s="569"/>
      <c r="H150" s="569"/>
      <c r="I150" s="569"/>
      <c r="J150" s="569"/>
      <c r="K150" s="569"/>
      <c r="L150" s="569"/>
      <c r="M150" s="569"/>
      <c r="N150" s="569"/>
      <c r="O150" s="569"/>
      <c r="P150" s="569"/>
      <c r="Q150" s="569"/>
      <c r="R150" s="569"/>
      <c r="S150" s="569"/>
      <c r="T150" s="569"/>
      <c r="U150" s="569"/>
      <c r="V150" s="569"/>
      <c r="W150" s="569"/>
      <c r="X150" s="569">
        <v>507107.49</v>
      </c>
      <c r="Y150" s="569">
        <f t="shared" si="336"/>
        <v>507107.49</v>
      </c>
      <c r="Z150" s="572">
        <f>SUM(Y150/Y164)</f>
        <v>9.75049632917694E-2</v>
      </c>
      <c r="AA150" s="820"/>
      <c r="AB150" s="394"/>
      <c r="AC150" s="394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 ht="18.75" hidden="1" x14ac:dyDescent="0.3">
      <c r="A151" s="569" t="s">
        <v>42</v>
      </c>
      <c r="B151" s="569"/>
      <c r="C151" s="569"/>
      <c r="D151" s="569"/>
      <c r="E151" s="569"/>
      <c r="F151" s="569"/>
      <c r="G151" s="569"/>
      <c r="H151" s="569"/>
      <c r="I151" s="569"/>
      <c r="J151" s="569"/>
      <c r="K151" s="569"/>
      <c r="L151" s="569"/>
      <c r="M151" s="569"/>
      <c r="N151" s="569"/>
      <c r="O151" s="569"/>
      <c r="P151" s="569"/>
      <c r="Q151" s="569"/>
      <c r="R151" s="569"/>
      <c r="S151" s="569"/>
      <c r="T151" s="569"/>
      <c r="U151" s="569"/>
      <c r="V151" s="569"/>
      <c r="W151" s="569"/>
      <c r="X151" s="569">
        <v>29333.21</v>
      </c>
      <c r="Y151" s="569">
        <f t="shared" si="336"/>
        <v>29333.21</v>
      </c>
      <c r="Z151" s="572">
        <f>SUM(Y151/Y164)</f>
        <v>5.6400933148902273E-3</v>
      </c>
      <c r="AA151" s="820"/>
      <c r="AB151" s="394"/>
      <c r="AC151" s="394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 ht="18.75" hidden="1" x14ac:dyDescent="0.3">
      <c r="A152" s="569" t="s">
        <v>591</v>
      </c>
      <c r="B152" s="569"/>
      <c r="C152" s="569"/>
      <c r="D152" s="569"/>
      <c r="E152" s="569"/>
      <c r="F152" s="569"/>
      <c r="G152" s="569"/>
      <c r="H152" s="569"/>
      <c r="I152" s="569"/>
      <c r="J152" s="569"/>
      <c r="K152" s="569"/>
      <c r="L152" s="569"/>
      <c r="M152" s="569"/>
      <c r="N152" s="569"/>
      <c r="O152" s="569"/>
      <c r="P152" s="569"/>
      <c r="Q152" s="569"/>
      <c r="R152" s="569"/>
      <c r="S152" s="569"/>
      <c r="T152" s="569"/>
      <c r="U152" s="569"/>
      <c r="V152" s="569"/>
      <c r="W152" s="569"/>
      <c r="X152" s="569">
        <v>50424.09</v>
      </c>
      <c r="Y152" s="569">
        <f t="shared" si="336"/>
        <v>50424.09</v>
      </c>
      <c r="Z152" s="572">
        <f>SUM(Y152/Y164)</f>
        <v>9.6953784777875709E-3</v>
      </c>
      <c r="AA152" s="820"/>
      <c r="AB152" s="394"/>
      <c r="AC152" s="394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 ht="18.75" hidden="1" x14ac:dyDescent="0.3">
      <c r="A153" s="569" t="s">
        <v>621</v>
      </c>
      <c r="B153" s="569"/>
      <c r="C153" s="569"/>
      <c r="D153" s="569"/>
      <c r="E153" s="569"/>
      <c r="F153" s="569"/>
      <c r="G153" s="569"/>
      <c r="H153" s="569"/>
      <c r="I153" s="569"/>
      <c r="J153" s="569"/>
      <c r="K153" s="569"/>
      <c r="L153" s="569"/>
      <c r="M153" s="569"/>
      <c r="N153" s="569"/>
      <c r="O153" s="569"/>
      <c r="P153" s="569"/>
      <c r="Q153" s="569"/>
      <c r="R153" s="569"/>
      <c r="S153" s="569"/>
      <c r="T153" s="569"/>
      <c r="U153" s="569"/>
      <c r="V153" s="569"/>
      <c r="W153" s="569"/>
      <c r="X153" s="569">
        <v>278861.53999999998</v>
      </c>
      <c r="Y153" s="569">
        <f t="shared" si="336"/>
        <v>278861.53999999998</v>
      </c>
      <c r="Z153" s="572">
        <f>SUM(Y153/Y164)</f>
        <v>5.3618581380421498E-2</v>
      </c>
      <c r="AA153" s="820"/>
      <c r="AB153" s="394"/>
      <c r="AC153" s="394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 ht="18.75" hidden="1" x14ac:dyDescent="0.3">
      <c r="A154" s="569" t="s">
        <v>622</v>
      </c>
      <c r="B154" s="569"/>
      <c r="C154" s="569"/>
      <c r="D154" s="569"/>
      <c r="E154" s="569"/>
      <c r="F154" s="569"/>
      <c r="G154" s="569"/>
      <c r="H154" s="569"/>
      <c r="I154" s="569"/>
      <c r="J154" s="569"/>
      <c r="K154" s="569"/>
      <c r="L154" s="569"/>
      <c r="M154" s="569"/>
      <c r="N154" s="569"/>
      <c r="O154" s="569"/>
      <c r="P154" s="569"/>
      <c r="Q154" s="569"/>
      <c r="R154" s="569"/>
      <c r="S154" s="569"/>
      <c r="T154" s="569"/>
      <c r="U154" s="569"/>
      <c r="V154" s="569"/>
      <c r="W154" s="569"/>
      <c r="X154" s="569">
        <v>73375.820000000007</v>
      </c>
      <c r="Y154" s="569">
        <f t="shared" si="336"/>
        <v>73375.820000000007</v>
      </c>
      <c r="Z154" s="572">
        <f>SUM(Y154/Y164)</f>
        <v>1.4108461769325236E-2</v>
      </c>
      <c r="AA154" s="820"/>
      <c r="AB154" s="394"/>
      <c r="AC154" s="394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 ht="18.75" hidden="1" x14ac:dyDescent="0.3">
      <c r="A155" s="569" t="s">
        <v>625</v>
      </c>
      <c r="B155" s="569"/>
      <c r="C155" s="569"/>
      <c r="D155" s="569"/>
      <c r="E155" s="569"/>
      <c r="F155" s="569"/>
      <c r="G155" s="569"/>
      <c r="H155" s="569"/>
      <c r="I155" s="569"/>
      <c r="J155" s="569"/>
      <c r="K155" s="569"/>
      <c r="L155" s="569"/>
      <c r="M155" s="569"/>
      <c r="N155" s="569"/>
      <c r="O155" s="569"/>
      <c r="P155" s="569"/>
      <c r="Q155" s="569"/>
      <c r="R155" s="569"/>
      <c r="S155" s="569"/>
      <c r="T155" s="569"/>
      <c r="U155" s="569"/>
      <c r="V155" s="569"/>
      <c r="W155" s="569"/>
      <c r="X155" s="569">
        <v>217500.95</v>
      </c>
      <c r="Y155" s="569">
        <f t="shared" si="336"/>
        <v>217500.95</v>
      </c>
      <c r="Z155" s="572">
        <f>SUM(Y155/Y164)</f>
        <v>4.1820368588274988E-2</v>
      </c>
      <c r="AA155" s="820"/>
      <c r="AB155" s="394"/>
      <c r="AC155" s="394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 ht="18.75" hidden="1" x14ac:dyDescent="0.3">
      <c r="A156" s="569" t="s">
        <v>595</v>
      </c>
      <c r="B156" s="569"/>
      <c r="C156" s="569"/>
      <c r="D156" s="569"/>
      <c r="E156" s="569"/>
      <c r="F156" s="569"/>
      <c r="G156" s="569"/>
      <c r="H156" s="569"/>
      <c r="I156" s="569"/>
      <c r="J156" s="569"/>
      <c r="K156" s="569"/>
      <c r="L156" s="569"/>
      <c r="M156" s="569"/>
      <c r="N156" s="569"/>
      <c r="O156" s="569"/>
      <c r="P156" s="569"/>
      <c r="Q156" s="569"/>
      <c r="R156" s="569"/>
      <c r="S156" s="569"/>
      <c r="T156" s="569"/>
      <c r="U156" s="569"/>
      <c r="V156" s="569"/>
      <c r="W156" s="569"/>
      <c r="X156" s="569">
        <v>45758.37</v>
      </c>
      <c r="Y156" s="569">
        <v>0</v>
      </c>
      <c r="Z156" s="572">
        <f>SUM(Y156/Y164)</f>
        <v>0</v>
      </c>
      <c r="AA156" s="820"/>
      <c r="AB156" s="394"/>
      <c r="AC156" s="394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 ht="18.75" hidden="1" x14ac:dyDescent="0.3">
      <c r="A157" s="569" t="s">
        <v>611</v>
      </c>
      <c r="B157" s="569"/>
      <c r="C157" s="569"/>
      <c r="D157" s="569"/>
      <c r="E157" s="569"/>
      <c r="F157" s="569"/>
      <c r="G157" s="569"/>
      <c r="H157" s="569"/>
      <c r="I157" s="569"/>
      <c r="J157" s="569"/>
      <c r="K157" s="569"/>
      <c r="L157" s="569"/>
      <c r="M157" s="569"/>
      <c r="N157" s="569"/>
      <c r="O157" s="569"/>
      <c r="P157" s="569"/>
      <c r="Q157" s="569"/>
      <c r="R157" s="569"/>
      <c r="S157" s="569"/>
      <c r="T157" s="569"/>
      <c r="U157" s="569"/>
      <c r="V157" s="569"/>
      <c r="W157" s="569"/>
      <c r="X157" s="569">
        <v>20840.04</v>
      </c>
      <c r="Y157" s="569">
        <f t="shared" si="336"/>
        <v>20840.04</v>
      </c>
      <c r="Z157" s="572">
        <f>SUM(Y157/Y164)</f>
        <v>4.0070544712305593E-3</v>
      </c>
      <c r="AA157" s="820"/>
      <c r="AB157" s="394"/>
      <c r="AC157" s="394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 ht="18.75" hidden="1" x14ac:dyDescent="0.3">
      <c r="A158" s="569" t="s">
        <v>588</v>
      </c>
      <c r="B158" s="569"/>
      <c r="C158" s="569"/>
      <c r="D158" s="569"/>
      <c r="E158" s="569"/>
      <c r="F158" s="569"/>
      <c r="G158" s="569"/>
      <c r="H158" s="569"/>
      <c r="I158" s="569"/>
      <c r="J158" s="569"/>
      <c r="K158" s="569"/>
      <c r="L158" s="569"/>
      <c r="M158" s="569"/>
      <c r="N158" s="569"/>
      <c r="O158" s="569"/>
      <c r="P158" s="569"/>
      <c r="Q158" s="569"/>
      <c r="R158" s="569"/>
      <c r="S158" s="569"/>
      <c r="T158" s="569"/>
      <c r="U158" s="569"/>
      <c r="V158" s="569"/>
      <c r="W158" s="569"/>
      <c r="X158" s="569">
        <v>461471.7</v>
      </c>
      <c r="Y158" s="569">
        <f t="shared" si="336"/>
        <v>461471.7</v>
      </c>
      <c r="Z158" s="572">
        <f>SUM(Y158/Y164)</f>
        <v>8.8730263417506255E-2</v>
      </c>
      <c r="AA158" s="820"/>
      <c r="AB158" s="394"/>
      <c r="AC158" s="394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 ht="18.75" hidden="1" x14ac:dyDescent="0.3">
      <c r="A159" s="569" t="s">
        <v>612</v>
      </c>
      <c r="B159" s="569"/>
      <c r="C159" s="569"/>
      <c r="D159" s="569"/>
      <c r="E159" s="569"/>
      <c r="F159" s="569"/>
      <c r="G159" s="569"/>
      <c r="H159" s="569"/>
      <c r="I159" s="569"/>
      <c r="J159" s="569"/>
      <c r="K159" s="569"/>
      <c r="L159" s="569"/>
      <c r="M159" s="569"/>
      <c r="N159" s="569"/>
      <c r="O159" s="569"/>
      <c r="P159" s="569"/>
      <c r="Q159" s="569"/>
      <c r="R159" s="569"/>
      <c r="S159" s="569"/>
      <c r="T159" s="569"/>
      <c r="U159" s="569"/>
      <c r="V159" s="569"/>
      <c r="W159" s="569"/>
      <c r="X159" s="569">
        <v>117843.4</v>
      </c>
      <c r="Y159" s="569">
        <f t="shared" si="336"/>
        <v>117843.4</v>
      </c>
      <c r="Z159" s="572">
        <f>SUM(Y159/Y164)</f>
        <v>2.2658542060140539E-2</v>
      </c>
      <c r="AA159" s="820"/>
      <c r="AB159" s="394"/>
      <c r="AC159" s="394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 ht="18.75" hidden="1" x14ac:dyDescent="0.3">
      <c r="A160" s="569" t="s">
        <v>34</v>
      </c>
      <c r="B160" s="569"/>
      <c r="C160" s="569"/>
      <c r="D160" s="569"/>
      <c r="E160" s="569"/>
      <c r="F160" s="569"/>
      <c r="G160" s="569"/>
      <c r="H160" s="569"/>
      <c r="I160" s="569"/>
      <c r="J160" s="569"/>
      <c r="K160" s="569"/>
      <c r="L160" s="569"/>
      <c r="M160" s="569"/>
      <c r="N160" s="569"/>
      <c r="O160" s="569"/>
      <c r="P160" s="569"/>
      <c r="Q160" s="569"/>
      <c r="R160" s="569"/>
      <c r="S160" s="569"/>
      <c r="T160" s="569"/>
      <c r="U160" s="569"/>
      <c r="V160" s="569"/>
      <c r="W160" s="569"/>
      <c r="X160" s="569">
        <v>98309.37</v>
      </c>
      <c r="Y160" s="569">
        <f t="shared" si="336"/>
        <v>98309.37</v>
      </c>
      <c r="Z160" s="572">
        <f>SUM(Y160/Y164)</f>
        <v>1.8902602903946408E-2</v>
      </c>
      <c r="AA160" s="820"/>
      <c r="AB160" s="394"/>
      <c r="AC160" s="394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 ht="18.75" hidden="1" x14ac:dyDescent="0.3">
      <c r="A161" s="569" t="s">
        <v>627</v>
      </c>
      <c r="B161" s="569"/>
      <c r="C161" s="569"/>
      <c r="D161" s="569"/>
      <c r="E161" s="569"/>
      <c r="F161" s="569"/>
      <c r="G161" s="569"/>
      <c r="H161" s="569"/>
      <c r="I161" s="569"/>
      <c r="J161" s="569"/>
      <c r="K161" s="569"/>
      <c r="L161" s="569"/>
      <c r="M161" s="569"/>
      <c r="N161" s="569"/>
      <c r="O161" s="569"/>
      <c r="P161" s="569"/>
      <c r="Q161" s="569"/>
      <c r="R161" s="569"/>
      <c r="S161" s="569"/>
      <c r="T161" s="569"/>
      <c r="U161" s="569"/>
      <c r="V161" s="569"/>
      <c r="W161" s="569"/>
      <c r="X161" s="569">
        <v>20291.66</v>
      </c>
      <c r="Y161" s="569">
        <f t="shared" si="336"/>
        <v>20291.66</v>
      </c>
      <c r="Z161" s="572">
        <f>SUM(Y161/Y164)</f>
        <v>3.9016137652178344E-3</v>
      </c>
      <c r="AA161" s="820"/>
      <c r="AB161" s="394"/>
      <c r="AC161" s="394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 ht="18.75" hidden="1" x14ac:dyDescent="0.3">
      <c r="A162" s="569" t="s">
        <v>52</v>
      </c>
      <c r="B162" s="569"/>
      <c r="C162" s="569"/>
      <c r="D162" s="569"/>
      <c r="E162" s="569"/>
      <c r="F162" s="569"/>
      <c r="G162" s="569"/>
      <c r="H162" s="569"/>
      <c r="I162" s="569"/>
      <c r="J162" s="569"/>
      <c r="K162" s="569"/>
      <c r="L162" s="569"/>
      <c r="M162" s="569"/>
      <c r="N162" s="569"/>
      <c r="O162" s="569"/>
      <c r="P162" s="569"/>
      <c r="Q162" s="569"/>
      <c r="R162" s="569"/>
      <c r="S162" s="569"/>
      <c r="T162" s="569"/>
      <c r="U162" s="569"/>
      <c r="V162" s="569"/>
      <c r="W162" s="569"/>
      <c r="X162" s="569">
        <v>18635.04</v>
      </c>
      <c r="Y162" s="569">
        <f t="shared" si="336"/>
        <v>18635.04</v>
      </c>
      <c r="Z162" s="572">
        <f>SUM(Y162/Y164)</f>
        <v>3.5830843104696689E-3</v>
      </c>
      <c r="AA162" s="820"/>
      <c r="AB162" s="394"/>
      <c r="AC162" s="394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 ht="18.75" hidden="1" x14ac:dyDescent="0.3">
      <c r="A163" s="569" t="s">
        <v>94</v>
      </c>
      <c r="B163" s="569"/>
      <c r="C163" s="569"/>
      <c r="D163" s="569"/>
      <c r="E163" s="569"/>
      <c r="F163" s="569"/>
      <c r="G163" s="569"/>
      <c r="H163" s="569"/>
      <c r="I163" s="569"/>
      <c r="J163" s="569"/>
      <c r="K163" s="569"/>
      <c r="L163" s="569"/>
      <c r="M163" s="569"/>
      <c r="N163" s="569"/>
      <c r="O163" s="569"/>
      <c r="P163" s="569"/>
      <c r="Q163" s="569"/>
      <c r="R163" s="569"/>
      <c r="S163" s="569"/>
      <c r="T163" s="569"/>
      <c r="U163" s="569"/>
      <c r="V163" s="569"/>
      <c r="W163" s="569"/>
      <c r="X163" s="569">
        <v>66429</v>
      </c>
      <c r="Y163" s="569">
        <f t="shared" si="336"/>
        <v>66429</v>
      </c>
      <c r="Z163" s="572">
        <f>SUM(Y163/Y164)</f>
        <v>1.277275002684135E-2</v>
      </c>
      <c r="AA163" s="820"/>
      <c r="AB163" s="394"/>
      <c r="AC163" s="394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 ht="18.75" hidden="1" x14ac:dyDescent="0.3">
      <c r="A164" s="570" t="s">
        <v>614</v>
      </c>
      <c r="B164" s="570"/>
      <c r="C164" s="570"/>
      <c r="D164" s="570"/>
      <c r="E164" s="570"/>
      <c r="F164" s="570"/>
      <c r="G164" s="570"/>
      <c r="H164" s="570"/>
      <c r="I164" s="570"/>
      <c r="J164" s="570"/>
      <c r="K164" s="570"/>
      <c r="L164" s="570"/>
      <c r="M164" s="570"/>
      <c r="N164" s="570"/>
      <c r="O164" s="570"/>
      <c r="P164" s="570"/>
      <c r="Q164" s="570"/>
      <c r="R164" s="570"/>
      <c r="S164" s="570"/>
      <c r="T164" s="570"/>
      <c r="U164" s="570"/>
      <c r="V164" s="570">
        <f t="shared" ref="V164:X164" si="337">SUM(V142:V163)</f>
        <v>3145266</v>
      </c>
      <c r="W164" s="570">
        <f t="shared" si="337"/>
        <v>0</v>
      </c>
      <c r="X164" s="570">
        <f t="shared" si="337"/>
        <v>2743798.4900000007</v>
      </c>
      <c r="Y164" s="570">
        <f>SUM(Y142:Y163)</f>
        <v>5200837.71</v>
      </c>
      <c r="Z164" s="573">
        <f>SUM(Z142:Z163)</f>
        <v>0.99999999999999967</v>
      </c>
      <c r="AA164" s="821"/>
      <c r="AB164" s="394"/>
      <c r="AC164" s="394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 ht="18.75" hidden="1" x14ac:dyDescent="0.3">
      <c r="A165" s="570" t="s">
        <v>623</v>
      </c>
      <c r="B165" s="570"/>
      <c r="C165" s="570"/>
      <c r="D165" s="570"/>
      <c r="E165" s="570"/>
      <c r="F165" s="570"/>
      <c r="G165" s="570"/>
      <c r="H165" s="570"/>
      <c r="I165" s="570"/>
      <c r="J165" s="570"/>
      <c r="K165" s="570"/>
      <c r="L165" s="570"/>
      <c r="M165" s="570"/>
      <c r="N165" s="570"/>
      <c r="O165" s="570"/>
      <c r="P165" s="570"/>
      <c r="Q165" s="570"/>
      <c r="R165" s="570"/>
      <c r="S165" s="570"/>
      <c r="T165" s="570"/>
      <c r="U165" s="570"/>
      <c r="V165" s="574" t="s">
        <v>633</v>
      </c>
      <c r="W165" s="574"/>
      <c r="X165" s="574" t="s">
        <v>628</v>
      </c>
      <c r="Y165" s="574" t="s">
        <v>280</v>
      </c>
      <c r="Z165" s="574" t="s">
        <v>44</v>
      </c>
      <c r="AA165" s="819"/>
      <c r="AB165" s="394"/>
      <c r="AC165" s="394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 ht="18.75" hidden="1" x14ac:dyDescent="0.3">
      <c r="A166" s="569" t="s">
        <v>608</v>
      </c>
      <c r="B166" s="569"/>
      <c r="C166" s="569"/>
      <c r="D166" s="569"/>
      <c r="E166" s="569"/>
      <c r="F166" s="569"/>
      <c r="G166" s="569"/>
      <c r="H166" s="569"/>
      <c r="I166" s="569"/>
      <c r="J166" s="569"/>
      <c r="K166" s="569"/>
      <c r="L166" s="569"/>
      <c r="M166" s="569"/>
      <c r="N166" s="569"/>
      <c r="O166" s="569"/>
      <c r="P166" s="569"/>
      <c r="Q166" s="569"/>
      <c r="R166" s="569"/>
      <c r="S166" s="569"/>
      <c r="T166" s="569"/>
      <c r="U166" s="569"/>
      <c r="V166" s="569"/>
      <c r="W166" s="569"/>
      <c r="X166" s="569"/>
      <c r="Y166" s="569">
        <f>SUM(V166:X166)</f>
        <v>0</v>
      </c>
      <c r="Z166" s="572">
        <f>SUM(Y166/Y175)</f>
        <v>0</v>
      </c>
      <c r="AA166" s="820"/>
      <c r="AB166" s="394"/>
      <c r="AC166" s="394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 ht="18.75" hidden="1" x14ac:dyDescent="0.3">
      <c r="A167" s="569" t="s">
        <v>609</v>
      </c>
      <c r="B167" s="569"/>
      <c r="C167" s="569"/>
      <c r="D167" s="569"/>
      <c r="E167" s="569"/>
      <c r="F167" s="569"/>
      <c r="G167" s="569"/>
      <c r="H167" s="569"/>
      <c r="I167" s="569"/>
      <c r="J167" s="569"/>
      <c r="K167" s="569"/>
      <c r="L167" s="569"/>
      <c r="M167" s="569"/>
      <c r="N167" s="569"/>
      <c r="O167" s="569"/>
      <c r="P167" s="569"/>
      <c r="Q167" s="569"/>
      <c r="R167" s="569"/>
      <c r="S167" s="569"/>
      <c r="T167" s="569"/>
      <c r="U167" s="569"/>
      <c r="V167" s="569"/>
      <c r="W167" s="569"/>
      <c r="X167" s="569"/>
      <c r="Y167" s="569">
        <f t="shared" ref="Y167:Y172" si="338">SUM(V167:X167)</f>
        <v>0</v>
      </c>
      <c r="Z167" s="572">
        <f>SUM(Y167/Y175)</f>
        <v>0</v>
      </c>
      <c r="AA167" s="820"/>
      <c r="AB167" s="394"/>
      <c r="AC167" s="394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 ht="18.75" hidden="1" x14ac:dyDescent="0.3">
      <c r="A168" s="569" t="s">
        <v>32</v>
      </c>
      <c r="B168" s="569"/>
      <c r="C168" s="569"/>
      <c r="D168" s="569"/>
      <c r="E168" s="569"/>
      <c r="F168" s="569"/>
      <c r="G168" s="569"/>
      <c r="H168" s="569"/>
      <c r="I168" s="569"/>
      <c r="J168" s="569"/>
      <c r="K168" s="569"/>
      <c r="L168" s="569"/>
      <c r="M168" s="569"/>
      <c r="N168" s="569"/>
      <c r="O168" s="569"/>
      <c r="P168" s="569"/>
      <c r="Q168" s="569"/>
      <c r="R168" s="569"/>
      <c r="S168" s="569"/>
      <c r="T168" s="569"/>
      <c r="U168" s="569"/>
      <c r="V168" s="569"/>
      <c r="W168" s="569"/>
      <c r="X168" s="569">
        <v>5084.76</v>
      </c>
      <c r="Y168" s="569">
        <f t="shared" si="338"/>
        <v>5084.76</v>
      </c>
      <c r="Z168" s="572">
        <f>SUM(Y168/Y175)</f>
        <v>7.5773820222306302E-3</v>
      </c>
      <c r="AA168" s="820"/>
      <c r="AB168" s="394"/>
      <c r="AC168" s="394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 ht="18.75" hidden="1" x14ac:dyDescent="0.3">
      <c r="A169" s="569" t="s">
        <v>74</v>
      </c>
      <c r="B169" s="569"/>
      <c r="C169" s="569"/>
      <c r="D169" s="569"/>
      <c r="E169" s="569"/>
      <c r="F169" s="569"/>
      <c r="G169" s="569"/>
      <c r="H169" s="569"/>
      <c r="I169" s="569"/>
      <c r="J169" s="569"/>
      <c r="K169" s="569"/>
      <c r="L169" s="569"/>
      <c r="M169" s="569"/>
      <c r="N169" s="569"/>
      <c r="O169" s="569"/>
      <c r="P169" s="569"/>
      <c r="Q169" s="569"/>
      <c r="R169" s="569"/>
      <c r="S169" s="569"/>
      <c r="T169" s="569"/>
      <c r="U169" s="569"/>
      <c r="V169" s="569"/>
      <c r="W169" s="569"/>
      <c r="X169" s="569">
        <v>150</v>
      </c>
      <c r="Y169" s="569">
        <f t="shared" si="338"/>
        <v>150</v>
      </c>
      <c r="Z169" s="572">
        <f>SUM(Y169/Y175)</f>
        <v>2.2353214376580105E-4</v>
      </c>
      <c r="AA169" s="820"/>
      <c r="AB169" s="394"/>
      <c r="AC169" s="394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 ht="18.75" hidden="1" x14ac:dyDescent="0.3">
      <c r="A170" s="569" t="s">
        <v>635</v>
      </c>
      <c r="B170" s="569"/>
      <c r="C170" s="569"/>
      <c r="D170" s="569"/>
      <c r="E170" s="569"/>
      <c r="F170" s="569"/>
      <c r="G170" s="569"/>
      <c r="H170" s="569"/>
      <c r="I170" s="569"/>
      <c r="J170" s="569"/>
      <c r="K170" s="569"/>
      <c r="L170" s="569"/>
      <c r="M170" s="569"/>
      <c r="N170" s="569"/>
      <c r="O170" s="569"/>
      <c r="P170" s="569"/>
      <c r="Q170" s="569"/>
      <c r="R170" s="569"/>
      <c r="S170" s="569"/>
      <c r="T170" s="569"/>
      <c r="U170" s="569"/>
      <c r="V170" s="569"/>
      <c r="W170" s="569"/>
      <c r="X170" s="569">
        <v>15308.21</v>
      </c>
      <c r="Y170" s="569">
        <f t="shared" si="338"/>
        <v>15308.21</v>
      </c>
      <c r="Z170" s="572">
        <f>SUM(Y170/Y175)</f>
        <v>2.2812513323447154E-2</v>
      </c>
      <c r="AA170" s="820"/>
      <c r="AB170" s="394"/>
      <c r="AC170" s="394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 ht="18.75" hidden="1" x14ac:dyDescent="0.3">
      <c r="A171" s="569" t="s">
        <v>613</v>
      </c>
      <c r="B171" s="569"/>
      <c r="C171" s="569"/>
      <c r="D171" s="569"/>
      <c r="E171" s="569"/>
      <c r="F171" s="569"/>
      <c r="G171" s="569"/>
      <c r="H171" s="569"/>
      <c r="I171" s="569"/>
      <c r="J171" s="569"/>
      <c r="K171" s="569"/>
      <c r="L171" s="569"/>
      <c r="M171" s="569"/>
      <c r="N171" s="569"/>
      <c r="O171" s="569"/>
      <c r="P171" s="569"/>
      <c r="Q171" s="569"/>
      <c r="R171" s="569"/>
      <c r="S171" s="569"/>
      <c r="T171" s="569"/>
      <c r="U171" s="569"/>
      <c r="V171" s="569"/>
      <c r="W171" s="569"/>
      <c r="X171" s="569">
        <v>594746.84</v>
      </c>
      <c r="Y171" s="569">
        <f t="shared" si="338"/>
        <v>594746.84</v>
      </c>
      <c r="Z171" s="572">
        <f>SUM(Y171/Y175)</f>
        <v>0.88630024095423909</v>
      </c>
      <c r="AA171" s="820"/>
      <c r="AB171" s="394"/>
      <c r="AC171" s="394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 ht="18.75" hidden="1" x14ac:dyDescent="0.3">
      <c r="A172" s="569" t="s">
        <v>624</v>
      </c>
      <c r="B172" s="569"/>
      <c r="C172" s="569"/>
      <c r="D172" s="569"/>
      <c r="E172" s="569"/>
      <c r="F172" s="569"/>
      <c r="G172" s="569"/>
      <c r="H172" s="569"/>
      <c r="I172" s="569"/>
      <c r="J172" s="569"/>
      <c r="K172" s="569"/>
      <c r="L172" s="569"/>
      <c r="M172" s="569"/>
      <c r="N172" s="569"/>
      <c r="O172" s="569"/>
      <c r="P172" s="569"/>
      <c r="Q172" s="569"/>
      <c r="R172" s="569"/>
      <c r="S172" s="569"/>
      <c r="T172" s="569"/>
      <c r="U172" s="569"/>
      <c r="V172" s="569"/>
      <c r="W172" s="569"/>
      <c r="X172" s="569">
        <v>7460</v>
      </c>
      <c r="Y172" s="569">
        <f t="shared" si="338"/>
        <v>7460</v>
      </c>
      <c r="Z172" s="572">
        <f>SUM(Y172/Y175)</f>
        <v>1.1116998616619172E-2</v>
      </c>
      <c r="AA172" s="820"/>
      <c r="AB172" s="394"/>
      <c r="AC172" s="394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 ht="18.75" hidden="1" x14ac:dyDescent="0.3">
      <c r="A173" s="569" t="s">
        <v>588</v>
      </c>
      <c r="B173" s="569"/>
      <c r="C173" s="569"/>
      <c r="D173" s="569"/>
      <c r="E173" s="569"/>
      <c r="F173" s="569"/>
      <c r="G173" s="569"/>
      <c r="H173" s="569"/>
      <c r="I173" s="569"/>
      <c r="J173" s="569"/>
      <c r="K173" s="569"/>
      <c r="L173" s="569"/>
      <c r="M173" s="569"/>
      <c r="N173" s="569"/>
      <c r="O173" s="569"/>
      <c r="P173" s="569"/>
      <c r="Q173" s="569"/>
      <c r="R173" s="569"/>
      <c r="S173" s="569"/>
      <c r="T173" s="569"/>
      <c r="U173" s="569"/>
      <c r="V173" s="569"/>
      <c r="W173" s="569"/>
      <c r="X173" s="569">
        <v>46310.07</v>
      </c>
      <c r="Y173" s="569">
        <f t="shared" ref="Y173:Y174" si="339">SUM(V173:X173)</f>
        <v>46310.07</v>
      </c>
      <c r="Z173" s="572">
        <f>SUM(Y173/Y175)</f>
        <v>6.9011928166962069E-2</v>
      </c>
      <c r="AA173" s="820"/>
      <c r="AB173" s="394"/>
      <c r="AC173" s="394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 ht="18.75" hidden="1" x14ac:dyDescent="0.3">
      <c r="A174" s="569" t="s">
        <v>34</v>
      </c>
      <c r="B174" s="569"/>
      <c r="C174" s="569"/>
      <c r="D174" s="569"/>
      <c r="E174" s="569"/>
      <c r="F174" s="569"/>
      <c r="G174" s="569"/>
      <c r="H174" s="569"/>
      <c r="I174" s="569"/>
      <c r="J174" s="569"/>
      <c r="K174" s="569"/>
      <c r="L174" s="569"/>
      <c r="M174" s="569"/>
      <c r="N174" s="569"/>
      <c r="O174" s="569"/>
      <c r="P174" s="569"/>
      <c r="Q174" s="569"/>
      <c r="R174" s="569"/>
      <c r="S174" s="569"/>
      <c r="T174" s="569"/>
      <c r="U174" s="569"/>
      <c r="V174" s="569"/>
      <c r="W174" s="569"/>
      <c r="X174" s="569">
        <v>1984.55</v>
      </c>
      <c r="Y174" s="569">
        <f t="shared" si="339"/>
        <v>1984.55</v>
      </c>
      <c r="Z174" s="572">
        <f>SUM(Y174/Y175)</f>
        <v>2.9574047727361362E-3</v>
      </c>
      <c r="AA174" s="820"/>
      <c r="AB174" s="394"/>
      <c r="AC174" s="394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 ht="18.75" hidden="1" x14ac:dyDescent="0.3">
      <c r="A175" s="570" t="s">
        <v>614</v>
      </c>
      <c r="B175" s="570"/>
      <c r="C175" s="570"/>
      <c r="D175" s="570"/>
      <c r="E175" s="570"/>
      <c r="F175" s="570"/>
      <c r="G175" s="570"/>
      <c r="H175" s="570"/>
      <c r="I175" s="570"/>
      <c r="J175" s="570"/>
      <c r="K175" s="570"/>
      <c r="L175" s="570"/>
      <c r="M175" s="570"/>
      <c r="N175" s="570"/>
      <c r="O175" s="570"/>
      <c r="P175" s="570"/>
      <c r="Q175" s="570"/>
      <c r="R175" s="570"/>
      <c r="S175" s="570"/>
      <c r="T175" s="570"/>
      <c r="U175" s="570"/>
      <c r="V175" s="570">
        <f t="shared" ref="V175:X175" si="340">SUM(V166:V174)</f>
        <v>0</v>
      </c>
      <c r="W175" s="570">
        <f t="shared" si="340"/>
        <v>0</v>
      </c>
      <c r="X175" s="570">
        <f t="shared" si="340"/>
        <v>671044.42999999993</v>
      </c>
      <c r="Y175" s="570">
        <f>SUM(Y166:Y174)</f>
        <v>671044.42999999993</v>
      </c>
      <c r="Z175" s="573">
        <f>SUM(Z166:Z174)</f>
        <v>1.0000000000000002</v>
      </c>
      <c r="AA175" s="821"/>
      <c r="AB175" s="394"/>
      <c r="AC175" s="394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 ht="18.75" hidden="1" x14ac:dyDescent="0.3">
      <c r="A176" s="570" t="s">
        <v>629</v>
      </c>
      <c r="B176" s="570"/>
      <c r="C176" s="570"/>
      <c r="D176" s="570"/>
      <c r="E176" s="570"/>
      <c r="F176" s="570"/>
      <c r="G176" s="570"/>
      <c r="H176" s="570"/>
      <c r="I176" s="570"/>
      <c r="J176" s="570"/>
      <c r="K176" s="570"/>
      <c r="L176" s="570"/>
      <c r="M176" s="570"/>
      <c r="N176" s="570"/>
      <c r="O176" s="570"/>
      <c r="P176" s="570"/>
      <c r="Q176" s="570"/>
      <c r="R176" s="570"/>
      <c r="S176" s="570"/>
      <c r="T176" s="570"/>
      <c r="U176" s="570"/>
      <c r="V176" s="574" t="s">
        <v>630</v>
      </c>
      <c r="W176" s="574"/>
      <c r="X176" s="574" t="s">
        <v>149</v>
      </c>
      <c r="Y176" s="574" t="s">
        <v>280</v>
      </c>
      <c r="Z176" s="574" t="s">
        <v>44</v>
      </c>
      <c r="AA176" s="819"/>
      <c r="AB176" s="394"/>
      <c r="AC176" s="394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 ht="18.75" hidden="1" x14ac:dyDescent="0.3">
      <c r="A177" s="569" t="s">
        <v>608</v>
      </c>
      <c r="B177" s="569"/>
      <c r="C177" s="569"/>
      <c r="D177" s="569"/>
      <c r="E177" s="569"/>
      <c r="F177" s="569"/>
      <c r="G177" s="569"/>
      <c r="H177" s="569"/>
      <c r="I177" s="569"/>
      <c r="J177" s="569"/>
      <c r="K177" s="569"/>
      <c r="L177" s="569"/>
      <c r="M177" s="569"/>
      <c r="N177" s="569"/>
      <c r="O177" s="569"/>
      <c r="P177" s="569"/>
      <c r="Q177" s="569"/>
      <c r="R177" s="569"/>
      <c r="S177" s="569"/>
      <c r="T177" s="569"/>
      <c r="U177" s="569"/>
      <c r="V177" s="569">
        <v>1594083.26</v>
      </c>
      <c r="W177" s="569"/>
      <c r="X177" s="569"/>
      <c r="Y177" s="569">
        <f>SUM(V177:X177)</f>
        <v>1594083.26</v>
      </c>
      <c r="Z177" s="572">
        <f>SUM(Y177/Y184)</f>
        <v>0.70013013790776046</v>
      </c>
      <c r="AA177" s="820"/>
      <c r="AB177" s="394"/>
      <c r="AC177" s="394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 ht="18.75" hidden="1" x14ac:dyDescent="0.3">
      <c r="A178" s="569" t="s">
        <v>609</v>
      </c>
      <c r="B178" s="569"/>
      <c r="C178" s="569"/>
      <c r="D178" s="569"/>
      <c r="E178" s="569"/>
      <c r="F178" s="569"/>
      <c r="G178" s="569"/>
      <c r="H178" s="569"/>
      <c r="I178" s="569"/>
      <c r="J178" s="569"/>
      <c r="K178" s="569"/>
      <c r="L178" s="569"/>
      <c r="M178" s="569"/>
      <c r="N178" s="569"/>
      <c r="O178" s="569"/>
      <c r="P178" s="569"/>
      <c r="Q178" s="569"/>
      <c r="R178" s="569"/>
      <c r="S178" s="569"/>
      <c r="T178" s="569"/>
      <c r="U178" s="569"/>
      <c r="V178" s="569">
        <v>479160.57</v>
      </c>
      <c r="W178" s="569"/>
      <c r="X178" s="569"/>
      <c r="Y178" s="569">
        <f t="shared" ref="Y178:Y179" si="341">SUM(V178:X178)</f>
        <v>479160.57</v>
      </c>
      <c r="Z178" s="572">
        <f>SUM(Y178/Y184)</f>
        <v>0.21044995852604406</v>
      </c>
      <c r="AA178" s="820"/>
      <c r="AB178" s="394"/>
      <c r="AC178" s="394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 ht="18.75" hidden="1" x14ac:dyDescent="0.3">
      <c r="A179" s="569" t="s">
        <v>74</v>
      </c>
      <c r="B179" s="569"/>
      <c r="C179" s="569"/>
      <c r="D179" s="569"/>
      <c r="E179" s="569"/>
      <c r="F179" s="569"/>
      <c r="G179" s="569"/>
      <c r="H179" s="569"/>
      <c r="I179" s="569"/>
      <c r="J179" s="569"/>
      <c r="K179" s="569"/>
      <c r="L179" s="569"/>
      <c r="M179" s="569"/>
      <c r="N179" s="569"/>
      <c r="O179" s="569"/>
      <c r="P179" s="569"/>
      <c r="Q179" s="569"/>
      <c r="R179" s="569"/>
      <c r="S179" s="569"/>
      <c r="T179" s="569"/>
      <c r="U179" s="569"/>
      <c r="V179" s="569"/>
      <c r="W179" s="569"/>
      <c r="X179" s="569">
        <v>60</v>
      </c>
      <c r="Y179" s="569">
        <f t="shared" si="341"/>
        <v>60</v>
      </c>
      <c r="Z179" s="575">
        <f>SUM(Y179/Y184)</f>
        <v>2.6352330100038579E-5</v>
      </c>
      <c r="AA179" s="822"/>
      <c r="AB179" s="394"/>
      <c r="AC179" s="394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 ht="18.75" hidden="1" x14ac:dyDescent="0.3">
      <c r="A180" s="569" t="s">
        <v>588</v>
      </c>
      <c r="B180" s="569"/>
      <c r="C180" s="569"/>
      <c r="D180" s="569"/>
      <c r="E180" s="569"/>
      <c r="F180" s="569"/>
      <c r="G180" s="569"/>
      <c r="H180" s="569"/>
      <c r="I180" s="569"/>
      <c r="J180" s="569"/>
      <c r="K180" s="569"/>
      <c r="L180" s="569"/>
      <c r="M180" s="569"/>
      <c r="N180" s="569"/>
      <c r="O180" s="569"/>
      <c r="P180" s="569"/>
      <c r="Q180" s="569"/>
      <c r="R180" s="569"/>
      <c r="S180" s="569"/>
      <c r="T180" s="569"/>
      <c r="U180" s="569"/>
      <c r="V180" s="569"/>
      <c r="W180" s="569"/>
      <c r="X180" s="569">
        <v>140992.44</v>
      </c>
      <c r="Y180" s="569">
        <f t="shared" ref="Y180:Y183" si="342">SUM(V180:X180)</f>
        <v>140992.44</v>
      </c>
      <c r="Z180" s="572">
        <f>SUM(Y180/Y184)</f>
        <v>6.1924655341498061E-2</v>
      </c>
      <c r="AA180" s="820"/>
      <c r="AB180" s="394"/>
      <c r="AC180" s="394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 ht="18.75" hidden="1" x14ac:dyDescent="0.3">
      <c r="A181" s="569" t="s">
        <v>612</v>
      </c>
      <c r="B181" s="569"/>
      <c r="C181" s="569"/>
      <c r="D181" s="569"/>
      <c r="E181" s="569"/>
      <c r="F181" s="569"/>
      <c r="G181" s="569"/>
      <c r="H181" s="569"/>
      <c r="I181" s="569"/>
      <c r="J181" s="569"/>
      <c r="K181" s="569"/>
      <c r="L181" s="569"/>
      <c r="M181" s="569"/>
      <c r="N181" s="569"/>
      <c r="O181" s="569"/>
      <c r="P181" s="569"/>
      <c r="Q181" s="569"/>
      <c r="R181" s="569"/>
      <c r="S181" s="569"/>
      <c r="T181" s="569"/>
      <c r="U181" s="569"/>
      <c r="V181" s="569"/>
      <c r="W181" s="569"/>
      <c r="X181" s="569">
        <v>42438</v>
      </c>
      <c r="Y181" s="569">
        <f t="shared" si="342"/>
        <v>42438</v>
      </c>
      <c r="Z181" s="572">
        <f>SUM(Y181/Y184)</f>
        <v>1.8639003079757289E-2</v>
      </c>
      <c r="AA181" s="820"/>
      <c r="AB181" s="394"/>
      <c r="AC181" s="394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 ht="18.75" hidden="1" x14ac:dyDescent="0.3">
      <c r="A182" s="569" t="s">
        <v>34</v>
      </c>
      <c r="B182" s="569"/>
      <c r="C182" s="569"/>
      <c r="D182" s="569"/>
      <c r="E182" s="569"/>
      <c r="F182" s="569"/>
      <c r="G182" s="569"/>
      <c r="H182" s="569"/>
      <c r="I182" s="569"/>
      <c r="J182" s="569"/>
      <c r="K182" s="569"/>
      <c r="L182" s="569"/>
      <c r="M182" s="569"/>
      <c r="N182" s="569"/>
      <c r="O182" s="569"/>
      <c r="P182" s="569"/>
      <c r="Q182" s="569"/>
      <c r="R182" s="569"/>
      <c r="S182" s="569"/>
      <c r="T182" s="569"/>
      <c r="U182" s="569"/>
      <c r="V182" s="569"/>
      <c r="W182" s="569"/>
      <c r="X182" s="569">
        <v>15905.29</v>
      </c>
      <c r="Y182" s="569">
        <f t="shared" si="342"/>
        <v>15905.29</v>
      </c>
      <c r="Z182" s="572">
        <f>SUM(Y182/Y184)</f>
        <v>6.9856908736140441E-3</v>
      </c>
      <c r="AA182" s="820"/>
      <c r="AB182" s="394"/>
      <c r="AC182" s="394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 ht="18.75" hidden="1" x14ac:dyDescent="0.3">
      <c r="A183" s="569" t="s">
        <v>52</v>
      </c>
      <c r="B183" s="569"/>
      <c r="C183" s="569"/>
      <c r="D183" s="569"/>
      <c r="E183" s="569"/>
      <c r="F183" s="569"/>
      <c r="G183" s="569"/>
      <c r="H183" s="569"/>
      <c r="I183" s="569"/>
      <c r="J183" s="569"/>
      <c r="K183" s="569"/>
      <c r="L183" s="569"/>
      <c r="M183" s="569"/>
      <c r="N183" s="569"/>
      <c r="O183" s="569"/>
      <c r="P183" s="569"/>
      <c r="Q183" s="569"/>
      <c r="R183" s="569"/>
      <c r="S183" s="569"/>
      <c r="T183" s="569"/>
      <c r="U183" s="569"/>
      <c r="V183" s="569"/>
      <c r="W183" s="569"/>
      <c r="X183" s="569">
        <v>4198.95</v>
      </c>
      <c r="Y183" s="569">
        <f t="shared" si="342"/>
        <v>4198.95</v>
      </c>
      <c r="Z183" s="572">
        <f>SUM(Y183/Y184)</f>
        <v>1.84420194122595E-3</v>
      </c>
      <c r="AA183" s="820"/>
      <c r="AB183" s="394"/>
      <c r="AC183" s="394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 ht="18.75" hidden="1" x14ac:dyDescent="0.3">
      <c r="A184" s="570" t="s">
        <v>614</v>
      </c>
      <c r="B184" s="570"/>
      <c r="C184" s="570"/>
      <c r="D184" s="570"/>
      <c r="E184" s="570"/>
      <c r="F184" s="570"/>
      <c r="G184" s="570"/>
      <c r="H184" s="570"/>
      <c r="I184" s="570"/>
      <c r="J184" s="570"/>
      <c r="K184" s="570"/>
      <c r="L184" s="570"/>
      <c r="M184" s="570"/>
      <c r="N184" s="570"/>
      <c r="O184" s="570"/>
      <c r="P184" s="570"/>
      <c r="Q184" s="570"/>
      <c r="R184" s="570"/>
      <c r="S184" s="570"/>
      <c r="T184" s="570"/>
      <c r="U184" s="570"/>
      <c r="V184" s="570">
        <f t="shared" ref="V184:X184" si="343">SUM(V177:V183)</f>
        <v>2073243.83</v>
      </c>
      <c r="W184" s="570">
        <f t="shared" si="343"/>
        <v>0</v>
      </c>
      <c r="X184" s="570">
        <f t="shared" si="343"/>
        <v>203594.68000000002</v>
      </c>
      <c r="Y184" s="570">
        <f>SUM(Y177:Y183)</f>
        <v>2276838.5100000002</v>
      </c>
      <c r="Z184" s="573">
        <f>SUM(Z177:Z183)</f>
        <v>0.99999999999999989</v>
      </c>
      <c r="AA184" s="821"/>
      <c r="AB184" s="394"/>
      <c r="AC184" s="394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1"/>
      <c r="T185" s="391"/>
      <c r="U185" s="391"/>
      <c r="V185" s="394"/>
      <c r="W185" s="5"/>
      <c r="X185" s="394"/>
      <c r="Y185" s="394"/>
      <c r="Z185" s="394"/>
      <c r="AA185" s="394"/>
      <c r="AB185" s="394"/>
      <c r="AC185" s="394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1"/>
      <c r="T186" s="391"/>
      <c r="U186" s="391"/>
      <c r="V186" s="394"/>
      <c r="W186" s="5"/>
      <c r="X186" s="394"/>
      <c r="Y186" s="394"/>
      <c r="Z186" s="394"/>
      <c r="AA186" s="394"/>
      <c r="AB186" s="394"/>
      <c r="AC186" s="394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1"/>
      <c r="T187" s="391"/>
      <c r="U187" s="391"/>
      <c r="V187" s="394"/>
      <c r="W187" s="5"/>
      <c r="X187" s="394"/>
      <c r="Y187" s="394"/>
      <c r="Z187" s="394"/>
      <c r="AA187" s="394"/>
      <c r="AB187" s="394"/>
      <c r="AC187" s="394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1"/>
      <c r="T188" s="391"/>
      <c r="U188" s="391"/>
      <c r="V188" s="394"/>
      <c r="W188" s="5"/>
      <c r="X188" s="394"/>
      <c r="Y188" s="394"/>
      <c r="Z188" s="394"/>
      <c r="AA188" s="394"/>
      <c r="AB188" s="394"/>
      <c r="AC188" s="394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1"/>
      <c r="T189" s="391"/>
      <c r="U189" s="391"/>
      <c r="V189" s="394"/>
      <c r="W189" s="5"/>
      <c r="X189" s="394"/>
      <c r="Y189" s="394"/>
      <c r="Z189" s="394"/>
      <c r="AA189" s="394"/>
      <c r="AB189" s="394"/>
      <c r="AC189" s="394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1"/>
      <c r="T190" s="391"/>
      <c r="U190" s="391"/>
      <c r="V190" s="394"/>
      <c r="W190" s="5"/>
      <c r="X190" s="394"/>
      <c r="Y190" s="394"/>
      <c r="Z190" s="394"/>
      <c r="AA190" s="394"/>
      <c r="AB190" s="394"/>
      <c r="AC190" s="394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1"/>
      <c r="T191" s="391"/>
      <c r="U191" s="391"/>
      <c r="V191" s="394"/>
      <c r="W191" s="5"/>
      <c r="X191" s="394"/>
      <c r="Y191" s="394"/>
      <c r="Z191" s="394"/>
      <c r="AA191" s="394"/>
      <c r="AB191" s="394"/>
      <c r="AC191" s="394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1"/>
      <c r="T192" s="391"/>
      <c r="U192" s="391"/>
      <c r="V192" s="394"/>
      <c r="W192" s="5"/>
      <c r="X192" s="394"/>
      <c r="Y192" s="394"/>
      <c r="Z192" s="394"/>
      <c r="AA192" s="394"/>
      <c r="AB192" s="394"/>
      <c r="AC192" s="394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1"/>
      <c r="T193" s="391"/>
      <c r="U193" s="391"/>
      <c r="V193" s="394"/>
      <c r="W193" s="5"/>
      <c r="X193" s="394"/>
      <c r="Y193" s="394"/>
      <c r="Z193" s="394"/>
      <c r="AA193" s="394"/>
      <c r="AB193" s="394"/>
      <c r="AC193" s="394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1"/>
      <c r="T194" s="391"/>
      <c r="U194" s="391"/>
      <c r="V194" s="394"/>
      <c r="W194" s="5"/>
      <c r="X194" s="394"/>
      <c r="Y194" s="394"/>
      <c r="Z194" s="394"/>
      <c r="AA194" s="394"/>
      <c r="AB194" s="394"/>
      <c r="AC194" s="394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1"/>
      <c r="T195" s="391"/>
      <c r="U195" s="391"/>
      <c r="V195" s="394"/>
      <c r="W195" s="5"/>
      <c r="X195" s="394"/>
      <c r="Y195" s="394"/>
      <c r="Z195" s="394"/>
      <c r="AA195" s="394"/>
      <c r="AB195" s="394"/>
      <c r="AC195" s="394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1"/>
      <c r="T196" s="391"/>
      <c r="U196" s="391"/>
      <c r="V196" s="394"/>
      <c r="W196" s="5"/>
      <c r="X196" s="394"/>
      <c r="Y196" s="394"/>
      <c r="Z196" s="394"/>
      <c r="AA196" s="394"/>
      <c r="AB196" s="394"/>
      <c r="AC196" s="394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1"/>
      <c r="T197" s="391"/>
      <c r="U197" s="391"/>
      <c r="V197" s="394"/>
      <c r="W197" s="5"/>
      <c r="X197" s="394"/>
      <c r="Y197" s="394"/>
      <c r="Z197" s="394"/>
      <c r="AA197" s="394"/>
      <c r="AB197" s="394"/>
      <c r="AC197" s="394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1"/>
      <c r="T198" s="391"/>
      <c r="U198" s="391"/>
      <c r="V198" s="394"/>
      <c r="W198" s="5"/>
      <c r="X198" s="394"/>
      <c r="Y198" s="394"/>
      <c r="Z198" s="394"/>
      <c r="AA198" s="394"/>
      <c r="AB198" s="394"/>
      <c r="AC198" s="394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1"/>
      <c r="T199" s="391"/>
      <c r="U199" s="391"/>
      <c r="V199" s="394"/>
      <c r="W199" s="5"/>
      <c r="X199" s="394"/>
      <c r="Y199" s="394"/>
      <c r="Z199" s="394"/>
      <c r="AA199" s="394"/>
      <c r="AB199" s="394"/>
      <c r="AC199" s="394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1"/>
      <c r="T200" s="391"/>
      <c r="U200" s="391"/>
      <c r="V200" s="394"/>
      <c r="W200" s="5"/>
      <c r="X200" s="394"/>
      <c r="Y200" s="394"/>
      <c r="Z200" s="394"/>
      <c r="AA200" s="394"/>
      <c r="AB200" s="394"/>
      <c r="AC200" s="394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1"/>
      <c r="T201" s="391"/>
      <c r="U201" s="391"/>
      <c r="V201" s="394"/>
      <c r="W201" s="5"/>
      <c r="X201" s="394"/>
      <c r="Y201" s="394"/>
      <c r="Z201" s="394"/>
      <c r="AA201" s="394"/>
      <c r="AB201" s="394"/>
      <c r="AC201" s="394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1"/>
      <c r="T202" s="391"/>
      <c r="U202" s="391"/>
      <c r="V202" s="394"/>
      <c r="W202" s="5"/>
      <c r="X202" s="394"/>
      <c r="Y202" s="394"/>
      <c r="Z202" s="394"/>
      <c r="AA202" s="394"/>
      <c r="AB202" s="394"/>
      <c r="AC202" s="394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1"/>
      <c r="T203" s="391"/>
      <c r="U203" s="391"/>
      <c r="V203" s="394"/>
      <c r="W203" s="5"/>
      <c r="X203" s="394"/>
      <c r="Y203" s="394"/>
      <c r="Z203" s="394"/>
      <c r="AA203" s="394"/>
      <c r="AB203" s="394"/>
      <c r="AC203" s="394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1"/>
      <c r="T204" s="391"/>
      <c r="U204" s="391"/>
      <c r="V204" s="394"/>
      <c r="W204" s="5"/>
      <c r="X204" s="394"/>
      <c r="Y204" s="394"/>
      <c r="Z204" s="394"/>
      <c r="AA204" s="394"/>
      <c r="AB204" s="394"/>
      <c r="AC204" s="394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1"/>
      <c r="T205" s="391"/>
      <c r="U205" s="391"/>
      <c r="V205" s="394"/>
      <c r="W205" s="5"/>
      <c r="X205" s="394"/>
      <c r="Y205" s="394"/>
      <c r="Z205" s="394"/>
      <c r="AA205" s="394"/>
      <c r="AB205" s="394"/>
      <c r="AC205" s="394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1"/>
      <c r="T206" s="391"/>
      <c r="U206" s="391"/>
      <c r="V206" s="394"/>
      <c r="W206" s="5"/>
      <c r="X206" s="394"/>
      <c r="Y206" s="394"/>
      <c r="Z206" s="394"/>
      <c r="AA206" s="394"/>
      <c r="AB206" s="394"/>
      <c r="AC206" s="394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1"/>
      <c r="T207" s="391"/>
      <c r="U207" s="391"/>
      <c r="V207" s="394"/>
      <c r="W207" s="5"/>
      <c r="X207" s="394"/>
      <c r="Y207" s="394"/>
      <c r="Z207" s="394"/>
      <c r="AA207" s="394"/>
      <c r="AB207" s="394"/>
      <c r="AC207" s="394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1"/>
      <c r="T208" s="391"/>
      <c r="U208" s="391"/>
      <c r="V208" s="394"/>
      <c r="W208" s="5"/>
      <c r="X208" s="394"/>
      <c r="Y208" s="394"/>
      <c r="Z208" s="394"/>
      <c r="AA208" s="394"/>
      <c r="AB208" s="394"/>
      <c r="AC208" s="394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1"/>
      <c r="T209" s="391"/>
      <c r="U209" s="391"/>
      <c r="V209" s="394"/>
      <c r="W209" s="5"/>
      <c r="X209" s="394"/>
      <c r="Y209" s="394"/>
      <c r="Z209" s="394"/>
      <c r="AA209" s="394"/>
      <c r="AB209" s="394"/>
      <c r="AC209" s="394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  <row r="210" spans="1:48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1"/>
      <c r="T210" s="391"/>
      <c r="U210" s="391"/>
      <c r="V210" s="394"/>
      <c r="W210" s="5"/>
      <c r="X210" s="394"/>
      <c r="Y210" s="394"/>
      <c r="Z210" s="394"/>
      <c r="AA210" s="394"/>
      <c r="AB210" s="394"/>
      <c r="AC210" s="394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</row>
    <row r="211" spans="1:48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1"/>
      <c r="T211" s="391"/>
      <c r="U211" s="391"/>
      <c r="V211" s="394"/>
      <c r="W211" s="5"/>
      <c r="X211" s="394"/>
      <c r="Y211" s="394"/>
      <c r="Z211" s="394"/>
      <c r="AA211" s="394"/>
      <c r="AB211" s="394"/>
      <c r="AC211" s="394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</row>
    <row r="212" spans="1:48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1"/>
      <c r="T212" s="391"/>
      <c r="U212" s="391"/>
      <c r="V212" s="394"/>
      <c r="W212" s="5"/>
      <c r="X212" s="394"/>
      <c r="Y212" s="394"/>
      <c r="Z212" s="394"/>
      <c r="AA212" s="394"/>
      <c r="AB212" s="394"/>
      <c r="AC212" s="394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</row>
    <row r="213" spans="1:48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1"/>
      <c r="T213" s="391"/>
      <c r="U213" s="391"/>
      <c r="V213" s="394"/>
      <c r="W213" s="5"/>
      <c r="X213" s="394"/>
      <c r="Y213" s="394"/>
      <c r="Z213" s="394"/>
      <c r="AA213" s="394"/>
      <c r="AB213" s="394"/>
      <c r="AC213" s="394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</row>
    <row r="214" spans="1:48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1"/>
      <c r="T214" s="391"/>
      <c r="U214" s="391"/>
      <c r="V214" s="394"/>
      <c r="W214" s="5"/>
      <c r="X214" s="394"/>
      <c r="Y214" s="394"/>
      <c r="Z214" s="394"/>
      <c r="AA214" s="394"/>
      <c r="AB214" s="394"/>
      <c r="AC214" s="394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</row>
    <row r="215" spans="1:48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1"/>
      <c r="T215" s="391"/>
      <c r="U215" s="391"/>
      <c r="V215" s="394"/>
      <c r="W215" s="5"/>
      <c r="X215" s="394"/>
      <c r="Y215" s="394"/>
      <c r="Z215" s="394"/>
      <c r="AA215" s="394"/>
      <c r="AB215" s="394"/>
      <c r="AC215" s="394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</row>
    <row r="216" spans="1:48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1"/>
      <c r="T216" s="391"/>
      <c r="U216" s="391"/>
      <c r="V216" s="394"/>
      <c r="W216" s="5"/>
      <c r="X216" s="394"/>
      <c r="Y216" s="394"/>
      <c r="Z216" s="394"/>
      <c r="AA216" s="394"/>
      <c r="AB216" s="394"/>
      <c r="AC216" s="394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</row>
    <row r="217" spans="1:48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1"/>
      <c r="T217" s="391"/>
      <c r="U217" s="391"/>
      <c r="V217" s="394"/>
      <c r="W217" s="5"/>
      <c r="X217" s="394"/>
      <c r="Y217" s="394"/>
      <c r="Z217" s="394"/>
      <c r="AA217" s="394"/>
      <c r="AB217" s="394"/>
      <c r="AC217" s="394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</row>
    <row r="218" spans="1:48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1"/>
      <c r="T218" s="391"/>
      <c r="U218" s="391"/>
      <c r="V218" s="394"/>
      <c r="W218" s="5"/>
      <c r="X218" s="394"/>
      <c r="Y218" s="394"/>
      <c r="Z218" s="394"/>
      <c r="AA218" s="394"/>
      <c r="AB218" s="394"/>
      <c r="AC218" s="394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</row>
    <row r="219" spans="1:48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1"/>
      <c r="T219" s="391"/>
      <c r="U219" s="391"/>
      <c r="V219" s="394"/>
      <c r="W219" s="5"/>
      <c r="X219" s="394"/>
      <c r="Y219" s="394"/>
      <c r="Z219" s="394"/>
      <c r="AA219" s="394"/>
      <c r="AB219" s="394"/>
      <c r="AC219" s="394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</row>
    <row r="220" spans="1:48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1"/>
      <c r="T220" s="391"/>
      <c r="U220" s="391"/>
      <c r="V220" s="394"/>
      <c r="W220" s="5"/>
      <c r="X220" s="394"/>
      <c r="Y220" s="394"/>
      <c r="Z220" s="394"/>
      <c r="AA220" s="394"/>
      <c r="AB220" s="394"/>
      <c r="AC220" s="394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</row>
    <row r="221" spans="1:48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1"/>
      <c r="T221" s="391"/>
      <c r="U221" s="391"/>
      <c r="V221" s="394"/>
      <c r="W221" s="5"/>
      <c r="X221" s="394"/>
      <c r="Y221" s="394"/>
      <c r="Z221" s="394"/>
      <c r="AA221" s="394"/>
      <c r="AB221" s="394"/>
      <c r="AC221" s="394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</row>
    <row r="222" spans="1:48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1"/>
      <c r="T222" s="391"/>
      <c r="U222" s="391"/>
      <c r="V222" s="394"/>
      <c r="W222" s="5"/>
      <c r="X222" s="394"/>
      <c r="Y222" s="394"/>
      <c r="Z222" s="394"/>
      <c r="AA222" s="394"/>
      <c r="AB222" s="394"/>
      <c r="AC222" s="394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</row>
    <row r="223" spans="1:48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1"/>
      <c r="T223" s="391"/>
      <c r="U223" s="391"/>
      <c r="V223" s="394"/>
      <c r="W223" s="5"/>
      <c r="X223" s="394"/>
      <c r="Y223" s="394"/>
      <c r="Z223" s="394"/>
      <c r="AA223" s="394"/>
      <c r="AB223" s="394"/>
      <c r="AC223" s="394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</row>
    <row r="224" spans="1:48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1"/>
      <c r="T224" s="391"/>
      <c r="U224" s="391"/>
      <c r="V224" s="394"/>
      <c r="W224" s="5"/>
      <c r="X224" s="394"/>
      <c r="Y224" s="394"/>
      <c r="Z224" s="394"/>
      <c r="AA224" s="394"/>
      <c r="AB224" s="394"/>
      <c r="AC224" s="394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</row>
    <row r="225" spans="1:48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1"/>
      <c r="T225" s="391"/>
      <c r="U225" s="391"/>
      <c r="V225" s="394"/>
      <c r="W225" s="5"/>
      <c r="X225" s="394"/>
      <c r="Y225" s="394"/>
      <c r="Z225" s="394"/>
      <c r="AA225" s="394"/>
      <c r="AB225" s="394"/>
      <c r="AC225" s="394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</row>
    <row r="226" spans="1:48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1"/>
      <c r="T226" s="391"/>
      <c r="U226" s="391"/>
      <c r="V226" s="394"/>
      <c r="W226" s="5"/>
      <c r="X226" s="394"/>
      <c r="Y226" s="394"/>
      <c r="Z226" s="394"/>
      <c r="AA226" s="394"/>
      <c r="AB226" s="394"/>
      <c r="AC226" s="394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</row>
    <row r="227" spans="1:48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1"/>
      <c r="T227" s="391"/>
      <c r="U227" s="391"/>
      <c r="V227" s="394"/>
      <c r="W227" s="5"/>
      <c r="X227" s="394"/>
      <c r="Y227" s="394"/>
      <c r="Z227" s="394"/>
      <c r="AA227" s="394"/>
      <c r="AB227" s="394"/>
      <c r="AC227" s="394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</row>
    <row r="228" spans="1:48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1"/>
      <c r="T228" s="391"/>
      <c r="U228" s="391"/>
      <c r="V228" s="394"/>
      <c r="W228" s="5"/>
      <c r="X228" s="394"/>
      <c r="Y228" s="394"/>
      <c r="Z228" s="394"/>
      <c r="AA228" s="394"/>
      <c r="AB228" s="394"/>
      <c r="AC228" s="394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</row>
    <row r="229" spans="1:48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1"/>
      <c r="T229" s="391"/>
      <c r="U229" s="391"/>
      <c r="V229" s="394"/>
      <c r="W229" s="5"/>
      <c r="X229" s="394"/>
      <c r="Y229" s="394"/>
      <c r="Z229" s="394"/>
      <c r="AA229" s="394"/>
      <c r="AB229" s="394"/>
      <c r="AC229" s="394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</row>
    <row r="230" spans="1:48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1"/>
      <c r="T230" s="391"/>
      <c r="U230" s="391"/>
      <c r="V230" s="394"/>
      <c r="W230" s="5"/>
      <c r="X230" s="394"/>
      <c r="Y230" s="394"/>
      <c r="Z230" s="394"/>
      <c r="AA230" s="394"/>
      <c r="AB230" s="394"/>
      <c r="AC230" s="394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</row>
    <row r="231" spans="1:48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1"/>
      <c r="T231" s="391"/>
      <c r="U231" s="391"/>
      <c r="V231" s="394"/>
      <c r="W231" s="5"/>
      <c r="X231" s="394"/>
      <c r="Y231" s="394"/>
      <c r="Z231" s="394"/>
      <c r="AA231" s="394"/>
      <c r="AB231" s="394"/>
      <c r="AC231" s="394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</row>
    <row r="232" spans="1:48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1"/>
      <c r="T232" s="391"/>
      <c r="U232" s="391"/>
      <c r="V232" s="394"/>
      <c r="W232" s="5"/>
      <c r="X232" s="394"/>
      <c r="Y232" s="394"/>
      <c r="Z232" s="394"/>
      <c r="AA232" s="394"/>
      <c r="AB232" s="394"/>
      <c r="AC232" s="394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</row>
    <row r="233" spans="1:48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1"/>
      <c r="T233" s="391"/>
      <c r="U233" s="391"/>
      <c r="V233" s="394"/>
      <c r="W233" s="5"/>
      <c r="X233" s="394"/>
      <c r="Y233" s="394"/>
      <c r="Z233" s="394"/>
      <c r="AA233" s="394"/>
      <c r="AB233" s="394"/>
      <c r="AC233" s="394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</row>
    <row r="234" spans="1:48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1"/>
      <c r="T234" s="391"/>
      <c r="U234" s="391"/>
      <c r="V234" s="394"/>
      <c r="W234" s="5"/>
      <c r="X234" s="394"/>
      <c r="Y234" s="394"/>
      <c r="Z234" s="394"/>
      <c r="AA234" s="394"/>
      <c r="AB234" s="394"/>
      <c r="AC234" s="394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</row>
    <row r="235" spans="1:48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1"/>
      <c r="T235" s="391"/>
      <c r="U235" s="391"/>
      <c r="V235" s="394"/>
      <c r="W235" s="5"/>
      <c r="X235" s="394"/>
      <c r="Y235" s="394"/>
      <c r="Z235" s="394"/>
      <c r="AA235" s="394"/>
      <c r="AB235" s="394"/>
      <c r="AC235" s="394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</row>
    <row r="236" spans="1:48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1"/>
      <c r="T236" s="391"/>
      <c r="U236" s="391"/>
      <c r="V236" s="394"/>
      <c r="W236" s="5"/>
      <c r="X236" s="394"/>
      <c r="Y236" s="394"/>
      <c r="Z236" s="394"/>
      <c r="AA236" s="394"/>
      <c r="AB236" s="394"/>
      <c r="AC236" s="394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</row>
    <row r="237" spans="1:48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1"/>
      <c r="T237" s="391"/>
      <c r="U237" s="391"/>
      <c r="V237" s="394"/>
      <c r="W237" s="5"/>
      <c r="X237" s="394"/>
      <c r="Y237" s="394"/>
      <c r="Z237" s="394"/>
      <c r="AA237" s="394"/>
      <c r="AB237" s="394"/>
      <c r="AC237" s="394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</row>
    <row r="238" spans="1:48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1"/>
      <c r="T238" s="391"/>
      <c r="U238" s="391"/>
      <c r="V238" s="394"/>
      <c r="W238" s="5"/>
      <c r="X238" s="394"/>
      <c r="Y238" s="394"/>
      <c r="Z238" s="394"/>
      <c r="AA238" s="394"/>
      <c r="AB238" s="394"/>
      <c r="AC238" s="394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</row>
    <row r="239" spans="1:48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1"/>
      <c r="T239" s="391"/>
      <c r="U239" s="391"/>
      <c r="V239" s="394"/>
      <c r="W239" s="5"/>
      <c r="X239" s="394"/>
      <c r="Y239" s="394"/>
      <c r="Z239" s="394"/>
      <c r="AA239" s="394"/>
      <c r="AB239" s="394"/>
      <c r="AC239" s="394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</row>
    <row r="240" spans="1:48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1"/>
      <c r="T240" s="391"/>
      <c r="U240" s="391"/>
      <c r="V240" s="394"/>
      <c r="W240" s="5"/>
      <c r="X240" s="394"/>
      <c r="Y240" s="394"/>
      <c r="Z240" s="394"/>
      <c r="AA240" s="394"/>
      <c r="AB240" s="394"/>
      <c r="AC240" s="394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</row>
    <row r="241" spans="1:48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1"/>
      <c r="T241" s="391"/>
      <c r="U241" s="391"/>
      <c r="V241" s="394"/>
      <c r="W241" s="5"/>
      <c r="X241" s="394"/>
      <c r="Y241" s="394"/>
      <c r="Z241" s="394"/>
      <c r="AA241" s="394"/>
      <c r="AB241" s="394"/>
      <c r="AC241" s="394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</row>
    <row r="242" spans="1:48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1"/>
      <c r="T242" s="391"/>
      <c r="U242" s="391"/>
      <c r="V242" s="394"/>
      <c r="W242" s="5"/>
      <c r="X242" s="394"/>
      <c r="Y242" s="394"/>
      <c r="Z242" s="394"/>
      <c r="AA242" s="394"/>
      <c r="AB242" s="394"/>
      <c r="AC242" s="394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</row>
    <row r="243" spans="1:48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1"/>
      <c r="T243" s="391"/>
      <c r="U243" s="391"/>
      <c r="V243" s="394"/>
      <c r="W243" s="5"/>
      <c r="X243" s="394"/>
      <c r="Y243" s="394"/>
      <c r="Z243" s="394"/>
      <c r="AA243" s="394"/>
      <c r="AB243" s="394"/>
      <c r="AC243" s="394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</row>
    <row r="244" spans="1:48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1"/>
      <c r="T244" s="391"/>
      <c r="U244" s="391"/>
      <c r="V244" s="394"/>
      <c r="W244" s="5"/>
      <c r="X244" s="394"/>
      <c r="Y244" s="394"/>
      <c r="Z244" s="394"/>
      <c r="AA244" s="394"/>
      <c r="AB244" s="394"/>
      <c r="AC244" s="394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</row>
    <row r="245" spans="1:48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1"/>
      <c r="T245" s="391"/>
      <c r="U245" s="391"/>
      <c r="V245" s="394"/>
      <c r="W245" s="5"/>
      <c r="X245" s="394"/>
      <c r="Y245" s="394"/>
      <c r="Z245" s="394"/>
      <c r="AA245" s="394"/>
      <c r="AB245" s="394"/>
      <c r="AC245" s="394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</row>
    <row r="246" spans="1:48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1"/>
      <c r="T246" s="391"/>
      <c r="U246" s="391"/>
      <c r="V246" s="394"/>
      <c r="W246" s="5"/>
      <c r="X246" s="394"/>
      <c r="Y246" s="394"/>
      <c r="Z246" s="394"/>
      <c r="AA246" s="394"/>
      <c r="AB246" s="394"/>
      <c r="AC246" s="394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</row>
    <row r="247" spans="1:48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1"/>
      <c r="T247" s="391"/>
      <c r="U247" s="391"/>
      <c r="V247" s="394"/>
      <c r="W247" s="5"/>
      <c r="X247" s="394"/>
      <c r="Y247" s="394"/>
      <c r="Z247" s="394"/>
      <c r="AA247" s="394"/>
      <c r="AB247" s="394"/>
      <c r="AC247" s="394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</row>
    <row r="248" spans="1:48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1"/>
      <c r="T248" s="391"/>
      <c r="U248" s="391"/>
      <c r="V248" s="394"/>
      <c r="W248" s="5"/>
      <c r="X248" s="394"/>
      <c r="Y248" s="394"/>
      <c r="Z248" s="394"/>
      <c r="AA248" s="394"/>
      <c r="AB248" s="394"/>
      <c r="AC248" s="394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</row>
    <row r="249" spans="1:48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1"/>
      <c r="T249" s="391"/>
      <c r="U249" s="391"/>
      <c r="V249" s="394"/>
      <c r="W249" s="5"/>
      <c r="X249" s="394"/>
      <c r="Y249" s="394"/>
      <c r="Z249" s="394"/>
      <c r="AA249" s="394"/>
      <c r="AB249" s="394"/>
      <c r="AC249" s="394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</row>
    <row r="250" spans="1:48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1"/>
      <c r="T250" s="391"/>
      <c r="U250" s="391"/>
      <c r="V250" s="394"/>
      <c r="W250" s="5"/>
      <c r="X250" s="394"/>
      <c r="Y250" s="394"/>
      <c r="Z250" s="394"/>
      <c r="AA250" s="394"/>
      <c r="AB250" s="394"/>
      <c r="AC250" s="394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</row>
    <row r="251" spans="1:48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1"/>
      <c r="T251" s="391"/>
      <c r="U251" s="391"/>
      <c r="V251" s="394"/>
      <c r="W251" s="5"/>
      <c r="X251" s="394"/>
      <c r="Y251" s="394"/>
      <c r="Z251" s="394"/>
      <c r="AA251" s="394"/>
      <c r="AB251" s="394"/>
      <c r="AC251" s="394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</row>
    <row r="252" spans="1:48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1"/>
      <c r="T252" s="391"/>
      <c r="U252" s="391"/>
      <c r="V252" s="394"/>
      <c r="W252" s="5"/>
      <c r="X252" s="394"/>
      <c r="Y252" s="394"/>
      <c r="Z252" s="394"/>
      <c r="AA252" s="394"/>
      <c r="AB252" s="394"/>
      <c r="AC252" s="394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</row>
    <row r="253" spans="1:48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1"/>
      <c r="T253" s="391"/>
      <c r="U253" s="391"/>
      <c r="V253" s="394"/>
      <c r="W253" s="5"/>
      <c r="X253" s="394"/>
      <c r="Y253" s="394"/>
      <c r="Z253" s="394"/>
      <c r="AA253" s="394"/>
      <c r="AB253" s="394"/>
      <c r="AC253" s="394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</row>
    <row r="254" spans="1:48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1"/>
      <c r="T254" s="391"/>
      <c r="U254" s="391"/>
      <c r="V254" s="394"/>
      <c r="W254" s="5"/>
      <c r="X254" s="394"/>
      <c r="Y254" s="394"/>
      <c r="Z254" s="394"/>
      <c r="AA254" s="394"/>
      <c r="AB254" s="394"/>
      <c r="AC254" s="394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</row>
    <row r="255" spans="1:48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1"/>
      <c r="T255" s="391"/>
      <c r="U255" s="391"/>
      <c r="V255" s="394"/>
      <c r="W255" s="5"/>
      <c r="X255" s="394"/>
      <c r="Y255" s="394"/>
      <c r="Z255" s="394"/>
      <c r="AA255" s="394"/>
      <c r="AB255" s="394"/>
      <c r="AC255" s="394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</row>
    <row r="256" spans="1:48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1"/>
      <c r="T256" s="391"/>
      <c r="U256" s="391"/>
      <c r="V256" s="394"/>
      <c r="W256" s="5"/>
      <c r="X256" s="394"/>
      <c r="Y256" s="394"/>
      <c r="Z256" s="394"/>
      <c r="AA256" s="394"/>
      <c r="AB256" s="394"/>
      <c r="AC256" s="394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</row>
    <row r="257" spans="1:48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1"/>
      <c r="T257" s="391"/>
      <c r="U257" s="391"/>
      <c r="V257" s="394"/>
      <c r="W257" s="5"/>
      <c r="X257" s="394"/>
      <c r="Y257" s="394"/>
      <c r="Z257" s="394"/>
      <c r="AA257" s="394"/>
      <c r="AB257" s="394"/>
      <c r="AC257" s="394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</row>
    <row r="258" spans="1:48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1"/>
      <c r="T258" s="391"/>
      <c r="U258" s="391"/>
      <c r="V258" s="394"/>
      <c r="W258" s="5"/>
      <c r="X258" s="394"/>
      <c r="Y258" s="394"/>
      <c r="Z258" s="394"/>
      <c r="AA258" s="394"/>
      <c r="AB258" s="394"/>
      <c r="AC258" s="394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</row>
    <row r="259" spans="1:48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1"/>
      <c r="T259" s="391"/>
      <c r="U259" s="391"/>
      <c r="V259" s="394"/>
      <c r="W259" s="5"/>
      <c r="X259" s="394"/>
      <c r="Y259" s="394"/>
      <c r="Z259" s="394"/>
      <c r="AA259" s="394"/>
      <c r="AB259" s="394"/>
      <c r="AC259" s="394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</row>
    <row r="260" spans="1:48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1"/>
      <c r="T260" s="391"/>
      <c r="U260" s="391"/>
      <c r="V260" s="394"/>
      <c r="W260" s="5"/>
      <c r="X260" s="394"/>
      <c r="Y260" s="394"/>
      <c r="Z260" s="394"/>
      <c r="AA260" s="394"/>
      <c r="AB260" s="394"/>
      <c r="AC260" s="394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</row>
    <row r="261" spans="1:48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1"/>
      <c r="T261" s="391"/>
      <c r="U261" s="391"/>
      <c r="V261" s="394"/>
      <c r="W261" s="5"/>
      <c r="X261" s="394"/>
      <c r="Y261" s="394"/>
      <c r="Z261" s="394"/>
      <c r="AA261" s="394"/>
      <c r="AB261" s="394"/>
      <c r="AC261" s="394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</row>
    <row r="262" spans="1:48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1"/>
      <c r="T262" s="391"/>
      <c r="U262" s="391"/>
      <c r="V262" s="394"/>
      <c r="W262" s="5"/>
      <c r="X262" s="394"/>
      <c r="Y262" s="394"/>
      <c r="Z262" s="394"/>
      <c r="AA262" s="394"/>
      <c r="AB262" s="394"/>
      <c r="AC262" s="394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</row>
    <row r="263" spans="1:48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1"/>
      <c r="T263" s="391"/>
      <c r="U263" s="391"/>
      <c r="V263" s="394"/>
      <c r="W263" s="5"/>
      <c r="X263" s="394"/>
      <c r="Y263" s="394"/>
      <c r="Z263" s="394"/>
      <c r="AA263" s="394"/>
      <c r="AB263" s="394"/>
      <c r="AC263" s="394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</row>
    <row r="264" spans="1:48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1"/>
      <c r="T264" s="391"/>
      <c r="U264" s="391"/>
      <c r="V264" s="394"/>
      <c r="W264" s="5"/>
      <c r="X264" s="394"/>
      <c r="Y264" s="394"/>
      <c r="Z264" s="394"/>
      <c r="AA264" s="394"/>
      <c r="AB264" s="394"/>
      <c r="AC264" s="394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</row>
    <row r="265" spans="1:48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1"/>
      <c r="T265" s="391"/>
      <c r="U265" s="391"/>
      <c r="V265" s="394"/>
      <c r="W265" s="5"/>
      <c r="X265" s="394"/>
      <c r="Y265" s="394"/>
      <c r="Z265" s="394"/>
      <c r="AA265" s="394"/>
      <c r="AB265" s="394"/>
      <c r="AC265" s="394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</row>
    <row r="266" spans="1:48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1"/>
      <c r="T266" s="391"/>
      <c r="U266" s="391"/>
      <c r="V266" s="394"/>
      <c r="W266" s="5"/>
      <c r="X266" s="394"/>
      <c r="Y266" s="394"/>
      <c r="Z266" s="394"/>
      <c r="AA266" s="394"/>
      <c r="AB266" s="394"/>
      <c r="AC266" s="394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</row>
    <row r="267" spans="1:48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1"/>
      <c r="T267" s="391"/>
      <c r="U267" s="391"/>
      <c r="V267" s="394"/>
      <c r="W267" s="5"/>
      <c r="X267" s="394"/>
      <c r="Y267" s="394"/>
      <c r="Z267" s="394"/>
      <c r="AA267" s="394"/>
      <c r="AB267" s="394"/>
      <c r="AC267" s="394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</row>
    <row r="268" spans="1:48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1"/>
      <c r="T268" s="391"/>
      <c r="U268" s="391"/>
      <c r="V268" s="394"/>
      <c r="W268" s="5"/>
      <c r="X268" s="394"/>
      <c r="Y268" s="394"/>
      <c r="Z268" s="394"/>
      <c r="AA268" s="394"/>
      <c r="AB268" s="394"/>
      <c r="AC268" s="394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</row>
    <row r="269" spans="1:48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1"/>
      <c r="T269" s="391"/>
      <c r="U269" s="391"/>
      <c r="V269" s="394"/>
      <c r="W269" s="5"/>
      <c r="X269" s="394"/>
      <c r="Y269" s="394"/>
      <c r="Z269" s="394"/>
      <c r="AA269" s="394"/>
      <c r="AB269" s="394"/>
      <c r="AC269" s="394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</row>
    <row r="270" spans="1:48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1"/>
      <c r="T270" s="391"/>
      <c r="U270" s="391"/>
      <c r="V270" s="394"/>
      <c r="W270" s="5"/>
      <c r="X270" s="394"/>
      <c r="Y270" s="394"/>
      <c r="Z270" s="394"/>
      <c r="AA270" s="394"/>
      <c r="AB270" s="394"/>
      <c r="AC270" s="394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</row>
    <row r="271" spans="1:48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1"/>
      <c r="T271" s="391"/>
      <c r="U271" s="391"/>
      <c r="V271" s="394"/>
      <c r="W271" s="5"/>
      <c r="X271" s="394"/>
      <c r="Y271" s="394"/>
      <c r="Z271" s="394"/>
      <c r="AA271" s="394"/>
      <c r="AB271" s="394"/>
      <c r="AC271" s="394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</row>
    <row r="272" spans="1:48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1"/>
      <c r="T272" s="391"/>
      <c r="U272" s="391"/>
      <c r="V272" s="394"/>
      <c r="W272" s="5"/>
      <c r="X272" s="394"/>
      <c r="Y272" s="394"/>
      <c r="Z272" s="394"/>
      <c r="AA272" s="394"/>
      <c r="AB272" s="394"/>
      <c r="AC272" s="394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</row>
    <row r="273" spans="1:48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1"/>
      <c r="T273" s="391"/>
      <c r="U273" s="391"/>
      <c r="V273" s="394"/>
      <c r="W273" s="5"/>
      <c r="X273" s="394"/>
      <c r="Y273" s="394"/>
      <c r="Z273" s="394"/>
      <c r="AA273" s="394"/>
      <c r="AB273" s="394"/>
      <c r="AC273" s="394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</row>
    <row r="274" spans="1:48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1"/>
      <c r="T274" s="391"/>
      <c r="U274" s="391"/>
      <c r="V274" s="394"/>
      <c r="W274" s="5"/>
      <c r="X274" s="394"/>
      <c r="Y274" s="394"/>
      <c r="Z274" s="394"/>
      <c r="AA274" s="394"/>
      <c r="AB274" s="394"/>
      <c r="AC274" s="394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</row>
    <row r="275" spans="1:48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1"/>
      <c r="T275" s="391"/>
      <c r="U275" s="391"/>
      <c r="V275" s="394"/>
      <c r="W275" s="5"/>
      <c r="X275" s="394"/>
      <c r="Y275" s="394"/>
      <c r="Z275" s="394"/>
      <c r="AA275" s="394"/>
      <c r="AB275" s="394"/>
      <c r="AC275" s="394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</row>
    <row r="276" spans="1:48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1"/>
      <c r="T276" s="391"/>
      <c r="U276" s="391"/>
      <c r="V276" s="394"/>
      <c r="W276" s="5"/>
      <c r="X276" s="394"/>
      <c r="Y276" s="394"/>
      <c r="Z276" s="394"/>
      <c r="AA276" s="394"/>
      <c r="AB276" s="394"/>
      <c r="AC276" s="394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</row>
    <row r="277" spans="1:48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1"/>
      <c r="T277" s="391"/>
      <c r="U277" s="391"/>
      <c r="V277" s="394"/>
      <c r="W277" s="5"/>
      <c r="X277" s="394"/>
      <c r="Y277" s="394"/>
      <c r="Z277" s="394"/>
      <c r="AA277" s="394"/>
      <c r="AB277" s="394"/>
      <c r="AC277" s="394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</row>
    <row r="278" spans="1:48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1"/>
      <c r="T278" s="391"/>
      <c r="U278" s="391"/>
      <c r="V278" s="394"/>
      <c r="W278" s="5"/>
      <c r="X278" s="394"/>
      <c r="Y278" s="394"/>
      <c r="Z278" s="394"/>
      <c r="AA278" s="394"/>
      <c r="AB278" s="394"/>
      <c r="AC278" s="394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</row>
    <row r="279" spans="1:48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1"/>
      <c r="T279" s="391"/>
      <c r="U279" s="391"/>
      <c r="V279" s="394"/>
      <c r="W279" s="5"/>
      <c r="X279" s="394"/>
      <c r="Y279" s="394"/>
      <c r="Z279" s="394"/>
      <c r="AA279" s="394"/>
      <c r="AB279" s="394"/>
      <c r="AC279" s="394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</row>
    <row r="280" spans="1:48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1"/>
      <c r="T280" s="391"/>
      <c r="U280" s="391"/>
      <c r="V280" s="394"/>
      <c r="W280" s="5"/>
      <c r="X280" s="394"/>
      <c r="Y280" s="394"/>
      <c r="Z280" s="394"/>
      <c r="AA280" s="394"/>
      <c r="AB280" s="394"/>
      <c r="AC280" s="394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</row>
    <row r="281" spans="1:48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1"/>
      <c r="T281" s="391"/>
      <c r="U281" s="391"/>
      <c r="V281" s="394"/>
      <c r="W281" s="5"/>
      <c r="X281" s="394"/>
      <c r="Y281" s="394"/>
      <c r="Z281" s="394"/>
      <c r="AA281" s="394"/>
      <c r="AB281" s="394"/>
      <c r="AC281" s="394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</row>
    <row r="282" spans="1:48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1"/>
      <c r="T282" s="391"/>
      <c r="U282" s="391"/>
      <c r="V282" s="394"/>
      <c r="W282" s="5"/>
      <c r="X282" s="394"/>
      <c r="Y282" s="394"/>
      <c r="Z282" s="394"/>
      <c r="AA282" s="394"/>
      <c r="AB282" s="394"/>
      <c r="AC282" s="394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</row>
    <row r="283" spans="1:48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1"/>
      <c r="T283" s="391"/>
      <c r="U283" s="391"/>
      <c r="V283" s="394"/>
      <c r="W283" s="5"/>
      <c r="X283" s="394"/>
      <c r="Y283" s="394"/>
      <c r="Z283" s="394"/>
      <c r="AA283" s="394"/>
      <c r="AB283" s="394"/>
      <c r="AC283" s="394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</row>
    <row r="284" spans="1:48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1"/>
      <c r="T284" s="391"/>
      <c r="U284" s="391"/>
      <c r="V284" s="394"/>
      <c r="W284" s="5"/>
      <c r="X284" s="394"/>
      <c r="Y284" s="394"/>
      <c r="Z284" s="394"/>
      <c r="AA284" s="394"/>
      <c r="AB284" s="394"/>
      <c r="AC284" s="394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</row>
    <row r="285" spans="1:48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1"/>
      <c r="T285" s="391"/>
      <c r="U285" s="391"/>
      <c r="V285" s="394"/>
      <c r="W285" s="5"/>
      <c r="X285" s="394"/>
      <c r="Y285" s="394"/>
      <c r="Z285" s="394"/>
      <c r="AA285" s="394"/>
      <c r="AB285" s="394"/>
      <c r="AC285" s="394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</row>
    <row r="286" spans="1:48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1"/>
      <c r="T286" s="391"/>
      <c r="U286" s="391"/>
      <c r="V286" s="394"/>
      <c r="W286" s="5"/>
      <c r="X286" s="394"/>
      <c r="Y286" s="394"/>
      <c r="Z286" s="394"/>
      <c r="AA286" s="394"/>
      <c r="AB286" s="394"/>
      <c r="AC286" s="394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</row>
    <row r="287" spans="1:48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1"/>
      <c r="T287" s="391"/>
      <c r="U287" s="391"/>
      <c r="V287" s="394"/>
      <c r="W287" s="5"/>
      <c r="X287" s="394"/>
      <c r="Y287" s="394"/>
      <c r="Z287" s="394"/>
      <c r="AA287" s="394"/>
      <c r="AB287" s="394"/>
      <c r="AC287" s="394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</row>
    <row r="288" spans="1:48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1"/>
      <c r="T288" s="391"/>
      <c r="U288" s="391"/>
      <c r="V288" s="394"/>
      <c r="W288" s="5"/>
      <c r="X288" s="394"/>
      <c r="Y288" s="394"/>
      <c r="Z288" s="394"/>
      <c r="AA288" s="394"/>
      <c r="AB288" s="394"/>
      <c r="AC288" s="394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</row>
    <row r="289" spans="1:48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1"/>
      <c r="T289" s="391"/>
      <c r="U289" s="391"/>
      <c r="V289" s="394"/>
      <c r="W289" s="5"/>
      <c r="X289" s="394"/>
      <c r="Y289" s="394"/>
      <c r="Z289" s="394"/>
      <c r="AA289" s="394"/>
      <c r="AB289" s="394"/>
      <c r="AC289" s="394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</row>
    <row r="290" spans="1:48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1"/>
      <c r="T290" s="391"/>
      <c r="U290" s="391"/>
      <c r="V290" s="394"/>
      <c r="W290" s="5"/>
      <c r="X290" s="394"/>
      <c r="Y290" s="394"/>
      <c r="Z290" s="394"/>
      <c r="AA290" s="394"/>
      <c r="AB290" s="394"/>
      <c r="AC290" s="394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</row>
    <row r="291" spans="1:48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1"/>
      <c r="T291" s="391"/>
      <c r="U291" s="391"/>
      <c r="V291" s="394"/>
      <c r="W291" s="5"/>
      <c r="X291" s="394"/>
      <c r="Y291" s="394"/>
      <c r="Z291" s="394"/>
      <c r="AA291" s="394"/>
      <c r="AB291" s="394"/>
      <c r="AC291" s="394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</row>
    <row r="292" spans="1:48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1"/>
      <c r="T292" s="391"/>
      <c r="U292" s="391"/>
      <c r="V292" s="394"/>
      <c r="W292" s="5"/>
      <c r="X292" s="394"/>
      <c r="Y292" s="394"/>
      <c r="Z292" s="394"/>
      <c r="AA292" s="394"/>
      <c r="AB292" s="394"/>
      <c r="AC292" s="394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</row>
    <row r="293" spans="1:48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1"/>
      <c r="T293" s="391"/>
      <c r="U293" s="391"/>
      <c r="V293" s="394"/>
      <c r="W293" s="5"/>
      <c r="X293" s="394"/>
      <c r="Y293" s="394"/>
      <c r="Z293" s="394"/>
      <c r="AA293" s="394"/>
      <c r="AB293" s="394"/>
      <c r="AC293" s="394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</row>
    <row r="294" spans="1:48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1"/>
      <c r="T294" s="391"/>
      <c r="U294" s="391"/>
      <c r="V294" s="394"/>
      <c r="W294" s="5"/>
      <c r="X294" s="394"/>
      <c r="Y294" s="394"/>
      <c r="Z294" s="394"/>
      <c r="AA294" s="394"/>
      <c r="AB294" s="394"/>
      <c r="AC294" s="394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</row>
    <row r="295" spans="1:48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1"/>
      <c r="T295" s="391"/>
      <c r="U295" s="391"/>
      <c r="V295" s="394"/>
      <c r="W295" s="5"/>
      <c r="X295" s="394"/>
      <c r="Y295" s="394"/>
      <c r="Z295" s="394"/>
      <c r="AA295" s="394"/>
      <c r="AB295" s="394"/>
      <c r="AC295" s="394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</row>
    <row r="296" spans="1:48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1"/>
      <c r="T296" s="391"/>
      <c r="U296" s="391"/>
      <c r="V296" s="394"/>
      <c r="W296" s="5"/>
      <c r="X296" s="394"/>
      <c r="Y296" s="394"/>
      <c r="Z296" s="394"/>
      <c r="AA296" s="394"/>
      <c r="AB296" s="394"/>
      <c r="AC296" s="394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</row>
    <row r="297" spans="1:48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1"/>
      <c r="T297" s="391"/>
      <c r="U297" s="391"/>
      <c r="V297" s="394"/>
      <c r="W297" s="5"/>
      <c r="X297" s="394"/>
      <c r="Y297" s="394"/>
      <c r="Z297" s="394"/>
      <c r="AA297" s="394"/>
      <c r="AB297" s="394"/>
      <c r="AC297" s="394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</row>
    <row r="298" spans="1:48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1"/>
      <c r="T298" s="391"/>
      <c r="U298" s="391"/>
      <c r="V298" s="394"/>
      <c r="W298" s="5"/>
      <c r="X298" s="394"/>
      <c r="Y298" s="394"/>
      <c r="Z298" s="394"/>
      <c r="AA298" s="394"/>
      <c r="AB298" s="394"/>
      <c r="AC298" s="394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</row>
    <row r="299" spans="1:48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1"/>
      <c r="T299" s="391"/>
      <c r="U299" s="391"/>
      <c r="V299" s="394"/>
      <c r="W299" s="5"/>
      <c r="X299" s="394"/>
      <c r="Y299" s="394"/>
      <c r="Z299" s="394"/>
      <c r="AA299" s="394"/>
      <c r="AB299" s="394"/>
      <c r="AC299" s="394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</row>
    <row r="300" spans="1:48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1"/>
      <c r="T300" s="391"/>
      <c r="U300" s="391"/>
      <c r="V300" s="394"/>
      <c r="W300" s="5"/>
      <c r="X300" s="394"/>
      <c r="Y300" s="394"/>
      <c r="Z300" s="394"/>
      <c r="AA300" s="394"/>
      <c r="AB300" s="394"/>
      <c r="AC300" s="394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</row>
    <row r="301" spans="1:48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1"/>
      <c r="T301" s="391"/>
      <c r="U301" s="391"/>
      <c r="V301" s="394"/>
      <c r="W301" s="5"/>
      <c r="X301" s="394"/>
      <c r="Y301" s="394"/>
      <c r="Z301" s="394"/>
      <c r="AA301" s="394"/>
      <c r="AB301" s="394"/>
      <c r="AC301" s="394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</row>
    <row r="302" spans="1:48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1"/>
      <c r="T302" s="391"/>
      <c r="U302" s="391"/>
      <c r="V302" s="394"/>
      <c r="W302" s="5"/>
      <c r="X302" s="394"/>
      <c r="Y302" s="394"/>
      <c r="Z302" s="394"/>
      <c r="AA302" s="394"/>
      <c r="AB302" s="394"/>
      <c r="AC302" s="394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</row>
    <row r="303" spans="1:48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1"/>
      <c r="T303" s="391"/>
      <c r="U303" s="391"/>
      <c r="V303" s="394"/>
      <c r="W303" s="5"/>
      <c r="X303" s="394"/>
      <c r="Y303" s="394"/>
      <c r="Z303" s="394"/>
      <c r="AA303" s="394"/>
      <c r="AB303" s="394"/>
      <c r="AC303" s="394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</row>
    <row r="304" spans="1:48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1"/>
      <c r="T304" s="391"/>
      <c r="U304" s="391"/>
      <c r="V304" s="394"/>
      <c r="W304" s="5"/>
      <c r="X304" s="394"/>
      <c r="Y304" s="394"/>
      <c r="Z304" s="394"/>
      <c r="AA304" s="394"/>
      <c r="AB304" s="394"/>
      <c r="AC304" s="394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</row>
    <row r="305" spans="1:48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1"/>
      <c r="T305" s="391"/>
      <c r="U305" s="391"/>
      <c r="V305" s="394"/>
      <c r="W305" s="5"/>
      <c r="X305" s="394"/>
      <c r="Y305" s="394"/>
      <c r="Z305" s="394"/>
      <c r="AA305" s="394"/>
      <c r="AB305" s="394"/>
      <c r="AC305" s="394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</row>
    <row r="306" spans="1:48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1"/>
      <c r="T306" s="391"/>
      <c r="U306" s="391"/>
      <c r="V306" s="394"/>
      <c r="W306" s="5"/>
      <c r="X306" s="394"/>
      <c r="Y306" s="394"/>
      <c r="Z306" s="394"/>
      <c r="AA306" s="394"/>
      <c r="AB306" s="394"/>
      <c r="AC306" s="394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</row>
    <row r="307" spans="1:48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1"/>
      <c r="T307" s="391"/>
      <c r="U307" s="391"/>
      <c r="V307" s="394"/>
      <c r="W307" s="5"/>
      <c r="X307" s="394"/>
      <c r="Y307" s="394"/>
      <c r="Z307" s="394"/>
      <c r="AA307" s="394"/>
      <c r="AB307" s="394"/>
      <c r="AC307" s="394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</row>
    <row r="308" spans="1:48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1"/>
      <c r="T308" s="391"/>
      <c r="U308" s="391"/>
      <c r="V308" s="394"/>
      <c r="W308" s="5"/>
      <c r="X308" s="394"/>
      <c r="Y308" s="394"/>
      <c r="Z308" s="394"/>
      <c r="AA308" s="394"/>
      <c r="AB308" s="394"/>
      <c r="AC308" s="394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</row>
    <row r="309" spans="1:48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1"/>
      <c r="T309" s="391"/>
      <c r="U309" s="391"/>
      <c r="V309" s="394"/>
      <c r="W309" s="5"/>
      <c r="X309" s="394"/>
      <c r="Y309" s="394"/>
      <c r="Z309" s="394"/>
      <c r="AA309" s="394"/>
      <c r="AB309" s="394"/>
      <c r="AC309" s="394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</row>
    <row r="310" spans="1:48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1"/>
      <c r="T310" s="391"/>
      <c r="U310" s="391"/>
      <c r="V310" s="394"/>
      <c r="W310" s="5"/>
      <c r="X310" s="394"/>
      <c r="Y310" s="394"/>
      <c r="Z310" s="394"/>
      <c r="AA310" s="394"/>
      <c r="AB310" s="394"/>
      <c r="AC310" s="394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</row>
    <row r="311" spans="1:48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1"/>
      <c r="T311" s="391"/>
      <c r="U311" s="391"/>
      <c r="V311" s="394"/>
      <c r="W311" s="5"/>
      <c r="X311" s="394"/>
      <c r="Y311" s="394"/>
      <c r="Z311" s="394"/>
      <c r="AA311" s="394"/>
      <c r="AB311" s="394"/>
      <c r="AC311" s="394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</row>
    <row r="312" spans="1:48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1"/>
      <c r="T312" s="391"/>
      <c r="U312" s="391"/>
      <c r="V312" s="394"/>
      <c r="W312" s="5"/>
      <c r="X312" s="394"/>
      <c r="Y312" s="394"/>
      <c r="Z312" s="394"/>
      <c r="AA312" s="394"/>
      <c r="AB312" s="394"/>
      <c r="AC312" s="394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</row>
    <row r="313" spans="1:48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1"/>
      <c r="T313" s="391"/>
      <c r="U313" s="391"/>
      <c r="V313" s="394"/>
      <c r="W313" s="5"/>
      <c r="X313" s="394"/>
      <c r="Y313" s="394"/>
      <c r="Z313" s="394"/>
      <c r="AA313" s="394"/>
      <c r="AB313" s="394"/>
      <c r="AC313" s="394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</row>
    <row r="314" spans="1:48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1"/>
      <c r="T314" s="391"/>
      <c r="U314" s="391"/>
      <c r="V314" s="394"/>
      <c r="W314" s="5"/>
      <c r="X314" s="394"/>
      <c r="Y314" s="394"/>
      <c r="Z314" s="394"/>
      <c r="AA314" s="394"/>
      <c r="AB314" s="394"/>
      <c r="AC314" s="394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</row>
    <row r="315" spans="1:48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1"/>
      <c r="T315" s="391"/>
      <c r="U315" s="391"/>
      <c r="V315" s="394"/>
      <c r="W315" s="5"/>
      <c r="X315" s="394"/>
      <c r="Y315" s="394"/>
      <c r="Z315" s="394"/>
      <c r="AA315" s="394"/>
      <c r="AB315" s="394"/>
      <c r="AC315" s="394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</row>
    <row r="316" spans="1:48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1"/>
      <c r="T316" s="391"/>
      <c r="U316" s="391"/>
      <c r="V316" s="394"/>
      <c r="W316" s="5"/>
      <c r="X316" s="394"/>
      <c r="Y316" s="394"/>
      <c r="Z316" s="394"/>
      <c r="AA316" s="394"/>
      <c r="AB316" s="394"/>
      <c r="AC316" s="394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</row>
    <row r="317" spans="1:48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1"/>
      <c r="T317" s="391"/>
      <c r="U317" s="391"/>
      <c r="V317" s="394"/>
      <c r="W317" s="5"/>
      <c r="X317" s="394"/>
      <c r="Y317" s="394"/>
      <c r="Z317" s="394"/>
      <c r="AA317" s="394"/>
      <c r="AB317" s="394"/>
      <c r="AC317" s="394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</row>
  </sheetData>
  <mergeCells count="154">
    <mergeCell ref="BG5:BH5"/>
    <mergeCell ref="BG6:BG8"/>
    <mergeCell ref="BH6:BH8"/>
    <mergeCell ref="BD5:BD8"/>
    <mergeCell ref="BE5:BE8"/>
    <mergeCell ref="BF5:BF8"/>
    <mergeCell ref="A5:A8"/>
    <mergeCell ref="N6:N8"/>
    <mergeCell ref="BB5:BC5"/>
    <mergeCell ref="BB6:BB8"/>
    <mergeCell ref="BC6:BC8"/>
    <mergeCell ref="AS5:AS8"/>
    <mergeCell ref="AP6:AP8"/>
    <mergeCell ref="AH6:AH8"/>
    <mergeCell ref="AI6:AI8"/>
    <mergeCell ref="AA6:AA8"/>
    <mergeCell ref="W6:W8"/>
    <mergeCell ref="V5:AA5"/>
    <mergeCell ref="AB5:AF5"/>
    <mergeCell ref="N5:U5"/>
    <mergeCell ref="P6:P8"/>
    <mergeCell ref="AT5:AU5"/>
    <mergeCell ref="AT6:AT8"/>
    <mergeCell ref="AU6:AU8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K6:K8"/>
    <mergeCell ref="E5:F5"/>
    <mergeCell ref="X6:X8"/>
    <mergeCell ref="G5:H5"/>
    <mergeCell ref="T6:T8"/>
    <mergeCell ref="O6:O8"/>
    <mergeCell ref="BB62:BB63"/>
    <mergeCell ref="BH62:BH63"/>
    <mergeCell ref="A51:C51"/>
    <mergeCell ref="A52:C52"/>
    <mergeCell ref="A53:C53"/>
    <mergeCell ref="A54:C54"/>
    <mergeCell ref="Q6:Q8"/>
    <mergeCell ref="S6:S8"/>
    <mergeCell ref="AD6:AD8"/>
    <mergeCell ref="Y6:Y8"/>
    <mergeCell ref="Z6:Z8"/>
    <mergeCell ref="AB6:AB8"/>
    <mergeCell ref="AC6:AC8"/>
    <mergeCell ref="U6:U8"/>
    <mergeCell ref="R6:R8"/>
    <mergeCell ref="V6:V8"/>
    <mergeCell ref="AB62:AB63"/>
    <mergeCell ref="AC62:AC63"/>
    <mergeCell ref="AD62:AD63"/>
    <mergeCell ref="AV62:AV63"/>
    <mergeCell ref="AW62:AW63"/>
    <mergeCell ref="AX62:AX63"/>
    <mergeCell ref="AY62:AY63"/>
    <mergeCell ref="AZ62:AZ63"/>
    <mergeCell ref="BA62:BA63"/>
    <mergeCell ref="BJ62:BJ63"/>
    <mergeCell ref="AV43:AX43"/>
    <mergeCell ref="AV49:AX49"/>
    <mergeCell ref="V62:V63"/>
    <mergeCell ref="X62:Y62"/>
    <mergeCell ref="BK62:BK63"/>
    <mergeCell ref="BC62:BC63"/>
    <mergeCell ref="BD62:BD63"/>
    <mergeCell ref="BE62:BE63"/>
    <mergeCell ref="BF62:BF63"/>
    <mergeCell ref="BG62:BG63"/>
    <mergeCell ref="AV44:AX44"/>
    <mergeCell ref="AV50:AX50"/>
    <mergeCell ref="AV45:AX45"/>
    <mergeCell ref="AV46:AX46"/>
    <mergeCell ref="AV47:AX47"/>
    <mergeCell ref="AV48:AX48"/>
    <mergeCell ref="AV53:AX53"/>
    <mergeCell ref="AV54:AX54"/>
    <mergeCell ref="AV51:AX51"/>
    <mergeCell ref="AV52:AX52"/>
    <mergeCell ref="A60:BH60"/>
    <mergeCell ref="A62:A63"/>
    <mergeCell ref="Z62:Z63"/>
    <mergeCell ref="AV24:AX24"/>
    <mergeCell ref="AV25:AX25"/>
    <mergeCell ref="AV26:AX26"/>
    <mergeCell ref="AV27:AX27"/>
    <mergeCell ref="AV42:AX42"/>
    <mergeCell ref="AV33:AX33"/>
    <mergeCell ref="AV34:AX34"/>
    <mergeCell ref="AV35:AX35"/>
    <mergeCell ref="AV36:AX36"/>
    <mergeCell ref="AV37:AX37"/>
    <mergeCell ref="AV28:AX28"/>
    <mergeCell ref="AV29:AX29"/>
    <mergeCell ref="AV30:AX30"/>
    <mergeCell ref="AV31:AX31"/>
    <mergeCell ref="AV32:AX32"/>
    <mergeCell ref="AV38:AX38"/>
    <mergeCell ref="AV39:AX39"/>
    <mergeCell ref="AV40:AX40"/>
    <mergeCell ref="AV41:AX41"/>
    <mergeCell ref="AQ5:AQ8"/>
    <mergeCell ref="AR5:AR8"/>
    <mergeCell ref="AV22:AX22"/>
    <mergeCell ref="AV13:AX13"/>
    <mergeCell ref="AV14:AX14"/>
    <mergeCell ref="AV15:AX15"/>
    <mergeCell ref="AV16:AX16"/>
    <mergeCell ref="AV18:AX18"/>
    <mergeCell ref="AV17:AX17"/>
    <mergeCell ref="AV5:AX8"/>
    <mergeCell ref="AV9:AX9"/>
    <mergeCell ref="AV12:AX12"/>
    <mergeCell ref="AV10:AX10"/>
    <mergeCell ref="AV11:AX11"/>
    <mergeCell ref="BJ5:BJ8"/>
    <mergeCell ref="BI5:BI8"/>
    <mergeCell ref="AY38:BJ38"/>
    <mergeCell ref="A2:BJ2"/>
    <mergeCell ref="A1:BJ1"/>
    <mergeCell ref="AE6:AE8"/>
    <mergeCell ref="AF6:AF8"/>
    <mergeCell ref="AG6:AG8"/>
    <mergeCell ref="AY5:AY8"/>
    <mergeCell ref="AZ5:AZ8"/>
    <mergeCell ref="BA5:BA8"/>
    <mergeCell ref="AV19:AX19"/>
    <mergeCell ref="AV20:AX20"/>
    <mergeCell ref="AV21:AX21"/>
    <mergeCell ref="AG5:AI5"/>
    <mergeCell ref="AJ6:AJ8"/>
    <mergeCell ref="AM5:AN5"/>
    <mergeCell ref="AM6:AM8"/>
    <mergeCell ref="AN6:AN8"/>
    <mergeCell ref="AL6:AL8"/>
    <mergeCell ref="AO6:AO8"/>
    <mergeCell ref="AK5:AL5"/>
    <mergeCell ref="AK6:AK8"/>
    <mergeCell ref="AO5:AP5"/>
  </mergeCells>
  <phoneticPr fontId="10" type="noConversion"/>
  <printOptions horizontalCentered="1" verticalCentered="1"/>
  <pageMargins left="0.19685039370078741" right="0.19685039370078741" top="0.19685039370078741" bottom="0.19685039370078741" header="0" footer="0"/>
  <pageSetup paperSize="9" scale="45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1496</v>
      </c>
    </row>
    <row r="2" spans="1:64" ht="26.25" x14ac:dyDescent="0.4">
      <c r="A2" s="5485" t="s">
        <v>348</v>
      </c>
      <c r="B2" s="5485"/>
      <c r="C2" s="5485"/>
      <c r="D2" s="5485"/>
      <c r="E2" s="5485"/>
      <c r="F2" s="5485"/>
      <c r="G2" s="5485"/>
      <c r="H2" s="5485"/>
      <c r="I2" s="5485"/>
      <c r="J2" s="5485"/>
      <c r="K2" s="5485"/>
      <c r="L2" s="5485"/>
      <c r="M2" s="5485"/>
      <c r="N2" s="5485"/>
      <c r="O2" s="5485"/>
      <c r="P2" s="5485"/>
      <c r="Q2" s="5485"/>
      <c r="R2" s="5485"/>
      <c r="S2" s="5485"/>
      <c r="T2" s="5485"/>
      <c r="U2" s="5485"/>
      <c r="V2" s="5485"/>
      <c r="W2" s="5485"/>
      <c r="X2" s="5485"/>
      <c r="Y2" s="5485"/>
      <c r="Z2" s="5485"/>
      <c r="AA2" s="5485"/>
      <c r="AB2" s="5485"/>
      <c r="AC2" s="5485"/>
      <c r="AD2" s="5485"/>
      <c r="AE2" s="5485"/>
      <c r="AF2" s="5485"/>
      <c r="AG2" s="5485"/>
      <c r="AH2" s="5485"/>
      <c r="AI2" s="5485"/>
      <c r="AJ2" s="5485"/>
      <c r="AK2" s="5485"/>
      <c r="AL2" s="5736"/>
      <c r="AM2" s="5736"/>
      <c r="AN2" s="5736"/>
      <c r="AO2" s="5736"/>
      <c r="AP2" s="5736"/>
      <c r="AQ2" s="5736"/>
      <c r="AR2" s="5736"/>
      <c r="AS2" s="5736"/>
      <c r="AT2" s="5736"/>
      <c r="AU2" s="5736"/>
      <c r="AV2" s="5736"/>
      <c r="AW2" s="5736"/>
      <c r="AX2" s="5736"/>
      <c r="AY2" s="5736"/>
      <c r="AZ2" s="5736"/>
      <c r="BA2" s="5736"/>
      <c r="BB2" s="5736"/>
      <c r="BC2" s="5736"/>
      <c r="BD2" s="5736"/>
      <c r="BE2" s="5736"/>
      <c r="BF2" s="5736"/>
      <c r="BG2" s="5736"/>
      <c r="BH2" s="5736"/>
      <c r="BI2" s="5736"/>
      <c r="BJ2" s="5736"/>
      <c r="BK2" s="5736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5708"/>
      <c r="B4" s="280"/>
      <c r="C4" s="280"/>
      <c r="D4" s="280"/>
      <c r="E4" s="298"/>
      <c r="F4" s="5711" t="s">
        <v>216</v>
      </c>
      <c r="G4" s="5712"/>
      <c r="H4" s="5712"/>
      <c r="I4" s="5712"/>
      <c r="J4" s="5713"/>
      <c r="K4" s="5717" t="s">
        <v>217</v>
      </c>
      <c r="L4" s="5712"/>
      <c r="M4" s="5712"/>
      <c r="N4" s="5712"/>
      <c r="O4" s="5718"/>
      <c r="P4" s="5711" t="s">
        <v>240</v>
      </c>
      <c r="Q4" s="5712"/>
      <c r="R4" s="5712"/>
      <c r="S4" s="5712"/>
      <c r="T4" s="5712"/>
      <c r="U4" s="5712"/>
      <c r="V4" s="5712"/>
      <c r="W4" s="5713"/>
      <c r="X4" s="5753" t="s">
        <v>154</v>
      </c>
      <c r="Y4" s="5754"/>
      <c r="Z4" s="5754"/>
      <c r="AA4" s="5754"/>
      <c r="AB4" s="5754"/>
      <c r="AC4" s="5754"/>
      <c r="AD4" s="5754"/>
      <c r="AE4" s="5754"/>
      <c r="AF4" s="5754"/>
      <c r="AG4" s="5754"/>
      <c r="AH4" s="5754"/>
      <c r="AI4" s="5754"/>
      <c r="AJ4" s="5754"/>
      <c r="AK4" s="5754"/>
      <c r="AL4" s="5754"/>
      <c r="AM4" s="5754"/>
      <c r="AN4" s="5754"/>
      <c r="AO4" s="5754"/>
      <c r="AP4" s="5750" t="s">
        <v>363</v>
      </c>
      <c r="AQ4" s="647"/>
      <c r="AR4" s="647"/>
      <c r="AS4" s="647"/>
      <c r="AT4" s="647"/>
      <c r="AU4" s="647"/>
      <c r="AV4" s="647"/>
      <c r="AW4" s="647"/>
      <c r="AX4" s="647"/>
      <c r="AY4" s="647"/>
      <c r="AZ4" s="647"/>
      <c r="BA4" s="647"/>
      <c r="BB4" s="647"/>
      <c r="BC4" s="647"/>
      <c r="BD4" s="647"/>
      <c r="BE4" s="647"/>
      <c r="BF4" s="647"/>
      <c r="BG4" s="647"/>
      <c r="BH4" s="647"/>
      <c r="BI4" s="273"/>
      <c r="BJ4" s="273"/>
      <c r="BK4" s="273"/>
      <c r="BL4" s="274"/>
    </row>
    <row r="5" spans="1:64" hidden="1" x14ac:dyDescent="0.2">
      <c r="A5" s="5709"/>
      <c r="B5" s="5721" t="s">
        <v>58</v>
      </c>
      <c r="C5" s="5721"/>
      <c r="D5" s="5721"/>
      <c r="E5" s="5722"/>
      <c r="F5" s="5714"/>
      <c r="G5" s="5715"/>
      <c r="H5" s="5715"/>
      <c r="I5" s="5715"/>
      <c r="J5" s="5716"/>
      <c r="K5" s="5719"/>
      <c r="L5" s="5715"/>
      <c r="M5" s="5715"/>
      <c r="N5" s="5715"/>
      <c r="O5" s="5720"/>
      <c r="P5" s="5714" t="s">
        <v>218</v>
      </c>
      <c r="Q5" s="5715"/>
      <c r="R5" s="5715"/>
      <c r="S5" s="5715"/>
      <c r="T5" s="5715" t="s">
        <v>241</v>
      </c>
      <c r="U5" s="5715"/>
      <c r="V5" s="5715"/>
      <c r="W5" s="5716"/>
      <c r="X5" s="5723" t="s">
        <v>159</v>
      </c>
      <c r="Y5" s="5724"/>
      <c r="Z5" s="5724"/>
      <c r="AA5" s="5724"/>
      <c r="AB5" s="5724"/>
      <c r="AC5" s="642"/>
      <c r="AD5" s="642"/>
      <c r="AE5" s="642"/>
      <c r="AF5" s="642"/>
      <c r="AG5" s="5724" t="s">
        <v>236</v>
      </c>
      <c r="AH5" s="5724"/>
      <c r="AI5" s="5724"/>
      <c r="AJ5" s="5724"/>
      <c r="AK5" s="5724"/>
      <c r="AL5" s="5748" t="s">
        <v>218</v>
      </c>
      <c r="AM5" s="5748"/>
      <c r="AN5" s="5748"/>
      <c r="AO5" s="5748"/>
      <c r="AP5" s="5751"/>
      <c r="AQ5" s="648"/>
      <c r="AR5" s="648"/>
      <c r="AS5" s="648"/>
      <c r="AT5" s="648"/>
      <c r="AU5" s="648"/>
      <c r="AV5" s="648"/>
      <c r="AW5" s="648"/>
      <c r="AX5" s="648"/>
      <c r="AY5" s="648"/>
      <c r="AZ5" s="648"/>
      <c r="BA5" s="648"/>
      <c r="BB5" s="648"/>
      <c r="BC5" s="648"/>
      <c r="BD5" s="648"/>
      <c r="BE5" s="648"/>
      <c r="BF5" s="648"/>
      <c r="BG5" s="648"/>
      <c r="BH5" s="648"/>
      <c r="BI5" s="5748" t="s">
        <v>361</v>
      </c>
      <c r="BJ5" s="5748"/>
      <c r="BK5" s="5748"/>
      <c r="BL5" s="5749"/>
    </row>
    <row r="6" spans="1:64" ht="57.75" hidden="1" customHeight="1" thickBot="1" x14ac:dyDescent="0.25">
      <c r="A6" s="5710"/>
      <c r="B6" s="263" t="s">
        <v>96</v>
      </c>
      <c r="C6" s="263" t="s">
        <v>117</v>
      </c>
      <c r="D6" s="263" t="s">
        <v>97</v>
      </c>
      <c r="E6" s="264" t="s">
        <v>98</v>
      </c>
      <c r="F6" s="262" t="s">
        <v>96</v>
      </c>
      <c r="G6" s="263" t="s">
        <v>117</v>
      </c>
      <c r="H6" s="263" t="s">
        <v>97</v>
      </c>
      <c r="I6" s="263" t="s">
        <v>65</v>
      </c>
      <c r="J6" s="261" t="s">
        <v>98</v>
      </c>
      <c r="K6" s="303" t="s">
        <v>96</v>
      </c>
      <c r="L6" s="263" t="s">
        <v>117</v>
      </c>
      <c r="M6" s="263" t="s">
        <v>97</v>
      </c>
      <c r="N6" s="263" t="s">
        <v>108</v>
      </c>
      <c r="O6" s="264" t="s">
        <v>98</v>
      </c>
      <c r="P6" s="262" t="s">
        <v>96</v>
      </c>
      <c r="Q6" s="263" t="s">
        <v>117</v>
      </c>
      <c r="R6" s="263" t="s">
        <v>97</v>
      </c>
      <c r="S6" s="263" t="s">
        <v>98</v>
      </c>
      <c r="T6" s="263" t="s">
        <v>96</v>
      </c>
      <c r="U6" s="263" t="s">
        <v>117</v>
      </c>
      <c r="V6" s="263" t="s">
        <v>97</v>
      </c>
      <c r="W6" s="261" t="s">
        <v>98</v>
      </c>
      <c r="X6" s="262" t="s">
        <v>96</v>
      </c>
      <c r="Y6" s="263" t="s">
        <v>117</v>
      </c>
      <c r="Z6" s="263" t="s">
        <v>97</v>
      </c>
      <c r="AA6" s="263" t="s">
        <v>158</v>
      </c>
      <c r="AB6" s="263" t="s">
        <v>98</v>
      </c>
      <c r="AC6" s="263"/>
      <c r="AD6" s="263"/>
      <c r="AE6" s="263"/>
      <c r="AF6" s="263"/>
      <c r="AG6" s="263" t="s">
        <v>96</v>
      </c>
      <c r="AH6" s="263" t="s">
        <v>123</v>
      </c>
      <c r="AI6" s="263" t="s">
        <v>97</v>
      </c>
      <c r="AJ6" s="263" t="s">
        <v>115</v>
      </c>
      <c r="AK6" s="263" t="s">
        <v>98</v>
      </c>
      <c r="AL6" s="263" t="s">
        <v>96</v>
      </c>
      <c r="AM6" s="263" t="s">
        <v>117</v>
      </c>
      <c r="AN6" s="263" t="s">
        <v>97</v>
      </c>
      <c r="AO6" s="263" t="s">
        <v>98</v>
      </c>
      <c r="AP6" s="5752"/>
      <c r="AQ6" s="584"/>
      <c r="AR6" s="584"/>
      <c r="AS6" s="584"/>
      <c r="AT6" s="584"/>
      <c r="AU6" s="584"/>
      <c r="AV6" s="584"/>
      <c r="AW6" s="584"/>
      <c r="AX6" s="584"/>
      <c r="AY6" s="584"/>
      <c r="AZ6" s="584"/>
      <c r="BA6" s="584"/>
      <c r="BB6" s="584"/>
      <c r="BC6" s="584"/>
      <c r="BD6" s="584"/>
      <c r="BE6" s="584"/>
      <c r="BF6" s="584"/>
      <c r="BG6" s="584"/>
      <c r="BH6" s="584"/>
      <c r="BI6" s="263" t="s">
        <v>96</v>
      </c>
      <c r="BJ6" s="263" t="s">
        <v>117</v>
      </c>
      <c r="BK6" s="263" t="s">
        <v>97</v>
      </c>
      <c r="BL6" s="261" t="s">
        <v>98</v>
      </c>
    </row>
    <row r="7" spans="1:64" hidden="1" x14ac:dyDescent="0.2">
      <c r="A7" s="292" t="s">
        <v>99</v>
      </c>
      <c r="B7" s="145">
        <v>12.19</v>
      </c>
      <c r="C7" s="278">
        <f>B7/C16*1000</f>
        <v>1.3791308873276085</v>
      </c>
      <c r="D7" s="293">
        <f t="shared" ref="D7:D12" si="0">E7/B7*1000</f>
        <v>40804.91714520099</v>
      </c>
      <c r="E7" s="267">
        <v>497.41194000000002</v>
      </c>
      <c r="F7" s="311">
        <v>8.9149999999999991</v>
      </c>
      <c r="G7" s="278">
        <f>F7/G16*1000</f>
        <v>1.0058784370804137</v>
      </c>
      <c r="H7" s="293">
        <f>J7/F7*1000</f>
        <v>52361.18900729109</v>
      </c>
      <c r="I7" s="276">
        <f>H7/D7*100</f>
        <v>128.32078256884591</v>
      </c>
      <c r="J7" s="297">
        <v>466.8</v>
      </c>
      <c r="K7" s="304">
        <v>7.5220000000000002</v>
      </c>
      <c r="L7" s="278">
        <f>K7/L16*1000</f>
        <v>0.89837451778953537</v>
      </c>
      <c r="M7" s="293">
        <v>65249</v>
      </c>
      <c r="N7" s="276">
        <f>M7/H7*100</f>
        <v>124.61328941730932</v>
      </c>
      <c r="O7" s="267">
        <f>K7*M7/1000</f>
        <v>490.802978</v>
      </c>
      <c r="P7" s="311">
        <v>6.18</v>
      </c>
      <c r="Q7" s="278" t="e">
        <f>P7/Q16*1000</f>
        <v>#REF!</v>
      </c>
      <c r="R7" s="293">
        <v>71300</v>
      </c>
      <c r="S7" s="278">
        <f>P7*R7/1000</f>
        <v>440.63400000000001</v>
      </c>
      <c r="T7" s="278">
        <v>7.98</v>
      </c>
      <c r="U7" s="294">
        <f>T7/$T$16*1000</f>
        <v>0.87046632124352341</v>
      </c>
      <c r="V7" s="275">
        <v>71.441000000000003</v>
      </c>
      <c r="W7" s="297">
        <f>T7*V7</f>
        <v>570.09918000000005</v>
      </c>
      <c r="X7" s="152">
        <v>50</v>
      </c>
      <c r="Y7" s="20">
        <f>X7/Y16*1000</f>
        <v>7.508522172665975</v>
      </c>
      <c r="Z7" s="145">
        <v>75500</v>
      </c>
      <c r="AA7" s="276">
        <f>Z7/R7*100</f>
        <v>105.89060308555401</v>
      </c>
      <c r="AB7" s="145">
        <f>X7*Z7/1000</f>
        <v>3775</v>
      </c>
      <c r="AC7" s="145"/>
      <c r="AD7" s="145"/>
      <c r="AE7" s="145"/>
      <c r="AF7" s="145"/>
      <c r="AG7" s="278" t="e">
        <f>AH16*AH7/1000</f>
        <v>#REF!</v>
      </c>
      <c r="AH7" s="278">
        <v>6.08</v>
      </c>
      <c r="AI7" s="145">
        <f>R7*1.069</f>
        <v>76219.7</v>
      </c>
      <c r="AJ7" s="295">
        <f>AI7/R7*100</f>
        <v>106.89999999999999</v>
      </c>
      <c r="AK7" s="20" t="e">
        <f>AG7*AI7/1000</f>
        <v>#REF!</v>
      </c>
      <c r="AL7" s="278">
        <v>3.1</v>
      </c>
      <c r="AM7" s="278">
        <f>AL7/AM16*1000</f>
        <v>0.52321558169758142</v>
      </c>
      <c r="AN7" s="277">
        <f>AO7/AL7*1000</f>
        <v>72000</v>
      </c>
      <c r="AO7" s="278">
        <v>223.2</v>
      </c>
      <c r="AP7" s="296">
        <f>(BJ7+U7+L7+G7)/4</f>
        <v>0.81842936278323364</v>
      </c>
      <c r="AQ7" s="296"/>
      <c r="AR7" s="296"/>
      <c r="AS7" s="296"/>
      <c r="AT7" s="296"/>
      <c r="AU7" s="296"/>
      <c r="AV7" s="296"/>
      <c r="AW7" s="296"/>
      <c r="AX7" s="296"/>
      <c r="AY7" s="296"/>
      <c r="AZ7" s="296"/>
      <c r="BA7" s="296"/>
      <c r="BB7" s="296"/>
      <c r="BC7" s="296"/>
      <c r="BD7" s="296"/>
      <c r="BE7" s="296"/>
      <c r="BF7" s="296"/>
      <c r="BG7" s="296"/>
      <c r="BH7" s="296"/>
      <c r="BI7" s="278">
        <v>3.91</v>
      </c>
      <c r="BJ7" s="294">
        <f>BI7/BJ16*1000</f>
        <v>0.4989981750194622</v>
      </c>
      <c r="BK7" s="277">
        <f>BL7/BI7*1000</f>
        <v>71994.88491048594</v>
      </c>
      <c r="BL7" s="297">
        <v>281.5</v>
      </c>
    </row>
    <row r="8" spans="1:64" hidden="1" x14ac:dyDescent="0.2">
      <c r="A8" s="251" t="s">
        <v>100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299">
        <v>1702.42668</v>
      </c>
      <c r="F8" s="266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2">
        <v>1787</v>
      </c>
      <c r="K8" s="305">
        <v>36</v>
      </c>
      <c r="L8" s="23">
        <f>K8/L16*1000</f>
        <v>4.2995855677244448</v>
      </c>
      <c r="M8" s="19">
        <v>52781</v>
      </c>
      <c r="N8" s="6"/>
      <c r="O8" s="299">
        <f>K8*M8/1000</f>
        <v>1900.116</v>
      </c>
      <c r="P8" s="244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6">
        <f t="shared" ref="U8:U13" si="1">T8/$T$16*1000</f>
        <v>5.6853013362421594</v>
      </c>
      <c r="V8" s="57">
        <v>52.529000000000003</v>
      </c>
      <c r="W8" s="281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593"/>
      <c r="AD8" s="593"/>
      <c r="AE8" s="593"/>
      <c r="AF8" s="593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69">
        <f>(BJ8+U8+L8+G8)/4</f>
        <v>5.3903583785855904</v>
      </c>
      <c r="AQ8" s="649"/>
      <c r="AR8" s="649"/>
      <c r="AS8" s="649"/>
      <c r="AT8" s="649"/>
      <c r="AU8" s="649"/>
      <c r="AV8" s="649"/>
      <c r="AW8" s="649"/>
      <c r="AX8" s="649"/>
      <c r="AY8" s="649"/>
      <c r="AZ8" s="649"/>
      <c r="BA8" s="649"/>
      <c r="BB8" s="649"/>
      <c r="BC8" s="649"/>
      <c r="BD8" s="649"/>
      <c r="BE8" s="649"/>
      <c r="BF8" s="649"/>
      <c r="BG8" s="649"/>
      <c r="BH8" s="649"/>
      <c r="BI8" s="23">
        <v>50.97</v>
      </c>
      <c r="BJ8" s="272">
        <f>BI8/BJ16*1000</f>
        <v>6.5048432175810706</v>
      </c>
      <c r="BK8" s="135">
        <f>BL8/BI8*1000</f>
        <v>48828.72277810477</v>
      </c>
      <c r="BL8" s="281">
        <v>2488.8000000000002</v>
      </c>
    </row>
    <row r="9" spans="1:64" hidden="1" x14ac:dyDescent="0.2">
      <c r="A9" s="251" t="s">
        <v>105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299">
        <v>3221.8826899999999</v>
      </c>
      <c r="F9" s="266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1">
        <v>1393.6</v>
      </c>
      <c r="K9" s="306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299">
        <v>959.8</v>
      </c>
      <c r="P9" s="266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6">
        <f t="shared" si="1"/>
        <v>49.316607581128991</v>
      </c>
      <c r="V9" s="57">
        <v>6.774</v>
      </c>
      <c r="W9" s="281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593"/>
      <c r="AD9" s="593"/>
      <c r="AE9" s="593"/>
      <c r="AF9" s="593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69">
        <f>(BJ9+U9+L9+G9)/4</f>
        <v>30.576811943690544</v>
      </c>
      <c r="AQ9" s="649"/>
      <c r="AR9" s="649"/>
      <c r="AS9" s="649"/>
      <c r="AT9" s="649"/>
      <c r="AU9" s="649"/>
      <c r="AV9" s="649"/>
      <c r="AW9" s="649"/>
      <c r="AX9" s="649"/>
      <c r="AY9" s="649"/>
      <c r="AZ9" s="649"/>
      <c r="BA9" s="649"/>
      <c r="BB9" s="649"/>
      <c r="BC9" s="649"/>
      <c r="BD9" s="649"/>
      <c r="BE9" s="649"/>
      <c r="BF9" s="649"/>
      <c r="BG9" s="649"/>
      <c r="BH9" s="649"/>
      <c r="BI9" s="15">
        <v>152</v>
      </c>
      <c r="BJ9" s="146">
        <f>BI9/BJ16*1000</f>
        <v>19.398394527610808</v>
      </c>
      <c r="BK9" s="135">
        <f>BL9/BI9*1000</f>
        <v>6569.0789473684208</v>
      </c>
      <c r="BL9" s="281">
        <v>998.5</v>
      </c>
    </row>
    <row r="10" spans="1:64" hidden="1" x14ac:dyDescent="0.2">
      <c r="A10" s="251" t="s">
        <v>101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299">
        <v>284.79372000000001</v>
      </c>
      <c r="F10" s="266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1">
        <v>340.5</v>
      </c>
      <c r="K10" s="306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299">
        <f>K10*M10/1000</f>
        <v>184.49838</v>
      </c>
      <c r="P10" s="266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6">
        <f t="shared" si="1"/>
        <v>3.4033269702754292</v>
      </c>
      <c r="V10" s="57">
        <v>34.554000000000002</v>
      </c>
      <c r="W10" s="281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593"/>
      <c r="AD10" s="593"/>
      <c r="AE10" s="593"/>
      <c r="AF10" s="593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69">
        <f>(BJ10+U10+L10+G10)/4</f>
        <v>1.8378304705924196</v>
      </c>
      <c r="AQ10" s="649"/>
      <c r="AR10" s="649"/>
      <c r="AS10" s="649"/>
      <c r="AT10" s="649"/>
      <c r="AU10" s="649"/>
      <c r="AV10" s="649"/>
      <c r="AW10" s="649"/>
      <c r="AX10" s="649"/>
      <c r="AY10" s="649"/>
      <c r="AZ10" s="649"/>
      <c r="BA10" s="649"/>
      <c r="BB10" s="649"/>
      <c r="BC10" s="649"/>
      <c r="BD10" s="649"/>
      <c r="BE10" s="649"/>
      <c r="BF10" s="649"/>
      <c r="BG10" s="649"/>
      <c r="BH10" s="649"/>
      <c r="BI10" s="15">
        <v>13.47</v>
      </c>
      <c r="BJ10" s="146">
        <f>BI10/BJ16*1000</f>
        <v>1.719055093992879</v>
      </c>
      <c r="BK10" s="135">
        <f>BL10/BI10*1000</f>
        <v>23786.191536748327</v>
      </c>
      <c r="BL10" s="281">
        <v>320.39999999999998</v>
      </c>
    </row>
    <row r="11" spans="1:64" hidden="1" x14ac:dyDescent="0.2">
      <c r="A11" s="251" t="s">
        <v>102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299">
        <v>135.47566</v>
      </c>
      <c r="F11" s="266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1">
        <v>236.2</v>
      </c>
      <c r="K11" s="306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299">
        <f>K11*M11/1000</f>
        <v>128.99974</v>
      </c>
      <c r="P11" s="266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6">
        <f t="shared" si="1"/>
        <v>2.449959094627761</v>
      </c>
      <c r="V11" s="57">
        <v>20.271999999999998</v>
      </c>
      <c r="W11" s="281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593"/>
      <c r="AD11" s="593"/>
      <c r="AE11" s="593"/>
      <c r="AF11" s="593"/>
      <c r="AG11" s="15" t="e">
        <f>AH11*AH16/1000</f>
        <v>#REF!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 t="e">
        <f>AG11*AI11/1000</f>
        <v>#REF!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69">
        <f>(BJ11+U11+L11+G11)/4</f>
        <v>1.4416154920312136</v>
      </c>
      <c r="AQ11" s="649"/>
      <c r="AR11" s="649"/>
      <c r="AS11" s="649"/>
      <c r="AT11" s="649"/>
      <c r="AU11" s="649"/>
      <c r="AV11" s="649"/>
      <c r="AW11" s="649"/>
      <c r="AX11" s="649"/>
      <c r="AY11" s="649"/>
      <c r="AZ11" s="649"/>
      <c r="BA11" s="649"/>
      <c r="BB11" s="649"/>
      <c r="BC11" s="649"/>
      <c r="BD11" s="649"/>
      <c r="BE11" s="649"/>
      <c r="BF11" s="649"/>
      <c r="BG11" s="649"/>
      <c r="BH11" s="649"/>
      <c r="BI11" s="15">
        <v>9.32</v>
      </c>
      <c r="BJ11" s="146">
        <f>BI11/BJ16*1000</f>
        <v>1.1894278749824523</v>
      </c>
      <c r="BK11" s="135">
        <f>BL11/BI11*1000</f>
        <v>19978.540772532189</v>
      </c>
      <c r="BL11" s="281">
        <v>186.2</v>
      </c>
    </row>
    <row r="12" spans="1:64" hidden="1" x14ac:dyDescent="0.2">
      <c r="A12" s="251" t="s">
        <v>103</v>
      </c>
      <c r="B12" s="4">
        <v>0.05</v>
      </c>
      <c r="C12" s="4"/>
      <c r="D12" s="19">
        <f t="shared" si="0"/>
        <v>44000</v>
      </c>
      <c r="E12" s="299">
        <v>2.2000000000000002</v>
      </c>
      <c r="F12" s="266"/>
      <c r="G12" s="15"/>
      <c r="H12" s="15"/>
      <c r="I12" s="15"/>
      <c r="J12" s="281"/>
      <c r="K12" s="306"/>
      <c r="L12" s="15"/>
      <c r="M12" s="15"/>
      <c r="N12" s="15"/>
      <c r="O12" s="299"/>
      <c r="P12" s="266"/>
      <c r="Q12" s="15"/>
      <c r="R12" s="15"/>
      <c r="S12" s="15"/>
      <c r="T12" s="15"/>
      <c r="U12" s="146"/>
      <c r="V12" s="57"/>
      <c r="W12" s="281"/>
      <c r="X12" s="251"/>
      <c r="Y12" s="3"/>
      <c r="Z12" s="3"/>
      <c r="AA12" s="3"/>
      <c r="AB12" s="4"/>
      <c r="AC12" s="593"/>
      <c r="AD12" s="593"/>
      <c r="AE12" s="593"/>
      <c r="AF12" s="593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579"/>
      <c r="AR12" s="579"/>
      <c r="AS12" s="579"/>
      <c r="AT12" s="579"/>
      <c r="AU12" s="579"/>
      <c r="AV12" s="579"/>
      <c r="AW12" s="579"/>
      <c r="AX12" s="579"/>
      <c r="AY12" s="579"/>
      <c r="AZ12" s="579"/>
      <c r="BA12" s="579"/>
      <c r="BB12" s="579"/>
      <c r="BC12" s="579"/>
      <c r="BD12" s="579"/>
      <c r="BE12" s="579"/>
      <c r="BF12" s="579"/>
      <c r="BG12" s="579"/>
      <c r="BH12" s="579"/>
      <c r="BI12" s="15"/>
      <c r="BJ12" s="15"/>
      <c r="BK12" s="135"/>
      <c r="BL12" s="281"/>
    </row>
    <row r="13" spans="1:64" hidden="1" x14ac:dyDescent="0.2">
      <c r="A13" s="251" t="s">
        <v>219</v>
      </c>
      <c r="B13" s="4"/>
      <c r="C13" s="4"/>
      <c r="D13" s="19"/>
      <c r="E13" s="299"/>
      <c r="F13" s="266"/>
      <c r="G13" s="15"/>
      <c r="H13" s="15"/>
      <c r="I13" s="15"/>
      <c r="J13" s="281"/>
      <c r="K13" s="306"/>
      <c r="L13" s="15"/>
      <c r="M13" s="15"/>
      <c r="N13" s="15"/>
      <c r="O13" s="299"/>
      <c r="P13" s="266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6">
        <f t="shared" si="1"/>
        <v>0.109080992637033</v>
      </c>
      <c r="V13" s="57">
        <v>44.253</v>
      </c>
      <c r="W13" s="281">
        <f t="shared" si="2"/>
        <v>44.253</v>
      </c>
      <c r="X13" s="251"/>
      <c r="Y13" s="3"/>
      <c r="Z13" s="3"/>
      <c r="AA13" s="3"/>
      <c r="AB13" s="4"/>
      <c r="AC13" s="593"/>
      <c r="AD13" s="593"/>
      <c r="AE13" s="593"/>
      <c r="AF13" s="593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579"/>
      <c r="AR13" s="579"/>
      <c r="AS13" s="579"/>
      <c r="AT13" s="579"/>
      <c r="AU13" s="579"/>
      <c r="AV13" s="579"/>
      <c r="AW13" s="579"/>
      <c r="AX13" s="579"/>
      <c r="AY13" s="579"/>
      <c r="AZ13" s="579"/>
      <c r="BA13" s="579"/>
      <c r="BB13" s="579"/>
      <c r="BC13" s="579"/>
      <c r="BD13" s="579"/>
      <c r="BE13" s="579"/>
      <c r="BF13" s="579"/>
      <c r="BG13" s="579"/>
      <c r="BH13" s="579"/>
      <c r="BI13" s="15">
        <v>0</v>
      </c>
      <c r="BJ13" s="15">
        <f>BI13/BJ16*1000</f>
        <v>0</v>
      </c>
      <c r="BK13" s="135">
        <v>0</v>
      </c>
      <c r="BL13" s="281"/>
    </row>
    <row r="14" spans="1:64" hidden="1" x14ac:dyDescent="0.2">
      <c r="A14" s="251" t="s">
        <v>104</v>
      </c>
      <c r="B14" s="4"/>
      <c r="C14" s="4"/>
      <c r="D14" s="4"/>
      <c r="E14" s="299">
        <v>45.360750000000003</v>
      </c>
      <c r="F14" s="266"/>
      <c r="G14" s="15"/>
      <c r="H14" s="15"/>
      <c r="I14" s="15"/>
      <c r="J14" s="281">
        <v>85</v>
      </c>
      <c r="K14" s="306"/>
      <c r="L14" s="15"/>
      <c r="M14" s="15"/>
      <c r="N14" s="15"/>
      <c r="O14" s="299">
        <v>132.6</v>
      </c>
      <c r="P14" s="266"/>
      <c r="Q14" s="15"/>
      <c r="R14" s="15"/>
      <c r="S14" s="15"/>
      <c r="T14" s="15"/>
      <c r="U14" s="15"/>
      <c r="V14" s="15"/>
      <c r="W14" s="281">
        <v>115.3</v>
      </c>
      <c r="X14" s="251"/>
      <c r="Y14" s="3"/>
      <c r="Z14" s="3"/>
      <c r="AA14" s="3"/>
      <c r="AB14" s="4">
        <v>110.4</v>
      </c>
      <c r="AC14" s="593"/>
      <c r="AD14" s="593"/>
      <c r="AE14" s="593"/>
      <c r="AF14" s="593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579"/>
      <c r="AR14" s="579"/>
      <c r="AS14" s="579"/>
      <c r="AT14" s="579"/>
      <c r="AU14" s="579"/>
      <c r="AV14" s="579"/>
      <c r="AW14" s="579"/>
      <c r="AX14" s="579"/>
      <c r="AY14" s="579"/>
      <c r="AZ14" s="579"/>
      <c r="BA14" s="579"/>
      <c r="BB14" s="579"/>
      <c r="BC14" s="579"/>
      <c r="BD14" s="579"/>
      <c r="BE14" s="579"/>
      <c r="BF14" s="579"/>
      <c r="BG14" s="579"/>
      <c r="BH14" s="579"/>
      <c r="BI14" s="15"/>
      <c r="BJ14" s="15"/>
      <c r="BK14" s="135"/>
      <c r="BL14" s="281">
        <v>133</v>
      </c>
    </row>
    <row r="15" spans="1:64" hidden="1" x14ac:dyDescent="0.2">
      <c r="A15" s="252" t="s">
        <v>86</v>
      </c>
      <c r="B15" s="9"/>
      <c r="C15" s="9"/>
      <c r="D15" s="9"/>
      <c r="E15" s="300">
        <f>SUM(E7:E14)</f>
        <v>5889.5514399999993</v>
      </c>
      <c r="F15" s="313"/>
      <c r="G15" s="13"/>
      <c r="H15" s="13"/>
      <c r="I15" s="13"/>
      <c r="J15" s="282">
        <f>SUM(J7:J14)</f>
        <v>4309.1000000000004</v>
      </c>
      <c r="K15" s="307"/>
      <c r="L15" s="13"/>
      <c r="M15" s="13"/>
      <c r="N15" s="13"/>
      <c r="O15" s="300">
        <f>SUM(O7:O14)</f>
        <v>3796.817098</v>
      </c>
      <c r="P15" s="313"/>
      <c r="Q15" s="13"/>
      <c r="R15" s="13"/>
      <c r="S15" s="13">
        <f>SUM(S7:S14)</f>
        <v>5611.8730000000005</v>
      </c>
      <c r="T15" s="13"/>
      <c r="U15" s="13"/>
      <c r="V15" s="13"/>
      <c r="W15" s="282">
        <f>SUM(W7:W14)</f>
        <v>8063.4507200000007</v>
      </c>
      <c r="X15" s="252"/>
      <c r="Y15" s="8"/>
      <c r="Z15" s="8"/>
      <c r="AA15" s="8"/>
      <c r="AB15" s="9">
        <f>SUM(AB7:AB14)</f>
        <v>6597.94</v>
      </c>
      <c r="AC15" s="642"/>
      <c r="AD15" s="642"/>
      <c r="AE15" s="642"/>
      <c r="AF15" s="642"/>
      <c r="AG15" s="4"/>
      <c r="AH15" s="4"/>
      <c r="AI15" s="4"/>
      <c r="AJ15" s="7"/>
      <c r="AK15" s="10" t="e">
        <f>SUM(AK7:AK14)</f>
        <v>#REF!</v>
      </c>
      <c r="AL15" s="13"/>
      <c r="AM15" s="13"/>
      <c r="AN15" s="134"/>
      <c r="AO15" s="13">
        <f>SUM(AO7:AO14)</f>
        <v>3669.9999999999995</v>
      </c>
      <c r="AP15" s="25"/>
      <c r="AQ15" s="579"/>
      <c r="AR15" s="579"/>
      <c r="AS15" s="579"/>
      <c r="AT15" s="579"/>
      <c r="AU15" s="579"/>
      <c r="AV15" s="579"/>
      <c r="AW15" s="579"/>
      <c r="AX15" s="579"/>
      <c r="AY15" s="579"/>
      <c r="AZ15" s="579"/>
      <c r="BA15" s="579"/>
      <c r="BB15" s="579"/>
      <c r="BC15" s="579"/>
      <c r="BD15" s="579"/>
      <c r="BE15" s="579"/>
      <c r="BF15" s="579"/>
      <c r="BG15" s="579"/>
      <c r="BH15" s="579"/>
      <c r="BI15" s="13"/>
      <c r="BJ15" s="13"/>
      <c r="BK15" s="134"/>
      <c r="BL15" s="282">
        <f>SUM(BL7:BL14)</f>
        <v>4408.4000000000005</v>
      </c>
    </row>
    <row r="16" spans="1:64" ht="25.5" hidden="1" x14ac:dyDescent="0.2">
      <c r="A16" s="283" t="s">
        <v>124</v>
      </c>
      <c r="B16" s="22"/>
      <c r="C16" s="22">
        <f>'объемы ВС и ВО 2023'!C10</f>
        <v>8838.9000000000015</v>
      </c>
      <c r="D16" s="22"/>
      <c r="E16" s="243"/>
      <c r="F16" s="314"/>
      <c r="G16" s="18">
        <f>'объемы ВС и ВО 2023'!E10</f>
        <v>8862.9</v>
      </c>
      <c r="H16" s="58"/>
      <c r="I16" s="58"/>
      <c r="J16" s="245"/>
      <c r="K16" s="308"/>
      <c r="L16" s="59">
        <f>'объемы ВС и ВО 2023'!G10</f>
        <v>8372.9</v>
      </c>
      <c r="M16" s="58"/>
      <c r="N16" s="58"/>
      <c r="O16" s="243"/>
      <c r="P16" s="314"/>
      <c r="Q16" s="58" t="e">
        <f>'объемы ВС и ВО 2023'!#REF!</f>
        <v>#REF!</v>
      </c>
      <c r="R16" s="58"/>
      <c r="S16" s="58"/>
      <c r="T16" s="58">
        <v>9167.5</v>
      </c>
      <c r="U16" s="58"/>
      <c r="V16" s="58"/>
      <c r="W16" s="245"/>
      <c r="X16" s="253"/>
      <c r="Y16" s="22">
        <f>'объемы ВС и ВО 2023'!M10</f>
        <v>6659.1</v>
      </c>
      <c r="Z16" s="22"/>
      <c r="AA16" s="60"/>
      <c r="AB16" s="22"/>
      <c r="AC16" s="646"/>
      <c r="AD16" s="646"/>
      <c r="AE16" s="646"/>
      <c r="AF16" s="646"/>
      <c r="AG16" s="2"/>
      <c r="AH16" s="22" t="e">
        <f>'объемы ВС и ВО 2023'!#REF!</f>
        <v>#REF!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579"/>
      <c r="AR16" s="579"/>
      <c r="AS16" s="579"/>
      <c r="AT16" s="579"/>
      <c r="AU16" s="579"/>
      <c r="AV16" s="579"/>
      <c r="AW16" s="579"/>
      <c r="AX16" s="579"/>
      <c r="AY16" s="579"/>
      <c r="AZ16" s="579"/>
      <c r="BA16" s="579"/>
      <c r="BB16" s="579"/>
      <c r="BC16" s="579"/>
      <c r="BD16" s="579"/>
      <c r="BE16" s="579"/>
      <c r="BF16" s="579"/>
      <c r="BG16" s="579"/>
      <c r="BH16" s="579"/>
      <c r="BI16" s="58"/>
      <c r="BJ16" s="58">
        <v>7835.7</v>
      </c>
      <c r="BK16" s="133"/>
      <c r="BL16" s="245"/>
    </row>
    <row r="17" spans="1:64" hidden="1" x14ac:dyDescent="0.2">
      <c r="A17" s="252"/>
      <c r="B17" s="9"/>
      <c r="C17" s="9"/>
      <c r="D17" s="9"/>
      <c r="E17" s="300"/>
      <c r="F17" s="313"/>
      <c r="G17" s="13"/>
      <c r="H17" s="13"/>
      <c r="I17" s="13"/>
      <c r="J17" s="282"/>
      <c r="K17" s="307"/>
      <c r="L17" s="13"/>
      <c r="M17" s="13"/>
      <c r="N17" s="13"/>
      <c r="O17" s="300"/>
      <c r="P17" s="313"/>
      <c r="Q17" s="13"/>
      <c r="R17" s="13"/>
      <c r="S17" s="13"/>
      <c r="T17" s="13"/>
      <c r="U17" s="13"/>
      <c r="V17" s="13"/>
      <c r="W17" s="282"/>
      <c r="X17" s="252"/>
      <c r="Y17" s="8"/>
      <c r="Z17" s="8"/>
      <c r="AA17" s="8"/>
      <c r="AB17" s="9"/>
      <c r="AC17" s="642"/>
      <c r="AD17" s="642"/>
      <c r="AE17" s="642"/>
      <c r="AF17" s="642"/>
      <c r="AG17" s="4"/>
      <c r="AH17" s="4"/>
      <c r="AI17" s="4"/>
      <c r="AJ17" s="7"/>
      <c r="AK17" s="10"/>
      <c r="AL17" s="164"/>
      <c r="AM17" s="164"/>
      <c r="AN17" s="170"/>
      <c r="AO17" s="164"/>
      <c r="AP17" s="25"/>
      <c r="AQ17" s="579"/>
      <c r="AR17" s="579"/>
      <c r="AS17" s="579"/>
      <c r="AT17" s="579"/>
      <c r="AU17" s="579"/>
      <c r="AV17" s="579"/>
      <c r="AW17" s="579"/>
      <c r="AX17" s="579"/>
      <c r="AY17" s="579"/>
      <c r="AZ17" s="579"/>
      <c r="BA17" s="579"/>
      <c r="BB17" s="579"/>
      <c r="BC17" s="579"/>
      <c r="BD17" s="579"/>
      <c r="BE17" s="579"/>
      <c r="BF17" s="579"/>
      <c r="BG17" s="579"/>
      <c r="BH17" s="579"/>
      <c r="BI17" s="164"/>
      <c r="BJ17" s="164"/>
      <c r="BK17" s="170"/>
      <c r="BL17" s="284"/>
    </row>
    <row r="18" spans="1:64" hidden="1" x14ac:dyDescent="0.2">
      <c r="A18" s="251" t="s">
        <v>99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5">
        <v>88.7</v>
      </c>
      <c r="K18" s="309"/>
      <c r="L18" s="24"/>
      <c r="M18" s="24"/>
      <c r="N18" s="24"/>
      <c r="O18" s="317"/>
      <c r="P18" s="318"/>
      <c r="Q18" s="24"/>
      <c r="R18" s="24"/>
      <c r="S18" s="24"/>
      <c r="T18" s="24"/>
      <c r="U18" s="24"/>
      <c r="V18" s="24"/>
      <c r="W18" s="315"/>
      <c r="X18" s="251"/>
      <c r="Y18" s="3"/>
      <c r="Z18" s="3"/>
      <c r="AA18" s="3"/>
      <c r="AB18" s="4"/>
      <c r="AC18" s="593"/>
      <c r="AD18" s="593"/>
      <c r="AE18" s="593"/>
      <c r="AF18" s="593"/>
      <c r="AG18" s="4"/>
      <c r="AH18" s="4"/>
      <c r="AI18" s="4"/>
      <c r="AJ18" s="7"/>
      <c r="AK18" s="4"/>
      <c r="AL18" s="165"/>
      <c r="AM18" s="165"/>
      <c r="AN18" s="171"/>
      <c r="AO18" s="165"/>
      <c r="AP18" s="25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165"/>
      <c r="BJ18" s="165"/>
      <c r="BK18" s="171"/>
      <c r="BL18" s="285"/>
    </row>
    <row r="19" spans="1:64" hidden="1" x14ac:dyDescent="0.2">
      <c r="A19" s="251" t="s">
        <v>100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5">
        <v>387.5</v>
      </c>
      <c r="K19" s="309">
        <v>8.76</v>
      </c>
      <c r="L19" s="24">
        <f>K19/L23*1000</f>
        <v>2.1401348578129578</v>
      </c>
      <c r="M19" s="24">
        <v>52540</v>
      </c>
      <c r="N19" s="24"/>
      <c r="O19" s="317">
        <f>K19*M19/1000</f>
        <v>460.25039999999996</v>
      </c>
      <c r="P19" s="318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5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591"/>
      <c r="AD19" s="591"/>
      <c r="AE19" s="591"/>
      <c r="AF19" s="591"/>
      <c r="AG19" s="12" t="e">
        <f>AH19*AH23/1000</f>
        <v>#REF!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 t="e">
        <f>AG19*AI19/1000</f>
        <v>#REF!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69">
        <f>(BJ19+U19+L19+G19)/4</f>
        <v>2.1283056727349026</v>
      </c>
      <c r="AQ19" s="649"/>
      <c r="AR19" s="649"/>
      <c r="AS19" s="649"/>
      <c r="AT19" s="649"/>
      <c r="AU19" s="649"/>
      <c r="AV19" s="649"/>
      <c r="AW19" s="649"/>
      <c r="AX19" s="649"/>
      <c r="AY19" s="649"/>
      <c r="AZ19" s="649"/>
      <c r="BA19" s="649"/>
      <c r="BB19" s="649"/>
      <c r="BC19" s="649"/>
      <c r="BD19" s="649"/>
      <c r="BE19" s="649"/>
      <c r="BF19" s="649"/>
      <c r="BG19" s="649"/>
      <c r="BH19" s="649"/>
      <c r="BI19" s="24">
        <v>9.75</v>
      </c>
      <c r="BJ19" s="24">
        <f>BI19/BJ23*1000</f>
        <v>2.5649794801641588</v>
      </c>
      <c r="BK19" s="135">
        <v>47190</v>
      </c>
      <c r="BL19" s="315">
        <v>460.1</v>
      </c>
    </row>
    <row r="20" spans="1:64" hidden="1" x14ac:dyDescent="0.2">
      <c r="A20" s="286" t="s">
        <v>107</v>
      </c>
      <c r="B20" s="3"/>
      <c r="C20" s="3"/>
      <c r="D20" s="3"/>
      <c r="E20" s="79"/>
      <c r="F20" s="44"/>
      <c r="G20" s="4"/>
      <c r="H20" s="4"/>
      <c r="I20" s="3"/>
      <c r="J20" s="315"/>
      <c r="K20" s="309"/>
      <c r="L20" s="24"/>
      <c r="M20" s="24"/>
      <c r="N20" s="24"/>
      <c r="O20" s="317"/>
      <c r="P20" s="318"/>
      <c r="Q20" s="24"/>
      <c r="R20" s="24"/>
      <c r="S20" s="24"/>
      <c r="T20" s="24">
        <v>0.17</v>
      </c>
      <c r="U20" s="24"/>
      <c r="V20" s="24"/>
      <c r="W20" s="315">
        <v>2.2000000000000002</v>
      </c>
      <c r="X20" s="251"/>
      <c r="Y20" s="3"/>
      <c r="Z20" s="3"/>
      <c r="AA20" s="3"/>
      <c r="AB20" s="4"/>
      <c r="AC20" s="593"/>
      <c r="AD20" s="593"/>
      <c r="AE20" s="593"/>
      <c r="AF20" s="593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24"/>
      <c r="BJ20" s="24"/>
      <c r="BK20" s="24"/>
      <c r="BL20" s="315"/>
    </row>
    <row r="21" spans="1:64" hidden="1" x14ac:dyDescent="0.2">
      <c r="A21" s="287" t="s">
        <v>104</v>
      </c>
      <c r="B21" s="3"/>
      <c r="C21" s="3"/>
      <c r="D21" s="3"/>
      <c r="E21" s="79"/>
      <c r="F21" s="251"/>
      <c r="G21" s="3"/>
      <c r="H21" s="3"/>
      <c r="I21" s="3"/>
      <c r="J21" s="315">
        <v>2.9</v>
      </c>
      <c r="K21" s="309"/>
      <c r="L21" s="24"/>
      <c r="M21" s="24"/>
      <c r="N21" s="24"/>
      <c r="O21" s="317">
        <v>7.2</v>
      </c>
      <c r="P21" s="318"/>
      <c r="Q21" s="24"/>
      <c r="R21" s="24"/>
      <c r="S21" s="24"/>
      <c r="T21" s="24"/>
      <c r="U21" s="24"/>
      <c r="V21" s="24"/>
      <c r="W21" s="315"/>
      <c r="X21" s="251"/>
      <c r="Y21" s="3"/>
      <c r="Z21" s="3"/>
      <c r="AA21" s="3"/>
      <c r="AB21" s="4">
        <v>8.3000000000000007</v>
      </c>
      <c r="AC21" s="593"/>
      <c r="AD21" s="593"/>
      <c r="AE21" s="593"/>
      <c r="AF21" s="593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24"/>
      <c r="BJ21" s="24"/>
      <c r="BK21" s="24"/>
      <c r="BL21" s="315">
        <v>0.9</v>
      </c>
    </row>
    <row r="22" spans="1:64" hidden="1" x14ac:dyDescent="0.2">
      <c r="A22" s="252" t="s">
        <v>90</v>
      </c>
      <c r="B22" s="8"/>
      <c r="C22" s="8"/>
      <c r="D22" s="8"/>
      <c r="E22" s="301">
        <f>стоки!C19</f>
        <v>481.5</v>
      </c>
      <c r="F22" s="252"/>
      <c r="G22" s="8"/>
      <c r="H22" s="8"/>
      <c r="I22" s="8"/>
      <c r="J22" s="282">
        <f>SUM(J18:J21)</f>
        <v>479.09999999999997</v>
      </c>
      <c r="K22" s="307"/>
      <c r="L22" s="13"/>
      <c r="M22" s="13"/>
      <c r="N22" s="13"/>
      <c r="O22" s="300">
        <f>SUM(O18:O21)</f>
        <v>467.45039999999995</v>
      </c>
      <c r="P22" s="313"/>
      <c r="Q22" s="13"/>
      <c r="R22" s="13"/>
      <c r="S22" s="13"/>
      <c r="T22" s="13"/>
      <c r="U22" s="13"/>
      <c r="V22" s="13"/>
      <c r="W22" s="282">
        <f>W19+W20+W21</f>
        <v>320.7</v>
      </c>
      <c r="X22" s="252"/>
      <c r="Y22" s="8"/>
      <c r="Z22" s="8"/>
      <c r="AA22" s="8"/>
      <c r="AB22" s="10">
        <f>SUM(AB18:AB21)</f>
        <v>591.21199999999999</v>
      </c>
      <c r="AC22" s="643"/>
      <c r="AD22" s="643"/>
      <c r="AE22" s="643"/>
      <c r="AF22" s="643"/>
      <c r="AG22" s="4"/>
      <c r="AH22" s="4"/>
      <c r="AI22" s="4"/>
      <c r="AJ22" s="4"/>
      <c r="AK22" s="10" t="e">
        <f>SUM(AK19:AK21)</f>
        <v>#REF!</v>
      </c>
      <c r="AL22" s="13"/>
      <c r="AM22" s="13"/>
      <c r="AN22" s="13"/>
      <c r="AO22" s="10">
        <f>SUM(AO19:AO21)</f>
        <v>221.5</v>
      </c>
      <c r="AP22" s="25"/>
      <c r="AQ22" s="579"/>
      <c r="AR22" s="579"/>
      <c r="AS22" s="579"/>
      <c r="AT22" s="579"/>
      <c r="AU22" s="579"/>
      <c r="AV22" s="579"/>
      <c r="AW22" s="579"/>
      <c r="AX22" s="579"/>
      <c r="AY22" s="579"/>
      <c r="AZ22" s="579"/>
      <c r="BA22" s="579"/>
      <c r="BB22" s="579"/>
      <c r="BC22" s="579"/>
      <c r="BD22" s="579"/>
      <c r="BE22" s="579"/>
      <c r="BF22" s="579"/>
      <c r="BG22" s="579"/>
      <c r="BH22" s="579"/>
      <c r="BI22" s="13"/>
      <c r="BJ22" s="13"/>
      <c r="BK22" s="13"/>
      <c r="BL22" s="288">
        <f>SUM(BL19:BL21)</f>
        <v>461</v>
      </c>
    </row>
    <row r="23" spans="1:64" ht="26.25" hidden="1" thickBot="1" x14ac:dyDescent="0.25">
      <c r="A23" s="289" t="s">
        <v>125</v>
      </c>
      <c r="B23" s="290"/>
      <c r="C23" s="255">
        <f>'объемы ВС и ВО 2023'!C22</f>
        <v>4585.8</v>
      </c>
      <c r="D23" s="255"/>
      <c r="E23" s="302"/>
      <c r="F23" s="254"/>
      <c r="G23" s="255">
        <f>'объемы ВС и ВО 2023'!E22</f>
        <v>4415.2</v>
      </c>
      <c r="H23" s="255"/>
      <c r="I23" s="255"/>
      <c r="J23" s="316"/>
      <c r="K23" s="310"/>
      <c r="L23" s="255">
        <f>'объемы ВС и ВО 2023'!G22</f>
        <v>4093.2000000000003</v>
      </c>
      <c r="M23" s="255"/>
      <c r="N23" s="255"/>
      <c r="O23" s="302"/>
      <c r="P23" s="254"/>
      <c r="Q23" s="255" t="e">
        <f>'объемы ВС и ВО 2023'!#REF!</f>
        <v>#REF!</v>
      </c>
      <c r="R23" s="255"/>
      <c r="S23" s="255"/>
      <c r="T23" s="255">
        <v>4006.6</v>
      </c>
      <c r="U23" s="255"/>
      <c r="V23" s="255"/>
      <c r="W23" s="316"/>
      <c r="X23" s="254"/>
      <c r="Y23" s="255">
        <f>'объемы ВС и ВО 2023'!M22</f>
        <v>3695</v>
      </c>
      <c r="Z23" s="255"/>
      <c r="AA23" s="255"/>
      <c r="AB23" s="255"/>
      <c r="AC23" s="255"/>
      <c r="AD23" s="255"/>
      <c r="AE23" s="255"/>
      <c r="AF23" s="255"/>
      <c r="AG23" s="255"/>
      <c r="AH23" s="255" t="e">
        <f>'объемы ВС и ВО 2023'!#REF!</f>
        <v>#REF!</v>
      </c>
      <c r="AI23" s="255"/>
      <c r="AJ23" s="255"/>
      <c r="AK23" s="255"/>
      <c r="AL23" s="255"/>
      <c r="AM23" s="255">
        <v>2894.1</v>
      </c>
      <c r="AN23" s="255"/>
      <c r="AO23" s="255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55"/>
      <c r="BJ23" s="255">
        <f>3801.2</f>
        <v>3801.2</v>
      </c>
      <c r="BK23" s="255"/>
      <c r="BL23" s="316"/>
    </row>
    <row r="24" spans="1:64" hidden="1" x14ac:dyDescent="0.2"/>
    <row r="25" spans="1:64" ht="13.5" thickBot="1" x14ac:dyDescent="0.25">
      <c r="AH25" t="s">
        <v>239</v>
      </c>
    </row>
    <row r="26" spans="1:64" ht="21" thickBot="1" x14ac:dyDescent="0.25">
      <c r="A26" s="5745" t="s">
        <v>525</v>
      </c>
      <c r="B26" s="404"/>
      <c r="C26" s="404"/>
      <c r="D26" s="404"/>
      <c r="E26" s="404"/>
      <c r="F26" s="5755" t="s">
        <v>227</v>
      </c>
      <c r="G26" s="5756"/>
      <c r="H26" s="5756"/>
      <c r="I26" s="5756"/>
      <c r="J26" s="5756"/>
      <c r="K26" s="5756"/>
      <c r="L26" s="5756"/>
      <c r="M26" s="5756"/>
      <c r="N26" s="5756"/>
      <c r="O26" s="5756"/>
      <c r="P26" s="5756"/>
      <c r="Q26" s="5756"/>
      <c r="R26" s="5756"/>
      <c r="S26" s="5756"/>
      <c r="T26" s="5756"/>
      <c r="U26" s="5756"/>
      <c r="V26" s="5756"/>
      <c r="W26" s="5756"/>
      <c r="X26" s="5756"/>
      <c r="Y26" s="5756"/>
      <c r="Z26" s="5756"/>
      <c r="AA26" s="5756"/>
      <c r="AB26" s="5756"/>
      <c r="AC26" s="5756"/>
      <c r="AD26" s="5756"/>
      <c r="AE26" s="5756"/>
      <c r="AF26" s="5756"/>
      <c r="AG26" s="5759" t="s">
        <v>362</v>
      </c>
      <c r="AH26" s="5760"/>
      <c r="AI26" s="5760"/>
      <c r="AJ26" s="5760"/>
      <c r="AK26" s="5760"/>
      <c r="AL26" s="5760"/>
      <c r="AM26" s="5760"/>
      <c r="AN26" s="5760"/>
      <c r="AO26" s="5760"/>
      <c r="AP26" s="5760"/>
      <c r="AQ26" s="5760"/>
      <c r="AR26" s="5760"/>
      <c r="AS26" s="5760"/>
      <c r="AT26" s="5760"/>
      <c r="AU26" s="5760"/>
      <c r="AV26" s="5760"/>
      <c r="AW26" s="5760"/>
      <c r="AX26" s="5760"/>
      <c r="AY26" s="5758" t="s">
        <v>815</v>
      </c>
      <c r="AZ26" s="5758"/>
      <c r="BA26" s="5758"/>
      <c r="BB26" s="5758"/>
      <c r="BC26" s="5758"/>
      <c r="BD26" s="5758"/>
      <c r="BE26" s="5758"/>
      <c r="BF26" s="5758"/>
      <c r="BG26" s="5758"/>
      <c r="BH26" s="5758"/>
      <c r="BI26" s="5737" t="s">
        <v>235</v>
      </c>
      <c r="BJ26" s="5738"/>
      <c r="BK26" s="5739"/>
      <c r="BL26" s="28"/>
    </row>
    <row r="27" spans="1:64" ht="16.5" thickBot="1" x14ac:dyDescent="0.25">
      <c r="A27" s="5746"/>
      <c r="B27" s="405"/>
      <c r="C27" s="405"/>
      <c r="D27" s="405"/>
      <c r="E27" s="405"/>
      <c r="F27" s="5743" t="s">
        <v>159</v>
      </c>
      <c r="G27" s="5744"/>
      <c r="H27" s="5744"/>
      <c r="I27" s="5744"/>
      <c r="J27" s="5744"/>
      <c r="K27" s="5735" t="s">
        <v>119</v>
      </c>
      <c r="L27" s="5707"/>
      <c r="M27" s="5707"/>
      <c r="N27" s="5707"/>
      <c r="O27" s="5707"/>
      <c r="P27" s="5706" t="s">
        <v>374</v>
      </c>
      <c r="Q27" s="5707"/>
      <c r="R27" s="5707"/>
      <c r="S27" s="5707"/>
      <c r="T27" s="5706" t="s">
        <v>376</v>
      </c>
      <c r="U27" s="5707"/>
      <c r="V27" s="5707"/>
      <c r="W27" s="5707"/>
      <c r="X27" s="5707"/>
      <c r="Y27" s="5707"/>
      <c r="Z27" s="671"/>
      <c r="AA27" s="671"/>
      <c r="AB27" s="671"/>
      <c r="AC27" s="5706" t="s">
        <v>814</v>
      </c>
      <c r="AD27" s="5757"/>
      <c r="AE27" s="5757"/>
      <c r="AF27" s="5757"/>
      <c r="AG27" s="5734" t="s">
        <v>377</v>
      </c>
      <c r="AH27" s="5707"/>
      <c r="AI27" s="5707"/>
      <c r="AJ27" s="5707"/>
      <c r="AK27" s="5707"/>
      <c r="AL27" s="5735" t="s">
        <v>119</v>
      </c>
      <c r="AM27" s="5707"/>
      <c r="AN27" s="5707"/>
      <c r="AO27" s="5707"/>
      <c r="AP27" s="5707"/>
      <c r="AQ27" s="5706" t="s">
        <v>374</v>
      </c>
      <c r="AR27" s="5707"/>
      <c r="AS27" s="5707"/>
      <c r="AT27" s="5707"/>
      <c r="AU27" s="5706" t="s">
        <v>376</v>
      </c>
      <c r="AV27" s="5707"/>
      <c r="AW27" s="5707"/>
      <c r="AX27" s="5707"/>
      <c r="AY27" s="5734" t="s">
        <v>377</v>
      </c>
      <c r="AZ27" s="5707"/>
      <c r="BA27" s="5707"/>
      <c r="BB27" s="5707"/>
      <c r="BC27" s="5707"/>
      <c r="BD27" s="5735" t="s">
        <v>119</v>
      </c>
      <c r="BE27" s="5707"/>
      <c r="BF27" s="5707"/>
      <c r="BG27" s="5707"/>
      <c r="BH27" s="5707"/>
      <c r="BI27" s="5728"/>
      <c r="BJ27" s="5729"/>
      <c r="BK27" s="5730"/>
      <c r="BL27" s="28"/>
    </row>
    <row r="28" spans="1:64" ht="63.75" thickBot="1" x14ac:dyDescent="0.25">
      <c r="A28" s="5747"/>
      <c r="B28" s="406"/>
      <c r="C28" s="406"/>
      <c r="D28" s="406"/>
      <c r="E28" s="406"/>
      <c r="F28" s="672" t="s">
        <v>96</v>
      </c>
      <c r="G28" s="672" t="s">
        <v>117</v>
      </c>
      <c r="H28" s="672" t="s">
        <v>97</v>
      </c>
      <c r="I28" s="672" t="s">
        <v>158</v>
      </c>
      <c r="J28" s="672" t="s">
        <v>98</v>
      </c>
      <c r="K28" s="673" t="s">
        <v>96</v>
      </c>
      <c r="L28" s="673" t="s">
        <v>123</v>
      </c>
      <c r="M28" s="673" t="s">
        <v>97</v>
      </c>
      <c r="N28" s="673" t="s">
        <v>115</v>
      </c>
      <c r="O28" s="673" t="s">
        <v>98</v>
      </c>
      <c r="P28" s="674" t="s">
        <v>96</v>
      </c>
      <c r="Q28" s="674" t="s">
        <v>123</v>
      </c>
      <c r="R28" s="674" t="s">
        <v>97</v>
      </c>
      <c r="S28" s="674" t="s">
        <v>98</v>
      </c>
      <c r="T28" s="674" t="s">
        <v>96</v>
      </c>
      <c r="U28" s="674" t="s">
        <v>123</v>
      </c>
      <c r="V28" s="674" t="s">
        <v>97</v>
      </c>
      <c r="W28" s="674" t="s">
        <v>98</v>
      </c>
      <c r="X28" s="674" t="s">
        <v>115</v>
      </c>
      <c r="Y28" s="674" t="s">
        <v>98</v>
      </c>
      <c r="Z28" s="675"/>
      <c r="AA28" s="675"/>
      <c r="AB28" s="675"/>
      <c r="AC28" s="674" t="s">
        <v>96</v>
      </c>
      <c r="AD28" s="674" t="s">
        <v>123</v>
      </c>
      <c r="AE28" s="674" t="s">
        <v>97</v>
      </c>
      <c r="AF28" s="674" t="s">
        <v>98</v>
      </c>
      <c r="AG28" s="676" t="s">
        <v>96</v>
      </c>
      <c r="AH28" s="676" t="s">
        <v>117</v>
      </c>
      <c r="AI28" s="676" t="s">
        <v>97</v>
      </c>
      <c r="AJ28" s="676" t="s">
        <v>818</v>
      </c>
      <c r="AK28" s="676" t="s">
        <v>98</v>
      </c>
      <c r="AL28" s="673" t="s">
        <v>96</v>
      </c>
      <c r="AM28" s="673" t="s">
        <v>123</v>
      </c>
      <c r="AN28" s="673" t="s">
        <v>97</v>
      </c>
      <c r="AO28" s="673" t="s">
        <v>818</v>
      </c>
      <c r="AP28" s="673" t="s">
        <v>98</v>
      </c>
      <c r="AQ28" s="674" t="s">
        <v>96</v>
      </c>
      <c r="AR28" s="674" t="s">
        <v>123</v>
      </c>
      <c r="AS28" s="674" t="s">
        <v>97</v>
      </c>
      <c r="AT28" s="674" t="s">
        <v>98</v>
      </c>
      <c r="AU28" s="674" t="s">
        <v>96</v>
      </c>
      <c r="AV28" s="674" t="s">
        <v>123</v>
      </c>
      <c r="AW28" s="674" t="s">
        <v>97</v>
      </c>
      <c r="AX28" s="674" t="s">
        <v>98</v>
      </c>
      <c r="AY28" s="676" t="s">
        <v>96</v>
      </c>
      <c r="AZ28" s="676" t="s">
        <v>123</v>
      </c>
      <c r="BA28" s="676" t="s">
        <v>97</v>
      </c>
      <c r="BB28" s="676" t="s">
        <v>818</v>
      </c>
      <c r="BC28" s="676" t="s">
        <v>98</v>
      </c>
      <c r="BD28" s="673" t="s">
        <v>96</v>
      </c>
      <c r="BE28" s="673" t="s">
        <v>123</v>
      </c>
      <c r="BF28" s="673" t="s">
        <v>97</v>
      </c>
      <c r="BG28" s="673" t="s">
        <v>818</v>
      </c>
      <c r="BH28" s="673" t="s">
        <v>98</v>
      </c>
      <c r="BI28" s="5740"/>
      <c r="BJ28" s="5741"/>
      <c r="BK28" s="5742"/>
      <c r="BL28" s="319"/>
    </row>
    <row r="29" spans="1:64" ht="36.75" customHeight="1" x14ac:dyDescent="0.2">
      <c r="A29" s="650" t="s">
        <v>99</v>
      </c>
      <c r="B29" s="407"/>
      <c r="C29" s="407"/>
      <c r="D29" s="407"/>
      <c r="E29" s="407"/>
      <c r="F29" s="656">
        <v>5.6</v>
      </c>
      <c r="G29" s="657">
        <f>F29/G40*1000</f>
        <v>1.1258544431041415</v>
      </c>
      <c r="H29" s="658">
        <v>83160</v>
      </c>
      <c r="I29" s="659" t="e">
        <f>H29/#REF!*100</f>
        <v>#REF!</v>
      </c>
      <c r="J29" s="660">
        <f>F29*H29/1000</f>
        <v>465.69599999999997</v>
      </c>
      <c r="K29" s="408" t="e">
        <f>L40*L29/1000</f>
        <v>#REF!</v>
      </c>
      <c r="L29" s="409">
        <f>AP7+AP8</f>
        <v>6.2087877413688242</v>
      </c>
      <c r="M29" s="410">
        <f>AN7*1.021</f>
        <v>73512</v>
      </c>
      <c r="N29" s="411" t="e">
        <f>M29/#REF!*100</f>
        <v>#REF!</v>
      </c>
      <c r="O29" s="412" t="e">
        <f>K29*M29/1000</f>
        <v>#REF!</v>
      </c>
      <c r="P29" s="413">
        <v>1.34</v>
      </c>
      <c r="Q29" s="414">
        <f>P29/Q40*1000</f>
        <v>0.38357764257597332</v>
      </c>
      <c r="R29" s="415">
        <v>72500</v>
      </c>
      <c r="S29" s="416">
        <f>R29*P29/1000</f>
        <v>97.15</v>
      </c>
      <c r="T29" s="413">
        <v>2.74</v>
      </c>
      <c r="U29" s="414">
        <f>SUM(T29/U40*1000)</f>
        <v>0.53121364870104693</v>
      </c>
      <c r="V29" s="415">
        <v>72760</v>
      </c>
      <c r="W29" s="416">
        <f>V29*T29/1000</f>
        <v>199.36240000000004</v>
      </c>
      <c r="X29" s="417" t="e">
        <f>W29/#REF!*100</f>
        <v>#REF!</v>
      </c>
      <c r="Y29" s="416">
        <f>U29*W29/1000</f>
        <v>0.10590402791779761</v>
      </c>
      <c r="Z29" s="407"/>
      <c r="AA29" s="407"/>
      <c r="AB29" s="407"/>
      <c r="AC29" s="413">
        <v>3.03</v>
      </c>
      <c r="AD29" s="414">
        <f>SUM(AC29/AD40*1000)</f>
        <v>0.43734934541937898</v>
      </c>
      <c r="AE29" s="415">
        <v>72706.600000000006</v>
      </c>
      <c r="AF29" s="416">
        <f>AE29*AC29/1000</f>
        <v>220.30099799999999</v>
      </c>
      <c r="AG29" s="418">
        <v>39.299999999999997</v>
      </c>
      <c r="AH29" s="419">
        <f>AG29/AH40*1000</f>
        <v>6.8301499852274103</v>
      </c>
      <c r="AI29" s="420">
        <f>AK29/AG29*1000</f>
        <v>74870.229007633592</v>
      </c>
      <c r="AJ29" s="421">
        <f>AI29/BK7</f>
        <v>1.0399381720065624</v>
      </c>
      <c r="AK29" s="422">
        <v>2942.4</v>
      </c>
      <c r="AL29" s="423">
        <f>AM40*AM29/1000</f>
        <v>34.52949005697117</v>
      </c>
      <c r="AM29" s="409">
        <f>AP8+AP7</f>
        <v>6.2087877413688242</v>
      </c>
      <c r="AN29" s="410">
        <f>M53</f>
        <v>77526</v>
      </c>
      <c r="AO29" s="424">
        <f>AN29/BK7</f>
        <v>1.0768265008880993</v>
      </c>
      <c r="AP29" s="412">
        <f>AL29*AN29/1000</f>
        <v>2676.9332461567469</v>
      </c>
      <c r="AQ29" s="413">
        <v>0.61499999999999999</v>
      </c>
      <c r="AR29" s="414">
        <f>AQ29/AR40*1000</f>
        <v>0.18261233627987492</v>
      </c>
      <c r="AS29" s="415">
        <v>73000</v>
      </c>
      <c r="AT29" s="416">
        <f t="shared" ref="AT29:AT35" si="3">AS29*AQ29/1000</f>
        <v>44.895000000000003</v>
      </c>
      <c r="AU29" s="413"/>
      <c r="AV29" s="414" t="e">
        <f>SUM(AU29/AV40*1000)</f>
        <v>#DIV/0!</v>
      </c>
      <c r="AW29" s="415"/>
      <c r="AX29" s="416">
        <f>AW29*AU29/1000</f>
        <v>0</v>
      </c>
      <c r="AY29" s="418">
        <v>3.03</v>
      </c>
      <c r="AZ29" s="419">
        <f>AY29/AZ40*1000</f>
        <v>0.52623014110783073</v>
      </c>
      <c r="BA29" s="420">
        <f>SUM(AN29*1.1)</f>
        <v>85278.6</v>
      </c>
      <c r="BB29" s="421">
        <f>BA29/AN29</f>
        <v>1.1000000000000001</v>
      </c>
      <c r="BC29" s="422">
        <f>SUM(AY29*BA29)/1000</f>
        <v>258.394158</v>
      </c>
      <c r="BD29" s="423">
        <f t="shared" ref="BD29:BD35" si="4">BE29*$BE$40/1000</f>
        <v>2.4729118387436664</v>
      </c>
      <c r="BE29" s="409">
        <f>AD29</f>
        <v>0.43734934541937898</v>
      </c>
      <c r="BF29" s="410">
        <f>M62</f>
        <v>79862</v>
      </c>
      <c r="BG29" s="424">
        <f>BF29/AN29</f>
        <v>1.0301318267419963</v>
      </c>
      <c r="BH29" s="412">
        <f>BD29*BF29/1000</f>
        <v>197.4916852657467</v>
      </c>
      <c r="BI29" s="5725" t="s">
        <v>886</v>
      </c>
      <c r="BJ29" s="5726"/>
      <c r="BK29" s="5727"/>
      <c r="BL29" s="320"/>
    </row>
    <row r="30" spans="1:64" ht="36.75" customHeight="1" x14ac:dyDescent="0.2">
      <c r="A30" s="651" t="s">
        <v>100</v>
      </c>
      <c r="B30" s="407"/>
      <c r="C30" s="407"/>
      <c r="D30" s="407"/>
      <c r="E30" s="407"/>
      <c r="F30" s="661">
        <v>36.299999999999997</v>
      </c>
      <c r="G30" s="662"/>
      <c r="H30" s="663">
        <v>64900</v>
      </c>
      <c r="I30" s="664"/>
      <c r="J30" s="665">
        <f>F30*H30/1000</f>
        <v>2355.87</v>
      </c>
      <c r="K30" s="399"/>
      <c r="L30" s="425"/>
      <c r="M30" s="400"/>
      <c r="N30" s="426"/>
      <c r="O30" s="427"/>
      <c r="P30" s="428">
        <v>20.079999999999998</v>
      </c>
      <c r="Q30" s="429">
        <f>SUM(P30/Q40*1000)</f>
        <v>5.7479395991981663</v>
      </c>
      <c r="R30" s="402">
        <v>50390</v>
      </c>
      <c r="S30" s="430">
        <f>R30*P30/1000</f>
        <v>1011.8312</v>
      </c>
      <c r="T30" s="428">
        <v>32.03</v>
      </c>
      <c r="U30" s="429">
        <f>SUM(T30/U40*1000)</f>
        <v>6.2097712291585889</v>
      </c>
      <c r="V30" s="402">
        <v>51390</v>
      </c>
      <c r="W30" s="430">
        <f>V30*T30/1000</f>
        <v>1646.0217</v>
      </c>
      <c r="X30" s="431"/>
      <c r="Y30" s="430"/>
      <c r="Z30" s="407"/>
      <c r="AA30" s="407"/>
      <c r="AB30" s="407"/>
      <c r="AC30" s="428">
        <v>36.33</v>
      </c>
      <c r="AD30" s="429">
        <f>SUM(AC30/AD40*1000)</f>
        <v>5.2438619534937425</v>
      </c>
      <c r="AE30" s="402">
        <v>51794.06</v>
      </c>
      <c r="AF30" s="430">
        <f>AE30*AC30/1000</f>
        <v>1881.6781997999999</v>
      </c>
      <c r="AG30" s="432">
        <v>0</v>
      </c>
      <c r="AH30" s="433"/>
      <c r="AI30" s="434">
        <v>0</v>
      </c>
      <c r="AJ30" s="435"/>
      <c r="AK30" s="436">
        <v>0</v>
      </c>
      <c r="AL30" s="403"/>
      <c r="AM30" s="425"/>
      <c r="AN30" s="400"/>
      <c r="AO30" s="437">
        <f>AN30/BK8</f>
        <v>0</v>
      </c>
      <c r="AP30" s="427"/>
      <c r="AQ30" s="428">
        <v>11.95</v>
      </c>
      <c r="AR30" s="429">
        <f>SUM(AQ30/AR40*1000)</f>
        <v>3.5483210057634231</v>
      </c>
      <c r="AS30" s="402">
        <v>52763.7</v>
      </c>
      <c r="AT30" s="430">
        <f t="shared" si="3"/>
        <v>630.52621499999998</v>
      </c>
      <c r="AU30" s="428"/>
      <c r="AV30" s="429" t="e">
        <f>SUM(AU30/AV40*1000)</f>
        <v>#DIV/0!</v>
      </c>
      <c r="AW30" s="402"/>
      <c r="AX30" s="430">
        <f>AW30*AU30/1000</f>
        <v>0</v>
      </c>
      <c r="AY30" s="432">
        <v>36.33</v>
      </c>
      <c r="AZ30" s="433">
        <f>AY30/AZ40*1000</f>
        <v>6.30955149387706</v>
      </c>
      <c r="BA30" s="420">
        <f>SUM(BA42)</f>
        <v>56285.032518000007</v>
      </c>
      <c r="BB30" s="421" t="e">
        <f t="shared" ref="BB30:BB33" si="5">BA30/AN30</f>
        <v>#DIV/0!</v>
      </c>
      <c r="BC30" s="422">
        <f t="shared" ref="BC30:BC33" si="6">SUM(AY30*BA30)/1000</f>
        <v>2044.8352313789401</v>
      </c>
      <c r="BD30" s="423">
        <f t="shared" si="4"/>
        <v>29.650457789292879</v>
      </c>
      <c r="BE30" s="409">
        <f t="shared" ref="BE30:BE33" si="7">AD30</f>
        <v>5.2438619534937425</v>
      </c>
      <c r="BF30" s="400">
        <f>M61</f>
        <v>43766.393750000003</v>
      </c>
      <c r="BG30" s="424" t="e">
        <f t="shared" ref="BG30:BG33" si="8">BF30/AN30</f>
        <v>#DIV/0!</v>
      </c>
      <c r="BH30" s="412">
        <f t="shared" ref="BH30:BH35" si="9">BD30*BF30/1000</f>
        <v>1297.6936104739466</v>
      </c>
      <c r="BI30" s="5728"/>
      <c r="BJ30" s="5729"/>
      <c r="BK30" s="5730"/>
      <c r="BL30" s="320"/>
    </row>
    <row r="31" spans="1:64" ht="36.75" customHeight="1" x14ac:dyDescent="0.2">
      <c r="A31" s="651" t="s">
        <v>105</v>
      </c>
      <c r="B31" s="407"/>
      <c r="C31" s="407"/>
      <c r="D31" s="407"/>
      <c r="E31" s="407"/>
      <c r="F31" s="661">
        <v>314.7</v>
      </c>
      <c r="G31" s="662">
        <f>F31/G40*1000</f>
        <v>63.268998793727384</v>
      </c>
      <c r="H31" s="663">
        <v>6949</v>
      </c>
      <c r="I31" s="664" t="e">
        <f>H31/#REF!*100</f>
        <v>#REF!</v>
      </c>
      <c r="J31" s="665">
        <f>F31*H31/1000</f>
        <v>2186.8502999999996</v>
      </c>
      <c r="K31" s="438" t="e">
        <f>L40*L31/1000</f>
        <v>#REF!</v>
      </c>
      <c r="L31" s="439">
        <v>30.728000000000002</v>
      </c>
      <c r="M31" s="400">
        <f>AN9*1.021</f>
        <v>6720.2337158285518</v>
      </c>
      <c r="N31" s="426" t="e">
        <f>M31/#REF!*100</f>
        <v>#REF!</v>
      </c>
      <c r="O31" s="427" t="e">
        <f>K31*M31/1000</f>
        <v>#REF!</v>
      </c>
      <c r="P31" s="428">
        <v>135.9</v>
      </c>
      <c r="Q31" s="429">
        <f>SUM(P31/Q40*1000)</f>
        <v>38.901643004533412</v>
      </c>
      <c r="R31" s="402">
        <v>4730</v>
      </c>
      <c r="S31" s="430">
        <f>R31*P31/1000</f>
        <v>642.80700000000002</v>
      </c>
      <c r="T31" s="428">
        <v>235.8</v>
      </c>
      <c r="U31" s="429">
        <f>SUM(T31/U40*1000)</f>
        <v>45.715393563396667</v>
      </c>
      <c r="V31" s="402">
        <v>4550</v>
      </c>
      <c r="W31" s="430">
        <f>V31*T31/1000</f>
        <v>1072.8900000000001</v>
      </c>
      <c r="X31" s="431" t="e">
        <f>W31/#REF!*100</f>
        <v>#REF!</v>
      </c>
      <c r="Y31" s="430">
        <f>U31*W31/1000</f>
        <v>49.04758860023265</v>
      </c>
      <c r="Z31" s="407"/>
      <c r="AA31" s="407"/>
      <c r="AB31" s="407"/>
      <c r="AC31" s="428">
        <v>255.75</v>
      </c>
      <c r="AD31" s="429">
        <f>SUM(AC31/AD40*1000)</f>
        <v>36.91488286831887</v>
      </c>
      <c r="AE31" s="402">
        <v>4532.9799999999996</v>
      </c>
      <c r="AF31" s="430">
        <f>AE31*AC31/1000</f>
        <v>1159.3096349999998</v>
      </c>
      <c r="AG31" s="432">
        <v>199.3</v>
      </c>
      <c r="AH31" s="433">
        <f>AG31/AH40*1000</f>
        <v>34.637376388188883</v>
      </c>
      <c r="AI31" s="434">
        <f>AK31/AG31*1000</f>
        <v>5302.0572002007029</v>
      </c>
      <c r="AJ31" s="440">
        <f>AI31/BK9</f>
        <v>0.80712337949975654</v>
      </c>
      <c r="AK31" s="436">
        <v>1056.7</v>
      </c>
      <c r="AL31" s="441">
        <f>AM40*AM31/1000</f>
        <v>170.04957617552117</v>
      </c>
      <c r="AM31" s="439">
        <f>AP9</f>
        <v>30.576811943690544</v>
      </c>
      <c r="AN31" s="400">
        <f>M56</f>
        <v>4544.99892</v>
      </c>
      <c r="AO31" s="437">
        <f>AN31/BK9</f>
        <v>0.69187765231847775</v>
      </c>
      <c r="AP31" s="427">
        <f>AL31*AN31/1000</f>
        <v>772.87514006420145</v>
      </c>
      <c r="AQ31" s="428">
        <v>99.2</v>
      </c>
      <c r="AR31" s="429">
        <f>SUM(AQ31/AR40*1000)</f>
        <v>29.455518307257876</v>
      </c>
      <c r="AS31" s="402">
        <v>10766.24</v>
      </c>
      <c r="AT31" s="430">
        <f t="shared" si="3"/>
        <v>1068.0110079999999</v>
      </c>
      <c r="AU31" s="428"/>
      <c r="AV31" s="429" t="e">
        <f>SUM(AU31/AV40*1000)</f>
        <v>#DIV/0!</v>
      </c>
      <c r="AW31" s="402"/>
      <c r="AX31" s="430">
        <f>AW31*AU31/1000</f>
        <v>0</v>
      </c>
      <c r="AY31" s="432">
        <v>255.75</v>
      </c>
      <c r="AZ31" s="433">
        <f>AY31/AZ40*1000</f>
        <v>44.416950029151067</v>
      </c>
      <c r="BA31" s="420">
        <v>17200</v>
      </c>
      <c r="BB31" s="421">
        <f t="shared" si="5"/>
        <v>3.7843793371022407</v>
      </c>
      <c r="BC31" s="422">
        <f t="shared" si="6"/>
        <v>4398.8999999999996</v>
      </c>
      <c r="BD31" s="423">
        <f t="shared" si="4"/>
        <v>208.72844975534414</v>
      </c>
      <c r="BE31" s="409">
        <f t="shared" si="7"/>
        <v>36.91488286831887</v>
      </c>
      <c r="BF31" s="400">
        <f>M65</f>
        <v>16644.07</v>
      </c>
      <c r="BG31" s="424">
        <f t="shared" si="8"/>
        <v>3.6620624763536798</v>
      </c>
      <c r="BH31" s="412">
        <f t="shared" si="9"/>
        <v>3474.0909287194308</v>
      </c>
      <c r="BI31" s="5728"/>
      <c r="BJ31" s="5729"/>
      <c r="BK31" s="5730"/>
      <c r="BL31" s="320"/>
    </row>
    <row r="32" spans="1:64" ht="36.75" customHeight="1" x14ac:dyDescent="0.2">
      <c r="A32" s="651" t="s">
        <v>101</v>
      </c>
      <c r="B32" s="407"/>
      <c r="C32" s="407"/>
      <c r="D32" s="407"/>
      <c r="E32" s="407"/>
      <c r="F32" s="661">
        <v>21.7</v>
      </c>
      <c r="G32" s="662">
        <f>F32/G40*1000</f>
        <v>4.3626859670285478</v>
      </c>
      <c r="H32" s="663">
        <v>36346</v>
      </c>
      <c r="I32" s="664" t="e">
        <f>H32/#REF!*100</f>
        <v>#REF!</v>
      </c>
      <c r="J32" s="665">
        <f>F32*H32/1000</f>
        <v>788.70819999999992</v>
      </c>
      <c r="K32" s="438" t="e">
        <f>L32*L40/1000</f>
        <v>#REF!</v>
      </c>
      <c r="L32" s="439">
        <v>1.746</v>
      </c>
      <c r="M32" s="400">
        <f>AN10*1.021</f>
        <v>33239.788029925192</v>
      </c>
      <c r="N32" s="426" t="e">
        <f>M32/#REF!*100</f>
        <v>#REF!</v>
      </c>
      <c r="O32" s="427" t="e">
        <f>K32*M32/1000</f>
        <v>#REF!</v>
      </c>
      <c r="P32" s="428">
        <v>8.52</v>
      </c>
      <c r="Q32" s="429">
        <f>SUM(P32/Q40*1000)</f>
        <v>2.4388668020502178</v>
      </c>
      <c r="R32" s="402">
        <v>19830</v>
      </c>
      <c r="S32" s="430">
        <f>R32*P32/1000</f>
        <v>168.95160000000001</v>
      </c>
      <c r="T32" s="428">
        <v>14.53</v>
      </c>
      <c r="U32" s="429">
        <f>SUM(T32/U40*1000)</f>
        <v>2.8169833268708802</v>
      </c>
      <c r="V32" s="402">
        <v>20380</v>
      </c>
      <c r="W32" s="430">
        <f>V32*T32/1000</f>
        <v>296.12139999999994</v>
      </c>
      <c r="X32" s="431" t="e">
        <f>W32/#REF!*100</f>
        <v>#REF!</v>
      </c>
      <c r="Y32" s="430">
        <f>U32*W32/1000</f>
        <v>0.83416904652966251</v>
      </c>
      <c r="Z32" s="407"/>
      <c r="AA32" s="407"/>
      <c r="AB32" s="407"/>
      <c r="AC32" s="428">
        <v>16.03</v>
      </c>
      <c r="AD32" s="429">
        <f>SUM(AC32/AD40*1000)</f>
        <v>2.3137656789018632</v>
      </c>
      <c r="AE32" s="402">
        <v>20247.09</v>
      </c>
      <c r="AF32" s="430">
        <f>AE32*AC32/1000</f>
        <v>324.56085270000005</v>
      </c>
      <c r="AG32" s="432">
        <v>14.8</v>
      </c>
      <c r="AH32" s="433">
        <f>AG32/AH40*1000</f>
        <v>2.5721684422739362</v>
      </c>
      <c r="AI32" s="434">
        <f>AK32/AG32*1000</f>
        <v>34141.891891891886</v>
      </c>
      <c r="AJ32" s="442">
        <f>AI32/BK10</f>
        <v>1.4353660542565037</v>
      </c>
      <c r="AK32" s="436">
        <v>505.3</v>
      </c>
      <c r="AL32" s="441">
        <f>AM32*AM40/1000</f>
        <v>10.220892000847977</v>
      </c>
      <c r="AM32" s="439">
        <f>AP10</f>
        <v>1.8378304705924196</v>
      </c>
      <c r="AN32" s="400">
        <f>M55</f>
        <v>25193.815380000004</v>
      </c>
      <c r="AO32" s="437">
        <f>AN32/BK10</f>
        <v>1.0591781934101125</v>
      </c>
      <c r="AP32" s="427">
        <f>AL32*AN32/1000</f>
        <v>257.50326608828277</v>
      </c>
      <c r="AQ32" s="428">
        <v>3.51</v>
      </c>
      <c r="AR32" s="429">
        <f>SUM(AQ32/AR40*1000)</f>
        <v>1.0422265046217252</v>
      </c>
      <c r="AS32" s="402">
        <v>20196.64</v>
      </c>
      <c r="AT32" s="430">
        <f t="shared" si="3"/>
        <v>70.890206399999997</v>
      </c>
      <c r="AU32" s="428"/>
      <c r="AV32" s="429" t="e">
        <f>SUM(AU32/AV40*1000)</f>
        <v>#DIV/0!</v>
      </c>
      <c r="AW32" s="402"/>
      <c r="AX32" s="430">
        <f>AW32*AU32/1000</f>
        <v>0</v>
      </c>
      <c r="AY32" s="432">
        <v>16.03</v>
      </c>
      <c r="AZ32" s="433">
        <f>AY32/AZ40*1000</f>
        <v>2.7839832217684917</v>
      </c>
      <c r="BA32" s="420">
        <f>SUM(AN32*1.1)</f>
        <v>27713.196918000005</v>
      </c>
      <c r="BB32" s="421">
        <f t="shared" si="5"/>
        <v>1.1000000000000001</v>
      </c>
      <c r="BC32" s="422">
        <f t="shared" si="6"/>
        <v>444.24254659554015</v>
      </c>
      <c r="BD32" s="423">
        <f t="shared" si="4"/>
        <v>13.082764612231347</v>
      </c>
      <c r="BE32" s="409">
        <f t="shared" si="7"/>
        <v>2.3137656789018632</v>
      </c>
      <c r="BF32" s="400">
        <f>M64</f>
        <v>28813.56</v>
      </c>
      <c r="BG32" s="424">
        <f t="shared" si="8"/>
        <v>1.1436759206735123</v>
      </c>
      <c r="BH32" s="412">
        <f t="shared" si="9"/>
        <v>376.96102312040466</v>
      </c>
      <c r="BI32" s="5728"/>
      <c r="BJ32" s="5729"/>
      <c r="BK32" s="5730"/>
      <c r="BL32" s="320"/>
    </row>
    <row r="33" spans="1:66" ht="36.75" customHeight="1" x14ac:dyDescent="0.2">
      <c r="A33" s="651" t="s">
        <v>102</v>
      </c>
      <c r="B33" s="407"/>
      <c r="C33" s="407"/>
      <c r="D33" s="407"/>
      <c r="E33" s="407"/>
      <c r="F33" s="661">
        <v>15.6</v>
      </c>
      <c r="G33" s="662">
        <f>F33/G40*1000</f>
        <v>3.1363088057901085</v>
      </c>
      <c r="H33" s="663">
        <v>20952</v>
      </c>
      <c r="I33" s="664" t="e">
        <f>H33/#REF!*100</f>
        <v>#REF!</v>
      </c>
      <c r="J33" s="665">
        <f>F33*H33/1000</f>
        <v>326.85120000000001</v>
      </c>
      <c r="K33" s="438" t="e">
        <f>L40*L33/1000</f>
        <v>#REF!</v>
      </c>
      <c r="L33" s="439">
        <v>1.506</v>
      </c>
      <c r="M33" s="400">
        <f>AN11*1.021</f>
        <v>20298.424001867847</v>
      </c>
      <c r="N33" s="426" t="e">
        <f>M33/#REF!*100</f>
        <v>#REF!</v>
      </c>
      <c r="O33" s="427" t="e">
        <f>K33*M33/1000</f>
        <v>#REF!</v>
      </c>
      <c r="P33" s="428">
        <v>12.34</v>
      </c>
      <c r="Q33" s="429">
        <f>SUM(P33/Q40*1000)</f>
        <v>3.5323493353638136</v>
      </c>
      <c r="R33" s="402">
        <v>16360</v>
      </c>
      <c r="S33" s="430">
        <f>R33*P33/1000</f>
        <v>201.88239999999999</v>
      </c>
      <c r="T33" s="428">
        <v>16.59</v>
      </c>
      <c r="U33" s="429">
        <f>SUM(T33/U40*1000)</f>
        <v>3.2163629313687476</v>
      </c>
      <c r="V33" s="402">
        <v>16560</v>
      </c>
      <c r="W33" s="430">
        <f>V33*T33/1000</f>
        <v>274.73040000000003</v>
      </c>
      <c r="X33" s="431" t="e">
        <f>W33/#REF!*100</f>
        <v>#REF!</v>
      </c>
      <c r="Y33" s="430">
        <f>U33*W33/1000</f>
        <v>0.88363267468010875</v>
      </c>
      <c r="Z33" s="407"/>
      <c r="AA33" s="407"/>
      <c r="AB33" s="407"/>
      <c r="AC33" s="428">
        <v>20.84</v>
      </c>
      <c r="AD33" s="429">
        <f>SUM(AC33/AD40*1000)</f>
        <v>3.0080397222903827</v>
      </c>
      <c r="AE33" s="402">
        <v>13955.84</v>
      </c>
      <c r="AF33" s="430">
        <f>AE33*AC33/1000</f>
        <v>290.8397056</v>
      </c>
      <c r="AG33" s="432">
        <v>10.6</v>
      </c>
      <c r="AH33" s="433">
        <f>AG33/AH40*1000</f>
        <v>1.8422287491961975</v>
      </c>
      <c r="AI33" s="434">
        <f>AK33/AG33*1000</f>
        <v>25518.867924528302</v>
      </c>
      <c r="AJ33" s="442">
        <f>AI33/BK11</f>
        <v>1.2773139047078612</v>
      </c>
      <c r="AK33" s="436">
        <v>270.5</v>
      </c>
      <c r="AL33" s="441">
        <f>AM40*AM33/1000</f>
        <v>8.0173859812274717</v>
      </c>
      <c r="AM33" s="439">
        <f>AP11</f>
        <v>1.4416154920312136</v>
      </c>
      <c r="AN33" s="400">
        <f>M54</f>
        <v>17586.72</v>
      </c>
      <c r="AO33" s="437">
        <f>AN33/BK11</f>
        <v>0.8802805069817401</v>
      </c>
      <c r="AP33" s="427">
        <f>AL33*AN33/1000</f>
        <v>140.99952238377278</v>
      </c>
      <c r="AQ33" s="428">
        <v>7.6</v>
      </c>
      <c r="AR33" s="429">
        <f>SUM(AQ33/AR40*1000)</f>
        <v>2.2566727735399179</v>
      </c>
      <c r="AS33" s="402">
        <v>18606.32</v>
      </c>
      <c r="AT33" s="430">
        <f t="shared" si="3"/>
        <v>141.40803199999999</v>
      </c>
      <c r="AU33" s="428"/>
      <c r="AV33" s="429" t="e">
        <f>SUM(AU33/AV40*1000)</f>
        <v>#DIV/0!</v>
      </c>
      <c r="AW33" s="402"/>
      <c r="AX33" s="430">
        <f>AW33*AU33/1000</f>
        <v>0</v>
      </c>
      <c r="AY33" s="432">
        <v>20.84</v>
      </c>
      <c r="AZ33" s="433">
        <f>AY33/AZ40*1000</f>
        <v>3.6193518616129352</v>
      </c>
      <c r="BA33" s="420">
        <f>SUM(AN33*1.1)</f>
        <v>19345.392000000003</v>
      </c>
      <c r="BB33" s="421">
        <f t="shared" si="5"/>
        <v>1.1000000000000001</v>
      </c>
      <c r="BC33" s="422">
        <f t="shared" si="6"/>
        <v>403.15796928000009</v>
      </c>
      <c r="BD33" s="423">
        <f t="shared" si="4"/>
        <v>17.008410138421791</v>
      </c>
      <c r="BE33" s="409">
        <f t="shared" si="7"/>
        <v>3.0080397222903827</v>
      </c>
      <c r="BF33" s="400">
        <f>M63</f>
        <v>14833.89608</v>
      </c>
      <c r="BG33" s="424">
        <f t="shared" si="8"/>
        <v>0.84347144208812097</v>
      </c>
      <c r="BH33" s="412">
        <f t="shared" si="9"/>
        <v>252.30098847936728</v>
      </c>
      <c r="BI33" s="5728"/>
      <c r="BJ33" s="5729"/>
      <c r="BK33" s="5730"/>
      <c r="BL33" s="320"/>
    </row>
    <row r="34" spans="1:66" ht="36.75" customHeight="1" x14ac:dyDescent="0.2">
      <c r="A34" s="1210" t="s">
        <v>887</v>
      </c>
      <c r="B34" s="407"/>
      <c r="C34" s="407"/>
      <c r="D34" s="407"/>
      <c r="E34" s="407"/>
      <c r="F34" s="1211"/>
      <c r="G34" s="1212"/>
      <c r="H34" s="1213"/>
      <c r="I34" s="1214"/>
      <c r="J34" s="1215"/>
      <c r="K34" s="1216"/>
      <c r="L34" s="1217"/>
      <c r="M34" s="1218"/>
      <c r="N34" s="1219"/>
      <c r="O34" s="1220"/>
      <c r="P34" s="1221"/>
      <c r="Q34" s="1222"/>
      <c r="R34" s="1223"/>
      <c r="S34" s="1224"/>
      <c r="T34" s="1221"/>
      <c r="U34" s="1222"/>
      <c r="V34" s="1223"/>
      <c r="W34" s="1224"/>
      <c r="X34" s="1225"/>
      <c r="Y34" s="1224"/>
      <c r="Z34" s="407"/>
      <c r="AA34" s="407"/>
      <c r="AB34" s="407"/>
      <c r="AC34" s="1221"/>
      <c r="AD34" s="1222"/>
      <c r="AE34" s="1223"/>
      <c r="AF34" s="1224"/>
      <c r="AG34" s="1226"/>
      <c r="AH34" s="1227"/>
      <c r="AI34" s="1228"/>
      <c r="AJ34" s="1229"/>
      <c r="AK34" s="1230"/>
      <c r="AL34" s="1231"/>
      <c r="AM34" s="1217"/>
      <c r="AN34" s="1218"/>
      <c r="AO34" s="1232"/>
      <c r="AP34" s="1220"/>
      <c r="AQ34" s="1221">
        <v>0.185</v>
      </c>
      <c r="AR34" s="1222">
        <v>5.4899999999999997E-2</v>
      </c>
      <c r="AS34" s="1223">
        <v>283530</v>
      </c>
      <c r="AT34" s="1224">
        <f t="shared" si="3"/>
        <v>52.453050000000005</v>
      </c>
      <c r="AU34" s="1221"/>
      <c r="AV34" s="1222"/>
      <c r="AW34" s="1223"/>
      <c r="AX34" s="1224"/>
      <c r="AY34" s="1226"/>
      <c r="AZ34" s="1227"/>
      <c r="BA34" s="420"/>
      <c r="BB34" s="421"/>
      <c r="BC34" s="422"/>
      <c r="BD34" s="423">
        <f t="shared" si="4"/>
        <v>0.31042200329999997</v>
      </c>
      <c r="BE34" s="409">
        <f>AR34</f>
        <v>5.4899999999999997E-2</v>
      </c>
      <c r="BF34" s="1218">
        <f>AS34*1.088</f>
        <v>308480.64000000001</v>
      </c>
      <c r="BG34" s="424"/>
      <c r="BH34" s="412">
        <f t="shared" si="9"/>
        <v>95.759178248066107</v>
      </c>
      <c r="BI34" s="5728"/>
      <c r="BJ34" s="5729"/>
      <c r="BK34" s="5730"/>
      <c r="BL34" s="320"/>
    </row>
    <row r="35" spans="1:66" ht="36.75" customHeight="1" x14ac:dyDescent="0.2">
      <c r="A35" s="1210" t="s">
        <v>888</v>
      </c>
      <c r="B35" s="407"/>
      <c r="C35" s="407"/>
      <c r="D35" s="407"/>
      <c r="E35" s="407"/>
      <c r="F35" s="1211"/>
      <c r="G35" s="1212"/>
      <c r="H35" s="1213"/>
      <c r="I35" s="1214"/>
      <c r="J35" s="1215"/>
      <c r="K35" s="1216"/>
      <c r="L35" s="1217"/>
      <c r="M35" s="1218"/>
      <c r="N35" s="1219"/>
      <c r="O35" s="1220"/>
      <c r="P35" s="1221"/>
      <c r="Q35" s="1222"/>
      <c r="R35" s="1223"/>
      <c r="S35" s="1224"/>
      <c r="T35" s="1221"/>
      <c r="U35" s="1222"/>
      <c r="V35" s="1223"/>
      <c r="W35" s="1224"/>
      <c r="X35" s="1225"/>
      <c r="Y35" s="1224"/>
      <c r="Z35" s="407"/>
      <c r="AA35" s="407"/>
      <c r="AB35" s="407"/>
      <c r="AC35" s="1221"/>
      <c r="AD35" s="1222"/>
      <c r="AE35" s="1223"/>
      <c r="AF35" s="1224"/>
      <c r="AG35" s="1226"/>
      <c r="AH35" s="1227"/>
      <c r="AI35" s="1228"/>
      <c r="AJ35" s="1229"/>
      <c r="AK35" s="1230"/>
      <c r="AL35" s="1231"/>
      <c r="AM35" s="1217"/>
      <c r="AN35" s="1218"/>
      <c r="AO35" s="1232"/>
      <c r="AP35" s="1220"/>
      <c r="AQ35" s="1221">
        <v>39</v>
      </c>
      <c r="AR35" s="1222">
        <v>11.580299999999999</v>
      </c>
      <c r="AS35" s="1223">
        <v>14901.63</v>
      </c>
      <c r="AT35" s="1224">
        <f t="shared" si="3"/>
        <v>581.16356999999994</v>
      </c>
      <c r="AU35" s="1221"/>
      <c r="AV35" s="1222"/>
      <c r="AW35" s="1223"/>
      <c r="AX35" s="1224"/>
      <c r="AY35" s="1226"/>
      <c r="AZ35" s="1227"/>
      <c r="BA35" s="420"/>
      <c r="BB35" s="421"/>
      <c r="BC35" s="422"/>
      <c r="BD35" s="423">
        <f t="shared" si="4"/>
        <v>65.47868715509999</v>
      </c>
      <c r="BE35" s="409">
        <f>AR35</f>
        <v>11.580299999999999</v>
      </c>
      <c r="BF35" s="1218">
        <f>AS35*1.088</f>
        <v>16212.97344</v>
      </c>
      <c r="BG35" s="424"/>
      <c r="BH35" s="412">
        <f t="shared" si="9"/>
        <v>1061.6042157317054</v>
      </c>
      <c r="BI35" s="5728"/>
      <c r="BJ35" s="5729"/>
      <c r="BK35" s="5730"/>
      <c r="BL35" s="320"/>
    </row>
    <row r="36" spans="1:66" ht="36.75" customHeight="1" x14ac:dyDescent="0.2">
      <c r="A36" s="651" t="s">
        <v>103</v>
      </c>
      <c r="B36" s="407"/>
      <c r="C36" s="407"/>
      <c r="D36" s="407"/>
      <c r="E36" s="407"/>
      <c r="F36" s="666"/>
      <c r="G36" s="667"/>
      <c r="H36" s="667"/>
      <c r="I36" s="667"/>
      <c r="J36" s="668"/>
      <c r="K36" s="399"/>
      <c r="L36" s="399"/>
      <c r="M36" s="400"/>
      <c r="N36" s="426"/>
      <c r="O36" s="427"/>
      <c r="P36" s="401"/>
      <c r="Q36" s="401"/>
      <c r="R36" s="402"/>
      <c r="S36" s="430"/>
      <c r="T36" s="401"/>
      <c r="U36" s="401"/>
      <c r="V36" s="402"/>
      <c r="W36" s="430"/>
      <c r="X36" s="431"/>
      <c r="Y36" s="430"/>
      <c r="Z36" s="407"/>
      <c r="AA36" s="407"/>
      <c r="AB36" s="407"/>
      <c r="AC36" s="401"/>
      <c r="AD36" s="401"/>
      <c r="AE36" s="402"/>
      <c r="AF36" s="430"/>
      <c r="AG36" s="443"/>
      <c r="AH36" s="444"/>
      <c r="AI36" s="444"/>
      <c r="AJ36" s="444"/>
      <c r="AK36" s="445"/>
      <c r="AL36" s="403"/>
      <c r="AM36" s="399"/>
      <c r="AN36" s="400"/>
      <c r="AO36" s="426"/>
      <c r="AP36" s="427"/>
      <c r="AQ36" s="401"/>
      <c r="AR36" s="401"/>
      <c r="AS36" s="402"/>
      <c r="AT36" s="430"/>
      <c r="AU36" s="401"/>
      <c r="AV36" s="401"/>
      <c r="AW36" s="402"/>
      <c r="AX36" s="430"/>
      <c r="AY36" s="443"/>
      <c r="AZ36" s="444"/>
      <c r="BA36" s="444"/>
      <c r="BB36" s="444"/>
      <c r="BC36" s="445"/>
      <c r="BD36" s="403"/>
      <c r="BE36" s="399"/>
      <c r="BF36" s="400"/>
      <c r="BG36" s="426"/>
      <c r="BH36" s="427"/>
      <c r="BI36" s="5728"/>
      <c r="BJ36" s="5729"/>
      <c r="BK36" s="5730"/>
      <c r="BL36" s="320"/>
    </row>
    <row r="37" spans="1:66" ht="36.75" customHeight="1" x14ac:dyDescent="0.2">
      <c r="A37" s="651" t="s">
        <v>219</v>
      </c>
      <c r="B37" s="407"/>
      <c r="C37" s="407"/>
      <c r="D37" s="407"/>
      <c r="E37" s="407"/>
      <c r="F37" s="666"/>
      <c r="G37" s="667"/>
      <c r="H37" s="667"/>
      <c r="I37" s="667"/>
      <c r="J37" s="668"/>
      <c r="K37" s="399"/>
      <c r="L37" s="399"/>
      <c r="M37" s="400"/>
      <c r="N37" s="426"/>
      <c r="O37" s="427"/>
      <c r="P37" s="401"/>
      <c r="Q37" s="401"/>
      <c r="R37" s="402"/>
      <c r="S37" s="430"/>
      <c r="T37" s="401"/>
      <c r="U37" s="401"/>
      <c r="V37" s="402"/>
      <c r="W37" s="430"/>
      <c r="X37" s="431"/>
      <c r="Y37" s="430"/>
      <c r="Z37" s="407"/>
      <c r="AA37" s="407"/>
      <c r="AB37" s="407"/>
      <c r="AC37" s="401"/>
      <c r="AD37" s="401"/>
      <c r="AE37" s="402"/>
      <c r="AF37" s="430"/>
      <c r="AG37" s="443"/>
      <c r="AH37" s="444"/>
      <c r="AI37" s="444"/>
      <c r="AJ37" s="444"/>
      <c r="AK37" s="445"/>
      <c r="AL37" s="403"/>
      <c r="AM37" s="399"/>
      <c r="AN37" s="400"/>
      <c r="AO37" s="426"/>
      <c r="AP37" s="427"/>
      <c r="AQ37" s="401"/>
      <c r="AR37" s="401"/>
      <c r="AS37" s="402"/>
      <c r="AT37" s="430"/>
      <c r="AU37" s="401"/>
      <c r="AV37" s="401"/>
      <c r="AW37" s="402"/>
      <c r="AX37" s="430"/>
      <c r="AY37" s="443"/>
      <c r="AZ37" s="444"/>
      <c r="BA37" s="444"/>
      <c r="BB37" s="444"/>
      <c r="BC37" s="445"/>
      <c r="BD37" s="403"/>
      <c r="BE37" s="399"/>
      <c r="BF37" s="400"/>
      <c r="BG37" s="426"/>
      <c r="BH37" s="427"/>
      <c r="BI37" s="5728"/>
      <c r="BJ37" s="5729"/>
      <c r="BK37" s="5730"/>
      <c r="BL37" s="320"/>
    </row>
    <row r="38" spans="1:66" ht="36.75" customHeight="1" thickBot="1" x14ac:dyDescent="0.25">
      <c r="A38" s="677" t="s">
        <v>104</v>
      </c>
      <c r="B38" s="407"/>
      <c r="C38" s="407"/>
      <c r="D38" s="407"/>
      <c r="E38" s="407"/>
      <c r="F38" s="678"/>
      <c r="G38" s="679"/>
      <c r="H38" s="679"/>
      <c r="I38" s="679"/>
      <c r="J38" s="680">
        <v>110.4</v>
      </c>
      <c r="K38" s="681"/>
      <c r="L38" s="681"/>
      <c r="M38" s="682"/>
      <c r="N38" s="683"/>
      <c r="O38" s="684">
        <v>110.4</v>
      </c>
      <c r="P38" s="685"/>
      <c r="Q38" s="685"/>
      <c r="R38" s="686"/>
      <c r="S38" s="687">
        <v>63.405999999999999</v>
      </c>
      <c r="T38" s="685"/>
      <c r="U38" s="685"/>
      <c r="V38" s="686"/>
      <c r="W38" s="687">
        <v>120.18</v>
      </c>
      <c r="X38" s="688"/>
      <c r="Y38" s="687">
        <v>110.4</v>
      </c>
      <c r="Z38" s="407"/>
      <c r="AA38" s="407"/>
      <c r="AB38" s="407"/>
      <c r="AC38" s="685"/>
      <c r="AD38" s="685"/>
      <c r="AE38" s="686"/>
      <c r="AF38" s="687">
        <v>210.65</v>
      </c>
      <c r="AG38" s="689"/>
      <c r="AH38" s="690"/>
      <c r="AI38" s="690"/>
      <c r="AJ38" s="690"/>
      <c r="AK38" s="691">
        <v>120</v>
      </c>
      <c r="AL38" s="692"/>
      <c r="AM38" s="681"/>
      <c r="AN38" s="682"/>
      <c r="AO38" s="683"/>
      <c r="AP38" s="684">
        <f>AK38</f>
        <v>120</v>
      </c>
      <c r="AQ38" s="685"/>
      <c r="AR38" s="685"/>
      <c r="AS38" s="686"/>
      <c r="AT38" s="687">
        <v>50.73</v>
      </c>
      <c r="AU38" s="685"/>
      <c r="AV38" s="685"/>
      <c r="AW38" s="686"/>
      <c r="AX38" s="687"/>
      <c r="AY38" s="689"/>
      <c r="AZ38" s="690"/>
      <c r="BA38" s="690"/>
      <c r="BB38" s="690"/>
      <c r="BC38" s="691">
        <f>SUM(AF38*1.1)</f>
        <v>231.71500000000003</v>
      </c>
      <c r="BD38" s="692"/>
      <c r="BE38" s="681"/>
      <c r="BF38" s="682"/>
      <c r="BG38" s="683"/>
      <c r="BH38" s="684">
        <f>AF38*1.062*1.026</f>
        <v>229.52676780000002</v>
      </c>
      <c r="BI38" s="5728"/>
      <c r="BJ38" s="5729"/>
      <c r="BK38" s="5730"/>
      <c r="BL38" s="320"/>
    </row>
    <row r="39" spans="1:66" ht="36.75" customHeight="1" thickBot="1" x14ac:dyDescent="0.25">
      <c r="A39" s="696" t="s">
        <v>86</v>
      </c>
      <c r="B39" s="697"/>
      <c r="C39" s="697"/>
      <c r="D39" s="697"/>
      <c r="E39" s="697"/>
      <c r="F39" s="698"/>
      <c r="G39" s="699"/>
      <c r="H39" s="699"/>
      <c r="I39" s="699"/>
      <c r="J39" s="700">
        <f>SUM(J29:J38)</f>
        <v>6234.3756999999987</v>
      </c>
      <c r="K39" s="701"/>
      <c r="L39" s="701"/>
      <c r="M39" s="702"/>
      <c r="N39" s="703"/>
      <c r="O39" s="704" t="e">
        <f>SUM(O29:O38)</f>
        <v>#REF!</v>
      </c>
      <c r="P39" s="705"/>
      <c r="Q39" s="705"/>
      <c r="R39" s="706"/>
      <c r="S39" s="707">
        <f>SUM(S29:S38)</f>
        <v>2186.0282000000002</v>
      </c>
      <c r="T39" s="705"/>
      <c r="U39" s="705"/>
      <c r="V39" s="706"/>
      <c r="W39" s="707">
        <f>SUM(W29:W38)</f>
        <v>3609.3058999999998</v>
      </c>
      <c r="X39" s="708"/>
      <c r="Y39" s="707">
        <f>SUM(Y29:Y38)</f>
        <v>161.27129434936023</v>
      </c>
      <c r="Z39" s="697"/>
      <c r="AA39" s="697"/>
      <c r="AB39" s="697"/>
      <c r="AC39" s="705"/>
      <c r="AD39" s="705"/>
      <c r="AE39" s="706"/>
      <c r="AF39" s="707">
        <f>SUM(AF29:AF38)</f>
        <v>4087.3393910999998</v>
      </c>
      <c r="AG39" s="709"/>
      <c r="AH39" s="710"/>
      <c r="AI39" s="710"/>
      <c r="AJ39" s="710"/>
      <c r="AK39" s="711">
        <f>SUM(AK29:AK38)</f>
        <v>4894.9000000000005</v>
      </c>
      <c r="AL39" s="712"/>
      <c r="AM39" s="701"/>
      <c r="AN39" s="702"/>
      <c r="AO39" s="703"/>
      <c r="AP39" s="704">
        <f>SUM(AP29:AP38)</f>
        <v>3968.311174693004</v>
      </c>
      <c r="AQ39" s="705"/>
      <c r="AR39" s="705"/>
      <c r="AS39" s="706"/>
      <c r="AT39" s="707">
        <f>SUM(AT29:AT38)</f>
        <v>2640.0770813999998</v>
      </c>
      <c r="AU39" s="705"/>
      <c r="AV39" s="705"/>
      <c r="AW39" s="706"/>
      <c r="AX39" s="707">
        <f>SUM(AX29:AX38)</f>
        <v>0</v>
      </c>
      <c r="AY39" s="709"/>
      <c r="AZ39" s="710"/>
      <c r="BA39" s="710"/>
      <c r="BB39" s="710"/>
      <c r="BC39" s="711">
        <f>SUM(BC29:BC38)</f>
        <v>7781.2449052544798</v>
      </c>
      <c r="BD39" s="712"/>
      <c r="BE39" s="701"/>
      <c r="BF39" s="702"/>
      <c r="BG39" s="703"/>
      <c r="BH39" s="704">
        <f>SUM(BH29:BH38)</f>
        <v>6985.4283978386675</v>
      </c>
      <c r="BI39" s="5740"/>
      <c r="BJ39" s="5741"/>
      <c r="BK39" s="5742"/>
      <c r="BL39" s="321"/>
      <c r="BM39">
        <f>AP39*1.088</f>
        <v>4317.522558065989</v>
      </c>
      <c r="BN39" s="155">
        <f>BH39-BM39</f>
        <v>2667.9058397726785</v>
      </c>
    </row>
    <row r="40" spans="1:66" ht="36.75" customHeight="1" thickBot="1" x14ac:dyDescent="0.25">
      <c r="A40" s="696" t="s">
        <v>124</v>
      </c>
      <c r="B40" s="697"/>
      <c r="C40" s="697"/>
      <c r="D40" s="697"/>
      <c r="E40" s="697"/>
      <c r="F40" s="698"/>
      <c r="G40" s="738">
        <f>'объемы ВС и ВО 2023'!E44-'объемы ВС и ВО 2023'!E51</f>
        <v>4974</v>
      </c>
      <c r="H40" s="700"/>
      <c r="I40" s="699"/>
      <c r="J40" s="700"/>
      <c r="K40" s="701"/>
      <c r="L40" s="739" t="e">
        <f>'объемы ВС и ВО 2023'!G39-'объемы ВС и ВО 2023'!G51</f>
        <v>#REF!</v>
      </c>
      <c r="M40" s="702"/>
      <c r="N40" s="703"/>
      <c r="O40" s="704"/>
      <c r="P40" s="705"/>
      <c r="Q40" s="740">
        <f>[48]объемы!H37</f>
        <v>3493.4257142857145</v>
      </c>
      <c r="R40" s="706"/>
      <c r="S40" s="707"/>
      <c r="T40" s="705"/>
      <c r="U40" s="740">
        <v>5158</v>
      </c>
      <c r="V40" s="706"/>
      <c r="W40" s="707"/>
      <c r="X40" s="708"/>
      <c r="Y40" s="707"/>
      <c r="Z40" s="697"/>
      <c r="AA40" s="697"/>
      <c r="AB40" s="697"/>
      <c r="AC40" s="705"/>
      <c r="AD40" s="740">
        <f>SUM('объемы ВС и ВО 2023'!K40)</f>
        <v>6928.1</v>
      </c>
      <c r="AE40" s="706"/>
      <c r="AF40" s="707"/>
      <c r="AG40" s="709"/>
      <c r="AH40" s="741">
        <f>SUM('объемы ВС и ВО 2023'!L40)</f>
        <v>5753.9</v>
      </c>
      <c r="AI40" s="742"/>
      <c r="AJ40" s="710"/>
      <c r="AK40" s="711"/>
      <c r="AL40" s="712"/>
      <c r="AM40" s="739">
        <f>SUM('объемы ВС и ВО 2023'!M40)</f>
        <v>5561.39</v>
      </c>
      <c r="AN40" s="702"/>
      <c r="AO40" s="703"/>
      <c r="AP40" s="704"/>
      <c r="AQ40" s="705"/>
      <c r="AR40" s="740">
        <f>SUM('объемы ВС и ВО 2023'!P40)</f>
        <v>3367.79</v>
      </c>
      <c r="AS40" s="706"/>
      <c r="AT40" s="707"/>
      <c r="AU40" s="705"/>
      <c r="AV40" s="740">
        <f>SUM('объемы ВС и ВО 2023'!S40)</f>
        <v>0</v>
      </c>
      <c r="AW40" s="706"/>
      <c r="AX40" s="707"/>
      <c r="AY40" s="709"/>
      <c r="AZ40" s="741">
        <f>SUM('объемы ВС и ВО 2023'!T40)</f>
        <v>5757.9369999999999</v>
      </c>
      <c r="BA40" s="742"/>
      <c r="BB40" s="710"/>
      <c r="BC40" s="711"/>
      <c r="BD40" s="712"/>
      <c r="BE40" s="739">
        <f>SUM('объемы ВС и ВО 2023'!AA40)</f>
        <v>5654.317</v>
      </c>
      <c r="BF40" s="702"/>
      <c r="BG40" s="703"/>
      <c r="BH40" s="704"/>
      <c r="BI40" s="5725"/>
      <c r="BJ40" s="5726"/>
      <c r="BK40" s="5727"/>
      <c r="BL40" s="322"/>
    </row>
    <row r="41" spans="1:66" ht="36.75" customHeight="1" x14ac:dyDescent="0.2">
      <c r="A41" s="650" t="s">
        <v>99</v>
      </c>
      <c r="B41" s="407"/>
      <c r="C41" s="407"/>
      <c r="D41" s="407"/>
      <c r="E41" s="407"/>
      <c r="F41" s="730"/>
      <c r="G41" s="731"/>
      <c r="H41" s="731"/>
      <c r="I41" s="731"/>
      <c r="J41" s="732"/>
      <c r="K41" s="693"/>
      <c r="L41" s="693"/>
      <c r="M41" s="410"/>
      <c r="N41" s="411"/>
      <c r="O41" s="412"/>
      <c r="P41" s="694">
        <v>1</v>
      </c>
      <c r="Q41" s="694"/>
      <c r="R41" s="415">
        <v>47970</v>
      </c>
      <c r="S41" s="416">
        <f>R41*P41/1000</f>
        <v>47.97</v>
      </c>
      <c r="T41" s="694">
        <v>1</v>
      </c>
      <c r="U41" s="414">
        <f>SUM(T41/U46*1000)</f>
        <v>0.3841425937307929</v>
      </c>
      <c r="V41" s="415">
        <v>47970</v>
      </c>
      <c r="W41" s="416">
        <f>V41*T41/1000</f>
        <v>47.97</v>
      </c>
      <c r="X41" s="417"/>
      <c r="Y41" s="416"/>
      <c r="Z41" s="407"/>
      <c r="AA41" s="407"/>
      <c r="AB41" s="407"/>
      <c r="AC41" s="694">
        <v>1</v>
      </c>
      <c r="AD41" s="414">
        <f>SUM(AC41/AD46*1000)</f>
        <v>0.22761414849547051</v>
      </c>
      <c r="AE41" s="415">
        <v>47970</v>
      </c>
      <c r="AF41" s="416">
        <f>AE41*AC41/1000</f>
        <v>47.97</v>
      </c>
      <c r="AG41" s="733"/>
      <c r="AH41" s="734"/>
      <c r="AI41" s="734"/>
      <c r="AJ41" s="734"/>
      <c r="AK41" s="735"/>
      <c r="AL41" s="695"/>
      <c r="AM41" s="693"/>
      <c r="AN41" s="410"/>
      <c r="AO41" s="411"/>
      <c r="AP41" s="412"/>
      <c r="AQ41" s="694"/>
      <c r="AR41" s="414">
        <f>SUM(AQ41/AR46*1000)</f>
        <v>0</v>
      </c>
      <c r="AS41" s="415"/>
      <c r="AT41" s="416">
        <f>AS41*AQ41/1000</f>
        <v>0</v>
      </c>
      <c r="AU41" s="694"/>
      <c r="AV41" s="414">
        <f>SUM(AU41/AV46*1000)</f>
        <v>0</v>
      </c>
      <c r="AW41" s="415"/>
      <c r="AX41" s="416">
        <f>AW41*AU41/1000</f>
        <v>0</v>
      </c>
      <c r="AY41" s="418">
        <v>1</v>
      </c>
      <c r="AZ41" s="736">
        <f>SUM(AY41/AZ46)*1000</f>
        <v>0.28793550244745175</v>
      </c>
      <c r="BA41" s="420">
        <f>SUM(BA29)</f>
        <v>85278.6</v>
      </c>
      <c r="BB41" s="421" t="e">
        <f t="shared" ref="BB41:BB43" si="10">BA41/AN41</f>
        <v>#DIV/0!</v>
      </c>
      <c r="BC41" s="737">
        <f>AY41*BA41/1000</f>
        <v>85.278600000000012</v>
      </c>
      <c r="BD41" s="695">
        <f>BE46*BE41/1000</f>
        <v>0.78413074156689599</v>
      </c>
      <c r="BE41" s="409">
        <f>AD41</f>
        <v>0.22761414849547051</v>
      </c>
      <c r="BF41" s="410">
        <f>BF29</f>
        <v>79862</v>
      </c>
      <c r="BG41" s="424" t="e">
        <f t="shared" ref="BG41:BG43" si="11">BF41/AN41</f>
        <v>#DIV/0!</v>
      </c>
      <c r="BH41" s="412">
        <f>BD41*BF41/1000</f>
        <v>62.622249283015449</v>
      </c>
      <c r="BI41" s="5728"/>
      <c r="BJ41" s="5729"/>
      <c r="BK41" s="5730"/>
      <c r="BL41" s="320"/>
    </row>
    <row r="42" spans="1:66" ht="36.75" customHeight="1" x14ac:dyDescent="0.2">
      <c r="A42" s="651" t="s">
        <v>100</v>
      </c>
      <c r="B42" s="407"/>
      <c r="C42" s="407"/>
      <c r="D42" s="407"/>
      <c r="E42" s="407"/>
      <c r="F42" s="661">
        <v>9.08</v>
      </c>
      <c r="G42" s="669">
        <v>2.2599999999999998</v>
      </c>
      <c r="H42" s="663">
        <v>64910</v>
      </c>
      <c r="I42" s="664"/>
      <c r="J42" s="670">
        <f>F42*H42/1000</f>
        <v>589.38280000000009</v>
      </c>
      <c r="K42" s="447">
        <f>F42</f>
        <v>9.08</v>
      </c>
      <c r="L42" s="448">
        <f>AP19</f>
        <v>2.1283056727349026</v>
      </c>
      <c r="M42" s="400">
        <f>AN19*1.021</f>
        <v>52971.882352941167</v>
      </c>
      <c r="N42" s="426" t="e">
        <f>M42/#REF!*100</f>
        <v>#REF!</v>
      </c>
      <c r="O42" s="427">
        <f>K42*M42/1000</f>
        <v>480.98469176470581</v>
      </c>
      <c r="P42" s="449">
        <v>2.6</v>
      </c>
      <c r="Q42" s="446">
        <v>0</v>
      </c>
      <c r="R42" s="402">
        <v>49880</v>
      </c>
      <c r="S42" s="430">
        <f>R42*P42/1000</f>
        <v>129.68799999999999</v>
      </c>
      <c r="T42" s="449">
        <v>4.3499999999999996</v>
      </c>
      <c r="U42" s="446">
        <f>SUM(T42/U46*1000)</f>
        <v>1.6710202827289491</v>
      </c>
      <c r="V42" s="402">
        <v>51050</v>
      </c>
      <c r="W42" s="430">
        <f>V42*T42/1000</f>
        <v>222.06749999999997</v>
      </c>
      <c r="X42" s="431" t="e">
        <f>W42/#REF!*100</f>
        <v>#REF!</v>
      </c>
      <c r="Y42" s="430">
        <f>U42*W42/1000</f>
        <v>0.37107929663491085</v>
      </c>
      <c r="Z42" s="407"/>
      <c r="AA42" s="407"/>
      <c r="AB42" s="407"/>
      <c r="AC42" s="428">
        <v>6.65</v>
      </c>
      <c r="AD42" s="446">
        <f>SUM(AC42/AD46*1000)</f>
        <v>1.513634087494879</v>
      </c>
      <c r="AE42" s="402">
        <v>47870</v>
      </c>
      <c r="AF42" s="430">
        <f>AE42*AC42/1000</f>
        <v>318.33550000000002</v>
      </c>
      <c r="AG42" s="432">
        <v>9.08</v>
      </c>
      <c r="AH42" s="450">
        <v>2.2599999999999998</v>
      </c>
      <c r="AI42" s="434">
        <v>56150</v>
      </c>
      <c r="AJ42" s="442">
        <f>AI42/BK19</f>
        <v>1.1898707353252809</v>
      </c>
      <c r="AK42" s="451">
        <f>AG42*AI42/1000</f>
        <v>509.84199999999998</v>
      </c>
      <c r="AL42" s="441">
        <f>AM42*AM46/1000</f>
        <v>7.7570356854168985</v>
      </c>
      <c r="AM42" s="448">
        <f>AP19</f>
        <v>2.1283056727349026</v>
      </c>
      <c r="AN42" s="400">
        <f>BK19*1.021*1.062</f>
        <v>51168.211380000001</v>
      </c>
      <c r="AO42" s="437">
        <f>AN42/BK19</f>
        <v>1.0843020000000001</v>
      </c>
      <c r="AP42" s="427">
        <f>AL42*AN42/1000</f>
        <v>396.9136416336151</v>
      </c>
      <c r="AQ42" s="449"/>
      <c r="AR42" s="446">
        <f>SUM(AQ42/AR46*1000)</f>
        <v>0</v>
      </c>
      <c r="AS42" s="402"/>
      <c r="AT42" s="430">
        <f>AS42*AQ42/1000</f>
        <v>0</v>
      </c>
      <c r="AU42" s="449"/>
      <c r="AV42" s="446">
        <f>SUM(AU42/AV46*1000)</f>
        <v>0</v>
      </c>
      <c r="AW42" s="402"/>
      <c r="AX42" s="430">
        <f>AW42*AU42/1000</f>
        <v>0</v>
      </c>
      <c r="AY42" s="432">
        <v>6.65</v>
      </c>
      <c r="AZ42" s="450">
        <f>SUM(AY42/AZ46)*1000</f>
        <v>1.9147710912755544</v>
      </c>
      <c r="BA42" s="420">
        <f>SUM(AN42*1.1)</f>
        <v>56285.032518000007</v>
      </c>
      <c r="BB42" s="421">
        <f t="shared" si="10"/>
        <v>1.1000000000000001</v>
      </c>
      <c r="BC42" s="451">
        <f>AY42*BA42/1000</f>
        <v>374.29546624470009</v>
      </c>
      <c r="BD42" s="441">
        <f>BE42*BE46/1000</f>
        <v>5.2144694314198583</v>
      </c>
      <c r="BE42" s="409">
        <f>AD42</f>
        <v>1.513634087494879</v>
      </c>
      <c r="BF42" s="400">
        <f>BF30</f>
        <v>43766.393750000003</v>
      </c>
      <c r="BG42" s="424">
        <f t="shared" si="11"/>
        <v>0.85534343627862031</v>
      </c>
      <c r="BH42" s="427">
        <f>BD42*BF42/1000</f>
        <v>228.21852233286015</v>
      </c>
      <c r="BI42" s="5728"/>
      <c r="BJ42" s="5729"/>
      <c r="BK42" s="5730"/>
      <c r="BL42" s="320"/>
    </row>
    <row r="43" spans="1:66" ht="36.75" customHeight="1" x14ac:dyDescent="0.2">
      <c r="A43" s="652" t="s">
        <v>819</v>
      </c>
      <c r="B43" s="407"/>
      <c r="C43" s="407"/>
      <c r="D43" s="407"/>
      <c r="E43" s="407"/>
      <c r="F43" s="666"/>
      <c r="G43" s="667"/>
      <c r="H43" s="667"/>
      <c r="I43" s="667"/>
      <c r="J43" s="668"/>
      <c r="K43" s="399"/>
      <c r="L43" s="399"/>
      <c r="M43" s="400"/>
      <c r="N43" s="400"/>
      <c r="O43" s="427"/>
      <c r="P43" s="401">
        <v>0.03</v>
      </c>
      <c r="Q43" s="401"/>
      <c r="R43" s="402">
        <v>45760</v>
      </c>
      <c r="S43" s="430">
        <f>R43*P43/1000</f>
        <v>1.3728</v>
      </c>
      <c r="T43" s="401">
        <v>2.5000000000000001E-2</v>
      </c>
      <c r="U43" s="446">
        <f>SUM(T43/U46*1000)</f>
        <v>9.6035648432698222E-3</v>
      </c>
      <c r="V43" s="402">
        <v>45760</v>
      </c>
      <c r="W43" s="430">
        <f>V43*T43/1000</f>
        <v>1.1439999999999999</v>
      </c>
      <c r="X43" s="402"/>
      <c r="Y43" s="430"/>
      <c r="Z43" s="407"/>
      <c r="AA43" s="407"/>
      <c r="AB43" s="407"/>
      <c r="AC43" s="401">
        <v>2.5000000000000001E-2</v>
      </c>
      <c r="AD43" s="446">
        <f>SUM(AC43/AD46*1000)</f>
        <v>5.6903537123867629E-3</v>
      </c>
      <c r="AE43" s="402">
        <v>45760</v>
      </c>
      <c r="AF43" s="430">
        <f>AE43*AC43/1000</f>
        <v>1.1439999999999999</v>
      </c>
      <c r="AG43" s="443"/>
      <c r="AH43" s="444"/>
      <c r="AI43" s="444"/>
      <c r="AJ43" s="444"/>
      <c r="AK43" s="445"/>
      <c r="AL43" s="403"/>
      <c r="AM43" s="399"/>
      <c r="AN43" s="400"/>
      <c r="AO43" s="400"/>
      <c r="AP43" s="427"/>
      <c r="AQ43" s="401"/>
      <c r="AR43" s="446">
        <f>SUM(AQ43/AR46*1000)</f>
        <v>0</v>
      </c>
      <c r="AS43" s="402"/>
      <c r="AT43" s="430">
        <f>AS43*AQ43/1000</f>
        <v>0</v>
      </c>
      <c r="AU43" s="401"/>
      <c r="AV43" s="446">
        <f>SUM(AU43/AV46*1000)</f>
        <v>0</v>
      </c>
      <c r="AW43" s="402"/>
      <c r="AX43" s="430">
        <f>AW43*AU43/1000</f>
        <v>0</v>
      </c>
      <c r="AY43" s="443">
        <v>2.5000000000000001E-2</v>
      </c>
      <c r="AZ43" s="450">
        <f>SUM(AY43/AZ46)*1000</f>
        <v>7.1983875611862942E-3</v>
      </c>
      <c r="BA43" s="420">
        <f>SUM(BA33)</f>
        <v>19345.392000000003</v>
      </c>
      <c r="BB43" s="421" t="e">
        <f t="shared" si="10"/>
        <v>#DIV/0!</v>
      </c>
      <c r="BC43" s="451">
        <f>AY43*BA43/1000</f>
        <v>0.48363480000000009</v>
      </c>
      <c r="BD43" s="403">
        <f>BE43*BE46/1000</f>
        <v>1.9603268539172398E-2</v>
      </c>
      <c r="BE43" s="409">
        <f>AD43</f>
        <v>5.6903537123867629E-3</v>
      </c>
      <c r="BF43" s="400">
        <f>M63</f>
        <v>14833.89608</v>
      </c>
      <c r="BG43" s="424" t="e">
        <f t="shared" si="11"/>
        <v>#DIV/0!</v>
      </c>
      <c r="BH43" s="427">
        <f>BD43*BF43/1000</f>
        <v>0.29079284833841679</v>
      </c>
      <c r="BI43" s="5728"/>
      <c r="BJ43" s="5729"/>
      <c r="BK43" s="5730"/>
      <c r="BL43" s="320"/>
    </row>
    <row r="44" spans="1:66" ht="36.75" customHeight="1" thickBot="1" x14ac:dyDescent="0.25">
      <c r="A44" s="653" t="s">
        <v>104</v>
      </c>
      <c r="B44" s="407"/>
      <c r="C44" s="407"/>
      <c r="D44" s="407"/>
      <c r="E44" s="407"/>
      <c r="F44" s="678"/>
      <c r="G44" s="679"/>
      <c r="H44" s="679"/>
      <c r="I44" s="679"/>
      <c r="J44" s="680">
        <v>9.1</v>
      </c>
      <c r="K44" s="681"/>
      <c r="L44" s="681"/>
      <c r="M44" s="682"/>
      <c r="N44" s="682"/>
      <c r="O44" s="684">
        <v>8.3000000000000007</v>
      </c>
      <c r="P44" s="685"/>
      <c r="Q44" s="685"/>
      <c r="R44" s="686"/>
      <c r="S44" s="687">
        <v>0.23</v>
      </c>
      <c r="T44" s="685"/>
      <c r="U44" s="685"/>
      <c r="V44" s="686"/>
      <c r="W44" s="687">
        <v>0.23</v>
      </c>
      <c r="X44" s="686"/>
      <c r="Y44" s="687">
        <v>8.3000000000000007</v>
      </c>
      <c r="Z44" s="407"/>
      <c r="AA44" s="407"/>
      <c r="AB44" s="407"/>
      <c r="AC44" s="685"/>
      <c r="AD44" s="685"/>
      <c r="AE44" s="686"/>
      <c r="AF44" s="687">
        <v>1.25</v>
      </c>
      <c r="AG44" s="689"/>
      <c r="AH44" s="690"/>
      <c r="AI44" s="690"/>
      <c r="AJ44" s="690"/>
      <c r="AK44" s="691">
        <v>9.1</v>
      </c>
      <c r="AL44" s="692"/>
      <c r="AM44" s="681"/>
      <c r="AN44" s="682"/>
      <c r="AO44" s="682"/>
      <c r="AP44" s="684">
        <f>AK44</f>
        <v>9.1</v>
      </c>
      <c r="AQ44" s="685"/>
      <c r="AR44" s="685"/>
      <c r="AS44" s="686"/>
      <c r="AT44" s="687"/>
      <c r="AU44" s="685"/>
      <c r="AV44" s="685"/>
      <c r="AW44" s="686"/>
      <c r="AX44" s="687"/>
      <c r="AY44" s="689"/>
      <c r="AZ44" s="690"/>
      <c r="BA44" s="690"/>
      <c r="BB44" s="690"/>
      <c r="BC44" s="691">
        <f>SUM(AP44*1.1)</f>
        <v>10.01</v>
      </c>
      <c r="BD44" s="692"/>
      <c r="BE44" s="681"/>
      <c r="BF44" s="682"/>
      <c r="BG44" s="682"/>
      <c r="BH44" s="684">
        <f>AF44</f>
        <v>1.25</v>
      </c>
      <c r="BI44" s="5728"/>
      <c r="BJ44" s="5729"/>
      <c r="BK44" s="5730"/>
      <c r="BL44" s="320"/>
    </row>
    <row r="45" spans="1:66" ht="36.75" customHeight="1" thickBot="1" x14ac:dyDescent="0.25">
      <c r="A45" s="696" t="s">
        <v>90</v>
      </c>
      <c r="B45" s="697"/>
      <c r="C45" s="697"/>
      <c r="D45" s="697"/>
      <c r="E45" s="697"/>
      <c r="F45" s="698"/>
      <c r="G45" s="699"/>
      <c r="H45" s="699"/>
      <c r="I45" s="699"/>
      <c r="J45" s="728">
        <f>SUM(J41:J44)</f>
        <v>598.48280000000011</v>
      </c>
      <c r="K45" s="701"/>
      <c r="L45" s="701"/>
      <c r="M45" s="702"/>
      <c r="N45" s="702"/>
      <c r="O45" s="704">
        <f>SUM(O42:O44)</f>
        <v>489.28469176470583</v>
      </c>
      <c r="P45" s="705"/>
      <c r="Q45" s="705"/>
      <c r="R45" s="706"/>
      <c r="S45" s="707">
        <f>SUM(S41:S44)</f>
        <v>179.26079999999999</v>
      </c>
      <c r="T45" s="705"/>
      <c r="U45" s="705"/>
      <c r="V45" s="706"/>
      <c r="W45" s="707">
        <f>SUM(W41:W44)</f>
        <v>271.41149999999999</v>
      </c>
      <c r="X45" s="706"/>
      <c r="Y45" s="707">
        <f>SUM(Y42:Y44)</f>
        <v>8.6710792966349111</v>
      </c>
      <c r="Z45" s="697"/>
      <c r="AA45" s="697"/>
      <c r="AB45" s="697"/>
      <c r="AC45" s="705"/>
      <c r="AD45" s="705"/>
      <c r="AE45" s="706"/>
      <c r="AF45" s="707">
        <f>SUM(AF41:AF44)</f>
        <v>368.69950000000006</v>
      </c>
      <c r="AG45" s="709"/>
      <c r="AH45" s="710"/>
      <c r="AI45" s="710"/>
      <c r="AJ45" s="710"/>
      <c r="AK45" s="729">
        <f>SUM(AK41:AK44)</f>
        <v>518.94200000000001</v>
      </c>
      <c r="AL45" s="712"/>
      <c r="AM45" s="701"/>
      <c r="AN45" s="702"/>
      <c r="AO45" s="702"/>
      <c r="AP45" s="704">
        <f>SUM(AP42:AP44)</f>
        <v>406.01364163361512</v>
      </c>
      <c r="AQ45" s="705"/>
      <c r="AR45" s="705"/>
      <c r="AS45" s="706"/>
      <c r="AT45" s="707">
        <f>SUM(AT41:AT44)</f>
        <v>0</v>
      </c>
      <c r="AU45" s="705"/>
      <c r="AV45" s="705"/>
      <c r="AW45" s="706"/>
      <c r="AX45" s="707">
        <f>SUM(AX41:AX44)</f>
        <v>0</v>
      </c>
      <c r="AY45" s="709"/>
      <c r="AZ45" s="710"/>
      <c r="BA45" s="710"/>
      <c r="BB45" s="710"/>
      <c r="BC45" s="729">
        <f>SUM(BC41:BC44)</f>
        <v>470.06770104470013</v>
      </c>
      <c r="BD45" s="712"/>
      <c r="BE45" s="701"/>
      <c r="BF45" s="702"/>
      <c r="BG45" s="702"/>
      <c r="BH45" s="704">
        <f>SUM(BH42:BH44)</f>
        <v>229.75931518119856</v>
      </c>
      <c r="BI45" s="5728"/>
      <c r="BJ45" s="5729"/>
      <c r="BK45" s="5730"/>
      <c r="BL45" s="321"/>
    </row>
    <row r="46" spans="1:66" ht="36.75" customHeight="1" thickBot="1" x14ac:dyDescent="0.25">
      <c r="A46" s="713" t="s">
        <v>125</v>
      </c>
      <c r="B46" s="407"/>
      <c r="C46" s="407"/>
      <c r="D46" s="407"/>
      <c r="E46" s="407"/>
      <c r="F46" s="714"/>
      <c r="G46" s="715">
        <f>'объемы ВС и ВО 2023'!E63</f>
        <v>3600</v>
      </c>
      <c r="H46" s="716"/>
      <c r="I46" s="716"/>
      <c r="J46" s="716"/>
      <c r="K46" s="717"/>
      <c r="L46" s="718" t="e">
        <f>'объемы ВС и ВО 2023'!G63</f>
        <v>#REF!</v>
      </c>
      <c r="M46" s="718"/>
      <c r="N46" s="718"/>
      <c r="O46" s="719"/>
      <c r="P46" s="720"/>
      <c r="Q46" s="721">
        <f>[48]объемы!H50</f>
        <v>1773.7999999999997</v>
      </c>
      <c r="R46" s="721"/>
      <c r="S46" s="722"/>
      <c r="T46" s="720"/>
      <c r="U46" s="721">
        <v>2603.1999999999998</v>
      </c>
      <c r="V46" s="721"/>
      <c r="W46" s="722"/>
      <c r="X46" s="721"/>
      <c r="Y46" s="722"/>
      <c r="Z46" s="407"/>
      <c r="AA46" s="407"/>
      <c r="AB46" s="407"/>
      <c r="AC46" s="720"/>
      <c r="AD46" s="721">
        <f>'объемы ВС и ВО 2023'!K62</f>
        <v>4393.3999999999996</v>
      </c>
      <c r="AE46" s="721"/>
      <c r="AF46" s="722"/>
      <c r="AG46" s="723"/>
      <c r="AH46" s="724">
        <f>'объемы ВС и ВО 2023'!L63</f>
        <v>3672.7</v>
      </c>
      <c r="AI46" s="725"/>
      <c r="AJ46" s="725"/>
      <c r="AK46" s="726"/>
      <c r="AL46" s="727"/>
      <c r="AM46" s="718">
        <f>'объемы ВС и ВО 2023'!M63</f>
        <v>3644.7</v>
      </c>
      <c r="AN46" s="718"/>
      <c r="AO46" s="718"/>
      <c r="AP46" s="719"/>
      <c r="AQ46" s="720"/>
      <c r="AR46" s="721">
        <f>SUM('объемы ВС и ВО 2023'!P63)</f>
        <v>1670.74</v>
      </c>
      <c r="AS46" s="721"/>
      <c r="AT46" s="722"/>
      <c r="AU46" s="720"/>
      <c r="AV46" s="721">
        <f>SUM('объемы ВС и ВО 2023'!S63)</f>
        <v>23.38</v>
      </c>
      <c r="AW46" s="721"/>
      <c r="AX46" s="722"/>
      <c r="AY46" s="723"/>
      <c r="AZ46" s="724">
        <f>SUM('объемы ВС и ВО 2023'!T63)</f>
        <v>3473</v>
      </c>
      <c r="BA46" s="725"/>
      <c r="BB46" s="725"/>
      <c r="BC46" s="726"/>
      <c r="BD46" s="727"/>
      <c r="BE46" s="718">
        <f>SUM('объемы ВС и ВО 2023'!AA63)</f>
        <v>3445</v>
      </c>
      <c r="BF46" s="718"/>
      <c r="BG46" s="718"/>
      <c r="BH46" s="719"/>
      <c r="BI46" s="5731"/>
      <c r="BJ46" s="5732"/>
      <c r="BK46" s="5733"/>
      <c r="BL46" s="322"/>
    </row>
    <row r="47" spans="1:66" x14ac:dyDescent="0.2">
      <c r="P47" s="172"/>
      <c r="Q47" s="172"/>
      <c r="R47" s="172"/>
    </row>
    <row r="49" spans="1:60" ht="18" x14ac:dyDescent="0.25">
      <c r="A49" s="5705" t="s">
        <v>412</v>
      </c>
      <c r="B49" s="5705"/>
      <c r="C49" s="5705"/>
      <c r="D49" s="5705"/>
      <c r="E49" s="5705"/>
      <c r="F49" s="5705"/>
      <c r="G49" s="5705"/>
      <c r="H49" s="5705"/>
      <c r="I49" s="5705"/>
      <c r="J49" s="5705"/>
      <c r="K49" s="5705"/>
      <c r="L49" s="5705"/>
      <c r="M49" s="5705"/>
    </row>
    <row r="51" spans="1:60" ht="63.75" x14ac:dyDescent="0.2">
      <c r="A51" s="25"/>
      <c r="B51" s="25"/>
      <c r="C51" s="25"/>
      <c r="D51" s="25"/>
      <c r="E51" s="25"/>
      <c r="F51" s="168" t="s">
        <v>404</v>
      </c>
      <c r="G51" s="168" t="s">
        <v>405</v>
      </c>
      <c r="H51" s="168" t="s">
        <v>406</v>
      </c>
      <c r="I51" s="168"/>
      <c r="J51" s="168" t="s">
        <v>407</v>
      </c>
      <c r="K51" s="327" t="s">
        <v>409</v>
      </c>
      <c r="L51" s="327" t="s">
        <v>410</v>
      </c>
      <c r="M51" s="327" t="s">
        <v>411</v>
      </c>
      <c r="BH51">
        <f>BH45*0.25</f>
        <v>57.43982879529964</v>
      </c>
    </row>
    <row r="52" spans="1:60" x14ac:dyDescent="0.2">
      <c r="A52" s="25" t="s">
        <v>400</v>
      </c>
      <c r="B52" s="25"/>
      <c r="C52" s="25"/>
      <c r="D52" s="25"/>
      <c r="E52" s="25"/>
      <c r="F52" s="154">
        <v>40000</v>
      </c>
      <c r="G52" s="154">
        <f>81375/14000</f>
        <v>5.8125</v>
      </c>
      <c r="H52" s="147">
        <v>1.0620000000000001</v>
      </c>
      <c r="I52" s="147"/>
      <c r="J52" s="147">
        <v>1.1000000000000001</v>
      </c>
      <c r="K52" s="154">
        <f>F52*H52</f>
        <v>42480</v>
      </c>
      <c r="L52" s="154">
        <f>G52*J52</f>
        <v>6.3937500000000007</v>
      </c>
      <c r="M52" s="154">
        <f>K52+L52</f>
        <v>42486.393750000003</v>
      </c>
    </row>
    <row r="53" spans="1:60" x14ac:dyDescent="0.2">
      <c r="A53" s="25" t="s">
        <v>401</v>
      </c>
      <c r="B53" s="25"/>
      <c r="C53" s="25"/>
      <c r="D53" s="25"/>
      <c r="E53" s="25"/>
      <c r="F53" s="154">
        <v>73000</v>
      </c>
      <c r="G53" s="154">
        <v>0</v>
      </c>
      <c r="H53" s="147">
        <v>1.0620000000000001</v>
      </c>
      <c r="I53" s="147"/>
      <c r="J53" s="147">
        <v>1.1000000000000001</v>
      </c>
      <c r="K53" s="154">
        <f>F53*H53</f>
        <v>77526</v>
      </c>
      <c r="L53" s="154">
        <f>G53*J53</f>
        <v>0</v>
      </c>
      <c r="M53" s="154">
        <f>K53+L53</f>
        <v>77526</v>
      </c>
    </row>
    <row r="54" spans="1:60" x14ac:dyDescent="0.2">
      <c r="A54" s="25" t="s">
        <v>402</v>
      </c>
      <c r="B54" s="25"/>
      <c r="C54" s="25"/>
      <c r="D54" s="25"/>
      <c r="E54" s="25"/>
      <c r="F54" s="154">
        <v>16560</v>
      </c>
      <c r="G54" s="154">
        <v>0</v>
      </c>
      <c r="H54" s="147">
        <v>1.0620000000000001</v>
      </c>
      <c r="I54" s="147"/>
      <c r="J54" s="147">
        <v>1.1000000000000001</v>
      </c>
      <c r="K54" s="154">
        <f>F54*H54</f>
        <v>17586.72</v>
      </c>
      <c r="L54" s="154">
        <f>G54*J54</f>
        <v>0</v>
      </c>
      <c r="M54" s="154">
        <f>K54+L54</f>
        <v>17586.72</v>
      </c>
    </row>
    <row r="55" spans="1:60" x14ac:dyDescent="0.2">
      <c r="A55" s="25" t="s">
        <v>403</v>
      </c>
      <c r="B55" s="25"/>
      <c r="C55" s="25"/>
      <c r="D55" s="25"/>
      <c r="E55" s="25"/>
      <c r="F55" s="154">
        <v>23722.99</v>
      </c>
      <c r="G55" s="154">
        <v>0</v>
      </c>
      <c r="H55" s="147">
        <v>1.0620000000000001</v>
      </c>
      <c r="I55" s="147"/>
      <c r="J55" s="147">
        <v>1.1000000000000001</v>
      </c>
      <c r="K55" s="154">
        <f>F55*H55</f>
        <v>25193.815380000004</v>
      </c>
      <c r="L55" s="154">
        <f>G55*J55</f>
        <v>0</v>
      </c>
      <c r="M55" s="154">
        <f>K55+L55</f>
        <v>25193.815380000004</v>
      </c>
    </row>
    <row r="56" spans="1:60" x14ac:dyDescent="0.2">
      <c r="A56" s="25" t="s">
        <v>408</v>
      </c>
      <c r="B56" s="25"/>
      <c r="C56" s="25"/>
      <c r="D56" s="25"/>
      <c r="E56" s="25"/>
      <c r="F56" s="154">
        <f>4279.66</f>
        <v>4279.66</v>
      </c>
      <c r="G56" s="154">
        <v>0</v>
      </c>
      <c r="H56" s="147">
        <v>1.0620000000000001</v>
      </c>
      <c r="I56" s="147"/>
      <c r="J56" s="147">
        <v>1.1000000000000001</v>
      </c>
      <c r="K56" s="154">
        <f>F56*H56</f>
        <v>4544.99892</v>
      </c>
      <c r="L56" s="154">
        <f>G56*J56</f>
        <v>0</v>
      </c>
      <c r="M56" s="154">
        <f>K56+L56</f>
        <v>4544.99892</v>
      </c>
    </row>
    <row r="58" spans="1:60" ht="18" x14ac:dyDescent="0.25">
      <c r="A58" s="5705" t="s">
        <v>866</v>
      </c>
      <c r="B58" s="5705"/>
      <c r="C58" s="5705"/>
      <c r="D58" s="5705"/>
      <c r="E58" s="5705"/>
      <c r="F58" s="5705"/>
      <c r="G58" s="5705"/>
      <c r="H58" s="5705"/>
      <c r="I58" s="5705"/>
      <c r="J58" s="5705"/>
      <c r="K58" s="5705"/>
      <c r="L58" s="5705"/>
      <c r="M58" s="5705"/>
    </row>
    <row r="60" spans="1:60" ht="63.75" x14ac:dyDescent="0.2">
      <c r="A60" s="25"/>
      <c r="B60" s="25"/>
      <c r="C60" s="25"/>
      <c r="D60" s="25"/>
      <c r="E60" s="25"/>
      <c r="F60" s="948" t="s">
        <v>863</v>
      </c>
      <c r="G60" s="948" t="s">
        <v>405</v>
      </c>
      <c r="H60" s="948" t="s">
        <v>864</v>
      </c>
      <c r="I60" s="948"/>
      <c r="J60" s="948" t="s">
        <v>865</v>
      </c>
      <c r="K60" s="327" t="s">
        <v>409</v>
      </c>
      <c r="L60" s="327" t="s">
        <v>410</v>
      </c>
      <c r="M60" s="327" t="s">
        <v>411</v>
      </c>
      <c r="O60" s="5703" t="s">
        <v>1485</v>
      </c>
      <c r="P60" s="5704"/>
      <c r="Q60" s="5704"/>
    </row>
    <row r="61" spans="1:60" x14ac:dyDescent="0.2">
      <c r="A61" s="25" t="s">
        <v>400</v>
      </c>
      <c r="B61" s="25"/>
      <c r="C61" s="25"/>
      <c r="D61" s="25"/>
      <c r="E61" s="25"/>
      <c r="F61" s="154">
        <v>40000</v>
      </c>
      <c r="G61" s="154">
        <f>81375/14000</f>
        <v>5.8125</v>
      </c>
      <c r="H61" s="147">
        <v>1.0940000000000001</v>
      </c>
      <c r="I61" s="147"/>
      <c r="J61" s="147">
        <v>1.1000000000000001</v>
      </c>
      <c r="K61" s="154">
        <f>F61*H61</f>
        <v>43760</v>
      </c>
      <c r="L61" s="154">
        <f>G61*J61</f>
        <v>6.3937500000000007</v>
      </c>
      <c r="M61" s="154">
        <f>K61+L61</f>
        <v>43766.393750000003</v>
      </c>
      <c r="O61" s="1361">
        <v>31190</v>
      </c>
      <c r="P61" s="1361">
        <v>35000</v>
      </c>
      <c r="Q61" s="1361"/>
    </row>
    <row r="62" spans="1:60" x14ac:dyDescent="0.2">
      <c r="A62" s="25" t="s">
        <v>401</v>
      </c>
      <c r="B62" s="25"/>
      <c r="C62" s="25"/>
      <c r="D62" s="25"/>
      <c r="E62" s="25"/>
      <c r="F62" s="154">
        <v>73000</v>
      </c>
      <c r="G62" s="154">
        <v>0</v>
      </c>
      <c r="H62" s="147">
        <f>H61</f>
        <v>1.0940000000000001</v>
      </c>
      <c r="I62" s="147"/>
      <c r="J62" s="147">
        <v>1.1000000000000001</v>
      </c>
      <c r="K62" s="154">
        <f>F62*H62</f>
        <v>79862</v>
      </c>
      <c r="L62" s="154">
        <f>G62*J62</f>
        <v>0</v>
      </c>
      <c r="M62" s="154">
        <f>K62+L62</f>
        <v>79862</v>
      </c>
      <c r="O62" s="1361"/>
      <c r="P62" s="1361"/>
      <c r="Q62" s="1361">
        <v>73000</v>
      </c>
    </row>
    <row r="63" spans="1:60" x14ac:dyDescent="0.2">
      <c r="A63" s="25" t="s">
        <v>402</v>
      </c>
      <c r="B63" s="25"/>
      <c r="C63" s="25"/>
      <c r="D63" s="25"/>
      <c r="E63" s="25"/>
      <c r="F63" s="154">
        <v>13559.32</v>
      </c>
      <c r="G63" s="154">
        <v>0</v>
      </c>
      <c r="H63" s="147">
        <f t="shared" ref="H63:H65" si="12">H62</f>
        <v>1.0940000000000001</v>
      </c>
      <c r="I63" s="147"/>
      <c r="J63" s="147">
        <v>1.1000000000000001</v>
      </c>
      <c r="K63" s="154">
        <f>F63*H63</f>
        <v>14833.89608</v>
      </c>
      <c r="L63" s="154">
        <f>G63*J63</f>
        <v>0</v>
      </c>
      <c r="M63" s="154">
        <f>K63+L63</f>
        <v>14833.89608</v>
      </c>
      <c r="O63" s="1361">
        <v>12838</v>
      </c>
      <c r="P63" s="1361">
        <v>22000</v>
      </c>
      <c r="Q63" s="1361">
        <v>13600</v>
      </c>
    </row>
    <row r="64" spans="1:60" ht="38.25" x14ac:dyDescent="0.2">
      <c r="A64" s="25" t="s">
        <v>403</v>
      </c>
      <c r="B64" s="25"/>
      <c r="C64" s="25"/>
      <c r="D64" s="25"/>
      <c r="E64" s="25"/>
      <c r="F64" s="154">
        <f>24000/1.18</f>
        <v>20338.983050847459</v>
      </c>
      <c r="G64" s="154">
        <v>0</v>
      </c>
      <c r="H64" s="1396" t="s">
        <v>1508</v>
      </c>
      <c r="I64" s="147"/>
      <c r="J64" s="147">
        <v>1.1000000000000001</v>
      </c>
      <c r="K64" s="154">
        <f>28813.56</f>
        <v>28813.56</v>
      </c>
      <c r="L64" s="154">
        <f>G64*J64</f>
        <v>0</v>
      </c>
      <c r="M64" s="154">
        <f>K64+L64</f>
        <v>28813.56</v>
      </c>
      <c r="O64" s="1361"/>
      <c r="P64" s="1361"/>
      <c r="Q64" s="1361"/>
    </row>
    <row r="65" spans="1:17" ht="38.25" x14ac:dyDescent="0.2">
      <c r="A65" s="25" t="s">
        <v>408</v>
      </c>
      <c r="B65" s="25"/>
      <c r="C65" s="25"/>
      <c r="D65" s="25"/>
      <c r="E65" s="25"/>
      <c r="F65" s="154">
        <f>17200/1.18</f>
        <v>14576.271186440679</v>
      </c>
      <c r="G65" s="154">
        <v>0</v>
      </c>
      <c r="H65" s="1396" t="str">
        <f t="shared" si="12"/>
        <v>цена производителя</v>
      </c>
      <c r="I65" s="147"/>
      <c r="J65" s="147">
        <v>1.1000000000000001</v>
      </c>
      <c r="K65" s="154">
        <f>16644.07</f>
        <v>16644.07</v>
      </c>
      <c r="L65" s="154">
        <f>G65*J65</f>
        <v>0</v>
      </c>
      <c r="M65" s="154">
        <f>K65+L65</f>
        <v>16644.07</v>
      </c>
      <c r="O65" s="1361">
        <v>7500</v>
      </c>
      <c r="P65" s="1361"/>
      <c r="Q65" s="1361">
        <v>8000</v>
      </c>
    </row>
    <row r="66" spans="1:17" x14ac:dyDescent="0.2">
      <c r="O66" t="s">
        <v>1486</v>
      </c>
      <c r="P66" t="s">
        <v>1487</v>
      </c>
      <c r="Q66" t="s">
        <v>1488</v>
      </c>
    </row>
  </sheetData>
  <mergeCells count="35">
    <mergeCell ref="BD27:BH27"/>
    <mergeCell ref="AY26:BH26"/>
    <mergeCell ref="AQ27:AT27"/>
    <mergeCell ref="AU27:AX27"/>
    <mergeCell ref="AG26:AX26"/>
    <mergeCell ref="AY27:BC27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A4:A6"/>
    <mergeCell ref="F4:J5"/>
    <mergeCell ref="K4:O5"/>
    <mergeCell ref="B5:E5"/>
    <mergeCell ref="X5:AB5"/>
    <mergeCell ref="P4:W4"/>
    <mergeCell ref="T5:W5"/>
    <mergeCell ref="P5:S5"/>
    <mergeCell ref="O60:Q60"/>
    <mergeCell ref="A58:M58"/>
    <mergeCell ref="A49:M49"/>
    <mergeCell ref="P27:S27"/>
    <mergeCell ref="T27:Y27"/>
  </mergeCells>
  <phoneticPr fontId="10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5142"/>
      <c r="CA1" s="5142"/>
      <c r="CB1" s="5142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5142"/>
      <c r="CA2" s="5142"/>
      <c r="CB2" s="5142"/>
    </row>
    <row r="3" spans="1:80" ht="18.75" hidden="1" customHeight="1" x14ac:dyDescent="0.3">
      <c r="A3" s="5776" t="s">
        <v>234</v>
      </c>
      <c r="B3" s="5776"/>
      <c r="C3" s="5776"/>
      <c r="D3" s="5776"/>
      <c r="E3" s="5776"/>
      <c r="F3" s="5776"/>
      <c r="G3" s="5776"/>
      <c r="H3" s="5776"/>
      <c r="I3" s="5776"/>
      <c r="J3" s="5776"/>
      <c r="K3" s="5776"/>
      <c r="L3" s="5776"/>
      <c r="M3" s="5776"/>
      <c r="N3" s="5776"/>
      <c r="O3" s="5776"/>
      <c r="P3" s="5776"/>
      <c r="Q3" s="5776"/>
      <c r="R3" s="5776"/>
      <c r="S3" s="5776"/>
      <c r="T3" s="5776"/>
      <c r="U3" s="5776"/>
      <c r="V3" s="5776"/>
      <c r="W3" s="5776"/>
      <c r="X3" s="5776"/>
      <c r="Y3" s="5776"/>
      <c r="Z3" s="5776"/>
      <c r="AA3" s="5776"/>
      <c r="AB3" s="5776"/>
      <c r="AC3" s="5776"/>
      <c r="AD3" s="5776"/>
      <c r="AE3" s="5776"/>
      <c r="AF3" s="5776"/>
      <c r="AG3" s="5776"/>
      <c r="AH3" s="5776"/>
      <c r="AI3" s="5776"/>
      <c r="AJ3" s="5776"/>
      <c r="AK3" s="5776"/>
      <c r="AL3" s="5776"/>
      <c r="BZ3" s="5142"/>
      <c r="CA3" s="5142"/>
      <c r="CB3" s="5142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5142"/>
      <c r="CA4" s="5142"/>
      <c r="CB4" s="5142"/>
    </row>
    <row r="5" spans="1:80" ht="15.75" hidden="1" customHeight="1" x14ac:dyDescent="0.25">
      <c r="A5" s="5777"/>
      <c r="B5" s="90"/>
      <c r="C5" s="90"/>
      <c r="D5" s="90"/>
      <c r="E5" s="90"/>
      <c r="F5" s="90"/>
      <c r="G5" s="90"/>
      <c r="H5" s="5778" t="s">
        <v>58</v>
      </c>
      <c r="I5" s="5778"/>
      <c r="J5" s="5778"/>
      <c r="K5" s="5778" t="s">
        <v>66</v>
      </c>
      <c r="L5" s="5778"/>
      <c r="M5" s="5778"/>
      <c r="N5" s="5778"/>
      <c r="O5" s="5778" t="s">
        <v>91</v>
      </c>
      <c r="P5" s="5778"/>
      <c r="Q5" s="5778"/>
      <c r="R5" s="5779" t="s">
        <v>204</v>
      </c>
      <c r="S5" s="5780"/>
      <c r="T5" s="5780"/>
      <c r="U5" s="5781"/>
      <c r="V5" s="5721" t="s">
        <v>154</v>
      </c>
      <c r="W5" s="5721"/>
      <c r="X5" s="5721"/>
      <c r="Y5" s="5721"/>
      <c r="Z5" s="5721"/>
      <c r="AA5" s="5721"/>
      <c r="AB5" s="5721"/>
      <c r="AC5" s="5721"/>
      <c r="AD5" s="5721"/>
      <c r="AE5" s="5785"/>
      <c r="AF5" s="5785"/>
      <c r="AG5" s="5785"/>
      <c r="AH5" s="5721"/>
      <c r="AI5" s="5721"/>
      <c r="AJ5" s="5721"/>
      <c r="AK5" s="5721"/>
      <c r="AL5" s="5721"/>
      <c r="AM5" s="5721"/>
      <c r="AN5" s="5721"/>
      <c r="AO5" s="5721"/>
      <c r="BZ5" s="5142"/>
      <c r="CA5" s="5142"/>
      <c r="CB5" s="5142"/>
    </row>
    <row r="6" spans="1:80" ht="12.75" hidden="1" customHeight="1" x14ac:dyDescent="0.2">
      <c r="A6" s="5777"/>
      <c r="B6" s="1386"/>
      <c r="C6" s="91" t="s">
        <v>126</v>
      </c>
      <c r="D6" s="91"/>
      <c r="E6" s="1386"/>
      <c r="F6" s="91" t="s">
        <v>127</v>
      </c>
      <c r="G6" s="91"/>
      <c r="H6" s="5778"/>
      <c r="I6" s="5778"/>
      <c r="J6" s="5778"/>
      <c r="K6" s="5778"/>
      <c r="L6" s="5778"/>
      <c r="M6" s="5778"/>
      <c r="N6" s="5778"/>
      <c r="O6" s="5778"/>
      <c r="P6" s="5778"/>
      <c r="Q6" s="5778"/>
      <c r="R6" s="5782"/>
      <c r="S6" s="5783"/>
      <c r="T6" s="5783"/>
      <c r="U6" s="5784"/>
      <c r="V6" s="5786" t="s">
        <v>118</v>
      </c>
      <c r="W6" s="5786"/>
      <c r="X6" s="5786"/>
      <c r="Y6" s="5786"/>
      <c r="Z6" s="5786" t="s">
        <v>119</v>
      </c>
      <c r="AA6" s="5786"/>
      <c r="AB6" s="5786"/>
      <c r="AC6" s="5786"/>
      <c r="AD6" s="5778" t="s">
        <v>229</v>
      </c>
      <c r="AE6" s="5787"/>
      <c r="AF6" s="5787"/>
      <c r="AG6" s="5787"/>
      <c r="AH6" s="5778"/>
      <c r="AI6" s="5778"/>
      <c r="AJ6" s="5788" t="s">
        <v>233</v>
      </c>
      <c r="AK6" s="5788"/>
      <c r="AL6" s="5788"/>
      <c r="AM6" s="5788" t="s">
        <v>361</v>
      </c>
      <c r="AN6" s="5788"/>
      <c r="AO6" s="5788"/>
      <c r="BZ6" s="5142"/>
      <c r="CA6" s="5142"/>
      <c r="CB6" s="5142"/>
    </row>
    <row r="7" spans="1:80" ht="12.75" hidden="1" customHeight="1" x14ac:dyDescent="0.2">
      <c r="A7" s="5777"/>
      <c r="B7" s="1386" t="s">
        <v>128</v>
      </c>
      <c r="C7" s="1386" t="s">
        <v>129</v>
      </c>
      <c r="D7" s="1386" t="s">
        <v>45</v>
      </c>
      <c r="E7" s="1386" t="s">
        <v>128</v>
      </c>
      <c r="F7" s="1386" t="s">
        <v>129</v>
      </c>
      <c r="G7" s="1386" t="s">
        <v>45</v>
      </c>
      <c r="H7" s="5788" t="s">
        <v>143</v>
      </c>
      <c r="I7" s="5788" t="s">
        <v>130</v>
      </c>
      <c r="J7" s="5788" t="s">
        <v>98</v>
      </c>
      <c r="K7" s="5788" t="s">
        <v>220</v>
      </c>
      <c r="L7" s="5789" t="s">
        <v>144</v>
      </c>
      <c r="M7" s="5791" t="s">
        <v>98</v>
      </c>
      <c r="N7" s="5792"/>
      <c r="O7" s="5788" t="s">
        <v>143</v>
      </c>
      <c r="P7" s="5788" t="s">
        <v>130</v>
      </c>
      <c r="Q7" s="5788" t="s">
        <v>98</v>
      </c>
      <c r="R7" s="5788" t="s">
        <v>143</v>
      </c>
      <c r="S7" s="5788" t="s">
        <v>130</v>
      </c>
      <c r="T7" s="5788" t="s">
        <v>98</v>
      </c>
      <c r="U7" s="1382"/>
      <c r="V7" s="5788" t="s">
        <v>111</v>
      </c>
      <c r="W7" s="5788"/>
      <c r="X7" s="5788" t="s">
        <v>144</v>
      </c>
      <c r="Y7" s="5788" t="s">
        <v>98</v>
      </c>
      <c r="Z7" s="5788" t="s">
        <v>111</v>
      </c>
      <c r="AA7" s="5788"/>
      <c r="AB7" s="5788" t="s">
        <v>144</v>
      </c>
      <c r="AC7" s="5788" t="s">
        <v>98</v>
      </c>
      <c r="AD7" s="5788" t="s">
        <v>143</v>
      </c>
      <c r="AE7" s="743"/>
      <c r="AF7" s="743"/>
      <c r="AG7" s="743"/>
      <c r="AH7" s="5788" t="s">
        <v>130</v>
      </c>
      <c r="AI7" s="5788" t="s">
        <v>98</v>
      </c>
      <c r="AJ7" s="5788" t="s">
        <v>143</v>
      </c>
      <c r="AK7" s="5788" t="s">
        <v>130</v>
      </c>
      <c r="AL7" s="5788" t="s">
        <v>98</v>
      </c>
      <c r="AM7" s="5788" t="s">
        <v>143</v>
      </c>
      <c r="AN7" s="5788" t="s">
        <v>130</v>
      </c>
      <c r="AO7" s="5788" t="s">
        <v>98</v>
      </c>
      <c r="BZ7" s="5142"/>
      <c r="CA7" s="5142"/>
      <c r="CB7" s="5142"/>
    </row>
    <row r="8" spans="1:80" ht="32.25" hidden="1" customHeight="1" x14ac:dyDescent="0.2">
      <c r="A8" s="5777"/>
      <c r="B8" s="1386"/>
      <c r="C8" s="1386"/>
      <c r="D8" s="1386"/>
      <c r="E8" s="1386"/>
      <c r="F8" s="1386"/>
      <c r="G8" s="1386"/>
      <c r="H8" s="5788"/>
      <c r="I8" s="5788"/>
      <c r="J8" s="5788"/>
      <c r="K8" s="5788"/>
      <c r="L8" s="5790"/>
      <c r="M8" s="5793"/>
      <c r="N8" s="5794"/>
      <c r="O8" s="5788"/>
      <c r="P8" s="5788"/>
      <c r="Q8" s="5788"/>
      <c r="R8" s="5788"/>
      <c r="S8" s="5788"/>
      <c r="T8" s="5788"/>
      <c r="U8" s="1382"/>
      <c r="V8" s="23" t="s">
        <v>221</v>
      </c>
      <c r="W8" s="1382" t="s">
        <v>158</v>
      </c>
      <c r="X8" s="5788"/>
      <c r="Y8" s="5788"/>
      <c r="Z8" s="1382" t="s">
        <v>221</v>
      </c>
      <c r="AA8" s="1382" t="s">
        <v>158</v>
      </c>
      <c r="AB8" s="5788"/>
      <c r="AC8" s="5788"/>
      <c r="AD8" s="5788"/>
      <c r="AE8" s="743"/>
      <c r="AF8" s="743"/>
      <c r="AG8" s="743"/>
      <c r="AH8" s="5788"/>
      <c r="AI8" s="5788"/>
      <c r="AJ8" s="5788"/>
      <c r="AK8" s="5788"/>
      <c r="AL8" s="5788"/>
      <c r="AM8" s="5788"/>
      <c r="AN8" s="5788"/>
      <c r="AO8" s="5788"/>
      <c r="BZ8" s="5142"/>
      <c r="CA8" s="5142"/>
      <c r="CB8" s="5142"/>
    </row>
    <row r="9" spans="1:80" ht="12.75" hidden="1" customHeight="1" x14ac:dyDescent="0.2">
      <c r="A9" s="81" t="s">
        <v>131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  <c r="BZ9" s="5142"/>
      <c r="CA9" s="5142"/>
      <c r="CB9" s="5142"/>
    </row>
    <row r="10" spans="1:80" ht="12.75" hidden="1" customHeight="1" x14ac:dyDescent="0.2">
      <c r="A10" s="81" t="s">
        <v>157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  <c r="BZ10" s="5142"/>
      <c r="CA10" s="5142"/>
      <c r="CB10" s="5142"/>
    </row>
    <row r="11" spans="1:80" ht="12.75" hidden="1" customHeight="1" x14ac:dyDescent="0.2">
      <c r="A11" s="81" t="s">
        <v>132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  <c r="BZ11" s="5142"/>
      <c r="CA11" s="5142"/>
      <c r="CB11" s="5142"/>
    </row>
    <row r="12" spans="1:80" ht="12.75" hidden="1" customHeight="1" x14ac:dyDescent="0.2">
      <c r="A12" s="81" t="s">
        <v>157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  <c r="BZ12" s="5142"/>
      <c r="CA12" s="5142"/>
      <c r="CB12" s="5142"/>
    </row>
    <row r="13" spans="1:80" ht="13.5" hidden="1" customHeight="1" x14ac:dyDescent="0.25">
      <c r="A13" s="142" t="s">
        <v>133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5142"/>
      <c r="CA13" s="5142"/>
      <c r="CB13" s="5142"/>
    </row>
    <row r="14" spans="1:80" ht="12.75" hidden="1" customHeight="1" x14ac:dyDescent="0.2">
      <c r="A14" s="81" t="s">
        <v>134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  <c r="BZ14" s="5142"/>
      <c r="CA14" s="5142"/>
      <c r="CB14" s="5142"/>
    </row>
    <row r="15" spans="1:80" ht="12.75" hidden="1" customHeight="1" x14ac:dyDescent="0.2">
      <c r="A15" s="81" t="s">
        <v>135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  <c r="BZ15" s="5142"/>
      <c r="CA15" s="5142"/>
      <c r="CB15" s="5142"/>
    </row>
    <row r="16" spans="1:80" ht="12.75" hidden="1" customHeight="1" x14ac:dyDescent="0.2">
      <c r="A16" s="81" t="s">
        <v>157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  <c r="BZ16" s="5142"/>
      <c r="CA16" s="5142"/>
      <c r="CB16" s="5142"/>
    </row>
    <row r="17" spans="1:80" ht="13.5" hidden="1" customHeight="1" x14ac:dyDescent="0.25">
      <c r="A17" s="142" t="s">
        <v>136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381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386"/>
      <c r="AK17" s="133">
        <f>AK14+AK15+AK16</f>
        <v>578.36399999999992</v>
      </c>
      <c r="AL17" s="133">
        <f>AL14+AL15+AL16</f>
        <v>2424.3000000000002</v>
      </c>
      <c r="AM17" s="1386"/>
      <c r="AN17" s="133">
        <f>AN14+AN15+AN16</f>
        <v>2653.2000000000003</v>
      </c>
      <c r="AO17" s="133">
        <f>AO14+AO15+AO16</f>
        <v>0</v>
      </c>
      <c r="BZ17" s="5142"/>
      <c r="CA17" s="5142"/>
      <c r="CB17" s="5142"/>
    </row>
    <row r="18" spans="1:80" ht="12.75" hidden="1" customHeight="1" x14ac:dyDescent="0.2">
      <c r="A18" s="81"/>
      <c r="B18" s="57"/>
      <c r="C18" s="19"/>
      <c r="D18" s="1386"/>
      <c r="E18" s="57"/>
      <c r="F18" s="19"/>
      <c r="G18" s="1386"/>
      <c r="H18" s="57"/>
      <c r="I18" s="19"/>
      <c r="J18" s="1386"/>
      <c r="K18" s="76"/>
      <c r="L18" s="77"/>
      <c r="M18" s="78"/>
      <c r="N18" s="79"/>
      <c r="O18" s="57"/>
      <c r="P18" s="19"/>
      <c r="Q18" s="1386"/>
      <c r="R18" s="1386"/>
      <c r="S18" s="1386"/>
      <c r="T18" s="1386"/>
      <c r="U18" s="1386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386"/>
      <c r="AI18" s="1386"/>
      <c r="AJ18" s="62"/>
      <c r="AK18" s="1386"/>
      <c r="AL18" s="62"/>
      <c r="AM18" s="62"/>
      <c r="AN18" s="1386"/>
      <c r="AO18" s="62"/>
      <c r="BZ18" s="5142"/>
      <c r="CA18" s="5142"/>
      <c r="CB18" s="5142"/>
    </row>
    <row r="19" spans="1:80" ht="12.75" hidden="1" customHeight="1" x14ac:dyDescent="0.2">
      <c r="A19" s="81" t="s">
        <v>137</v>
      </c>
      <c r="B19" s="62"/>
      <c r="C19" s="62"/>
      <c r="D19" s="62"/>
      <c r="E19" s="62"/>
      <c r="F19" s="62"/>
      <c r="G19" s="62"/>
      <c r="H19" s="62"/>
      <c r="I19" s="1386">
        <v>8838.9</v>
      </c>
      <c r="J19" s="62"/>
      <c r="K19" s="80"/>
      <c r="L19" s="19">
        <v>8862.9</v>
      </c>
      <c r="M19" s="78"/>
      <c r="N19" s="79"/>
      <c r="O19" s="62"/>
      <c r="P19" s="11">
        <f>'объемы ВС и ВО 2023'!G10</f>
        <v>8372.9</v>
      </c>
      <c r="Q19" s="62"/>
      <c r="R19" s="62"/>
      <c r="S19" s="1386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ВС и ВО 2023'!#REF!</f>
        <v>#REF!</v>
      </c>
      <c r="AC19" s="2"/>
      <c r="AD19" s="141"/>
      <c r="AE19" s="747"/>
      <c r="AF19" s="747"/>
      <c r="AG19" s="747"/>
      <c r="AH19" s="1386">
        <f>3309.7+2615.3</f>
        <v>5925</v>
      </c>
      <c r="AI19" s="62"/>
      <c r="AJ19" s="1386"/>
      <c r="AK19" s="93">
        <f>645.46+642.86+630.6</f>
        <v>1918.92</v>
      </c>
      <c r="AL19" s="1386"/>
      <c r="AM19" s="1386"/>
      <c r="AN19" s="93">
        <v>7835.7</v>
      </c>
      <c r="AO19" s="1386"/>
      <c r="BZ19" s="5142"/>
      <c r="CA19" s="5142"/>
      <c r="CB19" s="5142"/>
    </row>
    <row r="20" spans="1:80" ht="25.5" hidden="1" customHeight="1" x14ac:dyDescent="0.2">
      <c r="A20" s="81" t="s">
        <v>138</v>
      </c>
      <c r="B20" s="57"/>
      <c r="C20" s="19"/>
      <c r="D20" s="1386"/>
      <c r="E20" s="57"/>
      <c r="F20" s="19"/>
      <c r="G20" s="1386"/>
      <c r="H20" s="57"/>
      <c r="I20" s="93">
        <f>(I9/I19)/1000</f>
        <v>0.1666905384154137</v>
      </c>
      <c r="J20" s="1385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386"/>
      <c r="R20" s="1386"/>
      <c r="S20" s="93">
        <f>S9/S19</f>
        <v>0.15158469453569126</v>
      </c>
      <c r="T20" s="1386"/>
      <c r="U20" s="1386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386"/>
      <c r="AJ20" s="1386"/>
      <c r="AK20" s="93">
        <f>AK9/AK19</f>
        <v>0.12606153461321992</v>
      </c>
      <c r="AL20" s="1386"/>
      <c r="AM20" s="1386"/>
      <c r="AN20" s="93">
        <f>AN9/AN19</f>
        <v>0.14533481373712623</v>
      </c>
      <c r="AO20" s="1386"/>
      <c r="AP20" s="323">
        <f>(L20+P20+S20+AN20)/4</f>
        <v>0.15880621825734828</v>
      </c>
      <c r="BZ20" s="5142"/>
      <c r="CA20" s="5142"/>
      <c r="CB20" s="5142"/>
    </row>
    <row r="21" spans="1:80" ht="12.75" hidden="1" customHeight="1" x14ac:dyDescent="0.2">
      <c r="A21" s="81" t="s">
        <v>151</v>
      </c>
      <c r="B21" s="57"/>
      <c r="C21" s="19"/>
      <c r="D21" s="1386"/>
      <c r="E21" s="57"/>
      <c r="F21" s="19"/>
      <c r="G21" s="1386"/>
      <c r="H21" s="57"/>
      <c r="I21" s="93">
        <f>I19</f>
        <v>8838.9</v>
      </c>
      <c r="J21" s="1385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386"/>
      <c r="R21" s="1386"/>
      <c r="S21" s="1385">
        <f>S19</f>
        <v>6666.9</v>
      </c>
      <c r="T21" s="1386"/>
      <c r="U21" s="1386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1385">
        <f>3021.8+2363</f>
        <v>5384.8</v>
      </c>
      <c r="AI21" s="1386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5142"/>
      <c r="CA21" s="5142"/>
      <c r="CB21" s="5142"/>
    </row>
    <row r="22" spans="1:80" ht="25.5" hidden="1" customHeight="1" x14ac:dyDescent="0.2">
      <c r="A22" s="81" t="s">
        <v>139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  <c r="BZ22" s="5142"/>
      <c r="CA22" s="5142"/>
      <c r="CB22" s="5142"/>
    </row>
    <row r="23" spans="1:80" ht="12.75" hidden="1" customHeight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386"/>
      <c r="AK23" s="1386"/>
      <c r="AL23" s="1386"/>
      <c r="AM23" s="1386"/>
      <c r="AN23" s="1386"/>
      <c r="AO23" s="1386"/>
      <c r="BZ23" s="5142"/>
      <c r="CA23" s="5142"/>
      <c r="CB23" s="5142"/>
    </row>
    <row r="24" spans="1:80" ht="12.75" hidden="1" customHeight="1" x14ac:dyDescent="0.2">
      <c r="A24" s="81" t="s">
        <v>140</v>
      </c>
      <c r="B24" s="84"/>
      <c r="C24" s="85"/>
      <c r="D24" s="86"/>
      <c r="E24" s="84"/>
      <c r="F24" s="85"/>
      <c r="G24" s="86"/>
      <c r="H24" s="84"/>
      <c r="I24" s="1385">
        <v>4585.8</v>
      </c>
      <c r="J24" s="1385"/>
      <c r="K24" s="1385"/>
      <c r="L24" s="1385">
        <v>4415.2</v>
      </c>
      <c r="M24" s="97"/>
      <c r="N24" s="98"/>
      <c r="O24" s="101"/>
      <c r="P24" s="1385">
        <f>'объемы ВС и ВО 2023'!G22</f>
        <v>4093.2000000000003</v>
      </c>
      <c r="Q24" s="1386"/>
      <c r="R24" s="1386"/>
      <c r="S24" s="1386">
        <f>'объемы ВС и ВО 2023'!L22</f>
        <v>2958.3</v>
      </c>
      <c r="T24" s="1386"/>
      <c r="U24" s="1386"/>
      <c r="V24" s="2"/>
      <c r="W24" s="2"/>
      <c r="X24" s="2">
        <v>3695</v>
      </c>
      <c r="Y24" s="2"/>
      <c r="Z24" s="2"/>
      <c r="AA24" s="2"/>
      <c r="AB24" s="2" t="e">
        <f>'объемы ВС и ВО 2023'!#REF!</f>
        <v>#REF!</v>
      </c>
      <c r="AC24" s="2"/>
      <c r="AD24" s="57"/>
      <c r="AE24" s="745"/>
      <c r="AF24" s="745"/>
      <c r="AG24" s="745"/>
      <c r="AH24" s="1386">
        <v>3930.9</v>
      </c>
      <c r="AI24" s="1386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5142"/>
      <c r="CA24" s="5142"/>
      <c r="CB24" s="5142"/>
    </row>
    <row r="25" spans="1:80" ht="25.5" hidden="1" customHeight="1" x14ac:dyDescent="0.2">
      <c r="A25" s="81" t="s">
        <v>141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  <c r="BZ25" s="5142"/>
      <c r="CA25" s="5142"/>
      <c r="CB25" s="5142"/>
    </row>
    <row r="26" spans="1:80" ht="25.5" hidden="1" customHeight="1" x14ac:dyDescent="0.2">
      <c r="A26" s="81" t="s">
        <v>142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  <c r="BZ26" s="5142"/>
      <c r="CA26" s="5142"/>
      <c r="CB26" s="5142"/>
    </row>
    <row r="27" spans="1:80" ht="12.75" hidden="1" customHeight="1" x14ac:dyDescent="0.2">
      <c r="BZ27" s="5142"/>
      <c r="CA27" s="5142"/>
      <c r="CB27" s="5142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5142"/>
      <c r="CA28" s="5142"/>
      <c r="CB28" s="5142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5142"/>
      <c r="CA29" s="5142"/>
      <c r="CB29" s="5142"/>
    </row>
    <row r="30" spans="1:80" ht="12.75" hidden="1" customHeight="1" x14ac:dyDescent="0.2">
      <c r="A30" t="s">
        <v>205</v>
      </c>
      <c r="R30">
        <v>4.1559999999999997</v>
      </c>
      <c r="S30">
        <v>203.5</v>
      </c>
      <c r="T30">
        <v>879.9</v>
      </c>
      <c r="BZ30" s="5142"/>
      <c r="CA30" s="5142"/>
      <c r="CB30" s="5142"/>
    </row>
    <row r="31" spans="1:80" ht="12.75" hidden="1" customHeight="1" x14ac:dyDescent="0.2">
      <c r="A31" t="s">
        <v>206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5142"/>
      <c r="CA31" s="5142"/>
      <c r="CB31" s="5142"/>
    </row>
    <row r="32" spans="1:80" ht="12.75" hidden="1" customHeight="1" x14ac:dyDescent="0.2">
      <c r="A32" t="s">
        <v>207</v>
      </c>
      <c r="R32">
        <f>T32/S32</f>
        <v>3.0743776563448693</v>
      </c>
      <c r="S32">
        <v>988.2</v>
      </c>
      <c r="T32">
        <v>3038.1</v>
      </c>
      <c r="BZ32" s="5142"/>
      <c r="CA32" s="5142"/>
      <c r="CB32" s="5142"/>
    </row>
    <row r="33" spans="1:97" ht="12.75" hidden="1" customHeight="1" x14ac:dyDescent="0.2">
      <c r="A33" t="s">
        <v>208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5142"/>
      <c r="CA33" s="5142"/>
      <c r="CB33" s="5142"/>
    </row>
    <row r="34" spans="1:97" ht="12.75" hidden="1" customHeight="1" x14ac:dyDescent="0.2">
      <c r="BZ34" s="5142"/>
      <c r="CA34" s="5142"/>
      <c r="CB34" s="5142"/>
    </row>
    <row r="35" spans="1:97" ht="12.75" hidden="1" customHeight="1" x14ac:dyDescent="0.2">
      <c r="A35" t="s">
        <v>213</v>
      </c>
      <c r="R35">
        <v>4.2</v>
      </c>
      <c r="S35">
        <v>705.5</v>
      </c>
      <c r="T35">
        <v>2961.4</v>
      </c>
      <c r="BZ35" s="5142"/>
      <c r="CA35" s="5142"/>
      <c r="CB35" s="5142"/>
    </row>
    <row r="36" spans="1:97" ht="12.75" hidden="1" customHeight="1" x14ac:dyDescent="0.2">
      <c r="A36" t="s">
        <v>214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5142"/>
      <c r="CA36" s="5142"/>
      <c r="CB36" s="5142"/>
    </row>
    <row r="37" spans="1:97" ht="12.75" hidden="1" customHeight="1" x14ac:dyDescent="0.2">
      <c r="A37" t="s">
        <v>215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5142"/>
      <c r="CA37" s="5142"/>
      <c r="CB37" s="5142"/>
    </row>
    <row r="38" spans="1:97" ht="2.25" hidden="1" customHeight="1" x14ac:dyDescent="0.2">
      <c r="A38" t="s">
        <v>214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5142"/>
      <c r="CA38" s="5142"/>
      <c r="CB38" s="5142"/>
    </row>
    <row r="39" spans="1:97" ht="12.75" hidden="1" customHeight="1" x14ac:dyDescent="0.2">
      <c r="BZ39" s="5142"/>
      <c r="CA39" s="5142"/>
      <c r="CB39" s="5142"/>
    </row>
    <row r="40" spans="1:97" ht="34.5" customHeight="1" x14ac:dyDescent="0.2">
      <c r="BD40" t="s">
        <v>239</v>
      </c>
      <c r="BP40" t="s">
        <v>239</v>
      </c>
      <c r="BZ40" s="5142"/>
      <c r="CA40" s="5142"/>
      <c r="CB40" s="5142"/>
      <c r="CR40" t="s">
        <v>1492</v>
      </c>
    </row>
    <row r="41" spans="1:97" ht="20.25" x14ac:dyDescent="0.3">
      <c r="A41" s="5803" t="s">
        <v>820</v>
      </c>
      <c r="B41" s="5803"/>
      <c r="C41" s="5803"/>
      <c r="D41" s="5803"/>
      <c r="E41" s="5803"/>
      <c r="F41" s="5803"/>
      <c r="G41" s="5803"/>
      <c r="H41" s="5803"/>
      <c r="I41" s="5803"/>
      <c r="J41" s="5803"/>
      <c r="K41" s="5803"/>
      <c r="L41" s="5803"/>
      <c r="M41" s="5803"/>
      <c r="N41" s="5803"/>
      <c r="O41" s="5803"/>
      <c r="P41" s="5803"/>
      <c r="Q41" s="5803"/>
      <c r="R41" s="5803"/>
      <c r="S41" s="5803"/>
      <c r="T41" s="5803"/>
      <c r="U41" s="5803"/>
      <c r="V41" s="5803"/>
      <c r="W41" s="5803"/>
      <c r="X41" s="5803"/>
      <c r="Y41" s="5803"/>
      <c r="Z41" s="5803"/>
      <c r="AA41" s="5803"/>
      <c r="AB41" s="5803"/>
      <c r="AC41" s="5803"/>
      <c r="AD41" s="5803"/>
      <c r="AE41" s="5803"/>
      <c r="AF41" s="5803"/>
      <c r="AG41" s="5803"/>
      <c r="AH41" s="5803"/>
      <c r="AI41" s="5803"/>
      <c r="AJ41" s="5803"/>
      <c r="AK41" s="5803"/>
      <c r="AL41" s="5803"/>
      <c r="AM41" s="5803"/>
      <c r="AN41" s="5803"/>
      <c r="AO41" s="5803"/>
      <c r="AP41" s="5803"/>
      <c r="AQ41" s="5803"/>
      <c r="AR41" s="5803"/>
      <c r="AS41" s="5803"/>
      <c r="AT41" s="5803"/>
      <c r="AU41" s="5803"/>
      <c r="AV41" s="5803"/>
      <c r="AW41" s="5803"/>
      <c r="AX41" s="5803"/>
      <c r="AY41" s="5803"/>
      <c r="AZ41" s="5803"/>
      <c r="BA41" s="5803"/>
      <c r="BB41" s="5803"/>
      <c r="BC41" s="5803"/>
      <c r="BD41" s="5803"/>
      <c r="BE41" s="5803"/>
      <c r="BF41" s="5803"/>
      <c r="BG41" s="5803"/>
      <c r="BH41" s="5803"/>
      <c r="BI41" s="5803"/>
      <c r="BJ41" s="5803"/>
      <c r="BK41" s="5803"/>
      <c r="BL41" s="5803"/>
      <c r="BM41" s="5803"/>
      <c r="BN41" s="5803"/>
      <c r="BO41" s="5803"/>
      <c r="BP41" s="5803"/>
      <c r="BQ41" s="5803"/>
      <c r="BR41" s="5803"/>
      <c r="BS41" s="5803"/>
      <c r="BT41" s="5803"/>
      <c r="BU41" s="5803"/>
      <c r="BV41" s="5803"/>
      <c r="BW41" s="5803"/>
      <c r="BX41" s="5803"/>
      <c r="BY41" s="5803"/>
      <c r="BZ41" s="5803"/>
      <c r="CA41" s="5803"/>
      <c r="CB41" s="5803"/>
      <c r="CC41" s="5803"/>
      <c r="CD41" s="5803"/>
      <c r="CE41" s="5803"/>
      <c r="CF41" s="5803"/>
      <c r="CG41" s="5803"/>
      <c r="CH41" s="5803"/>
      <c r="CI41" s="5803"/>
      <c r="CJ41" s="5803"/>
      <c r="CK41" s="5803"/>
      <c r="CL41" s="5803"/>
      <c r="CM41" s="5803"/>
      <c r="CN41" s="5803"/>
      <c r="CO41" s="5803"/>
      <c r="CP41" s="5803"/>
      <c r="CQ41" s="5803"/>
      <c r="CR41" s="5803"/>
      <c r="CS41" s="5803"/>
    </row>
    <row r="44" spans="1:97" ht="20.25" x14ac:dyDescent="0.2">
      <c r="A44" s="5798" t="s">
        <v>525</v>
      </c>
      <c r="B44" s="1617"/>
      <c r="C44" s="1617"/>
      <c r="D44" s="1617"/>
      <c r="E44" s="1617"/>
      <c r="F44" s="1617"/>
      <c r="G44" s="1617"/>
      <c r="H44" s="1617"/>
      <c r="I44" s="1617"/>
      <c r="J44" s="1617"/>
      <c r="K44" s="5773" t="s">
        <v>285</v>
      </c>
      <c r="L44" s="5773"/>
      <c r="M44" s="5773"/>
      <c r="N44" s="5773"/>
      <c r="O44" s="5773"/>
      <c r="P44" s="5773"/>
      <c r="Q44" s="5773"/>
      <c r="R44" s="5773"/>
      <c r="S44" s="5773"/>
      <c r="T44" s="5773"/>
      <c r="U44" s="5773"/>
      <c r="V44" s="5773"/>
      <c r="W44" s="5773"/>
      <c r="X44" s="5773"/>
      <c r="Y44" s="5773"/>
      <c r="Z44" s="5773"/>
      <c r="AA44" s="5773"/>
      <c r="AB44" s="5773"/>
      <c r="AC44" s="5773"/>
      <c r="AD44" s="5773"/>
      <c r="AE44" s="5796"/>
      <c r="AF44" s="5796"/>
      <c r="AG44" s="5796"/>
      <c r="AH44" s="5773" t="s">
        <v>823</v>
      </c>
      <c r="AI44" s="5773"/>
      <c r="AJ44" s="5773"/>
      <c r="AK44" s="5773"/>
      <c r="AL44" s="5773"/>
      <c r="AM44" s="5773"/>
      <c r="AN44" s="5773"/>
      <c r="AO44" s="5773"/>
      <c r="AP44" s="5773"/>
      <c r="AQ44" s="5773"/>
      <c r="AR44" s="5797"/>
      <c r="AS44" s="5797"/>
      <c r="AT44" s="5797"/>
      <c r="AU44" s="5797"/>
      <c r="AV44" s="5797"/>
      <c r="AW44" s="5797"/>
      <c r="AX44" s="5766" t="s">
        <v>1820</v>
      </c>
      <c r="AY44" s="5767"/>
      <c r="AZ44" s="5767"/>
      <c r="BA44" s="5767"/>
      <c r="BB44" s="5767"/>
      <c r="BC44" s="5767"/>
      <c r="BD44" s="5767"/>
      <c r="BE44" s="5767"/>
      <c r="BF44" s="5767"/>
      <c r="BG44" s="5767"/>
      <c r="BH44" s="5767"/>
      <c r="BI44" s="5767"/>
      <c r="BJ44" s="5767"/>
      <c r="BK44" s="5767"/>
      <c r="BL44" s="5767"/>
      <c r="BM44" s="5768"/>
      <c r="BN44" s="5773" t="s">
        <v>892</v>
      </c>
      <c r="BO44" s="5773"/>
      <c r="BP44" s="5773"/>
      <c r="BQ44" s="5773"/>
      <c r="BR44" s="5773"/>
      <c r="BS44" s="5773"/>
      <c r="BT44" s="5773"/>
      <c r="BU44" s="5773"/>
      <c r="BV44" s="5773"/>
      <c r="BW44" s="5773"/>
      <c r="BX44" s="5773"/>
      <c r="BY44" s="5773"/>
      <c r="BZ44" s="5773"/>
      <c r="CA44" s="5773"/>
      <c r="CB44" s="5773"/>
      <c r="CC44" s="5773"/>
      <c r="CD44" s="5773"/>
      <c r="CE44" s="5773"/>
      <c r="CF44" s="5773"/>
      <c r="CG44" s="5773"/>
      <c r="CH44" s="5773"/>
      <c r="CI44" s="5773"/>
      <c r="CJ44" s="5773"/>
      <c r="CK44" s="5766" t="s">
        <v>893</v>
      </c>
      <c r="CL44" s="5767"/>
      <c r="CM44" s="5767"/>
      <c r="CN44" s="5767"/>
      <c r="CO44" s="5767"/>
      <c r="CP44" s="5767"/>
      <c r="CQ44" s="5767"/>
      <c r="CR44" s="5767"/>
      <c r="CS44" s="5768"/>
    </row>
    <row r="45" spans="1:97" ht="51.75" customHeight="1" x14ac:dyDescent="0.2">
      <c r="A45" s="5798"/>
      <c r="B45" s="1617"/>
      <c r="C45" s="1617"/>
      <c r="D45" s="1617"/>
      <c r="E45" s="1617"/>
      <c r="F45" s="1617"/>
      <c r="G45" s="1617"/>
      <c r="H45" s="1617"/>
      <c r="I45" s="1617"/>
      <c r="J45" s="1617"/>
      <c r="K45" s="5795" t="s">
        <v>121</v>
      </c>
      <c r="L45" s="5795"/>
      <c r="M45" s="5795"/>
      <c r="N45" s="5795"/>
      <c r="O45" s="5795" t="s">
        <v>122</v>
      </c>
      <c r="P45" s="5795"/>
      <c r="Q45" s="5795"/>
      <c r="R45" s="5795"/>
      <c r="S45" s="5798" t="s">
        <v>351</v>
      </c>
      <c r="T45" s="5798"/>
      <c r="U45" s="5798"/>
      <c r="V45" s="5798"/>
      <c r="W45" s="1618"/>
      <c r="X45" s="5795" t="s">
        <v>373</v>
      </c>
      <c r="Y45" s="5795"/>
      <c r="Z45" s="5795"/>
      <c r="AA45" s="5795"/>
      <c r="AB45" s="5795" t="s">
        <v>126</v>
      </c>
      <c r="AC45" s="5795"/>
      <c r="AD45" s="5795"/>
      <c r="AE45" s="5795" t="s">
        <v>821</v>
      </c>
      <c r="AF45" s="5795"/>
      <c r="AG45" s="5795"/>
      <c r="AH45" s="5775" t="s">
        <v>121</v>
      </c>
      <c r="AI45" s="5775"/>
      <c r="AJ45" s="5775"/>
      <c r="AK45" s="5775"/>
      <c r="AL45" s="5795" t="s">
        <v>122</v>
      </c>
      <c r="AM45" s="5795"/>
      <c r="AN45" s="5795"/>
      <c r="AO45" s="5795" t="s">
        <v>351</v>
      </c>
      <c r="AP45" s="5795"/>
      <c r="AQ45" s="5795"/>
      <c r="AR45" s="5775" t="s">
        <v>373</v>
      </c>
      <c r="AS45" s="5775"/>
      <c r="AT45" s="5775"/>
      <c r="AU45" s="5775" t="s">
        <v>126</v>
      </c>
      <c r="AV45" s="5775"/>
      <c r="AW45" s="5775"/>
      <c r="AX45" s="5775" t="s">
        <v>121</v>
      </c>
      <c r="AY45" s="5775"/>
      <c r="AZ45" s="5775"/>
      <c r="BA45" s="5775"/>
      <c r="BB45" s="5775" t="s">
        <v>1790</v>
      </c>
      <c r="BC45" s="5775"/>
      <c r="BD45" s="5775"/>
      <c r="BE45" s="5795" t="s">
        <v>351</v>
      </c>
      <c r="BF45" s="5795"/>
      <c r="BG45" s="5795"/>
      <c r="BH45" s="5769" t="s">
        <v>60</v>
      </c>
      <c r="BI45" s="5770"/>
      <c r="BJ45" s="5771"/>
      <c r="BK45" s="5769" t="s">
        <v>1675</v>
      </c>
      <c r="BL45" s="5770"/>
      <c r="BM45" s="5771"/>
      <c r="BN45" s="5775" t="s">
        <v>1791</v>
      </c>
      <c r="BO45" s="5775"/>
      <c r="BP45" s="5775"/>
      <c r="BQ45" s="5795" t="s">
        <v>351</v>
      </c>
      <c r="BR45" s="5795"/>
      <c r="BS45" s="5795"/>
      <c r="BT45" s="5775" t="s">
        <v>122</v>
      </c>
      <c r="BU45" s="5775"/>
      <c r="BV45" s="5775"/>
      <c r="BW45" s="5795" t="s">
        <v>351</v>
      </c>
      <c r="BX45" s="5795"/>
      <c r="BY45" s="5795"/>
      <c r="BZ45" s="5774" t="s">
        <v>1511</v>
      </c>
      <c r="CA45" s="5774"/>
      <c r="CB45" s="5774"/>
      <c r="CC45" s="2086"/>
      <c r="CD45" s="2086"/>
      <c r="CE45" s="5774" t="s">
        <v>1821</v>
      </c>
      <c r="CF45" s="5774"/>
      <c r="CG45" s="5774"/>
      <c r="CH45" s="5774" t="s">
        <v>1822</v>
      </c>
      <c r="CI45" s="5774"/>
      <c r="CJ45" s="5774"/>
      <c r="CK45" s="5761" t="s">
        <v>1791</v>
      </c>
      <c r="CL45" s="5762"/>
      <c r="CM45" s="5763"/>
      <c r="CN45" s="5761" t="s">
        <v>118</v>
      </c>
      <c r="CO45" s="5762"/>
      <c r="CP45" s="5763"/>
      <c r="CQ45" s="5761" t="s">
        <v>1679</v>
      </c>
      <c r="CR45" s="5762"/>
      <c r="CS45" s="5763"/>
    </row>
    <row r="46" spans="1:97" ht="28.5" customHeight="1" x14ac:dyDescent="0.2">
      <c r="A46" s="5798"/>
      <c r="B46" s="1617"/>
      <c r="C46" s="1617"/>
      <c r="D46" s="1617"/>
      <c r="E46" s="1617"/>
      <c r="F46" s="1617"/>
      <c r="G46" s="1617"/>
      <c r="H46" s="1617"/>
      <c r="I46" s="1617"/>
      <c r="J46" s="1617"/>
      <c r="K46" s="1619" t="s">
        <v>111</v>
      </c>
      <c r="L46" s="5772" t="s">
        <v>822</v>
      </c>
      <c r="M46" s="5772" t="s">
        <v>98</v>
      </c>
      <c r="N46" s="5772" t="s">
        <v>98</v>
      </c>
      <c r="O46" s="1619" t="s">
        <v>111</v>
      </c>
      <c r="P46" s="5772" t="s">
        <v>822</v>
      </c>
      <c r="Q46" s="5772" t="s">
        <v>98</v>
      </c>
      <c r="R46" s="5772" t="s">
        <v>232</v>
      </c>
      <c r="S46" s="5798"/>
      <c r="T46" s="5798"/>
      <c r="U46" s="5798"/>
      <c r="V46" s="5798"/>
      <c r="W46" s="1619"/>
      <c r="X46" s="1619" t="s">
        <v>111</v>
      </c>
      <c r="Y46" s="5772" t="s">
        <v>822</v>
      </c>
      <c r="Z46" s="5772" t="s">
        <v>98</v>
      </c>
      <c r="AA46" s="5772" t="s">
        <v>98</v>
      </c>
      <c r="AB46" s="1619" t="s">
        <v>111</v>
      </c>
      <c r="AC46" s="5772" t="s">
        <v>822</v>
      </c>
      <c r="AD46" s="5772" t="s">
        <v>98</v>
      </c>
      <c r="AE46" s="1619" t="s">
        <v>111</v>
      </c>
      <c r="AF46" s="5772" t="s">
        <v>822</v>
      </c>
      <c r="AG46" s="5772" t="s">
        <v>98</v>
      </c>
      <c r="AH46" s="1619" t="s">
        <v>111</v>
      </c>
      <c r="AI46" s="5772" t="s">
        <v>822</v>
      </c>
      <c r="AJ46" s="5772" t="s">
        <v>98</v>
      </c>
      <c r="AK46" s="5772" t="s">
        <v>378</v>
      </c>
      <c r="AL46" s="1619" t="s">
        <v>111</v>
      </c>
      <c r="AM46" s="5772" t="s">
        <v>822</v>
      </c>
      <c r="AN46" s="5772" t="s">
        <v>98</v>
      </c>
      <c r="AO46" s="5772" t="s">
        <v>827</v>
      </c>
      <c r="AP46" s="5772"/>
      <c r="AQ46" s="5772"/>
      <c r="AR46" s="1619" t="s">
        <v>111</v>
      </c>
      <c r="AS46" s="5772" t="s">
        <v>822</v>
      </c>
      <c r="AT46" s="5772" t="s">
        <v>98</v>
      </c>
      <c r="AU46" s="1619" t="s">
        <v>111</v>
      </c>
      <c r="AV46" s="5772" t="s">
        <v>822</v>
      </c>
      <c r="AW46" s="5772" t="s">
        <v>98</v>
      </c>
      <c r="AX46" s="1619" t="s">
        <v>111</v>
      </c>
      <c r="AY46" s="5772" t="s">
        <v>822</v>
      </c>
      <c r="AZ46" s="5772" t="s">
        <v>98</v>
      </c>
      <c r="BA46" s="5772" t="s">
        <v>378</v>
      </c>
      <c r="BB46" s="1619" t="s">
        <v>111</v>
      </c>
      <c r="BC46" s="5772" t="s">
        <v>822</v>
      </c>
      <c r="BD46" s="5772" t="s">
        <v>98</v>
      </c>
      <c r="BE46" s="5772" t="s">
        <v>827</v>
      </c>
      <c r="BF46" s="5772"/>
      <c r="BG46" s="5772"/>
      <c r="BH46" s="1887" t="s">
        <v>111</v>
      </c>
      <c r="BI46" s="5772" t="s">
        <v>822</v>
      </c>
      <c r="BJ46" s="5772" t="s">
        <v>98</v>
      </c>
      <c r="BK46" s="1887" t="s">
        <v>111</v>
      </c>
      <c r="BL46" s="5772" t="s">
        <v>822</v>
      </c>
      <c r="BM46" s="5772" t="s">
        <v>98</v>
      </c>
      <c r="BN46" s="2070" t="s">
        <v>111</v>
      </c>
      <c r="BO46" s="5772" t="s">
        <v>822</v>
      </c>
      <c r="BP46" s="5772" t="s">
        <v>98</v>
      </c>
      <c r="BQ46" s="5772" t="s">
        <v>827</v>
      </c>
      <c r="BR46" s="5772"/>
      <c r="BS46" s="5772"/>
      <c r="BT46" s="2070" t="s">
        <v>111</v>
      </c>
      <c r="BU46" s="5772" t="s">
        <v>822</v>
      </c>
      <c r="BV46" s="5772" t="s">
        <v>98</v>
      </c>
      <c r="BW46" s="5772" t="s">
        <v>827</v>
      </c>
      <c r="BX46" s="5772"/>
      <c r="BY46" s="5772"/>
      <c r="BZ46" s="2070" t="s">
        <v>111</v>
      </c>
      <c r="CA46" s="5772" t="s">
        <v>822</v>
      </c>
      <c r="CB46" s="5772" t="s">
        <v>98</v>
      </c>
      <c r="CC46" s="2086"/>
      <c r="CD46" s="2086"/>
      <c r="CE46" s="2070" t="s">
        <v>111</v>
      </c>
      <c r="CF46" s="5772" t="s">
        <v>822</v>
      </c>
      <c r="CG46" s="5772" t="s">
        <v>98</v>
      </c>
      <c r="CH46" s="2070" t="s">
        <v>111</v>
      </c>
      <c r="CI46" s="5772" t="s">
        <v>822</v>
      </c>
      <c r="CJ46" s="5772" t="s">
        <v>98</v>
      </c>
      <c r="CK46" s="2050" t="s">
        <v>111</v>
      </c>
      <c r="CL46" s="5764" t="s">
        <v>822</v>
      </c>
      <c r="CM46" s="5764" t="s">
        <v>98</v>
      </c>
      <c r="CN46" s="2050" t="s">
        <v>111</v>
      </c>
      <c r="CO46" s="5764" t="s">
        <v>822</v>
      </c>
      <c r="CP46" s="5764" t="s">
        <v>98</v>
      </c>
      <c r="CQ46" s="2050" t="s">
        <v>111</v>
      </c>
      <c r="CR46" s="5764" t="s">
        <v>822</v>
      </c>
      <c r="CS46" s="5764" t="s">
        <v>98</v>
      </c>
    </row>
    <row r="47" spans="1:97" ht="37.5" x14ac:dyDescent="0.2">
      <c r="A47" s="5798"/>
      <c r="B47" s="1617"/>
      <c r="C47" s="1617"/>
      <c r="D47" s="1617"/>
      <c r="E47" s="1617"/>
      <c r="F47" s="1617"/>
      <c r="G47" s="1617"/>
      <c r="H47" s="1617"/>
      <c r="I47" s="1617"/>
      <c r="J47" s="1617"/>
      <c r="K47" s="1619" t="s">
        <v>221</v>
      </c>
      <c r="L47" s="5772"/>
      <c r="M47" s="5772"/>
      <c r="N47" s="5772"/>
      <c r="O47" s="1619" t="s">
        <v>221</v>
      </c>
      <c r="P47" s="5772"/>
      <c r="Q47" s="5772"/>
      <c r="R47" s="5772"/>
      <c r="S47" s="1619" t="s">
        <v>111</v>
      </c>
      <c r="T47" s="1619" t="s">
        <v>359</v>
      </c>
      <c r="U47" s="1619"/>
      <c r="V47" s="1619" t="s">
        <v>98</v>
      </c>
      <c r="W47" s="1619"/>
      <c r="X47" s="1619" t="s">
        <v>221</v>
      </c>
      <c r="Y47" s="5772"/>
      <c r="Z47" s="5772"/>
      <c r="AA47" s="5772"/>
      <c r="AB47" s="1619" t="s">
        <v>221</v>
      </c>
      <c r="AC47" s="5772"/>
      <c r="AD47" s="5772"/>
      <c r="AE47" s="1619" t="s">
        <v>221</v>
      </c>
      <c r="AF47" s="5772"/>
      <c r="AG47" s="5772"/>
      <c r="AH47" s="1619" t="s">
        <v>221</v>
      </c>
      <c r="AI47" s="5772"/>
      <c r="AJ47" s="5772"/>
      <c r="AK47" s="5772"/>
      <c r="AL47" s="1619" t="s">
        <v>221</v>
      </c>
      <c r="AM47" s="5772"/>
      <c r="AN47" s="5772"/>
      <c r="AO47" s="1619" t="s">
        <v>111</v>
      </c>
      <c r="AP47" s="1619" t="s">
        <v>359</v>
      </c>
      <c r="AQ47" s="1619" t="s">
        <v>98</v>
      </c>
      <c r="AR47" s="1619" t="s">
        <v>221</v>
      </c>
      <c r="AS47" s="5772"/>
      <c r="AT47" s="5772"/>
      <c r="AU47" s="1619" t="s">
        <v>221</v>
      </c>
      <c r="AV47" s="5772"/>
      <c r="AW47" s="5772"/>
      <c r="AX47" s="1619" t="s">
        <v>221</v>
      </c>
      <c r="AY47" s="5772"/>
      <c r="AZ47" s="5772"/>
      <c r="BA47" s="5772"/>
      <c r="BB47" s="1619" t="s">
        <v>221</v>
      </c>
      <c r="BC47" s="5772"/>
      <c r="BD47" s="5772"/>
      <c r="BE47" s="1619" t="s">
        <v>111</v>
      </c>
      <c r="BF47" s="1619" t="s">
        <v>359</v>
      </c>
      <c r="BG47" s="1619" t="s">
        <v>98</v>
      </c>
      <c r="BH47" s="1887" t="s">
        <v>221</v>
      </c>
      <c r="BI47" s="5772"/>
      <c r="BJ47" s="5772"/>
      <c r="BK47" s="1887" t="s">
        <v>221</v>
      </c>
      <c r="BL47" s="5772"/>
      <c r="BM47" s="5772"/>
      <c r="BN47" s="2070" t="s">
        <v>221</v>
      </c>
      <c r="BO47" s="5772"/>
      <c r="BP47" s="5772"/>
      <c r="BQ47" s="2070" t="s">
        <v>111</v>
      </c>
      <c r="BR47" s="2070" t="s">
        <v>359</v>
      </c>
      <c r="BS47" s="2070" t="s">
        <v>98</v>
      </c>
      <c r="BT47" s="2070" t="s">
        <v>221</v>
      </c>
      <c r="BU47" s="5772"/>
      <c r="BV47" s="5772"/>
      <c r="BW47" s="2070" t="s">
        <v>111</v>
      </c>
      <c r="BX47" s="2070" t="s">
        <v>359</v>
      </c>
      <c r="BY47" s="2070" t="s">
        <v>98</v>
      </c>
      <c r="BZ47" s="2070" t="s">
        <v>221</v>
      </c>
      <c r="CA47" s="5772"/>
      <c r="CB47" s="5772"/>
      <c r="CC47" s="2087" t="s">
        <v>155</v>
      </c>
      <c r="CD47" s="2087" t="s">
        <v>156</v>
      </c>
      <c r="CE47" s="2070" t="s">
        <v>221</v>
      </c>
      <c r="CF47" s="5772"/>
      <c r="CG47" s="5772"/>
      <c r="CH47" s="2070" t="s">
        <v>221</v>
      </c>
      <c r="CI47" s="5772"/>
      <c r="CJ47" s="5772"/>
      <c r="CK47" s="2050" t="s">
        <v>221</v>
      </c>
      <c r="CL47" s="5765"/>
      <c r="CM47" s="5765"/>
      <c r="CN47" s="2050" t="s">
        <v>221</v>
      </c>
      <c r="CO47" s="5765"/>
      <c r="CP47" s="5765"/>
      <c r="CQ47" s="2050" t="s">
        <v>221</v>
      </c>
      <c r="CR47" s="5765"/>
      <c r="CS47" s="5765"/>
    </row>
    <row r="48" spans="1:97" ht="30" customHeight="1" x14ac:dyDescent="0.2">
      <c r="A48" s="1620" t="s">
        <v>131</v>
      </c>
      <c r="B48" s="1617"/>
      <c r="C48" s="1617"/>
      <c r="D48" s="1617"/>
      <c r="E48" s="1617"/>
      <c r="F48" s="1617"/>
      <c r="G48" s="1617"/>
      <c r="H48" s="1617"/>
      <c r="I48" s="1617"/>
      <c r="J48" s="1617"/>
      <c r="K48" s="1621">
        <v>5.75</v>
      </c>
      <c r="L48" s="1622">
        <v>1091.2</v>
      </c>
      <c r="M48" s="1578">
        <f>L48*K48</f>
        <v>6274.4000000000005</v>
      </c>
      <c r="N48" s="1622">
        <f>K48*M48</f>
        <v>36077.800000000003</v>
      </c>
      <c r="O48" s="1621">
        <v>5.5810000000000004</v>
      </c>
      <c r="P48" s="1579" t="e">
        <f>Q56*Q57</f>
        <v>#REF!</v>
      </c>
      <c r="Q48" s="1579" t="e">
        <f>O48*P48</f>
        <v>#REF!</v>
      </c>
      <c r="R48" s="1623"/>
      <c r="S48" s="1621">
        <f>O48-K48</f>
        <v>-0.16899999999999959</v>
      </c>
      <c r="T48" s="1618" t="e">
        <f>P48-L48</f>
        <v>#REF!</v>
      </c>
      <c r="U48" s="1623"/>
      <c r="V48" s="1618" t="e">
        <f>Q48-M48</f>
        <v>#REF!</v>
      </c>
      <c r="W48" s="1623"/>
      <c r="X48" s="1621">
        <v>4.9657999999999998</v>
      </c>
      <c r="Y48" s="1622">
        <v>505.33199999999999</v>
      </c>
      <c r="Z48" s="1578">
        <v>2509.4</v>
      </c>
      <c r="AA48" s="1622">
        <f>X48*Z48</f>
        <v>12461.178519999999</v>
      </c>
      <c r="AB48" s="1621">
        <f t="shared" ref="AB48:AB55" si="3">AD48/AC48</f>
        <v>4.9915147295592019</v>
      </c>
      <c r="AC48" s="1622">
        <v>689.43</v>
      </c>
      <c r="AD48" s="1578">
        <v>3441.3</v>
      </c>
      <c r="AE48" s="1618">
        <f>SUM(AG48/AF48)</f>
        <v>5.007427152968611</v>
      </c>
      <c r="AF48" s="1579">
        <v>910.84699999999998</v>
      </c>
      <c r="AG48" s="1579">
        <v>4561</v>
      </c>
      <c r="AH48" s="1621">
        <v>5.5810000000000004</v>
      </c>
      <c r="AI48" s="1622">
        <v>846.8</v>
      </c>
      <c r="AJ48" s="1579">
        <f>4962.29</f>
        <v>4962.29</v>
      </c>
      <c r="AK48" s="1622"/>
      <c r="AL48" s="1621">
        <f>K74*1.028</f>
        <v>5.2037132396875592</v>
      </c>
      <c r="AM48" s="1579">
        <f>AN56*AN57</f>
        <v>883.18331415423415</v>
      </c>
      <c r="AN48" s="1579">
        <f>AL48*AM48</f>
        <v>4595.8327049355248</v>
      </c>
      <c r="AO48" s="1621">
        <f t="shared" ref="AO48:AQ54" si="4">AL48-AH48</f>
        <v>-0.37728676031244124</v>
      </c>
      <c r="AP48" s="1618">
        <f t="shared" si="4"/>
        <v>36.383314154234199</v>
      </c>
      <c r="AQ48" s="1618">
        <f t="shared" si="4"/>
        <v>-366.45729506447515</v>
      </c>
      <c r="AR48" s="1621">
        <f>SUM(AT48/AS48)</f>
        <v>4.9360225547603553</v>
      </c>
      <c r="AS48" s="1622">
        <v>414.99</v>
      </c>
      <c r="AT48" s="1579">
        <v>2048.4</v>
      </c>
      <c r="AU48" s="1621">
        <f>SUM(AW48/AV48)</f>
        <v>5.0309675458654715</v>
      </c>
      <c r="AV48" s="1622">
        <v>546.21699999999998</v>
      </c>
      <c r="AW48" s="1579">
        <v>2748</v>
      </c>
      <c r="AX48" s="1621">
        <f>SUM(AL48*1.1)</f>
        <v>5.7240845636563158</v>
      </c>
      <c r="AY48" s="1618">
        <v>910.85</v>
      </c>
      <c r="AZ48" s="1579">
        <f>SUM(AX48*AY48)</f>
        <v>5213.7824248063553</v>
      </c>
      <c r="BA48" s="1624">
        <f t="shared" ref="BA48:BA63" si="5">SUM(AZ48/AN48)</f>
        <v>1.1344587062986879</v>
      </c>
      <c r="BB48" s="1635">
        <f>(AU65+AU65*1.06)/2</f>
        <v>5.4911565455279785</v>
      </c>
      <c r="BC48" s="1636">
        <f>BD56*BD57</f>
        <v>703.79138799999998</v>
      </c>
      <c r="BD48" s="1577">
        <f>BC48*BB48</f>
        <v>3864.6286869024211</v>
      </c>
      <c r="BE48" s="1635">
        <f t="shared" ref="BE48:BG54" si="6">BB48-AX48</f>
        <v>-0.2329280181283373</v>
      </c>
      <c r="BF48" s="1637">
        <f t="shared" si="6"/>
        <v>-207.05861200000004</v>
      </c>
      <c r="BG48" s="1637">
        <f t="shared" si="6"/>
        <v>-1349.1537379039341</v>
      </c>
      <c r="BH48" s="1637">
        <v>2.4449999999999998</v>
      </c>
      <c r="BI48" s="1636">
        <v>789.24</v>
      </c>
      <c r="BJ48" s="1577">
        <v>1929.89</v>
      </c>
      <c r="BK48" s="1637">
        <v>2.4449999999999998</v>
      </c>
      <c r="BL48" s="1636">
        <f>BM56*BM57</f>
        <v>698.0777195516813</v>
      </c>
      <c r="BM48" s="1577">
        <f>BL48*BK48</f>
        <v>1706.8000243038607</v>
      </c>
      <c r="BN48" s="1635">
        <f>BB48*1.066</f>
        <v>5.8535728775328257</v>
      </c>
      <c r="BO48" s="1636">
        <f>BP56*BP57</f>
        <v>689.4896</v>
      </c>
      <c r="BP48" s="1577">
        <f>BO48*BN48</f>
        <v>4035.9776219009568</v>
      </c>
      <c r="BQ48" s="1635">
        <f>BN48-BB48</f>
        <v>0.36241633200484724</v>
      </c>
      <c r="BR48" s="1637">
        <f t="shared" ref="BR48" si="7">BO48-BE48</f>
        <v>689.72252801812829</v>
      </c>
      <c r="BS48" s="1637">
        <f t="shared" ref="BS48" si="8">BP48-BF48</f>
        <v>4243.0362339009571</v>
      </c>
      <c r="BT48" s="1635">
        <f>BN48*1.067</f>
        <v>6.2457622603275249</v>
      </c>
      <c r="BU48" s="1636">
        <f>BV56*BV57</f>
        <v>689.4896</v>
      </c>
      <c r="BV48" s="1577">
        <f>BU48*BT48</f>
        <v>4306.3881225683208</v>
      </c>
      <c r="BW48" s="1635">
        <f t="shared" ref="BW48" si="9">BT48-BP48</f>
        <v>-4029.7318596406294</v>
      </c>
      <c r="BX48" s="1637">
        <f t="shared" ref="BX48" si="10">BU48-BQ48</f>
        <v>689.12718366799515</v>
      </c>
      <c r="BY48" s="1637">
        <f t="shared" ref="BY48" si="11">BV48-BR48</f>
        <v>3616.6655945501925</v>
      </c>
      <c r="BZ48" s="1637">
        <f>(5.453783+5.453783*1.07)/2</f>
        <v>5.6446654049999996</v>
      </c>
      <c r="CA48" s="1636">
        <f>CB56*CB57</f>
        <v>690.76496745870816</v>
      </c>
      <c r="CB48" s="1611">
        <f>CA48*BZ48</f>
        <v>3899.1371148001203</v>
      </c>
      <c r="CC48" s="2088">
        <f>CB48*CC57</f>
        <v>3884.8940660556532</v>
      </c>
      <c r="CD48" s="2088">
        <f>CD57*CB48</f>
        <v>14.243048744466778</v>
      </c>
      <c r="CE48" s="1637">
        <v>5.51</v>
      </c>
      <c r="CF48" s="1636">
        <v>881.62</v>
      </c>
      <c r="CG48" s="1611">
        <v>4858.1899999999996</v>
      </c>
      <c r="CH48" s="1637">
        <f>CE48</f>
        <v>5.51</v>
      </c>
      <c r="CI48" s="1636">
        <f>CJ56*CJ57</f>
        <v>738.73216498132001</v>
      </c>
      <c r="CJ48" s="1611">
        <f t="shared" ref="CJ48" si="12">CI48*CH48</f>
        <v>4070.4142290470731</v>
      </c>
      <c r="CK48" s="1635">
        <f>BT48</f>
        <v>6.2457622603275249</v>
      </c>
      <c r="CL48" s="1635">
        <f t="shared" ref="CL48:CM50" si="13">BU48</f>
        <v>689.4896</v>
      </c>
      <c r="CM48" s="1635">
        <f t="shared" si="13"/>
        <v>4306.3881225683208</v>
      </c>
      <c r="CN48" s="1635">
        <v>6.0389999999999997</v>
      </c>
      <c r="CO48" s="1636">
        <f>CP56*CP57</f>
        <v>690.68</v>
      </c>
      <c r="CP48" s="1577">
        <f>CO48*CN48</f>
        <v>4171.0165199999992</v>
      </c>
      <c r="CQ48" s="1635">
        <f>BZ48*1.07</f>
        <v>6.0397919833499998</v>
      </c>
      <c r="CR48" s="1636">
        <f>CS56*CS57</f>
        <v>660.45886182086053</v>
      </c>
      <c r="CS48" s="1577">
        <f>CR48*CQ48</f>
        <v>3989.0341389580985</v>
      </c>
    </row>
    <row r="49" spans="1:97" ht="30" customHeight="1" x14ac:dyDescent="0.2">
      <c r="A49" s="1620"/>
      <c r="B49" s="1617"/>
      <c r="C49" s="1617"/>
      <c r="D49" s="1617"/>
      <c r="E49" s="1617"/>
      <c r="F49" s="1617"/>
      <c r="G49" s="1617"/>
      <c r="H49" s="1617"/>
      <c r="I49" s="1617"/>
      <c r="J49" s="1617"/>
      <c r="K49" s="1621"/>
      <c r="L49" s="1622"/>
      <c r="M49" s="1578"/>
      <c r="N49" s="1622"/>
      <c r="O49" s="1621"/>
      <c r="P49" s="1579"/>
      <c r="Q49" s="1579"/>
      <c r="R49" s="1623"/>
      <c r="S49" s="1621"/>
      <c r="T49" s="1618"/>
      <c r="U49" s="1623"/>
      <c r="V49" s="1618"/>
      <c r="W49" s="1623"/>
      <c r="X49" s="1621"/>
      <c r="Y49" s="1622"/>
      <c r="Z49" s="1578"/>
      <c r="AA49" s="1622"/>
      <c r="AB49" s="1621"/>
      <c r="AC49" s="1622"/>
      <c r="AD49" s="1578"/>
      <c r="AE49" s="1618"/>
      <c r="AF49" s="1579"/>
      <c r="AG49" s="1579"/>
      <c r="AH49" s="1621"/>
      <c r="AI49" s="1622"/>
      <c r="AJ49" s="1579"/>
      <c r="AK49" s="1622"/>
      <c r="AL49" s="1621"/>
      <c r="AM49" s="1579"/>
      <c r="AN49" s="1579"/>
      <c r="AO49" s="1621"/>
      <c r="AP49" s="1618"/>
      <c r="AQ49" s="1618"/>
      <c r="AR49" s="1621"/>
      <c r="AS49" s="1622"/>
      <c r="AT49" s="1579">
        <v>132.9</v>
      </c>
      <c r="AU49" s="1621"/>
      <c r="AV49" s="1622"/>
      <c r="AW49" s="1579">
        <v>205.8</v>
      </c>
      <c r="AX49" s="1621"/>
      <c r="AY49" s="1618"/>
      <c r="AZ49" s="1579"/>
      <c r="BA49" s="1624"/>
      <c r="BB49" s="1635"/>
      <c r="BC49" s="1636"/>
      <c r="BD49" s="1577"/>
      <c r="BE49" s="1635"/>
      <c r="BF49" s="1637"/>
      <c r="BG49" s="1637"/>
      <c r="BH49" s="1637"/>
      <c r="BI49" s="1636"/>
      <c r="BJ49" s="1577"/>
      <c r="BK49" s="1637"/>
      <c r="BL49" s="1636"/>
      <c r="BM49" s="1577"/>
      <c r="BN49" s="1635"/>
      <c r="BO49" s="1636"/>
      <c r="BP49" s="1577"/>
      <c r="BQ49" s="1635"/>
      <c r="BR49" s="1637"/>
      <c r="BS49" s="1637"/>
      <c r="BT49" s="1635"/>
      <c r="BU49" s="1636"/>
      <c r="BV49" s="1577"/>
      <c r="BW49" s="1635"/>
      <c r="BX49" s="1637"/>
      <c r="BY49" s="1637"/>
      <c r="BZ49" s="1637"/>
      <c r="CA49" s="1636"/>
      <c r="CB49" s="1611"/>
      <c r="CC49" s="2086"/>
      <c r="CD49" s="2086"/>
      <c r="CE49" s="1637"/>
      <c r="CF49" s="1636"/>
      <c r="CG49" s="1611"/>
      <c r="CH49" s="1637"/>
      <c r="CI49" s="1636"/>
      <c r="CJ49" s="1611"/>
      <c r="CK49" s="1635"/>
      <c r="CL49" s="1635"/>
      <c r="CM49" s="1635"/>
      <c r="CN49" s="1635"/>
      <c r="CO49" s="1636"/>
      <c r="CP49" s="1577"/>
      <c r="CQ49" s="1635"/>
      <c r="CR49" s="1636"/>
      <c r="CS49" s="1577"/>
    </row>
    <row r="50" spans="1:97" ht="30" customHeight="1" x14ac:dyDescent="0.2">
      <c r="A50" s="1620" t="s">
        <v>132</v>
      </c>
      <c r="B50" s="1617"/>
      <c r="C50" s="1617"/>
      <c r="D50" s="1617"/>
      <c r="E50" s="1617"/>
      <c r="F50" s="1617"/>
      <c r="G50" s="1617"/>
      <c r="H50" s="1617"/>
      <c r="I50" s="1617"/>
      <c r="J50" s="1617"/>
      <c r="K50" s="1621">
        <v>4.55</v>
      </c>
      <c r="L50" s="1622">
        <v>1754.8</v>
      </c>
      <c r="M50" s="1578">
        <f>L50*K50</f>
        <v>7984.3399999999992</v>
      </c>
      <c r="N50" s="1622">
        <f>K50*M50</f>
        <v>36328.746999999996</v>
      </c>
      <c r="O50" s="1621">
        <v>4.5730000000000004</v>
      </c>
      <c r="P50" s="1579" t="e">
        <f>Q58*Q59</f>
        <v>#REF!</v>
      </c>
      <c r="Q50" s="1579" t="e">
        <f>O50*P50</f>
        <v>#REF!</v>
      </c>
      <c r="R50" s="1623"/>
      <c r="S50" s="1621">
        <f>O50-K50</f>
        <v>2.3000000000000576E-2</v>
      </c>
      <c r="T50" s="1618" t="e">
        <f>P50-L50</f>
        <v>#REF!</v>
      </c>
      <c r="U50" s="1623"/>
      <c r="V50" s="1618" t="e">
        <f t="shared" ref="V50:V63" si="14">Q50-M50</f>
        <v>#REF!</v>
      </c>
      <c r="W50" s="1623"/>
      <c r="X50" s="1621">
        <v>3.9638</v>
      </c>
      <c r="Y50" s="1622">
        <v>820.02</v>
      </c>
      <c r="Z50" s="1578">
        <v>3250.4</v>
      </c>
      <c r="AA50" s="1622">
        <f>X50*Z50</f>
        <v>12883.935520000001</v>
      </c>
      <c r="AB50" s="1621">
        <f t="shared" si="3"/>
        <v>4.0118462507876496</v>
      </c>
      <c r="AC50" s="1622">
        <v>1190.25</v>
      </c>
      <c r="AD50" s="1578">
        <v>4775.1000000000004</v>
      </c>
      <c r="AE50" s="1618">
        <f>SUM(AG50/AF50)</f>
        <v>4.0205962981621663</v>
      </c>
      <c r="AF50" s="1579">
        <v>1528.43</v>
      </c>
      <c r="AG50" s="1579">
        <v>6145.2</v>
      </c>
      <c r="AH50" s="1621">
        <v>4.5730000000000004</v>
      </c>
      <c r="AI50" s="1622">
        <v>1387.6</v>
      </c>
      <c r="AJ50" s="1579">
        <v>6662.8</v>
      </c>
      <c r="AK50" s="1622"/>
      <c r="AL50" s="1621">
        <f>K76*1.028</f>
        <v>4.2335618399373365</v>
      </c>
      <c r="AM50" s="1579">
        <f>AN58*AN59</f>
        <v>1209.6401285612453</v>
      </c>
      <c r="AN50" s="1579">
        <f>AL50*AM50</f>
        <v>5121.0862883337822</v>
      </c>
      <c r="AO50" s="1621">
        <f t="shared" si="4"/>
        <v>-0.33943816006266392</v>
      </c>
      <c r="AP50" s="1618">
        <f t="shared" si="4"/>
        <v>-177.95987143875459</v>
      </c>
      <c r="AQ50" s="1618">
        <f t="shared" si="4"/>
        <v>-1541.7137116662179</v>
      </c>
      <c r="AR50" s="1621">
        <f>SUM(AT50/AS50)</f>
        <v>3.819503849443969</v>
      </c>
      <c r="AS50" s="1622">
        <v>678.02</v>
      </c>
      <c r="AT50" s="1579">
        <v>2589.6999999999998</v>
      </c>
      <c r="AU50" s="1621">
        <f>SUM(AW50/AV50)</f>
        <v>3.9526209082140822</v>
      </c>
      <c r="AV50" s="1622">
        <v>1016.06</v>
      </c>
      <c r="AW50" s="1579">
        <v>4016.1</v>
      </c>
      <c r="AX50" s="1621">
        <f>SUM(AL50*1.1)</f>
        <v>4.6569180239310706</v>
      </c>
      <c r="AY50" s="1618">
        <v>1528.43</v>
      </c>
      <c r="AZ50" s="1579">
        <f>SUM(AX50*AY50)</f>
        <v>7117.7732153169663</v>
      </c>
      <c r="BA50" s="1624">
        <f t="shared" si="5"/>
        <v>1.3898951930436685</v>
      </c>
      <c r="BB50" s="1635">
        <f>(AU67+AU67*1.06)/2</f>
        <v>4.3462075494024379</v>
      </c>
      <c r="BC50" s="1636">
        <f>BD58*BD59</f>
        <v>1237.0113330000001</v>
      </c>
      <c r="BD50" s="1577">
        <f>BC50*BB50</f>
        <v>5376.3079941809738</v>
      </c>
      <c r="BE50" s="1635">
        <f t="shared" si="6"/>
        <v>-0.31071047452863265</v>
      </c>
      <c r="BF50" s="1637">
        <f t="shared" si="6"/>
        <v>-291.41866699999991</v>
      </c>
      <c r="BG50" s="1637">
        <f t="shared" si="6"/>
        <v>-1741.4652211359926</v>
      </c>
      <c r="BH50" s="1637">
        <v>5.62</v>
      </c>
      <c r="BI50" s="1636">
        <v>1516.64</v>
      </c>
      <c r="BJ50" s="1577">
        <v>8522.8700000000008</v>
      </c>
      <c r="BK50" s="1637">
        <v>5.62</v>
      </c>
      <c r="BL50" s="1636">
        <f>BM58*BM59</f>
        <v>1075.5106849315068</v>
      </c>
      <c r="BM50" s="1577">
        <f>BL50*BK50</f>
        <v>6044.3700493150682</v>
      </c>
      <c r="BN50" s="1635">
        <f>BB50*1.066</f>
        <v>4.6330572476629994</v>
      </c>
      <c r="BO50" s="1636">
        <f>BP58*BP59</f>
        <v>1174.3243599999998</v>
      </c>
      <c r="BP50" s="1577">
        <f>BO50*BN50</f>
        <v>5440.7119872052126</v>
      </c>
      <c r="BQ50" s="1635">
        <f>BN50-BB50</f>
        <v>0.2868496982605615</v>
      </c>
      <c r="BR50" s="1637">
        <f t="shared" ref="BR50:BR52" si="15">BO50-BE50</f>
        <v>1174.6350704745284</v>
      </c>
      <c r="BS50" s="1637">
        <f t="shared" ref="BS50:BS52" si="16">BP50-BF50</f>
        <v>5732.1306542052125</v>
      </c>
      <c r="BT50" s="1635">
        <f>BN50*1.067</f>
        <v>4.9434720832564203</v>
      </c>
      <c r="BU50" s="1636">
        <f>BV58*BV59</f>
        <v>1174.3243599999998</v>
      </c>
      <c r="BV50" s="1577">
        <f>BU50*BT50</f>
        <v>5805.2396903479621</v>
      </c>
      <c r="BW50" s="1635">
        <f t="shared" ref="BW50:BW52" si="17">BT50-BP50</f>
        <v>-5435.7685151219566</v>
      </c>
      <c r="BX50" s="1637">
        <f t="shared" ref="BX50:BX52" si="18">BU50-BQ50</f>
        <v>1174.0375103017393</v>
      </c>
      <c r="BY50" s="1637">
        <f t="shared" ref="BY50:BY52" si="19">BV50-BR50</f>
        <v>4630.6046198734339</v>
      </c>
      <c r="BZ50" s="1637">
        <f>(4.166+4.166*1.07)/2</f>
        <v>4.3118100000000004</v>
      </c>
      <c r="CA50" s="1636">
        <f>CB58*CB59</f>
        <v>1136.4657534246574</v>
      </c>
      <c r="CB50" s="1611">
        <f>CA50*BZ50</f>
        <v>4900.2244002739726</v>
      </c>
      <c r="CC50" s="2086"/>
      <c r="CD50" s="2086"/>
      <c r="CE50" s="1637">
        <v>4.2089999999999996</v>
      </c>
      <c r="CF50" s="1636">
        <v>1543.17</v>
      </c>
      <c r="CG50" s="1611">
        <v>6495.81</v>
      </c>
      <c r="CH50" s="1637">
        <f>CE50</f>
        <v>4.2089999999999996</v>
      </c>
      <c r="CI50" s="1636">
        <f>CJ58*CJ59</f>
        <v>1101.7479452054793</v>
      </c>
      <c r="CJ50" s="1611">
        <f t="shared" ref="CJ50" si="20">CI50*CH50</f>
        <v>4637.2571013698616</v>
      </c>
      <c r="CK50" s="1635">
        <f t="shared" ref="CK50" si="21">BT50</f>
        <v>4.9434720832564203</v>
      </c>
      <c r="CL50" s="1635">
        <f t="shared" si="13"/>
        <v>1174.3243599999998</v>
      </c>
      <c r="CM50" s="1635">
        <f t="shared" si="13"/>
        <v>5805.2396903479621</v>
      </c>
      <c r="CN50" s="1635">
        <v>4.617</v>
      </c>
      <c r="CO50" s="1636">
        <f>CP58*CP59</f>
        <v>1121.67</v>
      </c>
      <c r="CP50" s="1577">
        <f>CO50*CN50</f>
        <v>5178.7503900000002</v>
      </c>
      <c r="CQ50" s="1635">
        <f>BZ50*1.07</f>
        <v>4.6136367000000007</v>
      </c>
      <c r="CR50" s="1636">
        <f>CS58*CS59</f>
        <v>1091.3868493150685</v>
      </c>
      <c r="CS50" s="1577">
        <f>CR50*CQ50</f>
        <v>5035.2624218973706</v>
      </c>
    </row>
    <row r="51" spans="1:97" ht="30" customHeight="1" x14ac:dyDescent="0.2">
      <c r="A51" s="1625" t="s">
        <v>133</v>
      </c>
      <c r="B51" s="1617"/>
      <c r="C51" s="1617"/>
      <c r="D51" s="1617"/>
      <c r="E51" s="1617"/>
      <c r="F51" s="1617"/>
      <c r="G51" s="1617"/>
      <c r="H51" s="1617"/>
      <c r="I51" s="1617"/>
      <c r="J51" s="1617"/>
      <c r="K51" s="1626">
        <f>M51/L51</f>
        <v>5.0100983836964161</v>
      </c>
      <c r="L51" s="1610">
        <f>L48+L50</f>
        <v>2846</v>
      </c>
      <c r="M51" s="1610">
        <f>SUM(M48:M50)</f>
        <v>14258.74</v>
      </c>
      <c r="N51" s="1627">
        <f>SUM(N48:N50)</f>
        <v>72406.546999999991</v>
      </c>
      <c r="O51" s="1626" t="e">
        <f>Q51/P51</f>
        <v>#REF!</v>
      </c>
      <c r="P51" s="1610" t="e">
        <f>P48+P50</f>
        <v>#REF!</v>
      </c>
      <c r="Q51" s="1610" t="e">
        <f>Q48+Q50</f>
        <v>#REF!</v>
      </c>
      <c r="R51" s="1628"/>
      <c r="S51" s="1626" t="e">
        <f t="shared" ref="S51:T54" si="22">O51-K51</f>
        <v>#REF!</v>
      </c>
      <c r="T51" s="1618" t="e">
        <f t="shared" si="22"/>
        <v>#REF!</v>
      </c>
      <c r="U51" s="1628"/>
      <c r="V51" s="1618" t="e">
        <f t="shared" si="14"/>
        <v>#REF!</v>
      </c>
      <c r="W51" s="1628"/>
      <c r="X51" s="1626">
        <f>Z51/Y51</f>
        <v>4.3458643439629627</v>
      </c>
      <c r="Y51" s="1610">
        <f>Y48+Y50</f>
        <v>1325.3519999999999</v>
      </c>
      <c r="Z51" s="1610">
        <f>SUM(Z48:Z50)</f>
        <v>5759.8</v>
      </c>
      <c r="AA51" s="1627">
        <f>SUM(AA48:AA50)</f>
        <v>25345.11404</v>
      </c>
      <c r="AB51" s="1626">
        <f t="shared" si="3"/>
        <v>4.3711695607763037</v>
      </c>
      <c r="AC51" s="1610">
        <f>AC48+AC50</f>
        <v>1879.6799999999998</v>
      </c>
      <c r="AD51" s="1610">
        <f>SUM(AD48:AD50)</f>
        <v>8216.4000000000015</v>
      </c>
      <c r="AE51" s="1626">
        <f>AG51/AF51</f>
        <v>4.389087422215681</v>
      </c>
      <c r="AF51" s="1610">
        <f>AF48+AF50</f>
        <v>2439.277</v>
      </c>
      <c r="AG51" s="1610">
        <f>AG48+AG50</f>
        <v>10706.2</v>
      </c>
      <c r="AH51" s="1626">
        <f>AJ51/AI51</f>
        <v>5.202779269602579</v>
      </c>
      <c r="AI51" s="1610">
        <f>AI48+AI50</f>
        <v>2234.3999999999996</v>
      </c>
      <c r="AJ51" s="1610">
        <f>SUM(AJ48:AJ50)</f>
        <v>11625.09</v>
      </c>
      <c r="AK51" s="1627"/>
      <c r="AL51" s="1626">
        <f>AN51/AM51</f>
        <v>4.6429712105391054</v>
      </c>
      <c r="AM51" s="1610">
        <f>AM48+AM50</f>
        <v>2092.8234427154794</v>
      </c>
      <c r="AN51" s="1610">
        <f>AN48+AN50</f>
        <v>9716.918993269308</v>
      </c>
      <c r="AO51" s="1626">
        <f t="shared" si="4"/>
        <v>-0.55980805906347353</v>
      </c>
      <c r="AP51" s="1618">
        <f t="shared" si="4"/>
        <v>-141.57655728452028</v>
      </c>
      <c r="AQ51" s="1618">
        <f t="shared" si="4"/>
        <v>-1908.1710067306922</v>
      </c>
      <c r="AR51" s="1626">
        <f>AT51/AS51</f>
        <v>4.3650103841684889</v>
      </c>
      <c r="AS51" s="1610">
        <f>AS48+AS50</f>
        <v>1093.01</v>
      </c>
      <c r="AT51" s="1610">
        <f>SUM(AT48:AT50)</f>
        <v>4771</v>
      </c>
      <c r="AU51" s="1626">
        <f>AW51/AV51</f>
        <v>4.4613727271156138</v>
      </c>
      <c r="AV51" s="1610">
        <f>AV48+AV50</f>
        <v>1562.277</v>
      </c>
      <c r="AW51" s="1610">
        <f>SUM(AW48:AW50)</f>
        <v>6969.9</v>
      </c>
      <c r="AX51" s="1626">
        <f>AZ51/AY51</f>
        <v>5.0554080056915653</v>
      </c>
      <c r="AY51" s="1610">
        <f>AY48+AY50</f>
        <v>2439.2800000000002</v>
      </c>
      <c r="AZ51" s="1610">
        <f>SUM(AZ48:AZ50)</f>
        <v>12331.555640123323</v>
      </c>
      <c r="BA51" s="1624">
        <f t="shared" si="5"/>
        <v>1.2690808319658848</v>
      </c>
      <c r="BB51" s="1581">
        <f>BD51/BC51</f>
        <v>4.7613992813870309</v>
      </c>
      <c r="BC51" s="1638">
        <f>BC48+BC50</f>
        <v>1940.802721</v>
      </c>
      <c r="BD51" s="1638">
        <f>SUM(BD48:BD50)</f>
        <v>9240.9366810833944</v>
      </c>
      <c r="BE51" s="1581">
        <f t="shared" si="6"/>
        <v>-0.2940087243045344</v>
      </c>
      <c r="BF51" s="1639">
        <f t="shared" si="6"/>
        <v>-498.47727900000018</v>
      </c>
      <c r="BG51" s="1639">
        <f t="shared" si="6"/>
        <v>-3090.6189590399281</v>
      </c>
      <c r="BH51" s="1639"/>
      <c r="BI51" s="1638">
        <f>BI48+BI50</f>
        <v>2305.88</v>
      </c>
      <c r="BJ51" s="1638">
        <f>SUM(BJ48:BJ50)</f>
        <v>10452.76</v>
      </c>
      <c r="BK51" s="1639"/>
      <c r="BL51" s="1638">
        <f>BL48+BL50</f>
        <v>1773.5884044831882</v>
      </c>
      <c r="BM51" s="1638">
        <f>SUM(BM48:BM50)</f>
        <v>7751.1700736189287</v>
      </c>
      <c r="BN51" s="1581">
        <f>BP51/BO51</f>
        <v>5.0845684239354929</v>
      </c>
      <c r="BO51" s="1638">
        <f>BO48+BO50</f>
        <v>1863.81396</v>
      </c>
      <c r="BP51" s="1638">
        <f>SUM(BP48:BP50)</f>
        <v>9476.6896091061699</v>
      </c>
      <c r="BQ51" s="1581">
        <f t="shared" ref="BQ51:BQ52" si="23">BN51-BD51</f>
        <v>-9235.8521126594587</v>
      </c>
      <c r="BR51" s="1639">
        <f t="shared" si="15"/>
        <v>1864.1079687243046</v>
      </c>
      <c r="BS51" s="1639">
        <f t="shared" si="16"/>
        <v>9975.1668881061705</v>
      </c>
      <c r="BT51" s="1581">
        <f>BV51/BU51</f>
        <v>5.4252345083391704</v>
      </c>
      <c r="BU51" s="1638">
        <f>BU48+BU50</f>
        <v>1863.81396</v>
      </c>
      <c r="BV51" s="1638">
        <f>SUM(BV48:BV50)</f>
        <v>10111.627812916282</v>
      </c>
      <c r="BW51" s="1581">
        <f t="shared" si="17"/>
        <v>-9471.2643745978312</v>
      </c>
      <c r="BX51" s="1639">
        <f t="shared" si="18"/>
        <v>11099.666072659458</v>
      </c>
      <c r="BY51" s="1639">
        <f t="shared" si="19"/>
        <v>8247.5198441919783</v>
      </c>
      <c r="BZ51" s="1581">
        <f>CB51/CA51</f>
        <v>4.8156816840404737</v>
      </c>
      <c r="CA51" s="1638">
        <f>CA48+CA50</f>
        <v>1827.2307208833654</v>
      </c>
      <c r="CB51" s="1638">
        <f>SUM(CB48:CB50)</f>
        <v>8799.3615150740934</v>
      </c>
      <c r="CC51" s="2086"/>
      <c r="CD51" s="2086"/>
      <c r="CE51" s="1581">
        <f t="shared" ref="CE51" si="24">CG51/CF51</f>
        <v>4.6824673476878411</v>
      </c>
      <c r="CF51" s="1638">
        <f t="shared" ref="CF51" si="25">CF48+CF50</f>
        <v>2424.79</v>
      </c>
      <c r="CG51" s="1638">
        <f t="shared" ref="CG51" si="26">SUM(CG48:CG50)</f>
        <v>11354</v>
      </c>
      <c r="CH51" s="1581">
        <f t="shared" ref="CH51" si="27">CJ51/CI51</f>
        <v>4.7311955626258584</v>
      </c>
      <c r="CI51" s="1638">
        <f t="shared" ref="CI51" si="28">CI48+CI50</f>
        <v>1840.4801101867993</v>
      </c>
      <c r="CJ51" s="1638">
        <f t="shared" ref="CJ51" si="29">SUM(CJ48:CJ50)</f>
        <v>8707.6713304169352</v>
      </c>
      <c r="CK51" s="1581">
        <f>CM51/CL51</f>
        <v>5.4252345083391704</v>
      </c>
      <c r="CL51" s="1638">
        <f>CL48+CL50</f>
        <v>1863.81396</v>
      </c>
      <c r="CM51" s="1638">
        <f>SUM(CM48:CM50)</f>
        <v>10111.627812916282</v>
      </c>
      <c r="CN51" s="1581">
        <f>CP51/CO51</f>
        <v>5.1589190332993073</v>
      </c>
      <c r="CO51" s="1638">
        <f>CO48+CO50</f>
        <v>1812.35</v>
      </c>
      <c r="CP51" s="1638">
        <f>SUM(CP48:CP50)</f>
        <v>9349.7669099999985</v>
      </c>
      <c r="CQ51" s="1581">
        <f>CS51/CR51</f>
        <v>5.1513078483401085</v>
      </c>
      <c r="CR51" s="1638">
        <f>CR48+CR50</f>
        <v>1751.8457111359289</v>
      </c>
      <c r="CS51" s="1638">
        <f>SUM(CS48:CS50)</f>
        <v>9024.2965608554696</v>
      </c>
    </row>
    <row r="52" spans="1:97" ht="30" customHeight="1" x14ac:dyDescent="0.2">
      <c r="A52" s="1620" t="s">
        <v>134</v>
      </c>
      <c r="B52" s="1617"/>
      <c r="C52" s="1617"/>
      <c r="D52" s="1617"/>
      <c r="E52" s="1617"/>
      <c r="F52" s="1617"/>
      <c r="G52" s="1617"/>
      <c r="H52" s="1617"/>
      <c r="I52" s="1617"/>
      <c r="J52" s="1617"/>
      <c r="K52" s="1621">
        <v>5.75</v>
      </c>
      <c r="L52" s="1622">
        <v>397.8</v>
      </c>
      <c r="M52" s="1578">
        <v>2285.4</v>
      </c>
      <c r="N52" s="1622">
        <f>K52*M52</f>
        <v>13141.050000000001</v>
      </c>
      <c r="O52" s="1621">
        <v>5.63</v>
      </c>
      <c r="P52" s="1623">
        <f>Q60*Q62</f>
        <v>363.59730000000002</v>
      </c>
      <c r="Q52" s="1579">
        <f>O52*P52</f>
        <v>2047.0527990000001</v>
      </c>
      <c r="R52" s="1622"/>
      <c r="S52" s="1621">
        <f t="shared" si="22"/>
        <v>-0.12000000000000011</v>
      </c>
      <c r="T52" s="1618">
        <f t="shared" si="22"/>
        <v>-34.202699999999993</v>
      </c>
      <c r="U52" s="1622"/>
      <c r="V52" s="1618">
        <f t="shared" si="14"/>
        <v>-238.34720100000004</v>
      </c>
      <c r="W52" s="1622"/>
      <c r="X52" s="1621">
        <v>4.9886999999999997</v>
      </c>
      <c r="Y52" s="1622">
        <v>162.167</v>
      </c>
      <c r="Z52" s="1578">
        <v>809</v>
      </c>
      <c r="AA52" s="1622">
        <f>X52*Z52</f>
        <v>4035.8582999999999</v>
      </c>
      <c r="AB52" s="1621">
        <f t="shared" si="3"/>
        <v>5.0153983485829059</v>
      </c>
      <c r="AC52" s="1622">
        <v>224.05</v>
      </c>
      <c r="AD52" s="1578">
        <v>1123.7</v>
      </c>
      <c r="AE52" s="1618">
        <f>SUM(AG52/AF52)</f>
        <v>5.0316393763454892</v>
      </c>
      <c r="AF52" s="1618">
        <v>306.58</v>
      </c>
      <c r="AG52" s="1579">
        <v>1542.6</v>
      </c>
      <c r="AH52" s="1621">
        <v>5.91</v>
      </c>
      <c r="AI52" s="1622">
        <v>397.8</v>
      </c>
      <c r="AJ52" s="1578">
        <v>2285.4</v>
      </c>
      <c r="AK52" s="1622"/>
      <c r="AL52" s="1621">
        <f>K78*1.028</f>
        <v>5.2277943861803733</v>
      </c>
      <c r="AM52" s="1623">
        <f>AN60*AN62</f>
        <v>360.82530000000003</v>
      </c>
      <c r="AN52" s="1579">
        <f>AL52*AM52</f>
        <v>1886.3204777318492</v>
      </c>
      <c r="AO52" s="1621">
        <f t="shared" si="4"/>
        <v>-0.68220561381962685</v>
      </c>
      <c r="AP52" s="1618">
        <f t="shared" si="4"/>
        <v>-36.974699999999984</v>
      </c>
      <c r="AQ52" s="1618">
        <f t="shared" si="4"/>
        <v>-399.07952226815087</v>
      </c>
      <c r="AR52" s="1621">
        <f t="shared" ref="AR52:AR54" si="30">SUM(AT52/AS52)</f>
        <v>4.9758749575263339</v>
      </c>
      <c r="AS52" s="1622">
        <v>147.15</v>
      </c>
      <c r="AT52" s="1578">
        <v>732.2</v>
      </c>
      <c r="AU52" s="1621">
        <f t="shared" ref="AU52:AU54" si="31">SUM(AW52/AV52)</f>
        <v>5.0682433840383414</v>
      </c>
      <c r="AV52" s="1622">
        <v>191.96</v>
      </c>
      <c r="AW52" s="1578">
        <v>972.9</v>
      </c>
      <c r="AX52" s="1621">
        <f t="shared" ref="AX52:AX54" si="32">SUM(AL52*1.1)</f>
        <v>5.7505738247984111</v>
      </c>
      <c r="AY52" s="1618">
        <v>306.58</v>
      </c>
      <c r="AZ52" s="1579">
        <f t="shared" ref="AZ52:AZ54" si="33">SUM(AX52*AY52)</f>
        <v>1763.0109232066968</v>
      </c>
      <c r="BA52" s="1624">
        <f t="shared" si="5"/>
        <v>0.93462958390112882</v>
      </c>
      <c r="BB52" s="1635">
        <f>(AU71+AU71*1.06)/2</f>
        <v>5.5327159116268669</v>
      </c>
      <c r="BC52" s="1636">
        <f>BD60*BD62</f>
        <v>290.97012000000001</v>
      </c>
      <c r="BD52" s="1577">
        <f>BC52*BB52</f>
        <v>1609.8550127319788</v>
      </c>
      <c r="BE52" s="1635">
        <f t="shared" si="6"/>
        <v>-0.21785791317154413</v>
      </c>
      <c r="BF52" s="1637">
        <f t="shared" si="6"/>
        <v>-15.609879999999976</v>
      </c>
      <c r="BG52" s="1637">
        <f t="shared" si="6"/>
        <v>-153.15591047471798</v>
      </c>
      <c r="BH52" s="1637">
        <v>2.4750000000000001</v>
      </c>
      <c r="BI52" s="1636">
        <v>282.02999999999997</v>
      </c>
      <c r="BJ52" s="1577">
        <v>698.03</v>
      </c>
      <c r="BK52" s="1637">
        <v>2.4750000000000001</v>
      </c>
      <c r="BL52" s="1636">
        <f>BM60*BM62</f>
        <v>257.16516000000001</v>
      </c>
      <c r="BM52" s="1577">
        <f>BL52*BK52</f>
        <v>636.48377100000005</v>
      </c>
      <c r="BN52" s="1635">
        <f>BB52*1.066</f>
        <v>5.8978751617942402</v>
      </c>
      <c r="BO52" s="1636">
        <f>BP60*BP62</f>
        <v>290.97012000000001</v>
      </c>
      <c r="BP52" s="1577">
        <f>BO52*BN52</f>
        <v>1716.1054435722895</v>
      </c>
      <c r="BQ52" s="1635">
        <f t="shared" si="23"/>
        <v>-1603.9571375701846</v>
      </c>
      <c r="BR52" s="1637">
        <f t="shared" si="15"/>
        <v>291.18797791317155</v>
      </c>
      <c r="BS52" s="1637">
        <f t="shared" si="16"/>
        <v>1731.7153235722894</v>
      </c>
      <c r="BT52" s="1635">
        <f>BN52*1.067</f>
        <v>6.2930327976344538</v>
      </c>
      <c r="BU52" s="1636">
        <f>BV60*BV62</f>
        <v>290.97012000000001</v>
      </c>
      <c r="BV52" s="1577">
        <f>BU52*BT52</f>
        <v>1831.0845082916328</v>
      </c>
      <c r="BW52" s="1635">
        <f t="shared" si="17"/>
        <v>-1709.8124107746551</v>
      </c>
      <c r="BX52" s="1637">
        <f t="shared" si="18"/>
        <v>1894.9272575701846</v>
      </c>
      <c r="BY52" s="1637">
        <f t="shared" si="19"/>
        <v>1539.8965303784612</v>
      </c>
      <c r="BZ52" s="1637">
        <f>(5.46718+5.46718*1.07)/2</f>
        <v>5.6585312999999999</v>
      </c>
      <c r="CA52" s="1636">
        <f>CB60*CB62</f>
        <v>276.84300000000002</v>
      </c>
      <c r="CB52" s="1611">
        <f>CA52*BZ52</f>
        <v>1566.5247806859002</v>
      </c>
      <c r="CC52" s="2086"/>
      <c r="CD52" s="2086"/>
      <c r="CE52" s="1637">
        <v>5.9420000000000002</v>
      </c>
      <c r="CF52" s="1636">
        <v>351.62</v>
      </c>
      <c r="CG52" s="1611">
        <v>2089.2600000000002</v>
      </c>
      <c r="CH52" s="1637">
        <f>CE52</f>
        <v>5.9420000000000002</v>
      </c>
      <c r="CI52" s="1636">
        <f>CJ60*CJ62</f>
        <v>268.57488000000001</v>
      </c>
      <c r="CJ52" s="1611">
        <f t="shared" ref="CJ52" si="34">CI52*CH52</f>
        <v>1595.8719369600001</v>
      </c>
      <c r="CK52" s="1635">
        <f>BT52</f>
        <v>6.2930327976344538</v>
      </c>
      <c r="CL52" s="1635">
        <f t="shared" ref="CL52:CM54" si="35">BU52</f>
        <v>290.97012000000001</v>
      </c>
      <c r="CM52" s="1635">
        <f t="shared" si="35"/>
        <v>1831.0845082916328</v>
      </c>
      <c r="CN52" s="1635">
        <v>6.056</v>
      </c>
      <c r="CO52" s="1636">
        <f>CP60*CP62</f>
        <v>273.25200000000001</v>
      </c>
      <c r="CP52" s="1577">
        <f>CO52*CN52</f>
        <v>1654.814112</v>
      </c>
      <c r="CQ52" s="1635">
        <f>BZ52*1.07</f>
        <v>6.0546284909999999</v>
      </c>
      <c r="CR52" s="1636">
        <f>CS60*CS62</f>
        <v>272.91012000000001</v>
      </c>
      <c r="CS52" s="1577">
        <f>CR52*CQ52</f>
        <v>1652.3693880342289</v>
      </c>
    </row>
    <row r="53" spans="1:97" ht="30" customHeight="1" x14ac:dyDescent="0.2">
      <c r="A53" s="1620"/>
      <c r="B53" s="1617"/>
      <c r="C53" s="1617"/>
      <c r="D53" s="1617"/>
      <c r="E53" s="1617"/>
      <c r="F53" s="1617"/>
      <c r="G53" s="1617"/>
      <c r="H53" s="1617"/>
      <c r="I53" s="1617"/>
      <c r="J53" s="1617"/>
      <c r="K53" s="1621"/>
      <c r="L53" s="1622"/>
      <c r="M53" s="1578"/>
      <c r="N53" s="1622"/>
      <c r="O53" s="1621"/>
      <c r="P53" s="1623"/>
      <c r="Q53" s="1579"/>
      <c r="R53" s="1622"/>
      <c r="S53" s="1621"/>
      <c r="T53" s="1618"/>
      <c r="U53" s="1622"/>
      <c r="V53" s="1618"/>
      <c r="W53" s="1622"/>
      <c r="X53" s="1621"/>
      <c r="Y53" s="1622"/>
      <c r="Z53" s="1578"/>
      <c r="AA53" s="1622"/>
      <c r="AB53" s="1621"/>
      <c r="AC53" s="1622"/>
      <c r="AD53" s="1578"/>
      <c r="AE53" s="1618"/>
      <c r="AF53" s="1618"/>
      <c r="AG53" s="1579"/>
      <c r="AH53" s="1621"/>
      <c r="AI53" s="1622"/>
      <c r="AJ53" s="1578"/>
      <c r="AK53" s="1622"/>
      <c r="AL53" s="1621"/>
      <c r="AM53" s="1623"/>
      <c r="AN53" s="1579"/>
      <c r="AO53" s="1621"/>
      <c r="AP53" s="1618"/>
      <c r="AQ53" s="1618"/>
      <c r="AR53" s="1621"/>
      <c r="AS53" s="1622"/>
      <c r="AT53" s="1578">
        <v>132.9</v>
      </c>
      <c r="AU53" s="1621"/>
      <c r="AV53" s="1622"/>
      <c r="AW53" s="1578">
        <v>205.9</v>
      </c>
      <c r="AX53" s="1621"/>
      <c r="AY53" s="1618"/>
      <c r="AZ53" s="1579"/>
      <c r="BA53" s="1624"/>
      <c r="BB53" s="1635"/>
      <c r="BC53" s="1636"/>
      <c r="BD53" s="1577"/>
      <c r="BE53" s="1635"/>
      <c r="BF53" s="1637"/>
      <c r="BG53" s="1637"/>
      <c r="BH53" s="1637"/>
      <c r="BI53" s="1636"/>
      <c r="BJ53" s="1577"/>
      <c r="BK53" s="1637"/>
      <c r="BL53" s="1636"/>
      <c r="BM53" s="1577"/>
      <c r="BN53" s="1635"/>
      <c r="BO53" s="1636"/>
      <c r="BP53" s="1577"/>
      <c r="BQ53" s="1635"/>
      <c r="BR53" s="1637"/>
      <c r="BS53" s="1637"/>
      <c r="BT53" s="1635"/>
      <c r="BU53" s="1636"/>
      <c r="BV53" s="1577"/>
      <c r="BW53" s="1635"/>
      <c r="BX53" s="1637"/>
      <c r="BY53" s="1637"/>
      <c r="BZ53" s="1635"/>
      <c r="CA53" s="1636"/>
      <c r="CB53" s="1611"/>
      <c r="CC53" s="2086"/>
      <c r="CD53" s="2086"/>
      <c r="CE53" s="1635"/>
      <c r="CF53" s="1636"/>
      <c r="CG53" s="1611"/>
      <c r="CH53" s="1635"/>
      <c r="CI53" s="1636"/>
      <c r="CJ53" s="1611"/>
      <c r="CK53" s="1635"/>
      <c r="CL53" s="1635"/>
      <c r="CM53" s="1635"/>
      <c r="CN53" s="1635"/>
      <c r="CO53" s="1636"/>
      <c r="CP53" s="1577"/>
      <c r="CQ53" s="1635"/>
      <c r="CR53" s="1636"/>
      <c r="CS53" s="1577"/>
    </row>
    <row r="54" spans="1:97" ht="30" customHeight="1" x14ac:dyDescent="0.2">
      <c r="A54" s="1620" t="s">
        <v>135</v>
      </c>
      <c r="B54" s="1617"/>
      <c r="C54" s="1617"/>
      <c r="D54" s="1617"/>
      <c r="E54" s="1617"/>
      <c r="F54" s="1617"/>
      <c r="G54" s="1617"/>
      <c r="H54" s="1617"/>
      <c r="I54" s="1617"/>
      <c r="J54" s="1617"/>
      <c r="K54" s="1621">
        <v>4.2300000000000004</v>
      </c>
      <c r="L54" s="1622">
        <v>2282.1999999999998</v>
      </c>
      <c r="M54" s="1578">
        <v>9664.7999999999993</v>
      </c>
      <c r="N54" s="1622">
        <f>K54*M54</f>
        <v>40882.103999999999</v>
      </c>
      <c r="O54" s="1621">
        <v>4.3</v>
      </c>
      <c r="P54" s="1623">
        <f>Q60*Q63</f>
        <v>1439.1333261085247</v>
      </c>
      <c r="Q54" s="1579">
        <f>O54*P54</f>
        <v>6188.2733022666562</v>
      </c>
      <c r="R54" s="1622"/>
      <c r="S54" s="1621">
        <f t="shared" si="22"/>
        <v>6.9999999999999396E-2</v>
      </c>
      <c r="T54" s="1618">
        <f t="shared" si="22"/>
        <v>-843.06667389147515</v>
      </c>
      <c r="U54" s="1622"/>
      <c r="V54" s="1618">
        <f t="shared" si="14"/>
        <v>-3476.5266977333431</v>
      </c>
      <c r="W54" s="1622"/>
      <c r="X54" s="1621">
        <v>3.7764000000000002</v>
      </c>
      <c r="Y54" s="1622">
        <v>940.27</v>
      </c>
      <c r="Z54" s="1578">
        <v>3550.8</v>
      </c>
      <c r="AA54" s="1622">
        <f>X54*Z54</f>
        <v>13409.241120000001</v>
      </c>
      <c r="AB54" s="1621">
        <f t="shared" si="3"/>
        <v>3.8226634015509302</v>
      </c>
      <c r="AC54" s="1622">
        <v>1372.08</v>
      </c>
      <c r="AD54" s="1578">
        <v>5245</v>
      </c>
      <c r="AE54" s="1618">
        <f>SUM(AG54/AF54)</f>
        <v>3.8318886233811065</v>
      </c>
      <c r="AF54" s="1618">
        <v>1853.89</v>
      </c>
      <c r="AG54" s="1579">
        <v>7103.9</v>
      </c>
      <c r="AH54" s="1621">
        <v>4.5199999999999996</v>
      </c>
      <c r="AI54" s="1622">
        <v>2282.1999999999998</v>
      </c>
      <c r="AJ54" s="1578">
        <v>9664.7999999999993</v>
      </c>
      <c r="AK54" s="1622"/>
      <c r="AL54" s="1621">
        <f>K79*1.028</f>
        <v>4.0333424422778537</v>
      </c>
      <c r="AM54" s="1623">
        <f>AN60*AN63</f>
        <v>1428.1616341295885</v>
      </c>
      <c r="AN54" s="1579">
        <f>AL54*AM54</f>
        <v>5760.2649333677646</v>
      </c>
      <c r="AO54" s="1621">
        <f t="shared" si="4"/>
        <v>-0.48665755772214592</v>
      </c>
      <c r="AP54" s="1618">
        <f t="shared" si="4"/>
        <v>-854.03836587041133</v>
      </c>
      <c r="AQ54" s="1618">
        <f t="shared" si="4"/>
        <v>-3904.5350666322347</v>
      </c>
      <c r="AR54" s="1621">
        <f t="shared" si="30"/>
        <v>3.6631900547829748</v>
      </c>
      <c r="AS54" s="1622">
        <v>949.2</v>
      </c>
      <c r="AT54" s="1578">
        <v>3477.1</v>
      </c>
      <c r="AU54" s="1621">
        <f t="shared" si="31"/>
        <v>3.7705916930708683</v>
      </c>
      <c r="AV54" s="1622">
        <v>1394.98</v>
      </c>
      <c r="AW54" s="1578">
        <v>5259.9</v>
      </c>
      <c r="AX54" s="1621">
        <f t="shared" si="32"/>
        <v>4.4366766865056393</v>
      </c>
      <c r="AY54" s="1618">
        <v>1853.89</v>
      </c>
      <c r="AZ54" s="1579">
        <f t="shared" si="33"/>
        <v>8225.1105423459394</v>
      </c>
      <c r="BA54" s="1624">
        <f t="shared" si="5"/>
        <v>1.4279049032449784</v>
      </c>
      <c r="BB54" s="1635">
        <f>(AU73+AU73*1.06)/2</f>
        <v>4.1192606218313967</v>
      </c>
      <c r="BC54" s="1636">
        <f>BD60*BD63</f>
        <v>1454.8506</v>
      </c>
      <c r="BD54" s="1577">
        <f>BC54*BB54</f>
        <v>5992.9087872277805</v>
      </c>
      <c r="BE54" s="1635">
        <f t="shared" si="6"/>
        <v>-0.31741606467424255</v>
      </c>
      <c r="BF54" s="1637">
        <f t="shared" si="6"/>
        <v>-399.03940000000011</v>
      </c>
      <c r="BG54" s="1637">
        <f t="shared" si="6"/>
        <v>-2232.2017551181589</v>
      </c>
      <c r="BH54" s="1637">
        <v>5.0460000000000003</v>
      </c>
      <c r="BI54" s="1636">
        <v>1842.45</v>
      </c>
      <c r="BJ54" s="1577">
        <v>9297.2000000000007</v>
      </c>
      <c r="BK54" s="1637">
        <v>5.0460000000000003</v>
      </c>
      <c r="BL54" s="1636">
        <f>BM60*BM63</f>
        <v>1285.8258000000001</v>
      </c>
      <c r="BM54" s="1577">
        <f>BL54*BK54</f>
        <v>6488.2769868000005</v>
      </c>
      <c r="BN54" s="1635">
        <f>BB54*1.066</f>
        <v>4.3911318228722696</v>
      </c>
      <c r="BO54" s="1636">
        <f>BP60*BP63</f>
        <v>1454.8506</v>
      </c>
      <c r="BP54" s="1577">
        <f>BO54*BN54</f>
        <v>6388.4407671848148</v>
      </c>
      <c r="BQ54" s="1635">
        <f t="shared" ref="BQ54" si="36">BN54-BD54</f>
        <v>-5988.5176554049085</v>
      </c>
      <c r="BR54" s="1637">
        <f t="shared" ref="BR54" si="37">BO54-BE54</f>
        <v>1455.1680160646742</v>
      </c>
      <c r="BS54" s="1637">
        <f t="shared" ref="BS54" si="38">BP54-BF54</f>
        <v>6787.4801671848145</v>
      </c>
      <c r="BT54" s="1635">
        <f>BN54*1.067</f>
        <v>4.6853376550047114</v>
      </c>
      <c r="BU54" s="1636">
        <f>BV60*BV63</f>
        <v>1454.8506</v>
      </c>
      <c r="BV54" s="1577">
        <f>BU54*BT54</f>
        <v>6816.4662985861978</v>
      </c>
      <c r="BW54" s="1635">
        <f t="shared" ref="BW54" si="39">BT54-BP54</f>
        <v>-6383.7554295298105</v>
      </c>
      <c r="BX54" s="1637">
        <f t="shared" ref="BX54" si="40">BU54-BQ54</f>
        <v>7443.3682554049083</v>
      </c>
      <c r="BY54" s="1637">
        <f t="shared" ref="BY54" si="41">BV54-BR54</f>
        <v>5361.298282521524</v>
      </c>
      <c r="BZ54" s="1637">
        <f>(4.167+4.167*1.07)/2</f>
        <v>4.3128449999999994</v>
      </c>
      <c r="CA54" s="1636">
        <f>CB60*CB63</f>
        <v>1384.2149999999999</v>
      </c>
      <c r="CB54" s="1611">
        <f>CA54*BZ54</f>
        <v>5969.9047416749991</v>
      </c>
      <c r="CC54" s="2086"/>
      <c r="CD54" s="2086"/>
      <c r="CE54" s="1637">
        <v>4.5279999999999996</v>
      </c>
      <c r="CF54" s="1636">
        <v>2009.07</v>
      </c>
      <c r="CG54" s="1611">
        <v>9097.44</v>
      </c>
      <c r="CH54" s="1637">
        <f>CE54</f>
        <v>4.5279999999999996</v>
      </c>
      <c r="CI54" s="1636">
        <f>CJ60*CJ63</f>
        <v>1342.8743999999999</v>
      </c>
      <c r="CJ54" s="1611">
        <f t="shared" ref="CJ54" si="42">CI54*CH54</f>
        <v>6080.535283199999</v>
      </c>
      <c r="CK54" s="1635">
        <f t="shared" ref="CK54" si="43">BT54</f>
        <v>4.6853376550047114</v>
      </c>
      <c r="CL54" s="1635">
        <f t="shared" si="35"/>
        <v>1454.8506</v>
      </c>
      <c r="CM54" s="1635">
        <f t="shared" si="35"/>
        <v>6816.4662985861978</v>
      </c>
      <c r="CN54" s="1635">
        <v>4.6150000000000002</v>
      </c>
      <c r="CO54" s="1636">
        <f>CP60*CP63</f>
        <v>1366.26</v>
      </c>
      <c r="CP54" s="1577">
        <f>CO54*CN54</f>
        <v>6305.2899000000007</v>
      </c>
      <c r="CQ54" s="1635">
        <f>BZ54*1.07</f>
        <v>4.6147441499999999</v>
      </c>
      <c r="CR54" s="1636">
        <f>CS60*CS63</f>
        <v>1364.5505999999998</v>
      </c>
      <c r="CS54" s="1577">
        <f>CR54*CQ54</f>
        <v>6297.0518987289888</v>
      </c>
    </row>
    <row r="55" spans="1:97" ht="30" customHeight="1" x14ac:dyDescent="0.2">
      <c r="A55" s="1625" t="s">
        <v>136</v>
      </c>
      <c r="B55" s="1617"/>
      <c r="C55" s="1617"/>
      <c r="D55" s="1617"/>
      <c r="E55" s="1617"/>
      <c r="F55" s="1617"/>
      <c r="G55" s="1617"/>
      <c r="H55" s="1617"/>
      <c r="I55" s="1617"/>
      <c r="J55" s="1617"/>
      <c r="K55" s="1626">
        <f>M55/L55</f>
        <v>4.4590298507462682</v>
      </c>
      <c r="L55" s="1610">
        <f>SUM(L52:L54)</f>
        <v>2680</v>
      </c>
      <c r="M55" s="1610">
        <f>SUM(M52:M54)</f>
        <v>11950.199999999999</v>
      </c>
      <c r="N55" s="1610">
        <f>SUM(N52:N54)</f>
        <v>54023.154000000002</v>
      </c>
      <c r="O55" s="1626">
        <f>Q55/P55</f>
        <v>4.5682510642446301</v>
      </c>
      <c r="P55" s="1610">
        <f>SUM(P52:P54)</f>
        <v>1802.7306261085246</v>
      </c>
      <c r="Q55" s="1610">
        <f>SUM(Q52:Q54)</f>
        <v>8235.3261012666553</v>
      </c>
      <c r="R55" s="1627"/>
      <c r="S55" s="1626">
        <f>O55-K55</f>
        <v>0.10922121349836189</v>
      </c>
      <c r="T55" s="1629">
        <f>P55-L55</f>
        <v>-877.26937389147542</v>
      </c>
      <c r="U55" s="1629">
        <f>P55-L55</f>
        <v>-877.26937389147542</v>
      </c>
      <c r="V55" s="1629">
        <f t="shared" si="14"/>
        <v>-3714.8738987333436</v>
      </c>
      <c r="W55" s="1627"/>
      <c r="X55" s="1626">
        <f>Z55/Y55</f>
        <v>3.9546931026444145</v>
      </c>
      <c r="Y55" s="1610">
        <f>SUM(Y52:Y54)</f>
        <v>1102.4369999999999</v>
      </c>
      <c r="Z55" s="1610">
        <f>SUM(Z52:Z54)</f>
        <v>4359.8</v>
      </c>
      <c r="AA55" s="1610">
        <f>SUM(AA52:AA54)</f>
        <v>17445.099419999999</v>
      </c>
      <c r="AB55" s="1626">
        <f t="shared" si="3"/>
        <v>3.9900885266237713</v>
      </c>
      <c r="AC55" s="1610">
        <f>SUM(AC52:AC54)</f>
        <v>1596.1299999999999</v>
      </c>
      <c r="AD55" s="1610">
        <f>SUM(AD52:AD54)</f>
        <v>6368.7</v>
      </c>
      <c r="AE55" s="1626">
        <f>AG55/AF55</f>
        <v>4.0021384235837569</v>
      </c>
      <c r="AF55" s="1610">
        <f>SUM(AF52:AF54)</f>
        <v>2160.4700000000003</v>
      </c>
      <c r="AG55" s="1610">
        <f>SUM(AG52:AG54)</f>
        <v>8646.5</v>
      </c>
      <c r="AH55" s="1626">
        <f>AJ55/AI55</f>
        <v>4.4590298507462682</v>
      </c>
      <c r="AI55" s="1610">
        <f>SUM(AI52:AI54)</f>
        <v>2680</v>
      </c>
      <c r="AJ55" s="1610">
        <f>SUM(AJ52:AJ54)</f>
        <v>11950.199999999999</v>
      </c>
      <c r="AK55" s="1610"/>
      <c r="AL55" s="1626">
        <f>AN55/AM55</f>
        <v>4.2742544762183936</v>
      </c>
      <c r="AM55" s="1610">
        <f>SUM(AM52:AM54)</f>
        <v>1788.9869341295885</v>
      </c>
      <c r="AN55" s="1610">
        <f>SUM(AN52:AN54)</f>
        <v>7646.5854110996133</v>
      </c>
      <c r="AO55" s="1626">
        <f>AL55-AH55</f>
        <v>-0.18477537452787463</v>
      </c>
      <c r="AP55" s="1629">
        <f>AM55-AI55</f>
        <v>-891.01306587041154</v>
      </c>
      <c r="AQ55" s="1629">
        <f>AN55-AJ55</f>
        <v>-4303.6145889003856</v>
      </c>
      <c r="AR55" s="1626">
        <f>AT55/AS55</f>
        <v>3.9605965248323978</v>
      </c>
      <c r="AS55" s="1610">
        <f>SUM(AS52:AS54)</f>
        <v>1096.3500000000001</v>
      </c>
      <c r="AT55" s="1610">
        <f>SUM(AT52:AT54)</f>
        <v>4342.2</v>
      </c>
      <c r="AU55" s="1626">
        <f>AW55/AV55</f>
        <v>4.0573052541368924</v>
      </c>
      <c r="AV55" s="1610">
        <f>SUM(AV52:AV54)</f>
        <v>1586.94</v>
      </c>
      <c r="AW55" s="1610">
        <f>SUM(AW52:AW54)</f>
        <v>6438.7</v>
      </c>
      <c r="AX55" s="1626">
        <f>AZ55/AY55</f>
        <v>4.6231243505129136</v>
      </c>
      <c r="AY55" s="1610">
        <f>SUM(AY52:AY54)</f>
        <v>2160.4700000000003</v>
      </c>
      <c r="AZ55" s="1610">
        <f>SUM(AZ52:AZ54)</f>
        <v>9988.1214655526364</v>
      </c>
      <c r="BA55" s="1624">
        <f t="shared" si="5"/>
        <v>1.3062198260486442</v>
      </c>
      <c r="BB55" s="1581">
        <f>BD55/BC55</f>
        <v>4.3548365034639751</v>
      </c>
      <c r="BC55" s="1638">
        <f>SUM(BC52:BC54)</f>
        <v>1745.8207199999999</v>
      </c>
      <c r="BD55" s="1638">
        <f>SUM(BD52:BD54)</f>
        <v>7602.7637999597591</v>
      </c>
      <c r="BE55" s="1581">
        <f>BB55-AX55</f>
        <v>-0.26828784704893849</v>
      </c>
      <c r="BF55" s="1640">
        <f>BC55-AY55</f>
        <v>-414.64928000000032</v>
      </c>
      <c r="BG55" s="1640">
        <f>BD55-AZ55</f>
        <v>-2385.3576655928773</v>
      </c>
      <c r="BH55" s="1640"/>
      <c r="BI55" s="1638">
        <f>SUM(BI52:BI54)</f>
        <v>2124.48</v>
      </c>
      <c r="BJ55" s="1638">
        <f>SUM(BJ52:BJ54)</f>
        <v>9995.2300000000014</v>
      </c>
      <c r="BK55" s="1640"/>
      <c r="BL55" s="1638">
        <f>SUM(BL52:BL54)</f>
        <v>1542.9909600000001</v>
      </c>
      <c r="BM55" s="1638">
        <f>SUM(BM52:BM54)</f>
        <v>7124.7607578000006</v>
      </c>
      <c r="BN55" s="1581">
        <f>BP55/BO55</f>
        <v>4.6422557126925978</v>
      </c>
      <c r="BO55" s="1638">
        <f>SUM(BO52:BO54)</f>
        <v>1745.8207199999999</v>
      </c>
      <c r="BP55" s="1638">
        <f>SUM(BP52:BP54)</f>
        <v>8104.5462107571038</v>
      </c>
      <c r="BQ55" s="1581">
        <f>BN55-BD55</f>
        <v>-7598.1215442470666</v>
      </c>
      <c r="BR55" s="1640">
        <f>BO55-BE55</f>
        <v>1746.0890078470488</v>
      </c>
      <c r="BS55" s="1640">
        <f>BP55-BF55</f>
        <v>8519.1954907571035</v>
      </c>
      <c r="BT55" s="1581">
        <f>BV55/BU55</f>
        <v>4.9532868454430021</v>
      </c>
      <c r="BU55" s="1638">
        <f>SUM(BU52:BU54)</f>
        <v>1745.8207199999999</v>
      </c>
      <c r="BV55" s="1638">
        <f>SUM(BV52:BV54)</f>
        <v>8647.5508068778308</v>
      </c>
      <c r="BW55" s="1581">
        <f>BT55-BP55</f>
        <v>-8099.5929239116613</v>
      </c>
      <c r="BX55" s="1640">
        <f>BU55-BQ55</f>
        <v>9343.9422642470672</v>
      </c>
      <c r="BY55" s="1640">
        <f>BV55-BR55</f>
        <v>6901.4617990307815</v>
      </c>
      <c r="BZ55" s="1581">
        <f>CB55/CA55</f>
        <v>4.5371260499999995</v>
      </c>
      <c r="CA55" s="1638">
        <f>SUM(CA52:CA54)</f>
        <v>1661.058</v>
      </c>
      <c r="CB55" s="1638">
        <f>SUM(CB52:CB54)</f>
        <v>7536.4295223608988</v>
      </c>
      <c r="CC55" s="2086"/>
      <c r="CD55" s="2086"/>
      <c r="CE55" s="1581">
        <f t="shared" ref="CE55" si="44">CG55/CF55</f>
        <v>4.7387416390970438</v>
      </c>
      <c r="CF55" s="1638">
        <f t="shared" ref="CF55:CG55" si="45">SUM(CF52:CF54)</f>
        <v>2360.69</v>
      </c>
      <c r="CG55" s="1638">
        <f t="shared" si="45"/>
        <v>11186.7</v>
      </c>
      <c r="CH55" s="1581">
        <f t="shared" ref="CH55" si="46">CJ55/CI55</f>
        <v>4.7636666666666665</v>
      </c>
      <c r="CI55" s="1638">
        <f t="shared" ref="CI55:CJ55" si="47">SUM(CI52:CI54)</f>
        <v>1611.4492799999998</v>
      </c>
      <c r="CJ55" s="1638">
        <f t="shared" si="47"/>
        <v>7676.4072201599993</v>
      </c>
      <c r="CK55" s="1581">
        <f>CM55/CL55</f>
        <v>4.9532868454430021</v>
      </c>
      <c r="CL55" s="1638">
        <f>SUM(CL52:CL54)</f>
        <v>1745.8207199999999</v>
      </c>
      <c r="CM55" s="1638">
        <f>SUM(CM52:CM54)</f>
        <v>8647.5508068778308</v>
      </c>
      <c r="CN55" s="1581">
        <f>CP55/CO55</f>
        <v>4.8551666666666673</v>
      </c>
      <c r="CO55" s="1638">
        <f>SUM(CO52:CO54)</f>
        <v>1639.5119999999999</v>
      </c>
      <c r="CP55" s="1638">
        <f>SUM(CP52:CP54)</f>
        <v>7960.1040120000007</v>
      </c>
      <c r="CQ55" s="1581">
        <f>CS55/CR55</f>
        <v>4.8547248734999995</v>
      </c>
      <c r="CR55" s="1638">
        <f>SUM(CR52:CR54)</f>
        <v>1637.4607199999998</v>
      </c>
      <c r="CS55" s="1638">
        <f>SUM(CS52:CS54)</f>
        <v>7949.4212867632177</v>
      </c>
    </row>
    <row r="56" spans="1:97" ht="40.5" customHeight="1" x14ac:dyDescent="0.2">
      <c r="A56" s="1630" t="s">
        <v>137</v>
      </c>
      <c r="B56" s="1617"/>
      <c r="C56" s="1617"/>
      <c r="D56" s="1617"/>
      <c r="E56" s="1617"/>
      <c r="F56" s="1617"/>
      <c r="G56" s="1617"/>
      <c r="H56" s="1617"/>
      <c r="I56" s="1617"/>
      <c r="J56" s="1617"/>
      <c r="K56" s="1578"/>
      <c r="L56" s="1578"/>
      <c r="M56" s="1579">
        <f>'объемы ВС и ВО 2023'!E39</f>
        <v>5875</v>
      </c>
      <c r="N56" s="1578"/>
      <c r="O56" s="1578"/>
      <c r="P56" s="1578"/>
      <c r="Q56" s="1579" t="e">
        <f>'объемы ВС и ВО 2023'!G39</f>
        <v>#REF!</v>
      </c>
      <c r="R56" s="1578"/>
      <c r="S56" s="1621"/>
      <c r="T56" s="1618"/>
      <c r="U56" s="1578"/>
      <c r="V56" s="1618" t="e">
        <f t="shared" si="14"/>
        <v>#REF!</v>
      </c>
      <c r="W56" s="1578"/>
      <c r="X56" s="1631"/>
      <c r="Y56" s="1631"/>
      <c r="Z56" s="1579">
        <v>3493.3</v>
      </c>
      <c r="AA56" s="1578"/>
      <c r="AB56" s="1578"/>
      <c r="AC56" s="1578"/>
      <c r="AD56" s="1579">
        <v>5158</v>
      </c>
      <c r="AE56" s="1578"/>
      <c r="AF56" s="1578"/>
      <c r="AG56" s="1579">
        <f>SUM('объемы ВС и ВО 2023'!K39)</f>
        <v>6977.9000000000005</v>
      </c>
      <c r="AH56" s="1578"/>
      <c r="AI56" s="1578"/>
      <c r="AJ56" s="1579">
        <f>SUM('объемы ВС и ВО 2023'!L39)</f>
        <v>5800.03</v>
      </c>
      <c r="AK56" s="1578"/>
      <c r="AL56" s="1578"/>
      <c r="AM56" s="1578"/>
      <c r="AN56" s="1579">
        <f>SUM('объемы ВС и ВО 2023'!M39)</f>
        <v>5561.39</v>
      </c>
      <c r="AO56" s="1578"/>
      <c r="AP56" s="1621"/>
      <c r="AQ56" s="1618">
        <f t="shared" ref="AQ56:AQ63" si="48">AN56-AJ56</f>
        <v>-238.63999999999942</v>
      </c>
      <c r="AR56" s="1578"/>
      <c r="AS56" s="1578"/>
      <c r="AT56" s="1579">
        <f>SUM('объемы ВС и ВО 2023'!P39)</f>
        <v>3367.79</v>
      </c>
      <c r="AU56" s="1578"/>
      <c r="AV56" s="1578"/>
      <c r="AW56" s="1579">
        <f>'объемы ВС и ВО 2023'!R39+'объемы ВС и ВО 2023'!S39</f>
        <v>6716.13</v>
      </c>
      <c r="AX56" s="1578"/>
      <c r="AY56" s="1578"/>
      <c r="AZ56" s="1579">
        <f>SUM('объемы ВС и ВО 2023'!T39)</f>
        <v>5779.357</v>
      </c>
      <c r="BA56" s="1624">
        <f t="shared" si="5"/>
        <v>1.0391928996168223</v>
      </c>
      <c r="BB56" s="1578"/>
      <c r="BC56" s="1578"/>
      <c r="BD56" s="1579">
        <f>SUM('объемы ВС и ВО 2023'!AA39:AB39)</f>
        <v>5675.7370000000001</v>
      </c>
      <c r="BE56" s="1578"/>
      <c r="BF56" s="1621"/>
      <c r="BG56" s="1618">
        <f t="shared" ref="BG56:BG63" si="49">BD56-AZ56</f>
        <v>-103.61999999999989</v>
      </c>
      <c r="BH56" s="1888"/>
      <c r="BI56" s="1888"/>
      <c r="BJ56" s="1579">
        <f>'объемы ВС и ВО 2023'!W39+'объемы ВС и ВО 2023'!X39</f>
        <v>6332.0300000000007</v>
      </c>
      <c r="BK56" s="1888"/>
      <c r="BL56" s="1888"/>
      <c r="BM56" s="1579">
        <f>'объемы ВС и ВО 2023'!Y39+'объемы ВС и ВО 2023'!Z39</f>
        <v>5629.6590286425908</v>
      </c>
      <c r="BN56" s="1578"/>
      <c r="BO56" s="1578"/>
      <c r="BP56" s="1579">
        <f>'объемы ВС и ВО 2023'!AE39+'объемы ВС и ВО 2023'!AF39</f>
        <v>5560.4</v>
      </c>
      <c r="BQ56" s="1578"/>
      <c r="BR56" s="1621"/>
      <c r="BS56" s="2071">
        <f t="shared" ref="BS56:BS63" si="50">BP56-BF56</f>
        <v>5560.4</v>
      </c>
      <c r="BT56" s="1578"/>
      <c r="BU56" s="1578"/>
      <c r="BV56" s="1579">
        <f>BP56</f>
        <v>5560.4</v>
      </c>
      <c r="BW56" s="1578"/>
      <c r="BX56" s="1621"/>
      <c r="BY56" s="2071">
        <f t="shared" ref="BY56:BY63" si="51">BV56-BR56</f>
        <v>5560.4</v>
      </c>
      <c r="BZ56" s="1578"/>
      <c r="CA56" s="1578"/>
      <c r="CB56" s="1579">
        <f>'объемы ВС и ВО 2023'!AJ39+'объемы ВС и ВО 2023'!AK39</f>
        <v>5570.6852214411947</v>
      </c>
      <c r="CC56" s="2089">
        <f>'объемы ВС и ВО 2023'!AJ39</f>
        <v>5550.3362214411945</v>
      </c>
      <c r="CD56" s="2089">
        <f>'объемы ВС и ВО 2023'!AK39</f>
        <v>20.349</v>
      </c>
      <c r="CE56" s="1578"/>
      <c r="CF56" s="1578"/>
      <c r="CG56" s="1579">
        <f>'объемы ВС и ВО 2023'!AN39+'объемы ВС и ВО 2023'!AO39</f>
        <v>6767.77</v>
      </c>
      <c r="CH56" s="1578"/>
      <c r="CI56" s="1578"/>
      <c r="CJ56" s="1579">
        <f>'объемы ВС и ВО 2023'!AP39+'объемы ВС и ВО 2023'!AQ39</f>
        <v>5957.5174595267745</v>
      </c>
      <c r="CK56" s="1578"/>
      <c r="CL56" s="1578"/>
      <c r="CM56" s="1579">
        <f>BV56</f>
        <v>5560.4</v>
      </c>
      <c r="CN56" s="1578"/>
      <c r="CO56" s="1578"/>
      <c r="CP56" s="1579">
        <v>5570</v>
      </c>
      <c r="CQ56" s="1578"/>
      <c r="CR56" s="1578"/>
      <c r="CS56" s="1579">
        <f>'объемы ВС и ВО 2023'!AR39+'объемы ВС и ВО 2023'!AS39</f>
        <v>5326.2811437166174</v>
      </c>
    </row>
    <row r="57" spans="1:97" ht="45" customHeight="1" x14ac:dyDescent="0.2">
      <c r="A57" s="1632" t="s">
        <v>138</v>
      </c>
      <c r="B57" s="1617"/>
      <c r="C57" s="1617"/>
      <c r="D57" s="1617"/>
      <c r="E57" s="1617"/>
      <c r="F57" s="1617"/>
      <c r="G57" s="1617"/>
      <c r="H57" s="1617"/>
      <c r="I57" s="1617"/>
      <c r="J57" s="1617"/>
      <c r="K57" s="1578"/>
      <c r="L57" s="1578"/>
      <c r="M57" s="1621">
        <f>L48/M56</f>
        <v>0.18573617021276598</v>
      </c>
      <c r="N57" s="1578"/>
      <c r="O57" s="1578"/>
      <c r="P57" s="1578"/>
      <c r="Q57" s="1621">
        <f>AH20</f>
        <v>0.14554379746835441</v>
      </c>
      <c r="R57" s="1578"/>
      <c r="S57" s="1621"/>
      <c r="T57" s="1618"/>
      <c r="U57" s="1578"/>
      <c r="V57" s="1621">
        <f t="shared" si="14"/>
        <v>-4.0192372744411564E-2</v>
      </c>
      <c r="W57" s="1578"/>
      <c r="X57" s="1631"/>
      <c r="Y57" s="1631"/>
      <c r="Z57" s="1621">
        <f>Y48/Z56</f>
        <v>0.14465748718976326</v>
      </c>
      <c r="AA57" s="1578"/>
      <c r="AB57" s="1578"/>
      <c r="AC57" s="1578"/>
      <c r="AD57" s="1621">
        <f>AC48/AD56</f>
        <v>0.13366227219852655</v>
      </c>
      <c r="AE57" s="1578"/>
      <c r="AF57" s="1578"/>
      <c r="AG57" s="1621">
        <f>AF48/AG56</f>
        <v>0.1305331116811648</v>
      </c>
      <c r="AH57" s="1578"/>
      <c r="AI57" s="1578"/>
      <c r="AJ57" s="1621">
        <f>AI48/AJ56</f>
        <v>0.14599924483149224</v>
      </c>
      <c r="AK57" s="1578"/>
      <c r="AL57" s="1578"/>
      <c r="AM57" s="1578"/>
      <c r="AN57" s="1621">
        <f>AP20</f>
        <v>0.15880621825734828</v>
      </c>
      <c r="AO57" s="1578"/>
      <c r="AP57" s="1621"/>
      <c r="AQ57" s="1621">
        <f t="shared" si="48"/>
        <v>1.2806973425856044E-2</v>
      </c>
      <c r="AR57" s="1578"/>
      <c r="AS57" s="1578"/>
      <c r="AT57" s="1621">
        <f>AS48/AT56</f>
        <v>0.12322324135412244</v>
      </c>
      <c r="AU57" s="1578"/>
      <c r="AV57" s="1578"/>
      <c r="AW57" s="1621">
        <f>AV48/AW56</f>
        <v>8.1329128530865241E-2</v>
      </c>
      <c r="AX57" s="1578"/>
      <c r="AY57" s="1578"/>
      <c r="AZ57" s="1621">
        <f>AY48/AZ56</f>
        <v>0.15760403795785588</v>
      </c>
      <c r="BA57" s="1624">
        <f t="shared" si="5"/>
        <v>0.99242989152008998</v>
      </c>
      <c r="BB57" s="1580"/>
      <c r="BC57" s="1580"/>
      <c r="BD57" s="1635">
        <v>0.124</v>
      </c>
      <c r="BE57" s="1580"/>
      <c r="BF57" s="1635"/>
      <c r="BG57" s="1635">
        <f t="shared" si="49"/>
        <v>-3.3604037957855881E-2</v>
      </c>
      <c r="BH57" s="1635"/>
      <c r="BI57" s="1635"/>
      <c r="BJ57" s="1635">
        <v>0.125</v>
      </c>
      <c r="BK57" s="1635"/>
      <c r="BL57" s="1635"/>
      <c r="BM57" s="1635">
        <v>0.124</v>
      </c>
      <c r="BN57" s="1580"/>
      <c r="BO57" s="1580"/>
      <c r="BP57" s="1635">
        <v>0.124</v>
      </c>
      <c r="BQ57" s="1580"/>
      <c r="BR57" s="1635"/>
      <c r="BS57" s="1635">
        <f t="shared" si="50"/>
        <v>0.124</v>
      </c>
      <c r="BT57" s="1580"/>
      <c r="BU57" s="1580"/>
      <c r="BV57" s="1635">
        <v>0.124</v>
      </c>
      <c r="BW57" s="1580"/>
      <c r="BX57" s="1635"/>
      <c r="BY57" s="1635">
        <f t="shared" si="51"/>
        <v>0.124</v>
      </c>
      <c r="BZ57" s="1580"/>
      <c r="CA57" s="1580"/>
      <c r="CB57" s="1635">
        <v>0.124</v>
      </c>
      <c r="CC57" s="2090">
        <f>CC56/(CC56+CD56)</f>
        <v>0.99634712801188652</v>
      </c>
      <c r="CD57" s="2090">
        <f>CD56/(CC56+CD56)</f>
        <v>3.6528719881134299E-3</v>
      </c>
      <c r="CE57" s="1580"/>
      <c r="CF57" s="1580"/>
      <c r="CG57" s="1635">
        <f>CF48/CG56</f>
        <v>0.13026742930093663</v>
      </c>
      <c r="CH57" s="1580"/>
      <c r="CI57" s="1580"/>
      <c r="CJ57" s="1635">
        <v>0.124</v>
      </c>
      <c r="CK57" s="1580"/>
      <c r="CL57" s="1580"/>
      <c r="CM57" s="1635">
        <v>0.124</v>
      </c>
      <c r="CN57" s="1580"/>
      <c r="CO57" s="1580"/>
      <c r="CP57" s="1635">
        <v>0.124</v>
      </c>
      <c r="CQ57" s="1580"/>
      <c r="CR57" s="1580"/>
      <c r="CS57" s="1635">
        <v>0.124</v>
      </c>
    </row>
    <row r="58" spans="1:97" ht="45.75" customHeight="1" x14ac:dyDescent="0.2">
      <c r="A58" s="1632" t="s">
        <v>862</v>
      </c>
      <c r="B58" s="1617"/>
      <c r="C58" s="1617"/>
      <c r="D58" s="1617"/>
      <c r="E58" s="1617"/>
      <c r="F58" s="1617"/>
      <c r="G58" s="1617"/>
      <c r="H58" s="1617"/>
      <c r="I58" s="1617"/>
      <c r="J58" s="1617"/>
      <c r="K58" s="1578"/>
      <c r="L58" s="1578"/>
      <c r="M58" s="1579">
        <f>'объемы ВС и ВО 2023'!E44</f>
        <v>4999</v>
      </c>
      <c r="N58" s="1578"/>
      <c r="O58" s="1578"/>
      <c r="P58" s="1578"/>
      <c r="Q58" s="1579" t="e">
        <f>'объемы ВС и ВО 2023'!G44</f>
        <v>#REF!</v>
      </c>
      <c r="R58" s="1578"/>
      <c r="S58" s="1621"/>
      <c r="T58" s="1618"/>
      <c r="U58" s="1578"/>
      <c r="V58" s="1618" t="e">
        <f t="shared" si="14"/>
        <v>#REF!</v>
      </c>
      <c r="W58" s="1578"/>
      <c r="X58" s="1631"/>
      <c r="Y58" s="1631"/>
      <c r="Z58" s="1579">
        <v>3054.18</v>
      </c>
      <c r="AA58" s="1578"/>
      <c r="AB58" s="1578"/>
      <c r="AC58" s="1578"/>
      <c r="AD58" s="1579">
        <v>4509.2</v>
      </c>
      <c r="AE58" s="1578"/>
      <c r="AF58" s="1578"/>
      <c r="AG58" s="1579">
        <f>SUM('объемы ВС и ВО 2023'!K44)</f>
        <v>6136.9000000000005</v>
      </c>
      <c r="AH58" s="1578"/>
      <c r="AI58" s="1578"/>
      <c r="AJ58" s="1579">
        <f>SUM('объемы ВС и ВО 2023'!L44)</f>
        <v>5046.03</v>
      </c>
      <c r="AK58" s="1578"/>
      <c r="AL58" s="1578"/>
      <c r="AM58" s="1578"/>
      <c r="AN58" s="1579">
        <f>SUM('объемы ВС и ВО 2023'!M44)</f>
        <v>5004.2700000000004</v>
      </c>
      <c r="AO58" s="1578"/>
      <c r="AP58" s="1621"/>
      <c r="AQ58" s="1618">
        <f t="shared" si="48"/>
        <v>-41.759999999999309</v>
      </c>
      <c r="AR58" s="1578"/>
      <c r="AS58" s="1578"/>
      <c r="AT58" s="1579">
        <f>SUM('объемы ВС и ВО 2023'!P44)</f>
        <v>2888.49</v>
      </c>
      <c r="AU58" s="1578"/>
      <c r="AV58" s="1578"/>
      <c r="AW58" s="1579">
        <f>'объемы ВС и ВО 2023'!R39</f>
        <v>6697.91</v>
      </c>
      <c r="AX58" s="1578"/>
      <c r="AY58" s="1578"/>
      <c r="AZ58" s="1579">
        <f>SUM('объемы ВС и ВО 2023'!T44)</f>
        <v>5007.9369999999999</v>
      </c>
      <c r="BA58" s="1624">
        <f t="shared" si="5"/>
        <v>1.0007327742108238</v>
      </c>
      <c r="BB58" s="1580"/>
      <c r="BC58" s="1580"/>
      <c r="BD58" s="1577">
        <f>'объемы ВС и ВО 2023'!AA44</f>
        <v>4967.9170000000004</v>
      </c>
      <c r="BE58" s="1580"/>
      <c r="BF58" s="1635"/>
      <c r="BG58" s="1637">
        <f t="shared" si="49"/>
        <v>-40.019999999999527</v>
      </c>
      <c r="BH58" s="1637"/>
      <c r="BI58" s="1637"/>
      <c r="BJ58" s="1577">
        <f>'объемы ВС и ВО 2023'!W44</f>
        <v>5144.2300000000005</v>
      </c>
      <c r="BK58" s="1637"/>
      <c r="BL58" s="1637"/>
      <c r="BM58" s="1577">
        <f>'объемы ВС и ВО 2023'!Y44+'объемы ВС и ВО 2023'!Z44</f>
        <v>4444.2590286425902</v>
      </c>
      <c r="BN58" s="1580"/>
      <c r="BO58" s="1580"/>
      <c r="BP58" s="1577">
        <f>'объемы ВС и ВО 2023'!AE44</f>
        <v>4852.58</v>
      </c>
      <c r="BQ58" s="1580"/>
      <c r="BR58" s="1635"/>
      <c r="BS58" s="1637">
        <f t="shared" si="50"/>
        <v>4852.58</v>
      </c>
      <c r="BT58" s="1580"/>
      <c r="BU58" s="1580"/>
      <c r="BV58" s="1577">
        <f>BP58</f>
        <v>4852.58</v>
      </c>
      <c r="BW58" s="1580"/>
      <c r="BX58" s="1635"/>
      <c r="BY58" s="1637">
        <f t="shared" si="51"/>
        <v>4852.58</v>
      </c>
      <c r="BZ58" s="1580"/>
      <c r="CA58" s="1580"/>
      <c r="CB58" s="1577">
        <f>'объемы ВС и ВО 2023'!AJ44</f>
        <v>4696.1394769613944</v>
      </c>
      <c r="CC58" s="2086"/>
      <c r="CD58" s="2086"/>
      <c r="CE58" s="1580"/>
      <c r="CF58" s="1580"/>
      <c r="CG58" s="1577">
        <f>'объемы ВС и ВО 2023'!AN44+'объемы ВС и ВО 2023'!AO44</f>
        <v>5364.7000000000007</v>
      </c>
      <c r="CH58" s="1580"/>
      <c r="CI58" s="1580"/>
      <c r="CJ58" s="1577">
        <f>'объемы ВС и ВО 2023'!AP44</f>
        <v>4552.6774595267743</v>
      </c>
      <c r="CK58" s="1580"/>
      <c r="CL58" s="1580"/>
      <c r="CM58" s="1577">
        <f>BV58</f>
        <v>4852.58</v>
      </c>
      <c r="CN58" s="1580"/>
      <c r="CO58" s="1580"/>
      <c r="CP58" s="1577">
        <v>4635</v>
      </c>
      <c r="CQ58" s="1580"/>
      <c r="CR58" s="1580"/>
      <c r="CS58" s="1577">
        <f>'объемы ВС и ВО 2023'!AR44+'объемы ВС и ВО 2023'!AS44</f>
        <v>4509.8630136986303</v>
      </c>
    </row>
    <row r="59" spans="1:97" ht="40.5" customHeight="1" x14ac:dyDescent="0.2">
      <c r="A59" s="1632" t="s">
        <v>139</v>
      </c>
      <c r="B59" s="1617"/>
      <c r="C59" s="1617"/>
      <c r="D59" s="1617"/>
      <c r="E59" s="1617"/>
      <c r="F59" s="1617"/>
      <c r="G59" s="1617"/>
      <c r="H59" s="1617"/>
      <c r="I59" s="1617"/>
      <c r="J59" s="1617"/>
      <c r="K59" s="1578"/>
      <c r="L59" s="1578"/>
      <c r="M59" s="1621">
        <f>L50/M58</f>
        <v>0.35103020604120821</v>
      </c>
      <c r="N59" s="1578"/>
      <c r="O59" s="1578"/>
      <c r="P59" s="1578"/>
      <c r="Q59" s="1621">
        <f>AH22</f>
        <v>0.26482803446738967</v>
      </c>
      <c r="R59" s="1578"/>
      <c r="S59" s="1621"/>
      <c r="T59" s="1618"/>
      <c r="U59" s="1578"/>
      <c r="V59" s="1621">
        <f t="shared" si="14"/>
        <v>-8.6202171573818542E-2</v>
      </c>
      <c r="W59" s="1578"/>
      <c r="X59" s="1631"/>
      <c r="Y59" s="1631"/>
      <c r="Z59" s="1621">
        <f>Y50/Z58</f>
        <v>0.26849105160796027</v>
      </c>
      <c r="AA59" s="1578"/>
      <c r="AB59" s="1578"/>
      <c r="AC59" s="1578"/>
      <c r="AD59" s="1621">
        <f>AC50/AD58</f>
        <v>0.26396034773352256</v>
      </c>
      <c r="AE59" s="1578"/>
      <c r="AF59" s="1578"/>
      <c r="AG59" s="1621">
        <f>AF50/AG58</f>
        <v>0.24905571216738093</v>
      </c>
      <c r="AH59" s="1578"/>
      <c r="AI59" s="1578"/>
      <c r="AJ59" s="1621">
        <f>AI50/AJ58</f>
        <v>0.27498845627156399</v>
      </c>
      <c r="AK59" s="1578"/>
      <c r="AL59" s="1578"/>
      <c r="AM59" s="1578"/>
      <c r="AN59" s="1621">
        <f>AP22</f>
        <v>0.24172159546971789</v>
      </c>
      <c r="AO59" s="1578"/>
      <c r="AP59" s="1621"/>
      <c r="AQ59" s="1621">
        <f t="shared" si="48"/>
        <v>-3.3266860801846099E-2</v>
      </c>
      <c r="AR59" s="1578"/>
      <c r="AS59" s="1578"/>
      <c r="AT59" s="1621">
        <f>AS50/AT58</f>
        <v>0.23473164179207823</v>
      </c>
      <c r="AU59" s="1578"/>
      <c r="AV59" s="1578"/>
      <c r="AW59" s="1621">
        <f>AV50/AW58</f>
        <v>0.15169806700896249</v>
      </c>
      <c r="AX59" s="1578"/>
      <c r="AY59" s="1578"/>
      <c r="AZ59" s="1621">
        <f>AY50/AZ58</f>
        <v>0.30520152310222753</v>
      </c>
      <c r="BA59" s="1624">
        <f t="shared" si="5"/>
        <v>1.2626158722358021</v>
      </c>
      <c r="BB59" s="1580"/>
      <c r="BC59" s="1580"/>
      <c r="BD59" s="1635">
        <v>0.249</v>
      </c>
      <c r="BE59" s="1580"/>
      <c r="BF59" s="1635"/>
      <c r="BG59" s="1635">
        <f t="shared" si="49"/>
        <v>-5.6201523102227535E-2</v>
      </c>
      <c r="BH59" s="1635"/>
      <c r="BI59" s="1635"/>
      <c r="BJ59" s="1635">
        <v>0.29499999999999998</v>
      </c>
      <c r="BK59" s="1635"/>
      <c r="BL59" s="1635"/>
      <c r="BM59" s="1635">
        <v>0.24199999999999999</v>
      </c>
      <c r="BN59" s="1580"/>
      <c r="BO59" s="1580"/>
      <c r="BP59" s="1635">
        <v>0.24199999999999999</v>
      </c>
      <c r="BQ59" s="1580"/>
      <c r="BR59" s="1635"/>
      <c r="BS59" s="1635">
        <f t="shared" si="50"/>
        <v>0.24199999999999999</v>
      </c>
      <c r="BT59" s="1580"/>
      <c r="BU59" s="1580"/>
      <c r="BV59" s="1635">
        <v>0.24199999999999999</v>
      </c>
      <c r="BW59" s="1580"/>
      <c r="BX59" s="1635"/>
      <c r="BY59" s="1635">
        <f t="shared" si="51"/>
        <v>0.24199999999999999</v>
      </c>
      <c r="BZ59" s="1580"/>
      <c r="CA59" s="1580"/>
      <c r="CB59" s="1635">
        <v>0.24199999999999999</v>
      </c>
      <c r="CC59" s="2086"/>
      <c r="CD59" s="2086"/>
      <c r="CE59" s="1580"/>
      <c r="CF59" s="1580"/>
      <c r="CG59" s="1635">
        <f>CF50/CG58</f>
        <v>0.28765261804015135</v>
      </c>
      <c r="CH59" s="1580"/>
      <c r="CI59" s="1580"/>
      <c r="CJ59" s="1635">
        <v>0.24199999999999999</v>
      </c>
      <c r="CK59" s="1580"/>
      <c r="CL59" s="1580"/>
      <c r="CM59" s="1635">
        <v>0.24199999999999999</v>
      </c>
      <c r="CN59" s="1580"/>
      <c r="CO59" s="1580"/>
      <c r="CP59" s="1635">
        <v>0.24199999999999999</v>
      </c>
      <c r="CQ59" s="1580"/>
      <c r="CR59" s="1580"/>
      <c r="CS59" s="1635">
        <v>0.24199999999999999</v>
      </c>
    </row>
    <row r="60" spans="1:97" ht="48" customHeight="1" x14ac:dyDescent="0.2">
      <c r="A60" s="1633" t="s">
        <v>140</v>
      </c>
      <c r="B60" s="1617"/>
      <c r="C60" s="1617"/>
      <c r="D60" s="1617"/>
      <c r="E60" s="1617"/>
      <c r="F60" s="1617"/>
      <c r="G60" s="1617"/>
      <c r="H60" s="1617"/>
      <c r="I60" s="1617"/>
      <c r="J60" s="1617"/>
      <c r="K60" s="1578"/>
      <c r="L60" s="1578"/>
      <c r="M60" s="1579">
        <f>'объемы ВС и ВО 2023'!E63</f>
        <v>3600</v>
      </c>
      <c r="N60" s="1578"/>
      <c r="O60" s="1578"/>
      <c r="P60" s="1578"/>
      <c r="Q60" s="1579">
        <f>'объемы ВС и ВО 2023'!G62</f>
        <v>3672.7</v>
      </c>
      <c r="R60" s="1578"/>
      <c r="S60" s="1621"/>
      <c r="T60" s="1618"/>
      <c r="U60" s="1578"/>
      <c r="V60" s="1618">
        <f t="shared" si="14"/>
        <v>72.699999999999818</v>
      </c>
      <c r="W60" s="1578"/>
      <c r="X60" s="1631"/>
      <c r="Y60" s="1631"/>
      <c r="Z60" s="1579">
        <v>1773.8</v>
      </c>
      <c r="AA60" s="1578"/>
      <c r="AB60" s="1578"/>
      <c r="AC60" s="1578"/>
      <c r="AD60" s="1579">
        <v>2603.1999999999998</v>
      </c>
      <c r="AE60" s="1578"/>
      <c r="AF60" s="1578"/>
      <c r="AG60" s="1579">
        <f>'объемы ВС и ВО 2023'!K62</f>
        <v>4393.3999999999996</v>
      </c>
      <c r="AH60" s="1578"/>
      <c r="AI60" s="1578"/>
      <c r="AJ60" s="1579">
        <f>'объемы ВС и ВО 2023'!L63</f>
        <v>3672.7</v>
      </c>
      <c r="AK60" s="1578"/>
      <c r="AL60" s="1578"/>
      <c r="AM60" s="1578"/>
      <c r="AN60" s="1579">
        <f>'объемы ВС и ВО 2023'!M62</f>
        <v>3644.7</v>
      </c>
      <c r="AO60" s="1578"/>
      <c r="AP60" s="1621"/>
      <c r="AQ60" s="1618">
        <f t="shared" si="48"/>
        <v>-28</v>
      </c>
      <c r="AR60" s="1578"/>
      <c r="AS60" s="1578"/>
      <c r="AT60" s="1579">
        <f>'объемы ВС и ВО 2023'!P62</f>
        <v>2027.43</v>
      </c>
      <c r="AU60" s="1578"/>
      <c r="AV60" s="1578"/>
      <c r="AW60" s="1579">
        <f>'объемы ВС и ВО 2023'!R62</f>
        <v>3840.95</v>
      </c>
      <c r="AX60" s="1578"/>
      <c r="AY60" s="1578"/>
      <c r="AZ60" s="1579">
        <f>SUM('объемы ВС и ВО 2023'!T63)</f>
        <v>3473</v>
      </c>
      <c r="BA60" s="1624">
        <f t="shared" si="5"/>
        <v>0.95289049853211516</v>
      </c>
      <c r="BB60" s="1578"/>
      <c r="BC60" s="1578"/>
      <c r="BD60" s="1579">
        <f>SUM('объемы ВС и ВО 2023'!AA63:AB63)</f>
        <v>3463.93</v>
      </c>
      <c r="BE60" s="1578"/>
      <c r="BF60" s="1621"/>
      <c r="BG60" s="1618">
        <f t="shared" si="49"/>
        <v>-9.0700000000001637</v>
      </c>
      <c r="BH60" s="1888"/>
      <c r="BI60" s="1888"/>
      <c r="BJ60" s="1579">
        <v>3061.49</v>
      </c>
      <c r="BK60" s="1888"/>
      <c r="BL60" s="1888"/>
      <c r="BM60" s="1579">
        <f>'объемы ВС и ВО 2023'!Y62</f>
        <v>3061.4900000000002</v>
      </c>
      <c r="BN60" s="1578"/>
      <c r="BO60" s="1578"/>
      <c r="BP60" s="1579">
        <f>'объемы ВС и ВО 2023'!AE63+'объемы ВС и ВО 2023'!AF63</f>
        <v>3463.93</v>
      </c>
      <c r="BQ60" s="1578"/>
      <c r="BR60" s="1621"/>
      <c r="BS60" s="2071">
        <f t="shared" si="50"/>
        <v>3463.93</v>
      </c>
      <c r="BT60" s="1578"/>
      <c r="BU60" s="1578"/>
      <c r="BV60" s="1579">
        <f>BP60</f>
        <v>3463.93</v>
      </c>
      <c r="BW60" s="1578"/>
      <c r="BX60" s="1621"/>
      <c r="BY60" s="2071">
        <f t="shared" si="51"/>
        <v>3463.93</v>
      </c>
      <c r="BZ60" s="1578"/>
      <c r="CA60" s="1578"/>
      <c r="CB60" s="1579">
        <f>'объемы ВС и ВО 2023'!AJ62+'объемы ВС и ВО 2023'!AK62</f>
        <v>3295.75</v>
      </c>
      <c r="CC60" s="2086"/>
      <c r="CD60" s="2086"/>
      <c r="CE60" s="1578"/>
      <c r="CF60" s="1578"/>
      <c r="CG60" s="1579">
        <v>3197.32</v>
      </c>
      <c r="CH60" s="1578">
        <f>'объемы ВС и ВО 2023'!AN62</f>
        <v>4359.4799999999996</v>
      </c>
      <c r="CI60" s="1578"/>
      <c r="CJ60" s="1579">
        <f>'объемы ВС и ВО 2023'!AP62+'объемы ВС и ВО 2023'!AQ62</f>
        <v>3197.3199999999997</v>
      </c>
      <c r="CK60" s="1578"/>
      <c r="CL60" s="1578"/>
      <c r="CM60" s="1579">
        <f>BV60</f>
        <v>3463.93</v>
      </c>
      <c r="CN60" s="1578"/>
      <c r="CO60" s="1578"/>
      <c r="CP60" s="1579">
        <v>3253</v>
      </c>
      <c r="CQ60" s="1578"/>
      <c r="CR60" s="1578"/>
      <c r="CS60" s="1579">
        <f>'объемы ВС и ВО 2023'!AR62</f>
        <v>3248.93</v>
      </c>
    </row>
    <row r="61" spans="1:97" ht="48" customHeight="1" x14ac:dyDescent="0.2">
      <c r="A61" s="1633" t="s">
        <v>1823</v>
      </c>
      <c r="B61" s="1617"/>
      <c r="C61" s="1617"/>
      <c r="D61" s="1617"/>
      <c r="E61" s="1617"/>
      <c r="F61" s="1617"/>
      <c r="G61" s="1617"/>
      <c r="H61" s="1617"/>
      <c r="I61" s="1617"/>
      <c r="J61" s="1617"/>
      <c r="K61" s="1578"/>
      <c r="L61" s="1578"/>
      <c r="M61" s="1579"/>
      <c r="N61" s="1578"/>
      <c r="O61" s="1578"/>
      <c r="P61" s="1578"/>
      <c r="Q61" s="1579"/>
      <c r="R61" s="1578"/>
      <c r="S61" s="1621"/>
      <c r="T61" s="2071"/>
      <c r="U61" s="1578"/>
      <c r="V61" s="2071"/>
      <c r="W61" s="1578"/>
      <c r="X61" s="1631"/>
      <c r="Y61" s="1631"/>
      <c r="Z61" s="1579"/>
      <c r="AA61" s="1578"/>
      <c r="AB61" s="1578"/>
      <c r="AC61" s="1578"/>
      <c r="AD61" s="1579"/>
      <c r="AE61" s="1578"/>
      <c r="AF61" s="1578"/>
      <c r="AG61" s="1579"/>
      <c r="AH61" s="1578"/>
      <c r="AI61" s="1578"/>
      <c r="AJ61" s="1579"/>
      <c r="AK61" s="1578"/>
      <c r="AL61" s="1578"/>
      <c r="AM61" s="1578"/>
      <c r="AN61" s="1579"/>
      <c r="AO61" s="1578"/>
      <c r="AP61" s="1621"/>
      <c r="AQ61" s="2071"/>
      <c r="AR61" s="1578"/>
      <c r="AS61" s="1578"/>
      <c r="AT61" s="1579"/>
      <c r="AU61" s="1578"/>
      <c r="AV61" s="1578"/>
      <c r="AW61" s="1579"/>
      <c r="AX61" s="1578"/>
      <c r="AY61" s="1578"/>
      <c r="AZ61" s="1579"/>
      <c r="BA61" s="1624"/>
      <c r="BB61" s="1578"/>
      <c r="BC61" s="1578"/>
      <c r="BD61" s="1579"/>
      <c r="BE61" s="1578"/>
      <c r="BF61" s="1621"/>
      <c r="BG61" s="2071"/>
      <c r="BH61" s="2071"/>
      <c r="BI61" s="2071"/>
      <c r="BJ61" s="1579"/>
      <c r="BK61" s="2071"/>
      <c r="BL61" s="2071"/>
      <c r="BM61" s="1579"/>
      <c r="BN61" s="1578"/>
      <c r="BO61" s="1578"/>
      <c r="BP61" s="1579"/>
      <c r="BQ61" s="1578"/>
      <c r="BR61" s="1621"/>
      <c r="BS61" s="2071"/>
      <c r="BT61" s="1578"/>
      <c r="BU61" s="1578"/>
      <c r="BV61" s="1579"/>
      <c r="BW61" s="1578"/>
      <c r="BX61" s="1621"/>
      <c r="BY61" s="2071"/>
      <c r="BZ61" s="1578"/>
      <c r="CA61" s="1578"/>
      <c r="CB61" s="1579"/>
      <c r="CC61" s="2086"/>
      <c r="CD61" s="2086"/>
      <c r="CE61" s="1578"/>
      <c r="CF61" s="1578"/>
      <c r="CG61" s="1579"/>
      <c r="CH61" s="1578"/>
      <c r="CI61" s="1578"/>
      <c r="CJ61" s="1579">
        <f>'объемы ВС и ВО 2023'!AP63</f>
        <v>3178.1</v>
      </c>
      <c r="CK61" s="1578"/>
      <c r="CL61" s="1578"/>
      <c r="CM61" s="1579"/>
      <c r="CN61" s="1578"/>
      <c r="CO61" s="1578"/>
      <c r="CP61" s="1579"/>
      <c r="CQ61" s="1578"/>
      <c r="CR61" s="1578"/>
      <c r="CS61" s="1579"/>
    </row>
    <row r="62" spans="1:97" ht="56.25" customHeight="1" x14ac:dyDescent="0.2">
      <c r="A62" s="1632" t="s">
        <v>141</v>
      </c>
      <c r="B62" s="1617"/>
      <c r="C62" s="1617"/>
      <c r="D62" s="1617"/>
      <c r="E62" s="1617"/>
      <c r="F62" s="1617"/>
      <c r="G62" s="1617"/>
      <c r="H62" s="1617"/>
      <c r="I62" s="1617"/>
      <c r="J62" s="1617"/>
      <c r="K62" s="1578"/>
      <c r="L62" s="1578"/>
      <c r="M62" s="1621">
        <f>L52/M60</f>
        <v>0.1105</v>
      </c>
      <c r="N62" s="1578"/>
      <c r="O62" s="1578"/>
      <c r="P62" s="1578"/>
      <c r="Q62" s="1621">
        <f>AB25</f>
        <v>9.9000000000000005E-2</v>
      </c>
      <c r="R62" s="1578"/>
      <c r="S62" s="1621"/>
      <c r="T62" s="1618"/>
      <c r="U62" s="1578"/>
      <c r="V62" s="1621">
        <f t="shared" si="14"/>
        <v>-1.1499999999999996E-2</v>
      </c>
      <c r="W62" s="1578"/>
      <c r="X62" s="1631"/>
      <c r="Y62" s="1631"/>
      <c r="Z62" s="1621">
        <f>Y52/Z60</f>
        <v>9.1423497575825907E-2</v>
      </c>
      <c r="AA62" s="1578"/>
      <c r="AB62" s="1578"/>
      <c r="AC62" s="1578"/>
      <c r="AD62" s="1621">
        <f>AC52/AD60</f>
        <v>8.6067148125384157E-2</v>
      </c>
      <c r="AE62" s="1578"/>
      <c r="AF62" s="1578"/>
      <c r="AG62" s="1634">
        <f>AF52/AG60</f>
        <v>6.9781945645741347E-2</v>
      </c>
      <c r="AH62" s="1578"/>
      <c r="AI62" s="1578"/>
      <c r="AJ62" s="1621">
        <f>AI52/AJ60</f>
        <v>0.1083126854902388</v>
      </c>
      <c r="AK62" s="1578"/>
      <c r="AL62" s="1578"/>
      <c r="AM62" s="1578"/>
      <c r="AN62" s="1621">
        <f>Q62</f>
        <v>9.9000000000000005E-2</v>
      </c>
      <c r="AO62" s="1578"/>
      <c r="AP62" s="1621"/>
      <c r="AQ62" s="1621">
        <f t="shared" si="48"/>
        <v>-9.3126854902387951E-3</v>
      </c>
      <c r="AR62" s="1578"/>
      <c r="AS62" s="1578"/>
      <c r="AT62" s="1621">
        <f>AS52/AT60</f>
        <v>7.2579571181249164E-2</v>
      </c>
      <c r="AU62" s="1578"/>
      <c r="AV62" s="1578"/>
      <c r="AW62" s="1621">
        <f>AV52/AW60</f>
        <v>4.9977219177547223E-2</v>
      </c>
      <c r="AX62" s="1578"/>
      <c r="AY62" s="1578"/>
      <c r="AZ62" s="1621">
        <f>AY52/AZ60</f>
        <v>8.8275266340339761E-2</v>
      </c>
      <c r="BA62" s="1624">
        <f t="shared" si="5"/>
        <v>0.89166935697312888</v>
      </c>
      <c r="BB62" s="1580"/>
      <c r="BC62" s="1580"/>
      <c r="BD62" s="1635">
        <v>8.4000000000000005E-2</v>
      </c>
      <c r="BE62" s="1580"/>
      <c r="BF62" s="1635"/>
      <c r="BG62" s="1635">
        <f t="shared" si="49"/>
        <v>-4.2752663403397562E-3</v>
      </c>
      <c r="BH62" s="1635"/>
      <c r="BI62" s="1635"/>
      <c r="BJ62" s="1635">
        <v>9.1999999999999998E-2</v>
      </c>
      <c r="BK62" s="1635"/>
      <c r="BL62" s="1635"/>
      <c r="BM62" s="1635">
        <v>8.4000000000000005E-2</v>
      </c>
      <c r="BN62" s="1580"/>
      <c r="BO62" s="1580"/>
      <c r="BP62" s="1635">
        <v>8.4000000000000005E-2</v>
      </c>
      <c r="BQ62" s="1580"/>
      <c r="BR62" s="1635"/>
      <c r="BS62" s="1635">
        <f t="shared" si="50"/>
        <v>8.4000000000000005E-2</v>
      </c>
      <c r="BT62" s="1580"/>
      <c r="BU62" s="1580"/>
      <c r="BV62" s="1635">
        <v>8.4000000000000005E-2</v>
      </c>
      <c r="BW62" s="1580"/>
      <c r="BX62" s="1635"/>
      <c r="BY62" s="1635">
        <f t="shared" si="51"/>
        <v>8.4000000000000005E-2</v>
      </c>
      <c r="BZ62" s="1580"/>
      <c r="CA62" s="1580"/>
      <c r="CB62" s="1635">
        <v>8.4000000000000005E-2</v>
      </c>
      <c r="CC62" s="2086"/>
      <c r="CD62" s="2086"/>
      <c r="CE62" s="1580"/>
      <c r="CF62" s="1580"/>
      <c r="CG62" s="1635">
        <f>CF52/CG60</f>
        <v>0.10997335268287189</v>
      </c>
      <c r="CH62" s="1635">
        <f>CF52/CH87</f>
        <v>0.1106384317674082</v>
      </c>
      <c r="CI62" s="1580"/>
      <c r="CJ62" s="1635">
        <v>8.4000000000000005E-2</v>
      </c>
      <c r="CK62" s="1580"/>
      <c r="CL62" s="1580"/>
      <c r="CM62" s="1635">
        <v>8.4000000000000005E-2</v>
      </c>
      <c r="CN62" s="1580"/>
      <c r="CO62" s="1580"/>
      <c r="CP62" s="1635">
        <v>8.4000000000000005E-2</v>
      </c>
      <c r="CQ62" s="1580"/>
      <c r="CR62" s="1580"/>
      <c r="CS62" s="1635">
        <v>8.4000000000000005E-2</v>
      </c>
    </row>
    <row r="63" spans="1:97" ht="58.5" customHeight="1" x14ac:dyDescent="0.2">
      <c r="A63" s="1632" t="s">
        <v>142</v>
      </c>
      <c r="B63" s="1617"/>
      <c r="C63" s="1617"/>
      <c r="D63" s="1617"/>
      <c r="E63" s="1617"/>
      <c r="F63" s="1617"/>
      <c r="G63" s="1617"/>
      <c r="H63" s="1617"/>
      <c r="I63" s="1617"/>
      <c r="J63" s="1617"/>
      <c r="K63" s="1578"/>
      <c r="L63" s="1578"/>
      <c r="M63" s="1621">
        <f>L54/M60</f>
        <v>0.63394444444444442</v>
      </c>
      <c r="N63" s="1578"/>
      <c r="O63" s="1578"/>
      <c r="P63" s="1578"/>
      <c r="Q63" s="1621">
        <f>AH26</f>
        <v>0.39184614210486146</v>
      </c>
      <c r="R63" s="1578"/>
      <c r="S63" s="1621"/>
      <c r="T63" s="1618"/>
      <c r="U63" s="1578"/>
      <c r="V63" s="1621">
        <f t="shared" si="14"/>
        <v>-0.24209830233958296</v>
      </c>
      <c r="W63" s="1578"/>
      <c r="X63" s="1631"/>
      <c r="Y63" s="1631"/>
      <c r="Z63" s="1621">
        <f>Y54/Z60</f>
        <v>0.5300879467809223</v>
      </c>
      <c r="AA63" s="1578"/>
      <c r="AB63" s="1578"/>
      <c r="AC63" s="1578"/>
      <c r="AD63" s="1621">
        <f>AC54/AD60</f>
        <v>0.52707437000614632</v>
      </c>
      <c r="AE63" s="1578"/>
      <c r="AF63" s="1578"/>
      <c r="AG63" s="1634">
        <f>AF54/AG60</f>
        <v>0.42197159375426785</v>
      </c>
      <c r="AH63" s="1578"/>
      <c r="AI63" s="1578"/>
      <c r="AJ63" s="1621">
        <f>AI54/AJ60</f>
        <v>0.6213957034334413</v>
      </c>
      <c r="AK63" s="1578"/>
      <c r="AL63" s="1578"/>
      <c r="AM63" s="1578"/>
      <c r="AN63" s="1621">
        <f>Q63</f>
        <v>0.39184614210486146</v>
      </c>
      <c r="AO63" s="1578"/>
      <c r="AP63" s="1621"/>
      <c r="AQ63" s="1621">
        <f t="shared" si="48"/>
        <v>-0.22954956132857984</v>
      </c>
      <c r="AR63" s="1578"/>
      <c r="AS63" s="1578"/>
      <c r="AT63" s="1621">
        <f>AS54/AT60</f>
        <v>0.46817892602950534</v>
      </c>
      <c r="AU63" s="1578"/>
      <c r="AV63" s="1578"/>
      <c r="AW63" s="1621">
        <f>AV54/AW60</f>
        <v>0.36318619091630977</v>
      </c>
      <c r="AX63" s="1578"/>
      <c r="AY63" s="1578"/>
      <c r="AZ63" s="1621">
        <f>AY54/AZ60</f>
        <v>0.53380074863230642</v>
      </c>
      <c r="BA63" s="1624">
        <f t="shared" si="5"/>
        <v>1.3622712878195358</v>
      </c>
      <c r="BB63" s="1580"/>
      <c r="BC63" s="1580"/>
      <c r="BD63" s="1635">
        <v>0.42</v>
      </c>
      <c r="BE63" s="1580"/>
      <c r="BF63" s="1635"/>
      <c r="BG63" s="1635">
        <f t="shared" si="49"/>
        <v>-0.11380074863230644</v>
      </c>
      <c r="BH63" s="1635"/>
      <c r="BI63" s="1635"/>
      <c r="BJ63" s="1635">
        <v>0.60199999999999998</v>
      </c>
      <c r="BK63" s="1635"/>
      <c r="BL63" s="1635"/>
      <c r="BM63" s="1635">
        <v>0.42</v>
      </c>
      <c r="BN63" s="1580"/>
      <c r="BO63" s="1580"/>
      <c r="BP63" s="1635">
        <v>0.42</v>
      </c>
      <c r="BQ63" s="1580"/>
      <c r="BR63" s="1635"/>
      <c r="BS63" s="1635">
        <f t="shared" si="50"/>
        <v>0.42</v>
      </c>
      <c r="BT63" s="1580"/>
      <c r="BU63" s="1580"/>
      <c r="BV63" s="1635">
        <v>0.42</v>
      </c>
      <c r="BW63" s="1580"/>
      <c r="BX63" s="1635"/>
      <c r="BY63" s="1635">
        <f t="shared" si="51"/>
        <v>0.42</v>
      </c>
      <c r="BZ63" s="1580"/>
      <c r="CA63" s="1580"/>
      <c r="CB63" s="1637">
        <v>0.42</v>
      </c>
      <c r="CC63" s="2086"/>
      <c r="CD63" s="2086"/>
      <c r="CE63" s="1580"/>
      <c r="CF63" s="1580"/>
      <c r="CG63" s="1637">
        <f>CF54/CG60</f>
        <v>0.62836062702513351</v>
      </c>
      <c r="CH63" s="1637">
        <f>CF54/CH60</f>
        <v>0.46085083542073829</v>
      </c>
      <c r="CI63" s="1580"/>
      <c r="CJ63" s="1637">
        <v>0.42</v>
      </c>
      <c r="CK63" s="1580"/>
      <c r="CL63" s="1580"/>
      <c r="CM63" s="1635">
        <v>0.42</v>
      </c>
      <c r="CN63" s="1580"/>
      <c r="CO63" s="1580"/>
      <c r="CP63" s="1635">
        <v>0.42</v>
      </c>
      <c r="CQ63" s="1580"/>
      <c r="CR63" s="1580"/>
      <c r="CS63" s="1635">
        <v>0.42</v>
      </c>
    </row>
    <row r="65" spans="1:49" ht="16.5" hidden="1" customHeight="1" x14ac:dyDescent="0.25">
      <c r="A65" s="524" t="s">
        <v>425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5">
        <f>AW48-AT48</f>
        <v>699.59999999999991</v>
      </c>
    </row>
    <row r="66" spans="1:49" ht="16.5" hidden="1" customHeight="1" x14ac:dyDescent="0.25">
      <c r="A66" s="524" t="s">
        <v>426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5">
        <f>AW49-AT49</f>
        <v>72.900000000000006</v>
      </c>
    </row>
    <row r="67" spans="1:49" ht="16.5" hidden="1" customHeight="1" x14ac:dyDescent="0.25">
      <c r="A67" s="525" t="s">
        <v>427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/>
      <c r="M67" s="524" t="s">
        <v>431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29"/>
      <c r="Y67" s="29"/>
      <c r="Z67" s="29"/>
      <c r="AA67" s="279"/>
      <c r="AB67" s="279"/>
      <c r="AU67">
        <f t="shared" si="52"/>
        <v>4.2196189800023669</v>
      </c>
      <c r="AV67" s="129">
        <f t="shared" si="53"/>
        <v>338.03999999999996</v>
      </c>
      <c r="AW67" s="155">
        <f>AW50-AT50</f>
        <v>1426.4</v>
      </c>
    </row>
    <row r="68" spans="1:49" ht="16.5" hidden="1" customHeight="1" x14ac:dyDescent="0.25">
      <c r="A68" s="525" t="s">
        <v>428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AN59</f>
        <v>0.24172159546971789</v>
      </c>
      <c r="M68" s="524" t="s">
        <v>431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5802"/>
      <c r="Y68" s="5802"/>
      <c r="Z68" s="5802"/>
      <c r="AA68" s="279"/>
      <c r="AB68" s="279"/>
      <c r="AU68">
        <f>AW68/AV68</f>
        <v>4.6858185212256567</v>
      </c>
      <c r="AV68" s="129">
        <f>SUM(AV65:AV67)</f>
        <v>469.26699999999994</v>
      </c>
      <c r="AW68" s="155">
        <f>SUM(AW65:AW67)</f>
        <v>2198.9</v>
      </c>
    </row>
    <row r="69" spans="1:49" ht="16.5" hidden="1" customHeight="1" x14ac:dyDescent="0.25">
      <c r="A69" s="525" t="s">
        <v>429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9.9000000000000005E-2</v>
      </c>
      <c r="M69" s="524" t="s">
        <v>432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ht="16.5" hidden="1" customHeight="1" x14ac:dyDescent="0.25">
      <c r="A70" s="525" t="s">
        <v>430</v>
      </c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6">
        <f>AN63</f>
        <v>0.39184614210486146</v>
      </c>
      <c r="M70" s="524" t="s">
        <v>432</v>
      </c>
      <c r="N70" s="524"/>
      <c r="O70" s="524"/>
      <c r="P70" s="524"/>
      <c r="Q70" s="524"/>
      <c r="R70" s="524"/>
      <c r="S70" s="524"/>
      <c r="T70" s="524"/>
      <c r="U70" s="5"/>
      <c r="V70" s="29"/>
      <c r="W70" s="29"/>
      <c r="X70" s="29"/>
      <c r="Y70" s="527"/>
      <c r="Z70" s="527"/>
      <c r="AA70" s="279"/>
      <c r="AB70" s="279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5799" t="s">
        <v>558</v>
      </c>
      <c r="B72" s="5800"/>
      <c r="C72" s="5800"/>
      <c r="D72" s="5800"/>
      <c r="E72" s="5800"/>
      <c r="F72" s="5800"/>
      <c r="G72" s="5800"/>
      <c r="H72" s="5800"/>
      <c r="I72" s="5800"/>
      <c r="J72" s="5800"/>
      <c r="K72" s="5800"/>
      <c r="L72" s="5800"/>
      <c r="M72" s="5801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27"/>
      <c r="Z72" s="527"/>
      <c r="AA72" s="279"/>
      <c r="AB72" s="279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383" t="s">
        <v>525</v>
      </c>
      <c r="B73" s="1384"/>
      <c r="C73" s="1384"/>
      <c r="D73" s="1384"/>
      <c r="E73" s="1384"/>
      <c r="F73" s="1384"/>
      <c r="G73" s="1384"/>
      <c r="H73" s="1384"/>
      <c r="I73" s="1384"/>
      <c r="J73" s="1384"/>
      <c r="K73" s="1384" t="s">
        <v>328</v>
      </c>
      <c r="L73" s="1384" t="s">
        <v>344</v>
      </c>
      <c r="M73" s="524" t="s">
        <v>559</v>
      </c>
      <c r="N73" s="5"/>
      <c r="O73" s="1384" t="s">
        <v>561</v>
      </c>
      <c r="P73" s="524" t="s">
        <v>562</v>
      </c>
      <c r="Q73" s="5"/>
      <c r="R73" s="5"/>
      <c r="S73" s="5"/>
      <c r="T73" s="5"/>
      <c r="U73" s="5"/>
      <c r="V73" s="29"/>
      <c r="W73" s="29"/>
      <c r="X73" s="529"/>
      <c r="Y73" s="530"/>
      <c r="Z73" s="530"/>
      <c r="AA73" s="279"/>
      <c r="AB73" s="279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35" t="s">
        <v>131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>
        <f>SUM(M74/L74)</f>
        <v>5.0619778596182483</v>
      </c>
      <c r="L74" s="533">
        <f>SUM(AC48-Y48)</f>
        <v>184.09799999999996</v>
      </c>
      <c r="M74" s="533">
        <f>SUM(AD48-Z48)</f>
        <v>931.90000000000009</v>
      </c>
      <c r="N74" s="5"/>
      <c r="O74" s="537">
        <f>SUM(AD56-Z56)</f>
        <v>1664.6999999999998</v>
      </c>
      <c r="P74" s="526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35" t="s">
        <v>563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/>
      <c r="L75" s="533"/>
      <c r="M75" s="533"/>
      <c r="N75" s="5"/>
      <c r="O75" s="537">
        <f>SUM(AD58-Z58)</f>
        <v>1455.02</v>
      </c>
      <c r="P75" s="526"/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hidden="1" customHeight="1" x14ac:dyDescent="0.25">
      <c r="A76" s="524" t="s">
        <v>132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4.1182508170596659</v>
      </c>
      <c r="L76" s="533">
        <f>SUM(AC50-Y50)</f>
        <v>370.23</v>
      </c>
      <c r="M76" s="533">
        <f>SUM(AD50-Z50)</f>
        <v>1524.7000000000003</v>
      </c>
      <c r="N76" s="5"/>
      <c r="O76" s="533"/>
      <c r="P76" s="526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27"/>
      <c r="Z76" s="527"/>
      <c r="AA76" s="279"/>
      <c r="AB76" s="279"/>
    </row>
    <row r="77" spans="1:49" ht="16.5" hidden="1" customHeight="1" x14ac:dyDescent="0.25">
      <c r="A77" s="524" t="s">
        <v>54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>SUM(M77/L77)</f>
        <v>4.4316722229438179</v>
      </c>
      <c r="L77" s="533">
        <f>SUM(L74:L76)</f>
        <v>554.32799999999997</v>
      </c>
      <c r="M77" s="533">
        <f>SUM(M74:M76)</f>
        <v>2456.6000000000004</v>
      </c>
      <c r="N77" s="5"/>
      <c r="O77" s="524"/>
      <c r="P77" s="524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79"/>
      <c r="AB77" s="279"/>
    </row>
    <row r="78" spans="1:49" ht="16.5" hidden="1" customHeight="1" x14ac:dyDescent="0.25">
      <c r="A78" s="524" t="s">
        <v>134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ref="K78:K80" si="56">SUM(M78/L78)</f>
        <v>5.0854030993972499</v>
      </c>
      <c r="L78" s="533">
        <f>SUM(AC52-Y52)</f>
        <v>61.88300000000001</v>
      </c>
      <c r="M78" s="533">
        <f>SUM(AD52-Z52)</f>
        <v>314.70000000000005</v>
      </c>
      <c r="N78" s="5"/>
      <c r="O78" s="536">
        <f>SUM(AD60-Z60)</f>
        <v>829.39999999999986</v>
      </c>
      <c r="P78" s="526">
        <f>SUM(L78/O78)</f>
        <v>7.4611767542802049E-2</v>
      </c>
      <c r="Q78" s="5"/>
      <c r="R78" s="5"/>
      <c r="S78" s="5"/>
      <c r="T78" s="5"/>
      <c r="U78" s="5"/>
      <c r="V78" s="29"/>
      <c r="W78" s="29"/>
      <c r="X78" s="529"/>
      <c r="Y78" s="530"/>
      <c r="Z78" s="530"/>
      <c r="AA78" s="279"/>
      <c r="AB78" s="279"/>
    </row>
    <row r="79" spans="1:49" ht="16.5" hidden="1" customHeight="1" x14ac:dyDescent="0.25">
      <c r="A79" s="524" t="s">
        <v>560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56"/>
        <v>3.9234848660290407</v>
      </c>
      <c r="L79" s="533">
        <f>SUM(AC54-Y54)</f>
        <v>431.80999999999995</v>
      </c>
      <c r="M79" s="533">
        <f>SUM(AD54-Z54)</f>
        <v>1694.1999999999998</v>
      </c>
      <c r="N79" s="5"/>
      <c r="O79" s="536">
        <f>SUM(O78)</f>
        <v>829.39999999999986</v>
      </c>
      <c r="P79" s="526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398"/>
      <c r="AA79" s="279"/>
      <c r="AB79" s="279"/>
    </row>
    <row r="80" spans="1:49" ht="16.5" hidden="1" customHeight="1" x14ac:dyDescent="0.25">
      <c r="A80" s="524" t="s">
        <v>54</v>
      </c>
      <c r="B80" s="524"/>
      <c r="C80" s="524"/>
      <c r="D80" s="524"/>
      <c r="E80" s="524"/>
      <c r="F80" s="524"/>
      <c r="G80" s="524"/>
      <c r="H80" s="524"/>
      <c r="I80" s="524"/>
      <c r="J80" s="524"/>
      <c r="K80" s="534">
        <f t="shared" si="56"/>
        <v>4.0691279803440601</v>
      </c>
      <c r="L80" s="533">
        <f>SUM(L78:L79)</f>
        <v>493.69299999999998</v>
      </c>
      <c r="M80" s="533">
        <f>SUM(M78:M79)</f>
        <v>2008.8999999999999</v>
      </c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27"/>
      <c r="AA80" s="279"/>
      <c r="AB80" s="279"/>
    </row>
    <row r="81" spans="1:86" ht="16.5" hidden="1" x14ac:dyDescent="0.25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"/>
      <c r="O81" s="524"/>
      <c r="P81" s="524"/>
      <c r="Q81" s="5"/>
      <c r="R81" s="5"/>
      <c r="S81" s="5"/>
      <c r="T81" s="5"/>
      <c r="U81" s="5"/>
      <c r="V81" s="29"/>
      <c r="W81" s="29"/>
      <c r="X81" s="29"/>
      <c r="Y81" s="29"/>
      <c r="Z81" s="531"/>
      <c r="AA81" s="279"/>
      <c r="AB81" s="279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'объемы ВС и ВО 2023'!AN63</f>
        <v>3178.1</v>
      </c>
    </row>
  </sheetData>
  <mergeCells count="126"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892</v>
      </c>
    </row>
    <row r="5" spans="1:3" x14ac:dyDescent="0.2">
      <c r="A5" s="5" t="s">
        <v>253</v>
      </c>
      <c r="B5" s="5">
        <f>B6+B7</f>
        <v>2447773.2599999998</v>
      </c>
    </row>
    <row r="6" spans="1:3" x14ac:dyDescent="0.2">
      <c r="A6" s="5" t="s">
        <v>2161</v>
      </c>
      <c r="B6" s="5">
        <v>1459695.6410000001</v>
      </c>
    </row>
    <row r="7" spans="1:3" x14ac:dyDescent="0.2">
      <c r="A7" s="5" t="s">
        <v>2162</v>
      </c>
      <c r="B7" s="5">
        <v>988077.61899999995</v>
      </c>
    </row>
    <row r="9" spans="1:3" x14ac:dyDescent="0.2">
      <c r="A9" s="5" t="s">
        <v>2163</v>
      </c>
      <c r="B9" s="5">
        <f>B10+B11</f>
        <v>1208022.352</v>
      </c>
    </row>
    <row r="10" spans="1:3" x14ac:dyDescent="0.2">
      <c r="A10" s="5" t="s">
        <v>2161</v>
      </c>
      <c r="B10" s="5">
        <v>1205166.5970000001</v>
      </c>
    </row>
    <row r="11" spans="1:3" x14ac:dyDescent="0.2">
      <c r="A11" s="5" t="s">
        <v>2162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2161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2162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5776" t="s">
        <v>234</v>
      </c>
      <c r="B3" s="5776"/>
      <c r="C3" s="5776"/>
      <c r="D3" s="5776"/>
      <c r="E3" s="5776"/>
      <c r="F3" s="5776"/>
      <c r="G3" s="5776"/>
      <c r="H3" s="5776"/>
      <c r="I3" s="5776"/>
      <c r="J3" s="5776"/>
      <c r="K3" s="5776"/>
      <c r="L3" s="5776"/>
      <c r="M3" s="5776"/>
      <c r="N3" s="5776"/>
      <c r="O3" s="5776"/>
      <c r="P3" s="5776"/>
      <c r="Q3" s="5776"/>
      <c r="R3" s="5776"/>
      <c r="S3" s="5776"/>
      <c r="T3" s="5776"/>
      <c r="U3" s="5776"/>
      <c r="V3" s="5776"/>
      <c r="W3" s="5776"/>
      <c r="X3" s="5776"/>
      <c r="Y3" s="5776"/>
      <c r="Z3" s="5776"/>
      <c r="AA3" s="5776"/>
      <c r="AB3" s="5776"/>
      <c r="AC3" s="5776"/>
      <c r="AD3" s="5776"/>
      <c r="AE3" s="5776"/>
      <c r="AF3" s="5776"/>
      <c r="AG3" s="5776"/>
      <c r="AH3" s="5776"/>
      <c r="AI3" s="5776"/>
      <c r="AJ3" s="5776"/>
      <c r="AK3" s="5776"/>
      <c r="AL3" s="5776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5777"/>
      <c r="B5" s="90"/>
      <c r="C5" s="90"/>
      <c r="D5" s="90"/>
      <c r="E5" s="90"/>
      <c r="F5" s="90"/>
      <c r="G5" s="90"/>
      <c r="H5" s="5778" t="s">
        <v>58</v>
      </c>
      <c r="I5" s="5778"/>
      <c r="J5" s="5778"/>
      <c r="K5" s="5778" t="s">
        <v>66</v>
      </c>
      <c r="L5" s="5778"/>
      <c r="M5" s="5778"/>
      <c r="N5" s="5778"/>
      <c r="O5" s="5778" t="s">
        <v>91</v>
      </c>
      <c r="P5" s="5778"/>
      <c r="Q5" s="5778"/>
      <c r="R5" s="5779" t="s">
        <v>204</v>
      </c>
      <c r="S5" s="5780"/>
      <c r="T5" s="5780"/>
      <c r="U5" s="5781"/>
      <c r="V5" s="5721" t="s">
        <v>154</v>
      </c>
      <c r="W5" s="5721"/>
      <c r="X5" s="5721"/>
      <c r="Y5" s="5721"/>
      <c r="Z5" s="5721"/>
      <c r="AA5" s="5721"/>
      <c r="AB5" s="5721"/>
      <c r="AC5" s="5721"/>
      <c r="AD5" s="5721"/>
      <c r="AE5" s="5785"/>
      <c r="AF5" s="5785"/>
      <c r="AG5" s="5785"/>
      <c r="AH5" s="5721"/>
      <c r="AI5" s="5721"/>
      <c r="AJ5" s="5721"/>
      <c r="AK5" s="5721"/>
      <c r="AL5" s="5721"/>
      <c r="AM5" s="5721"/>
      <c r="AN5" s="5721"/>
      <c r="AO5" s="5721"/>
    </row>
    <row r="6" spans="1:41" ht="12.75" hidden="1" customHeight="1" x14ac:dyDescent="0.2">
      <c r="A6" s="5777"/>
      <c r="B6" s="15"/>
      <c r="C6" s="91" t="s">
        <v>126</v>
      </c>
      <c r="D6" s="91"/>
      <c r="E6" s="15"/>
      <c r="F6" s="91" t="s">
        <v>127</v>
      </c>
      <c r="G6" s="91"/>
      <c r="H6" s="5778"/>
      <c r="I6" s="5778"/>
      <c r="J6" s="5778"/>
      <c r="K6" s="5778"/>
      <c r="L6" s="5778"/>
      <c r="M6" s="5778"/>
      <c r="N6" s="5778"/>
      <c r="O6" s="5778"/>
      <c r="P6" s="5778"/>
      <c r="Q6" s="5778"/>
      <c r="R6" s="5782"/>
      <c r="S6" s="5783"/>
      <c r="T6" s="5783"/>
      <c r="U6" s="5784"/>
      <c r="V6" s="5786" t="s">
        <v>118</v>
      </c>
      <c r="W6" s="5786"/>
      <c r="X6" s="5786"/>
      <c r="Y6" s="5786"/>
      <c r="Z6" s="5786" t="s">
        <v>119</v>
      </c>
      <c r="AA6" s="5786"/>
      <c r="AB6" s="5786"/>
      <c r="AC6" s="5786"/>
      <c r="AD6" s="5778" t="s">
        <v>229</v>
      </c>
      <c r="AE6" s="5787"/>
      <c r="AF6" s="5787"/>
      <c r="AG6" s="5787"/>
      <c r="AH6" s="5778"/>
      <c r="AI6" s="5778"/>
      <c r="AJ6" s="5788" t="s">
        <v>233</v>
      </c>
      <c r="AK6" s="5788"/>
      <c r="AL6" s="5788"/>
      <c r="AM6" s="5788" t="s">
        <v>361</v>
      </c>
      <c r="AN6" s="5788"/>
      <c r="AO6" s="5788"/>
    </row>
    <row r="7" spans="1:41" ht="12.75" hidden="1" customHeight="1" x14ac:dyDescent="0.2">
      <c r="A7" s="5777"/>
      <c r="B7" s="15" t="s">
        <v>128</v>
      </c>
      <c r="C7" s="15" t="s">
        <v>129</v>
      </c>
      <c r="D7" s="15" t="s">
        <v>45</v>
      </c>
      <c r="E7" s="15" t="s">
        <v>128</v>
      </c>
      <c r="F7" s="15" t="s">
        <v>129</v>
      </c>
      <c r="G7" s="15" t="s">
        <v>45</v>
      </c>
      <c r="H7" s="5788" t="s">
        <v>143</v>
      </c>
      <c r="I7" s="5788" t="s">
        <v>130</v>
      </c>
      <c r="J7" s="5788" t="s">
        <v>98</v>
      </c>
      <c r="K7" s="5788" t="s">
        <v>220</v>
      </c>
      <c r="L7" s="5789" t="s">
        <v>144</v>
      </c>
      <c r="M7" s="5791" t="s">
        <v>98</v>
      </c>
      <c r="N7" s="5792"/>
      <c r="O7" s="5788" t="s">
        <v>143</v>
      </c>
      <c r="P7" s="5788" t="s">
        <v>130</v>
      </c>
      <c r="Q7" s="5788" t="s">
        <v>98</v>
      </c>
      <c r="R7" s="5788" t="s">
        <v>143</v>
      </c>
      <c r="S7" s="5788" t="s">
        <v>130</v>
      </c>
      <c r="T7" s="5788" t="s">
        <v>98</v>
      </c>
      <c r="U7" s="92"/>
      <c r="V7" s="5788" t="s">
        <v>111</v>
      </c>
      <c r="W7" s="5788"/>
      <c r="X7" s="5788" t="s">
        <v>144</v>
      </c>
      <c r="Y7" s="5788" t="s">
        <v>98</v>
      </c>
      <c r="Z7" s="5788" t="s">
        <v>111</v>
      </c>
      <c r="AA7" s="5788"/>
      <c r="AB7" s="5788" t="s">
        <v>144</v>
      </c>
      <c r="AC7" s="5788" t="s">
        <v>98</v>
      </c>
      <c r="AD7" s="5788" t="s">
        <v>143</v>
      </c>
      <c r="AE7" s="743"/>
      <c r="AF7" s="743"/>
      <c r="AG7" s="743"/>
      <c r="AH7" s="5788" t="s">
        <v>130</v>
      </c>
      <c r="AI7" s="5788" t="s">
        <v>98</v>
      </c>
      <c r="AJ7" s="5788" t="s">
        <v>143</v>
      </c>
      <c r="AK7" s="5788" t="s">
        <v>130</v>
      </c>
      <c r="AL7" s="5788" t="s">
        <v>98</v>
      </c>
      <c r="AM7" s="5788" t="s">
        <v>143</v>
      </c>
      <c r="AN7" s="5788" t="s">
        <v>130</v>
      </c>
      <c r="AO7" s="5788" t="s">
        <v>98</v>
      </c>
    </row>
    <row r="8" spans="1:41" ht="32.25" hidden="1" customHeight="1" x14ac:dyDescent="0.2">
      <c r="A8" s="5777"/>
      <c r="B8" s="15"/>
      <c r="C8" s="15"/>
      <c r="D8" s="15"/>
      <c r="E8" s="15"/>
      <c r="F8" s="15"/>
      <c r="G8" s="15"/>
      <c r="H8" s="5788"/>
      <c r="I8" s="5788"/>
      <c r="J8" s="5788"/>
      <c r="K8" s="5788"/>
      <c r="L8" s="5790"/>
      <c r="M8" s="5793"/>
      <c r="N8" s="5794"/>
      <c r="O8" s="5788"/>
      <c r="P8" s="5788"/>
      <c r="Q8" s="5788"/>
      <c r="R8" s="5788"/>
      <c r="S8" s="5788"/>
      <c r="T8" s="5788"/>
      <c r="U8" s="92"/>
      <c r="V8" s="23" t="s">
        <v>221</v>
      </c>
      <c r="W8" s="92" t="s">
        <v>158</v>
      </c>
      <c r="X8" s="5788"/>
      <c r="Y8" s="5788"/>
      <c r="Z8" s="92" t="s">
        <v>221</v>
      </c>
      <c r="AA8" s="92" t="s">
        <v>158</v>
      </c>
      <c r="AB8" s="5788"/>
      <c r="AC8" s="5788"/>
      <c r="AD8" s="5788"/>
      <c r="AE8" s="743"/>
      <c r="AF8" s="743"/>
      <c r="AG8" s="743"/>
      <c r="AH8" s="5788"/>
      <c r="AI8" s="5788"/>
      <c r="AJ8" s="5788"/>
      <c r="AK8" s="5788"/>
      <c r="AL8" s="5788"/>
      <c r="AM8" s="5788"/>
      <c r="AN8" s="5788"/>
      <c r="AO8" s="5788"/>
    </row>
    <row r="9" spans="1:41" hidden="1" x14ac:dyDescent="0.2">
      <c r="A9" s="81" t="s">
        <v>131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7">
        <v>1010.6</v>
      </c>
      <c r="T9" s="137">
        <v>4416.6000000000004</v>
      </c>
      <c r="U9" s="71"/>
      <c r="V9" s="93">
        <v>5.25</v>
      </c>
      <c r="W9" s="17">
        <f>V9/R9*100</f>
        <v>120.12973780736314</v>
      </c>
      <c r="X9" s="140">
        <v>1140</v>
      </c>
      <c r="Y9" s="140">
        <f>V9*X9</f>
        <v>5985</v>
      </c>
      <c r="Z9" s="93" t="e">
        <f>AC9/AB9</f>
        <v>#REF!</v>
      </c>
      <c r="AA9" s="94" t="e">
        <f>Z9/R9*100</f>
        <v>#REF!</v>
      </c>
      <c r="AB9" s="140" t="e">
        <f>AB19*AB20</f>
        <v>#REF!</v>
      </c>
      <c r="AC9" s="140">
        <v>5549</v>
      </c>
      <c r="AD9" s="70">
        <v>4.9930000000000003</v>
      </c>
      <c r="AE9" s="744"/>
      <c r="AF9" s="744"/>
      <c r="AG9" s="744"/>
      <c r="AH9" s="137">
        <f>862347/1000</f>
        <v>862.34699999999998</v>
      </c>
      <c r="AI9" s="137">
        <v>4305.8999999999996</v>
      </c>
      <c r="AJ9" s="70">
        <v>5.548</v>
      </c>
      <c r="AK9" s="137">
        <f>241902/1000</f>
        <v>241.90199999999999</v>
      </c>
      <c r="AL9" s="137">
        <v>1342.1</v>
      </c>
      <c r="AM9" s="70">
        <v>5.1100000000000003</v>
      </c>
      <c r="AN9" s="137">
        <v>1138.8</v>
      </c>
      <c r="AO9" s="137">
        <v>5819.3</v>
      </c>
    </row>
    <row r="10" spans="1:41" hidden="1" x14ac:dyDescent="0.2">
      <c r="A10" s="81" t="s">
        <v>157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7"/>
      <c r="T10" s="137"/>
      <c r="U10" s="71"/>
      <c r="V10" s="93"/>
      <c r="W10" s="17"/>
      <c r="X10" s="140"/>
      <c r="Y10" s="140"/>
      <c r="Z10" s="93"/>
      <c r="AA10" s="2"/>
      <c r="AB10" s="140"/>
      <c r="AC10" s="140"/>
      <c r="AD10" s="70">
        <v>2.2519999999999998</v>
      </c>
      <c r="AE10" s="744"/>
      <c r="AF10" s="744"/>
      <c r="AG10" s="744"/>
      <c r="AH10" s="137">
        <f>5062/1000</f>
        <v>5.0620000000000003</v>
      </c>
      <c r="AI10" s="137">
        <v>11.4</v>
      </c>
      <c r="AJ10" s="70">
        <v>2.4180000000000001</v>
      </c>
      <c r="AK10" s="137">
        <f>1365/1000</f>
        <v>1.365</v>
      </c>
      <c r="AL10" s="135">
        <v>3.3</v>
      </c>
      <c r="AM10" s="70">
        <v>0</v>
      </c>
      <c r="AN10" s="137">
        <v>0</v>
      </c>
      <c r="AO10" s="135">
        <v>0</v>
      </c>
    </row>
    <row r="11" spans="1:41" hidden="1" x14ac:dyDescent="0.2">
      <c r="A11" s="81" t="s">
        <v>132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8">
        <f>3776+652.5</f>
        <v>4428.5</v>
      </c>
      <c r="U11" s="71"/>
      <c r="V11" s="93">
        <v>4.2</v>
      </c>
      <c r="W11" s="17">
        <f>V11/R11*100</f>
        <v>122.85604606525911</v>
      </c>
      <c r="X11" s="140">
        <v>1830</v>
      </c>
      <c r="Y11" s="140">
        <f>V11*X11</f>
        <v>7686</v>
      </c>
      <c r="Z11" s="93">
        <v>3.9470000000000001</v>
      </c>
      <c r="AA11" s="17">
        <f>Z11/R11*100</f>
        <v>115.45543186180423</v>
      </c>
      <c r="AB11" s="140" t="e">
        <f>AB22*AB21</f>
        <v>#REF!</v>
      </c>
      <c r="AC11" s="140" t="e">
        <f>Z11*AB11</f>
        <v>#REF!</v>
      </c>
      <c r="AD11" s="57">
        <v>3.9390000000000001</v>
      </c>
      <c r="AE11" s="745"/>
      <c r="AF11" s="745"/>
      <c r="AG11" s="745"/>
      <c r="AH11" s="135">
        <f>1426046/1000</f>
        <v>1426.046</v>
      </c>
      <c r="AI11" s="135">
        <v>5616.5</v>
      </c>
      <c r="AJ11" s="70">
        <v>4.3929999999999998</v>
      </c>
      <c r="AK11" s="137">
        <f>462899/1000</f>
        <v>462.899</v>
      </c>
      <c r="AL11" s="137">
        <v>2033.5</v>
      </c>
      <c r="AM11" s="70">
        <v>4.0129999999999999</v>
      </c>
      <c r="AN11" s="137">
        <v>1930.37</v>
      </c>
      <c r="AO11" s="137">
        <v>7747.1</v>
      </c>
    </row>
    <row r="12" spans="1:41" hidden="1" x14ac:dyDescent="0.2">
      <c r="A12" s="81" t="s">
        <v>157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7"/>
      <c r="T12" s="137"/>
      <c r="U12" s="71"/>
      <c r="V12" s="93"/>
      <c r="W12" s="17"/>
      <c r="X12" s="140"/>
      <c r="Y12" s="140"/>
      <c r="Z12" s="93"/>
      <c r="AA12" s="17"/>
      <c r="AB12" s="140"/>
      <c r="AC12" s="140"/>
      <c r="AD12" s="70">
        <v>2.2759999999999998</v>
      </c>
      <c r="AE12" s="744"/>
      <c r="AF12" s="744"/>
      <c r="AG12" s="744"/>
      <c r="AH12" s="137">
        <f>51221/1000</f>
        <v>51.220999999999997</v>
      </c>
      <c r="AI12" s="137">
        <v>116.6</v>
      </c>
      <c r="AJ12" s="70">
        <v>2.427</v>
      </c>
      <c r="AK12" s="137">
        <f>14584/1000</f>
        <v>14.584</v>
      </c>
      <c r="AL12" s="137">
        <v>35.4</v>
      </c>
      <c r="AM12" s="70">
        <v>0</v>
      </c>
      <c r="AN12" s="137">
        <v>0</v>
      </c>
      <c r="AO12" s="137">
        <v>0</v>
      </c>
    </row>
    <row r="13" spans="1:41" ht="13.5" hidden="1" x14ac:dyDescent="0.25">
      <c r="A13" s="142" t="s">
        <v>133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39"/>
      <c r="T13" s="139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 t="e">
        <f>SUM(AB9:AB11)</f>
        <v>#REF!</v>
      </c>
      <c r="AC13" s="133" t="e">
        <f>SUM(AC9:AC11)</f>
        <v>#REF!</v>
      </c>
      <c r="AD13" s="133"/>
      <c r="AE13" s="746"/>
      <c r="AF13" s="746"/>
      <c r="AG13" s="746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134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7">
        <v>267.60000000000002</v>
      </c>
      <c r="T14" s="137">
        <v>1189.5999999999999</v>
      </c>
      <c r="U14" s="71"/>
      <c r="V14" s="93">
        <v>5.4</v>
      </c>
      <c r="W14" s="17">
        <f>V14/R14*100</f>
        <v>121.47276395427036</v>
      </c>
      <c r="X14" s="140">
        <v>406</v>
      </c>
      <c r="Y14" s="140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0" t="e">
        <f>AB25*AB24</f>
        <v>#REF!</v>
      </c>
      <c r="AC14" s="140" t="e">
        <f>Z14*AB14</f>
        <v>#REF!</v>
      </c>
      <c r="AD14" s="70">
        <v>4.96</v>
      </c>
      <c r="AE14" s="744"/>
      <c r="AF14" s="744"/>
      <c r="AG14" s="744"/>
      <c r="AH14" s="137">
        <f>259401/1000</f>
        <v>259.40100000000001</v>
      </c>
      <c r="AI14" s="137">
        <v>1286.5999999999999</v>
      </c>
      <c r="AJ14" s="70">
        <v>5.577</v>
      </c>
      <c r="AK14" s="137">
        <f>54257/1000</f>
        <v>54.256999999999998</v>
      </c>
      <c r="AL14" s="137">
        <v>302.60000000000002</v>
      </c>
      <c r="AM14" s="70">
        <v>4.9829999999999997</v>
      </c>
      <c r="AN14" s="137">
        <v>363.8</v>
      </c>
      <c r="AO14" s="137">
        <v>0</v>
      </c>
    </row>
    <row r="15" spans="1:41" hidden="1" x14ac:dyDescent="0.2">
      <c r="A15" s="81" t="s">
        <v>135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7">
        <v>1418.4</v>
      </c>
      <c r="T15" s="137">
        <v>4577.8</v>
      </c>
      <c r="U15" s="71"/>
      <c r="V15" s="93">
        <v>4</v>
      </c>
      <c r="W15" s="17">
        <f>V15/R15*100</f>
        <v>123.93726244047359</v>
      </c>
      <c r="X15" s="140">
        <v>2254</v>
      </c>
      <c r="Y15" s="140">
        <f>V15*X15</f>
        <v>9016</v>
      </c>
      <c r="Z15" s="93" t="e">
        <f>AC15/AB15</f>
        <v>#REF!</v>
      </c>
      <c r="AA15" s="94" t="e">
        <f>Z15/R15*100</f>
        <v>#REF!</v>
      </c>
      <c r="AB15" s="140" t="e">
        <f>AB26*AB24</f>
        <v>#REF!</v>
      </c>
      <c r="AC15" s="140">
        <v>8582.7999999999993</v>
      </c>
      <c r="AD15" s="70">
        <v>3.762</v>
      </c>
      <c r="AE15" s="744"/>
      <c r="AF15" s="744"/>
      <c r="AG15" s="744"/>
      <c r="AH15" s="137">
        <f>1540308/1000</f>
        <v>1540.308</v>
      </c>
      <c r="AI15" s="137">
        <v>5794.5</v>
      </c>
      <c r="AJ15" s="70">
        <v>4.1840000000000002</v>
      </c>
      <c r="AK15" s="137">
        <f>483414/1000</f>
        <v>483.41399999999999</v>
      </c>
      <c r="AL15" s="71">
        <v>2022.8</v>
      </c>
      <c r="AM15" s="70">
        <v>3.83</v>
      </c>
      <c r="AN15" s="137">
        <v>2289.4</v>
      </c>
      <c r="AO15" s="71">
        <v>0</v>
      </c>
    </row>
    <row r="16" spans="1:41" hidden="1" x14ac:dyDescent="0.2">
      <c r="A16" s="81" t="s">
        <v>157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0"/>
      <c r="AC16" s="140"/>
      <c r="AD16" s="70"/>
      <c r="AE16" s="744"/>
      <c r="AF16" s="744"/>
      <c r="AG16" s="744"/>
      <c r="AH16" s="137">
        <f>(13283+97372)/1000</f>
        <v>110.655</v>
      </c>
      <c r="AI16" s="71">
        <f>30.3+223.1</f>
        <v>253.4</v>
      </c>
      <c r="AJ16" s="65"/>
      <c r="AK16" s="137">
        <f>(4088+36605)/1000</f>
        <v>40.692999999999998</v>
      </c>
      <c r="AL16" s="71">
        <f>9.9+89</f>
        <v>98.9</v>
      </c>
      <c r="AM16" s="65"/>
      <c r="AN16" s="137">
        <v>0</v>
      </c>
      <c r="AO16" s="71">
        <v>0</v>
      </c>
    </row>
    <row r="17" spans="1:42" ht="13.5" hidden="1" x14ac:dyDescent="0.25">
      <c r="A17" s="142" t="s">
        <v>136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 t="e">
        <f>SUM(AB14:AB15)</f>
        <v>#REF!</v>
      </c>
      <c r="AC17" s="133" t="e">
        <f>SUM(AC14:AC15)</f>
        <v>#REF!</v>
      </c>
      <c r="AD17" s="133"/>
      <c r="AE17" s="746"/>
      <c r="AF17" s="746"/>
      <c r="AG17" s="746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745"/>
      <c r="AF18" s="745"/>
      <c r="AG18" s="745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137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'объемы ВС и ВО 2023'!G10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 t="e">
        <f>'объемы ВС и ВО 2023'!#REF!</f>
        <v>#REF!</v>
      </c>
      <c r="AC19" s="2"/>
      <c r="AD19" s="141"/>
      <c r="AE19" s="747"/>
      <c r="AF19" s="747"/>
      <c r="AG19" s="747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138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745"/>
      <c r="AF20" s="745"/>
      <c r="AG20" s="745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3">
        <f>(L20+P20+S20+AN20)/4</f>
        <v>0.15880621825734828</v>
      </c>
    </row>
    <row r="21" spans="1:42" hidden="1" x14ac:dyDescent="0.2">
      <c r="A21" s="81" t="s">
        <v>151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 t="e">
        <f>AB19</f>
        <v>#REF!</v>
      </c>
      <c r="AC21" s="2"/>
      <c r="AD21" s="57"/>
      <c r="AE21" s="745"/>
      <c r="AF21" s="745"/>
      <c r="AG21" s="745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139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748"/>
      <c r="AF22" s="748"/>
      <c r="AG22" s="748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3">
        <f>(L22+P22+S22+AN22)/4</f>
        <v>0.24172159546971789</v>
      </c>
    </row>
    <row r="23" spans="1:42" hidden="1" x14ac:dyDescent="0.2">
      <c r="A23" s="143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749"/>
      <c r="AF23" s="749"/>
      <c r="AG23" s="749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140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'объемы ВС и ВО 2023'!G22</f>
        <v>4093.2000000000003</v>
      </c>
      <c r="Q24" s="15"/>
      <c r="R24" s="15"/>
      <c r="S24" s="15">
        <f>'объемы ВС и ВО 2023'!L22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 t="e">
        <f>'объемы ВС и ВО 2023'!#REF!</f>
        <v>#REF!</v>
      </c>
      <c r="AC24" s="2"/>
      <c r="AD24" s="57"/>
      <c r="AE24" s="745"/>
      <c r="AF24" s="745"/>
      <c r="AG24" s="745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141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748"/>
      <c r="AF25" s="748"/>
      <c r="AG25" s="748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3">
        <f>(L25+P25+S25+AN25)/4</f>
        <v>9.3667728144402856E-2</v>
      </c>
    </row>
    <row r="26" spans="1:42" ht="25.5" hidden="1" x14ac:dyDescent="0.2">
      <c r="A26" s="81" t="s">
        <v>142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748"/>
      <c r="AF26" s="748"/>
      <c r="AG26" s="748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3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205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206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207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208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213</v>
      </c>
      <c r="R35">
        <v>4.2</v>
      </c>
      <c r="S35">
        <v>705.5</v>
      </c>
      <c r="T35">
        <v>2961.4</v>
      </c>
    </row>
    <row r="36" spans="1:59" hidden="1" x14ac:dyDescent="0.2">
      <c r="A36" t="s">
        <v>214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215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214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1497</v>
      </c>
    </row>
    <row r="41" spans="1:59" ht="20.25" x14ac:dyDescent="0.3">
      <c r="A41" s="5803" t="s">
        <v>820</v>
      </c>
      <c r="B41" s="5803"/>
      <c r="C41" s="5803"/>
      <c r="D41" s="5803"/>
      <c r="E41" s="5803"/>
      <c r="F41" s="5803"/>
      <c r="G41" s="5803"/>
      <c r="H41" s="5803"/>
      <c r="I41" s="5803"/>
      <c r="J41" s="5803"/>
      <c r="K41" s="5803"/>
      <c r="L41" s="5803"/>
      <c r="M41" s="5803"/>
      <c r="N41" s="5803"/>
      <c r="O41" s="5803"/>
      <c r="P41" s="5803"/>
      <c r="Q41" s="5803"/>
      <c r="R41" s="5803"/>
      <c r="S41" s="5803"/>
      <c r="T41" s="5803"/>
      <c r="U41" s="5803"/>
      <c r="V41" s="5803"/>
      <c r="W41" s="5803"/>
      <c r="X41" s="5803"/>
      <c r="Y41" s="5803"/>
      <c r="Z41" s="5803"/>
      <c r="AA41" s="5803"/>
      <c r="AB41" s="5803"/>
      <c r="AC41" s="5803"/>
      <c r="AD41" s="5803"/>
      <c r="AE41" s="5803"/>
      <c r="AF41" s="5803"/>
      <c r="AG41" s="5803"/>
      <c r="AH41" s="5803"/>
      <c r="AI41" s="5803"/>
      <c r="AJ41" s="5803"/>
      <c r="AK41" s="5803"/>
      <c r="AL41" s="5803"/>
      <c r="AM41" s="5824"/>
      <c r="AN41" s="5824"/>
      <c r="AO41" s="5824"/>
      <c r="AP41" s="5824"/>
      <c r="AQ41" s="5824"/>
      <c r="AR41" s="4910"/>
      <c r="AS41" s="4910"/>
      <c r="AT41" s="4910"/>
      <c r="AU41" s="4910"/>
      <c r="AV41" s="4910"/>
      <c r="AW41" s="4910"/>
      <c r="AX41" s="4910"/>
      <c r="AY41" s="4910"/>
      <c r="AZ41" s="4910"/>
      <c r="BA41" s="4910"/>
      <c r="BB41" s="4910"/>
      <c r="BC41" s="4910"/>
      <c r="BD41" s="4910"/>
      <c r="BE41" s="4910"/>
      <c r="BF41" s="4910"/>
      <c r="BG41" s="4910"/>
    </row>
    <row r="43" spans="1:59" ht="13.5" thickBot="1" x14ac:dyDescent="0.25"/>
    <row r="44" spans="1:59" ht="20.25" x14ac:dyDescent="0.2">
      <c r="A44" s="5825" t="s">
        <v>525</v>
      </c>
      <c r="B44" s="597"/>
      <c r="C44" s="362"/>
      <c r="D44" s="362"/>
      <c r="E44" s="362"/>
      <c r="F44" s="362"/>
      <c r="G44" s="362"/>
      <c r="H44" s="362"/>
      <c r="I44" s="362"/>
      <c r="J44" s="605"/>
      <c r="K44" s="5804" t="s">
        <v>285</v>
      </c>
      <c r="L44" s="5805"/>
      <c r="M44" s="5805"/>
      <c r="N44" s="5805"/>
      <c r="O44" s="5805"/>
      <c r="P44" s="5805"/>
      <c r="Q44" s="5805"/>
      <c r="R44" s="5805"/>
      <c r="S44" s="5805"/>
      <c r="T44" s="5805"/>
      <c r="U44" s="5805"/>
      <c r="V44" s="5805"/>
      <c r="W44" s="5805"/>
      <c r="X44" s="5805"/>
      <c r="Y44" s="5805"/>
      <c r="Z44" s="5805"/>
      <c r="AA44" s="5805"/>
      <c r="AB44" s="5805"/>
      <c r="AC44" s="5805"/>
      <c r="AD44" s="5805"/>
      <c r="AE44" s="5818"/>
      <c r="AF44" s="5818"/>
      <c r="AG44" s="5819"/>
      <c r="AH44" s="5804" t="s">
        <v>823</v>
      </c>
      <c r="AI44" s="5805"/>
      <c r="AJ44" s="5805"/>
      <c r="AK44" s="5805"/>
      <c r="AL44" s="5805"/>
      <c r="AM44" s="5805"/>
      <c r="AN44" s="5805"/>
      <c r="AO44" s="5805"/>
      <c r="AP44" s="5805"/>
      <c r="AQ44" s="5805"/>
      <c r="AR44" s="5806"/>
      <c r="AS44" s="5806"/>
      <c r="AT44" s="5806"/>
      <c r="AU44" s="5806"/>
      <c r="AV44" s="5806"/>
      <c r="AW44" s="5807"/>
      <c r="AX44" s="5828" t="s">
        <v>824</v>
      </c>
      <c r="AY44" s="5829"/>
      <c r="AZ44" s="5829"/>
      <c r="BA44" s="5829"/>
      <c r="BB44" s="5829"/>
      <c r="BC44" s="5829"/>
      <c r="BD44" s="5829"/>
      <c r="BE44" s="5829"/>
      <c r="BF44" s="5829"/>
      <c r="BG44" s="5830"/>
    </row>
    <row r="45" spans="1:59" ht="20.25" x14ac:dyDescent="0.2">
      <c r="A45" s="5826"/>
      <c r="B45" s="597"/>
      <c r="C45" s="362"/>
      <c r="D45" s="362"/>
      <c r="E45" s="362"/>
      <c r="F45" s="362"/>
      <c r="G45" s="362"/>
      <c r="H45" s="362"/>
      <c r="I45" s="362"/>
      <c r="J45" s="605"/>
      <c r="K45" s="5823" t="s">
        <v>121</v>
      </c>
      <c r="L45" s="5814"/>
      <c r="M45" s="5814"/>
      <c r="N45" s="5814"/>
      <c r="O45" s="5814" t="s">
        <v>122</v>
      </c>
      <c r="P45" s="5814"/>
      <c r="Q45" s="5814"/>
      <c r="R45" s="5814"/>
      <c r="S45" s="5827" t="s">
        <v>351</v>
      </c>
      <c r="T45" s="5827"/>
      <c r="U45" s="5827"/>
      <c r="V45" s="5827"/>
      <c r="W45" s="756"/>
      <c r="X45" s="5814" t="s">
        <v>373</v>
      </c>
      <c r="Y45" s="5814"/>
      <c r="Z45" s="5814"/>
      <c r="AA45" s="5814"/>
      <c r="AB45" s="5814" t="s">
        <v>126</v>
      </c>
      <c r="AC45" s="5814"/>
      <c r="AD45" s="5814"/>
      <c r="AE45" s="5820" t="s">
        <v>821</v>
      </c>
      <c r="AF45" s="5821"/>
      <c r="AG45" s="5822"/>
      <c r="AH45" s="5815" t="s">
        <v>121</v>
      </c>
      <c r="AI45" s="5811"/>
      <c r="AJ45" s="5811"/>
      <c r="AK45" s="5811"/>
      <c r="AL45" s="5814" t="s">
        <v>122</v>
      </c>
      <c r="AM45" s="5814"/>
      <c r="AN45" s="5814"/>
      <c r="AO45" s="5813" t="s">
        <v>351</v>
      </c>
      <c r="AP45" s="5813"/>
      <c r="AQ45" s="5813"/>
      <c r="AR45" s="5808" t="s">
        <v>373</v>
      </c>
      <c r="AS45" s="5808"/>
      <c r="AT45" s="5808"/>
      <c r="AU45" s="5810" t="s">
        <v>126</v>
      </c>
      <c r="AV45" s="5811"/>
      <c r="AW45" s="5811"/>
      <c r="AX45" s="5815" t="s">
        <v>121</v>
      </c>
      <c r="AY45" s="5811"/>
      <c r="AZ45" s="5811"/>
      <c r="BA45" s="5831"/>
      <c r="BB45" s="5832" t="s">
        <v>122</v>
      </c>
      <c r="BC45" s="5832"/>
      <c r="BD45" s="5832"/>
      <c r="BE45" s="5814" t="s">
        <v>351</v>
      </c>
      <c r="BF45" s="5814"/>
      <c r="BG45" s="5833"/>
    </row>
    <row r="46" spans="1:59" ht="18" customHeight="1" x14ac:dyDescent="0.2">
      <c r="A46" s="5826"/>
      <c r="B46" s="597"/>
      <c r="C46" s="362"/>
      <c r="D46" s="362"/>
      <c r="E46" s="362"/>
      <c r="F46" s="362"/>
      <c r="G46" s="362"/>
      <c r="H46" s="362"/>
      <c r="I46" s="362"/>
      <c r="J46" s="605"/>
      <c r="K46" s="757" t="s">
        <v>111</v>
      </c>
      <c r="L46" s="5812" t="s">
        <v>822</v>
      </c>
      <c r="M46" s="5812" t="s">
        <v>98</v>
      </c>
      <c r="N46" s="5812" t="s">
        <v>98</v>
      </c>
      <c r="O46" s="751" t="s">
        <v>111</v>
      </c>
      <c r="P46" s="5812" t="s">
        <v>822</v>
      </c>
      <c r="Q46" s="5812" t="s">
        <v>98</v>
      </c>
      <c r="R46" s="5812" t="s">
        <v>232</v>
      </c>
      <c r="S46" s="5827"/>
      <c r="T46" s="5827"/>
      <c r="U46" s="5827"/>
      <c r="V46" s="5827"/>
      <c r="W46" s="751"/>
      <c r="X46" s="751" t="s">
        <v>111</v>
      </c>
      <c r="Y46" s="5812" t="s">
        <v>822</v>
      </c>
      <c r="Z46" s="5812" t="s">
        <v>98</v>
      </c>
      <c r="AA46" s="5812" t="s">
        <v>98</v>
      </c>
      <c r="AB46" s="751" t="s">
        <v>111</v>
      </c>
      <c r="AC46" s="5812" t="s">
        <v>822</v>
      </c>
      <c r="AD46" s="5812" t="s">
        <v>98</v>
      </c>
      <c r="AE46" s="794" t="s">
        <v>111</v>
      </c>
      <c r="AF46" s="5816" t="s">
        <v>822</v>
      </c>
      <c r="AG46" s="5817" t="s">
        <v>98</v>
      </c>
      <c r="AH46" s="757" t="s">
        <v>111</v>
      </c>
      <c r="AI46" s="5812" t="s">
        <v>822</v>
      </c>
      <c r="AJ46" s="5812" t="s">
        <v>98</v>
      </c>
      <c r="AK46" s="5812" t="s">
        <v>378</v>
      </c>
      <c r="AL46" s="751" t="s">
        <v>111</v>
      </c>
      <c r="AM46" s="5812" t="s">
        <v>822</v>
      </c>
      <c r="AN46" s="5812" t="s">
        <v>98</v>
      </c>
      <c r="AO46" s="5809" t="s">
        <v>827</v>
      </c>
      <c r="AP46" s="5809"/>
      <c r="AQ46" s="5809"/>
      <c r="AR46" s="783" t="s">
        <v>111</v>
      </c>
      <c r="AS46" s="5809" t="s">
        <v>822</v>
      </c>
      <c r="AT46" s="5809" t="s">
        <v>98</v>
      </c>
      <c r="AU46" s="782" t="s">
        <v>111</v>
      </c>
      <c r="AV46" s="5812" t="s">
        <v>822</v>
      </c>
      <c r="AW46" s="5812" t="s">
        <v>98</v>
      </c>
      <c r="AX46" s="757" t="s">
        <v>111</v>
      </c>
      <c r="AY46" s="5812" t="s">
        <v>822</v>
      </c>
      <c r="AZ46" s="5812" t="s">
        <v>98</v>
      </c>
      <c r="BA46" s="5812" t="s">
        <v>378</v>
      </c>
      <c r="BB46" s="758" t="s">
        <v>111</v>
      </c>
      <c r="BC46" s="5812" t="s">
        <v>822</v>
      </c>
      <c r="BD46" s="5812" t="s">
        <v>98</v>
      </c>
      <c r="BE46" s="5812" t="s">
        <v>827</v>
      </c>
      <c r="BF46" s="5812"/>
      <c r="BG46" s="5834"/>
    </row>
    <row r="47" spans="1:59" ht="56.25" x14ac:dyDescent="0.2">
      <c r="A47" s="5826"/>
      <c r="B47" s="597"/>
      <c r="C47" s="362"/>
      <c r="D47" s="362"/>
      <c r="E47" s="362"/>
      <c r="F47" s="362"/>
      <c r="G47" s="362"/>
      <c r="H47" s="362"/>
      <c r="I47" s="362"/>
      <c r="J47" s="605"/>
      <c r="K47" s="757" t="s">
        <v>221</v>
      </c>
      <c r="L47" s="5812"/>
      <c r="M47" s="5812"/>
      <c r="N47" s="5812"/>
      <c r="O47" s="751" t="s">
        <v>221</v>
      </c>
      <c r="P47" s="5812"/>
      <c r="Q47" s="5812"/>
      <c r="R47" s="5812"/>
      <c r="S47" s="751" t="s">
        <v>111</v>
      </c>
      <c r="T47" s="751" t="s">
        <v>359</v>
      </c>
      <c r="U47" s="751"/>
      <c r="V47" s="751" t="s">
        <v>98</v>
      </c>
      <c r="W47" s="751"/>
      <c r="X47" s="751" t="s">
        <v>221</v>
      </c>
      <c r="Y47" s="5812"/>
      <c r="Z47" s="5812"/>
      <c r="AA47" s="5812"/>
      <c r="AB47" s="751" t="s">
        <v>221</v>
      </c>
      <c r="AC47" s="5812"/>
      <c r="AD47" s="5812"/>
      <c r="AE47" s="794" t="s">
        <v>221</v>
      </c>
      <c r="AF47" s="5816"/>
      <c r="AG47" s="5817"/>
      <c r="AH47" s="757" t="s">
        <v>221</v>
      </c>
      <c r="AI47" s="5812"/>
      <c r="AJ47" s="5812"/>
      <c r="AK47" s="5812"/>
      <c r="AL47" s="751" t="s">
        <v>221</v>
      </c>
      <c r="AM47" s="5812"/>
      <c r="AN47" s="5812"/>
      <c r="AO47" s="783" t="s">
        <v>111</v>
      </c>
      <c r="AP47" s="783" t="s">
        <v>359</v>
      </c>
      <c r="AQ47" s="783" t="s">
        <v>98</v>
      </c>
      <c r="AR47" s="783" t="s">
        <v>221</v>
      </c>
      <c r="AS47" s="5809"/>
      <c r="AT47" s="5809"/>
      <c r="AU47" s="782" t="s">
        <v>221</v>
      </c>
      <c r="AV47" s="5812"/>
      <c r="AW47" s="5812"/>
      <c r="AX47" s="757" t="s">
        <v>221</v>
      </c>
      <c r="AY47" s="5812"/>
      <c r="AZ47" s="5812"/>
      <c r="BA47" s="5812"/>
      <c r="BB47" s="758" t="s">
        <v>221</v>
      </c>
      <c r="BC47" s="5812"/>
      <c r="BD47" s="5812"/>
      <c r="BE47" s="758" t="s">
        <v>111</v>
      </c>
      <c r="BF47" s="758" t="s">
        <v>359</v>
      </c>
      <c r="BG47" s="777" t="s">
        <v>98</v>
      </c>
    </row>
    <row r="48" spans="1:59" ht="30" customHeight="1" x14ac:dyDescent="0.2">
      <c r="A48" s="771" t="s">
        <v>131</v>
      </c>
      <c r="B48" s="597"/>
      <c r="C48" s="362"/>
      <c r="D48" s="362"/>
      <c r="E48" s="362"/>
      <c r="F48" s="362"/>
      <c r="G48" s="362"/>
      <c r="H48" s="362"/>
      <c r="I48" s="362"/>
      <c r="J48" s="605"/>
      <c r="K48" s="759">
        <v>5.75</v>
      </c>
      <c r="L48" s="760">
        <v>1091.2</v>
      </c>
      <c r="M48" s="752">
        <f>L48*K48</f>
        <v>6274.4000000000005</v>
      </c>
      <c r="N48" s="760">
        <f>K48*M48</f>
        <v>36077.800000000003</v>
      </c>
      <c r="O48" s="753">
        <v>5.5810000000000004</v>
      </c>
      <c r="P48" s="644" t="e">
        <f>Q56*Q57</f>
        <v>#REF!</v>
      </c>
      <c r="Q48" s="644" t="e">
        <f>O48*P48</f>
        <v>#REF!</v>
      </c>
      <c r="R48" s="761"/>
      <c r="S48" s="753">
        <f>O48-K48</f>
        <v>-0.16899999999999959</v>
      </c>
      <c r="T48" s="756" t="e">
        <f>P48-L48</f>
        <v>#REF!</v>
      </c>
      <c r="U48" s="761"/>
      <c r="V48" s="756" t="e">
        <f>Q48-M48</f>
        <v>#REF!</v>
      </c>
      <c r="W48" s="761"/>
      <c r="X48" s="753">
        <v>4.9657999999999998</v>
      </c>
      <c r="Y48" s="760">
        <v>505.33199999999999</v>
      </c>
      <c r="Z48" s="752">
        <v>2509.4</v>
      </c>
      <c r="AA48" s="760">
        <f>X48*Z48</f>
        <v>12461.178519999999</v>
      </c>
      <c r="AB48" s="753">
        <f t="shared" ref="AB48:AB55" si="3">AD48/AC48</f>
        <v>4.9915147295592019</v>
      </c>
      <c r="AC48" s="760">
        <v>689.43</v>
      </c>
      <c r="AD48" s="752">
        <v>3441.3</v>
      </c>
      <c r="AE48" s="795">
        <f>SUM(AG48/AF48)</f>
        <v>5.007427152968611</v>
      </c>
      <c r="AF48" s="796">
        <v>910.84699999999998</v>
      </c>
      <c r="AG48" s="383">
        <v>4561</v>
      </c>
      <c r="AH48" s="759">
        <v>5.5810000000000004</v>
      </c>
      <c r="AI48" s="760">
        <v>846.8</v>
      </c>
      <c r="AJ48" s="644">
        <f>4962.29</f>
        <v>4962.29</v>
      </c>
      <c r="AK48" s="760"/>
      <c r="AL48" s="753">
        <f>K73*1.028</f>
        <v>5.2037132396875592</v>
      </c>
      <c r="AM48" s="644">
        <f>AN56*AN57</f>
        <v>883.18331415423415</v>
      </c>
      <c r="AN48" s="644">
        <f>AL48*AM48</f>
        <v>4595.8327049355248</v>
      </c>
      <c r="AO48" s="784">
        <f t="shared" ref="AO48:AQ50" si="4">AL48-AH48</f>
        <v>-0.37728676031244124</v>
      </c>
      <c r="AP48" s="785">
        <f t="shared" si="4"/>
        <v>36.383314154234199</v>
      </c>
      <c r="AQ48" s="785">
        <f t="shared" si="4"/>
        <v>-366.45729506447515</v>
      </c>
      <c r="AR48" s="784">
        <f>SUM(AT48/AS48)</f>
        <v>4.9360225547603553</v>
      </c>
      <c r="AS48" s="786">
        <v>414.99</v>
      </c>
      <c r="AT48" s="787">
        <v>2048.4</v>
      </c>
      <c r="AU48" s="784">
        <f>SUM(AW48/AV48)</f>
        <v>5.0309675458654715</v>
      </c>
      <c r="AV48" s="1258">
        <v>546.21699999999998</v>
      </c>
      <c r="AW48" s="1259">
        <v>2748</v>
      </c>
      <c r="AX48" s="802">
        <f>SUM(AL48*1.1)</f>
        <v>5.7240845636563158</v>
      </c>
      <c r="AY48" s="795">
        <v>910.85</v>
      </c>
      <c r="AZ48" s="796">
        <f>SUM(AX48*AY48)</f>
        <v>5213.7824248063553</v>
      </c>
      <c r="BA48" s="803">
        <f t="shared" ref="BA48:BA62" si="5">SUM(AZ48/AN48)</f>
        <v>1.1344587062986879</v>
      </c>
      <c r="BB48" s="784">
        <f>(AU64+AU64*1.06)/2</f>
        <v>5.4911565455279785</v>
      </c>
      <c r="BC48" s="786">
        <f>BD56*BD57</f>
        <v>703.79138799999998</v>
      </c>
      <c r="BD48" s="787">
        <f>BC48*BB48</f>
        <v>3864.6286869024211</v>
      </c>
      <c r="BE48" s="753">
        <f t="shared" ref="BE48:BE54" si="6">BB48-AX48</f>
        <v>-0.2329280181283373</v>
      </c>
      <c r="BF48" s="756">
        <f t="shared" ref="BF48:BF54" si="7">BC48-AY48</f>
        <v>-207.05861200000004</v>
      </c>
      <c r="BG48" s="778">
        <f t="shared" ref="BG48:BG54" si="8">BD48-AZ48</f>
        <v>-1349.1537379039341</v>
      </c>
    </row>
    <row r="49" spans="1:61" ht="30" customHeight="1" x14ac:dyDescent="0.2">
      <c r="A49" s="1191"/>
      <c r="B49" s="1192"/>
      <c r="C49" s="1193"/>
      <c r="D49" s="1193"/>
      <c r="E49" s="1193"/>
      <c r="F49" s="1193"/>
      <c r="G49" s="1193"/>
      <c r="H49" s="1193"/>
      <c r="I49" s="1193"/>
      <c r="J49" s="1194"/>
      <c r="K49" s="1195"/>
      <c r="L49" s="1196"/>
      <c r="M49" s="1197"/>
      <c r="N49" s="1196"/>
      <c r="O49" s="1198"/>
      <c r="P49" s="1199"/>
      <c r="Q49" s="1199"/>
      <c r="R49" s="1200"/>
      <c r="S49" s="1198"/>
      <c r="T49" s="1201"/>
      <c r="U49" s="1200"/>
      <c r="V49" s="1201"/>
      <c r="W49" s="1200"/>
      <c r="X49" s="1198"/>
      <c r="Y49" s="1196"/>
      <c r="Z49" s="1197"/>
      <c r="AA49" s="1196"/>
      <c r="AB49" s="1198"/>
      <c r="AC49" s="1196"/>
      <c r="AD49" s="1197"/>
      <c r="AE49" s="1202"/>
      <c r="AF49" s="1203"/>
      <c r="AG49" s="1204"/>
      <c r="AH49" s="1195"/>
      <c r="AI49" s="1196"/>
      <c r="AJ49" s="1199"/>
      <c r="AK49" s="1196"/>
      <c r="AL49" s="1198"/>
      <c r="AM49" s="1199"/>
      <c r="AN49" s="1199"/>
      <c r="AO49" s="1198"/>
      <c r="AP49" s="1201"/>
      <c r="AQ49" s="1201"/>
      <c r="AR49" s="1198"/>
      <c r="AS49" s="1196"/>
      <c r="AT49" s="1199">
        <v>132.9</v>
      </c>
      <c r="AU49" s="1198"/>
      <c r="AV49" s="1258"/>
      <c r="AW49" s="1259">
        <v>205.8</v>
      </c>
      <c r="AX49" s="1205"/>
      <c r="AY49" s="1202"/>
      <c r="AZ49" s="1203"/>
      <c r="BA49" s="1206"/>
      <c r="BB49" s="1198"/>
      <c r="BC49" s="1196"/>
      <c r="BD49" s="1199"/>
      <c r="BE49" s="1198"/>
      <c r="BF49" s="1201"/>
      <c r="BG49" s="1207"/>
    </row>
    <row r="50" spans="1:61" ht="30" customHeight="1" x14ac:dyDescent="0.2">
      <c r="A50" s="771" t="s">
        <v>132</v>
      </c>
      <c r="B50" s="597"/>
      <c r="C50" s="362"/>
      <c r="D50" s="362"/>
      <c r="E50" s="362"/>
      <c r="F50" s="362"/>
      <c r="G50" s="362"/>
      <c r="H50" s="362"/>
      <c r="I50" s="362"/>
      <c r="J50" s="605"/>
      <c r="K50" s="759">
        <v>4.55</v>
      </c>
      <c r="L50" s="760">
        <v>1754.8</v>
      </c>
      <c r="M50" s="752">
        <f>L50*K50</f>
        <v>7984.3399999999992</v>
      </c>
      <c r="N50" s="760">
        <f>K50*M50</f>
        <v>36328.746999999996</v>
      </c>
      <c r="O50" s="753">
        <v>4.5730000000000004</v>
      </c>
      <c r="P50" s="644" t="e">
        <f>Q58*Q59</f>
        <v>#REF!</v>
      </c>
      <c r="Q50" s="644" t="e">
        <f>O50*P50</f>
        <v>#REF!</v>
      </c>
      <c r="R50" s="761"/>
      <c r="S50" s="753">
        <f>O50-K50</f>
        <v>2.3000000000000576E-2</v>
      </c>
      <c r="T50" s="756" t="e">
        <f>P50-L50</f>
        <v>#REF!</v>
      </c>
      <c r="U50" s="761"/>
      <c r="V50" s="756" t="e">
        <f t="shared" ref="V50:V62" si="9">Q50-M50</f>
        <v>#REF!</v>
      </c>
      <c r="W50" s="761"/>
      <c r="X50" s="753">
        <v>3.9638</v>
      </c>
      <c r="Y50" s="760">
        <v>820.02</v>
      </c>
      <c r="Z50" s="752">
        <v>3250.4</v>
      </c>
      <c r="AA50" s="760">
        <f>X50*Z50</f>
        <v>12883.935520000001</v>
      </c>
      <c r="AB50" s="753">
        <f t="shared" si="3"/>
        <v>4.0118462507876496</v>
      </c>
      <c r="AC50" s="760">
        <v>1190.25</v>
      </c>
      <c r="AD50" s="752">
        <v>4775.1000000000004</v>
      </c>
      <c r="AE50" s="795">
        <f>SUM(AG50/AF50)</f>
        <v>4.0205962981621663</v>
      </c>
      <c r="AF50" s="796">
        <v>1528.43</v>
      </c>
      <c r="AG50" s="383">
        <v>6145.2</v>
      </c>
      <c r="AH50" s="759">
        <v>4.5730000000000004</v>
      </c>
      <c r="AI50" s="760">
        <v>1387.6</v>
      </c>
      <c r="AJ50" s="644">
        <v>6662.8</v>
      </c>
      <c r="AK50" s="760"/>
      <c r="AL50" s="753">
        <f>K75*1.028</f>
        <v>4.2335618399373365</v>
      </c>
      <c r="AM50" s="644">
        <f>AN58*AN59</f>
        <v>1209.6401285612453</v>
      </c>
      <c r="AN50" s="644">
        <f>AL50*AM50</f>
        <v>5121.0862883337822</v>
      </c>
      <c r="AO50" s="784">
        <f t="shared" si="4"/>
        <v>-0.33943816006266392</v>
      </c>
      <c r="AP50" s="785">
        <f t="shared" si="4"/>
        <v>-177.95987143875459</v>
      </c>
      <c r="AQ50" s="785">
        <f t="shared" si="4"/>
        <v>-1541.7137116662179</v>
      </c>
      <c r="AR50" s="784">
        <f>SUM(AT50/AS50)</f>
        <v>3.819503849443969</v>
      </c>
      <c r="AS50" s="786">
        <v>678.02</v>
      </c>
      <c r="AT50" s="787">
        <v>2589.6999999999998</v>
      </c>
      <c r="AU50" s="784">
        <f>SUM(AW50/AV50)</f>
        <v>3.9526209082140822</v>
      </c>
      <c r="AV50" s="1258">
        <v>1016.06</v>
      </c>
      <c r="AW50" s="1259">
        <v>4016.1</v>
      </c>
      <c r="AX50" s="802">
        <f>SUM(AL50*1.1)</f>
        <v>4.6569180239310706</v>
      </c>
      <c r="AY50" s="795">
        <v>1528.43</v>
      </c>
      <c r="AZ50" s="796">
        <f>SUM(AX50*AY50)</f>
        <v>7117.7732153169663</v>
      </c>
      <c r="BA50" s="803">
        <f t="shared" si="5"/>
        <v>1.3898951930436685</v>
      </c>
      <c r="BB50" s="784">
        <f>(AU66+AU66*1.06)/2</f>
        <v>4.3462075494024379</v>
      </c>
      <c r="BC50" s="786">
        <f>BD58*BD59</f>
        <v>1237.0113330000001</v>
      </c>
      <c r="BD50" s="787">
        <f>BC50*BB50</f>
        <v>5376.3079941809738</v>
      </c>
      <c r="BE50" s="753">
        <f t="shared" si="6"/>
        <v>-0.31071047452863265</v>
      </c>
      <c r="BF50" s="756">
        <f t="shared" si="7"/>
        <v>-291.41866699999991</v>
      </c>
      <c r="BG50" s="778">
        <f t="shared" si="8"/>
        <v>-1741.4652211359926</v>
      </c>
    </row>
    <row r="51" spans="1:61" ht="30" customHeight="1" x14ac:dyDescent="0.2">
      <c r="A51" s="772" t="s">
        <v>133</v>
      </c>
      <c r="B51" s="597"/>
      <c r="C51" s="362"/>
      <c r="D51" s="362"/>
      <c r="E51" s="362"/>
      <c r="F51" s="362"/>
      <c r="G51" s="362"/>
      <c r="H51" s="362"/>
      <c r="I51" s="362"/>
      <c r="J51" s="605"/>
      <c r="K51" s="762">
        <f>M51/L51</f>
        <v>5.0100983836964161</v>
      </c>
      <c r="L51" s="645">
        <f>L48+L50</f>
        <v>2846</v>
      </c>
      <c r="M51" s="645">
        <f>SUM(M48:M50)</f>
        <v>14258.74</v>
      </c>
      <c r="N51" s="763">
        <f>SUM(N48:N50)</f>
        <v>72406.546999999991</v>
      </c>
      <c r="O51" s="764" t="e">
        <f>Q51/P51</f>
        <v>#REF!</v>
      </c>
      <c r="P51" s="645" t="e">
        <f>P48+P50</f>
        <v>#REF!</v>
      </c>
      <c r="Q51" s="645" t="e">
        <f>Q48+Q50</f>
        <v>#REF!</v>
      </c>
      <c r="R51" s="765"/>
      <c r="S51" s="764" t="e">
        <f t="shared" ref="S51:T54" si="10">O51-K51</f>
        <v>#REF!</v>
      </c>
      <c r="T51" s="756" t="e">
        <f t="shared" si="10"/>
        <v>#REF!</v>
      </c>
      <c r="U51" s="765"/>
      <c r="V51" s="756" t="e">
        <f t="shared" si="9"/>
        <v>#REF!</v>
      </c>
      <c r="W51" s="765"/>
      <c r="X51" s="764">
        <f>Z51/Y51</f>
        <v>4.3458643439629627</v>
      </c>
      <c r="Y51" s="645">
        <f>Y48+Y50</f>
        <v>1325.3519999999999</v>
      </c>
      <c r="Z51" s="645">
        <f>SUM(Z48:Z50)</f>
        <v>5759.8</v>
      </c>
      <c r="AA51" s="763">
        <f>SUM(AA48:AA50)</f>
        <v>25345.11404</v>
      </c>
      <c r="AB51" s="764">
        <f t="shared" si="3"/>
        <v>4.3711695607763037</v>
      </c>
      <c r="AC51" s="645">
        <f>AC48+AC50</f>
        <v>1879.6799999999998</v>
      </c>
      <c r="AD51" s="645">
        <f>SUM(AD48:AD50)</f>
        <v>8216.4000000000015</v>
      </c>
      <c r="AE51" s="797">
        <f>AG51/AF51</f>
        <v>4.389087422215681</v>
      </c>
      <c r="AF51" s="798">
        <f>AF48+AF50</f>
        <v>2439.277</v>
      </c>
      <c r="AG51" s="384">
        <f>AG48+AG50</f>
        <v>10706.2</v>
      </c>
      <c r="AH51" s="762">
        <f>AJ51/AI51</f>
        <v>5.202779269602579</v>
      </c>
      <c r="AI51" s="645">
        <f>AI48+AI50</f>
        <v>2234.3999999999996</v>
      </c>
      <c r="AJ51" s="645">
        <f>SUM(AJ48:AJ50)</f>
        <v>11625.09</v>
      </c>
      <c r="AK51" s="763"/>
      <c r="AL51" s="764">
        <f>AN51/AM51</f>
        <v>4.6429712105391054</v>
      </c>
      <c r="AM51" s="645">
        <f>AM48+AM50</f>
        <v>2092.8234427154794</v>
      </c>
      <c r="AN51" s="645">
        <f>AN48+AN50</f>
        <v>9716.918993269308</v>
      </c>
      <c r="AO51" s="788">
        <f t="shared" ref="AO51:AQ54" si="11">AL51-AH51</f>
        <v>-0.55980805906347353</v>
      </c>
      <c r="AP51" s="785">
        <f t="shared" si="11"/>
        <v>-141.57655728452028</v>
      </c>
      <c r="AQ51" s="785">
        <f t="shared" si="11"/>
        <v>-1908.1710067306922</v>
      </c>
      <c r="AR51" s="788">
        <f>AT51/AS51</f>
        <v>4.3650103841684889</v>
      </c>
      <c r="AS51" s="789">
        <f>AS48+AS50</f>
        <v>1093.01</v>
      </c>
      <c r="AT51" s="789">
        <f>SUM(AT48:AT50)</f>
        <v>4771</v>
      </c>
      <c r="AU51" s="788">
        <f>AW51/AV51</f>
        <v>4.4613727271156138</v>
      </c>
      <c r="AV51" s="789">
        <f>AV48+AV50</f>
        <v>1562.277</v>
      </c>
      <c r="AW51" s="789">
        <f>SUM(AW48:AW50)</f>
        <v>6969.9</v>
      </c>
      <c r="AX51" s="804">
        <f>AZ51/AY51</f>
        <v>5.0554080056915653</v>
      </c>
      <c r="AY51" s="798">
        <f>AY48+AY50</f>
        <v>2439.2800000000002</v>
      </c>
      <c r="AZ51" s="798">
        <f>SUM(AZ48:AZ50)</f>
        <v>12331.555640123323</v>
      </c>
      <c r="BA51" s="803">
        <f t="shared" si="5"/>
        <v>1.2690808319658848</v>
      </c>
      <c r="BB51" s="788">
        <f>BD51/BC51</f>
        <v>4.7613992813870309</v>
      </c>
      <c r="BC51" s="789">
        <f>BC48+BC50</f>
        <v>1940.802721</v>
      </c>
      <c r="BD51" s="789">
        <f>SUM(BD48:BD50)</f>
        <v>9240.9366810833944</v>
      </c>
      <c r="BE51" s="764">
        <f t="shared" si="6"/>
        <v>-0.2940087243045344</v>
      </c>
      <c r="BF51" s="756">
        <f t="shared" si="7"/>
        <v>-498.47727900000018</v>
      </c>
      <c r="BG51" s="778">
        <f t="shared" si="8"/>
        <v>-3090.6189590399281</v>
      </c>
    </row>
    <row r="52" spans="1:61" ht="30" customHeight="1" x14ac:dyDescent="0.2">
      <c r="A52" s="771" t="s">
        <v>134</v>
      </c>
      <c r="B52" s="597"/>
      <c r="C52" s="362"/>
      <c r="D52" s="362"/>
      <c r="E52" s="362"/>
      <c r="F52" s="362"/>
      <c r="G52" s="362"/>
      <c r="H52" s="362"/>
      <c r="I52" s="362"/>
      <c r="J52" s="605"/>
      <c r="K52" s="759">
        <v>5.75</v>
      </c>
      <c r="L52" s="760">
        <v>397.8</v>
      </c>
      <c r="M52" s="752">
        <v>2285.4</v>
      </c>
      <c r="N52" s="760">
        <f>K52*M52</f>
        <v>13141.050000000001</v>
      </c>
      <c r="O52" s="753">
        <v>5.63</v>
      </c>
      <c r="P52" s="761">
        <f>Q60*Q61</f>
        <v>363.59730000000002</v>
      </c>
      <c r="Q52" s="644">
        <f>O52*P52</f>
        <v>2047.0527990000001</v>
      </c>
      <c r="R52" s="760"/>
      <c r="S52" s="753">
        <f t="shared" si="10"/>
        <v>-0.12000000000000011</v>
      </c>
      <c r="T52" s="756">
        <f t="shared" si="10"/>
        <v>-34.202699999999993</v>
      </c>
      <c r="U52" s="760"/>
      <c r="V52" s="756">
        <f t="shared" si="9"/>
        <v>-238.34720100000004</v>
      </c>
      <c r="W52" s="760"/>
      <c r="X52" s="753">
        <v>4.9886999999999997</v>
      </c>
      <c r="Y52" s="760">
        <v>162.167</v>
      </c>
      <c r="Z52" s="752">
        <v>809</v>
      </c>
      <c r="AA52" s="760">
        <f>X52*Z52</f>
        <v>4035.8582999999999</v>
      </c>
      <c r="AB52" s="753">
        <f t="shared" si="3"/>
        <v>5.0153983485829059</v>
      </c>
      <c r="AC52" s="760">
        <v>224.05</v>
      </c>
      <c r="AD52" s="752">
        <v>1123.7</v>
      </c>
      <c r="AE52" s="795">
        <f>SUM(AG52/AF52)</f>
        <v>5.0316393763454892</v>
      </c>
      <c r="AF52" s="795">
        <v>306.58</v>
      </c>
      <c r="AG52" s="383">
        <v>1542.6</v>
      </c>
      <c r="AH52" s="759">
        <v>5.91</v>
      </c>
      <c r="AI52" s="760">
        <v>397.8</v>
      </c>
      <c r="AJ52" s="752">
        <v>2285.4</v>
      </c>
      <c r="AK52" s="760"/>
      <c r="AL52" s="753">
        <f>K77*1.028</f>
        <v>5.2277943861803733</v>
      </c>
      <c r="AM52" s="761">
        <f>AN60*AN61</f>
        <v>360.82530000000003</v>
      </c>
      <c r="AN52" s="644">
        <f>AL52*AM52</f>
        <v>1886.3204777318492</v>
      </c>
      <c r="AO52" s="784">
        <f t="shared" si="11"/>
        <v>-0.68220561381962685</v>
      </c>
      <c r="AP52" s="785">
        <f t="shared" si="11"/>
        <v>-36.974699999999984</v>
      </c>
      <c r="AQ52" s="785">
        <f t="shared" si="11"/>
        <v>-399.07952226815087</v>
      </c>
      <c r="AR52" s="784">
        <f t="shared" ref="AR52:AR54" si="12">SUM(AT52/AS52)</f>
        <v>4.9758749575263339</v>
      </c>
      <c r="AS52" s="786">
        <v>147.15</v>
      </c>
      <c r="AT52" s="790">
        <v>732.2</v>
      </c>
      <c r="AU52" s="784">
        <f t="shared" ref="AU52:AU54" si="13">SUM(AW52/AV52)</f>
        <v>5.0682433840383414</v>
      </c>
      <c r="AV52" s="1258">
        <v>191.96</v>
      </c>
      <c r="AW52" s="1260">
        <v>972.9</v>
      </c>
      <c r="AX52" s="802">
        <f t="shared" ref="AX52:AX54" si="14">SUM(AL52*1.1)</f>
        <v>5.7505738247984111</v>
      </c>
      <c r="AY52" s="795">
        <v>306.58</v>
      </c>
      <c r="AZ52" s="796">
        <f t="shared" ref="AZ52:AZ54" si="15">SUM(AX52*AY52)</f>
        <v>1763.0109232066968</v>
      </c>
      <c r="BA52" s="803">
        <f t="shared" si="5"/>
        <v>0.93462958390112882</v>
      </c>
      <c r="BB52" s="784">
        <f>(AU70+AU70*1.06)/2</f>
        <v>5.5327159116268669</v>
      </c>
      <c r="BC52" s="786">
        <f>BD60*BD61</f>
        <v>290.97012000000001</v>
      </c>
      <c r="BD52" s="787">
        <f>BC52*BB52</f>
        <v>1609.8550127319788</v>
      </c>
      <c r="BE52" s="753">
        <f t="shared" si="6"/>
        <v>-0.21785791317154413</v>
      </c>
      <c r="BF52" s="756">
        <f t="shared" si="7"/>
        <v>-15.609879999999976</v>
      </c>
      <c r="BG52" s="778">
        <f t="shared" si="8"/>
        <v>-153.15591047471798</v>
      </c>
    </row>
    <row r="53" spans="1:61" ht="30" customHeight="1" x14ac:dyDescent="0.2">
      <c r="A53" s="1191"/>
      <c r="B53" s="1192"/>
      <c r="C53" s="1193"/>
      <c r="D53" s="1193"/>
      <c r="E53" s="1193"/>
      <c r="F53" s="1193"/>
      <c r="G53" s="1193"/>
      <c r="H53" s="1193"/>
      <c r="I53" s="1193"/>
      <c r="J53" s="1194"/>
      <c r="K53" s="1195"/>
      <c r="L53" s="1196"/>
      <c r="M53" s="1197"/>
      <c r="N53" s="1196"/>
      <c r="O53" s="1198"/>
      <c r="P53" s="1200"/>
      <c r="Q53" s="1199"/>
      <c r="R53" s="1196"/>
      <c r="S53" s="1198"/>
      <c r="T53" s="1201"/>
      <c r="U53" s="1196"/>
      <c r="V53" s="1201"/>
      <c r="W53" s="1196"/>
      <c r="X53" s="1198"/>
      <c r="Y53" s="1196"/>
      <c r="Z53" s="1197"/>
      <c r="AA53" s="1196"/>
      <c r="AB53" s="1198"/>
      <c r="AC53" s="1196"/>
      <c r="AD53" s="1197"/>
      <c r="AE53" s="1202"/>
      <c r="AF53" s="1202"/>
      <c r="AG53" s="1204"/>
      <c r="AH53" s="1195"/>
      <c r="AI53" s="1196"/>
      <c r="AJ53" s="1197"/>
      <c r="AK53" s="1196"/>
      <c r="AL53" s="1198"/>
      <c r="AM53" s="1200"/>
      <c r="AN53" s="1199"/>
      <c r="AO53" s="1198"/>
      <c r="AP53" s="1201"/>
      <c r="AQ53" s="1201"/>
      <c r="AR53" s="1198"/>
      <c r="AS53" s="1196"/>
      <c r="AT53" s="1197">
        <v>132.9</v>
      </c>
      <c r="AU53" s="1198"/>
      <c r="AV53" s="1258"/>
      <c r="AW53" s="1260">
        <v>205.9</v>
      </c>
      <c r="AX53" s="1205"/>
      <c r="AY53" s="1202"/>
      <c r="AZ53" s="1203"/>
      <c r="BA53" s="1206"/>
      <c r="BB53" s="1198"/>
      <c r="BC53" s="1196"/>
      <c r="BD53" s="1199"/>
      <c r="BE53" s="1198"/>
      <c r="BF53" s="1201"/>
      <c r="BG53" s="1207"/>
    </row>
    <row r="54" spans="1:61" ht="30" customHeight="1" x14ac:dyDescent="0.2">
      <c r="A54" s="771" t="s">
        <v>135</v>
      </c>
      <c r="B54" s="597"/>
      <c r="C54" s="362"/>
      <c r="D54" s="362"/>
      <c r="E54" s="362"/>
      <c r="F54" s="362"/>
      <c r="G54" s="362"/>
      <c r="H54" s="362"/>
      <c r="I54" s="362"/>
      <c r="J54" s="605"/>
      <c r="K54" s="759">
        <v>4.2300000000000004</v>
      </c>
      <c r="L54" s="760">
        <v>2282.1999999999998</v>
      </c>
      <c r="M54" s="752">
        <v>9664.7999999999993</v>
      </c>
      <c r="N54" s="760">
        <f>K54*M54</f>
        <v>40882.103999999999</v>
      </c>
      <c r="O54" s="753">
        <v>4.3</v>
      </c>
      <c r="P54" s="761">
        <f>Q60*Q62</f>
        <v>1439.1333261085247</v>
      </c>
      <c r="Q54" s="644">
        <f>O54*P54</f>
        <v>6188.2733022666562</v>
      </c>
      <c r="R54" s="760"/>
      <c r="S54" s="753">
        <f t="shared" si="10"/>
        <v>6.9999999999999396E-2</v>
      </c>
      <c r="T54" s="756">
        <f t="shared" si="10"/>
        <v>-843.06667389147515</v>
      </c>
      <c r="U54" s="760"/>
      <c r="V54" s="756">
        <f t="shared" si="9"/>
        <v>-3476.5266977333431</v>
      </c>
      <c r="W54" s="760"/>
      <c r="X54" s="753">
        <v>3.7764000000000002</v>
      </c>
      <c r="Y54" s="760">
        <v>940.27</v>
      </c>
      <c r="Z54" s="752">
        <v>3550.8</v>
      </c>
      <c r="AA54" s="760">
        <f>X54*Z54</f>
        <v>13409.241120000001</v>
      </c>
      <c r="AB54" s="753">
        <f t="shared" si="3"/>
        <v>3.8226634015509302</v>
      </c>
      <c r="AC54" s="760">
        <v>1372.08</v>
      </c>
      <c r="AD54" s="752">
        <v>5245</v>
      </c>
      <c r="AE54" s="795">
        <f>SUM(AG54/AF54)</f>
        <v>3.8318886233811065</v>
      </c>
      <c r="AF54" s="795">
        <v>1853.89</v>
      </c>
      <c r="AG54" s="383">
        <v>7103.9</v>
      </c>
      <c r="AH54" s="759">
        <v>4.5199999999999996</v>
      </c>
      <c r="AI54" s="760">
        <v>2282.1999999999998</v>
      </c>
      <c r="AJ54" s="752">
        <v>9664.7999999999993</v>
      </c>
      <c r="AK54" s="760"/>
      <c r="AL54" s="753">
        <f>K78*1.028</f>
        <v>4.0333424422778537</v>
      </c>
      <c r="AM54" s="761">
        <f>AN60*AN62</f>
        <v>1428.1616341295885</v>
      </c>
      <c r="AN54" s="644">
        <f>AL54*AM54</f>
        <v>5760.2649333677646</v>
      </c>
      <c r="AO54" s="784">
        <f t="shared" si="11"/>
        <v>-0.48665755772214592</v>
      </c>
      <c r="AP54" s="785">
        <f t="shared" si="11"/>
        <v>-854.03836587041133</v>
      </c>
      <c r="AQ54" s="785">
        <f t="shared" si="11"/>
        <v>-3904.5350666322347</v>
      </c>
      <c r="AR54" s="784">
        <f t="shared" si="12"/>
        <v>3.6631900547829748</v>
      </c>
      <c r="AS54" s="786">
        <v>949.2</v>
      </c>
      <c r="AT54" s="790">
        <v>3477.1</v>
      </c>
      <c r="AU54" s="784">
        <f t="shared" si="13"/>
        <v>3.7705916930708683</v>
      </c>
      <c r="AV54" s="1258">
        <v>1394.98</v>
      </c>
      <c r="AW54" s="1260">
        <v>5259.9</v>
      </c>
      <c r="AX54" s="802">
        <f t="shared" si="14"/>
        <v>4.4366766865056393</v>
      </c>
      <c r="AY54" s="795">
        <v>1853.89</v>
      </c>
      <c r="AZ54" s="796">
        <f t="shared" si="15"/>
        <v>8225.1105423459394</v>
      </c>
      <c r="BA54" s="803">
        <f t="shared" si="5"/>
        <v>1.4279049032449784</v>
      </c>
      <c r="BB54" s="784">
        <f>(AU72+AU72*1.06)/2</f>
        <v>4.1192606218313967</v>
      </c>
      <c r="BC54" s="786">
        <f>BD60*BD62</f>
        <v>1454.8506</v>
      </c>
      <c r="BD54" s="787">
        <f>BC54*BB54</f>
        <v>5992.9087872277805</v>
      </c>
      <c r="BE54" s="753">
        <f t="shared" si="6"/>
        <v>-0.31741606467424255</v>
      </c>
      <c r="BF54" s="756">
        <f t="shared" si="7"/>
        <v>-399.03940000000011</v>
      </c>
      <c r="BG54" s="778">
        <f t="shared" si="8"/>
        <v>-2232.2017551181589</v>
      </c>
    </row>
    <row r="55" spans="1:61" ht="30" customHeight="1" x14ac:dyDescent="0.2">
      <c r="A55" s="772" t="s">
        <v>136</v>
      </c>
      <c r="B55" s="597"/>
      <c r="C55" s="362"/>
      <c r="D55" s="362"/>
      <c r="E55" s="362"/>
      <c r="F55" s="362"/>
      <c r="G55" s="362"/>
      <c r="H55" s="362"/>
      <c r="I55" s="362"/>
      <c r="J55" s="605"/>
      <c r="K55" s="762">
        <f>M55/L55</f>
        <v>4.4590298507462682</v>
      </c>
      <c r="L55" s="645">
        <f>SUM(L52:L54)</f>
        <v>2680</v>
      </c>
      <c r="M55" s="645">
        <f>SUM(M52:M54)</f>
        <v>11950.199999999999</v>
      </c>
      <c r="N55" s="645">
        <f>SUM(N52:N54)</f>
        <v>54023.154000000002</v>
      </c>
      <c r="O55" s="764">
        <f>Q55/P55</f>
        <v>4.5682510642446301</v>
      </c>
      <c r="P55" s="645">
        <f>SUM(P52:P54)</f>
        <v>1802.7306261085246</v>
      </c>
      <c r="Q55" s="645">
        <f>SUM(Q52:Q54)</f>
        <v>8235.3261012666553</v>
      </c>
      <c r="R55" s="763"/>
      <c r="S55" s="764">
        <f>O55-K55</f>
        <v>0.10922121349836189</v>
      </c>
      <c r="T55" s="750">
        <f>P55-L55</f>
        <v>-877.26937389147542</v>
      </c>
      <c r="U55" s="750">
        <f>P55-L55</f>
        <v>-877.26937389147542</v>
      </c>
      <c r="V55" s="750">
        <f t="shared" si="9"/>
        <v>-3714.8738987333436</v>
      </c>
      <c r="W55" s="763"/>
      <c r="X55" s="764">
        <f>Z55/Y55</f>
        <v>3.9546931026444145</v>
      </c>
      <c r="Y55" s="645">
        <f>SUM(Y52:Y54)</f>
        <v>1102.4369999999999</v>
      </c>
      <c r="Z55" s="645">
        <f>SUM(Z52:Z54)</f>
        <v>4359.8</v>
      </c>
      <c r="AA55" s="645">
        <f>SUM(AA52:AA54)</f>
        <v>17445.099419999999</v>
      </c>
      <c r="AB55" s="764">
        <f t="shared" si="3"/>
        <v>3.9900885266237713</v>
      </c>
      <c r="AC55" s="645">
        <f>SUM(AC52:AC54)</f>
        <v>1596.1299999999999</v>
      </c>
      <c r="AD55" s="645">
        <f>SUM(AD52:AD54)</f>
        <v>6368.7</v>
      </c>
      <c r="AE55" s="797">
        <f>AG55/AF55</f>
        <v>4.0021384235837569</v>
      </c>
      <c r="AF55" s="798">
        <f>SUM(AF52:AF54)</f>
        <v>2160.4700000000003</v>
      </c>
      <c r="AG55" s="384">
        <f>SUM(AG52:AG54)</f>
        <v>8646.5</v>
      </c>
      <c r="AH55" s="762">
        <f>AJ55/AI55</f>
        <v>4.4590298507462682</v>
      </c>
      <c r="AI55" s="645">
        <f>SUM(AI52:AI54)</f>
        <v>2680</v>
      </c>
      <c r="AJ55" s="645">
        <f>SUM(AJ52:AJ54)</f>
        <v>11950.199999999999</v>
      </c>
      <c r="AK55" s="645"/>
      <c r="AL55" s="764">
        <f>AN55/AM55</f>
        <v>4.2742544762183936</v>
      </c>
      <c r="AM55" s="645">
        <f>SUM(AM52:AM54)</f>
        <v>1788.9869341295885</v>
      </c>
      <c r="AN55" s="645">
        <f>SUM(AN52:AN54)</f>
        <v>7646.5854110996133</v>
      </c>
      <c r="AO55" s="788">
        <f>AL55-AH55</f>
        <v>-0.18477537452787463</v>
      </c>
      <c r="AP55" s="791">
        <f>AM55-AI55</f>
        <v>-891.01306587041154</v>
      </c>
      <c r="AQ55" s="791">
        <f>AN55-AJ55</f>
        <v>-4303.6145889003856</v>
      </c>
      <c r="AR55" s="788">
        <f>AT55/AS55</f>
        <v>3.9605965248323978</v>
      </c>
      <c r="AS55" s="789">
        <f>SUM(AS52:AS54)</f>
        <v>1096.3500000000001</v>
      </c>
      <c r="AT55" s="789">
        <f>SUM(AT52:AT54)</f>
        <v>4342.2</v>
      </c>
      <c r="AU55" s="788">
        <f>AW55/AV55</f>
        <v>4.0573052541368924</v>
      </c>
      <c r="AV55" s="789">
        <f>SUM(AV52:AV54)</f>
        <v>1586.94</v>
      </c>
      <c r="AW55" s="789">
        <f>SUM(AW52:AW54)</f>
        <v>6438.7</v>
      </c>
      <c r="AX55" s="804">
        <f>AZ55/AY55</f>
        <v>4.6231243505129136</v>
      </c>
      <c r="AY55" s="798">
        <f>SUM(AY52:AY54)</f>
        <v>2160.4700000000003</v>
      </c>
      <c r="AZ55" s="798">
        <f>SUM(AZ52:AZ54)</f>
        <v>9988.1214655526364</v>
      </c>
      <c r="BA55" s="803">
        <f t="shared" si="5"/>
        <v>1.3062198260486442</v>
      </c>
      <c r="BB55" s="788">
        <f>BD55/BC55</f>
        <v>4.3548365034639751</v>
      </c>
      <c r="BC55" s="789">
        <f>SUM(BC52:BC54)</f>
        <v>1745.8207199999999</v>
      </c>
      <c r="BD55" s="789">
        <f>SUM(BD52:BD54)</f>
        <v>7602.7637999597591</v>
      </c>
      <c r="BE55" s="764">
        <f>BB55-AX55</f>
        <v>-0.26828784704893849</v>
      </c>
      <c r="BF55" s="755">
        <f>BC55-AY55</f>
        <v>-414.64928000000032</v>
      </c>
      <c r="BG55" s="372">
        <f>BD55-AZ55</f>
        <v>-2385.3576655928773</v>
      </c>
    </row>
    <row r="56" spans="1:61" ht="40.5" customHeight="1" x14ac:dyDescent="0.2">
      <c r="A56" s="773" t="s">
        <v>137</v>
      </c>
      <c r="B56" s="597"/>
      <c r="C56" s="362"/>
      <c r="D56" s="362"/>
      <c r="E56" s="362"/>
      <c r="F56" s="362"/>
      <c r="G56" s="362"/>
      <c r="H56" s="362"/>
      <c r="I56" s="362"/>
      <c r="J56" s="605"/>
      <c r="K56" s="607"/>
      <c r="L56" s="752"/>
      <c r="M56" s="644">
        <f>'объемы ВС и ВО 2023'!E39</f>
        <v>5875</v>
      </c>
      <c r="N56" s="752"/>
      <c r="O56" s="752"/>
      <c r="P56" s="752"/>
      <c r="Q56" s="644" t="e">
        <f>'объемы ВС и ВО 2023'!G39</f>
        <v>#REF!</v>
      </c>
      <c r="R56" s="752"/>
      <c r="S56" s="753"/>
      <c r="T56" s="756"/>
      <c r="U56" s="752"/>
      <c r="V56" s="756" t="e">
        <f t="shared" si="9"/>
        <v>#REF!</v>
      </c>
      <c r="W56" s="752"/>
      <c r="X56" s="766"/>
      <c r="Y56" s="766"/>
      <c r="Z56" s="644">
        <v>3493.3</v>
      </c>
      <c r="AA56" s="752"/>
      <c r="AB56" s="752"/>
      <c r="AC56" s="752"/>
      <c r="AD56" s="644">
        <v>5158</v>
      </c>
      <c r="AE56" s="799"/>
      <c r="AF56" s="799"/>
      <c r="AG56" s="383">
        <f>SUM('объемы ВС и ВО 2023'!K39)</f>
        <v>6977.9000000000005</v>
      </c>
      <c r="AH56" s="607"/>
      <c r="AI56" s="752"/>
      <c r="AJ56" s="644">
        <f>SUM('объемы ВС и ВО 2023'!L39)</f>
        <v>5800.03</v>
      </c>
      <c r="AK56" s="752"/>
      <c r="AL56" s="752"/>
      <c r="AM56" s="752"/>
      <c r="AN56" s="644">
        <f>SUM('объемы ВС и ВО 2023'!M39)</f>
        <v>5561.39</v>
      </c>
      <c r="AO56" s="790"/>
      <c r="AP56" s="784"/>
      <c r="AQ56" s="785">
        <f t="shared" ref="AQ56:AQ62" si="16">AN56-AJ56</f>
        <v>-238.63999999999942</v>
      </c>
      <c r="AR56" s="790"/>
      <c r="AS56" s="790"/>
      <c r="AT56" s="787">
        <f>SUM('объемы ВС и ВО 2023'!P39)</f>
        <v>3367.79</v>
      </c>
      <c r="AU56" s="790"/>
      <c r="AV56" s="790"/>
      <c r="AW56" s="787">
        <f>'объемы ВС и ВО 2023'!R39+'объемы ВС и ВО 2023'!S39</f>
        <v>6716.13</v>
      </c>
      <c r="AX56" s="485"/>
      <c r="AY56" s="799"/>
      <c r="AZ56" s="796">
        <f>SUM('объемы ВС и ВО 2023'!T39)</f>
        <v>5779.357</v>
      </c>
      <c r="BA56" s="803">
        <f t="shared" si="5"/>
        <v>1.0391928996168223</v>
      </c>
      <c r="BB56" s="790"/>
      <c r="BC56" s="790"/>
      <c r="BD56" s="787">
        <f>SUM('объемы ВС и ВО 2023'!AA39:AB39)</f>
        <v>5675.7370000000001</v>
      </c>
      <c r="BE56" s="752"/>
      <c r="BF56" s="753"/>
      <c r="BG56" s="778">
        <f t="shared" ref="BG56:BG62" si="17">BD56-AZ56</f>
        <v>-103.61999999999989</v>
      </c>
    </row>
    <row r="57" spans="1:61" ht="45" customHeight="1" x14ac:dyDescent="0.2">
      <c r="A57" s="774" t="s">
        <v>138</v>
      </c>
      <c r="B57" s="597"/>
      <c r="C57" s="362"/>
      <c r="D57" s="362"/>
      <c r="E57" s="362"/>
      <c r="F57" s="362"/>
      <c r="G57" s="362"/>
      <c r="H57" s="362"/>
      <c r="I57" s="362"/>
      <c r="J57" s="605"/>
      <c r="K57" s="607"/>
      <c r="L57" s="752"/>
      <c r="M57" s="753">
        <f>L48/M56</f>
        <v>0.18573617021276598</v>
      </c>
      <c r="N57" s="752"/>
      <c r="O57" s="752"/>
      <c r="P57" s="752"/>
      <c r="Q57" s="753">
        <f>AH20</f>
        <v>0.14554379746835441</v>
      </c>
      <c r="R57" s="752"/>
      <c r="S57" s="753"/>
      <c r="T57" s="756"/>
      <c r="U57" s="752"/>
      <c r="V57" s="753">
        <f t="shared" si="9"/>
        <v>-4.0192372744411564E-2</v>
      </c>
      <c r="W57" s="752"/>
      <c r="X57" s="766"/>
      <c r="Y57" s="766"/>
      <c r="Z57" s="753">
        <f>Y48/Z56</f>
        <v>0.14465748718976326</v>
      </c>
      <c r="AA57" s="752"/>
      <c r="AB57" s="752"/>
      <c r="AC57" s="752"/>
      <c r="AD57" s="753">
        <f>AC48/AD56</f>
        <v>0.13366227219852655</v>
      </c>
      <c r="AE57" s="799"/>
      <c r="AF57" s="799"/>
      <c r="AG57" s="754">
        <f>AF48/AG56</f>
        <v>0.1305331116811648</v>
      </c>
      <c r="AH57" s="607"/>
      <c r="AI57" s="752"/>
      <c r="AJ57" s="753">
        <f>AI48/AJ56</f>
        <v>0.14599924483149224</v>
      </c>
      <c r="AK57" s="752"/>
      <c r="AL57" s="752"/>
      <c r="AM57" s="752"/>
      <c r="AN57" s="753">
        <f>AP20</f>
        <v>0.15880621825734828</v>
      </c>
      <c r="AO57" s="790"/>
      <c r="AP57" s="784"/>
      <c r="AQ57" s="784">
        <f t="shared" si="16"/>
        <v>1.2806973425856044E-2</v>
      </c>
      <c r="AR57" s="790"/>
      <c r="AS57" s="790"/>
      <c r="AT57" s="784">
        <f>AS48/AT56</f>
        <v>0.12322324135412244</v>
      </c>
      <c r="AU57" s="790"/>
      <c r="AV57" s="790"/>
      <c r="AW57" s="784">
        <f>AV48/AW56</f>
        <v>8.1329128530865241E-2</v>
      </c>
      <c r="AX57" s="485"/>
      <c r="AY57" s="799"/>
      <c r="AZ57" s="754">
        <f>AY48/AZ56</f>
        <v>0.15760403795785588</v>
      </c>
      <c r="BA57" s="803">
        <f t="shared" si="5"/>
        <v>0.99242989152008998</v>
      </c>
      <c r="BB57" s="790"/>
      <c r="BC57" s="790"/>
      <c r="BD57" s="1208">
        <v>0.124</v>
      </c>
      <c r="BE57" s="752"/>
      <c r="BF57" s="753"/>
      <c r="BG57" s="767">
        <f t="shared" si="17"/>
        <v>-3.3604037957855881E-2</v>
      </c>
    </row>
    <row r="58" spans="1:61" ht="45.75" customHeight="1" x14ac:dyDescent="0.2">
      <c r="A58" s="774" t="s">
        <v>862</v>
      </c>
      <c r="B58" s="597"/>
      <c r="C58" s="362"/>
      <c r="D58" s="362"/>
      <c r="E58" s="362"/>
      <c r="F58" s="362"/>
      <c r="G58" s="362"/>
      <c r="H58" s="362"/>
      <c r="I58" s="362"/>
      <c r="J58" s="605"/>
      <c r="K58" s="607"/>
      <c r="L58" s="752"/>
      <c r="M58" s="644">
        <f>'объемы ВС и ВО 2023'!E44</f>
        <v>4999</v>
      </c>
      <c r="N58" s="752"/>
      <c r="O58" s="752"/>
      <c r="P58" s="752"/>
      <c r="Q58" s="644" t="e">
        <f>'объемы ВС и ВО 2023'!G44</f>
        <v>#REF!</v>
      </c>
      <c r="R58" s="752"/>
      <c r="S58" s="753"/>
      <c r="T58" s="756"/>
      <c r="U58" s="752"/>
      <c r="V58" s="756" t="e">
        <f t="shared" si="9"/>
        <v>#REF!</v>
      </c>
      <c r="W58" s="752"/>
      <c r="X58" s="766"/>
      <c r="Y58" s="766"/>
      <c r="Z58" s="644">
        <v>3054.18</v>
      </c>
      <c r="AA58" s="752"/>
      <c r="AB58" s="752"/>
      <c r="AC58" s="752"/>
      <c r="AD58" s="644">
        <v>4509.2</v>
      </c>
      <c r="AE58" s="799"/>
      <c r="AF58" s="799"/>
      <c r="AG58" s="383">
        <f>SUM('объемы ВС и ВО 2023'!K44)</f>
        <v>6136.9000000000005</v>
      </c>
      <c r="AH58" s="607"/>
      <c r="AI58" s="752"/>
      <c r="AJ58" s="644">
        <f>SUM('объемы ВС и ВО 2023'!L44)</f>
        <v>5046.03</v>
      </c>
      <c r="AK58" s="752"/>
      <c r="AL58" s="752"/>
      <c r="AM58" s="752"/>
      <c r="AN58" s="644">
        <f>SUM('объемы ВС и ВО 2023'!M44)</f>
        <v>5004.2700000000004</v>
      </c>
      <c r="AO58" s="790"/>
      <c r="AP58" s="784"/>
      <c r="AQ58" s="785">
        <f t="shared" si="16"/>
        <v>-41.759999999999309</v>
      </c>
      <c r="AR58" s="790"/>
      <c r="AS58" s="790"/>
      <c r="AT58" s="787">
        <f>SUM('объемы ВС и ВО 2023'!P44)</f>
        <v>2888.49</v>
      </c>
      <c r="AU58" s="790"/>
      <c r="AV58" s="790"/>
      <c r="AW58" s="787">
        <f>'объемы ВС и ВО 2023'!R39</f>
        <v>6697.91</v>
      </c>
      <c r="AX58" s="485"/>
      <c r="AY58" s="799"/>
      <c r="AZ58" s="796">
        <f>SUM('объемы ВС и ВО 2023'!T44)</f>
        <v>5007.9369999999999</v>
      </c>
      <c r="BA58" s="803">
        <f t="shared" si="5"/>
        <v>1.0007327742108238</v>
      </c>
      <c r="BB58" s="790"/>
      <c r="BC58" s="790"/>
      <c r="BD58" s="787">
        <f>'объемы ВС и ВО 2023'!AA44</f>
        <v>4967.9170000000004</v>
      </c>
      <c r="BE58" s="752"/>
      <c r="BF58" s="753"/>
      <c r="BG58" s="778">
        <f t="shared" si="17"/>
        <v>-40.019999999999527</v>
      </c>
    </row>
    <row r="59" spans="1:61" ht="40.5" customHeight="1" x14ac:dyDescent="0.2">
      <c r="A59" s="774" t="s">
        <v>139</v>
      </c>
      <c r="B59" s="597"/>
      <c r="C59" s="362"/>
      <c r="D59" s="362"/>
      <c r="E59" s="362"/>
      <c r="F59" s="362"/>
      <c r="G59" s="362"/>
      <c r="H59" s="362"/>
      <c r="I59" s="362"/>
      <c r="J59" s="605"/>
      <c r="K59" s="607"/>
      <c r="L59" s="752"/>
      <c r="M59" s="753">
        <f>L50/M58</f>
        <v>0.35103020604120821</v>
      </c>
      <c r="N59" s="752"/>
      <c r="O59" s="752"/>
      <c r="P59" s="752"/>
      <c r="Q59" s="753">
        <f>AH22</f>
        <v>0.26482803446738967</v>
      </c>
      <c r="R59" s="752"/>
      <c r="S59" s="753"/>
      <c r="T59" s="756"/>
      <c r="U59" s="752"/>
      <c r="V59" s="753">
        <f t="shared" si="9"/>
        <v>-8.6202171573818542E-2</v>
      </c>
      <c r="W59" s="752"/>
      <c r="X59" s="766"/>
      <c r="Y59" s="766"/>
      <c r="Z59" s="753">
        <f>Y50/Z58</f>
        <v>0.26849105160796027</v>
      </c>
      <c r="AA59" s="752"/>
      <c r="AB59" s="752"/>
      <c r="AC59" s="752"/>
      <c r="AD59" s="753">
        <f>AC50/AD58</f>
        <v>0.26396034773352256</v>
      </c>
      <c r="AE59" s="799"/>
      <c r="AF59" s="799"/>
      <c r="AG59" s="754">
        <f>AF50/AG58</f>
        <v>0.24905571216738093</v>
      </c>
      <c r="AH59" s="607"/>
      <c r="AI59" s="752"/>
      <c r="AJ59" s="753">
        <f>AI50/AJ58</f>
        <v>0.27498845627156399</v>
      </c>
      <c r="AK59" s="752"/>
      <c r="AL59" s="752"/>
      <c r="AM59" s="752"/>
      <c r="AN59" s="753">
        <f>AP22</f>
        <v>0.24172159546971789</v>
      </c>
      <c r="AO59" s="790"/>
      <c r="AP59" s="784"/>
      <c r="AQ59" s="784">
        <f t="shared" si="16"/>
        <v>-3.3266860801846099E-2</v>
      </c>
      <c r="AR59" s="790"/>
      <c r="AS59" s="790"/>
      <c r="AT59" s="784">
        <f>AS50/AT58</f>
        <v>0.23473164179207823</v>
      </c>
      <c r="AU59" s="790"/>
      <c r="AV59" s="790"/>
      <c r="AW59" s="784">
        <f>AV50/AW58</f>
        <v>0.15169806700896249</v>
      </c>
      <c r="AX59" s="485"/>
      <c r="AY59" s="799"/>
      <c r="AZ59" s="754">
        <f>AY50/AZ58</f>
        <v>0.30520152310222753</v>
      </c>
      <c r="BA59" s="803">
        <f t="shared" si="5"/>
        <v>1.2626158722358021</v>
      </c>
      <c r="BB59" s="790"/>
      <c r="BC59" s="790"/>
      <c r="BD59" s="1208">
        <v>0.249</v>
      </c>
      <c r="BE59" s="752"/>
      <c r="BF59" s="753"/>
      <c r="BG59" s="767">
        <f t="shared" si="17"/>
        <v>-5.6201523102227535E-2</v>
      </c>
    </row>
    <row r="60" spans="1:61" ht="48" customHeight="1" x14ac:dyDescent="0.2">
      <c r="A60" s="775" t="s">
        <v>140</v>
      </c>
      <c r="B60" s="597"/>
      <c r="C60" s="362"/>
      <c r="D60" s="362"/>
      <c r="E60" s="362"/>
      <c r="F60" s="362"/>
      <c r="G60" s="362"/>
      <c r="H60" s="362"/>
      <c r="I60" s="362"/>
      <c r="J60" s="605"/>
      <c r="K60" s="607"/>
      <c r="L60" s="752"/>
      <c r="M60" s="644">
        <f>'объемы ВС и ВО 2023'!E63</f>
        <v>3600</v>
      </c>
      <c r="N60" s="752"/>
      <c r="O60" s="752"/>
      <c r="P60" s="752"/>
      <c r="Q60" s="644">
        <f>'объемы ВС и ВО 2023'!G62</f>
        <v>3672.7</v>
      </c>
      <c r="R60" s="752"/>
      <c r="S60" s="753"/>
      <c r="T60" s="756"/>
      <c r="U60" s="752"/>
      <c r="V60" s="756">
        <f t="shared" si="9"/>
        <v>72.699999999999818</v>
      </c>
      <c r="W60" s="752"/>
      <c r="X60" s="766"/>
      <c r="Y60" s="766"/>
      <c r="Z60" s="644">
        <v>1773.8</v>
      </c>
      <c r="AA60" s="752"/>
      <c r="AB60" s="752"/>
      <c r="AC60" s="752"/>
      <c r="AD60" s="644">
        <v>2603.1999999999998</v>
      </c>
      <c r="AE60" s="799"/>
      <c r="AF60" s="799"/>
      <c r="AG60" s="383">
        <f>'объемы ВС и ВО 2023'!K62</f>
        <v>4393.3999999999996</v>
      </c>
      <c r="AH60" s="607"/>
      <c r="AI60" s="752"/>
      <c r="AJ60" s="644">
        <f>'объемы ВС и ВО 2023'!L63</f>
        <v>3672.7</v>
      </c>
      <c r="AK60" s="752"/>
      <c r="AL60" s="752"/>
      <c r="AM60" s="752"/>
      <c r="AN60" s="644">
        <f>'объемы ВС и ВО 2023'!M62</f>
        <v>3644.7</v>
      </c>
      <c r="AO60" s="790"/>
      <c r="AP60" s="784"/>
      <c r="AQ60" s="785">
        <f t="shared" si="16"/>
        <v>-28</v>
      </c>
      <c r="AR60" s="790"/>
      <c r="AS60" s="790"/>
      <c r="AT60" s="787">
        <f>'объемы ВС и ВО 2023'!P62</f>
        <v>2027.43</v>
      </c>
      <c r="AU60" s="790"/>
      <c r="AV60" s="790"/>
      <c r="AW60" s="787">
        <f>'объемы ВС и ВО 2023'!R62</f>
        <v>3840.95</v>
      </c>
      <c r="AX60" s="485"/>
      <c r="AY60" s="799"/>
      <c r="AZ60" s="796">
        <f>SUM('объемы ВС и ВО 2023'!T63)</f>
        <v>3473</v>
      </c>
      <c r="BA60" s="803">
        <f t="shared" si="5"/>
        <v>0.95289049853211516</v>
      </c>
      <c r="BB60" s="790"/>
      <c r="BC60" s="790"/>
      <c r="BD60" s="787">
        <f>SUM('объемы ВС и ВО 2023'!AA63:AB63)</f>
        <v>3463.93</v>
      </c>
      <c r="BE60" s="752"/>
      <c r="BF60" s="753"/>
      <c r="BG60" s="778">
        <f t="shared" si="17"/>
        <v>-9.0700000000001637</v>
      </c>
    </row>
    <row r="61" spans="1:61" ht="56.25" customHeight="1" x14ac:dyDescent="0.2">
      <c r="A61" s="774" t="s">
        <v>141</v>
      </c>
      <c r="B61" s="597"/>
      <c r="C61" s="362"/>
      <c r="D61" s="362"/>
      <c r="E61" s="362"/>
      <c r="F61" s="362"/>
      <c r="G61" s="362"/>
      <c r="H61" s="362"/>
      <c r="I61" s="362"/>
      <c r="J61" s="605"/>
      <c r="K61" s="607"/>
      <c r="L61" s="752"/>
      <c r="M61" s="753">
        <f>L52/M60</f>
        <v>0.1105</v>
      </c>
      <c r="N61" s="752"/>
      <c r="O61" s="752"/>
      <c r="P61" s="752"/>
      <c r="Q61" s="753">
        <f>AB25</f>
        <v>9.9000000000000005E-2</v>
      </c>
      <c r="R61" s="752"/>
      <c r="S61" s="753"/>
      <c r="T61" s="756"/>
      <c r="U61" s="752"/>
      <c r="V61" s="753">
        <f t="shared" si="9"/>
        <v>-1.1499999999999996E-2</v>
      </c>
      <c r="W61" s="752"/>
      <c r="X61" s="766"/>
      <c r="Y61" s="766"/>
      <c r="Z61" s="753">
        <f>Y52/Z60</f>
        <v>9.1423497575825907E-2</v>
      </c>
      <c r="AA61" s="752"/>
      <c r="AB61" s="752"/>
      <c r="AC61" s="752"/>
      <c r="AD61" s="753">
        <f>AC52/AD60</f>
        <v>8.6067148125384157E-2</v>
      </c>
      <c r="AE61" s="799"/>
      <c r="AF61" s="799"/>
      <c r="AG61" s="1339">
        <f>AF52/AG60</f>
        <v>6.9781945645741347E-2</v>
      </c>
      <c r="AH61" s="607"/>
      <c r="AI61" s="752"/>
      <c r="AJ61" s="753">
        <f>AI52/AJ60</f>
        <v>0.1083126854902388</v>
      </c>
      <c r="AK61" s="752"/>
      <c r="AL61" s="752"/>
      <c r="AM61" s="752"/>
      <c r="AN61" s="753">
        <f>Q61</f>
        <v>9.9000000000000005E-2</v>
      </c>
      <c r="AO61" s="790"/>
      <c r="AP61" s="784"/>
      <c r="AQ61" s="784">
        <f t="shared" si="16"/>
        <v>-9.3126854902387951E-3</v>
      </c>
      <c r="AR61" s="790"/>
      <c r="AS61" s="790"/>
      <c r="AT61" s="784">
        <f>AS52/AT60</f>
        <v>7.2579571181249164E-2</v>
      </c>
      <c r="AU61" s="790"/>
      <c r="AV61" s="790"/>
      <c r="AW61" s="784">
        <f>AV52/AW60</f>
        <v>4.9977219177547223E-2</v>
      </c>
      <c r="AX61" s="485"/>
      <c r="AY61" s="799"/>
      <c r="AZ61" s="754">
        <f>AY52/AZ60</f>
        <v>8.8275266340339761E-2</v>
      </c>
      <c r="BA61" s="803">
        <f t="shared" si="5"/>
        <v>0.89166935697312888</v>
      </c>
      <c r="BB61" s="790"/>
      <c r="BC61" s="790"/>
      <c r="BD61" s="1208">
        <v>8.4000000000000005E-2</v>
      </c>
      <c r="BE61" s="752"/>
      <c r="BF61" s="753"/>
      <c r="BG61" s="767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776" t="s">
        <v>142</v>
      </c>
      <c r="B62" s="597"/>
      <c r="C62" s="362"/>
      <c r="D62" s="362"/>
      <c r="E62" s="362"/>
      <c r="F62" s="362"/>
      <c r="G62" s="362"/>
      <c r="H62" s="362"/>
      <c r="I62" s="362"/>
      <c r="J62" s="605"/>
      <c r="K62" s="502"/>
      <c r="L62" s="370"/>
      <c r="M62" s="768">
        <f>L54/M60</f>
        <v>0.63394444444444442</v>
      </c>
      <c r="N62" s="370"/>
      <c r="O62" s="370"/>
      <c r="P62" s="370"/>
      <c r="Q62" s="768">
        <f>AH26</f>
        <v>0.39184614210486146</v>
      </c>
      <c r="R62" s="370"/>
      <c r="S62" s="768"/>
      <c r="T62" s="545"/>
      <c r="U62" s="370"/>
      <c r="V62" s="768">
        <f t="shared" si="9"/>
        <v>-0.24209830233958296</v>
      </c>
      <c r="W62" s="370"/>
      <c r="X62" s="769"/>
      <c r="Y62" s="769"/>
      <c r="Z62" s="768">
        <f>Y54/Z60</f>
        <v>0.5300879467809223</v>
      </c>
      <c r="AA62" s="370"/>
      <c r="AB62" s="370"/>
      <c r="AC62" s="370"/>
      <c r="AD62" s="768">
        <f>AC54/AD60</f>
        <v>0.52707437000614632</v>
      </c>
      <c r="AE62" s="800"/>
      <c r="AF62" s="800"/>
      <c r="AG62" s="1340">
        <f>AF54/AG60</f>
        <v>0.42197159375426785</v>
      </c>
      <c r="AH62" s="502"/>
      <c r="AI62" s="370"/>
      <c r="AJ62" s="768">
        <f>AI54/AJ60</f>
        <v>0.6213957034334413</v>
      </c>
      <c r="AK62" s="370"/>
      <c r="AL62" s="370"/>
      <c r="AM62" s="370"/>
      <c r="AN62" s="768">
        <f>Q62</f>
        <v>0.39184614210486146</v>
      </c>
      <c r="AO62" s="792"/>
      <c r="AP62" s="793"/>
      <c r="AQ62" s="793">
        <f t="shared" si="16"/>
        <v>-0.22954956132857984</v>
      </c>
      <c r="AR62" s="792"/>
      <c r="AS62" s="792"/>
      <c r="AT62" s="793">
        <f>AS54/AT60</f>
        <v>0.46817892602950534</v>
      </c>
      <c r="AU62" s="792"/>
      <c r="AV62" s="792"/>
      <c r="AW62" s="793">
        <f>AV54/AW60</f>
        <v>0.36318619091630977</v>
      </c>
      <c r="AX62" s="505"/>
      <c r="AY62" s="800"/>
      <c r="AZ62" s="801">
        <f>AY54/AZ60</f>
        <v>0.53380074863230642</v>
      </c>
      <c r="BA62" s="805">
        <f t="shared" si="5"/>
        <v>1.3622712878195358</v>
      </c>
      <c r="BB62" s="792"/>
      <c r="BC62" s="792"/>
      <c r="BD62" s="1209">
        <v>0.42</v>
      </c>
      <c r="BE62" s="370"/>
      <c r="BF62" s="768"/>
      <c r="BG62" s="770">
        <f t="shared" si="17"/>
        <v>-0.11380074863230644</v>
      </c>
    </row>
    <row r="64" spans="1:61" ht="16.5" x14ac:dyDescent="0.25">
      <c r="A64" s="524" t="s">
        <v>425</v>
      </c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5">
        <f>AW48-AT48</f>
        <v>699.59999999999991</v>
      </c>
    </row>
    <row r="65" spans="1:49" ht="16.5" x14ac:dyDescent="0.25">
      <c r="A65" s="524" t="s">
        <v>426</v>
      </c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5">
        <f>AW49-AT49</f>
        <v>72.900000000000006</v>
      </c>
    </row>
    <row r="66" spans="1:49" ht="16.5" x14ac:dyDescent="0.25">
      <c r="A66" s="525" t="s">
        <v>427</v>
      </c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6"/>
      <c r="M66" s="524" t="s">
        <v>431</v>
      </c>
      <c r="N66" s="524"/>
      <c r="O66" s="524"/>
      <c r="P66" s="524"/>
      <c r="Q66" s="524"/>
      <c r="R66" s="524"/>
      <c r="S66" s="524"/>
      <c r="T66" s="524"/>
      <c r="U66" s="5"/>
      <c r="V66" s="29"/>
      <c r="W66" s="29"/>
      <c r="X66" s="29"/>
      <c r="Y66" s="29"/>
      <c r="Z66" s="29"/>
      <c r="AA66" s="279"/>
      <c r="AB66" s="279"/>
      <c r="AU66">
        <f t="shared" si="18"/>
        <v>4.2196189800023669</v>
      </c>
      <c r="AV66" s="129">
        <f t="shared" si="19"/>
        <v>338.03999999999996</v>
      </c>
      <c r="AW66" s="155">
        <f>AW50-AT50</f>
        <v>1426.4</v>
      </c>
    </row>
    <row r="67" spans="1:49" ht="16.5" x14ac:dyDescent="0.25">
      <c r="A67" s="525" t="s">
        <v>428</v>
      </c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6">
        <f>AN59</f>
        <v>0.24172159546971789</v>
      </c>
      <c r="M67" s="524" t="s">
        <v>431</v>
      </c>
      <c r="N67" s="524"/>
      <c r="O67" s="524"/>
      <c r="P67" s="524"/>
      <c r="Q67" s="524"/>
      <c r="R67" s="524"/>
      <c r="S67" s="524"/>
      <c r="T67" s="524"/>
      <c r="U67" s="5"/>
      <c r="V67" s="29"/>
      <c r="W67" s="29"/>
      <c r="X67" s="5802"/>
      <c r="Y67" s="5802"/>
      <c r="Z67" s="5802"/>
      <c r="AA67" s="279"/>
      <c r="AB67" s="279"/>
      <c r="AU67">
        <f>AW67/AV67</f>
        <v>4.6858185212256567</v>
      </c>
      <c r="AV67" s="129">
        <f>SUM(AV64:AV66)</f>
        <v>469.26699999999994</v>
      </c>
      <c r="AW67" s="155">
        <f>SUM(AW64:AW66)</f>
        <v>2198.9</v>
      </c>
    </row>
    <row r="68" spans="1:49" ht="16.5" x14ac:dyDescent="0.25">
      <c r="A68" s="525" t="s">
        <v>429</v>
      </c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6">
        <f>AN61</f>
        <v>9.9000000000000005E-2</v>
      </c>
      <c r="M68" s="524" t="s">
        <v>432</v>
      </c>
      <c r="N68" s="524"/>
      <c r="O68" s="524"/>
      <c r="P68" s="524"/>
      <c r="Q68" s="524"/>
      <c r="R68" s="524"/>
      <c r="S68" s="524"/>
      <c r="T68" s="524"/>
      <c r="U68" s="5"/>
      <c r="V68" s="29"/>
      <c r="W68" s="29"/>
      <c r="X68" s="29"/>
      <c r="Y68" s="527"/>
      <c r="Z68" s="527"/>
      <c r="AA68" s="279"/>
      <c r="AB68" s="279"/>
    </row>
    <row r="69" spans="1:49" ht="16.5" x14ac:dyDescent="0.25">
      <c r="A69" s="525" t="s">
        <v>430</v>
      </c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6">
        <f>AN62</f>
        <v>0.39184614210486146</v>
      </c>
      <c r="M69" s="524" t="s">
        <v>432</v>
      </c>
      <c r="N69" s="524"/>
      <c r="O69" s="524"/>
      <c r="P69" s="524"/>
      <c r="Q69" s="524"/>
      <c r="R69" s="524"/>
      <c r="S69" s="524"/>
      <c r="T69" s="524"/>
      <c r="U69" s="5"/>
      <c r="V69" s="29"/>
      <c r="W69" s="29"/>
      <c r="X69" s="29"/>
      <c r="Y69" s="527"/>
      <c r="Z69" s="527"/>
      <c r="AA69" s="279"/>
      <c r="AB69" s="279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27"/>
      <c r="Z70" s="527"/>
      <c r="AA70" s="279"/>
      <c r="AB70" s="279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5799" t="s">
        <v>558</v>
      </c>
      <c r="B71" s="5800"/>
      <c r="C71" s="5800"/>
      <c r="D71" s="5800"/>
      <c r="E71" s="5800"/>
      <c r="F71" s="5800"/>
      <c r="G71" s="5800"/>
      <c r="H71" s="5800"/>
      <c r="I71" s="5800"/>
      <c r="J71" s="5800"/>
      <c r="K71" s="5800"/>
      <c r="L71" s="5800"/>
      <c r="M71" s="5801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27"/>
      <c r="Z71" s="527"/>
      <c r="AA71" s="279"/>
      <c r="AB71" s="279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28" t="s">
        <v>525</v>
      </c>
      <c r="B72" s="532"/>
      <c r="C72" s="532"/>
      <c r="D72" s="532"/>
      <c r="E72" s="532"/>
      <c r="F72" s="532"/>
      <c r="G72" s="532"/>
      <c r="H72" s="532"/>
      <c r="I72" s="532"/>
      <c r="J72" s="532"/>
      <c r="K72" s="532" t="s">
        <v>328</v>
      </c>
      <c r="L72" s="532" t="s">
        <v>344</v>
      </c>
      <c r="M72" s="524" t="s">
        <v>559</v>
      </c>
      <c r="N72" s="5"/>
      <c r="O72" s="532" t="s">
        <v>561</v>
      </c>
      <c r="P72" s="524" t="s">
        <v>562</v>
      </c>
      <c r="Q72" s="5"/>
      <c r="R72" s="5"/>
      <c r="S72" s="5"/>
      <c r="T72" s="5"/>
      <c r="U72" s="5"/>
      <c r="V72" s="29"/>
      <c r="W72" s="29"/>
      <c r="X72" s="529"/>
      <c r="Y72" s="530"/>
      <c r="Z72" s="530"/>
      <c r="AA72" s="279"/>
      <c r="AB72" s="279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35" t="s">
        <v>131</v>
      </c>
      <c r="B73" s="524"/>
      <c r="C73" s="524"/>
      <c r="D73" s="524"/>
      <c r="E73" s="524"/>
      <c r="F73" s="524"/>
      <c r="G73" s="524"/>
      <c r="H73" s="524"/>
      <c r="I73" s="524"/>
      <c r="J73" s="524"/>
      <c r="K73" s="534">
        <f>SUM(M73/L73)</f>
        <v>5.0619778596182483</v>
      </c>
      <c r="L73" s="533">
        <f>SUM(AC48-Y48)</f>
        <v>184.09799999999996</v>
      </c>
      <c r="M73" s="533">
        <f>SUM(AD48-Z48)</f>
        <v>931.90000000000009</v>
      </c>
      <c r="N73" s="5"/>
      <c r="O73" s="537">
        <f>SUM(AD56-Z56)</f>
        <v>1664.6999999999998</v>
      </c>
      <c r="P73" s="526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27"/>
      <c r="Z73" s="527"/>
      <c r="AA73" s="279"/>
      <c r="AB73" s="279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35" t="s">
        <v>563</v>
      </c>
      <c r="B74" s="524"/>
      <c r="C74" s="524"/>
      <c r="D74" s="524"/>
      <c r="E74" s="524"/>
      <c r="F74" s="524"/>
      <c r="G74" s="524"/>
      <c r="H74" s="524"/>
      <c r="I74" s="524"/>
      <c r="J74" s="524"/>
      <c r="K74" s="534"/>
      <c r="L74" s="533"/>
      <c r="M74" s="533"/>
      <c r="N74" s="5"/>
      <c r="O74" s="537">
        <f>SUM(AD58-Z58)</f>
        <v>1455.02</v>
      </c>
      <c r="P74" s="526"/>
      <c r="Q74" s="5"/>
      <c r="R74" s="5"/>
      <c r="S74" s="5"/>
      <c r="T74" s="5"/>
      <c r="U74" s="5"/>
      <c r="V74" s="29"/>
      <c r="W74" s="29"/>
      <c r="X74" s="29"/>
      <c r="Y74" s="527"/>
      <c r="Z74" s="527"/>
      <c r="AA74" s="279"/>
      <c r="AB74" s="279"/>
    </row>
    <row r="75" spans="1:49" ht="16.5" x14ac:dyDescent="0.25">
      <c r="A75" s="524" t="s">
        <v>132</v>
      </c>
      <c r="B75" s="524"/>
      <c r="C75" s="524"/>
      <c r="D75" s="524"/>
      <c r="E75" s="524"/>
      <c r="F75" s="524"/>
      <c r="G75" s="524"/>
      <c r="H75" s="524"/>
      <c r="I75" s="524"/>
      <c r="J75" s="524"/>
      <c r="K75" s="534">
        <f>SUM(M75/L75)</f>
        <v>4.1182508170596659</v>
      </c>
      <c r="L75" s="533">
        <f>SUM(AC50-Y50)</f>
        <v>370.23</v>
      </c>
      <c r="M75" s="533">
        <f>SUM(AD50-Z50)</f>
        <v>1524.7000000000003</v>
      </c>
      <c r="N75" s="5"/>
      <c r="O75" s="533"/>
      <c r="P75" s="526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27"/>
      <c r="Z75" s="527"/>
      <c r="AA75" s="279"/>
      <c r="AB75" s="279"/>
    </row>
    <row r="76" spans="1:49" ht="16.5" x14ac:dyDescent="0.25">
      <c r="A76" s="524" t="s">
        <v>54</v>
      </c>
      <c r="B76" s="524"/>
      <c r="C76" s="524"/>
      <c r="D76" s="524"/>
      <c r="E76" s="524"/>
      <c r="F76" s="524"/>
      <c r="G76" s="524"/>
      <c r="H76" s="524"/>
      <c r="I76" s="524"/>
      <c r="J76" s="524"/>
      <c r="K76" s="534">
        <f>SUM(M76/L76)</f>
        <v>4.4316722229438179</v>
      </c>
      <c r="L76" s="533">
        <f>SUM(L73:L75)</f>
        <v>554.32799999999997</v>
      </c>
      <c r="M76" s="533">
        <f>SUM(M73:M75)</f>
        <v>2456.6000000000004</v>
      </c>
      <c r="N76" s="5"/>
      <c r="O76" s="524"/>
      <c r="P76" s="524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79"/>
      <c r="AB76" s="279"/>
    </row>
    <row r="77" spans="1:49" ht="16.5" x14ac:dyDescent="0.25">
      <c r="A77" s="524" t="s">
        <v>134</v>
      </c>
      <c r="B77" s="524"/>
      <c r="C77" s="524"/>
      <c r="D77" s="524"/>
      <c r="E77" s="524"/>
      <c r="F77" s="524"/>
      <c r="G77" s="524"/>
      <c r="H77" s="524"/>
      <c r="I77" s="524"/>
      <c r="J77" s="524"/>
      <c r="K77" s="534">
        <f t="shared" ref="K77:K79" si="23">SUM(M77/L77)</f>
        <v>5.0854030993972499</v>
      </c>
      <c r="L77" s="533">
        <f>SUM(AC52-Y52)</f>
        <v>61.88300000000001</v>
      </c>
      <c r="M77" s="533">
        <f>SUM(AD52-Z52)</f>
        <v>314.70000000000005</v>
      </c>
      <c r="N77" s="5"/>
      <c r="O77" s="536">
        <f>SUM(AD60-Z60)</f>
        <v>829.39999999999986</v>
      </c>
      <c r="P77" s="526">
        <f>SUM(L77/O77)</f>
        <v>7.4611767542802049E-2</v>
      </c>
      <c r="Q77" s="5"/>
      <c r="R77" s="5"/>
      <c r="S77" s="5"/>
      <c r="T77" s="5"/>
      <c r="U77" s="5"/>
      <c r="V77" s="29"/>
      <c r="W77" s="29"/>
      <c r="X77" s="529"/>
      <c r="Y77" s="530"/>
      <c r="Z77" s="530"/>
      <c r="AA77" s="279"/>
      <c r="AB77" s="279"/>
    </row>
    <row r="78" spans="1:49" ht="16.5" x14ac:dyDescent="0.25">
      <c r="A78" s="524" t="s">
        <v>560</v>
      </c>
      <c r="B78" s="524"/>
      <c r="C78" s="524"/>
      <c r="D78" s="524"/>
      <c r="E78" s="524"/>
      <c r="F78" s="524"/>
      <c r="G78" s="524"/>
      <c r="H78" s="524"/>
      <c r="I78" s="524"/>
      <c r="J78" s="524"/>
      <c r="K78" s="534">
        <f t="shared" si="23"/>
        <v>3.9234848660290407</v>
      </c>
      <c r="L78" s="533">
        <f>SUM(AC54-Y54)</f>
        <v>431.80999999999995</v>
      </c>
      <c r="M78" s="533">
        <f>SUM(AD54-Z54)</f>
        <v>1694.1999999999998</v>
      </c>
      <c r="N78" s="5"/>
      <c r="O78" s="536">
        <f>SUM(O77)</f>
        <v>829.39999999999986</v>
      </c>
      <c r="P78" s="526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398"/>
      <c r="AA78" s="279"/>
      <c r="AB78" s="279"/>
    </row>
    <row r="79" spans="1:49" ht="16.5" x14ac:dyDescent="0.25">
      <c r="A79" s="524" t="s">
        <v>54</v>
      </c>
      <c r="B79" s="524"/>
      <c r="C79" s="524"/>
      <c r="D79" s="524"/>
      <c r="E79" s="524"/>
      <c r="F79" s="524"/>
      <c r="G79" s="524"/>
      <c r="H79" s="524"/>
      <c r="I79" s="524"/>
      <c r="J79" s="524"/>
      <c r="K79" s="534">
        <f t="shared" si="23"/>
        <v>4.0691279803440601</v>
      </c>
      <c r="L79" s="533">
        <f>SUM(L77:L78)</f>
        <v>493.69299999999998</v>
      </c>
      <c r="M79" s="533">
        <f>SUM(M77:M78)</f>
        <v>2008.8999999999999</v>
      </c>
      <c r="N79" s="5"/>
      <c r="O79" s="524"/>
      <c r="P79" s="524"/>
      <c r="Q79" s="5"/>
      <c r="R79" s="5"/>
      <c r="S79" s="5"/>
      <c r="T79" s="5"/>
      <c r="U79" s="5"/>
      <c r="V79" s="29"/>
      <c r="W79" s="29"/>
      <c r="X79" s="29"/>
      <c r="Y79" s="29"/>
      <c r="Z79" s="527"/>
      <c r="AA79" s="279"/>
      <c r="AB79" s="279"/>
    </row>
    <row r="80" spans="1:49" ht="16.5" x14ac:dyDescent="0.25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"/>
      <c r="O80" s="524"/>
      <c r="P80" s="524"/>
      <c r="Q80" s="5"/>
      <c r="R80" s="5"/>
      <c r="S80" s="5"/>
      <c r="T80" s="5"/>
      <c r="U80" s="5"/>
      <c r="V80" s="29"/>
      <c r="W80" s="29"/>
      <c r="X80" s="29"/>
      <c r="Y80" s="29"/>
      <c r="Z80" s="531"/>
      <c r="AA80" s="279"/>
      <c r="AB80" s="279"/>
    </row>
  </sheetData>
  <mergeCells count="89"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</mergeCells>
  <phoneticPr fontId="10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Лист33">
    <tabColor rgb="FFFF66FF"/>
    <pageSetUpPr fitToPage="1"/>
  </sheetPr>
  <dimension ref="A1:AV55"/>
  <sheetViews>
    <sheetView workbookViewId="0">
      <pane xSplit="1" ySplit="5" topLeftCell="AI27" activePane="bottomRight" state="frozen"/>
      <selection pane="topRight" activeCell="B1" sqref="B1"/>
      <selection pane="bottomLeft" activeCell="A7" sqref="A7"/>
      <selection pane="bottomRight" activeCell="AX43" sqref="AX43"/>
    </sheetView>
  </sheetViews>
  <sheetFormatPr defaultRowHeight="12.75" x14ac:dyDescent="0.2"/>
  <cols>
    <col min="1" max="1" width="32" style="2091" customWidth="1"/>
    <col min="2" max="2" width="9.140625" style="1869" customWidth="1"/>
    <col min="3" max="19" width="8.7109375" style="5" hidden="1" customWidth="1"/>
    <col min="20" max="30" width="8.7109375" style="5" customWidth="1"/>
    <col min="31" max="31" width="12.42578125" style="5" customWidth="1"/>
    <col min="32" max="32" width="9.7109375" style="5" hidden="1" customWidth="1"/>
    <col min="33" max="33" width="9.85546875" style="5" hidden="1" customWidth="1"/>
    <col min="34" max="34" width="8.7109375" style="5" customWidth="1"/>
    <col min="35" max="36" width="11.7109375" style="5" customWidth="1"/>
    <col min="37" max="38" width="9.7109375" style="5" hidden="1" customWidth="1"/>
    <col min="39" max="39" width="8.7109375" style="5" customWidth="1"/>
    <col min="40" max="41" width="11.7109375" style="5" customWidth="1"/>
    <col min="42" max="43" width="8.7109375" style="5" hidden="1" customWidth="1"/>
    <col min="44" max="44" width="8.7109375" style="5" customWidth="1"/>
    <col min="45" max="46" width="11.7109375" style="5" customWidth="1"/>
    <col min="47" max="47" width="9.5703125" style="5" customWidth="1"/>
    <col min="48" max="16384" width="9.140625" style="5"/>
  </cols>
  <sheetData>
    <row r="1" spans="1:48" ht="15.75" x14ac:dyDescent="0.25">
      <c r="A1" s="5835" t="s">
        <v>4057</v>
      </c>
      <c r="B1" s="5835"/>
      <c r="C1" s="5835"/>
      <c r="D1" s="5835"/>
      <c r="E1" s="5835"/>
      <c r="F1" s="5835"/>
      <c r="G1" s="5835"/>
      <c r="H1" s="5835"/>
      <c r="I1" s="5835"/>
      <c r="J1" s="5835"/>
      <c r="K1" s="5835"/>
      <c r="L1" s="5835"/>
      <c r="M1" s="5835"/>
      <c r="N1" s="5835"/>
      <c r="O1" s="5835"/>
      <c r="P1" s="5835"/>
      <c r="Q1" s="5835"/>
      <c r="R1" s="5835"/>
      <c r="S1" s="5835"/>
      <c r="T1" s="5835"/>
      <c r="U1" s="5835"/>
      <c r="V1" s="5835"/>
      <c r="W1" s="5835"/>
      <c r="X1" s="5835"/>
      <c r="Y1" s="5835"/>
      <c r="Z1" s="5835"/>
      <c r="AA1" s="5835"/>
      <c r="AB1" s="5835"/>
      <c r="AC1" s="5835"/>
      <c r="AD1" s="5835"/>
      <c r="AE1" s="5835"/>
      <c r="AF1" s="5835"/>
      <c r="AG1" s="5835"/>
      <c r="AH1" s="5835"/>
      <c r="AI1" s="4910"/>
      <c r="AJ1" s="4910"/>
      <c r="AK1" s="4910"/>
      <c r="AL1" s="4910"/>
      <c r="AM1" s="4910"/>
      <c r="AN1" s="4910"/>
      <c r="AO1" s="4910"/>
      <c r="AP1" s="4910"/>
      <c r="AQ1" s="4910"/>
      <c r="AR1" s="4910"/>
      <c r="AS1" s="4910"/>
      <c r="AT1" s="4910"/>
      <c r="AU1" s="4910"/>
      <c r="AV1" s="4910"/>
    </row>
    <row r="3" spans="1:48" ht="24" customHeight="1" x14ac:dyDescent="0.2">
      <c r="A3" s="5144" t="s">
        <v>525</v>
      </c>
      <c r="B3" s="5155" t="s">
        <v>323</v>
      </c>
      <c r="C3" s="5144" t="s">
        <v>1837</v>
      </c>
      <c r="D3" s="5144"/>
      <c r="E3" s="5144"/>
      <c r="F3" s="5144"/>
      <c r="G3" s="5144"/>
      <c r="H3" s="5144"/>
      <c r="I3" s="5144"/>
      <c r="J3" s="5144"/>
      <c r="K3" s="5144"/>
      <c r="L3" s="5144"/>
      <c r="M3" s="5521"/>
      <c r="N3" s="5155" t="s">
        <v>1797</v>
      </c>
      <c r="O3" s="5155"/>
      <c r="P3" s="5155"/>
      <c r="Q3" s="5155"/>
      <c r="R3" s="5155"/>
      <c r="S3" s="5155"/>
      <c r="T3" s="5155"/>
      <c r="U3" s="5155"/>
      <c r="V3" s="5155"/>
      <c r="W3" s="5155"/>
      <c r="X3" s="5155"/>
      <c r="Y3" s="5155"/>
      <c r="Z3" s="5155" t="s">
        <v>3514</v>
      </c>
      <c r="AA3" s="5838"/>
      <c r="AB3" s="5838"/>
      <c r="AC3" s="5838"/>
      <c r="AD3" s="5838"/>
      <c r="AE3" s="2658" t="s">
        <v>1818</v>
      </c>
      <c r="AF3" s="5144" t="s">
        <v>3614</v>
      </c>
      <c r="AG3" s="5144" t="s">
        <v>3615</v>
      </c>
      <c r="AH3" s="5144" t="s">
        <v>3622</v>
      </c>
      <c r="AI3" s="5836" t="s">
        <v>3846</v>
      </c>
      <c r="AJ3" s="5674"/>
      <c r="AK3" s="5144" t="s">
        <v>3867</v>
      </c>
      <c r="AL3" s="5144" t="s">
        <v>3868</v>
      </c>
      <c r="AM3" s="5144" t="s">
        <v>3871</v>
      </c>
      <c r="AN3" s="5836" t="s">
        <v>3895</v>
      </c>
      <c r="AO3" s="5674"/>
      <c r="AP3" s="5144" t="s">
        <v>3933</v>
      </c>
      <c r="AQ3" s="5144" t="s">
        <v>3934</v>
      </c>
      <c r="AR3" s="5144" t="s">
        <v>3935</v>
      </c>
      <c r="AS3" s="5836" t="s">
        <v>4014</v>
      </c>
      <c r="AT3" s="5674"/>
      <c r="AU3" s="5144" t="s">
        <v>4260</v>
      </c>
      <c r="AV3" s="5144" t="s">
        <v>4261</v>
      </c>
    </row>
    <row r="4" spans="1:48" x14ac:dyDescent="0.2">
      <c r="A4" s="5144"/>
      <c r="B4" s="5155"/>
      <c r="C4" s="5154" t="s">
        <v>815</v>
      </c>
      <c r="D4" s="5154"/>
      <c r="E4" s="5154"/>
      <c r="F4" s="5154" t="s">
        <v>892</v>
      </c>
      <c r="G4" s="5154"/>
      <c r="H4" s="5154"/>
      <c r="I4" s="5154"/>
      <c r="J4" s="5154"/>
      <c r="K4" s="5154" t="s">
        <v>893</v>
      </c>
      <c r="L4" s="5154"/>
      <c r="M4" s="5663"/>
      <c r="N4" s="2620" t="s">
        <v>1799</v>
      </c>
      <c r="O4" s="2620" t="s">
        <v>1805</v>
      </c>
      <c r="P4" s="2620" t="s">
        <v>1806</v>
      </c>
      <c r="Q4" s="2620" t="s">
        <v>1807</v>
      </c>
      <c r="R4" s="2620" t="s">
        <v>1808</v>
      </c>
      <c r="S4" s="2620" t="s">
        <v>1809</v>
      </c>
      <c r="T4" s="2620" t="s">
        <v>1799</v>
      </c>
      <c r="U4" s="2620" t="s">
        <v>1805</v>
      </c>
      <c r="V4" s="2620" t="s">
        <v>1806</v>
      </c>
      <c r="W4" s="2620" t="s">
        <v>1807</v>
      </c>
      <c r="X4" s="2620" t="s">
        <v>1808</v>
      </c>
      <c r="Y4" s="2620" t="s">
        <v>1809</v>
      </c>
      <c r="Z4" s="2620" t="s">
        <v>1805</v>
      </c>
      <c r="AA4" s="2620" t="s">
        <v>1806</v>
      </c>
      <c r="AB4" s="2620" t="s">
        <v>1807</v>
      </c>
      <c r="AC4" s="2620" t="s">
        <v>1808</v>
      </c>
      <c r="AD4" s="2620" t="s">
        <v>1809</v>
      </c>
      <c r="AE4" s="2658" t="s">
        <v>1805</v>
      </c>
      <c r="AF4" s="5521"/>
      <c r="AG4" s="5521"/>
      <c r="AH4" s="5521"/>
      <c r="AI4" s="5837" t="s">
        <v>270</v>
      </c>
      <c r="AJ4" s="5837" t="s">
        <v>3658</v>
      </c>
      <c r="AK4" s="5521"/>
      <c r="AL4" s="5521"/>
      <c r="AM4" s="5521"/>
      <c r="AN4" s="5837" t="s">
        <v>270</v>
      </c>
      <c r="AO4" s="5837" t="s">
        <v>3658</v>
      </c>
      <c r="AP4" s="5521"/>
      <c r="AQ4" s="5521"/>
      <c r="AR4" s="5521"/>
      <c r="AS4" s="5837" t="s">
        <v>270</v>
      </c>
      <c r="AT4" s="5837" t="s">
        <v>3658</v>
      </c>
      <c r="AU4" s="5521"/>
      <c r="AV4" s="5521"/>
    </row>
    <row r="5" spans="1:48" s="1869" customFormat="1" ht="25.5" x14ac:dyDescent="0.2">
      <c r="A5" s="5144"/>
      <c r="B5" s="5155"/>
      <c r="C5" s="2619" t="s">
        <v>1585</v>
      </c>
      <c r="D5" s="2619" t="s">
        <v>1835</v>
      </c>
      <c r="E5" s="2619" t="s">
        <v>1822</v>
      </c>
      <c r="F5" s="2619" t="s">
        <v>1585</v>
      </c>
      <c r="G5" s="2619" t="s">
        <v>1836</v>
      </c>
      <c r="H5" s="2619" t="s">
        <v>1835</v>
      </c>
      <c r="I5" s="2619" t="s">
        <v>1904</v>
      </c>
      <c r="J5" s="2619" t="s">
        <v>1822</v>
      </c>
      <c r="K5" s="2619" t="s">
        <v>1585</v>
      </c>
      <c r="L5" s="2619" t="s">
        <v>1836</v>
      </c>
      <c r="M5" s="2619" t="s">
        <v>60</v>
      </c>
      <c r="N5" s="5144" t="s">
        <v>118</v>
      </c>
      <c r="O5" s="5144"/>
      <c r="P5" s="5144"/>
      <c r="Q5" s="5144"/>
      <c r="R5" s="5144"/>
      <c r="S5" s="5144"/>
      <c r="T5" s="5144" t="s">
        <v>1521</v>
      </c>
      <c r="U5" s="5144"/>
      <c r="V5" s="5144"/>
      <c r="W5" s="5144"/>
      <c r="X5" s="5144"/>
      <c r="Y5" s="5144"/>
      <c r="Z5" s="5155" t="s">
        <v>118</v>
      </c>
      <c r="AA5" s="5838"/>
      <c r="AB5" s="5838"/>
      <c r="AC5" s="5838"/>
      <c r="AD5" s="5838"/>
      <c r="AE5" s="2657" t="s">
        <v>3658</v>
      </c>
      <c r="AF5" s="5521"/>
      <c r="AG5" s="5521"/>
      <c r="AH5" s="5521"/>
      <c r="AI5" s="5621"/>
      <c r="AJ5" s="5621"/>
      <c r="AK5" s="5521"/>
      <c r="AL5" s="5521"/>
      <c r="AM5" s="5521"/>
      <c r="AN5" s="5621"/>
      <c r="AO5" s="5621"/>
      <c r="AP5" s="5521"/>
      <c r="AQ5" s="5521"/>
      <c r="AR5" s="5521"/>
      <c r="AS5" s="5621"/>
      <c r="AT5" s="5621"/>
      <c r="AU5" s="5521"/>
      <c r="AV5" s="5521"/>
    </row>
    <row r="6" spans="1:48" x14ac:dyDescent="0.2">
      <c r="A6" s="3052" t="s">
        <v>1824</v>
      </c>
      <c r="B6" s="3035"/>
      <c r="C6" s="2554"/>
      <c r="D6" s="2554"/>
      <c r="E6" s="2554"/>
      <c r="F6" s="2554"/>
      <c r="G6" s="2554"/>
      <c r="H6" s="2554"/>
      <c r="I6" s="2554"/>
      <c r="J6" s="2554"/>
      <c r="K6" s="2554"/>
      <c r="L6" s="2554"/>
      <c r="M6" s="2554"/>
      <c r="N6" s="2554"/>
      <c r="O6" s="2554"/>
      <c r="P6" s="2554"/>
      <c r="Q6" s="2554"/>
      <c r="R6" s="2554"/>
      <c r="S6" s="2554"/>
      <c r="T6" s="2554"/>
      <c r="U6" s="2554"/>
      <c r="V6" s="2554"/>
      <c r="W6" s="2554"/>
      <c r="X6" s="2554"/>
      <c r="Y6" s="2554"/>
      <c r="Z6" s="2554"/>
      <c r="AA6" s="2554"/>
      <c r="AB6" s="2554"/>
      <c r="AC6" s="2554"/>
      <c r="AD6" s="2554"/>
      <c r="AE6" s="2554"/>
      <c r="AF6" s="2554"/>
      <c r="AG6" s="2554"/>
      <c r="AH6" s="2554"/>
      <c r="AI6" s="2554"/>
      <c r="AJ6" s="2554"/>
      <c r="AK6" s="2554"/>
      <c r="AL6" s="2554"/>
      <c r="AM6" s="2554"/>
      <c r="AN6" s="2554"/>
      <c r="AO6" s="2554"/>
      <c r="AP6" s="2554"/>
      <c r="AQ6" s="2554"/>
      <c r="AR6" s="2554"/>
      <c r="AS6" s="2420"/>
      <c r="AT6" s="2420"/>
      <c r="AU6" s="2554"/>
      <c r="AV6" s="2554"/>
    </row>
    <row r="7" spans="1:48" s="1920" customFormat="1" x14ac:dyDescent="0.2">
      <c r="A7" s="3054" t="s">
        <v>131</v>
      </c>
      <c r="B7" s="2600"/>
      <c r="C7" s="2563"/>
      <c r="D7" s="2563"/>
      <c r="E7" s="2563"/>
      <c r="F7" s="2563"/>
      <c r="G7" s="2563"/>
      <c r="H7" s="2563"/>
      <c r="I7" s="2563"/>
      <c r="J7" s="2563"/>
      <c r="K7" s="2563"/>
      <c r="L7" s="2563"/>
      <c r="M7" s="2563"/>
      <c r="N7" s="2563"/>
      <c r="O7" s="2563"/>
      <c r="P7" s="2563"/>
      <c r="Q7" s="2563"/>
      <c r="R7" s="2563"/>
      <c r="S7" s="2563"/>
      <c r="T7" s="2563"/>
      <c r="U7" s="2563"/>
      <c r="V7" s="2563"/>
      <c r="W7" s="2563"/>
      <c r="X7" s="2563"/>
      <c r="Y7" s="2563"/>
      <c r="Z7" s="2563"/>
      <c r="AA7" s="2563"/>
      <c r="AB7" s="2563"/>
      <c r="AC7" s="2563"/>
      <c r="AD7" s="2563"/>
      <c r="AE7" s="2563"/>
      <c r="AF7" s="2563"/>
      <c r="AG7" s="2563"/>
      <c r="AH7" s="2563"/>
      <c r="AI7" s="3602"/>
      <c r="AJ7" s="3602"/>
      <c r="AK7" s="3602"/>
      <c r="AL7" s="3602"/>
      <c r="AM7" s="3602"/>
      <c r="AN7" s="3944"/>
      <c r="AO7" s="3944"/>
      <c r="AP7" s="3944"/>
      <c r="AQ7" s="3944"/>
      <c r="AR7" s="3944"/>
      <c r="AS7" s="3075"/>
      <c r="AT7" s="3075"/>
      <c r="AU7" s="4570"/>
      <c r="AV7" s="4570"/>
    </row>
    <row r="8" spans="1:48" x14ac:dyDescent="0.2">
      <c r="A8" s="3052" t="s">
        <v>1825</v>
      </c>
      <c r="B8" s="3035" t="s">
        <v>934</v>
      </c>
      <c r="C8" s="2562">
        <v>5675.74</v>
      </c>
      <c r="D8" s="2562">
        <v>6332.03</v>
      </c>
      <c r="E8" s="2562">
        <v>5629.66</v>
      </c>
      <c r="F8" s="2562">
        <v>5560.4</v>
      </c>
      <c r="G8" s="2562">
        <v>5570.69</v>
      </c>
      <c r="H8" s="2562">
        <v>6767.77</v>
      </c>
      <c r="I8" s="2562">
        <v>6767.77</v>
      </c>
      <c r="J8" s="2562">
        <v>5957.32</v>
      </c>
      <c r="K8" s="2562">
        <v>5560.4</v>
      </c>
      <c r="L8" s="2562">
        <v>5326.28</v>
      </c>
      <c r="M8" s="2562">
        <f>SUM(M10:M11)</f>
        <v>7137.71</v>
      </c>
      <c r="N8" s="2562">
        <v>6150</v>
      </c>
      <c r="O8" s="2562">
        <v>6150</v>
      </c>
      <c r="P8" s="2562">
        <v>6150</v>
      </c>
      <c r="Q8" s="2562">
        <v>6150</v>
      </c>
      <c r="R8" s="2562">
        <v>6150</v>
      </c>
      <c r="S8" s="2562"/>
      <c r="T8" s="2562">
        <f>T10+T11</f>
        <v>6255.1516796622664</v>
      </c>
      <c r="U8" s="2562">
        <f t="shared" ref="U8:AI8" si="0">U10+U11</f>
        <v>6255.1516796622664</v>
      </c>
      <c r="V8" s="2562">
        <f t="shared" si="0"/>
        <v>6255.1516796622664</v>
      </c>
      <c r="W8" s="2562">
        <f t="shared" si="0"/>
        <v>6255.1516796622664</v>
      </c>
      <c r="X8" s="2562">
        <f t="shared" si="0"/>
        <v>6255.1516796622664</v>
      </c>
      <c r="Y8" s="2562">
        <f t="shared" si="0"/>
        <v>6255.1516796622664</v>
      </c>
      <c r="Z8" s="2562">
        <f t="shared" si="0"/>
        <v>6255.1516796622664</v>
      </c>
      <c r="AA8" s="2562">
        <f t="shared" si="0"/>
        <v>6255.1516796622664</v>
      </c>
      <c r="AB8" s="2562">
        <f t="shared" si="0"/>
        <v>6255.1516796622664</v>
      </c>
      <c r="AC8" s="2562">
        <f t="shared" si="0"/>
        <v>6255.1516796622664</v>
      </c>
      <c r="AD8" s="2562">
        <f t="shared" si="0"/>
        <v>6255.1516796622664</v>
      </c>
      <c r="AE8" s="2574">
        <f t="shared" ref="AE8" si="1">AE10+AE11</f>
        <v>5935.5559999999996</v>
      </c>
      <c r="AF8" s="2562">
        <f t="shared" si="0"/>
        <v>3480.95</v>
      </c>
      <c r="AG8" s="2562">
        <f t="shared" si="0"/>
        <v>5263.65</v>
      </c>
      <c r="AH8" s="2562">
        <f t="shared" si="0"/>
        <v>6959.11</v>
      </c>
      <c r="AI8" s="3601">
        <f t="shared" si="0"/>
        <v>5935.5559999999996</v>
      </c>
      <c r="AJ8" s="3601">
        <f t="shared" ref="AJ8" si="2">AJ10+AJ11</f>
        <v>5989.6898000000001</v>
      </c>
      <c r="AK8" s="3601">
        <f t="shared" ref="AK8:AO8" si="3">AK10+AK11</f>
        <v>3251.7139999999999</v>
      </c>
      <c r="AL8" s="3601">
        <f t="shared" si="3"/>
        <v>4711.6249999999991</v>
      </c>
      <c r="AM8" s="3601">
        <f t="shared" si="3"/>
        <v>6223.7489999999998</v>
      </c>
      <c r="AN8" s="3945">
        <f t="shared" si="3"/>
        <v>5989.6898000000001</v>
      </c>
      <c r="AO8" s="3945">
        <f t="shared" si="3"/>
        <v>5983.7118</v>
      </c>
      <c r="AP8" s="3945">
        <f t="shared" ref="AP8:AQ8" si="4">AP10+AP11</f>
        <v>2917.7830000000004</v>
      </c>
      <c r="AQ8" s="3945">
        <f t="shared" si="4"/>
        <v>4158.4049999999997</v>
      </c>
      <c r="AR8" s="3945">
        <f t="shared" ref="AR8:AT8" si="5">AR10+AR11</f>
        <v>5587.75</v>
      </c>
      <c r="AS8" s="3074">
        <f t="shared" si="5"/>
        <v>5983.7118</v>
      </c>
      <c r="AT8" s="2463">
        <f t="shared" si="5"/>
        <v>6072.6513322000001</v>
      </c>
      <c r="AU8" s="4718">
        <f t="shared" ref="AU8:AV8" si="6">AU10+AU11</f>
        <v>2575.6010000000001</v>
      </c>
      <c r="AV8" s="4718">
        <f t="shared" si="6"/>
        <v>4916.3869999999997</v>
      </c>
    </row>
    <row r="9" spans="1:48" x14ac:dyDescent="0.2">
      <c r="A9" s="3052" t="s">
        <v>50</v>
      </c>
      <c r="B9" s="3035"/>
      <c r="C9" s="2562"/>
      <c r="D9" s="2562"/>
      <c r="E9" s="2562"/>
      <c r="F9" s="2562"/>
      <c r="G9" s="2562"/>
      <c r="H9" s="2562"/>
      <c r="I9" s="2562"/>
      <c r="J9" s="2562"/>
      <c r="K9" s="2562"/>
      <c r="L9" s="2562"/>
      <c r="M9" s="2562"/>
      <c r="N9" s="2562"/>
      <c r="O9" s="2562"/>
      <c r="P9" s="2562"/>
      <c r="Q9" s="2562"/>
      <c r="R9" s="2562"/>
      <c r="S9" s="2562"/>
      <c r="T9" s="2562"/>
      <c r="U9" s="2562"/>
      <c r="V9" s="2562"/>
      <c r="W9" s="2562"/>
      <c r="X9" s="2562"/>
      <c r="Y9" s="2562"/>
      <c r="Z9" s="2562"/>
      <c r="AA9" s="2562"/>
      <c r="AB9" s="2562"/>
      <c r="AC9" s="2562"/>
      <c r="AD9" s="2562"/>
      <c r="AE9" s="2574"/>
      <c r="AF9" s="2562"/>
      <c r="AG9" s="2562"/>
      <c r="AH9" s="2562"/>
      <c r="AI9" s="3601"/>
      <c r="AJ9" s="3601"/>
      <c r="AK9" s="3601"/>
      <c r="AL9" s="3601"/>
      <c r="AM9" s="3601"/>
      <c r="AN9" s="3945"/>
      <c r="AO9" s="3945"/>
      <c r="AP9" s="3945"/>
      <c r="AQ9" s="3945"/>
      <c r="AR9" s="3945"/>
      <c r="AS9" s="3074"/>
      <c r="AT9" s="3074"/>
      <c r="AU9" s="4571"/>
      <c r="AV9" s="4571"/>
    </row>
    <row r="10" spans="1:48" s="1867" customFormat="1" x14ac:dyDescent="0.2">
      <c r="A10" s="3056" t="s">
        <v>1826</v>
      </c>
      <c r="B10" s="3035" t="s">
        <v>934</v>
      </c>
      <c r="C10" s="2562"/>
      <c r="D10" s="2562"/>
      <c r="E10" s="2562"/>
      <c r="F10" s="2562"/>
      <c r="G10" s="2562"/>
      <c r="H10" s="2562"/>
      <c r="I10" s="2562"/>
      <c r="J10" s="2562">
        <f>'объемы ВС и ВО 2023'!AP39</f>
        <v>5955.747459526774</v>
      </c>
      <c r="K10" s="2562"/>
      <c r="L10" s="2562"/>
      <c r="M10" s="2562">
        <v>7136.38</v>
      </c>
      <c r="N10" s="2562"/>
      <c r="O10" s="2562"/>
      <c r="P10" s="2562"/>
      <c r="Q10" s="2562"/>
      <c r="R10" s="2562"/>
      <c r="S10" s="2562"/>
      <c r="T10" s="2562">
        <f>'объемы ВС и ВО 2023'!AZ39</f>
        <v>6253.3816796622659</v>
      </c>
      <c r="U10" s="2562">
        <f>T10</f>
        <v>6253.3816796622659</v>
      </c>
      <c r="V10" s="2562">
        <f t="shared" ref="V10:Y10" si="7">U10</f>
        <v>6253.3816796622659</v>
      </c>
      <c r="W10" s="2562">
        <f t="shared" si="7"/>
        <v>6253.3816796622659</v>
      </c>
      <c r="X10" s="2562">
        <f t="shared" si="7"/>
        <v>6253.3816796622659</v>
      </c>
      <c r="Y10" s="2562">
        <f t="shared" si="7"/>
        <v>6253.3816796622659</v>
      </c>
      <c r="Z10" s="2562">
        <f>SUM('объемы ВС и ВО 2023'!BB39)</f>
        <v>6253.3816796622659</v>
      </c>
      <c r="AA10" s="2562">
        <f>SUM(Z10)</f>
        <v>6253.3816796622659</v>
      </c>
      <c r="AB10" s="2562">
        <f>SUM(Z10)</f>
        <v>6253.3816796622659</v>
      </c>
      <c r="AC10" s="2562">
        <f>SUM(Z10)</f>
        <v>6253.3816796622659</v>
      </c>
      <c r="AD10" s="2562">
        <f>SUM(Z10)</f>
        <v>6253.3816796622659</v>
      </c>
      <c r="AE10" s="2574">
        <f>SUM('объемы ВС и ВО 2023'!BD39)</f>
        <v>5933.7859999999991</v>
      </c>
      <c r="AF10" s="2562">
        <v>3480.39</v>
      </c>
      <c r="AG10" s="2562">
        <v>5262.82</v>
      </c>
      <c r="AH10" s="2562">
        <v>6957.98</v>
      </c>
      <c r="AI10" s="3601">
        <f>SUM('объемы ВС и ВО 2023'!BL39)</f>
        <v>5933.7859999999991</v>
      </c>
      <c r="AJ10" s="3601">
        <f>SUM('объемы ВС и ВО 2023'!BN39)</f>
        <v>5987.92</v>
      </c>
      <c r="AK10" s="3601">
        <f>SUM('объемы ВС и ВО 2023'!BQ40)</f>
        <v>3251.1729999999998</v>
      </c>
      <c r="AL10" s="3601">
        <f>SUM('объемы ВС и ВО 2023'!BS40)</f>
        <v>4710.8989999999994</v>
      </c>
      <c r="AM10" s="3601">
        <f>SUM('объемы ВС и ВО 2023'!BU40)</f>
        <v>6222.817</v>
      </c>
      <c r="AN10" s="3945">
        <f>SUM('объемы ВС и ВО 2023'!BW39)</f>
        <v>5987.92</v>
      </c>
      <c r="AO10" s="3945">
        <f>SUM('объемы ВС и ВО 2023'!BY39)</f>
        <v>5981.942</v>
      </c>
      <c r="AP10" s="3945">
        <f>SUM('объемы ВС и ВО 2023'!CA40)</f>
        <v>2917.3690000000001</v>
      </c>
      <c r="AQ10" s="3945">
        <f>SUM('объемы ВС и ВО 2023'!CC40)</f>
        <v>4157.8069999999998</v>
      </c>
      <c r="AR10" s="3945">
        <f>SUM('объемы ВС и ВО 2023'!CE40)</f>
        <v>5586.9679999999998</v>
      </c>
      <c r="AS10" s="3074">
        <f>SUM('объемы ВС и ВО 2023'!CG39)</f>
        <v>5981.942</v>
      </c>
      <c r="AT10" s="3074">
        <f>SUM('объемы ВС и ВО 2023'!CI39)</f>
        <v>6071.3003322000004</v>
      </c>
      <c r="AU10" s="4718">
        <f>SUM('объемы ВС и ВО 2023'!CK40)</f>
        <v>2574.81</v>
      </c>
      <c r="AV10" s="4718">
        <f>SUM('объемы ВС и ВО 2023'!CM40)</f>
        <v>4915.5959999999995</v>
      </c>
    </row>
    <row r="11" spans="1:48" s="1867" customFormat="1" x14ac:dyDescent="0.2">
      <c r="A11" s="3056" t="s">
        <v>1827</v>
      </c>
      <c r="B11" s="3035" t="s">
        <v>934</v>
      </c>
      <c r="C11" s="2562"/>
      <c r="D11" s="2562"/>
      <c r="E11" s="2562"/>
      <c r="F11" s="2562"/>
      <c r="G11" s="2562"/>
      <c r="H11" s="2562"/>
      <c r="I11" s="2562"/>
      <c r="J11" s="2562">
        <f>'объемы ВС и ВО 2023'!AQ41</f>
        <v>1.77</v>
      </c>
      <c r="K11" s="2562"/>
      <c r="L11" s="2562"/>
      <c r="M11" s="2562">
        <v>1.33</v>
      </c>
      <c r="N11" s="2562"/>
      <c r="O11" s="2562"/>
      <c r="P11" s="2562"/>
      <c r="Q11" s="2562"/>
      <c r="R11" s="2562"/>
      <c r="S11" s="2562"/>
      <c r="T11" s="2562">
        <f>'объемы ВС и ВО 2023'!BA39</f>
        <v>1.77</v>
      </c>
      <c r="U11" s="2562">
        <f>T11</f>
        <v>1.77</v>
      </c>
      <c r="V11" s="2562">
        <f t="shared" ref="V11:Y12" si="8">U11</f>
        <v>1.77</v>
      </c>
      <c r="W11" s="2562">
        <f t="shared" si="8"/>
        <v>1.77</v>
      </c>
      <c r="X11" s="2562">
        <f t="shared" si="8"/>
        <v>1.77</v>
      </c>
      <c r="Y11" s="2562">
        <f t="shared" si="8"/>
        <v>1.77</v>
      </c>
      <c r="Z11" s="2562">
        <f>SUM('объемы ВС и ВО 2023'!BC39)</f>
        <v>1.77</v>
      </c>
      <c r="AA11" s="2562">
        <f>SUM(Z11)</f>
        <v>1.77</v>
      </c>
      <c r="AB11" s="2562">
        <f>SUM(Z11)</f>
        <v>1.77</v>
      </c>
      <c r="AC11" s="2562">
        <f>SUM(Z11)</f>
        <v>1.77</v>
      </c>
      <c r="AD11" s="2562">
        <f>SUM(Z11)</f>
        <v>1.77</v>
      </c>
      <c r="AE11" s="2574">
        <f>SUM('объемы ВС и ВО 2023'!BE39)</f>
        <v>1.77</v>
      </c>
      <c r="AF11" s="2562">
        <v>0.56000000000000005</v>
      </c>
      <c r="AG11" s="2562">
        <v>0.83</v>
      </c>
      <c r="AH11" s="2562">
        <v>1.1299999999999999</v>
      </c>
      <c r="AI11" s="3601">
        <f>SUM('объемы ВС и ВО 2023'!BM39)</f>
        <v>1.77</v>
      </c>
      <c r="AJ11" s="3601">
        <f>SUM('объемы ВС и ВО 2023'!BO39)</f>
        <v>1.7698</v>
      </c>
      <c r="AK11" s="3601">
        <f>SUM('объемы ВС и ВО 2023'!BR41)</f>
        <v>0.54100000000000004</v>
      </c>
      <c r="AL11" s="3601">
        <f>SUM('объемы ВС и ВО 2023'!BT41)</f>
        <v>0.72599999999999998</v>
      </c>
      <c r="AM11" s="3601">
        <f>SUM('объемы ВС и ВО 2023'!BV41)</f>
        <v>0.93200000000000005</v>
      </c>
      <c r="AN11" s="3945">
        <f>SUM('объемы ВС и ВО 2023'!BX39)</f>
        <v>1.7698</v>
      </c>
      <c r="AO11" s="3945">
        <f>SUM('объемы ВС и ВО 2023'!BZ39)</f>
        <v>1.7698</v>
      </c>
      <c r="AP11" s="3945">
        <f>SUM('объемы ВС и ВО 2023'!CB41)</f>
        <v>0.41399999999999998</v>
      </c>
      <c r="AQ11" s="3945">
        <f>SUM('объемы ВС и ВО 2023'!CD41)</f>
        <v>0.59799999999999998</v>
      </c>
      <c r="AR11" s="3945">
        <f>SUM('объемы ВС и ВО 2023'!CF41)</f>
        <v>0.78200000000000003</v>
      </c>
      <c r="AS11" s="3074">
        <f>SUM('объемы ВС и ВО 2023'!CH39)</f>
        <v>1.7698</v>
      </c>
      <c r="AT11" s="3074">
        <f>SUM('объемы ВС и ВО 2023'!CJ39)</f>
        <v>1.351</v>
      </c>
      <c r="AU11" s="4718">
        <f>SUM('объемы ВС и ВО 2023'!CL41)</f>
        <v>0.79100000000000004</v>
      </c>
      <c r="AV11" s="4718">
        <f>SUM('объемы ВС и ВО 2023'!CN41)</f>
        <v>0.79100000000000004</v>
      </c>
    </row>
    <row r="12" spans="1:48" ht="51" x14ac:dyDescent="0.2">
      <c r="A12" s="3052" t="s">
        <v>1828</v>
      </c>
      <c r="B12" s="3035" t="s">
        <v>1832</v>
      </c>
      <c r="C12" s="2574">
        <v>0.124</v>
      </c>
      <c r="D12" s="2574">
        <v>0.125</v>
      </c>
      <c r="E12" s="2574">
        <v>0.124</v>
      </c>
      <c r="F12" s="2574">
        <v>0.124</v>
      </c>
      <c r="G12" s="2574">
        <v>0.124</v>
      </c>
      <c r="H12" s="2574">
        <f>H13/H8</f>
        <v>0.13026447411776701</v>
      </c>
      <c r="I12" s="2574">
        <v>130</v>
      </c>
      <c r="J12" s="2574">
        <v>0.124</v>
      </c>
      <c r="K12" s="2574">
        <v>0.124</v>
      </c>
      <c r="L12" s="2574">
        <v>0.124</v>
      </c>
      <c r="M12" s="2574">
        <f>M13/M8</f>
        <v>0.12388945474108642</v>
      </c>
      <c r="N12" s="2574">
        <f>N13/N8</f>
        <v>0.125</v>
      </c>
      <c r="O12" s="2574">
        <f t="shared" ref="O12:R12" si="9">O13/O8</f>
        <v>0.125</v>
      </c>
      <c r="P12" s="2574">
        <f t="shared" si="9"/>
        <v>0.125</v>
      </c>
      <c r="Q12" s="2574">
        <f t="shared" si="9"/>
        <v>0.125</v>
      </c>
      <c r="R12" s="2574">
        <f t="shared" si="9"/>
        <v>0.125</v>
      </c>
      <c r="S12" s="2574"/>
      <c r="T12" s="2574">
        <v>0.13</v>
      </c>
      <c r="U12" s="2574">
        <f>T12</f>
        <v>0.13</v>
      </c>
      <c r="V12" s="2574">
        <f t="shared" si="8"/>
        <v>0.13</v>
      </c>
      <c r="W12" s="2574">
        <f t="shared" si="8"/>
        <v>0.13</v>
      </c>
      <c r="X12" s="2574">
        <f t="shared" si="8"/>
        <v>0.13</v>
      </c>
      <c r="Y12" s="2574">
        <f t="shared" si="8"/>
        <v>0.13</v>
      </c>
      <c r="Z12" s="2574">
        <f t="shared" ref="Z12" si="10">Y12</f>
        <v>0.13</v>
      </c>
      <c r="AA12" s="2574">
        <f t="shared" ref="AA12" si="11">Z12</f>
        <v>0.13</v>
      </c>
      <c r="AB12" s="2574">
        <f t="shared" ref="AB12" si="12">AA12</f>
        <v>0.13</v>
      </c>
      <c r="AC12" s="2574">
        <f t="shared" ref="AC12" si="13">AB12</f>
        <v>0.13</v>
      </c>
      <c r="AD12" s="2574">
        <f t="shared" ref="AD12:AE12" si="14">AC12</f>
        <v>0.13</v>
      </c>
      <c r="AE12" s="2574">
        <f t="shared" si="14"/>
        <v>0.13</v>
      </c>
      <c r="AF12" s="2574">
        <f>AF13/AF8</f>
        <v>0.11493845071029461</v>
      </c>
      <c r="AG12" s="2574">
        <f t="shared" ref="AG12:AH12" si="15">AG13/AG8</f>
        <v>0.126382453240622</v>
      </c>
      <c r="AH12" s="2574">
        <f t="shared" si="15"/>
        <v>0.13579178946733131</v>
      </c>
      <c r="AI12" s="2574">
        <f>SUM(AE12)</f>
        <v>0.13</v>
      </c>
      <c r="AJ12" s="2574">
        <f>SUM(AE12)</f>
        <v>0.13</v>
      </c>
      <c r="AK12" s="2574">
        <f>AK13/AK8</f>
        <v>0.16411375662189231</v>
      </c>
      <c r="AL12" s="2574">
        <f t="shared" ref="AL12:AM12" si="16">AL13/AL8</f>
        <v>0.14786660653171679</v>
      </c>
      <c r="AM12" s="2574">
        <f t="shared" si="16"/>
        <v>0.14632691646144472</v>
      </c>
      <c r="AN12" s="2574">
        <v>0.14599999999999999</v>
      </c>
      <c r="AO12" s="2574">
        <f>SUM(AJ12)</f>
        <v>0.13</v>
      </c>
      <c r="AP12" s="2574">
        <f t="shared" ref="AP12:AQ12" si="17">AP13/AP8</f>
        <v>0.13547511929434092</v>
      </c>
      <c r="AQ12" s="2574">
        <f t="shared" si="17"/>
        <v>0.13454894364546019</v>
      </c>
      <c r="AR12" s="2574">
        <f t="shared" ref="AR12" si="18">AR13/AR8</f>
        <v>0.14121909534249028</v>
      </c>
      <c r="AS12" s="2384">
        <f>SUM(AO12)</f>
        <v>0.13</v>
      </c>
      <c r="AT12" s="2384">
        <f>SUM(AO12)</f>
        <v>0.13</v>
      </c>
      <c r="AU12" s="4736">
        <f t="shared" ref="AU12:AV12" si="19">AU13/AU8</f>
        <v>0.14818677271828984</v>
      </c>
      <c r="AV12" s="4736">
        <f t="shared" si="19"/>
        <v>0.14529287462520749</v>
      </c>
    </row>
    <row r="13" spans="1:48" ht="25.5" x14ac:dyDescent="0.2">
      <c r="A13" s="3052" t="s">
        <v>1829</v>
      </c>
      <c r="B13" s="3035" t="s">
        <v>1833</v>
      </c>
      <c r="C13" s="2562">
        <v>703.8</v>
      </c>
      <c r="D13" s="2562">
        <v>789.2</v>
      </c>
      <c r="E13" s="2562">
        <v>698.1</v>
      </c>
      <c r="F13" s="2562">
        <v>689.5</v>
      </c>
      <c r="G13" s="2562">
        <v>690.8</v>
      </c>
      <c r="H13" s="2562">
        <v>881.6</v>
      </c>
      <c r="I13" s="2562">
        <v>881.62</v>
      </c>
      <c r="J13" s="2562">
        <f>J8*J12</f>
        <v>738.70767999999998</v>
      </c>
      <c r="K13" s="2562">
        <v>689.49</v>
      </c>
      <c r="L13" s="2562">
        <v>660.5</v>
      </c>
      <c r="M13" s="2574">
        <v>884.28700000000003</v>
      </c>
      <c r="N13" s="2562">
        <v>768.75</v>
      </c>
      <c r="O13" s="2562">
        <v>768.75</v>
      </c>
      <c r="P13" s="2562">
        <v>768.75</v>
      </c>
      <c r="Q13" s="2562">
        <v>768.75</v>
      </c>
      <c r="R13" s="2562">
        <v>768.75</v>
      </c>
      <c r="S13" s="2562"/>
      <c r="T13" s="2562">
        <f>T8*T12</f>
        <v>813.16971835609468</v>
      </c>
      <c r="U13" s="2562">
        <f t="shared" ref="U13:AD13" si="20">U8*U12</f>
        <v>813.16971835609468</v>
      </c>
      <c r="V13" s="2562">
        <f t="shared" si="20"/>
        <v>813.16971835609468</v>
      </c>
      <c r="W13" s="2562">
        <f t="shared" si="20"/>
        <v>813.16971835609468</v>
      </c>
      <c r="X13" s="2562">
        <f t="shared" si="20"/>
        <v>813.16971835609468</v>
      </c>
      <c r="Y13" s="2562">
        <f t="shared" si="20"/>
        <v>813.16971835609468</v>
      </c>
      <c r="Z13" s="2562">
        <f t="shared" si="20"/>
        <v>813.16971835609468</v>
      </c>
      <c r="AA13" s="2562">
        <f t="shared" si="20"/>
        <v>813.16971835609468</v>
      </c>
      <c r="AB13" s="2562">
        <f t="shared" si="20"/>
        <v>813.16971835609468</v>
      </c>
      <c r="AC13" s="2562">
        <f t="shared" si="20"/>
        <v>813.16971835609468</v>
      </c>
      <c r="AD13" s="2562">
        <f t="shared" si="20"/>
        <v>813.16971835609468</v>
      </c>
      <c r="AE13" s="2574">
        <f t="shared" ref="AE13" si="21">AE8*AE12</f>
        <v>771.62227999999993</v>
      </c>
      <c r="AF13" s="2562">
        <f>SUM(AF15:AF16)</f>
        <v>400.09500000000003</v>
      </c>
      <c r="AG13" s="2562">
        <f t="shared" ref="AG13" si="22">SUM(AG15:AG16)</f>
        <v>665.23299999999995</v>
      </c>
      <c r="AH13" s="2562">
        <v>944.99</v>
      </c>
      <c r="AI13" s="2574">
        <f t="shared" ref="AI13:AJ13" si="23">AI8*AI12</f>
        <v>771.62227999999993</v>
      </c>
      <c r="AJ13" s="2574">
        <f t="shared" si="23"/>
        <v>778.659674</v>
      </c>
      <c r="AK13" s="3601">
        <f>SUM(AK15:AK16)</f>
        <v>533.65099999999995</v>
      </c>
      <c r="AL13" s="3601">
        <f t="shared" ref="AL13:AM13" si="24">SUM(AL15:AL16)</f>
        <v>696.69200000000001</v>
      </c>
      <c r="AM13" s="3601">
        <f t="shared" si="24"/>
        <v>910.702</v>
      </c>
      <c r="AN13" s="2574">
        <f t="shared" ref="AN13:AO13" si="25">AN8*AN12</f>
        <v>874.49471080000001</v>
      </c>
      <c r="AO13" s="2574">
        <f t="shared" si="25"/>
        <v>777.88253400000008</v>
      </c>
      <c r="AP13" s="3945">
        <f t="shared" ref="AP13:AQ13" si="26">SUM(AP15:AP16)</f>
        <v>395.28699999999998</v>
      </c>
      <c r="AQ13" s="3945">
        <f t="shared" si="26"/>
        <v>559.5089999999999</v>
      </c>
      <c r="AR13" s="3945">
        <f t="shared" ref="AR13" si="27">SUM(AR15:AR16)</f>
        <v>789.09699999999998</v>
      </c>
      <c r="AS13" s="2384">
        <f t="shared" ref="AS13:AT13" si="28">AS8*AS12</f>
        <v>777.88253400000008</v>
      </c>
      <c r="AT13" s="3074">
        <f t="shared" si="28"/>
        <v>789.44467318600005</v>
      </c>
      <c r="AU13" s="4718">
        <f t="shared" ref="AU13:AV13" si="29">SUM(AU15:AU16)</f>
        <v>381.67</v>
      </c>
      <c r="AV13" s="4718">
        <f t="shared" si="29"/>
        <v>714.31599999999992</v>
      </c>
    </row>
    <row r="14" spans="1:48" x14ac:dyDescent="0.2">
      <c r="A14" s="3052" t="s">
        <v>50</v>
      </c>
      <c r="B14" s="3035"/>
      <c r="C14" s="2562"/>
      <c r="D14" s="2562"/>
      <c r="E14" s="2562"/>
      <c r="F14" s="2562"/>
      <c r="G14" s="2562"/>
      <c r="H14" s="2562"/>
      <c r="I14" s="2562"/>
      <c r="J14" s="2562"/>
      <c r="K14" s="2562"/>
      <c r="L14" s="2562"/>
      <c r="M14" s="2562"/>
      <c r="N14" s="2562"/>
      <c r="O14" s="2562"/>
      <c r="P14" s="2562"/>
      <c r="Q14" s="2562"/>
      <c r="R14" s="2562"/>
      <c r="S14" s="2562"/>
      <c r="T14" s="2562"/>
      <c r="U14" s="2562"/>
      <c r="V14" s="2562"/>
      <c r="W14" s="2562"/>
      <c r="X14" s="2562"/>
      <c r="Y14" s="2562"/>
      <c r="Z14" s="2562"/>
      <c r="AA14" s="2562"/>
      <c r="AB14" s="2562"/>
      <c r="AC14" s="2562"/>
      <c r="AD14" s="2562"/>
      <c r="AE14" s="2574"/>
      <c r="AF14" s="2562"/>
      <c r="AG14" s="2562"/>
      <c r="AH14" s="2562"/>
      <c r="AI14" s="3601"/>
      <c r="AJ14" s="3601"/>
      <c r="AK14" s="3601"/>
      <c r="AL14" s="3601"/>
      <c r="AM14" s="3601"/>
      <c r="AN14" s="3945"/>
      <c r="AO14" s="3945"/>
      <c r="AP14" s="3945"/>
      <c r="AQ14" s="3945"/>
      <c r="AR14" s="3945"/>
      <c r="AS14" s="3074"/>
      <c r="AT14" s="3074"/>
      <c r="AU14" s="4571"/>
      <c r="AV14" s="4571"/>
    </row>
    <row r="15" spans="1:48" x14ac:dyDescent="0.2">
      <c r="A15" s="3056" t="s">
        <v>1826</v>
      </c>
      <c r="B15" s="3035" t="s">
        <v>1833</v>
      </c>
      <c r="C15" s="2562"/>
      <c r="D15" s="2562"/>
      <c r="E15" s="2562"/>
      <c r="F15" s="2562"/>
      <c r="G15" s="2562"/>
      <c r="H15" s="2562"/>
      <c r="I15" s="2562"/>
      <c r="J15" s="2562">
        <f>J12*J10</f>
        <v>738.51268498131992</v>
      </c>
      <c r="K15" s="2562"/>
      <c r="L15" s="2562"/>
      <c r="M15" s="2574">
        <v>884.12199999999996</v>
      </c>
      <c r="N15" s="2562"/>
      <c r="O15" s="2562"/>
      <c r="P15" s="2562"/>
      <c r="Q15" s="2562"/>
      <c r="R15" s="2562"/>
      <c r="S15" s="2562"/>
      <c r="T15" s="2562">
        <f>T10*T12</f>
        <v>812.93961835609457</v>
      </c>
      <c r="U15" s="2562">
        <f t="shared" ref="U15:Y15" si="30">U10*U12</f>
        <v>812.93961835609457</v>
      </c>
      <c r="V15" s="2562">
        <f t="shared" si="30"/>
        <v>812.93961835609457</v>
      </c>
      <c r="W15" s="2562">
        <f t="shared" si="30"/>
        <v>812.93961835609457</v>
      </c>
      <c r="X15" s="2562">
        <f t="shared" si="30"/>
        <v>812.93961835609457</v>
      </c>
      <c r="Y15" s="2562">
        <f t="shared" si="30"/>
        <v>812.93961835609457</v>
      </c>
      <c r="Z15" s="2562">
        <f t="shared" ref="Z15:AD15" si="31">Z10*Z12</f>
        <v>812.93961835609457</v>
      </c>
      <c r="AA15" s="2562">
        <f t="shared" si="31"/>
        <v>812.93961835609457</v>
      </c>
      <c r="AB15" s="2562">
        <f t="shared" si="31"/>
        <v>812.93961835609457</v>
      </c>
      <c r="AC15" s="2562">
        <f t="shared" si="31"/>
        <v>812.93961835609457</v>
      </c>
      <c r="AD15" s="2562">
        <f t="shared" si="31"/>
        <v>812.93961835609457</v>
      </c>
      <c r="AE15" s="2574">
        <f t="shared" ref="AE15" si="32">AE10*AE12</f>
        <v>771.39217999999994</v>
      </c>
      <c r="AF15" s="2562">
        <v>400.02600000000001</v>
      </c>
      <c r="AG15" s="2562">
        <v>665.13</v>
      </c>
      <c r="AH15" s="2562">
        <v>944.85</v>
      </c>
      <c r="AI15" s="3601">
        <f t="shared" ref="AI15:AJ15" si="33">AI10*AI12</f>
        <v>771.39217999999994</v>
      </c>
      <c r="AJ15" s="3601">
        <f t="shared" si="33"/>
        <v>778.42960000000005</v>
      </c>
      <c r="AK15" s="3601">
        <f>533.584</f>
        <v>533.58399999999995</v>
      </c>
      <c r="AL15" s="3601">
        <f>696.602</f>
        <v>696.60199999999998</v>
      </c>
      <c r="AM15" s="3601">
        <v>910.58600000000001</v>
      </c>
      <c r="AN15" s="3945">
        <f t="shared" ref="AN15:AO15" si="34">AN10*AN12</f>
        <v>874.23631999999998</v>
      </c>
      <c r="AO15" s="3945">
        <f t="shared" si="34"/>
        <v>777.65246000000002</v>
      </c>
      <c r="AP15" s="3945">
        <v>395.23599999999999</v>
      </c>
      <c r="AQ15" s="3945">
        <v>559.43499999999995</v>
      </c>
      <c r="AR15" s="3945">
        <v>788.12699999999995</v>
      </c>
      <c r="AS15" s="3074">
        <f t="shared" ref="AS15:AT15" si="35">AS10*AS12</f>
        <v>777.65246000000002</v>
      </c>
      <c r="AT15" s="3074">
        <f t="shared" si="35"/>
        <v>789.26904318600009</v>
      </c>
      <c r="AU15" s="4718">
        <v>381.572</v>
      </c>
      <c r="AV15" s="4718">
        <v>714.21799999999996</v>
      </c>
    </row>
    <row r="16" spans="1:48" x14ac:dyDescent="0.2">
      <c r="A16" s="3056" t="s">
        <v>1827</v>
      </c>
      <c r="B16" s="3035" t="s">
        <v>1833</v>
      </c>
      <c r="C16" s="2562"/>
      <c r="D16" s="2562"/>
      <c r="E16" s="2562"/>
      <c r="F16" s="2562"/>
      <c r="G16" s="2562"/>
      <c r="H16" s="2562"/>
      <c r="I16" s="2562"/>
      <c r="J16" s="2562">
        <f>J12*J11</f>
        <v>0.21948000000000001</v>
      </c>
      <c r="K16" s="2562"/>
      <c r="L16" s="2562"/>
      <c r="M16" s="2574">
        <v>0.16500000000000001</v>
      </c>
      <c r="N16" s="2562"/>
      <c r="O16" s="2562"/>
      <c r="P16" s="2562"/>
      <c r="Q16" s="2562"/>
      <c r="R16" s="2562"/>
      <c r="S16" s="2562"/>
      <c r="T16" s="2562">
        <f>T11*T12</f>
        <v>0.2301</v>
      </c>
      <c r="U16" s="2562">
        <f t="shared" ref="U16:Y16" si="36">U11*U12</f>
        <v>0.2301</v>
      </c>
      <c r="V16" s="2562">
        <f t="shared" si="36"/>
        <v>0.2301</v>
      </c>
      <c r="W16" s="2562">
        <f t="shared" si="36"/>
        <v>0.2301</v>
      </c>
      <c r="X16" s="2562">
        <f t="shared" si="36"/>
        <v>0.2301</v>
      </c>
      <c r="Y16" s="2562">
        <f t="shared" si="36"/>
        <v>0.2301</v>
      </c>
      <c r="Z16" s="2562">
        <f t="shared" ref="Z16:AD16" si="37">Z11*Z12</f>
        <v>0.2301</v>
      </c>
      <c r="AA16" s="2562">
        <f t="shared" si="37"/>
        <v>0.2301</v>
      </c>
      <c r="AB16" s="2562">
        <f t="shared" si="37"/>
        <v>0.2301</v>
      </c>
      <c r="AC16" s="2562">
        <f t="shared" si="37"/>
        <v>0.2301</v>
      </c>
      <c r="AD16" s="2562">
        <f t="shared" si="37"/>
        <v>0.2301</v>
      </c>
      <c r="AE16" s="2574">
        <f t="shared" ref="AE16" si="38">AE11*AE12</f>
        <v>0.2301</v>
      </c>
      <c r="AF16" s="2562">
        <v>6.9000000000000006E-2</v>
      </c>
      <c r="AG16" s="2562">
        <v>0.10299999999999999</v>
      </c>
      <c r="AH16" s="2562">
        <v>0.14000000000000001</v>
      </c>
      <c r="AI16" s="2574">
        <f t="shared" ref="AI16:AJ16" si="39">AI11*AI12</f>
        <v>0.2301</v>
      </c>
      <c r="AJ16" s="2574">
        <f t="shared" si="39"/>
        <v>0.230074</v>
      </c>
      <c r="AK16" s="2574">
        <v>6.7000000000000004E-2</v>
      </c>
      <c r="AL16" s="3601">
        <v>0.09</v>
      </c>
      <c r="AM16" s="3601">
        <v>0.11600000000000001</v>
      </c>
      <c r="AN16" s="2574">
        <f t="shared" ref="AN16:AO16" si="40">AN11*AN12</f>
        <v>0.25839079999999998</v>
      </c>
      <c r="AO16" s="2574">
        <f t="shared" si="40"/>
        <v>0.230074</v>
      </c>
      <c r="AP16" s="3945">
        <v>5.0999999999999997E-2</v>
      </c>
      <c r="AQ16" s="3945">
        <v>7.3999999999999996E-2</v>
      </c>
      <c r="AR16" s="3945">
        <v>0.97</v>
      </c>
      <c r="AS16" s="2384">
        <f t="shared" ref="AS16:AT16" si="41">AS11*AS12</f>
        <v>0.230074</v>
      </c>
      <c r="AT16" s="2384">
        <f t="shared" si="41"/>
        <v>0.17563000000000001</v>
      </c>
      <c r="AU16" s="4718">
        <v>9.8000000000000004E-2</v>
      </c>
      <c r="AV16" s="4718">
        <v>9.8000000000000004E-2</v>
      </c>
    </row>
    <row r="17" spans="1:48" s="371" customFormat="1" x14ac:dyDescent="0.2">
      <c r="A17" s="3053" t="s">
        <v>1830</v>
      </c>
      <c r="B17" s="3035" t="s">
        <v>1834</v>
      </c>
      <c r="C17" s="2562">
        <v>5.4909999999999997</v>
      </c>
      <c r="D17" s="2562">
        <v>2.4500000000000002</v>
      </c>
      <c r="E17" s="2562">
        <v>2.4500000000000002</v>
      </c>
      <c r="F17" s="2562">
        <v>5.8540000000000001</v>
      </c>
      <c r="G17" s="2562">
        <v>5.64</v>
      </c>
      <c r="H17" s="2562">
        <v>4.6825000000000001</v>
      </c>
      <c r="I17" s="2562">
        <f>I18/I13</f>
        <v>4.7111680769492521</v>
      </c>
      <c r="J17" s="2562">
        <f>I17</f>
        <v>4.7111680769492521</v>
      </c>
      <c r="K17" s="2562">
        <v>6.2460000000000004</v>
      </c>
      <c r="L17" s="2562">
        <v>6.04</v>
      </c>
      <c r="M17" s="2562">
        <f>M18/M13</f>
        <v>3.5149108830051783</v>
      </c>
      <c r="N17" s="2562">
        <v>5.3609999999999998</v>
      </c>
      <c r="O17" s="2562">
        <v>5.7359999999999998</v>
      </c>
      <c r="P17" s="2562">
        <v>6.1379999999999999</v>
      </c>
      <c r="Q17" s="2562">
        <v>6.5670000000000002</v>
      </c>
      <c r="R17" s="2562">
        <v>7.0270000000000001</v>
      </c>
      <c r="S17" s="2562"/>
      <c r="T17" s="2562">
        <f>5*1.059</f>
        <v>5.2949999999999999</v>
      </c>
      <c r="U17" s="2562">
        <f>T17*1.042</f>
        <v>5.5173899999999998</v>
      </c>
      <c r="V17" s="2562">
        <f>U17*1.04</f>
        <v>5.7380855999999998</v>
      </c>
      <c r="W17" s="2562">
        <f>V17*1.04</f>
        <v>5.9676090239999997</v>
      </c>
      <c r="X17" s="2562">
        <f>W17*1.039</f>
        <v>6.2003457759359994</v>
      </c>
      <c r="Y17" s="2562">
        <f>X17*1.039</f>
        <v>6.4421592611975029</v>
      </c>
      <c r="Z17" s="2562">
        <f>SUM(U17)</f>
        <v>5.5173899999999998</v>
      </c>
      <c r="AA17" s="2562">
        <f t="shared" ref="AA17:AD17" si="42">SUM(V17)</f>
        <v>5.7380855999999998</v>
      </c>
      <c r="AB17" s="2562">
        <f t="shared" si="42"/>
        <v>5.9676090239999997</v>
      </c>
      <c r="AC17" s="2562">
        <f t="shared" si="42"/>
        <v>6.2003457759359994</v>
      </c>
      <c r="AD17" s="2562">
        <f t="shared" si="42"/>
        <v>6.4421592611975029</v>
      </c>
      <c r="AE17" s="2574">
        <f>SUM(3.51*1.054*1.048)</f>
        <v>3.8771179199999999</v>
      </c>
      <c r="AF17" s="2562">
        <f t="shared" ref="AF17:AG17" si="43">AF18/AF13</f>
        <v>5.8307901873305079</v>
      </c>
      <c r="AG17" s="2562">
        <f t="shared" si="43"/>
        <v>5.9017186459481117</v>
      </c>
      <c r="AH17" s="2559">
        <v>5.9759596500000001</v>
      </c>
      <c r="AI17" s="3601">
        <f>SUM(AE17*1.046)</f>
        <v>4.0554653443199999</v>
      </c>
      <c r="AJ17" s="2559">
        <f>SUM(AH17*1.032*1.04)</f>
        <v>6.4138779731520001</v>
      </c>
      <c r="AK17" s="3601">
        <f t="shared" ref="AK17:AL17" si="44">AK18/AK13</f>
        <v>5.8503661381689529</v>
      </c>
      <c r="AL17" s="3601">
        <f t="shared" si="44"/>
        <v>5.9429001624821298</v>
      </c>
      <c r="AM17" s="3601">
        <v>6.0454400000000001</v>
      </c>
      <c r="AN17" s="3945">
        <f>SUM(AJ17*1.05)</f>
        <v>6.7345718718096004</v>
      </c>
      <c r="AO17" s="2559">
        <f>SUM(AM17*1.034*1.035)</f>
        <v>6.4697694335999998</v>
      </c>
      <c r="AP17" s="3945">
        <v>6.3242599999999998</v>
      </c>
      <c r="AQ17" s="3945">
        <v>6.3672000000000004</v>
      </c>
      <c r="AR17" s="3945">
        <v>6.4028999999999998</v>
      </c>
      <c r="AS17" s="2464">
        <f>SUM(6.50237*1.05)</f>
        <v>6.8274885000000003</v>
      </c>
      <c r="AT17" s="3074">
        <f>SUM(6.4029*1.045*1.08)</f>
        <v>7.2263129399999997</v>
      </c>
      <c r="AU17" s="4718">
        <v>6.4317399999999996</v>
      </c>
      <c r="AV17" s="4718">
        <v>6.6449800000000003</v>
      </c>
    </row>
    <row r="18" spans="1:48" s="1920" customFormat="1" ht="25.5" x14ac:dyDescent="0.2">
      <c r="A18" s="3054" t="s">
        <v>1831</v>
      </c>
      <c r="B18" s="2600" t="s">
        <v>899</v>
      </c>
      <c r="C18" s="2563">
        <v>3864.63</v>
      </c>
      <c r="D18" s="2563">
        <v>1929.89</v>
      </c>
      <c r="E18" s="2563">
        <v>1706.8</v>
      </c>
      <c r="F18" s="2563">
        <v>4035.98</v>
      </c>
      <c r="G18" s="2563">
        <v>3899.14</v>
      </c>
      <c r="H18" s="2563">
        <v>4128.2</v>
      </c>
      <c r="I18" s="2563">
        <v>4153.46</v>
      </c>
      <c r="J18" s="2563">
        <f>J13*J17</f>
        <v>3480.1760402132436</v>
      </c>
      <c r="K18" s="2563">
        <v>4306.3879999999999</v>
      </c>
      <c r="L18" s="2563">
        <v>3989.03</v>
      </c>
      <c r="M18" s="2563">
        <v>3108.19</v>
      </c>
      <c r="N18" s="2563">
        <v>4121.26</v>
      </c>
      <c r="O18" s="2563">
        <v>4409.75</v>
      </c>
      <c r="P18" s="2563">
        <v>4718.4399999999996</v>
      </c>
      <c r="Q18" s="2563">
        <v>5048.7299999999996</v>
      </c>
      <c r="R18" s="2563">
        <v>5402.14</v>
      </c>
      <c r="S18" s="2563"/>
      <c r="T18" s="2563">
        <f>T13*T17</f>
        <v>4305.7336586955216</v>
      </c>
      <c r="U18" s="2563">
        <f t="shared" ref="U18:AD18" si="45">U13*U17</f>
        <v>4486.5744723607331</v>
      </c>
      <c r="V18" s="2563">
        <f t="shared" si="45"/>
        <v>4666.0374512551625</v>
      </c>
      <c r="W18" s="2563">
        <f t="shared" si="45"/>
        <v>4852.6789493053684</v>
      </c>
      <c r="X18" s="2563">
        <f t="shared" si="45"/>
        <v>5041.9334283282778</v>
      </c>
      <c r="Y18" s="2563">
        <f t="shared" si="45"/>
        <v>5238.5688320330801</v>
      </c>
      <c r="Z18" s="2563">
        <f t="shared" si="45"/>
        <v>4486.5744723607331</v>
      </c>
      <c r="AA18" s="2563">
        <f t="shared" si="45"/>
        <v>4666.0374512551625</v>
      </c>
      <c r="AB18" s="2563">
        <f t="shared" si="45"/>
        <v>4852.6789493053684</v>
      </c>
      <c r="AC18" s="2563">
        <f t="shared" si="45"/>
        <v>5041.9334283282778</v>
      </c>
      <c r="AD18" s="2563">
        <f t="shared" si="45"/>
        <v>5238.5688320330801</v>
      </c>
      <c r="AE18" s="2563">
        <f t="shared" ref="AE18" si="46">AE13*AE17</f>
        <v>2991.6705692592573</v>
      </c>
      <c r="AF18" s="2563">
        <f>SUM(AF20:AF21)</f>
        <v>2332.87</v>
      </c>
      <c r="AG18" s="2563">
        <f t="shared" ref="AG18:AH18" si="47">SUM(AG20:AG21)</f>
        <v>3926.018</v>
      </c>
      <c r="AH18" s="2563">
        <f t="shared" si="47"/>
        <v>5647.22</v>
      </c>
      <c r="AI18" s="3602">
        <f t="shared" ref="AI18" si="48">SUM(AI20:AI21)</f>
        <v>3129.2874154451833</v>
      </c>
      <c r="AJ18" s="3602">
        <f t="shared" ref="AJ18" si="49">SUM(AJ20:AJ21)</f>
        <v>4994.2281316503177</v>
      </c>
      <c r="AK18" s="3602">
        <f>SUM(AK20:AK21)</f>
        <v>3122.0537399999998</v>
      </c>
      <c r="AL18" s="3602">
        <f t="shared" ref="AL18:AO18" si="50">SUM(AL20:AL21)</f>
        <v>4140.3710000000001</v>
      </c>
      <c r="AM18" s="3602">
        <f t="shared" si="50"/>
        <v>5505.5909700000002</v>
      </c>
      <c r="AN18" s="3944">
        <f t="shared" si="50"/>
        <v>5889.347481399951</v>
      </c>
      <c r="AO18" s="3944">
        <f t="shared" si="50"/>
        <v>5032.7206414045122</v>
      </c>
      <c r="AP18" s="3944">
        <f t="shared" ref="AP18:AQ18" si="51">SUM(AP20:AP21)</f>
        <v>2499.8970999999997</v>
      </c>
      <c r="AQ18" s="3944">
        <f t="shared" si="51"/>
        <v>3562.5039999999999</v>
      </c>
      <c r="AR18" s="3944">
        <f t="shared" ref="AR18:AT18" si="52">SUM(AR20:AR21)</f>
        <v>5052.4959999999992</v>
      </c>
      <c r="AS18" s="3075">
        <f t="shared" si="52"/>
        <v>5310.9840552358601</v>
      </c>
      <c r="AT18" s="3075">
        <f t="shared" si="52"/>
        <v>5704.7742572580637</v>
      </c>
      <c r="AU18" s="4735">
        <f t="shared" ref="AU18:AV18" si="53">SUM(AU20:AU21)</f>
        <v>2454.8022057999997</v>
      </c>
      <c r="AV18" s="4735">
        <f t="shared" si="53"/>
        <v>4746.6155336800002</v>
      </c>
    </row>
    <row r="19" spans="1:48" x14ac:dyDescent="0.2">
      <c r="A19" s="3052" t="s">
        <v>50</v>
      </c>
      <c r="B19" s="3035"/>
      <c r="C19" s="2562"/>
      <c r="D19" s="2562"/>
      <c r="E19" s="2562"/>
      <c r="F19" s="2562"/>
      <c r="G19" s="2562"/>
      <c r="H19" s="2562"/>
      <c r="I19" s="2562"/>
      <c r="J19" s="2562"/>
      <c r="K19" s="2562"/>
      <c r="L19" s="2562"/>
      <c r="M19" s="2562"/>
      <c r="N19" s="2562"/>
      <c r="O19" s="2562"/>
      <c r="P19" s="2562"/>
      <c r="Q19" s="2562"/>
      <c r="R19" s="2562"/>
      <c r="S19" s="2562"/>
      <c r="T19" s="2562"/>
      <c r="U19" s="2562"/>
      <c r="V19" s="2562"/>
      <c r="W19" s="2562"/>
      <c r="X19" s="2562"/>
      <c r="Y19" s="2562"/>
      <c r="Z19" s="2562"/>
      <c r="AA19" s="2562"/>
      <c r="AB19" s="2562"/>
      <c r="AC19" s="2562"/>
      <c r="AD19" s="2562"/>
      <c r="AE19" s="2562"/>
      <c r="AF19" s="2562"/>
      <c r="AG19" s="2562"/>
      <c r="AH19" s="2562"/>
      <c r="AI19" s="3601"/>
      <c r="AJ19" s="3601"/>
      <c r="AK19" s="3601"/>
      <c r="AL19" s="3601"/>
      <c r="AM19" s="3601"/>
      <c r="AN19" s="3945"/>
      <c r="AO19" s="3945"/>
      <c r="AP19" s="3945"/>
      <c r="AQ19" s="3945"/>
      <c r="AR19" s="3945"/>
      <c r="AS19" s="3074"/>
      <c r="AT19" s="3074"/>
      <c r="AU19" s="4571"/>
      <c r="AV19" s="4718"/>
    </row>
    <row r="20" spans="1:48" x14ac:dyDescent="0.2">
      <c r="A20" s="3056" t="s">
        <v>1826</v>
      </c>
      <c r="B20" s="3035" t="s">
        <v>899</v>
      </c>
      <c r="C20" s="2562"/>
      <c r="D20" s="2562"/>
      <c r="E20" s="2562"/>
      <c r="F20" s="2562"/>
      <c r="G20" s="2562"/>
      <c r="H20" s="2562"/>
      <c r="I20" s="2562"/>
      <c r="J20" s="2562">
        <f>J17*J15</f>
        <v>3479.257385906074</v>
      </c>
      <c r="K20" s="2562"/>
      <c r="L20" s="2562"/>
      <c r="M20" s="2562">
        <f>SUM(M18-M21)</f>
        <v>3107.06</v>
      </c>
      <c r="N20" s="2562"/>
      <c r="O20" s="2562"/>
      <c r="P20" s="2562"/>
      <c r="Q20" s="2562"/>
      <c r="R20" s="2562"/>
      <c r="S20" s="2562"/>
      <c r="T20" s="2562">
        <f>T15*T17</f>
        <v>4304.5152791955206</v>
      </c>
      <c r="U20" s="2562">
        <f t="shared" ref="U20:AD20" si="54">U15*U17</f>
        <v>4485.3049209217324</v>
      </c>
      <c r="V20" s="2562">
        <f t="shared" si="54"/>
        <v>4664.7171177586015</v>
      </c>
      <c r="W20" s="2562">
        <f t="shared" si="54"/>
        <v>4851.3058024689453</v>
      </c>
      <c r="X20" s="2562">
        <f t="shared" si="54"/>
        <v>5040.5067287652346</v>
      </c>
      <c r="Y20" s="2562">
        <f t="shared" si="54"/>
        <v>5237.0864911870785</v>
      </c>
      <c r="Z20" s="2562">
        <f t="shared" si="54"/>
        <v>4485.3049209217324</v>
      </c>
      <c r="AA20" s="2562">
        <f t="shared" si="54"/>
        <v>4664.7171177586015</v>
      </c>
      <c r="AB20" s="2562">
        <f t="shared" si="54"/>
        <v>4851.3058024689453</v>
      </c>
      <c r="AC20" s="2562">
        <f t="shared" si="54"/>
        <v>5040.5067287652346</v>
      </c>
      <c r="AD20" s="2562">
        <f t="shared" si="54"/>
        <v>5237.0864911870785</v>
      </c>
      <c r="AE20" s="2562">
        <f t="shared" ref="AE20" si="55">AE15*AE17</f>
        <v>2990.7784444258655</v>
      </c>
      <c r="AF20" s="2562">
        <v>2332.46</v>
      </c>
      <c r="AG20" s="2562">
        <v>3925.4119999999998</v>
      </c>
      <c r="AH20" s="2562">
        <v>5646.39</v>
      </c>
      <c r="AI20" s="3601">
        <f t="shared" ref="AI20:AJ20" si="56">AI15*AI17</f>
        <v>3128.3542528694552</v>
      </c>
      <c r="AJ20" s="3601">
        <f t="shared" si="56"/>
        <v>4992.752465089523</v>
      </c>
      <c r="AK20" s="3601">
        <v>3121.66212</v>
      </c>
      <c r="AL20" s="3601">
        <v>4139.8310000000001</v>
      </c>
      <c r="AM20" s="3601">
        <v>5504.893</v>
      </c>
      <c r="AN20" s="3945">
        <f t="shared" ref="AN20:AO20" si="57">AN15*AN17</f>
        <v>5887.6073299863365</v>
      </c>
      <c r="AO20" s="3945">
        <f t="shared" si="57"/>
        <v>5031.2321156718463</v>
      </c>
      <c r="AP20" s="3945">
        <v>2499.5712899999999</v>
      </c>
      <c r="AQ20" s="3945">
        <v>3562.0309999999999</v>
      </c>
      <c r="AR20" s="3945">
        <v>5051.8729999999996</v>
      </c>
      <c r="AS20" s="3074">
        <f t="shared" ref="AS20:AT20" si="58">AS15*AS17</f>
        <v>5309.4132276467108</v>
      </c>
      <c r="AT20" s="3074">
        <f t="shared" si="58"/>
        <v>5703.5050999164114</v>
      </c>
      <c r="AU20" s="4718">
        <f t="shared" ref="AU20:AV20" si="59">AU15*AU17</f>
        <v>2454.1718952799997</v>
      </c>
      <c r="AV20" s="4718">
        <f t="shared" si="59"/>
        <v>4745.9643256400004</v>
      </c>
    </row>
    <row r="21" spans="1:48" x14ac:dyDescent="0.2">
      <c r="A21" s="3056" t="s">
        <v>1827</v>
      </c>
      <c r="B21" s="3035" t="s">
        <v>899</v>
      </c>
      <c r="C21" s="2562"/>
      <c r="D21" s="2562"/>
      <c r="E21" s="2562"/>
      <c r="F21" s="2562"/>
      <c r="G21" s="2562"/>
      <c r="H21" s="2562"/>
      <c r="I21" s="2562"/>
      <c r="J21" s="2562">
        <f>J17*J16</f>
        <v>1.034007169528822</v>
      </c>
      <c r="K21" s="2562"/>
      <c r="L21" s="2562"/>
      <c r="M21" s="2562">
        <v>1.1299999999999999</v>
      </c>
      <c r="N21" s="2562"/>
      <c r="O21" s="2562"/>
      <c r="P21" s="2562"/>
      <c r="Q21" s="2562"/>
      <c r="R21" s="2562"/>
      <c r="S21" s="2562"/>
      <c r="T21" s="2562">
        <f>T16*T17</f>
        <v>1.2183794999999999</v>
      </c>
      <c r="U21" s="2562">
        <f t="shared" ref="U21:AD21" si="60">U16*U17</f>
        <v>1.269551439</v>
      </c>
      <c r="V21" s="2562">
        <f t="shared" si="60"/>
        <v>1.32033349656</v>
      </c>
      <c r="W21" s="2562">
        <f t="shared" si="60"/>
        <v>1.3731468364224</v>
      </c>
      <c r="X21" s="2562">
        <f t="shared" si="60"/>
        <v>1.4266995630428734</v>
      </c>
      <c r="Y21" s="2562">
        <f t="shared" si="60"/>
        <v>1.4823408460015455</v>
      </c>
      <c r="Z21" s="2562">
        <f t="shared" si="60"/>
        <v>1.269551439</v>
      </c>
      <c r="AA21" s="2562">
        <f t="shared" si="60"/>
        <v>1.32033349656</v>
      </c>
      <c r="AB21" s="2562">
        <f t="shared" si="60"/>
        <v>1.3731468364224</v>
      </c>
      <c r="AC21" s="2562">
        <f t="shared" si="60"/>
        <v>1.4266995630428734</v>
      </c>
      <c r="AD21" s="2562">
        <f t="shared" si="60"/>
        <v>1.4823408460015455</v>
      </c>
      <c r="AE21" s="2562">
        <f t="shared" ref="AE21" si="61">AE16*AE17</f>
        <v>0.89212483339199999</v>
      </c>
      <c r="AF21" s="2562">
        <v>0.41</v>
      </c>
      <c r="AG21" s="2562">
        <v>0.60599999999999998</v>
      </c>
      <c r="AH21" s="2562">
        <v>0.83</v>
      </c>
      <c r="AI21" s="3601">
        <f t="shared" ref="AI21:AJ21" si="62">AI16*AI17</f>
        <v>0.93316257572803196</v>
      </c>
      <c r="AJ21" s="3601">
        <f t="shared" si="62"/>
        <v>1.4756665607949733</v>
      </c>
      <c r="AK21" s="3601">
        <v>0.39162000000000002</v>
      </c>
      <c r="AL21" s="3601">
        <v>0.54</v>
      </c>
      <c r="AM21" s="3601">
        <v>0.69796999999999998</v>
      </c>
      <c r="AN21" s="3945">
        <f t="shared" ref="AN21:AO21" si="63">AN16*AN17</f>
        <v>1.7401514136143799</v>
      </c>
      <c r="AO21" s="3945">
        <f t="shared" si="63"/>
        <v>1.4885257326660863</v>
      </c>
      <c r="AP21" s="3945">
        <v>0.32580999999999999</v>
      </c>
      <c r="AQ21" s="3945">
        <v>0.47299999999999998</v>
      </c>
      <c r="AR21" s="3945">
        <v>0.623</v>
      </c>
      <c r="AS21" s="3074">
        <f t="shared" ref="AS21:AT21" si="64">AS16*AS17</f>
        <v>1.570827589149</v>
      </c>
      <c r="AT21" s="3074">
        <f t="shared" si="64"/>
        <v>1.2691573416522</v>
      </c>
      <c r="AU21" s="4718">
        <f t="shared" ref="AU21:AV21" si="65">AU16*AU17</f>
        <v>0.63031051999999999</v>
      </c>
      <c r="AV21" s="4718">
        <f t="shared" si="65"/>
        <v>0.6512080400000001</v>
      </c>
    </row>
    <row r="22" spans="1:48" x14ac:dyDescent="0.2">
      <c r="A22" s="3055" t="s">
        <v>1933</v>
      </c>
      <c r="B22" s="3035"/>
      <c r="C22" s="2562"/>
      <c r="D22" s="2562"/>
      <c r="E22" s="2562"/>
      <c r="F22" s="2562"/>
      <c r="G22" s="2562"/>
      <c r="H22" s="2562"/>
      <c r="I22" s="2562"/>
      <c r="J22" s="2562"/>
      <c r="K22" s="2562"/>
      <c r="L22" s="2562"/>
      <c r="M22" s="2562"/>
      <c r="N22" s="2562"/>
      <c r="O22" s="2562"/>
      <c r="P22" s="2562"/>
      <c r="Q22" s="2562"/>
      <c r="R22" s="2562"/>
      <c r="S22" s="2562"/>
      <c r="T22" s="2562"/>
      <c r="U22" s="2562"/>
      <c r="V22" s="2562"/>
      <c r="W22" s="2562"/>
      <c r="X22" s="2562"/>
      <c r="Y22" s="2562"/>
      <c r="Z22" s="2562"/>
      <c r="AA22" s="2562"/>
      <c r="AB22" s="2562"/>
      <c r="AC22" s="2562"/>
      <c r="AD22" s="2562"/>
      <c r="AE22" s="2562"/>
      <c r="AF22" s="2562"/>
      <c r="AG22" s="2562"/>
      <c r="AH22" s="2562"/>
      <c r="AI22" s="3601"/>
      <c r="AJ22" s="3601"/>
      <c r="AK22" s="3601"/>
      <c r="AL22" s="3601"/>
      <c r="AM22" s="3601"/>
      <c r="AN22" s="3945"/>
      <c r="AO22" s="3945"/>
      <c r="AP22" s="3945"/>
      <c r="AQ22" s="3945"/>
      <c r="AR22" s="3945"/>
      <c r="AS22" s="3074"/>
      <c r="AT22" s="3074"/>
      <c r="AU22" s="4571"/>
      <c r="AV22" s="4571"/>
    </row>
    <row r="23" spans="1:48" x14ac:dyDescent="0.2">
      <c r="A23" s="3052" t="s">
        <v>1825</v>
      </c>
      <c r="B23" s="3035" t="s">
        <v>934</v>
      </c>
      <c r="C23" s="2562"/>
      <c r="D23" s="2562"/>
      <c r="E23" s="2562"/>
      <c r="F23" s="2562"/>
      <c r="G23" s="2562"/>
      <c r="H23" s="2562"/>
      <c r="I23" s="2562"/>
      <c r="J23" s="2562"/>
      <c r="K23" s="2562"/>
      <c r="L23" s="2562"/>
      <c r="M23" s="2562">
        <v>0</v>
      </c>
      <c r="N23" s="2562">
        <v>1900</v>
      </c>
      <c r="O23" s="2562">
        <v>1900</v>
      </c>
      <c r="P23" s="2562">
        <v>1900</v>
      </c>
      <c r="Q23" s="2562">
        <v>1900</v>
      </c>
      <c r="R23" s="2562">
        <v>1900</v>
      </c>
      <c r="S23" s="2562"/>
      <c r="T23" s="2562">
        <v>1900</v>
      </c>
      <c r="U23" s="2562">
        <f>T23</f>
        <v>1900</v>
      </c>
      <c r="V23" s="2562">
        <f t="shared" ref="V23:Y23" si="66">U23</f>
        <v>1900</v>
      </c>
      <c r="W23" s="2562">
        <f t="shared" si="66"/>
        <v>1900</v>
      </c>
      <c r="X23" s="2562">
        <f t="shared" si="66"/>
        <v>1900</v>
      </c>
      <c r="Y23" s="2562">
        <f t="shared" si="66"/>
        <v>1900</v>
      </c>
      <c r="Z23" s="2562">
        <f>SUM(Y23)</f>
        <v>1900</v>
      </c>
      <c r="AA23" s="2562">
        <f>SUM(Z23)</f>
        <v>1900</v>
      </c>
      <c r="AB23" s="2562">
        <f t="shared" ref="AB23:AD23" si="67">SUM(AA23)</f>
        <v>1900</v>
      </c>
      <c r="AC23" s="2562">
        <f t="shared" si="67"/>
        <v>1900</v>
      </c>
      <c r="AD23" s="2562">
        <f t="shared" si="67"/>
        <v>1900</v>
      </c>
      <c r="AE23" s="2562">
        <f>SUM(AD23)</f>
        <v>1900</v>
      </c>
      <c r="AF23" s="2562">
        <v>950</v>
      </c>
      <c r="AG23" s="2562">
        <v>1425</v>
      </c>
      <c r="AH23" s="2562">
        <v>1900</v>
      </c>
      <c r="AI23" s="3601">
        <v>1900</v>
      </c>
      <c r="AJ23" s="3601">
        <f>SUM(AL23/9*12)</f>
        <v>486.14266666666668</v>
      </c>
      <c r="AK23" s="3601">
        <v>253.15299999999999</v>
      </c>
      <c r="AL23" s="3601">
        <v>364.60700000000003</v>
      </c>
      <c r="AM23" s="3601">
        <v>486.14</v>
      </c>
      <c r="AN23" s="3945">
        <v>486.14</v>
      </c>
      <c r="AO23" s="3945">
        <v>486.14</v>
      </c>
      <c r="AP23" s="3945">
        <v>243.07</v>
      </c>
      <c r="AQ23" s="3945">
        <v>364.60500000000002</v>
      </c>
      <c r="AR23" s="3945">
        <v>972.28</v>
      </c>
      <c r="AS23" s="3074">
        <f>SUM(AR23)</f>
        <v>972.28</v>
      </c>
      <c r="AT23" s="3074">
        <v>0</v>
      </c>
      <c r="AU23" s="4575"/>
      <c r="AV23" s="4575"/>
    </row>
    <row r="24" spans="1:48" ht="51" x14ac:dyDescent="0.2">
      <c r="A24" s="3052" t="s">
        <v>1828</v>
      </c>
      <c r="B24" s="3035" t="s">
        <v>1832</v>
      </c>
      <c r="C24" s="2562"/>
      <c r="D24" s="2562"/>
      <c r="E24" s="2562"/>
      <c r="F24" s="2562"/>
      <c r="G24" s="2562"/>
      <c r="H24" s="2562"/>
      <c r="I24" s="2562"/>
      <c r="J24" s="2562"/>
      <c r="K24" s="2562"/>
      <c r="L24" s="2562"/>
      <c r="M24" s="2562"/>
      <c r="N24" s="2574">
        <v>0.125</v>
      </c>
      <c r="O24" s="2574">
        <v>0.125</v>
      </c>
      <c r="P24" s="2574">
        <v>0.125</v>
      </c>
      <c r="Q24" s="2574">
        <v>0.125</v>
      </c>
      <c r="R24" s="2574">
        <v>0.125</v>
      </c>
      <c r="S24" s="2574"/>
      <c r="T24" s="2574">
        <v>0.13</v>
      </c>
      <c r="U24" s="2574">
        <f>T24</f>
        <v>0.13</v>
      </c>
      <c r="V24" s="2574">
        <f t="shared" ref="V24:Y24" si="68">U24</f>
        <v>0.13</v>
      </c>
      <c r="W24" s="2574">
        <f t="shared" si="68"/>
        <v>0.13</v>
      </c>
      <c r="X24" s="2574">
        <f t="shared" si="68"/>
        <v>0.13</v>
      </c>
      <c r="Y24" s="2574">
        <f t="shared" si="68"/>
        <v>0.13</v>
      </c>
      <c r="Z24" s="2574">
        <f>SUM(Y24)</f>
        <v>0.13</v>
      </c>
      <c r="AA24" s="2574">
        <f>SUM(Z24)</f>
        <v>0.13</v>
      </c>
      <c r="AB24" s="2574">
        <f>SUM(AA24)</f>
        <v>0.13</v>
      </c>
      <c r="AC24" s="2574">
        <f>SUM(AB24)</f>
        <v>0.13</v>
      </c>
      <c r="AD24" s="2574">
        <f>SUM(AC24)</f>
        <v>0.13</v>
      </c>
      <c r="AE24" s="2574">
        <f>SUM(AD24)</f>
        <v>0.13</v>
      </c>
      <c r="AF24" s="2574">
        <f>SUM(AF25/AF23)</f>
        <v>1.3705263157894736E-2</v>
      </c>
      <c r="AG24" s="2574">
        <f t="shared" ref="AG24:AH24" si="69">SUM(AG25/AG23)</f>
        <v>2.1702456140350875E-2</v>
      </c>
      <c r="AH24" s="2574">
        <f t="shared" si="69"/>
        <v>3.0052631578947369E-2</v>
      </c>
      <c r="AI24" s="2574">
        <f>SUM(AE24)</f>
        <v>0.13</v>
      </c>
      <c r="AJ24" s="2574">
        <f>SUM(AE24)</f>
        <v>0.13</v>
      </c>
      <c r="AK24" s="2574">
        <f>SUM(AK25/AK23)</f>
        <v>0.17933818678822688</v>
      </c>
      <c r="AL24" s="2574">
        <f t="shared" ref="AL24:AM24" si="70">SUM(AL25/AL23)</f>
        <v>0.18742371923742548</v>
      </c>
      <c r="AM24" s="2574">
        <f t="shared" si="70"/>
        <v>0.18586621137943801</v>
      </c>
      <c r="AN24" s="2574">
        <v>0.186</v>
      </c>
      <c r="AO24" s="2574">
        <f>SUM(AJ24)</f>
        <v>0.13</v>
      </c>
      <c r="AP24" s="2574">
        <f t="shared" ref="AP24:AQ24" si="71">SUM(AP25/AP23)</f>
        <v>0.18098490146871271</v>
      </c>
      <c r="AQ24" s="2574">
        <f t="shared" si="71"/>
        <v>0.18498374953717034</v>
      </c>
      <c r="AR24" s="2574">
        <f t="shared" ref="AR24" si="72">SUM(AR25/AR23)</f>
        <v>9.1316287489200634E-2</v>
      </c>
      <c r="AS24" s="2384">
        <v>0.13</v>
      </c>
      <c r="AT24" s="2384">
        <f>SUM(AO24)</f>
        <v>0.13</v>
      </c>
      <c r="AU24" s="2574"/>
      <c r="AV24" s="2574"/>
    </row>
    <row r="25" spans="1:48" ht="25.5" x14ac:dyDescent="0.2">
      <c r="A25" s="3052" t="s">
        <v>1829</v>
      </c>
      <c r="B25" s="3035" t="s">
        <v>1833</v>
      </c>
      <c r="C25" s="2562"/>
      <c r="D25" s="2562"/>
      <c r="E25" s="2562"/>
      <c r="F25" s="2562"/>
      <c r="G25" s="2562"/>
      <c r="H25" s="2562"/>
      <c r="I25" s="2562"/>
      <c r="J25" s="2562"/>
      <c r="K25" s="2562"/>
      <c r="L25" s="2562"/>
      <c r="M25" s="2574">
        <v>12.576000000000001</v>
      </c>
      <c r="N25" s="2562">
        <v>237.5</v>
      </c>
      <c r="O25" s="2562">
        <v>237.5</v>
      </c>
      <c r="P25" s="2562">
        <v>237.5</v>
      </c>
      <c r="Q25" s="2562">
        <v>237.5</v>
      </c>
      <c r="R25" s="2562">
        <v>237.5</v>
      </c>
      <c r="S25" s="2562"/>
      <c r="T25" s="2562">
        <f>T23*T24</f>
        <v>247</v>
      </c>
      <c r="U25" s="2562">
        <f t="shared" ref="U25:AD25" si="73">U23*U24</f>
        <v>247</v>
      </c>
      <c r="V25" s="2562">
        <f t="shared" si="73"/>
        <v>247</v>
      </c>
      <c r="W25" s="2562">
        <f t="shared" si="73"/>
        <v>247</v>
      </c>
      <c r="X25" s="2562">
        <f t="shared" si="73"/>
        <v>247</v>
      </c>
      <c r="Y25" s="2562">
        <f t="shared" si="73"/>
        <v>247</v>
      </c>
      <c r="Z25" s="2562">
        <f t="shared" si="73"/>
        <v>247</v>
      </c>
      <c r="AA25" s="2562">
        <f t="shared" si="73"/>
        <v>247</v>
      </c>
      <c r="AB25" s="2562">
        <f t="shared" si="73"/>
        <v>247</v>
      </c>
      <c r="AC25" s="2562">
        <f t="shared" si="73"/>
        <v>247</v>
      </c>
      <c r="AD25" s="2562">
        <f t="shared" si="73"/>
        <v>247</v>
      </c>
      <c r="AE25" s="2562">
        <f t="shared" ref="AE25" si="74">AE23*AE24</f>
        <v>247</v>
      </c>
      <c r="AF25" s="2562">
        <v>13.02</v>
      </c>
      <c r="AG25" s="2562">
        <v>30.925999999999998</v>
      </c>
      <c r="AH25" s="2562">
        <v>57.1</v>
      </c>
      <c r="AI25" s="3601">
        <f t="shared" ref="AI25:AJ25" si="75">AI23*AI24</f>
        <v>247</v>
      </c>
      <c r="AJ25" s="3601">
        <f t="shared" si="75"/>
        <v>63.198546666666672</v>
      </c>
      <c r="AK25" s="3601">
        <v>45.4</v>
      </c>
      <c r="AL25" s="3601">
        <v>68.335999999999999</v>
      </c>
      <c r="AM25" s="3601">
        <v>90.356999999999999</v>
      </c>
      <c r="AN25" s="3945">
        <f t="shared" ref="AN25:AO25" si="76">AN23*AN24</f>
        <v>90.422039999999996</v>
      </c>
      <c r="AO25" s="3945">
        <f t="shared" si="76"/>
        <v>63.1982</v>
      </c>
      <c r="AP25" s="3945">
        <v>43.991999999999997</v>
      </c>
      <c r="AQ25" s="3945">
        <v>67.445999999999998</v>
      </c>
      <c r="AR25" s="3945">
        <v>88.784999999999997</v>
      </c>
      <c r="AS25" s="3074">
        <f t="shared" ref="AS25:AT25" si="77">AS23*AS24</f>
        <v>126.3964</v>
      </c>
      <c r="AT25" s="3074">
        <f t="shared" si="77"/>
        <v>0</v>
      </c>
      <c r="AU25" s="4575"/>
      <c r="AV25" s="4575"/>
    </row>
    <row r="26" spans="1:48" x14ac:dyDescent="0.2">
      <c r="A26" s="3053" t="s">
        <v>1830</v>
      </c>
      <c r="B26" s="3035" t="s">
        <v>1834</v>
      </c>
      <c r="C26" s="2562"/>
      <c r="D26" s="2562"/>
      <c r="E26" s="2562"/>
      <c r="F26" s="2562"/>
      <c r="G26" s="2562"/>
      <c r="H26" s="2562"/>
      <c r="I26" s="2562"/>
      <c r="J26" s="2562"/>
      <c r="K26" s="2562"/>
      <c r="L26" s="2562"/>
      <c r="M26" s="2562">
        <f>SUM(M27/M25)</f>
        <v>5.6544211195928753</v>
      </c>
      <c r="N26" s="2562">
        <v>6.3339999999999996</v>
      </c>
      <c r="O26" s="2562"/>
      <c r="P26" s="2562"/>
      <c r="Q26" s="2562"/>
      <c r="R26" s="2562"/>
      <c r="S26" s="2562"/>
      <c r="T26" s="2562">
        <f>T17</f>
        <v>5.2949999999999999</v>
      </c>
      <c r="U26" s="2562">
        <f t="shared" ref="U26:AD26" si="78">U17</f>
        <v>5.5173899999999998</v>
      </c>
      <c r="V26" s="2562">
        <f t="shared" si="78"/>
        <v>5.7380855999999998</v>
      </c>
      <c r="W26" s="2562">
        <f t="shared" si="78"/>
        <v>5.9676090239999997</v>
      </c>
      <c r="X26" s="2562">
        <f t="shared" si="78"/>
        <v>6.2003457759359994</v>
      </c>
      <c r="Y26" s="2562">
        <f t="shared" si="78"/>
        <v>6.4421592611975029</v>
      </c>
      <c r="Z26" s="2562">
        <f t="shared" si="78"/>
        <v>5.5173899999999998</v>
      </c>
      <c r="AA26" s="2562">
        <f t="shared" si="78"/>
        <v>5.7380855999999998</v>
      </c>
      <c r="AB26" s="2562">
        <f t="shared" si="78"/>
        <v>5.9676090239999997</v>
      </c>
      <c r="AC26" s="2562">
        <f t="shared" si="78"/>
        <v>6.2003457759359994</v>
      </c>
      <c r="AD26" s="2562">
        <f t="shared" si="78"/>
        <v>6.4421592611975029</v>
      </c>
      <c r="AE26" s="2562">
        <f>M26*1.054*1.048</f>
        <v>6.2458283333333338</v>
      </c>
      <c r="AF26" s="2562">
        <f>SUM(AF27/AF25)</f>
        <v>5.8358141321044545</v>
      </c>
      <c r="AG26" s="2562">
        <f>SUM(AG27/AG25)</f>
        <v>5.9416025350837485</v>
      </c>
      <c r="AH26" s="2559">
        <v>6.0377144999999999</v>
      </c>
      <c r="AI26" s="3601">
        <f>SUM(AE26*1.046)</f>
        <v>6.5331364366666671</v>
      </c>
      <c r="AJ26" s="2559">
        <f>SUM(AH26*1.032*1.04)</f>
        <v>6.4801582185600006</v>
      </c>
      <c r="AK26" s="3601">
        <f>SUM(AK27/AK25)</f>
        <v>5.8389072687224672</v>
      </c>
      <c r="AL26" s="3601">
        <f>SUM(AL27/AL25)</f>
        <v>5.9794251931631939</v>
      </c>
      <c r="AM26" s="3829">
        <f>SUM(AM27/AM25)</f>
        <v>6.0725455692420072</v>
      </c>
      <c r="AN26" s="3945">
        <f>SUM(AJ26*1.05)</f>
        <v>6.8041661294880011</v>
      </c>
      <c r="AO26" s="2559">
        <f>SUM(AM26*1.034*1.035)</f>
        <v>6.4987775427471037</v>
      </c>
      <c r="AP26" s="3945">
        <f>SUM(AP27/AP25)</f>
        <v>6.3266032460447361</v>
      </c>
      <c r="AQ26" s="3945">
        <f>SUM(AQ27/AQ25)</f>
        <v>6.3764270675799901</v>
      </c>
      <c r="AR26" s="3945">
        <f>SUM(AR27/AR25)</f>
        <v>6.4026581066621624</v>
      </c>
      <c r="AS26" s="3074">
        <f>SUM(AO26*1.05)</f>
        <v>6.8237164198844589</v>
      </c>
      <c r="AT26" s="3074">
        <f>SUM(6.4029*1.045*1.08)</f>
        <v>7.2263129399999997</v>
      </c>
      <c r="AU26" s="4575"/>
      <c r="AV26" s="4575"/>
    </row>
    <row r="27" spans="1:48" ht="25.5" x14ac:dyDescent="0.2">
      <c r="A27" s="3054" t="s">
        <v>1934</v>
      </c>
      <c r="B27" s="2600" t="s">
        <v>899</v>
      </c>
      <c r="C27" s="2562"/>
      <c r="D27" s="2562"/>
      <c r="E27" s="2562"/>
      <c r="F27" s="2562"/>
      <c r="G27" s="2562"/>
      <c r="H27" s="2562"/>
      <c r="I27" s="2562"/>
      <c r="J27" s="2562"/>
      <c r="K27" s="2562"/>
      <c r="L27" s="2562"/>
      <c r="M27" s="2562">
        <v>71.11</v>
      </c>
      <c r="N27" s="2562">
        <v>1504.28</v>
      </c>
      <c r="O27" s="2562">
        <v>1609.58</v>
      </c>
      <c r="P27" s="2562">
        <v>1722.25</v>
      </c>
      <c r="Q27" s="2562">
        <v>1872.81</v>
      </c>
      <c r="R27" s="2562">
        <v>1971.81</v>
      </c>
      <c r="S27" s="2562"/>
      <c r="T27" s="2562">
        <f>T25*T26</f>
        <v>1307.865</v>
      </c>
      <c r="U27" s="2562">
        <f t="shared" ref="U27:AD27" si="79">U25*U26</f>
        <v>1362.7953299999999</v>
      </c>
      <c r="V27" s="2562">
        <f t="shared" si="79"/>
        <v>1417.3071431999999</v>
      </c>
      <c r="W27" s="2562">
        <f t="shared" si="79"/>
        <v>1473.9994289279998</v>
      </c>
      <c r="X27" s="2562">
        <f t="shared" si="79"/>
        <v>1531.4854066561918</v>
      </c>
      <c r="Y27" s="2562">
        <f t="shared" si="79"/>
        <v>1591.2133375157832</v>
      </c>
      <c r="Z27" s="2562">
        <f t="shared" si="79"/>
        <v>1362.7953299999999</v>
      </c>
      <c r="AA27" s="2562">
        <f t="shared" si="79"/>
        <v>1417.3071431999999</v>
      </c>
      <c r="AB27" s="2562">
        <f t="shared" si="79"/>
        <v>1473.9994289279998</v>
      </c>
      <c r="AC27" s="2562">
        <f t="shared" si="79"/>
        <v>1531.4854066561918</v>
      </c>
      <c r="AD27" s="2562">
        <f t="shared" si="79"/>
        <v>1591.2133375157832</v>
      </c>
      <c r="AE27" s="2562">
        <f t="shared" ref="AE27" si="80">AE25*AE26</f>
        <v>1542.7195983333334</v>
      </c>
      <c r="AF27" s="2562">
        <v>75.982299999999995</v>
      </c>
      <c r="AG27" s="2562">
        <v>183.75</v>
      </c>
      <c r="AH27" s="2562">
        <v>344.77</v>
      </c>
      <c r="AI27" s="3601">
        <f t="shared" ref="AI27:AJ27" si="81">AI25*AI26</f>
        <v>1613.6846998566668</v>
      </c>
      <c r="AJ27" s="3601">
        <f t="shared" si="81"/>
        <v>409.53658158304779</v>
      </c>
      <c r="AK27" s="3601">
        <v>265.08638999999999</v>
      </c>
      <c r="AL27" s="3601">
        <v>408.61</v>
      </c>
      <c r="AM27" s="3601">
        <v>548.697</v>
      </c>
      <c r="AN27" s="3945">
        <f t="shared" ref="AN27:AO27" si="82">AN25*AN26</f>
        <v>615.24658192720915</v>
      </c>
      <c r="AO27" s="3945">
        <f t="shared" si="82"/>
        <v>410.71104290203999</v>
      </c>
      <c r="AP27" s="3945">
        <v>278.31993</v>
      </c>
      <c r="AQ27" s="3945">
        <v>430.06450000000001</v>
      </c>
      <c r="AR27" s="3945">
        <v>568.46</v>
      </c>
      <c r="AS27" s="3074">
        <f t="shared" ref="AS27:AT27" si="83">AS25*AS26</f>
        <v>862.49319009428405</v>
      </c>
      <c r="AT27" s="3074">
        <f t="shared" si="83"/>
        <v>0</v>
      </c>
      <c r="AU27" s="4575"/>
      <c r="AV27" s="4575"/>
    </row>
    <row r="28" spans="1:48" s="1920" customFormat="1" ht="38.25" x14ac:dyDescent="0.2">
      <c r="A28" s="3055" t="s">
        <v>1935</v>
      </c>
      <c r="B28" s="2600" t="s">
        <v>899</v>
      </c>
      <c r="C28" s="2563"/>
      <c r="D28" s="2563"/>
      <c r="E28" s="2563"/>
      <c r="F28" s="2563"/>
      <c r="G28" s="2563"/>
      <c r="H28" s="2563"/>
      <c r="I28" s="2563"/>
      <c r="J28" s="2563"/>
      <c r="K28" s="2563"/>
      <c r="L28" s="2563"/>
      <c r="M28" s="2563">
        <f>M18+M27</f>
        <v>3179.3</v>
      </c>
      <c r="N28" s="2563"/>
      <c r="O28" s="2563"/>
      <c r="P28" s="2563"/>
      <c r="Q28" s="2563"/>
      <c r="R28" s="2563"/>
      <c r="S28" s="2563"/>
      <c r="T28" s="2563">
        <f>T18+T27</f>
        <v>5613.5986586955214</v>
      </c>
      <c r="U28" s="2563">
        <f t="shared" ref="U28:AH28" si="84">U18+U27</f>
        <v>5849.369802360733</v>
      </c>
      <c r="V28" s="2563">
        <f t="shared" si="84"/>
        <v>6083.3445944551622</v>
      </c>
      <c r="W28" s="2563">
        <f t="shared" si="84"/>
        <v>6326.6783782333678</v>
      </c>
      <c r="X28" s="2563">
        <f t="shared" si="84"/>
        <v>6573.4188349844699</v>
      </c>
      <c r="Y28" s="2563">
        <f t="shared" si="84"/>
        <v>6829.7821695488637</v>
      </c>
      <c r="Z28" s="2563">
        <f t="shared" si="84"/>
        <v>5849.369802360733</v>
      </c>
      <c r="AA28" s="2563">
        <f t="shared" si="84"/>
        <v>6083.3445944551622</v>
      </c>
      <c r="AB28" s="2563">
        <f t="shared" si="84"/>
        <v>6326.6783782333678</v>
      </c>
      <c r="AC28" s="2563">
        <f t="shared" si="84"/>
        <v>6573.4188349844699</v>
      </c>
      <c r="AD28" s="2563">
        <f t="shared" si="84"/>
        <v>6829.7821695488637</v>
      </c>
      <c r="AE28" s="2563">
        <f t="shared" ref="AE28" si="85">AE18+AE27</f>
        <v>4534.3901675925908</v>
      </c>
      <c r="AF28" s="2563">
        <f t="shared" si="84"/>
        <v>2408.8523</v>
      </c>
      <c r="AG28" s="2563">
        <f t="shared" si="84"/>
        <v>4109.768</v>
      </c>
      <c r="AH28" s="2563">
        <f t="shared" si="84"/>
        <v>5991.99</v>
      </c>
      <c r="AI28" s="3602">
        <f t="shared" ref="AI28:AM28" si="86">AI18+AI27</f>
        <v>4742.97211530185</v>
      </c>
      <c r="AJ28" s="3602">
        <f t="shared" ref="AJ28" si="87">AJ18+AJ27</f>
        <v>5403.7647132333659</v>
      </c>
      <c r="AK28" s="3602">
        <f t="shared" si="86"/>
        <v>3387.1401299999998</v>
      </c>
      <c r="AL28" s="3602">
        <f t="shared" si="86"/>
        <v>4548.9809999999998</v>
      </c>
      <c r="AM28" s="3602">
        <f t="shared" si="86"/>
        <v>6054.2879700000003</v>
      </c>
      <c r="AN28" s="3944">
        <f t="shared" ref="AN28:AP28" si="88">AN18+AN27</f>
        <v>6504.5940633271603</v>
      </c>
      <c r="AO28" s="3944">
        <f t="shared" si="88"/>
        <v>5443.4316843065526</v>
      </c>
      <c r="AP28" s="3944">
        <f t="shared" si="88"/>
        <v>2778.2170299999998</v>
      </c>
      <c r="AQ28" s="3944">
        <f t="shared" ref="AQ28:AT28" si="89">AQ18+AQ27</f>
        <v>3992.5684999999999</v>
      </c>
      <c r="AR28" s="3944">
        <f t="shared" si="89"/>
        <v>5620.9559999999992</v>
      </c>
      <c r="AS28" s="3075">
        <f t="shared" si="89"/>
        <v>6173.4772453301439</v>
      </c>
      <c r="AT28" s="3075">
        <f t="shared" si="89"/>
        <v>5704.7742572580637</v>
      </c>
      <c r="AU28" s="4735">
        <f t="shared" ref="AU28:AV28" si="90">AU18+AU27</f>
        <v>2454.8022057999997</v>
      </c>
      <c r="AV28" s="4735">
        <f t="shared" si="90"/>
        <v>4746.6155336800002</v>
      </c>
    </row>
    <row r="29" spans="1:48" x14ac:dyDescent="0.2">
      <c r="A29" s="3052" t="s">
        <v>50</v>
      </c>
      <c r="B29" s="3035"/>
      <c r="C29" s="2562"/>
      <c r="D29" s="2562"/>
      <c r="E29" s="2562"/>
      <c r="F29" s="2562"/>
      <c r="G29" s="2562"/>
      <c r="H29" s="2562"/>
      <c r="I29" s="2562"/>
      <c r="J29" s="2562"/>
      <c r="K29" s="2562"/>
      <c r="L29" s="2562"/>
      <c r="M29" s="2562"/>
      <c r="N29" s="2562"/>
      <c r="O29" s="2562"/>
      <c r="P29" s="2562"/>
      <c r="Q29" s="2562"/>
      <c r="R29" s="2562"/>
      <c r="S29" s="2562"/>
      <c r="T29" s="2562"/>
      <c r="U29" s="2562"/>
      <c r="V29" s="2562"/>
      <c r="W29" s="2562"/>
      <c r="X29" s="2562"/>
      <c r="Y29" s="2562"/>
      <c r="Z29" s="2562"/>
      <c r="AA29" s="2562"/>
      <c r="AB29" s="2562"/>
      <c r="AC29" s="2562"/>
      <c r="AD29" s="2562"/>
      <c r="AE29" s="2562"/>
      <c r="AF29" s="2562"/>
      <c r="AG29" s="2562"/>
      <c r="AH29" s="2562"/>
      <c r="AI29" s="3601"/>
      <c r="AJ29" s="3601"/>
      <c r="AK29" s="3601"/>
      <c r="AL29" s="3601"/>
      <c r="AM29" s="3601"/>
      <c r="AN29" s="3945"/>
      <c r="AO29" s="3945"/>
      <c r="AP29" s="3945"/>
      <c r="AQ29" s="3945"/>
      <c r="AR29" s="3945"/>
      <c r="AS29" s="3074"/>
      <c r="AT29" s="3074"/>
      <c r="AU29" s="4718"/>
      <c r="AV29" s="4571"/>
    </row>
    <row r="30" spans="1:48" x14ac:dyDescent="0.2">
      <c r="A30" s="3056" t="s">
        <v>1826</v>
      </c>
      <c r="B30" s="3035" t="s">
        <v>899</v>
      </c>
      <c r="C30" s="2562"/>
      <c r="D30" s="2562"/>
      <c r="E30" s="2562"/>
      <c r="F30" s="2562"/>
      <c r="G30" s="2562"/>
      <c r="H30" s="2562"/>
      <c r="I30" s="2562"/>
      <c r="J30" s="2562"/>
      <c r="K30" s="2562"/>
      <c r="L30" s="2562"/>
      <c r="M30" s="2562">
        <f>M27+M20</f>
        <v>3178.17</v>
      </c>
      <c r="N30" s="2562"/>
      <c r="O30" s="2562"/>
      <c r="P30" s="2562"/>
      <c r="Q30" s="2562"/>
      <c r="R30" s="2562"/>
      <c r="S30" s="2562"/>
      <c r="T30" s="2562">
        <f>T27+T20</f>
        <v>5612.3802791955204</v>
      </c>
      <c r="U30" s="2562">
        <f t="shared" ref="U30:Y30" si="91">U27+U20</f>
        <v>5848.1002509217324</v>
      </c>
      <c r="V30" s="2562">
        <f t="shared" si="91"/>
        <v>6082.0242609586012</v>
      </c>
      <c r="W30" s="2562">
        <f t="shared" si="91"/>
        <v>6325.3052313969456</v>
      </c>
      <c r="X30" s="2562">
        <f t="shared" si="91"/>
        <v>6571.9921354214266</v>
      </c>
      <c r="Y30" s="2562">
        <f t="shared" si="91"/>
        <v>6828.2998287028622</v>
      </c>
      <c r="Z30" s="2562">
        <f t="shared" ref="Z30:AD30" si="92">Z27+Z20</f>
        <v>5848.1002509217324</v>
      </c>
      <c r="AA30" s="2562">
        <f t="shared" si="92"/>
        <v>6082.0242609586012</v>
      </c>
      <c r="AB30" s="2562">
        <f t="shared" si="92"/>
        <v>6325.3052313969456</v>
      </c>
      <c r="AC30" s="2562">
        <f t="shared" si="92"/>
        <v>6571.9921354214266</v>
      </c>
      <c r="AD30" s="2562">
        <f t="shared" si="92"/>
        <v>6828.2998287028622</v>
      </c>
      <c r="AE30" s="2562">
        <f t="shared" ref="AE30" si="93">AE27+AE20</f>
        <v>4533.4980427591991</v>
      </c>
      <c r="AF30" s="2562">
        <f t="shared" ref="AF30:AH30" si="94">AF27+AF20</f>
        <v>2408.4423000000002</v>
      </c>
      <c r="AG30" s="2562">
        <f t="shared" si="94"/>
        <v>4109.1620000000003</v>
      </c>
      <c r="AH30" s="2562">
        <f t="shared" si="94"/>
        <v>5991.16</v>
      </c>
      <c r="AI30" s="3601">
        <f t="shared" ref="AI30:AM30" si="95">AI27+AI20</f>
        <v>4742.0389527261223</v>
      </c>
      <c r="AJ30" s="3601">
        <f t="shared" ref="AJ30" si="96">AJ27+AJ20</f>
        <v>5402.2890466725712</v>
      </c>
      <c r="AK30" s="3601">
        <f t="shared" si="95"/>
        <v>3386.7485099999999</v>
      </c>
      <c r="AL30" s="3601">
        <f t="shared" si="95"/>
        <v>4548.4409999999998</v>
      </c>
      <c r="AM30" s="3601">
        <f t="shared" si="95"/>
        <v>6053.59</v>
      </c>
      <c r="AN30" s="3945">
        <f t="shared" ref="AN30:AP30" si="97">AN27+AN20</f>
        <v>6502.8539119135457</v>
      </c>
      <c r="AO30" s="3945">
        <f t="shared" si="97"/>
        <v>5441.9431585738866</v>
      </c>
      <c r="AP30" s="3945">
        <f t="shared" si="97"/>
        <v>2777.89122</v>
      </c>
      <c r="AQ30" s="3945">
        <f t="shared" ref="AQ30:AT30" si="98">AQ27+AQ20</f>
        <v>3992.0954999999999</v>
      </c>
      <c r="AR30" s="3945">
        <f t="shared" si="98"/>
        <v>5620.3329999999996</v>
      </c>
      <c r="AS30" s="3074">
        <f t="shared" si="98"/>
        <v>6171.9064177409946</v>
      </c>
      <c r="AT30" s="3074">
        <f t="shared" si="98"/>
        <v>5703.5050999164114</v>
      </c>
      <c r="AU30" s="4718">
        <f t="shared" ref="AU30:AV30" si="99">AU27+AU20</f>
        <v>2454.1718952799997</v>
      </c>
      <c r="AV30" s="4718">
        <f t="shared" si="99"/>
        <v>4745.9643256400004</v>
      </c>
    </row>
    <row r="31" spans="1:48" x14ac:dyDescent="0.2">
      <c r="A31" s="3056" t="s">
        <v>1827</v>
      </c>
      <c r="B31" s="3035" t="s">
        <v>899</v>
      </c>
      <c r="C31" s="2562"/>
      <c r="D31" s="2562"/>
      <c r="E31" s="2562"/>
      <c r="F31" s="2562"/>
      <c r="G31" s="2562"/>
      <c r="H31" s="2562"/>
      <c r="I31" s="2562"/>
      <c r="J31" s="2562"/>
      <c r="K31" s="2562"/>
      <c r="L31" s="2562"/>
      <c r="M31" s="2562">
        <f>M21</f>
        <v>1.1299999999999999</v>
      </c>
      <c r="N31" s="2562"/>
      <c r="O31" s="2562"/>
      <c r="P31" s="2562"/>
      <c r="Q31" s="2562"/>
      <c r="R31" s="2562"/>
      <c r="S31" s="2562"/>
      <c r="T31" s="2562">
        <f>T21</f>
        <v>1.2183794999999999</v>
      </c>
      <c r="U31" s="2562">
        <f t="shared" ref="U31:Y31" si="100">U21</f>
        <v>1.269551439</v>
      </c>
      <c r="V31" s="2562">
        <f t="shared" si="100"/>
        <v>1.32033349656</v>
      </c>
      <c r="W31" s="2562">
        <f t="shared" si="100"/>
        <v>1.3731468364224</v>
      </c>
      <c r="X31" s="2562">
        <f t="shared" si="100"/>
        <v>1.4266995630428734</v>
      </c>
      <c r="Y31" s="2562">
        <f t="shared" si="100"/>
        <v>1.4823408460015455</v>
      </c>
      <c r="Z31" s="2562">
        <f t="shared" ref="Z31:AD31" si="101">Z21</f>
        <v>1.269551439</v>
      </c>
      <c r="AA31" s="2562">
        <f t="shared" si="101"/>
        <v>1.32033349656</v>
      </c>
      <c r="AB31" s="2562">
        <f t="shared" si="101"/>
        <v>1.3731468364224</v>
      </c>
      <c r="AC31" s="2562">
        <f t="shared" si="101"/>
        <v>1.4266995630428734</v>
      </c>
      <c r="AD31" s="2562">
        <f t="shared" si="101"/>
        <v>1.4823408460015455</v>
      </c>
      <c r="AE31" s="2562">
        <f t="shared" ref="AE31" si="102">AE21</f>
        <v>0.89212483339199999</v>
      </c>
      <c r="AF31" s="2562">
        <f t="shared" ref="AF31:AH31" si="103">AF21</f>
        <v>0.41</v>
      </c>
      <c r="AG31" s="2562">
        <f t="shared" si="103"/>
        <v>0.60599999999999998</v>
      </c>
      <c r="AH31" s="2562">
        <f t="shared" si="103"/>
        <v>0.83</v>
      </c>
      <c r="AI31" s="3601">
        <f t="shared" ref="AI31:AM31" si="104">AI21</f>
        <v>0.93316257572803196</v>
      </c>
      <c r="AJ31" s="3601">
        <f t="shared" ref="AJ31" si="105">AJ21</f>
        <v>1.4756665607949733</v>
      </c>
      <c r="AK31" s="3601">
        <f t="shared" si="104"/>
        <v>0.39162000000000002</v>
      </c>
      <c r="AL31" s="3601">
        <f t="shared" si="104"/>
        <v>0.54</v>
      </c>
      <c r="AM31" s="3601">
        <f t="shared" si="104"/>
        <v>0.69796999999999998</v>
      </c>
      <c r="AN31" s="3945">
        <f t="shared" ref="AN31:AP31" si="106">AN21</f>
        <v>1.7401514136143799</v>
      </c>
      <c r="AO31" s="3945">
        <f t="shared" si="106"/>
        <v>1.4885257326660863</v>
      </c>
      <c r="AP31" s="3945">
        <f t="shared" si="106"/>
        <v>0.32580999999999999</v>
      </c>
      <c r="AQ31" s="3945">
        <f t="shared" ref="AQ31:AT31" si="107">AQ21</f>
        <v>0.47299999999999998</v>
      </c>
      <c r="AR31" s="3945">
        <f t="shared" si="107"/>
        <v>0.623</v>
      </c>
      <c r="AS31" s="3074">
        <f t="shared" si="107"/>
        <v>1.570827589149</v>
      </c>
      <c r="AT31" s="3074">
        <f t="shared" si="107"/>
        <v>1.2691573416522</v>
      </c>
      <c r="AU31" s="4718">
        <f t="shared" ref="AU31:AV31" si="108">AU21</f>
        <v>0.63031051999999999</v>
      </c>
      <c r="AV31" s="4718">
        <f t="shared" si="108"/>
        <v>0.6512080400000001</v>
      </c>
    </row>
    <row r="32" spans="1:48" s="1922" customFormat="1" x14ac:dyDescent="0.2">
      <c r="A32" s="3054" t="s">
        <v>132</v>
      </c>
      <c r="B32" s="2600"/>
      <c r="C32" s="2563"/>
      <c r="D32" s="2563"/>
      <c r="E32" s="2563"/>
      <c r="F32" s="2563"/>
      <c r="G32" s="2563"/>
      <c r="H32" s="2563"/>
      <c r="I32" s="2563"/>
      <c r="J32" s="2563"/>
      <c r="K32" s="2563"/>
      <c r="L32" s="2563"/>
      <c r="M32" s="2563"/>
      <c r="N32" s="2563"/>
      <c r="O32" s="2563"/>
      <c r="P32" s="2563"/>
      <c r="Q32" s="2563"/>
      <c r="R32" s="2563"/>
      <c r="S32" s="2563"/>
      <c r="T32" s="2563"/>
      <c r="U32" s="2563"/>
      <c r="V32" s="2563"/>
      <c r="W32" s="2563"/>
      <c r="X32" s="2563"/>
      <c r="Y32" s="2563"/>
      <c r="Z32" s="2563"/>
      <c r="AA32" s="2563"/>
      <c r="AB32" s="2563"/>
      <c r="AC32" s="2563"/>
      <c r="AD32" s="2563"/>
      <c r="AE32" s="2563"/>
      <c r="AF32" s="2563"/>
      <c r="AG32" s="2563"/>
      <c r="AH32" s="2563"/>
      <c r="AI32" s="3602"/>
      <c r="AJ32" s="3602"/>
      <c r="AK32" s="3602"/>
      <c r="AL32" s="3602"/>
      <c r="AM32" s="3602"/>
      <c r="AN32" s="3944"/>
      <c r="AO32" s="3944"/>
      <c r="AP32" s="3944"/>
      <c r="AQ32" s="3944"/>
      <c r="AR32" s="3944"/>
      <c r="AS32" s="3075"/>
      <c r="AT32" s="3075"/>
      <c r="AU32" s="4570"/>
      <c r="AV32" s="4570"/>
    </row>
    <row r="33" spans="1:48" x14ac:dyDescent="0.2">
      <c r="A33" s="3052" t="s">
        <v>1838</v>
      </c>
      <c r="B33" s="3035" t="s">
        <v>934</v>
      </c>
      <c r="C33" s="2562">
        <v>4967.92</v>
      </c>
      <c r="D33" s="2562">
        <v>5144.2299999999996</v>
      </c>
      <c r="E33" s="2562">
        <v>444.26</v>
      </c>
      <c r="F33" s="2562">
        <v>4852.58</v>
      </c>
      <c r="G33" s="2562">
        <v>4696.1400000000003</v>
      </c>
      <c r="H33" s="2562">
        <v>5364.7</v>
      </c>
      <c r="I33" s="2562">
        <v>5364.7</v>
      </c>
      <c r="J33" s="2562">
        <v>4552.68</v>
      </c>
      <c r="K33" s="2562">
        <v>4852.58</v>
      </c>
      <c r="L33" s="2562">
        <v>4509.96</v>
      </c>
      <c r="M33" s="2562">
        <f>SUM(M35:M36)</f>
        <v>5823.44</v>
      </c>
      <c r="N33" s="2562">
        <v>5150</v>
      </c>
      <c r="O33" s="2562">
        <v>5150</v>
      </c>
      <c r="P33" s="2562">
        <v>5150</v>
      </c>
      <c r="Q33" s="2562">
        <v>5150</v>
      </c>
      <c r="R33" s="2562">
        <v>5150</v>
      </c>
      <c r="S33" s="2562"/>
      <c r="T33" s="2562">
        <f>'объемы ВС и ВО 2023'!AZ44</f>
        <v>5059.084346328933</v>
      </c>
      <c r="U33" s="2562">
        <f>T33</f>
        <v>5059.084346328933</v>
      </c>
      <c r="V33" s="2562">
        <f t="shared" ref="V33:Y37" si="109">U33</f>
        <v>5059.084346328933</v>
      </c>
      <c r="W33" s="2562">
        <f t="shared" si="109"/>
        <v>5059.084346328933</v>
      </c>
      <c r="X33" s="2562">
        <f t="shared" si="109"/>
        <v>5059.084346328933</v>
      </c>
      <c r="Y33" s="2562">
        <f t="shared" si="109"/>
        <v>5059.084346328933</v>
      </c>
      <c r="Z33" s="2562">
        <f>SUM('объемы ВС и ВО 2023'!BB44)</f>
        <v>5059.084346328933</v>
      </c>
      <c r="AA33" s="2562">
        <f>SUM(Z33)</f>
        <v>5059.084346328933</v>
      </c>
      <c r="AB33" s="2562">
        <f>SUM(AA33)</f>
        <v>5059.084346328933</v>
      </c>
      <c r="AC33" s="2562">
        <f t="shared" ref="AC33:AD33" si="110">SUM(AB33)</f>
        <v>5059.084346328933</v>
      </c>
      <c r="AD33" s="2562">
        <f t="shared" si="110"/>
        <v>5059.084346328933</v>
      </c>
      <c r="AE33" s="2562">
        <f>SUM('объемы ВС и ВО 2023'!BD44)</f>
        <v>4800.4329999999991</v>
      </c>
      <c r="AF33" s="2562">
        <f>SUM(AF35:AF36)</f>
        <v>2986.3040000000001</v>
      </c>
      <c r="AG33" s="2562">
        <f t="shared" ref="AG33:AH33" si="111">SUM(AG35:AG36)</f>
        <v>4273.22</v>
      </c>
      <c r="AH33" s="2562">
        <f t="shared" si="111"/>
        <v>5511.8455000000004</v>
      </c>
      <c r="AI33" s="3601">
        <f>SUM('объемы ВС и ВО 2023'!BL44)</f>
        <v>4800.4329999999991</v>
      </c>
      <c r="AJ33" s="3601">
        <f>SUM('объемы ВС и ВО 2023'!BN44)</f>
        <v>4844.2269999999999</v>
      </c>
      <c r="AK33" s="3601">
        <f>SUM(AK35:AK36)</f>
        <v>2471.0309999999999</v>
      </c>
      <c r="AL33" s="3601">
        <f t="shared" ref="AL33:AM33" si="112">SUM(AL35:AL36)</f>
        <v>3723.6019999999999</v>
      </c>
      <c r="AM33" s="3601">
        <f t="shared" si="112"/>
        <v>4928.9769999999999</v>
      </c>
      <c r="AN33" s="3945">
        <f>SUM('объемы ВС и ВО 2023'!BW44)</f>
        <v>4844.2269999999999</v>
      </c>
      <c r="AO33" s="3945">
        <f>SUM('объемы ВС и ВО 2023'!BY44)</f>
        <v>4839.3909000000003</v>
      </c>
      <c r="AP33" s="3945">
        <f t="shared" ref="AP33:AQ33" si="113">SUM(AP35:AP36)</f>
        <v>2580.6819999999998</v>
      </c>
      <c r="AQ33" s="3945">
        <f t="shared" si="113"/>
        <v>3719.5163000000002</v>
      </c>
      <c r="AR33" s="3945">
        <f t="shared" ref="AR33" si="114">SUM(AR35:AR36)</f>
        <v>4863.1029999999992</v>
      </c>
      <c r="AS33" s="3074">
        <f>SUM('объемы ВС и ВО 2023'!CG44)</f>
        <v>4839.3909000000003</v>
      </c>
      <c r="AT33" s="3074">
        <f>SUM('объемы ВС и ВО 2023'!CI44)</f>
        <v>4911.6819687466577</v>
      </c>
      <c r="AU33" s="4718">
        <f t="shared" ref="AU33:AV33" si="115">SUM(AU35:AU36)</f>
        <v>2147.5039999999999</v>
      </c>
      <c r="AV33" s="4718">
        <f t="shared" si="115"/>
        <v>4201.7883999999995</v>
      </c>
    </row>
    <row r="34" spans="1:48" x14ac:dyDescent="0.2">
      <c r="A34" s="3052" t="s">
        <v>50</v>
      </c>
      <c r="B34" s="3035"/>
      <c r="C34" s="2562"/>
      <c r="D34" s="2562"/>
      <c r="E34" s="2562"/>
      <c r="F34" s="2562"/>
      <c r="G34" s="2562"/>
      <c r="H34" s="2562"/>
      <c r="I34" s="2562"/>
      <c r="J34" s="2562"/>
      <c r="K34" s="2562"/>
      <c r="L34" s="2562"/>
      <c r="M34" s="2562"/>
      <c r="N34" s="2562"/>
      <c r="O34" s="2562"/>
      <c r="P34" s="2562"/>
      <c r="Q34" s="2562"/>
      <c r="R34" s="2562"/>
      <c r="S34" s="2562"/>
      <c r="T34" s="2562"/>
      <c r="U34" s="2562"/>
      <c r="V34" s="2562"/>
      <c r="W34" s="2562"/>
      <c r="X34" s="2562"/>
      <c r="Y34" s="2562"/>
      <c r="Z34" s="2562"/>
      <c r="AA34" s="2562"/>
      <c r="AB34" s="2562"/>
      <c r="AC34" s="2562"/>
      <c r="AD34" s="2562"/>
      <c r="AE34" s="2562"/>
      <c r="AF34" s="2562"/>
      <c r="AG34" s="2562"/>
      <c r="AH34" s="2562"/>
      <c r="AI34" s="3601"/>
      <c r="AJ34" s="3601"/>
      <c r="AK34" s="3601"/>
      <c r="AL34" s="3601"/>
      <c r="AM34" s="3601"/>
      <c r="AN34" s="3945"/>
      <c r="AO34" s="3945"/>
      <c r="AP34" s="3945"/>
      <c r="AQ34" s="3945"/>
      <c r="AR34" s="3945"/>
      <c r="AS34" s="3074"/>
      <c r="AT34" s="3074"/>
      <c r="AU34" s="4571"/>
      <c r="AV34" s="4571"/>
    </row>
    <row r="35" spans="1:48" x14ac:dyDescent="0.2">
      <c r="A35" s="3056" t="s">
        <v>1826</v>
      </c>
      <c r="B35" s="3035" t="s">
        <v>934</v>
      </c>
      <c r="C35" s="2562"/>
      <c r="D35" s="2562"/>
      <c r="E35" s="2562"/>
      <c r="F35" s="2562"/>
      <c r="G35" s="2562"/>
      <c r="H35" s="2562"/>
      <c r="I35" s="2562"/>
      <c r="J35" s="2562"/>
      <c r="K35" s="2562"/>
      <c r="L35" s="2562"/>
      <c r="M35" s="2562">
        <v>5823.44</v>
      </c>
      <c r="N35" s="2562"/>
      <c r="O35" s="2562"/>
      <c r="P35" s="2562"/>
      <c r="Q35" s="2562"/>
      <c r="R35" s="2562"/>
      <c r="S35" s="2562"/>
      <c r="T35" s="2562">
        <f>'объемы ВС и ВО 2023'!AZ44</f>
        <v>5059.084346328933</v>
      </c>
      <c r="U35" s="2562">
        <f>T35</f>
        <v>5059.084346328933</v>
      </c>
      <c r="V35" s="2562">
        <f t="shared" si="109"/>
        <v>5059.084346328933</v>
      </c>
      <c r="W35" s="2562">
        <f t="shared" si="109"/>
        <v>5059.084346328933</v>
      </c>
      <c r="X35" s="2562">
        <f t="shared" si="109"/>
        <v>5059.084346328933</v>
      </c>
      <c r="Y35" s="2562">
        <f t="shared" si="109"/>
        <v>5059.084346328933</v>
      </c>
      <c r="Z35" s="2562">
        <f>SUM(Z33)</f>
        <v>5059.084346328933</v>
      </c>
      <c r="AA35" s="2562">
        <f t="shared" ref="AA35:AD35" si="116">SUM(AA33)</f>
        <v>5059.084346328933</v>
      </c>
      <c r="AB35" s="2562">
        <f t="shared" si="116"/>
        <v>5059.084346328933</v>
      </c>
      <c r="AC35" s="2562">
        <f t="shared" si="116"/>
        <v>5059.084346328933</v>
      </c>
      <c r="AD35" s="2562">
        <f t="shared" si="116"/>
        <v>5059.084346328933</v>
      </c>
      <c r="AE35" s="2562">
        <f>SUM(AE33)</f>
        <v>4800.4329999999991</v>
      </c>
      <c r="AF35" s="2562">
        <f>SUM('объемы ВС и ВО 2023'!BF44)</f>
        <v>2986.3040000000001</v>
      </c>
      <c r="AG35" s="2562">
        <f>SUM('объемы ВС и ВО 2023'!BH44)</f>
        <v>4273.22</v>
      </c>
      <c r="AH35" s="2562">
        <f>SUM('объемы ВС и ВО 2023'!BJ44)</f>
        <v>5511.8455000000004</v>
      </c>
      <c r="AI35" s="3601">
        <f>SUM(AI33)</f>
        <v>4800.4329999999991</v>
      </c>
      <c r="AJ35" s="3601">
        <f>SUM(AJ33)</f>
        <v>4844.2269999999999</v>
      </c>
      <c r="AK35" s="3601">
        <f>SUM('объемы ВС и ВО 2023'!BQ44)</f>
        <v>2471.0309999999999</v>
      </c>
      <c r="AL35" s="3601">
        <f>SUM('объемы ВС и ВО 2023'!BS44)</f>
        <v>3723.6019999999999</v>
      </c>
      <c r="AM35" s="3601">
        <f>SUM('объемы ВС и ВО 2023'!BU44)</f>
        <v>4928.9769999999999</v>
      </c>
      <c r="AN35" s="3945">
        <f>SUM(AN33)</f>
        <v>4844.2269999999999</v>
      </c>
      <c r="AO35" s="3945">
        <f>SUM(AO33)</f>
        <v>4839.3909000000003</v>
      </c>
      <c r="AP35" s="3945">
        <f>SUM('объемы ВС и ВО 2023'!CA44)</f>
        <v>2580.6819999999998</v>
      </c>
      <c r="AQ35" s="3945">
        <f>SUM('объемы ВС и ВО 2023'!CC44)</f>
        <v>3719.5163000000002</v>
      </c>
      <c r="AR35" s="3945">
        <f>SUM('объемы ВС и ВО 2023'!CE44)</f>
        <v>4863.1029999999992</v>
      </c>
      <c r="AS35" s="3074">
        <f>SUM(AS33)</f>
        <v>4839.3909000000003</v>
      </c>
      <c r="AT35" s="3074">
        <f>SUM(AT33)</f>
        <v>4911.6819687466577</v>
      </c>
      <c r="AU35" s="4718">
        <f>SUM('объемы ВС и ВО 2023'!CK44)</f>
        <v>2147.5039999999999</v>
      </c>
      <c r="AV35" s="4718">
        <f>SUM('объемы ВС и ВО 2023'!CM44)</f>
        <v>4201.7883999999995</v>
      </c>
    </row>
    <row r="36" spans="1:48" x14ac:dyDescent="0.2">
      <c r="A36" s="3056" t="s">
        <v>1827</v>
      </c>
      <c r="B36" s="3035" t="s">
        <v>934</v>
      </c>
      <c r="C36" s="2562"/>
      <c r="D36" s="2562"/>
      <c r="E36" s="2562"/>
      <c r="F36" s="2562"/>
      <c r="G36" s="2562"/>
      <c r="H36" s="2562"/>
      <c r="I36" s="2562"/>
      <c r="J36" s="2562"/>
      <c r="K36" s="2562"/>
      <c r="L36" s="2562"/>
      <c r="M36" s="2562">
        <v>0</v>
      </c>
      <c r="N36" s="2562"/>
      <c r="O36" s="2562"/>
      <c r="P36" s="2562"/>
      <c r="Q36" s="2562"/>
      <c r="R36" s="2562"/>
      <c r="S36" s="2562"/>
      <c r="T36" s="2562">
        <v>0</v>
      </c>
      <c r="U36" s="2562">
        <f>T36</f>
        <v>0</v>
      </c>
      <c r="V36" s="2562">
        <f t="shared" si="109"/>
        <v>0</v>
      </c>
      <c r="W36" s="2562">
        <f t="shared" si="109"/>
        <v>0</v>
      </c>
      <c r="X36" s="2562">
        <f t="shared" si="109"/>
        <v>0</v>
      </c>
      <c r="Y36" s="2562">
        <f t="shared" si="109"/>
        <v>0</v>
      </c>
      <c r="Z36" s="2562">
        <v>0</v>
      </c>
      <c r="AA36" s="2562">
        <v>0</v>
      </c>
      <c r="AB36" s="2562">
        <v>0</v>
      </c>
      <c r="AC36" s="2562">
        <v>0</v>
      </c>
      <c r="AD36" s="2562">
        <v>0</v>
      </c>
      <c r="AE36" s="2562">
        <v>0</v>
      </c>
      <c r="AF36" s="2562">
        <v>0</v>
      </c>
      <c r="AG36" s="2562">
        <v>0</v>
      </c>
      <c r="AH36" s="2562">
        <v>0</v>
      </c>
      <c r="AI36" s="3601">
        <v>0</v>
      </c>
      <c r="AJ36" s="3601">
        <v>0</v>
      </c>
      <c r="AK36" s="3601">
        <v>0</v>
      </c>
      <c r="AL36" s="3601">
        <v>0</v>
      </c>
      <c r="AM36" s="3601">
        <v>0</v>
      </c>
      <c r="AN36" s="3945">
        <v>0</v>
      </c>
      <c r="AO36" s="3945">
        <v>0</v>
      </c>
      <c r="AP36" s="3945">
        <v>0</v>
      </c>
      <c r="AQ36" s="3945">
        <v>0</v>
      </c>
      <c r="AR36" s="3945">
        <v>0</v>
      </c>
      <c r="AS36" s="3074">
        <v>0</v>
      </c>
      <c r="AT36" s="3074">
        <v>0</v>
      </c>
      <c r="AU36" s="4718">
        <v>0</v>
      </c>
      <c r="AV36" s="4718">
        <v>0</v>
      </c>
    </row>
    <row r="37" spans="1:48" ht="51" x14ac:dyDescent="0.2">
      <c r="A37" s="3052" t="s">
        <v>1839</v>
      </c>
      <c r="B37" s="3035" t="s">
        <v>1832</v>
      </c>
      <c r="C37" s="2574">
        <v>0.249</v>
      </c>
      <c r="D37" s="2574">
        <v>0.29499999999999998</v>
      </c>
      <c r="E37" s="2574">
        <v>0.24199999999999999</v>
      </c>
      <c r="F37" s="2574">
        <v>0.24199999999999999</v>
      </c>
      <c r="G37" s="2574">
        <v>0.24199999999999999</v>
      </c>
      <c r="H37" s="2574">
        <v>0.28799999999999998</v>
      </c>
      <c r="I37" s="2574">
        <v>0.28799999999999998</v>
      </c>
      <c r="J37" s="2574">
        <v>0.24199999999999999</v>
      </c>
      <c r="K37" s="2574">
        <v>0.24199999999999999</v>
      </c>
      <c r="L37" s="2574">
        <v>0.24199999999999999</v>
      </c>
      <c r="M37" s="2574">
        <f>SUM(M38/M33)</f>
        <v>0.23637145742035634</v>
      </c>
      <c r="N37" s="2574">
        <f>N38/N33</f>
        <v>0.27300000000000002</v>
      </c>
      <c r="O37" s="2574">
        <f t="shared" ref="O37:R37" si="117">O38/O33</f>
        <v>0.27300000000000002</v>
      </c>
      <c r="P37" s="2574">
        <f t="shared" si="117"/>
        <v>0.27300000000000002</v>
      </c>
      <c r="Q37" s="2574">
        <f t="shared" si="117"/>
        <v>0.27300000000000002</v>
      </c>
      <c r="R37" s="2574">
        <f t="shared" si="117"/>
        <v>0.27300000000000002</v>
      </c>
      <c r="S37" s="2562"/>
      <c r="T37" s="2574">
        <f>I37</f>
        <v>0.28799999999999998</v>
      </c>
      <c r="U37" s="2574">
        <f>T37</f>
        <v>0.28799999999999998</v>
      </c>
      <c r="V37" s="2574">
        <f t="shared" si="109"/>
        <v>0.28799999999999998</v>
      </c>
      <c r="W37" s="2574">
        <f t="shared" si="109"/>
        <v>0.28799999999999998</v>
      </c>
      <c r="X37" s="2574">
        <f t="shared" si="109"/>
        <v>0.28799999999999998</v>
      </c>
      <c r="Y37" s="2574">
        <f t="shared" si="109"/>
        <v>0.28799999999999998</v>
      </c>
      <c r="Z37" s="2574">
        <f>SUM(Y37)</f>
        <v>0.28799999999999998</v>
      </c>
      <c r="AA37" s="2574">
        <f>SUM(Z37)</f>
        <v>0.28799999999999998</v>
      </c>
      <c r="AB37" s="2574">
        <f t="shared" ref="AB37:AD37" si="118">SUM(AA37)</f>
        <v>0.28799999999999998</v>
      </c>
      <c r="AC37" s="2574">
        <f t="shared" si="118"/>
        <v>0.28799999999999998</v>
      </c>
      <c r="AD37" s="2574">
        <f t="shared" si="118"/>
        <v>0.28799999999999998</v>
      </c>
      <c r="AE37" s="2574">
        <f>SUM(AD37)</f>
        <v>0.28799999999999998</v>
      </c>
      <c r="AF37" s="2574">
        <f t="shared" ref="AF37:AH37" si="119">SUM(AF38/AF33)</f>
        <v>0.23123399359207905</v>
      </c>
      <c r="AG37" s="2574">
        <f t="shared" si="119"/>
        <v>0.25754021557514006</v>
      </c>
      <c r="AH37" s="2574">
        <f t="shared" si="119"/>
        <v>0.27766761604620449</v>
      </c>
      <c r="AI37" s="2574">
        <f>SUM(AE37)</f>
        <v>0.28799999999999998</v>
      </c>
      <c r="AJ37" s="2574">
        <f>SUM(AE37)</f>
        <v>0.28799999999999998</v>
      </c>
      <c r="AK37" s="2574">
        <f t="shared" ref="AK37:AM37" si="120">SUM(AK38/AK33)</f>
        <v>0.31444324251698991</v>
      </c>
      <c r="AL37" s="2574">
        <f t="shared" si="120"/>
        <v>0.29401369963814605</v>
      </c>
      <c r="AM37" s="2574">
        <f t="shared" si="120"/>
        <v>0.29753780551217829</v>
      </c>
      <c r="AN37" s="2574">
        <v>0.29399999999999998</v>
      </c>
      <c r="AO37" s="2574">
        <f>SUM(AJ37)</f>
        <v>0.28799999999999998</v>
      </c>
      <c r="AP37" s="2574">
        <f t="shared" ref="AP37:AQ37" si="121">SUM(AP38/AP33)</f>
        <v>0.25204461456312716</v>
      </c>
      <c r="AQ37" s="2574">
        <f t="shared" si="121"/>
        <v>0.25465891895674714</v>
      </c>
      <c r="AR37" s="2574">
        <f t="shared" ref="AR37" si="122">SUM(AR38/AR33)</f>
        <v>0.26695383585336363</v>
      </c>
      <c r="AS37" s="2384">
        <v>0.28799999999999998</v>
      </c>
      <c r="AT37" s="3074">
        <f>SUM(AO37)</f>
        <v>0.28799999999999998</v>
      </c>
      <c r="AU37" s="4736">
        <f t="shared" ref="AU37:AV37" si="123">SUM(AU38/AU33)</f>
        <v>0.33334512997414673</v>
      </c>
      <c r="AV37" s="4736">
        <f t="shared" si="123"/>
        <v>0.32919220777514641</v>
      </c>
    </row>
    <row r="38" spans="1:48" ht="25.5" x14ac:dyDescent="0.2">
      <c r="A38" s="3052" t="s">
        <v>3512</v>
      </c>
      <c r="B38" s="3035" t="s">
        <v>1833</v>
      </c>
      <c r="C38" s="2562">
        <v>1237</v>
      </c>
      <c r="D38" s="2562">
        <v>1516.6</v>
      </c>
      <c r="E38" s="2562">
        <v>1075.5</v>
      </c>
      <c r="F38" s="2562">
        <v>1174.3</v>
      </c>
      <c r="G38" s="2562">
        <v>1136.5</v>
      </c>
      <c r="H38" s="2562">
        <v>1543.2</v>
      </c>
      <c r="I38" s="2562">
        <v>1543.17</v>
      </c>
      <c r="J38" s="2562">
        <f>J33*J37</f>
        <v>1101.74856</v>
      </c>
      <c r="K38" s="2562">
        <v>1174.3240000000001</v>
      </c>
      <c r="L38" s="2562">
        <v>1091.4000000000001</v>
      </c>
      <c r="M38" s="2574">
        <f>SUM(M40:M41)</f>
        <v>1376.4949999999999</v>
      </c>
      <c r="N38" s="2562">
        <v>1405.95</v>
      </c>
      <c r="O38" s="2562">
        <v>1405.95</v>
      </c>
      <c r="P38" s="2562">
        <v>1405.95</v>
      </c>
      <c r="Q38" s="2562">
        <v>1405.95</v>
      </c>
      <c r="R38" s="2562">
        <v>1405.95</v>
      </c>
      <c r="S38" s="2562"/>
      <c r="T38" s="2562">
        <f>T33*T37</f>
        <v>1457.0162917427326</v>
      </c>
      <c r="U38" s="2562">
        <f t="shared" ref="U38" si="124">U33*U37</f>
        <v>1457.0162917427326</v>
      </c>
      <c r="V38" s="2562">
        <f t="shared" ref="V38" si="125">V33*V37</f>
        <v>1457.0162917427326</v>
      </c>
      <c r="W38" s="2562">
        <f t="shared" ref="W38" si="126">W33*W37</f>
        <v>1457.0162917427326</v>
      </c>
      <c r="X38" s="2562">
        <f t="shared" ref="X38" si="127">X33*X37</f>
        <v>1457.0162917427326</v>
      </c>
      <c r="Y38" s="2562">
        <f t="shared" ref="Y38:AD38" si="128">Y33*Y37</f>
        <v>1457.0162917427326</v>
      </c>
      <c r="Z38" s="2562">
        <f t="shared" si="128"/>
        <v>1457.0162917427326</v>
      </c>
      <c r="AA38" s="2562">
        <f t="shared" si="128"/>
        <v>1457.0162917427326</v>
      </c>
      <c r="AB38" s="2562">
        <f t="shared" si="128"/>
        <v>1457.0162917427326</v>
      </c>
      <c r="AC38" s="2562">
        <f t="shared" si="128"/>
        <v>1457.0162917427326</v>
      </c>
      <c r="AD38" s="2562">
        <f t="shared" si="128"/>
        <v>1457.0162917427326</v>
      </c>
      <c r="AE38" s="2562">
        <f t="shared" ref="AE38" si="129">AE33*AE37</f>
        <v>1382.5247039999997</v>
      </c>
      <c r="AF38" s="2574">
        <f t="shared" ref="AF38:AH38" si="130">SUM(AF40:AF41)</f>
        <v>690.53500000000008</v>
      </c>
      <c r="AG38" s="2574">
        <f t="shared" si="130"/>
        <v>1100.5260000000001</v>
      </c>
      <c r="AH38" s="2574">
        <f t="shared" si="130"/>
        <v>1530.461</v>
      </c>
      <c r="AI38" s="3601">
        <f t="shared" ref="AI38:AJ38" si="131">AI33*AI37</f>
        <v>1382.5247039999997</v>
      </c>
      <c r="AJ38" s="3601">
        <f t="shared" si="131"/>
        <v>1395.1373759999999</v>
      </c>
      <c r="AK38" s="2574">
        <f t="shared" ref="AK38:AM38" si="132">SUM(AK40:AK41)</f>
        <v>776.99900000000002</v>
      </c>
      <c r="AL38" s="2574">
        <f t="shared" si="132"/>
        <v>1094.79</v>
      </c>
      <c r="AM38" s="2574">
        <f t="shared" si="132"/>
        <v>1466.557</v>
      </c>
      <c r="AN38" s="3945">
        <f t="shared" ref="AN38:AO38" si="133">AN33*AN37</f>
        <v>1424.202738</v>
      </c>
      <c r="AO38" s="3945">
        <f t="shared" si="133"/>
        <v>1393.7445792000001</v>
      </c>
      <c r="AP38" s="2574">
        <f t="shared" ref="AP38:AQ38" si="134">SUM(AP40:AP41)</f>
        <v>650.447</v>
      </c>
      <c r="AQ38" s="2574">
        <f t="shared" si="134"/>
        <v>947.20799999999997</v>
      </c>
      <c r="AR38" s="2574">
        <f t="shared" ref="AR38" si="135">SUM(AR40:AR41)</f>
        <v>1298.2239999999999</v>
      </c>
      <c r="AS38" s="3074">
        <f t="shared" ref="AS38:AT38" si="136">AS33*AS37</f>
        <v>1393.7445792000001</v>
      </c>
      <c r="AT38" s="3074">
        <f t="shared" si="136"/>
        <v>1414.5644069990374</v>
      </c>
      <c r="AU38" s="4736">
        <v>715.86</v>
      </c>
      <c r="AV38" s="4736">
        <f t="shared" ref="AV38" si="137">SUM(AV40:AV41)</f>
        <v>1383.1959999999999</v>
      </c>
    </row>
    <row r="39" spans="1:48" x14ac:dyDescent="0.2">
      <c r="A39" s="3052" t="s">
        <v>50</v>
      </c>
      <c r="B39" s="3035"/>
      <c r="C39" s="2562"/>
      <c r="D39" s="2562"/>
      <c r="E39" s="2562"/>
      <c r="F39" s="2562"/>
      <c r="G39" s="2562"/>
      <c r="H39" s="2562"/>
      <c r="I39" s="2562"/>
      <c r="J39" s="2562"/>
      <c r="K39" s="2562"/>
      <c r="L39" s="2562"/>
      <c r="M39" s="2562"/>
      <c r="N39" s="2562"/>
      <c r="O39" s="2562"/>
      <c r="P39" s="2562"/>
      <c r="Q39" s="2562"/>
      <c r="R39" s="2562"/>
      <c r="S39" s="2562"/>
      <c r="T39" s="2562"/>
      <c r="U39" s="2562"/>
      <c r="V39" s="2562"/>
      <c r="W39" s="2562"/>
      <c r="X39" s="2562"/>
      <c r="Y39" s="2562"/>
      <c r="Z39" s="2562"/>
      <c r="AA39" s="2562"/>
      <c r="AB39" s="2562"/>
      <c r="AC39" s="2562"/>
      <c r="AD39" s="2562"/>
      <c r="AE39" s="2562"/>
      <c r="AF39" s="2562"/>
      <c r="AG39" s="2562"/>
      <c r="AH39" s="2562"/>
      <c r="AI39" s="3601"/>
      <c r="AJ39" s="3601"/>
      <c r="AK39" s="3601"/>
      <c r="AL39" s="3601"/>
      <c r="AM39" s="3601"/>
      <c r="AN39" s="3945"/>
      <c r="AO39" s="3945"/>
      <c r="AP39" s="3945"/>
      <c r="AQ39" s="3945"/>
      <c r="AR39" s="3945"/>
      <c r="AS39" s="3074"/>
      <c r="AT39" s="3074"/>
      <c r="AU39" s="4571"/>
      <c r="AV39" s="4571"/>
    </row>
    <row r="40" spans="1:48" x14ac:dyDescent="0.2">
      <c r="A40" s="3056" t="s">
        <v>1826</v>
      </c>
      <c r="B40" s="3035" t="s">
        <v>1833</v>
      </c>
      <c r="C40" s="2562"/>
      <c r="D40" s="2562"/>
      <c r="E40" s="2562"/>
      <c r="F40" s="2562"/>
      <c r="G40" s="2562"/>
      <c r="H40" s="2562"/>
      <c r="I40" s="2562"/>
      <c r="J40" s="2562">
        <f>J38</f>
        <v>1101.74856</v>
      </c>
      <c r="K40" s="2562"/>
      <c r="L40" s="2562"/>
      <c r="M40" s="2574">
        <v>1376.4949999999999</v>
      </c>
      <c r="N40" s="2562"/>
      <c r="O40" s="2562"/>
      <c r="P40" s="2562"/>
      <c r="Q40" s="2562"/>
      <c r="R40" s="2562"/>
      <c r="S40" s="2562"/>
      <c r="T40" s="2562">
        <f>T35*T37</f>
        <v>1457.0162917427326</v>
      </c>
      <c r="U40" s="2562">
        <f t="shared" ref="U40:Y40" si="138">U35*U37</f>
        <v>1457.0162917427326</v>
      </c>
      <c r="V40" s="2562">
        <f t="shared" si="138"/>
        <v>1457.0162917427326</v>
      </c>
      <c r="W40" s="2562">
        <f t="shared" si="138"/>
        <v>1457.0162917427326</v>
      </c>
      <c r="X40" s="2562">
        <f t="shared" si="138"/>
        <v>1457.0162917427326</v>
      </c>
      <c r="Y40" s="2562">
        <f t="shared" si="138"/>
        <v>1457.0162917427326</v>
      </c>
      <c r="Z40" s="2562">
        <f t="shared" ref="Z40:AD40" si="139">Z35*Z37</f>
        <v>1457.0162917427326</v>
      </c>
      <c r="AA40" s="2562">
        <f t="shared" si="139"/>
        <v>1457.0162917427326</v>
      </c>
      <c r="AB40" s="2562">
        <f t="shared" si="139"/>
        <v>1457.0162917427326</v>
      </c>
      <c r="AC40" s="2562">
        <f t="shared" si="139"/>
        <v>1457.0162917427326</v>
      </c>
      <c r="AD40" s="2562">
        <f t="shared" si="139"/>
        <v>1457.0162917427326</v>
      </c>
      <c r="AE40" s="2562">
        <f t="shared" ref="AE40" si="140">AE35*AE37</f>
        <v>1382.5247039999997</v>
      </c>
      <c r="AF40" s="2562">
        <f>45.493+608.931+36.111</f>
        <v>690.53500000000008</v>
      </c>
      <c r="AG40" s="2562">
        <f>67.53+979.237+53.759</f>
        <v>1100.5260000000001</v>
      </c>
      <c r="AH40" s="2562">
        <v>1530.461</v>
      </c>
      <c r="AI40" s="3601">
        <f t="shared" ref="AI40:AJ40" si="141">AI35*AI37</f>
        <v>1382.5247039999997</v>
      </c>
      <c r="AJ40" s="3601">
        <f t="shared" si="141"/>
        <v>1395.1373759999999</v>
      </c>
      <c r="AK40" s="3601">
        <f>822.399-AK25</f>
        <v>776.99900000000002</v>
      </c>
      <c r="AL40" s="3601">
        <f>1163.126-AL25</f>
        <v>1094.79</v>
      </c>
      <c r="AM40" s="3601">
        <v>1466.557</v>
      </c>
      <c r="AN40" s="3945">
        <f t="shared" ref="AN40:AO40" si="142">AN35*AN37</f>
        <v>1424.202738</v>
      </c>
      <c r="AO40" s="3945">
        <f t="shared" si="142"/>
        <v>1393.7445792000001</v>
      </c>
      <c r="AP40" s="3945">
        <v>650.447</v>
      </c>
      <c r="AQ40" s="3945">
        <v>947.20799999999997</v>
      </c>
      <c r="AR40" s="3945">
        <v>1298.2239999999999</v>
      </c>
      <c r="AS40" s="3074">
        <f t="shared" ref="AS40:AT40" si="143">AS35*AS37</f>
        <v>1393.7445792000001</v>
      </c>
      <c r="AT40" s="3074">
        <f t="shared" si="143"/>
        <v>1414.5644069990374</v>
      </c>
      <c r="AU40" s="4718">
        <v>715.86</v>
      </c>
      <c r="AV40" s="4718">
        <v>1383.1959999999999</v>
      </c>
    </row>
    <row r="41" spans="1:48" x14ac:dyDescent="0.2">
      <c r="A41" s="3056" t="s">
        <v>1827</v>
      </c>
      <c r="B41" s="3035" t="s">
        <v>1833</v>
      </c>
      <c r="C41" s="2562"/>
      <c r="D41" s="2562"/>
      <c r="E41" s="2562"/>
      <c r="F41" s="2562"/>
      <c r="G41" s="2562"/>
      <c r="H41" s="2562"/>
      <c r="I41" s="2562"/>
      <c r="J41" s="2562">
        <v>0</v>
      </c>
      <c r="K41" s="2562"/>
      <c r="L41" s="2562"/>
      <c r="M41" s="2562">
        <v>0</v>
      </c>
      <c r="N41" s="2562"/>
      <c r="O41" s="2562"/>
      <c r="P41" s="2562"/>
      <c r="Q41" s="2562"/>
      <c r="R41" s="2562"/>
      <c r="S41" s="2562"/>
      <c r="T41" s="2562">
        <f>T36*T37</f>
        <v>0</v>
      </c>
      <c r="U41" s="2562">
        <f t="shared" ref="U41:Y41" si="144">U36*U37</f>
        <v>0</v>
      </c>
      <c r="V41" s="2562">
        <f t="shared" si="144"/>
        <v>0</v>
      </c>
      <c r="W41" s="2562">
        <f t="shared" si="144"/>
        <v>0</v>
      </c>
      <c r="X41" s="2562">
        <f t="shared" si="144"/>
        <v>0</v>
      </c>
      <c r="Y41" s="2562">
        <f t="shared" si="144"/>
        <v>0</v>
      </c>
      <c r="Z41" s="2562">
        <f t="shared" ref="Z41:AD41" si="145">Z36*Z37</f>
        <v>0</v>
      </c>
      <c r="AA41" s="2562">
        <f t="shared" si="145"/>
        <v>0</v>
      </c>
      <c r="AB41" s="2562">
        <f t="shared" si="145"/>
        <v>0</v>
      </c>
      <c r="AC41" s="2562">
        <f t="shared" si="145"/>
        <v>0</v>
      </c>
      <c r="AD41" s="2562">
        <f t="shared" si="145"/>
        <v>0</v>
      </c>
      <c r="AE41" s="2562">
        <f t="shared" ref="AE41" si="146">AE36*AE37</f>
        <v>0</v>
      </c>
      <c r="AF41" s="2562">
        <v>0</v>
      </c>
      <c r="AG41" s="2562">
        <v>0</v>
      </c>
      <c r="AH41" s="2562">
        <v>0</v>
      </c>
      <c r="AI41" s="3601">
        <f t="shared" ref="AI41:AJ41" si="147">AI36*AI37</f>
        <v>0</v>
      </c>
      <c r="AJ41" s="3601">
        <f t="shared" si="147"/>
        <v>0</v>
      </c>
      <c r="AK41" s="3601">
        <v>0</v>
      </c>
      <c r="AL41" s="3601">
        <v>0</v>
      </c>
      <c r="AM41" s="3601">
        <v>0</v>
      </c>
      <c r="AN41" s="3945">
        <f t="shared" ref="AN41:AO41" si="148">AN36*AN37</f>
        <v>0</v>
      </c>
      <c r="AO41" s="3945">
        <f t="shared" si="148"/>
        <v>0</v>
      </c>
      <c r="AP41" s="3945">
        <v>0</v>
      </c>
      <c r="AQ41" s="3945">
        <v>0</v>
      </c>
      <c r="AR41" s="3945">
        <v>0</v>
      </c>
      <c r="AS41" s="3074">
        <f t="shared" ref="AS41:AT41" si="149">AS36*AS37</f>
        <v>0</v>
      </c>
      <c r="AT41" s="3074">
        <f t="shared" si="149"/>
        <v>0</v>
      </c>
      <c r="AU41" s="4718">
        <v>0</v>
      </c>
      <c r="AV41" s="4718">
        <v>0</v>
      </c>
    </row>
    <row r="42" spans="1:48" x14ac:dyDescent="0.2">
      <c r="A42" s="3052" t="s">
        <v>1830</v>
      </c>
      <c r="B42" s="3035" t="s">
        <v>1834</v>
      </c>
      <c r="C42" s="2562">
        <v>4.3460000000000001</v>
      </c>
      <c r="D42" s="2562">
        <v>5.62</v>
      </c>
      <c r="E42" s="2562">
        <v>5.62</v>
      </c>
      <c r="F42" s="2562">
        <v>4.633</v>
      </c>
      <c r="G42" s="2562">
        <v>4.3099999999999996</v>
      </c>
      <c r="H42" s="2562">
        <v>4.6825000000000001</v>
      </c>
      <c r="I42" s="2562">
        <f>I43/I38</f>
        <v>4.7099995463882784</v>
      </c>
      <c r="J42" s="2562">
        <f>I42</f>
        <v>4.7099995463882784</v>
      </c>
      <c r="K42" s="2562">
        <v>4.9429999999999996</v>
      </c>
      <c r="L42" s="2562">
        <v>4.6139999999999999</v>
      </c>
      <c r="M42" s="2562">
        <f>SUM(M43/M38)</f>
        <v>5.6919640100399933</v>
      </c>
      <c r="N42" s="2562">
        <v>5.3609999999999998</v>
      </c>
      <c r="O42" s="2562">
        <v>5.7359999999999998</v>
      </c>
      <c r="P42" s="2562">
        <v>6.1379999999999999</v>
      </c>
      <c r="Q42" s="2562">
        <v>6.5670000000000002</v>
      </c>
      <c r="R42" s="2562">
        <v>7.0270000000000001</v>
      </c>
      <c r="S42" s="2562"/>
      <c r="T42" s="2562">
        <f>T26</f>
        <v>5.2949999999999999</v>
      </c>
      <c r="U42" s="2562">
        <f>T42*1.042</f>
        <v>5.5173899999999998</v>
      </c>
      <c r="V42" s="2562">
        <f>U42*1.04</f>
        <v>5.7380855999999998</v>
      </c>
      <c r="W42" s="2562">
        <f>V42*1.04</f>
        <v>5.9676090239999997</v>
      </c>
      <c r="X42" s="2562">
        <f>W42*1.039</f>
        <v>6.2003457759359994</v>
      </c>
      <c r="Y42" s="2562">
        <f>X42*1.039</f>
        <v>6.4421592611975029</v>
      </c>
      <c r="Z42" s="2562">
        <f>SUM(U42)</f>
        <v>5.5173899999999998</v>
      </c>
      <c r="AA42" s="2562">
        <f>SUM(V42)</f>
        <v>5.7380855999999998</v>
      </c>
      <c r="AB42" s="2562">
        <f>SUM(W42)</f>
        <v>5.9676090239999997</v>
      </c>
      <c r="AC42" s="2562">
        <f>SUM(X42)</f>
        <v>6.2003457759359994</v>
      </c>
      <c r="AD42" s="2562">
        <f>SUM(Y42)</f>
        <v>6.4421592611975029</v>
      </c>
      <c r="AE42" s="2562">
        <f>5.69*1.054*1.048</f>
        <v>6.2851284800000009</v>
      </c>
      <c r="AF42" s="2562">
        <f>SUM(AF43/AF38)</f>
        <v>4.5956063052560694</v>
      </c>
      <c r="AG42" s="2562">
        <f t="shared" ref="AG42:AH42" si="150">SUM(AG43/AG38)</f>
        <v>4.6378904269412988</v>
      </c>
      <c r="AH42" s="2562">
        <f t="shared" si="150"/>
        <v>4.6980354285408117</v>
      </c>
      <c r="AI42" s="3601">
        <f>SUM(AE42*1.046)</f>
        <v>6.5742443900800014</v>
      </c>
      <c r="AJ42" s="2559">
        <f>SUM(AH42*1.032*1.04)</f>
        <v>5.0423074647442823</v>
      </c>
      <c r="AK42" s="3601">
        <f>SUM(AK43/AK38)</f>
        <v>4.5685145926828739</v>
      </c>
      <c r="AL42" s="3601">
        <f t="shared" ref="AL42:AM42" si="151">SUM(AL43/AL38)</f>
        <v>4.6564948528941628</v>
      </c>
      <c r="AM42" s="3601">
        <f t="shared" si="151"/>
        <v>4.7374415041488334</v>
      </c>
      <c r="AN42" s="3945">
        <f>SUM(AJ42*1.05)</f>
        <v>5.2944228379814966</v>
      </c>
      <c r="AO42" s="2559">
        <f>SUM(AM42*1.034*1.035)</f>
        <v>5.0699625233250396</v>
      </c>
      <c r="AP42" s="3945">
        <f t="shared" ref="AP42:AQ42" si="152">SUM(AP43/AP38)</f>
        <v>4.9152413647845252</v>
      </c>
      <c r="AQ42" s="3945">
        <f t="shared" si="152"/>
        <v>4.9350448898235664</v>
      </c>
      <c r="AR42" s="3945">
        <f t="shared" ref="AR42" si="153">SUM(AR43/AR38)</f>
        <v>4.9510523607636276</v>
      </c>
      <c r="AS42" s="3074">
        <f>SUM(5.12*1.05)</f>
        <v>5.3760000000000003</v>
      </c>
      <c r="AT42" s="3074">
        <f>SUM(4.9510714670857*1.045*1.08)</f>
        <v>5.5877792577529206</v>
      </c>
      <c r="AU42" s="4718">
        <f t="shared" ref="AU42:AV42" si="154">SUM(AU43/AU38)</f>
        <v>5.0464838376218815</v>
      </c>
      <c r="AV42" s="4718">
        <f t="shared" si="154"/>
        <v>5.2376135630814433</v>
      </c>
    </row>
    <row r="43" spans="1:48" ht="25.5" x14ac:dyDescent="0.2">
      <c r="A43" s="3052" t="s">
        <v>1840</v>
      </c>
      <c r="B43" s="3035" t="s">
        <v>899</v>
      </c>
      <c r="C43" s="2562">
        <v>5376.31</v>
      </c>
      <c r="D43" s="2562">
        <v>8522.8700000000008</v>
      </c>
      <c r="E43" s="2562">
        <v>6044.37</v>
      </c>
      <c r="F43" s="2562">
        <v>5440.71</v>
      </c>
      <c r="G43" s="2562">
        <v>4900.22</v>
      </c>
      <c r="H43" s="2562">
        <v>7225.88</v>
      </c>
      <c r="I43" s="2562">
        <v>7268.33</v>
      </c>
      <c r="J43" s="2562">
        <f>J42*J38</f>
        <v>5189.2352178339388</v>
      </c>
      <c r="K43" s="2562">
        <v>5805.24</v>
      </c>
      <c r="L43" s="2562">
        <v>5035.26</v>
      </c>
      <c r="M43" s="2562">
        <f>SUM(M45:M46)</f>
        <v>7834.96</v>
      </c>
      <c r="N43" s="2562">
        <v>7537.29</v>
      </c>
      <c r="O43" s="2562">
        <v>8064.9</v>
      </c>
      <c r="P43" s="2562">
        <v>8629.44</v>
      </c>
      <c r="Q43" s="2562">
        <v>9233.5</v>
      </c>
      <c r="R43" s="2562">
        <v>9879.85</v>
      </c>
      <c r="S43" s="2562"/>
      <c r="T43" s="2562">
        <f>T38*T42</f>
        <v>7714.901264777769</v>
      </c>
      <c r="U43" s="2562">
        <f t="shared" ref="U43" si="155">U38*U42</f>
        <v>8038.9271178984354</v>
      </c>
      <c r="V43" s="2562">
        <f t="shared" ref="V43" si="156">V38*V42</f>
        <v>8360.4842026143724</v>
      </c>
      <c r="W43" s="2562">
        <f t="shared" ref="W43" si="157">W38*W42</f>
        <v>8694.9035707189469</v>
      </c>
      <c r="X43" s="2562">
        <f t="shared" ref="X43" si="158">X38*X42</f>
        <v>9034.0048099769865</v>
      </c>
      <c r="Y43" s="2562">
        <f t="shared" ref="Y43:AD43" si="159">Y38*Y42</f>
        <v>9386.3309975660886</v>
      </c>
      <c r="Z43" s="2562">
        <f t="shared" si="159"/>
        <v>8038.9271178984354</v>
      </c>
      <c r="AA43" s="2562">
        <f t="shared" si="159"/>
        <v>8360.4842026143724</v>
      </c>
      <c r="AB43" s="2562">
        <f t="shared" si="159"/>
        <v>8694.9035707189469</v>
      </c>
      <c r="AC43" s="2562">
        <f t="shared" si="159"/>
        <v>9034.0048099769865</v>
      </c>
      <c r="AD43" s="2562">
        <f t="shared" si="159"/>
        <v>9386.3309975660886</v>
      </c>
      <c r="AE43" s="2562">
        <f t="shared" ref="AE43" si="160">AE38*AE42</f>
        <v>8689.34539141397</v>
      </c>
      <c r="AF43" s="2562">
        <f>SUM(AF45:AF46)</f>
        <v>3173.4270000000001</v>
      </c>
      <c r="AG43" s="2562">
        <f t="shared" ref="AG43:AH43" si="161">SUM(AG45:AG46)</f>
        <v>5104.1189999999997</v>
      </c>
      <c r="AH43" s="2562">
        <f t="shared" si="161"/>
        <v>7190.16</v>
      </c>
      <c r="AI43" s="3601">
        <f t="shared" ref="AI43" si="162">SUM(AI45:AI46)</f>
        <v>9089.0552794190116</v>
      </c>
      <c r="AJ43" s="3601">
        <f t="shared" ref="AJ43" si="163">SUM(AJ45:AJ46)</f>
        <v>7034.7116053485497</v>
      </c>
      <c r="AK43" s="3601">
        <f>SUM(AK45:AK46)</f>
        <v>3549.7312700000002</v>
      </c>
      <c r="AL43" s="3601">
        <f t="shared" ref="AL43:AO43" si="164">SUM(AL45:AL46)</f>
        <v>5097.884</v>
      </c>
      <c r="AM43" s="3601">
        <f t="shared" si="164"/>
        <v>6947.7280000000001</v>
      </c>
      <c r="AN43" s="3945">
        <f t="shared" si="164"/>
        <v>7540.3315019829779</v>
      </c>
      <c r="AO43" s="3945">
        <f t="shared" si="164"/>
        <v>7066.232783631428</v>
      </c>
      <c r="AP43" s="3945">
        <f t="shared" ref="AP43:AQ43" si="165">SUM(AP45:AP46)</f>
        <v>3197.1039999999998</v>
      </c>
      <c r="AQ43" s="3945">
        <f t="shared" si="165"/>
        <v>4674.5140000000001</v>
      </c>
      <c r="AR43" s="3945">
        <f t="shared" ref="AR43:AT43" si="166">SUM(AR45:AR46)</f>
        <v>6427.5749999999998</v>
      </c>
      <c r="AS43" s="3074">
        <f t="shared" si="166"/>
        <v>7492.7708577792009</v>
      </c>
      <c r="AT43" s="3074">
        <f t="shared" si="166"/>
        <v>7904.273652184781</v>
      </c>
      <c r="AU43" s="4718">
        <f t="shared" ref="AU43:AV43" si="167">SUM(AU45:AU46)</f>
        <v>3612.5759200000002</v>
      </c>
      <c r="AV43" s="4718">
        <f t="shared" si="167"/>
        <v>7244.6461300000001</v>
      </c>
    </row>
    <row r="44" spans="1:48" x14ac:dyDescent="0.2">
      <c r="A44" s="3052" t="s">
        <v>50</v>
      </c>
      <c r="B44" s="3035"/>
      <c r="C44" s="2562"/>
      <c r="D44" s="2562"/>
      <c r="E44" s="2562"/>
      <c r="F44" s="2562"/>
      <c r="G44" s="2562"/>
      <c r="H44" s="2562"/>
      <c r="I44" s="2562"/>
      <c r="J44" s="2562"/>
      <c r="K44" s="2562"/>
      <c r="L44" s="2562"/>
      <c r="M44" s="2562"/>
      <c r="N44" s="2562"/>
      <c r="O44" s="2562"/>
      <c r="P44" s="2562"/>
      <c r="Q44" s="2562"/>
      <c r="R44" s="2562"/>
      <c r="S44" s="2562"/>
      <c r="T44" s="2562"/>
      <c r="U44" s="2562"/>
      <c r="V44" s="2562"/>
      <c r="W44" s="2562"/>
      <c r="X44" s="2562"/>
      <c r="Y44" s="2562"/>
      <c r="Z44" s="2562"/>
      <c r="AA44" s="2562"/>
      <c r="AB44" s="2562"/>
      <c r="AC44" s="2562"/>
      <c r="AD44" s="2562"/>
      <c r="AE44" s="2562"/>
      <c r="AF44" s="2562"/>
      <c r="AG44" s="2562"/>
      <c r="AH44" s="2562"/>
      <c r="AI44" s="3601"/>
      <c r="AJ44" s="3601"/>
      <c r="AK44" s="3601"/>
      <c r="AL44" s="3601"/>
      <c r="AM44" s="3601"/>
      <c r="AN44" s="3945"/>
      <c r="AO44" s="3945"/>
      <c r="AP44" s="3945"/>
      <c r="AQ44" s="3945"/>
      <c r="AR44" s="3945"/>
      <c r="AS44" s="3074"/>
      <c r="AT44" s="3074"/>
      <c r="AU44" s="4571"/>
      <c r="AV44" s="4571"/>
    </row>
    <row r="45" spans="1:48" x14ac:dyDescent="0.2">
      <c r="A45" s="3056" t="s">
        <v>1826</v>
      </c>
      <c r="B45" s="3035" t="s">
        <v>899</v>
      </c>
      <c r="C45" s="2562"/>
      <c r="D45" s="2562"/>
      <c r="E45" s="2562"/>
      <c r="F45" s="2562"/>
      <c r="G45" s="2562"/>
      <c r="H45" s="2562"/>
      <c r="I45" s="2562"/>
      <c r="J45" s="2562">
        <f>J43</f>
        <v>5189.2352178339388</v>
      </c>
      <c r="K45" s="2562"/>
      <c r="L45" s="2562"/>
      <c r="M45" s="2562">
        <v>7834.96</v>
      </c>
      <c r="N45" s="2562"/>
      <c r="O45" s="2562"/>
      <c r="P45" s="2562"/>
      <c r="Q45" s="2562"/>
      <c r="R45" s="2562"/>
      <c r="S45" s="2562"/>
      <c r="T45" s="2562">
        <f>T40*T42</f>
        <v>7714.901264777769</v>
      </c>
      <c r="U45" s="2562">
        <f t="shared" ref="U45:Y45" si="168">U40*U42</f>
        <v>8038.9271178984354</v>
      </c>
      <c r="V45" s="2562">
        <f t="shared" si="168"/>
        <v>8360.4842026143724</v>
      </c>
      <c r="W45" s="2562">
        <f t="shared" si="168"/>
        <v>8694.9035707189469</v>
      </c>
      <c r="X45" s="2562">
        <f t="shared" si="168"/>
        <v>9034.0048099769865</v>
      </c>
      <c r="Y45" s="2562">
        <f t="shared" si="168"/>
        <v>9386.3309975660886</v>
      </c>
      <c r="Z45" s="2562">
        <f t="shared" ref="Z45:AD45" si="169">Z40*Z42</f>
        <v>8038.9271178984354</v>
      </c>
      <c r="AA45" s="2562">
        <f t="shared" si="169"/>
        <v>8360.4842026143724</v>
      </c>
      <c r="AB45" s="2562">
        <f t="shared" si="169"/>
        <v>8694.9035707189469</v>
      </c>
      <c r="AC45" s="2562">
        <f t="shared" si="169"/>
        <v>9034.0048099769865</v>
      </c>
      <c r="AD45" s="2562">
        <f t="shared" si="169"/>
        <v>9386.3309975660886</v>
      </c>
      <c r="AE45" s="2562">
        <f t="shared" ref="AE45" si="170">AE40*AE42</f>
        <v>8689.34539141397</v>
      </c>
      <c r="AF45" s="2562">
        <v>3173.4270000000001</v>
      </c>
      <c r="AG45" s="2562">
        <v>5104.1189999999997</v>
      </c>
      <c r="AH45" s="2562">
        <v>7190.16</v>
      </c>
      <c r="AI45" s="3601">
        <f t="shared" ref="AI45:AJ45" si="171">AI40*AI42</f>
        <v>9089.0552794190116</v>
      </c>
      <c r="AJ45" s="3601">
        <f t="shared" si="171"/>
        <v>7034.7116053485497</v>
      </c>
      <c r="AK45" s="3601">
        <f>3814.81766-AK27</f>
        <v>3549.7312700000002</v>
      </c>
      <c r="AL45" s="3601">
        <f>5506.494-AL27</f>
        <v>5097.884</v>
      </c>
      <c r="AM45" s="3601">
        <v>6947.7280000000001</v>
      </c>
      <c r="AN45" s="3945">
        <f t="shared" ref="AN45:AO45" si="172">AN40*AN42</f>
        <v>7540.3315019829779</v>
      </c>
      <c r="AO45" s="3945">
        <f t="shared" si="172"/>
        <v>7066.232783631428</v>
      </c>
      <c r="AP45" s="3945">
        <v>3197.1039999999998</v>
      </c>
      <c r="AQ45" s="3945">
        <v>4674.5140000000001</v>
      </c>
      <c r="AR45" s="3945">
        <v>6427.5749999999998</v>
      </c>
      <c r="AS45" s="3074">
        <f t="shared" ref="AS45:AT45" si="173">AS40*AS42</f>
        <v>7492.7708577792009</v>
      </c>
      <c r="AT45" s="3074">
        <f t="shared" si="173"/>
        <v>7904.273652184781</v>
      </c>
      <c r="AU45" s="4718">
        <v>3612.5759200000002</v>
      </c>
      <c r="AV45" s="4718">
        <v>7244.6461300000001</v>
      </c>
    </row>
    <row r="46" spans="1:48" x14ac:dyDescent="0.2">
      <c r="A46" s="3056" t="s">
        <v>1827</v>
      </c>
      <c r="B46" s="3035" t="s">
        <v>899</v>
      </c>
      <c r="C46" s="2562"/>
      <c r="D46" s="2562"/>
      <c r="E46" s="2562"/>
      <c r="F46" s="2562"/>
      <c r="G46" s="2562"/>
      <c r="H46" s="2562"/>
      <c r="I46" s="2562"/>
      <c r="J46" s="2562"/>
      <c r="K46" s="2562"/>
      <c r="L46" s="2562"/>
      <c r="M46" s="2562">
        <v>0</v>
      </c>
      <c r="N46" s="2562"/>
      <c r="O46" s="2562"/>
      <c r="P46" s="2562"/>
      <c r="Q46" s="2562"/>
      <c r="R46" s="2562"/>
      <c r="S46" s="2562"/>
      <c r="T46" s="2562">
        <f>T41*T42</f>
        <v>0</v>
      </c>
      <c r="U46" s="2562">
        <f t="shared" ref="U46:Y46" si="174">U41*U42</f>
        <v>0</v>
      </c>
      <c r="V46" s="2562">
        <f t="shared" si="174"/>
        <v>0</v>
      </c>
      <c r="W46" s="2562">
        <f t="shared" si="174"/>
        <v>0</v>
      </c>
      <c r="X46" s="2562">
        <f t="shared" si="174"/>
        <v>0</v>
      </c>
      <c r="Y46" s="2562">
        <f t="shared" si="174"/>
        <v>0</v>
      </c>
      <c r="Z46" s="2562">
        <f t="shared" ref="Z46:AD46" si="175">Z41*Z42</f>
        <v>0</v>
      </c>
      <c r="AA46" s="2562">
        <f t="shared" si="175"/>
        <v>0</v>
      </c>
      <c r="AB46" s="2562">
        <f t="shared" si="175"/>
        <v>0</v>
      </c>
      <c r="AC46" s="2562">
        <f t="shared" si="175"/>
        <v>0</v>
      </c>
      <c r="AD46" s="2562">
        <f t="shared" si="175"/>
        <v>0</v>
      </c>
      <c r="AE46" s="2562">
        <f t="shared" ref="AE46" si="176">AE41*AE42</f>
        <v>0</v>
      </c>
      <c r="AF46" s="2562">
        <v>0</v>
      </c>
      <c r="AG46" s="2562">
        <v>0</v>
      </c>
      <c r="AH46" s="2562">
        <v>0</v>
      </c>
      <c r="AI46" s="3601">
        <f t="shared" ref="AI46:AJ46" si="177">AI41*AI42</f>
        <v>0</v>
      </c>
      <c r="AJ46" s="3601">
        <f t="shared" si="177"/>
        <v>0</v>
      </c>
      <c r="AK46" s="3601">
        <v>0</v>
      </c>
      <c r="AL46" s="3601">
        <v>0</v>
      </c>
      <c r="AM46" s="3601">
        <v>0</v>
      </c>
      <c r="AN46" s="3945">
        <f t="shared" ref="AN46:AO46" si="178">AN41*AN42</f>
        <v>0</v>
      </c>
      <c r="AO46" s="3945">
        <f t="shared" si="178"/>
        <v>0</v>
      </c>
      <c r="AP46" s="3945">
        <v>0</v>
      </c>
      <c r="AQ46" s="3945">
        <v>0</v>
      </c>
      <c r="AR46" s="3945">
        <v>0</v>
      </c>
      <c r="AS46" s="3074">
        <f t="shared" ref="AS46:AT46" si="179">AS41*AS42</f>
        <v>0</v>
      </c>
      <c r="AT46" s="3074">
        <f t="shared" si="179"/>
        <v>0</v>
      </c>
      <c r="AU46" s="4718">
        <v>0</v>
      </c>
      <c r="AV46" s="4718">
        <v>0</v>
      </c>
    </row>
    <row r="47" spans="1:48" ht="25.5" x14ac:dyDescent="0.2">
      <c r="A47" s="3054" t="s">
        <v>3513</v>
      </c>
      <c r="B47" s="2600" t="s">
        <v>899</v>
      </c>
      <c r="C47" s="2563">
        <f t="shared" ref="C47:S47" si="180">C18+C43</f>
        <v>9240.94</v>
      </c>
      <c r="D47" s="2563">
        <f t="shared" si="180"/>
        <v>10452.76</v>
      </c>
      <c r="E47" s="2563">
        <f t="shared" si="180"/>
        <v>7751.17</v>
      </c>
      <c r="F47" s="2563">
        <f t="shared" si="180"/>
        <v>9476.69</v>
      </c>
      <c r="G47" s="2563">
        <f t="shared" si="180"/>
        <v>8799.36</v>
      </c>
      <c r="H47" s="2563">
        <f t="shared" si="180"/>
        <v>11354.08</v>
      </c>
      <c r="I47" s="2563">
        <f t="shared" si="180"/>
        <v>11421.79</v>
      </c>
      <c r="J47" s="2563">
        <f t="shared" si="180"/>
        <v>8669.4112580471829</v>
      </c>
      <c r="K47" s="2563">
        <f t="shared" si="180"/>
        <v>10111.628000000001</v>
      </c>
      <c r="L47" s="2563">
        <f t="shared" si="180"/>
        <v>9024.2900000000009</v>
      </c>
      <c r="M47" s="2563">
        <f>M28+M43</f>
        <v>11014.26</v>
      </c>
      <c r="N47" s="2563">
        <f t="shared" si="180"/>
        <v>11658.55</v>
      </c>
      <c r="O47" s="2563">
        <f t="shared" si="180"/>
        <v>12474.65</v>
      </c>
      <c r="P47" s="2563">
        <f t="shared" si="180"/>
        <v>13347.880000000001</v>
      </c>
      <c r="Q47" s="2563">
        <f t="shared" si="180"/>
        <v>14282.23</v>
      </c>
      <c r="R47" s="2563">
        <f t="shared" si="180"/>
        <v>15281.990000000002</v>
      </c>
      <c r="S47" s="2563">
        <f t="shared" si="180"/>
        <v>0</v>
      </c>
      <c r="T47" s="2563">
        <f>T28+T43</f>
        <v>13328.49992347329</v>
      </c>
      <c r="U47" s="2563">
        <f t="shared" ref="U47:AH47" si="181">U28+U43</f>
        <v>13888.296920259168</v>
      </c>
      <c r="V47" s="2563">
        <f t="shared" si="181"/>
        <v>14443.828797069535</v>
      </c>
      <c r="W47" s="2563">
        <f t="shared" si="181"/>
        <v>15021.581948952315</v>
      </c>
      <c r="X47" s="2563">
        <f t="shared" si="181"/>
        <v>15607.423644961456</v>
      </c>
      <c r="Y47" s="2563">
        <f t="shared" si="181"/>
        <v>16216.113167114952</v>
      </c>
      <c r="Z47" s="2563">
        <f t="shared" si="181"/>
        <v>13888.296920259168</v>
      </c>
      <c r="AA47" s="2563">
        <f t="shared" si="181"/>
        <v>14443.828797069535</v>
      </c>
      <c r="AB47" s="2563">
        <f t="shared" si="181"/>
        <v>15021.581948952315</v>
      </c>
      <c r="AC47" s="2563">
        <f t="shared" si="181"/>
        <v>15607.423644961456</v>
      </c>
      <c r="AD47" s="2563">
        <f t="shared" si="181"/>
        <v>16216.113167114952</v>
      </c>
      <c r="AE47" s="2563">
        <f t="shared" ref="AE47" si="182">AE28+AE43</f>
        <v>13223.73555900656</v>
      </c>
      <c r="AF47" s="2563">
        <f>AF28+AF43</f>
        <v>5582.2793000000001</v>
      </c>
      <c r="AG47" s="2563">
        <f t="shared" si="181"/>
        <v>9213.8869999999988</v>
      </c>
      <c r="AH47" s="2563">
        <f t="shared" si="181"/>
        <v>13182.15</v>
      </c>
      <c r="AI47" s="3602">
        <f t="shared" ref="AI47" si="183">AI28+AI43</f>
        <v>13832.027394720863</v>
      </c>
      <c r="AJ47" s="3602">
        <f t="shared" ref="AJ47" si="184">AJ28+AJ43</f>
        <v>12438.476318581916</v>
      </c>
      <c r="AK47" s="3602">
        <f>AK28+AK43</f>
        <v>6936.8714</v>
      </c>
      <c r="AL47" s="3602">
        <f t="shared" ref="AL47:AO47" si="185">AL28+AL43</f>
        <v>9646.8649999999998</v>
      </c>
      <c r="AM47" s="3602">
        <f t="shared" si="185"/>
        <v>13002.01597</v>
      </c>
      <c r="AN47" s="3944">
        <f t="shared" si="185"/>
        <v>14044.925565310139</v>
      </c>
      <c r="AO47" s="3944">
        <f t="shared" si="185"/>
        <v>12509.664467937981</v>
      </c>
      <c r="AP47" s="3944">
        <f t="shared" ref="AP47:AQ47" si="186">AP28+AP43</f>
        <v>5975.3210299999992</v>
      </c>
      <c r="AQ47" s="3944">
        <f t="shared" si="186"/>
        <v>8667.0825000000004</v>
      </c>
      <c r="AR47" s="3944">
        <f t="shared" ref="AR47:AT47" si="187">AR28+AR43</f>
        <v>12048.530999999999</v>
      </c>
      <c r="AS47" s="3075">
        <f t="shared" si="187"/>
        <v>13666.248103109345</v>
      </c>
      <c r="AT47" s="3075">
        <f t="shared" si="187"/>
        <v>13609.047909442845</v>
      </c>
      <c r="AU47" s="4735">
        <f t="shared" ref="AU47:AV47" si="188">AU28+AU43</f>
        <v>6067.3781257999999</v>
      </c>
      <c r="AV47" s="4735">
        <f t="shared" si="188"/>
        <v>11991.261663680001</v>
      </c>
    </row>
    <row r="48" spans="1:48" x14ac:dyDescent="0.2">
      <c r="A48" s="3052" t="s">
        <v>50</v>
      </c>
      <c r="B48" s="3035"/>
      <c r="C48" s="2562"/>
      <c r="D48" s="2562"/>
      <c r="E48" s="2562"/>
      <c r="F48" s="2562"/>
      <c r="G48" s="2562"/>
      <c r="H48" s="2562"/>
      <c r="I48" s="2562"/>
      <c r="J48" s="2562"/>
      <c r="K48" s="2562"/>
      <c r="L48" s="2562"/>
      <c r="M48" s="2562"/>
      <c r="N48" s="2562"/>
      <c r="O48" s="2562"/>
      <c r="P48" s="2562"/>
      <c r="Q48" s="2562"/>
      <c r="R48" s="2562"/>
      <c r="S48" s="2562"/>
      <c r="T48" s="2562"/>
      <c r="U48" s="2562"/>
      <c r="V48" s="2562"/>
      <c r="W48" s="2562"/>
      <c r="X48" s="2562"/>
      <c r="Y48" s="2562"/>
      <c r="Z48" s="2562"/>
      <c r="AA48" s="2562"/>
      <c r="AB48" s="2562"/>
      <c r="AC48" s="2562"/>
      <c r="AD48" s="2562"/>
      <c r="AE48" s="2562"/>
      <c r="AF48" s="2562"/>
      <c r="AG48" s="2562"/>
      <c r="AH48" s="2562"/>
      <c r="AI48" s="3601"/>
      <c r="AJ48" s="3601"/>
      <c r="AK48" s="3601"/>
      <c r="AL48" s="3601"/>
      <c r="AM48" s="3601"/>
      <c r="AN48" s="3945"/>
      <c r="AO48" s="3945"/>
      <c r="AP48" s="3945"/>
      <c r="AQ48" s="3945"/>
      <c r="AR48" s="3945"/>
      <c r="AS48" s="3074"/>
      <c r="AT48" s="3074"/>
      <c r="AU48" s="4571"/>
      <c r="AV48" s="4718"/>
    </row>
    <row r="49" spans="1:48" x14ac:dyDescent="0.2">
      <c r="A49" s="3056" t="s">
        <v>1826</v>
      </c>
      <c r="B49" s="3035" t="s">
        <v>899</v>
      </c>
      <c r="C49" s="2562"/>
      <c r="D49" s="2562"/>
      <c r="E49" s="2562"/>
      <c r="F49" s="2562"/>
      <c r="G49" s="2562"/>
      <c r="H49" s="2562"/>
      <c r="I49" s="2562"/>
      <c r="J49" s="2562">
        <f>J20+J45</f>
        <v>8668.4926037400128</v>
      </c>
      <c r="K49" s="2562"/>
      <c r="L49" s="2562"/>
      <c r="M49" s="2562">
        <f>M30+M45</f>
        <v>11013.130000000001</v>
      </c>
      <c r="N49" s="2562">
        <f t="shared" ref="N49:S49" si="189">N30+N45</f>
        <v>0</v>
      </c>
      <c r="O49" s="2562">
        <f t="shared" si="189"/>
        <v>0</v>
      </c>
      <c r="P49" s="2562">
        <f t="shared" si="189"/>
        <v>0</v>
      </c>
      <c r="Q49" s="2562">
        <f t="shared" si="189"/>
        <v>0</v>
      </c>
      <c r="R49" s="2562">
        <f t="shared" si="189"/>
        <v>0</v>
      </c>
      <c r="S49" s="2562">
        <f t="shared" si="189"/>
        <v>0</v>
      </c>
      <c r="T49" s="2562">
        <f>T30+T45</f>
        <v>13327.281543973289</v>
      </c>
      <c r="U49" s="2562">
        <f t="shared" ref="U49:Y49" si="190">U30+U45</f>
        <v>13887.027368820167</v>
      </c>
      <c r="V49" s="2562">
        <f t="shared" si="190"/>
        <v>14442.508463572973</v>
      </c>
      <c r="W49" s="2562">
        <f t="shared" si="190"/>
        <v>15020.208802115892</v>
      </c>
      <c r="X49" s="2562">
        <f t="shared" si="190"/>
        <v>15605.996945398412</v>
      </c>
      <c r="Y49" s="2562">
        <f t="shared" si="190"/>
        <v>16214.630826268951</v>
      </c>
      <c r="Z49" s="2562">
        <f t="shared" ref="Z49:AH49" si="191">Z30+Z45</f>
        <v>13887.027368820167</v>
      </c>
      <c r="AA49" s="2562">
        <f t="shared" si="191"/>
        <v>14442.508463572973</v>
      </c>
      <c r="AB49" s="2562">
        <f t="shared" si="191"/>
        <v>15020.208802115892</v>
      </c>
      <c r="AC49" s="2562">
        <f t="shared" si="191"/>
        <v>15605.996945398412</v>
      </c>
      <c r="AD49" s="2562">
        <f t="shared" si="191"/>
        <v>16214.630826268951</v>
      </c>
      <c r="AE49" s="2562">
        <f t="shared" ref="AE49" si="192">AE30+AE45</f>
        <v>13222.84343417317</v>
      </c>
      <c r="AF49" s="2562">
        <f t="shared" si="191"/>
        <v>5581.8693000000003</v>
      </c>
      <c r="AG49" s="2562">
        <f t="shared" si="191"/>
        <v>9213.280999999999</v>
      </c>
      <c r="AH49" s="2562">
        <f t="shared" si="191"/>
        <v>13181.32</v>
      </c>
      <c r="AI49" s="3601">
        <f t="shared" ref="AI49:AM49" si="193">AI30+AI45</f>
        <v>13831.094232145133</v>
      </c>
      <c r="AJ49" s="3601">
        <f t="shared" ref="AJ49" si="194">AJ30+AJ45</f>
        <v>12437.000652021121</v>
      </c>
      <c r="AK49" s="3601">
        <f t="shared" si="193"/>
        <v>6936.4797799999997</v>
      </c>
      <c r="AL49" s="3601">
        <f t="shared" si="193"/>
        <v>9646.3250000000007</v>
      </c>
      <c r="AM49" s="3601">
        <f t="shared" si="193"/>
        <v>13001.317999999999</v>
      </c>
      <c r="AN49" s="3945">
        <f t="shared" ref="AN49:AP50" si="195">AN30+AN45</f>
        <v>14043.185413896525</v>
      </c>
      <c r="AO49" s="3945">
        <f t="shared" si="195"/>
        <v>12508.175942205315</v>
      </c>
      <c r="AP49" s="3945">
        <f t="shared" si="195"/>
        <v>5974.9952199999998</v>
      </c>
      <c r="AQ49" s="3945">
        <f t="shared" ref="AQ49:AV50" si="196">AQ30+AQ45</f>
        <v>8666.6095000000005</v>
      </c>
      <c r="AR49" s="3945">
        <f t="shared" si="196"/>
        <v>12047.907999999999</v>
      </c>
      <c r="AS49" s="3074">
        <f t="shared" si="196"/>
        <v>13664.677275520196</v>
      </c>
      <c r="AT49" s="3074">
        <f t="shared" si="196"/>
        <v>13607.778752101192</v>
      </c>
      <c r="AU49" s="4718">
        <f t="shared" ref="AU49:AV49" si="197">AU30+AU45</f>
        <v>6066.7478152799995</v>
      </c>
      <c r="AV49" s="4718">
        <f t="shared" si="197"/>
        <v>11990.610455640001</v>
      </c>
    </row>
    <row r="50" spans="1:48" x14ac:dyDescent="0.2">
      <c r="A50" s="3056" t="s">
        <v>1827</v>
      </c>
      <c r="B50" s="3035" t="s">
        <v>899</v>
      </c>
      <c r="C50" s="2562"/>
      <c r="D50" s="2562"/>
      <c r="E50" s="2562"/>
      <c r="F50" s="2562"/>
      <c r="G50" s="2562"/>
      <c r="H50" s="2562"/>
      <c r="I50" s="2562"/>
      <c r="J50" s="2562">
        <f>J21</f>
        <v>1.034007169528822</v>
      </c>
      <c r="K50" s="2562"/>
      <c r="L50" s="2562"/>
      <c r="M50" s="2562">
        <f>M31+M46</f>
        <v>1.1299999999999999</v>
      </c>
      <c r="N50" s="2562">
        <f t="shared" ref="N50:S50" si="198">N31+N46</f>
        <v>0</v>
      </c>
      <c r="O50" s="2562">
        <f t="shared" si="198"/>
        <v>0</v>
      </c>
      <c r="P50" s="2562">
        <f t="shared" si="198"/>
        <v>0</v>
      </c>
      <c r="Q50" s="2562">
        <f t="shared" si="198"/>
        <v>0</v>
      </c>
      <c r="R50" s="2562">
        <f t="shared" si="198"/>
        <v>0</v>
      </c>
      <c r="S50" s="2562">
        <f t="shared" si="198"/>
        <v>0</v>
      </c>
      <c r="T50" s="2562">
        <f>T31+T46</f>
        <v>1.2183794999999999</v>
      </c>
      <c r="U50" s="2562">
        <f t="shared" ref="U50:Y50" si="199">U31+U46</f>
        <v>1.269551439</v>
      </c>
      <c r="V50" s="2562">
        <f t="shared" si="199"/>
        <v>1.32033349656</v>
      </c>
      <c r="W50" s="2562">
        <f t="shared" si="199"/>
        <v>1.3731468364224</v>
      </c>
      <c r="X50" s="2562">
        <f t="shared" si="199"/>
        <v>1.4266995630428734</v>
      </c>
      <c r="Y50" s="2562">
        <f t="shared" si="199"/>
        <v>1.4823408460015455</v>
      </c>
      <c r="Z50" s="2562">
        <f t="shared" ref="Z50:AH50" si="200">Z31+Z46</f>
        <v>1.269551439</v>
      </c>
      <c r="AA50" s="2562">
        <f t="shared" si="200"/>
        <v>1.32033349656</v>
      </c>
      <c r="AB50" s="2562">
        <f t="shared" si="200"/>
        <v>1.3731468364224</v>
      </c>
      <c r="AC50" s="2562">
        <f t="shared" si="200"/>
        <v>1.4266995630428734</v>
      </c>
      <c r="AD50" s="2562">
        <f t="shared" si="200"/>
        <v>1.4823408460015455</v>
      </c>
      <c r="AE50" s="2562">
        <f t="shared" ref="AE50" si="201">AE31+AE46</f>
        <v>0.89212483339199999</v>
      </c>
      <c r="AF50" s="2562">
        <f t="shared" si="200"/>
        <v>0.41</v>
      </c>
      <c r="AG50" s="2562">
        <f t="shared" si="200"/>
        <v>0.60599999999999998</v>
      </c>
      <c r="AH50" s="2562">
        <f t="shared" si="200"/>
        <v>0.83</v>
      </c>
      <c r="AI50" s="3601">
        <f t="shared" ref="AI50:AM50" si="202">AI31+AI46</f>
        <v>0.93316257572803196</v>
      </c>
      <c r="AJ50" s="3601">
        <f t="shared" ref="AJ50" si="203">AJ31+AJ46</f>
        <v>1.4756665607949733</v>
      </c>
      <c r="AK50" s="3601">
        <f t="shared" si="202"/>
        <v>0.39162000000000002</v>
      </c>
      <c r="AL50" s="3601">
        <f t="shared" si="202"/>
        <v>0.54</v>
      </c>
      <c r="AM50" s="3601">
        <f t="shared" si="202"/>
        <v>0.69796999999999998</v>
      </c>
      <c r="AN50" s="3945">
        <f t="shared" ref="AN50" si="204">AN31+AN46</f>
        <v>1.7401514136143799</v>
      </c>
      <c r="AO50" s="3945">
        <f t="shared" si="195"/>
        <v>1.4885257326660863</v>
      </c>
      <c r="AP50" s="3945">
        <f t="shared" si="195"/>
        <v>0.32580999999999999</v>
      </c>
      <c r="AQ50" s="3945">
        <f t="shared" ref="AQ50:AR50" si="205">AQ31+AQ46</f>
        <v>0.47299999999999998</v>
      </c>
      <c r="AR50" s="3945">
        <f t="shared" si="205"/>
        <v>0.623</v>
      </c>
      <c r="AS50" s="3074">
        <f t="shared" si="196"/>
        <v>1.570827589149</v>
      </c>
      <c r="AT50" s="3074">
        <f t="shared" si="196"/>
        <v>1.2691573416522</v>
      </c>
      <c r="AU50" s="4718">
        <f t="shared" si="196"/>
        <v>0.63031051999999999</v>
      </c>
      <c r="AV50" s="4718">
        <f t="shared" si="196"/>
        <v>0.6512080400000001</v>
      </c>
    </row>
    <row r="51" spans="1:48" ht="25.5" x14ac:dyDescent="0.2">
      <c r="A51" s="3052" t="s">
        <v>3629</v>
      </c>
      <c r="B51" s="3035" t="s">
        <v>1833</v>
      </c>
      <c r="C51" s="2574">
        <f t="shared" ref="C51:M51" si="206">SUM(C13+C25+C38)</f>
        <v>1940.8</v>
      </c>
      <c r="D51" s="2574">
        <f t="shared" si="206"/>
        <v>2305.8000000000002</v>
      </c>
      <c r="E51" s="2574">
        <f t="shared" si="206"/>
        <v>1773.6</v>
      </c>
      <c r="F51" s="2574">
        <f t="shared" si="206"/>
        <v>1863.8</v>
      </c>
      <c r="G51" s="2574">
        <f t="shared" si="206"/>
        <v>1827.3</v>
      </c>
      <c r="H51" s="2574">
        <f t="shared" si="206"/>
        <v>2424.8000000000002</v>
      </c>
      <c r="I51" s="2574">
        <f t="shared" si="206"/>
        <v>2424.79</v>
      </c>
      <c r="J51" s="2574">
        <f t="shared" si="206"/>
        <v>1840.45624</v>
      </c>
      <c r="K51" s="2574">
        <f t="shared" si="206"/>
        <v>1863.8140000000001</v>
      </c>
      <c r="L51" s="2574">
        <f t="shared" si="206"/>
        <v>1751.9</v>
      </c>
      <c r="M51" s="2574">
        <f t="shared" si="206"/>
        <v>2273.3580000000002</v>
      </c>
      <c r="N51" s="2574">
        <f t="shared" ref="N51:S51" si="207">SUM(N13+N25+N38)</f>
        <v>2412.1999999999998</v>
      </c>
      <c r="O51" s="2574">
        <f t="shared" si="207"/>
        <v>2412.1999999999998</v>
      </c>
      <c r="P51" s="2574">
        <f t="shared" si="207"/>
        <v>2412.1999999999998</v>
      </c>
      <c r="Q51" s="2574">
        <f t="shared" si="207"/>
        <v>2412.1999999999998</v>
      </c>
      <c r="R51" s="2574">
        <f t="shared" si="207"/>
        <v>2412.1999999999998</v>
      </c>
      <c r="S51" s="2574">
        <f t="shared" si="207"/>
        <v>0</v>
      </c>
      <c r="T51" s="2574">
        <f t="shared" ref="T51:Y51" si="208">SUM(T13+T25+T38)</f>
        <v>2517.186010098827</v>
      </c>
      <c r="U51" s="2574">
        <f t="shared" si="208"/>
        <v>2517.186010098827</v>
      </c>
      <c r="V51" s="2574">
        <f t="shared" si="208"/>
        <v>2517.186010098827</v>
      </c>
      <c r="W51" s="2574">
        <f t="shared" si="208"/>
        <v>2517.186010098827</v>
      </c>
      <c r="X51" s="2574">
        <f t="shared" si="208"/>
        <v>2517.186010098827</v>
      </c>
      <c r="Y51" s="2574">
        <f t="shared" si="208"/>
        <v>2517.186010098827</v>
      </c>
      <c r="Z51" s="2574">
        <f t="shared" ref="Z51:AD51" si="209">SUM(Z13+Z25+Z38)</f>
        <v>2517.186010098827</v>
      </c>
      <c r="AA51" s="2574">
        <f t="shared" si="209"/>
        <v>2517.186010098827</v>
      </c>
      <c r="AB51" s="2574">
        <f t="shared" si="209"/>
        <v>2517.186010098827</v>
      </c>
      <c r="AC51" s="2574">
        <f t="shared" si="209"/>
        <v>2517.186010098827</v>
      </c>
      <c r="AD51" s="2574">
        <f t="shared" si="209"/>
        <v>2517.186010098827</v>
      </c>
      <c r="AE51" s="2574">
        <f t="shared" ref="AE51" si="210">SUM(AE13+AE25+AE38)</f>
        <v>2401.1469839999995</v>
      </c>
      <c r="AF51" s="2574">
        <f t="shared" ref="AF51:AM51" si="211">SUM(AF13+AF25+AF38)</f>
        <v>1103.6500000000001</v>
      </c>
      <c r="AG51" s="2574">
        <f t="shared" si="211"/>
        <v>1796.6849999999999</v>
      </c>
      <c r="AH51" s="2574">
        <f t="shared" si="211"/>
        <v>2532.5509999999999</v>
      </c>
      <c r="AI51" s="2574">
        <f t="shared" si="211"/>
        <v>2401.1469839999995</v>
      </c>
      <c r="AJ51" s="2574">
        <f t="shared" ref="AJ51" si="212">SUM(AJ13+AJ25+AJ38)</f>
        <v>2236.9955966666666</v>
      </c>
      <c r="AK51" s="2574">
        <f t="shared" si="211"/>
        <v>1356.05</v>
      </c>
      <c r="AL51" s="2574">
        <f t="shared" si="211"/>
        <v>1859.818</v>
      </c>
      <c r="AM51" s="2574">
        <f t="shared" si="211"/>
        <v>2467.616</v>
      </c>
      <c r="AN51" s="2574">
        <f t="shared" ref="AN51:AP51" si="213">SUM(AN13+AN25+AN38)</f>
        <v>2389.1194888</v>
      </c>
      <c r="AO51" s="2574">
        <f t="shared" si="213"/>
        <v>2234.8253132</v>
      </c>
      <c r="AP51" s="2574">
        <f t="shared" si="213"/>
        <v>1089.7260000000001</v>
      </c>
      <c r="AQ51" s="2574">
        <f t="shared" ref="AQ51:AT51" si="214">SUM(AQ13+AQ25+AQ38)</f>
        <v>1574.163</v>
      </c>
      <c r="AR51" s="2574">
        <f t="shared" si="214"/>
        <v>2176.1059999999998</v>
      </c>
      <c r="AS51" s="2384">
        <f t="shared" si="214"/>
        <v>2298.0235132000003</v>
      </c>
      <c r="AT51" s="2384">
        <f t="shared" si="214"/>
        <v>2204.0090801850374</v>
      </c>
      <c r="AU51" s="4736">
        <f t="shared" ref="AU51:AV51" si="215">SUM(AU13+AU25+AU38)</f>
        <v>1097.53</v>
      </c>
      <c r="AV51" s="4736">
        <f t="shared" si="215"/>
        <v>2097.5119999999997</v>
      </c>
    </row>
    <row r="52" spans="1:48" x14ac:dyDescent="0.2">
      <c r="A52" s="3052" t="s">
        <v>3630</v>
      </c>
      <c r="B52" s="3035" t="s">
        <v>1834</v>
      </c>
      <c r="C52" s="3051">
        <f t="shared" ref="C52" si="216">SUM(C47/C51)</f>
        <v>4.7614076669414676</v>
      </c>
      <c r="D52" s="3051">
        <f t="shared" ref="D52" si="217">SUM(D47/D51)</f>
        <v>4.5332465955416774</v>
      </c>
      <c r="E52" s="3051">
        <f t="shared" ref="E52" si="218">SUM(E47/E51)</f>
        <v>4.3703033378439331</v>
      </c>
      <c r="F52" s="3051">
        <f t="shared" ref="F52" si="219">SUM(F47/F51)</f>
        <v>5.0846067174589553</v>
      </c>
      <c r="G52" s="3051">
        <f t="shared" ref="G52" si="220">SUM(G47/G51)</f>
        <v>4.8154982761451324</v>
      </c>
      <c r="H52" s="3051">
        <f t="shared" ref="H52" si="221">SUM(H47/H51)</f>
        <v>4.6824810293632462</v>
      </c>
      <c r="I52" s="3051">
        <f t="shared" ref="I52" si="222">SUM(I47/I51)</f>
        <v>4.7104244078868689</v>
      </c>
      <c r="J52" s="3051">
        <f t="shared" ref="J52" si="223">SUM(J47/J51)</f>
        <v>4.7104685618861453</v>
      </c>
      <c r="K52" s="3051">
        <f t="shared" ref="K52" si="224">SUM(K47/K51)</f>
        <v>5.4252344922830282</v>
      </c>
      <c r="L52" s="3051">
        <f t="shared" ref="L52" si="225">SUM(L47/L51)</f>
        <v>5.1511444717164228</v>
      </c>
      <c r="M52" s="3051">
        <f t="shared" ref="M52" si="226">SUM(M47/M51)</f>
        <v>4.8449298350721701</v>
      </c>
      <c r="N52" s="3051">
        <f t="shared" ref="N52" si="227">SUM(N47/N51)</f>
        <v>4.8331606002819001</v>
      </c>
      <c r="O52" s="3051">
        <f t="shared" ref="O52" si="228">SUM(O47/O51)</f>
        <v>5.1714824641406185</v>
      </c>
      <c r="P52" s="3051">
        <f t="shared" ref="P52" si="229">SUM(P47/P51)</f>
        <v>5.5334881021474178</v>
      </c>
      <c r="Q52" s="3051">
        <f t="shared" ref="Q52" si="230">SUM(Q47/Q51)</f>
        <v>5.9208316060028192</v>
      </c>
      <c r="R52" s="3051">
        <f t="shared" ref="R52" si="231">SUM(R47/R51)</f>
        <v>6.335291435204379</v>
      </c>
      <c r="S52" s="3051" t="e">
        <f t="shared" ref="S52" si="232">SUM(S47/S51)</f>
        <v>#DIV/0!</v>
      </c>
      <c r="T52" s="3051">
        <f t="shared" ref="T52" si="233">SUM(T47/T51)</f>
        <v>5.2949999999999999</v>
      </c>
      <c r="U52" s="3051">
        <f t="shared" ref="U52" si="234">SUM(U47/U51)</f>
        <v>5.5173900000000007</v>
      </c>
      <c r="V52" s="3051">
        <f t="shared" ref="V52" si="235">SUM(V47/V51)</f>
        <v>5.7380856000000007</v>
      </c>
      <c r="W52" s="3051">
        <f t="shared" ref="W52" si="236">SUM(W47/W51)</f>
        <v>5.9676090239999997</v>
      </c>
      <c r="X52" s="3051">
        <f t="shared" ref="X52" si="237">SUM(X47/X51)</f>
        <v>6.2003457759360003</v>
      </c>
      <c r="Y52" s="3051">
        <f t="shared" ref="Y52" si="238">SUM(Y47/Y51)</f>
        <v>6.4421592611975038</v>
      </c>
      <c r="Z52" s="3051">
        <f t="shared" ref="Z52:AD52" si="239">SUM(Z47/Z51)</f>
        <v>5.5173900000000007</v>
      </c>
      <c r="AA52" s="3051">
        <f t="shared" si="239"/>
        <v>5.7380856000000007</v>
      </c>
      <c r="AB52" s="3051">
        <f t="shared" si="239"/>
        <v>5.9676090239999997</v>
      </c>
      <c r="AC52" s="3051">
        <f t="shared" si="239"/>
        <v>6.2003457759360003</v>
      </c>
      <c r="AD52" s="3051">
        <f t="shared" si="239"/>
        <v>6.4421592611975038</v>
      </c>
      <c r="AE52" s="3051">
        <f t="shared" ref="AE52" si="240">SUM(AE47/AE51)</f>
        <v>5.5072578426571503</v>
      </c>
      <c r="AF52" s="3051">
        <f t="shared" ref="AF52:AM52" si="241">SUM(AF47/AF51)</f>
        <v>5.0580159470846731</v>
      </c>
      <c r="AG52" s="3051">
        <f t="shared" si="241"/>
        <v>5.1282706762732468</v>
      </c>
      <c r="AH52" s="3051">
        <f t="shared" si="241"/>
        <v>5.2050876764179677</v>
      </c>
      <c r="AI52" s="3051">
        <f t="shared" si="241"/>
        <v>5.7605917034193794</v>
      </c>
      <c r="AJ52" s="3051">
        <f t="shared" ref="AJ52" si="242">SUM(AJ47/AJ51)</f>
        <v>5.5603490400769733</v>
      </c>
      <c r="AK52" s="3051">
        <f t="shared" si="241"/>
        <v>5.1154982485896543</v>
      </c>
      <c r="AL52" s="3051">
        <f t="shared" si="241"/>
        <v>5.1869941037241274</v>
      </c>
      <c r="AM52" s="3051">
        <f t="shared" si="241"/>
        <v>5.2690596794639042</v>
      </c>
      <c r="AN52" s="3051">
        <f t="shared" ref="AN52:AP52" si="243">SUM(AN47/AN51)</f>
        <v>5.8787036944579878</v>
      </c>
      <c r="AO52" s="3051">
        <f t="shared" si="243"/>
        <v>5.5976028166719001</v>
      </c>
      <c r="AP52" s="3051">
        <f t="shared" si="243"/>
        <v>5.4833242760106655</v>
      </c>
      <c r="AQ52" s="3051">
        <f t="shared" ref="AQ52:AT52" si="244">SUM(AQ47/AQ51)</f>
        <v>5.5058354820942945</v>
      </c>
      <c r="AR52" s="3051">
        <f t="shared" si="244"/>
        <v>5.5367390191470456</v>
      </c>
      <c r="AS52" s="3059">
        <f t="shared" si="244"/>
        <v>5.9469574721970879</v>
      </c>
      <c r="AT52" s="3059">
        <f t="shared" si="244"/>
        <v>6.1746786942911767</v>
      </c>
      <c r="AU52" s="4737">
        <f t="shared" ref="AU52:AV52" si="245">SUM(AU47/AU51)</f>
        <v>5.5282116441464018</v>
      </c>
      <c r="AV52" s="4737">
        <f t="shared" si="245"/>
        <v>5.716897764437106</v>
      </c>
    </row>
    <row r="55" spans="1:48" ht="20.25" x14ac:dyDescent="0.3">
      <c r="A55" s="3060" t="s">
        <v>4058</v>
      </c>
      <c r="B55" s="3061"/>
      <c r="C55" s="2435"/>
      <c r="D55" s="2435"/>
      <c r="E55" s="2435"/>
      <c r="F55" s="2435"/>
      <c r="G55" s="2435"/>
      <c r="H55" s="2435"/>
      <c r="I55" s="2435"/>
      <c r="J55" s="2435"/>
      <c r="K55" s="2435"/>
      <c r="L55" s="2435"/>
      <c r="M55" s="2435"/>
      <c r="N55" s="2435"/>
      <c r="O55" s="2435"/>
      <c r="P55" s="2435"/>
      <c r="Q55" s="2435"/>
      <c r="R55" s="2435"/>
      <c r="S55" s="2435"/>
      <c r="T55" s="2435"/>
      <c r="U55" s="2435"/>
      <c r="V55" s="2435"/>
    </row>
  </sheetData>
  <mergeCells count="32">
    <mergeCell ref="K4:M4"/>
    <mergeCell ref="AP3:AP5"/>
    <mergeCell ref="AQ3:AQ5"/>
    <mergeCell ref="AR3:AR5"/>
    <mergeCell ref="AN3:AO3"/>
    <mergeCell ref="AN4:AN5"/>
    <mergeCell ref="AO4:AO5"/>
    <mergeCell ref="AK3:AK5"/>
    <mergeCell ref="AL3:AL5"/>
    <mergeCell ref="Z3:AD3"/>
    <mergeCell ref="AF3:AF5"/>
    <mergeCell ref="AG3:AG5"/>
    <mergeCell ref="AH3:AH5"/>
    <mergeCell ref="AI3:AJ3"/>
    <mergeCell ref="AI4:AI5"/>
    <mergeCell ref="AJ4:AJ5"/>
    <mergeCell ref="AU3:AU5"/>
    <mergeCell ref="AV3:AV5"/>
    <mergeCell ref="A1:AV1"/>
    <mergeCell ref="AS3:AT3"/>
    <mergeCell ref="AS4:AS5"/>
    <mergeCell ref="AT4:AT5"/>
    <mergeCell ref="AM3:AM5"/>
    <mergeCell ref="Z5:AD5"/>
    <mergeCell ref="A3:A5"/>
    <mergeCell ref="B3:B5"/>
    <mergeCell ref="N3:Y3"/>
    <mergeCell ref="N5:S5"/>
    <mergeCell ref="T5:Y5"/>
    <mergeCell ref="C4:E4"/>
    <mergeCell ref="F4:J4"/>
    <mergeCell ref="C3:M3"/>
  </mergeCells>
  <printOptions horizontalCentered="1"/>
  <pageMargins left="0" right="0" top="0.55118110236220474" bottom="0" header="0.31496062992125984" footer="0.31496062992125984"/>
  <pageSetup paperSize="9" scale="57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Лист34">
    <tabColor rgb="FFCC00FF"/>
    <pageSetUpPr fitToPage="1"/>
  </sheetPr>
  <dimension ref="A2:AU50"/>
  <sheetViews>
    <sheetView workbookViewId="0">
      <pane xSplit="2" ySplit="6" topLeftCell="AI19" activePane="bottomRight" state="frozen"/>
      <selection pane="topRight" activeCell="C1" sqref="C1"/>
      <selection pane="bottomLeft" activeCell="A7" sqref="A7"/>
      <selection pane="bottomRight" activeCell="AT39" sqref="AT39:AU43"/>
    </sheetView>
  </sheetViews>
  <sheetFormatPr defaultRowHeight="12.75" x14ac:dyDescent="0.2"/>
  <cols>
    <col min="1" max="1" width="32" style="2091" customWidth="1"/>
    <col min="2" max="2" width="9.85546875" style="1869" customWidth="1"/>
    <col min="3" max="18" width="8.7109375" style="5" hidden="1" customWidth="1"/>
    <col min="19" max="29" width="8.7109375" style="5" customWidth="1"/>
    <col min="30" max="30" width="12.7109375" style="5" customWidth="1"/>
    <col min="31" max="32" width="9.7109375" style="5" hidden="1" customWidth="1"/>
    <col min="33" max="33" width="9.140625" style="5"/>
    <col min="34" max="35" width="12.7109375" style="5" customWidth="1"/>
    <col min="36" max="37" width="9.7109375" style="5" hidden="1" customWidth="1"/>
    <col min="38" max="38" width="9.7109375" style="5" customWidth="1"/>
    <col min="39" max="39" width="12.7109375" style="5" customWidth="1"/>
    <col min="40" max="40" width="12" style="5" customWidth="1"/>
    <col min="41" max="42" width="0" style="5" hidden="1" customWidth="1"/>
    <col min="43" max="43" width="9.140625" style="5"/>
    <col min="44" max="44" width="12.140625" style="5" customWidth="1"/>
    <col min="45" max="45" width="12.7109375" style="5" customWidth="1"/>
    <col min="46" max="16384" width="9.140625" style="5"/>
  </cols>
  <sheetData>
    <row r="2" spans="1:47" ht="15.75" x14ac:dyDescent="0.25">
      <c r="A2" s="5835" t="s">
        <v>4059</v>
      </c>
      <c r="B2" s="5835"/>
      <c r="C2" s="5835"/>
      <c r="D2" s="5835"/>
      <c r="E2" s="5835"/>
      <c r="F2" s="5835"/>
      <c r="G2" s="5835"/>
      <c r="H2" s="5835"/>
      <c r="I2" s="5835"/>
      <c r="J2" s="5835"/>
      <c r="K2" s="5835"/>
      <c r="L2" s="5835"/>
      <c r="M2" s="5835"/>
      <c r="N2" s="5835"/>
      <c r="O2" s="5835"/>
      <c r="P2" s="5835"/>
      <c r="Q2" s="5835"/>
      <c r="R2" s="5835"/>
      <c r="S2" s="5835"/>
      <c r="T2" s="5835"/>
      <c r="U2" s="5835"/>
      <c r="V2" s="5835"/>
      <c r="W2" s="5835"/>
      <c r="X2" s="5835"/>
      <c r="Y2" s="5835"/>
      <c r="Z2" s="5835"/>
      <c r="AA2" s="5835"/>
      <c r="AB2" s="5835"/>
      <c r="AC2" s="5835"/>
      <c r="AD2" s="5835"/>
      <c r="AE2" s="4910"/>
      <c r="AF2" s="4910"/>
      <c r="AG2" s="4910"/>
      <c r="AH2" s="4910"/>
      <c r="AI2" s="4910"/>
      <c r="AJ2" s="4910"/>
      <c r="AK2" s="4910"/>
      <c r="AL2" s="4910"/>
      <c r="AM2" s="4910"/>
      <c r="AN2" s="4910"/>
      <c r="AO2" s="4910"/>
      <c r="AP2" s="4910"/>
      <c r="AQ2" s="4910"/>
      <c r="AR2" s="4910"/>
      <c r="AS2" s="4910"/>
      <c r="AT2" s="4910"/>
      <c r="AU2" s="4910"/>
    </row>
    <row r="4" spans="1:47" ht="24" customHeight="1" x14ac:dyDescent="0.2">
      <c r="A4" s="5144" t="s">
        <v>525</v>
      </c>
      <c r="B4" s="5155" t="s">
        <v>323</v>
      </c>
      <c r="C4" s="5839" t="s">
        <v>1837</v>
      </c>
      <c r="D4" s="5839"/>
      <c r="E4" s="5839"/>
      <c r="F4" s="5839"/>
      <c r="G4" s="5839"/>
      <c r="H4" s="5839"/>
      <c r="I4" s="5839"/>
      <c r="J4" s="5839"/>
      <c r="K4" s="5839"/>
      <c r="L4" s="5839"/>
      <c r="M4" s="5840"/>
      <c r="N4" s="5155" t="s">
        <v>1797</v>
      </c>
      <c r="O4" s="5155"/>
      <c r="P4" s="5155"/>
      <c r="Q4" s="5155"/>
      <c r="R4" s="5155"/>
      <c r="S4" s="5155"/>
      <c r="T4" s="5155"/>
      <c r="U4" s="5155"/>
      <c r="V4" s="5155"/>
      <c r="W4" s="5155"/>
      <c r="X4" s="5155"/>
      <c r="Y4" s="5155" t="s">
        <v>3514</v>
      </c>
      <c r="Z4" s="5838"/>
      <c r="AA4" s="5838"/>
      <c r="AB4" s="5838"/>
      <c r="AC4" s="5838"/>
      <c r="AD4" s="2658" t="s">
        <v>1818</v>
      </c>
      <c r="AE4" s="5144" t="s">
        <v>3614</v>
      </c>
      <c r="AF4" s="5144" t="s">
        <v>3615</v>
      </c>
      <c r="AG4" s="5144" t="s">
        <v>3622</v>
      </c>
      <c r="AH4" s="5836" t="s">
        <v>3846</v>
      </c>
      <c r="AI4" s="5674"/>
      <c r="AJ4" s="5144" t="s">
        <v>3867</v>
      </c>
      <c r="AK4" s="5144" t="s">
        <v>3868</v>
      </c>
      <c r="AL4" s="5144" t="s">
        <v>3871</v>
      </c>
      <c r="AM4" s="5836" t="s">
        <v>3895</v>
      </c>
      <c r="AN4" s="5674"/>
      <c r="AO4" s="5144" t="s">
        <v>3933</v>
      </c>
      <c r="AP4" s="5144" t="s">
        <v>3934</v>
      </c>
      <c r="AQ4" s="5144" t="s">
        <v>3935</v>
      </c>
      <c r="AR4" s="5836" t="s">
        <v>4014</v>
      </c>
      <c r="AS4" s="5674"/>
      <c r="AT4" s="5144" t="s">
        <v>4260</v>
      </c>
      <c r="AU4" s="5144" t="s">
        <v>4261</v>
      </c>
    </row>
    <row r="5" spans="1:47" x14ac:dyDescent="0.2">
      <c r="A5" s="5144"/>
      <c r="B5" s="5155"/>
      <c r="C5" s="5154" t="s">
        <v>815</v>
      </c>
      <c r="D5" s="5154"/>
      <c r="E5" s="5154"/>
      <c r="F5" s="5154" t="s">
        <v>892</v>
      </c>
      <c r="G5" s="5154"/>
      <c r="H5" s="5154"/>
      <c r="I5" s="5154"/>
      <c r="J5" s="5154"/>
      <c r="K5" s="5154" t="s">
        <v>893</v>
      </c>
      <c r="L5" s="5154"/>
      <c r="M5" s="5663"/>
      <c r="N5" s="2537" t="s">
        <v>1799</v>
      </c>
      <c r="O5" s="2537" t="s">
        <v>1805</v>
      </c>
      <c r="P5" s="2537" t="s">
        <v>1806</v>
      </c>
      <c r="Q5" s="2537" t="s">
        <v>1807</v>
      </c>
      <c r="R5" s="2537" t="s">
        <v>1808</v>
      </c>
      <c r="S5" s="2537" t="s">
        <v>1799</v>
      </c>
      <c r="T5" s="2537" t="s">
        <v>1805</v>
      </c>
      <c r="U5" s="2537" t="s">
        <v>1806</v>
      </c>
      <c r="V5" s="2537" t="s">
        <v>1807</v>
      </c>
      <c r="W5" s="2537" t="s">
        <v>1808</v>
      </c>
      <c r="X5" s="2537" t="s">
        <v>1809</v>
      </c>
      <c r="Y5" s="2537" t="s">
        <v>1805</v>
      </c>
      <c r="Z5" s="2537" t="s">
        <v>1806</v>
      </c>
      <c r="AA5" s="2537" t="s">
        <v>1807</v>
      </c>
      <c r="AB5" s="2537" t="s">
        <v>1808</v>
      </c>
      <c r="AC5" s="2537" t="s">
        <v>1809</v>
      </c>
      <c r="AD5" s="2658" t="s">
        <v>1805</v>
      </c>
      <c r="AE5" s="5521"/>
      <c r="AF5" s="5521"/>
      <c r="AG5" s="5521"/>
      <c r="AH5" s="5837" t="s">
        <v>270</v>
      </c>
      <c r="AI5" s="5837" t="s">
        <v>3658</v>
      </c>
      <c r="AJ5" s="5521"/>
      <c r="AK5" s="5521"/>
      <c r="AL5" s="5521"/>
      <c r="AM5" s="5837" t="s">
        <v>270</v>
      </c>
      <c r="AN5" s="5837" t="s">
        <v>3658</v>
      </c>
      <c r="AO5" s="5521"/>
      <c r="AP5" s="5521"/>
      <c r="AQ5" s="5521"/>
      <c r="AR5" s="5837" t="s">
        <v>270</v>
      </c>
      <c r="AS5" s="5837" t="s">
        <v>3658</v>
      </c>
      <c r="AT5" s="5521"/>
      <c r="AU5" s="5521"/>
    </row>
    <row r="6" spans="1:47" s="1869" customFormat="1" ht="26.25" customHeight="1" x14ac:dyDescent="0.2">
      <c r="A6" s="5144"/>
      <c r="B6" s="5155"/>
      <c r="C6" s="2536" t="s">
        <v>1585</v>
      </c>
      <c r="D6" s="2536" t="s">
        <v>1835</v>
      </c>
      <c r="E6" s="2536" t="s">
        <v>1822</v>
      </c>
      <c r="F6" s="2536" t="s">
        <v>1585</v>
      </c>
      <c r="G6" s="2536" t="s">
        <v>1836</v>
      </c>
      <c r="H6" s="2536" t="s">
        <v>1835</v>
      </c>
      <c r="I6" s="2536" t="s">
        <v>1904</v>
      </c>
      <c r="J6" s="2536" t="s">
        <v>1822</v>
      </c>
      <c r="K6" s="2536" t="s">
        <v>1585</v>
      </c>
      <c r="L6" s="2536" t="s">
        <v>1836</v>
      </c>
      <c r="M6" s="2536" t="s">
        <v>60</v>
      </c>
      <c r="N6" s="5144" t="s">
        <v>118</v>
      </c>
      <c r="O6" s="5144"/>
      <c r="P6" s="5144"/>
      <c r="Q6" s="5144"/>
      <c r="R6" s="5144"/>
      <c r="S6" s="5144" t="s">
        <v>1521</v>
      </c>
      <c r="T6" s="5144"/>
      <c r="U6" s="5144"/>
      <c r="V6" s="5144"/>
      <c r="W6" s="5144"/>
      <c r="X6" s="5144"/>
      <c r="Y6" s="5144" t="s">
        <v>118</v>
      </c>
      <c r="Z6" s="5521"/>
      <c r="AA6" s="5521"/>
      <c r="AB6" s="5521"/>
      <c r="AC6" s="5521"/>
      <c r="AD6" s="2657" t="s">
        <v>3658</v>
      </c>
      <c r="AE6" s="5521"/>
      <c r="AF6" s="5521"/>
      <c r="AG6" s="5521"/>
      <c r="AH6" s="5621"/>
      <c r="AI6" s="5621"/>
      <c r="AJ6" s="5521"/>
      <c r="AK6" s="5521"/>
      <c r="AL6" s="5521"/>
      <c r="AM6" s="5621"/>
      <c r="AN6" s="5621"/>
      <c r="AO6" s="5521"/>
      <c r="AP6" s="5521"/>
      <c r="AQ6" s="5521"/>
      <c r="AR6" s="5621"/>
      <c r="AS6" s="5621"/>
      <c r="AT6" s="5521"/>
      <c r="AU6" s="5521"/>
    </row>
    <row r="7" spans="1:47" x14ac:dyDescent="0.2">
      <c r="A7" s="3052" t="s">
        <v>1824</v>
      </c>
      <c r="B7" s="3035"/>
      <c r="C7" s="2554"/>
      <c r="D7" s="2554"/>
      <c r="E7" s="2554"/>
      <c r="F7" s="2554"/>
      <c r="G7" s="2554"/>
      <c r="H7" s="2554"/>
      <c r="I7" s="2554"/>
      <c r="J7" s="2554"/>
      <c r="K7" s="2554"/>
      <c r="L7" s="2554"/>
      <c r="M7" s="2554"/>
      <c r="N7" s="2554"/>
      <c r="O7" s="2554"/>
      <c r="P7" s="2554"/>
      <c r="Q7" s="2554"/>
      <c r="R7" s="2554"/>
      <c r="S7" s="2554"/>
      <c r="T7" s="2554"/>
      <c r="U7" s="2554"/>
      <c r="V7" s="2554"/>
      <c r="W7" s="2554"/>
      <c r="X7" s="2554"/>
      <c r="Y7" s="2554"/>
      <c r="Z7" s="2554"/>
      <c r="AA7" s="2554"/>
      <c r="AB7" s="2554"/>
      <c r="AC7" s="2554"/>
      <c r="AD7" s="2554"/>
      <c r="AE7" s="3063"/>
      <c r="AF7" s="3063"/>
      <c r="AG7" s="3063"/>
      <c r="AH7" s="2554"/>
      <c r="AI7" s="3058"/>
      <c r="AJ7" s="3564"/>
      <c r="AK7" s="3564"/>
      <c r="AL7" s="3063"/>
      <c r="AM7" s="2554"/>
      <c r="AN7" s="2554"/>
      <c r="AO7" s="3063"/>
      <c r="AP7" s="3063"/>
      <c r="AQ7" s="3063"/>
      <c r="AR7" s="2420"/>
      <c r="AS7" s="2420"/>
      <c r="AT7" s="3063"/>
      <c r="AU7" s="3063"/>
    </row>
    <row r="8" spans="1:47" s="1920" customFormat="1" x14ac:dyDescent="0.2">
      <c r="A8" s="3054" t="s">
        <v>1905</v>
      </c>
      <c r="B8" s="2600"/>
      <c r="C8" s="2563"/>
      <c r="D8" s="2563"/>
      <c r="E8" s="2563"/>
      <c r="F8" s="2563"/>
      <c r="G8" s="2563"/>
      <c r="H8" s="2563"/>
      <c r="I8" s="2563"/>
      <c r="J8" s="2563"/>
      <c r="K8" s="2563"/>
      <c r="L8" s="2563"/>
      <c r="M8" s="2563"/>
      <c r="N8" s="2563"/>
      <c r="O8" s="2563"/>
      <c r="P8" s="2563"/>
      <c r="Q8" s="2563"/>
      <c r="R8" s="2563"/>
      <c r="S8" s="2563"/>
      <c r="T8" s="2563"/>
      <c r="U8" s="2563"/>
      <c r="V8" s="2563"/>
      <c r="W8" s="2563"/>
      <c r="X8" s="2563"/>
      <c r="Y8" s="2563"/>
      <c r="Z8" s="2563"/>
      <c r="AA8" s="2563"/>
      <c r="AB8" s="2563"/>
      <c r="AC8" s="2563"/>
      <c r="AD8" s="2563"/>
      <c r="AE8" s="2563"/>
      <c r="AF8" s="2563"/>
      <c r="AG8" s="2563"/>
      <c r="AH8" s="3604"/>
      <c r="AI8" s="3050"/>
      <c r="AJ8" s="3075"/>
      <c r="AK8" s="3075"/>
      <c r="AL8" s="3604"/>
      <c r="AM8" s="3944"/>
      <c r="AN8" s="3944"/>
      <c r="AO8" s="3944"/>
      <c r="AP8" s="3944"/>
      <c r="AQ8" s="3944"/>
      <c r="AR8" s="3075"/>
      <c r="AS8" s="3075"/>
      <c r="AT8" s="4574"/>
      <c r="AU8" s="4574"/>
    </row>
    <row r="9" spans="1:47" x14ac:dyDescent="0.2">
      <c r="A9" s="3052" t="s">
        <v>1906</v>
      </c>
      <c r="B9" s="3035" t="s">
        <v>934</v>
      </c>
      <c r="C9" s="2562">
        <v>3463.93</v>
      </c>
      <c r="D9" s="2562">
        <v>3061.49</v>
      </c>
      <c r="E9" s="2562">
        <v>3061.19</v>
      </c>
      <c r="F9" s="2562">
        <f>C9</f>
        <v>3463.93</v>
      </c>
      <c r="G9" s="2562">
        <v>3295.75</v>
      </c>
      <c r="H9" s="2562">
        <v>3197.32</v>
      </c>
      <c r="I9" s="2562">
        <v>3196.36</v>
      </c>
      <c r="J9" s="2562">
        <f>'ЭЭ стоки'!J11+'ЭЭ стоки'!J12</f>
        <v>3197.3199999999997</v>
      </c>
      <c r="K9" s="2562">
        <f>F9</f>
        <v>3463.93</v>
      </c>
      <c r="L9" s="2562">
        <v>3248.93</v>
      </c>
      <c r="M9" s="2562">
        <f>SUM(M11:M12)</f>
        <v>3150.37</v>
      </c>
      <c r="N9" s="2562">
        <v>3248.93</v>
      </c>
      <c r="O9" s="2562">
        <v>3253</v>
      </c>
      <c r="P9" s="2562">
        <f t="shared" ref="P9:R9" si="0">O9</f>
        <v>3253</v>
      </c>
      <c r="Q9" s="2562">
        <f t="shared" si="0"/>
        <v>3253</v>
      </c>
      <c r="R9" s="2562">
        <f t="shared" si="0"/>
        <v>3253</v>
      </c>
      <c r="S9" s="2562">
        <f>S11+S12</f>
        <v>3020.0036431580988</v>
      </c>
      <c r="T9" s="2562">
        <f t="shared" ref="T9:AC9" si="1">T11+T12</f>
        <v>3020.0036431580988</v>
      </c>
      <c r="U9" s="2562">
        <f t="shared" si="1"/>
        <v>3020.0036431580988</v>
      </c>
      <c r="V9" s="2562">
        <f t="shared" si="1"/>
        <v>3020.0036431580988</v>
      </c>
      <c r="W9" s="2562">
        <f t="shared" si="1"/>
        <v>3020.0036431580988</v>
      </c>
      <c r="X9" s="2562">
        <f t="shared" si="1"/>
        <v>3020.0036431580988</v>
      </c>
      <c r="Y9" s="2562">
        <f t="shared" si="1"/>
        <v>3020.0036431580988</v>
      </c>
      <c r="Z9" s="2562">
        <f t="shared" si="1"/>
        <v>3020.0036431580988</v>
      </c>
      <c r="AA9" s="2562">
        <f t="shared" si="1"/>
        <v>3020.0036431580988</v>
      </c>
      <c r="AB9" s="2562">
        <f t="shared" si="1"/>
        <v>3020.0036431580988</v>
      </c>
      <c r="AC9" s="2562">
        <f t="shared" si="1"/>
        <v>3020.0036431580988</v>
      </c>
      <c r="AD9" s="2562">
        <f t="shared" ref="AD9" si="2">AD11+AD12</f>
        <v>2844.4076666666665</v>
      </c>
      <c r="AE9" s="2562">
        <f t="shared" ref="AE9:AG9" si="3">SUM(AE11:AE12)</f>
        <v>1547.3829999999998</v>
      </c>
      <c r="AF9" s="2562">
        <f t="shared" si="3"/>
        <v>2322.4540000000002</v>
      </c>
      <c r="AG9" s="2562">
        <f t="shared" si="3"/>
        <v>3120.433</v>
      </c>
      <c r="AH9" s="3603">
        <f t="shared" ref="AH9" si="4">AH11+AH12</f>
        <v>2844.4046666666663</v>
      </c>
      <c r="AI9" s="3603">
        <f t="shared" ref="AI9" si="5">AI11+AI12</f>
        <v>2844.4049999999997</v>
      </c>
      <c r="AJ9" s="3074">
        <f t="shared" ref="AJ9:AL9" si="6">SUM(AJ11:AJ12)</f>
        <v>1567.3310000000001</v>
      </c>
      <c r="AK9" s="3074">
        <f t="shared" si="6"/>
        <v>2286.9459999999999</v>
      </c>
      <c r="AL9" s="3603">
        <f t="shared" si="6"/>
        <v>3075.5420000000004</v>
      </c>
      <c r="AM9" s="3945">
        <f t="shared" ref="AM9:AN9" si="7">AM11+AM12</f>
        <v>2844.4049999999997</v>
      </c>
      <c r="AN9" s="3945">
        <f t="shared" si="7"/>
        <v>2997.3360299999999</v>
      </c>
      <c r="AO9" s="3945">
        <f t="shared" ref="AO9:AQ9" si="8">SUM(AO11:AO12)</f>
        <v>1585.1690000000001</v>
      </c>
      <c r="AP9" s="3945">
        <f t="shared" si="8"/>
        <v>2327.3589999999999</v>
      </c>
      <c r="AQ9" s="3945">
        <f t="shared" si="8"/>
        <v>3104.08</v>
      </c>
      <c r="AR9" s="3074">
        <f t="shared" ref="AR9:AS9" si="9">AR11+AR12</f>
        <v>2997.3360299999999</v>
      </c>
      <c r="AS9" s="3074">
        <f t="shared" si="9"/>
        <v>3074.2522484906162</v>
      </c>
      <c r="AT9" s="4718">
        <f t="shared" ref="AT9:AU9" si="10">SUM(AT11:AT12)</f>
        <v>1652.5140000000001</v>
      </c>
      <c r="AU9" s="4718">
        <f t="shared" si="10"/>
        <v>3225.5614</v>
      </c>
    </row>
    <row r="10" spans="1:47" x14ac:dyDescent="0.2">
      <c r="A10" s="3052" t="s">
        <v>50</v>
      </c>
      <c r="B10" s="3035"/>
      <c r="C10" s="2562"/>
      <c r="D10" s="2562"/>
      <c r="E10" s="2562"/>
      <c r="F10" s="2562"/>
      <c r="G10" s="2562"/>
      <c r="H10" s="2562"/>
      <c r="I10" s="2562"/>
      <c r="J10" s="2562"/>
      <c r="K10" s="2562"/>
      <c r="L10" s="2562"/>
      <c r="M10" s="2562"/>
      <c r="N10" s="2562"/>
      <c r="O10" s="2562"/>
      <c r="P10" s="2562"/>
      <c r="Q10" s="2562"/>
      <c r="R10" s="2562"/>
      <c r="S10" s="2562"/>
      <c r="T10" s="2562"/>
      <c r="U10" s="2562"/>
      <c r="V10" s="2562"/>
      <c r="W10" s="2562"/>
      <c r="X10" s="2562"/>
      <c r="Y10" s="2562"/>
      <c r="Z10" s="2562"/>
      <c r="AA10" s="2562"/>
      <c r="AB10" s="2562"/>
      <c r="AC10" s="2562"/>
      <c r="AD10" s="2562"/>
      <c r="AE10" s="2562"/>
      <c r="AF10" s="2562"/>
      <c r="AG10" s="2562"/>
      <c r="AH10" s="3603"/>
      <c r="AI10" s="3603"/>
      <c r="AJ10" s="3074"/>
      <c r="AK10" s="3074"/>
      <c r="AL10" s="3603"/>
      <c r="AM10" s="3945"/>
      <c r="AN10" s="3945"/>
      <c r="AO10" s="3945"/>
      <c r="AP10" s="3945"/>
      <c r="AQ10" s="3945"/>
      <c r="AR10" s="3074"/>
      <c r="AS10" s="3074"/>
      <c r="AT10" s="4575"/>
      <c r="AU10" s="4575"/>
    </row>
    <row r="11" spans="1:47" s="1867" customFormat="1" x14ac:dyDescent="0.2">
      <c r="A11" s="3056" t="s">
        <v>1907</v>
      </c>
      <c r="B11" s="3035" t="s">
        <v>934</v>
      </c>
      <c r="C11" s="2562"/>
      <c r="D11" s="2562"/>
      <c r="E11" s="2562"/>
      <c r="F11" s="2562"/>
      <c r="G11" s="2562"/>
      <c r="H11" s="2562"/>
      <c r="I11" s="2562"/>
      <c r="J11" s="2562">
        <f>'объемы ВС и ВО 2023'!AP64+'объемы ВС и ВО 2023'!AP65</f>
        <v>3178.1</v>
      </c>
      <c r="K11" s="2562"/>
      <c r="L11" s="2562"/>
      <c r="M11" s="2562">
        <v>3132.12</v>
      </c>
      <c r="N11" s="2562"/>
      <c r="O11" s="2562"/>
      <c r="P11" s="2562"/>
      <c r="Q11" s="2562"/>
      <c r="R11" s="2562"/>
      <c r="S11" s="2562">
        <f>'объемы ВС и ВО 2023'!AZ63</f>
        <v>3002.3369764914323</v>
      </c>
      <c r="T11" s="2562">
        <f>S11</f>
        <v>3002.3369764914323</v>
      </c>
      <c r="U11" s="2562">
        <f t="shared" ref="U11:X13" si="11">T11</f>
        <v>3002.3369764914323</v>
      </c>
      <c r="V11" s="2562">
        <f t="shared" si="11"/>
        <v>3002.3369764914323</v>
      </c>
      <c r="W11" s="2562">
        <f t="shared" si="11"/>
        <v>3002.3369764914323</v>
      </c>
      <c r="X11" s="2562">
        <f t="shared" si="11"/>
        <v>3002.3369764914323</v>
      </c>
      <c r="Y11" s="2562">
        <f>SUM('объемы ВС и ВО 2023'!BB63)</f>
        <v>3002.3369764914323</v>
      </c>
      <c r="Z11" s="2562">
        <f>SUM(Y11)</f>
        <v>3002.3369764914323</v>
      </c>
      <c r="AA11" s="2562">
        <f>SUM(Y11)</f>
        <v>3002.3369764914323</v>
      </c>
      <c r="AB11" s="2562">
        <f>SUM(Y11)</f>
        <v>3002.3369764914323</v>
      </c>
      <c r="AC11" s="2562">
        <f>SUM(Y11)</f>
        <v>3002.3369764914323</v>
      </c>
      <c r="AD11" s="2562">
        <f>SUM('объемы ВС и ВО 2023'!BD63)+0.003</f>
        <v>2826.741</v>
      </c>
      <c r="AE11" s="2562">
        <f>SUM('объемы ВС и ВО 2023'!BF63)</f>
        <v>1538.6509999999998</v>
      </c>
      <c r="AF11" s="2562">
        <f>SUM('объемы ВС и ВО 2023'!BH63)</f>
        <v>2309.123</v>
      </c>
      <c r="AG11" s="2562">
        <f>SUM('объемы ВС и ВО 2023'!BJ63)</f>
        <v>3105.598</v>
      </c>
      <c r="AH11" s="3603">
        <f>SUM('объемы ВС и ВО 2023'!BL63)</f>
        <v>2826.7379999999998</v>
      </c>
      <c r="AI11" s="3603">
        <f>SUM('объемы ВС и ВО 2023'!BN63)</f>
        <v>2826.7379999999998</v>
      </c>
      <c r="AJ11" s="3074">
        <f>SUM('объемы ВС и ВО 2023'!BQ63)</f>
        <v>1559.5720000000001</v>
      </c>
      <c r="AK11" s="3074">
        <f>SUM('объемы ВС и ВО 2023'!BS63)</f>
        <v>2275.0949999999998</v>
      </c>
      <c r="AL11" s="3603">
        <f>SUM('объемы ВС и ВО 2023'!BU63)</f>
        <v>3059.2510000000002</v>
      </c>
      <c r="AM11" s="3945">
        <f>SUM('объемы ВС и ВО 2023'!BW63)</f>
        <v>2826.7379999999998</v>
      </c>
      <c r="AN11" s="3945">
        <f>SUM('объемы ВС и ВО 2023'!BY63)</f>
        <v>2982.5243</v>
      </c>
      <c r="AO11" s="3945">
        <f>SUM('объемы ВС и ВО 2023'!CA63)</f>
        <v>1577.7370000000001</v>
      </c>
      <c r="AP11" s="3945">
        <f>SUM('объемы ВС и ВО 2023'!CC63)</f>
        <v>2315.75</v>
      </c>
      <c r="AQ11" s="3945">
        <f>SUM('объемы ВС и ВО 2023'!CE63)</f>
        <v>3087.8620000000001</v>
      </c>
      <c r="AR11" s="3074">
        <f>SUM('объемы ВС и ВО 2023'!CG63)</f>
        <v>2982.5243</v>
      </c>
      <c r="AS11" s="3074">
        <f>SUM('объемы ВС и ВО 2023'!CI63)</f>
        <v>3059.0289771459002</v>
      </c>
      <c r="AT11" s="4718">
        <f>SUM('объемы ВС и ВО 2023'!CK63)</f>
        <v>1645.6220000000001</v>
      </c>
      <c r="AU11" s="4718">
        <f>SUM('объемы ВС и ВО 2023'!CM63)</f>
        <v>3210.7348999999999</v>
      </c>
    </row>
    <row r="12" spans="1:47" s="1867" customFormat="1" x14ac:dyDescent="0.2">
      <c r="A12" s="3056" t="s">
        <v>1908</v>
      </c>
      <c r="B12" s="3035" t="s">
        <v>934</v>
      </c>
      <c r="C12" s="2562"/>
      <c r="D12" s="2562"/>
      <c r="E12" s="2562"/>
      <c r="F12" s="2562"/>
      <c r="G12" s="2562"/>
      <c r="H12" s="2562"/>
      <c r="I12" s="2562"/>
      <c r="J12" s="2562">
        <f>'объемы ВС и ВО 2023'!AQ63</f>
        <v>19.22</v>
      </c>
      <c r="K12" s="2562"/>
      <c r="L12" s="2562"/>
      <c r="M12" s="2562">
        <v>18.25</v>
      </c>
      <c r="N12" s="2562"/>
      <c r="O12" s="2562"/>
      <c r="P12" s="2562"/>
      <c r="Q12" s="2562"/>
      <c r="R12" s="2562"/>
      <c r="S12" s="2562">
        <f>'объемы ВС и ВО 2023'!BA63</f>
        <v>17.666666666666668</v>
      </c>
      <c r="T12" s="2562">
        <f>S12</f>
        <v>17.666666666666668</v>
      </c>
      <c r="U12" s="2562">
        <f t="shared" si="11"/>
        <v>17.666666666666668</v>
      </c>
      <c r="V12" s="2562">
        <f t="shared" si="11"/>
        <v>17.666666666666668</v>
      </c>
      <c r="W12" s="2562">
        <f t="shared" si="11"/>
        <v>17.666666666666668</v>
      </c>
      <c r="X12" s="2562">
        <f t="shared" si="11"/>
        <v>17.666666666666668</v>
      </c>
      <c r="Y12" s="2562">
        <f>SUM('объемы ВС и ВО 2023'!BC63)</f>
        <v>17.666666666666668</v>
      </c>
      <c r="Z12" s="2562">
        <f>SUM(Y12)</f>
        <v>17.666666666666668</v>
      </c>
      <c r="AA12" s="2562">
        <f>SUM(Y12)</f>
        <v>17.666666666666668</v>
      </c>
      <c r="AB12" s="2562">
        <f>SUM(Y12)</f>
        <v>17.666666666666668</v>
      </c>
      <c r="AC12" s="2562">
        <f>SUM(Y12)</f>
        <v>17.666666666666668</v>
      </c>
      <c r="AD12" s="2562">
        <f>SUM('объемы ВС и ВО 2023'!BE63)</f>
        <v>17.666666666666668</v>
      </c>
      <c r="AE12" s="2562">
        <f>SUM('объемы ВС и ВО 2023'!BG63)</f>
        <v>8.7319999999999993</v>
      </c>
      <c r="AF12" s="2562">
        <f>SUM('объемы ВС и ВО 2023'!BI63)</f>
        <v>13.331</v>
      </c>
      <c r="AG12" s="2562">
        <f>SUM('объемы ВС и ВО 2023'!BK63)</f>
        <v>14.835000000000001</v>
      </c>
      <c r="AH12" s="3603">
        <f>SUM('объемы ВС и ВО 2023'!BM63)</f>
        <v>17.666666666666668</v>
      </c>
      <c r="AI12" s="3603">
        <f>SUM('объемы ВС и ВО 2023'!BO63)</f>
        <v>17.667000000000002</v>
      </c>
      <c r="AJ12" s="3074">
        <f>SUM('объемы ВС и ВО 2023'!BR63)</f>
        <v>7.7590000000000003</v>
      </c>
      <c r="AK12" s="3074">
        <f>SUM('объемы ВС и ВО 2023'!BT63)</f>
        <v>11.851000000000001</v>
      </c>
      <c r="AL12" s="3603">
        <f>SUM('объемы ВС и ВО 2023'!BV63)</f>
        <v>16.291</v>
      </c>
      <c r="AM12" s="3945">
        <f>SUM('объемы ВС и ВО 2023'!BX63)</f>
        <v>17.667000000000002</v>
      </c>
      <c r="AN12" s="3945">
        <f>SUM('объемы ВС и ВО 2023'!BZ63)</f>
        <v>14.811730000000001</v>
      </c>
      <c r="AO12" s="3945">
        <f>SUM('объемы ВС и ВО 2023'!CB63)</f>
        <v>7.4320000000000004</v>
      </c>
      <c r="AP12" s="3945">
        <f>SUM('объемы ВС и ВО 2023'!CD63)</f>
        <v>11.609</v>
      </c>
      <c r="AQ12" s="3945">
        <f>SUM('объемы ВС и ВО 2023'!CF63)</f>
        <v>16.218</v>
      </c>
      <c r="AR12" s="3074">
        <f>SUM('объемы ВС и ВО 2023'!CH63)</f>
        <v>14.811730000000001</v>
      </c>
      <c r="AS12" s="3074">
        <f>SUM('объемы ВС и ВО 2023'!CJ63)</f>
        <v>15.2232713447161</v>
      </c>
      <c r="AT12" s="4718">
        <f>SUM('объемы ВС и ВО 2023'!CL63)</f>
        <v>6.8920000000000003</v>
      </c>
      <c r="AU12" s="4718">
        <f>SUM('объемы ВС и ВО 2023'!CN63)</f>
        <v>14.826499999999999</v>
      </c>
    </row>
    <row r="13" spans="1:47" ht="63.75" x14ac:dyDescent="0.2">
      <c r="A13" s="3052" t="s">
        <v>1909</v>
      </c>
      <c r="B13" s="3035" t="s">
        <v>1832</v>
      </c>
      <c r="C13" s="2574">
        <v>8.4000000000000005E-2</v>
      </c>
      <c r="D13" s="2574">
        <v>9.1999999999999998E-2</v>
      </c>
      <c r="E13" s="2574">
        <f>C13</f>
        <v>8.4000000000000005E-2</v>
      </c>
      <c r="F13" s="2574">
        <f>C13</f>
        <v>8.4000000000000005E-2</v>
      </c>
      <c r="G13" s="2574">
        <f>F13</f>
        <v>8.4000000000000005E-2</v>
      </c>
      <c r="H13" s="2574">
        <v>0.11</v>
      </c>
      <c r="I13" s="2574">
        <v>0.11</v>
      </c>
      <c r="J13" s="2574">
        <f>G13</f>
        <v>8.4000000000000005E-2</v>
      </c>
      <c r="K13" s="2574">
        <f>F13</f>
        <v>8.4000000000000005E-2</v>
      </c>
      <c r="L13" s="2574">
        <f>K13</f>
        <v>8.4000000000000005E-2</v>
      </c>
      <c r="M13" s="2574">
        <f>SUM(M14/M9)</f>
        <v>9.9908899589572026E-2</v>
      </c>
      <c r="N13" s="2574">
        <v>0.09</v>
      </c>
      <c r="O13" s="2574">
        <f>N13</f>
        <v>0.09</v>
      </c>
      <c r="P13" s="2574">
        <f t="shared" ref="P13:R13" si="12">O13</f>
        <v>0.09</v>
      </c>
      <c r="Q13" s="2574">
        <f t="shared" si="12"/>
        <v>0.09</v>
      </c>
      <c r="R13" s="2574">
        <f t="shared" si="12"/>
        <v>0.09</v>
      </c>
      <c r="S13" s="2574">
        <f>I13</f>
        <v>0.11</v>
      </c>
      <c r="T13" s="2574">
        <f>S13</f>
        <v>0.11</v>
      </c>
      <c r="U13" s="2574">
        <f t="shared" si="11"/>
        <v>0.11</v>
      </c>
      <c r="V13" s="2574">
        <f t="shared" si="11"/>
        <v>0.11</v>
      </c>
      <c r="W13" s="2574">
        <f t="shared" si="11"/>
        <v>0.11</v>
      </c>
      <c r="X13" s="2574">
        <f t="shared" si="11"/>
        <v>0.11</v>
      </c>
      <c r="Y13" s="2574">
        <f>SUM(S13)</f>
        <v>0.11</v>
      </c>
      <c r="Z13" s="2574">
        <f t="shared" ref="Z13:AC13" si="13">SUM(T13)</f>
        <v>0.11</v>
      </c>
      <c r="AA13" s="2574">
        <f t="shared" si="13"/>
        <v>0.11</v>
      </c>
      <c r="AB13" s="2574">
        <f t="shared" si="13"/>
        <v>0.11</v>
      </c>
      <c r="AC13" s="2574">
        <f t="shared" si="13"/>
        <v>0.11</v>
      </c>
      <c r="AD13" s="2574">
        <f>SUM(X13)</f>
        <v>0.11</v>
      </c>
      <c r="AE13" s="2574">
        <f t="shared" ref="AE13:AG13" si="14">SUM(AE14/AE9)</f>
        <v>8.8950182340118769E-2</v>
      </c>
      <c r="AF13" s="2574">
        <f t="shared" si="14"/>
        <v>8.5245176007791759E-2</v>
      </c>
      <c r="AG13" s="2574">
        <f t="shared" si="14"/>
        <v>8.7678857389343084E-2</v>
      </c>
      <c r="AH13" s="2574">
        <f>SUM(AB13)</f>
        <v>0.11</v>
      </c>
      <c r="AI13" s="2574">
        <f>SUM(AD13)</f>
        <v>0.11</v>
      </c>
      <c r="AJ13" s="2384">
        <f t="shared" ref="AJ13:AL13" si="15">SUM(AJ14/AJ9)</f>
        <v>9.0364447586374533E-2</v>
      </c>
      <c r="AK13" s="2384">
        <f t="shared" si="15"/>
        <v>8.9421438022585592E-2</v>
      </c>
      <c r="AL13" s="2574">
        <f t="shared" si="15"/>
        <v>9.083016912141012E-2</v>
      </c>
      <c r="AM13" s="2574">
        <f>SUM(AI13)</f>
        <v>0.11</v>
      </c>
      <c r="AN13" s="2574">
        <f>SUM(AI13)</f>
        <v>0.11</v>
      </c>
      <c r="AO13" s="2574">
        <f t="shared" ref="AO13:AQ13" si="16">SUM(AO14/AO9)</f>
        <v>7.906033993851759E-2</v>
      </c>
      <c r="AP13" s="2574">
        <f t="shared" si="16"/>
        <v>7.9211243301957293E-2</v>
      </c>
      <c r="AQ13" s="2574">
        <f t="shared" si="16"/>
        <v>8.2922798381485016E-2</v>
      </c>
      <c r="AR13" s="2384">
        <f>SUM(AN13)</f>
        <v>0.11</v>
      </c>
      <c r="AS13" s="2384">
        <f>SUM(AN13)</f>
        <v>0.11</v>
      </c>
      <c r="AT13" s="4736">
        <f t="shared" ref="AT13:AU13" si="17">SUM(AT14/AT9)</f>
        <v>9.4790724919728356E-2</v>
      </c>
      <c r="AU13" s="4736">
        <f t="shared" si="17"/>
        <v>8.7809210514485939E-2</v>
      </c>
    </row>
    <row r="14" spans="1:47" ht="25.5" x14ac:dyDescent="0.2">
      <c r="A14" s="3052" t="s">
        <v>3516</v>
      </c>
      <c r="B14" s="3035" t="s">
        <v>1833</v>
      </c>
      <c r="C14" s="2562">
        <v>291</v>
      </c>
      <c r="D14" s="2562">
        <v>282</v>
      </c>
      <c r="E14" s="2562">
        <v>257.2</v>
      </c>
      <c r="F14" s="2562">
        <v>291</v>
      </c>
      <c r="G14" s="2562">
        <v>276.8</v>
      </c>
      <c r="H14" s="2562">
        <v>351.61599999999999</v>
      </c>
      <c r="I14" s="2562">
        <v>351.62</v>
      </c>
      <c r="J14" s="2562">
        <f>J16+J17</f>
        <v>266.96039999999999</v>
      </c>
      <c r="K14" s="2562">
        <v>291</v>
      </c>
      <c r="L14" s="2562">
        <v>272.89999999999998</v>
      </c>
      <c r="M14" s="2562">
        <f>M16+M17</f>
        <v>314.75</v>
      </c>
      <c r="N14" s="2562">
        <v>292.39999999999998</v>
      </c>
      <c r="O14" s="2562">
        <v>292.77</v>
      </c>
      <c r="P14" s="2562">
        <v>292.77</v>
      </c>
      <c r="Q14" s="2562">
        <v>292.77</v>
      </c>
      <c r="R14" s="2562">
        <v>292.77</v>
      </c>
      <c r="S14" s="2562">
        <f>S16</f>
        <v>330.25706741405753</v>
      </c>
      <c r="T14" s="2562">
        <f t="shared" ref="T14:AC14" si="18">T16</f>
        <v>330.25706741405753</v>
      </c>
      <c r="U14" s="2562">
        <f t="shared" si="18"/>
        <v>330.25706741405753</v>
      </c>
      <c r="V14" s="2562">
        <f t="shared" si="18"/>
        <v>330.25706741405753</v>
      </c>
      <c r="W14" s="2562">
        <f t="shared" si="18"/>
        <v>330.25706741405753</v>
      </c>
      <c r="X14" s="2562">
        <f t="shared" si="18"/>
        <v>330.25706741405753</v>
      </c>
      <c r="Y14" s="2562">
        <f t="shared" si="18"/>
        <v>330.25706741405753</v>
      </c>
      <c r="Z14" s="2562">
        <f t="shared" si="18"/>
        <v>330.25706741405753</v>
      </c>
      <c r="AA14" s="2562">
        <f t="shared" si="18"/>
        <v>330.25706741405753</v>
      </c>
      <c r="AB14" s="2562">
        <f t="shared" si="18"/>
        <v>330.25706741405753</v>
      </c>
      <c r="AC14" s="2562">
        <f t="shared" si="18"/>
        <v>330.25706741405753</v>
      </c>
      <c r="AD14" s="2562">
        <f t="shared" ref="AD14" si="19">AD16</f>
        <v>310.94150999999999</v>
      </c>
      <c r="AE14" s="2562">
        <f t="shared" ref="AE14:AG14" si="20">AE16+AE17</f>
        <v>137.63999999999999</v>
      </c>
      <c r="AF14" s="2562">
        <f t="shared" si="20"/>
        <v>197.97800000000001</v>
      </c>
      <c r="AG14" s="2562">
        <f t="shared" si="20"/>
        <v>273.596</v>
      </c>
      <c r="AH14" s="3603">
        <f t="shared" ref="AH14" si="21">AH16</f>
        <v>310.94117999999997</v>
      </c>
      <c r="AI14" s="3603">
        <f>AI16+AI17</f>
        <v>312.88454999999999</v>
      </c>
      <c r="AJ14" s="3074">
        <f t="shared" ref="AJ14:AL14" si="22">AJ16+AJ17</f>
        <v>141.631</v>
      </c>
      <c r="AK14" s="3074">
        <f t="shared" si="22"/>
        <v>204.50200000000001</v>
      </c>
      <c r="AL14" s="3603">
        <f t="shared" si="22"/>
        <v>279.35199999999998</v>
      </c>
      <c r="AM14" s="3945">
        <f>AM16+AM17</f>
        <v>312.88454999999999</v>
      </c>
      <c r="AN14" s="3945">
        <f>AN16+AN17</f>
        <v>329.70696329999998</v>
      </c>
      <c r="AO14" s="3945">
        <f t="shared" ref="AO14:AQ14" si="23">AO16+AO17</f>
        <v>125.324</v>
      </c>
      <c r="AP14" s="3945">
        <f t="shared" si="23"/>
        <v>184.35300000000001</v>
      </c>
      <c r="AQ14" s="3945">
        <f t="shared" si="23"/>
        <v>257.399</v>
      </c>
      <c r="AR14" s="3074">
        <f>AR16+AR17</f>
        <v>329.70696329999998</v>
      </c>
      <c r="AS14" s="3074">
        <f>AS16+AS17</f>
        <v>338.16774733396778</v>
      </c>
      <c r="AT14" s="4718">
        <f t="shared" ref="AT14:AU14" si="24">AT16+AT17</f>
        <v>156.643</v>
      </c>
      <c r="AU14" s="4718">
        <f t="shared" si="24"/>
        <v>283.23399999999998</v>
      </c>
    </row>
    <row r="15" spans="1:47" x14ac:dyDescent="0.2">
      <c r="A15" s="3052" t="s">
        <v>50</v>
      </c>
      <c r="B15" s="3035"/>
      <c r="C15" s="2562"/>
      <c r="D15" s="2562"/>
      <c r="E15" s="2562"/>
      <c r="F15" s="2562"/>
      <c r="G15" s="2562"/>
      <c r="H15" s="2562"/>
      <c r="I15" s="2562"/>
      <c r="J15" s="2562"/>
      <c r="K15" s="2562"/>
      <c r="L15" s="2562"/>
      <c r="M15" s="2562"/>
      <c r="N15" s="2562"/>
      <c r="O15" s="2562"/>
      <c r="P15" s="2562"/>
      <c r="Q15" s="2562"/>
      <c r="R15" s="2562"/>
      <c r="S15" s="2562"/>
      <c r="T15" s="2562"/>
      <c r="U15" s="2562"/>
      <c r="V15" s="2562"/>
      <c r="W15" s="2562"/>
      <c r="X15" s="2562"/>
      <c r="Y15" s="2562"/>
      <c r="Z15" s="2562"/>
      <c r="AA15" s="2562"/>
      <c r="AB15" s="2562"/>
      <c r="AC15" s="2562"/>
      <c r="AD15" s="2562"/>
      <c r="AE15" s="2562"/>
      <c r="AF15" s="2562"/>
      <c r="AG15" s="2562"/>
      <c r="AH15" s="3603"/>
      <c r="AI15" s="3603"/>
      <c r="AJ15" s="3074"/>
      <c r="AK15" s="3074"/>
      <c r="AL15" s="3603"/>
      <c r="AM15" s="3945"/>
      <c r="AN15" s="3945"/>
      <c r="AO15" s="3945"/>
      <c r="AP15" s="3945"/>
      <c r="AQ15" s="3945"/>
      <c r="AR15" s="3074"/>
      <c r="AS15" s="3074"/>
      <c r="AT15" s="4575"/>
      <c r="AU15" s="4575"/>
    </row>
    <row r="16" spans="1:47" x14ac:dyDescent="0.2">
      <c r="A16" s="3056" t="str">
        <f>A11</f>
        <v>канализованный жил. фонд</v>
      </c>
      <c r="B16" s="3035" t="s">
        <v>1833</v>
      </c>
      <c r="C16" s="2562"/>
      <c r="D16" s="2562"/>
      <c r="E16" s="2562"/>
      <c r="F16" s="2562"/>
      <c r="G16" s="2562"/>
      <c r="H16" s="2562"/>
      <c r="I16" s="2562"/>
      <c r="J16" s="2562">
        <f>J11*J13</f>
        <v>266.96039999999999</v>
      </c>
      <c r="K16" s="2562"/>
      <c r="L16" s="2562"/>
      <c r="M16" s="2562">
        <v>314.75</v>
      </c>
      <c r="N16" s="2562"/>
      <c r="O16" s="2562"/>
      <c r="P16" s="2562"/>
      <c r="Q16" s="2562"/>
      <c r="R16" s="2562"/>
      <c r="S16" s="2562">
        <f>S11*S13</f>
        <v>330.25706741405753</v>
      </c>
      <c r="T16" s="2562">
        <f t="shared" ref="T16:AC16" si="25">T11*T13</f>
        <v>330.25706741405753</v>
      </c>
      <c r="U16" s="2562">
        <f t="shared" si="25"/>
        <v>330.25706741405753</v>
      </c>
      <c r="V16" s="2562">
        <f t="shared" si="25"/>
        <v>330.25706741405753</v>
      </c>
      <c r="W16" s="2562">
        <f t="shared" si="25"/>
        <v>330.25706741405753</v>
      </c>
      <c r="X16" s="2562">
        <f t="shared" si="25"/>
        <v>330.25706741405753</v>
      </c>
      <c r="Y16" s="2562">
        <f t="shared" si="25"/>
        <v>330.25706741405753</v>
      </c>
      <c r="Z16" s="2562">
        <f t="shared" si="25"/>
        <v>330.25706741405753</v>
      </c>
      <c r="AA16" s="2562">
        <f t="shared" si="25"/>
        <v>330.25706741405753</v>
      </c>
      <c r="AB16" s="2562">
        <f t="shared" si="25"/>
        <v>330.25706741405753</v>
      </c>
      <c r="AC16" s="2562">
        <f t="shared" si="25"/>
        <v>330.25706741405753</v>
      </c>
      <c r="AD16" s="2562">
        <f t="shared" ref="AD16" si="26">AD11*AD13</f>
        <v>310.94150999999999</v>
      </c>
      <c r="AE16" s="2562">
        <v>137.63999999999999</v>
      </c>
      <c r="AF16" s="2562">
        <v>197.97800000000001</v>
      </c>
      <c r="AG16" s="2562">
        <v>273.596</v>
      </c>
      <c r="AH16" s="3603">
        <f t="shared" ref="AH16" si="27">AH11*AH13</f>
        <v>310.94117999999997</v>
      </c>
      <c r="AI16" s="3603">
        <f t="shared" ref="AI16" si="28">AI11*AI13</f>
        <v>310.94117999999997</v>
      </c>
      <c r="AJ16" s="3074">
        <v>141.631</v>
      </c>
      <c r="AK16" s="3074">
        <v>204.50200000000001</v>
      </c>
      <c r="AL16" s="3603">
        <v>279.35199999999998</v>
      </c>
      <c r="AM16" s="3945">
        <f t="shared" ref="AM16:AN16" si="29">AM11*AM13</f>
        <v>310.94117999999997</v>
      </c>
      <c r="AN16" s="3945">
        <f t="shared" si="29"/>
        <v>328.077673</v>
      </c>
      <c r="AO16" s="3945">
        <v>125.324</v>
      </c>
      <c r="AP16" s="3945">
        <v>184.35300000000001</v>
      </c>
      <c r="AQ16" s="3945">
        <v>257.399</v>
      </c>
      <c r="AR16" s="3074">
        <f t="shared" ref="AR16:AS16" si="30">AR11*AR13</f>
        <v>328.077673</v>
      </c>
      <c r="AS16" s="3074">
        <f t="shared" si="30"/>
        <v>336.49318748604901</v>
      </c>
      <c r="AT16" s="4718">
        <v>156.643</v>
      </c>
      <c r="AU16" s="4718">
        <v>283.23399999999998</v>
      </c>
    </row>
    <row r="17" spans="1:47" x14ac:dyDescent="0.2">
      <c r="A17" s="3056" t="str">
        <f>A12</f>
        <v>не канализованный жил. фонд</v>
      </c>
      <c r="B17" s="3035" t="s">
        <v>1833</v>
      </c>
      <c r="C17" s="2562"/>
      <c r="D17" s="2562"/>
      <c r="E17" s="2562"/>
      <c r="F17" s="2562"/>
      <c r="G17" s="2562"/>
      <c r="H17" s="2562"/>
      <c r="I17" s="2562"/>
      <c r="J17" s="2562">
        <v>0</v>
      </c>
      <c r="K17" s="2562"/>
      <c r="L17" s="2562"/>
      <c r="M17" s="2562">
        <v>0</v>
      </c>
      <c r="N17" s="2562"/>
      <c r="O17" s="2562"/>
      <c r="P17" s="2562"/>
      <c r="Q17" s="2562"/>
      <c r="R17" s="2562"/>
      <c r="S17" s="2562">
        <v>0</v>
      </c>
      <c r="T17" s="2562">
        <v>0</v>
      </c>
      <c r="U17" s="2562">
        <v>0</v>
      </c>
      <c r="V17" s="2562">
        <v>0</v>
      </c>
      <c r="W17" s="2562">
        <v>0</v>
      </c>
      <c r="X17" s="2562">
        <v>0</v>
      </c>
      <c r="Y17" s="2562">
        <v>0</v>
      </c>
      <c r="Z17" s="2562">
        <v>0</v>
      </c>
      <c r="AA17" s="2562">
        <v>0</v>
      </c>
      <c r="AB17" s="2562">
        <v>0</v>
      </c>
      <c r="AC17" s="2562">
        <v>0</v>
      </c>
      <c r="AD17" s="2562">
        <v>0</v>
      </c>
      <c r="AE17" s="2562">
        <v>0</v>
      </c>
      <c r="AF17" s="2562">
        <v>0</v>
      </c>
      <c r="AG17" s="2562">
        <v>0</v>
      </c>
      <c r="AH17" s="3603">
        <v>0</v>
      </c>
      <c r="AI17" s="3603">
        <f>AI12*AI13</f>
        <v>1.9433700000000003</v>
      </c>
      <c r="AJ17" s="3074">
        <v>0</v>
      </c>
      <c r="AK17" s="3074">
        <v>0</v>
      </c>
      <c r="AL17" s="3603">
        <v>0</v>
      </c>
      <c r="AM17" s="3945">
        <f>AM12*AM13</f>
        <v>1.9433700000000003</v>
      </c>
      <c r="AN17" s="3945">
        <f>AN12*AN13</f>
        <v>1.6292903000000001</v>
      </c>
      <c r="AO17" s="3945">
        <v>0</v>
      </c>
      <c r="AP17" s="3945">
        <v>0</v>
      </c>
      <c r="AQ17" s="3945">
        <v>0</v>
      </c>
      <c r="AR17" s="3074">
        <f>AR12*AR13</f>
        <v>1.6292903000000001</v>
      </c>
      <c r="AS17" s="3074">
        <f>AS12*AS13</f>
        <v>1.6745598479187709</v>
      </c>
      <c r="AT17" s="4718">
        <v>0</v>
      </c>
      <c r="AU17" s="4718">
        <v>0</v>
      </c>
    </row>
    <row r="18" spans="1:47" x14ac:dyDescent="0.2">
      <c r="A18" s="3052" t="s">
        <v>1830</v>
      </c>
      <c r="B18" s="3035" t="s">
        <v>1834</v>
      </c>
      <c r="C18" s="2562">
        <v>5.5330000000000004</v>
      </c>
      <c r="D18" s="2562">
        <v>2.48</v>
      </c>
      <c r="E18" s="2562">
        <v>2.48</v>
      </c>
      <c r="F18" s="2562">
        <v>5.8979999999999997</v>
      </c>
      <c r="G18" s="2562">
        <v>5.66</v>
      </c>
      <c r="H18" s="2562">
        <v>4.7386999999999997</v>
      </c>
      <c r="I18" s="2562">
        <v>4.7</v>
      </c>
      <c r="J18" s="2562">
        <f>I18</f>
        <v>4.7</v>
      </c>
      <c r="K18" s="2562">
        <v>6.2930000000000001</v>
      </c>
      <c r="L18" s="2562">
        <v>6.0549999999999997</v>
      </c>
      <c r="M18" s="2562">
        <f>SUM(M19/M14)</f>
        <v>3.4271644162033361</v>
      </c>
      <c r="N18" s="2562">
        <v>5.4249999999999998</v>
      </c>
      <c r="O18" s="2562">
        <v>5.8049999999999997</v>
      </c>
      <c r="P18" s="2562">
        <v>6.2110000000000003</v>
      </c>
      <c r="Q18" s="2562">
        <v>6.6459999999999999</v>
      </c>
      <c r="R18" s="2562">
        <v>7.1120000000000001</v>
      </c>
      <c r="S18" s="2562">
        <f>S33</f>
        <v>5.1824177099999993</v>
      </c>
      <c r="T18" s="2562">
        <f>S18*1.042</f>
        <v>5.4000792538199995</v>
      </c>
      <c r="U18" s="2562">
        <f>T18*1.04</f>
        <v>5.6160824239727996</v>
      </c>
      <c r="V18" s="2562">
        <f>U18*1.04</f>
        <v>5.8407257209317116</v>
      </c>
      <c r="W18" s="2562">
        <f>V18*1.039</f>
        <v>6.0685140240480475</v>
      </c>
      <c r="X18" s="2562">
        <f>W18*1.039</f>
        <v>6.3051860709859211</v>
      </c>
      <c r="Y18" s="2562">
        <f>SUM(T18)</f>
        <v>5.4000792538199995</v>
      </c>
      <c r="Z18" s="2562">
        <f>SUM(U18)</f>
        <v>5.6160824239727996</v>
      </c>
      <c r="AA18" s="2562">
        <f>SUM(V18)</f>
        <v>5.8407257209317116</v>
      </c>
      <c r="AB18" s="2562">
        <f>SUM(W18)</f>
        <v>6.0685140240480475</v>
      </c>
      <c r="AC18" s="2562">
        <f>SUM(X18)</f>
        <v>6.3051860709859211</v>
      </c>
      <c r="AD18" s="2562">
        <f>4.7*1.054*1.048</f>
        <v>5.1915824000000006</v>
      </c>
      <c r="AE18" s="2562">
        <f t="shared" ref="AE18:AG18" si="31">SUM(AE19/AE14)</f>
        <v>5.8536326649229879</v>
      </c>
      <c r="AF18" s="2562">
        <f t="shared" si="31"/>
        <v>5.9032922850013634</v>
      </c>
      <c r="AG18" s="3571">
        <f t="shared" si="31"/>
        <v>5.9778651734674479</v>
      </c>
      <c r="AH18" s="3603">
        <f>SUM(AD18*1.046)</f>
        <v>5.4303951904000005</v>
      </c>
      <c r="AI18" s="3603">
        <f>SUM(AG18*1.032*1.04)</f>
        <v>6.4159231333791436</v>
      </c>
      <c r="AJ18" s="3074">
        <f t="shared" ref="AJ18:AL18" si="32">SUM(AJ19/AJ14)</f>
        <v>5.869830686784673</v>
      </c>
      <c r="AK18" s="3074">
        <f t="shared" si="32"/>
        <v>5.9891834798681671</v>
      </c>
      <c r="AL18" s="3603">
        <f t="shared" si="32"/>
        <v>6.0963843466307752</v>
      </c>
      <c r="AM18" s="3945">
        <f>SUM(AI18*1.05)</f>
        <v>6.736719290048101</v>
      </c>
      <c r="AN18" s="2558">
        <f>SUM(AL18*1.034*1.0350015)</f>
        <v>6.5242990194129113</v>
      </c>
      <c r="AO18" s="3945">
        <f t="shared" ref="AO18:AQ18" si="33">SUM(AO19/AO14)</f>
        <v>6.3441359196961482</v>
      </c>
      <c r="AP18" s="3945">
        <f t="shared" si="33"/>
        <v>6.3873221482698943</v>
      </c>
      <c r="AQ18" s="3945">
        <f t="shared" si="33"/>
        <v>6.4189449065458684</v>
      </c>
      <c r="AR18" s="3074">
        <f>SUM(AN18*1.05)</f>
        <v>6.8505139703835569</v>
      </c>
      <c r="AS18" s="3074">
        <f>SUM(6.41894490654587*1.045*1.08)</f>
        <v>7.2444212215276682</v>
      </c>
      <c r="AT18" s="4718">
        <f t="shared" ref="AT18:AU18" si="34">SUM(AT19/AT14)</f>
        <v>6.4587259564742761</v>
      </c>
      <c r="AU18" s="4718">
        <f t="shared" si="34"/>
        <v>6.6624726551190898</v>
      </c>
    </row>
    <row r="19" spans="1:47" s="1920" customFormat="1" ht="25.5" x14ac:dyDescent="0.2">
      <c r="A19" s="3054" t="s">
        <v>1910</v>
      </c>
      <c r="B19" s="2600" t="s">
        <v>899</v>
      </c>
      <c r="C19" s="2563">
        <v>1609.86</v>
      </c>
      <c r="D19" s="2563">
        <v>698.03</v>
      </c>
      <c r="E19" s="2563">
        <v>636.48</v>
      </c>
      <c r="F19" s="2563">
        <v>1716.11</v>
      </c>
      <c r="G19" s="2563">
        <v>1566.52</v>
      </c>
      <c r="H19" s="2563">
        <v>1666.2</v>
      </c>
      <c r="I19" s="2563">
        <v>1653.79</v>
      </c>
      <c r="J19" s="2563">
        <f>J18*J14</f>
        <v>1254.71388</v>
      </c>
      <c r="K19" s="2563">
        <v>1831.09</v>
      </c>
      <c r="L19" s="2563">
        <v>1652.37</v>
      </c>
      <c r="M19" s="2563">
        <v>1078.7</v>
      </c>
      <c r="N19" s="2563">
        <v>1586.39</v>
      </c>
      <c r="O19" s="2563">
        <v>1699.56</v>
      </c>
      <c r="P19" s="2563">
        <v>1818.53</v>
      </c>
      <c r="Q19" s="2563">
        <v>1945.83</v>
      </c>
      <c r="R19" s="2563">
        <v>2082.04</v>
      </c>
      <c r="S19" s="2563">
        <f>S14*S18</f>
        <v>1711.5300750192755</v>
      </c>
      <c r="T19" s="2563">
        <f t="shared" ref="T19:AC19" si="35">T14*T18</f>
        <v>1783.4143381700851</v>
      </c>
      <c r="U19" s="2563">
        <f t="shared" si="35"/>
        <v>1854.7509116968886</v>
      </c>
      <c r="V19" s="2563">
        <f t="shared" si="35"/>
        <v>1928.940948164764</v>
      </c>
      <c r="W19" s="2563">
        <f t="shared" si="35"/>
        <v>2004.1696451431897</v>
      </c>
      <c r="X19" s="2563">
        <f t="shared" si="35"/>
        <v>2082.332261303774</v>
      </c>
      <c r="Y19" s="2563">
        <f t="shared" si="35"/>
        <v>1783.4143381700851</v>
      </c>
      <c r="Z19" s="2563">
        <f t="shared" si="35"/>
        <v>1854.7509116968886</v>
      </c>
      <c r="AA19" s="2563">
        <f t="shared" si="35"/>
        <v>1928.940948164764</v>
      </c>
      <c r="AB19" s="2563">
        <f t="shared" si="35"/>
        <v>2004.1696451431897</v>
      </c>
      <c r="AC19" s="2563">
        <f t="shared" si="35"/>
        <v>2082.332261303774</v>
      </c>
      <c r="AD19" s="2563">
        <f t="shared" ref="AD19" si="36">AD14*AD18</f>
        <v>1614.2784707454241</v>
      </c>
      <c r="AE19" s="2563">
        <f>SUM(AE21:AE22)</f>
        <v>805.69399999999996</v>
      </c>
      <c r="AF19" s="2563">
        <f t="shared" ref="AF19:AG19" si="37">SUM(AF21:AF22)</f>
        <v>1168.722</v>
      </c>
      <c r="AG19" s="2563">
        <f t="shared" si="37"/>
        <v>1635.52</v>
      </c>
      <c r="AH19" s="3604">
        <f t="shared" ref="AH19" si="38">AH14*AH18</f>
        <v>1688.5334883693006</v>
      </c>
      <c r="AI19" s="3604">
        <f t="shared" ref="AI19" si="39">AI14*AI18</f>
        <v>2007.4432224219233</v>
      </c>
      <c r="AJ19" s="3075">
        <f>SUM(AJ21:AJ22)</f>
        <v>831.34999000000005</v>
      </c>
      <c r="AK19" s="3075">
        <f t="shared" ref="AK19:AL19" si="40">SUM(AK21:AK22)</f>
        <v>1224.8</v>
      </c>
      <c r="AL19" s="3604">
        <f t="shared" si="40"/>
        <v>1703.0371600000001</v>
      </c>
      <c r="AM19" s="3944">
        <f t="shared" ref="AM19:AN19" si="41">AM14*AM18</f>
        <v>2107.8153835430194</v>
      </c>
      <c r="AN19" s="3944">
        <f t="shared" si="41"/>
        <v>2151.1068173517988</v>
      </c>
      <c r="AO19" s="3944">
        <f t="shared" ref="AO19:AQ19" si="42">SUM(AO21:AO22)</f>
        <v>795.07249000000002</v>
      </c>
      <c r="AP19" s="3944">
        <f t="shared" si="42"/>
        <v>1177.5219999999999</v>
      </c>
      <c r="AQ19" s="3944">
        <f t="shared" si="42"/>
        <v>1652.23</v>
      </c>
      <c r="AR19" s="3075">
        <f t="shared" ref="AR19:AS19" si="43">AR14*AR18</f>
        <v>2258.6621582193884</v>
      </c>
      <c r="AS19" s="3075">
        <f t="shared" si="43"/>
        <v>2449.8296052224027</v>
      </c>
      <c r="AT19" s="4735">
        <f t="shared" ref="AT19:AU19" si="44">SUM(AT21:AT22)</f>
        <v>1011.71421</v>
      </c>
      <c r="AU19" s="4735">
        <f t="shared" si="44"/>
        <v>1887.0387800000001</v>
      </c>
    </row>
    <row r="20" spans="1:47" x14ac:dyDescent="0.2">
      <c r="A20" s="3052" t="s">
        <v>50</v>
      </c>
      <c r="B20" s="3035"/>
      <c r="C20" s="2562"/>
      <c r="D20" s="2562"/>
      <c r="E20" s="2562"/>
      <c r="F20" s="2562"/>
      <c r="G20" s="2562"/>
      <c r="H20" s="2562"/>
      <c r="I20" s="2562"/>
      <c r="J20" s="2562"/>
      <c r="K20" s="2562"/>
      <c r="L20" s="2562"/>
      <c r="M20" s="2562"/>
      <c r="N20" s="2562"/>
      <c r="O20" s="2562"/>
      <c r="P20" s="2562"/>
      <c r="Q20" s="2562"/>
      <c r="R20" s="2562"/>
      <c r="S20" s="2562"/>
      <c r="T20" s="2562"/>
      <c r="U20" s="2562"/>
      <c r="V20" s="2562"/>
      <c r="W20" s="2562"/>
      <c r="X20" s="2562"/>
      <c r="Y20" s="2562"/>
      <c r="Z20" s="2562"/>
      <c r="AA20" s="2562"/>
      <c r="AB20" s="2562"/>
      <c r="AC20" s="2562"/>
      <c r="AD20" s="2562"/>
      <c r="AE20" s="2562"/>
      <c r="AF20" s="2562"/>
      <c r="AG20" s="2562"/>
      <c r="AH20" s="3603"/>
      <c r="AI20" s="3603"/>
      <c r="AJ20" s="3074"/>
      <c r="AK20" s="3074"/>
      <c r="AL20" s="3603"/>
      <c r="AM20" s="3945"/>
      <c r="AN20" s="3945"/>
      <c r="AO20" s="3945"/>
      <c r="AP20" s="3945"/>
      <c r="AQ20" s="3945"/>
      <c r="AR20" s="3074"/>
      <c r="AS20" s="3074"/>
      <c r="AT20" s="4575"/>
      <c r="AU20" s="4575"/>
    </row>
    <row r="21" spans="1:47" x14ac:dyDescent="0.2">
      <c r="A21" s="3056" t="str">
        <f>A16</f>
        <v>канализованный жил. фонд</v>
      </c>
      <c r="B21" s="3035" t="s">
        <v>899</v>
      </c>
      <c r="C21" s="2562"/>
      <c r="D21" s="2562"/>
      <c r="E21" s="2562"/>
      <c r="F21" s="2562"/>
      <c r="G21" s="2562"/>
      <c r="H21" s="2562"/>
      <c r="I21" s="2562"/>
      <c r="J21" s="2562">
        <f>J16*J18</f>
        <v>1254.71388</v>
      </c>
      <c r="K21" s="2562"/>
      <c r="L21" s="2562"/>
      <c r="M21" s="2562">
        <f>SUM(M19)</f>
        <v>1078.7</v>
      </c>
      <c r="N21" s="2562"/>
      <c r="O21" s="2562"/>
      <c r="P21" s="2562"/>
      <c r="Q21" s="2562"/>
      <c r="R21" s="2562"/>
      <c r="S21" s="2562">
        <f>S16*S18</f>
        <v>1711.5300750192755</v>
      </c>
      <c r="T21" s="2562">
        <f t="shared" ref="T21:X21" si="45">T16*T18</f>
        <v>1783.4143381700851</v>
      </c>
      <c r="U21" s="2562">
        <f t="shared" si="45"/>
        <v>1854.7509116968886</v>
      </c>
      <c r="V21" s="2562">
        <f t="shared" si="45"/>
        <v>1928.940948164764</v>
      </c>
      <c r="W21" s="2562">
        <f t="shared" si="45"/>
        <v>2004.1696451431897</v>
      </c>
      <c r="X21" s="2562">
        <f t="shared" si="45"/>
        <v>2082.332261303774</v>
      </c>
      <c r="Y21" s="2562">
        <f t="shared" ref="Y21:AC21" si="46">Y16*Y18</f>
        <v>1783.4143381700851</v>
      </c>
      <c r="Z21" s="2562">
        <f t="shared" si="46"/>
        <v>1854.7509116968886</v>
      </c>
      <c r="AA21" s="2562">
        <f t="shared" si="46"/>
        <v>1928.940948164764</v>
      </c>
      <c r="AB21" s="2562">
        <f t="shared" si="46"/>
        <v>2004.1696451431897</v>
      </c>
      <c r="AC21" s="2562">
        <f t="shared" si="46"/>
        <v>2082.332261303774</v>
      </c>
      <c r="AD21" s="2562">
        <f t="shared" ref="AD21" si="47">AD16*AD18</f>
        <v>1614.2784707454241</v>
      </c>
      <c r="AE21" s="2562">
        <v>805.69399999999996</v>
      </c>
      <c r="AF21" s="2562">
        <v>1168.722</v>
      </c>
      <c r="AG21" s="2562">
        <v>1635.52</v>
      </c>
      <c r="AH21" s="3603">
        <f t="shared" ref="AH21" si="48">AH16*AH18</f>
        <v>1688.5334883693006</v>
      </c>
      <c r="AI21" s="3603">
        <f t="shared" ref="AI21" si="49">AI16*AI18</f>
        <v>1994.9747098822081</v>
      </c>
      <c r="AJ21" s="3074">
        <v>831.34999000000005</v>
      </c>
      <c r="AK21" s="3074">
        <v>1224.8</v>
      </c>
      <c r="AL21" s="3603">
        <v>1703.0371600000001</v>
      </c>
      <c r="AM21" s="3945">
        <f t="shared" ref="AM21:AN21" si="50">AM16*AM18</f>
        <v>2094.7234453763185</v>
      </c>
      <c r="AN21" s="3945">
        <f t="shared" si="50"/>
        <v>2140.47684024517</v>
      </c>
      <c r="AO21" s="3945">
        <v>795.07249000000002</v>
      </c>
      <c r="AP21" s="3945">
        <v>1177.5219999999999</v>
      </c>
      <c r="AQ21" s="3945">
        <v>1652.23</v>
      </c>
      <c r="AR21" s="3074">
        <f t="shared" ref="AR21:AS21" si="51">AR16*AR18</f>
        <v>2247.5006822574283</v>
      </c>
      <c r="AS21" s="3074">
        <f t="shared" si="51"/>
        <v>2437.698388323422</v>
      </c>
      <c r="AT21" s="4718">
        <v>1011.71421</v>
      </c>
      <c r="AU21" s="4718">
        <v>1887.0387800000001</v>
      </c>
    </row>
    <row r="22" spans="1:47" x14ac:dyDescent="0.2">
      <c r="A22" s="3056" t="str">
        <f>A17</f>
        <v>не канализованный жил. фонд</v>
      </c>
      <c r="B22" s="3035" t="s">
        <v>899</v>
      </c>
      <c r="C22" s="2562"/>
      <c r="D22" s="2562"/>
      <c r="E22" s="2562"/>
      <c r="F22" s="2562"/>
      <c r="G22" s="2562"/>
      <c r="H22" s="2562"/>
      <c r="I22" s="2562"/>
      <c r="J22" s="2562">
        <f>J17*J18</f>
        <v>0</v>
      </c>
      <c r="K22" s="2562"/>
      <c r="L22" s="2562"/>
      <c r="M22" s="2562">
        <v>0</v>
      </c>
      <c r="N22" s="2562"/>
      <c r="O22" s="2562"/>
      <c r="P22" s="2562"/>
      <c r="Q22" s="2562"/>
      <c r="R22" s="2562"/>
      <c r="S22" s="2562">
        <f>S17*S18</f>
        <v>0</v>
      </c>
      <c r="T22" s="2562">
        <f t="shared" ref="T22:X22" si="52">T17*T18</f>
        <v>0</v>
      </c>
      <c r="U22" s="2562">
        <f t="shared" si="52"/>
        <v>0</v>
      </c>
      <c r="V22" s="2562">
        <f t="shared" si="52"/>
        <v>0</v>
      </c>
      <c r="W22" s="2562">
        <f t="shared" si="52"/>
        <v>0</v>
      </c>
      <c r="X22" s="2562">
        <f t="shared" si="52"/>
        <v>0</v>
      </c>
      <c r="Y22" s="2562">
        <f t="shared" ref="Y22:AC22" si="53">Y17*Y18</f>
        <v>0</v>
      </c>
      <c r="Z22" s="2562">
        <f t="shared" si="53"/>
        <v>0</v>
      </c>
      <c r="AA22" s="2562">
        <f t="shared" si="53"/>
        <v>0</v>
      </c>
      <c r="AB22" s="2562">
        <f t="shared" si="53"/>
        <v>0</v>
      </c>
      <c r="AC22" s="2562">
        <f t="shared" si="53"/>
        <v>0</v>
      </c>
      <c r="AD22" s="2562">
        <f t="shared" ref="AD22" si="54">AD17*AD18</f>
        <v>0</v>
      </c>
      <c r="AE22" s="2562">
        <v>0</v>
      </c>
      <c r="AF22" s="2562">
        <v>0</v>
      </c>
      <c r="AG22" s="2562">
        <v>0</v>
      </c>
      <c r="AH22" s="3603">
        <f t="shared" ref="AH22" si="55">AH17*AH18</f>
        <v>0</v>
      </c>
      <c r="AI22" s="3603">
        <f t="shared" ref="AI22" si="56">AI17*AI18</f>
        <v>12.468512539715029</v>
      </c>
      <c r="AJ22" s="3074">
        <v>0</v>
      </c>
      <c r="AK22" s="3074">
        <v>0</v>
      </c>
      <c r="AL22" s="3603">
        <v>0</v>
      </c>
      <c r="AM22" s="3945">
        <f t="shared" ref="AM22:AN22" si="57">AM17*AM18</f>
        <v>13.09193816670078</v>
      </c>
      <c r="AN22" s="3945">
        <f t="shared" si="57"/>
        <v>10.629977106628969</v>
      </c>
      <c r="AO22" s="3945">
        <v>0</v>
      </c>
      <c r="AP22" s="3945">
        <v>0</v>
      </c>
      <c r="AQ22" s="3945">
        <v>0</v>
      </c>
      <c r="AR22" s="3074">
        <f t="shared" ref="AR22:AS22" si="58">AR17*AR18</f>
        <v>11.161475961960416</v>
      </c>
      <c r="AS22" s="3074">
        <f t="shared" si="58"/>
        <v>12.131216898980888</v>
      </c>
      <c r="AT22" s="4718">
        <v>0</v>
      </c>
      <c r="AU22" s="4718">
        <v>0</v>
      </c>
    </row>
    <row r="23" spans="1:47" s="1922" customFormat="1" x14ac:dyDescent="0.2">
      <c r="A23" s="3054" t="s">
        <v>1911</v>
      </c>
      <c r="B23" s="2600"/>
      <c r="C23" s="2563"/>
      <c r="D23" s="2563"/>
      <c r="E23" s="2563"/>
      <c r="F23" s="2563"/>
      <c r="G23" s="2563"/>
      <c r="H23" s="2563"/>
      <c r="I23" s="2563"/>
      <c r="J23" s="2563"/>
      <c r="K23" s="2563"/>
      <c r="L23" s="2563"/>
      <c r="M23" s="2563"/>
      <c r="N23" s="2563"/>
      <c r="O23" s="2563"/>
      <c r="P23" s="2563"/>
      <c r="Q23" s="2563"/>
      <c r="R23" s="2563"/>
      <c r="S23" s="2563"/>
      <c r="T23" s="2563"/>
      <c r="U23" s="2563"/>
      <c r="V23" s="2563"/>
      <c r="W23" s="2563"/>
      <c r="X23" s="2563"/>
      <c r="Y23" s="2563"/>
      <c r="Z23" s="2563"/>
      <c r="AA23" s="2563"/>
      <c r="AB23" s="2563"/>
      <c r="AC23" s="2563"/>
      <c r="AD23" s="2563"/>
      <c r="AE23" s="2563"/>
      <c r="AF23" s="2563"/>
      <c r="AG23" s="2563"/>
      <c r="AH23" s="3604"/>
      <c r="AI23" s="3604"/>
      <c r="AJ23" s="3075"/>
      <c r="AK23" s="3075"/>
      <c r="AL23" s="3604"/>
      <c r="AM23" s="3944"/>
      <c r="AN23" s="3944"/>
      <c r="AO23" s="3944"/>
      <c r="AP23" s="3944"/>
      <c r="AQ23" s="3944"/>
      <c r="AR23" s="3075"/>
      <c r="AS23" s="3075"/>
      <c r="AT23" s="4735"/>
      <c r="AU23" s="4735"/>
    </row>
    <row r="24" spans="1:47" x14ac:dyDescent="0.2">
      <c r="A24" s="3052" t="s">
        <v>1913</v>
      </c>
      <c r="B24" s="3035" t="s">
        <v>934</v>
      </c>
      <c r="C24" s="2562">
        <v>3463.93</v>
      </c>
      <c r="D24" s="2562">
        <f>D9</f>
        <v>3061.49</v>
      </c>
      <c r="E24" s="2562">
        <f>E9</f>
        <v>3061.19</v>
      </c>
      <c r="F24" s="2562">
        <f>C24</f>
        <v>3463.93</v>
      </c>
      <c r="G24" s="2562">
        <f>G9</f>
        <v>3295.75</v>
      </c>
      <c r="H24" s="2562">
        <f>H9</f>
        <v>3197.32</v>
      </c>
      <c r="I24" s="2562">
        <f>G24</f>
        <v>3295.75</v>
      </c>
      <c r="J24" s="2562">
        <f>J26+J27</f>
        <v>3197.3199999999997</v>
      </c>
      <c r="K24" s="2562">
        <f>F24</f>
        <v>3463.93</v>
      </c>
      <c r="L24" s="2562">
        <f>L9</f>
        <v>3248.93</v>
      </c>
      <c r="M24" s="2562">
        <f>SUM(M26:M27)</f>
        <v>3150.37</v>
      </c>
      <c r="N24" s="2562">
        <f t="shared" ref="N24:R24" si="59">N9</f>
        <v>3248.93</v>
      </c>
      <c r="O24" s="2562">
        <f t="shared" si="59"/>
        <v>3253</v>
      </c>
      <c r="P24" s="2562">
        <f t="shared" si="59"/>
        <v>3253</v>
      </c>
      <c r="Q24" s="2562">
        <f t="shared" si="59"/>
        <v>3253</v>
      </c>
      <c r="R24" s="2562">
        <f t="shared" si="59"/>
        <v>3253</v>
      </c>
      <c r="S24" s="2562">
        <f>S26+S27</f>
        <v>3020.0036431580988</v>
      </c>
      <c r="T24" s="2562">
        <f t="shared" ref="T24:AC24" si="60">T26+T27</f>
        <v>3020.0036431580988</v>
      </c>
      <c r="U24" s="2562">
        <f t="shared" si="60"/>
        <v>3020.0036431580988</v>
      </c>
      <c r="V24" s="2562">
        <f t="shared" si="60"/>
        <v>3020.0036431580988</v>
      </c>
      <c r="W24" s="2562">
        <f t="shared" si="60"/>
        <v>3020.0036431580988</v>
      </c>
      <c r="X24" s="2562">
        <f t="shared" si="60"/>
        <v>3020.0036431580988</v>
      </c>
      <c r="Y24" s="2562">
        <f t="shared" si="60"/>
        <v>3020.0036431580988</v>
      </c>
      <c r="Z24" s="2562">
        <f t="shared" si="60"/>
        <v>3020.0036431580988</v>
      </c>
      <c r="AA24" s="2562">
        <f t="shared" si="60"/>
        <v>3020.0036431580988</v>
      </c>
      <c r="AB24" s="2562">
        <f t="shared" si="60"/>
        <v>3020.0036431580988</v>
      </c>
      <c r="AC24" s="2562">
        <f t="shared" si="60"/>
        <v>3020.0036431580988</v>
      </c>
      <c r="AD24" s="2562">
        <f t="shared" ref="AD24" si="61">AD26+AD27</f>
        <v>3020.0036431580988</v>
      </c>
      <c r="AE24" s="2562">
        <f t="shared" ref="AE24:AG24" si="62">SUM(AE26:AE27)</f>
        <v>1547.3829999999998</v>
      </c>
      <c r="AF24" s="2562">
        <f t="shared" si="62"/>
        <v>2322.4540000000002</v>
      </c>
      <c r="AG24" s="2562">
        <f t="shared" si="62"/>
        <v>3120.433</v>
      </c>
      <c r="AH24" s="3603">
        <f t="shared" ref="AH24" si="63">AH26+AH27</f>
        <v>3020.0036431580988</v>
      </c>
      <c r="AI24" s="3603">
        <f t="shared" ref="AI24" si="64">AI26+AI27</f>
        <v>2844.4049999999997</v>
      </c>
      <c r="AJ24" s="3074">
        <f t="shared" ref="AJ24:AL24" si="65">SUM(AJ26:AJ27)</f>
        <v>1567.3310000000001</v>
      </c>
      <c r="AK24" s="3074">
        <f t="shared" si="65"/>
        <v>2286.9459999999999</v>
      </c>
      <c r="AL24" s="3603">
        <f t="shared" si="65"/>
        <v>3075.5420000000004</v>
      </c>
      <c r="AM24" s="3945">
        <f t="shared" ref="AM24:AN24" si="66">AM26+AM27</f>
        <v>2844.4049999999997</v>
      </c>
      <c r="AN24" s="3945">
        <f t="shared" si="66"/>
        <v>2997.3360299999999</v>
      </c>
      <c r="AO24" s="3945">
        <f t="shared" ref="AO24:AQ24" si="67">SUM(AO26:AO27)</f>
        <v>1585.1690000000001</v>
      </c>
      <c r="AP24" s="3945">
        <f t="shared" si="67"/>
        <v>2327.3589999999999</v>
      </c>
      <c r="AQ24" s="3945">
        <f t="shared" si="67"/>
        <v>3104.08</v>
      </c>
      <c r="AR24" s="3074">
        <f t="shared" ref="AR24:AS24" si="68">AR26+AR27</f>
        <v>2997.3360299999999</v>
      </c>
      <c r="AS24" s="3074">
        <f t="shared" si="68"/>
        <v>3074.2522484906162</v>
      </c>
      <c r="AT24" s="4718">
        <f t="shared" ref="AT24:AU24" si="69">SUM(AT26:AT27)</f>
        <v>1652.5140000000001</v>
      </c>
      <c r="AU24" s="4718">
        <f t="shared" si="69"/>
        <v>3225.5614</v>
      </c>
    </row>
    <row r="25" spans="1:47" x14ac:dyDescent="0.2">
      <c r="A25" s="3052" t="s">
        <v>50</v>
      </c>
      <c r="B25" s="3035"/>
      <c r="C25" s="2562"/>
      <c r="D25" s="2562"/>
      <c r="E25" s="2562"/>
      <c r="F25" s="2562"/>
      <c r="G25" s="2562"/>
      <c r="H25" s="2562"/>
      <c r="I25" s="2562"/>
      <c r="J25" s="2562"/>
      <c r="K25" s="2562"/>
      <c r="L25" s="2562"/>
      <c r="M25" s="2562"/>
      <c r="N25" s="2562"/>
      <c r="O25" s="2562"/>
      <c r="P25" s="2562"/>
      <c r="Q25" s="2562"/>
      <c r="R25" s="2562"/>
      <c r="S25" s="2562"/>
      <c r="T25" s="2562"/>
      <c r="U25" s="2562"/>
      <c r="V25" s="2562"/>
      <c r="W25" s="2562"/>
      <c r="X25" s="2562"/>
      <c r="Y25" s="2562"/>
      <c r="Z25" s="2562"/>
      <c r="AA25" s="2562"/>
      <c r="AB25" s="2562"/>
      <c r="AC25" s="2562"/>
      <c r="AD25" s="2562"/>
      <c r="AE25" s="2562"/>
      <c r="AF25" s="2562"/>
      <c r="AG25" s="2562"/>
      <c r="AH25" s="3603"/>
      <c r="AI25" s="3603"/>
      <c r="AJ25" s="3074"/>
      <c r="AK25" s="3074"/>
      <c r="AL25" s="3603"/>
      <c r="AM25" s="3945"/>
      <c r="AN25" s="3945"/>
      <c r="AO25" s="3945"/>
      <c r="AP25" s="3945"/>
      <c r="AQ25" s="3945"/>
      <c r="AR25" s="3074"/>
      <c r="AS25" s="3074"/>
      <c r="AT25" s="4718"/>
      <c r="AU25" s="4718"/>
    </row>
    <row r="26" spans="1:47" x14ac:dyDescent="0.2">
      <c r="A26" s="3056" t="str">
        <f>A21</f>
        <v>канализованный жил. фонд</v>
      </c>
      <c r="B26" s="3035" t="s">
        <v>934</v>
      </c>
      <c r="C26" s="2562"/>
      <c r="D26" s="2562"/>
      <c r="E26" s="2562"/>
      <c r="F26" s="2562"/>
      <c r="G26" s="2562"/>
      <c r="H26" s="2562"/>
      <c r="I26" s="2562"/>
      <c r="J26" s="2562">
        <f>J11</f>
        <v>3178.1</v>
      </c>
      <c r="K26" s="2562"/>
      <c r="L26" s="2562"/>
      <c r="M26" s="2562">
        <f>M11</f>
        <v>3132.12</v>
      </c>
      <c r="N26" s="2562"/>
      <c r="O26" s="2562"/>
      <c r="P26" s="2562"/>
      <c r="Q26" s="2562"/>
      <c r="R26" s="2562"/>
      <c r="S26" s="2562">
        <f>S11</f>
        <v>3002.3369764914323</v>
      </c>
      <c r="T26" s="2562">
        <f>S26</f>
        <v>3002.3369764914323</v>
      </c>
      <c r="U26" s="2562">
        <f t="shared" ref="U26:X28" si="70">T26</f>
        <v>3002.3369764914323</v>
      </c>
      <c r="V26" s="2562">
        <f t="shared" si="70"/>
        <v>3002.3369764914323</v>
      </c>
      <c r="W26" s="2562">
        <f t="shared" si="70"/>
        <v>3002.3369764914323</v>
      </c>
      <c r="X26" s="2562">
        <f t="shared" si="70"/>
        <v>3002.3369764914323</v>
      </c>
      <c r="Y26" s="2562">
        <f>SUM(Y11)</f>
        <v>3002.3369764914323</v>
      </c>
      <c r="Z26" s="2562">
        <f t="shared" ref="Z26:AC27" si="71">SUM(Z11)</f>
        <v>3002.3369764914323</v>
      </c>
      <c r="AA26" s="2562">
        <f t="shared" si="71"/>
        <v>3002.3369764914323</v>
      </c>
      <c r="AB26" s="2562">
        <f t="shared" si="71"/>
        <v>3002.3369764914323</v>
      </c>
      <c r="AC26" s="2562">
        <f t="shared" si="71"/>
        <v>3002.3369764914323</v>
      </c>
      <c r="AD26" s="2562">
        <f>SUM(Y26)</f>
        <v>3002.3369764914323</v>
      </c>
      <c r="AE26" s="2562">
        <f t="shared" ref="AE26:AG26" si="72">AE11</f>
        <v>1538.6509999999998</v>
      </c>
      <c r="AF26" s="2562">
        <f t="shared" si="72"/>
        <v>2309.123</v>
      </c>
      <c r="AG26" s="2562">
        <f t="shared" si="72"/>
        <v>3105.598</v>
      </c>
      <c r="AH26" s="3603">
        <f>SUM(AC26)</f>
        <v>3002.3369764914323</v>
      </c>
      <c r="AI26" s="3603">
        <f>SUM(AI11)</f>
        <v>2826.7379999999998</v>
      </c>
      <c r="AJ26" s="3074">
        <f t="shared" ref="AJ26:AL26" si="73">AJ11</f>
        <v>1559.5720000000001</v>
      </c>
      <c r="AK26" s="3074">
        <f t="shared" si="73"/>
        <v>2275.0949999999998</v>
      </c>
      <c r="AL26" s="3603">
        <f t="shared" si="73"/>
        <v>3059.2510000000002</v>
      </c>
      <c r="AM26" s="3945">
        <f>SUM(AM11)</f>
        <v>2826.7379999999998</v>
      </c>
      <c r="AN26" s="3945">
        <f>SUM(AN11)</f>
        <v>2982.5243</v>
      </c>
      <c r="AO26" s="3945">
        <f t="shared" ref="AO26:AQ26" si="74">AO11</f>
        <v>1577.7370000000001</v>
      </c>
      <c r="AP26" s="3945">
        <f t="shared" si="74"/>
        <v>2315.75</v>
      </c>
      <c r="AQ26" s="3945">
        <f t="shared" si="74"/>
        <v>3087.8620000000001</v>
      </c>
      <c r="AR26" s="3074">
        <f>SUM(AR11)</f>
        <v>2982.5243</v>
      </c>
      <c r="AS26" s="3074">
        <f>SUM(AS11)</f>
        <v>3059.0289771459002</v>
      </c>
      <c r="AT26" s="4718">
        <f t="shared" ref="AT26:AU26" si="75">AT11</f>
        <v>1645.6220000000001</v>
      </c>
      <c r="AU26" s="4718">
        <f t="shared" si="75"/>
        <v>3210.7348999999999</v>
      </c>
    </row>
    <row r="27" spans="1:47" x14ac:dyDescent="0.2">
      <c r="A27" s="3056" t="str">
        <f>A22</f>
        <v>не канализованный жил. фонд</v>
      </c>
      <c r="B27" s="3035" t="s">
        <v>934</v>
      </c>
      <c r="C27" s="2562"/>
      <c r="D27" s="2562"/>
      <c r="E27" s="2562"/>
      <c r="F27" s="2562"/>
      <c r="G27" s="2562"/>
      <c r="H27" s="2562"/>
      <c r="I27" s="2562"/>
      <c r="J27" s="2562">
        <f>J12</f>
        <v>19.22</v>
      </c>
      <c r="K27" s="2562"/>
      <c r="L27" s="2562"/>
      <c r="M27" s="2562">
        <f>M12</f>
        <v>18.25</v>
      </c>
      <c r="N27" s="2562"/>
      <c r="O27" s="2562"/>
      <c r="P27" s="2562"/>
      <c r="Q27" s="2562"/>
      <c r="R27" s="2562"/>
      <c r="S27" s="2562">
        <f>S12</f>
        <v>17.666666666666668</v>
      </c>
      <c r="T27" s="2562">
        <f>S27</f>
        <v>17.666666666666668</v>
      </c>
      <c r="U27" s="2562">
        <f t="shared" si="70"/>
        <v>17.666666666666668</v>
      </c>
      <c r="V27" s="2562">
        <f t="shared" si="70"/>
        <v>17.666666666666668</v>
      </c>
      <c r="W27" s="2562">
        <f t="shared" si="70"/>
        <v>17.666666666666668</v>
      </c>
      <c r="X27" s="2562">
        <f t="shared" si="70"/>
        <v>17.666666666666668</v>
      </c>
      <c r="Y27" s="2562">
        <f>SUM(Y12)</f>
        <v>17.666666666666668</v>
      </c>
      <c r="Z27" s="2562">
        <f t="shared" si="71"/>
        <v>17.666666666666668</v>
      </c>
      <c r="AA27" s="2562">
        <f t="shared" si="71"/>
        <v>17.666666666666668</v>
      </c>
      <c r="AB27" s="2562">
        <f t="shared" si="71"/>
        <v>17.666666666666668</v>
      </c>
      <c r="AC27" s="2562">
        <f t="shared" si="71"/>
        <v>17.666666666666668</v>
      </c>
      <c r="AD27" s="2562">
        <f>SUM(Y27)</f>
        <v>17.666666666666668</v>
      </c>
      <c r="AE27" s="2562">
        <f t="shared" ref="AE27:AG27" si="76">AE12</f>
        <v>8.7319999999999993</v>
      </c>
      <c r="AF27" s="2562">
        <f t="shared" si="76"/>
        <v>13.331</v>
      </c>
      <c r="AG27" s="2562">
        <f t="shared" si="76"/>
        <v>14.835000000000001</v>
      </c>
      <c r="AH27" s="3603">
        <f>SUM(AC27)</f>
        <v>17.666666666666668</v>
      </c>
      <c r="AI27" s="3603">
        <f>SUM(AI12)</f>
        <v>17.667000000000002</v>
      </c>
      <c r="AJ27" s="3074">
        <f t="shared" ref="AJ27:AL27" si="77">AJ12</f>
        <v>7.7590000000000003</v>
      </c>
      <c r="AK27" s="3074">
        <f t="shared" si="77"/>
        <v>11.851000000000001</v>
      </c>
      <c r="AL27" s="3603">
        <f t="shared" si="77"/>
        <v>16.291</v>
      </c>
      <c r="AM27" s="3945">
        <f>SUM(AM12)</f>
        <v>17.667000000000002</v>
      </c>
      <c r="AN27" s="3945">
        <f>SUM(AN12)</f>
        <v>14.811730000000001</v>
      </c>
      <c r="AO27" s="3945">
        <f t="shared" ref="AO27:AQ27" si="78">AO12</f>
        <v>7.4320000000000004</v>
      </c>
      <c r="AP27" s="3945">
        <f t="shared" si="78"/>
        <v>11.609</v>
      </c>
      <c r="AQ27" s="3945">
        <f t="shared" si="78"/>
        <v>16.218</v>
      </c>
      <c r="AR27" s="3074">
        <f>SUM(AR12)</f>
        <v>14.811730000000001</v>
      </c>
      <c r="AS27" s="3074">
        <f>SUM(AS12)</f>
        <v>15.2232713447161</v>
      </c>
      <c r="AT27" s="4718">
        <f t="shared" ref="AT27:AU27" si="79">AT12</f>
        <v>6.8920000000000003</v>
      </c>
      <c r="AU27" s="4718">
        <f t="shared" si="79"/>
        <v>14.826499999999999</v>
      </c>
    </row>
    <row r="28" spans="1:47" ht="54" customHeight="1" x14ac:dyDescent="0.2">
      <c r="A28" s="3052" t="s">
        <v>1912</v>
      </c>
      <c r="B28" s="3035" t="s">
        <v>1832</v>
      </c>
      <c r="C28" s="2574">
        <v>0.42</v>
      </c>
      <c r="D28" s="2574">
        <v>0.60199999999999998</v>
      </c>
      <c r="E28" s="2574">
        <f>C28</f>
        <v>0.42</v>
      </c>
      <c r="F28" s="2574">
        <f>C28</f>
        <v>0.42</v>
      </c>
      <c r="G28" s="2574">
        <v>0.42</v>
      </c>
      <c r="H28" s="2574">
        <v>0.628</v>
      </c>
      <c r="I28" s="2574">
        <v>0.629</v>
      </c>
      <c r="J28" s="2574">
        <f>G28</f>
        <v>0.42</v>
      </c>
      <c r="K28" s="2574">
        <f>F28</f>
        <v>0.42</v>
      </c>
      <c r="L28" s="2574">
        <f>K28</f>
        <v>0.42</v>
      </c>
      <c r="M28" s="2574">
        <f>SUM(M29/M24)</f>
        <v>0.63927570412364265</v>
      </c>
      <c r="N28" s="2574">
        <v>0.6</v>
      </c>
      <c r="O28" s="2574">
        <v>0.6</v>
      </c>
      <c r="P28" s="2574">
        <v>0.6</v>
      </c>
      <c r="Q28" s="2574">
        <v>0.6</v>
      </c>
      <c r="R28" s="2574">
        <v>0.6</v>
      </c>
      <c r="S28" s="2574">
        <f>A50</f>
        <v>0.46085083542073829</v>
      </c>
      <c r="T28" s="2574">
        <f>S28</f>
        <v>0.46085083542073829</v>
      </c>
      <c r="U28" s="2574">
        <f t="shared" si="70"/>
        <v>0.46085083542073829</v>
      </c>
      <c r="V28" s="2574">
        <f t="shared" si="70"/>
        <v>0.46085083542073829</v>
      </c>
      <c r="W28" s="2574">
        <f t="shared" si="70"/>
        <v>0.46085083542073829</v>
      </c>
      <c r="X28" s="2574">
        <f t="shared" si="70"/>
        <v>0.46085083542073829</v>
      </c>
      <c r="Y28" s="2574">
        <f t="shared" ref="Y28:AD28" si="80">SUM(X28)</f>
        <v>0.46085083542073829</v>
      </c>
      <c r="Z28" s="2574">
        <f t="shared" si="80"/>
        <v>0.46085083542073829</v>
      </c>
      <c r="AA28" s="2574">
        <f t="shared" si="80"/>
        <v>0.46085083542073829</v>
      </c>
      <c r="AB28" s="2574">
        <f t="shared" si="80"/>
        <v>0.46085083542073829</v>
      </c>
      <c r="AC28" s="2574">
        <f t="shared" si="80"/>
        <v>0.46085083542073829</v>
      </c>
      <c r="AD28" s="2574">
        <f t="shared" si="80"/>
        <v>0.46085083542073829</v>
      </c>
      <c r="AE28" s="2574">
        <f t="shared" ref="AE28:AG28" si="81">SUM(AE29/AE24)</f>
        <v>0.6198006569802047</v>
      </c>
      <c r="AF28" s="2574">
        <f t="shared" si="81"/>
        <v>0.62165795318228034</v>
      </c>
      <c r="AG28" s="2574">
        <f t="shared" si="81"/>
        <v>0.61480217649281366</v>
      </c>
      <c r="AH28" s="2574">
        <v>0.61499999999999999</v>
      </c>
      <c r="AI28" s="2574">
        <f>SUM(AD28)</f>
        <v>0.46085083542073829</v>
      </c>
      <c r="AJ28" s="2384">
        <f t="shared" ref="AJ28:AL28" si="82">SUM(AJ29/AJ24)</f>
        <v>0.60339775069848034</v>
      </c>
      <c r="AK28" s="2384">
        <f t="shared" si="82"/>
        <v>0.61550688122937758</v>
      </c>
      <c r="AL28" s="2574">
        <f t="shared" si="82"/>
        <v>0.62161823834628172</v>
      </c>
      <c r="AM28" s="2574">
        <v>0.61499999999999999</v>
      </c>
      <c r="AN28" s="2574">
        <f>SUM(AI28)</f>
        <v>0.46085083542073829</v>
      </c>
      <c r="AO28" s="2574">
        <f t="shared" ref="AO28:AQ28" si="83">SUM(AO29/AO24)</f>
        <v>0.59482048917181696</v>
      </c>
      <c r="AP28" s="2574">
        <f t="shared" si="83"/>
        <v>0.60463555472103792</v>
      </c>
      <c r="AQ28" s="2574">
        <f t="shared" si="83"/>
        <v>0.61280508234323861</v>
      </c>
      <c r="AR28" s="2384">
        <f>SUM(AN28)</f>
        <v>0.46085083542073829</v>
      </c>
      <c r="AS28" s="2384">
        <f>SUM(AN28)</f>
        <v>0.46085083542073829</v>
      </c>
      <c r="AT28" s="4736">
        <f t="shared" ref="AT28:AU28" si="84">SUM(AT29/AT24)</f>
        <v>0.58268432219031119</v>
      </c>
      <c r="AU28" s="4736">
        <f t="shared" si="84"/>
        <v>0.57088077752914579</v>
      </c>
    </row>
    <row r="29" spans="1:47" ht="25.5" x14ac:dyDescent="0.2">
      <c r="A29" s="3052" t="s">
        <v>3515</v>
      </c>
      <c r="B29" s="3035" t="s">
        <v>1833</v>
      </c>
      <c r="C29" s="2562">
        <v>1454.9</v>
      </c>
      <c r="D29" s="2562">
        <v>1842.5</v>
      </c>
      <c r="E29" s="2562">
        <v>1285.8</v>
      </c>
      <c r="F29" s="2562">
        <v>1454.9</v>
      </c>
      <c r="G29" s="2562">
        <v>1384.2</v>
      </c>
      <c r="H29" s="2562">
        <v>2009.0730000000001</v>
      </c>
      <c r="I29" s="2562">
        <v>2009.07</v>
      </c>
      <c r="J29" s="2562">
        <f>J31+J32</f>
        <v>1342.8743999999999</v>
      </c>
      <c r="K29" s="2562">
        <v>1454.9</v>
      </c>
      <c r="L29" s="2562">
        <v>1364.6</v>
      </c>
      <c r="M29" s="2562">
        <f>SUM(M31:M32)</f>
        <v>2013.9549999999999</v>
      </c>
      <c r="N29" s="2562">
        <v>1949.36</v>
      </c>
      <c r="O29" s="2562">
        <v>1951.8</v>
      </c>
      <c r="P29" s="2562">
        <v>1951.8</v>
      </c>
      <c r="Q29" s="2562">
        <v>1951.8</v>
      </c>
      <c r="R29" s="2562">
        <v>1951.8</v>
      </c>
      <c r="S29" s="2562">
        <f>S24*S28</f>
        <v>1391.771201923083</v>
      </c>
      <c r="T29" s="2562">
        <f t="shared" ref="T29:AC29" si="85">T24*T28</f>
        <v>1391.771201923083</v>
      </c>
      <c r="U29" s="2562">
        <f t="shared" si="85"/>
        <v>1391.771201923083</v>
      </c>
      <c r="V29" s="2562">
        <f t="shared" si="85"/>
        <v>1391.771201923083</v>
      </c>
      <c r="W29" s="2562">
        <f t="shared" si="85"/>
        <v>1391.771201923083</v>
      </c>
      <c r="X29" s="2562">
        <f t="shared" si="85"/>
        <v>1391.771201923083</v>
      </c>
      <c r="Y29" s="2562">
        <f t="shared" si="85"/>
        <v>1391.771201923083</v>
      </c>
      <c r="Z29" s="2562">
        <f t="shared" si="85"/>
        <v>1391.771201923083</v>
      </c>
      <c r="AA29" s="2562">
        <f t="shared" si="85"/>
        <v>1391.771201923083</v>
      </c>
      <c r="AB29" s="2562">
        <f t="shared" si="85"/>
        <v>1391.771201923083</v>
      </c>
      <c r="AC29" s="2562">
        <f t="shared" si="85"/>
        <v>1391.771201923083</v>
      </c>
      <c r="AD29" s="2562">
        <f t="shared" ref="AD29" si="86">AD24*AD28</f>
        <v>1391.771201923083</v>
      </c>
      <c r="AE29" s="2562">
        <f t="shared" ref="AE29:AG29" si="87">SUM(AE31:AE32)</f>
        <v>959.06899999999996</v>
      </c>
      <c r="AF29" s="2562">
        <f t="shared" si="87"/>
        <v>1443.7719999999999</v>
      </c>
      <c r="AG29" s="2562">
        <f t="shared" si="87"/>
        <v>1918.4490000000001</v>
      </c>
      <c r="AH29" s="3603">
        <f>AH24*AH28</f>
        <v>1857.3022405422307</v>
      </c>
      <c r="AI29" s="3603">
        <f>AI24*AI28</f>
        <v>1310.846420524925</v>
      </c>
      <c r="AJ29" s="3074">
        <f t="shared" ref="AJ29:AL29" si="88">SUM(AJ31:AJ32)</f>
        <v>945.72400000000005</v>
      </c>
      <c r="AK29" s="3074">
        <f t="shared" si="88"/>
        <v>1407.6310000000001</v>
      </c>
      <c r="AL29" s="3603">
        <f t="shared" si="88"/>
        <v>1911.8130000000001</v>
      </c>
      <c r="AM29" s="3945">
        <f>AM24*AM28</f>
        <v>1749.3090749999999</v>
      </c>
      <c r="AN29" s="3945">
        <f>AN24*AN28</f>
        <v>1381.324813462179</v>
      </c>
      <c r="AO29" s="3945">
        <f t="shared" ref="AO29:AQ29" si="89">SUM(AO31:AO32)</f>
        <v>942.89099999999996</v>
      </c>
      <c r="AP29" s="3945">
        <f t="shared" si="89"/>
        <v>1407.204</v>
      </c>
      <c r="AQ29" s="3945">
        <f t="shared" si="89"/>
        <v>1902.1959999999999</v>
      </c>
      <c r="AR29" s="3074">
        <f>AR24*AR28</f>
        <v>1381.324813462179</v>
      </c>
      <c r="AS29" s="3074">
        <f>AS24*AS28</f>
        <v>1416.7717170109836</v>
      </c>
      <c r="AT29" s="4718">
        <f t="shared" ref="AT29:AU29" si="90">SUM(AT31:AT32)</f>
        <v>962.89400000000001</v>
      </c>
      <c r="AU29" s="4718">
        <f t="shared" si="90"/>
        <v>1841.4110000000001</v>
      </c>
    </row>
    <row r="30" spans="1:47" x14ac:dyDescent="0.2">
      <c r="A30" s="3052" t="s">
        <v>50</v>
      </c>
      <c r="B30" s="3035"/>
      <c r="C30" s="2562"/>
      <c r="D30" s="2562"/>
      <c r="E30" s="2562"/>
      <c r="F30" s="2562"/>
      <c r="G30" s="2562"/>
      <c r="H30" s="2562"/>
      <c r="I30" s="2562"/>
      <c r="J30" s="2562"/>
      <c r="K30" s="2562"/>
      <c r="L30" s="2562"/>
      <c r="M30" s="2562"/>
      <c r="N30" s="2562"/>
      <c r="O30" s="2562"/>
      <c r="P30" s="2562"/>
      <c r="Q30" s="2562"/>
      <c r="R30" s="2562"/>
      <c r="S30" s="2562"/>
      <c r="T30" s="2562"/>
      <c r="U30" s="2562"/>
      <c r="V30" s="2562"/>
      <c r="W30" s="2562"/>
      <c r="X30" s="2562"/>
      <c r="Y30" s="2562"/>
      <c r="Z30" s="2562"/>
      <c r="AA30" s="2562"/>
      <c r="AB30" s="2562"/>
      <c r="AC30" s="2562"/>
      <c r="AD30" s="2562"/>
      <c r="AE30" s="2562"/>
      <c r="AF30" s="2562"/>
      <c r="AG30" s="2562"/>
      <c r="AH30" s="3603"/>
      <c r="AI30" s="3603"/>
      <c r="AJ30" s="3074"/>
      <c r="AK30" s="3074"/>
      <c r="AL30" s="3603"/>
      <c r="AM30" s="3945"/>
      <c r="AN30" s="3945"/>
      <c r="AO30" s="3945"/>
      <c r="AP30" s="3945"/>
      <c r="AQ30" s="3945"/>
      <c r="AR30" s="3074"/>
      <c r="AS30" s="3074"/>
      <c r="AT30" s="4575"/>
      <c r="AU30" s="4575"/>
    </row>
    <row r="31" spans="1:47" x14ac:dyDescent="0.2">
      <c r="A31" s="3056" t="str">
        <f>A26</f>
        <v>канализованный жил. фонд</v>
      </c>
      <c r="B31" s="3035" t="s">
        <v>1833</v>
      </c>
      <c r="C31" s="2562"/>
      <c r="D31" s="2562"/>
      <c r="E31" s="2562"/>
      <c r="F31" s="2562"/>
      <c r="G31" s="2562"/>
      <c r="H31" s="2562"/>
      <c r="I31" s="2562"/>
      <c r="J31" s="2562">
        <f>J26*J28</f>
        <v>1334.8019999999999</v>
      </c>
      <c r="K31" s="2562"/>
      <c r="L31" s="2562"/>
      <c r="M31" s="2562">
        <v>2006.2909999999999</v>
      </c>
      <c r="N31" s="2562"/>
      <c r="O31" s="2562"/>
      <c r="P31" s="2562"/>
      <c r="Q31" s="2562"/>
      <c r="R31" s="2562"/>
      <c r="S31" s="2562">
        <f>S26*S28</f>
        <v>1383.62950383065</v>
      </c>
      <c r="T31" s="2562">
        <f t="shared" ref="T31:X31" si="91">T26*T28</f>
        <v>1383.62950383065</v>
      </c>
      <c r="U31" s="2562">
        <f t="shared" si="91"/>
        <v>1383.62950383065</v>
      </c>
      <c r="V31" s="2562">
        <f t="shared" si="91"/>
        <v>1383.62950383065</v>
      </c>
      <c r="W31" s="2562">
        <f t="shared" si="91"/>
        <v>1383.62950383065</v>
      </c>
      <c r="X31" s="2562">
        <f t="shared" si="91"/>
        <v>1383.62950383065</v>
      </c>
      <c r="Y31" s="2562">
        <f t="shared" ref="Y31:AC31" si="92">Y26*Y28</f>
        <v>1383.62950383065</v>
      </c>
      <c r="Z31" s="2562">
        <f t="shared" si="92"/>
        <v>1383.62950383065</v>
      </c>
      <c r="AA31" s="2562">
        <f t="shared" si="92"/>
        <v>1383.62950383065</v>
      </c>
      <c r="AB31" s="2562">
        <f t="shared" si="92"/>
        <v>1383.62950383065</v>
      </c>
      <c r="AC31" s="2562">
        <f t="shared" si="92"/>
        <v>1383.62950383065</v>
      </c>
      <c r="AD31" s="2562">
        <f t="shared" ref="AD31" si="93">AD26*AD28</f>
        <v>1383.62950383065</v>
      </c>
      <c r="AE31" s="2562">
        <v>955.40099999999995</v>
      </c>
      <c r="AF31" s="2562">
        <v>1438.173</v>
      </c>
      <c r="AG31" s="2562">
        <v>1912.2180000000001</v>
      </c>
      <c r="AH31" s="3603">
        <f t="shared" ref="AH31" si="94">AH26*AH28</f>
        <v>1846.4372405422309</v>
      </c>
      <c r="AI31" s="3603">
        <f t="shared" ref="AI31" si="95">AI26*AI28</f>
        <v>1302.7045688155467</v>
      </c>
      <c r="AJ31" s="3074">
        <v>942.46500000000003</v>
      </c>
      <c r="AK31" s="3074">
        <v>1402.654</v>
      </c>
      <c r="AL31" s="3603">
        <v>1905.2470000000001</v>
      </c>
      <c r="AM31" s="3945">
        <f t="shared" ref="AM31:AN31" si="96">AM26*AM28</f>
        <v>1738.4438699999998</v>
      </c>
      <c r="AN31" s="3945">
        <f t="shared" si="96"/>
        <v>1374.4988153176528</v>
      </c>
      <c r="AO31" s="3945">
        <v>939.76900000000001</v>
      </c>
      <c r="AP31" s="3945">
        <v>1403.431</v>
      </c>
      <c r="AQ31" s="3945">
        <v>1895.385</v>
      </c>
      <c r="AR31" s="3074">
        <f t="shared" ref="AR31:AS31" si="97">AR26*AR28</f>
        <v>1374.4988153176528</v>
      </c>
      <c r="AS31" s="3074">
        <f t="shared" si="97"/>
        <v>1409.7560596939347</v>
      </c>
      <c r="AT31" s="4718">
        <v>959.99900000000002</v>
      </c>
      <c r="AU31" s="4718">
        <v>1835.184</v>
      </c>
    </row>
    <row r="32" spans="1:47" x14ac:dyDescent="0.2">
      <c r="A32" s="3056" t="str">
        <f>A27</f>
        <v>не канализованный жил. фонд</v>
      </c>
      <c r="B32" s="3035" t="s">
        <v>1833</v>
      </c>
      <c r="C32" s="2562"/>
      <c r="D32" s="2562"/>
      <c r="E32" s="2562"/>
      <c r="F32" s="2562"/>
      <c r="G32" s="2562"/>
      <c r="H32" s="2562"/>
      <c r="I32" s="2562"/>
      <c r="J32" s="2562">
        <f>J27*J28</f>
        <v>8.0724</v>
      </c>
      <c r="K32" s="2562"/>
      <c r="L32" s="2562"/>
      <c r="M32" s="2562">
        <v>7.6639999999999997</v>
      </c>
      <c r="N32" s="2562"/>
      <c r="O32" s="2562"/>
      <c r="P32" s="2562"/>
      <c r="Q32" s="2562"/>
      <c r="R32" s="2562"/>
      <c r="S32" s="2562">
        <f>S27*S28</f>
        <v>8.1416980924330442</v>
      </c>
      <c r="T32" s="2562">
        <f t="shared" ref="T32:X32" si="98">T27*T28</f>
        <v>8.1416980924330442</v>
      </c>
      <c r="U32" s="2562">
        <f t="shared" si="98"/>
        <v>8.1416980924330442</v>
      </c>
      <c r="V32" s="2562">
        <f t="shared" si="98"/>
        <v>8.1416980924330442</v>
      </c>
      <c r="W32" s="2562">
        <f t="shared" si="98"/>
        <v>8.1416980924330442</v>
      </c>
      <c r="X32" s="2562">
        <f t="shared" si="98"/>
        <v>8.1416980924330442</v>
      </c>
      <c r="Y32" s="2562">
        <f t="shared" ref="Y32:AC32" si="99">Y27*Y28</f>
        <v>8.1416980924330442</v>
      </c>
      <c r="Z32" s="2562">
        <f t="shared" si="99"/>
        <v>8.1416980924330442</v>
      </c>
      <c r="AA32" s="2562">
        <f t="shared" si="99"/>
        <v>8.1416980924330442</v>
      </c>
      <c r="AB32" s="2562">
        <f t="shared" si="99"/>
        <v>8.1416980924330442</v>
      </c>
      <c r="AC32" s="2562">
        <f t="shared" si="99"/>
        <v>8.1416980924330442</v>
      </c>
      <c r="AD32" s="2562">
        <f t="shared" ref="AD32" si="100">AD27*AD28</f>
        <v>8.1416980924330442</v>
      </c>
      <c r="AE32" s="2562">
        <v>3.6680000000000001</v>
      </c>
      <c r="AF32" s="2562">
        <v>5.5990000000000002</v>
      </c>
      <c r="AG32" s="2562">
        <v>6.2309999999999999</v>
      </c>
      <c r="AH32" s="3603">
        <f t="shared" ref="AH32" si="101">AH27*AH28</f>
        <v>10.865</v>
      </c>
      <c r="AI32" s="3603">
        <f t="shared" ref="AI32" si="102">AI27*AI28</f>
        <v>8.1418517093781837</v>
      </c>
      <c r="AJ32" s="3074">
        <v>3.2589999999999999</v>
      </c>
      <c r="AK32" s="3074">
        <v>4.9770000000000003</v>
      </c>
      <c r="AL32" s="3603">
        <v>6.5659999999999998</v>
      </c>
      <c r="AM32" s="3945">
        <f t="shared" ref="AM32:AN32" si="103">AM27*AM28</f>
        <v>10.865205000000001</v>
      </c>
      <c r="AN32" s="3945">
        <f t="shared" si="103"/>
        <v>6.8259981445264124</v>
      </c>
      <c r="AO32" s="3945">
        <v>3.1219999999999999</v>
      </c>
      <c r="AP32" s="3945">
        <v>3.7730000000000001</v>
      </c>
      <c r="AQ32" s="3945">
        <v>6.8109999999999999</v>
      </c>
      <c r="AR32" s="3074">
        <f t="shared" ref="AR32:AS32" si="104">AR27*AR28</f>
        <v>6.8259981445264124</v>
      </c>
      <c r="AS32" s="3074">
        <f t="shared" si="104"/>
        <v>7.0156573170490004</v>
      </c>
      <c r="AT32" s="4718">
        <v>2.895</v>
      </c>
      <c r="AU32" s="4718">
        <v>6.2270000000000003</v>
      </c>
    </row>
    <row r="33" spans="1:47" x14ac:dyDescent="0.2">
      <c r="A33" s="3052" t="s">
        <v>1830</v>
      </c>
      <c r="B33" s="3035" t="s">
        <v>1834</v>
      </c>
      <c r="C33" s="2562">
        <v>4.1189999999999998</v>
      </c>
      <c r="D33" s="2562">
        <v>5.05</v>
      </c>
      <c r="E33" s="2562">
        <v>5.05</v>
      </c>
      <c r="F33" s="2562">
        <v>4.391</v>
      </c>
      <c r="G33" s="2562">
        <v>4.3099999999999996</v>
      </c>
      <c r="H33" s="2562">
        <v>4.7386999999999997</v>
      </c>
      <c r="I33" s="2562">
        <v>4.71</v>
      </c>
      <c r="J33" s="2562">
        <f>I33</f>
        <v>4.71</v>
      </c>
      <c r="K33" s="2562">
        <v>4.6849999999999996</v>
      </c>
      <c r="L33" s="2562">
        <v>4.6150000000000002</v>
      </c>
      <c r="M33" s="2562"/>
      <c r="N33" s="2562">
        <v>5.4249999999999998</v>
      </c>
      <c r="O33" s="2562">
        <v>5.8049999999999997</v>
      </c>
      <c r="P33" s="2562">
        <v>6.2110000000000003</v>
      </c>
      <c r="Q33" s="2562">
        <v>6.46</v>
      </c>
      <c r="R33" s="2562">
        <v>7.1120000000000001</v>
      </c>
      <c r="S33" s="2562">
        <f>J33*1.039*1.059</f>
        <v>5.1824177099999993</v>
      </c>
      <c r="T33" s="2562">
        <f>S33*1.042</f>
        <v>5.4000792538199995</v>
      </c>
      <c r="U33" s="2562">
        <f>T33*1.04</f>
        <v>5.6160824239727996</v>
      </c>
      <c r="V33" s="2562">
        <f>U33*1.04</f>
        <v>5.8407257209317116</v>
      </c>
      <c r="W33" s="2562">
        <f>V33*1.039</f>
        <v>6.0685140240480475</v>
      </c>
      <c r="X33" s="2562">
        <f>W33*1.039</f>
        <v>6.3051860709859211</v>
      </c>
      <c r="Y33" s="2562">
        <f>SUM(T33)</f>
        <v>5.4000792538199995</v>
      </c>
      <c r="Z33" s="2562">
        <f>SUM(U33)</f>
        <v>5.6160824239727996</v>
      </c>
      <c r="AA33" s="2562">
        <f>SUM(V33)</f>
        <v>5.8407257209317116</v>
      </c>
      <c r="AB33" s="2562">
        <f>SUM(W33)</f>
        <v>6.0685140240480475</v>
      </c>
      <c r="AC33" s="2562">
        <f>SUM(X33)</f>
        <v>6.3051860709859211</v>
      </c>
      <c r="AD33" s="2562">
        <f>4.71*1.054*1.048</f>
        <v>5.2026283200000005</v>
      </c>
      <c r="AE33" s="2562">
        <f>SUM(AE34/AE29)</f>
        <v>4.4361380568030029</v>
      </c>
      <c r="AF33" s="2562">
        <f>SUM(AF34/AF29)</f>
        <v>4.4802956491745238</v>
      </c>
      <c r="AG33" s="2574">
        <f>SUM(AG34/AG29)</f>
        <v>4.5395108235871797</v>
      </c>
      <c r="AH33" s="3603">
        <f>SUM(AG33*1.046)</f>
        <v>4.7483283214721901</v>
      </c>
      <c r="AI33" s="3603">
        <f>SUM(AG33*1.032*1.04)</f>
        <v>4.8721661767396487</v>
      </c>
      <c r="AJ33" s="3074">
        <f>SUM(AJ34/AJ29)</f>
        <v>4.4041898270531368</v>
      </c>
      <c r="AK33" s="3074">
        <f>SUM(AK34/AK29)</f>
        <v>4.4956625706594977</v>
      </c>
      <c r="AL33" s="3603">
        <f>SUM(AL34/AL29)</f>
        <v>4.5794405624399452</v>
      </c>
      <c r="AM33" s="3945">
        <f>SUM(AI33*1.05)</f>
        <v>5.1157744855766314</v>
      </c>
      <c r="AN33" s="2558">
        <f>SUM(AL33*1.034*1.03499944)</f>
        <v>4.9008688438383414</v>
      </c>
      <c r="AO33" s="3945">
        <f t="shared" ref="AO33:AQ33" si="105">SUM(AO34/AO29)</f>
        <v>4.7633325166959928</v>
      </c>
      <c r="AP33" s="3945">
        <f t="shared" si="105"/>
        <v>4.8035345266215845</v>
      </c>
      <c r="AQ33" s="3945">
        <f t="shared" si="105"/>
        <v>4.8105820851268746</v>
      </c>
      <c r="AR33" s="3074">
        <f>SUM(AN33*1.05)</f>
        <v>5.1459122860302591</v>
      </c>
      <c r="AS33" s="3074">
        <f>SUM(4.81058208512687*1.045*1.08)</f>
        <v>5.4292229412741859</v>
      </c>
      <c r="AT33" s="4718">
        <f t="shared" ref="AT33:AU33" si="106">SUM(AT34/AT29)</f>
        <v>4.7966035098359727</v>
      </c>
      <c r="AU33" s="4718">
        <f t="shared" si="106"/>
        <v>4.967115863867436</v>
      </c>
    </row>
    <row r="34" spans="1:47" s="1920" customFormat="1" ht="25.5" x14ac:dyDescent="0.2">
      <c r="A34" s="3054" t="s">
        <v>1914</v>
      </c>
      <c r="B34" s="2600" t="s">
        <v>899</v>
      </c>
      <c r="C34" s="2563">
        <v>5992.91</v>
      </c>
      <c r="D34" s="2563">
        <v>9297.2000000000007</v>
      </c>
      <c r="E34" s="2563">
        <v>6488.28</v>
      </c>
      <c r="F34" s="2563">
        <v>6388.45</v>
      </c>
      <c r="G34" s="2563">
        <v>5969.9</v>
      </c>
      <c r="H34" s="2563">
        <v>9520.39</v>
      </c>
      <c r="I34" s="2563">
        <v>9460.06</v>
      </c>
      <c r="J34" s="2563">
        <f>J36+J37</f>
        <v>6324.9384239999999</v>
      </c>
      <c r="K34" s="2563">
        <v>6816.47</v>
      </c>
      <c r="L34" s="2563">
        <v>6297.05</v>
      </c>
      <c r="M34" s="2563">
        <f>SUM(M36:M37)</f>
        <v>9749.31</v>
      </c>
      <c r="N34" s="2563">
        <v>10575.93</v>
      </c>
      <c r="O34" s="2563">
        <v>11330.42</v>
      </c>
      <c r="P34" s="2563">
        <v>12123.55</v>
      </c>
      <c r="Q34" s="2563">
        <v>12972.19</v>
      </c>
      <c r="R34" s="2563">
        <v>13880.25</v>
      </c>
      <c r="S34" s="2563">
        <f>S29*S33</f>
        <v>7212.7397251141701</v>
      </c>
      <c r="T34" s="2563">
        <f t="shared" ref="T34:AC34" si="107">T29*T33</f>
        <v>7515.6747935689664</v>
      </c>
      <c r="U34" s="2563">
        <f t="shared" si="107"/>
        <v>7816.3017853117244</v>
      </c>
      <c r="V34" s="2563">
        <f t="shared" si="107"/>
        <v>8128.9538567241934</v>
      </c>
      <c r="W34" s="2563">
        <f t="shared" si="107"/>
        <v>8445.9830571364364</v>
      </c>
      <c r="X34" s="2563">
        <f t="shared" si="107"/>
        <v>8775.3763963647561</v>
      </c>
      <c r="Y34" s="2563">
        <f t="shared" si="107"/>
        <v>7515.6747935689664</v>
      </c>
      <c r="Z34" s="2563">
        <f t="shared" si="107"/>
        <v>7816.3017853117244</v>
      </c>
      <c r="AA34" s="2563">
        <f t="shared" si="107"/>
        <v>8128.9538567241934</v>
      </c>
      <c r="AB34" s="2563">
        <f t="shared" si="107"/>
        <v>8445.9830571364364</v>
      </c>
      <c r="AC34" s="2563">
        <f t="shared" si="107"/>
        <v>8775.3763963647561</v>
      </c>
      <c r="AD34" s="2563">
        <f t="shared" ref="AD34" si="108">AD29*AD33</f>
        <v>7240.8682700854706</v>
      </c>
      <c r="AE34" s="2563">
        <f>SUM(AE36:AE37)</f>
        <v>4254.5624899999993</v>
      </c>
      <c r="AF34" s="2563">
        <f t="shared" ref="AF34:AG34" si="109">SUM(AF36:AF37)</f>
        <v>6468.5254100000002</v>
      </c>
      <c r="AG34" s="2563">
        <f t="shared" si="109"/>
        <v>8708.8200000000015</v>
      </c>
      <c r="AH34" s="3604">
        <f t="shared" ref="AH34" si="110">AH29*AH33</f>
        <v>8819.0808303004287</v>
      </c>
      <c r="AI34" s="3604">
        <f t="shared" ref="AI34" si="111">AI29*AI33</f>
        <v>6386.6615929817772</v>
      </c>
      <c r="AJ34" s="3075">
        <f>SUM(AJ36:AJ37)</f>
        <v>4165.1480200000005</v>
      </c>
      <c r="AK34" s="3075">
        <f>SUM(AK36:AK37)</f>
        <v>6328.2339999999995</v>
      </c>
      <c r="AL34" s="3604">
        <f t="shared" ref="AL34" si="112">SUM(AL36:AL37)</f>
        <v>8755.0339999999997</v>
      </c>
      <c r="AM34" s="3944">
        <f t="shared" ref="AM34:AN34" si="113">AM29*AM33</f>
        <v>8949.0707332726579</v>
      </c>
      <c r="AN34" s="3093">
        <f t="shared" si="113"/>
        <v>6769.6917415176022</v>
      </c>
      <c r="AO34" s="3944">
        <f t="shared" ref="AO34:AQ34" si="114">SUM(AO36:AO37)</f>
        <v>4491.3033600000008</v>
      </c>
      <c r="AP34" s="3944">
        <f t="shared" si="114"/>
        <v>6759.5529999999999</v>
      </c>
      <c r="AQ34" s="3944">
        <f t="shared" si="114"/>
        <v>9150.67</v>
      </c>
      <c r="AR34" s="3075">
        <f t="shared" ref="AR34:AS34" si="115">AR29*AR33</f>
        <v>7108.176328593483</v>
      </c>
      <c r="AS34" s="2440">
        <f t="shared" si="115"/>
        <v>7691.9695085444509</v>
      </c>
      <c r="AT34" s="4735">
        <f t="shared" ref="AT34:AU34" si="116">SUM(AT36:AT37)</f>
        <v>4618.6207399999994</v>
      </c>
      <c r="AU34" s="4735">
        <f t="shared" si="116"/>
        <v>9146.5017900000003</v>
      </c>
    </row>
    <row r="35" spans="1:47" x14ac:dyDescent="0.2">
      <c r="A35" s="3052" t="s">
        <v>50</v>
      </c>
      <c r="B35" s="3035"/>
      <c r="C35" s="2562"/>
      <c r="D35" s="2562"/>
      <c r="E35" s="2562"/>
      <c r="F35" s="2562"/>
      <c r="G35" s="2562"/>
      <c r="H35" s="2562"/>
      <c r="I35" s="2562"/>
      <c r="J35" s="2562"/>
      <c r="K35" s="2562"/>
      <c r="L35" s="2562"/>
      <c r="M35" s="2562"/>
      <c r="N35" s="2562"/>
      <c r="O35" s="2562"/>
      <c r="P35" s="2562"/>
      <c r="Q35" s="2562"/>
      <c r="R35" s="2562"/>
      <c r="S35" s="2562"/>
      <c r="T35" s="2562"/>
      <c r="U35" s="2562"/>
      <c r="V35" s="2562"/>
      <c r="W35" s="2562"/>
      <c r="X35" s="2562"/>
      <c r="Y35" s="2562"/>
      <c r="Z35" s="2562"/>
      <c r="AA35" s="2562"/>
      <c r="AB35" s="2562"/>
      <c r="AC35" s="2562"/>
      <c r="AD35" s="2562"/>
      <c r="AE35" s="2562"/>
      <c r="AF35" s="2562"/>
      <c r="AG35" s="2562"/>
      <c r="AH35" s="3603"/>
      <c r="AI35" s="3603"/>
      <c r="AJ35" s="3074"/>
      <c r="AK35" s="3074"/>
      <c r="AL35" s="3603"/>
      <c r="AM35" s="3945"/>
      <c r="AN35" s="3945"/>
      <c r="AO35" s="3945"/>
      <c r="AP35" s="3945"/>
      <c r="AQ35" s="3945"/>
      <c r="AR35" s="3074"/>
      <c r="AS35" s="3074"/>
      <c r="AT35" s="4718"/>
      <c r="AU35" s="4718"/>
    </row>
    <row r="36" spans="1:47" x14ac:dyDescent="0.2">
      <c r="A36" s="3056" t="str">
        <f>A31</f>
        <v>канализованный жил. фонд</v>
      </c>
      <c r="B36" s="3035" t="s">
        <v>899</v>
      </c>
      <c r="C36" s="2562"/>
      <c r="D36" s="2562"/>
      <c r="E36" s="2562"/>
      <c r="F36" s="2562"/>
      <c r="G36" s="2562"/>
      <c r="H36" s="2562"/>
      <c r="I36" s="2562"/>
      <c r="J36" s="2562">
        <f>J31*J33</f>
        <v>6286.9174199999998</v>
      </c>
      <c r="K36" s="2562"/>
      <c r="L36" s="2562"/>
      <c r="M36" s="2562">
        <v>9692.84</v>
      </c>
      <c r="N36" s="2562"/>
      <c r="O36" s="2562"/>
      <c r="P36" s="2562"/>
      <c r="Q36" s="2562"/>
      <c r="R36" s="2562"/>
      <c r="S36" s="2562">
        <f>S31*S33</f>
        <v>7170.5460447304722</v>
      </c>
      <c r="T36" s="2562">
        <f t="shared" ref="T36:X36" si="117">T31*T33</f>
        <v>7471.7089786091528</v>
      </c>
      <c r="U36" s="2562">
        <f t="shared" si="117"/>
        <v>7770.5773377535188</v>
      </c>
      <c r="V36" s="2562">
        <f t="shared" si="117"/>
        <v>8081.4004312636598</v>
      </c>
      <c r="W36" s="2562">
        <f t="shared" si="117"/>
        <v>8396.5750480829411</v>
      </c>
      <c r="X36" s="2562">
        <f t="shared" si="117"/>
        <v>8724.041474958176</v>
      </c>
      <c r="Y36" s="2562">
        <f t="shared" ref="Y36:AC36" si="118">Y31*Y33</f>
        <v>7471.7089786091528</v>
      </c>
      <c r="Z36" s="2562">
        <f t="shared" si="118"/>
        <v>7770.5773377535188</v>
      </c>
      <c r="AA36" s="2562">
        <f t="shared" si="118"/>
        <v>8081.4004312636598</v>
      </c>
      <c r="AB36" s="2562">
        <f t="shared" si="118"/>
        <v>8396.5750480829411</v>
      </c>
      <c r="AC36" s="2562">
        <f t="shared" si="118"/>
        <v>8724.041474958176</v>
      </c>
      <c r="AD36" s="2562">
        <f t="shared" ref="AD36" si="119">AD31*AD33</f>
        <v>7198.5100410168889</v>
      </c>
      <c r="AE36" s="2562">
        <v>4238.3711599999997</v>
      </c>
      <c r="AF36" s="2562">
        <v>6443.4756100000004</v>
      </c>
      <c r="AG36" s="2562">
        <v>8680.7800000000007</v>
      </c>
      <c r="AH36" s="3603">
        <f t="shared" ref="AH36" si="120">AH31*AH33</f>
        <v>8767.4902430876336</v>
      </c>
      <c r="AI36" s="3603">
        <f t="shared" ref="AI36" si="121">AI31*AI33</f>
        <v>6346.9931384673146</v>
      </c>
      <c r="AJ36" s="3074">
        <v>4150.8618100000003</v>
      </c>
      <c r="AK36" s="3074">
        <v>6305.8639999999996</v>
      </c>
      <c r="AL36" s="3603">
        <v>8725.0139999999992</v>
      </c>
      <c r="AM36" s="3945">
        <f t="shared" ref="AM36:AN36" si="122">AM31*AM33</f>
        <v>8893.4867947530965</v>
      </c>
      <c r="AN36" s="3945">
        <f t="shared" si="122"/>
        <v>6736.238419882995</v>
      </c>
      <c r="AO36" s="3945">
        <v>4476.3669900000004</v>
      </c>
      <c r="AP36" s="3945">
        <v>6741.4430000000002</v>
      </c>
      <c r="AQ36" s="3945">
        <v>9117.93</v>
      </c>
      <c r="AR36" s="3074">
        <f t="shared" ref="AR36:AS36" si="123">AR31*AR33</f>
        <v>7073.0503408771456</v>
      </c>
      <c r="AS36" s="3074">
        <f t="shared" si="123"/>
        <v>7653.8799408906116</v>
      </c>
      <c r="AT36" s="4718">
        <v>4604.8126599999996</v>
      </c>
      <c r="AU36" s="4718">
        <v>9115.2924000000003</v>
      </c>
    </row>
    <row r="37" spans="1:47" x14ac:dyDescent="0.2">
      <c r="A37" s="3056" t="str">
        <f>A32</f>
        <v>не канализованный жил. фонд</v>
      </c>
      <c r="B37" s="3035" t="s">
        <v>899</v>
      </c>
      <c r="C37" s="2562"/>
      <c r="D37" s="2562"/>
      <c r="E37" s="2562"/>
      <c r="F37" s="2562"/>
      <c r="G37" s="2562"/>
      <c r="H37" s="2562"/>
      <c r="I37" s="2562"/>
      <c r="J37" s="2562">
        <f>J32*J33</f>
        <v>38.021003999999998</v>
      </c>
      <c r="K37" s="2562"/>
      <c r="L37" s="2562"/>
      <c r="M37" s="2562">
        <v>56.47</v>
      </c>
      <c r="N37" s="2562"/>
      <c r="O37" s="2562"/>
      <c r="P37" s="2562"/>
      <c r="Q37" s="2562"/>
      <c r="R37" s="2562"/>
      <c r="S37" s="2562">
        <f>S32*S33</f>
        <v>42.193680383698222</v>
      </c>
      <c r="T37" s="2562">
        <f t="shared" ref="T37:X37" si="124">T32*T33</f>
        <v>43.965814959813549</v>
      </c>
      <c r="U37" s="2562">
        <f t="shared" si="124"/>
        <v>45.724447558206087</v>
      </c>
      <c r="V37" s="2562">
        <f t="shared" si="124"/>
        <v>47.553425460534335</v>
      </c>
      <c r="W37" s="2562">
        <f t="shared" si="124"/>
        <v>49.408009053495164</v>
      </c>
      <c r="X37" s="2562">
        <f t="shared" si="124"/>
        <v>51.334921406581472</v>
      </c>
      <c r="Y37" s="2562">
        <f t="shared" ref="Y37:AC37" si="125">Y32*Y33</f>
        <v>43.965814959813549</v>
      </c>
      <c r="Z37" s="2562">
        <f t="shared" si="125"/>
        <v>45.724447558206087</v>
      </c>
      <c r="AA37" s="2562">
        <f t="shared" si="125"/>
        <v>47.553425460534335</v>
      </c>
      <c r="AB37" s="2562">
        <f t="shared" si="125"/>
        <v>49.408009053495164</v>
      </c>
      <c r="AC37" s="2562">
        <f t="shared" si="125"/>
        <v>51.334921406581472</v>
      </c>
      <c r="AD37" s="2562">
        <f t="shared" ref="AD37" si="126">AD32*AD33</f>
        <v>42.358229068582141</v>
      </c>
      <c r="AE37" s="2562">
        <v>16.191330000000001</v>
      </c>
      <c r="AF37" s="2562">
        <v>25.049800000000001</v>
      </c>
      <c r="AG37" s="2562">
        <v>28.04</v>
      </c>
      <c r="AH37" s="3603">
        <f t="shared" ref="AH37" si="127">AH32*AH33</f>
        <v>51.590587212795349</v>
      </c>
      <c r="AI37" s="3603">
        <f t="shared" ref="AI37" si="128">AI32*AI33</f>
        <v>39.668454514462276</v>
      </c>
      <c r="AJ37" s="3074">
        <v>14.286210000000001</v>
      </c>
      <c r="AK37" s="3074">
        <v>22.37</v>
      </c>
      <c r="AL37" s="3603">
        <v>30.02</v>
      </c>
      <c r="AM37" s="3945">
        <f t="shared" ref="AM37:AN37" si="129">AM32*AM33</f>
        <v>55.583938519559652</v>
      </c>
      <c r="AN37" s="3945">
        <f t="shared" si="129"/>
        <v>33.453321634607825</v>
      </c>
      <c r="AO37" s="3945">
        <v>14.93637</v>
      </c>
      <c r="AP37" s="3945">
        <v>18.11</v>
      </c>
      <c r="AQ37" s="3945">
        <v>32.74</v>
      </c>
      <c r="AR37" s="3074">
        <f t="shared" ref="AR37:AS37" si="130">AR32*AR33</f>
        <v>35.125987716338216</v>
      </c>
      <c r="AS37" s="3074">
        <f t="shared" si="130"/>
        <v>38.08956765384054</v>
      </c>
      <c r="AT37" s="4718">
        <v>13.80808</v>
      </c>
      <c r="AU37" s="4718">
        <v>31.209389999999999</v>
      </c>
    </row>
    <row r="38" spans="1:47" x14ac:dyDescent="0.2">
      <c r="A38" s="3054" t="s">
        <v>3631</v>
      </c>
      <c r="B38" s="2600" t="s">
        <v>899</v>
      </c>
      <c r="C38" s="2563">
        <f>C19+C34</f>
        <v>7602.7699999999995</v>
      </c>
      <c r="D38" s="2563">
        <f t="shared" ref="D38:E38" si="131">D19+D34</f>
        <v>9995.2300000000014</v>
      </c>
      <c r="E38" s="2563">
        <f t="shared" si="131"/>
        <v>7124.76</v>
      </c>
      <c r="F38" s="2563">
        <f t="shared" ref="F38:AC38" si="132">F19+F34</f>
        <v>8104.5599999999995</v>
      </c>
      <c r="G38" s="2563">
        <f t="shared" si="132"/>
        <v>7536.42</v>
      </c>
      <c r="H38" s="2563">
        <f t="shared" si="132"/>
        <v>11186.59</v>
      </c>
      <c r="I38" s="2563">
        <f t="shared" si="132"/>
        <v>11113.849999999999</v>
      </c>
      <c r="J38" s="2563">
        <f t="shared" si="132"/>
        <v>7579.6523040000002</v>
      </c>
      <c r="K38" s="2563">
        <f t="shared" ref="K38" si="133">K19+K34</f>
        <v>8647.56</v>
      </c>
      <c r="L38" s="2563">
        <f t="shared" si="132"/>
        <v>7949.42</v>
      </c>
      <c r="M38" s="2563">
        <f t="shared" si="132"/>
        <v>10828.01</v>
      </c>
      <c r="N38" s="2563">
        <f t="shared" si="132"/>
        <v>12162.32</v>
      </c>
      <c r="O38" s="2563">
        <f t="shared" si="132"/>
        <v>13029.98</v>
      </c>
      <c r="P38" s="2563">
        <f t="shared" si="132"/>
        <v>13942.08</v>
      </c>
      <c r="Q38" s="2563">
        <f t="shared" si="132"/>
        <v>14918.02</v>
      </c>
      <c r="R38" s="2563">
        <f t="shared" si="132"/>
        <v>15962.29</v>
      </c>
      <c r="S38" s="2563">
        <f t="shared" si="132"/>
        <v>8924.2698001334466</v>
      </c>
      <c r="T38" s="2563">
        <f t="shared" si="132"/>
        <v>9299.0891317390524</v>
      </c>
      <c r="U38" s="2563">
        <f t="shared" si="132"/>
        <v>9671.0526970086139</v>
      </c>
      <c r="V38" s="2563">
        <f t="shared" si="132"/>
        <v>10057.894804888958</v>
      </c>
      <c r="W38" s="2563">
        <f t="shared" si="132"/>
        <v>10450.152702279625</v>
      </c>
      <c r="X38" s="2563">
        <f t="shared" si="132"/>
        <v>10857.708657668531</v>
      </c>
      <c r="Y38" s="2563">
        <f t="shared" si="132"/>
        <v>9299.0891317390524</v>
      </c>
      <c r="Z38" s="2563">
        <f t="shared" si="132"/>
        <v>9671.0526970086139</v>
      </c>
      <c r="AA38" s="2563">
        <f t="shared" si="132"/>
        <v>10057.894804888958</v>
      </c>
      <c r="AB38" s="2563">
        <f t="shared" si="132"/>
        <v>10450.152702279625</v>
      </c>
      <c r="AC38" s="2563">
        <f t="shared" si="132"/>
        <v>10857.708657668531</v>
      </c>
      <c r="AD38" s="2563">
        <f t="shared" ref="AD38" si="134">AD19+AD34</f>
        <v>8855.1467408308945</v>
      </c>
      <c r="AE38" s="2563">
        <f>SUM(AE40:AE41)</f>
        <v>5060.2564899999998</v>
      </c>
      <c r="AF38" s="2563">
        <f t="shared" ref="AF38:AG38" si="135">SUM(AF40:AF41)</f>
        <v>7637.2474099999999</v>
      </c>
      <c r="AG38" s="2563">
        <f t="shared" si="135"/>
        <v>10344.340000000002</v>
      </c>
      <c r="AH38" s="3604">
        <f t="shared" ref="AH38" si="136">AH19+AH34</f>
        <v>10507.61431866973</v>
      </c>
      <c r="AI38" s="3604">
        <f t="shared" ref="AI38" si="137">AI19+AI34</f>
        <v>8394.1048154036998</v>
      </c>
      <c r="AJ38" s="3075">
        <f>SUM(AJ40:AJ41)</f>
        <v>4996.4980100000002</v>
      </c>
      <c r="AK38" s="3075">
        <f t="shared" ref="AK38:AL38" si="138">SUM(AK40:AK41)</f>
        <v>7553.0339999999997</v>
      </c>
      <c r="AL38" s="3604">
        <f t="shared" si="138"/>
        <v>10458.07116</v>
      </c>
      <c r="AM38" s="3944">
        <f t="shared" ref="AM38:AN38" si="139">AM19+AM34</f>
        <v>11056.886116815676</v>
      </c>
      <c r="AN38" s="3944">
        <f t="shared" si="139"/>
        <v>8920.7985588694009</v>
      </c>
      <c r="AO38" s="3944">
        <f t="shared" ref="AO38:AQ38" si="140">SUM(AO40:AO41)</f>
        <v>5286.3758500000013</v>
      </c>
      <c r="AP38" s="3944">
        <f t="shared" si="140"/>
        <v>7937.0749999999998</v>
      </c>
      <c r="AQ38" s="3944">
        <f t="shared" si="140"/>
        <v>10802.9</v>
      </c>
      <c r="AR38" s="3075">
        <f t="shared" ref="AR38:AS38" si="141">AR19+AR34</f>
        <v>9366.8384868128705</v>
      </c>
      <c r="AS38" s="3075">
        <f t="shared" si="141"/>
        <v>10141.799113766854</v>
      </c>
      <c r="AT38" s="4735">
        <f t="shared" ref="AT38:AU38" si="142">SUM(AT40:AT41)</f>
        <v>5630.3349499999995</v>
      </c>
      <c r="AU38" s="4735">
        <f t="shared" si="142"/>
        <v>11033.540570000001</v>
      </c>
    </row>
    <row r="39" spans="1:47" x14ac:dyDescent="0.2">
      <c r="A39" s="3052" t="s">
        <v>50</v>
      </c>
      <c r="B39" s="3035"/>
      <c r="C39" s="2562"/>
      <c r="D39" s="2562"/>
      <c r="E39" s="2562"/>
      <c r="F39" s="2562"/>
      <c r="G39" s="2562"/>
      <c r="H39" s="2562"/>
      <c r="I39" s="2562"/>
      <c r="J39" s="2562"/>
      <c r="K39" s="2562"/>
      <c r="L39" s="2562"/>
      <c r="M39" s="2562"/>
      <c r="N39" s="2562"/>
      <c r="O39" s="2562"/>
      <c r="P39" s="2562"/>
      <c r="Q39" s="2562"/>
      <c r="R39" s="2562"/>
      <c r="S39" s="2562"/>
      <c r="T39" s="2562"/>
      <c r="U39" s="2562"/>
      <c r="V39" s="2562"/>
      <c r="W39" s="2562"/>
      <c r="X39" s="2562"/>
      <c r="Y39" s="2562"/>
      <c r="Z39" s="2562"/>
      <c r="AA39" s="2562"/>
      <c r="AB39" s="2562"/>
      <c r="AC39" s="2562"/>
      <c r="AD39" s="2562"/>
      <c r="AE39" s="2562"/>
      <c r="AF39" s="2562"/>
      <c r="AG39" s="2562"/>
      <c r="AH39" s="3603"/>
      <c r="AI39" s="3603"/>
      <c r="AJ39" s="3074"/>
      <c r="AK39" s="3074"/>
      <c r="AL39" s="3603"/>
      <c r="AM39" s="3945"/>
      <c r="AN39" s="3945"/>
      <c r="AO39" s="3945"/>
      <c r="AP39" s="3945"/>
      <c r="AQ39" s="3945"/>
      <c r="AR39" s="3074"/>
      <c r="AS39" s="3074"/>
      <c r="AT39" s="4718"/>
      <c r="AU39" s="4718"/>
    </row>
    <row r="40" spans="1:47" x14ac:dyDescent="0.2">
      <c r="A40" s="3056" t="str">
        <f>A36</f>
        <v>канализованный жил. фонд</v>
      </c>
      <c r="B40" s="3035" t="s">
        <v>899</v>
      </c>
      <c r="C40" s="2562"/>
      <c r="D40" s="2562"/>
      <c r="E40" s="2562"/>
      <c r="F40" s="2562"/>
      <c r="G40" s="2562"/>
      <c r="H40" s="2562"/>
      <c r="I40" s="2562"/>
      <c r="J40" s="2562">
        <f>J21+J36</f>
        <v>7541.6313</v>
      </c>
      <c r="K40" s="2562"/>
      <c r="L40" s="2562"/>
      <c r="M40" s="2562">
        <f>M21+M36</f>
        <v>10771.54</v>
      </c>
      <c r="N40" s="2562"/>
      <c r="O40" s="2562"/>
      <c r="P40" s="2562"/>
      <c r="Q40" s="2562"/>
      <c r="R40" s="2562"/>
      <c r="S40" s="2562">
        <f>S21+S36</f>
        <v>8882.0761197497486</v>
      </c>
      <c r="T40" s="2562">
        <f t="shared" ref="T40:X41" si="143">T21+T36</f>
        <v>9255.1233167792379</v>
      </c>
      <c r="U40" s="2562">
        <f t="shared" si="143"/>
        <v>9625.3282494504074</v>
      </c>
      <c r="V40" s="2562">
        <f t="shared" si="143"/>
        <v>10010.341379428424</v>
      </c>
      <c r="W40" s="2562">
        <f t="shared" si="143"/>
        <v>10400.74469322613</v>
      </c>
      <c r="X40" s="2562">
        <f t="shared" si="143"/>
        <v>10806.37373626195</v>
      </c>
      <c r="Y40" s="2562">
        <f t="shared" ref="Y40:AC40" si="144">Y21+Y36</f>
        <v>9255.1233167792379</v>
      </c>
      <c r="Z40" s="2562">
        <f t="shared" si="144"/>
        <v>9625.3282494504074</v>
      </c>
      <c r="AA40" s="2562">
        <f t="shared" si="144"/>
        <v>10010.341379428424</v>
      </c>
      <c r="AB40" s="2562">
        <f t="shared" si="144"/>
        <v>10400.74469322613</v>
      </c>
      <c r="AC40" s="2562">
        <f t="shared" si="144"/>
        <v>10806.37373626195</v>
      </c>
      <c r="AD40" s="2562">
        <f t="shared" ref="AD40" si="145">AD21+AD36</f>
        <v>8812.7885117623136</v>
      </c>
      <c r="AE40" s="2562">
        <f t="shared" ref="AE40:AH41" si="146">AE21+AE36</f>
        <v>5044.0651600000001</v>
      </c>
      <c r="AF40" s="2562">
        <f t="shared" si="146"/>
        <v>7612.1976100000002</v>
      </c>
      <c r="AG40" s="2562">
        <f t="shared" si="146"/>
        <v>10316.300000000001</v>
      </c>
      <c r="AH40" s="3603">
        <f t="shared" si="146"/>
        <v>10456.023731456935</v>
      </c>
      <c r="AI40" s="3603">
        <f t="shared" ref="AI40" si="147">AI21+AI36</f>
        <v>8341.9678483495227</v>
      </c>
      <c r="AJ40" s="3074">
        <f t="shared" ref="AJ40:AR41" si="148">AJ21+AJ36</f>
        <v>4982.2118</v>
      </c>
      <c r="AK40" s="3074">
        <f t="shared" si="148"/>
        <v>7530.6639999999998</v>
      </c>
      <c r="AL40" s="3603">
        <f t="shared" si="148"/>
        <v>10428.051159999999</v>
      </c>
      <c r="AM40" s="3945">
        <f t="shared" si="148"/>
        <v>10988.210240129414</v>
      </c>
      <c r="AN40" s="3945">
        <f t="shared" si="148"/>
        <v>8876.715260128165</v>
      </c>
      <c r="AO40" s="3945">
        <f t="shared" ref="AO40:AS40" si="149">AO21+AO36</f>
        <v>5271.4394800000009</v>
      </c>
      <c r="AP40" s="3945">
        <f t="shared" si="149"/>
        <v>7918.9650000000001</v>
      </c>
      <c r="AQ40" s="3945">
        <f t="shared" si="149"/>
        <v>10770.16</v>
      </c>
      <c r="AR40" s="3074">
        <f t="shared" si="149"/>
        <v>9320.5510231345743</v>
      </c>
      <c r="AS40" s="3074">
        <f t="shared" si="149"/>
        <v>10091.578329214033</v>
      </c>
      <c r="AT40" s="4718">
        <f t="shared" ref="AT40:AU40" si="150">AT21+AT36</f>
        <v>5616.5268699999997</v>
      </c>
      <c r="AU40" s="4718">
        <f t="shared" si="150"/>
        <v>11002.331180000001</v>
      </c>
    </row>
    <row r="41" spans="1:47" x14ac:dyDescent="0.2">
      <c r="A41" s="3056" t="str">
        <f>A37</f>
        <v>не канализованный жил. фонд</v>
      </c>
      <c r="B41" s="3035" t="s">
        <v>899</v>
      </c>
      <c r="C41" s="2562"/>
      <c r="D41" s="2562"/>
      <c r="E41" s="2562"/>
      <c r="F41" s="2562"/>
      <c r="G41" s="2562"/>
      <c r="H41" s="2562"/>
      <c r="I41" s="2562"/>
      <c r="J41" s="2562">
        <f>J22+J37</f>
        <v>38.021003999999998</v>
      </c>
      <c r="K41" s="2562"/>
      <c r="L41" s="2562"/>
      <c r="M41" s="2562">
        <f>M22+M37</f>
        <v>56.47</v>
      </c>
      <c r="N41" s="2562"/>
      <c r="O41" s="2562"/>
      <c r="P41" s="2562"/>
      <c r="Q41" s="2562"/>
      <c r="R41" s="2562"/>
      <c r="S41" s="2562">
        <f>S22+S37</f>
        <v>42.193680383698222</v>
      </c>
      <c r="T41" s="2562">
        <f t="shared" si="143"/>
        <v>43.965814959813549</v>
      </c>
      <c r="U41" s="2562">
        <f t="shared" si="143"/>
        <v>45.724447558206087</v>
      </c>
      <c r="V41" s="2562">
        <f t="shared" si="143"/>
        <v>47.553425460534335</v>
      </c>
      <c r="W41" s="2562">
        <f t="shared" si="143"/>
        <v>49.408009053495164</v>
      </c>
      <c r="X41" s="2562">
        <f t="shared" si="143"/>
        <v>51.334921406581472</v>
      </c>
      <c r="Y41" s="2562">
        <f t="shared" ref="Y41:AC41" si="151">Y22+Y37</f>
        <v>43.965814959813549</v>
      </c>
      <c r="Z41" s="2562">
        <f t="shared" si="151"/>
        <v>45.724447558206087</v>
      </c>
      <c r="AA41" s="2562">
        <f t="shared" si="151"/>
        <v>47.553425460534335</v>
      </c>
      <c r="AB41" s="2562">
        <f t="shared" si="151"/>
        <v>49.408009053495164</v>
      </c>
      <c r="AC41" s="2562">
        <f t="shared" si="151"/>
        <v>51.334921406581472</v>
      </c>
      <c r="AD41" s="2562">
        <f t="shared" ref="AD41" si="152">AD22+AD37</f>
        <v>42.358229068582141</v>
      </c>
      <c r="AE41" s="2562">
        <f t="shared" ref="AE41:AG41" si="153">AE22+AE37</f>
        <v>16.191330000000001</v>
      </c>
      <c r="AF41" s="2562">
        <f t="shared" si="153"/>
        <v>25.049800000000001</v>
      </c>
      <c r="AG41" s="2562">
        <f t="shared" si="153"/>
        <v>28.04</v>
      </c>
      <c r="AH41" s="3603">
        <f t="shared" si="146"/>
        <v>51.590587212795349</v>
      </c>
      <c r="AI41" s="3603">
        <f t="shared" ref="AI41" si="154">AI22+AI37</f>
        <v>52.136967054177305</v>
      </c>
      <c r="AJ41" s="3074">
        <f t="shared" ref="AJ41:AM41" si="155">AJ22+AJ37</f>
        <v>14.286210000000001</v>
      </c>
      <c r="AK41" s="3074">
        <f t="shared" si="155"/>
        <v>22.37</v>
      </c>
      <c r="AL41" s="3603">
        <f t="shared" si="155"/>
        <v>30.02</v>
      </c>
      <c r="AM41" s="3945">
        <f t="shared" si="155"/>
        <v>68.675876686260438</v>
      </c>
      <c r="AN41" s="3945">
        <f t="shared" si="148"/>
        <v>44.083298741236796</v>
      </c>
      <c r="AO41" s="3945">
        <f t="shared" si="148"/>
        <v>14.93637</v>
      </c>
      <c r="AP41" s="3945">
        <f t="shared" si="148"/>
        <v>18.11</v>
      </c>
      <c r="AQ41" s="3945">
        <f t="shared" si="148"/>
        <v>32.74</v>
      </c>
      <c r="AR41" s="3074">
        <f t="shared" si="148"/>
        <v>46.287463678298636</v>
      </c>
      <c r="AS41" s="3074">
        <f t="shared" ref="AS41:AU41" si="156">AS22+AS37</f>
        <v>50.220784552821428</v>
      </c>
      <c r="AT41" s="4718">
        <f t="shared" si="156"/>
        <v>13.80808</v>
      </c>
      <c r="AU41" s="4718">
        <f t="shared" si="156"/>
        <v>31.209389999999999</v>
      </c>
    </row>
    <row r="42" spans="1:47" ht="25.5" x14ac:dyDescent="0.2">
      <c r="A42" s="3052" t="s">
        <v>3847</v>
      </c>
      <c r="B42" s="3035"/>
      <c r="C42" s="2562"/>
      <c r="D42" s="2562"/>
      <c r="E42" s="2562"/>
      <c r="F42" s="2562"/>
      <c r="G42" s="2562"/>
      <c r="H42" s="2562"/>
      <c r="I42" s="2562"/>
      <c r="J42" s="2562"/>
      <c r="K42" s="2562"/>
      <c r="L42" s="2562"/>
      <c r="M42" s="2562">
        <f t="shared" ref="M42" si="157">SUM(M14+M29)</f>
        <v>2328.7049999999999</v>
      </c>
      <c r="N42" s="2562"/>
      <c r="O42" s="2562"/>
      <c r="P42" s="2562"/>
      <c r="Q42" s="2562"/>
      <c r="R42" s="2562"/>
      <c r="S42" s="2562">
        <f t="shared" ref="S42:AF42" si="158">SUM(S14+S29)</f>
        <v>1722.0282693371405</v>
      </c>
      <c r="T42" s="2562">
        <f t="shared" si="158"/>
        <v>1722.0282693371405</v>
      </c>
      <c r="U42" s="2562">
        <f t="shared" si="158"/>
        <v>1722.0282693371405</v>
      </c>
      <c r="V42" s="2562">
        <f t="shared" si="158"/>
        <v>1722.0282693371405</v>
      </c>
      <c r="W42" s="2562">
        <f t="shared" si="158"/>
        <v>1722.0282693371405</v>
      </c>
      <c r="X42" s="2562">
        <f t="shared" si="158"/>
        <v>1722.0282693371405</v>
      </c>
      <c r="Y42" s="2562">
        <f t="shared" si="158"/>
        <v>1722.0282693371405</v>
      </c>
      <c r="Z42" s="2562">
        <f t="shared" si="158"/>
        <v>1722.0282693371405</v>
      </c>
      <c r="AA42" s="2562">
        <f t="shared" si="158"/>
        <v>1722.0282693371405</v>
      </c>
      <c r="AB42" s="2562">
        <f t="shared" si="158"/>
        <v>1722.0282693371405</v>
      </c>
      <c r="AC42" s="2562">
        <f t="shared" si="158"/>
        <v>1722.0282693371405</v>
      </c>
      <c r="AD42" s="2562">
        <f t="shared" si="158"/>
        <v>1702.7127119230831</v>
      </c>
      <c r="AE42" s="2562">
        <f t="shared" si="158"/>
        <v>1096.7089999999998</v>
      </c>
      <c r="AF42" s="2562">
        <f t="shared" si="158"/>
        <v>1641.75</v>
      </c>
      <c r="AG42" s="2562">
        <f>SUM(AG14+AG29)</f>
        <v>2192.0450000000001</v>
      </c>
      <c r="AH42" s="3603">
        <f t="shared" ref="AH42:AK42" si="159">SUM(AH14+AH29)</f>
        <v>2168.2434205422305</v>
      </c>
      <c r="AI42" s="3603">
        <f t="shared" ref="AI42" si="160">SUM(AI14+AI29)</f>
        <v>1623.7309705249249</v>
      </c>
      <c r="AJ42" s="3074">
        <f t="shared" si="159"/>
        <v>1087.355</v>
      </c>
      <c r="AK42" s="3074">
        <f t="shared" si="159"/>
        <v>1612.133</v>
      </c>
      <c r="AL42" s="3603">
        <f>SUM(AL14+AL29)</f>
        <v>2191.165</v>
      </c>
      <c r="AM42" s="3945">
        <f t="shared" ref="AM42:AQ42" si="161">SUM(AM14+AM29)</f>
        <v>2062.1936249999999</v>
      </c>
      <c r="AN42" s="3945">
        <f t="shared" si="161"/>
        <v>1711.0317767621791</v>
      </c>
      <c r="AO42" s="3945">
        <f t="shared" si="161"/>
        <v>1068.2149999999999</v>
      </c>
      <c r="AP42" s="3945">
        <f t="shared" si="161"/>
        <v>1591.557</v>
      </c>
      <c r="AQ42" s="3945">
        <f t="shared" si="161"/>
        <v>2159.5949999999998</v>
      </c>
      <c r="AR42" s="3074">
        <f t="shared" ref="AR42:AU42" si="162">SUM(AR14+AR29)</f>
        <v>1711.0317767621791</v>
      </c>
      <c r="AS42" s="3074">
        <f t="shared" si="162"/>
        <v>1754.9394643449514</v>
      </c>
      <c r="AT42" s="4718">
        <f t="shared" si="162"/>
        <v>1119.537</v>
      </c>
      <c r="AU42" s="4718">
        <f t="shared" si="162"/>
        <v>2124.645</v>
      </c>
    </row>
    <row r="43" spans="1:47" x14ac:dyDescent="0.2">
      <c r="A43" s="3052" t="s">
        <v>3630</v>
      </c>
      <c r="B43" s="3035"/>
      <c r="C43" s="3035"/>
      <c r="D43" s="3035"/>
      <c r="E43" s="3035"/>
      <c r="F43" s="3035"/>
      <c r="G43" s="3035"/>
      <c r="H43" s="3035"/>
      <c r="I43" s="3035"/>
      <c r="J43" s="3035"/>
      <c r="K43" s="3035"/>
      <c r="L43" s="3035"/>
      <c r="M43" s="3062">
        <f t="shared" ref="M43" si="163">SUM(M38/M42)</f>
        <v>4.6497989225771406</v>
      </c>
      <c r="N43" s="3035"/>
      <c r="O43" s="3035"/>
      <c r="P43" s="3035"/>
      <c r="Q43" s="3035"/>
      <c r="R43" s="3035"/>
      <c r="S43" s="3062">
        <f t="shared" ref="S43:AH43" si="164">SUM(S38/S42)</f>
        <v>5.1824177100000002</v>
      </c>
      <c r="T43" s="3062">
        <f t="shared" si="164"/>
        <v>5.4000792538200004</v>
      </c>
      <c r="U43" s="3062">
        <f t="shared" si="164"/>
        <v>5.6160824239728004</v>
      </c>
      <c r="V43" s="3062">
        <f t="shared" si="164"/>
        <v>5.8407257209317116</v>
      </c>
      <c r="W43" s="3062">
        <f t="shared" si="164"/>
        <v>6.0685140240480475</v>
      </c>
      <c r="X43" s="3062">
        <f t="shared" si="164"/>
        <v>6.3051860709859211</v>
      </c>
      <c r="Y43" s="3062">
        <f t="shared" si="164"/>
        <v>5.4000792538200004</v>
      </c>
      <c r="Z43" s="3062">
        <f t="shared" si="164"/>
        <v>5.6160824239728004</v>
      </c>
      <c r="AA43" s="3062">
        <f t="shared" si="164"/>
        <v>5.8407257209317116</v>
      </c>
      <c r="AB43" s="3062">
        <f t="shared" si="164"/>
        <v>6.0685140240480475</v>
      </c>
      <c r="AC43" s="3062">
        <f t="shared" si="164"/>
        <v>6.3051860709859211</v>
      </c>
      <c r="AD43" s="3062">
        <f t="shared" si="164"/>
        <v>5.2006111652444806</v>
      </c>
      <c r="AE43" s="3062">
        <f t="shared" si="164"/>
        <v>4.6140375341134252</v>
      </c>
      <c r="AF43" s="3062">
        <f t="shared" si="164"/>
        <v>4.6518942652657227</v>
      </c>
      <c r="AG43" s="3062">
        <f>SUM(AG38/AG42)</f>
        <v>4.7190363336519106</v>
      </c>
      <c r="AH43" s="3062">
        <f t="shared" si="164"/>
        <v>4.8461414521631543</v>
      </c>
      <c r="AI43" s="3062">
        <f t="shared" ref="AI43" si="165">SUM(AI38/AI42)</f>
        <v>5.1696401483861747</v>
      </c>
      <c r="AJ43" s="3064">
        <f t="shared" ref="AJ43:AK43" si="166">SUM(AJ38/AJ42)</f>
        <v>4.5950936078833502</v>
      </c>
      <c r="AK43" s="3064">
        <f t="shared" si="166"/>
        <v>4.6851184114462017</v>
      </c>
      <c r="AL43" s="3062">
        <f>SUM(AL38/AL42)</f>
        <v>4.7728359845105226</v>
      </c>
      <c r="AM43" s="3062">
        <f t="shared" ref="AM43:AQ43" si="167">SUM(AM38/AM42)</f>
        <v>5.3617109386688542</v>
      </c>
      <c r="AN43" s="3062">
        <f t="shared" si="167"/>
        <v>5.2136954322089872</v>
      </c>
      <c r="AO43" s="3062">
        <f t="shared" si="167"/>
        <v>4.9487938757647116</v>
      </c>
      <c r="AP43" s="3062">
        <f t="shared" si="167"/>
        <v>4.9869875851131944</v>
      </c>
      <c r="AQ43" s="3062">
        <f t="shared" si="167"/>
        <v>5.0022805201901281</v>
      </c>
      <c r="AR43" s="3064">
        <f t="shared" ref="AR43:AU43" si="168">SUM(AR38/AR42)</f>
        <v>5.474380203819436</v>
      </c>
      <c r="AS43" s="3064">
        <f t="shared" si="168"/>
        <v>5.7790022504009171</v>
      </c>
      <c r="AT43" s="4738">
        <f t="shared" si="168"/>
        <v>5.0291637971768681</v>
      </c>
      <c r="AU43" s="4738">
        <f t="shared" si="168"/>
        <v>5.1931219427245496</v>
      </c>
    </row>
    <row r="44" spans="1:47" x14ac:dyDescent="0.2">
      <c r="B44" s="2385"/>
      <c r="C44" s="2385"/>
      <c r="D44" s="2385"/>
      <c r="E44" s="2385"/>
      <c r="F44" s="2385"/>
      <c r="G44" s="2385"/>
      <c r="H44" s="2385"/>
      <c r="I44" s="2385"/>
      <c r="J44" s="2385"/>
      <c r="K44" s="2385"/>
      <c r="L44" s="2385"/>
      <c r="M44" s="2385"/>
      <c r="N44" s="2385"/>
      <c r="O44" s="2385"/>
      <c r="P44" s="2385"/>
      <c r="Q44" s="2385"/>
      <c r="R44" s="2385"/>
      <c r="S44" s="2385"/>
      <c r="T44" s="2385"/>
      <c r="U44" s="2385"/>
      <c r="V44" s="2385"/>
      <c r="W44" s="2385"/>
      <c r="X44" s="2385"/>
      <c r="Y44" s="2385"/>
      <c r="Z44" s="2385"/>
      <c r="AA44" s="2385"/>
      <c r="AB44" s="2385"/>
      <c r="AC44" s="2385"/>
      <c r="AD44" s="2656"/>
    </row>
    <row r="45" spans="1:47" x14ac:dyDescent="0.2">
      <c r="B45" s="2385"/>
      <c r="C45" s="2385"/>
      <c r="D45" s="2385"/>
      <c r="E45" s="2385"/>
      <c r="F45" s="2385"/>
      <c r="G45" s="2385"/>
      <c r="H45" s="2385"/>
      <c r="I45" s="2385"/>
      <c r="J45" s="2385"/>
      <c r="K45" s="2385"/>
      <c r="L45" s="2385"/>
      <c r="M45" s="2385"/>
      <c r="N45" s="2385"/>
      <c r="O45" s="2385"/>
      <c r="P45" s="2385"/>
      <c r="Q45" s="2385"/>
      <c r="R45" s="2385"/>
      <c r="S45" s="2385"/>
      <c r="T45" s="2385"/>
      <c r="U45" s="2385"/>
      <c r="V45" s="2385"/>
      <c r="W45" s="2385"/>
      <c r="X45" s="2385"/>
      <c r="Y45" s="2385"/>
      <c r="Z45" s="2385"/>
      <c r="AA45" s="2385"/>
      <c r="AB45" s="2385"/>
      <c r="AC45" s="2385"/>
      <c r="AD45" s="2656"/>
    </row>
    <row r="46" spans="1:47" x14ac:dyDescent="0.2">
      <c r="B46" s="2385"/>
      <c r="C46" s="2385"/>
      <c r="D46" s="2385"/>
      <c r="E46" s="2385"/>
      <c r="F46" s="2385"/>
      <c r="G46" s="2385"/>
      <c r="H46" s="2385"/>
      <c r="I46" s="2385"/>
      <c r="J46" s="2385"/>
      <c r="K46" s="2385"/>
      <c r="L46" s="2385"/>
      <c r="M46" s="2385"/>
      <c r="N46" s="2385"/>
      <c r="O46" s="2385"/>
      <c r="P46" s="2385"/>
      <c r="Q46" s="2385"/>
      <c r="R46" s="2385"/>
      <c r="S46" s="2385"/>
      <c r="T46" s="2385"/>
      <c r="U46" s="2385"/>
      <c r="V46" s="2385"/>
      <c r="W46" s="2385"/>
      <c r="X46" s="2385"/>
      <c r="Y46" s="2385"/>
      <c r="Z46" s="2385"/>
      <c r="AA46" s="2385"/>
      <c r="AB46" s="2385"/>
      <c r="AC46" s="2385"/>
      <c r="AD46" s="2656"/>
    </row>
    <row r="47" spans="1:47" ht="20.25" x14ac:dyDescent="0.3">
      <c r="A47" s="3060" t="s">
        <v>4060</v>
      </c>
      <c r="B47" s="3061"/>
      <c r="C47" s="2435"/>
      <c r="D47" s="2435"/>
      <c r="E47" s="2435"/>
      <c r="F47" s="2435"/>
      <c r="G47" s="2435"/>
      <c r="H47" s="2435"/>
      <c r="I47" s="2435"/>
      <c r="J47" s="2435"/>
      <c r="K47" s="2435"/>
      <c r="L47" s="2435"/>
      <c r="M47" s="2435"/>
      <c r="N47" s="2435"/>
      <c r="O47" s="2435"/>
      <c r="P47" s="2435"/>
      <c r="Q47" s="2435"/>
      <c r="R47" s="2435"/>
      <c r="S47" s="2435"/>
      <c r="T47" s="2435"/>
      <c r="U47" s="2435"/>
    </row>
    <row r="48" spans="1:47" x14ac:dyDescent="0.2">
      <c r="A48" s="2248">
        <f>I29</f>
        <v>2009.07</v>
      </c>
    </row>
    <row r="49" spans="1:1" x14ac:dyDescent="0.2">
      <c r="A49" s="2091">
        <f>'объемы ВС и ВО 2023'!AN62</f>
        <v>4359.4799999999996</v>
      </c>
    </row>
    <row r="50" spans="1:1" x14ac:dyDescent="0.2">
      <c r="A50" s="2091">
        <f>A48/A49</f>
        <v>0.46085083542073829</v>
      </c>
    </row>
  </sheetData>
  <mergeCells count="32">
    <mergeCell ref="AT4:AT6"/>
    <mergeCell ref="AU4:AU6"/>
    <mergeCell ref="A2:AU2"/>
    <mergeCell ref="F5:J5"/>
    <mergeCell ref="N6:R6"/>
    <mergeCell ref="S6:X6"/>
    <mergeCell ref="C4:M4"/>
    <mergeCell ref="K5:M5"/>
    <mergeCell ref="AP4:AP6"/>
    <mergeCell ref="AQ4:AQ6"/>
    <mergeCell ref="Y4:AC4"/>
    <mergeCell ref="Y6:AC6"/>
    <mergeCell ref="AH4:AI4"/>
    <mergeCell ref="AM4:AN4"/>
    <mergeCell ref="AM5:AM6"/>
    <mergeCell ref="AN5:AN6"/>
    <mergeCell ref="AH5:AH6"/>
    <mergeCell ref="AR4:AS4"/>
    <mergeCell ref="AR5:AR6"/>
    <mergeCell ref="AS5:AS6"/>
    <mergeCell ref="A4:A6"/>
    <mergeCell ref="B4:B6"/>
    <mergeCell ref="N4:X4"/>
    <mergeCell ref="C5:E5"/>
    <mergeCell ref="AI5:AI6"/>
    <mergeCell ref="AJ4:AJ6"/>
    <mergeCell ref="AK4:AK6"/>
    <mergeCell ref="AL4:AL6"/>
    <mergeCell ref="AE4:AE6"/>
    <mergeCell ref="AF4:AF6"/>
    <mergeCell ref="AG4:AG6"/>
    <mergeCell ref="AO4:AO6"/>
  </mergeCells>
  <printOptions horizontalCentered="1"/>
  <pageMargins left="0" right="0" top="0.94488188976377963" bottom="0.74803149606299213" header="0.31496062992125984" footer="0.31496062992125984"/>
  <pageSetup paperSize="9" scale="58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Лист35">
    <tabColor rgb="FFFF66FF"/>
    <pageSetUpPr fitToPage="1"/>
  </sheetPr>
  <dimension ref="A1:CF93"/>
  <sheetViews>
    <sheetView zoomScaleNormal="100" workbookViewId="0">
      <pane xSplit="20" ySplit="6" topLeftCell="BD7" activePane="bottomRight" state="frozen"/>
      <selection pane="topRight" activeCell="U1" sqref="U1"/>
      <selection pane="bottomLeft" activeCell="A21" sqref="A21"/>
      <selection pane="bottomRight" activeCell="CE18" sqref="CE18"/>
    </sheetView>
  </sheetViews>
  <sheetFormatPr defaultRowHeight="12.75" x14ac:dyDescent="0.2"/>
  <cols>
    <col min="1" max="1" width="30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hidden="1" customWidth="1"/>
    <col min="22" max="22" width="11" hidden="1" customWidth="1"/>
    <col min="23" max="23" width="12.85546875" hidden="1" customWidth="1"/>
    <col min="24" max="24" width="13.42578125" hidden="1" customWidth="1"/>
    <col min="25" max="26" width="12.42578125" hidden="1" customWidth="1"/>
    <col min="27" max="27" width="14.85546875" hidden="1" customWidth="1"/>
    <col min="28" max="28" width="12.42578125" hidden="1" customWidth="1"/>
    <col min="29" max="29" width="13.5703125" hidden="1" customWidth="1"/>
    <col min="30" max="30" width="12.42578125" hidden="1" customWidth="1"/>
    <col min="31" max="31" width="13.5703125" hidden="1" customWidth="1"/>
    <col min="32" max="32" width="3" hidden="1" customWidth="1"/>
    <col min="33" max="33" width="12.42578125" hidden="1" customWidth="1"/>
    <col min="34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hidden="1" customWidth="1"/>
    <col min="49" max="49" width="6.7109375" hidden="1" customWidth="1"/>
    <col min="50" max="51" width="9.7109375" hidden="1" customWidth="1"/>
    <col min="52" max="52" width="6.7109375" hidden="1" customWidth="1"/>
    <col min="53" max="53" width="9.7109375" customWidth="1"/>
    <col min="54" max="54" width="9.7109375" hidden="1" customWidth="1"/>
    <col min="55" max="55" width="6.7109375" hidden="1" customWidth="1"/>
    <col min="56" max="57" width="12.7109375" customWidth="1"/>
    <col min="58" max="58" width="12.85546875" hidden="1" customWidth="1"/>
    <col min="59" max="59" width="11" hidden="1" customWidth="1"/>
    <col min="60" max="60" width="0.42578125" hidden="1" customWidth="1"/>
    <col min="61" max="62" width="9.7109375" hidden="1" customWidth="1"/>
    <col min="63" max="63" width="6.7109375" hidden="1" customWidth="1"/>
    <col min="64" max="65" width="9.7109375" hidden="1" customWidth="1"/>
    <col min="66" max="66" width="6.7109375" hidden="1" customWidth="1"/>
    <col min="67" max="67" width="9.7109375" customWidth="1"/>
    <col min="68" max="68" width="9.7109375" hidden="1" customWidth="1"/>
    <col min="69" max="69" width="6.7109375" hidden="1" customWidth="1"/>
    <col min="70" max="71" width="12.7109375" customWidth="1"/>
    <col min="72" max="72" width="9.140625" hidden="1" customWidth="1"/>
    <col min="73" max="73" width="0" hidden="1" customWidth="1"/>
    <col min="74" max="74" width="6.7109375" hidden="1" customWidth="1"/>
    <col min="75" max="76" width="0" hidden="1" customWidth="1"/>
    <col min="77" max="77" width="6.7109375" hidden="1" customWidth="1"/>
    <col min="79" max="79" width="0" hidden="1" customWidth="1"/>
    <col min="80" max="80" width="6.7109375" hidden="1" customWidth="1"/>
    <col min="81" max="82" width="12.7109375" customWidth="1"/>
    <col min="83" max="83" width="10.42578125" customWidth="1"/>
  </cols>
  <sheetData>
    <row r="1" spans="1:84" x14ac:dyDescent="0.2">
      <c r="A1" s="5484" t="s">
        <v>1498</v>
      </c>
      <c r="B1" s="5484"/>
      <c r="C1" s="5484"/>
      <c r="D1" s="5484"/>
      <c r="E1" s="5484"/>
      <c r="F1" s="5484"/>
      <c r="G1" s="5484"/>
      <c r="H1" s="5484"/>
      <c r="I1" s="5484"/>
      <c r="J1" s="5484"/>
      <c r="K1" s="5484"/>
      <c r="L1" s="5484"/>
      <c r="M1" s="5484"/>
      <c r="N1" s="5484"/>
      <c r="O1" s="5484"/>
      <c r="P1" s="5484"/>
      <c r="Q1" s="5484"/>
      <c r="R1" s="5484"/>
      <c r="S1" s="5484"/>
      <c r="T1" s="5484"/>
      <c r="U1" s="5484"/>
      <c r="V1" s="5484"/>
      <c r="W1" s="5484"/>
      <c r="X1" s="5484"/>
      <c r="Y1" s="5484"/>
      <c r="Z1" s="5484"/>
      <c r="AA1" s="5484"/>
      <c r="AB1" s="5484"/>
      <c r="AC1" s="5484"/>
      <c r="AD1" s="5484"/>
      <c r="AE1" s="5484"/>
      <c r="AF1" s="5484"/>
      <c r="AG1" s="5484"/>
      <c r="AH1" s="5484"/>
      <c r="AI1" s="5484"/>
      <c r="AJ1" s="5484"/>
      <c r="AK1" s="5484"/>
      <c r="AL1" s="5484"/>
      <c r="AM1" s="5484"/>
      <c r="AN1" s="5484"/>
      <c r="AO1" s="5484"/>
      <c r="AP1" s="5484"/>
      <c r="AQ1" s="5484"/>
      <c r="AR1" s="5484"/>
      <c r="AS1" s="5484"/>
      <c r="AT1" s="5484"/>
      <c r="AU1" s="5484"/>
      <c r="AV1" s="5484"/>
      <c r="AW1" s="5484"/>
      <c r="AX1" s="5484"/>
      <c r="AY1" s="5484"/>
      <c r="AZ1" s="5484"/>
      <c r="BA1" s="5484"/>
      <c r="BB1" s="5484"/>
      <c r="BC1" s="5484"/>
      <c r="BD1" s="5484"/>
      <c r="BE1" s="5484"/>
      <c r="BF1" s="4910"/>
      <c r="BG1" s="4910"/>
      <c r="BH1" s="4910"/>
      <c r="BI1" s="4910"/>
      <c r="BJ1" s="4910"/>
      <c r="BK1" s="4910"/>
      <c r="BL1" s="4910"/>
      <c r="BM1" s="4910"/>
      <c r="BN1" s="4910"/>
      <c r="BO1" s="4910"/>
      <c r="BP1" s="4910"/>
      <c r="BQ1" s="4910"/>
      <c r="BR1" s="4910"/>
      <c r="BS1" s="4910"/>
      <c r="BT1" s="4910"/>
      <c r="BU1" s="4910"/>
      <c r="BV1" s="4910"/>
      <c r="BW1" s="4910"/>
      <c r="BX1" s="4910"/>
      <c r="BY1" s="4910"/>
      <c r="BZ1" s="4910"/>
      <c r="CA1" s="4910"/>
      <c r="CB1" s="4910"/>
      <c r="CC1" s="4910"/>
      <c r="CD1" s="4910"/>
    </row>
    <row r="2" spans="1:84" ht="15.75" customHeight="1" x14ac:dyDescent="0.3">
      <c r="A2" s="5637" t="s">
        <v>4053</v>
      </c>
      <c r="B2" s="5841"/>
      <c r="C2" s="5841"/>
      <c r="D2" s="5841"/>
      <c r="E2" s="5841"/>
      <c r="F2" s="5841"/>
      <c r="G2" s="5841"/>
      <c r="H2" s="5841"/>
      <c r="I2" s="5841"/>
      <c r="J2" s="5841"/>
      <c r="K2" s="5841"/>
      <c r="L2" s="5841"/>
      <c r="M2" s="5841"/>
      <c r="N2" s="5841"/>
      <c r="O2" s="5841"/>
      <c r="P2" s="5841"/>
      <c r="Q2" s="5841"/>
      <c r="R2" s="5841"/>
      <c r="S2" s="5841"/>
      <c r="T2" s="5841"/>
      <c r="U2" s="5841"/>
      <c r="V2" s="5841"/>
      <c r="W2" s="5841"/>
      <c r="X2" s="5841"/>
      <c r="Y2" s="5841"/>
      <c r="Z2" s="5841"/>
      <c r="AA2" s="5841"/>
      <c r="AB2" s="5841"/>
      <c r="AC2" s="5841"/>
      <c r="AD2" s="5841"/>
      <c r="AE2" s="5841"/>
      <c r="AF2" s="5841"/>
      <c r="AG2" s="5841"/>
      <c r="AH2" s="5841"/>
      <c r="AI2" s="5841"/>
      <c r="AJ2" s="5841"/>
      <c r="AK2" s="5841"/>
      <c r="AL2" s="5841"/>
      <c r="AM2" s="5841"/>
      <c r="AN2" s="5841"/>
      <c r="AO2" s="5841"/>
      <c r="AP2" s="5841"/>
      <c r="AQ2" s="5841"/>
      <c r="AR2" s="5841"/>
      <c r="AS2" s="5841"/>
      <c r="AT2" s="5841"/>
      <c r="AU2" s="5841"/>
      <c r="AV2" s="5841"/>
      <c r="AW2" s="5841"/>
      <c r="AX2" s="5841"/>
      <c r="AY2" s="5841"/>
      <c r="AZ2" s="5841"/>
      <c r="BA2" s="5841"/>
      <c r="BB2" s="5841"/>
      <c r="BC2" s="5841"/>
      <c r="BD2" s="5841"/>
      <c r="BE2" s="5841"/>
      <c r="BF2" s="4910"/>
      <c r="BG2" s="4910"/>
      <c r="BH2" s="4910"/>
      <c r="BI2" s="4910"/>
      <c r="BJ2" s="4910"/>
      <c r="BK2" s="4910"/>
      <c r="BL2" s="4910"/>
      <c r="BM2" s="4910"/>
      <c r="BN2" s="4910"/>
      <c r="BO2" s="4910"/>
      <c r="BP2" s="4910"/>
      <c r="BQ2" s="4910"/>
      <c r="BR2" s="4910"/>
      <c r="BS2" s="4910"/>
      <c r="BT2" s="4910"/>
      <c r="BU2" s="4910"/>
      <c r="BV2" s="4910"/>
      <c r="BW2" s="4910"/>
      <c r="BX2" s="4910"/>
      <c r="BY2" s="4910"/>
      <c r="BZ2" s="4910"/>
      <c r="CA2" s="4910"/>
      <c r="CB2" s="4910"/>
      <c r="CC2" s="4910"/>
      <c r="CD2" s="4910"/>
    </row>
    <row r="4" spans="1:84" ht="36.75" customHeight="1" x14ac:dyDescent="0.2">
      <c r="A4" s="5155" t="s">
        <v>525</v>
      </c>
      <c r="B4" s="2623"/>
      <c r="C4" s="2623"/>
      <c r="D4" s="2623"/>
      <c r="E4" s="5842" t="s">
        <v>227</v>
      </c>
      <c r="F4" s="5843"/>
      <c r="G4" s="5843"/>
      <c r="H4" s="5843"/>
      <c r="I4" s="5843"/>
      <c r="J4" s="5843"/>
      <c r="K4" s="5843"/>
      <c r="L4" s="5844"/>
      <c r="M4" s="5627" t="s">
        <v>362</v>
      </c>
      <c r="N4" s="5845"/>
      <c r="O4" s="5845"/>
      <c r="P4" s="5845"/>
      <c r="Q4" s="5845"/>
      <c r="R4" s="5845"/>
      <c r="S4" s="5846"/>
      <c r="T4" s="5842" t="s">
        <v>815</v>
      </c>
      <c r="U4" s="5843"/>
      <c r="V4" s="5843"/>
      <c r="W4" s="5843"/>
      <c r="X4" s="5843"/>
      <c r="Y4" s="5844"/>
      <c r="Z4" s="2095" t="s">
        <v>1534</v>
      </c>
      <c r="AA4" s="5627" t="s">
        <v>892</v>
      </c>
      <c r="AB4" s="5845"/>
      <c r="AC4" s="5846"/>
      <c r="AD4" s="2624" t="s">
        <v>893</v>
      </c>
      <c r="AE4" s="5853" t="s">
        <v>893</v>
      </c>
      <c r="AF4" s="5853"/>
      <c r="AG4" s="5854"/>
      <c r="AH4" s="5627" t="s">
        <v>3510</v>
      </c>
      <c r="AI4" s="5845"/>
      <c r="AJ4" s="5845"/>
      <c r="AK4" s="5845"/>
      <c r="AL4" s="5845"/>
      <c r="AM4" s="5846"/>
      <c r="AN4" s="2622" t="s">
        <v>1805</v>
      </c>
      <c r="AO4" s="2622" t="s">
        <v>1806</v>
      </c>
      <c r="AP4" s="2622" t="s">
        <v>1807</v>
      </c>
      <c r="AQ4" s="2622" t="s">
        <v>1808</v>
      </c>
      <c r="AR4" s="2622" t="s">
        <v>1809</v>
      </c>
      <c r="AS4" s="5627" t="s">
        <v>3659</v>
      </c>
      <c r="AT4" s="5531"/>
      <c r="AU4" s="5575" t="s">
        <v>3614</v>
      </c>
      <c r="AV4" s="5523"/>
      <c r="AW4" s="5523"/>
      <c r="AX4" s="5575" t="s">
        <v>3615</v>
      </c>
      <c r="AY4" s="5523"/>
      <c r="AZ4" s="5523"/>
      <c r="BA4" s="5575" t="s">
        <v>4054</v>
      </c>
      <c r="BB4" s="5523"/>
      <c r="BC4" s="5523"/>
      <c r="BD4" s="5575" t="s">
        <v>3846</v>
      </c>
      <c r="BE4" s="5521"/>
      <c r="BF4" s="5150" t="s">
        <v>235</v>
      </c>
      <c r="BG4" s="5150"/>
      <c r="BI4" s="5575" t="s">
        <v>3867</v>
      </c>
      <c r="BJ4" s="5523"/>
      <c r="BK4" s="5523"/>
      <c r="BL4" s="5575" t="s">
        <v>3868</v>
      </c>
      <c r="BM4" s="5523"/>
      <c r="BN4" s="5523"/>
      <c r="BO4" s="5575" t="s">
        <v>4055</v>
      </c>
      <c r="BP4" s="5523"/>
      <c r="BQ4" s="5523"/>
      <c r="BR4" s="5575" t="s">
        <v>3895</v>
      </c>
      <c r="BS4" s="5521"/>
      <c r="BT4" s="5575" t="s">
        <v>3929</v>
      </c>
      <c r="BU4" s="5523"/>
      <c r="BV4" s="5523"/>
      <c r="BW4" s="5575" t="s">
        <v>3930</v>
      </c>
      <c r="BX4" s="5523"/>
      <c r="BY4" s="5523"/>
      <c r="BZ4" s="5575" t="s">
        <v>3932</v>
      </c>
      <c r="CA4" s="5523"/>
      <c r="CB4" s="5523"/>
      <c r="CC4" s="5575" t="s">
        <v>4014</v>
      </c>
      <c r="CD4" s="5521"/>
      <c r="CE4" s="5861" t="s">
        <v>4257</v>
      </c>
      <c r="CF4" s="5861" t="s">
        <v>4258</v>
      </c>
    </row>
    <row r="5" spans="1:84" ht="12.75" customHeight="1" x14ac:dyDescent="0.2">
      <c r="A5" s="5155"/>
      <c r="B5" s="2623"/>
      <c r="C5" s="2623"/>
      <c r="D5" s="2623"/>
      <c r="E5" s="5144" t="s">
        <v>554</v>
      </c>
      <c r="F5" s="2619" t="s">
        <v>160</v>
      </c>
      <c r="G5" s="5144" t="s">
        <v>236</v>
      </c>
      <c r="H5" s="5144" t="s">
        <v>555</v>
      </c>
      <c r="I5" s="5144" t="s">
        <v>370</v>
      </c>
      <c r="J5" s="2619" t="s">
        <v>238</v>
      </c>
      <c r="K5" s="2619"/>
      <c r="L5" s="5144" t="s">
        <v>60</v>
      </c>
      <c r="M5" s="5144" t="s">
        <v>554</v>
      </c>
      <c r="N5" s="5144" t="s">
        <v>160</v>
      </c>
      <c r="O5" s="5144" t="s">
        <v>236</v>
      </c>
      <c r="P5" s="5144" t="s">
        <v>818</v>
      </c>
      <c r="Q5" s="5144" t="s">
        <v>555</v>
      </c>
      <c r="R5" s="5144" t="s">
        <v>370</v>
      </c>
      <c r="S5" s="5144" t="s">
        <v>60</v>
      </c>
      <c r="T5" s="5144" t="s">
        <v>554</v>
      </c>
      <c r="U5" s="5837" t="s">
        <v>1585</v>
      </c>
      <c r="V5" s="1966"/>
      <c r="W5" s="5837" t="s">
        <v>60</v>
      </c>
      <c r="X5" s="5837" t="s">
        <v>1675</v>
      </c>
      <c r="Y5" s="1966" t="s">
        <v>237</v>
      </c>
      <c r="Z5" s="1966" t="s">
        <v>118</v>
      </c>
      <c r="AA5" s="5837" t="s">
        <v>1679</v>
      </c>
      <c r="AB5" s="5837" t="s">
        <v>60</v>
      </c>
      <c r="AC5" s="5837" t="s">
        <v>1675</v>
      </c>
      <c r="AD5" s="1966" t="s">
        <v>118</v>
      </c>
      <c r="AE5" s="5837" t="s">
        <v>1679</v>
      </c>
      <c r="AF5" s="2625"/>
      <c r="AG5" s="5837" t="s">
        <v>60</v>
      </c>
      <c r="AH5" s="5629" t="s">
        <v>118</v>
      </c>
      <c r="AI5" s="5847"/>
      <c r="AJ5" s="5847"/>
      <c r="AK5" s="5847"/>
      <c r="AL5" s="5848"/>
      <c r="AM5" s="5629" t="s">
        <v>1521</v>
      </c>
      <c r="AN5" s="5847"/>
      <c r="AO5" s="5847"/>
      <c r="AP5" s="5847"/>
      <c r="AQ5" s="5847"/>
      <c r="AR5" s="5848"/>
      <c r="AS5" s="5837" t="s">
        <v>3511</v>
      </c>
      <c r="AT5" s="5837" t="s">
        <v>3660</v>
      </c>
      <c r="AU5" s="5144" t="s">
        <v>288</v>
      </c>
      <c r="AV5" s="5144" t="s">
        <v>3625</v>
      </c>
      <c r="AW5" s="5144"/>
      <c r="AX5" s="5144" t="s">
        <v>288</v>
      </c>
      <c r="AY5" s="5144" t="s">
        <v>3625</v>
      </c>
      <c r="AZ5" s="5144"/>
      <c r="BA5" s="5144" t="s">
        <v>288</v>
      </c>
      <c r="BB5" s="5144" t="s">
        <v>3625</v>
      </c>
      <c r="BC5" s="5144"/>
      <c r="BD5" s="5837" t="s">
        <v>3511</v>
      </c>
      <c r="BE5" s="5837" t="s">
        <v>3660</v>
      </c>
      <c r="BF5" s="5635"/>
      <c r="BG5" s="5635"/>
      <c r="BI5" s="5144" t="s">
        <v>288</v>
      </c>
      <c r="BJ5" s="5144" t="s">
        <v>3625</v>
      </c>
      <c r="BK5" s="5144"/>
      <c r="BL5" s="5144" t="s">
        <v>288</v>
      </c>
      <c r="BM5" s="5144" t="s">
        <v>3625</v>
      </c>
      <c r="BN5" s="5144"/>
      <c r="BO5" s="5144" t="s">
        <v>288</v>
      </c>
      <c r="BP5" s="5144" t="s">
        <v>3625</v>
      </c>
      <c r="BQ5" s="5144"/>
      <c r="BR5" s="5837" t="s">
        <v>3511</v>
      </c>
      <c r="BS5" s="5837" t="s">
        <v>3660</v>
      </c>
      <c r="BT5" s="5144" t="s">
        <v>288</v>
      </c>
      <c r="BU5" s="5144" t="s">
        <v>3625</v>
      </c>
      <c r="BV5" s="5144"/>
      <c r="BW5" s="5144" t="s">
        <v>288</v>
      </c>
      <c r="BX5" s="5144" t="s">
        <v>3625</v>
      </c>
      <c r="BY5" s="5144"/>
      <c r="BZ5" s="5144" t="s">
        <v>288</v>
      </c>
      <c r="CA5" s="5144" t="s">
        <v>3625</v>
      </c>
      <c r="CB5" s="5144"/>
      <c r="CC5" s="5837" t="s">
        <v>3511</v>
      </c>
      <c r="CD5" s="5837" t="s">
        <v>3660</v>
      </c>
      <c r="CE5" s="5651"/>
      <c r="CF5" s="5651"/>
    </row>
    <row r="6" spans="1:84" ht="49.5" customHeight="1" x14ac:dyDescent="0.2">
      <c r="A6" s="5155"/>
      <c r="B6" s="2623"/>
      <c r="C6" s="2623"/>
      <c r="D6" s="2623"/>
      <c r="E6" s="5144"/>
      <c r="F6" s="2619"/>
      <c r="G6" s="5144"/>
      <c r="H6" s="5144"/>
      <c r="I6" s="5144"/>
      <c r="J6" s="2619"/>
      <c r="K6" s="2619"/>
      <c r="L6" s="5144"/>
      <c r="M6" s="5144"/>
      <c r="N6" s="5144"/>
      <c r="O6" s="5144"/>
      <c r="P6" s="5144"/>
      <c r="Q6" s="5144"/>
      <c r="R6" s="5144"/>
      <c r="S6" s="5144"/>
      <c r="T6" s="5144"/>
      <c r="U6" s="5852"/>
      <c r="V6" s="1966" t="s">
        <v>817</v>
      </c>
      <c r="W6" s="5852"/>
      <c r="X6" s="5852"/>
      <c r="Y6" s="1966" t="s">
        <v>237</v>
      </c>
      <c r="Z6" s="1966" t="s">
        <v>118</v>
      </c>
      <c r="AA6" s="5852"/>
      <c r="AB6" s="5852"/>
      <c r="AC6" s="5852"/>
      <c r="AD6" s="1966" t="s">
        <v>118</v>
      </c>
      <c r="AE6" s="5652"/>
      <c r="AF6" s="2626"/>
      <c r="AG6" s="5647"/>
      <c r="AH6" s="5849"/>
      <c r="AI6" s="5850"/>
      <c r="AJ6" s="5850"/>
      <c r="AK6" s="5850"/>
      <c r="AL6" s="5851"/>
      <c r="AM6" s="5849"/>
      <c r="AN6" s="5850"/>
      <c r="AO6" s="5850"/>
      <c r="AP6" s="5850"/>
      <c r="AQ6" s="5850"/>
      <c r="AR6" s="5851"/>
      <c r="AS6" s="5652"/>
      <c r="AT6" s="5652"/>
      <c r="AU6" s="5144"/>
      <c r="AV6" s="2619" t="s">
        <v>1692</v>
      </c>
      <c r="AW6" s="2619" t="s">
        <v>3626</v>
      </c>
      <c r="AX6" s="5144"/>
      <c r="AY6" s="2619" t="s">
        <v>1692</v>
      </c>
      <c r="AZ6" s="2619" t="s">
        <v>3626</v>
      </c>
      <c r="BA6" s="5144"/>
      <c r="BB6" s="2619" t="s">
        <v>1692</v>
      </c>
      <c r="BC6" s="2619" t="s">
        <v>3626</v>
      </c>
      <c r="BD6" s="5652"/>
      <c r="BE6" s="5652"/>
      <c r="BF6" s="5151"/>
      <c r="BG6" s="5151"/>
      <c r="BI6" s="5144"/>
      <c r="BJ6" s="3552" t="s">
        <v>1692</v>
      </c>
      <c r="BK6" s="3552" t="s">
        <v>3626</v>
      </c>
      <c r="BL6" s="5144"/>
      <c r="BM6" s="3552" t="s">
        <v>1692</v>
      </c>
      <c r="BN6" s="3552" t="s">
        <v>3626</v>
      </c>
      <c r="BO6" s="5144"/>
      <c r="BP6" s="3552" t="s">
        <v>1692</v>
      </c>
      <c r="BQ6" s="3552" t="s">
        <v>3626</v>
      </c>
      <c r="BR6" s="5652"/>
      <c r="BS6" s="5652"/>
      <c r="BT6" s="5144"/>
      <c r="BU6" s="3777" t="s">
        <v>1692</v>
      </c>
      <c r="BV6" s="3777" t="s">
        <v>3626</v>
      </c>
      <c r="BW6" s="5144"/>
      <c r="BX6" s="3777" t="s">
        <v>1692</v>
      </c>
      <c r="BY6" s="3777" t="s">
        <v>3626</v>
      </c>
      <c r="BZ6" s="5144"/>
      <c r="CA6" s="3777" t="s">
        <v>1692</v>
      </c>
      <c r="CB6" s="3777" t="s">
        <v>3626</v>
      </c>
      <c r="CC6" s="5652"/>
      <c r="CD6" s="5652"/>
      <c r="CE6" s="5652"/>
      <c r="CF6" s="5652"/>
    </row>
    <row r="7" spans="1:84" ht="24.95" customHeight="1" x14ac:dyDescent="0.2">
      <c r="A7" s="1726" t="s">
        <v>82</v>
      </c>
      <c r="B7" s="1726"/>
      <c r="C7" s="1726"/>
      <c r="D7" s="1726"/>
      <c r="E7" s="2562">
        <v>3847.4</v>
      </c>
      <c r="F7" s="3079" t="e">
        <f>E7/#REF!*100</f>
        <v>#REF!</v>
      </c>
      <c r="G7" s="2562" t="e">
        <f>#REF!</f>
        <v>#REF!</v>
      </c>
      <c r="H7" s="2562">
        <v>1903.22</v>
      </c>
      <c r="I7" s="2562">
        <v>2781.7</v>
      </c>
      <c r="J7" s="2562">
        <v>3772</v>
      </c>
      <c r="K7" s="2562"/>
      <c r="L7" s="2562">
        <v>3695.7</v>
      </c>
      <c r="M7" s="2562">
        <v>3759.1</v>
      </c>
      <c r="N7" s="3079"/>
      <c r="O7" s="2562">
        <f>M7</f>
        <v>3759.1</v>
      </c>
      <c r="P7" s="2149" t="e">
        <f>O7/G7</f>
        <v>#REF!</v>
      </c>
      <c r="Q7" s="2562">
        <v>1827.75</v>
      </c>
      <c r="R7" s="2562">
        <v>2733.41</v>
      </c>
      <c r="S7" s="2562">
        <v>3621.84</v>
      </c>
      <c r="T7" s="2562">
        <v>3759.1</v>
      </c>
      <c r="U7" s="2562">
        <v>3644.55</v>
      </c>
      <c r="V7" s="3080">
        <f>SUM(U7/O7)</f>
        <v>0.96952728046606906</v>
      </c>
      <c r="W7" s="3080">
        <v>3566.58</v>
      </c>
      <c r="X7" s="3080">
        <v>3566.58</v>
      </c>
      <c r="Y7" s="3080"/>
      <c r="Z7" s="3080">
        <v>3621.84</v>
      </c>
      <c r="AA7" s="3080">
        <f>Z7</f>
        <v>3621.84</v>
      </c>
      <c r="AB7" s="3080">
        <v>3595.11</v>
      </c>
      <c r="AC7" s="3080">
        <f>AB7</f>
        <v>3595.11</v>
      </c>
      <c r="AD7" s="3080">
        <v>3566.58</v>
      </c>
      <c r="AE7" s="3080">
        <f>AD7</f>
        <v>3566.58</v>
      </c>
      <c r="AF7" s="2149">
        <f t="shared" ref="AF7:AF17" si="0">AA7/U7</f>
        <v>0.99376877803844099</v>
      </c>
      <c r="AG7" s="3081">
        <v>2969.39</v>
      </c>
      <c r="AH7" s="3082">
        <v>3595.11</v>
      </c>
      <c r="AI7" s="3082">
        <f>AH7</f>
        <v>3595.11</v>
      </c>
      <c r="AJ7" s="3082">
        <f t="shared" ref="AJ7:AL7" si="1">AI7</f>
        <v>3595.11</v>
      </c>
      <c r="AK7" s="3082">
        <f t="shared" si="1"/>
        <v>3595.11</v>
      </c>
      <c r="AL7" s="3082">
        <f t="shared" si="1"/>
        <v>3595.11</v>
      </c>
      <c r="AM7" s="3082">
        <v>3595.11</v>
      </c>
      <c r="AN7" s="3082">
        <f>AM7</f>
        <v>3595.11</v>
      </c>
      <c r="AO7" s="3082">
        <f t="shared" ref="AO7:AR7" si="2">AN7</f>
        <v>3595.11</v>
      </c>
      <c r="AP7" s="3082">
        <f t="shared" si="2"/>
        <v>3595.11</v>
      </c>
      <c r="AQ7" s="3082">
        <f t="shared" si="2"/>
        <v>3595.11</v>
      </c>
      <c r="AR7" s="3082">
        <f t="shared" si="2"/>
        <v>3595.11</v>
      </c>
      <c r="AS7" s="3082">
        <f>SUM(AM7)</f>
        <v>3595.11</v>
      </c>
      <c r="AT7" s="3082">
        <f>SUM(AN7)</f>
        <v>3595.11</v>
      </c>
      <c r="AU7" s="3082">
        <f>SUM(AV7:AW7)</f>
        <v>1155.57</v>
      </c>
      <c r="AV7" s="3082">
        <v>1155.57</v>
      </c>
      <c r="AW7" s="3082">
        <v>0</v>
      </c>
      <c r="AX7" s="3082">
        <f>SUM(AY7:AZ7)</f>
        <v>1731.27</v>
      </c>
      <c r="AY7" s="3082">
        <v>1731.27</v>
      </c>
      <c r="AZ7" s="3082"/>
      <c r="BA7" s="3082">
        <f>SUM(BB7:BC7)</f>
        <v>2385.85</v>
      </c>
      <c r="BB7" s="3082">
        <v>2385.85</v>
      </c>
      <c r="BC7" s="3080"/>
      <c r="BD7" s="3080">
        <v>2385.85</v>
      </c>
      <c r="BE7" s="3080">
        <f>SUM(BD7/BD13*BE13)</f>
        <v>1251.653402217785</v>
      </c>
      <c r="BF7" s="5860"/>
      <c r="BG7" s="5860"/>
      <c r="BH7" s="3659"/>
      <c r="BI7" s="3082">
        <f>SUM(BJ7:BK7)</f>
        <v>1443.085</v>
      </c>
      <c r="BJ7" s="3082">
        <v>1443.085</v>
      </c>
      <c r="BK7" s="3082">
        <v>0</v>
      </c>
      <c r="BL7" s="3082">
        <f>SUM(BM7:BN7)</f>
        <v>2164.8000000000002</v>
      </c>
      <c r="BM7" s="3082">
        <v>2164.8000000000002</v>
      </c>
      <c r="BN7" s="3082"/>
      <c r="BO7" s="3082">
        <f>SUM(BP7:BQ7)</f>
        <v>2885.46</v>
      </c>
      <c r="BP7" s="3082">
        <v>2885.46</v>
      </c>
      <c r="BQ7" s="3080"/>
      <c r="BR7" s="3080">
        <f>SUM(BP7)</f>
        <v>2885.46</v>
      </c>
      <c r="BS7" s="3080">
        <f>SUM(BR7/BR13*BS13)</f>
        <v>2867.6223122571282</v>
      </c>
      <c r="BT7" s="3082">
        <f>SUM(BU7:BV7)</f>
        <v>1388.0429999999999</v>
      </c>
      <c r="BU7" s="3082">
        <v>1388.0429999999999</v>
      </c>
      <c r="BV7" s="3080"/>
      <c r="BW7" s="3082">
        <f>SUM(BX7:BY7)</f>
        <v>1657.22</v>
      </c>
      <c r="BX7" s="3082">
        <v>1657.22</v>
      </c>
      <c r="BY7" s="3080"/>
      <c r="BZ7" s="3082">
        <f>SUM(CA7:CB7)</f>
        <v>1908.3240000000001</v>
      </c>
      <c r="CA7" s="3799">
        <v>1908.3240000000001</v>
      </c>
      <c r="CB7" s="3800"/>
      <c r="CC7" s="4291">
        <v>2867.6223100000002</v>
      </c>
      <c r="CD7" s="2634">
        <f>SUM(CC7/CC13*CD13)</f>
        <v>2531.7942361776049</v>
      </c>
      <c r="CE7" s="4739">
        <v>500.40499999999997</v>
      </c>
      <c r="CF7" s="4740">
        <v>1000.807</v>
      </c>
    </row>
    <row r="8" spans="1:84" ht="24.95" customHeight="1" x14ac:dyDescent="0.2">
      <c r="A8" s="1726" t="s">
        <v>83</v>
      </c>
      <c r="B8" s="1726"/>
      <c r="C8" s="1726"/>
      <c r="D8" s="1726"/>
      <c r="E8" s="2562">
        <v>575.29999999999995</v>
      </c>
      <c r="F8" s="3079" t="e">
        <f>E8/#REF!*100</f>
        <v>#REF!</v>
      </c>
      <c r="G8" s="2562">
        <f>E8</f>
        <v>575.29999999999995</v>
      </c>
      <c r="H8" s="2562">
        <v>445.93</v>
      </c>
      <c r="I8" s="2562">
        <v>753.9</v>
      </c>
      <c r="J8" s="2562">
        <v>564</v>
      </c>
      <c r="K8" s="2562"/>
      <c r="L8" s="2562">
        <v>1043.5999999999999</v>
      </c>
      <c r="M8" s="2562">
        <v>721.2</v>
      </c>
      <c r="N8" s="3079"/>
      <c r="O8" s="2562">
        <f>M8</f>
        <v>721.2</v>
      </c>
      <c r="P8" s="2149">
        <f t="shared" ref="P8:P19" si="3">O8/G8</f>
        <v>1.2536068138362595</v>
      </c>
      <c r="Q8" s="2562">
        <v>725.7</v>
      </c>
      <c r="R8" s="2562">
        <v>1151.78</v>
      </c>
      <c r="S8" s="2562">
        <v>1561.14</v>
      </c>
      <c r="T8" s="2562">
        <v>721.2</v>
      </c>
      <c r="U8" s="2562">
        <v>1535.71</v>
      </c>
      <c r="V8" s="3080">
        <f t="shared" ref="V8:V17" si="4">SUM(U8/O8)</f>
        <v>2.1293815862451471</v>
      </c>
      <c r="W8" s="3080">
        <v>1344.19</v>
      </c>
      <c r="X8" s="3080">
        <v>1344.19</v>
      </c>
      <c r="Y8" s="3080"/>
      <c r="Z8" s="3080">
        <v>1561.17</v>
      </c>
      <c r="AA8" s="3080">
        <f t="shared" ref="AA8:AA10" si="5">Z8</f>
        <v>1561.17</v>
      </c>
      <c r="AB8" s="3080">
        <v>2802.12</v>
      </c>
      <c r="AC8" s="3080">
        <f t="shared" ref="AC8:AC10" si="6">AB8</f>
        <v>2802.12</v>
      </c>
      <c r="AD8" s="3080">
        <v>1344.19</v>
      </c>
      <c r="AE8" s="3080">
        <f t="shared" ref="AE8:AE10" si="7">AD8</f>
        <v>1344.19</v>
      </c>
      <c r="AF8" s="2149">
        <f t="shared" si="0"/>
        <v>1.0165786509171655</v>
      </c>
      <c r="AG8" s="3083">
        <v>3021.59</v>
      </c>
      <c r="AH8" s="3080">
        <v>2802.12</v>
      </c>
      <c r="AI8" s="3082">
        <f t="shared" ref="AI8:AL11" si="8">AH8</f>
        <v>2802.12</v>
      </c>
      <c r="AJ8" s="3082">
        <f t="shared" si="8"/>
        <v>2802.12</v>
      </c>
      <c r="AK8" s="3082">
        <f t="shared" si="8"/>
        <v>2802.12</v>
      </c>
      <c r="AL8" s="3082">
        <f t="shared" si="8"/>
        <v>2802.12</v>
      </c>
      <c r="AM8" s="3080">
        <v>2802.12</v>
      </c>
      <c r="AN8" s="3082">
        <f t="shared" ref="AN8:AR10" si="9">AM8</f>
        <v>2802.12</v>
      </c>
      <c r="AO8" s="3082">
        <f t="shared" si="9"/>
        <v>2802.12</v>
      </c>
      <c r="AP8" s="3082">
        <f t="shared" si="9"/>
        <v>2802.12</v>
      </c>
      <c r="AQ8" s="3082">
        <f t="shared" si="9"/>
        <v>2802.12</v>
      </c>
      <c r="AR8" s="3082">
        <f t="shared" si="9"/>
        <v>2802.12</v>
      </c>
      <c r="AS8" s="3082">
        <f>SUM(AG8)</f>
        <v>3021.59</v>
      </c>
      <c r="AT8" s="3082">
        <f>SUM(AS8)</f>
        <v>3021.59</v>
      </c>
      <c r="AU8" s="3082">
        <f t="shared" ref="AU8:AU11" si="10">SUM(AV8:AW8)</f>
        <v>3307.34</v>
      </c>
      <c r="AV8" s="3082">
        <v>3307.34</v>
      </c>
      <c r="AW8" s="3082">
        <v>0</v>
      </c>
      <c r="AX8" s="3082">
        <f t="shared" ref="AX8:AX11" si="11">SUM(AY8:AZ8)</f>
        <v>4757.53</v>
      </c>
      <c r="AY8" s="3082">
        <v>4757.53</v>
      </c>
      <c r="AZ8" s="3082"/>
      <c r="BA8" s="3082">
        <f t="shared" ref="BA8:BA11" si="12">SUM(BB8:BC8)</f>
        <v>5705.59</v>
      </c>
      <c r="BB8" s="3082">
        <v>5705.59</v>
      </c>
      <c r="BC8" s="3080"/>
      <c r="BD8" s="3080">
        <v>5705.59</v>
      </c>
      <c r="BE8" s="3080">
        <f>SUM(BD8/BD13*BE13)</f>
        <v>2993.239782534431</v>
      </c>
      <c r="BF8" s="5860"/>
      <c r="BG8" s="5860"/>
      <c r="BH8" s="3659"/>
      <c r="BI8" s="3082">
        <f t="shared" ref="BI8:BI11" si="13">SUM(BJ8:BK8)</f>
        <v>2500.84</v>
      </c>
      <c r="BJ8" s="3082">
        <v>2500.84</v>
      </c>
      <c r="BK8" s="3082">
        <v>0</v>
      </c>
      <c r="BL8" s="3082">
        <f t="shared" ref="BL8:BL11" si="14">SUM(BM8:BN8)</f>
        <v>3748.76</v>
      </c>
      <c r="BM8" s="3082">
        <v>3748.76</v>
      </c>
      <c r="BN8" s="3082"/>
      <c r="BO8" s="3082">
        <f t="shared" ref="BO8:BO11" si="15">SUM(BP8:BQ8)</f>
        <v>4993.4399999999996</v>
      </c>
      <c r="BP8" s="3082">
        <v>4993.4399999999996</v>
      </c>
      <c r="BQ8" s="3080"/>
      <c r="BR8" s="3080">
        <f t="shared" ref="BR8:BR10" si="16">SUM(BP8)</f>
        <v>4993.4399999999996</v>
      </c>
      <c r="BS8" s="3080">
        <f>SUM(BR8/BR13*BS13)</f>
        <v>4962.5709449852829</v>
      </c>
      <c r="BT8" s="3082">
        <f t="shared" ref="BT8:BT11" si="17">SUM(BU8:BV8)</f>
        <v>2140.0729999999999</v>
      </c>
      <c r="BU8" s="3082">
        <v>2140.0729999999999</v>
      </c>
      <c r="BV8" s="3080"/>
      <c r="BW8" s="3082">
        <f t="shared" ref="BW8:BW11" si="18">SUM(BX8:BY8)</f>
        <v>3333</v>
      </c>
      <c r="BX8" s="3082">
        <v>3333</v>
      </c>
      <c r="BY8" s="3080"/>
      <c r="BZ8" s="3082">
        <f t="shared" ref="BZ8:BZ11" si="19">SUM(CA8:CB8)</f>
        <v>4529.4059999999999</v>
      </c>
      <c r="CA8" s="3799">
        <v>4529.4059999999999</v>
      </c>
      <c r="CB8" s="3800"/>
      <c r="CC8" s="4291">
        <v>4962.5709399999996</v>
      </c>
      <c r="CD8" s="2634">
        <f>SUM(CC8/CC13*CD13)</f>
        <v>4381.4028293406873</v>
      </c>
      <c r="CE8" s="4739">
        <v>2375.0070000000001</v>
      </c>
      <c r="CF8" s="4740">
        <v>3912.3330000000001</v>
      </c>
    </row>
    <row r="9" spans="1:84" ht="24.95" customHeight="1" x14ac:dyDescent="0.2">
      <c r="A9" s="1726" t="s">
        <v>84</v>
      </c>
      <c r="B9" s="1726"/>
      <c r="C9" s="1726"/>
      <c r="D9" s="1726"/>
      <c r="E9" s="2562">
        <v>298.89999999999998</v>
      </c>
      <c r="F9" s="3079" t="e">
        <f>E9/#REF!*100</f>
        <v>#REF!</v>
      </c>
      <c r="G9" s="2562" t="e">
        <f>#REF!</f>
        <v>#REF!</v>
      </c>
      <c r="H9" s="2562">
        <v>100.67</v>
      </c>
      <c r="I9" s="2562">
        <v>58.6</v>
      </c>
      <c r="J9" s="2562">
        <v>293</v>
      </c>
      <c r="K9" s="2562"/>
      <c r="L9" s="2562">
        <v>72.099999999999994</v>
      </c>
      <c r="M9" s="2562">
        <v>273</v>
      </c>
      <c r="N9" s="3079"/>
      <c r="O9" s="2562">
        <f>M9</f>
        <v>273</v>
      </c>
      <c r="P9" s="2149" t="e">
        <f t="shared" si="3"/>
        <v>#REF!</v>
      </c>
      <c r="Q9" s="2562">
        <v>26.95</v>
      </c>
      <c r="R9" s="2562">
        <v>40.42</v>
      </c>
      <c r="S9" s="2562">
        <v>53.89</v>
      </c>
      <c r="T9" s="2562">
        <v>273</v>
      </c>
      <c r="U9" s="2562">
        <v>53.89</v>
      </c>
      <c r="V9" s="3080">
        <f t="shared" si="4"/>
        <v>0.19739926739926741</v>
      </c>
      <c r="W9" s="3080">
        <v>53.89</v>
      </c>
      <c r="X9" s="3080">
        <v>53.89</v>
      </c>
      <c r="Y9" s="3080"/>
      <c r="Z9" s="3080">
        <v>53.89</v>
      </c>
      <c r="AA9" s="3080">
        <f t="shared" si="5"/>
        <v>53.89</v>
      </c>
      <c r="AB9" s="3080">
        <v>53.88</v>
      </c>
      <c r="AC9" s="3080">
        <f t="shared" si="6"/>
        <v>53.88</v>
      </c>
      <c r="AD9" s="3080">
        <v>53.89</v>
      </c>
      <c r="AE9" s="3080">
        <f t="shared" si="7"/>
        <v>53.89</v>
      </c>
      <c r="AF9" s="2149">
        <f t="shared" si="0"/>
        <v>1</v>
      </c>
      <c r="AG9" s="3083">
        <v>51.45</v>
      </c>
      <c r="AH9" s="3080">
        <v>53.88</v>
      </c>
      <c r="AI9" s="3082">
        <f t="shared" si="8"/>
        <v>53.88</v>
      </c>
      <c r="AJ9" s="3082">
        <f t="shared" si="8"/>
        <v>53.88</v>
      </c>
      <c r="AK9" s="3082">
        <f t="shared" si="8"/>
        <v>53.88</v>
      </c>
      <c r="AL9" s="3082">
        <f t="shared" si="8"/>
        <v>53.88</v>
      </c>
      <c r="AM9" s="3080">
        <v>53.88</v>
      </c>
      <c r="AN9" s="3082">
        <f t="shared" si="9"/>
        <v>53.88</v>
      </c>
      <c r="AO9" s="3082">
        <f t="shared" si="9"/>
        <v>53.88</v>
      </c>
      <c r="AP9" s="3082">
        <f t="shared" si="9"/>
        <v>53.88</v>
      </c>
      <c r="AQ9" s="3082">
        <f t="shared" si="9"/>
        <v>53.88</v>
      </c>
      <c r="AR9" s="3082">
        <f t="shared" si="9"/>
        <v>53.88</v>
      </c>
      <c r="AS9" s="3082">
        <f>SUM(AM9)</f>
        <v>53.88</v>
      </c>
      <c r="AT9" s="3082">
        <f>SUM(AN9)</f>
        <v>53.88</v>
      </c>
      <c r="AU9" s="3082">
        <f t="shared" si="10"/>
        <v>22.59</v>
      </c>
      <c r="AV9" s="3082">
        <v>22.59</v>
      </c>
      <c r="AW9" s="3082">
        <v>0</v>
      </c>
      <c r="AX9" s="3082">
        <f t="shared" si="11"/>
        <v>34.06</v>
      </c>
      <c r="AY9" s="3082">
        <v>34.06</v>
      </c>
      <c r="AZ9" s="3082"/>
      <c r="BA9" s="3082">
        <f t="shared" si="12"/>
        <v>41.95</v>
      </c>
      <c r="BB9" s="3082">
        <v>41.95</v>
      </c>
      <c r="BC9" s="3080"/>
      <c r="BD9" s="3080">
        <v>41.95</v>
      </c>
      <c r="BE9" s="3080">
        <f>SUM(BD9/BD13*BE13)</f>
        <v>22.007611636538794</v>
      </c>
      <c r="BF9" s="5860"/>
      <c r="BG9" s="5860"/>
      <c r="BH9" s="3659"/>
      <c r="BI9" s="3082">
        <f t="shared" si="13"/>
        <v>23.655000000000001</v>
      </c>
      <c r="BJ9" s="3082">
        <v>23.655000000000001</v>
      </c>
      <c r="BK9" s="3082">
        <v>0</v>
      </c>
      <c r="BL9" s="3082">
        <f t="shared" si="14"/>
        <v>55.16</v>
      </c>
      <c r="BM9" s="3082">
        <v>55.16</v>
      </c>
      <c r="BN9" s="3082"/>
      <c r="BO9" s="3082">
        <f t="shared" si="15"/>
        <v>86.64</v>
      </c>
      <c r="BP9" s="3082">
        <v>86.64</v>
      </c>
      <c r="BQ9" s="3080"/>
      <c r="BR9" s="3080">
        <f t="shared" si="16"/>
        <v>86.64</v>
      </c>
      <c r="BS9" s="3080">
        <f>SUM(BR9/BR13*BS13)</f>
        <v>86.104398305281507</v>
      </c>
      <c r="BT9" s="3082">
        <f t="shared" si="17"/>
        <v>62.993000000000002</v>
      </c>
      <c r="BU9" s="3082">
        <v>62.993000000000002</v>
      </c>
      <c r="BV9" s="3080"/>
      <c r="BW9" s="3082">
        <f t="shared" si="18"/>
        <v>94.494</v>
      </c>
      <c r="BX9" s="3082">
        <v>94.494</v>
      </c>
      <c r="BY9" s="3080"/>
      <c r="BZ9" s="3082">
        <f t="shared" si="19"/>
        <v>133.28399999999999</v>
      </c>
      <c r="CA9" s="3799">
        <v>133.28399999999999</v>
      </c>
      <c r="CB9" s="3800"/>
      <c r="CC9" s="4291">
        <v>133.28399999999999</v>
      </c>
      <c r="CD9" s="2634">
        <f>SUM(CC9/CC13*CD13)</f>
        <v>117.67507241031886</v>
      </c>
      <c r="CE9" s="4739">
        <v>106.872</v>
      </c>
      <c r="CF9" s="4740">
        <v>213.744</v>
      </c>
    </row>
    <row r="10" spans="1:84" ht="24.95" customHeight="1" x14ac:dyDescent="0.2">
      <c r="A10" s="1726" t="s">
        <v>85</v>
      </c>
      <c r="B10" s="1726"/>
      <c r="C10" s="1726"/>
      <c r="D10" s="1726"/>
      <c r="E10" s="2562">
        <v>2715.2</v>
      </c>
      <c r="F10" s="3079" t="e">
        <f>E10/#REF!*100</f>
        <v>#REF!</v>
      </c>
      <c r="G10" s="2562" t="e">
        <f>#REF!</f>
        <v>#REF!</v>
      </c>
      <c r="H10" s="2562">
        <v>1397.95</v>
      </c>
      <c r="I10" s="2562">
        <v>2094.3000000000002</v>
      </c>
      <c r="J10" s="2562">
        <v>2662</v>
      </c>
      <c r="K10" s="2562"/>
      <c r="L10" s="2562">
        <v>2798.4</v>
      </c>
      <c r="M10" s="2562">
        <v>2797</v>
      </c>
      <c r="N10" s="3079"/>
      <c r="O10" s="2562">
        <f>M10</f>
        <v>2797</v>
      </c>
      <c r="P10" s="2149" t="e">
        <f t="shared" si="3"/>
        <v>#REF!</v>
      </c>
      <c r="Q10" s="2562">
        <v>1412.82</v>
      </c>
      <c r="R10" s="2562">
        <v>2176.46</v>
      </c>
      <c r="S10" s="2562">
        <v>3059.78</v>
      </c>
      <c r="T10" s="2562">
        <v>2797</v>
      </c>
      <c r="U10" s="2562">
        <v>2901.95</v>
      </c>
      <c r="V10" s="3080">
        <f t="shared" si="4"/>
        <v>1.0375223453700393</v>
      </c>
      <c r="W10" s="3080">
        <v>3533.24</v>
      </c>
      <c r="X10" s="3080">
        <v>3533.24</v>
      </c>
      <c r="Y10" s="3080"/>
      <c r="Z10" s="3080">
        <v>3059.78</v>
      </c>
      <c r="AA10" s="3080">
        <f t="shared" si="5"/>
        <v>3059.78</v>
      </c>
      <c r="AB10" s="3080">
        <v>3533.27</v>
      </c>
      <c r="AC10" s="3080">
        <f t="shared" si="6"/>
        <v>3533.27</v>
      </c>
      <c r="AD10" s="3080">
        <v>3533.24</v>
      </c>
      <c r="AE10" s="3080">
        <f t="shared" si="7"/>
        <v>3533.24</v>
      </c>
      <c r="AF10" s="2149">
        <f t="shared" si="0"/>
        <v>1.0543875669808234</v>
      </c>
      <c r="AG10" s="3083">
        <v>3544.43</v>
      </c>
      <c r="AH10" s="3080">
        <v>3533.27</v>
      </c>
      <c r="AI10" s="3082">
        <f t="shared" si="8"/>
        <v>3533.27</v>
      </c>
      <c r="AJ10" s="3082">
        <f t="shared" si="8"/>
        <v>3533.27</v>
      </c>
      <c r="AK10" s="3082">
        <f t="shared" si="8"/>
        <v>3533.27</v>
      </c>
      <c r="AL10" s="3082">
        <f t="shared" si="8"/>
        <v>3533.27</v>
      </c>
      <c r="AM10" s="3080">
        <v>3533.27</v>
      </c>
      <c r="AN10" s="3082">
        <f t="shared" si="9"/>
        <v>3533.27</v>
      </c>
      <c r="AO10" s="3082">
        <f t="shared" si="9"/>
        <v>3533.27</v>
      </c>
      <c r="AP10" s="3082">
        <f t="shared" si="9"/>
        <v>3533.27</v>
      </c>
      <c r="AQ10" s="3082">
        <f t="shared" si="9"/>
        <v>3533.27</v>
      </c>
      <c r="AR10" s="3082">
        <f t="shared" si="9"/>
        <v>3533.27</v>
      </c>
      <c r="AS10" s="3082">
        <f>SUM(AG10)</f>
        <v>3544.43</v>
      </c>
      <c r="AT10" s="3082">
        <f>SUM(AS10)</f>
        <v>3544.43</v>
      </c>
      <c r="AU10" s="3082">
        <f t="shared" si="10"/>
        <v>1776.75</v>
      </c>
      <c r="AV10" s="3082">
        <v>1776.75</v>
      </c>
      <c r="AW10" s="3082">
        <v>0</v>
      </c>
      <c r="AX10" s="3082">
        <f t="shared" si="11"/>
        <v>2670.81</v>
      </c>
      <c r="AY10" s="3082">
        <v>2670.81</v>
      </c>
      <c r="AZ10" s="3082"/>
      <c r="BA10" s="3082">
        <f t="shared" si="12"/>
        <v>3575.59</v>
      </c>
      <c r="BB10" s="3082">
        <v>3575.59</v>
      </c>
      <c r="BC10" s="3080"/>
      <c r="BD10" s="3080">
        <v>3575.59</v>
      </c>
      <c r="BE10" s="3080">
        <f>SUM(BD10/BD13*BE13)</f>
        <v>1875.8092036112455</v>
      </c>
      <c r="BF10" s="5860"/>
      <c r="BG10" s="5860"/>
      <c r="BH10" s="3659"/>
      <c r="BI10" s="3082">
        <f t="shared" si="13"/>
        <v>1827.8309999999999</v>
      </c>
      <c r="BJ10" s="3082">
        <v>1827.8309999999999</v>
      </c>
      <c r="BK10" s="3082">
        <v>0</v>
      </c>
      <c r="BL10" s="3082">
        <f t="shared" si="14"/>
        <v>2745.6750000000002</v>
      </c>
      <c r="BM10" s="3082">
        <v>2745.6750000000002</v>
      </c>
      <c r="BN10" s="3082"/>
      <c r="BO10" s="3082">
        <f t="shared" si="15"/>
        <v>3663.53</v>
      </c>
      <c r="BP10" s="3082">
        <v>3663.53</v>
      </c>
      <c r="BQ10" s="3080"/>
      <c r="BR10" s="3080">
        <f t="shared" si="16"/>
        <v>3663.53</v>
      </c>
      <c r="BS10" s="3080">
        <f>SUM(BR10/BR13*BS13)</f>
        <v>3640.8823444523077</v>
      </c>
      <c r="BT10" s="3082">
        <f t="shared" si="17"/>
        <v>1855.7</v>
      </c>
      <c r="BU10" s="3082">
        <v>1855.7</v>
      </c>
      <c r="BV10" s="3080"/>
      <c r="BW10" s="3082">
        <f t="shared" si="18"/>
        <v>2840.0410000000002</v>
      </c>
      <c r="BX10" s="3082">
        <v>2840.0410000000002</v>
      </c>
      <c r="BY10" s="3080"/>
      <c r="BZ10" s="3082">
        <f t="shared" si="19"/>
        <v>3926.71</v>
      </c>
      <c r="CA10" s="3799">
        <v>3926.71</v>
      </c>
      <c r="CB10" s="3800"/>
      <c r="CC10" s="4291">
        <v>3926.71</v>
      </c>
      <c r="CD10" s="2634">
        <f>SUM(CC10/CC13*CD13)</f>
        <v>3466.8518620713908</v>
      </c>
      <c r="CE10" s="4739">
        <v>2179.7739999999999</v>
      </c>
      <c r="CF10" s="4740">
        <v>4404.7730000000001</v>
      </c>
    </row>
    <row r="11" spans="1:84" ht="51" customHeight="1" x14ac:dyDescent="0.2">
      <c r="A11" s="1726" t="s">
        <v>1933</v>
      </c>
      <c r="B11" s="1726"/>
      <c r="C11" s="1726"/>
      <c r="D11" s="1726"/>
      <c r="E11" s="2562"/>
      <c r="F11" s="3079"/>
      <c r="G11" s="2562"/>
      <c r="H11" s="2562"/>
      <c r="I11" s="2562"/>
      <c r="J11" s="2562"/>
      <c r="K11" s="2562"/>
      <c r="L11" s="2562"/>
      <c r="M11" s="2562"/>
      <c r="N11" s="3079"/>
      <c r="O11" s="2562"/>
      <c r="P11" s="2149"/>
      <c r="Q11" s="2562"/>
      <c r="R11" s="2562"/>
      <c r="S11" s="2562"/>
      <c r="T11" s="2562"/>
      <c r="U11" s="2562">
        <v>0</v>
      </c>
      <c r="V11" s="3080"/>
      <c r="W11" s="3080">
        <v>0</v>
      </c>
      <c r="X11" s="3080">
        <v>0</v>
      </c>
      <c r="Y11" s="3080"/>
      <c r="Z11" s="3080"/>
      <c r="AA11" s="3080">
        <v>0</v>
      </c>
      <c r="AB11" s="3080">
        <v>0</v>
      </c>
      <c r="AC11" s="3080">
        <v>0</v>
      </c>
      <c r="AD11" s="3080"/>
      <c r="AE11" s="3080">
        <v>0</v>
      </c>
      <c r="AF11" s="2149"/>
      <c r="AG11" s="3083">
        <v>330.7</v>
      </c>
      <c r="AH11" s="3080">
        <v>2766.9</v>
      </c>
      <c r="AI11" s="3082">
        <f t="shared" si="8"/>
        <v>2766.9</v>
      </c>
      <c r="AJ11" s="3082">
        <f t="shared" si="8"/>
        <v>2766.9</v>
      </c>
      <c r="AK11" s="3082">
        <f t="shared" si="8"/>
        <v>2766.9</v>
      </c>
      <c r="AL11" s="3082">
        <f t="shared" si="8"/>
        <v>2766.9</v>
      </c>
      <c r="AM11" s="3080">
        <v>0</v>
      </c>
      <c r="AN11" s="3084">
        <f>AM11</f>
        <v>0</v>
      </c>
      <c r="AO11" s="3084">
        <f t="shared" ref="AO11:AR11" si="20">AN11</f>
        <v>0</v>
      </c>
      <c r="AP11" s="3084">
        <f t="shared" si="20"/>
        <v>0</v>
      </c>
      <c r="AQ11" s="3084">
        <f t="shared" si="20"/>
        <v>0</v>
      </c>
      <c r="AR11" s="3084">
        <f t="shared" si="20"/>
        <v>0</v>
      </c>
      <c r="AS11" s="3085"/>
      <c r="AT11" s="3085"/>
      <c r="AU11" s="3082">
        <f t="shared" si="10"/>
        <v>1984.2</v>
      </c>
      <c r="AV11" s="3085">
        <v>1984.2</v>
      </c>
      <c r="AW11" s="3085">
        <v>0</v>
      </c>
      <c r="AX11" s="3082">
        <f t="shared" si="11"/>
        <v>2976.3</v>
      </c>
      <c r="AY11" s="3085">
        <v>2976.3</v>
      </c>
      <c r="AZ11" s="3085"/>
      <c r="BA11" s="3082">
        <f t="shared" si="12"/>
        <v>3968.43</v>
      </c>
      <c r="BB11" s="3085">
        <v>3968.43</v>
      </c>
      <c r="BC11" s="3084"/>
      <c r="BD11" s="3084"/>
      <c r="BE11" s="3084"/>
      <c r="BF11" s="5860" t="s">
        <v>2164</v>
      </c>
      <c r="BG11" s="5860"/>
      <c r="BH11" s="3659"/>
      <c r="BI11" s="3082">
        <f t="shared" si="13"/>
        <v>1984.2058999999999</v>
      </c>
      <c r="BJ11" s="3085">
        <v>1984.2058999999999</v>
      </c>
      <c r="BK11" s="3085">
        <v>0</v>
      </c>
      <c r="BL11" s="3082">
        <f t="shared" si="14"/>
        <v>2976.3049999999998</v>
      </c>
      <c r="BM11" s="3085">
        <v>2976.3049999999998</v>
      </c>
      <c r="BN11" s="3085"/>
      <c r="BO11" s="3082">
        <f t="shared" si="15"/>
        <v>3968.43</v>
      </c>
      <c r="BP11" s="3085">
        <v>3968.43</v>
      </c>
      <c r="BQ11" s="3084"/>
      <c r="BR11" s="3084"/>
      <c r="BS11" s="3084"/>
      <c r="BT11" s="3082">
        <f t="shared" si="17"/>
        <v>1984.2</v>
      </c>
      <c r="BU11" s="3085">
        <v>1984.2</v>
      </c>
      <c r="BV11" s="3084"/>
      <c r="BW11" s="3082">
        <f t="shared" si="18"/>
        <v>2976.31</v>
      </c>
      <c r="BX11" s="3085">
        <v>2976.31</v>
      </c>
      <c r="BY11" s="3084"/>
      <c r="BZ11" s="3082">
        <f t="shared" si="19"/>
        <v>3968.43</v>
      </c>
      <c r="CA11" s="3801">
        <v>3968.43</v>
      </c>
      <c r="CB11" s="3802"/>
      <c r="CC11" s="2635"/>
      <c r="CD11" s="2635"/>
      <c r="CE11" s="3562">
        <v>1984.212</v>
      </c>
      <c r="CF11" s="4741">
        <v>3968.4250000000002</v>
      </c>
    </row>
    <row r="12" spans="1:84" ht="10.5" hidden="1" customHeight="1" x14ac:dyDescent="0.2">
      <c r="A12" s="1726" t="s">
        <v>3472</v>
      </c>
      <c r="B12" s="1726"/>
      <c r="C12" s="1726"/>
      <c r="D12" s="1726"/>
      <c r="E12" s="2562"/>
      <c r="F12" s="3079"/>
      <c r="G12" s="2562"/>
      <c r="H12" s="2562"/>
      <c r="I12" s="2562"/>
      <c r="J12" s="2562"/>
      <c r="K12" s="2562"/>
      <c r="L12" s="2562"/>
      <c r="M12" s="2562"/>
      <c r="N12" s="3079"/>
      <c r="O12" s="2562"/>
      <c r="P12" s="2149"/>
      <c r="Q12" s="2562"/>
      <c r="R12" s="2562"/>
      <c r="S12" s="2562"/>
      <c r="T12" s="2562"/>
      <c r="U12" s="2562"/>
      <c r="V12" s="3080"/>
      <c r="W12" s="3080"/>
      <c r="X12" s="3080"/>
      <c r="Y12" s="3080"/>
      <c r="Z12" s="3080"/>
      <c r="AA12" s="3080"/>
      <c r="AB12" s="3080"/>
      <c r="AC12" s="3080">
        <v>0</v>
      </c>
      <c r="AD12" s="3080"/>
      <c r="AE12" s="3080"/>
      <c r="AF12" s="2149"/>
      <c r="AG12" s="3083"/>
      <c r="AH12" s="3080"/>
      <c r="AI12" s="3082"/>
      <c r="AJ12" s="3082"/>
      <c r="AK12" s="3082"/>
      <c r="AL12" s="3082"/>
      <c r="AM12" s="3080"/>
      <c r="AN12" s="3084"/>
      <c r="AO12" s="3084"/>
      <c r="AP12" s="3084"/>
      <c r="AQ12" s="3084"/>
      <c r="AR12" s="3084"/>
      <c r="AS12" s="3085"/>
      <c r="AT12" s="3085"/>
      <c r="AU12" s="3085"/>
      <c r="AV12" s="3085"/>
      <c r="AW12" s="3085"/>
      <c r="AX12" s="3085"/>
      <c r="AY12" s="3085"/>
      <c r="AZ12" s="3085"/>
      <c r="BA12" s="3085"/>
      <c r="BB12" s="3085"/>
      <c r="BC12" s="3084"/>
      <c r="BD12" s="3084"/>
      <c r="BE12" s="3084"/>
      <c r="BF12" s="2202"/>
      <c r="BG12" s="2202"/>
      <c r="BH12" s="3659"/>
      <c r="BI12" s="3562"/>
      <c r="BJ12" s="3562"/>
      <c r="BK12" s="3562"/>
      <c r="BL12" s="3085"/>
      <c r="BM12" s="3085"/>
      <c r="BN12" s="3085"/>
      <c r="BO12" s="3085"/>
      <c r="BP12" s="3085"/>
      <c r="BQ12" s="3084"/>
      <c r="BR12" s="3084"/>
      <c r="BS12" s="3084"/>
      <c r="BT12" s="3085"/>
      <c r="BU12" s="3085"/>
      <c r="BV12" s="3084"/>
      <c r="BW12" s="3085"/>
      <c r="BX12" s="3085"/>
      <c r="BY12" s="3084"/>
      <c r="BZ12" s="3085"/>
      <c r="CA12" s="3801"/>
      <c r="CB12" s="3802"/>
      <c r="CC12" s="2635"/>
      <c r="CD12" s="2635"/>
      <c r="CE12" s="3562"/>
      <c r="CF12" s="4741"/>
    </row>
    <row r="13" spans="1:84" ht="24.95" customHeight="1" x14ac:dyDescent="0.2">
      <c r="A13" s="2556" t="s">
        <v>86</v>
      </c>
      <c r="B13" s="1726"/>
      <c r="C13" s="1726"/>
      <c r="D13" s="1726"/>
      <c r="E13" s="2563">
        <f>SUM(E7:E10)</f>
        <v>7436.7999999999993</v>
      </c>
      <c r="F13" s="3079" t="e">
        <f>E13/#REF!*100</f>
        <v>#REF!</v>
      </c>
      <c r="G13" s="2563" t="e">
        <f>SUM(G7:G10)</f>
        <v>#REF!</v>
      </c>
      <c r="H13" s="2563">
        <f>SUM(H7:H10)</f>
        <v>3847.7700000000004</v>
      </c>
      <c r="I13" s="2563">
        <f>SUM(I7:I10)</f>
        <v>5688.5</v>
      </c>
      <c r="J13" s="2563">
        <f>SUM(J7:J10)</f>
        <v>7291</v>
      </c>
      <c r="K13" s="2562"/>
      <c r="L13" s="2563">
        <f>SUM(L7:L10)</f>
        <v>7609.7999999999993</v>
      </c>
      <c r="M13" s="2563">
        <f>SUM(M7:M10)</f>
        <v>7550.3</v>
      </c>
      <c r="N13" s="3079"/>
      <c r="O13" s="2563">
        <f>SUM(O7:O10)</f>
        <v>7550.3</v>
      </c>
      <c r="P13" s="2563" t="e">
        <f t="shared" ref="P13:T13" si="21">SUM(P7:P10)</f>
        <v>#REF!</v>
      </c>
      <c r="Q13" s="2563">
        <f t="shared" si="21"/>
        <v>3993.2199999999993</v>
      </c>
      <c r="R13" s="2563">
        <f t="shared" si="21"/>
        <v>6102.07</v>
      </c>
      <c r="S13" s="2563">
        <f t="shared" si="21"/>
        <v>8296.6500000000015</v>
      </c>
      <c r="T13" s="2563">
        <f t="shared" si="21"/>
        <v>7550.3</v>
      </c>
      <c r="U13" s="2563">
        <f>SUM(U7:U11)</f>
        <v>8136.1</v>
      </c>
      <c r="V13" s="2563">
        <f t="shared" ref="V13" si="22">SUM(V7:V10)</f>
        <v>4.3338304794805236</v>
      </c>
      <c r="W13" s="3086">
        <f>SUM(W7:W11)</f>
        <v>8497.9000000000015</v>
      </c>
      <c r="X13" s="3086">
        <f>SUM(X7:X11)</f>
        <v>8497.9000000000015</v>
      </c>
      <c r="Y13" s="3087">
        <v>6404.4</v>
      </c>
      <c r="Z13" s="2563">
        <f>SUM(Z7:Z10)</f>
        <v>8296.68</v>
      </c>
      <c r="AA13" s="2563">
        <f>SUM(AA7:AA10)</f>
        <v>8296.68</v>
      </c>
      <c r="AB13" s="2563">
        <f>SUM(AB7:AB11)</f>
        <v>9984.3799999999992</v>
      </c>
      <c r="AC13" s="2563">
        <f>SUM(AC7:AC12)</f>
        <v>9984.3799999999992</v>
      </c>
      <c r="AD13" s="2563">
        <f t="shared" ref="AD13:AF13" si="23">SUM(AD7:AD10)</f>
        <v>8497.9000000000015</v>
      </c>
      <c r="AE13" s="2563">
        <f t="shared" si="23"/>
        <v>8497.9000000000015</v>
      </c>
      <c r="AF13" s="2563">
        <f t="shared" si="23"/>
        <v>4.0647349959364298</v>
      </c>
      <c r="AG13" s="2563">
        <f>SUM(AG7:AG11)</f>
        <v>9917.56</v>
      </c>
      <c r="AH13" s="3652">
        <f>SUM(AH7:AH11)</f>
        <v>12751.279999999999</v>
      </c>
      <c r="AI13" s="3652">
        <f t="shared" ref="AI13:AL13" si="24">SUM(AI7:AI11)</f>
        <v>12751.279999999999</v>
      </c>
      <c r="AJ13" s="3652">
        <f t="shared" si="24"/>
        <v>12751.279999999999</v>
      </c>
      <c r="AK13" s="3652">
        <f t="shared" si="24"/>
        <v>12751.279999999999</v>
      </c>
      <c r="AL13" s="3652">
        <f t="shared" si="24"/>
        <v>12751.279999999999</v>
      </c>
      <c r="AM13" s="3652">
        <f>SUM(AM7:AM11)</f>
        <v>9984.3799999999992</v>
      </c>
      <c r="AN13" s="3652">
        <f t="shared" ref="AN13:AR13" si="25">SUM(AN7:AN11)</f>
        <v>9984.3799999999992</v>
      </c>
      <c r="AO13" s="3652">
        <f t="shared" si="25"/>
        <v>9984.3799999999992</v>
      </c>
      <c r="AP13" s="3652">
        <f t="shared" si="25"/>
        <v>9984.3799999999992</v>
      </c>
      <c r="AQ13" s="3652">
        <f t="shared" si="25"/>
        <v>9984.3799999999992</v>
      </c>
      <c r="AR13" s="3652">
        <f t="shared" si="25"/>
        <v>9984.3799999999992</v>
      </c>
      <c r="AS13" s="3652">
        <f t="shared" ref="AS13:BC13" si="26">SUM(AS7:AS11)</f>
        <v>10215.01</v>
      </c>
      <c r="AT13" s="3652">
        <f t="shared" ref="AT13" si="27">SUM(AT7:AT11)</f>
        <v>10215.01</v>
      </c>
      <c r="AU13" s="3652">
        <f t="shared" si="26"/>
        <v>8246.4500000000007</v>
      </c>
      <c r="AV13" s="3652">
        <f t="shared" si="26"/>
        <v>8246.4500000000007</v>
      </c>
      <c r="AW13" s="3652">
        <f t="shared" si="26"/>
        <v>0</v>
      </c>
      <c r="AX13" s="3652">
        <f t="shared" si="26"/>
        <v>12169.970000000001</v>
      </c>
      <c r="AY13" s="3652">
        <f t="shared" si="26"/>
        <v>12169.970000000001</v>
      </c>
      <c r="AZ13" s="3652">
        <f t="shared" si="26"/>
        <v>0</v>
      </c>
      <c r="BA13" s="3652">
        <f t="shared" si="26"/>
        <v>15677.41</v>
      </c>
      <c r="BB13" s="3652">
        <f t="shared" si="26"/>
        <v>15677.41</v>
      </c>
      <c r="BC13" s="3652">
        <f t="shared" si="26"/>
        <v>0</v>
      </c>
      <c r="BD13" s="3652">
        <f t="shared" ref="BD13" si="28">SUM(BD7:BD11)</f>
        <v>11708.98</v>
      </c>
      <c r="BE13" s="3652">
        <v>6142.71</v>
      </c>
      <c r="BF13" s="5860"/>
      <c r="BG13" s="5860"/>
      <c r="BH13" s="3659"/>
      <c r="BI13" s="3652">
        <f t="shared" ref="BI13:BR13" si="29">SUM(BI7:BI11)</f>
        <v>7779.6169</v>
      </c>
      <c r="BJ13" s="3652">
        <f t="shared" si="29"/>
        <v>7779.6169</v>
      </c>
      <c r="BK13" s="3652">
        <f t="shared" si="29"/>
        <v>0</v>
      </c>
      <c r="BL13" s="3652">
        <f t="shared" si="29"/>
        <v>11690.7</v>
      </c>
      <c r="BM13" s="3652">
        <f t="shared" si="29"/>
        <v>11690.7</v>
      </c>
      <c r="BN13" s="3652">
        <f t="shared" si="29"/>
        <v>0</v>
      </c>
      <c r="BO13" s="3652">
        <f t="shared" si="29"/>
        <v>15597.5</v>
      </c>
      <c r="BP13" s="3652">
        <f t="shared" si="29"/>
        <v>15597.5</v>
      </c>
      <c r="BQ13" s="3652">
        <f t="shared" si="29"/>
        <v>0</v>
      </c>
      <c r="BR13" s="3944">
        <f t="shared" si="29"/>
        <v>11629.07</v>
      </c>
      <c r="BS13" s="3944">
        <v>11557.18</v>
      </c>
      <c r="BT13" s="3944">
        <f t="shared" ref="BT13:BV13" si="30">SUM(BT7:BT11)</f>
        <v>7431.009</v>
      </c>
      <c r="BU13" s="3944">
        <f t="shared" si="30"/>
        <v>7431.009</v>
      </c>
      <c r="BV13" s="3944">
        <f t="shared" si="30"/>
        <v>0</v>
      </c>
      <c r="BW13" s="3944">
        <f t="shared" ref="BW13:BY13" si="31">SUM(BW7:BW11)</f>
        <v>10901.065000000001</v>
      </c>
      <c r="BX13" s="3944">
        <f t="shared" si="31"/>
        <v>10901.065000000001</v>
      </c>
      <c r="BY13" s="3944">
        <f t="shared" si="31"/>
        <v>0</v>
      </c>
      <c r="BZ13" s="3944">
        <f t="shared" ref="BZ13:CC13" si="32">SUM(BZ7:BZ11)</f>
        <v>14466.153999999999</v>
      </c>
      <c r="CA13" s="3797">
        <f t="shared" si="32"/>
        <v>14466.153999999999</v>
      </c>
      <c r="CB13" s="3797">
        <f t="shared" si="32"/>
        <v>0</v>
      </c>
      <c r="CC13" s="3075">
        <f t="shared" si="32"/>
        <v>11890.187249999999</v>
      </c>
      <c r="CD13" s="3075">
        <v>10497.724</v>
      </c>
      <c r="CE13" s="4735">
        <f t="shared" ref="CE13" si="33">SUM(CE7:CE11)</f>
        <v>7146.27</v>
      </c>
      <c r="CF13" s="4735">
        <f t="shared" ref="CF13" si="34">SUM(CF7:CF11)</f>
        <v>13500.081999999999</v>
      </c>
    </row>
    <row r="14" spans="1:84" ht="24.95" customHeight="1" x14ac:dyDescent="0.2">
      <c r="A14" s="1726" t="s">
        <v>87</v>
      </c>
      <c r="B14" s="1726"/>
      <c r="C14" s="1726"/>
      <c r="D14" s="1726"/>
      <c r="E14" s="2562">
        <v>267.89999999999998</v>
      </c>
      <c r="F14" s="3079" t="e">
        <f>E14/#REF!*100</f>
        <v>#REF!</v>
      </c>
      <c r="G14" s="2562" t="e">
        <f>#REF!</f>
        <v>#REF!</v>
      </c>
      <c r="H14" s="2562">
        <v>136.63</v>
      </c>
      <c r="I14" s="2562">
        <v>205.2</v>
      </c>
      <c r="J14" s="2562">
        <v>267.60000000000002</v>
      </c>
      <c r="K14" s="2562"/>
      <c r="L14" s="2562">
        <v>275.8</v>
      </c>
      <c r="M14" s="2562">
        <v>273.60000000000002</v>
      </c>
      <c r="N14" s="3079"/>
      <c r="O14" s="2562">
        <f>M14</f>
        <v>273.60000000000002</v>
      </c>
      <c r="P14" s="2149" t="e">
        <f t="shared" si="3"/>
        <v>#REF!</v>
      </c>
      <c r="Q14" s="2562">
        <v>189.68</v>
      </c>
      <c r="R14" s="2562">
        <v>307.45999999999998</v>
      </c>
      <c r="S14" s="2562">
        <v>425.24</v>
      </c>
      <c r="T14" s="2562">
        <v>273.60000000000002</v>
      </c>
      <c r="U14" s="2562">
        <f>T14</f>
        <v>273.60000000000002</v>
      </c>
      <c r="V14" s="2149">
        <f t="shared" si="4"/>
        <v>1</v>
      </c>
      <c r="W14" s="3083">
        <v>498.59</v>
      </c>
      <c r="X14" s="3083">
        <v>498.59</v>
      </c>
      <c r="Y14" s="3083"/>
      <c r="Z14" s="3083">
        <v>425.24</v>
      </c>
      <c r="AA14" s="3083">
        <f>S14</f>
        <v>425.24</v>
      </c>
      <c r="AB14" s="3083">
        <v>498.89</v>
      </c>
      <c r="AC14" s="3083">
        <f>AB14</f>
        <v>498.89</v>
      </c>
      <c r="AD14" s="3083">
        <v>498.59</v>
      </c>
      <c r="AE14" s="3083">
        <f>AD14</f>
        <v>498.59</v>
      </c>
      <c r="AF14" s="2149">
        <f t="shared" si="0"/>
        <v>1.5542397660818712</v>
      </c>
      <c r="AG14" s="3083">
        <v>341.3</v>
      </c>
      <c r="AH14" s="3080">
        <v>498.89</v>
      </c>
      <c r="AI14" s="3080">
        <f>AH14</f>
        <v>498.89</v>
      </c>
      <c r="AJ14" s="3080">
        <f t="shared" ref="AJ14:AL14" si="35">AI14</f>
        <v>498.89</v>
      </c>
      <c r="AK14" s="3080">
        <f t="shared" si="35"/>
        <v>498.89</v>
      </c>
      <c r="AL14" s="3080">
        <f t="shared" si="35"/>
        <v>498.89</v>
      </c>
      <c r="AM14" s="3082">
        <v>498.89</v>
      </c>
      <c r="AN14" s="3651">
        <f>AM14</f>
        <v>498.89</v>
      </c>
      <c r="AO14" s="3651">
        <f t="shared" ref="AO14:AR14" si="36">AN14</f>
        <v>498.89</v>
      </c>
      <c r="AP14" s="3651">
        <f t="shared" si="36"/>
        <v>498.89</v>
      </c>
      <c r="AQ14" s="3651">
        <f t="shared" si="36"/>
        <v>498.89</v>
      </c>
      <c r="AR14" s="3651">
        <f t="shared" si="36"/>
        <v>498.89</v>
      </c>
      <c r="AS14" s="3651">
        <f>SUM(AM14)</f>
        <v>498.89</v>
      </c>
      <c r="AT14" s="3651">
        <f>SUM(AN14)</f>
        <v>498.89</v>
      </c>
      <c r="AU14" s="3082">
        <f t="shared" ref="AU14:AU17" si="37">SUM(AV14:AW14)</f>
        <v>175.79</v>
      </c>
      <c r="AV14" s="3651">
        <v>175.79</v>
      </c>
      <c r="AW14" s="3651">
        <v>0</v>
      </c>
      <c r="AX14" s="3082">
        <f t="shared" ref="AX14:AX17" si="38">SUM(AY14:AZ14)</f>
        <v>261.02</v>
      </c>
      <c r="AY14" s="3651">
        <v>261.02</v>
      </c>
      <c r="AZ14" s="3651"/>
      <c r="BA14" s="3082">
        <f t="shared" ref="BA14:BA17" si="39">SUM(BB14:BC14)</f>
        <v>350.43</v>
      </c>
      <c r="BB14" s="3651">
        <v>350.43</v>
      </c>
      <c r="BC14" s="3651"/>
      <c r="BD14" s="3651">
        <v>350.43</v>
      </c>
      <c r="BE14" s="3651">
        <f>SUM(BD14/BD18)*BE18</f>
        <v>349.61328975374232</v>
      </c>
      <c r="BF14" s="5860"/>
      <c r="BG14" s="5860"/>
      <c r="BH14" s="3659"/>
      <c r="BI14" s="3082">
        <f t="shared" ref="BI14:BI17" si="40">SUM(BJ14:BK14)</f>
        <v>183.71</v>
      </c>
      <c r="BJ14" s="3651">
        <v>183.71</v>
      </c>
      <c r="BK14" s="3651">
        <v>0</v>
      </c>
      <c r="BL14" s="3082">
        <f t="shared" ref="BL14:BL17" si="41">SUM(BM14:BN14)</f>
        <v>276.27</v>
      </c>
      <c r="BM14" s="3651">
        <v>276.27</v>
      </c>
      <c r="BN14" s="3651"/>
      <c r="BO14" s="3082">
        <f t="shared" ref="BO14:BO17" si="42">SUM(BP14:BQ14)</f>
        <v>361.79</v>
      </c>
      <c r="BP14" s="3651">
        <v>361.79</v>
      </c>
      <c r="BQ14" s="3651"/>
      <c r="BR14" s="3080">
        <f t="shared" ref="BR14:BR17" si="43">SUM(BP14)</f>
        <v>361.79</v>
      </c>
      <c r="BS14" s="3945">
        <f>SUM(BR14/BR18)*BS18</f>
        <v>361.79</v>
      </c>
      <c r="BT14" s="3082">
        <f t="shared" ref="BT14:BT17" si="44">SUM(BU14:BV14)</f>
        <v>171.01</v>
      </c>
      <c r="BU14" s="3945">
        <v>171.01</v>
      </c>
      <c r="BV14" s="3945"/>
      <c r="BW14" s="3082">
        <f t="shared" ref="BW14:BW17" si="45">SUM(BX14:BY14)</f>
        <v>256.51</v>
      </c>
      <c r="BX14" s="3945">
        <v>256.51</v>
      </c>
      <c r="BY14" s="3945"/>
      <c r="BZ14" s="3082">
        <f t="shared" ref="BZ14:BZ17" si="46">SUM(CA14:CB14)</f>
        <v>342.03100000000001</v>
      </c>
      <c r="CA14" s="3796">
        <v>342.03100000000001</v>
      </c>
      <c r="CB14" s="3074"/>
      <c r="CC14" s="2634">
        <f t="shared" ref="CC14:CC15" si="47">SUM(BS14)</f>
        <v>361.79</v>
      </c>
      <c r="CD14" s="3074">
        <f>SUM(CC14/CC18)*CD18</f>
        <v>357.61082343804594</v>
      </c>
      <c r="CE14" s="4718">
        <v>177.31200000000001</v>
      </c>
      <c r="CF14" s="4718">
        <v>354.62400000000002</v>
      </c>
    </row>
    <row r="15" spans="1:84" ht="24.95" customHeight="1" x14ac:dyDescent="0.2">
      <c r="A15" s="1726" t="s">
        <v>88</v>
      </c>
      <c r="B15" s="1726"/>
      <c r="C15" s="1726"/>
      <c r="D15" s="1726"/>
      <c r="E15" s="2562">
        <v>1281</v>
      </c>
      <c r="F15" s="3088" t="e">
        <f>E15/#REF!*100</f>
        <v>#REF!</v>
      </c>
      <c r="G15" s="2562" t="e">
        <f>#REF!</f>
        <v>#REF!</v>
      </c>
      <c r="H15" s="2562">
        <v>412.35</v>
      </c>
      <c r="I15" s="2562">
        <v>632.5</v>
      </c>
      <c r="J15" s="2562">
        <v>1281</v>
      </c>
      <c r="K15" s="2562"/>
      <c r="L15" s="2562">
        <v>833.9</v>
      </c>
      <c r="M15" s="2562">
        <v>960.9</v>
      </c>
      <c r="N15" s="3088"/>
      <c r="O15" s="2562">
        <f>M15</f>
        <v>960.9</v>
      </c>
      <c r="P15" s="2149" t="e">
        <f t="shared" si="3"/>
        <v>#REF!</v>
      </c>
      <c r="Q15" s="2562">
        <v>407.8</v>
      </c>
      <c r="R15" s="2562">
        <v>588.73</v>
      </c>
      <c r="S15" s="2562">
        <v>717.01</v>
      </c>
      <c r="T15" s="2562">
        <v>960.9</v>
      </c>
      <c r="U15" s="2562">
        <f t="shared" ref="U15:U17" si="48">T15</f>
        <v>960.9</v>
      </c>
      <c r="V15" s="2149">
        <f t="shared" si="4"/>
        <v>1</v>
      </c>
      <c r="W15" s="3083">
        <v>588.47</v>
      </c>
      <c r="X15" s="3083">
        <v>588.47</v>
      </c>
      <c r="Y15" s="3083"/>
      <c r="Z15" s="3083">
        <v>717.01</v>
      </c>
      <c r="AA15" s="3083">
        <f t="shared" ref="AA15:AA17" si="49">S15</f>
        <v>717.01</v>
      </c>
      <c r="AB15" s="3083">
        <v>513.41</v>
      </c>
      <c r="AC15" s="3083">
        <f t="shared" ref="AC15:AC17" si="50">AB15</f>
        <v>513.41</v>
      </c>
      <c r="AD15" s="3083">
        <v>588.47</v>
      </c>
      <c r="AE15" s="3083">
        <f t="shared" ref="AE15:AE17" si="51">AD15</f>
        <v>588.47</v>
      </c>
      <c r="AF15" s="2149">
        <f t="shared" si="0"/>
        <v>0.74618586741596415</v>
      </c>
      <c r="AG15" s="3083">
        <v>453.95</v>
      </c>
      <c r="AH15" s="3080">
        <v>513.41</v>
      </c>
      <c r="AI15" s="3080">
        <f t="shared" ref="AI15:AL17" si="52">AH15</f>
        <v>513.41</v>
      </c>
      <c r="AJ15" s="3080">
        <f t="shared" si="52"/>
        <v>513.41</v>
      </c>
      <c r="AK15" s="3080">
        <f t="shared" si="52"/>
        <v>513.41</v>
      </c>
      <c r="AL15" s="3080">
        <f t="shared" si="52"/>
        <v>513.41</v>
      </c>
      <c r="AM15" s="3082">
        <v>513.41</v>
      </c>
      <c r="AN15" s="3651">
        <f t="shared" ref="AN15:AR17" si="53">AM15</f>
        <v>513.41</v>
      </c>
      <c r="AO15" s="3651">
        <f t="shared" si="53"/>
        <v>513.41</v>
      </c>
      <c r="AP15" s="3651">
        <f t="shared" si="53"/>
        <v>513.41</v>
      </c>
      <c r="AQ15" s="3651">
        <f t="shared" si="53"/>
        <v>513.41</v>
      </c>
      <c r="AR15" s="3651">
        <f t="shared" si="53"/>
        <v>513.41</v>
      </c>
      <c r="AS15" s="3651">
        <f>SUM(AM15)</f>
        <v>513.41</v>
      </c>
      <c r="AT15" s="3651">
        <f>SUM(AN15)</f>
        <v>513.41</v>
      </c>
      <c r="AU15" s="3082">
        <f t="shared" si="37"/>
        <v>253</v>
      </c>
      <c r="AV15" s="3651">
        <v>253</v>
      </c>
      <c r="AW15" s="3651">
        <v>0</v>
      </c>
      <c r="AX15" s="3082">
        <f t="shared" si="38"/>
        <v>369.04</v>
      </c>
      <c r="AY15" s="3651">
        <v>369.04</v>
      </c>
      <c r="AZ15" s="3651"/>
      <c r="BA15" s="3082">
        <f t="shared" si="39"/>
        <v>475.83</v>
      </c>
      <c r="BB15" s="3651">
        <v>475.83</v>
      </c>
      <c r="BC15" s="3651"/>
      <c r="BD15" s="3651">
        <v>475.83</v>
      </c>
      <c r="BE15" s="3651">
        <f>SUM(BD15/BD18)*BE18</f>
        <v>474.72103319785174</v>
      </c>
      <c r="BF15" s="5860"/>
      <c r="BG15" s="5860"/>
      <c r="BH15" s="3659"/>
      <c r="BI15" s="3082">
        <f t="shared" si="40"/>
        <v>231.73</v>
      </c>
      <c r="BJ15" s="3651">
        <v>231.73</v>
      </c>
      <c r="BK15" s="3651">
        <v>0</v>
      </c>
      <c r="BL15" s="3082">
        <f t="shared" si="41"/>
        <v>338.74</v>
      </c>
      <c r="BM15" s="3651">
        <v>338.74</v>
      </c>
      <c r="BN15" s="3651"/>
      <c r="BO15" s="3082">
        <f t="shared" si="42"/>
        <v>461.09</v>
      </c>
      <c r="BP15" s="3651">
        <v>461.09</v>
      </c>
      <c r="BQ15" s="3651"/>
      <c r="BR15" s="3080">
        <f t="shared" si="43"/>
        <v>461.09</v>
      </c>
      <c r="BS15" s="3945">
        <f>SUM(BR15/BR18)*BS18</f>
        <v>461.09</v>
      </c>
      <c r="BT15" s="3082">
        <f t="shared" si="44"/>
        <v>203.29</v>
      </c>
      <c r="BU15" s="3945">
        <v>203.29</v>
      </c>
      <c r="BV15" s="3945"/>
      <c r="BW15" s="3082">
        <f t="shared" si="45"/>
        <v>294.43400000000003</v>
      </c>
      <c r="BX15" s="3945">
        <v>294.43400000000003</v>
      </c>
      <c r="BY15" s="3945"/>
      <c r="BZ15" s="3082">
        <f t="shared" si="46"/>
        <v>416.68200000000002</v>
      </c>
      <c r="CA15" s="3796">
        <v>416.68200000000002</v>
      </c>
      <c r="CB15" s="3074"/>
      <c r="CC15" s="2634">
        <f t="shared" si="47"/>
        <v>461.09</v>
      </c>
      <c r="CD15" s="3074">
        <f>SUM(CC15/CC18)*CD18</f>
        <v>455.76377063779705</v>
      </c>
      <c r="CE15" s="4718">
        <v>333.673</v>
      </c>
      <c r="CF15" s="4718">
        <v>1186.414</v>
      </c>
    </row>
    <row r="16" spans="1:84" ht="24.95" customHeight="1" x14ac:dyDescent="0.2">
      <c r="A16" s="1726" t="s">
        <v>816</v>
      </c>
      <c r="B16" s="1726"/>
      <c r="C16" s="1726"/>
      <c r="D16" s="1726"/>
      <c r="E16" s="2562">
        <v>26.4</v>
      </c>
      <c r="F16" s="3079" t="e">
        <f>E16/#REF!*100</f>
        <v>#REF!</v>
      </c>
      <c r="G16" s="2562" t="e">
        <f>#REF!</f>
        <v>#REF!</v>
      </c>
      <c r="H16" s="2562">
        <v>0</v>
      </c>
      <c r="I16" s="2562">
        <v>18.899999999999999</v>
      </c>
      <c r="J16" s="2562">
        <v>26.4</v>
      </c>
      <c r="K16" s="2562"/>
      <c r="L16" s="2562">
        <v>25.2</v>
      </c>
      <c r="M16" s="2562">
        <v>25.2</v>
      </c>
      <c r="N16" s="3079"/>
      <c r="O16" s="2562">
        <f>M16</f>
        <v>25.2</v>
      </c>
      <c r="P16" s="2149" t="e">
        <f t="shared" si="3"/>
        <v>#REF!</v>
      </c>
      <c r="Q16" s="2562">
        <v>12.72</v>
      </c>
      <c r="R16" s="2562">
        <v>19.11</v>
      </c>
      <c r="S16" s="2562">
        <v>25.5</v>
      </c>
      <c r="T16" s="2562">
        <v>25.2</v>
      </c>
      <c r="U16" s="2562">
        <f t="shared" si="48"/>
        <v>25.2</v>
      </c>
      <c r="V16" s="2149">
        <f t="shared" si="4"/>
        <v>1</v>
      </c>
      <c r="W16" s="3083">
        <v>36.94</v>
      </c>
      <c r="X16" s="3083">
        <v>36.94</v>
      </c>
      <c r="Y16" s="3083"/>
      <c r="Z16" s="3083">
        <v>25.5</v>
      </c>
      <c r="AA16" s="3083">
        <f t="shared" si="49"/>
        <v>25.5</v>
      </c>
      <c r="AB16" s="3083">
        <v>68.540000000000006</v>
      </c>
      <c r="AC16" s="3083">
        <f t="shared" si="50"/>
        <v>68.540000000000006</v>
      </c>
      <c r="AD16" s="3083">
        <v>36.94</v>
      </c>
      <c r="AE16" s="3083">
        <f t="shared" si="51"/>
        <v>36.94</v>
      </c>
      <c r="AF16" s="2149">
        <f t="shared" si="0"/>
        <v>1.0119047619047619</v>
      </c>
      <c r="AG16" s="3083">
        <v>95.24</v>
      </c>
      <c r="AH16" s="3080">
        <v>68.540000000000006</v>
      </c>
      <c r="AI16" s="3080">
        <f t="shared" si="52"/>
        <v>68.540000000000006</v>
      </c>
      <c r="AJ16" s="3080">
        <f t="shared" si="52"/>
        <v>68.540000000000006</v>
      </c>
      <c r="AK16" s="3080">
        <f t="shared" si="52"/>
        <v>68.540000000000006</v>
      </c>
      <c r="AL16" s="3080">
        <f t="shared" si="52"/>
        <v>68.540000000000006</v>
      </c>
      <c r="AM16" s="3082">
        <v>68.540000000000006</v>
      </c>
      <c r="AN16" s="3651">
        <f t="shared" si="53"/>
        <v>68.540000000000006</v>
      </c>
      <c r="AO16" s="3651">
        <f t="shared" si="53"/>
        <v>68.540000000000006</v>
      </c>
      <c r="AP16" s="3651">
        <f t="shared" si="53"/>
        <v>68.540000000000006</v>
      </c>
      <c r="AQ16" s="3651">
        <f t="shared" si="53"/>
        <v>68.540000000000006</v>
      </c>
      <c r="AR16" s="3651">
        <f t="shared" si="53"/>
        <v>68.540000000000006</v>
      </c>
      <c r="AS16" s="3651">
        <f>SUM(AG16)</f>
        <v>95.24</v>
      </c>
      <c r="AT16" s="3651">
        <f>SUM(AS16)</f>
        <v>95.24</v>
      </c>
      <c r="AU16" s="3082">
        <f t="shared" si="37"/>
        <v>152.58000000000001</v>
      </c>
      <c r="AV16" s="3651">
        <v>152.58000000000001</v>
      </c>
      <c r="AW16" s="3651">
        <v>0</v>
      </c>
      <c r="AX16" s="3082">
        <f t="shared" si="38"/>
        <v>231.78</v>
      </c>
      <c r="AY16" s="3651">
        <v>231.78</v>
      </c>
      <c r="AZ16" s="3651"/>
      <c r="BA16" s="3082">
        <f t="shared" si="39"/>
        <v>311.02</v>
      </c>
      <c r="BB16" s="3651">
        <v>311.02</v>
      </c>
      <c r="BC16" s="3651"/>
      <c r="BD16" s="3651">
        <v>311.02</v>
      </c>
      <c r="BE16" s="3651">
        <f>SUM(BD16/BD18)*BE18</f>
        <v>310.2951384847442</v>
      </c>
      <c r="BF16" s="5860"/>
      <c r="BG16" s="5860"/>
      <c r="BH16" s="3659"/>
      <c r="BI16" s="3082">
        <f t="shared" si="40"/>
        <v>158.41</v>
      </c>
      <c r="BJ16" s="3651">
        <v>158.41</v>
      </c>
      <c r="BK16" s="3651">
        <v>0</v>
      </c>
      <c r="BL16" s="3082">
        <f t="shared" si="41"/>
        <v>237.61</v>
      </c>
      <c r="BM16" s="3651">
        <v>237.61</v>
      </c>
      <c r="BN16" s="3651"/>
      <c r="BO16" s="3082">
        <f t="shared" si="42"/>
        <v>316.86</v>
      </c>
      <c r="BP16" s="3651">
        <v>316.86</v>
      </c>
      <c r="BQ16" s="3651"/>
      <c r="BR16" s="3080">
        <f t="shared" si="43"/>
        <v>316.86</v>
      </c>
      <c r="BS16" s="3945">
        <f>SUM(BR16/BR18)*BS18</f>
        <v>316.86</v>
      </c>
      <c r="BT16" s="3082">
        <f t="shared" si="44"/>
        <v>175.08</v>
      </c>
      <c r="BU16" s="3945">
        <v>175.08</v>
      </c>
      <c r="BV16" s="3945"/>
      <c r="BW16" s="3082">
        <f t="shared" si="45"/>
        <v>279.29399999999998</v>
      </c>
      <c r="BX16" s="3945">
        <v>279.29399999999998</v>
      </c>
      <c r="BY16" s="3945"/>
      <c r="BZ16" s="3082">
        <f t="shared" si="46"/>
        <v>372.09399999999999</v>
      </c>
      <c r="CA16" s="3796">
        <v>372.09399999999999</v>
      </c>
      <c r="CB16" s="3796"/>
      <c r="CC16" s="2634">
        <f>SUM(BZ16)</f>
        <v>372.09399999999999</v>
      </c>
      <c r="CD16" s="3074">
        <f>SUM(CC16/CC18)*CD18</f>
        <v>367.79579793901507</v>
      </c>
      <c r="CE16" s="4718">
        <v>174.14400000000001</v>
      </c>
      <c r="CF16" s="4718">
        <v>348.28800000000001</v>
      </c>
    </row>
    <row r="17" spans="1:84" ht="24.95" customHeight="1" x14ac:dyDescent="0.2">
      <c r="A17" s="1726" t="s">
        <v>85</v>
      </c>
      <c r="B17" s="1726"/>
      <c r="C17" s="1726"/>
      <c r="D17" s="1726"/>
      <c r="E17" s="2562">
        <v>3595</v>
      </c>
      <c r="F17" s="3079" t="e">
        <f>E17/#REF!*100</f>
        <v>#REF!</v>
      </c>
      <c r="G17" s="2562" t="e">
        <f>#REF!</f>
        <v>#REF!</v>
      </c>
      <c r="H17" s="2562">
        <v>1755.33</v>
      </c>
      <c r="I17" s="2562">
        <v>2673.6</v>
      </c>
      <c r="J17" s="2562">
        <v>3595</v>
      </c>
      <c r="K17" s="2562"/>
      <c r="L17" s="2562">
        <v>3567.6</v>
      </c>
      <c r="M17" s="2562">
        <v>3562.4</v>
      </c>
      <c r="N17" s="3079"/>
      <c r="O17" s="2562">
        <f>M17</f>
        <v>3562.4</v>
      </c>
      <c r="P17" s="2149" t="e">
        <f t="shared" si="3"/>
        <v>#REF!</v>
      </c>
      <c r="Q17" s="2562">
        <v>1790.52</v>
      </c>
      <c r="R17" s="2562">
        <v>2713.05</v>
      </c>
      <c r="S17" s="2562">
        <v>4015.93</v>
      </c>
      <c r="T17" s="2562">
        <v>3562.4</v>
      </c>
      <c r="U17" s="2562">
        <f t="shared" si="48"/>
        <v>3562.4</v>
      </c>
      <c r="V17" s="2149">
        <f t="shared" si="4"/>
        <v>1</v>
      </c>
      <c r="W17" s="3083">
        <v>3912.88</v>
      </c>
      <c r="X17" s="3083">
        <v>3912.88</v>
      </c>
      <c r="Y17" s="3083"/>
      <c r="Z17" s="3083">
        <v>4015.93</v>
      </c>
      <c r="AA17" s="3083">
        <f t="shared" si="49"/>
        <v>4015.93</v>
      </c>
      <c r="AB17" s="3083">
        <v>3925.45</v>
      </c>
      <c r="AC17" s="3083">
        <f t="shared" si="50"/>
        <v>3925.45</v>
      </c>
      <c r="AD17" s="3083">
        <v>3912.88</v>
      </c>
      <c r="AE17" s="3083">
        <f t="shared" si="51"/>
        <v>3912.88</v>
      </c>
      <c r="AF17" s="2149">
        <f t="shared" si="0"/>
        <v>1.1273102402874466</v>
      </c>
      <c r="AG17" s="3083">
        <v>3937.42</v>
      </c>
      <c r="AH17" s="3080">
        <v>3925.45</v>
      </c>
      <c r="AI17" s="3080">
        <f t="shared" si="52"/>
        <v>3925.45</v>
      </c>
      <c r="AJ17" s="3080">
        <f t="shared" si="52"/>
        <v>3925.45</v>
      </c>
      <c r="AK17" s="3080">
        <f t="shared" si="52"/>
        <v>3925.45</v>
      </c>
      <c r="AL17" s="3080">
        <f t="shared" si="52"/>
        <v>3925.45</v>
      </c>
      <c r="AM17" s="3080">
        <v>3925.45</v>
      </c>
      <c r="AN17" s="3651">
        <f t="shared" si="53"/>
        <v>3925.45</v>
      </c>
      <c r="AO17" s="3651">
        <f t="shared" si="53"/>
        <v>3925.45</v>
      </c>
      <c r="AP17" s="3651">
        <f t="shared" si="53"/>
        <v>3925.45</v>
      </c>
      <c r="AQ17" s="3651">
        <f t="shared" si="53"/>
        <v>3925.45</v>
      </c>
      <c r="AR17" s="3651">
        <f t="shared" si="53"/>
        <v>3925.45</v>
      </c>
      <c r="AS17" s="3651">
        <f>SUM(AG17)</f>
        <v>3937.42</v>
      </c>
      <c r="AT17" s="3651">
        <f>SUM(AS17)</f>
        <v>3937.42</v>
      </c>
      <c r="AU17" s="3082">
        <f t="shared" si="37"/>
        <v>1973.89</v>
      </c>
      <c r="AV17" s="3651">
        <v>1973.89</v>
      </c>
      <c r="AW17" s="3651">
        <v>0</v>
      </c>
      <c r="AX17" s="3082">
        <f t="shared" si="38"/>
        <v>2982.19</v>
      </c>
      <c r="AY17" s="3651">
        <v>2982.19</v>
      </c>
      <c r="AZ17" s="3651"/>
      <c r="BA17" s="3082">
        <f t="shared" si="39"/>
        <v>4007.33</v>
      </c>
      <c r="BB17" s="3651">
        <v>4007.33</v>
      </c>
      <c r="BC17" s="3651"/>
      <c r="BD17" s="3651">
        <v>4007.33</v>
      </c>
      <c r="BE17" s="3651">
        <f>SUM(BD17/BD18)*BE18</f>
        <v>3997.9905385636621</v>
      </c>
      <c r="BF17" s="5860"/>
      <c r="BG17" s="5860"/>
      <c r="BH17" s="3659"/>
      <c r="BI17" s="3082">
        <f t="shared" si="40"/>
        <v>2057.556</v>
      </c>
      <c r="BJ17" s="3651">
        <v>2057.556</v>
      </c>
      <c r="BK17" s="3651">
        <v>0</v>
      </c>
      <c r="BL17" s="3082">
        <f t="shared" si="41"/>
        <v>3093.25</v>
      </c>
      <c r="BM17" s="3651">
        <v>3093.25</v>
      </c>
      <c r="BN17" s="3651"/>
      <c r="BO17" s="3082">
        <f t="shared" si="42"/>
        <v>4128.96</v>
      </c>
      <c r="BP17" s="3651">
        <v>4128.96</v>
      </c>
      <c r="BQ17" s="3651"/>
      <c r="BR17" s="3080">
        <f t="shared" si="43"/>
        <v>4128.96</v>
      </c>
      <c r="BS17" s="3945">
        <f>SUM(BR17/BR18)*BS18</f>
        <v>4128.96</v>
      </c>
      <c r="BT17" s="3082">
        <f t="shared" si="44"/>
        <v>2120.25</v>
      </c>
      <c r="BU17" s="3945">
        <v>2120.25</v>
      </c>
      <c r="BV17" s="3945"/>
      <c r="BW17" s="3082">
        <f t="shared" si="45"/>
        <v>3226.26</v>
      </c>
      <c r="BX17" s="3945">
        <v>3226.26</v>
      </c>
      <c r="BY17" s="3945"/>
      <c r="BZ17" s="3082">
        <f t="shared" si="46"/>
        <v>4359.9430000000002</v>
      </c>
      <c r="CA17" s="3796">
        <v>4359.9430000000002</v>
      </c>
      <c r="CB17" s="3796"/>
      <c r="CC17" s="2634">
        <f>SUM(BZ17)</f>
        <v>4359.9430000000002</v>
      </c>
      <c r="CD17" s="3074">
        <f>SUM(CC17/CC18)*CD18</f>
        <v>4309.5796079851416</v>
      </c>
      <c r="CE17" s="4718">
        <v>2301.9760000000001</v>
      </c>
      <c r="CF17" s="4718">
        <v>4708.3540000000003</v>
      </c>
    </row>
    <row r="18" spans="1:84" ht="24.95" customHeight="1" x14ac:dyDescent="0.2">
      <c r="A18" s="2556" t="s">
        <v>90</v>
      </c>
      <c r="B18" s="1726"/>
      <c r="C18" s="1726"/>
      <c r="D18" s="1726"/>
      <c r="E18" s="2563">
        <f>SUM(E14:E17)</f>
        <v>5170.3</v>
      </c>
      <c r="F18" s="3079" t="e">
        <f>E18/#REF!*100</f>
        <v>#REF!</v>
      </c>
      <c r="G18" s="2563" t="e">
        <f>SUM(G14:G17)</f>
        <v>#REF!</v>
      </c>
      <c r="H18" s="2563">
        <f>SUM(H14:H17)</f>
        <v>2304.31</v>
      </c>
      <c r="I18" s="2563">
        <f>SUM(I14:I17)</f>
        <v>3530.2</v>
      </c>
      <c r="J18" s="2563">
        <f>SUM(J14:J17)</f>
        <v>5170</v>
      </c>
      <c r="K18" s="2562"/>
      <c r="L18" s="2563">
        <f>SUM(L14:L17)</f>
        <v>4702.5</v>
      </c>
      <c r="M18" s="2563">
        <f>SUM(M14:M17)</f>
        <v>4822.1000000000004</v>
      </c>
      <c r="N18" s="3079"/>
      <c r="O18" s="2563">
        <f>SUM(O14:O17)</f>
        <v>4822.1000000000004</v>
      </c>
      <c r="P18" s="3089" t="e">
        <f t="shared" si="3"/>
        <v>#REF!</v>
      </c>
      <c r="Q18" s="2563">
        <f t="shared" ref="Q18:X18" si="54">SUM(Q14:Q17)</f>
        <v>2400.7200000000003</v>
      </c>
      <c r="R18" s="2563">
        <f t="shared" si="54"/>
        <v>3628.3500000000004</v>
      </c>
      <c r="S18" s="2563">
        <f t="shared" si="54"/>
        <v>5183.68</v>
      </c>
      <c r="T18" s="2563">
        <f t="shared" si="54"/>
        <v>4822.1000000000004</v>
      </c>
      <c r="U18" s="2563">
        <f t="shared" si="54"/>
        <v>4822.1000000000004</v>
      </c>
      <c r="V18" s="2563">
        <f t="shared" si="54"/>
        <v>4</v>
      </c>
      <c r="W18" s="3086">
        <f t="shared" si="54"/>
        <v>5036.88</v>
      </c>
      <c r="X18" s="3086">
        <f t="shared" si="54"/>
        <v>5036.88</v>
      </c>
      <c r="Y18" s="3087">
        <v>3759.56</v>
      </c>
      <c r="Z18" s="2563">
        <f t="shared" ref="Z18:BD18" si="55">SUM(Z14:Z17)</f>
        <v>5183.68</v>
      </c>
      <c r="AA18" s="2563">
        <f t="shared" si="55"/>
        <v>5183.68</v>
      </c>
      <c r="AB18" s="2563">
        <f t="shared" si="55"/>
        <v>5006.29</v>
      </c>
      <c r="AC18" s="2563">
        <f t="shared" si="55"/>
        <v>5006.29</v>
      </c>
      <c r="AD18" s="2563">
        <f t="shared" si="55"/>
        <v>5036.88</v>
      </c>
      <c r="AE18" s="2563">
        <f t="shared" si="55"/>
        <v>5036.88</v>
      </c>
      <c r="AF18" s="2563">
        <f t="shared" si="55"/>
        <v>4.4396406356900435</v>
      </c>
      <c r="AG18" s="2563">
        <f t="shared" si="55"/>
        <v>4827.91</v>
      </c>
      <c r="AH18" s="3652">
        <f t="shared" si="55"/>
        <v>5006.29</v>
      </c>
      <c r="AI18" s="3652">
        <f t="shared" si="55"/>
        <v>5006.29</v>
      </c>
      <c r="AJ18" s="3652">
        <f t="shared" si="55"/>
        <v>5006.29</v>
      </c>
      <c r="AK18" s="3652">
        <f t="shared" si="55"/>
        <v>5006.29</v>
      </c>
      <c r="AL18" s="3652">
        <f t="shared" si="55"/>
        <v>5006.29</v>
      </c>
      <c r="AM18" s="3652">
        <f t="shared" si="55"/>
        <v>5006.29</v>
      </c>
      <c r="AN18" s="3652">
        <f t="shared" si="55"/>
        <v>5006.29</v>
      </c>
      <c r="AO18" s="3652">
        <f t="shared" si="55"/>
        <v>5006.29</v>
      </c>
      <c r="AP18" s="3652">
        <f t="shared" si="55"/>
        <v>5006.29</v>
      </c>
      <c r="AQ18" s="3652">
        <f t="shared" si="55"/>
        <v>5006.29</v>
      </c>
      <c r="AR18" s="3652">
        <f t="shared" si="55"/>
        <v>5006.29</v>
      </c>
      <c r="AS18" s="3652">
        <f t="shared" si="55"/>
        <v>5044.96</v>
      </c>
      <c r="AT18" s="3652">
        <f t="shared" si="55"/>
        <v>5044.96</v>
      </c>
      <c r="AU18" s="3652">
        <f t="shared" si="55"/>
        <v>2555.2600000000002</v>
      </c>
      <c r="AV18" s="3652">
        <f t="shared" si="55"/>
        <v>2555.2600000000002</v>
      </c>
      <c r="AW18" s="3652">
        <f t="shared" si="55"/>
        <v>0</v>
      </c>
      <c r="AX18" s="3652">
        <f t="shared" si="55"/>
        <v>3844.0299999999997</v>
      </c>
      <c r="AY18" s="3652">
        <f t="shared" si="55"/>
        <v>3844.0299999999997</v>
      </c>
      <c r="AZ18" s="3652">
        <f t="shared" si="55"/>
        <v>0</v>
      </c>
      <c r="BA18" s="3652">
        <f t="shared" si="55"/>
        <v>5144.6099999999997</v>
      </c>
      <c r="BB18" s="3652">
        <f t="shared" si="55"/>
        <v>5144.6099999999997</v>
      </c>
      <c r="BC18" s="3652">
        <f t="shared" si="55"/>
        <v>0</v>
      </c>
      <c r="BD18" s="3652">
        <f t="shared" si="55"/>
        <v>5144.6099999999997</v>
      </c>
      <c r="BE18" s="3652">
        <v>5132.62</v>
      </c>
      <c r="BF18" s="5860"/>
      <c r="BG18" s="5860"/>
      <c r="BH18" s="3659"/>
      <c r="BI18" s="3652">
        <f t="shared" ref="BI18:BR18" si="56">SUM(BI14:BI17)</f>
        <v>2631.4059999999999</v>
      </c>
      <c r="BJ18" s="3652">
        <f t="shared" si="56"/>
        <v>2631.4059999999999</v>
      </c>
      <c r="BK18" s="3652">
        <f t="shared" si="56"/>
        <v>0</v>
      </c>
      <c r="BL18" s="3652">
        <f t="shared" si="56"/>
        <v>3945.87</v>
      </c>
      <c r="BM18" s="3652">
        <f t="shared" si="56"/>
        <v>3945.87</v>
      </c>
      <c r="BN18" s="3652">
        <f t="shared" si="56"/>
        <v>0</v>
      </c>
      <c r="BO18" s="3652">
        <f t="shared" si="56"/>
        <v>5268.7</v>
      </c>
      <c r="BP18" s="3652">
        <f t="shared" si="56"/>
        <v>5268.7</v>
      </c>
      <c r="BQ18" s="3652">
        <f t="shared" si="56"/>
        <v>0</v>
      </c>
      <c r="BR18" s="3944">
        <f t="shared" si="56"/>
        <v>5268.7</v>
      </c>
      <c r="BS18" s="3944">
        <v>5268.7</v>
      </c>
      <c r="BT18" s="3944">
        <f t="shared" ref="BT18:BV18" si="57">SUM(BT14:BT17)</f>
        <v>2669.63</v>
      </c>
      <c r="BU18" s="3944">
        <f t="shared" si="57"/>
        <v>2669.63</v>
      </c>
      <c r="BV18" s="3944">
        <f t="shared" si="57"/>
        <v>0</v>
      </c>
      <c r="BW18" s="3944">
        <f t="shared" ref="BW18:BY18" si="58">SUM(BW14:BW17)</f>
        <v>4056.498</v>
      </c>
      <c r="BX18" s="3944">
        <f t="shared" si="58"/>
        <v>4056.498</v>
      </c>
      <c r="BY18" s="3944">
        <f t="shared" si="58"/>
        <v>0</v>
      </c>
      <c r="BZ18" s="3944">
        <f t="shared" ref="BZ18:CC18" si="59">SUM(BZ14:BZ17)</f>
        <v>5490.75</v>
      </c>
      <c r="CA18" s="3797">
        <f t="shared" si="59"/>
        <v>5490.75</v>
      </c>
      <c r="CB18" s="3797">
        <f t="shared" si="59"/>
        <v>0</v>
      </c>
      <c r="CC18" s="3075">
        <f t="shared" si="59"/>
        <v>5554.9170000000004</v>
      </c>
      <c r="CD18" s="3075">
        <v>5490.75</v>
      </c>
      <c r="CE18" s="4735">
        <f t="shared" ref="CE18" si="60">SUM(CE14:CE17)</f>
        <v>2987.105</v>
      </c>
      <c r="CF18" s="4735">
        <f t="shared" ref="CF18" si="61">SUM(CF14:CF17)</f>
        <v>6597.68</v>
      </c>
    </row>
    <row r="19" spans="1:84" s="5" customFormat="1" ht="27" customHeight="1" x14ac:dyDescent="0.2">
      <c r="A19" s="2556" t="s">
        <v>614</v>
      </c>
      <c r="B19" s="2556"/>
      <c r="C19" s="2556"/>
      <c r="D19" s="2556"/>
      <c r="E19" s="2552">
        <f>SUM(E18,E13)</f>
        <v>12607.099999999999</v>
      </c>
      <c r="F19" s="1737" t="e">
        <f>E19/#REF!*100</f>
        <v>#REF!</v>
      </c>
      <c r="G19" s="2552" t="e">
        <f t="shared" ref="G19:O19" si="62">SUM(G18,G13)</f>
        <v>#REF!</v>
      </c>
      <c r="H19" s="2552">
        <f t="shared" si="62"/>
        <v>6152.08</v>
      </c>
      <c r="I19" s="2552">
        <f t="shared" si="62"/>
        <v>9218.7000000000007</v>
      </c>
      <c r="J19" s="2552">
        <f t="shared" si="62"/>
        <v>12461</v>
      </c>
      <c r="K19" s="2552">
        <f t="shared" si="62"/>
        <v>0</v>
      </c>
      <c r="L19" s="2552">
        <f t="shared" si="62"/>
        <v>12312.3</v>
      </c>
      <c r="M19" s="2552">
        <f t="shared" si="62"/>
        <v>12372.400000000001</v>
      </c>
      <c r="N19" s="2552">
        <f t="shared" si="62"/>
        <v>0</v>
      </c>
      <c r="O19" s="2552">
        <f t="shared" si="62"/>
        <v>12372.400000000001</v>
      </c>
      <c r="P19" s="3089" t="e">
        <f t="shared" si="3"/>
        <v>#REF!</v>
      </c>
      <c r="Q19" s="2552">
        <f t="shared" ref="Q19:BE19" si="63">SUM(Q18,Q13)</f>
        <v>6393.94</v>
      </c>
      <c r="R19" s="2552">
        <f t="shared" si="63"/>
        <v>9730.42</v>
      </c>
      <c r="S19" s="2552">
        <f t="shared" si="63"/>
        <v>13480.330000000002</v>
      </c>
      <c r="T19" s="2552">
        <f t="shared" si="63"/>
        <v>12372.400000000001</v>
      </c>
      <c r="U19" s="2552">
        <f t="shared" si="63"/>
        <v>12958.2</v>
      </c>
      <c r="V19" s="2552">
        <f t="shared" si="63"/>
        <v>8.3338304794805236</v>
      </c>
      <c r="W19" s="3090">
        <f t="shared" si="63"/>
        <v>13534.780000000002</v>
      </c>
      <c r="X19" s="3090">
        <f t="shared" si="63"/>
        <v>13534.780000000002</v>
      </c>
      <c r="Y19" s="2552">
        <f t="shared" si="63"/>
        <v>10163.959999999999</v>
      </c>
      <c r="Z19" s="2552">
        <f t="shared" si="63"/>
        <v>13480.36</v>
      </c>
      <c r="AA19" s="2552">
        <f t="shared" si="63"/>
        <v>13480.36</v>
      </c>
      <c r="AB19" s="2552">
        <f t="shared" si="63"/>
        <v>14990.669999999998</v>
      </c>
      <c r="AC19" s="2552">
        <f t="shared" si="63"/>
        <v>14990.669999999998</v>
      </c>
      <c r="AD19" s="2552">
        <f t="shared" si="63"/>
        <v>13534.780000000002</v>
      </c>
      <c r="AE19" s="2552">
        <f t="shared" si="63"/>
        <v>13534.780000000002</v>
      </c>
      <c r="AF19" s="2552">
        <f t="shared" si="63"/>
        <v>8.5043756316264734</v>
      </c>
      <c r="AG19" s="2552">
        <f t="shared" si="63"/>
        <v>14745.47</v>
      </c>
      <c r="AH19" s="3652">
        <f t="shared" si="63"/>
        <v>17757.57</v>
      </c>
      <c r="AI19" s="3652">
        <f t="shared" si="63"/>
        <v>17757.57</v>
      </c>
      <c r="AJ19" s="3652">
        <f t="shared" si="63"/>
        <v>17757.57</v>
      </c>
      <c r="AK19" s="3652">
        <f t="shared" si="63"/>
        <v>17757.57</v>
      </c>
      <c r="AL19" s="3652">
        <f t="shared" si="63"/>
        <v>17757.57</v>
      </c>
      <c r="AM19" s="3652">
        <f t="shared" si="63"/>
        <v>14990.669999999998</v>
      </c>
      <c r="AN19" s="3652">
        <f t="shared" si="63"/>
        <v>14990.669999999998</v>
      </c>
      <c r="AO19" s="3652">
        <f t="shared" si="63"/>
        <v>14990.669999999998</v>
      </c>
      <c r="AP19" s="3652">
        <f t="shared" si="63"/>
        <v>14990.669999999998</v>
      </c>
      <c r="AQ19" s="3652">
        <f t="shared" si="63"/>
        <v>14990.669999999998</v>
      </c>
      <c r="AR19" s="3652">
        <f t="shared" si="63"/>
        <v>14990.669999999998</v>
      </c>
      <c r="AS19" s="3652">
        <f t="shared" si="63"/>
        <v>15259.970000000001</v>
      </c>
      <c r="AT19" s="3652">
        <f t="shared" si="63"/>
        <v>15259.970000000001</v>
      </c>
      <c r="AU19" s="3652">
        <f t="shared" si="63"/>
        <v>10801.710000000001</v>
      </c>
      <c r="AV19" s="3652">
        <f t="shared" si="63"/>
        <v>10801.710000000001</v>
      </c>
      <c r="AW19" s="3652">
        <f t="shared" si="63"/>
        <v>0</v>
      </c>
      <c r="AX19" s="3652">
        <f t="shared" si="63"/>
        <v>16014</v>
      </c>
      <c r="AY19" s="3652">
        <f t="shared" si="63"/>
        <v>16014</v>
      </c>
      <c r="AZ19" s="3652">
        <f t="shared" si="63"/>
        <v>0</v>
      </c>
      <c r="BA19" s="3652">
        <f t="shared" si="63"/>
        <v>20822.02</v>
      </c>
      <c r="BB19" s="3652">
        <f t="shared" si="63"/>
        <v>20822.02</v>
      </c>
      <c r="BC19" s="3652">
        <f t="shared" si="63"/>
        <v>0</v>
      </c>
      <c r="BD19" s="3652">
        <f t="shared" si="63"/>
        <v>16853.59</v>
      </c>
      <c r="BE19" s="3652">
        <f t="shared" si="63"/>
        <v>11275.33</v>
      </c>
      <c r="BF19" s="5860"/>
      <c r="BG19" s="5860"/>
      <c r="BH19" s="3660"/>
      <c r="BI19" s="3652">
        <f t="shared" ref="BI19:BS19" si="64">SUM(BI18,BI13)</f>
        <v>10411.0229</v>
      </c>
      <c r="BJ19" s="3652">
        <f t="shared" si="64"/>
        <v>10411.0229</v>
      </c>
      <c r="BK19" s="3652">
        <f t="shared" si="64"/>
        <v>0</v>
      </c>
      <c r="BL19" s="3652">
        <f t="shared" si="64"/>
        <v>15636.57</v>
      </c>
      <c r="BM19" s="3652">
        <f t="shared" si="64"/>
        <v>15636.57</v>
      </c>
      <c r="BN19" s="3652">
        <f t="shared" si="64"/>
        <v>0</v>
      </c>
      <c r="BO19" s="3652">
        <f t="shared" si="64"/>
        <v>20866.2</v>
      </c>
      <c r="BP19" s="3652">
        <f t="shared" si="64"/>
        <v>20866.2</v>
      </c>
      <c r="BQ19" s="3652">
        <f t="shared" si="64"/>
        <v>0</v>
      </c>
      <c r="BR19" s="3944">
        <f t="shared" si="64"/>
        <v>16897.77</v>
      </c>
      <c r="BS19" s="2552">
        <f t="shared" si="64"/>
        <v>16825.88</v>
      </c>
      <c r="BT19" s="3944">
        <f t="shared" ref="BT19:BV19" si="65">SUM(BT18,BT13)</f>
        <v>10100.638999999999</v>
      </c>
      <c r="BU19" s="3944">
        <f t="shared" si="65"/>
        <v>10100.638999999999</v>
      </c>
      <c r="BV19" s="3944">
        <f t="shared" si="65"/>
        <v>0</v>
      </c>
      <c r="BW19" s="3944">
        <f t="shared" ref="BW19:BY19" si="66">SUM(BW18,BW13)</f>
        <v>14957.563</v>
      </c>
      <c r="BX19" s="3944">
        <f t="shared" si="66"/>
        <v>14957.563</v>
      </c>
      <c r="BY19" s="3944">
        <f t="shared" si="66"/>
        <v>0</v>
      </c>
      <c r="BZ19" s="3944">
        <f t="shared" ref="BZ19:CD19" si="67">SUM(BZ18,BZ13)</f>
        <v>19956.903999999999</v>
      </c>
      <c r="CA19" s="3797">
        <f t="shared" si="67"/>
        <v>19956.903999999999</v>
      </c>
      <c r="CB19" s="3797">
        <f t="shared" si="67"/>
        <v>0</v>
      </c>
      <c r="CC19" s="3075">
        <f t="shared" si="67"/>
        <v>17445.10425</v>
      </c>
      <c r="CD19" s="3075">
        <f t="shared" si="67"/>
        <v>15988.474</v>
      </c>
      <c r="CE19" s="4735">
        <f t="shared" ref="CE19" si="68">SUM(CE18,CE13)</f>
        <v>10133.375</v>
      </c>
      <c r="CF19" s="4735">
        <f t="shared" ref="CF19" si="69">SUM(CF18,CF13)</f>
        <v>20097.761999999999</v>
      </c>
    </row>
    <row r="20" spans="1:84" s="5" customFormat="1" x14ac:dyDescent="0.2"/>
    <row r="21" spans="1:84" s="5" customFormat="1" x14ac:dyDescent="0.2"/>
    <row r="22" spans="1:84" s="5" customFormat="1" x14ac:dyDescent="0.2"/>
    <row r="23" spans="1:84" s="5" customFormat="1" ht="18.75" x14ac:dyDescent="0.3">
      <c r="A23" s="3037" t="s">
        <v>4056</v>
      </c>
      <c r="B23" s="3038"/>
      <c r="C23" s="3038"/>
      <c r="D23" s="3038"/>
      <c r="E23" s="3038"/>
      <c r="F23" s="3038"/>
      <c r="G23" s="3038"/>
      <c r="H23" s="3038"/>
      <c r="I23" s="3038"/>
      <c r="J23" s="3038"/>
      <c r="K23" s="3038"/>
      <c r="L23" s="3038"/>
      <c r="M23" s="3038"/>
      <c r="N23" s="3038"/>
      <c r="O23" s="3038"/>
      <c r="P23" s="3038"/>
      <c r="Q23" s="3038"/>
      <c r="R23" s="3038"/>
      <c r="S23" s="3038"/>
      <c r="T23" s="3038"/>
      <c r="U23" s="3038"/>
      <c r="V23" s="3038"/>
      <c r="W23" s="3038"/>
      <c r="X23" s="3038"/>
      <c r="Y23" s="3038"/>
      <c r="Z23" s="3038"/>
      <c r="AA23" s="3038"/>
      <c r="AB23" s="3038"/>
      <c r="AC23" s="3038"/>
      <c r="AD23" s="3038"/>
      <c r="AE23" s="3038"/>
      <c r="AF23" s="3038"/>
      <c r="AG23" s="3038"/>
      <c r="AH23" s="3038"/>
      <c r="AI23" s="3038"/>
      <c r="AJ23" s="3038"/>
      <c r="AK23" s="3038"/>
      <c r="AL23" s="3038"/>
      <c r="AM23" s="3038"/>
      <c r="AN23" s="3038"/>
      <c r="AO23" s="3038"/>
      <c r="AP23" s="3038"/>
      <c r="AQ23" s="3038"/>
      <c r="AR23" s="3038"/>
      <c r="AS23" s="3038"/>
      <c r="AT23" s="3038"/>
      <c r="AU23" s="3038"/>
      <c r="AV23" s="3038"/>
      <c r="AW23" s="3038"/>
      <c r="AX23" s="3038"/>
      <c r="AY23" s="3038"/>
      <c r="AZ23" s="3038"/>
      <c r="BA23" s="3038"/>
      <c r="BB23" s="3038"/>
      <c r="BC23" s="3038"/>
      <c r="BD23" s="3038"/>
      <c r="BE23" s="3038"/>
      <c r="BF23" s="3038"/>
      <c r="BG23" s="3038"/>
    </row>
    <row r="24" spans="1:84" s="5" customFormat="1" x14ac:dyDescent="0.2">
      <c r="G24" s="5142"/>
      <c r="H24" s="5142"/>
      <c r="I24" s="5142"/>
      <c r="J24" s="5142"/>
      <c r="K24" s="5142"/>
      <c r="L24" s="5142"/>
      <c r="M24" s="5142"/>
      <c r="N24" s="5142"/>
      <c r="O24" s="5142"/>
      <c r="P24" s="5142"/>
      <c r="Q24" s="5142"/>
      <c r="R24" s="5142"/>
      <c r="S24" s="5142"/>
    </row>
    <row r="25" spans="1:84" s="1869" customFormat="1" ht="15" hidden="1" x14ac:dyDescent="0.2">
      <c r="A25" s="5859" t="s">
        <v>985</v>
      </c>
      <c r="B25" s="1595"/>
      <c r="C25" s="1595"/>
      <c r="D25" s="1595"/>
      <c r="E25" s="1595"/>
      <c r="F25" s="1595"/>
      <c r="G25" s="5859" t="s">
        <v>986</v>
      </c>
      <c r="H25" s="1595"/>
      <c r="I25" s="1595"/>
      <c r="J25" s="1595"/>
      <c r="K25" s="1595"/>
      <c r="L25" s="1871" t="s">
        <v>345</v>
      </c>
      <c r="M25" s="1595"/>
      <c r="N25" s="1595"/>
      <c r="O25" s="1871" t="s">
        <v>335</v>
      </c>
      <c r="P25" s="1595"/>
      <c r="Q25" s="1595"/>
      <c r="R25" s="1595"/>
      <c r="S25" s="1871" t="s">
        <v>1458</v>
      </c>
      <c r="U25" s="1815"/>
      <c r="Y25" s="1883">
        <f>S13-O13</f>
        <v>746.35000000000127</v>
      </c>
      <c r="Z25" s="1815"/>
      <c r="AA25" s="1815"/>
      <c r="AB25" s="1815"/>
      <c r="AC25" s="1815"/>
      <c r="AD25" s="1815"/>
      <c r="AE25" s="1815"/>
      <c r="AG25" s="2368"/>
      <c r="AS25" s="2368"/>
      <c r="AT25" s="2656"/>
      <c r="AU25" s="2548"/>
      <c r="AV25" s="2548"/>
      <c r="AW25" s="2548"/>
      <c r="AX25" s="2548"/>
      <c r="AY25" s="2548"/>
      <c r="AZ25" s="2548"/>
      <c r="BA25" s="2548"/>
      <c r="BB25" s="2548"/>
      <c r="BC25" s="2548"/>
      <c r="BD25" s="3036"/>
      <c r="BE25" s="3036"/>
      <c r="BG25" s="5858"/>
      <c r="BH25" s="5858"/>
      <c r="BI25" s="1876"/>
      <c r="BJ25" s="1876"/>
      <c r="BK25" s="1876"/>
    </row>
    <row r="26" spans="1:84" s="5" customFormat="1" ht="15" hidden="1" x14ac:dyDescent="0.2">
      <c r="A26" s="5859"/>
      <c r="B26" s="1669"/>
      <c r="C26" s="1669"/>
      <c r="D26" s="1669"/>
      <c r="E26" s="1669"/>
      <c r="F26" s="1669"/>
      <c r="G26" s="5859"/>
      <c r="H26" s="1870"/>
      <c r="I26" s="1870"/>
      <c r="J26" s="1870"/>
      <c r="K26" s="1870"/>
      <c r="L26" s="1871" t="s">
        <v>987</v>
      </c>
      <c r="M26" s="1870"/>
      <c r="N26" s="1870"/>
      <c r="O26" s="1871" t="s">
        <v>987</v>
      </c>
      <c r="P26" s="1870"/>
      <c r="Q26" s="1870"/>
      <c r="R26" s="1870"/>
      <c r="S26" s="1871" t="s">
        <v>987</v>
      </c>
      <c r="U26" s="1668"/>
      <c r="V26" s="1668"/>
      <c r="W26" s="1668"/>
      <c r="X26" s="1668"/>
      <c r="Y26" s="1884">
        <f>S18-O18</f>
        <v>361.57999999999993</v>
      </c>
      <c r="Z26" s="1668"/>
      <c r="BG26" s="5858"/>
      <c r="BH26" s="5858"/>
      <c r="BI26" s="1876"/>
      <c r="BJ26" s="1876"/>
      <c r="BK26" s="1876"/>
    </row>
    <row r="27" spans="1:84" s="5" customFormat="1" ht="25.5" hidden="1" x14ac:dyDescent="0.25">
      <c r="A27" s="1875" t="s">
        <v>1449</v>
      </c>
      <c r="B27" s="1669"/>
      <c r="C27" s="1669"/>
      <c r="D27" s="1669"/>
      <c r="E27" s="1669"/>
      <c r="F27" s="1669"/>
      <c r="G27" s="1873" t="s">
        <v>988</v>
      </c>
      <c r="H27" s="1870"/>
      <c r="I27" s="1870"/>
      <c r="J27" s="1870"/>
      <c r="K27" s="1870"/>
      <c r="L27" s="1874">
        <v>94861.048999999999</v>
      </c>
      <c r="M27" s="1870"/>
      <c r="N27" s="1870"/>
      <c r="O27" s="1874">
        <v>71225.517999999996</v>
      </c>
      <c r="P27" s="1870"/>
      <c r="Q27" s="1870"/>
      <c r="R27" s="1870"/>
      <c r="S27" s="1874">
        <v>3130.4870000000001</v>
      </c>
      <c r="U27" s="1668"/>
      <c r="V27" s="1668"/>
      <c r="W27" s="1668"/>
      <c r="X27" s="1668"/>
      <c r="Y27" s="1668"/>
      <c r="Z27" s="1668"/>
      <c r="BG27" s="1877"/>
      <c r="BH27" s="1878"/>
      <c r="BI27" s="1879"/>
      <c r="BJ27" s="1879"/>
      <c r="BK27" s="1879"/>
      <c r="BO27" s="1815"/>
      <c r="BP27" s="1869"/>
      <c r="BQ27" s="1815"/>
      <c r="BR27" s="1815"/>
    </row>
    <row r="28" spans="1:84" s="5" customFormat="1" ht="15" hidden="1" x14ac:dyDescent="0.25">
      <c r="A28" s="1872" t="s">
        <v>1455</v>
      </c>
      <c r="B28" s="1669"/>
      <c r="C28" s="1669"/>
      <c r="D28" s="1669"/>
      <c r="E28" s="1669"/>
      <c r="F28" s="1669"/>
      <c r="G28" s="1873" t="s">
        <v>988</v>
      </c>
      <c r="H28" s="1870"/>
      <c r="I28" s="1870"/>
      <c r="J28" s="1870"/>
      <c r="K28" s="1870"/>
      <c r="L28" s="1874">
        <f>L27-L30-L31</f>
        <v>644.92696999998589</v>
      </c>
      <c r="M28" s="1874">
        <f t="shared" ref="M28:O28" si="70">M27-M30-M31</f>
        <v>0</v>
      </c>
      <c r="N28" s="1874">
        <f t="shared" si="70"/>
        <v>0</v>
      </c>
      <c r="O28" s="1874">
        <f t="shared" si="70"/>
        <v>-3911.8511299999955</v>
      </c>
      <c r="P28" s="1870"/>
      <c r="Q28" s="1870"/>
      <c r="R28" s="1870"/>
      <c r="S28" s="1874">
        <v>99.817999999999998</v>
      </c>
      <c r="U28" s="1668"/>
      <c r="V28" s="1668"/>
      <c r="W28" s="1668"/>
      <c r="X28" s="1668"/>
      <c r="Y28" s="1668"/>
      <c r="Z28" s="1668"/>
      <c r="BG28" s="1877"/>
      <c r="BH28" s="1878"/>
      <c r="BI28" s="1879"/>
      <c r="BJ28" s="1879"/>
      <c r="BK28" s="1879"/>
      <c r="BO28" s="1668"/>
      <c r="BP28" s="1668"/>
      <c r="BQ28" s="1668"/>
    </row>
    <row r="29" spans="1:84" s="5" customFormat="1" ht="15" hidden="1" x14ac:dyDescent="0.25">
      <c r="A29" s="1872" t="s">
        <v>1656</v>
      </c>
      <c r="B29" s="1669"/>
      <c r="C29" s="1669"/>
      <c r="D29" s="1669"/>
      <c r="E29" s="1669"/>
      <c r="F29" s="1669"/>
      <c r="G29" s="1873" t="s">
        <v>988</v>
      </c>
      <c r="H29" s="1870"/>
      <c r="I29" s="1870"/>
      <c r="J29" s="1870"/>
      <c r="K29" s="1870"/>
      <c r="L29" s="1874">
        <v>0</v>
      </c>
      <c r="M29" s="1870"/>
      <c r="N29" s="1870"/>
      <c r="O29" s="1874">
        <v>0</v>
      </c>
      <c r="P29" s="1870"/>
      <c r="Q29" s="1870"/>
      <c r="R29" s="1870"/>
      <c r="S29" s="1874"/>
      <c r="U29" s="1668"/>
      <c r="V29" s="1668"/>
      <c r="W29" s="1668"/>
      <c r="X29" s="1668"/>
      <c r="Y29" s="1668"/>
      <c r="Z29" s="1668"/>
      <c r="BG29" s="1877"/>
      <c r="BH29" s="1878"/>
      <c r="BI29" s="1879"/>
      <c r="BJ29" s="1879"/>
      <c r="BK29" s="1879"/>
      <c r="BO29" s="1668"/>
      <c r="BP29" s="1668"/>
      <c r="BQ29" s="1668"/>
    </row>
    <row r="30" spans="1:84" s="5" customFormat="1" ht="25.5" hidden="1" x14ac:dyDescent="0.25">
      <c r="A30" s="1875" t="s">
        <v>1457</v>
      </c>
      <c r="B30" s="1669"/>
      <c r="C30" s="1669"/>
      <c r="D30" s="1669"/>
      <c r="E30" s="1669"/>
      <c r="F30" s="1669"/>
      <c r="G30" s="1873" t="s">
        <v>988</v>
      </c>
      <c r="H30" s="1870"/>
      <c r="I30" s="1870"/>
      <c r="J30" s="1870"/>
      <c r="K30" s="1870"/>
      <c r="L30" s="1874">
        <v>8850.2302899999995</v>
      </c>
      <c r="M30" s="1870"/>
      <c r="N30" s="1870"/>
      <c r="O30" s="1874">
        <v>5124.2388899999996</v>
      </c>
      <c r="P30" s="1870"/>
      <c r="Q30" s="1870"/>
      <c r="R30" s="1870"/>
      <c r="S30" s="1874">
        <f>'ОХР '!EM54/3*4</f>
        <v>0</v>
      </c>
      <c r="U30" s="1668"/>
      <c r="V30" s="1668"/>
      <c r="W30" s="1668"/>
      <c r="X30" s="1668"/>
      <c r="Y30" s="1668"/>
      <c r="Z30" s="1668"/>
      <c r="BG30" s="1877"/>
      <c r="BH30" s="1878"/>
      <c r="BI30" s="1879"/>
      <c r="BJ30" s="1879"/>
      <c r="BK30" s="1879"/>
      <c r="BO30" s="1668"/>
      <c r="BP30" s="1668"/>
      <c r="BQ30" s="1668"/>
    </row>
    <row r="31" spans="1:84" s="5" customFormat="1" ht="22.5" hidden="1" customHeight="1" x14ac:dyDescent="0.25">
      <c r="A31" s="1872" t="s">
        <v>989</v>
      </c>
      <c r="B31" s="1669"/>
      <c r="C31" s="1669"/>
      <c r="D31" s="1669"/>
      <c r="E31" s="1669"/>
      <c r="F31" s="1669"/>
      <c r="G31" s="1873" t="s">
        <v>988</v>
      </c>
      <c r="H31" s="1870"/>
      <c r="I31" s="1870"/>
      <c r="J31" s="1870"/>
      <c r="K31" s="1870"/>
      <c r="L31" s="1874">
        <v>85365.891740000006</v>
      </c>
      <c r="M31" s="1870"/>
      <c r="N31" s="1870"/>
      <c r="O31" s="1874">
        <v>70013.130239999999</v>
      </c>
      <c r="P31" s="1870"/>
      <c r="Q31" s="1870"/>
      <c r="R31" s="1870"/>
      <c r="S31" s="1874">
        <f>S27+S28-S30</f>
        <v>3230.3050000000003</v>
      </c>
      <c r="U31" s="1668"/>
      <c r="V31" s="1668"/>
      <c r="W31" s="1668"/>
      <c r="X31" s="1668"/>
      <c r="Y31" s="1668"/>
      <c r="Z31" s="1668"/>
      <c r="BG31" s="1877"/>
      <c r="BH31" s="1878"/>
      <c r="BI31" s="1879"/>
      <c r="BJ31" s="1879"/>
      <c r="BK31" s="1879"/>
      <c r="BO31" s="1668"/>
      <c r="BP31" s="1668"/>
      <c r="BQ31" s="1668"/>
    </row>
    <row r="32" spans="1:84" s="5" customFormat="1" hidden="1" x14ac:dyDescent="0.2">
      <c r="A32" s="1867"/>
      <c r="G32" s="1668"/>
      <c r="H32" s="1668"/>
      <c r="I32" s="1668"/>
      <c r="J32" s="1668"/>
      <c r="K32" s="1668"/>
      <c r="L32" s="1668">
        <f>(L31+L27)/2*2.2%</f>
        <v>1982.49634814</v>
      </c>
      <c r="M32" s="1668">
        <f t="shared" ref="M32:O32" si="71">(M31+M27)/2*2.2%</f>
        <v>0</v>
      </c>
      <c r="N32" s="1668">
        <f t="shared" si="71"/>
        <v>0</v>
      </c>
      <c r="O32" s="1668">
        <f t="shared" si="71"/>
        <v>1553.6251306400002</v>
      </c>
      <c r="P32" s="1668"/>
      <c r="Q32" s="1668"/>
      <c r="R32" s="1668"/>
      <c r="S32" s="1668"/>
      <c r="U32" s="1668"/>
      <c r="V32" s="1668"/>
      <c r="W32" s="1668"/>
      <c r="X32" s="1668"/>
      <c r="Y32" s="1668"/>
      <c r="Z32" s="1668"/>
      <c r="BG32" s="29"/>
      <c r="BH32" s="29"/>
      <c r="BI32" s="29"/>
      <c r="BJ32" s="29"/>
      <c r="BK32" s="29"/>
      <c r="BO32" s="1668"/>
      <c r="BP32" s="1668"/>
      <c r="BQ32" s="1668"/>
    </row>
    <row r="33" spans="1:69" s="5" customFormat="1" hidden="1" x14ac:dyDescent="0.2">
      <c r="G33" s="1668"/>
      <c r="H33" s="1668"/>
      <c r="I33" s="1668"/>
      <c r="J33" s="1668"/>
      <c r="K33" s="1668"/>
      <c r="L33" s="1668"/>
      <c r="M33" s="1668"/>
      <c r="N33" s="1668"/>
      <c r="O33" s="1668"/>
      <c r="P33" s="1668"/>
      <c r="Q33" s="1668"/>
      <c r="R33" s="1668"/>
      <c r="S33" s="1668"/>
      <c r="BG33" s="29"/>
      <c r="BH33" s="29"/>
      <c r="BI33" s="29"/>
      <c r="BJ33" s="29"/>
      <c r="BK33" s="29"/>
      <c r="BO33" s="1668"/>
      <c r="BP33" s="1668"/>
      <c r="BQ33" s="1668"/>
    </row>
    <row r="34" spans="1:69" s="5" customFormat="1" hidden="1" x14ac:dyDescent="0.2">
      <c r="G34" s="1668"/>
      <c r="H34" s="1668"/>
      <c r="I34" s="1668"/>
      <c r="J34" s="1668"/>
      <c r="K34" s="1668"/>
      <c r="L34" s="1668"/>
      <c r="M34" s="1668"/>
      <c r="N34" s="1668"/>
      <c r="O34" s="1668"/>
      <c r="P34" s="1668"/>
      <c r="Q34" s="1668"/>
      <c r="R34" s="1668"/>
      <c r="S34" s="1668"/>
      <c r="BG34" s="29"/>
      <c r="BH34" s="29"/>
      <c r="BI34" s="29"/>
      <c r="BJ34" s="29"/>
      <c r="BK34" s="29"/>
      <c r="BO34" s="1668"/>
      <c r="BP34" s="1668"/>
      <c r="BQ34" s="1668"/>
    </row>
    <row r="35" spans="1:69" s="5" customFormat="1" hidden="1" x14ac:dyDescent="0.2">
      <c r="G35" s="1668"/>
      <c r="H35" s="1668"/>
      <c r="I35" s="1668"/>
      <c r="J35" s="1668"/>
      <c r="K35" s="1668"/>
      <c r="L35" s="1668"/>
      <c r="M35" s="1668"/>
      <c r="N35" s="1668"/>
      <c r="O35" s="1668">
        <f>O27-O31</f>
        <v>1212.3877599999978</v>
      </c>
      <c r="P35" s="1668"/>
      <c r="Q35" s="1668"/>
      <c r="R35" s="1668"/>
      <c r="S35" s="1668"/>
    </row>
    <row r="36" spans="1:69" s="5" customFormat="1" hidden="1" x14ac:dyDescent="0.2">
      <c r="G36" s="1668"/>
      <c r="H36" s="1668"/>
      <c r="I36" s="1668"/>
      <c r="J36" s="1668"/>
      <c r="K36" s="1668"/>
      <c r="L36" s="1668"/>
      <c r="M36" s="1668"/>
      <c r="N36" s="1668"/>
      <c r="O36" s="1668"/>
      <c r="P36" s="1668"/>
      <c r="Q36" s="1668"/>
      <c r="R36" s="1668"/>
      <c r="S36" s="1668"/>
    </row>
    <row r="37" spans="1:69" s="5" customFormat="1" hidden="1" x14ac:dyDescent="0.2"/>
    <row r="38" spans="1:69" s="5" customFormat="1" hidden="1" x14ac:dyDescent="0.2">
      <c r="A38" s="5" t="s">
        <v>1655</v>
      </c>
      <c r="G38" s="1668">
        <v>17901488.870000001</v>
      </c>
      <c r="H38" s="1668"/>
      <c r="I38" s="1668"/>
      <c r="J38" s="1668"/>
      <c r="K38" s="1668"/>
      <c r="L38" s="1668">
        <v>1113993.2</v>
      </c>
      <c r="M38" s="1668"/>
      <c r="N38" s="1668"/>
      <c r="O38" s="1668">
        <v>1820778.51</v>
      </c>
      <c r="P38" s="1668"/>
      <c r="Q38" s="1668"/>
      <c r="R38" s="1668"/>
      <c r="S38" s="1668">
        <f>G38+L38-O38</f>
        <v>17194703.559999999</v>
      </c>
    </row>
    <row r="39" spans="1:69" s="5" customFormat="1" hidden="1" x14ac:dyDescent="0.2">
      <c r="A39" s="5" t="s">
        <v>1657</v>
      </c>
      <c r="G39" s="1668">
        <v>63169982.32</v>
      </c>
      <c r="H39" s="1668"/>
      <c r="I39" s="1668"/>
      <c r="J39" s="1668"/>
      <c r="K39" s="1668"/>
      <c r="L39" s="1668">
        <f>-(104348582.04-102079895.1)</f>
        <v>-2268686.9400000125</v>
      </c>
      <c r="M39" s="1668"/>
      <c r="N39" s="1668"/>
      <c r="O39" s="1668">
        <v>4219837.3600000003</v>
      </c>
      <c r="P39" s="1668"/>
      <c r="Q39" s="1668"/>
      <c r="R39" s="1668"/>
      <c r="S39" s="1668">
        <f>G39+L39-O39</f>
        <v>56681458.019999988</v>
      </c>
    </row>
    <row r="40" spans="1:69" s="5" customFormat="1" hidden="1" x14ac:dyDescent="0.2">
      <c r="A40" s="5" t="s">
        <v>1658</v>
      </c>
      <c r="G40" s="1668">
        <v>13362305.09</v>
      </c>
      <c r="H40" s="1668"/>
      <c r="I40" s="1668"/>
      <c r="J40" s="1668"/>
      <c r="K40" s="1668"/>
      <c r="L40" s="1668">
        <v>564290.65</v>
      </c>
      <c r="M40" s="1668"/>
      <c r="N40" s="1668"/>
      <c r="O40" s="1668">
        <v>2091200</v>
      </c>
      <c r="P40" s="1668"/>
      <c r="Q40" s="1668"/>
      <c r="R40" s="1668"/>
      <c r="S40" s="1668">
        <f>G40+L40-O40</f>
        <v>11835395.74</v>
      </c>
    </row>
    <row r="41" spans="1:69" s="5" customFormat="1" hidden="1" x14ac:dyDescent="0.2">
      <c r="A41" s="5" t="s">
        <v>1659</v>
      </c>
      <c r="G41" s="1668">
        <v>427273.6</v>
      </c>
      <c r="H41" s="1668"/>
      <c r="I41" s="1668"/>
      <c r="J41" s="1668"/>
      <c r="K41" s="1668"/>
      <c r="L41" s="1668">
        <v>0</v>
      </c>
      <c r="M41" s="1668"/>
      <c r="N41" s="1668"/>
      <c r="O41" s="1668">
        <v>132713.32</v>
      </c>
      <c r="P41" s="1668"/>
      <c r="Q41" s="1668"/>
      <c r="R41" s="1668"/>
      <c r="S41" s="1668">
        <f>G41+L41-O41</f>
        <v>294560.27999999997</v>
      </c>
    </row>
    <row r="42" spans="1:69" s="5" customFormat="1" hidden="1" x14ac:dyDescent="0.2">
      <c r="G42" s="1668">
        <f>SUM(G38:G41)</f>
        <v>94861049.879999995</v>
      </c>
      <c r="O42" s="1668">
        <f>SUM(O38:O41)</f>
        <v>8264529.1900000004</v>
      </c>
      <c r="P42" s="1668">
        <f t="shared" ref="P42:S42" si="72">SUM(P38:P41)</f>
        <v>0</v>
      </c>
      <c r="Q42" s="1668">
        <f t="shared" si="72"/>
        <v>0</v>
      </c>
      <c r="R42" s="1668">
        <f t="shared" si="72"/>
        <v>0</v>
      </c>
      <c r="S42" s="1668">
        <f t="shared" si="72"/>
        <v>86006117.599999979</v>
      </c>
      <c r="U42" s="1668">
        <f>(G42+S42)/2*2.2%</f>
        <v>1989538.8422799997</v>
      </c>
    </row>
    <row r="43" spans="1:69" s="5" customFormat="1" hidden="1" x14ac:dyDescent="0.2">
      <c r="O43" s="1668">
        <v>8296680</v>
      </c>
    </row>
    <row r="44" spans="1:69" s="5" customFormat="1" hidden="1" x14ac:dyDescent="0.2">
      <c r="O44" s="1668">
        <f>O42-O43</f>
        <v>-32150.80999999959</v>
      </c>
    </row>
    <row r="45" spans="1:69" s="5" customFormat="1" hidden="1" x14ac:dyDescent="0.2"/>
    <row r="46" spans="1:69" s="5" customFormat="1" hidden="1" x14ac:dyDescent="0.2"/>
    <row r="47" spans="1:69" hidden="1" x14ac:dyDescent="0.2"/>
    <row r="48" spans="1:69" hidden="1" x14ac:dyDescent="0.2"/>
    <row r="49" spans="1:46" hidden="1" x14ac:dyDescent="0.2"/>
    <row r="50" spans="1:46" hidden="1" x14ac:dyDescent="0.2"/>
    <row r="51" spans="1:46" hidden="1" x14ac:dyDescent="0.2"/>
    <row r="52" spans="1:46" hidden="1" x14ac:dyDescent="0.2"/>
    <row r="53" spans="1:46" hidden="1" x14ac:dyDescent="0.2"/>
    <row r="54" spans="1:46" hidden="1" x14ac:dyDescent="0.2"/>
    <row r="55" spans="1:46" hidden="1" x14ac:dyDescent="0.2"/>
    <row r="56" spans="1:46" hidden="1" x14ac:dyDescent="0.2"/>
    <row r="57" spans="1:46" hidden="1" x14ac:dyDescent="0.2"/>
    <row r="58" spans="1:46" hidden="1" x14ac:dyDescent="0.2"/>
    <row r="59" spans="1:46" hidden="1" x14ac:dyDescent="0.2"/>
    <row r="60" spans="1:46" hidden="1" x14ac:dyDescent="0.2"/>
    <row r="61" spans="1:46" s="5" customFormat="1" ht="20.25" customHeight="1" x14ac:dyDescent="0.2">
      <c r="A61" s="5857" t="s">
        <v>1936</v>
      </c>
      <c r="B61" s="5857"/>
      <c r="C61" s="5857"/>
      <c r="D61" s="5857"/>
      <c r="E61" s="5857"/>
      <c r="F61" s="5857"/>
      <c r="G61" s="5857"/>
      <c r="H61" s="5857"/>
      <c r="I61" s="5857"/>
      <c r="J61" s="5857"/>
      <c r="K61" s="5857"/>
      <c r="L61" s="5857"/>
      <c r="M61" s="5857"/>
      <c r="N61" s="5857"/>
      <c r="O61" s="5857"/>
      <c r="P61" s="5857"/>
      <c r="Q61" s="5857"/>
      <c r="R61" s="5857"/>
      <c r="S61" s="5857"/>
      <c r="T61" s="5857"/>
      <c r="U61" s="5857"/>
      <c r="V61" s="5857"/>
      <c r="W61" s="5857"/>
      <c r="X61" s="5857"/>
      <c r="Y61" s="5857"/>
      <c r="Z61" s="5857"/>
      <c r="AA61" s="5857"/>
      <c r="AB61" s="5857"/>
      <c r="AC61" s="5857"/>
      <c r="AT61" s="1668"/>
    </row>
    <row r="62" spans="1:46" s="5" customFormat="1" ht="25.5" x14ac:dyDescent="0.2">
      <c r="A62" s="2168" t="s">
        <v>1945</v>
      </c>
      <c r="B62" s="2207"/>
      <c r="C62" s="2207"/>
      <c r="D62" s="2207"/>
      <c r="E62" s="2207"/>
      <c r="F62" s="2207"/>
      <c r="G62" s="2207"/>
      <c r="H62" s="2207"/>
      <c r="I62" s="2207"/>
      <c r="J62" s="2207"/>
      <c r="K62" s="2207"/>
      <c r="L62" s="2207"/>
      <c r="M62" s="2207"/>
      <c r="N62" s="2207"/>
      <c r="O62" s="2207"/>
      <c r="P62" s="2207"/>
      <c r="Q62" s="2207"/>
      <c r="R62" s="2207"/>
      <c r="S62" s="2207"/>
      <c r="T62" s="2207"/>
      <c r="U62" s="1745">
        <v>132562246.41</v>
      </c>
      <c r="V62" s="2207"/>
      <c r="W62" s="5856" t="s">
        <v>1937</v>
      </c>
      <c r="X62" s="2204" t="s">
        <v>1938</v>
      </c>
      <c r="Y62" s="2207"/>
      <c r="Z62" s="2207"/>
      <c r="AA62" s="5855" t="s">
        <v>1939</v>
      </c>
      <c r="AB62" s="5855"/>
      <c r="AC62" s="1745">
        <v>59463871.259999998</v>
      </c>
    </row>
    <row r="63" spans="1:46" s="5" customFormat="1" ht="38.25" x14ac:dyDescent="0.2">
      <c r="A63" s="2168" t="s">
        <v>1944</v>
      </c>
      <c r="B63" s="2207"/>
      <c r="C63" s="2207"/>
      <c r="D63" s="2207"/>
      <c r="E63" s="2207"/>
      <c r="F63" s="2207"/>
      <c r="G63" s="2207"/>
      <c r="H63" s="2207"/>
      <c r="I63" s="2207"/>
      <c r="J63" s="2207"/>
      <c r="K63" s="2207"/>
      <c r="L63" s="2207"/>
      <c r="M63" s="2207"/>
      <c r="N63" s="2207"/>
      <c r="O63" s="2207"/>
      <c r="P63" s="2207"/>
      <c r="Q63" s="2207"/>
      <c r="R63" s="2207"/>
      <c r="S63" s="2207"/>
      <c r="T63" s="2207"/>
      <c r="U63" s="1851">
        <v>50</v>
      </c>
      <c r="V63" s="2207"/>
      <c r="W63" s="5856"/>
      <c r="X63" s="2204" t="s">
        <v>1940</v>
      </c>
      <c r="Y63" s="2207"/>
      <c r="Z63" s="2207"/>
      <c r="AA63" s="5855" t="s">
        <v>1941</v>
      </c>
      <c r="AB63" s="5855"/>
      <c r="AC63" s="1745">
        <v>71948220.920000002</v>
      </c>
    </row>
    <row r="64" spans="1:46" s="5" customFormat="1" ht="38.25" x14ac:dyDescent="0.2">
      <c r="A64" s="2168" t="s">
        <v>1946</v>
      </c>
      <c r="B64" s="2207"/>
      <c r="C64" s="2207"/>
      <c r="D64" s="2207"/>
      <c r="E64" s="2207"/>
      <c r="F64" s="2207"/>
      <c r="G64" s="2207"/>
      <c r="H64" s="2207"/>
      <c r="I64" s="2207"/>
      <c r="J64" s="2207"/>
      <c r="K64" s="2207"/>
      <c r="L64" s="2207"/>
      <c r="M64" s="2207"/>
      <c r="N64" s="2207"/>
      <c r="O64" s="2207"/>
      <c r="P64" s="2207"/>
      <c r="Q64" s="2207"/>
      <c r="R64" s="2207"/>
      <c r="S64" s="2207"/>
      <c r="T64" s="2207"/>
      <c r="U64" s="1745">
        <f>U62/U63</f>
        <v>2651244.9282</v>
      </c>
      <c r="V64" s="2207"/>
      <c r="W64" s="5856"/>
      <c r="X64" s="2204" t="s">
        <v>1942</v>
      </c>
      <c r="Y64" s="2207"/>
      <c r="Z64" s="2207"/>
      <c r="AA64" s="5855" t="s">
        <v>1943</v>
      </c>
      <c r="AB64" s="5855"/>
      <c r="AC64" s="1745">
        <v>1150154.23</v>
      </c>
    </row>
    <row r="65" spans="1:29" s="5" customFormat="1" x14ac:dyDescent="0.2">
      <c r="A65" s="2168"/>
      <c r="B65" s="2207"/>
      <c r="C65" s="2207"/>
      <c r="D65" s="2207"/>
      <c r="E65" s="2207"/>
      <c r="F65" s="2207"/>
      <c r="G65" s="2207"/>
      <c r="H65" s="2207"/>
      <c r="I65" s="2207"/>
      <c r="J65" s="2207"/>
      <c r="K65" s="2207"/>
      <c r="L65" s="2207"/>
      <c r="M65" s="2207"/>
      <c r="N65" s="2207"/>
      <c r="O65" s="2207"/>
      <c r="P65" s="2207"/>
      <c r="Q65" s="2207"/>
      <c r="R65" s="2207"/>
      <c r="S65" s="2207"/>
      <c r="T65" s="2207"/>
      <c r="U65" s="1751"/>
      <c r="V65" s="2207"/>
      <c r="W65" s="2207"/>
      <c r="X65" s="2207"/>
      <c r="Y65" s="2207"/>
      <c r="Z65" s="2207"/>
      <c r="AA65" s="2207"/>
      <c r="AB65" s="2207"/>
      <c r="AC65" s="1745">
        <f>SUM(AC62:AC64)</f>
        <v>132562246.41000001</v>
      </c>
    </row>
    <row r="66" spans="1:29" s="5" customFormat="1" x14ac:dyDescent="0.2">
      <c r="A66" s="371"/>
    </row>
    <row r="67" spans="1:29" s="5" customFormat="1" x14ac:dyDescent="0.2">
      <c r="A67" s="371"/>
    </row>
    <row r="68" spans="1:29" s="5" customFormat="1" x14ac:dyDescent="0.2">
      <c r="A68" s="1920" t="s">
        <v>1994</v>
      </c>
    </row>
    <row r="69" spans="1:29" s="5" customFormat="1" x14ac:dyDescent="0.2">
      <c r="A69" s="5" t="s">
        <v>1933</v>
      </c>
      <c r="U69" s="1668"/>
    </row>
    <row r="70" spans="1:29" s="5" customFormat="1" x14ac:dyDescent="0.2">
      <c r="A70" s="1669" t="s">
        <v>1995</v>
      </c>
      <c r="B70" s="1669"/>
      <c r="C70" s="1669"/>
      <c r="D70" s="1669"/>
      <c r="E70" s="1669"/>
      <c r="F70" s="1669"/>
      <c r="G70" s="1669"/>
      <c r="H70" s="1669"/>
      <c r="I70" s="1669"/>
      <c r="J70" s="1669"/>
      <c r="K70" s="1669"/>
      <c r="L70" s="1669"/>
      <c r="M70" s="1669"/>
      <c r="N70" s="1669"/>
      <c r="O70" s="1669"/>
      <c r="P70" s="1669"/>
      <c r="Q70" s="1669"/>
      <c r="R70" s="1669"/>
      <c r="S70" s="1669"/>
      <c r="T70" s="1669"/>
      <c r="U70" s="1870">
        <f>U62</f>
        <v>132562246.41</v>
      </c>
    </row>
    <row r="71" spans="1:29" s="5" customFormat="1" x14ac:dyDescent="0.2">
      <c r="A71" s="1669" t="s">
        <v>1996</v>
      </c>
      <c r="B71" s="1669"/>
      <c r="C71" s="1669"/>
      <c r="D71" s="1669"/>
      <c r="E71" s="1669"/>
      <c r="F71" s="1669"/>
      <c r="G71" s="1669"/>
      <c r="H71" s="1669"/>
      <c r="I71" s="1669"/>
      <c r="J71" s="1669"/>
      <c r="K71" s="1669"/>
      <c r="L71" s="1669"/>
      <c r="M71" s="1669"/>
      <c r="N71" s="1669"/>
      <c r="O71" s="1669"/>
      <c r="P71" s="1669"/>
      <c r="Q71" s="1669"/>
      <c r="R71" s="1669"/>
      <c r="S71" s="1669"/>
      <c r="T71" s="1669"/>
      <c r="U71" s="1870">
        <f>U70</f>
        <v>132562246.41</v>
      </c>
    </row>
    <row r="72" spans="1:29" s="5" customFormat="1" x14ac:dyDescent="0.2">
      <c r="A72" s="1603" t="s">
        <v>1997</v>
      </c>
      <c r="B72" s="1669"/>
      <c r="C72" s="1669"/>
      <c r="D72" s="1669"/>
      <c r="E72" s="1669"/>
      <c r="F72" s="1669"/>
      <c r="G72" s="1669"/>
      <c r="H72" s="1669"/>
      <c r="I72" s="1669"/>
      <c r="J72" s="1669"/>
      <c r="K72" s="1669"/>
      <c r="L72" s="1669"/>
      <c r="M72" s="1669"/>
      <c r="N72" s="1669"/>
      <c r="O72" s="1669"/>
      <c r="P72" s="1669"/>
      <c r="Q72" s="1669"/>
      <c r="R72" s="1669"/>
      <c r="S72" s="1669"/>
      <c r="T72" s="1669"/>
      <c r="U72" s="1870">
        <f>U64</f>
        <v>2651244.9282</v>
      </c>
    </row>
    <row r="73" spans="1:29" s="5" customFormat="1" x14ac:dyDescent="0.2">
      <c r="A73" s="1603" t="s">
        <v>1998</v>
      </c>
      <c r="B73" s="1669"/>
      <c r="C73" s="1669"/>
      <c r="D73" s="1669"/>
      <c r="E73" s="1669"/>
      <c r="F73" s="1669"/>
      <c r="G73" s="1669"/>
      <c r="H73" s="1669"/>
      <c r="I73" s="1669"/>
      <c r="J73" s="1669"/>
      <c r="K73" s="1669"/>
      <c r="L73" s="1669"/>
      <c r="M73" s="1669"/>
      <c r="N73" s="1669"/>
      <c r="O73" s="1669"/>
      <c r="P73" s="1669"/>
      <c r="Q73" s="1669"/>
      <c r="R73" s="1669"/>
      <c r="S73" s="1669"/>
      <c r="T73" s="1669"/>
      <c r="U73" s="1870">
        <f>U71-U72</f>
        <v>129911001.48179999</v>
      </c>
    </row>
    <row r="74" spans="1:29" s="5" customFormat="1" x14ac:dyDescent="0.2">
      <c r="A74" s="1603" t="s">
        <v>1999</v>
      </c>
      <c r="B74" s="1669"/>
      <c r="C74" s="1669"/>
      <c r="D74" s="1669"/>
      <c r="E74" s="1669"/>
      <c r="F74" s="1669"/>
      <c r="G74" s="1669"/>
      <c r="H74" s="1669"/>
      <c r="I74" s="1669"/>
      <c r="J74" s="1669"/>
      <c r="K74" s="1669"/>
      <c r="L74" s="1669"/>
      <c r="M74" s="1669"/>
      <c r="N74" s="1669"/>
      <c r="O74" s="1669"/>
      <c r="P74" s="1669"/>
      <c r="Q74" s="1669"/>
      <c r="R74" s="1669"/>
      <c r="S74" s="1669"/>
      <c r="T74" s="1669"/>
      <c r="U74" s="1870">
        <f>U64</f>
        <v>2651244.9282</v>
      </c>
    </row>
    <row r="75" spans="1:29" s="5" customFormat="1" x14ac:dyDescent="0.2">
      <c r="A75" s="1603" t="s">
        <v>2000</v>
      </c>
      <c r="B75" s="1669"/>
      <c r="C75" s="1669"/>
      <c r="D75" s="1669"/>
      <c r="E75" s="1669"/>
      <c r="F75" s="1669"/>
      <c r="G75" s="1669"/>
      <c r="H75" s="1669"/>
      <c r="I75" s="1669"/>
      <c r="J75" s="1669"/>
      <c r="K75" s="1669"/>
      <c r="L75" s="1669"/>
      <c r="M75" s="1669"/>
      <c r="N75" s="1669"/>
      <c r="O75" s="1669"/>
      <c r="P75" s="1669"/>
      <c r="Q75" s="1669"/>
      <c r="R75" s="1669"/>
      <c r="S75" s="1669"/>
      <c r="T75" s="1669"/>
      <c r="U75" s="1870">
        <f>U73-U74</f>
        <v>127259756.55359998</v>
      </c>
    </row>
    <row r="76" spans="1:29" s="5" customFormat="1" x14ac:dyDescent="0.2">
      <c r="A76" s="1603" t="s">
        <v>2001</v>
      </c>
      <c r="B76" s="1669"/>
      <c r="C76" s="1669"/>
      <c r="D76" s="1669"/>
      <c r="E76" s="1669"/>
      <c r="F76" s="1669"/>
      <c r="G76" s="1669"/>
      <c r="H76" s="1669"/>
      <c r="I76" s="1669"/>
      <c r="J76" s="1669"/>
      <c r="K76" s="1669"/>
      <c r="L76" s="1669"/>
      <c r="M76" s="1669"/>
      <c r="N76" s="1669"/>
      <c r="O76" s="1669"/>
      <c r="P76" s="1669"/>
      <c r="Q76" s="1669"/>
      <c r="R76" s="1669"/>
      <c r="S76" s="1669"/>
      <c r="T76" s="1669"/>
      <c r="U76" s="1870">
        <f>U64</f>
        <v>2651244.9282</v>
      </c>
    </row>
    <row r="77" spans="1:29" s="5" customFormat="1" x14ac:dyDescent="0.2">
      <c r="A77" s="1603" t="s">
        <v>2002</v>
      </c>
      <c r="B77" s="1669"/>
      <c r="C77" s="1669"/>
      <c r="D77" s="1669"/>
      <c r="E77" s="1669"/>
      <c r="F77" s="1669"/>
      <c r="G77" s="1669"/>
      <c r="H77" s="1669"/>
      <c r="I77" s="1669"/>
      <c r="J77" s="1669"/>
      <c r="K77" s="1669"/>
      <c r="L77" s="1669"/>
      <c r="M77" s="1669"/>
      <c r="N77" s="1669"/>
      <c r="O77" s="1669"/>
      <c r="P77" s="1669"/>
      <c r="Q77" s="1669"/>
      <c r="R77" s="1669"/>
      <c r="S77" s="1669"/>
      <c r="T77" s="1669"/>
      <c r="U77" s="1870">
        <f>U75-U76</f>
        <v>124608511.62539998</v>
      </c>
    </row>
    <row r="78" spans="1:29" s="5" customFormat="1" x14ac:dyDescent="0.2">
      <c r="A78" s="1603" t="s">
        <v>2003</v>
      </c>
      <c r="B78" s="1669"/>
      <c r="C78" s="1669"/>
      <c r="D78" s="1669"/>
      <c r="E78" s="1669"/>
      <c r="F78" s="1669"/>
      <c r="G78" s="1669"/>
      <c r="H78" s="1669"/>
      <c r="I78" s="1669"/>
      <c r="J78" s="1669"/>
      <c r="K78" s="1669"/>
      <c r="L78" s="1669"/>
      <c r="M78" s="1669"/>
      <c r="N78" s="1669"/>
      <c r="O78" s="1669"/>
      <c r="P78" s="1669"/>
      <c r="Q78" s="1669"/>
      <c r="R78" s="1669"/>
      <c r="S78" s="1669"/>
      <c r="T78" s="1669"/>
      <c r="U78" s="1870">
        <f>U64</f>
        <v>2651244.9282</v>
      </c>
    </row>
    <row r="79" spans="1:29" s="5" customFormat="1" x14ac:dyDescent="0.2">
      <c r="A79" s="1603" t="s">
        <v>2004</v>
      </c>
      <c r="B79" s="1669"/>
      <c r="C79" s="1669"/>
      <c r="D79" s="1669"/>
      <c r="E79" s="1669"/>
      <c r="F79" s="1669"/>
      <c r="G79" s="1669"/>
      <c r="H79" s="1669"/>
      <c r="I79" s="1669"/>
      <c r="J79" s="1669"/>
      <c r="K79" s="1669"/>
      <c r="L79" s="1669"/>
      <c r="M79" s="1669"/>
      <c r="N79" s="1669"/>
      <c r="O79" s="1669"/>
      <c r="P79" s="1669"/>
      <c r="Q79" s="1669"/>
      <c r="R79" s="1669"/>
      <c r="S79" s="1669"/>
      <c r="T79" s="1669"/>
      <c r="U79" s="1870">
        <f>U77-U78</f>
        <v>121957266.69719997</v>
      </c>
    </row>
    <row r="80" spans="1:29" s="5" customFormat="1" x14ac:dyDescent="0.2">
      <c r="A80" s="1603" t="s">
        <v>2005</v>
      </c>
      <c r="B80" s="1669"/>
      <c r="C80" s="1669"/>
      <c r="D80" s="1669"/>
      <c r="E80" s="1669"/>
      <c r="F80" s="1669"/>
      <c r="G80" s="1669"/>
      <c r="H80" s="1669"/>
      <c r="I80" s="1669"/>
      <c r="J80" s="1669"/>
      <c r="K80" s="1669"/>
      <c r="L80" s="1669"/>
      <c r="M80" s="1669"/>
      <c r="N80" s="1669"/>
      <c r="O80" s="1669"/>
      <c r="P80" s="1669"/>
      <c r="Q80" s="1669"/>
      <c r="R80" s="1669"/>
      <c r="S80" s="1669"/>
      <c r="T80" s="1669"/>
      <c r="U80" s="1870">
        <f>U64</f>
        <v>2651244.9282</v>
      </c>
    </row>
    <row r="81" spans="1:57" s="5" customFormat="1" x14ac:dyDescent="0.2">
      <c r="A81" s="1603" t="s">
        <v>2006</v>
      </c>
      <c r="B81" s="1669"/>
      <c r="C81" s="1669"/>
      <c r="D81" s="1669"/>
      <c r="E81" s="1669"/>
      <c r="F81" s="1669"/>
      <c r="G81" s="1669"/>
      <c r="H81" s="1669"/>
      <c r="I81" s="1669"/>
      <c r="J81" s="1669"/>
      <c r="K81" s="1669"/>
      <c r="L81" s="1669"/>
      <c r="M81" s="1669"/>
      <c r="N81" s="1669"/>
      <c r="O81" s="1669"/>
      <c r="P81" s="1669"/>
      <c r="Q81" s="1669"/>
      <c r="R81" s="1669"/>
      <c r="S81" s="1669"/>
      <c r="T81" s="1669"/>
      <c r="U81" s="1870">
        <f>U79-U80</f>
        <v>119306021.76899996</v>
      </c>
    </row>
    <row r="82" spans="1:57" s="5" customFormat="1" x14ac:dyDescent="0.2">
      <c r="A82" s="1603" t="s">
        <v>2007</v>
      </c>
      <c r="B82" s="1669"/>
      <c r="C82" s="1669"/>
      <c r="D82" s="1669"/>
      <c r="E82" s="1669"/>
      <c r="F82" s="1669"/>
      <c r="G82" s="1669"/>
      <c r="H82" s="1669"/>
      <c r="I82" s="1669"/>
      <c r="J82" s="1669"/>
      <c r="K82" s="1669"/>
      <c r="L82" s="1669"/>
      <c r="M82" s="1669"/>
      <c r="N82" s="1669"/>
      <c r="O82" s="1669"/>
      <c r="P82" s="1669"/>
      <c r="Q82" s="1669"/>
      <c r="R82" s="1669"/>
      <c r="S82" s="1669"/>
      <c r="T82" s="1669"/>
      <c r="U82" s="1870">
        <f>U64</f>
        <v>2651244.9282</v>
      </c>
    </row>
    <row r="83" spans="1:57" s="5" customFormat="1" x14ac:dyDescent="0.2">
      <c r="A83" s="1603" t="s">
        <v>2008</v>
      </c>
      <c r="B83" s="1669"/>
      <c r="C83" s="1669"/>
      <c r="D83" s="1669"/>
      <c r="E83" s="1669"/>
      <c r="F83" s="1669"/>
      <c r="G83" s="1669"/>
      <c r="H83" s="1669"/>
      <c r="I83" s="1669"/>
      <c r="J83" s="1669"/>
      <c r="K83" s="1669"/>
      <c r="L83" s="1669"/>
      <c r="M83" s="1669"/>
      <c r="N83" s="1669"/>
      <c r="O83" s="1669"/>
      <c r="P83" s="1669"/>
      <c r="Q83" s="1669"/>
      <c r="R83" s="1669"/>
      <c r="S83" s="1669"/>
      <c r="T83" s="1669"/>
      <c r="U83" s="1870">
        <f>U81-U82</f>
        <v>116654776.84079996</v>
      </c>
    </row>
    <row r="84" spans="1:57" s="1869" customFormat="1" x14ac:dyDescent="0.2">
      <c r="A84" s="1595"/>
      <c r="B84" s="1595"/>
      <c r="C84" s="1595"/>
      <c r="D84" s="1595"/>
      <c r="E84" s="1595"/>
      <c r="F84" s="1595"/>
      <c r="G84" s="1595"/>
      <c r="H84" s="1595"/>
      <c r="I84" s="1595"/>
      <c r="J84" s="1595"/>
      <c r="K84" s="1595"/>
      <c r="L84" s="1595"/>
      <c r="M84" s="1595"/>
      <c r="N84" s="1595"/>
      <c r="O84" s="1595"/>
      <c r="P84" s="1595"/>
      <c r="Q84" s="1595"/>
      <c r="R84" s="1595"/>
      <c r="S84" s="1595"/>
      <c r="T84" s="1595"/>
      <c r="U84" s="1595" t="s">
        <v>1799</v>
      </c>
      <c r="V84" s="1595" t="s">
        <v>1805</v>
      </c>
      <c r="W84" s="1595" t="s">
        <v>1805</v>
      </c>
      <c r="X84" s="1595" t="s">
        <v>1806</v>
      </c>
      <c r="Y84" s="1595" t="s">
        <v>1807</v>
      </c>
      <c r="Z84" s="1595" t="s">
        <v>1808</v>
      </c>
      <c r="AA84" s="1595" t="s">
        <v>1807</v>
      </c>
      <c r="AB84" s="1595" t="s">
        <v>1808</v>
      </c>
      <c r="AC84" s="1595" t="s">
        <v>1809</v>
      </c>
      <c r="AG84" s="2368"/>
      <c r="AS84" s="2368"/>
      <c r="AT84" s="2656"/>
      <c r="AU84" s="2548"/>
      <c r="AV84" s="2548"/>
      <c r="AW84" s="2548"/>
      <c r="AX84" s="2548"/>
      <c r="AY84" s="2548"/>
      <c r="AZ84" s="2548"/>
      <c r="BA84" s="2548"/>
      <c r="BB84" s="2548"/>
      <c r="BC84" s="2548"/>
      <c r="BD84" s="3036"/>
      <c r="BE84" s="3036"/>
    </row>
    <row r="85" spans="1:57" x14ac:dyDescent="0.2">
      <c r="A85" s="1603" t="s">
        <v>2009</v>
      </c>
      <c r="B85" s="2086"/>
      <c r="C85" s="2086"/>
      <c r="D85" s="2086"/>
      <c r="E85" s="2086"/>
      <c r="F85" s="2086"/>
      <c r="G85" s="2086"/>
      <c r="H85" s="2086"/>
      <c r="I85" s="2086"/>
      <c r="J85" s="2086"/>
      <c r="K85" s="2086"/>
      <c r="L85" s="2086"/>
      <c r="M85" s="2086"/>
      <c r="N85" s="2086"/>
      <c r="O85" s="2086"/>
      <c r="P85" s="2086"/>
      <c r="Q85" s="2086"/>
      <c r="R85" s="2086"/>
      <c r="S85" s="2086"/>
      <c r="T85" s="2086"/>
      <c r="U85" s="1870">
        <f>(U71+U73)/2</f>
        <v>131236623.94589999</v>
      </c>
      <c r="V85" s="1870"/>
      <c r="W85" s="1870">
        <f>(U73+U75)/2</f>
        <v>128585379.01769999</v>
      </c>
      <c r="X85" s="1870">
        <f>(U75+U77)/2</f>
        <v>125934134.08949998</v>
      </c>
      <c r="Y85" s="1870"/>
      <c r="Z85" s="1870"/>
      <c r="AA85" s="1870">
        <f>(U77+U79)/2</f>
        <v>123282889.16129997</v>
      </c>
      <c r="AB85" s="1870">
        <f>(U79+U81)/2</f>
        <v>120631644.23309997</v>
      </c>
      <c r="AC85" s="1870">
        <f>(U81+U83)/2</f>
        <v>117980399.30489996</v>
      </c>
      <c r="AD85" s="1668"/>
      <c r="AE85" s="1668"/>
    </row>
    <row r="86" spans="1:57" s="5" customFormat="1" x14ac:dyDescent="0.2">
      <c r="A86" s="1669" t="s">
        <v>992</v>
      </c>
      <c r="B86" s="1669"/>
      <c r="C86" s="1669"/>
      <c r="D86" s="1669"/>
      <c r="E86" s="1669"/>
      <c r="F86" s="1669"/>
      <c r="G86" s="1669"/>
      <c r="H86" s="1669"/>
      <c r="I86" s="1669"/>
      <c r="J86" s="1669"/>
      <c r="K86" s="1669"/>
      <c r="L86" s="1669"/>
      <c r="M86" s="1669"/>
      <c r="N86" s="1669"/>
      <c r="O86" s="1669"/>
      <c r="P86" s="1669"/>
      <c r="Q86" s="1669"/>
      <c r="R86" s="1669"/>
      <c r="S86" s="1669"/>
      <c r="T86" s="1669"/>
      <c r="U86" s="1870">
        <v>2.2000000000000002</v>
      </c>
      <c r="V86" s="1870"/>
      <c r="W86" s="1870">
        <v>2.2000000000000002</v>
      </c>
      <c r="X86" s="1870">
        <v>2.2000000000000002</v>
      </c>
      <c r="Y86" s="1870"/>
      <c r="Z86" s="1870"/>
      <c r="AA86" s="1870">
        <v>2.2000000000000002</v>
      </c>
      <c r="AB86" s="1870">
        <v>2.2000000000000002</v>
      </c>
      <c r="AC86" s="1870">
        <v>2.2000000000000002</v>
      </c>
      <c r="AD86" s="1668"/>
      <c r="AE86" s="1668"/>
    </row>
    <row r="87" spans="1:57" s="5" customFormat="1" x14ac:dyDescent="0.2">
      <c r="A87" s="1669" t="s">
        <v>524</v>
      </c>
      <c r="B87" s="1669"/>
      <c r="C87" s="1669"/>
      <c r="D87" s="1669"/>
      <c r="E87" s="1669"/>
      <c r="F87" s="1669"/>
      <c r="G87" s="1669"/>
      <c r="H87" s="1669"/>
      <c r="I87" s="1669"/>
      <c r="J87" s="1669"/>
      <c r="K87" s="1669"/>
      <c r="L87" s="1669"/>
      <c r="M87" s="1669"/>
      <c r="N87" s="1669"/>
      <c r="O87" s="1669"/>
      <c r="P87" s="1669"/>
      <c r="Q87" s="1669"/>
      <c r="R87" s="1669"/>
      <c r="S87" s="1669"/>
      <c r="T87" s="1669"/>
      <c r="U87" s="1870">
        <f>U85*U86/100</f>
        <v>2887205.7268098001</v>
      </c>
      <c r="V87" s="1870">
        <f t="shared" ref="V87:AD87" si="73">V85*V86/100</f>
        <v>0</v>
      </c>
      <c r="W87" s="1870">
        <f t="shared" si="73"/>
        <v>2828878.3383893995</v>
      </c>
      <c r="X87" s="1870">
        <f t="shared" si="73"/>
        <v>2770550.9499689997</v>
      </c>
      <c r="Y87" s="1870">
        <f t="shared" si="73"/>
        <v>0</v>
      </c>
      <c r="Z87" s="1870">
        <f t="shared" si="73"/>
        <v>0</v>
      </c>
      <c r="AA87" s="1870">
        <f t="shared" si="73"/>
        <v>2712223.5615485995</v>
      </c>
      <c r="AB87" s="1870">
        <f t="shared" si="73"/>
        <v>2653896.1731281998</v>
      </c>
      <c r="AC87" s="1870">
        <f t="shared" si="73"/>
        <v>2595568.7847077991</v>
      </c>
      <c r="AD87" s="1870">
        <f t="shared" si="73"/>
        <v>0</v>
      </c>
      <c r="AE87" s="1668"/>
    </row>
    <row r="88" spans="1:57" s="5" customFormat="1" x14ac:dyDescent="0.2">
      <c r="U88" s="1668"/>
      <c r="V88" s="1668"/>
      <c r="W88" s="1668"/>
      <c r="X88" s="1668"/>
      <c r="Y88" s="1668"/>
      <c r="Z88" s="1668"/>
      <c r="AA88" s="1668"/>
      <c r="AB88" s="1668"/>
      <c r="AC88" s="1668"/>
      <c r="AD88" s="1668"/>
      <c r="AE88" s="1668"/>
    </row>
    <row r="89" spans="1:57" s="5" customFormat="1" x14ac:dyDescent="0.2">
      <c r="U89" s="1668"/>
      <c r="V89" s="1668"/>
      <c r="W89" s="1668"/>
      <c r="X89" s="1668"/>
      <c r="Y89" s="1668"/>
      <c r="Z89" s="1668"/>
      <c r="AA89" s="1668"/>
      <c r="AB89" s="1668"/>
      <c r="AC89" s="1668"/>
      <c r="AD89" s="1668"/>
      <c r="AE89" s="1668"/>
    </row>
    <row r="90" spans="1:57" s="5" customFormat="1" x14ac:dyDescent="0.2">
      <c r="U90" s="1668"/>
      <c r="V90" s="1668"/>
      <c r="W90" s="1668"/>
      <c r="X90" s="1668"/>
      <c r="Y90" s="1668"/>
      <c r="Z90" s="1668"/>
      <c r="AA90" s="1668"/>
      <c r="AB90" s="1668"/>
      <c r="AC90" s="1668"/>
      <c r="AD90" s="1668"/>
      <c r="AE90" s="1668"/>
    </row>
    <row r="91" spans="1:57" s="5" customFormat="1" x14ac:dyDescent="0.2">
      <c r="U91" s="1668"/>
      <c r="V91" s="1668"/>
      <c r="W91" s="1668"/>
      <c r="X91" s="1668"/>
      <c r="Y91" s="1668"/>
      <c r="Z91" s="1668"/>
      <c r="AA91" s="1668"/>
      <c r="AB91" s="1668"/>
      <c r="AC91" s="1668"/>
      <c r="AD91" s="1668"/>
      <c r="AE91" s="1668"/>
    </row>
    <row r="92" spans="1:57" s="5" customFormat="1" x14ac:dyDescent="0.2">
      <c r="U92" s="1668"/>
      <c r="V92" s="1668"/>
      <c r="W92" s="1668"/>
      <c r="X92" s="1668"/>
      <c r="Y92" s="1668"/>
      <c r="Z92" s="1668"/>
      <c r="AA92" s="1668"/>
      <c r="AB92" s="1668"/>
      <c r="AC92" s="1668"/>
      <c r="AD92" s="1668"/>
      <c r="AE92" s="1668"/>
    </row>
    <row r="93" spans="1:57" s="5" customFormat="1" x14ac:dyDescent="0.2">
      <c r="U93" s="1668"/>
      <c r="V93" s="1668"/>
      <c r="W93" s="1668"/>
      <c r="X93" s="1668"/>
      <c r="Y93" s="1668"/>
      <c r="Z93" s="1668"/>
      <c r="AA93" s="1668"/>
      <c r="AB93" s="1668"/>
      <c r="AC93" s="1668"/>
      <c r="AD93" s="1668"/>
      <c r="AE93" s="1668"/>
    </row>
  </sheetData>
  <mergeCells count="96">
    <mergeCell ref="CE4:CE6"/>
    <mergeCell ref="CF4:CF6"/>
    <mergeCell ref="N5:N6"/>
    <mergeCell ref="O5:O6"/>
    <mergeCell ref="P5:P6"/>
    <mergeCell ref="Q5:Q6"/>
    <mergeCell ref="R5:R6"/>
    <mergeCell ref="BZ4:CB4"/>
    <mergeCell ref="BZ5:BZ6"/>
    <mergeCell ref="CA5:CB5"/>
    <mergeCell ref="BT4:BV4"/>
    <mergeCell ref="BT5:BT6"/>
    <mergeCell ref="BU5:BV5"/>
    <mergeCell ref="BW4:BY4"/>
    <mergeCell ref="BW5:BW6"/>
    <mergeCell ref="BX5:BY5"/>
    <mergeCell ref="BF19:BG19"/>
    <mergeCell ref="BF8:BG8"/>
    <mergeCell ref="T5:T6"/>
    <mergeCell ref="BF4:BG6"/>
    <mergeCell ref="BF7:BG7"/>
    <mergeCell ref="U5:U6"/>
    <mergeCell ref="BF18:BG18"/>
    <mergeCell ref="BF10:BG10"/>
    <mergeCell ref="BF13:BG13"/>
    <mergeCell ref="BF14:BG14"/>
    <mergeCell ref="BF15:BG15"/>
    <mergeCell ref="BF16:BG16"/>
    <mergeCell ref="BF17:BG17"/>
    <mergeCell ref="BF11:BG11"/>
    <mergeCell ref="BF9:BG9"/>
    <mergeCell ref="AA4:AC4"/>
    <mergeCell ref="BH25:BH26"/>
    <mergeCell ref="G25:G26"/>
    <mergeCell ref="AA62:AB62"/>
    <mergeCell ref="A25:A26"/>
    <mergeCell ref="G24:S24"/>
    <mergeCell ref="BG25:BG26"/>
    <mergeCell ref="W5:W6"/>
    <mergeCell ref="M5:M6"/>
    <mergeCell ref="AA63:AB63"/>
    <mergeCell ref="AA64:AB64"/>
    <mergeCell ref="W62:W64"/>
    <mergeCell ref="A61:AC61"/>
    <mergeCell ref="A4:A6"/>
    <mergeCell ref="E5:E6"/>
    <mergeCell ref="G5:G6"/>
    <mergeCell ref="I5:I6"/>
    <mergeCell ref="H5:H6"/>
    <mergeCell ref="T4:Y4"/>
    <mergeCell ref="AC5:AC6"/>
    <mergeCell ref="AB5:AB6"/>
    <mergeCell ref="L5:L6"/>
    <mergeCell ref="M4:S4"/>
    <mergeCell ref="BA4:BC4"/>
    <mergeCell ref="BA5:BA6"/>
    <mergeCell ref="BB5:BC5"/>
    <mergeCell ref="AT5:AT6"/>
    <mergeCell ref="AS4:AT4"/>
    <mergeCell ref="AV5:AW5"/>
    <mergeCell ref="AX4:AZ4"/>
    <mergeCell ref="AX5:AX6"/>
    <mergeCell ref="AY5:AZ5"/>
    <mergeCell ref="AU5:AU6"/>
    <mergeCell ref="BL5:BL6"/>
    <mergeCell ref="BO5:BO6"/>
    <mergeCell ref="X5:X6"/>
    <mergeCell ref="BI4:BK4"/>
    <mergeCell ref="BL4:BN4"/>
    <mergeCell ref="BO4:BQ4"/>
    <mergeCell ref="BP5:BQ5"/>
    <mergeCell ref="AA5:AA6"/>
    <mergeCell ref="BD4:BE4"/>
    <mergeCell ref="BD5:BD6"/>
    <mergeCell ref="BE5:BE6"/>
    <mergeCell ref="AE4:AG4"/>
    <mergeCell ref="AE5:AE6"/>
    <mergeCell ref="BM5:BN5"/>
    <mergeCell ref="AH5:AL6"/>
    <mergeCell ref="AU4:AW4"/>
    <mergeCell ref="CC4:CD4"/>
    <mergeCell ref="CC5:CC6"/>
    <mergeCell ref="CD5:CD6"/>
    <mergeCell ref="A1:CD1"/>
    <mergeCell ref="A2:CD2"/>
    <mergeCell ref="E4:L4"/>
    <mergeCell ref="S5:S6"/>
    <mergeCell ref="BR4:BS4"/>
    <mergeCell ref="BR5:BR6"/>
    <mergeCell ref="BS5:BS6"/>
    <mergeCell ref="AG5:AG6"/>
    <mergeCell ref="AH4:AM4"/>
    <mergeCell ref="AS5:AS6"/>
    <mergeCell ref="BI5:BI6"/>
    <mergeCell ref="BJ5:BK5"/>
    <mergeCell ref="AM5:AR6"/>
  </mergeCells>
  <phoneticPr fontId="10" type="noConversion"/>
  <printOptions horizontalCentered="1"/>
  <pageMargins left="0.31496062992125984" right="0.31496062992125984" top="1.02" bottom="0.35433070866141736" header="0" footer="0"/>
  <pageSetup paperSize="9" scale="7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3">
        <f>F10+F11+F12+F13</f>
        <v>148.32999999999998</v>
      </c>
      <c r="G9" s="232">
        <f>H9/F9/12*1000</f>
        <v>10790.411020472371</v>
      </c>
      <c r="H9" s="234">
        <f>H10+H11+H12+H13</f>
        <v>19206.5</v>
      </c>
      <c r="I9" s="235" t="e">
        <f>G9/#REF!</f>
        <v>#REF!</v>
      </c>
    </row>
    <row r="10" spans="6:9" ht="20.25" x14ac:dyDescent="0.3">
      <c r="F10" s="239">
        <v>23.5</v>
      </c>
      <c r="G10" s="236">
        <f>H10/F10/12*1000</f>
        <v>10395.035460992907</v>
      </c>
      <c r="H10" s="238">
        <v>2931.4</v>
      </c>
      <c r="I10" s="235" t="e">
        <f>G10/#REF!</f>
        <v>#REF!</v>
      </c>
    </row>
    <row r="11" spans="6:9" ht="20.25" x14ac:dyDescent="0.3">
      <c r="F11" s="239">
        <v>73.5</v>
      </c>
      <c r="G11" s="236">
        <f>H11/F11/12*1000</f>
        <v>9934.4671201814072</v>
      </c>
      <c r="H11" s="238">
        <v>8762.2000000000007</v>
      </c>
      <c r="I11" s="235" t="e">
        <f>G11/#REF!</f>
        <v>#REF!</v>
      </c>
    </row>
    <row r="12" spans="6:9" ht="20.25" x14ac:dyDescent="0.3">
      <c r="F12" s="239">
        <v>29.33</v>
      </c>
      <c r="G12" s="236">
        <f>H12/F12/12*1000</f>
        <v>12505.398340720538</v>
      </c>
      <c r="H12" s="238">
        <v>4401.3999999999996</v>
      </c>
      <c r="I12" s="235" t="e">
        <f>G12/#REF!</f>
        <v>#REF!</v>
      </c>
    </row>
    <row r="13" spans="6:9" ht="20.25" x14ac:dyDescent="0.3">
      <c r="F13" s="239">
        <v>22</v>
      </c>
      <c r="G13" s="236">
        <f>H13/F13/12*1000</f>
        <v>11785.98484848485</v>
      </c>
      <c r="H13" s="238">
        <v>3111.5</v>
      </c>
      <c r="I13" s="235" t="e">
        <f>G13/#REF!</f>
        <v>#REF!</v>
      </c>
    </row>
    <row r="14" spans="6:9" ht="20.25" x14ac:dyDescent="0.3">
      <c r="F14" s="237"/>
      <c r="G14" s="236"/>
      <c r="H14" s="238"/>
      <c r="I14" s="235"/>
    </row>
    <row r="15" spans="6:9" ht="20.25" x14ac:dyDescent="0.3">
      <c r="F15" s="241">
        <f>F16+F17+F18+F19</f>
        <v>95</v>
      </c>
      <c r="G15" s="240">
        <f>H15/F15/12*1000</f>
        <v>11418.333333333334</v>
      </c>
      <c r="H15" s="242">
        <f>H16+H17+H18+H19</f>
        <v>13016.900000000001</v>
      </c>
      <c r="I15" s="235" t="e">
        <f>G15/#REF!</f>
        <v>#REF!</v>
      </c>
    </row>
    <row r="16" spans="6:9" ht="20.25" x14ac:dyDescent="0.3">
      <c r="F16" s="237">
        <v>25</v>
      </c>
      <c r="G16" s="236">
        <f>H16/F16/12*1000</f>
        <v>10917.666666666668</v>
      </c>
      <c r="H16" s="238">
        <v>3275.3</v>
      </c>
      <c r="I16" s="235" t="e">
        <f>G16/#REF!</f>
        <v>#REF!</v>
      </c>
    </row>
    <row r="17" spans="6:9" ht="20.25" x14ac:dyDescent="0.3">
      <c r="F17" s="237">
        <v>49</v>
      </c>
      <c r="G17" s="236">
        <f>H17/F17/12*1000</f>
        <v>11832.653061224491</v>
      </c>
      <c r="H17" s="238">
        <v>6957.6</v>
      </c>
      <c r="I17" s="235" t="e">
        <f>G17/#REF!</f>
        <v>#REF!</v>
      </c>
    </row>
    <row r="18" spans="6:9" ht="20.25" x14ac:dyDescent="0.3">
      <c r="F18" s="237">
        <v>4</v>
      </c>
      <c r="G18" s="236">
        <f>H18/F18/12*1000</f>
        <v>11164.583333333332</v>
      </c>
      <c r="H18" s="238">
        <v>535.9</v>
      </c>
      <c r="I18" s="235" t="e">
        <f>G18/AF1</f>
        <v>#DIV/0!</v>
      </c>
    </row>
    <row r="19" spans="6:9" ht="21" thickBot="1" x14ac:dyDescent="0.35">
      <c r="F19" s="259">
        <v>17</v>
      </c>
      <c r="G19" s="256">
        <f>H19/F19/12*1000</f>
        <v>11020.098039215687</v>
      </c>
      <c r="H19" s="257">
        <v>2248.1</v>
      </c>
      <c r="I19" s="258" t="e">
        <f>G19/AF2</f>
        <v>#DIV/0!</v>
      </c>
    </row>
  </sheetData>
  <phoneticPr fontId="10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Лист37">
    <tabColor rgb="FFFF66FF"/>
    <pageSetUpPr fitToPage="1"/>
  </sheetPr>
  <dimension ref="A2:AE104"/>
  <sheetViews>
    <sheetView workbookViewId="0">
      <selection activeCell="AD75" sqref="AD75"/>
    </sheetView>
  </sheetViews>
  <sheetFormatPr defaultColWidth="11.28515625" defaultRowHeight="12.75" x14ac:dyDescent="0.2"/>
  <cols>
    <col min="1" max="1" width="28.7109375" style="5" customWidth="1"/>
    <col min="2" max="5" width="9.7109375" style="5" hidden="1" customWidth="1"/>
    <col min="6" max="7" width="8.7109375" style="5" hidden="1" customWidth="1"/>
    <col min="8" max="8" width="12.5703125" style="5" hidden="1" customWidth="1"/>
    <col min="9" max="9" width="9" style="5" hidden="1" customWidth="1"/>
    <col min="10" max="10" width="13.7109375" style="5" customWidth="1"/>
    <col min="11" max="11" width="42.7109375" style="5" hidden="1" customWidth="1"/>
    <col min="12" max="12" width="12.85546875" style="5" customWidth="1"/>
    <col min="13" max="14" width="10.140625" style="5" hidden="1" customWidth="1"/>
    <col min="15" max="15" width="8.85546875" style="5" customWidth="1"/>
    <col min="16" max="16" width="13.42578125" style="5" customWidth="1"/>
    <col min="17" max="17" width="12.85546875" style="5" customWidth="1"/>
    <col min="18" max="18" width="12.140625" style="5" hidden="1" customWidth="1"/>
    <col min="19" max="19" width="0" style="5" hidden="1" customWidth="1"/>
    <col min="20" max="22" width="11.28515625" style="5"/>
    <col min="23" max="24" width="0" style="5" hidden="1" customWidth="1"/>
    <col min="25" max="25" width="11.28515625" style="5"/>
    <col min="26" max="26" width="5.42578125" style="5" hidden="1" customWidth="1"/>
    <col min="27" max="27" width="6.5703125" style="5" hidden="1" customWidth="1"/>
    <col min="28" max="16384" width="11.28515625" style="5"/>
  </cols>
  <sheetData>
    <row r="2" spans="1:31" ht="14.25" x14ac:dyDescent="0.2">
      <c r="A2" s="5865" t="s">
        <v>4106</v>
      </c>
      <c r="B2" s="5865"/>
      <c r="C2" s="5865"/>
      <c r="D2" s="5865"/>
      <c r="E2" s="5865"/>
      <c r="F2" s="5865"/>
      <c r="G2" s="5865"/>
      <c r="H2" s="5865"/>
      <c r="I2" s="5865"/>
      <c r="J2" s="5865"/>
      <c r="K2" s="5865"/>
      <c r="L2" s="5865"/>
      <c r="M2" s="4910"/>
      <c r="N2" s="4910"/>
      <c r="O2" s="4910"/>
      <c r="P2" s="4910"/>
      <c r="Q2" s="4910"/>
      <c r="R2" s="4910"/>
      <c r="S2" s="4910"/>
      <c r="T2" s="4910"/>
      <c r="U2" s="4910"/>
      <c r="V2" s="4910"/>
      <c r="W2" s="4910"/>
      <c r="X2" s="4910"/>
      <c r="Y2" s="4910"/>
      <c r="Z2" s="4910"/>
      <c r="AA2" s="4910"/>
      <c r="AB2" s="4910"/>
      <c r="AC2" s="4910"/>
      <c r="AD2" s="4910"/>
      <c r="AE2" s="4910"/>
    </row>
    <row r="4" spans="1:31" ht="27" customHeight="1" x14ac:dyDescent="0.2">
      <c r="A4" s="5150" t="s">
        <v>1843</v>
      </c>
      <c r="B4" s="2124" t="s">
        <v>362</v>
      </c>
      <c r="C4" s="5154" t="s">
        <v>815</v>
      </c>
      <c r="D4" s="5154"/>
      <c r="E4" s="2063" t="s">
        <v>892</v>
      </c>
      <c r="F4" s="5864" t="s">
        <v>893</v>
      </c>
      <c r="G4" s="5675"/>
      <c r="H4" s="5154" t="s">
        <v>1847</v>
      </c>
      <c r="I4" s="5864"/>
      <c r="J4" s="5870" t="s">
        <v>3659</v>
      </c>
      <c r="K4" s="5871"/>
      <c r="L4" s="5872"/>
      <c r="M4" s="5837" t="s">
        <v>3609</v>
      </c>
      <c r="N4" s="5837" t="s">
        <v>3610</v>
      </c>
      <c r="O4" s="5837" t="s">
        <v>3624</v>
      </c>
      <c r="P4" s="5150" t="s">
        <v>3846</v>
      </c>
      <c r="Q4" s="5863"/>
      <c r="R4" s="5837" t="s">
        <v>3864</v>
      </c>
      <c r="S4" s="5837" t="s">
        <v>3865</v>
      </c>
      <c r="T4" s="5837" t="s">
        <v>3872</v>
      </c>
      <c r="U4" s="5150" t="s">
        <v>3895</v>
      </c>
      <c r="V4" s="5863"/>
      <c r="W4" s="5837" t="s">
        <v>3936</v>
      </c>
      <c r="X4" s="5837" t="s">
        <v>3937</v>
      </c>
      <c r="Y4" s="5837" t="s">
        <v>3938</v>
      </c>
      <c r="Z4" s="5837" t="s">
        <v>4105</v>
      </c>
      <c r="AA4" s="5862"/>
      <c r="AB4" s="5837" t="s">
        <v>4130</v>
      </c>
      <c r="AC4" s="5862"/>
      <c r="AD4" s="5837" t="s">
        <v>4262</v>
      </c>
      <c r="AE4" s="5837" t="s">
        <v>4263</v>
      </c>
    </row>
    <row r="5" spans="1:31" s="371" customFormat="1" ht="127.5" x14ac:dyDescent="0.2">
      <c r="A5" s="5635"/>
      <c r="B5" s="5837" t="s">
        <v>60</v>
      </c>
      <c r="C5" s="5837" t="s">
        <v>1585</v>
      </c>
      <c r="D5" s="5837" t="s">
        <v>60</v>
      </c>
      <c r="E5" s="5837" t="s">
        <v>60</v>
      </c>
      <c r="F5" s="5837" t="s">
        <v>1585</v>
      </c>
      <c r="G5" s="5837" t="s">
        <v>60</v>
      </c>
      <c r="H5" s="5837" t="s">
        <v>1848</v>
      </c>
      <c r="I5" s="5837" t="s">
        <v>1849</v>
      </c>
      <c r="J5" s="4063" t="s">
        <v>3511</v>
      </c>
      <c r="K5" s="4064"/>
      <c r="L5" s="4063" t="s">
        <v>3660</v>
      </c>
      <c r="M5" s="5651"/>
      <c r="N5" s="5651"/>
      <c r="O5" s="5651"/>
      <c r="P5" s="4063" t="s">
        <v>3511</v>
      </c>
      <c r="Q5" s="4063" t="s">
        <v>3660</v>
      </c>
      <c r="R5" s="5651"/>
      <c r="S5" s="5651"/>
      <c r="T5" s="5651"/>
      <c r="U5" s="4063" t="s">
        <v>3511</v>
      </c>
      <c r="V5" s="4063" t="s">
        <v>3660</v>
      </c>
      <c r="W5" s="5651"/>
      <c r="X5" s="5651"/>
      <c r="Y5" s="5651"/>
      <c r="Z5" s="4063" t="s">
        <v>3511</v>
      </c>
      <c r="AA5" s="4063" t="s">
        <v>3660</v>
      </c>
      <c r="AB5" s="4063" t="s">
        <v>3511</v>
      </c>
      <c r="AC5" s="4063" t="s">
        <v>3660</v>
      </c>
      <c r="AD5" s="5651"/>
      <c r="AE5" s="5651"/>
    </row>
    <row r="6" spans="1:31" s="371" customFormat="1" ht="9" customHeight="1" x14ac:dyDescent="0.2">
      <c r="A6" s="5151"/>
      <c r="B6" s="5852"/>
      <c r="C6" s="5852"/>
      <c r="D6" s="5852"/>
      <c r="E6" s="5852"/>
      <c r="F6" s="5852"/>
      <c r="G6" s="5852"/>
      <c r="H6" s="5852"/>
      <c r="I6" s="5852"/>
      <c r="J6" s="4065"/>
      <c r="K6" s="4054"/>
      <c r="L6" s="4065"/>
      <c r="M6" s="5652"/>
      <c r="N6" s="5652"/>
      <c r="O6" s="5652"/>
      <c r="P6" s="4065"/>
      <c r="Q6" s="4065"/>
      <c r="R6" s="5652"/>
      <c r="S6" s="5652"/>
      <c r="T6" s="5652"/>
      <c r="U6" s="4065"/>
      <c r="V6" s="4065"/>
      <c r="W6" s="5652"/>
      <c r="X6" s="5652"/>
      <c r="Y6" s="5652"/>
      <c r="Z6" s="4065"/>
      <c r="AA6" s="4065"/>
      <c r="AB6" s="4065"/>
      <c r="AC6" s="4065"/>
      <c r="AD6" s="5652"/>
      <c r="AE6" s="5652"/>
    </row>
    <row r="7" spans="1:31" s="2166" customFormat="1" x14ac:dyDescent="0.2">
      <c r="A7" s="3098" t="s">
        <v>1850</v>
      </c>
      <c r="B7" s="2563">
        <v>6697.91</v>
      </c>
      <c r="C7" s="2563">
        <f>[49]объемы!$Y$38</f>
        <v>5538.9802784767589</v>
      </c>
      <c r="D7" s="2563">
        <f>'объемы ВС и ВО 2023'!W39</f>
        <v>6329.630000000001</v>
      </c>
      <c r="E7" s="2563">
        <f>'объемы ВС и ВО 2023'!AN39</f>
        <v>6766</v>
      </c>
      <c r="F7" s="2563">
        <v>4509.8599999999997</v>
      </c>
      <c r="G7" s="2563">
        <f>SUM('объемы ВС и ВО 2023'!AV39)</f>
        <v>7136.38</v>
      </c>
      <c r="H7" s="3086">
        <f>'объемы ВС и ВО 2023'!AX39</f>
        <v>6145</v>
      </c>
      <c r="I7" s="3099">
        <f>'объемы ВС и ВО 2023'!AZ39</f>
        <v>6253.3816796622659</v>
      </c>
      <c r="J7" s="2563">
        <f>SUM('объемы ВС и ВО 2023'!BB39)</f>
        <v>6253.3816796622659</v>
      </c>
      <c r="K7" s="2556"/>
      <c r="L7" s="2552">
        <f>SUM(I7)</f>
        <v>6253.3816796622659</v>
      </c>
      <c r="M7" s="2563">
        <f>SUM('объемы ВС и ВО 2023'!BF39)</f>
        <v>3480.3870000000002</v>
      </c>
      <c r="N7" s="2563">
        <f>SUM('объемы ВС и ВО 2023'!BH39)</f>
        <v>5262.8230000000003</v>
      </c>
      <c r="O7" s="2563">
        <f>SUM('объемы ВС и ВО 2023'!BJ39)</f>
        <v>6957.982</v>
      </c>
      <c r="P7" s="3629">
        <f>SUM('объемы ВС и ВО 2023'!BL39)</f>
        <v>5933.7859999999991</v>
      </c>
      <c r="Q7" s="3629">
        <f>SUM('объемы ВС и ВО 2023'!BN39)</f>
        <v>5987.92</v>
      </c>
      <c r="R7" s="3629">
        <f>SUM('объемы ВС и ВО 2023'!BQ39)</f>
        <v>3251.1729999999998</v>
      </c>
      <c r="S7" s="3629">
        <f>SUM('объемы ВС и ВО 2023'!BS39)</f>
        <v>4710.8989999999994</v>
      </c>
      <c r="T7" s="3629">
        <f>SUM('объемы ВС и ВО 2023'!BU39)</f>
        <v>6222.817</v>
      </c>
      <c r="U7" s="3944">
        <f>SUM('объемы ВС и ВО 2023'!BW39)</f>
        <v>5987.92</v>
      </c>
      <c r="V7" s="3944">
        <f>SUM('объемы ВС и ВО 2023'!BY39)</f>
        <v>5981.942</v>
      </c>
      <c r="W7" s="3944">
        <f>SUM('объемы ВС и ВО 2023'!CA39)</f>
        <v>2917.3690000000001</v>
      </c>
      <c r="X7" s="3944">
        <f>SUM('объемы ВС и ВО 2023'!CC39)</f>
        <v>4157.8069999999998</v>
      </c>
      <c r="Y7" s="3944">
        <f>SUM('объемы ВС и ВО 2023'!CE39)</f>
        <v>5586.9679999999998</v>
      </c>
      <c r="Z7" s="3075">
        <f>SUM('объемы ВС и ВО 2023'!CG39)</f>
        <v>5981.942</v>
      </c>
      <c r="AA7" s="3050">
        <f>SUM('объемы ВС и ВО 2023'!CD39)</f>
        <v>0.59799999999999998</v>
      </c>
      <c r="AB7" s="3075">
        <f>SUM(Z7)</f>
        <v>5981.942</v>
      </c>
      <c r="AC7" s="3075">
        <f>SUM('[42]Объемы ВС и ВО'!CF39)</f>
        <v>6071.3003321958313</v>
      </c>
      <c r="AD7" s="4735">
        <f>SUM('объемы ВС и ВО 2023'!CK39)</f>
        <v>2574.81</v>
      </c>
      <c r="AE7" s="4735">
        <f>SUM('объемы ВС и ВО 2023'!CM39)</f>
        <v>4915.5959999999995</v>
      </c>
    </row>
    <row r="8" spans="1:31" x14ac:dyDescent="0.2">
      <c r="A8" s="2553" t="s">
        <v>99</v>
      </c>
      <c r="B8" s="2553"/>
      <c r="C8" s="2553"/>
      <c r="D8" s="2553"/>
      <c r="E8" s="2553"/>
      <c r="F8" s="2553"/>
      <c r="G8" s="2553"/>
      <c r="H8" s="2553"/>
      <c r="I8" s="3100"/>
      <c r="J8" s="2553"/>
      <c r="K8" s="2553"/>
      <c r="L8" s="2553"/>
      <c r="M8" s="2553"/>
      <c r="N8" s="2553"/>
      <c r="O8" s="2553"/>
      <c r="P8" s="2553"/>
      <c r="Q8" s="3097"/>
      <c r="R8" s="3637"/>
      <c r="S8" s="2553"/>
      <c r="T8" s="2553"/>
      <c r="U8" s="2553"/>
      <c r="V8" s="2553"/>
      <c r="W8" s="2553"/>
      <c r="X8" s="2553"/>
      <c r="Y8" s="2553"/>
      <c r="Z8" s="2436"/>
      <c r="AA8" s="3097"/>
      <c r="AB8" s="2436"/>
      <c r="AC8" s="4287"/>
      <c r="AD8" s="2553"/>
      <c r="AE8" s="2553"/>
    </row>
    <row r="9" spans="1:31" x14ac:dyDescent="0.2">
      <c r="A9" s="3101" t="s">
        <v>1844</v>
      </c>
      <c r="B9" s="2553">
        <v>2.1</v>
      </c>
      <c r="C9" s="2553">
        <v>2.4700000000000002</v>
      </c>
      <c r="D9" s="2553">
        <v>9.81</v>
      </c>
      <c r="E9" s="2553">
        <v>8.15</v>
      </c>
      <c r="F9" s="2553"/>
      <c r="G9" s="2553">
        <v>10.220000000000001</v>
      </c>
      <c r="H9" s="2553">
        <v>7.4</v>
      </c>
      <c r="I9" s="3091">
        <f>$I$7*I10/1000</f>
        <v>7.530516587388246</v>
      </c>
      <c r="J9" s="2553">
        <v>10.220000000000001</v>
      </c>
      <c r="K9" s="2553"/>
      <c r="L9" s="2554">
        <f>SUM(I9)</f>
        <v>7.530516587388246</v>
      </c>
      <c r="M9" s="2553">
        <v>1.5</v>
      </c>
      <c r="N9" s="2553">
        <v>6</v>
      </c>
      <c r="O9" s="2553">
        <v>8.94</v>
      </c>
      <c r="P9" s="2553">
        <v>8.94</v>
      </c>
      <c r="Q9" s="3091">
        <f>SUM(I9)</f>
        <v>7.530516587388246</v>
      </c>
      <c r="R9" s="2553">
        <v>3.04</v>
      </c>
      <c r="S9" s="2553">
        <v>9.1</v>
      </c>
      <c r="T9" s="2614">
        <v>12.79627</v>
      </c>
      <c r="U9" s="2553">
        <v>12.8</v>
      </c>
      <c r="V9" s="2554">
        <f>SUM(I9)</f>
        <v>7.530516587388246</v>
      </c>
      <c r="W9" s="2614">
        <v>4.45</v>
      </c>
      <c r="X9" s="2614">
        <v>13.45</v>
      </c>
      <c r="Y9" s="2614">
        <v>16.489999999999998</v>
      </c>
      <c r="Z9" s="3973">
        <v>16.489999999999998</v>
      </c>
      <c r="AA9" s="3058">
        <f>SUM(N9)</f>
        <v>6</v>
      </c>
      <c r="AB9" s="3973">
        <v>16.489999999999998</v>
      </c>
      <c r="AC9" s="4288">
        <f>SUM(AC7*AC10)/1000</f>
        <v>7.3112485692838334</v>
      </c>
      <c r="AD9" s="3920">
        <v>6.0449999999999999</v>
      </c>
      <c r="AE9" s="3920">
        <v>21.093</v>
      </c>
    </row>
    <row r="10" spans="1:31" x14ac:dyDescent="0.2">
      <c r="A10" s="3101" t="s">
        <v>1845</v>
      </c>
      <c r="B10" s="2614">
        <f>B9/B7*1000</f>
        <v>0.31353063866191094</v>
      </c>
      <c r="C10" s="3102">
        <v>0.43730000000000002</v>
      </c>
      <c r="D10" s="2614">
        <f>D9/D7*1000</f>
        <v>1.5498536249354224</v>
      </c>
      <c r="E10" s="2614">
        <f t="shared" ref="E10:H10" si="0">E9/E7*1000</f>
        <v>1.2045521726278452</v>
      </c>
      <c r="F10" s="2614"/>
      <c r="G10" s="2614">
        <f t="shared" si="0"/>
        <v>1.4320986270349954</v>
      </c>
      <c r="H10" s="2614">
        <f t="shared" si="0"/>
        <v>1.2042310821806348</v>
      </c>
      <c r="I10" s="3095">
        <f>H10</f>
        <v>1.2042310821806348</v>
      </c>
      <c r="J10" s="2614">
        <f t="shared" ref="J10" si="1">J9/J7*1000</f>
        <v>1.6343157228413354</v>
      </c>
      <c r="K10" s="2553" t="s">
        <v>1893</v>
      </c>
      <c r="L10" s="2554">
        <f>SUM(I10)</f>
        <v>1.2042310821806348</v>
      </c>
      <c r="M10" s="2614">
        <f>SUM(M9/M7)*1000</f>
        <v>0.43098655408148573</v>
      </c>
      <c r="N10" s="2614">
        <f t="shared" ref="N10:O10" si="2">SUM(N9/N7)*1000</f>
        <v>1.1400725428158993</v>
      </c>
      <c r="O10" s="2614">
        <f t="shared" si="2"/>
        <v>1.2848552928133472</v>
      </c>
      <c r="P10" s="2614">
        <f t="shared" ref="P10" si="3">SUM(P9/P7)*1000</f>
        <v>1.5066266292717669</v>
      </c>
      <c r="Q10" s="3091">
        <f>SUM(I10)</f>
        <v>1.2042310821806348</v>
      </c>
      <c r="R10" s="2614">
        <f>SUM(R9/R7)*1000</f>
        <v>0.93504713529547645</v>
      </c>
      <c r="S10" s="2614">
        <f t="shared" ref="S10:U10" si="4">SUM(S9/S7)*1000</f>
        <v>1.9316907452271852</v>
      </c>
      <c r="T10" s="2614">
        <f t="shared" si="4"/>
        <v>2.0563468281326607</v>
      </c>
      <c r="U10" s="2614">
        <f t="shared" si="4"/>
        <v>2.1376371093802189</v>
      </c>
      <c r="V10" s="2554">
        <f>SUM(I10)</f>
        <v>1.2042310821806348</v>
      </c>
      <c r="W10" s="2614">
        <f t="shared" ref="W10:Z10" si="5">SUM(W9/W7)*1000</f>
        <v>1.5253469821609813</v>
      </c>
      <c r="X10" s="2614">
        <f t="shared" si="5"/>
        <v>3.2348783866110189</v>
      </c>
      <c r="Y10" s="2614">
        <f t="shared" si="5"/>
        <v>2.95151144592201</v>
      </c>
      <c r="Z10" s="3973">
        <f t="shared" si="5"/>
        <v>2.7566298703665129</v>
      </c>
      <c r="AA10" s="3058">
        <f>SUM(N10)</f>
        <v>1.1400725428158993</v>
      </c>
      <c r="AB10" s="3973">
        <f t="shared" ref="AB10" si="6">SUM(AB9/AB7)*1000</f>
        <v>2.7566298703665129</v>
      </c>
      <c r="AC10" s="4289">
        <f>SUM(I10)</f>
        <v>1.2042310821806348</v>
      </c>
      <c r="AD10" s="3920">
        <f t="shared" ref="AD10:AE10" si="7">SUM(AD9/AD7)*1000</f>
        <v>2.3477460472811584</v>
      </c>
      <c r="AE10" s="3920">
        <f t="shared" si="7"/>
        <v>4.2910361225780154</v>
      </c>
    </row>
    <row r="11" spans="1:31" x14ac:dyDescent="0.2">
      <c r="A11" s="3101" t="s">
        <v>128</v>
      </c>
      <c r="B11" s="2553">
        <v>730000</v>
      </c>
      <c r="C11" s="2553">
        <v>79862</v>
      </c>
      <c r="D11" s="2553">
        <v>30814.48</v>
      </c>
      <c r="E11" s="2553">
        <v>26512.880000000001</v>
      </c>
      <c r="F11" s="2553"/>
      <c r="G11" s="2553">
        <f>SUM(G12/G9)*1000</f>
        <v>26499.999999999996</v>
      </c>
      <c r="H11" s="2553">
        <v>28369</v>
      </c>
      <c r="I11" s="3091">
        <f>43000/1.2</f>
        <v>35833.333333333336</v>
      </c>
      <c r="J11" s="2614">
        <f>SUM(I11*1.06)</f>
        <v>37983.333333333336</v>
      </c>
      <c r="K11" s="3052" t="s">
        <v>2048</v>
      </c>
      <c r="L11" s="3052">
        <f>SUM(I11*1.03)*(1-0.01)</f>
        <v>36539.25</v>
      </c>
      <c r="M11" s="2553">
        <f>SUM(M12/M9)*1000</f>
        <v>31599.999999999996</v>
      </c>
      <c r="N11" s="2553">
        <f>SUM(N12/N9)*1000</f>
        <v>31599.999999999996</v>
      </c>
      <c r="O11" s="2553">
        <f t="shared" ref="O11:P11" si="8">SUM(O12/O9)*1000</f>
        <v>31600.000000000004</v>
      </c>
      <c r="P11" s="2553">
        <f t="shared" si="8"/>
        <v>33053.600000000006</v>
      </c>
      <c r="Q11" s="3249">
        <f>SUM(I11*(1+0.032)*0.99*(1+0.036)*0.99)</f>
        <v>37548.885527999999</v>
      </c>
      <c r="R11" s="2614">
        <f>SUM(R12/R9)*1000</f>
        <v>35709.01315789474</v>
      </c>
      <c r="S11" s="2614">
        <f>SUM(S12/S9)*1000</f>
        <v>33407.334065934068</v>
      </c>
      <c r="T11" s="2614">
        <f t="shared" ref="T11" si="9">SUM(T12/T9)*1000</f>
        <v>33236.44546418605</v>
      </c>
      <c r="U11" s="2553">
        <f>SUM(Q11*1.05)*(1-0.01)</f>
        <v>39032.066506356001</v>
      </c>
      <c r="V11" s="3249">
        <f>SUM(I11*(1+0.034)*0.99*1.06*0.99*(1+0.043)*0.99)</f>
        <v>39746.922295241697</v>
      </c>
      <c r="W11" s="2614">
        <f t="shared" ref="W11:Y11" si="10">SUM(W12/W9)*1000</f>
        <v>30233.334831460674</v>
      </c>
      <c r="X11" s="2614">
        <f t="shared" si="10"/>
        <v>30233.308550185873</v>
      </c>
      <c r="Y11" s="2614">
        <f t="shared" si="10"/>
        <v>30233.334141904186</v>
      </c>
      <c r="Z11" s="3795">
        <f>SUM(V11*(1+0.05)*0.99)</f>
        <v>41316.92572590374</v>
      </c>
      <c r="AA11" s="3967">
        <f>SUM(N11*(1+0.034)*0.99*1.06*0.99*(1+0.043)*0.99)</f>
        <v>35051.23938222244</v>
      </c>
      <c r="AB11" s="3795">
        <f>SUM(P81)</f>
        <v>44935</v>
      </c>
      <c r="AC11" s="3512">
        <f>I11*0.99*1.034*0.99*1.067*0.99*1.139*0.99*1.06</f>
        <v>45850.337355362513</v>
      </c>
      <c r="AD11" s="3920">
        <f t="shared" ref="AD11:AE11" si="11">SUM(AD12/AD9)*1000</f>
        <v>35537.277088502895</v>
      </c>
      <c r="AE11" s="3920">
        <f t="shared" si="11"/>
        <v>39327.437538519887</v>
      </c>
    </row>
    <row r="12" spans="1:31" x14ac:dyDescent="0.2">
      <c r="A12" s="3101" t="s">
        <v>1846</v>
      </c>
      <c r="B12" s="2553">
        <v>152.94</v>
      </c>
      <c r="C12" s="2553">
        <v>197.49</v>
      </c>
      <c r="D12" s="2553">
        <v>302.29000000000002</v>
      </c>
      <c r="E12" s="2553">
        <v>216.08</v>
      </c>
      <c r="F12" s="3103">
        <v>215.58</v>
      </c>
      <c r="G12" s="2553">
        <v>270.83</v>
      </c>
      <c r="H12" s="2553">
        <v>209.98</v>
      </c>
      <c r="I12" s="3091">
        <f>I9*I11/1000</f>
        <v>269.84351104807882</v>
      </c>
      <c r="J12" s="2554">
        <f>J9*J11/1000</f>
        <v>388.18966666666677</v>
      </c>
      <c r="K12" s="2553"/>
      <c r="L12" s="3091">
        <f>L9*L11/1000</f>
        <v>275.159428215726</v>
      </c>
      <c r="M12" s="2553">
        <v>47.4</v>
      </c>
      <c r="N12" s="2553">
        <v>189.6</v>
      </c>
      <c r="O12" s="2553">
        <v>282.50400000000002</v>
      </c>
      <c r="P12" s="3094">
        <f>SUM(O12*1.046)</f>
        <v>295.49918400000001</v>
      </c>
      <c r="Q12" s="3091">
        <f>Q9*Q11/1000</f>
        <v>282.76250530654647</v>
      </c>
      <c r="R12" s="2553">
        <v>108.55540000000001</v>
      </c>
      <c r="S12" s="2614">
        <v>304.00673999999998</v>
      </c>
      <c r="T12" s="3094">
        <v>425.30252999999999</v>
      </c>
      <c r="U12" s="3094">
        <f>SUM(T12*1.046)</f>
        <v>444.86644638000001</v>
      </c>
      <c r="V12" s="2554">
        <f>V9*V11/1000</f>
        <v>299.31485764194935</v>
      </c>
      <c r="W12" s="3094">
        <v>134.53834000000001</v>
      </c>
      <c r="X12" s="3094">
        <v>406.63799999999998</v>
      </c>
      <c r="Y12" s="3094">
        <v>498.54768000000001</v>
      </c>
      <c r="Z12" s="3974">
        <f>Z9*Z11/1000</f>
        <v>681.31610522015262</v>
      </c>
      <c r="AA12" s="3058">
        <f>AA9*AA11/1000</f>
        <v>210.30743629333463</v>
      </c>
      <c r="AB12" s="3974">
        <f>AB9*AB11/1000</f>
        <v>740.97814999999991</v>
      </c>
      <c r="AC12" s="3974">
        <f>AC9*AC11/1000</f>
        <v>335.22321339057527</v>
      </c>
      <c r="AD12" s="4742">
        <v>214.82284000000001</v>
      </c>
      <c r="AE12" s="4742">
        <v>829.53363999999999</v>
      </c>
    </row>
    <row r="13" spans="1:31" x14ac:dyDescent="0.2">
      <c r="A13" s="2553" t="s">
        <v>100</v>
      </c>
      <c r="B13" s="2553"/>
      <c r="C13" s="2553"/>
      <c r="D13" s="2553"/>
      <c r="E13" s="2553"/>
      <c r="F13" s="2553"/>
      <c r="G13" s="2553"/>
      <c r="H13" s="2553"/>
      <c r="I13" s="3100"/>
      <c r="J13" s="2553"/>
      <c r="K13" s="2553"/>
      <c r="L13" s="2553"/>
      <c r="M13" s="2553"/>
      <c r="N13" s="2553"/>
      <c r="O13" s="2553"/>
      <c r="P13" s="2553"/>
      <c r="Q13" s="3097"/>
      <c r="R13" s="3637"/>
      <c r="S13" s="2553"/>
      <c r="T13" s="2553"/>
      <c r="U13" s="2553"/>
      <c r="V13" s="2553"/>
      <c r="W13" s="2553"/>
      <c r="X13" s="2553"/>
      <c r="Y13" s="2553"/>
      <c r="Z13" s="3970"/>
      <c r="AA13" s="3097"/>
      <c r="AB13" s="3970"/>
      <c r="AC13" s="2436"/>
      <c r="AD13" s="2553"/>
      <c r="AE13" s="2553"/>
    </row>
    <row r="14" spans="1:31" x14ac:dyDescent="0.2">
      <c r="A14" s="3101" t="s">
        <v>1844</v>
      </c>
      <c r="B14" s="2553">
        <v>38.28</v>
      </c>
      <c r="C14" s="2553">
        <v>29.65</v>
      </c>
      <c r="D14" s="2553">
        <v>39.58</v>
      </c>
      <c r="E14" s="2553">
        <v>51.7</v>
      </c>
      <c r="F14" s="2553"/>
      <c r="G14" s="2553">
        <v>43.55</v>
      </c>
      <c r="H14" s="2553">
        <v>46.95</v>
      </c>
      <c r="I14" s="3091">
        <f>$I$7*I15/1000</f>
        <v>39.103209331514236</v>
      </c>
      <c r="J14" s="2553">
        <v>43.55</v>
      </c>
      <c r="K14" s="2553"/>
      <c r="L14" s="2554">
        <f>SUM(I14)</f>
        <v>39.103209331514236</v>
      </c>
      <c r="M14" s="2553">
        <v>18.25</v>
      </c>
      <c r="N14" s="2553">
        <v>34.25</v>
      </c>
      <c r="O14" s="2553">
        <v>41</v>
      </c>
      <c r="P14" s="2553">
        <v>41</v>
      </c>
      <c r="Q14" s="3091">
        <f>SUM(I14)</f>
        <v>39.103209331514236</v>
      </c>
      <c r="R14" s="2553">
        <v>28.7</v>
      </c>
      <c r="S14" s="2553">
        <v>43</v>
      </c>
      <c r="T14" s="2553">
        <v>49</v>
      </c>
      <c r="U14" s="2553">
        <v>49</v>
      </c>
      <c r="V14" s="2554">
        <f t="shared" ref="V14:V15" si="12">SUM(I14)</f>
        <v>39.103209331514236</v>
      </c>
      <c r="W14" s="2553">
        <v>14.006</v>
      </c>
      <c r="X14" s="2553">
        <v>32</v>
      </c>
      <c r="Y14" s="2553">
        <v>36</v>
      </c>
      <c r="Z14" s="3974">
        <f>SUM(V14)</f>
        <v>39.103209331514236</v>
      </c>
      <c r="AA14" s="3058">
        <f t="shared" ref="AA14:AA15" si="13">SUM(N14)</f>
        <v>34.25</v>
      </c>
      <c r="AB14" s="3974">
        <f>SUM(Z14)</f>
        <v>39.103209331514236</v>
      </c>
      <c r="AC14" s="2420">
        <f>SUM(AC9*AC15)</f>
        <v>45.718188641714299</v>
      </c>
      <c r="AD14" s="3637">
        <v>16</v>
      </c>
      <c r="AE14" s="3637">
        <v>38</v>
      </c>
    </row>
    <row r="15" spans="1:31" x14ac:dyDescent="0.2">
      <c r="A15" s="3101" t="s">
        <v>1845</v>
      </c>
      <c r="B15" s="2614">
        <f>B14/B7*1000</f>
        <v>5.7152156418942628</v>
      </c>
      <c r="C15" s="2614">
        <v>5.2439</v>
      </c>
      <c r="D15" s="2614">
        <f>D14/D7*1000</f>
        <v>6.2531301197700326</v>
      </c>
      <c r="E15" s="3094">
        <f t="shared" ref="E15:H15" si="14">E14/E7*1000</f>
        <v>7.6411469110257171</v>
      </c>
      <c r="F15" s="3094"/>
      <c r="G15" s="3094">
        <f t="shared" si="14"/>
        <v>6.1025337776295538</v>
      </c>
      <c r="H15" s="3094">
        <f t="shared" si="14"/>
        <v>7.6403580146460541</v>
      </c>
      <c r="I15" s="3095">
        <f>D15</f>
        <v>6.2531301197700326</v>
      </c>
      <c r="J15" s="3094">
        <f t="shared" ref="J15" si="15">J14/J7*1000</f>
        <v>6.9642318717945351</v>
      </c>
      <c r="K15" s="2553" t="s">
        <v>1902</v>
      </c>
      <c r="L15" s="2554">
        <f>SUM(I15)</f>
        <v>6.2531301197700326</v>
      </c>
      <c r="M15" s="3094">
        <f>SUM(M14/M7)*1000</f>
        <v>5.2436697413247435</v>
      </c>
      <c r="N15" s="3094">
        <f t="shared" ref="N15:O15" si="16">SUM(N14/N7)*1000</f>
        <v>6.5079140985740915</v>
      </c>
      <c r="O15" s="3094">
        <f t="shared" si="16"/>
        <v>5.8925130878464476</v>
      </c>
      <c r="P15" s="3094">
        <f t="shared" ref="P15" si="17">SUM(P14/P7)*1000</f>
        <v>6.9095852125438979</v>
      </c>
      <c r="Q15" s="3091">
        <f>SUM(I15)</f>
        <v>6.2531301197700326</v>
      </c>
      <c r="R15" s="3094">
        <f>SUM(R14/R7)*1000</f>
        <v>8.8275831522961106</v>
      </c>
      <c r="S15" s="3094">
        <f t="shared" ref="S15:U15" si="18">SUM(S14/S7)*1000</f>
        <v>9.1277694554691156</v>
      </c>
      <c r="T15" s="3094">
        <f t="shared" si="18"/>
        <v>7.8742473063244507</v>
      </c>
      <c r="U15" s="3094">
        <f t="shared" si="18"/>
        <v>8.1831420593461512</v>
      </c>
      <c r="V15" s="2554">
        <f t="shared" si="12"/>
        <v>6.2531301197700326</v>
      </c>
      <c r="W15" s="3094">
        <f t="shared" ref="W15:Z15" si="19">SUM(W14/W7)*1000</f>
        <v>4.8009010858756636</v>
      </c>
      <c r="X15" s="3094">
        <f t="shared" si="19"/>
        <v>7.6963649346879262</v>
      </c>
      <c r="Y15" s="3094">
        <f t="shared" si="19"/>
        <v>6.4435665283925019</v>
      </c>
      <c r="Z15" s="3972">
        <f t="shared" si="19"/>
        <v>6.5368753711611109</v>
      </c>
      <c r="AA15" s="3058">
        <f t="shared" si="13"/>
        <v>6.5079140985740915</v>
      </c>
      <c r="AB15" s="3972">
        <f t="shared" ref="AB15" si="20">SUM(AB14/AB7)*1000</f>
        <v>6.5368753711611109</v>
      </c>
      <c r="AC15" s="2420">
        <f>SUM(I15)</f>
        <v>6.2531301197700326</v>
      </c>
      <c r="AD15" s="4742">
        <f t="shared" ref="AD15:AE15" si="21">SUM(AD14/AD7)*1000</f>
        <v>6.2140507454919005</v>
      </c>
      <c r="AE15" s="4742">
        <f t="shared" si="21"/>
        <v>7.7304969733070017</v>
      </c>
    </row>
    <row r="16" spans="1:31" x14ac:dyDescent="0.2">
      <c r="A16" s="3101" t="s">
        <v>128</v>
      </c>
      <c r="B16" s="2553">
        <v>52680</v>
      </c>
      <c r="C16" s="2553">
        <v>43766.39</v>
      </c>
      <c r="D16" s="2553">
        <v>64136.69</v>
      </c>
      <c r="E16" s="2553">
        <v>73909.279999999999</v>
      </c>
      <c r="F16" s="2553"/>
      <c r="G16" s="2614">
        <f>SUM(G17/G14)*1000</f>
        <v>88608.564867967856</v>
      </c>
      <c r="H16" s="2553">
        <v>79083</v>
      </c>
      <c r="I16" s="3091">
        <f>124410/1.2</f>
        <v>103675</v>
      </c>
      <c r="J16" s="2614">
        <f>SUM(I16*1.06)</f>
        <v>109895.5</v>
      </c>
      <c r="K16" s="2553" t="s">
        <v>2048</v>
      </c>
      <c r="L16" s="3052">
        <f>SUM(I16*1.03)*(1-0.01)</f>
        <v>105717.39749999999</v>
      </c>
      <c r="M16" s="2614">
        <f>SUM(M17/M14)*1000</f>
        <v>98548.686027397256</v>
      </c>
      <c r="N16" s="2614">
        <f t="shared" ref="N16" si="22">SUM(N17/N14)*1000</f>
        <v>100844.55474452554</v>
      </c>
      <c r="O16" s="2553">
        <f t="shared" ref="O16:P16" si="23">SUM(O17/O14)*1000</f>
        <v>101310.53658536586</v>
      </c>
      <c r="P16" s="2614">
        <f t="shared" si="23"/>
        <v>105970.82126829268</v>
      </c>
      <c r="Q16" s="3249">
        <f>SUM(I16*(1+0.032)*0.99*(1+0.036)*0.99)</f>
        <v>108638.53136136</v>
      </c>
      <c r="R16" s="2614">
        <f>SUM(R17/R14)*1000</f>
        <v>111345.75644599304</v>
      </c>
      <c r="S16" s="2614">
        <f t="shared" ref="S16" si="24">SUM(S17/S14)*1000</f>
        <v>112112.38418604652</v>
      </c>
      <c r="T16" s="2553">
        <f t="shared" ref="T16" si="25">SUM(T17/T14)*1000</f>
        <v>112307.27653061226</v>
      </c>
      <c r="U16" s="2614">
        <f>SUM(T16*1.05)*(1-0.01)</f>
        <v>116743.41395357145</v>
      </c>
      <c r="V16" s="3249">
        <f>SUM(I16*(1+0.034)*0.99*1.06*0.99*(1+0.043)*0.99)</f>
        <v>114998.01401746557</v>
      </c>
      <c r="W16" s="2553">
        <f t="shared" ref="W16:Y16" si="26">SUM(W17/W14)*1000</f>
        <v>116367.00985292018</v>
      </c>
      <c r="X16" s="2553">
        <f t="shared" si="26"/>
        <v>116816.65625</v>
      </c>
      <c r="Y16" s="2553">
        <f t="shared" si="26"/>
        <v>116855.55583333333</v>
      </c>
      <c r="Z16" s="3795">
        <f>SUM(V16*(1+0.05)*0.99)</f>
        <v>119540.43557115547</v>
      </c>
      <c r="AA16" s="3967">
        <f>SUM(N16*(1+0.034)*0.99*1.06*0.99*(1+0.043)*0.99)</f>
        <v>111858.43761848105</v>
      </c>
      <c r="AB16" s="3795">
        <f>SUM(P79)</f>
        <v>135300</v>
      </c>
      <c r="AC16" s="4290">
        <f>I16*0.99*1.034*0.99*1.067*0.99*1.139*0.99*1.06</f>
        <v>132656.75512513143</v>
      </c>
      <c r="AD16" s="3637">
        <f t="shared" ref="AD16:AE16" si="27">SUM(AD17/AD14)*1000</f>
        <v>121177.08312499999</v>
      </c>
      <c r="AE16" s="3637">
        <f t="shared" si="27"/>
        <v>122232.45605263159</v>
      </c>
    </row>
    <row r="17" spans="1:31" x14ac:dyDescent="0.2">
      <c r="A17" s="3101" t="s">
        <v>1846</v>
      </c>
      <c r="B17" s="2553">
        <v>2016.39</v>
      </c>
      <c r="C17" s="2553">
        <v>1297.69</v>
      </c>
      <c r="D17" s="2553">
        <v>2538.5300000000002</v>
      </c>
      <c r="E17" s="2553">
        <v>3821.11</v>
      </c>
      <c r="F17" s="2553">
        <v>1416.66</v>
      </c>
      <c r="G17" s="2553">
        <v>3858.9029999999998</v>
      </c>
      <c r="H17" s="2553">
        <v>3713.33</v>
      </c>
      <c r="I17" s="3091">
        <f>I14*I16/1000</f>
        <v>4054.0252274447384</v>
      </c>
      <c r="J17" s="2554">
        <f>J14*J16/1000</f>
        <v>4785.9490249999999</v>
      </c>
      <c r="K17" s="2553"/>
      <c r="L17" s="3091">
        <f>L14*L16/1000</f>
        <v>4133.8895244253999</v>
      </c>
      <c r="M17" s="2614">
        <v>1798.51352</v>
      </c>
      <c r="N17" s="2553">
        <v>3453.9259999999999</v>
      </c>
      <c r="O17" s="2553">
        <v>4153.732</v>
      </c>
      <c r="P17" s="3094">
        <f>SUM(O17*1.046)</f>
        <v>4344.803672</v>
      </c>
      <c r="Q17" s="3091">
        <f>Q14*Q16/1000</f>
        <v>4248.1152332915344</v>
      </c>
      <c r="R17" s="2614">
        <v>3195.6232100000002</v>
      </c>
      <c r="S17" s="2614">
        <v>4820.8325199999999</v>
      </c>
      <c r="T17" s="2553">
        <v>5503.0565500000002</v>
      </c>
      <c r="U17" s="3094">
        <f>SUM(T17*1.046)</f>
        <v>5756.1971513000008</v>
      </c>
      <c r="V17" s="2554">
        <f>V14*V16/1000</f>
        <v>4496.7914148333639</v>
      </c>
      <c r="W17" s="2553">
        <v>1629.8363400000001</v>
      </c>
      <c r="X17" s="2553">
        <v>3738.1329999999998</v>
      </c>
      <c r="Y17" s="2553">
        <v>4206.8000099999999</v>
      </c>
      <c r="Z17" s="3974">
        <f>Z14*Z16/1000</f>
        <v>4674.414675719283</v>
      </c>
      <c r="AA17" s="3058">
        <f>AA14*AA16/1000</f>
        <v>3831.1514884329758</v>
      </c>
      <c r="AB17" s="3974">
        <f>AB14*AB16/1000</f>
        <v>5290.6642225538762</v>
      </c>
      <c r="AC17" s="3974">
        <f>AC14*AC16/1000</f>
        <v>6064.8265554084592</v>
      </c>
      <c r="AD17" s="3637">
        <v>1938.8333299999999</v>
      </c>
      <c r="AE17" s="3637">
        <v>4644.8333300000004</v>
      </c>
    </row>
    <row r="18" spans="1:31" x14ac:dyDescent="0.2">
      <c r="A18" s="2553" t="s">
        <v>105</v>
      </c>
      <c r="B18" s="2553"/>
      <c r="C18" s="2553"/>
      <c r="D18" s="2553"/>
      <c r="E18" s="2553"/>
      <c r="F18" s="2553"/>
      <c r="G18" s="2553"/>
      <c r="H18" s="2553"/>
      <c r="I18" s="3100"/>
      <c r="J18" s="2553"/>
      <c r="K18" s="2553"/>
      <c r="L18" s="2553"/>
      <c r="M18" s="2553"/>
      <c r="N18" s="2553"/>
      <c r="O18" s="2553"/>
      <c r="P18" s="2553"/>
      <c r="Q18" s="3097"/>
      <c r="R18" s="3637"/>
      <c r="S18" s="2553"/>
      <c r="T18" s="2553"/>
      <c r="U18" s="2553"/>
      <c r="V18" s="2553"/>
      <c r="W18" s="2553"/>
      <c r="X18" s="2553"/>
      <c r="Y18" s="2553"/>
      <c r="Z18" s="3970"/>
      <c r="AA18" s="3097"/>
      <c r="AB18" s="3970"/>
      <c r="AC18" s="2436"/>
      <c r="AD18" s="2553"/>
      <c r="AE18" s="2553"/>
    </row>
    <row r="19" spans="1:31" x14ac:dyDescent="0.2">
      <c r="A19" s="3101" t="s">
        <v>1844</v>
      </c>
      <c r="B19" s="2553">
        <v>179.1</v>
      </c>
      <c r="C19" s="2553">
        <v>208.73</v>
      </c>
      <c r="D19" s="2553">
        <v>325.39</v>
      </c>
      <c r="E19" s="2553">
        <v>465</v>
      </c>
      <c r="F19" s="2553"/>
      <c r="G19" s="2553">
        <v>383.4</v>
      </c>
      <c r="H19" s="2553">
        <v>422.32</v>
      </c>
      <c r="I19" s="3091">
        <f>$I$7*I20/1000</f>
        <v>321.47026994394685</v>
      </c>
      <c r="J19" s="2554">
        <f>$I$7*J20/1000</f>
        <v>335.9611646216307</v>
      </c>
      <c r="K19" s="2553"/>
      <c r="L19" s="2554">
        <f t="shared" ref="L19:L20" si="28">SUM(I19)</f>
        <v>321.47026994394685</v>
      </c>
      <c r="M19" s="2553">
        <v>171.7</v>
      </c>
      <c r="N19" s="2553">
        <v>275.60000000000002</v>
      </c>
      <c r="O19" s="2553">
        <v>397.3</v>
      </c>
      <c r="P19" s="2553">
        <v>397.3</v>
      </c>
      <c r="Q19" s="3091">
        <f>SUM(I19)</f>
        <v>321.47026994394685</v>
      </c>
      <c r="R19" s="2553">
        <v>333.6</v>
      </c>
      <c r="S19" s="2553">
        <v>353.6</v>
      </c>
      <c r="T19" s="2553">
        <v>393.6</v>
      </c>
      <c r="U19" s="2553">
        <v>397.3</v>
      </c>
      <c r="V19" s="2554">
        <f t="shared" ref="V19:V20" si="29">SUM(I19)</f>
        <v>321.47026994394685</v>
      </c>
      <c r="W19" s="2553">
        <v>169.5</v>
      </c>
      <c r="X19" s="2553">
        <v>209.32</v>
      </c>
      <c r="Y19" s="2553">
        <v>281.32</v>
      </c>
      <c r="Z19" s="3974">
        <f>SUM(V19)</f>
        <v>321.47026994394685</v>
      </c>
      <c r="AA19" s="3058">
        <f t="shared" ref="AA19:AA20" si="30">SUM(N19)</f>
        <v>275.60000000000002</v>
      </c>
      <c r="AB19" s="3974">
        <f>SUM(Z19)</f>
        <v>321.47026994394685</v>
      </c>
      <c r="AC19" s="2420">
        <f>SUM(AC7*AC20)/1000</f>
        <v>312.10993614053291</v>
      </c>
      <c r="AD19" s="3637">
        <v>206.19900000000001</v>
      </c>
      <c r="AE19" s="3637">
        <v>349.07900000000001</v>
      </c>
    </row>
    <row r="20" spans="1:31" x14ac:dyDescent="0.2">
      <c r="A20" s="3101" t="s">
        <v>1845</v>
      </c>
      <c r="B20" s="2614">
        <f>B19/B7*1000</f>
        <v>26.739684468737263</v>
      </c>
      <c r="C20" s="2614">
        <v>36.914900000000003</v>
      </c>
      <c r="D20" s="2614">
        <f>D19/D7*1000</f>
        <v>51.407428238301442</v>
      </c>
      <c r="E20" s="2614">
        <f t="shared" ref="E20:H20" si="31">E19/E7*1000</f>
        <v>68.725982855453736</v>
      </c>
      <c r="F20" s="2614"/>
      <c r="G20" s="2614">
        <f t="shared" si="31"/>
        <v>53.724717573896008</v>
      </c>
      <c r="H20" s="2614">
        <f t="shared" si="31"/>
        <v>68.725793327908875</v>
      </c>
      <c r="I20" s="3095">
        <f>D20</f>
        <v>51.407428238301442</v>
      </c>
      <c r="J20" s="2614">
        <f>SUM(G20)</f>
        <v>53.724717573896008</v>
      </c>
      <c r="K20" s="2553"/>
      <c r="L20" s="2554">
        <f t="shared" si="28"/>
        <v>51.407428238301442</v>
      </c>
      <c r="M20" s="2614">
        <f>SUM(M19/M7*1000)</f>
        <v>49.333594223860729</v>
      </c>
      <c r="N20" s="2614">
        <f t="shared" ref="N20:O20" si="32">SUM(N19/N7*1000)</f>
        <v>52.367332133343645</v>
      </c>
      <c r="O20" s="2614">
        <f t="shared" si="32"/>
        <v>57.099889019546183</v>
      </c>
      <c r="P20" s="2614">
        <f t="shared" ref="P20" si="33">SUM(P19/P7*1000)</f>
        <v>66.95556597423635</v>
      </c>
      <c r="Q20" s="3091">
        <f>SUM(I20)</f>
        <v>51.407428238301442</v>
      </c>
      <c r="R20" s="2614">
        <f>SUM(R19/R7*1000)</f>
        <v>102.60911984689835</v>
      </c>
      <c r="S20" s="2614">
        <f t="shared" ref="S20:U20" si="34">SUM(S19/S7*1000)</f>
        <v>75.059983243113479</v>
      </c>
      <c r="T20" s="2614">
        <f t="shared" si="34"/>
        <v>63.251096729985804</v>
      </c>
      <c r="U20" s="2614">
        <f t="shared" si="34"/>
        <v>66.350251840371953</v>
      </c>
      <c r="V20" s="2554">
        <f t="shared" si="29"/>
        <v>51.407428238301442</v>
      </c>
      <c r="W20" s="2614">
        <f t="shared" ref="W20:Z20" si="35">SUM(W19/W7*1000)</f>
        <v>58.100295163210411</v>
      </c>
      <c r="X20" s="2614">
        <f t="shared" si="35"/>
        <v>50.343847129027395</v>
      </c>
      <c r="Y20" s="2614">
        <f t="shared" si="35"/>
        <v>50.352892660204965</v>
      </c>
      <c r="Z20" s="3973">
        <f t="shared" si="35"/>
        <v>53.740118166298977</v>
      </c>
      <c r="AA20" s="3058">
        <f t="shared" si="30"/>
        <v>52.367332133343645</v>
      </c>
      <c r="AB20" s="3973">
        <f t="shared" ref="AB20" si="36">SUM(AB19/AB7*1000)</f>
        <v>53.740118166298977</v>
      </c>
      <c r="AC20" s="2420">
        <f>SUM(I20)</f>
        <v>51.407428238301442</v>
      </c>
      <c r="AD20" s="3920">
        <f t="shared" ref="AD20:AE20" si="37">SUM(AD19/AD7*1000)</f>
        <v>80.083190604355266</v>
      </c>
      <c r="AE20" s="3920">
        <f t="shared" si="37"/>
        <v>71.014582972237761</v>
      </c>
    </row>
    <row r="21" spans="1:31" x14ac:dyDescent="0.2">
      <c r="A21" s="3101" t="s">
        <v>128</v>
      </c>
      <c r="B21" s="2553">
        <v>12320</v>
      </c>
      <c r="C21" s="2553">
        <v>16644.07</v>
      </c>
      <c r="D21" s="2553">
        <v>15095.88</v>
      </c>
      <c r="E21" s="2553">
        <v>17754.240000000002</v>
      </c>
      <c r="F21" s="2553"/>
      <c r="G21" s="2614">
        <f>SUM(G22/G19)*1000</f>
        <v>17628.069900886803</v>
      </c>
      <c r="H21" s="2553">
        <v>18997</v>
      </c>
      <c r="I21" s="3091">
        <f>21770/1.2</f>
        <v>18141.666666666668</v>
      </c>
      <c r="J21" s="2614">
        <f>SUM(I21*1.06)</f>
        <v>19230.166666666668</v>
      </c>
      <c r="K21" s="3052" t="s">
        <v>2049</v>
      </c>
      <c r="L21" s="3052">
        <f>SUM(I21*1.03)*(1-0.01)</f>
        <v>18499.057500000003</v>
      </c>
      <c r="M21" s="2614">
        <f>SUM(M22/M19)*1000</f>
        <v>15401.515725101923</v>
      </c>
      <c r="N21" s="2614">
        <f t="shared" ref="N21:O21" si="38">SUM(N22/N19)*1000</f>
        <v>15244.491110304787</v>
      </c>
      <c r="O21" s="2614">
        <f t="shared" si="38"/>
        <v>15165.00377548452</v>
      </c>
      <c r="P21" s="2614">
        <f t="shared" ref="P21" si="39">SUM(P22/P19)*1000</f>
        <v>15862.593949156808</v>
      </c>
      <c r="Q21" s="3249">
        <f>SUM(I21*(1+0.032)*0.99*(1+0.036)*0.99)</f>
        <v>19010.21483592</v>
      </c>
      <c r="R21" s="2614">
        <f>SUM(R22/R19)*1000</f>
        <v>15885.971223021583</v>
      </c>
      <c r="S21" s="2614">
        <f t="shared" ref="S21:T21" si="40">SUM(S22/S19)*1000</f>
        <v>15906.561085972849</v>
      </c>
      <c r="T21" s="2614">
        <f t="shared" si="40"/>
        <v>15941.463414634147</v>
      </c>
      <c r="U21" s="2614">
        <f>SUM(Q21*1.05)*(1-0.01)</f>
        <v>19761.118321938844</v>
      </c>
      <c r="V21" s="3249">
        <f>SUM(I21*(1+0.034)*0.99*1.06*0.99*(1+0.043)*0.99)</f>
        <v>20123.034845753762</v>
      </c>
      <c r="W21" s="2614">
        <f t="shared" ref="W21:Y21" si="41">SUM(W22/W19)*1000</f>
        <v>16863.605604719767</v>
      </c>
      <c r="X21" s="2614">
        <f t="shared" si="41"/>
        <v>16905.583938467418</v>
      </c>
      <c r="Y21" s="2614">
        <f t="shared" si="41"/>
        <v>16786.34327456278</v>
      </c>
      <c r="Z21" s="3795">
        <f>SUM(V21*(1+0.05)*0.99)</f>
        <v>20917.894722161036</v>
      </c>
      <c r="AA21" s="3967">
        <f>SUM(N21*(1+0.034)*0.99*1.06*0.99*(1+0.043)*0.99)</f>
        <v>16909.440100235923</v>
      </c>
      <c r="AB21" s="3795">
        <f>SUM(P77)</f>
        <v>30455.56</v>
      </c>
      <c r="AC21" s="4290">
        <f>I21*0.99*1.034*0.99*1.067*0.99*1.139*0.99*1.06</f>
        <v>23213.066144796325</v>
      </c>
      <c r="AD21" s="3920">
        <f t="shared" ref="AD21:AE21" si="42">SUM(AD22/AD19)*1000</f>
        <v>19061.870814116461</v>
      </c>
      <c r="AE21" s="3920">
        <f t="shared" si="42"/>
        <v>19971.673718556543</v>
      </c>
    </row>
    <row r="22" spans="1:31" x14ac:dyDescent="0.2">
      <c r="A22" s="3101" t="s">
        <v>1846</v>
      </c>
      <c r="B22" s="2553">
        <v>2207.11</v>
      </c>
      <c r="C22" s="2553">
        <v>3474.09</v>
      </c>
      <c r="D22" s="2553">
        <v>4912.05</v>
      </c>
      <c r="E22" s="2553">
        <v>8255.7199999999993</v>
      </c>
      <c r="F22" s="2553">
        <v>3792.58</v>
      </c>
      <c r="G22" s="2553">
        <v>6758.6019999999999</v>
      </c>
      <c r="H22" s="2553">
        <v>8022.85</v>
      </c>
      <c r="I22" s="3091">
        <f>I19*I21/1000</f>
        <v>5832.006480566436</v>
      </c>
      <c r="J22" s="2554">
        <f>J19*J21/1000</f>
        <v>6460.589189201396</v>
      </c>
      <c r="K22" s="2553"/>
      <c r="L22" s="3091">
        <f>L19*L21/1000</f>
        <v>5946.8970082335954</v>
      </c>
      <c r="M22" s="2614">
        <v>2644.4402500000001</v>
      </c>
      <c r="N22" s="3094">
        <v>4201.3817499999996</v>
      </c>
      <c r="O22" s="2553">
        <v>6025.0559999999996</v>
      </c>
      <c r="P22" s="3094">
        <f>SUM(O22*1.046)</f>
        <v>6302.208576</v>
      </c>
      <c r="Q22" s="3091">
        <f>Q19*Q21/1000</f>
        <v>6111.2188949956262</v>
      </c>
      <c r="R22" s="2614">
        <v>5299.56</v>
      </c>
      <c r="S22" s="2614">
        <v>5624.56</v>
      </c>
      <c r="T22" s="2553">
        <v>6274.56</v>
      </c>
      <c r="U22" s="3094">
        <f>SUM(T22*1.046)</f>
        <v>6563.1897600000011</v>
      </c>
      <c r="V22" s="2554">
        <f>V19*V21/1000</f>
        <v>6468.9574439559101</v>
      </c>
      <c r="W22" s="2553">
        <v>2858.3811500000002</v>
      </c>
      <c r="X22" s="2553">
        <v>3538.6768299999999</v>
      </c>
      <c r="Y22" s="2553">
        <v>4722.3340900000003</v>
      </c>
      <c r="Z22" s="3974">
        <f>Z19*Z21/1000</f>
        <v>6724.4812629921698</v>
      </c>
      <c r="AA22" s="3058">
        <f>AA19*AA21/1000</f>
        <v>4660.2416916250204</v>
      </c>
      <c r="AB22" s="3974">
        <f>AB19*AB21/1000</f>
        <v>9790.55709449407</v>
      </c>
      <c r="AC22" s="2420">
        <f>AC19*AC21/1000</f>
        <v>7245.0285920783481</v>
      </c>
      <c r="AD22" s="3637">
        <v>3930.5387000000001</v>
      </c>
      <c r="AE22" s="3637">
        <v>6971.6918900000001</v>
      </c>
    </row>
    <row r="23" spans="1:31" x14ac:dyDescent="0.2">
      <c r="A23" s="2553" t="s">
        <v>101</v>
      </c>
      <c r="B23" s="2553"/>
      <c r="C23" s="2553"/>
      <c r="D23" s="2553"/>
      <c r="E23" s="2553"/>
      <c r="F23" s="2553"/>
      <c r="G23" s="2553"/>
      <c r="H23" s="2553"/>
      <c r="I23" s="3100"/>
      <c r="J23" s="2553"/>
      <c r="K23" s="2553"/>
      <c r="L23" s="2553"/>
      <c r="M23" s="2553"/>
      <c r="N23" s="2553"/>
      <c r="O23" s="2553"/>
      <c r="P23" s="2553"/>
      <c r="Q23" s="3097"/>
      <c r="R23" s="3637"/>
      <c r="S23" s="2553"/>
      <c r="T23" s="2553"/>
      <c r="U23" s="2553"/>
      <c r="V23" s="2553"/>
      <c r="W23" s="2553"/>
      <c r="X23" s="2553"/>
      <c r="Y23" s="2553"/>
      <c r="Z23" s="3970"/>
      <c r="AA23" s="3097"/>
      <c r="AB23" s="3970"/>
      <c r="AC23" s="2436"/>
      <c r="AD23" s="2553"/>
      <c r="AE23" s="2553"/>
    </row>
    <row r="24" spans="1:31" x14ac:dyDescent="0.2">
      <c r="A24" s="3101" t="s">
        <v>1844</v>
      </c>
      <c r="B24" s="2553">
        <v>8.52</v>
      </c>
      <c r="C24" s="2553">
        <v>13.08</v>
      </c>
      <c r="D24" s="2553">
        <v>16.07</v>
      </c>
      <c r="E24" s="2553">
        <v>18</v>
      </c>
      <c r="F24" s="2553"/>
      <c r="G24" s="2553">
        <v>23.54</v>
      </c>
      <c r="H24" s="2553">
        <v>16.350000000000001</v>
      </c>
      <c r="I24" s="3091">
        <f>$I$7*I25/1000</f>
        <v>16.636250404067507</v>
      </c>
      <c r="J24" s="2554">
        <f>$I$7*J25/1000</f>
        <v>20.627349544061516</v>
      </c>
      <c r="K24" s="2553"/>
      <c r="L24" s="2554">
        <f t="shared" ref="L24:L25" si="43">SUM(I24)</f>
        <v>16.636250404067507</v>
      </c>
      <c r="M24" s="2553">
        <v>4.5</v>
      </c>
      <c r="N24" s="2614">
        <v>11.025</v>
      </c>
      <c r="O24" s="2553">
        <v>17.024999999999999</v>
      </c>
      <c r="P24" s="2553">
        <v>17.024999999999999</v>
      </c>
      <c r="Q24" s="3091">
        <f>SUM(I24)</f>
        <v>16.636250404067507</v>
      </c>
      <c r="R24" s="2553">
        <v>6.71</v>
      </c>
      <c r="S24" s="2614">
        <v>9.7100000000000009</v>
      </c>
      <c r="T24" s="2553">
        <v>12.71</v>
      </c>
      <c r="U24" s="2553">
        <v>17.024999999999999</v>
      </c>
      <c r="V24" s="2554">
        <f t="shared" ref="V24:V25" si="44">SUM(I24)</f>
        <v>16.636250404067507</v>
      </c>
      <c r="W24" s="2553">
        <v>9</v>
      </c>
      <c r="X24" s="2553">
        <v>9</v>
      </c>
      <c r="Y24" s="2553">
        <v>15</v>
      </c>
      <c r="Z24" s="3974">
        <f>SUM(V24)</f>
        <v>16.636250404067507</v>
      </c>
      <c r="AA24" s="3058">
        <f t="shared" ref="AA24:AA25" si="45">SUM(N24)</f>
        <v>11.025</v>
      </c>
      <c r="AB24" s="3974">
        <f>SUM(Z24)</f>
        <v>16.636250404067507</v>
      </c>
      <c r="AC24" s="2420">
        <f>SUM(AC7*AC25)/1000</f>
        <v>16.151848356418114</v>
      </c>
      <c r="AD24" s="3637">
        <v>7.5</v>
      </c>
      <c r="AE24" s="3637">
        <v>16.7</v>
      </c>
    </row>
    <row r="25" spans="1:31" x14ac:dyDescent="0.2">
      <c r="A25" s="3101" t="s">
        <v>1845</v>
      </c>
      <c r="B25" s="2614">
        <f>B24/B7*1000</f>
        <v>1.2720385911426102</v>
      </c>
      <c r="C25" s="3102">
        <v>2.3138000000000001</v>
      </c>
      <c r="D25" s="2614">
        <f>D24/D7*1000</f>
        <v>2.5388529819278531</v>
      </c>
      <c r="E25" s="2614">
        <f t="shared" ref="E25:H25" si="46">E24/E7*1000</f>
        <v>2.6603606266627251</v>
      </c>
      <c r="F25" s="2614"/>
      <c r="G25" s="2614">
        <f t="shared" si="46"/>
        <v>3.2985911624661237</v>
      </c>
      <c r="H25" s="2614">
        <f t="shared" si="46"/>
        <v>2.6606997558991052</v>
      </c>
      <c r="I25" s="3095">
        <f>E25</f>
        <v>2.6603606266627251</v>
      </c>
      <c r="J25" s="2614">
        <f>SUM(G25)</f>
        <v>3.2985911624661237</v>
      </c>
      <c r="K25" s="2553"/>
      <c r="L25" s="2554">
        <f t="shared" si="43"/>
        <v>2.6603606266627251</v>
      </c>
      <c r="M25" s="2614">
        <f>SUM(M24/M7*1000)</f>
        <v>1.2929596622444572</v>
      </c>
      <c r="N25" s="2614">
        <f t="shared" ref="N25:O25" si="47">SUM(N24/N7*1000)</f>
        <v>2.0948832974242153</v>
      </c>
      <c r="O25" s="2614">
        <f t="shared" si="47"/>
        <v>2.4468301297703841</v>
      </c>
      <c r="P25" s="2614">
        <f t="shared" ref="P25" si="48">SUM(P24/P7*1000)</f>
        <v>2.8691631278917038</v>
      </c>
      <c r="Q25" s="3091">
        <f>SUM(I25)</f>
        <v>2.6603606266627251</v>
      </c>
      <c r="R25" s="2614">
        <f>SUM(R24/R7*1000)</f>
        <v>2.0638704861291601</v>
      </c>
      <c r="S25" s="2614">
        <f t="shared" ref="S25:U25" si="49">SUM(S24/S7*1000)</f>
        <v>2.0611777072698869</v>
      </c>
      <c r="T25" s="2614">
        <f t="shared" si="49"/>
        <v>2.0424833319057916</v>
      </c>
      <c r="U25" s="2614">
        <f t="shared" si="49"/>
        <v>2.8432243583748611</v>
      </c>
      <c r="V25" s="2554">
        <f t="shared" si="44"/>
        <v>2.6603606266627251</v>
      </c>
      <c r="W25" s="2614">
        <f t="shared" ref="W25:Z25" si="50">SUM(W24/W7*1000)</f>
        <v>3.0849714245952433</v>
      </c>
      <c r="X25" s="2614">
        <f t="shared" si="50"/>
        <v>2.1646026378809791</v>
      </c>
      <c r="Y25" s="2614">
        <f t="shared" si="50"/>
        <v>2.6848193868302093</v>
      </c>
      <c r="Z25" s="3973">
        <f t="shared" si="50"/>
        <v>2.7810785199969357</v>
      </c>
      <c r="AA25" s="3058">
        <f t="shared" si="45"/>
        <v>2.0948832974242153</v>
      </c>
      <c r="AB25" s="3973">
        <f t="shared" ref="AB25" si="51">SUM(AB24/AB7*1000)</f>
        <v>2.7810785199969357</v>
      </c>
      <c r="AC25" s="2420">
        <f>SUM(I25)</f>
        <v>2.6603606266627251</v>
      </c>
      <c r="AD25" s="3920">
        <f t="shared" ref="AD25:AE25" si="52">SUM(AD24/AD7*1000)</f>
        <v>2.9128362869493283</v>
      </c>
      <c r="AE25" s="3920">
        <f t="shared" si="52"/>
        <v>3.3973499856375504</v>
      </c>
    </row>
    <row r="26" spans="1:31" x14ac:dyDescent="0.2">
      <c r="A26" s="3101" t="s">
        <v>128</v>
      </c>
      <c r="B26" s="2553">
        <v>20560</v>
      </c>
      <c r="C26" s="2553">
        <v>28813.56</v>
      </c>
      <c r="D26" s="2553">
        <v>29577.47</v>
      </c>
      <c r="E26" s="2553">
        <v>36017.22</v>
      </c>
      <c r="F26" s="2553"/>
      <c r="G26" s="2614">
        <f>SUM(G27/G24)*1000</f>
        <v>36437.807986406122</v>
      </c>
      <c r="H26" s="2553">
        <v>38538</v>
      </c>
      <c r="I26" s="3104">
        <f>49770/1.2</f>
        <v>41475</v>
      </c>
      <c r="J26" s="2614">
        <f>SUM(I26*1.06)</f>
        <v>43963.5</v>
      </c>
      <c r="K26" s="3052" t="s">
        <v>2048</v>
      </c>
      <c r="L26" s="3052">
        <f>SUM(I26*1.03)*(1-0.01)</f>
        <v>42292.057500000003</v>
      </c>
      <c r="M26" s="2614">
        <f>SUM(M27/M24)*1000</f>
        <v>36016.948888888888</v>
      </c>
      <c r="N26" s="2614">
        <f t="shared" ref="N26:O26" si="53">SUM(N27/N24)*1000</f>
        <v>37784.978684807254</v>
      </c>
      <c r="O26" s="2614">
        <f t="shared" si="53"/>
        <v>37904.787077826724</v>
      </c>
      <c r="P26" s="2614">
        <f t="shared" ref="P26" si="54">SUM(P27/P24)*1000</f>
        <v>39648.407283406763</v>
      </c>
      <c r="Q26" s="3249">
        <f>SUM(I26*(1+0.032)*0.99*(1+0.036)*0.99)</f>
        <v>43460.651923920006</v>
      </c>
      <c r="R26" s="2614">
        <f>SUM(R27/R24)*1000</f>
        <v>39430.886736214612</v>
      </c>
      <c r="S26" s="2614">
        <f t="shared" ref="S26:T26" si="55">SUM(S27/S24)*1000</f>
        <v>42750.633367662202</v>
      </c>
      <c r="T26" s="2614">
        <f t="shared" si="55"/>
        <v>44503.229740361909</v>
      </c>
      <c r="U26" s="2614">
        <f>SUM(T26*1.05)*(1-0.01)</f>
        <v>46261.107315106208</v>
      </c>
      <c r="V26" s="3249">
        <f>SUM(I26*(1+0.034)*0.99*1.06*0.99*(1+0.043)*0.99)</f>
        <v>46004.751689166966</v>
      </c>
      <c r="W26" s="2614">
        <f t="shared" ref="W26:Y26" si="56">SUM(W27/W24)*1000</f>
        <v>50842.366666666661</v>
      </c>
      <c r="X26" s="2614">
        <f t="shared" si="56"/>
        <v>50842.366666666661</v>
      </c>
      <c r="Y26" s="2614">
        <f t="shared" si="56"/>
        <v>56613.32</v>
      </c>
      <c r="Z26" s="3971">
        <f>SUM(Y26*(1+0.1)*0.99*(1+0.05)*0.99)</f>
        <v>64087.155746459997</v>
      </c>
      <c r="AA26" s="3967">
        <f>SUM(N26*(1+0.034)*0.99*1.06*0.99*(1+0.043)*0.99)</f>
        <v>41911.719396625056</v>
      </c>
      <c r="AB26" s="3971">
        <f>SUM(P80)</f>
        <v>50416.663000000008</v>
      </c>
      <c r="AC26" s="4290">
        <f>I26*0.99*1.034*0.99*1.067*0.99*1.139*0.99*1.06</f>
        <v>53069.099771544017</v>
      </c>
      <c r="AD26" s="3920">
        <f t="shared" ref="AD26:AE26" si="57">SUM(AD27/AD24)*1000</f>
        <v>52593.369333333336</v>
      </c>
      <c r="AE26" s="3920">
        <f t="shared" si="57"/>
        <v>50043.468263473049</v>
      </c>
    </row>
    <row r="27" spans="1:31" x14ac:dyDescent="0.2">
      <c r="A27" s="3101" t="s">
        <v>1846</v>
      </c>
      <c r="B27" s="2553">
        <v>172.54</v>
      </c>
      <c r="C27" s="2553">
        <v>376.96</v>
      </c>
      <c r="D27" s="2553">
        <v>475.31</v>
      </c>
      <c r="E27" s="2553">
        <v>648.30999999999995</v>
      </c>
      <c r="F27" s="2553">
        <v>411.52</v>
      </c>
      <c r="G27" s="2553">
        <v>857.74599999999998</v>
      </c>
      <c r="H27" s="2553">
        <v>630.02</v>
      </c>
      <c r="I27" s="3091">
        <f>I24*I26/1000</f>
        <v>689.98848550869991</v>
      </c>
      <c r="J27" s="2554">
        <f>J24*J26/1000</f>
        <v>906.85048168034848</v>
      </c>
      <c r="K27" s="2553"/>
      <c r="L27" s="3091">
        <f>L24*L26/1000</f>
        <v>703.58125867322133</v>
      </c>
      <c r="M27" s="2553">
        <v>162.07626999999999</v>
      </c>
      <c r="N27" s="2614">
        <v>416.57938999999999</v>
      </c>
      <c r="O27" s="2553">
        <v>645.32899999999995</v>
      </c>
      <c r="P27" s="3094">
        <f>SUM(O27*1.046)</f>
        <v>675.01413400000001</v>
      </c>
      <c r="Q27" s="3091">
        <f>Q24*Q26/1000</f>
        <v>723.02228813035151</v>
      </c>
      <c r="R27" s="2553">
        <v>264.58125000000001</v>
      </c>
      <c r="S27" s="2614">
        <v>415.10865000000001</v>
      </c>
      <c r="T27" s="2553">
        <v>565.63604999999995</v>
      </c>
      <c r="U27" s="3094">
        <f>SUM(T27*1.046)</f>
        <v>591.6553083</v>
      </c>
      <c r="V27" s="2554">
        <f>V24*V26/1000</f>
        <v>765.34656887792926</v>
      </c>
      <c r="W27" s="2553">
        <v>457.5813</v>
      </c>
      <c r="X27" s="2553">
        <v>457.5813</v>
      </c>
      <c r="Y27" s="2553">
        <v>849.19979999999998</v>
      </c>
      <c r="Z27" s="2420">
        <f>Z24*Z26/1000</f>
        <v>1066.1699706825823</v>
      </c>
      <c r="AA27" s="3058">
        <f>AA24*AA26/1000</f>
        <v>462.07670634779123</v>
      </c>
      <c r="AB27" s="2420">
        <f>AB24*AB26/1000</f>
        <v>838.74423020548545</v>
      </c>
      <c r="AC27" s="2420">
        <f>AC24*AC26/1000</f>
        <v>857.16405192160209</v>
      </c>
      <c r="AD27" s="3637">
        <v>394.45026999999999</v>
      </c>
      <c r="AE27" s="3637">
        <v>835.72591999999997</v>
      </c>
    </row>
    <row r="28" spans="1:31" x14ac:dyDescent="0.2">
      <c r="A28" s="2553" t="s">
        <v>402</v>
      </c>
      <c r="B28" s="2553"/>
      <c r="C28" s="2553"/>
      <c r="D28" s="2553"/>
      <c r="E28" s="2553"/>
      <c r="F28" s="2553"/>
      <c r="G28" s="2553"/>
      <c r="H28" s="2553"/>
      <c r="I28" s="3100"/>
      <c r="J28" s="2553"/>
      <c r="K28" s="2553"/>
      <c r="L28" s="2553"/>
      <c r="M28" s="2553"/>
      <c r="N28" s="2553"/>
      <c r="O28" s="2553"/>
      <c r="P28" s="2553"/>
      <c r="Q28" s="3097"/>
      <c r="R28" s="3637"/>
      <c r="S28" s="2553"/>
      <c r="T28" s="2553"/>
      <c r="U28" s="2553"/>
      <c r="V28" s="2553"/>
      <c r="W28" s="2553"/>
      <c r="X28" s="2553"/>
      <c r="Y28" s="2553"/>
      <c r="Z28" s="3970"/>
      <c r="AA28" s="3097"/>
      <c r="AB28" s="3970"/>
      <c r="AC28" s="2436"/>
      <c r="AD28" s="2553"/>
      <c r="AE28" s="2553"/>
    </row>
    <row r="29" spans="1:31" x14ac:dyDescent="0.2">
      <c r="A29" s="3101" t="s">
        <v>1844</v>
      </c>
      <c r="B29" s="2553">
        <v>9.1300000000000008</v>
      </c>
      <c r="C29" s="2553">
        <v>17.010000000000002</v>
      </c>
      <c r="D29" s="2553">
        <v>20.25</v>
      </c>
      <c r="E29" s="2553">
        <v>29.8</v>
      </c>
      <c r="F29" s="2553"/>
      <c r="G29" s="2553">
        <v>26.99</v>
      </c>
      <c r="H29" s="2553">
        <v>27.06</v>
      </c>
      <c r="I29" s="3091">
        <f>$I$7*I30/1000</f>
        <v>27.542236780067327</v>
      </c>
      <c r="J29" s="2554">
        <f>$I$7*J30/1000</f>
        <v>27.542236780067327</v>
      </c>
      <c r="K29" s="2553"/>
      <c r="L29" s="2554">
        <f t="shared" ref="L29:L30" si="58">SUM(I29)</f>
        <v>27.542236780067327</v>
      </c>
      <c r="M29" s="2553">
        <v>18.899999999999999</v>
      </c>
      <c r="N29" s="2553">
        <v>31.9</v>
      </c>
      <c r="O29" s="2553">
        <v>31.9</v>
      </c>
      <c r="P29" s="2553">
        <v>31.9</v>
      </c>
      <c r="Q29" s="3091">
        <f>SUM(I29)</f>
        <v>27.542236780067327</v>
      </c>
      <c r="R29" s="2553">
        <v>25.324999999999999</v>
      </c>
      <c r="S29" s="2553">
        <v>25.324999999999999</v>
      </c>
      <c r="T29" s="2553">
        <v>25.324999999999999</v>
      </c>
      <c r="U29" s="2553">
        <v>31.9</v>
      </c>
      <c r="V29" s="2554">
        <f t="shared" ref="V29:V30" si="59">SUM(I29)</f>
        <v>27.542236780067327</v>
      </c>
      <c r="W29" s="2553">
        <v>5.0000000000000001E-3</v>
      </c>
      <c r="X29" s="2553">
        <v>10</v>
      </c>
      <c r="Y29" s="2553">
        <v>10</v>
      </c>
      <c r="Z29" s="3974">
        <f>SUM(V29)</f>
        <v>27.542236780067327</v>
      </c>
      <c r="AA29" s="3058">
        <f t="shared" ref="AA29:AA30" si="60">SUM(N29)</f>
        <v>31.9</v>
      </c>
      <c r="AB29" s="3974">
        <f>SUM(Z29)</f>
        <v>27.542236780067327</v>
      </c>
      <c r="AC29" s="2420">
        <f>SUM(AC7*AC30)/1000</f>
        <v>26.74028227895888</v>
      </c>
      <c r="AD29" s="3637">
        <v>6</v>
      </c>
      <c r="AE29" s="3637">
        <v>12</v>
      </c>
    </row>
    <row r="30" spans="1:31" x14ac:dyDescent="0.2">
      <c r="A30" s="3101" t="s">
        <v>1845</v>
      </c>
      <c r="B30" s="2614">
        <f>B29/B7*1000</f>
        <v>1.3631117766586891</v>
      </c>
      <c r="C30" s="2614">
        <v>3.008</v>
      </c>
      <c r="D30" s="2614">
        <f>D29/D7*1000</f>
        <v>3.1992391340410098</v>
      </c>
      <c r="E30" s="2614">
        <f t="shared" ref="E30:H30" si="61">E29/E7*1000</f>
        <v>4.4043748152527344</v>
      </c>
      <c r="F30" s="2614"/>
      <c r="G30" s="2614">
        <f t="shared" si="61"/>
        <v>3.7820295443908534</v>
      </c>
      <c r="H30" s="2614">
        <f t="shared" si="61"/>
        <v>4.4035801464605369</v>
      </c>
      <c r="I30" s="3091">
        <f>E30</f>
        <v>4.4043748152527344</v>
      </c>
      <c r="J30" s="2614">
        <f>SUM(I30)</f>
        <v>4.4043748152527344</v>
      </c>
      <c r="K30" s="2553"/>
      <c r="L30" s="2554">
        <f t="shared" si="58"/>
        <v>4.4043748152527344</v>
      </c>
      <c r="M30" s="2614">
        <f>SUM(M29/M7*1000)</f>
        <v>5.4304305814267204</v>
      </c>
      <c r="N30" s="2614">
        <f t="shared" ref="N30:O30" si="62">SUM(N29/N7*1000)</f>
        <v>6.0613856859711985</v>
      </c>
      <c r="O30" s="2614">
        <f t="shared" si="62"/>
        <v>4.5846626220073574</v>
      </c>
      <c r="P30" s="2614">
        <f t="shared" ref="P30" si="63">SUM(P29/P7*1000)</f>
        <v>5.3759943482963495</v>
      </c>
      <c r="Q30" s="3091">
        <f>SUM(I30)</f>
        <v>4.4043748152527344</v>
      </c>
      <c r="R30" s="2614">
        <f>SUM(R29/R7*1000)</f>
        <v>7.7894962833414283</v>
      </c>
      <c r="S30" s="2614">
        <f t="shared" ref="S30:U30" si="64">SUM(S29/S7*1000)</f>
        <v>5.3758316618547761</v>
      </c>
      <c r="T30" s="2614">
        <f t="shared" si="64"/>
        <v>4.0697002659727897</v>
      </c>
      <c r="U30" s="2614">
        <f t="shared" si="64"/>
        <v>5.3273924835335142</v>
      </c>
      <c r="V30" s="2554">
        <f t="shared" si="59"/>
        <v>4.4043748152527344</v>
      </c>
      <c r="W30" s="2614">
        <f t="shared" ref="W30:Z30" si="65">SUM(W29/W7*1000)</f>
        <v>1.713873013664024E-3</v>
      </c>
      <c r="X30" s="2614">
        <f t="shared" si="65"/>
        <v>2.4051140420899766</v>
      </c>
      <c r="Y30" s="2614">
        <f t="shared" si="65"/>
        <v>1.7898795912201395</v>
      </c>
      <c r="Z30" s="3973">
        <f t="shared" si="65"/>
        <v>4.6042299942171496</v>
      </c>
      <c r="AA30" s="3058">
        <f t="shared" si="60"/>
        <v>6.0613856859711985</v>
      </c>
      <c r="AB30" s="3973">
        <f t="shared" ref="AB30" si="66">SUM(AB29/AB7*1000)</f>
        <v>4.6042299942171496</v>
      </c>
      <c r="AC30" s="2420">
        <f>SUM(I30)</f>
        <v>4.4043748152527344</v>
      </c>
      <c r="AD30" s="3920">
        <f t="shared" ref="AD30:AE30" si="67">SUM(AD29/AD7*1000)</f>
        <v>2.3302690295594628</v>
      </c>
      <c r="AE30" s="3920">
        <f t="shared" si="67"/>
        <v>2.4412095705180006</v>
      </c>
    </row>
    <row r="31" spans="1:31" x14ac:dyDescent="0.2">
      <c r="A31" s="3101" t="s">
        <v>128</v>
      </c>
      <c r="B31" s="2553">
        <v>18830</v>
      </c>
      <c r="C31" s="2553">
        <v>14833.9</v>
      </c>
      <c r="D31" s="2553">
        <v>18097.28</v>
      </c>
      <c r="E31" s="2553">
        <v>22881.21</v>
      </c>
      <c r="F31" s="2553"/>
      <c r="G31" s="2614">
        <f>SUM(G32/G29)*1000</f>
        <v>22033.901444979627</v>
      </c>
      <c r="H31" s="2553">
        <v>24483</v>
      </c>
      <c r="I31" s="3091">
        <f>32100/1.2</f>
        <v>26750</v>
      </c>
      <c r="J31" s="2614">
        <f>SUM(I31*1.06)</f>
        <v>28355</v>
      </c>
      <c r="K31" s="2553" t="s">
        <v>1872</v>
      </c>
      <c r="L31" s="3052">
        <f>SUM(I31*1.03)*(1-0.01)</f>
        <v>27276.974999999999</v>
      </c>
      <c r="M31" s="2614">
        <f>SUM(M32/M29)*1000</f>
        <v>24321.308994708997</v>
      </c>
      <c r="N31" s="2614">
        <f t="shared" ref="N31:O31" si="68">SUM(N32/N29)*1000</f>
        <v>24463.408777429468</v>
      </c>
      <c r="O31" s="2614">
        <f t="shared" si="68"/>
        <v>24463.416927899689</v>
      </c>
      <c r="P31" s="2614">
        <f t="shared" ref="P31" si="69">SUM(P32/P29)*1000</f>
        <v>25588.734106583077</v>
      </c>
      <c r="Q31" s="3249">
        <f>SUM(I31*(1+0.032)*0.99*(1+0.036)*0.99)</f>
        <v>28030.679661599999</v>
      </c>
      <c r="R31" s="2614">
        <f>SUM(R32/R29)*1000</f>
        <v>25325.478775913129</v>
      </c>
      <c r="S31" s="2614">
        <f t="shared" ref="S31:T31" si="70">SUM(S32/S29)*1000</f>
        <v>25325.478775913129</v>
      </c>
      <c r="T31" s="2614">
        <f t="shared" si="70"/>
        <v>25325.478775913129</v>
      </c>
      <c r="U31" s="2614">
        <f>SUM(Q31*1.05)*(1-0.01)</f>
        <v>29137.891508233199</v>
      </c>
      <c r="V31" s="3249">
        <f>SUM(I31*(1+0.034)*0.99*1.06*0.99*(1+0.043)*0.99)</f>
        <v>29671.539666912988</v>
      </c>
      <c r="W31" s="2614">
        <f t="shared" ref="W31:Y31" si="71">SUM(W32/W29)*1000</f>
        <v>25500</v>
      </c>
      <c r="X31" s="2614">
        <f t="shared" si="71"/>
        <v>25500</v>
      </c>
      <c r="Y31" s="2614">
        <f t="shared" si="71"/>
        <v>25500</v>
      </c>
      <c r="Z31" s="3795">
        <f>SUM(V31*(1+0.05)*0.99)</f>
        <v>30843.565483756051</v>
      </c>
      <c r="AA31" s="3967">
        <f>SUM(N31*(1+0.034)*0.99*1.06*0.99*(1+0.043)*0.99)</f>
        <v>27135.215100089939</v>
      </c>
      <c r="AB31" s="3795">
        <f>SUM(P76)</f>
        <v>41662.5</v>
      </c>
      <c r="AC31" s="4290">
        <f>I31*0.99*1.034*0.99*1.067*0.99*1.139*0.99*1.06</f>
        <v>34227.809979235746</v>
      </c>
      <c r="AD31" s="3920">
        <f t="shared" ref="AD31:AE31" si="72">SUM(AD32/AD29)*1000</f>
        <v>27509.533333333333</v>
      </c>
      <c r="AE31" s="3920">
        <f t="shared" si="72"/>
        <v>31406.25</v>
      </c>
    </row>
    <row r="32" spans="1:31" x14ac:dyDescent="0.2">
      <c r="A32" s="3101" t="s">
        <v>1846</v>
      </c>
      <c r="B32" s="2553">
        <v>171.83</v>
      </c>
      <c r="C32" s="2553">
        <v>252.3</v>
      </c>
      <c r="D32" s="2553">
        <v>366.47</v>
      </c>
      <c r="E32" s="2553">
        <v>681.86</v>
      </c>
      <c r="F32" s="2553">
        <v>275.43</v>
      </c>
      <c r="G32" s="2553">
        <v>594.69500000000005</v>
      </c>
      <c r="H32" s="2553">
        <v>662.63</v>
      </c>
      <c r="I32" s="3091">
        <f>I29*I31/1000</f>
        <v>736.75483386680105</v>
      </c>
      <c r="J32" s="2554">
        <f>J29*J31/1000</f>
        <v>780.96012389880912</v>
      </c>
      <c r="K32" s="2553"/>
      <c r="L32" s="3091">
        <f>L29*L31/1000</f>
        <v>751.26890409397697</v>
      </c>
      <c r="M32" s="2614">
        <v>459.67273999999998</v>
      </c>
      <c r="N32" s="2553">
        <v>780.38274000000001</v>
      </c>
      <c r="O32" s="2553">
        <v>780.38300000000004</v>
      </c>
      <c r="P32" s="3094">
        <f>SUM(O32*1.046)</f>
        <v>816.28061800000012</v>
      </c>
      <c r="Q32" s="3091">
        <f>Q29*Q31/1000</f>
        <v>772.02761634600461</v>
      </c>
      <c r="R32" s="2614">
        <v>641.36775</v>
      </c>
      <c r="S32" s="2614">
        <v>641.36775</v>
      </c>
      <c r="T32" s="2553">
        <v>641.36775</v>
      </c>
      <c r="U32" s="3094">
        <f>SUM(T32*1.046)</f>
        <v>670.87066650000008</v>
      </c>
      <c r="V32" s="2554">
        <f>V29*V31/1000</f>
        <v>817.22057113527751</v>
      </c>
      <c r="W32" s="2553">
        <v>0.1275</v>
      </c>
      <c r="X32" s="2553">
        <v>255</v>
      </c>
      <c r="Y32" s="2553">
        <v>255</v>
      </c>
      <c r="Z32" s="2420">
        <f>Z29*Z31/1000</f>
        <v>849.50078369512096</v>
      </c>
      <c r="AA32" s="3058">
        <f>AA29*AA31/1000</f>
        <v>865.61336169286903</v>
      </c>
      <c r="AB32" s="2420">
        <f>AB29*AB31/1000</f>
        <v>1147.4784398495551</v>
      </c>
      <c r="AC32" s="2420">
        <f>AC29*AC31/1000</f>
        <v>915.26130063532958</v>
      </c>
      <c r="AD32" s="3637">
        <v>165.05719999999999</v>
      </c>
      <c r="AE32" s="3637">
        <v>376.875</v>
      </c>
    </row>
    <row r="33" spans="1:31" x14ac:dyDescent="0.2">
      <c r="A33" s="2553" t="s">
        <v>887</v>
      </c>
      <c r="B33" s="2553"/>
      <c r="C33" s="2553"/>
      <c r="D33" s="2553"/>
      <c r="E33" s="2553"/>
      <c r="F33" s="2553"/>
      <c r="G33" s="2553"/>
      <c r="H33" s="2553"/>
      <c r="I33" s="3100"/>
      <c r="J33" s="2553"/>
      <c r="K33" s="2553"/>
      <c r="L33" s="2553"/>
      <c r="M33" s="2553"/>
      <c r="N33" s="2553"/>
      <c r="O33" s="2553"/>
      <c r="P33" s="2553"/>
      <c r="Q33" s="3097"/>
      <c r="R33" s="3637"/>
      <c r="S33" s="2553"/>
      <c r="T33" s="2553"/>
      <c r="U33" s="2553"/>
      <c r="V33" s="2553"/>
      <c r="W33" s="2553"/>
      <c r="X33" s="2553"/>
      <c r="Y33" s="2553"/>
      <c r="Z33" s="3970"/>
      <c r="AA33" s="3097"/>
      <c r="AB33" s="3970"/>
      <c r="AC33" s="2436"/>
      <c r="AD33" s="2553"/>
      <c r="AE33" s="2553"/>
    </row>
    <row r="34" spans="1:31" x14ac:dyDescent="0.2">
      <c r="A34" s="3101" t="s">
        <v>1844</v>
      </c>
      <c r="B34" s="2553">
        <v>0.38</v>
      </c>
      <c r="C34" s="2553">
        <v>0.31</v>
      </c>
      <c r="D34" s="2553">
        <v>0.4</v>
      </c>
      <c r="E34" s="2553">
        <v>0.48</v>
      </c>
      <c r="F34" s="2553"/>
      <c r="G34" s="2553">
        <v>0.45</v>
      </c>
      <c r="H34" s="2553">
        <v>0.43</v>
      </c>
      <c r="I34" s="3091">
        <f>$I$7*I35/1000</f>
        <v>0.43758407196985744</v>
      </c>
      <c r="J34" s="2553">
        <v>0.45</v>
      </c>
      <c r="K34" s="2553"/>
      <c r="L34" s="2554">
        <f t="shared" ref="L34:L35" si="73">SUM(I34)</f>
        <v>0.43758407196985744</v>
      </c>
      <c r="M34" s="2553">
        <v>0.15</v>
      </c>
      <c r="N34" s="2553">
        <v>0.25</v>
      </c>
      <c r="O34" s="2553">
        <v>0.4</v>
      </c>
      <c r="P34" s="2553">
        <v>0.4</v>
      </c>
      <c r="Q34" s="3091">
        <f>SUM(I34)</f>
        <v>0.43758407196985744</v>
      </c>
      <c r="R34" s="2553">
        <v>0.15</v>
      </c>
      <c r="S34" s="2553">
        <v>0.35</v>
      </c>
      <c r="T34" s="2553">
        <v>0.35</v>
      </c>
      <c r="U34" s="2553">
        <v>0.44</v>
      </c>
      <c r="V34" s="2554">
        <f t="shared" ref="V34:V35" si="74">SUM(I34)</f>
        <v>0.43758407196985744</v>
      </c>
      <c r="W34" s="2553">
        <v>0.125</v>
      </c>
      <c r="X34" s="2553">
        <v>0.125</v>
      </c>
      <c r="Y34" s="2553">
        <v>0.32500000000000001</v>
      </c>
      <c r="Z34" s="3974">
        <f>SUM(V34)</f>
        <v>0.43758407196985744</v>
      </c>
      <c r="AA34" s="3058">
        <f t="shared" ref="AA34:AA35" si="75">SUM(N34)</f>
        <v>0.25</v>
      </c>
      <c r="AB34" s="3974">
        <f>SUM(Z34)</f>
        <v>0.43758407196985744</v>
      </c>
      <c r="AC34" s="2420">
        <f>SUM(AC7*AC35)/1000</f>
        <v>0.42484282226919567</v>
      </c>
      <c r="AD34" s="3637">
        <v>0.25</v>
      </c>
      <c r="AE34" s="3637">
        <v>0.25</v>
      </c>
    </row>
    <row r="35" spans="1:31" x14ac:dyDescent="0.2">
      <c r="A35" s="3101" t="s">
        <v>1845</v>
      </c>
      <c r="B35" s="3094">
        <f>B34/B7*1000</f>
        <v>5.6734115567393412E-2</v>
      </c>
      <c r="C35" s="3094">
        <v>5.4899999999999997E-2</v>
      </c>
      <c r="D35" s="3094">
        <f>D34/D7*1000</f>
        <v>6.3194847092168105E-2</v>
      </c>
      <c r="E35" s="3094">
        <f t="shared" ref="E35:H35" si="76">E34/E7*1000</f>
        <v>7.0942950044339342E-2</v>
      </c>
      <c r="F35" s="3094"/>
      <c r="G35" s="3094">
        <f t="shared" si="76"/>
        <v>6.3057180251051656E-2</v>
      </c>
      <c r="H35" s="3094">
        <f t="shared" si="76"/>
        <v>6.9975589910496336E-2</v>
      </c>
      <c r="I35" s="3091">
        <f>H35</f>
        <v>6.9975589910496336E-2</v>
      </c>
      <c r="J35" s="2614">
        <f t="shared" ref="J35" si="77">J34/J7*1000</f>
        <v>7.1961064117279941E-2</v>
      </c>
      <c r="K35" s="2553"/>
      <c r="L35" s="2554">
        <f t="shared" si="73"/>
        <v>6.9975589910496336E-2</v>
      </c>
      <c r="M35" s="3094">
        <f>SUM(M34/M7*1000)</f>
        <v>4.309865540814857E-2</v>
      </c>
      <c r="N35" s="3094">
        <f t="shared" ref="N35:O35" si="78">SUM(N34/N7*1000)</f>
        <v>4.7503022617329138E-2</v>
      </c>
      <c r="O35" s="3094">
        <f t="shared" si="78"/>
        <v>5.7487932564355589E-2</v>
      </c>
      <c r="P35" s="3094">
        <f t="shared" ref="P35" si="79">SUM(P34/P7*1000)</f>
        <v>6.7410587439452663E-2</v>
      </c>
      <c r="Q35" s="3091">
        <f>SUM(I35)</f>
        <v>6.9975589910496336E-2</v>
      </c>
      <c r="R35" s="3094">
        <f>SUM(R34/R7*1000)</f>
        <v>4.6137194175763639E-2</v>
      </c>
      <c r="S35" s="3094">
        <f t="shared" ref="S35:U35" si="80">SUM(S34/S7*1000)</f>
        <v>7.4295797893353263E-2</v>
      </c>
      <c r="T35" s="3094">
        <f t="shared" si="80"/>
        <v>5.6244623616603213E-2</v>
      </c>
      <c r="U35" s="3094">
        <f t="shared" si="80"/>
        <v>7.3481275634945026E-2</v>
      </c>
      <c r="V35" s="2554">
        <f t="shared" si="74"/>
        <v>6.9975589910496336E-2</v>
      </c>
      <c r="W35" s="3094">
        <f t="shared" ref="W35:Z35" si="81">SUM(W34/W7*1000)</f>
        <v>4.2846825341600593E-2</v>
      </c>
      <c r="X35" s="3094">
        <f t="shared" si="81"/>
        <v>3.0063925526124712E-2</v>
      </c>
      <c r="Y35" s="3094">
        <f t="shared" si="81"/>
        <v>5.8171086714654534E-2</v>
      </c>
      <c r="Z35" s="3972">
        <f t="shared" si="81"/>
        <v>7.3150838301317106E-2</v>
      </c>
      <c r="AA35" s="3058">
        <f t="shared" si="75"/>
        <v>4.7503022617329138E-2</v>
      </c>
      <c r="AB35" s="3972">
        <f t="shared" ref="AB35" si="82">SUM(AB34/AB7*1000)</f>
        <v>7.3150838301317106E-2</v>
      </c>
      <c r="AC35" s="2420">
        <f>SUM(I35)</f>
        <v>6.9975589910496336E-2</v>
      </c>
      <c r="AD35" s="4742">
        <f t="shared" ref="AD35:AE35" si="83">SUM(AD34/AD7*1000)</f>
        <v>9.7094542898310945E-2</v>
      </c>
      <c r="AE35" s="4742">
        <f t="shared" si="83"/>
        <v>5.0858532719125014E-2</v>
      </c>
    </row>
    <row r="36" spans="1:31" x14ac:dyDescent="0.2">
      <c r="A36" s="3101" t="s">
        <v>128</v>
      </c>
      <c r="B36" s="2553">
        <v>274590</v>
      </c>
      <c r="C36" s="2553">
        <v>308480.64000000001</v>
      </c>
      <c r="D36" s="2553">
        <v>327500</v>
      </c>
      <c r="E36" s="2553">
        <v>286000</v>
      </c>
      <c r="F36" s="2553"/>
      <c r="G36" s="2614">
        <f>SUM(G37/G34)*1000</f>
        <v>293995.55555555556</v>
      </c>
      <c r="H36" s="2553">
        <v>306020</v>
      </c>
      <c r="I36" s="3091">
        <f>I91*1000</f>
        <v>340090</v>
      </c>
      <c r="J36" s="2614">
        <f>SUM(I36*1.06)</f>
        <v>360495.4</v>
      </c>
      <c r="K36" s="2553" t="s">
        <v>1872</v>
      </c>
      <c r="L36" s="3052">
        <f>SUM(I36*1.03)*(1-0.01)</f>
        <v>346789.77299999999</v>
      </c>
      <c r="M36" s="2614">
        <f>SUM(M37/M34)*1000</f>
        <v>317500</v>
      </c>
      <c r="N36" s="2614">
        <f t="shared" ref="N36:O36" si="84">SUM(N37/N34)*1000</f>
        <v>322500</v>
      </c>
      <c r="O36" s="2614">
        <f t="shared" si="84"/>
        <v>345977.49999999994</v>
      </c>
      <c r="P36" s="2614">
        <f t="shared" ref="P36" si="85">SUM(P37/P34)*1000</f>
        <v>361892.46499999997</v>
      </c>
      <c r="Q36" s="3249">
        <f>SUM(I36*(1+0.032)*0.99*(1+0.036)*0.99)</f>
        <v>356372.10639676801</v>
      </c>
      <c r="R36" s="2614">
        <f>SUM(R37/R34)*1000</f>
        <v>348801.8666666667</v>
      </c>
      <c r="S36" s="2614">
        <f t="shared" ref="S36:T36" si="86">SUM(S37/S34)*1000</f>
        <v>330915.08571428573</v>
      </c>
      <c r="T36" s="2614">
        <f t="shared" si="86"/>
        <v>330915.08571428573</v>
      </c>
      <c r="U36" s="2614">
        <f>SUM(Q36*1.05)*(1-0.01)</f>
        <v>370448.80459944031</v>
      </c>
      <c r="V36" s="3249">
        <f>SUM(I36*(1+0.034)*0.99*1.06*0.99*(1+0.043)*0.99)</f>
        <v>377233.41776898841</v>
      </c>
      <c r="W36" s="2614">
        <f t="shared" ref="W36:Y36" si="87">SUM(W37/W34)*1000</f>
        <v>330300</v>
      </c>
      <c r="X36" s="2614">
        <f t="shared" si="87"/>
        <v>330300</v>
      </c>
      <c r="Y36" s="2614">
        <f t="shared" si="87"/>
        <v>342115.38461538457</v>
      </c>
      <c r="Z36" s="3795">
        <f>SUM(V36*(1+0.05)*0.99)</f>
        <v>392134.13777086342</v>
      </c>
      <c r="AA36" s="3967">
        <f>SUM(N36*(1+0.034)*0.99*1.06*0.99*(1+0.043)*0.99)</f>
        <v>357722.30065717525</v>
      </c>
      <c r="AB36" s="3795">
        <f>SUM(P78)</f>
        <v>418000.00000000006</v>
      </c>
      <c r="AC36" s="4290">
        <f>I36*0.99*1.034*0.99*1.067*0.99*1.139*0.99*1.06</f>
        <v>435160.22040516947</v>
      </c>
      <c r="AD36" s="3920">
        <f t="shared" ref="AD36:AE36" si="88">SUM(AD37/AD34)*1000</f>
        <v>425000</v>
      </c>
      <c r="AE36" s="3920">
        <f t="shared" si="88"/>
        <v>425000</v>
      </c>
    </row>
    <row r="37" spans="1:31" x14ac:dyDescent="0.2">
      <c r="A37" s="3101" t="s">
        <v>1846</v>
      </c>
      <c r="B37" s="2553">
        <v>102.97</v>
      </c>
      <c r="C37" s="2553">
        <v>95.76</v>
      </c>
      <c r="D37" s="2553">
        <v>131</v>
      </c>
      <c r="E37" s="2553">
        <v>135.85</v>
      </c>
      <c r="F37" s="2553">
        <v>104.54</v>
      </c>
      <c r="G37" s="2553">
        <v>132.298</v>
      </c>
      <c r="H37" s="2553">
        <v>132.02000000000001</v>
      </c>
      <c r="I37" s="3091">
        <f>I34*I36/1000</f>
        <v>148.81796703622879</v>
      </c>
      <c r="J37" s="2554">
        <f>J34*J36/1000</f>
        <v>162.22293000000002</v>
      </c>
      <c r="K37" s="2553"/>
      <c r="L37" s="3091">
        <f>L34*L36/1000</f>
        <v>151.74968098684252</v>
      </c>
      <c r="M37" s="2553">
        <v>47.625</v>
      </c>
      <c r="N37" s="2553">
        <v>80.625</v>
      </c>
      <c r="O37" s="2553">
        <v>138.39099999999999</v>
      </c>
      <c r="P37" s="3094">
        <f>SUM(O37*1.046)</f>
        <v>144.75698599999998</v>
      </c>
      <c r="Q37" s="3091">
        <f>Q34*Q36/1000</f>
        <v>155.94275745357302</v>
      </c>
      <c r="R37" s="2553">
        <v>52.320279999999997</v>
      </c>
      <c r="S37" s="2614">
        <v>115.82028</v>
      </c>
      <c r="T37" s="2553">
        <v>115.82028</v>
      </c>
      <c r="U37" s="3094">
        <f>SUM(T37*1.046)</f>
        <v>121.14801288</v>
      </c>
      <c r="V37" s="2554">
        <f>V34*V36/1000</f>
        <v>165.07133503046032</v>
      </c>
      <c r="W37" s="2553">
        <v>41.287500000000001</v>
      </c>
      <c r="X37" s="2553">
        <v>41.287500000000001</v>
      </c>
      <c r="Y37" s="2553">
        <v>111.1875</v>
      </c>
      <c r="Z37" s="2420">
        <f>Z34*Z36/1000</f>
        <v>171.59165276416351</v>
      </c>
      <c r="AA37" s="3058">
        <f>AA34*AA36/1000</f>
        <v>89.430575164293813</v>
      </c>
      <c r="AB37" s="2420">
        <f>AB34*AB36/1000</f>
        <v>182.91014208340042</v>
      </c>
      <c r="AC37" s="2420">
        <f>AC34*AC36/1000</f>
        <v>184.87469617621744</v>
      </c>
      <c r="AD37" s="3637">
        <v>106.25</v>
      </c>
      <c r="AE37" s="3637">
        <v>106.25</v>
      </c>
    </row>
    <row r="38" spans="1:31" x14ac:dyDescent="0.2">
      <c r="A38" s="2553" t="s">
        <v>888</v>
      </c>
      <c r="B38" s="2553"/>
      <c r="C38" s="2553"/>
      <c r="D38" s="2553"/>
      <c r="E38" s="2553"/>
      <c r="F38" s="2553"/>
      <c r="G38" s="2553"/>
      <c r="H38" s="2553"/>
      <c r="I38" s="3100"/>
      <c r="J38" s="2553"/>
      <c r="K38" s="2553"/>
      <c r="L38" s="2553"/>
      <c r="M38" s="2553"/>
      <c r="N38" s="2553"/>
      <c r="O38" s="2553"/>
      <c r="P38" s="2553"/>
      <c r="Q38" s="3097"/>
      <c r="R38" s="3637"/>
      <c r="S38" s="2553"/>
      <c r="T38" s="2553"/>
      <c r="U38" s="2553"/>
      <c r="V38" s="2553"/>
      <c r="W38" s="2553"/>
      <c r="X38" s="2553"/>
      <c r="Y38" s="2553"/>
      <c r="Z38" s="2436"/>
      <c r="AA38" s="3097"/>
      <c r="AB38" s="2436"/>
      <c r="AC38" s="2436"/>
      <c r="AD38" s="2553"/>
      <c r="AE38" s="2553"/>
    </row>
    <row r="39" spans="1:31" x14ac:dyDescent="0.2">
      <c r="A39" s="3101" t="s">
        <v>1844</v>
      </c>
      <c r="B39" s="2553">
        <v>51</v>
      </c>
      <c r="C39" s="2553">
        <v>65.48</v>
      </c>
      <c r="D39" s="2553">
        <v>0</v>
      </c>
      <c r="E39" s="2553">
        <v>0</v>
      </c>
      <c r="F39" s="2553">
        <v>0</v>
      </c>
      <c r="G39" s="2553">
        <v>0</v>
      </c>
      <c r="H39" s="2553">
        <v>0</v>
      </c>
      <c r="I39" s="3100">
        <f>$I$7*I40</f>
        <v>0</v>
      </c>
      <c r="J39" s="2553">
        <v>0</v>
      </c>
      <c r="K39" s="2553"/>
      <c r="L39" s="2553"/>
      <c r="M39" s="2553"/>
      <c r="N39" s="2553"/>
      <c r="O39" s="2553"/>
      <c r="P39" s="2553"/>
      <c r="Q39" s="3097"/>
      <c r="R39" s="3637"/>
      <c r="S39" s="2553"/>
      <c r="T39" s="2553"/>
      <c r="U39" s="2553"/>
      <c r="V39" s="2553"/>
      <c r="W39" s="2553"/>
      <c r="X39" s="2553"/>
      <c r="Y39" s="2553"/>
      <c r="Z39" s="2436"/>
      <c r="AA39" s="3097"/>
      <c r="AB39" s="3974">
        <v>6800</v>
      </c>
      <c r="AC39" s="2436"/>
      <c r="AD39" s="4743">
        <v>6800</v>
      </c>
      <c r="AE39" s="4743">
        <v>6800</v>
      </c>
    </row>
    <row r="40" spans="1:31" x14ac:dyDescent="0.2">
      <c r="A40" s="3101" t="s">
        <v>1845</v>
      </c>
      <c r="B40" s="2614">
        <f>B39/B7*1000</f>
        <v>7.6143155103606945</v>
      </c>
      <c r="C40" s="3094">
        <v>11.580299999999999</v>
      </c>
      <c r="D40" s="2553">
        <v>0</v>
      </c>
      <c r="E40" s="2553">
        <v>0</v>
      </c>
      <c r="F40" s="2553">
        <v>0</v>
      </c>
      <c r="G40" s="2553">
        <v>0</v>
      </c>
      <c r="H40" s="2553">
        <v>0</v>
      </c>
      <c r="I40" s="3100">
        <v>0</v>
      </c>
      <c r="J40" s="2553">
        <v>0</v>
      </c>
      <c r="K40" s="2553"/>
      <c r="L40" s="2553"/>
      <c r="M40" s="2553"/>
      <c r="N40" s="2553"/>
      <c r="O40" s="2553"/>
      <c r="P40" s="2553"/>
      <c r="Q40" s="3097"/>
      <c r="R40" s="3637"/>
      <c r="S40" s="2553"/>
      <c r="T40" s="2553"/>
      <c r="U40" s="2553"/>
      <c r="V40" s="2553"/>
      <c r="W40" s="2553"/>
      <c r="X40" s="2553"/>
      <c r="Y40" s="2553"/>
      <c r="Z40" s="2436"/>
      <c r="AA40" s="3097"/>
      <c r="AB40" s="3972">
        <f>SUM(AB39/AB7*1000)</f>
        <v>1136.7545857181499</v>
      </c>
      <c r="AC40" s="2436"/>
      <c r="AD40" s="4744">
        <f t="shared" ref="AD40:AE40" si="89">SUM(AD39/AD7*1000)</f>
        <v>2640.9715668340577</v>
      </c>
      <c r="AE40" s="4744">
        <f t="shared" si="89"/>
        <v>1383.3520899602004</v>
      </c>
    </row>
    <row r="41" spans="1:31" x14ac:dyDescent="0.2">
      <c r="A41" s="3101" t="s">
        <v>128</v>
      </c>
      <c r="B41" s="2553">
        <v>15040</v>
      </c>
      <c r="C41" s="2553">
        <v>16212.97</v>
      </c>
      <c r="D41" s="2553">
        <v>0</v>
      </c>
      <c r="E41" s="2553">
        <v>0</v>
      </c>
      <c r="F41" s="2553">
        <v>0</v>
      </c>
      <c r="G41" s="2553">
        <v>0</v>
      </c>
      <c r="H41" s="2553">
        <v>0</v>
      </c>
      <c r="I41" s="3100">
        <v>0</v>
      </c>
      <c r="J41" s="2553">
        <v>0</v>
      </c>
      <c r="K41" s="2553"/>
      <c r="L41" s="2553"/>
      <c r="M41" s="2553"/>
      <c r="N41" s="2553"/>
      <c r="O41" s="2553"/>
      <c r="P41" s="2553"/>
      <c r="Q41" s="3097"/>
      <c r="R41" s="3637"/>
      <c r="S41" s="2553"/>
      <c r="T41" s="2553"/>
      <c r="U41" s="2553"/>
      <c r="V41" s="2553"/>
      <c r="W41" s="2553"/>
      <c r="X41" s="2553"/>
      <c r="Y41" s="2553"/>
      <c r="Z41" s="2436"/>
      <c r="AA41" s="3097"/>
      <c r="AB41" s="3795">
        <f>SUM(P82)/1000</f>
        <v>50.416663000000007</v>
      </c>
      <c r="AC41" s="2436"/>
      <c r="AD41" s="4745">
        <f>SUM(AD42/AD39)*1000</f>
        <v>45.833333823529415</v>
      </c>
      <c r="AE41" s="4745">
        <f>SUM(AE42/AE39)*1000</f>
        <v>45.833333823529415</v>
      </c>
    </row>
    <row r="42" spans="1:31" x14ac:dyDescent="0.2">
      <c r="A42" s="3101" t="s">
        <v>1846</v>
      </c>
      <c r="B42" s="2553">
        <v>767.15</v>
      </c>
      <c r="C42" s="2553">
        <v>1061.5999999999999</v>
      </c>
      <c r="D42" s="2553">
        <v>0</v>
      </c>
      <c r="E42" s="2553">
        <v>0</v>
      </c>
      <c r="F42" s="2553">
        <v>1158.93</v>
      </c>
      <c r="G42" s="2553">
        <v>0</v>
      </c>
      <c r="H42" s="2553">
        <v>0</v>
      </c>
      <c r="I42" s="3100">
        <f>I39*I41/1000</f>
        <v>0</v>
      </c>
      <c r="J42" s="2553">
        <v>0</v>
      </c>
      <c r="K42" s="2553"/>
      <c r="L42" s="2553"/>
      <c r="M42" s="2553"/>
      <c r="N42" s="2553"/>
      <c r="O42" s="2553"/>
      <c r="P42" s="2553"/>
      <c r="Q42" s="3097"/>
      <c r="R42" s="3637"/>
      <c r="S42" s="2553"/>
      <c r="T42" s="2553"/>
      <c r="U42" s="2553"/>
      <c r="V42" s="2553"/>
      <c r="W42" s="2553"/>
      <c r="X42" s="2553"/>
      <c r="Y42" s="2553"/>
      <c r="Z42" s="2436"/>
      <c r="AA42" s="3097"/>
      <c r="AB42" s="2420">
        <f>AB39*AB41/1000</f>
        <v>342.83330840000002</v>
      </c>
      <c r="AC42" s="2436"/>
      <c r="AD42" s="3921">
        <v>311.66667000000001</v>
      </c>
      <c r="AE42" s="3921">
        <v>311.66667000000001</v>
      </c>
    </row>
    <row r="43" spans="1:31" s="371" customFormat="1" ht="38.25" x14ac:dyDescent="0.2">
      <c r="A43" s="1726" t="s">
        <v>104</v>
      </c>
      <c r="B43" s="1726">
        <v>116.22</v>
      </c>
      <c r="C43" s="1726">
        <v>229.53</v>
      </c>
      <c r="D43" s="1726">
        <v>151.71</v>
      </c>
      <c r="E43" s="1726">
        <v>293.27</v>
      </c>
      <c r="F43" s="1726">
        <v>250.57</v>
      </c>
      <c r="G43" s="1726">
        <v>426.86900000000003</v>
      </c>
      <c r="H43" s="1726">
        <v>313.8</v>
      </c>
      <c r="I43" s="3105">
        <f>(D43*1.002+E43)/2*1.062*1.059</f>
        <v>250.39578028518</v>
      </c>
      <c r="J43" s="3106">
        <f>SUM(G43*1.06)</f>
        <v>452.48114000000004</v>
      </c>
      <c r="K43" s="3053" t="s">
        <v>1873</v>
      </c>
      <c r="L43" s="3053">
        <f>SUM(I43*1.03)*(1-0.01)</f>
        <v>255.32857715679808</v>
      </c>
      <c r="M43" s="1726">
        <v>140.87618000000001</v>
      </c>
      <c r="N43" s="1726">
        <v>179.56967</v>
      </c>
      <c r="O43" s="1726">
        <v>263.84699999999998</v>
      </c>
      <c r="P43" s="3638">
        <f>SUM(O43*1.046)</f>
        <v>275.98396199999996</v>
      </c>
      <c r="Q43" s="3249">
        <f>SUM(I43*(1+0.032)*0.99*(1+0.036)*0.99)</f>
        <v>262.38369741271993</v>
      </c>
      <c r="R43" s="3638">
        <v>108.85648999999999</v>
      </c>
      <c r="S43" s="3638">
        <f>244.56646+2.23</f>
        <v>246.79646</v>
      </c>
      <c r="T43" s="1726">
        <v>272.83965000000001</v>
      </c>
      <c r="U43" s="3638">
        <f>SUM(T43*1.05)*(1-0.01)</f>
        <v>283.61681617500005</v>
      </c>
      <c r="V43" s="3249">
        <f>SUM(I43*(1+0.034)*0.99*1.06*0.99*(1+0.043)*0.99)</f>
        <v>277.74311503399429</v>
      </c>
      <c r="W43" s="1726">
        <v>105.56354</v>
      </c>
      <c r="X43" s="1726">
        <v>176.679</v>
      </c>
      <c r="Y43" s="1726">
        <v>326.84399999999999</v>
      </c>
      <c r="Z43" s="3971">
        <f>SUM(Y43*(1+0.1)*0.99*(1+0.05)*0.99)</f>
        <v>369.99247408200006</v>
      </c>
      <c r="AA43" s="3967">
        <f>SUM(N43*(1+0.034)*0.99*1.06*0.99*(1+0.043)*0.99)</f>
        <v>199.18162939736357</v>
      </c>
      <c r="AB43" s="3971">
        <f>SUM(Z43)</f>
        <v>369.99247408200006</v>
      </c>
      <c r="AC43" s="4290">
        <f>I43*0.99*1.034*0.99*1.067*0.99*1.139*0.99*1.06</f>
        <v>320.392492979574</v>
      </c>
      <c r="AD43" s="4746">
        <v>69.981049999999996</v>
      </c>
      <c r="AE43" s="4746">
        <v>205.93449000000001</v>
      </c>
    </row>
    <row r="44" spans="1:31" s="2126" customFormat="1" x14ac:dyDescent="0.2">
      <c r="A44" s="3092" t="s">
        <v>86</v>
      </c>
      <c r="B44" s="3092">
        <f t="shared" ref="B44" si="90">B12+B17+B22+B27+B32+B37+B42+B43</f>
        <v>5707.1500000000005</v>
      </c>
      <c r="C44" s="3092">
        <f>C12+C17+C22+C27+C32+C37+C42+C43</f>
        <v>6985.420000000001</v>
      </c>
      <c r="D44" s="3092">
        <f t="shared" ref="D44:H44" si="91">D12+D17+D22+D27+D32+D37+D42+D43</f>
        <v>8877.3599999999988</v>
      </c>
      <c r="E44" s="3092">
        <f t="shared" si="91"/>
        <v>14052.2</v>
      </c>
      <c r="F44" s="3092">
        <f t="shared" ref="F44" si="92">F12+F17+F22+F27+F32+F37+F42+F43</f>
        <v>7625.81</v>
      </c>
      <c r="G44" s="3092">
        <f t="shared" si="91"/>
        <v>12899.942999999999</v>
      </c>
      <c r="H44" s="3092">
        <f t="shared" si="91"/>
        <v>13684.63</v>
      </c>
      <c r="I44" s="3096">
        <f>I12+I17+I22+I27+I32+I37+I43</f>
        <v>11981.832285756163</v>
      </c>
      <c r="J44" s="3092">
        <f t="shared" ref="J44" si="93">J12+J17+J22+J27+J32+J37+J42+J43</f>
        <v>13937.242556447221</v>
      </c>
      <c r="K44" s="3092"/>
      <c r="L44" s="3092">
        <f>L12+L17+L22+L27+L32+L37+L42+L43</f>
        <v>12217.874381785559</v>
      </c>
      <c r="M44" s="3092">
        <f>M12+M17+M22+M27+M32+M37+M42+M43</f>
        <v>5300.6039599999995</v>
      </c>
      <c r="N44" s="3092">
        <f t="shared" ref="N44:O44" si="94">N12+N17+N22+N27+N32+N37+N42+N43</f>
        <v>9302.0645499999991</v>
      </c>
      <c r="O44" s="3092">
        <f t="shared" si="94"/>
        <v>12289.241999999998</v>
      </c>
      <c r="P44" s="3092">
        <f t="shared" ref="P44:Q44" si="95">P12+P17+P22+P27+P32+P37+P42+P43</f>
        <v>12854.547132000002</v>
      </c>
      <c r="Q44" s="3092">
        <f t="shared" si="95"/>
        <v>12555.472992936357</v>
      </c>
      <c r="R44" s="3092">
        <f>R12+R17+R22+R27+R32+R37+R42+R43</f>
        <v>9670.8643799999991</v>
      </c>
      <c r="S44" s="3092">
        <f t="shared" ref="S44:V44" si="96">S12+S17+S22+S27+S32+S37+S42+S43</f>
        <v>12168.492399999999</v>
      </c>
      <c r="T44" s="3092">
        <f t="shared" si="96"/>
        <v>13798.582809999998</v>
      </c>
      <c r="U44" s="3092">
        <f t="shared" si="96"/>
        <v>14431.544161535001</v>
      </c>
      <c r="V44" s="3092">
        <f t="shared" si="96"/>
        <v>13290.445306508884</v>
      </c>
      <c r="W44" s="3092">
        <f t="shared" ref="W44:AA44" si="97">W12+W17+W22+W27+W32+W37+W42+W43</f>
        <v>5227.31567</v>
      </c>
      <c r="X44" s="3092">
        <f t="shared" si="97"/>
        <v>8613.9956299999994</v>
      </c>
      <c r="Y44" s="3092">
        <f t="shared" si="97"/>
        <v>10969.913079999998</v>
      </c>
      <c r="Z44" s="2421">
        <f t="shared" si="97"/>
        <v>14537.466925155473</v>
      </c>
      <c r="AA44" s="3968">
        <f t="shared" si="97"/>
        <v>10318.002888953648</v>
      </c>
      <c r="AB44" s="2421">
        <f t="shared" ref="AB44:AE44" si="98">AB12+AB17+AB22+AB27+AB32+AB37+AB42+AB43</f>
        <v>18704.158061668386</v>
      </c>
      <c r="AC44" s="2421">
        <f t="shared" si="98"/>
        <v>15922.770902590104</v>
      </c>
      <c r="AD44" s="4747">
        <f t="shared" si="98"/>
        <v>7131.6000599999998</v>
      </c>
      <c r="AE44" s="4747">
        <f t="shared" si="98"/>
        <v>14282.510940000002</v>
      </c>
    </row>
    <row r="45" spans="1:31" s="2165" customFormat="1" ht="21" customHeight="1" x14ac:dyDescent="0.2">
      <c r="A45" s="3039" t="s">
        <v>125</v>
      </c>
      <c r="B45" s="3093">
        <v>3209.95</v>
      </c>
      <c r="C45" s="3093">
        <f>'объемы ВС и ВО 2023'!W62</f>
        <v>4217.37</v>
      </c>
      <c r="D45" s="3093">
        <f>'объемы ВС и ВО 2023'!W62</f>
        <v>4217.37</v>
      </c>
      <c r="E45" s="3093">
        <f>'объемы ВС и ВО 2023'!AN62</f>
        <v>4359.4799999999996</v>
      </c>
      <c r="F45" s="3093">
        <f>'объемы ВС и ВО 2023'!AO62</f>
        <v>0</v>
      </c>
      <c r="G45" s="3093">
        <f>SUM('объемы ВС и ВО 2023'!AV63:AW63)</f>
        <v>3150.37</v>
      </c>
      <c r="H45" s="3093">
        <v>3248.93</v>
      </c>
      <c r="I45" s="3107">
        <f>'объемы ВС и ВО 2023'!AZ62</f>
        <v>3020.0036431580988</v>
      </c>
      <c r="J45" s="3093">
        <f>SUM('объемы ВС и ВО 2023'!BB62)</f>
        <v>3020.0036431580988</v>
      </c>
      <c r="K45" s="2600"/>
      <c r="L45" s="3093">
        <f>SUM(I45)</f>
        <v>3020.0036431580988</v>
      </c>
      <c r="M45" s="3093">
        <f>SUM('объемы ВС и ВО 2023'!BF62)</f>
        <v>1547.3829999999998</v>
      </c>
      <c r="N45" s="3093">
        <f>SUM('объемы ВС и ВО 2023'!BH62)</f>
        <v>2322.4540000000002</v>
      </c>
      <c r="O45" s="3093">
        <f>SUM('объемы ВС и ВО 2023'!BJ62)</f>
        <v>3120.433</v>
      </c>
      <c r="P45" s="3093">
        <f>SUM('объемы ВС и ВО 2023'!BL62)</f>
        <v>2844.4046666666663</v>
      </c>
      <c r="Q45" s="3093">
        <f>SUM('объемы ВС и ВО 2023'!BN62)</f>
        <v>2844.4049999999997</v>
      </c>
      <c r="R45" s="3093">
        <f>SUM('объемы ВС и ВО 2023'!BQ62)</f>
        <v>1567.3310000000001</v>
      </c>
      <c r="S45" s="3093">
        <f>SUM('объемы ВС и ВО 2023'!BS62)</f>
        <v>2286.9459999999999</v>
      </c>
      <c r="T45" s="3093">
        <f>SUM('объемы ВС и ВО 2023'!BU62)</f>
        <v>3075.5420000000004</v>
      </c>
      <c r="U45" s="3093">
        <f>SUM('объемы ВС и ВО 2023'!BW62)</f>
        <v>2844.4049999999997</v>
      </c>
      <c r="V45" s="3093">
        <f>SUM('объемы ВС и ВО 2023'!BS62)</f>
        <v>2286.9459999999999</v>
      </c>
      <c r="W45" s="3093">
        <f>SUM('объемы ВС и ВО 2023'!CA62)</f>
        <v>1585.1690000000001</v>
      </c>
      <c r="X45" s="3093">
        <f>SUM('объемы ВС и ВО 2023'!CC62)</f>
        <v>2327.3589999999999</v>
      </c>
      <c r="Y45" s="3093">
        <f>SUM('объемы ВС и ВО 2023'!CE62)</f>
        <v>3104.08</v>
      </c>
      <c r="Z45" s="2440">
        <f>SUM('объемы ВС и ВО 2023'!CG62)</f>
        <v>2997.3360299999999</v>
      </c>
      <c r="AA45" s="3969">
        <f>SUM('объемы ВС и ВО 2023'!BX62)</f>
        <v>0</v>
      </c>
      <c r="AB45" s="2440">
        <f>SUM(Z45)</f>
        <v>2997.3360299999999</v>
      </c>
      <c r="AC45" s="2440">
        <f>SUM('[42]Объемы ВС и ВО'!CF60:CG60)</f>
        <v>3074.252248491367</v>
      </c>
      <c r="AD45" s="4748">
        <f>SUM('объемы ВС и ВО 2023'!CK62)</f>
        <v>1652.5140000000001</v>
      </c>
      <c r="AE45" s="4748">
        <f>SUM('объемы ВС и ВО 2023'!CM62)</f>
        <v>3225.5614</v>
      </c>
    </row>
    <row r="46" spans="1:31" x14ac:dyDescent="0.2">
      <c r="A46" s="2553" t="s">
        <v>99</v>
      </c>
      <c r="B46" s="2553"/>
      <c r="C46" s="2553"/>
      <c r="D46" s="2553"/>
      <c r="E46" s="2553"/>
      <c r="F46" s="2553"/>
      <c r="G46" s="2553"/>
      <c r="H46" s="2553"/>
      <c r="I46" s="3100"/>
      <c r="J46" s="2553"/>
      <c r="K46" s="2553"/>
      <c r="L46" s="2553"/>
      <c r="M46" s="2553"/>
      <c r="N46" s="2553"/>
      <c r="O46" s="2553"/>
      <c r="P46" s="2553"/>
      <c r="Q46" s="2553"/>
      <c r="R46" s="2553"/>
      <c r="S46" s="2553"/>
      <c r="T46" s="2553"/>
      <c r="U46" s="2553"/>
      <c r="V46" s="2553"/>
      <c r="W46" s="2553"/>
      <c r="X46" s="2553"/>
      <c r="Y46" s="2553"/>
      <c r="Z46" s="2436"/>
      <c r="AA46" s="3097"/>
      <c r="AB46" s="2436"/>
      <c r="AC46" s="2436"/>
      <c r="AD46" s="3637"/>
      <c r="AE46" s="2553"/>
    </row>
    <row r="47" spans="1:31" x14ac:dyDescent="0.2">
      <c r="A47" s="3101" t="s">
        <v>1844</v>
      </c>
      <c r="B47" s="2553">
        <v>0</v>
      </c>
      <c r="C47" s="2553">
        <v>0.78412999999999999</v>
      </c>
      <c r="D47" s="2553">
        <v>0</v>
      </c>
      <c r="E47" s="2553">
        <v>0</v>
      </c>
      <c r="F47" s="2553">
        <v>0</v>
      </c>
      <c r="G47" s="2553"/>
      <c r="H47" s="2553">
        <v>0</v>
      </c>
      <c r="I47" s="3100">
        <v>0</v>
      </c>
      <c r="J47" s="2553"/>
      <c r="K47" s="2553"/>
      <c r="L47" s="2553"/>
      <c r="M47" s="2553">
        <v>0</v>
      </c>
      <c r="N47" s="2553"/>
      <c r="O47" s="2553"/>
      <c r="P47" s="2553"/>
      <c r="Q47" s="3091">
        <f>SUM(I47)</f>
        <v>0</v>
      </c>
      <c r="R47" s="2553">
        <v>0</v>
      </c>
      <c r="S47" s="2553"/>
      <c r="T47" s="2553"/>
      <c r="U47" s="2553"/>
      <c r="V47" s="2554">
        <f>SUM(N47)</f>
        <v>0</v>
      </c>
      <c r="W47" s="2553"/>
      <c r="X47" s="2553"/>
      <c r="Y47" s="2553"/>
      <c r="Z47" s="2436"/>
      <c r="AA47" s="3058">
        <f>SUM(S47)</f>
        <v>0</v>
      </c>
      <c r="AB47" s="2436"/>
      <c r="AC47" s="2420">
        <f>SUM(AC45*AC48)/1000</f>
        <v>0</v>
      </c>
      <c r="AD47" s="3637"/>
      <c r="AE47" s="3637"/>
    </row>
    <row r="48" spans="1:31" x14ac:dyDescent="0.2">
      <c r="A48" s="3101" t="s">
        <v>1845</v>
      </c>
      <c r="B48" s="2553">
        <v>0</v>
      </c>
      <c r="C48" s="2553">
        <v>0.2276</v>
      </c>
      <c r="D48" s="2553">
        <v>0</v>
      </c>
      <c r="E48" s="2553">
        <v>0</v>
      </c>
      <c r="F48" s="2553">
        <v>0</v>
      </c>
      <c r="G48" s="2553"/>
      <c r="H48" s="2553">
        <v>0</v>
      </c>
      <c r="I48" s="3100">
        <v>0</v>
      </c>
      <c r="J48" s="2553"/>
      <c r="K48" s="2553"/>
      <c r="L48" s="2553"/>
      <c r="M48" s="2614">
        <f>SUM(M47/M45*1000)</f>
        <v>0</v>
      </c>
      <c r="N48" s="2614">
        <f t="shared" ref="N48:O48" si="99">SUM(N47/N45*1000)</f>
        <v>0</v>
      </c>
      <c r="O48" s="2614">
        <f t="shared" si="99"/>
        <v>0</v>
      </c>
      <c r="P48" s="2614">
        <f t="shared" ref="P48" si="100">SUM(P47/P45*1000)</f>
        <v>0</v>
      </c>
      <c r="Q48" s="3091">
        <f>SUM(I48)</f>
        <v>0</v>
      </c>
      <c r="R48" s="2614">
        <f>SUM(R47/R45*1000)</f>
        <v>0</v>
      </c>
      <c r="S48" s="2614">
        <f t="shared" ref="S48:U48" si="101">SUM(S47/S45*1000)</f>
        <v>0</v>
      </c>
      <c r="T48" s="2614">
        <f t="shared" si="101"/>
        <v>0</v>
      </c>
      <c r="U48" s="2614">
        <f t="shared" si="101"/>
        <v>0</v>
      </c>
      <c r="V48" s="2554">
        <f>SUM(N48)</f>
        <v>0</v>
      </c>
      <c r="W48" s="2614">
        <f t="shared" ref="W48:Z48" si="102">SUM(W47/W45*1000)</f>
        <v>0</v>
      </c>
      <c r="X48" s="2614">
        <f t="shared" si="102"/>
        <v>0</v>
      </c>
      <c r="Y48" s="2614">
        <f t="shared" si="102"/>
        <v>0</v>
      </c>
      <c r="Z48" s="2437">
        <f t="shared" si="102"/>
        <v>0</v>
      </c>
      <c r="AA48" s="3058">
        <f>SUM(S48)</f>
        <v>0</v>
      </c>
      <c r="AB48" s="2437">
        <f t="shared" ref="AB48" si="103">SUM(AB47/AB45*1000)</f>
        <v>0</v>
      </c>
      <c r="AC48" s="2420">
        <f>SUM(I48)</f>
        <v>0</v>
      </c>
      <c r="AD48" s="3920">
        <f t="shared" ref="AD48:AE48" si="104">SUM(AD47/AD45*1000)</f>
        <v>0</v>
      </c>
      <c r="AE48" s="3920">
        <f t="shared" si="104"/>
        <v>0</v>
      </c>
    </row>
    <row r="49" spans="1:31" x14ac:dyDescent="0.2">
      <c r="A49" s="3101" t="s">
        <v>128</v>
      </c>
      <c r="B49" s="2553">
        <v>0</v>
      </c>
      <c r="C49" s="2553">
        <v>79862</v>
      </c>
      <c r="D49" s="2553">
        <v>0</v>
      </c>
      <c r="E49" s="2553">
        <v>0</v>
      </c>
      <c r="F49" s="2553">
        <v>0</v>
      </c>
      <c r="G49" s="2553"/>
      <c r="H49" s="2553">
        <v>0</v>
      </c>
      <c r="I49" s="3100">
        <v>0</v>
      </c>
      <c r="J49" s="2553"/>
      <c r="K49" s="2553"/>
      <c r="L49" s="2553"/>
      <c r="M49" s="2614" t="e">
        <f>SUM(M50/M47)*1000</f>
        <v>#DIV/0!</v>
      </c>
      <c r="N49" s="2614" t="e">
        <f t="shared" ref="N49:O49" si="105">SUM(N50/N47)*1000</f>
        <v>#DIV/0!</v>
      </c>
      <c r="O49" s="2614" t="e">
        <f t="shared" si="105"/>
        <v>#DIV/0!</v>
      </c>
      <c r="P49" s="2614" t="e">
        <f t="shared" ref="P49" si="106">SUM(P50/P47)*1000</f>
        <v>#DIV/0!</v>
      </c>
      <c r="Q49" s="3249">
        <f>SUM(I49*(1+0.032)*0.99*(1+0.036)*0.99)</f>
        <v>0</v>
      </c>
      <c r="R49" s="2614" t="e">
        <f>SUM(R50/R47)*1000</f>
        <v>#DIV/0!</v>
      </c>
      <c r="S49" s="2614" t="e">
        <f t="shared" ref="S49:T49" si="107">SUM(S50/S47)*1000</f>
        <v>#DIV/0!</v>
      </c>
      <c r="T49" s="2614" t="e">
        <f t="shared" si="107"/>
        <v>#DIV/0!</v>
      </c>
      <c r="U49" s="2614" t="e">
        <f t="shared" ref="U49" si="108">SUM(U50/U47)*1000</f>
        <v>#DIV/0!</v>
      </c>
      <c r="V49" s="3249">
        <f>SUM(I49*(1+0.034)*0.99*1.06*0.99*(1+0.043)*0.99)</f>
        <v>0</v>
      </c>
      <c r="W49" s="2614" t="e">
        <f t="shared" ref="W49:Y49" si="109">SUM(W50/W47)*1000</f>
        <v>#DIV/0!</v>
      </c>
      <c r="X49" s="2614" t="e">
        <f t="shared" si="109"/>
        <v>#DIV/0!</v>
      </c>
      <c r="Y49" s="2614" t="e">
        <f t="shared" si="109"/>
        <v>#DIV/0!</v>
      </c>
      <c r="Z49" s="2437" t="e">
        <f t="shared" ref="Z49:AB49" si="110">SUM(Z50/Z47)*1000</f>
        <v>#DIV/0!</v>
      </c>
      <c r="AA49" s="3967" t="e">
        <f>SUM(N49*(1+0.034)*0.99*1.06*0.99*(1+0.043)*0.99)</f>
        <v>#DIV/0!</v>
      </c>
      <c r="AB49" s="2437" t="e">
        <f t="shared" si="110"/>
        <v>#DIV/0!</v>
      </c>
      <c r="AC49" s="4290">
        <f>I49*0.99*1.034*0.99*1.067*0.99*1.139*0.99*1.06</f>
        <v>0</v>
      </c>
      <c r="AD49" s="3920" t="e">
        <f t="shared" ref="AD49:AE49" si="111">SUM(AD50/AD47)*1000</f>
        <v>#DIV/0!</v>
      </c>
      <c r="AE49" s="3920" t="e">
        <f t="shared" si="111"/>
        <v>#DIV/0!</v>
      </c>
    </row>
    <row r="50" spans="1:31" x14ac:dyDescent="0.2">
      <c r="A50" s="3101" t="s">
        <v>1846</v>
      </c>
      <c r="B50" s="2553">
        <v>0</v>
      </c>
      <c r="C50" s="2553">
        <v>62.62</v>
      </c>
      <c r="D50" s="2553">
        <v>0</v>
      </c>
      <c r="E50" s="2553">
        <v>0</v>
      </c>
      <c r="F50" s="2553">
        <v>69.89</v>
      </c>
      <c r="G50" s="2553"/>
      <c r="H50" s="2553">
        <v>0</v>
      </c>
      <c r="I50" s="3100">
        <v>0</v>
      </c>
      <c r="J50" s="2553"/>
      <c r="K50" s="2553"/>
      <c r="L50" s="2553"/>
      <c r="M50" s="2553">
        <v>0</v>
      </c>
      <c r="N50" s="2553"/>
      <c r="O50" s="2553"/>
      <c r="P50" s="2553"/>
      <c r="Q50" s="3091">
        <f>Q47*Q49/1000</f>
        <v>0</v>
      </c>
      <c r="R50" s="2553">
        <v>0</v>
      </c>
      <c r="S50" s="2553"/>
      <c r="T50" s="2553"/>
      <c r="U50" s="2553"/>
      <c r="V50" s="2554">
        <f>V47*V49/1000</f>
        <v>0</v>
      </c>
      <c r="W50" s="2553"/>
      <c r="X50" s="2553"/>
      <c r="Y50" s="2553"/>
      <c r="Z50" s="2436"/>
      <c r="AA50" s="3058" t="e">
        <f>AA47*AA49/1000</f>
        <v>#DIV/0!</v>
      </c>
      <c r="AB50" s="2436"/>
      <c r="AC50" s="2420">
        <f>AC47*AC49/1000</f>
        <v>0</v>
      </c>
      <c r="AD50" s="3637"/>
      <c r="AE50" s="3637"/>
    </row>
    <row r="51" spans="1:31" x14ac:dyDescent="0.2">
      <c r="A51" s="2553" t="s">
        <v>100</v>
      </c>
      <c r="B51" s="2553"/>
      <c r="C51" s="2553"/>
      <c r="D51" s="2553"/>
      <c r="E51" s="2553"/>
      <c r="F51" s="2553"/>
      <c r="G51" s="2553"/>
      <c r="H51" s="2553"/>
      <c r="I51" s="3100"/>
      <c r="J51" s="2553"/>
      <c r="K51" s="2553"/>
      <c r="L51" s="2553"/>
      <c r="M51" s="2553"/>
      <c r="N51" s="2553"/>
      <c r="O51" s="2553"/>
      <c r="P51" s="2553"/>
      <c r="Q51" s="2553"/>
      <c r="R51" s="2553"/>
      <c r="S51" s="2553"/>
      <c r="T51" s="2553"/>
      <c r="U51" s="2553"/>
      <c r="V51" s="2553"/>
      <c r="W51" s="2553"/>
      <c r="X51" s="2553"/>
      <c r="Y51" s="2553"/>
      <c r="Z51" s="2436"/>
      <c r="AA51" s="3097"/>
      <c r="AB51" s="2436"/>
      <c r="AC51" s="2436"/>
      <c r="AD51" s="3637"/>
      <c r="AE51" s="3637"/>
    </row>
    <row r="52" spans="1:31" x14ac:dyDescent="0.2">
      <c r="A52" s="3101" t="s">
        <v>1844</v>
      </c>
      <c r="B52" s="2553">
        <v>6.9</v>
      </c>
      <c r="C52" s="2553">
        <v>5.21</v>
      </c>
      <c r="D52" s="2553">
        <v>10.85</v>
      </c>
      <c r="E52" s="2553">
        <v>10.95</v>
      </c>
      <c r="F52" s="2553"/>
      <c r="G52" s="2553">
        <v>3.8</v>
      </c>
      <c r="H52" s="2553">
        <v>11.13</v>
      </c>
      <c r="I52" s="3108">
        <f>I45*I53/1000</f>
        <v>10.343512477816487</v>
      </c>
      <c r="J52" s="3094">
        <f>J45*J53/1000</f>
        <v>10.343512477816487</v>
      </c>
      <c r="K52" s="2553"/>
      <c r="L52" s="3094">
        <f>SUM(I52)</f>
        <v>10.343512477816487</v>
      </c>
      <c r="M52" s="2553">
        <v>2.95</v>
      </c>
      <c r="N52" s="2553">
        <v>4.6500000000000004</v>
      </c>
      <c r="O52" s="2553">
        <v>6.65</v>
      </c>
      <c r="P52" s="2553">
        <v>10.343999999999999</v>
      </c>
      <c r="Q52" s="3091">
        <f>SUM(I52)</f>
        <v>10.343512477816487</v>
      </c>
      <c r="R52" s="2553">
        <v>4</v>
      </c>
      <c r="S52" s="2553">
        <v>7.5</v>
      </c>
      <c r="T52" s="2553">
        <v>8.75</v>
      </c>
      <c r="U52" s="2553">
        <v>10.343999999999999</v>
      </c>
      <c r="V52" s="2554">
        <f t="shared" ref="V52:V53" si="112">SUM(I52)</f>
        <v>10.343512477816487</v>
      </c>
      <c r="W52" s="2553">
        <v>3.1</v>
      </c>
      <c r="X52" s="2553">
        <v>4</v>
      </c>
      <c r="Y52" s="2553">
        <v>4.5</v>
      </c>
      <c r="Z52" s="2420">
        <f>SUM(V52)</f>
        <v>10.343512477816487</v>
      </c>
      <c r="AA52" s="3058">
        <f t="shared" ref="AA52:AA53" si="113">SUM(N52)</f>
        <v>4.6500000000000004</v>
      </c>
      <c r="AB52" s="2420">
        <f>SUM(Z52)</f>
        <v>10.343512477816487</v>
      </c>
      <c r="AC52" s="2420">
        <f>SUM(AC45*AC53)/1000</f>
        <v>10.529313951082932</v>
      </c>
      <c r="AD52" s="3637">
        <v>2.2999999999999998</v>
      </c>
      <c r="AE52" s="3637">
        <v>4.5999999999999996</v>
      </c>
    </row>
    <row r="53" spans="1:31" x14ac:dyDescent="0.2">
      <c r="A53" s="3101" t="s">
        <v>1845</v>
      </c>
      <c r="B53" s="2553">
        <v>2.1339999999999999</v>
      </c>
      <c r="C53" s="3094">
        <v>1.5136000000000001</v>
      </c>
      <c r="D53" s="2553">
        <v>3.544</v>
      </c>
      <c r="E53" s="2553">
        <v>3.4249999999999998</v>
      </c>
      <c r="F53" s="2553"/>
      <c r="G53" s="2553">
        <v>3.4249999999999998</v>
      </c>
      <c r="H53" s="3094">
        <v>3.4247000000000001</v>
      </c>
      <c r="I53" s="3100">
        <f>E53</f>
        <v>3.4249999999999998</v>
      </c>
      <c r="J53" s="2553">
        <f>SUM(I53)</f>
        <v>3.4249999999999998</v>
      </c>
      <c r="K53" s="2553"/>
      <c r="L53" s="3094">
        <f>SUM(I53)</f>
        <v>3.4249999999999998</v>
      </c>
      <c r="M53" s="2614">
        <f>SUM(M52/M45*1000)</f>
        <v>1.9064446229537229</v>
      </c>
      <c r="N53" s="2614">
        <f t="shared" ref="N53:O53" si="114">SUM(N52/N45*1000)</f>
        <v>2.0021925084415018</v>
      </c>
      <c r="O53" s="2614">
        <f t="shared" si="114"/>
        <v>2.1311144959689887</v>
      </c>
      <c r="P53" s="2614">
        <f t="shared" ref="P53" si="115">SUM(P52/P45*1000)</f>
        <v>3.6366133557648972</v>
      </c>
      <c r="Q53" s="3091">
        <f>SUM(I53)</f>
        <v>3.4249999999999998</v>
      </c>
      <c r="R53" s="2614">
        <f>SUM(R52/R45*1000)</f>
        <v>2.552109286423863</v>
      </c>
      <c r="S53" s="2614">
        <f t="shared" ref="S53:U53" si="116">SUM(S52/S45*1000)</f>
        <v>3.2794827687230041</v>
      </c>
      <c r="T53" s="2614">
        <f t="shared" si="116"/>
        <v>2.8450269903646248</v>
      </c>
      <c r="U53" s="2614">
        <f t="shared" si="116"/>
        <v>3.6366129295933596</v>
      </c>
      <c r="V53" s="2554">
        <f t="shared" si="112"/>
        <v>3.4249999999999998</v>
      </c>
      <c r="W53" s="2614">
        <f t="shared" ref="W53:Z53" si="117">SUM(W52/W45*1000)</f>
        <v>1.9556274441400252</v>
      </c>
      <c r="X53" s="2614">
        <f t="shared" si="117"/>
        <v>1.7186862877622231</v>
      </c>
      <c r="Y53" s="2614">
        <f t="shared" si="117"/>
        <v>1.4497049045127703</v>
      </c>
      <c r="Z53" s="2437">
        <f t="shared" si="117"/>
        <v>3.4509018589472227</v>
      </c>
      <c r="AA53" s="3058">
        <f t="shared" si="113"/>
        <v>2.0021925084415018</v>
      </c>
      <c r="AB53" s="2437">
        <f t="shared" ref="AB53" si="118">SUM(AB52/AB45*1000)</f>
        <v>3.4509018589472227</v>
      </c>
      <c r="AC53" s="2420">
        <f>SUM(I53)</f>
        <v>3.4249999999999998</v>
      </c>
      <c r="AD53" s="3920">
        <f t="shared" ref="AD53:AE53" si="119">SUM(AD52/AD45*1000)</f>
        <v>1.3918187682524925</v>
      </c>
      <c r="AE53" s="3920">
        <f t="shared" si="119"/>
        <v>1.4261083357458333</v>
      </c>
    </row>
    <row r="54" spans="1:31" x14ac:dyDescent="0.2">
      <c r="A54" s="3101" t="s">
        <v>128</v>
      </c>
      <c r="B54" s="2553">
        <v>49930</v>
      </c>
      <c r="C54" s="2553">
        <v>43766.39</v>
      </c>
      <c r="D54" s="2553">
        <v>57860.83</v>
      </c>
      <c r="E54" s="2553">
        <v>69705.02</v>
      </c>
      <c r="F54" s="2553"/>
      <c r="G54" s="2614">
        <f>SUM(G55/G52)*1000</f>
        <v>89944.736842105267</v>
      </c>
      <c r="H54" s="2553">
        <v>74584</v>
      </c>
      <c r="I54" s="3091">
        <f>I16</f>
        <v>103675</v>
      </c>
      <c r="J54" s="2614">
        <f>SUM(I54*1.06)</f>
        <v>109895.5</v>
      </c>
      <c r="K54" s="2553" t="s">
        <v>1871</v>
      </c>
      <c r="L54" s="3052">
        <f>SUM(I54*1.03)*(1-0.01)</f>
        <v>105717.39749999999</v>
      </c>
      <c r="M54" s="2614">
        <f>SUM(M55/M52)*1000</f>
        <v>96010.603389830503</v>
      </c>
      <c r="N54" s="2614">
        <f>SUM(N55/N52)*1000</f>
        <v>98298.858064516127</v>
      </c>
      <c r="O54" s="2614">
        <f>SUM(O55/O52)*1000</f>
        <v>99859.398496240596</v>
      </c>
      <c r="P54" s="2614">
        <f>SUM(P16)</f>
        <v>105970.82126829268</v>
      </c>
      <c r="Q54" s="3249">
        <f>SUM(I54*(1+0.032)*0.99*(1+0.036)*0.99)</f>
        <v>108638.53136136</v>
      </c>
      <c r="R54" s="2614">
        <f>SUM(R55/R52)*1000</f>
        <v>106705.72500000001</v>
      </c>
      <c r="S54" s="2614">
        <f>SUM(S55/S52)*1000</f>
        <v>109673.35466666667</v>
      </c>
      <c r="T54" s="2614">
        <f>SUM(T55/T52)*1000</f>
        <v>110172.05257142856</v>
      </c>
      <c r="U54" s="2614">
        <f>SUM(T54*1.05)*(1-0.01)</f>
        <v>114523.848648</v>
      </c>
      <c r="V54" s="3249">
        <f>SUM(I54*(1+0.034)*0.99*1.06*0.99*(1+0.043)*0.99)</f>
        <v>114998.01401746557</v>
      </c>
      <c r="W54" s="2614">
        <f t="shared" ref="W54:Y54" si="120">SUM(W55/W52)*1000</f>
        <v>114619.05806451612</v>
      </c>
      <c r="X54" s="2614">
        <f t="shared" si="120"/>
        <v>114685.63249999999</v>
      </c>
      <c r="Y54" s="2614">
        <f t="shared" si="120"/>
        <v>114961.30222222224</v>
      </c>
      <c r="Z54" s="3795">
        <f>SUM(V54*(1+0.05)*0.99)</f>
        <v>119540.43557115547</v>
      </c>
      <c r="AA54" s="3967">
        <f>SUM(N54*(1+0.034)*0.99*1.06*0.99*(1+0.043)*0.99)</f>
        <v>109034.7090195716</v>
      </c>
      <c r="AB54" s="3795">
        <f>SUM(P79)</f>
        <v>135300</v>
      </c>
      <c r="AC54" s="4290">
        <f>I54*0.99*1.034*0.99*1.067*0.99*1.139*0.99*1.06</f>
        <v>132656.75512513143</v>
      </c>
      <c r="AD54" s="3920">
        <f t="shared" ref="AD54:AE54" si="121">SUM(AD55/AD52)*1000</f>
        <v>118575.68695652175</v>
      </c>
      <c r="AE54" s="3920">
        <f t="shared" si="121"/>
        <v>119973.43043478263</v>
      </c>
    </row>
    <row r="55" spans="1:31" x14ac:dyDescent="0.2">
      <c r="A55" s="3101" t="s">
        <v>1846</v>
      </c>
      <c r="B55" s="2553">
        <v>341.99</v>
      </c>
      <c r="C55" s="2553">
        <v>228.22</v>
      </c>
      <c r="D55" s="2553">
        <v>627.79</v>
      </c>
      <c r="E55" s="2553">
        <v>763.27</v>
      </c>
      <c r="F55" s="2553">
        <v>254.72</v>
      </c>
      <c r="G55" s="2553">
        <v>341.79</v>
      </c>
      <c r="H55" s="2553">
        <v>829.88</v>
      </c>
      <c r="I55" s="3095">
        <f>I52*I54/1000</f>
        <v>1072.3636561376243</v>
      </c>
      <c r="J55" s="2614">
        <f>J52*J54/1000</f>
        <v>1136.7054755058816</v>
      </c>
      <c r="K55" s="2553"/>
      <c r="L55" s="3095">
        <f>L52*L54/1000</f>
        <v>1093.4892201635353</v>
      </c>
      <c r="M55" s="2614">
        <v>283.23128000000003</v>
      </c>
      <c r="N55" s="2553">
        <v>457.08969000000002</v>
      </c>
      <c r="O55" s="2553">
        <v>664.06500000000005</v>
      </c>
      <c r="P55" s="3095">
        <f>P52*P54/1000</f>
        <v>1096.1621751992195</v>
      </c>
      <c r="Q55" s="3091">
        <f>Q52*Q54/1000</f>
        <v>1123.7040047078849</v>
      </c>
      <c r="R55" s="2614">
        <v>426.8229</v>
      </c>
      <c r="S55" s="2614">
        <v>822.55016000000001</v>
      </c>
      <c r="T55" s="2553">
        <v>964.00545999999997</v>
      </c>
      <c r="U55" s="3095">
        <f>U52*U54/1000</f>
        <v>1184.6346904149118</v>
      </c>
      <c r="V55" s="2554">
        <f>V52*V54/1000</f>
        <v>1189.4833929137703</v>
      </c>
      <c r="W55" s="2553">
        <v>355.31907999999999</v>
      </c>
      <c r="X55" s="2553">
        <v>458.74252999999999</v>
      </c>
      <c r="Y55" s="2553">
        <v>517.32586000000003</v>
      </c>
      <c r="Z55" s="2420">
        <f>Z52*Z54/1000</f>
        <v>1236.4679869338645</v>
      </c>
      <c r="AA55" s="3058">
        <f>AA52*AA54/1000</f>
        <v>507.011396941008</v>
      </c>
      <c r="AB55" s="2420">
        <f>AB52*AB54/1000</f>
        <v>1399.4772382485708</v>
      </c>
      <c r="AC55" s="2420">
        <f>AC52*AC54/1000</f>
        <v>1396.7846224444386</v>
      </c>
      <c r="AD55" s="3637">
        <v>272.72408000000001</v>
      </c>
      <c r="AE55" s="3637">
        <v>551.87778000000003</v>
      </c>
    </row>
    <row r="56" spans="1:31" x14ac:dyDescent="0.2">
      <c r="A56" s="2553" t="s">
        <v>3956</v>
      </c>
      <c r="B56" s="2553"/>
      <c r="C56" s="2553"/>
      <c r="D56" s="2553"/>
      <c r="E56" s="2553"/>
      <c r="F56" s="2553"/>
      <c r="G56" s="2553"/>
      <c r="H56" s="2553"/>
      <c r="I56" s="3100"/>
      <c r="J56" s="2553"/>
      <c r="K56" s="2553"/>
      <c r="L56" s="2553"/>
      <c r="M56" s="2553"/>
      <c r="N56" s="2553"/>
      <c r="O56" s="2553"/>
      <c r="P56" s="2553"/>
      <c r="Q56" s="2553"/>
      <c r="R56" s="2553"/>
      <c r="S56" s="2553"/>
      <c r="T56" s="2553"/>
      <c r="U56" s="2553"/>
      <c r="V56" s="2553"/>
      <c r="W56" s="2553"/>
      <c r="X56" s="2553"/>
      <c r="Y56" s="2553"/>
      <c r="Z56" s="2436"/>
      <c r="AA56" s="3097"/>
      <c r="AB56" s="2436"/>
      <c r="AC56" s="2436"/>
      <c r="AD56" s="3637"/>
      <c r="AE56" s="3637"/>
    </row>
    <row r="57" spans="1:31" x14ac:dyDescent="0.2">
      <c r="A57" s="3101" t="s">
        <v>1844</v>
      </c>
      <c r="B57" s="2553"/>
      <c r="C57" s="2553"/>
      <c r="D57" s="2553"/>
      <c r="E57" s="2553"/>
      <c r="F57" s="2553"/>
      <c r="G57" s="2553"/>
      <c r="H57" s="2553"/>
      <c r="I57" s="3108"/>
      <c r="J57" s="3094"/>
      <c r="K57" s="2553"/>
      <c r="L57" s="2553"/>
      <c r="M57" s="2553">
        <v>0</v>
      </c>
      <c r="N57" s="2553">
        <v>0.08</v>
      </c>
      <c r="O57" s="2553">
        <v>0.16</v>
      </c>
      <c r="P57" s="2553">
        <v>0.16</v>
      </c>
      <c r="Q57" s="3091">
        <f>SUM(I57)</f>
        <v>0</v>
      </c>
      <c r="R57" s="2553">
        <v>0.16</v>
      </c>
      <c r="S57" s="2553">
        <v>0.2</v>
      </c>
      <c r="T57" s="2553">
        <v>0.32500000000000001</v>
      </c>
      <c r="U57" s="2553">
        <v>0.32500000000000001</v>
      </c>
      <c r="V57" s="2554">
        <f t="shared" ref="V57:V58" si="122">SUM(I57)</f>
        <v>0</v>
      </c>
      <c r="W57" s="2553">
        <v>0.17499999999999999</v>
      </c>
      <c r="X57" s="2553">
        <v>0.255</v>
      </c>
      <c r="Y57" s="2553">
        <v>0.32500000000000001</v>
      </c>
      <c r="Z57" s="2436">
        <v>0.32500000000000001</v>
      </c>
      <c r="AA57" s="3058">
        <f t="shared" ref="AA57:AA58" si="123">SUM(N57)</f>
        <v>0.08</v>
      </c>
      <c r="AB57" s="2436">
        <v>0.32500000000000001</v>
      </c>
      <c r="AC57" s="2420">
        <f>SUM(AC45*AC58)/1000</f>
        <v>0</v>
      </c>
      <c r="AD57" s="3637">
        <v>0.18</v>
      </c>
      <c r="AE57" s="3637">
        <v>0.35</v>
      </c>
    </row>
    <row r="58" spans="1:31" x14ac:dyDescent="0.2">
      <c r="A58" s="3101" t="s">
        <v>1845</v>
      </c>
      <c r="B58" s="2553"/>
      <c r="C58" s="3094"/>
      <c r="D58" s="2553"/>
      <c r="E58" s="2553"/>
      <c r="F58" s="2553"/>
      <c r="G58" s="2553"/>
      <c r="H58" s="3094"/>
      <c r="I58" s="3100"/>
      <c r="J58" s="2553"/>
      <c r="K58" s="2553"/>
      <c r="L58" s="2553"/>
      <c r="M58" s="2614" t="e">
        <f>SUM(M57/M50*1000)</f>
        <v>#DIV/0!</v>
      </c>
      <c r="N58" s="2614">
        <f>SUM(N57/N45*1000)</f>
        <v>3.4446322725875299E-2</v>
      </c>
      <c r="O58" s="2614">
        <f>SUM(O57/O45*1000)</f>
        <v>5.1274935241359135E-2</v>
      </c>
      <c r="P58" s="2614">
        <f>SUM(P57/P45*1000)</f>
        <v>5.6250786632094311E-2</v>
      </c>
      <c r="Q58" s="3091">
        <f>SUM(I58)</f>
        <v>0</v>
      </c>
      <c r="R58" s="3094">
        <f>SUM(R57/R45*1000)</f>
        <v>0.10208437145695452</v>
      </c>
      <c r="S58" s="2614">
        <f>SUM(S57/S45*1000)</f>
        <v>8.7452873832613465E-2</v>
      </c>
      <c r="T58" s="2614">
        <f>SUM(T57/T45*1000)</f>
        <v>0.10567243107068607</v>
      </c>
      <c r="U58" s="2614">
        <f>SUM(U57/U45*1000)</f>
        <v>0.11425939695648124</v>
      </c>
      <c r="V58" s="2554">
        <f t="shared" si="122"/>
        <v>0</v>
      </c>
      <c r="W58" s="2614">
        <f t="shared" ref="W58:Y58" si="124">SUM(W57/W45*1000)</f>
        <v>0.11039832345951754</v>
      </c>
      <c r="X58" s="2614">
        <f t="shared" si="124"/>
        <v>0.10956625084484174</v>
      </c>
      <c r="Y58" s="2614">
        <f t="shared" si="124"/>
        <v>0.10470090977036675</v>
      </c>
      <c r="Z58" s="2437">
        <f>SUM(Z57/Z45*1000)</f>
        <v>0.10842961774959881</v>
      </c>
      <c r="AA58" s="3058">
        <f t="shared" si="123"/>
        <v>3.4446322725875299E-2</v>
      </c>
      <c r="AB58" s="2437">
        <f>SUM(AB57/AB45*1000)</f>
        <v>0.10842961774959881</v>
      </c>
      <c r="AC58" s="2420">
        <f>SUM(I58)</f>
        <v>0</v>
      </c>
      <c r="AD58" s="3920">
        <f t="shared" ref="AD58:AE58" si="125">SUM(AD57/AD45*1000)</f>
        <v>0.10892494708062987</v>
      </c>
      <c r="AE58" s="3920">
        <f t="shared" si="125"/>
        <v>0.10850824293718296</v>
      </c>
    </row>
    <row r="59" spans="1:31" x14ac:dyDescent="0.2">
      <c r="A59" s="3101" t="s">
        <v>128</v>
      </c>
      <c r="B59" s="2553"/>
      <c r="C59" s="2553"/>
      <c r="D59" s="2553"/>
      <c r="E59" s="2553"/>
      <c r="F59" s="2553"/>
      <c r="G59" s="2614"/>
      <c r="H59" s="2553"/>
      <c r="I59" s="3091"/>
      <c r="J59" s="2614"/>
      <c r="K59" s="2553" t="s">
        <v>1871</v>
      </c>
      <c r="L59" s="2553"/>
      <c r="M59" s="2614" t="e">
        <f>SUM(M60/M57)*1000</f>
        <v>#DIV/0!</v>
      </c>
      <c r="N59" s="2614">
        <f>SUM(N60/N57)*1000</f>
        <v>246489.62499999997</v>
      </c>
      <c r="O59" s="2614">
        <f>SUM(O60/O57)*1000</f>
        <v>246487.5</v>
      </c>
      <c r="P59" s="2614">
        <f>SUM(P60/P57)*1000</f>
        <v>257825.92500000005</v>
      </c>
      <c r="Q59" s="3249">
        <f>SUM(I59*(1+0.032)*0.99*(1+0.036)*0.99)</f>
        <v>0</v>
      </c>
      <c r="R59" s="2614">
        <f>SUM(R60/R57)*1000</f>
        <v>255072.625</v>
      </c>
      <c r="S59" s="2614">
        <f>SUM(S60/S57)*1000</f>
        <v>256789.19999999998</v>
      </c>
      <c r="T59" s="2614">
        <f>SUM(T60/T57)*1000</f>
        <v>259430.12307692305</v>
      </c>
      <c r="U59" s="2614">
        <f>SUM(T59*1.05)*(1-0.01)</f>
        <v>269677.61293846153</v>
      </c>
      <c r="V59" s="3249">
        <f>SUM(I59*(1+0.034)*0.99*1.06*0.99*(1+0.043)*0.99)</f>
        <v>0</v>
      </c>
      <c r="W59" s="2614">
        <f t="shared" ref="W59:Y59" si="126">SUM(W60/W57)*1000</f>
        <v>270673.94285714283</v>
      </c>
      <c r="X59" s="2614">
        <f t="shared" si="126"/>
        <v>271554.62745098036</v>
      </c>
      <c r="Y59" s="2614">
        <f t="shared" si="126"/>
        <v>271969.56923076924</v>
      </c>
      <c r="Z59" s="3971">
        <f>SUM(Y59*(1+0.1)*0.99*(1+0.05)*0.99)</f>
        <v>307873.76789755386</v>
      </c>
      <c r="AA59" s="3967">
        <f>SUM(N59*(1+0.034)*0.99*1.06*0.99*(1+0.043)*0.99)</f>
        <v>273410.34338953294</v>
      </c>
      <c r="AB59" s="3971">
        <f>SUM(P83)</f>
        <v>301730</v>
      </c>
      <c r="AC59" s="4290">
        <f>I59*0.99*1.034*0.99*1.067*0.99*1.139*0.99*1.06</f>
        <v>0</v>
      </c>
      <c r="AD59" s="3920">
        <f t="shared" ref="AD59:AE59" si="127">SUM(AD60/AD57)*1000</f>
        <v>287918.66666666669</v>
      </c>
      <c r="AE59" s="3920">
        <f t="shared" si="127"/>
        <v>296620.40000000002</v>
      </c>
    </row>
    <row r="60" spans="1:31" x14ac:dyDescent="0.2">
      <c r="A60" s="3101" t="s">
        <v>1846</v>
      </c>
      <c r="B60" s="2553"/>
      <c r="C60" s="2553"/>
      <c r="D60" s="2553"/>
      <c r="E60" s="2553"/>
      <c r="F60" s="2553"/>
      <c r="G60" s="2553"/>
      <c r="H60" s="2553"/>
      <c r="I60" s="3095"/>
      <c r="J60" s="2614"/>
      <c r="K60" s="2553"/>
      <c r="L60" s="2553"/>
      <c r="M60" s="2614">
        <v>0</v>
      </c>
      <c r="N60" s="2553">
        <v>19.719169999999998</v>
      </c>
      <c r="O60" s="2553">
        <v>39.438000000000002</v>
      </c>
      <c r="P60" s="3638">
        <f>SUM(O60*1.046)</f>
        <v>41.252148000000005</v>
      </c>
      <c r="Q60" s="3091">
        <f>Q57*Q59/1000</f>
        <v>0</v>
      </c>
      <c r="R60" s="2614">
        <v>40.811619999999998</v>
      </c>
      <c r="S60" s="2553">
        <v>51.357840000000003</v>
      </c>
      <c r="T60" s="2553">
        <v>84.314790000000002</v>
      </c>
      <c r="U60" s="3638">
        <f>SUM(T60*1.046)</f>
        <v>88.193270340000012</v>
      </c>
      <c r="V60" s="2554">
        <f>V57*V59/1000</f>
        <v>0</v>
      </c>
      <c r="W60" s="2553">
        <v>47.367939999999997</v>
      </c>
      <c r="X60" s="2553">
        <v>69.246430000000004</v>
      </c>
      <c r="Y60" s="2553">
        <v>88.390110000000007</v>
      </c>
      <c r="Z60" s="2420">
        <f>Z57*Z59/1000</f>
        <v>100.058974566705</v>
      </c>
      <c r="AA60" s="3058">
        <f>AA57*AA59/1000</f>
        <v>21.872827471162637</v>
      </c>
      <c r="AB60" s="2420">
        <f>AB57*AB59/1000</f>
        <v>98.062250000000006</v>
      </c>
      <c r="AC60" s="2420">
        <f>AC57*AC59/1000</f>
        <v>0</v>
      </c>
      <c r="AD60" s="3637">
        <v>51.825360000000003</v>
      </c>
      <c r="AE60" s="3637">
        <v>103.81713999999999</v>
      </c>
    </row>
    <row r="61" spans="1:31" ht="25.5" x14ac:dyDescent="0.2">
      <c r="A61" s="3052" t="s">
        <v>3882</v>
      </c>
      <c r="B61" s="2553"/>
      <c r="C61" s="2553"/>
      <c r="D61" s="2553"/>
      <c r="E61" s="2553"/>
      <c r="F61" s="2553"/>
      <c r="G61" s="2553"/>
      <c r="H61" s="2553"/>
      <c r="I61" s="3100"/>
      <c r="J61" s="2553"/>
      <c r="K61" s="2553"/>
      <c r="L61" s="2553"/>
      <c r="M61" s="2553"/>
      <c r="N61" s="2553"/>
      <c r="O61" s="2553"/>
      <c r="P61" s="2553"/>
      <c r="Q61" s="2553"/>
      <c r="R61" s="3052" t="s">
        <v>3882</v>
      </c>
      <c r="S61" s="2553"/>
      <c r="T61" s="2553"/>
      <c r="U61" s="2553"/>
      <c r="V61" s="2553"/>
      <c r="W61" s="2553"/>
      <c r="X61" s="2553"/>
      <c r="Y61" s="2553"/>
      <c r="Z61" s="2436"/>
      <c r="AA61" s="3097"/>
      <c r="AB61" s="2436"/>
      <c r="AC61" s="2436"/>
      <c r="AD61" s="3637"/>
      <c r="AE61" s="3637"/>
    </row>
    <row r="62" spans="1:31" x14ac:dyDescent="0.2">
      <c r="A62" s="3101" t="s">
        <v>1844</v>
      </c>
      <c r="B62" s="2553">
        <v>0.05</v>
      </c>
      <c r="C62" s="2614">
        <v>1.9599999999999999E-2</v>
      </c>
      <c r="D62" s="2553">
        <v>0</v>
      </c>
      <c r="E62" s="2553">
        <v>0.03</v>
      </c>
      <c r="F62" s="2553"/>
      <c r="G62" s="2553"/>
      <c r="H62" s="2553">
        <v>0.03</v>
      </c>
      <c r="I62" s="3108">
        <f>I45*I63/1000</f>
        <v>1.7214020766001162E-2</v>
      </c>
      <c r="J62" s="3094">
        <f>J45*J63/1000</f>
        <v>1.7214020766001162E-2</v>
      </c>
      <c r="K62" s="2553"/>
      <c r="L62" s="3094">
        <f t="shared" ref="L62:L63" si="128">SUM(I62)</f>
        <v>1.7214020766001162E-2</v>
      </c>
      <c r="M62" s="2553"/>
      <c r="N62" s="2553"/>
      <c r="O62" s="2553"/>
      <c r="P62" s="2553"/>
      <c r="Q62" s="3091">
        <f>SUM(I62)</f>
        <v>1.7214020766001162E-2</v>
      </c>
      <c r="R62" s="3094">
        <v>3.5999999999999997E-2</v>
      </c>
      <c r="S62" s="2553">
        <v>9.0999999999999998E-2</v>
      </c>
      <c r="T62" s="2553">
        <v>9.0999999999999998E-2</v>
      </c>
      <c r="U62" s="2553">
        <v>9.0999999999999998E-2</v>
      </c>
      <c r="V62" s="2554">
        <f t="shared" ref="V62:V63" si="129">SUM(I62)</f>
        <v>1.7214020766001162E-2</v>
      </c>
      <c r="W62" s="2553">
        <v>0</v>
      </c>
      <c r="X62" s="2553">
        <v>0</v>
      </c>
      <c r="Y62" s="2553">
        <v>0</v>
      </c>
      <c r="Z62" s="2420">
        <f>SUM(V62)</f>
        <v>1.7214020766001162E-2</v>
      </c>
      <c r="AA62" s="3058">
        <f>SUM(V62)</f>
        <v>1.7214020766001162E-2</v>
      </c>
      <c r="AB62" s="2420">
        <f>SUM(Z62)</f>
        <v>1.7214020766001162E-2</v>
      </c>
      <c r="AC62" s="2420">
        <f>SUM(AC45*AC63)/1000</f>
        <v>1.7523237816400795E-2</v>
      </c>
      <c r="AD62" s="3637">
        <v>0</v>
      </c>
      <c r="AE62" s="3637">
        <v>0</v>
      </c>
    </row>
    <row r="63" spans="1:31" x14ac:dyDescent="0.2">
      <c r="A63" s="3101" t="s">
        <v>1845</v>
      </c>
      <c r="B63" s="2553">
        <v>1.6E-2</v>
      </c>
      <c r="C63" s="2553">
        <v>5.7000000000000002E-3</v>
      </c>
      <c r="D63" s="2553">
        <v>0</v>
      </c>
      <c r="E63" s="2553">
        <v>8.9999999999999993E-3</v>
      </c>
      <c r="F63" s="2553"/>
      <c r="G63" s="2553"/>
      <c r="H63" s="2553">
        <v>9.4000000000000004E-3</v>
      </c>
      <c r="I63" s="3100">
        <f>C63</f>
        <v>5.7000000000000002E-3</v>
      </c>
      <c r="J63" s="2553">
        <f>SUM(I63)</f>
        <v>5.7000000000000002E-3</v>
      </c>
      <c r="K63" s="2553"/>
      <c r="L63" s="3094">
        <f t="shared" si="128"/>
        <v>5.7000000000000002E-3</v>
      </c>
      <c r="M63" s="2553"/>
      <c r="N63" s="2553"/>
      <c r="O63" s="2553"/>
      <c r="P63" s="2553"/>
      <c r="Q63" s="3091">
        <f>SUM(I63)</f>
        <v>5.7000000000000002E-3</v>
      </c>
      <c r="R63" s="3094">
        <f>SUM(R62/R45*1000)</f>
        <v>2.2968983577814767E-2</v>
      </c>
      <c r="S63" s="3094">
        <f>SUM(S62/S45*1000)</f>
        <v>3.9791057593839121E-2</v>
      </c>
      <c r="T63" s="3094">
        <f>SUM(T62/T45*1000)</f>
        <v>2.9588280699792097E-2</v>
      </c>
      <c r="U63" s="3094">
        <f>SUM(U62/U45*1000)</f>
        <v>3.1992631147814747E-2</v>
      </c>
      <c r="V63" s="2554">
        <f t="shared" si="129"/>
        <v>5.7000000000000002E-3</v>
      </c>
      <c r="W63" s="3094">
        <f t="shared" ref="W63:Y63" si="130">SUM(W62/W45*1000)</f>
        <v>0</v>
      </c>
      <c r="X63" s="3094">
        <f t="shared" si="130"/>
        <v>0</v>
      </c>
      <c r="Y63" s="3094">
        <f t="shared" si="130"/>
        <v>0</v>
      </c>
      <c r="Z63" s="2438">
        <f>SUM(Z62/Z45*1000)</f>
        <v>5.7431067433574212E-3</v>
      </c>
      <c r="AA63" s="3058">
        <f t="shared" ref="AA63" si="131">SUM(N63)</f>
        <v>0</v>
      </c>
      <c r="AB63" s="2438">
        <f>SUM(AB62/AB45*1000)</f>
        <v>5.7431067433574212E-3</v>
      </c>
      <c r="AC63" s="2420">
        <f>SUM(I63)</f>
        <v>5.7000000000000002E-3</v>
      </c>
      <c r="AD63" s="4742">
        <f t="shared" ref="AD63:AE63" si="132">SUM(AD62/AD45*1000)</f>
        <v>0</v>
      </c>
      <c r="AE63" s="4742">
        <f t="shared" si="132"/>
        <v>0</v>
      </c>
    </row>
    <row r="64" spans="1:31" x14ac:dyDescent="0.2">
      <c r="A64" s="3101" t="s">
        <v>128</v>
      </c>
      <c r="B64" s="2553">
        <v>56000</v>
      </c>
      <c r="C64" s="2553">
        <v>14833.9</v>
      </c>
      <c r="D64" s="2553">
        <v>0</v>
      </c>
      <c r="E64" s="2553">
        <v>66666.67</v>
      </c>
      <c r="F64" s="2553"/>
      <c r="G64" s="2553"/>
      <c r="H64" s="2553">
        <v>71333</v>
      </c>
      <c r="I64" s="3100">
        <f>H64</f>
        <v>71333</v>
      </c>
      <c r="J64" s="2553">
        <f>I64*1.06</f>
        <v>75612.98000000001</v>
      </c>
      <c r="K64" s="2553"/>
      <c r="L64" s="3052">
        <f>SUM(I64*1.03)*(1-0.01)</f>
        <v>72738.2601</v>
      </c>
      <c r="M64" s="2553"/>
      <c r="N64" s="2553"/>
      <c r="O64" s="2553"/>
      <c r="P64" s="2553"/>
      <c r="Q64" s="3249">
        <f>SUM(I64*(1+0.032)*0.99*(1+0.036)*0.99)</f>
        <v>74748.129805641598</v>
      </c>
      <c r="R64" s="2614">
        <f>SUM(R65/R62)*1000</f>
        <v>9166666.3888888899</v>
      </c>
      <c r="S64" s="2614">
        <f>SUM(S65/S62)*1000</f>
        <v>9166666.7032967042</v>
      </c>
      <c r="T64" s="2614">
        <f>SUM(T65/T62)*1000</f>
        <v>9166666.7032967042</v>
      </c>
      <c r="U64" s="2614">
        <f>SUM(T64*1.05)*(1-0.01)</f>
        <v>9528750.0380769242</v>
      </c>
      <c r="V64" s="3249">
        <f>SUM(I64*(1+0.034)*0.99*1.06*0.99*(1+0.043)*0.99)</f>
        <v>79123.736039622599</v>
      </c>
      <c r="W64" s="2614" t="e">
        <f t="shared" ref="W64:Y64" si="133">SUM(W65/W62)*1000</f>
        <v>#DIV/0!</v>
      </c>
      <c r="X64" s="2614" t="e">
        <f t="shared" si="133"/>
        <v>#DIV/0!</v>
      </c>
      <c r="Y64" s="2614" t="e">
        <f t="shared" si="133"/>
        <v>#DIV/0!</v>
      </c>
      <c r="Z64" s="3795">
        <f>SUM(V64*(1+0.05)*0.99)</f>
        <v>82249.123613187694</v>
      </c>
      <c r="AA64" s="3967">
        <f>SUM(N64*(1+0.034)*0.99*1.06*0.99*(1+0.043)*0.99)</f>
        <v>0</v>
      </c>
      <c r="AB64" s="3795">
        <f>SUM(Z64)</f>
        <v>82249.123613187694</v>
      </c>
      <c r="AC64" s="4290">
        <f>I64*0.99*1.034*0.99*1.067*0.99*1.139*0.99*1.06</f>
        <v>91273.73342986255</v>
      </c>
      <c r="AD64" s="3920" t="e">
        <f t="shared" ref="AD64:AE64" si="134">SUM(AD65/AD62)*1000</f>
        <v>#DIV/0!</v>
      </c>
      <c r="AE64" s="3920" t="e">
        <f t="shared" si="134"/>
        <v>#DIV/0!</v>
      </c>
    </row>
    <row r="65" spans="1:31" x14ac:dyDescent="0.2">
      <c r="A65" s="3101" t="s">
        <v>1846</v>
      </c>
      <c r="B65" s="2553">
        <v>2.8</v>
      </c>
      <c r="C65" s="2553">
        <v>0.28999999999999998</v>
      </c>
      <c r="D65" s="2553">
        <v>0</v>
      </c>
      <c r="E65" s="2553">
        <v>2</v>
      </c>
      <c r="F65" s="2553">
        <v>0.32</v>
      </c>
      <c r="G65" s="2553"/>
      <c r="H65" s="2553">
        <v>2.17</v>
      </c>
      <c r="I65" s="3091">
        <f>I62*I64/1000</f>
        <v>1.2279277433011608</v>
      </c>
      <c r="J65" s="2554">
        <f>J62*J64/1000</f>
        <v>1.3016034078992307</v>
      </c>
      <c r="K65" s="2553"/>
      <c r="L65" s="3095">
        <f>L62*L64/1000</f>
        <v>1.2521179198441936</v>
      </c>
      <c r="M65" s="2553"/>
      <c r="N65" s="2553"/>
      <c r="O65" s="2553"/>
      <c r="P65" s="2553"/>
      <c r="Q65" s="3091">
        <f>Q62*Q64/1000</f>
        <v>1.2867158586940648</v>
      </c>
      <c r="R65" s="2614">
        <v>329.99999000000003</v>
      </c>
      <c r="S65" s="2614">
        <v>834.16666999999995</v>
      </c>
      <c r="T65" s="2614">
        <v>834.16666999999995</v>
      </c>
      <c r="U65" s="3091">
        <f>U62*U64/1000</f>
        <v>867.11625346500011</v>
      </c>
      <c r="V65" s="2554">
        <f>V62*V64/1000</f>
        <v>1.3620376352696579</v>
      </c>
      <c r="W65" s="2614">
        <v>0</v>
      </c>
      <c r="X65" s="2614">
        <v>0</v>
      </c>
      <c r="Y65" s="2614">
        <v>0</v>
      </c>
      <c r="Z65" s="2420">
        <f>Z62*Z64/1000</f>
        <v>1.4158381218628093</v>
      </c>
      <c r="AA65" s="3058">
        <f>AA62*AA64/1000</f>
        <v>0</v>
      </c>
      <c r="AB65" s="2420">
        <f>AB62*AB64/1000</f>
        <v>1.4158381218628093</v>
      </c>
      <c r="AC65" s="2420">
        <f>AC62*AC64/1000</f>
        <v>1.5994113372822527</v>
      </c>
      <c r="AD65" s="3920">
        <v>0</v>
      </c>
      <c r="AE65" s="3920">
        <v>0</v>
      </c>
    </row>
    <row r="66" spans="1:31" s="371" customFormat="1" ht="38.25" x14ac:dyDescent="0.2">
      <c r="A66" s="1726" t="s">
        <v>104</v>
      </c>
      <c r="B66" s="1726">
        <v>12.23</v>
      </c>
      <c r="C66" s="1726">
        <v>1.25</v>
      </c>
      <c r="D66" s="1726">
        <v>24.27</v>
      </c>
      <c r="E66" s="1726">
        <v>41.42</v>
      </c>
      <c r="F66" s="1726">
        <v>1.4</v>
      </c>
      <c r="G66" s="1726">
        <v>58.965000000000003</v>
      </c>
      <c r="H66" s="1726">
        <v>44.32</v>
      </c>
      <c r="I66" s="3105">
        <f>(D66*1.002+E66)/2*1.062*1.059</f>
        <v>36.966687459659994</v>
      </c>
      <c r="J66" s="3106">
        <f>SUM(G66*1.06)</f>
        <v>62.502900000000004</v>
      </c>
      <c r="K66" s="3053" t="s">
        <v>1873</v>
      </c>
      <c r="L66" s="3053">
        <f>SUM(I66*1.03)*(1-0.01)</f>
        <v>37.694931202615301</v>
      </c>
      <c r="M66" s="1726">
        <v>10.389709999999999</v>
      </c>
      <c r="N66" s="1726">
        <v>12.7902</v>
      </c>
      <c r="O66" s="1726">
        <v>15.57</v>
      </c>
      <c r="P66" s="3638">
        <f>SUM(O66*1.046)</f>
        <v>16.28622</v>
      </c>
      <c r="Q66" s="3249">
        <f>SUM(I66*(1+0.032)*0.99*(1+0.036)*0.99)</f>
        <v>38.736499975036082</v>
      </c>
      <c r="R66" s="1726">
        <v>26.985679999999999</v>
      </c>
      <c r="S66" s="1726">
        <f>27.40235-3</f>
        <v>24.402349999999998</v>
      </c>
      <c r="T66" s="1726">
        <v>25.948440000000002</v>
      </c>
      <c r="U66" s="3106">
        <f>SUM(Q66*1.05)*(1-0.01)</f>
        <v>40.266591724050009</v>
      </c>
      <c r="V66" s="3249">
        <f>SUM(I66*(1+0.034)*0.99*1.06*0.99*(1+0.043)*0.99)</f>
        <v>41.004057320137434</v>
      </c>
      <c r="W66" s="1726">
        <v>3</v>
      </c>
      <c r="X66" s="3975">
        <v>2.99</v>
      </c>
      <c r="Y66" s="1726">
        <v>3.9927899999999998</v>
      </c>
      <c r="Z66" s="3795">
        <f>SUM(V66*(1+0.05)*0.99)</f>
        <v>42.623717584282858</v>
      </c>
      <c r="AA66" s="3967">
        <f>SUM(N66*(1+0.034)*0.99*1.06*0.99*(1+0.043)*0.99)</f>
        <v>14.187100061598152</v>
      </c>
      <c r="AB66" s="3795">
        <f>SUM(Z66)</f>
        <v>42.623717584282858</v>
      </c>
      <c r="AC66" s="4290">
        <f>I66*0.99*1.034*0.99*1.067*0.99*1.139*0.99*1.06</f>
        <v>47.300514165646305</v>
      </c>
      <c r="AD66" s="4746">
        <v>3.7370000000000001</v>
      </c>
      <c r="AE66" s="4746">
        <v>10.400740000000001</v>
      </c>
    </row>
    <row r="67" spans="1:31" s="2126" customFormat="1" x14ac:dyDescent="0.2">
      <c r="A67" s="3092" t="s">
        <v>90</v>
      </c>
      <c r="B67" s="3092">
        <f t="shared" ref="B67:L67" si="135">B50+B55+B65+B66</f>
        <v>357.02000000000004</v>
      </c>
      <c r="C67" s="3092">
        <f t="shared" si="135"/>
        <v>292.38</v>
      </c>
      <c r="D67" s="3092">
        <f t="shared" si="135"/>
        <v>652.05999999999995</v>
      </c>
      <c r="E67" s="3092">
        <f t="shared" si="135"/>
        <v>806.68999999999994</v>
      </c>
      <c r="F67" s="3092">
        <f t="shared" si="135"/>
        <v>326.33</v>
      </c>
      <c r="G67" s="3092">
        <f t="shared" si="135"/>
        <v>400.755</v>
      </c>
      <c r="H67" s="3092">
        <f t="shared" si="135"/>
        <v>876.37</v>
      </c>
      <c r="I67" s="3096">
        <f t="shared" si="135"/>
        <v>1110.5582713405854</v>
      </c>
      <c r="J67" s="3092">
        <f t="shared" si="135"/>
        <v>1200.5099789137807</v>
      </c>
      <c r="K67" s="3092"/>
      <c r="L67" s="3096">
        <f t="shared" si="135"/>
        <v>1132.436269285995</v>
      </c>
      <c r="M67" s="3092">
        <f>M50+M55+M65+M66</f>
        <v>293.62099000000001</v>
      </c>
      <c r="N67" s="3092">
        <f>N50+N55+N60+N65+N66</f>
        <v>489.59906000000007</v>
      </c>
      <c r="O67" s="3092">
        <f>O50+O55+O60+O65+O66</f>
        <v>719.07300000000009</v>
      </c>
      <c r="P67" s="3092">
        <f>P50+P55+P60+P65+P66</f>
        <v>1153.7005431992195</v>
      </c>
      <c r="Q67" s="3092">
        <f>Q50+Q55+Q65+Q66</f>
        <v>1163.7272205416152</v>
      </c>
      <c r="R67" s="3092">
        <f>R50+R55+R60+R65+R66</f>
        <v>824.62019000000009</v>
      </c>
      <c r="S67" s="3092">
        <f>S50+S55+S60+S65+S66</f>
        <v>1732.47702</v>
      </c>
      <c r="T67" s="3092">
        <f>T50+T55+T60+T65+T66</f>
        <v>1908.4353599999997</v>
      </c>
      <c r="U67" s="3092">
        <f>U50+U55+U60+U65+U66</f>
        <v>2180.210805943962</v>
      </c>
      <c r="V67" s="3092">
        <f>V50+V55+V65+V66</f>
        <v>1231.8494878691774</v>
      </c>
      <c r="W67" s="3092">
        <f t="shared" ref="W67:Y67" si="136">W50+W55+W60+W65+W66</f>
        <v>405.68701999999996</v>
      </c>
      <c r="X67" s="3092">
        <f t="shared" si="136"/>
        <v>530.97896000000003</v>
      </c>
      <c r="Y67" s="3092">
        <f t="shared" si="136"/>
        <v>609.7087600000001</v>
      </c>
      <c r="Z67" s="2421">
        <f>Z50+Z55+Z60+Z65+Z66</f>
        <v>1380.5665172067152</v>
      </c>
      <c r="AA67" s="3968" t="e">
        <f>AA50+AA55+AA65+AA66</f>
        <v>#DIV/0!</v>
      </c>
      <c r="AB67" s="2421">
        <f>AB50+AB55+AB60+AB65+AB66</f>
        <v>1541.5790439547163</v>
      </c>
      <c r="AC67" s="2421">
        <f>AC50+AC55+AC65+AC66</f>
        <v>1445.684547947367</v>
      </c>
      <c r="AD67" s="4747">
        <f t="shared" ref="AD67:AE67" si="137">AD50+AD55+AD60+AD65+AD66</f>
        <v>328.28644000000003</v>
      </c>
      <c r="AE67" s="4747">
        <f t="shared" si="137"/>
        <v>666.09566000000007</v>
      </c>
    </row>
    <row r="71" spans="1:31" ht="18.75" x14ac:dyDescent="0.3">
      <c r="A71" s="389" t="s">
        <v>4043</v>
      </c>
    </row>
    <row r="72" spans="1:31" ht="18.75" x14ac:dyDescent="0.3">
      <c r="A72" s="389"/>
    </row>
    <row r="73" spans="1:31" ht="15" x14ac:dyDescent="0.25">
      <c r="A73" s="4111" t="s">
        <v>4131</v>
      </c>
      <c r="I73" s="5" t="s">
        <v>1854</v>
      </c>
      <c r="T73" s="2519"/>
    </row>
    <row r="74" spans="1:31" ht="15" x14ac:dyDescent="0.25">
      <c r="A74" s="5866" t="s">
        <v>4135</v>
      </c>
      <c r="B74" s="5867"/>
      <c r="C74" s="5867"/>
      <c r="D74" s="5867"/>
      <c r="E74" s="5867"/>
      <c r="F74" s="5867"/>
      <c r="G74" s="5867"/>
      <c r="H74" s="5867"/>
      <c r="I74" s="5867"/>
      <c r="J74" s="5867"/>
      <c r="K74" s="5867"/>
      <c r="L74" s="5867"/>
      <c r="M74" s="5867"/>
      <c r="N74" s="5867"/>
      <c r="O74" s="5867"/>
      <c r="P74" s="5867"/>
      <c r="Q74" s="5868"/>
      <c r="T74" s="2519"/>
    </row>
    <row r="75" spans="1:31" ht="40.5" customHeight="1" x14ac:dyDescent="0.25">
      <c r="A75" s="2507" t="s">
        <v>4132</v>
      </c>
      <c r="B75" s="2507"/>
      <c r="C75" s="2507"/>
      <c r="D75" s="2507"/>
      <c r="E75" s="2507"/>
      <c r="F75" s="2507"/>
      <c r="G75" s="2507"/>
      <c r="H75" s="2507"/>
      <c r="I75" s="2507"/>
      <c r="J75" s="4116" t="s">
        <v>4133</v>
      </c>
      <c r="K75" s="2507"/>
      <c r="L75" s="4116" t="s">
        <v>4137</v>
      </c>
      <c r="M75" s="4109"/>
      <c r="N75" s="4109"/>
      <c r="O75" s="4117" t="s">
        <v>4134</v>
      </c>
      <c r="P75" s="4116" t="s">
        <v>4138</v>
      </c>
      <c r="Q75" s="2507" t="s">
        <v>235</v>
      </c>
      <c r="T75" s="2519"/>
    </row>
    <row r="76" spans="1:31" s="371" customFormat="1" ht="38.25" x14ac:dyDescent="0.2">
      <c r="A76" s="4118" t="s">
        <v>1851</v>
      </c>
      <c r="B76" s="4118"/>
      <c r="C76" s="4119">
        <v>42720</v>
      </c>
      <c r="D76" s="4118" t="s">
        <v>1852</v>
      </c>
      <c r="E76" s="4120" t="s">
        <v>1616</v>
      </c>
      <c r="F76" s="4120"/>
      <c r="G76" s="4120"/>
      <c r="H76" s="2507" t="s">
        <v>1853</v>
      </c>
      <c r="I76" s="2508">
        <f>27000/1.18</f>
        <v>22881.355932203391</v>
      </c>
      <c r="J76" s="4121" t="s">
        <v>402</v>
      </c>
      <c r="K76" s="4118"/>
      <c r="L76" s="4118">
        <v>37875</v>
      </c>
      <c r="M76" s="4118"/>
      <c r="N76" s="4118"/>
      <c r="O76" s="5869">
        <v>1.1000000000000001</v>
      </c>
      <c r="P76" s="4118">
        <f>SUM(L76*O76)</f>
        <v>41662.5</v>
      </c>
      <c r="Q76" s="4116" t="s">
        <v>4142</v>
      </c>
      <c r="S76" s="2120"/>
      <c r="U76" s="2092"/>
      <c r="V76" s="2092"/>
      <c r="W76" s="2092"/>
      <c r="X76" s="3933"/>
      <c r="Y76" s="2094"/>
    </row>
    <row r="77" spans="1:31" s="371" customFormat="1" ht="51" x14ac:dyDescent="0.2">
      <c r="A77" s="4118" t="s">
        <v>1851</v>
      </c>
      <c r="B77" s="4118"/>
      <c r="C77" s="4119">
        <v>42720</v>
      </c>
      <c r="D77" s="4118" t="s">
        <v>1852</v>
      </c>
      <c r="E77" s="4120" t="s">
        <v>1616</v>
      </c>
      <c r="F77" s="4120"/>
      <c r="G77" s="4120"/>
      <c r="H77" s="2507" t="s">
        <v>1853</v>
      </c>
      <c r="I77" s="2508">
        <f>27000/1.18</f>
        <v>22881.355932203391</v>
      </c>
      <c r="J77" s="4121" t="s">
        <v>1617</v>
      </c>
      <c r="K77" s="4118"/>
      <c r="L77" s="4118">
        <v>21291.67</v>
      </c>
      <c r="M77" s="4118"/>
      <c r="N77" s="4118"/>
      <c r="O77" s="5219"/>
      <c r="P77" s="4118">
        <v>30455.56</v>
      </c>
      <c r="Q77" s="4116" t="s">
        <v>4144</v>
      </c>
      <c r="S77" s="2120"/>
      <c r="U77" s="2092"/>
      <c r="V77" s="2092"/>
      <c r="W77" s="2092"/>
      <c r="X77" s="4107"/>
      <c r="Y77" s="2094"/>
    </row>
    <row r="78" spans="1:31" s="371" customFormat="1" ht="38.25" x14ac:dyDescent="0.2">
      <c r="A78" s="4118" t="s">
        <v>1851</v>
      </c>
      <c r="B78" s="4118"/>
      <c r="C78" s="4119">
        <v>42720</v>
      </c>
      <c r="D78" s="4118" t="s">
        <v>1852</v>
      </c>
      <c r="E78" s="4120" t="s">
        <v>1616</v>
      </c>
      <c r="F78" s="4120"/>
      <c r="G78" s="4120"/>
      <c r="H78" s="2507" t="s">
        <v>1853</v>
      </c>
      <c r="I78" s="2508">
        <f>27000/1.18</f>
        <v>22881.355932203391</v>
      </c>
      <c r="J78" s="4121" t="s">
        <v>887</v>
      </c>
      <c r="K78" s="4118"/>
      <c r="L78" s="4118">
        <v>380000</v>
      </c>
      <c r="M78" s="4118"/>
      <c r="N78" s="4118"/>
      <c r="O78" s="5219"/>
      <c r="P78" s="4118">
        <f>SUM(L78*O76)</f>
        <v>418000.00000000006</v>
      </c>
      <c r="Q78" s="4116" t="s">
        <v>4141</v>
      </c>
      <c r="S78" s="2120"/>
      <c r="U78" s="2092"/>
      <c r="V78" s="2092"/>
      <c r="W78" s="2092"/>
      <c r="X78" s="4107"/>
      <c r="Y78" s="2094"/>
    </row>
    <row r="79" spans="1:31" s="371" customFormat="1" ht="38.25" x14ac:dyDescent="0.2">
      <c r="A79" s="4118" t="s">
        <v>1855</v>
      </c>
      <c r="B79" s="4118"/>
      <c r="C79" s="4119">
        <v>42730</v>
      </c>
      <c r="D79" s="4120" t="s">
        <v>1856</v>
      </c>
      <c r="E79" s="4120" t="s">
        <v>1857</v>
      </c>
      <c r="F79" s="4120"/>
      <c r="G79" s="4120"/>
      <c r="H79" s="2507" t="s">
        <v>1853</v>
      </c>
      <c r="I79" s="2508">
        <f>70800/1.18</f>
        <v>60000</v>
      </c>
      <c r="J79" s="4121" t="s">
        <v>400</v>
      </c>
      <c r="K79" s="4118"/>
      <c r="L79" s="4118">
        <v>123000</v>
      </c>
      <c r="M79" s="4118"/>
      <c r="N79" s="4118"/>
      <c r="O79" s="5219"/>
      <c r="P79" s="4118">
        <f>SUM(L79*O76)</f>
        <v>135300</v>
      </c>
      <c r="Q79" s="4116" t="s">
        <v>4140</v>
      </c>
      <c r="S79" s="2120"/>
      <c r="T79" s="2092"/>
      <c r="U79" s="2092"/>
      <c r="V79" s="2092"/>
      <c r="W79" s="2092"/>
      <c r="X79" s="3933"/>
      <c r="Y79" s="2094"/>
    </row>
    <row r="80" spans="1:31" s="371" customFormat="1" ht="38.25" x14ac:dyDescent="0.2">
      <c r="A80" s="4120" t="s">
        <v>4136</v>
      </c>
      <c r="B80" s="4118"/>
      <c r="C80" s="4119">
        <v>43109</v>
      </c>
      <c r="D80" s="4120" t="s">
        <v>1867</v>
      </c>
      <c r="E80" s="4120"/>
      <c r="F80" s="4120"/>
      <c r="G80" s="4120"/>
      <c r="H80" s="2507"/>
      <c r="I80" s="2505">
        <f>107050/1.18</f>
        <v>90720.338983050853</v>
      </c>
      <c r="J80" s="4121" t="s">
        <v>1865</v>
      </c>
      <c r="K80" s="4118"/>
      <c r="L80" s="4118">
        <v>45833.33</v>
      </c>
      <c r="M80" s="4118"/>
      <c r="N80" s="4118"/>
      <c r="O80" s="5219"/>
      <c r="P80" s="4118">
        <f>SUM(L80*O76)</f>
        <v>50416.663000000008</v>
      </c>
      <c r="Q80" s="4116" t="s">
        <v>4143</v>
      </c>
      <c r="S80" s="2120"/>
      <c r="T80" s="2092"/>
      <c r="U80" s="2092"/>
      <c r="V80" s="2092"/>
      <c r="W80" s="2092"/>
      <c r="X80" s="3933"/>
      <c r="Y80" s="2122"/>
    </row>
    <row r="81" spans="1:25" ht="25.5" x14ac:dyDescent="0.2">
      <c r="A81" s="4118" t="s">
        <v>1858</v>
      </c>
      <c r="B81" s="2499"/>
      <c r="C81" s="4122">
        <v>42718</v>
      </c>
      <c r="D81" s="2499" t="s">
        <v>1859</v>
      </c>
      <c r="E81" s="2499" t="s">
        <v>1860</v>
      </c>
      <c r="F81" s="2499"/>
      <c r="G81" s="2499"/>
      <c r="H81" s="4109" t="s">
        <v>1853</v>
      </c>
      <c r="I81" s="4123">
        <f>31270/1.18</f>
        <v>26500</v>
      </c>
      <c r="J81" s="4121" t="s">
        <v>401</v>
      </c>
      <c r="K81" s="2499"/>
      <c r="L81" s="4118">
        <v>40850</v>
      </c>
      <c r="M81" s="2499"/>
      <c r="N81" s="2499"/>
      <c r="O81" s="5219"/>
      <c r="P81" s="4118">
        <f>SUM(L81*O76)</f>
        <v>44935</v>
      </c>
      <c r="Q81" s="4117" t="s">
        <v>4139</v>
      </c>
      <c r="S81" s="2119"/>
      <c r="X81" s="3934"/>
      <c r="Y81" s="138"/>
    </row>
    <row r="82" spans="1:25" ht="25.5" x14ac:dyDescent="0.2">
      <c r="A82" s="4118" t="s">
        <v>4145</v>
      </c>
      <c r="B82" s="2499"/>
      <c r="C82" s="4122"/>
      <c r="D82" s="2499"/>
      <c r="E82" s="2499"/>
      <c r="F82" s="2499"/>
      <c r="G82" s="2499"/>
      <c r="H82" s="4109"/>
      <c r="I82" s="4123"/>
      <c r="J82" s="4121" t="s">
        <v>4146</v>
      </c>
      <c r="K82" s="2499"/>
      <c r="L82" s="4118">
        <v>45833.33</v>
      </c>
      <c r="M82" s="2499"/>
      <c r="N82" s="2499"/>
      <c r="O82" s="5868"/>
      <c r="P82" s="4118">
        <f>SUM(L82*O76)</f>
        <v>50416.663000000008</v>
      </c>
      <c r="Q82" s="4117" t="s">
        <v>4147</v>
      </c>
      <c r="S82" s="2119"/>
      <c r="X82" s="4108"/>
      <c r="Y82" s="138"/>
    </row>
    <row r="83" spans="1:25" ht="25.5" x14ac:dyDescent="0.2">
      <c r="A83" s="4118" t="s">
        <v>4148</v>
      </c>
      <c r="B83" s="2499"/>
      <c r="C83" s="4122"/>
      <c r="D83" s="2499"/>
      <c r="E83" s="2499"/>
      <c r="F83" s="2499"/>
      <c r="G83" s="2499"/>
      <c r="H83" s="4109"/>
      <c r="I83" s="4123"/>
      <c r="J83" s="4121" t="s">
        <v>4149</v>
      </c>
      <c r="K83" s="2499"/>
      <c r="L83" s="4118">
        <f>274.3*1000</f>
        <v>274300</v>
      </c>
      <c r="M83" s="2499"/>
      <c r="N83" s="2499"/>
      <c r="O83" s="5868"/>
      <c r="P83" s="4118">
        <f>SUM(L83*O76)</f>
        <v>301730</v>
      </c>
      <c r="Q83" s="4117" t="s">
        <v>4150</v>
      </c>
      <c r="S83" s="2119"/>
      <c r="X83" s="4108"/>
      <c r="Y83" s="138"/>
    </row>
    <row r="84" spans="1:25" x14ac:dyDescent="0.2">
      <c r="A84" s="371"/>
      <c r="C84" s="2119"/>
      <c r="H84" s="4108"/>
      <c r="I84" s="138"/>
      <c r="J84" s="4112"/>
      <c r="L84" s="371"/>
      <c r="O84" s="4115"/>
      <c r="P84" s="4114"/>
      <c r="Q84" s="4110"/>
      <c r="S84" s="2119"/>
      <c r="X84" s="4108"/>
      <c r="Y84" s="138"/>
    </row>
    <row r="85" spans="1:25" x14ac:dyDescent="0.2">
      <c r="A85" s="371"/>
      <c r="C85" s="2119"/>
      <c r="H85" s="4108"/>
      <c r="I85" s="138"/>
      <c r="J85" s="4112"/>
      <c r="L85" s="371"/>
      <c r="O85" s="4115"/>
      <c r="P85" s="4114"/>
      <c r="Q85" s="4110"/>
      <c r="S85" s="2119"/>
      <c r="X85" s="4108"/>
      <c r="Y85" s="138"/>
    </row>
    <row r="86" spans="1:25" x14ac:dyDescent="0.2">
      <c r="A86" s="371"/>
      <c r="C86" s="2119"/>
      <c r="H86" s="4108"/>
      <c r="I86" s="138"/>
      <c r="J86" s="4112"/>
      <c r="L86" s="371"/>
      <c r="O86" s="4115"/>
      <c r="P86" s="4114"/>
      <c r="Q86" s="4110"/>
      <c r="S86" s="2119"/>
      <c r="X86" s="4108"/>
      <c r="Y86" s="138"/>
    </row>
    <row r="87" spans="1:25" x14ac:dyDescent="0.2">
      <c r="A87" s="371" t="s">
        <v>1851</v>
      </c>
      <c r="B87" s="371"/>
      <c r="C87" s="2119">
        <v>42710</v>
      </c>
      <c r="D87" s="5" t="s">
        <v>1861</v>
      </c>
      <c r="E87" s="5" t="s">
        <v>1862</v>
      </c>
      <c r="H87" s="2060" t="s">
        <v>1853</v>
      </c>
      <c r="I87" s="138">
        <f>20950/1.18</f>
        <v>17754.237288135595</v>
      </c>
      <c r="J87" s="4112"/>
      <c r="Q87" s="371"/>
      <c r="R87" s="371"/>
      <c r="S87" s="2119"/>
      <c r="X87" s="3934"/>
      <c r="Y87" s="138"/>
    </row>
    <row r="88" spans="1:25" x14ac:dyDescent="0.2">
      <c r="A88" s="371" t="s">
        <v>1863</v>
      </c>
      <c r="C88" s="2119">
        <v>42705</v>
      </c>
      <c r="D88" s="5" t="s">
        <v>1864</v>
      </c>
      <c r="E88" s="5" t="s">
        <v>1865</v>
      </c>
      <c r="H88" s="2060" t="s">
        <v>1853</v>
      </c>
      <c r="I88" s="138">
        <f>42500/1.18</f>
        <v>36016.949152542373</v>
      </c>
      <c r="J88" s="4112"/>
      <c r="S88" s="2119"/>
      <c r="X88" s="3934"/>
      <c r="Y88" s="138"/>
    </row>
    <row r="89" spans="1:25" ht="38.25" x14ac:dyDescent="0.2">
      <c r="A89" s="371" t="s">
        <v>1851</v>
      </c>
      <c r="B89" s="371"/>
      <c r="C89" s="2119">
        <v>43195</v>
      </c>
      <c r="D89" s="2121">
        <v>329002069180007</v>
      </c>
      <c r="E89" s="2092" t="s">
        <v>1616</v>
      </c>
      <c r="F89" s="2092"/>
      <c r="G89" s="2092"/>
      <c r="H89" s="2060" t="s">
        <v>1853</v>
      </c>
      <c r="I89" s="2123">
        <v>26000</v>
      </c>
      <c r="J89" s="4113"/>
      <c r="Q89" s="371"/>
      <c r="R89" s="371"/>
      <c r="S89" s="2119"/>
      <c r="T89" s="2121"/>
      <c r="U89" s="2092"/>
      <c r="V89" s="2092"/>
      <c r="W89" s="2092"/>
      <c r="X89" s="3934"/>
      <c r="Y89" s="2123"/>
    </row>
    <row r="90" spans="1:25" x14ac:dyDescent="0.2">
      <c r="A90" s="371"/>
      <c r="E90" s="5" t="s">
        <v>887</v>
      </c>
      <c r="H90" s="2060" t="s">
        <v>1866</v>
      </c>
      <c r="I90" s="2123">
        <v>335.45</v>
      </c>
      <c r="J90" s="4113"/>
      <c r="X90" s="3934"/>
      <c r="Y90" s="2123"/>
    </row>
    <row r="91" spans="1:25" x14ac:dyDescent="0.2">
      <c r="A91" s="371"/>
      <c r="H91" s="2060" t="s">
        <v>1866</v>
      </c>
      <c r="I91" s="2123">
        <v>340.09</v>
      </c>
      <c r="J91" s="4113"/>
      <c r="X91" s="3934"/>
      <c r="Y91" s="2123"/>
    </row>
    <row r="92" spans="1:25" x14ac:dyDescent="0.2">
      <c r="A92" s="371" t="s">
        <v>1868</v>
      </c>
      <c r="C92" s="2119">
        <v>42727</v>
      </c>
      <c r="D92" s="5" t="s">
        <v>1869</v>
      </c>
      <c r="E92" s="5" t="s">
        <v>1870</v>
      </c>
      <c r="H92" s="5" t="s">
        <v>1866</v>
      </c>
      <c r="I92" s="138">
        <v>194.6</v>
      </c>
      <c r="J92" s="4112"/>
      <c r="S92" s="2119"/>
      <c r="Y92" s="138"/>
    </row>
    <row r="93" spans="1:25" x14ac:dyDescent="0.2">
      <c r="I93" s="138"/>
      <c r="J93" s="138"/>
    </row>
    <row r="94" spans="1:25" x14ac:dyDescent="0.2">
      <c r="I94" s="138"/>
      <c r="J94" s="138"/>
    </row>
    <row r="95" spans="1:25" x14ac:dyDescent="0.2">
      <c r="I95" s="138"/>
      <c r="J95" s="138"/>
    </row>
    <row r="96" spans="1:25" x14ac:dyDescent="0.2">
      <c r="I96" s="138"/>
      <c r="J96" s="138"/>
    </row>
    <row r="97" spans="9:10" x14ac:dyDescent="0.2">
      <c r="I97" s="138"/>
      <c r="J97" s="138"/>
    </row>
    <row r="98" spans="9:10" x14ac:dyDescent="0.2">
      <c r="I98" s="138"/>
      <c r="J98" s="138"/>
    </row>
    <row r="99" spans="9:10" x14ac:dyDescent="0.2">
      <c r="I99" s="138"/>
      <c r="J99" s="138"/>
    </row>
    <row r="100" spans="9:10" x14ac:dyDescent="0.2">
      <c r="I100" s="138"/>
      <c r="J100" s="138"/>
    </row>
    <row r="101" spans="9:10" x14ac:dyDescent="0.2">
      <c r="I101" s="138"/>
      <c r="J101" s="138"/>
    </row>
    <row r="102" spans="9:10" x14ac:dyDescent="0.2">
      <c r="I102" s="138"/>
      <c r="J102" s="138"/>
    </row>
    <row r="103" spans="9:10" x14ac:dyDescent="0.2">
      <c r="I103" s="138"/>
      <c r="J103" s="138"/>
    </row>
    <row r="104" spans="9:10" x14ac:dyDescent="0.2">
      <c r="I104" s="138"/>
      <c r="J104" s="138"/>
    </row>
  </sheetData>
  <mergeCells count="31">
    <mergeCell ref="AD4:AD6"/>
    <mergeCell ref="AE4:AE6"/>
    <mergeCell ref="A2:AE2"/>
    <mergeCell ref="A74:Q74"/>
    <mergeCell ref="O76:O83"/>
    <mergeCell ref="AB4:AC4"/>
    <mergeCell ref="G5:G6"/>
    <mergeCell ref="J4:L4"/>
    <mergeCell ref="F4:G4"/>
    <mergeCell ref="F5:F6"/>
    <mergeCell ref="I5:I6"/>
    <mergeCell ref="P4:Q4"/>
    <mergeCell ref="R4:R6"/>
    <mergeCell ref="S4:S6"/>
    <mergeCell ref="T4:T6"/>
    <mergeCell ref="W4:W6"/>
    <mergeCell ref="Z4:AA4"/>
    <mergeCell ref="X4:X6"/>
    <mergeCell ref="Y4:Y6"/>
    <mergeCell ref="A4:A6"/>
    <mergeCell ref="C4:D4"/>
    <mergeCell ref="C5:C6"/>
    <mergeCell ref="D5:D6"/>
    <mergeCell ref="E5:E6"/>
    <mergeCell ref="B5:B6"/>
    <mergeCell ref="U4:V4"/>
    <mergeCell ref="M4:M6"/>
    <mergeCell ref="N4:N6"/>
    <mergeCell ref="O4:O6"/>
    <mergeCell ref="H4:I4"/>
    <mergeCell ref="H5:H6"/>
  </mergeCells>
  <printOptions horizontalCentered="1"/>
  <pageMargins left="0.39370078740157483" right="0.39370078740157483" top="0.35433070866141736" bottom="0.35433070866141736" header="0.31496062992125984" footer="0.31496062992125984"/>
  <pageSetup paperSize="9" scale="5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Лист39">
    <tabColor rgb="FFFF66FF"/>
    <pageSetUpPr fitToPage="1"/>
  </sheetPr>
  <dimension ref="A1:AD118"/>
  <sheetViews>
    <sheetView topLeftCell="L1" zoomScaleNormal="100" workbookViewId="0">
      <selection activeCell="D105" sqref="D105"/>
    </sheetView>
  </sheetViews>
  <sheetFormatPr defaultRowHeight="15" x14ac:dyDescent="0.25"/>
  <cols>
    <col min="1" max="1" width="18" style="1261" customWidth="1"/>
    <col min="2" max="2" width="20" style="1261" customWidth="1"/>
    <col min="3" max="3" width="8.5703125" style="1261" customWidth="1"/>
    <col min="4" max="4" width="12.85546875" style="1261" customWidth="1"/>
    <col min="5" max="5" width="10.140625" style="1261" customWidth="1"/>
    <col min="6" max="6" width="13.42578125" style="1261" customWidth="1"/>
    <col min="7" max="7" width="9.7109375" style="1261" customWidth="1"/>
    <col min="8" max="8" width="13.140625" style="1261" customWidth="1"/>
    <col min="9" max="9" width="8.7109375" style="1261" customWidth="1"/>
    <col min="10" max="10" width="14" style="1261" customWidth="1"/>
    <col min="11" max="11" width="10.7109375" style="1261" customWidth="1"/>
    <col min="12" max="12" width="13.140625" style="1261" customWidth="1"/>
    <col min="13" max="13" width="10.7109375" style="1261" customWidth="1"/>
    <col min="14" max="14" width="14.140625" style="1261" customWidth="1"/>
    <col min="15" max="15" width="10.7109375" style="1261" customWidth="1"/>
    <col min="16" max="16" width="15" style="1261" customWidth="1"/>
    <col min="17" max="17" width="9.42578125" style="1261" customWidth="1"/>
    <col min="18" max="18" width="14" style="1261" customWidth="1"/>
    <col min="19" max="19" width="8.85546875" style="1261" customWidth="1"/>
    <col min="20" max="20" width="13" style="1261" customWidth="1"/>
    <col min="21" max="248" width="9.140625" style="1261"/>
    <col min="249" max="249" width="18" style="1261" customWidth="1"/>
    <col min="250" max="250" width="21.140625" style="1261" customWidth="1"/>
    <col min="251" max="251" width="13" style="1261" customWidth="1"/>
    <col min="252" max="252" width="14.5703125" style="1261" customWidth="1"/>
    <col min="253" max="253" width="11.5703125" style="1261" customWidth="1"/>
    <col min="254" max="254" width="14.5703125" style="1261" customWidth="1"/>
    <col min="255" max="255" width="13.28515625" style="1261" customWidth="1"/>
    <col min="256" max="256" width="13.42578125" style="1261" customWidth="1"/>
    <col min="257" max="257" width="14.140625" style="1261" customWidth="1"/>
    <col min="258" max="258" width="17.5703125" style="1261" customWidth="1"/>
    <col min="259" max="259" width="16" style="1261" customWidth="1"/>
    <col min="260" max="260" width="19" style="1261" customWidth="1"/>
    <col min="261" max="261" width="14" style="1261" customWidth="1"/>
    <col min="262" max="265" width="19.140625" style="1261" customWidth="1"/>
    <col min="266" max="266" width="15" style="1261" customWidth="1"/>
    <col min="267" max="267" width="22" style="1261" customWidth="1"/>
    <col min="268" max="268" width="19.42578125" style="1261" customWidth="1"/>
    <col min="269" max="269" width="15" style="1261" customWidth="1"/>
    <col min="270" max="270" width="19.28515625" style="1261" customWidth="1"/>
    <col min="271" max="271" width="19.85546875" style="1261" customWidth="1"/>
    <col min="272" max="272" width="19.5703125" style="1261" customWidth="1"/>
    <col min="273" max="273" width="14" style="1261" customWidth="1"/>
    <col min="274" max="274" width="16.42578125" style="1261" customWidth="1"/>
    <col min="275" max="275" width="18.140625" style="1261" customWidth="1"/>
    <col min="276" max="276" width="15.85546875" style="1261" customWidth="1"/>
    <col min="277" max="504" width="9.140625" style="1261"/>
    <col min="505" max="505" width="18" style="1261" customWidth="1"/>
    <col min="506" max="506" width="21.140625" style="1261" customWidth="1"/>
    <col min="507" max="507" width="13" style="1261" customWidth="1"/>
    <col min="508" max="508" width="14.5703125" style="1261" customWidth="1"/>
    <col min="509" max="509" width="11.5703125" style="1261" customWidth="1"/>
    <col min="510" max="510" width="14.5703125" style="1261" customWidth="1"/>
    <col min="511" max="511" width="13.28515625" style="1261" customWidth="1"/>
    <col min="512" max="512" width="13.42578125" style="1261" customWidth="1"/>
    <col min="513" max="513" width="14.140625" style="1261" customWidth="1"/>
    <col min="514" max="514" width="17.5703125" style="1261" customWidth="1"/>
    <col min="515" max="515" width="16" style="1261" customWidth="1"/>
    <col min="516" max="516" width="19" style="1261" customWidth="1"/>
    <col min="517" max="517" width="14" style="1261" customWidth="1"/>
    <col min="518" max="521" width="19.140625" style="1261" customWidth="1"/>
    <col min="522" max="522" width="15" style="1261" customWidth="1"/>
    <col min="523" max="523" width="22" style="1261" customWidth="1"/>
    <col min="524" max="524" width="19.42578125" style="1261" customWidth="1"/>
    <col min="525" max="525" width="15" style="1261" customWidth="1"/>
    <col min="526" max="526" width="19.28515625" style="1261" customWidth="1"/>
    <col min="527" max="527" width="19.85546875" style="1261" customWidth="1"/>
    <col min="528" max="528" width="19.5703125" style="1261" customWidth="1"/>
    <col min="529" max="529" width="14" style="1261" customWidth="1"/>
    <col min="530" max="530" width="16.42578125" style="1261" customWidth="1"/>
    <col min="531" max="531" width="18.140625" style="1261" customWidth="1"/>
    <col min="532" max="532" width="15.85546875" style="1261" customWidth="1"/>
    <col min="533" max="760" width="9.140625" style="1261"/>
    <col min="761" max="761" width="18" style="1261" customWidth="1"/>
    <col min="762" max="762" width="21.140625" style="1261" customWidth="1"/>
    <col min="763" max="763" width="13" style="1261" customWidth="1"/>
    <col min="764" max="764" width="14.5703125" style="1261" customWidth="1"/>
    <col min="765" max="765" width="11.5703125" style="1261" customWidth="1"/>
    <col min="766" max="766" width="14.5703125" style="1261" customWidth="1"/>
    <col min="767" max="767" width="13.28515625" style="1261" customWidth="1"/>
    <col min="768" max="768" width="13.42578125" style="1261" customWidth="1"/>
    <col min="769" max="769" width="14.140625" style="1261" customWidth="1"/>
    <col min="770" max="770" width="17.5703125" style="1261" customWidth="1"/>
    <col min="771" max="771" width="16" style="1261" customWidth="1"/>
    <col min="772" max="772" width="19" style="1261" customWidth="1"/>
    <col min="773" max="773" width="14" style="1261" customWidth="1"/>
    <col min="774" max="777" width="19.140625" style="1261" customWidth="1"/>
    <col min="778" max="778" width="15" style="1261" customWidth="1"/>
    <col min="779" max="779" width="22" style="1261" customWidth="1"/>
    <col min="780" max="780" width="19.42578125" style="1261" customWidth="1"/>
    <col min="781" max="781" width="15" style="1261" customWidth="1"/>
    <col min="782" max="782" width="19.28515625" style="1261" customWidth="1"/>
    <col min="783" max="783" width="19.85546875" style="1261" customWidth="1"/>
    <col min="784" max="784" width="19.5703125" style="1261" customWidth="1"/>
    <col min="785" max="785" width="14" style="1261" customWidth="1"/>
    <col min="786" max="786" width="16.42578125" style="1261" customWidth="1"/>
    <col min="787" max="787" width="18.140625" style="1261" customWidth="1"/>
    <col min="788" max="788" width="15.85546875" style="1261" customWidth="1"/>
    <col min="789" max="1016" width="9.140625" style="1261"/>
    <col min="1017" max="1017" width="18" style="1261" customWidth="1"/>
    <col min="1018" max="1018" width="21.140625" style="1261" customWidth="1"/>
    <col min="1019" max="1019" width="13" style="1261" customWidth="1"/>
    <col min="1020" max="1020" width="14.5703125" style="1261" customWidth="1"/>
    <col min="1021" max="1021" width="11.5703125" style="1261" customWidth="1"/>
    <col min="1022" max="1022" width="14.5703125" style="1261" customWidth="1"/>
    <col min="1023" max="1023" width="13.28515625" style="1261" customWidth="1"/>
    <col min="1024" max="1024" width="13.42578125" style="1261" customWidth="1"/>
    <col min="1025" max="1025" width="14.140625" style="1261" customWidth="1"/>
    <col min="1026" max="1026" width="17.5703125" style="1261" customWidth="1"/>
    <col min="1027" max="1027" width="16" style="1261" customWidth="1"/>
    <col min="1028" max="1028" width="19" style="1261" customWidth="1"/>
    <col min="1029" max="1029" width="14" style="1261" customWidth="1"/>
    <col min="1030" max="1033" width="19.140625" style="1261" customWidth="1"/>
    <col min="1034" max="1034" width="15" style="1261" customWidth="1"/>
    <col min="1035" max="1035" width="22" style="1261" customWidth="1"/>
    <col min="1036" max="1036" width="19.42578125" style="1261" customWidth="1"/>
    <col min="1037" max="1037" width="15" style="1261" customWidth="1"/>
    <col min="1038" max="1038" width="19.28515625" style="1261" customWidth="1"/>
    <col min="1039" max="1039" width="19.85546875" style="1261" customWidth="1"/>
    <col min="1040" max="1040" width="19.5703125" style="1261" customWidth="1"/>
    <col min="1041" max="1041" width="14" style="1261" customWidth="1"/>
    <col min="1042" max="1042" width="16.42578125" style="1261" customWidth="1"/>
    <col min="1043" max="1043" width="18.140625" style="1261" customWidth="1"/>
    <col min="1044" max="1044" width="15.85546875" style="1261" customWidth="1"/>
    <col min="1045" max="1272" width="9.140625" style="1261"/>
    <col min="1273" max="1273" width="18" style="1261" customWidth="1"/>
    <col min="1274" max="1274" width="21.140625" style="1261" customWidth="1"/>
    <col min="1275" max="1275" width="13" style="1261" customWidth="1"/>
    <col min="1276" max="1276" width="14.5703125" style="1261" customWidth="1"/>
    <col min="1277" max="1277" width="11.5703125" style="1261" customWidth="1"/>
    <col min="1278" max="1278" width="14.5703125" style="1261" customWidth="1"/>
    <col min="1279" max="1279" width="13.28515625" style="1261" customWidth="1"/>
    <col min="1280" max="1280" width="13.42578125" style="1261" customWidth="1"/>
    <col min="1281" max="1281" width="14.140625" style="1261" customWidth="1"/>
    <col min="1282" max="1282" width="17.5703125" style="1261" customWidth="1"/>
    <col min="1283" max="1283" width="16" style="1261" customWidth="1"/>
    <col min="1284" max="1284" width="19" style="1261" customWidth="1"/>
    <col min="1285" max="1285" width="14" style="1261" customWidth="1"/>
    <col min="1286" max="1289" width="19.140625" style="1261" customWidth="1"/>
    <col min="1290" max="1290" width="15" style="1261" customWidth="1"/>
    <col min="1291" max="1291" width="22" style="1261" customWidth="1"/>
    <col min="1292" max="1292" width="19.42578125" style="1261" customWidth="1"/>
    <col min="1293" max="1293" width="15" style="1261" customWidth="1"/>
    <col min="1294" max="1294" width="19.28515625" style="1261" customWidth="1"/>
    <col min="1295" max="1295" width="19.85546875" style="1261" customWidth="1"/>
    <col min="1296" max="1296" width="19.5703125" style="1261" customWidth="1"/>
    <col min="1297" max="1297" width="14" style="1261" customWidth="1"/>
    <col min="1298" max="1298" width="16.42578125" style="1261" customWidth="1"/>
    <col min="1299" max="1299" width="18.140625" style="1261" customWidth="1"/>
    <col min="1300" max="1300" width="15.85546875" style="1261" customWidth="1"/>
    <col min="1301" max="1528" width="9.140625" style="1261"/>
    <col min="1529" max="1529" width="18" style="1261" customWidth="1"/>
    <col min="1530" max="1530" width="21.140625" style="1261" customWidth="1"/>
    <col min="1531" max="1531" width="13" style="1261" customWidth="1"/>
    <col min="1532" max="1532" width="14.5703125" style="1261" customWidth="1"/>
    <col min="1533" max="1533" width="11.5703125" style="1261" customWidth="1"/>
    <col min="1534" max="1534" width="14.5703125" style="1261" customWidth="1"/>
    <col min="1535" max="1535" width="13.28515625" style="1261" customWidth="1"/>
    <col min="1536" max="1536" width="13.42578125" style="1261" customWidth="1"/>
    <col min="1537" max="1537" width="14.140625" style="1261" customWidth="1"/>
    <col min="1538" max="1538" width="17.5703125" style="1261" customWidth="1"/>
    <col min="1539" max="1539" width="16" style="1261" customWidth="1"/>
    <col min="1540" max="1540" width="19" style="1261" customWidth="1"/>
    <col min="1541" max="1541" width="14" style="1261" customWidth="1"/>
    <col min="1542" max="1545" width="19.140625" style="1261" customWidth="1"/>
    <col min="1546" max="1546" width="15" style="1261" customWidth="1"/>
    <col min="1547" max="1547" width="22" style="1261" customWidth="1"/>
    <col min="1548" max="1548" width="19.42578125" style="1261" customWidth="1"/>
    <col min="1549" max="1549" width="15" style="1261" customWidth="1"/>
    <col min="1550" max="1550" width="19.28515625" style="1261" customWidth="1"/>
    <col min="1551" max="1551" width="19.85546875" style="1261" customWidth="1"/>
    <col min="1552" max="1552" width="19.5703125" style="1261" customWidth="1"/>
    <col min="1553" max="1553" width="14" style="1261" customWidth="1"/>
    <col min="1554" max="1554" width="16.42578125" style="1261" customWidth="1"/>
    <col min="1555" max="1555" width="18.140625" style="1261" customWidth="1"/>
    <col min="1556" max="1556" width="15.85546875" style="1261" customWidth="1"/>
    <col min="1557" max="1784" width="9.140625" style="1261"/>
    <col min="1785" max="1785" width="18" style="1261" customWidth="1"/>
    <col min="1786" max="1786" width="21.140625" style="1261" customWidth="1"/>
    <col min="1787" max="1787" width="13" style="1261" customWidth="1"/>
    <col min="1788" max="1788" width="14.5703125" style="1261" customWidth="1"/>
    <col min="1789" max="1789" width="11.5703125" style="1261" customWidth="1"/>
    <col min="1790" max="1790" width="14.5703125" style="1261" customWidth="1"/>
    <col min="1791" max="1791" width="13.28515625" style="1261" customWidth="1"/>
    <col min="1792" max="1792" width="13.42578125" style="1261" customWidth="1"/>
    <col min="1793" max="1793" width="14.140625" style="1261" customWidth="1"/>
    <col min="1794" max="1794" width="17.5703125" style="1261" customWidth="1"/>
    <col min="1795" max="1795" width="16" style="1261" customWidth="1"/>
    <col min="1796" max="1796" width="19" style="1261" customWidth="1"/>
    <col min="1797" max="1797" width="14" style="1261" customWidth="1"/>
    <col min="1798" max="1801" width="19.140625" style="1261" customWidth="1"/>
    <col min="1802" max="1802" width="15" style="1261" customWidth="1"/>
    <col min="1803" max="1803" width="22" style="1261" customWidth="1"/>
    <col min="1804" max="1804" width="19.42578125" style="1261" customWidth="1"/>
    <col min="1805" max="1805" width="15" style="1261" customWidth="1"/>
    <col min="1806" max="1806" width="19.28515625" style="1261" customWidth="1"/>
    <col min="1807" max="1807" width="19.85546875" style="1261" customWidth="1"/>
    <col min="1808" max="1808" width="19.5703125" style="1261" customWidth="1"/>
    <col min="1809" max="1809" width="14" style="1261" customWidth="1"/>
    <col min="1810" max="1810" width="16.42578125" style="1261" customWidth="1"/>
    <col min="1811" max="1811" width="18.140625" style="1261" customWidth="1"/>
    <col min="1812" max="1812" width="15.85546875" style="1261" customWidth="1"/>
    <col min="1813" max="2040" width="9.140625" style="1261"/>
    <col min="2041" max="2041" width="18" style="1261" customWidth="1"/>
    <col min="2042" max="2042" width="21.140625" style="1261" customWidth="1"/>
    <col min="2043" max="2043" width="13" style="1261" customWidth="1"/>
    <col min="2044" max="2044" width="14.5703125" style="1261" customWidth="1"/>
    <col min="2045" max="2045" width="11.5703125" style="1261" customWidth="1"/>
    <col min="2046" max="2046" width="14.5703125" style="1261" customWidth="1"/>
    <col min="2047" max="2047" width="13.28515625" style="1261" customWidth="1"/>
    <col min="2048" max="2048" width="13.42578125" style="1261" customWidth="1"/>
    <col min="2049" max="2049" width="14.140625" style="1261" customWidth="1"/>
    <col min="2050" max="2050" width="17.5703125" style="1261" customWidth="1"/>
    <col min="2051" max="2051" width="16" style="1261" customWidth="1"/>
    <col min="2052" max="2052" width="19" style="1261" customWidth="1"/>
    <col min="2053" max="2053" width="14" style="1261" customWidth="1"/>
    <col min="2054" max="2057" width="19.140625" style="1261" customWidth="1"/>
    <col min="2058" max="2058" width="15" style="1261" customWidth="1"/>
    <col min="2059" max="2059" width="22" style="1261" customWidth="1"/>
    <col min="2060" max="2060" width="19.42578125" style="1261" customWidth="1"/>
    <col min="2061" max="2061" width="15" style="1261" customWidth="1"/>
    <col min="2062" max="2062" width="19.28515625" style="1261" customWidth="1"/>
    <col min="2063" max="2063" width="19.85546875" style="1261" customWidth="1"/>
    <col min="2064" max="2064" width="19.5703125" style="1261" customWidth="1"/>
    <col min="2065" max="2065" width="14" style="1261" customWidth="1"/>
    <col min="2066" max="2066" width="16.42578125" style="1261" customWidth="1"/>
    <col min="2067" max="2067" width="18.140625" style="1261" customWidth="1"/>
    <col min="2068" max="2068" width="15.85546875" style="1261" customWidth="1"/>
    <col min="2069" max="2296" width="9.140625" style="1261"/>
    <col min="2297" max="2297" width="18" style="1261" customWidth="1"/>
    <col min="2298" max="2298" width="21.140625" style="1261" customWidth="1"/>
    <col min="2299" max="2299" width="13" style="1261" customWidth="1"/>
    <col min="2300" max="2300" width="14.5703125" style="1261" customWidth="1"/>
    <col min="2301" max="2301" width="11.5703125" style="1261" customWidth="1"/>
    <col min="2302" max="2302" width="14.5703125" style="1261" customWidth="1"/>
    <col min="2303" max="2303" width="13.28515625" style="1261" customWidth="1"/>
    <col min="2304" max="2304" width="13.42578125" style="1261" customWidth="1"/>
    <col min="2305" max="2305" width="14.140625" style="1261" customWidth="1"/>
    <col min="2306" max="2306" width="17.5703125" style="1261" customWidth="1"/>
    <col min="2307" max="2307" width="16" style="1261" customWidth="1"/>
    <col min="2308" max="2308" width="19" style="1261" customWidth="1"/>
    <col min="2309" max="2309" width="14" style="1261" customWidth="1"/>
    <col min="2310" max="2313" width="19.140625" style="1261" customWidth="1"/>
    <col min="2314" max="2314" width="15" style="1261" customWidth="1"/>
    <col min="2315" max="2315" width="22" style="1261" customWidth="1"/>
    <col min="2316" max="2316" width="19.42578125" style="1261" customWidth="1"/>
    <col min="2317" max="2317" width="15" style="1261" customWidth="1"/>
    <col min="2318" max="2318" width="19.28515625" style="1261" customWidth="1"/>
    <col min="2319" max="2319" width="19.85546875" style="1261" customWidth="1"/>
    <col min="2320" max="2320" width="19.5703125" style="1261" customWidth="1"/>
    <col min="2321" max="2321" width="14" style="1261" customWidth="1"/>
    <col min="2322" max="2322" width="16.42578125" style="1261" customWidth="1"/>
    <col min="2323" max="2323" width="18.140625" style="1261" customWidth="1"/>
    <col min="2324" max="2324" width="15.85546875" style="1261" customWidth="1"/>
    <col min="2325" max="2552" width="9.140625" style="1261"/>
    <col min="2553" max="2553" width="18" style="1261" customWidth="1"/>
    <col min="2554" max="2554" width="21.140625" style="1261" customWidth="1"/>
    <col min="2555" max="2555" width="13" style="1261" customWidth="1"/>
    <col min="2556" max="2556" width="14.5703125" style="1261" customWidth="1"/>
    <col min="2557" max="2557" width="11.5703125" style="1261" customWidth="1"/>
    <col min="2558" max="2558" width="14.5703125" style="1261" customWidth="1"/>
    <col min="2559" max="2559" width="13.28515625" style="1261" customWidth="1"/>
    <col min="2560" max="2560" width="13.42578125" style="1261" customWidth="1"/>
    <col min="2561" max="2561" width="14.140625" style="1261" customWidth="1"/>
    <col min="2562" max="2562" width="17.5703125" style="1261" customWidth="1"/>
    <col min="2563" max="2563" width="16" style="1261" customWidth="1"/>
    <col min="2564" max="2564" width="19" style="1261" customWidth="1"/>
    <col min="2565" max="2565" width="14" style="1261" customWidth="1"/>
    <col min="2566" max="2569" width="19.140625" style="1261" customWidth="1"/>
    <col min="2570" max="2570" width="15" style="1261" customWidth="1"/>
    <col min="2571" max="2571" width="22" style="1261" customWidth="1"/>
    <col min="2572" max="2572" width="19.42578125" style="1261" customWidth="1"/>
    <col min="2573" max="2573" width="15" style="1261" customWidth="1"/>
    <col min="2574" max="2574" width="19.28515625" style="1261" customWidth="1"/>
    <col min="2575" max="2575" width="19.85546875" style="1261" customWidth="1"/>
    <col min="2576" max="2576" width="19.5703125" style="1261" customWidth="1"/>
    <col min="2577" max="2577" width="14" style="1261" customWidth="1"/>
    <col min="2578" max="2578" width="16.42578125" style="1261" customWidth="1"/>
    <col min="2579" max="2579" width="18.140625" style="1261" customWidth="1"/>
    <col min="2580" max="2580" width="15.85546875" style="1261" customWidth="1"/>
    <col min="2581" max="2808" width="9.140625" style="1261"/>
    <col min="2809" max="2809" width="18" style="1261" customWidth="1"/>
    <col min="2810" max="2810" width="21.140625" style="1261" customWidth="1"/>
    <col min="2811" max="2811" width="13" style="1261" customWidth="1"/>
    <col min="2812" max="2812" width="14.5703125" style="1261" customWidth="1"/>
    <col min="2813" max="2813" width="11.5703125" style="1261" customWidth="1"/>
    <col min="2814" max="2814" width="14.5703125" style="1261" customWidth="1"/>
    <col min="2815" max="2815" width="13.28515625" style="1261" customWidth="1"/>
    <col min="2816" max="2816" width="13.42578125" style="1261" customWidth="1"/>
    <col min="2817" max="2817" width="14.140625" style="1261" customWidth="1"/>
    <col min="2818" max="2818" width="17.5703125" style="1261" customWidth="1"/>
    <col min="2819" max="2819" width="16" style="1261" customWidth="1"/>
    <col min="2820" max="2820" width="19" style="1261" customWidth="1"/>
    <col min="2821" max="2821" width="14" style="1261" customWidth="1"/>
    <col min="2822" max="2825" width="19.140625" style="1261" customWidth="1"/>
    <col min="2826" max="2826" width="15" style="1261" customWidth="1"/>
    <col min="2827" max="2827" width="22" style="1261" customWidth="1"/>
    <col min="2828" max="2828" width="19.42578125" style="1261" customWidth="1"/>
    <col min="2829" max="2829" width="15" style="1261" customWidth="1"/>
    <col min="2830" max="2830" width="19.28515625" style="1261" customWidth="1"/>
    <col min="2831" max="2831" width="19.85546875" style="1261" customWidth="1"/>
    <col min="2832" max="2832" width="19.5703125" style="1261" customWidth="1"/>
    <col min="2833" max="2833" width="14" style="1261" customWidth="1"/>
    <col min="2834" max="2834" width="16.42578125" style="1261" customWidth="1"/>
    <col min="2835" max="2835" width="18.140625" style="1261" customWidth="1"/>
    <col min="2836" max="2836" width="15.85546875" style="1261" customWidth="1"/>
    <col min="2837" max="3064" width="9.140625" style="1261"/>
    <col min="3065" max="3065" width="18" style="1261" customWidth="1"/>
    <col min="3066" max="3066" width="21.140625" style="1261" customWidth="1"/>
    <col min="3067" max="3067" width="13" style="1261" customWidth="1"/>
    <col min="3068" max="3068" width="14.5703125" style="1261" customWidth="1"/>
    <col min="3069" max="3069" width="11.5703125" style="1261" customWidth="1"/>
    <col min="3070" max="3070" width="14.5703125" style="1261" customWidth="1"/>
    <col min="3071" max="3071" width="13.28515625" style="1261" customWidth="1"/>
    <col min="3072" max="3072" width="13.42578125" style="1261" customWidth="1"/>
    <col min="3073" max="3073" width="14.140625" style="1261" customWidth="1"/>
    <col min="3074" max="3074" width="17.5703125" style="1261" customWidth="1"/>
    <col min="3075" max="3075" width="16" style="1261" customWidth="1"/>
    <col min="3076" max="3076" width="19" style="1261" customWidth="1"/>
    <col min="3077" max="3077" width="14" style="1261" customWidth="1"/>
    <col min="3078" max="3081" width="19.140625" style="1261" customWidth="1"/>
    <col min="3082" max="3082" width="15" style="1261" customWidth="1"/>
    <col min="3083" max="3083" width="22" style="1261" customWidth="1"/>
    <col min="3084" max="3084" width="19.42578125" style="1261" customWidth="1"/>
    <col min="3085" max="3085" width="15" style="1261" customWidth="1"/>
    <col min="3086" max="3086" width="19.28515625" style="1261" customWidth="1"/>
    <col min="3087" max="3087" width="19.85546875" style="1261" customWidth="1"/>
    <col min="3088" max="3088" width="19.5703125" style="1261" customWidth="1"/>
    <col min="3089" max="3089" width="14" style="1261" customWidth="1"/>
    <col min="3090" max="3090" width="16.42578125" style="1261" customWidth="1"/>
    <col min="3091" max="3091" width="18.140625" style="1261" customWidth="1"/>
    <col min="3092" max="3092" width="15.85546875" style="1261" customWidth="1"/>
    <col min="3093" max="3320" width="9.140625" style="1261"/>
    <col min="3321" max="3321" width="18" style="1261" customWidth="1"/>
    <col min="3322" max="3322" width="21.140625" style="1261" customWidth="1"/>
    <col min="3323" max="3323" width="13" style="1261" customWidth="1"/>
    <col min="3324" max="3324" width="14.5703125" style="1261" customWidth="1"/>
    <col min="3325" max="3325" width="11.5703125" style="1261" customWidth="1"/>
    <col min="3326" max="3326" width="14.5703125" style="1261" customWidth="1"/>
    <col min="3327" max="3327" width="13.28515625" style="1261" customWidth="1"/>
    <col min="3328" max="3328" width="13.42578125" style="1261" customWidth="1"/>
    <col min="3329" max="3329" width="14.140625" style="1261" customWidth="1"/>
    <col min="3330" max="3330" width="17.5703125" style="1261" customWidth="1"/>
    <col min="3331" max="3331" width="16" style="1261" customWidth="1"/>
    <col min="3332" max="3332" width="19" style="1261" customWidth="1"/>
    <col min="3333" max="3333" width="14" style="1261" customWidth="1"/>
    <col min="3334" max="3337" width="19.140625" style="1261" customWidth="1"/>
    <col min="3338" max="3338" width="15" style="1261" customWidth="1"/>
    <col min="3339" max="3339" width="22" style="1261" customWidth="1"/>
    <col min="3340" max="3340" width="19.42578125" style="1261" customWidth="1"/>
    <col min="3341" max="3341" width="15" style="1261" customWidth="1"/>
    <col min="3342" max="3342" width="19.28515625" style="1261" customWidth="1"/>
    <col min="3343" max="3343" width="19.85546875" style="1261" customWidth="1"/>
    <col min="3344" max="3344" width="19.5703125" style="1261" customWidth="1"/>
    <col min="3345" max="3345" width="14" style="1261" customWidth="1"/>
    <col min="3346" max="3346" width="16.42578125" style="1261" customWidth="1"/>
    <col min="3347" max="3347" width="18.140625" style="1261" customWidth="1"/>
    <col min="3348" max="3348" width="15.85546875" style="1261" customWidth="1"/>
    <col min="3349" max="3576" width="9.140625" style="1261"/>
    <col min="3577" max="3577" width="18" style="1261" customWidth="1"/>
    <col min="3578" max="3578" width="21.140625" style="1261" customWidth="1"/>
    <col min="3579" max="3579" width="13" style="1261" customWidth="1"/>
    <col min="3580" max="3580" width="14.5703125" style="1261" customWidth="1"/>
    <col min="3581" max="3581" width="11.5703125" style="1261" customWidth="1"/>
    <col min="3582" max="3582" width="14.5703125" style="1261" customWidth="1"/>
    <col min="3583" max="3583" width="13.28515625" style="1261" customWidth="1"/>
    <col min="3584" max="3584" width="13.42578125" style="1261" customWidth="1"/>
    <col min="3585" max="3585" width="14.140625" style="1261" customWidth="1"/>
    <col min="3586" max="3586" width="17.5703125" style="1261" customWidth="1"/>
    <col min="3587" max="3587" width="16" style="1261" customWidth="1"/>
    <col min="3588" max="3588" width="19" style="1261" customWidth="1"/>
    <col min="3589" max="3589" width="14" style="1261" customWidth="1"/>
    <col min="3590" max="3593" width="19.140625" style="1261" customWidth="1"/>
    <col min="3594" max="3594" width="15" style="1261" customWidth="1"/>
    <col min="3595" max="3595" width="22" style="1261" customWidth="1"/>
    <col min="3596" max="3596" width="19.42578125" style="1261" customWidth="1"/>
    <col min="3597" max="3597" width="15" style="1261" customWidth="1"/>
    <col min="3598" max="3598" width="19.28515625" style="1261" customWidth="1"/>
    <col min="3599" max="3599" width="19.85546875" style="1261" customWidth="1"/>
    <col min="3600" max="3600" width="19.5703125" style="1261" customWidth="1"/>
    <col min="3601" max="3601" width="14" style="1261" customWidth="1"/>
    <col min="3602" max="3602" width="16.42578125" style="1261" customWidth="1"/>
    <col min="3603" max="3603" width="18.140625" style="1261" customWidth="1"/>
    <col min="3604" max="3604" width="15.85546875" style="1261" customWidth="1"/>
    <col min="3605" max="3832" width="9.140625" style="1261"/>
    <col min="3833" max="3833" width="18" style="1261" customWidth="1"/>
    <col min="3834" max="3834" width="21.140625" style="1261" customWidth="1"/>
    <col min="3835" max="3835" width="13" style="1261" customWidth="1"/>
    <col min="3836" max="3836" width="14.5703125" style="1261" customWidth="1"/>
    <col min="3837" max="3837" width="11.5703125" style="1261" customWidth="1"/>
    <col min="3838" max="3838" width="14.5703125" style="1261" customWidth="1"/>
    <col min="3839" max="3839" width="13.28515625" style="1261" customWidth="1"/>
    <col min="3840" max="3840" width="13.42578125" style="1261" customWidth="1"/>
    <col min="3841" max="3841" width="14.140625" style="1261" customWidth="1"/>
    <col min="3842" max="3842" width="17.5703125" style="1261" customWidth="1"/>
    <col min="3843" max="3843" width="16" style="1261" customWidth="1"/>
    <col min="3844" max="3844" width="19" style="1261" customWidth="1"/>
    <col min="3845" max="3845" width="14" style="1261" customWidth="1"/>
    <col min="3846" max="3849" width="19.140625" style="1261" customWidth="1"/>
    <col min="3850" max="3850" width="15" style="1261" customWidth="1"/>
    <col min="3851" max="3851" width="22" style="1261" customWidth="1"/>
    <col min="3852" max="3852" width="19.42578125" style="1261" customWidth="1"/>
    <col min="3853" max="3853" width="15" style="1261" customWidth="1"/>
    <col min="3854" max="3854" width="19.28515625" style="1261" customWidth="1"/>
    <col min="3855" max="3855" width="19.85546875" style="1261" customWidth="1"/>
    <col min="3856" max="3856" width="19.5703125" style="1261" customWidth="1"/>
    <col min="3857" max="3857" width="14" style="1261" customWidth="1"/>
    <col min="3858" max="3858" width="16.42578125" style="1261" customWidth="1"/>
    <col min="3859" max="3859" width="18.140625" style="1261" customWidth="1"/>
    <col min="3860" max="3860" width="15.85546875" style="1261" customWidth="1"/>
    <col min="3861" max="4088" width="9.140625" style="1261"/>
    <col min="4089" max="4089" width="18" style="1261" customWidth="1"/>
    <col min="4090" max="4090" width="21.140625" style="1261" customWidth="1"/>
    <col min="4091" max="4091" width="13" style="1261" customWidth="1"/>
    <col min="4092" max="4092" width="14.5703125" style="1261" customWidth="1"/>
    <col min="4093" max="4093" width="11.5703125" style="1261" customWidth="1"/>
    <col min="4094" max="4094" width="14.5703125" style="1261" customWidth="1"/>
    <col min="4095" max="4095" width="13.28515625" style="1261" customWidth="1"/>
    <col min="4096" max="4096" width="13.42578125" style="1261" customWidth="1"/>
    <col min="4097" max="4097" width="14.140625" style="1261" customWidth="1"/>
    <col min="4098" max="4098" width="17.5703125" style="1261" customWidth="1"/>
    <col min="4099" max="4099" width="16" style="1261" customWidth="1"/>
    <col min="4100" max="4100" width="19" style="1261" customWidth="1"/>
    <col min="4101" max="4101" width="14" style="1261" customWidth="1"/>
    <col min="4102" max="4105" width="19.140625" style="1261" customWidth="1"/>
    <col min="4106" max="4106" width="15" style="1261" customWidth="1"/>
    <col min="4107" max="4107" width="22" style="1261" customWidth="1"/>
    <col min="4108" max="4108" width="19.42578125" style="1261" customWidth="1"/>
    <col min="4109" max="4109" width="15" style="1261" customWidth="1"/>
    <col min="4110" max="4110" width="19.28515625" style="1261" customWidth="1"/>
    <col min="4111" max="4111" width="19.85546875" style="1261" customWidth="1"/>
    <col min="4112" max="4112" width="19.5703125" style="1261" customWidth="1"/>
    <col min="4113" max="4113" width="14" style="1261" customWidth="1"/>
    <col min="4114" max="4114" width="16.42578125" style="1261" customWidth="1"/>
    <col min="4115" max="4115" width="18.140625" style="1261" customWidth="1"/>
    <col min="4116" max="4116" width="15.85546875" style="1261" customWidth="1"/>
    <col min="4117" max="4344" width="9.140625" style="1261"/>
    <col min="4345" max="4345" width="18" style="1261" customWidth="1"/>
    <col min="4346" max="4346" width="21.140625" style="1261" customWidth="1"/>
    <col min="4347" max="4347" width="13" style="1261" customWidth="1"/>
    <col min="4348" max="4348" width="14.5703125" style="1261" customWidth="1"/>
    <col min="4349" max="4349" width="11.5703125" style="1261" customWidth="1"/>
    <col min="4350" max="4350" width="14.5703125" style="1261" customWidth="1"/>
    <col min="4351" max="4351" width="13.28515625" style="1261" customWidth="1"/>
    <col min="4352" max="4352" width="13.42578125" style="1261" customWidth="1"/>
    <col min="4353" max="4353" width="14.140625" style="1261" customWidth="1"/>
    <col min="4354" max="4354" width="17.5703125" style="1261" customWidth="1"/>
    <col min="4355" max="4355" width="16" style="1261" customWidth="1"/>
    <col min="4356" max="4356" width="19" style="1261" customWidth="1"/>
    <col min="4357" max="4357" width="14" style="1261" customWidth="1"/>
    <col min="4358" max="4361" width="19.140625" style="1261" customWidth="1"/>
    <col min="4362" max="4362" width="15" style="1261" customWidth="1"/>
    <col min="4363" max="4363" width="22" style="1261" customWidth="1"/>
    <col min="4364" max="4364" width="19.42578125" style="1261" customWidth="1"/>
    <col min="4365" max="4365" width="15" style="1261" customWidth="1"/>
    <col min="4366" max="4366" width="19.28515625" style="1261" customWidth="1"/>
    <col min="4367" max="4367" width="19.85546875" style="1261" customWidth="1"/>
    <col min="4368" max="4368" width="19.5703125" style="1261" customWidth="1"/>
    <col min="4369" max="4369" width="14" style="1261" customWidth="1"/>
    <col min="4370" max="4370" width="16.42578125" style="1261" customWidth="1"/>
    <col min="4371" max="4371" width="18.140625" style="1261" customWidth="1"/>
    <col min="4372" max="4372" width="15.85546875" style="1261" customWidth="1"/>
    <col min="4373" max="4600" width="9.140625" style="1261"/>
    <col min="4601" max="4601" width="18" style="1261" customWidth="1"/>
    <col min="4602" max="4602" width="21.140625" style="1261" customWidth="1"/>
    <col min="4603" max="4603" width="13" style="1261" customWidth="1"/>
    <col min="4604" max="4604" width="14.5703125" style="1261" customWidth="1"/>
    <col min="4605" max="4605" width="11.5703125" style="1261" customWidth="1"/>
    <col min="4606" max="4606" width="14.5703125" style="1261" customWidth="1"/>
    <col min="4607" max="4607" width="13.28515625" style="1261" customWidth="1"/>
    <col min="4608" max="4608" width="13.42578125" style="1261" customWidth="1"/>
    <col min="4609" max="4609" width="14.140625" style="1261" customWidth="1"/>
    <col min="4610" max="4610" width="17.5703125" style="1261" customWidth="1"/>
    <col min="4611" max="4611" width="16" style="1261" customWidth="1"/>
    <col min="4612" max="4612" width="19" style="1261" customWidth="1"/>
    <col min="4613" max="4613" width="14" style="1261" customWidth="1"/>
    <col min="4614" max="4617" width="19.140625" style="1261" customWidth="1"/>
    <col min="4618" max="4618" width="15" style="1261" customWidth="1"/>
    <col min="4619" max="4619" width="22" style="1261" customWidth="1"/>
    <col min="4620" max="4620" width="19.42578125" style="1261" customWidth="1"/>
    <col min="4621" max="4621" width="15" style="1261" customWidth="1"/>
    <col min="4622" max="4622" width="19.28515625" style="1261" customWidth="1"/>
    <col min="4623" max="4623" width="19.85546875" style="1261" customWidth="1"/>
    <col min="4624" max="4624" width="19.5703125" style="1261" customWidth="1"/>
    <col min="4625" max="4625" width="14" style="1261" customWidth="1"/>
    <col min="4626" max="4626" width="16.42578125" style="1261" customWidth="1"/>
    <col min="4627" max="4627" width="18.140625" style="1261" customWidth="1"/>
    <col min="4628" max="4628" width="15.85546875" style="1261" customWidth="1"/>
    <col min="4629" max="4856" width="9.140625" style="1261"/>
    <col min="4857" max="4857" width="18" style="1261" customWidth="1"/>
    <col min="4858" max="4858" width="21.140625" style="1261" customWidth="1"/>
    <col min="4859" max="4859" width="13" style="1261" customWidth="1"/>
    <col min="4860" max="4860" width="14.5703125" style="1261" customWidth="1"/>
    <col min="4861" max="4861" width="11.5703125" style="1261" customWidth="1"/>
    <col min="4862" max="4862" width="14.5703125" style="1261" customWidth="1"/>
    <col min="4863" max="4863" width="13.28515625" style="1261" customWidth="1"/>
    <col min="4864" max="4864" width="13.42578125" style="1261" customWidth="1"/>
    <col min="4865" max="4865" width="14.140625" style="1261" customWidth="1"/>
    <col min="4866" max="4866" width="17.5703125" style="1261" customWidth="1"/>
    <col min="4867" max="4867" width="16" style="1261" customWidth="1"/>
    <col min="4868" max="4868" width="19" style="1261" customWidth="1"/>
    <col min="4869" max="4869" width="14" style="1261" customWidth="1"/>
    <col min="4870" max="4873" width="19.140625" style="1261" customWidth="1"/>
    <col min="4874" max="4874" width="15" style="1261" customWidth="1"/>
    <col min="4875" max="4875" width="22" style="1261" customWidth="1"/>
    <col min="4876" max="4876" width="19.42578125" style="1261" customWidth="1"/>
    <col min="4877" max="4877" width="15" style="1261" customWidth="1"/>
    <col min="4878" max="4878" width="19.28515625" style="1261" customWidth="1"/>
    <col min="4879" max="4879" width="19.85546875" style="1261" customWidth="1"/>
    <col min="4880" max="4880" width="19.5703125" style="1261" customWidth="1"/>
    <col min="4881" max="4881" width="14" style="1261" customWidth="1"/>
    <col min="4882" max="4882" width="16.42578125" style="1261" customWidth="1"/>
    <col min="4883" max="4883" width="18.140625" style="1261" customWidth="1"/>
    <col min="4884" max="4884" width="15.85546875" style="1261" customWidth="1"/>
    <col min="4885" max="5112" width="9.140625" style="1261"/>
    <col min="5113" max="5113" width="18" style="1261" customWidth="1"/>
    <col min="5114" max="5114" width="21.140625" style="1261" customWidth="1"/>
    <col min="5115" max="5115" width="13" style="1261" customWidth="1"/>
    <col min="5116" max="5116" width="14.5703125" style="1261" customWidth="1"/>
    <col min="5117" max="5117" width="11.5703125" style="1261" customWidth="1"/>
    <col min="5118" max="5118" width="14.5703125" style="1261" customWidth="1"/>
    <col min="5119" max="5119" width="13.28515625" style="1261" customWidth="1"/>
    <col min="5120" max="5120" width="13.42578125" style="1261" customWidth="1"/>
    <col min="5121" max="5121" width="14.140625" style="1261" customWidth="1"/>
    <col min="5122" max="5122" width="17.5703125" style="1261" customWidth="1"/>
    <col min="5123" max="5123" width="16" style="1261" customWidth="1"/>
    <col min="5124" max="5124" width="19" style="1261" customWidth="1"/>
    <col min="5125" max="5125" width="14" style="1261" customWidth="1"/>
    <col min="5126" max="5129" width="19.140625" style="1261" customWidth="1"/>
    <col min="5130" max="5130" width="15" style="1261" customWidth="1"/>
    <col min="5131" max="5131" width="22" style="1261" customWidth="1"/>
    <col min="5132" max="5132" width="19.42578125" style="1261" customWidth="1"/>
    <col min="5133" max="5133" width="15" style="1261" customWidth="1"/>
    <col min="5134" max="5134" width="19.28515625" style="1261" customWidth="1"/>
    <col min="5135" max="5135" width="19.85546875" style="1261" customWidth="1"/>
    <col min="5136" max="5136" width="19.5703125" style="1261" customWidth="1"/>
    <col min="5137" max="5137" width="14" style="1261" customWidth="1"/>
    <col min="5138" max="5138" width="16.42578125" style="1261" customWidth="1"/>
    <col min="5139" max="5139" width="18.140625" style="1261" customWidth="1"/>
    <col min="5140" max="5140" width="15.85546875" style="1261" customWidth="1"/>
    <col min="5141" max="5368" width="9.140625" style="1261"/>
    <col min="5369" max="5369" width="18" style="1261" customWidth="1"/>
    <col min="5370" max="5370" width="21.140625" style="1261" customWidth="1"/>
    <col min="5371" max="5371" width="13" style="1261" customWidth="1"/>
    <col min="5372" max="5372" width="14.5703125" style="1261" customWidth="1"/>
    <col min="5373" max="5373" width="11.5703125" style="1261" customWidth="1"/>
    <col min="5374" max="5374" width="14.5703125" style="1261" customWidth="1"/>
    <col min="5375" max="5375" width="13.28515625" style="1261" customWidth="1"/>
    <col min="5376" max="5376" width="13.42578125" style="1261" customWidth="1"/>
    <col min="5377" max="5377" width="14.140625" style="1261" customWidth="1"/>
    <col min="5378" max="5378" width="17.5703125" style="1261" customWidth="1"/>
    <col min="5379" max="5379" width="16" style="1261" customWidth="1"/>
    <col min="5380" max="5380" width="19" style="1261" customWidth="1"/>
    <col min="5381" max="5381" width="14" style="1261" customWidth="1"/>
    <col min="5382" max="5385" width="19.140625" style="1261" customWidth="1"/>
    <col min="5386" max="5386" width="15" style="1261" customWidth="1"/>
    <col min="5387" max="5387" width="22" style="1261" customWidth="1"/>
    <col min="5388" max="5388" width="19.42578125" style="1261" customWidth="1"/>
    <col min="5389" max="5389" width="15" style="1261" customWidth="1"/>
    <col min="5390" max="5390" width="19.28515625" style="1261" customWidth="1"/>
    <col min="5391" max="5391" width="19.85546875" style="1261" customWidth="1"/>
    <col min="5392" max="5392" width="19.5703125" style="1261" customWidth="1"/>
    <col min="5393" max="5393" width="14" style="1261" customWidth="1"/>
    <col min="5394" max="5394" width="16.42578125" style="1261" customWidth="1"/>
    <col min="5395" max="5395" width="18.140625" style="1261" customWidth="1"/>
    <col min="5396" max="5396" width="15.85546875" style="1261" customWidth="1"/>
    <col min="5397" max="5624" width="9.140625" style="1261"/>
    <col min="5625" max="5625" width="18" style="1261" customWidth="1"/>
    <col min="5626" max="5626" width="21.140625" style="1261" customWidth="1"/>
    <col min="5627" max="5627" width="13" style="1261" customWidth="1"/>
    <col min="5628" max="5628" width="14.5703125" style="1261" customWidth="1"/>
    <col min="5629" max="5629" width="11.5703125" style="1261" customWidth="1"/>
    <col min="5630" max="5630" width="14.5703125" style="1261" customWidth="1"/>
    <col min="5631" max="5631" width="13.28515625" style="1261" customWidth="1"/>
    <col min="5632" max="5632" width="13.42578125" style="1261" customWidth="1"/>
    <col min="5633" max="5633" width="14.140625" style="1261" customWidth="1"/>
    <col min="5634" max="5634" width="17.5703125" style="1261" customWidth="1"/>
    <col min="5635" max="5635" width="16" style="1261" customWidth="1"/>
    <col min="5636" max="5636" width="19" style="1261" customWidth="1"/>
    <col min="5637" max="5637" width="14" style="1261" customWidth="1"/>
    <col min="5638" max="5641" width="19.140625" style="1261" customWidth="1"/>
    <col min="5642" max="5642" width="15" style="1261" customWidth="1"/>
    <col min="5643" max="5643" width="22" style="1261" customWidth="1"/>
    <col min="5644" max="5644" width="19.42578125" style="1261" customWidth="1"/>
    <col min="5645" max="5645" width="15" style="1261" customWidth="1"/>
    <col min="5646" max="5646" width="19.28515625" style="1261" customWidth="1"/>
    <col min="5647" max="5647" width="19.85546875" style="1261" customWidth="1"/>
    <col min="5648" max="5648" width="19.5703125" style="1261" customWidth="1"/>
    <col min="5649" max="5649" width="14" style="1261" customWidth="1"/>
    <col min="5650" max="5650" width="16.42578125" style="1261" customWidth="1"/>
    <col min="5651" max="5651" width="18.140625" style="1261" customWidth="1"/>
    <col min="5652" max="5652" width="15.85546875" style="1261" customWidth="1"/>
    <col min="5653" max="5880" width="9.140625" style="1261"/>
    <col min="5881" max="5881" width="18" style="1261" customWidth="1"/>
    <col min="5882" max="5882" width="21.140625" style="1261" customWidth="1"/>
    <col min="5883" max="5883" width="13" style="1261" customWidth="1"/>
    <col min="5884" max="5884" width="14.5703125" style="1261" customWidth="1"/>
    <col min="5885" max="5885" width="11.5703125" style="1261" customWidth="1"/>
    <col min="5886" max="5886" width="14.5703125" style="1261" customWidth="1"/>
    <col min="5887" max="5887" width="13.28515625" style="1261" customWidth="1"/>
    <col min="5888" max="5888" width="13.42578125" style="1261" customWidth="1"/>
    <col min="5889" max="5889" width="14.140625" style="1261" customWidth="1"/>
    <col min="5890" max="5890" width="17.5703125" style="1261" customWidth="1"/>
    <col min="5891" max="5891" width="16" style="1261" customWidth="1"/>
    <col min="5892" max="5892" width="19" style="1261" customWidth="1"/>
    <col min="5893" max="5893" width="14" style="1261" customWidth="1"/>
    <col min="5894" max="5897" width="19.140625" style="1261" customWidth="1"/>
    <col min="5898" max="5898" width="15" style="1261" customWidth="1"/>
    <col min="5899" max="5899" width="22" style="1261" customWidth="1"/>
    <col min="5900" max="5900" width="19.42578125" style="1261" customWidth="1"/>
    <col min="5901" max="5901" width="15" style="1261" customWidth="1"/>
    <col min="5902" max="5902" width="19.28515625" style="1261" customWidth="1"/>
    <col min="5903" max="5903" width="19.85546875" style="1261" customWidth="1"/>
    <col min="5904" max="5904" width="19.5703125" style="1261" customWidth="1"/>
    <col min="5905" max="5905" width="14" style="1261" customWidth="1"/>
    <col min="5906" max="5906" width="16.42578125" style="1261" customWidth="1"/>
    <col min="5907" max="5907" width="18.140625" style="1261" customWidth="1"/>
    <col min="5908" max="5908" width="15.85546875" style="1261" customWidth="1"/>
    <col min="5909" max="6136" width="9.140625" style="1261"/>
    <col min="6137" max="6137" width="18" style="1261" customWidth="1"/>
    <col min="6138" max="6138" width="21.140625" style="1261" customWidth="1"/>
    <col min="6139" max="6139" width="13" style="1261" customWidth="1"/>
    <col min="6140" max="6140" width="14.5703125" style="1261" customWidth="1"/>
    <col min="6141" max="6141" width="11.5703125" style="1261" customWidth="1"/>
    <col min="6142" max="6142" width="14.5703125" style="1261" customWidth="1"/>
    <col min="6143" max="6143" width="13.28515625" style="1261" customWidth="1"/>
    <col min="6144" max="6144" width="13.42578125" style="1261" customWidth="1"/>
    <col min="6145" max="6145" width="14.140625" style="1261" customWidth="1"/>
    <col min="6146" max="6146" width="17.5703125" style="1261" customWidth="1"/>
    <col min="6147" max="6147" width="16" style="1261" customWidth="1"/>
    <col min="6148" max="6148" width="19" style="1261" customWidth="1"/>
    <col min="6149" max="6149" width="14" style="1261" customWidth="1"/>
    <col min="6150" max="6153" width="19.140625" style="1261" customWidth="1"/>
    <col min="6154" max="6154" width="15" style="1261" customWidth="1"/>
    <col min="6155" max="6155" width="22" style="1261" customWidth="1"/>
    <col min="6156" max="6156" width="19.42578125" style="1261" customWidth="1"/>
    <col min="6157" max="6157" width="15" style="1261" customWidth="1"/>
    <col min="6158" max="6158" width="19.28515625" style="1261" customWidth="1"/>
    <col min="6159" max="6159" width="19.85546875" style="1261" customWidth="1"/>
    <col min="6160" max="6160" width="19.5703125" style="1261" customWidth="1"/>
    <col min="6161" max="6161" width="14" style="1261" customWidth="1"/>
    <col min="6162" max="6162" width="16.42578125" style="1261" customWidth="1"/>
    <col min="6163" max="6163" width="18.140625" style="1261" customWidth="1"/>
    <col min="6164" max="6164" width="15.85546875" style="1261" customWidth="1"/>
    <col min="6165" max="6392" width="9.140625" style="1261"/>
    <col min="6393" max="6393" width="18" style="1261" customWidth="1"/>
    <col min="6394" max="6394" width="21.140625" style="1261" customWidth="1"/>
    <col min="6395" max="6395" width="13" style="1261" customWidth="1"/>
    <col min="6396" max="6396" width="14.5703125" style="1261" customWidth="1"/>
    <col min="6397" max="6397" width="11.5703125" style="1261" customWidth="1"/>
    <col min="6398" max="6398" width="14.5703125" style="1261" customWidth="1"/>
    <col min="6399" max="6399" width="13.28515625" style="1261" customWidth="1"/>
    <col min="6400" max="6400" width="13.42578125" style="1261" customWidth="1"/>
    <col min="6401" max="6401" width="14.140625" style="1261" customWidth="1"/>
    <col min="6402" max="6402" width="17.5703125" style="1261" customWidth="1"/>
    <col min="6403" max="6403" width="16" style="1261" customWidth="1"/>
    <col min="6404" max="6404" width="19" style="1261" customWidth="1"/>
    <col min="6405" max="6405" width="14" style="1261" customWidth="1"/>
    <col min="6406" max="6409" width="19.140625" style="1261" customWidth="1"/>
    <col min="6410" max="6410" width="15" style="1261" customWidth="1"/>
    <col min="6411" max="6411" width="22" style="1261" customWidth="1"/>
    <col min="6412" max="6412" width="19.42578125" style="1261" customWidth="1"/>
    <col min="6413" max="6413" width="15" style="1261" customWidth="1"/>
    <col min="6414" max="6414" width="19.28515625" style="1261" customWidth="1"/>
    <col min="6415" max="6415" width="19.85546875" style="1261" customWidth="1"/>
    <col min="6416" max="6416" width="19.5703125" style="1261" customWidth="1"/>
    <col min="6417" max="6417" width="14" style="1261" customWidth="1"/>
    <col min="6418" max="6418" width="16.42578125" style="1261" customWidth="1"/>
    <col min="6419" max="6419" width="18.140625" style="1261" customWidth="1"/>
    <col min="6420" max="6420" width="15.85546875" style="1261" customWidth="1"/>
    <col min="6421" max="6648" width="9.140625" style="1261"/>
    <col min="6649" max="6649" width="18" style="1261" customWidth="1"/>
    <col min="6650" max="6650" width="21.140625" style="1261" customWidth="1"/>
    <col min="6651" max="6651" width="13" style="1261" customWidth="1"/>
    <col min="6652" max="6652" width="14.5703125" style="1261" customWidth="1"/>
    <col min="6653" max="6653" width="11.5703125" style="1261" customWidth="1"/>
    <col min="6654" max="6654" width="14.5703125" style="1261" customWidth="1"/>
    <col min="6655" max="6655" width="13.28515625" style="1261" customWidth="1"/>
    <col min="6656" max="6656" width="13.42578125" style="1261" customWidth="1"/>
    <col min="6657" max="6657" width="14.140625" style="1261" customWidth="1"/>
    <col min="6658" max="6658" width="17.5703125" style="1261" customWidth="1"/>
    <col min="6659" max="6659" width="16" style="1261" customWidth="1"/>
    <col min="6660" max="6660" width="19" style="1261" customWidth="1"/>
    <col min="6661" max="6661" width="14" style="1261" customWidth="1"/>
    <col min="6662" max="6665" width="19.140625" style="1261" customWidth="1"/>
    <col min="6666" max="6666" width="15" style="1261" customWidth="1"/>
    <col min="6667" max="6667" width="22" style="1261" customWidth="1"/>
    <col min="6668" max="6668" width="19.42578125" style="1261" customWidth="1"/>
    <col min="6669" max="6669" width="15" style="1261" customWidth="1"/>
    <col min="6670" max="6670" width="19.28515625" style="1261" customWidth="1"/>
    <col min="6671" max="6671" width="19.85546875" style="1261" customWidth="1"/>
    <col min="6672" max="6672" width="19.5703125" style="1261" customWidth="1"/>
    <col min="6673" max="6673" width="14" style="1261" customWidth="1"/>
    <col min="6674" max="6674" width="16.42578125" style="1261" customWidth="1"/>
    <col min="6675" max="6675" width="18.140625" style="1261" customWidth="1"/>
    <col min="6676" max="6676" width="15.85546875" style="1261" customWidth="1"/>
    <col min="6677" max="6904" width="9.140625" style="1261"/>
    <col min="6905" max="6905" width="18" style="1261" customWidth="1"/>
    <col min="6906" max="6906" width="21.140625" style="1261" customWidth="1"/>
    <col min="6907" max="6907" width="13" style="1261" customWidth="1"/>
    <col min="6908" max="6908" width="14.5703125" style="1261" customWidth="1"/>
    <col min="6909" max="6909" width="11.5703125" style="1261" customWidth="1"/>
    <col min="6910" max="6910" width="14.5703125" style="1261" customWidth="1"/>
    <col min="6911" max="6911" width="13.28515625" style="1261" customWidth="1"/>
    <col min="6912" max="6912" width="13.42578125" style="1261" customWidth="1"/>
    <col min="6913" max="6913" width="14.140625" style="1261" customWidth="1"/>
    <col min="6914" max="6914" width="17.5703125" style="1261" customWidth="1"/>
    <col min="6915" max="6915" width="16" style="1261" customWidth="1"/>
    <col min="6916" max="6916" width="19" style="1261" customWidth="1"/>
    <col min="6917" max="6917" width="14" style="1261" customWidth="1"/>
    <col min="6918" max="6921" width="19.140625" style="1261" customWidth="1"/>
    <col min="6922" max="6922" width="15" style="1261" customWidth="1"/>
    <col min="6923" max="6923" width="22" style="1261" customWidth="1"/>
    <col min="6924" max="6924" width="19.42578125" style="1261" customWidth="1"/>
    <col min="6925" max="6925" width="15" style="1261" customWidth="1"/>
    <col min="6926" max="6926" width="19.28515625" style="1261" customWidth="1"/>
    <col min="6927" max="6927" width="19.85546875" style="1261" customWidth="1"/>
    <col min="6928" max="6928" width="19.5703125" style="1261" customWidth="1"/>
    <col min="6929" max="6929" width="14" style="1261" customWidth="1"/>
    <col min="6930" max="6930" width="16.42578125" style="1261" customWidth="1"/>
    <col min="6931" max="6931" width="18.140625" style="1261" customWidth="1"/>
    <col min="6932" max="6932" width="15.85546875" style="1261" customWidth="1"/>
    <col min="6933" max="7160" width="9.140625" style="1261"/>
    <col min="7161" max="7161" width="18" style="1261" customWidth="1"/>
    <col min="7162" max="7162" width="21.140625" style="1261" customWidth="1"/>
    <col min="7163" max="7163" width="13" style="1261" customWidth="1"/>
    <col min="7164" max="7164" width="14.5703125" style="1261" customWidth="1"/>
    <col min="7165" max="7165" width="11.5703125" style="1261" customWidth="1"/>
    <col min="7166" max="7166" width="14.5703125" style="1261" customWidth="1"/>
    <col min="7167" max="7167" width="13.28515625" style="1261" customWidth="1"/>
    <col min="7168" max="7168" width="13.42578125" style="1261" customWidth="1"/>
    <col min="7169" max="7169" width="14.140625" style="1261" customWidth="1"/>
    <col min="7170" max="7170" width="17.5703125" style="1261" customWidth="1"/>
    <col min="7171" max="7171" width="16" style="1261" customWidth="1"/>
    <col min="7172" max="7172" width="19" style="1261" customWidth="1"/>
    <col min="7173" max="7173" width="14" style="1261" customWidth="1"/>
    <col min="7174" max="7177" width="19.140625" style="1261" customWidth="1"/>
    <col min="7178" max="7178" width="15" style="1261" customWidth="1"/>
    <col min="7179" max="7179" width="22" style="1261" customWidth="1"/>
    <col min="7180" max="7180" width="19.42578125" style="1261" customWidth="1"/>
    <col min="7181" max="7181" width="15" style="1261" customWidth="1"/>
    <col min="7182" max="7182" width="19.28515625" style="1261" customWidth="1"/>
    <col min="7183" max="7183" width="19.85546875" style="1261" customWidth="1"/>
    <col min="7184" max="7184" width="19.5703125" style="1261" customWidth="1"/>
    <col min="7185" max="7185" width="14" style="1261" customWidth="1"/>
    <col min="7186" max="7186" width="16.42578125" style="1261" customWidth="1"/>
    <col min="7187" max="7187" width="18.140625" style="1261" customWidth="1"/>
    <col min="7188" max="7188" width="15.85546875" style="1261" customWidth="1"/>
    <col min="7189" max="7416" width="9.140625" style="1261"/>
    <col min="7417" max="7417" width="18" style="1261" customWidth="1"/>
    <col min="7418" max="7418" width="21.140625" style="1261" customWidth="1"/>
    <col min="7419" max="7419" width="13" style="1261" customWidth="1"/>
    <col min="7420" max="7420" width="14.5703125" style="1261" customWidth="1"/>
    <col min="7421" max="7421" width="11.5703125" style="1261" customWidth="1"/>
    <col min="7422" max="7422" width="14.5703125" style="1261" customWidth="1"/>
    <col min="7423" max="7423" width="13.28515625" style="1261" customWidth="1"/>
    <col min="7424" max="7424" width="13.42578125" style="1261" customWidth="1"/>
    <col min="7425" max="7425" width="14.140625" style="1261" customWidth="1"/>
    <col min="7426" max="7426" width="17.5703125" style="1261" customWidth="1"/>
    <col min="7427" max="7427" width="16" style="1261" customWidth="1"/>
    <col min="7428" max="7428" width="19" style="1261" customWidth="1"/>
    <col min="7429" max="7429" width="14" style="1261" customWidth="1"/>
    <col min="7430" max="7433" width="19.140625" style="1261" customWidth="1"/>
    <col min="7434" max="7434" width="15" style="1261" customWidth="1"/>
    <col min="7435" max="7435" width="22" style="1261" customWidth="1"/>
    <col min="7436" max="7436" width="19.42578125" style="1261" customWidth="1"/>
    <col min="7437" max="7437" width="15" style="1261" customWidth="1"/>
    <col min="7438" max="7438" width="19.28515625" style="1261" customWidth="1"/>
    <col min="7439" max="7439" width="19.85546875" style="1261" customWidth="1"/>
    <col min="7440" max="7440" width="19.5703125" style="1261" customWidth="1"/>
    <col min="7441" max="7441" width="14" style="1261" customWidth="1"/>
    <col min="7442" max="7442" width="16.42578125" style="1261" customWidth="1"/>
    <col min="7443" max="7443" width="18.140625" style="1261" customWidth="1"/>
    <col min="7444" max="7444" width="15.85546875" style="1261" customWidth="1"/>
    <col min="7445" max="7672" width="9.140625" style="1261"/>
    <col min="7673" max="7673" width="18" style="1261" customWidth="1"/>
    <col min="7674" max="7674" width="21.140625" style="1261" customWidth="1"/>
    <col min="7675" max="7675" width="13" style="1261" customWidth="1"/>
    <col min="7676" max="7676" width="14.5703125" style="1261" customWidth="1"/>
    <col min="7677" max="7677" width="11.5703125" style="1261" customWidth="1"/>
    <col min="7678" max="7678" width="14.5703125" style="1261" customWidth="1"/>
    <col min="7679" max="7679" width="13.28515625" style="1261" customWidth="1"/>
    <col min="7680" max="7680" width="13.42578125" style="1261" customWidth="1"/>
    <col min="7681" max="7681" width="14.140625" style="1261" customWidth="1"/>
    <col min="7682" max="7682" width="17.5703125" style="1261" customWidth="1"/>
    <col min="7683" max="7683" width="16" style="1261" customWidth="1"/>
    <col min="7684" max="7684" width="19" style="1261" customWidth="1"/>
    <col min="7685" max="7685" width="14" style="1261" customWidth="1"/>
    <col min="7686" max="7689" width="19.140625" style="1261" customWidth="1"/>
    <col min="7690" max="7690" width="15" style="1261" customWidth="1"/>
    <col min="7691" max="7691" width="22" style="1261" customWidth="1"/>
    <col min="7692" max="7692" width="19.42578125" style="1261" customWidth="1"/>
    <col min="7693" max="7693" width="15" style="1261" customWidth="1"/>
    <col min="7694" max="7694" width="19.28515625" style="1261" customWidth="1"/>
    <col min="7695" max="7695" width="19.85546875" style="1261" customWidth="1"/>
    <col min="7696" max="7696" width="19.5703125" style="1261" customWidth="1"/>
    <col min="7697" max="7697" width="14" style="1261" customWidth="1"/>
    <col min="7698" max="7698" width="16.42578125" style="1261" customWidth="1"/>
    <col min="7699" max="7699" width="18.140625" style="1261" customWidth="1"/>
    <col min="7700" max="7700" width="15.85546875" style="1261" customWidth="1"/>
    <col min="7701" max="7928" width="9.140625" style="1261"/>
    <col min="7929" max="7929" width="18" style="1261" customWidth="1"/>
    <col min="7930" max="7930" width="21.140625" style="1261" customWidth="1"/>
    <col min="7931" max="7931" width="13" style="1261" customWidth="1"/>
    <col min="7932" max="7932" width="14.5703125" style="1261" customWidth="1"/>
    <col min="7933" max="7933" width="11.5703125" style="1261" customWidth="1"/>
    <col min="7934" max="7934" width="14.5703125" style="1261" customWidth="1"/>
    <col min="7935" max="7935" width="13.28515625" style="1261" customWidth="1"/>
    <col min="7936" max="7936" width="13.42578125" style="1261" customWidth="1"/>
    <col min="7937" max="7937" width="14.140625" style="1261" customWidth="1"/>
    <col min="7938" max="7938" width="17.5703125" style="1261" customWidth="1"/>
    <col min="7939" max="7939" width="16" style="1261" customWidth="1"/>
    <col min="7940" max="7940" width="19" style="1261" customWidth="1"/>
    <col min="7941" max="7941" width="14" style="1261" customWidth="1"/>
    <col min="7942" max="7945" width="19.140625" style="1261" customWidth="1"/>
    <col min="7946" max="7946" width="15" style="1261" customWidth="1"/>
    <col min="7947" max="7947" width="22" style="1261" customWidth="1"/>
    <col min="7948" max="7948" width="19.42578125" style="1261" customWidth="1"/>
    <col min="7949" max="7949" width="15" style="1261" customWidth="1"/>
    <col min="7950" max="7950" width="19.28515625" style="1261" customWidth="1"/>
    <col min="7951" max="7951" width="19.85546875" style="1261" customWidth="1"/>
    <col min="7952" max="7952" width="19.5703125" style="1261" customWidth="1"/>
    <col min="7953" max="7953" width="14" style="1261" customWidth="1"/>
    <col min="7954" max="7954" width="16.42578125" style="1261" customWidth="1"/>
    <col min="7955" max="7955" width="18.140625" style="1261" customWidth="1"/>
    <col min="7956" max="7956" width="15.85546875" style="1261" customWidth="1"/>
    <col min="7957" max="8184" width="9.140625" style="1261"/>
    <col min="8185" max="8185" width="18" style="1261" customWidth="1"/>
    <col min="8186" max="8186" width="21.140625" style="1261" customWidth="1"/>
    <col min="8187" max="8187" width="13" style="1261" customWidth="1"/>
    <col min="8188" max="8188" width="14.5703125" style="1261" customWidth="1"/>
    <col min="8189" max="8189" width="11.5703125" style="1261" customWidth="1"/>
    <col min="8190" max="8190" width="14.5703125" style="1261" customWidth="1"/>
    <col min="8191" max="8191" width="13.28515625" style="1261" customWidth="1"/>
    <col min="8192" max="8192" width="13.42578125" style="1261" customWidth="1"/>
    <col min="8193" max="8193" width="14.140625" style="1261" customWidth="1"/>
    <col min="8194" max="8194" width="17.5703125" style="1261" customWidth="1"/>
    <col min="8195" max="8195" width="16" style="1261" customWidth="1"/>
    <col min="8196" max="8196" width="19" style="1261" customWidth="1"/>
    <col min="8197" max="8197" width="14" style="1261" customWidth="1"/>
    <col min="8198" max="8201" width="19.140625" style="1261" customWidth="1"/>
    <col min="8202" max="8202" width="15" style="1261" customWidth="1"/>
    <col min="8203" max="8203" width="22" style="1261" customWidth="1"/>
    <col min="8204" max="8204" width="19.42578125" style="1261" customWidth="1"/>
    <col min="8205" max="8205" width="15" style="1261" customWidth="1"/>
    <col min="8206" max="8206" width="19.28515625" style="1261" customWidth="1"/>
    <col min="8207" max="8207" width="19.85546875" style="1261" customWidth="1"/>
    <col min="8208" max="8208" width="19.5703125" style="1261" customWidth="1"/>
    <col min="8209" max="8209" width="14" style="1261" customWidth="1"/>
    <col min="8210" max="8210" width="16.42578125" style="1261" customWidth="1"/>
    <col min="8211" max="8211" width="18.140625" style="1261" customWidth="1"/>
    <col min="8212" max="8212" width="15.85546875" style="1261" customWidth="1"/>
    <col min="8213" max="8440" width="9.140625" style="1261"/>
    <col min="8441" max="8441" width="18" style="1261" customWidth="1"/>
    <col min="8442" max="8442" width="21.140625" style="1261" customWidth="1"/>
    <col min="8443" max="8443" width="13" style="1261" customWidth="1"/>
    <col min="8444" max="8444" width="14.5703125" style="1261" customWidth="1"/>
    <col min="8445" max="8445" width="11.5703125" style="1261" customWidth="1"/>
    <col min="8446" max="8446" width="14.5703125" style="1261" customWidth="1"/>
    <col min="8447" max="8447" width="13.28515625" style="1261" customWidth="1"/>
    <col min="8448" max="8448" width="13.42578125" style="1261" customWidth="1"/>
    <col min="8449" max="8449" width="14.140625" style="1261" customWidth="1"/>
    <col min="8450" max="8450" width="17.5703125" style="1261" customWidth="1"/>
    <col min="8451" max="8451" width="16" style="1261" customWidth="1"/>
    <col min="8452" max="8452" width="19" style="1261" customWidth="1"/>
    <col min="8453" max="8453" width="14" style="1261" customWidth="1"/>
    <col min="8454" max="8457" width="19.140625" style="1261" customWidth="1"/>
    <col min="8458" max="8458" width="15" style="1261" customWidth="1"/>
    <col min="8459" max="8459" width="22" style="1261" customWidth="1"/>
    <col min="8460" max="8460" width="19.42578125" style="1261" customWidth="1"/>
    <col min="8461" max="8461" width="15" style="1261" customWidth="1"/>
    <col min="8462" max="8462" width="19.28515625" style="1261" customWidth="1"/>
    <col min="8463" max="8463" width="19.85546875" style="1261" customWidth="1"/>
    <col min="8464" max="8464" width="19.5703125" style="1261" customWidth="1"/>
    <col min="8465" max="8465" width="14" style="1261" customWidth="1"/>
    <col min="8466" max="8466" width="16.42578125" style="1261" customWidth="1"/>
    <col min="8467" max="8467" width="18.140625" style="1261" customWidth="1"/>
    <col min="8468" max="8468" width="15.85546875" style="1261" customWidth="1"/>
    <col min="8469" max="8696" width="9.140625" style="1261"/>
    <col min="8697" max="8697" width="18" style="1261" customWidth="1"/>
    <col min="8698" max="8698" width="21.140625" style="1261" customWidth="1"/>
    <col min="8699" max="8699" width="13" style="1261" customWidth="1"/>
    <col min="8700" max="8700" width="14.5703125" style="1261" customWidth="1"/>
    <col min="8701" max="8701" width="11.5703125" style="1261" customWidth="1"/>
    <col min="8702" max="8702" width="14.5703125" style="1261" customWidth="1"/>
    <col min="8703" max="8703" width="13.28515625" style="1261" customWidth="1"/>
    <col min="8704" max="8704" width="13.42578125" style="1261" customWidth="1"/>
    <col min="8705" max="8705" width="14.140625" style="1261" customWidth="1"/>
    <col min="8706" max="8706" width="17.5703125" style="1261" customWidth="1"/>
    <col min="8707" max="8707" width="16" style="1261" customWidth="1"/>
    <col min="8708" max="8708" width="19" style="1261" customWidth="1"/>
    <col min="8709" max="8709" width="14" style="1261" customWidth="1"/>
    <col min="8710" max="8713" width="19.140625" style="1261" customWidth="1"/>
    <col min="8714" max="8714" width="15" style="1261" customWidth="1"/>
    <col min="8715" max="8715" width="22" style="1261" customWidth="1"/>
    <col min="8716" max="8716" width="19.42578125" style="1261" customWidth="1"/>
    <col min="8717" max="8717" width="15" style="1261" customWidth="1"/>
    <col min="8718" max="8718" width="19.28515625" style="1261" customWidth="1"/>
    <col min="8719" max="8719" width="19.85546875" style="1261" customWidth="1"/>
    <col min="8720" max="8720" width="19.5703125" style="1261" customWidth="1"/>
    <col min="8721" max="8721" width="14" style="1261" customWidth="1"/>
    <col min="8722" max="8722" width="16.42578125" style="1261" customWidth="1"/>
    <col min="8723" max="8723" width="18.140625" style="1261" customWidth="1"/>
    <col min="8724" max="8724" width="15.85546875" style="1261" customWidth="1"/>
    <col min="8725" max="8952" width="9.140625" style="1261"/>
    <col min="8953" max="8953" width="18" style="1261" customWidth="1"/>
    <col min="8954" max="8954" width="21.140625" style="1261" customWidth="1"/>
    <col min="8955" max="8955" width="13" style="1261" customWidth="1"/>
    <col min="8956" max="8956" width="14.5703125" style="1261" customWidth="1"/>
    <col min="8957" max="8957" width="11.5703125" style="1261" customWidth="1"/>
    <col min="8958" max="8958" width="14.5703125" style="1261" customWidth="1"/>
    <col min="8959" max="8959" width="13.28515625" style="1261" customWidth="1"/>
    <col min="8960" max="8960" width="13.42578125" style="1261" customWidth="1"/>
    <col min="8961" max="8961" width="14.140625" style="1261" customWidth="1"/>
    <col min="8962" max="8962" width="17.5703125" style="1261" customWidth="1"/>
    <col min="8963" max="8963" width="16" style="1261" customWidth="1"/>
    <col min="8964" max="8964" width="19" style="1261" customWidth="1"/>
    <col min="8965" max="8965" width="14" style="1261" customWidth="1"/>
    <col min="8966" max="8969" width="19.140625" style="1261" customWidth="1"/>
    <col min="8970" max="8970" width="15" style="1261" customWidth="1"/>
    <col min="8971" max="8971" width="22" style="1261" customWidth="1"/>
    <col min="8972" max="8972" width="19.42578125" style="1261" customWidth="1"/>
    <col min="8973" max="8973" width="15" style="1261" customWidth="1"/>
    <col min="8974" max="8974" width="19.28515625" style="1261" customWidth="1"/>
    <col min="8975" max="8975" width="19.85546875" style="1261" customWidth="1"/>
    <col min="8976" max="8976" width="19.5703125" style="1261" customWidth="1"/>
    <col min="8977" max="8977" width="14" style="1261" customWidth="1"/>
    <col min="8978" max="8978" width="16.42578125" style="1261" customWidth="1"/>
    <col min="8979" max="8979" width="18.140625" style="1261" customWidth="1"/>
    <col min="8980" max="8980" width="15.85546875" style="1261" customWidth="1"/>
    <col min="8981" max="9208" width="9.140625" style="1261"/>
    <col min="9209" max="9209" width="18" style="1261" customWidth="1"/>
    <col min="9210" max="9210" width="21.140625" style="1261" customWidth="1"/>
    <col min="9211" max="9211" width="13" style="1261" customWidth="1"/>
    <col min="9212" max="9212" width="14.5703125" style="1261" customWidth="1"/>
    <col min="9213" max="9213" width="11.5703125" style="1261" customWidth="1"/>
    <col min="9214" max="9214" width="14.5703125" style="1261" customWidth="1"/>
    <col min="9215" max="9215" width="13.28515625" style="1261" customWidth="1"/>
    <col min="9216" max="9216" width="13.42578125" style="1261" customWidth="1"/>
    <col min="9217" max="9217" width="14.140625" style="1261" customWidth="1"/>
    <col min="9218" max="9218" width="17.5703125" style="1261" customWidth="1"/>
    <col min="9219" max="9219" width="16" style="1261" customWidth="1"/>
    <col min="9220" max="9220" width="19" style="1261" customWidth="1"/>
    <col min="9221" max="9221" width="14" style="1261" customWidth="1"/>
    <col min="9222" max="9225" width="19.140625" style="1261" customWidth="1"/>
    <col min="9226" max="9226" width="15" style="1261" customWidth="1"/>
    <col min="9227" max="9227" width="22" style="1261" customWidth="1"/>
    <col min="9228" max="9228" width="19.42578125" style="1261" customWidth="1"/>
    <col min="9229" max="9229" width="15" style="1261" customWidth="1"/>
    <col min="9230" max="9230" width="19.28515625" style="1261" customWidth="1"/>
    <col min="9231" max="9231" width="19.85546875" style="1261" customWidth="1"/>
    <col min="9232" max="9232" width="19.5703125" style="1261" customWidth="1"/>
    <col min="9233" max="9233" width="14" style="1261" customWidth="1"/>
    <col min="9234" max="9234" width="16.42578125" style="1261" customWidth="1"/>
    <col min="9235" max="9235" width="18.140625" style="1261" customWidth="1"/>
    <col min="9236" max="9236" width="15.85546875" style="1261" customWidth="1"/>
    <col min="9237" max="9464" width="9.140625" style="1261"/>
    <col min="9465" max="9465" width="18" style="1261" customWidth="1"/>
    <col min="9466" max="9466" width="21.140625" style="1261" customWidth="1"/>
    <col min="9467" max="9467" width="13" style="1261" customWidth="1"/>
    <col min="9468" max="9468" width="14.5703125" style="1261" customWidth="1"/>
    <col min="9469" max="9469" width="11.5703125" style="1261" customWidth="1"/>
    <col min="9470" max="9470" width="14.5703125" style="1261" customWidth="1"/>
    <col min="9471" max="9471" width="13.28515625" style="1261" customWidth="1"/>
    <col min="9472" max="9472" width="13.42578125" style="1261" customWidth="1"/>
    <col min="9473" max="9473" width="14.140625" style="1261" customWidth="1"/>
    <col min="9474" max="9474" width="17.5703125" style="1261" customWidth="1"/>
    <col min="9475" max="9475" width="16" style="1261" customWidth="1"/>
    <col min="9476" max="9476" width="19" style="1261" customWidth="1"/>
    <col min="9477" max="9477" width="14" style="1261" customWidth="1"/>
    <col min="9478" max="9481" width="19.140625" style="1261" customWidth="1"/>
    <col min="9482" max="9482" width="15" style="1261" customWidth="1"/>
    <col min="9483" max="9483" width="22" style="1261" customWidth="1"/>
    <col min="9484" max="9484" width="19.42578125" style="1261" customWidth="1"/>
    <col min="9485" max="9485" width="15" style="1261" customWidth="1"/>
    <col min="9486" max="9486" width="19.28515625" style="1261" customWidth="1"/>
    <col min="9487" max="9487" width="19.85546875" style="1261" customWidth="1"/>
    <col min="9488" max="9488" width="19.5703125" style="1261" customWidth="1"/>
    <col min="9489" max="9489" width="14" style="1261" customWidth="1"/>
    <col min="9490" max="9490" width="16.42578125" style="1261" customWidth="1"/>
    <col min="9491" max="9491" width="18.140625" style="1261" customWidth="1"/>
    <col min="9492" max="9492" width="15.85546875" style="1261" customWidth="1"/>
    <col min="9493" max="9720" width="9.140625" style="1261"/>
    <col min="9721" max="9721" width="18" style="1261" customWidth="1"/>
    <col min="9722" max="9722" width="21.140625" style="1261" customWidth="1"/>
    <col min="9723" max="9723" width="13" style="1261" customWidth="1"/>
    <col min="9724" max="9724" width="14.5703125" style="1261" customWidth="1"/>
    <col min="9725" max="9725" width="11.5703125" style="1261" customWidth="1"/>
    <col min="9726" max="9726" width="14.5703125" style="1261" customWidth="1"/>
    <col min="9727" max="9727" width="13.28515625" style="1261" customWidth="1"/>
    <col min="9728" max="9728" width="13.42578125" style="1261" customWidth="1"/>
    <col min="9729" max="9729" width="14.140625" style="1261" customWidth="1"/>
    <col min="9730" max="9730" width="17.5703125" style="1261" customWidth="1"/>
    <col min="9731" max="9731" width="16" style="1261" customWidth="1"/>
    <col min="9732" max="9732" width="19" style="1261" customWidth="1"/>
    <col min="9733" max="9733" width="14" style="1261" customWidth="1"/>
    <col min="9734" max="9737" width="19.140625" style="1261" customWidth="1"/>
    <col min="9738" max="9738" width="15" style="1261" customWidth="1"/>
    <col min="9739" max="9739" width="22" style="1261" customWidth="1"/>
    <col min="9740" max="9740" width="19.42578125" style="1261" customWidth="1"/>
    <col min="9741" max="9741" width="15" style="1261" customWidth="1"/>
    <col min="9742" max="9742" width="19.28515625" style="1261" customWidth="1"/>
    <col min="9743" max="9743" width="19.85546875" style="1261" customWidth="1"/>
    <col min="9744" max="9744" width="19.5703125" style="1261" customWidth="1"/>
    <col min="9745" max="9745" width="14" style="1261" customWidth="1"/>
    <col min="9746" max="9746" width="16.42578125" style="1261" customWidth="1"/>
    <col min="9747" max="9747" width="18.140625" style="1261" customWidth="1"/>
    <col min="9748" max="9748" width="15.85546875" style="1261" customWidth="1"/>
    <col min="9749" max="9976" width="9.140625" style="1261"/>
    <col min="9977" max="9977" width="18" style="1261" customWidth="1"/>
    <col min="9978" max="9978" width="21.140625" style="1261" customWidth="1"/>
    <col min="9979" max="9979" width="13" style="1261" customWidth="1"/>
    <col min="9980" max="9980" width="14.5703125" style="1261" customWidth="1"/>
    <col min="9981" max="9981" width="11.5703125" style="1261" customWidth="1"/>
    <col min="9982" max="9982" width="14.5703125" style="1261" customWidth="1"/>
    <col min="9983" max="9983" width="13.28515625" style="1261" customWidth="1"/>
    <col min="9984" max="9984" width="13.42578125" style="1261" customWidth="1"/>
    <col min="9985" max="9985" width="14.140625" style="1261" customWidth="1"/>
    <col min="9986" max="9986" width="17.5703125" style="1261" customWidth="1"/>
    <col min="9987" max="9987" width="16" style="1261" customWidth="1"/>
    <col min="9988" max="9988" width="19" style="1261" customWidth="1"/>
    <col min="9989" max="9989" width="14" style="1261" customWidth="1"/>
    <col min="9990" max="9993" width="19.140625" style="1261" customWidth="1"/>
    <col min="9994" max="9994" width="15" style="1261" customWidth="1"/>
    <col min="9995" max="9995" width="22" style="1261" customWidth="1"/>
    <col min="9996" max="9996" width="19.42578125" style="1261" customWidth="1"/>
    <col min="9997" max="9997" width="15" style="1261" customWidth="1"/>
    <col min="9998" max="9998" width="19.28515625" style="1261" customWidth="1"/>
    <col min="9999" max="9999" width="19.85546875" style="1261" customWidth="1"/>
    <col min="10000" max="10000" width="19.5703125" style="1261" customWidth="1"/>
    <col min="10001" max="10001" width="14" style="1261" customWidth="1"/>
    <col min="10002" max="10002" width="16.42578125" style="1261" customWidth="1"/>
    <col min="10003" max="10003" width="18.140625" style="1261" customWidth="1"/>
    <col min="10004" max="10004" width="15.85546875" style="1261" customWidth="1"/>
    <col min="10005" max="10232" width="9.140625" style="1261"/>
    <col min="10233" max="10233" width="18" style="1261" customWidth="1"/>
    <col min="10234" max="10234" width="21.140625" style="1261" customWidth="1"/>
    <col min="10235" max="10235" width="13" style="1261" customWidth="1"/>
    <col min="10236" max="10236" width="14.5703125" style="1261" customWidth="1"/>
    <col min="10237" max="10237" width="11.5703125" style="1261" customWidth="1"/>
    <col min="10238" max="10238" width="14.5703125" style="1261" customWidth="1"/>
    <col min="10239" max="10239" width="13.28515625" style="1261" customWidth="1"/>
    <col min="10240" max="10240" width="13.42578125" style="1261" customWidth="1"/>
    <col min="10241" max="10241" width="14.140625" style="1261" customWidth="1"/>
    <col min="10242" max="10242" width="17.5703125" style="1261" customWidth="1"/>
    <col min="10243" max="10243" width="16" style="1261" customWidth="1"/>
    <col min="10244" max="10244" width="19" style="1261" customWidth="1"/>
    <col min="10245" max="10245" width="14" style="1261" customWidth="1"/>
    <col min="10246" max="10249" width="19.140625" style="1261" customWidth="1"/>
    <col min="10250" max="10250" width="15" style="1261" customWidth="1"/>
    <col min="10251" max="10251" width="22" style="1261" customWidth="1"/>
    <col min="10252" max="10252" width="19.42578125" style="1261" customWidth="1"/>
    <col min="10253" max="10253" width="15" style="1261" customWidth="1"/>
    <col min="10254" max="10254" width="19.28515625" style="1261" customWidth="1"/>
    <col min="10255" max="10255" width="19.85546875" style="1261" customWidth="1"/>
    <col min="10256" max="10256" width="19.5703125" style="1261" customWidth="1"/>
    <col min="10257" max="10257" width="14" style="1261" customWidth="1"/>
    <col min="10258" max="10258" width="16.42578125" style="1261" customWidth="1"/>
    <col min="10259" max="10259" width="18.140625" style="1261" customWidth="1"/>
    <col min="10260" max="10260" width="15.85546875" style="1261" customWidth="1"/>
    <col min="10261" max="10488" width="9.140625" style="1261"/>
    <col min="10489" max="10489" width="18" style="1261" customWidth="1"/>
    <col min="10490" max="10490" width="21.140625" style="1261" customWidth="1"/>
    <col min="10491" max="10491" width="13" style="1261" customWidth="1"/>
    <col min="10492" max="10492" width="14.5703125" style="1261" customWidth="1"/>
    <col min="10493" max="10493" width="11.5703125" style="1261" customWidth="1"/>
    <col min="10494" max="10494" width="14.5703125" style="1261" customWidth="1"/>
    <col min="10495" max="10495" width="13.28515625" style="1261" customWidth="1"/>
    <col min="10496" max="10496" width="13.42578125" style="1261" customWidth="1"/>
    <col min="10497" max="10497" width="14.140625" style="1261" customWidth="1"/>
    <col min="10498" max="10498" width="17.5703125" style="1261" customWidth="1"/>
    <col min="10499" max="10499" width="16" style="1261" customWidth="1"/>
    <col min="10500" max="10500" width="19" style="1261" customWidth="1"/>
    <col min="10501" max="10501" width="14" style="1261" customWidth="1"/>
    <col min="10502" max="10505" width="19.140625" style="1261" customWidth="1"/>
    <col min="10506" max="10506" width="15" style="1261" customWidth="1"/>
    <col min="10507" max="10507" width="22" style="1261" customWidth="1"/>
    <col min="10508" max="10508" width="19.42578125" style="1261" customWidth="1"/>
    <col min="10509" max="10509" width="15" style="1261" customWidth="1"/>
    <col min="10510" max="10510" width="19.28515625" style="1261" customWidth="1"/>
    <col min="10511" max="10511" width="19.85546875" style="1261" customWidth="1"/>
    <col min="10512" max="10512" width="19.5703125" style="1261" customWidth="1"/>
    <col min="10513" max="10513" width="14" style="1261" customWidth="1"/>
    <col min="10514" max="10514" width="16.42578125" style="1261" customWidth="1"/>
    <col min="10515" max="10515" width="18.140625" style="1261" customWidth="1"/>
    <col min="10516" max="10516" width="15.85546875" style="1261" customWidth="1"/>
    <col min="10517" max="10744" width="9.140625" style="1261"/>
    <col min="10745" max="10745" width="18" style="1261" customWidth="1"/>
    <col min="10746" max="10746" width="21.140625" style="1261" customWidth="1"/>
    <col min="10747" max="10747" width="13" style="1261" customWidth="1"/>
    <col min="10748" max="10748" width="14.5703125" style="1261" customWidth="1"/>
    <col min="10749" max="10749" width="11.5703125" style="1261" customWidth="1"/>
    <col min="10750" max="10750" width="14.5703125" style="1261" customWidth="1"/>
    <col min="10751" max="10751" width="13.28515625" style="1261" customWidth="1"/>
    <col min="10752" max="10752" width="13.42578125" style="1261" customWidth="1"/>
    <col min="10753" max="10753" width="14.140625" style="1261" customWidth="1"/>
    <col min="10754" max="10754" width="17.5703125" style="1261" customWidth="1"/>
    <col min="10755" max="10755" width="16" style="1261" customWidth="1"/>
    <col min="10756" max="10756" width="19" style="1261" customWidth="1"/>
    <col min="10757" max="10757" width="14" style="1261" customWidth="1"/>
    <col min="10758" max="10761" width="19.140625" style="1261" customWidth="1"/>
    <col min="10762" max="10762" width="15" style="1261" customWidth="1"/>
    <col min="10763" max="10763" width="22" style="1261" customWidth="1"/>
    <col min="10764" max="10764" width="19.42578125" style="1261" customWidth="1"/>
    <col min="10765" max="10765" width="15" style="1261" customWidth="1"/>
    <col min="10766" max="10766" width="19.28515625" style="1261" customWidth="1"/>
    <col min="10767" max="10767" width="19.85546875" style="1261" customWidth="1"/>
    <col min="10768" max="10768" width="19.5703125" style="1261" customWidth="1"/>
    <col min="10769" max="10769" width="14" style="1261" customWidth="1"/>
    <col min="10770" max="10770" width="16.42578125" style="1261" customWidth="1"/>
    <col min="10771" max="10771" width="18.140625" style="1261" customWidth="1"/>
    <col min="10772" max="10772" width="15.85546875" style="1261" customWidth="1"/>
    <col min="10773" max="11000" width="9.140625" style="1261"/>
    <col min="11001" max="11001" width="18" style="1261" customWidth="1"/>
    <col min="11002" max="11002" width="21.140625" style="1261" customWidth="1"/>
    <col min="11003" max="11003" width="13" style="1261" customWidth="1"/>
    <col min="11004" max="11004" width="14.5703125" style="1261" customWidth="1"/>
    <col min="11005" max="11005" width="11.5703125" style="1261" customWidth="1"/>
    <col min="11006" max="11006" width="14.5703125" style="1261" customWidth="1"/>
    <col min="11007" max="11007" width="13.28515625" style="1261" customWidth="1"/>
    <col min="11008" max="11008" width="13.42578125" style="1261" customWidth="1"/>
    <col min="11009" max="11009" width="14.140625" style="1261" customWidth="1"/>
    <col min="11010" max="11010" width="17.5703125" style="1261" customWidth="1"/>
    <col min="11011" max="11011" width="16" style="1261" customWidth="1"/>
    <col min="11012" max="11012" width="19" style="1261" customWidth="1"/>
    <col min="11013" max="11013" width="14" style="1261" customWidth="1"/>
    <col min="11014" max="11017" width="19.140625" style="1261" customWidth="1"/>
    <col min="11018" max="11018" width="15" style="1261" customWidth="1"/>
    <col min="11019" max="11019" width="22" style="1261" customWidth="1"/>
    <col min="11020" max="11020" width="19.42578125" style="1261" customWidth="1"/>
    <col min="11021" max="11021" width="15" style="1261" customWidth="1"/>
    <col min="11022" max="11022" width="19.28515625" style="1261" customWidth="1"/>
    <col min="11023" max="11023" width="19.85546875" style="1261" customWidth="1"/>
    <col min="11024" max="11024" width="19.5703125" style="1261" customWidth="1"/>
    <col min="11025" max="11025" width="14" style="1261" customWidth="1"/>
    <col min="11026" max="11026" width="16.42578125" style="1261" customWidth="1"/>
    <col min="11027" max="11027" width="18.140625" style="1261" customWidth="1"/>
    <col min="11028" max="11028" width="15.85546875" style="1261" customWidth="1"/>
    <col min="11029" max="11256" width="9.140625" style="1261"/>
    <col min="11257" max="11257" width="18" style="1261" customWidth="1"/>
    <col min="11258" max="11258" width="21.140625" style="1261" customWidth="1"/>
    <col min="11259" max="11259" width="13" style="1261" customWidth="1"/>
    <col min="11260" max="11260" width="14.5703125" style="1261" customWidth="1"/>
    <col min="11261" max="11261" width="11.5703125" style="1261" customWidth="1"/>
    <col min="11262" max="11262" width="14.5703125" style="1261" customWidth="1"/>
    <col min="11263" max="11263" width="13.28515625" style="1261" customWidth="1"/>
    <col min="11264" max="11264" width="13.42578125" style="1261" customWidth="1"/>
    <col min="11265" max="11265" width="14.140625" style="1261" customWidth="1"/>
    <col min="11266" max="11266" width="17.5703125" style="1261" customWidth="1"/>
    <col min="11267" max="11267" width="16" style="1261" customWidth="1"/>
    <col min="11268" max="11268" width="19" style="1261" customWidth="1"/>
    <col min="11269" max="11269" width="14" style="1261" customWidth="1"/>
    <col min="11270" max="11273" width="19.140625" style="1261" customWidth="1"/>
    <col min="11274" max="11274" width="15" style="1261" customWidth="1"/>
    <col min="11275" max="11275" width="22" style="1261" customWidth="1"/>
    <col min="11276" max="11276" width="19.42578125" style="1261" customWidth="1"/>
    <col min="11277" max="11277" width="15" style="1261" customWidth="1"/>
    <col min="11278" max="11278" width="19.28515625" style="1261" customWidth="1"/>
    <col min="11279" max="11279" width="19.85546875" style="1261" customWidth="1"/>
    <col min="11280" max="11280" width="19.5703125" style="1261" customWidth="1"/>
    <col min="11281" max="11281" width="14" style="1261" customWidth="1"/>
    <col min="11282" max="11282" width="16.42578125" style="1261" customWidth="1"/>
    <col min="11283" max="11283" width="18.140625" style="1261" customWidth="1"/>
    <col min="11284" max="11284" width="15.85546875" style="1261" customWidth="1"/>
    <col min="11285" max="11512" width="9.140625" style="1261"/>
    <col min="11513" max="11513" width="18" style="1261" customWidth="1"/>
    <col min="11514" max="11514" width="21.140625" style="1261" customWidth="1"/>
    <col min="11515" max="11515" width="13" style="1261" customWidth="1"/>
    <col min="11516" max="11516" width="14.5703125" style="1261" customWidth="1"/>
    <col min="11517" max="11517" width="11.5703125" style="1261" customWidth="1"/>
    <col min="11518" max="11518" width="14.5703125" style="1261" customWidth="1"/>
    <col min="11519" max="11519" width="13.28515625" style="1261" customWidth="1"/>
    <col min="11520" max="11520" width="13.42578125" style="1261" customWidth="1"/>
    <col min="11521" max="11521" width="14.140625" style="1261" customWidth="1"/>
    <col min="11522" max="11522" width="17.5703125" style="1261" customWidth="1"/>
    <col min="11523" max="11523" width="16" style="1261" customWidth="1"/>
    <col min="11524" max="11524" width="19" style="1261" customWidth="1"/>
    <col min="11525" max="11525" width="14" style="1261" customWidth="1"/>
    <col min="11526" max="11529" width="19.140625" style="1261" customWidth="1"/>
    <col min="11530" max="11530" width="15" style="1261" customWidth="1"/>
    <col min="11531" max="11531" width="22" style="1261" customWidth="1"/>
    <col min="11532" max="11532" width="19.42578125" style="1261" customWidth="1"/>
    <col min="11533" max="11533" width="15" style="1261" customWidth="1"/>
    <col min="11534" max="11534" width="19.28515625" style="1261" customWidth="1"/>
    <col min="11535" max="11535" width="19.85546875" style="1261" customWidth="1"/>
    <col min="11536" max="11536" width="19.5703125" style="1261" customWidth="1"/>
    <col min="11537" max="11537" width="14" style="1261" customWidth="1"/>
    <col min="11538" max="11538" width="16.42578125" style="1261" customWidth="1"/>
    <col min="11539" max="11539" width="18.140625" style="1261" customWidth="1"/>
    <col min="11540" max="11540" width="15.85546875" style="1261" customWidth="1"/>
    <col min="11541" max="11768" width="9.140625" style="1261"/>
    <col min="11769" max="11769" width="18" style="1261" customWidth="1"/>
    <col min="11770" max="11770" width="21.140625" style="1261" customWidth="1"/>
    <col min="11771" max="11771" width="13" style="1261" customWidth="1"/>
    <col min="11772" max="11772" width="14.5703125" style="1261" customWidth="1"/>
    <col min="11773" max="11773" width="11.5703125" style="1261" customWidth="1"/>
    <col min="11774" max="11774" width="14.5703125" style="1261" customWidth="1"/>
    <col min="11775" max="11775" width="13.28515625" style="1261" customWidth="1"/>
    <col min="11776" max="11776" width="13.42578125" style="1261" customWidth="1"/>
    <col min="11777" max="11777" width="14.140625" style="1261" customWidth="1"/>
    <col min="11778" max="11778" width="17.5703125" style="1261" customWidth="1"/>
    <col min="11779" max="11779" width="16" style="1261" customWidth="1"/>
    <col min="11780" max="11780" width="19" style="1261" customWidth="1"/>
    <col min="11781" max="11781" width="14" style="1261" customWidth="1"/>
    <col min="11782" max="11785" width="19.140625" style="1261" customWidth="1"/>
    <col min="11786" max="11786" width="15" style="1261" customWidth="1"/>
    <col min="11787" max="11787" width="22" style="1261" customWidth="1"/>
    <col min="11788" max="11788" width="19.42578125" style="1261" customWidth="1"/>
    <col min="11789" max="11789" width="15" style="1261" customWidth="1"/>
    <col min="11790" max="11790" width="19.28515625" style="1261" customWidth="1"/>
    <col min="11791" max="11791" width="19.85546875" style="1261" customWidth="1"/>
    <col min="11792" max="11792" width="19.5703125" style="1261" customWidth="1"/>
    <col min="11793" max="11793" width="14" style="1261" customWidth="1"/>
    <col min="11794" max="11794" width="16.42578125" style="1261" customWidth="1"/>
    <col min="11795" max="11795" width="18.140625" style="1261" customWidth="1"/>
    <col min="11796" max="11796" width="15.85546875" style="1261" customWidth="1"/>
    <col min="11797" max="12024" width="9.140625" style="1261"/>
    <col min="12025" max="12025" width="18" style="1261" customWidth="1"/>
    <col min="12026" max="12026" width="21.140625" style="1261" customWidth="1"/>
    <col min="12027" max="12027" width="13" style="1261" customWidth="1"/>
    <col min="12028" max="12028" width="14.5703125" style="1261" customWidth="1"/>
    <col min="12029" max="12029" width="11.5703125" style="1261" customWidth="1"/>
    <col min="12030" max="12030" width="14.5703125" style="1261" customWidth="1"/>
    <col min="12031" max="12031" width="13.28515625" style="1261" customWidth="1"/>
    <col min="12032" max="12032" width="13.42578125" style="1261" customWidth="1"/>
    <col min="12033" max="12033" width="14.140625" style="1261" customWidth="1"/>
    <col min="12034" max="12034" width="17.5703125" style="1261" customWidth="1"/>
    <col min="12035" max="12035" width="16" style="1261" customWidth="1"/>
    <col min="12036" max="12036" width="19" style="1261" customWidth="1"/>
    <col min="12037" max="12037" width="14" style="1261" customWidth="1"/>
    <col min="12038" max="12041" width="19.140625" style="1261" customWidth="1"/>
    <col min="12042" max="12042" width="15" style="1261" customWidth="1"/>
    <col min="12043" max="12043" width="22" style="1261" customWidth="1"/>
    <col min="12044" max="12044" width="19.42578125" style="1261" customWidth="1"/>
    <col min="12045" max="12045" width="15" style="1261" customWidth="1"/>
    <col min="12046" max="12046" width="19.28515625" style="1261" customWidth="1"/>
    <col min="12047" max="12047" width="19.85546875" style="1261" customWidth="1"/>
    <col min="12048" max="12048" width="19.5703125" style="1261" customWidth="1"/>
    <col min="12049" max="12049" width="14" style="1261" customWidth="1"/>
    <col min="12050" max="12050" width="16.42578125" style="1261" customWidth="1"/>
    <col min="12051" max="12051" width="18.140625" style="1261" customWidth="1"/>
    <col min="12052" max="12052" width="15.85546875" style="1261" customWidth="1"/>
    <col min="12053" max="12280" width="9.140625" style="1261"/>
    <col min="12281" max="12281" width="18" style="1261" customWidth="1"/>
    <col min="12282" max="12282" width="21.140625" style="1261" customWidth="1"/>
    <col min="12283" max="12283" width="13" style="1261" customWidth="1"/>
    <col min="12284" max="12284" width="14.5703125" style="1261" customWidth="1"/>
    <col min="12285" max="12285" width="11.5703125" style="1261" customWidth="1"/>
    <col min="12286" max="12286" width="14.5703125" style="1261" customWidth="1"/>
    <col min="12287" max="12287" width="13.28515625" style="1261" customWidth="1"/>
    <col min="12288" max="12288" width="13.42578125" style="1261" customWidth="1"/>
    <col min="12289" max="12289" width="14.140625" style="1261" customWidth="1"/>
    <col min="12290" max="12290" width="17.5703125" style="1261" customWidth="1"/>
    <col min="12291" max="12291" width="16" style="1261" customWidth="1"/>
    <col min="12292" max="12292" width="19" style="1261" customWidth="1"/>
    <col min="12293" max="12293" width="14" style="1261" customWidth="1"/>
    <col min="12294" max="12297" width="19.140625" style="1261" customWidth="1"/>
    <col min="12298" max="12298" width="15" style="1261" customWidth="1"/>
    <col min="12299" max="12299" width="22" style="1261" customWidth="1"/>
    <col min="12300" max="12300" width="19.42578125" style="1261" customWidth="1"/>
    <col min="12301" max="12301" width="15" style="1261" customWidth="1"/>
    <col min="12302" max="12302" width="19.28515625" style="1261" customWidth="1"/>
    <col min="12303" max="12303" width="19.85546875" style="1261" customWidth="1"/>
    <col min="12304" max="12304" width="19.5703125" style="1261" customWidth="1"/>
    <col min="12305" max="12305" width="14" style="1261" customWidth="1"/>
    <col min="12306" max="12306" width="16.42578125" style="1261" customWidth="1"/>
    <col min="12307" max="12307" width="18.140625" style="1261" customWidth="1"/>
    <col min="12308" max="12308" width="15.85546875" style="1261" customWidth="1"/>
    <col min="12309" max="12536" width="9.140625" style="1261"/>
    <col min="12537" max="12537" width="18" style="1261" customWidth="1"/>
    <col min="12538" max="12538" width="21.140625" style="1261" customWidth="1"/>
    <col min="12539" max="12539" width="13" style="1261" customWidth="1"/>
    <col min="12540" max="12540" width="14.5703125" style="1261" customWidth="1"/>
    <col min="12541" max="12541" width="11.5703125" style="1261" customWidth="1"/>
    <col min="12542" max="12542" width="14.5703125" style="1261" customWidth="1"/>
    <col min="12543" max="12543" width="13.28515625" style="1261" customWidth="1"/>
    <col min="12544" max="12544" width="13.42578125" style="1261" customWidth="1"/>
    <col min="12545" max="12545" width="14.140625" style="1261" customWidth="1"/>
    <col min="12546" max="12546" width="17.5703125" style="1261" customWidth="1"/>
    <col min="12547" max="12547" width="16" style="1261" customWidth="1"/>
    <col min="12548" max="12548" width="19" style="1261" customWidth="1"/>
    <col min="12549" max="12549" width="14" style="1261" customWidth="1"/>
    <col min="12550" max="12553" width="19.140625" style="1261" customWidth="1"/>
    <col min="12554" max="12554" width="15" style="1261" customWidth="1"/>
    <col min="12555" max="12555" width="22" style="1261" customWidth="1"/>
    <col min="12556" max="12556" width="19.42578125" style="1261" customWidth="1"/>
    <col min="12557" max="12557" width="15" style="1261" customWidth="1"/>
    <col min="12558" max="12558" width="19.28515625" style="1261" customWidth="1"/>
    <col min="12559" max="12559" width="19.85546875" style="1261" customWidth="1"/>
    <col min="12560" max="12560" width="19.5703125" style="1261" customWidth="1"/>
    <col min="12561" max="12561" width="14" style="1261" customWidth="1"/>
    <col min="12562" max="12562" width="16.42578125" style="1261" customWidth="1"/>
    <col min="12563" max="12563" width="18.140625" style="1261" customWidth="1"/>
    <col min="12564" max="12564" width="15.85546875" style="1261" customWidth="1"/>
    <col min="12565" max="12792" width="9.140625" style="1261"/>
    <col min="12793" max="12793" width="18" style="1261" customWidth="1"/>
    <col min="12794" max="12794" width="21.140625" style="1261" customWidth="1"/>
    <col min="12795" max="12795" width="13" style="1261" customWidth="1"/>
    <col min="12796" max="12796" width="14.5703125" style="1261" customWidth="1"/>
    <col min="12797" max="12797" width="11.5703125" style="1261" customWidth="1"/>
    <col min="12798" max="12798" width="14.5703125" style="1261" customWidth="1"/>
    <col min="12799" max="12799" width="13.28515625" style="1261" customWidth="1"/>
    <col min="12800" max="12800" width="13.42578125" style="1261" customWidth="1"/>
    <col min="12801" max="12801" width="14.140625" style="1261" customWidth="1"/>
    <col min="12802" max="12802" width="17.5703125" style="1261" customWidth="1"/>
    <col min="12803" max="12803" width="16" style="1261" customWidth="1"/>
    <col min="12804" max="12804" width="19" style="1261" customWidth="1"/>
    <col min="12805" max="12805" width="14" style="1261" customWidth="1"/>
    <col min="12806" max="12809" width="19.140625" style="1261" customWidth="1"/>
    <col min="12810" max="12810" width="15" style="1261" customWidth="1"/>
    <col min="12811" max="12811" width="22" style="1261" customWidth="1"/>
    <col min="12812" max="12812" width="19.42578125" style="1261" customWidth="1"/>
    <col min="12813" max="12813" width="15" style="1261" customWidth="1"/>
    <col min="12814" max="12814" width="19.28515625" style="1261" customWidth="1"/>
    <col min="12815" max="12815" width="19.85546875" style="1261" customWidth="1"/>
    <col min="12816" max="12816" width="19.5703125" style="1261" customWidth="1"/>
    <col min="12817" max="12817" width="14" style="1261" customWidth="1"/>
    <col min="12818" max="12818" width="16.42578125" style="1261" customWidth="1"/>
    <col min="12819" max="12819" width="18.140625" style="1261" customWidth="1"/>
    <col min="12820" max="12820" width="15.85546875" style="1261" customWidth="1"/>
    <col min="12821" max="13048" width="9.140625" style="1261"/>
    <col min="13049" max="13049" width="18" style="1261" customWidth="1"/>
    <col min="13050" max="13050" width="21.140625" style="1261" customWidth="1"/>
    <col min="13051" max="13051" width="13" style="1261" customWidth="1"/>
    <col min="13052" max="13052" width="14.5703125" style="1261" customWidth="1"/>
    <col min="13053" max="13053" width="11.5703125" style="1261" customWidth="1"/>
    <col min="13054" max="13054" width="14.5703125" style="1261" customWidth="1"/>
    <col min="13055" max="13055" width="13.28515625" style="1261" customWidth="1"/>
    <col min="13056" max="13056" width="13.42578125" style="1261" customWidth="1"/>
    <col min="13057" max="13057" width="14.140625" style="1261" customWidth="1"/>
    <col min="13058" max="13058" width="17.5703125" style="1261" customWidth="1"/>
    <col min="13059" max="13059" width="16" style="1261" customWidth="1"/>
    <col min="13060" max="13060" width="19" style="1261" customWidth="1"/>
    <col min="13061" max="13061" width="14" style="1261" customWidth="1"/>
    <col min="13062" max="13065" width="19.140625" style="1261" customWidth="1"/>
    <col min="13066" max="13066" width="15" style="1261" customWidth="1"/>
    <col min="13067" max="13067" width="22" style="1261" customWidth="1"/>
    <col min="13068" max="13068" width="19.42578125" style="1261" customWidth="1"/>
    <col min="13069" max="13069" width="15" style="1261" customWidth="1"/>
    <col min="13070" max="13070" width="19.28515625" style="1261" customWidth="1"/>
    <col min="13071" max="13071" width="19.85546875" style="1261" customWidth="1"/>
    <col min="13072" max="13072" width="19.5703125" style="1261" customWidth="1"/>
    <col min="13073" max="13073" width="14" style="1261" customWidth="1"/>
    <col min="13074" max="13074" width="16.42578125" style="1261" customWidth="1"/>
    <col min="13075" max="13075" width="18.140625" style="1261" customWidth="1"/>
    <col min="13076" max="13076" width="15.85546875" style="1261" customWidth="1"/>
    <col min="13077" max="13304" width="9.140625" style="1261"/>
    <col min="13305" max="13305" width="18" style="1261" customWidth="1"/>
    <col min="13306" max="13306" width="21.140625" style="1261" customWidth="1"/>
    <col min="13307" max="13307" width="13" style="1261" customWidth="1"/>
    <col min="13308" max="13308" width="14.5703125" style="1261" customWidth="1"/>
    <col min="13309" max="13309" width="11.5703125" style="1261" customWidth="1"/>
    <col min="13310" max="13310" width="14.5703125" style="1261" customWidth="1"/>
    <col min="13311" max="13311" width="13.28515625" style="1261" customWidth="1"/>
    <col min="13312" max="13312" width="13.42578125" style="1261" customWidth="1"/>
    <col min="13313" max="13313" width="14.140625" style="1261" customWidth="1"/>
    <col min="13314" max="13314" width="17.5703125" style="1261" customWidth="1"/>
    <col min="13315" max="13315" width="16" style="1261" customWidth="1"/>
    <col min="13316" max="13316" width="19" style="1261" customWidth="1"/>
    <col min="13317" max="13317" width="14" style="1261" customWidth="1"/>
    <col min="13318" max="13321" width="19.140625" style="1261" customWidth="1"/>
    <col min="13322" max="13322" width="15" style="1261" customWidth="1"/>
    <col min="13323" max="13323" width="22" style="1261" customWidth="1"/>
    <col min="13324" max="13324" width="19.42578125" style="1261" customWidth="1"/>
    <col min="13325" max="13325" width="15" style="1261" customWidth="1"/>
    <col min="13326" max="13326" width="19.28515625" style="1261" customWidth="1"/>
    <col min="13327" max="13327" width="19.85546875" style="1261" customWidth="1"/>
    <col min="13328" max="13328" width="19.5703125" style="1261" customWidth="1"/>
    <col min="13329" max="13329" width="14" style="1261" customWidth="1"/>
    <col min="13330" max="13330" width="16.42578125" style="1261" customWidth="1"/>
    <col min="13331" max="13331" width="18.140625" style="1261" customWidth="1"/>
    <col min="13332" max="13332" width="15.85546875" style="1261" customWidth="1"/>
    <col min="13333" max="13560" width="9.140625" style="1261"/>
    <col min="13561" max="13561" width="18" style="1261" customWidth="1"/>
    <col min="13562" max="13562" width="21.140625" style="1261" customWidth="1"/>
    <col min="13563" max="13563" width="13" style="1261" customWidth="1"/>
    <col min="13564" max="13564" width="14.5703125" style="1261" customWidth="1"/>
    <col min="13565" max="13565" width="11.5703125" style="1261" customWidth="1"/>
    <col min="13566" max="13566" width="14.5703125" style="1261" customWidth="1"/>
    <col min="13567" max="13567" width="13.28515625" style="1261" customWidth="1"/>
    <col min="13568" max="13568" width="13.42578125" style="1261" customWidth="1"/>
    <col min="13569" max="13569" width="14.140625" style="1261" customWidth="1"/>
    <col min="13570" max="13570" width="17.5703125" style="1261" customWidth="1"/>
    <col min="13571" max="13571" width="16" style="1261" customWidth="1"/>
    <col min="13572" max="13572" width="19" style="1261" customWidth="1"/>
    <col min="13573" max="13573" width="14" style="1261" customWidth="1"/>
    <col min="13574" max="13577" width="19.140625" style="1261" customWidth="1"/>
    <col min="13578" max="13578" width="15" style="1261" customWidth="1"/>
    <col min="13579" max="13579" width="22" style="1261" customWidth="1"/>
    <col min="13580" max="13580" width="19.42578125" style="1261" customWidth="1"/>
    <col min="13581" max="13581" width="15" style="1261" customWidth="1"/>
    <col min="13582" max="13582" width="19.28515625" style="1261" customWidth="1"/>
    <col min="13583" max="13583" width="19.85546875" style="1261" customWidth="1"/>
    <col min="13584" max="13584" width="19.5703125" style="1261" customWidth="1"/>
    <col min="13585" max="13585" width="14" style="1261" customWidth="1"/>
    <col min="13586" max="13586" width="16.42578125" style="1261" customWidth="1"/>
    <col min="13587" max="13587" width="18.140625" style="1261" customWidth="1"/>
    <col min="13588" max="13588" width="15.85546875" style="1261" customWidth="1"/>
    <col min="13589" max="13816" width="9.140625" style="1261"/>
    <col min="13817" max="13817" width="18" style="1261" customWidth="1"/>
    <col min="13818" max="13818" width="21.140625" style="1261" customWidth="1"/>
    <col min="13819" max="13819" width="13" style="1261" customWidth="1"/>
    <col min="13820" max="13820" width="14.5703125" style="1261" customWidth="1"/>
    <col min="13821" max="13821" width="11.5703125" style="1261" customWidth="1"/>
    <col min="13822" max="13822" width="14.5703125" style="1261" customWidth="1"/>
    <col min="13823" max="13823" width="13.28515625" style="1261" customWidth="1"/>
    <col min="13824" max="13824" width="13.42578125" style="1261" customWidth="1"/>
    <col min="13825" max="13825" width="14.140625" style="1261" customWidth="1"/>
    <col min="13826" max="13826" width="17.5703125" style="1261" customWidth="1"/>
    <col min="13827" max="13827" width="16" style="1261" customWidth="1"/>
    <col min="13828" max="13828" width="19" style="1261" customWidth="1"/>
    <col min="13829" max="13829" width="14" style="1261" customWidth="1"/>
    <col min="13830" max="13833" width="19.140625" style="1261" customWidth="1"/>
    <col min="13834" max="13834" width="15" style="1261" customWidth="1"/>
    <col min="13835" max="13835" width="22" style="1261" customWidth="1"/>
    <col min="13836" max="13836" width="19.42578125" style="1261" customWidth="1"/>
    <col min="13837" max="13837" width="15" style="1261" customWidth="1"/>
    <col min="13838" max="13838" width="19.28515625" style="1261" customWidth="1"/>
    <col min="13839" max="13839" width="19.85546875" style="1261" customWidth="1"/>
    <col min="13840" max="13840" width="19.5703125" style="1261" customWidth="1"/>
    <col min="13841" max="13841" width="14" style="1261" customWidth="1"/>
    <col min="13842" max="13842" width="16.42578125" style="1261" customWidth="1"/>
    <col min="13843" max="13843" width="18.140625" style="1261" customWidth="1"/>
    <col min="13844" max="13844" width="15.85546875" style="1261" customWidth="1"/>
    <col min="13845" max="14072" width="9.140625" style="1261"/>
    <col min="14073" max="14073" width="18" style="1261" customWidth="1"/>
    <col min="14074" max="14074" width="21.140625" style="1261" customWidth="1"/>
    <col min="14075" max="14075" width="13" style="1261" customWidth="1"/>
    <col min="14076" max="14076" width="14.5703125" style="1261" customWidth="1"/>
    <col min="14077" max="14077" width="11.5703125" style="1261" customWidth="1"/>
    <col min="14078" max="14078" width="14.5703125" style="1261" customWidth="1"/>
    <col min="14079" max="14079" width="13.28515625" style="1261" customWidth="1"/>
    <col min="14080" max="14080" width="13.42578125" style="1261" customWidth="1"/>
    <col min="14081" max="14081" width="14.140625" style="1261" customWidth="1"/>
    <col min="14082" max="14082" width="17.5703125" style="1261" customWidth="1"/>
    <col min="14083" max="14083" width="16" style="1261" customWidth="1"/>
    <col min="14084" max="14084" width="19" style="1261" customWidth="1"/>
    <col min="14085" max="14085" width="14" style="1261" customWidth="1"/>
    <col min="14086" max="14089" width="19.140625" style="1261" customWidth="1"/>
    <col min="14090" max="14090" width="15" style="1261" customWidth="1"/>
    <col min="14091" max="14091" width="22" style="1261" customWidth="1"/>
    <col min="14092" max="14092" width="19.42578125" style="1261" customWidth="1"/>
    <col min="14093" max="14093" width="15" style="1261" customWidth="1"/>
    <col min="14094" max="14094" width="19.28515625" style="1261" customWidth="1"/>
    <col min="14095" max="14095" width="19.85546875" style="1261" customWidth="1"/>
    <col min="14096" max="14096" width="19.5703125" style="1261" customWidth="1"/>
    <col min="14097" max="14097" width="14" style="1261" customWidth="1"/>
    <col min="14098" max="14098" width="16.42578125" style="1261" customWidth="1"/>
    <col min="14099" max="14099" width="18.140625" style="1261" customWidth="1"/>
    <col min="14100" max="14100" width="15.85546875" style="1261" customWidth="1"/>
    <col min="14101" max="14328" width="9.140625" style="1261"/>
    <col min="14329" max="14329" width="18" style="1261" customWidth="1"/>
    <col min="14330" max="14330" width="21.140625" style="1261" customWidth="1"/>
    <col min="14331" max="14331" width="13" style="1261" customWidth="1"/>
    <col min="14332" max="14332" width="14.5703125" style="1261" customWidth="1"/>
    <col min="14333" max="14333" width="11.5703125" style="1261" customWidth="1"/>
    <col min="14334" max="14334" width="14.5703125" style="1261" customWidth="1"/>
    <col min="14335" max="14335" width="13.28515625" style="1261" customWidth="1"/>
    <col min="14336" max="14336" width="13.42578125" style="1261" customWidth="1"/>
    <col min="14337" max="14337" width="14.140625" style="1261" customWidth="1"/>
    <col min="14338" max="14338" width="17.5703125" style="1261" customWidth="1"/>
    <col min="14339" max="14339" width="16" style="1261" customWidth="1"/>
    <col min="14340" max="14340" width="19" style="1261" customWidth="1"/>
    <col min="14341" max="14341" width="14" style="1261" customWidth="1"/>
    <col min="14342" max="14345" width="19.140625" style="1261" customWidth="1"/>
    <col min="14346" max="14346" width="15" style="1261" customWidth="1"/>
    <col min="14347" max="14347" width="22" style="1261" customWidth="1"/>
    <col min="14348" max="14348" width="19.42578125" style="1261" customWidth="1"/>
    <col min="14349" max="14349" width="15" style="1261" customWidth="1"/>
    <col min="14350" max="14350" width="19.28515625" style="1261" customWidth="1"/>
    <col min="14351" max="14351" width="19.85546875" style="1261" customWidth="1"/>
    <col min="14352" max="14352" width="19.5703125" style="1261" customWidth="1"/>
    <col min="14353" max="14353" width="14" style="1261" customWidth="1"/>
    <col min="14354" max="14354" width="16.42578125" style="1261" customWidth="1"/>
    <col min="14355" max="14355" width="18.140625" style="1261" customWidth="1"/>
    <col min="14356" max="14356" width="15.85546875" style="1261" customWidth="1"/>
    <col min="14357" max="14584" width="9.140625" style="1261"/>
    <col min="14585" max="14585" width="18" style="1261" customWidth="1"/>
    <col min="14586" max="14586" width="21.140625" style="1261" customWidth="1"/>
    <col min="14587" max="14587" width="13" style="1261" customWidth="1"/>
    <col min="14588" max="14588" width="14.5703125" style="1261" customWidth="1"/>
    <col min="14589" max="14589" width="11.5703125" style="1261" customWidth="1"/>
    <col min="14590" max="14590" width="14.5703125" style="1261" customWidth="1"/>
    <col min="14591" max="14591" width="13.28515625" style="1261" customWidth="1"/>
    <col min="14592" max="14592" width="13.42578125" style="1261" customWidth="1"/>
    <col min="14593" max="14593" width="14.140625" style="1261" customWidth="1"/>
    <col min="14594" max="14594" width="17.5703125" style="1261" customWidth="1"/>
    <col min="14595" max="14595" width="16" style="1261" customWidth="1"/>
    <col min="14596" max="14596" width="19" style="1261" customWidth="1"/>
    <col min="14597" max="14597" width="14" style="1261" customWidth="1"/>
    <col min="14598" max="14601" width="19.140625" style="1261" customWidth="1"/>
    <col min="14602" max="14602" width="15" style="1261" customWidth="1"/>
    <col min="14603" max="14603" width="22" style="1261" customWidth="1"/>
    <col min="14604" max="14604" width="19.42578125" style="1261" customWidth="1"/>
    <col min="14605" max="14605" width="15" style="1261" customWidth="1"/>
    <col min="14606" max="14606" width="19.28515625" style="1261" customWidth="1"/>
    <col min="14607" max="14607" width="19.85546875" style="1261" customWidth="1"/>
    <col min="14608" max="14608" width="19.5703125" style="1261" customWidth="1"/>
    <col min="14609" max="14609" width="14" style="1261" customWidth="1"/>
    <col min="14610" max="14610" width="16.42578125" style="1261" customWidth="1"/>
    <col min="14611" max="14611" width="18.140625" style="1261" customWidth="1"/>
    <col min="14612" max="14612" width="15.85546875" style="1261" customWidth="1"/>
    <col min="14613" max="14840" width="9.140625" style="1261"/>
    <col min="14841" max="14841" width="18" style="1261" customWidth="1"/>
    <col min="14842" max="14842" width="21.140625" style="1261" customWidth="1"/>
    <col min="14843" max="14843" width="13" style="1261" customWidth="1"/>
    <col min="14844" max="14844" width="14.5703125" style="1261" customWidth="1"/>
    <col min="14845" max="14845" width="11.5703125" style="1261" customWidth="1"/>
    <col min="14846" max="14846" width="14.5703125" style="1261" customWidth="1"/>
    <col min="14847" max="14847" width="13.28515625" style="1261" customWidth="1"/>
    <col min="14848" max="14848" width="13.42578125" style="1261" customWidth="1"/>
    <col min="14849" max="14849" width="14.140625" style="1261" customWidth="1"/>
    <col min="14850" max="14850" width="17.5703125" style="1261" customWidth="1"/>
    <col min="14851" max="14851" width="16" style="1261" customWidth="1"/>
    <col min="14852" max="14852" width="19" style="1261" customWidth="1"/>
    <col min="14853" max="14853" width="14" style="1261" customWidth="1"/>
    <col min="14854" max="14857" width="19.140625" style="1261" customWidth="1"/>
    <col min="14858" max="14858" width="15" style="1261" customWidth="1"/>
    <col min="14859" max="14859" width="22" style="1261" customWidth="1"/>
    <col min="14860" max="14860" width="19.42578125" style="1261" customWidth="1"/>
    <col min="14861" max="14861" width="15" style="1261" customWidth="1"/>
    <col min="14862" max="14862" width="19.28515625" style="1261" customWidth="1"/>
    <col min="14863" max="14863" width="19.85546875" style="1261" customWidth="1"/>
    <col min="14864" max="14864" width="19.5703125" style="1261" customWidth="1"/>
    <col min="14865" max="14865" width="14" style="1261" customWidth="1"/>
    <col min="14866" max="14866" width="16.42578125" style="1261" customWidth="1"/>
    <col min="14867" max="14867" width="18.140625" style="1261" customWidth="1"/>
    <col min="14868" max="14868" width="15.85546875" style="1261" customWidth="1"/>
    <col min="14869" max="15096" width="9.140625" style="1261"/>
    <col min="15097" max="15097" width="18" style="1261" customWidth="1"/>
    <col min="15098" max="15098" width="21.140625" style="1261" customWidth="1"/>
    <col min="15099" max="15099" width="13" style="1261" customWidth="1"/>
    <col min="15100" max="15100" width="14.5703125" style="1261" customWidth="1"/>
    <col min="15101" max="15101" width="11.5703125" style="1261" customWidth="1"/>
    <col min="15102" max="15102" width="14.5703125" style="1261" customWidth="1"/>
    <col min="15103" max="15103" width="13.28515625" style="1261" customWidth="1"/>
    <col min="15104" max="15104" width="13.42578125" style="1261" customWidth="1"/>
    <col min="15105" max="15105" width="14.140625" style="1261" customWidth="1"/>
    <col min="15106" max="15106" width="17.5703125" style="1261" customWidth="1"/>
    <col min="15107" max="15107" width="16" style="1261" customWidth="1"/>
    <col min="15108" max="15108" width="19" style="1261" customWidth="1"/>
    <col min="15109" max="15109" width="14" style="1261" customWidth="1"/>
    <col min="15110" max="15113" width="19.140625" style="1261" customWidth="1"/>
    <col min="15114" max="15114" width="15" style="1261" customWidth="1"/>
    <col min="15115" max="15115" width="22" style="1261" customWidth="1"/>
    <col min="15116" max="15116" width="19.42578125" style="1261" customWidth="1"/>
    <col min="15117" max="15117" width="15" style="1261" customWidth="1"/>
    <col min="15118" max="15118" width="19.28515625" style="1261" customWidth="1"/>
    <col min="15119" max="15119" width="19.85546875" style="1261" customWidth="1"/>
    <col min="15120" max="15120" width="19.5703125" style="1261" customWidth="1"/>
    <col min="15121" max="15121" width="14" style="1261" customWidth="1"/>
    <col min="15122" max="15122" width="16.42578125" style="1261" customWidth="1"/>
    <col min="15123" max="15123" width="18.140625" style="1261" customWidth="1"/>
    <col min="15124" max="15124" width="15.85546875" style="1261" customWidth="1"/>
    <col min="15125" max="15352" width="9.140625" style="1261"/>
    <col min="15353" max="15353" width="18" style="1261" customWidth="1"/>
    <col min="15354" max="15354" width="21.140625" style="1261" customWidth="1"/>
    <col min="15355" max="15355" width="13" style="1261" customWidth="1"/>
    <col min="15356" max="15356" width="14.5703125" style="1261" customWidth="1"/>
    <col min="15357" max="15357" width="11.5703125" style="1261" customWidth="1"/>
    <col min="15358" max="15358" width="14.5703125" style="1261" customWidth="1"/>
    <col min="15359" max="15359" width="13.28515625" style="1261" customWidth="1"/>
    <col min="15360" max="15360" width="13.42578125" style="1261" customWidth="1"/>
    <col min="15361" max="15361" width="14.140625" style="1261" customWidth="1"/>
    <col min="15362" max="15362" width="17.5703125" style="1261" customWidth="1"/>
    <col min="15363" max="15363" width="16" style="1261" customWidth="1"/>
    <col min="15364" max="15364" width="19" style="1261" customWidth="1"/>
    <col min="15365" max="15365" width="14" style="1261" customWidth="1"/>
    <col min="15366" max="15369" width="19.140625" style="1261" customWidth="1"/>
    <col min="15370" max="15370" width="15" style="1261" customWidth="1"/>
    <col min="15371" max="15371" width="22" style="1261" customWidth="1"/>
    <col min="15372" max="15372" width="19.42578125" style="1261" customWidth="1"/>
    <col min="15373" max="15373" width="15" style="1261" customWidth="1"/>
    <col min="15374" max="15374" width="19.28515625" style="1261" customWidth="1"/>
    <col min="15375" max="15375" width="19.85546875" style="1261" customWidth="1"/>
    <col min="15376" max="15376" width="19.5703125" style="1261" customWidth="1"/>
    <col min="15377" max="15377" width="14" style="1261" customWidth="1"/>
    <col min="15378" max="15378" width="16.42578125" style="1261" customWidth="1"/>
    <col min="15379" max="15379" width="18.140625" style="1261" customWidth="1"/>
    <col min="15380" max="15380" width="15.85546875" style="1261" customWidth="1"/>
    <col min="15381" max="15608" width="9.140625" style="1261"/>
    <col min="15609" max="15609" width="18" style="1261" customWidth="1"/>
    <col min="15610" max="15610" width="21.140625" style="1261" customWidth="1"/>
    <col min="15611" max="15611" width="13" style="1261" customWidth="1"/>
    <col min="15612" max="15612" width="14.5703125" style="1261" customWidth="1"/>
    <col min="15613" max="15613" width="11.5703125" style="1261" customWidth="1"/>
    <col min="15614" max="15614" width="14.5703125" style="1261" customWidth="1"/>
    <col min="15615" max="15615" width="13.28515625" style="1261" customWidth="1"/>
    <col min="15616" max="15616" width="13.42578125" style="1261" customWidth="1"/>
    <col min="15617" max="15617" width="14.140625" style="1261" customWidth="1"/>
    <col min="15618" max="15618" width="17.5703125" style="1261" customWidth="1"/>
    <col min="15619" max="15619" width="16" style="1261" customWidth="1"/>
    <col min="15620" max="15620" width="19" style="1261" customWidth="1"/>
    <col min="15621" max="15621" width="14" style="1261" customWidth="1"/>
    <col min="15622" max="15625" width="19.140625" style="1261" customWidth="1"/>
    <col min="15626" max="15626" width="15" style="1261" customWidth="1"/>
    <col min="15627" max="15627" width="22" style="1261" customWidth="1"/>
    <col min="15628" max="15628" width="19.42578125" style="1261" customWidth="1"/>
    <col min="15629" max="15629" width="15" style="1261" customWidth="1"/>
    <col min="15630" max="15630" width="19.28515625" style="1261" customWidth="1"/>
    <col min="15631" max="15631" width="19.85546875" style="1261" customWidth="1"/>
    <col min="15632" max="15632" width="19.5703125" style="1261" customWidth="1"/>
    <col min="15633" max="15633" width="14" style="1261" customWidth="1"/>
    <col min="15634" max="15634" width="16.42578125" style="1261" customWidth="1"/>
    <col min="15635" max="15635" width="18.140625" style="1261" customWidth="1"/>
    <col min="15636" max="15636" width="15.85546875" style="1261" customWidth="1"/>
    <col min="15637" max="15864" width="9.140625" style="1261"/>
    <col min="15865" max="15865" width="18" style="1261" customWidth="1"/>
    <col min="15866" max="15866" width="21.140625" style="1261" customWidth="1"/>
    <col min="15867" max="15867" width="13" style="1261" customWidth="1"/>
    <col min="15868" max="15868" width="14.5703125" style="1261" customWidth="1"/>
    <col min="15869" max="15869" width="11.5703125" style="1261" customWidth="1"/>
    <col min="15870" max="15870" width="14.5703125" style="1261" customWidth="1"/>
    <col min="15871" max="15871" width="13.28515625" style="1261" customWidth="1"/>
    <col min="15872" max="15872" width="13.42578125" style="1261" customWidth="1"/>
    <col min="15873" max="15873" width="14.140625" style="1261" customWidth="1"/>
    <col min="15874" max="15874" width="17.5703125" style="1261" customWidth="1"/>
    <col min="15875" max="15875" width="16" style="1261" customWidth="1"/>
    <col min="15876" max="15876" width="19" style="1261" customWidth="1"/>
    <col min="15877" max="15877" width="14" style="1261" customWidth="1"/>
    <col min="15878" max="15881" width="19.140625" style="1261" customWidth="1"/>
    <col min="15882" max="15882" width="15" style="1261" customWidth="1"/>
    <col min="15883" max="15883" width="22" style="1261" customWidth="1"/>
    <col min="15884" max="15884" width="19.42578125" style="1261" customWidth="1"/>
    <col min="15885" max="15885" width="15" style="1261" customWidth="1"/>
    <col min="15886" max="15886" width="19.28515625" style="1261" customWidth="1"/>
    <col min="15887" max="15887" width="19.85546875" style="1261" customWidth="1"/>
    <col min="15888" max="15888" width="19.5703125" style="1261" customWidth="1"/>
    <col min="15889" max="15889" width="14" style="1261" customWidth="1"/>
    <col min="15890" max="15890" width="16.42578125" style="1261" customWidth="1"/>
    <col min="15891" max="15891" width="18.140625" style="1261" customWidth="1"/>
    <col min="15892" max="15892" width="15.85546875" style="1261" customWidth="1"/>
    <col min="15893" max="16120" width="9.140625" style="1261"/>
    <col min="16121" max="16121" width="18" style="1261" customWidth="1"/>
    <col min="16122" max="16122" width="21.140625" style="1261" customWidth="1"/>
    <col min="16123" max="16123" width="13" style="1261" customWidth="1"/>
    <col min="16124" max="16124" width="14.5703125" style="1261" customWidth="1"/>
    <col min="16125" max="16125" width="11.5703125" style="1261" customWidth="1"/>
    <col min="16126" max="16126" width="14.5703125" style="1261" customWidth="1"/>
    <col min="16127" max="16127" width="13.28515625" style="1261" customWidth="1"/>
    <col min="16128" max="16128" width="13.42578125" style="1261" customWidth="1"/>
    <col min="16129" max="16129" width="14.140625" style="1261" customWidth="1"/>
    <col min="16130" max="16130" width="17.5703125" style="1261" customWidth="1"/>
    <col min="16131" max="16131" width="16" style="1261" customWidth="1"/>
    <col min="16132" max="16132" width="19" style="1261" customWidth="1"/>
    <col min="16133" max="16133" width="14" style="1261" customWidth="1"/>
    <col min="16134" max="16137" width="19.140625" style="1261" customWidth="1"/>
    <col min="16138" max="16138" width="15" style="1261" customWidth="1"/>
    <col min="16139" max="16139" width="22" style="1261" customWidth="1"/>
    <col min="16140" max="16140" width="19.42578125" style="1261" customWidth="1"/>
    <col min="16141" max="16141" width="15" style="1261" customWidth="1"/>
    <col min="16142" max="16142" width="19.28515625" style="1261" customWidth="1"/>
    <col min="16143" max="16143" width="19.85546875" style="1261" customWidth="1"/>
    <col min="16144" max="16144" width="19.5703125" style="1261" customWidth="1"/>
    <col min="16145" max="16145" width="14" style="1261" customWidth="1"/>
    <col min="16146" max="16146" width="16.42578125" style="1261" customWidth="1"/>
    <col min="16147" max="16147" width="18.140625" style="1261" customWidth="1"/>
    <col min="16148" max="16148" width="15.85546875" style="1261" customWidth="1"/>
    <col min="16149" max="16384" width="9.140625" style="1261"/>
  </cols>
  <sheetData>
    <row r="1" spans="1:20" ht="36.75" customHeight="1" x14ac:dyDescent="0.25">
      <c r="A1" s="5893" t="s">
        <v>3528</v>
      </c>
      <c r="B1" s="5893"/>
      <c r="C1" s="5893"/>
      <c r="D1" s="5893"/>
      <c r="E1" s="5893"/>
      <c r="F1" s="5893"/>
      <c r="G1" s="5893"/>
      <c r="H1" s="5893"/>
      <c r="I1" s="5893"/>
      <c r="J1" s="5893"/>
      <c r="K1" s="5893"/>
      <c r="L1" s="5893"/>
      <c r="M1" s="5893"/>
      <c r="N1" s="5893"/>
      <c r="O1" s="5893"/>
      <c r="P1" s="5893"/>
      <c r="Q1" s="5893"/>
      <c r="R1" s="5893"/>
      <c r="S1" s="5893"/>
      <c r="T1" s="5893"/>
    </row>
    <row r="2" spans="1:20" ht="22.5" hidden="1" customHeight="1" thickBot="1" x14ac:dyDescent="0.35">
      <c r="A2" s="5894" t="s">
        <v>995</v>
      </c>
      <c r="B2" s="5894"/>
      <c r="C2" s="5894"/>
      <c r="D2" s="5894"/>
      <c r="E2" s="5894"/>
      <c r="F2" s="5894"/>
      <c r="G2" s="5894"/>
      <c r="H2" s="5894"/>
      <c r="I2" s="5894"/>
      <c r="J2" s="5894"/>
      <c r="K2" s="5894"/>
      <c r="L2" s="5894"/>
      <c r="M2" s="5894"/>
      <c r="N2" s="5894"/>
      <c r="O2" s="5894"/>
      <c r="P2" s="5894"/>
      <c r="Q2" s="5894"/>
      <c r="R2" s="5894"/>
      <c r="S2" s="5894"/>
      <c r="T2" s="5894"/>
    </row>
    <row r="3" spans="1:20" ht="15.75" hidden="1" customHeight="1" thickBot="1" x14ac:dyDescent="0.3">
      <c r="A3" s="5895"/>
      <c r="B3" s="5896"/>
      <c r="C3" s="5899" t="s">
        <v>996</v>
      </c>
      <c r="D3" s="5900"/>
      <c r="E3" s="5899" t="s">
        <v>997</v>
      </c>
      <c r="F3" s="5900"/>
      <c r="G3" s="5899" t="s">
        <v>998</v>
      </c>
      <c r="H3" s="5900"/>
      <c r="I3" s="5899" t="s">
        <v>999</v>
      </c>
      <c r="J3" s="5900"/>
      <c r="K3" s="5899" t="s">
        <v>1000</v>
      </c>
      <c r="L3" s="5900"/>
      <c r="M3" s="5899" t="s">
        <v>1001</v>
      </c>
      <c r="N3" s="5900"/>
      <c r="O3" s="5899" t="s">
        <v>1002</v>
      </c>
      <c r="P3" s="5900"/>
      <c r="Q3" s="5899" t="s">
        <v>1003</v>
      </c>
      <c r="R3" s="5900"/>
      <c r="S3" s="5899" t="s">
        <v>1004</v>
      </c>
      <c r="T3" s="5900"/>
    </row>
    <row r="4" spans="1:20" ht="15.75" hidden="1" thickBot="1" x14ac:dyDescent="0.3">
      <c r="A4" s="5897"/>
      <c r="B4" s="5898"/>
      <c r="C4" s="1265" t="s">
        <v>44</v>
      </c>
      <c r="D4" s="1266" t="s">
        <v>1005</v>
      </c>
      <c r="E4" s="1267" t="s">
        <v>44</v>
      </c>
      <c r="F4" s="1266" t="s">
        <v>1005</v>
      </c>
      <c r="G4" s="1265" t="s">
        <v>44</v>
      </c>
      <c r="H4" s="1266" t="s">
        <v>1005</v>
      </c>
      <c r="I4" s="1265" t="s">
        <v>44</v>
      </c>
      <c r="J4" s="1266" t="s">
        <v>1005</v>
      </c>
      <c r="K4" s="1265" t="s">
        <v>44</v>
      </c>
      <c r="L4" s="1266" t="s">
        <v>1005</v>
      </c>
      <c r="M4" s="1265" t="s">
        <v>44</v>
      </c>
      <c r="N4" s="1266" t="s">
        <v>1005</v>
      </c>
      <c r="O4" s="1267" t="s">
        <v>44</v>
      </c>
      <c r="P4" s="1266" t="s">
        <v>1005</v>
      </c>
      <c r="Q4" s="1265" t="s">
        <v>44</v>
      </c>
      <c r="R4" s="1266" t="s">
        <v>1005</v>
      </c>
      <c r="S4" s="1267" t="s">
        <v>44</v>
      </c>
      <c r="T4" s="1266" t="s">
        <v>1005</v>
      </c>
    </row>
    <row r="5" spans="1:20" hidden="1" x14ac:dyDescent="0.25">
      <c r="A5" s="5878" t="s">
        <v>1006</v>
      </c>
      <c r="B5" s="5879"/>
      <c r="C5" s="1268"/>
      <c r="D5" s="1269">
        <v>7500</v>
      </c>
      <c r="E5" s="1270"/>
      <c r="F5" s="1271">
        <f>D5</f>
        <v>7500</v>
      </c>
      <c r="G5" s="1272"/>
      <c r="H5" s="1271">
        <f>F5</f>
        <v>7500</v>
      </c>
      <c r="I5" s="1270"/>
      <c r="J5" s="1271">
        <f>H5</f>
        <v>7500</v>
      </c>
      <c r="K5" s="1270"/>
      <c r="L5" s="1271">
        <f>J5</f>
        <v>7500</v>
      </c>
      <c r="M5" s="1270"/>
      <c r="N5" s="1271">
        <f>L5</f>
        <v>7500</v>
      </c>
      <c r="O5" s="1270"/>
      <c r="P5" s="1271">
        <f>N5</f>
        <v>7500</v>
      </c>
      <c r="Q5" s="1270"/>
      <c r="R5" s="1271">
        <f>P5</f>
        <v>7500</v>
      </c>
      <c r="S5" s="1268"/>
      <c r="T5" s="1271">
        <f>R5</f>
        <v>7500</v>
      </c>
    </row>
    <row r="6" spans="1:20" hidden="1" x14ac:dyDescent="0.25">
      <c r="A6" s="5880" t="s">
        <v>1007</v>
      </c>
      <c r="B6" s="5881"/>
      <c r="C6" s="1268"/>
      <c r="D6" s="1269">
        <v>107.4</v>
      </c>
      <c r="E6" s="1270"/>
      <c r="F6" s="1269">
        <v>107.4</v>
      </c>
      <c r="G6" s="1272"/>
      <c r="H6" s="1269">
        <v>107.4</v>
      </c>
      <c r="I6" s="1270"/>
      <c r="J6" s="1269">
        <v>107.4</v>
      </c>
      <c r="K6" s="1270"/>
      <c r="L6" s="1269">
        <v>107.4</v>
      </c>
      <c r="M6" s="1270"/>
      <c r="N6" s="1269">
        <v>107.4</v>
      </c>
      <c r="O6" s="1270"/>
      <c r="P6" s="1269">
        <v>107.4</v>
      </c>
      <c r="Q6" s="1270"/>
      <c r="R6" s="1269">
        <v>107.4</v>
      </c>
      <c r="S6" s="1268"/>
      <c r="T6" s="1271">
        <v>107.4</v>
      </c>
    </row>
    <row r="7" spans="1:20" hidden="1" x14ac:dyDescent="0.25">
      <c r="A7" s="5882" t="s">
        <v>1008</v>
      </c>
      <c r="B7" s="5883"/>
      <c r="C7" s="1273"/>
      <c r="D7" s="1274">
        <v>1</v>
      </c>
      <c r="E7" s="1275"/>
      <c r="F7" s="1276">
        <f>B22</f>
        <v>1.1299999999999999</v>
      </c>
      <c r="G7" s="1277"/>
      <c r="H7" s="1276">
        <f>B23</f>
        <v>1.28</v>
      </c>
      <c r="I7" s="1275"/>
      <c r="J7" s="1276">
        <v>1.44</v>
      </c>
      <c r="K7" s="1275"/>
      <c r="L7" s="1276">
        <v>1.63</v>
      </c>
      <c r="M7" s="1275"/>
      <c r="N7" s="1276">
        <f>1.84</f>
        <v>1.84</v>
      </c>
      <c r="O7" s="1275"/>
      <c r="P7" s="1276">
        <v>2.08</v>
      </c>
      <c r="Q7" s="1275"/>
      <c r="R7" s="1276">
        <v>2.35</v>
      </c>
      <c r="S7" s="1273"/>
      <c r="T7" s="1276">
        <v>2.66</v>
      </c>
    </row>
    <row r="8" spans="1:20" hidden="1" x14ac:dyDescent="0.25">
      <c r="A8" s="5882" t="s">
        <v>1009</v>
      </c>
      <c r="B8" s="5883"/>
      <c r="C8" s="1278"/>
      <c r="D8" s="1279">
        <f>D5*D6*D7/100</f>
        <v>8055</v>
      </c>
      <c r="E8" s="1278"/>
      <c r="F8" s="1279">
        <f>F5*F6*F7/100</f>
        <v>9102.15</v>
      </c>
      <c r="G8" s="1273"/>
      <c r="H8" s="1279">
        <f>H5*H6*H7/100</f>
        <v>10310.4</v>
      </c>
      <c r="I8" s="1278"/>
      <c r="J8" s="1279">
        <f>J5*J6*J7/100</f>
        <v>11599.2</v>
      </c>
      <c r="K8" s="1278"/>
      <c r="L8" s="1279">
        <f>L5*L6*L7/100</f>
        <v>13129.65</v>
      </c>
      <c r="M8" s="1278"/>
      <c r="N8" s="1279">
        <f>N5*N6*N7/100</f>
        <v>14821.2</v>
      </c>
      <c r="O8" s="1278"/>
      <c r="P8" s="1279">
        <f>P5*P6*P7/100</f>
        <v>16754.400000000001</v>
      </c>
      <c r="Q8" s="1278"/>
      <c r="R8" s="1279">
        <f>R5*R6*R7/100</f>
        <v>18929.25</v>
      </c>
      <c r="S8" s="1278"/>
      <c r="T8" s="1280">
        <f>T5*T6*T7/100</f>
        <v>21426.3</v>
      </c>
    </row>
    <row r="9" spans="1:20" ht="60.75" hidden="1" customHeight="1" x14ac:dyDescent="0.25">
      <c r="A9" s="5887" t="s">
        <v>1010</v>
      </c>
      <c r="B9" s="5888"/>
      <c r="C9" s="1281">
        <v>0.125</v>
      </c>
      <c r="D9" s="1282">
        <f>D8*C9</f>
        <v>1006.875</v>
      </c>
      <c r="E9" s="1281">
        <v>0.125</v>
      </c>
      <c r="F9" s="1282">
        <f>F8*E9</f>
        <v>1137.76875</v>
      </c>
      <c r="G9" s="1281">
        <v>0.125</v>
      </c>
      <c r="H9" s="1282">
        <f>H8*G9</f>
        <v>1288.8</v>
      </c>
      <c r="I9" s="1281">
        <v>0.125</v>
      </c>
      <c r="J9" s="1282">
        <f>J8*I9</f>
        <v>1449.9</v>
      </c>
      <c r="K9" s="1281">
        <v>0.125</v>
      </c>
      <c r="L9" s="1282">
        <f>L8*K9</f>
        <v>1641.20625</v>
      </c>
      <c r="M9" s="1281">
        <v>0.125</v>
      </c>
      <c r="N9" s="1282">
        <f>N8*M9</f>
        <v>1852.65</v>
      </c>
      <c r="O9" s="1281">
        <v>0.125</v>
      </c>
      <c r="P9" s="1282">
        <f>P8*O9</f>
        <v>2094.3000000000002</v>
      </c>
      <c r="Q9" s="1281">
        <v>0.125</v>
      </c>
      <c r="R9" s="1282">
        <f>R8*Q9</f>
        <v>2366.15625</v>
      </c>
      <c r="S9" s="1281">
        <v>0.125</v>
      </c>
      <c r="T9" s="1282">
        <f>T8*S9</f>
        <v>2678.2874999999999</v>
      </c>
    </row>
    <row r="10" spans="1:20" hidden="1" x14ac:dyDescent="0.25">
      <c r="A10" s="5889" t="s">
        <v>1011</v>
      </c>
      <c r="B10" s="5890"/>
      <c r="C10" s="1283">
        <v>0.1</v>
      </c>
      <c r="D10" s="1280">
        <f>D8*C10</f>
        <v>805.5</v>
      </c>
      <c r="E10" s="1283">
        <v>0.1</v>
      </c>
      <c r="F10" s="1280">
        <f>F8*E10</f>
        <v>910.21500000000003</v>
      </c>
      <c r="G10" s="1283">
        <v>0.1</v>
      </c>
      <c r="H10" s="1280">
        <f>H8*G10</f>
        <v>1031.04</v>
      </c>
      <c r="I10" s="1283">
        <v>0.1</v>
      </c>
      <c r="J10" s="1280">
        <f>J8*I10</f>
        <v>1159.92</v>
      </c>
      <c r="K10" s="1283">
        <v>0.1</v>
      </c>
      <c r="L10" s="1280">
        <f>L8*K10</f>
        <v>1312.9650000000001</v>
      </c>
      <c r="M10" s="1283">
        <v>0.1</v>
      </c>
      <c r="N10" s="1280">
        <f>N8*M10</f>
        <v>1482.1200000000001</v>
      </c>
      <c r="O10" s="1283">
        <v>0.1</v>
      </c>
      <c r="P10" s="1280">
        <f>P8*O10</f>
        <v>1675.4400000000003</v>
      </c>
      <c r="Q10" s="1283">
        <v>0.1</v>
      </c>
      <c r="R10" s="1280">
        <f>R8*Q10</f>
        <v>1892.9250000000002</v>
      </c>
      <c r="S10" s="1283">
        <v>0.1</v>
      </c>
      <c r="T10" s="1280">
        <f>T8*S10</f>
        <v>2142.63</v>
      </c>
    </row>
    <row r="11" spans="1:20" hidden="1" x14ac:dyDescent="0.25">
      <c r="A11" s="5889" t="s">
        <v>1012</v>
      </c>
      <c r="B11" s="5890"/>
      <c r="C11" s="1283">
        <v>0</v>
      </c>
      <c r="D11" s="1280">
        <f>D8*C11</f>
        <v>0</v>
      </c>
      <c r="E11" s="1283">
        <v>0</v>
      </c>
      <c r="F11" s="1280">
        <f>F8*E11</f>
        <v>0</v>
      </c>
      <c r="G11" s="1283">
        <v>0</v>
      </c>
      <c r="H11" s="1280">
        <f>H8*G11</f>
        <v>0</v>
      </c>
      <c r="I11" s="1283">
        <v>0</v>
      </c>
      <c r="J11" s="1280">
        <f>J8*I11</f>
        <v>0</v>
      </c>
      <c r="K11" s="1283">
        <v>0</v>
      </c>
      <c r="L11" s="1280">
        <f>L8*K11</f>
        <v>0</v>
      </c>
      <c r="M11" s="1283">
        <v>0</v>
      </c>
      <c r="N11" s="1280">
        <f>N8*M11</f>
        <v>0</v>
      </c>
      <c r="O11" s="1283">
        <v>0</v>
      </c>
      <c r="P11" s="1280">
        <f>P8*O11</f>
        <v>0</v>
      </c>
      <c r="Q11" s="1283">
        <v>0</v>
      </c>
      <c r="R11" s="1280">
        <f>R8*Q11</f>
        <v>0</v>
      </c>
      <c r="S11" s="1283">
        <v>0</v>
      </c>
      <c r="T11" s="1280">
        <f>T8*S11</f>
        <v>0</v>
      </c>
    </row>
    <row r="12" spans="1:20" hidden="1" x14ac:dyDescent="0.25">
      <c r="A12" s="5889" t="s">
        <v>1013</v>
      </c>
      <c r="B12" s="5890"/>
      <c r="C12" s="1283">
        <v>0.15</v>
      </c>
      <c r="D12" s="1280">
        <f>D8*C12</f>
        <v>1208.25</v>
      </c>
      <c r="E12" s="1283">
        <v>0.15</v>
      </c>
      <c r="F12" s="1280">
        <f>F8*E12</f>
        <v>1365.3225</v>
      </c>
      <c r="G12" s="1283">
        <v>0.15</v>
      </c>
      <c r="H12" s="1280">
        <f>H8*G12</f>
        <v>1546.56</v>
      </c>
      <c r="I12" s="1283">
        <v>0.15</v>
      </c>
      <c r="J12" s="1280">
        <f>J8*I12</f>
        <v>1739.88</v>
      </c>
      <c r="K12" s="1283">
        <v>0.15</v>
      </c>
      <c r="L12" s="1280">
        <f>L8*K12</f>
        <v>1969.4474999999998</v>
      </c>
      <c r="M12" s="1283">
        <v>0.15</v>
      </c>
      <c r="N12" s="1280">
        <f>N8*M12</f>
        <v>2223.1799999999998</v>
      </c>
      <c r="O12" s="1283">
        <v>0.15</v>
      </c>
      <c r="P12" s="1280">
        <f>P8*O12</f>
        <v>2513.1600000000003</v>
      </c>
      <c r="Q12" s="1283">
        <v>0.15</v>
      </c>
      <c r="R12" s="1280">
        <f>R8*Q12</f>
        <v>2839.3874999999998</v>
      </c>
      <c r="S12" s="1283">
        <v>0.15</v>
      </c>
      <c r="T12" s="1280">
        <f>T8*S12</f>
        <v>3213.9449999999997</v>
      </c>
    </row>
    <row r="13" spans="1:20" hidden="1" x14ac:dyDescent="0.25">
      <c r="A13" s="5882" t="s">
        <v>1014</v>
      </c>
      <c r="B13" s="5883"/>
      <c r="C13" s="1283">
        <v>0.2</v>
      </c>
      <c r="D13" s="1280">
        <f>(D8+D9+D10+D11+D12)*0.2</f>
        <v>2215.125</v>
      </c>
      <c r="E13" s="1283">
        <v>0.2</v>
      </c>
      <c r="F13" s="1280">
        <f>(F8+F9+F10+F11+F12)*0.2</f>
        <v>2503.0912499999999</v>
      </c>
      <c r="G13" s="1283">
        <v>0.2</v>
      </c>
      <c r="H13" s="1280">
        <f>(H8+H9+H10+H11+H12)*0.2</f>
        <v>2835.3599999999997</v>
      </c>
      <c r="I13" s="1283">
        <v>0.2</v>
      </c>
      <c r="J13" s="1280">
        <f>(J8+J9+J10+J11+J12)*0.2</f>
        <v>3189.7800000000007</v>
      </c>
      <c r="K13" s="1283">
        <v>0.2</v>
      </c>
      <c r="L13" s="1280">
        <f>(L8+L9+L10+L11+L12)*0.2</f>
        <v>3610.6537499999999</v>
      </c>
      <c r="M13" s="1283">
        <v>0.2</v>
      </c>
      <c r="N13" s="1280">
        <f>(N8+N9+N10+N11+N12)*0.2</f>
        <v>4075.8300000000004</v>
      </c>
      <c r="O13" s="1283">
        <v>0.2</v>
      </c>
      <c r="P13" s="1280">
        <f>(P8+P9+P10+P11+P12)*0.2</f>
        <v>4607.46</v>
      </c>
      <c r="Q13" s="1283">
        <v>0.2</v>
      </c>
      <c r="R13" s="1280">
        <f>(R8+R9+R10+R11+R12)*0.2</f>
        <v>5205.5437500000007</v>
      </c>
      <c r="S13" s="1283">
        <v>0.2</v>
      </c>
      <c r="T13" s="1280">
        <f>(T8+T9+T10+T11+T12)*0.2</f>
        <v>5892.2325000000001</v>
      </c>
    </row>
    <row r="14" spans="1:20" ht="15.75" hidden="1" thickBot="1" x14ac:dyDescent="0.3">
      <c r="A14" s="5891" t="s">
        <v>1015</v>
      </c>
      <c r="B14" s="5892"/>
      <c r="C14" s="1284">
        <v>0.5</v>
      </c>
      <c r="D14" s="1282">
        <f>(D8+D9+D10+D11+D12)*0.5</f>
        <v>5537.8125</v>
      </c>
      <c r="E14" s="1284">
        <v>0.5</v>
      </c>
      <c r="F14" s="1282">
        <f>(F8+F9+F10+F11+F12)*0.5</f>
        <v>6257.7281249999996</v>
      </c>
      <c r="G14" s="1284">
        <v>0.5</v>
      </c>
      <c r="H14" s="1282">
        <f>(H8+H9+H10+H11+H12)*0.5</f>
        <v>7088.3999999999987</v>
      </c>
      <c r="I14" s="1284">
        <v>0.5</v>
      </c>
      <c r="J14" s="1282">
        <f>(J8+J9+J10+J11+J12)*0.5</f>
        <v>7974.4500000000007</v>
      </c>
      <c r="K14" s="1284">
        <v>0.5</v>
      </c>
      <c r="L14" s="1282">
        <f>(L8+L9+L10+L11+L12)*0.5</f>
        <v>9026.6343749999996</v>
      </c>
      <c r="M14" s="1284">
        <v>0.5</v>
      </c>
      <c r="N14" s="1282">
        <f>(N8+N9+N10+N11+N12)*0.5</f>
        <v>10189.575000000001</v>
      </c>
      <c r="O14" s="1284">
        <v>0.5</v>
      </c>
      <c r="P14" s="1282">
        <f>(P8+P9+P10+P11+P12)*0.5</f>
        <v>11518.65</v>
      </c>
      <c r="Q14" s="1284">
        <v>0.5</v>
      </c>
      <c r="R14" s="1282">
        <f>(R8+R9+R10+R11+R12)*0.5</f>
        <v>13013.859375</v>
      </c>
      <c r="S14" s="1284">
        <v>0.5</v>
      </c>
      <c r="T14" s="1282">
        <f>(T8+T9+T10+T11+T12)*0.5</f>
        <v>14730.581249999999</v>
      </c>
    </row>
    <row r="15" spans="1:20" ht="28.5" hidden="1" customHeight="1" thickBot="1" x14ac:dyDescent="0.3">
      <c r="A15" s="5884" t="s">
        <v>1016</v>
      </c>
      <c r="B15" s="5885"/>
      <c r="C15" s="1285"/>
      <c r="D15" s="1286">
        <f>D8+D9+D10+D11+D12+D13+D14</f>
        <v>18828.5625</v>
      </c>
      <c r="E15" s="1285"/>
      <c r="F15" s="1286">
        <f>F8+F9+F10+F11+F12+F13+F14</f>
        <v>21276.275624999998</v>
      </c>
      <c r="G15" s="1285"/>
      <c r="H15" s="1286">
        <f>H8+H9+H10+H11+H12+H13+H14</f>
        <v>24100.559999999994</v>
      </c>
      <c r="I15" s="1285"/>
      <c r="J15" s="1286">
        <f>J8+J9+J10+J11+J12+J13+J14</f>
        <v>27113.13</v>
      </c>
      <c r="K15" s="1285"/>
      <c r="L15" s="1286">
        <f>L8+L9+L10+L11+L12+L13+L14</f>
        <v>30690.556875000002</v>
      </c>
      <c r="M15" s="1285"/>
      <c r="N15" s="1286">
        <f>N8+N9+N10+N11+N12+N13+N14</f>
        <v>34644.555000000008</v>
      </c>
      <c r="O15" s="1285"/>
      <c r="P15" s="1286">
        <f>P8+P9+P10+P11+P12+P13+P14</f>
        <v>39163.409999999996</v>
      </c>
      <c r="Q15" s="1285"/>
      <c r="R15" s="1286">
        <f>R8+R9+R10+R11+R12+R13+R14</f>
        <v>44247.121874999997</v>
      </c>
      <c r="S15" s="1285"/>
      <c r="T15" s="1286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886" t="s">
        <v>1017</v>
      </c>
      <c r="B19" s="5886"/>
      <c r="C19" s="1287"/>
      <c r="D19" s="1287"/>
      <c r="E19" s="1287"/>
      <c r="F19" s="1287"/>
      <c r="G19" s="1287"/>
      <c r="H19" s="1287"/>
    </row>
    <row r="20" spans="1:8" hidden="1" x14ac:dyDescent="0.25">
      <c r="A20" s="1288" t="s">
        <v>1018</v>
      </c>
      <c r="B20" s="1288" t="s">
        <v>1019</v>
      </c>
      <c r="C20" s="1287"/>
      <c r="D20" s="1287"/>
      <c r="E20" s="1287"/>
      <c r="F20" s="1287"/>
      <c r="G20" s="1287"/>
      <c r="H20" s="1287"/>
    </row>
    <row r="21" spans="1:8" hidden="1" x14ac:dyDescent="0.25">
      <c r="A21" s="1288">
        <v>1</v>
      </c>
      <c r="B21" s="1288">
        <v>1</v>
      </c>
      <c r="C21" s="1287"/>
      <c r="D21" s="1287"/>
      <c r="E21" s="1287"/>
      <c r="F21" s="1287"/>
      <c r="G21" s="1287"/>
      <c r="H21" s="1287"/>
    </row>
    <row r="22" spans="1:8" hidden="1" x14ac:dyDescent="0.25">
      <c r="A22" s="1288">
        <v>2</v>
      </c>
      <c r="B22" s="1288">
        <v>1.1299999999999999</v>
      </c>
      <c r="C22" s="1287"/>
      <c r="D22" s="1287"/>
      <c r="E22" s="1287"/>
      <c r="F22" s="1287"/>
      <c r="G22" s="1287"/>
      <c r="H22" s="1287"/>
    </row>
    <row r="23" spans="1:8" hidden="1" x14ac:dyDescent="0.25">
      <c r="A23" s="1288">
        <v>3</v>
      </c>
      <c r="B23" s="1288">
        <v>1.28</v>
      </c>
      <c r="C23" s="1287"/>
      <c r="D23" s="1287"/>
      <c r="E23" s="1287"/>
      <c r="F23" s="1287"/>
      <c r="G23" s="1287"/>
      <c r="H23" s="1287"/>
    </row>
    <row r="24" spans="1:8" hidden="1" x14ac:dyDescent="0.25">
      <c r="A24" s="1288">
        <v>4</v>
      </c>
      <c r="B24" s="1288">
        <v>1.44</v>
      </c>
      <c r="C24" s="1287"/>
      <c r="D24" s="1287"/>
      <c r="E24" s="1287"/>
      <c r="F24" s="1287"/>
      <c r="G24" s="1287"/>
      <c r="H24" s="1287"/>
    </row>
    <row r="25" spans="1:8" hidden="1" x14ac:dyDescent="0.25">
      <c r="A25" s="1288">
        <v>5</v>
      </c>
      <c r="B25" s="1288">
        <v>1.63</v>
      </c>
      <c r="C25" s="1287"/>
      <c r="D25" s="1287"/>
      <c r="E25" s="1287"/>
      <c r="F25" s="1287"/>
      <c r="G25" s="1287"/>
      <c r="H25" s="1287"/>
    </row>
    <row r="26" spans="1:8" hidden="1" x14ac:dyDescent="0.25">
      <c r="A26" s="1288">
        <v>6</v>
      </c>
      <c r="B26" s="1289">
        <v>1.84</v>
      </c>
      <c r="C26" s="1287"/>
      <c r="D26" s="1287"/>
      <c r="E26" s="1287"/>
      <c r="F26" s="1287"/>
      <c r="G26" s="1287"/>
      <c r="H26" s="1287"/>
    </row>
    <row r="27" spans="1:8" hidden="1" x14ac:dyDescent="0.25">
      <c r="A27" s="1288">
        <v>7</v>
      </c>
      <c r="B27" s="1289">
        <v>2.08</v>
      </c>
      <c r="C27" s="1287"/>
      <c r="D27" s="1287"/>
      <c r="E27" s="1287"/>
      <c r="F27" s="1287"/>
      <c r="G27" s="1287"/>
      <c r="H27" s="1287"/>
    </row>
    <row r="28" spans="1:8" hidden="1" x14ac:dyDescent="0.25">
      <c r="A28" s="1288">
        <v>8</v>
      </c>
      <c r="B28" s="1289">
        <v>2.35</v>
      </c>
      <c r="C28" s="1287"/>
      <c r="D28" s="1287"/>
      <c r="E28" s="1287"/>
      <c r="F28" s="1287"/>
      <c r="G28" s="1287"/>
      <c r="H28" s="1287"/>
    </row>
    <row r="29" spans="1:8" hidden="1" x14ac:dyDescent="0.25">
      <c r="A29" s="1288">
        <v>9</v>
      </c>
      <c r="B29" s="1289">
        <v>2.66</v>
      </c>
      <c r="C29" s="1287"/>
      <c r="D29" s="1287"/>
      <c r="E29" s="1287"/>
      <c r="F29" s="1287"/>
      <c r="G29" s="1287"/>
      <c r="H29" s="1287"/>
    </row>
    <row r="30" spans="1:8" hidden="1" x14ac:dyDescent="0.25">
      <c r="A30" s="1288">
        <v>10</v>
      </c>
      <c r="B30" s="1289">
        <v>2.78</v>
      </c>
      <c r="C30" s="1287"/>
      <c r="D30" s="1287"/>
      <c r="E30" s="1287"/>
      <c r="F30" s="1287"/>
      <c r="G30" s="1287"/>
      <c r="H30" s="1287"/>
    </row>
    <row r="31" spans="1:8" hidden="1" x14ac:dyDescent="0.25">
      <c r="A31" s="1288">
        <v>11</v>
      </c>
      <c r="B31" s="1289">
        <v>3.11</v>
      </c>
      <c r="C31" s="1287"/>
      <c r="D31" s="1287"/>
      <c r="E31" s="1287"/>
      <c r="F31" s="1287"/>
      <c r="G31" s="1287"/>
      <c r="H31" s="1287"/>
    </row>
    <row r="32" spans="1:8" hidden="1" x14ac:dyDescent="0.25">
      <c r="A32" s="1288">
        <v>12</v>
      </c>
      <c r="B32" s="1289">
        <v>3.48</v>
      </c>
      <c r="C32" s="1287"/>
      <c r="D32" s="1287"/>
      <c r="E32" s="1287"/>
      <c r="F32" s="1287"/>
      <c r="G32" s="1287"/>
      <c r="H32" s="1287"/>
    </row>
    <row r="33" spans="1:20" hidden="1" x14ac:dyDescent="0.25">
      <c r="A33" s="1288">
        <v>13</v>
      </c>
      <c r="B33" s="1289">
        <v>3.9</v>
      </c>
      <c r="C33" s="1287"/>
      <c r="D33" s="1287"/>
      <c r="E33" s="1287"/>
      <c r="F33" s="1287"/>
      <c r="G33" s="1287"/>
      <c r="H33" s="1287"/>
    </row>
    <row r="34" spans="1:20" hidden="1" x14ac:dyDescent="0.25">
      <c r="A34" s="1288">
        <v>14</v>
      </c>
      <c r="B34" s="1289">
        <v>4.37</v>
      </c>
      <c r="C34" s="1287"/>
      <c r="D34" s="1287"/>
      <c r="E34" s="1287"/>
      <c r="F34" s="1287"/>
      <c r="G34" s="1287"/>
      <c r="H34" s="1287"/>
    </row>
    <row r="35" spans="1:20" hidden="1" x14ac:dyDescent="0.25">
      <c r="A35" s="1288">
        <v>15</v>
      </c>
      <c r="B35" s="1289">
        <v>4.8899999999999997</v>
      </c>
      <c r="C35" s="1287"/>
      <c r="D35" s="1287"/>
      <c r="E35" s="1287"/>
      <c r="F35" s="1287"/>
      <c r="G35" s="1287"/>
      <c r="H35" s="1287"/>
    </row>
    <row r="36" spans="1:20" hidden="1" x14ac:dyDescent="0.25">
      <c r="A36" s="1288">
        <v>16</v>
      </c>
      <c r="B36" s="1289">
        <v>5.47</v>
      </c>
      <c r="C36" s="1287"/>
      <c r="D36" s="1287"/>
      <c r="E36" s="1287"/>
      <c r="F36" s="1287"/>
      <c r="G36" s="1287"/>
      <c r="H36" s="1287"/>
    </row>
    <row r="37" spans="1:20" hidden="1" x14ac:dyDescent="0.25">
      <c r="A37" s="1287"/>
      <c r="B37" s="1287"/>
      <c r="C37" s="1287"/>
      <c r="D37" s="1287"/>
      <c r="E37" s="1287"/>
      <c r="F37" s="1287"/>
      <c r="G37" s="1287"/>
      <c r="H37" s="1287"/>
    </row>
    <row r="38" spans="1:20" hidden="1" x14ac:dyDescent="0.25">
      <c r="A38" s="1287"/>
      <c r="B38" s="1287"/>
      <c r="C38" s="1287"/>
      <c r="D38" s="1287"/>
      <c r="E38" s="1287"/>
      <c r="F38" s="1287"/>
      <c r="G38" s="1287"/>
      <c r="H38" s="1287"/>
    </row>
    <row r="39" spans="1:20" x14ac:dyDescent="0.25">
      <c r="A39" s="1287"/>
      <c r="B39" s="1287"/>
      <c r="C39" s="1287"/>
      <c r="D39" s="1287"/>
      <c r="E39" s="1287"/>
      <c r="F39" s="1287"/>
      <c r="G39" s="1287"/>
      <c r="H39" s="1287"/>
    </row>
    <row r="40" spans="1:20" ht="18.75" x14ac:dyDescent="0.3">
      <c r="A40" s="5876" t="s">
        <v>3527</v>
      </c>
      <c r="B40" s="5876"/>
      <c r="C40" s="5876"/>
      <c r="D40" s="5876"/>
      <c r="E40" s="5876"/>
      <c r="F40" s="5876"/>
      <c r="G40" s="5876"/>
      <c r="H40" s="5876"/>
      <c r="I40" s="5876"/>
      <c r="J40" s="5876"/>
      <c r="K40" s="5876"/>
      <c r="L40" s="5876"/>
      <c r="M40" s="5876"/>
      <c r="N40" s="5876"/>
      <c r="O40" s="5876"/>
      <c r="P40" s="5876"/>
      <c r="Q40" s="5876"/>
      <c r="R40" s="5876"/>
      <c r="S40" s="5876"/>
      <c r="T40" s="5876"/>
    </row>
    <row r="41" spans="1:20" x14ac:dyDescent="0.25">
      <c r="A41" s="5877"/>
      <c r="B41" s="5877"/>
      <c r="C41" s="5877" t="s">
        <v>996</v>
      </c>
      <c r="D41" s="5877"/>
      <c r="E41" s="5877" t="s">
        <v>997</v>
      </c>
      <c r="F41" s="5877"/>
      <c r="G41" s="5877" t="s">
        <v>998</v>
      </c>
      <c r="H41" s="5877"/>
      <c r="I41" s="5877" t="s">
        <v>999</v>
      </c>
      <c r="J41" s="5877"/>
      <c r="K41" s="5877" t="s">
        <v>1000</v>
      </c>
      <c r="L41" s="5877"/>
      <c r="M41" s="5877" t="s">
        <v>1001</v>
      </c>
      <c r="N41" s="5877"/>
      <c r="O41" s="5877" t="s">
        <v>1002</v>
      </c>
      <c r="P41" s="5877"/>
      <c r="Q41" s="5877" t="s">
        <v>1003</v>
      </c>
      <c r="R41" s="5877"/>
      <c r="S41" s="5877" t="s">
        <v>1004</v>
      </c>
      <c r="T41" s="5877"/>
    </row>
    <row r="42" spans="1:20" x14ac:dyDescent="0.25">
      <c r="A42" s="5877"/>
      <c r="B42" s="5877"/>
      <c r="C42" s="2351" t="s">
        <v>44</v>
      </c>
      <c r="D42" s="2351" t="s">
        <v>1005</v>
      </c>
      <c r="E42" s="2351" t="s">
        <v>44</v>
      </c>
      <c r="F42" s="2351" t="s">
        <v>1005</v>
      </c>
      <c r="G42" s="2351" t="s">
        <v>44</v>
      </c>
      <c r="H42" s="2351" t="s">
        <v>1005</v>
      </c>
      <c r="I42" s="2351" t="s">
        <v>44</v>
      </c>
      <c r="J42" s="2351" t="s">
        <v>1005</v>
      </c>
      <c r="K42" s="2351" t="s">
        <v>44</v>
      </c>
      <c r="L42" s="2351" t="s">
        <v>1005</v>
      </c>
      <c r="M42" s="2351" t="s">
        <v>44</v>
      </c>
      <c r="N42" s="2351" t="s">
        <v>1005</v>
      </c>
      <c r="O42" s="2351" t="s">
        <v>44</v>
      </c>
      <c r="P42" s="2351" t="s">
        <v>1005</v>
      </c>
      <c r="Q42" s="2351" t="s">
        <v>44</v>
      </c>
      <c r="R42" s="2351" t="s">
        <v>1005</v>
      </c>
      <c r="S42" s="2351" t="s">
        <v>44</v>
      </c>
      <c r="T42" s="2351" t="s">
        <v>1005</v>
      </c>
    </row>
    <row r="43" spans="1:20" ht="30" customHeight="1" x14ac:dyDescent="0.25">
      <c r="A43" s="5874" t="s">
        <v>1842</v>
      </c>
      <c r="B43" s="5874"/>
      <c r="C43" s="2354"/>
      <c r="D43" s="2359">
        <v>10303</v>
      </c>
      <c r="E43" s="2354"/>
      <c r="F43" s="2359">
        <f>D43</f>
        <v>10303</v>
      </c>
      <c r="G43" s="2355"/>
      <c r="H43" s="2359">
        <f>F43</f>
        <v>10303</v>
      </c>
      <c r="I43" s="2354"/>
      <c r="J43" s="2359">
        <f>H43</f>
        <v>10303</v>
      </c>
      <c r="K43" s="2354"/>
      <c r="L43" s="2359">
        <f>J43</f>
        <v>10303</v>
      </c>
      <c r="M43" s="2354"/>
      <c r="N43" s="2359">
        <f>L43</f>
        <v>10303</v>
      </c>
      <c r="O43" s="2354"/>
      <c r="P43" s="2359">
        <f>N43</f>
        <v>10303</v>
      </c>
      <c r="Q43" s="2354"/>
      <c r="R43" s="2359">
        <f>P43</f>
        <v>10303</v>
      </c>
      <c r="S43" s="2354"/>
      <c r="T43" s="2359">
        <f>R43</f>
        <v>10303</v>
      </c>
    </row>
    <row r="44" spans="1:20" ht="30" customHeight="1" x14ac:dyDescent="0.25">
      <c r="A44" s="5875" t="s">
        <v>1008</v>
      </c>
      <c r="B44" s="5875"/>
      <c r="C44" s="2355"/>
      <c r="D44" s="2359">
        <v>1</v>
      </c>
      <c r="E44" s="2358"/>
      <c r="F44" s="2359">
        <f>B22</f>
        <v>1.1299999999999999</v>
      </c>
      <c r="G44" s="2355"/>
      <c r="H44" s="2359">
        <f>B23</f>
        <v>1.28</v>
      </c>
      <c r="I44" s="2358"/>
      <c r="J44" s="2359">
        <v>1.44</v>
      </c>
      <c r="K44" s="2358"/>
      <c r="L44" s="2359">
        <v>1.63</v>
      </c>
      <c r="M44" s="2358"/>
      <c r="N44" s="2359">
        <f>1.84</f>
        <v>1.84</v>
      </c>
      <c r="O44" s="2358"/>
      <c r="P44" s="2359">
        <v>2.08</v>
      </c>
      <c r="Q44" s="2358"/>
      <c r="R44" s="2359">
        <v>2.35</v>
      </c>
      <c r="S44" s="2355"/>
      <c r="T44" s="2359">
        <v>2.66</v>
      </c>
    </row>
    <row r="45" spans="1:20" ht="30" customHeight="1" x14ac:dyDescent="0.25">
      <c r="A45" s="5875" t="s">
        <v>1009</v>
      </c>
      <c r="B45" s="5875"/>
      <c r="C45" s="2354"/>
      <c r="D45" s="2359">
        <f>D43*D44</f>
        <v>10303</v>
      </c>
      <c r="E45" s="2354"/>
      <c r="F45" s="2359">
        <f>F43*F44</f>
        <v>11642.39</v>
      </c>
      <c r="G45" s="2355"/>
      <c r="H45" s="2359">
        <f>H43*H44</f>
        <v>13187.84</v>
      </c>
      <c r="I45" s="2354"/>
      <c r="J45" s="2359">
        <f>J43*J44</f>
        <v>14836.32</v>
      </c>
      <c r="K45" s="2354"/>
      <c r="L45" s="2359">
        <f>L43*L44</f>
        <v>16793.89</v>
      </c>
      <c r="M45" s="2354"/>
      <c r="N45" s="2359">
        <f>N43*N44</f>
        <v>18957.52</v>
      </c>
      <c r="O45" s="2354"/>
      <c r="P45" s="2359">
        <f>P43*P44</f>
        <v>21430.240000000002</v>
      </c>
      <c r="Q45" s="2354"/>
      <c r="R45" s="2359">
        <f>R43*R44</f>
        <v>24212.05</v>
      </c>
      <c r="S45" s="2354"/>
      <c r="T45" s="2359">
        <f>T43*T44</f>
        <v>27405.980000000003</v>
      </c>
    </row>
    <row r="46" spans="1:20" ht="45" customHeight="1" x14ac:dyDescent="0.25">
      <c r="A46" s="5875" t="s">
        <v>3531</v>
      </c>
      <c r="B46" s="5875"/>
      <c r="C46" s="2356">
        <v>0.125</v>
      </c>
      <c r="D46" s="2359">
        <f>D45*C46</f>
        <v>1287.875</v>
      </c>
      <c r="E46" s="2356">
        <v>0.125</v>
      </c>
      <c r="F46" s="2359">
        <f>F45*E46</f>
        <v>1455.2987499999999</v>
      </c>
      <c r="G46" s="2356">
        <v>0.125</v>
      </c>
      <c r="H46" s="2359">
        <f>H45*G46</f>
        <v>1648.48</v>
      </c>
      <c r="I46" s="2356">
        <v>0.125</v>
      </c>
      <c r="J46" s="2359">
        <f>J45*I46</f>
        <v>1854.54</v>
      </c>
      <c r="K46" s="2356">
        <v>0.125</v>
      </c>
      <c r="L46" s="2359">
        <f>L45*K46</f>
        <v>2099.2362499999999</v>
      </c>
      <c r="M46" s="2356">
        <v>0.125</v>
      </c>
      <c r="N46" s="2359">
        <f>N45*M46</f>
        <v>2369.69</v>
      </c>
      <c r="O46" s="2356">
        <v>0.125</v>
      </c>
      <c r="P46" s="2359">
        <f>P45*O46</f>
        <v>2678.78</v>
      </c>
      <c r="Q46" s="2356">
        <v>0.125</v>
      </c>
      <c r="R46" s="2359">
        <f>R45*Q46</f>
        <v>3026.5062499999999</v>
      </c>
      <c r="S46" s="2356">
        <v>0.125</v>
      </c>
      <c r="T46" s="2359">
        <f>T45*S46</f>
        <v>3425.7475000000004</v>
      </c>
    </row>
    <row r="47" spans="1:20" ht="30" customHeight="1" x14ac:dyDescent="0.25">
      <c r="A47" s="5875" t="s">
        <v>1011</v>
      </c>
      <c r="B47" s="5875"/>
      <c r="C47" s="2357">
        <v>0</v>
      </c>
      <c r="D47" s="2359">
        <f>D45*C47</f>
        <v>0</v>
      </c>
      <c r="E47" s="2357">
        <v>0.1</v>
      </c>
      <c r="F47" s="2359">
        <f>F45*E47</f>
        <v>1164.239</v>
      </c>
      <c r="G47" s="2357">
        <v>0.1</v>
      </c>
      <c r="H47" s="2359">
        <f>H45*G47</f>
        <v>1318.7840000000001</v>
      </c>
      <c r="I47" s="2357">
        <v>0.1</v>
      </c>
      <c r="J47" s="2359">
        <f>J45*I47</f>
        <v>1483.6320000000001</v>
      </c>
      <c r="K47" s="2357">
        <v>0.1</v>
      </c>
      <c r="L47" s="2359">
        <f>L45*K47</f>
        <v>1679.3890000000001</v>
      </c>
      <c r="M47" s="2357">
        <v>0.1</v>
      </c>
      <c r="N47" s="2359">
        <f>N45*M47</f>
        <v>1895.7520000000002</v>
      </c>
      <c r="O47" s="2357">
        <v>0.1</v>
      </c>
      <c r="P47" s="2359">
        <f>P45*O47</f>
        <v>2143.0240000000003</v>
      </c>
      <c r="Q47" s="2357">
        <v>0.1</v>
      </c>
      <c r="R47" s="2359">
        <f>R45*Q47</f>
        <v>2421.2049999999999</v>
      </c>
      <c r="S47" s="2357">
        <v>0.1</v>
      </c>
      <c r="T47" s="2359">
        <f>T45*S47</f>
        <v>2740.5980000000004</v>
      </c>
    </row>
    <row r="48" spans="1:20" ht="30" customHeight="1" x14ac:dyDescent="0.25">
      <c r="A48" s="5875" t="s">
        <v>1012</v>
      </c>
      <c r="B48" s="5875"/>
      <c r="C48" s="2357">
        <v>0</v>
      </c>
      <c r="D48" s="2359">
        <f>D45*C48</f>
        <v>0</v>
      </c>
      <c r="E48" s="2357">
        <v>0</v>
      </c>
      <c r="F48" s="2359">
        <f>F45*E48</f>
        <v>0</v>
      </c>
      <c r="G48" s="2357">
        <v>0</v>
      </c>
      <c r="H48" s="2359">
        <f>H45*G48</f>
        <v>0</v>
      </c>
      <c r="I48" s="2357">
        <v>0</v>
      </c>
      <c r="J48" s="2359">
        <f>J45*I48</f>
        <v>0</v>
      </c>
      <c r="K48" s="2357">
        <v>0</v>
      </c>
      <c r="L48" s="2359">
        <f>L45*K48</f>
        <v>0</v>
      </c>
      <c r="M48" s="2357">
        <v>0</v>
      </c>
      <c r="N48" s="2359">
        <f>N45*M48</f>
        <v>0</v>
      </c>
      <c r="O48" s="2357">
        <v>0</v>
      </c>
      <c r="P48" s="2359">
        <f>P45*O48</f>
        <v>0</v>
      </c>
      <c r="Q48" s="2357">
        <v>0</v>
      </c>
      <c r="R48" s="2359">
        <f>R45*Q48</f>
        <v>0</v>
      </c>
      <c r="S48" s="2357">
        <v>0</v>
      </c>
      <c r="T48" s="2359">
        <f>T45*S48</f>
        <v>0</v>
      </c>
    </row>
    <row r="49" spans="1:30" ht="30" customHeight="1" x14ac:dyDescent="0.25">
      <c r="A49" s="5875" t="s">
        <v>1013</v>
      </c>
      <c r="B49" s="5875"/>
      <c r="C49" s="2357">
        <v>0.15</v>
      </c>
      <c r="D49" s="2359">
        <f>D45*C49</f>
        <v>1545.45</v>
      </c>
      <c r="E49" s="2357">
        <v>0.15</v>
      </c>
      <c r="F49" s="2359">
        <f>F45*E49</f>
        <v>1746.3584999999998</v>
      </c>
      <c r="G49" s="2357">
        <v>0.15</v>
      </c>
      <c r="H49" s="2359">
        <f>H45*G49</f>
        <v>1978.1759999999999</v>
      </c>
      <c r="I49" s="2357">
        <v>0.15</v>
      </c>
      <c r="J49" s="2359">
        <f>J45*I49</f>
        <v>2225.4479999999999</v>
      </c>
      <c r="K49" s="2357">
        <v>0.15</v>
      </c>
      <c r="L49" s="2359">
        <f>L45*K49</f>
        <v>2519.0834999999997</v>
      </c>
      <c r="M49" s="2357">
        <v>0.15</v>
      </c>
      <c r="N49" s="2359">
        <f>N45*M49</f>
        <v>2843.6280000000002</v>
      </c>
      <c r="O49" s="2357">
        <v>0.15</v>
      </c>
      <c r="P49" s="2359">
        <f>P45*O49</f>
        <v>3214.5360000000001</v>
      </c>
      <c r="Q49" s="2357">
        <v>0.15</v>
      </c>
      <c r="R49" s="2359">
        <f>R45*Q49</f>
        <v>3631.8074999999999</v>
      </c>
      <c r="S49" s="2357">
        <v>0.15</v>
      </c>
      <c r="T49" s="2359">
        <f>T45*S49</f>
        <v>4110.8969999999999</v>
      </c>
    </row>
    <row r="50" spans="1:30" ht="30" customHeight="1" x14ac:dyDescent="0.25">
      <c r="A50" s="5875" t="s">
        <v>1014</v>
      </c>
      <c r="B50" s="5875"/>
      <c r="C50" s="2357">
        <v>0.2</v>
      </c>
      <c r="D50" s="2359">
        <f>(D45+D46+D47+D48+D49)*0.2</f>
        <v>2627.2650000000003</v>
      </c>
      <c r="E50" s="2357">
        <v>0.2</v>
      </c>
      <c r="F50" s="2359">
        <f>(F45+F46+F47+F48+F49)*0.2</f>
        <v>3201.6572500000002</v>
      </c>
      <c r="G50" s="2357">
        <v>0.2</v>
      </c>
      <c r="H50" s="2359">
        <f>(H45+H46+H47+H48+H49)*0.2</f>
        <v>3626.6559999999999</v>
      </c>
      <c r="I50" s="2357">
        <v>0.2</v>
      </c>
      <c r="J50" s="2359">
        <f>(J45+J46+J47+J48+J49)*0.2</f>
        <v>4079.9880000000007</v>
      </c>
      <c r="K50" s="2357">
        <v>0.2</v>
      </c>
      <c r="L50" s="2359">
        <f>(L45+L46+L47+L48+L49)*0.2</f>
        <v>4618.3197500000006</v>
      </c>
      <c r="M50" s="2357">
        <v>0.2</v>
      </c>
      <c r="N50" s="2359">
        <f>(N45+N46+N47+N48+N49)*0.2</f>
        <v>5213.3180000000002</v>
      </c>
      <c r="O50" s="2357">
        <v>0.2</v>
      </c>
      <c r="P50" s="2359">
        <f>(P45+P46+P47+P48+P49)*0.2</f>
        <v>5893.3160000000007</v>
      </c>
      <c r="Q50" s="2357">
        <v>0.2</v>
      </c>
      <c r="R50" s="2359">
        <f>(R45+R46+R47+R48+R49)*0.2</f>
        <v>6658.3137500000003</v>
      </c>
      <c r="S50" s="2357">
        <v>0.2</v>
      </c>
      <c r="T50" s="2359">
        <f>(T45+T46+T47+T48+T49)*0.2</f>
        <v>7536.6445000000012</v>
      </c>
    </row>
    <row r="51" spans="1:30" ht="30" customHeight="1" x14ac:dyDescent="0.25">
      <c r="A51" s="5875" t="s">
        <v>1015</v>
      </c>
      <c r="B51" s="5875"/>
      <c r="C51" s="2357">
        <v>0.5</v>
      </c>
      <c r="D51" s="2359">
        <f>(D45+D46+D47+D48+D49)*0.5</f>
        <v>6568.1625000000004</v>
      </c>
      <c r="E51" s="2357">
        <v>0.5</v>
      </c>
      <c r="F51" s="2359">
        <f>(F45+F46+F47+F48+F49)*0.5</f>
        <v>8004.1431249999996</v>
      </c>
      <c r="G51" s="2357">
        <v>0.5</v>
      </c>
      <c r="H51" s="2359">
        <f>(H45+H46+H47+H48+H49)*0.5</f>
        <v>9066.64</v>
      </c>
      <c r="I51" s="2357">
        <v>0.5</v>
      </c>
      <c r="J51" s="2359">
        <f>(J45+J46+J47+J48+J49)*0.5</f>
        <v>10199.970000000001</v>
      </c>
      <c r="K51" s="2357">
        <v>0.5</v>
      </c>
      <c r="L51" s="2359">
        <f>(L45+L46+L47+L48+L49)*0.5</f>
        <v>11545.799375000001</v>
      </c>
      <c r="M51" s="2357">
        <v>0.5</v>
      </c>
      <c r="N51" s="2359">
        <f>(N45+N46+N47+N48+N49)*0.5</f>
        <v>13033.295</v>
      </c>
      <c r="O51" s="2357">
        <v>0.5</v>
      </c>
      <c r="P51" s="2359">
        <f>(P45+P46+P47+P48+P49)*0.5</f>
        <v>14733.29</v>
      </c>
      <c r="Q51" s="2357">
        <v>0.5</v>
      </c>
      <c r="R51" s="2359">
        <f>(R45+R46+R47+R48+R49)*0.5</f>
        <v>16645.784374999999</v>
      </c>
      <c r="S51" s="2357">
        <v>0.5</v>
      </c>
      <c r="T51" s="2359">
        <f>(T45+T46+T47+T48+T49)*0.5</f>
        <v>18841.611250000002</v>
      </c>
    </row>
    <row r="52" spans="1:30" ht="30" customHeight="1" x14ac:dyDescent="0.25">
      <c r="A52" s="5873" t="s">
        <v>1016</v>
      </c>
      <c r="B52" s="5873"/>
      <c r="C52" s="2352"/>
      <c r="D52" s="2353">
        <f>D45+D46+D47+D48+D49+D50+D51</f>
        <v>22331.752500000002</v>
      </c>
      <c r="E52" s="2352"/>
      <c r="F52" s="2353">
        <f>F45+F46+F47+F48+F49+F50+F51</f>
        <v>27214.086625</v>
      </c>
      <c r="G52" s="2352"/>
      <c r="H52" s="2353">
        <f>H45+H46+H47+H48+H49+H50+H51</f>
        <v>30826.575999999997</v>
      </c>
      <c r="I52" s="2352"/>
      <c r="J52" s="2353">
        <f>J45+J46+J47+J48+J49+J50+J51</f>
        <v>34679.898000000001</v>
      </c>
      <c r="K52" s="2352"/>
      <c r="L52" s="2353">
        <f>L45+L46+L47+L48+L49+L50+L51</f>
        <v>39255.717875000002</v>
      </c>
      <c r="M52" s="2352"/>
      <c r="N52" s="2353">
        <f>N45+N46+N47+N48+N49+N50+N51</f>
        <v>44313.203000000001</v>
      </c>
      <c r="O52" s="2352"/>
      <c r="P52" s="2353">
        <f>P45+P46+P47+P48+P49+P50+P51</f>
        <v>50093.186000000002</v>
      </c>
      <c r="Q52" s="2352"/>
      <c r="R52" s="2353">
        <f>R45+R46+R47+R48+R49+R50+R51</f>
        <v>56595.666874999995</v>
      </c>
      <c r="S52" s="2352"/>
      <c r="T52" s="2353">
        <f>T45+T46+T47+T48+T49+T50+T51</f>
        <v>64061.478250000007</v>
      </c>
    </row>
    <row r="53" spans="1:30" x14ac:dyDescent="0.25">
      <c r="A53" s="2433"/>
      <c r="B53" s="2433"/>
      <c r="C53" s="2433"/>
      <c r="D53" s="2433"/>
      <c r="E53" s="2433"/>
      <c r="F53" s="2433"/>
      <c r="G53" s="2433"/>
      <c r="H53" s="2433"/>
      <c r="I53" s="2433"/>
      <c r="J53" s="2433"/>
      <c r="K53" s="2433"/>
      <c r="L53" s="2433"/>
      <c r="M53" s="2433"/>
      <c r="N53" s="2433"/>
      <c r="O53" s="2433"/>
      <c r="P53" s="2433"/>
      <c r="Q53" s="2433"/>
      <c r="R53" s="2433"/>
      <c r="S53" s="2433"/>
      <c r="T53" s="2433"/>
      <c r="U53" s="2433"/>
      <c r="V53" s="2433"/>
      <c r="W53" s="2433"/>
      <c r="X53" s="2433"/>
      <c r="Y53" s="2433"/>
      <c r="Z53" s="2433"/>
      <c r="AA53" s="2433"/>
      <c r="AB53" s="2433"/>
      <c r="AC53" s="2433"/>
      <c r="AD53" s="2433"/>
    </row>
    <row r="54" spans="1:30" hidden="1" x14ac:dyDescent="0.25">
      <c r="A54" s="5901"/>
      <c r="B54" s="5901"/>
      <c r="C54" s="2433"/>
      <c r="D54" s="2433"/>
      <c r="E54" s="2433"/>
      <c r="F54" s="2433"/>
      <c r="G54" s="2433"/>
      <c r="H54" s="2433"/>
      <c r="I54" s="2433"/>
      <c r="J54" s="2433"/>
      <c r="K54" s="2433"/>
      <c r="L54" s="2433"/>
      <c r="M54" s="2433"/>
      <c r="N54" s="2433"/>
      <c r="O54" s="2433"/>
      <c r="P54" s="2433"/>
      <c r="Q54" s="2433"/>
      <c r="R54" s="2433"/>
      <c r="S54" s="2433"/>
      <c r="T54" s="2433"/>
      <c r="U54" s="2433"/>
      <c r="V54" s="2433"/>
      <c r="W54" s="2433"/>
      <c r="X54" s="2433"/>
      <c r="Y54" s="2433"/>
      <c r="Z54" s="2433"/>
      <c r="AA54" s="2433"/>
      <c r="AB54" s="2433"/>
      <c r="AC54" s="2433"/>
      <c r="AD54" s="2433"/>
    </row>
    <row r="55" spans="1:30" ht="15" hidden="1" customHeight="1" x14ac:dyDescent="0.25">
      <c r="A55" s="2430" t="s">
        <v>82</v>
      </c>
      <c r="B55" s="2433">
        <f>'ср. разряд'!E15</f>
        <v>3.0952380952380953</v>
      </c>
      <c r="C55" s="2433"/>
      <c r="D55" s="2433"/>
      <c r="E55" s="2433"/>
      <c r="F55" s="2433"/>
      <c r="G55" s="2433"/>
      <c r="H55" s="2433"/>
      <c r="I55" s="2433"/>
      <c r="J55" s="2433"/>
      <c r="K55" s="2433"/>
      <c r="L55" s="2433"/>
      <c r="M55" s="2433"/>
      <c r="N55" s="2433"/>
      <c r="O55" s="2433"/>
      <c r="P55" s="2433"/>
      <c r="Q55" s="2433"/>
      <c r="R55" s="2433"/>
      <c r="S55" s="2433"/>
      <c r="T55" s="2433"/>
      <c r="U55" s="2433"/>
      <c r="V55" s="2433"/>
      <c r="W55" s="2433"/>
      <c r="X55" s="2433"/>
      <c r="Y55" s="2433"/>
      <c r="Z55" s="2433"/>
      <c r="AA55" s="2433"/>
      <c r="AB55" s="2433"/>
      <c r="AC55" s="2433"/>
      <c r="AD55" s="2433"/>
    </row>
    <row r="56" spans="1:30" ht="15" hidden="1" customHeight="1" x14ac:dyDescent="0.25">
      <c r="A56" s="2430" t="s">
        <v>83</v>
      </c>
      <c r="B56" s="2433">
        <f>'ср. разряд'!E20</f>
        <v>3.1063829787234041</v>
      </c>
      <c r="C56" s="2433"/>
      <c r="D56" s="2433"/>
      <c r="E56" s="2433"/>
      <c r="F56" s="2433"/>
      <c r="G56" s="2433"/>
      <c r="H56" s="2433"/>
      <c r="I56" s="2433"/>
      <c r="J56" s="2433"/>
      <c r="K56" s="2433"/>
      <c r="L56" s="2433"/>
      <c r="M56" s="2433"/>
      <c r="N56" s="2433"/>
      <c r="O56" s="2433"/>
      <c r="P56" s="2433"/>
      <c r="Q56" s="2433"/>
      <c r="R56" s="2433"/>
      <c r="S56" s="2433"/>
      <c r="T56" s="2433"/>
      <c r="U56" s="2433"/>
      <c r="V56" s="2433"/>
      <c r="W56" s="2433"/>
      <c r="X56" s="2433"/>
      <c r="Y56" s="2433"/>
      <c r="Z56" s="2433"/>
      <c r="AA56" s="2433"/>
      <c r="AB56" s="2433"/>
      <c r="AC56" s="2433"/>
      <c r="AD56" s="2433"/>
    </row>
    <row r="57" spans="1:30" ht="25.5" hidden="1" customHeight="1" x14ac:dyDescent="0.25">
      <c r="A57" s="2430" t="s">
        <v>84</v>
      </c>
      <c r="B57" s="2433"/>
      <c r="C57" s="2433"/>
      <c r="D57" s="2433"/>
      <c r="E57" s="2433"/>
      <c r="F57" s="2433"/>
      <c r="G57" s="2433"/>
      <c r="H57" s="2433"/>
      <c r="I57" s="2433"/>
      <c r="J57" s="2433"/>
      <c r="K57" s="2433"/>
      <c r="L57" s="2433"/>
      <c r="M57" s="2433"/>
      <c r="N57" s="2433"/>
      <c r="O57" s="2433"/>
      <c r="P57" s="2433"/>
      <c r="Q57" s="2433"/>
      <c r="R57" s="2433"/>
      <c r="S57" s="2433"/>
      <c r="T57" s="2433"/>
      <c r="U57" s="2433"/>
      <c r="V57" s="2433"/>
      <c r="W57" s="2433"/>
      <c r="X57" s="2433"/>
      <c r="Y57" s="2433"/>
      <c r="Z57" s="2433"/>
      <c r="AA57" s="2433"/>
      <c r="AB57" s="2433"/>
      <c r="AC57" s="2433"/>
      <c r="AD57" s="2433"/>
    </row>
    <row r="58" spans="1:30" ht="15" hidden="1" customHeight="1" x14ac:dyDescent="0.25">
      <c r="A58" s="2430" t="s">
        <v>85</v>
      </c>
      <c r="B58" s="2433"/>
      <c r="C58" s="2433"/>
      <c r="D58" s="2433"/>
      <c r="E58" s="2433"/>
      <c r="F58" s="2433"/>
      <c r="G58" s="2433"/>
      <c r="H58" s="2433"/>
      <c r="I58" s="2433"/>
      <c r="J58" s="2433"/>
      <c r="K58" s="2433"/>
      <c r="L58" s="2433"/>
      <c r="M58" s="2433"/>
      <c r="N58" s="2433"/>
      <c r="O58" s="2433"/>
      <c r="P58" s="2433"/>
      <c r="Q58" s="2433"/>
      <c r="R58" s="2433"/>
      <c r="S58" s="2433"/>
      <c r="T58" s="2433"/>
      <c r="U58" s="2433"/>
      <c r="V58" s="2433"/>
      <c r="W58" s="2433"/>
      <c r="X58" s="2433"/>
      <c r="Y58" s="2433"/>
      <c r="Z58" s="2433"/>
      <c r="AA58" s="2433"/>
      <c r="AB58" s="2433"/>
      <c r="AC58" s="2433"/>
      <c r="AD58" s="2433"/>
    </row>
    <row r="59" spans="1:30" ht="15" hidden="1" customHeight="1" x14ac:dyDescent="0.25">
      <c r="A59" s="2430" t="s">
        <v>1961</v>
      </c>
      <c r="B59" s="2433"/>
      <c r="C59" s="2433"/>
      <c r="D59" s="2433"/>
      <c r="E59" s="2433"/>
      <c r="F59" s="2433"/>
      <c r="G59" s="2433"/>
      <c r="H59" s="2433"/>
      <c r="I59" s="2433"/>
      <c r="J59" s="2433"/>
      <c r="K59" s="2433"/>
      <c r="L59" s="2433"/>
      <c r="M59" s="2433"/>
      <c r="N59" s="2433"/>
      <c r="O59" s="2433"/>
      <c r="P59" s="2433"/>
      <c r="Q59" s="2433"/>
      <c r="R59" s="2433"/>
      <c r="S59" s="2433"/>
      <c r="T59" s="2433"/>
      <c r="U59" s="2433"/>
      <c r="V59" s="2433"/>
      <c r="W59" s="2433"/>
      <c r="X59" s="2433"/>
      <c r="Y59" s="2433"/>
      <c r="Z59" s="2433"/>
      <c r="AA59" s="2433"/>
      <c r="AB59" s="2433"/>
      <c r="AC59" s="2433"/>
      <c r="AD59" s="2433"/>
    </row>
    <row r="60" spans="1:30" ht="18.75" x14ac:dyDescent="0.3">
      <c r="A60" s="5876" t="s">
        <v>3529</v>
      </c>
      <c r="B60" s="5876"/>
      <c r="C60" s="5876"/>
      <c r="D60" s="5876"/>
      <c r="E60" s="5876"/>
      <c r="F60" s="5876"/>
      <c r="G60" s="5876"/>
      <c r="H60" s="5876"/>
      <c r="I60" s="5876"/>
      <c r="J60" s="5876"/>
      <c r="K60" s="5876"/>
      <c r="L60" s="5876"/>
      <c r="M60" s="5876"/>
      <c r="N60" s="5876"/>
      <c r="O60" s="5876"/>
      <c r="P60" s="5876"/>
      <c r="Q60" s="5876"/>
      <c r="R60" s="5876"/>
      <c r="S60" s="5876"/>
      <c r="T60" s="5876"/>
    </row>
    <row r="61" spans="1:30" x14ac:dyDescent="0.25">
      <c r="A61" s="5877"/>
      <c r="B61" s="5877"/>
      <c r="C61" s="5877" t="s">
        <v>996</v>
      </c>
      <c r="D61" s="5877"/>
      <c r="E61" s="5877" t="s">
        <v>997</v>
      </c>
      <c r="F61" s="5877"/>
      <c r="G61" s="5877" t="s">
        <v>998</v>
      </c>
      <c r="H61" s="5877"/>
      <c r="I61" s="5877" t="s">
        <v>999</v>
      </c>
      <c r="J61" s="5877"/>
      <c r="K61" s="5877" t="s">
        <v>1000</v>
      </c>
      <c r="L61" s="5877"/>
      <c r="M61" s="5877" t="s">
        <v>1001</v>
      </c>
      <c r="N61" s="5877"/>
      <c r="O61" s="5877" t="s">
        <v>1002</v>
      </c>
      <c r="P61" s="5877"/>
      <c r="Q61" s="5877" t="s">
        <v>1003</v>
      </c>
      <c r="R61" s="5877"/>
      <c r="S61" s="5877" t="s">
        <v>1004</v>
      </c>
      <c r="T61" s="5877"/>
    </row>
    <row r="62" spans="1:30" x14ac:dyDescent="0.25">
      <c r="A62" s="5877"/>
      <c r="B62" s="5877"/>
      <c r="C62" s="2432" t="s">
        <v>44</v>
      </c>
      <c r="D62" s="2432" t="s">
        <v>1005</v>
      </c>
      <c r="E62" s="2432" t="s">
        <v>44</v>
      </c>
      <c r="F62" s="2432" t="s">
        <v>1005</v>
      </c>
      <c r="G62" s="2432" t="s">
        <v>44</v>
      </c>
      <c r="H62" s="2432" t="s">
        <v>1005</v>
      </c>
      <c r="I62" s="2432" t="s">
        <v>44</v>
      </c>
      <c r="J62" s="2432" t="s">
        <v>1005</v>
      </c>
      <c r="K62" s="2432" t="s">
        <v>44</v>
      </c>
      <c r="L62" s="2432" t="s">
        <v>1005</v>
      </c>
      <c r="M62" s="2432" t="s">
        <v>44</v>
      </c>
      <c r="N62" s="2432" t="s">
        <v>1005</v>
      </c>
      <c r="O62" s="2432" t="s">
        <v>44</v>
      </c>
      <c r="P62" s="2432" t="s">
        <v>1005</v>
      </c>
      <c r="Q62" s="2432" t="s">
        <v>44</v>
      </c>
      <c r="R62" s="2432" t="s">
        <v>1005</v>
      </c>
      <c r="S62" s="2432" t="s">
        <v>44</v>
      </c>
      <c r="T62" s="2432" t="s">
        <v>1005</v>
      </c>
    </row>
    <row r="63" spans="1:30" ht="30" customHeight="1" x14ac:dyDescent="0.25">
      <c r="A63" s="5874" t="s">
        <v>3530</v>
      </c>
      <c r="B63" s="5874"/>
      <c r="C63" s="2354"/>
      <c r="D63" s="2359">
        <f>SUM(D43*1.046)</f>
        <v>10776.938</v>
      </c>
      <c r="E63" s="2354"/>
      <c r="F63" s="2359">
        <f>D63</f>
        <v>10776.938</v>
      </c>
      <c r="G63" s="2355"/>
      <c r="H63" s="2359">
        <f>F63</f>
        <v>10776.938</v>
      </c>
      <c r="I63" s="2354"/>
      <c r="J63" s="2359">
        <f>H63</f>
        <v>10776.938</v>
      </c>
      <c r="K63" s="2354"/>
      <c r="L63" s="2359">
        <f>J63</f>
        <v>10776.938</v>
      </c>
      <c r="M63" s="2354"/>
      <c r="N63" s="2359">
        <f>L63</f>
        <v>10776.938</v>
      </c>
      <c r="O63" s="2354"/>
      <c r="P63" s="2359">
        <f>N63</f>
        <v>10776.938</v>
      </c>
      <c r="Q63" s="2354"/>
      <c r="R63" s="2359">
        <f>P63</f>
        <v>10776.938</v>
      </c>
      <c r="S63" s="2354"/>
      <c r="T63" s="2359">
        <f>R63</f>
        <v>10776.938</v>
      </c>
    </row>
    <row r="64" spans="1:30" ht="30" customHeight="1" x14ac:dyDescent="0.25">
      <c r="A64" s="5875" t="s">
        <v>1008</v>
      </c>
      <c r="B64" s="5875"/>
      <c r="C64" s="2355"/>
      <c r="D64" s="2359">
        <v>1</v>
      </c>
      <c r="E64" s="2358"/>
      <c r="F64" s="2359">
        <f>SUM(F44)</f>
        <v>1.1299999999999999</v>
      </c>
      <c r="G64" s="2355"/>
      <c r="H64" s="2359">
        <f>SUM(H44)</f>
        <v>1.28</v>
      </c>
      <c r="I64" s="2358"/>
      <c r="J64" s="2359">
        <f>SUM(J44)</f>
        <v>1.44</v>
      </c>
      <c r="K64" s="2358"/>
      <c r="L64" s="2359">
        <f>SUM(L44)</f>
        <v>1.63</v>
      </c>
      <c r="M64" s="2358"/>
      <c r="N64" s="2359">
        <f>SUM(N44)</f>
        <v>1.84</v>
      </c>
      <c r="O64" s="2358"/>
      <c r="P64" s="2359">
        <f>SUM(P44)</f>
        <v>2.08</v>
      </c>
      <c r="Q64" s="2358"/>
      <c r="R64" s="2359">
        <f>SUM(R44)</f>
        <v>2.35</v>
      </c>
      <c r="S64" s="2355"/>
      <c r="T64" s="2359">
        <f>SUM(T44)</f>
        <v>2.66</v>
      </c>
    </row>
    <row r="65" spans="1:20" ht="30" customHeight="1" x14ac:dyDescent="0.25">
      <c r="A65" s="5875" t="s">
        <v>1009</v>
      </c>
      <c r="B65" s="5875"/>
      <c r="C65" s="2354"/>
      <c r="D65" s="2359">
        <f>D63*D64</f>
        <v>10776.938</v>
      </c>
      <c r="E65" s="2354"/>
      <c r="F65" s="2359">
        <f>F63*F64</f>
        <v>12177.939939999998</v>
      </c>
      <c r="G65" s="2355"/>
      <c r="H65" s="2359">
        <f>H63*H64</f>
        <v>13794.48064</v>
      </c>
      <c r="I65" s="2354"/>
      <c r="J65" s="2359">
        <f>J63*J64</f>
        <v>15518.790719999999</v>
      </c>
      <c r="K65" s="2354"/>
      <c r="L65" s="2359">
        <f>L63*L64</f>
        <v>17566.408939999998</v>
      </c>
      <c r="M65" s="2354"/>
      <c r="N65" s="2359">
        <f>N63*N64</f>
        <v>19829.565920000001</v>
      </c>
      <c r="O65" s="2354"/>
      <c r="P65" s="2359">
        <f>P63*P64</f>
        <v>22416.031040000002</v>
      </c>
      <c r="Q65" s="2354"/>
      <c r="R65" s="2359">
        <f>R63*R64</f>
        <v>25325.8043</v>
      </c>
      <c r="S65" s="2354"/>
      <c r="T65" s="2359">
        <f>T63*T64</f>
        <v>28666.65508</v>
      </c>
    </row>
    <row r="66" spans="1:20" ht="45" customHeight="1" x14ac:dyDescent="0.25">
      <c r="A66" s="5875" t="s">
        <v>3531</v>
      </c>
      <c r="B66" s="5875"/>
      <c r="C66" s="2356">
        <v>0.125</v>
      </c>
      <c r="D66" s="2359">
        <f>D65*C66</f>
        <v>1347.11725</v>
      </c>
      <c r="E66" s="2356">
        <v>0.125</v>
      </c>
      <c r="F66" s="2359">
        <f>F65*E66</f>
        <v>1522.2424924999998</v>
      </c>
      <c r="G66" s="2356">
        <v>0.125</v>
      </c>
      <c r="H66" s="2359">
        <f>H65*G66</f>
        <v>1724.31008</v>
      </c>
      <c r="I66" s="2356">
        <v>0.125</v>
      </c>
      <c r="J66" s="2359">
        <f>J65*I66</f>
        <v>1939.8488399999999</v>
      </c>
      <c r="K66" s="2356">
        <v>0.125</v>
      </c>
      <c r="L66" s="2359">
        <f>L65*K66</f>
        <v>2195.8011174999997</v>
      </c>
      <c r="M66" s="2356">
        <v>0.125</v>
      </c>
      <c r="N66" s="2359">
        <f>N65*M66</f>
        <v>2478.6957400000001</v>
      </c>
      <c r="O66" s="2356">
        <v>0.125</v>
      </c>
      <c r="P66" s="2359">
        <f>P65*O66</f>
        <v>2802.0038800000002</v>
      </c>
      <c r="Q66" s="2356">
        <v>0.125</v>
      </c>
      <c r="R66" s="2359">
        <f>R65*Q66</f>
        <v>3165.7255375</v>
      </c>
      <c r="S66" s="2356">
        <v>0.125</v>
      </c>
      <c r="T66" s="2359">
        <f>T65*S66</f>
        <v>3583.3318850000001</v>
      </c>
    </row>
    <row r="67" spans="1:20" ht="30" customHeight="1" x14ac:dyDescent="0.25">
      <c r="A67" s="5875" t="s">
        <v>1011</v>
      </c>
      <c r="B67" s="5875"/>
      <c r="C67" s="2357">
        <v>0</v>
      </c>
      <c r="D67" s="2359">
        <f>D65*C67</f>
        <v>0</v>
      </c>
      <c r="E67" s="2357">
        <v>0.1</v>
      </c>
      <c r="F67" s="2359">
        <f>F65*E67</f>
        <v>1217.7939939999999</v>
      </c>
      <c r="G67" s="2357">
        <v>0.1</v>
      </c>
      <c r="H67" s="2359">
        <f>H65*G67</f>
        <v>1379.4480640000002</v>
      </c>
      <c r="I67" s="2357">
        <v>0.1</v>
      </c>
      <c r="J67" s="2359">
        <f>J65*I67</f>
        <v>1551.879072</v>
      </c>
      <c r="K67" s="2357">
        <v>0.1</v>
      </c>
      <c r="L67" s="2359">
        <f>L65*K67</f>
        <v>1756.6408939999999</v>
      </c>
      <c r="M67" s="2357">
        <v>0.1</v>
      </c>
      <c r="N67" s="2359">
        <f>N65*M67</f>
        <v>1982.9565920000002</v>
      </c>
      <c r="O67" s="2357">
        <v>0.1</v>
      </c>
      <c r="P67" s="2359">
        <f>P65*O67</f>
        <v>2241.6031040000003</v>
      </c>
      <c r="Q67" s="2357">
        <v>0.1</v>
      </c>
      <c r="R67" s="2359">
        <f>R65*Q67</f>
        <v>2532.58043</v>
      </c>
      <c r="S67" s="2357">
        <v>0.1</v>
      </c>
      <c r="T67" s="2359">
        <f>T65*S67</f>
        <v>2866.665508</v>
      </c>
    </row>
    <row r="68" spans="1:20" ht="30" customHeight="1" x14ac:dyDescent="0.25">
      <c r="A68" s="5875" t="s">
        <v>1012</v>
      </c>
      <c r="B68" s="5875"/>
      <c r="C68" s="2357">
        <v>0</v>
      </c>
      <c r="D68" s="2359">
        <f>D65*C68</f>
        <v>0</v>
      </c>
      <c r="E68" s="2357">
        <v>0</v>
      </c>
      <c r="F68" s="2359">
        <f>F65*E68</f>
        <v>0</v>
      </c>
      <c r="G68" s="2357">
        <v>0</v>
      </c>
      <c r="H68" s="2359">
        <f>H65*G68</f>
        <v>0</v>
      </c>
      <c r="I68" s="2357">
        <v>0</v>
      </c>
      <c r="J68" s="2359">
        <f>J65*I68</f>
        <v>0</v>
      </c>
      <c r="K68" s="2357">
        <v>0</v>
      </c>
      <c r="L68" s="2359">
        <f>L65*K68</f>
        <v>0</v>
      </c>
      <c r="M68" s="2357">
        <v>0</v>
      </c>
      <c r="N68" s="2359">
        <f>N65*M68</f>
        <v>0</v>
      </c>
      <c r="O68" s="2357">
        <v>0</v>
      </c>
      <c r="P68" s="2359">
        <f>P65*O68</f>
        <v>0</v>
      </c>
      <c r="Q68" s="2357">
        <v>0</v>
      </c>
      <c r="R68" s="2359">
        <f>R65*Q68</f>
        <v>0</v>
      </c>
      <c r="S68" s="2357">
        <v>0</v>
      </c>
      <c r="T68" s="2359">
        <f>T65*S68</f>
        <v>0</v>
      </c>
    </row>
    <row r="69" spans="1:20" ht="30" customHeight="1" x14ac:dyDescent="0.25">
      <c r="A69" s="5875" t="s">
        <v>1013</v>
      </c>
      <c r="B69" s="5875"/>
      <c r="C69" s="2357">
        <v>0.15</v>
      </c>
      <c r="D69" s="2359">
        <f>D65*C69</f>
        <v>1616.5407</v>
      </c>
      <c r="E69" s="2357">
        <v>0.15</v>
      </c>
      <c r="F69" s="2359">
        <f>F65*E69</f>
        <v>1826.6909909999997</v>
      </c>
      <c r="G69" s="2357">
        <v>0.15</v>
      </c>
      <c r="H69" s="2359">
        <f>H65*G69</f>
        <v>2069.1720959999998</v>
      </c>
      <c r="I69" s="2357">
        <v>0.15</v>
      </c>
      <c r="J69" s="2359">
        <f>J65*I69</f>
        <v>2327.8186079999996</v>
      </c>
      <c r="K69" s="2357">
        <v>0.15</v>
      </c>
      <c r="L69" s="2359">
        <f>L65*K69</f>
        <v>2634.9613409999997</v>
      </c>
      <c r="M69" s="2357">
        <v>0.15</v>
      </c>
      <c r="N69" s="2359">
        <f>N65*M69</f>
        <v>2974.4348880000002</v>
      </c>
      <c r="O69" s="2357">
        <v>0.15</v>
      </c>
      <c r="P69" s="2359">
        <f>P65*O69</f>
        <v>3362.4046560000002</v>
      </c>
      <c r="Q69" s="2357">
        <v>0.15</v>
      </c>
      <c r="R69" s="2359">
        <f>R65*Q69</f>
        <v>3798.870645</v>
      </c>
      <c r="S69" s="2357">
        <v>0.15</v>
      </c>
      <c r="T69" s="2359">
        <f>T65*S69</f>
        <v>4299.9982620000001</v>
      </c>
    </row>
    <row r="70" spans="1:20" ht="30" customHeight="1" x14ac:dyDescent="0.25">
      <c r="A70" s="5875" t="s">
        <v>1014</v>
      </c>
      <c r="B70" s="5875"/>
      <c r="C70" s="2357">
        <v>0.2</v>
      </c>
      <c r="D70" s="2359">
        <f>(D65+D66+D67+D68+D69)*0.2</f>
        <v>2748.1191899999999</v>
      </c>
      <c r="E70" s="2357">
        <v>0.2</v>
      </c>
      <c r="F70" s="2359">
        <f>(F65+F66+F67+F68+F69)*0.2</f>
        <v>3348.9334834999995</v>
      </c>
      <c r="G70" s="2357">
        <v>0.2</v>
      </c>
      <c r="H70" s="2359">
        <f>(H65+H66+H67+H68+H69)*0.2</f>
        <v>3793.482176</v>
      </c>
      <c r="I70" s="2357">
        <v>0.2</v>
      </c>
      <c r="J70" s="2359">
        <f>(J65+J66+J67+J68+J69)*0.2</f>
        <v>4267.6674480000001</v>
      </c>
      <c r="K70" s="2357">
        <v>0.2</v>
      </c>
      <c r="L70" s="2359">
        <f>(L65+L66+L67+L68+L69)*0.2</f>
        <v>4830.7624584999994</v>
      </c>
      <c r="M70" s="2357">
        <v>0.2</v>
      </c>
      <c r="N70" s="2359">
        <f>(N65+N66+N67+N68+N69)*0.2</f>
        <v>5453.1306279999999</v>
      </c>
      <c r="O70" s="2357">
        <v>0.2</v>
      </c>
      <c r="P70" s="2359">
        <f>(P65+P66+P67+P68+P69)*0.2</f>
        <v>6164.4085360000008</v>
      </c>
      <c r="Q70" s="2357">
        <v>0.2</v>
      </c>
      <c r="R70" s="2359">
        <f>(R65+R66+R67+R68+R69)*0.2</f>
        <v>6964.5961825000013</v>
      </c>
      <c r="S70" s="2357">
        <v>0.2</v>
      </c>
      <c r="T70" s="2359">
        <f>(T65+T66+T67+T68+T69)*0.2</f>
        <v>7883.3301470000006</v>
      </c>
    </row>
    <row r="71" spans="1:20" ht="30" customHeight="1" x14ac:dyDescent="0.25">
      <c r="A71" s="5875" t="s">
        <v>1015</v>
      </c>
      <c r="B71" s="5875"/>
      <c r="C71" s="2357">
        <v>0.5</v>
      </c>
      <c r="D71" s="2359">
        <f>(D65+D66+D67+D68+D69)*0.5</f>
        <v>6870.2979749999995</v>
      </c>
      <c r="E71" s="2357">
        <v>0.5</v>
      </c>
      <c r="F71" s="2359">
        <f>(F65+F66+F67+F68+F69)*0.5</f>
        <v>8372.3337087499986</v>
      </c>
      <c r="G71" s="2357">
        <v>0.5</v>
      </c>
      <c r="H71" s="2359">
        <f>(H65+H66+H67+H68+H69)*0.5</f>
        <v>9483.7054399999997</v>
      </c>
      <c r="I71" s="2357">
        <v>0.5</v>
      </c>
      <c r="J71" s="2359">
        <f>(J65+J66+J67+J68+J69)*0.5</f>
        <v>10669.16862</v>
      </c>
      <c r="K71" s="2357">
        <v>0.5</v>
      </c>
      <c r="L71" s="2359">
        <f>(L65+L66+L67+L68+L69)*0.5</f>
        <v>12076.906146249998</v>
      </c>
      <c r="M71" s="2357">
        <v>0.5</v>
      </c>
      <c r="N71" s="2359">
        <f>(N65+N66+N67+N68+N69)*0.5</f>
        <v>13632.826569999999</v>
      </c>
      <c r="O71" s="2357">
        <v>0.5</v>
      </c>
      <c r="P71" s="2359">
        <f>(P65+P66+P67+P68+P69)*0.5</f>
        <v>15411.021340000001</v>
      </c>
      <c r="Q71" s="2357">
        <v>0.5</v>
      </c>
      <c r="R71" s="2359">
        <f>(R65+R66+R67+R68+R69)*0.5</f>
        <v>17411.490456250001</v>
      </c>
      <c r="S71" s="2357">
        <v>0.5</v>
      </c>
      <c r="T71" s="2359">
        <f>(T65+T66+T67+T68+T69)*0.5</f>
        <v>19708.325367500001</v>
      </c>
    </row>
    <row r="72" spans="1:20" ht="30" customHeight="1" x14ac:dyDescent="0.25">
      <c r="A72" s="5873" t="s">
        <v>1016</v>
      </c>
      <c r="B72" s="5873"/>
      <c r="C72" s="2352"/>
      <c r="D72" s="2353">
        <f>D65+D66+D67+D68+D69+D70+D71</f>
        <v>23359.013115000002</v>
      </c>
      <c r="E72" s="2352"/>
      <c r="F72" s="2353">
        <f>F65+F66+F67+F68+F69+F70+F71</f>
        <v>28465.934609749995</v>
      </c>
      <c r="G72" s="2352"/>
      <c r="H72" s="2353">
        <f>H65+H66+H67+H68+H69+H70+H71</f>
        <v>32244.598495999999</v>
      </c>
      <c r="I72" s="2352"/>
      <c r="J72" s="2353">
        <f>J65+J66+J67+J68+J69+J70+J71</f>
        <v>36275.173307999998</v>
      </c>
      <c r="K72" s="2352"/>
      <c r="L72" s="2353">
        <f>L65+L66+L67+L68+L69+L70+L71</f>
        <v>41061.480897249989</v>
      </c>
      <c r="M72" s="2352"/>
      <c r="N72" s="2353">
        <f>N65+N66+N67+N68+N69+N70+N71</f>
        <v>46351.610337999999</v>
      </c>
      <c r="O72" s="2352"/>
      <c r="P72" s="2353">
        <f>P65+P66+P67+P68+P69+P70+P71</f>
        <v>52397.472556000001</v>
      </c>
      <c r="Q72" s="2352"/>
      <c r="R72" s="2353">
        <f>R65+R66+R67+R68+R69+R70+R71</f>
        <v>59199.067551250002</v>
      </c>
      <c r="S72" s="2352"/>
      <c r="T72" s="2353">
        <f>T65+T66+T67+T68+T69+T70+T71</f>
        <v>67008.306249500005</v>
      </c>
    </row>
    <row r="74" spans="1:20" ht="18.75" x14ac:dyDescent="0.3">
      <c r="A74" s="5876" t="s">
        <v>3848</v>
      </c>
      <c r="B74" s="5876"/>
      <c r="C74" s="5876"/>
      <c r="D74" s="5876"/>
      <c r="E74" s="5876"/>
      <c r="F74" s="5876"/>
      <c r="G74" s="5876"/>
      <c r="H74" s="5876"/>
      <c r="I74" s="5876"/>
      <c r="J74" s="5876"/>
      <c r="K74" s="5876"/>
      <c r="L74" s="5876"/>
      <c r="M74" s="5876"/>
      <c r="N74" s="5876"/>
      <c r="O74" s="5876"/>
      <c r="P74" s="5876"/>
      <c r="Q74" s="5876"/>
      <c r="R74" s="5876"/>
      <c r="S74" s="5876"/>
      <c r="T74" s="5876"/>
    </row>
    <row r="75" spans="1:20" x14ac:dyDescent="0.25">
      <c r="A75" s="5877"/>
      <c r="B75" s="5877"/>
      <c r="C75" s="5877" t="s">
        <v>996</v>
      </c>
      <c r="D75" s="5877"/>
      <c r="E75" s="5877" t="s">
        <v>997</v>
      </c>
      <c r="F75" s="5877"/>
      <c r="G75" s="5877" t="s">
        <v>998</v>
      </c>
      <c r="H75" s="5877"/>
      <c r="I75" s="5877" t="s">
        <v>999</v>
      </c>
      <c r="J75" s="5877"/>
      <c r="K75" s="5877" t="s">
        <v>1000</v>
      </c>
      <c r="L75" s="5877"/>
      <c r="M75" s="5877" t="s">
        <v>1001</v>
      </c>
      <c r="N75" s="5877"/>
      <c r="O75" s="5877" t="s">
        <v>1002</v>
      </c>
      <c r="P75" s="5877"/>
      <c r="Q75" s="5877" t="s">
        <v>1003</v>
      </c>
      <c r="R75" s="5877"/>
      <c r="S75" s="5877" t="s">
        <v>1004</v>
      </c>
      <c r="T75" s="5877"/>
    </row>
    <row r="76" spans="1:20" x14ac:dyDescent="0.25">
      <c r="A76" s="5877"/>
      <c r="B76" s="5877"/>
      <c r="C76" s="3040" t="s">
        <v>44</v>
      </c>
      <c r="D76" s="3040" t="s">
        <v>1005</v>
      </c>
      <c r="E76" s="3040" t="s">
        <v>44</v>
      </c>
      <c r="F76" s="3040" t="s">
        <v>1005</v>
      </c>
      <c r="G76" s="3040" t="s">
        <v>44</v>
      </c>
      <c r="H76" s="3040" t="s">
        <v>1005</v>
      </c>
      <c r="I76" s="3040" t="s">
        <v>44</v>
      </c>
      <c r="J76" s="3040" t="s">
        <v>1005</v>
      </c>
      <c r="K76" s="3040" t="s">
        <v>44</v>
      </c>
      <c r="L76" s="3040" t="s">
        <v>1005</v>
      </c>
      <c r="M76" s="3040" t="s">
        <v>44</v>
      </c>
      <c r="N76" s="3040" t="s">
        <v>1005</v>
      </c>
      <c r="O76" s="3040" t="s">
        <v>44</v>
      </c>
      <c r="P76" s="3040" t="s">
        <v>1005</v>
      </c>
      <c r="Q76" s="3040" t="s">
        <v>44</v>
      </c>
      <c r="R76" s="3040" t="s">
        <v>1005</v>
      </c>
      <c r="S76" s="3040" t="s">
        <v>44</v>
      </c>
      <c r="T76" s="3040" t="s">
        <v>1005</v>
      </c>
    </row>
    <row r="77" spans="1:20" ht="30" customHeight="1" x14ac:dyDescent="0.25">
      <c r="A77" s="5874" t="s">
        <v>3849</v>
      </c>
      <c r="B77" s="5874"/>
      <c r="C77" s="2354"/>
      <c r="D77" s="2359">
        <f>12130*1.046</f>
        <v>12687.980000000001</v>
      </c>
      <c r="E77" s="2354"/>
      <c r="F77" s="2359">
        <f>D77</f>
        <v>12687.980000000001</v>
      </c>
      <c r="G77" s="2355"/>
      <c r="H77" s="2359">
        <f>F77</f>
        <v>12687.980000000001</v>
      </c>
      <c r="I77" s="2354"/>
      <c r="J77" s="2359">
        <f>H77</f>
        <v>12687.980000000001</v>
      </c>
      <c r="K77" s="2354"/>
      <c r="L77" s="2359">
        <f>J77</f>
        <v>12687.980000000001</v>
      </c>
      <c r="M77" s="2354"/>
      <c r="N77" s="2359">
        <f>L77</f>
        <v>12687.980000000001</v>
      </c>
      <c r="O77" s="2354"/>
      <c r="P77" s="2359">
        <f>N77</f>
        <v>12687.980000000001</v>
      </c>
      <c r="Q77" s="2354"/>
      <c r="R77" s="2359">
        <f>P77</f>
        <v>12687.980000000001</v>
      </c>
      <c r="S77" s="2354"/>
      <c r="T77" s="2359">
        <f>R77</f>
        <v>12687.980000000001</v>
      </c>
    </row>
    <row r="78" spans="1:20" ht="30" customHeight="1" x14ac:dyDescent="0.25">
      <c r="A78" s="5875" t="s">
        <v>1008</v>
      </c>
      <c r="B78" s="5875"/>
      <c r="C78" s="2355"/>
      <c r="D78" s="2359">
        <v>1</v>
      </c>
      <c r="E78" s="2358"/>
      <c r="F78" s="2359">
        <f>SUM(F64)</f>
        <v>1.1299999999999999</v>
      </c>
      <c r="G78" s="2355"/>
      <c r="H78" s="2359">
        <f>SUM(H64)</f>
        <v>1.28</v>
      </c>
      <c r="I78" s="2358"/>
      <c r="J78" s="2359">
        <f>SUM(J64)</f>
        <v>1.44</v>
      </c>
      <c r="K78" s="2358"/>
      <c r="L78" s="2359">
        <f>SUM(L64)</f>
        <v>1.63</v>
      </c>
      <c r="M78" s="2358"/>
      <c r="N78" s="2359">
        <f>SUM(N64)</f>
        <v>1.84</v>
      </c>
      <c r="O78" s="2358"/>
      <c r="P78" s="2359">
        <f>SUM(P64)</f>
        <v>2.08</v>
      </c>
      <c r="Q78" s="2358"/>
      <c r="R78" s="2359">
        <f>SUM(R64)</f>
        <v>2.35</v>
      </c>
      <c r="S78" s="2355"/>
      <c r="T78" s="2359">
        <f>SUM(T64)</f>
        <v>2.66</v>
      </c>
    </row>
    <row r="79" spans="1:20" ht="30" customHeight="1" x14ac:dyDescent="0.25">
      <c r="A79" s="5875" t="s">
        <v>1009</v>
      </c>
      <c r="B79" s="5875"/>
      <c r="C79" s="2354"/>
      <c r="D79" s="2359">
        <f>D77*D78</f>
        <v>12687.980000000001</v>
      </c>
      <c r="E79" s="2354"/>
      <c r="F79" s="2359">
        <f>F77*F78</f>
        <v>14337.4174</v>
      </c>
      <c r="G79" s="2355"/>
      <c r="H79" s="2359">
        <f>H77*H78</f>
        <v>16240.614400000002</v>
      </c>
      <c r="I79" s="2354"/>
      <c r="J79" s="2359">
        <f>J77*J78</f>
        <v>18270.691200000001</v>
      </c>
      <c r="K79" s="2354"/>
      <c r="L79" s="2359">
        <f>L77*L78</f>
        <v>20681.4074</v>
      </c>
      <c r="M79" s="2354"/>
      <c r="N79" s="2359">
        <f>N77*N78</f>
        <v>23345.883200000004</v>
      </c>
      <c r="O79" s="2354"/>
      <c r="P79" s="2359">
        <f>P77*P78</f>
        <v>26390.998400000004</v>
      </c>
      <c r="Q79" s="2354"/>
      <c r="R79" s="2359">
        <f>R77*R78</f>
        <v>29816.753000000004</v>
      </c>
      <c r="S79" s="2354"/>
      <c r="T79" s="2359">
        <f>T77*T78</f>
        <v>33750.026800000007</v>
      </c>
    </row>
    <row r="80" spans="1:20" ht="30" customHeight="1" x14ac:dyDescent="0.25">
      <c r="A80" s="5875" t="s">
        <v>3531</v>
      </c>
      <c r="B80" s="5875"/>
      <c r="C80" s="2356">
        <v>0.125</v>
      </c>
      <c r="D80" s="2359">
        <f>D79*C80</f>
        <v>1585.9975000000002</v>
      </c>
      <c r="E80" s="2356">
        <v>0.125</v>
      </c>
      <c r="F80" s="2359">
        <f>F79*E80</f>
        <v>1792.177175</v>
      </c>
      <c r="G80" s="2356">
        <v>0.125</v>
      </c>
      <c r="H80" s="2359">
        <f>H79*G80</f>
        <v>2030.0768000000003</v>
      </c>
      <c r="I80" s="2356">
        <v>0.125</v>
      </c>
      <c r="J80" s="2359">
        <f>J79*I80</f>
        <v>2283.8364000000001</v>
      </c>
      <c r="K80" s="2356">
        <v>0.125</v>
      </c>
      <c r="L80" s="2359">
        <f>L79*K80</f>
        <v>2585.175925</v>
      </c>
      <c r="M80" s="2356">
        <v>0.125</v>
      </c>
      <c r="N80" s="2359">
        <f>N79*M80</f>
        <v>2918.2354000000005</v>
      </c>
      <c r="O80" s="2356">
        <v>0.125</v>
      </c>
      <c r="P80" s="2359">
        <f>P79*O80</f>
        <v>3298.8748000000005</v>
      </c>
      <c r="Q80" s="2356">
        <v>0.125</v>
      </c>
      <c r="R80" s="2359">
        <f>R79*Q80</f>
        <v>3727.0941250000005</v>
      </c>
      <c r="S80" s="2356">
        <v>0.125</v>
      </c>
      <c r="T80" s="2359">
        <f>T79*S80</f>
        <v>4218.7533500000009</v>
      </c>
    </row>
    <row r="81" spans="1:20" ht="30" customHeight="1" x14ac:dyDescent="0.25">
      <c r="A81" s="5875" t="s">
        <v>1011</v>
      </c>
      <c r="B81" s="5875"/>
      <c r="C81" s="2357">
        <v>0</v>
      </c>
      <c r="D81" s="2359">
        <f>D79*C81</f>
        <v>0</v>
      </c>
      <c r="E81" s="2357">
        <v>0.1</v>
      </c>
      <c r="F81" s="2359">
        <f>F79*E81</f>
        <v>1433.7417400000002</v>
      </c>
      <c r="G81" s="2357">
        <v>0.1</v>
      </c>
      <c r="H81" s="2359">
        <f>H79*G81</f>
        <v>1624.0614400000004</v>
      </c>
      <c r="I81" s="2357">
        <v>0.1</v>
      </c>
      <c r="J81" s="2359">
        <f>J79*I81</f>
        <v>1827.0691200000001</v>
      </c>
      <c r="K81" s="2357">
        <v>0.1</v>
      </c>
      <c r="L81" s="2359">
        <f>L79*K81</f>
        <v>2068.1407400000003</v>
      </c>
      <c r="M81" s="2357">
        <v>0.1</v>
      </c>
      <c r="N81" s="2359">
        <f>N79*M81</f>
        <v>2334.5883200000003</v>
      </c>
      <c r="O81" s="2357">
        <v>0.1</v>
      </c>
      <c r="P81" s="2359">
        <f>P79*O81</f>
        <v>2639.0998400000008</v>
      </c>
      <c r="Q81" s="2357">
        <v>0.1</v>
      </c>
      <c r="R81" s="2359">
        <f>R79*Q81</f>
        <v>2981.6753000000008</v>
      </c>
      <c r="S81" s="2357">
        <v>0.1</v>
      </c>
      <c r="T81" s="2359">
        <f>T79*S81</f>
        <v>3375.002680000001</v>
      </c>
    </row>
    <row r="82" spans="1:20" ht="30" customHeight="1" x14ac:dyDescent="0.25">
      <c r="A82" s="5875" t="s">
        <v>1012</v>
      </c>
      <c r="B82" s="5875"/>
      <c r="C82" s="2357">
        <v>0</v>
      </c>
      <c r="D82" s="2359">
        <f>D79*C82</f>
        <v>0</v>
      </c>
      <c r="E82" s="2357">
        <v>0</v>
      </c>
      <c r="F82" s="2359">
        <f>F79*E82</f>
        <v>0</v>
      </c>
      <c r="G82" s="2357">
        <v>0</v>
      </c>
      <c r="H82" s="2359">
        <f>H79*G82</f>
        <v>0</v>
      </c>
      <c r="I82" s="2357">
        <v>0</v>
      </c>
      <c r="J82" s="2359">
        <f>J79*I82</f>
        <v>0</v>
      </c>
      <c r="K82" s="2357">
        <v>0</v>
      </c>
      <c r="L82" s="2359">
        <f>L79*K82</f>
        <v>0</v>
      </c>
      <c r="M82" s="2357">
        <v>0</v>
      </c>
      <c r="N82" s="2359">
        <f>N79*M82</f>
        <v>0</v>
      </c>
      <c r="O82" s="2357">
        <v>0</v>
      </c>
      <c r="P82" s="2359">
        <f>P79*O82</f>
        <v>0</v>
      </c>
      <c r="Q82" s="2357">
        <v>0</v>
      </c>
      <c r="R82" s="2359">
        <f>R79*Q82</f>
        <v>0</v>
      </c>
      <c r="S82" s="2357">
        <v>0</v>
      </c>
      <c r="T82" s="2359">
        <f>T79*S82</f>
        <v>0</v>
      </c>
    </row>
    <row r="83" spans="1:20" ht="30" customHeight="1" x14ac:dyDescent="0.25">
      <c r="A83" s="5875" t="s">
        <v>1013</v>
      </c>
      <c r="B83" s="5875"/>
      <c r="C83" s="2357">
        <v>0.15</v>
      </c>
      <c r="D83" s="2359">
        <f>D79*C83</f>
        <v>1903.1970000000001</v>
      </c>
      <c r="E83" s="2357">
        <v>0.15</v>
      </c>
      <c r="F83" s="2359">
        <f>F79*E83</f>
        <v>2150.6126100000001</v>
      </c>
      <c r="G83" s="2357">
        <v>0.15</v>
      </c>
      <c r="H83" s="2359">
        <f>H79*G83</f>
        <v>2436.0921600000001</v>
      </c>
      <c r="I83" s="2357">
        <v>0.15</v>
      </c>
      <c r="J83" s="2359">
        <f>J79*I83</f>
        <v>2740.6036800000002</v>
      </c>
      <c r="K83" s="2357">
        <v>0.15</v>
      </c>
      <c r="L83" s="2359">
        <f>L79*K83</f>
        <v>3102.2111099999997</v>
      </c>
      <c r="M83" s="2357">
        <v>0.15</v>
      </c>
      <c r="N83" s="2359">
        <f>N79*M83</f>
        <v>3501.8824800000007</v>
      </c>
      <c r="O83" s="2357">
        <v>0.15</v>
      </c>
      <c r="P83" s="2359">
        <f>P79*O83</f>
        <v>3958.6497600000002</v>
      </c>
      <c r="Q83" s="2357">
        <v>0.15</v>
      </c>
      <c r="R83" s="2359">
        <f>R79*Q83</f>
        <v>4472.5129500000003</v>
      </c>
      <c r="S83" s="2357">
        <v>0.15</v>
      </c>
      <c r="T83" s="2359">
        <f>T79*S83</f>
        <v>5062.5040200000012</v>
      </c>
    </row>
    <row r="84" spans="1:20" ht="30" customHeight="1" x14ac:dyDescent="0.25">
      <c r="A84" s="5875" t="s">
        <v>1014</v>
      </c>
      <c r="B84" s="5875"/>
      <c r="C84" s="2357">
        <v>0.2</v>
      </c>
      <c r="D84" s="2359">
        <f>(D79+D80+D81+D82+D83)*0.2</f>
        <v>3235.4349000000002</v>
      </c>
      <c r="E84" s="2357">
        <v>0.2</v>
      </c>
      <c r="F84" s="2359">
        <f>(F79+F80+F81+F82+F83)*0.2</f>
        <v>3942.7897850000004</v>
      </c>
      <c r="G84" s="2357">
        <v>0.2</v>
      </c>
      <c r="H84" s="2359">
        <f>(H79+H80+H81+H82+H83)*0.2</f>
        <v>4466.1689600000009</v>
      </c>
      <c r="I84" s="2357">
        <v>0.2</v>
      </c>
      <c r="J84" s="2359">
        <f>(J79+J80+J81+J82+J83)*0.2</f>
        <v>5024.4400800000003</v>
      </c>
      <c r="K84" s="2357">
        <v>0.2</v>
      </c>
      <c r="L84" s="2359">
        <f>(L79+L80+L81+L82+L83)*0.2</f>
        <v>5687.3870349999997</v>
      </c>
      <c r="M84" s="2357">
        <v>0.2</v>
      </c>
      <c r="N84" s="2359">
        <f>(N79+N80+N81+N82+N83)*0.2</f>
        <v>6420.1178800000016</v>
      </c>
      <c r="O84" s="2357">
        <v>0.2</v>
      </c>
      <c r="P84" s="2359">
        <f>(P79+P80+P81+P82+P83)*0.2</f>
        <v>7257.5245600000017</v>
      </c>
      <c r="Q84" s="2357">
        <v>0.2</v>
      </c>
      <c r="R84" s="2359">
        <f>(R79+R80+R81+R82+R83)*0.2</f>
        <v>8199.6070750000017</v>
      </c>
      <c r="S84" s="2357">
        <v>0.2</v>
      </c>
      <c r="T84" s="2359">
        <f>(T79+T80+T81+T82+T83)*0.2</f>
        <v>9281.2573700000012</v>
      </c>
    </row>
    <row r="85" spans="1:20" ht="30" customHeight="1" x14ac:dyDescent="0.25">
      <c r="A85" s="5875" t="s">
        <v>1015</v>
      </c>
      <c r="B85" s="5875"/>
      <c r="C85" s="2357">
        <v>0.5</v>
      </c>
      <c r="D85" s="2359">
        <f>(D79+D80+D81+D82+D83)*0.5</f>
        <v>8088.5872500000005</v>
      </c>
      <c r="E85" s="2357">
        <v>0.5</v>
      </c>
      <c r="F85" s="2359">
        <f>(F79+F80+F81+F82+F83)*0.5</f>
        <v>9856.9744625000003</v>
      </c>
      <c r="G85" s="2357">
        <v>0.5</v>
      </c>
      <c r="H85" s="2359">
        <f>(H79+H80+H81+H82+H83)*0.5</f>
        <v>11165.422400000001</v>
      </c>
      <c r="I85" s="2357">
        <v>0.5</v>
      </c>
      <c r="J85" s="2359">
        <f>(J79+J80+J81+J82+J83)*0.5</f>
        <v>12561.100200000001</v>
      </c>
      <c r="K85" s="2357">
        <v>0.5</v>
      </c>
      <c r="L85" s="2359">
        <f>(L79+L80+L81+L82+L83)*0.5</f>
        <v>14218.467587499999</v>
      </c>
      <c r="M85" s="2357">
        <v>0.5</v>
      </c>
      <c r="N85" s="2359">
        <f>(N79+N80+N81+N82+N83)*0.5</f>
        <v>16050.294700000002</v>
      </c>
      <c r="O85" s="2357">
        <v>0.5</v>
      </c>
      <c r="P85" s="2359">
        <f>(P79+P80+P81+P82+P83)*0.5</f>
        <v>18143.811400000002</v>
      </c>
      <c r="Q85" s="2357">
        <v>0.5</v>
      </c>
      <c r="R85" s="2359">
        <f>(R79+R80+R81+R82+R83)*0.5</f>
        <v>20499.017687500003</v>
      </c>
      <c r="S85" s="2357">
        <v>0.5</v>
      </c>
      <c r="T85" s="2359">
        <f>(T79+T80+T81+T82+T83)*0.5</f>
        <v>23203.143425000002</v>
      </c>
    </row>
    <row r="86" spans="1:20" ht="30" customHeight="1" x14ac:dyDescent="0.25">
      <c r="A86" s="5873" t="s">
        <v>1016</v>
      </c>
      <c r="B86" s="5873"/>
      <c r="C86" s="2352"/>
      <c r="D86" s="2353">
        <f>D79+D80+D81+D82+D83+D84+D85</f>
        <v>27501.196650000002</v>
      </c>
      <c r="E86" s="2352"/>
      <c r="F86" s="2353">
        <f>F79+F80+F81+F82+F83+F84+F85</f>
        <v>33513.7131725</v>
      </c>
      <c r="G86" s="2352"/>
      <c r="H86" s="2353">
        <f>H79+H80+H81+H82+H83+H84+H85</f>
        <v>37962.436160000005</v>
      </c>
      <c r="I86" s="2352"/>
      <c r="J86" s="2353">
        <f>J79+J80+J81+J82+J83+J84+J85</f>
        <v>42707.740680000003</v>
      </c>
      <c r="K86" s="2352"/>
      <c r="L86" s="2353">
        <f>L79+L80+L81+L82+L83+L84+L85</f>
        <v>48342.789797499994</v>
      </c>
      <c r="M86" s="2352"/>
      <c r="N86" s="2353">
        <f>N79+N80+N81+N82+N83+N84+N85</f>
        <v>54571.001980000001</v>
      </c>
      <c r="O86" s="2352"/>
      <c r="P86" s="2353">
        <f>P79+P80+P81+P82+P83+P84+P85</f>
        <v>61688.958760000009</v>
      </c>
      <c r="Q86" s="2352"/>
      <c r="R86" s="2353">
        <f>R79+R80+R81+R82+R83+R84+R85</f>
        <v>69696.660137500003</v>
      </c>
      <c r="S86" s="2352"/>
      <c r="T86" s="2353">
        <f>T79+T80+T81+T82+T83+T84+T85</f>
        <v>78890.687644999998</v>
      </c>
    </row>
    <row r="88" spans="1:20" ht="18.75" x14ac:dyDescent="0.3">
      <c r="A88" s="5876" t="s">
        <v>3896</v>
      </c>
      <c r="B88" s="5876"/>
      <c r="C88" s="5876"/>
      <c r="D88" s="5876"/>
      <c r="E88" s="5876"/>
      <c r="F88" s="5876"/>
      <c r="G88" s="5876"/>
      <c r="H88" s="5876"/>
      <c r="I88" s="5876"/>
      <c r="J88" s="5876"/>
      <c r="K88" s="5876"/>
      <c r="L88" s="5876"/>
      <c r="M88" s="5876"/>
      <c r="N88" s="5876"/>
      <c r="O88" s="5876"/>
      <c r="P88" s="5876"/>
      <c r="Q88" s="5876"/>
      <c r="R88" s="5876"/>
      <c r="S88" s="5876"/>
      <c r="T88" s="5876"/>
    </row>
    <row r="89" spans="1:20" x14ac:dyDescent="0.25">
      <c r="A89" s="5877"/>
      <c r="B89" s="5877"/>
      <c r="C89" s="5877" t="s">
        <v>996</v>
      </c>
      <c r="D89" s="5877"/>
      <c r="E89" s="5877" t="s">
        <v>997</v>
      </c>
      <c r="F89" s="5877"/>
      <c r="G89" s="5877" t="s">
        <v>998</v>
      </c>
      <c r="H89" s="5877"/>
      <c r="I89" s="5877" t="s">
        <v>999</v>
      </c>
      <c r="J89" s="5877"/>
      <c r="K89" s="5877" t="s">
        <v>1000</v>
      </c>
      <c r="L89" s="5877"/>
      <c r="M89" s="5877" t="s">
        <v>1001</v>
      </c>
      <c r="N89" s="5877"/>
      <c r="O89" s="5877" t="s">
        <v>1002</v>
      </c>
      <c r="P89" s="5877"/>
      <c r="Q89" s="5877" t="s">
        <v>1003</v>
      </c>
      <c r="R89" s="5877"/>
      <c r="S89" s="5877" t="s">
        <v>1004</v>
      </c>
      <c r="T89" s="5877"/>
    </row>
    <row r="90" spans="1:20" x14ac:dyDescent="0.25">
      <c r="A90" s="5877"/>
      <c r="B90" s="5877"/>
      <c r="C90" s="3626" t="s">
        <v>44</v>
      </c>
      <c r="D90" s="3626" t="s">
        <v>1005</v>
      </c>
      <c r="E90" s="3626" t="s">
        <v>44</v>
      </c>
      <c r="F90" s="3626" t="s">
        <v>1005</v>
      </c>
      <c r="G90" s="3626" t="s">
        <v>44</v>
      </c>
      <c r="H90" s="3626" t="s">
        <v>1005</v>
      </c>
      <c r="I90" s="3626" t="s">
        <v>44</v>
      </c>
      <c r="J90" s="3626" t="s">
        <v>1005</v>
      </c>
      <c r="K90" s="3626" t="s">
        <v>44</v>
      </c>
      <c r="L90" s="3626" t="s">
        <v>1005</v>
      </c>
      <c r="M90" s="3626" t="s">
        <v>44</v>
      </c>
      <c r="N90" s="3626" t="s">
        <v>1005</v>
      </c>
      <c r="O90" s="3626" t="s">
        <v>44</v>
      </c>
      <c r="P90" s="3626" t="s">
        <v>1005</v>
      </c>
      <c r="Q90" s="3626" t="s">
        <v>44</v>
      </c>
      <c r="R90" s="3626" t="s">
        <v>1005</v>
      </c>
      <c r="S90" s="3626" t="s">
        <v>44</v>
      </c>
      <c r="T90" s="3626" t="s">
        <v>1005</v>
      </c>
    </row>
    <row r="91" spans="1:20" ht="33" customHeight="1" x14ac:dyDescent="0.25">
      <c r="A91" s="5874" t="s">
        <v>3897</v>
      </c>
      <c r="B91" s="5874"/>
      <c r="C91" s="2354"/>
      <c r="D91" s="2359">
        <f>12792*1.05</f>
        <v>13431.6</v>
      </c>
      <c r="E91" s="2354"/>
      <c r="F91" s="2359">
        <f>D91</f>
        <v>13431.6</v>
      </c>
      <c r="G91" s="2355"/>
      <c r="H91" s="2359">
        <f>F91</f>
        <v>13431.6</v>
      </c>
      <c r="I91" s="2354"/>
      <c r="J91" s="2359">
        <f>H91</f>
        <v>13431.6</v>
      </c>
      <c r="K91" s="2354"/>
      <c r="L91" s="2359">
        <f>J91</f>
        <v>13431.6</v>
      </c>
      <c r="M91" s="2354"/>
      <c r="N91" s="2359">
        <f>L91</f>
        <v>13431.6</v>
      </c>
      <c r="O91" s="2354"/>
      <c r="P91" s="2359">
        <f>N91</f>
        <v>13431.6</v>
      </c>
      <c r="Q91" s="2354"/>
      <c r="R91" s="2359">
        <f>P91</f>
        <v>13431.6</v>
      </c>
      <c r="S91" s="2354"/>
      <c r="T91" s="2359">
        <f>R91</f>
        <v>13431.6</v>
      </c>
    </row>
    <row r="92" spans="1:20" ht="33" customHeight="1" x14ac:dyDescent="0.25">
      <c r="A92" s="5875" t="s">
        <v>1008</v>
      </c>
      <c r="B92" s="5875"/>
      <c r="C92" s="2355"/>
      <c r="D92" s="2359">
        <v>1</v>
      </c>
      <c r="E92" s="2358"/>
      <c r="F92" s="2359">
        <f>SUM(F78)</f>
        <v>1.1299999999999999</v>
      </c>
      <c r="G92" s="2355"/>
      <c r="H92" s="2359">
        <f>SUM(H78)</f>
        <v>1.28</v>
      </c>
      <c r="I92" s="2358"/>
      <c r="J92" s="2359">
        <f>SUM(J78)</f>
        <v>1.44</v>
      </c>
      <c r="K92" s="2358"/>
      <c r="L92" s="2359">
        <f>SUM(L78)</f>
        <v>1.63</v>
      </c>
      <c r="M92" s="2358"/>
      <c r="N92" s="2359">
        <f>SUM(N78)</f>
        <v>1.84</v>
      </c>
      <c r="O92" s="2358"/>
      <c r="P92" s="2359">
        <f>SUM(P78)</f>
        <v>2.08</v>
      </c>
      <c r="Q92" s="2358"/>
      <c r="R92" s="2359">
        <f>SUM(R78)</f>
        <v>2.35</v>
      </c>
      <c r="S92" s="2355"/>
      <c r="T92" s="2359">
        <f>SUM(T78)</f>
        <v>2.66</v>
      </c>
    </row>
    <row r="93" spans="1:20" ht="33" customHeight="1" x14ac:dyDescent="0.25">
      <c r="A93" s="5875" t="s">
        <v>1009</v>
      </c>
      <c r="B93" s="5875"/>
      <c r="C93" s="2354"/>
      <c r="D93" s="2359">
        <f>D91*D92</f>
        <v>13431.6</v>
      </c>
      <c r="E93" s="2354"/>
      <c r="F93" s="2359">
        <f>F91*F92</f>
        <v>15177.707999999999</v>
      </c>
      <c r="G93" s="2355"/>
      <c r="H93" s="2359">
        <f>H91*H92</f>
        <v>17192.448</v>
      </c>
      <c r="I93" s="2354"/>
      <c r="J93" s="2359">
        <f>J91*J92</f>
        <v>19341.504000000001</v>
      </c>
      <c r="K93" s="2354"/>
      <c r="L93" s="2359">
        <f>L91*L92</f>
        <v>21893.507999999998</v>
      </c>
      <c r="M93" s="2354"/>
      <c r="N93" s="2359">
        <f>N91*N92</f>
        <v>24714.144</v>
      </c>
      <c r="O93" s="2354"/>
      <c r="P93" s="2359">
        <f>P91*P92</f>
        <v>27937.728000000003</v>
      </c>
      <c r="Q93" s="2354"/>
      <c r="R93" s="2359">
        <f>R91*R92</f>
        <v>31564.260000000002</v>
      </c>
      <c r="S93" s="2354"/>
      <c r="T93" s="2359">
        <f>T91*T92</f>
        <v>35728.056000000004</v>
      </c>
    </row>
    <row r="94" spans="1:20" ht="33" customHeight="1" x14ac:dyDescent="0.25">
      <c r="A94" s="5875" t="s">
        <v>3531</v>
      </c>
      <c r="B94" s="5875"/>
      <c r="C94" s="2356">
        <v>0.125</v>
      </c>
      <c r="D94" s="2359">
        <f>D93*C94</f>
        <v>1678.95</v>
      </c>
      <c r="E94" s="2356">
        <v>0.125</v>
      </c>
      <c r="F94" s="2359">
        <f>F93*E94</f>
        <v>1897.2134999999998</v>
      </c>
      <c r="G94" s="2356">
        <v>0.125</v>
      </c>
      <c r="H94" s="2359">
        <f>H93*G94</f>
        <v>2149.056</v>
      </c>
      <c r="I94" s="2356">
        <v>0.125</v>
      </c>
      <c r="J94" s="2359">
        <f>J93*I94</f>
        <v>2417.6880000000001</v>
      </c>
      <c r="K94" s="2356">
        <v>0.125</v>
      </c>
      <c r="L94" s="2359">
        <f>L93*K94</f>
        <v>2736.6884999999997</v>
      </c>
      <c r="M94" s="2356">
        <v>0.125</v>
      </c>
      <c r="N94" s="2359">
        <f>N93*M94</f>
        <v>3089.268</v>
      </c>
      <c r="O94" s="2356">
        <v>0.125</v>
      </c>
      <c r="P94" s="2359">
        <f>P93*O94</f>
        <v>3492.2160000000003</v>
      </c>
      <c r="Q94" s="2356">
        <v>0.125</v>
      </c>
      <c r="R94" s="2359">
        <f>R93*Q94</f>
        <v>3945.5325000000003</v>
      </c>
      <c r="S94" s="2356">
        <v>0.125</v>
      </c>
      <c r="T94" s="2359">
        <f>T93*S94</f>
        <v>4466.0070000000005</v>
      </c>
    </row>
    <row r="95" spans="1:20" ht="33" customHeight="1" x14ac:dyDescent="0.25">
      <c r="A95" s="5875" t="s">
        <v>1011</v>
      </c>
      <c r="B95" s="5875"/>
      <c r="C95" s="2357">
        <v>0</v>
      </c>
      <c r="D95" s="2359">
        <f>D93*C95</f>
        <v>0</v>
      </c>
      <c r="E95" s="2357">
        <v>0.1</v>
      </c>
      <c r="F95" s="2359">
        <f>F93*E95</f>
        <v>1517.7708</v>
      </c>
      <c r="G95" s="2357">
        <v>0.1</v>
      </c>
      <c r="H95" s="2359">
        <f>H93*G95</f>
        <v>1719.2448000000002</v>
      </c>
      <c r="I95" s="2357">
        <v>0.1</v>
      </c>
      <c r="J95" s="2359">
        <f>J93*I95</f>
        <v>1934.1504000000002</v>
      </c>
      <c r="K95" s="2357">
        <v>0.1</v>
      </c>
      <c r="L95" s="2359">
        <f>L93*K95</f>
        <v>2189.3507999999997</v>
      </c>
      <c r="M95" s="2357">
        <v>0.1</v>
      </c>
      <c r="N95" s="2359">
        <f>N93*M95</f>
        <v>2471.4144000000001</v>
      </c>
      <c r="O95" s="2357">
        <v>0.1</v>
      </c>
      <c r="P95" s="2359">
        <f>P93*O95</f>
        <v>2793.7728000000006</v>
      </c>
      <c r="Q95" s="2357">
        <v>0.1</v>
      </c>
      <c r="R95" s="2359">
        <f>R93*Q95</f>
        <v>3156.4260000000004</v>
      </c>
      <c r="S95" s="2357">
        <v>0.1</v>
      </c>
      <c r="T95" s="2359">
        <f>T93*S95</f>
        <v>3572.8056000000006</v>
      </c>
    </row>
    <row r="96" spans="1:20" ht="33" customHeight="1" x14ac:dyDescent="0.25">
      <c r="A96" s="5875" t="s">
        <v>1012</v>
      </c>
      <c r="B96" s="5875"/>
      <c r="C96" s="2357">
        <v>0</v>
      </c>
      <c r="D96" s="2359">
        <f>D93*C96</f>
        <v>0</v>
      </c>
      <c r="E96" s="2357">
        <v>0</v>
      </c>
      <c r="F96" s="2359">
        <f>F93*E96</f>
        <v>0</v>
      </c>
      <c r="G96" s="2357">
        <v>0</v>
      </c>
      <c r="H96" s="2359">
        <f>H93*G96</f>
        <v>0</v>
      </c>
      <c r="I96" s="2357">
        <v>0</v>
      </c>
      <c r="J96" s="2359">
        <f>J93*I96</f>
        <v>0</v>
      </c>
      <c r="K96" s="2357">
        <v>0</v>
      </c>
      <c r="L96" s="2359">
        <f>L93*K96</f>
        <v>0</v>
      </c>
      <c r="M96" s="2357">
        <v>0</v>
      </c>
      <c r="N96" s="2359">
        <f>N93*M96</f>
        <v>0</v>
      </c>
      <c r="O96" s="2357">
        <v>0</v>
      </c>
      <c r="P96" s="2359">
        <f>P93*O96</f>
        <v>0</v>
      </c>
      <c r="Q96" s="2357">
        <v>0</v>
      </c>
      <c r="R96" s="2359">
        <f>R93*Q96</f>
        <v>0</v>
      </c>
      <c r="S96" s="2357">
        <v>0</v>
      </c>
      <c r="T96" s="2359">
        <f>T93*S96</f>
        <v>0</v>
      </c>
    </row>
    <row r="97" spans="1:20" ht="33" customHeight="1" x14ac:dyDescent="0.25">
      <c r="A97" s="5875" t="s">
        <v>1013</v>
      </c>
      <c r="B97" s="5875"/>
      <c r="C97" s="2357">
        <v>0.15</v>
      </c>
      <c r="D97" s="2359">
        <f>D93*C97</f>
        <v>2014.74</v>
      </c>
      <c r="E97" s="2357">
        <v>0.15</v>
      </c>
      <c r="F97" s="2359">
        <f>F93*E97</f>
        <v>2276.6561999999999</v>
      </c>
      <c r="G97" s="2357">
        <v>0.15</v>
      </c>
      <c r="H97" s="2359">
        <f>H93*G97</f>
        <v>2578.8672000000001</v>
      </c>
      <c r="I97" s="2357">
        <v>0.15</v>
      </c>
      <c r="J97" s="2359">
        <f>J93*I97</f>
        <v>2901.2256000000002</v>
      </c>
      <c r="K97" s="2357">
        <v>0.15</v>
      </c>
      <c r="L97" s="2359">
        <f>L93*K97</f>
        <v>3284.0261999999998</v>
      </c>
      <c r="M97" s="2357">
        <v>0.15</v>
      </c>
      <c r="N97" s="2359">
        <f>N93*M97</f>
        <v>3707.1215999999999</v>
      </c>
      <c r="O97" s="2357">
        <v>0.15</v>
      </c>
      <c r="P97" s="2359">
        <f>P93*O97</f>
        <v>4190.6592000000001</v>
      </c>
      <c r="Q97" s="2357">
        <v>0.15</v>
      </c>
      <c r="R97" s="2359">
        <f>R93*Q97</f>
        <v>4734.6390000000001</v>
      </c>
      <c r="S97" s="2357">
        <v>0.15</v>
      </c>
      <c r="T97" s="2359">
        <f>T93*S97</f>
        <v>5359.2084000000004</v>
      </c>
    </row>
    <row r="98" spans="1:20" ht="33" customHeight="1" x14ac:dyDescent="0.25">
      <c r="A98" s="5875" t="s">
        <v>1014</v>
      </c>
      <c r="B98" s="5875"/>
      <c r="C98" s="2357">
        <v>0.2</v>
      </c>
      <c r="D98" s="2359">
        <f>(D93+D94+D95+D96+D97)*0.2</f>
        <v>3425.0580000000004</v>
      </c>
      <c r="E98" s="2357">
        <v>0.2</v>
      </c>
      <c r="F98" s="2359">
        <f>(F93+F94+F95+F96+F97)*0.2</f>
        <v>4173.8696999999993</v>
      </c>
      <c r="G98" s="2357">
        <v>0.2</v>
      </c>
      <c r="H98" s="2359">
        <f>(H93+H94+H95+H96+H97)*0.2</f>
        <v>4727.9232000000002</v>
      </c>
      <c r="I98" s="2357">
        <v>0.2</v>
      </c>
      <c r="J98" s="2359">
        <f>(J93+J94+J95+J96+J97)*0.2</f>
        <v>5318.9136000000008</v>
      </c>
      <c r="K98" s="2357">
        <v>0.2</v>
      </c>
      <c r="L98" s="2359">
        <f>(L93+L94+L95+L96+L97)*0.2</f>
        <v>6020.7147000000004</v>
      </c>
      <c r="M98" s="2357">
        <v>0.2</v>
      </c>
      <c r="N98" s="2359">
        <f>(N93+N94+N95+N96+N97)*0.2</f>
        <v>6796.3896000000013</v>
      </c>
      <c r="O98" s="2357">
        <v>0.2</v>
      </c>
      <c r="P98" s="2359">
        <f>(P93+P94+P95+P96+P97)*0.2</f>
        <v>7682.8752000000013</v>
      </c>
      <c r="Q98" s="2357">
        <v>0.2</v>
      </c>
      <c r="R98" s="2359">
        <f>(R93+R94+R95+R96+R97)*0.2</f>
        <v>8680.1715000000022</v>
      </c>
      <c r="S98" s="2357">
        <v>0.2</v>
      </c>
      <c r="T98" s="2359">
        <f>(T93+T94+T95+T96+T97)*0.2</f>
        <v>9825.215400000001</v>
      </c>
    </row>
    <row r="99" spans="1:20" ht="33" customHeight="1" x14ac:dyDescent="0.25">
      <c r="A99" s="5875" t="s">
        <v>1015</v>
      </c>
      <c r="B99" s="5875"/>
      <c r="C99" s="2357">
        <v>0.5</v>
      </c>
      <c r="D99" s="2359">
        <f>(D93+D94+D95+D96+D97)*0.5</f>
        <v>8562.6450000000004</v>
      </c>
      <c r="E99" s="2357">
        <v>0.5</v>
      </c>
      <c r="F99" s="2359">
        <f>(F93+F94+F95+F96+F97)*0.5</f>
        <v>10434.674249999998</v>
      </c>
      <c r="G99" s="2357">
        <v>0.5</v>
      </c>
      <c r="H99" s="2359">
        <f>(H93+H94+H95+H96+H97)*0.5</f>
        <v>11819.808000000001</v>
      </c>
      <c r="I99" s="2357">
        <v>0.5</v>
      </c>
      <c r="J99" s="2359">
        <f>(J93+J94+J95+J96+J97)*0.5</f>
        <v>13297.284000000001</v>
      </c>
      <c r="K99" s="2357">
        <v>0.5</v>
      </c>
      <c r="L99" s="2359">
        <f>(L93+L94+L95+L96+L97)*0.5</f>
        <v>15051.786749999999</v>
      </c>
      <c r="M99" s="2357">
        <v>0.5</v>
      </c>
      <c r="N99" s="2359">
        <f>(N93+N94+N95+N96+N97)*0.5</f>
        <v>16990.974000000002</v>
      </c>
      <c r="O99" s="2357">
        <v>0.5</v>
      </c>
      <c r="P99" s="2359">
        <f>(P93+P94+P95+P96+P97)*0.5</f>
        <v>19207.188000000002</v>
      </c>
      <c r="Q99" s="2357">
        <v>0.5</v>
      </c>
      <c r="R99" s="2359">
        <f>(R93+R94+R95+R96+R97)*0.5</f>
        <v>21700.428750000003</v>
      </c>
      <c r="S99" s="2357">
        <v>0.5</v>
      </c>
      <c r="T99" s="2359">
        <f>(T93+T94+T95+T96+T97)*0.5</f>
        <v>24563.038500000002</v>
      </c>
    </row>
    <row r="100" spans="1:20" ht="33" customHeight="1" x14ac:dyDescent="0.25">
      <c r="A100" s="5873" t="s">
        <v>1016</v>
      </c>
      <c r="B100" s="5873"/>
      <c r="C100" s="2352"/>
      <c r="D100" s="2353">
        <f>D93+D94+D95+D96+D97+D98+D99</f>
        <v>29112.993000000002</v>
      </c>
      <c r="E100" s="2352"/>
      <c r="F100" s="2353">
        <f>F93+F94+F95+F96+F97+F98+F99</f>
        <v>35477.892449999992</v>
      </c>
      <c r="G100" s="2352"/>
      <c r="H100" s="2353">
        <f>H93+H94+H95+H96+H97+H98+H99</f>
        <v>40187.347200000004</v>
      </c>
      <c r="I100" s="2352"/>
      <c r="J100" s="2353">
        <f>J93+J94+J95+J96+J97+J98+J99</f>
        <v>45210.765600000006</v>
      </c>
      <c r="K100" s="2352"/>
      <c r="L100" s="2353">
        <f>L93+L94+L95+L96+L97+L98+L99</f>
        <v>51176.074949999995</v>
      </c>
      <c r="M100" s="2352"/>
      <c r="N100" s="2353">
        <f>N93+N94+N95+N96+N97+N98+N99</f>
        <v>57769.311600000008</v>
      </c>
      <c r="O100" s="2352"/>
      <c r="P100" s="2353">
        <f>P93+P94+P95+P96+P97+P98+P99</f>
        <v>65304.439200000008</v>
      </c>
      <c r="Q100" s="2352"/>
      <c r="R100" s="2353">
        <f>R93+R94+R95+R96+R97+R98+R99</f>
        <v>73781.457750000016</v>
      </c>
      <c r="S100" s="2352"/>
      <c r="T100" s="2353">
        <f>T93+T94+T95+T96+T97+T98+T99</f>
        <v>83514.330900000001</v>
      </c>
    </row>
    <row r="102" spans="1:20" ht="20.100000000000001" customHeight="1" x14ac:dyDescent="0.3">
      <c r="A102" s="5876" t="s">
        <v>3965</v>
      </c>
      <c r="B102" s="5876"/>
      <c r="C102" s="5876"/>
      <c r="D102" s="5876"/>
      <c r="E102" s="5876"/>
      <c r="F102" s="5876"/>
      <c r="G102" s="5876"/>
      <c r="H102" s="5876"/>
      <c r="I102" s="5876"/>
      <c r="J102" s="5876"/>
      <c r="K102" s="5876"/>
      <c r="L102" s="5876"/>
      <c r="M102" s="5876"/>
      <c r="N102" s="5876"/>
      <c r="O102" s="5876"/>
      <c r="P102" s="5876"/>
      <c r="Q102" s="5876"/>
      <c r="R102" s="5876"/>
      <c r="S102" s="5876"/>
      <c r="T102" s="5876"/>
    </row>
    <row r="103" spans="1:20" ht="20.100000000000001" customHeight="1" x14ac:dyDescent="0.25">
      <c r="A103" s="5877"/>
      <c r="B103" s="5877"/>
      <c r="C103" s="5877" t="s">
        <v>996</v>
      </c>
      <c r="D103" s="5877"/>
      <c r="E103" s="5877" t="s">
        <v>997</v>
      </c>
      <c r="F103" s="5877"/>
      <c r="G103" s="5877" t="s">
        <v>998</v>
      </c>
      <c r="H103" s="5877"/>
      <c r="I103" s="5877" t="s">
        <v>999</v>
      </c>
      <c r="J103" s="5877"/>
      <c r="K103" s="5877" t="s">
        <v>1000</v>
      </c>
      <c r="L103" s="5877"/>
      <c r="M103" s="5877" t="s">
        <v>1001</v>
      </c>
      <c r="N103" s="5877"/>
      <c r="O103" s="5877" t="s">
        <v>1002</v>
      </c>
      <c r="P103" s="5877"/>
      <c r="Q103" s="5877" t="s">
        <v>1003</v>
      </c>
      <c r="R103" s="5877"/>
      <c r="S103" s="5877" t="s">
        <v>1004</v>
      </c>
      <c r="T103" s="5877"/>
    </row>
    <row r="104" spans="1:20" ht="20.100000000000001" customHeight="1" x14ac:dyDescent="0.25">
      <c r="A104" s="5877"/>
      <c r="B104" s="5877"/>
      <c r="C104" s="3875" t="s">
        <v>44</v>
      </c>
      <c r="D104" s="3875" t="s">
        <v>1005</v>
      </c>
      <c r="E104" s="3875" t="s">
        <v>44</v>
      </c>
      <c r="F104" s="3875" t="s">
        <v>1005</v>
      </c>
      <c r="G104" s="3875" t="s">
        <v>44</v>
      </c>
      <c r="H104" s="3875" t="s">
        <v>1005</v>
      </c>
      <c r="I104" s="3875" t="s">
        <v>44</v>
      </c>
      <c r="J104" s="3875" t="s">
        <v>1005</v>
      </c>
      <c r="K104" s="3875" t="s">
        <v>44</v>
      </c>
      <c r="L104" s="3875" t="s">
        <v>1005</v>
      </c>
      <c r="M104" s="3875" t="s">
        <v>44</v>
      </c>
      <c r="N104" s="3875" t="s">
        <v>1005</v>
      </c>
      <c r="O104" s="3875" t="s">
        <v>44</v>
      </c>
      <c r="P104" s="3875" t="s">
        <v>1005</v>
      </c>
      <c r="Q104" s="3875" t="s">
        <v>44</v>
      </c>
      <c r="R104" s="3875" t="s">
        <v>1005</v>
      </c>
      <c r="S104" s="3875" t="s">
        <v>44</v>
      </c>
      <c r="T104" s="3875" t="s">
        <v>1005</v>
      </c>
    </row>
    <row r="105" spans="1:20" ht="39.950000000000003" customHeight="1" x14ac:dyDescent="0.25">
      <c r="A105" s="5874" t="s">
        <v>3966</v>
      </c>
      <c r="B105" s="5874"/>
      <c r="C105" s="2354"/>
      <c r="D105" s="2359">
        <f>13890*1.1</f>
        <v>15279.000000000002</v>
      </c>
      <c r="E105" s="2354"/>
      <c r="F105" s="2359">
        <f>D105</f>
        <v>15279.000000000002</v>
      </c>
      <c r="G105" s="2355"/>
      <c r="H105" s="2359">
        <f>F105</f>
        <v>15279.000000000002</v>
      </c>
      <c r="I105" s="2354"/>
      <c r="J105" s="2359">
        <f>H105</f>
        <v>15279.000000000002</v>
      </c>
      <c r="K105" s="2354"/>
      <c r="L105" s="2359">
        <f>J105</f>
        <v>15279.000000000002</v>
      </c>
      <c r="M105" s="2354"/>
      <c r="N105" s="2359">
        <f>L105</f>
        <v>15279.000000000002</v>
      </c>
      <c r="O105" s="2354"/>
      <c r="P105" s="2359">
        <f>N105</f>
        <v>15279.000000000002</v>
      </c>
      <c r="Q105" s="2354"/>
      <c r="R105" s="2359">
        <f>P105</f>
        <v>15279.000000000002</v>
      </c>
      <c r="S105" s="2354"/>
      <c r="T105" s="2359">
        <f>R105</f>
        <v>15279.000000000002</v>
      </c>
    </row>
    <row r="106" spans="1:20" ht="39.950000000000003" customHeight="1" x14ac:dyDescent="0.25">
      <c r="A106" s="5875" t="s">
        <v>1008</v>
      </c>
      <c r="B106" s="5875"/>
      <c r="C106" s="2355"/>
      <c r="D106" s="2359">
        <v>1</v>
      </c>
      <c r="E106" s="2358"/>
      <c r="F106" s="2359">
        <f>SUM(F92)</f>
        <v>1.1299999999999999</v>
      </c>
      <c r="G106" s="2355"/>
      <c r="H106" s="2359">
        <f>SUM(H92)</f>
        <v>1.28</v>
      </c>
      <c r="I106" s="2358"/>
      <c r="J106" s="2359">
        <f>SUM(J92)</f>
        <v>1.44</v>
      </c>
      <c r="K106" s="2358"/>
      <c r="L106" s="2359">
        <f>SUM(L92)</f>
        <v>1.63</v>
      </c>
      <c r="M106" s="2358"/>
      <c r="N106" s="2359">
        <f>SUM(N92)</f>
        <v>1.84</v>
      </c>
      <c r="O106" s="2358"/>
      <c r="P106" s="2359">
        <f>SUM(P92)</f>
        <v>2.08</v>
      </c>
      <c r="Q106" s="2358"/>
      <c r="R106" s="2359">
        <f>SUM(R92)</f>
        <v>2.35</v>
      </c>
      <c r="S106" s="2355"/>
      <c r="T106" s="2359">
        <f>SUM(T92)</f>
        <v>2.66</v>
      </c>
    </row>
    <row r="107" spans="1:20" ht="39.950000000000003" customHeight="1" x14ac:dyDescent="0.25">
      <c r="A107" s="5875" t="s">
        <v>1009</v>
      </c>
      <c r="B107" s="5875"/>
      <c r="C107" s="2354"/>
      <c r="D107" s="2359">
        <f>D105*D106</f>
        <v>15279.000000000002</v>
      </c>
      <c r="E107" s="2354"/>
      <c r="F107" s="2359">
        <f>F105*F106</f>
        <v>17265.27</v>
      </c>
      <c r="G107" s="2355"/>
      <c r="H107" s="2359">
        <f>H105*H106</f>
        <v>19557.120000000003</v>
      </c>
      <c r="I107" s="2354"/>
      <c r="J107" s="2359">
        <f>J105*J106</f>
        <v>22001.760000000002</v>
      </c>
      <c r="K107" s="2354"/>
      <c r="L107" s="2359">
        <f>L105*L106</f>
        <v>24904.77</v>
      </c>
      <c r="M107" s="2354"/>
      <c r="N107" s="2359">
        <f>N105*N106</f>
        <v>28113.360000000004</v>
      </c>
      <c r="O107" s="2354"/>
      <c r="P107" s="2359">
        <f>P105*P106</f>
        <v>31780.320000000003</v>
      </c>
      <c r="Q107" s="2354"/>
      <c r="R107" s="2359">
        <f>R105*R106</f>
        <v>35905.650000000009</v>
      </c>
      <c r="S107" s="2354"/>
      <c r="T107" s="2359">
        <f>T105*T106</f>
        <v>40642.140000000007</v>
      </c>
    </row>
    <row r="108" spans="1:20" ht="39.950000000000003" customHeight="1" x14ac:dyDescent="0.25">
      <c r="A108" s="5875" t="s">
        <v>3531</v>
      </c>
      <c r="B108" s="5875"/>
      <c r="C108" s="2356">
        <v>0.125</v>
      </c>
      <c r="D108" s="2359">
        <f>D107*C108</f>
        <v>1909.8750000000002</v>
      </c>
      <c r="E108" s="2356">
        <v>0.125</v>
      </c>
      <c r="F108" s="2359">
        <f>F107*E108</f>
        <v>2158.1587500000001</v>
      </c>
      <c r="G108" s="2356">
        <v>0.125</v>
      </c>
      <c r="H108" s="2359">
        <f>H107*G108</f>
        <v>2444.6400000000003</v>
      </c>
      <c r="I108" s="2356">
        <v>0.125</v>
      </c>
      <c r="J108" s="2359">
        <f>J107*I108</f>
        <v>2750.2200000000003</v>
      </c>
      <c r="K108" s="2356">
        <v>0.125</v>
      </c>
      <c r="L108" s="2359">
        <f>L107*K108</f>
        <v>3113.0962500000001</v>
      </c>
      <c r="M108" s="2356">
        <v>0.125</v>
      </c>
      <c r="N108" s="2359">
        <f>N107*M108</f>
        <v>3514.1700000000005</v>
      </c>
      <c r="O108" s="2356">
        <v>0.125</v>
      </c>
      <c r="P108" s="2359">
        <f>P107*O108</f>
        <v>3972.5400000000004</v>
      </c>
      <c r="Q108" s="2356">
        <v>0.125</v>
      </c>
      <c r="R108" s="2359">
        <f>R107*Q108</f>
        <v>4488.2062500000011</v>
      </c>
      <c r="S108" s="2356">
        <v>0.125</v>
      </c>
      <c r="T108" s="2359">
        <f>T107*S108</f>
        <v>5080.2675000000008</v>
      </c>
    </row>
    <row r="109" spans="1:20" ht="39.950000000000003" customHeight="1" x14ac:dyDescent="0.25">
      <c r="A109" s="5875" t="s">
        <v>1011</v>
      </c>
      <c r="B109" s="5875"/>
      <c r="C109" s="2357">
        <v>0</v>
      </c>
      <c r="D109" s="2359">
        <f>D107*C109</f>
        <v>0</v>
      </c>
      <c r="E109" s="2357">
        <v>0.1</v>
      </c>
      <c r="F109" s="2359">
        <f>F107*E109</f>
        <v>1726.527</v>
      </c>
      <c r="G109" s="2357">
        <v>0.1</v>
      </c>
      <c r="H109" s="2359">
        <f>H107*G109</f>
        <v>1955.7120000000004</v>
      </c>
      <c r="I109" s="2357">
        <v>0.1</v>
      </c>
      <c r="J109" s="2359">
        <f>J107*I109</f>
        <v>2200.1760000000004</v>
      </c>
      <c r="K109" s="2357">
        <v>0.1</v>
      </c>
      <c r="L109" s="2359">
        <f>L107*K109</f>
        <v>2490.4770000000003</v>
      </c>
      <c r="M109" s="2357">
        <v>0.1</v>
      </c>
      <c r="N109" s="2359">
        <f>N107*M109</f>
        <v>2811.3360000000007</v>
      </c>
      <c r="O109" s="2357">
        <v>0.1</v>
      </c>
      <c r="P109" s="2359">
        <f>P107*O109</f>
        <v>3178.0320000000006</v>
      </c>
      <c r="Q109" s="2357">
        <v>0.1</v>
      </c>
      <c r="R109" s="2359">
        <f>R107*Q109</f>
        <v>3590.565000000001</v>
      </c>
      <c r="S109" s="2357">
        <v>0.1</v>
      </c>
      <c r="T109" s="2359">
        <f>T107*S109</f>
        <v>4064.2140000000009</v>
      </c>
    </row>
    <row r="110" spans="1:20" ht="39.950000000000003" customHeight="1" x14ac:dyDescent="0.25">
      <c r="A110" s="5875" t="s">
        <v>1012</v>
      </c>
      <c r="B110" s="5875"/>
      <c r="C110" s="2357">
        <v>0</v>
      </c>
      <c r="D110" s="2359">
        <f>D107*C110</f>
        <v>0</v>
      </c>
      <c r="E110" s="2357">
        <v>0</v>
      </c>
      <c r="F110" s="2359">
        <f>F107*E110</f>
        <v>0</v>
      </c>
      <c r="G110" s="2357">
        <v>0</v>
      </c>
      <c r="H110" s="2359">
        <f>H107*G110</f>
        <v>0</v>
      </c>
      <c r="I110" s="2357">
        <v>0</v>
      </c>
      <c r="J110" s="2359">
        <f>J107*I110</f>
        <v>0</v>
      </c>
      <c r="K110" s="2357">
        <v>0</v>
      </c>
      <c r="L110" s="2359">
        <f>L107*K110</f>
        <v>0</v>
      </c>
      <c r="M110" s="2357">
        <v>0</v>
      </c>
      <c r="N110" s="2359">
        <f>N107*M110</f>
        <v>0</v>
      </c>
      <c r="O110" s="2357">
        <v>0</v>
      </c>
      <c r="P110" s="2359">
        <f>P107*O110</f>
        <v>0</v>
      </c>
      <c r="Q110" s="2357">
        <v>0</v>
      </c>
      <c r="R110" s="2359">
        <f>R107*Q110</f>
        <v>0</v>
      </c>
      <c r="S110" s="2357">
        <v>0</v>
      </c>
      <c r="T110" s="2359">
        <f>T107*S110</f>
        <v>0</v>
      </c>
    </row>
    <row r="111" spans="1:20" ht="39.950000000000003" customHeight="1" x14ac:dyDescent="0.25">
      <c r="A111" s="5875" t="s">
        <v>1013</v>
      </c>
      <c r="B111" s="5875"/>
      <c r="C111" s="2357">
        <v>0.15</v>
      </c>
      <c r="D111" s="2359">
        <f>D107*C111</f>
        <v>2291.8500000000004</v>
      </c>
      <c r="E111" s="2357">
        <v>0.15</v>
      </c>
      <c r="F111" s="2359">
        <f>F107*E111</f>
        <v>2589.7905000000001</v>
      </c>
      <c r="G111" s="2357">
        <v>0.15</v>
      </c>
      <c r="H111" s="2359">
        <f>H107*G111</f>
        <v>2933.5680000000002</v>
      </c>
      <c r="I111" s="2357">
        <v>0.15</v>
      </c>
      <c r="J111" s="2359">
        <f>J107*I111</f>
        <v>3300.2640000000001</v>
      </c>
      <c r="K111" s="2357">
        <v>0.15</v>
      </c>
      <c r="L111" s="2359">
        <f>L107*K111</f>
        <v>3735.7154999999998</v>
      </c>
      <c r="M111" s="2357">
        <v>0.15</v>
      </c>
      <c r="N111" s="2359">
        <f>N107*M111</f>
        <v>4217.0040000000008</v>
      </c>
      <c r="O111" s="2357">
        <v>0.15</v>
      </c>
      <c r="P111" s="2359">
        <f>P107*O111</f>
        <v>4767.0480000000007</v>
      </c>
      <c r="Q111" s="2357">
        <v>0.15</v>
      </c>
      <c r="R111" s="2359">
        <f>R107*Q111</f>
        <v>5385.8475000000008</v>
      </c>
      <c r="S111" s="2357">
        <v>0.15</v>
      </c>
      <c r="T111" s="2359">
        <f>T107*S111</f>
        <v>6096.3210000000008</v>
      </c>
    </row>
    <row r="112" spans="1:20" ht="39.950000000000003" customHeight="1" x14ac:dyDescent="0.25">
      <c r="A112" s="5875" t="s">
        <v>1014</v>
      </c>
      <c r="B112" s="5875"/>
      <c r="C112" s="2357">
        <v>0.2</v>
      </c>
      <c r="D112" s="2359">
        <f>(D107+D108+D109+D110+D111)*0.2</f>
        <v>3896.1450000000013</v>
      </c>
      <c r="E112" s="2357">
        <v>0.2</v>
      </c>
      <c r="F112" s="2359">
        <f>(F107+F108+F109+F110+F111)*0.2</f>
        <v>4747.9492500000006</v>
      </c>
      <c r="G112" s="2357">
        <v>0.2</v>
      </c>
      <c r="H112" s="2359">
        <f>(H107+H108+H109+H110+H111)*0.2</f>
        <v>5378.2080000000005</v>
      </c>
      <c r="I112" s="2357">
        <v>0.2</v>
      </c>
      <c r="J112" s="2359">
        <f>(J107+J108+J109+J110+J111)*0.2</f>
        <v>6050.4840000000004</v>
      </c>
      <c r="K112" s="2357">
        <v>0.2</v>
      </c>
      <c r="L112" s="2359">
        <f>(L107+L108+L109+L110+L111)*0.2</f>
        <v>6848.8117499999998</v>
      </c>
      <c r="M112" s="2357">
        <v>0.2</v>
      </c>
      <c r="N112" s="2359">
        <f>(N107+N108+N109+N110+N111)*0.2</f>
        <v>7731.1740000000027</v>
      </c>
      <c r="O112" s="2357">
        <v>0.2</v>
      </c>
      <c r="P112" s="2359">
        <f>(P107+P108+P109+P110+P111)*0.2</f>
        <v>8739.5880000000016</v>
      </c>
      <c r="Q112" s="2357">
        <v>0.2</v>
      </c>
      <c r="R112" s="2359">
        <f>(R107+R108+R109+R110+R111)*0.2</f>
        <v>9874.0537500000046</v>
      </c>
      <c r="S112" s="2357">
        <v>0.2</v>
      </c>
      <c r="T112" s="2359">
        <f>(T107+T108+T109+T110+T111)*0.2</f>
        <v>11176.588500000003</v>
      </c>
    </row>
    <row r="113" spans="1:20" ht="39.950000000000003" customHeight="1" x14ac:dyDescent="0.25">
      <c r="A113" s="5875" t="s">
        <v>1015</v>
      </c>
      <c r="B113" s="5875"/>
      <c r="C113" s="2357">
        <v>0.5</v>
      </c>
      <c r="D113" s="2359">
        <f>(D107+D108+D109+D110+D111)*0.5</f>
        <v>9740.3625000000029</v>
      </c>
      <c r="E113" s="2357">
        <v>0.5</v>
      </c>
      <c r="F113" s="2359">
        <f>(F107+F108+F109+F110+F111)*0.5</f>
        <v>11869.873125</v>
      </c>
      <c r="G113" s="2357">
        <v>0.5</v>
      </c>
      <c r="H113" s="2359">
        <f>(H107+H108+H109+H110+H111)*0.5</f>
        <v>13445.52</v>
      </c>
      <c r="I113" s="2357">
        <v>0.5</v>
      </c>
      <c r="J113" s="2359">
        <f>(J107+J108+J109+J110+J111)*0.5</f>
        <v>15126.210000000001</v>
      </c>
      <c r="K113" s="2357">
        <v>0.5</v>
      </c>
      <c r="L113" s="2359">
        <f>(L107+L108+L109+L110+L111)*0.5</f>
        <v>17122.029374999998</v>
      </c>
      <c r="M113" s="2357">
        <v>0.5</v>
      </c>
      <c r="N113" s="2359">
        <f>(N107+N108+N109+N110+N111)*0.5</f>
        <v>19327.935000000005</v>
      </c>
      <c r="O113" s="2357">
        <v>0.5</v>
      </c>
      <c r="P113" s="2359">
        <f>(P107+P108+P109+P110+P111)*0.5</f>
        <v>21848.97</v>
      </c>
      <c r="Q113" s="2357">
        <v>0.5</v>
      </c>
      <c r="R113" s="2359">
        <f>(R107+R108+R109+R110+R111)*0.5</f>
        <v>24685.134375000009</v>
      </c>
      <c r="S113" s="2357">
        <v>0.5</v>
      </c>
      <c r="T113" s="2359">
        <f>(T107+T108+T109+T110+T111)*0.5</f>
        <v>27941.471250000006</v>
      </c>
    </row>
    <row r="114" spans="1:20" ht="39.950000000000003" customHeight="1" x14ac:dyDescent="0.25">
      <c r="A114" s="5873" t="s">
        <v>1016</v>
      </c>
      <c r="B114" s="5873"/>
      <c r="C114" s="2352"/>
      <c r="D114" s="2353">
        <f>D107+D108+D109+D110+D111+D112+D113</f>
        <v>33117.232500000013</v>
      </c>
      <c r="E114" s="2352"/>
      <c r="F114" s="2353">
        <f>F107+F108+F109+F110+F111+F112+F113</f>
        <v>40357.568625</v>
      </c>
      <c r="G114" s="2352"/>
      <c r="H114" s="2353">
        <f>H107+H108+H109+H110+H111+H112+H113</f>
        <v>45714.767999999996</v>
      </c>
      <c r="I114" s="2352"/>
      <c r="J114" s="2353">
        <f>J107+J108+J109+J110+J111+J112+J113</f>
        <v>51429.114000000001</v>
      </c>
      <c r="K114" s="2352"/>
      <c r="L114" s="2353">
        <f>L107+L108+L109+L110+L111+L112+L113</f>
        <v>58214.899874999996</v>
      </c>
      <c r="M114" s="2352"/>
      <c r="N114" s="2353">
        <f>N107+N108+N109+N110+N111+N112+N113</f>
        <v>65714.979000000021</v>
      </c>
      <c r="O114" s="2352"/>
      <c r="P114" s="2353">
        <f>P107+P108+P109+P110+P111+P112+P113</f>
        <v>74286.498000000007</v>
      </c>
      <c r="Q114" s="2352"/>
      <c r="R114" s="2353">
        <f>R107+R108+R109+R110+R111+R112+R113</f>
        <v>83929.456875000033</v>
      </c>
      <c r="S114" s="2352"/>
      <c r="T114" s="2353">
        <f>T107+T108+T109+T110+T111+T112+T113</f>
        <v>95001.00225000002</v>
      </c>
    </row>
    <row r="117" spans="1:20" ht="18.75" x14ac:dyDescent="0.3">
      <c r="A117" s="2434"/>
      <c r="B117" s="2434"/>
      <c r="C117" s="2434"/>
      <c r="D117" s="2434"/>
      <c r="E117" s="2434"/>
    </row>
    <row r="118" spans="1:20" ht="18.75" x14ac:dyDescent="0.3">
      <c r="A118" s="2434" t="s">
        <v>3967</v>
      </c>
      <c r="B118" s="2434"/>
      <c r="C118" s="2434"/>
      <c r="D118" s="2434"/>
      <c r="E118" s="2434"/>
    </row>
  </sheetData>
  <mergeCells count="130">
    <mergeCell ref="A96:B96"/>
    <mergeCell ref="A97:B97"/>
    <mergeCell ref="A98:B98"/>
    <mergeCell ref="A99:B99"/>
    <mergeCell ref="A100:B100"/>
    <mergeCell ref="A91:B91"/>
    <mergeCell ref="A92:B92"/>
    <mergeCell ref="A93:B93"/>
    <mergeCell ref="A94:B94"/>
    <mergeCell ref="A95:B95"/>
    <mergeCell ref="A88:T88"/>
    <mergeCell ref="A89:B90"/>
    <mergeCell ref="C89:D89"/>
    <mergeCell ref="E89:F89"/>
    <mergeCell ref="G89:H89"/>
    <mergeCell ref="I89:J89"/>
    <mergeCell ref="K89:L89"/>
    <mergeCell ref="M89:N89"/>
    <mergeCell ref="O89:P89"/>
    <mergeCell ref="Q89:R89"/>
    <mergeCell ref="S89:T89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K61:L61"/>
    <mergeCell ref="M61:N61"/>
    <mergeCell ref="O61:P61"/>
    <mergeCell ref="Q61:R61"/>
    <mergeCell ref="S61:T61"/>
    <mergeCell ref="A61:B62"/>
    <mergeCell ref="C61:D61"/>
    <mergeCell ref="E61:F61"/>
    <mergeCell ref="G61:H61"/>
    <mergeCell ref="I61:J61"/>
    <mergeCell ref="S41:T41"/>
    <mergeCell ref="A60:T60"/>
    <mergeCell ref="A54:B54"/>
    <mergeCell ref="A52:B52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5:B5"/>
    <mergeCell ref="A6:B6"/>
    <mergeCell ref="A7:B7"/>
    <mergeCell ref="A74:T74"/>
    <mergeCell ref="A75:B76"/>
    <mergeCell ref="C75:D75"/>
    <mergeCell ref="E75:F75"/>
    <mergeCell ref="G75:H75"/>
    <mergeCell ref="I75:J75"/>
    <mergeCell ref="K75:L75"/>
    <mergeCell ref="M75:N75"/>
    <mergeCell ref="O75:P75"/>
    <mergeCell ref="Q75:R75"/>
    <mergeCell ref="S75:T75"/>
    <mergeCell ref="A15:B15"/>
    <mergeCell ref="A19:B19"/>
    <mergeCell ref="A9:B9"/>
    <mergeCell ref="A10:B10"/>
    <mergeCell ref="A11:B11"/>
    <mergeCell ref="A12:B12"/>
    <mergeCell ref="A13:B13"/>
    <mergeCell ref="A14:B14"/>
    <mergeCell ref="A8:B8"/>
    <mergeCell ref="A40:T40"/>
    <mergeCell ref="A86:B8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102:T102"/>
    <mergeCell ref="A103:B104"/>
    <mergeCell ref="C103:D103"/>
    <mergeCell ref="E103:F103"/>
    <mergeCell ref="G103:H103"/>
    <mergeCell ref="I103:J103"/>
    <mergeCell ref="K103:L103"/>
    <mergeCell ref="M103:N103"/>
    <mergeCell ref="O103:P103"/>
    <mergeCell ref="Q103:R103"/>
    <mergeCell ref="S103:T103"/>
    <mergeCell ref="A114:B11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</mergeCells>
  <printOptions horizontalCentered="1"/>
  <pageMargins left="0.31496062992125984" right="0.31496062992125984" top="0.94488188976377963" bottom="0.74803149606299213" header="0.31496062992125984" footer="0.31496062992125984"/>
  <pageSetup paperSize="9" scale="5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Лист38">
    <tabColor rgb="FFCC00FF"/>
    <pageSetUpPr fitToPage="1"/>
  </sheetPr>
  <dimension ref="A1:EY53"/>
  <sheetViews>
    <sheetView zoomScaleNormal="100" workbookViewId="0">
      <pane xSplit="12" ySplit="23" topLeftCell="EA33" activePane="bottomRight" state="frozen"/>
      <selection pane="topRight" activeCell="M1" sqref="M1"/>
      <selection pane="bottomLeft" activeCell="A23" sqref="A23"/>
      <selection pane="bottomRight" activeCell="ET24" sqref="ET24:EY40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hidden="1" customWidth="1"/>
    <col min="72" max="72" width="12.7109375" style="5" hidden="1" customWidth="1"/>
    <col min="73" max="73" width="10.42578125" style="5" hidden="1" customWidth="1"/>
    <col min="74" max="75" width="9.7109375" style="5" hidden="1" customWidth="1"/>
    <col min="76" max="76" width="10" style="5" hidden="1" customWidth="1"/>
    <col min="77" max="78" width="9.7109375" style="5" hidden="1" customWidth="1"/>
    <col min="79" max="79" width="10.28515625" style="5" hidden="1" customWidth="1"/>
    <col min="80" max="81" width="9.7109375" style="5" hidden="1" customWidth="1"/>
    <col min="82" max="82" width="10.28515625" style="5" hidden="1" customWidth="1"/>
    <col min="83" max="84" width="9.7109375" style="5" hidden="1" customWidth="1"/>
    <col min="85" max="85" width="10.28515625" style="5" hidden="1" customWidth="1"/>
    <col min="86" max="87" width="9.7109375" style="5" hidden="1" customWidth="1"/>
    <col min="88" max="88" width="10.28515625" style="5" hidden="1" customWidth="1"/>
    <col min="89" max="90" width="9.7109375" style="5" hidden="1" customWidth="1"/>
    <col min="91" max="91" width="9.5703125" style="5" hidden="1" customWidth="1"/>
    <col min="92" max="93" width="9.7109375" style="5" hidden="1" customWidth="1"/>
    <col min="94" max="94" width="10.5703125" style="5" hidden="1" customWidth="1"/>
    <col min="95" max="96" width="9.7109375" style="5" hidden="1" customWidth="1"/>
    <col min="97" max="97" width="10.7109375" style="5" customWidth="1"/>
    <col min="98" max="102" width="9.7109375" style="5" customWidth="1"/>
    <col min="103" max="108" width="9.7109375" style="5" hidden="1" customWidth="1"/>
    <col min="109" max="117" width="9.7109375" style="5" customWidth="1"/>
    <col min="118" max="118" width="33.140625" style="5" hidden="1" customWidth="1"/>
    <col min="119" max="119" width="12.7109375" style="5" hidden="1" customWidth="1"/>
    <col min="120" max="125" width="9.7109375" style="5" hidden="1" customWidth="1"/>
    <col min="126" max="128" width="9.7109375" style="5" customWidth="1"/>
    <col min="129" max="134" width="9.140625" style="5"/>
    <col min="135" max="140" width="0" style="5" hidden="1" customWidth="1"/>
    <col min="141" max="16384" width="9.140625" style="5"/>
  </cols>
  <sheetData>
    <row r="1" spans="1:155" x14ac:dyDescent="0.2">
      <c r="BT1" s="5" t="s">
        <v>1499</v>
      </c>
    </row>
    <row r="2" spans="1:155" ht="20.25" x14ac:dyDescent="0.3">
      <c r="A2" s="5950" t="s">
        <v>4044</v>
      </c>
      <c r="B2" s="5951"/>
      <c r="C2" s="5951"/>
      <c r="D2" s="5951"/>
      <c r="E2" s="5951"/>
      <c r="F2" s="5951"/>
      <c r="G2" s="5951"/>
      <c r="H2" s="5951"/>
      <c r="I2" s="5951"/>
      <c r="J2" s="5951"/>
      <c r="K2" s="5951"/>
      <c r="L2" s="5951"/>
      <c r="M2" s="5951"/>
      <c r="N2" s="5951"/>
      <c r="O2" s="5951"/>
      <c r="P2" s="5951"/>
      <c r="Q2" s="5951"/>
      <c r="R2" s="5951"/>
      <c r="S2" s="5951"/>
      <c r="T2" s="5951"/>
      <c r="U2" s="5951"/>
      <c r="V2" s="5951"/>
      <c r="W2" s="5951"/>
      <c r="X2" s="5951"/>
      <c r="Y2" s="5951"/>
      <c r="Z2" s="5951"/>
      <c r="AA2" s="5951"/>
      <c r="AB2" s="5951"/>
      <c r="AC2" s="5951"/>
      <c r="AD2" s="5951"/>
      <c r="AE2" s="5951"/>
      <c r="AF2" s="5951"/>
      <c r="AG2" s="5951"/>
      <c r="AH2" s="5951"/>
      <c r="AI2" s="5951"/>
      <c r="AJ2" s="5951"/>
      <c r="AK2" s="5951"/>
      <c r="AL2" s="5951"/>
      <c r="AM2" s="5951"/>
      <c r="AN2" s="5951"/>
      <c r="AO2" s="5951"/>
      <c r="AP2" s="5951"/>
      <c r="AQ2" s="5951"/>
      <c r="AR2" s="5951"/>
      <c r="AS2" s="5951"/>
      <c r="AT2" s="5951"/>
      <c r="AU2" s="5951"/>
      <c r="AV2" s="5951"/>
      <c r="AW2" s="5951"/>
      <c r="AX2" s="5951"/>
      <c r="AY2" s="5951"/>
      <c r="AZ2" s="5951"/>
      <c r="BA2" s="5951"/>
      <c r="BB2" s="5951"/>
      <c r="BC2" s="5951"/>
      <c r="BD2" s="5951"/>
      <c r="BE2" s="5951"/>
      <c r="BF2" s="5951"/>
      <c r="BG2" s="5951"/>
      <c r="BH2" s="5951"/>
      <c r="BI2" s="5951"/>
      <c r="BJ2" s="5951"/>
      <c r="BK2" s="5951"/>
      <c r="BL2" s="5951"/>
      <c r="BM2" s="5951"/>
      <c r="BN2" s="5951"/>
      <c r="BO2" s="5951"/>
      <c r="BP2" s="5951"/>
      <c r="BQ2" s="5951"/>
      <c r="BR2" s="5951"/>
      <c r="BS2" s="5951"/>
      <c r="BT2" s="5951"/>
      <c r="BU2" s="5951"/>
      <c r="BV2" s="5951"/>
      <c r="BW2" s="5951"/>
      <c r="BX2" s="5951"/>
      <c r="BY2" s="5951"/>
      <c r="BZ2" s="5951"/>
      <c r="CA2" s="5951"/>
      <c r="CB2" s="5951"/>
      <c r="CC2" s="5951"/>
      <c r="CD2" s="5951"/>
      <c r="CE2" s="5951"/>
      <c r="CF2" s="5951"/>
      <c r="CG2" s="5951"/>
      <c r="CH2" s="5951"/>
      <c r="CI2" s="5951"/>
      <c r="CJ2" s="5951"/>
      <c r="CK2" s="5951"/>
      <c r="CL2" s="5951"/>
      <c r="CM2" s="5951"/>
      <c r="CN2" s="5951"/>
      <c r="CO2" s="5951"/>
      <c r="CP2" s="5951"/>
      <c r="CQ2" s="5951"/>
      <c r="CR2" s="5951"/>
      <c r="CS2" s="5951"/>
      <c r="CT2" s="5951"/>
      <c r="CU2" s="5951"/>
      <c r="CV2" s="5951"/>
      <c r="CW2" s="5951"/>
      <c r="CX2" s="5951"/>
      <c r="CY2" s="5951"/>
      <c r="CZ2" s="5951"/>
      <c r="DA2" s="5951"/>
      <c r="DB2" s="5951"/>
      <c r="DC2" s="5951"/>
      <c r="DD2" s="5951"/>
      <c r="DE2" s="5951"/>
      <c r="DF2" s="5951"/>
      <c r="DG2" s="5951"/>
      <c r="DH2" s="5951"/>
      <c r="DI2" s="5951"/>
      <c r="DJ2" s="5951"/>
      <c r="DK2" s="5951"/>
      <c r="DL2" s="5951"/>
      <c r="DM2" s="5951"/>
      <c r="DN2" s="4910"/>
      <c r="DO2" s="4910"/>
      <c r="DP2" s="4910"/>
      <c r="DQ2" s="4910"/>
      <c r="DR2" s="4910"/>
      <c r="DS2" s="4910"/>
      <c r="DT2" s="4910"/>
      <c r="DU2" s="4910"/>
      <c r="DV2" s="4910"/>
      <c r="DW2" s="4910"/>
      <c r="DX2" s="4910"/>
      <c r="DY2" s="4910"/>
      <c r="DZ2" s="4910"/>
      <c r="EA2" s="4910"/>
      <c r="EB2" s="4910"/>
      <c r="EC2" s="4910"/>
      <c r="ED2" s="4910"/>
      <c r="EE2" s="4910"/>
      <c r="EF2" s="4910"/>
      <c r="EG2" s="4910"/>
      <c r="EH2" s="4910"/>
      <c r="EI2" s="4910"/>
      <c r="EJ2" s="4910"/>
      <c r="EK2" s="4910"/>
      <c r="EL2" s="4910"/>
      <c r="EM2" s="4910"/>
      <c r="EN2" s="4910"/>
      <c r="EO2" s="4910"/>
      <c r="EP2" s="4910"/>
      <c r="EQ2" s="4910"/>
      <c r="ER2" s="4910"/>
      <c r="ES2" s="4910"/>
      <c r="ET2" s="4910"/>
      <c r="EU2" s="4910"/>
      <c r="EV2" s="4910"/>
      <c r="EW2" s="4910"/>
      <c r="EX2" s="4910"/>
      <c r="EY2" s="4910"/>
    </row>
    <row r="3" spans="1:155" ht="19.5" hidden="1" thickBot="1" x14ac:dyDescent="0.35">
      <c r="A3" s="5902"/>
      <c r="B3" s="5902"/>
      <c r="C3" s="5902"/>
      <c r="D3" s="5902"/>
      <c r="E3" s="5902"/>
      <c r="F3" s="5902"/>
      <c r="G3" s="5902"/>
      <c r="H3" s="5902"/>
      <c r="I3" s="5902"/>
      <c r="J3" s="5902"/>
      <c r="K3" s="5902"/>
      <c r="L3" s="5902"/>
      <c r="M3" s="5902"/>
      <c r="N3" s="5902"/>
      <c r="O3" s="5902"/>
      <c r="P3" s="5902"/>
      <c r="Q3" s="5902"/>
      <c r="R3" s="5902"/>
      <c r="S3" s="5902"/>
      <c r="T3" s="5902"/>
      <c r="U3" s="5902"/>
      <c r="V3" s="5902"/>
      <c r="W3" s="5902"/>
      <c r="X3" s="5902"/>
      <c r="Y3" s="5902"/>
      <c r="Z3" s="5902"/>
      <c r="AA3" s="5902"/>
      <c r="AB3" s="5902"/>
      <c r="AC3" s="5902"/>
      <c r="AD3" s="5902"/>
      <c r="AE3" s="5902"/>
      <c r="AF3" s="5902"/>
      <c r="AG3" s="5902"/>
      <c r="AH3" s="5902"/>
      <c r="AI3" s="5902"/>
      <c r="AJ3" s="5902"/>
      <c r="AK3" s="5902"/>
      <c r="AL3" s="5902"/>
      <c r="AM3" s="5902"/>
      <c r="AN3" s="5902"/>
      <c r="AO3" s="5902"/>
      <c r="AP3" s="5902"/>
      <c r="AQ3" s="819"/>
      <c r="AR3" s="819"/>
      <c r="AS3" s="819"/>
      <c r="AT3" s="819"/>
      <c r="AU3" s="819"/>
      <c r="AV3" s="819"/>
      <c r="AW3" s="819"/>
      <c r="AX3" s="2617"/>
      <c r="AY3" s="2617"/>
      <c r="AZ3" s="2617"/>
      <c r="BA3" s="2617"/>
      <c r="BB3" s="2617"/>
      <c r="BC3" s="2617"/>
      <c r="BD3" s="2617"/>
      <c r="BE3" s="2617"/>
      <c r="BF3" s="2617"/>
      <c r="BG3" s="2617"/>
      <c r="BH3" s="2617"/>
      <c r="BI3" s="2617"/>
      <c r="BJ3" s="2617"/>
      <c r="BK3" s="2617"/>
      <c r="BL3" s="2617"/>
      <c r="BM3" s="2617"/>
      <c r="BN3" s="2617"/>
      <c r="BO3" s="2617"/>
      <c r="BP3" s="2617"/>
      <c r="BQ3" s="2617"/>
      <c r="BR3" s="2617"/>
      <c r="BS3" s="2617"/>
      <c r="BT3" s="2617"/>
      <c r="BU3" s="2617"/>
      <c r="BV3" s="2617"/>
      <c r="BW3" s="2617"/>
      <c r="BX3" s="2617"/>
      <c r="BY3" s="2617"/>
      <c r="BZ3" s="2617"/>
      <c r="CA3" s="2617"/>
      <c r="CB3" s="2617"/>
      <c r="CC3" s="2617"/>
      <c r="CD3" s="2617"/>
      <c r="CE3" s="2617"/>
      <c r="CF3" s="2617"/>
      <c r="CG3" s="2617"/>
      <c r="CH3" s="2617"/>
      <c r="CI3" s="2617"/>
      <c r="CJ3" s="2617"/>
      <c r="CK3" s="2617"/>
      <c r="CL3" s="2617"/>
      <c r="CM3" s="2617"/>
      <c r="CN3" s="2617"/>
      <c r="CO3" s="2617"/>
      <c r="CP3" s="2617"/>
      <c r="CQ3" s="2617"/>
      <c r="CR3" s="2617"/>
      <c r="CS3" s="2617"/>
      <c r="CT3" s="2617"/>
      <c r="CU3" s="2617"/>
      <c r="CV3" s="2617"/>
      <c r="CW3" s="2617"/>
      <c r="CX3" s="2617"/>
      <c r="CY3" s="2617"/>
      <c r="CZ3" s="2617"/>
      <c r="DA3" s="2617"/>
      <c r="DB3" s="2617"/>
      <c r="DC3" s="2617"/>
      <c r="DD3" s="2617"/>
      <c r="DE3" s="2617"/>
      <c r="DF3" s="2617"/>
      <c r="DG3" s="2617"/>
      <c r="DH3" s="2617"/>
      <c r="DI3" s="2617"/>
      <c r="DJ3" s="2617"/>
      <c r="DK3" s="2617"/>
      <c r="DL3" s="2617"/>
      <c r="DM3" s="2617"/>
      <c r="DN3" s="389"/>
      <c r="DO3" s="389"/>
    </row>
    <row r="4" spans="1:155" ht="23.25" hidden="1" customHeight="1" thickBot="1" x14ac:dyDescent="0.25">
      <c r="A4" s="5922" t="s">
        <v>165</v>
      </c>
      <c r="B4" s="5925" t="s">
        <v>166</v>
      </c>
      <c r="C4" s="5928" t="s">
        <v>167</v>
      </c>
      <c r="D4" s="5929"/>
      <c r="E4" s="5930"/>
      <c r="F4" s="5928" t="s">
        <v>168</v>
      </c>
      <c r="G4" s="5929"/>
      <c r="H4" s="5929"/>
      <c r="I4" s="5955" t="s">
        <v>169</v>
      </c>
      <c r="J4" s="5955"/>
      <c r="K4" s="5955"/>
      <c r="L4" s="5955"/>
      <c r="M4" s="5928" t="s">
        <v>170</v>
      </c>
      <c r="N4" s="5929"/>
      <c r="O4" s="5930"/>
      <c r="P4" s="5928" t="s">
        <v>188</v>
      </c>
      <c r="Q4" s="5929"/>
      <c r="R4" s="5930"/>
      <c r="S4" s="5928" t="s">
        <v>189</v>
      </c>
      <c r="T4" s="5929"/>
      <c r="U4" s="5930"/>
      <c r="V4" s="5928" t="s">
        <v>190</v>
      </c>
      <c r="W4" s="5929"/>
      <c r="X4" s="5930"/>
      <c r="Y4" s="5928" t="s">
        <v>242</v>
      </c>
      <c r="Z4" s="5929"/>
      <c r="AA4" s="5930"/>
      <c r="AB4" s="5928" t="s">
        <v>191</v>
      </c>
      <c r="AC4" s="5929"/>
      <c r="AD4" s="5929"/>
      <c r="AE4" s="5929"/>
      <c r="AF4" s="5930"/>
      <c r="AG4" s="5947" t="s">
        <v>171</v>
      </c>
      <c r="AH4" s="5948"/>
      <c r="AI4" s="5948"/>
      <c r="AJ4" s="5948"/>
      <c r="AK4" s="5949"/>
      <c r="AL4" s="5928" t="s">
        <v>223</v>
      </c>
      <c r="AM4" s="5929"/>
      <c r="AN4" s="5929"/>
      <c r="AO4" s="5929"/>
      <c r="AP4" s="5930"/>
      <c r="AQ4" s="3070"/>
      <c r="AR4" s="3070"/>
      <c r="AS4" s="3070"/>
      <c r="AT4" s="3070"/>
      <c r="AU4" s="5928" t="s">
        <v>224</v>
      </c>
      <c r="AV4" s="5929"/>
      <c r="AW4" s="5930"/>
      <c r="AX4" s="5928" t="s">
        <v>349</v>
      </c>
      <c r="AY4" s="5929"/>
      <c r="AZ4" s="5930"/>
      <c r="BA4" s="5928" t="s">
        <v>364</v>
      </c>
      <c r="BB4" s="5929"/>
      <c r="BC4" s="5929"/>
      <c r="BD4" s="5952" t="s">
        <v>372</v>
      </c>
      <c r="BE4" s="1378"/>
      <c r="BF4" s="1378"/>
      <c r="BG4" s="1378"/>
      <c r="BH4" s="1378"/>
      <c r="BI4" s="1378"/>
      <c r="BJ4" s="1378"/>
      <c r="BK4" s="1378"/>
      <c r="BL4" s="1378"/>
      <c r="BM4" s="1378"/>
      <c r="BN4" s="1378"/>
      <c r="BO4" s="1378"/>
      <c r="BP4" s="1378"/>
      <c r="BQ4" s="1378"/>
      <c r="BR4" s="1378"/>
      <c r="BS4" s="1378"/>
      <c r="BT4" s="1378"/>
      <c r="BU4" s="1378"/>
      <c r="BV4" s="1378"/>
      <c r="BW4" s="1378"/>
      <c r="BX4" s="1378"/>
      <c r="BY4" s="1378"/>
      <c r="BZ4" s="1378"/>
      <c r="CA4" s="1378"/>
      <c r="CB4" s="1378"/>
      <c r="CC4" s="1378"/>
      <c r="CD4" s="1378"/>
      <c r="CE4" s="1378"/>
      <c r="CF4" s="1378"/>
      <c r="CG4" s="1378"/>
      <c r="CH4" s="1378"/>
      <c r="CI4" s="1378"/>
      <c r="CJ4" s="1378"/>
      <c r="CK4" s="1378"/>
      <c r="CL4" s="1378"/>
      <c r="CM4" s="1378"/>
      <c r="CN4" s="1378"/>
      <c r="CO4" s="1378"/>
      <c r="CP4" s="1378"/>
      <c r="CQ4" s="1378"/>
      <c r="CR4" s="1378"/>
      <c r="CS4" s="1378"/>
      <c r="CT4" s="1378"/>
      <c r="CU4" s="1378"/>
      <c r="CV4" s="1378"/>
      <c r="CW4" s="1378"/>
      <c r="CX4" s="1378"/>
      <c r="CY4" s="1378"/>
      <c r="CZ4" s="1378"/>
      <c r="DA4" s="1378"/>
      <c r="DB4" s="1378"/>
      <c r="DC4" s="1378"/>
      <c r="DD4" s="1378"/>
      <c r="DE4" s="1378"/>
      <c r="DF4" s="1378"/>
      <c r="DG4" s="1378"/>
      <c r="DH4" s="1378"/>
      <c r="DI4" s="1378"/>
      <c r="DJ4" s="1378"/>
      <c r="DK4" s="1378"/>
      <c r="DL4" s="1378"/>
      <c r="DM4" s="1378"/>
      <c r="DN4" s="453"/>
      <c r="DO4" s="453"/>
    </row>
    <row r="5" spans="1:155" ht="22.5" hidden="1" customHeight="1" x14ac:dyDescent="0.2">
      <c r="A5" s="5923"/>
      <c r="B5" s="5926"/>
      <c r="C5" s="5931"/>
      <c r="D5" s="5932"/>
      <c r="E5" s="5933"/>
      <c r="F5" s="5931"/>
      <c r="G5" s="5932"/>
      <c r="H5" s="5932"/>
      <c r="I5" s="1378"/>
      <c r="J5" s="1378"/>
      <c r="K5" s="1378"/>
      <c r="L5" s="3112"/>
      <c r="M5" s="5931"/>
      <c r="N5" s="5932"/>
      <c r="O5" s="5933"/>
      <c r="P5" s="5931"/>
      <c r="Q5" s="5932"/>
      <c r="R5" s="5933"/>
      <c r="S5" s="5931"/>
      <c r="T5" s="5932"/>
      <c r="U5" s="5933"/>
      <c r="V5" s="5931"/>
      <c r="W5" s="5932"/>
      <c r="X5" s="5933"/>
      <c r="Y5" s="5931"/>
      <c r="Z5" s="5932"/>
      <c r="AA5" s="5933"/>
      <c r="AB5" s="5931"/>
      <c r="AC5" s="5932"/>
      <c r="AD5" s="5932"/>
      <c r="AE5" s="5932"/>
      <c r="AF5" s="5933"/>
      <c r="AG5" s="5922" t="s">
        <v>172</v>
      </c>
      <c r="AH5" s="5945" t="s">
        <v>173</v>
      </c>
      <c r="AI5" s="5945"/>
      <c r="AJ5" s="5945" t="s">
        <v>174</v>
      </c>
      <c r="AK5" s="5946"/>
      <c r="AL5" s="5931"/>
      <c r="AM5" s="5932"/>
      <c r="AN5" s="5932"/>
      <c r="AO5" s="5932"/>
      <c r="AP5" s="5933"/>
      <c r="AQ5" s="3071"/>
      <c r="AR5" s="3071"/>
      <c r="AS5" s="3071"/>
      <c r="AT5" s="3071"/>
      <c r="AU5" s="5931"/>
      <c r="AV5" s="5932"/>
      <c r="AW5" s="5933"/>
      <c r="AX5" s="5931"/>
      <c r="AY5" s="5932"/>
      <c r="AZ5" s="5933"/>
      <c r="BA5" s="5931"/>
      <c r="BB5" s="5932"/>
      <c r="BC5" s="5932"/>
      <c r="BD5" s="5953"/>
      <c r="BE5" s="1378"/>
      <c r="BF5" s="1378"/>
      <c r="BG5" s="1378"/>
      <c r="BH5" s="1378"/>
      <c r="BI5" s="1378"/>
      <c r="BJ5" s="1378"/>
      <c r="BK5" s="1378"/>
      <c r="BL5" s="1378"/>
      <c r="BM5" s="1378"/>
      <c r="BN5" s="1378"/>
      <c r="BO5" s="1378"/>
      <c r="BP5" s="1378"/>
      <c r="BQ5" s="1378"/>
      <c r="BR5" s="1378"/>
      <c r="BS5" s="1378"/>
      <c r="BT5" s="1378"/>
      <c r="BU5" s="1378"/>
      <c r="BV5" s="1378"/>
      <c r="BW5" s="1378"/>
      <c r="BX5" s="1378"/>
      <c r="BY5" s="1378"/>
      <c r="BZ5" s="1378"/>
      <c r="CA5" s="1378"/>
      <c r="CB5" s="1378"/>
      <c r="CC5" s="1378"/>
      <c r="CD5" s="1378"/>
      <c r="CE5" s="1378"/>
      <c r="CF5" s="1378"/>
      <c r="CG5" s="1378"/>
      <c r="CH5" s="1378"/>
      <c r="CI5" s="1378"/>
      <c r="CJ5" s="1378"/>
      <c r="CK5" s="1378"/>
      <c r="CL5" s="1378"/>
      <c r="CM5" s="1378"/>
      <c r="CN5" s="1378"/>
      <c r="CO5" s="1378"/>
      <c r="CP5" s="1378"/>
      <c r="CQ5" s="1378"/>
      <c r="CR5" s="1378"/>
      <c r="CS5" s="1378"/>
      <c r="CT5" s="1378"/>
      <c r="CU5" s="1378"/>
      <c r="CV5" s="1378"/>
      <c r="CW5" s="1378"/>
      <c r="CX5" s="1378"/>
      <c r="CY5" s="1378"/>
      <c r="CZ5" s="1378"/>
      <c r="DA5" s="1378"/>
      <c r="DB5" s="1378"/>
      <c r="DC5" s="1378"/>
      <c r="DD5" s="1378"/>
      <c r="DE5" s="1378"/>
      <c r="DF5" s="1378"/>
      <c r="DG5" s="1378"/>
      <c r="DH5" s="1378"/>
      <c r="DI5" s="1378"/>
      <c r="DJ5" s="1378"/>
      <c r="DK5" s="1378"/>
      <c r="DL5" s="1378"/>
      <c r="DM5" s="1378"/>
      <c r="DN5" s="453"/>
      <c r="DO5" s="453"/>
    </row>
    <row r="6" spans="1:155" ht="63" hidden="1" customHeight="1" thickBot="1" x14ac:dyDescent="0.25">
      <c r="A6" s="5924"/>
      <c r="B6" s="5927"/>
      <c r="C6" s="3113" t="s">
        <v>172</v>
      </c>
      <c r="D6" s="3114" t="s">
        <v>175</v>
      </c>
      <c r="E6" s="512" t="s">
        <v>176</v>
      </c>
      <c r="F6" s="3113" t="s">
        <v>172</v>
      </c>
      <c r="G6" s="3114" t="s">
        <v>175</v>
      </c>
      <c r="H6" s="3115" t="s">
        <v>176</v>
      </c>
      <c r="I6" s="3113" t="s">
        <v>172</v>
      </c>
      <c r="J6" s="3114" t="s">
        <v>175</v>
      </c>
      <c r="K6" s="3114" t="s">
        <v>177</v>
      </c>
      <c r="L6" s="512" t="s">
        <v>176</v>
      </c>
      <c r="M6" s="3116" t="s">
        <v>172</v>
      </c>
      <c r="N6" s="3114" t="s">
        <v>175</v>
      </c>
      <c r="O6" s="3115" t="s">
        <v>176</v>
      </c>
      <c r="P6" s="3116" t="s">
        <v>172</v>
      </c>
      <c r="Q6" s="379" t="s">
        <v>175</v>
      </c>
      <c r="R6" s="3115" t="s">
        <v>176</v>
      </c>
      <c r="S6" s="387" t="s">
        <v>172</v>
      </c>
      <c r="T6" s="379" t="s">
        <v>175</v>
      </c>
      <c r="U6" s="386" t="s">
        <v>176</v>
      </c>
      <c r="V6" s="3117" t="s">
        <v>172</v>
      </c>
      <c r="W6" s="379" t="s">
        <v>175</v>
      </c>
      <c r="X6" s="386" t="s">
        <v>176</v>
      </c>
      <c r="Y6" s="387" t="s">
        <v>172</v>
      </c>
      <c r="Z6" s="379" t="s">
        <v>175</v>
      </c>
      <c r="AA6" s="386" t="s">
        <v>176</v>
      </c>
      <c r="AB6" s="387" t="s">
        <v>172</v>
      </c>
      <c r="AC6" s="379" t="s">
        <v>175</v>
      </c>
      <c r="AD6" s="456" t="s">
        <v>199</v>
      </c>
      <c r="AE6" s="456" t="s">
        <v>200</v>
      </c>
      <c r="AF6" s="386" t="s">
        <v>176</v>
      </c>
      <c r="AG6" s="5923"/>
      <c r="AH6" s="379" t="s">
        <v>178</v>
      </c>
      <c r="AI6" s="379" t="s">
        <v>179</v>
      </c>
      <c r="AJ6" s="379" t="s">
        <v>180</v>
      </c>
      <c r="AK6" s="386" t="s">
        <v>181</v>
      </c>
      <c r="AL6" s="387" t="s">
        <v>172</v>
      </c>
      <c r="AM6" s="379" t="s">
        <v>175</v>
      </c>
      <c r="AN6" s="456" t="s">
        <v>199</v>
      </c>
      <c r="AO6" s="456" t="s">
        <v>200</v>
      </c>
      <c r="AP6" s="386" t="s">
        <v>176</v>
      </c>
      <c r="AQ6" s="841"/>
      <c r="AR6" s="841"/>
      <c r="AS6" s="841"/>
      <c r="AT6" s="841"/>
      <c r="AU6" s="387" t="s">
        <v>172</v>
      </c>
      <c r="AV6" s="379" t="s">
        <v>175</v>
      </c>
      <c r="AW6" s="386" t="s">
        <v>176</v>
      </c>
      <c r="AX6" s="387" t="s">
        <v>172</v>
      </c>
      <c r="AY6" s="379" t="s">
        <v>175</v>
      </c>
      <c r="AZ6" s="386" t="s">
        <v>176</v>
      </c>
      <c r="BA6" s="387" t="s">
        <v>172</v>
      </c>
      <c r="BB6" s="379" t="s">
        <v>175</v>
      </c>
      <c r="BC6" s="456" t="s">
        <v>176</v>
      </c>
      <c r="BD6" s="5954"/>
      <c r="BE6" s="1378"/>
      <c r="BF6" s="1378"/>
      <c r="BG6" s="1378"/>
      <c r="BH6" s="1378"/>
      <c r="BI6" s="1378"/>
      <c r="BJ6" s="1378"/>
      <c r="BK6" s="1378"/>
      <c r="BL6" s="1378"/>
      <c r="BM6" s="1378"/>
      <c r="BN6" s="1378"/>
      <c r="BO6" s="1378"/>
      <c r="BP6" s="1378"/>
      <c r="BQ6" s="1378"/>
      <c r="BR6" s="1378"/>
      <c r="BS6" s="1378"/>
      <c r="BT6" s="1378"/>
      <c r="BU6" s="1378"/>
      <c r="BV6" s="1378"/>
      <c r="BW6" s="1378"/>
      <c r="BX6" s="1378"/>
      <c r="BY6" s="1378"/>
      <c r="BZ6" s="1378"/>
      <c r="CA6" s="1378"/>
      <c r="CB6" s="1378"/>
      <c r="CC6" s="1378"/>
      <c r="CD6" s="1378"/>
      <c r="CE6" s="1378"/>
      <c r="CF6" s="1378"/>
      <c r="CG6" s="1378"/>
      <c r="CH6" s="1378"/>
      <c r="CI6" s="1378"/>
      <c r="CJ6" s="1378"/>
      <c r="CK6" s="1378"/>
      <c r="CL6" s="1378"/>
      <c r="CM6" s="1378"/>
      <c r="CN6" s="1378"/>
      <c r="CO6" s="1378"/>
      <c r="CP6" s="1378"/>
      <c r="CQ6" s="1378"/>
      <c r="CR6" s="1378"/>
      <c r="CS6" s="1378"/>
      <c r="CT6" s="1378"/>
      <c r="CU6" s="1378"/>
      <c r="CV6" s="1378"/>
      <c r="CW6" s="1378"/>
      <c r="CX6" s="1378"/>
      <c r="CY6" s="1378"/>
      <c r="CZ6" s="1378"/>
      <c r="DA6" s="1378"/>
      <c r="DB6" s="1378"/>
      <c r="DC6" s="1378"/>
      <c r="DD6" s="1378"/>
      <c r="DE6" s="1378"/>
      <c r="DF6" s="1378"/>
      <c r="DG6" s="1378"/>
      <c r="DH6" s="1378"/>
      <c r="DI6" s="1378"/>
      <c r="DJ6" s="1378"/>
      <c r="DK6" s="1378"/>
      <c r="DL6" s="1378"/>
      <c r="DM6" s="1378"/>
      <c r="DN6" s="453"/>
      <c r="DO6" s="453"/>
    </row>
    <row r="7" spans="1:155" ht="18.75" hidden="1" x14ac:dyDescent="0.3">
      <c r="A7" s="3078"/>
      <c r="B7" s="3118"/>
      <c r="C7" s="3119"/>
      <c r="D7" s="3120"/>
      <c r="E7" s="3118"/>
      <c r="F7" s="3121"/>
      <c r="G7" s="3120"/>
      <c r="H7" s="463"/>
      <c r="I7" s="3121"/>
      <c r="J7" s="3120"/>
      <c r="K7" s="3120"/>
      <c r="L7" s="463"/>
      <c r="M7" s="3122"/>
      <c r="N7" s="3123"/>
      <c r="O7" s="466"/>
      <c r="P7" s="467"/>
      <c r="Q7" s="374"/>
      <c r="R7" s="467"/>
      <c r="S7" s="2067"/>
      <c r="T7" s="2065"/>
      <c r="U7" s="2066"/>
      <c r="V7" s="3124"/>
      <c r="W7" s="2065"/>
      <c r="X7" s="2066"/>
      <c r="Y7" s="2067"/>
      <c r="Z7" s="2065"/>
      <c r="AA7" s="2066"/>
      <c r="AB7" s="2067"/>
      <c r="AC7" s="2065"/>
      <c r="AD7" s="2069"/>
      <c r="AE7" s="2069"/>
      <c r="AF7" s="2066"/>
      <c r="AG7" s="2067"/>
      <c r="AH7" s="2065"/>
      <c r="AI7" s="2065"/>
      <c r="AJ7" s="2065"/>
      <c r="AK7" s="466"/>
      <c r="AL7" s="2067"/>
      <c r="AM7" s="2065"/>
      <c r="AN7" s="2069"/>
      <c r="AO7" s="2069"/>
      <c r="AP7" s="2066"/>
      <c r="AQ7" s="842"/>
      <c r="AR7" s="842"/>
      <c r="AS7" s="842"/>
      <c r="AT7" s="842"/>
      <c r="AU7" s="2067"/>
      <c r="AV7" s="2065"/>
      <c r="AW7" s="2066"/>
      <c r="AX7" s="2067"/>
      <c r="AY7" s="2065"/>
      <c r="AZ7" s="2066"/>
      <c r="BA7" s="2067"/>
      <c r="BB7" s="2065"/>
      <c r="BC7" s="2069"/>
      <c r="BD7" s="3125"/>
      <c r="BE7" s="3126"/>
      <c r="BF7" s="3126"/>
      <c r="BG7" s="3126"/>
      <c r="BH7" s="3126"/>
      <c r="BI7" s="3126"/>
      <c r="BJ7" s="3126"/>
      <c r="BK7" s="3126"/>
      <c r="BL7" s="3126"/>
      <c r="BM7" s="3126"/>
      <c r="BN7" s="3126"/>
      <c r="BO7" s="3126"/>
      <c r="BP7" s="3126"/>
      <c r="BQ7" s="3126"/>
      <c r="BR7" s="3126"/>
      <c r="BS7" s="3126"/>
      <c r="BT7" s="3126"/>
      <c r="BU7" s="3126"/>
      <c r="BV7" s="3126"/>
      <c r="BW7" s="3126"/>
      <c r="BX7" s="3126"/>
      <c r="BY7" s="3126"/>
      <c r="BZ7" s="3126"/>
      <c r="CA7" s="3126"/>
      <c r="CB7" s="3126"/>
      <c r="CC7" s="3126"/>
      <c r="CD7" s="3126"/>
      <c r="CE7" s="3126"/>
      <c r="CF7" s="3126"/>
      <c r="CG7" s="3126"/>
      <c r="CH7" s="3126"/>
      <c r="CI7" s="3126"/>
      <c r="CJ7" s="3126"/>
      <c r="CK7" s="3126"/>
      <c r="CL7" s="3126"/>
      <c r="CM7" s="3126"/>
      <c r="CN7" s="3126"/>
      <c r="CO7" s="3126"/>
      <c r="CP7" s="3126"/>
      <c r="CQ7" s="3126"/>
      <c r="CR7" s="3126"/>
      <c r="CS7" s="3126"/>
      <c r="CT7" s="3126"/>
      <c r="CU7" s="3126"/>
      <c r="CV7" s="3126"/>
      <c r="CW7" s="3126"/>
      <c r="CX7" s="3126"/>
      <c r="CY7" s="3126"/>
      <c r="CZ7" s="3126"/>
      <c r="DA7" s="3126"/>
      <c r="DB7" s="3126"/>
      <c r="DC7" s="3126"/>
      <c r="DD7" s="3126"/>
      <c r="DE7" s="3126"/>
      <c r="DF7" s="3126"/>
      <c r="DG7" s="3126"/>
      <c r="DH7" s="3126"/>
      <c r="DI7" s="3126"/>
      <c r="DJ7" s="3126"/>
      <c r="DK7" s="3126"/>
      <c r="DL7" s="3126"/>
      <c r="DM7" s="3126"/>
      <c r="DN7" s="2096"/>
      <c r="DO7" s="2096"/>
    </row>
    <row r="8" spans="1:155" ht="93.75" hidden="1" x14ac:dyDescent="0.3">
      <c r="A8" s="3127" t="s">
        <v>182</v>
      </c>
      <c r="B8" s="3128" t="s">
        <v>194</v>
      </c>
      <c r="C8" s="3129">
        <v>840</v>
      </c>
      <c r="D8" s="475">
        <v>12146</v>
      </c>
      <c r="E8" s="476">
        <v>122429.8</v>
      </c>
      <c r="F8" s="3130">
        <f>F9+F10</f>
        <v>813</v>
      </c>
      <c r="G8" s="475">
        <f>(G9*F9+G10*F10)/(F9+F10)</f>
        <v>12443.442804428045</v>
      </c>
      <c r="H8" s="483">
        <f>H10+H9</f>
        <v>121398.228</v>
      </c>
      <c r="I8" s="478">
        <v>799</v>
      </c>
      <c r="J8" s="475">
        <v>13361</v>
      </c>
      <c r="K8" s="3131">
        <f>J8/G8</f>
        <v>1.07373820975377</v>
      </c>
      <c r="L8" s="483">
        <v>128108.9</v>
      </c>
      <c r="M8" s="478">
        <f>M9+M10+M11+M12</f>
        <v>155.5</v>
      </c>
      <c r="N8" s="475">
        <f>O8/M8/12*1000</f>
        <v>17474.049303322616</v>
      </c>
      <c r="O8" s="476">
        <f>O9+O10+O11+O12</f>
        <v>32606.576000000001</v>
      </c>
      <c r="P8" s="3132">
        <f>SUM(P9:P12)</f>
        <v>150</v>
      </c>
      <c r="Q8" s="3133">
        <f>R8/P8/12*1000</f>
        <v>20234.871111111108</v>
      </c>
      <c r="R8" s="3132">
        <f>SUM(R9:R12)</f>
        <v>36422.767999999996</v>
      </c>
      <c r="S8" s="3134">
        <f>S9+S10+S11+S12</f>
        <v>155</v>
      </c>
      <c r="T8" s="3135">
        <f>U8/S8/12*1000</f>
        <v>19690.870967741936</v>
      </c>
      <c r="U8" s="3136">
        <f>U9+U10+U11+U12</f>
        <v>36625.020000000004</v>
      </c>
      <c r="V8" s="3137">
        <f>V9+V10+V11+V12</f>
        <v>149</v>
      </c>
      <c r="W8" s="3135">
        <f>X8/V8/12*1000</f>
        <v>8464.3176733780765</v>
      </c>
      <c r="X8" s="3138">
        <f>X9+X10</f>
        <v>15134.2</v>
      </c>
      <c r="Y8" s="474">
        <f>Y9+Y10+Y11+Y12</f>
        <v>155</v>
      </c>
      <c r="Z8" s="475">
        <f>AA8/Y8/12*1000</f>
        <v>19376.075268817203</v>
      </c>
      <c r="AA8" s="476">
        <f>AA9+AA10+AA11+AA12</f>
        <v>36039.5</v>
      </c>
      <c r="AB8" s="474">
        <f>AB9+AB10+AB11+AB12</f>
        <v>155</v>
      </c>
      <c r="AC8" s="475">
        <f>AF8/AB8/12*1000</f>
        <v>24645.696774193548</v>
      </c>
      <c r="AD8" s="477">
        <f>AC8/T8*100</f>
        <v>125.16306066180987</v>
      </c>
      <c r="AE8" s="477">
        <f>AC8/Z8*100</f>
        <v>127.19653713286812</v>
      </c>
      <c r="AF8" s="476">
        <f>AF9+AF10+AF11+AF12</f>
        <v>45840.995999999999</v>
      </c>
      <c r="AG8" s="478">
        <f>AG9+AG10</f>
        <v>94</v>
      </c>
      <c r="AH8" s="475">
        <f>AJ8/AG8/12*1000</f>
        <v>19182.659183059011</v>
      </c>
      <c r="AI8" s="479">
        <f>AH8/Z8*100</f>
        <v>99.001778827369307</v>
      </c>
      <c r="AJ8" s="480">
        <f>AJ9+AJ10</f>
        <v>21638.039558490564</v>
      </c>
      <c r="AK8" s="481">
        <f>AJ8/U8*100</f>
        <v>59.079939228676359</v>
      </c>
      <c r="AL8" s="474">
        <f>AL9+AL10+AL11+AL12</f>
        <v>155</v>
      </c>
      <c r="AM8" s="475">
        <f>AP8/AL8/12*1000</f>
        <v>21088.92280645161</v>
      </c>
      <c r="AN8" s="482">
        <f>AM8/T8*100</f>
        <v>107.1</v>
      </c>
      <c r="AO8" s="477">
        <f>AM8/AJ8*100</f>
        <v>97.462262001348989</v>
      </c>
      <c r="AP8" s="476">
        <f>AP9+AP10+AP11+AP12</f>
        <v>39225.396419999997</v>
      </c>
      <c r="AQ8" s="843"/>
      <c r="AR8" s="843"/>
      <c r="AS8" s="843"/>
      <c r="AT8" s="843"/>
      <c r="AU8" s="474">
        <f>AU9+AU10+AU11+AU12</f>
        <v>151</v>
      </c>
      <c r="AV8" s="475">
        <f>AW8/AU8/9*1000</f>
        <v>22518.469462840323</v>
      </c>
      <c r="AW8" s="476">
        <f>AW9+AW10+AW11+AW12</f>
        <v>30602.6</v>
      </c>
      <c r="AX8" s="474">
        <f>AX9+AX10+AX11+AX12</f>
        <v>151</v>
      </c>
      <c r="AY8" s="475">
        <f>AZ8/AX8/3*1000</f>
        <v>25066.88741721855</v>
      </c>
      <c r="AZ8" s="476">
        <f>AZ9+AZ10+AZ11+AZ12</f>
        <v>11355.300000000001</v>
      </c>
      <c r="BA8" s="474">
        <f>BA9+BA10+BA11+BA12</f>
        <v>150</v>
      </c>
      <c r="BB8" s="475">
        <f>BC8/BA8/12*1000</f>
        <v>22582.944444444442</v>
      </c>
      <c r="BC8" s="483">
        <f>BC9+BC10+BC11+BC12</f>
        <v>40649.299999999996</v>
      </c>
      <c r="BD8" s="3139">
        <f>(M8+P8+Y8+BA8)/4</f>
        <v>152.625</v>
      </c>
      <c r="BE8" s="3140"/>
      <c r="BF8" s="3140"/>
      <c r="BG8" s="3140"/>
      <c r="BH8" s="3140"/>
      <c r="BI8" s="3140"/>
      <c r="BJ8" s="3140"/>
      <c r="BK8" s="3140"/>
      <c r="BL8" s="3140"/>
      <c r="BM8" s="3140"/>
      <c r="BN8" s="3140"/>
      <c r="BO8" s="3140"/>
      <c r="BP8" s="3140"/>
      <c r="BQ8" s="3140"/>
      <c r="BR8" s="3140"/>
      <c r="BS8" s="3140"/>
      <c r="BT8" s="3140"/>
      <c r="BU8" s="3140"/>
      <c r="BV8" s="3140"/>
      <c r="BW8" s="3140"/>
      <c r="BX8" s="3140"/>
      <c r="BY8" s="3140"/>
      <c r="BZ8" s="3140"/>
      <c r="CA8" s="3140"/>
      <c r="CB8" s="3140"/>
      <c r="CC8" s="3140"/>
      <c r="CD8" s="3140"/>
      <c r="CE8" s="3140"/>
      <c r="CF8" s="3140"/>
      <c r="CG8" s="3140"/>
      <c r="CH8" s="3140"/>
      <c r="CI8" s="3140"/>
      <c r="CJ8" s="3140"/>
      <c r="CK8" s="3140"/>
      <c r="CL8" s="3140"/>
      <c r="CM8" s="3140"/>
      <c r="CN8" s="3140"/>
      <c r="CO8" s="3140"/>
      <c r="CP8" s="3140"/>
      <c r="CQ8" s="3140"/>
      <c r="CR8" s="3140"/>
      <c r="CS8" s="3140"/>
      <c r="CT8" s="3140"/>
      <c r="CU8" s="3140"/>
      <c r="CV8" s="3140"/>
      <c r="CW8" s="3140"/>
      <c r="CX8" s="3140"/>
      <c r="CY8" s="3140"/>
      <c r="CZ8" s="3140"/>
      <c r="DA8" s="3140"/>
      <c r="DB8" s="3140"/>
      <c r="DC8" s="3140"/>
      <c r="DD8" s="3140"/>
      <c r="DE8" s="3140"/>
      <c r="DF8" s="3140"/>
      <c r="DG8" s="3140"/>
      <c r="DH8" s="3140"/>
      <c r="DI8" s="3140"/>
      <c r="DJ8" s="3140"/>
      <c r="DK8" s="3140"/>
      <c r="DL8" s="3140"/>
      <c r="DM8" s="3140"/>
      <c r="DN8" s="2097"/>
      <c r="DO8" s="2097"/>
    </row>
    <row r="9" spans="1:155" ht="18.75" hidden="1" x14ac:dyDescent="0.3">
      <c r="A9" s="3141" t="s">
        <v>183</v>
      </c>
      <c r="B9" s="3142" t="s">
        <v>82</v>
      </c>
      <c r="C9" s="3143">
        <v>456</v>
      </c>
      <c r="D9" s="3144">
        <v>12405</v>
      </c>
      <c r="E9" s="486">
        <v>67882.600000000006</v>
      </c>
      <c r="F9" s="3145">
        <v>444</v>
      </c>
      <c r="G9" s="3144">
        <v>12620</v>
      </c>
      <c r="H9" s="493">
        <f>F9*G9*12/1000</f>
        <v>67239.360000000001</v>
      </c>
      <c r="I9" s="3146">
        <v>435</v>
      </c>
      <c r="J9" s="3144">
        <v>13646</v>
      </c>
      <c r="K9" s="3131">
        <f>J9/G9</f>
        <v>1.0812995245641839</v>
      </c>
      <c r="L9" s="493">
        <v>71232.100000000006</v>
      </c>
      <c r="M9" s="3146">
        <v>26</v>
      </c>
      <c r="N9" s="3144">
        <f>O9/M9/12*1000</f>
        <v>16771.474358974359</v>
      </c>
      <c r="O9" s="486">
        <v>5232.7</v>
      </c>
      <c r="P9" s="3147">
        <v>22</v>
      </c>
      <c r="Q9" s="3144">
        <v>20793</v>
      </c>
      <c r="R9" s="3148">
        <f>P9*Q9*12/1000</f>
        <v>5489.3519999999999</v>
      </c>
      <c r="S9" s="485">
        <v>26.5</v>
      </c>
      <c r="T9" s="484">
        <f>U9/12/S9*1000</f>
        <v>17888.993710691826</v>
      </c>
      <c r="U9" s="3149">
        <f>вода!I13</f>
        <v>5688.7</v>
      </c>
      <c r="V9" s="3150">
        <v>22</v>
      </c>
      <c r="W9" s="484">
        <f>X9/9/V9*1000</f>
        <v>17417.171717171717</v>
      </c>
      <c r="X9" s="3151">
        <v>3448.6</v>
      </c>
      <c r="Y9" s="485">
        <v>26.5</v>
      </c>
      <c r="Z9" s="484">
        <f>AA9/12/Y9*1000</f>
        <v>15450.943396226414</v>
      </c>
      <c r="AA9" s="486">
        <v>4913.3999999999996</v>
      </c>
      <c r="AB9" s="485">
        <v>26.5</v>
      </c>
      <c r="AC9" s="484">
        <v>21852</v>
      </c>
      <c r="AD9" s="487">
        <f t="shared" ref="AD9:AD18" si="0">AC9/T9*100</f>
        <v>122.15332149700282</v>
      </c>
      <c r="AE9" s="487">
        <f t="shared" ref="AE9:AE18" si="1">AC9/Z9*100</f>
        <v>141.42825741848824</v>
      </c>
      <c r="AF9" s="486">
        <f>AB9*AC9*12/1000</f>
        <v>6948.9359999999997</v>
      </c>
      <c r="AG9" s="485">
        <f>V9</f>
        <v>22</v>
      </c>
      <c r="AH9" s="484">
        <f>Z9*1.051</f>
        <v>16238.94150943396</v>
      </c>
      <c r="AI9" s="488">
        <f>AH9/Z9*100</f>
        <v>105.1</v>
      </c>
      <c r="AJ9" s="489">
        <f>AH9*12*AG9/1000</f>
        <v>4287.0805584905647</v>
      </c>
      <c r="AK9" s="490">
        <f>AJ9/U9*100</f>
        <v>75.361340174214931</v>
      </c>
      <c r="AL9" s="485">
        <v>26.5</v>
      </c>
      <c r="AM9" s="491">
        <f>T9*1.071</f>
        <v>19159.112264150946</v>
      </c>
      <c r="AN9" s="482">
        <f>AM9/T9*100</f>
        <v>107.1</v>
      </c>
      <c r="AO9" s="492">
        <f>AM9/Z9*100</f>
        <v>123.99962754915133</v>
      </c>
      <c r="AP9" s="486">
        <f>AL9*AM9*12/1000</f>
        <v>6092.5977000000012</v>
      </c>
      <c r="AQ9" s="844"/>
      <c r="AR9" s="844"/>
      <c r="AS9" s="844"/>
      <c r="AT9" s="844"/>
      <c r="AU9" s="485">
        <v>22</v>
      </c>
      <c r="AV9" s="484">
        <f>AW9/9/AU9*1000</f>
        <v>21411.616161616163</v>
      </c>
      <c r="AW9" s="486">
        <v>4239.5</v>
      </c>
      <c r="AX9" s="485">
        <v>22</v>
      </c>
      <c r="AY9" s="484">
        <f>AZ9/3/AX9*1000</f>
        <v>23621.21212121212</v>
      </c>
      <c r="AZ9" s="486">
        <v>1559</v>
      </c>
      <c r="BA9" s="485">
        <v>22</v>
      </c>
      <c r="BB9" s="491">
        <f>BC9/BA9/12*1000</f>
        <v>21159.469696969696</v>
      </c>
      <c r="BC9" s="493">
        <v>5586.1</v>
      </c>
      <c r="BD9" s="3139">
        <f>(M9+P9+Y9+BA9)/4</f>
        <v>24.125</v>
      </c>
      <c r="BE9" s="3140"/>
      <c r="BF9" s="3140"/>
      <c r="BG9" s="3140"/>
      <c r="BH9" s="3140"/>
      <c r="BI9" s="3140"/>
      <c r="BJ9" s="3140"/>
      <c r="BK9" s="3140"/>
      <c r="BL9" s="3140"/>
      <c r="BM9" s="3140"/>
      <c r="BN9" s="3140"/>
      <c r="BO9" s="3140"/>
      <c r="BP9" s="3140"/>
      <c r="BQ9" s="3140"/>
      <c r="BR9" s="3140"/>
      <c r="BS9" s="3140"/>
      <c r="BT9" s="3140"/>
      <c r="BU9" s="3140"/>
      <c r="BV9" s="3140"/>
      <c r="BW9" s="3140"/>
      <c r="BX9" s="3140"/>
      <c r="BY9" s="3140"/>
      <c r="BZ9" s="3140"/>
      <c r="CA9" s="3140"/>
      <c r="CB9" s="3140"/>
      <c r="CC9" s="3140"/>
      <c r="CD9" s="3140"/>
      <c r="CE9" s="3140"/>
      <c r="CF9" s="3140"/>
      <c r="CG9" s="3140"/>
      <c r="CH9" s="3140"/>
      <c r="CI9" s="3140"/>
      <c r="CJ9" s="3140"/>
      <c r="CK9" s="3140"/>
      <c r="CL9" s="3140"/>
      <c r="CM9" s="3140"/>
      <c r="CN9" s="3140"/>
      <c r="CO9" s="3140"/>
      <c r="CP9" s="3140"/>
      <c r="CQ9" s="3140"/>
      <c r="CR9" s="3140"/>
      <c r="CS9" s="3140"/>
      <c r="CT9" s="3140"/>
      <c r="CU9" s="3140"/>
      <c r="CV9" s="3140"/>
      <c r="CW9" s="3140"/>
      <c r="CX9" s="3140"/>
      <c r="CY9" s="3140"/>
      <c r="CZ9" s="3140"/>
      <c r="DA9" s="3140"/>
      <c r="DB9" s="3140"/>
      <c r="DC9" s="3140"/>
      <c r="DD9" s="3140"/>
      <c r="DE9" s="3140"/>
      <c r="DF9" s="3140"/>
      <c r="DG9" s="3140"/>
      <c r="DH9" s="3140"/>
      <c r="DI9" s="3140"/>
      <c r="DJ9" s="3140"/>
      <c r="DK9" s="3140"/>
      <c r="DL9" s="3140"/>
      <c r="DM9" s="3140"/>
      <c r="DN9" s="2097"/>
      <c r="DO9" s="2097"/>
    </row>
    <row r="10" spans="1:155" ht="18.75" hidden="1" x14ac:dyDescent="0.3">
      <c r="A10" s="3141" t="s">
        <v>184</v>
      </c>
      <c r="B10" s="3142" t="s">
        <v>83</v>
      </c>
      <c r="C10" s="3143">
        <v>384</v>
      </c>
      <c r="D10" s="3144">
        <v>11838</v>
      </c>
      <c r="E10" s="486">
        <v>54547.199999999997</v>
      </c>
      <c r="F10" s="3145">
        <v>369</v>
      </c>
      <c r="G10" s="3144">
        <v>12231</v>
      </c>
      <c r="H10" s="493">
        <f>F10*G10*12/1000</f>
        <v>54158.868000000002</v>
      </c>
      <c r="I10" s="3146">
        <v>364</v>
      </c>
      <c r="J10" s="3144">
        <v>13021</v>
      </c>
      <c r="K10" s="3131">
        <f>J10/G10</f>
        <v>1.0645899762897555</v>
      </c>
      <c r="L10" s="493">
        <v>56876.800000000003</v>
      </c>
      <c r="M10" s="3152">
        <v>71.5</v>
      </c>
      <c r="N10" s="3144">
        <f>O10/M10/12*1000</f>
        <v>16952.564102564102</v>
      </c>
      <c r="O10" s="486">
        <v>14545.3</v>
      </c>
      <c r="P10" s="3147">
        <v>70</v>
      </c>
      <c r="Q10" s="3144">
        <f>R10/P10/12*1000</f>
        <v>18740.238095238095</v>
      </c>
      <c r="R10" s="3148">
        <v>15741.8</v>
      </c>
      <c r="S10" s="485">
        <v>72.5</v>
      </c>
      <c r="T10" s="484">
        <f>U10/S10/12*1000</f>
        <v>18462.988505747122</v>
      </c>
      <c r="U10" s="3149">
        <f>вода!I23</f>
        <v>16062.8</v>
      </c>
      <c r="V10" s="3150">
        <v>72</v>
      </c>
      <c r="W10" s="484">
        <f>X10/V10/12*1000</f>
        <v>13525</v>
      </c>
      <c r="X10" s="3151">
        <v>11685.6</v>
      </c>
      <c r="Y10" s="485">
        <v>72.5</v>
      </c>
      <c r="Z10" s="484">
        <f>AA10/12/72*1000</f>
        <v>19107.638888888891</v>
      </c>
      <c r="AA10" s="486">
        <v>16509</v>
      </c>
      <c r="AB10" s="485">
        <v>72.5</v>
      </c>
      <c r="AC10" s="484">
        <v>23802</v>
      </c>
      <c r="AD10" s="487">
        <f t="shared" si="0"/>
        <v>128.91737430584956</v>
      </c>
      <c r="AE10" s="487">
        <f t="shared" si="1"/>
        <v>124.56798110121751</v>
      </c>
      <c r="AF10" s="486">
        <f>AB10*AC10*12/1000</f>
        <v>20707.740000000002</v>
      </c>
      <c r="AG10" s="485">
        <f>V10</f>
        <v>72</v>
      </c>
      <c r="AH10" s="484">
        <f>Z10*1.051</f>
        <v>20082.128472222223</v>
      </c>
      <c r="AI10" s="488">
        <f>AH10/Z10*100</f>
        <v>105.1</v>
      </c>
      <c r="AJ10" s="489">
        <f>AH10*12*AG10/1000</f>
        <v>17350.958999999999</v>
      </c>
      <c r="AK10" s="490">
        <f>AJ10/U10*100</f>
        <v>108.01951714520506</v>
      </c>
      <c r="AL10" s="485">
        <v>72.5</v>
      </c>
      <c r="AM10" s="491">
        <f>T10*1.071</f>
        <v>19773.860689655168</v>
      </c>
      <c r="AN10" s="482">
        <f>AM10/T10*100</f>
        <v>107.1</v>
      </c>
      <c r="AO10" s="492">
        <f t="shared" ref="AO10:AO18" si="2">AM10/Z10*100</f>
        <v>103.48667778703775</v>
      </c>
      <c r="AP10" s="486">
        <f>AL10*AM10*12/1000</f>
        <v>17203.258799999996</v>
      </c>
      <c r="AQ10" s="844"/>
      <c r="AR10" s="844"/>
      <c r="AS10" s="844"/>
      <c r="AT10" s="844"/>
      <c r="AU10" s="485">
        <v>72</v>
      </c>
      <c r="AV10" s="484">
        <f>AW10/9/AU10*1000</f>
        <v>21503.703703703704</v>
      </c>
      <c r="AW10" s="486">
        <v>13934.4</v>
      </c>
      <c r="AX10" s="485">
        <v>72</v>
      </c>
      <c r="AY10" s="484">
        <f>AZ10/3/AX10*1000</f>
        <v>23650.925925925927</v>
      </c>
      <c r="AZ10" s="486">
        <v>5108.6000000000004</v>
      </c>
      <c r="BA10" s="485">
        <v>72</v>
      </c>
      <c r="BB10" s="491">
        <f>BC10/BA10/12*1000</f>
        <v>21402.199074074077</v>
      </c>
      <c r="BC10" s="493">
        <v>18491.5</v>
      </c>
      <c r="BD10" s="3139">
        <f>(M10+P10+Y10+BA10)/4</f>
        <v>71.5</v>
      </c>
      <c r="BE10" s="3140"/>
      <c r="BF10" s="3140"/>
      <c r="BG10" s="3140"/>
      <c r="BH10" s="3140"/>
      <c r="BI10" s="3140"/>
      <c r="BJ10" s="3140"/>
      <c r="BK10" s="3140"/>
      <c r="BL10" s="3140"/>
      <c r="BM10" s="3140"/>
      <c r="BN10" s="3140"/>
      <c r="BO10" s="3140"/>
      <c r="BP10" s="3140"/>
      <c r="BQ10" s="3140"/>
      <c r="BR10" s="3140"/>
      <c r="BS10" s="3140"/>
      <c r="BT10" s="3140"/>
      <c r="BU10" s="3140"/>
      <c r="BV10" s="3140"/>
      <c r="BW10" s="3140"/>
      <c r="BX10" s="3140"/>
      <c r="BY10" s="3140"/>
      <c r="BZ10" s="3140"/>
      <c r="CA10" s="3140"/>
      <c r="CB10" s="3140"/>
      <c r="CC10" s="3140"/>
      <c r="CD10" s="3140"/>
      <c r="CE10" s="3140"/>
      <c r="CF10" s="3140"/>
      <c r="CG10" s="3140"/>
      <c r="CH10" s="3140"/>
      <c r="CI10" s="3140"/>
      <c r="CJ10" s="3140"/>
      <c r="CK10" s="3140"/>
      <c r="CL10" s="3140"/>
      <c r="CM10" s="3140"/>
      <c r="CN10" s="3140"/>
      <c r="CO10" s="3140"/>
      <c r="CP10" s="3140"/>
      <c r="CQ10" s="3140"/>
      <c r="CR10" s="3140"/>
      <c r="CS10" s="3140"/>
      <c r="CT10" s="3140"/>
      <c r="CU10" s="3140"/>
      <c r="CV10" s="3140"/>
      <c r="CW10" s="3140"/>
      <c r="CX10" s="3140"/>
      <c r="CY10" s="3140"/>
      <c r="CZ10" s="3140"/>
      <c r="DA10" s="3140"/>
      <c r="DB10" s="3140"/>
      <c r="DC10" s="3140"/>
      <c r="DD10" s="3140"/>
      <c r="DE10" s="3140"/>
      <c r="DF10" s="3140"/>
      <c r="DG10" s="3140"/>
      <c r="DH10" s="3140"/>
      <c r="DI10" s="3140"/>
      <c r="DJ10" s="3140"/>
      <c r="DK10" s="3140"/>
      <c r="DL10" s="3140"/>
      <c r="DM10" s="3140"/>
      <c r="DN10" s="2097"/>
      <c r="DO10" s="2097"/>
    </row>
    <row r="11" spans="1:155" ht="18.75" hidden="1" x14ac:dyDescent="0.3">
      <c r="A11" s="3141" t="s">
        <v>192</v>
      </c>
      <c r="B11" s="3142" t="s">
        <v>84</v>
      </c>
      <c r="C11" s="3143"/>
      <c r="D11" s="3144"/>
      <c r="E11" s="486"/>
      <c r="F11" s="3145"/>
      <c r="G11" s="3144"/>
      <c r="H11" s="493"/>
      <c r="I11" s="3146"/>
      <c r="J11" s="3144"/>
      <c r="K11" s="3131"/>
      <c r="L11" s="493"/>
      <c r="M11" s="3146">
        <v>33</v>
      </c>
      <c r="N11" s="3144">
        <v>18981</v>
      </c>
      <c r="O11" s="486">
        <f>M11*N11*12/1000</f>
        <v>7516.4759999999997</v>
      </c>
      <c r="P11" s="3153">
        <v>32</v>
      </c>
      <c r="Q11" s="491">
        <v>21797</v>
      </c>
      <c r="R11" s="3148">
        <f>P11*Q11*12/1000</f>
        <v>8370.0480000000007</v>
      </c>
      <c r="S11" s="485">
        <v>31</v>
      </c>
      <c r="T11" s="3154">
        <v>23385</v>
      </c>
      <c r="U11" s="3149">
        <f>S11*T11*12/1000</f>
        <v>8699.2199999999993</v>
      </c>
      <c r="V11" s="3150">
        <v>30</v>
      </c>
      <c r="W11" s="484">
        <v>21786</v>
      </c>
      <c r="X11" s="3151">
        <f>V11*W11*9/1000</f>
        <v>5882.22</v>
      </c>
      <c r="Y11" s="485">
        <v>31</v>
      </c>
      <c r="Z11" s="484">
        <v>24160</v>
      </c>
      <c r="AA11" s="486">
        <v>8778.6</v>
      </c>
      <c r="AB11" s="485">
        <v>31</v>
      </c>
      <c r="AC11" s="484">
        <v>28610</v>
      </c>
      <c r="AD11" s="487">
        <f t="shared" si="0"/>
        <v>122.34338251015609</v>
      </c>
      <c r="AE11" s="487">
        <f t="shared" si="1"/>
        <v>118.41887417218544</v>
      </c>
      <c r="AF11" s="486">
        <f>AB11*AC11*12/1000</f>
        <v>10642.92</v>
      </c>
      <c r="AG11" s="485"/>
      <c r="AH11" s="484"/>
      <c r="AI11" s="488"/>
      <c r="AJ11" s="489"/>
      <c r="AK11" s="490"/>
      <c r="AL11" s="485">
        <v>31</v>
      </c>
      <c r="AM11" s="491">
        <f>T11*1.071</f>
        <v>25045.334999999999</v>
      </c>
      <c r="AN11" s="482">
        <f>AM11/T11*100</f>
        <v>107.1</v>
      </c>
      <c r="AO11" s="492">
        <f t="shared" si="2"/>
        <v>103.66446605960265</v>
      </c>
      <c r="AP11" s="486">
        <f>AL11*AM11*12/1000</f>
        <v>9316.8646200000003</v>
      </c>
      <c r="AQ11" s="844"/>
      <c r="AR11" s="844"/>
      <c r="AS11" s="844"/>
      <c r="AT11" s="844"/>
      <c r="AU11" s="485">
        <v>32</v>
      </c>
      <c r="AV11" s="484">
        <f>AW11/9/AU11*1000</f>
        <v>25180.902777777777</v>
      </c>
      <c r="AW11" s="486">
        <v>7252.1</v>
      </c>
      <c r="AX11" s="485">
        <v>32</v>
      </c>
      <c r="AY11" s="484">
        <f>AZ11/3/AX11*1000</f>
        <v>28734.375</v>
      </c>
      <c r="AZ11" s="486">
        <v>2758.5</v>
      </c>
      <c r="BA11" s="485">
        <v>31</v>
      </c>
      <c r="BB11" s="491">
        <f>BC11/BA11/12*1000</f>
        <v>26139.247311827956</v>
      </c>
      <c r="BC11" s="493">
        <v>9723.7999999999993</v>
      </c>
      <c r="BD11" s="3139">
        <f>(M11+P11+Y11+BA11)/4</f>
        <v>31.75</v>
      </c>
      <c r="BE11" s="3140"/>
      <c r="BF11" s="3140"/>
      <c r="BG11" s="3140"/>
      <c r="BH11" s="3140"/>
      <c r="BI11" s="3140"/>
      <c r="BJ11" s="3140"/>
      <c r="BK11" s="3140"/>
      <c r="BL11" s="3140"/>
      <c r="BM11" s="3140"/>
      <c r="BN11" s="3140"/>
      <c r="BO11" s="3140"/>
      <c r="BP11" s="3140"/>
      <c r="BQ11" s="3140"/>
      <c r="BR11" s="3140"/>
      <c r="BS11" s="3140"/>
      <c r="BT11" s="3140"/>
      <c r="BU11" s="3140"/>
      <c r="BV11" s="3140"/>
      <c r="BW11" s="3140"/>
      <c r="BX11" s="3140"/>
      <c r="BY11" s="3140"/>
      <c r="BZ11" s="3140"/>
      <c r="CA11" s="3140"/>
      <c r="CB11" s="3140"/>
      <c r="CC11" s="3140"/>
      <c r="CD11" s="3140"/>
      <c r="CE11" s="3140"/>
      <c r="CF11" s="3140"/>
      <c r="CG11" s="3140"/>
      <c r="CH11" s="3140"/>
      <c r="CI11" s="3140"/>
      <c r="CJ11" s="3140"/>
      <c r="CK11" s="3140"/>
      <c r="CL11" s="3140"/>
      <c r="CM11" s="3140"/>
      <c r="CN11" s="3140"/>
      <c r="CO11" s="3140"/>
      <c r="CP11" s="3140"/>
      <c r="CQ11" s="3140"/>
      <c r="CR11" s="3140"/>
      <c r="CS11" s="3140"/>
      <c r="CT11" s="3140"/>
      <c r="CU11" s="3140"/>
      <c r="CV11" s="3140"/>
      <c r="CW11" s="3140"/>
      <c r="CX11" s="3140"/>
      <c r="CY11" s="3140"/>
      <c r="CZ11" s="3140"/>
      <c r="DA11" s="3140"/>
      <c r="DB11" s="3140"/>
      <c r="DC11" s="3140"/>
      <c r="DD11" s="3140"/>
      <c r="DE11" s="3140"/>
      <c r="DF11" s="3140"/>
      <c r="DG11" s="3140"/>
      <c r="DH11" s="3140"/>
      <c r="DI11" s="3140"/>
      <c r="DJ11" s="3140"/>
      <c r="DK11" s="3140"/>
      <c r="DL11" s="3140"/>
      <c r="DM11" s="3140"/>
      <c r="DN11" s="2097"/>
      <c r="DO11" s="2097"/>
    </row>
    <row r="12" spans="1:155" ht="18.75" hidden="1" x14ac:dyDescent="0.3">
      <c r="A12" s="3141" t="s">
        <v>193</v>
      </c>
      <c r="B12" s="3142" t="s">
        <v>85</v>
      </c>
      <c r="C12" s="3143"/>
      <c r="D12" s="3144"/>
      <c r="E12" s="486"/>
      <c r="F12" s="3145"/>
      <c r="G12" s="3144"/>
      <c r="H12" s="493"/>
      <c r="I12" s="3146"/>
      <c r="J12" s="3144"/>
      <c r="K12" s="3131"/>
      <c r="L12" s="493"/>
      <c r="M12" s="3146">
        <v>25</v>
      </c>
      <c r="N12" s="3144">
        <v>17707</v>
      </c>
      <c r="O12" s="486">
        <f>M12*N12*12/1000</f>
        <v>5312.1</v>
      </c>
      <c r="P12" s="3153">
        <v>26</v>
      </c>
      <c r="Q12" s="491">
        <v>21864</v>
      </c>
      <c r="R12" s="3148">
        <f>P12*Q12*12/1000</f>
        <v>6821.5680000000002</v>
      </c>
      <c r="S12" s="485">
        <v>25</v>
      </c>
      <c r="T12" s="3154">
        <v>20581</v>
      </c>
      <c r="U12" s="3149">
        <f>S12*T12*12/1000</f>
        <v>6174.3</v>
      </c>
      <c r="V12" s="3150">
        <v>25</v>
      </c>
      <c r="W12" s="484">
        <v>18220</v>
      </c>
      <c r="X12" s="3151">
        <f>V12*W12*9/1000</f>
        <v>4099.5</v>
      </c>
      <c r="Y12" s="485">
        <v>25</v>
      </c>
      <c r="Z12" s="484">
        <v>20570</v>
      </c>
      <c r="AA12" s="486">
        <v>5838.5</v>
      </c>
      <c r="AB12" s="485">
        <v>25</v>
      </c>
      <c r="AC12" s="484">
        <v>25138</v>
      </c>
      <c r="AD12" s="487">
        <f t="shared" si="0"/>
        <v>122.14178125455517</v>
      </c>
      <c r="AE12" s="487">
        <f t="shared" si="1"/>
        <v>122.2070977151191</v>
      </c>
      <c r="AF12" s="486">
        <f>AB12*AC12*12/1000</f>
        <v>7541.4</v>
      </c>
      <c r="AG12" s="485"/>
      <c r="AH12" s="484"/>
      <c r="AI12" s="488"/>
      <c r="AJ12" s="489"/>
      <c r="AK12" s="490"/>
      <c r="AL12" s="485">
        <v>25</v>
      </c>
      <c r="AM12" s="491">
        <f>T12*1.071</f>
        <v>22042.251</v>
      </c>
      <c r="AN12" s="482">
        <f>AM12/T12*100</f>
        <v>107.1</v>
      </c>
      <c r="AO12" s="492">
        <f t="shared" si="2"/>
        <v>107.15727272727274</v>
      </c>
      <c r="AP12" s="486">
        <f>AL12*AM12*12/1000</f>
        <v>6612.6753000000008</v>
      </c>
      <c r="AQ12" s="844"/>
      <c r="AR12" s="844"/>
      <c r="AS12" s="844"/>
      <c r="AT12" s="844"/>
      <c r="AU12" s="485">
        <v>25</v>
      </c>
      <c r="AV12" s="484">
        <f>AW12/9/AU12*1000</f>
        <v>23007.111111111113</v>
      </c>
      <c r="AW12" s="486">
        <v>5176.6000000000004</v>
      </c>
      <c r="AX12" s="485">
        <v>25</v>
      </c>
      <c r="AY12" s="484">
        <f>AZ12/3/AX12*1000</f>
        <v>25722.666666666668</v>
      </c>
      <c r="AZ12" s="486">
        <v>1929.2</v>
      </c>
      <c r="BA12" s="485">
        <v>25</v>
      </c>
      <c r="BB12" s="491">
        <f>BC12/BA12/12*1000</f>
        <v>22826.333333333336</v>
      </c>
      <c r="BC12" s="493">
        <v>6847.9</v>
      </c>
      <c r="BD12" s="3139">
        <f>(M12+P12+Y12+BA12)/4</f>
        <v>25.25</v>
      </c>
      <c r="BE12" s="3140"/>
      <c r="BF12" s="3140"/>
      <c r="BG12" s="3140"/>
      <c r="BH12" s="3140"/>
      <c r="BI12" s="3140"/>
      <c r="BJ12" s="3140"/>
      <c r="BK12" s="3140"/>
      <c r="BL12" s="3140"/>
      <c r="BM12" s="3140"/>
      <c r="BN12" s="3140"/>
      <c r="BO12" s="3140"/>
      <c r="BP12" s="3140"/>
      <c r="BQ12" s="3140"/>
      <c r="BR12" s="3140"/>
      <c r="BS12" s="3140"/>
      <c r="BT12" s="3140"/>
      <c r="BU12" s="3140"/>
      <c r="BV12" s="3140"/>
      <c r="BW12" s="3140"/>
      <c r="BX12" s="3140"/>
      <c r="BY12" s="3140"/>
      <c r="BZ12" s="3140"/>
      <c r="CA12" s="3140"/>
      <c r="CB12" s="3140"/>
      <c r="CC12" s="3140"/>
      <c r="CD12" s="3140"/>
      <c r="CE12" s="3140"/>
      <c r="CF12" s="3140"/>
      <c r="CG12" s="3140"/>
      <c r="CH12" s="3140"/>
      <c r="CI12" s="3140"/>
      <c r="CJ12" s="3140"/>
      <c r="CK12" s="3140"/>
      <c r="CL12" s="3140"/>
      <c r="CM12" s="3140"/>
      <c r="CN12" s="3140"/>
      <c r="CO12" s="3140"/>
      <c r="CP12" s="3140"/>
      <c r="CQ12" s="3140"/>
      <c r="CR12" s="3140"/>
      <c r="CS12" s="3140"/>
      <c r="CT12" s="3140"/>
      <c r="CU12" s="3140"/>
      <c r="CV12" s="3140"/>
      <c r="CW12" s="3140"/>
      <c r="CX12" s="3140"/>
      <c r="CY12" s="3140"/>
      <c r="CZ12" s="3140"/>
      <c r="DA12" s="3140"/>
      <c r="DB12" s="3140"/>
      <c r="DC12" s="3140"/>
      <c r="DD12" s="3140"/>
      <c r="DE12" s="3140"/>
      <c r="DF12" s="3140"/>
      <c r="DG12" s="3140"/>
      <c r="DH12" s="3140"/>
      <c r="DI12" s="3140"/>
      <c r="DJ12" s="3140"/>
      <c r="DK12" s="3140"/>
      <c r="DL12" s="3140"/>
      <c r="DM12" s="3140"/>
      <c r="DN12" s="2097"/>
      <c r="DO12" s="2097"/>
    </row>
    <row r="13" spans="1:155" ht="18.75" hidden="1" x14ac:dyDescent="0.3">
      <c r="A13" s="3141"/>
      <c r="B13" s="3142"/>
      <c r="C13" s="3143"/>
      <c r="D13" s="3144"/>
      <c r="E13" s="486"/>
      <c r="F13" s="3145"/>
      <c r="G13" s="3144"/>
      <c r="H13" s="493"/>
      <c r="I13" s="3146"/>
      <c r="J13" s="3144"/>
      <c r="K13" s="3131"/>
      <c r="L13" s="493"/>
      <c r="M13" s="3146"/>
      <c r="N13" s="3144"/>
      <c r="O13" s="486"/>
      <c r="P13" s="3148"/>
      <c r="Q13" s="489"/>
      <c r="R13" s="3148"/>
      <c r="S13" s="485"/>
      <c r="T13" s="3154"/>
      <c r="U13" s="3149"/>
      <c r="V13" s="3150"/>
      <c r="W13" s="484"/>
      <c r="X13" s="3151"/>
      <c r="Y13" s="485"/>
      <c r="Z13" s="484"/>
      <c r="AA13" s="486"/>
      <c r="AB13" s="485"/>
      <c r="AC13" s="484"/>
      <c r="AD13" s="477"/>
      <c r="AE13" s="487"/>
      <c r="AF13" s="486"/>
      <c r="AG13" s="485"/>
      <c r="AH13" s="484"/>
      <c r="AI13" s="488"/>
      <c r="AJ13" s="489"/>
      <c r="AK13" s="490"/>
      <c r="AL13" s="485"/>
      <c r="AM13" s="484"/>
      <c r="AN13" s="482"/>
      <c r="AO13" s="492"/>
      <c r="AP13" s="486"/>
      <c r="AQ13" s="844"/>
      <c r="AR13" s="844"/>
      <c r="AS13" s="844"/>
      <c r="AT13" s="844"/>
      <c r="AU13" s="485"/>
      <c r="AV13" s="494"/>
      <c r="AW13" s="486"/>
      <c r="AX13" s="485"/>
      <c r="AY13" s="494"/>
      <c r="AZ13" s="486"/>
      <c r="BA13" s="485"/>
      <c r="BB13" s="484"/>
      <c r="BC13" s="493"/>
      <c r="BD13" s="3139"/>
      <c r="BE13" s="3140"/>
      <c r="BF13" s="3140"/>
      <c r="BG13" s="3140"/>
      <c r="BH13" s="3140"/>
      <c r="BI13" s="3140"/>
      <c r="BJ13" s="3140"/>
      <c r="BK13" s="3140"/>
      <c r="BL13" s="3140"/>
      <c r="BM13" s="3140"/>
      <c r="BN13" s="3140"/>
      <c r="BO13" s="3140"/>
      <c r="BP13" s="3140"/>
      <c r="BQ13" s="3140"/>
      <c r="BR13" s="3140"/>
      <c r="BS13" s="3140"/>
      <c r="BT13" s="3140"/>
      <c r="BU13" s="3140"/>
      <c r="BV13" s="3140"/>
      <c r="BW13" s="3140"/>
      <c r="BX13" s="3140"/>
      <c r="BY13" s="3140"/>
      <c r="BZ13" s="3140"/>
      <c r="CA13" s="3140"/>
      <c r="CB13" s="3140"/>
      <c r="CC13" s="3140"/>
      <c r="CD13" s="3140"/>
      <c r="CE13" s="3140"/>
      <c r="CF13" s="3140"/>
      <c r="CG13" s="3140"/>
      <c r="CH13" s="3140"/>
      <c r="CI13" s="3140"/>
      <c r="CJ13" s="3140"/>
      <c r="CK13" s="3140"/>
      <c r="CL13" s="3140"/>
      <c r="CM13" s="3140"/>
      <c r="CN13" s="3140"/>
      <c r="CO13" s="3140"/>
      <c r="CP13" s="3140"/>
      <c r="CQ13" s="3140"/>
      <c r="CR13" s="3140"/>
      <c r="CS13" s="3140"/>
      <c r="CT13" s="3140"/>
      <c r="CU13" s="3140"/>
      <c r="CV13" s="3140"/>
      <c r="CW13" s="3140"/>
      <c r="CX13" s="3140"/>
      <c r="CY13" s="3140"/>
      <c r="CZ13" s="3140"/>
      <c r="DA13" s="3140"/>
      <c r="DB13" s="3140"/>
      <c r="DC13" s="3140"/>
      <c r="DD13" s="3140"/>
      <c r="DE13" s="3140"/>
      <c r="DF13" s="3140"/>
      <c r="DG13" s="3140"/>
      <c r="DH13" s="3140"/>
      <c r="DI13" s="3140"/>
      <c r="DJ13" s="3140"/>
      <c r="DK13" s="3140"/>
      <c r="DL13" s="3140"/>
      <c r="DM13" s="3140"/>
      <c r="DN13" s="2097"/>
      <c r="DO13" s="2097"/>
    </row>
    <row r="14" spans="1:155" ht="93.75" hidden="1" x14ac:dyDescent="0.3">
      <c r="A14" s="3127" t="s">
        <v>185</v>
      </c>
      <c r="B14" s="3128" t="s">
        <v>195</v>
      </c>
      <c r="C14" s="3129">
        <v>840</v>
      </c>
      <c r="D14" s="475">
        <v>12146</v>
      </c>
      <c r="E14" s="476">
        <v>122429.8</v>
      </c>
      <c r="F14" s="3130">
        <f>F15+F16</f>
        <v>813</v>
      </c>
      <c r="G14" s="475">
        <f>(G15*F15+G16*F16)/(F15+F16)</f>
        <v>12443.442804428045</v>
      </c>
      <c r="H14" s="483">
        <f>H16+H15</f>
        <v>121398.228</v>
      </c>
      <c r="I14" s="478">
        <v>799</v>
      </c>
      <c r="J14" s="475">
        <v>13361</v>
      </c>
      <c r="K14" s="3131">
        <f>J14/G14</f>
        <v>1.07373820975377</v>
      </c>
      <c r="L14" s="483">
        <v>128108.9</v>
      </c>
      <c r="M14" s="478">
        <f>M15+M16+M17+M18</f>
        <v>109</v>
      </c>
      <c r="N14" s="475">
        <f>O14/M14/12*1000</f>
        <v>18196.483180428135</v>
      </c>
      <c r="O14" s="476">
        <f>O15+O16+O17+O18</f>
        <v>23801.000000000004</v>
      </c>
      <c r="P14" s="3132">
        <f>SUM(P15:P18)</f>
        <v>95</v>
      </c>
      <c r="Q14" s="3133">
        <f>R14/P14/12*1000</f>
        <v>21844.621052631581</v>
      </c>
      <c r="R14" s="3132">
        <f>SUM(R15:R18)</f>
        <v>24902.868000000002</v>
      </c>
      <c r="S14" s="3134">
        <f>S15+S16+S17+S18</f>
        <v>105</v>
      </c>
      <c r="T14" s="3135">
        <f>U14/S14/12*1000</f>
        <v>22144.31111111111</v>
      </c>
      <c r="U14" s="3136">
        <f>U15+U16+U17+U18</f>
        <v>27901.832000000002</v>
      </c>
      <c r="V14" s="3137">
        <f>V15+V16+V17+V18</f>
        <v>98</v>
      </c>
      <c r="W14" s="3135">
        <f>X14/V14/12*1000</f>
        <v>15199.064625850338</v>
      </c>
      <c r="X14" s="3138">
        <f>X15+X16+X17+X18</f>
        <v>17874.099999999999</v>
      </c>
      <c r="Y14" s="495">
        <f>Y15+Y16+Y17+Y18</f>
        <v>94</v>
      </c>
      <c r="Z14" s="496">
        <f>AA14/Y14/12*1000</f>
        <v>22720.301418439718</v>
      </c>
      <c r="AA14" s="497">
        <f>AA15+AA16+AA17+AA18</f>
        <v>25628.5</v>
      </c>
      <c r="AB14" s="474">
        <f>AB15+AB16+AB17+AB18</f>
        <v>105</v>
      </c>
      <c r="AC14" s="475">
        <f>AF14/AB14/12*1000</f>
        <v>27439.161904761906</v>
      </c>
      <c r="AD14" s="477">
        <f t="shared" si="0"/>
        <v>123.91065934308546</v>
      </c>
      <c r="AE14" s="487">
        <f t="shared" si="1"/>
        <v>120.76935688226555</v>
      </c>
      <c r="AF14" s="476">
        <f>AF15+AF16+AF17+AF18</f>
        <v>34573.344000000005</v>
      </c>
      <c r="AG14" s="485"/>
      <c r="AH14" s="484"/>
      <c r="AI14" s="488"/>
      <c r="AJ14" s="489"/>
      <c r="AK14" s="490"/>
      <c r="AL14" s="474">
        <f>AL15+AL16+AL17+AL18</f>
        <v>105</v>
      </c>
      <c r="AM14" s="475">
        <f>AP14/AL14/12*1000</f>
        <v>23716.557199999999</v>
      </c>
      <c r="AN14" s="482">
        <f>AM14/T14*100</f>
        <v>107.1</v>
      </c>
      <c r="AO14" s="492">
        <f t="shared" si="2"/>
        <v>104.38487044345162</v>
      </c>
      <c r="AP14" s="476">
        <f>AP15+AP16+AP17+AP18</f>
        <v>29882.862072</v>
      </c>
      <c r="AQ14" s="843"/>
      <c r="AR14" s="843"/>
      <c r="AS14" s="843"/>
      <c r="AT14" s="843"/>
      <c r="AU14" s="474">
        <f>AU15+AU16+AU17+AU18</f>
        <v>98</v>
      </c>
      <c r="AV14" s="475">
        <f>AW14/AU14/9*1000</f>
        <v>24623.582766439908</v>
      </c>
      <c r="AW14" s="476">
        <f>AW15+AW16+AW17+AW18</f>
        <v>21717.999999999996</v>
      </c>
      <c r="AX14" s="474">
        <f>AX15+AX16+AX17+AX18</f>
        <v>98</v>
      </c>
      <c r="AY14" s="475">
        <f>AZ14/AX14/3*1000</f>
        <v>27260.884353741498</v>
      </c>
      <c r="AZ14" s="476">
        <f>AZ15+AZ16+AZ17+AZ18</f>
        <v>8014.7000000000007</v>
      </c>
      <c r="BA14" s="474">
        <f>BA15+BA16+BA17+BA18</f>
        <v>98</v>
      </c>
      <c r="BB14" s="475">
        <f>BC14/BA14/12*1000</f>
        <v>24748.639455782311</v>
      </c>
      <c r="BC14" s="483">
        <f>BC15+BC16+BC17+BC18</f>
        <v>29104.399999999998</v>
      </c>
      <c r="BD14" s="3139">
        <f>(M14+P14+Y14+BA14)/4</f>
        <v>99</v>
      </c>
      <c r="BE14" s="3140"/>
      <c r="BF14" s="3140"/>
      <c r="BG14" s="3140"/>
      <c r="BH14" s="3140"/>
      <c r="BI14" s="3140"/>
      <c r="BJ14" s="3140"/>
      <c r="BK14" s="3140"/>
      <c r="BL14" s="3140"/>
      <c r="BM14" s="3140"/>
      <c r="BN14" s="3140"/>
      <c r="BO14" s="3140"/>
      <c r="BP14" s="3140"/>
      <c r="BQ14" s="3140"/>
      <c r="BR14" s="3140"/>
      <c r="BS14" s="3140"/>
      <c r="BT14" s="3140"/>
      <c r="BU14" s="3140"/>
      <c r="BV14" s="3140"/>
      <c r="BW14" s="3140"/>
      <c r="BX14" s="3140"/>
      <c r="BY14" s="3140"/>
      <c r="BZ14" s="3140"/>
      <c r="CA14" s="3140"/>
      <c r="CB14" s="3140"/>
      <c r="CC14" s="3140"/>
      <c r="CD14" s="3140"/>
      <c r="CE14" s="3140"/>
      <c r="CF14" s="3140"/>
      <c r="CG14" s="3140"/>
      <c r="CH14" s="3140"/>
      <c r="CI14" s="3140"/>
      <c r="CJ14" s="3140"/>
      <c r="CK14" s="3140"/>
      <c r="CL14" s="3140"/>
      <c r="CM14" s="3140"/>
      <c r="CN14" s="3140"/>
      <c r="CO14" s="3140"/>
      <c r="CP14" s="3140"/>
      <c r="CQ14" s="3140"/>
      <c r="CR14" s="3140"/>
      <c r="CS14" s="3140"/>
      <c r="CT14" s="3140"/>
      <c r="CU14" s="3140"/>
      <c r="CV14" s="3140"/>
      <c r="CW14" s="3140"/>
      <c r="CX14" s="3140"/>
      <c r="CY14" s="3140"/>
      <c r="CZ14" s="3140"/>
      <c r="DA14" s="3140"/>
      <c r="DB14" s="3140"/>
      <c r="DC14" s="3140"/>
      <c r="DD14" s="3140"/>
      <c r="DE14" s="3140"/>
      <c r="DF14" s="3140"/>
      <c r="DG14" s="3140"/>
      <c r="DH14" s="3140"/>
      <c r="DI14" s="3140"/>
      <c r="DJ14" s="3140"/>
      <c r="DK14" s="3140"/>
      <c r="DL14" s="3140"/>
      <c r="DM14" s="3140"/>
      <c r="DN14" s="2097"/>
      <c r="DO14" s="2097"/>
    </row>
    <row r="15" spans="1:155" ht="18.75" hidden="1" x14ac:dyDescent="0.3">
      <c r="A15" s="3141" t="s">
        <v>186</v>
      </c>
      <c r="B15" s="3142" t="s">
        <v>87</v>
      </c>
      <c r="C15" s="3143">
        <v>456</v>
      </c>
      <c r="D15" s="3144">
        <v>12405</v>
      </c>
      <c r="E15" s="486">
        <v>67882.600000000006</v>
      </c>
      <c r="F15" s="3145">
        <v>444</v>
      </c>
      <c r="G15" s="3144">
        <v>12620</v>
      </c>
      <c r="H15" s="493">
        <f>F15*G15*12/1000</f>
        <v>67239.360000000001</v>
      </c>
      <c r="I15" s="3146">
        <v>435</v>
      </c>
      <c r="J15" s="3144">
        <v>13646</v>
      </c>
      <c r="K15" s="3131">
        <f>J15/G15</f>
        <v>1.0812995245641839</v>
      </c>
      <c r="L15" s="493">
        <v>71232.100000000006</v>
      </c>
      <c r="M15" s="3146">
        <v>26</v>
      </c>
      <c r="N15" s="3144">
        <f>O15/M15/12*1000</f>
        <v>18108.974358974363</v>
      </c>
      <c r="O15" s="486">
        <v>5650</v>
      </c>
      <c r="P15" s="3147">
        <v>26</v>
      </c>
      <c r="Q15" s="3144">
        <f>R15/P15/12*1000</f>
        <v>19295.833333333336</v>
      </c>
      <c r="R15" s="3148">
        <v>6020.3</v>
      </c>
      <c r="S15" s="485">
        <v>30</v>
      </c>
      <c r="T15" s="484">
        <f>U15/S15/12*1000</f>
        <v>18746.388888888887</v>
      </c>
      <c r="U15" s="3149">
        <v>6748.7</v>
      </c>
      <c r="V15" s="3150">
        <v>27</v>
      </c>
      <c r="W15" s="484">
        <f>X15/V15/9*1000</f>
        <v>17960.905349794237</v>
      </c>
      <c r="X15" s="3151">
        <v>4364.5</v>
      </c>
      <c r="Y15" s="485">
        <v>26</v>
      </c>
      <c r="Z15" s="484">
        <f>AA15/12/Y15*1000</f>
        <v>19381.410256410254</v>
      </c>
      <c r="AA15" s="486">
        <v>6047</v>
      </c>
      <c r="AB15" s="485">
        <v>30</v>
      </c>
      <c r="AC15" s="484">
        <v>23903</v>
      </c>
      <c r="AD15" s="487">
        <f t="shared" si="0"/>
        <v>127.50722361343666</v>
      </c>
      <c r="AE15" s="487">
        <f t="shared" si="1"/>
        <v>123.32951876963784</v>
      </c>
      <c r="AF15" s="486">
        <f>AB15*AC15*12/1000</f>
        <v>8605.08</v>
      </c>
      <c r="AG15" s="485"/>
      <c r="AH15" s="484"/>
      <c r="AI15" s="488"/>
      <c r="AJ15" s="489"/>
      <c r="AK15" s="490"/>
      <c r="AL15" s="485">
        <v>30</v>
      </c>
      <c r="AM15" s="491">
        <f>T15*1.071</f>
        <v>20077.382499999996</v>
      </c>
      <c r="AN15" s="482">
        <f>AM15/T15*100</f>
        <v>107.1</v>
      </c>
      <c r="AO15" s="492">
        <f t="shared" si="2"/>
        <v>103.5909267405325</v>
      </c>
      <c r="AP15" s="486">
        <f>AL15*AM15*12/1000</f>
        <v>7227.8576999999987</v>
      </c>
      <c r="AQ15" s="844"/>
      <c r="AR15" s="844"/>
      <c r="AS15" s="844"/>
      <c r="AT15" s="844"/>
      <c r="AU15" s="485">
        <v>26</v>
      </c>
      <c r="AV15" s="484">
        <f>AW15/9/AU15*1000</f>
        <v>22458.119658119656</v>
      </c>
      <c r="AW15" s="486">
        <v>5255.2</v>
      </c>
      <c r="AX15" s="485">
        <v>26</v>
      </c>
      <c r="AY15" s="484">
        <f>AZ15/3/AX15*1000</f>
        <v>23894.871794871793</v>
      </c>
      <c r="AZ15" s="486">
        <v>1863.8</v>
      </c>
      <c r="BA15" s="485">
        <v>26</v>
      </c>
      <c r="BB15" s="491">
        <f>BC15/12/BA15*1000</f>
        <v>22598.076923076926</v>
      </c>
      <c r="BC15" s="493">
        <v>7050.6</v>
      </c>
      <c r="BD15" s="3139">
        <f>(M15+P15+Y15+BA15)/4</f>
        <v>26</v>
      </c>
      <c r="BE15" s="3140"/>
      <c r="BF15" s="3140"/>
      <c r="BG15" s="3140"/>
      <c r="BH15" s="3140"/>
      <c r="BI15" s="3140"/>
      <c r="BJ15" s="3140"/>
      <c r="BK15" s="3140"/>
      <c r="BL15" s="3140"/>
      <c r="BM15" s="3140"/>
      <c r="BN15" s="3140"/>
      <c r="BO15" s="3140"/>
      <c r="BP15" s="3140"/>
      <c r="BQ15" s="3140"/>
      <c r="BR15" s="3140"/>
      <c r="BS15" s="3140"/>
      <c r="BT15" s="3140"/>
      <c r="BU15" s="3140"/>
      <c r="BV15" s="3140"/>
      <c r="BW15" s="3140"/>
      <c r="BX15" s="3140"/>
      <c r="BY15" s="3140"/>
      <c r="BZ15" s="3140"/>
      <c r="CA15" s="3140"/>
      <c r="CB15" s="3140"/>
      <c r="CC15" s="3140"/>
      <c r="CD15" s="3140"/>
      <c r="CE15" s="3140"/>
      <c r="CF15" s="3140"/>
      <c r="CG15" s="3140"/>
      <c r="CH15" s="3140"/>
      <c r="CI15" s="3140"/>
      <c r="CJ15" s="3140"/>
      <c r="CK15" s="3140"/>
      <c r="CL15" s="3140"/>
      <c r="CM15" s="3140"/>
      <c r="CN15" s="3140"/>
      <c r="CO15" s="3140"/>
      <c r="CP15" s="3140"/>
      <c r="CQ15" s="3140"/>
      <c r="CR15" s="3140"/>
      <c r="CS15" s="3140"/>
      <c r="CT15" s="3140"/>
      <c r="CU15" s="3140"/>
      <c r="CV15" s="3140"/>
      <c r="CW15" s="3140"/>
      <c r="CX15" s="3140"/>
      <c r="CY15" s="3140"/>
      <c r="CZ15" s="3140"/>
      <c r="DA15" s="3140"/>
      <c r="DB15" s="3140"/>
      <c r="DC15" s="3140"/>
      <c r="DD15" s="3140"/>
      <c r="DE15" s="3140"/>
      <c r="DF15" s="3140"/>
      <c r="DG15" s="3140"/>
      <c r="DH15" s="3140"/>
      <c r="DI15" s="3140"/>
      <c r="DJ15" s="3140"/>
      <c r="DK15" s="3140"/>
      <c r="DL15" s="3140"/>
      <c r="DM15" s="3140"/>
      <c r="DN15" s="2097"/>
      <c r="DO15" s="2097"/>
    </row>
    <row r="16" spans="1:155" ht="18.75" hidden="1" x14ac:dyDescent="0.3">
      <c r="A16" s="3141" t="s">
        <v>187</v>
      </c>
      <c r="B16" s="3142" t="s">
        <v>88</v>
      </c>
      <c r="C16" s="3143">
        <v>384</v>
      </c>
      <c r="D16" s="3144">
        <v>11838</v>
      </c>
      <c r="E16" s="486">
        <v>54547.199999999997</v>
      </c>
      <c r="F16" s="3145">
        <v>369</v>
      </c>
      <c r="G16" s="3144">
        <v>12231</v>
      </c>
      <c r="H16" s="493">
        <f>F16*G16*12/1000</f>
        <v>54158.868000000002</v>
      </c>
      <c r="I16" s="3146">
        <v>364</v>
      </c>
      <c r="J16" s="3144">
        <v>13021</v>
      </c>
      <c r="K16" s="3131">
        <f>J16/G16</f>
        <v>1.0645899762897555</v>
      </c>
      <c r="L16" s="493">
        <v>56876.800000000003</v>
      </c>
      <c r="M16" s="3146">
        <v>60</v>
      </c>
      <c r="N16" s="3144">
        <v>19277</v>
      </c>
      <c r="O16" s="486">
        <f>M16*N16*12/1000</f>
        <v>13879.44</v>
      </c>
      <c r="P16" s="3147">
        <v>48</v>
      </c>
      <c r="Q16" s="3144">
        <v>22603</v>
      </c>
      <c r="R16" s="3148">
        <f>P16*Q16*12/1000</f>
        <v>13019.328</v>
      </c>
      <c r="S16" s="485">
        <v>49</v>
      </c>
      <c r="T16" s="3154">
        <v>24500</v>
      </c>
      <c r="U16" s="3149">
        <f>S16*T16*12/1000</f>
        <v>14406</v>
      </c>
      <c r="V16" s="3150">
        <v>48</v>
      </c>
      <c r="W16" s="484">
        <f>X16/V16/9*1000</f>
        <v>21462.037037037036</v>
      </c>
      <c r="X16" s="3151">
        <v>9271.6</v>
      </c>
      <c r="Y16" s="485">
        <v>48</v>
      </c>
      <c r="Z16" s="484">
        <f>AA16/12/Y16*1000</f>
        <v>23137.326388888891</v>
      </c>
      <c r="AA16" s="486">
        <v>13327.1</v>
      </c>
      <c r="AB16" s="485">
        <v>49</v>
      </c>
      <c r="AC16" s="484">
        <v>28797</v>
      </c>
      <c r="AD16" s="487">
        <f t="shared" si="0"/>
        <v>117.53877551020409</v>
      </c>
      <c r="AE16" s="487">
        <f t="shared" si="1"/>
        <v>124.46122562297874</v>
      </c>
      <c r="AF16" s="486">
        <f>AB16*AC16*12/1000</f>
        <v>16932.635999999999</v>
      </c>
      <c r="AG16" s="485"/>
      <c r="AH16" s="484"/>
      <c r="AI16" s="488"/>
      <c r="AJ16" s="489"/>
      <c r="AK16" s="490"/>
      <c r="AL16" s="485">
        <v>49</v>
      </c>
      <c r="AM16" s="491">
        <f>T16*1.071</f>
        <v>26239.5</v>
      </c>
      <c r="AN16" s="482">
        <f>AM16/T16*100</f>
        <v>107.1</v>
      </c>
      <c r="AO16" s="492">
        <f t="shared" si="2"/>
        <v>113.40765808015247</v>
      </c>
      <c r="AP16" s="486">
        <f>AL16*AM16*12/1000</f>
        <v>15428.825999999999</v>
      </c>
      <c r="AQ16" s="844"/>
      <c r="AR16" s="844"/>
      <c r="AS16" s="844"/>
      <c r="AT16" s="844"/>
      <c r="AU16" s="485">
        <v>49</v>
      </c>
      <c r="AV16" s="484">
        <f>AW16/9/AU16*1000</f>
        <v>25834.24036281179</v>
      </c>
      <c r="AW16" s="486">
        <v>11392.9</v>
      </c>
      <c r="AX16" s="485">
        <v>49</v>
      </c>
      <c r="AY16" s="484">
        <f>AZ16/3/AX16*1000</f>
        <v>28514.285714285717</v>
      </c>
      <c r="AZ16" s="486">
        <v>4191.6000000000004</v>
      </c>
      <c r="BA16" s="485">
        <v>49</v>
      </c>
      <c r="BB16" s="491">
        <f>BC16/12/BA16*1000</f>
        <v>26018.707482993199</v>
      </c>
      <c r="BC16" s="493">
        <v>15299</v>
      </c>
      <c r="BD16" s="3139">
        <f>(M16+P16+Y16+BA16)/4</f>
        <v>51.25</v>
      </c>
      <c r="BE16" s="3140"/>
      <c r="BF16" s="3140"/>
      <c r="BG16" s="3140"/>
      <c r="BH16" s="3140"/>
      <c r="BI16" s="3140"/>
      <c r="BJ16" s="3140"/>
      <c r="BK16" s="3140"/>
      <c r="BL16" s="3140"/>
      <c r="BM16" s="3140"/>
      <c r="BN16" s="3140"/>
      <c r="BO16" s="3140"/>
      <c r="BP16" s="3140"/>
      <c r="BQ16" s="3140"/>
      <c r="BR16" s="3140"/>
      <c r="BS16" s="3140"/>
      <c r="BT16" s="3140"/>
      <c r="BU16" s="3140"/>
      <c r="BV16" s="3140"/>
      <c r="BW16" s="3140"/>
      <c r="BX16" s="3140"/>
      <c r="BY16" s="3140"/>
      <c r="BZ16" s="3140"/>
      <c r="CA16" s="3140"/>
      <c r="CB16" s="3140"/>
      <c r="CC16" s="3140"/>
      <c r="CD16" s="3140"/>
      <c r="CE16" s="3140"/>
      <c r="CF16" s="3140"/>
      <c r="CG16" s="3140"/>
      <c r="CH16" s="3140"/>
      <c r="CI16" s="3140"/>
      <c r="CJ16" s="3140"/>
      <c r="CK16" s="3140"/>
      <c r="CL16" s="3140"/>
      <c r="CM16" s="3140"/>
      <c r="CN16" s="3140"/>
      <c r="CO16" s="3140"/>
      <c r="CP16" s="3140"/>
      <c r="CQ16" s="3140"/>
      <c r="CR16" s="3140"/>
      <c r="CS16" s="3140"/>
      <c r="CT16" s="3140"/>
      <c r="CU16" s="3140"/>
      <c r="CV16" s="3140"/>
      <c r="CW16" s="3140"/>
      <c r="CX16" s="3140"/>
      <c r="CY16" s="3140"/>
      <c r="CZ16" s="3140"/>
      <c r="DA16" s="3140"/>
      <c r="DB16" s="3140"/>
      <c r="DC16" s="3140"/>
      <c r="DD16" s="3140"/>
      <c r="DE16" s="3140"/>
      <c r="DF16" s="3140"/>
      <c r="DG16" s="3140"/>
      <c r="DH16" s="3140"/>
      <c r="DI16" s="3140"/>
      <c r="DJ16" s="3140"/>
      <c r="DK16" s="3140"/>
      <c r="DL16" s="3140"/>
      <c r="DM16" s="3140"/>
      <c r="DN16" s="2097"/>
      <c r="DO16" s="2097"/>
    </row>
    <row r="17" spans="1:155" ht="93.75" hidden="1" x14ac:dyDescent="0.3">
      <c r="A17" s="3141" t="s">
        <v>196</v>
      </c>
      <c r="B17" s="3155" t="s">
        <v>198</v>
      </c>
      <c r="C17" s="3143"/>
      <c r="D17" s="3144"/>
      <c r="E17" s="486"/>
      <c r="F17" s="3145"/>
      <c r="G17" s="3144"/>
      <c r="H17" s="493"/>
      <c r="I17" s="3146"/>
      <c r="J17" s="3144"/>
      <c r="K17" s="3131"/>
      <c r="L17" s="493"/>
      <c r="M17" s="3146">
        <v>6</v>
      </c>
      <c r="N17" s="475">
        <f>O17/M17/12*1000</f>
        <v>18130.555555555555</v>
      </c>
      <c r="O17" s="486">
        <v>1305.4000000000001</v>
      </c>
      <c r="P17" s="3153">
        <v>6</v>
      </c>
      <c r="Q17" s="491">
        <f>R17/P17/12*1000</f>
        <v>22363.888888888891</v>
      </c>
      <c r="R17" s="3148">
        <v>1610.2</v>
      </c>
      <c r="S17" s="485">
        <v>7</v>
      </c>
      <c r="T17" s="3154">
        <v>22943</v>
      </c>
      <c r="U17" s="3149">
        <f>S17*T17*12/1000</f>
        <v>1927.212</v>
      </c>
      <c r="V17" s="3150">
        <v>7</v>
      </c>
      <c r="W17" s="484">
        <f>X17/V17/9*1000</f>
        <v>18404.761904761905</v>
      </c>
      <c r="X17" s="3151">
        <v>1159.5</v>
      </c>
      <c r="Y17" s="485">
        <v>5</v>
      </c>
      <c r="Z17" s="484">
        <f>AA17/12/Y17*1000</f>
        <v>28281.666666666668</v>
      </c>
      <c r="AA17" s="486">
        <v>1696.9</v>
      </c>
      <c r="AB17" s="485">
        <v>7</v>
      </c>
      <c r="AC17" s="484">
        <v>29211</v>
      </c>
      <c r="AD17" s="487">
        <f t="shared" si="0"/>
        <v>127.31987970186984</v>
      </c>
      <c r="AE17" s="487">
        <f t="shared" si="1"/>
        <v>103.2859921032471</v>
      </c>
      <c r="AF17" s="486">
        <f>AB17*AC17*12/1000</f>
        <v>2453.7240000000002</v>
      </c>
      <c r="AG17" s="485"/>
      <c r="AH17" s="484"/>
      <c r="AI17" s="488"/>
      <c r="AJ17" s="489"/>
      <c r="AK17" s="490"/>
      <c r="AL17" s="485">
        <v>7</v>
      </c>
      <c r="AM17" s="491">
        <f>T17*1.071</f>
        <v>24571.952999999998</v>
      </c>
      <c r="AN17" s="482">
        <f>AM17/T17*100</f>
        <v>107.1</v>
      </c>
      <c r="AO17" s="492">
        <f t="shared" si="2"/>
        <v>86.882973657846648</v>
      </c>
      <c r="AP17" s="486">
        <f>AL17*AM17*12/1000</f>
        <v>2064.0440519999997</v>
      </c>
      <c r="AQ17" s="844"/>
      <c r="AR17" s="844"/>
      <c r="AS17" s="844"/>
      <c r="AT17" s="844"/>
      <c r="AU17" s="485">
        <v>6</v>
      </c>
      <c r="AV17" s="484">
        <f>AW17/9/AU17*1000</f>
        <v>23866.666666666664</v>
      </c>
      <c r="AW17" s="486">
        <v>1288.8</v>
      </c>
      <c r="AX17" s="485">
        <v>6</v>
      </c>
      <c r="AY17" s="484">
        <f>AZ17/3/AX17*1000</f>
        <v>29477.777777777777</v>
      </c>
      <c r="AZ17" s="486">
        <v>530.6</v>
      </c>
      <c r="BA17" s="485">
        <v>6</v>
      </c>
      <c r="BB17" s="491">
        <f>BC17/12/BA17*1000</f>
        <v>24416.666666666668</v>
      </c>
      <c r="BC17" s="493">
        <v>1758</v>
      </c>
      <c r="BD17" s="3139">
        <f>(M17+P17+Y17+BA17)/4</f>
        <v>5.75</v>
      </c>
      <c r="BE17" s="3140"/>
      <c r="BF17" s="3140"/>
      <c r="BG17" s="3140"/>
      <c r="BH17" s="3140"/>
      <c r="BI17" s="3140"/>
      <c r="BJ17" s="3140"/>
      <c r="BK17" s="3140"/>
      <c r="BL17" s="3140"/>
      <c r="BM17" s="3140"/>
      <c r="BN17" s="3140"/>
      <c r="BO17" s="3140"/>
      <c r="BP17" s="3140"/>
      <c r="BQ17" s="3140"/>
      <c r="BR17" s="3140"/>
      <c r="BS17" s="3140"/>
      <c r="BT17" s="3140"/>
      <c r="BU17" s="3140"/>
      <c r="BV17" s="3140"/>
      <c r="BW17" s="3140"/>
      <c r="BX17" s="3140"/>
      <c r="BY17" s="3140"/>
      <c r="BZ17" s="3140"/>
      <c r="CA17" s="3140"/>
      <c r="CB17" s="3140"/>
      <c r="CC17" s="3140"/>
      <c r="CD17" s="3140"/>
      <c r="CE17" s="3140"/>
      <c r="CF17" s="3140"/>
      <c r="CG17" s="3140"/>
      <c r="CH17" s="3140"/>
      <c r="CI17" s="3140"/>
      <c r="CJ17" s="3140"/>
      <c r="CK17" s="3140"/>
      <c r="CL17" s="3140"/>
      <c r="CM17" s="3140"/>
      <c r="CN17" s="3140"/>
      <c r="CO17" s="3140"/>
      <c r="CP17" s="3140"/>
      <c r="CQ17" s="3140"/>
      <c r="CR17" s="3140"/>
      <c r="CS17" s="3140"/>
      <c r="CT17" s="3140"/>
      <c r="CU17" s="3140"/>
      <c r="CV17" s="3140"/>
      <c r="CW17" s="3140"/>
      <c r="CX17" s="3140"/>
      <c r="CY17" s="3140"/>
      <c r="CZ17" s="3140"/>
      <c r="DA17" s="3140"/>
      <c r="DB17" s="3140"/>
      <c r="DC17" s="3140"/>
      <c r="DD17" s="3140"/>
      <c r="DE17" s="3140"/>
      <c r="DF17" s="3140"/>
      <c r="DG17" s="3140"/>
      <c r="DH17" s="3140"/>
      <c r="DI17" s="3140"/>
      <c r="DJ17" s="3140"/>
      <c r="DK17" s="3140"/>
      <c r="DL17" s="3140"/>
      <c r="DM17" s="3140"/>
      <c r="DN17" s="2097"/>
      <c r="DO17" s="2097"/>
    </row>
    <row r="18" spans="1:155" ht="19.5" hidden="1" thickBot="1" x14ac:dyDescent="0.35">
      <c r="A18" s="3156" t="s">
        <v>197</v>
      </c>
      <c r="B18" s="3157" t="s">
        <v>85</v>
      </c>
      <c r="C18" s="3158"/>
      <c r="D18" s="3159"/>
      <c r="E18" s="506"/>
      <c r="F18" s="3160"/>
      <c r="G18" s="3159"/>
      <c r="H18" s="511"/>
      <c r="I18" s="3161"/>
      <c r="J18" s="3159"/>
      <c r="K18" s="3162"/>
      <c r="L18" s="511"/>
      <c r="M18" s="3161">
        <v>17</v>
      </c>
      <c r="N18" s="3159">
        <v>14540</v>
      </c>
      <c r="O18" s="506">
        <f>M18*N18*12/1000</f>
        <v>2966.16</v>
      </c>
      <c r="P18" s="3163">
        <v>15</v>
      </c>
      <c r="Q18" s="508">
        <v>23628</v>
      </c>
      <c r="R18" s="3164">
        <f>P18*Q18*12/1000</f>
        <v>4253.04</v>
      </c>
      <c r="S18" s="2068">
        <v>19</v>
      </c>
      <c r="T18" s="800">
        <v>21140</v>
      </c>
      <c r="U18" s="3165">
        <f>S18*T18*12/1000</f>
        <v>4819.92</v>
      </c>
      <c r="V18" s="3166">
        <v>16</v>
      </c>
      <c r="W18" s="504">
        <f>X18/V18/9*1000</f>
        <v>21378.472222222223</v>
      </c>
      <c r="X18" s="3167">
        <v>3078.5</v>
      </c>
      <c r="Y18" s="2068">
        <v>15</v>
      </c>
      <c r="Z18" s="504">
        <f>AA18/12/Y18*1000</f>
        <v>25319.444444444445</v>
      </c>
      <c r="AA18" s="506">
        <v>4557.5</v>
      </c>
      <c r="AB18" s="2068">
        <v>19</v>
      </c>
      <c r="AC18" s="504">
        <v>28868</v>
      </c>
      <c r="AD18" s="507">
        <f t="shared" si="0"/>
        <v>136.55629139072846</v>
      </c>
      <c r="AE18" s="507">
        <f t="shared" si="1"/>
        <v>114.01513987931979</v>
      </c>
      <c r="AF18" s="506">
        <f>AB18*AC18*12/1000</f>
        <v>6581.9040000000005</v>
      </c>
      <c r="AG18" s="485"/>
      <c r="AH18" s="484"/>
      <c r="AI18" s="488"/>
      <c r="AJ18" s="489"/>
      <c r="AK18" s="490"/>
      <c r="AL18" s="2068">
        <v>19</v>
      </c>
      <c r="AM18" s="508">
        <f>T18*1.071</f>
        <v>22640.94</v>
      </c>
      <c r="AN18" s="509">
        <f>AM18/T18*100</f>
        <v>107.1</v>
      </c>
      <c r="AO18" s="510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2068">
        <v>17</v>
      </c>
      <c r="AV18" s="504">
        <f>AW18/9/AU18*1000</f>
        <v>24713.071895424837</v>
      </c>
      <c r="AW18" s="506">
        <v>3781.1</v>
      </c>
      <c r="AX18" s="2068">
        <v>17</v>
      </c>
      <c r="AY18" s="504">
        <f>AZ18/3/AX18*1000</f>
        <v>28013.725490196081</v>
      </c>
      <c r="AZ18" s="506">
        <v>1428.7</v>
      </c>
      <c r="BA18" s="2068">
        <v>17</v>
      </c>
      <c r="BB18" s="508">
        <f>BC18/12/BA18*1000</f>
        <v>24494.117647058825</v>
      </c>
      <c r="BC18" s="511">
        <v>4996.8</v>
      </c>
      <c r="BD18" s="3139">
        <f>(M18+P18+Y18+BA18)/4</f>
        <v>16</v>
      </c>
      <c r="BE18" s="3140"/>
      <c r="BF18" s="3140"/>
      <c r="BG18" s="3140"/>
      <c r="BH18" s="3140"/>
      <c r="BI18" s="3140"/>
      <c r="BJ18" s="3140"/>
      <c r="BK18" s="3140"/>
      <c r="BL18" s="3140"/>
      <c r="BM18" s="3140"/>
      <c r="BN18" s="3140"/>
      <c r="BO18" s="3140"/>
      <c r="BP18" s="3140"/>
      <c r="BQ18" s="3140"/>
      <c r="BR18" s="3140"/>
      <c r="BS18" s="3140"/>
      <c r="BT18" s="3140"/>
      <c r="BU18" s="3140"/>
      <c r="BV18" s="3140"/>
      <c r="BW18" s="3140"/>
      <c r="BX18" s="3140"/>
      <c r="BY18" s="3140"/>
      <c r="BZ18" s="3140"/>
      <c r="CA18" s="3140"/>
      <c r="CB18" s="3140"/>
      <c r="CC18" s="3140"/>
      <c r="CD18" s="3140"/>
      <c r="CE18" s="3140"/>
      <c r="CF18" s="3140"/>
      <c r="CG18" s="3140"/>
      <c r="CH18" s="3140"/>
      <c r="CI18" s="3140"/>
      <c r="CJ18" s="3140"/>
      <c r="CK18" s="3140"/>
      <c r="CL18" s="3140"/>
      <c r="CM18" s="3140"/>
      <c r="CN18" s="3140"/>
      <c r="CO18" s="3140"/>
      <c r="CP18" s="3140"/>
      <c r="CQ18" s="3140"/>
      <c r="CR18" s="3140"/>
      <c r="CS18" s="3140"/>
      <c r="CT18" s="3140"/>
      <c r="CU18" s="3140"/>
      <c r="CV18" s="3140"/>
      <c r="CW18" s="3140"/>
      <c r="CX18" s="3140"/>
      <c r="CY18" s="3140"/>
      <c r="CZ18" s="3140"/>
      <c r="DA18" s="3140"/>
      <c r="DB18" s="3140"/>
      <c r="DC18" s="3140"/>
      <c r="DD18" s="3140"/>
      <c r="DE18" s="3140"/>
      <c r="DF18" s="3140"/>
      <c r="DG18" s="3140"/>
      <c r="DH18" s="3140"/>
      <c r="DI18" s="3140"/>
      <c r="DJ18" s="3140"/>
      <c r="DK18" s="3140"/>
      <c r="DL18" s="3140"/>
      <c r="DM18" s="3140"/>
      <c r="DN18" s="2097"/>
      <c r="DO18" s="2097"/>
    </row>
    <row r="19" spans="1:155" ht="18.75" x14ac:dyDescent="0.3">
      <c r="A19" s="2617"/>
      <c r="B19" s="2617"/>
      <c r="C19" s="2617"/>
      <c r="D19" s="2617"/>
      <c r="E19" s="2617"/>
      <c r="F19" s="2617"/>
      <c r="G19" s="2617"/>
      <c r="H19" s="2617"/>
      <c r="I19" s="2617"/>
      <c r="J19" s="2617"/>
      <c r="K19" s="2617"/>
      <c r="L19" s="2617"/>
      <c r="M19" s="2617"/>
      <c r="N19" s="2617"/>
      <c r="O19" s="2617"/>
      <c r="P19" s="2617"/>
      <c r="Q19" s="2617"/>
      <c r="R19" s="2617"/>
      <c r="S19" s="2617"/>
      <c r="T19" s="2617"/>
      <c r="U19" s="2617"/>
      <c r="V19" s="2617"/>
      <c r="W19" s="2617"/>
      <c r="X19" s="2617"/>
      <c r="Y19" s="2617"/>
      <c r="Z19" s="2617"/>
      <c r="AA19" s="2617"/>
      <c r="AB19" s="2617"/>
      <c r="AC19" s="2617"/>
      <c r="AD19" s="2617"/>
      <c r="AE19" s="2617"/>
      <c r="AF19" s="2617"/>
      <c r="AG19" s="2617"/>
      <c r="AH19" s="2617"/>
      <c r="AI19" s="2617"/>
      <c r="AJ19" s="2617"/>
      <c r="AK19" s="2617"/>
      <c r="AL19" s="2617"/>
      <c r="AM19" s="2617"/>
      <c r="AN19" s="2617"/>
      <c r="AO19" s="2617"/>
      <c r="AP19" s="2617"/>
      <c r="AQ19" s="2617"/>
      <c r="AR19" s="2617"/>
      <c r="AS19" s="2617"/>
      <c r="AT19" s="2617"/>
      <c r="AU19" s="2617"/>
      <c r="AV19" s="2617"/>
      <c r="AW19" s="2617"/>
      <c r="AX19" s="2617"/>
      <c r="AY19" s="2617"/>
      <c r="AZ19" s="2617"/>
      <c r="BA19" s="2617"/>
      <c r="BB19" s="2617"/>
      <c r="BC19" s="2617"/>
      <c r="BD19" s="2617"/>
      <c r="BE19" s="2617"/>
      <c r="BF19" s="2617"/>
      <c r="BG19" s="2617"/>
      <c r="BH19" s="2617"/>
      <c r="BI19" s="2617"/>
      <c r="BJ19" s="2617"/>
      <c r="BK19" s="2617"/>
      <c r="BL19" s="2617"/>
      <c r="BM19" s="2617"/>
      <c r="BN19" s="2617"/>
      <c r="BO19" s="2617"/>
      <c r="BP19" s="2617"/>
      <c r="BQ19" s="2617"/>
      <c r="BR19" s="2617"/>
      <c r="BS19" s="2617"/>
      <c r="BT19" s="2617"/>
      <c r="BU19" s="2617"/>
      <c r="BV19" s="2617"/>
      <c r="BW19" s="2617"/>
      <c r="BX19" s="2617"/>
      <c r="BY19" s="2617"/>
      <c r="BZ19" s="2617"/>
      <c r="CA19" s="2617"/>
      <c r="CB19" s="2617"/>
      <c r="CC19" s="2617"/>
      <c r="CD19" s="2617"/>
      <c r="CE19" s="2617"/>
      <c r="CF19" s="2617"/>
      <c r="CG19" s="2617"/>
      <c r="CH19" s="2617"/>
      <c r="CI19" s="2617"/>
      <c r="CJ19" s="2617"/>
      <c r="CK19" s="2617"/>
      <c r="CL19" s="2617"/>
      <c r="CM19" s="2617"/>
      <c r="CN19" s="2617"/>
      <c r="CO19" s="2617"/>
      <c r="CP19" s="2617"/>
      <c r="CQ19" s="2617"/>
      <c r="CR19" s="2617"/>
      <c r="CS19" s="2617"/>
      <c r="CT19" s="2617"/>
      <c r="CU19" s="2617"/>
      <c r="CV19" s="2617"/>
      <c r="CW19" s="2617"/>
      <c r="CX19" s="2617"/>
      <c r="CY19" s="2617"/>
      <c r="CZ19" s="2617"/>
      <c r="DA19" s="2617"/>
      <c r="DB19" s="2617"/>
      <c r="DC19" s="2617"/>
      <c r="DD19" s="2617"/>
      <c r="DE19" s="2617"/>
      <c r="DF19" s="2617"/>
      <c r="DG19" s="2617"/>
      <c r="DH19" s="2617"/>
      <c r="DI19" s="2617"/>
      <c r="DJ19" s="2617"/>
      <c r="DK19" s="2617"/>
      <c r="DL19" s="2617"/>
      <c r="DM19" s="2617"/>
      <c r="DN19" s="389"/>
      <c r="DO19" s="389"/>
      <c r="ED19" s="1668"/>
    </row>
    <row r="20" spans="1:155" ht="12.75" customHeight="1" x14ac:dyDescent="0.2">
      <c r="A20" s="5941" t="s">
        <v>165</v>
      </c>
      <c r="B20" s="5941" t="s">
        <v>166</v>
      </c>
      <c r="C20" s="2553"/>
      <c r="D20" s="2553"/>
      <c r="E20" s="2553"/>
      <c r="F20" s="2553"/>
      <c r="G20" s="2553"/>
      <c r="H20" s="2553"/>
      <c r="I20" s="2553"/>
      <c r="J20" s="2553"/>
      <c r="K20" s="2553"/>
      <c r="L20" s="2553"/>
      <c r="M20" s="5944" t="s">
        <v>227</v>
      </c>
      <c r="N20" s="5944"/>
      <c r="O20" s="5944"/>
      <c r="P20" s="5944"/>
      <c r="Q20" s="5944"/>
      <c r="R20" s="5944"/>
      <c r="S20" s="5944"/>
      <c r="T20" s="5944"/>
      <c r="U20" s="5944"/>
      <c r="V20" s="5944"/>
      <c r="W20" s="5944"/>
      <c r="X20" s="5944"/>
      <c r="Y20" s="5944"/>
      <c r="Z20" s="5944"/>
      <c r="AA20" s="5944"/>
      <c r="AB20" s="5944"/>
      <c r="AC20" s="5944"/>
      <c r="AD20" s="5944"/>
      <c r="AE20" s="5944"/>
      <c r="AF20" s="5944"/>
      <c r="AG20" s="5944"/>
      <c r="AH20" s="5944"/>
      <c r="AI20" s="5944"/>
      <c r="AJ20" s="5944"/>
      <c r="AK20" s="5944"/>
      <c r="AL20" s="5944"/>
      <c r="AM20" s="5944"/>
      <c r="AN20" s="5944"/>
      <c r="AO20" s="5944"/>
      <c r="AP20" s="5944"/>
      <c r="AQ20" s="5944"/>
      <c r="AR20" s="5944"/>
      <c r="AS20" s="5944"/>
      <c r="AT20" s="5944"/>
      <c r="AU20" s="5944" t="s">
        <v>362</v>
      </c>
      <c r="AV20" s="5944"/>
      <c r="AW20" s="5944"/>
      <c r="AX20" s="5944"/>
      <c r="AY20" s="5944"/>
      <c r="AZ20" s="5944"/>
      <c r="BA20" s="5944"/>
      <c r="BB20" s="5944"/>
      <c r="BC20" s="5944"/>
      <c r="BD20" s="5944"/>
      <c r="BE20" s="5944"/>
      <c r="BF20" s="5944"/>
      <c r="BG20" s="5944"/>
      <c r="BH20" s="5944"/>
      <c r="BI20" s="5944"/>
      <c r="BJ20" s="5944"/>
      <c r="BK20" s="5944"/>
      <c r="BL20" s="5944"/>
      <c r="BM20" s="5944" t="s">
        <v>815</v>
      </c>
      <c r="BN20" s="5944"/>
      <c r="BO20" s="5944"/>
      <c r="BP20" s="5944"/>
      <c r="BQ20" s="5944"/>
      <c r="BR20" s="5944"/>
      <c r="BS20" s="5944"/>
      <c r="BT20" s="5944"/>
      <c r="BU20" s="5944"/>
      <c r="BV20" s="5944"/>
      <c r="BW20" s="5944"/>
      <c r="BX20" s="5909" t="s">
        <v>892</v>
      </c>
      <c r="BY20" s="5910"/>
      <c r="BZ20" s="5910"/>
      <c r="CA20" s="5910"/>
      <c r="CB20" s="5910"/>
      <c r="CC20" s="5910"/>
      <c r="CD20" s="5910"/>
      <c r="CE20" s="5910"/>
      <c r="CF20" s="5911"/>
      <c r="CG20" s="5909" t="s">
        <v>893</v>
      </c>
      <c r="CH20" s="5910"/>
      <c r="CI20" s="5910"/>
      <c r="CJ20" s="5959"/>
      <c r="CK20" s="5959"/>
      <c r="CL20" s="5960"/>
      <c r="CM20" s="5909" t="s">
        <v>1799</v>
      </c>
      <c r="CN20" s="5910"/>
      <c r="CO20" s="5910"/>
      <c r="CP20" s="5910"/>
      <c r="CQ20" s="5910"/>
      <c r="CR20" s="5911"/>
      <c r="CS20" s="5934" t="s">
        <v>1805</v>
      </c>
      <c r="CT20" s="5935"/>
      <c r="CU20" s="5935"/>
      <c r="CV20" s="5935"/>
      <c r="CW20" s="5935"/>
      <c r="CX20" s="5936"/>
      <c r="CY20" s="5912" t="s">
        <v>3609</v>
      </c>
      <c r="CZ20" s="5913"/>
      <c r="DA20" s="5914"/>
      <c r="DB20" s="5912" t="s">
        <v>3610</v>
      </c>
      <c r="DC20" s="5913"/>
      <c r="DD20" s="5914"/>
      <c r="DE20" s="5912" t="s">
        <v>3608</v>
      </c>
      <c r="DF20" s="5913"/>
      <c r="DG20" s="5914"/>
      <c r="DH20" s="5934" t="s">
        <v>1806</v>
      </c>
      <c r="DI20" s="5935"/>
      <c r="DJ20" s="5935"/>
      <c r="DK20" s="5935"/>
      <c r="DL20" s="5935"/>
      <c r="DM20" s="5936"/>
      <c r="DN20" s="5966" t="s">
        <v>235</v>
      </c>
      <c r="DO20" s="28"/>
      <c r="DP20" s="5912" t="s">
        <v>3864</v>
      </c>
      <c r="DQ20" s="5913"/>
      <c r="DR20" s="5914"/>
      <c r="DS20" s="5912" t="s">
        <v>3865</v>
      </c>
      <c r="DT20" s="5913"/>
      <c r="DU20" s="5914"/>
      <c r="DV20" s="5912" t="s">
        <v>3866</v>
      </c>
      <c r="DW20" s="5913"/>
      <c r="DX20" s="5914"/>
      <c r="DY20" s="5934" t="s">
        <v>1807</v>
      </c>
      <c r="DZ20" s="5935"/>
      <c r="EA20" s="5935"/>
      <c r="EB20" s="5935"/>
      <c r="EC20" s="5935"/>
      <c r="ED20" s="5936"/>
      <c r="EE20" s="5912" t="s">
        <v>3926</v>
      </c>
      <c r="EF20" s="5913"/>
      <c r="EG20" s="5914"/>
      <c r="EH20" s="5912" t="s">
        <v>3941</v>
      </c>
      <c r="EI20" s="5913"/>
      <c r="EJ20" s="5914"/>
      <c r="EK20" s="5912" t="s">
        <v>3927</v>
      </c>
      <c r="EL20" s="5913"/>
      <c r="EM20" s="5914"/>
      <c r="EN20" s="5934" t="s">
        <v>1808</v>
      </c>
      <c r="EO20" s="5935"/>
      <c r="EP20" s="5935"/>
      <c r="EQ20" s="5935"/>
      <c r="ER20" s="5935"/>
      <c r="ES20" s="5936"/>
      <c r="ET20" s="5912" t="s">
        <v>4254</v>
      </c>
      <c r="EU20" s="5913"/>
      <c r="EV20" s="5914"/>
      <c r="EW20" s="5912" t="s">
        <v>4252</v>
      </c>
      <c r="EX20" s="5913"/>
      <c r="EY20" s="5914"/>
    </row>
    <row r="21" spans="1:155" ht="12.75" customHeight="1" x14ac:dyDescent="0.2">
      <c r="A21" s="5656"/>
      <c r="B21" s="5656"/>
      <c r="C21" s="5921" t="s">
        <v>167</v>
      </c>
      <c r="D21" s="5921"/>
      <c r="E21" s="5921"/>
      <c r="F21" s="5921" t="s">
        <v>168</v>
      </c>
      <c r="G21" s="5921"/>
      <c r="H21" s="5921"/>
      <c r="I21" s="5921" t="s">
        <v>169</v>
      </c>
      <c r="J21" s="5921"/>
      <c r="K21" s="5921"/>
      <c r="L21" s="5921"/>
      <c r="M21" s="5921" t="s">
        <v>225</v>
      </c>
      <c r="N21" s="5921"/>
      <c r="O21" s="5921"/>
      <c r="P21" s="5921"/>
      <c r="Q21" s="5921"/>
      <c r="R21" s="5939"/>
      <c r="S21" s="5921" t="s">
        <v>226</v>
      </c>
      <c r="T21" s="5921"/>
      <c r="U21" s="5921"/>
      <c r="V21" s="5921"/>
      <c r="W21" s="5921"/>
      <c r="X21" s="5921" t="s">
        <v>413</v>
      </c>
      <c r="Y21" s="5921"/>
      <c r="Z21" s="5921"/>
      <c r="AA21" s="5921"/>
      <c r="AB21" s="5921"/>
      <c r="AC21" s="1726"/>
      <c r="AD21" s="1726"/>
      <c r="AE21" s="1726"/>
      <c r="AF21" s="1726"/>
      <c r="AG21" s="1726"/>
      <c r="AH21" s="1726"/>
      <c r="AI21" s="1726"/>
      <c r="AJ21" s="1726"/>
      <c r="AK21" s="1726"/>
      <c r="AL21" s="5921" t="s">
        <v>414</v>
      </c>
      <c r="AM21" s="5921"/>
      <c r="AN21" s="5921"/>
      <c r="AO21" s="5921"/>
      <c r="AP21" s="5921"/>
      <c r="AQ21" s="5921" t="s">
        <v>814</v>
      </c>
      <c r="AR21" s="5941"/>
      <c r="AS21" s="5941"/>
      <c r="AT21" s="5941"/>
      <c r="AU21" s="5921" t="s">
        <v>365</v>
      </c>
      <c r="AV21" s="5921"/>
      <c r="AW21" s="5921"/>
      <c r="AX21" s="5921"/>
      <c r="AY21" s="5921"/>
      <c r="AZ21" s="5921" t="s">
        <v>369</v>
      </c>
      <c r="BA21" s="5921"/>
      <c r="BB21" s="5921"/>
      <c r="BC21" s="5921"/>
      <c r="BD21" s="5921"/>
      <c r="BE21" s="5921" t="s">
        <v>841</v>
      </c>
      <c r="BF21" s="5921"/>
      <c r="BG21" s="5921"/>
      <c r="BH21" s="5921"/>
      <c r="BI21" s="5921" t="s">
        <v>840</v>
      </c>
      <c r="BJ21" s="5921"/>
      <c r="BK21" s="5921"/>
      <c r="BL21" s="5921"/>
      <c r="BM21" s="5921" t="s">
        <v>842</v>
      </c>
      <c r="BN21" s="5921"/>
      <c r="BO21" s="5921"/>
      <c r="BP21" s="5921"/>
      <c r="BQ21" s="5921" t="s">
        <v>1585</v>
      </c>
      <c r="BR21" s="5921"/>
      <c r="BS21" s="5921"/>
      <c r="BT21" s="5921"/>
      <c r="BU21" s="5903" t="s">
        <v>60</v>
      </c>
      <c r="BV21" s="5904"/>
      <c r="BW21" s="5905"/>
      <c r="BX21" s="5903" t="s">
        <v>60</v>
      </c>
      <c r="BY21" s="5904"/>
      <c r="BZ21" s="5905"/>
      <c r="CA21" s="5921" t="s">
        <v>1585</v>
      </c>
      <c r="CB21" s="5921"/>
      <c r="CC21" s="5921"/>
      <c r="CD21" s="5904" t="s">
        <v>1675</v>
      </c>
      <c r="CE21" s="5904"/>
      <c r="CF21" s="5905"/>
      <c r="CG21" s="5921" t="s">
        <v>1585</v>
      </c>
      <c r="CH21" s="5921"/>
      <c r="CI21" s="5921"/>
      <c r="CJ21" s="5903" t="s">
        <v>60</v>
      </c>
      <c r="CK21" s="5961"/>
      <c r="CL21" s="5962"/>
      <c r="CM21" s="5903" t="s">
        <v>118</v>
      </c>
      <c r="CN21" s="5904"/>
      <c r="CO21" s="5905"/>
      <c r="CP21" s="5903" t="s">
        <v>1521</v>
      </c>
      <c r="CQ21" s="5904"/>
      <c r="CR21" s="5905"/>
      <c r="CS21" s="5903" t="s">
        <v>3511</v>
      </c>
      <c r="CT21" s="5904"/>
      <c r="CU21" s="5905"/>
      <c r="CV21" s="5903" t="s">
        <v>3660</v>
      </c>
      <c r="CW21" s="5904"/>
      <c r="CX21" s="5905"/>
      <c r="CY21" s="5915"/>
      <c r="CZ21" s="5916"/>
      <c r="DA21" s="5917"/>
      <c r="DB21" s="5915"/>
      <c r="DC21" s="5916"/>
      <c r="DD21" s="5917"/>
      <c r="DE21" s="5915"/>
      <c r="DF21" s="5916"/>
      <c r="DG21" s="5917"/>
      <c r="DH21" s="5903" t="s">
        <v>3511</v>
      </c>
      <c r="DI21" s="5904"/>
      <c r="DJ21" s="5905"/>
      <c r="DK21" s="5903" t="s">
        <v>3660</v>
      </c>
      <c r="DL21" s="5904"/>
      <c r="DM21" s="5905"/>
      <c r="DN21" s="5967"/>
      <c r="DO21" s="2099"/>
      <c r="DP21" s="5915"/>
      <c r="DQ21" s="5916"/>
      <c r="DR21" s="5917"/>
      <c r="DS21" s="5915"/>
      <c r="DT21" s="5916"/>
      <c r="DU21" s="5917"/>
      <c r="DV21" s="5915"/>
      <c r="DW21" s="5916"/>
      <c r="DX21" s="5917"/>
      <c r="DY21" s="5903" t="s">
        <v>3511</v>
      </c>
      <c r="DZ21" s="5904"/>
      <c r="EA21" s="5905"/>
      <c r="EB21" s="5903" t="s">
        <v>3660</v>
      </c>
      <c r="EC21" s="5904"/>
      <c r="ED21" s="5905"/>
      <c r="EE21" s="5915"/>
      <c r="EF21" s="5916"/>
      <c r="EG21" s="5917"/>
      <c r="EH21" s="5915"/>
      <c r="EI21" s="5916"/>
      <c r="EJ21" s="5917"/>
      <c r="EK21" s="5915"/>
      <c r="EL21" s="5916"/>
      <c r="EM21" s="5917"/>
      <c r="EN21" s="5903" t="s">
        <v>3511</v>
      </c>
      <c r="EO21" s="5904"/>
      <c r="EP21" s="5905"/>
      <c r="EQ21" s="5903" t="s">
        <v>3660</v>
      </c>
      <c r="ER21" s="5904"/>
      <c r="ES21" s="5905"/>
      <c r="ET21" s="5915"/>
      <c r="EU21" s="5916"/>
      <c r="EV21" s="5917"/>
      <c r="EW21" s="5915"/>
      <c r="EX21" s="5916"/>
      <c r="EY21" s="5917"/>
    </row>
    <row r="22" spans="1:155" ht="18.75" customHeight="1" x14ac:dyDescent="0.2">
      <c r="A22" s="5656"/>
      <c r="B22" s="5656"/>
      <c r="C22" s="5921"/>
      <c r="D22" s="5921"/>
      <c r="E22" s="5921"/>
      <c r="F22" s="5921"/>
      <c r="G22" s="5921"/>
      <c r="H22" s="5921"/>
      <c r="I22" s="3069"/>
      <c r="J22" s="3069"/>
      <c r="K22" s="3069"/>
      <c r="L22" s="3069"/>
      <c r="M22" s="5921"/>
      <c r="N22" s="5921"/>
      <c r="O22" s="5921"/>
      <c r="P22" s="5921"/>
      <c r="Q22" s="5921"/>
      <c r="R22" s="5939"/>
      <c r="S22" s="5921"/>
      <c r="T22" s="5921"/>
      <c r="U22" s="5921"/>
      <c r="V22" s="5921"/>
      <c r="W22" s="5921"/>
      <c r="X22" s="5921"/>
      <c r="Y22" s="5921"/>
      <c r="Z22" s="5921"/>
      <c r="AA22" s="5921"/>
      <c r="AB22" s="5921"/>
      <c r="AC22" s="1726"/>
      <c r="AD22" s="1726"/>
      <c r="AE22" s="1726"/>
      <c r="AF22" s="1726"/>
      <c r="AG22" s="1726"/>
      <c r="AH22" s="1726"/>
      <c r="AI22" s="1726"/>
      <c r="AJ22" s="1726"/>
      <c r="AK22" s="1726"/>
      <c r="AL22" s="5921"/>
      <c r="AM22" s="5921"/>
      <c r="AN22" s="5921"/>
      <c r="AO22" s="5921"/>
      <c r="AP22" s="5921"/>
      <c r="AQ22" s="5941"/>
      <c r="AR22" s="5941"/>
      <c r="AS22" s="5941"/>
      <c r="AT22" s="5941"/>
      <c r="AU22" s="5921"/>
      <c r="AV22" s="5921"/>
      <c r="AW22" s="5921"/>
      <c r="AX22" s="5921"/>
      <c r="AY22" s="5921"/>
      <c r="AZ22" s="5921"/>
      <c r="BA22" s="5921"/>
      <c r="BB22" s="5921"/>
      <c r="BC22" s="5921"/>
      <c r="BD22" s="5921"/>
      <c r="BE22" s="5921"/>
      <c r="BF22" s="5921"/>
      <c r="BG22" s="5921"/>
      <c r="BH22" s="5921"/>
      <c r="BI22" s="5921"/>
      <c r="BJ22" s="5921"/>
      <c r="BK22" s="5921"/>
      <c r="BL22" s="5921"/>
      <c r="BM22" s="5921"/>
      <c r="BN22" s="5921"/>
      <c r="BO22" s="5921"/>
      <c r="BP22" s="5921"/>
      <c r="BQ22" s="5921"/>
      <c r="BR22" s="5921"/>
      <c r="BS22" s="5921"/>
      <c r="BT22" s="5921"/>
      <c r="BU22" s="5906"/>
      <c r="BV22" s="5907"/>
      <c r="BW22" s="5908"/>
      <c r="BX22" s="5906"/>
      <c r="BY22" s="5907"/>
      <c r="BZ22" s="5908"/>
      <c r="CA22" s="5921"/>
      <c r="CB22" s="5921"/>
      <c r="CC22" s="5921"/>
      <c r="CD22" s="5907"/>
      <c r="CE22" s="5907"/>
      <c r="CF22" s="5908"/>
      <c r="CG22" s="5921"/>
      <c r="CH22" s="5921"/>
      <c r="CI22" s="5921"/>
      <c r="CJ22" s="5963"/>
      <c r="CK22" s="5964"/>
      <c r="CL22" s="5965"/>
      <c r="CM22" s="5906"/>
      <c r="CN22" s="5907"/>
      <c r="CO22" s="5908"/>
      <c r="CP22" s="5906"/>
      <c r="CQ22" s="5907"/>
      <c r="CR22" s="5908"/>
      <c r="CS22" s="5906"/>
      <c r="CT22" s="5907"/>
      <c r="CU22" s="5908"/>
      <c r="CV22" s="5906"/>
      <c r="CW22" s="5907"/>
      <c r="CX22" s="5908"/>
      <c r="CY22" s="5918"/>
      <c r="CZ22" s="5919"/>
      <c r="DA22" s="5920"/>
      <c r="DB22" s="5918"/>
      <c r="DC22" s="5919"/>
      <c r="DD22" s="5920"/>
      <c r="DE22" s="5918"/>
      <c r="DF22" s="5919"/>
      <c r="DG22" s="5920"/>
      <c r="DH22" s="5906"/>
      <c r="DI22" s="5907"/>
      <c r="DJ22" s="5908"/>
      <c r="DK22" s="5906"/>
      <c r="DL22" s="5907"/>
      <c r="DM22" s="5908"/>
      <c r="DN22" s="5967"/>
      <c r="DO22" s="2099"/>
      <c r="DP22" s="5918"/>
      <c r="DQ22" s="5919"/>
      <c r="DR22" s="5920"/>
      <c r="DS22" s="5918"/>
      <c r="DT22" s="5919"/>
      <c r="DU22" s="5920"/>
      <c r="DV22" s="5918"/>
      <c r="DW22" s="5919"/>
      <c r="DX22" s="5920"/>
      <c r="DY22" s="5906"/>
      <c r="DZ22" s="5907"/>
      <c r="EA22" s="5908"/>
      <c r="EB22" s="5906"/>
      <c r="EC22" s="5907"/>
      <c r="ED22" s="5908"/>
      <c r="EE22" s="5918"/>
      <c r="EF22" s="5919"/>
      <c r="EG22" s="5920"/>
      <c r="EH22" s="5918"/>
      <c r="EI22" s="5919"/>
      <c r="EJ22" s="5920"/>
      <c r="EK22" s="5918"/>
      <c r="EL22" s="5919"/>
      <c r="EM22" s="5920"/>
      <c r="EN22" s="5906"/>
      <c r="EO22" s="5907"/>
      <c r="EP22" s="5908"/>
      <c r="EQ22" s="5906"/>
      <c r="ER22" s="5907"/>
      <c r="ES22" s="5908"/>
      <c r="ET22" s="5918"/>
      <c r="EU22" s="5919"/>
      <c r="EV22" s="5920"/>
      <c r="EW22" s="5918"/>
      <c r="EX22" s="5919"/>
      <c r="EY22" s="5920"/>
    </row>
    <row r="23" spans="1:155" ht="75" customHeight="1" x14ac:dyDescent="0.2">
      <c r="A23" s="5656"/>
      <c r="B23" s="5656"/>
      <c r="C23" s="3072" t="s">
        <v>172</v>
      </c>
      <c r="D23" s="3072" t="s">
        <v>175</v>
      </c>
      <c r="E23" s="3072" t="s">
        <v>176</v>
      </c>
      <c r="F23" s="3072" t="s">
        <v>172</v>
      </c>
      <c r="G23" s="3072" t="s">
        <v>175</v>
      </c>
      <c r="H23" s="3072" t="s">
        <v>176</v>
      </c>
      <c r="I23" s="3072" t="s">
        <v>172</v>
      </c>
      <c r="J23" s="3072" t="s">
        <v>175</v>
      </c>
      <c r="K23" s="3072" t="s">
        <v>177</v>
      </c>
      <c r="L23" s="3072" t="s">
        <v>176</v>
      </c>
      <c r="M23" s="3072" t="s">
        <v>172</v>
      </c>
      <c r="N23" s="3072" t="s">
        <v>175</v>
      </c>
      <c r="O23" s="3072" t="s">
        <v>176</v>
      </c>
      <c r="P23" s="3072" t="s">
        <v>243</v>
      </c>
      <c r="Q23" s="3072" t="s">
        <v>244</v>
      </c>
      <c r="R23" s="5939"/>
      <c r="S23" s="3072" t="s">
        <v>172</v>
      </c>
      <c r="T23" s="3072" t="s">
        <v>175</v>
      </c>
      <c r="U23" s="3072" t="s">
        <v>176</v>
      </c>
      <c r="V23" s="3072" t="s">
        <v>243</v>
      </c>
      <c r="W23" s="3072" t="s">
        <v>244</v>
      </c>
      <c r="X23" s="3072" t="s">
        <v>172</v>
      </c>
      <c r="Y23" s="3072" t="s">
        <v>175</v>
      </c>
      <c r="Z23" s="3072" t="s">
        <v>176</v>
      </c>
      <c r="AA23" s="3072" t="s">
        <v>243</v>
      </c>
      <c r="AB23" s="3072" t="s">
        <v>244</v>
      </c>
      <c r="AC23" s="1726"/>
      <c r="AD23" s="1726"/>
      <c r="AE23" s="1726"/>
      <c r="AF23" s="1726"/>
      <c r="AG23" s="1726"/>
      <c r="AH23" s="1726"/>
      <c r="AI23" s="1726"/>
      <c r="AJ23" s="1726"/>
      <c r="AK23" s="1726"/>
      <c r="AL23" s="3072" t="s">
        <v>172</v>
      </c>
      <c r="AM23" s="3072" t="s">
        <v>175</v>
      </c>
      <c r="AN23" s="3072" t="s">
        <v>176</v>
      </c>
      <c r="AO23" s="3072" t="s">
        <v>243</v>
      </c>
      <c r="AP23" s="1726"/>
      <c r="AQ23" s="3072" t="s">
        <v>172</v>
      </c>
      <c r="AR23" s="3072" t="s">
        <v>175</v>
      </c>
      <c r="AS23" s="3072" t="s">
        <v>176</v>
      </c>
      <c r="AT23" s="3072" t="s">
        <v>243</v>
      </c>
      <c r="AU23" s="3072" t="s">
        <v>172</v>
      </c>
      <c r="AV23" s="3072" t="s">
        <v>175</v>
      </c>
      <c r="AW23" s="3072" t="s">
        <v>176</v>
      </c>
      <c r="AX23" s="3072" t="s">
        <v>243</v>
      </c>
      <c r="AY23" s="3072" t="s">
        <v>433</v>
      </c>
      <c r="AZ23" s="3072" t="s">
        <v>172</v>
      </c>
      <c r="BA23" s="3072" t="s">
        <v>175</v>
      </c>
      <c r="BB23" s="3072" t="s">
        <v>176</v>
      </c>
      <c r="BC23" s="3072" t="s">
        <v>243</v>
      </c>
      <c r="BD23" s="1726"/>
      <c r="BE23" s="3072" t="s">
        <v>172</v>
      </c>
      <c r="BF23" s="3072" t="s">
        <v>175</v>
      </c>
      <c r="BG23" s="3072" t="s">
        <v>176</v>
      </c>
      <c r="BH23" s="3072" t="s">
        <v>243</v>
      </c>
      <c r="BI23" s="3072" t="s">
        <v>172</v>
      </c>
      <c r="BJ23" s="3072" t="s">
        <v>175</v>
      </c>
      <c r="BK23" s="3072" t="s">
        <v>176</v>
      </c>
      <c r="BL23" s="3072" t="s">
        <v>243</v>
      </c>
      <c r="BM23" s="3072" t="s">
        <v>172</v>
      </c>
      <c r="BN23" s="3072" t="s">
        <v>175</v>
      </c>
      <c r="BO23" s="3072" t="s">
        <v>176</v>
      </c>
      <c r="BP23" s="3072" t="s">
        <v>243</v>
      </c>
      <c r="BQ23" s="3072" t="s">
        <v>172</v>
      </c>
      <c r="BR23" s="3072" t="s">
        <v>175</v>
      </c>
      <c r="BS23" s="3072" t="s">
        <v>1841</v>
      </c>
      <c r="BT23" s="3072" t="s">
        <v>243</v>
      </c>
      <c r="BU23" s="3072" t="s">
        <v>172</v>
      </c>
      <c r="BV23" s="3072" t="s">
        <v>175</v>
      </c>
      <c r="BW23" s="3072" t="s">
        <v>1841</v>
      </c>
      <c r="BX23" s="3072" t="s">
        <v>172</v>
      </c>
      <c r="BY23" s="3072" t="s">
        <v>175</v>
      </c>
      <c r="BZ23" s="3072" t="s">
        <v>1841</v>
      </c>
      <c r="CA23" s="3072" t="s">
        <v>172</v>
      </c>
      <c r="CB23" s="3072" t="s">
        <v>175</v>
      </c>
      <c r="CC23" s="3072" t="s">
        <v>1841</v>
      </c>
      <c r="CD23" s="3072" t="s">
        <v>172</v>
      </c>
      <c r="CE23" s="3072" t="s">
        <v>175</v>
      </c>
      <c r="CF23" s="3072" t="s">
        <v>1841</v>
      </c>
      <c r="CG23" s="3072" t="s">
        <v>172</v>
      </c>
      <c r="CH23" s="3072" t="s">
        <v>175</v>
      </c>
      <c r="CI23" s="3072" t="s">
        <v>1841</v>
      </c>
      <c r="CJ23" s="3072" t="s">
        <v>172</v>
      </c>
      <c r="CK23" s="3072" t="s">
        <v>175</v>
      </c>
      <c r="CL23" s="3072" t="s">
        <v>1841</v>
      </c>
      <c r="CM23" s="3072" t="s">
        <v>172</v>
      </c>
      <c r="CN23" s="3072" t="s">
        <v>175</v>
      </c>
      <c r="CO23" s="3072" t="s">
        <v>1841</v>
      </c>
      <c r="CP23" s="3072" t="s">
        <v>172</v>
      </c>
      <c r="CQ23" s="3072" t="s">
        <v>175</v>
      </c>
      <c r="CR23" s="3072" t="s">
        <v>1841</v>
      </c>
      <c r="CS23" s="3072" t="s">
        <v>172</v>
      </c>
      <c r="CT23" s="3072" t="s">
        <v>175</v>
      </c>
      <c r="CU23" s="3072" t="s">
        <v>1841</v>
      </c>
      <c r="CV23" s="3072" t="s">
        <v>172</v>
      </c>
      <c r="CW23" s="3072" t="s">
        <v>175</v>
      </c>
      <c r="CX23" s="3072" t="s">
        <v>1841</v>
      </c>
      <c r="CY23" s="3072" t="s">
        <v>172</v>
      </c>
      <c r="CZ23" s="3072" t="s">
        <v>175</v>
      </c>
      <c r="DA23" s="3072" t="s">
        <v>1841</v>
      </c>
      <c r="DB23" s="3072" t="s">
        <v>172</v>
      </c>
      <c r="DC23" s="3072" t="s">
        <v>175</v>
      </c>
      <c r="DD23" s="3072" t="s">
        <v>1841</v>
      </c>
      <c r="DE23" s="3072" t="s">
        <v>172</v>
      </c>
      <c r="DF23" s="3072" t="s">
        <v>175</v>
      </c>
      <c r="DG23" s="3072" t="s">
        <v>1841</v>
      </c>
      <c r="DH23" s="3072" t="s">
        <v>172</v>
      </c>
      <c r="DI23" s="3072" t="s">
        <v>175</v>
      </c>
      <c r="DJ23" s="3072" t="s">
        <v>1841</v>
      </c>
      <c r="DK23" s="3072" t="s">
        <v>172</v>
      </c>
      <c r="DL23" s="3072" t="s">
        <v>175</v>
      </c>
      <c r="DM23" s="3072" t="s">
        <v>1841</v>
      </c>
      <c r="DN23" s="5968"/>
      <c r="DO23" s="2116"/>
      <c r="DP23" s="3556" t="s">
        <v>172</v>
      </c>
      <c r="DQ23" s="3556" t="s">
        <v>175</v>
      </c>
      <c r="DR23" s="3556" t="s">
        <v>1841</v>
      </c>
      <c r="DS23" s="3556" t="s">
        <v>172</v>
      </c>
      <c r="DT23" s="3556" t="s">
        <v>175</v>
      </c>
      <c r="DU23" s="3556" t="s">
        <v>1841</v>
      </c>
      <c r="DV23" s="3556" t="s">
        <v>172</v>
      </c>
      <c r="DW23" s="3556" t="s">
        <v>175</v>
      </c>
      <c r="DX23" s="3556" t="s">
        <v>1841</v>
      </c>
      <c r="DY23" s="3625" t="s">
        <v>172</v>
      </c>
      <c r="DZ23" s="3625" t="s">
        <v>175</v>
      </c>
      <c r="EA23" s="3625" t="s">
        <v>1841</v>
      </c>
      <c r="EB23" s="3625" t="s">
        <v>172</v>
      </c>
      <c r="EC23" s="3625" t="s">
        <v>175</v>
      </c>
      <c r="ED23" s="3625" t="s">
        <v>1841</v>
      </c>
      <c r="EE23" s="3788" t="s">
        <v>172</v>
      </c>
      <c r="EF23" s="3788" t="s">
        <v>175</v>
      </c>
      <c r="EG23" s="3788" t="s">
        <v>1841</v>
      </c>
      <c r="EH23" s="3788" t="s">
        <v>172</v>
      </c>
      <c r="EI23" s="3788" t="s">
        <v>175</v>
      </c>
      <c r="EJ23" s="3788" t="s">
        <v>1841</v>
      </c>
      <c r="EK23" s="3788" t="s">
        <v>172</v>
      </c>
      <c r="EL23" s="3788" t="s">
        <v>175</v>
      </c>
      <c r="EM23" s="3788" t="s">
        <v>1841</v>
      </c>
      <c r="EN23" s="3943" t="s">
        <v>172</v>
      </c>
      <c r="EO23" s="3943" t="s">
        <v>175</v>
      </c>
      <c r="EP23" s="3943" t="s">
        <v>1841</v>
      </c>
      <c r="EQ23" s="3943" t="s">
        <v>172</v>
      </c>
      <c r="ER23" s="3943" t="s">
        <v>175</v>
      </c>
      <c r="ES23" s="3943" t="s">
        <v>1841</v>
      </c>
      <c r="ET23" s="4573" t="s">
        <v>172</v>
      </c>
      <c r="EU23" s="4573" t="s">
        <v>175</v>
      </c>
      <c r="EV23" s="4573" t="s">
        <v>1841</v>
      </c>
      <c r="EW23" s="4573" t="s">
        <v>172</v>
      </c>
      <c r="EX23" s="4573" t="s">
        <v>175</v>
      </c>
      <c r="EY23" s="4573" t="s">
        <v>1841</v>
      </c>
    </row>
    <row r="24" spans="1:155" ht="72.75" customHeight="1" x14ac:dyDescent="0.2">
      <c r="A24" s="3168" t="s">
        <v>182</v>
      </c>
      <c r="B24" s="3169" t="s">
        <v>194</v>
      </c>
      <c r="C24" s="2100">
        <v>840</v>
      </c>
      <c r="D24" s="2101">
        <v>12146</v>
      </c>
      <c r="E24" s="2102">
        <v>122429.8</v>
      </c>
      <c r="F24" s="2101">
        <f>F25+F26</f>
        <v>813</v>
      </c>
      <c r="G24" s="2101">
        <f>(G25*F25+G26*F26)/(F25+F26)</f>
        <v>12443.442804428045</v>
      </c>
      <c r="H24" s="2102">
        <f>H26+H25</f>
        <v>121398.228</v>
      </c>
      <c r="I24" s="2100">
        <v>799</v>
      </c>
      <c r="J24" s="2101">
        <v>13361</v>
      </c>
      <c r="K24" s="2103">
        <f>J24/G24</f>
        <v>1.07373820975377</v>
      </c>
      <c r="L24" s="2102">
        <v>128108.9</v>
      </c>
      <c r="M24" s="2100">
        <f>M25+M26+M27+M28</f>
        <v>155</v>
      </c>
      <c r="N24" s="2101">
        <f t="shared" ref="N24:N35" si="3">O24/M24/12*1000</f>
        <v>25754.516129032254</v>
      </c>
      <c r="O24" s="2102">
        <f>O25+O26+O27+O28</f>
        <v>47903.399999999994</v>
      </c>
      <c r="P24" s="2104">
        <f>N24/AM8</f>
        <v>1.2212343117474604</v>
      </c>
      <c r="Q24" s="1726"/>
      <c r="R24" s="5939"/>
      <c r="S24" s="2105">
        <f>SUM(S25:S28)</f>
        <v>155</v>
      </c>
      <c r="T24" s="2106">
        <f>U24/S24/12*1000</f>
        <v>22269.902483612907</v>
      </c>
      <c r="U24" s="2105">
        <f>SUM(U25:U28)</f>
        <v>41422.018619520008</v>
      </c>
      <c r="V24" s="2104">
        <f>T24/AM8</f>
        <v>1.0560000000000003</v>
      </c>
      <c r="W24" s="1726"/>
      <c r="X24" s="2100">
        <f>X25+X26+X27+X28</f>
        <v>148.32999999999998</v>
      </c>
      <c r="Y24" s="2101">
        <f t="shared" ref="Y24:Y35" si="4">Z24/X24/6*1000</f>
        <v>21580.822040944742</v>
      </c>
      <c r="Z24" s="2102">
        <f>Z25+Z26+Z27+Z28</f>
        <v>19206.5</v>
      </c>
      <c r="AA24" s="2104">
        <f>Y24/BB8</f>
        <v>0.95562481208041816</v>
      </c>
      <c r="AB24" s="1726"/>
      <c r="AC24" s="1726"/>
      <c r="AD24" s="1726"/>
      <c r="AE24" s="1726"/>
      <c r="AF24" s="1726"/>
      <c r="AG24" s="1726"/>
      <c r="AH24" s="1726"/>
      <c r="AI24" s="1726"/>
      <c r="AJ24" s="1726"/>
      <c r="AK24" s="1726"/>
      <c r="AL24" s="2100">
        <f>AL25+AL26+AL27+AL28</f>
        <v>148</v>
      </c>
      <c r="AM24" s="2101">
        <f t="shared" ref="AM24:AM35" si="5">AN24/AL24/9*1000</f>
        <v>22609.909909909911</v>
      </c>
      <c r="AN24" s="2102">
        <f>AN25+AN26+AN27+AN28</f>
        <v>30116.400000000001</v>
      </c>
      <c r="AO24" s="2104">
        <f>AM24/BB8</f>
        <v>1.0011940633132144</v>
      </c>
      <c r="AP24" s="1726"/>
      <c r="AQ24" s="2100">
        <f>AQ25+AQ26+AQ27+AQ28</f>
        <v>148</v>
      </c>
      <c r="AR24" s="2101">
        <f t="shared" ref="AR24:AR35" si="6">AS24/AQ24/12*1000</f>
        <v>22770.326576576579</v>
      </c>
      <c r="AS24" s="2102">
        <f>AS25+AS26+AS27+AS28</f>
        <v>40440.100000000006</v>
      </c>
      <c r="AT24" s="2104">
        <f>AR24/T24</f>
        <v>1.0224708704194778</v>
      </c>
      <c r="AU24" s="2100">
        <f>AU25+AU26+AU27+AU28</f>
        <v>155</v>
      </c>
      <c r="AV24" s="2101">
        <f t="shared" ref="AV24:AV35" si="7">AW24/AU24/12*1000</f>
        <v>23460.37634408602</v>
      </c>
      <c r="AW24" s="2102">
        <f>AW25+AW26+AW27+AW28</f>
        <v>43636.299999999996</v>
      </c>
      <c r="AX24" s="2104">
        <f>AV24/T24</f>
        <v>1.0534566265545668</v>
      </c>
      <c r="AY24" s="2104">
        <f>AV24/BB8</f>
        <v>1.0388537421149895</v>
      </c>
      <c r="AZ24" s="2105">
        <f>SUM(AZ25:AZ28)</f>
        <v>150</v>
      </c>
      <c r="BA24" s="2106">
        <f>BB24/AZ24/12*1000</f>
        <v>23530.113691896189</v>
      </c>
      <c r="BB24" s="2105">
        <f>SUM(BB25:BB28)</f>
        <v>42354.204645413141</v>
      </c>
      <c r="BC24" s="2104">
        <f t="shared" ref="BC24:BC35" si="8">BA24/T24</f>
        <v>1.0565880883048588</v>
      </c>
      <c r="BD24" s="1726"/>
      <c r="BE24" s="2100">
        <f>BE25+BE26+BE27+BE28</f>
        <v>144</v>
      </c>
      <c r="BF24" s="2101">
        <f t="shared" ref="BF24:BF35" si="9">BG24/BE24/6*1000</f>
        <v>22832.175925925923</v>
      </c>
      <c r="BG24" s="2102">
        <f>BG25+BG26+BG27+BG28</f>
        <v>19727</v>
      </c>
      <c r="BH24" s="2104">
        <f>BF24/AV24</f>
        <v>0.9732229181260148</v>
      </c>
      <c r="BI24" s="2100">
        <f>BI25+BI26+BI27+BI28</f>
        <v>148</v>
      </c>
      <c r="BJ24" s="2101">
        <f t="shared" ref="BJ24:BJ35" si="10">BK24/BI24/9*1000</f>
        <v>22988.888888888887</v>
      </c>
      <c r="BK24" s="2102">
        <f>BK25+BK26+BK27+BK28</f>
        <v>30621.199999999997</v>
      </c>
      <c r="BL24" s="2104">
        <f>BJ24/BA24</f>
        <v>0.9769986320468268</v>
      </c>
      <c r="BM24" s="2100">
        <f>BM25+BM26+BM27+BM28</f>
        <v>155</v>
      </c>
      <c r="BN24" s="2106">
        <f>BO24/BM24/12*1000</f>
        <v>25806.413978494627</v>
      </c>
      <c r="BO24" s="2105">
        <f>SUM(BO25:BO28)</f>
        <v>47999.930000000008</v>
      </c>
      <c r="BP24" s="2104">
        <f>BN24/BA24</f>
        <v>1.0967398762455789</v>
      </c>
      <c r="BQ24" s="2100">
        <f>BQ25+BQ26+BQ27+BQ28</f>
        <v>148</v>
      </c>
      <c r="BR24" s="2106">
        <f>BS24/BQ24/12*1000</f>
        <v>26725.298409525822</v>
      </c>
      <c r="BS24" s="2105">
        <f>SUM(BS25:BS28)</f>
        <v>47464.129975317854</v>
      </c>
      <c r="BT24" s="2104">
        <f>BR24/BA24</f>
        <v>1.1357912995860304</v>
      </c>
      <c r="BU24" s="2100">
        <f>BU25+BU26+BU27+BU28</f>
        <v>145</v>
      </c>
      <c r="BV24" s="2106">
        <f>BW24/BU24/12*1000</f>
        <v>23794.813793103443</v>
      </c>
      <c r="BW24" s="2105">
        <f>SUM(BW25:BW28)</f>
        <v>41402.975999999995</v>
      </c>
      <c r="BX24" s="2100">
        <f>BX25+BX26+BX27+BX28</f>
        <v>140</v>
      </c>
      <c r="BY24" s="2106">
        <f>BZ24/BX24/12*1000</f>
        <v>25072.607142857141</v>
      </c>
      <c r="BZ24" s="2105">
        <f>SUM(BZ25:BZ28)</f>
        <v>42121.979999999996</v>
      </c>
      <c r="CA24" s="2100">
        <f t="shared" ref="CA24" si="11">CA25+CA26+CA27+CA28</f>
        <v>148</v>
      </c>
      <c r="CB24" s="2106">
        <f t="shared" ref="CB24" si="12">CC24/CA24/12*1000</f>
        <v>28336.566650636127</v>
      </c>
      <c r="CC24" s="2105">
        <f t="shared" ref="CC24" si="13">SUM(CC25:CC28)</f>
        <v>50325.742371529755</v>
      </c>
      <c r="CD24" s="2100">
        <f t="shared" ref="CD24" si="14">CD25+CD26+CD27+CD28</f>
        <v>148</v>
      </c>
      <c r="CE24" s="2106">
        <f t="shared" ref="CE24" si="15">CF24/CD24/12*1000</f>
        <v>27436.993106171485</v>
      </c>
      <c r="CF24" s="2105">
        <f t="shared" ref="CF24" si="16">SUM(CF25:CF28)</f>
        <v>48728.099756560558</v>
      </c>
      <c r="CG24" s="2100">
        <f t="shared" ref="CG24" si="17">CG25+CG26+CG27+CG28</f>
        <v>148</v>
      </c>
      <c r="CH24" s="2106">
        <f t="shared" ref="CH24" si="18">CI24/CG24/12*1000</f>
        <v>29763.424699027808</v>
      </c>
      <c r="CI24" s="2105">
        <f t="shared" ref="CI24" si="19">SUM(CI25:CI28)</f>
        <v>52859.842265473388</v>
      </c>
      <c r="CJ24" s="2105">
        <f>SUM(CJ25:CJ29)</f>
        <v>147</v>
      </c>
      <c r="CK24" s="2106">
        <f t="shared" ref="CK24" si="20">CL24/CJ24/12*1000</f>
        <v>24485.793650793654</v>
      </c>
      <c r="CL24" s="2105">
        <f>SUM(CL25:CL29)</f>
        <v>43192.94</v>
      </c>
      <c r="CM24" s="2100">
        <f>CM25+CM26+CM27+CM28+CM29</f>
        <v>148</v>
      </c>
      <c r="CN24" s="2106">
        <f>CO24/CM24/12*1000</f>
        <v>31450.472972972973</v>
      </c>
      <c r="CO24" s="2105">
        <f>SUM(CO25:CO28)</f>
        <v>55856.04</v>
      </c>
      <c r="CP24" s="2608">
        <f>CP25+CP26+CP27+CP28+CP29</f>
        <v>146.20255707762556</v>
      </c>
      <c r="CQ24" s="2106">
        <f>CR24/CP24/12*1000</f>
        <v>30971.534278593906</v>
      </c>
      <c r="CR24" s="2563">
        <f>SUM(CR25:CR29)</f>
        <v>54337.410097773143</v>
      </c>
      <c r="CS24" s="2608">
        <f>CS25+CS26+CS27+CS28+CS29</f>
        <v>147.19999999999999</v>
      </c>
      <c r="CT24" s="2106">
        <f>CU24/CS24/12*1000</f>
        <v>32369.527148036348</v>
      </c>
      <c r="CU24" s="2563">
        <f>SUM(CU25:CU29)</f>
        <v>57177.532754291395</v>
      </c>
      <c r="CV24" s="2608">
        <f>CV25+CV26+CV27+CV28+CV29</f>
        <v>146.19999999999999</v>
      </c>
      <c r="CW24" s="2106">
        <f>CX24/CV24/12*1000</f>
        <v>31581.676089188375</v>
      </c>
      <c r="CX24" s="2563">
        <f>SUM(CX25:CX29)</f>
        <v>55406.892530872079</v>
      </c>
      <c r="CY24" s="2563">
        <f>SUM(CY25:CY30)</f>
        <v>140</v>
      </c>
      <c r="CZ24" s="2563">
        <f>SUM(DA24/CY24/6*1000)</f>
        <v>26265.821428571431</v>
      </c>
      <c r="DA24" s="2563">
        <f>SUM(DA25:DA30)</f>
        <v>22063.290000000005</v>
      </c>
      <c r="DB24" s="2563">
        <f>SUM(DB25:DB30)</f>
        <v>140</v>
      </c>
      <c r="DC24" s="2563">
        <f t="shared" ref="DC24:DC36" si="21">SUM(DD24/DB24/9*1000)</f>
        <v>26987.325396825399</v>
      </c>
      <c r="DD24" s="2563">
        <f>SUM(DD25:DD30)</f>
        <v>34004.03</v>
      </c>
      <c r="DE24" s="2563">
        <f>SUM(DE25:DE30)</f>
        <v>140</v>
      </c>
      <c r="DF24" s="2563">
        <f t="shared" ref="DF24:DF36" si="22">SUM(DG24/DE24/12*1000)</f>
        <v>26549.226190476194</v>
      </c>
      <c r="DG24" s="2563">
        <f>SUM(DG25:DG30)</f>
        <v>44602.700000000004</v>
      </c>
      <c r="DH24" s="3629">
        <f>SUM(DH25:DH30)</f>
        <v>140</v>
      </c>
      <c r="DI24" s="2106">
        <f>DJ24/DH24/12*1000</f>
        <v>38083.187212517863</v>
      </c>
      <c r="DJ24" s="3629">
        <f>SUM(DJ25:DJ30)</f>
        <v>63979.754517030007</v>
      </c>
      <c r="DK24" s="3629">
        <f>SUM(DK25:DK30)</f>
        <v>146.20255707762556</v>
      </c>
      <c r="DL24" s="2106">
        <f>DM24/DK24/12*1000</f>
        <v>32463.739178461139</v>
      </c>
      <c r="DM24" s="3629">
        <f>SUM(DM25:DM30)</f>
        <v>56955.380162305366</v>
      </c>
      <c r="DN24" s="3639"/>
      <c r="DO24" s="2117"/>
      <c r="DP24" s="3629">
        <f>SUM(DP25:DP30)</f>
        <v>137</v>
      </c>
      <c r="DQ24" s="3629">
        <f>SUM(DR24/DP24/6*1000)</f>
        <v>26475.547445255477</v>
      </c>
      <c r="DR24" s="3629">
        <f>SUM(DR25:DR30)</f>
        <v>21762.9</v>
      </c>
      <c r="DS24" s="3629">
        <f>SUM(DS25:DS30)</f>
        <v>136</v>
      </c>
      <c r="DT24" s="3629">
        <f t="shared" ref="DT24:DT36" si="23">SUM(DU24/DS24/9*1000)</f>
        <v>26731.683006535946</v>
      </c>
      <c r="DU24" s="3629">
        <f>SUM(DU25:DU30)</f>
        <v>32719.579999999998</v>
      </c>
      <c r="DV24" s="3629">
        <f>SUM(DV25:DV30)</f>
        <v>136</v>
      </c>
      <c r="DW24" s="3629">
        <f t="shared" ref="DW24:DW36" si="24">SUM(DX24/DV24/12*1000)</f>
        <v>26401.776960784315</v>
      </c>
      <c r="DX24" s="3629">
        <f>SUM(DX25:DX30)</f>
        <v>43087.7</v>
      </c>
      <c r="DY24" s="3944">
        <f>SUM(DY25:DY30)</f>
        <v>140</v>
      </c>
      <c r="DZ24" s="2106">
        <f>EA24/DY24/12*1000</f>
        <v>40315.175257500006</v>
      </c>
      <c r="EA24" s="3944">
        <f>SUM(EA25:EA30)</f>
        <v>67729.494432600011</v>
      </c>
      <c r="EB24" s="3944">
        <f>SUM(EB25:EB30)</f>
        <v>146.20255707762556</v>
      </c>
      <c r="EC24" s="2106">
        <f>ED24/EB24/12*1000</f>
        <v>34364.10018663705</v>
      </c>
      <c r="ED24" s="3944">
        <f>SUM(ED25:ED30)</f>
        <v>60289.431827496563</v>
      </c>
      <c r="EE24" s="3944">
        <f>SUM(EE25:EE30)</f>
        <v>140</v>
      </c>
      <c r="EF24" s="3944">
        <f t="shared" ref="EF24:EF36" si="25">SUM(EG24/EE24/6*1000)</f>
        <v>28667.863095238092</v>
      </c>
      <c r="EG24" s="3944">
        <f>SUM(EG25:EG30)</f>
        <v>24081.005000000001</v>
      </c>
      <c r="EH24" s="3944">
        <f>SUM(EH25:EH30)</f>
        <v>140</v>
      </c>
      <c r="EI24" s="3944">
        <f t="shared" ref="EI24:EI36" si="26">SUM(EJ24/EH24/9*1000)</f>
        <v>28995.960317460311</v>
      </c>
      <c r="EJ24" s="3944">
        <f>SUM(EJ25:EJ30)</f>
        <v>36534.909999999996</v>
      </c>
      <c r="EK24" s="3944">
        <f>SUM(EK25:EK30)</f>
        <v>141</v>
      </c>
      <c r="EL24" s="3944">
        <f t="shared" ref="EL24:EL36" si="27">SUM(EM24/EK24/12*1000)</f>
        <v>28925.261820330968</v>
      </c>
      <c r="EM24" s="3944">
        <f>SUM(EM25:EM30)</f>
        <v>48941.542999999998</v>
      </c>
      <c r="EN24" s="3075">
        <f>SUM(EN25:EN30)</f>
        <v>141</v>
      </c>
      <c r="EO24" s="3297">
        <f>EP24/EN24/12*1000</f>
        <v>45778.091869680844</v>
      </c>
      <c r="EP24" s="3075">
        <f>SUM(EP25:EP30)</f>
        <v>77456.531443499989</v>
      </c>
      <c r="EQ24" s="3075">
        <f>SUM(EQ25:EQ30)</f>
        <v>146.25255707762557</v>
      </c>
      <c r="ER24" s="3297">
        <f>ES24/EQ24/12*1000</f>
        <v>39629.386684553167</v>
      </c>
      <c r="ES24" s="3075">
        <f>SUM(ES25:ES30)</f>
        <v>69550.78965640688</v>
      </c>
      <c r="ET24" s="4735">
        <f>SUM(ET25:ET30)</f>
        <v>142.04499999999999</v>
      </c>
      <c r="EU24" s="4735">
        <f t="shared" ref="EU24:EU36" si="28">SUM(EV24/ET24/6*1000)</f>
        <v>34718.524645945537</v>
      </c>
      <c r="EV24" s="4735">
        <f>SUM(EV25:EV30)</f>
        <v>29589.556999999997</v>
      </c>
      <c r="EW24" s="4735">
        <f>SUM(EW25:EW30)</f>
        <v>133.03</v>
      </c>
      <c r="EX24" s="4735">
        <f t="shared" ref="EX24:EX36" si="29">SUM(EY24/EW24/12*1000)</f>
        <v>35852.74248916284</v>
      </c>
      <c r="EY24" s="4735">
        <f>SUM(EY25:EY30)</f>
        <v>57233.883999999998</v>
      </c>
    </row>
    <row r="25" spans="1:155" ht="37.5" customHeight="1" x14ac:dyDescent="0.2">
      <c r="A25" s="3170" t="s">
        <v>183</v>
      </c>
      <c r="B25" s="3053" t="s">
        <v>82</v>
      </c>
      <c r="C25" s="2107">
        <v>456</v>
      </c>
      <c r="D25" s="2108">
        <v>12405</v>
      </c>
      <c r="E25" s="2109">
        <v>67882.600000000006</v>
      </c>
      <c r="F25" s="2108">
        <v>444</v>
      </c>
      <c r="G25" s="2108">
        <v>12620</v>
      </c>
      <c r="H25" s="2109">
        <f>F25*G25*12/1000</f>
        <v>67239.360000000001</v>
      </c>
      <c r="I25" s="2107">
        <v>435</v>
      </c>
      <c r="J25" s="2108">
        <v>13646</v>
      </c>
      <c r="K25" s="2103">
        <f>J25/G25</f>
        <v>1.0812995245641839</v>
      </c>
      <c r="L25" s="2109">
        <v>71232.100000000006</v>
      </c>
      <c r="M25" s="2107">
        <v>26.5</v>
      </c>
      <c r="N25" s="2108">
        <f t="shared" si="3"/>
        <v>22554.402515723272</v>
      </c>
      <c r="O25" s="2109">
        <v>7172.3</v>
      </c>
      <c r="P25" s="2104">
        <f>N25/AM9</f>
        <v>1.1772154265166728</v>
      </c>
      <c r="Q25" s="1726"/>
      <c r="R25" s="5939"/>
      <c r="S25" s="2110">
        <f>AL9</f>
        <v>26.5</v>
      </c>
      <c r="T25" s="2108">
        <f>AM9*1.056</f>
        <v>20232.022550943402</v>
      </c>
      <c r="U25" s="2109">
        <f>S25*T25*12/1000</f>
        <v>6433.7831712000025</v>
      </c>
      <c r="V25" s="2104">
        <f>T25/AM9</f>
        <v>1.056</v>
      </c>
      <c r="W25" s="2104">
        <f>T25/AY9</f>
        <v>0.85651923563968224</v>
      </c>
      <c r="X25" s="2111">
        <v>23.5</v>
      </c>
      <c r="Y25" s="2108">
        <f t="shared" si="4"/>
        <v>20790.070921985814</v>
      </c>
      <c r="Z25" s="2109">
        <v>2931.4</v>
      </c>
      <c r="AA25" s="2104">
        <f>Y25/BB9</f>
        <v>0.98254215345308094</v>
      </c>
      <c r="AB25" s="2104" t="e">
        <f>Y25/#REF!</f>
        <v>#REF!</v>
      </c>
      <c r="AC25" s="1726"/>
      <c r="AD25" s="1726"/>
      <c r="AE25" s="1726"/>
      <c r="AF25" s="1726"/>
      <c r="AG25" s="1726"/>
      <c r="AH25" s="1726"/>
      <c r="AI25" s="1726"/>
      <c r="AJ25" s="1726"/>
      <c r="AK25" s="1726"/>
      <c r="AL25" s="2107">
        <v>24</v>
      </c>
      <c r="AM25" s="2108">
        <f t="shared" si="5"/>
        <v>21343.981481481482</v>
      </c>
      <c r="AN25" s="2109">
        <v>4610.3</v>
      </c>
      <c r="AO25" s="2104">
        <f>AM25/BB9</f>
        <v>1.0087200571259218</v>
      </c>
      <c r="AP25" s="1726"/>
      <c r="AQ25" s="2107">
        <v>24</v>
      </c>
      <c r="AR25" s="2108">
        <f t="shared" si="6"/>
        <v>21852.430555555558</v>
      </c>
      <c r="AS25" s="2109">
        <v>6293.5</v>
      </c>
      <c r="AT25" s="2104">
        <f t="shared" ref="AT25:AT40" si="30">AR25/T25</f>
        <v>1.0800912514076155</v>
      </c>
      <c r="AU25" s="2107">
        <v>26.5</v>
      </c>
      <c r="AV25" s="2108">
        <f t="shared" si="7"/>
        <v>21298.113207547172</v>
      </c>
      <c r="AW25" s="2109">
        <v>6772.8</v>
      </c>
      <c r="AX25" s="2104">
        <f t="shared" ref="AX25:AX35" si="31">AV25/T25</f>
        <v>1.0526932319257454</v>
      </c>
      <c r="AY25" s="2104">
        <f>AV25/BB9</f>
        <v>1.0065523149948004</v>
      </c>
      <c r="AZ25" s="2112">
        <f>BA9</f>
        <v>22</v>
      </c>
      <c r="BA25" s="2108">
        <f>AV25</f>
        <v>21298.113207547172</v>
      </c>
      <c r="BB25" s="2109">
        <f>AZ25*BA25*12/1000</f>
        <v>5622.7018867924526</v>
      </c>
      <c r="BC25" s="2104">
        <f t="shared" si="8"/>
        <v>1.0526932319257454</v>
      </c>
      <c r="BD25" s="1726"/>
      <c r="BE25" s="2107">
        <v>24</v>
      </c>
      <c r="BF25" s="2108">
        <f t="shared" si="9"/>
        <v>21190.972222222223</v>
      </c>
      <c r="BG25" s="2109">
        <v>3051.5</v>
      </c>
      <c r="BH25" s="2104">
        <f t="shared" ref="BH25:BH40" si="32">BF25/AV25</f>
        <v>0.99496946117804541</v>
      </c>
      <c r="BI25" s="2107">
        <v>24</v>
      </c>
      <c r="BJ25" s="2108">
        <f t="shared" si="10"/>
        <v>21644.444444444442</v>
      </c>
      <c r="BK25" s="2109">
        <v>4675.2</v>
      </c>
      <c r="BL25" s="2104">
        <f t="shared" ref="BL25:BL40" si="33">BJ25/BA25</f>
        <v>1.0162611229230645</v>
      </c>
      <c r="BM25" s="2107">
        <v>26.5</v>
      </c>
      <c r="BN25" s="2108">
        <f>SUM(BA25*1.1)</f>
        <v>23427.92452830189</v>
      </c>
      <c r="BO25" s="2109">
        <f>BM25*BN25*12/1000</f>
        <v>7450.0800000000017</v>
      </c>
      <c r="BP25" s="2104">
        <f t="shared" ref="BP25:BP40" si="34">BN25/BA25</f>
        <v>1.1000000000000001</v>
      </c>
      <c r="BQ25" s="2107">
        <f>AQ25</f>
        <v>24</v>
      </c>
      <c r="BR25" s="2108">
        <f>'ЗП с факт 3 кв. 2015'!BU25</f>
        <v>24220.191666666662</v>
      </c>
      <c r="BS25" s="2109">
        <f>BQ25*BR25*12/1000</f>
        <v>6975.4151999999985</v>
      </c>
      <c r="BT25" s="2104">
        <f t="shared" ref="BT25:BT35" si="35">BR25/BA25</f>
        <v>1.1371989354476726</v>
      </c>
      <c r="BU25" s="2107">
        <v>25</v>
      </c>
      <c r="BV25" s="2108">
        <v>22802</v>
      </c>
      <c r="BW25" s="2109">
        <f>BU25*BV25*12/1000</f>
        <v>6840.6</v>
      </c>
      <c r="BX25" s="2107">
        <v>19</v>
      </c>
      <c r="BY25" s="2108">
        <v>27193</v>
      </c>
      <c r="BZ25" s="2109">
        <f>BX25*BY25*12/1000</f>
        <v>6200.0039999999999</v>
      </c>
      <c r="CA25" s="2109">
        <f>BQ25</f>
        <v>24</v>
      </c>
      <c r="CB25" s="2109">
        <f>CC25/12/CA25*1000</f>
        <v>25680.427022249991</v>
      </c>
      <c r="CC25" s="2109">
        <f>BS25*0.99*1.071</f>
        <v>7395.9629824079975</v>
      </c>
      <c r="CD25" s="2109">
        <f>CA25</f>
        <v>24</v>
      </c>
      <c r="CE25" s="2109">
        <f>CF25/12/CD25*1000</f>
        <v>24865.175370749992</v>
      </c>
      <c r="CF25" s="2109">
        <f>BS25*0.99*1.037</f>
        <v>7161.1705067759976</v>
      </c>
      <c r="CG25" s="2109">
        <f>CD25</f>
        <v>24</v>
      </c>
      <c r="CH25" s="2109">
        <f>CI25/CG25/12*1000</f>
        <v>26973.537949716923</v>
      </c>
      <c r="CI25" s="2109">
        <f>BS25*0.99*1.074*0.99*1.058</f>
        <v>7768.3789295184743</v>
      </c>
      <c r="CJ25" s="2109">
        <v>25</v>
      </c>
      <c r="CK25" s="2109">
        <f>CL25/CJ25/12*1000</f>
        <v>24614.266666666666</v>
      </c>
      <c r="CL25" s="2109">
        <v>7384.28</v>
      </c>
      <c r="CM25" s="2107">
        <v>24</v>
      </c>
      <c r="CN25" s="2108">
        <v>33742</v>
      </c>
      <c r="CO25" s="2109">
        <f>CM25*CN25*12/1000</f>
        <v>9717.6959999999999</v>
      </c>
      <c r="CP25" s="2107">
        <v>24</v>
      </c>
      <c r="CQ25" s="2108">
        <f>'ЗП среднемес'!F52</f>
        <v>27214.086625</v>
      </c>
      <c r="CR25" s="2109">
        <f>CP25*CQ25*12/1000</f>
        <v>7837.6569480000007</v>
      </c>
      <c r="CS25" s="2107">
        <v>25</v>
      </c>
      <c r="CT25" s="2108">
        <f>SUM('ЗП среднемес'!F72)</f>
        <v>28465.934609749995</v>
      </c>
      <c r="CU25" s="2109">
        <f>CS25*CT25*12/1000</f>
        <v>8539.7803829250006</v>
      </c>
      <c r="CV25" s="2107">
        <v>24</v>
      </c>
      <c r="CW25" s="2108">
        <f>SUM(CQ25*1.03)*(1-0.01)</f>
        <v>27750.204131512499</v>
      </c>
      <c r="CX25" s="2109">
        <f>CV25*CW25*12/1000</f>
        <v>7992.0587898756003</v>
      </c>
      <c r="CY25" s="2604">
        <v>24.95</v>
      </c>
      <c r="CZ25" s="2562">
        <f t="shared" ref="CZ25:CZ30" si="36">SUM(DA25/CY25/6*1000)</f>
        <v>23315.230460921841</v>
      </c>
      <c r="DA25" s="2109">
        <v>3490.29</v>
      </c>
      <c r="DB25" s="2109">
        <v>24.95</v>
      </c>
      <c r="DC25" s="2562">
        <f t="shared" si="21"/>
        <v>23642.574036962815</v>
      </c>
      <c r="DD25" s="2109">
        <v>5308.94</v>
      </c>
      <c r="DE25" s="2109">
        <v>24.95</v>
      </c>
      <c r="DF25" s="2562">
        <f t="shared" si="22"/>
        <v>23998.73079492318</v>
      </c>
      <c r="DG25" s="2109">
        <v>7185.22</v>
      </c>
      <c r="DH25" s="2109">
        <v>24.95</v>
      </c>
      <c r="DI25" s="2108">
        <f>SUM('ЗП среднемес'!F86)</f>
        <v>33513.7131725</v>
      </c>
      <c r="DJ25" s="2109">
        <f t="shared" ref="DJ25:DJ30" si="37">DH25*DI25*12/1000</f>
        <v>10034.0057238465</v>
      </c>
      <c r="DK25" s="2109">
        <f>SUM(CP25)</f>
        <v>24</v>
      </c>
      <c r="DL25" s="3249">
        <f>SUM(CQ25*(1+0.032)*0.99*(1+0.036)*0.99)</f>
        <v>28516.984839940491</v>
      </c>
      <c r="DM25" s="2109">
        <f t="shared" ref="DM25:DM29" si="38">DK25*DL25*12/1000</f>
        <v>8212.8916339028619</v>
      </c>
      <c r="DN25" s="5969" t="s">
        <v>3532</v>
      </c>
      <c r="DO25" s="2117"/>
      <c r="DP25" s="2636">
        <v>24.95</v>
      </c>
      <c r="DQ25" s="3628">
        <f t="shared" ref="DQ25:DQ30" si="39">SUM(DR25/DP25/6*1000)</f>
        <v>25912.358049432201</v>
      </c>
      <c r="DR25" s="2109">
        <v>3879.08</v>
      </c>
      <c r="DS25" s="2109">
        <v>24.95</v>
      </c>
      <c r="DT25" s="3628">
        <f t="shared" si="23"/>
        <v>26168.915608995769</v>
      </c>
      <c r="DU25" s="2109">
        <v>5876.23</v>
      </c>
      <c r="DV25" s="2109">
        <v>24.95</v>
      </c>
      <c r="DW25" s="3628">
        <f t="shared" si="24"/>
        <v>26031.396125584502</v>
      </c>
      <c r="DX25" s="2109">
        <v>7793.8</v>
      </c>
      <c r="DY25" s="2109">
        <v>24.95</v>
      </c>
      <c r="DZ25" s="2108">
        <f>SUM('ЗП среднемес'!F100)</f>
        <v>35477.892449999992</v>
      </c>
      <c r="EA25" s="2109">
        <f t="shared" ref="EA25:EA30" si="40">DY25*DZ25*12/1000</f>
        <v>10622.080999529997</v>
      </c>
      <c r="EB25" s="2109">
        <f>SUM(CP25)</f>
        <v>24</v>
      </c>
      <c r="EC25" s="3249">
        <f>SUM(CQ25*(1+0.034)*0.99*1.06*0.99*(1+0.043)*0.99)</f>
        <v>30186.312179158645</v>
      </c>
      <c r="ED25" s="2109">
        <f t="shared" ref="ED25:ED29" si="41">EB25*EC25*12/1000</f>
        <v>8693.6579075976915</v>
      </c>
      <c r="EE25" s="2109">
        <v>24.95</v>
      </c>
      <c r="EF25" s="3945">
        <f t="shared" si="25"/>
        <v>27485.370741482966</v>
      </c>
      <c r="EG25" s="2109">
        <v>4114.5600000000004</v>
      </c>
      <c r="EH25" s="2109">
        <v>24.95</v>
      </c>
      <c r="EI25" s="3945">
        <f t="shared" si="26"/>
        <v>27966.755733689602</v>
      </c>
      <c r="EJ25" s="2109">
        <v>6279.9350000000004</v>
      </c>
      <c r="EK25" s="2109">
        <v>24.95</v>
      </c>
      <c r="EL25" s="3945">
        <f t="shared" si="27"/>
        <v>27757.99265197061</v>
      </c>
      <c r="EM25" s="2109">
        <v>8310.7430000000004</v>
      </c>
      <c r="EN25" s="3298">
        <v>24.95</v>
      </c>
      <c r="EO25" s="3299">
        <f>SUM('ЗП среднемес'!F114)</f>
        <v>40357.568625</v>
      </c>
      <c r="EP25" s="3298">
        <f t="shared" ref="EP25:EP30" si="42">EN25*EO25*12/1000</f>
        <v>12083.056046325</v>
      </c>
      <c r="EQ25" s="3298">
        <f>SUM(CP25)</f>
        <v>24</v>
      </c>
      <c r="ER25" s="3512">
        <f>CQ25*0.99*1.034*0.99*1.067*0.99*1.139*0.99*1.06</f>
        <v>34821.629374166754</v>
      </c>
      <c r="ES25" s="3298">
        <f t="shared" ref="ES25:ES30" si="43">EQ25*ER25*12/1000</f>
        <v>10028.629259760026</v>
      </c>
      <c r="ET25" s="4749">
        <v>25</v>
      </c>
      <c r="EU25" s="4718">
        <f t="shared" si="28"/>
        <v>34194.980000000003</v>
      </c>
      <c r="EV25" s="4749">
        <v>5129.2470000000003</v>
      </c>
      <c r="EW25" s="4749">
        <v>23</v>
      </c>
      <c r="EX25" s="4718">
        <f t="shared" si="29"/>
        <v>34877.289855072464</v>
      </c>
      <c r="EY25" s="4749">
        <v>9626.1319999999996</v>
      </c>
    </row>
    <row r="26" spans="1:155" ht="37.5" customHeight="1" x14ac:dyDescent="0.2">
      <c r="A26" s="3170" t="s">
        <v>184</v>
      </c>
      <c r="B26" s="3053" t="s">
        <v>83</v>
      </c>
      <c r="C26" s="2107">
        <v>384</v>
      </c>
      <c r="D26" s="2108">
        <v>11838</v>
      </c>
      <c r="E26" s="2109">
        <v>54547.199999999997</v>
      </c>
      <c r="F26" s="2108">
        <v>369</v>
      </c>
      <c r="G26" s="2108">
        <v>12231</v>
      </c>
      <c r="H26" s="2109">
        <f>F26*G26*12/1000</f>
        <v>54158.868000000002</v>
      </c>
      <c r="I26" s="2107">
        <v>364</v>
      </c>
      <c r="J26" s="2108">
        <v>13021</v>
      </c>
      <c r="K26" s="2103">
        <f>J26/G26</f>
        <v>1.0645899762897555</v>
      </c>
      <c r="L26" s="2109">
        <v>56876.800000000003</v>
      </c>
      <c r="M26" s="2111">
        <v>72.5</v>
      </c>
      <c r="N26" s="2108">
        <f t="shared" si="3"/>
        <v>24945.172413793101</v>
      </c>
      <c r="O26" s="2109">
        <v>21702.3</v>
      </c>
      <c r="P26" s="2104">
        <f>N26/AM10</f>
        <v>1.2615226133783446</v>
      </c>
      <c r="Q26" s="1726"/>
      <c r="R26" s="5939"/>
      <c r="S26" s="2110">
        <f>AL10</f>
        <v>72.5</v>
      </c>
      <c r="T26" s="2108">
        <f>AM10*1.056</f>
        <v>20881.196888275859</v>
      </c>
      <c r="U26" s="2109">
        <f>S26*T26*12/1000</f>
        <v>18166.641292799999</v>
      </c>
      <c r="V26" s="2104">
        <f>T26/AM10</f>
        <v>1.056</v>
      </c>
      <c r="W26" s="2104">
        <f>T26/AY10</f>
        <v>0.88289130639854074</v>
      </c>
      <c r="X26" s="2111">
        <v>73.5</v>
      </c>
      <c r="Y26" s="2108">
        <f t="shared" si="4"/>
        <v>19868.934240362814</v>
      </c>
      <c r="Z26" s="2109">
        <v>8762.2000000000007</v>
      </c>
      <c r="AA26" s="2104">
        <f>Y26/BB10</f>
        <v>0.9283594723885823</v>
      </c>
      <c r="AB26" s="2104" t="e">
        <f>Y26/#REF!</f>
        <v>#REF!</v>
      </c>
      <c r="AC26" s="1726"/>
      <c r="AD26" s="1726"/>
      <c r="AE26" s="1726"/>
      <c r="AF26" s="1726"/>
      <c r="AG26" s="1726"/>
      <c r="AH26" s="1726"/>
      <c r="AI26" s="1726"/>
      <c r="AJ26" s="1726"/>
      <c r="AK26" s="1726"/>
      <c r="AL26" s="2111">
        <v>75</v>
      </c>
      <c r="AM26" s="2108">
        <f t="shared" si="5"/>
        <v>20413.185185185186</v>
      </c>
      <c r="AN26" s="2109">
        <v>13778.9</v>
      </c>
      <c r="AO26" s="2104">
        <f>AM26/BB10</f>
        <v>0.95378914636454581</v>
      </c>
      <c r="AP26" s="1726"/>
      <c r="AQ26" s="2111">
        <v>74</v>
      </c>
      <c r="AR26" s="2108">
        <f t="shared" si="6"/>
        <v>20925.33783783784</v>
      </c>
      <c r="AS26" s="2109">
        <v>18581.7</v>
      </c>
      <c r="AT26" s="2104">
        <f t="shared" si="30"/>
        <v>1.0021139089774478</v>
      </c>
      <c r="AU26" s="2111">
        <v>72.5</v>
      </c>
      <c r="AV26" s="2108">
        <f t="shared" si="7"/>
        <v>21999.540229885057</v>
      </c>
      <c r="AW26" s="2109">
        <v>19139.599999999999</v>
      </c>
      <c r="AX26" s="2104">
        <f t="shared" si="31"/>
        <v>1.0535574348344521</v>
      </c>
      <c r="AY26" s="2104">
        <f>AV26/BB10</f>
        <v>1.0279102700495193</v>
      </c>
      <c r="AZ26" s="2112">
        <f>BA10</f>
        <v>72</v>
      </c>
      <c r="BA26" s="2108">
        <f>AV26</f>
        <v>21999.540229885057</v>
      </c>
      <c r="BB26" s="2109">
        <f>AZ26*BA26*12/1000</f>
        <v>19007.602758620687</v>
      </c>
      <c r="BC26" s="2104">
        <f t="shared" si="8"/>
        <v>1.0535574348344521</v>
      </c>
      <c r="BD26" s="1726"/>
      <c r="BE26" s="2111">
        <v>72</v>
      </c>
      <c r="BF26" s="2108">
        <f t="shared" si="9"/>
        <v>21250.231481481482</v>
      </c>
      <c r="BG26" s="2109">
        <v>9180.1</v>
      </c>
      <c r="BH26" s="2104">
        <f t="shared" si="32"/>
        <v>0.965939799624281</v>
      </c>
      <c r="BI26" s="2111">
        <v>74</v>
      </c>
      <c r="BJ26" s="2108">
        <f t="shared" si="10"/>
        <v>21538.138138138136</v>
      </c>
      <c r="BK26" s="2109">
        <v>14344.4</v>
      </c>
      <c r="BL26" s="2104">
        <f t="shared" si="33"/>
        <v>0.97902673933520967</v>
      </c>
      <c r="BM26" s="2111">
        <v>72.5</v>
      </c>
      <c r="BN26" s="2108">
        <f t="shared" ref="BN26:BN35" si="44">SUM(BA26*1.1)</f>
        <v>24199.494252873563</v>
      </c>
      <c r="BO26" s="2109">
        <f>BM26*BN26*12/1000</f>
        <v>21053.56</v>
      </c>
      <c r="BP26" s="2104">
        <f t="shared" si="34"/>
        <v>1.1000000000000001</v>
      </c>
      <c r="BQ26" s="2107">
        <f t="shared" ref="BQ26:BQ28" si="45">AQ26</f>
        <v>74</v>
      </c>
      <c r="BR26" s="2108">
        <f>'ЗП с факт 3 кв. 2015'!BU26</f>
        <v>25326.293150684927</v>
      </c>
      <c r="BS26" s="2109">
        <f>BQ26*BR26*12/1000</f>
        <v>22489.748317808218</v>
      </c>
      <c r="BT26" s="2104">
        <f t="shared" si="35"/>
        <v>1.1512192021304462</v>
      </c>
      <c r="BU26" s="2107">
        <v>74</v>
      </c>
      <c r="BV26" s="2108">
        <v>22320</v>
      </c>
      <c r="BW26" s="2109">
        <f>BU26*BV26*12/1000</f>
        <v>19820.16</v>
      </c>
      <c r="BX26" s="2107">
        <v>78</v>
      </c>
      <c r="BY26" s="2108">
        <v>23280</v>
      </c>
      <c r="BZ26" s="2109">
        <f>BX26*BY26*12/1000</f>
        <v>21790.080000000002</v>
      </c>
      <c r="CA26" s="2109">
        <f t="shared" ref="CA26:CA28" si="46">BQ26</f>
        <v>74</v>
      </c>
      <c r="CB26" s="2109">
        <f t="shared" ref="CB26:CB28" si="47">CC26/12/CA26*1000</f>
        <v>26853.215364739717</v>
      </c>
      <c r="CC26" s="2109">
        <f t="shared" ref="CC26:CC28" si="48">BS26*0.99*1.071</f>
        <v>23845.655243888872</v>
      </c>
      <c r="CD26" s="2109">
        <f t="shared" ref="CD26:CD28" si="49">CA26</f>
        <v>74</v>
      </c>
      <c r="CE26" s="2109">
        <f t="shared" ref="CE26:CE28" si="50">CF26/12/CD26*1000</f>
        <v>26000.732337287667</v>
      </c>
      <c r="CF26" s="2109">
        <f t="shared" ref="CF26:CF28" si="51">BS26*0.99*1.037</f>
        <v>23088.650315511448</v>
      </c>
      <c r="CG26" s="2109">
        <f t="shared" ref="CG26:CG28" si="52">CD26</f>
        <v>74</v>
      </c>
      <c r="CH26" s="2109">
        <f t="shared" ref="CH26:CH28" si="53">CI26/CG26/12*1000</f>
        <v>28205.380817272198</v>
      </c>
      <c r="CI26" s="2109">
        <f t="shared" ref="CI26:CI28" si="54">BS26*0.99*1.074*0.99*1.058</f>
        <v>25046.378165737715</v>
      </c>
      <c r="CJ26" s="2109">
        <v>70</v>
      </c>
      <c r="CK26" s="2109">
        <f t="shared" ref="CK26:CK28" si="55">CL26/CJ26/12*1000</f>
        <v>25023.964285714286</v>
      </c>
      <c r="CL26" s="2109">
        <v>21020.13</v>
      </c>
      <c r="CM26" s="2107">
        <v>70</v>
      </c>
      <c r="CN26" s="2108">
        <v>32321</v>
      </c>
      <c r="CO26" s="2109">
        <f>CM26*CN26*12/1000</f>
        <v>27149.64</v>
      </c>
      <c r="CP26" s="2107">
        <v>70</v>
      </c>
      <c r="CQ26" s="2108">
        <f>'ЗП среднемес'!H52</f>
        <v>30826.575999999997</v>
      </c>
      <c r="CR26" s="2109">
        <f>CP26*CQ26*12/1000</f>
        <v>25894.323839999997</v>
      </c>
      <c r="CS26" s="2107">
        <v>70</v>
      </c>
      <c r="CT26" s="2108">
        <f>SUM('ЗП среднемес'!H72)</f>
        <v>32244.598495999999</v>
      </c>
      <c r="CU26" s="2109">
        <f>CS26*CT26*12/1000</f>
        <v>27085.462736639998</v>
      </c>
      <c r="CV26" s="2107">
        <v>70</v>
      </c>
      <c r="CW26" s="2108">
        <f t="shared" ref="CW26:CW29" si="56">SUM(CQ26*1.03)*(1-0.01)</f>
        <v>31433.859547199998</v>
      </c>
      <c r="CX26" s="2109">
        <f>CV26*CW26*12/1000</f>
        <v>26404.442019648002</v>
      </c>
      <c r="CY26" s="2570">
        <v>64</v>
      </c>
      <c r="CZ26" s="2562">
        <f t="shared" si="36"/>
        <v>26451.145833333332</v>
      </c>
      <c r="DA26" s="2109">
        <v>10157.24</v>
      </c>
      <c r="DB26" s="2109">
        <v>64</v>
      </c>
      <c r="DC26" s="2562">
        <f t="shared" si="21"/>
        <v>27654.739583333332</v>
      </c>
      <c r="DD26" s="2109">
        <v>15929.13</v>
      </c>
      <c r="DE26" s="2109">
        <v>64</v>
      </c>
      <c r="DF26" s="2562">
        <f t="shared" si="22"/>
        <v>27203.802083333332</v>
      </c>
      <c r="DG26" s="2109">
        <v>20892.52</v>
      </c>
      <c r="DH26" s="2109">
        <v>64</v>
      </c>
      <c r="DI26" s="2108">
        <f>SUM('ЗП среднемес'!H86)</f>
        <v>37962.436160000005</v>
      </c>
      <c r="DJ26" s="2109">
        <f t="shared" si="37"/>
        <v>29155.15097088</v>
      </c>
      <c r="DK26" s="2109">
        <f t="shared" ref="DK26:DK36" si="57">SUM(CP26)</f>
        <v>70</v>
      </c>
      <c r="DL26" s="3249">
        <f>SUM(CQ26*(1+0.032)*0.99*(1+0.036)*0.99)</f>
        <v>32302.425305419314</v>
      </c>
      <c r="DM26" s="2109">
        <f t="shared" si="38"/>
        <v>27134.037256552227</v>
      </c>
      <c r="DN26" s="5970"/>
      <c r="DO26" s="2117"/>
      <c r="DP26" s="2109">
        <v>64</v>
      </c>
      <c r="DQ26" s="3628">
        <f t="shared" si="39"/>
        <v>26409.791666666668</v>
      </c>
      <c r="DR26" s="2109">
        <v>10141.36</v>
      </c>
      <c r="DS26" s="2109">
        <v>64</v>
      </c>
      <c r="DT26" s="3628">
        <f t="shared" si="23"/>
        <v>26303.211805555555</v>
      </c>
      <c r="DU26" s="2109">
        <v>15150.65</v>
      </c>
      <c r="DV26" s="2109">
        <v>64</v>
      </c>
      <c r="DW26" s="3628">
        <f t="shared" si="24"/>
        <v>25762.5</v>
      </c>
      <c r="DX26" s="2109">
        <v>19785.599999999999</v>
      </c>
      <c r="DY26" s="2109">
        <v>64</v>
      </c>
      <c r="DZ26" s="2108">
        <f>SUM('ЗП среднемес'!H100)</f>
        <v>40187.347200000004</v>
      </c>
      <c r="EA26" s="2109">
        <f t="shared" si="40"/>
        <v>30863.882649600004</v>
      </c>
      <c r="EB26" s="2109">
        <f t="shared" ref="EB26:EB36" si="58">SUM(CP26)</f>
        <v>70</v>
      </c>
      <c r="EC26" s="3249">
        <f t="shared" ref="EC26:ED36" si="59">SUM(CQ26*(1+0.034)*0.99*1.06*0.99*(1+0.043)*0.99)</f>
        <v>34193.34476931244</v>
      </c>
      <c r="ED26" s="2109">
        <f t="shared" si="41"/>
        <v>28722.409606222449</v>
      </c>
      <c r="EE26" s="2109">
        <v>66</v>
      </c>
      <c r="EF26" s="3945">
        <f t="shared" si="25"/>
        <v>27037.020202020201</v>
      </c>
      <c r="EG26" s="2109">
        <v>10706.66</v>
      </c>
      <c r="EH26" s="2109">
        <v>66</v>
      </c>
      <c r="EI26" s="3945">
        <f t="shared" si="26"/>
        <v>27594.419191919191</v>
      </c>
      <c r="EJ26" s="2109">
        <v>16391.084999999999</v>
      </c>
      <c r="EK26" s="2109">
        <v>67</v>
      </c>
      <c r="EL26" s="3945">
        <f t="shared" si="27"/>
        <v>27747.815920398007</v>
      </c>
      <c r="EM26" s="2109">
        <v>22309.243999999999</v>
      </c>
      <c r="EN26" s="3298">
        <f>SUM(EK26)</f>
        <v>67</v>
      </c>
      <c r="EO26" s="3299">
        <f>SUM('ЗП среднемес'!H114)</f>
        <v>45714.767999999996</v>
      </c>
      <c r="EP26" s="3298">
        <f t="shared" si="42"/>
        <v>36754.673471999995</v>
      </c>
      <c r="EQ26" s="3298">
        <f t="shared" ref="EQ26:EQ28" si="60">SUM(CP26)</f>
        <v>70</v>
      </c>
      <c r="ER26" s="3512">
        <f t="shared" ref="ER26:ER29" si="61">CQ26*0.99*1.034*0.99*1.067*0.99*1.139*0.99*1.06</f>
        <v>39443.969556578275</v>
      </c>
      <c r="ES26" s="3298">
        <f t="shared" si="43"/>
        <v>33132.934427525754</v>
      </c>
      <c r="ET26" s="4749">
        <v>67</v>
      </c>
      <c r="EU26" s="4718">
        <f t="shared" si="28"/>
        <v>34710.164179104482</v>
      </c>
      <c r="EV26" s="4749">
        <v>13953.486000000001</v>
      </c>
      <c r="EW26" s="4749">
        <v>64</v>
      </c>
      <c r="EX26" s="4718">
        <f t="shared" si="29"/>
        <v>36368.671875</v>
      </c>
      <c r="EY26" s="4749">
        <v>27931.14</v>
      </c>
    </row>
    <row r="27" spans="1:155" ht="37.5" customHeight="1" x14ac:dyDescent="0.2">
      <c r="A27" s="3170" t="s">
        <v>192</v>
      </c>
      <c r="B27" s="3053" t="s">
        <v>84</v>
      </c>
      <c r="C27" s="2107"/>
      <c r="D27" s="2108"/>
      <c r="E27" s="2109"/>
      <c r="F27" s="2108"/>
      <c r="G27" s="2108"/>
      <c r="H27" s="2109"/>
      <c r="I27" s="2107"/>
      <c r="J27" s="2108"/>
      <c r="K27" s="2103"/>
      <c r="L27" s="2109"/>
      <c r="M27" s="2107">
        <v>31</v>
      </c>
      <c r="N27" s="2108">
        <f t="shared" si="3"/>
        <v>30275.806451612905</v>
      </c>
      <c r="O27" s="2109">
        <v>11262.6</v>
      </c>
      <c r="P27" s="2104">
        <f>N27/AM11</f>
        <v>1.2088401473413275</v>
      </c>
      <c r="Q27" s="1726"/>
      <c r="R27" s="5939"/>
      <c r="S27" s="2110">
        <f>AL11</f>
        <v>31</v>
      </c>
      <c r="T27" s="2108">
        <f>AM11*1.056</f>
        <v>26447.873759999999</v>
      </c>
      <c r="U27" s="2109">
        <f>S27*T27*12/1000</f>
        <v>9838.6090387200002</v>
      </c>
      <c r="V27" s="2104">
        <f>T27/AM11</f>
        <v>1.056</v>
      </c>
      <c r="W27" s="2104">
        <f>T27/AY11</f>
        <v>0.92042627549755296</v>
      </c>
      <c r="X27" s="2111">
        <v>29.33</v>
      </c>
      <c r="Y27" s="2108">
        <f t="shared" si="4"/>
        <v>25010.796681441076</v>
      </c>
      <c r="Z27" s="2109">
        <v>4401.3999999999996</v>
      </c>
      <c r="AA27" s="2104">
        <f>Y27/BB11</f>
        <v>0.95682926073099828</v>
      </c>
      <c r="AB27" s="2104" t="e">
        <f>Y27/#REF!</f>
        <v>#REF!</v>
      </c>
      <c r="AC27" s="1726"/>
      <c r="AD27" s="1726"/>
      <c r="AE27" s="1726"/>
      <c r="AF27" s="1726"/>
      <c r="AG27" s="1726"/>
      <c r="AH27" s="1726"/>
      <c r="AI27" s="1726"/>
      <c r="AJ27" s="1726"/>
      <c r="AK27" s="1726"/>
      <c r="AL27" s="2107">
        <v>28</v>
      </c>
      <c r="AM27" s="2108">
        <f t="shared" si="5"/>
        <v>27159.920634920636</v>
      </c>
      <c r="AN27" s="2109">
        <v>6844.3</v>
      </c>
      <c r="AO27" s="2104">
        <f>AM27/BB11</f>
        <v>1.039047540692988</v>
      </c>
      <c r="AP27" s="1726"/>
      <c r="AQ27" s="2107">
        <v>29</v>
      </c>
      <c r="AR27" s="2108">
        <f t="shared" si="6"/>
        <v>26195.689655172417</v>
      </c>
      <c r="AS27" s="2109">
        <v>9116.1</v>
      </c>
      <c r="AT27" s="2104">
        <f t="shared" si="30"/>
        <v>0.99046486280462409</v>
      </c>
      <c r="AU27" s="2107">
        <v>31</v>
      </c>
      <c r="AV27" s="2108">
        <f t="shared" si="7"/>
        <v>27862.365591397847</v>
      </c>
      <c r="AW27" s="2109">
        <v>10364.799999999999</v>
      </c>
      <c r="AX27" s="2104">
        <f t="shared" si="31"/>
        <v>1.0534822513232478</v>
      </c>
      <c r="AY27" s="2104">
        <f>AV27/BB11</f>
        <v>1.0659207305785803</v>
      </c>
      <c r="AZ27" s="2112">
        <f>BA11</f>
        <v>31</v>
      </c>
      <c r="BA27" s="2108">
        <f>AV27</f>
        <v>27862.365591397847</v>
      </c>
      <c r="BB27" s="2109">
        <f>AZ27*BA27*12/1000</f>
        <v>10364.799999999999</v>
      </c>
      <c r="BC27" s="2104">
        <f t="shared" si="8"/>
        <v>1.0534822513232478</v>
      </c>
      <c r="BD27" s="1726"/>
      <c r="BE27" s="2107">
        <v>28</v>
      </c>
      <c r="BF27" s="2108">
        <f t="shared" si="9"/>
        <v>26782.738095238099</v>
      </c>
      <c r="BG27" s="2109">
        <v>4499.5</v>
      </c>
      <c r="BH27" s="2104">
        <f t="shared" si="32"/>
        <v>0.96125140585718716</v>
      </c>
      <c r="BI27" s="2107">
        <v>29</v>
      </c>
      <c r="BJ27" s="2108">
        <f t="shared" si="10"/>
        <v>26555.938697318008</v>
      </c>
      <c r="BK27" s="2109">
        <v>6931.1</v>
      </c>
      <c r="BL27" s="2104">
        <f t="shared" si="33"/>
        <v>0.95311141511677022</v>
      </c>
      <c r="BM27" s="2107">
        <v>31</v>
      </c>
      <c r="BN27" s="2108">
        <f t="shared" si="44"/>
        <v>30648.602150537634</v>
      </c>
      <c r="BO27" s="2109">
        <f>BM27*BN27*12/1000</f>
        <v>11401.28</v>
      </c>
      <c r="BP27" s="2104">
        <f t="shared" si="34"/>
        <v>1.1000000000000001</v>
      </c>
      <c r="BQ27" s="2107">
        <f t="shared" si="45"/>
        <v>29</v>
      </c>
      <c r="BR27" s="2108">
        <f>'ЗП с факт 3 кв. 2015'!BU27</f>
        <v>30544.308771929835</v>
      </c>
      <c r="BS27" s="2109">
        <f>BQ27*BR27*12/1000</f>
        <v>10629.419452631584</v>
      </c>
      <c r="BT27" s="2104">
        <f t="shared" si="35"/>
        <v>1.0962568369054781</v>
      </c>
      <c r="BU27" s="2107">
        <v>28</v>
      </c>
      <c r="BV27" s="2108">
        <v>27648</v>
      </c>
      <c r="BW27" s="2109">
        <f>BU27*BV27*12/1000</f>
        <v>9289.7279999999992</v>
      </c>
      <c r="BX27" s="2107">
        <v>25</v>
      </c>
      <c r="BY27" s="2108">
        <v>28184</v>
      </c>
      <c r="BZ27" s="2109">
        <f>BX27*BY27*12/1000</f>
        <v>8455.2000000000007</v>
      </c>
      <c r="CA27" s="2109">
        <f t="shared" si="46"/>
        <v>29</v>
      </c>
      <c r="CB27" s="2109">
        <f t="shared" si="47"/>
        <v>32385.825147789488</v>
      </c>
      <c r="CC27" s="2109">
        <f t="shared" si="48"/>
        <v>11270.267151430742</v>
      </c>
      <c r="CD27" s="2109">
        <f t="shared" si="49"/>
        <v>29</v>
      </c>
      <c r="CE27" s="2109">
        <f t="shared" si="50"/>
        <v>31357.703714526331</v>
      </c>
      <c r="CF27" s="2109">
        <f t="shared" si="51"/>
        <v>10912.480892655163</v>
      </c>
      <c r="CG27" s="2109">
        <f t="shared" si="52"/>
        <v>29</v>
      </c>
      <c r="CH27" s="2109">
        <f t="shared" si="53"/>
        <v>34016.579354382535</v>
      </c>
      <c r="CI27" s="2109">
        <f t="shared" si="54"/>
        <v>11837.769615325124</v>
      </c>
      <c r="CJ27" s="2109">
        <v>28</v>
      </c>
      <c r="CK27" s="2109">
        <f t="shared" si="55"/>
        <v>26375.803571428572</v>
      </c>
      <c r="CL27" s="2109">
        <v>8862.27</v>
      </c>
      <c r="CM27" s="2107">
        <v>28</v>
      </c>
      <c r="CN27" s="2108">
        <v>35526</v>
      </c>
      <c r="CO27" s="2109">
        <f>CM27*CN27*12/1000</f>
        <v>11936.736000000001</v>
      </c>
      <c r="CP27" s="2107">
        <v>28</v>
      </c>
      <c r="CQ27" s="2108">
        <f>'ЗП среднемес'!J52</f>
        <v>34679.898000000001</v>
      </c>
      <c r="CR27" s="2109">
        <f>CP27*CQ27*12/1000</f>
        <v>11652.445728000001</v>
      </c>
      <c r="CS27" s="2107">
        <v>28</v>
      </c>
      <c r="CT27" s="2108">
        <f>SUM('ЗП среднемес'!J72)</f>
        <v>36275.173307999998</v>
      </c>
      <c r="CU27" s="2109">
        <f>CS27*CT27*12/1000</f>
        <v>12188.458231487999</v>
      </c>
      <c r="CV27" s="2107">
        <v>28</v>
      </c>
      <c r="CW27" s="2108">
        <f t="shared" si="56"/>
        <v>35363.091990599998</v>
      </c>
      <c r="CX27" s="2109">
        <f>CV27*CW27*12/1000</f>
        <v>11881.998908841599</v>
      </c>
      <c r="CY27" s="2570">
        <v>27</v>
      </c>
      <c r="CZ27" s="2562">
        <f t="shared" si="36"/>
        <v>27775.185185185182</v>
      </c>
      <c r="DA27" s="2109">
        <v>4499.58</v>
      </c>
      <c r="DB27" s="2109">
        <v>27</v>
      </c>
      <c r="DC27" s="2562">
        <f t="shared" si="21"/>
        <v>27810.740740740741</v>
      </c>
      <c r="DD27" s="2109">
        <v>6758.01</v>
      </c>
      <c r="DE27" s="2109">
        <v>27</v>
      </c>
      <c r="DF27" s="2562">
        <f t="shared" si="22"/>
        <v>26991.635802469136</v>
      </c>
      <c r="DG27" s="2109">
        <v>8745.2900000000009</v>
      </c>
      <c r="DH27" s="2109">
        <v>27</v>
      </c>
      <c r="DI27" s="2108">
        <f>SUM('ЗП среднемес'!J86)</f>
        <v>42707.740680000003</v>
      </c>
      <c r="DJ27" s="2109">
        <f t="shared" si="37"/>
        <v>13837.307980320002</v>
      </c>
      <c r="DK27" s="2109">
        <f t="shared" si="57"/>
        <v>28</v>
      </c>
      <c r="DL27" s="3249">
        <f t="shared" ref="DL27:DM36" si="62">SUM(CQ27*(1+0.032)*0.99*(1+0.036)*0.99)</f>
        <v>36340.228468596724</v>
      </c>
      <c r="DM27" s="2109">
        <f t="shared" si="38"/>
        <v>12210.316765448499</v>
      </c>
      <c r="DN27" s="5970"/>
      <c r="DO27" s="2117"/>
      <c r="DP27" s="2109">
        <v>23</v>
      </c>
      <c r="DQ27" s="3628">
        <f t="shared" si="39"/>
        <v>29333.840579710144</v>
      </c>
      <c r="DR27" s="2109">
        <v>4048.07</v>
      </c>
      <c r="DS27" s="2109">
        <v>23</v>
      </c>
      <c r="DT27" s="3628">
        <f t="shared" si="23"/>
        <v>30216.666666666664</v>
      </c>
      <c r="DU27" s="2109">
        <v>6254.85</v>
      </c>
      <c r="DV27" s="2109">
        <v>23</v>
      </c>
      <c r="DW27" s="3628">
        <f t="shared" si="24"/>
        <v>30517.82608695652</v>
      </c>
      <c r="DX27" s="2109">
        <v>8422.92</v>
      </c>
      <c r="DY27" s="2109">
        <v>27</v>
      </c>
      <c r="DZ27" s="2108">
        <f>SUM('ЗП среднемес'!J100)</f>
        <v>45210.765600000006</v>
      </c>
      <c r="EA27" s="2109">
        <f t="shared" si="40"/>
        <v>14648.288054400002</v>
      </c>
      <c r="EB27" s="2109">
        <f t="shared" si="58"/>
        <v>28</v>
      </c>
      <c r="EC27" s="3249">
        <f t="shared" si="59"/>
        <v>38467.512865476499</v>
      </c>
      <c r="ED27" s="2109">
        <f t="shared" si="41"/>
        <v>12925.084322800103</v>
      </c>
      <c r="EE27" s="2109">
        <v>25</v>
      </c>
      <c r="EF27" s="3945">
        <f t="shared" si="25"/>
        <v>32640.46666666666</v>
      </c>
      <c r="EG27" s="2109">
        <v>4896.07</v>
      </c>
      <c r="EH27" s="2109">
        <v>25</v>
      </c>
      <c r="EI27" s="3945">
        <f t="shared" si="26"/>
        <v>32865.688888888893</v>
      </c>
      <c r="EJ27" s="2109">
        <v>7394.78</v>
      </c>
      <c r="EK27" s="2109">
        <v>25</v>
      </c>
      <c r="EL27" s="3945">
        <f t="shared" si="27"/>
        <v>32270.666666666672</v>
      </c>
      <c r="EM27" s="2109">
        <v>9681.2000000000007</v>
      </c>
      <c r="EN27" s="3298">
        <f>SUM(EK27)</f>
        <v>25</v>
      </c>
      <c r="EO27" s="3299">
        <f>SUM('ЗП среднемес'!J114)</f>
        <v>51429.114000000001</v>
      </c>
      <c r="EP27" s="3298">
        <f t="shared" si="42"/>
        <v>15428.734200000001</v>
      </c>
      <c r="EQ27" s="3298">
        <f t="shared" si="60"/>
        <v>28</v>
      </c>
      <c r="ER27" s="3512">
        <f t="shared" si="61"/>
        <v>44374.465751150557</v>
      </c>
      <c r="ES27" s="3298">
        <f t="shared" si="43"/>
        <v>14909.820492386587</v>
      </c>
      <c r="ET27" s="4749">
        <v>26</v>
      </c>
      <c r="EU27" s="4718">
        <f t="shared" si="28"/>
        <v>33807.532051282054</v>
      </c>
      <c r="EV27" s="4749">
        <v>5273.9750000000004</v>
      </c>
      <c r="EW27" s="4749">
        <v>24</v>
      </c>
      <c r="EX27" s="4718">
        <f t="shared" si="29"/>
        <v>35338.979166666672</v>
      </c>
      <c r="EY27" s="4749">
        <v>10177.626</v>
      </c>
    </row>
    <row r="28" spans="1:155" ht="37.5" customHeight="1" x14ac:dyDescent="0.2">
      <c r="A28" s="3170" t="s">
        <v>193</v>
      </c>
      <c r="B28" s="3053" t="s">
        <v>85</v>
      </c>
      <c r="C28" s="2107"/>
      <c r="D28" s="2108"/>
      <c r="E28" s="2109"/>
      <c r="F28" s="2108"/>
      <c r="G28" s="2108"/>
      <c r="H28" s="2109"/>
      <c r="I28" s="2107"/>
      <c r="J28" s="2108"/>
      <c r="K28" s="2103"/>
      <c r="L28" s="2109"/>
      <c r="M28" s="2107">
        <v>25</v>
      </c>
      <c r="N28" s="2108">
        <f t="shared" si="3"/>
        <v>25887.333333333332</v>
      </c>
      <c r="O28" s="2109">
        <v>7766.2</v>
      </c>
      <c r="P28" s="2104">
        <f>N28/AM12</f>
        <v>1.174441454882867</v>
      </c>
      <c r="Q28" s="1726"/>
      <c r="R28" s="5939"/>
      <c r="S28" s="2110">
        <f>AL12</f>
        <v>25</v>
      </c>
      <c r="T28" s="2108">
        <f>AM12*1.056</f>
        <v>23276.617056000003</v>
      </c>
      <c r="U28" s="2109">
        <f>S28*T28*12/1000</f>
        <v>6982.9851168000005</v>
      </c>
      <c r="V28" s="2104">
        <f>T28/AM12</f>
        <v>1.056</v>
      </c>
      <c r="W28" s="2104">
        <f>T28/AY12</f>
        <v>0.90490684179970982</v>
      </c>
      <c r="X28" s="2111">
        <v>22</v>
      </c>
      <c r="Y28" s="2108">
        <f t="shared" si="4"/>
        <v>23571.9696969697</v>
      </c>
      <c r="Z28" s="2109">
        <v>3111.5</v>
      </c>
      <c r="AA28" s="2104">
        <f>Y28/BB12</f>
        <v>1.0326656214446632</v>
      </c>
      <c r="AB28" s="2104" t="e">
        <f>Y28/#REF!</f>
        <v>#REF!</v>
      </c>
      <c r="AC28" s="1726"/>
      <c r="AD28" s="1726"/>
      <c r="AE28" s="1726"/>
      <c r="AF28" s="1726"/>
      <c r="AG28" s="1726"/>
      <c r="AH28" s="1726"/>
      <c r="AI28" s="1726"/>
      <c r="AJ28" s="1726"/>
      <c r="AK28" s="1726"/>
      <c r="AL28" s="2107">
        <v>21</v>
      </c>
      <c r="AM28" s="2108">
        <f t="shared" si="5"/>
        <v>25835.449735449733</v>
      </c>
      <c r="AN28" s="2109">
        <v>4882.8999999999996</v>
      </c>
      <c r="AO28" s="2104">
        <f>AM28/BB12</f>
        <v>1.1318265337745761</v>
      </c>
      <c r="AP28" s="1726"/>
      <c r="AQ28" s="2107">
        <v>21</v>
      </c>
      <c r="AR28" s="2108">
        <f t="shared" si="6"/>
        <v>25590.476190476191</v>
      </c>
      <c r="AS28" s="2109">
        <v>6448.8</v>
      </c>
      <c r="AT28" s="2104">
        <f t="shared" si="30"/>
        <v>1.0994070198822017</v>
      </c>
      <c r="AU28" s="2107">
        <v>25</v>
      </c>
      <c r="AV28" s="2108">
        <f t="shared" si="7"/>
        <v>24530.333333333336</v>
      </c>
      <c r="AW28" s="2109">
        <v>7359.1</v>
      </c>
      <c r="AX28" s="2104">
        <f t="shared" si="31"/>
        <v>1.0538616189078114</v>
      </c>
      <c r="AY28" s="2104">
        <f>AV28/BB12</f>
        <v>1.0746506228186743</v>
      </c>
      <c r="AZ28" s="2112">
        <f>BA12</f>
        <v>25</v>
      </c>
      <c r="BA28" s="2108">
        <f>AV28</f>
        <v>24530.333333333336</v>
      </c>
      <c r="BB28" s="2109">
        <f>AZ28*BA28*12/1000</f>
        <v>7359.1</v>
      </c>
      <c r="BC28" s="2104">
        <f t="shared" si="8"/>
        <v>1.0538616189078114</v>
      </c>
      <c r="BD28" s="1726"/>
      <c r="BE28" s="2107">
        <v>20</v>
      </c>
      <c r="BF28" s="2108">
        <f t="shared" si="9"/>
        <v>24965.833333333336</v>
      </c>
      <c r="BG28" s="2109">
        <v>2995.9</v>
      </c>
      <c r="BH28" s="2104">
        <f t="shared" si="32"/>
        <v>1.0177535296435705</v>
      </c>
      <c r="BI28" s="2107">
        <v>21</v>
      </c>
      <c r="BJ28" s="2108">
        <f t="shared" si="10"/>
        <v>24711.640211640213</v>
      </c>
      <c r="BK28" s="2109">
        <v>4670.5</v>
      </c>
      <c r="BL28" s="2104">
        <f t="shared" si="33"/>
        <v>1.0073911298245795</v>
      </c>
      <c r="BM28" s="2107">
        <v>25</v>
      </c>
      <c r="BN28" s="2108">
        <f t="shared" si="44"/>
        <v>26983.366666666672</v>
      </c>
      <c r="BO28" s="2109">
        <f>BM28*BN28*12/1000</f>
        <v>8095.010000000002</v>
      </c>
      <c r="BP28" s="2104">
        <f t="shared" si="34"/>
        <v>1.1000000000000001</v>
      </c>
      <c r="BQ28" s="2107">
        <f t="shared" si="45"/>
        <v>21</v>
      </c>
      <c r="BR28" s="2108">
        <f>'ЗП с факт 3 кв. 2015'!BU28</f>
        <v>29244.234146341467</v>
      </c>
      <c r="BS28" s="2109">
        <f>BQ28*BR28*12/1000</f>
        <v>7369.5470048780498</v>
      </c>
      <c r="BT28" s="2104">
        <f t="shared" si="35"/>
        <v>1.1921661947659958</v>
      </c>
      <c r="BU28" s="2107">
        <v>18</v>
      </c>
      <c r="BV28" s="2108">
        <v>25243</v>
      </c>
      <c r="BW28" s="2109">
        <f>BU28*BV28*12/1000</f>
        <v>5452.4880000000003</v>
      </c>
      <c r="BX28" s="2107">
        <v>18</v>
      </c>
      <c r="BY28" s="2108">
        <v>26281</v>
      </c>
      <c r="BZ28" s="2109">
        <f>BX28*BY28*12/1000</f>
        <v>5676.6959999999999</v>
      </c>
      <c r="CA28" s="2109">
        <f t="shared" si="46"/>
        <v>21</v>
      </c>
      <c r="CB28" s="2109">
        <f t="shared" si="47"/>
        <v>31007.369023024396</v>
      </c>
      <c r="CC28" s="2109">
        <f t="shared" si="48"/>
        <v>7813.8569938021474</v>
      </c>
      <c r="CD28" s="2109">
        <f t="shared" si="49"/>
        <v>21</v>
      </c>
      <c r="CE28" s="2109">
        <f t="shared" si="50"/>
        <v>30023.008101658535</v>
      </c>
      <c r="CF28" s="2109">
        <f t="shared" si="51"/>
        <v>7565.7980416179516</v>
      </c>
      <c r="CG28" s="2109">
        <f t="shared" si="52"/>
        <v>21</v>
      </c>
      <c r="CH28" s="2109">
        <f t="shared" si="53"/>
        <v>32568.712519413013</v>
      </c>
      <c r="CI28" s="2109">
        <f t="shared" si="54"/>
        <v>8207.3155548920786</v>
      </c>
      <c r="CJ28" s="2109">
        <v>18</v>
      </c>
      <c r="CK28" s="2109">
        <f t="shared" si="55"/>
        <v>26761.064814814818</v>
      </c>
      <c r="CL28" s="2109">
        <v>5780.39</v>
      </c>
      <c r="CM28" s="2107">
        <v>18</v>
      </c>
      <c r="CN28" s="2108">
        <v>32648</v>
      </c>
      <c r="CO28" s="2109">
        <f>CM28*CN28*12/1000</f>
        <v>7051.9679999999998</v>
      </c>
      <c r="CP28" s="2107">
        <v>18</v>
      </c>
      <c r="CQ28" s="2108">
        <f>'ЗП среднемес'!H52</f>
        <v>30826.575999999997</v>
      </c>
      <c r="CR28" s="2109">
        <f>CP28*CQ28*12/1000</f>
        <v>6658.5404159999989</v>
      </c>
      <c r="CS28" s="2107">
        <v>18</v>
      </c>
      <c r="CT28" s="2108">
        <f>SUM('ЗП среднемес'!H72)</f>
        <v>32244.598495999999</v>
      </c>
      <c r="CU28" s="2109">
        <f>CS28*CT28*12/1000</f>
        <v>6964.8332751359994</v>
      </c>
      <c r="CV28" s="2107">
        <v>18</v>
      </c>
      <c r="CW28" s="2108">
        <f t="shared" si="56"/>
        <v>31433.859547199998</v>
      </c>
      <c r="CX28" s="2109">
        <f>CV28*CW28*12/1000</f>
        <v>6789.7136621952004</v>
      </c>
      <c r="CY28" s="2571">
        <v>18</v>
      </c>
      <c r="CZ28" s="2562">
        <f t="shared" si="36"/>
        <v>28081.574074074073</v>
      </c>
      <c r="DA28" s="2109">
        <v>3032.81</v>
      </c>
      <c r="DB28" s="2109">
        <v>18</v>
      </c>
      <c r="DC28" s="2562">
        <f t="shared" si="21"/>
        <v>28819.506172839509</v>
      </c>
      <c r="DD28" s="2109">
        <v>4668.76</v>
      </c>
      <c r="DE28" s="2109">
        <v>18</v>
      </c>
      <c r="DF28" s="2562">
        <f t="shared" si="22"/>
        <v>27938.472222222219</v>
      </c>
      <c r="DG28" s="2109">
        <v>6034.71</v>
      </c>
      <c r="DH28" s="2109">
        <v>18</v>
      </c>
      <c r="DI28" s="2108">
        <f>SUM('ЗП среднемес'!H86)</f>
        <v>37962.436160000005</v>
      </c>
      <c r="DJ28" s="2109">
        <f t="shared" si="37"/>
        <v>8199.8862105600001</v>
      </c>
      <c r="DK28" s="2109">
        <f t="shared" si="57"/>
        <v>18</v>
      </c>
      <c r="DL28" s="3249">
        <f t="shared" si="62"/>
        <v>32302.425305419314</v>
      </c>
      <c r="DM28" s="2109">
        <f t="shared" si="38"/>
        <v>6977.3238659705721</v>
      </c>
      <c r="DN28" s="5971"/>
      <c r="DO28" s="2117"/>
      <c r="DP28" s="2109">
        <v>19</v>
      </c>
      <c r="DQ28" s="3628">
        <f t="shared" si="39"/>
        <v>24086.140350877198</v>
      </c>
      <c r="DR28" s="2109">
        <v>2745.82</v>
      </c>
      <c r="DS28" s="2109">
        <v>18</v>
      </c>
      <c r="DT28" s="3628">
        <f t="shared" si="23"/>
        <v>25172.901234567904</v>
      </c>
      <c r="DU28" s="2109">
        <v>4078.01</v>
      </c>
      <c r="DV28" s="2109">
        <v>18</v>
      </c>
      <c r="DW28" s="3628">
        <f t="shared" si="24"/>
        <v>24736.018518518518</v>
      </c>
      <c r="DX28" s="2109">
        <v>5342.98</v>
      </c>
      <c r="DY28" s="2109">
        <v>18</v>
      </c>
      <c r="DZ28" s="2108">
        <f>SUM('ЗП среднемес'!H100)</f>
        <v>40187.347200000004</v>
      </c>
      <c r="EA28" s="2109">
        <f t="shared" si="40"/>
        <v>8680.4669952000004</v>
      </c>
      <c r="EB28" s="2109">
        <f t="shared" si="58"/>
        <v>18</v>
      </c>
      <c r="EC28" s="3249">
        <f t="shared" si="59"/>
        <v>34193.34476931244</v>
      </c>
      <c r="ED28" s="2109">
        <f t="shared" si="41"/>
        <v>7385.7624701714867</v>
      </c>
      <c r="EE28" s="2109">
        <v>18</v>
      </c>
      <c r="EF28" s="3945">
        <f t="shared" si="25"/>
        <v>32183.518518518518</v>
      </c>
      <c r="EG28" s="2109">
        <v>3475.82</v>
      </c>
      <c r="EH28" s="2109">
        <v>18</v>
      </c>
      <c r="EI28" s="3945">
        <f t="shared" si="26"/>
        <v>31788.703703703708</v>
      </c>
      <c r="EJ28" s="2109">
        <v>5149.7700000000004</v>
      </c>
      <c r="EK28" s="2109">
        <v>18</v>
      </c>
      <c r="EL28" s="3945">
        <f t="shared" si="27"/>
        <v>31642.981481481482</v>
      </c>
      <c r="EM28" s="2109">
        <v>6834.884</v>
      </c>
      <c r="EN28" s="3298">
        <v>18</v>
      </c>
      <c r="EO28" s="3299">
        <f>SUM('ЗП среднемес'!H114)</f>
        <v>45714.767999999996</v>
      </c>
      <c r="EP28" s="3298">
        <f t="shared" si="42"/>
        <v>9874.3898879999979</v>
      </c>
      <c r="EQ28" s="3298">
        <f t="shared" si="60"/>
        <v>18</v>
      </c>
      <c r="ER28" s="3512">
        <f t="shared" si="61"/>
        <v>39443.969556578275</v>
      </c>
      <c r="ES28" s="3298">
        <f t="shared" si="43"/>
        <v>8519.897424220906</v>
      </c>
      <c r="ET28" s="4749">
        <v>18</v>
      </c>
      <c r="EU28" s="4718">
        <f t="shared" si="28"/>
        <v>35803.212962962956</v>
      </c>
      <c r="EV28" s="4749">
        <v>3866.7469999999998</v>
      </c>
      <c r="EW28" s="4749">
        <v>18</v>
      </c>
      <c r="EX28" s="4718">
        <f t="shared" si="29"/>
        <v>36534.745370370365</v>
      </c>
      <c r="EY28" s="4749">
        <v>7891.5050000000001</v>
      </c>
    </row>
    <row r="29" spans="1:155" ht="57" customHeight="1" x14ac:dyDescent="0.2">
      <c r="A29" s="3170" t="s">
        <v>1601</v>
      </c>
      <c r="B29" s="3053" t="s">
        <v>1961</v>
      </c>
      <c r="C29" s="2107"/>
      <c r="D29" s="2108"/>
      <c r="E29" s="2109"/>
      <c r="F29" s="2108"/>
      <c r="G29" s="2108"/>
      <c r="H29" s="2109"/>
      <c r="I29" s="2107"/>
      <c r="J29" s="2108"/>
      <c r="K29" s="2103"/>
      <c r="L29" s="2109"/>
      <c r="M29" s="2107"/>
      <c r="N29" s="2108"/>
      <c r="O29" s="2109"/>
      <c r="P29" s="2104"/>
      <c r="Q29" s="1726"/>
      <c r="R29" s="5939"/>
      <c r="S29" s="2110"/>
      <c r="T29" s="2108"/>
      <c r="U29" s="2109"/>
      <c r="V29" s="2104"/>
      <c r="W29" s="2104"/>
      <c r="X29" s="2111"/>
      <c r="Y29" s="2108"/>
      <c r="Z29" s="2109"/>
      <c r="AA29" s="2104"/>
      <c r="AB29" s="2104"/>
      <c r="AC29" s="1726"/>
      <c r="AD29" s="1726"/>
      <c r="AE29" s="1726"/>
      <c r="AF29" s="1726"/>
      <c r="AG29" s="1726"/>
      <c r="AH29" s="1726"/>
      <c r="AI29" s="1726"/>
      <c r="AJ29" s="1726"/>
      <c r="AK29" s="1726"/>
      <c r="AL29" s="2107"/>
      <c r="AM29" s="2108"/>
      <c r="AN29" s="2109"/>
      <c r="AO29" s="2104"/>
      <c r="AP29" s="1726"/>
      <c r="AQ29" s="2107"/>
      <c r="AR29" s="2108"/>
      <c r="AS29" s="2109"/>
      <c r="AT29" s="2104"/>
      <c r="AU29" s="2107"/>
      <c r="AV29" s="2108"/>
      <c r="AW29" s="2109"/>
      <c r="AX29" s="2104"/>
      <c r="AY29" s="2104"/>
      <c r="AZ29" s="2112"/>
      <c r="BA29" s="2108"/>
      <c r="BB29" s="2109"/>
      <c r="BC29" s="2104"/>
      <c r="BD29" s="1726"/>
      <c r="BE29" s="2107"/>
      <c r="BF29" s="2108"/>
      <c r="BG29" s="2109"/>
      <c r="BH29" s="2104"/>
      <c r="BI29" s="2107"/>
      <c r="BJ29" s="2108"/>
      <c r="BK29" s="2109"/>
      <c r="BL29" s="2104"/>
      <c r="BM29" s="2107"/>
      <c r="BN29" s="2108"/>
      <c r="BO29" s="2109"/>
      <c r="BP29" s="2104"/>
      <c r="BQ29" s="2107"/>
      <c r="BR29" s="2108"/>
      <c r="BS29" s="2109"/>
      <c r="BT29" s="2104"/>
      <c r="BU29" s="2107"/>
      <c r="BV29" s="2108"/>
      <c r="BW29" s="2109"/>
      <c r="BX29" s="2107"/>
      <c r="BY29" s="2108"/>
      <c r="BZ29" s="2109"/>
      <c r="CA29" s="2109"/>
      <c r="CB29" s="2109"/>
      <c r="CC29" s="2109"/>
      <c r="CD29" s="2109"/>
      <c r="CE29" s="2109"/>
      <c r="CF29" s="2109"/>
      <c r="CG29" s="2109"/>
      <c r="CH29" s="2109"/>
      <c r="CI29" s="2109"/>
      <c r="CJ29" s="2109">
        <v>6</v>
      </c>
      <c r="CK29" s="2109">
        <f>CL29/CJ29/1*1000</f>
        <v>24311.666666666668</v>
      </c>
      <c r="CL29" s="2109">
        <v>145.87</v>
      </c>
      <c r="CM29" s="2107">
        <v>8</v>
      </c>
      <c r="CN29" s="2108">
        <f>CO29/CM29/12*1000</f>
        <v>35088.541666666664</v>
      </c>
      <c r="CO29" s="2109">
        <v>3368.5</v>
      </c>
      <c r="CP29" s="2111">
        <f>'3 подъем зпл'!B19</f>
        <v>6.2025570776255705</v>
      </c>
      <c r="CQ29" s="2108">
        <f>'ЗП среднемес'!H52</f>
        <v>30826.575999999997</v>
      </c>
      <c r="CR29" s="2109">
        <f>CP29*CQ29*12/1000</f>
        <v>2294.4431657731507</v>
      </c>
      <c r="CS29" s="2111">
        <v>6.2</v>
      </c>
      <c r="CT29" s="2108">
        <f>SUM('ЗП среднемес'!H72)</f>
        <v>32244.598495999999</v>
      </c>
      <c r="CU29" s="2109">
        <f>CS29*CT29*12/1000</f>
        <v>2398.9981281023997</v>
      </c>
      <c r="CV29" s="2111">
        <f>SUM(CS29)</f>
        <v>6.2</v>
      </c>
      <c r="CW29" s="2108">
        <f t="shared" si="56"/>
        <v>31433.859547199998</v>
      </c>
      <c r="CX29" s="2109">
        <f>CV29*CW29*12/1000</f>
        <v>2338.6791503116801</v>
      </c>
      <c r="CY29" s="2571">
        <v>6</v>
      </c>
      <c r="CZ29" s="2562">
        <f t="shared" si="36"/>
        <v>24327.5</v>
      </c>
      <c r="DA29" s="2109">
        <v>875.79</v>
      </c>
      <c r="DB29" s="2109">
        <v>6</v>
      </c>
      <c r="DC29" s="2562">
        <f t="shared" si="21"/>
        <v>24586.481481481482</v>
      </c>
      <c r="DD29" s="2109">
        <v>1327.67</v>
      </c>
      <c r="DE29" s="2109">
        <v>6</v>
      </c>
      <c r="DF29" s="2562">
        <f t="shared" si="22"/>
        <v>24033.472222222226</v>
      </c>
      <c r="DG29" s="2109">
        <v>1730.41</v>
      </c>
      <c r="DH29" s="2109">
        <v>6</v>
      </c>
      <c r="DI29" s="2108">
        <f>SUM('ЗП среднемес'!H86)</f>
        <v>37962.436160000005</v>
      </c>
      <c r="DJ29" s="2109">
        <f t="shared" si="37"/>
        <v>2733.29540352</v>
      </c>
      <c r="DK29" s="2109">
        <f t="shared" si="57"/>
        <v>6.2025570776255705</v>
      </c>
      <c r="DL29" s="3249">
        <f t="shared" si="62"/>
        <v>32302.425305419314</v>
      </c>
      <c r="DM29" s="2109">
        <f t="shared" si="38"/>
        <v>2404.2916404311986</v>
      </c>
      <c r="DN29" s="3640" t="s">
        <v>3506</v>
      </c>
      <c r="DO29" s="2117"/>
      <c r="DP29" s="2109">
        <v>6</v>
      </c>
      <c r="DQ29" s="3628">
        <f t="shared" si="39"/>
        <v>26170</v>
      </c>
      <c r="DR29" s="2109">
        <v>942.12</v>
      </c>
      <c r="DS29" s="2109">
        <v>6</v>
      </c>
      <c r="DT29" s="3628">
        <f t="shared" si="23"/>
        <v>24982.03703703704</v>
      </c>
      <c r="DU29" s="2109">
        <v>1349.03</v>
      </c>
      <c r="DV29" s="2109">
        <v>6</v>
      </c>
      <c r="DW29" s="3628">
        <f t="shared" si="24"/>
        <v>24024.583333333336</v>
      </c>
      <c r="DX29" s="2109">
        <v>1729.77</v>
      </c>
      <c r="DY29" s="2109">
        <v>6</v>
      </c>
      <c r="DZ29" s="2108">
        <f>SUM('ЗП среднемес'!H100)</f>
        <v>40187.347200000004</v>
      </c>
      <c r="EA29" s="2109">
        <f t="shared" si="40"/>
        <v>2893.4889984000006</v>
      </c>
      <c r="EB29" s="2109">
        <f t="shared" si="58"/>
        <v>6.2025570776255705</v>
      </c>
      <c r="EC29" s="3249">
        <f t="shared" si="59"/>
        <v>34193.34476931244</v>
      </c>
      <c r="ED29" s="2109">
        <f t="shared" si="41"/>
        <v>2545.0340712790817</v>
      </c>
      <c r="EE29" s="2109">
        <v>6</v>
      </c>
      <c r="EF29" s="3945">
        <f t="shared" si="25"/>
        <v>24505.138888888891</v>
      </c>
      <c r="EG29" s="2109">
        <v>882.18499999999995</v>
      </c>
      <c r="EH29" s="2109">
        <v>6</v>
      </c>
      <c r="EI29" s="3945">
        <f t="shared" si="26"/>
        <v>24262.685185185182</v>
      </c>
      <c r="EJ29" s="2109">
        <v>1310.1849999999999</v>
      </c>
      <c r="EK29" s="2109">
        <v>6</v>
      </c>
      <c r="EL29" s="3945">
        <f t="shared" si="27"/>
        <v>24908.083333333332</v>
      </c>
      <c r="EM29" s="2109">
        <v>1793.3820000000001</v>
      </c>
      <c r="EN29" s="3298">
        <v>6</v>
      </c>
      <c r="EO29" s="3299">
        <f>SUM('ЗП среднемес'!H114)</f>
        <v>45714.767999999996</v>
      </c>
      <c r="EP29" s="3298">
        <f t="shared" si="42"/>
        <v>3291.4632959999999</v>
      </c>
      <c r="EQ29" s="3298">
        <f t="shared" ref="EQ29" si="63">SUM(CP29)</f>
        <v>6.2025570776255705</v>
      </c>
      <c r="ER29" s="3512">
        <f t="shared" si="61"/>
        <v>39443.969556578275</v>
      </c>
      <c r="ES29" s="3298">
        <f t="shared" si="43"/>
        <v>2935.8416705136251</v>
      </c>
      <c r="ET29" s="4749">
        <v>6</v>
      </c>
      <c r="EU29" s="4718">
        <f t="shared" si="28"/>
        <v>37721.694444444445</v>
      </c>
      <c r="EV29" s="4749">
        <v>1357.981</v>
      </c>
      <c r="EW29" s="4749">
        <v>4</v>
      </c>
      <c r="EX29" s="4718">
        <f t="shared" si="29"/>
        <v>33258.083333333328</v>
      </c>
      <c r="EY29" s="4749">
        <v>1596.3879999999999</v>
      </c>
    </row>
    <row r="30" spans="1:155" ht="57" customHeight="1" x14ac:dyDescent="0.2">
      <c r="A30" s="3170" t="s">
        <v>1696</v>
      </c>
      <c r="B30" s="3053" t="s">
        <v>3627</v>
      </c>
      <c r="C30" s="2107"/>
      <c r="D30" s="2108"/>
      <c r="E30" s="2109"/>
      <c r="F30" s="2108"/>
      <c r="G30" s="2108"/>
      <c r="H30" s="2109"/>
      <c r="I30" s="2107"/>
      <c r="J30" s="2108"/>
      <c r="K30" s="2103"/>
      <c r="L30" s="2109"/>
      <c r="M30" s="2107"/>
      <c r="N30" s="2108"/>
      <c r="O30" s="2109"/>
      <c r="P30" s="2104"/>
      <c r="Q30" s="1726"/>
      <c r="R30" s="5939"/>
      <c r="S30" s="2110"/>
      <c r="T30" s="2108"/>
      <c r="U30" s="2109"/>
      <c r="V30" s="2104"/>
      <c r="W30" s="2104"/>
      <c r="X30" s="2111"/>
      <c r="Y30" s="2108"/>
      <c r="Z30" s="2109"/>
      <c r="AA30" s="2104"/>
      <c r="AB30" s="2104"/>
      <c r="AC30" s="1726"/>
      <c r="AD30" s="1726"/>
      <c r="AE30" s="1726"/>
      <c r="AF30" s="1726"/>
      <c r="AG30" s="1726"/>
      <c r="AH30" s="1726"/>
      <c r="AI30" s="1726"/>
      <c r="AJ30" s="1726"/>
      <c r="AK30" s="1726"/>
      <c r="AL30" s="2107"/>
      <c r="AM30" s="2108"/>
      <c r="AN30" s="2109"/>
      <c r="AO30" s="2104"/>
      <c r="AP30" s="1726"/>
      <c r="AQ30" s="2107"/>
      <c r="AR30" s="2108"/>
      <c r="AS30" s="2109"/>
      <c r="AT30" s="2104"/>
      <c r="AU30" s="2107"/>
      <c r="AV30" s="2108"/>
      <c r="AW30" s="2109"/>
      <c r="AX30" s="2104"/>
      <c r="AY30" s="2104"/>
      <c r="AZ30" s="2112"/>
      <c r="BA30" s="2108"/>
      <c r="BB30" s="2109"/>
      <c r="BC30" s="2104"/>
      <c r="BD30" s="1726"/>
      <c r="BE30" s="2107"/>
      <c r="BF30" s="2108"/>
      <c r="BG30" s="2109"/>
      <c r="BH30" s="2104"/>
      <c r="BI30" s="2107"/>
      <c r="BJ30" s="2108"/>
      <c r="BK30" s="2109"/>
      <c r="BL30" s="2104"/>
      <c r="BM30" s="2107"/>
      <c r="BN30" s="2108"/>
      <c r="BO30" s="2109"/>
      <c r="BP30" s="2104"/>
      <c r="BQ30" s="2107"/>
      <c r="BR30" s="2108"/>
      <c r="BS30" s="2109"/>
      <c r="BT30" s="2104"/>
      <c r="BU30" s="2107"/>
      <c r="BV30" s="2108"/>
      <c r="BW30" s="2109"/>
      <c r="BX30" s="2107"/>
      <c r="BY30" s="2108"/>
      <c r="BZ30" s="2109"/>
      <c r="CA30" s="2109"/>
      <c r="CB30" s="2109"/>
      <c r="CC30" s="2109"/>
      <c r="CD30" s="2109"/>
      <c r="CE30" s="2109"/>
      <c r="CF30" s="2109"/>
      <c r="CG30" s="2109"/>
      <c r="CH30" s="2109"/>
      <c r="CI30" s="2109"/>
      <c r="CJ30" s="2109"/>
      <c r="CK30" s="2109"/>
      <c r="CL30" s="2109"/>
      <c r="CM30" s="2107"/>
      <c r="CN30" s="2108"/>
      <c r="CO30" s="2109"/>
      <c r="CP30" s="3249"/>
      <c r="CQ30" s="2108"/>
      <c r="CR30" s="2636">
        <v>3.79</v>
      </c>
      <c r="CS30" s="2111"/>
      <c r="CT30" s="2108"/>
      <c r="CU30" s="2109"/>
      <c r="CV30" s="2111"/>
      <c r="CW30" s="2108"/>
      <c r="CX30" s="2109"/>
      <c r="CY30" s="2603">
        <v>0.05</v>
      </c>
      <c r="CZ30" s="2562">
        <f t="shared" si="36"/>
        <v>25266.666666666664</v>
      </c>
      <c r="DA30" s="2109">
        <v>7.58</v>
      </c>
      <c r="DB30" s="2636">
        <v>0.05</v>
      </c>
      <c r="DC30" s="2562">
        <f t="shared" si="21"/>
        <v>25599.999999999996</v>
      </c>
      <c r="DD30" s="2109">
        <v>11.52</v>
      </c>
      <c r="DE30" s="2636">
        <v>0.05</v>
      </c>
      <c r="DF30" s="2562">
        <f t="shared" si="22"/>
        <v>24250</v>
      </c>
      <c r="DG30" s="2109">
        <v>14.55</v>
      </c>
      <c r="DH30" s="2636">
        <v>0.05</v>
      </c>
      <c r="DI30" s="2108">
        <f>SUM('ЗП среднемес'!F86)</f>
        <v>33513.7131725</v>
      </c>
      <c r="DJ30" s="2109">
        <f t="shared" si="37"/>
        <v>20.108227903500001</v>
      </c>
      <c r="DK30" s="2109">
        <f t="shared" si="57"/>
        <v>0</v>
      </c>
      <c r="DL30" s="3249">
        <f t="shared" si="62"/>
        <v>0</v>
      </c>
      <c r="DM30" s="3249">
        <v>16.518999999999998</v>
      </c>
      <c r="DN30" s="3640"/>
      <c r="DO30" s="2117"/>
      <c r="DP30" s="2636">
        <v>0.05</v>
      </c>
      <c r="DQ30" s="3628">
        <f t="shared" si="39"/>
        <v>21500</v>
      </c>
      <c r="DR30" s="2109">
        <v>6.45</v>
      </c>
      <c r="DS30" s="2636">
        <v>0.05</v>
      </c>
      <c r="DT30" s="3628">
        <f t="shared" si="23"/>
        <v>24022.222222222223</v>
      </c>
      <c r="DU30" s="2109">
        <v>10.81</v>
      </c>
      <c r="DV30" s="2636">
        <v>0.05</v>
      </c>
      <c r="DW30" s="3628">
        <f t="shared" si="24"/>
        <v>21050</v>
      </c>
      <c r="DX30" s="2109">
        <v>12.63</v>
      </c>
      <c r="DY30" s="2636">
        <v>0.05</v>
      </c>
      <c r="DZ30" s="2108">
        <f>SUM('ЗП среднемес'!F100)</f>
        <v>35477.892449999992</v>
      </c>
      <c r="EA30" s="2109">
        <f t="shared" si="40"/>
        <v>21.286735469999996</v>
      </c>
      <c r="EB30" s="2109">
        <f t="shared" si="58"/>
        <v>0</v>
      </c>
      <c r="EC30" s="3249">
        <f t="shared" si="59"/>
        <v>0</v>
      </c>
      <c r="ED30" s="3249">
        <f>SUM(DM30*(1+0.043)*0.99)*1.025</f>
        <v>17.483449425749995</v>
      </c>
      <c r="EE30" s="2636">
        <v>0.05</v>
      </c>
      <c r="EF30" s="3945">
        <f t="shared" si="25"/>
        <v>19033.333333333332</v>
      </c>
      <c r="EG30" s="2109">
        <v>5.71</v>
      </c>
      <c r="EH30" s="2636">
        <v>0.05</v>
      </c>
      <c r="EI30" s="3945">
        <f t="shared" si="26"/>
        <v>20344.444444444442</v>
      </c>
      <c r="EJ30" s="2109">
        <v>9.1549999999999994</v>
      </c>
      <c r="EK30" s="2636">
        <v>0.05</v>
      </c>
      <c r="EL30" s="3945">
        <f t="shared" si="27"/>
        <v>20150</v>
      </c>
      <c r="EM30" s="2109">
        <v>12.09</v>
      </c>
      <c r="EN30" s="3300">
        <v>0.05</v>
      </c>
      <c r="EO30" s="3299">
        <f>SUM('ЗП среднемес'!F114)</f>
        <v>40357.568625</v>
      </c>
      <c r="EP30" s="3298">
        <f t="shared" si="42"/>
        <v>24.214541175000001</v>
      </c>
      <c r="EQ30" s="3300">
        <v>0.05</v>
      </c>
      <c r="ER30" s="3512">
        <v>39443.97</v>
      </c>
      <c r="ES30" s="3298">
        <f t="shared" si="43"/>
        <v>23.666382000000002</v>
      </c>
      <c r="ET30" s="4750">
        <v>4.4999999999999998E-2</v>
      </c>
      <c r="EU30" s="4718">
        <f t="shared" si="28"/>
        <v>30077.777777777781</v>
      </c>
      <c r="EV30" s="4749">
        <v>8.1210000000000004</v>
      </c>
      <c r="EW30" s="4750">
        <v>0.03</v>
      </c>
      <c r="EX30" s="4718">
        <f t="shared" si="29"/>
        <v>30813.888888888887</v>
      </c>
      <c r="EY30" s="4749">
        <v>11.093</v>
      </c>
    </row>
    <row r="31" spans="1:155" ht="63" customHeight="1" x14ac:dyDescent="0.2">
      <c r="A31" s="3168" t="s">
        <v>185</v>
      </c>
      <c r="B31" s="3169" t="s">
        <v>195</v>
      </c>
      <c r="C31" s="2100">
        <v>840</v>
      </c>
      <c r="D31" s="2101">
        <v>12146</v>
      </c>
      <c r="E31" s="2102">
        <v>122429.8</v>
      </c>
      <c r="F31" s="2101">
        <f>F32+F33</f>
        <v>813</v>
      </c>
      <c r="G31" s="2101">
        <f>(G32*F32+G33*F33)/(F32+F33)</f>
        <v>12443.442804428045</v>
      </c>
      <c r="H31" s="2102">
        <f>H33+H32</f>
        <v>121398.228</v>
      </c>
      <c r="I31" s="2100">
        <v>799</v>
      </c>
      <c r="J31" s="2101">
        <v>13361</v>
      </c>
      <c r="K31" s="2103">
        <f>J31/G31</f>
        <v>1.07373820975377</v>
      </c>
      <c r="L31" s="2102">
        <v>128108.9</v>
      </c>
      <c r="M31" s="2100">
        <f>M32+M33+M34+M35</f>
        <v>105</v>
      </c>
      <c r="N31" s="2101">
        <f t="shared" si="3"/>
        <v>28668.650793650795</v>
      </c>
      <c r="O31" s="2102">
        <f>O32+O33+O34+O35</f>
        <v>36122.5</v>
      </c>
      <c r="P31" s="2104">
        <f>N31/AM14</f>
        <v>1.2088032234986785</v>
      </c>
      <c r="Q31" s="1726"/>
      <c r="R31" s="5939"/>
      <c r="S31" s="2105">
        <f>SUM(S32:S35)</f>
        <v>96</v>
      </c>
      <c r="T31" s="2106">
        <f>U31/S31/12*1000</f>
        <v>25224.382875999996</v>
      </c>
      <c r="U31" s="2105">
        <f>SUM(U32:U35)</f>
        <v>29058.489073151999</v>
      </c>
      <c r="V31" s="2104">
        <f>T31/AM14</f>
        <v>1.0635769206839176</v>
      </c>
      <c r="W31" s="1726"/>
      <c r="X31" s="2100">
        <f>X32+X33+X34+X35</f>
        <v>95</v>
      </c>
      <c r="Y31" s="2101">
        <f t="shared" si="4"/>
        <v>22836.666666666668</v>
      </c>
      <c r="Z31" s="2102">
        <f>Z32+Z33+Z34+Z35</f>
        <v>13016.900000000001</v>
      </c>
      <c r="AA31" s="2104">
        <f>Y31/BB14</f>
        <v>0.92274432731820633</v>
      </c>
      <c r="AB31" s="1726"/>
      <c r="AC31" s="1726"/>
      <c r="AD31" s="1726"/>
      <c r="AE31" s="1726"/>
      <c r="AF31" s="1726"/>
      <c r="AG31" s="1726"/>
      <c r="AH31" s="1726"/>
      <c r="AI31" s="1726"/>
      <c r="AJ31" s="1726"/>
      <c r="AK31" s="1726"/>
      <c r="AL31" s="2100">
        <f>AL32+AL33+AL34+AL35</f>
        <v>94</v>
      </c>
      <c r="AM31" s="2101">
        <f t="shared" si="5"/>
        <v>23876.59574468085</v>
      </c>
      <c r="AN31" s="2102">
        <f>AN32+AN33+AN34+AN35</f>
        <v>20199.599999999999</v>
      </c>
      <c r="AO31" s="2104">
        <f>AM31/BB14</f>
        <v>0.96476397368592659</v>
      </c>
      <c r="AP31" s="1726"/>
      <c r="AQ31" s="2100">
        <f>AQ32+AQ33+AQ34+AQ35</f>
        <v>94</v>
      </c>
      <c r="AR31" s="2101">
        <f t="shared" si="6"/>
        <v>24074.734042553187</v>
      </c>
      <c r="AS31" s="2102">
        <f>AS32+AS33+AS34+AS35</f>
        <v>27156.3</v>
      </c>
      <c r="AT31" s="2104">
        <f t="shared" si="30"/>
        <v>0.95442311357632248</v>
      </c>
      <c r="AU31" s="2100">
        <f>AU32+AU33+AU34+AU35</f>
        <v>105</v>
      </c>
      <c r="AV31" s="2101">
        <f t="shared" si="7"/>
        <v>28668.650793650795</v>
      </c>
      <c r="AW31" s="2102">
        <f>AW32+AW33+AW34+AW35</f>
        <v>36122.5</v>
      </c>
      <c r="AX31" s="2104">
        <f t="shared" si="31"/>
        <v>1.1365451806921265</v>
      </c>
      <c r="AY31" s="2113">
        <f>AV31/BB14</f>
        <v>1.1583930035779242</v>
      </c>
      <c r="AZ31" s="2105">
        <f>SUM(AZ32:AZ35)</f>
        <v>98</v>
      </c>
      <c r="BA31" s="2106">
        <f>BB31/AZ31/12*1000</f>
        <v>28763.121622082414</v>
      </c>
      <c r="BB31" s="2105">
        <f>SUM(BB32:BB35)</f>
        <v>33825.43102756892</v>
      </c>
      <c r="BC31" s="2104">
        <f t="shared" si="8"/>
        <v>1.1402903993123807</v>
      </c>
      <c r="BD31" s="1726"/>
      <c r="BE31" s="2100">
        <f>BE32+BE33+BE34+BE35</f>
        <v>94</v>
      </c>
      <c r="BF31" s="2101">
        <f t="shared" si="9"/>
        <v>23914.007092198586</v>
      </c>
      <c r="BG31" s="2102">
        <f>BG32+BG33+BG34+BG35</f>
        <v>13487.5</v>
      </c>
      <c r="BH31" s="2104">
        <f t="shared" si="32"/>
        <v>0.83415181496768542</v>
      </c>
      <c r="BI31" s="2100">
        <f>BI32+BI33+BI34+BI35</f>
        <v>94</v>
      </c>
      <c r="BJ31" s="2101">
        <f t="shared" si="10"/>
        <v>24833.096926713952</v>
      </c>
      <c r="BK31" s="2102">
        <f>BK32+BK33+BK34+BK35</f>
        <v>21008.800000000003</v>
      </c>
      <c r="BL31" s="2104">
        <f t="shared" si="33"/>
        <v>0.86336584926334103</v>
      </c>
      <c r="BM31" s="2100">
        <f>BM32+BM33+BM34+BM35</f>
        <v>105</v>
      </c>
      <c r="BN31" s="2106">
        <f>BO31/BM31/12*1000</f>
        <v>31535.515873015873</v>
      </c>
      <c r="BO31" s="2105">
        <f>SUM(BO32:BO35)</f>
        <v>39734.75</v>
      </c>
      <c r="BP31" s="2104">
        <f t="shared" si="34"/>
        <v>1.0963871128926772</v>
      </c>
      <c r="BQ31" s="2100">
        <f>BQ32+BQ33+BQ34+BQ35</f>
        <v>94</v>
      </c>
      <c r="BR31" s="2106">
        <f>BS31/BQ31/12*1000</f>
        <v>28606.666659040642</v>
      </c>
      <c r="BS31" s="2105">
        <f>SUM(BS32:BS35)</f>
        <v>32268.319991397846</v>
      </c>
      <c r="BT31" s="2104">
        <f t="shared" si="35"/>
        <v>0.99456057082060056</v>
      </c>
      <c r="BU31" s="2100">
        <f>BU32+BU33+BU34+BU35</f>
        <v>92</v>
      </c>
      <c r="BV31" s="2106">
        <f>BW31/BU31/12*1000</f>
        <v>27420.467391304352</v>
      </c>
      <c r="BW31" s="2105">
        <f>SUM(BW32:BW35)</f>
        <v>30272.196000000004</v>
      </c>
      <c r="BX31" s="2100">
        <f>BX32+BX33+BX34+BX35</f>
        <v>93</v>
      </c>
      <c r="BY31" s="2106">
        <f>BZ31/BX31/12*1000</f>
        <v>26876.440860215054</v>
      </c>
      <c r="BZ31" s="2105">
        <f>SUM(BZ32:BZ35)</f>
        <v>29994.108000000004</v>
      </c>
      <c r="CA31" s="2100">
        <f t="shared" ref="CA31" si="64">CA32+CA33+CA34+CA35</f>
        <v>94</v>
      </c>
      <c r="CB31" s="2106">
        <f t="shared" ref="CB31" si="65">CC31/CA31/12*1000</f>
        <v>30331.362591914203</v>
      </c>
      <c r="CC31" s="2105">
        <f t="shared" ref="CC31" si="66">SUM(CC32:CC35)</f>
        <v>34213.777003679221</v>
      </c>
      <c r="CD31" s="2100">
        <f t="shared" ref="CD31" si="67">CD32+CD33+CD34+CD35</f>
        <v>94</v>
      </c>
      <c r="CE31" s="2106">
        <f t="shared" ref="CE31" si="68">CF31/CD31/12*1000</f>
        <v>29368.462192170893</v>
      </c>
      <c r="CF31" s="2105">
        <f t="shared" ref="CF31" si="69">SUM(CF32:CF35)</f>
        <v>33127.625352768766</v>
      </c>
      <c r="CG31" s="2100">
        <f t="shared" ref="CG31" si="70">CG32+CG33+CG34+CG35</f>
        <v>94</v>
      </c>
      <c r="CH31" s="2106">
        <f t="shared" ref="CH31:CH35" si="71">CI31/CG31/12*1000</f>
        <v>31858.666494555055</v>
      </c>
      <c r="CI31" s="2105">
        <f t="shared" ref="CI31" si="72">SUM(CI32:CI35)</f>
        <v>35936.575805858105</v>
      </c>
      <c r="CJ31" s="2100">
        <f>CJ32+CJ33+CJ34+CJ35</f>
        <v>95</v>
      </c>
      <c r="CK31" s="2106">
        <f t="shared" ref="CK31:CK35" si="73">CL31/CJ31/12*1000</f>
        <v>25755.245614035091</v>
      </c>
      <c r="CL31" s="2105">
        <f>SUM(CL32:CL35)</f>
        <v>29360.980000000003</v>
      </c>
      <c r="CM31" s="2100">
        <f>CM32+CM33+CM34+CM35</f>
        <v>95</v>
      </c>
      <c r="CN31" s="2106">
        <f>CO31/CM31/12*1000</f>
        <v>34424.473684210527</v>
      </c>
      <c r="CO31" s="2105">
        <f>SUM(CO32:CO35)</f>
        <v>39243.9</v>
      </c>
      <c r="CP31" s="2100">
        <f>CP32+CP33+CP34+CP35</f>
        <v>95</v>
      </c>
      <c r="CQ31" s="2106">
        <f>CR31/CP31/12*1000</f>
        <v>32976.324063157896</v>
      </c>
      <c r="CR31" s="2563">
        <f>SUM(CR32:CR35)</f>
        <v>37593.009431999999</v>
      </c>
      <c r="CS31" s="2100">
        <f>CS32+CS33+CS34+CS35</f>
        <v>95</v>
      </c>
      <c r="CT31" s="2106">
        <f>CU31/CS31/12*1000</f>
        <v>34493.234970063153</v>
      </c>
      <c r="CU31" s="2563">
        <f>SUM(CU32:CU35)</f>
        <v>39322.287865872</v>
      </c>
      <c r="CV31" s="2100">
        <f>CV32+CV33+CV34+CV35</f>
        <v>95</v>
      </c>
      <c r="CW31" s="2106">
        <f>CX31/CV31/12*1000</f>
        <v>33625.957647202107</v>
      </c>
      <c r="CX31" s="2563">
        <f>SUM(CX32:CX35)</f>
        <v>38333.591717810399</v>
      </c>
      <c r="CY31" s="2608">
        <f>SUM(CY32:CY36)</f>
        <v>97</v>
      </c>
      <c r="CZ31" s="2563">
        <f>SUM(DA31/CY31/6*1000)</f>
        <v>25496.512027491408</v>
      </c>
      <c r="DA31" s="2563">
        <f>SUM(DA32:DA36)</f>
        <v>14838.970000000001</v>
      </c>
      <c r="DB31" s="2608">
        <f>SUM(DB32:DB36)</f>
        <v>97</v>
      </c>
      <c r="DC31" s="2563">
        <f t="shared" si="21"/>
        <v>25742.898052691868</v>
      </c>
      <c r="DD31" s="2563">
        <f>SUM(DD32:DD36)</f>
        <v>22473.55</v>
      </c>
      <c r="DE31" s="2608">
        <f>SUM(DE32:DE36)</f>
        <v>97</v>
      </c>
      <c r="DF31" s="2563">
        <f t="shared" si="22"/>
        <v>25117.585910652921</v>
      </c>
      <c r="DG31" s="2563">
        <f>SUM(DG32:DG36)</f>
        <v>29236.87</v>
      </c>
      <c r="DH31" s="2608">
        <f>SUM(DH32:DH36)</f>
        <v>97</v>
      </c>
      <c r="DI31" s="2106">
        <f>DJ31/DH31/12*1000</f>
        <v>40653.072743505167</v>
      </c>
      <c r="DJ31" s="3629">
        <f>SUM(DJ32:DJ36)</f>
        <v>47320.176673440008</v>
      </c>
      <c r="DK31" s="2608">
        <f>SUM(DK32:DK36)</f>
        <v>95</v>
      </c>
      <c r="DL31" s="2106">
        <f>DM31/DK31/12*1000</f>
        <v>34664.744537817067</v>
      </c>
      <c r="DM31" s="3629">
        <f>SUM(DM32:DM36)</f>
        <v>39517.808773111457</v>
      </c>
      <c r="DN31" s="2104"/>
      <c r="DO31" s="2117"/>
      <c r="DP31" s="2608">
        <f>SUM(DP32:DP36)</f>
        <v>94</v>
      </c>
      <c r="DQ31" s="3629">
        <f>SUM(DR31/DP31/6*1000)</f>
        <v>26207.429078014182</v>
      </c>
      <c r="DR31" s="3629">
        <f>SUM(DR32:DR36)</f>
        <v>14780.99</v>
      </c>
      <c r="DS31" s="2608">
        <f>SUM(DS32:DS36)</f>
        <v>94</v>
      </c>
      <c r="DT31" s="3629">
        <f t="shared" si="23"/>
        <v>26198.952718676122</v>
      </c>
      <c r="DU31" s="3629">
        <f>SUM(DU32:DU36)</f>
        <v>22164.313999999998</v>
      </c>
      <c r="DV31" s="2608">
        <f>SUM(DV32:DV36)</f>
        <v>94</v>
      </c>
      <c r="DW31" s="3629">
        <f t="shared" si="24"/>
        <v>26223.031914893614</v>
      </c>
      <c r="DX31" s="3629">
        <f>SUM(DX32:DX36)</f>
        <v>29579.579999999998</v>
      </c>
      <c r="DY31" s="2608">
        <f>SUM(DY32:DY36)</f>
        <v>97</v>
      </c>
      <c r="DZ31" s="2106">
        <f>EA31/DY31/12*1000</f>
        <v>43035.677220618556</v>
      </c>
      <c r="EA31" s="3944">
        <f>SUM(EA32:EA36)</f>
        <v>50093.528284800006</v>
      </c>
      <c r="EB31" s="2608">
        <f>SUM(EB32:EB36)</f>
        <v>95</v>
      </c>
      <c r="EC31" s="2106">
        <f>ED31/EB31/12*1000</f>
        <v>36693.949451617904</v>
      </c>
      <c r="ED31" s="3944">
        <f>SUM(ED32:ED36)</f>
        <v>41831.102374844413</v>
      </c>
      <c r="EE31" s="2608">
        <f>SUM(EE32:EE36)</f>
        <v>94</v>
      </c>
      <c r="EF31" s="3944">
        <f t="shared" si="25"/>
        <v>28137.854609929076</v>
      </c>
      <c r="EG31" s="3944">
        <f>SUM(EG32:EG36)</f>
        <v>15869.749999999998</v>
      </c>
      <c r="EH31" s="2608">
        <f>SUM(EH32:EH36)</f>
        <v>94</v>
      </c>
      <c r="EI31" s="3944">
        <f t="shared" si="26"/>
        <v>28900.945626477536</v>
      </c>
      <c r="EJ31" s="3944">
        <f>SUM(EJ32:EJ36)</f>
        <v>24450.199999999997</v>
      </c>
      <c r="EK31" s="2608">
        <f>SUM(EK32:EK36)</f>
        <v>94</v>
      </c>
      <c r="EL31" s="3944">
        <f t="shared" si="27"/>
        <v>29446.910460992905</v>
      </c>
      <c r="EM31" s="3944">
        <f>SUM(EM32:EM36)</f>
        <v>33216.114999999998</v>
      </c>
      <c r="EN31" s="3301">
        <f>SUM(EN32:EN36)</f>
        <v>95.3</v>
      </c>
      <c r="EO31" s="3297">
        <f>EP31/EN31/12*1000</f>
        <v>48910.724367261282</v>
      </c>
      <c r="EP31" s="3075">
        <f>SUM(EP32:EP36)</f>
        <v>55934.304386399999</v>
      </c>
      <c r="EQ31" s="3301">
        <f>SUM(EQ32:EQ36)</f>
        <v>95.3</v>
      </c>
      <c r="ER31" s="3297">
        <f>ES31/EQ31/12*1000</f>
        <v>42186.008365029025</v>
      </c>
      <c r="ES31" s="3075">
        <f>SUM(ES32:ES36)</f>
        <v>48243.919166247193</v>
      </c>
      <c r="ET31" s="4751">
        <f>SUM(ET32:ET36)</f>
        <v>94.3</v>
      </c>
      <c r="EU31" s="4735">
        <f t="shared" si="28"/>
        <v>35624.69777306469</v>
      </c>
      <c r="EV31" s="4735">
        <f>SUM(EV32:EV36)</f>
        <v>20156.454000000002</v>
      </c>
      <c r="EW31" s="4751">
        <f>SUM(EW32:EW36)</f>
        <v>92.3</v>
      </c>
      <c r="EX31" s="4735">
        <f t="shared" si="29"/>
        <v>36559.348140122784</v>
      </c>
      <c r="EY31" s="4735">
        <f>SUM(EY32:EY36)</f>
        <v>40493.133999999998</v>
      </c>
    </row>
    <row r="32" spans="1:155" ht="37.5" customHeight="1" x14ac:dyDescent="0.2">
      <c r="A32" s="3170" t="s">
        <v>186</v>
      </c>
      <c r="B32" s="3053" t="s">
        <v>87</v>
      </c>
      <c r="C32" s="2107">
        <v>456</v>
      </c>
      <c r="D32" s="2108">
        <v>12405</v>
      </c>
      <c r="E32" s="2109">
        <v>67882.600000000006</v>
      </c>
      <c r="F32" s="2108">
        <v>444</v>
      </c>
      <c r="G32" s="2108">
        <v>12620</v>
      </c>
      <c r="H32" s="2109">
        <f>F32*G32*12/1000</f>
        <v>67239.360000000001</v>
      </c>
      <c r="I32" s="2107">
        <v>435</v>
      </c>
      <c r="J32" s="2108">
        <v>13646</v>
      </c>
      <c r="K32" s="2103">
        <f>J32/G32</f>
        <v>1.0812995245641839</v>
      </c>
      <c r="L32" s="2109">
        <v>71232.100000000006</v>
      </c>
      <c r="M32" s="2107">
        <v>30</v>
      </c>
      <c r="N32" s="2108">
        <f t="shared" si="3"/>
        <v>25154.444444444449</v>
      </c>
      <c r="O32" s="2109">
        <v>9055.6</v>
      </c>
      <c r="P32" s="2104">
        <f>N32/AM15</f>
        <v>1.2528746934240285</v>
      </c>
      <c r="Q32" s="1726"/>
      <c r="R32" s="5939"/>
      <c r="S32" s="2114">
        <v>26</v>
      </c>
      <c r="T32" s="2108">
        <f>AM15*1.056</f>
        <v>21201.715919999995</v>
      </c>
      <c r="U32" s="2109">
        <f>S32*T32*12/1000</f>
        <v>6614.9353670399987</v>
      </c>
      <c r="V32" s="2104">
        <f>T32/AM15</f>
        <v>1.056</v>
      </c>
      <c r="W32" s="1726"/>
      <c r="X32" s="2107">
        <v>25</v>
      </c>
      <c r="Y32" s="2108">
        <f t="shared" si="4"/>
        <v>21835.333333333336</v>
      </c>
      <c r="Z32" s="2109">
        <v>3275.3</v>
      </c>
      <c r="AA32" s="2104">
        <f>Y32/BB15</f>
        <v>0.9662474115678098</v>
      </c>
      <c r="AB32" s="1726"/>
      <c r="AC32" s="1726"/>
      <c r="AD32" s="1726"/>
      <c r="AE32" s="1726"/>
      <c r="AF32" s="1726"/>
      <c r="AG32" s="1726"/>
      <c r="AH32" s="1726"/>
      <c r="AI32" s="1726"/>
      <c r="AJ32" s="1726"/>
      <c r="AK32" s="1726"/>
      <c r="AL32" s="2107">
        <v>25</v>
      </c>
      <c r="AM32" s="2108">
        <f t="shared" si="5"/>
        <v>22584.444444444445</v>
      </c>
      <c r="AN32" s="2109">
        <v>5081.5</v>
      </c>
      <c r="AO32" s="2104">
        <f>AM32/BB15</f>
        <v>0.99939674164846481</v>
      </c>
      <c r="AP32" s="1726"/>
      <c r="AQ32" s="2107">
        <v>25</v>
      </c>
      <c r="AR32" s="2108">
        <f t="shared" si="6"/>
        <v>23072.333333333332</v>
      </c>
      <c r="AS32" s="2109">
        <v>6921.7</v>
      </c>
      <c r="AT32" s="2104">
        <f t="shared" si="30"/>
        <v>1.0882295291754545</v>
      </c>
      <c r="AU32" s="2107">
        <v>30</v>
      </c>
      <c r="AV32" s="2108">
        <f t="shared" si="7"/>
        <v>25154.444444444449</v>
      </c>
      <c r="AW32" s="2109">
        <v>9055.6</v>
      </c>
      <c r="AX32" s="2104">
        <f t="shared" si="31"/>
        <v>1.1864343687727543</v>
      </c>
      <c r="AY32" s="2113">
        <f>AV32/BB15</f>
        <v>1.1131232330109022</v>
      </c>
      <c r="AZ32" s="2112">
        <f>BA15</f>
        <v>26</v>
      </c>
      <c r="BA32" s="2108">
        <f>AV32</f>
        <v>25154.444444444449</v>
      </c>
      <c r="BB32" s="2109">
        <f>AZ32*BA32*12/1000</f>
        <v>7848.1866666666683</v>
      </c>
      <c r="BC32" s="2104">
        <f t="shared" si="8"/>
        <v>1.1864343687727543</v>
      </c>
      <c r="BD32" s="1726"/>
      <c r="BE32" s="2107">
        <v>25</v>
      </c>
      <c r="BF32" s="2108">
        <f t="shared" si="9"/>
        <v>22802.666666666668</v>
      </c>
      <c r="BG32" s="2109">
        <v>3420.4</v>
      </c>
      <c r="BH32" s="2104">
        <f t="shared" si="32"/>
        <v>0.90650647113388394</v>
      </c>
      <c r="BI32" s="2107">
        <v>25</v>
      </c>
      <c r="BJ32" s="2108">
        <f t="shared" si="10"/>
        <v>23330.666666666664</v>
      </c>
      <c r="BK32" s="2109">
        <v>5249.4</v>
      </c>
      <c r="BL32" s="2104">
        <f t="shared" si="33"/>
        <v>0.92749679756172954</v>
      </c>
      <c r="BM32" s="2107">
        <v>30</v>
      </c>
      <c r="BN32" s="2108">
        <f t="shared" si="44"/>
        <v>27669.888888888898</v>
      </c>
      <c r="BO32" s="2109">
        <f>BM32*BN32*12/1000</f>
        <v>9961.1600000000035</v>
      </c>
      <c r="BP32" s="2104">
        <f t="shared" si="34"/>
        <v>1.1000000000000001</v>
      </c>
      <c r="BQ32" s="2107">
        <f>AQ32</f>
        <v>25</v>
      </c>
      <c r="BR32" s="2108">
        <f>'ЗП с факт 3 кв. 2015'!BU30</f>
        <v>26191.279999999995</v>
      </c>
      <c r="BS32" s="2109">
        <f>BQ32*BR32*12/1000</f>
        <v>7857.3839999999982</v>
      </c>
      <c r="BT32" s="2104">
        <f t="shared" si="35"/>
        <v>1.0412187817483101</v>
      </c>
      <c r="BU32" s="2107">
        <v>25</v>
      </c>
      <c r="BV32" s="2108">
        <v>25988</v>
      </c>
      <c r="BW32" s="2109">
        <f>BU32*BV32*12/1000</f>
        <v>7796.4</v>
      </c>
      <c r="BX32" s="2107">
        <v>26</v>
      </c>
      <c r="BY32" s="2108">
        <v>26050</v>
      </c>
      <c r="BZ32" s="2109">
        <f>BX32*BY32*12/1000</f>
        <v>8127.6</v>
      </c>
      <c r="CA32" s="2109">
        <f t="shared" ref="CA32" si="74">BQ32</f>
        <v>25</v>
      </c>
      <c r="CB32" s="2109">
        <f>CC32/12/CA32*1000</f>
        <v>27770.35227119999</v>
      </c>
      <c r="CC32" s="2109">
        <f t="shared" ref="CC32:CC35" si="75">BS32*0.99*1.071</f>
        <v>8331.1056813599971</v>
      </c>
      <c r="CD32" s="2109">
        <f t="shared" ref="CD32" si="76">CA32</f>
        <v>25</v>
      </c>
      <c r="CE32" s="2109">
        <f>CF32/12/CD32*1000</f>
        <v>26888.75378639999</v>
      </c>
      <c r="CF32" s="2109">
        <f t="shared" ref="CF32:CF35" si="77">BS32*0.99*1.037</f>
        <v>8066.6261359199971</v>
      </c>
      <c r="CG32" s="2109">
        <f>CD32</f>
        <v>25</v>
      </c>
      <c r="CH32" s="2109">
        <f t="shared" si="71"/>
        <v>29168.699189278173</v>
      </c>
      <c r="CI32" s="2109">
        <f>BS32*0.99*1.074*0.99*1.058</f>
        <v>8750.6097567834513</v>
      </c>
      <c r="CJ32" s="2109">
        <v>27</v>
      </c>
      <c r="CK32" s="2109">
        <f t="shared" si="73"/>
        <v>26490.061728395063</v>
      </c>
      <c r="CL32" s="2109">
        <v>8582.7800000000007</v>
      </c>
      <c r="CM32" s="2107">
        <v>27</v>
      </c>
      <c r="CN32" s="2108">
        <v>34182</v>
      </c>
      <c r="CO32" s="2109">
        <f>CM32*CN32*12/1000</f>
        <v>11074.968000000001</v>
      </c>
      <c r="CP32" s="2107">
        <v>27</v>
      </c>
      <c r="CQ32" s="2108">
        <f>'ЗП среднемес'!H52</f>
        <v>30826.575999999997</v>
      </c>
      <c r="CR32" s="2109">
        <f>CP32*CQ32*12/1000</f>
        <v>9987.8106239999979</v>
      </c>
      <c r="CS32" s="2107">
        <v>27</v>
      </c>
      <c r="CT32" s="2108">
        <f>SUM('ЗП среднемес'!H72)</f>
        <v>32244.598495999999</v>
      </c>
      <c r="CU32" s="2605">
        <f>CS32*CT32*12/1000</f>
        <v>10447.249912703999</v>
      </c>
      <c r="CV32" s="2107">
        <v>27</v>
      </c>
      <c r="CW32" s="2108">
        <f t="shared" ref="CW32:CW35" si="78">SUM(CQ32*1.03)*(1-0.01)</f>
        <v>31433.859547199998</v>
      </c>
      <c r="CX32" s="2109">
        <f>CV32*CW32*12/1000</f>
        <v>10184.570493292798</v>
      </c>
      <c r="CY32" s="2107">
        <v>27</v>
      </c>
      <c r="CZ32" s="2562">
        <f t="shared" ref="CZ32:CZ36" si="79">SUM(DA32/CY32/6*1000)</f>
        <v>29929.753086419751</v>
      </c>
      <c r="DA32" s="2605">
        <v>4848.62</v>
      </c>
      <c r="DB32" s="2109">
        <v>27</v>
      </c>
      <c r="DC32" s="2562">
        <f t="shared" si="21"/>
        <v>30084.320987654319</v>
      </c>
      <c r="DD32" s="2109">
        <v>7310.49</v>
      </c>
      <c r="DE32" s="2109">
        <v>27</v>
      </c>
      <c r="DF32" s="2562">
        <f t="shared" si="22"/>
        <v>28935.462962962964</v>
      </c>
      <c r="DG32" s="2109">
        <v>9375.09</v>
      </c>
      <c r="DH32" s="2109">
        <v>27</v>
      </c>
      <c r="DI32" s="2108">
        <f>SUM('ЗП среднемес'!H86)</f>
        <v>37962.436160000005</v>
      </c>
      <c r="DJ32" s="2605">
        <f>DH32*DI32*12/1000</f>
        <v>12299.829315840003</v>
      </c>
      <c r="DK32" s="2109">
        <f t="shared" si="57"/>
        <v>27</v>
      </c>
      <c r="DL32" s="3249">
        <f t="shared" si="62"/>
        <v>32302.425305419314</v>
      </c>
      <c r="DM32" s="2605">
        <f>DK32*DL32*12/1000</f>
        <v>10465.985798955859</v>
      </c>
      <c r="DN32" s="5956" t="s">
        <v>3532</v>
      </c>
      <c r="DO32" s="2117"/>
      <c r="DP32" s="2107">
        <v>24</v>
      </c>
      <c r="DQ32" s="3628">
        <f t="shared" ref="DQ32:DQ36" si="80">SUM(DR32/DP32/6*1000)</f>
        <v>31061.875</v>
      </c>
      <c r="DR32" s="2109">
        <v>4472.91</v>
      </c>
      <c r="DS32" s="2109">
        <v>24</v>
      </c>
      <c r="DT32" s="3628">
        <f t="shared" si="23"/>
        <v>31129.671296296296</v>
      </c>
      <c r="DU32" s="2636">
        <v>6724.009</v>
      </c>
      <c r="DV32" s="2109">
        <v>24</v>
      </c>
      <c r="DW32" s="3628">
        <f t="shared" si="24"/>
        <v>30328.923611111109</v>
      </c>
      <c r="DX32" s="2109">
        <v>8734.73</v>
      </c>
      <c r="DY32" s="2109">
        <v>27</v>
      </c>
      <c r="DZ32" s="2108">
        <f>SUM('ЗП среднемес'!H100)</f>
        <v>40187.347200000004</v>
      </c>
      <c r="EA32" s="2605">
        <f>DY32*DZ32*12/1000</f>
        <v>13020.700492800001</v>
      </c>
      <c r="EB32" s="2109">
        <f t="shared" si="58"/>
        <v>27</v>
      </c>
      <c r="EC32" s="3249">
        <f t="shared" si="59"/>
        <v>34193.34476931244</v>
      </c>
      <c r="ED32" s="2109">
        <f>EB32*EC32*12/1000</f>
        <v>11078.643705257229</v>
      </c>
      <c r="EE32" s="2109">
        <v>25</v>
      </c>
      <c r="EF32" s="3945">
        <f t="shared" si="25"/>
        <v>31208.199999999993</v>
      </c>
      <c r="EG32" s="2109">
        <v>4681.2299999999996</v>
      </c>
      <c r="EH32" s="2109">
        <v>25</v>
      </c>
      <c r="EI32" s="3945">
        <f t="shared" si="26"/>
        <v>31765.822222222221</v>
      </c>
      <c r="EJ32" s="2109">
        <v>7147.31</v>
      </c>
      <c r="EK32" s="2109">
        <v>25</v>
      </c>
      <c r="EL32" s="3945">
        <f t="shared" si="27"/>
        <v>32876.299999999996</v>
      </c>
      <c r="EM32" s="2109">
        <v>9862.89</v>
      </c>
      <c r="EN32" s="3298">
        <f>SUM(EB32)</f>
        <v>27</v>
      </c>
      <c r="EO32" s="3299">
        <f>SUM('ЗП среднемес'!H114)</f>
        <v>45714.767999999996</v>
      </c>
      <c r="EP32" s="3302">
        <f>EN32*EO32*12/1000</f>
        <v>14811.584831999999</v>
      </c>
      <c r="EQ32" s="3298">
        <f t="shared" ref="EQ32:EQ35" si="81">SUM(CP32)</f>
        <v>27</v>
      </c>
      <c r="ER32" s="3512">
        <f t="shared" ref="ER32:ER35" si="82">CQ32*0.99*1.034*0.99*1.067*0.99*1.139*0.99*1.06</f>
        <v>39443.969556578275</v>
      </c>
      <c r="ES32" s="3298">
        <f t="shared" ref="ES32:ES36" si="83">EQ32*ER32*12/1000</f>
        <v>12779.84613633136</v>
      </c>
      <c r="ET32" s="4749">
        <v>24</v>
      </c>
      <c r="EU32" s="4718">
        <f t="shared" si="28"/>
        <v>39721.701388888891</v>
      </c>
      <c r="EV32" s="4749">
        <v>5719.9250000000002</v>
      </c>
      <c r="EW32" s="4749">
        <v>24</v>
      </c>
      <c r="EX32" s="4718">
        <f t="shared" si="29"/>
        <v>38017.190972222219</v>
      </c>
      <c r="EY32" s="4749">
        <v>10948.950999999999</v>
      </c>
    </row>
    <row r="33" spans="1:155" ht="44.25" customHeight="1" x14ac:dyDescent="0.2">
      <c r="A33" s="3170" t="s">
        <v>187</v>
      </c>
      <c r="B33" s="3053" t="s">
        <v>88</v>
      </c>
      <c r="C33" s="2107">
        <v>384</v>
      </c>
      <c r="D33" s="2108">
        <v>11838</v>
      </c>
      <c r="E33" s="2109">
        <v>54547.199999999997</v>
      </c>
      <c r="F33" s="2108">
        <v>369</v>
      </c>
      <c r="G33" s="2108">
        <v>12231</v>
      </c>
      <c r="H33" s="2109">
        <f>F33*G33*12/1000</f>
        <v>54158.868000000002</v>
      </c>
      <c r="I33" s="2107">
        <v>364</v>
      </c>
      <c r="J33" s="2108">
        <v>13021</v>
      </c>
      <c r="K33" s="2103">
        <f>J33/G33</f>
        <v>1.0645899762897555</v>
      </c>
      <c r="L33" s="2109">
        <v>56876.800000000003</v>
      </c>
      <c r="M33" s="2107">
        <v>49</v>
      </c>
      <c r="N33" s="2108">
        <f t="shared" si="3"/>
        <v>30026.530612244896</v>
      </c>
      <c r="O33" s="2109">
        <v>17655.599999999999</v>
      </c>
      <c r="P33" s="2104">
        <f>N33/AM16</f>
        <v>1.1443255630726537</v>
      </c>
      <c r="Q33" s="1726"/>
      <c r="R33" s="5939"/>
      <c r="S33" s="2114">
        <v>48</v>
      </c>
      <c r="T33" s="2108">
        <f>AM16*1.056</f>
        <v>27708.912</v>
      </c>
      <c r="U33" s="2109">
        <f>S33*T33*12/1000</f>
        <v>15960.333312000001</v>
      </c>
      <c r="V33" s="2104">
        <f>T33/AM16</f>
        <v>1.056</v>
      </c>
      <c r="W33" s="1726"/>
      <c r="X33" s="2107">
        <v>49</v>
      </c>
      <c r="Y33" s="2108">
        <f t="shared" si="4"/>
        <v>23665.306122448983</v>
      </c>
      <c r="Z33" s="2109">
        <v>6957.6</v>
      </c>
      <c r="AA33" s="2104">
        <f>Y33/BB16</f>
        <v>0.90954964376756653</v>
      </c>
      <c r="AB33" s="1726"/>
      <c r="AC33" s="1726"/>
      <c r="AD33" s="1726"/>
      <c r="AE33" s="1726"/>
      <c r="AF33" s="1726"/>
      <c r="AG33" s="1726"/>
      <c r="AH33" s="1726"/>
      <c r="AI33" s="1726"/>
      <c r="AJ33" s="1726"/>
      <c r="AK33" s="1726"/>
      <c r="AL33" s="2107">
        <v>49</v>
      </c>
      <c r="AM33" s="2108">
        <f t="shared" si="5"/>
        <v>24274.149659863946</v>
      </c>
      <c r="AN33" s="2109">
        <v>10704.9</v>
      </c>
      <c r="AO33" s="2104">
        <f>AM33/BB16</f>
        <v>0.93294986600431395</v>
      </c>
      <c r="AP33" s="1726"/>
      <c r="AQ33" s="2107">
        <v>49</v>
      </c>
      <c r="AR33" s="2108">
        <f t="shared" si="6"/>
        <v>24466.496598639456</v>
      </c>
      <c r="AS33" s="2109">
        <v>14386.3</v>
      </c>
      <c r="AT33" s="2104">
        <f t="shared" si="30"/>
        <v>0.88298294060190652</v>
      </c>
      <c r="AU33" s="2107">
        <v>49</v>
      </c>
      <c r="AV33" s="2108">
        <f t="shared" si="7"/>
        <v>30026.530612244896</v>
      </c>
      <c r="AW33" s="2109">
        <v>17655.599999999999</v>
      </c>
      <c r="AX33" s="2104">
        <f t="shared" si="31"/>
        <v>1.0836416316975888</v>
      </c>
      <c r="AY33" s="2113">
        <f>AV33/BB16</f>
        <v>1.1540362115170926</v>
      </c>
      <c r="AZ33" s="2112">
        <f>BA16</f>
        <v>49</v>
      </c>
      <c r="BA33" s="2108">
        <f>AV33</f>
        <v>30026.530612244896</v>
      </c>
      <c r="BB33" s="2109">
        <f>AZ33*BA33*12/1000</f>
        <v>17655.599999999999</v>
      </c>
      <c r="BC33" s="2104">
        <f t="shared" si="8"/>
        <v>1.0836416316975888</v>
      </c>
      <c r="BD33" s="1726"/>
      <c r="BE33" s="2107">
        <v>49</v>
      </c>
      <c r="BF33" s="2108">
        <f t="shared" si="9"/>
        <v>24546.938775510203</v>
      </c>
      <c r="BG33" s="2109">
        <v>7216.8</v>
      </c>
      <c r="BH33" s="2104">
        <f t="shared" si="32"/>
        <v>0.81750832597023038</v>
      </c>
      <c r="BI33" s="2107">
        <v>49</v>
      </c>
      <c r="BJ33" s="2108">
        <f t="shared" si="10"/>
        <v>25629.25170068027</v>
      </c>
      <c r="BK33" s="2109">
        <v>11302.5</v>
      </c>
      <c r="BL33" s="2104">
        <f t="shared" si="33"/>
        <v>0.85355354675003958</v>
      </c>
      <c r="BM33" s="2107">
        <v>49</v>
      </c>
      <c r="BN33" s="2108">
        <f t="shared" si="44"/>
        <v>33029.183673469386</v>
      </c>
      <c r="BO33" s="2109">
        <f>BM33*BN33*12/1000</f>
        <v>19421.16</v>
      </c>
      <c r="BP33" s="2104">
        <f t="shared" si="34"/>
        <v>1.1000000000000001</v>
      </c>
      <c r="BQ33" s="2107">
        <f t="shared" ref="BQ33:BQ35" si="84">AQ33</f>
        <v>49</v>
      </c>
      <c r="BR33" s="2108">
        <f>'ЗП с факт 3 кв. 2015'!BU31</f>
        <v>29850.624489795915</v>
      </c>
      <c r="BS33" s="2109">
        <f>BQ33*BR33*12/1000</f>
        <v>17552.1672</v>
      </c>
      <c r="BT33" s="2104">
        <f t="shared" si="35"/>
        <v>0.99414164344457279</v>
      </c>
      <c r="BU33" s="2107">
        <v>48</v>
      </c>
      <c r="BV33" s="2108">
        <v>28455</v>
      </c>
      <c r="BW33" s="2109">
        <f>BU33*BV33*12/1000</f>
        <v>16390.080000000002</v>
      </c>
      <c r="BX33" s="2107">
        <v>48</v>
      </c>
      <c r="BY33" s="2108">
        <v>27434</v>
      </c>
      <c r="BZ33" s="2109">
        <f>BX33*BY33*12/1000</f>
        <v>15801.984</v>
      </c>
      <c r="CA33" s="2109">
        <f t="shared" ref="CA33:CA35" si="85">BQ33</f>
        <v>49</v>
      </c>
      <c r="CB33" s="2109">
        <f t="shared" ref="CB33:CB35" si="86">CC33/12/CA33*1000</f>
        <v>31650.31864028571</v>
      </c>
      <c r="CC33" s="2109">
        <f t="shared" si="75"/>
        <v>18610.387360487999</v>
      </c>
      <c r="CD33" s="2109">
        <f t="shared" ref="CD33:CD35" si="87">CA33</f>
        <v>49</v>
      </c>
      <c r="CE33" s="2109">
        <f t="shared" ref="CE33:CE35" si="88">CF33/12/CD33*1000</f>
        <v>30645.546619959183</v>
      </c>
      <c r="CF33" s="2109">
        <f t="shared" si="77"/>
        <v>18019.581412536001</v>
      </c>
      <c r="CG33" s="2109">
        <f t="shared" ref="CG33:CG35" si="89">CD33</f>
        <v>49</v>
      </c>
      <c r="CH33" s="2109">
        <f t="shared" si="71"/>
        <v>33244.037189284274</v>
      </c>
      <c r="CI33" s="2109">
        <f t="shared" ref="CI33:CI35" si="90">BS33*0.99*1.074*0.99*1.058</f>
        <v>19547.493867299156</v>
      </c>
      <c r="CJ33" s="2109">
        <v>49</v>
      </c>
      <c r="CK33" s="2109">
        <f t="shared" si="73"/>
        <v>25667.840136054423</v>
      </c>
      <c r="CL33" s="2109">
        <v>15092.69</v>
      </c>
      <c r="CM33" s="2107">
        <v>49</v>
      </c>
      <c r="CN33" s="2108">
        <v>35224</v>
      </c>
      <c r="CO33" s="2109">
        <f>CM33*CN33*12/1000</f>
        <v>20711.712</v>
      </c>
      <c r="CP33" s="2107">
        <v>49</v>
      </c>
      <c r="CQ33" s="2108">
        <f>'ЗП среднемес'!J52</f>
        <v>34679.898000000001</v>
      </c>
      <c r="CR33" s="2109">
        <f>CP33*CQ33*12/1000</f>
        <v>20391.780024</v>
      </c>
      <c r="CS33" s="2107">
        <v>49</v>
      </c>
      <c r="CT33" s="2108">
        <f>SUM('ЗП среднемес'!J72)</f>
        <v>36275.173307999998</v>
      </c>
      <c r="CU33" s="2605">
        <f>CS33*CT33*12/1000</f>
        <v>21329.801905103996</v>
      </c>
      <c r="CV33" s="2107">
        <v>49</v>
      </c>
      <c r="CW33" s="2108">
        <f t="shared" si="78"/>
        <v>35363.091990599998</v>
      </c>
      <c r="CX33" s="2109">
        <f>CV33*CW33*12/1000</f>
        <v>20793.4980904728</v>
      </c>
      <c r="CY33" s="2111">
        <v>49.7</v>
      </c>
      <c r="CZ33" s="2562">
        <f t="shared" si="79"/>
        <v>24707.478202548624</v>
      </c>
      <c r="DA33" s="2605">
        <v>7367.77</v>
      </c>
      <c r="DB33" s="2109">
        <v>49.7</v>
      </c>
      <c r="DC33" s="2562">
        <f t="shared" si="21"/>
        <v>24165.548848647439</v>
      </c>
      <c r="DD33" s="2109">
        <v>10809.25</v>
      </c>
      <c r="DE33" s="2109">
        <v>49.7</v>
      </c>
      <c r="DF33" s="2562">
        <f t="shared" si="22"/>
        <v>23395.573440643861</v>
      </c>
      <c r="DG33" s="2109">
        <v>13953.12</v>
      </c>
      <c r="DH33" s="2109">
        <v>49.7</v>
      </c>
      <c r="DI33" s="2108">
        <f>SUM('ЗП среднемес'!J86)</f>
        <v>42707.740680000003</v>
      </c>
      <c r="DJ33" s="2605">
        <f>DH33*DI33*12/1000</f>
        <v>25470.896541552</v>
      </c>
      <c r="DK33" s="2109">
        <f t="shared" si="57"/>
        <v>49</v>
      </c>
      <c r="DL33" s="3249">
        <f t="shared" si="62"/>
        <v>36340.228468596724</v>
      </c>
      <c r="DM33" s="2605">
        <f>DK33*DL33*12/1000</f>
        <v>21368.054339534876</v>
      </c>
      <c r="DN33" s="5957"/>
      <c r="DO33" s="2117"/>
      <c r="DP33" s="2111">
        <v>48.7</v>
      </c>
      <c r="DQ33" s="3628">
        <f t="shared" si="80"/>
        <v>23998.631074606434</v>
      </c>
      <c r="DR33" s="2109">
        <v>7012.4</v>
      </c>
      <c r="DS33" s="2109">
        <v>48.7</v>
      </c>
      <c r="DT33" s="3628">
        <f t="shared" si="23"/>
        <v>24025.01711156742</v>
      </c>
      <c r="DU33" s="2636">
        <v>10530.165000000001</v>
      </c>
      <c r="DV33" s="2109">
        <v>48.7</v>
      </c>
      <c r="DW33" s="3628">
        <f t="shared" si="24"/>
        <v>24403.370978781655</v>
      </c>
      <c r="DX33" s="2109">
        <v>14261.33</v>
      </c>
      <c r="DY33" s="2109">
        <v>49.7</v>
      </c>
      <c r="DZ33" s="2108">
        <f>SUM('ЗП среднемес'!J100)</f>
        <v>45210.765600000006</v>
      </c>
      <c r="EA33" s="2605">
        <f>DY33*DZ33*12/1000</f>
        <v>26963.700603840003</v>
      </c>
      <c r="EB33" s="2109">
        <f t="shared" si="58"/>
        <v>49</v>
      </c>
      <c r="EC33" s="3249">
        <f t="shared" si="59"/>
        <v>38467.512865476499</v>
      </c>
      <c r="ED33" s="2109">
        <f>EB33*EC33*12/1000</f>
        <v>22618.89756490018</v>
      </c>
      <c r="EE33" s="2109">
        <v>48.7</v>
      </c>
      <c r="EF33" s="3945">
        <f t="shared" si="25"/>
        <v>28446.132785763173</v>
      </c>
      <c r="EG33" s="2109">
        <v>8311.9599999999991</v>
      </c>
      <c r="EH33" s="2109">
        <v>48.7</v>
      </c>
      <c r="EI33" s="3945">
        <f t="shared" si="26"/>
        <v>28843.280857859914</v>
      </c>
      <c r="EJ33" s="2109">
        <v>12642.01</v>
      </c>
      <c r="EK33" s="2109">
        <v>48.7</v>
      </c>
      <c r="EL33" s="3945">
        <f t="shared" si="27"/>
        <v>28673.92368240931</v>
      </c>
      <c r="EM33" s="2109">
        <v>16757.041000000001</v>
      </c>
      <c r="EN33" s="3298">
        <f t="shared" ref="EN33:EN35" si="91">SUM(EB33)</f>
        <v>49</v>
      </c>
      <c r="EO33" s="3299">
        <f>SUM('ЗП среднемес'!J114)</f>
        <v>51429.114000000001</v>
      </c>
      <c r="EP33" s="3302">
        <f>EN33*EO33*12/1000</f>
        <v>30240.319032000003</v>
      </c>
      <c r="EQ33" s="3298">
        <f t="shared" si="81"/>
        <v>49</v>
      </c>
      <c r="ER33" s="3512">
        <f t="shared" si="82"/>
        <v>44374.465751150557</v>
      </c>
      <c r="ES33" s="3298">
        <f t="shared" si="83"/>
        <v>26092.185861676528</v>
      </c>
      <c r="ET33" s="4749">
        <v>48</v>
      </c>
      <c r="EU33" s="4718">
        <f t="shared" si="28"/>
        <v>33889.552083333336</v>
      </c>
      <c r="EV33" s="4749">
        <v>9760.1910000000007</v>
      </c>
      <c r="EW33" s="4749">
        <v>48</v>
      </c>
      <c r="EX33" s="4718">
        <f t="shared" si="29"/>
        <v>34564.21875</v>
      </c>
      <c r="EY33" s="4749">
        <v>19908.990000000002</v>
      </c>
    </row>
    <row r="34" spans="1:155" ht="48.75" customHeight="1" x14ac:dyDescent="0.2">
      <c r="A34" s="3170" t="s">
        <v>196</v>
      </c>
      <c r="B34" s="3053" t="s">
        <v>198</v>
      </c>
      <c r="C34" s="2107"/>
      <c r="D34" s="2108"/>
      <c r="E34" s="2109"/>
      <c r="F34" s="2108"/>
      <c r="G34" s="2108"/>
      <c r="H34" s="2109"/>
      <c r="I34" s="2107"/>
      <c r="J34" s="2108"/>
      <c r="K34" s="2103"/>
      <c r="L34" s="2109"/>
      <c r="M34" s="2107">
        <v>7</v>
      </c>
      <c r="N34" s="2108">
        <f t="shared" si="3"/>
        <v>31347.619047619046</v>
      </c>
      <c r="O34" s="2109">
        <v>2633.2</v>
      </c>
      <c r="P34" s="2104">
        <f>N34/AM17</f>
        <v>1.2757479654799539</v>
      </c>
      <c r="Q34" s="1726"/>
      <c r="R34" s="5939"/>
      <c r="S34" s="2115">
        <v>7</v>
      </c>
      <c r="T34" s="2108">
        <f>AM17*1.056</f>
        <v>25947.982367999997</v>
      </c>
      <c r="U34" s="2109">
        <f>S34*T34*12/1000</f>
        <v>2179.6305189119998</v>
      </c>
      <c r="V34" s="2104">
        <f>T34/AM17</f>
        <v>1.056</v>
      </c>
      <c r="W34" s="1726"/>
      <c r="X34" s="2107">
        <v>4</v>
      </c>
      <c r="Y34" s="2108">
        <f t="shared" si="4"/>
        <v>22329.166666666664</v>
      </c>
      <c r="Z34" s="2109">
        <v>535.9</v>
      </c>
      <c r="AA34" s="2104">
        <f>Y34/BB17</f>
        <v>0.91450511945392476</v>
      </c>
      <c r="AB34" s="1726"/>
      <c r="AC34" s="1726"/>
      <c r="AD34" s="1726"/>
      <c r="AE34" s="1726"/>
      <c r="AF34" s="1726"/>
      <c r="AG34" s="1726"/>
      <c r="AH34" s="1726"/>
      <c r="AI34" s="1726"/>
      <c r="AJ34" s="1726"/>
      <c r="AK34" s="1726"/>
      <c r="AL34" s="2107">
        <v>4</v>
      </c>
      <c r="AM34" s="2108">
        <f t="shared" si="5"/>
        <v>23575.000000000004</v>
      </c>
      <c r="AN34" s="2109">
        <v>848.7</v>
      </c>
      <c r="AO34" s="2104">
        <f>AM34/BB17</f>
        <v>0.96552901023890791</v>
      </c>
      <c r="AP34" s="1726"/>
      <c r="AQ34" s="2107">
        <v>4</v>
      </c>
      <c r="AR34" s="2108">
        <f t="shared" si="6"/>
        <v>24131.249999999996</v>
      </c>
      <c r="AS34" s="2109">
        <v>1158.3</v>
      </c>
      <c r="AT34" s="2104">
        <f t="shared" si="30"/>
        <v>0.92998560187706691</v>
      </c>
      <c r="AU34" s="2107">
        <v>7</v>
      </c>
      <c r="AV34" s="2108">
        <f t="shared" si="7"/>
        <v>31347.619047619046</v>
      </c>
      <c r="AW34" s="2109">
        <v>2633.2</v>
      </c>
      <c r="AX34" s="2104">
        <f t="shared" si="31"/>
        <v>1.2080946642802595</v>
      </c>
      <c r="AY34" s="2113">
        <f>AV34/BB17</f>
        <v>1.283861530960507</v>
      </c>
      <c r="AZ34" s="2112">
        <f>BA17</f>
        <v>6</v>
      </c>
      <c r="BA34" s="2108">
        <f>AV34</f>
        <v>31347.619047619046</v>
      </c>
      <c r="BB34" s="2109">
        <f>AZ34*BA34*12/1000</f>
        <v>2257.028571428571</v>
      </c>
      <c r="BC34" s="2104">
        <f t="shared" si="8"/>
        <v>1.2080946642802595</v>
      </c>
      <c r="BD34" s="1726"/>
      <c r="BE34" s="2107">
        <v>5</v>
      </c>
      <c r="BF34" s="2108">
        <f t="shared" si="9"/>
        <v>22876.666666666664</v>
      </c>
      <c r="BG34" s="2109">
        <v>686.3</v>
      </c>
      <c r="BH34" s="2104">
        <f t="shared" si="32"/>
        <v>0.72977365942579364</v>
      </c>
      <c r="BI34" s="2107">
        <v>4</v>
      </c>
      <c r="BJ34" s="2108">
        <f t="shared" si="10"/>
        <v>31052.777777777781</v>
      </c>
      <c r="BK34" s="2109">
        <v>1117.9000000000001</v>
      </c>
      <c r="BL34" s="2104">
        <f t="shared" si="33"/>
        <v>0.99059446047901178</v>
      </c>
      <c r="BM34" s="2107">
        <v>7</v>
      </c>
      <c r="BN34" s="2108">
        <f t="shared" si="44"/>
        <v>34482.380952380954</v>
      </c>
      <c r="BO34" s="2109">
        <f>BM34*BN34*12/1000</f>
        <v>2896.52</v>
      </c>
      <c r="BP34" s="2104">
        <f t="shared" si="34"/>
        <v>1.1000000000000001</v>
      </c>
      <c r="BQ34" s="2107">
        <f t="shared" si="84"/>
        <v>4</v>
      </c>
      <c r="BR34" s="2108">
        <f>'ЗП с факт 3 кв. 2015'!BU32</f>
        <v>34336.17777777779</v>
      </c>
      <c r="BS34" s="2109">
        <f>BQ34*BR34*12/1000</f>
        <v>1648.136533333334</v>
      </c>
      <c r="BT34" s="2104">
        <f t="shared" si="35"/>
        <v>1.0953360676489954</v>
      </c>
      <c r="BU34" s="2107">
        <v>4</v>
      </c>
      <c r="BV34" s="2108">
        <v>30077</v>
      </c>
      <c r="BW34" s="2109">
        <f>BU34*BV34*12/1000</f>
        <v>1443.6959999999999</v>
      </c>
      <c r="BX34" s="2107">
        <v>4</v>
      </c>
      <c r="BY34" s="2108">
        <v>26583</v>
      </c>
      <c r="BZ34" s="2109">
        <f>BX34*BY34*12/1000</f>
        <v>1275.9839999999999</v>
      </c>
      <c r="CA34" s="2109">
        <f t="shared" si="85"/>
        <v>4</v>
      </c>
      <c r="CB34" s="2109">
        <f t="shared" si="86"/>
        <v>36406.305936000019</v>
      </c>
      <c r="CC34" s="2109">
        <f t="shared" si="75"/>
        <v>1747.5026849280007</v>
      </c>
      <c r="CD34" s="2109">
        <f t="shared" si="87"/>
        <v>4</v>
      </c>
      <c r="CE34" s="2109">
        <f t="shared" si="88"/>
        <v>35250.55019200001</v>
      </c>
      <c r="CF34" s="2109">
        <f t="shared" si="77"/>
        <v>1692.0264092160005</v>
      </c>
      <c r="CG34" s="2109">
        <f t="shared" si="89"/>
        <v>4</v>
      </c>
      <c r="CH34" s="2109">
        <f t="shared" si="71"/>
        <v>38239.507229489296</v>
      </c>
      <c r="CI34" s="2109">
        <f t="shared" si="90"/>
        <v>1835.4963470154864</v>
      </c>
      <c r="CJ34" s="2109">
        <v>4</v>
      </c>
      <c r="CK34" s="2109">
        <f t="shared" si="73"/>
        <v>26602.708333333336</v>
      </c>
      <c r="CL34" s="2109">
        <v>1276.93</v>
      </c>
      <c r="CM34" s="2107">
        <v>4</v>
      </c>
      <c r="CN34" s="2108">
        <v>28530</v>
      </c>
      <c r="CO34" s="2109">
        <f>CM34*CN34*12/1000</f>
        <v>1369.44</v>
      </c>
      <c r="CP34" s="2107">
        <v>4</v>
      </c>
      <c r="CQ34" s="2108">
        <f>'ЗП среднемес'!J52</f>
        <v>34679.898000000001</v>
      </c>
      <c r="CR34" s="2109">
        <f>CP34*CQ34*12/1000</f>
        <v>1664.635104</v>
      </c>
      <c r="CS34" s="2107">
        <v>4</v>
      </c>
      <c r="CT34" s="2108">
        <f>SUM('ЗП среднемес'!J72)</f>
        <v>36275.173307999998</v>
      </c>
      <c r="CU34" s="2605">
        <f>CS34*CT34*12/1000</f>
        <v>1741.2083187839999</v>
      </c>
      <c r="CV34" s="2107">
        <v>4</v>
      </c>
      <c r="CW34" s="2108">
        <f t="shared" si="78"/>
        <v>35363.091990599998</v>
      </c>
      <c r="CX34" s="2109">
        <f>CV34*CW34*12/1000</f>
        <v>1697.4284155488001</v>
      </c>
      <c r="CY34" s="2107">
        <v>5</v>
      </c>
      <c r="CZ34" s="2562">
        <f t="shared" si="79"/>
        <v>20190</v>
      </c>
      <c r="DA34" s="2605">
        <v>605.70000000000005</v>
      </c>
      <c r="DB34" s="2109">
        <v>5</v>
      </c>
      <c r="DC34" s="2562">
        <f t="shared" si="21"/>
        <v>22466</v>
      </c>
      <c r="DD34" s="2109">
        <v>1010.97</v>
      </c>
      <c r="DE34" s="2109">
        <v>5</v>
      </c>
      <c r="DF34" s="2562">
        <f t="shared" si="22"/>
        <v>26427.833333333336</v>
      </c>
      <c r="DG34" s="2109">
        <v>1585.67</v>
      </c>
      <c r="DH34" s="2109">
        <v>5</v>
      </c>
      <c r="DI34" s="2108">
        <f>SUM('ЗП среднемес'!J86)</f>
        <v>42707.740680000003</v>
      </c>
      <c r="DJ34" s="2605">
        <f>DH34*DI34*12/1000</f>
        <v>2562.4644407999999</v>
      </c>
      <c r="DK34" s="2109">
        <f t="shared" si="57"/>
        <v>4</v>
      </c>
      <c r="DL34" s="3249">
        <f t="shared" si="62"/>
        <v>36340.228468596724</v>
      </c>
      <c r="DM34" s="2605">
        <f>DK34*DL34*12/1000</f>
        <v>1744.3309664926426</v>
      </c>
      <c r="DN34" s="5957"/>
      <c r="DO34" s="2117"/>
      <c r="DP34" s="2107">
        <v>5</v>
      </c>
      <c r="DQ34" s="3628">
        <f t="shared" si="80"/>
        <v>36228.999999999993</v>
      </c>
      <c r="DR34" s="2109">
        <v>1086.8699999999999</v>
      </c>
      <c r="DS34" s="2109">
        <v>5</v>
      </c>
      <c r="DT34" s="3628">
        <f t="shared" si="23"/>
        <v>34436.333333333336</v>
      </c>
      <c r="DU34" s="2636">
        <v>1549.635</v>
      </c>
      <c r="DV34" s="2109">
        <v>5</v>
      </c>
      <c r="DW34" s="3628">
        <f t="shared" si="24"/>
        <v>34768.333333333328</v>
      </c>
      <c r="DX34" s="2109">
        <v>2086.1</v>
      </c>
      <c r="DY34" s="2109">
        <v>5</v>
      </c>
      <c r="DZ34" s="2108">
        <f>SUM('ЗП среднемес'!J100)</f>
        <v>45210.765600000006</v>
      </c>
      <c r="EA34" s="2605">
        <f>DY34*DZ34*12/1000</f>
        <v>2712.6459360000008</v>
      </c>
      <c r="EB34" s="2109">
        <f t="shared" si="58"/>
        <v>4</v>
      </c>
      <c r="EC34" s="3249">
        <f t="shared" si="59"/>
        <v>38467.512865476499</v>
      </c>
      <c r="ED34" s="2109">
        <f>EB34*EC34*12/1000</f>
        <v>1846.4406175428719</v>
      </c>
      <c r="EE34" s="2109">
        <v>5</v>
      </c>
      <c r="EF34" s="3945">
        <f t="shared" si="25"/>
        <v>30324.333333333332</v>
      </c>
      <c r="EG34" s="2109">
        <v>909.73</v>
      </c>
      <c r="EH34" s="2109">
        <v>5</v>
      </c>
      <c r="EI34" s="3945">
        <f t="shared" si="26"/>
        <v>33468.888888888883</v>
      </c>
      <c r="EJ34" s="2109">
        <v>1506.1</v>
      </c>
      <c r="EK34" s="2109">
        <v>5</v>
      </c>
      <c r="EL34" s="3945">
        <f t="shared" si="27"/>
        <v>36655.199999999997</v>
      </c>
      <c r="EM34" s="2109">
        <v>2199.3119999999999</v>
      </c>
      <c r="EN34" s="3298">
        <f t="shared" si="91"/>
        <v>4</v>
      </c>
      <c r="EO34" s="3299">
        <f>SUM('ЗП среднемес'!J114)</f>
        <v>51429.114000000001</v>
      </c>
      <c r="EP34" s="3302">
        <f>EN34*EO34*12/1000</f>
        <v>2468.5974719999999</v>
      </c>
      <c r="EQ34" s="3298">
        <f t="shared" si="81"/>
        <v>4</v>
      </c>
      <c r="ER34" s="3512">
        <f t="shared" si="82"/>
        <v>44374.465751150557</v>
      </c>
      <c r="ES34" s="3298">
        <f t="shared" si="83"/>
        <v>2129.9743560552265</v>
      </c>
      <c r="ET34" s="4749">
        <v>6</v>
      </c>
      <c r="EU34" s="4718">
        <f t="shared" si="28"/>
        <v>32100.111111111113</v>
      </c>
      <c r="EV34" s="4749">
        <v>1155.604</v>
      </c>
      <c r="EW34" s="4749">
        <v>5</v>
      </c>
      <c r="EX34" s="4718">
        <f t="shared" si="29"/>
        <v>36231.783333333333</v>
      </c>
      <c r="EY34" s="4749">
        <v>2173.9070000000002</v>
      </c>
    </row>
    <row r="35" spans="1:155" ht="24.95" customHeight="1" x14ac:dyDescent="0.2">
      <c r="A35" s="3170" t="s">
        <v>197</v>
      </c>
      <c r="B35" s="3053" t="s">
        <v>85</v>
      </c>
      <c r="C35" s="2107"/>
      <c r="D35" s="2108"/>
      <c r="E35" s="2109"/>
      <c r="F35" s="2108"/>
      <c r="G35" s="2108"/>
      <c r="H35" s="2109"/>
      <c r="I35" s="2107"/>
      <c r="J35" s="2108"/>
      <c r="K35" s="2103"/>
      <c r="L35" s="2109"/>
      <c r="M35" s="2107">
        <v>19</v>
      </c>
      <c r="N35" s="2108">
        <f t="shared" si="3"/>
        <v>29728.508771929824</v>
      </c>
      <c r="O35" s="2109">
        <v>6778.1</v>
      </c>
      <c r="P35" s="2104">
        <f>N35/AM18</f>
        <v>1.3130421604372358</v>
      </c>
      <c r="Q35" s="1726"/>
      <c r="R35" s="5939"/>
      <c r="S35" s="2115">
        <v>15</v>
      </c>
      <c r="T35" s="2108">
        <f>AM18*1.056</f>
        <v>23908.832640000001</v>
      </c>
      <c r="U35" s="2109">
        <f>S35*T35*12/1000</f>
        <v>4303.5898752000003</v>
      </c>
      <c r="V35" s="2104">
        <f>T35/AM18</f>
        <v>1.056</v>
      </c>
      <c r="W35" s="1726"/>
      <c r="X35" s="2107">
        <v>17</v>
      </c>
      <c r="Y35" s="2108">
        <f t="shared" si="4"/>
        <v>22040.196078431374</v>
      </c>
      <c r="Z35" s="2109">
        <v>2248.1</v>
      </c>
      <c r="AA35" s="2104">
        <f>Y35/BB18</f>
        <v>0.8998158821645853</v>
      </c>
      <c r="AB35" s="1726"/>
      <c r="AC35" s="1726"/>
      <c r="AD35" s="1726"/>
      <c r="AE35" s="1726"/>
      <c r="AF35" s="1726"/>
      <c r="AG35" s="1726"/>
      <c r="AH35" s="1726"/>
      <c r="AI35" s="1726"/>
      <c r="AJ35" s="1726"/>
      <c r="AK35" s="1726"/>
      <c r="AL35" s="2107">
        <v>16</v>
      </c>
      <c r="AM35" s="2108">
        <f t="shared" si="5"/>
        <v>24753.472222222223</v>
      </c>
      <c r="AN35" s="2109">
        <v>3564.5</v>
      </c>
      <c r="AO35" s="2104">
        <f>AM35/BB18</f>
        <v>1.0105884432703596</v>
      </c>
      <c r="AP35" s="1726"/>
      <c r="AQ35" s="2107">
        <v>16</v>
      </c>
      <c r="AR35" s="2108">
        <f t="shared" si="6"/>
        <v>24427.083333333332</v>
      </c>
      <c r="AS35" s="2109">
        <v>4690</v>
      </c>
      <c r="AT35" s="2104">
        <f t="shared" si="30"/>
        <v>1.0216761186602765</v>
      </c>
      <c r="AU35" s="2107">
        <v>19</v>
      </c>
      <c r="AV35" s="2108">
        <f t="shared" si="7"/>
        <v>29728.508771929824</v>
      </c>
      <c r="AW35" s="2109">
        <v>6778.1</v>
      </c>
      <c r="AX35" s="2104">
        <f t="shared" si="31"/>
        <v>1.2434111367776852</v>
      </c>
      <c r="AY35" s="2113">
        <f>AV35/BB18</f>
        <v>1.2136999258472789</v>
      </c>
      <c r="AZ35" s="2112">
        <f>BA18</f>
        <v>17</v>
      </c>
      <c r="BA35" s="2108">
        <f>AV35</f>
        <v>29728.508771929824</v>
      </c>
      <c r="BB35" s="2109">
        <f>AZ35*BA35*12/1000</f>
        <v>6064.6157894736843</v>
      </c>
      <c r="BC35" s="2104">
        <f t="shared" si="8"/>
        <v>1.2434111367776852</v>
      </c>
      <c r="BD35" s="1726"/>
      <c r="BE35" s="2107">
        <v>15</v>
      </c>
      <c r="BF35" s="2108">
        <f t="shared" si="9"/>
        <v>24044.444444444449</v>
      </c>
      <c r="BG35" s="2109">
        <v>2164</v>
      </c>
      <c r="BH35" s="2104">
        <f t="shared" si="32"/>
        <v>0.80880089307229674</v>
      </c>
      <c r="BI35" s="2107">
        <v>16</v>
      </c>
      <c r="BJ35" s="2108">
        <f t="shared" si="10"/>
        <v>23187.5</v>
      </c>
      <c r="BK35" s="2109">
        <v>3339</v>
      </c>
      <c r="BL35" s="2104">
        <f t="shared" si="33"/>
        <v>0.77997521429309102</v>
      </c>
      <c r="BM35" s="2107">
        <v>19</v>
      </c>
      <c r="BN35" s="2108">
        <f t="shared" si="44"/>
        <v>32701.359649122809</v>
      </c>
      <c r="BO35" s="2109">
        <f>BM35*BN35*12/1000</f>
        <v>7455.91</v>
      </c>
      <c r="BP35" s="2104">
        <f t="shared" si="34"/>
        <v>1.1000000000000001</v>
      </c>
      <c r="BQ35" s="2107">
        <f t="shared" si="84"/>
        <v>16</v>
      </c>
      <c r="BR35" s="2108">
        <f>'ЗП с факт 3 кв. 2015'!BU33</f>
        <v>27138.709677419356</v>
      </c>
      <c r="BS35" s="2109">
        <f>BQ35*BR35*12/1000</f>
        <v>5210.6322580645156</v>
      </c>
      <c r="BT35" s="2104">
        <f t="shared" si="35"/>
        <v>0.91288499822245361</v>
      </c>
      <c r="BU35" s="2107">
        <v>15</v>
      </c>
      <c r="BV35" s="2108">
        <v>25789</v>
      </c>
      <c r="BW35" s="2109">
        <f>BU35*BV35*12/1000</f>
        <v>4642.0200000000004</v>
      </c>
      <c r="BX35" s="2107">
        <v>15</v>
      </c>
      <c r="BY35" s="2108">
        <v>26603</v>
      </c>
      <c r="BZ35" s="2109">
        <f>BX35*BY35*12/1000</f>
        <v>4788.54</v>
      </c>
      <c r="CA35" s="2109">
        <f t="shared" si="85"/>
        <v>16</v>
      </c>
      <c r="CB35" s="2109">
        <f t="shared" si="86"/>
        <v>28774.902483870959</v>
      </c>
      <c r="CC35" s="2109">
        <f t="shared" si="75"/>
        <v>5524.7812769032244</v>
      </c>
      <c r="CD35" s="2109">
        <f t="shared" si="87"/>
        <v>16</v>
      </c>
      <c r="CE35" s="2109">
        <f t="shared" si="88"/>
        <v>27861.413516129021</v>
      </c>
      <c r="CF35" s="2109">
        <f t="shared" si="77"/>
        <v>5349.3913950967726</v>
      </c>
      <c r="CG35" s="2109">
        <f t="shared" si="89"/>
        <v>16</v>
      </c>
      <c r="CH35" s="2109">
        <f t="shared" si="71"/>
        <v>30223.832472708385</v>
      </c>
      <c r="CI35" s="2109">
        <f t="shared" si="90"/>
        <v>5802.97583476001</v>
      </c>
      <c r="CJ35" s="2109">
        <v>15</v>
      </c>
      <c r="CK35" s="2109">
        <f t="shared" si="73"/>
        <v>24492.111111111109</v>
      </c>
      <c r="CL35" s="2109">
        <v>4408.58</v>
      </c>
      <c r="CM35" s="2107">
        <v>15</v>
      </c>
      <c r="CN35" s="2108">
        <v>33821</v>
      </c>
      <c r="CO35" s="2109">
        <f>CM35*CN35*12/1000</f>
        <v>6087.78</v>
      </c>
      <c r="CP35" s="2107">
        <v>15</v>
      </c>
      <c r="CQ35" s="2108">
        <f>'ЗП среднемес'!H52</f>
        <v>30826.575999999997</v>
      </c>
      <c r="CR35" s="2109">
        <f>CP35*CQ35*12/1000</f>
        <v>5548.7836799999995</v>
      </c>
      <c r="CS35" s="2107">
        <v>15</v>
      </c>
      <c r="CT35" s="2108">
        <f>SUM('ЗП среднемес'!H72)</f>
        <v>32244.598495999999</v>
      </c>
      <c r="CU35" s="2605">
        <f>CS35*CT35*12/1000</f>
        <v>5804.0277292799992</v>
      </c>
      <c r="CV35" s="2107">
        <v>15</v>
      </c>
      <c r="CW35" s="2108">
        <f t="shared" si="78"/>
        <v>31433.859547199998</v>
      </c>
      <c r="CX35" s="2109">
        <f>CV35*CW35*12/1000</f>
        <v>5658.0947184960005</v>
      </c>
      <c r="CY35" s="2107">
        <v>15</v>
      </c>
      <c r="CZ35" s="2562">
        <f t="shared" si="79"/>
        <v>21791.777777777777</v>
      </c>
      <c r="DA35" s="2605">
        <v>1961.26</v>
      </c>
      <c r="DB35" s="2109">
        <v>15</v>
      </c>
      <c r="DC35" s="2562">
        <f t="shared" si="21"/>
        <v>24217.85185185185</v>
      </c>
      <c r="DD35" s="2109">
        <v>3269.41</v>
      </c>
      <c r="DE35" s="2109">
        <v>15</v>
      </c>
      <c r="DF35" s="2562">
        <f t="shared" si="22"/>
        <v>23460.555555555555</v>
      </c>
      <c r="DG35" s="2109">
        <v>4222.8999999999996</v>
      </c>
      <c r="DH35" s="2109">
        <v>15</v>
      </c>
      <c r="DI35" s="2108">
        <f>SUM('ЗП среднемес'!H86)</f>
        <v>37962.436160000005</v>
      </c>
      <c r="DJ35" s="2605">
        <f>DH35*DI35*12/1000</f>
        <v>6833.2385088000001</v>
      </c>
      <c r="DK35" s="2109">
        <f t="shared" si="57"/>
        <v>15</v>
      </c>
      <c r="DL35" s="3249">
        <f t="shared" si="62"/>
        <v>32302.425305419314</v>
      </c>
      <c r="DM35" s="2605">
        <f>DK35*DL35*12/1000</f>
        <v>5814.4365549754757</v>
      </c>
      <c r="DN35" s="5958"/>
      <c r="DO35" s="2117"/>
      <c r="DP35" s="2107">
        <v>16</v>
      </c>
      <c r="DQ35" s="3628">
        <f t="shared" si="80"/>
        <v>22481.666666666664</v>
      </c>
      <c r="DR35" s="2109">
        <v>2158.2399999999998</v>
      </c>
      <c r="DS35" s="2109">
        <v>16</v>
      </c>
      <c r="DT35" s="3628">
        <f t="shared" si="23"/>
        <v>22820.104166666668</v>
      </c>
      <c r="DU35" s="2636">
        <v>3286.0949999999998</v>
      </c>
      <c r="DV35" s="2109">
        <v>16</v>
      </c>
      <c r="DW35" s="3628">
        <f t="shared" si="24"/>
        <v>22896.041666666664</v>
      </c>
      <c r="DX35" s="2109">
        <v>4396.04</v>
      </c>
      <c r="DY35" s="2109">
        <v>15</v>
      </c>
      <c r="DZ35" s="2108">
        <f>SUM('ЗП среднемес'!H100)</f>
        <v>40187.347200000004</v>
      </c>
      <c r="EA35" s="2605">
        <f>DY35*DZ35*12/1000</f>
        <v>7233.7224960000012</v>
      </c>
      <c r="EB35" s="2109">
        <f t="shared" si="58"/>
        <v>15</v>
      </c>
      <c r="EC35" s="3249">
        <f t="shared" si="59"/>
        <v>34193.34476931244</v>
      </c>
      <c r="ED35" s="2109">
        <f>EB35*EC35*12/1000</f>
        <v>6154.8020584762398</v>
      </c>
      <c r="EE35" s="2109">
        <v>15</v>
      </c>
      <c r="EF35" s="3945">
        <f t="shared" si="25"/>
        <v>21350.222222222226</v>
      </c>
      <c r="EG35" s="2109">
        <v>1921.52</v>
      </c>
      <c r="EH35" s="2109">
        <v>15</v>
      </c>
      <c r="EI35" s="3945">
        <f t="shared" si="26"/>
        <v>22840.962962962964</v>
      </c>
      <c r="EJ35" s="2109">
        <v>3083.53</v>
      </c>
      <c r="EK35" s="2109">
        <v>15</v>
      </c>
      <c r="EL35" s="3945">
        <f t="shared" si="27"/>
        <v>23884.666666666664</v>
      </c>
      <c r="EM35" s="2109">
        <v>4299.24</v>
      </c>
      <c r="EN35" s="3298">
        <f t="shared" si="91"/>
        <v>15</v>
      </c>
      <c r="EO35" s="3299">
        <f>SUM('ЗП среднемес'!H114)</f>
        <v>45714.767999999996</v>
      </c>
      <c r="EP35" s="3302">
        <f>EN35*EO35*12/1000</f>
        <v>8228.6582399999988</v>
      </c>
      <c r="EQ35" s="3298">
        <f t="shared" si="81"/>
        <v>15</v>
      </c>
      <c r="ER35" s="3512">
        <f t="shared" si="82"/>
        <v>39443.969556578275</v>
      </c>
      <c r="ES35" s="3298">
        <f t="shared" si="83"/>
        <v>7099.9145201840884</v>
      </c>
      <c r="ET35" s="4749">
        <v>16</v>
      </c>
      <c r="EU35" s="4718">
        <f t="shared" si="28"/>
        <v>36041.875</v>
      </c>
      <c r="EV35" s="4749">
        <v>3460.02</v>
      </c>
      <c r="EW35" s="4749">
        <v>15</v>
      </c>
      <c r="EX35" s="4718">
        <f t="shared" si="29"/>
        <v>40713.950000000004</v>
      </c>
      <c r="EY35" s="4749">
        <v>7328.5110000000004</v>
      </c>
    </row>
    <row r="36" spans="1:155" ht="24.95" customHeight="1" x14ac:dyDescent="0.2">
      <c r="A36" s="3171" t="s">
        <v>3605</v>
      </c>
      <c r="B36" s="3172" t="s">
        <v>3628</v>
      </c>
      <c r="C36" s="2588"/>
      <c r="D36" s="2589"/>
      <c r="E36" s="2569"/>
      <c r="F36" s="2589"/>
      <c r="G36" s="2589"/>
      <c r="H36" s="2569"/>
      <c r="I36" s="2588"/>
      <c r="J36" s="2589"/>
      <c r="K36" s="2590"/>
      <c r="L36" s="2569"/>
      <c r="M36" s="2588"/>
      <c r="N36" s="2589"/>
      <c r="O36" s="2569"/>
      <c r="P36" s="2591"/>
      <c r="Q36" s="2592"/>
      <c r="R36" s="2593"/>
      <c r="S36" s="2594"/>
      <c r="T36" s="2589"/>
      <c r="U36" s="2569"/>
      <c r="V36" s="2591"/>
      <c r="W36" s="2592"/>
      <c r="X36" s="2588"/>
      <c r="Y36" s="2589"/>
      <c r="Z36" s="2569"/>
      <c r="AA36" s="2591"/>
      <c r="AB36" s="2592"/>
      <c r="AC36" s="2592"/>
      <c r="AD36" s="2592"/>
      <c r="AE36" s="2592"/>
      <c r="AF36" s="2592"/>
      <c r="AG36" s="2592"/>
      <c r="AH36" s="2592"/>
      <c r="AI36" s="2592"/>
      <c r="AJ36" s="2592"/>
      <c r="AK36" s="2592"/>
      <c r="AL36" s="2588"/>
      <c r="AM36" s="2589"/>
      <c r="AN36" s="2569"/>
      <c r="AO36" s="2591"/>
      <c r="AP36" s="2592"/>
      <c r="AQ36" s="2588"/>
      <c r="AR36" s="2589"/>
      <c r="AS36" s="2569"/>
      <c r="AT36" s="2591"/>
      <c r="AU36" s="2588"/>
      <c r="AV36" s="2589"/>
      <c r="AW36" s="2569"/>
      <c r="AX36" s="2591"/>
      <c r="AY36" s="2595"/>
      <c r="AZ36" s="2596"/>
      <c r="BA36" s="2589"/>
      <c r="BB36" s="2569"/>
      <c r="BC36" s="2591"/>
      <c r="BD36" s="2592"/>
      <c r="BE36" s="2588"/>
      <c r="BF36" s="2589"/>
      <c r="BG36" s="2569"/>
      <c r="BH36" s="2591"/>
      <c r="BI36" s="2588"/>
      <c r="BJ36" s="2589"/>
      <c r="BK36" s="2569"/>
      <c r="BL36" s="2591"/>
      <c r="BM36" s="2597"/>
      <c r="BN36" s="2598"/>
      <c r="BO36" s="2570"/>
      <c r="BP36" s="2599"/>
      <c r="BQ36" s="2597"/>
      <c r="BR36" s="2598"/>
      <c r="BS36" s="2570"/>
      <c r="BT36" s="2599"/>
      <c r="BU36" s="3173"/>
      <c r="BV36" s="3174"/>
      <c r="BW36" s="2606"/>
      <c r="BX36" s="3173"/>
      <c r="BY36" s="3174"/>
      <c r="BZ36" s="2606"/>
      <c r="CA36" s="2606"/>
      <c r="CB36" s="2606"/>
      <c r="CC36" s="2606"/>
      <c r="CD36" s="2606"/>
      <c r="CE36" s="2606"/>
      <c r="CF36" s="2606"/>
      <c r="CG36" s="2606"/>
      <c r="CH36" s="2606"/>
      <c r="CI36" s="2606"/>
      <c r="CJ36" s="2606"/>
      <c r="CK36" s="2606"/>
      <c r="CL36" s="2606"/>
      <c r="CM36" s="3173"/>
      <c r="CN36" s="3174"/>
      <c r="CO36" s="2606"/>
      <c r="CP36" s="3173"/>
      <c r="CQ36" s="3174"/>
      <c r="CR36" s="3573">
        <v>119.29</v>
      </c>
      <c r="CS36" s="3173"/>
      <c r="CT36" s="3174"/>
      <c r="CU36" s="2606"/>
      <c r="CV36" s="3173"/>
      <c r="CW36" s="3174"/>
      <c r="CX36" s="2606"/>
      <c r="CY36" s="2607">
        <v>0.3</v>
      </c>
      <c r="CZ36" s="2562">
        <f t="shared" si="79"/>
        <v>30900.000000000004</v>
      </c>
      <c r="DA36" s="2606">
        <v>55.62</v>
      </c>
      <c r="DB36" s="2109">
        <v>0.3</v>
      </c>
      <c r="DC36" s="2562">
        <f t="shared" si="21"/>
        <v>27196.296296296299</v>
      </c>
      <c r="DD36" s="2109">
        <v>73.430000000000007</v>
      </c>
      <c r="DE36" s="2109">
        <v>0.3</v>
      </c>
      <c r="DF36" s="2562">
        <f t="shared" si="22"/>
        <v>27802.777777777781</v>
      </c>
      <c r="DG36" s="2109">
        <v>100.09</v>
      </c>
      <c r="DH36" s="2109">
        <v>0.3</v>
      </c>
      <c r="DI36" s="2108">
        <f>SUM('ЗП среднемес'!J86)</f>
        <v>42707.740680000003</v>
      </c>
      <c r="DJ36" s="2605">
        <f>DH36*DI36*12/1000</f>
        <v>153.74786644800002</v>
      </c>
      <c r="DK36" s="2109">
        <f t="shared" si="57"/>
        <v>0</v>
      </c>
      <c r="DL36" s="3249">
        <f t="shared" si="62"/>
        <v>0</v>
      </c>
      <c r="DM36" s="3249">
        <f t="shared" si="62"/>
        <v>125.001113152608</v>
      </c>
      <c r="DN36" s="3641"/>
      <c r="DO36" s="2117"/>
      <c r="DP36" s="2111">
        <v>0.3</v>
      </c>
      <c r="DQ36" s="3628">
        <f t="shared" si="80"/>
        <v>28094.444444444445</v>
      </c>
      <c r="DR36" s="2109">
        <v>50.57</v>
      </c>
      <c r="DS36" s="2109">
        <v>0.3</v>
      </c>
      <c r="DT36" s="3628">
        <f t="shared" si="23"/>
        <v>27559.259259259259</v>
      </c>
      <c r="DU36" s="2636">
        <v>74.41</v>
      </c>
      <c r="DV36" s="2109">
        <v>0.3</v>
      </c>
      <c r="DW36" s="3628">
        <f t="shared" si="24"/>
        <v>28161.111111111113</v>
      </c>
      <c r="DX36" s="2109">
        <v>101.38</v>
      </c>
      <c r="DY36" s="2109">
        <v>0.3</v>
      </c>
      <c r="DZ36" s="2108">
        <f>SUM('ЗП среднемес'!J100)</f>
        <v>45210.765600000006</v>
      </c>
      <c r="EA36" s="2605">
        <f>DY36*DZ36*12/1000</f>
        <v>162.75875616000002</v>
      </c>
      <c r="EB36" s="2109">
        <f t="shared" si="58"/>
        <v>0</v>
      </c>
      <c r="EC36" s="3249">
        <f t="shared" si="59"/>
        <v>0</v>
      </c>
      <c r="ED36" s="3249">
        <f t="shared" si="59"/>
        <v>132.31842866788975</v>
      </c>
      <c r="EE36" s="2109">
        <v>0.3</v>
      </c>
      <c r="EF36" s="3945">
        <f t="shared" si="25"/>
        <v>25172.222222222226</v>
      </c>
      <c r="EG36" s="2109">
        <v>45.31</v>
      </c>
      <c r="EH36" s="2109">
        <v>0.3</v>
      </c>
      <c r="EI36" s="3945">
        <f t="shared" si="26"/>
        <v>26388.888888888891</v>
      </c>
      <c r="EJ36" s="2109">
        <v>71.25</v>
      </c>
      <c r="EK36" s="2109">
        <v>0.3</v>
      </c>
      <c r="EL36" s="3945">
        <f t="shared" si="27"/>
        <v>27120.000000000004</v>
      </c>
      <c r="EM36" s="2109">
        <v>97.632000000000005</v>
      </c>
      <c r="EN36" s="3298">
        <f>SUM(EK36)</f>
        <v>0.3</v>
      </c>
      <c r="EO36" s="3299">
        <f>SUM('ЗП среднемес'!J114)</f>
        <v>51429.114000000001</v>
      </c>
      <c r="EP36" s="3302">
        <f>EN36*EO36*12/1000</f>
        <v>185.14481039999998</v>
      </c>
      <c r="EQ36" s="3298">
        <v>0.3</v>
      </c>
      <c r="ER36" s="3512">
        <v>39443.97</v>
      </c>
      <c r="ES36" s="3298">
        <f t="shared" si="83"/>
        <v>141.99829200000002</v>
      </c>
      <c r="ET36" s="4749">
        <v>0.3</v>
      </c>
      <c r="EU36" s="4718">
        <f t="shared" si="28"/>
        <v>33730</v>
      </c>
      <c r="EV36" s="4749">
        <v>60.713999999999999</v>
      </c>
      <c r="EW36" s="4749">
        <v>0.3</v>
      </c>
      <c r="EX36" s="4718">
        <f t="shared" si="29"/>
        <v>36881.944444444453</v>
      </c>
      <c r="EY36" s="4749">
        <v>132.77500000000001</v>
      </c>
    </row>
    <row r="37" spans="1:155" x14ac:dyDescent="0.2">
      <c r="A37" s="5942" t="s">
        <v>839</v>
      </c>
      <c r="B37" s="5942"/>
      <c r="C37" s="5942"/>
      <c r="D37" s="5942"/>
      <c r="E37" s="5942"/>
      <c r="F37" s="5942"/>
      <c r="G37" s="5942"/>
      <c r="H37" s="5942"/>
      <c r="I37" s="5942"/>
      <c r="J37" s="5942"/>
      <c r="K37" s="5942"/>
      <c r="L37" s="5942"/>
      <c r="M37" s="5942"/>
      <c r="N37" s="5942"/>
      <c r="O37" s="5942"/>
      <c r="P37" s="5942"/>
      <c r="Q37" s="5942"/>
      <c r="R37" s="5942"/>
      <c r="S37" s="5942"/>
      <c r="T37" s="5942"/>
      <c r="U37" s="5942"/>
      <c r="V37" s="5942"/>
      <c r="W37" s="5942"/>
      <c r="X37" s="5942"/>
      <c r="Y37" s="5942"/>
      <c r="Z37" s="5942"/>
      <c r="AA37" s="5942"/>
      <c r="AB37" s="5942"/>
      <c r="AC37" s="5942"/>
      <c r="AD37" s="5942"/>
      <c r="AE37" s="5942"/>
      <c r="AF37" s="5942"/>
      <c r="AG37" s="5942"/>
      <c r="AH37" s="5942"/>
      <c r="AI37" s="5942"/>
      <c r="AJ37" s="5942"/>
      <c r="AK37" s="5942"/>
      <c r="AL37" s="5942"/>
      <c r="AM37" s="5942"/>
      <c r="AN37" s="5942"/>
      <c r="AO37" s="5942"/>
      <c r="AP37" s="5942"/>
      <c r="AQ37" s="5942"/>
      <c r="AR37" s="5942"/>
      <c r="AS37" s="5942"/>
      <c r="AT37" s="5942"/>
      <c r="AU37" s="5942"/>
      <c r="AV37" s="5942"/>
      <c r="AW37" s="5942"/>
      <c r="AX37" s="5942"/>
      <c r="AY37" s="5942"/>
      <c r="AZ37" s="5942"/>
      <c r="BA37" s="5942"/>
      <c r="BB37" s="5942"/>
      <c r="BC37" s="5942"/>
      <c r="BD37" s="5942"/>
      <c r="BE37" s="5942"/>
      <c r="BF37" s="5942"/>
      <c r="BG37" s="5942"/>
      <c r="BH37" s="5942"/>
      <c r="BI37" s="5942"/>
      <c r="BJ37" s="5942"/>
      <c r="BK37" s="5942"/>
      <c r="BL37" s="5942"/>
      <c r="BM37" s="5943"/>
      <c r="BN37" s="5943"/>
      <c r="BO37" s="5943"/>
      <c r="BP37" s="5943"/>
      <c r="BQ37" s="5943"/>
      <c r="BR37" s="5943"/>
      <c r="BS37" s="5943"/>
      <c r="BT37" s="5943"/>
      <c r="BU37" s="3109"/>
      <c r="BV37" s="3109"/>
      <c r="BW37" s="3109"/>
      <c r="BX37" s="3109"/>
      <c r="BY37" s="3109"/>
      <c r="BZ37" s="3109"/>
      <c r="CA37" s="3109"/>
      <c r="CB37" s="3109"/>
      <c r="CC37" s="3109"/>
      <c r="CD37" s="3109"/>
      <c r="CE37" s="3109"/>
      <c r="CF37" s="3109"/>
      <c r="CG37" s="3109"/>
      <c r="CH37" s="3109"/>
      <c r="CI37" s="3109"/>
      <c r="CJ37" s="3109"/>
      <c r="CK37" s="3109"/>
      <c r="CL37" s="3109"/>
      <c r="CM37" s="3109"/>
      <c r="CN37" s="3109"/>
      <c r="CO37" s="3109"/>
      <c r="CP37" s="3109"/>
      <c r="CQ37" s="3109"/>
      <c r="CR37" s="3109"/>
      <c r="CS37" s="3109"/>
      <c r="CT37" s="3109"/>
      <c r="CU37" s="3109"/>
      <c r="CV37" s="3109"/>
      <c r="CW37" s="3109"/>
      <c r="CX37" s="3109"/>
      <c r="CY37" s="2600"/>
      <c r="CZ37" s="2600"/>
      <c r="DA37" s="2600"/>
      <c r="DB37" s="2600"/>
      <c r="DC37" s="2600"/>
      <c r="DD37" s="2600"/>
      <c r="DE37" s="2600"/>
      <c r="DF37" s="2600"/>
      <c r="DG37" s="2600"/>
      <c r="DH37" s="2600"/>
      <c r="DI37" s="2600"/>
      <c r="DJ37" s="2600"/>
      <c r="DK37" s="2600"/>
      <c r="DL37" s="2600"/>
      <c r="DM37" s="2600"/>
      <c r="DN37" s="3109"/>
      <c r="DO37" s="3109"/>
      <c r="DP37" s="2600"/>
      <c r="DQ37" s="2600"/>
      <c r="DR37" s="2600"/>
      <c r="DS37" s="2600"/>
      <c r="DT37" s="2600"/>
      <c r="DU37" s="2600"/>
      <c r="DV37" s="2600"/>
      <c r="DW37" s="2600"/>
      <c r="DX37" s="2600"/>
      <c r="DY37" s="2600"/>
      <c r="DZ37" s="2600"/>
      <c r="EA37" s="2600"/>
      <c r="EB37" s="2600"/>
      <c r="EC37" s="2600"/>
      <c r="ED37" s="2600"/>
      <c r="EE37" s="2600"/>
      <c r="EF37" s="2600"/>
      <c r="EG37" s="2600"/>
      <c r="EH37" s="2600"/>
      <c r="EI37" s="2600"/>
      <c r="EJ37" s="2600"/>
      <c r="EK37" s="2600"/>
      <c r="EL37" s="2600"/>
      <c r="EM37" s="2600"/>
      <c r="EN37" s="3935"/>
      <c r="EO37" s="3935"/>
      <c r="EP37" s="3935"/>
      <c r="EQ37" s="4138"/>
      <c r="ER37" s="4138"/>
      <c r="ES37" s="4138"/>
      <c r="ET37" s="4752"/>
      <c r="EU37" s="4752"/>
      <c r="EV37" s="4752"/>
      <c r="EW37" s="4752"/>
      <c r="EX37" s="4752"/>
      <c r="EY37" s="4752"/>
    </row>
    <row r="38" spans="1:155" s="2169" customFormat="1" ht="37.5" customHeight="1" x14ac:dyDescent="0.2">
      <c r="A38" s="5940" t="s">
        <v>247</v>
      </c>
      <c r="B38" s="5940"/>
      <c r="C38" s="1726"/>
      <c r="D38" s="1726"/>
      <c r="E38" s="1726"/>
      <c r="F38" s="1726"/>
      <c r="G38" s="1726"/>
      <c r="H38" s="1726"/>
      <c r="I38" s="1726"/>
      <c r="J38" s="1726"/>
      <c r="K38" s="1726"/>
      <c r="L38" s="1726"/>
      <c r="M38" s="1726"/>
      <c r="N38" s="3175">
        <f>(O24+O31)/(M24+M31)/12*1000</f>
        <v>26931.3782051282</v>
      </c>
      <c r="O38" s="1726"/>
      <c r="P38" s="1726"/>
      <c r="Q38" s="1726"/>
      <c r="R38" s="5939"/>
      <c r="S38" s="1726"/>
      <c r="T38" s="3175">
        <f>(U24+U31)/(S24+S31)/12*1000</f>
        <v>23399.902952414348</v>
      </c>
      <c r="U38" s="1726"/>
      <c r="V38" s="1726"/>
      <c r="W38" s="1726"/>
      <c r="X38" s="2555"/>
      <c r="Y38" s="3175">
        <f>(Z24+Z31)/(X24+X31)/6*1000</f>
        <v>22071.124261976194</v>
      </c>
      <c r="Z38" s="3176"/>
      <c r="AA38" s="1726"/>
      <c r="AB38" s="1726"/>
      <c r="AC38" s="1726"/>
      <c r="AD38" s="1726"/>
      <c r="AE38" s="1726"/>
      <c r="AF38" s="1726"/>
      <c r="AG38" s="1726"/>
      <c r="AH38" s="1726"/>
      <c r="AI38" s="1726"/>
      <c r="AJ38" s="1726"/>
      <c r="AK38" s="1726"/>
      <c r="AL38" s="2555"/>
      <c r="AM38" s="3175">
        <f>(AN24+AN31)/(AL24+AL31)/9*1000</f>
        <v>23101.92837465565</v>
      </c>
      <c r="AN38" s="3176"/>
      <c r="AO38" s="1726"/>
      <c r="AP38" s="1726"/>
      <c r="AQ38" s="2555"/>
      <c r="AR38" s="3175">
        <f>(AS24+AS31)/(AQ24+AQ31)/12*1000</f>
        <v>23276.997245179064</v>
      </c>
      <c r="AS38" s="3176"/>
      <c r="AT38" s="2104">
        <f t="shared" si="30"/>
        <v>0.99474759756545894</v>
      </c>
      <c r="AU38" s="1726"/>
      <c r="AV38" s="3175">
        <f>(AW24+AW31)/(AU24+AU31)/12*1000</f>
        <v>25563.717948717946</v>
      </c>
      <c r="AW38" s="1726"/>
      <c r="AX38" s="1726"/>
      <c r="AY38" s="1726"/>
      <c r="AZ38" s="1726"/>
      <c r="BA38" s="3175">
        <f>(BB24+BB31)/(AZ24+AZ31)/12*1000</f>
        <v>25597.995857856873</v>
      </c>
      <c r="BB38" s="1726"/>
      <c r="BC38" s="2113">
        <f>BA38/T38</f>
        <v>1.0939359838334599</v>
      </c>
      <c r="BD38" s="1726"/>
      <c r="BE38" s="2555"/>
      <c r="BF38" s="3175">
        <f>(BG24+BG31)/(BE24+BE31)/6*1000</f>
        <v>23259.453781512606</v>
      </c>
      <c r="BG38" s="3176"/>
      <c r="BH38" s="2104">
        <f t="shared" si="32"/>
        <v>0.90986193120156444</v>
      </c>
      <c r="BI38" s="2555"/>
      <c r="BJ38" s="3175">
        <f>(BK24+BK31)/(BI24+BI31)/9*1000</f>
        <v>23705.234159779615</v>
      </c>
      <c r="BK38" s="3176"/>
      <c r="BL38" s="2104">
        <f t="shared" si="33"/>
        <v>0.9260582075023539</v>
      </c>
      <c r="BM38" s="1726"/>
      <c r="BN38" s="3175">
        <f>(BO24+BO31)/(BM24+BM31)/12*1000</f>
        <v>28120.089743589746</v>
      </c>
      <c r="BO38" s="1726"/>
      <c r="BP38" s="2104">
        <f t="shared" si="34"/>
        <v>1.0985270057756791</v>
      </c>
      <c r="BQ38" s="1726"/>
      <c r="BR38" s="2572">
        <f>(BS24+BS31)/(BQ24+BQ31)/12*1000</f>
        <v>27456.077812229923</v>
      </c>
      <c r="BS38" s="2572"/>
      <c r="BT38" s="2572"/>
      <c r="BU38" s="2572"/>
      <c r="BV38" s="2572">
        <f t="shared" ref="BV38:CQ38" si="92">(BW24+BW31)/(BU24+BU31)/12*1000</f>
        <v>25202.240506329108</v>
      </c>
      <c r="BW38" s="2572"/>
      <c r="BX38" s="2572"/>
      <c r="BY38" s="2572">
        <f t="shared" si="92"/>
        <v>25792.592274678114</v>
      </c>
      <c r="BZ38" s="2572"/>
      <c r="CA38" s="2572"/>
      <c r="CB38" s="2572">
        <f t="shared" si="92"/>
        <v>29111.40474352926</v>
      </c>
      <c r="CC38" s="2572"/>
      <c r="CD38" s="2572"/>
      <c r="CE38" s="2572">
        <f t="shared" si="92"/>
        <v>28187.233164369605</v>
      </c>
      <c r="CF38" s="2572"/>
      <c r="CG38" s="2572"/>
      <c r="CH38" s="2572">
        <f t="shared" si="92"/>
        <v>30577.278950183019</v>
      </c>
      <c r="CI38" s="2572"/>
      <c r="CJ38" s="2572"/>
      <c r="CK38" s="2572">
        <f t="shared" si="92"/>
        <v>24984.132231404961</v>
      </c>
      <c r="CL38" s="2572"/>
      <c r="CM38" s="2572"/>
      <c r="CN38" s="2572">
        <f t="shared" si="92"/>
        <v>32613.14814814815</v>
      </c>
      <c r="CO38" s="2572"/>
      <c r="CP38" s="2572"/>
      <c r="CQ38" s="2572">
        <f t="shared" si="92"/>
        <v>31761.140457902715</v>
      </c>
      <c r="CR38" s="2572"/>
      <c r="CS38" s="2572"/>
      <c r="CT38" s="2572">
        <f t="shared" ref="CT38" si="93">(CU24+CU31)/(CS24+CS31)/12*1000</f>
        <v>33202.52567443002</v>
      </c>
      <c r="CU38" s="2572"/>
      <c r="CV38" s="2572"/>
      <c r="CW38" s="2572">
        <f t="shared" ref="CW38" si="94">(CX24+CX31)/(CV24+CV31)/12*1000</f>
        <v>32386.845027875373</v>
      </c>
      <c r="CX38" s="2572"/>
      <c r="CY38" s="2572"/>
      <c r="CZ38" s="2572">
        <f>(DA24+DA31)/(CY24+CY31)/6*1000</f>
        <v>25950.956399437418</v>
      </c>
      <c r="DA38" s="2572"/>
      <c r="DB38" s="2572"/>
      <c r="DC38" s="2572">
        <f>(DD24+DD31)/(DB24+DB31)/9*1000</f>
        <v>26478.002812939521</v>
      </c>
      <c r="DD38" s="2572"/>
      <c r="DE38" s="2572"/>
      <c r="DF38" s="2572">
        <f>(DG24+DG31)/(DE24+DE31)/12*1000</f>
        <v>25963.280590717302</v>
      </c>
      <c r="DG38" s="2572"/>
      <c r="DH38" s="2572"/>
      <c r="DI38" s="2572">
        <f>(DJ24+DJ31)/(DH24+DH31)/12*1000</f>
        <v>39134.996902415616</v>
      </c>
      <c r="DJ38" s="2572"/>
      <c r="DK38" s="2572"/>
      <c r="DL38" s="2572">
        <f>(DM24+DM31)/(DK24+DK31)/12*1000</f>
        <v>33330.626792225201</v>
      </c>
      <c r="DM38" s="2572"/>
      <c r="DN38" s="2104"/>
      <c r="DO38" s="2117"/>
      <c r="DP38" s="2572"/>
      <c r="DQ38" s="2572">
        <f>(DR24+DR31)/(DP24+DP31)/6*1000</f>
        <v>26366.443001443004</v>
      </c>
      <c r="DR38" s="2572"/>
      <c r="DS38" s="2572"/>
      <c r="DT38" s="2572">
        <f>(DU24+DU31)/(DS24+DS31)/9*1000</f>
        <v>26513.95845410628</v>
      </c>
      <c r="DU38" s="2572"/>
      <c r="DV38" s="2572"/>
      <c r="DW38" s="2572">
        <f>(DX24+DX31)/(DV24+DV31)/12*1000</f>
        <v>26328.72463768116</v>
      </c>
      <c r="DX38" s="2572"/>
      <c r="DY38" s="2572"/>
      <c r="DZ38" s="2572">
        <f>(EA24+EA31)/(DY24+DY31)/12*1000</f>
        <v>41428.629647468362</v>
      </c>
      <c r="EA38" s="2572"/>
      <c r="EB38" s="2572"/>
      <c r="EC38" s="2572">
        <f>(ED24+ED31)/(EB24+EB31)/12*1000</f>
        <v>35281.734240168043</v>
      </c>
      <c r="ED38" s="2572"/>
      <c r="EE38" s="2572"/>
      <c r="EF38" s="2572">
        <f>(EG24+EG31)/(EE24+EE31)/6*1000</f>
        <v>28454.953703703704</v>
      </c>
      <c r="EG38" s="2572"/>
      <c r="EH38" s="2572"/>
      <c r="EI38" s="2572">
        <f>(EJ24+EJ31)/(EH24+EH31)/9*1000</f>
        <v>28957.792022792019</v>
      </c>
      <c r="EJ38" s="2572"/>
      <c r="EK38" s="2572"/>
      <c r="EL38" s="2572">
        <f>(EM24+EM31)/(EK24+EK31)/12*1000</f>
        <v>29133.921276595742</v>
      </c>
      <c r="EM38" s="2572"/>
      <c r="EN38" s="3303"/>
      <c r="EO38" s="3303">
        <f>(EP24+EP31)/(EN24+EN31)/12*1000</f>
        <v>47041.485339928055</v>
      </c>
      <c r="EP38" s="3303"/>
      <c r="EQ38" s="3303"/>
      <c r="ER38" s="3303">
        <f>(ES24+ES31)/(EQ24+EQ31)/12*1000</f>
        <v>40638.053490224986</v>
      </c>
      <c r="ES38" s="3303"/>
      <c r="ET38" s="4753"/>
      <c r="EU38" s="4753">
        <f>(EV24+EV31)/(ET24+ET31)/6*1000</f>
        <v>35080.081378211231</v>
      </c>
      <c r="EV38" s="4753"/>
      <c r="EW38" s="4753"/>
      <c r="EX38" s="4753">
        <f>(EY24+EY31)/(EW24+EW31)/12*1000</f>
        <v>36142.183316321243</v>
      </c>
      <c r="EY38" s="4753"/>
    </row>
    <row r="39" spans="1:155" s="2169" customFormat="1" ht="37.5" customHeight="1" x14ac:dyDescent="0.2">
      <c r="A39" s="5940" t="s">
        <v>245</v>
      </c>
      <c r="B39" s="5940"/>
      <c r="C39" s="1726"/>
      <c r="D39" s="1726"/>
      <c r="E39" s="1726"/>
      <c r="F39" s="1726"/>
      <c r="G39" s="1726"/>
      <c r="H39" s="1726"/>
      <c r="I39" s="1726"/>
      <c r="J39" s="1726"/>
      <c r="K39" s="1726"/>
      <c r="L39" s="1726"/>
      <c r="M39" s="1726"/>
      <c r="N39" s="2609">
        <f>N24</f>
        <v>25754.516129032254</v>
      </c>
      <c r="O39" s="1726"/>
      <c r="P39" s="2113">
        <f>N39/AM8</f>
        <v>1.2212343117474604</v>
      </c>
      <c r="Q39" s="1726"/>
      <c r="R39" s="5939"/>
      <c r="S39" s="1726"/>
      <c r="T39" s="2609">
        <f>T24</f>
        <v>22269.902483612907</v>
      </c>
      <c r="U39" s="1726"/>
      <c r="V39" s="2113">
        <f>T39/AM8</f>
        <v>1.0560000000000003</v>
      </c>
      <c r="W39" s="1726"/>
      <c r="X39" s="2555"/>
      <c r="Y39" s="2609">
        <f>Y24</f>
        <v>21580.822040944742</v>
      </c>
      <c r="Z39" s="2108"/>
      <c r="AA39" s="2104">
        <f>Y39/T39</f>
        <v>0.96905777009238292</v>
      </c>
      <c r="AB39" s="1726"/>
      <c r="AC39" s="1726"/>
      <c r="AD39" s="1726"/>
      <c r="AE39" s="1726"/>
      <c r="AF39" s="1726"/>
      <c r="AG39" s="1726"/>
      <c r="AH39" s="1726"/>
      <c r="AI39" s="1726"/>
      <c r="AJ39" s="1726"/>
      <c r="AK39" s="1726"/>
      <c r="AL39" s="2555"/>
      <c r="AM39" s="2609">
        <f>AM24</f>
        <v>22609.909909909911</v>
      </c>
      <c r="AN39" s="2108"/>
      <c r="AO39" s="2104">
        <f>AM39/T39</f>
        <v>1.0152675758929433</v>
      </c>
      <c r="AP39" s="1726"/>
      <c r="AQ39" s="2555"/>
      <c r="AR39" s="2609">
        <f>AR24</f>
        <v>22770.326576576579</v>
      </c>
      <c r="AS39" s="2108"/>
      <c r="AT39" s="2104">
        <f t="shared" si="30"/>
        <v>1.0224708704194778</v>
      </c>
      <c r="AU39" s="1726"/>
      <c r="AV39" s="2609">
        <f>AV24</f>
        <v>23460.37634408602</v>
      </c>
      <c r="AW39" s="1726"/>
      <c r="AX39" s="2113">
        <f>AV39/T39</f>
        <v>1.0534566265545668</v>
      </c>
      <c r="AY39" s="1726"/>
      <c r="AZ39" s="1726"/>
      <c r="BA39" s="2609">
        <f>BA24</f>
        <v>23530.113691896189</v>
      </c>
      <c r="BB39" s="1726"/>
      <c r="BC39" s="2113">
        <f>BA39/T39</f>
        <v>1.0565880883048588</v>
      </c>
      <c r="BD39" s="1726"/>
      <c r="BE39" s="2555"/>
      <c r="BF39" s="2609">
        <f>BF24</f>
        <v>22832.175925925923</v>
      </c>
      <c r="BG39" s="2108"/>
      <c r="BH39" s="2104">
        <f t="shared" si="32"/>
        <v>0.9732229181260148</v>
      </c>
      <c r="BI39" s="2555"/>
      <c r="BJ39" s="2609">
        <f>BJ24</f>
        <v>22988.888888888887</v>
      </c>
      <c r="BK39" s="2108"/>
      <c r="BL39" s="2104">
        <f t="shared" si="33"/>
        <v>0.9769986320468268</v>
      </c>
      <c r="BM39" s="1726"/>
      <c r="BN39" s="2609">
        <f>BN24</f>
        <v>25806.413978494627</v>
      </c>
      <c r="BO39" s="1726"/>
      <c r="BP39" s="2104">
        <f t="shared" si="34"/>
        <v>1.0967398762455789</v>
      </c>
      <c r="BQ39" s="1726"/>
      <c r="BR39" s="2609">
        <f>BR24</f>
        <v>26725.298409525822</v>
      </c>
      <c r="BS39" s="2609"/>
      <c r="BT39" s="2609"/>
      <c r="BU39" s="2609"/>
      <c r="BV39" s="2609">
        <f t="shared" ref="BV39:CQ39" si="95">BV24</f>
        <v>23794.813793103443</v>
      </c>
      <c r="BW39" s="2609"/>
      <c r="BX39" s="2609"/>
      <c r="BY39" s="2609">
        <f t="shared" si="95"/>
        <v>25072.607142857141</v>
      </c>
      <c r="BZ39" s="2609"/>
      <c r="CA39" s="2609"/>
      <c r="CB39" s="2609"/>
      <c r="CC39" s="2609"/>
      <c r="CD39" s="2609"/>
      <c r="CE39" s="2609"/>
      <c r="CF39" s="2609"/>
      <c r="CG39" s="2609"/>
      <c r="CH39" s="2609"/>
      <c r="CI39" s="2609"/>
      <c r="CJ39" s="2609"/>
      <c r="CK39" s="2609"/>
      <c r="CL39" s="2609"/>
      <c r="CM39" s="2609"/>
      <c r="CN39" s="2609">
        <f t="shared" si="95"/>
        <v>31450.472972972973</v>
      </c>
      <c r="CO39" s="2609"/>
      <c r="CP39" s="2609"/>
      <c r="CQ39" s="2609">
        <f t="shared" si="95"/>
        <v>30971.534278593906</v>
      </c>
      <c r="CR39" s="2573"/>
      <c r="CS39" s="2609"/>
      <c r="CT39" s="2609">
        <f t="shared" ref="CT39" si="96">CT24</f>
        <v>32369.527148036348</v>
      </c>
      <c r="CU39" s="2573"/>
      <c r="CV39" s="2609"/>
      <c r="CW39" s="2609">
        <f t="shared" ref="CW39" si="97">CW24</f>
        <v>31581.676089188375</v>
      </c>
      <c r="CX39" s="2573"/>
      <c r="CY39" s="2573"/>
      <c r="CZ39" s="2609">
        <f t="shared" ref="CZ39" si="98">CZ24</f>
        <v>26265.821428571431</v>
      </c>
      <c r="DA39" s="2573"/>
      <c r="DB39" s="2573"/>
      <c r="DC39" s="2609">
        <f t="shared" ref="DC39" si="99">DC24</f>
        <v>26987.325396825399</v>
      </c>
      <c r="DD39" s="2573"/>
      <c r="DE39" s="2573"/>
      <c r="DF39" s="2609">
        <f t="shared" ref="DF39" si="100">DF24</f>
        <v>26549.226190476194</v>
      </c>
      <c r="DG39" s="2573"/>
      <c r="DH39" s="2573"/>
      <c r="DI39" s="2609">
        <f t="shared" ref="DI39" si="101">DI24</f>
        <v>38083.187212517863</v>
      </c>
      <c r="DJ39" s="2573"/>
      <c r="DK39" s="2573"/>
      <c r="DL39" s="2609">
        <f t="shared" ref="DL39" si="102">DL24</f>
        <v>32463.739178461139</v>
      </c>
      <c r="DM39" s="2573"/>
      <c r="DN39" s="2104"/>
      <c r="DO39" s="2117"/>
      <c r="DP39" s="2573"/>
      <c r="DQ39" s="2609">
        <f t="shared" ref="DQ39" si="103">DQ24</f>
        <v>26475.547445255477</v>
      </c>
      <c r="DR39" s="2573"/>
      <c r="DS39" s="2573"/>
      <c r="DT39" s="2609">
        <f t="shared" ref="DT39" si="104">DT24</f>
        <v>26731.683006535946</v>
      </c>
      <c r="DU39" s="2573"/>
      <c r="DV39" s="2573"/>
      <c r="DW39" s="2609">
        <f t="shared" ref="DW39" si="105">DW24</f>
        <v>26401.776960784315</v>
      </c>
      <c r="DX39" s="2573"/>
      <c r="DY39" s="2573"/>
      <c r="DZ39" s="2609">
        <f t="shared" ref="DZ39" si="106">DZ24</f>
        <v>40315.175257500006</v>
      </c>
      <c r="EA39" s="2573"/>
      <c r="EB39" s="2573"/>
      <c r="EC39" s="2609">
        <f t="shared" ref="EC39" si="107">EC24</f>
        <v>34364.10018663705</v>
      </c>
      <c r="ED39" s="2573"/>
      <c r="EE39" s="2573"/>
      <c r="EF39" s="2609">
        <f t="shared" ref="EF39" si="108">EF24</f>
        <v>28667.863095238092</v>
      </c>
      <c r="EG39" s="2573"/>
      <c r="EH39" s="2573"/>
      <c r="EI39" s="2609">
        <f t="shared" ref="EI39" si="109">EI24</f>
        <v>28995.960317460311</v>
      </c>
      <c r="EJ39" s="2573"/>
      <c r="EK39" s="2573"/>
      <c r="EL39" s="2609">
        <f t="shared" ref="EL39" si="110">EL24</f>
        <v>28925.261820330968</v>
      </c>
      <c r="EM39" s="2573"/>
      <c r="EN39" s="3304"/>
      <c r="EO39" s="3305">
        <f t="shared" ref="EO39" si="111">EO24</f>
        <v>45778.091869680844</v>
      </c>
      <c r="EP39" s="3304"/>
      <c r="EQ39" s="3304"/>
      <c r="ER39" s="3305">
        <f t="shared" ref="ER39" si="112">ER24</f>
        <v>39629.386684553167</v>
      </c>
      <c r="ES39" s="3304"/>
      <c r="ET39" s="4754"/>
      <c r="EU39" s="4755">
        <f t="shared" ref="EU39" si="113">EU24</f>
        <v>34718.524645945537</v>
      </c>
      <c r="EV39" s="4754"/>
      <c r="EW39" s="4754"/>
      <c r="EX39" s="4755">
        <f t="shared" ref="EX39" si="114">EX24</f>
        <v>35852.74248916284</v>
      </c>
      <c r="EY39" s="4754"/>
    </row>
    <row r="40" spans="1:155" s="2169" customFormat="1" ht="37.5" customHeight="1" x14ac:dyDescent="0.2">
      <c r="A40" s="1726" t="s">
        <v>246</v>
      </c>
      <c r="B40" s="1726"/>
      <c r="C40" s="1726"/>
      <c r="D40" s="1726"/>
      <c r="E40" s="1726"/>
      <c r="F40" s="1726"/>
      <c r="G40" s="1726"/>
      <c r="H40" s="1726"/>
      <c r="I40" s="1726"/>
      <c r="J40" s="1726"/>
      <c r="K40" s="1726"/>
      <c r="L40" s="1726"/>
      <c r="M40" s="1726"/>
      <c r="N40" s="2609">
        <f>N31</f>
        <v>28668.650793650795</v>
      </c>
      <c r="O40" s="1726"/>
      <c r="P40" s="2113">
        <f>N40/AM14</f>
        <v>1.2088032234986785</v>
      </c>
      <c r="Q40" s="1726"/>
      <c r="R40" s="5939"/>
      <c r="S40" s="1726"/>
      <c r="T40" s="2609">
        <f>T31</f>
        <v>25224.382875999996</v>
      </c>
      <c r="U40" s="1726"/>
      <c r="V40" s="2113">
        <f>T40/AM14</f>
        <v>1.0635769206839176</v>
      </c>
      <c r="W40" s="1726"/>
      <c r="X40" s="2555"/>
      <c r="Y40" s="2609">
        <f>Y31</f>
        <v>22836.666666666668</v>
      </c>
      <c r="Z40" s="2108"/>
      <c r="AA40" s="2104">
        <f>Y40/T40</f>
        <v>0.90534094645363372</v>
      </c>
      <c r="AB40" s="1726"/>
      <c r="AC40" s="1726"/>
      <c r="AD40" s="1726"/>
      <c r="AE40" s="1726"/>
      <c r="AF40" s="1726"/>
      <c r="AG40" s="1726"/>
      <c r="AH40" s="1726"/>
      <c r="AI40" s="1726"/>
      <c r="AJ40" s="1726"/>
      <c r="AK40" s="1726"/>
      <c r="AL40" s="2555"/>
      <c r="AM40" s="2609">
        <f>AM31</f>
        <v>23876.59574468085</v>
      </c>
      <c r="AN40" s="2108"/>
      <c r="AO40" s="2104">
        <f>AM40/T40</f>
        <v>0.94656808303518447</v>
      </c>
      <c r="AP40" s="1726"/>
      <c r="AQ40" s="2555"/>
      <c r="AR40" s="2609">
        <f>AR31</f>
        <v>24074.734042553187</v>
      </c>
      <c r="AS40" s="2108"/>
      <c r="AT40" s="2104">
        <f t="shared" si="30"/>
        <v>0.95442311357632248</v>
      </c>
      <c r="AU40" s="1726"/>
      <c r="AV40" s="2609">
        <f>AV31</f>
        <v>28668.650793650795</v>
      </c>
      <c r="AW40" s="1726"/>
      <c r="AX40" s="2113">
        <f>AV40/T40</f>
        <v>1.1365451806921265</v>
      </c>
      <c r="AY40" s="1726"/>
      <c r="AZ40" s="1726"/>
      <c r="BA40" s="2609">
        <f>BA31</f>
        <v>28763.121622082414</v>
      </c>
      <c r="BB40" s="1726"/>
      <c r="BC40" s="2113">
        <f>BA40/T40</f>
        <v>1.1402903993123807</v>
      </c>
      <c r="BD40" s="1726"/>
      <c r="BE40" s="2555"/>
      <c r="BF40" s="2609">
        <f>BF31</f>
        <v>23914.007092198586</v>
      </c>
      <c r="BG40" s="2108"/>
      <c r="BH40" s="2104">
        <f t="shared" si="32"/>
        <v>0.83415181496768542</v>
      </c>
      <c r="BI40" s="2555"/>
      <c r="BJ40" s="2609">
        <f>BJ31</f>
        <v>24833.096926713952</v>
      </c>
      <c r="BK40" s="2108"/>
      <c r="BL40" s="2104">
        <f t="shared" si="33"/>
        <v>0.86336584926334103</v>
      </c>
      <c r="BM40" s="1726"/>
      <c r="BN40" s="2609">
        <f>BN31</f>
        <v>31535.515873015873</v>
      </c>
      <c r="BO40" s="1726"/>
      <c r="BP40" s="2104">
        <f t="shared" si="34"/>
        <v>1.0963871128926772</v>
      </c>
      <c r="BQ40" s="1726"/>
      <c r="BR40" s="2609">
        <f>BR31</f>
        <v>28606.666659040642</v>
      </c>
      <c r="BS40" s="2609"/>
      <c r="BT40" s="2609"/>
      <c r="BU40" s="2609"/>
      <c r="BV40" s="2609">
        <f t="shared" ref="BV40:CQ40" si="115">BV31</f>
        <v>27420.467391304352</v>
      </c>
      <c r="BW40" s="2609"/>
      <c r="BX40" s="2609"/>
      <c r="BY40" s="2609">
        <f t="shared" si="115"/>
        <v>26876.440860215054</v>
      </c>
      <c r="BZ40" s="2609"/>
      <c r="CA40" s="2609"/>
      <c r="CB40" s="2609"/>
      <c r="CC40" s="2609"/>
      <c r="CD40" s="2609"/>
      <c r="CE40" s="2609"/>
      <c r="CF40" s="2609"/>
      <c r="CG40" s="2609"/>
      <c r="CH40" s="2609"/>
      <c r="CI40" s="2609"/>
      <c r="CJ40" s="2609"/>
      <c r="CK40" s="2609"/>
      <c r="CL40" s="2609"/>
      <c r="CM40" s="2609"/>
      <c r="CN40" s="2609">
        <f t="shared" si="115"/>
        <v>34424.473684210527</v>
      </c>
      <c r="CO40" s="2609"/>
      <c r="CP40" s="2609"/>
      <c r="CQ40" s="2609">
        <f t="shared" si="115"/>
        <v>32976.324063157896</v>
      </c>
      <c r="CR40" s="2573"/>
      <c r="CS40" s="2609"/>
      <c r="CT40" s="2609">
        <f t="shared" ref="CT40" si="116">CT31</f>
        <v>34493.234970063153</v>
      </c>
      <c r="CU40" s="2573"/>
      <c r="CV40" s="2609"/>
      <c r="CW40" s="2609">
        <f t="shared" ref="CW40" si="117">CW31</f>
        <v>33625.957647202107</v>
      </c>
      <c r="CX40" s="2573"/>
      <c r="CY40" s="2573"/>
      <c r="CZ40" s="2609">
        <f t="shared" ref="CZ40" si="118">CZ31</f>
        <v>25496.512027491408</v>
      </c>
      <c r="DA40" s="2573"/>
      <c r="DB40" s="2573"/>
      <c r="DC40" s="2609">
        <f t="shared" ref="DC40" si="119">DC31</f>
        <v>25742.898052691868</v>
      </c>
      <c r="DD40" s="2573"/>
      <c r="DE40" s="2573"/>
      <c r="DF40" s="2609">
        <f t="shared" ref="DF40" si="120">DF31</f>
        <v>25117.585910652921</v>
      </c>
      <c r="DG40" s="2573"/>
      <c r="DH40" s="2573"/>
      <c r="DI40" s="2609">
        <f t="shared" ref="DI40" si="121">DI31</f>
        <v>40653.072743505167</v>
      </c>
      <c r="DJ40" s="2573"/>
      <c r="DK40" s="2573"/>
      <c r="DL40" s="2609">
        <f t="shared" ref="DL40" si="122">DL31</f>
        <v>34664.744537817067</v>
      </c>
      <c r="DM40" s="2573"/>
      <c r="DN40" s="2104"/>
      <c r="DO40" s="2117"/>
      <c r="DP40" s="2573"/>
      <c r="DQ40" s="2609">
        <f t="shared" ref="DQ40" si="123">DQ31</f>
        <v>26207.429078014182</v>
      </c>
      <c r="DR40" s="2573"/>
      <c r="DS40" s="2573"/>
      <c r="DT40" s="2609">
        <f t="shared" ref="DT40" si="124">DT31</f>
        <v>26198.952718676122</v>
      </c>
      <c r="DU40" s="2573"/>
      <c r="DV40" s="2573"/>
      <c r="DW40" s="2609">
        <f t="shared" ref="DW40" si="125">DW31</f>
        <v>26223.031914893614</v>
      </c>
      <c r="DX40" s="2573"/>
      <c r="DY40" s="2573"/>
      <c r="DZ40" s="2609">
        <f t="shared" ref="DZ40" si="126">DZ31</f>
        <v>43035.677220618556</v>
      </c>
      <c r="EA40" s="2573"/>
      <c r="EB40" s="2573"/>
      <c r="EC40" s="2609">
        <f t="shared" ref="EC40" si="127">EC31</f>
        <v>36693.949451617904</v>
      </c>
      <c r="ED40" s="2573"/>
      <c r="EE40" s="2573"/>
      <c r="EF40" s="2609">
        <f t="shared" ref="EF40" si="128">EF31</f>
        <v>28137.854609929076</v>
      </c>
      <c r="EG40" s="2573"/>
      <c r="EH40" s="2573"/>
      <c r="EI40" s="2609">
        <f t="shared" ref="EI40" si="129">EI31</f>
        <v>28900.945626477536</v>
      </c>
      <c r="EJ40" s="2573"/>
      <c r="EK40" s="2573"/>
      <c r="EL40" s="2609">
        <f t="shared" ref="EL40" si="130">EL31</f>
        <v>29446.910460992905</v>
      </c>
      <c r="EM40" s="2573"/>
      <c r="EN40" s="3304"/>
      <c r="EO40" s="3305">
        <f t="shared" ref="EO40" si="131">EO31</f>
        <v>48910.724367261282</v>
      </c>
      <c r="EP40" s="3304"/>
      <c r="EQ40" s="3304"/>
      <c r="ER40" s="3305">
        <f t="shared" ref="ER40" si="132">ER31</f>
        <v>42186.008365029025</v>
      </c>
      <c r="ES40" s="3304"/>
      <c r="ET40" s="4754"/>
      <c r="EU40" s="4755">
        <f t="shared" ref="EU40" si="133">EU31</f>
        <v>35624.69777306469</v>
      </c>
      <c r="EV40" s="4754"/>
      <c r="EW40" s="4754"/>
      <c r="EX40" s="4755">
        <f t="shared" ref="EX40" si="134">EX31</f>
        <v>36559.348140122784</v>
      </c>
      <c r="EY40" s="4754"/>
    </row>
    <row r="41" spans="1:155" x14ac:dyDescent="0.2">
      <c r="A41" s="394"/>
      <c r="B41" s="394"/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394"/>
      <c r="Y41" s="394"/>
      <c r="Z41" s="394"/>
      <c r="AA41" s="394"/>
      <c r="AB41" s="394"/>
      <c r="AC41" s="394"/>
      <c r="AD41" s="394"/>
      <c r="AE41" s="394"/>
      <c r="AF41" s="394"/>
      <c r="AG41" s="394"/>
      <c r="AH41" s="394"/>
      <c r="AI41" s="394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394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394"/>
      <c r="BL41" s="394"/>
      <c r="BM41" s="394"/>
      <c r="BN41" s="394"/>
      <c r="BO41" s="394"/>
      <c r="BP41" s="394"/>
      <c r="BQ41" s="394"/>
      <c r="BR41" s="394"/>
      <c r="BS41" s="394"/>
      <c r="BT41" s="394"/>
      <c r="BU41" s="394"/>
      <c r="BV41" s="394"/>
      <c r="BW41" s="394"/>
      <c r="BX41" s="394"/>
      <c r="BY41" s="394"/>
      <c r="BZ41" s="394"/>
      <c r="CA41" s="394"/>
      <c r="CB41" s="394"/>
      <c r="CC41" s="394"/>
      <c r="CD41" s="394"/>
      <c r="CE41" s="394"/>
      <c r="CF41" s="394"/>
      <c r="CG41" s="394"/>
      <c r="CH41" s="394"/>
      <c r="CI41" s="394"/>
      <c r="CJ41" s="394"/>
      <c r="CK41" s="394"/>
      <c r="CL41" s="394"/>
      <c r="CM41" s="394"/>
      <c r="CN41" s="394"/>
      <c r="CO41" s="394"/>
      <c r="CP41" s="394"/>
      <c r="CQ41" s="394"/>
      <c r="CR41" s="394"/>
      <c r="CS41" s="394"/>
      <c r="CT41" s="394"/>
      <c r="CU41" s="394"/>
      <c r="CV41" s="394"/>
      <c r="CW41" s="394"/>
      <c r="CX41" s="394"/>
      <c r="CY41" s="394"/>
      <c r="CZ41" s="394"/>
      <c r="DA41" s="394"/>
      <c r="DB41" s="394"/>
      <c r="DC41" s="394"/>
      <c r="DD41" s="394"/>
      <c r="DE41" s="394"/>
      <c r="DF41" s="394"/>
      <c r="DG41" s="394"/>
      <c r="DH41" s="394"/>
      <c r="DI41" s="394"/>
      <c r="DJ41" s="394"/>
      <c r="DK41" s="394"/>
      <c r="DL41" s="394"/>
      <c r="DM41" s="394"/>
    </row>
    <row r="42" spans="1:155" x14ac:dyDescent="0.2">
      <c r="A42" s="394"/>
      <c r="B42" s="3178"/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394"/>
      <c r="Y42" s="394"/>
      <c r="Z42" s="394"/>
      <c r="AA42" s="394"/>
      <c r="AB42" s="394"/>
      <c r="AC42" s="394"/>
      <c r="AD42" s="394"/>
      <c r="AE42" s="394"/>
      <c r="AF42" s="394"/>
      <c r="AG42" s="394"/>
      <c r="AH42" s="394"/>
      <c r="AI42" s="394"/>
      <c r="AJ42" s="394"/>
      <c r="AK42" s="394"/>
      <c r="AL42" s="394"/>
      <c r="AM42" s="394"/>
      <c r="AN42" s="394"/>
      <c r="AO42" s="394"/>
      <c r="AP42" s="394"/>
      <c r="AQ42" s="394"/>
      <c r="AR42" s="394"/>
      <c r="AS42" s="394"/>
      <c r="AT42" s="394"/>
      <c r="AU42" s="394"/>
      <c r="AV42" s="394"/>
      <c r="AW42" s="394"/>
      <c r="AX42" s="394"/>
      <c r="AY42" s="394"/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394"/>
      <c r="BL42" s="394"/>
      <c r="BM42" s="394"/>
      <c r="BN42" s="394"/>
      <c r="BO42" s="394"/>
      <c r="BP42" s="394"/>
      <c r="BQ42" s="394"/>
      <c r="BR42" s="394"/>
      <c r="BS42" s="394"/>
      <c r="BT42" s="394"/>
      <c r="BU42" s="394"/>
      <c r="BV42" s="394"/>
      <c r="BW42" s="394"/>
      <c r="BX42" s="394"/>
      <c r="BY42" s="394"/>
      <c r="BZ42" s="394"/>
      <c r="CA42" s="394"/>
      <c r="CB42" s="394"/>
      <c r="CC42" s="394"/>
      <c r="CD42" s="394"/>
      <c r="CE42" s="394"/>
      <c r="CF42" s="394"/>
      <c r="CG42" s="394"/>
      <c r="CH42" s="394"/>
      <c r="CI42" s="394"/>
      <c r="CJ42" s="394"/>
      <c r="CK42" s="394"/>
      <c r="CL42" s="394"/>
      <c r="CM42" s="394"/>
      <c r="CN42" s="394"/>
      <c r="CO42" s="394"/>
      <c r="CP42" s="394"/>
      <c r="CQ42" s="394"/>
      <c r="CR42" s="394"/>
      <c r="CS42" s="394"/>
      <c r="CT42" s="394"/>
      <c r="CU42" s="394"/>
      <c r="CV42" s="394"/>
      <c r="CW42" s="394"/>
      <c r="CX42" s="394"/>
      <c r="CY42" s="394"/>
      <c r="CZ42" s="394"/>
      <c r="DA42" s="394"/>
      <c r="DB42" s="394"/>
      <c r="DC42" s="394"/>
      <c r="DD42" s="394"/>
      <c r="DE42" s="394"/>
      <c r="DF42" s="394"/>
      <c r="DG42" s="394"/>
      <c r="DH42" s="394"/>
      <c r="DI42" s="394"/>
      <c r="DJ42" s="394"/>
      <c r="DK42" s="394"/>
      <c r="DL42" s="394"/>
      <c r="DM42" s="394"/>
    </row>
    <row r="43" spans="1:155" ht="41.25" customHeight="1" x14ac:dyDescent="0.3">
      <c r="A43" s="5937" t="s">
        <v>4046</v>
      </c>
      <c r="B43" s="5938"/>
      <c r="C43" s="5938"/>
      <c r="D43" s="5938"/>
      <c r="E43" s="5938"/>
      <c r="F43" s="5938"/>
      <c r="G43" s="5938"/>
      <c r="H43" s="5938"/>
      <c r="I43" s="5938"/>
      <c r="J43" s="5938"/>
      <c r="K43" s="5938"/>
      <c r="L43" s="5938"/>
      <c r="M43" s="5938"/>
      <c r="N43" s="5938"/>
      <c r="O43" s="5938"/>
      <c r="P43" s="5938"/>
      <c r="Q43" s="5938"/>
      <c r="R43" s="5938"/>
      <c r="S43" s="5938"/>
      <c r="T43" s="5938"/>
      <c r="U43" s="5938"/>
      <c r="V43" s="5938"/>
      <c r="W43" s="5938"/>
      <c r="X43" s="5938"/>
      <c r="Y43" s="5938"/>
      <c r="Z43" s="5938"/>
      <c r="AA43" s="5938"/>
      <c r="AB43" s="5938"/>
      <c r="AC43" s="5938"/>
      <c r="AD43" s="5938"/>
      <c r="AE43" s="5938"/>
      <c r="AF43" s="5938"/>
      <c r="AG43" s="5938"/>
      <c r="AH43" s="5938"/>
      <c r="AI43" s="5938"/>
      <c r="AJ43" s="5938"/>
      <c r="AK43" s="5938"/>
      <c r="AL43" s="5938"/>
      <c r="AM43" s="5938"/>
      <c r="AN43" s="5938"/>
      <c r="AO43" s="5938"/>
      <c r="AP43" s="5938"/>
      <c r="AQ43" s="5938"/>
      <c r="AR43" s="5938"/>
      <c r="AS43" s="5938"/>
      <c r="AT43" s="5938"/>
      <c r="AU43" s="5938"/>
      <c r="AV43" s="5938"/>
      <c r="AW43" s="5938"/>
      <c r="AX43" s="5938"/>
      <c r="AY43" s="5938"/>
      <c r="AZ43" s="5938"/>
      <c r="BA43" s="5938"/>
      <c r="BB43" s="5938"/>
      <c r="BC43" s="5938"/>
      <c r="BD43" s="5938"/>
      <c r="BE43" s="5938"/>
      <c r="BF43" s="5938"/>
      <c r="BG43" s="5938"/>
      <c r="BH43" s="5938"/>
      <c r="BI43" s="5938"/>
      <c r="BJ43" s="5938"/>
      <c r="BK43" s="5938"/>
      <c r="BL43" s="5938"/>
      <c r="BM43" s="5938"/>
      <c r="BN43" s="5938"/>
      <c r="BO43" s="5938"/>
      <c r="BP43" s="5938"/>
      <c r="BQ43" s="5938"/>
      <c r="BR43" s="5938"/>
      <c r="BS43" s="5938"/>
      <c r="BT43" s="5938"/>
      <c r="BU43" s="5938"/>
      <c r="BV43" s="5938"/>
      <c r="BW43" s="5938"/>
      <c r="BX43" s="5938"/>
      <c r="BY43" s="5938"/>
      <c r="BZ43" s="5938"/>
      <c r="CA43" s="5938"/>
      <c r="CB43" s="5938"/>
      <c r="CC43" s="5938"/>
      <c r="CD43" s="5938"/>
      <c r="CE43" s="5938"/>
      <c r="CF43" s="5938"/>
      <c r="CG43" s="5938"/>
      <c r="CH43" s="5938"/>
      <c r="CI43" s="5938"/>
      <c r="CJ43" s="5938"/>
      <c r="CK43" s="5938"/>
      <c r="CL43" s="5938"/>
      <c r="CM43" s="5938"/>
      <c r="CN43" s="5938"/>
      <c r="CO43" s="5938"/>
      <c r="CP43" s="5938"/>
      <c r="CQ43" s="5938"/>
      <c r="CR43" s="5938"/>
      <c r="CS43" s="5938"/>
      <c r="CT43" s="5938"/>
      <c r="CU43" s="5938"/>
      <c r="CV43" s="5938"/>
      <c r="CW43" s="5938"/>
      <c r="CX43" s="5938"/>
      <c r="CY43" s="5938"/>
      <c r="CZ43" s="5938"/>
      <c r="DA43" s="5938"/>
      <c r="DB43" s="5938"/>
      <c r="DC43" s="5938"/>
      <c r="DD43" s="5938"/>
      <c r="DE43" s="5938"/>
      <c r="DF43" s="5938"/>
      <c r="DG43" s="5938"/>
      <c r="DH43" s="5938"/>
      <c r="DI43" s="5938"/>
      <c r="DJ43" s="5938"/>
      <c r="DK43" s="5938"/>
      <c r="DL43" s="5938"/>
      <c r="DM43" s="5938"/>
      <c r="DN43" s="4910"/>
      <c r="DO43" s="4910"/>
      <c r="DP43" s="4910"/>
      <c r="DQ43" s="4910"/>
      <c r="DR43" s="4910"/>
      <c r="DS43" s="4910"/>
      <c r="DT43" s="4910"/>
      <c r="DU43" s="4910"/>
      <c r="DV43" s="4910"/>
      <c r="DW43" s="4910"/>
      <c r="DX43" s="4910"/>
      <c r="DY43" s="4910"/>
      <c r="DZ43" s="4910"/>
      <c r="EA43" s="4910"/>
      <c r="EB43" s="4910"/>
      <c r="EC43" s="4910"/>
      <c r="ED43" s="4910"/>
      <c r="EE43" s="4910"/>
      <c r="EF43" s="4910"/>
      <c r="EG43" s="4910"/>
      <c r="EH43" s="4910"/>
      <c r="EI43" s="4910"/>
      <c r="EJ43" s="4910"/>
      <c r="EK43" s="4910"/>
      <c r="EL43" s="4910"/>
      <c r="EM43" s="4910"/>
      <c r="EN43" s="4910"/>
      <c r="EO43" s="4910"/>
      <c r="EP43" s="4910"/>
      <c r="EQ43" s="4910"/>
      <c r="ER43" s="4910"/>
      <c r="ES43" s="4910"/>
    </row>
    <row r="44" spans="1:155" ht="22.5" customHeight="1" x14ac:dyDescent="0.3">
      <c r="A44" s="3177"/>
      <c r="B44" s="3178"/>
      <c r="C44" s="3178"/>
      <c r="D44" s="3178"/>
      <c r="E44" s="3178"/>
      <c r="F44" s="3178"/>
      <c r="G44" s="3178"/>
      <c r="H44" s="3178"/>
      <c r="I44" s="3178"/>
      <c r="J44" s="3178"/>
      <c r="K44" s="3178"/>
      <c r="L44" s="3178"/>
      <c r="M44" s="3178"/>
      <c r="N44" s="3178"/>
      <c r="O44" s="3178"/>
      <c r="P44" s="3178"/>
      <c r="Q44" s="3178"/>
      <c r="R44" s="3178"/>
      <c r="S44" s="3178"/>
      <c r="T44" s="3178"/>
      <c r="U44" s="3178"/>
      <c r="V44" s="3178"/>
      <c r="W44" s="3178"/>
      <c r="X44" s="3178"/>
      <c r="Y44" s="3178"/>
      <c r="Z44" s="3178"/>
      <c r="AA44" s="3178"/>
      <c r="AB44" s="3178"/>
      <c r="AC44" s="3178"/>
      <c r="AD44" s="3178"/>
      <c r="AE44" s="3178"/>
      <c r="AF44" s="3178"/>
      <c r="AG44" s="3178"/>
      <c r="AH44" s="3178"/>
      <c r="AI44" s="3178"/>
      <c r="AJ44" s="3178"/>
      <c r="AK44" s="3178"/>
      <c r="AL44" s="3178"/>
      <c r="AM44" s="3178"/>
      <c r="AN44" s="3178"/>
      <c r="AO44" s="3178"/>
      <c r="AP44" s="3178"/>
      <c r="AQ44" s="3178"/>
      <c r="AR44" s="3178"/>
      <c r="AS44" s="3178"/>
      <c r="AT44" s="3178"/>
      <c r="AU44" s="3178"/>
      <c r="AV44" s="3178"/>
      <c r="AW44" s="3178"/>
      <c r="AX44" s="3178"/>
      <c r="AY44" s="3178"/>
      <c r="AZ44" s="3178"/>
      <c r="BA44" s="3178"/>
      <c r="BB44" s="3178"/>
      <c r="BC44" s="3178"/>
      <c r="BD44" s="3178"/>
      <c r="BE44" s="3178"/>
      <c r="BF44" s="3178"/>
      <c r="BG44" s="3178"/>
      <c r="BH44" s="3178"/>
      <c r="BI44" s="3178"/>
      <c r="BJ44" s="3178"/>
      <c r="BK44" s="3178"/>
      <c r="BL44" s="3178"/>
      <c r="BM44" s="3178"/>
      <c r="BN44" s="3178"/>
      <c r="BO44" s="3178"/>
      <c r="BP44" s="3178"/>
      <c r="BQ44" s="3178"/>
      <c r="BR44" s="3178"/>
      <c r="BS44" s="3178"/>
      <c r="BT44" s="3178"/>
      <c r="BU44" s="3178"/>
      <c r="BV44" s="3178"/>
      <c r="BW44" s="3178"/>
      <c r="BX44" s="3178"/>
      <c r="BY44" s="3178"/>
      <c r="BZ44" s="3178"/>
      <c r="CA44" s="3178"/>
      <c r="CB44" s="3178"/>
      <c r="CC44" s="3178"/>
      <c r="CD44" s="3178"/>
      <c r="CE44" s="3178"/>
      <c r="CF44" s="3178"/>
      <c r="CG44" s="3178"/>
      <c r="CH44" s="3178"/>
      <c r="CI44" s="3178"/>
      <c r="CJ44" s="3178"/>
      <c r="CK44" s="3178"/>
      <c r="CL44" s="3178"/>
      <c r="CM44" s="3178"/>
      <c r="CN44" s="3178"/>
      <c r="CO44" s="3178"/>
      <c r="CP44" s="3178"/>
      <c r="CQ44" s="3178"/>
      <c r="CR44" s="3178"/>
      <c r="CS44" s="3178"/>
      <c r="CT44" s="3178"/>
      <c r="CU44" s="3178"/>
      <c r="CV44" s="3178"/>
      <c r="CW44" s="3178"/>
      <c r="CX44" s="3178"/>
      <c r="CY44" s="3178"/>
      <c r="CZ44" s="3178"/>
      <c r="DA44" s="3178"/>
      <c r="DB44" s="3178"/>
      <c r="DC44" s="3178"/>
      <c r="DD44" s="3178"/>
      <c r="DE44" s="3178"/>
      <c r="DF44" s="3178"/>
      <c r="DG44" s="3178"/>
      <c r="DH44" s="3178"/>
      <c r="DI44" s="3178"/>
      <c r="DJ44" s="3178"/>
      <c r="DK44" s="3178"/>
      <c r="DL44" s="3178"/>
      <c r="DM44" s="3178"/>
      <c r="DN44" s="3111"/>
      <c r="DO44" s="3111"/>
    </row>
    <row r="45" spans="1:155" ht="22.5" customHeight="1" x14ac:dyDescent="0.3">
      <c r="A45" s="3177"/>
      <c r="B45" s="3178"/>
      <c r="C45" s="3178"/>
      <c r="D45" s="3178"/>
      <c r="E45" s="3178"/>
      <c r="F45" s="3178"/>
      <c r="G45" s="3178"/>
      <c r="H45" s="3178"/>
      <c r="I45" s="3178"/>
      <c r="J45" s="3178"/>
      <c r="K45" s="3178"/>
      <c r="L45" s="3178"/>
      <c r="M45" s="3178"/>
      <c r="N45" s="3178"/>
      <c r="O45" s="3178"/>
      <c r="P45" s="3178"/>
      <c r="Q45" s="3178"/>
      <c r="R45" s="3178"/>
      <c r="S45" s="3178"/>
      <c r="T45" s="3178"/>
      <c r="U45" s="3178"/>
      <c r="V45" s="3178"/>
      <c r="W45" s="3178"/>
      <c r="X45" s="3178"/>
      <c r="Y45" s="3178"/>
      <c r="Z45" s="3178"/>
      <c r="AA45" s="3178"/>
      <c r="AB45" s="3178"/>
      <c r="AC45" s="3178"/>
      <c r="AD45" s="3178"/>
      <c r="AE45" s="3178"/>
      <c r="AF45" s="3178"/>
      <c r="AG45" s="3178"/>
      <c r="AH45" s="3178"/>
      <c r="AI45" s="3178"/>
      <c r="AJ45" s="3178"/>
      <c r="AK45" s="3178"/>
      <c r="AL45" s="3178"/>
      <c r="AM45" s="3178"/>
      <c r="AN45" s="3178"/>
      <c r="AO45" s="3178"/>
      <c r="AP45" s="3178"/>
      <c r="AQ45" s="3178"/>
      <c r="AR45" s="3178"/>
      <c r="AS45" s="3178"/>
      <c r="AT45" s="3178"/>
      <c r="AU45" s="3178"/>
      <c r="AV45" s="3178"/>
      <c r="AW45" s="3178"/>
      <c r="AX45" s="3178"/>
      <c r="AY45" s="3178"/>
      <c r="AZ45" s="3178"/>
      <c r="BA45" s="3178"/>
      <c r="BB45" s="3178"/>
      <c r="BC45" s="3178"/>
      <c r="BD45" s="3178"/>
      <c r="BE45" s="3178"/>
      <c r="BF45" s="3178"/>
      <c r="BG45" s="3178"/>
      <c r="BH45" s="3178"/>
      <c r="BI45" s="3178"/>
      <c r="BJ45" s="3178"/>
      <c r="BK45" s="3178"/>
      <c r="BL45" s="3178"/>
      <c r="BM45" s="3178"/>
      <c r="BN45" s="3178"/>
      <c r="BO45" s="3178"/>
      <c r="BP45" s="3178"/>
      <c r="BQ45" s="3178"/>
      <c r="BR45" s="3178"/>
      <c r="BS45" s="3178"/>
      <c r="BT45" s="3178"/>
      <c r="BU45" s="3178"/>
      <c r="BV45" s="3178"/>
      <c r="BW45" s="3178"/>
      <c r="BX45" s="3178"/>
      <c r="BY45" s="3178"/>
      <c r="BZ45" s="3178"/>
      <c r="CA45" s="3178"/>
      <c r="CB45" s="3178"/>
      <c r="CC45" s="3178"/>
      <c r="CD45" s="3178"/>
      <c r="CE45" s="3178"/>
      <c r="CF45" s="3178"/>
      <c r="CG45" s="3178"/>
      <c r="CH45" s="3178"/>
      <c r="CI45" s="3178"/>
      <c r="CJ45" s="3178"/>
      <c r="CK45" s="3178"/>
      <c r="CL45" s="3178"/>
      <c r="CM45" s="3178"/>
      <c r="CN45" s="3178"/>
      <c r="CO45" s="3178"/>
      <c r="CP45" s="3178"/>
      <c r="CQ45" s="3178"/>
      <c r="CR45" s="3178"/>
      <c r="CS45" s="3178"/>
      <c r="CT45" s="3178"/>
      <c r="CU45" s="3178"/>
      <c r="CV45" s="3178"/>
      <c r="CW45" s="3178"/>
      <c r="CX45" s="3178"/>
      <c r="CY45" s="3178"/>
      <c r="CZ45" s="3178"/>
      <c r="DA45" s="3178"/>
      <c r="DB45" s="3178"/>
      <c r="DC45" s="3178"/>
      <c r="DD45" s="3178"/>
      <c r="DE45" s="3178"/>
      <c r="DF45" s="3178"/>
      <c r="DG45" s="3178"/>
      <c r="DH45" s="3178"/>
      <c r="DI45" s="3178"/>
      <c r="DJ45" s="3178"/>
      <c r="DK45" s="3178"/>
      <c r="DL45" s="3178"/>
      <c r="DM45" s="3178"/>
      <c r="DN45" s="3111"/>
      <c r="DO45" s="3111"/>
    </row>
    <row r="46" spans="1:155" ht="22.5" customHeight="1" x14ac:dyDescent="0.3">
      <c r="A46" s="3177"/>
      <c r="B46" s="394"/>
      <c r="C46" s="3178"/>
      <c r="D46" s="3178"/>
      <c r="E46" s="3178"/>
      <c r="F46" s="3178"/>
      <c r="G46" s="3178"/>
      <c r="H46" s="3178"/>
      <c r="I46" s="3178"/>
      <c r="J46" s="3178"/>
      <c r="K46" s="3178"/>
      <c r="L46" s="3178"/>
      <c r="M46" s="3178"/>
      <c r="N46" s="3178"/>
      <c r="O46" s="3178"/>
      <c r="P46" s="3178"/>
      <c r="Q46" s="3178"/>
      <c r="R46" s="3178"/>
      <c r="S46" s="3178"/>
      <c r="T46" s="3178"/>
      <c r="U46" s="3178"/>
      <c r="V46" s="3178"/>
      <c r="W46" s="3178"/>
      <c r="X46" s="3178"/>
      <c r="Y46" s="3178"/>
      <c r="Z46" s="3178"/>
      <c r="AA46" s="3178"/>
      <c r="AB46" s="3178"/>
      <c r="AC46" s="3178"/>
      <c r="AD46" s="3178"/>
      <c r="AE46" s="3178"/>
      <c r="AF46" s="3178"/>
      <c r="AG46" s="3178"/>
      <c r="AH46" s="3178"/>
      <c r="AI46" s="3178"/>
      <c r="AJ46" s="3178"/>
      <c r="AK46" s="3178"/>
      <c r="AL46" s="3178"/>
      <c r="AM46" s="3178"/>
      <c r="AN46" s="3178"/>
      <c r="AO46" s="3178"/>
      <c r="AP46" s="3178"/>
      <c r="AQ46" s="3178"/>
      <c r="AR46" s="3178"/>
      <c r="AS46" s="3178"/>
      <c r="AT46" s="3178"/>
      <c r="AU46" s="3178"/>
      <c r="AV46" s="3178"/>
      <c r="AW46" s="3178"/>
      <c r="AX46" s="3178"/>
      <c r="AY46" s="3178"/>
      <c r="AZ46" s="3178"/>
      <c r="BA46" s="3178"/>
      <c r="BB46" s="3178"/>
      <c r="BC46" s="3178"/>
      <c r="BD46" s="3178"/>
      <c r="BE46" s="3178"/>
      <c r="BF46" s="3178"/>
      <c r="BG46" s="3178"/>
      <c r="BH46" s="3178"/>
      <c r="BI46" s="3178"/>
      <c r="BJ46" s="3178"/>
      <c r="BK46" s="3178"/>
      <c r="BL46" s="3178"/>
      <c r="BM46" s="3178"/>
      <c r="BN46" s="3178"/>
      <c r="BO46" s="3178"/>
      <c r="BP46" s="3178"/>
      <c r="BQ46" s="3178"/>
      <c r="BR46" s="3178"/>
      <c r="BS46" s="3178"/>
      <c r="BT46" s="3178"/>
      <c r="BU46" s="3178"/>
      <c r="BV46" s="3178"/>
      <c r="BW46" s="3178"/>
      <c r="BX46" s="3178"/>
      <c r="BY46" s="3178"/>
      <c r="BZ46" s="3178"/>
      <c r="CA46" s="3178"/>
      <c r="CB46" s="3178"/>
      <c r="CC46" s="3178"/>
      <c r="CD46" s="3178"/>
      <c r="CE46" s="3178"/>
      <c r="CF46" s="3178"/>
      <c r="CG46" s="3178"/>
      <c r="CH46" s="3178"/>
      <c r="CI46" s="3178"/>
      <c r="CJ46" s="3178"/>
      <c r="CK46" s="3178"/>
      <c r="CL46" s="3178"/>
      <c r="CM46" s="3178"/>
      <c r="CN46" s="3178"/>
      <c r="CO46" s="3178"/>
      <c r="CP46" s="3178"/>
      <c r="CQ46" s="3178"/>
      <c r="CR46" s="3178"/>
      <c r="CS46" s="3178"/>
      <c r="CT46" s="3178"/>
      <c r="CU46" s="3178"/>
      <c r="CV46" s="3178"/>
      <c r="CW46" s="3178"/>
      <c r="CX46" s="3178"/>
      <c r="CY46" s="3178"/>
      <c r="CZ46" s="3178"/>
      <c r="DA46" s="3178"/>
      <c r="DB46" s="3178"/>
      <c r="DC46" s="3178"/>
      <c r="DD46" s="3178"/>
      <c r="DE46" s="3178"/>
      <c r="DF46" s="3178"/>
      <c r="DG46" s="3178"/>
      <c r="DH46" s="3178"/>
      <c r="DI46" s="3178"/>
      <c r="DJ46" s="3178"/>
      <c r="DK46" s="3178"/>
      <c r="DL46" s="3178"/>
      <c r="DM46" s="3178"/>
      <c r="DN46" s="3111"/>
      <c r="DO46" s="3111"/>
    </row>
    <row r="47" spans="1:155" x14ac:dyDescent="0.2">
      <c r="A47" s="394"/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394"/>
      <c r="AX47" s="394"/>
      <c r="AY47" s="394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394"/>
      <c r="BL47" s="394"/>
      <c r="BM47" s="394"/>
      <c r="BN47" s="394"/>
      <c r="BO47" s="394"/>
      <c r="BP47" s="394"/>
      <c r="BQ47" s="394"/>
      <c r="BR47" s="394"/>
      <c r="BS47" s="394"/>
      <c r="BT47" s="394"/>
      <c r="BU47" s="394"/>
      <c r="BV47" s="394"/>
      <c r="BW47" s="394"/>
      <c r="BX47" s="394"/>
      <c r="BY47" s="394"/>
      <c r="BZ47" s="394"/>
      <c r="CA47" s="394"/>
      <c r="CB47" s="394"/>
      <c r="CC47" s="394"/>
      <c r="CD47" s="394"/>
      <c r="CE47" s="394"/>
      <c r="CF47" s="394"/>
      <c r="CG47" s="394"/>
      <c r="CH47" s="394"/>
      <c r="CI47" s="394"/>
      <c r="CJ47" s="394"/>
      <c r="CK47" s="394"/>
      <c r="CL47" s="394"/>
      <c r="CM47" s="394"/>
      <c r="CN47" s="394"/>
      <c r="CO47" s="394"/>
      <c r="CP47" s="394"/>
      <c r="CQ47" s="394"/>
      <c r="CR47" s="394"/>
      <c r="CS47" s="394"/>
      <c r="CT47" s="394"/>
      <c r="CU47" s="394"/>
      <c r="CV47" s="394"/>
      <c r="CW47" s="394"/>
      <c r="CX47" s="394"/>
      <c r="CY47" s="394"/>
      <c r="CZ47" s="394"/>
      <c r="DA47" s="394"/>
      <c r="DB47" s="394"/>
      <c r="DC47" s="394"/>
      <c r="DD47" s="394"/>
      <c r="DE47" s="394"/>
      <c r="DF47" s="394"/>
      <c r="DG47" s="394"/>
      <c r="DH47" s="394"/>
      <c r="DI47" s="394"/>
      <c r="DJ47" s="394"/>
      <c r="DK47" s="394"/>
      <c r="DL47" s="394"/>
      <c r="DM47" s="394"/>
    </row>
    <row r="48" spans="1:155" ht="20.25" x14ac:dyDescent="0.3">
      <c r="A48" s="3179" t="s">
        <v>4045</v>
      </c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  <c r="AB48" s="394"/>
      <c r="AC48" s="394"/>
      <c r="AD48" s="394"/>
      <c r="AE48" s="394"/>
      <c r="AF48" s="394"/>
      <c r="AG48" s="394"/>
      <c r="AH48" s="394"/>
      <c r="AI48" s="394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394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394"/>
      <c r="BL48" s="394"/>
      <c r="BM48" s="394"/>
      <c r="BN48" s="394"/>
      <c r="BO48" s="394"/>
      <c r="BP48" s="394"/>
      <c r="BQ48" s="394"/>
      <c r="BR48" s="394"/>
      <c r="BS48" s="394"/>
      <c r="BT48" s="394"/>
      <c r="BU48" s="394"/>
      <c r="BV48" s="394"/>
      <c r="BW48" s="394"/>
      <c r="BX48" s="394"/>
      <c r="BY48" s="394"/>
      <c r="BZ48" s="394"/>
      <c r="CA48" s="394"/>
      <c r="CB48" s="394"/>
      <c r="CC48" s="394"/>
      <c r="CD48" s="394"/>
      <c r="CE48" s="394"/>
      <c r="CF48" s="394"/>
      <c r="CG48" s="394"/>
      <c r="CH48" s="394"/>
      <c r="CI48" s="394"/>
      <c r="CJ48" s="394"/>
      <c r="CK48" s="394"/>
      <c r="CL48" s="394"/>
      <c r="CM48" s="394"/>
      <c r="CN48" s="394"/>
      <c r="CO48" s="394"/>
      <c r="CP48" s="394"/>
      <c r="CQ48" s="394"/>
      <c r="CR48" s="394"/>
      <c r="CS48" s="394"/>
      <c r="CT48" s="394"/>
      <c r="CU48" s="394"/>
      <c r="CV48" s="394"/>
      <c r="CW48" s="394"/>
      <c r="CX48" s="394"/>
      <c r="CY48" s="394"/>
      <c r="CZ48" s="394"/>
      <c r="DA48" s="394"/>
      <c r="DB48" s="394"/>
      <c r="DC48" s="394"/>
      <c r="DD48" s="394"/>
      <c r="DE48" s="394"/>
      <c r="DF48" s="394"/>
      <c r="DG48" s="394"/>
      <c r="DH48" s="394"/>
      <c r="DI48" s="394"/>
      <c r="DJ48" s="394"/>
      <c r="DK48" s="394"/>
      <c r="DL48" s="394"/>
      <c r="DM48" s="394"/>
    </row>
    <row r="53" spans="62:62" x14ac:dyDescent="0.2">
      <c r="BJ53" s="2098"/>
    </row>
  </sheetData>
  <mergeCells count="84">
    <mergeCell ref="DN32:DN35"/>
    <mergeCell ref="CM21:CO22"/>
    <mergeCell ref="CG21:CI22"/>
    <mergeCell ref="CG20:CL20"/>
    <mergeCell ref="CJ21:CL22"/>
    <mergeCell ref="CS20:CX20"/>
    <mergeCell ref="CV21:CX22"/>
    <mergeCell ref="DK21:DM22"/>
    <mergeCell ref="DN20:DN23"/>
    <mergeCell ref="DN25:DN28"/>
    <mergeCell ref="ET20:EV22"/>
    <mergeCell ref="EW20:EY22"/>
    <mergeCell ref="A2:EY2"/>
    <mergeCell ref="AX4:AZ5"/>
    <mergeCell ref="BM21:BP22"/>
    <mergeCell ref="BD4:BD6"/>
    <mergeCell ref="S4:U5"/>
    <mergeCell ref="I4:L4"/>
    <mergeCell ref="BA4:BC5"/>
    <mergeCell ref="BX21:BZ22"/>
    <mergeCell ref="V4:X5"/>
    <mergeCell ref="AU21:AY22"/>
    <mergeCell ref="AU20:BL20"/>
    <mergeCell ref="AL21:AP22"/>
    <mergeCell ref="AL4:AP5"/>
    <mergeCell ref="AG5:AG6"/>
    <mergeCell ref="AH5:AI5"/>
    <mergeCell ref="AJ5:AK5"/>
    <mergeCell ref="AQ21:AT22"/>
    <mergeCell ref="M20:AT20"/>
    <mergeCell ref="AG4:AK4"/>
    <mergeCell ref="AB4:AF5"/>
    <mergeCell ref="A39:B39"/>
    <mergeCell ref="F21:H22"/>
    <mergeCell ref="I21:L21"/>
    <mergeCell ref="C21:E22"/>
    <mergeCell ref="B20:B23"/>
    <mergeCell ref="A20:A23"/>
    <mergeCell ref="A37:BT37"/>
    <mergeCell ref="BM20:BW20"/>
    <mergeCell ref="BU21:BW22"/>
    <mergeCell ref="BQ21:BT22"/>
    <mergeCell ref="A38:B38"/>
    <mergeCell ref="M21:Q22"/>
    <mergeCell ref="BE21:BH22"/>
    <mergeCell ref="BI21:BL22"/>
    <mergeCell ref="EB21:ED22"/>
    <mergeCell ref="BX20:CF20"/>
    <mergeCell ref="CA21:CC22"/>
    <mergeCell ref="CD21:CF22"/>
    <mergeCell ref="DH20:DM20"/>
    <mergeCell ref="DH21:DJ22"/>
    <mergeCell ref="EN20:ES20"/>
    <mergeCell ref="EN21:EP22"/>
    <mergeCell ref="EQ21:ES22"/>
    <mergeCell ref="A43:ES43"/>
    <mergeCell ref="EH20:EJ22"/>
    <mergeCell ref="EK20:EM22"/>
    <mergeCell ref="DV20:DX22"/>
    <mergeCell ref="EE20:EG22"/>
    <mergeCell ref="R38:R40"/>
    <mergeCell ref="R21:R35"/>
    <mergeCell ref="CS21:CU22"/>
    <mergeCell ref="CY20:DA22"/>
    <mergeCell ref="DB20:DD22"/>
    <mergeCell ref="DE20:DG22"/>
    <mergeCell ref="DY20:ED20"/>
    <mergeCell ref="DY21:EA22"/>
    <mergeCell ref="A3:AP3"/>
    <mergeCell ref="CP21:CR22"/>
    <mergeCell ref="CM20:CR20"/>
    <mergeCell ref="DP20:DR22"/>
    <mergeCell ref="DS20:DU22"/>
    <mergeCell ref="S21:W22"/>
    <mergeCell ref="AZ21:BD22"/>
    <mergeCell ref="X21:AB22"/>
    <mergeCell ref="A4:A6"/>
    <mergeCell ref="B4:B6"/>
    <mergeCell ref="C4:E5"/>
    <mergeCell ref="P4:R5"/>
    <mergeCell ref="Y4:AA5"/>
    <mergeCell ref="AU4:AW5"/>
    <mergeCell ref="F4:H5"/>
    <mergeCell ref="M4:O5"/>
  </mergeCells>
  <phoneticPr fontId="10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4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CC00FF"/>
  </sheetPr>
  <dimension ref="A1:W60"/>
  <sheetViews>
    <sheetView workbookViewId="0">
      <selection activeCell="P1" sqref="P1:T1"/>
    </sheetView>
  </sheetViews>
  <sheetFormatPr defaultRowHeight="12.75" x14ac:dyDescent="0.2"/>
  <cols>
    <col min="1" max="1" width="7.7109375" customWidth="1"/>
    <col min="2" max="2" width="14.42578125" customWidth="1"/>
    <col min="3" max="3" width="10.5703125" customWidth="1"/>
    <col min="4" max="4" width="21" customWidth="1"/>
    <col min="5" max="5" width="15.5703125" customWidth="1"/>
    <col min="6" max="7" width="14.5703125" customWidth="1"/>
    <col min="8" max="15" width="15.140625" customWidth="1"/>
    <col min="16" max="20" width="0" hidden="1" customWidth="1"/>
  </cols>
  <sheetData>
    <row r="1" spans="1:23" x14ac:dyDescent="0.2">
      <c r="A1" s="5975" t="s">
        <v>4202</v>
      </c>
      <c r="B1" s="5975"/>
      <c r="C1" s="5975"/>
      <c r="D1" s="4194">
        <f>15099.8796/1.2</f>
        <v>12583.233</v>
      </c>
      <c r="E1" s="4195" t="s">
        <v>1557</v>
      </c>
      <c r="F1" s="4196" t="s">
        <v>1807</v>
      </c>
      <c r="G1" s="4196" t="s">
        <v>1808</v>
      </c>
      <c r="H1" s="4196" t="s">
        <v>4203</v>
      </c>
      <c r="I1" s="4196" t="s">
        <v>4204</v>
      </c>
      <c r="J1" s="4196" t="s">
        <v>4205</v>
      </c>
      <c r="K1" s="4196" t="s">
        <v>4206</v>
      </c>
      <c r="L1" s="4196" t="s">
        <v>4207</v>
      </c>
      <c r="M1" s="4196" t="s">
        <v>4208</v>
      </c>
      <c r="N1" s="4196" t="s">
        <v>4209</v>
      </c>
      <c r="O1" s="4197" t="s">
        <v>280</v>
      </c>
      <c r="P1" s="4197"/>
      <c r="Q1" s="4197"/>
      <c r="R1" s="4268"/>
      <c r="S1" s="4269"/>
      <c r="T1" s="4269"/>
      <c r="U1" s="4269"/>
    </row>
    <row r="2" spans="1:23" x14ac:dyDescent="0.2">
      <c r="A2" s="5976" t="s">
        <v>4210</v>
      </c>
      <c r="B2" s="5976"/>
      <c r="C2" s="5976"/>
      <c r="D2" s="4198">
        <f>9.5*1.5</f>
        <v>14.25</v>
      </c>
      <c r="E2" s="4195" t="s">
        <v>4211</v>
      </c>
      <c r="F2" s="4199">
        <f>SUM(E8:E12)</f>
        <v>1191.1945546192719</v>
      </c>
      <c r="G2" s="4199">
        <f>SUM(E13:E24)</f>
        <v>3175.0818271440044</v>
      </c>
      <c r="H2" s="4199">
        <f>SUM(E25:E36)</f>
        <v>3657.7228762392938</v>
      </c>
      <c r="I2" s="4199">
        <f>SUM(E37:E48)</f>
        <v>4214.9301782353778</v>
      </c>
      <c r="J2" s="4199">
        <f>SUM(E49:E60)</f>
        <v>344.30356376205316</v>
      </c>
      <c r="K2" s="4200">
        <f>SUM(E67:E78)</f>
        <v>0</v>
      </c>
      <c r="L2" s="4199">
        <f>SUM(E79:E90)</f>
        <v>0</v>
      </c>
      <c r="M2" s="4199">
        <f>SUM(E91:E102)</f>
        <v>0</v>
      </c>
      <c r="N2" s="4199">
        <f>SUM(E103:E115)</f>
        <v>0</v>
      </c>
      <c r="O2" s="4199">
        <f>SUM(F2:N2)</f>
        <v>12583.233</v>
      </c>
      <c r="P2" s="4270"/>
      <c r="Q2" s="4271"/>
      <c r="R2" s="4268"/>
      <c r="S2" s="4269"/>
      <c r="T2" s="4269"/>
      <c r="U2" s="4269"/>
    </row>
    <row r="3" spans="1:23" ht="13.5" thickBot="1" x14ac:dyDescent="0.25">
      <c r="A3" s="5977" t="s">
        <v>4212</v>
      </c>
      <c r="B3" s="5977"/>
      <c r="C3" s="5977"/>
      <c r="D3" s="4201">
        <v>42</v>
      </c>
      <c r="E3" s="4195" t="s">
        <v>4213</v>
      </c>
      <c r="F3" s="4199">
        <f>SUM(F8:F12)</f>
        <v>723.8054453807282</v>
      </c>
      <c r="G3" s="4199">
        <f>SUM(F13:F24)</f>
        <v>1420.9181728559956</v>
      </c>
      <c r="H3" s="4199">
        <f>SUM(F25:F36)</f>
        <v>938.27712376070633</v>
      </c>
      <c r="I3" s="4199">
        <f>SUM(F37:F48)</f>
        <v>381.06982176462219</v>
      </c>
      <c r="J3" s="4199">
        <f>SUM(F49:F60)</f>
        <v>4.1670164189558072</v>
      </c>
      <c r="K3" s="4199">
        <f>SUM(F67:F78)</f>
        <v>0</v>
      </c>
      <c r="L3" s="4199">
        <f>SUM(F79:F90)</f>
        <v>0</v>
      </c>
      <c r="M3" s="4199">
        <f>SUM(F91:F102)</f>
        <v>0</v>
      </c>
      <c r="N3" s="4199">
        <f>SUM(F103:F115)</f>
        <v>0</v>
      </c>
      <c r="O3" s="4199">
        <f>SUM(F3:N3)</f>
        <v>3468.2375801810081</v>
      </c>
      <c r="P3" s="4272"/>
      <c r="Q3" s="4271"/>
      <c r="R3" s="4268"/>
      <c r="S3" s="4269"/>
      <c r="T3" s="4269"/>
      <c r="U3" s="4269"/>
    </row>
    <row r="4" spans="1:23" ht="13.5" thickBot="1" x14ac:dyDescent="0.25">
      <c r="A4" s="5977" t="s">
        <v>4214</v>
      </c>
      <c r="B4" s="5977"/>
      <c r="C4" s="5977"/>
      <c r="D4" s="4202">
        <v>44763</v>
      </c>
      <c r="E4" s="4203"/>
      <c r="F4" s="4204"/>
      <c r="G4" s="4204"/>
      <c r="H4" s="4204"/>
      <c r="I4" s="4204"/>
      <c r="J4" s="4204"/>
      <c r="K4" s="4204"/>
      <c r="L4" s="4204"/>
      <c r="M4" s="4204"/>
      <c r="N4" s="4204"/>
      <c r="O4" s="4205">
        <f>O3+O2</f>
        <v>16051.470580181009</v>
      </c>
      <c r="P4" s="4270"/>
      <c r="Q4" s="4271"/>
      <c r="R4" s="4268"/>
      <c r="S4" s="4269"/>
      <c r="T4" s="4269"/>
      <c r="U4" s="4269"/>
    </row>
    <row r="5" spans="1:23" ht="13.5" thickBot="1" x14ac:dyDescent="0.25">
      <c r="A5" s="5978" t="s">
        <v>4215</v>
      </c>
      <c r="B5" s="5979" t="s">
        <v>4216</v>
      </c>
      <c r="C5" s="5980" t="s">
        <v>4217</v>
      </c>
      <c r="D5" s="5972" t="s">
        <v>4218</v>
      </c>
      <c r="E5" s="5972"/>
      <c r="F5" s="5972"/>
      <c r="G5" s="5972"/>
      <c r="H5" s="5973" t="s">
        <v>4219</v>
      </c>
      <c r="I5" s="5973"/>
      <c r="J5" s="5973"/>
      <c r="K5" s="5973"/>
      <c r="L5" s="5974" t="s">
        <v>4220</v>
      </c>
      <c r="M5" s="5974"/>
      <c r="N5" s="4206"/>
      <c r="O5" s="4206">
        <f>O2/1.2</f>
        <v>10486.0275</v>
      </c>
      <c r="P5" s="4273"/>
      <c r="Q5" s="4274"/>
      <c r="R5" s="4275"/>
      <c r="S5" s="4276"/>
      <c r="T5" s="4276"/>
      <c r="U5" s="4276"/>
      <c r="V5">
        <f>D1/15</f>
        <v>838.88220000000001</v>
      </c>
      <c r="W5" t="s">
        <v>4227</v>
      </c>
    </row>
    <row r="6" spans="1:23" ht="27" customHeight="1" thickBot="1" x14ac:dyDescent="0.25">
      <c r="A6" s="5978"/>
      <c r="B6" s="5979"/>
      <c r="C6" s="5980"/>
      <c r="D6" s="4207" t="s">
        <v>288</v>
      </c>
      <c r="E6" s="4208" t="s">
        <v>4221</v>
      </c>
      <c r="F6" s="4208" t="s">
        <v>4222</v>
      </c>
      <c r="G6" s="4209" t="s">
        <v>4223</v>
      </c>
      <c r="H6" s="4210" t="s">
        <v>288</v>
      </c>
      <c r="I6" s="4211" t="s">
        <v>4221</v>
      </c>
      <c r="J6" s="4211" t="s">
        <v>4222</v>
      </c>
      <c r="K6" s="4212" t="s">
        <v>4223</v>
      </c>
      <c r="L6" s="4210" t="s">
        <v>4224</v>
      </c>
      <c r="M6" s="4213" t="s">
        <v>4225</v>
      </c>
      <c r="N6" s="4206"/>
      <c r="O6" s="4206">
        <f>O5+O3</f>
        <v>13954.265080181009</v>
      </c>
      <c r="P6" s="4273"/>
      <c r="Q6" s="4274"/>
      <c r="R6" s="4275"/>
      <c r="S6" s="4276"/>
      <c r="T6" s="4276"/>
      <c r="U6" s="4276"/>
      <c r="V6">
        <f>G3</f>
        <v>1420.9181728559956</v>
      </c>
      <c r="W6" t="s">
        <v>4213</v>
      </c>
    </row>
    <row r="7" spans="1:23" ht="13.5" thickBot="1" x14ac:dyDescent="0.25">
      <c r="A7" s="4214" t="s">
        <v>4226</v>
      </c>
      <c r="B7" s="4215"/>
      <c r="C7" s="4216">
        <f>$D$4</f>
        <v>44763</v>
      </c>
      <c r="D7" s="4217">
        <f>E7+F7</f>
        <v>16051.470580181005</v>
      </c>
      <c r="E7" s="4218">
        <f>SUM(E8:E65536)+SUM(L8:M65536)</f>
        <v>12583.232999999997</v>
      </c>
      <c r="F7" s="4219">
        <f>SUM(F8:F65536)</f>
        <v>3468.2375801810081</v>
      </c>
      <c r="G7" s="4220">
        <f>$D$1</f>
        <v>12583.233</v>
      </c>
      <c r="H7" s="4221">
        <f>I7+J7</f>
        <v>15795.889675312503</v>
      </c>
      <c r="I7" s="4222">
        <f>SUM(I8:I65536)+SUM(L8:M65536)</f>
        <v>12583.232999999998</v>
      </c>
      <c r="J7" s="4223">
        <f>SUM(J8:J65536)</f>
        <v>3212.6566753125039</v>
      </c>
      <c r="K7" s="4224">
        <f>$D$1</f>
        <v>12583.233</v>
      </c>
      <c r="L7" s="4225"/>
      <c r="M7" s="4224"/>
      <c r="N7" s="4226"/>
      <c r="O7" s="4226"/>
      <c r="P7" s="4273">
        <f>ROW(P7)</f>
        <v>7</v>
      </c>
      <c r="Q7" s="4274"/>
      <c r="R7" s="4275"/>
      <c r="S7" s="4276"/>
      <c r="T7" s="4276"/>
      <c r="U7" s="4276"/>
      <c r="V7">
        <f>V5+V6</f>
        <v>2259.8003728559956</v>
      </c>
    </row>
    <row r="8" spans="1:23" x14ac:dyDescent="0.2">
      <c r="A8" s="4227">
        <v>1</v>
      </c>
      <c r="B8" s="4228" t="str">
        <f>CONCATENATE(INT((A8-1)/12)+1,"-й год ",A8-1-INT((A8-1)/12)*12+1,"-й мес")</f>
        <v>1-й год 1-й мес</v>
      </c>
      <c r="C8" s="4229">
        <f>DATE(YEAR(C7),MONTH(C7)+1,DAY(C7))</f>
        <v>44794</v>
      </c>
      <c r="D8" s="4230">
        <f>IF(R8*$D$2/100/12/(1-(1+$D$2/100/12)^(-Q8))&lt;G7,ROUNDUP(R8*$D$2/100/12/(1-(1+$D$2/100/12)^(-Q8)),0),G7+F8)</f>
        <v>383</v>
      </c>
      <c r="E8" s="4231">
        <f>D8-F8</f>
        <v>230.70840608904112</v>
      </c>
      <c r="F8" s="4231">
        <f>$D$1*$D$2*(C8-C7)/(DATE(YEAR(C8)+1,1,1)-DATE(YEAR(C8),1,1))/100</f>
        <v>152.29159391095888</v>
      </c>
      <c r="G8" s="4232">
        <f>G7-E8-L8-M8</f>
        <v>12352.524593910959</v>
      </c>
      <c r="H8" s="4233">
        <f t="shared" ref="H8:H60" si="0">I8+J8</f>
        <v>449.02667758928573</v>
      </c>
      <c r="I8" s="4234">
        <f>IF($D$1/$D$3&lt;K7,$D$1/$D$3,K7)</f>
        <v>299.60078571428573</v>
      </c>
      <c r="J8" s="4234">
        <f>K7*$D$2/12/100</f>
        <v>149.42589187499999</v>
      </c>
      <c r="K8" s="4235">
        <f>K7-I8-L8-M8</f>
        <v>12283.632214285715</v>
      </c>
      <c r="L8" s="4236"/>
      <c r="M8" s="4237"/>
      <c r="N8" s="4238"/>
      <c r="O8" s="4238" t="e">
        <f>#REF!-#REF!</f>
        <v>#REF!</v>
      </c>
      <c r="P8" s="4277">
        <f t="shared" ref="P8:P60" si="1">IF(ISBLANK(L7),VALUE(P7),ROW(L7))</f>
        <v>7</v>
      </c>
      <c r="Q8" s="4278">
        <f>$D$3</f>
        <v>42</v>
      </c>
      <c r="R8" s="4279">
        <f t="shared" ref="R8:R60" si="2">INDEX(G:G,P8,1)</f>
        <v>12583.233</v>
      </c>
      <c r="S8" s="4280">
        <f>I8+I9+I10+I11+I12+I13+I14+I15+I16+I17+I18</f>
        <v>3295.6086428571439</v>
      </c>
      <c r="T8" s="4280">
        <f>J8+J9+J10+J11+J12+J13+J14+J15+J16+J17+J18</f>
        <v>1448.0080474553574</v>
      </c>
      <c r="U8" s="4281"/>
      <c r="V8" s="4282"/>
    </row>
    <row r="9" spans="1:23" x14ac:dyDescent="0.2">
      <c r="A9" s="4227">
        <v>2</v>
      </c>
      <c r="B9" s="4228" t="str">
        <f t="shared" ref="B9:B60" si="3">CONCATENATE(INT((A9-1)/12)+1,"-й год ",A9-1-INT((A9-1)/12)*12+1,"-й мес")</f>
        <v>1-й год 2-й мес</v>
      </c>
      <c r="C9" s="4229">
        <f>DATE(YEAR(C8),MONTH(C8)+1,DAY(C8))</f>
        <v>44825</v>
      </c>
      <c r="D9" s="4230">
        <f>IF(R9*$D$2/100/12/(1-(1+$D$2/100/12)^(-Q9))&lt;G8,ROUNDUP(R9*$D$2/100/12/(1-(1+$D$2/100/12)^(-Q9)),0),G8+F9)</f>
        <v>383</v>
      </c>
      <c r="E9" s="4231">
        <f t="shared" ref="E9:E60" si="4">D9-F9</f>
        <v>233.50060988054341</v>
      </c>
      <c r="F9" s="4231">
        <f>G8*$D$2*(C9-C8)/(DATE(YEAR(C9)+1,1,1)-DATE(YEAR(C9),1,1))/100</f>
        <v>149.49939011945659</v>
      </c>
      <c r="G9" s="4232">
        <f t="shared" ref="G9:G60" si="5">G8-E9-L9-M9</f>
        <v>12119.023984030415</v>
      </c>
      <c r="H9" s="4233">
        <f t="shared" si="0"/>
        <v>445.46891825892862</v>
      </c>
      <c r="I9" s="4234">
        <f>IF($D$1/$D$3&lt;K8,$D$1/$D$3,K8)</f>
        <v>299.60078571428573</v>
      </c>
      <c r="J9" s="4234">
        <f t="shared" ref="J9:J60" si="6">K8*$D$2/12/100</f>
        <v>145.86813254464286</v>
      </c>
      <c r="K9" s="4235">
        <f t="shared" ref="K9:K60" si="7">K8-I9-L9-M9</f>
        <v>11984.03142857143</v>
      </c>
      <c r="L9" s="4236"/>
      <c r="M9" s="4237"/>
      <c r="N9" s="4238"/>
      <c r="O9" s="4238"/>
      <c r="P9" s="4277">
        <f t="shared" si="1"/>
        <v>7</v>
      </c>
      <c r="Q9" s="4278">
        <f t="shared" ref="Q9:Q60" si="8">Q8+P8-P9</f>
        <v>42</v>
      </c>
      <c r="R9" s="4279">
        <f t="shared" si="2"/>
        <v>12583.233</v>
      </c>
      <c r="S9" s="4281"/>
      <c r="T9" s="4281"/>
      <c r="U9" s="4281"/>
      <c r="V9" s="4282"/>
    </row>
    <row r="10" spans="1:23" x14ac:dyDescent="0.2">
      <c r="A10" s="4227">
        <v>3</v>
      </c>
      <c r="B10" s="4228" t="str">
        <f t="shared" si="3"/>
        <v>1-й год 3-й мес</v>
      </c>
      <c r="C10" s="4229">
        <f t="shared" ref="C10:C60" si="9">DATE(YEAR(C9),MONTH(C9)+1,DAY(C9))</f>
        <v>44855</v>
      </c>
      <c r="D10" s="4230">
        <f t="shared" ref="D10:D60" si="10">IF(R10*$D$2/100/12/(1-(1+$D$2/100/12)^(-Q10))&lt;G9,ROUNDUP(R10*$D$2/100/12/(1-(1+$D$2/100/12)^(-Q10)),0),G9+F10)</f>
        <v>383</v>
      </c>
      <c r="E10" s="4231">
        <f t="shared" si="4"/>
        <v>241.05800676238351</v>
      </c>
      <c r="F10" s="4231">
        <f t="shared" ref="F10:F60" si="11">G9*$D$2*(C10-C9)/(DATE(YEAR(C10)+1,1,1)-DATE(YEAR(C10),1,1))/100</f>
        <v>141.94199323761649</v>
      </c>
      <c r="G10" s="4232">
        <f t="shared" si="5"/>
        <v>11877.965977268032</v>
      </c>
      <c r="H10" s="4233">
        <f t="shared" si="0"/>
        <v>441.91115892857147</v>
      </c>
      <c r="I10" s="4234">
        <f t="shared" ref="I10:I60" si="12">IF($D$1/$D$3&lt;K9,$D$1/$D$3,K9)</f>
        <v>299.60078571428573</v>
      </c>
      <c r="J10" s="4234">
        <f t="shared" si="6"/>
        <v>142.31037321428573</v>
      </c>
      <c r="K10" s="4235">
        <f t="shared" si="7"/>
        <v>11684.430642857145</v>
      </c>
      <c r="L10" s="4236"/>
      <c r="M10" s="4237"/>
      <c r="N10" s="4238"/>
      <c r="O10" s="4238"/>
      <c r="P10" s="4277">
        <f t="shared" si="1"/>
        <v>7</v>
      </c>
      <c r="Q10" s="4278">
        <f t="shared" si="8"/>
        <v>42</v>
      </c>
      <c r="R10" s="4279">
        <f t="shared" si="2"/>
        <v>12583.233</v>
      </c>
      <c r="S10" s="4281"/>
      <c r="T10" s="4281"/>
      <c r="U10" s="4281"/>
      <c r="V10" s="4282"/>
    </row>
    <row r="11" spans="1:23" x14ac:dyDescent="0.2">
      <c r="A11" s="4227">
        <v>4</v>
      </c>
      <c r="B11" s="4228" t="str">
        <f t="shared" si="3"/>
        <v>1-й год 4-й мес</v>
      </c>
      <c r="C11" s="4229">
        <f t="shared" si="9"/>
        <v>44886</v>
      </c>
      <c r="D11" s="4230">
        <f t="shared" si="10"/>
        <v>383</v>
      </c>
      <c r="E11" s="4231">
        <f t="shared" si="4"/>
        <v>239.24406930251635</v>
      </c>
      <c r="F11" s="4231">
        <f t="shared" si="11"/>
        <v>143.75593069748365</v>
      </c>
      <c r="G11" s="4232">
        <f t="shared" si="5"/>
        <v>11638.721907965515</v>
      </c>
      <c r="H11" s="4233">
        <f t="shared" si="0"/>
        <v>438.35339959821431</v>
      </c>
      <c r="I11" s="4234">
        <f t="shared" si="12"/>
        <v>299.60078571428573</v>
      </c>
      <c r="J11" s="4234">
        <f t="shared" si="6"/>
        <v>138.75261388392857</v>
      </c>
      <c r="K11" s="4235">
        <f t="shared" si="7"/>
        <v>11384.82985714286</v>
      </c>
      <c r="L11" s="4236"/>
      <c r="M11" s="4237"/>
      <c r="N11" s="4238"/>
      <c r="O11" s="4238" t="e">
        <f>#REF!-#REF!</f>
        <v>#REF!</v>
      </c>
      <c r="P11" s="4277">
        <f t="shared" si="1"/>
        <v>7</v>
      </c>
      <c r="Q11" s="4278">
        <f t="shared" si="8"/>
        <v>42</v>
      </c>
      <c r="R11" s="4279">
        <f t="shared" si="2"/>
        <v>12583.233</v>
      </c>
      <c r="S11" s="4238"/>
      <c r="T11" s="4238"/>
      <c r="U11" s="4281"/>
      <c r="V11" s="4282"/>
    </row>
    <row r="12" spans="1:23" x14ac:dyDescent="0.2">
      <c r="A12" s="4227">
        <v>5</v>
      </c>
      <c r="B12" s="4228" t="str">
        <f t="shared" si="3"/>
        <v>1-й год 5-й мес</v>
      </c>
      <c r="C12" s="4229">
        <f t="shared" si="9"/>
        <v>44916</v>
      </c>
      <c r="D12" s="4230">
        <f t="shared" si="10"/>
        <v>383</v>
      </c>
      <c r="E12" s="4231">
        <f t="shared" si="4"/>
        <v>246.68346258478746</v>
      </c>
      <c r="F12" s="4231">
        <f t="shared" si="11"/>
        <v>136.31653741521254</v>
      </c>
      <c r="G12" s="4232">
        <f>G11-E12-L12-M12</f>
        <v>11392.038445380727</v>
      </c>
      <c r="H12" s="4233">
        <f t="shared" si="0"/>
        <v>434.79564026785721</v>
      </c>
      <c r="I12" s="4234">
        <f t="shared" si="12"/>
        <v>299.60078571428573</v>
      </c>
      <c r="J12" s="4234">
        <f t="shared" si="6"/>
        <v>135.19485455357147</v>
      </c>
      <c r="K12" s="4235">
        <f>K11-I12-L12-M12</f>
        <v>11085.229071428575</v>
      </c>
      <c r="L12" s="4236"/>
      <c r="M12" s="4237"/>
      <c r="N12" s="4238"/>
      <c r="O12" s="4238"/>
      <c r="P12" s="4277">
        <f t="shared" si="1"/>
        <v>7</v>
      </c>
      <c r="Q12" s="4278">
        <f t="shared" si="8"/>
        <v>42</v>
      </c>
      <c r="R12" s="4279">
        <f t="shared" si="2"/>
        <v>12583.233</v>
      </c>
      <c r="S12" s="4281"/>
      <c r="T12" s="4281"/>
      <c r="U12" s="4281"/>
      <c r="V12" s="4282"/>
    </row>
    <row r="13" spans="1:23" x14ac:dyDescent="0.2">
      <c r="A13" s="4239">
        <v>6</v>
      </c>
      <c r="B13" s="4240" t="str">
        <f t="shared" si="3"/>
        <v>1-й год 6-й мес</v>
      </c>
      <c r="C13" s="4241">
        <f t="shared" si="9"/>
        <v>44947</v>
      </c>
      <c r="D13" s="4242">
        <f t="shared" si="10"/>
        <v>383</v>
      </c>
      <c r="E13" s="4243">
        <f t="shared" si="4"/>
        <v>245.12512374665928</v>
      </c>
      <c r="F13" s="4243">
        <f t="shared" si="11"/>
        <v>137.87487625334072</v>
      </c>
      <c r="G13" s="4244">
        <f>G12-E13-L13-M13</f>
        <v>11146.913321634069</v>
      </c>
      <c r="H13" s="4245">
        <f t="shared" si="0"/>
        <v>431.23788093750005</v>
      </c>
      <c r="I13" s="4246">
        <f t="shared" si="12"/>
        <v>299.60078571428573</v>
      </c>
      <c r="J13" s="4246">
        <f t="shared" si="6"/>
        <v>131.63709522321432</v>
      </c>
      <c r="K13" s="4247">
        <f>K12-I13-L13-M13</f>
        <v>10785.628285714291</v>
      </c>
      <c r="L13" s="4248"/>
      <c r="M13" s="4249"/>
      <c r="N13" s="4250"/>
      <c r="O13" s="4250"/>
      <c r="P13" s="4283">
        <f t="shared" si="1"/>
        <v>7</v>
      </c>
      <c r="Q13" s="4284">
        <f t="shared" si="8"/>
        <v>42</v>
      </c>
      <c r="R13" s="4285">
        <f t="shared" si="2"/>
        <v>12583.233</v>
      </c>
      <c r="S13" s="4250"/>
      <c r="T13" s="4250"/>
      <c r="U13" s="4286"/>
      <c r="V13" s="4282"/>
    </row>
    <row r="14" spans="1:23" x14ac:dyDescent="0.2">
      <c r="A14" s="4239">
        <v>7</v>
      </c>
      <c r="B14" s="4240" t="str">
        <f t="shared" si="3"/>
        <v>1-й год 7-й мес</v>
      </c>
      <c r="C14" s="4241">
        <f t="shared" si="9"/>
        <v>44978</v>
      </c>
      <c r="D14" s="4242">
        <f t="shared" si="10"/>
        <v>383</v>
      </c>
      <c r="E14" s="4243">
        <f t="shared" si="4"/>
        <v>248.09180931967535</v>
      </c>
      <c r="F14" s="4243">
        <f t="shared" si="11"/>
        <v>134.90819068032465</v>
      </c>
      <c r="G14" s="4244">
        <f t="shared" si="5"/>
        <v>10898.821512314393</v>
      </c>
      <c r="H14" s="4245">
        <f t="shared" si="0"/>
        <v>427.68012160714295</v>
      </c>
      <c r="I14" s="4246">
        <f t="shared" si="12"/>
        <v>299.60078571428573</v>
      </c>
      <c r="J14" s="4246">
        <f t="shared" si="6"/>
        <v>128.07933589285719</v>
      </c>
      <c r="K14" s="4247">
        <f t="shared" si="7"/>
        <v>10486.027500000006</v>
      </c>
      <c r="L14" s="4248"/>
      <c r="M14" s="4249"/>
      <c r="N14" s="4250"/>
      <c r="O14" s="4250"/>
      <c r="P14" s="4283">
        <f t="shared" si="1"/>
        <v>7</v>
      </c>
      <c r="Q14" s="4284">
        <f t="shared" si="8"/>
        <v>42</v>
      </c>
      <c r="R14" s="4285">
        <f t="shared" si="2"/>
        <v>12583.233</v>
      </c>
      <c r="S14" s="4250"/>
      <c r="T14" s="4250"/>
      <c r="U14" s="4286"/>
      <c r="V14" s="4282"/>
    </row>
    <row r="15" spans="1:23" x14ac:dyDescent="0.2">
      <c r="A15" s="4239">
        <v>8</v>
      </c>
      <c r="B15" s="4240" t="str">
        <f t="shared" si="3"/>
        <v>1-й год 8-й мес</v>
      </c>
      <c r="C15" s="4241">
        <f t="shared" si="9"/>
        <v>45006</v>
      </c>
      <c r="D15" s="4242">
        <f t="shared" si="10"/>
        <v>383</v>
      </c>
      <c r="E15" s="4243">
        <f t="shared" si="4"/>
        <v>263.85945798867283</v>
      </c>
      <c r="F15" s="4243">
        <f t="shared" si="11"/>
        <v>119.1405420113272</v>
      </c>
      <c r="G15" s="4244">
        <f t="shared" si="5"/>
        <v>10634.962054325721</v>
      </c>
      <c r="H15" s="4245">
        <f t="shared" si="0"/>
        <v>424.12236227678579</v>
      </c>
      <c r="I15" s="4246">
        <f t="shared" si="12"/>
        <v>299.60078571428573</v>
      </c>
      <c r="J15" s="4246">
        <f t="shared" si="6"/>
        <v>124.52157656250007</v>
      </c>
      <c r="K15" s="4247">
        <f t="shared" si="7"/>
        <v>10186.426714285721</v>
      </c>
      <c r="L15" s="4248"/>
      <c r="M15" s="4249"/>
      <c r="N15" s="4250"/>
      <c r="O15" s="4250"/>
      <c r="P15" s="4283">
        <f t="shared" si="1"/>
        <v>7</v>
      </c>
      <c r="Q15" s="4284">
        <f t="shared" si="8"/>
        <v>42</v>
      </c>
      <c r="R15" s="4285">
        <f t="shared" si="2"/>
        <v>12583.233</v>
      </c>
      <c r="S15" s="4250"/>
      <c r="T15" s="4250"/>
      <c r="U15" s="4286"/>
      <c r="V15" s="4282"/>
    </row>
    <row r="16" spans="1:23" x14ac:dyDescent="0.2">
      <c r="A16" s="4239">
        <v>9</v>
      </c>
      <c r="B16" s="4240" t="str">
        <f t="shared" si="3"/>
        <v>1-й год 9-й мес</v>
      </c>
      <c r="C16" s="4241">
        <f t="shared" si="9"/>
        <v>45037</v>
      </c>
      <c r="D16" s="4242">
        <f t="shared" si="10"/>
        <v>383</v>
      </c>
      <c r="E16" s="4243">
        <f t="shared" si="4"/>
        <v>254.28782226031817</v>
      </c>
      <c r="F16" s="4243">
        <f t="shared" si="11"/>
        <v>128.71217773968183</v>
      </c>
      <c r="G16" s="4244">
        <f t="shared" si="5"/>
        <v>10380.674232065403</v>
      </c>
      <c r="H16" s="4245">
        <f t="shared" si="0"/>
        <v>420.56460294642864</v>
      </c>
      <c r="I16" s="4246">
        <f t="shared" si="12"/>
        <v>299.60078571428573</v>
      </c>
      <c r="J16" s="4246">
        <f t="shared" si="6"/>
        <v>120.96381723214292</v>
      </c>
      <c r="K16" s="4247">
        <f t="shared" si="7"/>
        <v>9886.8259285714357</v>
      </c>
      <c r="L16" s="4248"/>
      <c r="M16" s="4249"/>
      <c r="N16" s="4250"/>
      <c r="O16" s="4250"/>
      <c r="P16" s="4283">
        <f t="shared" si="1"/>
        <v>7</v>
      </c>
      <c r="Q16" s="4284">
        <f t="shared" si="8"/>
        <v>42</v>
      </c>
      <c r="R16" s="4285">
        <f t="shared" si="2"/>
        <v>12583.233</v>
      </c>
      <c r="S16" s="4250"/>
      <c r="T16" s="4250"/>
      <c r="U16" s="4286"/>
      <c r="V16" s="4282"/>
    </row>
    <row r="17" spans="1:22" x14ac:dyDescent="0.2">
      <c r="A17" s="4239">
        <v>10</v>
      </c>
      <c r="B17" s="4240" t="str">
        <f t="shared" si="3"/>
        <v>1-й год 10-й мес</v>
      </c>
      <c r="C17" s="4241">
        <f t="shared" si="9"/>
        <v>45067</v>
      </c>
      <c r="D17" s="4242">
        <f t="shared" si="10"/>
        <v>383</v>
      </c>
      <c r="E17" s="4243">
        <f t="shared" si="4"/>
        <v>261.41813056964492</v>
      </c>
      <c r="F17" s="4243">
        <f t="shared" si="11"/>
        <v>121.58186943035507</v>
      </c>
      <c r="G17" s="4244">
        <f t="shared" si="5"/>
        <v>10119.256101495757</v>
      </c>
      <c r="H17" s="4245">
        <f t="shared" si="0"/>
        <v>417.00684361607154</v>
      </c>
      <c r="I17" s="4246">
        <f t="shared" si="12"/>
        <v>299.60078571428573</v>
      </c>
      <c r="J17" s="4246">
        <f t="shared" si="6"/>
        <v>117.4060579017858</v>
      </c>
      <c r="K17" s="4247">
        <f t="shared" si="7"/>
        <v>9587.2251428571508</v>
      </c>
      <c r="L17" s="4248"/>
      <c r="M17" s="4249"/>
      <c r="N17" s="4250"/>
      <c r="O17" s="4250"/>
      <c r="P17" s="4283">
        <f t="shared" si="1"/>
        <v>7</v>
      </c>
      <c r="Q17" s="4284">
        <f t="shared" si="8"/>
        <v>42</v>
      </c>
      <c r="R17" s="4285">
        <f t="shared" si="2"/>
        <v>12583.233</v>
      </c>
      <c r="S17" s="4250"/>
      <c r="T17" s="4250"/>
      <c r="U17" s="4286"/>
      <c r="V17" s="4282"/>
    </row>
    <row r="18" spans="1:22" x14ac:dyDescent="0.2">
      <c r="A18" s="4239">
        <v>11</v>
      </c>
      <c r="B18" s="4240" t="str">
        <f t="shared" si="3"/>
        <v>1-й год 11-й мес</v>
      </c>
      <c r="C18" s="4241">
        <f t="shared" si="9"/>
        <v>45098</v>
      </c>
      <c r="D18" s="4242">
        <f t="shared" si="10"/>
        <v>383</v>
      </c>
      <c r="E18" s="4243">
        <f t="shared" si="4"/>
        <v>260.52927718258218</v>
      </c>
      <c r="F18" s="4243">
        <f t="shared" si="11"/>
        <v>122.47072281741785</v>
      </c>
      <c r="G18" s="4244">
        <f>G17-E18-L18-M18</f>
        <v>9858.7268243131748</v>
      </c>
      <c r="H18" s="4245">
        <f t="shared" si="0"/>
        <v>413.44908428571443</v>
      </c>
      <c r="I18" s="4246">
        <f t="shared" si="12"/>
        <v>299.60078571428573</v>
      </c>
      <c r="J18" s="4246">
        <f t="shared" si="6"/>
        <v>113.84829857142867</v>
      </c>
      <c r="K18" s="4247">
        <f>K17-I18-L18-M18</f>
        <v>9287.6243571428658</v>
      </c>
      <c r="L18" s="4248"/>
      <c r="M18" s="4249"/>
      <c r="N18" s="4250"/>
      <c r="O18" s="4250"/>
      <c r="P18" s="4283">
        <f t="shared" si="1"/>
        <v>7</v>
      </c>
      <c r="Q18" s="4284">
        <f t="shared" si="8"/>
        <v>42</v>
      </c>
      <c r="R18" s="4285">
        <f t="shared" si="2"/>
        <v>12583.233</v>
      </c>
      <c r="S18" s="4250"/>
      <c r="T18" s="4250"/>
      <c r="U18" s="4286"/>
      <c r="V18" s="4282"/>
    </row>
    <row r="19" spans="1:22" x14ac:dyDescent="0.2">
      <c r="A19" s="4239">
        <v>12</v>
      </c>
      <c r="B19" s="4240" t="str">
        <f t="shared" si="3"/>
        <v>1-й год 12-й мес</v>
      </c>
      <c r="C19" s="4241">
        <f t="shared" si="9"/>
        <v>45128</v>
      </c>
      <c r="D19" s="4242">
        <f t="shared" si="10"/>
        <v>383</v>
      </c>
      <c r="E19" s="4243">
        <f t="shared" si="4"/>
        <v>267.53135020838675</v>
      </c>
      <c r="F19" s="4243">
        <f t="shared" si="11"/>
        <v>115.46864979161323</v>
      </c>
      <c r="G19" s="4244">
        <f t="shared" si="5"/>
        <v>9591.1954741047884</v>
      </c>
      <c r="H19" s="4245">
        <f t="shared" si="0"/>
        <v>409.89132495535728</v>
      </c>
      <c r="I19" s="4246">
        <f t="shared" si="12"/>
        <v>299.60078571428573</v>
      </c>
      <c r="J19" s="4246">
        <f t="shared" si="6"/>
        <v>110.29053924107153</v>
      </c>
      <c r="K19" s="4247">
        <f t="shared" si="7"/>
        <v>8988.0235714285809</v>
      </c>
      <c r="L19" s="4248"/>
      <c r="M19" s="4249"/>
      <c r="N19" s="4250"/>
      <c r="O19" s="4250"/>
      <c r="P19" s="4283">
        <f t="shared" si="1"/>
        <v>7</v>
      </c>
      <c r="Q19" s="4284">
        <f t="shared" si="8"/>
        <v>42</v>
      </c>
      <c r="R19" s="4285">
        <f t="shared" si="2"/>
        <v>12583.233</v>
      </c>
      <c r="S19" s="4250">
        <f>I19+I20+I21+I22+I23+I24+I25+I26+I27+I28+I29+I30</f>
        <v>3595.2094285714297</v>
      </c>
      <c r="T19" s="4250">
        <f>J19+J20+J21+J22+J23+J24+J25+J26+J27+J28+J29+J30</f>
        <v>1088.6743550892872</v>
      </c>
      <c r="U19" s="4286"/>
      <c r="V19" s="4282"/>
    </row>
    <row r="20" spans="1:22" x14ac:dyDescent="0.2">
      <c r="A20" s="4251">
        <v>13</v>
      </c>
      <c r="B20" s="4240" t="str">
        <f t="shared" si="3"/>
        <v>2-й год 1-й мес</v>
      </c>
      <c r="C20" s="4241">
        <f t="shared" si="9"/>
        <v>45159</v>
      </c>
      <c r="D20" s="4242">
        <f t="shared" si="10"/>
        <v>383</v>
      </c>
      <c r="E20" s="4252">
        <f t="shared" si="4"/>
        <v>266.92025751545782</v>
      </c>
      <c r="F20" s="4243">
        <f t="shared" si="11"/>
        <v>116.07974248454221</v>
      </c>
      <c r="G20" s="4253">
        <f t="shared" si="5"/>
        <v>9324.2752165893307</v>
      </c>
      <c r="H20" s="4254">
        <f t="shared" si="0"/>
        <v>406.33356562500012</v>
      </c>
      <c r="I20" s="4255">
        <f t="shared" si="12"/>
        <v>299.60078571428573</v>
      </c>
      <c r="J20" s="4255">
        <f t="shared" si="6"/>
        <v>106.7327799107144</v>
      </c>
      <c r="K20" s="4256">
        <f t="shared" si="7"/>
        <v>8688.422785714296</v>
      </c>
      <c r="L20" s="4257"/>
      <c r="M20" s="4258"/>
      <c r="N20" s="4250"/>
      <c r="O20" s="4250"/>
      <c r="P20" s="4283">
        <f t="shared" si="1"/>
        <v>7</v>
      </c>
      <c r="Q20" s="4284">
        <f t="shared" si="8"/>
        <v>42</v>
      </c>
      <c r="R20" s="4285">
        <f t="shared" si="2"/>
        <v>12583.233</v>
      </c>
      <c r="S20" s="4286"/>
      <c r="T20" s="4286"/>
      <c r="U20" s="4286"/>
      <c r="V20" s="4282"/>
    </row>
    <row r="21" spans="1:22" x14ac:dyDescent="0.2">
      <c r="A21" s="4259">
        <v>14</v>
      </c>
      <c r="B21" s="4240" t="str">
        <f t="shared" si="3"/>
        <v>2-й год 2-й мес</v>
      </c>
      <c r="C21" s="4241">
        <f t="shared" si="9"/>
        <v>45190</v>
      </c>
      <c r="D21" s="4242">
        <f t="shared" si="10"/>
        <v>383</v>
      </c>
      <c r="E21" s="4243">
        <f t="shared" si="4"/>
        <v>270.15072391977162</v>
      </c>
      <c r="F21" s="4243">
        <f t="shared" si="11"/>
        <v>112.84927608022841</v>
      </c>
      <c r="G21" s="4244">
        <f t="shared" si="5"/>
        <v>9054.1244926695599</v>
      </c>
      <c r="H21" s="4245">
        <f t="shared" si="0"/>
        <v>402.77580629464302</v>
      </c>
      <c r="I21" s="4246">
        <f t="shared" si="12"/>
        <v>299.60078571428573</v>
      </c>
      <c r="J21" s="4246">
        <f t="shared" si="6"/>
        <v>103.17502058035727</v>
      </c>
      <c r="K21" s="4247">
        <f t="shared" si="7"/>
        <v>8388.822000000011</v>
      </c>
      <c r="L21" s="4248"/>
      <c r="M21" s="4258"/>
      <c r="N21" s="4250"/>
      <c r="O21" s="4250"/>
      <c r="P21" s="4283">
        <f t="shared" si="1"/>
        <v>7</v>
      </c>
      <c r="Q21" s="4284">
        <f t="shared" si="8"/>
        <v>42</v>
      </c>
      <c r="R21" s="4285">
        <f t="shared" si="2"/>
        <v>12583.233</v>
      </c>
      <c r="S21" s="4286"/>
      <c r="T21" s="4286"/>
      <c r="U21" s="4286"/>
      <c r="V21" s="4282"/>
    </row>
    <row r="22" spans="1:22" x14ac:dyDescent="0.2">
      <c r="A22" s="4259">
        <v>15</v>
      </c>
      <c r="B22" s="4240" t="str">
        <f t="shared" si="3"/>
        <v>2-й год 3-й мес</v>
      </c>
      <c r="C22" s="4241">
        <f t="shared" si="9"/>
        <v>45220</v>
      </c>
      <c r="D22" s="4242">
        <f t="shared" si="10"/>
        <v>383</v>
      </c>
      <c r="E22" s="4243">
        <f t="shared" si="4"/>
        <v>276.95511724339076</v>
      </c>
      <c r="F22" s="4243">
        <f t="shared" si="11"/>
        <v>106.04488275660923</v>
      </c>
      <c r="G22" s="4244">
        <f t="shared" si="5"/>
        <v>8777.1693754261687</v>
      </c>
      <c r="H22" s="4245">
        <f t="shared" si="0"/>
        <v>399.21804696428586</v>
      </c>
      <c r="I22" s="4246">
        <f t="shared" si="12"/>
        <v>299.60078571428573</v>
      </c>
      <c r="J22" s="4246">
        <f t="shared" si="6"/>
        <v>99.617261250000141</v>
      </c>
      <c r="K22" s="4247">
        <f t="shared" si="7"/>
        <v>8089.2212142857252</v>
      </c>
      <c r="L22" s="4248"/>
      <c r="M22" s="4258"/>
      <c r="N22" s="4250"/>
      <c r="O22" s="4250"/>
      <c r="P22" s="4283">
        <f t="shared" si="1"/>
        <v>7</v>
      </c>
      <c r="Q22" s="4284">
        <f t="shared" si="8"/>
        <v>42</v>
      </c>
      <c r="R22" s="4285">
        <f t="shared" si="2"/>
        <v>12583.233</v>
      </c>
      <c r="S22" s="4286"/>
      <c r="T22" s="4286"/>
      <c r="U22" s="4286"/>
      <c r="V22" s="4282"/>
    </row>
    <row r="23" spans="1:22" x14ac:dyDescent="0.2">
      <c r="A23" s="4259">
        <v>16</v>
      </c>
      <c r="B23" s="4240" t="str">
        <f t="shared" si="3"/>
        <v>2-й год 4-й мес</v>
      </c>
      <c r="C23" s="4241">
        <f t="shared" si="9"/>
        <v>45251</v>
      </c>
      <c r="D23" s="4242">
        <f t="shared" si="10"/>
        <v>383</v>
      </c>
      <c r="E23" s="4243">
        <f t="shared" si="4"/>
        <v>276.77220351795864</v>
      </c>
      <c r="F23" s="4243">
        <f t="shared" si="11"/>
        <v>106.22779648204137</v>
      </c>
      <c r="G23" s="4244">
        <f t="shared" si="5"/>
        <v>8500.3971719082092</v>
      </c>
      <c r="H23" s="4245">
        <f t="shared" si="0"/>
        <v>395.6602876339287</v>
      </c>
      <c r="I23" s="4246">
        <f t="shared" si="12"/>
        <v>299.60078571428573</v>
      </c>
      <c r="J23" s="4246">
        <f t="shared" si="6"/>
        <v>96.059501919642983</v>
      </c>
      <c r="K23" s="4247">
        <f t="shared" si="7"/>
        <v>7789.6204285714393</v>
      </c>
      <c r="L23" s="4248"/>
      <c r="M23" s="4258"/>
      <c r="N23" s="4250"/>
      <c r="O23" s="4250" t="e">
        <f>#REF!-#REF!</f>
        <v>#REF!</v>
      </c>
      <c r="P23" s="4283">
        <f t="shared" si="1"/>
        <v>7</v>
      </c>
      <c r="Q23" s="4284">
        <f t="shared" si="8"/>
        <v>42</v>
      </c>
      <c r="R23" s="4285">
        <f t="shared" si="2"/>
        <v>12583.233</v>
      </c>
      <c r="S23" s="4286"/>
      <c r="T23" s="4286"/>
      <c r="U23" s="4286"/>
      <c r="V23" s="4282"/>
    </row>
    <row r="24" spans="1:22" x14ac:dyDescent="0.2">
      <c r="A24" s="4259">
        <v>17</v>
      </c>
      <c r="B24" s="4240" t="str">
        <f t="shared" si="3"/>
        <v>2-й год 5-й мес</v>
      </c>
      <c r="C24" s="4241">
        <f t="shared" si="9"/>
        <v>45281</v>
      </c>
      <c r="D24" s="4242">
        <f t="shared" si="10"/>
        <v>383</v>
      </c>
      <c r="E24" s="4243">
        <f t="shared" si="4"/>
        <v>283.44055367148604</v>
      </c>
      <c r="F24" s="4243">
        <f t="shared" si="11"/>
        <v>99.559446328513971</v>
      </c>
      <c r="G24" s="4244">
        <f t="shared" si="5"/>
        <v>8216.9566182367234</v>
      </c>
      <c r="H24" s="4245">
        <f t="shared" si="0"/>
        <v>392.1025283035716</v>
      </c>
      <c r="I24" s="4246">
        <f t="shared" si="12"/>
        <v>299.60078571428573</v>
      </c>
      <c r="J24" s="4246">
        <f t="shared" si="6"/>
        <v>92.50174258928584</v>
      </c>
      <c r="K24" s="4247">
        <f t="shared" si="7"/>
        <v>7490.0196428571535</v>
      </c>
      <c r="L24" s="4248"/>
      <c r="M24" s="4258"/>
      <c r="N24" s="4250"/>
      <c r="O24" s="4250"/>
      <c r="P24" s="4283">
        <f t="shared" si="1"/>
        <v>7</v>
      </c>
      <c r="Q24" s="4284">
        <f t="shared" si="8"/>
        <v>42</v>
      </c>
      <c r="R24" s="4285">
        <f t="shared" si="2"/>
        <v>12583.233</v>
      </c>
      <c r="S24" s="4286"/>
      <c r="T24" s="4286"/>
      <c r="U24" s="4286"/>
      <c r="V24" s="4282"/>
    </row>
    <row r="25" spans="1:22" x14ac:dyDescent="0.2">
      <c r="A25" s="4260">
        <v>18</v>
      </c>
      <c r="B25" s="4228" t="str">
        <f t="shared" si="3"/>
        <v>2-й год 6-й мес</v>
      </c>
      <c r="C25" s="4229">
        <f t="shared" si="9"/>
        <v>45312</v>
      </c>
      <c r="D25" s="4230">
        <f t="shared" si="10"/>
        <v>383</v>
      </c>
      <c r="E25" s="4261">
        <f t="shared" si="4"/>
        <v>283.82402770201986</v>
      </c>
      <c r="F25" s="4231">
        <f t="shared" si="11"/>
        <v>99.17597229798011</v>
      </c>
      <c r="G25" s="4262">
        <f t="shared" si="5"/>
        <v>7933.1325905347039</v>
      </c>
      <c r="H25" s="4263">
        <f t="shared" si="0"/>
        <v>388.54476897321445</v>
      </c>
      <c r="I25" s="4264">
        <f t="shared" si="12"/>
        <v>299.60078571428573</v>
      </c>
      <c r="J25" s="4264">
        <f t="shared" si="6"/>
        <v>88.943983258928697</v>
      </c>
      <c r="K25" s="4265">
        <f t="shared" si="7"/>
        <v>7190.4188571428676</v>
      </c>
      <c r="L25" s="4266"/>
      <c r="M25" s="4267"/>
      <c r="N25" s="4238"/>
      <c r="O25" s="4238"/>
      <c r="P25" s="4277">
        <f t="shared" si="1"/>
        <v>7</v>
      </c>
      <c r="Q25" s="4278">
        <f t="shared" si="8"/>
        <v>42</v>
      </c>
      <c r="R25" s="4279">
        <f t="shared" si="2"/>
        <v>12583.233</v>
      </c>
      <c r="S25" s="4238"/>
      <c r="T25" s="4238"/>
      <c r="U25" s="4281"/>
      <c r="V25" s="4282"/>
    </row>
    <row r="26" spans="1:22" x14ac:dyDescent="0.2">
      <c r="A26" s="4260">
        <v>19</v>
      </c>
      <c r="B26" s="4228" t="str">
        <f t="shared" si="3"/>
        <v>2-й год 7-й мес</v>
      </c>
      <c r="C26" s="4229">
        <f t="shared" si="9"/>
        <v>45343</v>
      </c>
      <c r="D26" s="4230">
        <f t="shared" si="10"/>
        <v>383</v>
      </c>
      <c r="E26" s="4261">
        <f t="shared" si="4"/>
        <v>287.24969065932498</v>
      </c>
      <c r="F26" s="4231">
        <f t="shared" si="11"/>
        <v>95.750309340675017</v>
      </c>
      <c r="G26" s="4262">
        <f t="shared" si="5"/>
        <v>7645.8828998753788</v>
      </c>
      <c r="H26" s="4263">
        <f t="shared" si="0"/>
        <v>384.98700964285729</v>
      </c>
      <c r="I26" s="4264">
        <f t="shared" si="12"/>
        <v>299.60078571428573</v>
      </c>
      <c r="J26" s="4264">
        <f t="shared" si="6"/>
        <v>85.386223928571539</v>
      </c>
      <c r="K26" s="4265">
        <f t="shared" si="7"/>
        <v>6890.8180714285818</v>
      </c>
      <c r="L26" s="4266"/>
      <c r="M26" s="4267"/>
      <c r="N26" s="4238"/>
      <c r="O26" s="4238"/>
      <c r="P26" s="4277">
        <f t="shared" si="1"/>
        <v>7</v>
      </c>
      <c r="Q26" s="4278">
        <f t="shared" si="8"/>
        <v>42</v>
      </c>
      <c r="R26" s="4279">
        <f t="shared" si="2"/>
        <v>12583.233</v>
      </c>
      <c r="S26" s="4238"/>
      <c r="T26" s="4238"/>
      <c r="U26" s="4281"/>
      <c r="V26" s="4282"/>
    </row>
    <row r="27" spans="1:22" x14ac:dyDescent="0.2">
      <c r="A27" s="4260">
        <v>20</v>
      </c>
      <c r="B27" s="4228" t="str">
        <f t="shared" si="3"/>
        <v>2-й год 8-й мес</v>
      </c>
      <c r="C27" s="4229">
        <f t="shared" si="9"/>
        <v>45372</v>
      </c>
      <c r="D27" s="4230">
        <f t="shared" si="10"/>
        <v>383</v>
      </c>
      <c r="E27" s="4261">
        <f t="shared" si="4"/>
        <v>296.67046151984971</v>
      </c>
      <c r="F27" s="4231">
        <f t="shared" si="11"/>
        <v>86.329538480150276</v>
      </c>
      <c r="G27" s="4262">
        <f t="shared" si="5"/>
        <v>7349.2124383555292</v>
      </c>
      <c r="H27" s="4263">
        <f t="shared" si="0"/>
        <v>381.42925031250013</v>
      </c>
      <c r="I27" s="4264">
        <f t="shared" si="12"/>
        <v>299.60078571428573</v>
      </c>
      <c r="J27" s="4264">
        <f t="shared" si="6"/>
        <v>81.82846459821441</v>
      </c>
      <c r="K27" s="4265">
        <f t="shared" si="7"/>
        <v>6591.2172857142959</v>
      </c>
      <c r="L27" s="4266"/>
      <c r="M27" s="4267"/>
      <c r="N27" s="4238"/>
      <c r="O27" s="4238"/>
      <c r="P27" s="4277">
        <f t="shared" si="1"/>
        <v>7</v>
      </c>
      <c r="Q27" s="4278">
        <f t="shared" si="8"/>
        <v>42</v>
      </c>
      <c r="R27" s="4279">
        <f t="shared" si="2"/>
        <v>12583.233</v>
      </c>
      <c r="S27" s="4238"/>
      <c r="T27" s="4238"/>
      <c r="U27" s="4281"/>
      <c r="V27" s="4282"/>
    </row>
    <row r="28" spans="1:22" x14ac:dyDescent="0.2">
      <c r="A28" s="4260">
        <v>21</v>
      </c>
      <c r="B28" s="4228" t="str">
        <f t="shared" si="3"/>
        <v>2-й год 9-й мес</v>
      </c>
      <c r="C28" s="4229">
        <f t="shared" si="9"/>
        <v>45403</v>
      </c>
      <c r="D28" s="4230">
        <f t="shared" si="10"/>
        <v>383</v>
      </c>
      <c r="E28" s="4261">
        <f t="shared" si="4"/>
        <v>294.29741544689739</v>
      </c>
      <c r="F28" s="4231">
        <f t="shared" si="11"/>
        <v>88.702584553102582</v>
      </c>
      <c r="G28" s="4262">
        <f t="shared" si="5"/>
        <v>7054.9150229086317</v>
      </c>
      <c r="H28" s="4263">
        <f t="shared" si="0"/>
        <v>377.87149098214297</v>
      </c>
      <c r="I28" s="4264">
        <f t="shared" si="12"/>
        <v>299.60078571428573</v>
      </c>
      <c r="J28" s="4264">
        <f t="shared" si="6"/>
        <v>78.270705267857267</v>
      </c>
      <c r="K28" s="4265">
        <f t="shared" si="7"/>
        <v>6291.6165000000101</v>
      </c>
      <c r="L28" s="4266"/>
      <c r="M28" s="4267"/>
      <c r="N28" s="4238"/>
      <c r="O28" s="4238"/>
      <c r="P28" s="4277">
        <f t="shared" si="1"/>
        <v>7</v>
      </c>
      <c r="Q28" s="4278">
        <f t="shared" si="8"/>
        <v>42</v>
      </c>
      <c r="R28" s="4279">
        <f t="shared" si="2"/>
        <v>12583.233</v>
      </c>
      <c r="S28" s="4238"/>
      <c r="T28" s="4238"/>
      <c r="U28" s="4281"/>
      <c r="V28" s="4282"/>
    </row>
    <row r="29" spans="1:22" x14ac:dyDescent="0.2">
      <c r="A29" s="4260">
        <v>22</v>
      </c>
      <c r="B29" s="4228" t="str">
        <f t="shared" si="3"/>
        <v>2-й год 10-й мес</v>
      </c>
      <c r="C29" s="4229">
        <f t="shared" si="9"/>
        <v>45433</v>
      </c>
      <c r="D29" s="4230">
        <f t="shared" si="10"/>
        <v>383</v>
      </c>
      <c r="E29" s="4261">
        <f t="shared" si="4"/>
        <v>300.59627944553444</v>
      </c>
      <c r="F29" s="4231">
        <f t="shared" si="11"/>
        <v>82.403720554465579</v>
      </c>
      <c r="G29" s="4262">
        <f t="shared" si="5"/>
        <v>6754.3187434630972</v>
      </c>
      <c r="H29" s="4263">
        <f t="shared" si="0"/>
        <v>374.31373165178587</v>
      </c>
      <c r="I29" s="4264">
        <f t="shared" si="12"/>
        <v>299.60078571428573</v>
      </c>
      <c r="J29" s="4264">
        <f t="shared" si="6"/>
        <v>74.712945937500123</v>
      </c>
      <c r="K29" s="4265">
        <f t="shared" si="7"/>
        <v>5992.0157142857242</v>
      </c>
      <c r="L29" s="4266"/>
      <c r="M29" s="4267"/>
      <c r="N29" s="4238"/>
      <c r="O29" s="4238"/>
      <c r="P29" s="4277">
        <f t="shared" si="1"/>
        <v>7</v>
      </c>
      <c r="Q29" s="4278">
        <f t="shared" si="8"/>
        <v>42</v>
      </c>
      <c r="R29" s="4279">
        <f t="shared" si="2"/>
        <v>12583.233</v>
      </c>
      <c r="S29" s="4238"/>
      <c r="T29" s="4238"/>
      <c r="U29" s="4281"/>
      <c r="V29" s="4282"/>
    </row>
    <row r="30" spans="1:22" x14ac:dyDescent="0.2">
      <c r="A30" s="4260">
        <v>23</v>
      </c>
      <c r="B30" s="4228" t="str">
        <f t="shared" si="3"/>
        <v>2-й год 11-й мес</v>
      </c>
      <c r="C30" s="4229">
        <f t="shared" si="9"/>
        <v>45464</v>
      </c>
      <c r="D30" s="4230">
        <f t="shared" si="10"/>
        <v>383</v>
      </c>
      <c r="E30" s="4261">
        <f t="shared" si="4"/>
        <v>301.47758729713598</v>
      </c>
      <c r="F30" s="4231">
        <f t="shared" si="11"/>
        <v>81.522412702864017</v>
      </c>
      <c r="G30" s="4262">
        <f t="shared" si="5"/>
        <v>6452.8411561659614</v>
      </c>
      <c r="H30" s="4263">
        <f t="shared" si="0"/>
        <v>370.75597232142871</v>
      </c>
      <c r="I30" s="4264">
        <f t="shared" si="12"/>
        <v>299.60078571428573</v>
      </c>
      <c r="J30" s="4264">
        <f t="shared" si="6"/>
        <v>71.15518660714298</v>
      </c>
      <c r="K30" s="4265">
        <f t="shared" si="7"/>
        <v>5692.4149285714384</v>
      </c>
      <c r="L30" s="4266"/>
      <c r="M30" s="4267"/>
      <c r="N30" s="4238"/>
      <c r="O30" s="4238"/>
      <c r="P30" s="4277">
        <f t="shared" si="1"/>
        <v>7</v>
      </c>
      <c r="Q30" s="4278">
        <f t="shared" si="8"/>
        <v>42</v>
      </c>
      <c r="R30" s="4279">
        <f t="shared" si="2"/>
        <v>12583.233</v>
      </c>
      <c r="S30" s="4238"/>
      <c r="T30" s="4238"/>
      <c r="U30" s="4281"/>
      <c r="V30" s="4282"/>
    </row>
    <row r="31" spans="1:22" x14ac:dyDescent="0.2">
      <c r="A31" s="4260">
        <v>24</v>
      </c>
      <c r="B31" s="4228" t="str">
        <f t="shared" si="3"/>
        <v>2-й год 12-й мес</v>
      </c>
      <c r="C31" s="4229">
        <f t="shared" si="9"/>
        <v>45494</v>
      </c>
      <c r="D31" s="4230">
        <f t="shared" si="10"/>
        <v>383</v>
      </c>
      <c r="E31" s="4261">
        <f t="shared" si="4"/>
        <v>307.62869961035659</v>
      </c>
      <c r="F31" s="4231">
        <f t="shared" si="11"/>
        <v>75.371300389643395</v>
      </c>
      <c r="G31" s="4262">
        <f t="shared" si="5"/>
        <v>6145.2124565556051</v>
      </c>
      <c r="H31" s="4263">
        <f t="shared" si="0"/>
        <v>367.19821299107156</v>
      </c>
      <c r="I31" s="4264">
        <f t="shared" si="12"/>
        <v>299.60078571428573</v>
      </c>
      <c r="J31" s="4264">
        <f t="shared" si="6"/>
        <v>67.597427276785822</v>
      </c>
      <c r="K31" s="4265">
        <f t="shared" si="7"/>
        <v>5392.8141428571525</v>
      </c>
      <c r="L31" s="4266"/>
      <c r="M31" s="4267"/>
      <c r="N31" s="4238"/>
      <c r="O31" s="4238"/>
      <c r="P31" s="4277">
        <f t="shared" si="1"/>
        <v>7</v>
      </c>
      <c r="Q31" s="4278">
        <f t="shared" si="8"/>
        <v>42</v>
      </c>
      <c r="R31" s="4279">
        <f t="shared" si="2"/>
        <v>12583.233</v>
      </c>
      <c r="S31" s="4238">
        <f>I31+I32+I33+I34+I35+I36+I37+I38+I39+I40+I41+I42</f>
        <v>3595.2094285714297</v>
      </c>
      <c r="T31" s="4238">
        <f>J31+J32+J33+J34+J35+J36+J37+J38+J39+J40+J41+J42</f>
        <v>576.3570115178585</v>
      </c>
      <c r="U31" s="4281"/>
      <c r="V31" s="4282"/>
    </row>
    <row r="32" spans="1:22" x14ac:dyDescent="0.2">
      <c r="A32" s="4227">
        <v>25</v>
      </c>
      <c r="B32" s="4228" t="str">
        <f t="shared" si="3"/>
        <v>3-й год 1-й мес</v>
      </c>
      <c r="C32" s="4229">
        <f t="shared" si="9"/>
        <v>45525</v>
      </c>
      <c r="D32" s="4230">
        <f t="shared" si="10"/>
        <v>383</v>
      </c>
      <c r="E32" s="4231">
        <f t="shared" si="4"/>
        <v>308.8293004731301</v>
      </c>
      <c r="F32" s="4231">
        <f t="shared" si="11"/>
        <v>74.170699526869896</v>
      </c>
      <c r="G32" s="4232">
        <f t="shared" si="5"/>
        <v>5836.3831560824747</v>
      </c>
      <c r="H32" s="4233">
        <f t="shared" si="0"/>
        <v>363.6404536607144</v>
      </c>
      <c r="I32" s="4234">
        <f t="shared" si="12"/>
        <v>299.60078571428573</v>
      </c>
      <c r="J32" s="4234">
        <f t="shared" si="6"/>
        <v>64.039667946428679</v>
      </c>
      <c r="K32" s="4235">
        <f t="shared" si="7"/>
        <v>5093.2133571428667</v>
      </c>
      <c r="L32" s="4236"/>
      <c r="M32" s="4267"/>
      <c r="N32" s="4238"/>
      <c r="O32" s="4238"/>
      <c r="P32" s="4277">
        <f t="shared" si="1"/>
        <v>7</v>
      </c>
      <c r="Q32" s="4278">
        <f t="shared" si="8"/>
        <v>42</v>
      </c>
      <c r="R32" s="4279">
        <f t="shared" si="2"/>
        <v>12583.233</v>
      </c>
      <c r="S32" s="4281"/>
      <c r="T32" s="4281"/>
      <c r="U32" s="4281"/>
      <c r="V32" s="4282"/>
    </row>
    <row r="33" spans="1:22" x14ac:dyDescent="0.2">
      <c r="A33" s="4227">
        <v>26</v>
      </c>
      <c r="B33" s="4228" t="str">
        <f t="shared" si="3"/>
        <v>3-й год 2-й мес</v>
      </c>
      <c r="C33" s="4229">
        <f t="shared" si="9"/>
        <v>45556</v>
      </c>
      <c r="D33" s="4230">
        <f t="shared" si="10"/>
        <v>383</v>
      </c>
      <c r="E33" s="4231">
        <f t="shared" si="4"/>
        <v>312.55676887433242</v>
      </c>
      <c r="F33" s="4231">
        <f t="shared" si="11"/>
        <v>70.443231125667566</v>
      </c>
      <c r="G33" s="4232">
        <f t="shared" si="5"/>
        <v>5523.8263872081425</v>
      </c>
      <c r="H33" s="4233">
        <f t="shared" si="0"/>
        <v>360.0826943303573</v>
      </c>
      <c r="I33" s="4234">
        <f t="shared" si="12"/>
        <v>299.60078571428573</v>
      </c>
      <c r="J33" s="4234">
        <f t="shared" si="6"/>
        <v>60.48190861607155</v>
      </c>
      <c r="K33" s="4235">
        <f t="shared" si="7"/>
        <v>4793.6125714285808</v>
      </c>
      <c r="L33" s="4236"/>
      <c r="M33" s="4267"/>
      <c r="N33" s="4238"/>
      <c r="O33" s="4238"/>
      <c r="P33" s="4277">
        <f t="shared" si="1"/>
        <v>7</v>
      </c>
      <c r="Q33" s="4278">
        <f t="shared" si="8"/>
        <v>42</v>
      </c>
      <c r="R33" s="4279">
        <f t="shared" si="2"/>
        <v>12583.233</v>
      </c>
      <c r="S33" s="4281"/>
      <c r="T33" s="4281"/>
      <c r="U33" s="4281"/>
      <c r="V33" s="4282"/>
    </row>
    <row r="34" spans="1:22" x14ac:dyDescent="0.2">
      <c r="A34" s="4227">
        <v>27</v>
      </c>
      <c r="B34" s="4228" t="str">
        <f t="shared" si="3"/>
        <v>3-й год 3-й мес</v>
      </c>
      <c r="C34" s="4229">
        <f t="shared" si="9"/>
        <v>45586</v>
      </c>
      <c r="D34" s="4230">
        <f t="shared" si="10"/>
        <v>383</v>
      </c>
      <c r="E34" s="4231">
        <f t="shared" si="4"/>
        <v>318.47989670679016</v>
      </c>
      <c r="F34" s="4231">
        <f t="shared" si="11"/>
        <v>64.520103293209857</v>
      </c>
      <c r="G34" s="4232">
        <f t="shared" si="5"/>
        <v>5205.3464905013525</v>
      </c>
      <c r="H34" s="4233">
        <f t="shared" si="0"/>
        <v>356.52493500000014</v>
      </c>
      <c r="I34" s="4234">
        <f t="shared" si="12"/>
        <v>299.60078571428573</v>
      </c>
      <c r="J34" s="4234">
        <f t="shared" si="6"/>
        <v>56.9241492857144</v>
      </c>
      <c r="K34" s="4235">
        <f t="shared" si="7"/>
        <v>4494.011785714295</v>
      </c>
      <c r="L34" s="4236"/>
      <c r="M34" s="4267"/>
      <c r="N34" s="4238"/>
      <c r="O34" s="4238"/>
      <c r="P34" s="4277">
        <f t="shared" si="1"/>
        <v>7</v>
      </c>
      <c r="Q34" s="4278">
        <f t="shared" si="8"/>
        <v>42</v>
      </c>
      <c r="R34" s="4279">
        <f t="shared" si="2"/>
        <v>12583.233</v>
      </c>
      <c r="S34" s="4281"/>
      <c r="T34" s="4281"/>
      <c r="U34" s="4281"/>
      <c r="V34" s="4282"/>
    </row>
    <row r="35" spans="1:22" x14ac:dyDescent="0.2">
      <c r="A35" s="4227">
        <v>28</v>
      </c>
      <c r="B35" s="4228" t="str">
        <f t="shared" si="3"/>
        <v>3-й год 4-й мес</v>
      </c>
      <c r="C35" s="4229">
        <f t="shared" si="9"/>
        <v>45617</v>
      </c>
      <c r="D35" s="4230">
        <f t="shared" si="10"/>
        <v>383</v>
      </c>
      <c r="E35" s="4231">
        <f t="shared" si="4"/>
        <v>320.17317453062918</v>
      </c>
      <c r="F35" s="4231">
        <f t="shared" si="11"/>
        <v>62.826825469370831</v>
      </c>
      <c r="G35" s="4232">
        <f t="shared" si="5"/>
        <v>4885.1733159707237</v>
      </c>
      <c r="H35" s="4233">
        <f t="shared" si="0"/>
        <v>352.96717566964298</v>
      </c>
      <c r="I35" s="4234">
        <f t="shared" si="12"/>
        <v>299.60078571428573</v>
      </c>
      <c r="J35" s="4234">
        <f t="shared" si="6"/>
        <v>53.366389955357256</v>
      </c>
      <c r="K35" s="4235">
        <f t="shared" si="7"/>
        <v>4194.4110000000092</v>
      </c>
      <c r="L35" s="4236"/>
      <c r="M35" s="4267"/>
      <c r="N35" s="4238"/>
      <c r="O35" s="4238" t="e">
        <f>#REF!-#REF!</f>
        <v>#REF!</v>
      </c>
      <c r="P35" s="4277">
        <f t="shared" si="1"/>
        <v>7</v>
      </c>
      <c r="Q35" s="4278">
        <f t="shared" si="8"/>
        <v>42</v>
      </c>
      <c r="R35" s="4279">
        <f t="shared" si="2"/>
        <v>12583.233</v>
      </c>
      <c r="S35" s="4281"/>
      <c r="T35" s="4281"/>
      <c r="U35" s="4281"/>
      <c r="V35" s="4282"/>
    </row>
    <row r="36" spans="1:22" x14ac:dyDescent="0.2">
      <c r="A36" s="4227">
        <v>29</v>
      </c>
      <c r="B36" s="4228" t="str">
        <f t="shared" si="3"/>
        <v>3-й год 5-й мес</v>
      </c>
      <c r="C36" s="4229">
        <f t="shared" si="9"/>
        <v>45647</v>
      </c>
      <c r="D36" s="4230">
        <f t="shared" si="10"/>
        <v>383</v>
      </c>
      <c r="E36" s="4231">
        <f t="shared" si="4"/>
        <v>325.9395739732928</v>
      </c>
      <c r="F36" s="4231">
        <f t="shared" si="11"/>
        <v>57.060426026707219</v>
      </c>
      <c r="G36" s="4232">
        <f t="shared" si="5"/>
        <v>4559.233741997431</v>
      </c>
      <c r="H36" s="4233">
        <f t="shared" si="0"/>
        <v>349.40941633928583</v>
      </c>
      <c r="I36" s="4234">
        <f t="shared" si="12"/>
        <v>299.60078571428573</v>
      </c>
      <c r="J36" s="4234">
        <f t="shared" si="6"/>
        <v>49.808630625000106</v>
      </c>
      <c r="K36" s="4235">
        <f t="shared" si="7"/>
        <v>3894.8102142857233</v>
      </c>
      <c r="L36" s="4236"/>
      <c r="M36" s="4267"/>
      <c r="N36" s="4238"/>
      <c r="O36" s="4238"/>
      <c r="P36" s="4277">
        <f t="shared" si="1"/>
        <v>7</v>
      </c>
      <c r="Q36" s="4278">
        <f t="shared" si="8"/>
        <v>42</v>
      </c>
      <c r="R36" s="4279">
        <f t="shared" si="2"/>
        <v>12583.233</v>
      </c>
      <c r="S36" s="4281"/>
      <c r="T36" s="4281"/>
      <c r="U36" s="4281"/>
      <c r="V36" s="4282"/>
    </row>
    <row r="37" spans="1:22" x14ac:dyDescent="0.2">
      <c r="A37" s="4239">
        <v>30</v>
      </c>
      <c r="B37" s="4240" t="str">
        <f t="shared" si="3"/>
        <v>3-й год 6-й мес</v>
      </c>
      <c r="C37" s="4241">
        <f t="shared" si="9"/>
        <v>45678</v>
      </c>
      <c r="D37" s="4242">
        <f t="shared" si="10"/>
        <v>383</v>
      </c>
      <c r="E37" s="4243">
        <f t="shared" si="4"/>
        <v>327.82078067048315</v>
      </c>
      <c r="F37" s="4243">
        <f t="shared" si="11"/>
        <v>55.179219329516854</v>
      </c>
      <c r="G37" s="4244">
        <f t="shared" si="5"/>
        <v>4231.4129613269479</v>
      </c>
      <c r="H37" s="4245">
        <f t="shared" si="0"/>
        <v>345.85165700892867</v>
      </c>
      <c r="I37" s="4246">
        <f t="shared" si="12"/>
        <v>299.60078571428573</v>
      </c>
      <c r="J37" s="4246">
        <f t="shared" si="6"/>
        <v>46.250871294642963</v>
      </c>
      <c r="K37" s="4247">
        <f t="shared" si="7"/>
        <v>3595.2094285714375</v>
      </c>
      <c r="L37" s="4248"/>
      <c r="M37" s="4258"/>
      <c r="N37" s="4250"/>
      <c r="O37" s="4250"/>
      <c r="P37" s="4283">
        <f t="shared" si="1"/>
        <v>7</v>
      </c>
      <c r="Q37" s="4284">
        <f t="shared" si="8"/>
        <v>42</v>
      </c>
      <c r="R37" s="4285">
        <f t="shared" si="2"/>
        <v>12583.233</v>
      </c>
      <c r="S37" s="4250"/>
      <c r="T37" s="4250"/>
      <c r="U37" s="4286"/>
      <c r="V37" s="4282"/>
    </row>
    <row r="38" spans="1:22" x14ac:dyDescent="0.2">
      <c r="A38" s="4239">
        <v>31</v>
      </c>
      <c r="B38" s="4240" t="str">
        <f t="shared" si="3"/>
        <v>3-й год 7-й мес</v>
      </c>
      <c r="C38" s="4241">
        <f t="shared" si="9"/>
        <v>45709</v>
      </c>
      <c r="D38" s="4242">
        <f t="shared" si="10"/>
        <v>383</v>
      </c>
      <c r="E38" s="4243">
        <f t="shared" si="4"/>
        <v>331.78831025572111</v>
      </c>
      <c r="F38" s="4243">
        <f t="shared" si="11"/>
        <v>51.211689744278885</v>
      </c>
      <c r="G38" s="4244">
        <f t="shared" si="5"/>
        <v>3899.6246510712267</v>
      </c>
      <c r="H38" s="4245">
        <f t="shared" si="0"/>
        <v>342.29389767857157</v>
      </c>
      <c r="I38" s="4246">
        <f t="shared" si="12"/>
        <v>299.60078571428573</v>
      </c>
      <c r="J38" s="4246">
        <f t="shared" si="6"/>
        <v>42.693111964285819</v>
      </c>
      <c r="K38" s="4247">
        <f t="shared" si="7"/>
        <v>3295.6086428571516</v>
      </c>
      <c r="L38" s="4248"/>
      <c r="M38" s="4258"/>
      <c r="N38" s="4250"/>
      <c r="O38" s="4250"/>
      <c r="P38" s="4283">
        <f t="shared" si="1"/>
        <v>7</v>
      </c>
      <c r="Q38" s="4284">
        <f t="shared" si="8"/>
        <v>42</v>
      </c>
      <c r="R38" s="4285">
        <f t="shared" si="2"/>
        <v>12583.233</v>
      </c>
      <c r="S38" s="4250"/>
      <c r="T38" s="4250"/>
      <c r="U38" s="4286"/>
      <c r="V38" s="4282"/>
    </row>
    <row r="39" spans="1:22" x14ac:dyDescent="0.2">
      <c r="A39" s="4239">
        <v>32</v>
      </c>
      <c r="B39" s="4240" t="str">
        <f t="shared" si="3"/>
        <v>3-й год 8-й мес</v>
      </c>
      <c r="C39" s="4241">
        <f t="shared" si="9"/>
        <v>45737</v>
      </c>
      <c r="D39" s="4242">
        <f t="shared" si="10"/>
        <v>383</v>
      </c>
      <c r="E39" s="4243">
        <f t="shared" si="4"/>
        <v>340.37122641705702</v>
      </c>
      <c r="F39" s="4243">
        <f t="shared" si="11"/>
        <v>42.628773582943005</v>
      </c>
      <c r="G39" s="4244">
        <f t="shared" si="5"/>
        <v>3559.2534246541695</v>
      </c>
      <c r="H39" s="4245">
        <f t="shared" si="0"/>
        <v>338.73613834821441</v>
      </c>
      <c r="I39" s="4246">
        <f t="shared" si="12"/>
        <v>299.60078571428573</v>
      </c>
      <c r="J39" s="4246">
        <f t="shared" si="6"/>
        <v>39.135352633928676</v>
      </c>
      <c r="K39" s="4247">
        <f t="shared" si="7"/>
        <v>2996.0078571428658</v>
      </c>
      <c r="L39" s="4248"/>
      <c r="M39" s="4258"/>
      <c r="N39" s="4250"/>
      <c r="O39" s="4250"/>
      <c r="P39" s="4283">
        <f t="shared" si="1"/>
        <v>7</v>
      </c>
      <c r="Q39" s="4284">
        <f t="shared" si="8"/>
        <v>42</v>
      </c>
      <c r="R39" s="4285">
        <f t="shared" si="2"/>
        <v>12583.233</v>
      </c>
      <c r="S39" s="4250"/>
      <c r="T39" s="4250"/>
      <c r="U39" s="4286"/>
      <c r="V39" s="4282"/>
    </row>
    <row r="40" spans="1:22" x14ac:dyDescent="0.2">
      <c r="A40" s="4239">
        <v>33</v>
      </c>
      <c r="B40" s="4240" t="str">
        <f t="shared" si="3"/>
        <v>3-й год 9-й мес</v>
      </c>
      <c r="C40" s="4241">
        <f t="shared" si="9"/>
        <v>45768</v>
      </c>
      <c r="D40" s="4242">
        <f t="shared" si="10"/>
        <v>383</v>
      </c>
      <c r="E40" s="4243">
        <f t="shared" si="4"/>
        <v>339.92328218243892</v>
      </c>
      <c r="F40" s="4243">
        <f t="shared" si="11"/>
        <v>43.076717817561075</v>
      </c>
      <c r="G40" s="4244">
        <f t="shared" si="5"/>
        <v>3219.3301424717306</v>
      </c>
      <c r="H40" s="4245">
        <f t="shared" si="0"/>
        <v>335.17837901785725</v>
      </c>
      <c r="I40" s="4246">
        <f t="shared" si="12"/>
        <v>299.60078571428573</v>
      </c>
      <c r="J40" s="4246">
        <f t="shared" si="6"/>
        <v>35.577593303571533</v>
      </c>
      <c r="K40" s="4247">
        <f t="shared" si="7"/>
        <v>2696.4070714285799</v>
      </c>
      <c r="L40" s="4248"/>
      <c r="M40" s="4258"/>
      <c r="N40" s="4250"/>
      <c r="O40" s="4250"/>
      <c r="P40" s="4283">
        <f t="shared" si="1"/>
        <v>7</v>
      </c>
      <c r="Q40" s="4284">
        <f t="shared" si="8"/>
        <v>42</v>
      </c>
      <c r="R40" s="4285">
        <f t="shared" si="2"/>
        <v>12583.233</v>
      </c>
      <c r="S40" s="4250"/>
      <c r="T40" s="4250"/>
      <c r="U40" s="4286"/>
      <c r="V40" s="4282"/>
    </row>
    <row r="41" spans="1:22" x14ac:dyDescent="0.2">
      <c r="A41" s="4239">
        <v>34</v>
      </c>
      <c r="B41" s="4240" t="str">
        <f t="shared" si="3"/>
        <v>3-й год 10-й мес</v>
      </c>
      <c r="C41" s="4241">
        <f t="shared" si="9"/>
        <v>45798</v>
      </c>
      <c r="D41" s="4242">
        <f t="shared" si="10"/>
        <v>383</v>
      </c>
      <c r="E41" s="4243">
        <f t="shared" si="4"/>
        <v>345.29414696146125</v>
      </c>
      <c r="F41" s="4243">
        <f t="shared" si="11"/>
        <v>37.705853038538763</v>
      </c>
      <c r="G41" s="4244">
        <f t="shared" si="5"/>
        <v>2874.0359955102695</v>
      </c>
      <c r="H41" s="4245">
        <f t="shared" si="0"/>
        <v>331.62061968750015</v>
      </c>
      <c r="I41" s="4246">
        <f t="shared" si="12"/>
        <v>299.60078571428573</v>
      </c>
      <c r="J41" s="4246">
        <f t="shared" si="6"/>
        <v>32.019833973214389</v>
      </c>
      <c r="K41" s="4247">
        <f t="shared" si="7"/>
        <v>2396.8062857142941</v>
      </c>
      <c r="L41" s="4248"/>
      <c r="M41" s="4258"/>
      <c r="N41" s="4250"/>
      <c r="O41" s="4250"/>
      <c r="P41" s="4283">
        <f t="shared" si="1"/>
        <v>7</v>
      </c>
      <c r="Q41" s="4284">
        <f t="shared" si="8"/>
        <v>42</v>
      </c>
      <c r="R41" s="4285">
        <f t="shared" si="2"/>
        <v>12583.233</v>
      </c>
      <c r="S41" s="4250"/>
      <c r="T41" s="4250"/>
      <c r="U41" s="4286"/>
      <c r="V41" s="4282"/>
    </row>
    <row r="42" spans="1:22" x14ac:dyDescent="0.2">
      <c r="A42" s="4239">
        <v>35</v>
      </c>
      <c r="B42" s="4240" t="str">
        <f t="shared" si="3"/>
        <v>3-й год 11-й мес</v>
      </c>
      <c r="C42" s="4241">
        <f t="shared" si="9"/>
        <v>45829</v>
      </c>
      <c r="D42" s="4242">
        <f t="shared" si="10"/>
        <v>383</v>
      </c>
      <c r="E42" s="4243">
        <f t="shared" si="4"/>
        <v>348.21629038310516</v>
      </c>
      <c r="F42" s="4243">
        <f t="shared" si="11"/>
        <v>34.783709616894832</v>
      </c>
      <c r="G42" s="4244">
        <f t="shared" si="5"/>
        <v>2525.8197051271645</v>
      </c>
      <c r="H42" s="4245">
        <f t="shared" si="0"/>
        <v>328.06286035714299</v>
      </c>
      <c r="I42" s="4246">
        <f t="shared" si="12"/>
        <v>299.60078571428573</v>
      </c>
      <c r="J42" s="4246">
        <f t="shared" si="6"/>
        <v>28.462074642857242</v>
      </c>
      <c r="K42" s="4247">
        <f t="shared" si="7"/>
        <v>2097.2055000000082</v>
      </c>
      <c r="L42" s="4248"/>
      <c r="M42" s="4258"/>
      <c r="N42" s="4250"/>
      <c r="O42" s="4250"/>
      <c r="P42" s="4283">
        <f t="shared" si="1"/>
        <v>7</v>
      </c>
      <c r="Q42" s="4284">
        <f t="shared" si="8"/>
        <v>42</v>
      </c>
      <c r="R42" s="4285">
        <f t="shared" si="2"/>
        <v>12583.233</v>
      </c>
      <c r="S42" s="4250"/>
      <c r="T42" s="4250"/>
      <c r="U42" s="4286"/>
      <c r="V42" s="4282"/>
    </row>
    <row r="43" spans="1:22" x14ac:dyDescent="0.2">
      <c r="A43" s="4239">
        <v>36</v>
      </c>
      <c r="B43" s="4240" t="str">
        <f t="shared" si="3"/>
        <v>3-й год 12-й мес</v>
      </c>
      <c r="C43" s="4241">
        <f t="shared" si="9"/>
        <v>45859</v>
      </c>
      <c r="D43" s="4242">
        <f t="shared" si="10"/>
        <v>383</v>
      </c>
      <c r="E43" s="4243">
        <f t="shared" si="4"/>
        <v>353.41676920707226</v>
      </c>
      <c r="F43" s="4243">
        <f t="shared" si="11"/>
        <v>29.583230792927747</v>
      </c>
      <c r="G43" s="4244">
        <f t="shared" si="5"/>
        <v>2172.4029359200922</v>
      </c>
      <c r="H43" s="4245">
        <f t="shared" si="0"/>
        <v>324.50510102678584</v>
      </c>
      <c r="I43" s="4246">
        <f t="shared" si="12"/>
        <v>299.60078571428573</v>
      </c>
      <c r="J43" s="4246">
        <f t="shared" si="6"/>
        <v>24.904315312500099</v>
      </c>
      <c r="K43" s="4247">
        <f t="shared" si="7"/>
        <v>1797.6047142857224</v>
      </c>
      <c r="L43" s="4248"/>
      <c r="M43" s="4258"/>
      <c r="N43" s="4250"/>
      <c r="O43" s="4250"/>
      <c r="P43" s="4283">
        <f t="shared" si="1"/>
        <v>7</v>
      </c>
      <c r="Q43" s="4284">
        <f t="shared" si="8"/>
        <v>42</v>
      </c>
      <c r="R43" s="4285">
        <f t="shared" si="2"/>
        <v>12583.233</v>
      </c>
      <c r="S43" s="4250">
        <f>I43+I44+I45+I46+I47+I48+I49+I50+I51+I52+I53+I54</f>
        <v>2097.2055000000082</v>
      </c>
      <c r="T43" s="4250">
        <f>J43+J44+J45+J46+J47+J48+J49+J50+J51+J52+J53+J54</f>
        <v>99.617261250000738</v>
      </c>
      <c r="U43" s="4286"/>
      <c r="V43" s="4282"/>
    </row>
    <row r="44" spans="1:22" x14ac:dyDescent="0.2">
      <c r="A44" s="4251">
        <v>37</v>
      </c>
      <c r="B44" s="4240" t="str">
        <f t="shared" si="3"/>
        <v>4-й год 1-й мес</v>
      </c>
      <c r="C44" s="4241">
        <f t="shared" si="9"/>
        <v>45890</v>
      </c>
      <c r="D44" s="4242">
        <f t="shared" si="10"/>
        <v>383</v>
      </c>
      <c r="E44" s="4252">
        <f t="shared" si="4"/>
        <v>356.70797268650136</v>
      </c>
      <c r="F44" s="4243">
        <f t="shared" si="11"/>
        <v>26.292027313498647</v>
      </c>
      <c r="G44" s="4253">
        <f t="shared" si="5"/>
        <v>1815.6949632335909</v>
      </c>
      <c r="H44" s="4254">
        <f t="shared" si="0"/>
        <v>320.94734169642868</v>
      </c>
      <c r="I44" s="4255">
        <f t="shared" si="12"/>
        <v>299.60078571428573</v>
      </c>
      <c r="J44" s="4255">
        <f t="shared" si="6"/>
        <v>21.346555982142956</v>
      </c>
      <c r="K44" s="4256">
        <f t="shared" si="7"/>
        <v>1498.0039285714365</v>
      </c>
      <c r="L44" s="4257"/>
      <c r="M44" s="4258"/>
      <c r="N44" s="4250"/>
      <c r="O44" s="4250"/>
      <c r="P44" s="4283">
        <f t="shared" si="1"/>
        <v>7</v>
      </c>
      <c r="Q44" s="4284">
        <f t="shared" si="8"/>
        <v>42</v>
      </c>
      <c r="R44" s="4285">
        <f t="shared" si="2"/>
        <v>12583.233</v>
      </c>
      <c r="S44" s="4286"/>
      <c r="T44" s="4286"/>
      <c r="U44" s="4286"/>
      <c r="V44" s="4282"/>
    </row>
    <row r="45" spans="1:22" x14ac:dyDescent="0.2">
      <c r="A45" s="4259">
        <v>38</v>
      </c>
      <c r="B45" s="4240" t="str">
        <f t="shared" si="3"/>
        <v>4-й год 2-й мес</v>
      </c>
      <c r="C45" s="4241">
        <f t="shared" si="9"/>
        <v>45921</v>
      </c>
      <c r="D45" s="4242">
        <f t="shared" si="10"/>
        <v>383</v>
      </c>
      <c r="E45" s="4243">
        <f t="shared" si="4"/>
        <v>361.02511643812494</v>
      </c>
      <c r="F45" s="4243">
        <f t="shared" si="11"/>
        <v>21.974883561875036</v>
      </c>
      <c r="G45" s="4244">
        <f t="shared" si="5"/>
        <v>1454.6698467954659</v>
      </c>
      <c r="H45" s="4245">
        <f t="shared" si="0"/>
        <v>317.38958236607152</v>
      </c>
      <c r="I45" s="4246">
        <f t="shared" si="12"/>
        <v>299.60078571428573</v>
      </c>
      <c r="J45" s="4246">
        <f t="shared" si="6"/>
        <v>17.788796651785809</v>
      </c>
      <c r="K45" s="4247">
        <f t="shared" si="7"/>
        <v>1198.4031428571507</v>
      </c>
      <c r="L45" s="4248"/>
      <c r="M45" s="4258"/>
      <c r="N45" s="4250"/>
      <c r="O45" s="4250"/>
      <c r="P45" s="4283">
        <f t="shared" si="1"/>
        <v>7</v>
      </c>
      <c r="Q45" s="4284">
        <f t="shared" si="8"/>
        <v>42</v>
      </c>
      <c r="R45" s="4285">
        <f t="shared" si="2"/>
        <v>12583.233</v>
      </c>
      <c r="S45" s="4286"/>
      <c r="T45" s="4286"/>
      <c r="U45" s="4286"/>
      <c r="V45" s="4282"/>
    </row>
    <row r="46" spans="1:22" x14ac:dyDescent="0.2">
      <c r="A46" s="4259">
        <v>39</v>
      </c>
      <c r="B46" s="4240" t="str">
        <f t="shared" si="3"/>
        <v>4-й год 3-й мес</v>
      </c>
      <c r="C46" s="4241">
        <f t="shared" si="9"/>
        <v>45951</v>
      </c>
      <c r="D46" s="4242">
        <f t="shared" si="10"/>
        <v>383</v>
      </c>
      <c r="E46" s="4243">
        <f t="shared" si="4"/>
        <v>365.96242850671064</v>
      </c>
      <c r="F46" s="4243">
        <f t="shared" si="11"/>
        <v>17.037571493289359</v>
      </c>
      <c r="G46" s="4244">
        <f t="shared" si="5"/>
        <v>1088.7074182887552</v>
      </c>
      <c r="H46" s="4245">
        <f t="shared" si="0"/>
        <v>313.83182303571442</v>
      </c>
      <c r="I46" s="4246">
        <f t="shared" si="12"/>
        <v>299.60078571428573</v>
      </c>
      <c r="J46" s="4246">
        <f t="shared" si="6"/>
        <v>14.231037321428664</v>
      </c>
      <c r="K46" s="4247">
        <f t="shared" si="7"/>
        <v>898.80235714286493</v>
      </c>
      <c r="L46" s="4248"/>
      <c r="M46" s="4258"/>
      <c r="N46" s="4250"/>
      <c r="O46" s="4250"/>
      <c r="P46" s="4283">
        <f t="shared" si="1"/>
        <v>7</v>
      </c>
      <c r="Q46" s="4284">
        <f t="shared" si="8"/>
        <v>42</v>
      </c>
      <c r="R46" s="4285">
        <f t="shared" si="2"/>
        <v>12583.233</v>
      </c>
      <c r="S46" s="4286"/>
      <c r="T46" s="4286"/>
      <c r="U46" s="4286"/>
      <c r="V46" s="4282"/>
    </row>
    <row r="47" spans="1:22" x14ac:dyDescent="0.2">
      <c r="A47" s="4259">
        <v>40</v>
      </c>
      <c r="B47" s="4240" t="str">
        <f t="shared" si="3"/>
        <v>4-й год 4-й мес</v>
      </c>
      <c r="C47" s="4241">
        <f t="shared" si="9"/>
        <v>45982</v>
      </c>
      <c r="D47" s="4242">
        <f t="shared" si="10"/>
        <v>383</v>
      </c>
      <c r="E47" s="4243">
        <f t="shared" si="4"/>
        <v>369.82365747865595</v>
      </c>
      <c r="F47" s="4243">
        <f t="shared" si="11"/>
        <v>13.176342521344045</v>
      </c>
      <c r="G47" s="4244">
        <f t="shared" si="5"/>
        <v>718.88376081009926</v>
      </c>
      <c r="H47" s="4245">
        <f t="shared" si="0"/>
        <v>310.27406370535726</v>
      </c>
      <c r="I47" s="4246">
        <f t="shared" si="12"/>
        <v>299.60078571428573</v>
      </c>
      <c r="J47" s="4246">
        <f t="shared" si="6"/>
        <v>10.673277991071521</v>
      </c>
      <c r="K47" s="4247">
        <f t="shared" si="7"/>
        <v>599.2015714285792</v>
      </c>
      <c r="L47" s="4248"/>
      <c r="M47" s="4258"/>
      <c r="N47" s="4250"/>
      <c r="O47" s="4250" t="e">
        <f>#REF!-#REF!</f>
        <v>#REF!</v>
      </c>
      <c r="P47" s="4283">
        <f t="shared" si="1"/>
        <v>7</v>
      </c>
      <c r="Q47" s="4284">
        <f t="shared" si="8"/>
        <v>42</v>
      </c>
      <c r="R47" s="4285">
        <f t="shared" si="2"/>
        <v>12583.233</v>
      </c>
      <c r="S47" s="4286"/>
      <c r="T47" s="4286"/>
      <c r="U47" s="4286"/>
      <c r="V47" s="4282"/>
    </row>
    <row r="48" spans="1:22" x14ac:dyDescent="0.2">
      <c r="A48" s="4259">
        <v>41</v>
      </c>
      <c r="B48" s="4240" t="str">
        <f t="shared" si="3"/>
        <v>4-й год 5-й мес</v>
      </c>
      <c r="C48" s="4241">
        <f t="shared" si="9"/>
        <v>46012</v>
      </c>
      <c r="D48" s="4242">
        <f t="shared" si="10"/>
        <v>383</v>
      </c>
      <c r="E48" s="4243">
        <f t="shared" si="4"/>
        <v>374.5801970480461</v>
      </c>
      <c r="F48" s="4243">
        <f t="shared" si="11"/>
        <v>8.419802951953903</v>
      </c>
      <c r="G48" s="4244">
        <f t="shared" si="5"/>
        <v>344.30356376205316</v>
      </c>
      <c r="H48" s="4245">
        <f t="shared" si="0"/>
        <v>306.71630437500011</v>
      </c>
      <c r="I48" s="4246">
        <f t="shared" si="12"/>
        <v>299.60078571428573</v>
      </c>
      <c r="J48" s="4246">
        <f t="shared" si="6"/>
        <v>7.115518660714379</v>
      </c>
      <c r="K48" s="4247">
        <f t="shared" si="7"/>
        <v>299.60078571429347</v>
      </c>
      <c r="L48" s="4248"/>
      <c r="M48" s="4258"/>
      <c r="N48" s="4250"/>
      <c r="O48" s="4250"/>
      <c r="P48" s="4283">
        <f t="shared" si="1"/>
        <v>7</v>
      </c>
      <c r="Q48" s="4284">
        <f t="shared" si="8"/>
        <v>42</v>
      </c>
      <c r="R48" s="4285">
        <f t="shared" si="2"/>
        <v>12583.233</v>
      </c>
      <c r="S48" s="4286"/>
      <c r="T48" s="4286"/>
      <c r="U48" s="4286"/>
      <c r="V48" s="4282"/>
    </row>
    <row r="49" spans="1:22" x14ac:dyDescent="0.2">
      <c r="A49" s="4260">
        <v>42</v>
      </c>
      <c r="B49" s="4228" t="str">
        <f t="shared" si="3"/>
        <v>4-й год 6-й мес</v>
      </c>
      <c r="C49" s="4229">
        <f t="shared" si="9"/>
        <v>46043</v>
      </c>
      <c r="D49" s="4230">
        <f t="shared" si="10"/>
        <v>348.47058018100898</v>
      </c>
      <c r="E49" s="4261">
        <f t="shared" si="4"/>
        <v>344.30356376205316</v>
      </c>
      <c r="F49" s="4231">
        <f t="shared" si="11"/>
        <v>4.1670164189558072</v>
      </c>
      <c r="G49" s="4262">
        <f t="shared" si="5"/>
        <v>0</v>
      </c>
      <c r="H49" s="4263">
        <f t="shared" si="0"/>
        <v>303.15854504464295</v>
      </c>
      <c r="I49" s="4264">
        <f t="shared" si="12"/>
        <v>299.60078571428573</v>
      </c>
      <c r="J49" s="4264">
        <f t="shared" si="6"/>
        <v>3.5577593303572348</v>
      </c>
      <c r="K49" s="4265">
        <f t="shared" si="7"/>
        <v>7.73070496506989E-12</v>
      </c>
      <c r="L49" s="4266"/>
      <c r="M49" s="4267"/>
      <c r="N49" s="4238"/>
      <c r="O49" s="4238"/>
      <c r="P49" s="4277">
        <f t="shared" si="1"/>
        <v>7</v>
      </c>
      <c r="Q49" s="4278">
        <f t="shared" si="8"/>
        <v>42</v>
      </c>
      <c r="R49" s="4279">
        <f t="shared" si="2"/>
        <v>12583.233</v>
      </c>
      <c r="S49" s="4238"/>
      <c r="T49" s="4238"/>
      <c r="U49" s="4281"/>
      <c r="V49" s="4282"/>
    </row>
    <row r="50" spans="1:22" x14ac:dyDescent="0.2">
      <c r="A50" s="4260">
        <v>43</v>
      </c>
      <c r="B50" s="4228" t="str">
        <f t="shared" si="3"/>
        <v>4-й год 7-й мес</v>
      </c>
      <c r="C50" s="4229">
        <f t="shared" si="9"/>
        <v>46074</v>
      </c>
      <c r="D50" s="4230">
        <f t="shared" si="10"/>
        <v>0</v>
      </c>
      <c r="E50" s="4261">
        <f t="shared" si="4"/>
        <v>0</v>
      </c>
      <c r="F50" s="4231">
        <f t="shared" si="11"/>
        <v>0</v>
      </c>
      <c r="G50" s="4262">
        <f t="shared" si="5"/>
        <v>0</v>
      </c>
      <c r="H50" s="4263">
        <f t="shared" si="0"/>
        <v>7.8225070865300955E-12</v>
      </c>
      <c r="I50" s="4264">
        <f t="shared" si="12"/>
        <v>7.73070496506989E-12</v>
      </c>
      <c r="J50" s="4264">
        <f t="shared" si="6"/>
        <v>9.1802121460204944E-14</v>
      </c>
      <c r="K50" s="4265">
        <f t="shared" si="7"/>
        <v>0</v>
      </c>
      <c r="L50" s="4266"/>
      <c r="M50" s="4267"/>
      <c r="N50" s="4238"/>
      <c r="O50" s="4238"/>
      <c r="P50" s="4277">
        <f t="shared" si="1"/>
        <v>7</v>
      </c>
      <c r="Q50" s="4278">
        <f t="shared" si="8"/>
        <v>42</v>
      </c>
      <c r="R50" s="4279">
        <f t="shared" si="2"/>
        <v>12583.233</v>
      </c>
      <c r="S50" s="4238"/>
      <c r="T50" s="4238"/>
      <c r="U50" s="4281"/>
      <c r="V50" s="4282"/>
    </row>
    <row r="51" spans="1:22" x14ac:dyDescent="0.2">
      <c r="A51" s="4260">
        <v>44</v>
      </c>
      <c r="B51" s="4228" t="str">
        <f t="shared" si="3"/>
        <v>4-й год 8-й мес</v>
      </c>
      <c r="C51" s="4229">
        <f t="shared" si="9"/>
        <v>46102</v>
      </c>
      <c r="D51" s="4230">
        <f t="shared" si="10"/>
        <v>0</v>
      </c>
      <c r="E51" s="4261">
        <f t="shared" si="4"/>
        <v>0</v>
      </c>
      <c r="F51" s="4231">
        <f t="shared" si="11"/>
        <v>0</v>
      </c>
      <c r="G51" s="4262">
        <f t="shared" si="5"/>
        <v>0</v>
      </c>
      <c r="H51" s="4263">
        <f t="shared" si="0"/>
        <v>0</v>
      </c>
      <c r="I51" s="4264">
        <f t="shared" si="12"/>
        <v>0</v>
      </c>
      <c r="J51" s="4264">
        <f t="shared" si="6"/>
        <v>0</v>
      </c>
      <c r="K51" s="4265">
        <f t="shared" si="7"/>
        <v>0</v>
      </c>
      <c r="L51" s="4266"/>
      <c r="M51" s="4267"/>
      <c r="N51" s="4238"/>
      <c r="O51" s="4238"/>
      <c r="P51" s="4277">
        <f t="shared" si="1"/>
        <v>7</v>
      </c>
      <c r="Q51" s="4278">
        <f t="shared" si="8"/>
        <v>42</v>
      </c>
      <c r="R51" s="4279">
        <f t="shared" si="2"/>
        <v>12583.233</v>
      </c>
      <c r="S51" s="4238"/>
      <c r="T51" s="4238"/>
      <c r="U51" s="4281"/>
      <c r="V51" s="4282"/>
    </row>
    <row r="52" spans="1:22" x14ac:dyDescent="0.2">
      <c r="A52" s="4260">
        <v>45</v>
      </c>
      <c r="B52" s="4228" t="str">
        <f t="shared" si="3"/>
        <v>4-й год 9-й мес</v>
      </c>
      <c r="C52" s="4229">
        <f t="shared" si="9"/>
        <v>46133</v>
      </c>
      <c r="D52" s="4230">
        <f t="shared" si="10"/>
        <v>0</v>
      </c>
      <c r="E52" s="4261">
        <f t="shared" si="4"/>
        <v>0</v>
      </c>
      <c r="F52" s="4231">
        <f t="shared" si="11"/>
        <v>0</v>
      </c>
      <c r="G52" s="4262">
        <f t="shared" si="5"/>
        <v>0</v>
      </c>
      <c r="H52" s="4263">
        <f t="shared" si="0"/>
        <v>0</v>
      </c>
      <c r="I52" s="4264">
        <f t="shared" si="12"/>
        <v>0</v>
      </c>
      <c r="J52" s="4264">
        <f t="shared" si="6"/>
        <v>0</v>
      </c>
      <c r="K52" s="4265">
        <f t="shared" si="7"/>
        <v>0</v>
      </c>
      <c r="L52" s="4266"/>
      <c r="M52" s="4267"/>
      <c r="N52" s="4238"/>
      <c r="O52" s="4238"/>
      <c r="P52" s="4277">
        <f t="shared" si="1"/>
        <v>7</v>
      </c>
      <c r="Q52" s="4278">
        <f t="shared" si="8"/>
        <v>42</v>
      </c>
      <c r="R52" s="4279">
        <f t="shared" si="2"/>
        <v>12583.233</v>
      </c>
      <c r="S52" s="4238"/>
      <c r="T52" s="4238"/>
      <c r="U52" s="4281"/>
      <c r="V52" s="4282"/>
    </row>
    <row r="53" spans="1:22" x14ac:dyDescent="0.2">
      <c r="A53" s="4260">
        <v>46</v>
      </c>
      <c r="B53" s="4228" t="str">
        <f t="shared" si="3"/>
        <v>4-й год 10-й мес</v>
      </c>
      <c r="C53" s="4229">
        <f t="shared" si="9"/>
        <v>46163</v>
      </c>
      <c r="D53" s="4230">
        <f t="shared" si="10"/>
        <v>0</v>
      </c>
      <c r="E53" s="4261">
        <f t="shared" si="4"/>
        <v>0</v>
      </c>
      <c r="F53" s="4231">
        <f t="shared" si="11"/>
        <v>0</v>
      </c>
      <c r="G53" s="4262">
        <f t="shared" si="5"/>
        <v>0</v>
      </c>
      <c r="H53" s="4263">
        <f t="shared" si="0"/>
        <v>0</v>
      </c>
      <c r="I53" s="4264">
        <f t="shared" si="12"/>
        <v>0</v>
      </c>
      <c r="J53" s="4264">
        <f t="shared" si="6"/>
        <v>0</v>
      </c>
      <c r="K53" s="4265">
        <f t="shared" si="7"/>
        <v>0</v>
      </c>
      <c r="L53" s="4266"/>
      <c r="M53" s="4267"/>
      <c r="N53" s="4238"/>
      <c r="O53" s="4238"/>
      <c r="P53" s="4277">
        <f t="shared" si="1"/>
        <v>7</v>
      </c>
      <c r="Q53" s="4278">
        <f t="shared" si="8"/>
        <v>42</v>
      </c>
      <c r="R53" s="4279">
        <f t="shared" si="2"/>
        <v>12583.233</v>
      </c>
      <c r="S53" s="4238"/>
      <c r="T53" s="4238"/>
      <c r="U53" s="4281"/>
      <c r="V53" s="4282"/>
    </row>
    <row r="54" spans="1:22" x14ac:dyDescent="0.2">
      <c r="A54" s="4260">
        <v>47</v>
      </c>
      <c r="B54" s="4228" t="str">
        <f t="shared" si="3"/>
        <v>4-й год 11-й мес</v>
      </c>
      <c r="C54" s="4229">
        <f t="shared" si="9"/>
        <v>46194</v>
      </c>
      <c r="D54" s="4230">
        <f t="shared" si="10"/>
        <v>0</v>
      </c>
      <c r="E54" s="4261">
        <f t="shared" si="4"/>
        <v>0</v>
      </c>
      <c r="F54" s="4231">
        <f t="shared" si="11"/>
        <v>0</v>
      </c>
      <c r="G54" s="4262">
        <f t="shared" si="5"/>
        <v>0</v>
      </c>
      <c r="H54" s="4263">
        <f t="shared" si="0"/>
        <v>0</v>
      </c>
      <c r="I54" s="4264">
        <f t="shared" si="12"/>
        <v>0</v>
      </c>
      <c r="J54" s="4264">
        <f t="shared" si="6"/>
        <v>0</v>
      </c>
      <c r="K54" s="4265">
        <f t="shared" si="7"/>
        <v>0</v>
      </c>
      <c r="L54" s="4266"/>
      <c r="M54" s="4267"/>
      <c r="N54" s="4238"/>
      <c r="O54" s="4238"/>
      <c r="P54" s="4277">
        <f t="shared" si="1"/>
        <v>7</v>
      </c>
      <c r="Q54" s="4278">
        <f t="shared" si="8"/>
        <v>42</v>
      </c>
      <c r="R54" s="4279">
        <f t="shared" si="2"/>
        <v>12583.233</v>
      </c>
      <c r="S54" s="4238"/>
      <c r="T54" s="4238"/>
      <c r="U54" s="4281"/>
      <c r="V54" s="4282"/>
    </row>
    <row r="55" spans="1:22" x14ac:dyDescent="0.2">
      <c r="A55" s="4260">
        <v>48</v>
      </c>
      <c r="B55" s="4228" t="str">
        <f t="shared" si="3"/>
        <v>4-й год 12-й мес</v>
      </c>
      <c r="C55" s="4229">
        <f t="shared" si="9"/>
        <v>46224</v>
      </c>
      <c r="D55" s="4230">
        <f t="shared" si="10"/>
        <v>0</v>
      </c>
      <c r="E55" s="4261">
        <f t="shared" si="4"/>
        <v>0</v>
      </c>
      <c r="F55" s="4231">
        <f t="shared" si="11"/>
        <v>0</v>
      </c>
      <c r="G55" s="4262">
        <f t="shared" si="5"/>
        <v>0</v>
      </c>
      <c r="H55" s="4263">
        <f t="shared" si="0"/>
        <v>0</v>
      </c>
      <c r="I55" s="4264">
        <f t="shared" si="12"/>
        <v>0</v>
      </c>
      <c r="J55" s="4264">
        <f t="shared" si="6"/>
        <v>0</v>
      </c>
      <c r="K55" s="4265">
        <f t="shared" si="7"/>
        <v>0</v>
      </c>
      <c r="L55" s="4266"/>
      <c r="M55" s="4267"/>
      <c r="N55" s="4238"/>
      <c r="O55" s="4238"/>
      <c r="P55" s="4277">
        <f t="shared" si="1"/>
        <v>7</v>
      </c>
      <c r="Q55" s="4278">
        <f t="shared" si="8"/>
        <v>42</v>
      </c>
      <c r="R55" s="4279">
        <f t="shared" si="2"/>
        <v>12583.233</v>
      </c>
      <c r="S55" s="4238">
        <f>I55+I56+I57+I58+I59+I60+I61+I62+I63+I64+I65+I66</f>
        <v>0</v>
      </c>
      <c r="T55" s="4238">
        <f>J55+J56+J57+J58+J59+J60+J61+J62+J63+J64+J65+J66</f>
        <v>0</v>
      </c>
      <c r="U55" s="4281"/>
      <c r="V55" s="4282"/>
    </row>
    <row r="56" spans="1:22" x14ac:dyDescent="0.2">
      <c r="A56" s="4227">
        <v>49</v>
      </c>
      <c r="B56" s="4228" t="str">
        <f t="shared" si="3"/>
        <v>5-й год 1-й мес</v>
      </c>
      <c r="C56" s="4229">
        <f t="shared" si="9"/>
        <v>46255</v>
      </c>
      <c r="D56" s="4230">
        <f t="shared" si="10"/>
        <v>0</v>
      </c>
      <c r="E56" s="4231">
        <f t="shared" si="4"/>
        <v>0</v>
      </c>
      <c r="F56" s="4231">
        <f t="shared" si="11"/>
        <v>0</v>
      </c>
      <c r="G56" s="4232">
        <f>G55-E56-L56-M56</f>
        <v>0</v>
      </c>
      <c r="H56" s="4233">
        <f t="shared" si="0"/>
        <v>0</v>
      </c>
      <c r="I56" s="4234">
        <f t="shared" si="12"/>
        <v>0</v>
      </c>
      <c r="J56" s="4234">
        <f t="shared" si="6"/>
        <v>0</v>
      </c>
      <c r="K56" s="4235">
        <f>K55-I56-L56-M56</f>
        <v>0</v>
      </c>
      <c r="L56" s="4236"/>
      <c r="M56" s="4267"/>
      <c r="N56" s="4238"/>
      <c r="O56" s="4238"/>
      <c r="P56" s="4277">
        <f t="shared" si="1"/>
        <v>7</v>
      </c>
      <c r="Q56" s="4278">
        <f t="shared" si="8"/>
        <v>42</v>
      </c>
      <c r="R56" s="4279">
        <f t="shared" si="2"/>
        <v>12583.233</v>
      </c>
      <c r="S56" s="4281"/>
      <c r="T56" s="4281"/>
      <c r="U56" s="4281"/>
      <c r="V56" s="4282"/>
    </row>
    <row r="57" spans="1:22" x14ac:dyDescent="0.2">
      <c r="A57" s="4227">
        <v>50</v>
      </c>
      <c r="B57" s="4228" t="str">
        <f t="shared" si="3"/>
        <v>5-й год 2-й мес</v>
      </c>
      <c r="C57" s="4229">
        <f t="shared" si="9"/>
        <v>46286</v>
      </c>
      <c r="D57" s="4230">
        <f t="shared" si="10"/>
        <v>0</v>
      </c>
      <c r="E57" s="4231">
        <f t="shared" si="4"/>
        <v>0</v>
      </c>
      <c r="F57" s="4231">
        <f t="shared" si="11"/>
        <v>0</v>
      </c>
      <c r="G57" s="4232">
        <f t="shared" si="5"/>
        <v>0</v>
      </c>
      <c r="H57" s="4233">
        <f t="shared" si="0"/>
        <v>0</v>
      </c>
      <c r="I57" s="4234">
        <f t="shared" si="12"/>
        <v>0</v>
      </c>
      <c r="J57" s="4234">
        <f t="shared" si="6"/>
        <v>0</v>
      </c>
      <c r="K57" s="4235">
        <f t="shared" si="7"/>
        <v>0</v>
      </c>
      <c r="L57" s="4236"/>
      <c r="M57" s="4267"/>
      <c r="N57" s="4238"/>
      <c r="O57" s="4238"/>
      <c r="P57" s="4277">
        <f t="shared" si="1"/>
        <v>7</v>
      </c>
      <c r="Q57" s="4278">
        <f t="shared" si="8"/>
        <v>42</v>
      </c>
      <c r="R57" s="4279">
        <f t="shared" si="2"/>
        <v>12583.233</v>
      </c>
      <c r="S57" s="4281"/>
      <c r="T57" s="4281"/>
      <c r="U57" s="4281"/>
      <c r="V57" s="4282"/>
    </row>
    <row r="58" spans="1:22" x14ac:dyDescent="0.2">
      <c r="A58" s="4227">
        <v>51</v>
      </c>
      <c r="B58" s="4228" t="str">
        <f t="shared" si="3"/>
        <v>5-й год 3-й мес</v>
      </c>
      <c r="C58" s="4229">
        <f t="shared" si="9"/>
        <v>46316</v>
      </c>
      <c r="D58" s="4230">
        <f t="shared" si="10"/>
        <v>0</v>
      </c>
      <c r="E58" s="4231">
        <f t="shared" si="4"/>
        <v>0</v>
      </c>
      <c r="F58" s="4231">
        <f t="shared" si="11"/>
        <v>0</v>
      </c>
      <c r="G58" s="4232">
        <f t="shared" si="5"/>
        <v>0</v>
      </c>
      <c r="H58" s="4233">
        <f t="shared" si="0"/>
        <v>0</v>
      </c>
      <c r="I58" s="4234">
        <f t="shared" si="12"/>
        <v>0</v>
      </c>
      <c r="J58" s="4234">
        <f t="shared" si="6"/>
        <v>0</v>
      </c>
      <c r="K58" s="4235">
        <f t="shared" si="7"/>
        <v>0</v>
      </c>
      <c r="L58" s="4236"/>
      <c r="M58" s="4267"/>
      <c r="N58" s="4238"/>
      <c r="O58" s="4238"/>
      <c r="P58" s="4277">
        <f t="shared" si="1"/>
        <v>7</v>
      </c>
      <c r="Q58" s="4278">
        <f t="shared" si="8"/>
        <v>42</v>
      </c>
      <c r="R58" s="4279">
        <f t="shared" si="2"/>
        <v>12583.233</v>
      </c>
      <c r="S58" s="4281"/>
      <c r="T58" s="4281"/>
      <c r="U58" s="4281"/>
      <c r="V58" s="4282"/>
    </row>
    <row r="59" spans="1:22" x14ac:dyDescent="0.2">
      <c r="A59" s="4227">
        <v>52</v>
      </c>
      <c r="B59" s="4228" t="str">
        <f t="shared" si="3"/>
        <v>5-й год 4-й мес</v>
      </c>
      <c r="C59" s="4229">
        <f t="shared" si="9"/>
        <v>46347</v>
      </c>
      <c r="D59" s="4230">
        <f t="shared" si="10"/>
        <v>0</v>
      </c>
      <c r="E59" s="4231">
        <f t="shared" si="4"/>
        <v>0</v>
      </c>
      <c r="F59" s="4231">
        <f t="shared" si="11"/>
        <v>0</v>
      </c>
      <c r="G59" s="4232">
        <f t="shared" si="5"/>
        <v>0</v>
      </c>
      <c r="H59" s="4233">
        <f t="shared" si="0"/>
        <v>0</v>
      </c>
      <c r="I59" s="4234">
        <f t="shared" si="12"/>
        <v>0</v>
      </c>
      <c r="J59" s="4234">
        <f t="shared" si="6"/>
        <v>0</v>
      </c>
      <c r="K59" s="4235">
        <f t="shared" si="7"/>
        <v>0</v>
      </c>
      <c r="L59" s="4236"/>
      <c r="M59" s="4267"/>
      <c r="N59" s="4238"/>
      <c r="O59" s="4238" t="e">
        <f>#REF!-#REF!</f>
        <v>#REF!</v>
      </c>
      <c r="P59" s="4277">
        <f t="shared" si="1"/>
        <v>7</v>
      </c>
      <c r="Q59" s="4278">
        <f t="shared" si="8"/>
        <v>42</v>
      </c>
      <c r="R59" s="4279">
        <f t="shared" si="2"/>
        <v>12583.233</v>
      </c>
      <c r="S59" s="4281"/>
      <c r="T59" s="4281"/>
      <c r="U59" s="4281"/>
      <c r="V59" s="4282"/>
    </row>
    <row r="60" spans="1:22" x14ac:dyDescent="0.2">
      <c r="A60" s="4227">
        <v>53</v>
      </c>
      <c r="B60" s="4228" t="str">
        <f t="shared" si="3"/>
        <v>5-й год 5-й мес</v>
      </c>
      <c r="C60" s="4229">
        <f t="shared" si="9"/>
        <v>46377</v>
      </c>
      <c r="D60" s="4230">
        <f t="shared" si="10"/>
        <v>0</v>
      </c>
      <c r="E60" s="4231">
        <f t="shared" si="4"/>
        <v>0</v>
      </c>
      <c r="F60" s="4231">
        <f t="shared" si="11"/>
        <v>0</v>
      </c>
      <c r="G60" s="4232">
        <f t="shared" si="5"/>
        <v>0</v>
      </c>
      <c r="H60" s="4233">
        <f t="shared" si="0"/>
        <v>0</v>
      </c>
      <c r="I60" s="4234">
        <f t="shared" si="12"/>
        <v>0</v>
      </c>
      <c r="J60" s="4234">
        <f t="shared" si="6"/>
        <v>0</v>
      </c>
      <c r="K60" s="4235">
        <f t="shared" si="7"/>
        <v>0</v>
      </c>
      <c r="L60" s="4236"/>
      <c r="M60" s="4267"/>
      <c r="N60" s="4238"/>
      <c r="O60" s="4238"/>
      <c r="P60" s="4277">
        <f t="shared" si="1"/>
        <v>7</v>
      </c>
      <c r="Q60" s="4278">
        <f t="shared" si="8"/>
        <v>42</v>
      </c>
      <c r="R60" s="4279">
        <f t="shared" si="2"/>
        <v>12583.233</v>
      </c>
      <c r="S60" s="4281"/>
      <c r="T60" s="4281"/>
      <c r="U60" s="4281"/>
      <c r="V60" s="4282"/>
    </row>
  </sheetData>
  <mergeCells count="10">
    <mergeCell ref="D5:G5"/>
    <mergeCell ref="H5:K5"/>
    <mergeCell ref="L5:M5"/>
    <mergeCell ref="A1:C1"/>
    <mergeCell ref="A2:C2"/>
    <mergeCell ref="A3:C3"/>
    <mergeCell ref="A4:C4"/>
    <mergeCell ref="A5:A6"/>
    <mergeCell ref="B5:B6"/>
    <mergeCell ref="C5:C6"/>
  </mergeCells>
  <conditionalFormatting sqref="K2 A8:N60">
    <cfRule type="expression" priority="13" stopIfTrue="1">
      <formula>IF($D2+$H2=0,1,0)</formula>
    </cfRule>
  </conditionalFormatting>
  <conditionalFormatting sqref="O8:O60">
    <cfRule type="expression" priority="12" stopIfTrue="1">
      <formula>IF($D8+$H8=0,1,0)</formula>
    </cfRule>
  </conditionalFormatting>
  <conditionalFormatting sqref="P8:P60">
    <cfRule type="expression" priority="11" stopIfTrue="1">
      <formula>IF($D8+$H8=0,1,0)</formula>
    </cfRule>
  </conditionalFormatting>
  <conditionalFormatting sqref="S11">
    <cfRule type="expression" priority="10" stopIfTrue="1">
      <formula>IF($D14+$H14=0,1,0)</formula>
    </cfRule>
  </conditionalFormatting>
  <conditionalFormatting sqref="S19:T19">
    <cfRule type="expression" priority="9" stopIfTrue="1">
      <formula>IF($D26+$H26=0,1,0)</formula>
    </cfRule>
  </conditionalFormatting>
  <conditionalFormatting sqref="S31:T31">
    <cfRule type="expression" priority="8" stopIfTrue="1">
      <formula>IF($D38+$H38=0,1,0)</formula>
    </cfRule>
  </conditionalFormatting>
  <conditionalFormatting sqref="S43:T43">
    <cfRule type="expression" priority="7" stopIfTrue="1">
      <formula>IF($D50+$H50=0,1,0)</formula>
    </cfRule>
  </conditionalFormatting>
  <conditionalFormatting sqref="S55:T55">
    <cfRule type="expression" priority="6" stopIfTrue="1">
      <formula>IF($D62+$H62=0,1,0)</formula>
    </cfRule>
  </conditionalFormatting>
  <conditionalFormatting sqref="T11">
    <cfRule type="expression" priority="5" stopIfTrue="1">
      <formula>IF($D14+$H14=0,1,0)</formula>
    </cfRule>
  </conditionalFormatting>
  <conditionalFormatting sqref="S13:T18">
    <cfRule type="expression" priority="4" stopIfTrue="1">
      <formula>IF($D20+$H20=0,1,0)</formula>
    </cfRule>
  </conditionalFormatting>
  <conditionalFormatting sqref="S25:T30">
    <cfRule type="expression" priority="3" stopIfTrue="1">
      <formula>IF($D32+$H32=0,1,0)</formula>
    </cfRule>
  </conditionalFormatting>
  <conditionalFormatting sqref="S37:T42">
    <cfRule type="expression" priority="2" stopIfTrue="1">
      <formula>IF($D44+$H44=0,1,0)</formula>
    </cfRule>
  </conditionalFormatting>
  <conditionalFormatting sqref="S49:T54">
    <cfRule type="expression" priority="1" stopIfTrue="1">
      <formula>IF($D56+$H56=0,1,0)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Лист40">
    <tabColor rgb="FFFF66FF"/>
    <pageSetUpPr fitToPage="1"/>
  </sheetPr>
  <dimension ref="A1:AB40"/>
  <sheetViews>
    <sheetView topLeftCell="A10" workbookViewId="0">
      <selection activeCell="AA28" sqref="AA28:AB28"/>
    </sheetView>
  </sheetViews>
  <sheetFormatPr defaultRowHeight="12.75" x14ac:dyDescent="0.2"/>
  <cols>
    <col min="1" max="1" width="39.7109375" style="2091" customWidth="1"/>
    <col min="2" max="2" width="9.140625" style="2339" customWidth="1"/>
    <col min="3" max="3" width="10.28515625" style="5" customWidth="1"/>
    <col min="4" max="4" width="11.28515625" style="5" customWidth="1"/>
    <col min="5" max="5" width="12.140625" style="2347" customWidth="1"/>
    <col min="6" max="6" width="14.85546875" style="2347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1.85546875" style="5" customWidth="1"/>
    <col min="12" max="12" width="10.42578125" style="5" hidden="1" customWidth="1"/>
    <col min="13" max="13" width="9.7109375" style="5" hidden="1" customWidth="1"/>
    <col min="14" max="14" width="8.140625" style="5" customWidth="1"/>
    <col min="15" max="15" width="12" style="5" customWidth="1"/>
    <col min="16" max="16" width="9.140625" style="5"/>
    <col min="17" max="18" width="10.42578125" style="5" hidden="1" customWidth="1"/>
    <col min="19" max="19" width="7.5703125" style="5" customWidth="1"/>
    <col min="20" max="20" width="11.5703125" style="5" customWidth="1"/>
    <col min="21" max="21" width="9.140625" style="5"/>
    <col min="22" max="23" width="0" style="5" hidden="1" customWidth="1"/>
    <col min="24" max="24" width="9.140625" style="5"/>
    <col min="25" max="25" width="11.5703125" style="5" customWidth="1"/>
    <col min="26" max="16384" width="9.140625" style="5"/>
  </cols>
  <sheetData>
    <row r="1" spans="1:11" ht="26.25" x14ac:dyDescent="0.4">
      <c r="A1" s="5991" t="s">
        <v>3518</v>
      </c>
      <c r="B1" s="5992"/>
      <c r="C1" s="5992"/>
      <c r="D1" s="5992"/>
      <c r="E1" s="5992"/>
      <c r="F1" s="5992"/>
      <c r="G1" s="5992"/>
      <c r="H1" s="5992"/>
      <c r="I1" s="5992"/>
      <c r="J1" s="5992"/>
      <c r="K1" s="2667"/>
    </row>
    <row r="3" spans="1:11" x14ac:dyDescent="0.2">
      <c r="A3" s="5144" t="s">
        <v>600</v>
      </c>
      <c r="B3" s="5155" t="s">
        <v>1880</v>
      </c>
      <c r="C3" s="5155" t="s">
        <v>614</v>
      </c>
      <c r="D3" s="5837" t="s">
        <v>3481</v>
      </c>
      <c r="E3" s="5155" t="s">
        <v>50</v>
      </c>
      <c r="F3" s="5155"/>
      <c r="G3" s="5155"/>
      <c r="H3" s="5155"/>
      <c r="I3" s="5155"/>
      <c r="J3" s="5155"/>
      <c r="K3" s="2417"/>
    </row>
    <row r="4" spans="1:11" ht="25.5" x14ac:dyDescent="0.2">
      <c r="A4" s="5144"/>
      <c r="B4" s="5155"/>
      <c r="C4" s="5155"/>
      <c r="D4" s="5852"/>
      <c r="E4" s="2390" t="s">
        <v>276</v>
      </c>
      <c r="F4" s="2390" t="s">
        <v>1876</v>
      </c>
      <c r="G4" s="2340" t="s">
        <v>1452</v>
      </c>
      <c r="H4" s="2340" t="s">
        <v>1877</v>
      </c>
      <c r="I4" s="2340" t="s">
        <v>1878</v>
      </c>
      <c r="J4" s="2340" t="s">
        <v>724</v>
      </c>
      <c r="K4" s="2116"/>
    </row>
    <row r="5" spans="1:11" x14ac:dyDescent="0.2">
      <c r="A5" s="2390" t="s">
        <v>345</v>
      </c>
      <c r="B5" s="2391"/>
      <c r="C5" s="2391"/>
      <c r="D5" s="2393"/>
      <c r="E5" s="2390"/>
      <c r="F5" s="2390"/>
      <c r="G5" s="2390"/>
      <c r="H5" s="2390"/>
      <c r="I5" s="2390"/>
      <c r="J5" s="2390"/>
      <c r="K5" s="2116"/>
    </row>
    <row r="6" spans="1:11" x14ac:dyDescent="0.2">
      <c r="A6" s="2093" t="s">
        <v>3473</v>
      </c>
      <c r="B6" s="2341"/>
      <c r="C6" s="1741"/>
      <c r="D6" s="1741"/>
      <c r="E6" s="1741"/>
      <c r="F6" s="1741"/>
      <c r="G6" s="1741"/>
      <c r="H6" s="1741"/>
      <c r="I6" s="1741"/>
      <c r="J6" s="1741"/>
      <c r="K6" s="2418"/>
    </row>
    <row r="7" spans="1:11" x14ac:dyDescent="0.2">
      <c r="A7" s="2093" t="s">
        <v>3474</v>
      </c>
      <c r="B7" s="2341" t="s">
        <v>3480</v>
      </c>
      <c r="C7" s="1741">
        <f>E7+F7+G7+H7+I7+J7</f>
        <v>1788264.37</v>
      </c>
      <c r="D7" s="1741">
        <f>E7+F7+G7+H7+I7</f>
        <v>1515478.28</v>
      </c>
      <c r="E7" s="1741">
        <v>1049566.25</v>
      </c>
      <c r="F7" s="1741">
        <f>84234.77-11983.61</f>
        <v>72251.16</v>
      </c>
      <c r="G7" s="1741">
        <v>174893.1</v>
      </c>
      <c r="H7" s="1741">
        <v>142520.53</v>
      </c>
      <c r="I7" s="1741">
        <v>76247.240000000005</v>
      </c>
      <c r="J7" s="1741">
        <v>272786.09000000003</v>
      </c>
      <c r="K7" s="2418"/>
    </row>
    <row r="8" spans="1:11" x14ac:dyDescent="0.2">
      <c r="A8" s="2093" t="s">
        <v>3475</v>
      </c>
      <c r="B8" s="2341" t="s">
        <v>3480</v>
      </c>
      <c r="C8" s="1741">
        <f t="shared" ref="C8:C12" si="0">E8+F8+G8+H8+I8+J8</f>
        <v>1813737.81</v>
      </c>
      <c r="D8" s="1741">
        <f t="shared" ref="D8:D12" si="1">E8+F8+G8+H8+I8</f>
        <v>1537065.94</v>
      </c>
      <c r="E8" s="1741">
        <v>1052533.94</v>
      </c>
      <c r="F8" s="1741">
        <f>87571.94-12463.42</f>
        <v>75108.52</v>
      </c>
      <c r="G8" s="1741">
        <v>181896.01</v>
      </c>
      <c r="H8" s="1741">
        <v>148227.21</v>
      </c>
      <c r="I8" s="1741">
        <v>79300.259999999995</v>
      </c>
      <c r="J8" s="1741">
        <v>276671.87</v>
      </c>
      <c r="K8" s="2418"/>
    </row>
    <row r="9" spans="1:11" x14ac:dyDescent="0.2">
      <c r="A9" s="2093" t="s">
        <v>3476</v>
      </c>
      <c r="B9" s="2341" t="s">
        <v>3480</v>
      </c>
      <c r="C9" s="1741">
        <f t="shared" si="0"/>
        <v>1840040.63</v>
      </c>
      <c r="D9" s="1741">
        <f t="shared" si="1"/>
        <v>1559356.47</v>
      </c>
      <c r="E9" s="1741">
        <v>1055501.7</v>
      </c>
      <c r="F9" s="1741">
        <f>91024.14-12961.77</f>
        <v>78062.37</v>
      </c>
      <c r="G9" s="1741">
        <v>189168.29</v>
      </c>
      <c r="H9" s="1741">
        <v>154153.39000000001</v>
      </c>
      <c r="I9" s="1741">
        <v>82470.720000000001</v>
      </c>
      <c r="J9" s="1741">
        <v>280684.15999999997</v>
      </c>
      <c r="K9" s="2418"/>
    </row>
    <row r="10" spans="1:11" ht="25.5" x14ac:dyDescent="0.2">
      <c r="A10" s="2093" t="s">
        <v>3477</v>
      </c>
      <c r="B10" s="2341" t="s">
        <v>3480</v>
      </c>
      <c r="C10" s="1741">
        <f t="shared" si="0"/>
        <v>1867528.03</v>
      </c>
      <c r="D10" s="1741">
        <f t="shared" si="1"/>
        <v>1582650.87</v>
      </c>
      <c r="E10" s="1741">
        <v>1058655.33</v>
      </c>
      <c r="F10" s="1741">
        <f>94706.54-13478.52</f>
        <v>81228.01999999999</v>
      </c>
      <c r="G10" s="1741">
        <v>196709.88</v>
      </c>
      <c r="H10" s="1741">
        <v>160299.04999999999</v>
      </c>
      <c r="I10" s="1741">
        <v>85758.59</v>
      </c>
      <c r="J10" s="1741">
        <v>284877.15999999997</v>
      </c>
      <c r="K10" s="2418"/>
    </row>
    <row r="11" spans="1:11" ht="25.5" x14ac:dyDescent="0.2">
      <c r="A11" s="2093" t="s">
        <v>3478</v>
      </c>
      <c r="B11" s="2341" t="s">
        <v>3480</v>
      </c>
      <c r="C11" s="1741">
        <f t="shared" si="0"/>
        <v>1896294.1300000001</v>
      </c>
      <c r="D11" s="1741">
        <f t="shared" si="1"/>
        <v>1607028.9200000002</v>
      </c>
      <c r="E11" s="1741">
        <v>1061993.8600000001</v>
      </c>
      <c r="F11" s="1741">
        <f>98504.03-14019.83</f>
        <v>84484.2</v>
      </c>
      <c r="G11" s="1741">
        <v>204610.54</v>
      </c>
      <c r="H11" s="1741">
        <v>166737.32</v>
      </c>
      <c r="I11" s="1741">
        <v>89203</v>
      </c>
      <c r="J11" s="1741">
        <v>289265.21000000002</v>
      </c>
      <c r="K11" s="2418"/>
    </row>
    <row r="12" spans="1:11" x14ac:dyDescent="0.2">
      <c r="A12" s="2093" t="s">
        <v>3479</v>
      </c>
      <c r="B12" s="2341" t="s">
        <v>3480</v>
      </c>
      <c r="C12" s="1741">
        <f t="shared" si="0"/>
        <v>1925889.7599999995</v>
      </c>
      <c r="D12" s="1741">
        <f t="shared" si="1"/>
        <v>1632109.9699999995</v>
      </c>
      <c r="E12" s="1741">
        <v>1065332.3899999999</v>
      </c>
      <c r="F12" s="1741">
        <f>102416.58-14579.68</f>
        <v>87836.9</v>
      </c>
      <c r="G12" s="1741">
        <v>212780.65</v>
      </c>
      <c r="H12" s="1741">
        <v>173395.14</v>
      </c>
      <c r="I12" s="1741">
        <v>92764.89</v>
      </c>
      <c r="J12" s="1741">
        <v>293779.78999999998</v>
      </c>
      <c r="K12" s="2418"/>
    </row>
    <row r="13" spans="1:11" x14ac:dyDescent="0.2">
      <c r="A13" s="2348" t="s">
        <v>335</v>
      </c>
      <c r="B13" s="2341"/>
      <c r="C13" s="1741"/>
      <c r="D13" s="1741"/>
      <c r="E13" s="1741"/>
      <c r="F13" s="1741"/>
      <c r="G13" s="1741"/>
      <c r="H13" s="1741"/>
      <c r="I13" s="1741"/>
      <c r="J13" s="1741"/>
      <c r="K13" s="2418"/>
    </row>
    <row r="14" spans="1:11" x14ac:dyDescent="0.2">
      <c r="A14" s="2093" t="s">
        <v>3482</v>
      </c>
      <c r="B14" s="2341"/>
      <c r="C14" s="1741"/>
      <c r="D14" s="1741"/>
      <c r="E14" s="1741"/>
      <c r="F14" s="1741"/>
      <c r="G14" s="1741"/>
      <c r="H14" s="1741"/>
      <c r="I14" s="1741"/>
      <c r="J14" s="1741"/>
      <c r="K14" s="2418"/>
    </row>
    <row r="15" spans="1:11" x14ac:dyDescent="0.2">
      <c r="A15" s="2093" t="s">
        <v>3483</v>
      </c>
      <c r="B15" s="2341" t="s">
        <v>3480</v>
      </c>
      <c r="C15" s="1741">
        <f t="shared" ref="C15:C20" si="2">E15+F15+G15+H15+I15+J15</f>
        <v>2421106.1099999994</v>
      </c>
      <c r="D15" s="1741">
        <f t="shared" ref="D15:D20" si="3">E15+F15+G15+H15+I15</f>
        <v>2051784.8399999996</v>
      </c>
      <c r="E15" s="1741">
        <v>1027043.99</v>
      </c>
      <c r="F15" s="1741">
        <f>429384.72-56954.12</f>
        <v>372430.6</v>
      </c>
      <c r="G15" s="1741">
        <v>268416.88</v>
      </c>
      <c r="H15" s="1741">
        <v>245858.21</v>
      </c>
      <c r="I15" s="1741">
        <v>138035.16</v>
      </c>
      <c r="J15" s="1741">
        <v>369321.27</v>
      </c>
      <c r="K15" s="2418"/>
    </row>
    <row r="16" spans="1:11" x14ac:dyDescent="0.2">
      <c r="A16" s="2093" t="s">
        <v>3484</v>
      </c>
      <c r="B16" s="2341" t="s">
        <v>3480</v>
      </c>
      <c r="C16" s="1741">
        <f t="shared" si="2"/>
        <v>2368264.7400000002</v>
      </c>
      <c r="D16" s="1741">
        <f t="shared" si="3"/>
        <v>2007004.0200000003</v>
      </c>
      <c r="E16" s="1741">
        <v>1021434.66</v>
      </c>
      <c r="F16" s="1741">
        <f>413072.9-54767.23</f>
        <v>358305.67000000004</v>
      </c>
      <c r="G16" s="1741">
        <v>258110.56</v>
      </c>
      <c r="H16" s="1741">
        <v>236418.05</v>
      </c>
      <c r="I16" s="1741">
        <v>132735.07999999999</v>
      </c>
      <c r="J16" s="1741">
        <v>361260.72</v>
      </c>
      <c r="K16" s="2418"/>
    </row>
    <row r="17" spans="1:28" x14ac:dyDescent="0.2">
      <c r="A17" s="2093" t="s">
        <v>3485</v>
      </c>
      <c r="B17" s="2341" t="s">
        <v>3480</v>
      </c>
      <c r="C17" s="1741">
        <f t="shared" si="2"/>
        <v>2317115.19</v>
      </c>
      <c r="D17" s="1741">
        <f t="shared" si="3"/>
        <v>1963656.94</v>
      </c>
      <c r="E17" s="1741">
        <v>1016025.73</v>
      </c>
      <c r="F17" s="1741">
        <f>397240.81-52652.52</f>
        <v>344588.29</v>
      </c>
      <c r="G17" s="1741">
        <v>248144.05</v>
      </c>
      <c r="H17" s="1741">
        <v>227289.15</v>
      </c>
      <c r="I17" s="1741">
        <v>127609.72</v>
      </c>
      <c r="J17" s="1741">
        <v>353458.25</v>
      </c>
      <c r="K17" s="2418"/>
    </row>
    <row r="18" spans="1:28" x14ac:dyDescent="0.2">
      <c r="A18" s="2093" t="s">
        <v>3486</v>
      </c>
      <c r="B18" s="2341" t="s">
        <v>3480</v>
      </c>
      <c r="C18" s="1741">
        <f t="shared" si="2"/>
        <v>2267953.79</v>
      </c>
      <c r="D18" s="1741">
        <f t="shared" si="3"/>
        <v>1921994.74</v>
      </c>
      <c r="E18" s="1741">
        <v>1010817.1</v>
      </c>
      <c r="F18" s="1741">
        <f>381888.53-50633.87</f>
        <v>331254.66000000003</v>
      </c>
      <c r="G18" s="1741">
        <v>238630.51</v>
      </c>
      <c r="H18" s="1741">
        <v>218575.16</v>
      </c>
      <c r="I18" s="1741">
        <v>122717.31</v>
      </c>
      <c r="J18" s="1741">
        <v>345959.05</v>
      </c>
      <c r="K18" s="2418"/>
    </row>
    <row r="19" spans="1:28" x14ac:dyDescent="0.2">
      <c r="A19" s="2093" t="s">
        <v>3487</v>
      </c>
      <c r="B19" s="2341" t="s">
        <v>3480</v>
      </c>
      <c r="C19" s="1741">
        <f t="shared" si="2"/>
        <v>2220484.12</v>
      </c>
      <c r="D19" s="1741">
        <f t="shared" si="3"/>
        <v>1881766.2</v>
      </c>
      <c r="E19" s="1741">
        <v>1005808.65</v>
      </c>
      <c r="F19" s="1741">
        <f>367015.98-48687.29</f>
        <v>318328.69</v>
      </c>
      <c r="G19" s="1741">
        <v>229456.77</v>
      </c>
      <c r="H19" s="1741">
        <v>210172.42</v>
      </c>
      <c r="I19" s="1741">
        <v>117999.67</v>
      </c>
      <c r="J19" s="1741">
        <v>338717.92</v>
      </c>
      <c r="K19" s="2418"/>
    </row>
    <row r="20" spans="1:28" x14ac:dyDescent="0.2">
      <c r="A20" s="2342" t="s">
        <v>3488</v>
      </c>
      <c r="B20" s="2341" t="s">
        <v>3480</v>
      </c>
      <c r="C20" s="1741">
        <f t="shared" si="2"/>
        <v>2175272.4</v>
      </c>
      <c r="D20" s="1741">
        <f t="shared" si="3"/>
        <v>1843451.19</v>
      </c>
      <c r="E20" s="1741">
        <v>1001000.82</v>
      </c>
      <c r="F20" s="1741">
        <f>353102.95-46812.89</f>
        <v>306290.06</v>
      </c>
      <c r="G20" s="1741">
        <v>220622.74</v>
      </c>
      <c r="H20" s="1741">
        <v>202080.85</v>
      </c>
      <c r="I20" s="1741">
        <v>113456.72</v>
      </c>
      <c r="J20" s="1741">
        <v>331821.21000000002</v>
      </c>
      <c r="K20" s="2418"/>
    </row>
    <row r="21" spans="1:28" x14ac:dyDescent="0.2">
      <c r="A21" s="2416"/>
      <c r="B21" s="2417"/>
      <c r="C21" s="2418"/>
      <c r="D21" s="2418"/>
      <c r="E21" s="2419"/>
      <c r="F21" s="2419"/>
      <c r="G21" s="2418"/>
      <c r="H21" s="2418"/>
      <c r="I21" s="2418"/>
      <c r="J21" s="2418"/>
      <c r="K21" s="2418"/>
    </row>
    <row r="22" spans="1:28" ht="25.5" x14ac:dyDescent="0.2">
      <c r="A22" s="5993" t="s">
        <v>4047</v>
      </c>
      <c r="B22" s="5994"/>
      <c r="C22" s="5994"/>
      <c r="D22" s="5994"/>
      <c r="E22" s="5994"/>
      <c r="F22" s="5994"/>
      <c r="G22" s="5994"/>
      <c r="H22" s="5994"/>
      <c r="I22" s="5994"/>
      <c r="J22" s="5994"/>
      <c r="K22" s="5994"/>
      <c r="L22" s="4910"/>
      <c r="M22" s="4910"/>
      <c r="N22" s="4910"/>
      <c r="O22" s="4910"/>
      <c r="P22" s="4910"/>
      <c r="Q22" s="4910"/>
      <c r="R22" s="4910"/>
      <c r="S22" s="4910"/>
      <c r="T22" s="4910"/>
      <c r="U22" s="4910"/>
      <c r="V22" s="4910"/>
      <c r="W22" s="4910"/>
      <c r="X22" s="4910"/>
      <c r="Y22" s="4910"/>
      <c r="Z22" s="4910"/>
      <c r="AA22" s="4910"/>
      <c r="AB22" s="4910"/>
    </row>
    <row r="24" spans="1:28" ht="43.5" customHeight="1" x14ac:dyDescent="0.2">
      <c r="A24" s="5837" t="s">
        <v>600</v>
      </c>
      <c r="B24" s="2341" t="s">
        <v>1799</v>
      </c>
      <c r="C24" s="2341" t="s">
        <v>1805</v>
      </c>
      <c r="D24" s="2341" t="s">
        <v>1806</v>
      </c>
      <c r="E24" s="2341" t="s">
        <v>1807</v>
      </c>
      <c r="F24" s="2341" t="s">
        <v>1808</v>
      </c>
      <c r="G24" s="2391" t="s">
        <v>1809</v>
      </c>
      <c r="H24" s="2391" t="s">
        <v>3523</v>
      </c>
      <c r="I24" s="5983" t="s">
        <v>3659</v>
      </c>
      <c r="J24" s="5984"/>
      <c r="K24" s="5674"/>
      <c r="L24" s="2536" t="s">
        <v>3614</v>
      </c>
      <c r="M24" s="2536" t="s">
        <v>3615</v>
      </c>
      <c r="N24" s="2536" t="s">
        <v>3621</v>
      </c>
      <c r="O24" s="5983" t="s">
        <v>3846</v>
      </c>
      <c r="P24" s="5674"/>
      <c r="Q24" s="3552" t="s">
        <v>3867</v>
      </c>
      <c r="R24" s="3552" t="s">
        <v>3868</v>
      </c>
      <c r="S24" s="3552" t="s">
        <v>3873</v>
      </c>
      <c r="T24" s="5983" t="s">
        <v>3895</v>
      </c>
      <c r="U24" s="5674"/>
      <c r="V24" s="3784" t="s">
        <v>3939</v>
      </c>
      <c r="W24" s="3784" t="s">
        <v>3934</v>
      </c>
      <c r="X24" s="3784" t="s">
        <v>3940</v>
      </c>
      <c r="Y24" s="5983" t="s">
        <v>4014</v>
      </c>
      <c r="Z24" s="5674"/>
      <c r="AA24" s="4572" t="s">
        <v>4264</v>
      </c>
      <c r="AB24" s="4572" t="s">
        <v>4265</v>
      </c>
    </row>
    <row r="25" spans="1:28" ht="43.5" customHeight="1" x14ac:dyDescent="0.2">
      <c r="A25" s="5652"/>
      <c r="B25" s="2658"/>
      <c r="C25" s="2658"/>
      <c r="D25" s="2658"/>
      <c r="E25" s="2658"/>
      <c r="F25" s="2658"/>
      <c r="G25" s="2658"/>
      <c r="H25" s="2658"/>
      <c r="I25" s="5983" t="s">
        <v>270</v>
      </c>
      <c r="J25" s="5995"/>
      <c r="K25" s="2657" t="s">
        <v>3658</v>
      </c>
      <c r="L25" s="2657"/>
      <c r="M25" s="2657"/>
      <c r="N25" s="2657"/>
      <c r="O25" s="3067" t="s">
        <v>270</v>
      </c>
      <c r="P25" s="3066" t="s">
        <v>3658</v>
      </c>
      <c r="Q25" s="3552"/>
      <c r="R25" s="3552"/>
      <c r="S25" s="3552"/>
      <c r="T25" s="3627" t="s">
        <v>270</v>
      </c>
      <c r="U25" s="3623" t="s">
        <v>3658</v>
      </c>
      <c r="V25" s="3784"/>
      <c r="W25" s="3784"/>
      <c r="X25" s="3784"/>
      <c r="Y25" s="3946" t="s">
        <v>270</v>
      </c>
      <c r="Z25" s="3936" t="s">
        <v>3658</v>
      </c>
      <c r="AA25" s="4572"/>
      <c r="AB25" s="4572"/>
    </row>
    <row r="26" spans="1:28" ht="25.5" x14ac:dyDescent="0.2">
      <c r="A26" s="3069" t="s">
        <v>3519</v>
      </c>
      <c r="B26" s="3086">
        <f t="shared" ref="B26:H26" si="4">SUM(B27:B31)</f>
        <v>1632.0962500000001</v>
      </c>
      <c r="C26" s="3086">
        <f t="shared" si="4"/>
        <v>1655.76394</v>
      </c>
      <c r="D26" s="3086">
        <f t="shared" si="4"/>
        <v>1673.0017</v>
      </c>
      <c r="E26" s="3086">
        <f t="shared" si="4"/>
        <v>1694.43533</v>
      </c>
      <c r="F26" s="3086">
        <f t="shared" si="4"/>
        <v>1716.5938599999999</v>
      </c>
      <c r="G26" s="3086">
        <f t="shared" si="4"/>
        <v>1065.3323899999998</v>
      </c>
      <c r="H26" s="2600">
        <f t="shared" si="4"/>
        <v>5045.8999999999996</v>
      </c>
      <c r="I26" s="5989">
        <f>SUM(I27:J31)</f>
        <v>2403.3279968831998</v>
      </c>
      <c r="J26" s="5990"/>
      <c r="K26" s="3086">
        <f>SUM(K27:K31)</f>
        <v>1664.2445489010001</v>
      </c>
      <c r="L26" s="3086">
        <f t="shared" ref="L26:N26" si="5">SUM(L27:L31)</f>
        <v>3270.0099999999998</v>
      </c>
      <c r="M26" s="3086">
        <f t="shared" si="5"/>
        <v>5216.5599999999995</v>
      </c>
      <c r="N26" s="3086">
        <f t="shared" si="5"/>
        <v>6027.3600000000006</v>
      </c>
      <c r="O26" s="3642">
        <f>SUM(O27:O31)</f>
        <v>4481.3200607999997</v>
      </c>
      <c r="P26" s="3643">
        <f>SUM(P27:P31)</f>
        <v>1710.2342863793883</v>
      </c>
      <c r="Q26" s="3643">
        <f t="shared" ref="Q26:S26" si="6">SUM(Q27:Q31)</f>
        <v>2753.0599999999995</v>
      </c>
      <c r="R26" s="3643">
        <f t="shared" si="6"/>
        <v>3307.29</v>
      </c>
      <c r="S26" s="3643">
        <f t="shared" si="6"/>
        <v>4477.37</v>
      </c>
      <c r="T26" s="3944">
        <f>SUM(T27:T31)</f>
        <v>4637.190111246</v>
      </c>
      <c r="U26" s="3086">
        <f>SUM(U27:U31)</f>
        <v>1810.347985872708</v>
      </c>
      <c r="V26" s="3086">
        <f t="shared" ref="V26:X26" si="7">SUM(V27:V31)</f>
        <v>1501.5340000000001</v>
      </c>
      <c r="W26" s="3086">
        <f t="shared" si="7"/>
        <v>2485.6719999999996</v>
      </c>
      <c r="X26" s="3086">
        <f t="shared" si="7"/>
        <v>3333.444</v>
      </c>
      <c r="Y26" s="3075">
        <f>SUM(Y27:Y31)</f>
        <v>4783.0227026752173</v>
      </c>
      <c r="Z26" s="3296">
        <f>SUM(Z27:Z31)</f>
        <v>2088.339450946663</v>
      </c>
      <c r="AA26" s="4757">
        <f t="shared" ref="AA26:AB26" si="8">SUM(AA27:AA31)</f>
        <v>3339.393</v>
      </c>
      <c r="AB26" s="4757">
        <f t="shared" si="8"/>
        <v>13337.771000000001</v>
      </c>
    </row>
    <row r="27" spans="1:28" x14ac:dyDescent="0.2">
      <c r="A27" s="3072" t="s">
        <v>82</v>
      </c>
      <c r="B27" s="3073"/>
      <c r="C27" s="3073"/>
      <c r="D27" s="3073"/>
      <c r="E27" s="3073"/>
      <c r="F27" s="3073"/>
      <c r="G27" s="3073"/>
      <c r="H27" s="3181">
        <v>27.13</v>
      </c>
      <c r="I27" s="5981">
        <f>SUM(ремонты!F45)</f>
        <v>27.13</v>
      </c>
      <c r="J27" s="5982"/>
      <c r="K27" s="2562">
        <f>SUM(ремонты!J45)</f>
        <v>0</v>
      </c>
      <c r="L27" s="3073">
        <v>0</v>
      </c>
      <c r="M27" s="3073"/>
      <c r="N27" s="3073"/>
      <c r="O27" s="3644">
        <f>SUM(ремонты!L45)</f>
        <v>144.47854080000002</v>
      </c>
      <c r="P27" s="3645">
        <f>SUM(B27*(1+0.032)*0.99*(1+0.036)*0.99)</f>
        <v>0</v>
      </c>
      <c r="Q27" s="3646">
        <v>0</v>
      </c>
      <c r="R27" s="3646">
        <v>0</v>
      </c>
      <c r="S27" s="3646">
        <v>0</v>
      </c>
      <c r="T27" s="3945">
        <f>SUM(ремонты!O45)</f>
        <v>149.37615</v>
      </c>
      <c r="U27" s="2112">
        <f>SUM(B27*(1+0.034)*0.99*1.06*0.99*(1+0.043)*0.99)</f>
        <v>0</v>
      </c>
      <c r="V27" s="3942">
        <v>0</v>
      </c>
      <c r="W27" s="3942">
        <v>6.5339999999999998</v>
      </c>
      <c r="X27" s="3942">
        <v>18.009</v>
      </c>
      <c r="Y27" s="3074">
        <f>SUM(ремонты!T45)</f>
        <v>153.86679000000001</v>
      </c>
      <c r="Z27" s="3512">
        <f>B27*0.99*1.034*0.99*1.067*0.99*1.139*0.99*1.06</f>
        <v>0</v>
      </c>
      <c r="AA27" s="4756">
        <v>50.427999999999997</v>
      </c>
      <c r="AB27" s="4756">
        <v>3883.761</v>
      </c>
    </row>
    <row r="28" spans="1:28" x14ac:dyDescent="0.2">
      <c r="A28" s="3072" t="s">
        <v>83</v>
      </c>
      <c r="B28" s="3073"/>
      <c r="C28" s="3073"/>
      <c r="D28" s="3073"/>
      <c r="E28" s="3073"/>
      <c r="F28" s="3073"/>
      <c r="G28" s="3073"/>
      <c r="H28" s="3181">
        <v>2275</v>
      </c>
      <c r="I28" s="5981">
        <f>SUM(ремонты!F46)</f>
        <v>720.43499999999995</v>
      </c>
      <c r="J28" s="5982"/>
      <c r="K28" s="2562">
        <f>SUM(ремонты!J46)</f>
        <v>0</v>
      </c>
      <c r="L28" s="3073">
        <v>2353.4699999999998</v>
      </c>
      <c r="M28" s="3073">
        <f>3415.99</f>
        <v>3415.99</v>
      </c>
      <c r="N28" s="3073">
        <v>3651.89</v>
      </c>
      <c r="O28" s="3644">
        <f>SUM(ремонты!L46)</f>
        <v>1536.8345586</v>
      </c>
      <c r="P28" s="3645">
        <f t="shared" ref="P28:P36" si="9">SUM(B28*(1+0.032)*0.99*(1+0.036)*0.99)</f>
        <v>0</v>
      </c>
      <c r="Q28" s="3646">
        <v>1768.05</v>
      </c>
      <c r="R28" s="3646">
        <v>1919.63</v>
      </c>
      <c r="S28" s="3646">
        <v>2037.85</v>
      </c>
      <c r="T28" s="3945">
        <f>SUM(ремонты!O46)</f>
        <v>1589.0004899999999</v>
      </c>
      <c r="U28" s="2112">
        <f t="shared" ref="U28:U36" si="10">SUM(B28*(1+0.034)*0.99*1.06*0.99*(1+0.043)*0.99)</f>
        <v>0</v>
      </c>
      <c r="V28" s="2112">
        <v>562.10400000000004</v>
      </c>
      <c r="W28" s="3942">
        <v>715.3</v>
      </c>
      <c r="X28" s="3942">
        <v>959.23500000000001</v>
      </c>
      <c r="Y28" s="3074">
        <f>SUM(ремонты!T46)</f>
        <v>1636.6615650000001</v>
      </c>
      <c r="Z28" s="3512">
        <f t="shared" ref="Z28:Z36" si="11">B28*0.99*1.034*0.99*1.067*0.99*1.139*0.99*1.06</f>
        <v>0</v>
      </c>
      <c r="AA28" s="4756">
        <v>1074.376</v>
      </c>
      <c r="AB28" s="4756">
        <v>2571.9540000000002</v>
      </c>
    </row>
    <row r="29" spans="1:28" x14ac:dyDescent="0.2">
      <c r="A29" s="3072" t="s">
        <v>3650</v>
      </c>
      <c r="B29" s="3073"/>
      <c r="C29" s="3073"/>
      <c r="D29" s="3073"/>
      <c r="E29" s="3073"/>
      <c r="F29" s="3073"/>
      <c r="G29" s="3073"/>
      <c r="H29" s="3181"/>
      <c r="I29" s="5981"/>
      <c r="J29" s="5982"/>
      <c r="K29" s="3073">
        <v>0</v>
      </c>
      <c r="L29" s="3073"/>
      <c r="M29" s="3073">
        <v>557.87</v>
      </c>
      <c r="N29" s="3073">
        <v>656.2</v>
      </c>
      <c r="O29" s="3644">
        <f>SUM(ремонты!L47)</f>
        <v>679.5213480000001</v>
      </c>
      <c r="P29" s="3645">
        <f t="shared" si="9"/>
        <v>0</v>
      </c>
      <c r="Q29" s="3646">
        <v>0</v>
      </c>
      <c r="R29" s="3646">
        <v>0</v>
      </c>
      <c r="S29" s="3646">
        <v>0</v>
      </c>
      <c r="T29" s="3945">
        <f>SUM(ремонты!O47)</f>
        <v>706.36244124600012</v>
      </c>
      <c r="U29" s="2112">
        <f t="shared" si="10"/>
        <v>0</v>
      </c>
      <c r="V29" s="3942">
        <v>0.28499999999999998</v>
      </c>
      <c r="W29" s="3942">
        <v>0.29399999999999998</v>
      </c>
      <c r="X29" s="3942">
        <v>0.29399999999999998</v>
      </c>
      <c r="Y29" s="3074">
        <f>SUM(ремонты!T47)</f>
        <v>734.26375767521722</v>
      </c>
      <c r="Z29" s="3512">
        <f t="shared" si="11"/>
        <v>0</v>
      </c>
      <c r="AA29" s="4756">
        <v>0</v>
      </c>
      <c r="AB29" s="4756">
        <v>0</v>
      </c>
    </row>
    <row r="30" spans="1:28" s="2339" customFormat="1" x14ac:dyDescent="0.2">
      <c r="A30" s="3072" t="s">
        <v>84</v>
      </c>
      <c r="B30" s="2562">
        <f>(E7)/1000</f>
        <v>1049.5662500000001</v>
      </c>
      <c r="C30" s="2562">
        <f>(E8)/1000</f>
        <v>1052.53394</v>
      </c>
      <c r="D30" s="2562">
        <f>(E9)/1000</f>
        <v>1055.5017</v>
      </c>
      <c r="E30" s="2562">
        <f>(E10)/1000</f>
        <v>1058.65533</v>
      </c>
      <c r="F30" s="2562">
        <f>(E11)/1000</f>
        <v>1061.99386</v>
      </c>
      <c r="G30" s="2562">
        <f>(E12)/1000</f>
        <v>1065.3323899999998</v>
      </c>
      <c r="H30" s="3073">
        <v>996.74</v>
      </c>
      <c r="I30" s="5981">
        <f>SUM(ремонты!F48)</f>
        <v>1052.53394</v>
      </c>
      <c r="J30" s="5982"/>
      <c r="K30" s="2562">
        <f>SUM(ремонты!J48)</f>
        <v>1070.2427051249999</v>
      </c>
      <c r="L30" s="2562">
        <v>197.37</v>
      </c>
      <c r="M30" s="2562">
        <v>294.45</v>
      </c>
      <c r="N30" s="2562">
        <v>515.79999999999995</v>
      </c>
      <c r="O30" s="3644">
        <f>SUM(ремонты!L48)</f>
        <v>1153.2394764000001</v>
      </c>
      <c r="P30" s="3645">
        <f t="shared" si="9"/>
        <v>1099.8151527991322</v>
      </c>
      <c r="Q30" s="3644">
        <v>379.27</v>
      </c>
      <c r="R30" s="3644">
        <v>496.94</v>
      </c>
      <c r="S30" s="3644">
        <v>712.22</v>
      </c>
      <c r="T30" s="3945">
        <f>SUM(ремонты!O48)</f>
        <v>1192.3792649999998</v>
      </c>
      <c r="U30" s="2112">
        <f t="shared" si="10"/>
        <v>1164.1961353244155</v>
      </c>
      <c r="V30" s="3945">
        <v>355.38499999999999</v>
      </c>
      <c r="W30" s="3945">
        <v>595.51400000000001</v>
      </c>
      <c r="X30" s="3945">
        <v>790.53700000000003</v>
      </c>
      <c r="Y30" s="3074">
        <f>SUM(ремонты!T48)</f>
        <v>1228.1484600000001</v>
      </c>
      <c r="Z30" s="3512">
        <f t="shared" si="11"/>
        <v>1342.9665108642632</v>
      </c>
      <c r="AA30" s="4718">
        <v>1182.924</v>
      </c>
      <c r="AB30" s="4718">
        <v>2299.4969999999998</v>
      </c>
    </row>
    <row r="31" spans="1:28" s="2389" customFormat="1" ht="25.5" x14ac:dyDescent="0.2">
      <c r="A31" s="3072" t="s">
        <v>3522</v>
      </c>
      <c r="B31" s="2562">
        <v>582.53</v>
      </c>
      <c r="C31" s="2562">
        <v>603.23</v>
      </c>
      <c r="D31" s="2562">
        <v>617.5</v>
      </c>
      <c r="E31" s="2562">
        <v>635.78</v>
      </c>
      <c r="F31" s="2562">
        <v>654.6</v>
      </c>
      <c r="G31" s="2562"/>
      <c r="H31" s="3073">
        <v>1747.03</v>
      </c>
      <c r="I31" s="5981">
        <f>SUM(ремонты!F49)</f>
        <v>603.22905688320009</v>
      </c>
      <c r="J31" s="5982"/>
      <c r="K31" s="2562">
        <f>SUM(ремонты!J49)</f>
        <v>594.0018437760001</v>
      </c>
      <c r="L31" s="2562">
        <v>719.17</v>
      </c>
      <c r="M31" s="2562">
        <v>948.25</v>
      </c>
      <c r="N31" s="2562">
        <v>1203.47</v>
      </c>
      <c r="O31" s="3644">
        <f>SUM(ремонты!L49)</f>
        <v>967.24613699999998</v>
      </c>
      <c r="P31" s="3645">
        <f t="shared" si="9"/>
        <v>610.41913358025613</v>
      </c>
      <c r="Q31" s="3644">
        <v>605.74</v>
      </c>
      <c r="R31" s="3644">
        <v>890.72</v>
      </c>
      <c r="S31" s="3644">
        <v>1727.3</v>
      </c>
      <c r="T31" s="3945">
        <f>SUM(ремонты!O49)</f>
        <v>1000.0717650000001</v>
      </c>
      <c r="U31" s="2112">
        <f t="shared" si="10"/>
        <v>646.15185054829249</v>
      </c>
      <c r="V31" s="3945">
        <v>583.76</v>
      </c>
      <c r="W31" s="3945">
        <v>1168.03</v>
      </c>
      <c r="X31" s="3945">
        <v>1565.3689999999999</v>
      </c>
      <c r="Y31" s="3074">
        <f>SUM(ремонты!T49)</f>
        <v>1030.08213</v>
      </c>
      <c r="Z31" s="3512">
        <f t="shared" si="11"/>
        <v>745.37294008239985</v>
      </c>
      <c r="AA31" s="4718">
        <v>1031.665</v>
      </c>
      <c r="AB31" s="4718">
        <v>4582.5590000000002</v>
      </c>
    </row>
    <row r="32" spans="1:28" s="2389" customFormat="1" ht="25.5" x14ac:dyDescent="0.2">
      <c r="A32" s="3182" t="s">
        <v>3520</v>
      </c>
      <c r="B32" s="2563">
        <f>SUM(B33:B36)</f>
        <v>1779.89399</v>
      </c>
      <c r="C32" s="2563">
        <f t="shared" ref="C32:G32" si="12">SUM(C33:C36)</f>
        <v>1801.03466</v>
      </c>
      <c r="D32" s="2563">
        <f t="shared" si="12"/>
        <v>1814.07573</v>
      </c>
      <c r="E32" s="2563">
        <f t="shared" si="12"/>
        <v>1832.4870999999998</v>
      </c>
      <c r="F32" s="2563">
        <f t="shared" si="12"/>
        <v>1851.7986500000002</v>
      </c>
      <c r="G32" s="2563">
        <f t="shared" si="12"/>
        <v>1001.00082</v>
      </c>
      <c r="H32" s="2600">
        <f>SUM(H33:H36)</f>
        <v>2872.46</v>
      </c>
      <c r="I32" s="5989">
        <f>SUM(I33:J36)</f>
        <v>2717.4521485681998</v>
      </c>
      <c r="J32" s="5990"/>
      <c r="K32" s="3086">
        <f>SUM(K33:K36)</f>
        <v>1814.9541593040001</v>
      </c>
      <c r="L32" s="2563">
        <f t="shared" ref="L32:N32" si="13">SUM(L33:L36)</f>
        <v>1424.46</v>
      </c>
      <c r="M32" s="2563">
        <f t="shared" si="13"/>
        <v>2580.04</v>
      </c>
      <c r="N32" s="2563">
        <f t="shared" si="13"/>
        <v>2890.87</v>
      </c>
      <c r="O32" s="3642">
        <f>SUM(O33:O36)</f>
        <v>3261.9406446000003</v>
      </c>
      <c r="P32" s="3643">
        <f>SUM(P33:P36)</f>
        <v>1865.1079725344698</v>
      </c>
      <c r="Q32" s="3642">
        <f t="shared" ref="Q32:S32" si="14">SUM(Q33:Q36)</f>
        <v>862.01499999999999</v>
      </c>
      <c r="R32" s="3642">
        <f t="shared" si="14"/>
        <v>1354.6999999999998</v>
      </c>
      <c r="S32" s="3642">
        <f t="shared" si="14"/>
        <v>2181.8199999999997</v>
      </c>
      <c r="T32" s="3944">
        <f>SUM(T33:T36)</f>
        <v>3567.3758207999999</v>
      </c>
      <c r="U32" s="3086">
        <f>SUM(U33:U36)</f>
        <v>1974.2876683059822</v>
      </c>
      <c r="V32" s="3944">
        <f t="shared" ref="V32:X32" si="15">SUM(V33:V36)</f>
        <v>1053.3899999999999</v>
      </c>
      <c r="W32" s="3944">
        <f t="shared" si="15"/>
        <v>2798.6800000000003</v>
      </c>
      <c r="X32" s="3944">
        <f t="shared" si="15"/>
        <v>3615.4970000000003</v>
      </c>
      <c r="Y32" s="3075">
        <f>SUM(Y33:Y36)</f>
        <v>3678.8907949200002</v>
      </c>
      <c r="Z32" s="3296">
        <f>SUM(Z33:Z36)</f>
        <v>2277.4532064636905</v>
      </c>
      <c r="AA32" s="4735">
        <f t="shared" ref="AA32:AB32" si="16">SUM(AA33:AA36)</f>
        <v>2411.395</v>
      </c>
      <c r="AB32" s="4735">
        <f t="shared" si="16"/>
        <v>6812.3960000000006</v>
      </c>
    </row>
    <row r="33" spans="1:28" s="2389" customFormat="1" x14ac:dyDescent="0.2">
      <c r="A33" s="3183" t="s">
        <v>87</v>
      </c>
      <c r="B33" s="2562"/>
      <c r="C33" s="2562"/>
      <c r="D33" s="2562"/>
      <c r="E33" s="2562"/>
      <c r="F33" s="2562"/>
      <c r="G33" s="2562"/>
      <c r="H33" s="3073">
        <v>590.36</v>
      </c>
      <c r="I33" s="5981">
        <f>SUM(ремонты!F51)</f>
        <v>435.33</v>
      </c>
      <c r="J33" s="5982"/>
      <c r="K33" s="2562">
        <f>SUM(ремонты!J51)</f>
        <v>0</v>
      </c>
      <c r="L33" s="2562">
        <v>583.70000000000005</v>
      </c>
      <c r="M33" s="2562">
        <v>1195.48</v>
      </c>
      <c r="N33" s="2562">
        <v>1249.92</v>
      </c>
      <c r="O33" s="3644">
        <f>SUM(ремонты!L51)</f>
        <v>464.32578059999997</v>
      </c>
      <c r="P33" s="3645">
        <f t="shared" si="9"/>
        <v>0</v>
      </c>
      <c r="Q33" s="3644">
        <v>217.41</v>
      </c>
      <c r="R33" s="3644">
        <v>286.07</v>
      </c>
      <c r="S33" s="3644">
        <v>362.77</v>
      </c>
      <c r="T33" s="3945">
        <f>SUM(ремонты!O51)</f>
        <v>480.08268000000004</v>
      </c>
      <c r="U33" s="2112">
        <f t="shared" si="10"/>
        <v>0</v>
      </c>
      <c r="V33" s="3945">
        <v>227.72</v>
      </c>
      <c r="W33" s="3945">
        <v>389.36</v>
      </c>
      <c r="X33" s="3945">
        <v>540.39200000000005</v>
      </c>
      <c r="Y33" s="3074">
        <f>SUM(ремонты!T51)</f>
        <v>494.49015000000003</v>
      </c>
      <c r="Z33" s="3512">
        <f t="shared" si="11"/>
        <v>0</v>
      </c>
      <c r="AA33" s="4718">
        <v>545.57000000000005</v>
      </c>
      <c r="AB33" s="4718">
        <v>1062.3230000000001</v>
      </c>
    </row>
    <row r="34" spans="1:28" s="2389" customFormat="1" x14ac:dyDescent="0.2">
      <c r="A34" s="3183" t="s">
        <v>88</v>
      </c>
      <c r="B34" s="2562"/>
      <c r="C34" s="2562"/>
      <c r="D34" s="2562"/>
      <c r="E34" s="2562"/>
      <c r="F34" s="2562"/>
      <c r="G34" s="2562"/>
      <c r="H34" s="3073">
        <v>1291.27</v>
      </c>
      <c r="I34" s="5981">
        <f>SUM(ремонты!F52)</f>
        <v>481.08499999999998</v>
      </c>
      <c r="J34" s="5982"/>
      <c r="K34" s="2562">
        <f>SUM(ремонты!J52)</f>
        <v>0</v>
      </c>
      <c r="L34" s="2562">
        <v>165.75</v>
      </c>
      <c r="M34" s="2562">
        <v>305.58999999999997</v>
      </c>
      <c r="N34" s="2562">
        <v>283.89</v>
      </c>
      <c r="O34" s="3644">
        <f>SUM(ремонты!L52)</f>
        <v>293.97945060000001</v>
      </c>
      <c r="P34" s="3645">
        <f t="shared" si="9"/>
        <v>0</v>
      </c>
      <c r="Q34" s="3644">
        <v>205.33</v>
      </c>
      <c r="R34" s="3644">
        <v>371.3</v>
      </c>
      <c r="S34" s="3644">
        <v>454.08</v>
      </c>
      <c r="T34" s="3945">
        <f>SUM(ремонты!O52)</f>
        <v>472.01616000000001</v>
      </c>
      <c r="U34" s="2112">
        <f t="shared" si="10"/>
        <v>0</v>
      </c>
      <c r="V34" s="3945">
        <v>444.37</v>
      </c>
      <c r="W34" s="3945">
        <v>754.11</v>
      </c>
      <c r="X34" s="3945">
        <v>1174.327</v>
      </c>
      <c r="Y34" s="3074">
        <f>SUM(ремонты!T52)</f>
        <v>490.66079832000003</v>
      </c>
      <c r="Z34" s="3512">
        <f t="shared" si="11"/>
        <v>0</v>
      </c>
      <c r="AA34" s="4718">
        <v>940.57299999999998</v>
      </c>
      <c r="AB34" s="4718">
        <v>1757.5409999999999</v>
      </c>
    </row>
    <row r="35" spans="1:28" x14ac:dyDescent="0.2">
      <c r="A35" s="3183" t="s">
        <v>89</v>
      </c>
      <c r="B35" s="2562">
        <f>(E15)/1000</f>
        <v>1027.0439899999999</v>
      </c>
      <c r="C35" s="2562">
        <f>(E16)/1000</f>
        <v>1021.43466</v>
      </c>
      <c r="D35" s="2562">
        <f>(E17)/1000</f>
        <v>1016.02573</v>
      </c>
      <c r="E35" s="2562">
        <f>(E18)/1000</f>
        <v>1010.8171</v>
      </c>
      <c r="F35" s="2562">
        <f>(E19)/1000</f>
        <v>1005.8086500000001</v>
      </c>
      <c r="G35" s="2562">
        <f>(E20)/1000</f>
        <v>1001.00082</v>
      </c>
      <c r="H35" s="3073">
        <v>559.78</v>
      </c>
      <c r="I35" s="5981">
        <f>SUM(ремонты!F53)</f>
        <v>1021.43466</v>
      </c>
      <c r="J35" s="5982"/>
      <c r="K35" s="2562">
        <f>SUM(ремонты!J53)</f>
        <v>1047.276756603</v>
      </c>
      <c r="L35" s="2562">
        <v>407.15</v>
      </c>
      <c r="M35" s="2562">
        <v>598.23</v>
      </c>
      <c r="N35" s="2562">
        <v>678.82</v>
      </c>
      <c r="O35" s="3644">
        <f>SUM(ремонты!L53)</f>
        <v>1182.172464</v>
      </c>
      <c r="P35" s="3645">
        <f t="shared" si="9"/>
        <v>1076.2146198901498</v>
      </c>
      <c r="Q35" s="3644">
        <v>324.8</v>
      </c>
      <c r="R35" s="3644">
        <v>453.82499999999999</v>
      </c>
      <c r="S35" s="3644">
        <v>648.54999999999995</v>
      </c>
      <c r="T35" s="3945">
        <f>SUM(ремонты!O53)</f>
        <v>1254.1632047999999</v>
      </c>
      <c r="U35" s="2112">
        <f t="shared" si="10"/>
        <v>1139.2140743532552</v>
      </c>
      <c r="V35" s="3945">
        <v>254.67</v>
      </c>
      <c r="W35" s="3945">
        <v>469.96</v>
      </c>
      <c r="X35" s="3945">
        <v>572.07600000000002</v>
      </c>
      <c r="Y35" s="3074">
        <f>SUM(ремонты!T53)</f>
        <v>1291.7947284000002</v>
      </c>
      <c r="Z35" s="3512">
        <f t="shared" si="11"/>
        <v>1314.1482814966762</v>
      </c>
      <c r="AA35" s="4718">
        <v>555.17499999999995</v>
      </c>
      <c r="AB35" s="4718">
        <v>1461.3420000000001</v>
      </c>
    </row>
    <row r="36" spans="1:28" ht="25.5" x14ac:dyDescent="0.2">
      <c r="A36" s="3183" t="s">
        <v>3521</v>
      </c>
      <c r="B36" s="3073">
        <v>752.85</v>
      </c>
      <c r="C36" s="3073">
        <v>779.6</v>
      </c>
      <c r="D36" s="3073">
        <v>798.05</v>
      </c>
      <c r="E36" s="3073">
        <v>821.67</v>
      </c>
      <c r="F36" s="3073">
        <v>845.99</v>
      </c>
      <c r="G36" s="1726"/>
      <c r="H36" s="3073">
        <v>431.05</v>
      </c>
      <c r="I36" s="5981">
        <f>SUM(ремонты!F54)</f>
        <v>779.6024885682001</v>
      </c>
      <c r="J36" s="5982"/>
      <c r="K36" s="2562">
        <f>SUM(ремонты!J54)</f>
        <v>767.67740270100012</v>
      </c>
      <c r="L36" s="3073">
        <v>267.86</v>
      </c>
      <c r="M36" s="1726">
        <v>480.74</v>
      </c>
      <c r="N36" s="1726">
        <v>678.24</v>
      </c>
      <c r="O36" s="3644">
        <f>SUM(ремонты!L54)</f>
        <v>1321.4629494000001</v>
      </c>
      <c r="P36" s="3645">
        <f t="shared" si="9"/>
        <v>788.89335264432009</v>
      </c>
      <c r="Q36" s="3646">
        <v>114.47499999999999</v>
      </c>
      <c r="R36" s="3645">
        <v>243.505</v>
      </c>
      <c r="S36" s="3646">
        <v>716.42</v>
      </c>
      <c r="T36" s="3945">
        <f>SUM(ремонты!O54)</f>
        <v>1361.1137760000001</v>
      </c>
      <c r="U36" s="2112">
        <f t="shared" si="10"/>
        <v>835.07359395272692</v>
      </c>
      <c r="V36" s="3942">
        <v>126.63</v>
      </c>
      <c r="W36" s="3942">
        <v>1185.25</v>
      </c>
      <c r="X36" s="3942">
        <v>1328.702</v>
      </c>
      <c r="Y36" s="3074">
        <f>SUM(ремонты!T54)</f>
        <v>1401.9451182</v>
      </c>
      <c r="Z36" s="3512">
        <f t="shared" si="11"/>
        <v>963.30492496701413</v>
      </c>
      <c r="AA36" s="4756">
        <v>370.077</v>
      </c>
      <c r="AB36" s="4756">
        <v>2531.19</v>
      </c>
    </row>
    <row r="38" spans="1:28" ht="15.75" x14ac:dyDescent="0.25">
      <c r="A38" s="5985" t="s">
        <v>3526</v>
      </c>
      <c r="B38" s="5986"/>
      <c r="C38" s="5986"/>
      <c r="D38" s="5986"/>
      <c r="E38" s="5986"/>
      <c r="F38" s="5986"/>
      <c r="G38" s="5986"/>
      <c r="H38" s="5986"/>
      <c r="I38" s="5986"/>
      <c r="J38" s="4910"/>
      <c r="K38" s="4910"/>
      <c r="L38" s="4910"/>
      <c r="M38" s="4910"/>
      <c r="N38" s="4910"/>
      <c r="O38" s="4910"/>
      <c r="P38" s="4910"/>
      <c r="Q38" s="4910"/>
      <c r="R38" s="4910"/>
      <c r="S38" s="4910"/>
      <c r="T38" s="4910"/>
      <c r="U38" s="4910"/>
      <c r="V38" s="4910"/>
      <c r="W38" s="4910"/>
      <c r="X38" s="4910"/>
      <c r="Y38" s="4910"/>
      <c r="Z38" s="4910"/>
    </row>
    <row r="40" spans="1:28" ht="20.25" x14ac:dyDescent="0.3">
      <c r="A40" s="5987" t="s">
        <v>4048</v>
      </c>
      <c r="B40" s="5988"/>
      <c r="C40" s="5988"/>
      <c r="D40" s="5988"/>
      <c r="E40" s="5988"/>
      <c r="F40" s="5988"/>
      <c r="G40" s="5988"/>
      <c r="H40" s="5988"/>
      <c r="I40" s="5988"/>
      <c r="J40" s="5988"/>
      <c r="K40" s="2666"/>
    </row>
  </sheetData>
  <mergeCells count="26">
    <mergeCell ref="A22:AB22"/>
    <mergeCell ref="Y24:Z24"/>
    <mergeCell ref="T24:U24"/>
    <mergeCell ref="A24:A25"/>
    <mergeCell ref="I25:J25"/>
    <mergeCell ref="O24:P24"/>
    <mergeCell ref="A1:J1"/>
    <mergeCell ref="B3:B4"/>
    <mergeCell ref="C3:C4"/>
    <mergeCell ref="E3:J3"/>
    <mergeCell ref="A3:A4"/>
    <mergeCell ref="D3:D4"/>
    <mergeCell ref="I30:J30"/>
    <mergeCell ref="I24:K24"/>
    <mergeCell ref="I31:J31"/>
    <mergeCell ref="A38:Z38"/>
    <mergeCell ref="A40:J40"/>
    <mergeCell ref="I32:J32"/>
    <mergeCell ref="I33:J33"/>
    <mergeCell ref="I34:J34"/>
    <mergeCell ref="I35:J35"/>
    <mergeCell ref="I36:J36"/>
    <mergeCell ref="I26:J26"/>
    <mergeCell ref="I27:J27"/>
    <mergeCell ref="I28:J28"/>
    <mergeCell ref="I29:J29"/>
  </mergeCells>
  <printOptions horizontalCentered="1"/>
  <pageMargins left="0.11811023622047245" right="0.11811023622047245" top="0.74803149606299213" bottom="0.55118110236220474" header="0.31496062992125984" footer="0.31496062992125984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5100" t="s">
        <v>1582</v>
      </c>
      <c r="B1" s="5100"/>
      <c r="C1" s="5100"/>
      <c r="D1" s="5100"/>
      <c r="E1" s="5100"/>
      <c r="F1" s="5100"/>
      <c r="G1" s="5100"/>
      <c r="H1" s="5100"/>
      <c r="I1" s="5100"/>
    </row>
    <row r="2" spans="1:11" ht="15" x14ac:dyDescent="0.25">
      <c r="B2" s="1771"/>
      <c r="C2" s="1771"/>
      <c r="D2" s="1771"/>
      <c r="E2" s="1771"/>
      <c r="F2" s="1771"/>
      <c r="G2" s="1771"/>
      <c r="H2" s="1771"/>
    </row>
    <row r="3" spans="1:11" ht="15" x14ac:dyDescent="0.25">
      <c r="A3" s="5101" t="s">
        <v>46</v>
      </c>
      <c r="B3" s="5101"/>
      <c r="C3" s="1771"/>
      <c r="D3" s="1772"/>
      <c r="E3" s="1772"/>
      <c r="F3" s="1772"/>
      <c r="G3" s="1773"/>
      <c r="H3" s="1772"/>
      <c r="I3" s="1772"/>
    </row>
    <row r="4" spans="1:11" ht="15" x14ac:dyDescent="0.25">
      <c r="A4" s="1774" t="s">
        <v>1562</v>
      </c>
      <c r="B4" s="1775">
        <v>2010</v>
      </c>
      <c r="C4" s="1775">
        <v>2011</v>
      </c>
      <c r="D4" s="1775">
        <v>2012</v>
      </c>
      <c r="E4" s="1775">
        <v>2013</v>
      </c>
      <c r="F4" s="1775">
        <v>2014</v>
      </c>
      <c r="G4" s="1775">
        <v>2015</v>
      </c>
      <c r="H4" s="1776">
        <v>2016</v>
      </c>
      <c r="I4" s="1776">
        <v>2017</v>
      </c>
      <c r="J4" s="1776">
        <v>2019</v>
      </c>
    </row>
    <row r="5" spans="1:11" ht="15" x14ac:dyDescent="0.25">
      <c r="A5" s="1775" t="s">
        <v>60</v>
      </c>
      <c r="B5" s="1777">
        <v>4902.8</v>
      </c>
      <c r="C5" s="1778">
        <v>4524.3</v>
      </c>
      <c r="D5" s="1778">
        <v>4379.25342</v>
      </c>
      <c r="E5" s="1778">
        <v>4227.7</v>
      </c>
      <c r="F5" s="1779">
        <f>'объемы ВС и ВО 2023'!K49</f>
        <v>4039</v>
      </c>
      <c r="G5" s="1778">
        <f>'объемы ВС и ВО 2023'!R49</f>
        <v>3762.2000000000003</v>
      </c>
      <c r="H5" s="1778">
        <f>'объемы ВС и ВО 2023'!Y49</f>
        <v>3566.34</v>
      </c>
      <c r="I5" s="1777">
        <f>'объемы ВС и ВО 2023'!AP49</f>
        <v>3655.8</v>
      </c>
      <c r="J5" s="1778"/>
    </row>
    <row r="6" spans="1:11" ht="15" x14ac:dyDescent="0.2">
      <c r="A6" s="1775" t="s">
        <v>1563</v>
      </c>
      <c r="B6" s="1777"/>
      <c r="C6" s="1778"/>
      <c r="D6" s="1778"/>
      <c r="E6" s="1778"/>
      <c r="F6" s="1778"/>
      <c r="G6" s="1778"/>
      <c r="H6" s="1778"/>
      <c r="I6" s="1780"/>
      <c r="J6" s="1778">
        <f>J9</f>
        <v>3426.7349636835493</v>
      </c>
    </row>
    <row r="7" spans="1:11" ht="25.5" customHeight="1" x14ac:dyDescent="0.2">
      <c r="A7" s="1781" t="s">
        <v>1564</v>
      </c>
      <c r="B7" s="1777"/>
      <c r="C7" s="1782"/>
      <c r="D7" s="1782"/>
      <c r="E7" s="1783"/>
      <c r="F7" s="1780"/>
      <c r="G7" s="1783"/>
      <c r="H7" s="1780"/>
      <c r="I7" s="1780"/>
      <c r="J7" s="1780"/>
    </row>
    <row r="8" spans="1:11" ht="15" x14ac:dyDescent="0.2">
      <c r="A8" s="1784" t="s">
        <v>1565</v>
      </c>
      <c r="B8" s="1777"/>
      <c r="C8" s="1782"/>
      <c r="D8" s="1782"/>
      <c r="E8" s="1782"/>
      <c r="F8" s="1778"/>
      <c r="G8" s="1782"/>
      <c r="H8" s="1780"/>
      <c r="I8" s="1780"/>
      <c r="J8" s="1780"/>
    </row>
    <row r="9" spans="1:11" ht="15" x14ac:dyDescent="0.2">
      <c r="A9" s="5091" t="s">
        <v>1566</v>
      </c>
      <c r="B9" s="5091"/>
      <c r="C9" s="5092" t="s">
        <v>815</v>
      </c>
      <c r="D9" s="1786">
        <f>1/3*(F5-E5)/E5+(E5-D5)/D5+(D5-C5)/C5</f>
        <v>-8.1544654679321343E-2</v>
      </c>
      <c r="E9" s="5094" t="s">
        <v>892</v>
      </c>
      <c r="F9" s="1778">
        <f>1/3*((G5-F5)/F5+(F5-E5)/E5+(E5-D5)/D5)</f>
        <v>-4.9257716456630546E-2</v>
      </c>
      <c r="G9" s="5092" t="s">
        <v>893</v>
      </c>
      <c r="H9" s="1778">
        <f>H5*(1-0.05)*(1-0.05)</f>
        <v>3218.62185</v>
      </c>
      <c r="I9" s="5092" t="s">
        <v>1799</v>
      </c>
      <c r="J9" s="1778">
        <f>I5*(1+J10)*(1+J10)</f>
        <v>3426.7349636835493</v>
      </c>
    </row>
    <row r="10" spans="1:11" ht="15" x14ac:dyDescent="0.2">
      <c r="A10" s="5096" t="s">
        <v>1567</v>
      </c>
      <c r="B10" s="5097"/>
      <c r="C10" s="5093"/>
      <c r="D10" s="1787">
        <f>F5*(1+D9)*(1+D9)</f>
        <v>3407.1397340250851</v>
      </c>
      <c r="E10" s="5095"/>
      <c r="F10" s="1788">
        <f>G5*(1+F9)*(1+F9)</f>
        <v>3400.6935492942785</v>
      </c>
      <c r="G10" s="5093"/>
      <c r="H10" s="1788"/>
      <c r="I10" s="5093"/>
      <c r="J10" s="1788">
        <f>1/3*((I5-H5)/H5+(H5-G5)/G5+(G5-F5)/F5)</f>
        <v>-3.1835746422184369E-2</v>
      </c>
    </row>
    <row r="11" spans="1:11" x14ac:dyDescent="0.2">
      <c r="H11" s="1249"/>
    </row>
    <row r="12" spans="1:11" x14ac:dyDescent="0.2">
      <c r="H12" s="1789"/>
    </row>
    <row r="16" spans="1:11" ht="51" hidden="1" customHeight="1" x14ac:dyDescent="0.2">
      <c r="A16" s="5102"/>
      <c r="B16" s="1790"/>
      <c r="C16" s="5102"/>
      <c r="D16" s="5104" t="s">
        <v>1568</v>
      </c>
      <c r="E16" s="5105"/>
      <c r="F16" s="1791" t="s">
        <v>1569</v>
      </c>
      <c r="G16" s="1791" t="s">
        <v>1570</v>
      </c>
      <c r="H16" s="1792" t="s">
        <v>1571</v>
      </c>
      <c r="I16" s="1791" t="s">
        <v>1572</v>
      </c>
      <c r="J16" s="5106"/>
      <c r="K16" s="5106"/>
    </row>
    <row r="17" spans="1:11" ht="12.75" hidden="1" customHeight="1" x14ac:dyDescent="0.2">
      <c r="A17" s="5103"/>
      <c r="B17" s="1790"/>
      <c r="C17" s="5103"/>
      <c r="D17" s="1792" t="s">
        <v>1573</v>
      </c>
      <c r="E17" s="1792" t="s">
        <v>1574</v>
      </c>
      <c r="F17" s="1792" t="s">
        <v>1573</v>
      </c>
      <c r="G17" s="1792" t="s">
        <v>1573</v>
      </c>
      <c r="H17" s="1792" t="s">
        <v>1573</v>
      </c>
      <c r="I17" s="1792" t="s">
        <v>1573</v>
      </c>
      <c r="J17" s="5106"/>
      <c r="K17" s="5106"/>
    </row>
    <row r="18" spans="1:11" ht="25.5" hidden="1" customHeight="1" x14ac:dyDescent="0.2">
      <c r="A18" s="1793" t="s">
        <v>1575</v>
      </c>
      <c r="B18" s="5"/>
      <c r="C18" s="1794" t="s">
        <v>934</v>
      </c>
      <c r="D18" s="1795">
        <f>D19+D20</f>
        <v>113.69000000000001</v>
      </c>
      <c r="E18" s="1796">
        <f>E20</f>
        <v>1</v>
      </c>
      <c r="F18" s="1797">
        <f>H6</f>
        <v>0</v>
      </c>
      <c r="G18" s="1798">
        <f>G20</f>
        <v>118.1</v>
      </c>
      <c r="H18" s="1798">
        <f>G18-F18</f>
        <v>118.1</v>
      </c>
      <c r="I18" s="1795" t="e">
        <f>#REF!+#REF!</f>
        <v>#REF!</v>
      </c>
      <c r="J18" s="5098"/>
      <c r="K18" s="5099"/>
    </row>
    <row r="19" spans="1:11" ht="25.5" hidden="1" customHeight="1" x14ac:dyDescent="0.2">
      <c r="A19" s="1799" t="s">
        <v>1576</v>
      </c>
      <c r="B19" s="5"/>
      <c r="C19" s="1791" t="s">
        <v>934</v>
      </c>
      <c r="D19" s="1795">
        <v>0</v>
      </c>
      <c r="E19" s="1800">
        <f>D19/D18</f>
        <v>0</v>
      </c>
      <c r="F19" s="1797">
        <f>E19*$F$18</f>
        <v>0</v>
      </c>
      <c r="G19" s="1798">
        <v>0</v>
      </c>
      <c r="H19" s="1798">
        <f t="shared" ref="H19:H26" si="0">G19-F19</f>
        <v>0</v>
      </c>
      <c r="I19" s="1801">
        <f t="shared" ref="I19:I26" si="1">D19*(1+$D$9)*(1+$D$9)</f>
        <v>0</v>
      </c>
      <c r="J19" s="5098"/>
      <c r="K19" s="5099"/>
    </row>
    <row r="20" spans="1:11" ht="12.75" hidden="1" customHeight="1" x14ac:dyDescent="0.2">
      <c r="A20" s="1799" t="s">
        <v>1577</v>
      </c>
      <c r="B20" s="5"/>
      <c r="C20" s="1791" t="s">
        <v>934</v>
      </c>
      <c r="D20" s="1795">
        <f>D21+D22+D26</f>
        <v>113.69000000000001</v>
      </c>
      <c r="E20" s="1800">
        <f>D20/D18</f>
        <v>1</v>
      </c>
      <c r="F20" s="1797">
        <f>E20*$F$18</f>
        <v>0</v>
      </c>
      <c r="G20" s="1798">
        <f>G22+G26+G21</f>
        <v>118.1</v>
      </c>
      <c r="H20" s="1798">
        <f t="shared" si="0"/>
        <v>118.1</v>
      </c>
      <c r="I20" s="1801">
        <f t="shared" si="1"/>
        <v>95.904361565068569</v>
      </c>
      <c r="J20" s="5098"/>
      <c r="K20" s="5099"/>
    </row>
    <row r="21" spans="1:11" ht="38.25" hidden="1" x14ac:dyDescent="0.2">
      <c r="A21" s="1802" t="s">
        <v>1578</v>
      </c>
      <c r="B21" s="5"/>
      <c r="C21" s="1791" t="s">
        <v>934</v>
      </c>
      <c r="D21" s="1803">
        <v>0</v>
      </c>
      <c r="E21" s="1804">
        <f>D21/D20</f>
        <v>0</v>
      </c>
      <c r="F21" s="1805">
        <f t="shared" ref="F21:F26" si="2">E21*$F$20</f>
        <v>0</v>
      </c>
      <c r="G21" s="1806">
        <v>0</v>
      </c>
      <c r="H21" s="1806">
        <f t="shared" si="0"/>
        <v>0</v>
      </c>
      <c r="I21" s="1807">
        <f t="shared" si="1"/>
        <v>0</v>
      </c>
      <c r="J21" s="5107"/>
      <c r="K21" s="5108"/>
    </row>
    <row r="22" spans="1:11" hidden="1" x14ac:dyDescent="0.2">
      <c r="A22" s="1802" t="s">
        <v>1579</v>
      </c>
      <c r="B22" s="5"/>
      <c r="C22" s="1791" t="s">
        <v>934</v>
      </c>
      <c r="D22" s="1795">
        <f>D23+D24+D25</f>
        <v>92.190000000000012</v>
      </c>
      <c r="E22" s="1800">
        <f>D22/D20</f>
        <v>0.81088926026915298</v>
      </c>
      <c r="F22" s="1797">
        <f t="shared" si="2"/>
        <v>0</v>
      </c>
      <c r="G22" s="1798">
        <f>G23+G24+G25</f>
        <v>95</v>
      </c>
      <c r="H22" s="1798">
        <f t="shared" si="0"/>
        <v>95</v>
      </c>
      <c r="I22" s="1801">
        <f t="shared" si="1"/>
        <v>77.767816806083843</v>
      </c>
      <c r="J22" s="5098"/>
      <c r="K22" s="5099"/>
    </row>
    <row r="23" spans="1:11" hidden="1" x14ac:dyDescent="0.2">
      <c r="A23" s="1808" t="s">
        <v>24</v>
      </c>
      <c r="B23" s="5"/>
      <c r="C23" s="1791" t="s">
        <v>934</v>
      </c>
      <c r="D23" s="1809">
        <f>'[41]прил 1 баланс питьевой воды'!K43</f>
        <v>81.150000000000006</v>
      </c>
      <c r="E23" s="1810">
        <f>D23/D20</f>
        <v>0.71378309437945286</v>
      </c>
      <c r="F23" s="1811">
        <f t="shared" si="2"/>
        <v>0</v>
      </c>
      <c r="G23" s="1812">
        <f>'[41]прил 1 баланс питьевой воды'!O43</f>
        <v>82</v>
      </c>
      <c r="H23" s="1812">
        <f t="shared" si="0"/>
        <v>82</v>
      </c>
      <c r="I23" s="1813">
        <f t="shared" si="1"/>
        <v>68.454911962400516</v>
      </c>
      <c r="J23" s="5109"/>
      <c r="K23" s="5110"/>
    </row>
    <row r="24" spans="1:11" hidden="1" x14ac:dyDescent="0.2">
      <c r="A24" s="1808" t="s">
        <v>1580</v>
      </c>
      <c r="B24" s="5"/>
      <c r="C24" s="1791" t="s">
        <v>934</v>
      </c>
      <c r="D24" s="1809">
        <f>'[41]прил 1 баланс питьевой воды'!K44</f>
        <v>8.61</v>
      </c>
      <c r="E24" s="1810">
        <f>D24/D20</f>
        <v>7.5732254375934546E-2</v>
      </c>
      <c r="F24" s="1811">
        <f t="shared" si="2"/>
        <v>0</v>
      </c>
      <c r="G24" s="1812">
        <f>'[41]прил 1 баланс питьевой воды'!O44</f>
        <v>9</v>
      </c>
      <c r="H24" s="1812">
        <f t="shared" si="0"/>
        <v>9</v>
      </c>
      <c r="I24" s="1813">
        <f t="shared" si="1"/>
        <v>7.2630535058073731</v>
      </c>
      <c r="J24" s="5111"/>
      <c r="K24" s="5112"/>
    </row>
    <row r="25" spans="1:11" hidden="1" x14ac:dyDescent="0.2">
      <c r="A25" s="1808" t="s">
        <v>26</v>
      </c>
      <c r="B25" s="5"/>
      <c r="C25" s="1791" t="s">
        <v>934</v>
      </c>
      <c r="D25" s="1809">
        <f>'[41]прил 1 баланс питьевой воды'!K45</f>
        <v>2.4300000000000002</v>
      </c>
      <c r="E25" s="1810">
        <f>D25/D20</f>
        <v>2.1373911513765501E-2</v>
      </c>
      <c r="F25" s="1811">
        <f t="shared" si="2"/>
        <v>0</v>
      </c>
      <c r="G25" s="1812">
        <f>'[41]прил 1 баланс питьевой воды'!O45</f>
        <v>4</v>
      </c>
      <c r="H25" s="1812">
        <f t="shared" si="0"/>
        <v>4</v>
      </c>
      <c r="I25" s="1813">
        <f t="shared" si="1"/>
        <v>2.0498513378759489</v>
      </c>
      <c r="J25" s="5113"/>
      <c r="K25" s="5114"/>
    </row>
    <row r="26" spans="1:11" hidden="1" x14ac:dyDescent="0.2">
      <c r="A26" s="1802" t="s">
        <v>1581</v>
      </c>
      <c r="B26" s="5"/>
      <c r="C26" s="1791" t="s">
        <v>934</v>
      </c>
      <c r="D26" s="1795">
        <f>'[41]прил 1 баланс питьевой воды'!K46</f>
        <v>21.5</v>
      </c>
      <c r="E26" s="1800">
        <f>D26/D20</f>
        <v>0.18911073973084702</v>
      </c>
      <c r="F26" s="1797">
        <f t="shared" si="2"/>
        <v>0</v>
      </c>
      <c r="G26" s="1798">
        <f>'[41]прил 1 баланс питьевой воды'!O46</f>
        <v>23.1</v>
      </c>
      <c r="H26" s="1798">
        <f t="shared" si="0"/>
        <v>23.1</v>
      </c>
      <c r="I26" s="1801">
        <f t="shared" si="1"/>
        <v>18.13654475898473</v>
      </c>
      <c r="J26" s="5098"/>
      <c r="K26" s="5099"/>
    </row>
    <row r="27" spans="1:11" hidden="1" x14ac:dyDescent="0.2"/>
    <row r="28" spans="1:11" hidden="1" x14ac:dyDescent="0.2">
      <c r="E28" s="1814"/>
    </row>
    <row r="30" spans="1:11" ht="15" x14ac:dyDescent="0.25">
      <c r="A30" s="5101" t="s">
        <v>47</v>
      </c>
      <c r="B30" s="5101"/>
      <c r="C30" s="1771"/>
      <c r="D30" s="1772"/>
      <c r="E30" s="1772"/>
      <c r="F30" s="1772"/>
      <c r="G30" s="1773"/>
      <c r="H30" s="1772"/>
      <c r="I30" s="1772"/>
    </row>
    <row r="31" spans="1:11" ht="15" x14ac:dyDescent="0.25">
      <c r="A31" s="1774" t="s">
        <v>1562</v>
      </c>
      <c r="B31" s="1775">
        <v>2010</v>
      </c>
      <c r="C31" s="1775">
        <v>2011</v>
      </c>
      <c r="D31" s="1775">
        <v>2012</v>
      </c>
      <c r="E31" s="1775">
        <v>2013</v>
      </c>
      <c r="F31" s="1775">
        <v>2014</v>
      </c>
      <c r="G31" s="1775">
        <v>2015</v>
      </c>
      <c r="H31" s="1776">
        <v>2016</v>
      </c>
      <c r="I31" s="1776">
        <v>2017</v>
      </c>
      <c r="J31" s="1776">
        <v>2019</v>
      </c>
    </row>
    <row r="32" spans="1:11" ht="15" x14ac:dyDescent="0.25">
      <c r="A32" s="1775" t="s">
        <v>60</v>
      </c>
      <c r="B32" s="1777">
        <v>4415.2</v>
      </c>
      <c r="C32" s="1778">
        <v>4093.2</v>
      </c>
      <c r="D32" s="1778">
        <v>3988.3263000000002</v>
      </c>
      <c r="E32" s="1778">
        <v>3805.3</v>
      </c>
      <c r="F32" s="1779">
        <f>'объемы ВС и ВО 2023'!K63</f>
        <v>3476.2</v>
      </c>
      <c r="G32" s="1778">
        <f>'объемы ВС и ВО 2023'!R63+'объемы ВС и ВО 2023'!S63</f>
        <v>3209.95</v>
      </c>
      <c r="H32" s="1778">
        <f>'объемы ВС и ВО 2023'!W64+'объемы ВС и ВО 2023'!W65</f>
        <v>3040.84</v>
      </c>
      <c r="I32" s="1777">
        <f>'объемы ВС и ВО 2023'!AN64+'объемы ВС и ВО 2023'!AN65</f>
        <v>3178.1</v>
      </c>
      <c r="J32" s="1778"/>
    </row>
    <row r="33" spans="1:10" ht="15" x14ac:dyDescent="0.2">
      <c r="A33" s="1775" t="s">
        <v>1563</v>
      </c>
      <c r="B33" s="1777"/>
      <c r="C33" s="1778"/>
      <c r="D33" s="1778"/>
      <c r="E33" s="1778"/>
      <c r="F33" s="1778"/>
      <c r="G33" s="1778"/>
      <c r="H33" s="1778"/>
      <c r="I33" s="1778"/>
      <c r="J33" s="1778">
        <f>J36</f>
        <v>3002.3369764914323</v>
      </c>
    </row>
    <row r="34" spans="1:10" ht="22.5" x14ac:dyDescent="0.2">
      <c r="A34" s="1781" t="s">
        <v>1564</v>
      </c>
      <c r="B34" s="1777"/>
      <c r="C34" s="1782"/>
      <c r="D34" s="1782"/>
      <c r="E34" s="1783"/>
      <c r="F34" s="1780"/>
      <c r="G34" s="1783"/>
      <c r="H34" s="1780"/>
      <c r="I34" s="1780"/>
      <c r="J34" s="1780"/>
    </row>
    <row r="35" spans="1:10" ht="15" x14ac:dyDescent="0.2">
      <c r="A35" s="1784" t="s">
        <v>1565</v>
      </c>
      <c r="B35" s="1777"/>
      <c r="C35" s="1782"/>
      <c r="D35" s="1782"/>
      <c r="E35" s="1782"/>
      <c r="F35" s="1778"/>
      <c r="G35" s="1782"/>
      <c r="H35" s="1780"/>
      <c r="I35" s="1780"/>
      <c r="J35" s="1780"/>
    </row>
    <row r="36" spans="1:10" ht="15" x14ac:dyDescent="0.2">
      <c r="A36" s="5091" t="s">
        <v>1566</v>
      </c>
      <c r="B36" s="5091"/>
      <c r="C36" s="5092" t="s">
        <v>815</v>
      </c>
      <c r="D36" s="1786">
        <f>1/3*(F32-E32)/E32+(E32-D32)/D32+(D32-C32)/C32</f>
        <v>-0.10034016159661976</v>
      </c>
      <c r="E36" s="5094" t="s">
        <v>892</v>
      </c>
      <c r="F36" s="1778">
        <f>1/3*((G32-F32)/F32+(F32-E32)/E32+(E32-D32)/D32)</f>
        <v>-6.9655799582415773E-2</v>
      </c>
      <c r="G36" s="5092" t="s">
        <v>893</v>
      </c>
      <c r="H36" s="1778"/>
      <c r="I36" s="1778"/>
      <c r="J36" s="1778">
        <f>I32*(1+J37)*(1+J37)</f>
        <v>3002.3369764914323</v>
      </c>
    </row>
    <row r="37" spans="1:10" ht="15" x14ac:dyDescent="0.2">
      <c r="A37" s="5096" t="s">
        <v>1567</v>
      </c>
      <c r="B37" s="5097"/>
      <c r="C37" s="5093"/>
      <c r="D37" s="1787">
        <f>F32*(1+D36)*(1+D36)</f>
        <v>2813.59395669489</v>
      </c>
      <c r="E37" s="5095"/>
      <c r="F37" s="1788">
        <f>G32*(1+F36)*(1+F36)</f>
        <v>2778.3411862979729</v>
      </c>
      <c r="G37" s="5093"/>
      <c r="H37" s="1788"/>
      <c r="I37" s="1787"/>
      <c r="J37" s="1788">
        <f>1/3*((I32-H32)/H32+(H32-G32)/G32+(G32-F32)/F32)</f>
        <v>-2.8045492098791376E-2</v>
      </c>
    </row>
    <row r="39" spans="1:10" hidden="1" x14ac:dyDescent="0.2">
      <c r="A39" t="s">
        <v>255</v>
      </c>
    </row>
    <row r="40" spans="1:10" ht="15" hidden="1" x14ac:dyDescent="0.25">
      <c r="A40" s="1774" t="s">
        <v>1562</v>
      </c>
      <c r="B40" s="1785">
        <v>2010</v>
      </c>
      <c r="C40" s="1785">
        <v>2011</v>
      </c>
      <c r="D40" s="1785">
        <v>2012</v>
      </c>
      <c r="E40" s="1785">
        <v>2013</v>
      </c>
      <c r="F40" s="1785">
        <v>2014</v>
      </c>
      <c r="G40" s="1785">
        <v>2015</v>
      </c>
      <c r="H40" s="1776">
        <v>2016</v>
      </c>
      <c r="I40" s="1776">
        <v>2017</v>
      </c>
    </row>
    <row r="41" spans="1:10" ht="15" hidden="1" x14ac:dyDescent="0.25">
      <c r="A41" s="1785" t="s">
        <v>60</v>
      </c>
      <c r="B41" s="1777"/>
      <c r="C41" s="1778"/>
      <c r="D41" s="1778"/>
      <c r="E41" s="1778"/>
      <c r="F41" s="1779">
        <f>'объемы ВС и ВО 2023'!K51</f>
        <v>49.8</v>
      </c>
      <c r="G41" s="1778">
        <f>'объемы ВС и ВО 2023'!S49</f>
        <v>18.22</v>
      </c>
      <c r="H41" s="1778"/>
      <c r="I41" s="1777"/>
    </row>
    <row r="42" spans="1:10" ht="15" hidden="1" x14ac:dyDescent="0.2">
      <c r="A42" s="1785" t="s">
        <v>1563</v>
      </c>
      <c r="B42" s="1777"/>
      <c r="C42" s="1778"/>
      <c r="D42" s="1778"/>
      <c r="E42" s="1778"/>
      <c r="F42" s="1778"/>
      <c r="G42" s="1778"/>
      <c r="H42" s="1778">
        <f>F41*(1-0.05)*(1-0.05)</f>
        <v>44.944499999999991</v>
      </c>
      <c r="I42" s="1780" t="e">
        <f>F46</f>
        <v>#DIV/0!</v>
      </c>
    </row>
    <row r="43" spans="1:10" ht="22.5" hidden="1" x14ac:dyDescent="0.2">
      <c r="A43" s="1781" t="s">
        <v>1564</v>
      </c>
      <c r="B43" s="1777"/>
      <c r="C43" s="1782"/>
      <c r="D43" s="1782"/>
      <c r="E43" s="1783"/>
      <c r="F43" s="1780"/>
      <c r="G43" s="1783"/>
      <c r="H43" s="1780"/>
      <c r="I43" s="1780"/>
    </row>
    <row r="44" spans="1:10" ht="15" hidden="1" x14ac:dyDescent="0.2">
      <c r="A44" s="1784" t="s">
        <v>1565</v>
      </c>
      <c r="B44" s="1777"/>
      <c r="C44" s="1782"/>
      <c r="D44" s="1782"/>
      <c r="E44" s="1782"/>
      <c r="F44" s="1778"/>
      <c r="G44" s="1782"/>
      <c r="H44" s="1780"/>
      <c r="I44" s="1780"/>
    </row>
    <row r="45" spans="1:10" ht="15" hidden="1" x14ac:dyDescent="0.2">
      <c r="A45" s="5091" t="s">
        <v>1566</v>
      </c>
      <c r="B45" s="5091"/>
      <c r="C45" s="5092" t="s">
        <v>815</v>
      </c>
      <c r="D45" s="1786" t="e">
        <f>1/3*(F41-E41)/E41+(E41-D41)/D41+(D41-C41)/C41</f>
        <v>#DIV/0!</v>
      </c>
      <c r="E45" s="5094" t="s">
        <v>892</v>
      </c>
      <c r="F45" s="1778" t="e">
        <f>1/3*((G41-F41)/F41+(F41-E41)/E41+(E41-D41)/D41)</f>
        <v>#DIV/0!</v>
      </c>
      <c r="G45" s="5092" t="s">
        <v>893</v>
      </c>
      <c r="H45" s="1778"/>
      <c r="I45" s="1778"/>
    </row>
    <row r="46" spans="1:10" ht="15" hidden="1" x14ac:dyDescent="0.2">
      <c r="A46" s="5096" t="s">
        <v>1567</v>
      </c>
      <c r="B46" s="5097"/>
      <c r="C46" s="5093"/>
      <c r="D46" s="1787" t="e">
        <f>F41*(1+D45)*(1+D45)</f>
        <v>#DIV/0!</v>
      </c>
      <c r="E46" s="5095"/>
      <c r="F46" s="1788" t="e">
        <f>G41*(1+F45)*(1+F45)</f>
        <v>#DIV/0!</v>
      </c>
      <c r="G46" s="5093"/>
      <c r="H46" s="1788"/>
      <c r="I46" s="1787"/>
    </row>
    <row r="47" spans="1:10" hidden="1" x14ac:dyDescent="0.2"/>
    <row r="48" spans="1:10" hidden="1" x14ac:dyDescent="0.2"/>
  </sheetData>
  <mergeCells count="30">
    <mergeCell ref="A30:B30"/>
    <mergeCell ref="A36:B36"/>
    <mergeCell ref="C36:C37"/>
    <mergeCell ref="E36:E37"/>
    <mergeCell ref="G36:G37"/>
    <mergeCell ref="A37:B37"/>
    <mergeCell ref="J20:K20"/>
    <mergeCell ref="J21:K21"/>
    <mergeCell ref="J22:K22"/>
    <mergeCell ref="J23:K25"/>
    <mergeCell ref="J26:K2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A45:B45"/>
    <mergeCell ref="C45:C46"/>
    <mergeCell ref="E45:E46"/>
    <mergeCell ref="G45:G46"/>
    <mergeCell ref="A46:B46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Лист41">
    <tabColor rgb="FFCC00FF"/>
    <pageSetUpPr fitToPage="1"/>
  </sheetPr>
  <dimension ref="A1:AE62"/>
  <sheetViews>
    <sheetView topLeftCell="A28" workbookViewId="0">
      <selection activeCell="V46" sqref="V46:W46"/>
    </sheetView>
  </sheetViews>
  <sheetFormatPr defaultRowHeight="12.75" x14ac:dyDescent="0.2"/>
  <cols>
    <col min="1" max="1" width="38.85546875" style="2091" customWidth="1"/>
    <col min="2" max="9" width="10.7109375" style="5" customWidth="1"/>
    <col min="10" max="10" width="10" style="5" bestFit="1" customWidth="1"/>
    <col min="11" max="11" width="8.28515625" style="5" customWidth="1"/>
    <col min="12" max="12" width="11.42578125" style="5" customWidth="1"/>
    <col min="13" max="13" width="10" style="5" customWidth="1"/>
    <col min="14" max="14" width="9.140625" style="5"/>
    <col min="15" max="15" width="9.85546875" style="5" customWidth="1"/>
    <col min="16" max="16" width="9.140625" style="5"/>
    <col min="17" max="18" width="0" style="5" hidden="1" customWidth="1"/>
    <col min="19" max="19" width="8.42578125" style="5" customWidth="1"/>
    <col min="20" max="20" width="9.7109375" style="5" customWidth="1"/>
    <col min="21" max="21" width="9.42578125" style="5" customWidth="1"/>
    <col min="22" max="16384" width="9.140625" style="5"/>
  </cols>
  <sheetData>
    <row r="1" spans="1:31" ht="15.75" x14ac:dyDescent="0.25">
      <c r="A1" s="5835" t="s">
        <v>2066</v>
      </c>
      <c r="B1" s="5835"/>
      <c r="C1" s="5835"/>
      <c r="D1" s="5835"/>
      <c r="E1" s="5835"/>
      <c r="F1" s="5835"/>
      <c r="G1" s="5835"/>
      <c r="H1" s="5835"/>
      <c r="I1" s="5835"/>
    </row>
    <row r="2" spans="1:31" ht="6" customHeight="1" x14ac:dyDescent="0.2"/>
    <row r="3" spans="1:31" s="371" customFormat="1" x14ac:dyDescent="0.2">
      <c r="A3" s="5144" t="s">
        <v>1879</v>
      </c>
      <c r="B3" s="5155" t="s">
        <v>1880</v>
      </c>
      <c r="C3" s="5155" t="s">
        <v>614</v>
      </c>
      <c r="D3" s="5155" t="s">
        <v>50</v>
      </c>
      <c r="E3" s="5155"/>
      <c r="F3" s="5155"/>
      <c r="G3" s="5155"/>
      <c r="H3" s="5155"/>
      <c r="I3" s="5155"/>
    </row>
    <row r="4" spans="1:31" s="1815" customFormat="1" ht="25.5" x14ac:dyDescent="0.2">
      <c r="A4" s="5144"/>
      <c r="B4" s="5155"/>
      <c r="C4" s="5155"/>
      <c r="D4" s="2079" t="s">
        <v>276</v>
      </c>
      <c r="E4" s="2079" t="s">
        <v>1876</v>
      </c>
      <c r="F4" s="2079" t="s">
        <v>1452</v>
      </c>
      <c r="G4" s="2079" t="s">
        <v>1877</v>
      </c>
      <c r="H4" s="2079" t="s">
        <v>1878</v>
      </c>
      <c r="I4" s="2079" t="s">
        <v>724</v>
      </c>
      <c r="K4" s="3065"/>
    </row>
    <row r="5" spans="1:31" s="2132" customFormat="1" x14ac:dyDescent="0.2">
      <c r="A5" s="2081" t="s">
        <v>46</v>
      </c>
      <c r="B5" s="2082"/>
      <c r="C5" s="2082"/>
      <c r="D5" s="2195">
        <f>D6+D7</f>
        <v>582526.08000000007</v>
      </c>
      <c r="E5" s="2081"/>
      <c r="F5" s="2081"/>
      <c r="G5" s="2081"/>
      <c r="H5" s="2081"/>
      <c r="I5" s="2081"/>
      <c r="J5" s="2422"/>
      <c r="K5" s="2422"/>
    </row>
    <row r="6" spans="1:31" x14ac:dyDescent="0.2">
      <c r="A6" s="2093" t="s">
        <v>1874</v>
      </c>
      <c r="B6" s="1748" t="s">
        <v>1875</v>
      </c>
      <c r="C6" s="1749">
        <f>D6+E6+F6+G6+H6+I6</f>
        <v>880432.81</v>
      </c>
      <c r="D6" s="1753">
        <v>193518.26</v>
      </c>
      <c r="E6" s="1753">
        <v>172132.03</v>
      </c>
      <c r="F6" s="1753">
        <v>162964.23000000001</v>
      </c>
      <c r="G6" s="1753">
        <v>139336.39000000001</v>
      </c>
      <c r="H6" s="1753">
        <v>78178.59</v>
      </c>
      <c r="I6" s="1753">
        <v>134303.31</v>
      </c>
      <c r="J6" s="2423">
        <v>880432.81</v>
      </c>
      <c r="K6" s="2423"/>
      <c r="L6" s="1668"/>
    </row>
    <row r="7" spans="1:31" x14ac:dyDescent="0.2">
      <c r="A7" s="2093" t="s">
        <v>1881</v>
      </c>
      <c r="B7" s="1748" t="s">
        <v>1882</v>
      </c>
      <c r="C7" s="1749">
        <f t="shared" ref="C7:C11" si="0">D7+E7+F7+G7+H7+I7</f>
        <v>1049728.8900000001</v>
      </c>
      <c r="D7" s="1753">
        <v>389007.82</v>
      </c>
      <c r="E7" s="1753">
        <v>36264.550000000003</v>
      </c>
      <c r="F7" s="1753">
        <v>206031.45</v>
      </c>
      <c r="G7" s="1753">
        <v>155400.19</v>
      </c>
      <c r="H7" s="1753">
        <v>102896.74</v>
      </c>
      <c r="I7" s="1753">
        <v>160128.14000000001</v>
      </c>
      <c r="J7" s="2423">
        <v>1049728.8899999999</v>
      </c>
      <c r="K7" s="2423"/>
    </row>
    <row r="8" spans="1:31" s="1922" customFormat="1" x14ac:dyDescent="0.2">
      <c r="A8" s="2133" t="s">
        <v>47</v>
      </c>
      <c r="B8" s="1826"/>
      <c r="C8" s="2125"/>
      <c r="D8" s="2125">
        <f>D9+D10</f>
        <v>752846.33000000007</v>
      </c>
      <c r="E8" s="2125"/>
      <c r="F8" s="2125"/>
      <c r="G8" s="2125"/>
      <c r="H8" s="2125"/>
      <c r="I8" s="2125"/>
      <c r="J8" s="3189"/>
      <c r="K8" s="3189"/>
      <c r="L8" s="3057"/>
      <c r="M8" s="3057"/>
      <c r="N8" s="3057"/>
      <c r="O8" s="3057"/>
      <c r="P8" s="3057"/>
      <c r="Q8" s="3057"/>
      <c r="R8" s="3057"/>
      <c r="S8" s="3057"/>
      <c r="T8" s="3057"/>
      <c r="U8" s="3057"/>
      <c r="V8" s="3057"/>
      <c r="W8" s="3057"/>
      <c r="X8" s="3057"/>
      <c r="Y8" s="3057"/>
      <c r="Z8" s="3057"/>
      <c r="AA8" s="3057"/>
      <c r="AB8" s="3057"/>
      <c r="AC8" s="3057"/>
      <c r="AD8" s="3057"/>
      <c r="AE8" s="3057"/>
    </row>
    <row r="9" spans="1:31" ht="25.5" x14ac:dyDescent="0.2">
      <c r="A9" s="2093" t="s">
        <v>1883</v>
      </c>
      <c r="B9" s="2083" t="s">
        <v>1884</v>
      </c>
      <c r="C9" s="1818">
        <f t="shared" si="0"/>
        <v>1108347.6300000001</v>
      </c>
      <c r="D9" s="1745">
        <v>531897.04</v>
      </c>
      <c r="E9" s="1745">
        <v>128067.17</v>
      </c>
      <c r="F9" s="1745">
        <v>98058.96</v>
      </c>
      <c r="G9" s="1745">
        <v>120387.86</v>
      </c>
      <c r="H9" s="1745">
        <v>60866.62</v>
      </c>
      <c r="I9" s="1745">
        <v>169069.98</v>
      </c>
      <c r="J9" s="2424">
        <v>1108347.6299999999</v>
      </c>
      <c r="K9" s="2424"/>
      <c r="L9" s="371"/>
    </row>
    <row r="10" spans="1:31" s="371" customFormat="1" ht="25.5" x14ac:dyDescent="0.2">
      <c r="A10" s="1966" t="s">
        <v>1885</v>
      </c>
      <c r="B10" s="2127" t="s">
        <v>1886</v>
      </c>
      <c r="C10" s="2128">
        <f t="shared" si="0"/>
        <v>1202859.75</v>
      </c>
      <c r="D10" s="2129">
        <v>220949.29</v>
      </c>
      <c r="E10" s="2129">
        <v>324048.62</v>
      </c>
      <c r="F10" s="2129">
        <v>197814.24</v>
      </c>
      <c r="G10" s="2129">
        <v>167836.61</v>
      </c>
      <c r="H10" s="2129">
        <v>108723.91</v>
      </c>
      <c r="I10" s="2129">
        <v>183487.08</v>
      </c>
      <c r="J10" s="2424">
        <v>1202859.75</v>
      </c>
      <c r="K10" s="2424"/>
    </row>
    <row r="11" spans="1:31" s="371" customFormat="1" ht="25.5" x14ac:dyDescent="0.2">
      <c r="A11" s="1676" t="s">
        <v>1887</v>
      </c>
      <c r="B11" s="2083" t="s">
        <v>1888</v>
      </c>
      <c r="C11" s="1818">
        <f t="shared" si="0"/>
        <v>3012966.2800000003</v>
      </c>
      <c r="D11" s="1745">
        <v>0</v>
      </c>
      <c r="E11" s="1745">
        <v>2553169.2799999998</v>
      </c>
      <c r="F11" s="1745">
        <v>0</v>
      </c>
      <c r="G11" s="1745">
        <v>130.54</v>
      </c>
      <c r="H11" s="1745">
        <v>61.43</v>
      </c>
      <c r="I11" s="1745">
        <v>459605.03</v>
      </c>
      <c r="J11" s="3190">
        <v>3012966.28</v>
      </c>
      <c r="K11" s="3180"/>
    </row>
    <row r="12" spans="1:31" ht="6" customHeight="1" x14ac:dyDescent="0.2">
      <c r="C12" s="1883"/>
      <c r="D12" s="1883"/>
      <c r="E12" s="1883"/>
      <c r="F12" s="1883"/>
      <c r="G12" s="1883"/>
      <c r="H12" s="1883"/>
      <c r="I12" s="1883"/>
      <c r="J12" s="1883"/>
      <c r="K12" s="1883"/>
      <c r="L12" s="371"/>
    </row>
    <row r="13" spans="1:31" s="1920" customFormat="1" x14ac:dyDescent="0.2">
      <c r="A13" s="2130" t="s">
        <v>600</v>
      </c>
      <c r="C13" s="2126"/>
      <c r="D13" s="2126"/>
      <c r="E13" s="2126"/>
      <c r="F13" s="2126"/>
      <c r="G13" s="2126"/>
      <c r="H13" s="2126"/>
      <c r="I13" s="2126"/>
      <c r="J13" s="2126"/>
      <c r="K13" s="2126"/>
    </row>
    <row r="14" spans="1:31" s="1920" customFormat="1" x14ac:dyDescent="0.2">
      <c r="A14" s="2130" t="s">
        <v>270</v>
      </c>
      <c r="C14" s="2126"/>
      <c r="D14" s="2126"/>
      <c r="E14" s="2126"/>
      <c r="F14" s="2126"/>
      <c r="G14" s="2126"/>
      <c r="H14" s="2126"/>
      <c r="I14" s="2126"/>
      <c r="J14" s="2126"/>
      <c r="K14" s="2126"/>
    </row>
    <row r="15" spans="1:31" s="1815" customFormat="1" ht="25.5" x14ac:dyDescent="0.2">
      <c r="A15" s="2081"/>
      <c r="B15" s="2079" t="s">
        <v>1892</v>
      </c>
      <c r="C15" s="1988" t="s">
        <v>1893</v>
      </c>
      <c r="D15" s="1988" t="s">
        <v>3524</v>
      </c>
      <c r="E15" s="1988" t="s">
        <v>1894</v>
      </c>
      <c r="F15" s="1988" t="s">
        <v>1895</v>
      </c>
      <c r="G15" s="1988" t="s">
        <v>1896</v>
      </c>
      <c r="H15" s="1988" t="s">
        <v>1897</v>
      </c>
      <c r="I15" s="1988" t="s">
        <v>1898</v>
      </c>
      <c r="J15" s="2131"/>
      <c r="K15" s="2131"/>
    </row>
    <row r="16" spans="1:31" x14ac:dyDescent="0.2">
      <c r="A16" s="2093" t="s">
        <v>131</v>
      </c>
      <c r="B16" s="1753">
        <v>45.07</v>
      </c>
      <c r="C16" s="1753">
        <v>209.65</v>
      </c>
      <c r="D16" s="3185">
        <v>27.13</v>
      </c>
      <c r="E16" s="1753">
        <v>131.51</v>
      </c>
      <c r="F16" s="1753">
        <v>135.46</v>
      </c>
      <c r="G16" s="1753">
        <v>139.52000000000001</v>
      </c>
      <c r="H16" s="1753">
        <v>143.69999999999999</v>
      </c>
      <c r="I16" s="1753">
        <v>148.02000000000001</v>
      </c>
      <c r="J16" s="1668"/>
      <c r="K16" s="1668"/>
    </row>
    <row r="17" spans="1:11" x14ac:dyDescent="0.2">
      <c r="A17" s="2093" t="s">
        <v>132</v>
      </c>
      <c r="B17" s="1753">
        <v>1296.07</v>
      </c>
      <c r="C17" s="1753">
        <v>4707.6899999999996</v>
      </c>
      <c r="D17" s="3185">
        <v>2275</v>
      </c>
      <c r="E17" s="1753">
        <v>1398.9</v>
      </c>
      <c r="F17" s="1753">
        <v>1440.87</v>
      </c>
      <c r="G17" s="1753">
        <v>1484.09</v>
      </c>
      <c r="H17" s="1753">
        <v>1528.62</v>
      </c>
      <c r="I17" s="1753">
        <v>1574.47</v>
      </c>
      <c r="J17" s="1668"/>
      <c r="K17" s="1668"/>
    </row>
    <row r="18" spans="1:11" x14ac:dyDescent="0.2">
      <c r="A18" s="2093" t="s">
        <v>1889</v>
      </c>
      <c r="B18" s="1753">
        <v>291.54000000000002</v>
      </c>
      <c r="C18" s="1753">
        <v>566.03</v>
      </c>
      <c r="D18" s="3185">
        <v>996.74</v>
      </c>
      <c r="E18" s="1753">
        <v>1049.73</v>
      </c>
      <c r="F18" s="1753">
        <v>1081.22</v>
      </c>
      <c r="G18" s="1753">
        <v>1113.6600000000001</v>
      </c>
      <c r="H18" s="1753">
        <v>1147.07</v>
      </c>
      <c r="I18" s="1753">
        <v>1181.48</v>
      </c>
      <c r="J18" s="1668"/>
      <c r="K18" s="1668"/>
    </row>
    <row r="19" spans="1:11" x14ac:dyDescent="0.2">
      <c r="A19" s="2093" t="s">
        <v>629</v>
      </c>
      <c r="B19" s="1753">
        <v>1283.98</v>
      </c>
      <c r="C19" s="1753">
        <v>1564.17</v>
      </c>
      <c r="D19" s="3185">
        <v>1747.03</v>
      </c>
      <c r="E19" s="1753">
        <v>880.43</v>
      </c>
      <c r="F19" s="1753">
        <v>906.85</v>
      </c>
      <c r="G19" s="1753">
        <v>934.05</v>
      </c>
      <c r="H19" s="1753">
        <v>962.07</v>
      </c>
      <c r="I19" s="1753">
        <v>990.94</v>
      </c>
    </row>
    <row r="20" spans="1:11" s="1920" customFormat="1" x14ac:dyDescent="0.2">
      <c r="A20" s="1827" t="s">
        <v>1890</v>
      </c>
      <c r="B20" s="2125">
        <f>SUM(B16:B19)</f>
        <v>2916.66</v>
      </c>
      <c r="C20" s="2125">
        <f t="shared" ref="C20:I20" si="1">SUM(C16:C19)</f>
        <v>7047.5399999999991</v>
      </c>
      <c r="D20" s="2125">
        <f t="shared" si="1"/>
        <v>5045.8999999999996</v>
      </c>
      <c r="E20" s="2125">
        <f t="shared" si="1"/>
        <v>3460.57</v>
      </c>
      <c r="F20" s="2125">
        <f t="shared" si="1"/>
        <v>3564.4</v>
      </c>
      <c r="G20" s="2125">
        <f t="shared" si="1"/>
        <v>3671.3199999999997</v>
      </c>
      <c r="H20" s="2125">
        <f t="shared" si="1"/>
        <v>3781.46</v>
      </c>
      <c r="I20" s="2125">
        <f t="shared" si="1"/>
        <v>3894.9100000000003</v>
      </c>
    </row>
    <row r="21" spans="1:11" x14ac:dyDescent="0.2">
      <c r="A21" s="2093" t="s">
        <v>606</v>
      </c>
      <c r="B21" s="1753">
        <v>441.31</v>
      </c>
      <c r="C21" s="1753">
        <v>304.98</v>
      </c>
      <c r="D21" s="3185">
        <v>590.36</v>
      </c>
      <c r="E21" s="1753">
        <v>422.65</v>
      </c>
      <c r="F21" s="1753">
        <v>435.33</v>
      </c>
      <c r="G21" s="1753">
        <v>448.39</v>
      </c>
      <c r="H21" s="1753">
        <v>461.84</v>
      </c>
      <c r="I21" s="1753">
        <v>475.7</v>
      </c>
    </row>
    <row r="22" spans="1:11" x14ac:dyDescent="0.2">
      <c r="A22" s="2093" t="s">
        <v>615</v>
      </c>
      <c r="B22" s="1753">
        <v>347.31</v>
      </c>
      <c r="C22" s="1753">
        <v>960.04</v>
      </c>
      <c r="D22" s="3185">
        <v>1291.27</v>
      </c>
      <c r="E22" s="1753">
        <v>934.15</v>
      </c>
      <c r="F22" s="1753">
        <v>962.17</v>
      </c>
      <c r="G22" s="1753">
        <v>991.04</v>
      </c>
      <c r="H22" s="1753">
        <v>1020.77</v>
      </c>
      <c r="I22" s="1753">
        <v>1051.3900000000001</v>
      </c>
    </row>
    <row r="23" spans="1:11" x14ac:dyDescent="0.2">
      <c r="A23" s="2093" t="s">
        <v>623</v>
      </c>
      <c r="B23" s="1753">
        <v>122.56</v>
      </c>
      <c r="C23" s="1753">
        <v>300.22000000000003</v>
      </c>
      <c r="D23" s="3185">
        <v>559.78</v>
      </c>
      <c r="E23" s="1753">
        <v>1108.3499999999999</v>
      </c>
      <c r="F23" s="1753">
        <v>1141.5999999999999</v>
      </c>
      <c r="G23" s="1753">
        <v>1175.8499999999999</v>
      </c>
      <c r="H23" s="1753">
        <v>1211.1199999999999</v>
      </c>
      <c r="I23" s="1753">
        <v>1247.46</v>
      </c>
    </row>
    <row r="24" spans="1:11" x14ac:dyDescent="0.2">
      <c r="A24" s="2093" t="s">
        <v>629</v>
      </c>
      <c r="B24" s="1753">
        <v>335.88</v>
      </c>
      <c r="C24" s="1753">
        <v>174.81</v>
      </c>
      <c r="D24" s="3185">
        <v>431.05</v>
      </c>
      <c r="E24" s="1753">
        <v>1202.8599999999999</v>
      </c>
      <c r="F24" s="1753">
        <v>1238.95</v>
      </c>
      <c r="G24" s="1753">
        <v>1276.1099999999999</v>
      </c>
      <c r="H24" s="1753">
        <v>1314.4</v>
      </c>
      <c r="I24" s="1753">
        <v>1353.83</v>
      </c>
    </row>
    <row r="25" spans="1:11" x14ac:dyDescent="0.2">
      <c r="A25" s="2093" t="s">
        <v>1891</v>
      </c>
      <c r="B25" s="1753">
        <v>0</v>
      </c>
      <c r="C25" s="1753">
        <v>0</v>
      </c>
      <c r="D25" s="3185"/>
      <c r="E25" s="1753">
        <v>1700</v>
      </c>
      <c r="F25" s="1753">
        <v>1700</v>
      </c>
      <c r="G25" s="1753">
        <v>1700</v>
      </c>
      <c r="H25" s="1753">
        <v>1700</v>
      </c>
      <c r="I25" s="1753">
        <v>1700</v>
      </c>
    </row>
    <row r="26" spans="1:11" s="1920" customFormat="1" x14ac:dyDescent="0.2">
      <c r="A26" s="1827" t="s">
        <v>90</v>
      </c>
      <c r="B26" s="2125">
        <f>SUM(B21:B25)</f>
        <v>1247.06</v>
      </c>
      <c r="C26" s="2125">
        <f t="shared" ref="C26:I26" si="2">SUM(C21:C25)</f>
        <v>1740.05</v>
      </c>
      <c r="D26" s="2125">
        <f t="shared" si="2"/>
        <v>2872.46</v>
      </c>
      <c r="E26" s="2125">
        <f t="shared" si="2"/>
        <v>5368.0099999999993</v>
      </c>
      <c r="F26" s="2125">
        <f t="shared" si="2"/>
        <v>5478.05</v>
      </c>
      <c r="G26" s="2125">
        <f t="shared" si="2"/>
        <v>5591.3899999999994</v>
      </c>
      <c r="H26" s="2125">
        <f t="shared" si="2"/>
        <v>5708.1299999999992</v>
      </c>
      <c r="I26" s="2125">
        <f t="shared" si="2"/>
        <v>5828.38</v>
      </c>
    </row>
    <row r="27" spans="1:11" ht="6" customHeight="1" x14ac:dyDescent="0.2">
      <c r="E27" s="2423">
        <f>E26-E25</f>
        <v>3668.0099999999993</v>
      </c>
      <c r="F27" s="2423">
        <f t="shared" ref="F27:I27" si="3">F26-F25</f>
        <v>3778.05</v>
      </c>
      <c r="G27" s="2423">
        <f t="shared" si="3"/>
        <v>3891.3899999999994</v>
      </c>
      <c r="H27" s="2423">
        <f t="shared" si="3"/>
        <v>4008.1299999999992</v>
      </c>
      <c r="I27" s="2423">
        <f t="shared" si="3"/>
        <v>4128.38</v>
      </c>
    </row>
    <row r="28" spans="1:11" s="1920" customFormat="1" x14ac:dyDescent="0.2">
      <c r="A28" s="2130" t="s">
        <v>1899</v>
      </c>
    </row>
    <row r="29" spans="1:11" ht="24.75" customHeight="1" x14ac:dyDescent="0.2">
      <c r="A29" s="2081"/>
      <c r="B29" s="2390" t="s">
        <v>1892</v>
      </c>
      <c r="C29" s="1988" t="s">
        <v>1893</v>
      </c>
      <c r="D29" s="1988" t="s">
        <v>3524</v>
      </c>
      <c r="E29" s="1988" t="s">
        <v>1894</v>
      </c>
      <c r="F29" s="1988" t="s">
        <v>1895</v>
      </c>
      <c r="G29" s="1988" t="s">
        <v>1896</v>
      </c>
      <c r="H29" s="1988" t="s">
        <v>1897</v>
      </c>
      <c r="I29" s="1988" t="s">
        <v>1898</v>
      </c>
    </row>
    <row r="30" spans="1:11" ht="12.75" customHeight="1" x14ac:dyDescent="0.2">
      <c r="A30" s="2093" t="s">
        <v>131</v>
      </c>
      <c r="B30" s="1753">
        <v>45.07</v>
      </c>
      <c r="C30" s="1753">
        <v>209.65</v>
      </c>
      <c r="D30" s="3185">
        <v>27.13</v>
      </c>
      <c r="E30" s="6000" t="s">
        <v>2061</v>
      </c>
      <c r="F30" s="6001"/>
      <c r="G30" s="6001"/>
      <c r="H30" s="6001"/>
      <c r="I30" s="6002"/>
    </row>
    <row r="31" spans="1:11" x14ac:dyDescent="0.2">
      <c r="A31" s="2093" t="s">
        <v>132</v>
      </c>
      <c r="B31" s="1753">
        <v>1296.07</v>
      </c>
      <c r="C31" s="1753">
        <v>4707.6899999999996</v>
      </c>
      <c r="D31" s="3185">
        <v>2275</v>
      </c>
      <c r="E31" s="6003"/>
      <c r="F31" s="6004"/>
      <c r="G31" s="6004"/>
      <c r="H31" s="6004"/>
      <c r="I31" s="6005"/>
    </row>
    <row r="32" spans="1:11" x14ac:dyDescent="0.2">
      <c r="A32" s="2093" t="s">
        <v>1889</v>
      </c>
      <c r="B32" s="1753">
        <v>291.54000000000002</v>
      </c>
      <c r="C32" s="1753">
        <v>566.03</v>
      </c>
      <c r="D32" s="3185">
        <v>996.74</v>
      </c>
      <c r="E32" s="6003"/>
      <c r="F32" s="6004"/>
      <c r="G32" s="6004"/>
      <c r="H32" s="6004"/>
      <c r="I32" s="6005"/>
    </row>
    <row r="33" spans="1:23" x14ac:dyDescent="0.2">
      <c r="A33" s="2093" t="s">
        <v>629</v>
      </c>
      <c r="B33" s="1753">
        <v>1283.98</v>
      </c>
      <c r="C33" s="1753">
        <v>1564.17</v>
      </c>
      <c r="D33" s="3185">
        <v>1747.03</v>
      </c>
      <c r="E33" s="1744">
        <f>D5/1000</f>
        <v>582.52608000000009</v>
      </c>
      <c r="F33" s="1744">
        <f>E33*0.99*1.046</f>
        <v>603.22905688320009</v>
      </c>
      <c r="G33" s="1744">
        <f>F33*0.99*1.034</f>
        <v>617.50145636905665</v>
      </c>
      <c r="H33" s="1744">
        <f>G33*0.99*1.04</f>
        <v>635.77949947758077</v>
      </c>
      <c r="I33" s="1744">
        <f>H33*0.99*1.04</f>
        <v>654.59857266211725</v>
      </c>
    </row>
    <row r="34" spans="1:23" x14ac:dyDescent="0.2">
      <c r="A34" s="1827" t="s">
        <v>1890</v>
      </c>
      <c r="B34" s="2125">
        <f>SUM(B30:B33)</f>
        <v>2916.66</v>
      </c>
      <c r="C34" s="2125">
        <f t="shared" ref="C34" si="4">SUM(C30:C33)</f>
        <v>7047.5399999999991</v>
      </c>
      <c r="D34" s="2125">
        <f t="shared" ref="D34" si="5">SUM(D30:D33)</f>
        <v>5045.8999999999996</v>
      </c>
      <c r="E34" s="2125">
        <f t="shared" ref="E34:F34" si="6">SUM(E30:E33)</f>
        <v>582.52608000000009</v>
      </c>
      <c r="F34" s="2125">
        <f t="shared" si="6"/>
        <v>603.22905688320009</v>
      </c>
      <c r="G34" s="2125">
        <f t="shared" ref="G34" si="7">SUM(G30:G33)</f>
        <v>617.50145636905665</v>
      </c>
      <c r="H34" s="2125">
        <f t="shared" ref="H34" si="8">SUM(H30:H33)</f>
        <v>635.77949947758077</v>
      </c>
      <c r="I34" s="2125">
        <f t="shared" ref="I34" si="9">SUM(I30:I33)</f>
        <v>654.59857266211725</v>
      </c>
    </row>
    <row r="35" spans="1:23" ht="12.75" customHeight="1" x14ac:dyDescent="0.2">
      <c r="A35" s="2093" t="s">
        <v>606</v>
      </c>
      <c r="B35" s="1753">
        <v>441.31</v>
      </c>
      <c r="C35" s="1753">
        <v>304.98</v>
      </c>
      <c r="D35" s="3185">
        <v>590.36</v>
      </c>
      <c r="E35" s="6006" t="s">
        <v>2062</v>
      </c>
      <c r="F35" s="6006"/>
      <c r="G35" s="6006"/>
      <c r="H35" s="6006"/>
      <c r="I35" s="6006"/>
    </row>
    <row r="36" spans="1:23" x14ac:dyDescent="0.2">
      <c r="A36" s="2093" t="s">
        <v>615</v>
      </c>
      <c r="B36" s="1753">
        <v>347.31</v>
      </c>
      <c r="C36" s="1753">
        <v>960.04</v>
      </c>
      <c r="D36" s="3185">
        <v>1291.27</v>
      </c>
      <c r="E36" s="6006"/>
      <c r="F36" s="6006"/>
      <c r="G36" s="6006"/>
      <c r="H36" s="6006"/>
      <c r="I36" s="6006"/>
    </row>
    <row r="37" spans="1:23" x14ac:dyDescent="0.2">
      <c r="A37" s="2093" t="s">
        <v>623</v>
      </c>
      <c r="B37" s="1753">
        <v>122.56</v>
      </c>
      <c r="C37" s="1753">
        <v>300.22000000000003</v>
      </c>
      <c r="D37" s="3185">
        <v>559.78</v>
      </c>
      <c r="E37" s="6006"/>
      <c r="F37" s="6006"/>
      <c r="G37" s="6006"/>
      <c r="H37" s="6006"/>
      <c r="I37" s="6006"/>
    </row>
    <row r="38" spans="1:23" x14ac:dyDescent="0.2">
      <c r="A38" s="2093" t="s">
        <v>629</v>
      </c>
      <c r="B38" s="1753">
        <v>335.88</v>
      </c>
      <c r="C38" s="1753">
        <v>174.81</v>
      </c>
      <c r="D38" s="3185">
        <v>431.05</v>
      </c>
      <c r="E38" s="1744">
        <f>D8/1000</f>
        <v>752.84633000000008</v>
      </c>
      <c r="F38" s="1744">
        <f>E38*0.99*1.046</f>
        <v>779.6024885682001</v>
      </c>
      <c r="G38" s="1744">
        <f>F38*0.99*1.034</f>
        <v>798.04788344772373</v>
      </c>
      <c r="H38" s="1744">
        <f>G38*0.99*1.04</f>
        <v>821.6701007977764</v>
      </c>
      <c r="I38" s="1744">
        <f>H38*0.99*1.04</f>
        <v>845.99153578139055</v>
      </c>
    </row>
    <row r="39" spans="1:23" x14ac:dyDescent="0.2">
      <c r="A39" s="2093" t="s">
        <v>1891</v>
      </c>
      <c r="B39" s="1753">
        <v>0</v>
      </c>
      <c r="C39" s="1753">
        <v>0</v>
      </c>
      <c r="D39" s="3185">
        <v>0</v>
      </c>
      <c r="E39" s="1744"/>
      <c r="F39" s="1744"/>
      <c r="G39" s="1744"/>
      <c r="H39" s="1744"/>
      <c r="I39" s="1744"/>
    </row>
    <row r="40" spans="1:23" x14ac:dyDescent="0.2">
      <c r="A40" s="1827" t="s">
        <v>90</v>
      </c>
      <c r="B40" s="2125">
        <f>SUM(B35:B39)</f>
        <v>1247.06</v>
      </c>
      <c r="C40" s="2125">
        <f t="shared" ref="C40" si="10">SUM(C35:C39)</f>
        <v>1740.05</v>
      </c>
      <c r="D40" s="2125">
        <f t="shared" ref="D40" si="11">SUM(D35:D39)</f>
        <v>2872.46</v>
      </c>
      <c r="E40" s="2125">
        <f t="shared" ref="E40" si="12">SUM(E35:E39)</f>
        <v>752.84633000000008</v>
      </c>
      <c r="F40" s="2125">
        <f t="shared" ref="F40" si="13">SUM(F35:F39)</f>
        <v>779.6024885682001</v>
      </c>
      <c r="G40" s="2125">
        <f t="shared" ref="G40" si="14">SUM(G35:G39)</f>
        <v>798.04788344772373</v>
      </c>
      <c r="H40" s="2125">
        <f t="shared" ref="H40" si="15">SUM(H35:H39)</f>
        <v>821.6701007977764</v>
      </c>
      <c r="I40" s="2125">
        <f t="shared" ref="I40" si="16">SUM(I35:I39)</f>
        <v>845.99153578139055</v>
      </c>
    </row>
    <row r="41" spans="1:23" ht="6" customHeight="1" x14ac:dyDescent="0.2">
      <c r="A41" s="369"/>
      <c r="B41" s="2425"/>
      <c r="C41" s="2425"/>
      <c r="D41" s="2425"/>
      <c r="E41" s="2425"/>
      <c r="F41" s="2425"/>
      <c r="G41" s="2425"/>
      <c r="H41" s="2425"/>
      <c r="I41" s="2425"/>
    </row>
    <row r="42" spans="1:23" x14ac:dyDescent="0.2">
      <c r="A42" s="6007" t="s">
        <v>4051</v>
      </c>
      <c r="B42" s="5160"/>
      <c r="C42" s="5160"/>
      <c r="D42" s="5160"/>
      <c r="E42" s="5160"/>
      <c r="F42" s="5160"/>
      <c r="G42" s="5160"/>
      <c r="H42" s="5160"/>
      <c r="I42" s="5160"/>
      <c r="J42" s="4910"/>
      <c r="K42" s="4910"/>
      <c r="L42" s="4910"/>
      <c r="M42" s="4910"/>
      <c r="N42" s="4910"/>
      <c r="O42" s="4910"/>
      <c r="P42" s="4910"/>
      <c r="Q42" s="4910"/>
      <c r="R42" s="4910"/>
      <c r="S42" s="4910"/>
      <c r="T42" s="4910"/>
      <c r="U42" s="4910"/>
      <c r="V42" s="4910"/>
      <c r="W42" s="4910"/>
    </row>
    <row r="43" spans="1:23" ht="6" customHeight="1" x14ac:dyDescent="0.2">
      <c r="A43" s="2426"/>
      <c r="B43" s="394"/>
      <c r="C43" s="394"/>
      <c r="D43" s="394"/>
      <c r="E43" s="2427">
        <f>E40-E39</f>
        <v>752.84633000000008</v>
      </c>
      <c r="F43" s="2427">
        <f t="shared" ref="F43" si="17">F40-F39</f>
        <v>779.6024885682001</v>
      </c>
      <c r="G43" s="2427">
        <f t="shared" ref="G43" si="18">G40-G39</f>
        <v>798.04788344772373</v>
      </c>
      <c r="H43" s="2427">
        <f t="shared" ref="H43" si="19">H40-H39</f>
        <v>821.6701007977764</v>
      </c>
      <c r="I43" s="2427">
        <f t="shared" ref="I43" si="20">I40-I39</f>
        <v>845.99153578139055</v>
      </c>
    </row>
    <row r="44" spans="1:23" ht="63.75" x14ac:dyDescent="0.2">
      <c r="A44" s="2392"/>
      <c r="B44" s="2390" t="s">
        <v>1892</v>
      </c>
      <c r="C44" s="1988" t="s">
        <v>1893</v>
      </c>
      <c r="D44" s="1988" t="s">
        <v>3524</v>
      </c>
      <c r="E44" s="1988" t="s">
        <v>1894</v>
      </c>
      <c r="F44" s="1988" t="s">
        <v>3661</v>
      </c>
      <c r="G44" s="5996" t="s">
        <v>235</v>
      </c>
      <c r="H44" s="5530"/>
      <c r="I44" s="5531"/>
      <c r="J44" s="1988" t="s">
        <v>3850</v>
      </c>
      <c r="K44" s="1988" t="s">
        <v>3608</v>
      </c>
      <c r="L44" s="1988" t="s">
        <v>3852</v>
      </c>
      <c r="M44" s="1988" t="s">
        <v>3851</v>
      </c>
      <c r="N44" s="1988" t="s">
        <v>3866</v>
      </c>
      <c r="O44" s="1988" t="s">
        <v>3898</v>
      </c>
      <c r="P44" s="1988" t="s">
        <v>3899</v>
      </c>
      <c r="Q44" s="1988" t="s">
        <v>3926</v>
      </c>
      <c r="R44" s="1988" t="s">
        <v>3941</v>
      </c>
      <c r="S44" s="1988" t="s">
        <v>3927</v>
      </c>
      <c r="T44" s="1988" t="s">
        <v>4049</v>
      </c>
      <c r="U44" s="1988" t="s">
        <v>4050</v>
      </c>
      <c r="V44" s="1988" t="s">
        <v>4254</v>
      </c>
      <c r="W44" s="1988" t="s">
        <v>4252</v>
      </c>
    </row>
    <row r="45" spans="1:23" x14ac:dyDescent="0.2">
      <c r="A45" s="3052" t="s">
        <v>131</v>
      </c>
      <c r="B45" s="2554">
        <v>45.07</v>
      </c>
      <c r="C45" s="2554">
        <v>209.65</v>
      </c>
      <c r="D45" s="2554">
        <v>27.13</v>
      </c>
      <c r="E45" s="3186">
        <v>0</v>
      </c>
      <c r="F45" s="3186">
        <f>SUM(D45)</f>
        <v>27.13</v>
      </c>
      <c r="G45" s="5997" t="s">
        <v>629</v>
      </c>
      <c r="H45" s="5998"/>
      <c r="I45" s="5999"/>
      <c r="J45" s="3186">
        <v>0</v>
      </c>
      <c r="K45" s="2554">
        <v>0</v>
      </c>
      <c r="L45" s="3648">
        <f>SUM(G16*1.046)*(1-0.01)</f>
        <v>144.47854080000002</v>
      </c>
      <c r="M45" s="3645">
        <f>SUM(E45*(1+0.032)*0.99*(1+0.036)*0.99)</f>
        <v>0</v>
      </c>
      <c r="N45" s="2554">
        <v>0</v>
      </c>
      <c r="O45" s="3186">
        <f>SUM(H16*1.05)*(1-0.01)</f>
        <v>149.37615</v>
      </c>
      <c r="P45" s="2112">
        <f>SUM(E45*(1+0.034)*0.99*1.06*0.99*(1+0.043)*0.99)</f>
        <v>0</v>
      </c>
      <c r="Q45" s="3942">
        <v>0</v>
      </c>
      <c r="R45" s="2554">
        <v>6.53</v>
      </c>
      <c r="S45" s="2554">
        <v>18.007000000000001</v>
      </c>
      <c r="T45" s="2428">
        <f>SUM(I16*1.05)*(1-0.01)</f>
        <v>153.86679000000001</v>
      </c>
      <c r="U45" s="3512">
        <f>E45*0.99*1.034*0.99*1.067*0.99*1.139*0.99*1.06</f>
        <v>0</v>
      </c>
      <c r="V45" s="4756">
        <v>50.427999999999997</v>
      </c>
      <c r="W45" s="4756">
        <v>3883.761</v>
      </c>
    </row>
    <row r="46" spans="1:23" ht="12.75" customHeight="1" x14ac:dyDescent="0.2">
      <c r="A46" s="3052" t="s">
        <v>132</v>
      </c>
      <c r="B46" s="2554">
        <v>1296.07</v>
      </c>
      <c r="C46" s="2554">
        <v>4707.6899999999996</v>
      </c>
      <c r="D46" s="2554">
        <v>2275</v>
      </c>
      <c r="E46" s="3186">
        <v>0</v>
      </c>
      <c r="F46" s="3186">
        <f>SUM(F17*0.5)</f>
        <v>720.43499999999995</v>
      </c>
      <c r="G46" s="5997" t="s">
        <v>629</v>
      </c>
      <c r="H46" s="5998"/>
      <c r="I46" s="5999"/>
      <c r="J46" s="3186">
        <v>0</v>
      </c>
      <c r="K46" s="2554">
        <v>3651.89</v>
      </c>
      <c r="L46" s="3648">
        <f>SUM(G17*1.046)*(1-0.01)</f>
        <v>1536.8345586</v>
      </c>
      <c r="M46" s="3645">
        <f t="shared" ref="M46:M55" si="21">SUM(E46*(1+0.032)*0.99*(1+0.036)*0.99)</f>
        <v>0</v>
      </c>
      <c r="N46" s="2554">
        <v>2037.85</v>
      </c>
      <c r="O46" s="3186">
        <f>SUM(H17*1.05)*(1-0.01)</f>
        <v>1589.0004899999999</v>
      </c>
      <c r="P46" s="2112">
        <f t="shared" ref="P46:P55" si="22">SUM(E46*(1+0.034)*0.99*1.06*0.99*(1+0.043)*0.99)</f>
        <v>0</v>
      </c>
      <c r="Q46" s="2112">
        <v>562.10400000000004</v>
      </c>
      <c r="R46" s="2554">
        <v>715.3</v>
      </c>
      <c r="S46" s="2554">
        <v>959.23500000000001</v>
      </c>
      <c r="T46" s="2428">
        <f>SUM(I17*1.05)*(1-0.01)</f>
        <v>1636.6615650000001</v>
      </c>
      <c r="U46" s="3512">
        <f t="shared" ref="U46:U55" si="23">E46*0.99*1.034*0.99*1.067*0.99*1.139*0.99*1.06</f>
        <v>0</v>
      </c>
      <c r="V46" s="4756">
        <v>1074.376</v>
      </c>
      <c r="W46" s="4756">
        <v>2571.9540000000002</v>
      </c>
    </row>
    <row r="47" spans="1:23" ht="12.75" customHeight="1" x14ac:dyDescent="0.2">
      <c r="A47" s="3052" t="s">
        <v>1961</v>
      </c>
      <c r="B47" s="2554"/>
      <c r="C47" s="2554"/>
      <c r="D47" s="2554"/>
      <c r="E47" s="3186"/>
      <c r="F47" s="3186"/>
      <c r="G47" s="5997"/>
      <c r="H47" s="5998"/>
      <c r="I47" s="5999"/>
      <c r="J47" s="3186"/>
      <c r="K47" s="2554">
        <v>656.2</v>
      </c>
      <c r="L47" s="3648">
        <f>SUM(K47*1.046)*(1-0.01)</f>
        <v>679.5213480000001</v>
      </c>
      <c r="M47" s="3645">
        <f t="shared" si="21"/>
        <v>0</v>
      </c>
      <c r="N47" s="2554">
        <v>0</v>
      </c>
      <c r="O47" s="3186">
        <f>SUM(L47*1.05)*(1-0.01)</f>
        <v>706.36244124600012</v>
      </c>
      <c r="P47" s="2112">
        <f t="shared" si="22"/>
        <v>0</v>
      </c>
      <c r="Q47" s="2112">
        <v>0.29399999999999998</v>
      </c>
      <c r="R47" s="2554">
        <v>0.28999999999999998</v>
      </c>
      <c r="S47" s="2554">
        <v>0.29499999999999998</v>
      </c>
      <c r="T47" s="2428">
        <f>SUM(O47*1.05)*(1-0.01)</f>
        <v>734.26375767521722</v>
      </c>
      <c r="U47" s="3512">
        <f t="shared" si="23"/>
        <v>0</v>
      </c>
      <c r="V47" s="4756">
        <v>0</v>
      </c>
      <c r="W47" s="4756">
        <v>0</v>
      </c>
    </row>
    <row r="48" spans="1:23" x14ac:dyDescent="0.2">
      <c r="A48" s="3052" t="s">
        <v>1889</v>
      </c>
      <c r="B48" s="2554">
        <v>291.54000000000002</v>
      </c>
      <c r="C48" s="2554">
        <v>566.03</v>
      </c>
      <c r="D48" s="2554">
        <v>996.74</v>
      </c>
      <c r="E48" s="3186">
        <f>SUM('рем программа'!B30)</f>
        <v>1049.5662500000001</v>
      </c>
      <c r="F48" s="3186">
        <f>SUM('рем программа'!C30)</f>
        <v>1052.53394</v>
      </c>
      <c r="G48" s="5997" t="s">
        <v>3525</v>
      </c>
      <c r="H48" s="5998"/>
      <c r="I48" s="5999"/>
      <c r="J48" s="3186">
        <f>SUM(E48*1.03)*(1-0.01)</f>
        <v>1070.2427051249999</v>
      </c>
      <c r="K48" s="2554">
        <v>515.79999999999995</v>
      </c>
      <c r="L48" s="3648">
        <f>SUM(G18*1.046)*(1-0.01)</f>
        <v>1153.2394764000001</v>
      </c>
      <c r="M48" s="3645">
        <f t="shared" si="21"/>
        <v>1099.8151527991322</v>
      </c>
      <c r="N48" s="2554">
        <v>712.22</v>
      </c>
      <c r="O48" s="3186">
        <f>SUM(H18*1.05)*(1-0.01)</f>
        <v>1192.3792649999998</v>
      </c>
      <c r="P48" s="2112">
        <f t="shared" si="22"/>
        <v>1164.1961353244155</v>
      </c>
      <c r="Q48" s="3945">
        <v>355.39299999999997</v>
      </c>
      <c r="R48" s="2554">
        <v>595.51</v>
      </c>
      <c r="S48" s="2554">
        <v>790.53800000000001</v>
      </c>
      <c r="T48" s="2428">
        <f>SUM(I18*1.05)*(1-0.01)</f>
        <v>1228.1484600000001</v>
      </c>
      <c r="U48" s="3512">
        <f t="shared" si="23"/>
        <v>1342.9665108642632</v>
      </c>
      <c r="V48" s="4718">
        <v>1182.924</v>
      </c>
      <c r="W48" s="4718">
        <v>2299.4969999999998</v>
      </c>
    </row>
    <row r="49" spans="1:23" ht="12.75" customHeight="1" x14ac:dyDescent="0.2">
      <c r="A49" s="3052" t="s">
        <v>629</v>
      </c>
      <c r="B49" s="2554">
        <v>1283.98</v>
      </c>
      <c r="C49" s="2554">
        <v>1564.17</v>
      </c>
      <c r="D49" s="2554">
        <v>1747.03</v>
      </c>
      <c r="E49" s="2551">
        <f>SUM(E33)</f>
        <v>582.52608000000009</v>
      </c>
      <c r="F49" s="3186">
        <f>E49*0.99*1.046</f>
        <v>603.22905688320009</v>
      </c>
      <c r="G49" s="5997" t="s">
        <v>629</v>
      </c>
      <c r="H49" s="5998"/>
      <c r="I49" s="5999"/>
      <c r="J49" s="3186">
        <f>SUM(E49*1.03)*(1-0.01)</f>
        <v>594.0018437760001</v>
      </c>
      <c r="K49" s="2554">
        <v>1203.47</v>
      </c>
      <c r="L49" s="3648">
        <f>SUM(G19*1.046)*(1-0.01)</f>
        <v>967.24613699999998</v>
      </c>
      <c r="M49" s="3645">
        <f t="shared" si="21"/>
        <v>610.41502590682546</v>
      </c>
      <c r="N49" s="2554">
        <v>1727.3</v>
      </c>
      <c r="O49" s="3186">
        <f>SUM(H19*1.05)*(1-0.01)</f>
        <v>1000.0717650000001</v>
      </c>
      <c r="P49" s="2112">
        <f t="shared" si="22"/>
        <v>646.14750241986292</v>
      </c>
      <c r="Q49" s="3945">
        <v>583.76300000000003</v>
      </c>
      <c r="R49" s="2554">
        <v>1168.03</v>
      </c>
      <c r="S49" s="2554">
        <v>1565.3689999999999</v>
      </c>
      <c r="T49" s="2428">
        <f>SUM(I19*1.05)*(1-0.01)</f>
        <v>1030.08213</v>
      </c>
      <c r="U49" s="3512">
        <f t="shared" si="23"/>
        <v>745.3679242687507</v>
      </c>
      <c r="V49" s="4718">
        <v>1031.665</v>
      </c>
      <c r="W49" s="4718">
        <v>4582.5590000000002</v>
      </c>
    </row>
    <row r="50" spans="1:23" x14ac:dyDescent="0.2">
      <c r="A50" s="3054" t="s">
        <v>1890</v>
      </c>
      <c r="B50" s="3092">
        <f>SUM(B45:B49)</f>
        <v>2916.66</v>
      </c>
      <c r="C50" s="3092">
        <f t="shared" ref="C50:G50" si="24">SUM(C45:C49)</f>
        <v>7047.5399999999991</v>
      </c>
      <c r="D50" s="3092">
        <f t="shared" si="24"/>
        <v>5045.8999999999996</v>
      </c>
      <c r="E50" s="3187">
        <f t="shared" si="24"/>
        <v>1632.0923300000002</v>
      </c>
      <c r="F50" s="3188">
        <f t="shared" si="24"/>
        <v>2403.3279968831998</v>
      </c>
      <c r="G50" s="6008">
        <f t="shared" si="24"/>
        <v>0</v>
      </c>
      <c r="H50" s="5998"/>
      <c r="I50" s="5999"/>
      <c r="J50" s="3188">
        <f t="shared" ref="J50:L50" si="25">SUM(J45:J49)</f>
        <v>1664.2445489010001</v>
      </c>
      <c r="K50" s="3092">
        <f t="shared" si="25"/>
        <v>6027.3600000000006</v>
      </c>
      <c r="L50" s="3647">
        <f t="shared" si="25"/>
        <v>4481.3200607999997</v>
      </c>
      <c r="M50" s="3647">
        <f t="shared" ref="M50:O50" si="26">SUM(M45:M49)</f>
        <v>1710.2301787059578</v>
      </c>
      <c r="N50" s="3092">
        <f t="shared" si="26"/>
        <v>4477.37</v>
      </c>
      <c r="O50" s="3188">
        <f t="shared" si="26"/>
        <v>4637.190111246</v>
      </c>
      <c r="P50" s="3188">
        <f t="shared" ref="P50:W50" si="27">SUM(P45:P49)</f>
        <v>1810.3436377442786</v>
      </c>
      <c r="Q50" s="3092">
        <f t="shared" si="27"/>
        <v>1501.5540000000001</v>
      </c>
      <c r="R50" s="3092">
        <f t="shared" si="27"/>
        <v>2485.66</v>
      </c>
      <c r="S50" s="3092">
        <f t="shared" si="27"/>
        <v>3333.4439999999995</v>
      </c>
      <c r="T50" s="2429">
        <f t="shared" si="27"/>
        <v>4783.0227026752173</v>
      </c>
      <c r="U50" s="2429">
        <f t="shared" si="27"/>
        <v>2088.3344351330138</v>
      </c>
      <c r="V50" s="4758">
        <f t="shared" si="27"/>
        <v>3339.393</v>
      </c>
      <c r="W50" s="4758">
        <f t="shared" si="27"/>
        <v>13337.771000000001</v>
      </c>
    </row>
    <row r="51" spans="1:23" ht="12.75" customHeight="1" x14ac:dyDescent="0.2">
      <c r="A51" s="3052" t="s">
        <v>606</v>
      </c>
      <c r="B51" s="2554">
        <v>441.31</v>
      </c>
      <c r="C51" s="2554">
        <v>304.98</v>
      </c>
      <c r="D51" s="2554">
        <v>590.36</v>
      </c>
      <c r="E51" s="3186">
        <v>0</v>
      </c>
      <c r="F51" s="3186">
        <f>SUM(F21)</f>
        <v>435.33</v>
      </c>
      <c r="G51" s="5997" t="s">
        <v>629</v>
      </c>
      <c r="H51" s="5998"/>
      <c r="I51" s="5999"/>
      <c r="J51" s="3186">
        <f t="shared" ref="J51:J55" si="28">SUM(E51*1.03)*(1-0.01)</f>
        <v>0</v>
      </c>
      <c r="K51" s="2554">
        <v>1249.92</v>
      </c>
      <c r="L51" s="3648">
        <f>SUM(G21*1.046)*(1-0.01)</f>
        <v>464.32578059999997</v>
      </c>
      <c r="M51" s="3645">
        <f t="shared" si="21"/>
        <v>0</v>
      </c>
      <c r="N51" s="2554">
        <v>362.77</v>
      </c>
      <c r="O51" s="3186">
        <f>SUM(H21*1.05)*(1-0.01)</f>
        <v>480.08268000000004</v>
      </c>
      <c r="P51" s="2112">
        <f t="shared" si="22"/>
        <v>0</v>
      </c>
      <c r="Q51" s="3945">
        <v>227.72</v>
      </c>
      <c r="R51" s="2554">
        <v>389.36</v>
      </c>
      <c r="S51" s="2554">
        <v>540.39200000000005</v>
      </c>
      <c r="T51" s="2428">
        <f>SUM(I21*1.05)*(1-0.01)</f>
        <v>494.49015000000003</v>
      </c>
      <c r="U51" s="3512">
        <f t="shared" si="23"/>
        <v>0</v>
      </c>
      <c r="V51" s="4718">
        <v>545.57000000000005</v>
      </c>
      <c r="W51" s="4718">
        <v>1062.3230000000001</v>
      </c>
    </row>
    <row r="52" spans="1:23" ht="12.75" customHeight="1" x14ac:dyDescent="0.2">
      <c r="A52" s="3052" t="s">
        <v>615</v>
      </c>
      <c r="B52" s="2554">
        <v>347.31</v>
      </c>
      <c r="C52" s="2554">
        <v>960.04</v>
      </c>
      <c r="D52" s="2554">
        <v>1291.27</v>
      </c>
      <c r="E52" s="3186">
        <v>0</v>
      </c>
      <c r="F52" s="3186">
        <f>SUM(F22*0.5)</f>
        <v>481.08499999999998</v>
      </c>
      <c r="G52" s="5997" t="s">
        <v>629</v>
      </c>
      <c r="H52" s="5998"/>
      <c r="I52" s="5999"/>
      <c r="J52" s="3186">
        <f t="shared" si="28"/>
        <v>0</v>
      </c>
      <c r="K52" s="2554">
        <v>283.89</v>
      </c>
      <c r="L52" s="3648">
        <f>SUM(K52*1.046)*(1-0.01)</f>
        <v>293.97945060000001</v>
      </c>
      <c r="M52" s="3645">
        <f t="shared" si="21"/>
        <v>0</v>
      </c>
      <c r="N52" s="2554">
        <v>454.08</v>
      </c>
      <c r="O52" s="3186">
        <f>SUM(N52*1.05)*(1-0.01)</f>
        <v>472.01616000000001</v>
      </c>
      <c r="P52" s="2112">
        <f t="shared" si="22"/>
        <v>0</v>
      </c>
      <c r="Q52" s="3945">
        <v>444.37</v>
      </c>
      <c r="R52" s="2554">
        <v>754.11</v>
      </c>
      <c r="S52" s="2554">
        <v>1174.327</v>
      </c>
      <c r="T52" s="2428">
        <f>SUM(O52*1.05)*(1-0.01)</f>
        <v>490.66079832000003</v>
      </c>
      <c r="U52" s="3512">
        <f t="shared" si="23"/>
        <v>0</v>
      </c>
      <c r="V52" s="4718">
        <v>940.57299999999998</v>
      </c>
      <c r="W52" s="4718">
        <v>1757.5409999999999</v>
      </c>
    </row>
    <row r="53" spans="1:23" ht="12.75" customHeight="1" x14ac:dyDescent="0.2">
      <c r="A53" s="3052" t="s">
        <v>623</v>
      </c>
      <c r="B53" s="2554">
        <v>122.56</v>
      </c>
      <c r="C53" s="2554">
        <v>300.22000000000003</v>
      </c>
      <c r="D53" s="2554">
        <v>559.78</v>
      </c>
      <c r="E53" s="3186">
        <f>SUM('рем программа'!B35)</f>
        <v>1027.0439899999999</v>
      </c>
      <c r="F53" s="3186">
        <f>SUM('рем программа'!C35)</f>
        <v>1021.43466</v>
      </c>
      <c r="G53" s="5997" t="s">
        <v>3525</v>
      </c>
      <c r="H53" s="5998"/>
      <c r="I53" s="5999"/>
      <c r="J53" s="3186">
        <f t="shared" si="28"/>
        <v>1047.276756603</v>
      </c>
      <c r="K53" s="2554">
        <v>678.82</v>
      </c>
      <c r="L53" s="3648">
        <f>SUM(F23*1.046)*(1-0.01)</f>
        <v>1182.172464</v>
      </c>
      <c r="M53" s="3645">
        <f t="shared" si="21"/>
        <v>1076.2146198901498</v>
      </c>
      <c r="N53" s="2554">
        <v>648.54999999999995</v>
      </c>
      <c r="O53" s="3186">
        <f>SUM(H23*1.046)*(1-0.01)</f>
        <v>1254.1632047999999</v>
      </c>
      <c r="P53" s="2112">
        <f t="shared" si="22"/>
        <v>1139.2140743532552</v>
      </c>
      <c r="Q53" s="3945">
        <v>254.67</v>
      </c>
      <c r="R53" s="2554">
        <v>469.96</v>
      </c>
      <c r="S53" s="2554">
        <v>572.07600000000002</v>
      </c>
      <c r="T53" s="2428">
        <f>SUM(I23*1.046)*(1-0.01)</f>
        <v>1291.7947284000002</v>
      </c>
      <c r="U53" s="3512">
        <f t="shared" si="23"/>
        <v>1314.1482814966762</v>
      </c>
      <c r="V53" s="4718">
        <v>555.17499999999995</v>
      </c>
      <c r="W53" s="4718">
        <v>1461.3420000000001</v>
      </c>
    </row>
    <row r="54" spans="1:23" ht="12.75" customHeight="1" x14ac:dyDescent="0.2">
      <c r="A54" s="3052" t="s">
        <v>629</v>
      </c>
      <c r="B54" s="2554">
        <v>335.88</v>
      </c>
      <c r="C54" s="2554">
        <v>174.81</v>
      </c>
      <c r="D54" s="2554">
        <v>431.05</v>
      </c>
      <c r="E54" s="2551">
        <f>SUM(E38)</f>
        <v>752.84633000000008</v>
      </c>
      <c r="F54" s="3186">
        <f>E54*0.99*1.046</f>
        <v>779.6024885682001</v>
      </c>
      <c r="G54" s="5997" t="s">
        <v>629</v>
      </c>
      <c r="H54" s="5998"/>
      <c r="I54" s="5999"/>
      <c r="J54" s="3186">
        <f t="shared" si="28"/>
        <v>767.67740270100012</v>
      </c>
      <c r="K54" s="2554">
        <v>678.24</v>
      </c>
      <c r="L54" s="3648">
        <f>SUM(G24*1.046)*(1-0.01)</f>
        <v>1321.4629494000001</v>
      </c>
      <c r="M54" s="3645">
        <f t="shared" si="21"/>
        <v>788.88950693985805</v>
      </c>
      <c r="N54" s="2554">
        <v>716.42</v>
      </c>
      <c r="O54" s="3186">
        <f>SUM(H24*1.046)*(1-0.01)</f>
        <v>1361.1137760000001</v>
      </c>
      <c r="P54" s="2112">
        <f t="shared" si="22"/>
        <v>835.06952312840644</v>
      </c>
      <c r="Q54" s="3942">
        <v>126.63</v>
      </c>
      <c r="R54" s="2554">
        <v>1185.25</v>
      </c>
      <c r="S54" s="2554">
        <v>1328.702</v>
      </c>
      <c r="T54" s="2428">
        <f>SUM(I24*1.046)*(1-0.01)</f>
        <v>1401.9451182</v>
      </c>
      <c r="U54" s="3512">
        <f t="shared" si="23"/>
        <v>963.3002290394395</v>
      </c>
      <c r="V54" s="4756">
        <v>370.077</v>
      </c>
      <c r="W54" s="4756">
        <v>2531.19</v>
      </c>
    </row>
    <row r="55" spans="1:23" x14ac:dyDescent="0.2">
      <c r="A55" s="3052" t="s">
        <v>1891</v>
      </c>
      <c r="B55" s="2554">
        <v>0</v>
      </c>
      <c r="C55" s="2554">
        <v>0</v>
      </c>
      <c r="D55" s="2554">
        <v>0</v>
      </c>
      <c r="E55" s="2551">
        <v>0</v>
      </c>
      <c r="F55" s="3186">
        <v>0</v>
      </c>
      <c r="G55" s="5997"/>
      <c r="H55" s="5998"/>
      <c r="I55" s="5999"/>
      <c r="J55" s="3186">
        <f t="shared" si="28"/>
        <v>0</v>
      </c>
      <c r="K55" s="2554">
        <v>0</v>
      </c>
      <c r="L55" s="3648">
        <f>SUM(F55*1.03)*(1-0.01)</f>
        <v>0</v>
      </c>
      <c r="M55" s="3645">
        <f t="shared" si="21"/>
        <v>0</v>
      </c>
      <c r="N55" s="2554">
        <v>0</v>
      </c>
      <c r="O55" s="3186">
        <f>SUM(H55*1.03)*(1-0.01)</f>
        <v>0</v>
      </c>
      <c r="P55" s="2112">
        <f t="shared" si="22"/>
        <v>0</v>
      </c>
      <c r="Q55" s="2554">
        <v>0</v>
      </c>
      <c r="R55" s="2554">
        <v>0</v>
      </c>
      <c r="S55" s="2554">
        <v>0</v>
      </c>
      <c r="T55" s="2428">
        <f>SUM(M55*1.03)*(1-0.01)</f>
        <v>0</v>
      </c>
      <c r="U55" s="3512">
        <f t="shared" si="23"/>
        <v>0</v>
      </c>
      <c r="V55" s="4759">
        <f>SUM(O55*1.03)*(1-0.01)</f>
        <v>0</v>
      </c>
      <c r="W55" s="4704">
        <f t="shared" ref="W55" si="29">G55*0.99*1.034*0.99*1.067*0.99*1.139*0.99*1.06</f>
        <v>0</v>
      </c>
    </row>
    <row r="56" spans="1:23" x14ac:dyDescent="0.2">
      <c r="A56" s="3054" t="s">
        <v>90</v>
      </c>
      <c r="B56" s="3092">
        <f>SUM(B51:B55)</f>
        <v>1247.06</v>
      </c>
      <c r="C56" s="3092">
        <f t="shared" ref="C56:G56" si="30">SUM(C51:C55)</f>
        <v>1740.05</v>
      </c>
      <c r="D56" s="3092">
        <f t="shared" si="30"/>
        <v>2872.46</v>
      </c>
      <c r="E56" s="3092">
        <f t="shared" si="30"/>
        <v>1779.89032</v>
      </c>
      <c r="F56" s="3188">
        <f t="shared" si="30"/>
        <v>2717.4521485681998</v>
      </c>
      <c r="G56" s="6008">
        <f t="shared" si="30"/>
        <v>0</v>
      </c>
      <c r="H56" s="5998"/>
      <c r="I56" s="5999"/>
      <c r="J56" s="3188">
        <f t="shared" ref="J56:L56" si="31">SUM(J51:J55)</f>
        <v>1814.9541593040001</v>
      </c>
      <c r="K56" s="3092">
        <f t="shared" si="31"/>
        <v>2890.87</v>
      </c>
      <c r="L56" s="3647">
        <f t="shared" si="31"/>
        <v>3261.9406446000003</v>
      </c>
      <c r="M56" s="3647">
        <f t="shared" ref="M56:O56" si="32">SUM(M51:M55)</f>
        <v>1865.1041268300078</v>
      </c>
      <c r="N56" s="3092">
        <f t="shared" si="32"/>
        <v>2181.8199999999997</v>
      </c>
      <c r="O56" s="3188">
        <f t="shared" si="32"/>
        <v>3567.3758207999999</v>
      </c>
      <c r="P56" s="3188">
        <f t="shared" ref="P56:W56" si="33">SUM(P51:P55)</f>
        <v>1974.2835974816617</v>
      </c>
      <c r="Q56" s="3092">
        <f t="shared" si="33"/>
        <v>1053.3899999999999</v>
      </c>
      <c r="R56" s="3092">
        <f t="shared" si="33"/>
        <v>2798.6800000000003</v>
      </c>
      <c r="S56" s="3092">
        <f t="shared" si="33"/>
        <v>3615.4970000000003</v>
      </c>
      <c r="T56" s="2429">
        <f t="shared" si="33"/>
        <v>3678.8907949200002</v>
      </c>
      <c r="U56" s="2429">
        <f t="shared" si="33"/>
        <v>2277.4485105361155</v>
      </c>
      <c r="V56" s="4758">
        <f t="shared" si="33"/>
        <v>2411.395</v>
      </c>
      <c r="W56" s="4758">
        <f t="shared" si="33"/>
        <v>6812.3960000000006</v>
      </c>
    </row>
    <row r="58" spans="1:23" ht="14.25" customHeight="1" x14ac:dyDescent="0.25">
      <c r="A58" s="5985" t="s">
        <v>3526</v>
      </c>
      <c r="B58" s="5986"/>
      <c r="C58" s="5986"/>
      <c r="D58" s="5986"/>
      <c r="E58" s="5986"/>
      <c r="F58" s="5986"/>
      <c r="G58" s="5986"/>
      <c r="H58" s="5986"/>
      <c r="I58" s="5986"/>
      <c r="J58" s="4910"/>
      <c r="K58" s="4910"/>
      <c r="L58" s="4910"/>
      <c r="M58" s="4910"/>
      <c r="N58" s="4910"/>
      <c r="O58" s="4910"/>
      <c r="P58" s="4910"/>
      <c r="Q58" s="4910"/>
      <c r="R58" s="4910"/>
      <c r="S58" s="4910"/>
      <c r="T58" s="4910"/>
      <c r="U58" s="4910"/>
    </row>
    <row r="62" spans="1:23" ht="20.25" x14ac:dyDescent="0.3">
      <c r="A62" s="5987" t="s">
        <v>4052</v>
      </c>
      <c r="B62" s="5988"/>
      <c r="C62" s="5988"/>
      <c r="D62" s="5988"/>
      <c r="E62" s="5988"/>
      <c r="F62" s="5988"/>
      <c r="G62" s="5988"/>
      <c r="H62" s="5988"/>
      <c r="I62" s="5988"/>
    </row>
  </sheetData>
  <mergeCells count="23">
    <mergeCell ref="A62:I62"/>
    <mergeCell ref="G48:I48"/>
    <mergeCell ref="G47:I47"/>
    <mergeCell ref="G54:I54"/>
    <mergeCell ref="G55:I55"/>
    <mergeCell ref="G56:I56"/>
    <mergeCell ref="G53:I53"/>
    <mergeCell ref="G49:I49"/>
    <mergeCell ref="G50:I50"/>
    <mergeCell ref="G51:I51"/>
    <mergeCell ref="G52:I52"/>
    <mergeCell ref="A58:U58"/>
    <mergeCell ref="A1:I1"/>
    <mergeCell ref="C3:C4"/>
    <mergeCell ref="A3:A4"/>
    <mergeCell ref="B3:B4"/>
    <mergeCell ref="D3:I3"/>
    <mergeCell ref="G44:I44"/>
    <mergeCell ref="G45:I45"/>
    <mergeCell ref="G46:I46"/>
    <mergeCell ref="E30:I32"/>
    <mergeCell ref="E35:I37"/>
    <mergeCell ref="A42:W42"/>
  </mergeCells>
  <printOptions horizontalCentered="1"/>
  <pageMargins left="0.51181102362204722" right="0.51181102362204722" top="0.35433070866141736" bottom="0.15748031496062992" header="0.31496062992125984" footer="0.31496062992125984"/>
  <pageSetup paperSize="9" scale="63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Лист42">
    <tabColor rgb="FFFF66FF"/>
    <pageSetUpPr fitToPage="1"/>
  </sheetPr>
  <dimension ref="A2:FV72"/>
  <sheetViews>
    <sheetView zoomScaleNormal="100" zoomScaleSheetLayoutView="65" workbookViewId="0">
      <pane xSplit="40" ySplit="7" topLeftCell="EY14" activePane="bottomRight" state="frozen"/>
      <selection pane="topRight" activeCell="AO1" sqref="AO1"/>
      <selection pane="bottomLeft" activeCell="A8" sqref="A8"/>
      <selection pane="bottomRight" activeCell="FX47" sqref="FX47"/>
    </sheetView>
  </sheetViews>
  <sheetFormatPr defaultRowHeight="12.75" outlineLevelCol="1" x14ac:dyDescent="0.2"/>
  <cols>
    <col min="1" max="1" width="22.85546875" style="176" customWidth="1"/>
    <col min="2" max="3" width="9.140625" style="176" hidden="1" customWidth="1"/>
    <col min="4" max="4" width="8.140625" style="176" hidden="1" customWidth="1"/>
    <col min="5" max="5" width="9.28515625" style="176" hidden="1" customWidth="1" outlineLevel="1"/>
    <col min="6" max="7" width="9" style="176" hidden="1" customWidth="1" outlineLevel="1"/>
    <col min="8" max="8" width="7.7109375" style="176" hidden="1" customWidth="1" outlineLevel="1"/>
    <col min="9" max="9" width="12.140625" style="522" hidden="1" customWidth="1" collapsed="1"/>
    <col min="10" max="10" width="11.5703125" style="522" hidden="1" customWidth="1" outlineLevel="1"/>
    <col min="11" max="11" width="9.7109375" style="522" hidden="1" customWidth="1" outlineLevel="1"/>
    <col min="12" max="12" width="11.7109375" style="522" hidden="1" customWidth="1" collapsed="1"/>
    <col min="13" max="13" width="8" style="522" hidden="1" customWidth="1" outlineLevel="1"/>
    <col min="14" max="14" width="11.140625" style="522" hidden="1" customWidth="1" collapsed="1"/>
    <col min="15" max="15" width="10.42578125" style="522" hidden="1" customWidth="1"/>
    <col min="16" max="16" width="10.85546875" style="522" hidden="1" customWidth="1"/>
    <col min="17" max="17" width="13.140625" style="522" hidden="1" customWidth="1"/>
    <col min="18" max="18" width="15" style="522" hidden="1" customWidth="1" collapsed="1"/>
    <col min="19" max="19" width="14.7109375" style="522" hidden="1" customWidth="1"/>
    <col min="20" max="20" width="10.28515625" style="522" hidden="1" customWidth="1" outlineLevel="1"/>
    <col min="21" max="21" width="13.7109375" style="522" hidden="1" customWidth="1" outlineLevel="1"/>
    <col min="22" max="22" width="14.5703125" style="522" hidden="1" customWidth="1" outlineLevel="1"/>
    <col min="23" max="23" width="14.140625" style="522" hidden="1" customWidth="1" collapsed="1"/>
    <col min="24" max="29" width="14.140625" style="522" hidden="1" customWidth="1"/>
    <col min="30" max="30" width="15.85546875" style="522" hidden="1" customWidth="1"/>
    <col min="31" max="31" width="14.140625" style="522" hidden="1" customWidth="1"/>
    <col min="32" max="32" width="14.5703125" style="176" hidden="1" customWidth="1"/>
    <col min="33" max="33" width="13.85546875" style="176" hidden="1" customWidth="1"/>
    <col min="34" max="35" width="13" style="176" hidden="1" customWidth="1"/>
    <col min="36" max="40" width="14.140625" style="176" hidden="1" customWidth="1"/>
    <col min="41" max="41" width="10.7109375" style="179" hidden="1" customWidth="1"/>
    <col min="42" max="46" width="10.7109375" style="176" hidden="1" customWidth="1"/>
    <col min="47" max="49" width="10.7109375" style="2155" hidden="1" customWidth="1"/>
    <col min="50" max="50" width="9.140625" style="2155" hidden="1" customWidth="1"/>
    <col min="51" max="52" width="10.7109375" style="2155" hidden="1" customWidth="1"/>
    <col min="53" max="53" width="9.85546875" style="2155" hidden="1" customWidth="1"/>
    <col min="54" max="59" width="10.7109375" style="2155" hidden="1" customWidth="1"/>
    <col min="60" max="60" width="9.42578125" style="2155" hidden="1" customWidth="1"/>
    <col min="61" max="62" width="10.7109375" style="2155" hidden="1" customWidth="1"/>
    <col min="63" max="63" width="9.7109375" style="2155" hidden="1" customWidth="1"/>
    <col min="64" max="66" width="10.7109375" style="2155" hidden="1" customWidth="1"/>
    <col min="67" max="67" width="7.7109375" style="2155" hidden="1" customWidth="1"/>
    <col min="68" max="68" width="10.5703125" style="2155" hidden="1" customWidth="1"/>
    <col min="69" max="74" width="10.7109375" style="2155" hidden="1" customWidth="1"/>
    <col min="75" max="77" width="9.7109375" style="2155" customWidth="1"/>
    <col min="78" max="79" width="10.7109375" style="2155" hidden="1" customWidth="1"/>
    <col min="80" max="80" width="10.140625" style="2155" hidden="1" customWidth="1"/>
    <col min="81" max="86" width="10.7109375" style="2155" hidden="1" customWidth="1"/>
    <col min="87" max="87" width="10.28515625" style="2155" hidden="1" customWidth="1"/>
    <col min="88" max="93" width="10.7109375" style="2155" hidden="1" customWidth="1"/>
    <col min="94" max="95" width="10.7109375" style="2155" customWidth="1"/>
    <col min="96" max="96" width="8.7109375" style="2155" customWidth="1"/>
    <col min="97" max="97" width="10.7109375" style="2155" customWidth="1"/>
    <col min="98" max="98" width="8.7109375" style="2155" customWidth="1"/>
    <col min="99" max="99" width="10.7109375" style="2155" customWidth="1"/>
    <col min="100" max="100" width="8.7109375" style="2155" customWidth="1"/>
    <col min="101" max="102" width="10.7109375" style="2155" customWidth="1"/>
    <col min="103" max="103" width="8.7109375" style="2155" customWidth="1"/>
    <col min="104" max="104" width="10.7109375" style="2155" customWidth="1"/>
    <col min="105" max="105" width="8.7109375" style="2155" customWidth="1"/>
    <col min="106" max="106" width="10.7109375" style="2155" customWidth="1"/>
    <col min="107" max="107" width="8.7109375" style="2155" customWidth="1"/>
    <col min="108" max="109" width="10.7109375" style="2155" customWidth="1"/>
    <col min="110" max="123" width="10.7109375" style="2155" hidden="1" customWidth="1"/>
    <col min="124" max="125" width="10.7109375" style="2155" customWidth="1"/>
    <col min="126" max="126" width="8.7109375" style="2155" customWidth="1"/>
    <col min="127" max="127" width="10.7109375" style="2155" customWidth="1"/>
    <col min="128" max="128" width="8.7109375" style="2155" customWidth="1"/>
    <col min="129" max="129" width="10.7109375" style="2155" customWidth="1"/>
    <col min="130" max="130" width="8.7109375" style="2155" customWidth="1"/>
    <col min="131" max="132" width="10.7109375" style="2155" customWidth="1"/>
    <col min="133" max="133" width="8.7109375" style="2155" customWidth="1"/>
    <col min="134" max="134" width="10.7109375" style="2155" customWidth="1"/>
    <col min="135" max="135" width="8.7109375" style="2155" customWidth="1"/>
    <col min="136" max="137" width="10.7109375" style="2155" hidden="1" customWidth="1"/>
    <col min="138" max="139" width="10.7109375" style="2155" customWidth="1"/>
    <col min="140" max="140" width="27" style="2155" hidden="1" customWidth="1"/>
    <col min="141" max="141" width="10.7109375" style="176" hidden="1" customWidth="1"/>
    <col min="142" max="147" width="0" style="176" hidden="1" customWidth="1"/>
    <col min="148" max="148" width="9.85546875" style="176" hidden="1" customWidth="1"/>
    <col min="149" max="149" width="10.42578125" style="176" hidden="1" customWidth="1"/>
    <col min="150" max="154" width="0" style="176" hidden="1" customWidth="1"/>
    <col min="155" max="156" width="10" style="176" customWidth="1"/>
    <col min="157" max="157" width="9.140625" style="176"/>
    <col min="158" max="158" width="9.85546875" style="176" customWidth="1"/>
    <col min="159" max="159" width="8.7109375" style="176" customWidth="1"/>
    <col min="160" max="161" width="0" style="176" hidden="1" customWidth="1"/>
    <col min="162" max="162" width="10.140625" style="176" customWidth="1"/>
    <col min="163" max="163" width="10.7109375" style="176" customWidth="1"/>
    <col min="164" max="164" width="9" style="176" customWidth="1"/>
    <col min="165" max="165" width="10.7109375" style="176" customWidth="1"/>
    <col min="166" max="166" width="8.7109375" style="176" customWidth="1"/>
    <col min="167" max="168" width="10.7109375" style="176" hidden="1" customWidth="1"/>
    <col min="169" max="169" width="10.42578125" style="176" customWidth="1"/>
    <col min="170" max="170" width="10" style="176" customWidth="1"/>
    <col min="171" max="171" width="9.140625" style="176" customWidth="1"/>
    <col min="172" max="174" width="9.140625" style="176"/>
    <col min="175" max="175" width="10" style="176" customWidth="1"/>
    <col min="176" max="176" width="9.140625" style="176"/>
    <col min="177" max="177" width="10.140625" style="176" customWidth="1"/>
    <col min="178" max="16384" width="9.140625" style="176"/>
  </cols>
  <sheetData>
    <row r="2" spans="1:178" ht="27" x14ac:dyDescent="0.35">
      <c r="A2" s="6046" t="s">
        <v>4025</v>
      </c>
      <c r="B2" s="4910"/>
      <c r="C2" s="4910"/>
      <c r="D2" s="4910"/>
      <c r="E2" s="4910"/>
      <c r="F2" s="4910"/>
      <c r="G2" s="4910"/>
      <c r="H2" s="4910"/>
      <c r="I2" s="4910"/>
      <c r="J2" s="4910"/>
      <c r="K2" s="4910"/>
      <c r="L2" s="4910"/>
      <c r="M2" s="4910"/>
      <c r="N2" s="4910"/>
      <c r="O2" s="4910"/>
      <c r="P2" s="4910"/>
      <c r="Q2" s="4910"/>
      <c r="R2" s="4910"/>
      <c r="S2" s="4910"/>
      <c r="T2" s="4910"/>
      <c r="U2" s="4910"/>
      <c r="V2" s="4910"/>
      <c r="W2" s="4910"/>
      <c r="X2" s="4910"/>
      <c r="Y2" s="4910"/>
      <c r="Z2" s="4910"/>
      <c r="AA2" s="4910"/>
      <c r="AB2" s="4910"/>
      <c r="AC2" s="4910"/>
      <c r="AD2" s="4910"/>
      <c r="AE2" s="4910"/>
      <c r="AF2" s="4910"/>
      <c r="AG2" s="4910"/>
      <c r="AH2" s="4910"/>
      <c r="AI2" s="4910"/>
      <c r="AJ2" s="4910"/>
      <c r="AK2" s="4910"/>
      <c r="AL2" s="4910"/>
      <c r="AM2" s="4910"/>
      <c r="AN2" s="4910"/>
      <c r="AO2" s="4910"/>
      <c r="AP2" s="4910"/>
      <c r="AQ2" s="4910"/>
      <c r="AR2" s="4910"/>
      <c r="AS2" s="4910"/>
      <c r="AT2" s="4910"/>
      <c r="AU2" s="4910"/>
      <c r="AV2" s="4910"/>
      <c r="AW2" s="4910"/>
      <c r="AX2" s="4910"/>
      <c r="AY2" s="4910"/>
      <c r="AZ2" s="4910"/>
      <c r="BA2" s="4910"/>
      <c r="BB2" s="4910"/>
      <c r="BC2" s="4910"/>
      <c r="BD2" s="4910"/>
      <c r="BE2" s="4910"/>
      <c r="BF2" s="4910"/>
      <c r="BG2" s="4910"/>
      <c r="BH2" s="4910"/>
      <c r="BI2" s="4910"/>
      <c r="BJ2" s="4910"/>
      <c r="BK2" s="4910"/>
      <c r="BL2" s="4910"/>
      <c r="BM2" s="4910"/>
      <c r="BN2" s="4910"/>
      <c r="BO2" s="4910"/>
      <c r="BP2" s="4910"/>
      <c r="BQ2" s="4910"/>
      <c r="BR2" s="4910"/>
      <c r="BS2" s="4910"/>
      <c r="BT2" s="4910"/>
      <c r="BU2" s="4910"/>
      <c r="BV2" s="4910"/>
      <c r="BW2" s="4910"/>
      <c r="BX2" s="4910"/>
      <c r="BY2" s="4910"/>
      <c r="BZ2" s="4910"/>
      <c r="CA2" s="4910"/>
      <c r="CB2" s="4910"/>
      <c r="CC2" s="4910"/>
      <c r="CD2" s="4910"/>
      <c r="CE2" s="4910"/>
      <c r="CF2" s="4910"/>
      <c r="CG2" s="4910"/>
      <c r="CH2" s="4910"/>
      <c r="CI2" s="4910"/>
      <c r="CJ2" s="4910"/>
      <c r="CK2" s="4910"/>
      <c r="CL2" s="4910"/>
      <c r="CM2" s="4910"/>
      <c r="CN2" s="4910"/>
      <c r="CO2" s="4910"/>
      <c r="CP2" s="4910"/>
      <c r="CQ2" s="4910"/>
      <c r="CR2" s="4910"/>
      <c r="CS2" s="4910"/>
      <c r="CT2" s="4910"/>
      <c r="CU2" s="4910"/>
      <c r="CV2" s="4910"/>
      <c r="CW2" s="4910"/>
      <c r="CX2" s="4910"/>
      <c r="CY2" s="4910"/>
      <c r="CZ2" s="4910"/>
      <c r="DA2" s="4910"/>
      <c r="DB2" s="4910"/>
      <c r="DC2" s="4910"/>
      <c r="DD2" s="4910"/>
      <c r="DE2" s="4910"/>
      <c r="DF2" s="4910"/>
      <c r="DG2" s="4910"/>
      <c r="DH2" s="4910"/>
      <c r="DI2" s="4910"/>
      <c r="DJ2" s="4910"/>
      <c r="DK2" s="4910"/>
      <c r="DL2" s="4910"/>
      <c r="DM2" s="4910"/>
      <c r="DN2" s="4910"/>
      <c r="DO2" s="4910"/>
      <c r="DP2" s="4910"/>
      <c r="DQ2" s="4910"/>
      <c r="DR2" s="4910"/>
      <c r="DS2" s="4910"/>
      <c r="DT2" s="4910"/>
      <c r="DU2" s="4910"/>
      <c r="DV2" s="4910"/>
      <c r="DW2" s="4910"/>
      <c r="DX2" s="4910"/>
      <c r="DY2" s="4910"/>
      <c r="DZ2" s="4910"/>
      <c r="EA2" s="4910"/>
      <c r="EB2" s="4910"/>
      <c r="EC2" s="4910"/>
      <c r="ED2" s="4910"/>
      <c r="EE2" s="4910"/>
      <c r="EF2" s="4910"/>
      <c r="EG2" s="4910"/>
      <c r="EH2" s="4910"/>
      <c r="EI2" s="4910"/>
      <c r="EJ2" s="4910"/>
      <c r="EK2" s="4910"/>
      <c r="EL2" s="4910"/>
      <c r="EM2" s="4910"/>
      <c r="EN2" s="4910"/>
      <c r="EO2" s="4910"/>
      <c r="EP2" s="4910"/>
      <c r="EQ2" s="4910"/>
      <c r="ER2" s="4910"/>
      <c r="ES2" s="4910"/>
      <c r="ET2" s="4910"/>
      <c r="EU2" s="4910"/>
      <c r="EV2" s="4910"/>
      <c r="EW2" s="4910"/>
      <c r="EX2" s="4910"/>
      <c r="EY2" s="4910"/>
      <c r="EZ2" s="4910"/>
      <c r="FA2" s="4910"/>
      <c r="FB2" s="4910"/>
      <c r="FC2" s="4910"/>
      <c r="FD2" s="4910"/>
      <c r="FE2" s="4910"/>
      <c r="FF2" s="4910"/>
      <c r="FG2" s="4910"/>
      <c r="FH2" s="4910"/>
      <c r="FI2" s="4910"/>
      <c r="FJ2" s="4910"/>
      <c r="FK2" s="4910"/>
      <c r="FL2" s="4910"/>
      <c r="FM2" s="4910"/>
      <c r="FN2" s="4910"/>
      <c r="FO2" s="4910"/>
      <c r="FP2" s="4910"/>
      <c r="FQ2" s="4910"/>
      <c r="FR2" s="4910"/>
      <c r="FS2" s="4910"/>
      <c r="FT2" s="4910"/>
      <c r="FU2" s="4910"/>
      <c r="FV2" s="4910"/>
    </row>
    <row r="3" spans="1:178" ht="15.75" x14ac:dyDescent="0.25">
      <c r="A3" s="521"/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2"/>
      <c r="AG3" s="522"/>
      <c r="AH3" s="522"/>
      <c r="AI3" s="522"/>
      <c r="AJ3" s="522"/>
      <c r="AK3" s="522"/>
      <c r="AL3" s="522"/>
      <c r="AM3" s="522"/>
      <c r="AN3" s="522"/>
      <c r="AO3" s="178"/>
      <c r="EH3" s="3835"/>
      <c r="EJ3" s="3835"/>
    </row>
    <row r="4" spans="1:178" s="2159" customFormat="1" ht="32.25" customHeight="1" x14ac:dyDescent="0.2">
      <c r="A4" s="6037" t="s">
        <v>17</v>
      </c>
      <c r="B4" s="6027" t="s">
        <v>57</v>
      </c>
      <c r="C4" s="6027" t="s">
        <v>71</v>
      </c>
      <c r="D4" s="6027" t="s">
        <v>72</v>
      </c>
      <c r="E4" s="6037" t="s">
        <v>66</v>
      </c>
      <c r="F4" s="6037"/>
      <c r="G4" s="6037" t="s">
        <v>91</v>
      </c>
      <c r="H4" s="6037"/>
      <c r="I4" s="6027" t="s">
        <v>289</v>
      </c>
      <c r="J4" s="6027"/>
      <c r="K4" s="6027"/>
      <c r="L4" s="6027"/>
      <c r="M4" s="6027"/>
      <c r="N4" s="6027" t="s">
        <v>154</v>
      </c>
      <c r="O4" s="6027"/>
      <c r="P4" s="6027"/>
      <c r="Q4" s="6027"/>
      <c r="R4" s="6027" t="s">
        <v>227</v>
      </c>
      <c r="S4" s="6044"/>
      <c r="T4" s="6044"/>
      <c r="U4" s="6044"/>
      <c r="V4" s="6044"/>
      <c r="W4" s="6044"/>
      <c r="X4" s="6044"/>
      <c r="Y4" s="6044"/>
      <c r="Z4" s="6044"/>
      <c r="AA4" s="6044"/>
      <c r="AB4" s="6027" t="s">
        <v>362</v>
      </c>
      <c r="AC4" s="6027"/>
      <c r="AD4" s="6027"/>
      <c r="AE4" s="6027"/>
      <c r="AF4" s="6027"/>
      <c r="AG4" s="6027"/>
      <c r="AH4" s="5523"/>
      <c r="AI4" s="5523"/>
      <c r="AJ4" s="6014" t="s">
        <v>644</v>
      </c>
      <c r="AK4" s="5544"/>
      <c r="AL4" s="5544"/>
      <c r="AM4" s="5544"/>
      <c r="AN4" s="5544"/>
      <c r="AO4" s="6014" t="s">
        <v>815</v>
      </c>
      <c r="AP4" s="6014"/>
      <c r="AQ4" s="6014"/>
      <c r="AR4" s="6014"/>
      <c r="AS4" s="6014"/>
      <c r="AT4" s="6014"/>
      <c r="AU4" s="5627" t="s">
        <v>892</v>
      </c>
      <c r="AV4" s="5845"/>
      <c r="AW4" s="5845"/>
      <c r="AX4" s="5627" t="s">
        <v>893</v>
      </c>
      <c r="AY4" s="5530"/>
      <c r="AZ4" s="5530"/>
      <c r="BA4" s="5530"/>
      <c r="BB4" s="5530"/>
      <c r="BC4" s="5530"/>
      <c r="BD4" s="5530"/>
      <c r="BE4" s="5530"/>
      <c r="BF4" s="5530"/>
      <c r="BG4" s="5531"/>
      <c r="BH4" s="5627" t="s">
        <v>1799</v>
      </c>
      <c r="BI4" s="5845"/>
      <c r="BJ4" s="5845"/>
      <c r="BK4" s="5845"/>
      <c r="BL4" s="5845"/>
      <c r="BM4" s="5845"/>
      <c r="BN4" s="2627"/>
      <c r="BO4" s="2628"/>
      <c r="BP4" s="5627" t="s">
        <v>3537</v>
      </c>
      <c r="BQ4" s="5530"/>
      <c r="BR4" s="5530"/>
      <c r="BS4" s="5530"/>
      <c r="BT4" s="5530"/>
      <c r="BU4" s="5530"/>
      <c r="BV4" s="5531"/>
      <c r="BW4" s="5627" t="s">
        <v>3669</v>
      </c>
      <c r="BX4" s="5530"/>
      <c r="BY4" s="5530"/>
      <c r="BZ4" s="5530"/>
      <c r="CA4" s="5531"/>
      <c r="CB4" s="5627" t="s">
        <v>3619</v>
      </c>
      <c r="CC4" s="5530"/>
      <c r="CD4" s="5530"/>
      <c r="CE4" s="5530"/>
      <c r="CF4" s="5530"/>
      <c r="CG4" s="5530"/>
      <c r="CH4" s="5530"/>
      <c r="CI4" s="5530"/>
      <c r="CJ4" s="5530"/>
      <c r="CK4" s="5530"/>
      <c r="CL4" s="5530"/>
      <c r="CM4" s="5530"/>
      <c r="CN4" s="5530"/>
      <c r="CO4" s="5530"/>
      <c r="CP4" s="5530"/>
      <c r="CQ4" s="5530"/>
      <c r="CR4" s="5530"/>
      <c r="CS4" s="5530"/>
      <c r="CT4" s="5530"/>
      <c r="CU4" s="5530"/>
      <c r="CV4" s="5531"/>
      <c r="CW4" s="5627" t="s">
        <v>3854</v>
      </c>
      <c r="CX4" s="5845"/>
      <c r="CY4" s="5845"/>
      <c r="CZ4" s="5845"/>
      <c r="DA4" s="5845"/>
      <c r="DB4" s="5845"/>
      <c r="DC4" s="5845"/>
      <c r="DD4" s="5530"/>
      <c r="DE4" s="5531"/>
      <c r="DF4" s="5627" t="s">
        <v>3874</v>
      </c>
      <c r="DG4" s="5530"/>
      <c r="DH4" s="5530"/>
      <c r="DI4" s="5530"/>
      <c r="DJ4" s="5530"/>
      <c r="DK4" s="5530"/>
      <c r="DL4" s="5530"/>
      <c r="DM4" s="5530"/>
      <c r="DN4" s="5530"/>
      <c r="DO4" s="5530"/>
      <c r="DP4" s="5530"/>
      <c r="DQ4" s="5530"/>
      <c r="DR4" s="5530"/>
      <c r="DS4" s="5530"/>
      <c r="DT4" s="5530"/>
      <c r="DU4" s="5530"/>
      <c r="DV4" s="5530"/>
      <c r="DW4" s="5530"/>
      <c r="DX4" s="5530"/>
      <c r="DY4" s="5530"/>
      <c r="DZ4" s="5531"/>
      <c r="EA4" s="5627" t="s">
        <v>3900</v>
      </c>
      <c r="EB4" s="5845"/>
      <c r="EC4" s="5845"/>
      <c r="ED4" s="5845"/>
      <c r="EE4" s="5845"/>
      <c r="EF4" s="5845"/>
      <c r="EG4" s="5845"/>
      <c r="EH4" s="5530"/>
      <c r="EI4" s="5531"/>
      <c r="EJ4" s="5846" t="s">
        <v>1901</v>
      </c>
      <c r="EK4" s="5627" t="s">
        <v>4024</v>
      </c>
      <c r="EL4" s="5530"/>
      <c r="EM4" s="5530"/>
      <c r="EN4" s="5530"/>
      <c r="EO4" s="5530"/>
      <c r="EP4" s="5530"/>
      <c r="EQ4" s="5530"/>
      <c r="ER4" s="5530"/>
      <c r="ES4" s="5530"/>
      <c r="ET4" s="5530"/>
      <c r="EU4" s="5530"/>
      <c r="EV4" s="5530"/>
      <c r="EW4" s="5530"/>
      <c r="EX4" s="5530"/>
      <c r="EY4" s="5530"/>
      <c r="EZ4" s="5530"/>
      <c r="FA4" s="5530"/>
      <c r="FB4" s="5530"/>
      <c r="FC4" s="5530"/>
      <c r="FD4" s="5530"/>
      <c r="FE4" s="5531"/>
      <c r="FF4" s="5627" t="s">
        <v>4022</v>
      </c>
      <c r="FG4" s="5845"/>
      <c r="FH4" s="5845"/>
      <c r="FI4" s="5845"/>
      <c r="FJ4" s="5845"/>
      <c r="FK4" s="5845"/>
      <c r="FL4" s="5845"/>
      <c r="FM4" s="5584"/>
      <c r="FN4" s="5584"/>
      <c r="FO4" s="5837" t="s">
        <v>4266</v>
      </c>
      <c r="FP4" s="5837"/>
      <c r="FQ4" s="5837"/>
      <c r="FR4" s="5837"/>
      <c r="FS4" s="5837" t="s">
        <v>4267</v>
      </c>
      <c r="FT4" s="5837"/>
      <c r="FU4" s="5837"/>
      <c r="FV4" s="5837"/>
    </row>
    <row r="5" spans="1:178" s="2159" customFormat="1" ht="25.5" customHeight="1" x14ac:dyDescent="0.2">
      <c r="A5" s="6037"/>
      <c r="B5" s="6027"/>
      <c r="C5" s="6027"/>
      <c r="D5" s="6027"/>
      <c r="E5" s="6027" t="s">
        <v>60</v>
      </c>
      <c r="F5" s="6027" t="s">
        <v>65</v>
      </c>
      <c r="G5" s="6027" t="s">
        <v>60</v>
      </c>
      <c r="H5" s="6027" t="s">
        <v>108</v>
      </c>
      <c r="I5" s="6027" t="s">
        <v>290</v>
      </c>
      <c r="J5" s="6027" t="s">
        <v>106</v>
      </c>
      <c r="K5" s="6027" t="s">
        <v>63</v>
      </c>
      <c r="L5" s="6027" t="s">
        <v>291</v>
      </c>
      <c r="M5" s="6027" t="s">
        <v>115</v>
      </c>
      <c r="N5" s="6027" t="s">
        <v>290</v>
      </c>
      <c r="O5" s="6027" t="s">
        <v>292</v>
      </c>
      <c r="P5" s="6027" t="s">
        <v>293</v>
      </c>
      <c r="Q5" s="6027" t="s">
        <v>291</v>
      </c>
      <c r="R5" s="6027" t="s">
        <v>295</v>
      </c>
      <c r="S5" s="6027" t="s">
        <v>296</v>
      </c>
      <c r="T5" s="2160"/>
      <c r="U5" s="6015" t="s">
        <v>118</v>
      </c>
      <c r="V5" s="6015"/>
      <c r="W5" s="6015" t="s">
        <v>119</v>
      </c>
      <c r="X5" s="6015"/>
      <c r="Y5" s="6015" t="s">
        <v>374</v>
      </c>
      <c r="Z5" s="6015" t="s">
        <v>376</v>
      </c>
      <c r="AA5" s="6015" t="s">
        <v>640</v>
      </c>
      <c r="AB5" s="6027" t="s">
        <v>295</v>
      </c>
      <c r="AC5" s="6027" t="s">
        <v>296</v>
      </c>
      <c r="AD5" s="6015" t="s">
        <v>119</v>
      </c>
      <c r="AE5" s="6015"/>
      <c r="AF5" s="6028" t="s">
        <v>232</v>
      </c>
      <c r="AG5" s="6028"/>
      <c r="AH5" s="6015" t="s">
        <v>374</v>
      </c>
      <c r="AI5" s="6015" t="s">
        <v>376</v>
      </c>
      <c r="AJ5" s="6027" t="s">
        <v>642</v>
      </c>
      <c r="AK5" s="6015" t="s">
        <v>50</v>
      </c>
      <c r="AL5" s="5523"/>
      <c r="AM5" s="6028" t="s">
        <v>232</v>
      </c>
      <c r="AN5" s="6028"/>
      <c r="AO5" s="6020" t="s">
        <v>1585</v>
      </c>
      <c r="AP5" s="6021"/>
      <c r="AQ5" s="6022"/>
      <c r="AR5" s="6020" t="s">
        <v>60</v>
      </c>
      <c r="AS5" s="6021"/>
      <c r="AT5" s="6022"/>
      <c r="AU5" s="6020" t="s">
        <v>60</v>
      </c>
      <c r="AV5" s="6021"/>
      <c r="AW5" s="6022"/>
      <c r="AX5" s="6020" t="s">
        <v>1585</v>
      </c>
      <c r="AY5" s="6021"/>
      <c r="AZ5" s="6022"/>
      <c r="BA5" s="6009" t="s">
        <v>60</v>
      </c>
      <c r="BB5" s="6010"/>
      <c r="BC5" s="6010"/>
      <c r="BD5" s="6010"/>
      <c r="BE5" s="6010"/>
      <c r="BF5" s="5530"/>
      <c r="BG5" s="5531"/>
      <c r="BH5" s="6020" t="s">
        <v>118</v>
      </c>
      <c r="BI5" s="6021"/>
      <c r="BJ5" s="6022"/>
      <c r="BK5" s="6009" t="s">
        <v>1521</v>
      </c>
      <c r="BL5" s="6010"/>
      <c r="BM5" s="6010"/>
      <c r="BN5" s="6010"/>
      <c r="BO5" s="6026"/>
      <c r="BP5" s="6009" t="s">
        <v>1563</v>
      </c>
      <c r="BQ5" s="6010"/>
      <c r="BR5" s="6010"/>
      <c r="BS5" s="6010"/>
      <c r="BT5" s="6010"/>
      <c r="BU5" s="5530"/>
      <c r="BV5" s="5531"/>
      <c r="BW5" s="6009" t="s">
        <v>1563</v>
      </c>
      <c r="BX5" s="6010"/>
      <c r="BY5" s="6010"/>
      <c r="BZ5" s="5530"/>
      <c r="CA5" s="5531"/>
      <c r="CB5" s="6009" t="s">
        <v>3614</v>
      </c>
      <c r="CC5" s="6010"/>
      <c r="CD5" s="6010"/>
      <c r="CE5" s="6010"/>
      <c r="CF5" s="6010"/>
      <c r="CG5" s="5530"/>
      <c r="CH5" s="5531"/>
      <c r="CI5" s="6009" t="s">
        <v>3615</v>
      </c>
      <c r="CJ5" s="6010"/>
      <c r="CK5" s="6010"/>
      <c r="CL5" s="6010"/>
      <c r="CM5" s="6010"/>
      <c r="CN5" s="5530"/>
      <c r="CO5" s="5531"/>
      <c r="CP5" s="6009" t="s">
        <v>3620</v>
      </c>
      <c r="CQ5" s="6010"/>
      <c r="CR5" s="6010"/>
      <c r="CS5" s="6010"/>
      <c r="CT5" s="6010"/>
      <c r="CU5" s="5530"/>
      <c r="CV5" s="5531"/>
      <c r="CW5" s="6009" t="s">
        <v>3853</v>
      </c>
      <c r="CX5" s="6010"/>
      <c r="CY5" s="6010"/>
      <c r="CZ5" s="6010"/>
      <c r="DA5" s="6010"/>
      <c r="DB5" s="5530"/>
      <c r="DC5" s="5531"/>
      <c r="DD5" s="6038" t="s">
        <v>375</v>
      </c>
      <c r="DE5" s="6039"/>
      <c r="DF5" s="6009" t="s">
        <v>3867</v>
      </c>
      <c r="DG5" s="6010"/>
      <c r="DH5" s="6010"/>
      <c r="DI5" s="6010"/>
      <c r="DJ5" s="6010"/>
      <c r="DK5" s="5530"/>
      <c r="DL5" s="5531"/>
      <c r="DM5" s="6009" t="s">
        <v>3868</v>
      </c>
      <c r="DN5" s="6010"/>
      <c r="DO5" s="6010"/>
      <c r="DP5" s="6010"/>
      <c r="DQ5" s="6010"/>
      <c r="DR5" s="5530"/>
      <c r="DS5" s="5531"/>
      <c r="DT5" s="6009" t="s">
        <v>3875</v>
      </c>
      <c r="DU5" s="6010"/>
      <c r="DV5" s="6010"/>
      <c r="DW5" s="6010"/>
      <c r="DX5" s="6010"/>
      <c r="DY5" s="5530"/>
      <c r="DZ5" s="5531"/>
      <c r="EA5" s="6009" t="s">
        <v>3901</v>
      </c>
      <c r="EB5" s="6010"/>
      <c r="EC5" s="6010"/>
      <c r="ED5" s="6010"/>
      <c r="EE5" s="6010"/>
      <c r="EF5" s="5530"/>
      <c r="EG5" s="5531"/>
      <c r="EH5" s="6038" t="s">
        <v>375</v>
      </c>
      <c r="EI5" s="6039"/>
      <c r="EJ5" s="5846"/>
      <c r="EK5" s="6009" t="s">
        <v>3929</v>
      </c>
      <c r="EL5" s="6010"/>
      <c r="EM5" s="6010"/>
      <c r="EN5" s="6010"/>
      <c r="EO5" s="6010"/>
      <c r="EP5" s="5530"/>
      <c r="EQ5" s="5531"/>
      <c r="ER5" s="6009" t="s">
        <v>3930</v>
      </c>
      <c r="ES5" s="6010"/>
      <c r="ET5" s="6010"/>
      <c r="EU5" s="6010"/>
      <c r="EV5" s="6010"/>
      <c r="EW5" s="5530"/>
      <c r="EX5" s="5531"/>
      <c r="EY5" s="6009" t="s">
        <v>3942</v>
      </c>
      <c r="EZ5" s="6010"/>
      <c r="FA5" s="6010"/>
      <c r="FB5" s="6010"/>
      <c r="FC5" s="6010"/>
      <c r="FD5" s="5530"/>
      <c r="FE5" s="5531"/>
      <c r="FF5" s="6009" t="s">
        <v>4023</v>
      </c>
      <c r="FG5" s="6010"/>
      <c r="FH5" s="6010"/>
      <c r="FI5" s="6010"/>
      <c r="FJ5" s="6010"/>
      <c r="FK5" s="5584"/>
      <c r="FL5" s="6047"/>
      <c r="FM5" s="6009" t="s">
        <v>375</v>
      </c>
      <c r="FN5" s="6010"/>
      <c r="FO5" s="5852"/>
      <c r="FP5" s="5852"/>
      <c r="FQ5" s="5852"/>
      <c r="FR5" s="5852"/>
      <c r="FS5" s="5852"/>
      <c r="FT5" s="5852"/>
      <c r="FU5" s="5852"/>
      <c r="FV5" s="5852"/>
    </row>
    <row r="6" spans="1:178" s="2159" customFormat="1" ht="15.75" customHeight="1" x14ac:dyDescent="0.2">
      <c r="A6" s="6037"/>
      <c r="B6" s="6027"/>
      <c r="C6" s="6027"/>
      <c r="D6" s="6027"/>
      <c r="E6" s="6027"/>
      <c r="F6" s="6027"/>
      <c r="G6" s="6027"/>
      <c r="H6" s="6027"/>
      <c r="I6" s="6027"/>
      <c r="J6" s="6027"/>
      <c r="K6" s="6027"/>
      <c r="L6" s="6027"/>
      <c r="M6" s="6027"/>
      <c r="N6" s="6027"/>
      <c r="O6" s="6027"/>
      <c r="P6" s="6027"/>
      <c r="Q6" s="6027"/>
      <c r="R6" s="6027"/>
      <c r="S6" s="6027"/>
      <c r="T6" s="2160"/>
      <c r="U6" s="6016" t="s">
        <v>357</v>
      </c>
      <c r="V6" s="6016" t="s">
        <v>358</v>
      </c>
      <c r="W6" s="6016" t="s">
        <v>357</v>
      </c>
      <c r="X6" s="6016" t="s">
        <v>358</v>
      </c>
      <c r="Y6" s="6015"/>
      <c r="Z6" s="6015"/>
      <c r="AA6" s="6015"/>
      <c r="AB6" s="6027"/>
      <c r="AC6" s="6027"/>
      <c r="AD6" s="6016" t="s">
        <v>357</v>
      </c>
      <c r="AE6" s="6016" t="s">
        <v>358</v>
      </c>
      <c r="AF6" s="6016" t="s">
        <v>357</v>
      </c>
      <c r="AG6" s="6016" t="s">
        <v>358</v>
      </c>
      <c r="AH6" s="6015"/>
      <c r="AI6" s="6015"/>
      <c r="AJ6" s="6027"/>
      <c r="AK6" s="6016" t="s">
        <v>46</v>
      </c>
      <c r="AL6" s="6016" t="s">
        <v>47</v>
      </c>
      <c r="AM6" s="6016" t="s">
        <v>357</v>
      </c>
      <c r="AN6" s="6016" t="s">
        <v>358</v>
      </c>
      <c r="AO6" s="6016" t="s">
        <v>445</v>
      </c>
      <c r="AP6" s="6023" t="s">
        <v>50</v>
      </c>
      <c r="AQ6" s="6024"/>
      <c r="AR6" s="6018" t="s">
        <v>445</v>
      </c>
      <c r="AS6" s="6023" t="s">
        <v>50</v>
      </c>
      <c r="AT6" s="6024"/>
      <c r="AU6" s="6018" t="s">
        <v>445</v>
      </c>
      <c r="AV6" s="6023" t="s">
        <v>50</v>
      </c>
      <c r="AW6" s="6024"/>
      <c r="AX6" s="6018" t="s">
        <v>445</v>
      </c>
      <c r="AY6" s="6023" t="s">
        <v>50</v>
      </c>
      <c r="AZ6" s="6024"/>
      <c r="BA6" s="6018" t="s">
        <v>445</v>
      </c>
      <c r="BB6" s="6011" t="s">
        <v>50</v>
      </c>
      <c r="BC6" s="6012"/>
      <c r="BD6" s="6012"/>
      <c r="BE6" s="6012"/>
      <c r="BF6" s="5533"/>
      <c r="BG6" s="5534"/>
      <c r="BH6" s="6018" t="s">
        <v>445</v>
      </c>
      <c r="BI6" s="6023" t="s">
        <v>50</v>
      </c>
      <c r="BJ6" s="6024"/>
      <c r="BK6" s="6018" t="s">
        <v>445</v>
      </c>
      <c r="BL6" s="6023" t="s">
        <v>50</v>
      </c>
      <c r="BM6" s="6025"/>
      <c r="BN6" s="6025"/>
      <c r="BO6" s="6024"/>
      <c r="BP6" s="6018" t="s">
        <v>445</v>
      </c>
      <c r="BQ6" s="6011" t="s">
        <v>50</v>
      </c>
      <c r="BR6" s="6012"/>
      <c r="BS6" s="6012"/>
      <c r="BT6" s="6012"/>
      <c r="BU6" s="5533"/>
      <c r="BV6" s="5534"/>
      <c r="BW6" s="6018" t="s">
        <v>445</v>
      </c>
      <c r="BX6" s="6011" t="s">
        <v>50</v>
      </c>
      <c r="BY6" s="6012"/>
      <c r="BZ6" s="5533"/>
      <c r="CA6" s="5534"/>
      <c r="CB6" s="6018" t="s">
        <v>445</v>
      </c>
      <c r="CC6" s="6011" t="s">
        <v>50</v>
      </c>
      <c r="CD6" s="6012"/>
      <c r="CE6" s="6012"/>
      <c r="CF6" s="6012"/>
      <c r="CG6" s="5533"/>
      <c r="CH6" s="5534"/>
      <c r="CI6" s="6018" t="s">
        <v>445</v>
      </c>
      <c r="CJ6" s="6011" t="s">
        <v>50</v>
      </c>
      <c r="CK6" s="6012"/>
      <c r="CL6" s="6012"/>
      <c r="CM6" s="6012"/>
      <c r="CN6" s="5533"/>
      <c r="CO6" s="5534"/>
      <c r="CP6" s="6018" t="s">
        <v>445</v>
      </c>
      <c r="CQ6" s="6011" t="s">
        <v>50</v>
      </c>
      <c r="CR6" s="6012"/>
      <c r="CS6" s="6012"/>
      <c r="CT6" s="6012"/>
      <c r="CU6" s="5533"/>
      <c r="CV6" s="5534"/>
      <c r="CW6" s="6018" t="s">
        <v>445</v>
      </c>
      <c r="CX6" s="6011" t="s">
        <v>50</v>
      </c>
      <c r="CY6" s="6012"/>
      <c r="CZ6" s="6012"/>
      <c r="DA6" s="6012"/>
      <c r="DB6" s="5533"/>
      <c r="DC6" s="5534"/>
      <c r="DD6" s="6040"/>
      <c r="DE6" s="6041"/>
      <c r="DF6" s="6018" t="s">
        <v>445</v>
      </c>
      <c r="DG6" s="6011" t="s">
        <v>50</v>
      </c>
      <c r="DH6" s="6012"/>
      <c r="DI6" s="6012"/>
      <c r="DJ6" s="6012"/>
      <c r="DK6" s="5533"/>
      <c r="DL6" s="5534"/>
      <c r="DM6" s="6018" t="s">
        <v>445</v>
      </c>
      <c r="DN6" s="6011" t="s">
        <v>50</v>
      </c>
      <c r="DO6" s="6012"/>
      <c r="DP6" s="6012"/>
      <c r="DQ6" s="6012"/>
      <c r="DR6" s="5533"/>
      <c r="DS6" s="5534"/>
      <c r="DT6" s="6018" t="s">
        <v>445</v>
      </c>
      <c r="DU6" s="6011" t="s">
        <v>50</v>
      </c>
      <c r="DV6" s="6012"/>
      <c r="DW6" s="6012"/>
      <c r="DX6" s="6012"/>
      <c r="DY6" s="5533"/>
      <c r="DZ6" s="5534"/>
      <c r="EA6" s="6018" t="s">
        <v>445</v>
      </c>
      <c r="EB6" s="6011" t="s">
        <v>50</v>
      </c>
      <c r="EC6" s="6012"/>
      <c r="ED6" s="6012"/>
      <c r="EE6" s="6012"/>
      <c r="EF6" s="5533"/>
      <c r="EG6" s="5534"/>
      <c r="EH6" s="6040"/>
      <c r="EI6" s="6041"/>
      <c r="EJ6" s="5846"/>
      <c r="EK6" s="6018" t="s">
        <v>445</v>
      </c>
      <c r="EL6" s="6011" t="s">
        <v>50</v>
      </c>
      <c r="EM6" s="6012"/>
      <c r="EN6" s="6012"/>
      <c r="EO6" s="6012"/>
      <c r="EP6" s="5533"/>
      <c r="EQ6" s="5534"/>
      <c r="ER6" s="6018" t="s">
        <v>445</v>
      </c>
      <c r="ES6" s="6011" t="s">
        <v>50</v>
      </c>
      <c r="ET6" s="6012"/>
      <c r="EU6" s="6012"/>
      <c r="EV6" s="6012"/>
      <c r="EW6" s="5533"/>
      <c r="EX6" s="5534"/>
      <c r="EY6" s="6018" t="s">
        <v>445</v>
      </c>
      <c r="EZ6" s="6011" t="s">
        <v>50</v>
      </c>
      <c r="FA6" s="6012"/>
      <c r="FB6" s="6012"/>
      <c r="FC6" s="6012"/>
      <c r="FD6" s="5533"/>
      <c r="FE6" s="5534"/>
      <c r="FF6" s="6018" t="s">
        <v>445</v>
      </c>
      <c r="FG6" s="6011" t="s">
        <v>50</v>
      </c>
      <c r="FH6" s="6012"/>
      <c r="FI6" s="6012"/>
      <c r="FJ6" s="6012"/>
      <c r="FK6" s="5533"/>
      <c r="FL6" s="5534"/>
      <c r="FM6" s="6011" t="s">
        <v>50</v>
      </c>
      <c r="FN6" s="6012"/>
      <c r="FO6" s="6011" t="s">
        <v>50</v>
      </c>
      <c r="FP6" s="6012"/>
      <c r="FQ6" s="6012"/>
      <c r="FR6" s="6012"/>
      <c r="FS6" s="6023" t="s">
        <v>50</v>
      </c>
      <c r="FT6" s="6025"/>
      <c r="FU6" s="6025"/>
      <c r="FV6" s="6024"/>
    </row>
    <row r="7" spans="1:178" s="2159" customFormat="1" ht="37.5" customHeight="1" x14ac:dyDescent="0.2">
      <c r="A7" s="6037"/>
      <c r="B7" s="6027"/>
      <c r="C7" s="6027"/>
      <c r="D7" s="6027"/>
      <c r="E7" s="6027"/>
      <c r="F7" s="6027"/>
      <c r="G7" s="6027"/>
      <c r="H7" s="6027"/>
      <c r="I7" s="6027"/>
      <c r="J7" s="6027"/>
      <c r="K7" s="6027"/>
      <c r="L7" s="6027"/>
      <c r="M7" s="6027"/>
      <c r="N7" s="6027"/>
      <c r="O7" s="6027"/>
      <c r="P7" s="6027"/>
      <c r="Q7" s="6027"/>
      <c r="R7" s="6027"/>
      <c r="S7" s="6027"/>
      <c r="T7" s="2160"/>
      <c r="U7" s="6017"/>
      <c r="V7" s="6017"/>
      <c r="W7" s="6017"/>
      <c r="X7" s="6017"/>
      <c r="Y7" s="6015"/>
      <c r="Z7" s="6015"/>
      <c r="AA7" s="6015"/>
      <c r="AB7" s="6027"/>
      <c r="AC7" s="6027"/>
      <c r="AD7" s="6017"/>
      <c r="AE7" s="6017"/>
      <c r="AF7" s="6017"/>
      <c r="AG7" s="6017"/>
      <c r="AH7" s="6015"/>
      <c r="AI7" s="6015"/>
      <c r="AJ7" s="6027"/>
      <c r="AK7" s="6017"/>
      <c r="AL7" s="6017"/>
      <c r="AM7" s="6017"/>
      <c r="AN7" s="6017"/>
      <c r="AO7" s="6017"/>
      <c r="AP7" s="2633" t="s">
        <v>357</v>
      </c>
      <c r="AQ7" s="2633" t="s">
        <v>358</v>
      </c>
      <c r="AR7" s="6019"/>
      <c r="AS7" s="2633" t="s">
        <v>357</v>
      </c>
      <c r="AT7" s="2633" t="s">
        <v>358</v>
      </c>
      <c r="AU7" s="6019"/>
      <c r="AV7" s="2633" t="s">
        <v>357</v>
      </c>
      <c r="AW7" s="2633" t="s">
        <v>358</v>
      </c>
      <c r="AX7" s="6019"/>
      <c r="AY7" s="2633" t="s">
        <v>357</v>
      </c>
      <c r="AZ7" s="2633" t="s">
        <v>358</v>
      </c>
      <c r="BA7" s="6019"/>
      <c r="BB7" s="2633" t="s">
        <v>357</v>
      </c>
      <c r="BC7" s="2633" t="s">
        <v>25</v>
      </c>
      <c r="BD7" s="2633" t="s">
        <v>358</v>
      </c>
      <c r="BE7" s="2633" t="s">
        <v>3536</v>
      </c>
      <c r="BF7" s="2632" t="s">
        <v>3535</v>
      </c>
      <c r="BG7" s="2632" t="s">
        <v>1928</v>
      </c>
      <c r="BH7" s="6019"/>
      <c r="BI7" s="2633" t="s">
        <v>357</v>
      </c>
      <c r="BJ7" s="2633" t="s">
        <v>358</v>
      </c>
      <c r="BK7" s="6019"/>
      <c r="BL7" s="2633" t="s">
        <v>357</v>
      </c>
      <c r="BM7" s="2633" t="s">
        <v>358</v>
      </c>
      <c r="BN7" s="2633" t="s">
        <v>1928</v>
      </c>
      <c r="BO7" s="2633" t="s">
        <v>1931</v>
      </c>
      <c r="BP7" s="6019"/>
      <c r="BQ7" s="2633" t="s">
        <v>357</v>
      </c>
      <c r="BR7" s="2633" t="s">
        <v>25</v>
      </c>
      <c r="BS7" s="2633" t="s">
        <v>358</v>
      </c>
      <c r="BT7" s="2633" t="s">
        <v>3536</v>
      </c>
      <c r="BU7" s="2632" t="s">
        <v>3535</v>
      </c>
      <c r="BV7" s="2632" t="s">
        <v>1928</v>
      </c>
      <c r="BW7" s="6019"/>
      <c r="BX7" s="2698" t="s">
        <v>357</v>
      </c>
      <c r="BY7" s="2698" t="s">
        <v>358</v>
      </c>
      <c r="BZ7" s="2698" t="s">
        <v>1928</v>
      </c>
      <c r="CA7" s="2698" t="s">
        <v>1931</v>
      </c>
      <c r="CB7" s="6019"/>
      <c r="CC7" s="2633" t="s">
        <v>357</v>
      </c>
      <c r="CD7" s="2633" t="s">
        <v>25</v>
      </c>
      <c r="CE7" s="2633" t="s">
        <v>358</v>
      </c>
      <c r="CF7" s="2633" t="s">
        <v>3536</v>
      </c>
      <c r="CG7" s="2632" t="s">
        <v>3535</v>
      </c>
      <c r="CH7" s="2632" t="s">
        <v>1928</v>
      </c>
      <c r="CI7" s="6019"/>
      <c r="CJ7" s="2633" t="s">
        <v>357</v>
      </c>
      <c r="CK7" s="2633" t="s">
        <v>25</v>
      </c>
      <c r="CL7" s="2633" t="s">
        <v>358</v>
      </c>
      <c r="CM7" s="2633" t="s">
        <v>3536</v>
      </c>
      <c r="CN7" s="2632" t="s">
        <v>3535</v>
      </c>
      <c r="CO7" s="2632" t="s">
        <v>1928</v>
      </c>
      <c r="CP7" s="6019"/>
      <c r="CQ7" s="2633" t="s">
        <v>357</v>
      </c>
      <c r="CR7" s="2633" t="s">
        <v>25</v>
      </c>
      <c r="CS7" s="2633" t="s">
        <v>358</v>
      </c>
      <c r="CT7" s="2633" t="s">
        <v>3536</v>
      </c>
      <c r="CU7" s="2632" t="s">
        <v>3535</v>
      </c>
      <c r="CV7" s="2632" t="s">
        <v>1928</v>
      </c>
      <c r="CW7" s="6019"/>
      <c r="CX7" s="3077" t="s">
        <v>357</v>
      </c>
      <c r="CY7" s="3077" t="s">
        <v>25</v>
      </c>
      <c r="CZ7" s="3077" t="s">
        <v>358</v>
      </c>
      <c r="DA7" s="3077" t="s">
        <v>3536</v>
      </c>
      <c r="DB7" s="3076" t="s">
        <v>3535</v>
      </c>
      <c r="DC7" s="3076" t="s">
        <v>1928</v>
      </c>
      <c r="DD7" s="3572" t="s">
        <v>357</v>
      </c>
      <c r="DE7" s="3572" t="s">
        <v>358</v>
      </c>
      <c r="DF7" s="6019"/>
      <c r="DG7" s="3558" t="s">
        <v>357</v>
      </c>
      <c r="DH7" s="3558" t="s">
        <v>25</v>
      </c>
      <c r="DI7" s="3558" t="s">
        <v>358</v>
      </c>
      <c r="DJ7" s="3558" t="s">
        <v>3536</v>
      </c>
      <c r="DK7" s="3557" t="s">
        <v>3535</v>
      </c>
      <c r="DL7" s="3557" t="s">
        <v>1928</v>
      </c>
      <c r="DM7" s="6019"/>
      <c r="DN7" s="3558" t="s">
        <v>357</v>
      </c>
      <c r="DO7" s="3558" t="s">
        <v>25</v>
      </c>
      <c r="DP7" s="3558" t="s">
        <v>358</v>
      </c>
      <c r="DQ7" s="3558" t="s">
        <v>3536</v>
      </c>
      <c r="DR7" s="3557" t="s">
        <v>3535</v>
      </c>
      <c r="DS7" s="3557" t="s">
        <v>1928</v>
      </c>
      <c r="DT7" s="6019"/>
      <c r="DU7" s="3558" t="s">
        <v>357</v>
      </c>
      <c r="DV7" s="3558" t="s">
        <v>25</v>
      </c>
      <c r="DW7" s="3558" t="s">
        <v>358</v>
      </c>
      <c r="DX7" s="3558" t="s">
        <v>3536</v>
      </c>
      <c r="DY7" s="3557" t="s">
        <v>3535</v>
      </c>
      <c r="DZ7" s="3557" t="s">
        <v>1928</v>
      </c>
      <c r="EA7" s="6019"/>
      <c r="EB7" s="3631" t="s">
        <v>357</v>
      </c>
      <c r="EC7" s="3631" t="s">
        <v>25</v>
      </c>
      <c r="ED7" s="3631" t="s">
        <v>358</v>
      </c>
      <c r="EE7" s="3631" t="s">
        <v>3536</v>
      </c>
      <c r="EF7" s="3630" t="s">
        <v>3535</v>
      </c>
      <c r="EG7" s="3630" t="s">
        <v>1928</v>
      </c>
      <c r="EH7" s="3631" t="s">
        <v>357</v>
      </c>
      <c r="EI7" s="3631" t="s">
        <v>358</v>
      </c>
      <c r="EJ7" s="5846"/>
      <c r="EK7" s="6019"/>
      <c r="EL7" s="3790" t="s">
        <v>357</v>
      </c>
      <c r="EM7" s="3790" t="s">
        <v>25</v>
      </c>
      <c r="EN7" s="3790" t="s">
        <v>358</v>
      </c>
      <c r="EO7" s="3790" t="s">
        <v>3536</v>
      </c>
      <c r="EP7" s="3789" t="s">
        <v>3535</v>
      </c>
      <c r="EQ7" s="3789" t="s">
        <v>1928</v>
      </c>
      <c r="ER7" s="6019"/>
      <c r="ES7" s="3790" t="s">
        <v>357</v>
      </c>
      <c r="ET7" s="3790" t="s">
        <v>25</v>
      </c>
      <c r="EU7" s="3790" t="s">
        <v>358</v>
      </c>
      <c r="EV7" s="3790" t="s">
        <v>3536</v>
      </c>
      <c r="EW7" s="3789" t="s">
        <v>3535</v>
      </c>
      <c r="EX7" s="3789" t="s">
        <v>1928</v>
      </c>
      <c r="EY7" s="6019"/>
      <c r="EZ7" s="3790" t="s">
        <v>357</v>
      </c>
      <c r="FA7" s="3790" t="s">
        <v>25</v>
      </c>
      <c r="FB7" s="3790" t="s">
        <v>358</v>
      </c>
      <c r="FC7" s="3790" t="s">
        <v>3536</v>
      </c>
      <c r="FD7" s="3789" t="s">
        <v>3535</v>
      </c>
      <c r="FE7" s="3789" t="s">
        <v>1928</v>
      </c>
      <c r="FF7" s="6019"/>
      <c r="FG7" s="3917" t="s">
        <v>357</v>
      </c>
      <c r="FH7" s="3917" t="s">
        <v>25</v>
      </c>
      <c r="FI7" s="3917" t="s">
        <v>358</v>
      </c>
      <c r="FJ7" s="3917" t="s">
        <v>3536</v>
      </c>
      <c r="FK7" s="3916" t="s">
        <v>3535</v>
      </c>
      <c r="FL7" s="3916" t="s">
        <v>1928</v>
      </c>
      <c r="FM7" s="4141" t="s">
        <v>357</v>
      </c>
      <c r="FN7" s="4141" t="s">
        <v>358</v>
      </c>
      <c r="FO7" s="4576" t="s">
        <v>357</v>
      </c>
      <c r="FP7" s="4576" t="s">
        <v>25</v>
      </c>
      <c r="FQ7" s="4576" t="s">
        <v>358</v>
      </c>
      <c r="FR7" s="4576" t="s">
        <v>3536</v>
      </c>
      <c r="FS7" s="4576" t="s">
        <v>357</v>
      </c>
      <c r="FT7" s="4576" t="s">
        <v>25</v>
      </c>
      <c r="FU7" s="4576" t="s">
        <v>358</v>
      </c>
      <c r="FV7" s="4576" t="s">
        <v>3536</v>
      </c>
    </row>
    <row r="8" spans="1:178" ht="24" customHeight="1" x14ac:dyDescent="0.2">
      <c r="A8" s="3234" t="s">
        <v>30</v>
      </c>
      <c r="B8" s="3110">
        <v>6</v>
      </c>
      <c r="C8" s="3110">
        <v>6.5</v>
      </c>
      <c r="D8" s="2139">
        <f>C8/B8*100</f>
        <v>108.33333333333333</v>
      </c>
      <c r="E8" s="3110">
        <v>13.7</v>
      </c>
      <c r="F8" s="2139">
        <f>E8/C8*100</f>
        <v>210.76923076923077</v>
      </c>
      <c r="G8" s="2140">
        <v>6.4</v>
      </c>
      <c r="H8" s="2139">
        <f>G8/E8*100</f>
        <v>46.715328467153292</v>
      </c>
      <c r="I8" s="2141">
        <v>9.8000000000000007</v>
      </c>
      <c r="J8" s="2141">
        <v>10.7</v>
      </c>
      <c r="K8" s="2141">
        <v>10.7</v>
      </c>
      <c r="L8" s="2140">
        <v>11.9</v>
      </c>
      <c r="M8" s="2139">
        <f>K8/G8*100</f>
        <v>167.18749999999997</v>
      </c>
      <c r="N8" s="2141">
        <v>11.224299999999998</v>
      </c>
      <c r="O8" s="2141">
        <v>34.700000000000003</v>
      </c>
      <c r="P8" s="2141">
        <v>51.447620000000001</v>
      </c>
      <c r="Q8" s="2140">
        <v>55.6</v>
      </c>
      <c r="R8" s="3110">
        <v>12.36</v>
      </c>
      <c r="S8" s="2142">
        <f>R8</f>
        <v>12.36</v>
      </c>
      <c r="T8" s="2143">
        <f>S8/N8</f>
        <v>1.1011822563545166</v>
      </c>
      <c r="U8" s="2144" t="e">
        <f>R8*#REF!</f>
        <v>#REF!</v>
      </c>
      <c r="V8" s="2144" t="e">
        <f>R8*#REF!</f>
        <v>#REF!</v>
      </c>
      <c r="W8" s="2144">
        <f>S8*$Y$56</f>
        <v>7.0573012718600943</v>
      </c>
      <c r="X8" s="2144">
        <f>S8*$Y$57</f>
        <v>5.0126530206677247</v>
      </c>
      <c r="Y8" s="2144">
        <v>111.34</v>
      </c>
      <c r="Z8" s="2144">
        <v>125.94</v>
      </c>
      <c r="AA8" s="2144">
        <v>144.41</v>
      </c>
      <c r="AB8" s="3110">
        <v>13.2</v>
      </c>
      <c r="AC8" s="2142">
        <f>S8/S13*AC13*1.049</f>
        <v>12.706327199999999</v>
      </c>
      <c r="AD8" s="2144">
        <f>AC8*$AG$56</f>
        <v>7.522135289083125</v>
      </c>
      <c r="AE8" s="2144">
        <f>AC8*$AG$57</f>
        <v>5.082539079462105</v>
      </c>
      <c r="AF8" s="3233">
        <f t="shared" ref="AF8:AF24" si="0">AD8/W8</f>
        <v>1.0658656899169778</v>
      </c>
      <c r="AG8" s="3233">
        <f t="shared" ref="AG8:AG24" si="1">AE8/X8</f>
        <v>1.0139419302525494</v>
      </c>
      <c r="AH8" s="2144">
        <v>3.67</v>
      </c>
      <c r="AI8" s="2144">
        <v>9</v>
      </c>
      <c r="AJ8" s="2142">
        <f>AA8/AA13*AJ13*1.1</f>
        <v>158.851</v>
      </c>
      <c r="AK8" s="2144">
        <f>AJ8*AI56</f>
        <v>94.675196</v>
      </c>
      <c r="AL8" s="2144">
        <f>AJ8*AI57</f>
        <v>64.175803999999999</v>
      </c>
      <c r="AM8" s="3233">
        <f t="shared" ref="AM8:AM19" si="2">AK8/AD8</f>
        <v>12.586212871949021</v>
      </c>
      <c r="AN8" s="3233">
        <f t="shared" ref="AN8:AN19" si="3">AL8/AE8</f>
        <v>12.626721210925121</v>
      </c>
      <c r="AO8" s="3235">
        <f>AI8/3*4*1.062</f>
        <v>12.744</v>
      </c>
      <c r="AP8" s="2144">
        <f>AO8*$AL$56</f>
        <v>6.9347111022409402</v>
      </c>
      <c r="AQ8" s="2144">
        <f>AO8*$AL$57</f>
        <v>5.7406127877638191</v>
      </c>
      <c r="AR8" s="2144">
        <f>AS8+AT8</f>
        <v>22.740000000000002</v>
      </c>
      <c r="AS8" s="2144">
        <v>13.42</v>
      </c>
      <c r="AT8" s="2144">
        <v>9.32</v>
      </c>
      <c r="AU8" s="2144">
        <f>AV8+AW8</f>
        <v>5.9642599999999995</v>
      </c>
      <c r="AV8" s="2144">
        <v>3.4592700000000001</v>
      </c>
      <c r="AW8" s="2144">
        <v>2.5049899999999998</v>
      </c>
      <c r="AX8" s="2144">
        <f>AY8+AZ8</f>
        <v>13.91</v>
      </c>
      <c r="AY8" s="2144">
        <v>8.2100000000000009</v>
      </c>
      <c r="AZ8" s="2144">
        <v>5.7</v>
      </c>
      <c r="BA8" s="2144">
        <f>SUM(BB8:BG8)</f>
        <v>79.072149999999993</v>
      </c>
      <c r="BB8" s="2144">
        <v>48.83</v>
      </c>
      <c r="BC8" s="2564">
        <v>3.9100000000000003E-3</v>
      </c>
      <c r="BD8" s="2144">
        <v>29.23</v>
      </c>
      <c r="BE8" s="2564">
        <v>2.955E-2</v>
      </c>
      <c r="BF8" s="2564">
        <v>0.48769000000000001</v>
      </c>
      <c r="BG8" s="2144">
        <v>0.49099999999999999</v>
      </c>
      <c r="BH8" s="2144">
        <f>BI8+BJ8</f>
        <v>14.33</v>
      </c>
      <c r="BI8" s="2144">
        <v>8.33</v>
      </c>
      <c r="BJ8" s="2144">
        <v>6</v>
      </c>
      <c r="BK8" s="2144">
        <v>14.33</v>
      </c>
      <c r="BL8" s="2144">
        <f>BK8*$BL$50</f>
        <v>8.3301039524426859</v>
      </c>
      <c r="BM8" s="2144">
        <f>BK8*$BM$50</f>
        <v>5.3938666568807951</v>
      </c>
      <c r="BN8" s="2144">
        <f>BK8*$BN$50</f>
        <v>0.57177231235186354</v>
      </c>
      <c r="BO8" s="2144">
        <f>BK8*$BO$50</f>
        <v>3.4257078324653648E-2</v>
      </c>
      <c r="BP8" s="2144">
        <f>SUM(BQ8:BV8)</f>
        <v>82.709468900000005</v>
      </c>
      <c r="BQ8" s="2144">
        <f>SUM(BB8*1.046)</f>
        <v>51.076180000000001</v>
      </c>
      <c r="BR8" s="2144">
        <f t="shared" ref="BR8:BV8" si="4">SUM(BC8*1.046)</f>
        <v>4.0898600000000007E-3</v>
      </c>
      <c r="BS8" s="2144">
        <f t="shared" si="4"/>
        <v>30.574580000000001</v>
      </c>
      <c r="BT8" s="2144">
        <f t="shared" si="4"/>
        <v>3.0909300000000001E-2</v>
      </c>
      <c r="BU8" s="2144">
        <f t="shared" si="4"/>
        <v>0.51012374000000005</v>
      </c>
      <c r="BV8" s="2144">
        <f t="shared" si="4"/>
        <v>0.51358599999999999</v>
      </c>
      <c r="BW8" s="2144">
        <f>SUM(BK8*1.03)*(1-0.01)</f>
        <v>14.612301</v>
      </c>
      <c r="BX8" s="2144">
        <f>BW8*BX50</f>
        <v>8.4942070003058081</v>
      </c>
      <c r="BY8" s="2144">
        <f>BW8*$BM$50</f>
        <v>5.5001258300213474</v>
      </c>
      <c r="BZ8" s="2144">
        <f>BW8*$BN$50</f>
        <v>0.5830362269051953</v>
      </c>
      <c r="CA8" s="2144">
        <f>BW8*$BO$50</f>
        <v>3.4931942767649327E-2</v>
      </c>
      <c r="CB8" s="2144">
        <f>SUM(CC8:CH8)</f>
        <v>11.074999999999999</v>
      </c>
      <c r="CC8" s="2144">
        <v>6.42</v>
      </c>
      <c r="CD8" s="2610">
        <v>2E-3</v>
      </c>
      <c r="CE8" s="2144">
        <v>4.4400000000000004</v>
      </c>
      <c r="CF8" s="2610">
        <v>1.2999999999999999E-2</v>
      </c>
      <c r="CG8" s="2144">
        <v>0</v>
      </c>
      <c r="CH8" s="2144">
        <v>0.2</v>
      </c>
      <c r="CI8" s="2144">
        <f>SUM(CJ8:CO8)</f>
        <v>18.981680000000001</v>
      </c>
      <c r="CJ8" s="2144">
        <v>11.15527</v>
      </c>
      <c r="CK8" s="2610">
        <v>2.8400000000000001E-3</v>
      </c>
      <c r="CL8" s="2144">
        <v>7.3879999999999999</v>
      </c>
      <c r="CM8" s="2610">
        <v>1.857E-2</v>
      </c>
      <c r="CN8" s="2144">
        <v>0</v>
      </c>
      <c r="CO8" s="2144">
        <v>0.41699999999999998</v>
      </c>
      <c r="CP8" s="2144">
        <f>SUM(CQ8:CV8)</f>
        <v>59.497999999999998</v>
      </c>
      <c r="CQ8" s="2144">
        <v>34.6</v>
      </c>
      <c r="CR8" s="2144">
        <v>8.0000000000000002E-3</v>
      </c>
      <c r="CS8" s="2144">
        <v>22.52</v>
      </c>
      <c r="CT8" s="2144">
        <v>7.0000000000000007E-2</v>
      </c>
      <c r="CU8" s="2144">
        <v>0</v>
      </c>
      <c r="CV8" s="2144">
        <v>2.2999999999999998</v>
      </c>
      <c r="CW8" s="2144">
        <f>SUM(CP8*1.046)*(1-0.01)</f>
        <v>61.612558919999998</v>
      </c>
      <c r="CX8" s="2144">
        <f>SUM(CW8*CX50)</f>
        <v>36.053909653927974</v>
      </c>
      <c r="CY8" s="2144">
        <f>SUM(CW8*CY50)</f>
        <v>1.004271458618379E-2</v>
      </c>
      <c r="CZ8" s="2144">
        <f>SUM(CW8*CZ50)</f>
        <v>23.896959082866115</v>
      </c>
      <c r="DA8" s="2144">
        <f>SUM(CW8*DA50)</f>
        <v>6.9131437899047757E-2</v>
      </c>
      <c r="DB8" s="2144">
        <f>SUM(CW8*DB50)</f>
        <v>0</v>
      </c>
      <c r="DC8" s="2144">
        <f>SUM(CW8*DC50)</f>
        <v>1.5825160307206727</v>
      </c>
      <c r="DD8" s="2112">
        <f>SUM(BL8*(1+0.032)*0.99*(1+0.036)*0.99)</f>
        <v>8.7289149696728607</v>
      </c>
      <c r="DE8" s="2112">
        <v>9.83</v>
      </c>
      <c r="DF8" s="2144">
        <f>SUM(DG8:DL8)</f>
        <v>10.761629999999998</v>
      </c>
      <c r="DG8" s="2144">
        <v>6.1326099999999997</v>
      </c>
      <c r="DH8" s="2610">
        <v>1.41E-3</v>
      </c>
      <c r="DI8" s="2144">
        <v>4.29345</v>
      </c>
      <c r="DJ8" s="2610">
        <v>1.3299999999999999E-2</v>
      </c>
      <c r="DK8" s="2144">
        <v>0</v>
      </c>
      <c r="DL8" s="2144">
        <v>0.32085999999999998</v>
      </c>
      <c r="DM8" s="2144">
        <f>SUM(DN8:DS8)</f>
        <v>17.291739999999997</v>
      </c>
      <c r="DN8" s="2144">
        <v>9.8195499999999996</v>
      </c>
      <c r="DO8" s="2610">
        <v>3.0200000000000001E-3</v>
      </c>
      <c r="DP8" s="2144">
        <v>6.9882900000000001</v>
      </c>
      <c r="DQ8" s="2610">
        <v>2.0879999999999999E-2</v>
      </c>
      <c r="DR8" s="2144">
        <v>0</v>
      </c>
      <c r="DS8" s="2144">
        <v>0.46</v>
      </c>
      <c r="DT8" s="2144">
        <f>SUM(DU8:DZ8)</f>
        <v>25.184000000000001</v>
      </c>
      <c r="DU8" s="2144">
        <v>14.33</v>
      </c>
      <c r="DV8" s="2144">
        <v>4.0000000000000001E-3</v>
      </c>
      <c r="DW8" s="2144">
        <v>10.26</v>
      </c>
      <c r="DX8" s="2144">
        <v>0.03</v>
      </c>
      <c r="DY8" s="2144">
        <v>0</v>
      </c>
      <c r="DZ8" s="2144">
        <v>0.56000000000000005</v>
      </c>
      <c r="EA8" s="2144">
        <f>SUM(DT8*1.05)*(1-0.01)</f>
        <v>26.178768000000002</v>
      </c>
      <c r="EB8" s="2144">
        <f>SUM(EA8*EB50)</f>
        <v>14.899522693511493</v>
      </c>
      <c r="EC8" s="2144">
        <f>SUM(EA8*EC50)</f>
        <v>3.6429165208566048E-3</v>
      </c>
      <c r="ED8" s="2144">
        <f>SUM(EA8*ED50)</f>
        <v>10.60653787834441</v>
      </c>
      <c r="EE8" s="2144">
        <f>SUM(EA8*EE50)</f>
        <v>2.9669540124095787E-2</v>
      </c>
      <c r="EF8" s="2144">
        <f>SUM(EA8*EF50)</f>
        <v>0</v>
      </c>
      <c r="EG8" s="2144">
        <f>SUM(EA8*EG50)</f>
        <v>0.63939497149913971</v>
      </c>
      <c r="EH8" s="2112">
        <f>SUM(BL8*(1+0.034)*0.99*1.06*0.99*(1+0.043)*0.99)</f>
        <v>9.2398882188565157</v>
      </c>
      <c r="EI8" s="2112">
        <f>SUM(BM8*(1+0.034)*0.99*1.06*0.99*(1+0.043)*0.99)</f>
        <v>5.9829655501935637</v>
      </c>
      <c r="EJ8" s="3952" t="s">
        <v>2054</v>
      </c>
      <c r="EK8" s="2144">
        <f>SUM(EL8:EQ8)</f>
        <v>7.8028699999999995</v>
      </c>
      <c r="EL8" s="2144">
        <v>4.51281</v>
      </c>
      <c r="EM8" s="2610">
        <v>9.5E-4</v>
      </c>
      <c r="EN8" s="2144">
        <v>3.2096200000000001</v>
      </c>
      <c r="EO8" s="2610">
        <v>7.6499999999999997E-3</v>
      </c>
      <c r="EP8" s="2144">
        <v>0</v>
      </c>
      <c r="EQ8" s="2144">
        <v>7.1840000000000001E-2</v>
      </c>
      <c r="ER8" s="2144">
        <f>SUM(ES8:EX8)</f>
        <v>10.967940000000002</v>
      </c>
      <c r="ES8" s="2144">
        <v>6.133</v>
      </c>
      <c r="ET8" s="2610">
        <v>1.34E-3</v>
      </c>
      <c r="EU8" s="2144">
        <v>4.3630000000000004</v>
      </c>
      <c r="EV8" s="2610">
        <v>1.06E-2</v>
      </c>
      <c r="EW8" s="2144">
        <v>0</v>
      </c>
      <c r="EX8" s="2144">
        <v>0.46</v>
      </c>
      <c r="EY8" s="2144">
        <v>15.869</v>
      </c>
      <c r="EZ8" s="2144">
        <v>8.8689999999999998</v>
      </c>
      <c r="FA8" s="2610">
        <v>1.8500000000000001E-3</v>
      </c>
      <c r="FB8" s="2144">
        <v>6.2759999999999998</v>
      </c>
      <c r="FC8" s="2144">
        <v>1.5779999999999999E-2</v>
      </c>
      <c r="FD8" s="3862">
        <v>0</v>
      </c>
      <c r="FE8" s="3862">
        <v>0.56000000000000005</v>
      </c>
      <c r="FF8" s="2447">
        <f>SUM(EY8*(1+0.1)*0.99*(1+0.05)*0.99)</f>
        <v>17.9639539695</v>
      </c>
      <c r="FG8" s="2447">
        <f t="shared" ref="FG8:FJ8" si="5">SUM(EZ8*(1+0.1)*0.99*(1+0.05)*0.99)</f>
        <v>10.039845469500001</v>
      </c>
      <c r="FH8" s="2447">
        <f t="shared" si="5"/>
        <v>2.0942286750000004E-3</v>
      </c>
      <c r="FI8" s="2447">
        <f t="shared" si="5"/>
        <v>7.1045292780000002</v>
      </c>
      <c r="FJ8" s="2447">
        <f t="shared" si="5"/>
        <v>1.7863204590000001E-2</v>
      </c>
      <c r="FK8" s="2447">
        <f>SUM(FF8*FK50)</f>
        <v>0</v>
      </c>
      <c r="FL8" s="2447">
        <f>SUM(FF8*FL50)</f>
        <v>0.36666235398603531</v>
      </c>
      <c r="FM8" s="3512">
        <f t="shared" ref="FM8:FN10" si="6">BL8*0.99*1.034*0.99*1.067*0.99*1.139*0.99*1.06</f>
        <v>10.658737016504258</v>
      </c>
      <c r="FN8" s="3512">
        <f t="shared" si="6"/>
        <v>6.9016913265439772</v>
      </c>
      <c r="FO8" s="4760">
        <v>16.092919999999999</v>
      </c>
      <c r="FP8" s="4761">
        <v>4.0899999999999999E-3</v>
      </c>
      <c r="FQ8" s="4760">
        <v>11.38932</v>
      </c>
      <c r="FR8" s="4761">
        <v>3.6240000000000001E-2</v>
      </c>
      <c r="FS8" s="4760">
        <v>17.665939999999999</v>
      </c>
      <c r="FT8" s="4761">
        <v>4.3800000000000002E-3</v>
      </c>
      <c r="FU8" s="4760">
        <v>12.55579</v>
      </c>
      <c r="FV8" s="4760">
        <v>3.9230000000000001E-2</v>
      </c>
    </row>
    <row r="9" spans="1:178" ht="24" customHeight="1" x14ac:dyDescent="0.2">
      <c r="A9" s="3234" t="s">
        <v>31</v>
      </c>
      <c r="B9" s="3110">
        <v>82.2</v>
      </c>
      <c r="C9" s="3110">
        <v>99.2</v>
      </c>
      <c r="D9" s="2139">
        <f>C9/B9*100</f>
        <v>120.68126520681265</v>
      </c>
      <c r="E9" s="3110">
        <v>80.400000000000006</v>
      </c>
      <c r="F9" s="2139">
        <f>E9/C9*100</f>
        <v>81.048387096774206</v>
      </c>
      <c r="G9" s="2140">
        <v>53.9</v>
      </c>
      <c r="H9" s="2139">
        <f>G9/E9*100</f>
        <v>67.039800995024862</v>
      </c>
      <c r="I9" s="2141">
        <v>99.9</v>
      </c>
      <c r="J9" s="2141">
        <v>44.9</v>
      </c>
      <c r="K9" s="2141">
        <f>J9/9*12</f>
        <v>59.866666666666667</v>
      </c>
      <c r="L9" s="2140">
        <v>52.1</v>
      </c>
      <c r="M9" s="2139">
        <f>K9/G9*100</f>
        <v>111.06988249845394</v>
      </c>
      <c r="N9" s="2141">
        <v>56.873333333333328</v>
      </c>
      <c r="O9" s="2140">
        <v>8.1</v>
      </c>
      <c r="P9" s="2140">
        <v>8.0765999999999991</v>
      </c>
      <c r="Q9" s="2140">
        <v>14.7</v>
      </c>
      <c r="R9" s="2140">
        <v>65</v>
      </c>
      <c r="S9" s="2140">
        <f>P9/9*12*1.03</f>
        <v>11.091863999999999</v>
      </c>
      <c r="T9" s="2143">
        <f>S9/N9</f>
        <v>0.19502749970695113</v>
      </c>
      <c r="U9" s="2144" t="e">
        <f>R9*#REF!</f>
        <v>#REF!</v>
      </c>
      <c r="V9" s="2144" t="e">
        <f>R9*#REF!</f>
        <v>#REF!</v>
      </c>
      <c r="W9" s="2144">
        <f>S9*$Y$56</f>
        <v>6.3332221613672486</v>
      </c>
      <c r="X9" s="2144">
        <f>S9*$Y$57</f>
        <v>4.4983548207472159</v>
      </c>
      <c r="Y9" s="2144"/>
      <c r="Z9" s="2144"/>
      <c r="AA9" s="2144"/>
      <c r="AB9" s="2140">
        <v>15.5</v>
      </c>
      <c r="AC9" s="2140">
        <f>AB9</f>
        <v>15.5</v>
      </c>
      <c r="AD9" s="2144">
        <f>AC9*$AG$56</f>
        <v>9.1759872971623508</v>
      </c>
      <c r="AE9" s="2144">
        <f>AC9*$AG$57</f>
        <v>6.2000100022343698</v>
      </c>
      <c r="AF9" s="3233">
        <f t="shared" si="0"/>
        <v>1.4488655321671822</v>
      </c>
      <c r="AG9" s="3233">
        <f t="shared" si="1"/>
        <v>1.3782838947338738</v>
      </c>
      <c r="AH9" s="2144">
        <v>0</v>
      </c>
      <c r="AI9" s="2144">
        <v>0</v>
      </c>
      <c r="AJ9" s="2140">
        <v>17.05</v>
      </c>
      <c r="AK9" s="2144">
        <f>AJ9*AI56</f>
        <v>10.161799999999999</v>
      </c>
      <c r="AL9" s="2144">
        <f>AJ9*AI57</f>
        <v>6.8882000000000003</v>
      </c>
      <c r="AM9" s="3233">
        <f t="shared" si="2"/>
        <v>1.1074339655137173</v>
      </c>
      <c r="AN9" s="3233">
        <f t="shared" si="3"/>
        <v>1.1109982076670231</v>
      </c>
      <c r="AO9" s="2567"/>
      <c r="AP9" s="2144">
        <f>AO9*$AL$56</f>
        <v>0</v>
      </c>
      <c r="AQ9" s="2144">
        <f>AO9*$AL$57</f>
        <v>0</v>
      </c>
      <c r="AR9" s="2144">
        <f t="shared" ref="AR9:AR48" si="7">AS9+AT9</f>
        <v>0</v>
      </c>
      <c r="AS9" s="2144">
        <v>0</v>
      </c>
      <c r="AT9" s="2144">
        <v>0</v>
      </c>
      <c r="AU9" s="2144">
        <f t="shared" ref="AU9:AU50" si="8">AV9+AW9</f>
        <v>0</v>
      </c>
      <c r="AV9" s="2144">
        <v>0</v>
      </c>
      <c r="AW9" s="2144">
        <v>0</v>
      </c>
      <c r="AX9" s="2144">
        <f t="shared" ref="AX9:AX11" si="9">AY9+AZ9</f>
        <v>0</v>
      </c>
      <c r="AY9" s="2144">
        <v>0</v>
      </c>
      <c r="AZ9" s="2144">
        <v>0</v>
      </c>
      <c r="BA9" s="2144">
        <f t="shared" ref="BA9:BA11" si="10">SUM(BB9:BG9)</f>
        <v>0</v>
      </c>
      <c r="BB9" s="2144">
        <v>0</v>
      </c>
      <c r="BC9" s="2564"/>
      <c r="BD9" s="2144">
        <v>0</v>
      </c>
      <c r="BE9" s="2564"/>
      <c r="BF9" s="2144"/>
      <c r="BG9" s="2144"/>
      <c r="BH9" s="2144">
        <f t="shared" ref="BH9:BH48" si="11">BI9+BJ9</f>
        <v>0</v>
      </c>
      <c r="BI9" s="2144">
        <v>0</v>
      </c>
      <c r="BJ9" s="2144">
        <v>0</v>
      </c>
      <c r="BK9" s="2144">
        <v>0</v>
      </c>
      <c r="BL9" s="2144">
        <f>BK9*$BL$50</f>
        <v>0</v>
      </c>
      <c r="BM9" s="2144">
        <f>BK9*$BM$50</f>
        <v>0</v>
      </c>
      <c r="BN9" s="2144">
        <f>BK9*$BN$50</f>
        <v>0</v>
      </c>
      <c r="BO9" s="2144">
        <f>BK9*$BO$50</f>
        <v>0</v>
      </c>
      <c r="BP9" s="2144">
        <f t="shared" ref="BP9" si="12">SUM(BQ9:BV9)</f>
        <v>0</v>
      </c>
      <c r="BQ9" s="2144">
        <v>0</v>
      </c>
      <c r="BR9" s="2564"/>
      <c r="BS9" s="2144">
        <v>0</v>
      </c>
      <c r="BT9" s="2564"/>
      <c r="BU9" s="2144"/>
      <c r="BV9" s="2144"/>
      <c r="BW9" s="2144">
        <f>SUM(BK9*1.03)*(1-0.01)</f>
        <v>0</v>
      </c>
      <c r="BX9" s="2144">
        <f>BW9*$BL$50</f>
        <v>0</v>
      </c>
      <c r="BY9" s="2144">
        <f>BW9*$BM$50</f>
        <v>0</v>
      </c>
      <c r="BZ9" s="2144">
        <f>BW9*$BN$50</f>
        <v>0</v>
      </c>
      <c r="CA9" s="2144">
        <f>BW9*$BO$50</f>
        <v>0</v>
      </c>
      <c r="CB9" s="2144">
        <f t="shared" ref="CB9:CB11" si="13">SUM(CC9:CH9)</f>
        <v>0</v>
      </c>
      <c r="CC9" s="2144">
        <v>0</v>
      </c>
      <c r="CD9" s="2610">
        <v>0</v>
      </c>
      <c r="CE9" s="2144">
        <v>0</v>
      </c>
      <c r="CF9" s="2144">
        <v>0</v>
      </c>
      <c r="CG9" s="2144">
        <v>0</v>
      </c>
      <c r="CH9" s="2144">
        <v>0</v>
      </c>
      <c r="CI9" s="2144">
        <f t="shared" ref="CI9:CI11" si="14">SUM(CJ9:CO9)</f>
        <v>0</v>
      </c>
      <c r="CJ9" s="2144">
        <v>0</v>
      </c>
      <c r="CK9" s="2144">
        <v>0</v>
      </c>
      <c r="CL9" s="2144">
        <v>0</v>
      </c>
      <c r="CM9" s="2144">
        <v>0</v>
      </c>
      <c r="CN9" s="2144">
        <v>0</v>
      </c>
      <c r="CO9" s="2144">
        <v>0</v>
      </c>
      <c r="CP9" s="2144">
        <f t="shared" ref="CP9:CP11" si="15">SUM(CQ9:CV9)</f>
        <v>0</v>
      </c>
      <c r="CQ9" s="2144">
        <v>0</v>
      </c>
      <c r="CR9" s="2144">
        <v>0</v>
      </c>
      <c r="CS9" s="2144">
        <v>0</v>
      </c>
      <c r="CT9" s="2144">
        <v>0</v>
      </c>
      <c r="CU9" s="2144">
        <v>0</v>
      </c>
      <c r="CV9" s="2144">
        <v>0</v>
      </c>
      <c r="CW9" s="2144">
        <f>SUM(CP9*1.046)*(1-0.01)</f>
        <v>0</v>
      </c>
      <c r="CX9" s="2144">
        <f>SUM(CW9*CX50)</f>
        <v>0</v>
      </c>
      <c r="CY9" s="2144">
        <f>SUM(CW9*CY50)</f>
        <v>0</v>
      </c>
      <c r="CZ9" s="2144">
        <f>SUM(CW9*CZ50)</f>
        <v>0</v>
      </c>
      <c r="DA9" s="2144">
        <f>SUM(CW9*DA50)</f>
        <v>0</v>
      </c>
      <c r="DB9" s="2144">
        <f>SUM(CW9*DB50)</f>
        <v>0</v>
      </c>
      <c r="DC9" s="2144">
        <f>SUM(CW9*DC50)</f>
        <v>0</v>
      </c>
      <c r="DD9" s="2112">
        <f>SUM(BL9*(1+0.032)*0.99*(1+0.036)*0.99)</f>
        <v>0</v>
      </c>
      <c r="DE9" s="2112">
        <f>SUM(BM9*(1+0.032)*0.99*(1+0.036)*0.99)</f>
        <v>0</v>
      </c>
      <c r="DF9" s="2144">
        <f t="shared" ref="DF9:DF11" si="16">SUM(DG9:DL9)</f>
        <v>0</v>
      </c>
      <c r="DG9" s="2144">
        <v>0</v>
      </c>
      <c r="DH9" s="2610">
        <v>0</v>
      </c>
      <c r="DI9" s="2144">
        <v>0</v>
      </c>
      <c r="DJ9" s="2144">
        <v>0</v>
      </c>
      <c r="DK9" s="2144">
        <v>0</v>
      </c>
      <c r="DL9" s="2144">
        <v>0</v>
      </c>
      <c r="DM9" s="2144">
        <f t="shared" ref="DM9:DM11" si="17">SUM(DN9:DS9)</f>
        <v>0</v>
      </c>
      <c r="DN9" s="2144">
        <v>0</v>
      </c>
      <c r="DO9" s="2144">
        <v>0</v>
      </c>
      <c r="DP9" s="2144">
        <v>0</v>
      </c>
      <c r="DQ9" s="2144">
        <v>0</v>
      </c>
      <c r="DR9" s="2144">
        <v>0</v>
      </c>
      <c r="DS9" s="2144">
        <v>0</v>
      </c>
      <c r="DT9" s="2144">
        <f t="shared" ref="DT9:DT11" si="18">SUM(DU9:DZ9)</f>
        <v>0</v>
      </c>
      <c r="DU9" s="2144">
        <v>0</v>
      </c>
      <c r="DV9" s="2144">
        <v>0</v>
      </c>
      <c r="DW9" s="2144">
        <v>0</v>
      </c>
      <c r="DX9" s="2144">
        <v>0</v>
      </c>
      <c r="DY9" s="2144">
        <v>0</v>
      </c>
      <c r="DZ9" s="2144">
        <v>0</v>
      </c>
      <c r="EA9" s="2144">
        <f>SUM(DT9*1.05)*(1-0.01)</f>
        <v>0</v>
      </c>
      <c r="EB9" s="2144">
        <f>SUM(EA9*EB50)</f>
        <v>0</v>
      </c>
      <c r="EC9" s="2144">
        <f>SUM(EA9*EC50)</f>
        <v>0</v>
      </c>
      <c r="ED9" s="2144">
        <f>SUM(EA9*ED50)</f>
        <v>0</v>
      </c>
      <c r="EE9" s="2144">
        <f>SUM(EA9*EE50)</f>
        <v>0</v>
      </c>
      <c r="EF9" s="2144">
        <f>SUM(EA9*EF50)</f>
        <v>0</v>
      </c>
      <c r="EG9" s="2144">
        <f>SUM(EA9*EG50)</f>
        <v>0</v>
      </c>
      <c r="EH9" s="2112">
        <f>SUM(BL9*(1+0.034)*0.99*1.06*0.99*(1+0.043)*0.99)</f>
        <v>0</v>
      </c>
      <c r="EI9" s="2112">
        <f>SUM(BM9*(1+0.034)*0.99*1.06*0.99*(1+0.043)*0.99)</f>
        <v>0</v>
      </c>
      <c r="EJ9" s="3952"/>
      <c r="EK9" s="2144">
        <f t="shared" ref="EK9:EK11" si="19">SUM(EL9:EQ9)</f>
        <v>0</v>
      </c>
      <c r="EL9" s="2144">
        <v>0</v>
      </c>
      <c r="EM9" s="2610">
        <v>0</v>
      </c>
      <c r="EN9" s="2144">
        <v>0</v>
      </c>
      <c r="EO9" s="2144">
        <v>0</v>
      </c>
      <c r="EP9" s="2144">
        <v>0</v>
      </c>
      <c r="EQ9" s="2144">
        <v>0</v>
      </c>
      <c r="ER9" s="2144">
        <f t="shared" ref="ER9:ER11" si="20">SUM(ES9:EX9)</f>
        <v>0</v>
      </c>
      <c r="ES9" s="2144">
        <v>0</v>
      </c>
      <c r="ET9" s="2144">
        <v>0</v>
      </c>
      <c r="EU9" s="2144">
        <v>0</v>
      </c>
      <c r="EV9" s="2144">
        <v>0</v>
      </c>
      <c r="EW9" s="2144">
        <v>0</v>
      </c>
      <c r="EX9" s="2144">
        <v>0</v>
      </c>
      <c r="EY9" s="2144">
        <f t="shared" ref="EY9" si="21">SUM(EZ9:FE9)</f>
        <v>0</v>
      </c>
      <c r="EZ9" s="2144">
        <v>0</v>
      </c>
      <c r="FA9" s="2144">
        <v>0</v>
      </c>
      <c r="FB9" s="2144">
        <v>0</v>
      </c>
      <c r="FC9" s="2144">
        <v>0</v>
      </c>
      <c r="FD9" s="3862">
        <v>0</v>
      </c>
      <c r="FE9" s="3862">
        <v>0</v>
      </c>
      <c r="FF9" s="2447">
        <f>SUM(EY9*1.05)*(1-0.01)</f>
        <v>0</v>
      </c>
      <c r="FG9" s="2447">
        <f>SUM(FF9*FG50)</f>
        <v>0</v>
      </c>
      <c r="FH9" s="2447">
        <f>SUM(FF9*FH50)</f>
        <v>0</v>
      </c>
      <c r="FI9" s="2447">
        <f>SUM(FF9*FI50)</f>
        <v>0</v>
      </c>
      <c r="FJ9" s="2447">
        <f>SUM(FF9*FJ50)</f>
        <v>0</v>
      </c>
      <c r="FK9" s="2447">
        <f>SUM(FF9*FK50)</f>
        <v>0</v>
      </c>
      <c r="FL9" s="2447">
        <f>SUM(FF9*FL50)</f>
        <v>0</v>
      </c>
      <c r="FM9" s="3512">
        <f t="shared" si="6"/>
        <v>0</v>
      </c>
      <c r="FN9" s="3512">
        <f t="shared" si="6"/>
        <v>0</v>
      </c>
      <c r="FO9" s="4760">
        <v>0</v>
      </c>
      <c r="FP9" s="4761">
        <v>0</v>
      </c>
      <c r="FQ9" s="4760">
        <v>0</v>
      </c>
      <c r="FR9" s="4760">
        <v>0</v>
      </c>
      <c r="FS9" s="4760">
        <v>0</v>
      </c>
      <c r="FT9" s="4760">
        <v>0</v>
      </c>
      <c r="FU9" s="4760">
        <v>0</v>
      </c>
      <c r="FV9" s="4760">
        <v>0</v>
      </c>
    </row>
    <row r="10" spans="1:178" ht="24" customHeight="1" x14ac:dyDescent="0.2">
      <c r="A10" s="3234" t="s">
        <v>297</v>
      </c>
      <c r="B10" s="3110">
        <v>10325.299999999999</v>
      </c>
      <c r="C10" s="3110">
        <v>12193.1</v>
      </c>
      <c r="D10" s="2139">
        <f>C10/B10*100</f>
        <v>118.089547034953</v>
      </c>
      <c r="E10" s="3110">
        <v>12095</v>
      </c>
      <c r="F10" s="2139">
        <f>E10/C10*100</f>
        <v>99.19544660504711</v>
      </c>
      <c r="G10" s="2140">
        <v>12881.2</v>
      </c>
      <c r="H10" s="2139">
        <f>G10/E10*100</f>
        <v>106.50020669698223</v>
      </c>
      <c r="I10" s="2141">
        <v>12960.8</v>
      </c>
      <c r="J10" s="2141">
        <v>10117.200000000001</v>
      </c>
      <c r="K10" s="2141">
        <v>14921</v>
      </c>
      <c r="L10" s="2141">
        <v>14265.4</v>
      </c>
      <c r="M10" s="2139">
        <f>K10/G10*100</f>
        <v>115.83548116635096</v>
      </c>
      <c r="N10" s="2141">
        <v>13881.016799999999</v>
      </c>
      <c r="O10" s="2141">
        <v>8199.1</v>
      </c>
      <c r="P10" s="2141">
        <v>12742.602274999999</v>
      </c>
      <c r="Q10" s="2141">
        <v>17158.3</v>
      </c>
      <c r="R10" s="2141">
        <v>18101.8</v>
      </c>
      <c r="S10" s="2141">
        <f>N10*1.056</f>
        <v>14658.353740799999</v>
      </c>
      <c r="T10" s="2143">
        <f>S10/N10</f>
        <v>1.056</v>
      </c>
      <c r="U10" s="2144" t="e">
        <f>R10*#REF!</f>
        <v>#REF!</v>
      </c>
      <c r="V10" s="2144" t="e">
        <f>R10*#REF!</f>
        <v>#REF!</v>
      </c>
      <c r="W10" s="2144">
        <f>S10*$Y$56</f>
        <v>8369.6131471135122</v>
      </c>
      <c r="X10" s="2144">
        <f>S10*$Y$57</f>
        <v>5944.7606113945931</v>
      </c>
      <c r="Y10" s="2144">
        <v>7870.29</v>
      </c>
      <c r="Z10" s="2144">
        <v>11609.64</v>
      </c>
      <c r="AA10" s="2144">
        <v>15326</v>
      </c>
      <c r="AB10" s="2141">
        <v>17000</v>
      </c>
      <c r="AC10" s="2141">
        <f>AC14*AC13*12/1000</f>
        <v>15327.654172604925</v>
      </c>
      <c r="AD10" s="2141">
        <f>AD14*AD13*12/1000</f>
        <v>9073.958708588405</v>
      </c>
      <c r="AE10" s="2141">
        <f>AE14*AE13*12/1000</f>
        <v>6131.07156006064</v>
      </c>
      <c r="AF10" s="3233">
        <f t="shared" si="0"/>
        <v>1.0841550916505389</v>
      </c>
      <c r="AG10" s="3233">
        <f t="shared" si="1"/>
        <v>1.0313403618488752</v>
      </c>
      <c r="AH10" s="2144">
        <v>7441.55</v>
      </c>
      <c r="AI10" s="2144">
        <v>11108.4</v>
      </c>
      <c r="AJ10" s="2141">
        <v>18700</v>
      </c>
      <c r="AK10" s="2141">
        <f>AK14*AK13*12/1000</f>
        <v>11145.2</v>
      </c>
      <c r="AL10" s="2141">
        <f>AL14*AL13*12/1000</f>
        <v>7554.8000000000011</v>
      </c>
      <c r="AM10" s="3233">
        <f t="shared" si="2"/>
        <v>1.2282621464269159</v>
      </c>
      <c r="AN10" s="3233">
        <f t="shared" si="3"/>
        <v>1.2322152703638121</v>
      </c>
      <c r="AO10" s="2183">
        <f>AO13*AO14*12/1000</f>
        <v>16797.857736099682</v>
      </c>
      <c r="AP10" s="2144">
        <f>AO10*$AL$56</f>
        <v>9140.6379893592548</v>
      </c>
      <c r="AQ10" s="2144">
        <f>AO10*$AL$57</f>
        <v>7566.6978128445726</v>
      </c>
      <c r="AR10" s="2144">
        <f t="shared" si="7"/>
        <v>13787.45</v>
      </c>
      <c r="AS10" s="2144">
        <v>8134.6</v>
      </c>
      <c r="AT10" s="2144">
        <v>5652.85</v>
      </c>
      <c r="AU10" s="2144">
        <f t="shared" si="8"/>
        <v>15420.200430000001</v>
      </c>
      <c r="AV10" s="2144">
        <v>8943.7186999999994</v>
      </c>
      <c r="AW10" s="2144">
        <v>6476.4817300000004</v>
      </c>
      <c r="AX10" s="2144">
        <f t="shared" si="9"/>
        <v>18337.8</v>
      </c>
      <c r="AY10" s="2144">
        <v>10819.3</v>
      </c>
      <c r="AZ10" s="2144">
        <v>7518.5</v>
      </c>
      <c r="BA10" s="2144">
        <f t="shared" si="10"/>
        <v>15644.677999999998</v>
      </c>
      <c r="BB10" s="2144">
        <v>9213.2559999999994</v>
      </c>
      <c r="BC10" s="2610">
        <v>0.39900000000000002</v>
      </c>
      <c r="BD10" s="2144">
        <v>6359.1220000000003</v>
      </c>
      <c r="BE10" s="2610">
        <v>3.0249999999999999</v>
      </c>
      <c r="BF10" s="2610">
        <v>29.013000000000002</v>
      </c>
      <c r="BG10" s="2144">
        <v>39.863</v>
      </c>
      <c r="BH10" s="2144">
        <f t="shared" si="11"/>
        <v>21200.989999999998</v>
      </c>
      <c r="BI10" s="2144">
        <v>12319.34</v>
      </c>
      <c r="BJ10" s="2144">
        <v>8881.65</v>
      </c>
      <c r="BK10" s="2144">
        <f>BK13*BK14*12/1000</f>
        <v>16565.02695032406</v>
      </c>
      <c r="BL10" s="2144">
        <f>BK10*$BL$50</f>
        <v>9629.3368088774641</v>
      </c>
      <c r="BM10" s="2144">
        <f>BK10*$BM$50</f>
        <v>6235.1393257281725</v>
      </c>
      <c r="BN10" s="2144">
        <f>BK10*$BN$50</f>
        <v>660.95071622873184</v>
      </c>
      <c r="BO10" s="2144">
        <f>BK10*$BO$50</f>
        <v>39.600099489689455</v>
      </c>
      <c r="BP10" s="2144">
        <f>BP13*BP14*12/1000</f>
        <v>17993.441966578928</v>
      </c>
      <c r="BQ10" s="2144">
        <f t="shared" ref="BQ10:BV10" si="22">BQ13*BQ14*12/1000</f>
        <v>10069.6632635188</v>
      </c>
      <c r="BR10" s="2144">
        <f t="shared" si="22"/>
        <v>33.321188826998011</v>
      </c>
      <c r="BS10" s="2144">
        <f t="shared" si="22"/>
        <v>7190.7125488661713</v>
      </c>
      <c r="BT10" s="2144">
        <f t="shared" si="22"/>
        <v>199.92713296198806</v>
      </c>
      <c r="BU10" s="2144">
        <f t="shared" si="22"/>
        <v>466.49664357797218</v>
      </c>
      <c r="BV10" s="2144">
        <f t="shared" si="22"/>
        <v>33.321188826998011</v>
      </c>
      <c r="BW10" s="2144">
        <f>BW13*BW14*12/1000</f>
        <v>16891.357981245445</v>
      </c>
      <c r="BX10" s="2144">
        <f>BW10*$BL$50</f>
        <v>9819.0347440123514</v>
      </c>
      <c r="BY10" s="2144">
        <f>BW10*$BM$50</f>
        <v>6357.9715704450173</v>
      </c>
      <c r="BZ10" s="2144">
        <f>BW10*$BN$50</f>
        <v>673.97144533843777</v>
      </c>
      <c r="CA10" s="2144">
        <f>BW10*$BO$50</f>
        <v>40.380221449636338</v>
      </c>
      <c r="CB10" s="2144">
        <f t="shared" si="13"/>
        <v>8046.07</v>
      </c>
      <c r="CC10" s="2144">
        <v>4690.5</v>
      </c>
      <c r="CD10" s="2144">
        <v>1.4</v>
      </c>
      <c r="CE10" s="2144">
        <v>3199.92</v>
      </c>
      <c r="CF10" s="2144">
        <v>10.26</v>
      </c>
      <c r="CG10" s="2144">
        <v>0</v>
      </c>
      <c r="CH10" s="2144">
        <v>143.99</v>
      </c>
      <c r="CI10" s="2144">
        <f t="shared" si="14"/>
        <v>12135.712819999999</v>
      </c>
      <c r="CJ10" s="2144">
        <v>7130.2349999999997</v>
      </c>
      <c r="CK10" s="2144">
        <v>2.0880100000000001</v>
      </c>
      <c r="CL10" s="2144">
        <v>4745.192</v>
      </c>
      <c r="CM10" s="2144">
        <v>13.243</v>
      </c>
      <c r="CN10" s="2144">
        <v>0</v>
      </c>
      <c r="CO10" s="2144">
        <v>244.95481000000001</v>
      </c>
      <c r="CP10" s="2144">
        <f t="shared" si="15"/>
        <v>16447.82</v>
      </c>
      <c r="CQ10" s="2144">
        <v>9625.34</v>
      </c>
      <c r="CR10" s="2144">
        <v>2.69</v>
      </c>
      <c r="CS10" s="2144">
        <v>6376.49</v>
      </c>
      <c r="CT10" s="2144">
        <v>18.46</v>
      </c>
      <c r="CU10" s="2144">
        <v>0</v>
      </c>
      <c r="CV10" s="2144">
        <v>424.84</v>
      </c>
      <c r="CW10" s="2144">
        <f>CW13*CW14*12/1000</f>
        <v>18164.43364558732</v>
      </c>
      <c r="CX10" s="2144">
        <f t="shared" ref="CX10:DC10" si="23">CX13*CX14*12/1000</f>
        <v>10629.910209755304</v>
      </c>
      <c r="CY10" s="2144">
        <f t="shared" si="23"/>
        <v>2.9707478867491193</v>
      </c>
      <c r="CZ10" s="2144">
        <f t="shared" si="23"/>
        <v>7041.9866886159443</v>
      </c>
      <c r="DA10" s="2144">
        <f t="shared" si="23"/>
        <v>20.386619326910317</v>
      </c>
      <c r="DB10" s="2144">
        <f t="shared" si="23"/>
        <v>0</v>
      </c>
      <c r="DC10" s="2144">
        <f t="shared" si="23"/>
        <v>469.1793800024148</v>
      </c>
      <c r="DD10" s="2144">
        <f t="shared" ref="DD10:DE10" si="24">DD13*DD14*12/1000</f>
        <v>10090.349736198048</v>
      </c>
      <c r="DE10" s="2144">
        <f t="shared" si="24"/>
        <v>6533.6520779413477</v>
      </c>
      <c r="DF10" s="2144">
        <f t="shared" si="16"/>
        <v>7807.15769</v>
      </c>
      <c r="DG10" s="2144">
        <v>4429.9510300000002</v>
      </c>
      <c r="DH10" s="2144">
        <v>1.10724</v>
      </c>
      <c r="DI10" s="2144">
        <v>3145.3210399999998</v>
      </c>
      <c r="DJ10" s="2144">
        <v>8.6104699999999994</v>
      </c>
      <c r="DK10" s="2144">
        <v>0</v>
      </c>
      <c r="DL10" s="2144">
        <v>222.16791000000001</v>
      </c>
      <c r="DM10" s="2144">
        <f t="shared" si="17"/>
        <v>11728.88402</v>
      </c>
      <c r="DN10" s="2144">
        <v>6664.1657800000003</v>
      </c>
      <c r="DO10" s="2144">
        <v>1.87256</v>
      </c>
      <c r="DP10" s="2144">
        <v>4716.8709500000004</v>
      </c>
      <c r="DQ10" s="2144">
        <v>12.85417</v>
      </c>
      <c r="DR10" s="2144">
        <v>0</v>
      </c>
      <c r="DS10" s="2144">
        <v>333.12056000000001</v>
      </c>
      <c r="DT10" s="2144">
        <f t="shared" si="18"/>
        <v>15691.832000000002</v>
      </c>
      <c r="DU10" s="2144">
        <v>8928.6200000000008</v>
      </c>
      <c r="DV10" s="2144">
        <v>2.2000000000000002</v>
      </c>
      <c r="DW10" s="2144">
        <v>6359.2520000000004</v>
      </c>
      <c r="DX10" s="2144">
        <v>17.78</v>
      </c>
      <c r="DY10" s="2144">
        <v>0</v>
      </c>
      <c r="DZ10" s="2144">
        <v>383.98</v>
      </c>
      <c r="EA10" s="2144">
        <f>EA13*EA14*12/1000</f>
        <v>18043.736751757071</v>
      </c>
      <c r="EB10" s="2144">
        <f t="shared" ref="EB10:EI10" si="25">EB13*EB14*12/1000</f>
        <v>10266.848946411941</v>
      </c>
      <c r="EC10" s="2144">
        <f t="shared" si="25"/>
        <v>2.5297378186221686</v>
      </c>
      <c r="ED10" s="2144">
        <f t="shared" si="25"/>
        <v>7312.381946613029</v>
      </c>
      <c r="EE10" s="2144">
        <f t="shared" si="25"/>
        <v>20.444881097773713</v>
      </c>
      <c r="EF10" s="2144">
        <f t="shared" si="25"/>
        <v>0</v>
      </c>
      <c r="EG10" s="2144">
        <f t="shared" si="25"/>
        <v>441.53123981570019</v>
      </c>
      <c r="EH10" s="2144">
        <f t="shared" si="25"/>
        <v>10681.01865759525</v>
      </c>
      <c r="EI10" s="2144">
        <f t="shared" si="25"/>
        <v>6916.1190217597241</v>
      </c>
      <c r="EJ10" s="3952"/>
      <c r="EK10" s="2144">
        <f t="shared" si="19"/>
        <v>9672.0788499999999</v>
      </c>
      <c r="EL10" s="2144">
        <v>5590.5257199999996</v>
      </c>
      <c r="EM10" s="2144">
        <v>1.1147100000000001</v>
      </c>
      <c r="EN10" s="2144">
        <v>3986.37779</v>
      </c>
      <c r="EO10" s="2144">
        <v>8.9281000000000006</v>
      </c>
      <c r="EP10" s="2144">
        <v>0</v>
      </c>
      <c r="EQ10" s="2144">
        <v>85.132530000000003</v>
      </c>
      <c r="ER10" s="2144">
        <v>14519.166999999999</v>
      </c>
      <c r="ES10" s="2144">
        <v>8091.4759999999997</v>
      </c>
      <c r="ET10" s="2144">
        <v>1.72</v>
      </c>
      <c r="EU10" s="2144">
        <v>5770.92</v>
      </c>
      <c r="EV10" s="2144">
        <v>13.416</v>
      </c>
      <c r="EW10" s="2144">
        <v>0</v>
      </c>
      <c r="EX10" s="2144">
        <v>333.12056000000001</v>
      </c>
      <c r="EY10" s="2144">
        <v>18698.147000000001</v>
      </c>
      <c r="EZ10" s="2144">
        <v>10419.065000000001</v>
      </c>
      <c r="FA10" s="2144">
        <v>2.1920000000000002</v>
      </c>
      <c r="FB10" s="2144">
        <v>7419.3609999999999</v>
      </c>
      <c r="FC10" s="2144">
        <v>17.667999999999999</v>
      </c>
      <c r="FD10" s="3862">
        <v>0</v>
      </c>
      <c r="FE10" s="3862">
        <v>383.98</v>
      </c>
      <c r="FF10" s="2447">
        <f>FF13*FF14*12/1000</f>
        <v>20650.527867123008</v>
      </c>
      <c r="FG10" s="2447">
        <f t="shared" ref="FG10:FL10" si="26">FG13*FG14*12/1000</f>
        <v>11794.543075507503</v>
      </c>
      <c r="FH10" s="2447">
        <f t="shared" si="26"/>
        <v>2.4813779760000005</v>
      </c>
      <c r="FI10" s="2447">
        <f t="shared" si="26"/>
        <v>8398.8316520954995</v>
      </c>
      <c r="FJ10" s="2447">
        <f t="shared" si="26"/>
        <v>20.000449854000003</v>
      </c>
      <c r="FK10" s="2447">
        <f t="shared" si="26"/>
        <v>0</v>
      </c>
      <c r="FL10" s="2447">
        <f t="shared" si="26"/>
        <v>434.67131168999998</v>
      </c>
      <c r="FM10" s="3512">
        <f t="shared" si="6"/>
        <v>12321.163010105349</v>
      </c>
      <c r="FN10" s="3512">
        <f t="shared" si="6"/>
        <v>7978.1369732741668</v>
      </c>
      <c r="FO10" s="4760">
        <v>5485.9591399999999</v>
      </c>
      <c r="FP10" s="4760">
        <v>1.28013</v>
      </c>
      <c r="FQ10" s="4760">
        <v>3844.4468700000002</v>
      </c>
      <c r="FR10" s="4760">
        <v>9.6872100000000003</v>
      </c>
      <c r="FS10" s="4760">
        <v>10990.49908</v>
      </c>
      <c r="FT10" s="4760">
        <v>1.75265</v>
      </c>
      <c r="FU10" s="4760">
        <v>7982.6118200000001</v>
      </c>
      <c r="FV10" s="4760">
        <v>21.989180000000001</v>
      </c>
    </row>
    <row r="11" spans="1:178" ht="24" customHeight="1" x14ac:dyDescent="0.2">
      <c r="A11" s="3234" t="s">
        <v>113</v>
      </c>
      <c r="B11" s="3110">
        <v>2324</v>
      </c>
      <c r="C11" s="3110">
        <v>2475.9</v>
      </c>
      <c r="D11" s="2139">
        <f>C11/B11*100</f>
        <v>106.53614457831327</v>
      </c>
      <c r="E11" s="3110">
        <v>2575.3000000000002</v>
      </c>
      <c r="F11" s="2139">
        <f>E11/C11*100</f>
        <v>104.0147017246254</v>
      </c>
      <c r="G11" s="2140">
        <v>3451.8</v>
      </c>
      <c r="H11" s="2139">
        <f>G11/E11*100</f>
        <v>134.03486972391565</v>
      </c>
      <c r="I11" s="2141">
        <f>I10*30.2/100</f>
        <v>3914.1615999999999</v>
      </c>
      <c r="J11" s="2141">
        <v>2906</v>
      </c>
      <c r="K11" s="2141">
        <v>4506.1000000000004</v>
      </c>
      <c r="L11" s="2141">
        <v>3778.4</v>
      </c>
      <c r="M11" s="2145">
        <f>K11/G11*100</f>
        <v>130.54348455878093</v>
      </c>
      <c r="N11" s="2141">
        <v>4192.0670736000002</v>
      </c>
      <c r="O11" s="2141">
        <v>2372.5</v>
      </c>
      <c r="P11" s="2141">
        <v>3474.6754099999998</v>
      </c>
      <c r="Q11" s="2141">
        <v>4427.2</v>
      </c>
      <c r="R11" s="2141">
        <v>5466.7</v>
      </c>
      <c r="S11" s="2141">
        <f>S10*S12</f>
        <v>3997.0659206844994</v>
      </c>
      <c r="T11" s="2143">
        <f>S11/N11</f>
        <v>0.95348329368498375</v>
      </c>
      <c r="U11" s="2144" t="e">
        <f>R11*#REF!</f>
        <v>#REF!</v>
      </c>
      <c r="V11" s="2144" t="e">
        <f>R11*#REF!</f>
        <v>#REF!</v>
      </c>
      <c r="W11" s="2144">
        <f>S11*$Y$56</f>
        <v>2282.24097133943</v>
      </c>
      <c r="X11" s="2144">
        <f>S11*$Y$57</f>
        <v>1621.0278771138494</v>
      </c>
      <c r="Y11" s="2144">
        <v>2366.94</v>
      </c>
      <c r="Z11" s="2144">
        <v>3391.7</v>
      </c>
      <c r="AA11" s="2144">
        <v>4288.66</v>
      </c>
      <c r="AB11" s="2141">
        <v>5134</v>
      </c>
      <c r="AC11" s="2141">
        <f>AC10*AC12</f>
        <v>4477.8998019942155</v>
      </c>
      <c r="AD11" s="2141">
        <f>AD10*AD12</f>
        <v>2650.9130129719174</v>
      </c>
      <c r="AE11" s="2141">
        <f>AE10*AE12</f>
        <v>1791.1628104108026</v>
      </c>
      <c r="AF11" s="3233">
        <f t="shared" si="0"/>
        <v>1.1615394895904076</v>
      </c>
      <c r="AG11" s="3233">
        <f t="shared" si="1"/>
        <v>1.1049549706695168</v>
      </c>
      <c r="AH11" s="2144">
        <v>2092.0300000000002</v>
      </c>
      <c r="AI11" s="2144">
        <v>3102.56</v>
      </c>
      <c r="AJ11" s="2141">
        <f>AJ10*AJ12</f>
        <v>5232.8032102309808</v>
      </c>
      <c r="AK11" s="2141">
        <f>AK10*AK12</f>
        <v>3118.7507132976643</v>
      </c>
      <c r="AL11" s="2141">
        <f>AL10*AL12</f>
        <v>2114.0524969333164</v>
      </c>
      <c r="AM11" s="3233">
        <f t="shared" si="2"/>
        <v>1.1764817246120263</v>
      </c>
      <c r="AN11" s="3233">
        <f t="shared" si="3"/>
        <v>1.1802681948540787</v>
      </c>
      <c r="AO11" s="2183">
        <f>AO10*AO12</f>
        <v>4700.5285500783812</v>
      </c>
      <c r="AP11" s="2144">
        <f>AO11*$AL$56</f>
        <v>2557.8160328491103</v>
      </c>
      <c r="AQ11" s="2144">
        <f>AO11*$AL$57</f>
        <v>2117.3818505829313</v>
      </c>
      <c r="AR11" s="2144">
        <f t="shared" si="7"/>
        <v>4121.75</v>
      </c>
      <c r="AS11" s="2144">
        <v>2431.83</v>
      </c>
      <c r="AT11" s="2144">
        <v>1689.92</v>
      </c>
      <c r="AU11" s="2144">
        <f t="shared" si="8"/>
        <v>4548.1656299999995</v>
      </c>
      <c r="AV11" s="2144">
        <v>2637.9358999999999</v>
      </c>
      <c r="AW11" s="2144">
        <v>1910.22973</v>
      </c>
      <c r="AX11" s="2144">
        <f t="shared" si="9"/>
        <v>5131.4400000000005</v>
      </c>
      <c r="AY11" s="2144">
        <v>3027.55</v>
      </c>
      <c r="AZ11" s="2144">
        <v>2103.89</v>
      </c>
      <c r="BA11" s="2144">
        <f t="shared" si="10"/>
        <v>4677.8669199999995</v>
      </c>
      <c r="BB11" s="2144">
        <v>2754.6260000000002</v>
      </c>
      <c r="BC11" s="3236">
        <v>0.11235000000000001</v>
      </c>
      <c r="BD11" s="2144">
        <v>1902.867</v>
      </c>
      <c r="BE11" s="3236">
        <v>0.85231999999999997</v>
      </c>
      <c r="BF11" s="3236">
        <v>8.17483</v>
      </c>
      <c r="BG11" s="3236">
        <v>11.23442</v>
      </c>
      <c r="BH11" s="2144">
        <f t="shared" si="11"/>
        <v>6360.3</v>
      </c>
      <c r="BI11" s="2144">
        <v>3695.8</v>
      </c>
      <c r="BJ11" s="2144">
        <v>2664.5</v>
      </c>
      <c r="BK11" s="2144">
        <f>BK10*AU12</f>
        <v>4885.8305427024588</v>
      </c>
      <c r="BL11" s="2144">
        <f>BK11*$BL$50</f>
        <v>2840.1588495974142</v>
      </c>
      <c r="BM11" s="2144">
        <f>BK11*$BM$50</f>
        <v>1839.0452516017162</v>
      </c>
      <c r="BN11" s="2144">
        <f>BK11*$BN$50</f>
        <v>194.94644990651398</v>
      </c>
      <c r="BO11" s="2144">
        <f>BK11*$BO$50</f>
        <v>11.679991596813899</v>
      </c>
      <c r="BP11" s="2144">
        <f>SUM(BP10*BP12)</f>
        <v>5398.0325899736781</v>
      </c>
      <c r="BQ11" s="2144">
        <f t="shared" ref="BQ11:BV11" si="27">SUM(BQ10*BQ12)</f>
        <v>3020.8989790556398</v>
      </c>
      <c r="BR11" s="2144">
        <f t="shared" si="27"/>
        <v>9.9963566480994022</v>
      </c>
      <c r="BS11" s="2144">
        <f t="shared" si="27"/>
        <v>2157.2137646598512</v>
      </c>
      <c r="BT11" s="2144">
        <f t="shared" si="27"/>
        <v>59.978139888596417</v>
      </c>
      <c r="BU11" s="2144">
        <f t="shared" si="27"/>
        <v>139.94899307339165</v>
      </c>
      <c r="BV11" s="2144">
        <f t="shared" si="27"/>
        <v>9.9963566480994022</v>
      </c>
      <c r="BW11" s="2144">
        <f>SUM(BW10*BW12)</f>
        <v>4982.0814043936971</v>
      </c>
      <c r="BX11" s="2144">
        <f>BW11*$BL$50</f>
        <v>2896.1099789344835</v>
      </c>
      <c r="BY11" s="2144">
        <f>BW11*$BM$50</f>
        <v>1875.27444305827</v>
      </c>
      <c r="BZ11" s="2144">
        <f>BW11*$BN$50</f>
        <v>198.78689496967232</v>
      </c>
      <c r="CA11" s="2144">
        <f>BW11*$BO$50</f>
        <v>11.910087431271133</v>
      </c>
      <c r="CB11" s="2144">
        <f t="shared" si="13"/>
        <v>2434.23</v>
      </c>
      <c r="CC11" s="2144">
        <v>1418.61</v>
      </c>
      <c r="CD11" s="2144">
        <v>0.42</v>
      </c>
      <c r="CE11" s="2144">
        <v>968.6</v>
      </c>
      <c r="CF11" s="2144">
        <v>3.1</v>
      </c>
      <c r="CG11" s="2144">
        <v>0</v>
      </c>
      <c r="CH11" s="2144">
        <v>43.5</v>
      </c>
      <c r="CI11" s="2144">
        <f t="shared" si="14"/>
        <v>3658.5341900000003</v>
      </c>
      <c r="CJ11" s="2144">
        <v>2149.0390000000002</v>
      </c>
      <c r="CK11" s="2144">
        <v>0.62831000000000004</v>
      </c>
      <c r="CL11" s="2144">
        <v>1431.1659500000001</v>
      </c>
      <c r="CM11" s="2144">
        <v>3.9889999999999999</v>
      </c>
      <c r="CN11" s="2144">
        <v>0</v>
      </c>
      <c r="CO11" s="2144">
        <v>73.711929999999995</v>
      </c>
      <c r="CP11" s="2144">
        <f t="shared" si="15"/>
        <v>4840.95</v>
      </c>
      <c r="CQ11" s="2144">
        <v>2833.41</v>
      </c>
      <c r="CR11" s="2144">
        <v>0.79</v>
      </c>
      <c r="CS11" s="2144">
        <v>1878.11</v>
      </c>
      <c r="CT11" s="2144">
        <v>5.42</v>
      </c>
      <c r="CU11" s="2144">
        <v>0</v>
      </c>
      <c r="CV11" s="2144">
        <v>123.22</v>
      </c>
      <c r="CW11" s="2144">
        <f t="shared" ref="CW11" si="28">SUM(CX11:DC11)</f>
        <v>5449.3300936761962</v>
      </c>
      <c r="CX11" s="2144">
        <f>SUM(CX10*CX12)</f>
        <v>3188.973062926591</v>
      </c>
      <c r="CY11" s="2144">
        <f t="shared" ref="CY11:DC11" si="29">SUM(CY10*CY12)</f>
        <v>0.89122436602473576</v>
      </c>
      <c r="CZ11" s="2144">
        <f t="shared" si="29"/>
        <v>2112.596006584783</v>
      </c>
      <c r="DA11" s="2144">
        <f t="shared" si="29"/>
        <v>6.1159857980730949</v>
      </c>
      <c r="DB11" s="2144">
        <v>0</v>
      </c>
      <c r="DC11" s="2144">
        <f t="shared" si="29"/>
        <v>140.75381400072445</v>
      </c>
      <c r="DD11" s="2144">
        <f>SUM(DD10*DD12)</f>
        <v>3027.1049208594145</v>
      </c>
      <c r="DE11" s="2144">
        <f t="shared" ref="DE11" si="30">SUM(DE10*DE12)</f>
        <v>1960.0956233824043</v>
      </c>
      <c r="DF11" s="2144">
        <f t="shared" si="16"/>
        <v>2347.1902299999997</v>
      </c>
      <c r="DG11" s="2144">
        <v>1331.88312</v>
      </c>
      <c r="DH11" s="2144">
        <v>0.33262999999999998</v>
      </c>
      <c r="DI11" s="2144">
        <v>945.53458000000001</v>
      </c>
      <c r="DJ11" s="2144">
        <v>2.5885699999999998</v>
      </c>
      <c r="DK11" s="2144">
        <v>0</v>
      </c>
      <c r="DL11" s="2144">
        <v>66.851330000000004</v>
      </c>
      <c r="DM11" s="2144">
        <f t="shared" si="17"/>
        <v>3515.9153800000004</v>
      </c>
      <c r="DN11" s="2144">
        <v>1997.7270000000001</v>
      </c>
      <c r="DO11" s="2144">
        <v>0.56059999999999999</v>
      </c>
      <c r="DP11" s="2144">
        <v>1413.76999</v>
      </c>
      <c r="DQ11" s="2144">
        <v>3.85636</v>
      </c>
      <c r="DR11" s="2144">
        <v>0</v>
      </c>
      <c r="DS11" s="2144">
        <v>100.00143</v>
      </c>
      <c r="DT11" s="2144">
        <f t="shared" si="18"/>
        <v>4641.3959999999997</v>
      </c>
      <c r="DU11" s="2144">
        <v>2640.73</v>
      </c>
      <c r="DV11" s="2144">
        <v>0.65</v>
      </c>
      <c r="DW11" s="2144">
        <v>1880.27</v>
      </c>
      <c r="DX11" s="2144">
        <v>5.2560000000000002</v>
      </c>
      <c r="DY11" s="2144">
        <v>0</v>
      </c>
      <c r="DZ11" s="2144">
        <v>114.49</v>
      </c>
      <c r="EA11" s="2144">
        <f t="shared" ref="EA11" si="31">SUM(EB11:EG11)</f>
        <v>5413.1210255271199</v>
      </c>
      <c r="EB11" s="2144">
        <f>SUM(EB10*EB12)</f>
        <v>3080.0546839235822</v>
      </c>
      <c r="EC11" s="2144">
        <f t="shared" ref="EC11:EE11" si="32">SUM(EC10*EC12)</f>
        <v>0.75892134558665059</v>
      </c>
      <c r="ED11" s="2144">
        <f t="shared" si="32"/>
        <v>2193.7145839839086</v>
      </c>
      <c r="EE11" s="2144">
        <f t="shared" si="32"/>
        <v>6.1334643293321136</v>
      </c>
      <c r="EF11" s="2144">
        <v>0</v>
      </c>
      <c r="EG11" s="2144">
        <f t="shared" ref="EG11" si="33">SUM(EG10*EG12)</f>
        <v>132.45937194471006</v>
      </c>
      <c r="EH11" s="2144">
        <f>SUM(EH10*EH12)</f>
        <v>3204.3055972785751</v>
      </c>
      <c r="EI11" s="2144">
        <f t="shared" ref="EI11" si="34">SUM(EI10*EI12)</f>
        <v>2074.835706527917</v>
      </c>
      <c r="EJ11" s="3953" t="s">
        <v>2073</v>
      </c>
      <c r="EK11" s="2144">
        <f t="shared" si="19"/>
        <v>2870.1789099999996</v>
      </c>
      <c r="EL11" s="2144">
        <f>9.35922+1410.3216+239.41871</f>
        <v>1659.09953</v>
      </c>
      <c r="EM11" s="2144">
        <v>0.33107999999999999</v>
      </c>
      <c r="EN11" s="2144">
        <f>6.68839+1007.33718+168.60514</f>
        <v>1182.6307099999999</v>
      </c>
      <c r="EO11" s="2144">
        <v>2.6474000000000002</v>
      </c>
      <c r="EP11" s="2144">
        <v>0</v>
      </c>
      <c r="EQ11" s="2144">
        <f>0.15284+23.38363+1.93372</f>
        <v>25.470190000000002</v>
      </c>
      <c r="ER11" s="2144">
        <f t="shared" si="20"/>
        <v>4234.4136100000005</v>
      </c>
      <c r="ES11" s="2144">
        <v>2410.8240000000001</v>
      </c>
      <c r="ET11" s="2144">
        <v>0.51317999999999997</v>
      </c>
      <c r="EU11" s="2144">
        <v>1719.078</v>
      </c>
      <c r="EV11" s="2144">
        <v>3.9969999999999999</v>
      </c>
      <c r="EW11" s="2144">
        <v>0</v>
      </c>
      <c r="EX11" s="2144">
        <v>100.00143</v>
      </c>
      <c r="EY11" s="2144">
        <v>5556.8</v>
      </c>
      <c r="EZ11" s="2144">
        <v>3096.4949999999999</v>
      </c>
      <c r="FA11" s="2144">
        <v>0.65198</v>
      </c>
      <c r="FB11" s="2144">
        <v>2204.5590000000002</v>
      </c>
      <c r="FC11" s="2144">
        <v>5.218</v>
      </c>
      <c r="FD11" s="3862">
        <v>0</v>
      </c>
      <c r="FE11" s="3862">
        <v>114.49</v>
      </c>
      <c r="FF11" s="2447">
        <f t="shared" ref="FF11" si="35">SUM(FG11:FL11)</f>
        <v>6195.1583601369002</v>
      </c>
      <c r="FG11" s="2447">
        <f>SUM(FG10*FG12)</f>
        <v>3538.3629226522507</v>
      </c>
      <c r="FH11" s="2447">
        <f t="shared" ref="FH11:FJ11" si="36">SUM(FH10*FH12)</f>
        <v>0.74441339280000018</v>
      </c>
      <c r="FI11" s="2447">
        <f t="shared" si="36"/>
        <v>2519.6494956286497</v>
      </c>
      <c r="FJ11" s="2447">
        <f t="shared" si="36"/>
        <v>6.000134956200001</v>
      </c>
      <c r="FK11" s="2447">
        <v>0</v>
      </c>
      <c r="FL11" s="2447">
        <f t="shared" ref="FL11" si="37">SUM(FL10*FL12)</f>
        <v>130.40139350699999</v>
      </c>
      <c r="FM11" s="2447">
        <f>SUM(FM10*FM12)</f>
        <v>3696.3489030316046</v>
      </c>
      <c r="FN11" s="2447">
        <f t="shared" ref="FN11" si="38">SUM(FN10*FN12)</f>
        <v>2393.4410919822499</v>
      </c>
      <c r="FO11" s="4760">
        <v>1668.0927899999999</v>
      </c>
      <c r="FP11" s="4760">
        <v>0.38938</v>
      </c>
      <c r="FQ11" s="4760">
        <v>1169.6268399999999</v>
      </c>
      <c r="FR11" s="4760">
        <v>2.9477899999999999</v>
      </c>
      <c r="FS11" s="4760">
        <v>3240.5540000000001</v>
      </c>
      <c r="FT11" s="4760">
        <v>0.52910000000000001</v>
      </c>
      <c r="FU11" s="4760">
        <v>2350.22937</v>
      </c>
      <c r="FV11" s="4760">
        <v>6.4424000000000001</v>
      </c>
    </row>
    <row r="12" spans="1:178" s="177" customFormat="1" ht="24" customHeight="1" x14ac:dyDescent="0.2">
      <c r="A12" s="3237" t="s">
        <v>298</v>
      </c>
      <c r="B12" s="2146"/>
      <c r="C12" s="2146"/>
      <c r="D12" s="2139"/>
      <c r="E12" s="2146"/>
      <c r="F12" s="2139"/>
      <c r="G12" s="2139"/>
      <c r="H12" s="2139"/>
      <c r="I12" s="2143">
        <f t="shared" ref="I12:R12" si="39">I11/I10</f>
        <v>0.30199999999999999</v>
      </c>
      <c r="J12" s="2143">
        <f t="shared" si="39"/>
        <v>0.28723362195073732</v>
      </c>
      <c r="K12" s="2143">
        <f t="shared" si="39"/>
        <v>0.30199718517525637</v>
      </c>
      <c r="L12" s="2143">
        <f t="shared" si="39"/>
        <v>0.2648646375145457</v>
      </c>
      <c r="M12" s="2143">
        <f t="shared" si="39"/>
        <v>1.1269732144618785</v>
      </c>
      <c r="N12" s="2143">
        <f t="shared" si="39"/>
        <v>0.30200000000000005</v>
      </c>
      <c r="O12" s="2147">
        <f t="shared" si="39"/>
        <v>0.28936102742983982</v>
      </c>
      <c r="P12" s="2147">
        <f t="shared" si="39"/>
        <v>0.27268177527733439</v>
      </c>
      <c r="Q12" s="2147">
        <f t="shared" si="39"/>
        <v>0.25802089950636137</v>
      </c>
      <c r="R12" s="2143">
        <f t="shared" si="39"/>
        <v>0.3019975913997503</v>
      </c>
      <c r="S12" s="2143">
        <f>P12</f>
        <v>0.27268177527733439</v>
      </c>
      <c r="T12" s="2143">
        <f>S12/N12</f>
        <v>0.90291978568653763</v>
      </c>
      <c r="U12" s="2148">
        <f>R12</f>
        <v>0.3019975913997503</v>
      </c>
      <c r="V12" s="2148">
        <f>R12</f>
        <v>0.3019975913997503</v>
      </c>
      <c r="W12" s="2149">
        <f>S12</f>
        <v>0.27268177527733439</v>
      </c>
      <c r="X12" s="2149">
        <f>S12</f>
        <v>0.27268177527733439</v>
      </c>
      <c r="Y12" s="2143">
        <f>Y11/Y10</f>
        <v>0.30074368288843234</v>
      </c>
      <c r="Z12" s="2143">
        <f>Z11/Z10</f>
        <v>0.2921451483422397</v>
      </c>
      <c r="AA12" s="2143">
        <f>AA11/AA10</f>
        <v>0.2798290486754535</v>
      </c>
      <c r="AB12" s="2143">
        <f>AB11/AB10</f>
        <v>0.30199999999999999</v>
      </c>
      <c r="AC12" s="2143">
        <f>Z12</f>
        <v>0.2921451483422397</v>
      </c>
      <c r="AD12" s="2149">
        <f>AC12</f>
        <v>0.2921451483422397</v>
      </c>
      <c r="AE12" s="2149">
        <f>AC12</f>
        <v>0.2921451483422397</v>
      </c>
      <c r="AF12" s="3233">
        <f t="shared" si="0"/>
        <v>1.07137760873498</v>
      </c>
      <c r="AG12" s="3233">
        <f t="shared" si="1"/>
        <v>1.07137760873498</v>
      </c>
      <c r="AH12" s="2143">
        <f>AH11/AH10</f>
        <v>0.28112825956957893</v>
      </c>
      <c r="AI12" s="2143">
        <f>AI11/AI10</f>
        <v>0.27929854884591843</v>
      </c>
      <c r="AJ12" s="2143">
        <f>AA12</f>
        <v>0.2798290486754535</v>
      </c>
      <c r="AK12" s="2149">
        <f>AJ12</f>
        <v>0.2798290486754535</v>
      </c>
      <c r="AL12" s="2149">
        <f>AJ12</f>
        <v>0.2798290486754535</v>
      </c>
      <c r="AM12" s="3233">
        <f t="shared" si="2"/>
        <v>0.95784253225948413</v>
      </c>
      <c r="AN12" s="3233">
        <f t="shared" si="3"/>
        <v>0.95784253225948413</v>
      </c>
      <c r="AO12" s="3238">
        <f>AA12</f>
        <v>0.2798290486754535</v>
      </c>
      <c r="AP12" s="2149">
        <f>AO12</f>
        <v>0.2798290486754535</v>
      </c>
      <c r="AQ12" s="2149">
        <f>AP12</f>
        <v>0.2798290486754535</v>
      </c>
      <c r="AR12" s="2148">
        <f>AR11/AR10</f>
        <v>0.29894940688814825</v>
      </c>
      <c r="AS12" s="2148">
        <f t="shared" ref="AS12:AT12" si="40">AS11/AS10</f>
        <v>0.29894893418238139</v>
      </c>
      <c r="AT12" s="2148">
        <f t="shared" si="40"/>
        <v>0.29895008712419396</v>
      </c>
      <c r="AU12" s="2148">
        <f>AU11/AU10</f>
        <v>0.29494854172916862</v>
      </c>
      <c r="AV12" s="2148">
        <f t="shared" ref="AV12:AW12" si="41">AV11/AV10</f>
        <v>0.29494844241914719</v>
      </c>
      <c r="AW12" s="2148">
        <f t="shared" si="41"/>
        <v>0.29494867887166876</v>
      </c>
      <c r="AX12" s="2148">
        <f>AX11/AX10</f>
        <v>0.27982855086215364</v>
      </c>
      <c r="AY12" s="2148">
        <f t="shared" ref="AY12:AZ12" si="42">AY11/AY10</f>
        <v>0.27982863956078491</v>
      </c>
      <c r="AZ12" s="2148">
        <f t="shared" si="42"/>
        <v>0.27982842322271728</v>
      </c>
      <c r="BA12" s="2148">
        <f>BA11/BA10</f>
        <v>0.29900691596209267</v>
      </c>
      <c r="BB12" s="2148">
        <f t="shared" ref="BB12:BG12" si="43">BB11/BB10</f>
        <v>0.29898507107584987</v>
      </c>
      <c r="BC12" s="2148">
        <f t="shared" si="43"/>
        <v>0.28157894736842104</v>
      </c>
      <c r="BD12" s="2148">
        <f t="shared" si="43"/>
        <v>0.29923423390839171</v>
      </c>
      <c r="BE12" s="2148">
        <f t="shared" si="43"/>
        <v>0.28175867768595042</v>
      </c>
      <c r="BF12" s="2148">
        <f t="shared" si="43"/>
        <v>0.28176438148416227</v>
      </c>
      <c r="BG12" s="2148">
        <f t="shared" si="43"/>
        <v>0.28182575320472619</v>
      </c>
      <c r="BH12" s="2148">
        <f>BH11/BH10</f>
        <v>0.30000014150282611</v>
      </c>
      <c r="BI12" s="2148">
        <f t="shared" ref="BI12:BJ12" si="44">BI11/BI10</f>
        <v>0.29999983765364052</v>
      </c>
      <c r="BJ12" s="2148">
        <f t="shared" si="44"/>
        <v>0.30000056295845928</v>
      </c>
      <c r="BK12" s="2148">
        <f>BK11/BK10</f>
        <v>0.29494854172916862</v>
      </c>
      <c r="BL12" s="2148">
        <f t="shared" ref="BL12:BM12" si="45">BL11/BL10</f>
        <v>0.29494854172916862</v>
      </c>
      <c r="BM12" s="2148">
        <f t="shared" si="45"/>
        <v>0.29494854172916862</v>
      </c>
      <c r="BN12" s="2148">
        <f t="shared" ref="BN12" si="46">BN11/BN10</f>
        <v>0.29494854172916857</v>
      </c>
      <c r="BO12" s="2148">
        <f t="shared" ref="BO12" si="47">BO11/BO10</f>
        <v>0.29494854172916862</v>
      </c>
      <c r="BP12" s="2148">
        <v>0.3</v>
      </c>
      <c r="BQ12" s="2148">
        <v>0.3</v>
      </c>
      <c r="BR12" s="2148">
        <v>0.3</v>
      </c>
      <c r="BS12" s="2148">
        <v>0.3</v>
      </c>
      <c r="BT12" s="2148">
        <v>0.3</v>
      </c>
      <c r="BU12" s="2148">
        <v>0.3</v>
      </c>
      <c r="BV12" s="2148">
        <v>0.3</v>
      </c>
      <c r="BW12" s="2148">
        <f>SUM(BK12)</f>
        <v>0.29494854172916862</v>
      </c>
      <c r="BX12" s="2148">
        <f t="shared" ref="BX12:CA12" si="48">BX11/BX10</f>
        <v>0.29494854172916862</v>
      </c>
      <c r="BY12" s="2148">
        <f t="shared" si="48"/>
        <v>0.29494854172916862</v>
      </c>
      <c r="BZ12" s="2148">
        <f t="shared" si="48"/>
        <v>0.29494854172916862</v>
      </c>
      <c r="CA12" s="2148">
        <f t="shared" si="48"/>
        <v>0.29494854172916862</v>
      </c>
      <c r="CB12" s="2148">
        <f>SUM(CB11/CB10)</f>
        <v>0.30253651782795826</v>
      </c>
      <c r="CC12" s="2148">
        <f t="shared" ref="CC12:CH12" si="49">SUM(CC11/CC10)</f>
        <v>0.30244323632874959</v>
      </c>
      <c r="CD12" s="2148">
        <f t="shared" si="49"/>
        <v>0.3</v>
      </c>
      <c r="CE12" s="2148">
        <f t="shared" si="49"/>
        <v>0.30269506737668439</v>
      </c>
      <c r="CF12" s="2148">
        <f t="shared" si="49"/>
        <v>0.3021442495126706</v>
      </c>
      <c r="CG12" s="2148" t="e">
        <f t="shared" si="49"/>
        <v>#DIV/0!</v>
      </c>
      <c r="CH12" s="2148">
        <f t="shared" si="49"/>
        <v>0.30210431279949995</v>
      </c>
      <c r="CI12" s="2148">
        <f>SUM(CI11/CI10)</f>
        <v>0.30146842169589183</v>
      </c>
      <c r="CJ12" s="2148">
        <f t="shared" ref="CJ12:CV12" si="50">SUM(CJ11/CJ10)</f>
        <v>0.3013980605127321</v>
      </c>
      <c r="CK12" s="2148">
        <f t="shared" si="50"/>
        <v>0.30091330980215614</v>
      </c>
      <c r="CL12" s="2148">
        <f t="shared" si="50"/>
        <v>0.30160338085371469</v>
      </c>
      <c r="CM12" s="2148">
        <f t="shared" si="50"/>
        <v>0.3012157366155705</v>
      </c>
      <c r="CN12" s="2148" t="e">
        <f t="shared" si="50"/>
        <v>#DIV/0!</v>
      </c>
      <c r="CO12" s="2148">
        <f t="shared" si="50"/>
        <v>0.30092052489191778</v>
      </c>
      <c r="CP12" s="2148">
        <f>SUM(CP11/CP10)</f>
        <v>0.2943216791039785</v>
      </c>
      <c r="CQ12" s="2148">
        <f t="shared" si="50"/>
        <v>0.29436986122048675</v>
      </c>
      <c r="CR12" s="2148">
        <f t="shared" si="50"/>
        <v>0.29368029739776952</v>
      </c>
      <c r="CS12" s="2148">
        <f t="shared" si="50"/>
        <v>0.29453664947329955</v>
      </c>
      <c r="CT12" s="2148">
        <f t="shared" si="50"/>
        <v>0.29360780065005415</v>
      </c>
      <c r="CU12" s="2148" t="e">
        <f t="shared" si="50"/>
        <v>#DIV/0!</v>
      </c>
      <c r="CV12" s="2148">
        <f t="shared" si="50"/>
        <v>0.29003860276810095</v>
      </c>
      <c r="CW12" s="2148">
        <v>0.3</v>
      </c>
      <c r="CX12" s="2148">
        <v>0.3</v>
      </c>
      <c r="CY12" s="2148">
        <v>0.3</v>
      </c>
      <c r="CZ12" s="2148">
        <v>0.3</v>
      </c>
      <c r="DA12" s="2148">
        <v>0.3</v>
      </c>
      <c r="DB12" s="2148" t="e">
        <f t="shared" ref="DB12" si="51">SUM(DB11/DB10)</f>
        <v>#DIV/0!</v>
      </c>
      <c r="DC12" s="2148">
        <v>0.3</v>
      </c>
      <c r="DD12" s="2148">
        <v>0.3</v>
      </c>
      <c r="DE12" s="2148">
        <v>0.3</v>
      </c>
      <c r="DF12" s="2148">
        <f>SUM(DF11/DF10)</f>
        <v>0.30064593584505911</v>
      </c>
      <c r="DG12" s="2148">
        <f t="shared" ref="DG12:DL12" si="52">SUM(DG11/DG10)</f>
        <v>0.30065414063956364</v>
      </c>
      <c r="DH12" s="2148">
        <f t="shared" si="52"/>
        <v>0.30041364112568186</v>
      </c>
      <c r="DI12" s="2148">
        <f t="shared" si="52"/>
        <v>0.30061623852552743</v>
      </c>
      <c r="DJ12" s="2148">
        <f t="shared" si="52"/>
        <v>0.3006305114587241</v>
      </c>
      <c r="DK12" s="2148" t="e">
        <f t="shared" si="52"/>
        <v>#DIV/0!</v>
      </c>
      <c r="DL12" s="2148">
        <f t="shared" si="52"/>
        <v>0.30090452757106101</v>
      </c>
      <c r="DM12" s="2148">
        <f>SUM(DM11/DM10)</f>
        <v>0.29976555092579049</v>
      </c>
      <c r="DN12" s="2148">
        <f t="shared" ref="DN12:DS12" si="53">SUM(DN11/DN10)</f>
        <v>0.29977150418367893</v>
      </c>
      <c r="DO12" s="2148">
        <f t="shared" si="53"/>
        <v>0.29937625496646303</v>
      </c>
      <c r="DP12" s="2148">
        <f>SUM(DP11/DP10)</f>
        <v>0.2997262390653278</v>
      </c>
      <c r="DQ12" s="2148">
        <f t="shared" si="53"/>
        <v>0.30000847973848177</v>
      </c>
      <c r="DR12" s="2148" t="e">
        <f t="shared" si="53"/>
        <v>#DIV/0!</v>
      </c>
      <c r="DS12" s="2148">
        <f t="shared" si="53"/>
        <v>0.30019591105394394</v>
      </c>
      <c r="DT12" s="2148">
        <f>SUM(DT11/DT10)</f>
        <v>0.29578420161520969</v>
      </c>
      <c r="DU12" s="2148">
        <f t="shared" ref="DU12:DZ12" si="54">SUM(DU11/DU10)</f>
        <v>0.29576015106477821</v>
      </c>
      <c r="DV12" s="2148">
        <f t="shared" si="54"/>
        <v>0.29545454545454541</v>
      </c>
      <c r="DW12" s="2148">
        <f t="shared" si="54"/>
        <v>0.29567471142832519</v>
      </c>
      <c r="DX12" s="2148">
        <f t="shared" si="54"/>
        <v>0.29561304836895386</v>
      </c>
      <c r="DY12" s="2148" t="e">
        <f t="shared" si="54"/>
        <v>#DIV/0!</v>
      </c>
      <c r="DZ12" s="2148">
        <f t="shared" si="54"/>
        <v>0.29816657117558204</v>
      </c>
      <c r="EA12" s="2148">
        <v>0.3</v>
      </c>
      <c r="EB12" s="2148">
        <v>0.3</v>
      </c>
      <c r="EC12" s="2148">
        <v>0.3</v>
      </c>
      <c r="ED12" s="2148">
        <v>0.3</v>
      </c>
      <c r="EE12" s="2148">
        <v>0.3</v>
      </c>
      <c r="EF12" s="2148" t="e">
        <f t="shared" ref="EF12" si="55">SUM(EF11/EF10)</f>
        <v>#DIV/0!</v>
      </c>
      <c r="EG12" s="2148">
        <v>0.3</v>
      </c>
      <c r="EH12" s="2148">
        <v>0.3</v>
      </c>
      <c r="EI12" s="2148">
        <v>0.3</v>
      </c>
      <c r="EJ12" s="3952" t="s">
        <v>1893</v>
      </c>
      <c r="EK12" s="2148">
        <f>SUM(EK11/EK10)</f>
        <v>0.296748915565344</v>
      </c>
      <c r="EL12" s="2148">
        <f t="shared" ref="EL12:EQ12" si="56">SUM(EL11/EL10)</f>
        <v>0.29676985906076825</v>
      </c>
      <c r="EM12" s="2148">
        <f t="shared" si="56"/>
        <v>0.29700998465968725</v>
      </c>
      <c r="EN12" s="2148">
        <f t="shared" si="56"/>
        <v>0.29666799593522719</v>
      </c>
      <c r="EO12" s="2148">
        <f t="shared" si="56"/>
        <v>0.29652445649130277</v>
      </c>
      <c r="EP12" s="2148" t="e">
        <f t="shared" si="56"/>
        <v>#DIV/0!</v>
      </c>
      <c r="EQ12" s="2148">
        <f t="shared" si="56"/>
        <v>0.2991828153116089</v>
      </c>
      <c r="ER12" s="2148">
        <f>SUM(ER11/ER10)</f>
        <v>0.29164301299103457</v>
      </c>
      <c r="ES12" s="2148">
        <f t="shared" ref="ES12:ET12" si="57">SUM(ES11/ES10)</f>
        <v>0.29794613492025435</v>
      </c>
      <c r="ET12" s="2148">
        <f t="shared" si="57"/>
        <v>0.29836046511627906</v>
      </c>
      <c r="EU12" s="2148">
        <f>SUM(EU11/EU10)</f>
        <v>0.2978862988916845</v>
      </c>
      <c r="EV12" s="2148">
        <f t="shared" ref="EV12:EX12" si="58">SUM(EV11/EV10)</f>
        <v>0.297927847346452</v>
      </c>
      <c r="EW12" s="2148" t="e">
        <f t="shared" si="58"/>
        <v>#DIV/0!</v>
      </c>
      <c r="EX12" s="2148">
        <f t="shared" si="58"/>
        <v>0.30019591105394394</v>
      </c>
      <c r="EY12" s="2148">
        <f>SUM(EY11/EY10)</f>
        <v>0.29718452849900046</v>
      </c>
      <c r="EZ12" s="2148">
        <f t="shared" ref="EZ12:FE12" si="59">SUM(EZ11/EZ10)</f>
        <v>0.29719509380160308</v>
      </c>
      <c r="FA12" s="2148">
        <f t="shared" si="59"/>
        <v>0.29743613138686131</v>
      </c>
      <c r="FB12" s="2148">
        <f t="shared" si="59"/>
        <v>0.29713596629143674</v>
      </c>
      <c r="FC12" s="2148">
        <f t="shared" si="59"/>
        <v>0.29533620104143082</v>
      </c>
      <c r="FD12" s="3863" t="e">
        <f t="shared" si="59"/>
        <v>#DIV/0!</v>
      </c>
      <c r="FE12" s="3863">
        <f t="shared" si="59"/>
        <v>0.29816657117558204</v>
      </c>
      <c r="FF12" s="2448">
        <v>0.3</v>
      </c>
      <c r="FG12" s="2448">
        <v>0.3</v>
      </c>
      <c r="FH12" s="2448">
        <v>0.3</v>
      </c>
      <c r="FI12" s="2448">
        <v>0.3</v>
      </c>
      <c r="FJ12" s="2448">
        <v>0.3</v>
      </c>
      <c r="FK12" s="2448" t="e">
        <f t="shared" ref="FK12" si="60">SUM(FK11/FK10)</f>
        <v>#DIV/0!</v>
      </c>
      <c r="FL12" s="2448">
        <v>0.3</v>
      </c>
      <c r="FM12" s="2448">
        <v>0.3</v>
      </c>
      <c r="FN12" s="2448">
        <v>0.3</v>
      </c>
      <c r="FO12" s="4764">
        <f t="shared" ref="FO12:FR12" si="61">SUM(FO11/FO10)</f>
        <v>0.30406584289652583</v>
      </c>
      <c r="FP12" s="4764">
        <f t="shared" si="61"/>
        <v>0.30417223250763598</v>
      </c>
      <c r="FQ12" s="4764">
        <f t="shared" si="61"/>
        <v>0.30423800342440416</v>
      </c>
      <c r="FR12" s="4764">
        <f t="shared" si="61"/>
        <v>0.30429710928120685</v>
      </c>
      <c r="FS12" s="4764">
        <f t="shared" ref="FS12:FV12" si="62">SUM(FS11/FS10)</f>
        <v>0.29485048644396961</v>
      </c>
      <c r="FT12" s="4764">
        <f t="shared" si="62"/>
        <v>0.3018857159158988</v>
      </c>
      <c r="FU12" s="4764">
        <f t="shared" si="62"/>
        <v>0.29441859669433357</v>
      </c>
      <c r="FV12" s="4764">
        <f t="shared" si="62"/>
        <v>0.29298045675191159</v>
      </c>
    </row>
    <row r="13" spans="1:178" s="178" customFormat="1" ht="24" customHeight="1" x14ac:dyDescent="0.2">
      <c r="A13" s="3234" t="s">
        <v>299</v>
      </c>
      <c r="B13" s="3110"/>
      <c r="C13" s="3110"/>
      <c r="D13" s="2140"/>
      <c r="E13" s="3110"/>
      <c r="F13" s="2140"/>
      <c r="G13" s="2140"/>
      <c r="H13" s="2140"/>
      <c r="I13" s="2147"/>
      <c r="J13" s="2147"/>
      <c r="K13" s="2147"/>
      <c r="L13" s="2147"/>
      <c r="M13" s="2147"/>
      <c r="N13" s="2140">
        <v>29</v>
      </c>
      <c r="O13" s="2140">
        <v>29</v>
      </c>
      <c r="P13" s="2140">
        <v>29</v>
      </c>
      <c r="Q13" s="2140">
        <v>29</v>
      </c>
      <c r="R13" s="2140">
        <v>29</v>
      </c>
      <c r="S13" s="2140">
        <v>29</v>
      </c>
      <c r="T13" s="2143"/>
      <c r="U13" s="2144" t="e">
        <f>R13*#REF!</f>
        <v>#REF!</v>
      </c>
      <c r="V13" s="2144" t="e">
        <f>R13*#REF!</f>
        <v>#REF!</v>
      </c>
      <c r="W13" s="2144">
        <f>S13*$Y$56</f>
        <v>16.558392951775303</v>
      </c>
      <c r="X13" s="2144">
        <f>S13*$Y$57</f>
        <v>11.76107909379968</v>
      </c>
      <c r="Y13" s="2144">
        <v>29</v>
      </c>
      <c r="Z13" s="2144">
        <v>29</v>
      </c>
      <c r="AA13" s="2144">
        <v>29</v>
      </c>
      <c r="AB13" s="2140">
        <v>29</v>
      </c>
      <c r="AC13" s="2140">
        <f>29-29*Y58</f>
        <v>28.42</v>
      </c>
      <c r="AD13" s="2144">
        <f>AC13*AG56</f>
        <v>16.824616708732517</v>
      </c>
      <c r="AE13" s="2144">
        <f>AC13*AG57</f>
        <v>11.368018339580697</v>
      </c>
      <c r="AF13" s="3233">
        <f t="shared" si="0"/>
        <v>1.0160778740867284</v>
      </c>
      <c r="AG13" s="3233">
        <f t="shared" si="1"/>
        <v>0.96657953312921774</v>
      </c>
      <c r="AH13" s="2144">
        <v>27</v>
      </c>
      <c r="AI13" s="2144">
        <v>27</v>
      </c>
      <c r="AJ13" s="2140">
        <f>29-29*AD58</f>
        <v>29</v>
      </c>
      <c r="AK13" s="2144">
        <f>AJ13*AI56</f>
        <v>17.283999999999999</v>
      </c>
      <c r="AL13" s="2144">
        <f>AJ13*AI57</f>
        <v>11.716000000000001</v>
      </c>
      <c r="AM13" s="3233">
        <f t="shared" si="2"/>
        <v>1.0273042351704242</v>
      </c>
      <c r="AN13" s="3233">
        <f t="shared" si="3"/>
        <v>1.0306105822514129</v>
      </c>
      <c r="AO13" s="2567">
        <v>29</v>
      </c>
      <c r="AP13" s="2144">
        <f>AO13*$AL$56</f>
        <v>15.780494504471694</v>
      </c>
      <c r="AQ13" s="2144">
        <f>AO13*$AL$57</f>
        <v>13.063227467447485</v>
      </c>
      <c r="AR13" s="2144">
        <v>26</v>
      </c>
      <c r="AS13" s="2144">
        <f>AS10/AS14/12*1000</f>
        <v>15.34000848597819</v>
      </c>
      <c r="AT13" s="2144">
        <f>AT10/AT14/12*1000</f>
        <v>10.65999151402181</v>
      </c>
      <c r="AU13" s="2144">
        <v>26</v>
      </c>
      <c r="AV13" s="2144">
        <f>AV10/AV14/12*1000</f>
        <v>15.080004131956667</v>
      </c>
      <c r="AW13" s="2144">
        <f>AW10/AW14/12*1000</f>
        <v>10.919995868043332</v>
      </c>
      <c r="AX13" s="2144">
        <v>26</v>
      </c>
      <c r="AY13" s="2144">
        <v>15.95</v>
      </c>
      <c r="AZ13" s="2144">
        <v>13.05</v>
      </c>
      <c r="BA13" s="2144">
        <v>26</v>
      </c>
      <c r="BB13" s="2144">
        <v>15.95</v>
      </c>
      <c r="BC13" s="2144"/>
      <c r="BD13" s="2144">
        <v>13.05</v>
      </c>
      <c r="BE13" s="2144"/>
      <c r="BF13" s="2144"/>
      <c r="BG13" s="2144"/>
      <c r="BH13" s="2144">
        <v>29</v>
      </c>
      <c r="BI13" s="2144">
        <f>BI10/BI14/12*1000</f>
        <v>16.85114044202653</v>
      </c>
      <c r="BJ13" s="2144">
        <f>BJ10/BJ14/12*1000</f>
        <v>12.148859557973473</v>
      </c>
      <c r="BK13" s="2144">
        <f>AU13</f>
        <v>26</v>
      </c>
      <c r="BL13" s="2144">
        <f>BK13*$BL$50</f>
        <v>15.113935991870889</v>
      </c>
      <c r="BM13" s="2144">
        <f>BK13*$BM$50</f>
        <v>9.7864991681019315</v>
      </c>
      <c r="BN13" s="2144">
        <f>BK13*$BN$50</f>
        <v>1.0374096386007294</v>
      </c>
      <c r="BO13" s="2144">
        <f>BK13*$BO$50</f>
        <v>6.2155201426447655E-2</v>
      </c>
      <c r="BP13" s="2144">
        <f>SUM(BQ13:BV13)</f>
        <v>27</v>
      </c>
      <c r="BQ13" s="2144">
        <v>15.11</v>
      </c>
      <c r="BR13" s="2144">
        <v>0.05</v>
      </c>
      <c r="BS13" s="2144">
        <v>10.79</v>
      </c>
      <c r="BT13" s="2144">
        <v>0.3</v>
      </c>
      <c r="BU13" s="2144">
        <v>0.7</v>
      </c>
      <c r="BV13" s="2144">
        <v>0.05</v>
      </c>
      <c r="BW13" s="2144">
        <f>SUM(BX13:CA13)</f>
        <v>25.999999999999996</v>
      </c>
      <c r="BX13" s="2144">
        <f>SUM(BL13)</f>
        <v>15.113935991870889</v>
      </c>
      <c r="BY13" s="2144">
        <f>SUM(BM13)</f>
        <v>9.7864991681019315</v>
      </c>
      <c r="BZ13" s="2144">
        <f>SUM(BN13)</f>
        <v>1.0374096386007294</v>
      </c>
      <c r="CA13" s="2144">
        <f>SUM(BO13)</f>
        <v>6.2155201426447655E-2</v>
      </c>
      <c r="CB13" s="2144">
        <v>27</v>
      </c>
      <c r="CC13" s="2610">
        <f>SUM(CC10/CC14/6*1000)</f>
        <v>15.739795950072521</v>
      </c>
      <c r="CD13" s="2610">
        <f t="shared" ref="CD13:CH13" si="63">SUM(CD10/CD14/6*1000)</f>
        <v>4.6979457051703503E-3</v>
      </c>
      <c r="CE13" s="2610">
        <f t="shared" si="63"/>
        <v>10.73789315777765</v>
      </c>
      <c r="CF13" s="2610">
        <f t="shared" si="63"/>
        <v>3.4429230667891282E-2</v>
      </c>
      <c r="CG13" s="2610">
        <v>0</v>
      </c>
      <c r="CH13" s="2610">
        <f t="shared" si="63"/>
        <v>0.48318371577677061</v>
      </c>
      <c r="CI13" s="2144">
        <v>27</v>
      </c>
      <c r="CJ13" s="2610">
        <f>SUM(CJ10/CJ14/9*1000)</f>
        <v>15.863620691709809</v>
      </c>
      <c r="CK13" s="2610">
        <f>SUM(CK10/CK14/9*1000)</f>
        <v>4.6454848459408426E-3</v>
      </c>
      <c r="CL13" s="2610">
        <f>SUM(CL10/CL14/9*1000)</f>
        <v>10.557285418690389</v>
      </c>
      <c r="CM13" s="2610">
        <f>SUM(CM10/CM14/9*1000)</f>
        <v>2.9463535047626485E-2</v>
      </c>
      <c r="CN13" s="2610">
        <v>0</v>
      </c>
      <c r="CO13" s="2610">
        <f>SUM(CO10/CO14/9*1000)</f>
        <v>0.54498486970623627</v>
      </c>
      <c r="CP13" s="2144">
        <v>27</v>
      </c>
      <c r="CQ13" s="2610">
        <f>SUM(CQ10/CQ14/12*1000)</f>
        <v>15.800524324804135</v>
      </c>
      <c r="CR13" s="2610">
        <f>SUM(CR10/CR14/12*1000)</f>
        <v>4.4157827602685331E-3</v>
      </c>
      <c r="CS13" s="2610">
        <f>SUM(CS10/CS14/12*1000)</f>
        <v>10.467358592202491</v>
      </c>
      <c r="CT13" s="2610">
        <f>SUM(CT10/CT14/12*1000)</f>
        <v>3.0303103997976633E-2</v>
      </c>
      <c r="CU13" s="2610">
        <v>0</v>
      </c>
      <c r="CV13" s="2610">
        <f>SUM(CV10/CV14/12*1000)</f>
        <v>0.69739819623512411</v>
      </c>
      <c r="CW13" s="2144">
        <f>SUM(CX13:DC13)</f>
        <v>26.999999999999993</v>
      </c>
      <c r="CX13" s="2144">
        <f t="shared" ref="CX13:DC13" si="64">SUM(CQ13)</f>
        <v>15.800524324804135</v>
      </c>
      <c r="CY13" s="2610">
        <f t="shared" si="64"/>
        <v>4.4157827602685331E-3</v>
      </c>
      <c r="CZ13" s="2144">
        <f t="shared" si="64"/>
        <v>10.467358592202491</v>
      </c>
      <c r="DA13" s="2144">
        <f t="shared" si="64"/>
        <v>3.0303103997976633E-2</v>
      </c>
      <c r="DB13" s="2144">
        <f t="shared" si="64"/>
        <v>0</v>
      </c>
      <c r="DC13" s="2144">
        <f t="shared" si="64"/>
        <v>0.69739819623512411</v>
      </c>
      <c r="DD13" s="2144">
        <f>SUM(BL13)</f>
        <v>15.113935991870889</v>
      </c>
      <c r="DE13" s="2144">
        <f>SUM(BM13)</f>
        <v>9.7864991681019315</v>
      </c>
      <c r="DF13" s="2144">
        <v>26</v>
      </c>
      <c r="DG13" s="2610">
        <f>SUM(DG10/DG14/6*1000)</f>
        <v>14.752965336863843</v>
      </c>
      <c r="DH13" s="2610">
        <f t="shared" ref="DH13:DJ13" si="65">SUM(DH10/DH14/6*1000)</f>
        <v>3.6874162330388384E-3</v>
      </c>
      <c r="DI13" s="2610">
        <f t="shared" si="65"/>
        <v>10.474791247619848</v>
      </c>
      <c r="DJ13" s="2610">
        <f t="shared" si="65"/>
        <v>2.8675252747456675E-2</v>
      </c>
      <c r="DK13" s="2610">
        <v>0</v>
      </c>
      <c r="DL13" s="2610">
        <f t="shared" ref="DL13" si="66">SUM(DL10/DL14/6*1000)</f>
        <v>0.73988074653581115</v>
      </c>
      <c r="DM13" s="2144">
        <v>26</v>
      </c>
      <c r="DN13" s="2610">
        <f>SUM(DN10/DN14/9*1000)</f>
        <v>14.772787418184395</v>
      </c>
      <c r="DO13" s="2610">
        <f>SUM(DO10/DO14/9*1000)</f>
        <v>4.1509967970507732E-3</v>
      </c>
      <c r="DP13" s="2610">
        <f>SUM(DP10/DP14/9*1000)</f>
        <v>10.456122209996924</v>
      </c>
      <c r="DQ13" s="2610">
        <f>SUM(DQ10/DQ14/9*1000)</f>
        <v>2.8494477345850675E-2</v>
      </c>
      <c r="DR13" s="2610">
        <v>0</v>
      </c>
      <c r="DS13" s="2610">
        <f>SUM(DS10/DS14/9*1000)</f>
        <v>0.73844489767578081</v>
      </c>
      <c r="DT13" s="2144">
        <v>26</v>
      </c>
      <c r="DU13" s="2610">
        <f>SUM(DU10/DU14/12*1000)</f>
        <v>14.793946302764393</v>
      </c>
      <c r="DV13" s="2610">
        <f>SUM(DV10/DV14/12*1000)</f>
        <v>3.6452085390666941E-3</v>
      </c>
      <c r="DW13" s="2610">
        <f>SUM(DW10/DW14/12*1000)</f>
        <v>10.536727132944069</v>
      </c>
      <c r="DX13" s="2610">
        <f>SUM(DX10/DX14/12*1000)</f>
        <v>2.94599126475481E-2</v>
      </c>
      <c r="DY13" s="2610">
        <v>0</v>
      </c>
      <c r="DZ13" s="2610">
        <f>SUM(DZ10/DZ14/12*1000)</f>
        <v>0.63622144310492246</v>
      </c>
      <c r="EA13" s="2144">
        <f>SUM(EB13:EG13)</f>
        <v>26.000000000000004</v>
      </c>
      <c r="EB13" s="2144">
        <f t="shared" ref="EB13" si="67">SUM(DU13)</f>
        <v>14.793946302764393</v>
      </c>
      <c r="EC13" s="2610">
        <f t="shared" ref="EC13" si="68">SUM(DV13)</f>
        <v>3.6452085390666941E-3</v>
      </c>
      <c r="ED13" s="2144">
        <f t="shared" ref="ED13" si="69">SUM(DW13)</f>
        <v>10.536727132944069</v>
      </c>
      <c r="EE13" s="2144">
        <f t="shared" ref="EE13" si="70">SUM(DX13)</f>
        <v>2.94599126475481E-2</v>
      </c>
      <c r="EF13" s="2144">
        <f t="shared" ref="EF13" si="71">SUM(DY13)</f>
        <v>0</v>
      </c>
      <c r="EG13" s="2144">
        <f t="shared" ref="EG13" si="72">SUM(DZ13)</f>
        <v>0.63622144310492246</v>
      </c>
      <c r="EH13" s="2144">
        <f>SUM(BL13)</f>
        <v>15.113935991870889</v>
      </c>
      <c r="EI13" s="2144">
        <f>SUM(BM13)</f>
        <v>9.7864991681019315</v>
      </c>
      <c r="EJ13" s="3952"/>
      <c r="EK13" s="2144">
        <v>26</v>
      </c>
      <c r="EL13" s="2610">
        <f>SUM(EL10/EL14/6*1000)</f>
        <v>15.028172430583524</v>
      </c>
      <c r="EM13" s="2610">
        <f t="shared" ref="EM13:EO13" si="73">SUM(EM10/EM14/6*1000)</f>
        <v>2.9965078293380542E-3</v>
      </c>
      <c r="EN13" s="2610">
        <f t="shared" si="73"/>
        <v>10.715981966999783</v>
      </c>
      <c r="EO13" s="2610">
        <f t="shared" si="73"/>
        <v>2.4000073159039646E-2</v>
      </c>
      <c r="EP13" s="2610">
        <v>0</v>
      </c>
      <c r="EQ13" s="2610">
        <f t="shared" ref="EQ13" si="74">SUM(EQ10/EQ14/6*1000)</f>
        <v>0.22884902142831479</v>
      </c>
      <c r="ER13" s="2144">
        <v>26</v>
      </c>
      <c r="ES13" s="2610">
        <f>SUM(ES10/ES14/9*1000)</f>
        <v>14.489700132245879</v>
      </c>
      <c r="ET13" s="2610">
        <f>SUM(ET10/ET14/9*1000)</f>
        <v>3.0800665079477357E-3</v>
      </c>
      <c r="EU13" s="2610">
        <f>SUM(EU10/EU14/9*1000)</f>
        <v>10.334196169794039</v>
      </c>
      <c r="EV13" s="2610">
        <f>SUM(EV10/EV14/9*1000)</f>
        <v>2.4024518761992339E-2</v>
      </c>
      <c r="EW13" s="2610">
        <v>0</v>
      </c>
      <c r="EX13" s="2610">
        <f>SUM(EX10/EX14/9*1000)</f>
        <v>0.59653109300278728</v>
      </c>
      <c r="EY13" s="2144">
        <v>26</v>
      </c>
      <c r="EZ13" s="2610">
        <f>SUM(EZ10/EZ14/12*1000)</f>
        <v>14.487836147613988</v>
      </c>
      <c r="FA13" s="2610">
        <f>SUM(FA10/FA14/12*1000)</f>
        <v>3.0480025641043472E-3</v>
      </c>
      <c r="FB13" s="2610">
        <f>SUM(FB10/FB14/12*1000)</f>
        <v>10.316711383218882</v>
      </c>
      <c r="FC13" s="2610">
        <f>SUM(FC10/FC14/12*1000)</f>
        <v>2.4567568112497992E-2</v>
      </c>
      <c r="FD13" s="3864">
        <v>0</v>
      </c>
      <c r="FE13" s="3864">
        <f>SUM(FE10/FE14/12*1000)</f>
        <v>0.53392884332335178</v>
      </c>
      <c r="FF13" s="2447">
        <f>SUM(FG13:FL13)</f>
        <v>25.366091944832828</v>
      </c>
      <c r="FG13" s="2447">
        <f t="shared" ref="FG13" si="75">SUM(EZ13)</f>
        <v>14.487836147613988</v>
      </c>
      <c r="FH13" s="2451">
        <f t="shared" ref="FH13" si="76">SUM(FA13)</f>
        <v>3.0480025641043472E-3</v>
      </c>
      <c r="FI13" s="2447">
        <f t="shared" ref="FI13" si="77">SUM(FB13)</f>
        <v>10.316711383218882</v>
      </c>
      <c r="FJ13" s="2447">
        <f t="shared" ref="FJ13" si="78">SUM(FC13)</f>
        <v>2.4567568112497992E-2</v>
      </c>
      <c r="FK13" s="2447">
        <f t="shared" ref="FK13" si="79">SUM(FD13)</f>
        <v>0</v>
      </c>
      <c r="FL13" s="2447">
        <f t="shared" ref="FL13" si="80">SUM(FE13)</f>
        <v>0.53392884332335178</v>
      </c>
      <c r="FM13" s="2447">
        <f>SUM(BL13)</f>
        <v>15.113935991870889</v>
      </c>
      <c r="FN13" s="2447">
        <f>SUM(BM13)</f>
        <v>9.7864991681019315</v>
      </c>
      <c r="FO13" s="4760">
        <f>SUM(FO10/FO14/6*1000)</f>
        <v>13.404995767912029</v>
      </c>
      <c r="FP13" s="4760">
        <f>SUM(FP10/FP14/6*1000)</f>
        <v>3.1280103979004895E-3</v>
      </c>
      <c r="FQ13" s="4760">
        <f>SUM(FQ10/FQ14/6*1000)</f>
        <v>9.3939441959300947</v>
      </c>
      <c r="FR13" s="4760">
        <f>SUM(FR10/FR14/6*1000)</f>
        <v>2.3670794065169629E-2</v>
      </c>
      <c r="FS13" s="4760">
        <f>SUM(FS10/FS14/12*1000)</f>
        <v>13.187482397584031</v>
      </c>
      <c r="FT13" s="4760">
        <f>SUM(FT10/FT14/12*1000)</f>
        <v>2.1030019524941952E-3</v>
      </c>
      <c r="FU13" s="4760">
        <f>SUM(FU10/FU14/12*1000)</f>
        <v>9.5783232496295554</v>
      </c>
      <c r="FV13" s="4760">
        <f>SUM(FV10/FV14/12*1000)</f>
        <v>2.6384782171994584E-2</v>
      </c>
    </row>
    <row r="14" spans="1:178" s="179" customFormat="1" ht="43.5" customHeight="1" x14ac:dyDescent="0.2">
      <c r="A14" s="3234" t="s">
        <v>300</v>
      </c>
      <c r="B14" s="3110"/>
      <c r="C14" s="3110"/>
      <c r="D14" s="2140"/>
      <c r="E14" s="3110"/>
      <c r="F14" s="2140"/>
      <c r="G14" s="2140"/>
      <c r="H14" s="2140"/>
      <c r="I14" s="2147"/>
      <c r="J14" s="2147"/>
      <c r="K14" s="2147"/>
      <c r="L14" s="2147"/>
      <c r="M14" s="2147"/>
      <c r="N14" s="2141">
        <f t="shared" ref="N14:S14" si="81">N10/N13/12*1000</f>
        <v>39887.979310344825</v>
      </c>
      <c r="O14" s="2141">
        <f t="shared" si="81"/>
        <v>23560.632183908045</v>
      </c>
      <c r="P14" s="2141">
        <f t="shared" si="81"/>
        <v>36616.673204022991</v>
      </c>
      <c r="Q14" s="2141">
        <f t="shared" si="81"/>
        <v>49305.45977011494</v>
      </c>
      <c r="R14" s="2141">
        <f t="shared" si="81"/>
        <v>52016.666666666657</v>
      </c>
      <c r="S14" s="2141">
        <f t="shared" si="81"/>
        <v>42121.706151724131</v>
      </c>
      <c r="T14" s="2143"/>
      <c r="U14" s="2144">
        <f>R14</f>
        <v>52016.666666666657</v>
      </c>
      <c r="V14" s="2144">
        <f>R14</f>
        <v>52016.666666666657</v>
      </c>
      <c r="W14" s="2144">
        <f>S14</f>
        <v>42121.706151724131</v>
      </c>
      <c r="X14" s="2144">
        <f>S14</f>
        <v>42121.706151724131</v>
      </c>
      <c r="Y14" s="2141">
        <f>Y10/Y13/6*1000</f>
        <v>45231.551724137935</v>
      </c>
      <c r="Z14" s="2141">
        <f>Z10/Z13/9*1000</f>
        <v>44481.379310344826</v>
      </c>
      <c r="AA14" s="2141">
        <f>SUM(AA10/AA13/12)*1000</f>
        <v>44040.229885057473</v>
      </c>
      <c r="AB14" s="2141">
        <f>AB10/AB13/12*1000</f>
        <v>48850.574712643684</v>
      </c>
      <c r="AC14" s="2141">
        <f>S14*1.067</f>
        <v>44943.860463889643</v>
      </c>
      <c r="AD14" s="2144">
        <f>W14*1.067</f>
        <v>44943.860463889643</v>
      </c>
      <c r="AE14" s="2144">
        <f>AD14</f>
        <v>44943.860463889643</v>
      </c>
      <c r="AF14" s="3233">
        <f t="shared" si="0"/>
        <v>1.0669999999999999</v>
      </c>
      <c r="AG14" s="3233">
        <f t="shared" si="1"/>
        <v>1.0669999999999999</v>
      </c>
      <c r="AH14" s="2141">
        <f>AH10/AH13/6*1000</f>
        <v>45935.493827160491</v>
      </c>
      <c r="AI14" s="2141">
        <f>AI10/AI13/9*1000</f>
        <v>45713.580246913582</v>
      </c>
      <c r="AJ14" s="2141">
        <f>SUM(AJ10/AJ13/12)*1000</f>
        <v>53735.632183908048</v>
      </c>
      <c r="AK14" s="2144">
        <f>SUM(AJ14)</f>
        <v>53735.632183908048</v>
      </c>
      <c r="AL14" s="2144">
        <f>AK14</f>
        <v>53735.632183908048</v>
      </c>
      <c r="AM14" s="3233">
        <f t="shared" si="2"/>
        <v>1.1956167456305227</v>
      </c>
      <c r="AN14" s="3233">
        <f t="shared" si="3"/>
        <v>1.1956167456305227</v>
      </c>
      <c r="AO14" s="2183">
        <f>AC14*1.074</f>
        <v>48269.70613821748</v>
      </c>
      <c r="AP14" s="2144">
        <f>AO14</f>
        <v>48269.70613821748</v>
      </c>
      <c r="AQ14" s="2144">
        <f>AP14</f>
        <v>48269.70613821748</v>
      </c>
      <c r="AR14" s="2144">
        <f>AR10/AR13/12*1000</f>
        <v>44190.544871794875</v>
      </c>
      <c r="AS14" s="2144">
        <f>AR14</f>
        <v>44190.544871794875</v>
      </c>
      <c r="AT14" s="2144">
        <f>AS14</f>
        <v>44190.544871794875</v>
      </c>
      <c r="AU14" s="2144">
        <f>AU10/AU13/12*1000</f>
        <v>49423.719326923077</v>
      </c>
      <c r="AV14" s="2144">
        <f>AU14</f>
        <v>49423.719326923077</v>
      </c>
      <c r="AW14" s="2144">
        <f>AV14</f>
        <v>49423.719326923077</v>
      </c>
      <c r="AX14" s="2144">
        <v>52694.8</v>
      </c>
      <c r="AY14" s="2144">
        <v>52694.81</v>
      </c>
      <c r="AZ14" s="2144">
        <v>52694.81</v>
      </c>
      <c r="BA14" s="2144">
        <f>BA10/BA13/12*1000</f>
        <v>50143.198717948711</v>
      </c>
      <c r="BB14" s="2144">
        <f>SUM(BA14)</f>
        <v>50143.198717948711</v>
      </c>
      <c r="BC14" s="2144">
        <f>SUM(BA14)</f>
        <v>50143.198717948711</v>
      </c>
      <c r="BD14" s="2144">
        <f>SUM(BA14)</f>
        <v>50143.198717948711</v>
      </c>
      <c r="BE14" s="2144">
        <f>SUM(BA14)</f>
        <v>50143.198717948711</v>
      </c>
      <c r="BF14" s="2144">
        <f>SUM(BA14)</f>
        <v>50143.198717948711</v>
      </c>
      <c r="BG14" s="2144">
        <f>SUM(BA14)</f>
        <v>50143.198717948711</v>
      </c>
      <c r="BH14" s="2144">
        <f>BH10/BH13/12*1000</f>
        <v>60922.385057471256</v>
      </c>
      <c r="BI14" s="2144">
        <f>BH14</f>
        <v>60922.385057471256</v>
      </c>
      <c r="BJ14" s="2144">
        <f>BI14</f>
        <v>60922.385057471256</v>
      </c>
      <c r="BK14" s="2144">
        <f>AU14*1.027*1.046</f>
        <v>53093.0350971925</v>
      </c>
      <c r="BL14" s="2144">
        <f>BL10/BL13/12*1000</f>
        <v>53093.035097192493</v>
      </c>
      <c r="BM14" s="2144">
        <f t="shared" ref="BM14:BO14" si="82">BM10/BM13/12*1000</f>
        <v>53093.035097192507</v>
      </c>
      <c r="BN14" s="2144">
        <f t="shared" si="82"/>
        <v>53093.035097192507</v>
      </c>
      <c r="BO14" s="2144">
        <f t="shared" si="82"/>
        <v>53093.035097192507</v>
      </c>
      <c r="BP14" s="2144">
        <f>SUM(BK14*1.046)</f>
        <v>55535.314711663355</v>
      </c>
      <c r="BQ14" s="2144">
        <f>SUM(BP14)</f>
        <v>55535.314711663355</v>
      </c>
      <c r="BR14" s="2144">
        <f>SUM(BP14)</f>
        <v>55535.314711663355</v>
      </c>
      <c r="BS14" s="2144">
        <f>SUM(BP14)</f>
        <v>55535.314711663355</v>
      </c>
      <c r="BT14" s="2144">
        <f>SUM(BP14)</f>
        <v>55535.314711663355</v>
      </c>
      <c r="BU14" s="2144">
        <f>SUM(BP14)</f>
        <v>55535.314711663355</v>
      </c>
      <c r="BV14" s="2144">
        <f>SUM(BP14)</f>
        <v>55535.314711663355</v>
      </c>
      <c r="BW14" s="2144">
        <f>SUM(BK14*1.03)*(1-0.01)</f>
        <v>54138.967888607192</v>
      </c>
      <c r="BX14" s="2144">
        <f>BX10/BX13/12*1000</f>
        <v>54138.9678886072</v>
      </c>
      <c r="BY14" s="2144">
        <f t="shared" ref="BY14:CA14" si="83">BY10/BY13/12*1000</f>
        <v>54138.967888607192</v>
      </c>
      <c r="BZ14" s="2144">
        <f t="shared" si="83"/>
        <v>54138.967888607192</v>
      </c>
      <c r="CA14" s="2144">
        <f t="shared" si="83"/>
        <v>54138.967888607192</v>
      </c>
      <c r="CB14" s="2144">
        <f>SUM(CB10/CB13/6*1000)</f>
        <v>49667.098765432092</v>
      </c>
      <c r="CC14" s="2144">
        <f>SUM(CB14)</f>
        <v>49667.098765432092</v>
      </c>
      <c r="CD14" s="2144">
        <f>SUM(CB14)</f>
        <v>49667.098765432092</v>
      </c>
      <c r="CE14" s="2144">
        <f>SUM(CB14)</f>
        <v>49667.098765432092</v>
      </c>
      <c r="CF14" s="2144">
        <f>SUM(CB14)</f>
        <v>49667.098765432092</v>
      </c>
      <c r="CG14" s="2144" t="e">
        <f t="shared" ref="CG14" si="84">SUM(CG10/CG13/6*1000)</f>
        <v>#DIV/0!</v>
      </c>
      <c r="CH14" s="2144">
        <f>SUM(CB14)</f>
        <v>49667.098765432092</v>
      </c>
      <c r="CI14" s="2144">
        <f>SUM(CI10/CI13/9*1000)</f>
        <v>49941.205020576126</v>
      </c>
      <c r="CJ14" s="2144">
        <f>SUM(CI14)</f>
        <v>49941.205020576126</v>
      </c>
      <c r="CK14" s="2144">
        <f>SUM(CI14)</f>
        <v>49941.205020576126</v>
      </c>
      <c r="CL14" s="2144">
        <f>SUM(CJ14)</f>
        <v>49941.205020576126</v>
      </c>
      <c r="CM14" s="2144">
        <f>SUM(CJ14)</f>
        <v>49941.205020576126</v>
      </c>
      <c r="CN14" s="2144" t="e">
        <f t="shared" ref="CN14" si="85">SUM(CN10/CN13/6*1000)</f>
        <v>#DIV/0!</v>
      </c>
      <c r="CO14" s="2144">
        <f>SUM(CJ14)</f>
        <v>49941.205020576126</v>
      </c>
      <c r="CP14" s="2144">
        <f>SUM(CP10/CP13/12*1000)</f>
        <v>50764.876543209881</v>
      </c>
      <c r="CQ14" s="2144">
        <f>SUM(CP14)</f>
        <v>50764.876543209881</v>
      </c>
      <c r="CR14" s="2144">
        <f>SUM(CP14)</f>
        <v>50764.876543209881</v>
      </c>
      <c r="CS14" s="2144">
        <f>SUM(CQ14)</f>
        <v>50764.876543209881</v>
      </c>
      <c r="CT14" s="2144">
        <f>SUM(CQ14)</f>
        <v>50764.876543209881</v>
      </c>
      <c r="CU14" s="2144" t="e">
        <f t="shared" ref="CU14" si="86">SUM(CU10/CU13/6*1000)</f>
        <v>#DIV/0!</v>
      </c>
      <c r="CV14" s="2144">
        <f>SUM(CQ14)</f>
        <v>50764.876543209881</v>
      </c>
      <c r="CW14" s="2144">
        <f>SUM(BW14*1.046)*(1-0.01)</f>
        <v>56063.06680736829</v>
      </c>
      <c r="CX14" s="2144">
        <f>SUM(CW14)</f>
        <v>56063.06680736829</v>
      </c>
      <c r="CY14" s="2144">
        <f>SUM(CW14)</f>
        <v>56063.06680736829</v>
      </c>
      <c r="CZ14" s="2144">
        <f>SUM(CX14)</f>
        <v>56063.06680736829</v>
      </c>
      <c r="DA14" s="2144">
        <f>SUM(CX14)</f>
        <v>56063.06680736829</v>
      </c>
      <c r="DB14" s="2144">
        <v>0</v>
      </c>
      <c r="DC14" s="2144">
        <f>SUM(CX14)</f>
        <v>56063.06680736829</v>
      </c>
      <c r="DD14" s="2112">
        <f>SUM(BL14*(1+0.032)*0.99*(1+0.036)*0.99)</f>
        <v>55634.910619494905</v>
      </c>
      <c r="DE14" s="2112">
        <f>SUM(BM14*(1+0.032)*0.99*(1+0.036)*0.99)</f>
        <v>55634.91061949492</v>
      </c>
      <c r="DF14" s="2144">
        <f>SUM(DF10/DF13/6*1000)</f>
        <v>50045.88262820513</v>
      </c>
      <c r="DG14" s="2144">
        <f>SUM(DF14)</f>
        <v>50045.88262820513</v>
      </c>
      <c r="DH14" s="2144">
        <f>SUM(DF14)</f>
        <v>50045.88262820513</v>
      </c>
      <c r="DI14" s="2144">
        <f>SUM(DF14)</f>
        <v>50045.88262820513</v>
      </c>
      <c r="DJ14" s="2144">
        <f>SUM(DF14)</f>
        <v>50045.88262820513</v>
      </c>
      <c r="DK14" s="2144" t="e">
        <f t="shared" ref="DK14" si="87">SUM(DK10/DK13/6*1000)</f>
        <v>#DIV/0!</v>
      </c>
      <c r="DL14" s="2144">
        <f>SUM(DF14)</f>
        <v>50045.88262820513</v>
      </c>
      <c r="DM14" s="2144">
        <f>SUM(DM10/DM13/9*1000)</f>
        <v>50123.435982905983</v>
      </c>
      <c r="DN14" s="2144">
        <f>SUM(DM14)</f>
        <v>50123.435982905983</v>
      </c>
      <c r="DO14" s="2144">
        <f>SUM(DM14)</f>
        <v>50123.435982905983</v>
      </c>
      <c r="DP14" s="2144">
        <f>SUM(DN14)</f>
        <v>50123.435982905983</v>
      </c>
      <c r="DQ14" s="2144">
        <f>SUM(DN14)</f>
        <v>50123.435982905983</v>
      </c>
      <c r="DR14" s="2144" t="e">
        <f t="shared" ref="DR14" si="88">SUM(DR10/DR13/6*1000)</f>
        <v>#DIV/0!</v>
      </c>
      <c r="DS14" s="2144">
        <f>SUM(DN14)</f>
        <v>50123.435982905983</v>
      </c>
      <c r="DT14" s="2144">
        <f>SUM(DT10/DT13/12*1000)</f>
        <v>50294.333333333336</v>
      </c>
      <c r="DU14" s="2144">
        <f>SUM(DT14)</f>
        <v>50294.333333333336</v>
      </c>
      <c r="DV14" s="2144">
        <f>SUM(DT14)</f>
        <v>50294.333333333336</v>
      </c>
      <c r="DW14" s="2144">
        <f>SUM(DU14)</f>
        <v>50294.333333333336</v>
      </c>
      <c r="DX14" s="2144">
        <f>SUM(DU14)</f>
        <v>50294.333333333336</v>
      </c>
      <c r="DY14" s="2144" t="e">
        <f t="shared" ref="DY14" si="89">SUM(DY10/DY13/6*1000)</f>
        <v>#DIV/0!</v>
      </c>
      <c r="DZ14" s="2144">
        <f>SUM(DU14)</f>
        <v>50294.333333333336</v>
      </c>
      <c r="EA14" s="2144">
        <f>SUM(DD14*1.05)*(1-0.01)</f>
        <v>57832.489588964956</v>
      </c>
      <c r="EB14" s="2144">
        <f>SUM(EA14)</f>
        <v>57832.489588964956</v>
      </c>
      <c r="EC14" s="2144">
        <f>SUM(EA14)</f>
        <v>57832.489588964956</v>
      </c>
      <c r="ED14" s="2144">
        <f>SUM(EB14)</f>
        <v>57832.489588964956</v>
      </c>
      <c r="EE14" s="2144">
        <f>SUM(EB14)</f>
        <v>57832.489588964956</v>
      </c>
      <c r="EF14" s="2144">
        <v>0</v>
      </c>
      <c r="EG14" s="2144">
        <f>SUM(EB14)</f>
        <v>57832.489588964956</v>
      </c>
      <c r="EH14" s="2112">
        <f>SUM(BL14*(1+0.034)*0.99*1.06*0.99*(1+0.043)*0.99)</f>
        <v>58891.667174697213</v>
      </c>
      <c r="EI14" s="2112">
        <f>SUM(BM14*(1+0.034)*0.99*1.06*0.99*(1+0.043)*0.99)</f>
        <v>58891.667174697235</v>
      </c>
      <c r="EJ14" s="3953" t="s">
        <v>1920</v>
      </c>
      <c r="EK14" s="2144">
        <f>SUM(EK10/EK13/6*1000)</f>
        <v>62000.505448717944</v>
      </c>
      <c r="EL14" s="2144">
        <f>SUM(EK14)</f>
        <v>62000.505448717944</v>
      </c>
      <c r="EM14" s="2144">
        <f>SUM(EK14)</f>
        <v>62000.505448717944</v>
      </c>
      <c r="EN14" s="2144">
        <f>SUM(EK14)</f>
        <v>62000.505448717944</v>
      </c>
      <c r="EO14" s="2144">
        <f>SUM(EK14)</f>
        <v>62000.505448717944</v>
      </c>
      <c r="EP14" s="2144" t="e">
        <f t="shared" ref="EP14" si="90">SUM(EP10/EP13/6*1000)</f>
        <v>#DIV/0!</v>
      </c>
      <c r="EQ14" s="2144">
        <f>SUM(EK14)</f>
        <v>62000.505448717944</v>
      </c>
      <c r="ER14" s="2144">
        <f>SUM(ER10/ER13/9*1000)</f>
        <v>62047.722222222219</v>
      </c>
      <c r="ES14" s="2144">
        <f>SUM(ER14)</f>
        <v>62047.722222222219</v>
      </c>
      <c r="ET14" s="2144">
        <f>SUM(ER14)</f>
        <v>62047.722222222219</v>
      </c>
      <c r="EU14" s="2144">
        <f>SUM(ES14)</f>
        <v>62047.722222222219</v>
      </c>
      <c r="EV14" s="2144">
        <f>SUM(ES14)</f>
        <v>62047.722222222219</v>
      </c>
      <c r="EW14" s="2144" t="e">
        <f t="shared" ref="EW14" si="91">SUM(EW10/EW13/6*1000)</f>
        <v>#DIV/0!</v>
      </c>
      <c r="EX14" s="2144">
        <f>SUM(ES14)</f>
        <v>62047.722222222219</v>
      </c>
      <c r="EY14" s="2144">
        <f>SUM(EY10/EY13/12*1000)</f>
        <v>59929.958333333328</v>
      </c>
      <c r="EZ14" s="2144">
        <f>SUM(EY14)</f>
        <v>59929.958333333328</v>
      </c>
      <c r="FA14" s="2144">
        <f>SUM(EY14)</f>
        <v>59929.958333333328</v>
      </c>
      <c r="FB14" s="2144">
        <f>SUM(EZ14)</f>
        <v>59929.958333333328</v>
      </c>
      <c r="FC14" s="2144">
        <f>SUM(EZ14)</f>
        <v>59929.958333333328</v>
      </c>
      <c r="FD14" s="3862" t="e">
        <f t="shared" ref="FD14" si="92">SUM(FD10/FD13/6*1000)</f>
        <v>#DIV/0!</v>
      </c>
      <c r="FE14" s="3862">
        <f>SUM(EZ14)</f>
        <v>59929.958333333328</v>
      </c>
      <c r="FF14" s="2447">
        <f>SUM(EY14*(1+0.1)*0.99*(1+0.05)*0.99)</f>
        <v>67841.641747687507</v>
      </c>
      <c r="FG14" s="2447">
        <f>SUM(FF14)</f>
        <v>67841.641747687507</v>
      </c>
      <c r="FH14" s="2447">
        <f>SUM(FF14)</f>
        <v>67841.641747687507</v>
      </c>
      <c r="FI14" s="2447">
        <f>SUM(FG14)</f>
        <v>67841.641747687507</v>
      </c>
      <c r="FJ14" s="2447">
        <f>SUM(FG14)</f>
        <v>67841.641747687507</v>
      </c>
      <c r="FK14" s="2447">
        <v>0</v>
      </c>
      <c r="FL14" s="2447">
        <f>SUM(FG14)</f>
        <v>67841.641747687507</v>
      </c>
      <c r="FM14" s="3512">
        <f>BL14*0.99*1.034*0.99*1.067*0.99*1.139*0.99*1.06</f>
        <v>67934.890337480334</v>
      </c>
      <c r="FN14" s="3512">
        <f>BM14*0.99*1.034*0.99*1.067*0.99*1.139*0.99*1.06</f>
        <v>67934.890337480349</v>
      </c>
      <c r="FO14" s="4760">
        <f>SUM(9821936.66/6/24)</f>
        <v>68207.893472222218</v>
      </c>
      <c r="FP14" s="4760">
        <f>SUM(FO14)</f>
        <v>68207.893472222218</v>
      </c>
      <c r="FQ14" s="4760">
        <f>SUM(FO14)</f>
        <v>68207.893472222218</v>
      </c>
      <c r="FR14" s="4760">
        <f>SUM(FO14)</f>
        <v>68207.893472222218</v>
      </c>
      <c r="FS14" s="4760">
        <f>SUM(20001693.27/12/24)</f>
        <v>69450.323854166665</v>
      </c>
      <c r="FT14" s="4760">
        <f>SUM(FS14)</f>
        <v>69450.323854166665</v>
      </c>
      <c r="FU14" s="4760">
        <f>SUM(FS14)</f>
        <v>69450.323854166665</v>
      </c>
      <c r="FV14" s="4760">
        <f>SUM(FS14)</f>
        <v>69450.323854166665</v>
      </c>
    </row>
    <row r="15" spans="1:178" s="179" customFormat="1" ht="46.5" customHeight="1" x14ac:dyDescent="0.2">
      <c r="A15" s="3234" t="s">
        <v>4269</v>
      </c>
      <c r="B15" s="3110"/>
      <c r="C15" s="3110"/>
      <c r="D15" s="2140"/>
      <c r="E15" s="3110"/>
      <c r="F15" s="2140"/>
      <c r="G15" s="2140"/>
      <c r="H15" s="2140"/>
      <c r="I15" s="2147"/>
      <c r="J15" s="2147"/>
      <c r="K15" s="2147"/>
      <c r="L15" s="2147"/>
      <c r="M15" s="2147"/>
      <c r="N15" s="2141"/>
      <c r="O15" s="2141"/>
      <c r="P15" s="2141"/>
      <c r="Q15" s="2141"/>
      <c r="R15" s="2141"/>
      <c r="S15" s="2141"/>
      <c r="T15" s="2143"/>
      <c r="U15" s="2144"/>
      <c r="V15" s="2144"/>
      <c r="W15" s="2144"/>
      <c r="X15" s="2144"/>
      <c r="Y15" s="2141"/>
      <c r="Z15" s="2141"/>
      <c r="AA15" s="2141"/>
      <c r="AB15" s="2141"/>
      <c r="AC15" s="2141"/>
      <c r="AD15" s="2144"/>
      <c r="AE15" s="2144"/>
      <c r="AF15" s="3233"/>
      <c r="AG15" s="3233"/>
      <c r="AH15" s="2141"/>
      <c r="AI15" s="2141"/>
      <c r="AJ15" s="2141"/>
      <c r="AK15" s="2144"/>
      <c r="AL15" s="2144"/>
      <c r="AM15" s="3233"/>
      <c r="AN15" s="3233"/>
      <c r="AO15" s="2183"/>
      <c r="AP15" s="2144"/>
      <c r="AQ15" s="2144"/>
      <c r="AR15" s="2144"/>
      <c r="AS15" s="2144"/>
      <c r="AT15" s="2144"/>
      <c r="AU15" s="2144">
        <f>AV15+AW15</f>
        <v>51</v>
      </c>
      <c r="AV15" s="2144">
        <v>29.58</v>
      </c>
      <c r="AW15" s="2144">
        <v>21.42</v>
      </c>
      <c r="AX15" s="2144">
        <v>0</v>
      </c>
      <c r="AY15" s="2144">
        <v>0</v>
      </c>
      <c r="AZ15" s="2144">
        <v>0</v>
      </c>
      <c r="BA15" s="2144">
        <f t="shared" ref="BA15:BA48" si="93">SUM(BB15:BG15)</f>
        <v>0</v>
      </c>
      <c r="BB15" s="2144">
        <v>0</v>
      </c>
      <c r="BC15" s="2144"/>
      <c r="BD15" s="2144">
        <v>0</v>
      </c>
      <c r="BE15" s="2144"/>
      <c r="BF15" s="2144"/>
      <c r="BG15" s="2144"/>
      <c r="BH15" s="2144"/>
      <c r="BI15" s="2144"/>
      <c r="BJ15" s="2144"/>
      <c r="BK15" s="2144"/>
      <c r="BL15" s="2144"/>
      <c r="BM15" s="2144"/>
      <c r="BN15" s="2144"/>
      <c r="BO15" s="2144"/>
      <c r="BP15" s="2144">
        <f t="shared" ref="BP15:BP46" si="94">SUM(BQ15:BV15)</f>
        <v>0</v>
      </c>
      <c r="BQ15" s="2144">
        <v>0</v>
      </c>
      <c r="BR15" s="2144">
        <v>0</v>
      </c>
      <c r="BS15" s="2144">
        <v>0</v>
      </c>
      <c r="BT15" s="2144">
        <v>0</v>
      </c>
      <c r="BU15" s="2144">
        <v>0</v>
      </c>
      <c r="BV15" s="2144">
        <v>0</v>
      </c>
      <c r="BW15" s="2144">
        <f t="shared" ref="BW15:BW48" si="95">SUM(BK15*1.03)*(1-0.01)</f>
        <v>0</v>
      </c>
      <c r="BX15" s="2144"/>
      <c r="BY15" s="2144"/>
      <c r="BZ15" s="2144"/>
      <c r="CA15" s="2144"/>
      <c r="CB15" s="2144">
        <f t="shared" ref="CB15:CB44" si="96">SUM(CC15:CH15)</f>
        <v>0</v>
      </c>
      <c r="CC15" s="2144">
        <v>0</v>
      </c>
      <c r="CD15" s="2144">
        <v>0</v>
      </c>
      <c r="CE15" s="2144">
        <v>0</v>
      </c>
      <c r="CF15" s="2144">
        <v>0</v>
      </c>
      <c r="CG15" s="2144">
        <v>0</v>
      </c>
      <c r="CH15" s="2144">
        <v>0</v>
      </c>
      <c r="CI15" s="2144">
        <f t="shared" ref="CI15:CI44" si="97">SUM(CJ15:CO15)</f>
        <v>0</v>
      </c>
      <c r="CJ15" s="2144">
        <v>0</v>
      </c>
      <c r="CK15" s="2144">
        <v>0</v>
      </c>
      <c r="CL15" s="2144">
        <v>0</v>
      </c>
      <c r="CM15" s="2144">
        <v>0</v>
      </c>
      <c r="CN15" s="2144">
        <v>0</v>
      </c>
      <c r="CO15" s="2144">
        <v>0</v>
      </c>
      <c r="CP15" s="2144">
        <f t="shared" ref="CP15:CP44" si="98">SUM(CQ15:CV15)</f>
        <v>0</v>
      </c>
      <c r="CQ15" s="2144">
        <v>0</v>
      </c>
      <c r="CR15" s="2144">
        <v>0</v>
      </c>
      <c r="CS15" s="2144">
        <v>0</v>
      </c>
      <c r="CT15" s="2144">
        <v>0</v>
      </c>
      <c r="CU15" s="2144">
        <v>0</v>
      </c>
      <c r="CV15" s="2144">
        <v>0</v>
      </c>
      <c r="CW15" s="2144">
        <f t="shared" ref="CW15:CW48" si="99">SUM(CP15*1.046)*(1-0.01)</f>
        <v>0</v>
      </c>
      <c r="CX15" s="2144">
        <f>SUM(CW15*CX50)</f>
        <v>0</v>
      </c>
      <c r="CY15" s="2144">
        <f>SUM(CW15*CY50)</f>
        <v>0</v>
      </c>
      <c r="CZ15" s="2144">
        <f>SUM(CW15*CZ50)</f>
        <v>0</v>
      </c>
      <c r="DA15" s="2144">
        <f>SUM(CW15*DA50)</f>
        <v>0</v>
      </c>
      <c r="DB15" s="2144">
        <f>SUM(CW15*DB50)</f>
        <v>0</v>
      </c>
      <c r="DC15" s="2144">
        <f>SUM(CW15*DC50)</f>
        <v>0</v>
      </c>
      <c r="DD15" s="2112">
        <f t="shared" ref="DD15:DD47" si="100">SUM(BL15*(1+0.032)*0.99*(1+0.036)*0.99)</f>
        <v>0</v>
      </c>
      <c r="DE15" s="2112">
        <f t="shared" ref="DE15:DE48" si="101">SUM(BM15*(1+0.032)*0.99*(1+0.036)*0.99)</f>
        <v>0</v>
      </c>
      <c r="DF15" s="2144">
        <f t="shared" ref="DF15:DF44" si="102">SUM(DG15:DL15)</f>
        <v>0</v>
      </c>
      <c r="DG15" s="2144">
        <v>0</v>
      </c>
      <c r="DH15" s="2144">
        <v>0</v>
      </c>
      <c r="DI15" s="2144">
        <v>0</v>
      </c>
      <c r="DJ15" s="2144">
        <v>0</v>
      </c>
      <c r="DK15" s="2144">
        <v>0</v>
      </c>
      <c r="DL15" s="2144">
        <v>0</v>
      </c>
      <c r="DM15" s="2144">
        <f t="shared" ref="DM15:DM44" si="103">SUM(DN15:DS15)</f>
        <v>0</v>
      </c>
      <c r="DN15" s="2144">
        <v>0</v>
      </c>
      <c r="DO15" s="2144">
        <v>0</v>
      </c>
      <c r="DP15" s="2144">
        <v>0</v>
      </c>
      <c r="DQ15" s="2144">
        <v>0</v>
      </c>
      <c r="DR15" s="2144">
        <v>0</v>
      </c>
      <c r="DS15" s="2144">
        <v>0</v>
      </c>
      <c r="DT15" s="2144">
        <f t="shared" ref="DT15:DT44" si="104">SUM(DU15:DZ15)</f>
        <v>0</v>
      </c>
      <c r="DU15" s="2144">
        <v>0</v>
      </c>
      <c r="DV15" s="2144">
        <v>0</v>
      </c>
      <c r="DW15" s="2144">
        <v>0</v>
      </c>
      <c r="DX15" s="2144">
        <v>0</v>
      </c>
      <c r="DY15" s="2144">
        <v>0</v>
      </c>
      <c r="DZ15" s="2144">
        <v>0</v>
      </c>
      <c r="EA15" s="2144">
        <f t="shared" ref="EA15:EA48" si="105">SUM(DT15*1.05)*(1-0.01)</f>
        <v>0</v>
      </c>
      <c r="EB15" s="2144">
        <f>SUM(EA15*EB50)</f>
        <v>0</v>
      </c>
      <c r="EC15" s="2144">
        <f>SUM(EA15*EC50)</f>
        <v>0</v>
      </c>
      <c r="ED15" s="2144">
        <f>SUM(EA15*ED50)</f>
        <v>0</v>
      </c>
      <c r="EE15" s="2144">
        <f>SUM(EA15*EE50)</f>
        <v>0</v>
      </c>
      <c r="EF15" s="2144">
        <f>SUM(EA15*EF50)</f>
        <v>0</v>
      </c>
      <c r="EG15" s="2144">
        <f>SUM(EA15*EG50)</f>
        <v>0</v>
      </c>
      <c r="EH15" s="2112">
        <f>SUM(BL15*(1+0.034)*0.99*1.06*0.99*(1+0.043)*0.99)</f>
        <v>0</v>
      </c>
      <c r="EI15" s="2112">
        <f t="shared" ref="EI15:EI48" si="106">SUM(BM15*(1+0.034)*0.99*1.06*0.99*(1+0.043)*0.99)</f>
        <v>0</v>
      </c>
      <c r="EJ15" s="3953"/>
      <c r="EK15" s="2144">
        <f t="shared" ref="EK15:EK44" si="107">SUM(EL15:EQ15)</f>
        <v>0</v>
      </c>
      <c r="EL15" s="2144">
        <v>0</v>
      </c>
      <c r="EM15" s="2144">
        <v>0</v>
      </c>
      <c r="EN15" s="2144">
        <v>0</v>
      </c>
      <c r="EO15" s="2144">
        <v>0</v>
      </c>
      <c r="EP15" s="2144">
        <v>0</v>
      </c>
      <c r="EQ15" s="2144">
        <v>0</v>
      </c>
      <c r="ER15" s="2144">
        <f t="shared" ref="ER15:ER44" si="108">SUM(ES15:EX15)</f>
        <v>0</v>
      </c>
      <c r="ES15" s="2144">
        <v>0</v>
      </c>
      <c r="ET15" s="2144">
        <v>0</v>
      </c>
      <c r="EU15" s="2144">
        <v>0</v>
      </c>
      <c r="EV15" s="2144">
        <v>0</v>
      </c>
      <c r="EW15" s="2144">
        <v>0</v>
      </c>
      <c r="EX15" s="2144">
        <v>0</v>
      </c>
      <c r="EY15" s="2144">
        <f t="shared" ref="EY15:EY44" si="109">SUM(EZ15:FE15)</f>
        <v>0</v>
      </c>
      <c r="EZ15" s="2144">
        <v>0</v>
      </c>
      <c r="FA15" s="2144">
        <v>0</v>
      </c>
      <c r="FB15" s="2144">
        <v>0</v>
      </c>
      <c r="FC15" s="2144">
        <v>0</v>
      </c>
      <c r="FD15" s="3862">
        <v>0</v>
      </c>
      <c r="FE15" s="3862">
        <v>0</v>
      </c>
      <c r="FF15" s="2447">
        <f>SUM(EY15*(1+0.1)*0.99*(1+0.05)*0.99)</f>
        <v>0</v>
      </c>
      <c r="FG15" s="2447">
        <f t="shared" ref="FG15" si="110">SUM(EZ15*(1+0.1)*0.99*(1+0.05)*0.99)</f>
        <v>0</v>
      </c>
      <c r="FH15" s="2447">
        <f t="shared" ref="FH15" si="111">SUM(FA15*(1+0.1)*0.99*(1+0.05)*0.99)</f>
        <v>0</v>
      </c>
      <c r="FI15" s="2447">
        <f t="shared" ref="FI15" si="112">SUM(FB15*(1+0.1)*0.99*(1+0.05)*0.99)</f>
        <v>0</v>
      </c>
      <c r="FJ15" s="2447">
        <f t="shared" ref="FJ15" si="113">SUM(FC15*(1+0.1)*0.99*(1+0.05)*0.99)</f>
        <v>0</v>
      </c>
      <c r="FK15" s="2447">
        <f>SUM(FF15*FK50)</f>
        <v>0</v>
      </c>
      <c r="FL15" s="2447">
        <f>SUM(FF15*FL50)</f>
        <v>0</v>
      </c>
      <c r="FM15" s="3512">
        <f>BL15*0.99*1.034*0.99*1.067*0.99*1.139*0.99*1.06</f>
        <v>0</v>
      </c>
      <c r="FN15" s="3512">
        <f>BM15*0.99*1.034*0.99*1.067*0.99*1.139*0.99*1.06</f>
        <v>0</v>
      </c>
      <c r="FO15" s="4760">
        <v>256.09474999999998</v>
      </c>
      <c r="FP15" s="4760">
        <v>6.1400000000000003E-2</v>
      </c>
      <c r="FQ15" s="4760">
        <v>176.31737000000001</v>
      </c>
      <c r="FR15" s="4760">
        <v>0.44633</v>
      </c>
      <c r="FS15" s="4760">
        <v>634.44520999999997</v>
      </c>
      <c r="FT15" s="4760">
        <v>9.2600000000000002E-2</v>
      </c>
      <c r="FU15" s="4760">
        <v>461.25121999999999</v>
      </c>
      <c r="FV15" s="4760">
        <v>1.3138700000000001</v>
      </c>
    </row>
    <row r="16" spans="1:178" ht="24" customHeight="1" x14ac:dyDescent="0.2">
      <c r="A16" s="3234" t="s">
        <v>32</v>
      </c>
      <c r="B16" s="3110">
        <v>142.5</v>
      </c>
      <c r="C16" s="3110">
        <v>344.3</v>
      </c>
      <c r="D16" s="2139">
        <f t="shared" ref="D16:D25" si="114">C16/B16*100</f>
        <v>241.61403508771932</v>
      </c>
      <c r="E16" s="3110">
        <v>436.2</v>
      </c>
      <c r="F16" s="2139">
        <f>E16/C16*100</f>
        <v>126.69183851292476</v>
      </c>
      <c r="G16" s="2140">
        <f>219.6+211.5+61.1</f>
        <v>492.20000000000005</v>
      </c>
      <c r="H16" s="2139">
        <f t="shared" ref="H16:H25" si="115">G16/E16*100</f>
        <v>112.83814763869786</v>
      </c>
      <c r="I16" s="2141">
        <v>371.4</v>
      </c>
      <c r="J16" s="2141">
        <f>205.9+142</f>
        <v>347.9</v>
      </c>
      <c r="K16" s="2141">
        <f>J16/9*12</f>
        <v>463.86666666666662</v>
      </c>
      <c r="L16" s="2141">
        <v>473.9</v>
      </c>
      <c r="M16" s="2145">
        <f t="shared" ref="M16:M24" si="116">K16/G16*100</f>
        <v>94.243532439387764</v>
      </c>
      <c r="N16" s="2141">
        <v>486.59613333333323</v>
      </c>
      <c r="O16" s="2141">
        <f>221.8+105.4</f>
        <v>327.20000000000005</v>
      </c>
      <c r="P16" s="2141">
        <f>318.79145+167.22607</f>
        <v>486.01751999999999</v>
      </c>
      <c r="Q16" s="2141">
        <v>654.70000000000005</v>
      </c>
      <c r="R16" s="2141">
        <v>679.8</v>
      </c>
      <c r="S16" s="2140">
        <f>N16*1.048</f>
        <v>509.95274773333324</v>
      </c>
      <c r="T16" s="2143">
        <f>S16/N16</f>
        <v>1.048</v>
      </c>
      <c r="U16" s="2144" t="e">
        <f>R16*#REF!</f>
        <v>#REF!</v>
      </c>
      <c r="V16" s="2144" t="e">
        <f>R16*#REF!</f>
        <v>#REF!</v>
      </c>
      <c r="W16" s="2144">
        <f t="shared" ref="W16:W47" si="117">S16*$Y$56</f>
        <v>291.17234426917497</v>
      </c>
      <c r="X16" s="2144">
        <f t="shared" ref="X16:X47" si="118">S16*$Y$57</f>
        <v>206.81360690317956</v>
      </c>
      <c r="Y16" s="2144">
        <v>313.62</v>
      </c>
      <c r="Z16" s="2144">
        <v>419.82</v>
      </c>
      <c r="AA16" s="2144">
        <v>568.21</v>
      </c>
      <c r="AB16" s="2141">
        <v>525.29999999999995</v>
      </c>
      <c r="AC16" s="2140">
        <f>AB16</f>
        <v>525.29999999999995</v>
      </c>
      <c r="AD16" s="2144">
        <f t="shared" ref="AD16:AD42" si="119">AC16*$AG$56</f>
        <v>310.97716949673435</v>
      </c>
      <c r="AE16" s="2144">
        <f t="shared" ref="AE16:AE42" si="120">AC16*$AG$57</f>
        <v>210.12033897894929</v>
      </c>
      <c r="AF16" s="3233">
        <f t="shared" si="0"/>
        <v>1.0680175353784656</v>
      </c>
      <c r="AG16" s="3233">
        <f t="shared" si="1"/>
        <v>1.0159889483350957</v>
      </c>
      <c r="AH16" s="2144">
        <v>230.39</v>
      </c>
      <c r="AI16" s="2144">
        <v>322.31</v>
      </c>
      <c r="AJ16" s="2140">
        <f>SUM(AA16*1.1)</f>
        <v>625.03100000000006</v>
      </c>
      <c r="AK16" s="2144">
        <f>AJ16*AI56</f>
        <v>372.51847600000002</v>
      </c>
      <c r="AL16" s="2144">
        <f>AJ16*AI57</f>
        <v>252.51252400000004</v>
      </c>
      <c r="AM16" s="3233">
        <f t="shared" si="2"/>
        <v>1.1978965420608214</v>
      </c>
      <c r="AN16" s="3233">
        <f t="shared" si="3"/>
        <v>1.2017519352341126</v>
      </c>
      <c r="AO16" s="2567">
        <f>AH16*2*1.062</f>
        <v>489.34836000000001</v>
      </c>
      <c r="AP16" s="2144">
        <f t="shared" ref="AP16:AP48" si="121">AO16*$AL$56</f>
        <v>266.28134847421506</v>
      </c>
      <c r="AQ16" s="2144">
        <f t="shared" ref="AQ16:AQ48" si="122">AO16*$AL$57</f>
        <v>220.42996336215103</v>
      </c>
      <c r="AR16" s="2144">
        <f t="shared" si="7"/>
        <v>484.67999999999995</v>
      </c>
      <c r="AS16" s="2144">
        <v>285.95999999999998</v>
      </c>
      <c r="AT16" s="2144">
        <v>198.72</v>
      </c>
      <c r="AU16" s="2144">
        <f>626.72396+160.47375</f>
        <v>787.19771000000003</v>
      </c>
      <c r="AV16" s="2144">
        <f>363.4999+93.07478</f>
        <v>456.57468000000006</v>
      </c>
      <c r="AW16" s="2144">
        <f>263.22406+67.39898</f>
        <v>330.62304</v>
      </c>
      <c r="AX16" s="2144">
        <f>SUM(AY16:AZ16)</f>
        <v>534.21</v>
      </c>
      <c r="AY16" s="2144">
        <v>315.18</v>
      </c>
      <c r="AZ16" s="2144">
        <v>219.03</v>
      </c>
      <c r="BA16" s="2144">
        <f t="shared" si="93"/>
        <v>871.44029</v>
      </c>
      <c r="BB16" s="2144">
        <f>403.184+109.2</f>
        <v>512.38400000000001</v>
      </c>
      <c r="BC16" s="3236">
        <f>0.0071+0.02039</f>
        <v>2.7490000000000001E-2</v>
      </c>
      <c r="BD16" s="2144">
        <f>277.904+75.373</f>
        <v>353.27699999999999</v>
      </c>
      <c r="BE16" s="2564">
        <f>0.0538+0.154</f>
        <v>0.20779999999999998</v>
      </c>
      <c r="BF16" s="2564">
        <f>0.601+2.078</f>
        <v>2.6789999999999998</v>
      </c>
      <c r="BG16" s="2610">
        <f>0.652+2.213</f>
        <v>2.8650000000000002</v>
      </c>
      <c r="BH16" s="2144">
        <f t="shared" si="11"/>
        <v>835.14</v>
      </c>
      <c r="BI16" s="2144">
        <v>485.28</v>
      </c>
      <c r="BJ16" s="2144">
        <v>349.86</v>
      </c>
      <c r="BK16" s="2144">
        <f>BH16</f>
        <v>835.14</v>
      </c>
      <c r="BL16" s="2144">
        <f t="shared" ref="BL16:BL48" si="123">BK16*$BL$50</f>
        <v>485.47125016350208</v>
      </c>
      <c r="BM16" s="2144">
        <f t="shared" ref="BM16:BM48" si="124">BK16*$BM$50</f>
        <v>314.34988135571717</v>
      </c>
      <c r="BN16" s="2144">
        <f t="shared" ref="BN16:BN48" si="125">BK16*$BN$50</f>
        <v>33.32239559926974</v>
      </c>
      <c r="BO16" s="2144">
        <f t="shared" ref="BO16:BO48" si="126">BK16*$BO$50</f>
        <v>1.9964728815109036</v>
      </c>
      <c r="BP16" s="2144">
        <f>SUM(BA16*1.046)</f>
        <v>911.52654333999999</v>
      </c>
      <c r="BQ16" s="2144">
        <f>SUM(BP16*BB50)</f>
        <v>536.25442640304868</v>
      </c>
      <c r="BR16" s="2144">
        <f>SUM(BP16*BC50)</f>
        <v>2.4254554381257495E-2</v>
      </c>
      <c r="BS16" s="2144">
        <f>SUM(BP16*BD50)</f>
        <v>370.69335774738153</v>
      </c>
      <c r="BT16" s="2144">
        <f>SUM(BP16*BE50)</f>
        <v>0.18381908112596915</v>
      </c>
      <c r="BU16" s="2144">
        <f>SUM(BP16*BF50)</f>
        <v>1.8919829766024259</v>
      </c>
      <c r="BV16" s="2144">
        <f>SUM(BP16*BG50)</f>
        <v>2.4787025774602416</v>
      </c>
      <c r="BW16" s="2144">
        <f t="shared" si="95"/>
        <v>851.59225800000002</v>
      </c>
      <c r="BX16" s="2144">
        <f t="shared" ref="BX16:BX48" si="127">BW16*$BL$50</f>
        <v>495.03503379172309</v>
      </c>
      <c r="BY16" s="2144">
        <f t="shared" ref="BY16:BY48" si="128">BW16*$BM$50</f>
        <v>320.54257401842483</v>
      </c>
      <c r="BZ16" s="2144">
        <f t="shared" ref="BZ16:BZ48" si="129">BW16*$BN$50</f>
        <v>33.978846792575354</v>
      </c>
      <c r="CA16" s="2144">
        <f t="shared" ref="CA16:CA48" si="130">BW16*$BO$50</f>
        <v>2.0358033972766685</v>
      </c>
      <c r="CB16" s="2144">
        <f t="shared" si="96"/>
        <v>696.52200000000005</v>
      </c>
      <c r="CC16" s="2144">
        <f>257.45+148.95+0.03</f>
        <v>406.42999999999995</v>
      </c>
      <c r="CD16" s="2144">
        <f>0.078+0.044</f>
        <v>0.122</v>
      </c>
      <c r="CE16" s="2144">
        <f>175.52+101.11</f>
        <v>276.63</v>
      </c>
      <c r="CF16" s="2144">
        <f>0.58+0.32</f>
        <v>0.89999999999999991</v>
      </c>
      <c r="CG16" s="2144">
        <v>0</v>
      </c>
      <c r="CH16" s="2144">
        <f>7.94+4.5</f>
        <v>12.440000000000001</v>
      </c>
      <c r="CI16" s="2144">
        <f t="shared" si="97"/>
        <v>1020.4422</v>
      </c>
      <c r="CJ16" s="2144">
        <f>222.01628+377.19413</f>
        <v>599.21040999999991</v>
      </c>
      <c r="CK16" s="2144">
        <f>0.1073+0.06616</f>
        <v>0.17346</v>
      </c>
      <c r="CL16" s="2144">
        <f>147.78069+251.10223</f>
        <v>398.88292000000001</v>
      </c>
      <c r="CM16" s="2144">
        <f>0.74771+0.41497</f>
        <v>1.1626799999999999</v>
      </c>
      <c r="CN16" s="2144">
        <v>0</v>
      </c>
      <c r="CO16" s="2144">
        <f>7.497+13.51573</f>
        <v>21.012729999999998</v>
      </c>
      <c r="CP16" s="2144">
        <f t="shared" si="98"/>
        <v>1358.7099999999998</v>
      </c>
      <c r="CQ16" s="2144">
        <f>426.69+368.42</f>
        <v>795.11</v>
      </c>
      <c r="CR16" s="2144">
        <f>0.12+0.1</f>
        <v>0.22</v>
      </c>
      <c r="CS16" s="2144">
        <f>283.62+243.42</f>
        <v>527.04</v>
      </c>
      <c r="CT16" s="2144">
        <f>0.85+0.72</f>
        <v>1.5699999999999998</v>
      </c>
      <c r="CU16" s="2144">
        <v>0</v>
      </c>
      <c r="CV16" s="2144">
        <f>17+17.77</f>
        <v>34.769999999999996</v>
      </c>
      <c r="CW16" s="2144">
        <f t="shared" si="99"/>
        <v>1406.9985534</v>
      </c>
      <c r="CX16" s="2144">
        <f>SUM(CW16*CX50)</f>
        <v>823.33536565747556</v>
      </c>
      <c r="CY16" s="2144">
        <f>SUM(CW16*CY50)</f>
        <v>0.22933773799781132</v>
      </c>
      <c r="CZ16" s="2144">
        <f>SUM(CW16*CZ50)</f>
        <v>545.71644888031562</v>
      </c>
      <c r="DA16" s="2144">
        <f>SUM(CW16*DA50)</f>
        <v>1.5787014015229952</v>
      </c>
      <c r="DB16" s="2144">
        <f>SUM(CW16*DB50)</f>
        <v>0</v>
      </c>
      <c r="DC16" s="2144">
        <f>SUM(CW16*DC50)</f>
        <v>36.13869972268791</v>
      </c>
      <c r="DD16" s="2112">
        <f t="shared" si="100"/>
        <v>508.71361114951793</v>
      </c>
      <c r="DE16" s="2112">
        <v>576.65</v>
      </c>
      <c r="DF16" s="2144">
        <f t="shared" si="102"/>
        <v>520.6501300000001</v>
      </c>
      <c r="DG16" s="2144">
        <v>295.64174000000003</v>
      </c>
      <c r="DH16" s="2144">
        <v>7.2209999999999996E-2</v>
      </c>
      <c r="DI16" s="2144">
        <v>209.25145000000001</v>
      </c>
      <c r="DJ16" s="2144">
        <f>0.57961-0.07</f>
        <v>0.5096099999999999</v>
      </c>
      <c r="DK16" s="2144">
        <v>0</v>
      </c>
      <c r="DL16" s="2144">
        <v>15.17512</v>
      </c>
      <c r="DM16" s="2144">
        <f t="shared" si="103"/>
        <v>857.50299000000007</v>
      </c>
      <c r="DN16" s="2144">
        <f>296.12315+190.79064</f>
        <v>486.91379000000001</v>
      </c>
      <c r="DO16" s="2144">
        <f>0.08969+0.05244</f>
        <v>0.14213000000000001</v>
      </c>
      <c r="DP16" s="2144">
        <f>211.20774+135.89856</f>
        <v>347.10630000000003</v>
      </c>
      <c r="DQ16" s="2144">
        <f>0.55904+0.31193</f>
        <v>0.87097000000000002</v>
      </c>
      <c r="DR16" s="2144">
        <v>0</v>
      </c>
      <c r="DS16" s="2144">
        <f>13.89962+8.57018</f>
        <v>22.469799999999999</v>
      </c>
      <c r="DT16" s="2144">
        <f t="shared" si="104"/>
        <v>1329.364</v>
      </c>
      <c r="DU16" s="2144">
        <f>270.16+486.66</f>
        <v>756.82</v>
      </c>
      <c r="DV16" s="2144">
        <f>0.063+0.12</f>
        <v>0.183</v>
      </c>
      <c r="DW16" s="2144">
        <f>193.796+348.6</f>
        <v>542.39599999999996</v>
      </c>
      <c r="DX16" s="2144">
        <f>0.49+0.97</f>
        <v>1.46</v>
      </c>
      <c r="DY16" s="2144">
        <v>0</v>
      </c>
      <c r="DZ16" s="2144">
        <f>10.398+18.107</f>
        <v>28.504999999999999</v>
      </c>
      <c r="EA16" s="2144">
        <f t="shared" si="105"/>
        <v>1381.8738780000001</v>
      </c>
      <c r="EB16" s="2144">
        <f>SUM(EA16*EB50)</f>
        <v>786.48701897781189</v>
      </c>
      <c r="EC16" s="2144">
        <f>SUM(EA16*EC50)</f>
        <v>0.19229519051111893</v>
      </c>
      <c r="ED16" s="2144">
        <f>SUM(EA16*ED50)</f>
        <v>559.87728796487602</v>
      </c>
      <c r="EE16" s="2144">
        <f>SUM(EA16*EE50)</f>
        <v>1.5661379660708574</v>
      </c>
      <c r="EF16" s="2144">
        <f>SUM(EA16*EF50)</f>
        <v>0</v>
      </c>
      <c r="EG16" s="2144">
        <f>SUM(EA16*EG50)</f>
        <v>33.751137900729923</v>
      </c>
      <c r="EH16" s="2112">
        <f t="shared" ref="EH16:EH48" si="131">SUM(BL16*(1+0.034)*0.99*1.06*0.99*(1+0.043)*0.99)</f>
        <v>538.49268995783893</v>
      </c>
      <c r="EI16" s="2112">
        <f t="shared" si="106"/>
        <v>348.68205510039456</v>
      </c>
      <c r="EJ16" s="3953"/>
      <c r="EK16" s="2144">
        <f t="shared" si="107"/>
        <v>1183.6808899999999</v>
      </c>
      <c r="EL16" s="2144">
        <f>331.03922+353.97502</f>
        <v>685.01423999999997</v>
      </c>
      <c r="EM16" s="2144">
        <v>0.14299999999999999</v>
      </c>
      <c r="EN16" s="2144">
        <f>235.45543+252.01379</f>
        <v>487.46922000000001</v>
      </c>
      <c r="EO16" s="2144">
        <v>1.13941</v>
      </c>
      <c r="EP16" s="2144">
        <v>0</v>
      </c>
      <c r="EQ16" s="2144">
        <f>4.58328+5.33174</f>
        <v>9.9150200000000002</v>
      </c>
      <c r="ER16" s="2144">
        <f t="shared" si="108"/>
        <v>1544.7803200000003</v>
      </c>
      <c r="ES16" s="2144">
        <v>888.69500000000005</v>
      </c>
      <c r="ET16" s="2144">
        <v>0.18951999999999999</v>
      </c>
      <c r="EU16" s="2144">
        <v>631.92700000000002</v>
      </c>
      <c r="EV16" s="2144">
        <v>1.4990000000000001</v>
      </c>
      <c r="EW16" s="2144">
        <v>0</v>
      </c>
      <c r="EX16" s="2144">
        <f>13.89962+8.57018</f>
        <v>22.469799999999999</v>
      </c>
      <c r="EY16" s="2144">
        <v>1986.07</v>
      </c>
      <c r="EZ16" s="2144">
        <v>1110.617</v>
      </c>
      <c r="FA16" s="2144">
        <v>0.23472000000000001</v>
      </c>
      <c r="FB16" s="2144">
        <v>789.07100000000003</v>
      </c>
      <c r="FC16" s="2144">
        <v>1.905</v>
      </c>
      <c r="FD16" s="3862">
        <v>0</v>
      </c>
      <c r="FE16" s="3862">
        <f>10.398+18.107</f>
        <v>28.504999999999999</v>
      </c>
      <c r="FF16" s="2447">
        <f>SUM(EY16*(1+0.1)*0.99*(1+0.05)*0.99)</f>
        <v>2248.2620240850001</v>
      </c>
      <c r="FG16" s="2447">
        <f t="shared" ref="FG16" si="132">SUM(EZ16*(1+0.1)*0.99*(1+0.05)*0.99)</f>
        <v>1257.2356585635</v>
      </c>
      <c r="FH16" s="2447">
        <f t="shared" ref="FH16" si="133">SUM(FA16*(1+0.1)*0.99*(1+0.05)*0.99)</f>
        <v>0.26570667816000004</v>
      </c>
      <c r="FI16" s="2447">
        <f t="shared" ref="FI16" si="134">SUM(FB16*(1+0.1)*0.99*(1+0.05)*0.99)</f>
        <v>893.24060260050021</v>
      </c>
      <c r="FJ16" s="2447">
        <f t="shared" ref="FJ16" si="135">SUM(FC16*(1+0.1)*0.99*(1+0.05)*0.99)</f>
        <v>2.1564895275000002</v>
      </c>
      <c r="FK16" s="2447">
        <f>SUM(FF16*FK50)</f>
        <v>0</v>
      </c>
      <c r="FL16" s="2447">
        <f>SUM(FF16*FL50)</f>
        <v>45.889287376712154</v>
      </c>
      <c r="FM16" s="3512">
        <f t="shared" ref="FM16:FM24" si="136">BL16*0.99*1.034*0.99*1.067*0.99*1.139*0.99*1.06</f>
        <v>621.18197013003237</v>
      </c>
      <c r="FN16" s="3512">
        <v>864.55</v>
      </c>
      <c r="FO16" s="4760">
        <f>167.69011+323.19375</f>
        <v>490.88386000000003</v>
      </c>
      <c r="FP16" s="4760">
        <f>0.03874+0.07455</f>
        <v>0.11329</v>
      </c>
      <c r="FQ16" s="4760">
        <f>116.47647+222.53096</f>
        <v>339.00743</v>
      </c>
      <c r="FR16" s="4760">
        <f>0.29782+0.53938</f>
        <v>0.83719999999999994</v>
      </c>
      <c r="FS16" s="4760">
        <f>592.22772+431.04538</f>
        <v>1023.2731</v>
      </c>
      <c r="FT16" s="4760">
        <f>0.05464+0.08647</f>
        <v>0.14111000000000001</v>
      </c>
      <c r="FU16" s="4760">
        <f>450.39809+304.56757</f>
        <v>754.96566000000007</v>
      </c>
      <c r="FV16" s="4760">
        <f>1.46195+0.7823</f>
        <v>2.2442500000000001</v>
      </c>
    </row>
    <row r="17" spans="1:178" ht="24" customHeight="1" x14ac:dyDescent="0.2">
      <c r="A17" s="3234" t="s">
        <v>73</v>
      </c>
      <c r="B17" s="3110">
        <v>44.6</v>
      </c>
      <c r="C17" s="3110">
        <v>51.8</v>
      </c>
      <c r="D17" s="2139">
        <f t="shared" si="114"/>
        <v>116.14349775784751</v>
      </c>
      <c r="E17" s="3110">
        <v>70</v>
      </c>
      <c r="F17" s="2139">
        <f>E17/C17*100</f>
        <v>135.13513513513513</v>
      </c>
      <c r="G17" s="2140">
        <v>78.5</v>
      </c>
      <c r="H17" s="2139">
        <f t="shared" si="115"/>
        <v>112.14285714285714</v>
      </c>
      <c r="I17" s="2141">
        <v>73.900000000000006</v>
      </c>
      <c r="J17" s="2141">
        <v>49.3</v>
      </c>
      <c r="K17" s="2141">
        <f>J17/9*12</f>
        <v>65.733333333333334</v>
      </c>
      <c r="L17" s="2141">
        <v>82</v>
      </c>
      <c r="M17" s="2145">
        <f t="shared" si="116"/>
        <v>83.736730360934189</v>
      </c>
      <c r="N17" s="2141">
        <v>68.954266666666669</v>
      </c>
      <c r="O17" s="2141">
        <v>53.5</v>
      </c>
      <c r="P17" s="2141">
        <v>54.917679999999997</v>
      </c>
      <c r="Q17" s="2141">
        <v>87.8</v>
      </c>
      <c r="R17" s="2141">
        <v>94.6</v>
      </c>
      <c r="S17" s="2140">
        <f>P17/9*12*1.073</f>
        <v>78.568894186666668</v>
      </c>
      <c r="T17" s="2143">
        <f>S17/N17</f>
        <v>1.1394348455111309</v>
      </c>
      <c r="U17" s="2144" t="e">
        <f>R17*#REF!</f>
        <v>#REF!</v>
      </c>
      <c r="V17" s="2144" t="e">
        <f>R17*#REF!</f>
        <v>#REF!</v>
      </c>
      <c r="W17" s="2144">
        <f t="shared" si="117"/>
        <v>44.861193921699339</v>
      </c>
      <c r="X17" s="2144">
        <f t="shared" si="118"/>
        <v>31.863964787647053</v>
      </c>
      <c r="Y17" s="2144">
        <v>57.93</v>
      </c>
      <c r="Z17" s="2144">
        <v>59.6</v>
      </c>
      <c r="AA17" s="2144">
        <v>94.03</v>
      </c>
      <c r="AB17" s="2141">
        <v>93.9</v>
      </c>
      <c r="AC17" s="2140">
        <f>AB17</f>
        <v>93.9</v>
      </c>
      <c r="AD17" s="2144">
        <f t="shared" si="119"/>
        <v>55.588723045389983</v>
      </c>
      <c r="AE17" s="2144">
        <f t="shared" si="120"/>
        <v>37.560060594181117</v>
      </c>
      <c r="AF17" s="3233">
        <f t="shared" si="0"/>
        <v>1.2391271427687469</v>
      </c>
      <c r="AG17" s="3233">
        <f t="shared" si="1"/>
        <v>1.1787629331282186</v>
      </c>
      <c r="AH17" s="2144">
        <v>54.59</v>
      </c>
      <c r="AI17" s="2144">
        <v>56.06</v>
      </c>
      <c r="AJ17" s="2140">
        <f>SUM(AA17*1.15)</f>
        <v>108.13449999999999</v>
      </c>
      <c r="AK17" s="2144">
        <f>AJ17*AI56</f>
        <v>64.448161999999996</v>
      </c>
      <c r="AL17" s="2144">
        <f>AJ17*AI57</f>
        <v>43.686337999999999</v>
      </c>
      <c r="AM17" s="3233">
        <f t="shared" si="2"/>
        <v>1.159374752094521</v>
      </c>
      <c r="AN17" s="3233">
        <f t="shared" si="3"/>
        <v>1.1631061640717368</v>
      </c>
      <c r="AO17" s="2567">
        <f>AJ17</f>
        <v>108.13449999999999</v>
      </c>
      <c r="AP17" s="2144">
        <f t="shared" si="121"/>
        <v>58.841926999786011</v>
      </c>
      <c r="AQ17" s="2144">
        <f t="shared" si="122"/>
        <v>48.709847261334481</v>
      </c>
      <c r="AR17" s="2144">
        <f t="shared" si="7"/>
        <v>103.75999999999999</v>
      </c>
      <c r="AS17" s="2144">
        <v>61.22</v>
      </c>
      <c r="AT17" s="2144">
        <v>42.54</v>
      </c>
      <c r="AU17" s="2144">
        <f t="shared" si="8"/>
        <v>106</v>
      </c>
      <c r="AV17" s="2144">
        <v>61.4</v>
      </c>
      <c r="AW17" s="2144">
        <v>44.6</v>
      </c>
      <c r="AX17" s="2144">
        <f t="shared" ref="AX17:AX46" si="137">AY17+AZ17</f>
        <v>65.959999999999994</v>
      </c>
      <c r="AY17" s="2144">
        <v>65.959999999999994</v>
      </c>
      <c r="AZ17" s="2144">
        <v>0</v>
      </c>
      <c r="BA17" s="2144">
        <f t="shared" si="93"/>
        <v>115.21746</v>
      </c>
      <c r="BB17" s="2144">
        <v>67.647999999999996</v>
      </c>
      <c r="BC17" s="2564">
        <v>4.7099999999999998E-3</v>
      </c>
      <c r="BD17" s="2144">
        <v>46.781999999999996</v>
      </c>
      <c r="BE17" s="2564">
        <v>3.5720000000000002E-2</v>
      </c>
      <c r="BF17" s="2564">
        <v>0.32075999999999999</v>
      </c>
      <c r="BG17" s="2144">
        <v>0.42626999999999998</v>
      </c>
      <c r="BH17" s="2144">
        <f t="shared" si="11"/>
        <v>112.52</v>
      </c>
      <c r="BI17" s="2144">
        <v>65.38</v>
      </c>
      <c r="BJ17" s="2144">
        <v>47.14</v>
      </c>
      <c r="BK17" s="2144">
        <f>AU17*1.034*1.014</f>
        <v>111.13845600000001</v>
      </c>
      <c r="BL17" s="2144">
        <f t="shared" si="123"/>
        <v>64.605365777667672</v>
      </c>
      <c r="BM17" s="2144">
        <f t="shared" si="124"/>
        <v>41.832938738005119</v>
      </c>
      <c r="BN17" s="2144">
        <f t="shared" si="125"/>
        <v>4.4344655951385796</v>
      </c>
      <c r="BO17" s="2144">
        <f t="shared" si="126"/>
        <v>0.2656858891886304</v>
      </c>
      <c r="BP17" s="2144">
        <f>SUM(BA17*1.046)</f>
        <v>120.51746316000001</v>
      </c>
      <c r="BQ17" s="2144">
        <f>SUM(BP17*BB50)</f>
        <v>70.900867945773086</v>
      </c>
      <c r="BR17" s="2610">
        <f>SUM(BP17*BC50)</f>
        <v>3.2068154081335396E-3</v>
      </c>
      <c r="BS17" s="2144">
        <f>SUM(BP17*BD50)</f>
        <v>49.011214662251412</v>
      </c>
      <c r="BT17" s="2144">
        <f>SUM(BP17*BE50)</f>
        <v>2.430363602636287E-2</v>
      </c>
      <c r="BU17" s="2144">
        <f>SUM(BP17*BF50)</f>
        <v>0.25014849029687503</v>
      </c>
      <c r="BV17" s="2144">
        <f>SUM(BP17*BG50)</f>
        <v>0.32772161024414226</v>
      </c>
      <c r="BW17" s="2144">
        <f t="shared" si="95"/>
        <v>113.32788358320001</v>
      </c>
      <c r="BX17" s="2144">
        <f t="shared" si="127"/>
        <v>65.878091483487722</v>
      </c>
      <c r="BY17" s="2144">
        <f t="shared" si="128"/>
        <v>42.657047631143818</v>
      </c>
      <c r="BZ17" s="2144">
        <f t="shared" si="129"/>
        <v>4.5218245673628097</v>
      </c>
      <c r="CA17" s="2144">
        <f t="shared" si="130"/>
        <v>0.27091990120564641</v>
      </c>
      <c r="CB17" s="2144">
        <f t="shared" si="96"/>
        <v>67.569999999999993</v>
      </c>
      <c r="CC17" s="2144">
        <v>39.200000000000003</v>
      </c>
      <c r="CD17" s="2144">
        <v>0.01</v>
      </c>
      <c r="CE17" s="2144">
        <v>27.1</v>
      </c>
      <c r="CF17" s="2144">
        <v>7.0000000000000007E-2</v>
      </c>
      <c r="CG17" s="2144">
        <v>0</v>
      </c>
      <c r="CH17" s="2144">
        <v>1.19</v>
      </c>
      <c r="CI17" s="2144">
        <f t="shared" si="97"/>
        <v>70.417180000000002</v>
      </c>
      <c r="CJ17" s="2144">
        <v>40.860410000000002</v>
      </c>
      <c r="CK17" s="2144">
        <v>1.1350000000000001E-2</v>
      </c>
      <c r="CL17" s="2144">
        <v>28.215789999999998</v>
      </c>
      <c r="CM17" s="2144">
        <v>7.6880000000000004E-2</v>
      </c>
      <c r="CN17" s="2144">
        <v>0</v>
      </c>
      <c r="CO17" s="2144">
        <v>1.25275</v>
      </c>
      <c r="CP17" s="2144">
        <f t="shared" si="98"/>
        <v>109.53700000000001</v>
      </c>
      <c r="CQ17" s="2144">
        <v>63.48</v>
      </c>
      <c r="CR17" s="2144">
        <v>1.7000000000000001E-2</v>
      </c>
      <c r="CS17" s="2144">
        <v>43.02</v>
      </c>
      <c r="CT17" s="2144">
        <v>0.12</v>
      </c>
      <c r="CU17" s="2144">
        <v>0</v>
      </c>
      <c r="CV17" s="2144">
        <v>2.9</v>
      </c>
      <c r="CW17" s="2144">
        <f t="shared" si="99"/>
        <v>113.42994498</v>
      </c>
      <c r="CX17" s="2144">
        <f>SUM(CW17*CX50)</f>
        <v>66.375963927565778</v>
      </c>
      <c r="CY17" s="2144">
        <f>SUM(CW17*CY50)</f>
        <v>1.8488837063881373E-2</v>
      </c>
      <c r="CZ17" s="2144">
        <f>SUM(CW17*CZ50)</f>
        <v>43.99477641365938</v>
      </c>
      <c r="DA17" s="2144">
        <f>SUM(CW17*DA50)</f>
        <v>0.12727235055208569</v>
      </c>
      <c r="DB17" s="2144">
        <f>SUM(CW17*DB50)</f>
        <v>0</v>
      </c>
      <c r="DC17" s="2144">
        <f>SUM(CW17*DC50)</f>
        <v>2.913443451158868</v>
      </c>
      <c r="DD17" s="2112">
        <f t="shared" si="100"/>
        <v>67.698404206889634</v>
      </c>
      <c r="DE17" s="2112">
        <f t="shared" si="101"/>
        <v>43.835727292275102</v>
      </c>
      <c r="DF17" s="2144">
        <f t="shared" si="102"/>
        <v>62.697890000000008</v>
      </c>
      <c r="DG17" s="2144">
        <v>35.608600000000003</v>
      </c>
      <c r="DH17" s="2144">
        <v>9.4800000000000006E-3</v>
      </c>
      <c r="DI17" s="2144">
        <v>25.197220000000002</v>
      </c>
      <c r="DJ17" s="2144">
        <v>6.4030000000000004E-2</v>
      </c>
      <c r="DK17" s="2144">
        <v>0</v>
      </c>
      <c r="DL17" s="2144">
        <v>1.81856</v>
      </c>
      <c r="DM17" s="2144">
        <f t="shared" si="103"/>
        <v>66.051919999999996</v>
      </c>
      <c r="DN17" s="2144">
        <v>37.489559999999997</v>
      </c>
      <c r="DO17" s="2144">
        <v>1.0449999999999999E-2</v>
      </c>
      <c r="DP17" s="2144">
        <v>26.607659999999999</v>
      </c>
      <c r="DQ17" s="2144">
        <v>6.8309999999999996E-2</v>
      </c>
      <c r="DR17" s="2144">
        <v>0</v>
      </c>
      <c r="DS17" s="2144">
        <v>1.8759399999999999</v>
      </c>
      <c r="DT17" s="2144">
        <f t="shared" si="104"/>
        <v>108.071</v>
      </c>
      <c r="DU17" s="2144">
        <v>61.496000000000002</v>
      </c>
      <c r="DV17" s="2144">
        <v>1.4E-2</v>
      </c>
      <c r="DW17" s="2144">
        <v>44.02</v>
      </c>
      <c r="DX17" s="2144">
        <v>0.121</v>
      </c>
      <c r="DY17" s="2144">
        <v>0</v>
      </c>
      <c r="DZ17" s="2144">
        <v>2.42</v>
      </c>
      <c r="EA17" s="2144">
        <f t="shared" si="105"/>
        <v>112.3398045</v>
      </c>
      <c r="EB17" s="2144">
        <f>SUM(EA17*EB50)</f>
        <v>63.937671418777022</v>
      </c>
      <c r="EC17" s="2144">
        <f>SUM(EA17*EC50)</f>
        <v>1.5632688664449414E-2</v>
      </c>
      <c r="ED17" s="2144">
        <f>SUM(EA17*ED50)</f>
        <v>45.515373056327775</v>
      </c>
      <c r="EE17" s="2144">
        <f>SUM(EA17*EE50)</f>
        <v>0.12731960255523966</v>
      </c>
      <c r="EF17" s="2144">
        <f>SUM(EA17*EF50)</f>
        <v>0</v>
      </c>
      <c r="EG17" s="2144">
        <f>SUM(EA17*EG50)</f>
        <v>2.7438077336754896</v>
      </c>
      <c r="EH17" s="2112">
        <f t="shared" si="131"/>
        <v>71.661333583831365</v>
      </c>
      <c r="EI17" s="2112">
        <f t="shared" si="106"/>
        <v>46.401783220495702</v>
      </c>
      <c r="EJ17" s="3953" t="s">
        <v>1918</v>
      </c>
      <c r="EK17" s="2144">
        <f t="shared" si="107"/>
        <v>78.877039999999994</v>
      </c>
      <c r="EL17" s="2144">
        <v>45.702509999999997</v>
      </c>
      <c r="EM17" s="2144">
        <v>9.9000000000000008E-3</v>
      </c>
      <c r="EN17" s="2144">
        <v>32.62171</v>
      </c>
      <c r="EO17" s="2144">
        <v>7.8799999999999995E-2</v>
      </c>
      <c r="EP17" s="2144">
        <v>0</v>
      </c>
      <c r="EQ17" s="2144">
        <v>0.46411999999999998</v>
      </c>
      <c r="ER17" s="2144">
        <f t="shared" si="108"/>
        <v>86.877019999999987</v>
      </c>
      <c r="ES17" s="2144">
        <v>49.47</v>
      </c>
      <c r="ET17" s="2144">
        <v>1.1180000000000001E-2</v>
      </c>
      <c r="EU17" s="2144">
        <v>35.433999999999997</v>
      </c>
      <c r="EV17" s="2144">
        <v>8.5900000000000004E-2</v>
      </c>
      <c r="EW17" s="2144">
        <v>0</v>
      </c>
      <c r="EX17" s="2144">
        <v>1.8759399999999999</v>
      </c>
      <c r="EY17" s="2144">
        <v>130.374</v>
      </c>
      <c r="EZ17" s="2144">
        <v>73.052999999999997</v>
      </c>
      <c r="FA17" s="2144">
        <v>1.6E-2</v>
      </c>
      <c r="FB17" s="2144">
        <v>52.194000000000003</v>
      </c>
      <c r="FC17" s="2144">
        <v>0.12845999999999999</v>
      </c>
      <c r="FD17" s="3862">
        <v>0</v>
      </c>
      <c r="FE17" s="3862">
        <v>2.42</v>
      </c>
      <c r="FF17" s="2447">
        <f>SUM(EY17*(1+0.1)*0.99*(1+0.05)*0.99)</f>
        <v>147.58538879700004</v>
      </c>
      <c r="FG17" s="2447">
        <f t="shared" ref="FG17" si="138">SUM(EZ17*(1+0.1)*0.99*(1+0.05)*0.99)</f>
        <v>82.697128321500003</v>
      </c>
      <c r="FH17" s="2447">
        <f t="shared" ref="FH17" si="139">SUM(FA17*(1+0.1)*0.99*(1+0.05)*0.99)</f>
        <v>1.8112248000000004E-2</v>
      </c>
      <c r="FI17" s="2447">
        <f t="shared" ref="FI17" si="140">SUM(FB17*(1+0.1)*0.99*(1+0.05)*0.99)</f>
        <v>59.084417007000013</v>
      </c>
      <c r="FJ17" s="2447">
        <f t="shared" ref="FJ17" si="141">SUM(FC17*(1+0.1)*0.99*(1+0.05)*0.99)</f>
        <v>0.14541871113000004</v>
      </c>
      <c r="FK17" s="2447">
        <f>SUM(FF17*FK50)</f>
        <v>0</v>
      </c>
      <c r="FL17" s="2447">
        <f>SUM(FF17*FL50)</f>
        <v>3.0123661061551061</v>
      </c>
      <c r="FM17" s="3512">
        <f t="shared" si="136"/>
        <v>82.665427419701984</v>
      </c>
      <c r="FN17" s="3512">
        <f t="shared" ref="FN17:FN24" si="142">BM17*0.99*1.034*0.99*1.067*0.99*1.139*0.99*1.06</f>
        <v>53.527098242895285</v>
      </c>
      <c r="FO17" s="4760">
        <v>42.698120000000003</v>
      </c>
      <c r="FP17" s="4760">
        <v>9.75E-3</v>
      </c>
      <c r="FQ17" s="4760">
        <v>30.428840000000001</v>
      </c>
      <c r="FR17" s="4760">
        <v>7.399E-2</v>
      </c>
      <c r="FS17" s="4760">
        <v>50.473820000000003</v>
      </c>
      <c r="FT17" s="4760">
        <v>9.9399999999999992E-3</v>
      </c>
      <c r="FU17" s="4760">
        <v>36.488190000000003</v>
      </c>
      <c r="FV17" s="4760">
        <v>9.0840000000000004E-2</v>
      </c>
    </row>
    <row r="18" spans="1:178" ht="24" customHeight="1" x14ac:dyDescent="0.2">
      <c r="A18" s="3234" t="s">
        <v>33</v>
      </c>
      <c r="B18" s="3110">
        <v>190.4</v>
      </c>
      <c r="C18" s="3110">
        <v>231.2</v>
      </c>
      <c r="D18" s="2139">
        <f t="shared" si="114"/>
        <v>121.42857142857142</v>
      </c>
      <c r="E18" s="3110">
        <v>260.8</v>
      </c>
      <c r="F18" s="2139">
        <f>E18/C18*100</f>
        <v>112.80276816608999</v>
      </c>
      <c r="G18" s="2140">
        <v>260</v>
      </c>
      <c r="H18" s="2139">
        <f t="shared" si="115"/>
        <v>99.693251533742327</v>
      </c>
      <c r="I18" s="2141">
        <v>267.8</v>
      </c>
      <c r="J18" s="2141">
        <v>218.7</v>
      </c>
      <c r="K18" s="2141">
        <f>J18/9*12</f>
        <v>291.59999999999997</v>
      </c>
      <c r="L18" s="2141">
        <v>292.10000000000002</v>
      </c>
      <c r="M18" s="2145">
        <f t="shared" si="116"/>
        <v>112.15384615384613</v>
      </c>
      <c r="N18" s="2141">
        <v>293.7</v>
      </c>
      <c r="O18" s="2141">
        <v>149</v>
      </c>
      <c r="P18" s="2141">
        <v>215.84181000000001</v>
      </c>
      <c r="Q18" s="2141">
        <v>284.7</v>
      </c>
      <c r="R18" s="2141">
        <v>330.84</v>
      </c>
      <c r="S18" s="2140">
        <f>P18/9*12*1.048</f>
        <v>301.60295584000005</v>
      </c>
      <c r="T18" s="2143">
        <f>S18/N18</f>
        <v>1.0269082595846104</v>
      </c>
      <c r="U18" s="2144" t="e">
        <f>R18*#REF!</f>
        <v>#REF!</v>
      </c>
      <c r="V18" s="2144" t="e">
        <f>R18*#REF!</f>
        <v>#REF!</v>
      </c>
      <c r="W18" s="2144">
        <f t="shared" si="117"/>
        <v>172.20897442122947</v>
      </c>
      <c r="X18" s="2144">
        <f t="shared" si="118"/>
        <v>122.31642132958663</v>
      </c>
      <c r="Y18" s="2144">
        <v>125.67</v>
      </c>
      <c r="Z18" s="2144">
        <v>186.94</v>
      </c>
      <c r="AA18" s="2144">
        <v>248.97</v>
      </c>
      <c r="AB18" s="2141">
        <v>318.5</v>
      </c>
      <c r="AC18" s="2140">
        <f>AB18</f>
        <v>318.5</v>
      </c>
      <c r="AD18" s="2144">
        <f t="shared" si="119"/>
        <v>188.55173897717475</v>
      </c>
      <c r="AE18" s="2144">
        <f t="shared" si="120"/>
        <v>127.40020552978366</v>
      </c>
      <c r="AF18" s="3233">
        <f t="shared" si="0"/>
        <v>1.0949007716402182</v>
      </c>
      <c r="AG18" s="3233">
        <f t="shared" si="1"/>
        <v>1.0415625649028641</v>
      </c>
      <c r="AH18" s="2144">
        <v>117.99</v>
      </c>
      <c r="AI18" s="2144">
        <v>174.17</v>
      </c>
      <c r="AJ18" s="2140">
        <f t="shared" ref="AJ18:AJ23" si="143">SUM(AA18*1.1)</f>
        <v>273.86700000000002</v>
      </c>
      <c r="AK18" s="2144">
        <f>AJ18*AI56</f>
        <v>163.22473200000002</v>
      </c>
      <c r="AL18" s="2144">
        <f>AJ18*AI57</f>
        <v>110.64226800000002</v>
      </c>
      <c r="AM18" s="3233">
        <f t="shared" si="2"/>
        <v>0.86567608914898042</v>
      </c>
      <c r="AN18" s="3233">
        <f t="shared" si="3"/>
        <v>0.8684622410136853</v>
      </c>
      <c r="AO18" s="2567">
        <f>AH18*2*1.062</f>
        <v>250.61076</v>
      </c>
      <c r="AP18" s="2144">
        <f t="shared" si="121"/>
        <v>136.3710938255681</v>
      </c>
      <c r="AQ18" s="2144">
        <f t="shared" si="122"/>
        <v>112.8891504713755</v>
      </c>
      <c r="AR18" s="2144">
        <f t="shared" si="7"/>
        <v>240.87</v>
      </c>
      <c r="AS18" s="2144">
        <v>142.11000000000001</v>
      </c>
      <c r="AT18" s="2144">
        <v>98.76</v>
      </c>
      <c r="AU18" s="2144">
        <f t="shared" si="8"/>
        <v>246.98326</v>
      </c>
      <c r="AV18" s="2144">
        <v>143.25029000000001</v>
      </c>
      <c r="AW18" s="2144">
        <v>103.73296999999999</v>
      </c>
      <c r="AX18" s="2144">
        <f t="shared" si="137"/>
        <v>273.58999999999997</v>
      </c>
      <c r="AY18" s="2144">
        <v>161.41999999999999</v>
      </c>
      <c r="AZ18" s="2144">
        <v>112.17</v>
      </c>
      <c r="BA18" s="2144">
        <f t="shared" si="93"/>
        <v>246.99871000000002</v>
      </c>
      <c r="BB18" s="2144">
        <v>145.52799999999999</v>
      </c>
      <c r="BC18" s="3236">
        <v>8.2199999999999999E-3</v>
      </c>
      <c r="BD18" s="2144">
        <v>100.00700000000001</v>
      </c>
      <c r="BE18" s="3236">
        <v>6.2330000000000003E-2</v>
      </c>
      <c r="BF18" s="2564">
        <v>0.59460000000000002</v>
      </c>
      <c r="BG18" s="3236">
        <v>0.79856000000000005</v>
      </c>
      <c r="BH18" s="2144">
        <f t="shared" si="11"/>
        <v>281.79000000000002</v>
      </c>
      <c r="BI18" s="2144">
        <v>163.74</v>
      </c>
      <c r="BJ18" s="2144">
        <v>118.05</v>
      </c>
      <c r="BK18" s="2144">
        <f>AU18*1.034*1.014</f>
        <v>258.95602051176002</v>
      </c>
      <c r="BL18" s="2144">
        <f t="shared" si="123"/>
        <v>150.53248918170561</v>
      </c>
      <c r="BM18" s="2144">
        <f t="shared" si="124"/>
        <v>97.472033819743302</v>
      </c>
      <c r="BN18" s="2144">
        <f t="shared" si="125"/>
        <v>10.332441217407233</v>
      </c>
      <c r="BO18" s="2144">
        <f t="shared" si="126"/>
        <v>0.61905629290383668</v>
      </c>
      <c r="BP18" s="2144">
        <f>SUM(BK18*1.046)</f>
        <v>270.86799745530101</v>
      </c>
      <c r="BQ18" s="2144">
        <f>SUM(BP18*BB50)</f>
        <v>159.35264164014035</v>
      </c>
      <c r="BR18" s="2610">
        <f>SUM(BP18*BC50)</f>
        <v>7.207450646855581E-3</v>
      </c>
      <c r="BS18" s="2144">
        <f>SUM(BP18*BD50)</f>
        <v>110.15473791371768</v>
      </c>
      <c r="BT18" s="2144">
        <f>SUM(BP18*BE50)</f>
        <v>5.4623430071737158E-2</v>
      </c>
      <c r="BU18" s="2144">
        <f>SUM(BP18*BF50)</f>
        <v>0.56221910797463659</v>
      </c>
      <c r="BV18" s="2144">
        <f>SUM(BP18*BG50)</f>
        <v>0.73656791274976141</v>
      </c>
      <c r="BW18" s="2144">
        <f t="shared" si="95"/>
        <v>264.05745411584172</v>
      </c>
      <c r="BX18" s="2144">
        <f t="shared" si="127"/>
        <v>153.49797921858524</v>
      </c>
      <c r="BY18" s="2144">
        <f t="shared" si="128"/>
        <v>99.392232885992257</v>
      </c>
      <c r="BZ18" s="2144">
        <f t="shared" si="129"/>
        <v>10.535990309390156</v>
      </c>
      <c r="CA18" s="2144">
        <f t="shared" si="130"/>
        <v>0.63125170187404234</v>
      </c>
      <c r="CB18" s="2144">
        <f t="shared" si="96"/>
        <v>136.57</v>
      </c>
      <c r="CC18" s="2144">
        <v>79.400000000000006</v>
      </c>
      <c r="CD18" s="2144">
        <v>0.02</v>
      </c>
      <c r="CE18" s="2144">
        <v>54.49</v>
      </c>
      <c r="CF18" s="2144">
        <v>0.17</v>
      </c>
      <c r="CG18" s="2144">
        <v>0</v>
      </c>
      <c r="CH18" s="2144">
        <v>2.4900000000000002</v>
      </c>
      <c r="CI18" s="2144">
        <f t="shared" si="97"/>
        <v>217.04610000000002</v>
      </c>
      <c r="CJ18" s="2144">
        <v>127.24996</v>
      </c>
      <c r="CK18" s="2144">
        <v>3.7069999999999999E-2</v>
      </c>
      <c r="CL18" s="2144">
        <v>85.033029999999997</v>
      </c>
      <c r="CM18" s="2144">
        <v>0.23812</v>
      </c>
      <c r="CN18" s="2144">
        <v>0</v>
      </c>
      <c r="CO18" s="2144">
        <v>4.4879199999999999</v>
      </c>
      <c r="CP18" s="2144">
        <f t="shared" si="98"/>
        <v>298.13799999999998</v>
      </c>
      <c r="CQ18" s="2144">
        <v>174.2</v>
      </c>
      <c r="CR18" s="2144">
        <v>4.8000000000000001E-2</v>
      </c>
      <c r="CS18" s="2144">
        <v>115.65</v>
      </c>
      <c r="CT18" s="2144">
        <v>0.34</v>
      </c>
      <c r="CU18" s="2144">
        <v>0</v>
      </c>
      <c r="CV18" s="2144">
        <v>7.9</v>
      </c>
      <c r="CW18" s="2144">
        <f t="shared" si="99"/>
        <v>308.73382451999998</v>
      </c>
      <c r="CX18" s="2144">
        <f>SUM(CW18*CX50)</f>
        <v>180.66221581234291</v>
      </c>
      <c r="CY18" s="2144">
        <f>SUM(CW18*CY50)</f>
        <v>5.0322949364611631E-2</v>
      </c>
      <c r="CZ18" s="2144">
        <f>SUM(CW18*CZ50)</f>
        <v>119.74506012046687</v>
      </c>
      <c r="DA18" s="2144">
        <f>SUM(CW18*DA50)</f>
        <v>0.34641010844644021</v>
      </c>
      <c r="DB18" s="2144">
        <f>SUM(CW18*DB50)</f>
        <v>0</v>
      </c>
      <c r="DC18" s="2144">
        <f>SUM(CW18*DC50)</f>
        <v>7.9298155293791375</v>
      </c>
      <c r="DD18" s="2112">
        <f t="shared" si="100"/>
        <v>157.73936384731431</v>
      </c>
      <c r="DE18" s="2112">
        <v>131.94</v>
      </c>
      <c r="DF18" s="2144">
        <f t="shared" si="102"/>
        <v>151.97955999999999</v>
      </c>
      <c r="DG18" s="2144">
        <v>86.250649999999993</v>
      </c>
      <c r="DH18" s="2144">
        <v>2.1420000000000002E-2</v>
      </c>
      <c r="DI18" s="2144">
        <v>61.168570000000003</v>
      </c>
      <c r="DJ18" s="2144">
        <v>0.16752</v>
      </c>
      <c r="DK18" s="2144">
        <v>0</v>
      </c>
      <c r="DL18" s="2144">
        <v>4.3714000000000004</v>
      </c>
      <c r="DM18" s="2144">
        <f t="shared" si="103"/>
        <v>235.86666</v>
      </c>
      <c r="DN18" s="2144">
        <v>134.06126</v>
      </c>
      <c r="DO18" s="2144">
        <v>3.7530000000000001E-2</v>
      </c>
      <c r="DP18" s="2144">
        <v>94.776979999999995</v>
      </c>
      <c r="DQ18" s="2144">
        <v>0.25585000000000002</v>
      </c>
      <c r="DR18" s="2144">
        <v>0</v>
      </c>
      <c r="DS18" s="2144">
        <v>6.7350399999999997</v>
      </c>
      <c r="DT18" s="2144">
        <f t="shared" si="104"/>
        <v>316.48400000000004</v>
      </c>
      <c r="DU18" s="2144">
        <v>180.16900000000001</v>
      </c>
      <c r="DV18" s="2144">
        <v>4.3999999999999997E-2</v>
      </c>
      <c r="DW18" s="2144">
        <v>128.15</v>
      </c>
      <c r="DX18" s="2144">
        <v>0.35599999999999998</v>
      </c>
      <c r="DY18" s="2144">
        <v>0</v>
      </c>
      <c r="DZ18" s="2144">
        <v>7.7649999999999997</v>
      </c>
      <c r="EA18" s="2144">
        <f t="shared" si="105"/>
        <v>328.98511800000006</v>
      </c>
      <c r="EB18" s="2144">
        <f>SUM(EA18*EB50)</f>
        <v>187.24033275624572</v>
      </c>
      <c r="EC18" s="2144">
        <f>SUM(EA18*EC50)</f>
        <v>4.5780050515675894E-2</v>
      </c>
      <c r="ED18" s="2144">
        <f>SUM(EA18*ED50)</f>
        <v>133.29095989080182</v>
      </c>
      <c r="EE18" s="2144">
        <f>SUM(EA18*EE50)</f>
        <v>0.37285318998706846</v>
      </c>
      <c r="EF18" s="2144">
        <f>SUM(EA18*EF50)</f>
        <v>0</v>
      </c>
      <c r="EG18" s="2144">
        <f>SUM(EA18*EG50)</f>
        <v>8.035192112449721</v>
      </c>
      <c r="EH18" s="2112">
        <f t="shared" si="131"/>
        <v>166.97311117435996</v>
      </c>
      <c r="EI18" s="2112">
        <f t="shared" si="106"/>
        <v>108.11758197746533</v>
      </c>
      <c r="EJ18" s="3953"/>
      <c r="EK18" s="2144">
        <f t="shared" si="107"/>
        <v>176.46461000000002</v>
      </c>
      <c r="EL18" s="2144">
        <v>102.13395</v>
      </c>
      <c r="EM18" s="2144">
        <v>2.052E-2</v>
      </c>
      <c r="EN18" s="2144">
        <v>72.544510000000002</v>
      </c>
      <c r="EO18" s="2144">
        <v>0.16306999999999999</v>
      </c>
      <c r="EP18" s="2144">
        <v>0</v>
      </c>
      <c r="EQ18" s="2144">
        <v>1.60256</v>
      </c>
      <c r="ER18" s="2144">
        <f t="shared" si="108"/>
        <v>262.23684000000003</v>
      </c>
      <c r="ES18" s="2144">
        <v>149.154</v>
      </c>
      <c r="ET18" s="2144">
        <v>3.1800000000000002E-2</v>
      </c>
      <c r="EU18" s="2144">
        <v>106.068</v>
      </c>
      <c r="EV18" s="2144">
        <v>0.248</v>
      </c>
      <c r="EW18" s="2144">
        <v>0</v>
      </c>
      <c r="EX18" s="2144">
        <v>6.7350399999999997</v>
      </c>
      <c r="EY18" s="2144">
        <v>353.976</v>
      </c>
      <c r="EZ18" s="2144">
        <v>197.43299999999999</v>
      </c>
      <c r="FA18" s="2144">
        <v>4.1590000000000002E-2</v>
      </c>
      <c r="FB18" s="2144">
        <v>140.23699999999999</v>
      </c>
      <c r="FC18" s="2144">
        <v>0.33600000000000002</v>
      </c>
      <c r="FD18" s="3862">
        <v>0</v>
      </c>
      <c r="FE18" s="3862">
        <v>7.7649999999999997</v>
      </c>
      <c r="FF18" s="2447">
        <f>SUM(EY18*(1+0.1)*0.99*(1+0.05)*0.99)</f>
        <v>400.70631862800002</v>
      </c>
      <c r="FG18" s="2447">
        <f t="shared" ref="FG18" si="144">SUM(EZ18*(1+0.1)*0.99*(1+0.05)*0.99)</f>
        <v>223.49721621150002</v>
      </c>
      <c r="FH18" s="2447">
        <f t="shared" ref="FH18" si="145">SUM(FA18*(1+0.1)*0.99*(1+0.05)*0.99)</f>
        <v>4.708052464500001E-2</v>
      </c>
      <c r="FI18" s="2447">
        <f t="shared" ref="FI18" si="146">SUM(FB18*(1+0.1)*0.99*(1+0.05)*0.99)</f>
        <v>158.75045767350002</v>
      </c>
      <c r="FJ18" s="2447">
        <f t="shared" ref="FJ18" si="147">SUM(FC18*(1+0.1)*0.99*(1+0.05)*0.99)</f>
        <v>0.38035720800000006</v>
      </c>
      <c r="FK18" s="2447">
        <f>SUM(FF18*FK50)</f>
        <v>0</v>
      </c>
      <c r="FL18" s="2447">
        <f>SUM(FF18*FL50)</f>
        <v>8.1788186662398914</v>
      </c>
      <c r="FM18" s="3512">
        <f t="shared" si="136"/>
        <v>192.6129882397301</v>
      </c>
      <c r="FN18" s="3512">
        <f t="shared" si="142"/>
        <v>124.71978511670331</v>
      </c>
      <c r="FO18" s="4760">
        <v>94.836529999999996</v>
      </c>
      <c r="FP18" s="4760">
        <v>2.2380000000000001E-2</v>
      </c>
      <c r="FQ18" s="4760">
        <v>66.669120000000007</v>
      </c>
      <c r="FR18" s="4760">
        <v>0.17069000000000001</v>
      </c>
      <c r="FS18" s="4760">
        <v>164.66397000000001</v>
      </c>
      <c r="FT18" s="4760">
        <v>3.0700000000000002E-2</v>
      </c>
      <c r="FU18" s="4760">
        <v>119.00199000000001</v>
      </c>
      <c r="FV18" s="4760">
        <v>0.31868000000000002</v>
      </c>
    </row>
    <row r="19" spans="1:178" ht="24" customHeight="1" x14ac:dyDescent="0.2">
      <c r="A19" s="3234" t="s">
        <v>34</v>
      </c>
      <c r="B19" s="3110">
        <v>36</v>
      </c>
      <c r="C19" s="3110">
        <v>59.4</v>
      </c>
      <c r="D19" s="2139">
        <f t="shared" si="114"/>
        <v>165</v>
      </c>
      <c r="E19" s="3110">
        <v>28.1</v>
      </c>
      <c r="F19" s="2139">
        <f>E19/C19*100</f>
        <v>47.306397306397308</v>
      </c>
      <c r="G19" s="2140">
        <v>89.5</v>
      </c>
      <c r="H19" s="2139">
        <f t="shared" si="115"/>
        <v>318.5053380782918</v>
      </c>
      <c r="I19" s="2141">
        <v>48.5</v>
      </c>
      <c r="J19" s="2141">
        <v>60.2</v>
      </c>
      <c r="K19" s="2141">
        <v>60.2</v>
      </c>
      <c r="L19" s="2141">
        <v>82.6</v>
      </c>
      <c r="M19" s="2145">
        <f t="shared" si="116"/>
        <v>67.262569832402235</v>
      </c>
      <c r="N19" s="2141">
        <v>53.4</v>
      </c>
      <c r="O19" s="2141">
        <v>57.2</v>
      </c>
      <c r="P19" s="2141">
        <v>72.839410000000001</v>
      </c>
      <c r="Q19" s="2141">
        <v>111.2</v>
      </c>
      <c r="R19" s="2141">
        <v>93.73</v>
      </c>
      <c r="S19" s="2140">
        <f>R19</f>
        <v>93.73</v>
      </c>
      <c r="T19" s="2143">
        <f>S19/N19</f>
        <v>1.755243445692884</v>
      </c>
      <c r="U19" s="2144" t="e">
        <f>R19*#REF!</f>
        <v>#REF!</v>
      </c>
      <c r="V19" s="2144" t="e">
        <f>R19*#REF!</f>
        <v>#REF!</v>
      </c>
      <c r="W19" s="2144">
        <f t="shared" si="117"/>
        <v>53.517867978272385</v>
      </c>
      <c r="X19" s="2144">
        <f t="shared" si="118"/>
        <v>38.012618740063587</v>
      </c>
      <c r="Y19" s="2144">
        <v>27.94</v>
      </c>
      <c r="Z19" s="2144">
        <v>42.12</v>
      </c>
      <c r="AA19" s="2144">
        <v>111.36</v>
      </c>
      <c r="AB19" s="2141">
        <v>97.9</v>
      </c>
      <c r="AC19" s="2140">
        <f>AB19</f>
        <v>97.9</v>
      </c>
      <c r="AD19" s="2144">
        <f t="shared" si="119"/>
        <v>57.956719767238333</v>
      </c>
      <c r="AE19" s="2144">
        <f t="shared" si="120"/>
        <v>39.16006317540289</v>
      </c>
      <c r="AF19" s="3233">
        <f t="shared" si="0"/>
        <v>1.0829414914429714</v>
      </c>
      <c r="AG19" s="3233">
        <f t="shared" si="1"/>
        <v>1.0301858823036032</v>
      </c>
      <c r="AH19" s="2144">
        <v>23.89</v>
      </c>
      <c r="AI19" s="2144">
        <v>48.14</v>
      </c>
      <c r="AJ19" s="2140">
        <f t="shared" si="143"/>
        <v>122.49600000000001</v>
      </c>
      <c r="AK19" s="2144">
        <f>AJ19*AI56</f>
        <v>73.007615999999999</v>
      </c>
      <c r="AL19" s="2144">
        <f>AJ19*AI57</f>
        <v>49.488384000000003</v>
      </c>
      <c r="AM19" s="3233">
        <f t="shared" si="2"/>
        <v>1.2596919959101898</v>
      </c>
      <c r="AN19" s="3233">
        <f t="shared" si="3"/>
        <v>1.2637462758508651</v>
      </c>
      <c r="AO19" s="2567">
        <f>AI19/3*4*1.062</f>
        <v>68.166240000000002</v>
      </c>
      <c r="AP19" s="2144">
        <f t="shared" si="121"/>
        <v>37.092999162430985</v>
      </c>
      <c r="AQ19" s="2144">
        <f t="shared" si="122"/>
        <v>30.705899955883361</v>
      </c>
      <c r="AR19" s="2144">
        <f t="shared" si="7"/>
        <v>225.19</v>
      </c>
      <c r="AS19" s="2144">
        <v>132.86000000000001</v>
      </c>
      <c r="AT19" s="2144">
        <v>92.33</v>
      </c>
      <c r="AU19" s="2144">
        <f t="shared" si="8"/>
        <v>449.15568999999994</v>
      </c>
      <c r="AV19" s="2144">
        <v>260.51029999999997</v>
      </c>
      <c r="AW19" s="2144">
        <v>188.64538999999999</v>
      </c>
      <c r="AX19" s="2144">
        <f t="shared" si="137"/>
        <v>74.42</v>
      </c>
      <c r="AY19" s="2144">
        <v>43.91</v>
      </c>
      <c r="AZ19" s="2144">
        <v>30.51</v>
      </c>
      <c r="BA19" s="2144">
        <f t="shared" si="93"/>
        <v>629.53876999999989</v>
      </c>
      <c r="BB19" s="2144">
        <v>370.24599999999998</v>
      </c>
      <c r="BC19" s="3236">
        <v>2.0080000000000001E-2</v>
      </c>
      <c r="BD19" s="2144">
        <v>256.09300000000002</v>
      </c>
      <c r="BE19" s="2564">
        <v>0.15262000000000001</v>
      </c>
      <c r="BF19" s="3236">
        <v>1.08266</v>
      </c>
      <c r="BG19" s="3236">
        <v>1.94441</v>
      </c>
      <c r="BH19" s="2144">
        <f t="shared" si="11"/>
        <v>476.51</v>
      </c>
      <c r="BI19" s="2144">
        <v>276.89</v>
      </c>
      <c r="BJ19" s="2144">
        <v>199.62</v>
      </c>
      <c r="BK19" s="2144">
        <f>(AR19+AU19)/2</f>
        <v>337.17284499999994</v>
      </c>
      <c r="BL19" s="2144">
        <f t="shared" si="123"/>
        <v>196.00033836642322</v>
      </c>
      <c r="BM19" s="2144">
        <f t="shared" si="124"/>
        <v>126.91314488842541</v>
      </c>
      <c r="BN19" s="2144">
        <f t="shared" si="125"/>
        <v>13.453321510670373</v>
      </c>
      <c r="BO19" s="2144">
        <f t="shared" si="126"/>
        <v>0.80604023448090034</v>
      </c>
      <c r="BP19" s="2144">
        <f>SUM(BA19*1.046)</f>
        <v>658.49755341999992</v>
      </c>
      <c r="BQ19" s="2144">
        <f>SUM(BP19*BB50)</f>
        <v>387.39653867143409</v>
      </c>
      <c r="BR19" s="2610">
        <f>SUM(BP19*BC50)</f>
        <v>1.7521776887404358E-2</v>
      </c>
      <c r="BS19" s="2144">
        <f>SUM(BP19*BD50)</f>
        <v>267.79326496765088</v>
      </c>
      <c r="BT19" s="2144">
        <f>SUM(BP19*BE50)</f>
        <v>0.13279307780751429</v>
      </c>
      <c r="BU19" s="2144">
        <f>SUM(BP19*BF50)</f>
        <v>1.3667908743939643</v>
      </c>
      <c r="BV19" s="2144">
        <f>SUM(BP19*BG50)</f>
        <v>1.7906440518261439</v>
      </c>
      <c r="BW19" s="2144">
        <f t="shared" si="95"/>
        <v>343.81515004649992</v>
      </c>
      <c r="BX19" s="2144">
        <f t="shared" si="127"/>
        <v>199.86154503224176</v>
      </c>
      <c r="BY19" s="2144">
        <f t="shared" si="128"/>
        <v>129.41333384272738</v>
      </c>
      <c r="BZ19" s="2144">
        <f t="shared" si="129"/>
        <v>13.718351944430578</v>
      </c>
      <c r="CA19" s="2144">
        <f t="shared" si="130"/>
        <v>0.82191922710017407</v>
      </c>
      <c r="CB19" s="2144">
        <f t="shared" si="96"/>
        <v>297.85999999999996</v>
      </c>
      <c r="CC19" s="2144">
        <v>174.2</v>
      </c>
      <c r="CD19" s="2144">
        <v>0.05</v>
      </c>
      <c r="CE19" s="2144">
        <v>117.89</v>
      </c>
      <c r="CF19" s="2144">
        <v>0.38</v>
      </c>
      <c r="CG19" s="2144">
        <v>0</v>
      </c>
      <c r="CH19" s="2144">
        <v>5.34</v>
      </c>
      <c r="CI19" s="2144">
        <f t="shared" si="97"/>
        <v>431.46888999999999</v>
      </c>
      <c r="CJ19" s="2144">
        <v>253.47292999999999</v>
      </c>
      <c r="CK19" s="2144">
        <v>7.7329999999999996E-2</v>
      </c>
      <c r="CL19" s="2144">
        <v>168.86281</v>
      </c>
      <c r="CM19" s="2144">
        <v>0.49529000000000001</v>
      </c>
      <c r="CN19" s="2144">
        <v>0</v>
      </c>
      <c r="CO19" s="2144">
        <v>8.56053</v>
      </c>
      <c r="CP19" s="2144">
        <f t="shared" si="98"/>
        <v>656.25</v>
      </c>
      <c r="CQ19" s="2144">
        <v>383.14</v>
      </c>
      <c r="CR19" s="2144">
        <v>0.11</v>
      </c>
      <c r="CS19" s="2144">
        <v>253.94</v>
      </c>
      <c r="CT19" s="2144">
        <v>0.76</v>
      </c>
      <c r="CU19" s="2144">
        <v>0</v>
      </c>
      <c r="CV19" s="2144">
        <v>18.3</v>
      </c>
      <c r="CW19" s="2144">
        <f t="shared" si="99"/>
        <v>679.573125</v>
      </c>
      <c r="CX19" s="2144">
        <f>SUM(CW19*CX50)</f>
        <v>397.66678225134012</v>
      </c>
      <c r="CY19" s="2144">
        <f>SUM(CW19*CY50)</f>
        <v>0.11076895773274921</v>
      </c>
      <c r="CZ19" s="2144">
        <f>SUM(CW19*CZ50)</f>
        <v>263.57826142275184</v>
      </c>
      <c r="DA19" s="2144">
        <f>SUM(CW19*DA50)</f>
        <v>0.76250472488571197</v>
      </c>
      <c r="DB19" s="2144">
        <f>SUM(CW19*DB50)</f>
        <v>0</v>
      </c>
      <c r="DC19" s="2144">
        <f>SUM(CW19*DC50)</f>
        <v>17.454807643289548</v>
      </c>
      <c r="DD19" s="2112">
        <f t="shared" si="100"/>
        <v>205.38402610521189</v>
      </c>
      <c r="DE19" s="2112">
        <v>171.14</v>
      </c>
      <c r="DF19" s="2144">
        <f t="shared" si="102"/>
        <v>247.20609999999996</v>
      </c>
      <c r="DG19" s="2144">
        <v>140.30934999999999</v>
      </c>
      <c r="DH19" s="2144">
        <v>3.3180000000000001E-2</v>
      </c>
      <c r="DI19" s="2144">
        <v>99.348119999999994</v>
      </c>
      <c r="DJ19" s="2144">
        <v>0.26627000000000001</v>
      </c>
      <c r="DK19" s="2144">
        <v>0</v>
      </c>
      <c r="DL19" s="2144">
        <v>7.24918</v>
      </c>
      <c r="DM19" s="2144">
        <f t="shared" si="103"/>
        <v>359.98012</v>
      </c>
      <c r="DN19" s="2144">
        <v>204.48106000000001</v>
      </c>
      <c r="DO19" s="2144">
        <v>5.586E-2</v>
      </c>
      <c r="DP19" s="2144">
        <v>144.79373000000001</v>
      </c>
      <c r="DQ19" s="2144">
        <v>0.38711000000000001</v>
      </c>
      <c r="DR19" s="2144">
        <v>0</v>
      </c>
      <c r="DS19" s="2144">
        <v>10.262359999999999</v>
      </c>
      <c r="DT19" s="2144">
        <f t="shared" si="104"/>
        <v>520.92194000000006</v>
      </c>
      <c r="DU19" s="2144">
        <v>296.14999999999998</v>
      </c>
      <c r="DV19" s="2144">
        <v>6.794E-2</v>
      </c>
      <c r="DW19" s="2144">
        <v>211.76</v>
      </c>
      <c r="DX19" s="2144">
        <v>0.58799999999999997</v>
      </c>
      <c r="DY19" s="2144">
        <v>0</v>
      </c>
      <c r="DZ19" s="2144">
        <v>12.356</v>
      </c>
      <c r="EA19" s="2144">
        <f t="shared" si="105"/>
        <v>541.4983566300001</v>
      </c>
      <c r="EB19" s="2144">
        <f>SUM(EA19*EB50)</f>
        <v>308.19124311380375</v>
      </c>
      <c r="EC19" s="2144">
        <f>SUM(EA19*EC50)</f>
        <v>7.5352411900519112E-2</v>
      </c>
      <c r="ED19" s="2144">
        <f>SUM(EA19*ED50)</f>
        <v>219.39240344149678</v>
      </c>
      <c r="EE19" s="2144">
        <f>SUM(EA19*EE50)</f>
        <v>0.61370371665945911</v>
      </c>
      <c r="EF19" s="2144">
        <f>SUM(EA19*EF50)</f>
        <v>0</v>
      </c>
      <c r="EG19" s="2144">
        <f>SUM(EA19*EG50)</f>
        <v>13.225653946139477</v>
      </c>
      <c r="EH19" s="2112">
        <f t="shared" si="131"/>
        <v>217.40679680626894</v>
      </c>
      <c r="EI19" s="2112">
        <f t="shared" si="106"/>
        <v>140.7741462732557</v>
      </c>
      <c r="EJ19" s="3953" t="s">
        <v>1923</v>
      </c>
      <c r="EK19" s="2144">
        <f t="shared" si="107"/>
        <v>341.02351999999996</v>
      </c>
      <c r="EL19" s="2144">
        <v>198.51733999999999</v>
      </c>
      <c r="EM19" s="2144">
        <v>3.7830000000000003E-2</v>
      </c>
      <c r="EN19" s="2144">
        <v>138.29282000000001</v>
      </c>
      <c r="EO19" s="2144">
        <v>0.28992000000000001</v>
      </c>
      <c r="EP19" s="2144">
        <v>0</v>
      </c>
      <c r="EQ19" s="2144">
        <v>3.8856099999999998</v>
      </c>
      <c r="ER19" s="2144">
        <f t="shared" si="108"/>
        <v>473.31036</v>
      </c>
      <c r="ES19" s="2144">
        <v>271.74400000000003</v>
      </c>
      <c r="ET19" s="2144">
        <v>5.6000000000000001E-2</v>
      </c>
      <c r="EU19" s="2144">
        <v>190.82900000000001</v>
      </c>
      <c r="EV19" s="2144">
        <v>0.41899999999999998</v>
      </c>
      <c r="EW19" s="2144">
        <v>0</v>
      </c>
      <c r="EX19" s="2144">
        <v>10.262359999999999</v>
      </c>
      <c r="EY19" s="2144">
        <v>644.29399999999998</v>
      </c>
      <c r="EZ19" s="2144">
        <v>360.02</v>
      </c>
      <c r="FA19" s="2144">
        <v>7.5120000000000006E-2</v>
      </c>
      <c r="FB19" s="2144">
        <v>253.691</v>
      </c>
      <c r="FC19" s="2144">
        <v>0.57699999999999996</v>
      </c>
      <c r="FD19" s="3862">
        <v>0</v>
      </c>
      <c r="FE19" s="3862">
        <v>12.356</v>
      </c>
      <c r="FF19" s="2447">
        <f t="shared" ref="FF19:FF48" si="148">SUM(EY19*(1+0.1)*0.99*(1+0.05)*0.99)</f>
        <v>729.3507945570002</v>
      </c>
      <c r="FG19" s="2447">
        <f t="shared" ref="FG19:FG48" si="149">SUM(EZ19*(1+0.1)*0.99*(1+0.05)*0.99)</f>
        <v>407.54822031000003</v>
      </c>
      <c r="FH19" s="2447">
        <f t="shared" ref="FH19:FH48" si="150">SUM(FA19*(1+0.1)*0.99*(1+0.05)*0.99)</f>
        <v>8.5037004360000001E-2</v>
      </c>
      <c r="FI19" s="2447">
        <f t="shared" ref="FI19:FI48" si="151">SUM(FB19*(1+0.1)*0.99*(1+0.05)*0.99)</f>
        <v>287.18214421050004</v>
      </c>
      <c r="FJ19" s="2447">
        <f t="shared" ref="FJ19:FJ48" si="152">SUM(FC19*(1+0.1)*0.99*(1+0.05)*0.99)</f>
        <v>0.6531729435000001</v>
      </c>
      <c r="FK19" s="2447">
        <f>SUM(FF19*FK50)</f>
        <v>0</v>
      </c>
      <c r="FL19" s="2447">
        <f>SUM(FF19*FL50)</f>
        <v>14.886782702065581</v>
      </c>
      <c r="FM19" s="3512">
        <f t="shared" si="136"/>
        <v>250.79111541950809</v>
      </c>
      <c r="FN19" s="3512">
        <f t="shared" si="142"/>
        <v>162.3909909199341</v>
      </c>
      <c r="FO19" s="4760">
        <v>144.47594000000001</v>
      </c>
      <c r="FP19" s="4760">
        <v>3.3110000000000001E-2</v>
      </c>
      <c r="FQ19" s="4760">
        <v>101.50801</v>
      </c>
      <c r="FR19" s="4760">
        <v>0.23846000000000001</v>
      </c>
      <c r="FS19" s="4760">
        <v>494.75049000000001</v>
      </c>
      <c r="FT19" s="4760">
        <v>4.4650000000000002E-2</v>
      </c>
      <c r="FU19" s="4760">
        <v>373.77694000000002</v>
      </c>
      <c r="FV19" s="4760">
        <v>1.03207</v>
      </c>
    </row>
    <row r="20" spans="1:178" ht="24" customHeight="1" x14ac:dyDescent="0.2">
      <c r="A20" s="3234" t="s">
        <v>9</v>
      </c>
      <c r="B20" s="3110">
        <v>154.6</v>
      </c>
      <c r="C20" s="3110"/>
      <c r="D20" s="2139">
        <f t="shared" si="114"/>
        <v>0</v>
      </c>
      <c r="E20" s="3110">
        <v>191.2</v>
      </c>
      <c r="F20" s="2139"/>
      <c r="G20" s="2140">
        <v>6.6</v>
      </c>
      <c r="H20" s="2139">
        <f t="shared" si="115"/>
        <v>3.4518828451882846</v>
      </c>
      <c r="I20" s="2141">
        <f>C20*1.03</f>
        <v>0</v>
      </c>
      <c r="J20" s="2141">
        <v>2</v>
      </c>
      <c r="K20" s="2141">
        <v>30</v>
      </c>
      <c r="L20" s="2141">
        <v>29.2</v>
      </c>
      <c r="M20" s="2145">
        <f t="shared" si="116"/>
        <v>454.54545454545456</v>
      </c>
      <c r="N20" s="2141">
        <v>0</v>
      </c>
      <c r="O20" s="2141">
        <v>0.3</v>
      </c>
      <c r="P20" s="2141">
        <v>0.57765</v>
      </c>
      <c r="Q20" s="2141">
        <v>0.6</v>
      </c>
      <c r="R20" s="2141">
        <v>30.08</v>
      </c>
      <c r="S20" s="2140">
        <f>P20/9*12*1.048</f>
        <v>0.80716960000000004</v>
      </c>
      <c r="T20" s="2143"/>
      <c r="U20" s="2144" t="e">
        <f>R20*#REF!</f>
        <v>#REF!</v>
      </c>
      <c r="V20" s="2144" t="e">
        <f>R20*#REF!</f>
        <v>#REF!</v>
      </c>
      <c r="W20" s="2144">
        <f t="shared" si="117"/>
        <v>0.46087694536300999</v>
      </c>
      <c r="X20" s="2144">
        <f t="shared" si="118"/>
        <v>0.32735122440381553</v>
      </c>
      <c r="Y20" s="2144"/>
      <c r="Z20" s="2144"/>
      <c r="AA20" s="2144">
        <v>19.600000000000001</v>
      </c>
      <c r="AB20" s="2141">
        <v>1</v>
      </c>
      <c r="AC20" s="2140">
        <v>0</v>
      </c>
      <c r="AD20" s="2144">
        <f t="shared" si="119"/>
        <v>0</v>
      </c>
      <c r="AE20" s="2144">
        <f t="shared" si="120"/>
        <v>0</v>
      </c>
      <c r="AF20" s="3233">
        <f t="shared" si="0"/>
        <v>0</v>
      </c>
      <c r="AG20" s="3233">
        <f t="shared" si="1"/>
        <v>0</v>
      </c>
      <c r="AH20" s="2144">
        <v>0</v>
      </c>
      <c r="AI20" s="2144">
        <v>0</v>
      </c>
      <c r="AJ20" s="2140">
        <f t="shared" si="143"/>
        <v>21.560000000000002</v>
      </c>
      <c r="AK20" s="2144">
        <f>AJ20*AI56</f>
        <v>12.849760000000002</v>
      </c>
      <c r="AL20" s="2144">
        <f>AJ20*AI57</f>
        <v>8.7102400000000006</v>
      </c>
      <c r="AM20" s="3233"/>
      <c r="AN20" s="3233"/>
      <c r="AO20" s="2567">
        <f>AH20*2*1.071</f>
        <v>0</v>
      </c>
      <c r="AP20" s="2144">
        <f t="shared" si="121"/>
        <v>0</v>
      </c>
      <c r="AQ20" s="2144">
        <f t="shared" si="122"/>
        <v>0</v>
      </c>
      <c r="AR20" s="2144">
        <f t="shared" si="7"/>
        <v>2.2200000000000002</v>
      </c>
      <c r="AS20" s="2144">
        <v>1.31</v>
      </c>
      <c r="AT20" s="2144">
        <v>0.91</v>
      </c>
      <c r="AU20" s="2144">
        <f t="shared" si="8"/>
        <v>52.954920000000001</v>
      </c>
      <c r="AV20" s="2144">
        <f>0.56083+30.15303</f>
        <v>30.71386</v>
      </c>
      <c r="AW20" s="2144">
        <f>21.83495+0.40611</f>
        <v>22.241060000000001</v>
      </c>
      <c r="AX20" s="2144">
        <f t="shared" si="137"/>
        <v>0</v>
      </c>
      <c r="AY20" s="2144">
        <v>0</v>
      </c>
      <c r="AZ20" s="2144">
        <v>0</v>
      </c>
      <c r="BA20" s="2144">
        <f t="shared" si="93"/>
        <v>298.31524999999999</v>
      </c>
      <c r="BB20" s="2144">
        <v>175.26</v>
      </c>
      <c r="BC20" s="3236">
        <v>2.691E-2</v>
      </c>
      <c r="BD20" s="2144">
        <v>118.038</v>
      </c>
      <c r="BE20" s="3236">
        <v>0.20326</v>
      </c>
      <c r="BF20" s="3236">
        <v>2.6433200000000001</v>
      </c>
      <c r="BG20" s="3236">
        <v>2.1437599999999999</v>
      </c>
      <c r="BH20" s="2144">
        <f t="shared" si="11"/>
        <v>56.17</v>
      </c>
      <c r="BI20" s="2144">
        <v>32.64</v>
      </c>
      <c r="BJ20" s="2144">
        <v>23.53</v>
      </c>
      <c r="BK20" s="2144">
        <v>0</v>
      </c>
      <c r="BL20" s="2144">
        <f t="shared" si="123"/>
        <v>0</v>
      </c>
      <c r="BM20" s="2144">
        <f t="shared" si="124"/>
        <v>0</v>
      </c>
      <c r="BN20" s="2144">
        <f t="shared" si="125"/>
        <v>0</v>
      </c>
      <c r="BO20" s="2144">
        <f t="shared" si="126"/>
        <v>0</v>
      </c>
      <c r="BP20" s="2144">
        <f>SUM(BA20*1.046)</f>
        <v>312.03775150000001</v>
      </c>
      <c r="BQ20" s="2144">
        <f>SUM(BP20*BB50)</f>
        <v>183.57295974464535</v>
      </c>
      <c r="BR20" s="2610">
        <f>SUM(BP20*BC50)</f>
        <v>8.3029250964325105E-3</v>
      </c>
      <c r="BS20" s="2144">
        <f>SUM(BP20*BD50)</f>
        <v>126.89737089129716</v>
      </c>
      <c r="BT20" s="2144">
        <f>SUM(BP20*BE50)</f>
        <v>6.2925751506008251E-2</v>
      </c>
      <c r="BU20" s="2144">
        <f>SUM(BP20*BF50)</f>
        <v>0.64767188427895261</v>
      </c>
      <c r="BV20" s="2144">
        <f>SUM(BP20*BG50)</f>
        <v>0.84852030317613192</v>
      </c>
      <c r="BW20" s="2144">
        <f t="shared" si="95"/>
        <v>0</v>
      </c>
      <c r="BX20" s="2144">
        <f t="shared" si="127"/>
        <v>0</v>
      </c>
      <c r="BY20" s="2144">
        <f t="shared" si="128"/>
        <v>0</v>
      </c>
      <c r="BZ20" s="2144">
        <f t="shared" si="129"/>
        <v>0</v>
      </c>
      <c r="CA20" s="2144">
        <f t="shared" si="130"/>
        <v>0</v>
      </c>
      <c r="CB20" s="2144">
        <f t="shared" si="96"/>
        <v>139.05999999999997</v>
      </c>
      <c r="CC20" s="2144">
        <v>79.89</v>
      </c>
      <c r="CD20" s="2144">
        <v>0.02</v>
      </c>
      <c r="CE20" s="2144">
        <v>56.8</v>
      </c>
      <c r="CF20" s="2144">
        <v>0.14000000000000001</v>
      </c>
      <c r="CG20" s="2144">
        <v>0</v>
      </c>
      <c r="CH20" s="2144">
        <v>2.21</v>
      </c>
      <c r="CI20" s="2144">
        <f t="shared" si="97"/>
        <v>157.40979000000002</v>
      </c>
      <c r="CJ20" s="2144">
        <v>91.113069999999993</v>
      </c>
      <c r="CK20" s="2144">
        <v>2.325E-2</v>
      </c>
      <c r="CL20" s="2144">
        <v>63.516530000000003</v>
      </c>
      <c r="CM20" s="2144">
        <v>0.14729999999999999</v>
      </c>
      <c r="CN20" s="2144">
        <v>0</v>
      </c>
      <c r="CO20" s="2144">
        <v>2.6096400000000002</v>
      </c>
      <c r="CP20" s="2144">
        <f t="shared" si="98"/>
        <v>157.71</v>
      </c>
      <c r="CQ20" s="2144">
        <v>91.29</v>
      </c>
      <c r="CR20" s="2144">
        <v>0.02</v>
      </c>
      <c r="CS20" s="2144">
        <v>63.63</v>
      </c>
      <c r="CT20" s="2144">
        <v>0.15</v>
      </c>
      <c r="CU20" s="2144">
        <v>0</v>
      </c>
      <c r="CV20" s="2144">
        <v>2.62</v>
      </c>
      <c r="CW20" s="2144">
        <f t="shared" si="99"/>
        <v>163.3150134</v>
      </c>
      <c r="CX20" s="2144">
        <f>SUM(CW20*CX50)</f>
        <v>95.567281110642057</v>
      </c>
      <c r="CY20" s="2144">
        <f>SUM(CW20*CY50)</f>
        <v>2.6619995922334289E-2</v>
      </c>
      <c r="CZ20" s="2144">
        <f>SUM(CW20*CZ50)</f>
        <v>63.343127785115719</v>
      </c>
      <c r="DA20" s="2144">
        <f>SUM(CW20*DA50)</f>
        <v>0.18324513548453428</v>
      </c>
      <c r="DB20" s="2144">
        <f>SUM(CW20*DB50)</f>
        <v>0</v>
      </c>
      <c r="DC20" s="2144">
        <f>SUM(CW20*DC50)</f>
        <v>4.1947393728353441</v>
      </c>
      <c r="DD20" s="2112">
        <f t="shared" si="100"/>
        <v>0</v>
      </c>
      <c r="DE20" s="2112">
        <f t="shared" si="101"/>
        <v>0</v>
      </c>
      <c r="DF20" s="2144">
        <f t="shared" si="102"/>
        <v>0</v>
      </c>
      <c r="DG20" s="2144">
        <v>0</v>
      </c>
      <c r="DH20" s="2144">
        <v>0</v>
      </c>
      <c r="DI20" s="2144">
        <v>0</v>
      </c>
      <c r="DJ20" s="2144">
        <v>0</v>
      </c>
      <c r="DK20" s="2144">
        <v>0</v>
      </c>
      <c r="DL20" s="2144">
        <v>0</v>
      </c>
      <c r="DM20" s="2144">
        <f t="shared" si="103"/>
        <v>0</v>
      </c>
      <c r="DN20" s="2144">
        <v>0</v>
      </c>
      <c r="DO20" s="2144">
        <v>0</v>
      </c>
      <c r="DP20" s="2144">
        <v>0</v>
      </c>
      <c r="DQ20" s="2144">
        <v>0</v>
      </c>
      <c r="DR20" s="2144">
        <v>0</v>
      </c>
      <c r="DS20" s="2144">
        <v>0</v>
      </c>
      <c r="DT20" s="2144">
        <f t="shared" si="104"/>
        <v>9.253309999999999</v>
      </c>
      <c r="DU20" s="2144">
        <v>5.4109999999999996</v>
      </c>
      <c r="DV20" s="2144">
        <v>1.31E-3</v>
      </c>
      <c r="DW20" s="2144">
        <v>3.7229999999999999</v>
      </c>
      <c r="DX20" s="2144">
        <v>1.0999999999999999E-2</v>
      </c>
      <c r="DY20" s="2144">
        <v>0</v>
      </c>
      <c r="DZ20" s="2144">
        <v>0.107</v>
      </c>
      <c r="EA20" s="2144">
        <f t="shared" si="105"/>
        <v>9.6188157449999991</v>
      </c>
      <c r="EB20" s="2144">
        <f>SUM(EA20*EB50)</f>
        <v>5.4745037458345305</v>
      </c>
      <c r="EC20" s="2144">
        <f>SUM(EA20*EC50)</f>
        <v>1.3385100012550677E-3</v>
      </c>
      <c r="ED20" s="2144">
        <f>SUM(EA20*ED50)</f>
        <v>3.8971403674977405</v>
      </c>
      <c r="EE20" s="2144">
        <f>SUM(EA20*EE50)</f>
        <v>1.0901423615219851E-2</v>
      </c>
      <c r="EF20" s="2144">
        <f>SUM(EA20*EF50)</f>
        <v>0</v>
      </c>
      <c r="EG20" s="2144">
        <f>SUM(EA20*EG50)</f>
        <v>0.23493169805125094</v>
      </c>
      <c r="EH20" s="2112">
        <f t="shared" si="131"/>
        <v>0</v>
      </c>
      <c r="EI20" s="2112">
        <f t="shared" si="106"/>
        <v>0</v>
      </c>
      <c r="EJ20" s="3952" t="s">
        <v>1922</v>
      </c>
      <c r="EK20" s="2144">
        <f t="shared" si="107"/>
        <v>9.1313300000000019</v>
      </c>
      <c r="EL20" s="2144">
        <v>5.3452400000000004</v>
      </c>
      <c r="EM20" s="2144">
        <v>1.23E-3</v>
      </c>
      <c r="EN20" s="2144">
        <v>3.68607</v>
      </c>
      <c r="EO20" s="2144">
        <v>1.0540000000000001E-2</v>
      </c>
      <c r="EP20" s="2144">
        <v>0</v>
      </c>
      <c r="EQ20" s="2144">
        <v>8.8249999999999995E-2</v>
      </c>
      <c r="ER20" s="2144">
        <f t="shared" si="108"/>
        <v>12.709430000000001</v>
      </c>
      <c r="ES20" s="2144">
        <v>7.4420000000000002</v>
      </c>
      <c r="ET20" s="2144">
        <v>1.9400000000000001E-3</v>
      </c>
      <c r="EU20" s="2144">
        <v>5.2510000000000003</v>
      </c>
      <c r="EV20" s="2144">
        <v>1.4489999999999999E-2</v>
      </c>
      <c r="EW20" s="2144">
        <v>0</v>
      </c>
      <c r="EX20" s="2144">
        <v>0</v>
      </c>
      <c r="EY20" s="2144">
        <v>13.253</v>
      </c>
      <c r="EZ20" s="2144">
        <v>7.4420000000000002</v>
      </c>
      <c r="FA20" s="2144">
        <v>1.9400000000000001E-3</v>
      </c>
      <c r="FB20" s="2144">
        <v>5.2510000000000003</v>
      </c>
      <c r="FC20" s="2144">
        <v>1.4489999999999999E-2</v>
      </c>
      <c r="FD20" s="3862">
        <v>0</v>
      </c>
      <c r="FE20" s="3862">
        <v>0.107</v>
      </c>
      <c r="FF20" s="2447">
        <f t="shared" si="148"/>
        <v>15.002601421500001</v>
      </c>
      <c r="FG20" s="2447">
        <f t="shared" si="149"/>
        <v>8.424459351000003</v>
      </c>
      <c r="FH20" s="2447">
        <f t="shared" si="150"/>
        <v>2.1961100700000004E-3</v>
      </c>
      <c r="FI20" s="2447">
        <f t="shared" si="151"/>
        <v>5.9442133904999999</v>
      </c>
      <c r="FJ20" s="2447">
        <f t="shared" si="152"/>
        <v>1.6402904595000004E-2</v>
      </c>
      <c r="FK20" s="2447">
        <f>SUM(FF20*FK50)</f>
        <v>0</v>
      </c>
      <c r="FL20" s="2447">
        <f>SUM(FF20*FL50)</f>
        <v>0.30621817237235655</v>
      </c>
      <c r="FM20" s="3512">
        <f t="shared" si="136"/>
        <v>0</v>
      </c>
      <c r="FN20" s="3512">
        <f t="shared" si="142"/>
        <v>0</v>
      </c>
      <c r="FO20" s="4760">
        <v>18.14875</v>
      </c>
      <c r="FP20" s="4760">
        <v>5.47E-3</v>
      </c>
      <c r="FQ20" s="4760">
        <v>13.121700000000001</v>
      </c>
      <c r="FR20" s="4760">
        <v>3.3250000000000002E-2</v>
      </c>
      <c r="FS20" s="4760">
        <v>170.30815999999999</v>
      </c>
      <c r="FT20" s="4760">
        <v>2.5229999999999999E-2</v>
      </c>
      <c r="FU20" s="4760">
        <v>125.24612</v>
      </c>
      <c r="FV20" s="4760">
        <v>0.30889</v>
      </c>
    </row>
    <row r="21" spans="1:178" ht="24" customHeight="1" x14ac:dyDescent="0.2">
      <c r="A21" s="3234" t="s">
        <v>1</v>
      </c>
      <c r="B21" s="3110">
        <v>121.5</v>
      </c>
      <c r="C21" s="3110">
        <v>143.30000000000001</v>
      </c>
      <c r="D21" s="2139">
        <f t="shared" si="114"/>
        <v>117.94238683127574</v>
      </c>
      <c r="E21" s="3110">
        <v>133</v>
      </c>
      <c r="F21" s="2139">
        <f>E21/C21*100</f>
        <v>92.8122819260293</v>
      </c>
      <c r="G21" s="2140">
        <v>159.6</v>
      </c>
      <c r="H21" s="2139">
        <f t="shared" si="115"/>
        <v>120</v>
      </c>
      <c r="I21" s="2141">
        <v>164.8</v>
      </c>
      <c r="J21" s="2141">
        <v>96</v>
      </c>
      <c r="K21" s="2141">
        <f>J21/9*12</f>
        <v>128</v>
      </c>
      <c r="L21" s="2141">
        <v>138.1</v>
      </c>
      <c r="M21" s="2145">
        <f t="shared" si="116"/>
        <v>80.200501253132842</v>
      </c>
      <c r="N21" s="2141">
        <v>135.68</v>
      </c>
      <c r="O21" s="2141">
        <v>67</v>
      </c>
      <c r="P21" s="2141">
        <v>102.06036</v>
      </c>
      <c r="Q21" s="2141">
        <v>114.5</v>
      </c>
      <c r="R21" s="2141">
        <v>164.3</v>
      </c>
      <c r="S21" s="2140">
        <f>P21/9*12*1.073</f>
        <v>146.01435504</v>
      </c>
      <c r="T21" s="2143">
        <f>S21/N21</f>
        <v>1.0761671214622641</v>
      </c>
      <c r="U21" s="2144" t="e">
        <f>R21*#REF!</f>
        <v>#REF!</v>
      </c>
      <c r="V21" s="2144" t="e">
        <f>R21*#REF!</f>
        <v>#REF!</v>
      </c>
      <c r="W21" s="2144">
        <f t="shared" si="117"/>
        <v>83.371140253529404</v>
      </c>
      <c r="X21" s="2144">
        <f t="shared" si="118"/>
        <v>59.216771670882338</v>
      </c>
      <c r="Y21" s="2144"/>
      <c r="Z21" s="2144"/>
      <c r="AA21" s="2144">
        <v>6.61</v>
      </c>
      <c r="AB21" s="2141">
        <v>156.9</v>
      </c>
      <c r="AC21" s="2140">
        <v>0</v>
      </c>
      <c r="AD21" s="2144">
        <f t="shared" si="119"/>
        <v>0</v>
      </c>
      <c r="AE21" s="2144">
        <f t="shared" si="120"/>
        <v>0</v>
      </c>
      <c r="AF21" s="3233">
        <f t="shared" si="0"/>
        <v>0</v>
      </c>
      <c r="AG21" s="3233">
        <f t="shared" si="1"/>
        <v>0</v>
      </c>
      <c r="AH21" s="2144">
        <v>66.040000000000006</v>
      </c>
      <c r="AI21" s="2144">
        <v>99.61</v>
      </c>
      <c r="AJ21" s="2140">
        <f t="shared" si="143"/>
        <v>7.2710000000000008</v>
      </c>
      <c r="AK21" s="2144">
        <f>AJ21*AI56</f>
        <v>4.3335160000000004</v>
      </c>
      <c r="AL21" s="2144">
        <f>AJ21*AI57</f>
        <v>2.9374840000000004</v>
      </c>
      <c r="AM21" s="3233"/>
      <c r="AN21" s="3233"/>
      <c r="AO21" s="2567">
        <f>AJ21</f>
        <v>7.2710000000000008</v>
      </c>
      <c r="AP21" s="2144">
        <f t="shared" si="121"/>
        <v>3.9565508807590932</v>
      </c>
      <c r="AQ21" s="2144">
        <f t="shared" si="122"/>
        <v>3.275266445372782</v>
      </c>
      <c r="AR21" s="2144">
        <f t="shared" si="7"/>
        <v>39.950000000000003</v>
      </c>
      <c r="AS21" s="2144">
        <v>23.57</v>
      </c>
      <c r="AT21" s="2144">
        <v>16.38</v>
      </c>
      <c r="AU21" s="2144">
        <f t="shared" si="8"/>
        <v>1.7742599999999999</v>
      </c>
      <c r="AV21" s="2144">
        <v>1.0290699999999999</v>
      </c>
      <c r="AW21" s="2144">
        <v>0.74519000000000002</v>
      </c>
      <c r="AX21" s="2144">
        <f t="shared" si="137"/>
        <v>26.26</v>
      </c>
      <c r="AY21" s="2144">
        <v>26.26</v>
      </c>
      <c r="AZ21" s="2144">
        <v>0</v>
      </c>
      <c r="BA21" s="2144">
        <f t="shared" si="93"/>
        <v>101.48314999999999</v>
      </c>
      <c r="BB21" s="2144">
        <v>59.835999999999999</v>
      </c>
      <c r="BC21" s="3236">
        <v>7.5300000000000002E-3</v>
      </c>
      <c r="BD21" s="2144">
        <v>40.200000000000003</v>
      </c>
      <c r="BE21" s="3236">
        <v>5.7029999999999997E-2</v>
      </c>
      <c r="BF21" s="3236">
        <v>0.67137000000000002</v>
      </c>
      <c r="BG21" s="3236">
        <v>0.71121999999999996</v>
      </c>
      <c r="BH21" s="2144">
        <f t="shared" si="11"/>
        <v>27.05</v>
      </c>
      <c r="BI21" s="2144">
        <v>15.72</v>
      </c>
      <c r="BJ21" s="2144">
        <v>11.33</v>
      </c>
      <c r="BK21" s="3239">
        <f>(5000*4.865866*1.039*1.059)/1000</f>
        <v>26.769586128329994</v>
      </c>
      <c r="BL21" s="2144">
        <f t="shared" si="123"/>
        <v>15.561300433555939</v>
      </c>
      <c r="BM21" s="2144">
        <f t="shared" si="124"/>
        <v>10.076174322128249</v>
      </c>
      <c r="BN21" s="2144">
        <f t="shared" si="125"/>
        <v>1.0681164104185354</v>
      </c>
      <c r="BO21" s="2144">
        <f t="shared" si="126"/>
        <v>6.3994962227268845E-2</v>
      </c>
      <c r="BP21" s="2144">
        <f>SUM(BA21*1.046)</f>
        <v>106.15137489999999</v>
      </c>
      <c r="BQ21" s="2144">
        <f>SUM(BP21*BB50)</f>
        <v>62.449245252161276</v>
      </c>
      <c r="BR21" s="2610">
        <f>SUM(BP21*BC50)</f>
        <v>2.8245521910127786E-3</v>
      </c>
      <c r="BS21" s="2144">
        <f>SUM(BP21*BD50)</f>
        <v>43.168912500340305</v>
      </c>
      <c r="BT21" s="2144">
        <f>SUM(BP21*BE50)</f>
        <v>2.1406560606428808E-2</v>
      </c>
      <c r="BU21" s="2144">
        <f>SUM(BP21*BF50)</f>
        <v>0.22032994619974533</v>
      </c>
      <c r="BV21" s="2144">
        <f>SUM(BP21*BG50)</f>
        <v>0.28865608850123775</v>
      </c>
      <c r="BW21" s="2144">
        <f t="shared" si="95"/>
        <v>27.296946975058095</v>
      </c>
      <c r="BX21" s="2144">
        <f t="shared" si="127"/>
        <v>15.86785805209699</v>
      </c>
      <c r="BY21" s="2144">
        <f t="shared" si="128"/>
        <v>10.274674956274175</v>
      </c>
      <c r="BZ21" s="2144">
        <f t="shared" si="129"/>
        <v>1.0891583037037804</v>
      </c>
      <c r="CA21" s="2144">
        <f t="shared" si="130"/>
        <v>6.5255662983146029E-2</v>
      </c>
      <c r="CB21" s="2144">
        <f t="shared" si="96"/>
        <v>61.41</v>
      </c>
      <c r="CC21" s="2144">
        <v>35.75</v>
      </c>
      <c r="CD21" s="2144">
        <v>0.01</v>
      </c>
      <c r="CE21" s="2144">
        <v>24.48</v>
      </c>
      <c r="CF21" s="2144">
        <v>0.08</v>
      </c>
      <c r="CG21" s="2144">
        <v>0</v>
      </c>
      <c r="CH21" s="2144">
        <v>1.0900000000000001</v>
      </c>
      <c r="CI21" s="2144">
        <f t="shared" si="97"/>
        <v>96.756399999999999</v>
      </c>
      <c r="CJ21" s="2144">
        <v>56.765630000000002</v>
      </c>
      <c r="CK21" s="2144">
        <v>1.6420000000000001E-2</v>
      </c>
      <c r="CL21" s="2144">
        <v>37.886650000000003</v>
      </c>
      <c r="CM21" s="2144">
        <v>0.10395</v>
      </c>
      <c r="CN21" s="2144">
        <v>0</v>
      </c>
      <c r="CO21" s="2144">
        <v>1.9837499999999999</v>
      </c>
      <c r="CP21" s="2144">
        <f t="shared" si="98"/>
        <v>100.777</v>
      </c>
      <c r="CQ21" s="2144">
        <v>59.12</v>
      </c>
      <c r="CR21" s="2144">
        <v>1.7000000000000001E-2</v>
      </c>
      <c r="CS21" s="2144">
        <v>39.380000000000003</v>
      </c>
      <c r="CT21" s="2144">
        <v>0.11</v>
      </c>
      <c r="CU21" s="2144">
        <v>0</v>
      </c>
      <c r="CV21" s="2144">
        <v>2.15</v>
      </c>
      <c r="CW21" s="2144">
        <f t="shared" si="99"/>
        <v>104.35861458000001</v>
      </c>
      <c r="CX21" s="2144">
        <f>SUM(CW21*CX50)</f>
        <v>61.067680479913605</v>
      </c>
      <c r="CY21" s="2144">
        <f>SUM(CW21*CY50)</f>
        <v>1.7010229719517361E-2</v>
      </c>
      <c r="CZ21" s="2144">
        <f>SUM(CW21*CZ50)</f>
        <v>40.476383164039106</v>
      </c>
      <c r="DA21" s="2144">
        <f>SUM(CW21*DA50)</f>
        <v>0.11709400176732555</v>
      </c>
      <c r="DB21" s="2144">
        <f>SUM(CW21*DB50)</f>
        <v>0</v>
      </c>
      <c r="DC21" s="2144">
        <f>SUM(CW21*DC50)</f>
        <v>2.6804467045604432</v>
      </c>
      <c r="DD21" s="2112">
        <f t="shared" si="100"/>
        <v>16.306311311062569</v>
      </c>
      <c r="DE21" s="2112">
        <f t="shared" si="101"/>
        <v>10.558579986467905</v>
      </c>
      <c r="DF21" s="2144">
        <f t="shared" si="102"/>
        <v>1.8836999999999999</v>
      </c>
      <c r="DG21" s="2144">
        <v>1.07558</v>
      </c>
      <c r="DH21" s="2564">
        <v>2.9E-4</v>
      </c>
      <c r="DI21" s="2610">
        <v>0.74326000000000003</v>
      </c>
      <c r="DJ21" s="2610">
        <v>1.89E-3</v>
      </c>
      <c r="DK21" s="2144">
        <v>0</v>
      </c>
      <c r="DL21" s="2144">
        <v>6.268E-2</v>
      </c>
      <c r="DM21" s="2144">
        <f t="shared" si="103"/>
        <v>2.4848399999999997</v>
      </c>
      <c r="DN21" s="2144">
        <v>1.4163399999999999</v>
      </c>
      <c r="DO21" s="3236">
        <v>4.2999999999999999E-4</v>
      </c>
      <c r="DP21" s="2144">
        <v>0.98660000000000003</v>
      </c>
      <c r="DQ21" s="2144">
        <v>2.65E-3</v>
      </c>
      <c r="DR21" s="2144">
        <v>0</v>
      </c>
      <c r="DS21" s="2144">
        <v>7.8820000000000001E-2</v>
      </c>
      <c r="DT21" s="2144">
        <f t="shared" si="104"/>
        <v>3.3271899999999994</v>
      </c>
      <c r="DU21" s="2144">
        <v>1.8959999999999999</v>
      </c>
      <c r="DV21" s="2144">
        <v>4.8999999999999998E-4</v>
      </c>
      <c r="DW21" s="2144">
        <v>1.337</v>
      </c>
      <c r="DX21" s="2144">
        <v>3.7000000000000002E-3</v>
      </c>
      <c r="DY21" s="2144">
        <v>0</v>
      </c>
      <c r="DZ21" s="2144">
        <v>0.09</v>
      </c>
      <c r="EA21" s="2144">
        <f t="shared" si="105"/>
        <v>3.4586140049999994</v>
      </c>
      <c r="EB21" s="2144">
        <f>SUM(EA21*EB50)</f>
        <v>1.9684538957522433</v>
      </c>
      <c r="EC21" s="2144">
        <f>SUM(EA21*EC50)</f>
        <v>4.8128476092077838E-4</v>
      </c>
      <c r="ED21" s="2144">
        <f>SUM(EA21*ED50)</f>
        <v>1.4012852113821763</v>
      </c>
      <c r="EE21" s="2144">
        <f>SUM(EA21*EE50)</f>
        <v>3.9197981736614606E-3</v>
      </c>
      <c r="EF21" s="2144">
        <f>SUM(EA21*EF50)</f>
        <v>0</v>
      </c>
      <c r="EG21" s="2144">
        <f>SUM(EA21*EG50)</f>
        <v>8.4473814930996746E-2</v>
      </c>
      <c r="EH21" s="2112">
        <f t="shared" si="131"/>
        <v>17.260850208710483</v>
      </c>
      <c r="EI21" s="2112">
        <f t="shared" si="106"/>
        <v>11.176658171579753</v>
      </c>
      <c r="EJ21" s="3953" t="s">
        <v>1917</v>
      </c>
      <c r="EK21" s="2144">
        <f t="shared" si="107"/>
        <v>45.167970000000004</v>
      </c>
      <c r="EL21" s="2144">
        <v>26.085349999999998</v>
      </c>
      <c r="EM21" s="2564">
        <v>5.2399999999999999E-3</v>
      </c>
      <c r="EN21" s="2610">
        <v>18.508320000000001</v>
      </c>
      <c r="EO21" s="2610">
        <v>4.2340000000000003E-2</v>
      </c>
      <c r="EP21" s="2144">
        <v>0</v>
      </c>
      <c r="EQ21" s="2144">
        <v>0.52671999999999997</v>
      </c>
      <c r="ER21" s="2144">
        <f t="shared" si="108"/>
        <v>77.200230000000005</v>
      </c>
      <c r="ES21" s="2144">
        <v>45.005000000000003</v>
      </c>
      <c r="ET21" s="3236">
        <v>9.9000000000000008E-3</v>
      </c>
      <c r="EU21" s="2144">
        <v>32.03</v>
      </c>
      <c r="EV21" s="2144">
        <v>7.6509999999999995E-2</v>
      </c>
      <c r="EW21" s="2144">
        <v>0</v>
      </c>
      <c r="EX21" s="2144">
        <v>7.8820000000000001E-2</v>
      </c>
      <c r="EY21" s="2144">
        <v>123.953</v>
      </c>
      <c r="EZ21" s="2144">
        <v>68.947000000000003</v>
      </c>
      <c r="FA21" s="2144">
        <v>1.477E-2</v>
      </c>
      <c r="FB21" s="2144">
        <v>49.005000000000003</v>
      </c>
      <c r="FC21" s="2144">
        <v>0.12</v>
      </c>
      <c r="FD21" s="3862">
        <v>0</v>
      </c>
      <c r="FE21" s="3862">
        <v>0.09</v>
      </c>
      <c r="FF21" s="2447">
        <f t="shared" si="148"/>
        <v>140.31671727150004</v>
      </c>
      <c r="FG21" s="2447">
        <f t="shared" si="149"/>
        <v>78.049072678500011</v>
      </c>
      <c r="FH21" s="2447">
        <f t="shared" si="150"/>
        <v>1.6719868935E-2</v>
      </c>
      <c r="FI21" s="2447">
        <f t="shared" si="151"/>
        <v>55.474419577500015</v>
      </c>
      <c r="FJ21" s="2447">
        <f t="shared" si="152"/>
        <v>0.13584186000000004</v>
      </c>
      <c r="FK21" s="2447">
        <f>SUM(FF21*FK50)</f>
        <v>0</v>
      </c>
      <c r="FL21" s="2447">
        <f>SUM(FF21*FL50)</f>
        <v>2.8640052154282594</v>
      </c>
      <c r="FM21" s="3512">
        <f t="shared" si="136"/>
        <v>19.911373243721549</v>
      </c>
      <c r="FN21" s="3512">
        <f t="shared" si="142"/>
        <v>12.892911402447112</v>
      </c>
      <c r="FO21" s="4760">
        <v>44.242280000000001</v>
      </c>
      <c r="FP21" s="4763">
        <v>1.031E-2</v>
      </c>
      <c r="FQ21" s="4761">
        <v>31.01943</v>
      </c>
      <c r="FR21" s="4761">
        <v>7.8060000000000004E-2</v>
      </c>
      <c r="FS21" s="4760">
        <v>96.503699999999995</v>
      </c>
      <c r="FT21" s="4760">
        <v>1.5440000000000001E-2</v>
      </c>
      <c r="FU21" s="4760">
        <v>70.348380000000006</v>
      </c>
      <c r="FV21" s="4760">
        <v>0.19162999999999999</v>
      </c>
    </row>
    <row r="22" spans="1:178" ht="24" customHeight="1" x14ac:dyDescent="0.2">
      <c r="A22" s="3234" t="s">
        <v>35</v>
      </c>
      <c r="B22" s="3110">
        <v>52.8</v>
      </c>
      <c r="C22" s="3110">
        <v>88.4</v>
      </c>
      <c r="D22" s="2139">
        <f t="shared" si="114"/>
        <v>167.42424242424246</v>
      </c>
      <c r="E22" s="3110">
        <v>34.1</v>
      </c>
      <c r="F22" s="2139">
        <f>E22/C22*100</f>
        <v>38.574660633484164</v>
      </c>
      <c r="G22" s="2140">
        <v>140.9</v>
      </c>
      <c r="H22" s="2139">
        <f t="shared" si="115"/>
        <v>413.19648093841641</v>
      </c>
      <c r="I22" s="2141">
        <v>33.1</v>
      </c>
      <c r="J22" s="2141">
        <v>12.2</v>
      </c>
      <c r="K22" s="2141">
        <v>33.1</v>
      </c>
      <c r="L22" s="2141">
        <v>12.1</v>
      </c>
      <c r="M22" s="2145">
        <f t="shared" si="116"/>
        <v>23.491838183108587</v>
      </c>
      <c r="N22" s="2141">
        <v>34.721899999999998</v>
      </c>
      <c r="O22" s="2141">
        <v>5.3</v>
      </c>
      <c r="P22" s="2141">
        <v>7.43</v>
      </c>
      <c r="Q22" s="2141">
        <v>7.4</v>
      </c>
      <c r="R22" s="2141">
        <v>36.049999999999997</v>
      </c>
      <c r="S22" s="2140">
        <f>P22/9*12*1.073</f>
        <v>10.629853333333333</v>
      </c>
      <c r="T22" s="2143">
        <f>S22/N22</f>
        <v>0.30614261700348583</v>
      </c>
      <c r="U22" s="2144" t="e">
        <f>R22*#REF!</f>
        <v>#REF!</v>
      </c>
      <c r="V22" s="2144" t="e">
        <f>R22*#REF!</f>
        <v>#REF!</v>
      </c>
      <c r="W22" s="2144">
        <f t="shared" si="117"/>
        <v>6.0694237418300645</v>
      </c>
      <c r="X22" s="2144">
        <f t="shared" si="118"/>
        <v>4.3109843382352926</v>
      </c>
      <c r="Y22" s="2144"/>
      <c r="Z22" s="2144"/>
      <c r="AA22" s="2144">
        <v>0.34</v>
      </c>
      <c r="AB22" s="2141">
        <v>21.8</v>
      </c>
      <c r="AC22" s="2140">
        <v>0</v>
      </c>
      <c r="AD22" s="2144">
        <f t="shared" si="119"/>
        <v>0</v>
      </c>
      <c r="AE22" s="2144">
        <f t="shared" si="120"/>
        <v>0</v>
      </c>
      <c r="AF22" s="3233">
        <f t="shared" si="0"/>
        <v>0</v>
      </c>
      <c r="AG22" s="3233">
        <f t="shared" si="1"/>
        <v>0</v>
      </c>
      <c r="AH22" s="2144">
        <v>0</v>
      </c>
      <c r="AI22" s="2144">
        <v>0</v>
      </c>
      <c r="AJ22" s="2140">
        <f t="shared" si="143"/>
        <v>0.37400000000000005</v>
      </c>
      <c r="AK22" s="2144">
        <f>AJ22*AI56</f>
        <v>0.22290400000000002</v>
      </c>
      <c r="AL22" s="2144">
        <f>AJ22*AI57</f>
        <v>0.15109600000000004</v>
      </c>
      <c r="AM22" s="3233"/>
      <c r="AN22" s="3233"/>
      <c r="AO22" s="2567">
        <v>0</v>
      </c>
      <c r="AP22" s="2144">
        <f t="shared" si="121"/>
        <v>0</v>
      </c>
      <c r="AQ22" s="2144">
        <f t="shared" si="122"/>
        <v>0</v>
      </c>
      <c r="AR22" s="2144">
        <f t="shared" si="7"/>
        <v>0</v>
      </c>
      <c r="AS22" s="2144">
        <v>0</v>
      </c>
      <c r="AT22" s="2144">
        <v>0</v>
      </c>
      <c r="AU22" s="2144">
        <f t="shared" si="8"/>
        <v>0</v>
      </c>
      <c r="AV22" s="2144">
        <v>0</v>
      </c>
      <c r="AW22" s="2144">
        <v>0</v>
      </c>
      <c r="AX22" s="2144">
        <f t="shared" si="137"/>
        <v>0</v>
      </c>
      <c r="AY22" s="2144">
        <v>0</v>
      </c>
      <c r="AZ22" s="2144">
        <v>0</v>
      </c>
      <c r="BA22" s="2144">
        <f t="shared" si="93"/>
        <v>0</v>
      </c>
      <c r="BB22" s="2144">
        <v>0</v>
      </c>
      <c r="BC22" s="2144">
        <v>0</v>
      </c>
      <c r="BD22" s="2144">
        <v>0</v>
      </c>
      <c r="BE22" s="2144">
        <v>0</v>
      </c>
      <c r="BF22" s="2144">
        <v>0</v>
      </c>
      <c r="BG22" s="2144">
        <v>0</v>
      </c>
      <c r="BH22" s="2144">
        <f t="shared" si="11"/>
        <v>0</v>
      </c>
      <c r="BI22" s="2144">
        <v>0</v>
      </c>
      <c r="BJ22" s="2144">
        <v>0</v>
      </c>
      <c r="BK22" s="2144">
        <v>0</v>
      </c>
      <c r="BL22" s="2144">
        <f t="shared" si="123"/>
        <v>0</v>
      </c>
      <c r="BM22" s="2144">
        <f t="shared" si="124"/>
        <v>0</v>
      </c>
      <c r="BN22" s="2144">
        <f t="shared" si="125"/>
        <v>0</v>
      </c>
      <c r="BO22" s="2144">
        <f t="shared" si="126"/>
        <v>0</v>
      </c>
      <c r="BP22" s="2144">
        <f t="shared" si="94"/>
        <v>0</v>
      </c>
      <c r="BQ22" s="2144">
        <v>0</v>
      </c>
      <c r="BR22" s="2144">
        <v>0</v>
      </c>
      <c r="BS22" s="2144">
        <v>0</v>
      </c>
      <c r="BT22" s="2144">
        <v>0</v>
      </c>
      <c r="BU22" s="2144">
        <v>0</v>
      </c>
      <c r="BV22" s="2144">
        <v>0</v>
      </c>
      <c r="BW22" s="2144">
        <f t="shared" si="95"/>
        <v>0</v>
      </c>
      <c r="BX22" s="2144">
        <f t="shared" si="127"/>
        <v>0</v>
      </c>
      <c r="BY22" s="2144">
        <f t="shared" si="128"/>
        <v>0</v>
      </c>
      <c r="BZ22" s="2144">
        <f t="shared" si="129"/>
        <v>0</v>
      </c>
      <c r="CA22" s="2144">
        <f t="shared" si="130"/>
        <v>0</v>
      </c>
      <c r="CB22" s="2144">
        <f t="shared" si="96"/>
        <v>0</v>
      </c>
      <c r="CC22" s="2144">
        <v>0</v>
      </c>
      <c r="CD22" s="2144">
        <v>0</v>
      </c>
      <c r="CE22" s="2144">
        <v>0</v>
      </c>
      <c r="CF22" s="2144">
        <v>0</v>
      </c>
      <c r="CG22" s="2144">
        <v>0</v>
      </c>
      <c r="CH22" s="2144">
        <v>0</v>
      </c>
      <c r="CI22" s="2144">
        <f t="shared" si="97"/>
        <v>0</v>
      </c>
      <c r="CJ22" s="2144">
        <v>0</v>
      </c>
      <c r="CK22" s="2144">
        <v>0</v>
      </c>
      <c r="CL22" s="2144">
        <v>0</v>
      </c>
      <c r="CM22" s="2144">
        <v>0</v>
      </c>
      <c r="CN22" s="2144">
        <v>0</v>
      </c>
      <c r="CO22" s="2144">
        <v>0</v>
      </c>
      <c r="CP22" s="2144">
        <f t="shared" si="98"/>
        <v>0</v>
      </c>
      <c r="CQ22" s="2144">
        <v>0</v>
      </c>
      <c r="CR22" s="2144">
        <v>0</v>
      </c>
      <c r="CS22" s="2144">
        <v>0</v>
      </c>
      <c r="CT22" s="2144">
        <v>0</v>
      </c>
      <c r="CU22" s="2144">
        <v>0</v>
      </c>
      <c r="CV22" s="2144">
        <v>0</v>
      </c>
      <c r="CW22" s="2144">
        <f t="shared" si="99"/>
        <v>0</v>
      </c>
      <c r="CX22" s="2144">
        <f>SUM(CW22*CX50)</f>
        <v>0</v>
      </c>
      <c r="CY22" s="2144">
        <f>SUM(CW22*CY50)</f>
        <v>0</v>
      </c>
      <c r="CZ22" s="2144">
        <f>SUM(CW22*CZ50)</f>
        <v>0</v>
      </c>
      <c r="DA22" s="2144">
        <f>SUM(CW22*DA50)</f>
        <v>0</v>
      </c>
      <c r="DB22" s="2144">
        <f>SUM(CW22*DB50)</f>
        <v>0</v>
      </c>
      <c r="DC22" s="2144">
        <f>SUM(CW22*DC50)</f>
        <v>0</v>
      </c>
      <c r="DD22" s="2112">
        <f t="shared" si="100"/>
        <v>0</v>
      </c>
      <c r="DE22" s="2112">
        <f t="shared" si="101"/>
        <v>0</v>
      </c>
      <c r="DF22" s="2144">
        <f t="shared" si="102"/>
        <v>0</v>
      </c>
      <c r="DG22" s="2144">
        <v>0</v>
      </c>
      <c r="DH22" s="2144">
        <v>0</v>
      </c>
      <c r="DI22" s="2144">
        <v>0</v>
      </c>
      <c r="DJ22" s="2144">
        <v>0</v>
      </c>
      <c r="DK22" s="2144">
        <v>0</v>
      </c>
      <c r="DL22" s="2144">
        <v>0</v>
      </c>
      <c r="DM22" s="2144">
        <f t="shared" si="103"/>
        <v>0</v>
      </c>
      <c r="DN22" s="2144">
        <v>0</v>
      </c>
      <c r="DO22" s="2144">
        <v>0</v>
      </c>
      <c r="DP22" s="2144">
        <v>0</v>
      </c>
      <c r="DQ22" s="2144">
        <v>0</v>
      </c>
      <c r="DR22" s="2144">
        <v>0</v>
      </c>
      <c r="DS22" s="2144">
        <v>0</v>
      </c>
      <c r="DT22" s="2144">
        <f t="shared" si="104"/>
        <v>0</v>
      </c>
      <c r="DU22" s="2144">
        <v>0</v>
      </c>
      <c r="DV22" s="2144">
        <v>0</v>
      </c>
      <c r="DW22" s="2144">
        <v>0</v>
      </c>
      <c r="DX22" s="2144">
        <v>0</v>
      </c>
      <c r="DY22" s="2144">
        <v>0</v>
      </c>
      <c r="DZ22" s="2144">
        <v>0</v>
      </c>
      <c r="EA22" s="2144">
        <f t="shared" si="105"/>
        <v>0</v>
      </c>
      <c r="EB22" s="2144">
        <f>SUM(EA22*EB50)</f>
        <v>0</v>
      </c>
      <c r="EC22" s="2144">
        <f>SUM(EA22*EC50)</f>
        <v>0</v>
      </c>
      <c r="ED22" s="2144">
        <f>SUM(EA22*ED50)</f>
        <v>0</v>
      </c>
      <c r="EE22" s="2144">
        <f>SUM(EA22*EE50)</f>
        <v>0</v>
      </c>
      <c r="EF22" s="2144">
        <f>SUM(EA22*EF50)</f>
        <v>0</v>
      </c>
      <c r="EG22" s="2144">
        <f>SUM(EA22*EG50)</f>
        <v>0</v>
      </c>
      <c r="EH22" s="2112">
        <f t="shared" si="131"/>
        <v>0</v>
      </c>
      <c r="EI22" s="2112">
        <f t="shared" si="106"/>
        <v>0</v>
      </c>
      <c r="EJ22" s="3952"/>
      <c r="EK22" s="2144">
        <f t="shared" si="107"/>
        <v>0</v>
      </c>
      <c r="EL22" s="2144">
        <v>0</v>
      </c>
      <c r="EM22" s="2144">
        <v>0</v>
      </c>
      <c r="EN22" s="2144">
        <v>0</v>
      </c>
      <c r="EO22" s="2144">
        <v>0</v>
      </c>
      <c r="EP22" s="2144">
        <v>0</v>
      </c>
      <c r="EQ22" s="2144">
        <v>0</v>
      </c>
      <c r="ER22" s="2144">
        <f t="shared" si="108"/>
        <v>0</v>
      </c>
      <c r="ES22" s="2144">
        <v>0</v>
      </c>
      <c r="ET22" s="2144">
        <v>0</v>
      </c>
      <c r="EU22" s="2144">
        <v>0</v>
      </c>
      <c r="EV22" s="2144">
        <v>0</v>
      </c>
      <c r="EW22" s="2144">
        <v>0</v>
      </c>
      <c r="EX22" s="2144">
        <v>0</v>
      </c>
      <c r="EY22" s="2144">
        <f t="shared" si="109"/>
        <v>0</v>
      </c>
      <c r="EZ22" s="2144">
        <v>0</v>
      </c>
      <c r="FA22" s="2144">
        <v>0</v>
      </c>
      <c r="FB22" s="2144">
        <v>0</v>
      </c>
      <c r="FC22" s="2144">
        <v>0</v>
      </c>
      <c r="FD22" s="3862">
        <v>0</v>
      </c>
      <c r="FE22" s="3862">
        <v>0</v>
      </c>
      <c r="FF22" s="2447">
        <f t="shared" si="148"/>
        <v>0</v>
      </c>
      <c r="FG22" s="2447">
        <f t="shared" si="149"/>
        <v>0</v>
      </c>
      <c r="FH22" s="2447">
        <f t="shared" si="150"/>
        <v>0</v>
      </c>
      <c r="FI22" s="2447">
        <f t="shared" si="151"/>
        <v>0</v>
      </c>
      <c r="FJ22" s="2447">
        <f t="shared" si="152"/>
        <v>0</v>
      </c>
      <c r="FK22" s="2447">
        <f>SUM(FF22*FK50)</f>
        <v>0</v>
      </c>
      <c r="FL22" s="2447">
        <f>SUM(FF22*FL50)</f>
        <v>0</v>
      </c>
      <c r="FM22" s="3512">
        <f t="shared" si="136"/>
        <v>0</v>
      </c>
      <c r="FN22" s="3512">
        <f t="shared" si="142"/>
        <v>0</v>
      </c>
      <c r="FO22" s="4760">
        <v>0</v>
      </c>
      <c r="FP22" s="4760">
        <v>0</v>
      </c>
      <c r="FQ22" s="4760">
        <v>0</v>
      </c>
      <c r="FR22" s="4760">
        <v>0</v>
      </c>
      <c r="FS22" s="4760">
        <v>0</v>
      </c>
      <c r="FT22" s="4760">
        <v>0</v>
      </c>
      <c r="FU22" s="4760">
        <v>0</v>
      </c>
      <c r="FV22" s="4760">
        <v>0</v>
      </c>
    </row>
    <row r="23" spans="1:178" ht="24" customHeight="1" x14ac:dyDescent="0.2">
      <c r="A23" s="3234" t="s">
        <v>74</v>
      </c>
      <c r="B23" s="3110">
        <v>162.5</v>
      </c>
      <c r="C23" s="3110">
        <v>130</v>
      </c>
      <c r="D23" s="2139">
        <f t="shared" si="114"/>
        <v>80</v>
      </c>
      <c r="E23" s="3110">
        <v>161</v>
      </c>
      <c r="F23" s="2139">
        <f>E23/C23*100</f>
        <v>123.84615384615385</v>
      </c>
      <c r="G23" s="2140">
        <v>121</v>
      </c>
      <c r="H23" s="2139">
        <f t="shared" si="115"/>
        <v>75.155279503105589</v>
      </c>
      <c r="I23" s="2141">
        <v>165.3</v>
      </c>
      <c r="J23" s="2141">
        <v>109.1</v>
      </c>
      <c r="K23" s="2141">
        <f>J23/9*12</f>
        <v>145.46666666666667</v>
      </c>
      <c r="L23" s="2141">
        <v>189.7</v>
      </c>
      <c r="M23" s="2145">
        <f t="shared" si="116"/>
        <v>120.22038567493114</v>
      </c>
      <c r="N23" s="2141">
        <v>152.59453333333332</v>
      </c>
      <c r="O23" s="2141">
        <v>109.3</v>
      </c>
      <c r="P23" s="2141">
        <v>155.21807999999999</v>
      </c>
      <c r="Q23" s="2141">
        <v>205.2</v>
      </c>
      <c r="R23" s="2141">
        <v>195.7</v>
      </c>
      <c r="S23" s="2140">
        <f>R23</f>
        <v>195.7</v>
      </c>
      <c r="T23" s="2143">
        <f>S23/N23</f>
        <v>1.2824836887996862</v>
      </c>
      <c r="U23" s="2144" t="e">
        <f>R23*#REF!</f>
        <v>#REF!</v>
      </c>
      <c r="V23" s="2144" t="e">
        <f>R23*#REF!</f>
        <v>#REF!</v>
      </c>
      <c r="W23" s="2144">
        <f t="shared" si="117"/>
        <v>111.74060347111815</v>
      </c>
      <c r="X23" s="2144">
        <f t="shared" si="118"/>
        <v>79.367006160572316</v>
      </c>
      <c r="Y23" s="2144">
        <v>130.79</v>
      </c>
      <c r="Z23" s="2144">
        <v>191.71</v>
      </c>
      <c r="AA23" s="2144">
        <v>266.32</v>
      </c>
      <c r="AB23" s="2141">
        <v>206</v>
      </c>
      <c r="AC23" s="2140">
        <f>AB23</f>
        <v>206</v>
      </c>
      <c r="AD23" s="2144">
        <f t="shared" si="119"/>
        <v>121.95183117518994</v>
      </c>
      <c r="AE23" s="2144">
        <f t="shared" si="120"/>
        <v>82.400132932921309</v>
      </c>
      <c r="AF23" s="3233">
        <f t="shared" si="0"/>
        <v>1.0913833234014267</v>
      </c>
      <c r="AG23" s="3233">
        <f t="shared" si="1"/>
        <v>1.0382164695265497</v>
      </c>
      <c r="AH23" s="2144">
        <v>151.34</v>
      </c>
      <c r="AI23" s="2144">
        <v>182.55</v>
      </c>
      <c r="AJ23" s="2140">
        <f t="shared" si="143"/>
        <v>292.952</v>
      </c>
      <c r="AK23" s="2144">
        <f>AJ23*AI56</f>
        <v>174.59939199999999</v>
      </c>
      <c r="AL23" s="2144">
        <f>AJ23*AI57</f>
        <v>118.352608</v>
      </c>
      <c r="AM23" s="3233">
        <f>AK23/AD23</f>
        <v>1.4317078334738507</v>
      </c>
      <c r="AN23" s="3233">
        <f>AL23/AE23</f>
        <v>1.4363157410965124</v>
      </c>
      <c r="AO23" s="2567">
        <f>AI23/3*4*1.062</f>
        <v>258.49080000000004</v>
      </c>
      <c r="AP23" s="2144">
        <f t="shared" si="121"/>
        <v>140.65905685712042</v>
      </c>
      <c r="AQ23" s="2144">
        <f t="shared" si="122"/>
        <v>116.43876271180947</v>
      </c>
      <c r="AR23" s="2144">
        <f t="shared" si="7"/>
        <v>175.97</v>
      </c>
      <c r="AS23" s="2144">
        <v>103.82</v>
      </c>
      <c r="AT23" s="2144">
        <v>72.150000000000006</v>
      </c>
      <c r="AU23" s="2144">
        <f t="shared" si="8"/>
        <v>8.8337699999999995</v>
      </c>
      <c r="AV23" s="2144">
        <v>5.1235900000000001</v>
      </c>
      <c r="AW23" s="2144">
        <v>3.7101799999999998</v>
      </c>
      <c r="AX23" s="2144">
        <f t="shared" si="137"/>
        <v>282.19</v>
      </c>
      <c r="AY23" s="2144">
        <v>166.49</v>
      </c>
      <c r="AZ23" s="2144">
        <v>115.7</v>
      </c>
      <c r="BA23" s="2144">
        <f t="shared" si="93"/>
        <v>21.201369999999997</v>
      </c>
      <c r="BB23" s="2144">
        <v>12.489000000000001</v>
      </c>
      <c r="BC23" s="3236">
        <v>5.9000000000000003E-4</v>
      </c>
      <c r="BD23" s="2144">
        <v>8.61</v>
      </c>
      <c r="BE23" s="3236">
        <v>4.4799999999999996E-3</v>
      </c>
      <c r="BF23" s="2610">
        <v>4.1700000000000001E-2</v>
      </c>
      <c r="BG23" s="2144">
        <v>5.5599999999999997E-2</v>
      </c>
      <c r="BH23" s="2144">
        <f t="shared" si="11"/>
        <v>290.64999999999998</v>
      </c>
      <c r="BI23" s="2144">
        <v>168.89</v>
      </c>
      <c r="BJ23" s="2144">
        <v>121.76</v>
      </c>
      <c r="BK23" s="2144">
        <f>AR23</f>
        <v>175.97</v>
      </c>
      <c r="BL23" s="2144">
        <f t="shared" si="123"/>
        <v>102.2922814034431</v>
      </c>
      <c r="BM23" s="2144">
        <f t="shared" si="124"/>
        <v>66.235779177342181</v>
      </c>
      <c r="BN23" s="2144">
        <f t="shared" si="125"/>
        <v>7.0212682347911679</v>
      </c>
      <c r="BO23" s="2144">
        <f t="shared" si="126"/>
        <v>0.42067118442353824</v>
      </c>
      <c r="BP23" s="2144">
        <f>SUM(BK23*1.046)</f>
        <v>184.06462000000002</v>
      </c>
      <c r="BQ23" s="2144">
        <f>SUM(BP23*BB50)</f>
        <v>108.28589462411071</v>
      </c>
      <c r="BR23" s="2610">
        <f>SUM(BP23*BC50)</f>
        <v>4.8977238985242252E-3</v>
      </c>
      <c r="BS23" s="2144">
        <f>SUM(BP23*BD50)</f>
        <v>74.8541362057138</v>
      </c>
      <c r="BT23" s="2144">
        <f>SUM(BP23*BE50)</f>
        <v>3.7118600180554878E-2</v>
      </c>
      <c r="BU23" s="2144">
        <f>SUM(BP23*BF50)</f>
        <v>0.38204825759516919</v>
      </c>
      <c r="BV23" s="2144">
        <f>SUM(BP23*BG50)</f>
        <v>0.50052458850127157</v>
      </c>
      <c r="BW23" s="2144">
        <f t="shared" si="95"/>
        <v>179.436609</v>
      </c>
      <c r="BX23" s="2144">
        <f t="shared" si="127"/>
        <v>104.30743934709092</v>
      </c>
      <c r="BY23" s="2144">
        <f t="shared" si="128"/>
        <v>67.540624027135834</v>
      </c>
      <c r="BZ23" s="2144">
        <f t="shared" si="129"/>
        <v>7.1595872190165535</v>
      </c>
      <c r="CA23" s="2144">
        <f t="shared" si="130"/>
        <v>0.42895840675668195</v>
      </c>
      <c r="CB23" s="2144">
        <f t="shared" si="96"/>
        <v>14.222</v>
      </c>
      <c r="CC23" s="2144">
        <v>8.2899999999999991</v>
      </c>
      <c r="CD23" s="2610">
        <v>2E-3</v>
      </c>
      <c r="CE23" s="2144">
        <v>5.66</v>
      </c>
      <c r="CF23" s="2144">
        <v>0.02</v>
      </c>
      <c r="CG23" s="2144">
        <v>0</v>
      </c>
      <c r="CH23" s="2144">
        <v>0.25</v>
      </c>
      <c r="CI23" s="2144">
        <f t="shared" si="97"/>
        <v>16.73302</v>
      </c>
      <c r="CJ23" s="2144">
        <v>9.7980400000000003</v>
      </c>
      <c r="CK23" s="2610">
        <v>2.8500000000000001E-3</v>
      </c>
      <c r="CL23" s="2144">
        <v>6.5976400000000002</v>
      </c>
      <c r="CM23" s="2144">
        <v>1.9089999999999999E-2</v>
      </c>
      <c r="CN23" s="2144">
        <v>0</v>
      </c>
      <c r="CO23" s="2144">
        <v>0.31540000000000001</v>
      </c>
      <c r="CP23" s="2144">
        <f t="shared" si="98"/>
        <v>20.692999999999998</v>
      </c>
      <c r="CQ23" s="2144">
        <v>12.1</v>
      </c>
      <c r="CR23" s="2610">
        <v>3.0000000000000001E-3</v>
      </c>
      <c r="CS23" s="2144">
        <v>8.09</v>
      </c>
      <c r="CT23" s="2144">
        <v>0.02</v>
      </c>
      <c r="CU23" s="2144">
        <v>0</v>
      </c>
      <c r="CV23" s="2144">
        <v>0.48</v>
      </c>
      <c r="CW23" s="2144">
        <f t="shared" si="99"/>
        <v>21.428429219999998</v>
      </c>
      <c r="CX23" s="2144">
        <f>SUM(CW23*CX50)</f>
        <v>12.539304724003017</v>
      </c>
      <c r="CY23" s="2144">
        <f>SUM(CW23*CY50)</f>
        <v>3.49278787407814E-3</v>
      </c>
      <c r="CZ23" s="2144">
        <f>SUM(CW23*CZ50)</f>
        <v>8.3111999445653382</v>
      </c>
      <c r="DA23" s="2144">
        <f>SUM(CW23*DA50)</f>
        <v>2.4043444224091482E-2</v>
      </c>
      <c r="DB23" s="2144">
        <f>SUM(CW23*DB50)</f>
        <v>0</v>
      </c>
      <c r="DC23" s="2144">
        <f>SUM(CW23*DC50)</f>
        <v>0.55038831933347143</v>
      </c>
      <c r="DD23" s="2112">
        <v>24.82</v>
      </c>
      <c r="DE23" s="2112">
        <f t="shared" si="101"/>
        <v>69.406875075011357</v>
      </c>
      <c r="DF23" s="2144">
        <f t="shared" si="102"/>
        <v>18.431320000000003</v>
      </c>
      <c r="DG23" s="2144">
        <v>10.485099999999999</v>
      </c>
      <c r="DH23" s="2610">
        <v>2.7499999999999998E-3</v>
      </c>
      <c r="DI23" s="2144">
        <v>7.4353699999999998</v>
      </c>
      <c r="DJ23" s="2144">
        <v>1.95E-2</v>
      </c>
      <c r="DK23" s="2144">
        <v>0</v>
      </c>
      <c r="DL23" s="2144">
        <v>0.48859999999999998</v>
      </c>
      <c r="DM23" s="2144">
        <f t="shared" si="103"/>
        <v>26.288930000000001</v>
      </c>
      <c r="DN23" s="2144">
        <v>14.908810000000001</v>
      </c>
      <c r="DO23" s="2610">
        <v>4.7999999999999996E-3</v>
      </c>
      <c r="DP23" s="2144">
        <v>10.72526</v>
      </c>
      <c r="DQ23" s="2144">
        <v>2.7859999999999999E-2</v>
      </c>
      <c r="DR23" s="2144">
        <v>0</v>
      </c>
      <c r="DS23" s="2144">
        <v>0.62219999999999998</v>
      </c>
      <c r="DT23" s="2144">
        <f t="shared" si="104"/>
        <v>36.305660000000003</v>
      </c>
      <c r="DU23" s="2144">
        <v>20.63</v>
      </c>
      <c r="DV23" s="2610">
        <v>5.6600000000000001E-3</v>
      </c>
      <c r="DW23" s="2144">
        <v>14.89</v>
      </c>
      <c r="DX23" s="2144">
        <v>0.04</v>
      </c>
      <c r="DY23" s="2144">
        <v>0</v>
      </c>
      <c r="DZ23" s="2144">
        <v>0.74</v>
      </c>
      <c r="EA23" s="2144">
        <f t="shared" si="105"/>
        <v>37.739733570000006</v>
      </c>
      <c r="EB23" s="2144">
        <f>SUM(EA23*EB50)</f>
        <v>21.479391878689349</v>
      </c>
      <c r="EC23" s="2144">
        <f>SUM(EA23*EC50)</f>
        <v>5.2516871273269854E-3</v>
      </c>
      <c r="ED23" s="2144">
        <f>SUM(EA23*ED50)</f>
        <v>15.290555828633003</v>
      </c>
      <c r="EE23" s="2144">
        <f>SUM(EA23*EE50)</f>
        <v>4.2772086884600519E-2</v>
      </c>
      <c r="EF23" s="2144">
        <f>SUM(EA23*EF50)</f>
        <v>0</v>
      </c>
      <c r="EG23" s="2144">
        <f>SUM(EA23*EG50)</f>
        <v>0.92176208866571874</v>
      </c>
      <c r="EH23" s="2112">
        <f>SUM(DD23*1.06*0.99*(1+0.043)*0.99)</f>
        <v>26.894429737559996</v>
      </c>
      <c r="EI23" s="2112">
        <f>SUM(DE23*1.06*0.99*(1+0.043)*0.99)</f>
        <v>75.207829371816985</v>
      </c>
      <c r="EJ23" s="3953" t="s">
        <v>1919</v>
      </c>
      <c r="EK23" s="2144">
        <f t="shared" si="107"/>
        <v>18.307690000000001</v>
      </c>
      <c r="EL23" s="2144">
        <v>10.43858</v>
      </c>
      <c r="EM23" s="2610">
        <v>2.3800000000000002E-3</v>
      </c>
      <c r="EN23" s="2144">
        <v>7.7133900000000004</v>
      </c>
      <c r="EO23" s="2144">
        <v>1.9460000000000002E-2</v>
      </c>
      <c r="EP23" s="2144">
        <v>0</v>
      </c>
      <c r="EQ23" s="2144">
        <v>0.13388</v>
      </c>
      <c r="ER23" s="2144">
        <f t="shared" si="108"/>
        <v>22.102909999999998</v>
      </c>
      <c r="ES23" s="2144">
        <v>12.381</v>
      </c>
      <c r="ET23" s="2610">
        <v>2.7799999999999999E-3</v>
      </c>
      <c r="EU23" s="2144">
        <v>9.0739999999999998</v>
      </c>
      <c r="EV23" s="2144">
        <v>2.2929999999999999E-2</v>
      </c>
      <c r="EW23" s="2144">
        <v>0</v>
      </c>
      <c r="EX23" s="2144">
        <v>0.62219999999999998</v>
      </c>
      <c r="EY23" s="2144">
        <v>29.199000000000002</v>
      </c>
      <c r="EZ23" s="2144">
        <v>16.253</v>
      </c>
      <c r="FA23" s="2610">
        <v>3.63E-3</v>
      </c>
      <c r="FB23" s="2144">
        <v>11.821999999999999</v>
      </c>
      <c r="FC23" s="2144">
        <v>2.997E-2</v>
      </c>
      <c r="FD23" s="3862">
        <v>0</v>
      </c>
      <c r="FE23" s="3862">
        <v>0.74</v>
      </c>
      <c r="FF23" s="2447">
        <f t="shared" si="148"/>
        <v>33.053720584500006</v>
      </c>
      <c r="FG23" s="2447">
        <f t="shared" si="149"/>
        <v>18.398647921500004</v>
      </c>
      <c r="FH23" s="2447">
        <f t="shared" si="150"/>
        <v>4.1092162650000008E-3</v>
      </c>
      <c r="FI23" s="2447">
        <f t="shared" si="151"/>
        <v>13.382687241000003</v>
      </c>
      <c r="FJ23" s="2447">
        <f t="shared" si="152"/>
        <v>3.3926504535000006E-2</v>
      </c>
      <c r="FK23" s="2447">
        <f>SUM(FF23*FK50)</f>
        <v>0</v>
      </c>
      <c r="FL23" s="2447">
        <f>SUM(FF23*FL50)</f>
        <v>0.67465965555726548</v>
      </c>
      <c r="FM23" s="3512">
        <f t="shared" si="136"/>
        <v>130.88750542876861</v>
      </c>
      <c r="FN23" s="3512">
        <f t="shared" si="142"/>
        <v>84.751613589109823</v>
      </c>
      <c r="FO23" s="4760">
        <v>6.9346800000000002</v>
      </c>
      <c r="FP23" s="4761">
        <v>1.8E-3</v>
      </c>
      <c r="FQ23" s="4760">
        <v>4.8326200000000004</v>
      </c>
      <c r="FR23" s="4760">
        <v>1.166E-2</v>
      </c>
      <c r="FS23" s="4760">
        <v>28.79917</v>
      </c>
      <c r="FT23" s="4761">
        <v>3.49E-3</v>
      </c>
      <c r="FU23" s="4760">
        <v>21.094059999999999</v>
      </c>
      <c r="FV23" s="4760">
        <v>5.4030000000000002E-2</v>
      </c>
    </row>
    <row r="24" spans="1:178" ht="24" customHeight="1" x14ac:dyDescent="0.2">
      <c r="A24" s="3234" t="s">
        <v>2</v>
      </c>
      <c r="B24" s="3110">
        <v>273.60000000000002</v>
      </c>
      <c r="C24" s="3110">
        <v>282.3</v>
      </c>
      <c r="D24" s="2139">
        <f t="shared" si="114"/>
        <v>103.17982456140351</v>
      </c>
      <c r="E24" s="3110">
        <v>261.5</v>
      </c>
      <c r="F24" s="2139">
        <f>E24/C24*100</f>
        <v>92.631951824300387</v>
      </c>
      <c r="G24" s="2140">
        <v>230.4</v>
      </c>
      <c r="H24" s="2139">
        <f t="shared" si="115"/>
        <v>88.107074569789674</v>
      </c>
      <c r="I24" s="2141">
        <v>299.7</v>
      </c>
      <c r="J24" s="2141">
        <v>155.1</v>
      </c>
      <c r="K24" s="2141">
        <f>J24/9*12</f>
        <v>206.8</v>
      </c>
      <c r="L24" s="2141">
        <v>206.6</v>
      </c>
      <c r="M24" s="2145">
        <f t="shared" si="116"/>
        <v>89.756944444444443</v>
      </c>
      <c r="N24" s="2141">
        <v>216.9332</v>
      </c>
      <c r="O24" s="2141">
        <v>98.2</v>
      </c>
      <c r="P24" s="2141">
        <v>145.27706000000001</v>
      </c>
      <c r="Q24" s="2141">
        <v>192.4</v>
      </c>
      <c r="R24" s="2141">
        <v>216.9</v>
      </c>
      <c r="S24" s="2140">
        <f>P24/9*12</f>
        <v>193.70274666666668</v>
      </c>
      <c r="T24" s="2143">
        <f>S24/N24</f>
        <v>0.89291425501798105</v>
      </c>
      <c r="U24" s="2144" t="e">
        <f>R24*#REF!</f>
        <v>#REF!</v>
      </c>
      <c r="V24" s="2144" t="e">
        <f>R24*#REF!</f>
        <v>#REF!</v>
      </c>
      <c r="W24" s="2144">
        <f t="shared" si="117"/>
        <v>110.6002136256845</v>
      </c>
      <c r="X24" s="2144">
        <f t="shared" si="118"/>
        <v>78.557011180445144</v>
      </c>
      <c r="Y24" s="2144">
        <v>93.6</v>
      </c>
      <c r="Z24" s="2144">
        <v>137.56</v>
      </c>
      <c r="AA24" s="2144">
        <v>182.16</v>
      </c>
      <c r="AB24" s="2141">
        <v>193.7</v>
      </c>
      <c r="AC24" s="2140">
        <f>AB24</f>
        <v>193.7</v>
      </c>
      <c r="AD24" s="2144">
        <f t="shared" si="119"/>
        <v>114.67024125550627</v>
      </c>
      <c r="AE24" s="2144">
        <f t="shared" si="120"/>
        <v>77.48012499566434</v>
      </c>
      <c r="AF24" s="3233">
        <f t="shared" si="0"/>
        <v>1.0367994554115092</v>
      </c>
      <c r="AG24" s="3233">
        <f t="shared" si="1"/>
        <v>0.9862916604310823</v>
      </c>
      <c r="AH24" s="2144">
        <v>79.34</v>
      </c>
      <c r="AI24" s="2144">
        <v>112.52</v>
      </c>
      <c r="AJ24" s="2140">
        <v>193.7</v>
      </c>
      <c r="AK24" s="2144">
        <f>AJ24*AI56</f>
        <v>115.44519999999999</v>
      </c>
      <c r="AL24" s="2144">
        <f>AJ24*AI57</f>
        <v>78.254800000000003</v>
      </c>
      <c r="AM24" s="3233">
        <f>AK24/AD24</f>
        <v>1.0067581504670158</v>
      </c>
      <c r="AN24" s="3233">
        <f>AL24/AE24</f>
        <v>1.0099983706063846</v>
      </c>
      <c r="AO24" s="2567">
        <f>AJ24</f>
        <v>193.7</v>
      </c>
      <c r="AP24" s="2144">
        <f t="shared" si="121"/>
        <v>105.40282019021265</v>
      </c>
      <c r="AQ24" s="2144">
        <f t="shared" si="122"/>
        <v>87.253350360157853</v>
      </c>
      <c r="AR24" s="2144">
        <f t="shared" si="7"/>
        <v>111.28</v>
      </c>
      <c r="AS24" s="2144">
        <v>77.459999999999994</v>
      </c>
      <c r="AT24" s="2144">
        <v>33.82</v>
      </c>
      <c r="AU24" s="2144">
        <f t="shared" si="8"/>
        <v>131.28384</v>
      </c>
      <c r="AV24" s="2144">
        <v>76.144630000000006</v>
      </c>
      <c r="AW24" s="2144">
        <v>55.139209999999999</v>
      </c>
      <c r="AX24" s="2144">
        <f t="shared" si="137"/>
        <v>211.46</v>
      </c>
      <c r="AY24" s="2144">
        <v>124.76</v>
      </c>
      <c r="AZ24" s="2144">
        <v>86.7</v>
      </c>
      <c r="BA24" s="2144">
        <f t="shared" si="93"/>
        <v>128.62739000000002</v>
      </c>
      <c r="BB24" s="2144">
        <v>75.757000000000005</v>
      </c>
      <c r="BC24" s="2610">
        <v>3.0000000000000001E-3</v>
      </c>
      <c r="BD24" s="2144">
        <v>52.293999999999997</v>
      </c>
      <c r="BE24" s="2144">
        <v>2.4E-2</v>
      </c>
      <c r="BF24" s="2564">
        <f>(166.11+61.28)/1000</f>
        <v>0.22739000000000001</v>
      </c>
      <c r="BG24" s="2144">
        <v>0.32200000000000001</v>
      </c>
      <c r="BH24" s="2144">
        <f t="shared" si="11"/>
        <v>585.04999999999995</v>
      </c>
      <c r="BI24" s="2144">
        <v>339.96</v>
      </c>
      <c r="BJ24" s="2144">
        <v>245.09</v>
      </c>
      <c r="BK24" s="2144">
        <f>AU24</f>
        <v>131.28384</v>
      </c>
      <c r="BL24" s="2144">
        <f t="shared" si="123"/>
        <v>76.315982866423809</v>
      </c>
      <c r="BM24" s="2144">
        <f t="shared" si="124"/>
        <v>49.415738113277961</v>
      </c>
      <c r="BN24" s="2144">
        <f t="shared" si="125"/>
        <v>5.2382738849429229</v>
      </c>
      <c r="BO24" s="2144">
        <f t="shared" si="126"/>
        <v>0.31384513535528946</v>
      </c>
      <c r="BP24" s="2144">
        <f>SUM(BK24*1.046)</f>
        <v>137.32289664000001</v>
      </c>
      <c r="BQ24" s="2144">
        <f>SUM(BP24*BB50)</f>
        <v>80.787566426598914</v>
      </c>
      <c r="BR24" s="2610">
        <f>SUM(BP24*BC50)</f>
        <v>3.6539864787067718E-3</v>
      </c>
      <c r="BS24" s="2144">
        <f>SUM(BP24*BD50)</f>
        <v>55.845532994084998</v>
      </c>
      <c r="BT24" s="2144">
        <f>SUM(BP24*BE50)</f>
        <v>2.7692631511780062E-2</v>
      </c>
      <c r="BU24" s="2144">
        <f>SUM(BP24*BF50)</f>
        <v>0.28503018879583436</v>
      </c>
      <c r="BV24" s="2144">
        <f>SUM(BP24*BG50)</f>
        <v>0.37342041252978786</v>
      </c>
      <c r="BW24" s="2144">
        <f t="shared" si="95"/>
        <v>133.87013164800001</v>
      </c>
      <c r="BX24" s="2144">
        <f t="shared" si="127"/>
        <v>77.819407728892372</v>
      </c>
      <c r="BY24" s="2144">
        <f t="shared" si="128"/>
        <v>50.389228154109546</v>
      </c>
      <c r="BZ24" s="2144">
        <f t="shared" si="129"/>
        <v>5.3414678804762987</v>
      </c>
      <c r="CA24" s="2144">
        <f t="shared" si="130"/>
        <v>0.32002788452178871</v>
      </c>
      <c r="CB24" s="2144">
        <f t="shared" si="96"/>
        <v>89.21</v>
      </c>
      <c r="CC24" s="2144">
        <v>51.99</v>
      </c>
      <c r="CD24" s="2144">
        <v>0.02</v>
      </c>
      <c r="CE24" s="2144">
        <v>35.49</v>
      </c>
      <c r="CF24" s="2144">
        <v>0.11</v>
      </c>
      <c r="CG24" s="2144">
        <v>0</v>
      </c>
      <c r="CH24" s="2144">
        <v>1.6</v>
      </c>
      <c r="CI24" s="2144">
        <f t="shared" si="97"/>
        <v>136.31673999999998</v>
      </c>
      <c r="CJ24" s="2144">
        <v>80.044359999999998</v>
      </c>
      <c r="CK24" s="2144">
        <v>2.3400000000000001E-2</v>
      </c>
      <c r="CL24" s="2144">
        <v>53.326090000000001</v>
      </c>
      <c r="CM24" s="2144">
        <v>0.14971000000000001</v>
      </c>
      <c r="CN24" s="2144">
        <v>0</v>
      </c>
      <c r="CO24" s="2144">
        <v>2.77318</v>
      </c>
      <c r="CP24" s="2144">
        <f t="shared" si="98"/>
        <v>182.14000000000001</v>
      </c>
      <c r="CQ24" s="2144">
        <v>106.57</v>
      </c>
      <c r="CR24" s="2144">
        <v>0.03</v>
      </c>
      <c r="CS24" s="2144">
        <v>70.64</v>
      </c>
      <c r="CT24" s="2144">
        <v>0.21</v>
      </c>
      <c r="CU24" s="2144">
        <v>0</v>
      </c>
      <c r="CV24" s="2144">
        <v>4.6900000000000004</v>
      </c>
      <c r="CW24" s="2144">
        <f t="shared" si="99"/>
        <v>188.61325560000003</v>
      </c>
      <c r="CX24" s="2144">
        <f>SUM(CW24*CX50)</f>
        <v>110.37108985791863</v>
      </c>
      <c r="CY24" s="2144">
        <f>SUM(CW24*CY50)</f>
        <v>3.074355498886544E-2</v>
      </c>
      <c r="CZ24" s="2144">
        <f>SUM(CW24*CZ50)</f>
        <v>73.155267863680038</v>
      </c>
      <c r="DA24" s="2144">
        <f>SUM(CW24*DA50)</f>
        <v>0.2116306447096131</v>
      </c>
      <c r="DB24" s="2144">
        <f>SUM(CW24*DB50)</f>
        <v>0</v>
      </c>
      <c r="DC24" s="2144">
        <f>SUM(CW24*DC50)</f>
        <v>4.8445236787028705</v>
      </c>
      <c r="DD24" s="2112">
        <f t="shared" si="100"/>
        <v>79.969677337902056</v>
      </c>
      <c r="DE24" s="2112">
        <f t="shared" si="101"/>
        <v>51.781559824105145</v>
      </c>
      <c r="DF24" s="2144">
        <f t="shared" si="102"/>
        <v>91.814440000000005</v>
      </c>
      <c r="DG24" s="2144">
        <v>52.117429999999999</v>
      </c>
      <c r="DH24" s="2144">
        <v>1.2919999999999999E-2</v>
      </c>
      <c r="DI24" s="2144">
        <v>36.947330000000001</v>
      </c>
      <c r="DJ24" s="2144">
        <v>0.10069</v>
      </c>
      <c r="DK24" s="2144">
        <v>0</v>
      </c>
      <c r="DL24" s="2144">
        <v>2.6360700000000001</v>
      </c>
      <c r="DM24" s="2144">
        <f t="shared" si="103"/>
        <v>137.50653</v>
      </c>
      <c r="DN24" s="2144">
        <v>78.140010000000004</v>
      </c>
      <c r="DO24" s="2144">
        <v>2.1850000000000001E-2</v>
      </c>
      <c r="DP24" s="2144">
        <v>55.331789999999998</v>
      </c>
      <c r="DQ24" s="2144">
        <v>0.14726</v>
      </c>
      <c r="DR24" s="2144">
        <v>0</v>
      </c>
      <c r="DS24" s="2144">
        <v>3.8656199999999998</v>
      </c>
      <c r="DT24" s="2144">
        <f t="shared" si="104"/>
        <v>183.29</v>
      </c>
      <c r="DU24" s="2144">
        <v>104.34</v>
      </c>
      <c r="DV24" s="2144">
        <v>2.5999999999999999E-2</v>
      </c>
      <c r="DW24" s="2144">
        <v>74.27</v>
      </c>
      <c r="DX24" s="2144">
        <v>0.20399999999999999</v>
      </c>
      <c r="DY24" s="2144">
        <v>0</v>
      </c>
      <c r="DZ24" s="2144">
        <v>4.45</v>
      </c>
      <c r="EA24" s="2144">
        <f t="shared" si="105"/>
        <v>190.529955</v>
      </c>
      <c r="EB24" s="2144">
        <f>SUM(EA24*EB50)</f>
        <v>108.43922786267954</v>
      </c>
      <c r="EC24" s="2144">
        <f>SUM(EA24*EC50)</f>
        <v>2.6513269103708981E-2</v>
      </c>
      <c r="ED24" s="2144">
        <f>SUM(EA24*ED50)</f>
        <v>77.194739823766952</v>
      </c>
      <c r="EE24" s="2144">
        <f>SUM(EA24*EE50)</f>
        <v>0.21593591206105131</v>
      </c>
      <c r="EF24" s="2144">
        <f>SUM(EA24*EF50)</f>
        <v>0</v>
      </c>
      <c r="EG24" s="2144">
        <f>SUM(EA24*EG50)</f>
        <v>4.6535381323887117</v>
      </c>
      <c r="EH24" s="2112">
        <f t="shared" si="131"/>
        <v>84.650942536095187</v>
      </c>
      <c r="EI24" s="2112">
        <f t="shared" si="106"/>
        <v>54.812748919548071</v>
      </c>
      <c r="EJ24" s="3952" t="s">
        <v>1924</v>
      </c>
      <c r="EK24" s="2144">
        <f t="shared" si="107"/>
        <v>91.242589999999993</v>
      </c>
      <c r="EL24" s="2144">
        <v>52.813830000000003</v>
      </c>
      <c r="EM24" s="2144">
        <v>1.065E-2</v>
      </c>
      <c r="EN24" s="2144">
        <v>37.496049999999997</v>
      </c>
      <c r="EO24" s="2144">
        <v>8.4180000000000005E-2</v>
      </c>
      <c r="EP24" s="2144">
        <v>0</v>
      </c>
      <c r="EQ24" s="2144">
        <v>0.83787999999999996</v>
      </c>
      <c r="ER24" s="2144">
        <f t="shared" si="108"/>
        <v>138.90550000000002</v>
      </c>
      <c r="ES24" s="2144">
        <v>78.847999999999999</v>
      </c>
      <c r="ET24" s="2144">
        <v>1.6879999999999999E-2</v>
      </c>
      <c r="EU24" s="2144">
        <v>56.043999999999997</v>
      </c>
      <c r="EV24" s="2144">
        <v>0.13100000000000001</v>
      </c>
      <c r="EW24" s="2144">
        <v>0</v>
      </c>
      <c r="EX24" s="2144">
        <v>3.8656199999999998</v>
      </c>
      <c r="EY24" s="2144">
        <v>188.39699999999999</v>
      </c>
      <c r="EZ24" s="2144">
        <v>105.084</v>
      </c>
      <c r="FA24" s="2144">
        <v>2.2169999999999999E-2</v>
      </c>
      <c r="FB24" s="2144">
        <v>74.611000000000004</v>
      </c>
      <c r="FC24" s="2144">
        <v>0.17899999999999999</v>
      </c>
      <c r="FD24" s="3862">
        <v>0</v>
      </c>
      <c r="FE24" s="3862">
        <v>4.45</v>
      </c>
      <c r="FF24" s="2447">
        <f t="shared" si="148"/>
        <v>213.2683241535</v>
      </c>
      <c r="FG24" s="2447">
        <f t="shared" si="149"/>
        <v>118.95671680200002</v>
      </c>
      <c r="FH24" s="2447">
        <f t="shared" si="150"/>
        <v>2.5096783634999998E-2</v>
      </c>
      <c r="FI24" s="2447">
        <f t="shared" si="151"/>
        <v>84.460808470499998</v>
      </c>
      <c r="FJ24" s="2447">
        <f t="shared" si="152"/>
        <v>0.20263077450000003</v>
      </c>
      <c r="FK24" s="2447">
        <f>SUM(FF24*FK50)</f>
        <v>0</v>
      </c>
      <c r="FL24" s="2447">
        <f>SUM(FF24*FL50)</f>
        <v>4.3530208270153814</v>
      </c>
      <c r="FM24" s="3512">
        <f t="shared" si="136"/>
        <v>97.64968074506784</v>
      </c>
      <c r="FN24" s="3512">
        <f t="shared" si="142"/>
        <v>63.229625948596464</v>
      </c>
      <c r="FO24" s="4760">
        <v>45.555590000000002</v>
      </c>
      <c r="FP24" s="4760">
        <v>1.06E-2</v>
      </c>
      <c r="FQ24" s="4760">
        <v>32.157060000000001</v>
      </c>
      <c r="FR24" s="4760">
        <v>8.1559999999999994E-2</v>
      </c>
      <c r="FS24" s="4760">
        <v>73.325630000000004</v>
      </c>
      <c r="FT24" s="4760">
        <v>1.4E-2</v>
      </c>
      <c r="FU24" s="4760">
        <v>52.852690000000003</v>
      </c>
      <c r="FV24" s="4760">
        <v>0.13761999999999999</v>
      </c>
    </row>
    <row r="25" spans="1:178" ht="24" customHeight="1" x14ac:dyDescent="0.2">
      <c r="A25" s="3234" t="s">
        <v>36</v>
      </c>
      <c r="B25" s="3110">
        <v>355.7</v>
      </c>
      <c r="C25" s="3110">
        <v>201.4</v>
      </c>
      <c r="D25" s="2139">
        <f t="shared" si="114"/>
        <v>56.620747821197639</v>
      </c>
      <c r="E25" s="3110">
        <v>15.5</v>
      </c>
      <c r="F25" s="2139">
        <f>E25/C25*100</f>
        <v>7.6961271102284012</v>
      </c>
      <c r="G25" s="2140">
        <v>0</v>
      </c>
      <c r="H25" s="2139">
        <f t="shared" si="115"/>
        <v>0</v>
      </c>
      <c r="I25" s="2141">
        <v>0</v>
      </c>
      <c r="J25" s="2141">
        <v>0</v>
      </c>
      <c r="K25" s="2141">
        <v>0</v>
      </c>
      <c r="L25" s="2141"/>
      <c r="M25" s="2145"/>
      <c r="N25" s="2141">
        <v>0</v>
      </c>
      <c r="O25" s="2141"/>
      <c r="P25" s="2141"/>
      <c r="Q25" s="2141"/>
      <c r="R25" s="2141"/>
      <c r="S25" s="2140">
        <f>K25*1.049</f>
        <v>0</v>
      </c>
      <c r="T25" s="2143"/>
      <c r="U25" s="2144" t="e">
        <f>R25*#REF!</f>
        <v>#REF!</v>
      </c>
      <c r="V25" s="2144" t="e">
        <f>R25*#REF!</f>
        <v>#REF!</v>
      </c>
      <c r="W25" s="2144">
        <f t="shared" si="117"/>
        <v>0</v>
      </c>
      <c r="X25" s="2144">
        <f t="shared" si="118"/>
        <v>0</v>
      </c>
      <c r="Y25" s="2144"/>
      <c r="Z25" s="2144"/>
      <c r="AA25" s="2144"/>
      <c r="AB25" s="2141">
        <v>0</v>
      </c>
      <c r="AC25" s="2140">
        <f>R25*1.049</f>
        <v>0</v>
      </c>
      <c r="AD25" s="2144">
        <f t="shared" si="119"/>
        <v>0</v>
      </c>
      <c r="AE25" s="2144">
        <f t="shared" si="120"/>
        <v>0</v>
      </c>
      <c r="AF25" s="3233"/>
      <c r="AG25" s="3233"/>
      <c r="AH25" s="2144">
        <v>0</v>
      </c>
      <c r="AI25" s="2144">
        <v>0</v>
      </c>
      <c r="AJ25" s="2140">
        <f t="shared" ref="AJ25:AJ37" si="153">SUM(AA25*1.1)</f>
        <v>0</v>
      </c>
      <c r="AK25" s="2144">
        <f>AJ25*AI56</f>
        <v>0</v>
      </c>
      <c r="AL25" s="2144">
        <f>AJ25*AI57</f>
        <v>0</v>
      </c>
      <c r="AM25" s="3233"/>
      <c r="AN25" s="3233"/>
      <c r="AO25" s="2567">
        <v>0</v>
      </c>
      <c r="AP25" s="2144">
        <f t="shared" si="121"/>
        <v>0</v>
      </c>
      <c r="AQ25" s="2144">
        <f t="shared" si="122"/>
        <v>0</v>
      </c>
      <c r="AR25" s="2144">
        <f t="shared" si="7"/>
        <v>0</v>
      </c>
      <c r="AS25" s="2144">
        <v>0</v>
      </c>
      <c r="AT25" s="2144">
        <v>0</v>
      </c>
      <c r="AU25" s="2144">
        <f t="shared" si="8"/>
        <v>0</v>
      </c>
      <c r="AV25" s="2144">
        <v>0</v>
      </c>
      <c r="AW25" s="2144">
        <v>0</v>
      </c>
      <c r="AX25" s="2144">
        <f t="shared" si="137"/>
        <v>0</v>
      </c>
      <c r="AY25" s="2144">
        <v>0</v>
      </c>
      <c r="AZ25" s="2144">
        <v>0</v>
      </c>
      <c r="BA25" s="2144">
        <f t="shared" si="93"/>
        <v>0</v>
      </c>
      <c r="BB25" s="2144">
        <v>0</v>
      </c>
      <c r="BC25" s="2144">
        <v>0</v>
      </c>
      <c r="BD25" s="2144">
        <v>0</v>
      </c>
      <c r="BE25" s="2144">
        <v>0</v>
      </c>
      <c r="BF25" s="2144">
        <v>0</v>
      </c>
      <c r="BG25" s="2144">
        <v>0</v>
      </c>
      <c r="BH25" s="2144">
        <f t="shared" si="11"/>
        <v>0</v>
      </c>
      <c r="BI25" s="2144">
        <v>0</v>
      </c>
      <c r="BJ25" s="2144">
        <v>0</v>
      </c>
      <c r="BK25" s="2144">
        <f>'цех вода 2023'!AM38+'цех стоки 2023'!AN36</f>
        <v>1291.1299999999999</v>
      </c>
      <c r="BL25" s="2144">
        <f t="shared" si="123"/>
        <v>750.54062219939465</v>
      </c>
      <c r="BM25" s="2144">
        <f t="shared" si="124"/>
        <v>485.9862565735171</v>
      </c>
      <c r="BN25" s="2144">
        <f t="shared" si="125"/>
        <v>51.516565641790756</v>
      </c>
      <c r="BO25" s="2144">
        <f t="shared" si="126"/>
        <v>3.0865555852972828</v>
      </c>
      <c r="BP25" s="2144">
        <f>SUM(BK25*1.046)</f>
        <v>1350.52198</v>
      </c>
      <c r="BQ25" s="2144">
        <f>SUM(BP25*BB50)</f>
        <v>794.51706044228024</v>
      </c>
      <c r="BR25" s="2610">
        <f>SUM(BP25*BC50)</f>
        <v>3.5935660948466119E-2</v>
      </c>
      <c r="BS25" s="2144">
        <f>SUM(BP25*BD50)</f>
        <v>549.22100857693499</v>
      </c>
      <c r="BT25" s="2144">
        <f>SUM(BP25*BE50)</f>
        <v>0.27234720833732917</v>
      </c>
      <c r="BU25" s="2144">
        <f>SUM(BP25*BF50)</f>
        <v>2.8031708065514049</v>
      </c>
      <c r="BV25" s="2144">
        <f>SUM(BP25*BG50)</f>
        <v>3.6724573049476992</v>
      </c>
      <c r="BW25" s="2144">
        <f t="shared" si="95"/>
        <v>1316.5652609999997</v>
      </c>
      <c r="BX25" s="2144">
        <f t="shared" si="127"/>
        <v>765.32627245672256</v>
      </c>
      <c r="BY25" s="2144">
        <f t="shared" si="128"/>
        <v>495.56018582801534</v>
      </c>
      <c r="BZ25" s="2144">
        <f t="shared" si="129"/>
        <v>52.531441984934027</v>
      </c>
      <c r="CA25" s="2144">
        <f t="shared" si="130"/>
        <v>3.1473607303276387</v>
      </c>
      <c r="CB25" s="2144">
        <f t="shared" si="96"/>
        <v>0</v>
      </c>
      <c r="CC25" s="2144">
        <v>0</v>
      </c>
      <c r="CD25" s="2144">
        <v>0</v>
      </c>
      <c r="CE25" s="2144">
        <v>0</v>
      </c>
      <c r="CF25" s="2144">
        <v>0</v>
      </c>
      <c r="CG25" s="2144">
        <v>0</v>
      </c>
      <c r="CH25" s="2144">
        <v>0</v>
      </c>
      <c r="CI25" s="2144">
        <f t="shared" si="97"/>
        <v>0</v>
      </c>
      <c r="CJ25" s="2144">
        <v>0</v>
      </c>
      <c r="CK25" s="2144">
        <v>0</v>
      </c>
      <c r="CL25" s="2144">
        <v>0</v>
      </c>
      <c r="CM25" s="2144">
        <v>0</v>
      </c>
      <c r="CN25" s="2144">
        <v>0</v>
      </c>
      <c r="CO25" s="2144">
        <v>0</v>
      </c>
      <c r="CP25" s="2144">
        <f t="shared" si="98"/>
        <v>0</v>
      </c>
      <c r="CQ25" s="2144">
        <v>0</v>
      </c>
      <c r="CR25" s="2144">
        <v>0</v>
      </c>
      <c r="CS25" s="2144">
        <v>0</v>
      </c>
      <c r="CT25" s="2144">
        <v>0</v>
      </c>
      <c r="CU25" s="2144">
        <v>0</v>
      </c>
      <c r="CV25" s="2144">
        <v>0</v>
      </c>
      <c r="CW25" s="2144">
        <f t="shared" si="99"/>
        <v>0</v>
      </c>
      <c r="CX25" s="2144">
        <f>SUM(CW25*CX50)</f>
        <v>0</v>
      </c>
      <c r="CY25" s="2144">
        <f>SUM(CW25*CY50)</f>
        <v>0</v>
      </c>
      <c r="CZ25" s="2144">
        <f>SUM(CW25*CZ50)</f>
        <v>0</v>
      </c>
      <c r="DA25" s="2144">
        <f>SUM(CW25*DA50)</f>
        <v>0</v>
      </c>
      <c r="DB25" s="2144">
        <f>SUM(CW25*DB50)</f>
        <v>0</v>
      </c>
      <c r="DC25" s="2144">
        <f>SUM(CW25*DC50)</f>
        <v>0</v>
      </c>
      <c r="DD25" s="2112">
        <v>186.05</v>
      </c>
      <c r="DE25" s="2112">
        <f t="shared" si="101"/>
        <v>509.253273942146</v>
      </c>
      <c r="DF25" s="2144">
        <f t="shared" si="102"/>
        <v>0</v>
      </c>
      <c r="DG25" s="2144">
        <v>0</v>
      </c>
      <c r="DH25" s="2144">
        <v>0</v>
      </c>
      <c r="DI25" s="2144">
        <v>0</v>
      </c>
      <c r="DJ25" s="2144">
        <v>0</v>
      </c>
      <c r="DK25" s="2144">
        <v>0</v>
      </c>
      <c r="DL25" s="2144">
        <v>0</v>
      </c>
      <c r="DM25" s="2144">
        <f t="shared" si="103"/>
        <v>0</v>
      </c>
      <c r="DN25" s="2144">
        <v>0</v>
      </c>
      <c r="DO25" s="2144">
        <v>0</v>
      </c>
      <c r="DP25" s="2144">
        <v>0</v>
      </c>
      <c r="DQ25" s="2144">
        <v>0</v>
      </c>
      <c r="DR25" s="2144">
        <v>0</v>
      </c>
      <c r="DS25" s="2144">
        <v>0</v>
      </c>
      <c r="DT25" s="2144">
        <f t="shared" si="104"/>
        <v>0</v>
      </c>
      <c r="DU25" s="2144">
        <v>0</v>
      </c>
      <c r="DV25" s="2144">
        <v>0</v>
      </c>
      <c r="DW25" s="2144">
        <v>0</v>
      </c>
      <c r="DX25" s="2144">
        <v>0</v>
      </c>
      <c r="DY25" s="2144">
        <v>0</v>
      </c>
      <c r="DZ25" s="2144">
        <v>0</v>
      </c>
      <c r="EA25" s="2144">
        <f t="shared" si="105"/>
        <v>0</v>
      </c>
      <c r="EB25" s="2144">
        <f>SUM(EA25*EB50)</f>
        <v>0</v>
      </c>
      <c r="EC25" s="2144">
        <f>SUM(EA25*EC50)</f>
        <v>0</v>
      </c>
      <c r="ED25" s="2144">
        <f>SUM(EA25*ED50)</f>
        <v>0</v>
      </c>
      <c r="EE25" s="2144">
        <f>SUM(EA25*EE50)</f>
        <v>0</v>
      </c>
      <c r="EF25" s="2144">
        <f>SUM(EA25*EF50)</f>
        <v>0</v>
      </c>
      <c r="EG25" s="2144">
        <f>SUM(EA25*EG50)</f>
        <v>0</v>
      </c>
      <c r="EH25" s="2112">
        <f>SUM(DD25*1.06*0.99*(1+0.043)*0.99)</f>
        <v>201.59986513589999</v>
      </c>
      <c r="EI25" s="2112">
        <f>SUM(DE25*1.06*0.99*(1+0.043)*0.99)-224.4</f>
        <v>327.41613193631918</v>
      </c>
      <c r="EJ25" s="3952" t="s">
        <v>2063</v>
      </c>
      <c r="EK25" s="2144">
        <f t="shared" si="107"/>
        <v>0</v>
      </c>
      <c r="EL25" s="2144">
        <v>0</v>
      </c>
      <c r="EM25" s="2144">
        <v>0</v>
      </c>
      <c r="EN25" s="2144">
        <v>0</v>
      </c>
      <c r="EO25" s="2144">
        <v>0</v>
      </c>
      <c r="EP25" s="2144">
        <v>0</v>
      </c>
      <c r="EQ25" s="2144">
        <v>0</v>
      </c>
      <c r="ER25" s="2144">
        <f t="shared" si="108"/>
        <v>0</v>
      </c>
      <c r="ES25" s="2144">
        <v>0</v>
      </c>
      <c r="ET25" s="2144">
        <v>0</v>
      </c>
      <c r="EU25" s="2144">
        <v>0</v>
      </c>
      <c r="EV25" s="2144">
        <v>0</v>
      </c>
      <c r="EW25" s="2144">
        <v>0</v>
      </c>
      <c r="EX25" s="2144">
        <v>0</v>
      </c>
      <c r="EY25" s="2144">
        <f t="shared" si="109"/>
        <v>0</v>
      </c>
      <c r="EZ25" s="2144">
        <v>0</v>
      </c>
      <c r="FA25" s="2144">
        <v>0</v>
      </c>
      <c r="FB25" s="2144">
        <v>0</v>
      </c>
      <c r="FC25" s="2144">
        <v>0</v>
      </c>
      <c r="FD25" s="3862">
        <v>0</v>
      </c>
      <c r="FE25" s="3862">
        <v>0</v>
      </c>
      <c r="FF25" s="2447">
        <f t="shared" si="148"/>
        <v>0</v>
      </c>
      <c r="FG25" s="2447">
        <f t="shared" si="149"/>
        <v>0</v>
      </c>
      <c r="FH25" s="2447">
        <f t="shared" si="150"/>
        <v>0</v>
      </c>
      <c r="FI25" s="2447">
        <f t="shared" si="151"/>
        <v>0</v>
      </c>
      <c r="FJ25" s="2447">
        <f t="shared" si="152"/>
        <v>0</v>
      </c>
      <c r="FK25" s="2447">
        <f>SUM(FF25*FK50)</f>
        <v>0</v>
      </c>
      <c r="FL25" s="2447">
        <f>SUM(FF25*FL50)</f>
        <v>0</v>
      </c>
      <c r="FM25" s="3512">
        <v>0</v>
      </c>
      <c r="FN25" s="3512">
        <v>0</v>
      </c>
      <c r="FO25" s="4760">
        <v>0</v>
      </c>
      <c r="FP25" s="4760">
        <v>0</v>
      </c>
      <c r="FQ25" s="4760">
        <v>0</v>
      </c>
      <c r="FR25" s="4760">
        <v>0</v>
      </c>
      <c r="FS25" s="4760">
        <v>0</v>
      </c>
      <c r="FT25" s="4760">
        <v>0</v>
      </c>
      <c r="FU25" s="4760">
        <v>0</v>
      </c>
      <c r="FV25" s="4760">
        <v>0</v>
      </c>
    </row>
    <row r="26" spans="1:178" ht="24" customHeight="1" x14ac:dyDescent="0.2">
      <c r="A26" s="3234" t="s">
        <v>3883</v>
      </c>
      <c r="B26" s="3110"/>
      <c r="C26" s="3110"/>
      <c r="D26" s="2139"/>
      <c r="E26" s="3110"/>
      <c r="F26" s="2139"/>
      <c r="G26" s="2140">
        <v>6</v>
      </c>
      <c r="H26" s="2139"/>
      <c r="I26" s="2141"/>
      <c r="J26" s="2141">
        <v>10.5</v>
      </c>
      <c r="K26" s="2141">
        <v>10.5</v>
      </c>
      <c r="L26" s="2141">
        <v>10.5</v>
      </c>
      <c r="M26" s="2145">
        <f>K26/G26*100</f>
        <v>175</v>
      </c>
      <c r="N26" s="2141">
        <v>0</v>
      </c>
      <c r="O26" s="2141"/>
      <c r="P26" s="2141">
        <v>12.746</v>
      </c>
      <c r="Q26" s="2141">
        <v>12.7</v>
      </c>
      <c r="R26" s="2141">
        <v>12.36</v>
      </c>
      <c r="S26" s="2140">
        <f>R26</f>
        <v>12.36</v>
      </c>
      <c r="T26" s="2143"/>
      <c r="U26" s="2144" t="e">
        <f>R26*#REF!</f>
        <v>#REF!</v>
      </c>
      <c r="V26" s="2144" t="e">
        <f>R26*#REF!</f>
        <v>#REF!</v>
      </c>
      <c r="W26" s="2144">
        <f t="shared" si="117"/>
        <v>7.0573012718600943</v>
      </c>
      <c r="X26" s="2144">
        <f t="shared" si="118"/>
        <v>5.0126530206677247</v>
      </c>
      <c r="Y26" s="2144"/>
      <c r="Z26" s="2144">
        <v>11.9</v>
      </c>
      <c r="AA26" s="2144">
        <v>11.9</v>
      </c>
      <c r="AB26" s="2141">
        <v>13.2</v>
      </c>
      <c r="AC26" s="2140">
        <f>AB26</f>
        <v>13.2</v>
      </c>
      <c r="AD26" s="2144">
        <f t="shared" si="119"/>
        <v>7.814389182099549</v>
      </c>
      <c r="AE26" s="2144">
        <f t="shared" si="120"/>
        <v>5.2800085180318499</v>
      </c>
      <c r="AF26" s="3233">
        <f t="shared" ref="AF26:AF39" si="154">AD26/W26</f>
        <v>1.1072772552956223</v>
      </c>
      <c r="AG26" s="3233">
        <f t="shared" ref="AG26:AG39" si="155">AE26/X26</f>
        <v>1.0533361268497519</v>
      </c>
      <c r="AH26" s="2144">
        <v>5.82</v>
      </c>
      <c r="AI26" s="2144">
        <v>6.39</v>
      </c>
      <c r="AJ26" s="2140">
        <f t="shared" si="153"/>
        <v>13.090000000000002</v>
      </c>
      <c r="AK26" s="2144">
        <f>AJ26*AI56</f>
        <v>7.8016400000000008</v>
      </c>
      <c r="AL26" s="2144">
        <f>AJ26*AI57</f>
        <v>5.2883600000000008</v>
      </c>
      <c r="AM26" s="3233">
        <f t="shared" ref="AM26:AN31" si="156">AK26/AD26</f>
        <v>0.99836849921312432</v>
      </c>
      <c r="AN26" s="3233">
        <f t="shared" si="156"/>
        <v>1.0015817175179982</v>
      </c>
      <c r="AO26" s="2567">
        <f>AJ26</f>
        <v>13.090000000000002</v>
      </c>
      <c r="AP26" s="2144">
        <f t="shared" si="121"/>
        <v>7.1229887263287761</v>
      </c>
      <c r="AQ26" s="2144">
        <f t="shared" si="122"/>
        <v>5.8964706051340547</v>
      </c>
      <c r="AR26" s="2144">
        <f t="shared" si="7"/>
        <v>4.5600000000000005</v>
      </c>
      <c r="AS26" s="2144">
        <v>2.69</v>
      </c>
      <c r="AT26" s="2144">
        <v>1.87</v>
      </c>
      <c r="AU26" s="2144">
        <f t="shared" si="8"/>
        <v>5.0889699999999998</v>
      </c>
      <c r="AV26" s="2144">
        <v>2.9516</v>
      </c>
      <c r="AW26" s="2144">
        <v>2.1373700000000002</v>
      </c>
      <c r="AX26" s="2144">
        <f t="shared" si="137"/>
        <v>14.29</v>
      </c>
      <c r="AY26" s="2144">
        <v>8.43</v>
      </c>
      <c r="AZ26" s="2144">
        <v>5.86</v>
      </c>
      <c r="BA26" s="2144">
        <f t="shared" si="93"/>
        <v>6.1180000000000003</v>
      </c>
      <c r="BB26" s="2144">
        <v>3.6070000000000002</v>
      </c>
      <c r="BC26" s="2144">
        <v>0</v>
      </c>
      <c r="BD26" s="2144">
        <v>2.5110000000000001</v>
      </c>
      <c r="BE26" s="2144">
        <v>0</v>
      </c>
      <c r="BF26" s="2144">
        <v>0</v>
      </c>
      <c r="BG26" s="2144">
        <v>0</v>
      </c>
      <c r="BH26" s="2144">
        <f t="shared" si="11"/>
        <v>50.35</v>
      </c>
      <c r="BI26" s="2144">
        <v>29.26</v>
      </c>
      <c r="BJ26" s="2144">
        <v>21.09</v>
      </c>
      <c r="BK26" s="2144">
        <f>AU26*1.027*1.046</f>
        <v>5.4667853107399997</v>
      </c>
      <c r="BL26" s="2144">
        <f t="shared" si="123"/>
        <v>3.1778708949163219</v>
      </c>
      <c r="BM26" s="2144">
        <f t="shared" si="124"/>
        <v>2.0577188421441872</v>
      </c>
      <c r="BN26" s="2144">
        <f t="shared" si="125"/>
        <v>0.21812676052009844</v>
      </c>
      <c r="BO26" s="2144">
        <f t="shared" si="126"/>
        <v>1.306881315939192E-2</v>
      </c>
      <c r="BP26" s="2144">
        <f>SUM(BA26*1.046)</f>
        <v>6.3994280000000003</v>
      </c>
      <c r="BQ26" s="2144">
        <f>SUM(BP26*BB50)</f>
        <v>3.7648070881986095</v>
      </c>
      <c r="BR26" s="2564">
        <f>SUM(BP26*BC50)</f>
        <v>1.7028058652708537E-4</v>
      </c>
      <c r="BS26" s="2144">
        <f>SUM(BP26*BD50)</f>
        <v>2.6024754521029552</v>
      </c>
      <c r="BT26" s="2610">
        <f>SUM(BP26*BE50)</f>
        <v>1.2905131323784436E-3</v>
      </c>
      <c r="BU26" s="2144">
        <f>SUM(BP26*BF50)</f>
        <v>1.3282782519561545E-2</v>
      </c>
      <c r="BV26" s="2144">
        <f>SUM(BP26*BG50)</f>
        <v>1.7401883459969195E-2</v>
      </c>
      <c r="BW26" s="2144">
        <f t="shared" si="95"/>
        <v>5.5744809813615781</v>
      </c>
      <c r="BX26" s="2144">
        <f t="shared" si="127"/>
        <v>3.2404749515461737</v>
      </c>
      <c r="BY26" s="2144">
        <f t="shared" si="128"/>
        <v>2.0982559033344277</v>
      </c>
      <c r="BZ26" s="2144">
        <f t="shared" si="129"/>
        <v>0.22242385770234441</v>
      </c>
      <c r="CA26" s="2144">
        <f t="shared" si="130"/>
        <v>1.3326268778631942E-2</v>
      </c>
      <c r="CB26" s="2144">
        <f t="shared" si="96"/>
        <v>194.99999999999997</v>
      </c>
      <c r="CC26" s="2144">
        <f>41.77+72.02</f>
        <v>113.78999999999999</v>
      </c>
      <c r="CD26" s="2144">
        <f>0.01+0.02</f>
        <v>0.03</v>
      </c>
      <c r="CE26" s="2144">
        <f>27.72+50.17</f>
        <v>77.89</v>
      </c>
      <c r="CF26" s="2144">
        <f>0.07+0.13</f>
        <v>0.2</v>
      </c>
      <c r="CG26" s="2144">
        <v>0</v>
      </c>
      <c r="CH26" s="2144">
        <f>1.26+1.83</f>
        <v>3.09</v>
      </c>
      <c r="CI26" s="2144">
        <f t="shared" si="97"/>
        <v>230.14323999999999</v>
      </c>
      <c r="CJ26" s="2144">
        <f>44.50537+90.66476</f>
        <v>135.17013</v>
      </c>
      <c r="CK26" s="2144">
        <f>0.01126+0.0247</f>
        <v>3.5959999999999999E-2</v>
      </c>
      <c r="CL26" s="2144">
        <f>29.46592+61.35296</f>
        <v>90.818880000000007</v>
      </c>
      <c r="CM26" s="2144">
        <f>0.07647+0.13902</f>
        <v>0.21549000000000001</v>
      </c>
      <c r="CN26" s="2144">
        <v>0</v>
      </c>
      <c r="CO26" s="2144">
        <f>1.40766+2.49512</f>
        <v>3.9027799999999999</v>
      </c>
      <c r="CP26" s="2144">
        <f t="shared" si="98"/>
        <v>230.15499999999997</v>
      </c>
      <c r="CQ26" s="2144">
        <f>44.51+90.66</f>
        <v>135.16999999999999</v>
      </c>
      <c r="CR26" s="2144">
        <f>0.01+0.025</f>
        <v>3.5000000000000003E-2</v>
      </c>
      <c r="CS26" s="2144">
        <f>29.47+61.35</f>
        <v>90.82</v>
      </c>
      <c r="CT26" s="2144">
        <f>0.08+0.14</f>
        <v>0.22000000000000003</v>
      </c>
      <c r="CU26" s="2144">
        <v>0</v>
      </c>
      <c r="CV26" s="2144">
        <f>1.41+2.5</f>
        <v>3.91</v>
      </c>
      <c r="CW26" s="2144">
        <f t="shared" si="99"/>
        <v>238.33470869999996</v>
      </c>
      <c r="CX26" s="2144">
        <f>SUM(CW26*CX50)</f>
        <v>139.46666402903949</v>
      </c>
      <c r="CY26" s="2144">
        <f>SUM(CW26*CY50)</f>
        <v>3.8848044902066121E-2</v>
      </c>
      <c r="CZ26" s="2144">
        <f>SUM(CW26*CZ50)</f>
        <v>92.440159630862382</v>
      </c>
      <c r="DA26" s="2144">
        <f>SUM(CW26*DA50)</f>
        <v>0.26741984755210818</v>
      </c>
      <c r="DB26" s="2144">
        <f>SUM(CW26*DB50)</f>
        <v>0</v>
      </c>
      <c r="DC26" s="2144">
        <f>SUM(CW26*DC50)</f>
        <v>6.1216171476438941</v>
      </c>
      <c r="DD26" s="2112">
        <f t="shared" si="100"/>
        <v>3.3300142452830479</v>
      </c>
      <c r="DE26" s="2112">
        <f t="shared" si="101"/>
        <v>2.1562339326273712</v>
      </c>
      <c r="DF26" s="2144">
        <f t="shared" si="102"/>
        <v>48.820529999999998</v>
      </c>
      <c r="DG26" s="2144">
        <v>28.06991</v>
      </c>
      <c r="DH26" s="2144">
        <v>6.43E-3</v>
      </c>
      <c r="DI26" s="2144">
        <v>18.918019999999999</v>
      </c>
      <c r="DJ26" s="2144">
        <v>4.7500000000000001E-2</v>
      </c>
      <c r="DK26" s="2144">
        <v>0</v>
      </c>
      <c r="DL26" s="2144">
        <v>1.77867</v>
      </c>
      <c r="DM26" s="2144">
        <f t="shared" si="103"/>
        <v>49.088439999999991</v>
      </c>
      <c r="DN26" s="2144">
        <f>0.1531+28.06991</f>
        <v>28.223009999999999</v>
      </c>
      <c r="DO26" s="2144">
        <f>0.00004+0.00643</f>
        <v>6.4700000000000001E-3</v>
      </c>
      <c r="DP26" s="2144">
        <f>0.11144+18.91802</f>
        <v>19.02946</v>
      </c>
      <c r="DQ26" s="2144">
        <v>4.7500000000000001E-2</v>
      </c>
      <c r="DR26" s="2144">
        <v>0</v>
      </c>
      <c r="DS26" s="2144">
        <f>0.00333+1.77867</f>
        <v>1.782</v>
      </c>
      <c r="DT26" s="2144">
        <f t="shared" si="104"/>
        <v>49.087469999999996</v>
      </c>
      <c r="DU26" s="2144">
        <v>28.22</v>
      </c>
      <c r="DV26" s="2144">
        <v>6.4700000000000001E-3</v>
      </c>
      <c r="DW26" s="2144">
        <v>19.029</v>
      </c>
      <c r="DX26" s="2144">
        <v>0.05</v>
      </c>
      <c r="DY26" s="2144">
        <v>0</v>
      </c>
      <c r="DZ26" s="2144">
        <v>1.782</v>
      </c>
      <c r="EA26" s="2144">
        <f t="shared" si="105"/>
        <v>51.026425064999998</v>
      </c>
      <c r="EB26" s="2144">
        <f>SUM(EA26*EB50)</f>
        <v>29.041449858325308</v>
      </c>
      <c r="EC26" s="2144">
        <f>SUM(EA26*EC50)</f>
        <v>7.100601788042127E-3</v>
      </c>
      <c r="ED26" s="2144">
        <f>SUM(EA26*ED50)</f>
        <v>20.673765482333817</v>
      </c>
      <c r="EE26" s="2144">
        <f>SUM(EA26*EE50)</f>
        <v>5.7830474140539552E-2</v>
      </c>
      <c r="EF26" s="2144">
        <f>SUM(EA26*EF50)</f>
        <v>0</v>
      </c>
      <c r="EG26" s="2144">
        <f>SUM(EA26*EG50)</f>
        <v>1.2462786484122805</v>
      </c>
      <c r="EH26" s="2112">
        <f t="shared" si="131"/>
        <v>3.5249466285920716</v>
      </c>
      <c r="EI26" s="2112">
        <f t="shared" si="106"/>
        <v>2.2824555606742254</v>
      </c>
      <c r="EJ26" s="3953" t="s">
        <v>1920</v>
      </c>
      <c r="EK26" s="2144">
        <f t="shared" si="107"/>
        <v>0</v>
      </c>
      <c r="EL26" s="2144">
        <v>0</v>
      </c>
      <c r="EM26" s="2144">
        <v>0</v>
      </c>
      <c r="EN26" s="2144">
        <v>0</v>
      </c>
      <c r="EO26" s="2144">
        <v>0</v>
      </c>
      <c r="EP26" s="2144">
        <v>0</v>
      </c>
      <c r="EQ26" s="2144">
        <v>0</v>
      </c>
      <c r="ER26" s="2144">
        <f t="shared" si="108"/>
        <v>5.1695600000000006</v>
      </c>
      <c r="ES26" s="2144">
        <v>2.012</v>
      </c>
      <c r="ET26" s="2144">
        <v>2.9E-4</v>
      </c>
      <c r="EU26" s="2144">
        <v>1.3720000000000001</v>
      </c>
      <c r="EV26" s="2144">
        <v>3.2699999999999999E-3</v>
      </c>
      <c r="EW26" s="2144">
        <v>0</v>
      </c>
      <c r="EX26" s="2144">
        <f>0.00333+1.77867</f>
        <v>1.782</v>
      </c>
      <c r="EY26" s="2144">
        <v>3.5579999999999998</v>
      </c>
      <c r="EZ26" s="2144">
        <v>2.012</v>
      </c>
      <c r="FA26" s="2144">
        <v>2.9E-4</v>
      </c>
      <c r="FB26" s="2144">
        <v>1.3720000000000001</v>
      </c>
      <c r="FC26" s="2144">
        <v>3.2699999999999999E-3</v>
      </c>
      <c r="FD26" s="3862">
        <v>0</v>
      </c>
      <c r="FE26" s="3862">
        <v>1.782</v>
      </c>
      <c r="FF26" s="2447">
        <f t="shared" si="148"/>
        <v>4.0277111489999999</v>
      </c>
      <c r="FG26" s="2447">
        <f t="shared" si="149"/>
        <v>2.2776151860000002</v>
      </c>
      <c r="FH26" s="2447">
        <f t="shared" si="150"/>
        <v>3.28284495E-4</v>
      </c>
      <c r="FI26" s="2447">
        <f t="shared" si="151"/>
        <v>1.5531252660000003</v>
      </c>
      <c r="FJ26" s="2447">
        <f t="shared" si="152"/>
        <v>3.701690685E-3</v>
      </c>
      <c r="FK26" s="2447">
        <f>SUM(FF26*FK50)</f>
        <v>0</v>
      </c>
      <c r="FL26" s="2447">
        <f>SUM(FF26*FL50)</f>
        <v>8.2209632332365848E-2</v>
      </c>
      <c r="FM26" s="3512">
        <f t="shared" ref="FM26:FM47" si="157">BL26*0.99*1.034*0.99*1.067*0.99*1.139*0.99*1.06</f>
        <v>4.0662265842893337</v>
      </c>
      <c r="FN26" s="3512">
        <f t="shared" ref="FN26:FN47" si="158">BM26*0.99*1.034*0.99*1.067*0.99*1.139*0.99*1.06</f>
        <v>2.6329424119478211</v>
      </c>
      <c r="FO26" s="4760">
        <v>0</v>
      </c>
      <c r="FP26" s="4760">
        <v>0</v>
      </c>
      <c r="FQ26" s="4760">
        <v>0</v>
      </c>
      <c r="FR26" s="4760">
        <v>0</v>
      </c>
      <c r="FS26" s="4760">
        <v>36.803809999999999</v>
      </c>
      <c r="FT26" s="4760">
        <v>1.013E-2</v>
      </c>
      <c r="FU26" s="4760">
        <v>28.843509999999998</v>
      </c>
      <c r="FV26" s="4760">
        <v>9.2109999999999997E-2</v>
      </c>
    </row>
    <row r="27" spans="1:178" ht="24" customHeight="1" x14ac:dyDescent="0.2">
      <c r="A27" s="3234" t="s">
        <v>37</v>
      </c>
      <c r="B27" s="3110">
        <v>131.4</v>
      </c>
      <c r="C27" s="3110">
        <v>189</v>
      </c>
      <c r="D27" s="2139">
        <f t="shared" ref="D27:D40" si="159">C27/B27*100</f>
        <v>143.83561643835617</v>
      </c>
      <c r="E27" s="3110">
        <v>188</v>
      </c>
      <c r="F27" s="2139">
        <f t="shared" ref="F27:F39" si="160">E27/C27*100</f>
        <v>99.470899470899468</v>
      </c>
      <c r="G27" s="2140">
        <f>166.8+12.3+1</f>
        <v>180.10000000000002</v>
      </c>
      <c r="H27" s="2139">
        <f t="shared" ref="H27:H39" si="161">G27/E27*100</f>
        <v>95.797872340425556</v>
      </c>
      <c r="I27" s="2141">
        <v>145.4</v>
      </c>
      <c r="J27" s="2141">
        <f>149.1+8.8</f>
        <v>157.9</v>
      </c>
      <c r="K27" s="2141">
        <v>170</v>
      </c>
      <c r="L27" s="2141">
        <v>164.9</v>
      </c>
      <c r="M27" s="2145">
        <f>K27/G27*100</f>
        <v>94.392004441976667</v>
      </c>
      <c r="N27" s="2141">
        <v>170</v>
      </c>
      <c r="O27" s="2141">
        <f>42.4+13.5</f>
        <v>55.9</v>
      </c>
      <c r="P27" s="2141">
        <f>116.0149+23.8634</f>
        <v>139.8783</v>
      </c>
      <c r="Q27" s="2141">
        <v>206.9</v>
      </c>
      <c r="R27" s="2141">
        <v>175.1</v>
      </c>
      <c r="S27" s="2140">
        <f>R27</f>
        <v>175.1</v>
      </c>
      <c r="T27" s="2143">
        <f t="shared" ref="T27:T33" si="162">S27/N27</f>
        <v>1.03</v>
      </c>
      <c r="U27" s="2144" t="e">
        <f>R27*#REF!</f>
        <v>#REF!</v>
      </c>
      <c r="V27" s="2144" t="e">
        <f>R27*#REF!</f>
        <v>#REF!</v>
      </c>
      <c r="W27" s="2144">
        <f t="shared" si="117"/>
        <v>99.978434684684672</v>
      </c>
      <c r="X27" s="2144">
        <f t="shared" si="118"/>
        <v>71.012584459459433</v>
      </c>
      <c r="Y27" s="2144">
        <v>83.42</v>
      </c>
      <c r="Z27" s="2144">
        <v>235.47</v>
      </c>
      <c r="AA27" s="2144">
        <v>324.43</v>
      </c>
      <c r="AB27" s="2141">
        <v>187.7</v>
      </c>
      <c r="AC27" s="2140">
        <f>AB27</f>
        <v>187.7</v>
      </c>
      <c r="AD27" s="2144">
        <f t="shared" si="119"/>
        <v>111.11824617273375</v>
      </c>
      <c r="AE27" s="2144">
        <f t="shared" si="120"/>
        <v>75.080121123831688</v>
      </c>
      <c r="AF27" s="3233">
        <f t="shared" si="154"/>
        <v>1.1114221434170497</v>
      </c>
      <c r="AG27" s="3233">
        <f t="shared" si="155"/>
        <v>1.0572790963085477</v>
      </c>
      <c r="AH27" s="2144">
        <v>67.86</v>
      </c>
      <c r="AI27" s="2144">
        <v>217.83</v>
      </c>
      <c r="AJ27" s="2140">
        <f t="shared" si="153"/>
        <v>356.87300000000005</v>
      </c>
      <c r="AK27" s="2144">
        <f>AJ27*AI56</f>
        <v>212.69630800000002</v>
      </c>
      <c r="AL27" s="2144">
        <f>AJ27*AI57</f>
        <v>144.17669200000003</v>
      </c>
      <c r="AM27" s="3233">
        <f t="shared" si="156"/>
        <v>1.914143854190812</v>
      </c>
      <c r="AN27" s="3233">
        <f t="shared" si="156"/>
        <v>1.9203044673064058</v>
      </c>
      <c r="AO27" s="2567">
        <f>AI27/3*4*1.062</f>
        <v>308.44728000000003</v>
      </c>
      <c r="AP27" s="2144">
        <f t="shared" si="121"/>
        <v>167.84312437790493</v>
      </c>
      <c r="AQ27" s="2144">
        <f t="shared" si="122"/>
        <v>138.94196483984365</v>
      </c>
      <c r="AR27" s="2144">
        <f t="shared" si="7"/>
        <v>244.73</v>
      </c>
      <c r="AS27" s="2144">
        <v>144.38999999999999</v>
      </c>
      <c r="AT27" s="2144">
        <v>100.34</v>
      </c>
      <c r="AU27" s="2144">
        <f t="shared" si="8"/>
        <v>433</v>
      </c>
      <c r="AV27" s="2144">
        <v>249.5</v>
      </c>
      <c r="AW27" s="2144">
        <v>183.5</v>
      </c>
      <c r="AX27" s="2144">
        <f t="shared" si="137"/>
        <v>336.73</v>
      </c>
      <c r="AY27" s="2144">
        <v>198.67</v>
      </c>
      <c r="AZ27" s="2144">
        <v>138.06</v>
      </c>
      <c r="BA27" s="2144">
        <f t="shared" si="93"/>
        <v>360.99227999999994</v>
      </c>
      <c r="BB27" s="2144">
        <f>136.075+76.928</f>
        <v>213.00299999999999</v>
      </c>
      <c r="BC27" s="2144">
        <v>0</v>
      </c>
      <c r="BD27" s="2144">
        <f>94.829+51.965</f>
        <v>146.79399999999998</v>
      </c>
      <c r="BE27" s="2144">
        <v>0</v>
      </c>
      <c r="BF27" s="2564">
        <v>0.48208000000000001</v>
      </c>
      <c r="BG27" s="2564">
        <v>0.71319999999999995</v>
      </c>
      <c r="BH27" s="2144">
        <f t="shared" si="11"/>
        <v>459.44000000000005</v>
      </c>
      <c r="BI27" s="2144">
        <v>266.97000000000003</v>
      </c>
      <c r="BJ27" s="2144">
        <v>192.47</v>
      </c>
      <c r="BK27" s="2144">
        <f>(AR27+AU27)/2*1.027*1.046</f>
        <v>364.02301532999996</v>
      </c>
      <c r="BL27" s="2144">
        <f t="shared" si="123"/>
        <v>211.60848281790211</v>
      </c>
      <c r="BM27" s="2144">
        <f t="shared" si="124"/>
        <v>137.01965141142313</v>
      </c>
      <c r="BN27" s="2144">
        <f t="shared" si="125"/>
        <v>14.524653260609348</v>
      </c>
      <c r="BO27" s="2144">
        <f t="shared" si="126"/>
        <v>0.87022784006534581</v>
      </c>
      <c r="BP27" s="2144">
        <f>SUM(BA27*1.046)</f>
        <v>377.59792487999994</v>
      </c>
      <c r="BQ27" s="2144">
        <f>SUM(BP27*BB50)</f>
        <v>222.1422514758053</v>
      </c>
      <c r="BR27" s="2564">
        <f>SUM(BP27*BC50)</f>
        <v>1.0047397379887187E-2</v>
      </c>
      <c r="BS27" s="2144">
        <f>SUM(BP27*BD50)</f>
        <v>153.5589321835038</v>
      </c>
      <c r="BT27" s="2610">
        <f>SUM(BP27*BE50)</f>
        <v>7.6146661985491346E-2</v>
      </c>
      <c r="BU27" s="2144">
        <f>SUM(BP27*BF50)</f>
        <v>0.78374990952609769</v>
      </c>
      <c r="BV27" s="2144">
        <f>SUM(BP27*BG50)</f>
        <v>1.0267972517993735</v>
      </c>
      <c r="BW27" s="2144">
        <f t="shared" si="95"/>
        <v>371.19426873200098</v>
      </c>
      <c r="BX27" s="2144">
        <f t="shared" si="127"/>
        <v>215.77716992941481</v>
      </c>
      <c r="BY27" s="2144">
        <f t="shared" si="128"/>
        <v>139.71893854422817</v>
      </c>
      <c r="BZ27" s="2144">
        <f t="shared" si="129"/>
        <v>14.810788929843353</v>
      </c>
      <c r="CA27" s="2144">
        <f t="shared" si="130"/>
        <v>0.88737132851463318</v>
      </c>
      <c r="CB27" s="2144">
        <f t="shared" si="96"/>
        <v>0</v>
      </c>
      <c r="CC27" s="2144">
        <v>0</v>
      </c>
      <c r="CD27" s="2144">
        <v>0</v>
      </c>
      <c r="CE27" s="2144">
        <v>0</v>
      </c>
      <c r="CF27" s="2144">
        <v>0</v>
      </c>
      <c r="CG27" s="2144">
        <v>0</v>
      </c>
      <c r="CH27" s="2144">
        <v>0</v>
      </c>
      <c r="CI27" s="2144">
        <f t="shared" si="97"/>
        <v>246.20822999999999</v>
      </c>
      <c r="CJ27" s="2144">
        <f>92.95116+52.58639</f>
        <v>145.53755000000001</v>
      </c>
      <c r="CK27" s="2144">
        <f>0.023+0.01188</f>
        <v>3.4880000000000001E-2</v>
      </c>
      <c r="CL27" s="2144">
        <f>59.45127+33.65086</f>
        <v>93.102130000000002</v>
      </c>
      <c r="CM27" s="2144">
        <f>0.15027+0.09359</f>
        <v>0.24385999999999999</v>
      </c>
      <c r="CN27" s="2144">
        <v>0</v>
      </c>
      <c r="CO27" s="2144">
        <f>4.51243+2.77738</f>
        <v>7.2898100000000001</v>
      </c>
      <c r="CP27" s="2144">
        <f t="shared" si="98"/>
        <v>369.45499999999998</v>
      </c>
      <c r="CQ27" s="2144">
        <f>142.28+75.27</f>
        <v>217.55</v>
      </c>
      <c r="CR27" s="2144">
        <f>0.03+0.015</f>
        <v>4.4999999999999998E-2</v>
      </c>
      <c r="CS27" s="2144">
        <f>90.93+48.02</f>
        <v>138.95000000000002</v>
      </c>
      <c r="CT27" s="2144">
        <f>0.26+0.14</f>
        <v>0.4</v>
      </c>
      <c r="CU27" s="2144">
        <v>0</v>
      </c>
      <c r="CV27" s="2144">
        <f>8.16+4.35</f>
        <v>12.51</v>
      </c>
      <c r="CW27" s="2144">
        <f t="shared" si="99"/>
        <v>382.58543070000002</v>
      </c>
      <c r="CX27" s="2144">
        <f>SUM(CW27*CX50)</f>
        <v>223.87806634159065</v>
      </c>
      <c r="CY27" s="2144">
        <f>SUM(CW27*CY50)</f>
        <v>6.2360602330137696E-2</v>
      </c>
      <c r="CZ27" s="2144">
        <f>SUM(CW27*CZ50)</f>
        <v>148.38903858886519</v>
      </c>
      <c r="DA27" s="2144">
        <f>SUM(CW27*DA50)</f>
        <v>0.42927418382118204</v>
      </c>
      <c r="DB27" s="2144">
        <f>SUM(CW27*DB50)</f>
        <v>0</v>
      </c>
      <c r="DC27" s="2144">
        <f>SUM(CW27*DC50)</f>
        <v>9.8266909833928242</v>
      </c>
      <c r="DD27" s="2112">
        <v>203.31</v>
      </c>
      <c r="DE27" s="2112">
        <f t="shared" si="101"/>
        <v>143.57958714234391</v>
      </c>
      <c r="DF27" s="2144">
        <f t="shared" si="102"/>
        <v>27.255610000000001</v>
      </c>
      <c r="DG27" s="2144">
        <v>15.42324</v>
      </c>
      <c r="DH27" s="2144">
        <v>3.3899999999999998E-3</v>
      </c>
      <c r="DI27" s="2144">
        <v>11.010770000000001</v>
      </c>
      <c r="DJ27" s="2144">
        <v>3.6519999999999997E-2</v>
      </c>
      <c r="DK27" s="2144">
        <v>0</v>
      </c>
      <c r="DL27" s="2144">
        <v>0.78169</v>
      </c>
      <c r="DM27" s="2144">
        <f t="shared" si="103"/>
        <v>160.28278999999998</v>
      </c>
      <c r="DN27" s="2144">
        <f>26.22416+64.67974</f>
        <v>90.903899999999993</v>
      </c>
      <c r="DO27" s="2144">
        <f>0.00908+0.02164</f>
        <v>3.0719999999999997E-2</v>
      </c>
      <c r="DP27" s="2144">
        <f>19.26066+47.14008</f>
        <v>66.400739999999999</v>
      </c>
      <c r="DQ27" s="2144">
        <f>0.0214+0.08908</f>
        <v>0.11048000000000001</v>
      </c>
      <c r="DR27" s="2144">
        <v>0</v>
      </c>
      <c r="DS27" s="2144">
        <f>0.66843+2.16852</f>
        <v>2.8369499999999999</v>
      </c>
      <c r="DT27" s="2144">
        <f t="shared" si="104"/>
        <v>353.88</v>
      </c>
      <c r="DU27" s="2144">
        <v>202.542</v>
      </c>
      <c r="DV27" s="2144">
        <v>5.1999999999999998E-2</v>
      </c>
      <c r="DW27" s="2144">
        <v>145.81700000000001</v>
      </c>
      <c r="DX27" s="2144">
        <v>0.34100000000000003</v>
      </c>
      <c r="DY27" s="2144">
        <v>0</v>
      </c>
      <c r="DZ27" s="2144">
        <v>5.1280000000000001</v>
      </c>
      <c r="EA27" s="2144">
        <f t="shared" si="105"/>
        <v>367.85826000000003</v>
      </c>
      <c r="EB27" s="2144">
        <f>SUM(EA27*EB50)</f>
        <v>209.36479871266866</v>
      </c>
      <c r="EC27" s="2144">
        <f>SUM(EA27*EC50)</f>
        <v>5.1189457528618774E-2</v>
      </c>
      <c r="ED27" s="2144">
        <f>SUM(EA27*ED50)</f>
        <v>149.04072523779067</v>
      </c>
      <c r="EE27" s="2144">
        <f>SUM(EA27*EE50)</f>
        <v>0.41690981810335997</v>
      </c>
      <c r="EF27" s="2144">
        <f>SUM(EA27*EF50)</f>
        <v>0</v>
      </c>
      <c r="EG27" s="2144">
        <f>SUM(EA27*EG50)</f>
        <v>8.9846367739086546</v>
      </c>
      <c r="EH27" s="2112">
        <f t="shared" si="131"/>
        <v>234.71960716959475</v>
      </c>
      <c r="EI27" s="2112">
        <f t="shared" si="106"/>
        <v>151.98444942058435</v>
      </c>
      <c r="EJ27" s="3953" t="s">
        <v>1916</v>
      </c>
      <c r="EK27" s="2144">
        <f t="shared" si="107"/>
        <v>74.755939999999995</v>
      </c>
      <c r="EL27" s="2144">
        <f>7.24395+35.27292</f>
        <v>42.516869999999997</v>
      </c>
      <c r="EM27" s="2144">
        <v>9.0900000000000009E-3</v>
      </c>
      <c r="EN27" s="2144">
        <f>5.35735+26.39422</f>
        <v>31.751570000000001</v>
      </c>
      <c r="EO27" s="2144">
        <v>7.8890000000000002E-2</v>
      </c>
      <c r="EP27" s="2144">
        <v>0</v>
      </c>
      <c r="EQ27" s="2144">
        <f>0.02799+0.37153</f>
        <v>0.39952000000000004</v>
      </c>
      <c r="ER27" s="2144">
        <f t="shared" si="108"/>
        <v>374.03029000000004</v>
      </c>
      <c r="ES27" s="2144">
        <v>212.941</v>
      </c>
      <c r="ET27" s="2144">
        <v>6.3339999999999994E-2</v>
      </c>
      <c r="EU27" s="2144">
        <v>157.79400000000001</v>
      </c>
      <c r="EV27" s="2144">
        <v>0.39500000000000002</v>
      </c>
      <c r="EW27" s="2144">
        <v>0</v>
      </c>
      <c r="EX27" s="2144">
        <f>0.66843+2.16852</f>
        <v>2.8369499999999999</v>
      </c>
      <c r="EY27" s="2144">
        <v>475.25700000000001</v>
      </c>
      <c r="EZ27" s="2144">
        <v>260.51299999999998</v>
      </c>
      <c r="FA27" s="2144">
        <v>7.1550000000000002E-2</v>
      </c>
      <c r="FB27" s="2144">
        <v>190.595</v>
      </c>
      <c r="FC27" s="2144">
        <v>0.48981000000000002</v>
      </c>
      <c r="FD27" s="3862">
        <v>0</v>
      </c>
      <c r="FE27" s="3862">
        <v>5.1280000000000001</v>
      </c>
      <c r="FF27" s="2447">
        <f t="shared" si="148"/>
        <v>537.99829048350011</v>
      </c>
      <c r="FG27" s="2447">
        <f t="shared" si="149"/>
        <v>294.90475395150003</v>
      </c>
      <c r="FH27" s="2447">
        <f t="shared" si="150"/>
        <v>8.0995709025000015E-2</v>
      </c>
      <c r="FI27" s="2447">
        <f t="shared" si="151"/>
        <v>215.75649422250004</v>
      </c>
      <c r="FJ27" s="2447">
        <f t="shared" si="152"/>
        <v>0.55447251205499992</v>
      </c>
      <c r="FK27" s="2447">
        <f>SUM(FF27*FK50)</f>
        <v>0</v>
      </c>
      <c r="FL27" s="2447">
        <f>SUM(FF27*FL50)</f>
        <v>10.981085787909837</v>
      </c>
      <c r="FM27" s="3512">
        <f t="shared" si="157"/>
        <v>270.76242765927196</v>
      </c>
      <c r="FN27" s="3512">
        <f t="shared" si="158"/>
        <v>175.32271371705835</v>
      </c>
      <c r="FO27" s="4760">
        <v>0</v>
      </c>
      <c r="FP27" s="4760">
        <v>0</v>
      </c>
      <c r="FQ27" s="4760">
        <v>0</v>
      </c>
      <c r="FR27" s="4760">
        <v>0</v>
      </c>
      <c r="FS27" s="4760">
        <v>89.079260000000005</v>
      </c>
      <c r="FT27" s="4760">
        <v>6.5100000000000002E-3</v>
      </c>
      <c r="FU27" s="4760">
        <v>64.881110000000007</v>
      </c>
      <c r="FV27" s="4760">
        <v>0.16769000000000001</v>
      </c>
    </row>
    <row r="28" spans="1:178" ht="24" customHeight="1" x14ac:dyDescent="0.2">
      <c r="A28" s="3234" t="s">
        <v>38</v>
      </c>
      <c r="B28" s="3110">
        <v>111.5</v>
      </c>
      <c r="C28" s="3110">
        <v>122</v>
      </c>
      <c r="D28" s="2139">
        <f t="shared" si="159"/>
        <v>109.4170403587444</v>
      </c>
      <c r="E28" s="3110">
        <v>101</v>
      </c>
      <c r="F28" s="2139">
        <f t="shared" si="160"/>
        <v>82.786885245901644</v>
      </c>
      <c r="G28" s="2140">
        <v>0</v>
      </c>
      <c r="H28" s="2139">
        <f t="shared" si="161"/>
        <v>0</v>
      </c>
      <c r="I28" s="2141">
        <v>56.2</v>
      </c>
      <c r="J28" s="2141">
        <v>7</v>
      </c>
      <c r="K28" s="2141">
        <f>J28/9*12</f>
        <v>9.3333333333333339</v>
      </c>
      <c r="L28" s="2141">
        <v>7</v>
      </c>
      <c r="M28" s="2145"/>
      <c r="N28" s="2141">
        <v>9.7906666666666666</v>
      </c>
      <c r="O28" s="2141">
        <v>27.7</v>
      </c>
      <c r="P28" s="2141"/>
      <c r="Q28" s="2141">
        <v>27.7</v>
      </c>
      <c r="R28" s="2141">
        <v>10.3</v>
      </c>
      <c r="S28" s="2140">
        <f>R28</f>
        <v>10.3</v>
      </c>
      <c r="T28" s="2143">
        <f t="shared" si="162"/>
        <v>1.0520223341958328</v>
      </c>
      <c r="U28" s="2144" t="e">
        <f>R28*#REF!</f>
        <v>#REF!</v>
      </c>
      <c r="V28" s="2144" t="e">
        <f>R28*#REF!</f>
        <v>#REF!</v>
      </c>
      <c r="W28" s="2144">
        <f t="shared" si="117"/>
        <v>5.8810843932167458</v>
      </c>
      <c r="X28" s="2144">
        <f t="shared" si="118"/>
        <v>4.1772108505564383</v>
      </c>
      <c r="Y28" s="2144">
        <v>12.2</v>
      </c>
      <c r="Z28" s="2144">
        <v>12.2</v>
      </c>
      <c r="AA28" s="2144">
        <v>12.11</v>
      </c>
      <c r="AB28" s="2141">
        <v>41.2</v>
      </c>
      <c r="AC28" s="2140">
        <f>Q28*1.063*1.049</f>
        <v>30.887909899999993</v>
      </c>
      <c r="AD28" s="2144">
        <f t="shared" si="119"/>
        <v>18.285617346986783</v>
      </c>
      <c r="AE28" s="2144">
        <f t="shared" si="120"/>
        <v>12.355183892136385</v>
      </c>
      <c r="AF28" s="3233">
        <f t="shared" si="154"/>
        <v>3.1092254632627698</v>
      </c>
      <c r="AG28" s="3233">
        <f t="shared" si="155"/>
        <v>2.9577592164136446</v>
      </c>
      <c r="AH28" s="2144">
        <v>2</v>
      </c>
      <c r="AI28" s="2144">
        <v>5.5</v>
      </c>
      <c r="AJ28" s="2140">
        <f t="shared" si="153"/>
        <v>13.321</v>
      </c>
      <c r="AK28" s="2144">
        <f>AJ28*AI56</f>
        <v>7.9393159999999998</v>
      </c>
      <c r="AL28" s="2144">
        <f>AJ28*AI57</f>
        <v>5.3816839999999999</v>
      </c>
      <c r="AM28" s="3233">
        <f t="shared" si="156"/>
        <v>0.43418364550367722</v>
      </c>
      <c r="AN28" s="3233">
        <f t="shared" si="156"/>
        <v>0.43558105221122945</v>
      </c>
      <c r="AO28" s="2567">
        <f>AI28/3*4*1.062</f>
        <v>7.7880000000000003</v>
      </c>
      <c r="AP28" s="2144">
        <f t="shared" si="121"/>
        <v>4.2378790069250192</v>
      </c>
      <c r="AQ28" s="2144">
        <f t="shared" si="122"/>
        <v>3.5081522591890004</v>
      </c>
      <c r="AR28" s="2144">
        <f t="shared" si="7"/>
        <v>112.44999999999999</v>
      </c>
      <c r="AS28" s="2144">
        <v>66.349999999999994</v>
      </c>
      <c r="AT28" s="2144">
        <v>46.1</v>
      </c>
      <c r="AU28" s="2144">
        <f t="shared" si="8"/>
        <v>89.95</v>
      </c>
      <c r="AV28" s="2144">
        <v>52.170999999999999</v>
      </c>
      <c r="AW28" s="2144">
        <v>37.779000000000003</v>
      </c>
      <c r="AX28" s="2144">
        <f t="shared" si="137"/>
        <v>8.51</v>
      </c>
      <c r="AY28" s="2144">
        <v>5.0199999999999996</v>
      </c>
      <c r="AZ28" s="2144">
        <v>3.49</v>
      </c>
      <c r="BA28" s="2144">
        <f t="shared" si="93"/>
        <v>94.600320000000011</v>
      </c>
      <c r="BB28" s="2144">
        <v>55.939</v>
      </c>
      <c r="BC28" s="3236">
        <v>6.2E-4</v>
      </c>
      <c r="BD28" s="2144">
        <v>37.688000000000002</v>
      </c>
      <c r="BE28" s="3236">
        <v>4.7200000000000002E-3</v>
      </c>
      <c r="BF28" s="2564">
        <v>0.36207</v>
      </c>
      <c r="BG28" s="2144">
        <v>0.60590999999999995</v>
      </c>
      <c r="BH28" s="2144">
        <f t="shared" si="11"/>
        <v>95.43</v>
      </c>
      <c r="BI28" s="2144">
        <v>55.45</v>
      </c>
      <c r="BJ28" s="2144">
        <v>39.979999999999997</v>
      </c>
      <c r="BK28" s="2144">
        <v>95.43</v>
      </c>
      <c r="BL28" s="2144">
        <f t="shared" si="123"/>
        <v>55.473958142470735</v>
      </c>
      <c r="BM28" s="2144">
        <f t="shared" si="124"/>
        <v>35.920215985075664</v>
      </c>
      <c r="BN28" s="2144">
        <f t="shared" si="125"/>
        <v>3.8076923773718314</v>
      </c>
      <c r="BO28" s="2144">
        <f t="shared" si="126"/>
        <v>0.22813349508176539</v>
      </c>
      <c r="BP28" s="2144">
        <f>SUM(BK28*1.046)</f>
        <v>99.819780000000009</v>
      </c>
      <c r="BQ28" s="2144">
        <f>SUM(BP28*BB50)</f>
        <v>58.724344626805056</v>
      </c>
      <c r="BR28" s="2610">
        <f>SUM(BP28*BC50)</f>
        <v>2.6560765564367043E-3</v>
      </c>
      <c r="BS28" s="2144">
        <f>SUM(BP28*BD50)</f>
        <v>40.594022947725563</v>
      </c>
      <c r="BT28" s="2144">
        <f>SUM(BP28*BE50)</f>
        <v>2.0129726744503904E-2</v>
      </c>
      <c r="BU28" s="2144">
        <f>SUM(BP28*BF50)</f>
        <v>0.20718795943801213</v>
      </c>
      <c r="BV28" s="2144">
        <f>SUM(BP28*BG50)</f>
        <v>0.27143866273044465</v>
      </c>
      <c r="BW28" s="2144">
        <f t="shared" si="95"/>
        <v>97.309971000000004</v>
      </c>
      <c r="BX28" s="2144">
        <f t="shared" si="127"/>
        <v>56.566795117877405</v>
      </c>
      <c r="BY28" s="2144">
        <f t="shared" si="128"/>
        <v>36.627844239981656</v>
      </c>
      <c r="BZ28" s="2144">
        <f t="shared" si="129"/>
        <v>3.8827039172060562</v>
      </c>
      <c r="CA28" s="2144">
        <f t="shared" si="130"/>
        <v>0.23262772493487616</v>
      </c>
      <c r="CB28" s="2144">
        <f t="shared" si="96"/>
        <v>24.494</v>
      </c>
      <c r="CC28" s="2144">
        <v>14.21</v>
      </c>
      <c r="CD28" s="2610">
        <v>4.0000000000000001E-3</v>
      </c>
      <c r="CE28" s="2144">
        <v>9.7899999999999991</v>
      </c>
      <c r="CF28" s="2144">
        <v>0.03</v>
      </c>
      <c r="CG28" s="2144">
        <v>0</v>
      </c>
      <c r="CH28" s="2144">
        <v>0.46</v>
      </c>
      <c r="CI28" s="2144">
        <f t="shared" si="97"/>
        <v>27.3</v>
      </c>
      <c r="CJ28" s="2144">
        <v>15.845280000000001</v>
      </c>
      <c r="CK28" s="2610">
        <v>4.8599999999999997E-3</v>
      </c>
      <c r="CL28" s="2144">
        <v>10.89057</v>
      </c>
      <c r="CM28" s="2144">
        <v>3.7089999999999998E-2</v>
      </c>
      <c r="CN28" s="2144">
        <v>0</v>
      </c>
      <c r="CO28" s="2144">
        <v>0.5222</v>
      </c>
      <c r="CP28" s="2144">
        <f t="shared" si="98"/>
        <v>41.697000000000003</v>
      </c>
      <c r="CQ28" s="2144">
        <v>24.16</v>
      </c>
      <c r="CR28" s="2610">
        <v>7.0000000000000001E-3</v>
      </c>
      <c r="CS28" s="2144">
        <v>16.350000000000001</v>
      </c>
      <c r="CT28" s="2144">
        <v>0.05</v>
      </c>
      <c r="CU28" s="2144">
        <v>0</v>
      </c>
      <c r="CV28" s="2144">
        <v>1.1299999999999999</v>
      </c>
      <c r="CW28" s="2144">
        <f t="shared" si="99"/>
        <v>43.178911380000002</v>
      </c>
      <c r="CX28" s="2144">
        <f>SUM(CW28*CX50)</f>
        <v>25.267065629766293</v>
      </c>
      <c r="CY28" s="2144">
        <f>SUM(CW28*CY50)</f>
        <v>7.0380696846970578E-3</v>
      </c>
      <c r="CZ28" s="2144">
        <f>SUM(CW28*CZ50)</f>
        <v>16.747310882353499</v>
      </c>
      <c r="DA28" s="2144">
        <f>SUM(CW28*DA50)</f>
        <v>4.8448243068281195E-2</v>
      </c>
      <c r="DB28" s="2144">
        <f>SUM(CW28*DB50)</f>
        <v>0</v>
      </c>
      <c r="DC28" s="2144">
        <f>SUM(CW28*DC50)</f>
        <v>1.1090485551272296</v>
      </c>
      <c r="DD28" s="2112">
        <v>27.01</v>
      </c>
      <c r="DE28" s="2112">
        <f t="shared" si="101"/>
        <v>37.639927762734196</v>
      </c>
      <c r="DF28" s="2144">
        <f t="shared" si="102"/>
        <v>37.771100000000004</v>
      </c>
      <c r="DG28" s="2144">
        <v>21.726320000000001</v>
      </c>
      <c r="DH28" s="2610">
        <v>4.4600000000000004E-3</v>
      </c>
      <c r="DI28" s="2144">
        <v>14.836169999999999</v>
      </c>
      <c r="DJ28" s="2144">
        <v>4.147E-2</v>
      </c>
      <c r="DK28" s="2144">
        <v>0</v>
      </c>
      <c r="DL28" s="2144">
        <v>1.1626799999999999</v>
      </c>
      <c r="DM28" s="2144">
        <f t="shared" si="103"/>
        <v>37.771100000000004</v>
      </c>
      <c r="DN28" s="2144">
        <v>21.726320000000001</v>
      </c>
      <c r="DO28" s="2610">
        <v>4.4600000000000004E-3</v>
      </c>
      <c r="DP28" s="2144">
        <v>14.836169999999999</v>
      </c>
      <c r="DQ28" s="2144">
        <v>4.147E-2</v>
      </c>
      <c r="DR28" s="2144">
        <v>0</v>
      </c>
      <c r="DS28" s="2144">
        <v>1.1626799999999999</v>
      </c>
      <c r="DT28" s="2144">
        <f t="shared" si="104"/>
        <v>37.775459999999995</v>
      </c>
      <c r="DU28" s="2144">
        <v>21.73</v>
      </c>
      <c r="DV28" s="2610">
        <v>4.4600000000000004E-3</v>
      </c>
      <c r="DW28" s="2144">
        <v>14.84</v>
      </c>
      <c r="DX28" s="2144">
        <v>4.1000000000000002E-2</v>
      </c>
      <c r="DY28" s="2144">
        <v>0</v>
      </c>
      <c r="DZ28" s="2144">
        <v>1.1599999999999999</v>
      </c>
      <c r="EA28" s="2144">
        <f t="shared" si="105"/>
        <v>39.267590669999997</v>
      </c>
      <c r="EB28" s="2144">
        <f>SUM(EA28*EB50)</f>
        <v>22.348964561937564</v>
      </c>
      <c r="EC28" s="2144">
        <f>SUM(EA28*EC50)</f>
        <v>5.4642966691930521E-3</v>
      </c>
      <c r="ED28" s="2144">
        <f>SUM(EA28*ED50)</f>
        <v>15.909579390163758</v>
      </c>
      <c r="EE28" s="2144">
        <f>SUM(EA28*EE50)</f>
        <v>4.4503674006360197E-2</v>
      </c>
      <c r="EF28" s="2144">
        <f>SUM(EA28*EF50)</f>
        <v>0</v>
      </c>
      <c r="EG28" s="2144">
        <f>SUM(EA28*EG50)</f>
        <v>0.95907874722311348</v>
      </c>
      <c r="EH28" s="2112">
        <f t="shared" si="131"/>
        <v>61.532626149719299</v>
      </c>
      <c r="EI28" s="2112">
        <f t="shared" si="106"/>
        <v>39.843293960570264</v>
      </c>
      <c r="EJ28" s="3953" t="s">
        <v>2054</v>
      </c>
      <c r="EK28" s="2144">
        <f t="shared" si="107"/>
        <v>75.799350000000004</v>
      </c>
      <c r="EL28" s="2144">
        <v>44.139360000000003</v>
      </c>
      <c r="EM28" s="2610">
        <v>9.8899999999999995E-3</v>
      </c>
      <c r="EN28" s="2144">
        <v>30.829660000000001</v>
      </c>
      <c r="EO28" s="2144">
        <v>8.0810000000000007E-2</v>
      </c>
      <c r="EP28" s="2144">
        <v>0</v>
      </c>
      <c r="EQ28" s="2144">
        <v>0.73963000000000001</v>
      </c>
      <c r="ER28" s="2144">
        <f t="shared" si="108"/>
        <v>89.793840000000003</v>
      </c>
      <c r="ES28" s="2144">
        <v>52.084000000000003</v>
      </c>
      <c r="ET28" s="2610">
        <v>1.167E-2</v>
      </c>
      <c r="EU28" s="2144">
        <v>36.44</v>
      </c>
      <c r="EV28" s="2144">
        <v>9.5490000000000005E-2</v>
      </c>
      <c r="EW28" s="2144">
        <v>0</v>
      </c>
      <c r="EX28" s="2144">
        <v>1.1626799999999999</v>
      </c>
      <c r="EY28" s="2144">
        <v>101.806</v>
      </c>
      <c r="EZ28" s="2144">
        <v>57.405999999999999</v>
      </c>
      <c r="FA28" s="2610">
        <v>1.255E-2</v>
      </c>
      <c r="FB28" s="2144">
        <v>40.093000000000004</v>
      </c>
      <c r="FC28" s="2144">
        <v>0.106</v>
      </c>
      <c r="FD28" s="3862">
        <v>0</v>
      </c>
      <c r="FE28" s="3862">
        <v>1.1599999999999999</v>
      </c>
      <c r="FF28" s="2447">
        <f t="shared" si="148"/>
        <v>115.24596999300002</v>
      </c>
      <c r="FG28" s="2447">
        <f t="shared" si="149"/>
        <v>64.984481793</v>
      </c>
      <c r="FH28" s="2447">
        <f t="shared" si="150"/>
        <v>1.4206794525000002E-2</v>
      </c>
      <c r="FI28" s="2447">
        <f t="shared" si="151"/>
        <v>45.385897441500006</v>
      </c>
      <c r="FJ28" s="2447">
        <f t="shared" si="152"/>
        <v>0.11999364300000001</v>
      </c>
      <c r="FK28" s="2447">
        <f>SUM(FF28*FK50)</f>
        <v>0</v>
      </c>
      <c r="FL28" s="2447">
        <f>SUM(FF28*FL50)</f>
        <v>2.3522860677989992</v>
      </c>
      <c r="FM28" s="3512">
        <f t="shared" si="157"/>
        <v>70.981386844731418</v>
      </c>
      <c r="FN28" s="3512">
        <f t="shared" si="158"/>
        <v>45.961507557019658</v>
      </c>
      <c r="FO28" s="4760">
        <v>21.28173</v>
      </c>
      <c r="FP28" s="4761">
        <v>5.11E-3</v>
      </c>
      <c r="FQ28" s="4760">
        <v>15.09806</v>
      </c>
      <c r="FR28" s="4760">
        <v>3.671E-2</v>
      </c>
      <c r="FS28" s="4760">
        <v>65.597110000000001</v>
      </c>
      <c r="FT28" s="4761">
        <v>8.2699999999999996E-3</v>
      </c>
      <c r="FU28" s="4760">
        <v>48.962829999999997</v>
      </c>
      <c r="FV28" s="4760">
        <v>0.14513999999999999</v>
      </c>
    </row>
    <row r="29" spans="1:178" ht="29.25" customHeight="1" x14ac:dyDescent="0.2">
      <c r="A29" s="3234" t="s">
        <v>76</v>
      </c>
      <c r="B29" s="3110">
        <v>137.4</v>
      </c>
      <c r="C29" s="3110">
        <v>94</v>
      </c>
      <c r="D29" s="2139">
        <f t="shared" si="159"/>
        <v>68.413391557496368</v>
      </c>
      <c r="E29" s="3110">
        <v>244.8</v>
      </c>
      <c r="F29" s="2139">
        <f t="shared" si="160"/>
        <v>260.42553191489361</v>
      </c>
      <c r="G29" s="2140">
        <v>193</v>
      </c>
      <c r="H29" s="2139">
        <f t="shared" si="161"/>
        <v>78.83986928104575</v>
      </c>
      <c r="I29" s="2141">
        <v>173</v>
      </c>
      <c r="J29" s="2141">
        <v>160.1</v>
      </c>
      <c r="K29" s="2141">
        <v>173</v>
      </c>
      <c r="L29" s="2141">
        <v>260.3</v>
      </c>
      <c r="M29" s="2145">
        <f t="shared" ref="M29:M42" si="163">K29/G29*100</f>
        <v>89.637305699481857</v>
      </c>
      <c r="N29" s="2141">
        <v>181.47699999999998</v>
      </c>
      <c r="O29" s="2141">
        <v>149</v>
      </c>
      <c r="P29" s="2141">
        <v>248.34370000000001</v>
      </c>
      <c r="Q29" s="2141">
        <v>301.60000000000002</v>
      </c>
      <c r="R29" s="2141">
        <v>267.8</v>
      </c>
      <c r="S29" s="2140">
        <f>R29</f>
        <v>267.8</v>
      </c>
      <c r="T29" s="2143">
        <f t="shared" si="162"/>
        <v>1.4756690930531144</v>
      </c>
      <c r="U29" s="2144" t="e">
        <f>R29*#REF!</f>
        <v>#REF!</v>
      </c>
      <c r="V29" s="2144" t="e">
        <f>R29*#REF!</f>
        <v>#REF!</v>
      </c>
      <c r="W29" s="2144">
        <f t="shared" si="117"/>
        <v>152.90819422363538</v>
      </c>
      <c r="X29" s="2144">
        <f t="shared" si="118"/>
        <v>108.60748211446739</v>
      </c>
      <c r="Y29" s="2144">
        <v>116.11</v>
      </c>
      <c r="Z29" s="2144">
        <v>154.02000000000001</v>
      </c>
      <c r="AA29" s="2144">
        <v>224.47</v>
      </c>
      <c r="AB29" s="2141">
        <v>279.7</v>
      </c>
      <c r="AC29" s="2140">
        <f>AB29</f>
        <v>279.7</v>
      </c>
      <c r="AD29" s="2144">
        <f t="shared" si="119"/>
        <v>165.58217077524574</v>
      </c>
      <c r="AE29" s="2144">
        <f t="shared" si="120"/>
        <v>111.88018049193246</v>
      </c>
      <c r="AF29" s="3233">
        <f t="shared" si="154"/>
        <v>1.0828861828887606</v>
      </c>
      <c r="AG29" s="3233">
        <f t="shared" si="155"/>
        <v>1.030133268111453</v>
      </c>
      <c r="AH29" s="2144">
        <v>23.43</v>
      </c>
      <c r="AI29" s="2144">
        <v>23.43</v>
      </c>
      <c r="AJ29" s="2140">
        <f t="shared" si="153"/>
        <v>246.91700000000003</v>
      </c>
      <c r="AK29" s="2144">
        <f>AJ29*AI56</f>
        <v>147.162532</v>
      </c>
      <c r="AL29" s="2144">
        <f>AJ29*AI57</f>
        <v>99.754468000000017</v>
      </c>
      <c r="AM29" s="3233">
        <f t="shared" si="156"/>
        <v>0.88875832048217451</v>
      </c>
      <c r="AN29" s="3233">
        <f t="shared" si="156"/>
        <v>0.89161876179841504</v>
      </c>
      <c r="AO29" s="2567">
        <f>AH29*2*1.062</f>
        <v>49.765320000000003</v>
      </c>
      <c r="AP29" s="2144">
        <f t="shared" si="121"/>
        <v>27.080046854250874</v>
      </c>
      <c r="AQ29" s="2144">
        <f t="shared" si="122"/>
        <v>22.417092936217713</v>
      </c>
      <c r="AR29" s="2144">
        <f t="shared" si="7"/>
        <v>217.63</v>
      </c>
      <c r="AS29" s="2144">
        <v>128.4</v>
      </c>
      <c r="AT29" s="2144">
        <v>89.23</v>
      </c>
      <c r="AU29" s="2144">
        <f t="shared" si="8"/>
        <v>56.614000000000004</v>
      </c>
      <c r="AV29" s="2144">
        <v>32.836120000000001</v>
      </c>
      <c r="AW29" s="2144">
        <v>23.77788</v>
      </c>
      <c r="AX29" s="2144">
        <f t="shared" si="137"/>
        <v>54.319999999999993</v>
      </c>
      <c r="AY29" s="2144">
        <v>32.049999999999997</v>
      </c>
      <c r="AZ29" s="2144">
        <v>22.27</v>
      </c>
      <c r="BA29" s="2144">
        <f t="shared" si="93"/>
        <v>189.76743000000002</v>
      </c>
      <c r="BB29" s="2144">
        <v>110.333</v>
      </c>
      <c r="BC29" s="3236">
        <v>5.6600000000000001E-3</v>
      </c>
      <c r="BD29" s="2144">
        <v>78.641000000000005</v>
      </c>
      <c r="BE29" s="2564">
        <v>4.299E-2</v>
      </c>
      <c r="BF29" s="2564">
        <v>0.28358</v>
      </c>
      <c r="BG29" s="2144">
        <v>0.4612</v>
      </c>
      <c r="BH29" s="2144">
        <f t="shared" si="11"/>
        <v>60.06</v>
      </c>
      <c r="BI29" s="2144">
        <v>34.9</v>
      </c>
      <c r="BJ29" s="2144">
        <v>25.16</v>
      </c>
      <c r="BK29" s="2144">
        <v>60.06</v>
      </c>
      <c r="BL29" s="2144">
        <f t="shared" si="123"/>
        <v>34.913192141221757</v>
      </c>
      <c r="BM29" s="2144">
        <f t="shared" si="124"/>
        <v>22.606813078315461</v>
      </c>
      <c r="BN29" s="2144">
        <f t="shared" si="125"/>
        <v>2.396416265167685</v>
      </c>
      <c r="BO29" s="2144">
        <f t="shared" si="126"/>
        <v>0.14357851529509408</v>
      </c>
      <c r="BP29" s="2144">
        <f>SUM(BA29*1.046)</f>
        <v>198.49673178000003</v>
      </c>
      <c r="BQ29" s="2144">
        <f>SUM(BP29*BB50)</f>
        <v>116.77635919797868</v>
      </c>
      <c r="BR29" s="2564">
        <f>SUM(BP29*BC50)</f>
        <v>5.2817439169888227E-3</v>
      </c>
      <c r="BS29" s="2144">
        <f>SUM(BP29*BD50)</f>
        <v>80.723288359540035</v>
      </c>
      <c r="BT29" s="2610">
        <f>SUM(BP29*BE50)</f>
        <v>4.0028989949772324E-2</v>
      </c>
      <c r="BU29" s="2144">
        <f>SUM(BP29*BF50)</f>
        <v>0.41200384144918589</v>
      </c>
      <c r="BV29" s="2144">
        <f>SUM(BP29*BG50)</f>
        <v>0.539769647165391</v>
      </c>
      <c r="BW29" s="2144">
        <f t="shared" si="95"/>
        <v>61.243182000000004</v>
      </c>
      <c r="BX29" s="2144">
        <f t="shared" si="127"/>
        <v>35.600982026403827</v>
      </c>
      <c r="BY29" s="2144">
        <f t="shared" si="128"/>
        <v>23.052167295958277</v>
      </c>
      <c r="BZ29" s="2144">
        <f t="shared" si="129"/>
        <v>2.4436256655914885</v>
      </c>
      <c r="CA29" s="2144">
        <f t="shared" si="130"/>
        <v>0.14640701204640744</v>
      </c>
      <c r="CB29" s="2144">
        <f t="shared" si="96"/>
        <v>72.639999999999986</v>
      </c>
      <c r="CC29" s="2144">
        <v>42.35</v>
      </c>
      <c r="CD29" s="2144">
        <v>0.01</v>
      </c>
      <c r="CE29" s="2144">
        <v>28.83</v>
      </c>
      <c r="CF29" s="2144">
        <v>0.1</v>
      </c>
      <c r="CG29" s="2144">
        <v>0</v>
      </c>
      <c r="CH29" s="2144">
        <v>1.35</v>
      </c>
      <c r="CI29" s="2144">
        <f t="shared" si="97"/>
        <v>99.834999999999994</v>
      </c>
      <c r="CJ29" s="2144">
        <v>58.69885</v>
      </c>
      <c r="CK29" s="2144">
        <v>1.788E-2</v>
      </c>
      <c r="CL29" s="2144">
        <v>39.065600000000003</v>
      </c>
      <c r="CM29" s="2144">
        <v>0.11083999999999999</v>
      </c>
      <c r="CN29" s="2144">
        <v>0</v>
      </c>
      <c r="CO29" s="2144">
        <v>1.9418299999999999</v>
      </c>
      <c r="CP29" s="2144">
        <f t="shared" si="98"/>
        <v>173.76999999999995</v>
      </c>
      <c r="CQ29" s="2144">
        <v>101.49</v>
      </c>
      <c r="CR29" s="2144">
        <v>0.03</v>
      </c>
      <c r="CS29" s="2144">
        <v>66.88</v>
      </c>
      <c r="CT29" s="2144">
        <v>0.2</v>
      </c>
      <c r="CU29" s="2144">
        <v>0</v>
      </c>
      <c r="CV29" s="2144">
        <v>5.17</v>
      </c>
      <c r="CW29" s="2144">
        <f t="shared" si="99"/>
        <v>179.94578579999995</v>
      </c>
      <c r="CX29" s="2144">
        <f>SUM(CW29*CX50)</f>
        <v>105.29913409800434</v>
      </c>
      <c r="CY29" s="2144">
        <f>SUM(CW29*CY50)</f>
        <v>2.9330776053668305E-2</v>
      </c>
      <c r="CZ29" s="2144">
        <f>SUM(CW29*CZ50)</f>
        <v>69.793515409419541</v>
      </c>
      <c r="DA29" s="2144">
        <f>SUM(CW29*DA50)</f>
        <v>0.20190544158992782</v>
      </c>
      <c r="DB29" s="2144">
        <f>SUM(CW29*DB50)</f>
        <v>0</v>
      </c>
      <c r="DC29" s="2144">
        <f>SUM(CW29*DC50)</f>
        <v>4.6219000749324559</v>
      </c>
      <c r="DD29" s="2112">
        <f t="shared" si="100"/>
        <v>36.584691771008508</v>
      </c>
      <c r="DE29" s="2112">
        <f t="shared" si="101"/>
        <v>23.689134039922621</v>
      </c>
      <c r="DF29" s="2144">
        <f t="shared" si="102"/>
        <v>56.569340000000011</v>
      </c>
      <c r="DG29" s="2144">
        <v>32.153460000000003</v>
      </c>
      <c r="DH29" s="2144">
        <v>8.09E-3</v>
      </c>
      <c r="DI29" s="2144">
        <v>22.611979999999999</v>
      </c>
      <c r="DJ29" s="2144">
        <v>6.0560000000000003E-2</v>
      </c>
      <c r="DK29" s="2144">
        <v>0</v>
      </c>
      <c r="DL29" s="2144">
        <v>1.73525</v>
      </c>
      <c r="DM29" s="2144">
        <f t="shared" si="103"/>
        <v>94.065180000000012</v>
      </c>
      <c r="DN29" s="2144">
        <v>53.373699999999999</v>
      </c>
      <c r="DO29" s="2144">
        <v>1.695E-2</v>
      </c>
      <c r="DP29" s="2144">
        <v>37.91095</v>
      </c>
      <c r="DQ29" s="2144">
        <v>0.10646</v>
      </c>
      <c r="DR29" s="2144">
        <v>0</v>
      </c>
      <c r="DS29" s="2144">
        <v>2.6571199999999999</v>
      </c>
      <c r="DT29" s="2144">
        <f t="shared" si="104"/>
        <v>140.33999999999997</v>
      </c>
      <c r="DU29" s="2144">
        <v>79.66</v>
      </c>
      <c r="DV29" s="2144">
        <v>0.02</v>
      </c>
      <c r="DW29" s="2144">
        <v>57.21</v>
      </c>
      <c r="DX29" s="2144">
        <v>0.17</v>
      </c>
      <c r="DY29" s="2144">
        <v>0</v>
      </c>
      <c r="DZ29" s="2144">
        <v>3.28</v>
      </c>
      <c r="EA29" s="2144">
        <f t="shared" si="105"/>
        <v>145.88342999999998</v>
      </c>
      <c r="EB29" s="2144">
        <f>SUM(EA29*EB50)</f>
        <v>83.028868122911476</v>
      </c>
      <c r="EC29" s="2144">
        <f>SUM(EA29*EC50)</f>
        <v>2.0300464760840842E-2</v>
      </c>
      <c r="ED29" s="2144">
        <f>SUM(EA29*ED50)</f>
        <v>59.105842036485633</v>
      </c>
      <c r="EE29" s="2144">
        <f>SUM(EA29*EE50)</f>
        <v>0.16533605706065763</v>
      </c>
      <c r="EF29" s="2144">
        <f>SUM(EA29*EF50)</f>
        <v>0</v>
      </c>
      <c r="EG29" s="2144">
        <f>SUM(EA29*EG50)</f>
        <v>3.5630833187813393</v>
      </c>
      <c r="EH29" s="2112">
        <f t="shared" si="131"/>
        <v>38.726286561376305</v>
      </c>
      <c r="EI29" s="2112">
        <f t="shared" si="106"/>
        <v>25.075848635354188</v>
      </c>
      <c r="EJ29" s="3953" t="s">
        <v>2054</v>
      </c>
      <c r="EK29" s="2144">
        <f t="shared" si="107"/>
        <v>47.696120000000001</v>
      </c>
      <c r="EL29" s="2144">
        <v>27.56362</v>
      </c>
      <c r="EM29" s="2144">
        <v>5.8999999999999999E-3</v>
      </c>
      <c r="EN29" s="2144">
        <v>19.768820000000002</v>
      </c>
      <c r="EO29" s="2144">
        <v>4.8590000000000001E-2</v>
      </c>
      <c r="EP29" s="2144">
        <v>0</v>
      </c>
      <c r="EQ29" s="2144">
        <v>0.30919000000000002</v>
      </c>
      <c r="ER29" s="2144">
        <f t="shared" si="108"/>
        <v>91.679090000000002</v>
      </c>
      <c r="ES29" s="2144">
        <v>51.578000000000003</v>
      </c>
      <c r="ET29" s="2144">
        <v>1.2999999999999999E-2</v>
      </c>
      <c r="EU29" s="2144">
        <v>37.338000000000001</v>
      </c>
      <c r="EV29" s="2144">
        <v>9.2969999999999997E-2</v>
      </c>
      <c r="EW29" s="2144">
        <v>0</v>
      </c>
      <c r="EX29" s="2144">
        <v>2.6571199999999999</v>
      </c>
      <c r="EY29" s="2144">
        <v>139.10400000000001</v>
      </c>
      <c r="EZ29" s="2144">
        <v>77.186000000000007</v>
      </c>
      <c r="FA29" s="2144">
        <v>1.8509999999999999E-2</v>
      </c>
      <c r="FB29" s="2144">
        <v>55.587000000000003</v>
      </c>
      <c r="FC29" s="2144">
        <v>0.13900000000000001</v>
      </c>
      <c r="FD29" s="3862">
        <v>0</v>
      </c>
      <c r="FE29" s="3862">
        <v>3.28</v>
      </c>
      <c r="FF29" s="2447">
        <f t="shared" si="148"/>
        <v>157.46788411200001</v>
      </c>
      <c r="FG29" s="2447">
        <f t="shared" si="149"/>
        <v>87.375748383000015</v>
      </c>
      <c r="FH29" s="2447">
        <f t="shared" si="150"/>
        <v>2.0953606905000002E-2</v>
      </c>
      <c r="FI29" s="2447">
        <f t="shared" si="151"/>
        <v>62.925345598500002</v>
      </c>
      <c r="FJ29" s="2447">
        <f t="shared" si="152"/>
        <v>0.15735015450000003</v>
      </c>
      <c r="FK29" s="2447">
        <f>SUM(FF29*FK50)</f>
        <v>0</v>
      </c>
      <c r="FL29" s="2447">
        <f>SUM(FF29*FL50)</f>
        <v>3.2140777672741483</v>
      </c>
      <c r="FM29" s="3512">
        <f t="shared" si="157"/>
        <v>44.672975939375142</v>
      </c>
      <c r="FN29" s="3512">
        <f t="shared" si="158"/>
        <v>28.92641877684796</v>
      </c>
      <c r="FO29" s="4760">
        <v>62.99324</v>
      </c>
      <c r="FP29" s="4760">
        <v>1.5520000000000001E-2</v>
      </c>
      <c r="FQ29" s="4760">
        <v>45.6873</v>
      </c>
      <c r="FR29" s="4760">
        <v>0.11491999999999999</v>
      </c>
      <c r="FS29" s="4760">
        <v>88.805589999999995</v>
      </c>
      <c r="FT29" s="4760">
        <v>1.635E-2</v>
      </c>
      <c r="FU29" s="4760">
        <v>64.481369999999998</v>
      </c>
      <c r="FV29" s="4760">
        <v>0.17176</v>
      </c>
    </row>
    <row r="30" spans="1:178" ht="24" customHeight="1" x14ac:dyDescent="0.2">
      <c r="A30" s="3234" t="s">
        <v>39</v>
      </c>
      <c r="B30" s="3110">
        <v>58.4</v>
      </c>
      <c r="C30" s="3110">
        <v>137.5</v>
      </c>
      <c r="D30" s="2139">
        <f t="shared" si="159"/>
        <v>235.44520547945206</v>
      </c>
      <c r="E30" s="3110">
        <v>37.6</v>
      </c>
      <c r="F30" s="2139">
        <f t="shared" si="160"/>
        <v>27.345454545454544</v>
      </c>
      <c r="G30" s="2140">
        <f>54.2</f>
        <v>54.2</v>
      </c>
      <c r="H30" s="2139">
        <f t="shared" si="161"/>
        <v>144.14893617021275</v>
      </c>
      <c r="I30" s="2141">
        <v>44</v>
      </c>
      <c r="J30" s="2141">
        <v>19.100000000000001</v>
      </c>
      <c r="K30" s="2141">
        <v>54.2</v>
      </c>
      <c r="L30" s="2141">
        <v>41.7</v>
      </c>
      <c r="M30" s="2145">
        <f t="shared" si="163"/>
        <v>100</v>
      </c>
      <c r="N30" s="2141">
        <v>46.155999999999999</v>
      </c>
      <c r="O30" s="2141">
        <v>49</v>
      </c>
      <c r="P30" s="2141">
        <v>48.979590000000002</v>
      </c>
      <c r="Q30" s="2141">
        <v>55.7</v>
      </c>
      <c r="R30" s="2141">
        <v>48.51</v>
      </c>
      <c r="S30" s="2140">
        <f>R30</f>
        <v>48.51</v>
      </c>
      <c r="T30" s="2143">
        <f t="shared" si="162"/>
        <v>1.0510009532888465</v>
      </c>
      <c r="U30" s="2144" t="e">
        <f>R30*#REF!</f>
        <v>#REF!</v>
      </c>
      <c r="V30" s="2144" t="e">
        <f>R30*#REF!</f>
        <v>#REF!</v>
      </c>
      <c r="W30" s="2144">
        <f t="shared" si="117"/>
        <v>27.698194554848961</v>
      </c>
      <c r="X30" s="2144">
        <f t="shared" si="118"/>
        <v>19.673446442766291</v>
      </c>
      <c r="Y30" s="2144">
        <v>30.64</v>
      </c>
      <c r="Z30" s="2144">
        <v>42.99</v>
      </c>
      <c r="AA30" s="2144">
        <v>35.770000000000003</v>
      </c>
      <c r="AB30" s="2141">
        <v>52.5</v>
      </c>
      <c r="AC30" s="2140">
        <f>AB30</f>
        <v>52.5</v>
      </c>
      <c r="AD30" s="2144">
        <f t="shared" si="119"/>
        <v>31.079956974259574</v>
      </c>
      <c r="AE30" s="2144">
        <f t="shared" si="120"/>
        <v>21.000033878535767</v>
      </c>
      <c r="AF30" s="3233">
        <f t="shared" si="154"/>
        <v>1.1220932437568782</v>
      </c>
      <c r="AG30" s="3233">
        <f t="shared" si="155"/>
        <v>1.0674303528682056</v>
      </c>
      <c r="AH30" s="2144">
        <v>5.1100000000000003</v>
      </c>
      <c r="AI30" s="2144">
        <v>14.88</v>
      </c>
      <c r="AJ30" s="2140">
        <f t="shared" si="153"/>
        <v>39.347000000000008</v>
      </c>
      <c r="AK30" s="2144">
        <f>AJ30*AI56</f>
        <v>23.450812000000003</v>
      </c>
      <c r="AL30" s="2144">
        <f>AJ30*AI57</f>
        <v>15.896188000000004</v>
      </c>
      <c r="AM30" s="3233">
        <f t="shared" si="156"/>
        <v>0.75453167517001296</v>
      </c>
      <c r="AN30" s="3233">
        <f t="shared" si="156"/>
        <v>0.75696011215713188</v>
      </c>
      <c r="AO30" s="2567">
        <f>AI30/3*4*1.062</f>
        <v>21.070080000000001</v>
      </c>
      <c r="AP30" s="2144">
        <f t="shared" si="121"/>
        <v>11.465389022371689</v>
      </c>
      <c r="AQ30" s="2144">
        <f t="shared" si="122"/>
        <v>9.491146475769515</v>
      </c>
      <c r="AR30" s="2144">
        <f t="shared" si="7"/>
        <v>34.229999999999997</v>
      </c>
      <c r="AS30" s="2144">
        <v>20.2</v>
      </c>
      <c r="AT30" s="2144">
        <v>14.03</v>
      </c>
      <c r="AU30" s="2144">
        <f t="shared" si="8"/>
        <v>67.195779999999999</v>
      </c>
      <c r="AV30" s="2144">
        <v>38.973550000000003</v>
      </c>
      <c r="AW30" s="2144">
        <v>28.22223</v>
      </c>
      <c r="AX30" s="2144">
        <f t="shared" si="137"/>
        <v>23</v>
      </c>
      <c r="AY30" s="2144">
        <v>13.57</v>
      </c>
      <c r="AZ30" s="2144">
        <v>9.43</v>
      </c>
      <c r="BA30" s="2144">
        <f t="shared" si="93"/>
        <v>115.66470000000001</v>
      </c>
      <c r="BB30" s="2144">
        <v>68.122</v>
      </c>
      <c r="BC30" s="2610">
        <v>5.8999999999999999E-3</v>
      </c>
      <c r="BD30" s="2144">
        <v>46.295999999999999</v>
      </c>
      <c r="BE30" s="2610">
        <v>4.4630000000000003E-2</v>
      </c>
      <c r="BF30" s="2564">
        <v>0.55661000000000005</v>
      </c>
      <c r="BG30" s="2144">
        <v>0.63956000000000002</v>
      </c>
      <c r="BH30" s="2144">
        <f t="shared" si="11"/>
        <v>71.28</v>
      </c>
      <c r="BI30" s="2144">
        <v>41.42</v>
      </c>
      <c r="BJ30" s="2144">
        <v>29.86</v>
      </c>
      <c r="BK30" s="2144">
        <f>BH30</f>
        <v>71.28</v>
      </c>
      <c r="BL30" s="2144">
        <f t="shared" si="123"/>
        <v>41.435436826944503</v>
      </c>
      <c r="BM30" s="2144">
        <f t="shared" si="124"/>
        <v>26.830063873165603</v>
      </c>
      <c r="BN30" s="2144">
        <f t="shared" si="125"/>
        <v>2.8440984245946153</v>
      </c>
      <c r="BO30" s="2144">
        <f t="shared" si="126"/>
        <v>0.1704008752952765</v>
      </c>
      <c r="BP30" s="2144">
        <f>SUM(BA30*1.046)</f>
        <v>120.98527620000002</v>
      </c>
      <c r="BQ30" s="2144">
        <f>SUM(BP30*BB50)</f>
        <v>71.176084082112737</v>
      </c>
      <c r="BR30" s="2564">
        <f>SUM(BP30*BC50)</f>
        <v>3.2192633142333069E-3</v>
      </c>
      <c r="BS30" s="2144">
        <f>SUM(BP30*BD50)</f>
        <v>49.201461658197566</v>
      </c>
      <c r="BT30" s="2610">
        <f>SUM(BP30*BE50)</f>
        <v>2.4397975531646451E-2</v>
      </c>
      <c r="BU30" s="2144">
        <f>SUM(BP30*BF50)</f>
        <v>0.25111949252865812</v>
      </c>
      <c r="BV30" s="2144">
        <f>SUM(BP30*BG50)</f>
        <v>0.32899372831518453</v>
      </c>
      <c r="BW30" s="2144">
        <f t="shared" si="95"/>
        <v>72.684216000000006</v>
      </c>
      <c r="BX30" s="2144">
        <f t="shared" si="127"/>
        <v>42.251714932435313</v>
      </c>
      <c r="BY30" s="2144">
        <f t="shared" si="128"/>
        <v>27.358616131466967</v>
      </c>
      <c r="BZ30" s="2144">
        <f t="shared" si="129"/>
        <v>2.9001271635591293</v>
      </c>
      <c r="CA30" s="2144">
        <f t="shared" si="130"/>
        <v>0.17375777253859345</v>
      </c>
      <c r="CB30" s="2144">
        <f t="shared" si="96"/>
        <v>49.607999999999997</v>
      </c>
      <c r="CC30" s="2144">
        <v>28.7</v>
      </c>
      <c r="CD30" s="2144">
        <v>8.0000000000000002E-3</v>
      </c>
      <c r="CE30" s="2144">
        <v>19.940000000000001</v>
      </c>
      <c r="CF30" s="2144">
        <v>0.06</v>
      </c>
      <c r="CG30" s="2144">
        <v>0</v>
      </c>
      <c r="CH30" s="2144">
        <v>0.9</v>
      </c>
      <c r="CI30" s="2144">
        <f t="shared" si="97"/>
        <v>49.911629999999995</v>
      </c>
      <c r="CJ30" s="2144">
        <v>28.880839999999999</v>
      </c>
      <c r="CK30" s="2144">
        <v>8.0700000000000008E-3</v>
      </c>
      <c r="CL30" s="2144">
        <v>20.056460000000001</v>
      </c>
      <c r="CM30" s="2144">
        <v>6.0130000000000003E-2</v>
      </c>
      <c r="CN30" s="2144">
        <v>0</v>
      </c>
      <c r="CO30" s="2144">
        <v>0.90612999999999999</v>
      </c>
      <c r="CP30" s="2144">
        <f t="shared" si="98"/>
        <v>59.039000000000001</v>
      </c>
      <c r="CQ30" s="2144">
        <v>34.14</v>
      </c>
      <c r="CR30" s="2144">
        <v>8.9999999999999993E-3</v>
      </c>
      <c r="CS30" s="2144">
        <v>23.56</v>
      </c>
      <c r="CT30" s="2144">
        <v>7.0000000000000007E-2</v>
      </c>
      <c r="CU30" s="2144">
        <v>0</v>
      </c>
      <c r="CV30" s="2144">
        <v>1.26</v>
      </c>
      <c r="CW30" s="2144">
        <f t="shared" si="99"/>
        <v>61.137246060000003</v>
      </c>
      <c r="CX30" s="2144">
        <f>SUM(CW30*CX50)</f>
        <v>35.775770144513324</v>
      </c>
      <c r="CY30" s="2144">
        <f>SUM(CW30*CY50)</f>
        <v>9.9652396123181431E-3</v>
      </c>
      <c r="CZ30" s="2144">
        <f>SUM(CW30*CZ50)</f>
        <v>23.712604916019576</v>
      </c>
      <c r="DA30" s="2144">
        <f>SUM(CW30*DA50)</f>
        <v>6.8598120308613411E-2</v>
      </c>
      <c r="DB30" s="2144">
        <f>SUM(CW30*DB50)</f>
        <v>0</v>
      </c>
      <c r="DC30" s="2144">
        <f>SUM(CW30*DC50)</f>
        <v>1.5703076395461664</v>
      </c>
      <c r="DD30" s="2112">
        <v>31.14</v>
      </c>
      <c r="DE30" s="2112">
        <f t="shared" si="101"/>
        <v>28.114576662765312</v>
      </c>
      <c r="DF30" s="2144">
        <f t="shared" si="102"/>
        <v>7.2713999999999999</v>
      </c>
      <c r="DG30" s="2144">
        <v>4.1598800000000002</v>
      </c>
      <c r="DH30" s="2610">
        <v>7.9000000000000001E-4</v>
      </c>
      <c r="DI30" s="2144">
        <v>2.8305099999999999</v>
      </c>
      <c r="DJ30" s="2144">
        <v>7.5700000000000003E-2</v>
      </c>
      <c r="DK30" s="2144">
        <v>0</v>
      </c>
      <c r="DL30" s="2144">
        <v>0.20452000000000001</v>
      </c>
      <c r="DM30" s="2144">
        <f t="shared" si="103"/>
        <v>7.2032699999999998</v>
      </c>
      <c r="DN30" s="2144">
        <v>4.1598800000000002</v>
      </c>
      <c r="DO30" s="2144">
        <v>7.9000000000000001E-4</v>
      </c>
      <c r="DP30" s="2144">
        <v>2.8305099999999999</v>
      </c>
      <c r="DQ30" s="2144">
        <v>7.5700000000000003E-3</v>
      </c>
      <c r="DR30" s="2144">
        <v>0</v>
      </c>
      <c r="DS30" s="2144">
        <v>0.20452000000000001</v>
      </c>
      <c r="DT30" s="2144">
        <f t="shared" si="104"/>
        <v>7.2043600000000003</v>
      </c>
      <c r="DU30" s="2144">
        <f>4.16</f>
        <v>4.16</v>
      </c>
      <c r="DV30" s="2144">
        <v>7.9000000000000001E-4</v>
      </c>
      <c r="DW30" s="2144">
        <v>2.831</v>
      </c>
      <c r="DX30" s="2144">
        <v>7.5700000000000003E-3</v>
      </c>
      <c r="DY30" s="2144">
        <v>0</v>
      </c>
      <c r="DZ30" s="2144">
        <v>0.20499999999999999</v>
      </c>
      <c r="EA30" s="2144">
        <f t="shared" si="105"/>
        <v>7.4889322200000006</v>
      </c>
      <c r="EB30" s="2144">
        <f>SUM(EA30*EB50)</f>
        <v>4.2622905540115337</v>
      </c>
      <c r="EC30" s="2144">
        <f>SUM(EA30*EC50)</f>
        <v>1.0421252408750988E-3</v>
      </c>
      <c r="ED30" s="2144">
        <f>SUM(EA30*ED50)</f>
        <v>3.0342009700297545</v>
      </c>
      <c r="EE30" s="2144">
        <f>SUM(EA30*EE50)</f>
        <v>8.4875336756841929E-3</v>
      </c>
      <c r="EF30" s="2144">
        <f>SUM(EA30*EF50)</f>
        <v>0</v>
      </c>
      <c r="EG30" s="2144">
        <f>SUM(EA30*EG50)</f>
        <v>0.18291103704215145</v>
      </c>
      <c r="EH30" s="2112">
        <f t="shared" si="131"/>
        <v>45.960867567347705</v>
      </c>
      <c r="EI30" s="2112">
        <f t="shared" si="106"/>
        <v>29.760347830969806</v>
      </c>
      <c r="EJ30" s="3953" t="s">
        <v>2054</v>
      </c>
      <c r="EK30" s="2144">
        <f t="shared" si="107"/>
        <v>11.407699999999998</v>
      </c>
      <c r="EL30" s="2144">
        <f>4.29406+2.38534</f>
        <v>6.6793999999999993</v>
      </c>
      <c r="EM30" s="2610">
        <f>0.00099+0.00051</f>
        <v>1.5E-3</v>
      </c>
      <c r="EN30" s="2144">
        <f>1.6315+2.96119</f>
        <v>4.5926900000000002</v>
      </c>
      <c r="EO30" s="2144">
        <v>1.268E-2</v>
      </c>
      <c r="EP30" s="2144">
        <v>0</v>
      </c>
      <c r="EQ30" s="2144">
        <f>0.07089+0.05054</f>
        <v>0.12143</v>
      </c>
      <c r="ER30" s="2144">
        <f t="shared" si="108"/>
        <v>34.214280000000009</v>
      </c>
      <c r="ES30" s="2144">
        <v>19.984000000000002</v>
      </c>
      <c r="ET30" s="2144">
        <v>4.3699999999999998E-3</v>
      </c>
      <c r="EU30" s="2144">
        <v>13.986000000000001</v>
      </c>
      <c r="EV30" s="2144">
        <v>3.5389999999999998E-2</v>
      </c>
      <c r="EW30" s="2144">
        <v>0</v>
      </c>
      <c r="EX30" s="2144">
        <v>0.20452000000000001</v>
      </c>
      <c r="EY30" s="2144">
        <v>61.128</v>
      </c>
      <c r="EZ30" s="2144">
        <v>34.164999999999999</v>
      </c>
      <c r="FA30" s="2144">
        <v>7.3800000000000003E-3</v>
      </c>
      <c r="FB30" s="2144">
        <v>24.195</v>
      </c>
      <c r="FC30" s="2144">
        <v>5.9799999999999999E-2</v>
      </c>
      <c r="FD30" s="3862">
        <v>0</v>
      </c>
      <c r="FE30" s="3862">
        <v>0.20499999999999999</v>
      </c>
      <c r="FF30" s="2447">
        <f t="shared" si="148"/>
        <v>69.197843484000003</v>
      </c>
      <c r="FG30" s="2447">
        <f t="shared" si="149"/>
        <v>38.6753095575</v>
      </c>
      <c r="FH30" s="2447">
        <f t="shared" si="150"/>
        <v>8.3542743899999994E-3</v>
      </c>
      <c r="FI30" s="2447">
        <f t="shared" si="151"/>
        <v>27.3891150225</v>
      </c>
      <c r="FJ30" s="2447">
        <f t="shared" si="152"/>
        <v>6.769452690000001E-2</v>
      </c>
      <c r="FK30" s="2447">
        <f>SUM(FF30*FK50)</f>
        <v>0</v>
      </c>
      <c r="FL30" s="2447">
        <f>SUM(FF30*FL50)</f>
        <v>1.412397528165503</v>
      </c>
      <c r="FM30" s="3512">
        <f t="shared" si="157"/>
        <v>53.018476939038621</v>
      </c>
      <c r="FN30" s="3512">
        <f t="shared" si="158"/>
        <v>34.330255251643734</v>
      </c>
      <c r="FO30" s="4760">
        <v>34.341160000000002</v>
      </c>
      <c r="FP30" s="4761">
        <v>7.1300000000000001E-3</v>
      </c>
      <c r="FQ30" s="4760">
        <v>22.23207</v>
      </c>
      <c r="FR30" s="4760">
        <v>4.4569999999999999E-2</v>
      </c>
      <c r="FS30" s="4760">
        <v>65.434799999999996</v>
      </c>
      <c r="FT30" s="4760">
        <v>8.43E-3</v>
      </c>
      <c r="FU30" s="4760">
        <v>44.380789999999998</v>
      </c>
      <c r="FV30" s="4760">
        <v>0.10426000000000001</v>
      </c>
    </row>
    <row r="31" spans="1:178" ht="24" customHeight="1" x14ac:dyDescent="0.2">
      <c r="A31" s="3234" t="s">
        <v>40</v>
      </c>
      <c r="B31" s="3110">
        <v>63</v>
      </c>
      <c r="C31" s="3110">
        <v>70</v>
      </c>
      <c r="D31" s="2139">
        <f t="shared" si="159"/>
        <v>111.11111111111111</v>
      </c>
      <c r="E31" s="3110">
        <v>77</v>
      </c>
      <c r="F31" s="2139">
        <f t="shared" si="160"/>
        <v>110.00000000000001</v>
      </c>
      <c r="G31" s="2140">
        <v>85</v>
      </c>
      <c r="H31" s="2139">
        <f t="shared" si="161"/>
        <v>110.3896103896104</v>
      </c>
      <c r="I31" s="2141">
        <v>84.9</v>
      </c>
      <c r="J31" s="2141">
        <v>91.5</v>
      </c>
      <c r="K31" s="2141">
        <v>91.5</v>
      </c>
      <c r="L31" s="2141">
        <v>161.5</v>
      </c>
      <c r="M31" s="2145">
        <f t="shared" si="163"/>
        <v>107.64705882352941</v>
      </c>
      <c r="N31" s="2141">
        <v>93.5</v>
      </c>
      <c r="O31" s="2141">
        <v>32</v>
      </c>
      <c r="P31" s="2141">
        <v>32</v>
      </c>
      <c r="Q31" s="2141">
        <v>32</v>
      </c>
      <c r="R31" s="2141">
        <v>98.7</v>
      </c>
      <c r="S31" s="2140">
        <f>P31/9*12*1.048</f>
        <v>44.714666666666666</v>
      </c>
      <c r="T31" s="2143">
        <f t="shared" si="162"/>
        <v>0.47823172905525846</v>
      </c>
      <c r="U31" s="2144" t="e">
        <f>R31*#REF!</f>
        <v>#REF!</v>
      </c>
      <c r="V31" s="2144" t="e">
        <f>R31*#REF!</f>
        <v>#REF!</v>
      </c>
      <c r="W31" s="2144">
        <f t="shared" si="117"/>
        <v>25.531138668079841</v>
      </c>
      <c r="X31" s="2144">
        <f t="shared" si="118"/>
        <v>18.134232114467405</v>
      </c>
      <c r="Y31" s="2144">
        <v>100</v>
      </c>
      <c r="Z31" s="2144">
        <v>100</v>
      </c>
      <c r="AA31" s="2144">
        <v>99.33</v>
      </c>
      <c r="AB31" s="2141">
        <v>50</v>
      </c>
      <c r="AC31" s="2140">
        <f>AB31</f>
        <v>50</v>
      </c>
      <c r="AD31" s="2144">
        <f t="shared" si="119"/>
        <v>29.599959023104354</v>
      </c>
      <c r="AE31" s="2144">
        <f t="shared" si="120"/>
        <v>20.000032265272161</v>
      </c>
      <c r="AF31" s="3233">
        <f t="shared" si="154"/>
        <v>1.1593669756731819</v>
      </c>
      <c r="AG31" s="3233">
        <f t="shared" si="155"/>
        <v>1.1028882909972366</v>
      </c>
      <c r="AH31" s="2144">
        <v>100</v>
      </c>
      <c r="AI31" s="2144">
        <v>100</v>
      </c>
      <c r="AJ31" s="2140">
        <f t="shared" si="153"/>
        <v>109.26300000000001</v>
      </c>
      <c r="AK31" s="2144">
        <f>AJ31*AI56</f>
        <v>65.120748000000006</v>
      </c>
      <c r="AL31" s="2144">
        <f>AJ31*AI57</f>
        <v>44.142252000000006</v>
      </c>
      <c r="AM31" s="3233">
        <f t="shared" si="156"/>
        <v>2.2000283158895515</v>
      </c>
      <c r="AN31" s="3233">
        <f t="shared" si="156"/>
        <v>2.207109039351308</v>
      </c>
      <c r="AO31" s="2567">
        <f>AJ31</f>
        <v>109.26300000000001</v>
      </c>
      <c r="AP31" s="2144">
        <f t="shared" si="121"/>
        <v>59.456005898003134</v>
      </c>
      <c r="AQ31" s="2144">
        <f t="shared" si="122"/>
        <v>49.21818699226602</v>
      </c>
      <c r="AR31" s="2144">
        <f t="shared" si="7"/>
        <v>174.98</v>
      </c>
      <c r="AS31" s="2144">
        <v>103.24</v>
      </c>
      <c r="AT31" s="2144">
        <v>71.739999999999995</v>
      </c>
      <c r="AU31" s="2144">
        <f t="shared" si="8"/>
        <v>25</v>
      </c>
      <c r="AV31" s="2144">
        <v>14.5</v>
      </c>
      <c r="AW31" s="2144">
        <v>10.5</v>
      </c>
      <c r="AX31" s="2144">
        <f t="shared" si="137"/>
        <v>119.27000000000001</v>
      </c>
      <c r="AY31" s="2144">
        <v>70.37</v>
      </c>
      <c r="AZ31" s="2144">
        <v>48.9</v>
      </c>
      <c r="BA31" s="2144">
        <f t="shared" si="93"/>
        <v>99.5</v>
      </c>
      <c r="BB31" s="2144">
        <v>55.959000000000003</v>
      </c>
      <c r="BC31" s="2144">
        <v>0</v>
      </c>
      <c r="BD31" s="2144">
        <v>43.540999999999997</v>
      </c>
      <c r="BE31" s="2144">
        <v>0</v>
      </c>
      <c r="BF31" s="2144">
        <v>0</v>
      </c>
      <c r="BG31" s="2144">
        <v>0</v>
      </c>
      <c r="BH31" s="2144">
        <f t="shared" si="11"/>
        <v>122.86</v>
      </c>
      <c r="BI31" s="2144">
        <v>71.39</v>
      </c>
      <c r="BJ31" s="2144">
        <v>51.47</v>
      </c>
      <c r="BK31" s="2144">
        <f>AU31*1.027*1.046</f>
        <v>26.85605</v>
      </c>
      <c r="BL31" s="2144">
        <f t="shared" si="123"/>
        <v>15.611562334403239</v>
      </c>
      <c r="BM31" s="2144">
        <f t="shared" si="124"/>
        <v>10.108719653211686</v>
      </c>
      <c r="BN31" s="2144">
        <f t="shared" si="125"/>
        <v>1.0715663509516584</v>
      </c>
      <c r="BO31" s="2144">
        <f t="shared" si="126"/>
        <v>6.4201661433413437E-2</v>
      </c>
      <c r="BP31" s="2144">
        <f>SUM(BA31*1.046)</f>
        <v>104.077</v>
      </c>
      <c r="BQ31" s="2144">
        <f>SUM(BP31*BB50)</f>
        <v>61.228882849911997</v>
      </c>
      <c r="BR31" s="2564">
        <f>SUM(BP31*BC50)</f>
        <v>2.769355730540208E-3</v>
      </c>
      <c r="BS31" s="2144">
        <f>SUM(BP31*BD50)</f>
        <v>42.325319954927103</v>
      </c>
      <c r="BT31" s="2610">
        <f>SUM(BP31*BE50)</f>
        <v>2.0988240711287208E-2</v>
      </c>
      <c r="BU31" s="2144">
        <f>SUM(BP31*BF50)</f>
        <v>0.21602433159469983</v>
      </c>
      <c r="BV31" s="2144">
        <f>SUM(BP31*BG50)</f>
        <v>0.28301526712437636</v>
      </c>
      <c r="BW31" s="2144">
        <f t="shared" si="95"/>
        <v>27.385114185000003</v>
      </c>
      <c r="BX31" s="2144">
        <f t="shared" si="127"/>
        <v>15.919110112390984</v>
      </c>
      <c r="BY31" s="2144">
        <f t="shared" si="128"/>
        <v>10.307861430379958</v>
      </c>
      <c r="BZ31" s="2144">
        <f t="shared" si="129"/>
        <v>1.0926762080654062</v>
      </c>
      <c r="CA31" s="2144">
        <f t="shared" si="130"/>
        <v>6.5466434163651693E-2</v>
      </c>
      <c r="CB31" s="2144">
        <f t="shared" si="96"/>
        <v>57.999000000000009</v>
      </c>
      <c r="CC31" s="2144">
        <v>34.200000000000003</v>
      </c>
      <c r="CD31" s="2144">
        <v>8.9999999999999993E-3</v>
      </c>
      <c r="CE31" s="2144">
        <v>22.7</v>
      </c>
      <c r="CF31" s="2144">
        <v>0.06</v>
      </c>
      <c r="CG31" s="2144">
        <v>0</v>
      </c>
      <c r="CH31" s="2144">
        <v>1.03</v>
      </c>
      <c r="CI31" s="2144">
        <f t="shared" si="97"/>
        <v>57.999999999999993</v>
      </c>
      <c r="CJ31" s="2144">
        <v>34.20234</v>
      </c>
      <c r="CK31" s="2144">
        <v>8.7299999999999999E-3</v>
      </c>
      <c r="CL31" s="2144">
        <v>22.697859999999999</v>
      </c>
      <c r="CM31" s="2144">
        <v>5.8639999999999998E-2</v>
      </c>
      <c r="CN31" s="2144">
        <v>0</v>
      </c>
      <c r="CO31" s="2144">
        <v>1.03243</v>
      </c>
      <c r="CP31" s="2144">
        <f t="shared" si="98"/>
        <v>57.998699999999999</v>
      </c>
      <c r="CQ31" s="2144">
        <v>34.200000000000003</v>
      </c>
      <c r="CR31" s="2144">
        <v>8.6999999999999994E-3</v>
      </c>
      <c r="CS31" s="2144">
        <v>22.7</v>
      </c>
      <c r="CT31" s="2144">
        <v>0.06</v>
      </c>
      <c r="CU31" s="2144">
        <v>0</v>
      </c>
      <c r="CV31" s="2144">
        <v>1.03</v>
      </c>
      <c r="CW31" s="2144">
        <f t="shared" si="99"/>
        <v>60.059973798000001</v>
      </c>
      <c r="CX31" s="2144">
        <f>SUM(CW31*CX50)</f>
        <v>35.145381186683124</v>
      </c>
      <c r="CY31" s="2144">
        <f>SUM(CW31*CY50)</f>
        <v>9.7896465506352795E-3</v>
      </c>
      <c r="CZ31" s="2144">
        <f>SUM(CW31*CZ50)</f>
        <v>23.294775635473915</v>
      </c>
      <c r="DA31" s="2144">
        <f>SUM(CW31*DA50)</f>
        <v>6.738938329482505E-2</v>
      </c>
      <c r="DB31" s="2144">
        <f>SUM(CW31*DB50)</f>
        <v>0</v>
      </c>
      <c r="DC31" s="2144">
        <f>SUM(CW31*DC50)</f>
        <v>1.5426379459974973</v>
      </c>
      <c r="DD31" s="2112">
        <f t="shared" si="100"/>
        <v>16.35897954440215</v>
      </c>
      <c r="DE31" s="2112">
        <f t="shared" si="101"/>
        <v>10.592683453760637</v>
      </c>
      <c r="DF31" s="2144">
        <f t="shared" si="102"/>
        <v>94.454350000000005</v>
      </c>
      <c r="DG31" s="2144">
        <v>54.547110000000004</v>
      </c>
      <c r="DH31" s="2144">
        <v>1.038E-2</v>
      </c>
      <c r="DI31" s="2144">
        <v>37.115679999999998</v>
      </c>
      <c r="DJ31" s="2144">
        <v>9.9299999999999999E-2</v>
      </c>
      <c r="DK31" s="2144">
        <v>0</v>
      </c>
      <c r="DL31" s="2144">
        <v>2.68188</v>
      </c>
      <c r="DM31" s="2144">
        <f t="shared" si="103"/>
        <v>94.454350000000005</v>
      </c>
      <c r="DN31" s="2144">
        <v>54.547110000000004</v>
      </c>
      <c r="DO31" s="2144">
        <v>1.038E-2</v>
      </c>
      <c r="DP31" s="2144">
        <v>37.115679999999998</v>
      </c>
      <c r="DQ31" s="2144">
        <v>9.9299999999999999E-2</v>
      </c>
      <c r="DR31" s="2144">
        <v>0</v>
      </c>
      <c r="DS31" s="2144">
        <v>2.68188</v>
      </c>
      <c r="DT31" s="2144">
        <f t="shared" si="104"/>
        <v>94.454000000000008</v>
      </c>
      <c r="DU31" s="2144">
        <v>54.546999999999997</v>
      </c>
      <c r="DV31" s="2144">
        <v>0.01</v>
      </c>
      <c r="DW31" s="2144">
        <v>37.116</v>
      </c>
      <c r="DX31" s="2144">
        <v>9.9000000000000005E-2</v>
      </c>
      <c r="DY31" s="2144">
        <v>0</v>
      </c>
      <c r="DZ31" s="2144">
        <v>2.6819999999999999</v>
      </c>
      <c r="EA31" s="2144">
        <f t="shared" si="105"/>
        <v>98.184933000000015</v>
      </c>
      <c r="EB31" s="2144">
        <f>SUM(EA31*EB50)</f>
        <v>55.881492872178157</v>
      </c>
      <c r="EC31" s="2144">
        <f>SUM(EA31*EC50)</f>
        <v>1.3662962081519606E-2</v>
      </c>
      <c r="ED31" s="2144">
        <f>SUM(EA31*ED50)</f>
        <v>39.780413308495199</v>
      </c>
      <c r="EE31" s="2144">
        <f>SUM(EA31*EE50)</f>
        <v>0.11127726901530113</v>
      </c>
      <c r="EF31" s="2144">
        <f>SUM(EA31*EF50)</f>
        <v>0</v>
      </c>
      <c r="EG31" s="2144">
        <f>SUM(EA31*EG50)</f>
        <v>2.3980865882298184</v>
      </c>
      <c r="EH31" s="2112">
        <f t="shared" si="131"/>
        <v>17.31660153524226</v>
      </c>
      <c r="EI31" s="2112">
        <f t="shared" si="106"/>
        <v>11.212757987737325</v>
      </c>
      <c r="EJ31" s="3953" t="s">
        <v>1920</v>
      </c>
      <c r="EK31" s="2144">
        <f t="shared" si="107"/>
        <v>94.914919999999995</v>
      </c>
      <c r="EL31" s="2144">
        <v>55.56091</v>
      </c>
      <c r="EM31" s="2144">
        <v>1.282E-2</v>
      </c>
      <c r="EN31" s="2144">
        <v>38.314709999999998</v>
      </c>
      <c r="EO31" s="2144">
        <v>0.10922999999999999</v>
      </c>
      <c r="EP31" s="2144">
        <v>0</v>
      </c>
      <c r="EQ31" s="2144">
        <v>0.91725000000000001</v>
      </c>
      <c r="ER31" s="2144">
        <f t="shared" si="108"/>
        <v>96.680230000000009</v>
      </c>
      <c r="ES31" s="2144">
        <v>55.561</v>
      </c>
      <c r="ET31" s="2144">
        <v>1.282E-2</v>
      </c>
      <c r="EU31" s="2144">
        <v>38.314999999999998</v>
      </c>
      <c r="EV31" s="2144">
        <v>0.10953</v>
      </c>
      <c r="EW31" s="2144">
        <v>0</v>
      </c>
      <c r="EX31" s="2144">
        <v>2.68188</v>
      </c>
      <c r="EY31" s="2144">
        <v>97.5</v>
      </c>
      <c r="EZ31" s="2144">
        <v>55.561</v>
      </c>
      <c r="FA31" s="2144">
        <v>1.282E-2</v>
      </c>
      <c r="FB31" s="2144">
        <v>38.314999999999998</v>
      </c>
      <c r="FC31" s="2144">
        <v>0.11</v>
      </c>
      <c r="FD31" s="3862">
        <v>0</v>
      </c>
      <c r="FE31" s="3862">
        <v>2.6819999999999999</v>
      </c>
      <c r="FF31" s="2447">
        <f t="shared" si="148"/>
        <v>110.37151125000001</v>
      </c>
      <c r="FG31" s="2447">
        <f t="shared" si="149"/>
        <v>62.895913195500015</v>
      </c>
      <c r="FH31" s="2447">
        <f t="shared" si="150"/>
        <v>1.4512438710000002E-2</v>
      </c>
      <c r="FI31" s="2447">
        <f t="shared" si="151"/>
        <v>43.373173882500005</v>
      </c>
      <c r="FJ31" s="2447">
        <f t="shared" si="152"/>
        <v>0.12452170500000001</v>
      </c>
      <c r="FK31" s="2447">
        <f>SUM(FF31*FK50)</f>
        <v>0</v>
      </c>
      <c r="FL31" s="2447">
        <f>SUM(FF31*FL50)</f>
        <v>2.2527934661061471</v>
      </c>
      <c r="FM31" s="3512">
        <f t="shared" si="157"/>
        <v>19.975685572371891</v>
      </c>
      <c r="FN31" s="3512">
        <f t="shared" si="158"/>
        <v>12.934554595270859</v>
      </c>
      <c r="FO31" s="4760">
        <v>27.612189999999998</v>
      </c>
      <c r="FP31" s="4760">
        <v>6.9899999999999997E-3</v>
      </c>
      <c r="FQ31" s="4760">
        <v>20.283899999999999</v>
      </c>
      <c r="FR31" s="4760">
        <v>5.0470000000000001E-2</v>
      </c>
      <c r="FS31" s="4760">
        <v>27.612189999999998</v>
      </c>
      <c r="FT31" s="4760">
        <v>6.9899999999999997E-3</v>
      </c>
      <c r="FU31" s="4760">
        <v>20.283899999999999</v>
      </c>
      <c r="FV31" s="4760">
        <v>5.0470000000000001E-2</v>
      </c>
    </row>
    <row r="32" spans="1:178" ht="24" customHeight="1" x14ac:dyDescent="0.2">
      <c r="A32" s="3234" t="s">
        <v>77</v>
      </c>
      <c r="B32" s="3110">
        <v>3.9</v>
      </c>
      <c r="C32" s="3110">
        <v>39.799999999999997</v>
      </c>
      <c r="D32" s="2139">
        <f t="shared" si="159"/>
        <v>1020.5128205128204</v>
      </c>
      <c r="E32" s="3110">
        <v>47.7</v>
      </c>
      <c r="F32" s="2139">
        <f t="shared" si="160"/>
        <v>119.8492462311558</v>
      </c>
      <c r="G32" s="2140">
        <v>102.2</v>
      </c>
      <c r="H32" s="2139">
        <f t="shared" si="161"/>
        <v>214.2557651991614</v>
      </c>
      <c r="I32" s="2141">
        <v>43.9</v>
      </c>
      <c r="J32" s="2141">
        <v>76.5</v>
      </c>
      <c r="K32" s="2141">
        <v>76.5</v>
      </c>
      <c r="L32" s="2141">
        <v>102</v>
      </c>
      <c r="M32" s="2145">
        <f t="shared" si="163"/>
        <v>74.853228962817994</v>
      </c>
      <c r="N32" s="2141">
        <v>48.4</v>
      </c>
      <c r="O32" s="2141"/>
      <c r="P32" s="2141">
        <v>0.3</v>
      </c>
      <c r="Q32" s="2141">
        <v>0.9</v>
      </c>
      <c r="R32" s="2141">
        <v>117.6</v>
      </c>
      <c r="S32" s="2140">
        <f>P32/9*12*1.048</f>
        <v>0.41920000000000002</v>
      </c>
      <c r="T32" s="2143">
        <f t="shared" si="162"/>
        <v>8.6611570247933888E-3</v>
      </c>
      <c r="U32" s="2144" t="e">
        <f>R32*#REF!</f>
        <v>#REF!</v>
      </c>
      <c r="V32" s="2144" t="e">
        <f>R32*#REF!</f>
        <v>#REF!</v>
      </c>
      <c r="W32" s="2144">
        <f t="shared" si="117"/>
        <v>0.23935442501324852</v>
      </c>
      <c r="X32" s="2144">
        <f t="shared" si="118"/>
        <v>0.17000842607313191</v>
      </c>
      <c r="Y32" s="2144"/>
      <c r="Z32" s="2144"/>
      <c r="AA32" s="2144"/>
      <c r="AB32" s="2141">
        <v>0</v>
      </c>
      <c r="AC32" s="2140">
        <v>0</v>
      </c>
      <c r="AD32" s="2144">
        <f t="shared" si="119"/>
        <v>0</v>
      </c>
      <c r="AE32" s="2144">
        <f t="shared" si="120"/>
        <v>0</v>
      </c>
      <c r="AF32" s="3233">
        <f t="shared" si="154"/>
        <v>0</v>
      </c>
      <c r="AG32" s="3233">
        <f t="shared" si="155"/>
        <v>0</v>
      </c>
      <c r="AH32" s="2144">
        <v>0.42</v>
      </c>
      <c r="AI32" s="2144">
        <v>0.42</v>
      </c>
      <c r="AJ32" s="2140">
        <f t="shared" si="153"/>
        <v>0</v>
      </c>
      <c r="AK32" s="2144">
        <f>AJ32*AI56</f>
        <v>0</v>
      </c>
      <c r="AL32" s="2144">
        <f>AJ32*AI57</f>
        <v>0</v>
      </c>
      <c r="AM32" s="3233"/>
      <c r="AN32" s="3233"/>
      <c r="AO32" s="2567">
        <f t="shared" ref="AO32:AO33" si="164">AJ32</f>
        <v>0</v>
      </c>
      <c r="AP32" s="2144">
        <f t="shared" si="121"/>
        <v>0</v>
      </c>
      <c r="AQ32" s="2144">
        <f t="shared" si="122"/>
        <v>0</v>
      </c>
      <c r="AR32" s="2144">
        <f t="shared" si="7"/>
        <v>0</v>
      </c>
      <c r="AS32" s="2144">
        <v>0</v>
      </c>
      <c r="AT32" s="2144">
        <v>0</v>
      </c>
      <c r="AU32" s="2144">
        <f t="shared" si="8"/>
        <v>0</v>
      </c>
      <c r="AV32" s="2144">
        <v>0</v>
      </c>
      <c r="AW32" s="2144">
        <v>0</v>
      </c>
      <c r="AX32" s="2144">
        <f t="shared" si="137"/>
        <v>0</v>
      </c>
      <c r="AY32" s="2144">
        <v>0</v>
      </c>
      <c r="AZ32" s="2144">
        <v>0</v>
      </c>
      <c r="BA32" s="2144">
        <f t="shared" si="93"/>
        <v>0</v>
      </c>
      <c r="BB32" s="2144">
        <v>0</v>
      </c>
      <c r="BC32" s="2144">
        <v>0</v>
      </c>
      <c r="BD32" s="2144">
        <v>0</v>
      </c>
      <c r="BE32" s="2144">
        <v>0</v>
      </c>
      <c r="BF32" s="2144">
        <v>0</v>
      </c>
      <c r="BG32" s="2144">
        <v>0</v>
      </c>
      <c r="BH32" s="2144">
        <f t="shared" si="11"/>
        <v>0</v>
      </c>
      <c r="BI32" s="2144">
        <v>0</v>
      </c>
      <c r="BJ32" s="2144">
        <v>0</v>
      </c>
      <c r="BK32" s="2144">
        <v>0</v>
      </c>
      <c r="BL32" s="2144">
        <f t="shared" si="123"/>
        <v>0</v>
      </c>
      <c r="BM32" s="2144">
        <f t="shared" si="124"/>
        <v>0</v>
      </c>
      <c r="BN32" s="2144">
        <f t="shared" si="125"/>
        <v>0</v>
      </c>
      <c r="BO32" s="2144">
        <f t="shared" si="126"/>
        <v>0</v>
      </c>
      <c r="BP32" s="2144">
        <f t="shared" si="94"/>
        <v>0</v>
      </c>
      <c r="BQ32" s="2144">
        <v>0</v>
      </c>
      <c r="BR32" s="2144">
        <v>0</v>
      </c>
      <c r="BS32" s="2144">
        <v>0</v>
      </c>
      <c r="BT32" s="2144">
        <v>0</v>
      </c>
      <c r="BU32" s="2144">
        <v>0</v>
      </c>
      <c r="BV32" s="2144">
        <v>0</v>
      </c>
      <c r="BW32" s="2144">
        <f t="shared" si="95"/>
        <v>0</v>
      </c>
      <c r="BX32" s="2144">
        <f t="shared" si="127"/>
        <v>0</v>
      </c>
      <c r="BY32" s="2144">
        <f t="shared" si="128"/>
        <v>0</v>
      </c>
      <c r="BZ32" s="2144">
        <f t="shared" si="129"/>
        <v>0</v>
      </c>
      <c r="CA32" s="2144">
        <f t="shared" si="130"/>
        <v>0</v>
      </c>
      <c r="CB32" s="2144">
        <f t="shared" si="96"/>
        <v>0</v>
      </c>
      <c r="CC32" s="2144">
        <v>0</v>
      </c>
      <c r="CD32" s="2144">
        <v>0</v>
      </c>
      <c r="CE32" s="2144">
        <v>0</v>
      </c>
      <c r="CF32" s="2144">
        <v>0</v>
      </c>
      <c r="CG32" s="2144">
        <v>0</v>
      </c>
      <c r="CH32" s="2144">
        <v>0</v>
      </c>
      <c r="CI32" s="2144">
        <f t="shared" si="97"/>
        <v>0</v>
      </c>
      <c r="CJ32" s="2144">
        <v>0</v>
      </c>
      <c r="CK32" s="2144">
        <v>0</v>
      </c>
      <c r="CL32" s="2144">
        <v>0</v>
      </c>
      <c r="CM32" s="2144">
        <v>0</v>
      </c>
      <c r="CN32" s="2144">
        <v>0</v>
      </c>
      <c r="CO32" s="2144">
        <v>0</v>
      </c>
      <c r="CP32" s="2144">
        <f t="shared" si="98"/>
        <v>0</v>
      </c>
      <c r="CQ32" s="2144">
        <v>0</v>
      </c>
      <c r="CR32" s="2144">
        <v>0</v>
      </c>
      <c r="CS32" s="2144">
        <v>0</v>
      </c>
      <c r="CT32" s="2144">
        <v>0</v>
      </c>
      <c r="CU32" s="2144">
        <v>0</v>
      </c>
      <c r="CV32" s="2144">
        <v>0</v>
      </c>
      <c r="CW32" s="2144">
        <f t="shared" si="99"/>
        <v>0</v>
      </c>
      <c r="CX32" s="2144">
        <f>SUM(CW32*CX50)</f>
        <v>0</v>
      </c>
      <c r="CY32" s="2144">
        <f>SUM(CW32*CY50)</f>
        <v>0</v>
      </c>
      <c r="CZ32" s="2144">
        <f>SUM(CW32*CZ50)</f>
        <v>0</v>
      </c>
      <c r="DA32" s="2144">
        <f>SUM(CW32*DA50)</f>
        <v>0</v>
      </c>
      <c r="DB32" s="2144">
        <f>SUM(CW32*DB50)</f>
        <v>0</v>
      </c>
      <c r="DC32" s="2144">
        <f>SUM(CW32*DC50)</f>
        <v>0</v>
      </c>
      <c r="DD32" s="2112">
        <f t="shared" si="100"/>
        <v>0</v>
      </c>
      <c r="DE32" s="2112">
        <f t="shared" si="101"/>
        <v>0</v>
      </c>
      <c r="DF32" s="2144">
        <f t="shared" si="102"/>
        <v>0</v>
      </c>
      <c r="DG32" s="2144">
        <v>0</v>
      </c>
      <c r="DH32" s="2144">
        <v>0</v>
      </c>
      <c r="DI32" s="2144">
        <v>0</v>
      </c>
      <c r="DJ32" s="2144">
        <v>0</v>
      </c>
      <c r="DK32" s="2144">
        <v>0</v>
      </c>
      <c r="DL32" s="2144">
        <v>0</v>
      </c>
      <c r="DM32" s="2144">
        <f t="shared" si="103"/>
        <v>4.7330500000000004</v>
      </c>
      <c r="DN32" s="2144">
        <v>2.7046800000000002</v>
      </c>
      <c r="DO32" s="2144">
        <v>7.2000000000000005E-4</v>
      </c>
      <c r="DP32" s="2144">
        <v>1.96875</v>
      </c>
      <c r="DQ32" s="2144">
        <v>0</v>
      </c>
      <c r="DR32" s="2144">
        <v>0</v>
      </c>
      <c r="DS32" s="2144">
        <v>5.8900000000000001E-2</v>
      </c>
      <c r="DT32" s="2144">
        <f t="shared" si="104"/>
        <v>4.7337199999999999</v>
      </c>
      <c r="DU32" s="2144">
        <v>2.7050000000000001</v>
      </c>
      <c r="DV32" s="2144">
        <v>7.2000000000000005E-4</v>
      </c>
      <c r="DW32" s="2144">
        <v>1.9690000000000001</v>
      </c>
      <c r="DX32" s="2144">
        <v>0</v>
      </c>
      <c r="DY32" s="2144">
        <v>0</v>
      </c>
      <c r="DZ32" s="2144">
        <v>5.8999999999999997E-2</v>
      </c>
      <c r="EA32" s="2144">
        <f t="shared" si="105"/>
        <v>4.9207019400000007</v>
      </c>
      <c r="EB32" s="2144">
        <f>SUM(EA32*EB50)</f>
        <v>2.8005943680403922</v>
      </c>
      <c r="EC32" s="2144">
        <f>SUM(EA32*EC50)</f>
        <v>6.8474216935789892E-4</v>
      </c>
      <c r="ED32" s="2144">
        <f>SUM(EA32*ED50)</f>
        <v>1.9936618680700646</v>
      </c>
      <c r="EE32" s="2144">
        <f>SUM(EA32*EE50)</f>
        <v>5.5768462307907683E-3</v>
      </c>
      <c r="EF32" s="2144">
        <f>SUM(EA32*EF50)</f>
        <v>0</v>
      </c>
      <c r="EG32" s="2144">
        <f>SUM(EA32*EG50)</f>
        <v>0.12018411548939438</v>
      </c>
      <c r="EH32" s="2112">
        <f t="shared" si="131"/>
        <v>0</v>
      </c>
      <c r="EI32" s="2112">
        <f t="shared" si="106"/>
        <v>0</v>
      </c>
      <c r="EJ32" s="3952"/>
      <c r="EK32" s="2144">
        <f t="shared" si="107"/>
        <v>1.2347299999999999</v>
      </c>
      <c r="EL32" s="2144">
        <v>0.72589000000000004</v>
      </c>
      <c r="EM32" s="2144">
        <v>1.0000000000000001E-5</v>
      </c>
      <c r="EN32" s="2144">
        <v>0.47559000000000001</v>
      </c>
      <c r="EO32" s="2144">
        <v>5.4000000000000001E-4</v>
      </c>
      <c r="EP32" s="2144">
        <v>0</v>
      </c>
      <c r="EQ32" s="2144">
        <v>3.27E-2</v>
      </c>
      <c r="ER32" s="2144">
        <f t="shared" si="108"/>
        <v>2.9702799999999998</v>
      </c>
      <c r="ES32" s="2144">
        <v>1.744</v>
      </c>
      <c r="ET32" s="2144">
        <v>2.3000000000000001E-4</v>
      </c>
      <c r="EU32" s="2144">
        <v>1.165</v>
      </c>
      <c r="EV32" s="2144">
        <v>2.15E-3</v>
      </c>
      <c r="EW32" s="2144">
        <v>0</v>
      </c>
      <c r="EX32" s="2144">
        <v>5.8900000000000001E-2</v>
      </c>
      <c r="EY32" s="2144">
        <v>3.0920000000000001</v>
      </c>
      <c r="EZ32" s="2144">
        <v>1.744</v>
      </c>
      <c r="FA32" s="2144">
        <v>2.3000000000000001E-4</v>
      </c>
      <c r="FB32" s="2144">
        <v>1.165</v>
      </c>
      <c r="FC32" s="2144">
        <v>2.15E-3</v>
      </c>
      <c r="FD32" s="3862">
        <v>0</v>
      </c>
      <c r="FE32" s="3862">
        <v>5.8999999999999997E-2</v>
      </c>
      <c r="FF32" s="2447">
        <f t="shared" si="148"/>
        <v>3.5001919259999998</v>
      </c>
      <c r="FG32" s="2447">
        <f t="shared" si="149"/>
        <v>1.9742350320000002</v>
      </c>
      <c r="FH32" s="2447">
        <f t="shared" si="150"/>
        <v>2.6036356500000007E-4</v>
      </c>
      <c r="FI32" s="2447">
        <f t="shared" si="151"/>
        <v>1.3187980575</v>
      </c>
      <c r="FJ32" s="2447">
        <f t="shared" si="152"/>
        <v>2.4338333250000003E-3</v>
      </c>
      <c r="FK32" s="2447">
        <f>SUM(FF32*FK50)</f>
        <v>0</v>
      </c>
      <c r="FL32" s="2447">
        <f>SUM(FF32*FL50)</f>
        <v>7.1442434843079022E-2</v>
      </c>
      <c r="FM32" s="3512">
        <f t="shared" si="157"/>
        <v>0</v>
      </c>
      <c r="FN32" s="3512">
        <f t="shared" si="158"/>
        <v>0</v>
      </c>
      <c r="FO32" s="4760">
        <v>0</v>
      </c>
      <c r="FP32" s="4760">
        <v>0</v>
      </c>
      <c r="FQ32" s="4760">
        <v>0</v>
      </c>
      <c r="FR32" s="4760">
        <v>0</v>
      </c>
      <c r="FS32" s="4760">
        <v>3.7050399999999999</v>
      </c>
      <c r="FT32" s="4760">
        <v>1.0200000000000001E-3</v>
      </c>
      <c r="FU32" s="4760">
        <v>2.9036900000000001</v>
      </c>
      <c r="FV32" s="4760">
        <v>9.2700000000000005E-3</v>
      </c>
    </row>
    <row r="33" spans="1:178" ht="33" customHeight="1" x14ac:dyDescent="0.2">
      <c r="A33" s="3234" t="s">
        <v>95</v>
      </c>
      <c r="B33" s="3110">
        <v>6.6</v>
      </c>
      <c r="C33" s="3110">
        <v>7.8</v>
      </c>
      <c r="D33" s="2139">
        <f t="shared" si="159"/>
        <v>118.18181818181819</v>
      </c>
      <c r="E33" s="3110">
        <v>7</v>
      </c>
      <c r="F33" s="2139">
        <f t="shared" si="160"/>
        <v>89.743589743589752</v>
      </c>
      <c r="G33" s="2140">
        <v>6.7</v>
      </c>
      <c r="H33" s="2139">
        <f t="shared" si="161"/>
        <v>95.714285714285722</v>
      </c>
      <c r="I33" s="2141">
        <v>10.6</v>
      </c>
      <c r="J33" s="2141">
        <v>5</v>
      </c>
      <c r="K33" s="2141">
        <v>7</v>
      </c>
      <c r="L33" s="2141">
        <v>6.6</v>
      </c>
      <c r="M33" s="2145">
        <f t="shared" si="163"/>
        <v>104.4776119402985</v>
      </c>
      <c r="N33" s="2141">
        <v>7.343</v>
      </c>
      <c r="O33" s="2141">
        <v>3.3</v>
      </c>
      <c r="P33" s="2141">
        <v>5.3182299999999998</v>
      </c>
      <c r="Q33" s="2141">
        <v>7</v>
      </c>
      <c r="R33" s="2141">
        <v>7.84</v>
      </c>
      <c r="S33" s="2140">
        <f>P33/9*12*1.048</f>
        <v>7.4313400533333329</v>
      </c>
      <c r="T33" s="2143">
        <f t="shared" si="162"/>
        <v>1.0120305125062417</v>
      </c>
      <c r="U33" s="2144" t="e">
        <f>R33*#REF!</f>
        <v>#REF!</v>
      </c>
      <c r="V33" s="2144" t="e">
        <f>R33*#REF!</f>
        <v>#REF!</v>
      </c>
      <c r="W33" s="2144">
        <f t="shared" si="117"/>
        <v>4.2431396124606948</v>
      </c>
      <c r="X33" s="2144">
        <f t="shared" si="118"/>
        <v>3.0138130393163745</v>
      </c>
      <c r="Y33" s="2144">
        <v>3.46</v>
      </c>
      <c r="Z33" s="2144">
        <v>5.85</v>
      </c>
      <c r="AA33" s="2144">
        <v>7.8</v>
      </c>
      <c r="AB33" s="2141">
        <v>7.83</v>
      </c>
      <c r="AC33" s="2140">
        <f>AB33</f>
        <v>7.83</v>
      </c>
      <c r="AD33" s="2144">
        <f t="shared" si="119"/>
        <v>4.6353535830181425</v>
      </c>
      <c r="AE33" s="2144">
        <f t="shared" si="120"/>
        <v>3.1320050527416203</v>
      </c>
      <c r="AF33" s="3233">
        <f t="shared" si="154"/>
        <v>1.0924348492813305</v>
      </c>
      <c r="AG33" s="3233">
        <f t="shared" si="155"/>
        <v>1.039216770212148</v>
      </c>
      <c r="AH33" s="2144">
        <v>3.4</v>
      </c>
      <c r="AI33" s="2144">
        <v>5.25</v>
      </c>
      <c r="AJ33" s="2140">
        <f t="shared" si="153"/>
        <v>8.58</v>
      </c>
      <c r="AK33" s="2144">
        <f>AJ33*AI56</f>
        <v>5.1136799999999996</v>
      </c>
      <c r="AL33" s="2144">
        <f>AJ33*AI57</f>
        <v>3.4663200000000001</v>
      </c>
      <c r="AM33" s="3233">
        <f>AK33/AD33</f>
        <v>1.1031909235002548</v>
      </c>
      <c r="AN33" s="3233">
        <f>AL33/AE33</f>
        <v>1.1067415095533562</v>
      </c>
      <c r="AO33" s="2567">
        <f t="shared" si="164"/>
        <v>8.58</v>
      </c>
      <c r="AP33" s="2144">
        <f t="shared" si="121"/>
        <v>4.6688497533919699</v>
      </c>
      <c r="AQ33" s="2144">
        <f t="shared" si="122"/>
        <v>3.8649135058861868</v>
      </c>
      <c r="AR33" s="2144">
        <f t="shared" si="7"/>
        <v>6.83</v>
      </c>
      <c r="AS33" s="2144">
        <v>4.03</v>
      </c>
      <c r="AT33" s="2144">
        <v>2.8</v>
      </c>
      <c r="AU33" s="2144">
        <f t="shared" si="8"/>
        <v>0.55743999999999994</v>
      </c>
      <c r="AV33" s="2144">
        <v>0.32332</v>
      </c>
      <c r="AW33" s="2144">
        <v>0.23411999999999999</v>
      </c>
      <c r="AX33" s="2144">
        <f t="shared" si="137"/>
        <v>9.370000000000001</v>
      </c>
      <c r="AY33" s="2144">
        <v>5.53</v>
      </c>
      <c r="AZ33" s="2144">
        <v>3.84</v>
      </c>
      <c r="BA33" s="2144">
        <f t="shared" si="93"/>
        <v>0</v>
      </c>
      <c r="BB33" s="2144">
        <v>0</v>
      </c>
      <c r="BC33" s="2144">
        <v>0</v>
      </c>
      <c r="BD33" s="2144">
        <v>0</v>
      </c>
      <c r="BE33" s="2144">
        <v>0</v>
      </c>
      <c r="BF33" s="2144">
        <v>0</v>
      </c>
      <c r="BG33" s="2144">
        <v>0</v>
      </c>
      <c r="BH33" s="2144">
        <f t="shared" si="11"/>
        <v>9.65</v>
      </c>
      <c r="BI33" s="2144">
        <v>5.61</v>
      </c>
      <c r="BJ33" s="2144">
        <v>4.04</v>
      </c>
      <c r="BK33" s="2144">
        <f>AR33</f>
        <v>6.83</v>
      </c>
      <c r="BL33" s="2144">
        <f t="shared" si="123"/>
        <v>3.9703147240183916</v>
      </c>
      <c r="BM33" s="2144">
        <f t="shared" si="124"/>
        <v>2.5708380506975459</v>
      </c>
      <c r="BN33" s="2144">
        <f t="shared" si="125"/>
        <v>0.27251953198626855</v>
      </c>
      <c r="BO33" s="2144">
        <f t="shared" si="126"/>
        <v>1.6327693297793749E-2</v>
      </c>
      <c r="BP33" s="2144">
        <f>SUM(BK33*1.046)</f>
        <v>7.1441800000000004</v>
      </c>
      <c r="BQ33" s="2144">
        <f>SUM(BP33*BB50)</f>
        <v>4.2029474358281309</v>
      </c>
      <c r="BR33" s="2564">
        <f>SUM(BP33*BC50)</f>
        <v>1.9009748381497107E-4</v>
      </c>
      <c r="BS33" s="2144">
        <f>SUM(BP33*BD50)</f>
        <v>2.9053460833382125</v>
      </c>
      <c r="BT33" s="2610">
        <f>SUM(BP33*BE50)</f>
        <v>1.4407003422923783E-3</v>
      </c>
      <c r="BU33" s="2144">
        <f>SUM(BP33*BF50)</f>
        <v>1.4828604872279397E-2</v>
      </c>
      <c r="BV33" s="2144">
        <f>SUM(BP33*BG50)</f>
        <v>1.9427078135271263E-2</v>
      </c>
      <c r="BW33" s="2144">
        <f t="shared" si="95"/>
        <v>6.9645510000000002</v>
      </c>
      <c r="BX33" s="2144">
        <f t="shared" si="127"/>
        <v>4.0485299240815538</v>
      </c>
      <c r="BY33" s="2144">
        <f t="shared" si="128"/>
        <v>2.6214835602962876</v>
      </c>
      <c r="BZ33" s="2144">
        <f t="shared" si="129"/>
        <v>0.27788816676639805</v>
      </c>
      <c r="CA33" s="2144">
        <f t="shared" si="130"/>
        <v>1.6649348855760287E-2</v>
      </c>
      <c r="CB33" s="2144">
        <f t="shared" si="96"/>
        <v>0</v>
      </c>
      <c r="CC33" s="2144">
        <v>0</v>
      </c>
      <c r="CD33" s="2144">
        <v>0</v>
      </c>
      <c r="CE33" s="2144">
        <v>0</v>
      </c>
      <c r="CF33" s="2144">
        <v>0</v>
      </c>
      <c r="CG33" s="2144">
        <v>0</v>
      </c>
      <c r="CH33" s="2144">
        <v>0</v>
      </c>
      <c r="CI33" s="2144">
        <f t="shared" si="97"/>
        <v>0</v>
      </c>
      <c r="CJ33" s="2144">
        <v>0</v>
      </c>
      <c r="CK33" s="2144">
        <v>0</v>
      </c>
      <c r="CL33" s="2144">
        <v>0</v>
      </c>
      <c r="CM33" s="2144">
        <v>0</v>
      </c>
      <c r="CN33" s="2144">
        <v>0</v>
      </c>
      <c r="CO33" s="2144">
        <v>0</v>
      </c>
      <c r="CP33" s="2144">
        <f t="shared" si="98"/>
        <v>0</v>
      </c>
      <c r="CQ33" s="2144">
        <v>0</v>
      </c>
      <c r="CR33" s="2144">
        <v>0</v>
      </c>
      <c r="CS33" s="2144">
        <v>0</v>
      </c>
      <c r="CT33" s="2144">
        <v>0</v>
      </c>
      <c r="CU33" s="2144">
        <v>0</v>
      </c>
      <c r="CV33" s="2144">
        <v>0</v>
      </c>
      <c r="CW33" s="2144">
        <f t="shared" si="99"/>
        <v>0</v>
      </c>
      <c r="CX33" s="2144">
        <f>SUM(CW33*CX50)</f>
        <v>0</v>
      </c>
      <c r="CY33" s="2144">
        <f>SUM(CW33*CY50)</f>
        <v>0</v>
      </c>
      <c r="CZ33" s="2144">
        <f>SUM(CW33*CZ50)</f>
        <v>0</v>
      </c>
      <c r="DA33" s="2144">
        <f>SUM(CW33*DA50)</f>
        <v>0</v>
      </c>
      <c r="DB33" s="2144">
        <f>SUM(CW33*DB50)</f>
        <v>0</v>
      </c>
      <c r="DC33" s="2144">
        <f>SUM(CW33*DC50)</f>
        <v>0</v>
      </c>
      <c r="DD33" s="2112">
        <f t="shared" si="100"/>
        <v>4.1603970162502177</v>
      </c>
      <c r="DE33" s="2112">
        <f t="shared" si="101"/>
        <v>2.6939191723721532</v>
      </c>
      <c r="DF33" s="2144">
        <f t="shared" si="102"/>
        <v>0</v>
      </c>
      <c r="DG33" s="2144">
        <v>0</v>
      </c>
      <c r="DH33" s="2144">
        <v>0</v>
      </c>
      <c r="DI33" s="2144">
        <v>0</v>
      </c>
      <c r="DJ33" s="2144">
        <v>0</v>
      </c>
      <c r="DK33" s="2144">
        <v>0</v>
      </c>
      <c r="DL33" s="2144">
        <v>0</v>
      </c>
      <c r="DM33" s="2144">
        <f t="shared" si="103"/>
        <v>0</v>
      </c>
      <c r="DN33" s="2144">
        <v>0</v>
      </c>
      <c r="DO33" s="2144">
        <v>0</v>
      </c>
      <c r="DP33" s="2144">
        <v>0</v>
      </c>
      <c r="DQ33" s="2144">
        <v>0</v>
      </c>
      <c r="DR33" s="2144">
        <v>0</v>
      </c>
      <c r="DS33" s="2144">
        <v>0</v>
      </c>
      <c r="DT33" s="2144">
        <f t="shared" si="104"/>
        <v>0</v>
      </c>
      <c r="DU33" s="2144">
        <v>0</v>
      </c>
      <c r="DV33" s="2144">
        <v>0</v>
      </c>
      <c r="DW33" s="2144">
        <v>0</v>
      </c>
      <c r="DX33" s="2144">
        <v>0</v>
      </c>
      <c r="DY33" s="2144">
        <v>0</v>
      </c>
      <c r="DZ33" s="2144">
        <v>0</v>
      </c>
      <c r="EA33" s="2144">
        <f t="shared" si="105"/>
        <v>0</v>
      </c>
      <c r="EB33" s="2144">
        <f>SUM(EA33*EB50)</f>
        <v>0</v>
      </c>
      <c r="EC33" s="2144">
        <f>SUM(EA33*EC50)</f>
        <v>0</v>
      </c>
      <c r="ED33" s="2144">
        <f>SUM(EA33*ED50)</f>
        <v>0</v>
      </c>
      <c r="EE33" s="2144">
        <f>SUM(EA33*EE50)</f>
        <v>0</v>
      </c>
      <c r="EF33" s="2144">
        <f>SUM(EA33*EF50)</f>
        <v>0</v>
      </c>
      <c r="EG33" s="2144">
        <f>SUM(EA33*EG50)</f>
        <v>0</v>
      </c>
      <c r="EH33" s="2112">
        <f t="shared" si="131"/>
        <v>4.4039383485547816</v>
      </c>
      <c r="EI33" s="2112">
        <f t="shared" si="106"/>
        <v>2.851615820503981</v>
      </c>
      <c r="EJ33" s="3952" t="s">
        <v>1902</v>
      </c>
      <c r="EK33" s="2144">
        <f t="shared" si="107"/>
        <v>0</v>
      </c>
      <c r="EL33" s="2144">
        <v>0</v>
      </c>
      <c r="EM33" s="2144">
        <v>0</v>
      </c>
      <c r="EN33" s="2144">
        <v>0</v>
      </c>
      <c r="EO33" s="2144">
        <v>0</v>
      </c>
      <c r="EP33" s="2144">
        <v>0</v>
      </c>
      <c r="EQ33" s="2144">
        <v>0</v>
      </c>
      <c r="ER33" s="2144">
        <f t="shared" si="108"/>
        <v>0</v>
      </c>
      <c r="ES33" s="2144">
        <v>0</v>
      </c>
      <c r="ET33" s="2144">
        <v>0</v>
      </c>
      <c r="EU33" s="2144">
        <v>0</v>
      </c>
      <c r="EV33" s="2144">
        <v>0</v>
      </c>
      <c r="EW33" s="2144">
        <v>0</v>
      </c>
      <c r="EX33" s="2144">
        <v>0</v>
      </c>
      <c r="EY33" s="2144">
        <f t="shared" si="109"/>
        <v>0</v>
      </c>
      <c r="EZ33" s="2144">
        <v>0</v>
      </c>
      <c r="FA33" s="2144">
        <v>0</v>
      </c>
      <c r="FB33" s="2144">
        <v>0</v>
      </c>
      <c r="FC33" s="2144">
        <v>0</v>
      </c>
      <c r="FD33" s="3862">
        <v>0</v>
      </c>
      <c r="FE33" s="3862">
        <v>0</v>
      </c>
      <c r="FF33" s="2447">
        <f t="shared" si="148"/>
        <v>0</v>
      </c>
      <c r="FG33" s="2447">
        <f t="shared" si="149"/>
        <v>0</v>
      </c>
      <c r="FH33" s="2447">
        <f t="shared" si="150"/>
        <v>0</v>
      </c>
      <c r="FI33" s="2447">
        <f t="shared" si="151"/>
        <v>0</v>
      </c>
      <c r="FJ33" s="2447">
        <f t="shared" si="152"/>
        <v>0</v>
      </c>
      <c r="FK33" s="2447">
        <f>SUM(FF33*FK50)</f>
        <v>0</v>
      </c>
      <c r="FL33" s="2447">
        <f>SUM(FF33*FL50)</f>
        <v>0</v>
      </c>
      <c r="FM33" s="3512">
        <f t="shared" si="157"/>
        <v>5.0801935675313397</v>
      </c>
      <c r="FN33" s="3512">
        <f t="shared" si="158"/>
        <v>3.2895011695949314</v>
      </c>
      <c r="FO33" s="4760">
        <v>0</v>
      </c>
      <c r="FP33" s="4760">
        <v>0</v>
      </c>
      <c r="FQ33" s="4760">
        <v>0</v>
      </c>
      <c r="FR33" s="4760">
        <v>0</v>
      </c>
      <c r="FS33" s="4760">
        <v>0</v>
      </c>
      <c r="FT33" s="4760">
        <v>0</v>
      </c>
      <c r="FU33" s="4760">
        <v>0</v>
      </c>
      <c r="FV33" s="4760">
        <v>0</v>
      </c>
    </row>
    <row r="34" spans="1:178" ht="33" customHeight="1" x14ac:dyDescent="0.2">
      <c r="A34" s="3234" t="s">
        <v>4270</v>
      </c>
      <c r="B34" s="3110">
        <v>105.1</v>
      </c>
      <c r="C34" s="3110">
        <v>13</v>
      </c>
      <c r="D34" s="2139">
        <f t="shared" si="159"/>
        <v>12.369172216936251</v>
      </c>
      <c r="E34" s="3110">
        <v>28.1</v>
      </c>
      <c r="F34" s="2139">
        <f t="shared" si="160"/>
        <v>216.15384615384619</v>
      </c>
      <c r="G34" s="2140">
        <v>117.6</v>
      </c>
      <c r="H34" s="2139">
        <f t="shared" si="161"/>
        <v>418.5053380782918</v>
      </c>
      <c r="I34" s="2141">
        <v>108.2</v>
      </c>
      <c r="J34" s="2141">
        <v>58.5</v>
      </c>
      <c r="K34" s="2141">
        <v>108.2</v>
      </c>
      <c r="L34" s="2141">
        <v>103</v>
      </c>
      <c r="M34" s="2145">
        <f t="shared" si="163"/>
        <v>92.006802721088448</v>
      </c>
      <c r="N34" s="2141">
        <v>0</v>
      </c>
      <c r="O34" s="2141">
        <v>141.4</v>
      </c>
      <c r="P34" s="2141">
        <v>256.79226</v>
      </c>
      <c r="Q34" s="2141">
        <v>266</v>
      </c>
      <c r="R34" s="2141">
        <v>103</v>
      </c>
      <c r="S34" s="2140">
        <v>103</v>
      </c>
      <c r="T34" s="2143"/>
      <c r="U34" s="2144" t="e">
        <f>R34*#REF!</f>
        <v>#REF!</v>
      </c>
      <c r="V34" s="2144" t="e">
        <f>R34*#REF!</f>
        <v>#REF!</v>
      </c>
      <c r="W34" s="2144">
        <f t="shared" si="117"/>
        <v>58.810843932167451</v>
      </c>
      <c r="X34" s="2144">
        <f t="shared" si="118"/>
        <v>41.772108505564375</v>
      </c>
      <c r="Y34" s="2144">
        <v>246.24</v>
      </c>
      <c r="Z34" s="2144">
        <v>378.14</v>
      </c>
      <c r="AA34" s="2144">
        <v>344.26</v>
      </c>
      <c r="AB34" s="2141">
        <v>106.3</v>
      </c>
      <c r="AC34" s="2140">
        <v>0</v>
      </c>
      <c r="AD34" s="2144">
        <f t="shared" si="119"/>
        <v>0</v>
      </c>
      <c r="AE34" s="2144">
        <f t="shared" si="120"/>
        <v>0</v>
      </c>
      <c r="AF34" s="3233">
        <f t="shared" si="154"/>
        <v>0</v>
      </c>
      <c r="AG34" s="3233">
        <f t="shared" si="155"/>
        <v>0</v>
      </c>
      <c r="AH34" s="2144">
        <v>137.71</v>
      </c>
      <c r="AI34" s="2144">
        <v>296.42</v>
      </c>
      <c r="AJ34" s="2140">
        <f t="shared" si="153"/>
        <v>378.68600000000004</v>
      </c>
      <c r="AK34" s="2144">
        <f>AJ34*AI56</f>
        <v>225.69685600000003</v>
      </c>
      <c r="AL34" s="2144">
        <f>AJ34*AI57</f>
        <v>152.98914400000001</v>
      </c>
      <c r="AM34" s="3233"/>
      <c r="AN34" s="3233"/>
      <c r="AO34" s="2567"/>
      <c r="AP34" s="2144">
        <f t="shared" si="121"/>
        <v>0</v>
      </c>
      <c r="AQ34" s="2144">
        <f t="shared" si="122"/>
        <v>0</v>
      </c>
      <c r="AR34" s="2144">
        <f t="shared" si="7"/>
        <v>172.10000000000002</v>
      </c>
      <c r="AS34" s="2144">
        <v>101.54</v>
      </c>
      <c r="AT34" s="2144">
        <v>70.56</v>
      </c>
      <c r="AU34" s="2144">
        <f t="shared" si="8"/>
        <v>453.76526000000001</v>
      </c>
      <c r="AV34" s="2144">
        <v>263.18385000000001</v>
      </c>
      <c r="AW34" s="2144">
        <v>190.58141000000001</v>
      </c>
      <c r="AX34" s="2144">
        <f t="shared" si="137"/>
        <v>0</v>
      </c>
      <c r="AY34" s="2144">
        <v>0</v>
      </c>
      <c r="AZ34" s="2144">
        <v>0</v>
      </c>
      <c r="BA34" s="2144">
        <f t="shared" si="93"/>
        <v>1221.5623899999998</v>
      </c>
      <c r="BB34" s="2144">
        <v>709.23699999999997</v>
      </c>
      <c r="BC34" s="2144">
        <v>3.5529999999999999E-2</v>
      </c>
      <c r="BD34" s="2144">
        <v>504.03699999999998</v>
      </c>
      <c r="BE34" s="2144">
        <v>0.26885999999999999</v>
      </c>
      <c r="BF34" s="2144">
        <v>3.7109999999999999</v>
      </c>
      <c r="BG34" s="2144">
        <v>4.2729999999999997</v>
      </c>
      <c r="BH34" s="2144">
        <f t="shared" si="11"/>
        <v>0</v>
      </c>
      <c r="BI34" s="2144">
        <v>0</v>
      </c>
      <c r="BJ34" s="2144">
        <v>0</v>
      </c>
      <c r="BK34" s="2144">
        <f>(AR34+AU34)/2</f>
        <v>312.93263000000002</v>
      </c>
      <c r="BL34" s="2144">
        <f t="shared" si="123"/>
        <v>181.90937459953139</v>
      </c>
      <c r="BM34" s="2144">
        <f t="shared" si="124"/>
        <v>117.78903550642114</v>
      </c>
      <c r="BN34" s="2144">
        <f t="shared" si="125"/>
        <v>12.48612794594907</v>
      </c>
      <c r="BO34" s="2144">
        <f t="shared" si="126"/>
        <v>0.74809194809838531</v>
      </c>
      <c r="BP34" s="2144">
        <f>SUM(BA34)</f>
        <v>1221.5623899999998</v>
      </c>
      <c r="BQ34" s="2144">
        <f>SUM(BP34*BB50)</f>
        <v>718.64965814895231</v>
      </c>
      <c r="BR34" s="2564">
        <f>SUM(BP34*BC50)</f>
        <v>3.2504211352737802E-2</v>
      </c>
      <c r="BS34" s="2144">
        <f>SUM(BP34*BD50)</f>
        <v>496.77660771981743</v>
      </c>
      <c r="BT34" s="2610">
        <f>SUM(BP34*BE50)</f>
        <v>0.24634112709989045</v>
      </c>
      <c r="BU34" s="2144">
        <f>SUM(BP34*BF50)</f>
        <v>2.5354996666023619</v>
      </c>
      <c r="BV34" s="2144">
        <f>SUM(BP34*BG50)</f>
        <v>3.321779126175251</v>
      </c>
      <c r="BW34" s="2144">
        <f t="shared" si="95"/>
        <v>319.09740281099999</v>
      </c>
      <c r="BX34" s="2144">
        <f t="shared" si="127"/>
        <v>185.49298927914217</v>
      </c>
      <c r="BY34" s="2144">
        <f t="shared" si="128"/>
        <v>120.10947950589762</v>
      </c>
      <c r="BZ34" s="2144">
        <f t="shared" si="129"/>
        <v>12.732104666484265</v>
      </c>
      <c r="CA34" s="2144">
        <f t="shared" si="130"/>
        <v>0.76282935947592345</v>
      </c>
      <c r="CB34" s="2144">
        <f t="shared" si="96"/>
        <v>417.38</v>
      </c>
      <c r="CC34" s="2144">
        <v>242.37</v>
      </c>
      <c r="CD34" s="2144">
        <v>7.0000000000000007E-2</v>
      </c>
      <c r="CE34" s="2144">
        <v>166.58</v>
      </c>
      <c r="CF34" s="2144">
        <v>0.55000000000000004</v>
      </c>
      <c r="CG34" s="2144">
        <v>0</v>
      </c>
      <c r="CH34" s="2144">
        <v>7.81</v>
      </c>
      <c r="CI34" s="2144">
        <f t="shared" si="97"/>
        <v>603.01949999999999</v>
      </c>
      <c r="CJ34" s="2144">
        <v>353.59912000000003</v>
      </c>
      <c r="CK34" s="2144">
        <v>0.10569000000000001</v>
      </c>
      <c r="CL34" s="2144">
        <v>236.86248000000001</v>
      </c>
      <c r="CM34" s="2144">
        <v>0.65646000000000004</v>
      </c>
      <c r="CN34" s="2144">
        <v>0</v>
      </c>
      <c r="CO34" s="2144">
        <v>11.79575</v>
      </c>
      <c r="CP34" s="2144">
        <f t="shared" si="98"/>
        <v>674.95</v>
      </c>
      <c r="CQ34" s="2144">
        <v>395.03</v>
      </c>
      <c r="CR34" s="2144">
        <v>0.12</v>
      </c>
      <c r="CS34" s="2144">
        <v>264.10000000000002</v>
      </c>
      <c r="CT34" s="2144">
        <v>0.74</v>
      </c>
      <c r="CU34" s="2144">
        <v>0</v>
      </c>
      <c r="CV34" s="2144">
        <v>14.96</v>
      </c>
      <c r="CW34" s="2144">
        <f t="shared" si="99"/>
        <v>698.93772300000012</v>
      </c>
      <c r="CX34" s="2144">
        <f>SUM(CW34*CX50)</f>
        <v>408.99839189415934</v>
      </c>
      <c r="CY34" s="2144">
        <f>SUM(CW34*CY50)</f>
        <v>0.11392534555690528</v>
      </c>
      <c r="CZ34" s="2144">
        <f>SUM(CW34*CZ50)</f>
        <v>271.0889867387221</v>
      </c>
      <c r="DA34" s="2144">
        <f>SUM(CW34*DA50)</f>
        <v>0.7842324785700745</v>
      </c>
      <c r="DB34" s="2144">
        <f>SUM(CW34*DB50)</f>
        <v>0</v>
      </c>
      <c r="DC34" s="2144">
        <f>SUM(CW34*DC50)</f>
        <v>17.952186542991669</v>
      </c>
      <c r="DD34" s="2112">
        <v>131.57</v>
      </c>
      <c r="DE34" s="2112">
        <f t="shared" si="101"/>
        <v>123.42828867025491</v>
      </c>
      <c r="DF34" s="2144">
        <f t="shared" si="102"/>
        <v>212.95832999999999</v>
      </c>
      <c r="DG34" s="2144">
        <v>121.66410999999999</v>
      </c>
      <c r="DH34" s="2144">
        <v>3.2239999999999998E-2</v>
      </c>
      <c r="DI34" s="2144">
        <v>83.005790000000005</v>
      </c>
      <c r="DJ34" s="2144">
        <v>0.20319999999999999</v>
      </c>
      <c r="DK34" s="2144">
        <v>0</v>
      </c>
      <c r="DL34" s="2144">
        <v>8.0529899999999994</v>
      </c>
      <c r="DM34" s="2144">
        <f t="shared" si="103"/>
        <v>212.95832999999999</v>
      </c>
      <c r="DN34" s="2144">
        <v>121.66410999999999</v>
      </c>
      <c r="DO34" s="2144">
        <v>3.2239999999999998E-2</v>
      </c>
      <c r="DP34" s="2144">
        <v>83.005790000000005</v>
      </c>
      <c r="DQ34" s="2144">
        <v>0.20319999999999999</v>
      </c>
      <c r="DR34" s="2144">
        <v>0</v>
      </c>
      <c r="DS34" s="2144">
        <v>8.0529899999999994</v>
      </c>
      <c r="DT34" s="2144">
        <f t="shared" si="104"/>
        <v>506.40699999999993</v>
      </c>
      <c r="DU34" s="2144">
        <v>288.26</v>
      </c>
      <c r="DV34" s="2144">
        <v>5.0999999999999997E-2</v>
      </c>
      <c r="DW34" s="2144">
        <v>205.45</v>
      </c>
      <c r="DX34" s="2144">
        <v>0.57999999999999996</v>
      </c>
      <c r="DY34" s="2144">
        <v>0</v>
      </c>
      <c r="DZ34" s="2144">
        <v>12.066000000000001</v>
      </c>
      <c r="EA34" s="2144">
        <f t="shared" si="105"/>
        <v>526.41007649999983</v>
      </c>
      <c r="EB34" s="2144">
        <f>SUM(EA34*EB50)</f>
        <v>299.60381943508071</v>
      </c>
      <c r="EC34" s="2144">
        <f>SUM(EA34*EC50)</f>
        <v>7.3252796480997057E-2</v>
      </c>
      <c r="ED34" s="2144">
        <f>SUM(EA34*ED50)</f>
        <v>213.27926569880702</v>
      </c>
      <c r="EE34" s="2144">
        <f>SUM(EA34*EE50)</f>
        <v>0.59660351038845971</v>
      </c>
      <c r="EF34" s="2144">
        <f>SUM(EA34*EF50)</f>
        <v>0</v>
      </c>
      <c r="EG34" s="2144">
        <f>SUM(EA34*EG50)</f>
        <v>12.857135059242564</v>
      </c>
      <c r="EH34" s="2112">
        <f t="shared" si="131"/>
        <v>201.77686819489082</v>
      </c>
      <c r="EI34" s="2112">
        <f t="shared" si="106"/>
        <v>130.65353418154012</v>
      </c>
      <c r="EJ34" s="3953" t="s">
        <v>1923</v>
      </c>
      <c r="EK34" s="2144">
        <f>SUM(EL34:EQ34)</f>
        <v>285.74306999999999</v>
      </c>
      <c r="EL34" s="2144">
        <v>165.29230999999999</v>
      </c>
      <c r="EM34" s="2144">
        <v>3.4250000000000003E-2</v>
      </c>
      <c r="EN34" s="2144">
        <v>117.37023000000001</v>
      </c>
      <c r="EO34" s="2144">
        <v>0.28032000000000001</v>
      </c>
      <c r="EP34" s="2144">
        <v>0</v>
      </c>
      <c r="EQ34" s="2144">
        <v>2.7659600000000002</v>
      </c>
      <c r="ER34" s="2144">
        <f t="shared" si="108"/>
        <v>346.85542000000004</v>
      </c>
      <c r="ES34" s="2144">
        <v>197.286</v>
      </c>
      <c r="ET34" s="2144">
        <v>4.4760000000000001E-2</v>
      </c>
      <c r="EU34" s="2144">
        <v>141.131</v>
      </c>
      <c r="EV34" s="2144">
        <v>0.34066999999999997</v>
      </c>
      <c r="EW34" s="2144">
        <v>0</v>
      </c>
      <c r="EX34" s="2144">
        <v>8.0529899999999994</v>
      </c>
      <c r="EY34" s="2144">
        <v>518.35699999999997</v>
      </c>
      <c r="EZ34" s="2144">
        <v>288.815</v>
      </c>
      <c r="FA34" s="2144">
        <v>6.4130000000000006E-2</v>
      </c>
      <c r="FB34" s="2144">
        <v>206.393</v>
      </c>
      <c r="FC34" s="2144">
        <v>0.504</v>
      </c>
      <c r="FD34" s="3862">
        <v>0</v>
      </c>
      <c r="FE34" s="3862">
        <v>12.066000000000001</v>
      </c>
      <c r="FF34" s="2447">
        <f t="shared" si="148"/>
        <v>586.78815853350011</v>
      </c>
      <c r="FG34" s="2447">
        <f t="shared" si="149"/>
        <v>326.94305663250003</v>
      </c>
      <c r="FH34" s="2447">
        <f t="shared" si="150"/>
        <v>7.2596154015000011E-2</v>
      </c>
      <c r="FI34" s="2447">
        <f t="shared" si="151"/>
        <v>233.64007509150002</v>
      </c>
      <c r="FJ34" s="2447">
        <f t="shared" si="152"/>
        <v>0.57053581200000003</v>
      </c>
      <c r="FK34" s="2447">
        <f>SUM(FF34*FK50)</f>
        <v>0</v>
      </c>
      <c r="FL34" s="2447">
        <f>SUM(FF34*FL50)</f>
        <v>11.976936027798811</v>
      </c>
      <c r="FM34" s="3512">
        <f t="shared" si="157"/>
        <v>232.76110307418222</v>
      </c>
      <c r="FN34" s="3512">
        <f t="shared" si="158"/>
        <v>150.71628878322375</v>
      </c>
      <c r="FO34" s="4760">
        <v>217.37182999999999</v>
      </c>
      <c r="FP34" s="4760">
        <v>5.7500000000000002E-2</v>
      </c>
      <c r="FQ34" s="4760">
        <v>154.03496000000001</v>
      </c>
      <c r="FR34" s="4760">
        <v>0.37842999999999999</v>
      </c>
      <c r="FS34" s="4760">
        <f>328.84365+426.15748</f>
        <v>755.0011300000001</v>
      </c>
      <c r="FT34" s="4760">
        <f>0.06556+0.02522</f>
        <v>9.078E-2</v>
      </c>
      <c r="FU34" s="4760">
        <f>236.40229+324.11352</f>
        <v>560.51580999999999</v>
      </c>
      <c r="FV34" s="4760">
        <f>0.63999+0.85833</f>
        <v>1.4983200000000001</v>
      </c>
    </row>
    <row r="35" spans="1:178" ht="33" customHeight="1" x14ac:dyDescent="0.2">
      <c r="A35" s="3234" t="s">
        <v>41</v>
      </c>
      <c r="B35" s="3110">
        <v>8.1</v>
      </c>
      <c r="C35" s="3110">
        <v>11.6</v>
      </c>
      <c r="D35" s="2139">
        <f t="shared" si="159"/>
        <v>143.20987654320987</v>
      </c>
      <c r="E35" s="3110">
        <v>17.600000000000001</v>
      </c>
      <c r="F35" s="2139">
        <f t="shared" si="160"/>
        <v>151.72413793103451</v>
      </c>
      <c r="G35" s="2140">
        <v>14.6</v>
      </c>
      <c r="H35" s="2139">
        <f t="shared" si="161"/>
        <v>82.954545454545453</v>
      </c>
      <c r="I35" s="2141">
        <v>19.600000000000001</v>
      </c>
      <c r="J35" s="2141">
        <v>12.2</v>
      </c>
      <c r="K35" s="2141">
        <f>J35/9*12</f>
        <v>16.266666666666666</v>
      </c>
      <c r="L35" s="2141">
        <v>16.600000000000001</v>
      </c>
      <c r="M35" s="2145">
        <f t="shared" si="163"/>
        <v>111.41552511415524</v>
      </c>
      <c r="N35" s="2141">
        <v>17.063733333333332</v>
      </c>
      <c r="O35" s="2141">
        <v>1.1000000000000001</v>
      </c>
      <c r="P35" s="2141">
        <v>1.1040000000000001</v>
      </c>
      <c r="Q35" s="2141">
        <v>1.1000000000000001</v>
      </c>
      <c r="R35" s="2141">
        <v>17.850000000000001</v>
      </c>
      <c r="S35" s="2140">
        <f>P35/9*12*1.048</f>
        <v>1.542656</v>
      </c>
      <c r="T35" s="2143">
        <f>S35/N35</f>
        <v>9.0405538451921438E-2</v>
      </c>
      <c r="U35" s="2144" t="e">
        <f>R35*#REF!</f>
        <v>#REF!</v>
      </c>
      <c r="V35" s="2144" t="e">
        <f>R35*#REF!</f>
        <v>#REF!</v>
      </c>
      <c r="W35" s="2144">
        <f t="shared" si="117"/>
        <v>0.88082428404875446</v>
      </c>
      <c r="X35" s="2144">
        <f t="shared" si="118"/>
        <v>0.62563100794912541</v>
      </c>
      <c r="Y35" s="2144"/>
      <c r="Z35" s="2144">
        <v>4.8</v>
      </c>
      <c r="AA35" s="2144">
        <v>4.76</v>
      </c>
      <c r="AB35" s="2141">
        <v>1.9</v>
      </c>
      <c r="AC35" s="2140">
        <f>AB35</f>
        <v>1.9</v>
      </c>
      <c r="AD35" s="2144">
        <f t="shared" si="119"/>
        <v>1.1247984428779654</v>
      </c>
      <c r="AE35" s="2144">
        <f t="shared" si="120"/>
        <v>0.76000122608034204</v>
      </c>
      <c r="AF35" s="3233">
        <f t="shared" si="154"/>
        <v>1.2769839152342293</v>
      </c>
      <c r="AG35" s="3233">
        <f t="shared" si="155"/>
        <v>1.2147755089244925</v>
      </c>
      <c r="AH35" s="2144">
        <v>0</v>
      </c>
      <c r="AI35" s="2144">
        <v>0</v>
      </c>
      <c r="AJ35" s="2140">
        <f t="shared" si="153"/>
        <v>5.2359999999999998</v>
      </c>
      <c r="AK35" s="2144">
        <f>AJ35*AI56</f>
        <v>3.1206559999999999</v>
      </c>
      <c r="AL35" s="2144">
        <f>AJ35*AI57</f>
        <v>2.1153439999999999</v>
      </c>
      <c r="AM35" s="3233">
        <f t="shared" ref="AM35:AN39" si="165">AK35/AD35</f>
        <v>2.7744135136027874</v>
      </c>
      <c r="AN35" s="3233">
        <f t="shared" si="165"/>
        <v>2.7833428781552789</v>
      </c>
      <c r="AO35" s="2567">
        <v>0</v>
      </c>
      <c r="AP35" s="2144">
        <f t="shared" si="121"/>
        <v>0</v>
      </c>
      <c r="AQ35" s="2144">
        <f t="shared" si="122"/>
        <v>0</v>
      </c>
      <c r="AR35" s="2144">
        <f t="shared" si="7"/>
        <v>0</v>
      </c>
      <c r="AS35" s="2144">
        <v>0</v>
      </c>
      <c r="AT35" s="2144">
        <v>0</v>
      </c>
      <c r="AU35" s="2144">
        <f t="shared" si="8"/>
        <v>0</v>
      </c>
      <c r="AV35" s="2144">
        <v>0</v>
      </c>
      <c r="AW35" s="2144">
        <v>0</v>
      </c>
      <c r="AX35" s="2144">
        <f t="shared" si="137"/>
        <v>0</v>
      </c>
      <c r="AY35" s="2144">
        <v>0</v>
      </c>
      <c r="AZ35" s="2144">
        <v>0</v>
      </c>
      <c r="BA35" s="2144">
        <f t="shared" si="93"/>
        <v>0</v>
      </c>
      <c r="BB35" s="2144">
        <v>0</v>
      </c>
      <c r="BC35" s="2144">
        <v>0</v>
      </c>
      <c r="BD35" s="2144">
        <v>0</v>
      </c>
      <c r="BE35" s="2144">
        <v>0</v>
      </c>
      <c r="BF35" s="2144">
        <v>0</v>
      </c>
      <c r="BG35" s="2144">
        <v>0</v>
      </c>
      <c r="BH35" s="2144">
        <f t="shared" si="11"/>
        <v>0</v>
      </c>
      <c r="BI35" s="2144">
        <v>0</v>
      </c>
      <c r="BJ35" s="2144">
        <v>0</v>
      </c>
      <c r="BK35" s="2144">
        <v>0</v>
      </c>
      <c r="BL35" s="2144">
        <f t="shared" si="123"/>
        <v>0</v>
      </c>
      <c r="BM35" s="2144">
        <f t="shared" si="124"/>
        <v>0</v>
      </c>
      <c r="BN35" s="2144">
        <f t="shared" si="125"/>
        <v>0</v>
      </c>
      <c r="BO35" s="2144">
        <f t="shared" si="126"/>
        <v>0</v>
      </c>
      <c r="BP35" s="2144">
        <f t="shared" si="94"/>
        <v>0</v>
      </c>
      <c r="BQ35" s="2144">
        <v>0</v>
      </c>
      <c r="BR35" s="2144">
        <v>0</v>
      </c>
      <c r="BS35" s="2144">
        <v>0</v>
      </c>
      <c r="BT35" s="2144">
        <v>0</v>
      </c>
      <c r="BU35" s="2144">
        <v>0</v>
      </c>
      <c r="BV35" s="2144">
        <v>0</v>
      </c>
      <c r="BW35" s="2144">
        <f t="shared" si="95"/>
        <v>0</v>
      </c>
      <c r="BX35" s="2144">
        <f t="shared" si="127"/>
        <v>0</v>
      </c>
      <c r="BY35" s="2144">
        <f t="shared" si="128"/>
        <v>0</v>
      </c>
      <c r="BZ35" s="2144">
        <f t="shared" si="129"/>
        <v>0</v>
      </c>
      <c r="CA35" s="2144">
        <f t="shared" si="130"/>
        <v>0</v>
      </c>
      <c r="CB35" s="2144">
        <f t="shared" si="96"/>
        <v>0</v>
      </c>
      <c r="CC35" s="2144">
        <v>0</v>
      </c>
      <c r="CD35" s="2144">
        <v>0</v>
      </c>
      <c r="CE35" s="2144">
        <v>0</v>
      </c>
      <c r="CF35" s="2144">
        <v>0</v>
      </c>
      <c r="CG35" s="2144">
        <v>0</v>
      </c>
      <c r="CH35" s="2144">
        <v>0</v>
      </c>
      <c r="CI35" s="2144">
        <f t="shared" si="97"/>
        <v>0</v>
      </c>
      <c r="CJ35" s="2144">
        <v>0</v>
      </c>
      <c r="CK35" s="2144">
        <v>0</v>
      </c>
      <c r="CL35" s="2144">
        <v>0</v>
      </c>
      <c r="CM35" s="2144">
        <v>0</v>
      </c>
      <c r="CN35" s="2144">
        <v>0</v>
      </c>
      <c r="CO35" s="2144">
        <v>0</v>
      </c>
      <c r="CP35" s="2144">
        <f t="shared" si="98"/>
        <v>0</v>
      </c>
      <c r="CQ35" s="2144">
        <v>0</v>
      </c>
      <c r="CR35" s="2144">
        <v>0</v>
      </c>
      <c r="CS35" s="2144">
        <v>0</v>
      </c>
      <c r="CT35" s="2144">
        <v>0</v>
      </c>
      <c r="CU35" s="2144">
        <v>0</v>
      </c>
      <c r="CV35" s="2144">
        <v>0</v>
      </c>
      <c r="CW35" s="2144">
        <f t="shared" si="99"/>
        <v>0</v>
      </c>
      <c r="CX35" s="2144">
        <f>SUM(CW35*CX50)</f>
        <v>0</v>
      </c>
      <c r="CY35" s="2144">
        <f>SUM(CW35*CY50)</f>
        <v>0</v>
      </c>
      <c r="CZ35" s="2144">
        <f>SUM(CW35*CZ50)</f>
        <v>0</v>
      </c>
      <c r="DA35" s="2144">
        <f>SUM(CW35*DA50)</f>
        <v>0</v>
      </c>
      <c r="DB35" s="2144">
        <f>SUM(CW35*DB50)</f>
        <v>0</v>
      </c>
      <c r="DC35" s="2144">
        <f>SUM(CW35*DC50)</f>
        <v>0</v>
      </c>
      <c r="DD35" s="2112">
        <f t="shared" si="100"/>
        <v>0</v>
      </c>
      <c r="DE35" s="2112">
        <f t="shared" si="101"/>
        <v>0</v>
      </c>
      <c r="DF35" s="2144">
        <f t="shared" si="102"/>
        <v>0</v>
      </c>
      <c r="DG35" s="2144">
        <v>0</v>
      </c>
      <c r="DH35" s="2144">
        <v>0</v>
      </c>
      <c r="DI35" s="2144">
        <v>0</v>
      </c>
      <c r="DJ35" s="2144">
        <v>0</v>
      </c>
      <c r="DK35" s="2144">
        <v>0</v>
      </c>
      <c r="DL35" s="2144">
        <v>0</v>
      </c>
      <c r="DM35" s="2144">
        <f t="shared" si="103"/>
        <v>0</v>
      </c>
      <c r="DN35" s="2144">
        <v>0</v>
      </c>
      <c r="DO35" s="2144">
        <v>0</v>
      </c>
      <c r="DP35" s="2144">
        <v>0</v>
      </c>
      <c r="DQ35" s="2144">
        <v>0</v>
      </c>
      <c r="DR35" s="2144">
        <v>0</v>
      </c>
      <c r="DS35" s="2144">
        <v>0</v>
      </c>
      <c r="DT35" s="2144">
        <f t="shared" si="104"/>
        <v>0</v>
      </c>
      <c r="DU35" s="2144">
        <v>0</v>
      </c>
      <c r="DV35" s="2144">
        <v>0</v>
      </c>
      <c r="DW35" s="2144">
        <v>0</v>
      </c>
      <c r="DX35" s="2144">
        <v>0</v>
      </c>
      <c r="DY35" s="2144">
        <v>0</v>
      </c>
      <c r="DZ35" s="2144">
        <v>0</v>
      </c>
      <c r="EA35" s="2144">
        <f t="shared" si="105"/>
        <v>0</v>
      </c>
      <c r="EB35" s="2144">
        <f>SUM(EA35*EB50)</f>
        <v>0</v>
      </c>
      <c r="EC35" s="2144">
        <f>SUM(EA35*EC50)</f>
        <v>0</v>
      </c>
      <c r="ED35" s="2144">
        <f>SUM(EA35*ED50)</f>
        <v>0</v>
      </c>
      <c r="EE35" s="2144">
        <f>SUM(EA35*EE50)</f>
        <v>0</v>
      </c>
      <c r="EF35" s="2144">
        <f>SUM(EA35*EF50)</f>
        <v>0</v>
      </c>
      <c r="EG35" s="2144">
        <f>SUM(EA35*EG50)</f>
        <v>0</v>
      </c>
      <c r="EH35" s="2112">
        <f t="shared" si="131"/>
        <v>0</v>
      </c>
      <c r="EI35" s="2112">
        <f t="shared" si="106"/>
        <v>0</v>
      </c>
      <c r="EJ35" s="3952"/>
      <c r="EK35" s="2144">
        <f t="shared" si="107"/>
        <v>0</v>
      </c>
      <c r="EL35" s="2144">
        <v>0</v>
      </c>
      <c r="EM35" s="2144">
        <v>0</v>
      </c>
      <c r="EN35" s="2144">
        <v>0</v>
      </c>
      <c r="EO35" s="2144">
        <v>0</v>
      </c>
      <c r="EP35" s="2144">
        <v>0</v>
      </c>
      <c r="EQ35" s="2144">
        <v>0</v>
      </c>
      <c r="ER35" s="2144">
        <f t="shared" si="108"/>
        <v>0</v>
      </c>
      <c r="ES35" s="2144">
        <v>0</v>
      </c>
      <c r="ET35" s="2144">
        <v>0</v>
      </c>
      <c r="EU35" s="2144">
        <v>0</v>
      </c>
      <c r="EV35" s="2144">
        <v>0</v>
      </c>
      <c r="EW35" s="2144">
        <v>0</v>
      </c>
      <c r="EX35" s="2144">
        <v>0</v>
      </c>
      <c r="EY35" s="2144">
        <f t="shared" si="109"/>
        <v>0</v>
      </c>
      <c r="EZ35" s="2144">
        <v>0</v>
      </c>
      <c r="FA35" s="2144">
        <v>0</v>
      </c>
      <c r="FB35" s="2144">
        <v>0</v>
      </c>
      <c r="FC35" s="2144">
        <v>0</v>
      </c>
      <c r="FD35" s="3862">
        <v>0</v>
      </c>
      <c r="FE35" s="3862">
        <v>0</v>
      </c>
      <c r="FF35" s="2447">
        <f t="shared" si="148"/>
        <v>0</v>
      </c>
      <c r="FG35" s="2447">
        <f t="shared" si="149"/>
        <v>0</v>
      </c>
      <c r="FH35" s="2447">
        <f t="shared" si="150"/>
        <v>0</v>
      </c>
      <c r="FI35" s="2447">
        <f t="shared" si="151"/>
        <v>0</v>
      </c>
      <c r="FJ35" s="2447">
        <f t="shared" si="152"/>
        <v>0</v>
      </c>
      <c r="FK35" s="2447">
        <f>SUM(FF35*FK50)</f>
        <v>0</v>
      </c>
      <c r="FL35" s="2447">
        <f>SUM(FF35*FL50)</f>
        <v>0</v>
      </c>
      <c r="FM35" s="3512">
        <f t="shared" si="157"/>
        <v>0</v>
      </c>
      <c r="FN35" s="3512">
        <f t="shared" si="158"/>
        <v>0</v>
      </c>
      <c r="FO35" s="4760">
        <v>0</v>
      </c>
      <c r="FP35" s="4760">
        <v>0</v>
      </c>
      <c r="FQ35" s="4760">
        <v>0</v>
      </c>
      <c r="FR35" s="4760">
        <v>0</v>
      </c>
      <c r="FS35" s="4760">
        <v>0</v>
      </c>
      <c r="FT35" s="4760">
        <v>0</v>
      </c>
      <c r="FU35" s="4760">
        <v>0</v>
      </c>
      <c r="FV35" s="4760">
        <v>0</v>
      </c>
    </row>
    <row r="36" spans="1:178" ht="33" customHeight="1" x14ac:dyDescent="0.2">
      <c r="A36" s="3234" t="s">
        <v>42</v>
      </c>
      <c r="B36" s="3110">
        <v>26.2</v>
      </c>
      <c r="C36" s="3110">
        <v>19.3</v>
      </c>
      <c r="D36" s="2139">
        <f t="shared" si="159"/>
        <v>73.66412213740459</v>
      </c>
      <c r="E36" s="3110">
        <v>20.3</v>
      </c>
      <c r="F36" s="2139">
        <f t="shared" si="160"/>
        <v>105.18134715025906</v>
      </c>
      <c r="G36" s="2140">
        <v>23.4</v>
      </c>
      <c r="H36" s="2139">
        <f t="shared" si="161"/>
        <v>115.27093596059113</v>
      </c>
      <c r="I36" s="2141">
        <v>25.3</v>
      </c>
      <c r="J36" s="2141">
        <v>20.8</v>
      </c>
      <c r="K36" s="2141">
        <v>25.3</v>
      </c>
      <c r="L36" s="2141">
        <v>23.5</v>
      </c>
      <c r="M36" s="2145">
        <f t="shared" si="163"/>
        <v>108.11965811965814</v>
      </c>
      <c r="N36" s="2141">
        <v>26.5397</v>
      </c>
      <c r="O36" s="2141">
        <v>8.3000000000000007</v>
      </c>
      <c r="P36" s="2141">
        <v>8.2553599999999996</v>
      </c>
      <c r="Q36" s="2141">
        <v>23.5</v>
      </c>
      <c r="R36" s="2141">
        <v>29.03</v>
      </c>
      <c r="S36" s="2140">
        <f>23.5197*1.048</f>
        <v>24.648645600000002</v>
      </c>
      <c r="T36" s="2143">
        <f>S36/N36</f>
        <v>0.9287462028583594</v>
      </c>
      <c r="U36" s="2144" t="e">
        <f>R36*#REF!</f>
        <v>#REF!</v>
      </c>
      <c r="V36" s="2144" t="e">
        <f>R36*#REF!</f>
        <v>#REF!</v>
      </c>
      <c r="W36" s="2144">
        <f t="shared" si="117"/>
        <v>14.073860674960253</v>
      </c>
      <c r="X36" s="2144">
        <f t="shared" si="118"/>
        <v>9.9963679467806017</v>
      </c>
      <c r="Y36" s="2144">
        <v>9.32</v>
      </c>
      <c r="Z36" s="2144">
        <v>22.54</v>
      </c>
      <c r="AA36" s="2144">
        <v>25.47</v>
      </c>
      <c r="AB36" s="2141">
        <v>26</v>
      </c>
      <c r="AC36" s="2140">
        <f>AB36</f>
        <v>26</v>
      </c>
      <c r="AD36" s="2144">
        <f t="shared" si="119"/>
        <v>15.391978692014264</v>
      </c>
      <c r="AE36" s="2144">
        <f t="shared" si="120"/>
        <v>10.400016777941524</v>
      </c>
      <c r="AF36" s="3233">
        <f t="shared" si="154"/>
        <v>1.0936571739266372</v>
      </c>
      <c r="AG36" s="3233">
        <f t="shared" si="155"/>
        <v>1.040379549183253</v>
      </c>
      <c r="AH36" s="2144">
        <v>8.99</v>
      </c>
      <c r="AI36" s="2144">
        <v>22.81</v>
      </c>
      <c r="AJ36" s="2140">
        <f t="shared" si="153"/>
        <v>28.016999999999999</v>
      </c>
      <c r="AK36" s="2144">
        <f>AJ36*AI56</f>
        <v>16.698131999999998</v>
      </c>
      <c r="AL36" s="2144">
        <f>AJ36*AI57</f>
        <v>11.318868</v>
      </c>
      <c r="AM36" s="3233">
        <f t="shared" si="165"/>
        <v>1.0848593500628607</v>
      </c>
      <c r="AN36" s="3233">
        <f t="shared" si="165"/>
        <v>1.0883509365107338</v>
      </c>
      <c r="AO36" s="2567">
        <f>AJ36</f>
        <v>28.016999999999999</v>
      </c>
      <c r="AP36" s="2144">
        <f t="shared" si="121"/>
        <v>15.245590156268396</v>
      </c>
      <c r="AQ36" s="2144">
        <f t="shared" si="122"/>
        <v>12.620429101912972</v>
      </c>
      <c r="AR36" s="2144">
        <f t="shared" si="7"/>
        <v>27.509999999999998</v>
      </c>
      <c r="AS36" s="2144">
        <v>16.23</v>
      </c>
      <c r="AT36" s="2144">
        <v>11.28</v>
      </c>
      <c r="AU36" s="2144">
        <f t="shared" si="8"/>
        <v>28.88336</v>
      </c>
      <c r="AV36" s="2144">
        <v>16.75235</v>
      </c>
      <c r="AW36" s="2144">
        <v>12.13101</v>
      </c>
      <c r="AX36" s="2144">
        <f t="shared" si="137"/>
        <v>30.59</v>
      </c>
      <c r="AY36" s="2144">
        <v>18.05</v>
      </c>
      <c r="AZ36" s="2144">
        <v>12.54</v>
      </c>
      <c r="BA36" s="2144">
        <f t="shared" si="93"/>
        <v>22.704999999999998</v>
      </c>
      <c r="BB36" s="2144">
        <v>13.407999999999999</v>
      </c>
      <c r="BC36" s="2144">
        <v>0</v>
      </c>
      <c r="BD36" s="2144">
        <v>9.2970000000000006</v>
      </c>
      <c r="BE36" s="2144">
        <v>0</v>
      </c>
      <c r="BF36" s="2144">
        <v>0</v>
      </c>
      <c r="BG36" s="2144">
        <v>0</v>
      </c>
      <c r="BH36" s="2144">
        <f t="shared" si="11"/>
        <v>31.509999999999998</v>
      </c>
      <c r="BI36" s="2144">
        <v>18.309999999999999</v>
      </c>
      <c r="BJ36" s="2144">
        <v>13.2</v>
      </c>
      <c r="BK36" s="2144">
        <f>AU36*1.027*1.046</f>
        <v>31.027718413119999</v>
      </c>
      <c r="BL36" s="2144">
        <f t="shared" si="123"/>
        <v>18.036575002680365</v>
      </c>
      <c r="BM36" s="2144">
        <f t="shared" si="124"/>
        <v>11.678951555311532</v>
      </c>
      <c r="BN36" s="2144">
        <f t="shared" si="125"/>
        <v>1.2380174671369237</v>
      </c>
      <c r="BO36" s="2144">
        <f t="shared" si="126"/>
        <v>7.4174387991175858E-2</v>
      </c>
      <c r="BP36" s="2144">
        <f>SUM(BK36*1.046)</f>
        <v>32.454993460123518</v>
      </c>
      <c r="BQ36" s="2144">
        <f>SUM(BP36*BB50)</f>
        <v>19.093392319768661</v>
      </c>
      <c r="BR36" s="2564">
        <f>SUM(BP36*BC50)</f>
        <v>8.6358582706494262E-4</v>
      </c>
      <c r="BS36" s="2144">
        <f>SUM(BP36*BD50)</f>
        <v>13.198573962881277</v>
      </c>
      <c r="BT36" s="2610">
        <f>SUM(BP36*BE50)</f>
        <v>6.544896711322622E-3</v>
      </c>
      <c r="BU36" s="2144">
        <f>SUM(BP36*BF50)</f>
        <v>6.7364242523646312E-2</v>
      </c>
      <c r="BV36" s="2144">
        <f>SUM(BP36*BG50)</f>
        <v>8.8254452411548626E-2</v>
      </c>
      <c r="BW36" s="2144">
        <f t="shared" si="95"/>
        <v>31.638964465858464</v>
      </c>
      <c r="BX36" s="2144">
        <f t="shared" si="127"/>
        <v>18.391895530233167</v>
      </c>
      <c r="BY36" s="2144">
        <f t="shared" si="128"/>
        <v>11.90902690095117</v>
      </c>
      <c r="BZ36" s="2144">
        <f t="shared" si="129"/>
        <v>1.2624064112395212</v>
      </c>
      <c r="CA36" s="2144">
        <f t="shared" si="130"/>
        <v>7.563562343460202E-2</v>
      </c>
      <c r="CB36" s="2144">
        <f t="shared" si="96"/>
        <v>24.555000000000003</v>
      </c>
      <c r="CC36" s="2144">
        <v>14.51</v>
      </c>
      <c r="CD36" s="2610">
        <v>5.0000000000000001E-3</v>
      </c>
      <c r="CE36" s="2144">
        <v>9.4600000000000009</v>
      </c>
      <c r="CF36" s="2144">
        <v>0.05</v>
      </c>
      <c r="CG36" s="2144">
        <v>0</v>
      </c>
      <c r="CH36" s="2144">
        <v>0.53</v>
      </c>
      <c r="CI36" s="2144">
        <f t="shared" si="97"/>
        <v>26.081919999999997</v>
      </c>
      <c r="CJ36" s="2144">
        <v>15.40957</v>
      </c>
      <c r="CK36" s="2144">
        <v>5.62E-3</v>
      </c>
      <c r="CL36" s="2144">
        <v>10.05922</v>
      </c>
      <c r="CM36" s="2144">
        <v>4.7410000000000001E-2</v>
      </c>
      <c r="CN36" s="2144">
        <v>0</v>
      </c>
      <c r="CO36" s="2144">
        <v>0.56010000000000004</v>
      </c>
      <c r="CP36" s="2144">
        <f t="shared" si="98"/>
        <v>27.506</v>
      </c>
      <c r="CQ36" s="2144">
        <v>16.23</v>
      </c>
      <c r="CR36" s="2144">
        <v>6.0000000000000001E-3</v>
      </c>
      <c r="CS36" s="2144">
        <v>10.59</v>
      </c>
      <c r="CT36" s="2144">
        <v>0.05</v>
      </c>
      <c r="CU36" s="2144">
        <v>0</v>
      </c>
      <c r="CV36" s="2144">
        <v>0.63</v>
      </c>
      <c r="CW36" s="2144">
        <f t="shared" si="99"/>
        <v>28.483563239999999</v>
      </c>
      <c r="CX36" s="2144">
        <f>SUM(CW36*CX50)</f>
        <v>16.667767638255789</v>
      </c>
      <c r="CY36" s="2144">
        <f>SUM(CW36*CY50)</f>
        <v>4.6427595449859043E-3</v>
      </c>
      <c r="CZ36" s="2144">
        <f>SUM(CW36*CZ50)</f>
        <v>11.047594146581655</v>
      </c>
      <c r="DA36" s="2144">
        <f>SUM(CW36*DA50)</f>
        <v>3.1959550419362118E-2</v>
      </c>
      <c r="DB36" s="2144">
        <f>SUM(CW36*DB50)</f>
        <v>0</v>
      </c>
      <c r="DC36" s="2144">
        <f>SUM(CW36*DC50)</f>
        <v>0.73159914519820535</v>
      </c>
      <c r="DD36" s="2112">
        <f t="shared" si="100"/>
        <v>18.900091816544133</v>
      </c>
      <c r="DE36" s="2112">
        <f t="shared" si="101"/>
        <v>12.238091582440473</v>
      </c>
      <c r="DF36" s="2144">
        <f t="shared" si="102"/>
        <v>5.0685600000000006</v>
      </c>
      <c r="DG36" s="2144">
        <v>2.9003700000000001</v>
      </c>
      <c r="DH36" s="2610">
        <v>4.0999999999999999E-4</v>
      </c>
      <c r="DI36" s="2144">
        <v>2.01953</v>
      </c>
      <c r="DJ36" s="2144">
        <v>4.8599999999999997E-3</v>
      </c>
      <c r="DK36" s="2144">
        <v>0</v>
      </c>
      <c r="DL36" s="2144">
        <v>0.14338999999999999</v>
      </c>
      <c r="DM36" s="2144">
        <f t="shared" si="103"/>
        <v>22.841830000000002</v>
      </c>
      <c r="DN36" s="2144">
        <v>12.867660000000001</v>
      </c>
      <c r="DO36" s="2144">
        <v>5.5500000000000002E-3</v>
      </c>
      <c r="DP36" s="2144">
        <v>9.4936000000000007</v>
      </c>
      <c r="DQ36" s="2144">
        <v>2.7560000000000001E-2</v>
      </c>
      <c r="DR36" s="2144">
        <v>0</v>
      </c>
      <c r="DS36" s="2144">
        <v>0.44746000000000002</v>
      </c>
      <c r="DT36" s="2144">
        <f t="shared" si="104"/>
        <v>24.326000000000001</v>
      </c>
      <c r="DU36" s="2144">
        <v>13.74</v>
      </c>
      <c r="DV36" s="2144">
        <v>6.0000000000000001E-3</v>
      </c>
      <c r="DW36" s="2144">
        <v>10.09</v>
      </c>
      <c r="DX36" s="2144">
        <v>0.03</v>
      </c>
      <c r="DY36" s="2144">
        <v>0</v>
      </c>
      <c r="DZ36" s="2144">
        <v>0.46</v>
      </c>
      <c r="EA36" s="2144">
        <f t="shared" si="105"/>
        <v>25.286877</v>
      </c>
      <c r="EB36" s="2144">
        <f>SUM(EA36*EB50)</f>
        <v>14.391907125252564</v>
      </c>
      <c r="EC36" s="2144">
        <f>SUM(EA36*EC50)</f>
        <v>3.5188050860211944E-3</v>
      </c>
      <c r="ED36" s="2144">
        <f>SUM(EA36*ED50)</f>
        <v>10.245181084363331</v>
      </c>
      <c r="EE36" s="2144">
        <f>SUM(EA36*EE50)</f>
        <v>2.8658721134798049E-2</v>
      </c>
      <c r="EF36" s="2144">
        <f>SUM(EA36*EF50)</f>
        <v>0</v>
      </c>
      <c r="EG36" s="2144">
        <f>SUM(EA36*EG50)</f>
        <v>0.61761126416328116</v>
      </c>
      <c r="EH36" s="2112">
        <f t="shared" si="131"/>
        <v>20.006465444758199</v>
      </c>
      <c r="EI36" s="2112">
        <f t="shared" si="106"/>
        <v>12.954485022107709</v>
      </c>
      <c r="EJ36" s="3953" t="s">
        <v>1920</v>
      </c>
      <c r="EK36" s="2144">
        <f t="shared" si="107"/>
        <v>20.978870000000001</v>
      </c>
      <c r="EL36" s="2144">
        <v>12.319750000000001</v>
      </c>
      <c r="EM36" s="2610">
        <v>1.9599999999999999E-3</v>
      </c>
      <c r="EN36" s="2144">
        <v>8.1746200000000009</v>
      </c>
      <c r="EO36" s="2144">
        <v>1.289E-2</v>
      </c>
      <c r="EP36" s="2144">
        <v>0</v>
      </c>
      <c r="EQ36" s="2144">
        <v>0.46965000000000001</v>
      </c>
      <c r="ER36" s="2144">
        <f t="shared" si="108"/>
        <v>22.882760000000001</v>
      </c>
      <c r="ES36" s="2144">
        <v>13.420999999999999</v>
      </c>
      <c r="ET36" s="2144">
        <v>2.33E-3</v>
      </c>
      <c r="EU36" s="2144">
        <v>8.9969999999999999</v>
      </c>
      <c r="EV36" s="2144">
        <v>1.4970000000000001E-2</v>
      </c>
      <c r="EW36" s="2144">
        <v>0</v>
      </c>
      <c r="EX36" s="2144">
        <v>0.44746000000000002</v>
      </c>
      <c r="EY36" s="2144">
        <v>25.53</v>
      </c>
      <c r="EZ36" s="2144">
        <v>14.279</v>
      </c>
      <c r="FA36" s="2144">
        <v>2.5100000000000001E-3</v>
      </c>
      <c r="FB36" s="2144">
        <v>9.6159999999999997</v>
      </c>
      <c r="FC36" s="2144">
        <v>1.6E-2</v>
      </c>
      <c r="FD36" s="3862">
        <v>0</v>
      </c>
      <c r="FE36" s="3862">
        <v>0.46</v>
      </c>
      <c r="FF36" s="2447">
        <f t="shared" si="148"/>
        <v>28.900355715</v>
      </c>
      <c r="FG36" s="2447">
        <f t="shared" si="149"/>
        <v>16.164049324500002</v>
      </c>
      <c r="FH36" s="2447">
        <f t="shared" si="150"/>
        <v>2.8413589050000003E-3</v>
      </c>
      <c r="FI36" s="2447">
        <f t="shared" si="151"/>
        <v>10.885461048</v>
      </c>
      <c r="FJ36" s="2447">
        <f t="shared" si="152"/>
        <v>1.8112248000000004E-2</v>
      </c>
      <c r="FK36" s="2447">
        <f>SUM(FF36*FK50)</f>
        <v>0</v>
      </c>
      <c r="FL36" s="2447">
        <f>SUM(FF36*FL50)</f>
        <v>0.58988530450964027</v>
      </c>
      <c r="FM36" s="3512">
        <f t="shared" si="157"/>
        <v>23.078596705344935</v>
      </c>
      <c r="FN36" s="3512">
        <f t="shared" si="158"/>
        <v>14.9437358725945</v>
      </c>
      <c r="FO36" s="4760">
        <v>3.8159999999999998</v>
      </c>
      <c r="FP36" s="4761">
        <v>1.01E-3</v>
      </c>
      <c r="FQ36" s="4760">
        <v>2.79427</v>
      </c>
      <c r="FR36" s="4760">
        <v>6.9899999999999997E-3</v>
      </c>
      <c r="FS36" s="4760">
        <v>4.4088500000000002</v>
      </c>
      <c r="FT36" s="4760">
        <v>1.1199999999999999E-3</v>
      </c>
      <c r="FU36" s="4760">
        <v>3.2469000000000001</v>
      </c>
      <c r="FV36" s="4760">
        <v>8.0800000000000004E-3</v>
      </c>
    </row>
    <row r="37" spans="1:178" ht="24" customHeight="1" x14ac:dyDescent="0.2">
      <c r="A37" s="3234" t="s">
        <v>75</v>
      </c>
      <c r="B37" s="3110">
        <f>136.6+89.7</f>
        <v>226.3</v>
      </c>
      <c r="C37" s="3110">
        <v>10.5</v>
      </c>
      <c r="D37" s="2139">
        <f t="shared" si="159"/>
        <v>4.6398585947856823</v>
      </c>
      <c r="E37" s="3110">
        <v>12.3</v>
      </c>
      <c r="F37" s="2139">
        <f t="shared" si="160"/>
        <v>117.14285714285715</v>
      </c>
      <c r="G37" s="2140">
        <v>45.4</v>
      </c>
      <c r="H37" s="2139">
        <f t="shared" si="161"/>
        <v>369.10569105691053</v>
      </c>
      <c r="I37" s="2141">
        <v>10.5</v>
      </c>
      <c r="J37" s="2141">
        <v>34.299999999999997</v>
      </c>
      <c r="K37" s="2141">
        <v>45.4</v>
      </c>
      <c r="L37" s="2141">
        <v>38.1</v>
      </c>
      <c r="M37" s="2145">
        <f t="shared" si="163"/>
        <v>100</v>
      </c>
      <c r="N37" s="2141">
        <v>11.6</v>
      </c>
      <c r="O37" s="2141">
        <v>19.100000000000001</v>
      </c>
      <c r="P37" s="2141">
        <v>29.655380000000001</v>
      </c>
      <c r="Q37" s="2141">
        <v>37.9</v>
      </c>
      <c r="R37" s="2141">
        <v>47.38</v>
      </c>
      <c r="S37" s="2140">
        <f>N37*1.048</f>
        <v>12.1568</v>
      </c>
      <c r="T37" s="2143">
        <f>S37/N37</f>
        <v>1.048</v>
      </c>
      <c r="U37" s="2144" t="e">
        <f>R37*#REF!</f>
        <v>#REF!</v>
      </c>
      <c r="V37" s="2144" t="e">
        <f>R37*#REF!</f>
        <v>#REF!</v>
      </c>
      <c r="W37" s="2144">
        <f t="shared" si="117"/>
        <v>6.9412783253842072</v>
      </c>
      <c r="X37" s="2144">
        <f t="shared" si="118"/>
        <v>4.9302443561208253</v>
      </c>
      <c r="Y37" s="2144">
        <v>22.95</v>
      </c>
      <c r="Z37" s="2144">
        <v>58.17</v>
      </c>
      <c r="AA37" s="2144">
        <v>93.35</v>
      </c>
      <c r="AB37" s="2141">
        <v>13.6</v>
      </c>
      <c r="AC37" s="2140">
        <f>AB37</f>
        <v>13.6</v>
      </c>
      <c r="AD37" s="2144">
        <f t="shared" si="119"/>
        <v>8.0511888542843852</v>
      </c>
      <c r="AE37" s="2144">
        <f t="shared" si="120"/>
        <v>5.4400087761540279</v>
      </c>
      <c r="AF37" s="3233">
        <f t="shared" si="154"/>
        <v>1.1599000179608479</v>
      </c>
      <c r="AG37" s="3233">
        <f t="shared" si="155"/>
        <v>1.1033953660735574</v>
      </c>
      <c r="AH37" s="2144">
        <v>66.69</v>
      </c>
      <c r="AI37" s="2144">
        <v>67.36</v>
      </c>
      <c r="AJ37" s="2140">
        <f t="shared" si="153"/>
        <v>102.685</v>
      </c>
      <c r="AK37" s="2144">
        <f>AJ37*AI56</f>
        <v>61.20026</v>
      </c>
      <c r="AL37" s="2144">
        <f>AJ37*AI57</f>
        <v>41.484740000000002</v>
      </c>
      <c r="AM37" s="3233">
        <f t="shared" si="165"/>
        <v>7.6013941676989356</v>
      </c>
      <c r="AN37" s="3233">
        <f t="shared" si="165"/>
        <v>7.6258590210085737</v>
      </c>
      <c r="AO37" s="2567">
        <f t="shared" ref="AO37:AO46" si="166">AJ37</f>
        <v>102.685</v>
      </c>
      <c r="AP37" s="2144">
        <f t="shared" si="121"/>
        <v>55.87655442040262</v>
      </c>
      <c r="AQ37" s="2144">
        <f t="shared" si="122"/>
        <v>46.255086637753273</v>
      </c>
      <c r="AR37" s="2144">
        <f t="shared" si="7"/>
        <v>2.99</v>
      </c>
      <c r="AS37" s="2144">
        <v>1.76</v>
      </c>
      <c r="AT37" s="2144">
        <v>1.23</v>
      </c>
      <c r="AU37" s="2144">
        <f t="shared" si="8"/>
        <v>2.8190499999999998</v>
      </c>
      <c r="AV37" s="2144">
        <v>1.63679</v>
      </c>
      <c r="AW37" s="2144">
        <v>1.1822600000000001</v>
      </c>
      <c r="AX37" s="2144">
        <f t="shared" si="137"/>
        <v>112.1</v>
      </c>
      <c r="AY37" s="2144">
        <v>66.14</v>
      </c>
      <c r="AZ37" s="2144">
        <v>45.96</v>
      </c>
      <c r="BA37" s="2144">
        <f t="shared" si="93"/>
        <v>6.1090999999999998</v>
      </c>
      <c r="BB37" s="2144">
        <v>3.6059999999999999</v>
      </c>
      <c r="BC37" s="2564">
        <v>2.0000000000000001E-4</v>
      </c>
      <c r="BD37" s="2144">
        <v>2.464</v>
      </c>
      <c r="BE37" s="3236">
        <v>1.6100000000000001E-3</v>
      </c>
      <c r="BF37" s="2564">
        <v>1.5440000000000001E-2</v>
      </c>
      <c r="BG37" s="3236">
        <v>2.1850000000000001E-2</v>
      </c>
      <c r="BH37" s="2144">
        <f t="shared" si="11"/>
        <v>115.46000000000001</v>
      </c>
      <c r="BI37" s="2144">
        <v>67.09</v>
      </c>
      <c r="BJ37" s="2144">
        <v>48.37</v>
      </c>
      <c r="BK37" s="2144">
        <f>AU37*1.027*1.046</f>
        <v>3.0283419100999995</v>
      </c>
      <c r="BL37" s="2144">
        <f t="shared" si="123"/>
        <v>1.7603909919519778</v>
      </c>
      <c r="BM37" s="2144">
        <f t="shared" si="124"/>
        <v>1.1398794455354562</v>
      </c>
      <c r="BN37" s="2144">
        <f t="shared" si="125"/>
        <v>0.12083196486601089</v>
      </c>
      <c r="BO37" s="2144">
        <f t="shared" si="126"/>
        <v>7.2395077465545656E-3</v>
      </c>
      <c r="BP37" s="2144">
        <f>SUM(BA37*1.046)</f>
        <v>6.3901186000000001</v>
      </c>
      <c r="BQ37" s="2144">
        <f>SUM(BP37*BB50)</f>
        <v>3.7593303338532404</v>
      </c>
      <c r="BR37" s="2564">
        <f>SUM(BP37*BC50)</f>
        <v>1.7003287531098678E-4</v>
      </c>
      <c r="BS37" s="2144">
        <f>SUM(BP37*BD50)</f>
        <v>2.5986895692125143</v>
      </c>
      <c r="BT37" s="2610">
        <f>SUM(BP37*BE50)</f>
        <v>1.2886357922545194E-3</v>
      </c>
      <c r="BU37" s="2144">
        <f>SUM(BP37*BF50)</f>
        <v>1.3263459740152571E-2</v>
      </c>
      <c r="BV37" s="2144">
        <f>SUM(BP37*BG50)</f>
        <v>1.7376568526527917E-2</v>
      </c>
      <c r="BW37" s="2144">
        <f t="shared" si="95"/>
        <v>3.0880002457289693</v>
      </c>
      <c r="BX37" s="2144">
        <f t="shared" si="127"/>
        <v>1.7950706944934316</v>
      </c>
      <c r="BY37" s="2144">
        <f t="shared" si="128"/>
        <v>1.1623350706125044</v>
      </c>
      <c r="BZ37" s="2144">
        <f t="shared" si="129"/>
        <v>0.12321235457387129</v>
      </c>
      <c r="CA37" s="2144">
        <f t="shared" si="130"/>
        <v>7.3821260491616896E-3</v>
      </c>
      <c r="CB37" s="2144">
        <f t="shared" si="96"/>
        <v>3.5346000000000002</v>
      </c>
      <c r="CC37" s="2144">
        <v>2.06</v>
      </c>
      <c r="CD37" s="2610">
        <v>5.9999999999999995E-4</v>
      </c>
      <c r="CE37" s="2144">
        <v>1.41</v>
      </c>
      <c r="CF37" s="2610">
        <v>4.0000000000000001E-3</v>
      </c>
      <c r="CG37" s="2144">
        <v>0</v>
      </c>
      <c r="CH37" s="2144">
        <v>0.06</v>
      </c>
      <c r="CI37" s="2144">
        <f t="shared" si="97"/>
        <v>4.9720500000000003</v>
      </c>
      <c r="CJ37" s="2144">
        <v>2.91622</v>
      </c>
      <c r="CK37" s="2610">
        <v>8.4999999999999995E-4</v>
      </c>
      <c r="CL37" s="2144">
        <v>1.95062</v>
      </c>
      <c r="CM37" s="2144">
        <v>5.4799999999999996E-3</v>
      </c>
      <c r="CN37" s="2144">
        <v>0</v>
      </c>
      <c r="CO37" s="2144">
        <v>9.8879999999999996E-2</v>
      </c>
      <c r="CP37" s="2144">
        <f t="shared" si="98"/>
        <v>6.4379999999999988</v>
      </c>
      <c r="CQ37" s="2144">
        <v>3.76</v>
      </c>
      <c r="CR37" s="2610">
        <v>1E-3</v>
      </c>
      <c r="CS37" s="2144">
        <v>2.5099999999999998</v>
      </c>
      <c r="CT37" s="2144">
        <v>7.0000000000000001E-3</v>
      </c>
      <c r="CU37" s="2144">
        <v>0</v>
      </c>
      <c r="CV37" s="2144">
        <v>0.16</v>
      </c>
      <c r="CW37" s="2144">
        <f t="shared" si="99"/>
        <v>6.6668065199999997</v>
      </c>
      <c r="CX37" s="2144">
        <f>SUM(CW37*CX50)</f>
        <v>3.9012247529662893</v>
      </c>
      <c r="CY37" s="2144">
        <f>SUM(CW37*CY50)</f>
        <v>1.0866751236319077E-3</v>
      </c>
      <c r="CZ37" s="2144">
        <f>SUM(CW37*CZ50)</f>
        <v>2.5857780526318876</v>
      </c>
      <c r="DA37" s="2144">
        <f>SUM(CW37*DA50)</f>
        <v>7.4803892096216582E-3</v>
      </c>
      <c r="DB37" s="2144">
        <f>SUM(CW37*DB50)</f>
        <v>0</v>
      </c>
      <c r="DC37" s="2144">
        <f>SUM(CW37*DC50)</f>
        <v>0.17123665006856856</v>
      </c>
      <c r="DD37" s="2112">
        <f t="shared" si="100"/>
        <v>1.844671251385875</v>
      </c>
      <c r="DE37" s="2112">
        <f t="shared" si="101"/>
        <v>1.194452171612957</v>
      </c>
      <c r="DF37" s="2144">
        <f t="shared" si="102"/>
        <v>2.4988800000000002</v>
      </c>
      <c r="DG37" s="2144">
        <v>1.4197500000000001</v>
      </c>
      <c r="DH37" s="2610">
        <v>3.4000000000000002E-4</v>
      </c>
      <c r="DI37" s="2144">
        <v>1.0019100000000001</v>
      </c>
      <c r="DJ37" s="2610">
        <v>2.7100000000000002E-3</v>
      </c>
      <c r="DK37" s="2144">
        <v>0</v>
      </c>
      <c r="DL37" s="2144">
        <v>7.417E-2</v>
      </c>
      <c r="DM37" s="2144">
        <f t="shared" si="103"/>
        <v>3.6376200000000005</v>
      </c>
      <c r="DN37" s="2144">
        <v>2.0682700000000001</v>
      </c>
      <c r="DO37" s="2610">
        <v>5.5999999999999995E-4</v>
      </c>
      <c r="DP37" s="2144">
        <v>1.4600900000000001</v>
      </c>
      <c r="DQ37" s="2144">
        <v>3.8800000000000002E-3</v>
      </c>
      <c r="DR37" s="2144">
        <v>0</v>
      </c>
      <c r="DS37" s="2144">
        <v>0.10482</v>
      </c>
      <c r="DT37" s="2144">
        <f t="shared" si="104"/>
        <v>4.70566</v>
      </c>
      <c r="DU37" s="2144">
        <v>2.68</v>
      </c>
      <c r="DV37" s="2610">
        <v>6.6E-4</v>
      </c>
      <c r="DW37" s="2144">
        <v>1.9</v>
      </c>
      <c r="DX37" s="2144">
        <v>5.0000000000000001E-3</v>
      </c>
      <c r="DY37" s="2144">
        <v>0</v>
      </c>
      <c r="DZ37" s="2144">
        <v>0.12</v>
      </c>
      <c r="EA37" s="2144">
        <f t="shared" si="105"/>
        <v>4.89153357</v>
      </c>
      <c r="EB37" s="2144">
        <f>SUM(EA37*EB50)</f>
        <v>2.7839933274281008</v>
      </c>
      <c r="EC37" s="2144">
        <f>SUM(EA37*EC50)</f>
        <v>6.8068323362190629E-4</v>
      </c>
      <c r="ED37" s="2144">
        <f>SUM(EA37*ED50)</f>
        <v>1.9818440689568835</v>
      </c>
      <c r="EE37" s="2144">
        <f>SUM(EA37*EE50)</f>
        <v>5.5437884442643172E-3</v>
      </c>
      <c r="EF37" s="2144">
        <f>SUM(EA37*EF50)</f>
        <v>0</v>
      </c>
      <c r="EG37" s="2144">
        <f>SUM(EA37*EG50)</f>
        <v>0.1194717019371284</v>
      </c>
      <c r="EH37" s="2112">
        <f t="shared" si="131"/>
        <v>1.9526546223169874</v>
      </c>
      <c r="EI37" s="2112">
        <f t="shared" si="106"/>
        <v>1.2643730162132363</v>
      </c>
      <c r="EJ37" s="3953" t="s">
        <v>1915</v>
      </c>
      <c r="EK37" s="2144">
        <f t="shared" si="107"/>
        <v>2.0647199999999999</v>
      </c>
      <c r="EL37" s="2144">
        <v>1.1952400000000001</v>
      </c>
      <c r="EM37" s="2610">
        <v>2.5999999999999998E-4</v>
      </c>
      <c r="EN37" s="2144">
        <v>0.84814000000000001</v>
      </c>
      <c r="EO37" s="2610">
        <v>1.9E-3</v>
      </c>
      <c r="EP37" s="2144">
        <v>0</v>
      </c>
      <c r="EQ37" s="2144">
        <v>1.9179999999999999E-2</v>
      </c>
      <c r="ER37" s="2144">
        <f t="shared" si="108"/>
        <v>3.1882200000000003</v>
      </c>
      <c r="ES37" s="2144">
        <v>1.8</v>
      </c>
      <c r="ET37" s="2610">
        <v>4.0999999999999999E-4</v>
      </c>
      <c r="EU37" s="2144">
        <v>1.28</v>
      </c>
      <c r="EV37" s="2144">
        <v>2.99E-3</v>
      </c>
      <c r="EW37" s="2144">
        <v>0</v>
      </c>
      <c r="EX37" s="2144">
        <v>0.10482</v>
      </c>
      <c r="EY37" s="2144">
        <v>4.3479999999999999</v>
      </c>
      <c r="EZ37" s="2144">
        <v>2.4249999999999998</v>
      </c>
      <c r="FA37" s="2610">
        <v>5.2999999999999998E-4</v>
      </c>
      <c r="FB37" s="2144">
        <v>1.7210000000000001</v>
      </c>
      <c r="FC37" s="2144">
        <v>4.13E-3</v>
      </c>
      <c r="FD37" s="3862">
        <v>0</v>
      </c>
      <c r="FE37" s="3862">
        <v>0.12</v>
      </c>
      <c r="FF37" s="2447">
        <f t="shared" si="148"/>
        <v>4.9220033939999999</v>
      </c>
      <c r="FG37" s="2447">
        <f t="shared" si="149"/>
        <v>2.7451375875000004</v>
      </c>
      <c r="FH37" s="2447">
        <f t="shared" si="150"/>
        <v>5.999682150000001E-4</v>
      </c>
      <c r="FI37" s="2447">
        <f t="shared" si="151"/>
        <v>1.9481986755000003</v>
      </c>
      <c r="FJ37" s="2447">
        <f t="shared" si="152"/>
        <v>4.6752240149999999E-3</v>
      </c>
      <c r="FK37" s="2447">
        <f>SUM(FF37*FK50)</f>
        <v>0</v>
      </c>
      <c r="FL37" s="2447">
        <f>SUM(FF37*FL50)</f>
        <v>0.10046303580132847</v>
      </c>
      <c r="FM37" s="3512">
        <f t="shared" si="157"/>
        <v>2.2524982565117986</v>
      </c>
      <c r="FN37" s="3512">
        <f t="shared" si="158"/>
        <v>1.4585262452719323</v>
      </c>
      <c r="FO37" s="4760">
        <v>1.32901</v>
      </c>
      <c r="FP37" s="4761">
        <v>3.4000000000000002E-4</v>
      </c>
      <c r="FQ37" s="4760">
        <v>0.92398000000000002</v>
      </c>
      <c r="FR37" s="4761">
        <v>2.31E-3</v>
      </c>
      <c r="FS37" s="4760">
        <v>2.35656</v>
      </c>
      <c r="FT37" s="4761">
        <v>4.4999999999999999E-4</v>
      </c>
      <c r="FU37" s="4760">
        <v>1.68303</v>
      </c>
      <c r="FV37" s="4760">
        <v>4.4200000000000003E-3</v>
      </c>
    </row>
    <row r="38" spans="1:178" ht="24" customHeight="1" x14ac:dyDescent="0.2">
      <c r="A38" s="3234" t="s">
        <v>43</v>
      </c>
      <c r="B38" s="3110">
        <v>71.8</v>
      </c>
      <c r="C38" s="3110">
        <v>46</v>
      </c>
      <c r="D38" s="2139">
        <f t="shared" si="159"/>
        <v>64.066852367688014</v>
      </c>
      <c r="E38" s="3110">
        <v>85</v>
      </c>
      <c r="F38" s="2139">
        <f t="shared" si="160"/>
        <v>184.78260869565219</v>
      </c>
      <c r="G38" s="2140">
        <v>95.8</v>
      </c>
      <c r="H38" s="2139">
        <f t="shared" si="161"/>
        <v>112.70588235294116</v>
      </c>
      <c r="I38" s="2141">
        <v>56.2</v>
      </c>
      <c r="J38" s="2141">
        <v>84.5</v>
      </c>
      <c r="K38" s="2141">
        <v>84.5</v>
      </c>
      <c r="L38" s="2141">
        <v>112.9</v>
      </c>
      <c r="M38" s="2145">
        <f t="shared" si="163"/>
        <v>88.204592901878925</v>
      </c>
      <c r="N38" s="2141">
        <v>58.953800000000001</v>
      </c>
      <c r="O38" s="2141">
        <v>62.2</v>
      </c>
      <c r="P38" s="2141">
        <v>91.305689999999998</v>
      </c>
      <c r="Q38" s="2141">
        <v>120.4</v>
      </c>
      <c r="R38" s="2141">
        <v>116.39</v>
      </c>
      <c r="S38" s="2140">
        <f>N38*1.048</f>
        <v>61.7835824</v>
      </c>
      <c r="T38" s="2143">
        <f>S38/N38</f>
        <v>1.048</v>
      </c>
      <c r="U38" s="2144" t="e">
        <f>R38*#REF!</f>
        <v>#REF!</v>
      </c>
      <c r="V38" s="2144" t="e">
        <f>R38*#REF!</f>
        <v>#REF!</v>
      </c>
      <c r="W38" s="2144">
        <f t="shared" si="117"/>
        <v>35.277132253365124</v>
      </c>
      <c r="X38" s="2144">
        <f t="shared" si="118"/>
        <v>25.056606872575511</v>
      </c>
      <c r="Y38" s="2144">
        <v>61.1</v>
      </c>
      <c r="Z38" s="2144">
        <v>61.1</v>
      </c>
      <c r="AA38" s="2144">
        <v>61.4</v>
      </c>
      <c r="AB38" s="2141">
        <v>124</v>
      </c>
      <c r="AC38" s="2140">
        <f>S38*1.049</f>
        <v>64.810977937600001</v>
      </c>
      <c r="AD38" s="2144">
        <f t="shared" si="119"/>
        <v>38.368045824005605</v>
      </c>
      <c r="AE38" s="2144">
        <f t="shared" si="120"/>
        <v>25.924432997916842</v>
      </c>
      <c r="AF38" s="3233">
        <f t="shared" si="154"/>
        <v>1.0876180509356919</v>
      </c>
      <c r="AG38" s="3233">
        <f t="shared" si="155"/>
        <v>1.0346346227066829</v>
      </c>
      <c r="AH38" s="2144">
        <v>28.52</v>
      </c>
      <c r="AI38" s="2144">
        <v>28.87</v>
      </c>
      <c r="AJ38" s="2140">
        <f t="shared" ref="AJ38:AJ42" si="167">SUM(AA38*1.1)</f>
        <v>67.540000000000006</v>
      </c>
      <c r="AK38" s="2144">
        <f>AJ38*AI56</f>
        <v>40.253840000000004</v>
      </c>
      <c r="AL38" s="2144">
        <f>AJ38*AI57</f>
        <v>27.286160000000006</v>
      </c>
      <c r="AM38" s="3233">
        <f t="shared" si="165"/>
        <v>1.0491501231166305</v>
      </c>
      <c r="AN38" s="3233">
        <f t="shared" si="165"/>
        <v>1.0525267805159937</v>
      </c>
      <c r="AO38" s="2567">
        <f t="shared" si="166"/>
        <v>67.540000000000006</v>
      </c>
      <c r="AP38" s="2144">
        <f t="shared" si="121"/>
        <v>36.752227545931667</v>
      </c>
      <c r="AQ38" s="2144">
        <f t="shared" si="122"/>
        <v>30.423806315565628</v>
      </c>
      <c r="AR38" s="2144">
        <f t="shared" si="7"/>
        <v>0</v>
      </c>
      <c r="AS38" s="2144">
        <v>0</v>
      </c>
      <c r="AT38" s="2144">
        <v>0</v>
      </c>
      <c r="AU38" s="2144">
        <f t="shared" si="8"/>
        <v>0</v>
      </c>
      <c r="AV38" s="2144">
        <v>0</v>
      </c>
      <c r="AW38" s="2144">
        <v>0</v>
      </c>
      <c r="AX38" s="2144">
        <f t="shared" si="137"/>
        <v>73.73</v>
      </c>
      <c r="AY38" s="2144">
        <v>43.5</v>
      </c>
      <c r="AZ38" s="2144">
        <v>30.23</v>
      </c>
      <c r="BA38" s="2144">
        <f t="shared" si="93"/>
        <v>0.8980800000000001</v>
      </c>
      <c r="BB38" s="2144">
        <v>0.53</v>
      </c>
      <c r="BC38" s="3236">
        <v>5.0000000000000002E-5</v>
      </c>
      <c r="BD38" s="2144">
        <v>0.36</v>
      </c>
      <c r="BE38" s="3236">
        <v>3.3E-4</v>
      </c>
      <c r="BF38" s="3236">
        <v>3.1900000000000001E-3</v>
      </c>
      <c r="BG38" s="3236">
        <v>4.5100000000000001E-3</v>
      </c>
      <c r="BH38" s="2144">
        <f t="shared" si="11"/>
        <v>0</v>
      </c>
      <c r="BI38" s="2144">
        <v>0</v>
      </c>
      <c r="BJ38" s="2144">
        <v>0</v>
      </c>
      <c r="BK38" s="2144">
        <v>0</v>
      </c>
      <c r="BL38" s="2144">
        <f t="shared" si="123"/>
        <v>0</v>
      </c>
      <c r="BM38" s="2144">
        <f t="shared" si="124"/>
        <v>0</v>
      </c>
      <c r="BN38" s="2144">
        <f t="shared" si="125"/>
        <v>0</v>
      </c>
      <c r="BO38" s="2144">
        <f t="shared" si="126"/>
        <v>0</v>
      </c>
      <c r="BP38" s="2144">
        <f>SUM(BA38*1.046)</f>
        <v>0.93939168000000017</v>
      </c>
      <c r="BQ38" s="2144">
        <f>SUM(BP38*BB50)</f>
        <v>0.55264758904370836</v>
      </c>
      <c r="BR38" s="3236">
        <f>SUM(BP38*BC50)</f>
        <v>2.4996009994809551E-5</v>
      </c>
      <c r="BS38" s="2144">
        <f>SUM(BP38*BD50)</f>
        <v>0.38202536025247175</v>
      </c>
      <c r="BT38" s="2564">
        <f>SUM(BP38*BE50)</f>
        <v>1.8943838410043033E-4</v>
      </c>
      <c r="BU38" s="2564">
        <f>SUM(BP38*BF50)</f>
        <v>1.9498204192820911E-3</v>
      </c>
      <c r="BV38" s="2564">
        <f>SUM(BP38*BG50)</f>
        <v>2.5544758904428142E-3</v>
      </c>
      <c r="BW38" s="2144">
        <f t="shared" si="95"/>
        <v>0</v>
      </c>
      <c r="BX38" s="2144">
        <f t="shared" si="127"/>
        <v>0</v>
      </c>
      <c r="BY38" s="2144">
        <f t="shared" si="128"/>
        <v>0</v>
      </c>
      <c r="BZ38" s="2144">
        <f t="shared" si="129"/>
        <v>0</v>
      </c>
      <c r="CA38" s="2144">
        <f t="shared" si="130"/>
        <v>0</v>
      </c>
      <c r="CB38" s="2144">
        <f t="shared" si="96"/>
        <v>0.90116000000000007</v>
      </c>
      <c r="CC38" s="2564">
        <v>0.52</v>
      </c>
      <c r="CD38" s="2564">
        <v>1.6000000000000001E-4</v>
      </c>
      <c r="CE38" s="2144">
        <v>0.36</v>
      </c>
      <c r="CF38" s="2610">
        <v>1E-3</v>
      </c>
      <c r="CG38" s="2144">
        <v>0</v>
      </c>
      <c r="CH38" s="2144">
        <v>0.02</v>
      </c>
      <c r="CI38" s="2144">
        <f t="shared" si="97"/>
        <v>6.6000000000000005</v>
      </c>
      <c r="CJ38" s="2564">
        <v>4.0042499999999999</v>
      </c>
      <c r="CK38" s="2564">
        <v>1.0399999999999999E-3</v>
      </c>
      <c r="CL38" s="2564">
        <v>2.4513500000000001</v>
      </c>
      <c r="CM38" s="2564">
        <v>2.3600000000000001E-3</v>
      </c>
      <c r="CN38" s="2564">
        <v>0</v>
      </c>
      <c r="CO38" s="2564">
        <v>0.14099999999999999</v>
      </c>
      <c r="CP38" s="2144">
        <f t="shared" si="98"/>
        <v>8.4856999999999996</v>
      </c>
      <c r="CQ38" s="2183">
        <v>5.0999999999999996</v>
      </c>
      <c r="CR38" s="2610">
        <v>1E-3</v>
      </c>
      <c r="CS38" s="2144">
        <v>3.16</v>
      </c>
      <c r="CT38" s="2610">
        <v>4.7000000000000002E-3</v>
      </c>
      <c r="CU38" s="2144">
        <v>0</v>
      </c>
      <c r="CV38" s="2144">
        <v>0.22</v>
      </c>
      <c r="CW38" s="2144">
        <f t="shared" si="99"/>
        <v>8.7872817780000005</v>
      </c>
      <c r="CX38" s="2144">
        <f>SUM(CW38*CX50)</f>
        <v>5.1420663072764903</v>
      </c>
      <c r="CY38" s="2144">
        <f>SUM(CW38*CY50)</f>
        <v>1.4323080299166325E-3</v>
      </c>
      <c r="CZ38" s="2144">
        <f>SUM(CW38*CZ50)</f>
        <v>3.4082225568838789</v>
      </c>
      <c r="DA38" s="2144">
        <f>SUM(CW38*DA50)</f>
        <v>9.8596363336574261E-3</v>
      </c>
      <c r="DB38" s="2144">
        <f>SUM(CW38*DB50)</f>
        <v>0</v>
      </c>
      <c r="DC38" s="2144">
        <f>SUM(CW38*DC50)</f>
        <v>0.22570096947605658</v>
      </c>
      <c r="DD38" s="2112">
        <f t="shared" si="100"/>
        <v>0</v>
      </c>
      <c r="DE38" s="2112">
        <f t="shared" si="101"/>
        <v>0</v>
      </c>
      <c r="DF38" s="2144">
        <f t="shared" si="102"/>
        <v>0.87722</v>
      </c>
      <c r="DG38" s="2564">
        <v>0.49793999999999999</v>
      </c>
      <c r="DH38" s="2564">
        <v>1.2E-4</v>
      </c>
      <c r="DI38" s="2144">
        <v>0.35299000000000003</v>
      </c>
      <c r="DJ38" s="2610">
        <v>9.6000000000000002E-4</v>
      </c>
      <c r="DK38" s="2144">
        <v>0</v>
      </c>
      <c r="DL38" s="2144">
        <v>2.521E-2</v>
      </c>
      <c r="DM38" s="2144">
        <f t="shared" si="103"/>
        <v>1.3137799999999999</v>
      </c>
      <c r="DN38" s="2144">
        <v>0.74656999999999996</v>
      </c>
      <c r="DO38" s="2182">
        <v>2.0000000000000001E-4</v>
      </c>
      <c r="DP38" s="2144">
        <v>0.52864999999999995</v>
      </c>
      <c r="DQ38" s="2144">
        <v>1.41E-3</v>
      </c>
      <c r="DR38" s="2144">
        <v>0</v>
      </c>
      <c r="DS38" s="2144">
        <v>3.6949999999999997E-2</v>
      </c>
      <c r="DT38" s="2144">
        <f t="shared" si="104"/>
        <v>1.7522499999999999</v>
      </c>
      <c r="DU38" s="2183">
        <v>0.997</v>
      </c>
      <c r="DV38" s="2610">
        <v>2.5000000000000001E-4</v>
      </c>
      <c r="DW38" s="2144">
        <v>0.71</v>
      </c>
      <c r="DX38" s="2610">
        <v>2E-3</v>
      </c>
      <c r="DY38" s="2144">
        <v>0</v>
      </c>
      <c r="DZ38" s="2144">
        <v>4.2999999999999997E-2</v>
      </c>
      <c r="EA38" s="2144">
        <f t="shared" si="105"/>
        <v>1.8214638749999998</v>
      </c>
      <c r="EB38" s="2144">
        <f>SUM(EA38*EB50)</f>
        <v>1.0366775984635288</v>
      </c>
      <c r="EC38" s="2144">
        <f>SUM(EA38*EC50)</f>
        <v>2.5346650546660514E-4</v>
      </c>
      <c r="ED38" s="2144">
        <f>SUM(EA38*ED50)</f>
        <v>0.73798070192697707</v>
      </c>
      <c r="EE38" s="2144">
        <f>SUM(EA38*EE50)</f>
        <v>2.0643444918379459E-3</v>
      </c>
      <c r="EF38" s="2144">
        <f>SUM(EA38*EF50)</f>
        <v>0</v>
      </c>
      <c r="EG38" s="2144">
        <f>SUM(EA38*EG50)</f>
        <v>4.4487763612188987E-2</v>
      </c>
      <c r="EH38" s="2112">
        <f t="shared" si="131"/>
        <v>0</v>
      </c>
      <c r="EI38" s="2112">
        <f t="shared" si="106"/>
        <v>0</v>
      </c>
      <c r="EJ38" s="3952"/>
      <c r="EK38" s="2144">
        <f t="shared" si="107"/>
        <v>0</v>
      </c>
      <c r="EL38" s="2564">
        <v>0</v>
      </c>
      <c r="EM38" s="2564">
        <v>0</v>
      </c>
      <c r="EN38" s="2144">
        <v>0</v>
      </c>
      <c r="EO38" s="2610">
        <v>0</v>
      </c>
      <c r="EP38" s="2144">
        <v>0</v>
      </c>
      <c r="EQ38" s="2144">
        <v>0</v>
      </c>
      <c r="ER38" s="2144">
        <f t="shared" si="108"/>
        <v>3.6949999999999997E-2</v>
      </c>
      <c r="ES38" s="2144">
        <v>0</v>
      </c>
      <c r="ET38" s="2182">
        <v>0</v>
      </c>
      <c r="EU38" s="2144">
        <v>0</v>
      </c>
      <c r="EV38" s="2144">
        <v>0</v>
      </c>
      <c r="EW38" s="2144">
        <v>0</v>
      </c>
      <c r="EX38" s="2144">
        <v>3.6949999999999997E-2</v>
      </c>
      <c r="EY38" s="2144">
        <f t="shared" si="109"/>
        <v>0</v>
      </c>
      <c r="EZ38" s="2183">
        <v>0</v>
      </c>
      <c r="FA38" s="2610">
        <v>0</v>
      </c>
      <c r="FB38" s="2144">
        <v>0</v>
      </c>
      <c r="FC38" s="2610">
        <v>0</v>
      </c>
      <c r="FD38" s="3862"/>
      <c r="FE38" s="3862"/>
      <c r="FF38" s="2447">
        <f t="shared" si="148"/>
        <v>0</v>
      </c>
      <c r="FG38" s="2447">
        <f t="shared" si="149"/>
        <v>0</v>
      </c>
      <c r="FH38" s="2447">
        <f t="shared" si="150"/>
        <v>0</v>
      </c>
      <c r="FI38" s="2447">
        <f t="shared" si="151"/>
        <v>0</v>
      </c>
      <c r="FJ38" s="2447">
        <f t="shared" si="152"/>
        <v>0</v>
      </c>
      <c r="FK38" s="2447">
        <f>SUM(FF38*FK50)</f>
        <v>0</v>
      </c>
      <c r="FL38" s="2447">
        <f>SUM(FF38*FL50)</f>
        <v>0</v>
      </c>
      <c r="FM38" s="3512">
        <f t="shared" si="157"/>
        <v>0</v>
      </c>
      <c r="FN38" s="3512">
        <f t="shared" si="158"/>
        <v>0</v>
      </c>
      <c r="FO38" s="4763">
        <v>0</v>
      </c>
      <c r="FP38" s="4763">
        <v>0</v>
      </c>
      <c r="FQ38" s="4760">
        <v>0</v>
      </c>
      <c r="FR38" s="4761">
        <v>0</v>
      </c>
      <c r="FS38" s="4762">
        <v>0</v>
      </c>
      <c r="FT38" s="4761">
        <v>0</v>
      </c>
      <c r="FU38" s="4760">
        <v>0</v>
      </c>
      <c r="FV38" s="4761">
        <v>0</v>
      </c>
    </row>
    <row r="39" spans="1:178" ht="24" customHeight="1" x14ac:dyDescent="0.2">
      <c r="A39" s="3234" t="s">
        <v>69</v>
      </c>
      <c r="B39" s="3110">
        <v>10.7</v>
      </c>
      <c r="C39" s="3110">
        <v>5.6</v>
      </c>
      <c r="D39" s="2139">
        <f t="shared" si="159"/>
        <v>52.336448598130836</v>
      </c>
      <c r="E39" s="3110">
        <v>17.7</v>
      </c>
      <c r="F39" s="2139">
        <f t="shared" si="160"/>
        <v>316.07142857142856</v>
      </c>
      <c r="G39" s="2140">
        <v>14.1</v>
      </c>
      <c r="H39" s="2139">
        <f t="shared" si="161"/>
        <v>79.66101694915254</v>
      </c>
      <c r="I39" s="2141">
        <v>10.3</v>
      </c>
      <c r="J39" s="2141">
        <v>24.1</v>
      </c>
      <c r="K39" s="2141">
        <v>24.1</v>
      </c>
      <c r="L39" s="2141">
        <v>40.5</v>
      </c>
      <c r="M39" s="2145">
        <f t="shared" si="163"/>
        <v>170.92198581560285</v>
      </c>
      <c r="N39" s="2141">
        <v>11.3</v>
      </c>
      <c r="O39" s="2141">
        <f>3.7+5.6+16.1</f>
        <v>25.400000000000002</v>
      </c>
      <c r="P39" s="2141">
        <f>16.81452+5.48046+16.14343</f>
        <v>38.438410000000005</v>
      </c>
      <c r="Q39" s="2141">
        <v>51.5</v>
      </c>
      <c r="R39" s="2141">
        <v>45.94</v>
      </c>
      <c r="S39" s="2140">
        <f>P39/9*12*1.048</f>
        <v>53.711271573333342</v>
      </c>
      <c r="T39" s="2143">
        <f>S39/N39</f>
        <v>4.7532098737463135</v>
      </c>
      <c r="U39" s="2144" t="e">
        <f>R39*#REF!</f>
        <v>#REF!</v>
      </c>
      <c r="V39" s="2144" t="e">
        <f>R39*#REF!</f>
        <v>#REF!</v>
      </c>
      <c r="W39" s="2144">
        <f t="shared" si="117"/>
        <v>30.668011746578344</v>
      </c>
      <c r="X39" s="2144">
        <f t="shared" si="118"/>
        <v>21.782845282845784</v>
      </c>
      <c r="Y39" s="2144">
        <v>21.73</v>
      </c>
      <c r="Z39" s="2144">
        <v>30.27</v>
      </c>
      <c r="AA39" s="2144">
        <v>46.23</v>
      </c>
      <c r="AB39" s="2141">
        <v>52.2</v>
      </c>
      <c r="AC39" s="2140">
        <f>AB39</f>
        <v>52.2</v>
      </c>
      <c r="AD39" s="2144">
        <f t="shared" si="119"/>
        <v>30.902357220120948</v>
      </c>
      <c r="AE39" s="2144">
        <f t="shared" si="120"/>
        <v>20.880033684944138</v>
      </c>
      <c r="AF39" s="3233">
        <f t="shared" si="154"/>
        <v>1.0076413650639986</v>
      </c>
      <c r="AG39" s="3233">
        <f t="shared" si="155"/>
        <v>0.95855400953462133</v>
      </c>
      <c r="AH39" s="2144">
        <v>16.350000000000001</v>
      </c>
      <c r="AI39" s="2144">
        <v>16.350000000000001</v>
      </c>
      <c r="AJ39" s="2140">
        <f t="shared" si="167"/>
        <v>50.853000000000002</v>
      </c>
      <c r="AK39" s="2144">
        <f>AJ39*AI56</f>
        <v>30.308388000000001</v>
      </c>
      <c r="AL39" s="2144">
        <f>AJ39*AI57</f>
        <v>20.544612000000001</v>
      </c>
      <c r="AM39" s="3233">
        <f t="shared" si="165"/>
        <v>0.98077916141186128</v>
      </c>
      <c r="AN39" s="3233">
        <f t="shared" si="165"/>
        <v>0.98393576897407031</v>
      </c>
      <c r="AO39" s="2567">
        <f t="shared" si="166"/>
        <v>50.853000000000002</v>
      </c>
      <c r="AP39" s="2144">
        <f t="shared" si="121"/>
        <v>27.671913346065487</v>
      </c>
      <c r="AQ39" s="2144">
        <f t="shared" si="122"/>
        <v>22.907045048348515</v>
      </c>
      <c r="AR39" s="2144">
        <f t="shared" si="7"/>
        <v>20.04</v>
      </c>
      <c r="AS39" s="2144">
        <v>11.82</v>
      </c>
      <c r="AT39" s="2144">
        <v>8.2200000000000006</v>
      </c>
      <c r="AU39" s="2144">
        <f t="shared" si="8"/>
        <v>10.015689999999999</v>
      </c>
      <c r="AV39" s="2144">
        <v>5.8090999999999999</v>
      </c>
      <c r="AW39" s="2144">
        <v>4.2065900000000003</v>
      </c>
      <c r="AX39" s="2144">
        <f t="shared" si="137"/>
        <v>55.510000000000005</v>
      </c>
      <c r="AY39" s="2144">
        <v>32.75</v>
      </c>
      <c r="AZ39" s="2144">
        <v>22.76</v>
      </c>
      <c r="BA39" s="2144">
        <f t="shared" si="93"/>
        <v>9.9003300000000003</v>
      </c>
      <c r="BB39" s="2144">
        <v>5.8310000000000004</v>
      </c>
      <c r="BC39" s="3236">
        <v>2.4000000000000001E-4</v>
      </c>
      <c r="BD39" s="2144">
        <v>4.0250000000000004</v>
      </c>
      <c r="BE39" s="3236">
        <v>1.83E-3</v>
      </c>
      <c r="BF39" s="3236">
        <v>1.7489999999999999E-2</v>
      </c>
      <c r="BG39" s="3236">
        <v>2.477E-2</v>
      </c>
      <c r="BH39" s="2144">
        <f t="shared" si="11"/>
        <v>46.274338638159996</v>
      </c>
      <c r="BI39" s="2144">
        <f>AR39*1.037*1.027*1.046</f>
        <v>22.324338638159997</v>
      </c>
      <c r="BJ39" s="2144">
        <v>23.95</v>
      </c>
      <c r="BK39" s="2144">
        <f>AU39*1.027*1.046</f>
        <v>10.759274856979999</v>
      </c>
      <c r="BL39" s="2144">
        <f t="shared" si="123"/>
        <v>6.2544227502823668</v>
      </c>
      <c r="BM39" s="2144">
        <f t="shared" si="124"/>
        <v>4.0498320937390302</v>
      </c>
      <c r="BN39" s="2144">
        <f t="shared" si="125"/>
        <v>0.42929905542252061</v>
      </c>
      <c r="BO39" s="2144">
        <f t="shared" si="126"/>
        <v>2.5720957536080988E-2</v>
      </c>
      <c r="BP39" s="2144">
        <f>SUM(BK39*1.046)</f>
        <v>11.254201500401081</v>
      </c>
      <c r="BQ39" s="2144">
        <f>SUM(BP39*BB50)</f>
        <v>6.620888238874695</v>
      </c>
      <c r="BR39" s="2564">
        <f>SUM(BP39*BC50)</f>
        <v>2.9945989428778637E-4</v>
      </c>
      <c r="BS39" s="2144">
        <f>SUM(BP39*BD50)</f>
        <v>4.5767814151224231</v>
      </c>
      <c r="BT39" s="2610">
        <f>SUM(BP39*BE50)</f>
        <v>2.2695301565547389E-3</v>
      </c>
      <c r="BU39" s="2144">
        <f>SUM(BP39*BF50)</f>
        <v>2.3359448838419741E-2</v>
      </c>
      <c r="BV39" s="2144">
        <f>SUM(BP39*BG50)</f>
        <v>3.0603407514701322E-2</v>
      </c>
      <c r="BW39" s="2144">
        <f t="shared" si="95"/>
        <v>10.971232571662506</v>
      </c>
      <c r="BX39" s="2144">
        <f t="shared" si="127"/>
        <v>6.3776348784629295</v>
      </c>
      <c r="BY39" s="2144">
        <f t="shared" si="128"/>
        <v>4.1296137859856898</v>
      </c>
      <c r="BZ39" s="2144">
        <f t="shared" si="129"/>
        <v>0.43775624681434433</v>
      </c>
      <c r="CA39" s="2144">
        <f t="shared" si="130"/>
        <v>2.6227660399541785E-2</v>
      </c>
      <c r="CB39" s="2144">
        <f t="shared" si="96"/>
        <v>13.902000000000001</v>
      </c>
      <c r="CC39" s="2144">
        <v>8.07</v>
      </c>
      <c r="CD39" s="2610">
        <v>2E-3</v>
      </c>
      <c r="CE39" s="2144">
        <v>5.57</v>
      </c>
      <c r="CF39" s="2144">
        <v>0.02</v>
      </c>
      <c r="CG39" s="2144">
        <v>0</v>
      </c>
      <c r="CH39" s="2144">
        <v>0.24</v>
      </c>
      <c r="CI39" s="2144">
        <f t="shared" si="97"/>
        <v>13.89194</v>
      </c>
      <c r="CJ39" s="2144">
        <v>8.0660299999999996</v>
      </c>
      <c r="CK39" s="2610">
        <v>2.2000000000000001E-3</v>
      </c>
      <c r="CL39" s="2144">
        <v>5.5717699999999999</v>
      </c>
      <c r="CM39" s="2144">
        <v>1.508E-2</v>
      </c>
      <c r="CN39" s="2144">
        <v>0</v>
      </c>
      <c r="CO39" s="2144">
        <v>0.23685999999999999</v>
      </c>
      <c r="CP39" s="2144">
        <f t="shared" si="98"/>
        <v>13.897000000000002</v>
      </c>
      <c r="CQ39" s="2144">
        <v>8.07</v>
      </c>
      <c r="CR39" s="2610">
        <v>2E-3</v>
      </c>
      <c r="CS39" s="2144">
        <v>5.57</v>
      </c>
      <c r="CT39" s="2144">
        <v>1.4999999999999999E-2</v>
      </c>
      <c r="CU39" s="2144">
        <v>0</v>
      </c>
      <c r="CV39" s="2144">
        <v>0.24</v>
      </c>
      <c r="CW39" s="2144">
        <f t="shared" si="99"/>
        <v>14.390899380000002</v>
      </c>
      <c r="CX39" s="2144">
        <f>SUM(CW39*CX50)</f>
        <v>8.4211432730619045</v>
      </c>
      <c r="CY39" s="2144">
        <f>SUM(CW39*CY50)</f>
        <v>2.3456856466468816E-3</v>
      </c>
      <c r="CZ39" s="2144">
        <f>SUM(CW39*CZ50)</f>
        <v>5.5816336746544497</v>
      </c>
      <c r="DA39" s="2144">
        <f>SUM(CW39*DA50)</f>
        <v>1.6147090532170272E-2</v>
      </c>
      <c r="DB39" s="2144">
        <f>SUM(CW39*DB50)</f>
        <v>0</v>
      </c>
      <c r="DC39" s="2144">
        <f>SUM(CW39*DC50)</f>
        <v>0.36962965610483028</v>
      </c>
      <c r="DD39" s="2112">
        <f t="shared" si="100"/>
        <v>6.5538587133229269</v>
      </c>
      <c r="DE39" s="2112">
        <f t="shared" si="101"/>
        <v>4.2437213496398352</v>
      </c>
      <c r="DF39" s="2144">
        <f t="shared" si="102"/>
        <v>0.93618000000000001</v>
      </c>
      <c r="DG39" s="2144">
        <v>0.53103999999999996</v>
      </c>
      <c r="DH39" s="2610">
        <v>1.1E-4</v>
      </c>
      <c r="DI39" s="2144">
        <v>0.37541999999999998</v>
      </c>
      <c r="DJ39" s="2144">
        <v>1.33E-3</v>
      </c>
      <c r="DK39" s="2144">
        <v>0</v>
      </c>
      <c r="DL39" s="2144">
        <v>2.828E-2</v>
      </c>
      <c r="DM39" s="2144">
        <f t="shared" si="103"/>
        <v>3.33724</v>
      </c>
      <c r="DN39" s="2144">
        <v>1.8984799999999999</v>
      </c>
      <c r="DO39" s="2610">
        <v>5.9000000000000003E-4</v>
      </c>
      <c r="DP39" s="2144">
        <v>1.34152</v>
      </c>
      <c r="DQ39" s="2144">
        <v>3.7699999999999999E-3</v>
      </c>
      <c r="DR39" s="2144">
        <v>0</v>
      </c>
      <c r="DS39" s="2144">
        <v>9.2880000000000004E-2</v>
      </c>
      <c r="DT39" s="2144">
        <f t="shared" si="104"/>
        <v>5.7427999999999999</v>
      </c>
      <c r="DU39" s="2144">
        <v>3.2749999999999999</v>
      </c>
      <c r="DV39" s="2610">
        <v>8.0000000000000004E-4</v>
      </c>
      <c r="DW39" s="2144">
        <v>2.3370000000000002</v>
      </c>
      <c r="DX39" s="2144">
        <v>7.0000000000000001E-3</v>
      </c>
      <c r="DY39" s="2144">
        <v>0</v>
      </c>
      <c r="DZ39" s="2144">
        <v>0.123</v>
      </c>
      <c r="EA39" s="2144">
        <f t="shared" si="105"/>
        <v>5.9696406</v>
      </c>
      <c r="EB39" s="2144">
        <f>SUM(EA39*EB50)</f>
        <v>3.3975928734235148</v>
      </c>
      <c r="EC39" s="2144">
        <f>SUM(EA39*EC50)</f>
        <v>8.3070763166992164E-4</v>
      </c>
      <c r="ED39" s="2144">
        <f>SUM(EA39*ED50)</f>
        <v>2.4186477814388612</v>
      </c>
      <c r="EE39" s="2144">
        <f>SUM(EA39*EE50)</f>
        <v>6.7656541861760349E-3</v>
      </c>
      <c r="EF39" s="2144">
        <f>SUM(EA39*EF50)</f>
        <v>0</v>
      </c>
      <c r="EG39" s="2144">
        <f>SUM(EA39*EG50)</f>
        <v>0.14580358331977683</v>
      </c>
      <c r="EH39" s="2112">
        <f t="shared" si="131"/>
        <v>6.9375085132204228</v>
      </c>
      <c r="EI39" s="2112">
        <f t="shared" si="106"/>
        <v>4.4921403220080345</v>
      </c>
      <c r="EJ39" s="3953" t="s">
        <v>1921</v>
      </c>
      <c r="EK39" s="2144">
        <f t="shared" si="107"/>
        <v>4.5728200000000001</v>
      </c>
      <c r="EL39" s="2144">
        <v>2.645</v>
      </c>
      <c r="EM39" s="2610">
        <v>5.5000000000000003E-4</v>
      </c>
      <c r="EN39" s="2144">
        <v>1.88405</v>
      </c>
      <c r="EO39" s="2144">
        <v>4.3E-3</v>
      </c>
      <c r="EP39" s="2144">
        <v>0</v>
      </c>
      <c r="EQ39" s="2144">
        <v>3.8920000000000003E-2</v>
      </c>
      <c r="ER39" s="2144">
        <f t="shared" si="108"/>
        <v>6.4038400000000006</v>
      </c>
      <c r="ES39" s="2144">
        <v>3.6819999999999999</v>
      </c>
      <c r="ET39" s="2610">
        <v>8.0000000000000004E-4</v>
      </c>
      <c r="EU39" s="2144">
        <v>2.6219999999999999</v>
      </c>
      <c r="EV39" s="2144">
        <v>6.1599999999999997E-3</v>
      </c>
      <c r="EW39" s="2144">
        <v>0</v>
      </c>
      <c r="EX39" s="2144">
        <v>9.2880000000000004E-2</v>
      </c>
      <c r="EY39" s="2144">
        <v>8.468</v>
      </c>
      <c r="EZ39" s="2144">
        <v>4.7270000000000003</v>
      </c>
      <c r="FA39" s="2610">
        <v>1.01E-3</v>
      </c>
      <c r="FB39" s="2144">
        <v>3.3620000000000001</v>
      </c>
      <c r="FC39" s="2144">
        <v>8.0000000000000002E-3</v>
      </c>
      <c r="FD39" s="3862">
        <v>0</v>
      </c>
      <c r="FE39" s="3862">
        <v>0.123</v>
      </c>
      <c r="FF39" s="2447">
        <f t="shared" si="148"/>
        <v>9.5859072540000021</v>
      </c>
      <c r="FG39" s="2447">
        <f t="shared" si="149"/>
        <v>5.3510372685000007</v>
      </c>
      <c r="FH39" s="2447">
        <f t="shared" si="150"/>
        <v>1.1433356550000003E-3</v>
      </c>
      <c r="FI39" s="2447">
        <f t="shared" si="151"/>
        <v>3.8058361110000005</v>
      </c>
      <c r="FJ39" s="2447">
        <f t="shared" si="152"/>
        <v>9.0561240000000022E-3</v>
      </c>
      <c r="FK39" s="2447">
        <f>SUM(FF39*FK50)</f>
        <v>0</v>
      </c>
      <c r="FL39" s="2447">
        <f>SUM(FF39*FL50)</f>
        <v>0.1956580007280703</v>
      </c>
      <c r="FM39" s="3512">
        <f t="shared" si="157"/>
        <v>8.0028109692139751</v>
      </c>
      <c r="FN39" s="3512">
        <f t="shared" si="158"/>
        <v>5.1819395645723345</v>
      </c>
      <c r="FO39" s="4760">
        <v>2.09274</v>
      </c>
      <c r="FP39" s="4761">
        <v>0</v>
      </c>
      <c r="FQ39" s="4760">
        <v>1.4678500000000001</v>
      </c>
      <c r="FR39" s="4760">
        <v>3.7200000000000002E-3</v>
      </c>
      <c r="FS39" s="4760">
        <v>3.79338</v>
      </c>
      <c r="FT39" s="4761">
        <v>0</v>
      </c>
      <c r="FU39" s="4760">
        <v>2.7241</v>
      </c>
      <c r="FV39" s="4760">
        <v>7.2100000000000003E-3</v>
      </c>
    </row>
    <row r="40" spans="1:178" ht="31.5" customHeight="1" x14ac:dyDescent="0.2">
      <c r="A40" s="3234" t="s">
        <v>161</v>
      </c>
      <c r="B40" s="3110">
        <v>514.20000000000005</v>
      </c>
      <c r="C40" s="3110"/>
      <c r="D40" s="2139">
        <f t="shared" si="159"/>
        <v>0</v>
      </c>
      <c r="E40" s="3110"/>
      <c r="F40" s="2139"/>
      <c r="G40" s="2140">
        <v>0.5</v>
      </c>
      <c r="H40" s="2139"/>
      <c r="I40" s="2141"/>
      <c r="J40" s="2141"/>
      <c r="K40" s="2141"/>
      <c r="L40" s="2141"/>
      <c r="M40" s="2145">
        <f t="shared" si="163"/>
        <v>0</v>
      </c>
      <c r="N40" s="2141">
        <v>0</v>
      </c>
      <c r="O40" s="2141">
        <v>0.6</v>
      </c>
      <c r="P40" s="2141">
        <v>0.6</v>
      </c>
      <c r="Q40" s="2141"/>
      <c r="R40" s="2141"/>
      <c r="S40" s="2140"/>
      <c r="T40" s="2143"/>
      <c r="U40" s="2144" t="e">
        <f>R40*#REF!</f>
        <v>#REF!</v>
      </c>
      <c r="V40" s="2144" t="e">
        <f>R40*#REF!</f>
        <v>#REF!</v>
      </c>
      <c r="W40" s="2144">
        <f t="shared" si="117"/>
        <v>0</v>
      </c>
      <c r="X40" s="2144">
        <f t="shared" si="118"/>
        <v>0</v>
      </c>
      <c r="Y40" s="2144">
        <v>0.6</v>
      </c>
      <c r="Z40" s="2144">
        <v>0.6</v>
      </c>
      <c r="AA40" s="2144">
        <v>0.6</v>
      </c>
      <c r="AB40" s="2141">
        <v>0</v>
      </c>
      <c r="AC40" s="2140">
        <v>0</v>
      </c>
      <c r="AD40" s="2144">
        <f t="shared" si="119"/>
        <v>0</v>
      </c>
      <c r="AE40" s="2144">
        <f t="shared" si="120"/>
        <v>0</v>
      </c>
      <c r="AF40" s="3233"/>
      <c r="AG40" s="3233"/>
      <c r="AH40" s="2144">
        <v>0</v>
      </c>
      <c r="AI40" s="2144">
        <v>0</v>
      </c>
      <c r="AJ40" s="2140">
        <f t="shared" si="167"/>
        <v>0.66</v>
      </c>
      <c r="AK40" s="2144">
        <f>AJ40*AI56</f>
        <v>0.39335999999999999</v>
      </c>
      <c r="AL40" s="2144">
        <f>AJ40*AI57</f>
        <v>0.26664000000000004</v>
      </c>
      <c r="AM40" s="3233"/>
      <c r="AN40" s="3233"/>
      <c r="AO40" s="2567">
        <f t="shared" si="166"/>
        <v>0.66</v>
      </c>
      <c r="AP40" s="2144">
        <f t="shared" si="121"/>
        <v>0.35914228872245929</v>
      </c>
      <c r="AQ40" s="2144">
        <f t="shared" si="122"/>
        <v>0.29730103891432208</v>
      </c>
      <c r="AR40" s="2144">
        <f t="shared" si="7"/>
        <v>0</v>
      </c>
      <c r="AS40" s="2144">
        <v>0</v>
      </c>
      <c r="AT40" s="2144">
        <v>0</v>
      </c>
      <c r="AU40" s="2144">
        <f t="shared" si="8"/>
        <v>0</v>
      </c>
      <c r="AV40" s="2144">
        <v>0</v>
      </c>
      <c r="AW40" s="2144">
        <v>0</v>
      </c>
      <c r="AX40" s="2144">
        <f t="shared" si="137"/>
        <v>0.73</v>
      </c>
      <c r="AY40" s="2144">
        <v>0.43</v>
      </c>
      <c r="AZ40" s="2144">
        <v>0.3</v>
      </c>
      <c r="BA40" s="2144">
        <f t="shared" si="93"/>
        <v>0</v>
      </c>
      <c r="BB40" s="2144">
        <v>0</v>
      </c>
      <c r="BC40" s="3236"/>
      <c r="BD40" s="2144">
        <v>0</v>
      </c>
      <c r="BE40" s="3236"/>
      <c r="BF40" s="2564"/>
      <c r="BG40" s="2564"/>
      <c r="BH40" s="2144">
        <f t="shared" si="11"/>
        <v>0.74</v>
      </c>
      <c r="BI40" s="2144">
        <v>0.43</v>
      </c>
      <c r="BJ40" s="2144">
        <v>0.31</v>
      </c>
      <c r="BK40" s="2144">
        <v>0.74</v>
      </c>
      <c r="BL40" s="2144">
        <f t="shared" si="123"/>
        <v>0.43016587053786376</v>
      </c>
      <c r="BM40" s="2144">
        <f t="shared" si="124"/>
        <v>0.27853882247674727</v>
      </c>
      <c r="BN40" s="2144">
        <f t="shared" si="125"/>
        <v>2.9526274329405376E-2</v>
      </c>
      <c r="BO40" s="2144">
        <f t="shared" si="126"/>
        <v>1.7690326559835102E-3</v>
      </c>
      <c r="BP40" s="2144">
        <f>SUM(BK40*1.046)</f>
        <v>0.77404000000000006</v>
      </c>
      <c r="BQ40" s="2144">
        <f>SUM(BP40*BB50)</f>
        <v>0.45537058601944608</v>
      </c>
      <c r="BR40" s="3236">
        <f>SUM(BP40*BC50)</f>
        <v>2.0596213473364363E-5</v>
      </c>
      <c r="BS40" s="2144">
        <f>SUM(BP40*BD50)</f>
        <v>0.3147812740366438</v>
      </c>
      <c r="BT40" s="3236">
        <f>SUM(BP40*BE50)</f>
        <v>1.5609344850605562E-4</v>
      </c>
      <c r="BU40" s="3236">
        <f>SUM(BP40*BF50)</f>
        <v>1.6066131193977677E-3</v>
      </c>
      <c r="BV40" s="3236">
        <f>SUM(BP40*BG50)</f>
        <v>2.1048371625330508E-3</v>
      </c>
      <c r="BW40" s="2144">
        <f t="shared" si="95"/>
        <v>0.75457799999999997</v>
      </c>
      <c r="BX40" s="2144">
        <f t="shared" si="127"/>
        <v>0.43864013818745967</v>
      </c>
      <c r="BY40" s="2144">
        <f t="shared" si="128"/>
        <v>0.28402603727953918</v>
      </c>
      <c r="BZ40" s="2144">
        <f t="shared" si="129"/>
        <v>3.0107941933694662E-2</v>
      </c>
      <c r="CA40" s="2144">
        <f t="shared" si="130"/>
        <v>1.8038825993063853E-3</v>
      </c>
      <c r="CB40" s="2144">
        <f t="shared" si="96"/>
        <v>0</v>
      </c>
      <c r="CC40" s="2144">
        <v>0</v>
      </c>
      <c r="CD40" s="2144">
        <v>0</v>
      </c>
      <c r="CE40" s="2144">
        <v>0</v>
      </c>
      <c r="CF40" s="2144">
        <v>0</v>
      </c>
      <c r="CG40" s="2144">
        <v>0</v>
      </c>
      <c r="CH40" s="2144">
        <v>0</v>
      </c>
      <c r="CI40" s="2144">
        <f t="shared" si="97"/>
        <v>0</v>
      </c>
      <c r="CJ40" s="2144">
        <v>0</v>
      </c>
      <c r="CK40" s="2144">
        <v>0</v>
      </c>
      <c r="CL40" s="2144">
        <v>0</v>
      </c>
      <c r="CM40" s="2144">
        <v>0</v>
      </c>
      <c r="CN40" s="2144">
        <v>0</v>
      </c>
      <c r="CO40" s="2144">
        <v>0</v>
      </c>
      <c r="CP40" s="2144">
        <f t="shared" si="98"/>
        <v>0</v>
      </c>
      <c r="CQ40" s="2144">
        <v>0</v>
      </c>
      <c r="CR40" s="2144">
        <v>0</v>
      </c>
      <c r="CS40" s="2144">
        <v>0</v>
      </c>
      <c r="CT40" s="2144">
        <v>0</v>
      </c>
      <c r="CU40" s="2144">
        <v>0</v>
      </c>
      <c r="CV40" s="2144">
        <v>0</v>
      </c>
      <c r="CW40" s="2144">
        <f t="shared" si="99"/>
        <v>0</v>
      </c>
      <c r="CX40" s="2144">
        <f>SUM(CW40*CX50)</f>
        <v>0</v>
      </c>
      <c r="CY40" s="2144">
        <f>SUM(CW40*CY50)</f>
        <v>0</v>
      </c>
      <c r="CZ40" s="2144">
        <f>SUM(CW40*CZ50)</f>
        <v>0</v>
      </c>
      <c r="DA40" s="2144">
        <f>SUM(CW40*DA50)</f>
        <v>0</v>
      </c>
      <c r="DB40" s="2144">
        <f>SUM(CW40*DB50)</f>
        <v>0</v>
      </c>
      <c r="DC40" s="2144">
        <f>SUM(CW40*DC50)</f>
        <v>0</v>
      </c>
      <c r="DD40" s="2112">
        <f t="shared" si="100"/>
        <v>0.45076043807103394</v>
      </c>
      <c r="DE40" s="2112">
        <f t="shared" si="101"/>
        <v>0.29187411237999905</v>
      </c>
      <c r="DF40" s="2144">
        <f t="shared" si="102"/>
        <v>0</v>
      </c>
      <c r="DG40" s="2144">
        <v>0</v>
      </c>
      <c r="DH40" s="2144">
        <v>0</v>
      </c>
      <c r="DI40" s="2144">
        <v>0</v>
      </c>
      <c r="DJ40" s="2144">
        <v>0</v>
      </c>
      <c r="DK40" s="2144">
        <v>0</v>
      </c>
      <c r="DL40" s="2144">
        <v>0</v>
      </c>
      <c r="DM40" s="2144">
        <f t="shared" si="103"/>
        <v>0</v>
      </c>
      <c r="DN40" s="2144">
        <v>0</v>
      </c>
      <c r="DO40" s="2144">
        <v>0</v>
      </c>
      <c r="DP40" s="2144">
        <v>0</v>
      </c>
      <c r="DQ40" s="2144">
        <v>0</v>
      </c>
      <c r="DR40" s="2144">
        <v>0</v>
      </c>
      <c r="DS40" s="2144">
        <v>0</v>
      </c>
      <c r="DT40" s="2144">
        <f t="shared" si="104"/>
        <v>0</v>
      </c>
      <c r="DU40" s="2144">
        <v>0</v>
      </c>
      <c r="DV40" s="2144">
        <v>0</v>
      </c>
      <c r="DW40" s="2144">
        <v>0</v>
      </c>
      <c r="DX40" s="2144">
        <v>0</v>
      </c>
      <c r="DY40" s="2144">
        <v>0</v>
      </c>
      <c r="DZ40" s="2144">
        <v>0</v>
      </c>
      <c r="EA40" s="2144">
        <f t="shared" si="105"/>
        <v>0</v>
      </c>
      <c r="EB40" s="2144">
        <f>SUM(EA40*EB50)</f>
        <v>0</v>
      </c>
      <c r="EC40" s="2144">
        <f>SUM(EA40*EC50)</f>
        <v>0</v>
      </c>
      <c r="ED40" s="2144">
        <f>SUM(EA40*ED50)</f>
        <v>0</v>
      </c>
      <c r="EE40" s="2144">
        <f>SUM(EA40*EE50)</f>
        <v>0</v>
      </c>
      <c r="EF40" s="2144">
        <f>SUM(EA40*EF50)</f>
        <v>0</v>
      </c>
      <c r="EG40" s="2144">
        <f>SUM(EA40*EG50)</f>
        <v>0</v>
      </c>
      <c r="EH40" s="2112">
        <f t="shared" si="131"/>
        <v>0.47714705386977135</v>
      </c>
      <c r="EI40" s="2112">
        <f t="shared" si="106"/>
        <v>0.30895983999603893</v>
      </c>
      <c r="EJ40" s="3952"/>
      <c r="EK40" s="2144">
        <f t="shared" si="107"/>
        <v>0</v>
      </c>
      <c r="EL40" s="2144">
        <v>0</v>
      </c>
      <c r="EM40" s="2144">
        <v>0</v>
      </c>
      <c r="EN40" s="2144">
        <v>0</v>
      </c>
      <c r="EO40" s="2144">
        <v>0</v>
      </c>
      <c r="EP40" s="2144">
        <v>0</v>
      </c>
      <c r="EQ40" s="2144">
        <v>0</v>
      </c>
      <c r="ER40" s="2144">
        <f t="shared" si="108"/>
        <v>0</v>
      </c>
      <c r="ES40" s="2144">
        <v>0</v>
      </c>
      <c r="ET40" s="2144">
        <v>0</v>
      </c>
      <c r="EU40" s="2144">
        <v>0</v>
      </c>
      <c r="EV40" s="2144">
        <v>0</v>
      </c>
      <c r="EW40" s="2144">
        <v>0</v>
      </c>
      <c r="EX40" s="2144">
        <v>0</v>
      </c>
      <c r="EY40" s="2144">
        <f t="shared" si="109"/>
        <v>0</v>
      </c>
      <c r="EZ40" s="2144">
        <v>0</v>
      </c>
      <c r="FA40" s="2144">
        <v>0</v>
      </c>
      <c r="FB40" s="2144">
        <v>0</v>
      </c>
      <c r="FC40" s="2144">
        <v>0</v>
      </c>
      <c r="FD40" s="3862">
        <v>0</v>
      </c>
      <c r="FE40" s="3862">
        <v>0</v>
      </c>
      <c r="FF40" s="2447">
        <f t="shared" si="148"/>
        <v>0</v>
      </c>
      <c r="FG40" s="2447">
        <f t="shared" si="149"/>
        <v>0</v>
      </c>
      <c r="FH40" s="2447">
        <f t="shared" si="150"/>
        <v>0</v>
      </c>
      <c r="FI40" s="2447">
        <f t="shared" si="151"/>
        <v>0</v>
      </c>
      <c r="FJ40" s="2447">
        <f t="shared" si="152"/>
        <v>0</v>
      </c>
      <c r="FK40" s="2447">
        <f>SUM(FF40*FK50)</f>
        <v>0</v>
      </c>
      <c r="FL40" s="2447">
        <f>SUM(FF40*FL50)</f>
        <v>0</v>
      </c>
      <c r="FM40" s="3512">
        <f t="shared" si="157"/>
        <v>0.55041628696532796</v>
      </c>
      <c r="FN40" s="3512">
        <f t="shared" si="158"/>
        <v>0.35640276215230599</v>
      </c>
      <c r="FO40" s="4760">
        <v>0</v>
      </c>
      <c r="FP40" s="4760">
        <v>0</v>
      </c>
      <c r="FQ40" s="4760">
        <v>0</v>
      </c>
      <c r="FR40" s="4760">
        <v>0</v>
      </c>
      <c r="FS40" s="4760">
        <v>0</v>
      </c>
      <c r="FT40" s="4760">
        <v>0</v>
      </c>
      <c r="FU40" s="4760">
        <v>0</v>
      </c>
      <c r="FV40" s="4760">
        <v>0</v>
      </c>
    </row>
    <row r="41" spans="1:178" ht="33" customHeight="1" x14ac:dyDescent="0.2">
      <c r="A41" s="3234" t="s">
        <v>164</v>
      </c>
      <c r="B41" s="3110"/>
      <c r="C41" s="3110"/>
      <c r="D41" s="2139"/>
      <c r="E41" s="3110"/>
      <c r="F41" s="2139"/>
      <c r="G41" s="2140">
        <v>36.5</v>
      </c>
      <c r="H41" s="2139"/>
      <c r="I41" s="2141"/>
      <c r="J41" s="2141">
        <v>9</v>
      </c>
      <c r="K41" s="2141">
        <f>J41/9*12</f>
        <v>12</v>
      </c>
      <c r="L41" s="2141">
        <v>18</v>
      </c>
      <c r="M41" s="2145">
        <f t="shared" si="163"/>
        <v>32.87671232876712</v>
      </c>
      <c r="N41" s="2141">
        <v>12.587999999999999</v>
      </c>
      <c r="O41" s="2141">
        <v>11</v>
      </c>
      <c r="P41" s="2141">
        <v>11</v>
      </c>
      <c r="Q41" s="2141">
        <v>21</v>
      </c>
      <c r="R41" s="2141">
        <v>21</v>
      </c>
      <c r="S41" s="2140">
        <f>P41/9*12*1.048</f>
        <v>15.370666666666668</v>
      </c>
      <c r="T41" s="2143">
        <f>S41/N41</f>
        <v>1.2210570914098084</v>
      </c>
      <c r="U41" s="2144" t="e">
        <f>R41*#REF!</f>
        <v>#REF!</v>
      </c>
      <c r="V41" s="2144" t="e">
        <f>R41*#REF!</f>
        <v>#REF!</v>
      </c>
      <c r="W41" s="2144">
        <f t="shared" si="117"/>
        <v>8.7763289171524459</v>
      </c>
      <c r="X41" s="2144">
        <f t="shared" si="118"/>
        <v>6.2336422893481709</v>
      </c>
      <c r="Y41" s="2144">
        <v>18.5</v>
      </c>
      <c r="Z41" s="2144">
        <v>19.37</v>
      </c>
      <c r="AA41" s="2144">
        <v>35.74</v>
      </c>
      <c r="AB41" s="2141">
        <v>18.100000000000001</v>
      </c>
      <c r="AC41" s="2140">
        <f>S41*1.049</f>
        <v>16.123829333333333</v>
      </c>
      <c r="AD41" s="2144">
        <f t="shared" si="119"/>
        <v>9.5452937512438929</v>
      </c>
      <c r="AE41" s="2144">
        <f t="shared" si="120"/>
        <v>6.4495421381281677</v>
      </c>
      <c r="AF41" s="3233">
        <f>AD41/W41</f>
        <v>1.0876180509356916</v>
      </c>
      <c r="AG41" s="3233">
        <f>AE41/X41</f>
        <v>1.0346346227066829</v>
      </c>
      <c r="AH41" s="2144">
        <v>5</v>
      </c>
      <c r="AI41" s="2144">
        <v>13</v>
      </c>
      <c r="AJ41" s="2140">
        <f t="shared" si="167"/>
        <v>39.314000000000007</v>
      </c>
      <c r="AK41" s="2144">
        <f>AJ41*AI56</f>
        <v>23.431144000000003</v>
      </c>
      <c r="AL41" s="2144">
        <f>AJ41*AI57</f>
        <v>15.882856000000004</v>
      </c>
      <c r="AM41" s="3233">
        <f>AK41/AD41</f>
        <v>2.4547326264261464</v>
      </c>
      <c r="AN41" s="3233">
        <f>AL41/AE41</f>
        <v>2.4626331078766532</v>
      </c>
      <c r="AO41" s="2567">
        <f>AI41/3*4</f>
        <v>17.333333333333332</v>
      </c>
      <c r="AP41" s="2144">
        <f t="shared" si="121"/>
        <v>9.4320197038221618</v>
      </c>
      <c r="AQ41" s="2144">
        <f t="shared" si="122"/>
        <v>7.8079060724973468</v>
      </c>
      <c r="AR41" s="2144">
        <f t="shared" si="7"/>
        <v>39.51</v>
      </c>
      <c r="AS41" s="2144">
        <v>23.31</v>
      </c>
      <c r="AT41" s="2144">
        <v>16.2</v>
      </c>
      <c r="AU41" s="2144">
        <f t="shared" si="8"/>
        <v>45.5</v>
      </c>
      <c r="AV41" s="2144">
        <v>26.39</v>
      </c>
      <c r="AW41" s="2144">
        <v>19.11</v>
      </c>
      <c r="AX41" s="2144">
        <f t="shared" si="137"/>
        <v>18.920000000000002</v>
      </c>
      <c r="AY41" s="2144">
        <v>11.16</v>
      </c>
      <c r="AZ41" s="2144">
        <v>7.76</v>
      </c>
      <c r="BA41" s="2144">
        <f t="shared" si="93"/>
        <v>49.499270000000003</v>
      </c>
      <c r="BB41" s="2144">
        <v>29.12</v>
      </c>
      <c r="BC41" s="3236">
        <v>2.7699999999999999E-3</v>
      </c>
      <c r="BD41" s="2144">
        <v>19.811</v>
      </c>
      <c r="BE41" s="3236">
        <v>2.0910000000000002E-2</v>
      </c>
      <c r="BF41" s="2564">
        <v>0.26989000000000002</v>
      </c>
      <c r="BG41" s="2564">
        <v>0.2747</v>
      </c>
      <c r="BH41" s="2144">
        <f t="shared" si="11"/>
        <v>48.269999999999996</v>
      </c>
      <c r="BI41" s="2144">
        <v>28.05</v>
      </c>
      <c r="BJ41" s="2144">
        <v>20.22</v>
      </c>
      <c r="BK41" s="2144">
        <f>AU41</f>
        <v>45.5</v>
      </c>
      <c r="BL41" s="2144">
        <f t="shared" si="123"/>
        <v>26.449387985774056</v>
      </c>
      <c r="BM41" s="2144">
        <f t="shared" si="124"/>
        <v>17.126373544178378</v>
      </c>
      <c r="BN41" s="2144">
        <f t="shared" si="125"/>
        <v>1.8154668675512766</v>
      </c>
      <c r="BO41" s="2144">
        <f t="shared" si="126"/>
        <v>0.1087716024962834</v>
      </c>
      <c r="BP41" s="2144">
        <f>SUM(BA41*1.046)</f>
        <v>51.776236420000004</v>
      </c>
      <c r="BQ41" s="2144">
        <f>SUM(BP41*BB50)</f>
        <v>30.460150793830792</v>
      </c>
      <c r="BR41" s="3236">
        <f>SUM(BP41*BC50)</f>
        <v>1.3776993671563518E-3</v>
      </c>
      <c r="BS41" s="2144">
        <f>SUM(BP41*BD50)</f>
        <v>21.056004424978138</v>
      </c>
      <c r="BT41" s="2564">
        <f>SUM(BP41*BE50)</f>
        <v>1.0441232098422086E-2</v>
      </c>
      <c r="BU41" s="2564">
        <f>SUM(BP41*BF50)</f>
        <v>0.10746780619271938</v>
      </c>
      <c r="BV41" s="2564">
        <f>SUM(BP41*BG50)</f>
        <v>0.14079446353278022</v>
      </c>
      <c r="BW41" s="2144">
        <f t="shared" si="95"/>
        <v>46.396349999999998</v>
      </c>
      <c r="BX41" s="2144">
        <f t="shared" si="127"/>
        <v>26.970440929093805</v>
      </c>
      <c r="BY41" s="2144">
        <f t="shared" si="128"/>
        <v>17.463763102998694</v>
      </c>
      <c r="BZ41" s="2144">
        <f t="shared" si="129"/>
        <v>1.8512315648420365</v>
      </c>
      <c r="CA41" s="2144">
        <f t="shared" si="130"/>
        <v>0.11091440306546017</v>
      </c>
      <c r="CB41" s="2144">
        <f t="shared" si="96"/>
        <v>25.504000000000001</v>
      </c>
      <c r="CC41" s="2144">
        <v>14.83</v>
      </c>
      <c r="CD41" s="2610">
        <v>4.0000000000000001E-3</v>
      </c>
      <c r="CE41" s="2144">
        <v>10.16</v>
      </c>
      <c r="CF41" s="2144">
        <v>0.03</v>
      </c>
      <c r="CG41" s="2144">
        <v>0</v>
      </c>
      <c r="CH41" s="2144">
        <v>0.48</v>
      </c>
      <c r="CI41" s="2144">
        <f t="shared" si="97"/>
        <v>41.24</v>
      </c>
      <c r="CJ41" s="2144">
        <v>24.375730000000001</v>
      </c>
      <c r="CK41" s="2144">
        <v>6.9899999999999997E-3</v>
      </c>
      <c r="CL41" s="2144">
        <v>15.99971</v>
      </c>
      <c r="CM41" s="2144">
        <v>3.8780000000000002E-2</v>
      </c>
      <c r="CN41" s="2144">
        <v>0</v>
      </c>
      <c r="CO41" s="2144">
        <v>0.81879000000000002</v>
      </c>
      <c r="CP41" s="2144">
        <f t="shared" si="98"/>
        <v>50.521999999999998</v>
      </c>
      <c r="CQ41" s="2144">
        <v>29.72</v>
      </c>
      <c r="CR41" s="2144">
        <v>8.0000000000000002E-3</v>
      </c>
      <c r="CS41" s="2144">
        <v>19.559999999999999</v>
      </c>
      <c r="CT41" s="2144">
        <v>5.3999999999999999E-2</v>
      </c>
      <c r="CU41" s="2564">
        <v>0</v>
      </c>
      <c r="CV41" s="2564">
        <v>1.18</v>
      </c>
      <c r="CW41" s="2144">
        <f t="shared" si="99"/>
        <v>52.317551880000003</v>
      </c>
      <c r="CX41" s="2144">
        <f>SUM(CW41*CX50)</f>
        <v>30.61473702537479</v>
      </c>
      <c r="CY41" s="2144">
        <f>SUM(CW41*CY50)</f>
        <v>8.5276484305888862E-3</v>
      </c>
      <c r="CZ41" s="2144">
        <f>SUM(CW41*CZ50)</f>
        <v>20.291810931200409</v>
      </c>
      <c r="DA41" s="2144">
        <f>SUM(CW41*DA50)</f>
        <v>5.8702116130553816E-2</v>
      </c>
      <c r="DB41" s="2144">
        <f>SUM(CW41*DB50)</f>
        <v>0</v>
      </c>
      <c r="DC41" s="2144">
        <f>SUM(CW41*DC50)</f>
        <v>1.3437741588636565</v>
      </c>
      <c r="DD41" s="2112">
        <f t="shared" si="100"/>
        <v>27.715675584097358</v>
      </c>
      <c r="DE41" s="2112">
        <f t="shared" si="101"/>
        <v>17.946313666608045</v>
      </c>
      <c r="DF41" s="2144">
        <f t="shared" si="102"/>
        <v>8.2675000000000001</v>
      </c>
      <c r="DG41" s="2144">
        <v>4.72499</v>
      </c>
      <c r="DH41" s="2610">
        <v>9.5E-4</v>
      </c>
      <c r="DI41" s="2144">
        <v>3.29427</v>
      </c>
      <c r="DJ41" s="2144">
        <v>8.2900000000000005E-3</v>
      </c>
      <c r="DK41" s="2144">
        <v>0</v>
      </c>
      <c r="DL41" s="2144">
        <v>0.23899999999999999</v>
      </c>
      <c r="DM41" s="2144">
        <f t="shared" si="103"/>
        <v>11.18121</v>
      </c>
      <c r="DN41" s="2144">
        <v>6.359</v>
      </c>
      <c r="DO41" s="2144">
        <v>1.8E-3</v>
      </c>
      <c r="DP41" s="2144">
        <v>4.5195400000000001</v>
      </c>
      <c r="DQ41" s="2144">
        <v>1.201E-2</v>
      </c>
      <c r="DR41" s="2144">
        <v>0</v>
      </c>
      <c r="DS41" s="2144">
        <v>0.28886000000000001</v>
      </c>
      <c r="DT41" s="2144">
        <f t="shared" si="104"/>
        <v>11.1828</v>
      </c>
      <c r="DU41" s="2144">
        <v>6.359</v>
      </c>
      <c r="DV41" s="2144">
        <v>1.8E-3</v>
      </c>
      <c r="DW41" s="2144">
        <v>4.5199999999999996</v>
      </c>
      <c r="DX41" s="2144">
        <v>1.2E-2</v>
      </c>
      <c r="DY41" s="2564">
        <v>0</v>
      </c>
      <c r="DZ41" s="2610">
        <v>0.28999999999999998</v>
      </c>
      <c r="EA41" s="2144">
        <f t="shared" si="105"/>
        <v>11.624520600000002</v>
      </c>
      <c r="EB41" s="2144">
        <f>SUM(EA41*EB50)</f>
        <v>6.6160412316153252</v>
      </c>
      <c r="EC41" s="2144">
        <f>SUM(EA41*EC50)</f>
        <v>1.6176146310925685E-3</v>
      </c>
      <c r="ED41" s="2144">
        <f>SUM(EA41*ED50)</f>
        <v>4.7097677805729781</v>
      </c>
      <c r="EE41" s="2144">
        <f>SUM(EA41*EE50)</f>
        <v>1.3174576449322522E-2</v>
      </c>
      <c r="EF41" s="2144">
        <f>SUM(EA41*EF50)</f>
        <v>0</v>
      </c>
      <c r="EG41" s="2144">
        <f>SUM(EA41*EG50)</f>
        <v>0.28391939673128097</v>
      </c>
      <c r="EH41" s="2112">
        <f t="shared" si="131"/>
        <v>29.338095879830533</v>
      </c>
      <c r="EI41" s="2112">
        <f t="shared" si="106"/>
        <v>18.996855026783479</v>
      </c>
      <c r="EJ41" s="3952" t="s">
        <v>1924</v>
      </c>
      <c r="EK41" s="2144">
        <f t="shared" si="107"/>
        <v>6.6727799999999995</v>
      </c>
      <c r="EL41" s="2144">
        <v>3.92258</v>
      </c>
      <c r="EM41" s="2610">
        <v>5.2999999999999998E-4</v>
      </c>
      <c r="EN41" s="2144">
        <v>2.57002</v>
      </c>
      <c r="EO41" s="2144">
        <v>2.9399999999999999E-3</v>
      </c>
      <c r="EP41" s="2144">
        <v>0</v>
      </c>
      <c r="EQ41" s="2144">
        <v>0.17671000000000001</v>
      </c>
      <c r="ER41" s="2144">
        <f t="shared" si="108"/>
        <v>13.4261</v>
      </c>
      <c r="ES41" s="2144">
        <v>7.798</v>
      </c>
      <c r="ET41" s="2144">
        <v>1.4400000000000001E-3</v>
      </c>
      <c r="EU41" s="2144">
        <v>5.3280000000000003</v>
      </c>
      <c r="EV41" s="2144">
        <v>9.7999999999999997E-3</v>
      </c>
      <c r="EW41" s="2144">
        <v>0</v>
      </c>
      <c r="EX41" s="2144">
        <v>0.28886000000000001</v>
      </c>
      <c r="EY41" s="2144">
        <v>21.024999999999999</v>
      </c>
      <c r="EZ41" s="2144">
        <v>11.696999999999999</v>
      </c>
      <c r="FA41" s="2144">
        <v>2.2300000000000002E-3</v>
      </c>
      <c r="FB41" s="2144">
        <v>8.109</v>
      </c>
      <c r="FC41" s="2144">
        <v>1.6740000000000001E-2</v>
      </c>
      <c r="FD41" s="3867">
        <v>0</v>
      </c>
      <c r="FE41" s="3864">
        <v>0.28999999999999998</v>
      </c>
      <c r="FF41" s="2447">
        <f t="shared" si="148"/>
        <v>23.800625887500001</v>
      </c>
      <c r="FG41" s="2447">
        <f t="shared" si="149"/>
        <v>13.2411853035</v>
      </c>
      <c r="FH41" s="2447">
        <f t="shared" si="150"/>
        <v>2.5243945650000005E-3</v>
      </c>
      <c r="FI41" s="2447">
        <f t="shared" si="151"/>
        <v>9.1795136895000002</v>
      </c>
      <c r="FJ41" s="2447">
        <f t="shared" si="152"/>
        <v>1.8949939470000003E-2</v>
      </c>
      <c r="FK41" s="2447">
        <f>SUM(FF41*FK50)</f>
        <v>0</v>
      </c>
      <c r="FL41" s="2447">
        <f>SUM(FF41*FL50)</f>
        <v>0.48579469358853061</v>
      </c>
      <c r="FM41" s="3512">
        <f t="shared" si="157"/>
        <v>33.843163590435708</v>
      </c>
      <c r="FN41" s="3512">
        <f t="shared" si="158"/>
        <v>21.913953618824213</v>
      </c>
      <c r="FO41" s="4760">
        <v>21.81166</v>
      </c>
      <c r="FP41" s="4761">
        <v>4.8300000000000001E-3</v>
      </c>
      <c r="FQ41" s="4760">
        <v>14.46203</v>
      </c>
      <c r="FR41" s="4760">
        <v>3.2230000000000002E-2</v>
      </c>
      <c r="FS41" s="4760">
        <v>41.482439999999997</v>
      </c>
      <c r="FT41" s="4760">
        <v>5.64E-3</v>
      </c>
      <c r="FU41" s="4760">
        <v>28.69322</v>
      </c>
      <c r="FV41" s="4760">
        <v>7.3899999999999993E-2</v>
      </c>
    </row>
    <row r="42" spans="1:178" ht="33" customHeight="1" x14ac:dyDescent="0.2">
      <c r="A42" s="3234" t="s">
        <v>162</v>
      </c>
      <c r="B42" s="3110">
        <v>25.7</v>
      </c>
      <c r="C42" s="3110"/>
      <c r="D42" s="2139">
        <f>C42/B42*100</f>
        <v>0</v>
      </c>
      <c r="E42" s="3110"/>
      <c r="F42" s="2139"/>
      <c r="G42" s="2140">
        <v>58.8</v>
      </c>
      <c r="H42" s="2139"/>
      <c r="I42" s="2141"/>
      <c r="J42" s="2141">
        <v>7.8</v>
      </c>
      <c r="K42" s="2141">
        <f>J42/9*12</f>
        <v>10.4</v>
      </c>
      <c r="L42" s="2141">
        <v>30.5</v>
      </c>
      <c r="M42" s="2145">
        <f t="shared" si="163"/>
        <v>17.687074829931973</v>
      </c>
      <c r="N42" s="2141">
        <v>10.909599999999999</v>
      </c>
      <c r="O42" s="2141">
        <v>3.8</v>
      </c>
      <c r="P42" s="2141">
        <v>3.77</v>
      </c>
      <c r="Q42" s="2141">
        <v>26.1</v>
      </c>
      <c r="R42" s="2141">
        <v>31.5</v>
      </c>
      <c r="S42" s="2140">
        <f>P42/9*12*1.048</f>
        <v>5.267946666666667</v>
      </c>
      <c r="T42" s="2143">
        <f>S42/N42</f>
        <v>0.48287257705751513</v>
      </c>
      <c r="U42" s="2144" t="e">
        <f>R42*#REF!</f>
        <v>#REF!</v>
      </c>
      <c r="V42" s="2144" t="e">
        <f>R42*#REF!</f>
        <v>#REF!</v>
      </c>
      <c r="W42" s="2144">
        <f t="shared" si="117"/>
        <v>3.0078872743331564</v>
      </c>
      <c r="X42" s="2144">
        <f t="shared" si="118"/>
        <v>2.1364392209856913</v>
      </c>
      <c r="Y42" s="2144">
        <v>18.16</v>
      </c>
      <c r="Z42" s="2144"/>
      <c r="AA42" s="2144">
        <v>53.94</v>
      </c>
      <c r="AB42" s="2141">
        <v>27.2</v>
      </c>
      <c r="AC42" s="2140">
        <f>S42*1.049</f>
        <v>5.5260760533333331</v>
      </c>
      <c r="AD42" s="2144">
        <f t="shared" si="119"/>
        <v>3.2714324947444977</v>
      </c>
      <c r="AE42" s="2144">
        <f t="shared" si="120"/>
        <v>2.2104339873402901</v>
      </c>
      <c r="AF42" s="3233">
        <f>AD42/W42</f>
        <v>1.0876180509356916</v>
      </c>
      <c r="AG42" s="3233">
        <f>AE42/X42</f>
        <v>1.0346346227066827</v>
      </c>
      <c r="AH42" s="2144">
        <v>7.11</v>
      </c>
      <c r="AI42" s="2144">
        <v>35.159999999999997</v>
      </c>
      <c r="AJ42" s="2140">
        <f t="shared" si="167"/>
        <v>59.334000000000003</v>
      </c>
      <c r="AK42" s="2144">
        <f>AJ42*AI56</f>
        <v>35.363064000000001</v>
      </c>
      <c r="AL42" s="2144">
        <f>AJ42*AI57</f>
        <v>23.970936000000002</v>
      </c>
      <c r="AM42" s="3233">
        <f>AK42/AD42</f>
        <v>10.809657254676715</v>
      </c>
      <c r="AN42" s="3233">
        <f>AL42/AE42</f>
        <v>10.844447804045524</v>
      </c>
      <c r="AO42" s="2567">
        <f t="shared" si="166"/>
        <v>59.334000000000003</v>
      </c>
      <c r="AP42" s="2144">
        <f t="shared" si="121"/>
        <v>32.286891756149089</v>
      </c>
      <c r="AQ42" s="2144">
        <f t="shared" si="122"/>
        <v>26.727363398397554</v>
      </c>
      <c r="AR42" s="2144">
        <f t="shared" si="7"/>
        <v>161.08000000000001</v>
      </c>
      <c r="AS42" s="2144">
        <v>95.04</v>
      </c>
      <c r="AT42" s="2144">
        <v>66.040000000000006</v>
      </c>
      <c r="AU42" s="2144">
        <f t="shared" si="8"/>
        <v>136.79410999999999</v>
      </c>
      <c r="AV42" s="2144">
        <v>79.340580000000003</v>
      </c>
      <c r="AW42" s="2144">
        <v>57.453530000000001</v>
      </c>
      <c r="AX42" s="2144">
        <f t="shared" si="137"/>
        <v>64.78</v>
      </c>
      <c r="AY42" s="2144">
        <v>38.22</v>
      </c>
      <c r="AZ42" s="2144">
        <v>26.56</v>
      </c>
      <c r="BA42" s="2144">
        <f t="shared" si="93"/>
        <v>112.89950999999998</v>
      </c>
      <c r="BB42" s="2144">
        <v>66.403000000000006</v>
      </c>
      <c r="BC42" s="3236">
        <v>6.0699999999999999E-3</v>
      </c>
      <c r="BD42" s="2144">
        <v>45.012999999999998</v>
      </c>
      <c r="BE42" s="3236">
        <v>4.5839999999999999E-2</v>
      </c>
      <c r="BF42" s="3236">
        <v>0.71914</v>
      </c>
      <c r="BG42" s="2144">
        <v>0.71245999999999998</v>
      </c>
      <c r="BH42" s="2144">
        <f t="shared" si="11"/>
        <v>145.12</v>
      </c>
      <c r="BI42" s="2144">
        <v>84.33</v>
      </c>
      <c r="BJ42" s="2144">
        <v>60.79</v>
      </c>
      <c r="BK42" s="2144">
        <f>AU42</f>
        <v>136.79410999999999</v>
      </c>
      <c r="BL42" s="2144">
        <f t="shared" si="123"/>
        <v>79.519131638651743</v>
      </c>
      <c r="BM42" s="2144">
        <f t="shared" si="124"/>
        <v>51.489824758317077</v>
      </c>
      <c r="BN42" s="2144">
        <f t="shared" si="125"/>
        <v>5.4581357006849389</v>
      </c>
      <c r="BO42" s="2144">
        <f t="shared" si="126"/>
        <v>0.3270179023462168</v>
      </c>
      <c r="BP42" s="2144">
        <f>SUM(BA42*1.046)</f>
        <v>118.09288745999999</v>
      </c>
      <c r="BQ42" s="2144">
        <f>SUM(BP42*BB50)</f>
        <v>69.474481121632834</v>
      </c>
      <c r="BR42" s="3236">
        <f>SUM(BP42*BC50)</f>
        <v>3.1423005527003163E-3</v>
      </c>
      <c r="BS42" s="2144">
        <f>SUM(BP42*BD50)</f>
        <v>48.025204859341621</v>
      </c>
      <c r="BT42" s="2564">
        <f>SUM(BP42*BE50)</f>
        <v>2.3814694392626904E-2</v>
      </c>
      <c r="BU42" s="2564">
        <f>SUM(BP42*BF50)</f>
        <v>0.24511599181024249</v>
      </c>
      <c r="BV42" s="2564">
        <f>SUM(BP42*BG50)</f>
        <v>0.32112849226996182</v>
      </c>
      <c r="BW42" s="2144">
        <f t="shared" si="95"/>
        <v>139.48895396700001</v>
      </c>
      <c r="BX42" s="2144">
        <f t="shared" si="127"/>
        <v>81.085658531933205</v>
      </c>
      <c r="BY42" s="2144">
        <f t="shared" si="128"/>
        <v>52.50417430605593</v>
      </c>
      <c r="BZ42" s="2144">
        <f t="shared" si="129"/>
        <v>5.5656609739884333</v>
      </c>
      <c r="CA42" s="2144">
        <f t="shared" si="130"/>
        <v>0.33346015502243731</v>
      </c>
      <c r="CB42" s="2144">
        <f t="shared" si="96"/>
        <v>81.850000000000009</v>
      </c>
      <c r="CC42" s="2144">
        <v>47.81</v>
      </c>
      <c r="CD42" s="2144">
        <v>0.01</v>
      </c>
      <c r="CE42" s="2144">
        <v>32.33</v>
      </c>
      <c r="CF42" s="2144">
        <v>0.12</v>
      </c>
      <c r="CG42" s="2144">
        <v>0</v>
      </c>
      <c r="CH42" s="2144">
        <v>1.58</v>
      </c>
      <c r="CI42" s="2144">
        <f t="shared" si="97"/>
        <v>132.11082999999999</v>
      </c>
      <c r="CJ42" s="2144">
        <v>77.676090000000002</v>
      </c>
      <c r="CK42" s="2144">
        <v>2.3820000000000001E-2</v>
      </c>
      <c r="CL42" s="2144">
        <v>51.479039999999998</v>
      </c>
      <c r="CM42" s="2144">
        <v>0.15501999999999999</v>
      </c>
      <c r="CN42" s="2144">
        <v>0</v>
      </c>
      <c r="CO42" s="2144">
        <v>2.7768600000000001</v>
      </c>
      <c r="CP42" s="2144">
        <f t="shared" si="98"/>
        <v>170.52</v>
      </c>
      <c r="CQ42" s="2144">
        <v>99.74</v>
      </c>
      <c r="CR42" s="2144">
        <v>0.03</v>
      </c>
      <c r="CS42" s="2144">
        <v>66.28</v>
      </c>
      <c r="CT42" s="2144">
        <v>0.2</v>
      </c>
      <c r="CU42" s="2564">
        <v>0</v>
      </c>
      <c r="CV42" s="2564">
        <v>4.2699999999999996</v>
      </c>
      <c r="CW42" s="2144">
        <f t="shared" si="99"/>
        <v>176.5802808</v>
      </c>
      <c r="CX42" s="2144">
        <f>SUM(CW42*CX50)</f>
        <v>103.32973670018821</v>
      </c>
      <c r="CY42" s="2144">
        <f>SUM(CW42*CY50)</f>
        <v>2.8782205977277556E-2</v>
      </c>
      <c r="CZ42" s="2144">
        <f>SUM(CW42*CZ50)</f>
        <v>68.48817544808783</v>
      </c>
      <c r="DA42" s="2144">
        <f>SUM(CW42*DA50)</f>
        <v>0.19812922771430339</v>
      </c>
      <c r="DB42" s="2144">
        <f>SUM(CW42*DB50)</f>
        <v>0</v>
      </c>
      <c r="DC42" s="2144">
        <f>SUM(CW42*DC50)</f>
        <v>4.5354572180323558</v>
      </c>
      <c r="DD42" s="2112">
        <v>29.04</v>
      </c>
      <c r="DE42" s="2112">
        <f t="shared" si="101"/>
        <v>53.954945182516134</v>
      </c>
      <c r="DF42" s="2144">
        <f t="shared" si="102"/>
        <v>27.753359999999997</v>
      </c>
      <c r="DG42" s="2144">
        <v>15.841889999999999</v>
      </c>
      <c r="DH42" s="2144">
        <v>3.2100000000000002E-3</v>
      </c>
      <c r="DI42" s="2144">
        <v>11.07701</v>
      </c>
      <c r="DJ42" s="2144">
        <v>2.776E-2</v>
      </c>
      <c r="DK42" s="2144">
        <v>0</v>
      </c>
      <c r="DL42" s="2144">
        <v>0.80349000000000004</v>
      </c>
      <c r="DM42" s="2144">
        <f t="shared" si="103"/>
        <v>41.156420000000004</v>
      </c>
      <c r="DN42" s="2144">
        <v>23.358360000000001</v>
      </c>
      <c r="DO42" s="2144">
        <v>7.0899999999999999E-3</v>
      </c>
      <c r="DP42" s="2144">
        <v>16.713290000000001</v>
      </c>
      <c r="DQ42" s="2144">
        <v>4.4880000000000003E-2</v>
      </c>
      <c r="DR42" s="2144">
        <v>0</v>
      </c>
      <c r="DS42" s="2144">
        <v>1.0327999999999999</v>
      </c>
      <c r="DT42" s="2144">
        <f t="shared" si="104"/>
        <v>37.841999999999999</v>
      </c>
      <c r="DU42" s="2144">
        <v>21.510999999999999</v>
      </c>
      <c r="DV42" s="2144">
        <v>7.0000000000000001E-3</v>
      </c>
      <c r="DW42" s="2144">
        <v>15.3</v>
      </c>
      <c r="DX42" s="2144">
        <v>0.04</v>
      </c>
      <c r="DY42" s="2564">
        <v>0</v>
      </c>
      <c r="DZ42" s="2610">
        <v>0.98399999999999999</v>
      </c>
      <c r="EA42" s="2144">
        <f t="shared" si="105"/>
        <v>39.336759000000001</v>
      </c>
      <c r="EB42" s="2144">
        <f>SUM(EA42*EB50)</f>
        <v>22.388331391671773</v>
      </c>
      <c r="EC42" s="2144">
        <f>SUM(EA42*EC50)</f>
        <v>5.4739218147337844E-3</v>
      </c>
      <c r="ED42" s="2144">
        <f>SUM(EA42*ED50)</f>
        <v>15.937603493976697</v>
      </c>
      <c r="EE42" s="2144">
        <f>SUM(EA42*EE50)</f>
        <v>4.4582065493012732E-2</v>
      </c>
      <c r="EF42" s="2144">
        <f>SUM(EA42*EF50)</f>
        <v>0</v>
      </c>
      <c r="EG42" s="2144">
        <f>SUM(EA42*EG50)</f>
        <v>0.96076812704377557</v>
      </c>
      <c r="EH42" s="2112">
        <f>SUM(DD42*1.06*0.99*(1+0.043)*0.99)</f>
        <v>31.467132940319996</v>
      </c>
      <c r="EI42" s="2112">
        <f>SUM(DE42*1.06*0.99*(1+0.043)*0.99)</f>
        <v>58.464443279817957</v>
      </c>
      <c r="EJ42" s="3952" t="s">
        <v>1924</v>
      </c>
      <c r="EK42" s="2144">
        <f t="shared" si="107"/>
        <v>22.551869999999997</v>
      </c>
      <c r="EL42" s="2144">
        <v>13.201269999999999</v>
      </c>
      <c r="EM42" s="2144">
        <v>3.0500000000000002E-3</v>
      </c>
      <c r="EN42" s="2144">
        <v>9.1035900000000005</v>
      </c>
      <c r="EO42" s="2144">
        <v>2.6020000000000001E-2</v>
      </c>
      <c r="EP42" s="2144">
        <v>0</v>
      </c>
      <c r="EQ42" s="2144">
        <v>0.21793999999999999</v>
      </c>
      <c r="ER42" s="2144">
        <f t="shared" si="108"/>
        <v>43.645699999999998</v>
      </c>
      <c r="ES42" s="2144">
        <v>25.021999999999998</v>
      </c>
      <c r="ET42" s="2144">
        <v>5.8999999999999999E-3</v>
      </c>
      <c r="EU42" s="2144">
        <v>17.538</v>
      </c>
      <c r="EV42" s="2144">
        <v>4.7E-2</v>
      </c>
      <c r="EW42" s="2144">
        <v>0</v>
      </c>
      <c r="EX42" s="2144">
        <v>1.0327999999999999</v>
      </c>
      <c r="EY42" s="2144">
        <v>63.45</v>
      </c>
      <c r="EZ42" s="2144">
        <v>35.545999999999999</v>
      </c>
      <c r="FA42" s="2144">
        <v>8.0800000000000004E-3</v>
      </c>
      <c r="FB42" s="2144">
        <v>25.065000000000001</v>
      </c>
      <c r="FC42" s="2144">
        <v>6.5570000000000003E-2</v>
      </c>
      <c r="FD42" s="3867">
        <v>0</v>
      </c>
      <c r="FE42" s="3864">
        <v>0.98399999999999999</v>
      </c>
      <c r="FF42" s="2447">
        <f t="shared" si="148"/>
        <v>71.826383475</v>
      </c>
      <c r="FG42" s="2447">
        <f t="shared" si="149"/>
        <v>40.238622963000005</v>
      </c>
      <c r="FH42" s="2447">
        <f t="shared" si="150"/>
        <v>9.1466852400000024E-3</v>
      </c>
      <c r="FI42" s="2447">
        <f t="shared" si="151"/>
        <v>28.373968507500003</v>
      </c>
      <c r="FJ42" s="2447">
        <f t="shared" si="152"/>
        <v>7.4226256335000018E-2</v>
      </c>
      <c r="FK42" s="2447">
        <f>SUM(FF42*FK50)</f>
        <v>0</v>
      </c>
      <c r="FL42" s="2447">
        <f>SUM(FF42*FL50)</f>
        <v>1.4660486710198462</v>
      </c>
      <c r="FM42" s="3512">
        <f t="shared" si="157"/>
        <v>101.7482514931441</v>
      </c>
      <c r="FN42" s="3512">
        <f t="shared" si="158"/>
        <v>65.883511689414007</v>
      </c>
      <c r="FO42" s="4760">
        <v>3.7492899999999998</v>
      </c>
      <c r="FP42" s="4760">
        <v>0</v>
      </c>
      <c r="FQ42" s="4760">
        <v>2.4234499999999999</v>
      </c>
      <c r="FR42" s="4760">
        <v>4.7699999999999999E-3</v>
      </c>
      <c r="FS42" s="4760">
        <v>22.17943</v>
      </c>
      <c r="FT42" s="4760">
        <v>0</v>
      </c>
      <c r="FU42" s="4760">
        <v>15.82949</v>
      </c>
      <c r="FV42" s="4760">
        <v>4.6929999999999999E-2</v>
      </c>
    </row>
    <row r="43" spans="1:178" ht="24" customHeight="1" x14ac:dyDescent="0.2">
      <c r="A43" s="3234" t="s">
        <v>301</v>
      </c>
      <c r="B43" s="3110"/>
      <c r="C43" s="3110"/>
      <c r="D43" s="2139"/>
      <c r="E43" s="3110"/>
      <c r="F43" s="2139"/>
      <c r="G43" s="2140"/>
      <c r="H43" s="2139"/>
      <c r="I43" s="2141"/>
      <c r="J43" s="2141"/>
      <c r="K43" s="2141"/>
      <c r="L43" s="2141"/>
      <c r="M43" s="2145"/>
      <c r="N43" s="2141"/>
      <c r="O43" s="2141">
        <v>3.6</v>
      </c>
      <c r="P43" s="2141">
        <v>3.57308</v>
      </c>
      <c r="Q43" s="2141">
        <v>3.6</v>
      </c>
      <c r="R43" s="2141"/>
      <c r="S43" s="2140"/>
      <c r="T43" s="2143"/>
      <c r="U43" s="2144" t="e">
        <f>R43*#REF!</f>
        <v>#REF!</v>
      </c>
      <c r="V43" s="2144" t="e">
        <f>R43*#REF!</f>
        <v>#REF!</v>
      </c>
      <c r="W43" s="2144">
        <f t="shared" si="117"/>
        <v>0</v>
      </c>
      <c r="X43" s="2144">
        <f t="shared" si="118"/>
        <v>0</v>
      </c>
      <c r="Y43" s="2144"/>
      <c r="Z43" s="2144"/>
      <c r="AA43" s="2144"/>
      <c r="AB43" s="2141">
        <v>3.3</v>
      </c>
      <c r="AC43" s="2140">
        <v>0</v>
      </c>
      <c r="AD43" s="2144"/>
      <c r="AE43" s="2144"/>
      <c r="AF43" s="3233"/>
      <c r="AG43" s="3233"/>
      <c r="AH43" s="2144"/>
      <c r="AI43" s="2144"/>
      <c r="AJ43" s="2140"/>
      <c r="AK43" s="2144">
        <f>AJ43*AI56</f>
        <v>0</v>
      </c>
      <c r="AL43" s="2144">
        <f>AJ43*AI57</f>
        <v>0</v>
      </c>
      <c r="AM43" s="3233"/>
      <c r="AN43" s="3233"/>
      <c r="AO43" s="2567">
        <f t="shared" si="166"/>
        <v>0</v>
      </c>
      <c r="AP43" s="2144">
        <f t="shared" si="121"/>
        <v>0</v>
      </c>
      <c r="AQ43" s="2144">
        <f t="shared" si="122"/>
        <v>0</v>
      </c>
      <c r="AR43" s="2144">
        <f t="shared" si="7"/>
        <v>0</v>
      </c>
      <c r="AS43" s="2144">
        <v>0</v>
      </c>
      <c r="AT43" s="2144">
        <v>0</v>
      </c>
      <c r="AU43" s="2144">
        <f t="shared" si="8"/>
        <v>0</v>
      </c>
      <c r="AV43" s="2144">
        <v>0</v>
      </c>
      <c r="AW43" s="2144">
        <v>0</v>
      </c>
      <c r="AX43" s="2144">
        <f t="shared" si="137"/>
        <v>0</v>
      </c>
      <c r="AY43" s="2144">
        <v>0</v>
      </c>
      <c r="AZ43" s="2144">
        <v>0</v>
      </c>
      <c r="BA43" s="2144">
        <f t="shared" si="93"/>
        <v>0.2233</v>
      </c>
      <c r="BB43" s="2144">
        <v>0.13</v>
      </c>
      <c r="BC43" s="3236">
        <v>2.5000000000000001E-4</v>
      </c>
      <c r="BD43" s="2144">
        <v>8.6999999999999994E-2</v>
      </c>
      <c r="BE43" s="3236">
        <v>2.5000000000000001E-4</v>
      </c>
      <c r="BF43" s="3236">
        <v>3.1900000000000001E-3</v>
      </c>
      <c r="BG43" s="3236">
        <v>2.6099999999999999E-3</v>
      </c>
      <c r="BH43" s="2144">
        <f t="shared" si="11"/>
        <v>0</v>
      </c>
      <c r="BI43" s="2144">
        <v>0</v>
      </c>
      <c r="BJ43" s="2144">
        <v>0</v>
      </c>
      <c r="BK43" s="2144">
        <v>0</v>
      </c>
      <c r="BL43" s="2144">
        <f t="shared" si="123"/>
        <v>0</v>
      </c>
      <c r="BM43" s="2144">
        <f t="shared" si="124"/>
        <v>0</v>
      </c>
      <c r="BN43" s="2144">
        <f t="shared" si="125"/>
        <v>0</v>
      </c>
      <c r="BO43" s="2144">
        <f t="shared" si="126"/>
        <v>0</v>
      </c>
      <c r="BP43" s="2144">
        <f>SUM(BA43*1.046)</f>
        <v>0.2335718</v>
      </c>
      <c r="BQ43" s="2144">
        <f>SUM(BP43*BB50)</f>
        <v>0.13741115115965175</v>
      </c>
      <c r="BR43" s="3236">
        <f>SUM(BP43*BC50)</f>
        <v>6.2150465791922454E-6</v>
      </c>
      <c r="BS43" s="2144">
        <f>SUM(BP43*BD50)</f>
        <v>9.49873763410575E-2</v>
      </c>
      <c r="BT43" s="2564">
        <f>SUM(BP43*BE50)</f>
        <v>4.7102252772165162E-5</v>
      </c>
      <c r="BU43" s="2564">
        <f>SUM(BP43*BF50)</f>
        <v>4.8480636427232634E-4</v>
      </c>
      <c r="BV43" s="2564">
        <f>SUM(BP43*BG50)</f>
        <v>6.3514883566706776E-4</v>
      </c>
      <c r="BW43" s="2144">
        <f t="shared" si="95"/>
        <v>0</v>
      </c>
      <c r="BX43" s="2144">
        <f t="shared" si="127"/>
        <v>0</v>
      </c>
      <c r="BY43" s="2144">
        <f t="shared" si="128"/>
        <v>0</v>
      </c>
      <c r="BZ43" s="2144">
        <f t="shared" si="129"/>
        <v>0</v>
      </c>
      <c r="CA43" s="2144">
        <f t="shared" si="130"/>
        <v>0</v>
      </c>
      <c r="CB43" s="2144">
        <f t="shared" si="96"/>
        <v>0</v>
      </c>
      <c r="CC43" s="2144">
        <v>0</v>
      </c>
      <c r="CD43" s="2144">
        <v>0</v>
      </c>
      <c r="CE43" s="2144">
        <v>0</v>
      </c>
      <c r="CF43" s="2144">
        <v>0</v>
      </c>
      <c r="CG43" s="2144">
        <v>0</v>
      </c>
      <c r="CH43" s="2144">
        <v>0</v>
      </c>
      <c r="CI43" s="2144">
        <f t="shared" si="97"/>
        <v>3.36</v>
      </c>
      <c r="CJ43" s="2144">
        <v>1.98356</v>
      </c>
      <c r="CK43" s="2564">
        <v>4.2999999999999999E-4</v>
      </c>
      <c r="CL43" s="2144">
        <v>1.2660400000000001</v>
      </c>
      <c r="CM43" s="2144">
        <v>3.5200000000000001E-3</v>
      </c>
      <c r="CN43" s="2144">
        <v>0</v>
      </c>
      <c r="CO43" s="2144">
        <v>0.10645</v>
      </c>
      <c r="CP43" s="2144">
        <f t="shared" si="98"/>
        <v>3.3607499999999999</v>
      </c>
      <c r="CQ43" s="2564">
        <v>1.98</v>
      </c>
      <c r="CR43" s="2564">
        <v>4.0000000000000002E-4</v>
      </c>
      <c r="CS43" s="2144">
        <v>1.27</v>
      </c>
      <c r="CT43" s="2564">
        <v>3.5E-4</v>
      </c>
      <c r="CU43" s="2564">
        <v>0</v>
      </c>
      <c r="CV43" s="2144">
        <v>0.11</v>
      </c>
      <c r="CW43" s="2144">
        <f t="shared" si="99"/>
        <v>3.4801910549999997</v>
      </c>
      <c r="CX43" s="2144">
        <f>SUM(CW43*CX50)</f>
        <v>2.0365084014494341</v>
      </c>
      <c r="CY43" s="2144">
        <f>SUM(CW43*CY50)</f>
        <v>5.6726365668622767E-4</v>
      </c>
      <c r="CZ43" s="2144">
        <f>SUM(CW43*CZ50)</f>
        <v>1.3498219307832582</v>
      </c>
      <c r="DA43" s="2144">
        <f>SUM(CW43*DA50)</f>
        <v>3.9048956253861429E-3</v>
      </c>
      <c r="DB43" s="2144">
        <f>SUM(CW43*DB50)</f>
        <v>0</v>
      </c>
      <c r="DC43" s="2144">
        <f>SUM(CW43*DC50)</f>
        <v>8.9388563485234815E-2</v>
      </c>
      <c r="DD43" s="2112">
        <f t="shared" si="100"/>
        <v>0</v>
      </c>
      <c r="DE43" s="2112">
        <f t="shared" si="101"/>
        <v>0</v>
      </c>
      <c r="DF43" s="2144">
        <f t="shared" si="102"/>
        <v>0</v>
      </c>
      <c r="DG43" s="2144">
        <v>0</v>
      </c>
      <c r="DH43" s="2144">
        <v>0</v>
      </c>
      <c r="DI43" s="2144">
        <v>0</v>
      </c>
      <c r="DJ43" s="2144">
        <v>0</v>
      </c>
      <c r="DK43" s="2144">
        <v>0</v>
      </c>
      <c r="DL43" s="2144">
        <v>0</v>
      </c>
      <c r="DM43" s="2144">
        <f t="shared" si="103"/>
        <v>0</v>
      </c>
      <c r="DN43" s="2144">
        <v>0</v>
      </c>
      <c r="DO43" s="2564">
        <v>0</v>
      </c>
      <c r="DP43" s="2144">
        <v>0</v>
      </c>
      <c r="DQ43" s="2144">
        <v>0</v>
      </c>
      <c r="DR43" s="2144">
        <v>0</v>
      </c>
      <c r="DS43" s="2144">
        <v>0</v>
      </c>
      <c r="DT43" s="2144">
        <f t="shared" si="104"/>
        <v>0</v>
      </c>
      <c r="DU43" s="2564">
        <v>0</v>
      </c>
      <c r="DV43" s="2564">
        <v>0</v>
      </c>
      <c r="DW43" s="2144">
        <v>0</v>
      </c>
      <c r="DX43" s="2564">
        <v>0</v>
      </c>
      <c r="DY43" s="2564">
        <v>0</v>
      </c>
      <c r="DZ43" s="2144">
        <v>0</v>
      </c>
      <c r="EA43" s="2144">
        <f t="shared" si="105"/>
        <v>0</v>
      </c>
      <c r="EB43" s="2144">
        <f>SUM(EA43*EB50)</f>
        <v>0</v>
      </c>
      <c r="EC43" s="2144">
        <f>SUM(EA43*EC50)</f>
        <v>0</v>
      </c>
      <c r="ED43" s="2144">
        <f>SUM(EA43*ED50)</f>
        <v>0</v>
      </c>
      <c r="EE43" s="2144">
        <f>SUM(EA43*EE50)</f>
        <v>0</v>
      </c>
      <c r="EF43" s="2144">
        <f>SUM(EA43*EF50)</f>
        <v>0</v>
      </c>
      <c r="EG43" s="2144">
        <f>SUM(EA43*EG50)</f>
        <v>0</v>
      </c>
      <c r="EH43" s="2112">
        <f t="shared" si="131"/>
        <v>0</v>
      </c>
      <c r="EI43" s="2112">
        <f t="shared" si="106"/>
        <v>0</v>
      </c>
      <c r="EJ43" s="3952"/>
      <c r="EK43" s="2144">
        <f t="shared" si="107"/>
        <v>0</v>
      </c>
      <c r="EL43" s="2144">
        <v>0</v>
      </c>
      <c r="EM43" s="2144">
        <v>0</v>
      </c>
      <c r="EN43" s="2144">
        <v>0</v>
      </c>
      <c r="EO43" s="2144">
        <v>0</v>
      </c>
      <c r="EP43" s="2144">
        <v>0</v>
      </c>
      <c r="EQ43" s="2144">
        <v>0</v>
      </c>
      <c r="ER43" s="2144">
        <f t="shared" si="108"/>
        <v>0</v>
      </c>
      <c r="ES43" s="2144">
        <v>0</v>
      </c>
      <c r="ET43" s="2564">
        <v>0</v>
      </c>
      <c r="EU43" s="2144">
        <v>0</v>
      </c>
      <c r="EV43" s="2144">
        <v>0</v>
      </c>
      <c r="EW43" s="2144">
        <v>0</v>
      </c>
      <c r="EX43" s="2144">
        <v>0</v>
      </c>
      <c r="EY43" s="2144">
        <f t="shared" si="109"/>
        <v>0</v>
      </c>
      <c r="EZ43" s="2564">
        <v>0</v>
      </c>
      <c r="FA43" s="2564">
        <v>0</v>
      </c>
      <c r="FB43" s="2144">
        <v>0</v>
      </c>
      <c r="FC43" s="2564">
        <v>0</v>
      </c>
      <c r="FD43" s="3867">
        <v>0</v>
      </c>
      <c r="FE43" s="3862">
        <v>0</v>
      </c>
      <c r="FF43" s="2447">
        <f t="shared" si="148"/>
        <v>0</v>
      </c>
      <c r="FG43" s="2447">
        <f t="shared" si="149"/>
        <v>0</v>
      </c>
      <c r="FH43" s="2447">
        <f t="shared" si="150"/>
        <v>0</v>
      </c>
      <c r="FI43" s="2447">
        <f t="shared" si="151"/>
        <v>0</v>
      </c>
      <c r="FJ43" s="2447">
        <f t="shared" si="152"/>
        <v>0</v>
      </c>
      <c r="FK43" s="2447">
        <f>SUM(FF43*FK50)</f>
        <v>0</v>
      </c>
      <c r="FL43" s="2447">
        <f>SUM(FF43*FL50)</f>
        <v>0</v>
      </c>
      <c r="FM43" s="3512">
        <f t="shared" si="157"/>
        <v>0</v>
      </c>
      <c r="FN43" s="3512">
        <f t="shared" si="158"/>
        <v>0</v>
      </c>
      <c r="FO43" s="4760">
        <v>15.90029</v>
      </c>
      <c r="FP43" s="4760">
        <f>0.00288</f>
        <v>2.8800000000000002E-3</v>
      </c>
      <c r="FQ43" s="4760">
        <f>9.19974</f>
        <v>9.1997400000000003</v>
      </c>
      <c r="FR43" s="4760">
        <v>1.346E-2</v>
      </c>
      <c r="FS43" s="4761">
        <f>1.64001+5.90673+36.56804</f>
        <v>44.114780000000003</v>
      </c>
      <c r="FT43" s="4763">
        <f>0.00102+0.00385</f>
        <v>4.8700000000000002E-3</v>
      </c>
      <c r="FU43" s="4760">
        <f>1.28459+4.50972+24.52217</f>
        <v>30.316479999999999</v>
      </c>
      <c r="FV43" s="4761">
        <f>0.004+0.01087+0.058</f>
        <v>7.2870000000000004E-2</v>
      </c>
    </row>
    <row r="44" spans="1:178" ht="33" customHeight="1" x14ac:dyDescent="0.2">
      <c r="A44" s="3234" t="s">
        <v>302</v>
      </c>
      <c r="B44" s="3110"/>
      <c r="C44" s="3110"/>
      <c r="D44" s="2139"/>
      <c r="E44" s="3110"/>
      <c r="F44" s="2139"/>
      <c r="G44" s="2140"/>
      <c r="H44" s="2139"/>
      <c r="I44" s="2141"/>
      <c r="J44" s="2141"/>
      <c r="K44" s="2141"/>
      <c r="L44" s="2141"/>
      <c r="M44" s="2145"/>
      <c r="N44" s="2141"/>
      <c r="O44" s="2141">
        <v>2</v>
      </c>
      <c r="P44" s="2141">
        <v>3.0381499999999999</v>
      </c>
      <c r="Q44" s="2141">
        <v>3.1</v>
      </c>
      <c r="R44" s="2141"/>
      <c r="S44" s="2140"/>
      <c r="T44" s="2143"/>
      <c r="U44" s="2144" t="e">
        <f>R44*#REF!</f>
        <v>#REF!</v>
      </c>
      <c r="V44" s="2144" t="e">
        <f>R44*#REF!</f>
        <v>#REF!</v>
      </c>
      <c r="W44" s="2144">
        <f t="shared" si="117"/>
        <v>0</v>
      </c>
      <c r="X44" s="2144">
        <f t="shared" si="118"/>
        <v>0</v>
      </c>
      <c r="Y44" s="2144"/>
      <c r="Z44" s="2144"/>
      <c r="AA44" s="2144"/>
      <c r="AB44" s="2141"/>
      <c r="AC44" s="2140"/>
      <c r="AD44" s="2144"/>
      <c r="AE44" s="2144"/>
      <c r="AF44" s="3233"/>
      <c r="AG44" s="3233"/>
      <c r="AH44" s="2144"/>
      <c r="AI44" s="2144"/>
      <c r="AJ44" s="2140"/>
      <c r="AK44" s="2144">
        <f>AJ44*AI56</f>
        <v>0</v>
      </c>
      <c r="AL44" s="2144">
        <f>AJ44*AI57</f>
        <v>0</v>
      </c>
      <c r="AM44" s="3233"/>
      <c r="AN44" s="3233"/>
      <c r="AO44" s="2567">
        <f t="shared" si="166"/>
        <v>0</v>
      </c>
      <c r="AP44" s="2144">
        <f t="shared" si="121"/>
        <v>0</v>
      </c>
      <c r="AQ44" s="2144">
        <f t="shared" si="122"/>
        <v>0</v>
      </c>
      <c r="AR44" s="2144">
        <f t="shared" si="7"/>
        <v>0</v>
      </c>
      <c r="AS44" s="2144">
        <v>0</v>
      </c>
      <c r="AT44" s="2144">
        <v>0</v>
      </c>
      <c r="AU44" s="2144">
        <f t="shared" si="8"/>
        <v>0</v>
      </c>
      <c r="AV44" s="2144">
        <v>0</v>
      </c>
      <c r="AW44" s="2144">
        <v>0</v>
      </c>
      <c r="AX44" s="2144">
        <f t="shared" si="137"/>
        <v>0</v>
      </c>
      <c r="AY44" s="2144">
        <v>0</v>
      </c>
      <c r="AZ44" s="2144">
        <v>0</v>
      </c>
      <c r="BA44" s="2144">
        <f t="shared" si="93"/>
        <v>0</v>
      </c>
      <c r="BB44" s="2144">
        <v>0</v>
      </c>
      <c r="BC44" s="2144">
        <v>0</v>
      </c>
      <c r="BD44" s="2144">
        <v>0</v>
      </c>
      <c r="BE44" s="2144">
        <v>0</v>
      </c>
      <c r="BF44" s="2144">
        <v>0</v>
      </c>
      <c r="BG44" s="2144">
        <v>0</v>
      </c>
      <c r="BH44" s="2144">
        <f t="shared" si="11"/>
        <v>0</v>
      </c>
      <c r="BI44" s="2144">
        <v>0</v>
      </c>
      <c r="BJ44" s="2144">
        <v>0</v>
      </c>
      <c r="BK44" s="2144">
        <v>0</v>
      </c>
      <c r="BL44" s="2144">
        <f t="shared" si="123"/>
        <v>0</v>
      </c>
      <c r="BM44" s="2144">
        <f t="shared" si="124"/>
        <v>0</v>
      </c>
      <c r="BN44" s="2144">
        <f t="shared" si="125"/>
        <v>0</v>
      </c>
      <c r="BO44" s="2144">
        <f t="shared" si="126"/>
        <v>0</v>
      </c>
      <c r="BP44" s="2144">
        <f t="shared" si="94"/>
        <v>0</v>
      </c>
      <c r="BQ44" s="2144">
        <v>0</v>
      </c>
      <c r="BR44" s="2144">
        <v>0</v>
      </c>
      <c r="BS44" s="2144">
        <v>0</v>
      </c>
      <c r="BT44" s="2144">
        <v>0</v>
      </c>
      <c r="BU44" s="2144">
        <v>0</v>
      </c>
      <c r="BV44" s="2144">
        <v>0</v>
      </c>
      <c r="BW44" s="2144">
        <f t="shared" si="95"/>
        <v>0</v>
      </c>
      <c r="BX44" s="2144">
        <f t="shared" si="127"/>
        <v>0</v>
      </c>
      <c r="BY44" s="2144">
        <f t="shared" si="128"/>
        <v>0</v>
      </c>
      <c r="BZ44" s="2144">
        <f t="shared" si="129"/>
        <v>0</v>
      </c>
      <c r="CA44" s="2144">
        <f t="shared" si="130"/>
        <v>0</v>
      </c>
      <c r="CB44" s="2144">
        <f t="shared" si="96"/>
        <v>0</v>
      </c>
      <c r="CC44" s="2144">
        <v>0</v>
      </c>
      <c r="CD44" s="2144">
        <v>0</v>
      </c>
      <c r="CE44" s="2144">
        <v>0</v>
      </c>
      <c r="CF44" s="2144">
        <v>0</v>
      </c>
      <c r="CG44" s="2144">
        <v>0</v>
      </c>
      <c r="CH44" s="2144">
        <v>0</v>
      </c>
      <c r="CI44" s="2144">
        <f t="shared" si="97"/>
        <v>0</v>
      </c>
      <c r="CJ44" s="2144">
        <v>0</v>
      </c>
      <c r="CK44" s="2144">
        <v>0</v>
      </c>
      <c r="CL44" s="2144">
        <v>0</v>
      </c>
      <c r="CM44" s="2144">
        <v>0</v>
      </c>
      <c r="CN44" s="2144">
        <v>0</v>
      </c>
      <c r="CO44" s="2144">
        <v>0</v>
      </c>
      <c r="CP44" s="2144">
        <f t="shared" si="98"/>
        <v>0</v>
      </c>
      <c r="CQ44" s="2144">
        <v>0</v>
      </c>
      <c r="CR44" s="2144">
        <v>0</v>
      </c>
      <c r="CS44" s="2144">
        <v>0</v>
      </c>
      <c r="CT44" s="2144">
        <v>0</v>
      </c>
      <c r="CU44" s="2144">
        <v>0</v>
      </c>
      <c r="CV44" s="2144">
        <v>0</v>
      </c>
      <c r="CW44" s="2144">
        <f t="shared" si="99"/>
        <v>0</v>
      </c>
      <c r="CX44" s="2144">
        <f>SUM(CW44*CX50)</f>
        <v>0</v>
      </c>
      <c r="CY44" s="2144">
        <f>SUM(CW44*CY50)</f>
        <v>0</v>
      </c>
      <c r="CZ44" s="2144">
        <f>SUM(CW44*CZ50)</f>
        <v>0</v>
      </c>
      <c r="DA44" s="2144">
        <f>SUM(CW44*DA50)</f>
        <v>0</v>
      </c>
      <c r="DB44" s="2144">
        <f>SUM(CW44*DB50)</f>
        <v>0</v>
      </c>
      <c r="DC44" s="2144">
        <f>SUM(CW44*DC50)</f>
        <v>0</v>
      </c>
      <c r="DD44" s="2112">
        <f t="shared" si="100"/>
        <v>0</v>
      </c>
      <c r="DE44" s="2112">
        <f t="shared" si="101"/>
        <v>0</v>
      </c>
      <c r="DF44" s="2144">
        <f t="shared" si="102"/>
        <v>0</v>
      </c>
      <c r="DG44" s="2144">
        <v>0</v>
      </c>
      <c r="DH44" s="2144">
        <v>0</v>
      </c>
      <c r="DI44" s="2144">
        <v>0</v>
      </c>
      <c r="DJ44" s="2144">
        <v>0</v>
      </c>
      <c r="DK44" s="2144">
        <v>0</v>
      </c>
      <c r="DL44" s="2144">
        <v>0</v>
      </c>
      <c r="DM44" s="2144">
        <f t="shared" si="103"/>
        <v>0</v>
      </c>
      <c r="DN44" s="2144">
        <v>0</v>
      </c>
      <c r="DO44" s="2144">
        <v>0</v>
      </c>
      <c r="DP44" s="2144">
        <v>0</v>
      </c>
      <c r="DQ44" s="2144">
        <v>0</v>
      </c>
      <c r="DR44" s="2144">
        <v>0</v>
      </c>
      <c r="DS44" s="2144">
        <v>0</v>
      </c>
      <c r="DT44" s="2144">
        <f t="shared" si="104"/>
        <v>0</v>
      </c>
      <c r="DU44" s="2144">
        <v>0</v>
      </c>
      <c r="DV44" s="2144">
        <v>0</v>
      </c>
      <c r="DW44" s="2144">
        <v>0</v>
      </c>
      <c r="DX44" s="2144">
        <v>0</v>
      </c>
      <c r="DY44" s="2144">
        <v>0</v>
      </c>
      <c r="DZ44" s="2144">
        <v>0</v>
      </c>
      <c r="EA44" s="2144">
        <f t="shared" si="105"/>
        <v>0</v>
      </c>
      <c r="EB44" s="2144">
        <f>SUM(EA44*EB50)</f>
        <v>0</v>
      </c>
      <c r="EC44" s="2144">
        <f>SUM(EA44*EC50)</f>
        <v>0</v>
      </c>
      <c r="ED44" s="2144">
        <f>SUM(EA44*ED50)</f>
        <v>0</v>
      </c>
      <c r="EE44" s="2144">
        <f>SUM(EA44*EE50)</f>
        <v>0</v>
      </c>
      <c r="EF44" s="2144">
        <f>SUM(EA44*EF50)</f>
        <v>0</v>
      </c>
      <c r="EG44" s="2144">
        <f>SUM(EA44*EG50)</f>
        <v>0</v>
      </c>
      <c r="EH44" s="2112">
        <f t="shared" si="131"/>
        <v>0</v>
      </c>
      <c r="EI44" s="2112">
        <f t="shared" si="106"/>
        <v>0</v>
      </c>
      <c r="EJ44" s="3952"/>
      <c r="EK44" s="2144">
        <f t="shared" si="107"/>
        <v>0</v>
      </c>
      <c r="EL44" s="2144">
        <v>0</v>
      </c>
      <c r="EM44" s="2144">
        <v>0</v>
      </c>
      <c r="EN44" s="2144">
        <v>0</v>
      </c>
      <c r="EO44" s="2144">
        <v>0</v>
      </c>
      <c r="EP44" s="2144">
        <v>0</v>
      </c>
      <c r="EQ44" s="2144">
        <v>0</v>
      </c>
      <c r="ER44" s="2144">
        <f t="shared" si="108"/>
        <v>0</v>
      </c>
      <c r="ES44" s="2144">
        <v>0</v>
      </c>
      <c r="ET44" s="2144">
        <v>0</v>
      </c>
      <c r="EU44" s="2144">
        <v>0</v>
      </c>
      <c r="EV44" s="2144">
        <v>0</v>
      </c>
      <c r="EW44" s="2144">
        <v>0</v>
      </c>
      <c r="EX44" s="2144">
        <v>0</v>
      </c>
      <c r="EY44" s="2144">
        <f t="shared" si="109"/>
        <v>0</v>
      </c>
      <c r="EZ44" s="2144">
        <v>0</v>
      </c>
      <c r="FA44" s="2144">
        <v>0</v>
      </c>
      <c r="FB44" s="2144">
        <v>0</v>
      </c>
      <c r="FC44" s="2144">
        <v>0</v>
      </c>
      <c r="FD44" s="3862">
        <v>0</v>
      </c>
      <c r="FE44" s="3862">
        <v>0</v>
      </c>
      <c r="FF44" s="2447">
        <f t="shared" si="148"/>
        <v>0</v>
      </c>
      <c r="FG44" s="2447">
        <f t="shared" si="149"/>
        <v>0</v>
      </c>
      <c r="FH44" s="2447">
        <f t="shared" si="150"/>
        <v>0</v>
      </c>
      <c r="FI44" s="2447">
        <f t="shared" si="151"/>
        <v>0</v>
      </c>
      <c r="FJ44" s="2447">
        <f t="shared" si="152"/>
        <v>0</v>
      </c>
      <c r="FK44" s="2447">
        <f>SUM(FF44*FK50)</f>
        <v>0</v>
      </c>
      <c r="FL44" s="2447">
        <f>SUM(FF44*FL50)</f>
        <v>0</v>
      </c>
      <c r="FM44" s="3512">
        <f t="shared" si="157"/>
        <v>0</v>
      </c>
      <c r="FN44" s="3512">
        <f t="shared" si="158"/>
        <v>0</v>
      </c>
      <c r="FO44" s="4760">
        <v>0</v>
      </c>
      <c r="FP44" s="4760">
        <v>0</v>
      </c>
      <c r="FQ44" s="4760">
        <v>0</v>
      </c>
      <c r="FR44" s="4760">
        <v>0</v>
      </c>
      <c r="FS44" s="4760">
        <v>0</v>
      </c>
      <c r="FT44" s="4760">
        <v>0</v>
      </c>
      <c r="FU44" s="4760">
        <v>0</v>
      </c>
      <c r="FV44" s="4760">
        <v>0</v>
      </c>
    </row>
    <row r="45" spans="1:178" ht="24" customHeight="1" x14ac:dyDescent="0.2">
      <c r="A45" s="3234" t="s">
        <v>163</v>
      </c>
      <c r="B45" s="3110">
        <v>64.7</v>
      </c>
      <c r="C45" s="3110"/>
      <c r="D45" s="2139">
        <f>C45/B45*100</f>
        <v>0</v>
      </c>
      <c r="E45" s="3110"/>
      <c r="F45" s="2139"/>
      <c r="G45" s="2140">
        <v>1.5</v>
      </c>
      <c r="H45" s="2139"/>
      <c r="I45" s="2141"/>
      <c r="J45" s="2141"/>
      <c r="K45" s="2141"/>
      <c r="L45" s="2141"/>
      <c r="M45" s="2145">
        <f>K45/G45*100</f>
        <v>0</v>
      </c>
      <c r="N45" s="2141">
        <v>0</v>
      </c>
      <c r="O45" s="2141"/>
      <c r="P45" s="2141"/>
      <c r="Q45" s="2141">
        <v>0</v>
      </c>
      <c r="R45" s="2141"/>
      <c r="S45" s="2140"/>
      <c r="T45" s="2143"/>
      <c r="U45" s="2144" t="e">
        <f>R45*#REF!</f>
        <v>#REF!</v>
      </c>
      <c r="V45" s="2144" t="e">
        <f>R45*#REF!</f>
        <v>#REF!</v>
      </c>
      <c r="W45" s="2144">
        <f t="shared" si="117"/>
        <v>0</v>
      </c>
      <c r="X45" s="2144">
        <f t="shared" si="118"/>
        <v>0</v>
      </c>
      <c r="Y45" s="2144"/>
      <c r="Z45" s="2144"/>
      <c r="AA45" s="2144"/>
      <c r="AB45" s="2141"/>
      <c r="AC45" s="2140"/>
      <c r="AD45" s="2144"/>
      <c r="AE45" s="2144"/>
      <c r="AF45" s="3233"/>
      <c r="AG45" s="3233"/>
      <c r="AH45" s="2144"/>
      <c r="AI45" s="2144"/>
      <c r="AJ45" s="2140"/>
      <c r="AK45" s="2144">
        <f>AJ45*AI56</f>
        <v>0</v>
      </c>
      <c r="AL45" s="2144">
        <f>AJ45*AI57</f>
        <v>0</v>
      </c>
      <c r="AM45" s="3233"/>
      <c r="AN45" s="3233"/>
      <c r="AO45" s="2567">
        <f t="shared" si="166"/>
        <v>0</v>
      </c>
      <c r="AP45" s="2144">
        <f t="shared" si="121"/>
        <v>0</v>
      </c>
      <c r="AQ45" s="2144">
        <f t="shared" si="122"/>
        <v>0</v>
      </c>
      <c r="AR45" s="2144">
        <f t="shared" si="7"/>
        <v>0</v>
      </c>
      <c r="AS45" s="2144">
        <v>0</v>
      </c>
      <c r="AT45" s="2144">
        <v>0</v>
      </c>
      <c r="AU45" s="2144">
        <f t="shared" si="8"/>
        <v>0</v>
      </c>
      <c r="AV45" s="2144">
        <v>0</v>
      </c>
      <c r="AW45" s="2144">
        <v>0</v>
      </c>
      <c r="AX45" s="2144">
        <f t="shared" si="137"/>
        <v>0</v>
      </c>
      <c r="AY45" s="2144">
        <v>0</v>
      </c>
      <c r="AZ45" s="2144">
        <v>0</v>
      </c>
      <c r="BA45" s="2144">
        <f t="shared" si="93"/>
        <v>0</v>
      </c>
      <c r="BB45" s="2144">
        <v>0</v>
      </c>
      <c r="BC45" s="2144">
        <v>0</v>
      </c>
      <c r="BD45" s="2144">
        <v>0</v>
      </c>
      <c r="BE45" s="2144">
        <v>0</v>
      </c>
      <c r="BF45" s="2144">
        <v>0</v>
      </c>
      <c r="BG45" s="2144">
        <v>0</v>
      </c>
      <c r="BH45" s="2144">
        <f t="shared" si="11"/>
        <v>0</v>
      </c>
      <c r="BI45" s="2144">
        <v>0</v>
      </c>
      <c r="BJ45" s="2144">
        <v>0</v>
      </c>
      <c r="BK45" s="2144">
        <v>0</v>
      </c>
      <c r="BL45" s="2144">
        <f t="shared" si="123"/>
        <v>0</v>
      </c>
      <c r="BM45" s="2144">
        <f t="shared" si="124"/>
        <v>0</v>
      </c>
      <c r="BN45" s="2144">
        <f t="shared" si="125"/>
        <v>0</v>
      </c>
      <c r="BO45" s="2144">
        <f t="shared" si="126"/>
        <v>0</v>
      </c>
      <c r="BP45" s="2144">
        <f t="shared" si="94"/>
        <v>0</v>
      </c>
      <c r="BQ45" s="2144">
        <v>0</v>
      </c>
      <c r="BR45" s="2144">
        <v>0</v>
      </c>
      <c r="BS45" s="2144">
        <v>0</v>
      </c>
      <c r="BT45" s="2144">
        <v>0</v>
      </c>
      <c r="BU45" s="2144">
        <v>0</v>
      </c>
      <c r="BV45" s="2144">
        <v>0</v>
      </c>
      <c r="BW45" s="2144">
        <f t="shared" si="95"/>
        <v>0</v>
      </c>
      <c r="BX45" s="2144">
        <f t="shared" si="127"/>
        <v>0</v>
      </c>
      <c r="BY45" s="2144">
        <f t="shared" si="128"/>
        <v>0</v>
      </c>
      <c r="BZ45" s="2144">
        <f t="shared" si="129"/>
        <v>0</v>
      </c>
      <c r="CA45" s="2144">
        <f t="shared" si="130"/>
        <v>0</v>
      </c>
      <c r="CB45" s="2144">
        <f t="shared" ref="CB45" si="168">SUM(CC45:CH45)</f>
        <v>0</v>
      </c>
      <c r="CC45" s="2144">
        <v>0</v>
      </c>
      <c r="CD45" s="2144">
        <v>0</v>
      </c>
      <c r="CE45" s="2144">
        <v>0</v>
      </c>
      <c r="CF45" s="2144">
        <v>0</v>
      </c>
      <c r="CG45" s="2144">
        <v>0</v>
      </c>
      <c r="CH45" s="2144">
        <v>0</v>
      </c>
      <c r="CI45" s="2144">
        <f t="shared" ref="CI45" si="169">SUM(CJ45:CO45)</f>
        <v>0</v>
      </c>
      <c r="CJ45" s="2144">
        <v>0</v>
      </c>
      <c r="CK45" s="2144">
        <v>0</v>
      </c>
      <c r="CL45" s="2144">
        <v>0</v>
      </c>
      <c r="CM45" s="2144">
        <v>0</v>
      </c>
      <c r="CN45" s="2144">
        <v>0</v>
      </c>
      <c r="CO45" s="2144">
        <v>0</v>
      </c>
      <c r="CP45" s="2144">
        <f t="shared" ref="CP45:CP48" si="170">SUM(CQ45:CV45)</f>
        <v>0</v>
      </c>
      <c r="CQ45" s="2144">
        <v>0</v>
      </c>
      <c r="CR45" s="2144">
        <v>0</v>
      </c>
      <c r="CS45" s="2144">
        <v>0</v>
      </c>
      <c r="CT45" s="2144">
        <v>0</v>
      </c>
      <c r="CU45" s="2144">
        <v>0</v>
      </c>
      <c r="CV45" s="2144">
        <v>0</v>
      </c>
      <c r="CW45" s="2144">
        <f t="shared" si="99"/>
        <v>0</v>
      </c>
      <c r="CX45" s="2144">
        <f>SUM(CW45*CX50)</f>
        <v>0</v>
      </c>
      <c r="CY45" s="2144">
        <f>SUM(CW45*CY50)</f>
        <v>0</v>
      </c>
      <c r="CZ45" s="2144">
        <f>SUM(CW45*CZ50)</f>
        <v>0</v>
      </c>
      <c r="DA45" s="2144">
        <f>SUM(CW45*DA50)</f>
        <v>0</v>
      </c>
      <c r="DB45" s="2144">
        <f>SUM(CW45*DB50)</f>
        <v>0</v>
      </c>
      <c r="DC45" s="2144">
        <f>SUM(CW45*DC50)</f>
        <v>0</v>
      </c>
      <c r="DD45" s="2112">
        <f t="shared" si="100"/>
        <v>0</v>
      </c>
      <c r="DE45" s="2112">
        <f t="shared" si="101"/>
        <v>0</v>
      </c>
      <c r="DF45" s="2144">
        <f t="shared" ref="DF45" si="171">SUM(DG45:DL45)</f>
        <v>0</v>
      </c>
      <c r="DG45" s="2144">
        <v>0</v>
      </c>
      <c r="DH45" s="2144">
        <v>0</v>
      </c>
      <c r="DI45" s="2144">
        <v>0</v>
      </c>
      <c r="DJ45" s="2144">
        <v>0</v>
      </c>
      <c r="DK45" s="2144">
        <v>0</v>
      </c>
      <c r="DL45" s="2144">
        <v>0</v>
      </c>
      <c r="DM45" s="2144">
        <f t="shared" ref="DM45" si="172">SUM(DN45:DS45)</f>
        <v>0</v>
      </c>
      <c r="DN45" s="2144">
        <v>0</v>
      </c>
      <c r="DO45" s="2144">
        <v>0</v>
      </c>
      <c r="DP45" s="2144">
        <v>0</v>
      </c>
      <c r="DQ45" s="2144">
        <v>0</v>
      </c>
      <c r="DR45" s="2144">
        <v>0</v>
      </c>
      <c r="DS45" s="2144">
        <v>0</v>
      </c>
      <c r="DT45" s="2144">
        <f t="shared" ref="DT45:DT48" si="173">SUM(DU45:DZ45)</f>
        <v>0</v>
      </c>
      <c r="DU45" s="2144">
        <v>0</v>
      </c>
      <c r="DV45" s="2144">
        <v>0</v>
      </c>
      <c r="DW45" s="2144">
        <v>0</v>
      </c>
      <c r="DX45" s="2144">
        <v>0</v>
      </c>
      <c r="DY45" s="2144">
        <v>0</v>
      </c>
      <c r="DZ45" s="2144">
        <v>0</v>
      </c>
      <c r="EA45" s="2144">
        <f t="shared" si="105"/>
        <v>0</v>
      </c>
      <c r="EB45" s="2144">
        <f>SUM(EA45*EB50)</f>
        <v>0</v>
      </c>
      <c r="EC45" s="2144">
        <f>SUM(EA45*EC50)</f>
        <v>0</v>
      </c>
      <c r="ED45" s="2144">
        <f>SUM(EA45*ED50)</f>
        <v>0</v>
      </c>
      <c r="EE45" s="2144">
        <f>SUM(EA45*EE50)</f>
        <v>0</v>
      </c>
      <c r="EF45" s="2144">
        <f>SUM(EA45*EF50)</f>
        <v>0</v>
      </c>
      <c r="EG45" s="2144">
        <f>SUM(EA45*EG50)</f>
        <v>0</v>
      </c>
      <c r="EH45" s="2112">
        <f t="shared" si="131"/>
        <v>0</v>
      </c>
      <c r="EI45" s="2112">
        <f t="shared" si="106"/>
        <v>0</v>
      </c>
      <c r="EJ45" s="3952"/>
      <c r="EK45" s="2144">
        <f t="shared" ref="EK45:EK48" si="174">SUM(EL45:EQ45)</f>
        <v>2.3103000000000002</v>
      </c>
      <c r="EL45" s="2144">
        <v>1.32372</v>
      </c>
      <c r="EM45" s="2144">
        <v>2.4000000000000001E-4</v>
      </c>
      <c r="EN45" s="2144">
        <v>0.97897999999999996</v>
      </c>
      <c r="EO45" s="2144">
        <v>2.2499999999999998E-3</v>
      </c>
      <c r="EP45" s="2144">
        <v>0</v>
      </c>
      <c r="EQ45" s="2144">
        <v>5.11E-3</v>
      </c>
      <c r="ER45" s="2144">
        <f t="shared" ref="ER45:ER48" si="175">SUM(ES45:EX45)</f>
        <v>2.3054900000000003</v>
      </c>
      <c r="ES45" s="2144">
        <v>1.3240000000000001</v>
      </c>
      <c r="ET45" s="2144">
        <v>2.4000000000000001E-4</v>
      </c>
      <c r="EU45" s="2144">
        <v>0.97899999999999998</v>
      </c>
      <c r="EV45" s="2144">
        <v>2.2499999999999998E-3</v>
      </c>
      <c r="EW45" s="2144">
        <v>0</v>
      </c>
      <c r="EX45" s="2144">
        <v>0</v>
      </c>
      <c r="EY45" s="2144">
        <v>2.4</v>
      </c>
      <c r="EZ45" s="2144">
        <v>1.3240000000000001</v>
      </c>
      <c r="FA45" s="2144">
        <v>2.4000000000000001E-4</v>
      </c>
      <c r="FB45" s="2144">
        <v>0.97899999999999998</v>
      </c>
      <c r="FC45" s="2144">
        <v>2.2499999999999998E-3</v>
      </c>
      <c r="FD45" s="3862">
        <v>0</v>
      </c>
      <c r="FE45" s="3862">
        <v>0</v>
      </c>
      <c r="FF45" s="2447">
        <f t="shared" si="148"/>
        <v>2.7168371999999996</v>
      </c>
      <c r="FG45" s="2447">
        <f t="shared" si="149"/>
        <v>1.4987885220000003</v>
      </c>
      <c r="FH45" s="2447">
        <f t="shared" si="150"/>
        <v>2.7168372000000004E-4</v>
      </c>
      <c r="FI45" s="2447">
        <f t="shared" si="151"/>
        <v>1.1082431745000001</v>
      </c>
      <c r="FJ45" s="2447">
        <f t="shared" si="152"/>
        <v>2.5470348750000001E-3</v>
      </c>
      <c r="FK45" s="2447">
        <f>SUM(FF45*FK50)</f>
        <v>0</v>
      </c>
      <c r="FL45" s="2447">
        <f>SUM(FF45*FL50)</f>
        <v>5.5453377627228219E-2</v>
      </c>
      <c r="FM45" s="3512">
        <f t="shared" si="157"/>
        <v>0</v>
      </c>
      <c r="FN45" s="3512">
        <f t="shared" si="158"/>
        <v>0</v>
      </c>
      <c r="FO45" s="4760">
        <v>0</v>
      </c>
      <c r="FP45" s="4760">
        <v>2.4000000000000001E-4</v>
      </c>
      <c r="FQ45" s="4760">
        <v>0</v>
      </c>
      <c r="FR45" s="4760">
        <v>2.2499999999999998E-3</v>
      </c>
      <c r="FS45" s="4760">
        <v>0</v>
      </c>
      <c r="FT45" s="4760">
        <v>2.4000000000000001E-4</v>
      </c>
      <c r="FU45" s="4760">
        <v>0</v>
      </c>
      <c r="FV45" s="4760">
        <v>2.2499999999999998E-3</v>
      </c>
    </row>
    <row r="46" spans="1:178" ht="33" customHeight="1" x14ac:dyDescent="0.2">
      <c r="A46" s="3234" t="s">
        <v>303</v>
      </c>
      <c r="B46" s="3110"/>
      <c r="C46" s="3110"/>
      <c r="D46" s="2139"/>
      <c r="E46" s="3110"/>
      <c r="F46" s="2139"/>
      <c r="G46" s="2140"/>
      <c r="H46" s="2139"/>
      <c r="I46" s="2141"/>
      <c r="J46" s="2141"/>
      <c r="K46" s="2141"/>
      <c r="L46" s="2141"/>
      <c r="M46" s="2145"/>
      <c r="N46" s="2141"/>
      <c r="O46" s="2141"/>
      <c r="P46" s="2141">
        <v>2.84</v>
      </c>
      <c r="Q46" s="2141"/>
      <c r="R46" s="2141"/>
      <c r="S46" s="2140"/>
      <c r="T46" s="2143"/>
      <c r="U46" s="2144" t="e">
        <f>R46*#REF!</f>
        <v>#REF!</v>
      </c>
      <c r="V46" s="2144" t="e">
        <f>R46*#REF!</f>
        <v>#REF!</v>
      </c>
      <c r="W46" s="2144">
        <f t="shared" si="117"/>
        <v>0</v>
      </c>
      <c r="X46" s="2144">
        <f t="shared" si="118"/>
        <v>0</v>
      </c>
      <c r="Y46" s="2144"/>
      <c r="Z46" s="2144"/>
      <c r="AA46" s="2144"/>
      <c r="AB46" s="2141"/>
      <c r="AC46" s="2140"/>
      <c r="AD46" s="2144"/>
      <c r="AE46" s="2144"/>
      <c r="AF46" s="3233"/>
      <c r="AG46" s="3233"/>
      <c r="AH46" s="2144"/>
      <c r="AI46" s="2144"/>
      <c r="AJ46" s="2140"/>
      <c r="AK46" s="2144">
        <f>AJ46*AI56</f>
        <v>0</v>
      </c>
      <c r="AL46" s="2144">
        <f>AJ46*AI57</f>
        <v>0</v>
      </c>
      <c r="AM46" s="3233"/>
      <c r="AN46" s="3233"/>
      <c r="AO46" s="2567">
        <f t="shared" si="166"/>
        <v>0</v>
      </c>
      <c r="AP46" s="2144">
        <f t="shared" si="121"/>
        <v>0</v>
      </c>
      <c r="AQ46" s="2144">
        <f t="shared" si="122"/>
        <v>0</v>
      </c>
      <c r="AR46" s="2144">
        <f t="shared" si="7"/>
        <v>0</v>
      </c>
      <c r="AS46" s="2144">
        <v>0</v>
      </c>
      <c r="AT46" s="2144">
        <v>0</v>
      </c>
      <c r="AU46" s="2144">
        <f t="shared" si="8"/>
        <v>0</v>
      </c>
      <c r="AV46" s="2144">
        <v>0</v>
      </c>
      <c r="AW46" s="2144">
        <v>0</v>
      </c>
      <c r="AX46" s="2144">
        <f t="shared" si="137"/>
        <v>0</v>
      </c>
      <c r="AY46" s="2144">
        <v>0</v>
      </c>
      <c r="AZ46" s="2144">
        <v>0</v>
      </c>
      <c r="BA46" s="2144">
        <f t="shared" si="93"/>
        <v>0</v>
      </c>
      <c r="BB46" s="2144">
        <v>0</v>
      </c>
      <c r="BC46" s="2144">
        <v>0</v>
      </c>
      <c r="BD46" s="2144">
        <v>0</v>
      </c>
      <c r="BE46" s="2144">
        <v>0</v>
      </c>
      <c r="BF46" s="2144">
        <v>0</v>
      </c>
      <c r="BG46" s="2144">
        <v>0</v>
      </c>
      <c r="BH46" s="2144">
        <f t="shared" si="11"/>
        <v>0</v>
      </c>
      <c r="BI46" s="2144">
        <v>0</v>
      </c>
      <c r="BJ46" s="2144">
        <v>0</v>
      </c>
      <c r="BK46" s="2144">
        <v>0</v>
      </c>
      <c r="BL46" s="2144">
        <f t="shared" si="123"/>
        <v>0</v>
      </c>
      <c r="BM46" s="2144">
        <f t="shared" si="124"/>
        <v>0</v>
      </c>
      <c r="BN46" s="2144">
        <f t="shared" si="125"/>
        <v>0</v>
      </c>
      <c r="BO46" s="2144">
        <f t="shared" si="126"/>
        <v>0</v>
      </c>
      <c r="BP46" s="2144">
        <f t="shared" si="94"/>
        <v>0</v>
      </c>
      <c r="BQ46" s="2144">
        <v>0</v>
      </c>
      <c r="BR46" s="2144">
        <v>0</v>
      </c>
      <c r="BS46" s="2144">
        <v>0</v>
      </c>
      <c r="BT46" s="2144">
        <v>0</v>
      </c>
      <c r="BU46" s="2144">
        <v>0</v>
      </c>
      <c r="BV46" s="2144">
        <v>0</v>
      </c>
      <c r="BW46" s="2144">
        <f t="shared" si="95"/>
        <v>0</v>
      </c>
      <c r="BX46" s="2144">
        <f t="shared" si="127"/>
        <v>0</v>
      </c>
      <c r="BY46" s="2144">
        <f t="shared" si="128"/>
        <v>0</v>
      </c>
      <c r="BZ46" s="2144">
        <f t="shared" si="129"/>
        <v>0</v>
      </c>
      <c r="CA46" s="2144">
        <f t="shared" si="130"/>
        <v>0</v>
      </c>
      <c r="CB46" s="2144">
        <f t="shared" ref="CB46:CB48" si="176">SUM(CC46:CH46)</f>
        <v>0</v>
      </c>
      <c r="CC46" s="2144">
        <v>0</v>
      </c>
      <c r="CD46" s="2144">
        <v>0</v>
      </c>
      <c r="CE46" s="2144">
        <v>0</v>
      </c>
      <c r="CF46" s="2144">
        <v>0</v>
      </c>
      <c r="CG46" s="2144">
        <v>0</v>
      </c>
      <c r="CH46" s="2144">
        <v>0</v>
      </c>
      <c r="CI46" s="2144">
        <f t="shared" ref="CI46:CI48" si="177">SUM(CJ46:CO46)</f>
        <v>0</v>
      </c>
      <c r="CJ46" s="2144">
        <v>0</v>
      </c>
      <c r="CK46" s="2144">
        <v>0</v>
      </c>
      <c r="CL46" s="2144">
        <v>0</v>
      </c>
      <c r="CM46" s="2144">
        <v>0</v>
      </c>
      <c r="CN46" s="2144">
        <v>0</v>
      </c>
      <c r="CO46" s="2144">
        <v>0</v>
      </c>
      <c r="CP46" s="2144">
        <f t="shared" si="170"/>
        <v>0</v>
      </c>
      <c r="CQ46" s="2144">
        <v>0</v>
      </c>
      <c r="CR46" s="2144">
        <v>0</v>
      </c>
      <c r="CS46" s="2144">
        <v>0</v>
      </c>
      <c r="CT46" s="2144">
        <v>0</v>
      </c>
      <c r="CU46" s="2144">
        <v>0</v>
      </c>
      <c r="CV46" s="2144">
        <v>0</v>
      </c>
      <c r="CW46" s="2144">
        <f t="shared" si="99"/>
        <v>0</v>
      </c>
      <c r="CX46" s="2144">
        <f>SUM(CW46*CX50)</f>
        <v>0</v>
      </c>
      <c r="CY46" s="2144">
        <f>SUM(CW46*CY50)</f>
        <v>0</v>
      </c>
      <c r="CZ46" s="2144">
        <f>SUM(CW46*CZ50)</f>
        <v>0</v>
      </c>
      <c r="DA46" s="2144">
        <f>SUM(CW46*DA50)</f>
        <v>0</v>
      </c>
      <c r="DB46" s="2144">
        <f>SUM(CW46*DB50)</f>
        <v>0</v>
      </c>
      <c r="DC46" s="2144">
        <f>SUM(CW46*DC50)</f>
        <v>0</v>
      </c>
      <c r="DD46" s="2112">
        <f t="shared" si="100"/>
        <v>0</v>
      </c>
      <c r="DE46" s="2112">
        <f t="shared" si="101"/>
        <v>0</v>
      </c>
      <c r="DF46" s="2144">
        <f t="shared" ref="DF46:DF48" si="178">SUM(DG46:DL46)</f>
        <v>0</v>
      </c>
      <c r="DG46" s="2144">
        <v>0</v>
      </c>
      <c r="DH46" s="2144">
        <v>0</v>
      </c>
      <c r="DI46" s="2144">
        <v>0</v>
      </c>
      <c r="DJ46" s="2144">
        <v>0</v>
      </c>
      <c r="DK46" s="2144">
        <v>0</v>
      </c>
      <c r="DL46" s="2144">
        <v>0</v>
      </c>
      <c r="DM46" s="2144">
        <f t="shared" ref="DM46:DM48" si="179">SUM(DN46:DS46)</f>
        <v>0</v>
      </c>
      <c r="DN46" s="2144">
        <v>0</v>
      </c>
      <c r="DO46" s="2144">
        <v>0</v>
      </c>
      <c r="DP46" s="2144">
        <v>0</v>
      </c>
      <c r="DQ46" s="2144">
        <v>0</v>
      </c>
      <c r="DR46" s="2144">
        <v>0</v>
      </c>
      <c r="DS46" s="2144">
        <v>0</v>
      </c>
      <c r="DT46" s="2144">
        <f t="shared" si="173"/>
        <v>0</v>
      </c>
      <c r="DU46" s="2144">
        <v>0</v>
      </c>
      <c r="DV46" s="2144">
        <v>0</v>
      </c>
      <c r="DW46" s="2144">
        <v>0</v>
      </c>
      <c r="DX46" s="2144">
        <v>0</v>
      </c>
      <c r="DY46" s="2144">
        <v>0</v>
      </c>
      <c r="DZ46" s="2144">
        <v>0</v>
      </c>
      <c r="EA46" s="2144">
        <f t="shared" si="105"/>
        <v>0</v>
      </c>
      <c r="EB46" s="2144">
        <f>SUM(EA46*EB50)</f>
        <v>0</v>
      </c>
      <c r="EC46" s="2144">
        <f>SUM(EA46*EC50)</f>
        <v>0</v>
      </c>
      <c r="ED46" s="2144">
        <f>SUM(EA46*ED50)</f>
        <v>0</v>
      </c>
      <c r="EE46" s="2144">
        <f>SUM(EA46*EE50)</f>
        <v>0</v>
      </c>
      <c r="EF46" s="2144">
        <f>SUM(EA46*EF50)</f>
        <v>0</v>
      </c>
      <c r="EG46" s="2144">
        <f>SUM(EA46*EG50)</f>
        <v>0</v>
      </c>
      <c r="EH46" s="2112">
        <f t="shared" si="131"/>
        <v>0</v>
      </c>
      <c r="EI46" s="2112">
        <f t="shared" si="106"/>
        <v>0</v>
      </c>
      <c r="EJ46" s="3952"/>
      <c r="EK46" s="2144">
        <f t="shared" si="174"/>
        <v>0</v>
      </c>
      <c r="EL46" s="2144">
        <v>0</v>
      </c>
      <c r="EM46" s="2144">
        <v>0</v>
      </c>
      <c r="EN46" s="2144">
        <v>0</v>
      </c>
      <c r="EO46" s="2144">
        <v>0</v>
      </c>
      <c r="EP46" s="2144">
        <v>0</v>
      </c>
      <c r="EQ46" s="2144">
        <v>0</v>
      </c>
      <c r="ER46" s="2144">
        <f t="shared" si="175"/>
        <v>0</v>
      </c>
      <c r="ES46" s="2144">
        <v>0</v>
      </c>
      <c r="ET46" s="2144">
        <v>0</v>
      </c>
      <c r="EU46" s="2144">
        <v>0</v>
      </c>
      <c r="EV46" s="2144">
        <v>0</v>
      </c>
      <c r="EW46" s="2144">
        <v>0</v>
      </c>
      <c r="EX46" s="2144">
        <v>0</v>
      </c>
      <c r="EY46" s="2144">
        <f t="shared" ref="EY46" si="180">SUM(EZ46:FE46)</f>
        <v>0</v>
      </c>
      <c r="EZ46" s="2144">
        <v>0</v>
      </c>
      <c r="FA46" s="2144">
        <v>0</v>
      </c>
      <c r="FB46" s="2144">
        <v>0</v>
      </c>
      <c r="FC46" s="2144">
        <v>0</v>
      </c>
      <c r="FD46" s="3862">
        <v>0</v>
      </c>
      <c r="FE46" s="3862">
        <v>0</v>
      </c>
      <c r="FF46" s="2447">
        <f t="shared" si="148"/>
        <v>0</v>
      </c>
      <c r="FG46" s="2447">
        <f t="shared" si="149"/>
        <v>0</v>
      </c>
      <c r="FH46" s="2447">
        <f t="shared" si="150"/>
        <v>0</v>
      </c>
      <c r="FI46" s="2447">
        <f t="shared" si="151"/>
        <v>0</v>
      </c>
      <c r="FJ46" s="2447">
        <f t="shared" si="152"/>
        <v>0</v>
      </c>
      <c r="FK46" s="2447">
        <f>SUM(FF46*FK50)</f>
        <v>0</v>
      </c>
      <c r="FL46" s="2447">
        <f>SUM(FF46*FL50)</f>
        <v>0</v>
      </c>
      <c r="FM46" s="3512">
        <f t="shared" si="157"/>
        <v>0</v>
      </c>
      <c r="FN46" s="3512">
        <f t="shared" si="158"/>
        <v>0</v>
      </c>
      <c r="FO46" s="4760">
        <v>0</v>
      </c>
      <c r="FP46" s="4760">
        <v>0</v>
      </c>
      <c r="FQ46" s="4760">
        <v>0</v>
      </c>
      <c r="FR46" s="4760">
        <v>0</v>
      </c>
      <c r="FS46" s="4760">
        <v>0</v>
      </c>
      <c r="FT46" s="4760">
        <v>0</v>
      </c>
      <c r="FU46" s="4760">
        <v>0</v>
      </c>
      <c r="FV46" s="4760">
        <v>0</v>
      </c>
    </row>
    <row r="47" spans="1:178" ht="24" customHeight="1" x14ac:dyDescent="0.2">
      <c r="A47" s="3234" t="s">
        <v>94</v>
      </c>
      <c r="B47" s="3110">
        <v>2</v>
      </c>
      <c r="C47" s="3110"/>
      <c r="D47" s="2139">
        <f>C47/B47*100</f>
        <v>0</v>
      </c>
      <c r="E47" s="3110"/>
      <c r="F47" s="2139"/>
      <c r="G47" s="2140">
        <v>1.5</v>
      </c>
      <c r="H47" s="2139"/>
      <c r="I47" s="2141"/>
      <c r="J47" s="2141"/>
      <c r="K47" s="2141"/>
      <c r="L47" s="2141">
        <v>109.5</v>
      </c>
      <c r="M47" s="2145">
        <f>K47/G47*100</f>
        <v>0</v>
      </c>
      <c r="N47" s="2141">
        <v>0</v>
      </c>
      <c r="O47" s="2141"/>
      <c r="P47" s="2141"/>
      <c r="Q47" s="2141">
        <v>0</v>
      </c>
      <c r="R47" s="2141">
        <v>115.5</v>
      </c>
      <c r="S47" s="2140">
        <v>12.215999999999999</v>
      </c>
      <c r="T47" s="2143"/>
      <c r="U47" s="2144" t="e">
        <f>R47*#REF!</f>
        <v>#REF!</v>
      </c>
      <c r="V47" s="2144" t="e">
        <f>R47*#REF!</f>
        <v>#REF!</v>
      </c>
      <c r="W47" s="2144">
        <f t="shared" si="117"/>
        <v>6.9750802861685202</v>
      </c>
      <c r="X47" s="2144">
        <f t="shared" si="118"/>
        <v>4.9542531796502365</v>
      </c>
      <c r="Y47" s="2144">
        <v>2.94</v>
      </c>
      <c r="Z47" s="2144">
        <v>8.73</v>
      </c>
      <c r="AA47" s="2144">
        <v>11.6</v>
      </c>
      <c r="AB47" s="2141">
        <v>12.2</v>
      </c>
      <c r="AC47" s="2140">
        <v>12.215999999999999</v>
      </c>
      <c r="AD47" s="2144">
        <f>W47</f>
        <v>6.9750802861685202</v>
      </c>
      <c r="AE47" s="2144">
        <f>X47</f>
        <v>4.9542531796502365</v>
      </c>
      <c r="AF47" s="3233">
        <f>AD47/W47</f>
        <v>1</v>
      </c>
      <c r="AG47" s="3233">
        <f>AE47/X47</f>
        <v>1</v>
      </c>
      <c r="AH47" s="2144">
        <v>6.17</v>
      </c>
      <c r="AI47" s="2144">
        <v>9.26</v>
      </c>
      <c r="AJ47" s="2140">
        <f t="shared" ref="AJ47" si="181">SUM(AA47*1.1)</f>
        <v>12.76</v>
      </c>
      <c r="AK47" s="2144">
        <f>AJ47*AI56</f>
        <v>7.6049599999999993</v>
      </c>
      <c r="AL47" s="2144">
        <f>AJ47*AI57</f>
        <v>5.1550400000000005</v>
      </c>
      <c r="AM47" s="3233">
        <f>AK47/AD47</f>
        <v>1.0903042958631632</v>
      </c>
      <c r="AN47" s="3233">
        <f>AL47/AE47</f>
        <v>1.0405281710620893</v>
      </c>
      <c r="AO47" s="2567">
        <f>AJ47</f>
        <v>12.76</v>
      </c>
      <c r="AP47" s="2144">
        <f t="shared" si="121"/>
        <v>6.9434175819675454</v>
      </c>
      <c r="AQ47" s="2144">
        <f t="shared" si="122"/>
        <v>5.7478200856768931</v>
      </c>
      <c r="AR47" s="2144">
        <f t="shared" si="7"/>
        <v>13.190000000000001</v>
      </c>
      <c r="AS47" s="2144">
        <v>7.78</v>
      </c>
      <c r="AT47" s="2144">
        <v>5.41</v>
      </c>
      <c r="AU47" s="2144">
        <f>AV47+AW47</f>
        <v>13.942</v>
      </c>
      <c r="AV47" s="2144">
        <v>8.0863600000000009</v>
      </c>
      <c r="AW47" s="2144">
        <v>5.8556400000000002</v>
      </c>
      <c r="AX47" s="2144">
        <f>AY47+AZ47</f>
        <v>13.93</v>
      </c>
      <c r="AY47" s="2144">
        <v>8.2200000000000006</v>
      </c>
      <c r="AZ47" s="2144">
        <v>5.71</v>
      </c>
      <c r="BA47" s="2144">
        <f t="shared" si="93"/>
        <v>14.555519999999998</v>
      </c>
      <c r="BB47" s="2144">
        <v>8.4329999999999998</v>
      </c>
      <c r="BC47" s="3236">
        <v>5.1999999999999995E-4</v>
      </c>
      <c r="BD47" s="2144">
        <v>6.0229999999999997</v>
      </c>
      <c r="BE47" s="2610">
        <v>4.0000000000000001E-3</v>
      </c>
      <c r="BF47" s="2610">
        <v>5.1999999999999998E-2</v>
      </c>
      <c r="BG47" s="2144">
        <v>4.2999999999999997E-2</v>
      </c>
      <c r="BH47" s="2144">
        <f t="shared" si="11"/>
        <v>14.35</v>
      </c>
      <c r="BI47" s="2144">
        <v>8.34</v>
      </c>
      <c r="BJ47" s="2144">
        <v>6.01</v>
      </c>
      <c r="BK47" s="2144">
        <f>'Аренда земли'!D55/1000</f>
        <v>14.946957999999999</v>
      </c>
      <c r="BL47" s="2144">
        <f t="shared" si="123"/>
        <v>8.6887448648147121</v>
      </c>
      <c r="BM47" s="2144">
        <f t="shared" si="124"/>
        <v>5.6260920012559419</v>
      </c>
      <c r="BN47" s="2144">
        <f t="shared" si="125"/>
        <v>0.59638916526770314</v>
      </c>
      <c r="BO47" s="2144">
        <f t="shared" si="126"/>
        <v>3.5731968661640502E-2</v>
      </c>
      <c r="BP47" s="2144">
        <f>SUM(BA47)</f>
        <v>14.555519999999998</v>
      </c>
      <c r="BQ47" s="2144">
        <f>SUM(BP47*BB50)</f>
        <v>8.5630660847214184</v>
      </c>
      <c r="BR47" s="3236">
        <f>SUM(BP47*BC50)</f>
        <v>3.8730375321149342E-4</v>
      </c>
      <c r="BS47" s="2144">
        <f>SUM(BP47*BD50)</f>
        <v>5.9193389616374459</v>
      </c>
      <c r="BT47" s="2564">
        <f>SUM(BP47*BE50)</f>
        <v>2.9352763572927268E-3</v>
      </c>
      <c r="BU47" s="2564">
        <f>SUM(BP47*BF50)</f>
        <v>3.0211732457827233E-2</v>
      </c>
      <c r="BV47" s="2564">
        <f>SUM(BP47*BG50)</f>
        <v>3.9580641072803811E-2</v>
      </c>
      <c r="BW47" s="2144">
        <f t="shared" si="95"/>
        <v>15.241413072599999</v>
      </c>
      <c r="BX47" s="2144">
        <f t="shared" si="127"/>
        <v>8.8599131386515619</v>
      </c>
      <c r="BY47" s="2144">
        <f t="shared" si="128"/>
        <v>5.7369260136806837</v>
      </c>
      <c r="BZ47" s="2144">
        <f t="shared" si="129"/>
        <v>0.60813803182347681</v>
      </c>
      <c r="CA47" s="2144">
        <f t="shared" si="130"/>
        <v>3.6435888444274825E-2</v>
      </c>
      <c r="CB47" s="2144">
        <f t="shared" si="176"/>
        <v>7.5609999999999999</v>
      </c>
      <c r="CC47" s="2144">
        <v>4.47</v>
      </c>
      <c r="CD47" s="2610">
        <v>1E-3</v>
      </c>
      <c r="CE47" s="2144">
        <v>2.93</v>
      </c>
      <c r="CF47" s="2144">
        <v>0.01</v>
      </c>
      <c r="CG47" s="2144">
        <v>0</v>
      </c>
      <c r="CH47" s="2610">
        <v>0.15</v>
      </c>
      <c r="CI47" s="2144">
        <f t="shared" si="177"/>
        <v>11.345249999999998</v>
      </c>
      <c r="CJ47" s="2144"/>
      <c r="CK47" s="2610">
        <v>2.33E-3</v>
      </c>
      <c r="CL47" s="2144">
        <v>4.4116200000000001</v>
      </c>
      <c r="CM47" s="2144">
        <v>1.6060000000000001E-2</v>
      </c>
      <c r="CN47" s="2144">
        <v>6.6812199999999997</v>
      </c>
      <c r="CO47" s="2144">
        <v>0.23402000000000001</v>
      </c>
      <c r="CP47" s="2144">
        <f t="shared" si="170"/>
        <v>15.061999999999999</v>
      </c>
      <c r="CQ47" s="2183">
        <v>8.82</v>
      </c>
      <c r="CR47" s="2610">
        <v>3.0000000000000001E-3</v>
      </c>
      <c r="CS47" s="2144">
        <v>5.85</v>
      </c>
      <c r="CT47" s="2144">
        <v>2.4E-2</v>
      </c>
      <c r="CU47" s="2144">
        <v>0</v>
      </c>
      <c r="CV47" s="2144">
        <v>0.36499999999999999</v>
      </c>
      <c r="CW47" s="2144">
        <f t="shared" si="99"/>
        <v>15.597303479999999</v>
      </c>
      <c r="CX47" s="2144">
        <f>SUM(CW47*CX50)</f>
        <v>9.1270964941252331</v>
      </c>
      <c r="CY47" s="2144">
        <f>SUM(CW47*CY50)</f>
        <v>2.5423269201838758E-3</v>
      </c>
      <c r="CZ47" s="2144">
        <f>SUM(CW47*CZ50)</f>
        <v>6.0495478454087435</v>
      </c>
      <c r="DA47" s="2144">
        <f>SUM(CW47*DA50)</f>
        <v>1.7500717967586427E-2</v>
      </c>
      <c r="DB47" s="2144">
        <f>SUM(CW47*DB50)</f>
        <v>0</v>
      </c>
      <c r="DC47" s="2144">
        <f>SUM(CW47*DC50)</f>
        <v>0.4006160955782509</v>
      </c>
      <c r="DD47" s="2112">
        <f t="shared" si="100"/>
        <v>9.1047261296072239</v>
      </c>
      <c r="DE47" s="2112">
        <f t="shared" si="101"/>
        <v>5.8954460797717889</v>
      </c>
      <c r="DF47" s="2144">
        <f t="shared" si="178"/>
        <v>23.686820000000001</v>
      </c>
      <c r="DG47" s="2144">
        <v>13.340450000000001</v>
      </c>
      <c r="DH47" s="2610">
        <v>3.13E-3</v>
      </c>
      <c r="DI47" s="2144">
        <v>9.6836400000000005</v>
      </c>
      <c r="DJ47" s="2144">
        <v>2.9909999999999999E-2</v>
      </c>
      <c r="DK47" s="2144">
        <v>0</v>
      </c>
      <c r="DL47" s="2610">
        <v>0.62968999999999997</v>
      </c>
      <c r="DM47" s="2144">
        <f t="shared" si="179"/>
        <v>35.445570000000004</v>
      </c>
      <c r="DN47" s="2144">
        <v>19.93479</v>
      </c>
      <c r="DO47" s="2610">
        <v>6.5300000000000002E-3</v>
      </c>
      <c r="DP47" s="2144">
        <v>14.62846</v>
      </c>
      <c r="DQ47" s="2144">
        <v>4.4929999999999998E-2</v>
      </c>
      <c r="DR47" s="2144">
        <v>0</v>
      </c>
      <c r="DS47" s="2144">
        <v>0.83086000000000004</v>
      </c>
      <c r="DT47" s="2144">
        <f t="shared" si="173"/>
        <v>47.260000000000005</v>
      </c>
      <c r="DU47" s="2183">
        <v>26.527999999999999</v>
      </c>
      <c r="DV47" s="2610">
        <v>7.0000000000000001E-3</v>
      </c>
      <c r="DW47" s="2144">
        <v>19.66</v>
      </c>
      <c r="DX47" s="2144">
        <v>0.06</v>
      </c>
      <c r="DY47" s="2144">
        <v>0</v>
      </c>
      <c r="DZ47" s="2144">
        <v>1.0049999999999999</v>
      </c>
      <c r="EA47" s="2144">
        <f t="shared" si="105"/>
        <v>49.126770000000008</v>
      </c>
      <c r="EB47" s="2144">
        <f>SUM(EA47*EB50)</f>
        <v>27.960270111791345</v>
      </c>
      <c r="EC47" s="2144">
        <f>SUM(EA47*EC50)</f>
        <v>6.8362545574842419E-3</v>
      </c>
      <c r="ED47" s="2144">
        <f>SUM(EA47*ED50)</f>
        <v>19.904104992477638</v>
      </c>
      <c r="EE47" s="2144">
        <f>SUM(EA47*EE50)</f>
        <v>5.5677512161085095E-2</v>
      </c>
      <c r="EF47" s="2144">
        <f>SUM(EA47*EF50)</f>
        <v>0</v>
      </c>
      <c r="EG47" s="2144">
        <f>SUM(EA47*EG50)</f>
        <v>1.1998811290124423</v>
      </c>
      <c r="EH47" s="2112">
        <f t="shared" si="131"/>
        <v>9.6376986135340683</v>
      </c>
      <c r="EI47" s="2112">
        <f t="shared" si="106"/>
        <v>6.2405537190642066</v>
      </c>
      <c r="EJ47" s="3952" t="s">
        <v>2110</v>
      </c>
      <c r="EK47" s="2144">
        <f t="shared" si="174"/>
        <v>23.870039999999999</v>
      </c>
      <c r="EL47" s="2144">
        <v>14.00224</v>
      </c>
      <c r="EM47" s="2610">
        <v>2.5699999999999998E-3</v>
      </c>
      <c r="EN47" s="2144">
        <v>9.4161000000000001</v>
      </c>
      <c r="EO47" s="2144">
        <v>1.9099999999999999E-2</v>
      </c>
      <c r="EP47" s="2144">
        <v>0</v>
      </c>
      <c r="EQ47" s="2610">
        <v>0.43003000000000002</v>
      </c>
      <c r="ER47" s="2144">
        <f t="shared" si="175"/>
        <v>36.216729999999998</v>
      </c>
      <c r="ES47" s="2144">
        <v>20.834</v>
      </c>
      <c r="ET47" s="2610">
        <v>4.8900000000000002E-3</v>
      </c>
      <c r="EU47" s="2144">
        <v>14.515000000000001</v>
      </c>
      <c r="EV47" s="2144">
        <v>3.1980000000000001E-2</v>
      </c>
      <c r="EW47" s="2144">
        <v>0</v>
      </c>
      <c r="EX47" s="2144">
        <v>0.83086000000000004</v>
      </c>
      <c r="EY47" s="2144">
        <v>50.055999999999997</v>
      </c>
      <c r="EZ47" s="2183">
        <v>27.86</v>
      </c>
      <c r="FA47" s="2610">
        <v>6.3299999999999997E-3</v>
      </c>
      <c r="FB47" s="2144">
        <v>19.585999999999999</v>
      </c>
      <c r="FC47" s="2144">
        <v>4.3970000000000002E-2</v>
      </c>
      <c r="FD47" s="3862">
        <v>0</v>
      </c>
      <c r="FE47" s="3862">
        <v>1.0049999999999999</v>
      </c>
      <c r="FF47" s="2447">
        <f t="shared" si="148"/>
        <v>56.664167868</v>
      </c>
      <c r="FG47" s="2447">
        <f t="shared" si="149"/>
        <v>31.537951830000001</v>
      </c>
      <c r="FH47" s="2447">
        <f t="shared" si="150"/>
        <v>7.1656581150000001E-3</v>
      </c>
      <c r="FI47" s="2447">
        <f t="shared" si="151"/>
        <v>22.171655583</v>
      </c>
      <c r="FJ47" s="2447">
        <f t="shared" si="152"/>
        <v>4.9774721535000011E-2</v>
      </c>
      <c r="FK47" s="2447">
        <f>SUM(FF47*FK50)</f>
        <v>0</v>
      </c>
      <c r="FL47" s="2447">
        <f>SUM(FF47*FL50)</f>
        <v>1.15657261271189</v>
      </c>
      <c r="FM47" s="3512">
        <f t="shared" si="157"/>
        <v>11.117633951063114</v>
      </c>
      <c r="FN47" s="3512">
        <f t="shared" si="158"/>
        <v>7.1988339418574396</v>
      </c>
      <c r="FO47" s="4760">
        <v>14.02886</v>
      </c>
      <c r="FP47" s="4761">
        <v>3.6800000000000001E-3</v>
      </c>
      <c r="FQ47" s="4760">
        <v>10.279199999999999</v>
      </c>
      <c r="FR47" s="4760">
        <v>3.1029999999999999E-2</v>
      </c>
      <c r="FS47" s="4762">
        <v>21.1188</v>
      </c>
      <c r="FT47" s="4761">
        <v>4.8799999999999998E-3</v>
      </c>
      <c r="FU47" s="4760">
        <v>15.693680000000001</v>
      </c>
      <c r="FV47" s="4760">
        <v>4.41E-2</v>
      </c>
    </row>
    <row r="48" spans="1:178" ht="58.5" customHeight="1" x14ac:dyDescent="0.2">
      <c r="A48" s="3234" t="s">
        <v>4268</v>
      </c>
      <c r="B48" s="3110"/>
      <c r="C48" s="3110"/>
      <c r="D48" s="2139"/>
      <c r="E48" s="3110"/>
      <c r="F48" s="2139"/>
      <c r="G48" s="2140"/>
      <c r="H48" s="2139"/>
      <c r="I48" s="2141"/>
      <c r="J48" s="2141"/>
      <c r="K48" s="2141"/>
      <c r="L48" s="2141"/>
      <c r="M48" s="2145"/>
      <c r="N48" s="2141"/>
      <c r="O48" s="2141"/>
      <c r="P48" s="2141"/>
      <c r="Q48" s="2141"/>
      <c r="R48" s="2141"/>
      <c r="S48" s="2140"/>
      <c r="T48" s="2143"/>
      <c r="U48" s="2144"/>
      <c r="V48" s="2144"/>
      <c r="W48" s="2144"/>
      <c r="X48" s="2144"/>
      <c r="Y48" s="2144"/>
      <c r="Z48" s="2144"/>
      <c r="AA48" s="2144">
        <v>1148.98</v>
      </c>
      <c r="AB48" s="2141"/>
      <c r="AC48" s="2140"/>
      <c r="AD48" s="2144"/>
      <c r="AE48" s="2144"/>
      <c r="AF48" s="3233"/>
      <c r="AG48" s="3233"/>
      <c r="AH48" s="2144">
        <v>270</v>
      </c>
      <c r="AI48" s="2144">
        <v>405</v>
      </c>
      <c r="AJ48" s="2140">
        <v>249</v>
      </c>
      <c r="AK48" s="2144">
        <f>AJ48*AI56</f>
        <v>148.404</v>
      </c>
      <c r="AL48" s="2144">
        <f>AJ48*AI57</f>
        <v>100.596</v>
      </c>
      <c r="AM48" s="3233"/>
      <c r="AN48" s="3233"/>
      <c r="AO48" s="2567">
        <f>'налог на имущ'!E15</f>
        <v>65.63542333333335</v>
      </c>
      <c r="AP48" s="2144">
        <f t="shared" si="121"/>
        <v>35.715842662425523</v>
      </c>
      <c r="AQ48" s="2144">
        <f t="shared" si="122"/>
        <v>29.56587810088082</v>
      </c>
      <c r="AR48" s="2144">
        <f t="shared" si="7"/>
        <v>0</v>
      </c>
      <c r="AS48" s="2144">
        <v>0</v>
      </c>
      <c r="AT48" s="2144">
        <v>0</v>
      </c>
      <c r="AU48" s="2144">
        <f t="shared" si="8"/>
        <v>143.71559999999999</v>
      </c>
      <c r="AV48" s="2144">
        <f>24.57627+58.77878</f>
        <v>83.355050000000006</v>
      </c>
      <c r="AW48" s="2144">
        <f>17.79661+42.56394</f>
        <v>60.360550000000003</v>
      </c>
      <c r="AX48" s="2144">
        <f t="shared" ref="AX48" si="182">AY48+AZ48</f>
        <v>71.64500000000001</v>
      </c>
      <c r="AY48" s="2144">
        <v>42.27</v>
      </c>
      <c r="AZ48" s="2144">
        <v>29.375</v>
      </c>
      <c r="BA48" s="2144">
        <f t="shared" si="93"/>
        <v>285.01938000000001</v>
      </c>
      <c r="BB48" s="2144">
        <f>135.081+35.912-4.98</f>
        <v>166.01300000000001</v>
      </c>
      <c r="BC48" s="2610">
        <v>4.3800000000000002E-3</v>
      </c>
      <c r="BD48" s="2144">
        <f>94.113+24.088</f>
        <v>118.20099999999999</v>
      </c>
      <c r="BE48" s="2610">
        <v>3.3000000000000002E-2</v>
      </c>
      <c r="BF48" s="2610">
        <v>0.318</v>
      </c>
      <c r="BG48" s="2144">
        <v>0.45</v>
      </c>
      <c r="BH48" s="2144">
        <f t="shared" si="11"/>
        <v>161.63</v>
      </c>
      <c r="BI48" s="2144">
        <v>93.92</v>
      </c>
      <c r="BJ48" s="2144">
        <v>67.709999999999994</v>
      </c>
      <c r="BK48" s="2144">
        <f>AU48*1.027*1.046</f>
        <v>154.38533357520001</v>
      </c>
      <c r="BL48" s="2144">
        <f t="shared" si="123"/>
        <v>89.745001913046494</v>
      </c>
      <c r="BM48" s="2144">
        <f t="shared" si="124"/>
        <v>58.111228407724383</v>
      </c>
      <c r="BN48" s="2144">
        <f t="shared" si="125"/>
        <v>6.1600320426731274</v>
      </c>
      <c r="BO48" s="2144">
        <f t="shared" si="126"/>
        <v>0.36907121175599494</v>
      </c>
      <c r="BP48" s="2144">
        <f>SUM(BA48*1.046)</f>
        <v>298.13027148000003</v>
      </c>
      <c r="BQ48" s="2144">
        <f>SUM(BP48*BB50)</f>
        <v>175.3911379695935</v>
      </c>
      <c r="BR48" s="3236">
        <f>SUM(BP48*BC50)</f>
        <v>7.9328648574675097E-3</v>
      </c>
      <c r="BS48" s="2144">
        <f>SUM(BP48*BD50)</f>
        <v>121.24157238045179</v>
      </c>
      <c r="BT48" s="2564">
        <f>SUM(BP48*BE50)</f>
        <v>6.0121159344943109E-2</v>
      </c>
      <c r="BU48" s="2564">
        <f>SUM(BP48*BF50)</f>
        <v>0.61880523674407806</v>
      </c>
      <c r="BV48" s="2564">
        <f>SUM(BP48*BG50)</f>
        <v>0.81070186900828289</v>
      </c>
      <c r="BW48" s="2144">
        <f t="shared" si="95"/>
        <v>157.42672464663147</v>
      </c>
      <c r="BX48" s="2144">
        <f t="shared" si="127"/>
        <v>91.512978450733513</v>
      </c>
      <c r="BY48" s="2144">
        <f t="shared" si="128"/>
        <v>59.256019607356563</v>
      </c>
      <c r="BZ48" s="2144">
        <f t="shared" si="129"/>
        <v>6.2813846739137889</v>
      </c>
      <c r="CA48" s="2144">
        <f t="shared" si="130"/>
        <v>0.37634191462758809</v>
      </c>
      <c r="CB48" s="2144">
        <f t="shared" si="176"/>
        <v>90</v>
      </c>
      <c r="CC48" s="2144">
        <v>52.45</v>
      </c>
      <c r="CD48" s="2144">
        <v>0.02</v>
      </c>
      <c r="CE48" s="2144">
        <v>35.81</v>
      </c>
      <c r="CF48" s="2144">
        <v>0.11</v>
      </c>
      <c r="CG48" s="2144">
        <v>0</v>
      </c>
      <c r="CH48" s="2564">
        <v>1.61</v>
      </c>
      <c r="CI48" s="2144">
        <f t="shared" si="177"/>
        <v>134.99999999999997</v>
      </c>
      <c r="CJ48" s="2144">
        <v>79.249799999999993</v>
      </c>
      <c r="CK48" s="2144">
        <v>2.316E-2</v>
      </c>
      <c r="CL48" s="2144">
        <v>52.8459</v>
      </c>
      <c r="CM48" s="2144">
        <v>0.14834</v>
      </c>
      <c r="CN48" s="2144">
        <v>0</v>
      </c>
      <c r="CO48" s="2144">
        <v>2.7328000000000001</v>
      </c>
      <c r="CP48" s="2144">
        <f t="shared" si="170"/>
        <v>178.76499999999999</v>
      </c>
      <c r="CQ48" s="2144">
        <v>104.59</v>
      </c>
      <c r="CR48" s="2144">
        <v>0.03</v>
      </c>
      <c r="CS48" s="2144">
        <v>69.39</v>
      </c>
      <c r="CT48" s="2144">
        <v>0.2</v>
      </c>
      <c r="CU48" s="2144">
        <v>0</v>
      </c>
      <c r="CV48" s="2144">
        <v>4.5549999999999997</v>
      </c>
      <c r="CW48" s="2144">
        <f t="shared" si="99"/>
        <v>185.11830810000001</v>
      </c>
      <c r="CX48" s="2144">
        <f>SUM(CW48*CX50)</f>
        <v>108.32594640634029</v>
      </c>
      <c r="CY48" s="2144">
        <f>SUM(CW48*CY50)</f>
        <v>3.0173886063382727E-2</v>
      </c>
      <c r="CZ48" s="2144">
        <f>SUM(CW48*CZ50)</f>
        <v>71.799722519220168</v>
      </c>
      <c r="DA48" s="2144">
        <f>SUM(CW48*DA50)</f>
        <v>0.20770919183877226</v>
      </c>
      <c r="DB48" s="2144">
        <f>SUM(CW48*DB50)</f>
        <v>0</v>
      </c>
      <c r="DC48" s="2144">
        <f>SUM(CW48*DC50)</f>
        <v>4.7547560965373812</v>
      </c>
      <c r="DD48" s="2112">
        <v>90.28</v>
      </c>
      <c r="DE48" s="2112">
        <f t="shared" si="101"/>
        <v>60.893354326691295</v>
      </c>
      <c r="DF48" s="2144">
        <f t="shared" si="178"/>
        <v>101.77455</v>
      </c>
      <c r="DG48" s="2144">
        <f>57.55099+0.207</f>
        <v>57.757989999999999</v>
      </c>
      <c r="DH48" s="2144">
        <f>0.01411+0.0004</f>
        <v>1.4509999999999999E-2</v>
      </c>
      <c r="DI48" s="2144">
        <f>40.79725+0.14086</f>
        <v>40.938110000000002</v>
      </c>
      <c r="DJ48" s="2144">
        <f>0.11679+0.00036</f>
        <v>0.11715</v>
      </c>
      <c r="DK48" s="2144">
        <v>0</v>
      </c>
      <c r="DL48" s="2564">
        <f>2.93662+0.01017</f>
        <v>2.94679</v>
      </c>
      <c r="DM48" s="2144">
        <f t="shared" si="179"/>
        <v>308.19286</v>
      </c>
      <c r="DN48" s="2144">
        <f>104.10744+72.62049</f>
        <v>176.72793000000001</v>
      </c>
      <c r="DO48" s="2144">
        <f>0.02624+0.01791</f>
        <v>4.4149999999999995E-2</v>
      </c>
      <c r="DP48" s="2144">
        <f>66.90261+50.48023</f>
        <v>117.38283999999999</v>
      </c>
      <c r="DQ48" s="2144">
        <f>0.32282+0.16356</f>
        <v>0.48638000000000003</v>
      </c>
      <c r="DR48" s="2144">
        <v>0</v>
      </c>
      <c r="DS48" s="2144">
        <f>9.27167+4.27989</f>
        <v>13.55156</v>
      </c>
      <c r="DT48" s="2144">
        <f t="shared" si="173"/>
        <v>308.18700000000001</v>
      </c>
      <c r="DU48" s="2144">
        <f>72.62+104.9-0.79</f>
        <v>176.73000000000002</v>
      </c>
      <c r="DV48" s="2144">
        <f>0.018+0.026</f>
        <v>4.3999999999999997E-2</v>
      </c>
      <c r="DW48" s="2144">
        <f>50.48+66.91</f>
        <v>117.38999999999999</v>
      </c>
      <c r="DX48" s="2144">
        <f>0.163+0.31</f>
        <v>0.47299999999999998</v>
      </c>
      <c r="DY48" s="2144">
        <v>0</v>
      </c>
      <c r="DZ48" s="2144">
        <f>4.28+9.27</f>
        <v>13.55</v>
      </c>
      <c r="EA48" s="2144">
        <f t="shared" si="105"/>
        <v>320.3603865</v>
      </c>
      <c r="EB48" s="2144">
        <f>SUM(EA48*EB50)</f>
        <v>182.33160738346675</v>
      </c>
      <c r="EC48" s="2144">
        <f>SUM(EA48*EC50)</f>
        <v>4.4579872689534401E-2</v>
      </c>
      <c r="ED48" s="2144">
        <f>SUM(EA48*ED50)</f>
        <v>129.7965807303577</v>
      </c>
      <c r="EE48" s="2144">
        <f>SUM(EA48*EE50)</f>
        <v>0.36307840542505987</v>
      </c>
      <c r="EF48" s="2144">
        <f>SUM(EA48*EF50)</f>
        <v>0</v>
      </c>
      <c r="EG48" s="2144">
        <f>SUM(EA48*EG50)</f>
        <v>7.8245401080608863</v>
      </c>
      <c r="EH48" s="2112">
        <f t="shared" si="131"/>
        <v>99.546631183930529</v>
      </c>
      <c r="EI48" s="2112">
        <f t="shared" si="106"/>
        <v>64.457929674498502</v>
      </c>
      <c r="EJ48" s="3953" t="s">
        <v>1920</v>
      </c>
      <c r="EK48" s="2144">
        <f t="shared" si="174"/>
        <v>0</v>
      </c>
      <c r="EL48" s="3955">
        <v>0</v>
      </c>
      <c r="EM48" s="2144">
        <v>0</v>
      </c>
      <c r="EN48" s="2144">
        <v>0</v>
      </c>
      <c r="EO48" s="2144">
        <v>0</v>
      </c>
      <c r="EP48" s="2144">
        <v>0</v>
      </c>
      <c r="EQ48" s="2564">
        <v>0</v>
      </c>
      <c r="ER48" s="2144">
        <f t="shared" si="175"/>
        <v>0</v>
      </c>
      <c r="ES48" s="2144"/>
      <c r="ET48" s="2144"/>
      <c r="EU48" s="2144"/>
      <c r="EV48" s="2144"/>
      <c r="EW48" s="2144"/>
      <c r="EX48" s="2144"/>
      <c r="EY48" s="2144"/>
      <c r="EZ48" s="2144"/>
      <c r="FA48" s="2144"/>
      <c r="FB48" s="2144"/>
      <c r="FC48" s="2144"/>
      <c r="FD48" s="3862">
        <v>0</v>
      </c>
      <c r="FE48" s="3862">
        <f>4.28+9.27</f>
        <v>13.55</v>
      </c>
      <c r="FF48" s="2447">
        <f t="shared" si="148"/>
        <v>0</v>
      </c>
      <c r="FG48" s="2447">
        <f t="shared" si="149"/>
        <v>0</v>
      </c>
      <c r="FH48" s="2447">
        <f t="shared" si="150"/>
        <v>0</v>
      </c>
      <c r="FI48" s="2447">
        <f t="shared" si="151"/>
        <v>0</v>
      </c>
      <c r="FJ48" s="2447">
        <f t="shared" si="152"/>
        <v>0</v>
      </c>
      <c r="FK48" s="2447">
        <f>SUM(FF48*FK50)</f>
        <v>0</v>
      </c>
      <c r="FL48" s="2447">
        <f>SUM(FF48*FL50)</f>
        <v>0</v>
      </c>
      <c r="FM48" s="3512">
        <v>0</v>
      </c>
      <c r="FN48" s="3512">
        <v>0</v>
      </c>
      <c r="FO48" s="4760">
        <v>61.58081</v>
      </c>
      <c r="FP48" s="4760">
        <v>1.4460000000000001E-2</v>
      </c>
      <c r="FQ48" s="4760">
        <v>43.191929999999999</v>
      </c>
      <c r="FR48" s="4760">
        <v>0.10963000000000001</v>
      </c>
      <c r="FS48" s="4760">
        <v>686.81340999999998</v>
      </c>
      <c r="FT48" s="4760">
        <v>3.252E-2</v>
      </c>
      <c r="FU48" s="4760">
        <v>520.28216999999995</v>
      </c>
      <c r="FV48" s="4760">
        <v>1.6531</v>
      </c>
    </row>
    <row r="49" spans="1:178" ht="29.25" customHeight="1" x14ac:dyDescent="0.2">
      <c r="A49" s="3240" t="s">
        <v>12</v>
      </c>
      <c r="B49" s="2150">
        <f>SUM(B8:B47)</f>
        <v>15838.700000000003</v>
      </c>
      <c r="C49" s="2150">
        <f>SUM(C8:C39)</f>
        <v>17072.899999999991</v>
      </c>
      <c r="D49" s="2139">
        <f>C49/B49*100</f>
        <v>107.79230618674505</v>
      </c>
      <c r="E49" s="2150">
        <f>SUM(E8:E47)</f>
        <v>17239.899999999998</v>
      </c>
      <c r="F49" s="2150">
        <f>SUM(F8:F47)</f>
        <v>3153.2029134533927</v>
      </c>
      <c r="G49" s="2150">
        <f>SUM(G8:G47)</f>
        <v>19008.899999999998</v>
      </c>
      <c r="H49" s="2139">
        <f>G49/E49*100</f>
        <v>110.26108040069838</v>
      </c>
      <c r="I49" s="2151">
        <f>SUM(I8:I47)</f>
        <v>19197.563600000001</v>
      </c>
      <c r="J49" s="2151">
        <f>SUM(J8:J47)</f>
        <v>14908.387233621954</v>
      </c>
      <c r="K49" s="2151">
        <f>SUM(K8:K47)</f>
        <v>21840.935330518507</v>
      </c>
      <c r="L49" s="2151">
        <f>SUM(L16:L47)+L8+L9+L10+L11</f>
        <v>20861.2</v>
      </c>
      <c r="M49" s="2145">
        <f>K49/G49*100</f>
        <v>114.89847035082781</v>
      </c>
      <c r="N49" s="2151">
        <f t="shared" ref="N49:S49" si="183">SUM(N16:N47)+N8+N9+N10+N11</f>
        <v>20289.383040266664</v>
      </c>
      <c r="O49" s="2151">
        <f t="shared" si="183"/>
        <v>12076.8</v>
      </c>
      <c r="P49" s="2151">
        <f t="shared" si="183"/>
        <v>18454.919624999999</v>
      </c>
      <c r="Q49" s="2151">
        <f t="shared" si="183"/>
        <v>24513</v>
      </c>
      <c r="R49" s="2151">
        <f t="shared" si="183"/>
        <v>26753.66</v>
      </c>
      <c r="S49" s="2151">
        <f t="shared" si="183"/>
        <v>21065.913023511166</v>
      </c>
      <c r="T49" s="2152">
        <f>S49/N49</f>
        <v>1.0382727252821531</v>
      </c>
      <c r="U49" s="2153" t="e">
        <f t="shared" ref="U49:Z49" si="184">SUM(U8:U47)-U12-U14-U13</f>
        <v>#REF!</v>
      </c>
      <c r="V49" s="2153" t="e">
        <f t="shared" si="184"/>
        <v>#REF!</v>
      </c>
      <c r="W49" s="2153">
        <f t="shared" si="184"/>
        <v>12028.195370042011</v>
      </c>
      <c r="X49" s="2153">
        <f t="shared" si="184"/>
        <v>8543.374801814467</v>
      </c>
      <c r="Y49" s="2153">
        <f t="shared" si="184"/>
        <v>11845.489999999998</v>
      </c>
      <c r="Z49" s="2153">
        <f t="shared" si="184"/>
        <v>17311.179999999993</v>
      </c>
      <c r="AA49" s="2153">
        <f>SUM(AA8:AA48)-AA12-AA14-AA13</f>
        <v>23798.809999999998</v>
      </c>
      <c r="AB49" s="2151">
        <f>SUM(AB16:AB47)+AB8+AB9+AB10+AB11</f>
        <v>24794.63</v>
      </c>
      <c r="AC49" s="2151">
        <f>SUM(AC16:AC47)+AC8+AC9+AC10+AC11</f>
        <v>22083.255095023407</v>
      </c>
      <c r="AD49" s="2151">
        <f>SUM(AD16:AD47)+AD8+AD9+AD10+AD11</f>
        <v>13073.01213648671</v>
      </c>
      <c r="AE49" s="2151">
        <f>SUM(AE16:AE47)+AE8+AE9+AE10+AE11</f>
        <v>8833.3841337506801</v>
      </c>
      <c r="AF49" s="3233">
        <f>AD49/W49</f>
        <v>1.0868639670625047</v>
      </c>
      <c r="AG49" s="3233">
        <f>AE49/X49</f>
        <v>1.0339455237144248</v>
      </c>
      <c r="AH49" s="2151">
        <f>SUM(AH8:AH48)-AH12-AH14-AH13</f>
        <v>11015.409999999982</v>
      </c>
      <c r="AI49" s="2154">
        <f>SUM(AI8:AI48)-AI12-AI14-AI13</f>
        <v>16483.249999999993</v>
      </c>
      <c r="AJ49" s="2151">
        <f>SUM(AJ16:AJ48)+AJ8+AJ9+AJ10+AJ11</f>
        <v>27535.565710230981</v>
      </c>
      <c r="AK49" s="2151">
        <f>SUM(AK16:AK48)+AK8+AK9+AK10+AK11</f>
        <v>16411.197163297664</v>
      </c>
      <c r="AL49" s="2151">
        <f>SUM(AL16:AL48)+AL8+AL9+AL10+AL11</f>
        <v>11124.368546933318</v>
      </c>
      <c r="AM49" s="3233">
        <f>AK49/AD49</f>
        <v>1.255349340454913</v>
      </c>
      <c r="AN49" s="3233">
        <f>AL49/AE49</f>
        <v>1.2593552344711494</v>
      </c>
      <c r="AO49" s="2194">
        <f>SUM(AO16:AO47)+AO8+AO9+AO10+AO11</f>
        <v>23744.037959511399</v>
      </c>
      <c r="AP49" s="2151">
        <f>SUM(AP16:AP48)+AP8+AP9+AP10+AP11</f>
        <v>12956.15241280163</v>
      </c>
      <c r="AQ49" s="2151">
        <f>SUM(AQ16:AQ48)+AQ8+AQ9+AQ10+AQ11</f>
        <v>10725.213080197605</v>
      </c>
      <c r="AR49" s="2151">
        <f>SUM(AR16:AR48)+AR8+AR9+AR10+AR11</f>
        <v>20547.690000000002</v>
      </c>
      <c r="AS49" s="2151">
        <f>SUM(AS16:AS48)+AS8+AS9+AS10+AS11</f>
        <v>12134.94</v>
      </c>
      <c r="AT49" s="2151">
        <f>SUM(AT16:AT48)+AT8+AT9+AT10+AT11</f>
        <v>8412.75</v>
      </c>
      <c r="AU49" s="2151">
        <f t="shared" ref="AU49:BD49" si="185">SUM(AU15:AU48)+AU8+AU9+AU10+AU11</f>
        <v>23322.355029999999</v>
      </c>
      <c r="AV49" s="2151">
        <f t="shared" si="185"/>
        <v>13525.249959999999</v>
      </c>
      <c r="AW49" s="2151">
        <f t="shared" si="185"/>
        <v>9797.1050800000012</v>
      </c>
      <c r="AX49" s="2151">
        <f t="shared" si="185"/>
        <v>25958.665000000001</v>
      </c>
      <c r="AY49" s="2151">
        <f t="shared" si="185"/>
        <v>15353.419999999998</v>
      </c>
      <c r="AZ49" s="2151">
        <f t="shared" si="185"/>
        <v>10605.244999999999</v>
      </c>
      <c r="BA49" s="2193">
        <f t="shared" si="185"/>
        <v>25404.454069999996</v>
      </c>
      <c r="BB49" s="2193">
        <f t="shared" si="185"/>
        <v>14945.534</v>
      </c>
      <c r="BC49" s="2193">
        <f t="shared" si="185"/>
        <v>0.67598000000000003</v>
      </c>
      <c r="BD49" s="2193">
        <f t="shared" si="185"/>
        <v>10331.308999999999</v>
      </c>
      <c r="BE49" s="2193">
        <f t="shared" ref="BE49:BG49" si="186">SUM(BE15:BE48)+BE8+BE9+BE10+BE11</f>
        <v>5.123079999999999</v>
      </c>
      <c r="BF49" s="2193">
        <f t="shared" si="186"/>
        <v>52.730000000000004</v>
      </c>
      <c r="BG49" s="2193">
        <f t="shared" si="186"/>
        <v>69.082009999999997</v>
      </c>
      <c r="BH49" s="2151">
        <f t="shared" ref="BH49:BO49" si="187">SUM(BH16:BH48)+BH8+BH9+BH10+BH11</f>
        <v>31672.924338638157</v>
      </c>
      <c r="BI49" s="2151">
        <f t="shared" si="187"/>
        <v>18399.764338638161</v>
      </c>
      <c r="BJ49" s="2151">
        <f t="shared" si="187"/>
        <v>13273.16</v>
      </c>
      <c r="BK49" s="2151">
        <f t="shared" si="187"/>
        <v>25972.808458062747</v>
      </c>
      <c r="BL49" s="2151">
        <f t="shared" si="187"/>
        <v>15098.129406318585</v>
      </c>
      <c r="BM49" s="2151">
        <f t="shared" si="187"/>
        <v>9776.2641680039196</v>
      </c>
      <c r="BN49" s="2151">
        <f t="shared" si="187"/>
        <v>1036.3246859971096</v>
      </c>
      <c r="BO49" s="2151">
        <f t="shared" si="187"/>
        <v>62.090197743132059</v>
      </c>
      <c r="BP49" s="2193">
        <f>SUM(BP15:BP48)+BP8+BP9+BP10+BP11</f>
        <v>30196.376149128435</v>
      </c>
      <c r="BQ49" s="2193">
        <f>SUM(BQ15:BQ48)+BQ8+BQ9+BQ10+BQ11</f>
        <v>17096.328834818723</v>
      </c>
      <c r="BR49" s="2193">
        <f>SUM(BR15:BR48)+BR8+BR9+BR10+BR11</f>
        <v>43.500504261752617</v>
      </c>
      <c r="BS49" s="2193">
        <f>SUM(BS15:BS48)+BS8+BS9+BS10+BS11</f>
        <v>12112.235843928804</v>
      </c>
      <c r="BT49" s="2193">
        <f t="shared" ref="BT49" si="188">SUM(BT15:BT48)+BT8+BT9+BT10+BT11</f>
        <v>261.29178412219426</v>
      </c>
      <c r="BU49" s="2193">
        <f t="shared" ref="BU49" si="189">SUM(BU15:BU48)+BU8+BU9+BU10+BU11</f>
        <v>620.90847867079378</v>
      </c>
      <c r="BV49" s="2193">
        <f t="shared" ref="BV49" si="190">SUM(BV15:BV48)+BV8+BV9+BV10+BV11</f>
        <v>62.110703326164341</v>
      </c>
      <c r="BW49" s="2151">
        <f t="shared" ref="BW49:CA49" si="191">SUM(BW16:BW48)+BW8+BW9+BW10+BW11</f>
        <v>26484.472784686586</v>
      </c>
      <c r="BX49" s="2151">
        <f t="shared" si="191"/>
        <v>15395.562555623063</v>
      </c>
      <c r="BY49" s="2151">
        <f t="shared" si="191"/>
        <v>9968.8565721135965</v>
      </c>
      <c r="BZ49" s="2151">
        <f t="shared" si="191"/>
        <v>1056.7402823112525</v>
      </c>
      <c r="CA49" s="2151">
        <f t="shared" si="191"/>
        <v>63.31337463867176</v>
      </c>
      <c r="CB49" s="2193">
        <f>SUM(CB15:CB48)+CB8+CB9+CB10+CB11</f>
        <v>13058.727759999998</v>
      </c>
      <c r="CC49" s="2193">
        <f>SUM(CC15:CC48)+CC8+CC9+CC10+CC11</f>
        <v>7611.0199999999995</v>
      </c>
      <c r="CD49" s="2193">
        <f>SUM(CD15:CD48)+CD8+CD9+CD10+CD11</f>
        <v>2.2497600000000002</v>
      </c>
      <c r="CE49" s="2193">
        <f>SUM(CE15:CE48)+CE8+CE9+CE10+CE11</f>
        <v>5195.26</v>
      </c>
      <c r="CF49" s="2193">
        <f t="shared" ref="CF49" si="192">SUM(CF15:CF48)+CF8+CF9+CF10+CF11</f>
        <v>16.588000000000001</v>
      </c>
      <c r="CG49" s="2193">
        <f t="shared" ref="CG49" si="193">SUM(CG15:CG48)+CG8+CG9+CG10+CG11</f>
        <v>0</v>
      </c>
      <c r="CH49" s="2193">
        <f t="shared" ref="CH49" si="194">SUM(CH15:CH48)+CH8+CH9+CH10+CH11</f>
        <v>233.61</v>
      </c>
      <c r="CI49" s="2193">
        <f>SUM(CI15:CI48)+CI8+CI9+CI10+CI11</f>
        <v>19648.838599999999</v>
      </c>
      <c r="CJ49" s="2193">
        <f>SUM(CJ15:CJ48)+CJ8+CJ9+CJ10+CJ11</f>
        <v>11534.559440000001</v>
      </c>
      <c r="CK49" s="2193">
        <f>SUM(CK15:CK48)+CK8+CK9+CK10+CK11</f>
        <v>3.3668</v>
      </c>
      <c r="CL49" s="2193">
        <f>SUM(CL15:CL48)+CL8+CL9+CL10+CL11</f>
        <v>7685.5966600000011</v>
      </c>
      <c r="CM49" s="2193">
        <f t="shared" ref="CM49" si="195">SUM(CM15:CM48)+CM8+CM9+CM10+CM11</f>
        <v>21.458150000000003</v>
      </c>
      <c r="CN49" s="2193">
        <f t="shared" ref="CN49" si="196">SUM(CN15:CN48)+CN8+CN9+CN10+CN11</f>
        <v>6.6812199999999997</v>
      </c>
      <c r="CO49" s="2193">
        <f t="shared" ref="CO49" si="197">SUM(CO15:CO48)+CO8+CO9+CO10+CO11</f>
        <v>397.17633000000001</v>
      </c>
      <c r="CP49" s="2193">
        <f>SUM(CP15:CP48)+CP8+CP9+CP10+CP11</f>
        <v>26313.844150000001</v>
      </c>
      <c r="CQ49" s="2193">
        <f>SUM(CQ15:CQ48)+CQ8+CQ9+CQ10+CQ11</f>
        <v>15398.109999999999</v>
      </c>
      <c r="CR49" s="2193">
        <f>SUM(CR15:CR48)+CR8+CR9+CR10+CR11</f>
        <v>4.2891000000000004</v>
      </c>
      <c r="CS49" s="2193">
        <f>SUM(CS15:CS48)+CS8+CS9+CS10+CS11</f>
        <v>10206.049999999999</v>
      </c>
      <c r="CT49" s="2193">
        <f t="shared" ref="CT49" si="198">SUM(CT15:CT48)+CT8+CT9+CT10+CT11</f>
        <v>29.52505</v>
      </c>
      <c r="CU49" s="2193">
        <f t="shared" ref="CU49" si="199">SUM(CU15:CU48)+CU8+CU9+CU10+CU11</f>
        <v>0</v>
      </c>
      <c r="CV49" s="2193">
        <f t="shared" ref="CV49" si="200">SUM(CV15:CV48)+CV8+CV9+CV10+CV11</f>
        <v>675.87</v>
      </c>
      <c r="CW49" s="2193">
        <f>SUM(CW15:CW48)+CW8+CW9+CW10+CW11</f>
        <v>28817.429024554516</v>
      </c>
      <c r="CX49" s="2193">
        <f>SUM(CX15:CX48)+CX8+CX9+CX10+CX11</f>
        <v>16863.919566479821</v>
      </c>
      <c r="CY49" s="2193">
        <f>SUM(CY15:CY48)+CY8+CY9+CY10+CY11</f>
        <v>4.7101585021076158</v>
      </c>
      <c r="CZ49" s="2193">
        <f>SUM(CZ15:CZ48)+CZ8+CZ9+CZ10+CZ11</f>
        <v>11172.868878785355</v>
      </c>
      <c r="DA49" s="2193">
        <f t="shared" ref="DA49" si="201">SUM(DA15:DA48)+DA8+DA9+DA10+DA11</f>
        <v>32.341298888451682</v>
      </c>
      <c r="DB49" s="2193">
        <f t="shared" ref="DB49" si="202">SUM(DB15:DB48)+DB8+DB9+DB10+DB11</f>
        <v>0</v>
      </c>
      <c r="DC49" s="2193">
        <f t="shared" ref="DC49" si="203">SUM(DC15:DC48)+DC8+DC9+DC10+DC11</f>
        <v>743.58912189878379</v>
      </c>
      <c r="DD49" s="2193">
        <f t="shared" ref="DD49:DI49" si="204">SUM(DD15:DD48)+DD8+DD9+DD10+DD11</f>
        <v>15010.218832495006</v>
      </c>
      <c r="DE49" s="2193">
        <f t="shared" si="204"/>
        <v>10596.696266752198</v>
      </c>
      <c r="DF49" s="2193">
        <f t="shared" si="204"/>
        <v>11915.736419999999</v>
      </c>
      <c r="DG49" s="2193">
        <f t="shared" si="204"/>
        <v>6764.2136599999994</v>
      </c>
      <c r="DH49" s="2193">
        <f t="shared" si="204"/>
        <v>1.6820900000000001</v>
      </c>
      <c r="DI49" s="2193">
        <f t="shared" si="204"/>
        <v>4794.3121899999996</v>
      </c>
      <c r="DJ49" s="2193">
        <f t="shared" ref="DJ49" si="205">SUM(DJ15:DJ48)+DJ8+DJ9+DJ10+DJ11</f>
        <v>13.099070000000001</v>
      </c>
      <c r="DK49" s="2193">
        <f t="shared" ref="DK49" si="206">SUM(DK15:DK48)+DK8+DK9+DK10+DK11</f>
        <v>0</v>
      </c>
      <c r="DL49" s="2193">
        <f t="shared" ref="DL49" si="207">SUM(DL15:DL48)+DL8+DL9+DL10+DL11</f>
        <v>342.42941000000002</v>
      </c>
      <c r="DM49" s="2193">
        <f>SUM(DM15:DM48)+DM8+DM9+DM10+DM11</f>
        <v>18035.436170000001</v>
      </c>
      <c r="DN49" s="2193">
        <f>SUM(DN15:DN48)+DN8+DN9+DN10+DN11</f>
        <v>10250.386930000001</v>
      </c>
      <c r="DO49" s="2193">
        <f>SUM(DO15:DO48)+DO8+DO9+DO10+DO11</f>
        <v>2.8784299999999998</v>
      </c>
      <c r="DP49" s="2193">
        <f>SUM(DP15:DP48)+DP8+DP9+DP10+DP11</f>
        <v>7247.1235900000001</v>
      </c>
      <c r="DQ49" s="2193">
        <f t="shared" ref="DQ49" si="208">SUM(DQ15:DQ48)+DQ8+DQ9+DQ10+DQ11</f>
        <v>19.732219999999998</v>
      </c>
      <c r="DR49" s="2193">
        <f t="shared" ref="DR49" si="209">SUM(DR15:DR48)+DR8+DR9+DR10+DR11</f>
        <v>0</v>
      </c>
      <c r="DS49" s="2193">
        <f t="shared" ref="DS49" si="210">SUM(DS15:DS48)+DS8+DS9+DS10+DS11</f>
        <v>515.31500000000005</v>
      </c>
      <c r="DT49" s="2193">
        <f>SUM(DT15:DT48)+DT8+DT9+DT10+DT11</f>
        <v>24500.309620000004</v>
      </c>
      <c r="DU49" s="2193">
        <f>SUM(DU15:DU48)+DU8+DU9+DU10+DU11</f>
        <v>13944.235999999999</v>
      </c>
      <c r="DV49" s="2193">
        <f>SUM(DV15:DV48)+DV8+DV9+DV10+DV11</f>
        <v>3.4093500000000003</v>
      </c>
      <c r="DW49" s="2193">
        <f>SUM(DW15:DW48)+DW8+DW9+DW10+DW11</f>
        <v>9926.4969999999994</v>
      </c>
      <c r="DX49" s="2193">
        <f t="shared" ref="DX49" si="211">SUM(DX15:DX48)+DX8+DX9+DX10+DX11</f>
        <v>27.76727</v>
      </c>
      <c r="DY49" s="2193">
        <f t="shared" ref="DY49" si="212">SUM(DY15:DY48)+DY8+DY9+DY10+DY11</f>
        <v>0</v>
      </c>
      <c r="DZ49" s="2193">
        <f t="shared" ref="DZ49" si="213">SUM(DZ15:DZ48)+DZ8+DZ9+DZ10+DZ11</f>
        <v>598.4</v>
      </c>
      <c r="EA49" s="2193">
        <f>SUM(EA15:EA48)+EA8+EA9+EA10+EA11</f>
        <v>27788.539121274189</v>
      </c>
      <c r="EB49" s="2193">
        <f>SUM(EB15:EB48)+EB8+EB9+EB10+EB11</f>
        <v>15812.259696206896</v>
      </c>
      <c r="EC49" s="2193">
        <f>SUM(EC15:EC48)+EC8+EC9+EC10+EC11</f>
        <v>3.8914359461837202</v>
      </c>
      <c r="ED49" s="2193">
        <f>SUM(ED15:ED48)+ED8+ED9+ED10+ED11</f>
        <v>11261.111978686311</v>
      </c>
      <c r="EE49" s="2193">
        <f t="shared" ref="EE49" si="214">SUM(EE15:EE48)+EE8+EE9+EE10+EE11</f>
        <v>31.487628913643789</v>
      </c>
      <c r="EF49" s="2193">
        <f t="shared" ref="EF49" si="215">SUM(EF15:EF48)+EF8+EF9+EF10+EF11</f>
        <v>0</v>
      </c>
      <c r="EG49" s="2193">
        <f t="shared" ref="EG49:EI49" si="216">SUM(EG15:EG48)+EG8+EG9+EG10+EG11</f>
        <v>679.78838152115077</v>
      </c>
      <c r="EH49" s="2193">
        <f t="shared" si="216"/>
        <v>16026.829238640345</v>
      </c>
      <c r="EI49" s="2193">
        <f t="shared" si="216"/>
        <v>10670.370672107132</v>
      </c>
      <c r="EJ49" s="3952"/>
      <c r="EK49" s="2193">
        <f t="shared" ref="EK49:EQ49" si="217">SUM(EK15:EK48)+EK8+EK9+EK10+EK11</f>
        <v>15168.529500000001</v>
      </c>
      <c r="EL49" s="2193">
        <f>SUM(EL15:EL47)+EL8+EL9+EL10+EL11</f>
        <v>8771.2772599999989</v>
      </c>
      <c r="EM49" s="2193">
        <f t="shared" si="217"/>
        <v>1.7601100000000001</v>
      </c>
      <c r="EN49" s="2193">
        <f t="shared" si="217"/>
        <v>6246.6289799999995</v>
      </c>
      <c r="EO49" s="2193">
        <f t="shared" si="217"/>
        <v>14.091330000000003</v>
      </c>
      <c r="EP49" s="2193">
        <f t="shared" si="217"/>
        <v>0</v>
      </c>
      <c r="EQ49" s="2193">
        <f t="shared" si="217"/>
        <v>134.77181999999999</v>
      </c>
      <c r="ER49" s="2193">
        <v>22743.398000000001</v>
      </c>
      <c r="ES49" s="2193">
        <f>SUM(ES15:ES48)+ES8+ES9+ES10+ES11</f>
        <v>12678.242999999999</v>
      </c>
      <c r="ET49" s="2193">
        <f>SUM(ET15:ET48)+ET8+ET9+ET10+ET11</f>
        <v>2.7210099999999997</v>
      </c>
      <c r="EU49" s="2193">
        <f>SUM(EU15:EU48)+EU8+EU9+EU10+EU11</f>
        <v>9039.8180000000011</v>
      </c>
      <c r="EV49" s="2193">
        <f t="shared" ref="EV49" si="218">SUM(EV15:EV48)+EV8+EV9+EV10+EV11</f>
        <v>21.110050000000001</v>
      </c>
      <c r="EW49" s="2193">
        <f t="shared" ref="EW49" si="219">SUM(EW15:EW48)+EW8+EW9+EW10+EW11</f>
        <v>0</v>
      </c>
      <c r="EX49" s="2193">
        <f t="shared" ref="EX49" si="220">SUM(EX15:EX48)+EX8+EX9+EX10+EX11</f>
        <v>501.76344000000006</v>
      </c>
      <c r="EY49" s="2193">
        <f>SUM(EY15:EY48)+EY8+EY9+EY10+EY11</f>
        <v>29315.410999999996</v>
      </c>
      <c r="EZ49" s="2193">
        <f>SUM(EZ15:EZ48)+EZ8+EZ9+EZ10+EZ11</f>
        <v>16338.538</v>
      </c>
      <c r="FA49" s="2193">
        <f>SUM(FA15:FA48)+FA8+FA9+FA10+FA11</f>
        <v>3.4641600000000001</v>
      </c>
      <c r="FB49" s="2193">
        <f>SUM(FB15:FB48)+FB8+FB9+FB10+FB11</f>
        <v>11632.231</v>
      </c>
      <c r="FC49" s="2193">
        <f t="shared" ref="FC49" si="221">SUM(FC15:FC48)+FC8+FC9+FC10+FC11</f>
        <v>27.76239</v>
      </c>
      <c r="FD49" s="3865">
        <f t="shared" ref="FD49" si="222">SUM(FD15:FD48)+FD8+FD9+FD10+FD11</f>
        <v>0</v>
      </c>
      <c r="FE49" s="3865">
        <f t="shared" ref="FE49" si="223">SUM(FE15:FE48)+FE8+FE9+FE10+FE11</f>
        <v>598.35699999999997</v>
      </c>
      <c r="FF49" s="2452">
        <f>SUM(FF15:FF48)+FF8+FF9+FF10+FF11</f>
        <v>32574.209912451908</v>
      </c>
      <c r="FG49" s="2452">
        <f>SUM(FG15:FG48)+FG8+FG9+FG10+FG11</f>
        <v>18528.560850318754</v>
      </c>
      <c r="FH49" s="2452">
        <f>SUM(FH15:FH48)+FH8+FH9+FH10+FH11</f>
        <v>3.9278447415900009</v>
      </c>
      <c r="FI49" s="2452">
        <f>SUM(FI15:FI48)+FI8+FI9+FI10+FI11</f>
        <v>13191.920328544649</v>
      </c>
      <c r="FJ49" s="2452">
        <f t="shared" ref="FJ49" si="224">SUM(FJ15:FJ48)+FJ8+FJ9+FJ10+FJ11</f>
        <v>31.520733874245003</v>
      </c>
      <c r="FK49" s="2452">
        <f t="shared" ref="FK49" si="225">SUM(FK15:FK48)+FK8+FK9+FK10+FK11</f>
        <v>0</v>
      </c>
      <c r="FL49" s="2452">
        <f t="shared" ref="FL49:FN49" si="226">SUM(FL15:FL48)+FL8+FL9+FL10+FL11</f>
        <v>681.99763068074742</v>
      </c>
      <c r="FM49" s="2452">
        <f t="shared" si="226"/>
        <v>18305.782558213457</v>
      </c>
      <c r="FN49" s="2452">
        <f t="shared" si="226"/>
        <v>12315.59286775994</v>
      </c>
      <c r="FO49" s="4766">
        <f>SUM(FO15:FO48)+FO8+FO9+FO10+FO11</f>
        <v>8801.9241600000005</v>
      </c>
      <c r="FP49" s="4766">
        <f t="shared" ref="FP49:FR49" si="227">SUM(FP15:FP48)+FP8+FP9+FP10+FP11</f>
        <v>2.0613999999999999</v>
      </c>
      <c r="FQ49" s="4766">
        <f t="shared" si="227"/>
        <v>6162.6033500000003</v>
      </c>
      <c r="FR49" s="4766">
        <f t="shared" si="227"/>
        <v>15.473929999999999</v>
      </c>
      <c r="FS49" s="4766">
        <f>SUM(FS15:FS48)+FS8+FS9+FS10+FS11</f>
        <v>18943.56885</v>
      </c>
      <c r="FT49" s="4766">
        <f>SUM(FT15:FT48)+FT8+FT9+FT10+FT11</f>
        <v>2.8614900000000003</v>
      </c>
      <c r="FU49" s="4766">
        <f>SUM(FU15:FU48)+FU8+FU9+FU10+FU11</f>
        <v>13814.14431</v>
      </c>
      <c r="FV49" s="4766">
        <f t="shared" ref="FV49" si="228">SUM(FV15:FV48)+FV8+FV9+FV10+FV11</f>
        <v>38.314569999999996</v>
      </c>
    </row>
    <row r="50" spans="1:178" s="2161" customFormat="1" ht="29.25" customHeight="1" x14ac:dyDescent="0.2">
      <c r="A50" s="3241" t="s">
        <v>44</v>
      </c>
      <c r="B50" s="3241"/>
      <c r="C50" s="3241"/>
      <c r="D50" s="3241"/>
      <c r="E50" s="3241"/>
      <c r="F50" s="3241"/>
      <c r="G50" s="3241"/>
      <c r="H50" s="3241"/>
      <c r="I50" s="3241"/>
      <c r="J50" s="3241"/>
      <c r="K50" s="3241"/>
      <c r="L50" s="3241"/>
      <c r="M50" s="3241"/>
      <c r="N50" s="3241"/>
      <c r="O50" s="3241"/>
      <c r="P50" s="3241"/>
      <c r="Q50" s="3241"/>
      <c r="R50" s="3241"/>
      <c r="S50" s="3241"/>
      <c r="T50" s="3241"/>
      <c r="U50" s="3241"/>
      <c r="V50" s="3241"/>
      <c r="W50" s="3241"/>
      <c r="X50" s="3241"/>
      <c r="Y50" s="3241"/>
      <c r="Z50" s="3241"/>
      <c r="AA50" s="3241"/>
      <c r="AB50" s="3241"/>
      <c r="AC50" s="2565">
        <f>AC49/S49</f>
        <v>1.0482932816810175</v>
      </c>
      <c r="AD50" s="2565">
        <f>AD49/W49</f>
        <v>1.0868639670625047</v>
      </c>
      <c r="AE50" s="2565">
        <f>AE49/X49</f>
        <v>1.0339455237144248</v>
      </c>
      <c r="AF50" s="3241"/>
      <c r="AG50" s="3241"/>
      <c r="AH50" s="3241"/>
      <c r="AI50" s="3241"/>
      <c r="AJ50" s="2565">
        <f>SUM(AJ49/AC49)</f>
        <v>1.2468979591888283</v>
      </c>
      <c r="AK50" s="2565">
        <f t="shared" ref="AK50:AL50" si="229">SUM(AK49/AD49)</f>
        <v>1.255349340454913</v>
      </c>
      <c r="AL50" s="2565">
        <f t="shared" si="229"/>
        <v>1.2593552344711494</v>
      </c>
      <c r="AM50" s="3241"/>
      <c r="AN50" s="3241"/>
      <c r="AO50" s="2565">
        <f>AO49/AC49</f>
        <v>1.0752055282313095</v>
      </c>
      <c r="AP50" s="2565">
        <f>AP49/AD49</f>
        <v>0.99106099478337317</v>
      </c>
      <c r="AQ50" s="2565">
        <f>AQ49/AE49</f>
        <v>1.2141680830134634</v>
      </c>
      <c r="AR50" s="2565">
        <f>AS50+AT50</f>
        <v>1</v>
      </c>
      <c r="AS50" s="2565">
        <f>AS49/AR49</f>
        <v>0.59057441493423346</v>
      </c>
      <c r="AT50" s="2565">
        <f>AT49/AR49</f>
        <v>0.40942558506576648</v>
      </c>
      <c r="AU50" s="2611">
        <f t="shared" si="8"/>
        <v>1.0000000004287732</v>
      </c>
      <c r="AV50" s="2565">
        <f>AV49/AU49</f>
        <v>0.57992642435132336</v>
      </c>
      <c r="AW50" s="2565">
        <f>AW49/AU49</f>
        <v>0.42007357607744994</v>
      </c>
      <c r="AX50" s="2611">
        <f t="shared" ref="AX50" si="230">AY50+AZ50</f>
        <v>0.99999999999999978</v>
      </c>
      <c r="AY50" s="2565">
        <f>AY49/AX49</f>
        <v>0.59145645586935991</v>
      </c>
      <c r="AZ50" s="2565">
        <f>AZ49/AX49</f>
        <v>0.40854354413063992</v>
      </c>
      <c r="BA50" s="2611">
        <f>SUM(BB50:BG50)</f>
        <v>1</v>
      </c>
      <c r="BB50" s="2565">
        <f>BB49/BA49</f>
        <v>0.5883036871730738</v>
      </c>
      <c r="BC50" s="2612">
        <f>SUM(BC49/BA49)</f>
        <v>2.6608719799189138E-5</v>
      </c>
      <c r="BD50" s="2565">
        <f>BD49/BA49</f>
        <v>0.40667313580259906</v>
      </c>
      <c r="BE50" s="2565">
        <f>SUM(BE49/BA49)</f>
        <v>2.0166070035922641E-4</v>
      </c>
      <c r="BF50" s="2565">
        <f>SUM(BF49/BA49)</f>
        <v>2.0756202772437699E-3</v>
      </c>
      <c r="BG50" s="2565">
        <f>SUM(BG49/BA49)</f>
        <v>2.7192873269250304E-3</v>
      </c>
      <c r="BH50" s="2611">
        <f t="shared" ref="BH50" si="231">BI50+BJ50</f>
        <v>1</v>
      </c>
      <c r="BI50" s="2565">
        <f>BI49/BH49</f>
        <v>0.5809303915834535</v>
      </c>
      <c r="BJ50" s="2565">
        <f>BJ49/BH49</f>
        <v>0.41906960841654656</v>
      </c>
      <c r="BK50" s="2565">
        <f>BL50+BM50+BN50+BO50</f>
        <v>0.99999999999999989</v>
      </c>
      <c r="BL50" s="2565">
        <f>'распределение ОХР'!E18</f>
        <v>0.58130523045657267</v>
      </c>
      <c r="BM50" s="2565">
        <f>'распределение ОХР'!E19</f>
        <v>0.37640381415776658</v>
      </c>
      <c r="BN50" s="2565">
        <f>'распределение ОХР'!E17</f>
        <v>3.9900370715412671E-2</v>
      </c>
      <c r="BO50" s="2565">
        <f>'распределение ОХР'!E15+'распределение ОХР'!E16</f>
        <v>2.3905846702479867E-3</v>
      </c>
      <c r="BP50" s="2611">
        <f>SUM(BQ50:BV50)</f>
        <v>0.99999999999999989</v>
      </c>
      <c r="BQ50" s="2565">
        <f>BQ49/BP49</f>
        <v>0.56617154159116467</v>
      </c>
      <c r="BR50" s="2612">
        <f>SUM(BR49/BP49)</f>
        <v>1.4405869117181528E-3</v>
      </c>
      <c r="BS50" s="2565">
        <f>BS49/BP49</f>
        <v>0.40111554393517523</v>
      </c>
      <c r="BT50" s="2565">
        <f>SUM(BT49/BP49)</f>
        <v>8.6530841592306756E-3</v>
      </c>
      <c r="BU50" s="2565">
        <f>SUM(BU49/BP49)</f>
        <v>2.0562350780251332E-2</v>
      </c>
      <c r="BV50" s="2565">
        <f>SUM(BV49/BP49)</f>
        <v>2.0568926224598331E-3</v>
      </c>
      <c r="BW50" s="2611">
        <f>SUM(BX50:CA50)</f>
        <v>0.99999999999999989</v>
      </c>
      <c r="BX50" s="2565">
        <f>SUM(BL50)</f>
        <v>0.58130523045657267</v>
      </c>
      <c r="BY50" s="2565">
        <f>SUM(BM50)</f>
        <v>0.37640381415776658</v>
      </c>
      <c r="BZ50" s="2565">
        <f>SUM(BN50)</f>
        <v>3.9900370715412671E-2</v>
      </c>
      <c r="CA50" s="2565">
        <f>SUM(BO50)</f>
        <v>2.3905846702479867E-3</v>
      </c>
      <c r="CB50" s="2611">
        <f>SUM(CC50:CH50)</f>
        <v>1</v>
      </c>
      <c r="CC50" s="2565">
        <f>CC49/CB49</f>
        <v>0.58283013015350593</v>
      </c>
      <c r="CD50" s="2612">
        <f>SUM(CD49/CB49)</f>
        <v>1.7228018236900596E-4</v>
      </c>
      <c r="CE50" s="2565">
        <f>CE49/CB49</f>
        <v>0.3978381428483046</v>
      </c>
      <c r="CF50" s="2565">
        <f>SUM(CF49/CB49)</f>
        <v>1.2702615679615029E-3</v>
      </c>
      <c r="CG50" s="2565">
        <f>SUM(CG49/CB49)</f>
        <v>0</v>
      </c>
      <c r="CH50" s="2565">
        <f>SUM(CH49/CB49)</f>
        <v>1.7889185247859096E-2</v>
      </c>
      <c r="CI50" s="2611">
        <f>SUM(CJ50:CO50)</f>
        <v>1.0000000000000002</v>
      </c>
      <c r="CJ50" s="2565">
        <f>CJ49/CI49</f>
        <v>0.58703517672540717</v>
      </c>
      <c r="CK50" s="2612">
        <f>SUM(CK49/CI49)</f>
        <v>1.7134854983235498E-4</v>
      </c>
      <c r="CL50" s="2565">
        <f>CL49/CI49</f>
        <v>0.39114763047623596</v>
      </c>
      <c r="CM50" s="2565">
        <f>SUM(CM49/CI49)</f>
        <v>1.0920823584962423E-3</v>
      </c>
      <c r="CN50" s="2565">
        <f>SUM(CN49/CI49)</f>
        <v>3.4003129324905749E-4</v>
      </c>
      <c r="CO50" s="2565">
        <f>SUM(CO49/CI49)</f>
        <v>2.0213730596779396E-2</v>
      </c>
      <c r="CP50" s="2611">
        <f>SUM(CQ50:CV50)</f>
        <v>1</v>
      </c>
      <c r="CQ50" s="2565">
        <f>CQ49/CP49</f>
        <v>0.58517143721853349</v>
      </c>
      <c r="CR50" s="2612">
        <f>SUM(CR49/CP49)</f>
        <v>1.6299784917590614E-4</v>
      </c>
      <c r="CS50" s="2565">
        <f>CS49/CP49</f>
        <v>0.38785857139767238</v>
      </c>
      <c r="CT50" s="2565">
        <f>SUM(CT49/CP49)</f>
        <v>1.122034843396304E-3</v>
      </c>
      <c r="CU50" s="2565">
        <f>SUM(CU49/CP49)</f>
        <v>0</v>
      </c>
      <c r="CV50" s="2565">
        <f>SUM(CV49/CP49)</f>
        <v>2.5684958691221858E-2</v>
      </c>
      <c r="CW50" s="2611">
        <f>SUM(CX50:DC50)</f>
        <v>1</v>
      </c>
      <c r="CX50" s="2565">
        <f t="shared" ref="CX50:DC50" si="232">SUM(CQ50)</f>
        <v>0.58517143721853349</v>
      </c>
      <c r="CY50" s="2612">
        <f t="shared" si="232"/>
        <v>1.6299784917590614E-4</v>
      </c>
      <c r="CZ50" s="2565">
        <f t="shared" si="232"/>
        <v>0.38785857139767238</v>
      </c>
      <c r="DA50" s="2565">
        <f t="shared" si="232"/>
        <v>1.122034843396304E-3</v>
      </c>
      <c r="DB50" s="2565">
        <f t="shared" si="232"/>
        <v>0</v>
      </c>
      <c r="DC50" s="2565">
        <f t="shared" si="232"/>
        <v>2.5684958691221858E-2</v>
      </c>
      <c r="DD50" s="2565">
        <f>SUM(DD49/DD62)</f>
        <v>0.58617833402885289</v>
      </c>
      <c r="DE50" s="2565">
        <f>SUM(DE49/DD62)</f>
        <v>0.413821665971147</v>
      </c>
      <c r="DF50" s="2611">
        <f>SUM(DG50:DL50)</f>
        <v>1</v>
      </c>
      <c r="DG50" s="2565">
        <f>DG49/DF49</f>
        <v>0.56767063499714443</v>
      </c>
      <c r="DH50" s="2612">
        <f>SUM(DH49/DF49)</f>
        <v>1.4116542534263276E-4</v>
      </c>
      <c r="DI50" s="2565">
        <f>DI49/DF49</f>
        <v>0.40235131266859625</v>
      </c>
      <c r="DJ50" s="2565">
        <f>SUM(DJ49/DF49)</f>
        <v>1.0993084722832431E-3</v>
      </c>
      <c r="DK50" s="2565">
        <f>SUM(DK49/DF49)</f>
        <v>0</v>
      </c>
      <c r="DL50" s="2565">
        <f>SUM(DL49/DF49)</f>
        <v>2.8737578436633465E-2</v>
      </c>
      <c r="DM50" s="2611">
        <f>SUM(DN50:DS50)</f>
        <v>1</v>
      </c>
      <c r="DN50" s="2565">
        <f>DN49/DM49</f>
        <v>0.56834704929678448</v>
      </c>
      <c r="DO50" s="2612">
        <f>SUM(DO49/DM49)</f>
        <v>1.5959857986622787E-4</v>
      </c>
      <c r="DP50" s="2565">
        <f>DP49/DM49</f>
        <v>0.40182691018334266</v>
      </c>
      <c r="DQ50" s="2565">
        <f>SUM(DQ49/DM49)</f>
        <v>1.0940805541937717E-3</v>
      </c>
      <c r="DR50" s="2565">
        <f>SUM(DR49/DM49)</f>
        <v>0</v>
      </c>
      <c r="DS50" s="2565">
        <f>SUM(DS49/DM49)</f>
        <v>2.8572361385812831E-2</v>
      </c>
      <c r="DT50" s="2611">
        <f>SUM(DU50:DZ50)</f>
        <v>0.99999999999999978</v>
      </c>
      <c r="DU50" s="2565">
        <f>DU49/DT49</f>
        <v>0.56914529719318696</v>
      </c>
      <c r="DV50" s="2612">
        <f>SUM(DV49/DT49)</f>
        <v>1.3915538427387432E-4</v>
      </c>
      <c r="DW50" s="2565">
        <f>DW49/DT49</f>
        <v>0.40515802265196016</v>
      </c>
      <c r="DX50" s="2565">
        <f>SUM(DX49/DT49)</f>
        <v>1.1333436364956435E-3</v>
      </c>
      <c r="DY50" s="2565">
        <f>SUM(DY49/DT49)</f>
        <v>0</v>
      </c>
      <c r="DZ50" s="2565">
        <f>SUM(DZ49/DT49)</f>
        <v>2.4424181134083151E-2</v>
      </c>
      <c r="EA50" s="2611">
        <f>SUM(EB50:EG50)</f>
        <v>0.99999999999999978</v>
      </c>
      <c r="EB50" s="2565">
        <f t="shared" ref="EB50" si="233">SUM(DU50)</f>
        <v>0.56914529719318696</v>
      </c>
      <c r="EC50" s="2612">
        <f t="shared" ref="EC50" si="234">SUM(DV50)</f>
        <v>1.3915538427387432E-4</v>
      </c>
      <c r="ED50" s="2565">
        <f t="shared" ref="ED50" si="235">SUM(DW50)</f>
        <v>0.40515802265196016</v>
      </c>
      <c r="EE50" s="2565">
        <f t="shared" ref="EE50" si="236">SUM(DX50)</f>
        <v>1.1333436364956435E-3</v>
      </c>
      <c r="EF50" s="2565">
        <f t="shared" ref="EF50" si="237">SUM(DY50)</f>
        <v>0</v>
      </c>
      <c r="EG50" s="2565">
        <f t="shared" ref="EG50" si="238">SUM(DZ50)</f>
        <v>2.4424181134083151E-2</v>
      </c>
      <c r="EH50" s="2565">
        <f>SUM(EH49/EH62)</f>
        <v>0.60031873350839438</v>
      </c>
      <c r="EI50" s="2565">
        <f>SUM(EI49/EH62)</f>
        <v>0.39968126649160562</v>
      </c>
      <c r="EJ50" s="3954" t="s">
        <v>2072</v>
      </c>
      <c r="EK50" s="2611">
        <f>SUM(EL50:EQ50)</f>
        <v>0.99999999999999989</v>
      </c>
      <c r="EL50" s="2565">
        <f>EL49/EK49</f>
        <v>0.57825494949922462</v>
      </c>
      <c r="EM50" s="2612">
        <f>SUM(EM49/EK49)</f>
        <v>1.160369566476434E-4</v>
      </c>
      <c r="EN50" s="2565">
        <f>EN49/EK49</f>
        <v>0.41181506618687058</v>
      </c>
      <c r="EO50" s="2565">
        <f>SUM(EO49/EK49)</f>
        <v>9.2898457955334444E-4</v>
      </c>
      <c r="EP50" s="2565">
        <f>SUM(EP49/EK49)</f>
        <v>0</v>
      </c>
      <c r="EQ50" s="2565">
        <f>SUM(EQ49/EK49)</f>
        <v>8.8849627777036651E-3</v>
      </c>
      <c r="ER50" s="2611">
        <f>SUM(ES50:EX50)</f>
        <v>0.97802692016382065</v>
      </c>
      <c r="ES50" s="2565">
        <f>ES49/ER49</f>
        <v>0.55744717653887943</v>
      </c>
      <c r="ET50" s="2612">
        <f>SUM(ET49/ER49)</f>
        <v>1.1963955430054909E-4</v>
      </c>
      <c r="EU50" s="2565">
        <f>EU49/ER49</f>
        <v>0.39746998227793406</v>
      </c>
      <c r="EV50" s="2565">
        <f>SUM(EV49/ER49)</f>
        <v>9.2818364256739476E-4</v>
      </c>
      <c r="EW50" s="2565">
        <f>SUM(EW49/ER49)</f>
        <v>0</v>
      </c>
      <c r="EX50" s="2565">
        <f>SUM(EX49/ER49)</f>
        <v>2.206193815013922E-2</v>
      </c>
      <c r="EY50" s="2611">
        <f>SUM(EZ50:FE50)</f>
        <v>0.97560810421521982</v>
      </c>
      <c r="EZ50" s="2565">
        <f>EZ49/EY49</f>
        <v>0.55733613968434559</v>
      </c>
      <c r="FA50" s="2612">
        <f>SUM(FA49/EY49)</f>
        <v>1.1816856328570664E-4</v>
      </c>
      <c r="FB50" s="2565">
        <f>FB49/EY49</f>
        <v>0.39679576725020166</v>
      </c>
      <c r="FC50" s="2565">
        <f>SUM(FC49/EY49)</f>
        <v>9.4702373437643441E-4</v>
      </c>
      <c r="FD50" s="3866">
        <f>SUM(FD49/EY49)</f>
        <v>0</v>
      </c>
      <c r="FE50" s="3866">
        <f>SUM(FE49/EY49)</f>
        <v>2.0411004983010475E-2</v>
      </c>
      <c r="FF50" s="2449">
        <f>SUM(FG50:FL50)</f>
        <v>0.97560810421521982</v>
      </c>
      <c r="FG50" s="2450">
        <f t="shared" ref="FG50" si="239">SUM(EZ50)</f>
        <v>0.55733613968434559</v>
      </c>
      <c r="FH50" s="2453">
        <f t="shared" ref="FH50" si="240">SUM(FA50)</f>
        <v>1.1816856328570664E-4</v>
      </c>
      <c r="FI50" s="2450">
        <f t="shared" ref="FI50" si="241">SUM(FB50)</f>
        <v>0.39679576725020166</v>
      </c>
      <c r="FJ50" s="2450">
        <f t="shared" ref="FJ50" si="242">SUM(FC50)</f>
        <v>9.4702373437643441E-4</v>
      </c>
      <c r="FK50" s="2450">
        <f t="shared" ref="FK50" si="243">SUM(FD50)</f>
        <v>0</v>
      </c>
      <c r="FL50" s="2450">
        <f t="shared" ref="FL50" si="244">SUM(FE50)</f>
        <v>2.0411004983010475E-2</v>
      </c>
      <c r="FM50" s="2450">
        <f>SUM(FM49/(FM49+FN49))</f>
        <v>0.59781059157408989</v>
      </c>
      <c r="FN50" s="2450">
        <f>FN49/(FM49+FN49)</f>
        <v>0.40218940842591006</v>
      </c>
      <c r="FO50" s="4765">
        <f>SUM(FO49/(FR49+FQ49+FP49+FO49))</f>
        <v>0.58749747975292832</v>
      </c>
      <c r="FP50" s="4765">
        <f>SUM(FP49/(FR49+FQ49+FP49+FO49))</f>
        <v>1.375911996908965E-4</v>
      </c>
      <c r="FQ50" s="4765">
        <f>SUM(FQ49/(FR49+FQ49+FP49+FO49))</f>
        <v>0.41133209864443476</v>
      </c>
      <c r="FR50" s="4765">
        <f>SUM(FR49/(FO49+FP49+FQ49+FR49))</f>
        <v>1.0328304029460335E-3</v>
      </c>
      <c r="FS50" s="4765">
        <f>SUM(FS49/(FV49+FU49+FT49+FS49))</f>
        <v>0.57756739025322401</v>
      </c>
      <c r="FT50" s="4765">
        <f>SUM(FT49/(FV49+FU49+FT49+FS49))</f>
        <v>8.7243503303006075E-5</v>
      </c>
      <c r="FU50" s="4765">
        <f>SUM(FU49/(FV49+FU49+FT49+FS49))</f>
        <v>0.42117719954907673</v>
      </c>
      <c r="FV50" s="4765">
        <f>SUM(FV49/(FS49+FT49+FU49+FV49))</f>
        <v>1.1681666943963659E-3</v>
      </c>
    </row>
    <row r="51" spans="1:178" ht="27" hidden="1" customHeight="1" x14ac:dyDescent="0.2">
      <c r="A51" s="6042" t="s">
        <v>304</v>
      </c>
      <c r="B51" s="6043"/>
      <c r="C51" s="6043"/>
      <c r="D51" s="6043"/>
      <c r="E51" s="6043"/>
      <c r="F51" s="6043"/>
      <c r="G51" s="6043"/>
      <c r="H51" s="6043"/>
      <c r="I51" s="6043"/>
      <c r="J51" s="6043"/>
      <c r="K51" s="6043"/>
      <c r="L51" s="6043"/>
      <c r="M51" s="6043"/>
      <c r="N51" s="6043"/>
      <c r="O51" s="6043"/>
      <c r="P51" s="6043"/>
      <c r="Q51" s="6043"/>
      <c r="R51" s="6043"/>
      <c r="S51" s="6043"/>
      <c r="T51" s="6043"/>
      <c r="U51" s="6043"/>
      <c r="V51" s="6043"/>
      <c r="W51" s="6043"/>
      <c r="X51" s="6043"/>
      <c r="Y51" s="6043"/>
      <c r="Z51" s="6043"/>
      <c r="AA51" s="6043"/>
      <c r="AB51" s="6043"/>
      <c r="AC51" s="6043"/>
      <c r="AD51" s="6043"/>
      <c r="AE51" s="6043"/>
      <c r="AF51" s="6043"/>
      <c r="AG51" s="6043"/>
      <c r="AH51" s="6043"/>
      <c r="AI51" s="6043"/>
      <c r="AJ51" s="6043"/>
      <c r="AK51" s="2630"/>
      <c r="AL51" s="2630"/>
      <c r="AM51" s="2630"/>
      <c r="AN51" s="2630"/>
      <c r="AO51" s="2641">
        <f>AO49/AC49</f>
        <v>1.0752055282313095</v>
      </c>
      <c r="AP51" s="2642"/>
      <c r="AQ51" s="2642"/>
      <c r="AR51" s="2642"/>
      <c r="AS51" s="2642"/>
      <c r="AT51" s="2642"/>
      <c r="AU51" s="2643"/>
      <c r="AV51" s="2643"/>
      <c r="AW51" s="2643"/>
      <c r="AX51" s="2643"/>
      <c r="AY51" s="2643"/>
      <c r="AZ51" s="2643"/>
      <c r="BA51" s="2643"/>
      <c r="BB51" s="2643"/>
      <c r="BC51" s="2643"/>
      <c r="BD51" s="2643"/>
      <c r="BE51" s="2643"/>
      <c r="BF51" s="2643"/>
      <c r="BG51" s="2643"/>
      <c r="BH51" s="2643"/>
      <c r="BI51" s="2643"/>
      <c r="BJ51" s="2643"/>
      <c r="BK51" s="2643"/>
      <c r="BL51" s="2643"/>
      <c r="BM51" s="2643"/>
      <c r="BN51" s="2643"/>
      <c r="BO51" s="2643"/>
      <c r="BP51" s="2643"/>
      <c r="BQ51" s="2643"/>
      <c r="BR51" s="2643"/>
      <c r="BS51" s="2643"/>
      <c r="BT51" s="2643"/>
      <c r="BU51" s="2643"/>
      <c r="BV51" s="2643"/>
      <c r="BW51" s="2722"/>
      <c r="BX51" s="2722"/>
      <c r="BY51" s="2722"/>
      <c r="BZ51" s="2722"/>
      <c r="CA51" s="2722"/>
      <c r="CB51" s="2644"/>
      <c r="CC51" s="2644"/>
      <c r="CD51" s="2644"/>
      <c r="CE51" s="2644"/>
      <c r="CF51" s="2644"/>
      <c r="CG51" s="2644"/>
      <c r="CH51" s="2644"/>
      <c r="CI51" s="2643"/>
      <c r="CJ51" s="2643"/>
      <c r="CK51" s="2643"/>
      <c r="CL51" s="2643"/>
      <c r="CM51" s="2643"/>
      <c r="CN51" s="2643"/>
      <c r="CO51" s="2643"/>
      <c r="CP51" s="2643"/>
      <c r="CQ51" s="2643"/>
      <c r="CR51" s="2643"/>
      <c r="CS51" s="2643"/>
      <c r="CT51" s="2643"/>
      <c r="CU51" s="2643"/>
      <c r="CV51" s="2645"/>
      <c r="CW51" s="2643"/>
      <c r="CX51" s="2643"/>
      <c r="CY51" s="2643"/>
      <c r="CZ51" s="2643"/>
      <c r="DA51" s="2643"/>
      <c r="DB51" s="2643"/>
      <c r="DC51" s="2643"/>
      <c r="DD51" s="2643"/>
      <c r="DE51" s="2643"/>
      <c r="DF51" s="2643"/>
      <c r="DG51" s="2643"/>
      <c r="DH51" s="2643"/>
      <c r="DI51" s="2643"/>
      <c r="DJ51" s="2643"/>
      <c r="DK51" s="2643"/>
      <c r="DL51" s="2643"/>
      <c r="DM51" s="2643"/>
      <c r="DN51" s="2643"/>
      <c r="DO51" s="2643"/>
      <c r="DP51" s="2643"/>
      <c r="DQ51" s="2643"/>
      <c r="DR51" s="2643"/>
      <c r="DS51" s="2643"/>
      <c r="DT51" s="3566"/>
      <c r="DU51" s="3566"/>
      <c r="DV51" s="3566"/>
      <c r="DW51" s="3566"/>
      <c r="DX51" s="3566"/>
      <c r="DY51" s="3566"/>
      <c r="DZ51" s="3566"/>
      <c r="EA51" s="3566"/>
      <c r="EB51" s="3566"/>
      <c r="EC51" s="3566"/>
      <c r="ED51" s="3566"/>
      <c r="EE51" s="3566"/>
      <c r="EF51" s="3566"/>
      <c r="EG51" s="3566"/>
      <c r="EH51" s="3566"/>
      <c r="EI51" s="3566"/>
      <c r="EJ51" s="2156"/>
      <c r="EK51" s="3791"/>
      <c r="EL51" s="3791"/>
      <c r="EM51" s="3791"/>
      <c r="EN51" s="3791"/>
      <c r="EO51" s="3791"/>
      <c r="EP51" s="3791"/>
      <c r="EQ51" s="3791"/>
      <c r="ER51" s="3791"/>
      <c r="ES51" s="3791"/>
      <c r="ET51" s="3791"/>
      <c r="EU51" s="3791"/>
      <c r="EV51" s="3791"/>
      <c r="EW51" s="3791"/>
      <c r="EX51" s="3791"/>
      <c r="EY51" s="3791"/>
      <c r="EZ51" s="3791"/>
      <c r="FA51" s="3791"/>
      <c r="FB51" s="3791"/>
      <c r="FC51" s="3791"/>
      <c r="FD51" s="3868"/>
      <c r="FE51" s="3868"/>
      <c r="FM51" s="4161"/>
      <c r="FN51" s="4161"/>
      <c r="FO51" s="3791"/>
      <c r="FP51" s="3791"/>
      <c r="FQ51" s="3791"/>
      <c r="FR51" s="3791"/>
      <c r="FS51" s="3791"/>
      <c r="FT51" s="3791"/>
      <c r="FU51" s="3791"/>
      <c r="FV51" s="3791"/>
    </row>
    <row r="52" spans="1:178" ht="38.25" hidden="1" customHeight="1" x14ac:dyDescent="0.2">
      <c r="A52" s="6033" t="s">
        <v>305</v>
      </c>
      <c r="B52" s="6033">
        <v>2008</v>
      </c>
      <c r="C52" s="6033"/>
      <c r="D52" s="6033" t="s">
        <v>66</v>
      </c>
      <c r="E52" s="6033"/>
      <c r="F52" s="2170" t="s">
        <v>66</v>
      </c>
      <c r="G52" s="6033" t="s">
        <v>91</v>
      </c>
      <c r="H52" s="6033"/>
      <c r="I52" s="6029" t="s">
        <v>289</v>
      </c>
      <c r="J52" s="6029"/>
      <c r="K52" s="6029"/>
      <c r="L52" s="6029"/>
      <c r="M52" s="6029"/>
      <c r="N52" s="6029"/>
      <c r="O52" s="6031" t="str">
        <f>N4</f>
        <v>2013 год</v>
      </c>
      <c r="P52" s="6031"/>
      <c r="Q52" s="6031"/>
      <c r="R52" s="6031"/>
      <c r="S52" s="6031"/>
      <c r="T52" s="6031"/>
      <c r="U52" s="6031"/>
      <c r="V52" s="6031"/>
      <c r="W52" s="6031"/>
      <c r="X52" s="6031"/>
      <c r="Y52" s="6032" t="s">
        <v>227</v>
      </c>
      <c r="Z52" s="5521"/>
      <c r="AA52" s="5521"/>
      <c r="AB52" s="5521"/>
      <c r="AC52" s="5521"/>
      <c r="AD52" s="5521"/>
      <c r="AE52" s="6035" t="s">
        <v>362</v>
      </c>
      <c r="AF52" s="6036"/>
      <c r="AG52" s="6036"/>
      <c r="AH52" s="6036"/>
      <c r="AI52" s="6029" t="s">
        <v>643</v>
      </c>
      <c r="AJ52" s="6029"/>
      <c r="AK52" s="6029"/>
      <c r="AL52" s="6029"/>
      <c r="AM52" s="6029"/>
      <c r="AN52" s="2631"/>
      <c r="AO52" s="2171"/>
      <c r="AP52" s="2455"/>
      <c r="AQ52" s="2455"/>
      <c r="AR52" s="2455"/>
      <c r="AS52" s="2455"/>
      <c r="AT52" s="2455"/>
      <c r="AU52" s="2172"/>
      <c r="AV52" s="2172"/>
      <c r="AW52" s="2172"/>
      <c r="AX52" s="2172"/>
      <c r="AY52" s="2172"/>
      <c r="AZ52" s="2172"/>
      <c r="BA52" s="2172"/>
      <c r="BB52" s="2172"/>
      <c r="BC52" s="2172"/>
      <c r="BD52" s="2172"/>
      <c r="BE52" s="2172"/>
      <c r="BF52" s="2172"/>
      <c r="BG52" s="2172"/>
      <c r="BH52" s="2173"/>
      <c r="BI52" s="2172"/>
      <c r="BJ52" s="2172"/>
      <c r="BK52" s="2172"/>
      <c r="BL52" s="2172"/>
      <c r="BM52" s="2172"/>
      <c r="BN52" s="2172"/>
      <c r="BO52" s="2172"/>
      <c r="BP52" s="2172"/>
      <c r="BQ52" s="2172"/>
      <c r="BR52" s="2172"/>
      <c r="BS52" s="2172"/>
      <c r="BT52" s="2172"/>
      <c r="BU52" s="2172"/>
      <c r="BV52" s="2172"/>
      <c r="BW52" s="2723"/>
      <c r="BX52" s="2723"/>
      <c r="BY52" s="2723"/>
      <c r="BZ52" s="2723"/>
      <c r="CA52" s="2723"/>
      <c r="CB52" s="2566"/>
      <c r="CC52" s="2566"/>
      <c r="CD52" s="2566"/>
      <c r="CE52" s="2566"/>
      <c r="CF52" s="2566"/>
      <c r="CG52" s="2566"/>
      <c r="CH52" s="2566"/>
      <c r="CI52" s="2172"/>
      <c r="CJ52" s="2172"/>
      <c r="CK52" s="2172"/>
      <c r="CL52" s="2172"/>
      <c r="CM52" s="2172"/>
      <c r="CN52" s="2172"/>
      <c r="CO52" s="2172"/>
      <c r="CP52" s="2172"/>
      <c r="CQ52" s="2172"/>
      <c r="CR52" s="2172"/>
      <c r="CS52" s="2172"/>
      <c r="CT52" s="2172"/>
      <c r="CU52" s="2172"/>
      <c r="CV52" s="2172"/>
      <c r="CW52" s="2637"/>
      <c r="CX52" s="2637"/>
      <c r="CY52" s="2637"/>
      <c r="CZ52" s="2637"/>
      <c r="DA52" s="2637"/>
      <c r="DB52" s="2637"/>
      <c r="DC52" s="2637"/>
      <c r="DD52" s="2637"/>
      <c r="DE52" s="2637"/>
      <c r="DF52" s="2637"/>
      <c r="DG52" s="2637"/>
      <c r="DH52" s="2637"/>
      <c r="DI52" s="2637"/>
      <c r="DJ52" s="2637"/>
      <c r="DK52" s="2637"/>
      <c r="DL52" s="2637"/>
      <c r="DM52" s="2637"/>
      <c r="DN52" s="2637"/>
      <c r="DO52" s="2637"/>
      <c r="DP52" s="2637"/>
      <c r="DQ52" s="2637"/>
      <c r="DR52" s="2637"/>
      <c r="DS52" s="2637"/>
      <c r="DT52" s="3567"/>
      <c r="DU52" s="3567"/>
      <c r="DV52" s="3567"/>
      <c r="DW52" s="3567"/>
      <c r="DX52" s="3567"/>
      <c r="DY52" s="3567"/>
      <c r="DZ52" s="3567"/>
      <c r="EA52" s="3567"/>
      <c r="EB52" s="3567"/>
      <c r="EC52" s="3567"/>
      <c r="ED52" s="3567"/>
      <c r="EE52" s="3567"/>
      <c r="EF52" s="3567"/>
      <c r="EG52" s="3567"/>
      <c r="EH52" s="3567"/>
      <c r="EI52" s="3567"/>
      <c r="EJ52" s="2637"/>
      <c r="EK52" s="3791"/>
      <c r="EL52" s="3791"/>
      <c r="EM52" s="3791"/>
      <c r="EN52" s="3791"/>
      <c r="EO52" s="3791"/>
      <c r="EP52" s="3791"/>
      <c r="EQ52" s="3791"/>
      <c r="ER52" s="3791"/>
      <c r="ES52" s="3791"/>
      <c r="ET52" s="3791"/>
      <c r="EU52" s="3791"/>
      <c r="EV52" s="3791"/>
      <c r="EW52" s="3791"/>
      <c r="EX52" s="3791"/>
      <c r="EY52" s="3791"/>
      <c r="EZ52" s="3791"/>
      <c r="FA52" s="3791"/>
      <c r="FB52" s="3791"/>
      <c r="FC52" s="3791"/>
      <c r="FD52" s="3868"/>
      <c r="FE52" s="3868"/>
      <c r="FM52" s="4161"/>
      <c r="FN52" s="4161"/>
      <c r="FO52" s="3791"/>
      <c r="FP52" s="3791"/>
      <c r="FQ52" s="3791"/>
      <c r="FR52" s="3791"/>
      <c r="FS52" s="3791"/>
      <c r="FT52" s="3791"/>
      <c r="FU52" s="3791"/>
      <c r="FV52" s="3791"/>
    </row>
    <row r="53" spans="1:178" ht="12.75" hidden="1" customHeight="1" x14ac:dyDescent="0.2">
      <c r="A53" s="6033"/>
      <c r="B53" s="6033"/>
      <c r="C53" s="6033"/>
      <c r="D53" s="6033"/>
      <c r="E53" s="6033"/>
      <c r="F53" s="2170"/>
      <c r="G53" s="6033"/>
      <c r="H53" s="6033"/>
      <c r="I53" s="6030" t="s">
        <v>290</v>
      </c>
      <c r="J53" s="6033" t="s">
        <v>126</v>
      </c>
      <c r="K53" s="6033" t="s">
        <v>306</v>
      </c>
      <c r="L53" s="6033" t="s">
        <v>291</v>
      </c>
      <c r="M53" s="6033"/>
      <c r="N53" s="6033"/>
      <c r="O53" s="6030" t="s">
        <v>290</v>
      </c>
      <c r="P53" s="6030"/>
      <c r="Q53" s="6030" t="s">
        <v>292</v>
      </c>
      <c r="R53" s="6030"/>
      <c r="S53" s="6030" t="s">
        <v>307</v>
      </c>
      <c r="T53" s="6030"/>
      <c r="U53" s="6033" t="s">
        <v>294</v>
      </c>
      <c r="V53" s="6033"/>
      <c r="W53" s="6045" t="s">
        <v>154</v>
      </c>
      <c r="X53" s="6045"/>
      <c r="Y53" s="6030" t="s">
        <v>290</v>
      </c>
      <c r="Z53" s="6030"/>
      <c r="AA53" s="6030" t="s">
        <v>415</v>
      </c>
      <c r="AB53" s="5521"/>
      <c r="AC53" s="6030" t="s">
        <v>641</v>
      </c>
      <c r="AD53" s="5521"/>
      <c r="AE53" s="6030" t="s">
        <v>270</v>
      </c>
      <c r="AF53" s="5521"/>
      <c r="AG53" s="6030" t="s">
        <v>375</v>
      </c>
      <c r="AH53" s="5521"/>
      <c r="AI53" s="6030" t="s">
        <v>270</v>
      </c>
      <c r="AJ53" s="6034"/>
      <c r="AK53" s="6030" t="s">
        <v>375</v>
      </c>
      <c r="AL53" s="6030"/>
      <c r="AM53" s="6030"/>
      <c r="AN53" s="2631"/>
      <c r="AO53" s="2171"/>
      <c r="AP53" s="2172"/>
      <c r="AQ53" s="2172"/>
      <c r="AR53" s="2172"/>
      <c r="AS53" s="2172"/>
      <c r="AT53" s="2172"/>
      <c r="AU53" s="2172"/>
      <c r="AV53" s="2172"/>
      <c r="AW53" s="2172"/>
      <c r="AX53" s="2172"/>
      <c r="AY53" s="2172"/>
      <c r="AZ53" s="2172"/>
      <c r="BA53" s="2172"/>
      <c r="BB53" s="2172"/>
      <c r="BC53" s="2172"/>
      <c r="BD53" s="2172"/>
      <c r="BE53" s="2172"/>
      <c r="BF53" s="2172"/>
      <c r="BG53" s="2172"/>
      <c r="BH53" s="2172"/>
      <c r="BI53" s="2172"/>
      <c r="BJ53" s="2172"/>
      <c r="BK53" s="2172"/>
      <c r="BL53" s="2172"/>
      <c r="BM53" s="2172"/>
      <c r="BN53" s="2172"/>
      <c r="BO53" s="2172"/>
      <c r="BP53" s="2172"/>
      <c r="BQ53" s="2172"/>
      <c r="BR53" s="2172"/>
      <c r="BS53" s="2172"/>
      <c r="BT53" s="2172"/>
      <c r="BU53" s="2172"/>
      <c r="BV53" s="2172"/>
      <c r="BW53" s="2723"/>
      <c r="BX53" s="2723"/>
      <c r="BY53" s="2723"/>
      <c r="BZ53" s="2723"/>
      <c r="CA53" s="2723"/>
      <c r="CB53" s="2566"/>
      <c r="CC53" s="2566"/>
      <c r="CD53" s="2566"/>
      <c r="CE53" s="2566"/>
      <c r="CF53" s="2566"/>
      <c r="CG53" s="2566"/>
      <c r="CH53" s="2566"/>
      <c r="CI53" s="2172"/>
      <c r="CJ53" s="2172"/>
      <c r="CK53" s="2172"/>
      <c r="CL53" s="2172"/>
      <c r="CM53" s="2172"/>
      <c r="CN53" s="2172"/>
      <c r="CO53" s="2172"/>
      <c r="CP53" s="2172"/>
      <c r="CQ53" s="2172"/>
      <c r="CR53" s="2172"/>
      <c r="CS53" s="2172"/>
      <c r="CT53" s="2172"/>
      <c r="CU53" s="2172"/>
      <c r="CV53" s="2172"/>
      <c r="CW53" s="2637"/>
      <c r="CX53" s="2637"/>
      <c r="CY53" s="2637"/>
      <c r="CZ53" s="2637"/>
      <c r="DA53" s="2637"/>
      <c r="DB53" s="2637"/>
      <c r="DC53" s="2637"/>
      <c r="DD53" s="2637"/>
      <c r="DE53" s="2637"/>
      <c r="DF53" s="2637"/>
      <c r="DG53" s="2637"/>
      <c r="DH53" s="2637"/>
      <c r="DI53" s="2637"/>
      <c r="DJ53" s="2637"/>
      <c r="DK53" s="2637"/>
      <c r="DL53" s="2637"/>
      <c r="DM53" s="2637"/>
      <c r="DN53" s="2637"/>
      <c r="DO53" s="2637"/>
      <c r="DP53" s="2637"/>
      <c r="DQ53" s="2637"/>
      <c r="DR53" s="2637"/>
      <c r="DS53" s="2637"/>
      <c r="DT53" s="3567"/>
      <c r="DU53" s="3567"/>
      <c r="DV53" s="3567"/>
      <c r="DW53" s="3567"/>
      <c r="DX53" s="3567"/>
      <c r="DY53" s="3567"/>
      <c r="DZ53" s="3567"/>
      <c r="EA53" s="3567"/>
      <c r="EB53" s="3567"/>
      <c r="EC53" s="3567"/>
      <c r="ED53" s="3567"/>
      <c r="EE53" s="3567"/>
      <c r="EF53" s="3567"/>
      <c r="EG53" s="3567"/>
      <c r="EH53" s="3567"/>
      <c r="EI53" s="3567"/>
      <c r="EJ53" s="2637"/>
      <c r="EK53" s="3791"/>
      <c r="EL53" s="3791"/>
      <c r="EM53" s="3791"/>
      <c r="EN53" s="3791"/>
      <c r="EO53" s="3791"/>
      <c r="EP53" s="3791"/>
      <c r="EQ53" s="3791"/>
      <c r="ER53" s="3791"/>
      <c r="ES53" s="3791"/>
      <c r="ET53" s="3791"/>
      <c r="EU53" s="3791"/>
      <c r="EV53" s="3791"/>
      <c r="EW53" s="3791"/>
      <c r="EX53" s="3791"/>
      <c r="EY53" s="3791"/>
      <c r="EZ53" s="3791"/>
      <c r="FA53" s="3791"/>
      <c r="FB53" s="3791"/>
      <c r="FC53" s="3791"/>
      <c r="FD53" s="3868"/>
      <c r="FE53" s="3868"/>
      <c r="FM53" s="4161"/>
      <c r="FN53" s="4161"/>
      <c r="FO53" s="3791"/>
      <c r="FP53" s="3791"/>
      <c r="FQ53" s="3791"/>
      <c r="FR53" s="3791"/>
      <c r="FS53" s="3791"/>
      <c r="FT53" s="3791"/>
      <c r="FU53" s="3791"/>
      <c r="FV53" s="3791"/>
    </row>
    <row r="54" spans="1:178" ht="15.75" hidden="1" customHeight="1" x14ac:dyDescent="0.2">
      <c r="A54" s="6033"/>
      <c r="B54" s="2629" t="s">
        <v>44</v>
      </c>
      <c r="C54" s="2629" t="s">
        <v>45</v>
      </c>
      <c r="D54" s="6033"/>
      <c r="E54" s="6033"/>
      <c r="F54" s="2629" t="s">
        <v>44</v>
      </c>
      <c r="G54" s="6033"/>
      <c r="H54" s="6033"/>
      <c r="I54" s="6030"/>
      <c r="J54" s="6033"/>
      <c r="K54" s="6033"/>
      <c r="L54" s="6033"/>
      <c r="M54" s="6033"/>
      <c r="N54" s="6033"/>
      <c r="O54" s="6030"/>
      <c r="P54" s="6030"/>
      <c r="Q54" s="6030"/>
      <c r="R54" s="6030"/>
      <c r="S54" s="6030"/>
      <c r="T54" s="6030"/>
      <c r="U54" s="6033"/>
      <c r="V54" s="6033"/>
      <c r="W54" s="6045"/>
      <c r="X54" s="6045"/>
      <c r="Y54" s="6030"/>
      <c r="Z54" s="6030"/>
      <c r="AA54" s="5521"/>
      <c r="AB54" s="5521"/>
      <c r="AC54" s="5521"/>
      <c r="AD54" s="5521"/>
      <c r="AE54" s="5521"/>
      <c r="AF54" s="5521"/>
      <c r="AG54" s="5521"/>
      <c r="AH54" s="5521"/>
      <c r="AI54" s="6034"/>
      <c r="AJ54" s="6034"/>
      <c r="AK54" s="6030"/>
      <c r="AL54" s="6030"/>
      <c r="AM54" s="6030"/>
      <c r="AN54" s="2631"/>
      <c r="AO54" s="2171"/>
      <c r="AP54" s="2174"/>
      <c r="AQ54" s="2174"/>
      <c r="AR54" s="2174"/>
      <c r="AS54" s="2174"/>
      <c r="AT54" s="2174"/>
      <c r="AU54" s="2174"/>
      <c r="AV54" s="2174"/>
      <c r="AW54" s="2174"/>
      <c r="AX54" s="2174"/>
      <c r="AY54" s="2174"/>
      <c r="AZ54" s="2174"/>
      <c r="BA54" s="2174"/>
      <c r="BB54" s="2174"/>
      <c r="BC54" s="2174"/>
      <c r="BD54" s="2174"/>
      <c r="BE54" s="2174"/>
      <c r="BF54" s="2174"/>
      <c r="BG54" s="2174"/>
      <c r="BH54" s="2174"/>
      <c r="BI54" s="2174"/>
      <c r="BJ54" s="2174"/>
      <c r="BK54" s="2174"/>
      <c r="BL54" s="2174"/>
      <c r="BM54" s="2174"/>
      <c r="BN54" s="2174"/>
      <c r="BO54" s="2174"/>
      <c r="BP54" s="2174"/>
      <c r="BQ54" s="2174"/>
      <c r="BR54" s="2174"/>
      <c r="BS54" s="2174"/>
      <c r="BT54" s="2174"/>
      <c r="BU54" s="2174"/>
      <c r="BV54" s="2174"/>
      <c r="BW54" s="2724"/>
      <c r="BX54" s="2724"/>
      <c r="BY54" s="2724"/>
      <c r="BZ54" s="2724"/>
      <c r="CA54" s="2724"/>
      <c r="CB54" s="2175"/>
      <c r="CC54" s="2175"/>
      <c r="CD54" s="2175"/>
      <c r="CE54" s="2175"/>
      <c r="CF54" s="2175"/>
      <c r="CG54" s="2175"/>
      <c r="CH54" s="2175"/>
      <c r="CI54" s="2174"/>
      <c r="CJ54" s="2174"/>
      <c r="CK54" s="2174"/>
      <c r="CL54" s="2174"/>
      <c r="CM54" s="2174"/>
      <c r="CN54" s="2174"/>
      <c r="CO54" s="2174"/>
      <c r="CP54" s="2174"/>
      <c r="CQ54" s="2174"/>
      <c r="CR54" s="2174"/>
      <c r="CS54" s="2174"/>
      <c r="CT54" s="2174"/>
      <c r="CU54" s="2174"/>
      <c r="CV54" s="2174"/>
      <c r="CW54" s="2638"/>
      <c r="CX54" s="2638"/>
      <c r="CY54" s="2638"/>
      <c r="CZ54" s="2638"/>
      <c r="DA54" s="2638"/>
      <c r="DB54" s="2638"/>
      <c r="DC54" s="2638"/>
      <c r="DD54" s="2638"/>
      <c r="DE54" s="2638"/>
      <c r="DF54" s="2638"/>
      <c r="DG54" s="2638"/>
      <c r="DH54" s="2638"/>
      <c r="DI54" s="2638"/>
      <c r="DJ54" s="2638"/>
      <c r="DK54" s="2638"/>
      <c r="DL54" s="2638"/>
      <c r="DM54" s="2638"/>
      <c r="DN54" s="2638"/>
      <c r="DO54" s="2638"/>
      <c r="DP54" s="2638"/>
      <c r="DQ54" s="2638"/>
      <c r="DR54" s="2638"/>
      <c r="DS54" s="2638"/>
      <c r="DT54" s="3568"/>
      <c r="DU54" s="3568"/>
      <c r="DV54" s="3568"/>
      <c r="DW54" s="3568"/>
      <c r="DX54" s="3568"/>
      <c r="DY54" s="3568"/>
      <c r="DZ54" s="3568"/>
      <c r="EA54" s="3568"/>
      <c r="EB54" s="3568"/>
      <c r="EC54" s="3568"/>
      <c r="ED54" s="3568"/>
      <c r="EE54" s="3568"/>
      <c r="EF54" s="3568"/>
      <c r="EG54" s="3568"/>
      <c r="EH54" s="3568"/>
      <c r="EI54" s="3568"/>
      <c r="EJ54" s="2637"/>
      <c r="EK54" s="3791"/>
      <c r="EL54" s="3791"/>
      <c r="EM54" s="3791"/>
      <c r="EN54" s="3791"/>
      <c r="EO54" s="3791"/>
      <c r="EP54" s="3791"/>
      <c r="EQ54" s="3791"/>
      <c r="ER54" s="3791"/>
      <c r="ES54" s="3791"/>
      <c r="ET54" s="3791"/>
      <c r="EU54" s="3791"/>
      <c r="EV54" s="3791"/>
      <c r="EW54" s="3791"/>
      <c r="EX54" s="3791"/>
      <c r="EY54" s="3791"/>
      <c r="EZ54" s="3791"/>
      <c r="FA54" s="3791"/>
      <c r="FB54" s="3791"/>
      <c r="FC54" s="3791"/>
      <c r="FD54" s="3868"/>
      <c r="FE54" s="3868"/>
      <c r="FM54" s="4161"/>
      <c r="FN54" s="4161"/>
      <c r="FO54" s="3791"/>
      <c r="FP54" s="3791"/>
      <c r="FQ54" s="3791"/>
      <c r="FR54" s="3791"/>
      <c r="FS54" s="3791"/>
      <c r="FT54" s="3791"/>
      <c r="FU54" s="3791"/>
      <c r="FV54" s="3791"/>
    </row>
    <row r="55" spans="1:178" ht="12.75" hidden="1" customHeight="1" x14ac:dyDescent="0.2">
      <c r="A55" s="6033"/>
      <c r="B55" s="2629"/>
      <c r="C55" s="2629"/>
      <c r="D55" s="2629"/>
      <c r="E55" s="2629"/>
      <c r="F55" s="2629"/>
      <c r="G55" s="2629"/>
      <c r="H55" s="2629"/>
      <c r="I55" s="6030"/>
      <c r="J55" s="6033"/>
      <c r="K55" s="6033"/>
      <c r="L55" s="2629" t="s">
        <v>44</v>
      </c>
      <c r="M55" s="2170"/>
      <c r="N55" s="2629" t="s">
        <v>45</v>
      </c>
      <c r="O55" s="2631" t="s">
        <v>44</v>
      </c>
      <c r="P55" s="2631" t="s">
        <v>45</v>
      </c>
      <c r="Q55" s="2631" t="s">
        <v>44</v>
      </c>
      <c r="R55" s="2631" t="s">
        <v>45</v>
      </c>
      <c r="S55" s="2631"/>
      <c r="T55" s="2631"/>
      <c r="U55" s="2631" t="s">
        <v>44</v>
      </c>
      <c r="V55" s="2631" t="s">
        <v>45</v>
      </c>
      <c r="W55" s="2631" t="s">
        <v>44</v>
      </c>
      <c r="X55" s="2631" t="s">
        <v>45</v>
      </c>
      <c r="Y55" s="2629" t="s">
        <v>44</v>
      </c>
      <c r="Z55" s="2629" t="s">
        <v>45</v>
      </c>
      <c r="AA55" s="2629" t="s">
        <v>44</v>
      </c>
      <c r="AB55" s="2629" t="s">
        <v>45</v>
      </c>
      <c r="AC55" s="2629" t="s">
        <v>44</v>
      </c>
      <c r="AD55" s="2629" t="s">
        <v>45</v>
      </c>
      <c r="AE55" s="2629" t="s">
        <v>44</v>
      </c>
      <c r="AF55" s="2629" t="s">
        <v>45</v>
      </c>
      <c r="AG55" s="2629" t="s">
        <v>44</v>
      </c>
      <c r="AH55" s="2629" t="s">
        <v>45</v>
      </c>
      <c r="AI55" s="2629" t="s">
        <v>44</v>
      </c>
      <c r="AJ55" s="2629" t="s">
        <v>45</v>
      </c>
      <c r="AK55" s="2629" t="s">
        <v>1452</v>
      </c>
      <c r="AL55" s="2629" t="s">
        <v>44</v>
      </c>
      <c r="AM55" s="2629" t="s">
        <v>45</v>
      </c>
      <c r="AN55" s="2629"/>
      <c r="AO55" s="2175"/>
      <c r="AP55" s="2629"/>
      <c r="AQ55" s="2174"/>
      <c r="AR55" s="2174"/>
      <c r="AS55" s="2174"/>
      <c r="AT55" s="2174"/>
      <c r="AU55" s="2174"/>
      <c r="AV55" s="2174"/>
      <c r="AW55" s="2174"/>
      <c r="AX55" s="2174"/>
      <c r="AY55" s="2174"/>
      <c r="AZ55" s="2174"/>
      <c r="BA55" s="2174"/>
      <c r="BB55" s="2174"/>
      <c r="BC55" s="2174"/>
      <c r="BD55" s="2174"/>
      <c r="BE55" s="2174"/>
      <c r="BF55" s="2174"/>
      <c r="BG55" s="2174"/>
      <c r="BH55" s="2174"/>
      <c r="BI55" s="2174"/>
      <c r="BJ55" s="2174"/>
      <c r="BK55" s="2174"/>
      <c r="BL55" s="2174"/>
      <c r="BM55" s="2174"/>
      <c r="BN55" s="2174"/>
      <c r="BO55" s="2174"/>
      <c r="BP55" s="2174"/>
      <c r="BQ55" s="2174"/>
      <c r="BR55" s="2174"/>
      <c r="BS55" s="2174"/>
      <c r="BT55" s="2174"/>
      <c r="BU55" s="2174"/>
      <c r="BV55" s="2174"/>
      <c r="BW55" s="2724"/>
      <c r="BX55" s="2724"/>
      <c r="BY55" s="2724"/>
      <c r="BZ55" s="2724"/>
      <c r="CA55" s="2724"/>
      <c r="CB55" s="2175"/>
      <c r="CC55" s="2175"/>
      <c r="CD55" s="2175"/>
      <c r="CE55" s="2175"/>
      <c r="CF55" s="2175"/>
      <c r="CG55" s="2175"/>
      <c r="CH55" s="2175"/>
      <c r="CI55" s="2174"/>
      <c r="CJ55" s="2174"/>
      <c r="CK55" s="2174"/>
      <c r="CL55" s="2174"/>
      <c r="CM55" s="2174"/>
      <c r="CN55" s="2174"/>
      <c r="CO55" s="2174"/>
      <c r="CP55" s="2174"/>
      <c r="CQ55" s="2174"/>
      <c r="CR55" s="2174"/>
      <c r="CS55" s="2174"/>
      <c r="CT55" s="2174"/>
      <c r="CU55" s="2174"/>
      <c r="CV55" s="2174"/>
      <c r="CW55" s="2638"/>
      <c r="CX55" s="2638"/>
      <c r="CY55" s="2638"/>
      <c r="CZ55" s="2638"/>
      <c r="DA55" s="2638"/>
      <c r="DB55" s="2638"/>
      <c r="DC55" s="2638"/>
      <c r="DD55" s="2638"/>
      <c r="DE55" s="2638"/>
      <c r="DF55" s="2638"/>
      <c r="DG55" s="2638"/>
      <c r="DH55" s="2638"/>
      <c r="DI55" s="2638"/>
      <c r="DJ55" s="2638"/>
      <c r="DK55" s="2638"/>
      <c r="DL55" s="2638"/>
      <c r="DM55" s="2638"/>
      <c r="DN55" s="2638"/>
      <c r="DO55" s="2638"/>
      <c r="DP55" s="2638"/>
      <c r="DQ55" s="2638"/>
      <c r="DR55" s="2638"/>
      <c r="DS55" s="2638"/>
      <c r="DT55" s="3568"/>
      <c r="DU55" s="3568"/>
      <c r="DV55" s="3568"/>
      <c r="DW55" s="3568"/>
      <c r="DX55" s="3568"/>
      <c r="DY55" s="3568"/>
      <c r="DZ55" s="3568"/>
      <c r="EA55" s="3568"/>
      <c r="EB55" s="3568"/>
      <c r="EC55" s="3568"/>
      <c r="ED55" s="3568"/>
      <c r="EE55" s="3568"/>
      <c r="EF55" s="3568"/>
      <c r="EG55" s="3568"/>
      <c r="EH55" s="3568"/>
      <c r="EI55" s="3568"/>
      <c r="EJ55" s="2638"/>
      <c r="EK55" s="3792"/>
      <c r="EL55" s="3791"/>
      <c r="EM55" s="3791"/>
      <c r="EN55" s="3791"/>
      <c r="EO55" s="3791"/>
      <c r="EP55" s="3791"/>
      <c r="EQ55" s="3791"/>
      <c r="ER55" s="3791"/>
      <c r="ES55" s="3791"/>
      <c r="ET55" s="3791"/>
      <c r="EU55" s="3791"/>
      <c r="EV55" s="3791"/>
      <c r="EW55" s="3791"/>
      <c r="EX55" s="3791"/>
      <c r="EY55" s="3791"/>
      <c r="EZ55" s="3791"/>
      <c r="FA55" s="3791"/>
      <c r="FB55" s="3791"/>
      <c r="FC55" s="3791"/>
      <c r="FD55" s="3868"/>
      <c r="FE55" s="3868"/>
      <c r="FM55" s="4161"/>
      <c r="FN55" s="4161"/>
      <c r="FO55" s="3791"/>
      <c r="FP55" s="3791"/>
      <c r="FQ55" s="3791"/>
      <c r="FR55" s="3791"/>
      <c r="FS55" s="3791"/>
      <c r="FT55" s="3791"/>
      <c r="FU55" s="3791"/>
      <c r="FV55" s="3791"/>
    </row>
    <row r="56" spans="1:178" ht="15" hidden="1" customHeight="1" x14ac:dyDescent="0.2">
      <c r="A56" s="2170" t="s">
        <v>46</v>
      </c>
      <c r="B56" s="2140">
        <f>C56/C60*100</f>
        <v>54.85172394199018</v>
      </c>
      <c r="C56" s="2140">
        <v>8687.7999999999993</v>
      </c>
      <c r="D56" s="2140">
        <v>55.3</v>
      </c>
      <c r="E56" s="2141">
        <v>9716.4</v>
      </c>
      <c r="F56" s="2141">
        <v>56.36</v>
      </c>
      <c r="G56" s="2141">
        <v>10985.6</v>
      </c>
      <c r="H56" s="2140">
        <f>G56/G60*100</f>
        <v>57.791572413067485</v>
      </c>
      <c r="I56" s="2141">
        <v>10819.5</v>
      </c>
      <c r="J56" s="2141">
        <v>8579.1</v>
      </c>
      <c r="K56" s="2140"/>
      <c r="L56" s="2176">
        <f>N56/N60</f>
        <v>0.57561885222326603</v>
      </c>
      <c r="M56" s="2141"/>
      <c r="N56" s="2141">
        <v>12008.1</v>
      </c>
      <c r="O56" s="2177">
        <v>58</v>
      </c>
      <c r="P56" s="2141">
        <f>P60*O56/100</f>
        <v>11767.842163354666</v>
      </c>
      <c r="Q56" s="2178">
        <f>R56/R60</f>
        <v>0.57097906730259662</v>
      </c>
      <c r="R56" s="2141">
        <v>6895.6</v>
      </c>
      <c r="S56" s="2141"/>
      <c r="T56" s="2141"/>
      <c r="U56" s="2176">
        <f>V56/V60</f>
        <v>0.57999859604497617</v>
      </c>
      <c r="V56" s="2141">
        <v>14046</v>
      </c>
      <c r="W56" s="2179">
        <f>X56/X60</f>
        <v>0.56516134296087783</v>
      </c>
      <c r="X56" s="2141">
        <v>13853.8</v>
      </c>
      <c r="Y56" s="2180">
        <f>Q56</f>
        <v>0.57097906730259662</v>
      </c>
      <c r="Z56" s="2141">
        <f>Y56*Z60</f>
        <v>12028.195370042029</v>
      </c>
      <c r="AA56" s="2147">
        <f>SUM(AB56/Y49)</f>
        <v>0.58919301776456701</v>
      </c>
      <c r="AB56" s="2141">
        <v>6979.28</v>
      </c>
      <c r="AC56" s="2181">
        <f>SUM(AD56/AD60)</f>
        <v>0.59696430199661255</v>
      </c>
      <c r="AD56" s="2182">
        <v>14207.04</v>
      </c>
      <c r="AE56" s="2181">
        <f>AF56/AF60</f>
        <v>0.5919991804620871</v>
      </c>
      <c r="AF56" s="2141">
        <v>14678.3</v>
      </c>
      <c r="AG56" s="2179">
        <f>AE56</f>
        <v>0.5919991804620871</v>
      </c>
      <c r="AH56" s="2141">
        <f>SUM(AD49)</f>
        <v>13073.01213648671</v>
      </c>
      <c r="AI56" s="2181">
        <v>0.59599999999999997</v>
      </c>
      <c r="AJ56" s="2141">
        <f>SUM(AK49)</f>
        <v>16411.197163297664</v>
      </c>
      <c r="AK56" s="2141">
        <f>ЗП!BO24</f>
        <v>47999.930000000008</v>
      </c>
      <c r="AL56" s="2179">
        <f>AK56/AK60</f>
        <v>0.54415498291281705</v>
      </c>
      <c r="AM56" s="2141">
        <f>AL56*AO49</f>
        <v>12920.436570139205</v>
      </c>
      <c r="AN56" s="2141"/>
      <c r="AO56" s="2183"/>
      <c r="AP56" s="2141"/>
      <c r="AQ56" s="2184"/>
      <c r="AR56" s="2184"/>
      <c r="AS56" s="2184"/>
      <c r="AT56" s="2184"/>
      <c r="AU56" s="2184"/>
      <c r="AV56" s="2184"/>
      <c r="AW56" s="2184"/>
      <c r="AX56" s="2184"/>
      <c r="AY56" s="2184"/>
      <c r="AZ56" s="2184"/>
      <c r="BA56" s="2184"/>
      <c r="BB56" s="2184"/>
      <c r="BC56" s="2184"/>
      <c r="BD56" s="2184"/>
      <c r="BE56" s="2184"/>
      <c r="BF56" s="2184"/>
      <c r="BG56" s="2184"/>
      <c r="BH56" s="2184"/>
      <c r="BI56" s="2184"/>
      <c r="BJ56" s="2184"/>
      <c r="BK56" s="2184"/>
      <c r="BL56" s="2184"/>
      <c r="BM56" s="2184"/>
      <c r="BN56" s="2184"/>
      <c r="BO56" s="2184"/>
      <c r="BP56" s="2184"/>
      <c r="BQ56" s="2184"/>
      <c r="BR56" s="2184"/>
      <c r="BS56" s="2184"/>
      <c r="BT56" s="2184"/>
      <c r="BU56" s="2184"/>
      <c r="BV56" s="2184"/>
      <c r="BW56" s="2725"/>
      <c r="BX56" s="2725"/>
      <c r="BY56" s="2725"/>
      <c r="BZ56" s="2725"/>
      <c r="CA56" s="2725"/>
      <c r="CB56" s="2567"/>
      <c r="CC56" s="2567"/>
      <c r="CD56" s="2567"/>
      <c r="CE56" s="2567"/>
      <c r="CF56" s="2567"/>
      <c r="CG56" s="2567"/>
      <c r="CH56" s="2567"/>
      <c r="CI56" s="2184"/>
      <c r="CJ56" s="2184"/>
      <c r="CK56" s="2184"/>
      <c r="CL56" s="2184"/>
      <c r="CM56" s="2184"/>
      <c r="CN56" s="2184"/>
      <c r="CO56" s="2184"/>
      <c r="CP56" s="2184"/>
      <c r="CQ56" s="2184"/>
      <c r="CR56" s="2184"/>
      <c r="CS56" s="2184"/>
      <c r="CT56" s="2184"/>
      <c r="CU56" s="2184"/>
      <c r="CV56" s="2184"/>
      <c r="CW56" s="2639"/>
      <c r="CX56" s="2639"/>
      <c r="CY56" s="2639"/>
      <c r="CZ56" s="2639"/>
      <c r="DA56" s="2639"/>
      <c r="DB56" s="2639"/>
      <c r="DC56" s="2639"/>
      <c r="DD56" s="2639"/>
      <c r="DE56" s="2639"/>
      <c r="DF56" s="2639"/>
      <c r="DG56" s="2639"/>
      <c r="DH56" s="2639"/>
      <c r="DI56" s="2639"/>
      <c r="DJ56" s="2639"/>
      <c r="DK56" s="2639"/>
      <c r="DL56" s="2639"/>
      <c r="DM56" s="2639"/>
      <c r="DN56" s="2639"/>
      <c r="DO56" s="2639"/>
      <c r="DP56" s="2639"/>
      <c r="DQ56" s="2639"/>
      <c r="DR56" s="2639"/>
      <c r="DS56" s="2639"/>
      <c r="DT56" s="3569"/>
      <c r="DU56" s="3569"/>
      <c r="DV56" s="3569"/>
      <c r="DW56" s="3569"/>
      <c r="DX56" s="3569"/>
      <c r="DY56" s="3569"/>
      <c r="DZ56" s="3569"/>
      <c r="EA56" s="3569"/>
      <c r="EB56" s="3569"/>
      <c r="EC56" s="3569"/>
      <c r="ED56" s="3569"/>
      <c r="EE56" s="3569"/>
      <c r="EF56" s="3569"/>
      <c r="EG56" s="3569"/>
      <c r="EH56" s="3569"/>
      <c r="EI56" s="3569"/>
      <c r="EJ56" s="2639"/>
      <c r="EK56" s="3792"/>
      <c r="EL56" s="3791"/>
      <c r="EM56" s="3791"/>
      <c r="EN56" s="3791"/>
      <c r="EO56" s="3791"/>
      <c r="EP56" s="3791"/>
      <c r="EQ56" s="3791"/>
      <c r="ER56" s="3791"/>
      <c r="ES56" s="3791"/>
      <c r="ET56" s="3791"/>
      <c r="EU56" s="3791"/>
      <c r="EV56" s="3791"/>
      <c r="EW56" s="3791"/>
      <c r="EX56" s="3791"/>
      <c r="EY56" s="3791"/>
      <c r="EZ56" s="3791"/>
      <c r="FA56" s="3791"/>
      <c r="FB56" s="3791"/>
      <c r="FC56" s="3791"/>
      <c r="FD56" s="3868"/>
      <c r="FE56" s="3868"/>
      <c r="FM56" s="4161"/>
      <c r="FN56" s="4161"/>
      <c r="FO56" s="3791"/>
      <c r="FP56" s="3791"/>
      <c r="FQ56" s="3791"/>
      <c r="FR56" s="3791"/>
      <c r="FS56" s="3791"/>
      <c r="FT56" s="3791"/>
      <c r="FU56" s="3791"/>
      <c r="FV56" s="3791"/>
    </row>
    <row r="57" spans="1:178" ht="15" hidden="1" customHeight="1" x14ac:dyDescent="0.2">
      <c r="A57" s="2170" t="s">
        <v>47</v>
      </c>
      <c r="B57" s="2140">
        <f>C57/C60*100</f>
        <v>41.456685207750631</v>
      </c>
      <c r="C57" s="2140">
        <v>6566.2</v>
      </c>
      <c r="D57" s="2140">
        <v>41.2</v>
      </c>
      <c r="E57" s="2141">
        <v>7171.8</v>
      </c>
      <c r="F57" s="2141">
        <v>41.6</v>
      </c>
      <c r="G57" s="2141">
        <v>7614.1</v>
      </c>
      <c r="H57" s="2140">
        <f>G57/G60*100</f>
        <v>40.055236993003305</v>
      </c>
      <c r="I57" s="2141">
        <v>7986</v>
      </c>
      <c r="J57" s="2141">
        <v>6062.9</v>
      </c>
      <c r="K57" s="2140"/>
      <c r="L57" s="2178">
        <f>N57/N60</f>
        <v>0.40499587751423688</v>
      </c>
      <c r="M57" s="2141"/>
      <c r="N57" s="2141">
        <v>8448.7000000000007</v>
      </c>
      <c r="O57" s="2177">
        <v>40</v>
      </c>
      <c r="P57" s="2141">
        <f>P60*O57/100</f>
        <v>8115.7532161066656</v>
      </c>
      <c r="Q57" s="2178">
        <f>R57/R60</f>
        <v>0.40555445151033376</v>
      </c>
      <c r="R57" s="2141">
        <v>4897.8</v>
      </c>
      <c r="S57" s="2141"/>
      <c r="T57" s="2141"/>
      <c r="U57" s="2176">
        <f>V57/V60</f>
        <v>0.39999917414410358</v>
      </c>
      <c r="V57" s="2141">
        <v>9686.9</v>
      </c>
      <c r="W57" s="2179">
        <f>X57/X60</f>
        <v>0.40896667074613469</v>
      </c>
      <c r="X57" s="2141">
        <v>10025</v>
      </c>
      <c r="Y57" s="2180">
        <f>Q57</f>
        <v>0.40555445151033376</v>
      </c>
      <c r="Z57" s="2141">
        <f>Y57*Z60</f>
        <v>8543.374801814467</v>
      </c>
      <c r="AA57" s="2147">
        <f>SUM(AB57/Y49)</f>
        <v>0.40432941144688828</v>
      </c>
      <c r="AB57" s="2141">
        <v>4789.4799999999996</v>
      </c>
      <c r="AC57" s="2181">
        <f>SUM(AD57/AD60)</f>
        <v>0.40303569800338762</v>
      </c>
      <c r="AD57" s="2182">
        <v>9591.77</v>
      </c>
      <c r="AE57" s="2181">
        <f>AF57/AF60</f>
        <v>0.40000064530544321</v>
      </c>
      <c r="AF57" s="2141">
        <v>9917.7999999999993</v>
      </c>
      <c r="AG57" s="2179">
        <f>AE57</f>
        <v>0.40000064530544321</v>
      </c>
      <c r="AH57" s="2141">
        <f>SUM(AE49)</f>
        <v>8833.3841337506801</v>
      </c>
      <c r="AI57" s="2181">
        <v>0.40400000000000003</v>
      </c>
      <c r="AJ57" s="2141">
        <f>SUM(AL49)</f>
        <v>11124.368546933318</v>
      </c>
      <c r="AK57" s="2141">
        <f>ЗП!BO31</f>
        <v>39734.75</v>
      </c>
      <c r="AL57" s="2179">
        <f>AK57/AK60</f>
        <v>0.45045611956715464</v>
      </c>
      <c r="AM57" s="2141">
        <f>AL57*AO49</f>
        <v>10695.647202096725</v>
      </c>
      <c r="AN57" s="2141"/>
      <c r="AO57" s="2183"/>
      <c r="AP57" s="2141"/>
      <c r="AQ57" s="2184"/>
      <c r="AR57" s="2184"/>
      <c r="AS57" s="2184"/>
      <c r="AT57" s="2184"/>
      <c r="AU57" s="2184"/>
      <c r="AV57" s="2184"/>
      <c r="AW57" s="2184"/>
      <c r="AX57" s="2184"/>
      <c r="AY57" s="2184"/>
      <c r="AZ57" s="2184"/>
      <c r="BA57" s="2184"/>
      <c r="BB57" s="2184"/>
      <c r="BC57" s="2184"/>
      <c r="BD57" s="2184"/>
      <c r="BE57" s="2184"/>
      <c r="BF57" s="2184"/>
      <c r="BG57" s="2184"/>
      <c r="BH57" s="2184"/>
      <c r="BI57" s="2184"/>
      <c r="BJ57" s="2184"/>
      <c r="BK57" s="2184"/>
      <c r="BL57" s="2184"/>
      <c r="BM57" s="2184"/>
      <c r="BN57" s="2184"/>
      <c r="BO57" s="2184"/>
      <c r="BP57" s="2184"/>
      <c r="BQ57" s="2184"/>
      <c r="BR57" s="2184"/>
      <c r="BS57" s="2184"/>
      <c r="BT57" s="2184"/>
      <c r="BU57" s="2184"/>
      <c r="BV57" s="2184"/>
      <c r="BW57" s="2725"/>
      <c r="BX57" s="2725"/>
      <c r="BY57" s="2725"/>
      <c r="BZ57" s="2725"/>
      <c r="CA57" s="2725"/>
      <c r="CB57" s="2567"/>
      <c r="CC57" s="2567"/>
      <c r="CD57" s="2567"/>
      <c r="CE57" s="2567"/>
      <c r="CF57" s="2567"/>
      <c r="CG57" s="2567"/>
      <c r="CH57" s="2567"/>
      <c r="CI57" s="2184"/>
      <c r="CJ57" s="2184"/>
      <c r="CK57" s="2184"/>
      <c r="CL57" s="2184"/>
      <c r="CM57" s="2184"/>
      <c r="CN57" s="2184"/>
      <c r="CO57" s="2184"/>
      <c r="CP57" s="2184"/>
      <c r="CQ57" s="2184"/>
      <c r="CR57" s="2184"/>
      <c r="CS57" s="2184"/>
      <c r="CT57" s="2184"/>
      <c r="CU57" s="2184"/>
      <c r="CV57" s="2184"/>
      <c r="CW57" s="2639"/>
      <c r="CX57" s="2639"/>
      <c r="CY57" s="2639"/>
      <c r="CZ57" s="2639"/>
      <c r="DA57" s="2639"/>
      <c r="DB57" s="2639"/>
      <c r="DC57" s="2639"/>
      <c r="DD57" s="2639"/>
      <c r="DE57" s="2639"/>
      <c r="DF57" s="2639"/>
      <c r="DG57" s="2639"/>
      <c r="DH57" s="2639"/>
      <c r="DI57" s="2639"/>
      <c r="DJ57" s="2639"/>
      <c r="DK57" s="2639"/>
      <c r="DL57" s="2639"/>
      <c r="DM57" s="2639"/>
      <c r="DN57" s="2639"/>
      <c r="DO57" s="2639"/>
      <c r="DP57" s="2639"/>
      <c r="DQ57" s="2639"/>
      <c r="DR57" s="2639"/>
      <c r="DS57" s="2639"/>
      <c r="DT57" s="3569"/>
      <c r="DU57" s="3569"/>
      <c r="DV57" s="3569"/>
      <c r="DW57" s="3569"/>
      <c r="DX57" s="3569"/>
      <c r="DY57" s="3569"/>
      <c r="DZ57" s="3569"/>
      <c r="EA57" s="3569"/>
      <c r="EB57" s="3569"/>
      <c r="EC57" s="3569"/>
      <c r="ED57" s="3569"/>
      <c r="EE57" s="3569"/>
      <c r="EF57" s="3569"/>
      <c r="EG57" s="3569"/>
      <c r="EH57" s="3569"/>
      <c r="EI57" s="3569"/>
      <c r="EJ57" s="2639"/>
      <c r="EK57" s="3792"/>
      <c r="EL57" s="3791"/>
      <c r="EM57" s="3791"/>
      <c r="EN57" s="3791"/>
      <c r="EO57" s="3791"/>
      <c r="EP57" s="3791"/>
      <c r="EQ57" s="3791"/>
      <c r="ER57" s="3791"/>
      <c r="ES57" s="3791"/>
      <c r="ET57" s="3791"/>
      <c r="EU57" s="3791"/>
      <c r="EV57" s="3791"/>
      <c r="EW57" s="3791"/>
      <c r="EX57" s="3791"/>
      <c r="EY57" s="3791"/>
      <c r="EZ57" s="3791"/>
      <c r="FA57" s="3791"/>
      <c r="FB57" s="3791"/>
      <c r="FC57" s="3791"/>
      <c r="FD57" s="3868"/>
      <c r="FE57" s="3868"/>
      <c r="FM57" s="4161"/>
      <c r="FN57" s="4161"/>
      <c r="FO57" s="3791"/>
      <c r="FP57" s="3791"/>
      <c r="FQ57" s="3791"/>
      <c r="FR57" s="3791"/>
      <c r="FS57" s="3791"/>
      <c r="FT57" s="3791"/>
      <c r="FU57" s="3791"/>
      <c r="FV57" s="3791"/>
    </row>
    <row r="58" spans="1:178" s="180" customFormat="1" ht="15" hidden="1" customHeight="1" x14ac:dyDescent="0.2">
      <c r="A58" s="2185" t="s">
        <v>48</v>
      </c>
      <c r="B58" s="2186">
        <f>C58/C60*100</f>
        <v>1.9540745136911488</v>
      </c>
      <c r="C58" s="2186">
        <v>309.5</v>
      </c>
      <c r="D58" s="2187">
        <v>0.9</v>
      </c>
      <c r="E58" s="2151">
        <v>351.7</v>
      </c>
      <c r="F58" s="2151">
        <v>2.04</v>
      </c>
      <c r="G58" s="2151">
        <v>405.9</v>
      </c>
      <c r="H58" s="2187">
        <f>G58/G60*100</f>
        <v>2.1353043295281178</v>
      </c>
      <c r="I58" s="2141">
        <v>299.53499999999997</v>
      </c>
      <c r="J58" s="2151">
        <v>266.10000000000002</v>
      </c>
      <c r="K58" s="2187"/>
      <c r="L58" s="2188">
        <f>N58/N60</f>
        <v>1.9385270262496878E-2</v>
      </c>
      <c r="M58" s="2151"/>
      <c r="N58" s="2141">
        <v>404.4</v>
      </c>
      <c r="O58" s="2141">
        <v>2</v>
      </c>
      <c r="P58" s="2141">
        <f>O58*P60/100</f>
        <v>405.7876608053333</v>
      </c>
      <c r="Q58" s="2147">
        <f>R58/R60</f>
        <v>1.9599562798092204E-2</v>
      </c>
      <c r="R58" s="2141">
        <v>236.7</v>
      </c>
      <c r="S58" s="2176">
        <v>0.02</v>
      </c>
      <c r="T58" s="2141">
        <v>357.5</v>
      </c>
      <c r="U58" s="2141">
        <f>V58/V60</f>
        <v>1.999810053143827E-2</v>
      </c>
      <c r="V58" s="2141">
        <v>484.3</v>
      </c>
      <c r="W58" s="2179">
        <f>X58/X60</f>
        <v>2.0062823807775465E-2</v>
      </c>
      <c r="X58" s="2141">
        <v>491.8</v>
      </c>
      <c r="Y58" s="2180">
        <f>S58</f>
        <v>0.02</v>
      </c>
      <c r="Z58" s="2141">
        <f>Y58*Z60</f>
        <v>421.31826047022332</v>
      </c>
      <c r="AA58" s="2147"/>
      <c r="AB58" s="2141"/>
      <c r="AC58" s="2181"/>
      <c r="AD58" s="2182"/>
      <c r="AE58" s="2181">
        <v>0</v>
      </c>
      <c r="AF58" s="2141">
        <v>0</v>
      </c>
      <c r="AG58" s="2179">
        <f>AC58</f>
        <v>0</v>
      </c>
      <c r="AH58" s="2141">
        <v>0</v>
      </c>
      <c r="AI58" s="2181">
        <v>0</v>
      </c>
      <c r="AJ58" s="2141">
        <v>0</v>
      </c>
      <c r="AK58" s="2141">
        <v>0</v>
      </c>
      <c r="AL58" s="2179">
        <f>AG58</f>
        <v>0</v>
      </c>
      <c r="AM58" s="2141"/>
      <c r="AN58" s="2141"/>
      <c r="AO58" s="2183"/>
      <c r="AP58" s="2141"/>
      <c r="AQ58" s="2189"/>
      <c r="AR58" s="2189"/>
      <c r="AS58" s="2189"/>
      <c r="AT58" s="2189"/>
      <c r="AU58" s="2189"/>
      <c r="AV58" s="2189"/>
      <c r="AW58" s="2189"/>
      <c r="AX58" s="2189"/>
      <c r="AY58" s="2189"/>
      <c r="AZ58" s="2189"/>
      <c r="BA58" s="2189"/>
      <c r="BB58" s="2189"/>
      <c r="BC58" s="2189"/>
      <c r="BD58" s="2189"/>
      <c r="BE58" s="2189"/>
      <c r="BF58" s="2189"/>
      <c r="BG58" s="2189"/>
      <c r="BH58" s="2189"/>
      <c r="BI58" s="2189"/>
      <c r="BJ58" s="2189"/>
      <c r="BK58" s="2189"/>
      <c r="BL58" s="2189"/>
      <c r="BM58" s="2189"/>
      <c r="BN58" s="2189"/>
      <c r="BO58" s="2189"/>
      <c r="BP58" s="2189"/>
      <c r="BQ58" s="2189"/>
      <c r="BR58" s="2189"/>
      <c r="BS58" s="2189"/>
      <c r="BT58" s="2189"/>
      <c r="BU58" s="2189"/>
      <c r="BV58" s="2189"/>
      <c r="BW58" s="2726"/>
      <c r="BX58" s="2726"/>
      <c r="BY58" s="2726"/>
      <c r="BZ58" s="2726"/>
      <c r="CA58" s="2726"/>
      <c r="CB58" s="2568"/>
      <c r="CC58" s="2568"/>
      <c r="CD58" s="2568"/>
      <c r="CE58" s="2568"/>
      <c r="CF58" s="2568"/>
      <c r="CG58" s="2568"/>
      <c r="CH58" s="2568"/>
      <c r="CI58" s="2189"/>
      <c r="CJ58" s="2189"/>
      <c r="CK58" s="2189"/>
      <c r="CL58" s="2189"/>
      <c r="CM58" s="2189"/>
      <c r="CN58" s="2189"/>
      <c r="CO58" s="2189"/>
      <c r="CP58" s="2189"/>
      <c r="CQ58" s="2189"/>
      <c r="CR58" s="2189"/>
      <c r="CS58" s="2189"/>
      <c r="CT58" s="2189"/>
      <c r="CU58" s="2189"/>
      <c r="CV58" s="2189"/>
      <c r="CW58" s="2640"/>
      <c r="CX58" s="2640"/>
      <c r="CY58" s="2640"/>
      <c r="CZ58" s="2640"/>
      <c r="DA58" s="2640"/>
      <c r="DB58" s="2640"/>
      <c r="DC58" s="2640"/>
      <c r="DD58" s="2640"/>
      <c r="DE58" s="2640"/>
      <c r="DF58" s="2640"/>
      <c r="DG58" s="2640"/>
      <c r="DH58" s="2640"/>
      <c r="DI58" s="2640"/>
      <c r="DJ58" s="2640"/>
      <c r="DK58" s="2640"/>
      <c r="DL58" s="2640"/>
      <c r="DM58" s="2640"/>
      <c r="DN58" s="2640"/>
      <c r="DO58" s="2640"/>
      <c r="DP58" s="2640"/>
      <c r="DQ58" s="2640"/>
      <c r="DR58" s="2640"/>
      <c r="DS58" s="2640"/>
      <c r="DT58" s="3570"/>
      <c r="DU58" s="3570"/>
      <c r="DV58" s="3570"/>
      <c r="DW58" s="3570"/>
      <c r="DX58" s="3570"/>
      <c r="DY58" s="3570"/>
      <c r="DZ58" s="3570"/>
      <c r="EA58" s="3570"/>
      <c r="EB58" s="3570"/>
      <c r="EC58" s="3570"/>
      <c r="ED58" s="3570"/>
      <c r="EE58" s="3570"/>
      <c r="EF58" s="3570"/>
      <c r="EG58" s="3570"/>
      <c r="EH58" s="3570"/>
      <c r="EI58" s="3570"/>
      <c r="EJ58" s="2640"/>
      <c r="EK58" s="3793"/>
      <c r="EL58" s="3794"/>
      <c r="EM58" s="3794"/>
      <c r="EN58" s="3794"/>
      <c r="EO58" s="3794"/>
      <c r="EP58" s="3794"/>
      <c r="EQ58" s="3794"/>
      <c r="ER58" s="3794"/>
      <c r="ES58" s="3794"/>
      <c r="ET58" s="3794"/>
      <c r="EU58" s="3794"/>
      <c r="EV58" s="3794"/>
      <c r="EW58" s="3794"/>
      <c r="EX58" s="3794"/>
      <c r="EY58" s="3794"/>
      <c r="EZ58" s="3794"/>
      <c r="FA58" s="3794"/>
      <c r="FB58" s="3794"/>
      <c r="FC58" s="3794"/>
      <c r="FD58" s="3869"/>
      <c r="FE58" s="3869"/>
      <c r="FO58" s="3794"/>
      <c r="FP58" s="3794"/>
      <c r="FQ58" s="3794"/>
      <c r="FR58" s="3794"/>
      <c r="FS58" s="3794"/>
      <c r="FT58" s="3794"/>
      <c r="FU58" s="3794"/>
      <c r="FV58" s="3794"/>
    </row>
    <row r="59" spans="1:178" ht="15" hidden="1" customHeight="1" x14ac:dyDescent="0.2">
      <c r="A59" s="2170" t="s">
        <v>78</v>
      </c>
      <c r="B59" s="2142">
        <f>C59/C60*100</f>
        <v>1.7375163365680262</v>
      </c>
      <c r="C59" s="2142">
        <v>275.2</v>
      </c>
      <c r="D59" s="2140">
        <v>2.6</v>
      </c>
      <c r="E59" s="2141"/>
      <c r="F59" s="2141"/>
      <c r="G59" s="2141">
        <v>3.4</v>
      </c>
      <c r="H59" s="2142">
        <f>G59/G60*100</f>
        <v>1.788626440107317E-2</v>
      </c>
      <c r="I59" s="2141"/>
      <c r="J59" s="2190"/>
      <c r="K59" s="2629"/>
      <c r="L59" s="2629"/>
      <c r="M59" s="2629"/>
      <c r="N59" s="2170"/>
      <c r="O59" s="2170"/>
      <c r="P59" s="2170"/>
      <c r="Q59" s="2147">
        <f>R59/R60</f>
        <v>3.866918388977212E-3</v>
      </c>
      <c r="R59" s="2141">
        <v>46.7</v>
      </c>
      <c r="S59" s="2141"/>
      <c r="T59" s="2141"/>
      <c r="U59" s="2170"/>
      <c r="V59" s="2141"/>
      <c r="W59" s="2179">
        <f>X59/X60</f>
        <v>5.8091624852119285E-3</v>
      </c>
      <c r="X59" s="2141">
        <v>142.4</v>
      </c>
      <c r="Y59" s="2180">
        <f>Q59</f>
        <v>3.866918388977212E-3</v>
      </c>
      <c r="Z59" s="2141">
        <f>Y59*Z60</f>
        <v>81.460166451209872</v>
      </c>
      <c r="AA59" s="2147">
        <f>SUM(AB59/Y49)</f>
        <v>6.4801033980021105E-3</v>
      </c>
      <c r="AB59" s="2141">
        <v>76.760000000000005</v>
      </c>
      <c r="AC59" s="2181"/>
      <c r="AD59" s="2182"/>
      <c r="AE59" s="2181">
        <f>AF59/AF60</f>
        <v>8.0001742324696742E-3</v>
      </c>
      <c r="AF59" s="2141">
        <v>198.36</v>
      </c>
      <c r="AG59" s="2179">
        <f>AE59</f>
        <v>8.0001742324696742E-3</v>
      </c>
      <c r="AH59" s="2141">
        <f>AC49*AG59</f>
        <v>176.66988838026091</v>
      </c>
      <c r="AI59" s="2181">
        <v>0</v>
      </c>
      <c r="AJ59" s="2141">
        <v>0</v>
      </c>
      <c r="AK59" s="2141">
        <f>414.81*1.067*1.074</f>
        <v>475.35483798000001</v>
      </c>
      <c r="AL59" s="2179">
        <f>AK59/AK60</f>
        <v>5.3888975200282949E-3</v>
      </c>
      <c r="AM59" s="2141">
        <f>AL59*AO49</f>
        <v>127.95418727546867</v>
      </c>
      <c r="AN59" s="2141"/>
      <c r="AO59" s="2183"/>
      <c r="AP59" s="2141"/>
      <c r="AQ59" s="2172"/>
      <c r="AR59" s="2172"/>
      <c r="AS59" s="2172"/>
      <c r="AT59" s="2172"/>
      <c r="AU59" s="2172"/>
      <c r="AV59" s="2172"/>
      <c r="AW59" s="2172"/>
      <c r="AX59" s="2172"/>
      <c r="AY59" s="2172"/>
      <c r="AZ59" s="2172"/>
      <c r="BA59" s="2172"/>
      <c r="BB59" s="2172"/>
      <c r="BC59" s="2172"/>
      <c r="BD59" s="2172"/>
      <c r="BE59" s="2172"/>
      <c r="BF59" s="2172"/>
      <c r="BG59" s="2172"/>
      <c r="BH59" s="2172"/>
      <c r="BI59" s="2172"/>
      <c r="BJ59" s="2172"/>
      <c r="BK59" s="2172"/>
      <c r="BL59" s="2172"/>
      <c r="BM59" s="2172"/>
      <c r="BN59" s="2172"/>
      <c r="BO59" s="2172"/>
      <c r="BP59" s="2172"/>
      <c r="BQ59" s="2172"/>
      <c r="BR59" s="2172"/>
      <c r="BS59" s="2172"/>
      <c r="BT59" s="2172"/>
      <c r="BU59" s="2172"/>
      <c r="BV59" s="2172"/>
      <c r="BW59" s="2723"/>
      <c r="BX59" s="2723"/>
      <c r="BY59" s="2723"/>
      <c r="BZ59" s="2723"/>
      <c r="CA59" s="2723"/>
      <c r="CB59" s="2566"/>
      <c r="CC59" s="2566"/>
      <c r="CD59" s="2566"/>
      <c r="CE59" s="2566"/>
      <c r="CF59" s="2566"/>
      <c r="CG59" s="2566"/>
      <c r="CH59" s="2566"/>
      <c r="CI59" s="2172"/>
      <c r="CJ59" s="2172"/>
      <c r="CK59" s="2172"/>
      <c r="CL59" s="2172"/>
      <c r="CM59" s="2172"/>
      <c r="CN59" s="2172"/>
      <c r="CO59" s="2172"/>
      <c r="CP59" s="2172"/>
      <c r="CQ59" s="2172"/>
      <c r="CR59" s="2172"/>
      <c r="CS59" s="2172"/>
      <c r="CT59" s="2172"/>
      <c r="CU59" s="2172"/>
      <c r="CV59" s="2172"/>
      <c r="CW59" s="2637"/>
      <c r="CX59" s="2637"/>
      <c r="CY59" s="2637"/>
      <c r="CZ59" s="2637"/>
      <c r="DA59" s="2637"/>
      <c r="DB59" s="2637"/>
      <c r="DC59" s="2637"/>
      <c r="DD59" s="2637"/>
      <c r="DE59" s="2637"/>
      <c r="DF59" s="2637"/>
      <c r="DG59" s="2637"/>
      <c r="DH59" s="2637"/>
      <c r="DI59" s="2637"/>
      <c r="DJ59" s="2637"/>
      <c r="DK59" s="2637"/>
      <c r="DL59" s="2637"/>
      <c r="DM59" s="2637"/>
      <c r="DN59" s="2637"/>
      <c r="DO59" s="2637"/>
      <c r="DP59" s="2637"/>
      <c r="DQ59" s="2637"/>
      <c r="DR59" s="2637"/>
      <c r="DS59" s="2637"/>
      <c r="DT59" s="3567"/>
      <c r="DU59" s="3567"/>
      <c r="DV59" s="3567"/>
      <c r="DW59" s="3567"/>
      <c r="DX59" s="3567"/>
      <c r="DY59" s="3567"/>
      <c r="DZ59" s="3567"/>
      <c r="EA59" s="3567"/>
      <c r="EB59" s="3567"/>
      <c r="EC59" s="3567"/>
      <c r="ED59" s="3567"/>
      <c r="EE59" s="3567"/>
      <c r="EF59" s="3567"/>
      <c r="EG59" s="3567"/>
      <c r="EH59" s="3567"/>
      <c r="EI59" s="3567"/>
      <c r="EJ59" s="2637"/>
      <c r="EK59" s="3792"/>
      <c r="EL59" s="3791"/>
      <c r="EM59" s="3791"/>
      <c r="EN59" s="3791"/>
      <c r="EO59" s="3791"/>
      <c r="EP59" s="3791"/>
      <c r="EQ59" s="3791"/>
      <c r="ER59" s="3791"/>
      <c r="ES59" s="3791"/>
      <c r="ET59" s="3791"/>
      <c r="EU59" s="3791"/>
      <c r="EV59" s="3791"/>
      <c r="EW59" s="3791"/>
      <c r="EX59" s="3791"/>
      <c r="EY59" s="3791"/>
      <c r="EZ59" s="3791"/>
      <c r="FA59" s="3791"/>
      <c r="FB59" s="3791"/>
      <c r="FC59" s="3791"/>
      <c r="FD59" s="3868"/>
      <c r="FE59" s="3868"/>
      <c r="FM59" s="4161"/>
      <c r="FN59" s="4161"/>
      <c r="FO59" s="3791"/>
      <c r="FP59" s="3791"/>
      <c r="FQ59" s="3791"/>
      <c r="FR59" s="3791"/>
      <c r="FS59" s="3791"/>
      <c r="FT59" s="3791"/>
      <c r="FU59" s="3791"/>
      <c r="FV59" s="3791"/>
    </row>
    <row r="60" spans="1:178" ht="14.25" hidden="1" customHeight="1" x14ac:dyDescent="0.2">
      <c r="A60" s="2185" t="s">
        <v>49</v>
      </c>
      <c r="B60" s="2187">
        <f t="shared" ref="B60:G60" si="245">SUM(B56:B59)</f>
        <v>99.999999999999986</v>
      </c>
      <c r="C60" s="2187">
        <f t="shared" si="245"/>
        <v>15838.7</v>
      </c>
      <c r="D60" s="2187">
        <f t="shared" si="245"/>
        <v>100</v>
      </c>
      <c r="E60" s="2151">
        <f t="shared" si="245"/>
        <v>17239.900000000001</v>
      </c>
      <c r="F60" s="2151">
        <f t="shared" si="245"/>
        <v>100.00000000000001</v>
      </c>
      <c r="G60" s="2151">
        <f t="shared" si="245"/>
        <v>19009.000000000004</v>
      </c>
      <c r="H60" s="2150"/>
      <c r="I60" s="2151">
        <f>SUM(I56:I59)</f>
        <v>19105.035</v>
      </c>
      <c r="J60" s="2151">
        <f>SUM(J56:J59)</f>
        <v>14908.1</v>
      </c>
      <c r="K60" s="2151">
        <f>SUM(K56:K59)</f>
        <v>0</v>
      </c>
      <c r="L60" s="2151"/>
      <c r="M60" s="2151">
        <f>SUM(M56:M59)</f>
        <v>0</v>
      </c>
      <c r="N60" s="2151">
        <f>SUM(N56:N59)</f>
        <v>20861.200000000004</v>
      </c>
      <c r="O60" s="2185"/>
      <c r="P60" s="2151">
        <f>N49</f>
        <v>20289.383040266664</v>
      </c>
      <c r="Q60" s="2151"/>
      <c r="R60" s="2151">
        <f>SUM(R56:R59)</f>
        <v>12076.800000000003</v>
      </c>
      <c r="S60" s="2151"/>
      <c r="T60" s="2151">
        <f>P49</f>
        <v>18454.919624999999</v>
      </c>
      <c r="U60" s="2151"/>
      <c r="V60" s="2151">
        <f>SUM(V56:V59)+0.1</f>
        <v>24217.3</v>
      </c>
      <c r="W60" s="2191">
        <f>SUM(W56:W59)</f>
        <v>0.99999999999999989</v>
      </c>
      <c r="X60" s="2151">
        <f>SUM(X56:X59)</f>
        <v>24513</v>
      </c>
      <c r="Y60" s="2150"/>
      <c r="Z60" s="2151">
        <f>S49</f>
        <v>21065.913023511166</v>
      </c>
      <c r="AA60" s="2151"/>
      <c r="AB60" s="2151">
        <f>SUM(AB56:AB59)</f>
        <v>11845.519999999999</v>
      </c>
      <c r="AC60" s="2192">
        <f>SUM(AC56:AC59)</f>
        <v>1.0000000000000002</v>
      </c>
      <c r="AD60" s="2193">
        <f>SUM(AA49)</f>
        <v>23798.809999999998</v>
      </c>
      <c r="AE60" s="2192">
        <f>SUM(AE56:AE59)</f>
        <v>1</v>
      </c>
      <c r="AF60" s="2151">
        <f>SUM(AF56:AF59)</f>
        <v>24794.46</v>
      </c>
      <c r="AG60" s="2151"/>
      <c r="AH60" s="2151">
        <f t="shared" ref="AH60:AM60" si="246">SUM(AH56:AH59)</f>
        <v>22083.06615861765</v>
      </c>
      <c r="AI60" s="2192">
        <f t="shared" si="246"/>
        <v>1</v>
      </c>
      <c r="AJ60" s="2151">
        <f t="shared" si="246"/>
        <v>27535.565710230981</v>
      </c>
      <c r="AK60" s="2151">
        <f t="shared" si="246"/>
        <v>88210.034837980013</v>
      </c>
      <c r="AL60" s="2192">
        <f t="shared" si="246"/>
        <v>1</v>
      </c>
      <c r="AM60" s="2151">
        <f t="shared" si="246"/>
        <v>23744.037959511395</v>
      </c>
      <c r="AN60" s="2151"/>
      <c r="AO60" s="2194"/>
      <c r="AP60" s="2151"/>
      <c r="AQ60" s="2189"/>
      <c r="AR60" s="2189"/>
      <c r="AS60" s="2189"/>
      <c r="AT60" s="2189"/>
      <c r="AU60" s="2189"/>
      <c r="AV60" s="2189"/>
      <c r="AW60" s="2189"/>
      <c r="AX60" s="2189"/>
      <c r="AY60" s="2189"/>
      <c r="AZ60" s="2189"/>
      <c r="BA60" s="2189"/>
      <c r="BB60" s="2189"/>
      <c r="BC60" s="2189"/>
      <c r="BD60" s="2189"/>
      <c r="BE60" s="2189"/>
      <c r="BF60" s="2189"/>
      <c r="BG60" s="2189"/>
      <c r="BH60" s="2189"/>
      <c r="BI60" s="2189"/>
      <c r="BJ60" s="2189"/>
      <c r="BK60" s="2189"/>
      <c r="BL60" s="2189"/>
      <c r="BM60" s="2189"/>
      <c r="BN60" s="2189"/>
      <c r="BO60" s="2189"/>
      <c r="BP60" s="2189"/>
      <c r="BQ60" s="2189"/>
      <c r="BR60" s="2189"/>
      <c r="BS60" s="2189"/>
      <c r="BT60" s="2189"/>
      <c r="BU60" s="2189"/>
      <c r="BV60" s="2189"/>
      <c r="BW60" s="2726"/>
      <c r="BX60" s="2726"/>
      <c r="BY60" s="2726"/>
      <c r="BZ60" s="2726"/>
      <c r="CA60" s="2726"/>
      <c r="CB60" s="2568"/>
      <c r="CC60" s="2568"/>
      <c r="CD60" s="2568"/>
      <c r="CE60" s="2568"/>
      <c r="CF60" s="2568"/>
      <c r="CG60" s="2568"/>
      <c r="CH60" s="2568"/>
      <c r="CI60" s="2189"/>
      <c r="CJ60" s="2189"/>
      <c r="CK60" s="2189"/>
      <c r="CL60" s="2189"/>
      <c r="CM60" s="2189"/>
      <c r="CN60" s="2189"/>
      <c r="CO60" s="2189"/>
      <c r="CP60" s="2189"/>
      <c r="CQ60" s="2189"/>
      <c r="CR60" s="2189"/>
      <c r="CS60" s="2189"/>
      <c r="CT60" s="2189"/>
      <c r="CU60" s="2189"/>
      <c r="CV60" s="2189"/>
      <c r="CW60" s="2640"/>
      <c r="CX60" s="2640"/>
      <c r="CY60" s="2640"/>
      <c r="CZ60" s="2640"/>
      <c r="DA60" s="2640"/>
      <c r="DB60" s="2640"/>
      <c r="DC60" s="2640"/>
      <c r="DD60" s="2640"/>
      <c r="DE60" s="2640"/>
      <c r="DF60" s="2640"/>
      <c r="DG60" s="2640"/>
      <c r="DH60" s="2640"/>
      <c r="DI60" s="2640"/>
      <c r="DJ60" s="2640"/>
      <c r="DK60" s="2640"/>
      <c r="DL60" s="2640"/>
      <c r="DM60" s="2640"/>
      <c r="DN60" s="2640"/>
      <c r="DO60" s="2640"/>
      <c r="DP60" s="2640"/>
      <c r="DQ60" s="2640"/>
      <c r="DR60" s="2640"/>
      <c r="DS60" s="2640"/>
      <c r="DT60" s="3570"/>
      <c r="DU60" s="3570"/>
      <c r="DV60" s="3570"/>
      <c r="DW60" s="3570"/>
      <c r="DX60" s="3570"/>
      <c r="DY60" s="3570"/>
      <c r="DZ60" s="3570"/>
      <c r="EA60" s="3570"/>
      <c r="EB60" s="3570"/>
      <c r="EC60" s="3570"/>
      <c r="ED60" s="3570"/>
      <c r="EE60" s="3570"/>
      <c r="EF60" s="3570"/>
      <c r="EG60" s="3570"/>
      <c r="EH60" s="3570"/>
      <c r="EI60" s="3570"/>
      <c r="EJ60" s="2640"/>
      <c r="EK60" s="3792"/>
      <c r="EL60" s="3791"/>
      <c r="EM60" s="3791"/>
      <c r="EN60" s="3791"/>
      <c r="EO60" s="3791"/>
      <c r="EP60" s="3791"/>
      <c r="EQ60" s="3791"/>
      <c r="ER60" s="3791"/>
      <c r="ES60" s="3791"/>
      <c r="ET60" s="3791"/>
      <c r="EU60" s="3791"/>
      <c r="EV60" s="3791"/>
      <c r="EW60" s="3791"/>
      <c r="EX60" s="3791"/>
      <c r="EY60" s="3791"/>
      <c r="EZ60" s="3791"/>
      <c r="FA60" s="3791"/>
      <c r="FB60" s="3791"/>
      <c r="FC60" s="3791"/>
      <c r="FD60" s="3868"/>
      <c r="FE60" s="3868"/>
      <c r="FM60" s="4161"/>
      <c r="FN60" s="4161"/>
      <c r="FO60" s="3791"/>
      <c r="FP60" s="3791"/>
      <c r="FQ60" s="3791"/>
      <c r="FR60" s="3791"/>
      <c r="FS60" s="3791"/>
      <c r="FT60" s="3791"/>
      <c r="FU60" s="3791"/>
      <c r="FV60" s="3791"/>
    </row>
    <row r="61" spans="1:178" s="269" customFormat="1" ht="12.75" hidden="1" customHeight="1" x14ac:dyDescent="0.2">
      <c r="A61" s="2646"/>
      <c r="B61" s="2647"/>
      <c r="C61" s="2647"/>
      <c r="D61" s="2648"/>
      <c r="E61" s="2647"/>
      <c r="F61" s="2647"/>
      <c r="G61" s="2647"/>
      <c r="H61" s="2647"/>
      <c r="I61" s="2647"/>
      <c r="J61" s="2647"/>
      <c r="K61" s="2647"/>
      <c r="L61" s="2647"/>
      <c r="M61" s="2647"/>
      <c r="N61" s="2647"/>
      <c r="O61" s="2647"/>
      <c r="P61" s="2647"/>
      <c r="Q61" s="2647"/>
      <c r="R61" s="2647"/>
      <c r="S61" s="2647"/>
      <c r="T61" s="2647"/>
      <c r="U61" s="2647"/>
      <c r="V61" s="2647"/>
      <c r="W61" s="2647"/>
      <c r="X61" s="2647"/>
      <c r="Y61" s="2647"/>
      <c r="Z61" s="2647"/>
      <c r="AA61" s="2647"/>
      <c r="AB61" s="2647"/>
      <c r="AC61" s="2647"/>
      <c r="AD61" s="2647"/>
      <c r="AE61" s="2647"/>
      <c r="AF61" s="2647"/>
      <c r="AG61" s="2647"/>
      <c r="AH61" s="2647"/>
      <c r="AI61" s="2647"/>
      <c r="AJ61" s="2647"/>
      <c r="AK61" s="2647"/>
      <c r="AL61" s="2647"/>
      <c r="AM61" s="2647"/>
      <c r="AN61" s="2647"/>
      <c r="AO61" s="2649"/>
      <c r="AP61" s="2650"/>
      <c r="AQ61" s="2650"/>
      <c r="AR61" s="2650"/>
      <c r="AS61" s="2650"/>
      <c r="AT61" s="2650"/>
      <c r="AU61" s="2651"/>
      <c r="AV61" s="2651"/>
      <c r="AW61" s="2651"/>
      <c r="AX61" s="2651"/>
      <c r="AY61" s="2651"/>
      <c r="AZ61" s="2651"/>
      <c r="BA61" s="2651"/>
      <c r="BB61" s="2651"/>
      <c r="BC61" s="2651"/>
      <c r="BD61" s="2651"/>
      <c r="BE61" s="2651"/>
      <c r="BF61" s="2651"/>
      <c r="BG61" s="2651"/>
      <c r="BH61" s="2651"/>
      <c r="BI61" s="2651"/>
      <c r="BJ61" s="2651"/>
      <c r="BK61" s="2651"/>
      <c r="BL61" s="2651"/>
      <c r="BM61" s="2651"/>
      <c r="BN61" s="2651"/>
      <c r="BO61" s="2651"/>
      <c r="BP61" s="2651"/>
      <c r="BQ61" s="2651"/>
      <c r="BR61" s="2651"/>
      <c r="BS61" s="2651"/>
      <c r="BT61" s="2651"/>
      <c r="BU61" s="2651"/>
      <c r="BV61" s="2651"/>
      <c r="BW61" s="2727"/>
      <c r="BX61" s="2727"/>
      <c r="BY61" s="2727"/>
      <c r="BZ61" s="2727"/>
      <c r="CA61" s="2727"/>
      <c r="CB61" s="2651"/>
      <c r="CC61" s="2651"/>
      <c r="CD61" s="2651"/>
      <c r="CE61" s="2651"/>
      <c r="CF61" s="2651"/>
      <c r="CG61" s="2651"/>
      <c r="CH61" s="2651"/>
      <c r="CI61" s="2651"/>
      <c r="CJ61" s="2651"/>
      <c r="CK61" s="2651"/>
      <c r="CL61" s="2651"/>
      <c r="CM61" s="2651"/>
      <c r="CN61" s="2651"/>
      <c r="CO61" s="2651"/>
      <c r="CP61" s="2651"/>
      <c r="CQ61" s="2651"/>
      <c r="CR61" s="2651"/>
      <c r="CS61" s="2651"/>
      <c r="CT61" s="2651"/>
      <c r="CU61" s="2651"/>
      <c r="CV61" s="2652"/>
      <c r="CW61" s="2644"/>
      <c r="CX61" s="2644"/>
      <c r="CY61" s="2644"/>
      <c r="CZ61" s="2644"/>
      <c r="DA61" s="2644"/>
      <c r="DB61" s="2644"/>
      <c r="DC61" s="2644"/>
      <c r="DD61" s="2644"/>
      <c r="DE61" s="2644"/>
      <c r="DF61" s="2644"/>
      <c r="DG61" s="2644"/>
      <c r="DH61" s="2644"/>
      <c r="DI61" s="2644"/>
      <c r="DJ61" s="2644"/>
      <c r="DK61" s="2644"/>
      <c r="DL61" s="2644"/>
      <c r="DM61" s="2644"/>
      <c r="DN61" s="2644"/>
      <c r="DO61" s="2644"/>
      <c r="DP61" s="2644"/>
      <c r="DQ61" s="2644"/>
      <c r="DR61" s="2644"/>
      <c r="DS61" s="2644"/>
      <c r="DT61" s="2644"/>
      <c r="DU61" s="2644"/>
      <c r="DV61" s="2644"/>
      <c r="DW61" s="2644"/>
      <c r="DX61" s="2644"/>
      <c r="DY61" s="2644"/>
      <c r="DZ61" s="2644"/>
      <c r="EA61" s="2644"/>
      <c r="EB61" s="2644"/>
      <c r="EC61" s="2644"/>
      <c r="ED61" s="2644"/>
      <c r="EE61" s="2644"/>
      <c r="EF61" s="2644"/>
      <c r="EG61" s="2644"/>
      <c r="EH61" s="2644"/>
      <c r="EI61" s="2644"/>
      <c r="EJ61" s="2157"/>
    </row>
    <row r="62" spans="1:178" s="269" customFormat="1" x14ac:dyDescent="0.2">
      <c r="D62" s="270"/>
      <c r="I62" s="522"/>
      <c r="J62" s="522"/>
      <c r="K62" s="522"/>
      <c r="L62" s="522"/>
      <c r="M62" s="522"/>
      <c r="N62" s="522"/>
      <c r="O62" s="522"/>
      <c r="P62" s="522"/>
      <c r="Q62" s="522"/>
      <c r="R62" s="522"/>
      <c r="S62" s="522"/>
      <c r="T62" s="522"/>
      <c r="U62" s="522"/>
      <c r="V62" s="522"/>
      <c r="W62" s="522"/>
      <c r="X62" s="522"/>
      <c r="Y62" s="522"/>
      <c r="Z62" s="522"/>
      <c r="AA62" s="522"/>
      <c r="AB62" s="522"/>
      <c r="AC62" s="522"/>
      <c r="AD62" s="522"/>
      <c r="AE62" s="522"/>
      <c r="AO62" s="178"/>
      <c r="AU62" s="2158"/>
      <c r="AV62" s="2158"/>
      <c r="AW62" s="2158"/>
      <c r="AX62" s="2446">
        <f>SUM(AY62:AZ62)</f>
        <v>25958.65</v>
      </c>
      <c r="AY62" s="2446">
        <v>10744.47</v>
      </c>
      <c r="AZ62" s="2446">
        <v>15214.18</v>
      </c>
      <c r="BA62" s="2158"/>
      <c r="BB62" s="2158"/>
      <c r="BC62" s="2158"/>
      <c r="BD62" s="2158"/>
      <c r="BE62" s="2158"/>
      <c r="BF62" s="2158"/>
      <c r="BG62" s="2158"/>
      <c r="BH62" s="2158"/>
      <c r="BI62" s="2158"/>
      <c r="BJ62" s="2158"/>
      <c r="BK62" s="2158"/>
      <c r="BL62" s="2158"/>
      <c r="BM62" s="2158"/>
      <c r="BN62" s="2158"/>
      <c r="BO62" s="2158"/>
      <c r="BP62" s="2158"/>
      <c r="BQ62" s="2158"/>
      <c r="BR62" s="2158"/>
      <c r="BS62" s="2158"/>
      <c r="BT62" s="2158"/>
      <c r="BU62" s="2158"/>
      <c r="BV62" s="2158"/>
      <c r="BW62" s="2728"/>
      <c r="BX62" s="2728"/>
      <c r="BY62" s="2728"/>
      <c r="BZ62" s="2728"/>
      <c r="CA62" s="2728"/>
      <c r="CB62" s="2158"/>
      <c r="CC62" s="2158"/>
      <c r="CD62" s="2158"/>
      <c r="CE62" s="2158"/>
      <c r="CF62" s="2158"/>
      <c r="CG62" s="2158"/>
      <c r="CH62" s="2158"/>
      <c r="CI62" s="2158"/>
      <c r="CJ62" s="2158"/>
      <c r="CK62" s="2158"/>
      <c r="CL62" s="2158"/>
      <c r="CM62" s="2158"/>
      <c r="CN62" s="2158"/>
      <c r="CO62" s="2158"/>
      <c r="CP62" s="2158"/>
      <c r="CQ62" s="2158"/>
      <c r="CR62" s="2158"/>
      <c r="CS62" s="2158"/>
      <c r="CT62" s="2158"/>
      <c r="CU62" s="2158"/>
      <c r="CV62" s="2158"/>
      <c r="CW62" s="2158"/>
      <c r="CX62" s="2158"/>
      <c r="CY62" s="2158"/>
      <c r="CZ62" s="2158"/>
      <c r="DA62" s="2158"/>
      <c r="DB62" s="2158"/>
      <c r="DC62" s="2158"/>
      <c r="DD62" s="6013">
        <f>SUM(DD49:DE49)</f>
        <v>25606.915099247206</v>
      </c>
      <c r="DE62" s="5160"/>
      <c r="DF62" s="2158"/>
      <c r="DG62" s="2158"/>
      <c r="DH62" s="2158"/>
      <c r="DI62" s="2158"/>
      <c r="DJ62" s="2158"/>
      <c r="DK62" s="2158"/>
      <c r="DL62" s="2158"/>
      <c r="DM62" s="2158"/>
      <c r="DN62" s="2158"/>
      <c r="DO62" s="2158"/>
      <c r="DP62" s="2158"/>
      <c r="DQ62" s="2158"/>
      <c r="DR62" s="2158"/>
      <c r="DS62" s="2158"/>
      <c r="DT62" s="2158"/>
      <c r="DU62" s="2158"/>
      <c r="DV62" s="2158"/>
      <c r="DW62" s="2158"/>
      <c r="DX62" s="2158"/>
      <c r="DY62" s="2158"/>
      <c r="DZ62" s="2158"/>
      <c r="EA62" s="2158"/>
      <c r="EB62" s="2158"/>
      <c r="EC62" s="2158"/>
      <c r="ED62" s="2158"/>
      <c r="EE62" s="2158"/>
      <c r="EF62" s="2158"/>
      <c r="EG62" s="2158"/>
      <c r="EH62" s="6013">
        <f>SUM(EH49:EI49)</f>
        <v>26697.199910747477</v>
      </c>
      <c r="EI62" s="5160"/>
      <c r="EJ62" s="2158"/>
      <c r="FM62" s="6013"/>
      <c r="FN62" s="6013"/>
    </row>
    <row r="63" spans="1:178" s="269" customFormat="1" ht="12.75" hidden="1" customHeight="1" x14ac:dyDescent="0.2">
      <c r="D63" s="270"/>
      <c r="I63" s="522"/>
      <c r="J63" s="522"/>
      <c r="K63" s="522"/>
      <c r="L63" s="522"/>
      <c r="M63" s="522"/>
      <c r="N63" s="522"/>
      <c r="O63" s="522"/>
      <c r="P63" s="522"/>
      <c r="Q63" s="522"/>
      <c r="R63" s="522"/>
      <c r="S63" s="522"/>
      <c r="T63" s="522"/>
      <c r="U63" s="522"/>
      <c r="V63" s="522"/>
      <c r="W63" s="522"/>
      <c r="X63" s="522"/>
      <c r="Y63" s="522"/>
      <c r="Z63" s="522"/>
      <c r="AA63" s="522"/>
      <c r="AB63" s="522"/>
      <c r="AC63" s="522"/>
      <c r="AD63" s="522"/>
      <c r="AE63" s="522"/>
      <c r="AF63" s="178"/>
      <c r="AG63" s="178"/>
      <c r="AH63" s="178"/>
      <c r="AI63" s="178"/>
      <c r="AO63" s="178"/>
      <c r="AU63" s="2158"/>
      <c r="AV63" s="2158"/>
      <c r="AW63" s="2158"/>
      <c r="AX63" s="2158"/>
      <c r="AY63" s="2158"/>
      <c r="AZ63" s="2158"/>
      <c r="BA63" s="2158"/>
      <c r="BB63" s="2158"/>
      <c r="BC63" s="2158"/>
      <c r="BD63" s="2158"/>
      <c r="BE63" s="2158"/>
      <c r="BF63" s="2158"/>
      <c r="BG63" s="2158"/>
      <c r="BH63" s="2158"/>
      <c r="BI63" s="2158"/>
      <c r="BJ63" s="2158"/>
      <c r="BK63" s="2158"/>
      <c r="BL63" s="2158"/>
      <c r="BM63" s="2158"/>
      <c r="BN63" s="2158"/>
      <c r="BO63" s="2158"/>
      <c r="BP63" s="2158"/>
      <c r="BQ63" s="2158"/>
      <c r="BR63" s="2158"/>
      <c r="BS63" s="2158"/>
      <c r="BT63" s="2158"/>
      <c r="BU63" s="2158"/>
      <c r="BV63" s="2158"/>
      <c r="BW63" s="2728"/>
      <c r="BX63" s="2728"/>
      <c r="BY63" s="2728"/>
      <c r="BZ63" s="2728"/>
      <c r="CA63" s="2728"/>
      <c r="CB63" s="2158"/>
      <c r="CC63" s="2158"/>
      <c r="CD63" s="2158"/>
      <c r="CE63" s="2158"/>
      <c r="CF63" s="2158"/>
      <c r="CG63" s="2158"/>
      <c r="CH63" s="2158"/>
      <c r="CI63" s="2158"/>
      <c r="CJ63" s="2158"/>
      <c r="CK63" s="2158"/>
      <c r="CL63" s="2158"/>
      <c r="CM63" s="2158"/>
      <c r="CN63" s="2158"/>
      <c r="CO63" s="2158"/>
      <c r="CP63" s="2158"/>
      <c r="CQ63" s="2158"/>
      <c r="CR63" s="2158"/>
      <c r="CS63" s="2158"/>
      <c r="CT63" s="2158"/>
      <c r="CU63" s="2158"/>
      <c r="CV63" s="2158"/>
      <c r="CW63" s="2158"/>
      <c r="CX63" s="2158"/>
      <c r="CY63" s="2158"/>
      <c r="CZ63" s="2158"/>
      <c r="DA63" s="2158"/>
      <c r="DB63" s="2158"/>
      <c r="DC63" s="2158"/>
      <c r="DD63" s="2158"/>
      <c r="DE63" s="2158"/>
      <c r="DF63" s="2158"/>
      <c r="DG63" s="2158"/>
      <c r="DH63" s="2158"/>
      <c r="DI63" s="2158"/>
      <c r="DJ63" s="2158"/>
      <c r="DK63" s="2158"/>
      <c r="DL63" s="2158"/>
      <c r="DM63" s="2158"/>
      <c r="DN63" s="2158"/>
      <c r="DO63" s="2158"/>
      <c r="DP63" s="2158"/>
      <c r="DQ63" s="2158"/>
      <c r="DR63" s="2158"/>
      <c r="DS63" s="2158"/>
      <c r="DT63" s="2158"/>
      <c r="DU63" s="2158"/>
      <c r="DV63" s="2158"/>
      <c r="DW63" s="2158"/>
      <c r="DX63" s="2158"/>
      <c r="DY63" s="2158"/>
      <c r="DZ63" s="2158"/>
      <c r="EA63" s="2158"/>
      <c r="EB63" s="2158"/>
      <c r="EC63" s="2158"/>
      <c r="ED63" s="2158"/>
      <c r="EE63" s="2158"/>
      <c r="EF63" s="2158"/>
      <c r="EG63" s="2158"/>
      <c r="EH63" s="2158"/>
      <c r="EI63" s="2158"/>
      <c r="EJ63" s="2158"/>
    </row>
    <row r="64" spans="1:178" s="269" customFormat="1" ht="12.75" hidden="1" customHeight="1" x14ac:dyDescent="0.2">
      <c r="D64" s="270"/>
      <c r="I64" s="522"/>
      <c r="J64" s="522"/>
      <c r="K64" s="522"/>
      <c r="L64" s="522"/>
      <c r="M64" s="522"/>
      <c r="N64" s="522"/>
      <c r="O64" s="522"/>
      <c r="P64" s="522"/>
      <c r="Q64" s="522"/>
      <c r="R64" s="522"/>
      <c r="S64" s="522"/>
      <c r="T64" s="522"/>
      <c r="U64" s="522"/>
      <c r="V64" s="522"/>
      <c r="W64" s="522"/>
      <c r="X64" s="522"/>
      <c r="Y64" s="522"/>
      <c r="Z64" s="522"/>
      <c r="AA64" s="522"/>
      <c r="AB64" s="522"/>
      <c r="AC64" s="522"/>
      <c r="AD64" s="522"/>
      <c r="AE64" s="522"/>
      <c r="AF64" s="271"/>
      <c r="AG64" s="271"/>
      <c r="AH64" s="271"/>
      <c r="AI64" s="271"/>
      <c r="AJ64" s="271"/>
      <c r="AK64" s="271"/>
      <c r="AL64" s="271"/>
      <c r="AM64" s="271"/>
      <c r="AN64" s="271"/>
      <c r="AO64" s="178"/>
      <c r="AU64" s="2158"/>
      <c r="AV64" s="2158"/>
      <c r="AW64" s="2158"/>
      <c r="AX64" s="2158"/>
      <c r="AY64" s="2158"/>
      <c r="AZ64" s="2158"/>
      <c r="BA64" s="2158"/>
      <c r="BB64" s="2158"/>
      <c r="BC64" s="2158"/>
      <c r="BD64" s="2158"/>
      <c r="BE64" s="2158"/>
      <c r="BF64" s="2158"/>
      <c r="BG64" s="2158"/>
      <c r="BH64" s="2158"/>
      <c r="BI64" s="2158"/>
      <c r="BJ64" s="2158"/>
      <c r="BK64" s="2729"/>
      <c r="BL64" s="2729"/>
      <c r="BM64" s="2729"/>
      <c r="BN64" s="2729"/>
      <c r="BO64" s="2729"/>
      <c r="BP64" s="2158"/>
      <c r="BQ64" s="2158"/>
      <c r="BR64" s="2158"/>
      <c r="BS64" s="2158"/>
      <c r="BT64" s="2158"/>
      <c r="BU64" s="2158"/>
      <c r="BV64" s="2158"/>
      <c r="BW64" s="2729"/>
      <c r="BX64" s="2729"/>
      <c r="BY64" s="2729"/>
      <c r="BZ64" s="2729"/>
      <c r="CA64" s="2729"/>
      <c r="CB64" s="2158"/>
      <c r="CC64" s="2158"/>
      <c r="CD64" s="2158"/>
      <c r="CE64" s="2158"/>
      <c r="CF64" s="2158"/>
      <c r="CG64" s="2158"/>
      <c r="CH64" s="2158"/>
      <c r="CI64" s="2158"/>
      <c r="CJ64" s="2158"/>
      <c r="CK64" s="2158"/>
      <c r="CL64" s="2158"/>
      <c r="CM64" s="2158"/>
      <c r="CN64" s="2158"/>
      <c r="CO64" s="2158"/>
      <c r="CP64" s="2158"/>
      <c r="CQ64" s="2158"/>
      <c r="CR64" s="2158"/>
      <c r="CS64" s="2158"/>
      <c r="CT64" s="2158"/>
      <c r="CU64" s="2158"/>
      <c r="CV64" s="2158"/>
      <c r="CW64" s="2158"/>
      <c r="CX64" s="2158"/>
      <c r="CY64" s="2158"/>
      <c r="CZ64" s="2158"/>
      <c r="DA64" s="2158"/>
      <c r="DB64" s="2158"/>
      <c r="DC64" s="2158"/>
      <c r="DD64" s="2158"/>
      <c r="DE64" s="2158"/>
      <c r="DF64" s="2158"/>
      <c r="DG64" s="2158"/>
      <c r="DH64" s="2158"/>
      <c r="DI64" s="2158"/>
      <c r="DJ64" s="2158"/>
      <c r="DK64" s="2158"/>
      <c r="DL64" s="2158"/>
      <c r="DM64" s="2158"/>
      <c r="DN64" s="2158"/>
      <c r="DO64" s="2158"/>
      <c r="DP64" s="2158"/>
      <c r="DQ64" s="2158"/>
      <c r="DR64" s="2158"/>
      <c r="DS64" s="2158"/>
      <c r="DT64" s="2158"/>
      <c r="DU64" s="2158"/>
      <c r="DV64" s="2158"/>
      <c r="DW64" s="2158"/>
      <c r="DX64" s="2158"/>
      <c r="DY64" s="2158"/>
      <c r="DZ64" s="2158"/>
      <c r="EA64" s="2158"/>
      <c r="EB64" s="2158"/>
      <c r="EC64" s="2158"/>
      <c r="ED64" s="2158"/>
      <c r="EE64" s="2158"/>
      <c r="EF64" s="2158"/>
      <c r="EG64" s="2158"/>
      <c r="EH64" s="2158"/>
      <c r="EI64" s="2158"/>
      <c r="EJ64" s="2158"/>
    </row>
    <row r="65" spans="1:170" s="269" customFormat="1" x14ac:dyDescent="0.2">
      <c r="I65" s="522"/>
      <c r="J65" s="522"/>
      <c r="K65" s="522"/>
      <c r="L65" s="522"/>
      <c r="M65" s="522"/>
      <c r="N65" s="522"/>
      <c r="O65" s="522"/>
      <c r="P65" s="522"/>
      <c r="Q65" s="522"/>
      <c r="R65" s="522"/>
      <c r="S65" s="522"/>
      <c r="T65" s="522"/>
      <c r="U65" s="522"/>
      <c r="V65" s="522"/>
      <c r="W65" s="522"/>
      <c r="X65" s="522"/>
      <c r="Y65" s="522"/>
      <c r="Z65" s="522"/>
      <c r="AA65" s="522"/>
      <c r="AB65" s="522"/>
      <c r="AC65" s="522"/>
      <c r="AD65" s="522"/>
      <c r="AE65" s="522"/>
      <c r="AF65" s="271"/>
      <c r="AG65" s="271"/>
      <c r="AH65" s="271"/>
      <c r="AI65" s="271"/>
      <c r="AJ65" s="271"/>
      <c r="AK65" s="271"/>
      <c r="AL65" s="271"/>
      <c r="AM65" s="271"/>
      <c r="AN65" s="271"/>
      <c r="AO65" s="178"/>
      <c r="AU65" s="2158"/>
      <c r="AV65" s="2158"/>
      <c r="AW65" s="2158"/>
      <c r="AX65" s="2158"/>
      <c r="AY65" s="2158"/>
      <c r="AZ65" s="2158"/>
      <c r="BA65" s="2158"/>
      <c r="BB65" s="2158"/>
      <c r="BC65" s="2158"/>
      <c r="BD65" s="2158"/>
      <c r="BE65" s="2158"/>
      <c r="BF65" s="2158"/>
      <c r="BG65" s="2158"/>
      <c r="BH65" s="2158"/>
      <c r="BI65" s="2158"/>
      <c r="BJ65" s="2158"/>
      <c r="BK65" s="2158"/>
      <c r="BL65" s="2158"/>
      <c r="BM65" s="2158"/>
      <c r="BN65" s="2158"/>
      <c r="BO65" s="2158"/>
      <c r="BP65" s="2158"/>
      <c r="BQ65" s="2158"/>
      <c r="BR65" s="2158"/>
      <c r="BS65" s="2158"/>
      <c r="BT65" s="2158"/>
      <c r="BU65" s="2158"/>
      <c r="BV65" s="2158"/>
      <c r="BW65" s="3242">
        <f>SUM(BX65:BY65)</f>
        <v>25704.719127736658</v>
      </c>
      <c r="BX65" s="3242">
        <f>SUM(вода!CF59)</f>
        <v>10943.583293623064</v>
      </c>
      <c r="BY65" s="3242">
        <f>SUM(стоки!CK47)</f>
        <v>14761.135834113597</v>
      </c>
      <c r="BZ65" s="2158"/>
      <c r="CA65" s="2158"/>
      <c r="CB65" s="2158"/>
      <c r="CC65" s="2158"/>
      <c r="CD65" s="2158"/>
      <c r="CE65" s="2158"/>
      <c r="CF65" s="2158"/>
      <c r="CG65" s="2158"/>
      <c r="CH65" s="2158"/>
      <c r="CI65" s="2158"/>
      <c r="CJ65" s="2158"/>
      <c r="CK65" s="2158"/>
      <c r="CL65" s="2158"/>
      <c r="CM65" s="2158"/>
      <c r="CN65" s="2158"/>
      <c r="CO65" s="2158"/>
      <c r="CP65" s="2158"/>
      <c r="CQ65" s="2158"/>
      <c r="CR65" s="2158"/>
      <c r="CS65" s="2158"/>
      <c r="CT65" s="2158"/>
      <c r="CU65" s="2158"/>
      <c r="CV65" s="2158"/>
      <c r="CW65" s="2158"/>
      <c r="CX65" s="2158"/>
      <c r="CY65" s="2158"/>
      <c r="CZ65" s="2158"/>
      <c r="DA65" s="2158"/>
      <c r="DB65" s="2158"/>
      <c r="DC65" s="2158"/>
      <c r="DD65" s="2158"/>
      <c r="DE65" s="2158"/>
      <c r="DF65" s="2158"/>
      <c r="DG65" s="2158"/>
      <c r="DH65" s="2158"/>
      <c r="DI65" s="2158"/>
      <c r="DJ65" s="2158"/>
      <c r="DK65" s="2158"/>
      <c r="DL65" s="2158"/>
      <c r="DM65" s="2158"/>
      <c r="DN65" s="2158"/>
      <c r="DO65" s="2158"/>
      <c r="DP65" s="2158"/>
      <c r="DQ65" s="2158"/>
      <c r="DR65" s="2158"/>
      <c r="DS65" s="2158"/>
      <c r="DT65" s="2158"/>
      <c r="DU65" s="2158"/>
      <c r="DV65" s="2158"/>
      <c r="DW65" s="2158"/>
      <c r="DX65" s="2158"/>
      <c r="DY65" s="2158"/>
      <c r="DZ65" s="2158"/>
      <c r="EA65" s="2158"/>
      <c r="EB65" s="2158"/>
      <c r="EC65" s="2158"/>
      <c r="ED65" s="2158"/>
      <c r="EE65" s="2158"/>
      <c r="EF65" s="2158"/>
      <c r="EG65" s="2158"/>
      <c r="EH65" s="2158"/>
      <c r="EI65" s="2158"/>
      <c r="EJ65" s="2158"/>
      <c r="FM65" s="4162"/>
      <c r="FN65" s="4162"/>
    </row>
    <row r="66" spans="1:170" s="269" customFormat="1" x14ac:dyDescent="0.2"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271"/>
      <c r="AG66" s="271"/>
      <c r="AH66" s="271"/>
      <c r="AI66" s="271"/>
      <c r="AJ66" s="271"/>
      <c r="AK66" s="271"/>
      <c r="AL66" s="271"/>
      <c r="AM66" s="271"/>
      <c r="AN66" s="271"/>
      <c r="AO66" s="178"/>
      <c r="AU66" s="2158"/>
      <c r="AV66" s="2158"/>
      <c r="AW66" s="2158"/>
      <c r="AX66" s="2158"/>
      <c r="AY66" s="2158"/>
      <c r="AZ66" s="2158"/>
      <c r="BA66" s="2158"/>
      <c r="BB66" s="2158"/>
      <c r="BC66" s="2158"/>
      <c r="BD66" s="2158"/>
      <c r="BE66" s="2158"/>
      <c r="BF66" s="2158"/>
      <c r="BG66" s="2158"/>
      <c r="BH66" s="2158"/>
      <c r="BI66" s="2158"/>
      <c r="BJ66" s="2158"/>
      <c r="BK66" s="2158"/>
      <c r="BL66" s="2158"/>
      <c r="BM66" s="2158"/>
      <c r="BN66" s="2158"/>
      <c r="BO66" s="2158"/>
      <c r="BP66" s="2158"/>
      <c r="BQ66" s="2158"/>
      <c r="BR66" s="2158"/>
      <c r="BS66" s="2158"/>
      <c r="BT66" s="2158"/>
      <c r="BU66" s="2158"/>
      <c r="BV66" s="2158"/>
      <c r="BW66" s="3242"/>
      <c r="BX66" s="3242"/>
      <c r="BY66" s="3242"/>
      <c r="BZ66" s="2158"/>
      <c r="CA66" s="2158"/>
      <c r="CB66" s="2158"/>
      <c r="CC66" s="2158"/>
      <c r="CD66" s="2158"/>
      <c r="CE66" s="2158"/>
      <c r="CF66" s="2158"/>
      <c r="CG66" s="2158"/>
      <c r="CH66" s="2158"/>
      <c r="CI66" s="2158"/>
      <c r="CJ66" s="2158"/>
      <c r="CK66" s="2158"/>
      <c r="CL66" s="2158"/>
      <c r="CM66" s="2158"/>
      <c r="CN66" s="2158"/>
      <c r="CO66" s="2158"/>
      <c r="CP66" s="2158"/>
      <c r="CQ66" s="2158"/>
      <c r="CR66" s="2158"/>
      <c r="CS66" s="2158"/>
      <c r="CT66" s="2158"/>
      <c r="CU66" s="2158"/>
      <c r="CV66" s="2158"/>
      <c r="CW66" s="2158"/>
      <c r="CX66" s="2158"/>
      <c r="CY66" s="2158"/>
      <c r="CZ66" s="2158"/>
      <c r="DA66" s="2158"/>
      <c r="DB66" s="2158"/>
      <c r="DC66" s="2158"/>
      <c r="DD66" s="3574">
        <f>SUM(DD49+DD65)</f>
        <v>15010.218832495006</v>
      </c>
      <c r="DE66" s="3574">
        <f>SUM(DE49+DE65)</f>
        <v>10596.696266752198</v>
      </c>
      <c r="DF66" s="2158"/>
      <c r="DG66" s="2158"/>
      <c r="DH66" s="2158"/>
      <c r="DI66" s="2158"/>
      <c r="DJ66" s="2158"/>
      <c r="DK66" s="2158"/>
      <c r="DL66" s="2158"/>
      <c r="DM66" s="2158"/>
      <c r="DN66" s="2158"/>
      <c r="DO66" s="2158"/>
      <c r="DP66" s="2158"/>
      <c r="DQ66" s="2158"/>
      <c r="DR66" s="2158"/>
      <c r="DS66" s="2158"/>
      <c r="DT66" s="2158"/>
      <c r="DU66" s="2158"/>
      <c r="DV66" s="2158"/>
      <c r="DW66" s="2158"/>
      <c r="DX66" s="2158"/>
      <c r="DY66" s="2158"/>
      <c r="DZ66" s="2158"/>
      <c r="EA66" s="2158"/>
      <c r="EB66" s="2158"/>
      <c r="EC66" s="2158"/>
      <c r="ED66" s="2158"/>
      <c r="EE66" s="2158"/>
      <c r="EF66" s="2158"/>
      <c r="EG66" s="2158"/>
      <c r="EH66" s="2158"/>
      <c r="EI66" s="2158"/>
      <c r="EJ66" s="2158"/>
    </row>
    <row r="67" spans="1:170" s="269" customFormat="1" x14ac:dyDescent="0.2"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2"/>
      <c r="Y67" s="522"/>
      <c r="Z67" s="522"/>
      <c r="AA67" s="522"/>
      <c r="AB67" s="522"/>
      <c r="AC67" s="522"/>
      <c r="AD67" s="522"/>
      <c r="AE67" s="522"/>
      <c r="AF67" s="271"/>
      <c r="AG67" s="271"/>
      <c r="AH67" s="271"/>
      <c r="AI67" s="271"/>
      <c r="AJ67" s="271"/>
      <c r="AK67" s="271"/>
      <c r="AL67" s="271"/>
      <c r="AM67" s="271"/>
      <c r="AN67" s="271"/>
      <c r="AO67" s="178"/>
      <c r="AU67" s="2158"/>
      <c r="AV67" s="2158"/>
      <c r="AW67" s="2158"/>
      <c r="AX67" s="2158"/>
      <c r="AY67" s="2158"/>
      <c r="AZ67" s="2158"/>
      <c r="BA67" s="2158"/>
      <c r="BB67" s="2158"/>
      <c r="BC67" s="2158"/>
      <c r="BD67" s="2158"/>
      <c r="BE67" s="2158"/>
      <c r="BF67" s="2158"/>
      <c r="BG67" s="2158"/>
      <c r="BH67" s="2158"/>
      <c r="BI67" s="2158"/>
      <c r="BJ67" s="2158"/>
      <c r="BK67" s="2158"/>
      <c r="BL67" s="2158"/>
      <c r="BM67" s="2158"/>
      <c r="BN67" s="2158"/>
      <c r="BO67" s="2158"/>
      <c r="BP67" s="2158"/>
      <c r="BQ67" s="2158"/>
      <c r="BR67" s="2158"/>
      <c r="BS67" s="2158"/>
      <c r="BT67" s="2158"/>
      <c r="BU67" s="2158"/>
      <c r="BV67" s="2158"/>
      <c r="BW67" s="3242"/>
      <c r="BX67" s="3242"/>
      <c r="BY67" s="3242"/>
      <c r="BZ67" s="2158"/>
      <c r="CA67" s="2158"/>
      <c r="CB67" s="2158"/>
      <c r="CC67" s="2158"/>
      <c r="CD67" s="2158"/>
      <c r="CE67" s="2158"/>
      <c r="CF67" s="2158"/>
      <c r="CG67" s="2158"/>
      <c r="CH67" s="2158"/>
      <c r="CI67" s="2158"/>
      <c r="CJ67" s="2158"/>
      <c r="CK67" s="2158"/>
      <c r="CL67" s="2158"/>
      <c r="CM67" s="2158"/>
      <c r="CN67" s="2158"/>
      <c r="CO67" s="2158"/>
      <c r="CP67" s="2158"/>
      <c r="CQ67" s="2158"/>
      <c r="CR67" s="2158"/>
      <c r="CS67" s="2158"/>
      <c r="CT67" s="2158"/>
      <c r="CU67" s="2158"/>
      <c r="CV67" s="2158"/>
      <c r="CW67" s="2158"/>
      <c r="CX67" s="2158"/>
      <c r="CY67" s="2158"/>
      <c r="CZ67" s="2158"/>
      <c r="DA67" s="2158"/>
      <c r="DB67" s="2158"/>
      <c r="DC67" s="2158"/>
      <c r="DD67" s="3574"/>
      <c r="DE67" s="3574"/>
      <c r="DF67" s="2158"/>
      <c r="DG67" s="2158"/>
      <c r="DH67" s="2158"/>
      <c r="DI67" s="2158"/>
      <c r="DJ67" s="2158"/>
      <c r="DK67" s="2158"/>
      <c r="DL67" s="2158"/>
      <c r="DM67" s="2158"/>
      <c r="DN67" s="2158"/>
      <c r="DO67" s="2158"/>
      <c r="DP67" s="2158"/>
      <c r="DQ67" s="2158"/>
      <c r="DR67" s="2158"/>
      <c r="DS67" s="2158"/>
      <c r="DT67" s="2158"/>
      <c r="DU67" s="2158"/>
      <c r="DV67" s="2158"/>
      <c r="DW67" s="2158"/>
      <c r="DX67" s="2158"/>
      <c r="DY67" s="2158"/>
      <c r="DZ67" s="2158"/>
      <c r="EA67" s="2158"/>
      <c r="EB67" s="2158"/>
      <c r="EC67" s="2158"/>
      <c r="ED67" s="2158"/>
      <c r="EE67" s="2158"/>
      <c r="EF67" s="2158"/>
      <c r="EG67" s="2158"/>
      <c r="EH67" s="2158"/>
      <c r="EI67" s="2158"/>
      <c r="EJ67" s="2158"/>
      <c r="FM67" s="4162"/>
      <c r="FN67" s="4162"/>
    </row>
    <row r="68" spans="1:170" s="269" customFormat="1" x14ac:dyDescent="0.2">
      <c r="I68" s="522"/>
      <c r="J68" s="522"/>
      <c r="K68" s="522"/>
      <c r="L68" s="522"/>
      <c r="M68" s="522"/>
      <c r="N68" s="522"/>
      <c r="O68" s="522"/>
      <c r="P68" s="522"/>
      <c r="Q68" s="522"/>
      <c r="R68" s="522"/>
      <c r="S68" s="522"/>
      <c r="T68" s="522"/>
      <c r="U68" s="522"/>
      <c r="V68" s="522"/>
      <c r="W68" s="522"/>
      <c r="X68" s="522"/>
      <c r="Y68" s="522"/>
      <c r="Z68" s="522"/>
      <c r="AA68" s="522"/>
      <c r="AB68" s="522"/>
      <c r="AC68" s="522"/>
      <c r="AD68" s="522"/>
      <c r="AE68" s="522"/>
      <c r="AF68" s="271"/>
      <c r="AG68" s="271"/>
      <c r="AH68" s="271"/>
      <c r="AI68" s="271"/>
      <c r="AJ68" s="271"/>
      <c r="AK68" s="271"/>
      <c r="AL68" s="271"/>
      <c r="AM68" s="271"/>
      <c r="AN68" s="271"/>
      <c r="AO68" s="178"/>
      <c r="AU68" s="2158"/>
      <c r="AV68" s="2158"/>
      <c r="AW68" s="2158"/>
      <c r="AX68" s="2158"/>
      <c r="AY68" s="2158"/>
      <c r="AZ68" s="2158"/>
      <c r="BA68" s="2158"/>
      <c r="BB68" s="2158"/>
      <c r="BC68" s="2158"/>
      <c r="BD68" s="2158"/>
      <c r="BE68" s="2158"/>
      <c r="BF68" s="2158"/>
      <c r="BG68" s="2158"/>
      <c r="BH68" s="2158"/>
      <c r="BI68" s="2158"/>
      <c r="BJ68" s="2158"/>
      <c r="BK68" s="2158"/>
      <c r="BL68" s="2158"/>
      <c r="BM68" s="2158"/>
      <c r="BN68" s="2158"/>
      <c r="BO68" s="2158"/>
      <c r="BP68" s="2158"/>
      <c r="BQ68" s="2158"/>
      <c r="BR68" s="2158"/>
      <c r="BS68" s="2158"/>
      <c r="BT68" s="2158"/>
      <c r="BU68" s="2158"/>
      <c r="BV68" s="2158"/>
      <c r="BW68" s="3242"/>
      <c r="BX68" s="3242"/>
      <c r="BY68" s="3242"/>
      <c r="BZ68" s="2158"/>
      <c r="CA68" s="2158"/>
      <c r="CB68" s="2158"/>
      <c r="CC68" s="2158"/>
      <c r="CD68" s="2158"/>
      <c r="CE68" s="2158"/>
      <c r="CF68" s="2158"/>
      <c r="CG68" s="2158"/>
      <c r="CH68" s="2158"/>
      <c r="CI68" s="2158"/>
      <c r="CJ68" s="2158"/>
      <c r="CK68" s="2158"/>
      <c r="CL68" s="2158"/>
      <c r="CM68" s="2158"/>
      <c r="CN68" s="2158"/>
      <c r="CO68" s="2158"/>
      <c r="CP68" s="2158"/>
      <c r="CQ68" s="2158"/>
      <c r="CR68" s="2158"/>
      <c r="CS68" s="2158"/>
      <c r="CT68" s="2158"/>
      <c r="CU68" s="2158"/>
      <c r="CV68" s="2158"/>
      <c r="CW68" s="2158"/>
      <c r="CX68" s="2158"/>
      <c r="CY68" s="2158"/>
      <c r="CZ68" s="2158"/>
      <c r="DA68" s="2158"/>
      <c r="DB68" s="2158"/>
      <c r="DC68" s="2158"/>
      <c r="DD68" s="3574"/>
      <c r="DE68" s="3574"/>
      <c r="DF68" s="2158"/>
      <c r="DG68" s="2158"/>
      <c r="DH68" s="2158"/>
      <c r="DI68" s="2158"/>
      <c r="DJ68" s="2158"/>
      <c r="DK68" s="2158"/>
      <c r="DL68" s="2158"/>
      <c r="DM68" s="2158"/>
      <c r="DN68" s="2158"/>
      <c r="DO68" s="2158"/>
      <c r="DP68" s="2158"/>
      <c r="DQ68" s="2158"/>
      <c r="DR68" s="2158"/>
      <c r="DS68" s="2158"/>
      <c r="DT68" s="2158"/>
      <c r="DU68" s="2158"/>
      <c r="DV68" s="2158"/>
      <c r="DW68" s="2158"/>
      <c r="DX68" s="2158"/>
      <c r="DY68" s="2158"/>
      <c r="DZ68" s="2158"/>
      <c r="EA68" s="2158"/>
      <c r="EB68" s="2158"/>
      <c r="EC68" s="2158"/>
      <c r="ED68" s="2158"/>
      <c r="EE68" s="2158"/>
      <c r="EF68" s="2158"/>
      <c r="EG68" s="2158"/>
      <c r="EH68" s="2158"/>
      <c r="EI68" s="2158"/>
      <c r="EJ68" s="2158"/>
      <c r="FM68" s="4162"/>
      <c r="FN68" s="4162"/>
    </row>
    <row r="69" spans="1:170" s="269" customFormat="1" x14ac:dyDescent="0.2"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22"/>
      <c r="U69" s="522"/>
      <c r="V69" s="522"/>
      <c r="W69" s="522"/>
      <c r="X69" s="522"/>
      <c r="Y69" s="522"/>
      <c r="Z69" s="522"/>
      <c r="AA69" s="522"/>
      <c r="AB69" s="522"/>
      <c r="AC69" s="522"/>
      <c r="AD69" s="522"/>
      <c r="AE69" s="522"/>
      <c r="AF69" s="271"/>
      <c r="AG69" s="271"/>
      <c r="AH69" s="271"/>
      <c r="AI69" s="271"/>
      <c r="AJ69" s="271"/>
      <c r="AK69" s="271"/>
      <c r="AL69" s="271"/>
      <c r="AM69" s="271"/>
      <c r="AN69" s="271"/>
      <c r="AO69" s="178"/>
      <c r="AU69" s="2158"/>
      <c r="AV69" s="2158"/>
      <c r="AW69" s="2158"/>
      <c r="AX69" s="2158"/>
      <c r="AY69" s="2158"/>
      <c r="AZ69" s="2158"/>
      <c r="BA69" s="2158"/>
      <c r="BB69" s="2158"/>
      <c r="BC69" s="2158"/>
      <c r="BD69" s="2158"/>
      <c r="BE69" s="2158"/>
      <c r="BF69" s="2158"/>
      <c r="BG69" s="2158"/>
      <c r="BH69" s="2158"/>
      <c r="BI69" s="2158"/>
      <c r="BJ69" s="2158"/>
      <c r="BK69" s="2158"/>
      <c r="BL69" s="2158"/>
      <c r="BM69" s="2158"/>
      <c r="BN69" s="2158"/>
      <c r="BO69" s="2158"/>
      <c r="BP69" s="2158"/>
      <c r="BQ69" s="2158"/>
      <c r="BR69" s="2158"/>
      <c r="BS69" s="2158"/>
      <c r="BT69" s="2158"/>
      <c r="BU69" s="2158"/>
      <c r="BV69" s="2158"/>
      <c r="BW69" s="3242"/>
      <c r="BX69" s="3242"/>
      <c r="BY69" s="3242"/>
      <c r="BZ69" s="2158"/>
      <c r="CA69" s="2158"/>
      <c r="CB69" s="2158"/>
      <c r="CC69" s="2158"/>
      <c r="CD69" s="2158"/>
      <c r="CE69" s="2158"/>
      <c r="CF69" s="2158"/>
      <c r="CG69" s="2158"/>
      <c r="CH69" s="2158"/>
      <c r="CI69" s="2158"/>
      <c r="CJ69" s="2158"/>
      <c r="CK69" s="2158"/>
      <c r="CL69" s="2158"/>
      <c r="CM69" s="2158"/>
      <c r="CN69" s="2158"/>
      <c r="CO69" s="2158"/>
      <c r="CP69" s="2158"/>
      <c r="CQ69" s="2158"/>
      <c r="CR69" s="2158"/>
      <c r="CS69" s="2158"/>
      <c r="CT69" s="2158"/>
      <c r="CU69" s="2158"/>
      <c r="CV69" s="2158"/>
      <c r="CW69" s="2158"/>
      <c r="CX69" s="2158"/>
      <c r="CY69" s="2158"/>
      <c r="CZ69" s="2158"/>
      <c r="DA69" s="2158"/>
      <c r="DB69" s="2158"/>
      <c r="DC69" s="2158"/>
      <c r="DD69" s="3574"/>
      <c r="DE69" s="3574"/>
      <c r="DF69" s="2158"/>
      <c r="DG69" s="2158"/>
      <c r="DH69" s="2158"/>
      <c r="DI69" s="2158"/>
      <c r="DJ69" s="2158"/>
      <c r="DK69" s="2158"/>
      <c r="DL69" s="2158"/>
      <c r="DM69" s="2158"/>
      <c r="DN69" s="2158"/>
      <c r="DO69" s="2158"/>
      <c r="DP69" s="2158"/>
      <c r="DQ69" s="2158"/>
      <c r="DR69" s="2158"/>
      <c r="DS69" s="2158"/>
      <c r="DT69" s="2158"/>
      <c r="DU69" s="2158"/>
      <c r="DV69" s="2158"/>
      <c r="DW69" s="2158"/>
      <c r="DX69" s="2158"/>
      <c r="DY69" s="2158"/>
      <c r="DZ69" s="2158"/>
      <c r="EA69" s="2158"/>
      <c r="EB69" s="2158"/>
      <c r="EC69" s="2158"/>
      <c r="ED69" s="2158"/>
      <c r="EE69" s="2158"/>
      <c r="EF69" s="2158"/>
      <c r="EG69" s="2158"/>
      <c r="EH69" s="2158"/>
      <c r="EI69" s="2158"/>
      <c r="EJ69" s="2158"/>
    </row>
    <row r="70" spans="1:170" s="269" customFormat="1" x14ac:dyDescent="0.2">
      <c r="I70" s="522"/>
      <c r="J70" s="522"/>
      <c r="K70" s="522"/>
      <c r="L70" s="522"/>
      <c r="M70" s="522"/>
      <c r="N70" s="522"/>
      <c r="O70" s="522"/>
      <c r="P70" s="522"/>
      <c r="Q70" s="522"/>
      <c r="R70" s="522"/>
      <c r="S70" s="522"/>
      <c r="T70" s="522"/>
      <c r="U70" s="522"/>
      <c r="V70" s="522"/>
      <c r="W70" s="522"/>
      <c r="X70" s="522"/>
      <c r="Y70" s="522"/>
      <c r="Z70" s="522"/>
      <c r="AA70" s="522"/>
      <c r="AB70" s="522"/>
      <c r="AC70" s="522"/>
      <c r="AD70" s="522"/>
      <c r="AE70" s="522"/>
      <c r="AF70" s="271"/>
      <c r="AG70" s="271"/>
      <c r="AH70" s="271"/>
      <c r="AI70" s="271"/>
      <c r="AJ70" s="271"/>
      <c r="AK70" s="271"/>
      <c r="AL70" s="271"/>
      <c r="AM70" s="271"/>
      <c r="AN70" s="271"/>
      <c r="AO70" s="178"/>
      <c r="AU70" s="2158"/>
      <c r="AV70" s="2158"/>
      <c r="AW70" s="2158"/>
      <c r="AX70" s="2158"/>
      <c r="AY70" s="2158"/>
      <c r="AZ70" s="2158"/>
      <c r="BA70" s="2158"/>
      <c r="BB70" s="2158"/>
      <c r="BC70" s="2158"/>
      <c r="BD70" s="2158"/>
      <c r="BE70" s="2158"/>
      <c r="BF70" s="2158"/>
      <c r="BG70" s="2158"/>
      <c r="BH70" s="2158"/>
      <c r="BI70" s="2158"/>
      <c r="BJ70" s="2158"/>
      <c r="BK70" s="2158"/>
      <c r="BL70" s="2158"/>
      <c r="BM70" s="2158"/>
      <c r="BN70" s="2158"/>
      <c r="BO70" s="2158"/>
      <c r="BP70" s="2158"/>
      <c r="BQ70" s="2158"/>
      <c r="BR70" s="2158"/>
      <c r="BS70" s="2158"/>
      <c r="BT70" s="2158"/>
      <c r="BU70" s="2158"/>
      <c r="BV70" s="2158"/>
      <c r="BW70" s="3242"/>
      <c r="BX70" s="3242"/>
      <c r="BY70" s="3242"/>
      <c r="BZ70" s="2158"/>
      <c r="CA70" s="2158"/>
      <c r="CB70" s="2158"/>
      <c r="CC70" s="2158"/>
      <c r="CD70" s="2158"/>
      <c r="CE70" s="2158"/>
      <c r="CF70" s="2158"/>
      <c r="CG70" s="2158"/>
      <c r="CH70" s="2158"/>
      <c r="CI70" s="2158"/>
      <c r="CJ70" s="2158"/>
      <c r="CK70" s="2158"/>
      <c r="CL70" s="2158"/>
      <c r="CM70" s="2158"/>
      <c r="CN70" s="2158"/>
      <c r="CO70" s="2158"/>
      <c r="CP70" s="2158"/>
      <c r="CQ70" s="2158"/>
      <c r="CR70" s="2158"/>
      <c r="CS70" s="2158"/>
      <c r="CT70" s="2158"/>
      <c r="CU70" s="2158"/>
      <c r="CV70" s="2158"/>
      <c r="CW70" s="2158"/>
      <c r="CX70" s="2158"/>
      <c r="CY70" s="2158"/>
      <c r="CZ70" s="2158"/>
      <c r="DA70" s="2158"/>
      <c r="DB70" s="2158"/>
      <c r="DC70" s="2158"/>
      <c r="DD70" s="3574"/>
      <c r="DE70" s="3574"/>
      <c r="DF70" s="2158"/>
      <c r="DG70" s="2158"/>
      <c r="DH70" s="2158"/>
      <c r="DI70" s="2158"/>
      <c r="DJ70" s="2158"/>
      <c r="DK70" s="2158"/>
      <c r="DL70" s="2158"/>
      <c r="DM70" s="2158"/>
      <c r="DN70" s="2158"/>
      <c r="DO70" s="2158"/>
      <c r="DP70" s="2158"/>
      <c r="DQ70" s="2158"/>
      <c r="DR70" s="2158"/>
      <c r="DS70" s="2158"/>
      <c r="DT70" s="2158"/>
      <c r="DU70" s="2158"/>
      <c r="DV70" s="2158"/>
      <c r="DW70" s="2158"/>
      <c r="DX70" s="2158"/>
      <c r="DY70" s="2158"/>
      <c r="DZ70" s="2158"/>
      <c r="EA70" s="2158"/>
      <c r="EB70" s="2158"/>
      <c r="EC70" s="2158"/>
      <c r="ED70" s="2158"/>
      <c r="EE70" s="2158"/>
      <c r="EF70" s="2158"/>
      <c r="EG70" s="2158"/>
      <c r="EH70" s="2158"/>
      <c r="EI70" s="2158"/>
      <c r="EJ70" s="2158"/>
    </row>
    <row r="71" spans="1:170" s="269" customFormat="1" x14ac:dyDescent="0.2">
      <c r="I71" s="522"/>
      <c r="J71" s="522"/>
      <c r="K71" s="522"/>
      <c r="L71" s="522"/>
      <c r="M71" s="522"/>
      <c r="N71" s="522"/>
      <c r="O71" s="522"/>
      <c r="P71" s="522"/>
      <c r="Q71" s="522"/>
      <c r="R71" s="522"/>
      <c r="S71" s="522"/>
      <c r="T71" s="522"/>
      <c r="U71" s="522"/>
      <c r="V71" s="522"/>
      <c r="W71" s="522"/>
      <c r="X71" s="522"/>
      <c r="Y71" s="522"/>
      <c r="Z71" s="522"/>
      <c r="AA71" s="522"/>
      <c r="AB71" s="522"/>
      <c r="AC71" s="522"/>
      <c r="AD71" s="522"/>
      <c r="AE71" s="522"/>
      <c r="AF71" s="271"/>
      <c r="AG71" s="271"/>
      <c r="AH71" s="271"/>
      <c r="AI71" s="271"/>
      <c r="AJ71" s="271"/>
      <c r="AK71" s="271"/>
      <c r="AL71" s="271"/>
      <c r="AM71" s="271"/>
      <c r="AN71" s="271"/>
      <c r="AO71" s="178"/>
      <c r="AU71" s="2158"/>
      <c r="AV71" s="2158"/>
      <c r="AW71" s="2158"/>
      <c r="AX71" s="2158"/>
      <c r="AY71" s="2158"/>
      <c r="AZ71" s="2158"/>
      <c r="BA71" s="2158"/>
      <c r="BB71" s="2158"/>
      <c r="BC71" s="2158"/>
      <c r="BD71" s="2158"/>
      <c r="BE71" s="2158"/>
      <c r="BF71" s="2158"/>
      <c r="BG71" s="2158"/>
      <c r="BH71" s="2158"/>
      <c r="BI71" s="2158"/>
      <c r="BJ71" s="2158"/>
      <c r="BK71" s="2158"/>
      <c r="BL71" s="2158"/>
      <c r="BM71" s="2158"/>
      <c r="BN71" s="2158"/>
      <c r="BO71" s="2158"/>
      <c r="BP71" s="2158"/>
      <c r="BQ71" s="2158"/>
      <c r="BR71" s="2158"/>
      <c r="BS71" s="2158"/>
      <c r="BT71" s="2158"/>
      <c r="BU71" s="2158"/>
      <c r="BV71" s="2158"/>
      <c r="BW71" s="3242"/>
      <c r="BX71" s="3242"/>
      <c r="BY71" s="3242"/>
      <c r="BZ71" s="2158"/>
      <c r="CA71" s="2158"/>
      <c r="CB71" s="2158"/>
      <c r="CC71" s="2158"/>
      <c r="CD71" s="2158"/>
      <c r="CE71" s="2158"/>
      <c r="CF71" s="2158"/>
      <c r="CG71" s="2158"/>
      <c r="CH71" s="2158"/>
      <c r="CI71" s="2158"/>
      <c r="CJ71" s="2158"/>
      <c r="CK71" s="2158"/>
      <c r="CL71" s="2158"/>
      <c r="CM71" s="2158"/>
      <c r="CN71" s="2158"/>
      <c r="CO71" s="2158"/>
      <c r="CP71" s="2158"/>
      <c r="CQ71" s="2158"/>
      <c r="CR71" s="2158"/>
      <c r="CS71" s="2158"/>
      <c r="CT71" s="2158"/>
      <c r="CU71" s="2158"/>
      <c r="CV71" s="2158"/>
      <c r="CW71" s="2158"/>
      <c r="CX71" s="2158"/>
      <c r="CY71" s="2158"/>
      <c r="CZ71" s="2158"/>
      <c r="DA71" s="2158"/>
      <c r="DB71" s="2158"/>
      <c r="DC71" s="2158"/>
      <c r="DD71" s="2158"/>
      <c r="DE71" s="2158"/>
      <c r="DF71" s="2158"/>
      <c r="DG71" s="2158"/>
      <c r="DH71" s="2158"/>
      <c r="DI71" s="2158"/>
      <c r="DJ71" s="2158"/>
      <c r="DK71" s="2158"/>
      <c r="DL71" s="2158"/>
      <c r="DM71" s="2158"/>
      <c r="DN71" s="2158"/>
      <c r="DO71" s="2158"/>
      <c r="DP71" s="2158"/>
      <c r="DQ71" s="2158"/>
      <c r="DR71" s="2158"/>
      <c r="DS71" s="2158"/>
      <c r="DT71" s="2158"/>
      <c r="DU71" s="2158"/>
      <c r="DV71" s="2158"/>
      <c r="DW71" s="2158"/>
      <c r="DX71" s="2158"/>
      <c r="DY71" s="2158"/>
      <c r="DZ71" s="2158"/>
      <c r="EA71" s="2158"/>
      <c r="EB71" s="2158"/>
      <c r="EC71" s="2158"/>
      <c r="ED71" s="2158"/>
      <c r="EE71" s="2158"/>
      <c r="EF71" s="2158"/>
      <c r="EG71" s="2158"/>
      <c r="EH71" s="2158"/>
      <c r="EI71" s="2158"/>
      <c r="EJ71" s="2158"/>
    </row>
    <row r="72" spans="1:170" s="269" customFormat="1" ht="20.25" x14ac:dyDescent="0.3">
      <c r="A72" s="6048" t="s">
        <v>3989</v>
      </c>
      <c r="B72" s="4910"/>
      <c r="C72" s="4910"/>
      <c r="D72" s="4910"/>
      <c r="E72" s="4910"/>
      <c r="F72" s="4910"/>
      <c r="G72" s="4910"/>
      <c r="H72" s="4910"/>
      <c r="I72" s="4910"/>
      <c r="J72" s="4910"/>
      <c r="K72" s="4910"/>
      <c r="L72" s="4910"/>
      <c r="M72" s="4910"/>
      <c r="N72" s="4910"/>
      <c r="O72" s="4910"/>
      <c r="P72" s="4910"/>
      <c r="Q72" s="4910"/>
      <c r="R72" s="4910"/>
      <c r="S72" s="4910"/>
      <c r="T72" s="4910"/>
      <c r="U72" s="4910"/>
      <c r="V72" s="4910"/>
      <c r="W72" s="4910"/>
      <c r="X72" s="4910"/>
      <c r="Y72" s="4910"/>
      <c r="Z72" s="4910"/>
      <c r="AA72" s="4910"/>
      <c r="AB72" s="4910"/>
      <c r="AC72" s="4910"/>
      <c r="AD72" s="4910"/>
      <c r="AE72" s="4910"/>
      <c r="AF72" s="4910"/>
      <c r="AG72" s="4910"/>
      <c r="AH72" s="4910"/>
      <c r="AI72" s="4910"/>
      <c r="AJ72" s="4910"/>
      <c r="AK72" s="4910"/>
      <c r="AL72" s="4910"/>
      <c r="AM72" s="4910"/>
      <c r="AN72" s="4910"/>
      <c r="AO72" s="4910"/>
      <c r="AP72" s="4910"/>
      <c r="AQ72" s="4910"/>
      <c r="AR72" s="4910"/>
      <c r="AS72" s="4910"/>
      <c r="AT72" s="4910"/>
      <c r="AU72" s="4910"/>
      <c r="AV72" s="4910"/>
      <c r="AW72" s="4910"/>
      <c r="AX72" s="4910"/>
      <c r="AY72" s="4910"/>
      <c r="AZ72" s="4910"/>
      <c r="BA72" s="4910"/>
      <c r="BB72" s="4910"/>
      <c r="BC72" s="4910"/>
      <c r="BD72" s="4910"/>
      <c r="BE72" s="4910"/>
      <c r="BF72" s="4910"/>
      <c r="BG72" s="4910"/>
      <c r="BH72" s="4910"/>
      <c r="BI72" s="4910"/>
      <c r="BJ72" s="4910"/>
      <c r="BK72" s="4910"/>
      <c r="BL72" s="4910"/>
      <c r="BM72" s="4910"/>
      <c r="BN72" s="4910"/>
      <c r="BO72" s="4910"/>
      <c r="BP72" s="4910"/>
      <c r="BQ72" s="4910"/>
      <c r="BR72" s="4910"/>
      <c r="BS72" s="4910"/>
      <c r="BT72" s="4910"/>
      <c r="BU72" s="4910"/>
      <c r="BV72" s="4910"/>
      <c r="BW72" s="4910"/>
      <c r="BX72" s="4910"/>
      <c r="BY72" s="4910"/>
      <c r="BZ72" s="4910"/>
      <c r="CA72" s="4910"/>
      <c r="CB72" s="4910"/>
      <c r="CC72" s="4910"/>
      <c r="CD72" s="4910"/>
      <c r="CE72" s="4910"/>
      <c r="CF72" s="4910"/>
      <c r="CG72" s="4910"/>
      <c r="CH72" s="4910"/>
      <c r="CI72" s="4910"/>
      <c r="CJ72" s="4910"/>
      <c r="CK72" s="4910"/>
      <c r="CL72" s="4910"/>
      <c r="CM72" s="4910"/>
      <c r="CN72" s="4910"/>
      <c r="CO72" s="4910"/>
      <c r="CP72" s="4910"/>
      <c r="CQ72" s="4910"/>
      <c r="CR72" s="4910"/>
      <c r="CS72" s="4910"/>
      <c r="CT72" s="4910"/>
      <c r="CU72" s="4910"/>
      <c r="CV72" s="4910"/>
      <c r="CW72" s="4910"/>
      <c r="CX72" s="4910"/>
      <c r="CY72" s="4910"/>
      <c r="CZ72" s="4910"/>
      <c r="DA72" s="4910"/>
      <c r="DB72" s="4910"/>
      <c r="DC72" s="4910"/>
      <c r="DD72" s="4910"/>
      <c r="DE72" s="4910"/>
      <c r="DF72" s="4910"/>
      <c r="DG72" s="4910"/>
      <c r="DH72" s="4910"/>
      <c r="DI72" s="4910"/>
      <c r="DJ72" s="4910"/>
      <c r="DK72" s="4910"/>
      <c r="DL72" s="4910"/>
      <c r="DM72" s="4910"/>
      <c r="DN72" s="4910"/>
      <c r="DO72" s="4910"/>
      <c r="DP72" s="4910"/>
      <c r="DQ72" s="4910"/>
      <c r="DR72" s="4910"/>
      <c r="DS72" s="4910"/>
      <c r="DT72" s="4910"/>
      <c r="DU72" s="4910"/>
      <c r="DV72" s="4910"/>
      <c r="DW72" s="4910"/>
      <c r="DX72" s="4910"/>
      <c r="DY72" s="4910"/>
      <c r="DZ72" s="4910"/>
      <c r="EA72" s="4910"/>
      <c r="EB72" s="4910"/>
      <c r="EC72" s="4910"/>
      <c r="ED72" s="4910"/>
      <c r="EE72" s="4910"/>
      <c r="EF72" s="4910"/>
      <c r="EG72" s="4910"/>
      <c r="EH72" s="4910"/>
      <c r="EI72" s="4910"/>
      <c r="EJ72" s="4910"/>
      <c r="EK72" s="4910"/>
      <c r="EL72" s="4910"/>
      <c r="EM72" s="4910"/>
      <c r="EN72" s="4910"/>
      <c r="EO72" s="4910"/>
      <c r="EP72" s="4910"/>
      <c r="EQ72" s="4910"/>
      <c r="ER72" s="4910"/>
      <c r="ES72" s="4910"/>
      <c r="ET72" s="4910"/>
      <c r="EU72" s="4910"/>
      <c r="EV72" s="4910"/>
      <c r="EW72" s="4910"/>
      <c r="EX72" s="4910"/>
      <c r="EY72" s="4910"/>
      <c r="EZ72" s="4910"/>
      <c r="FA72" s="4910"/>
      <c r="FB72" s="4910"/>
      <c r="FC72" s="4910"/>
      <c r="FD72" s="4910"/>
      <c r="FE72" s="4910"/>
      <c r="FF72" s="4910"/>
      <c r="FG72" s="4910"/>
      <c r="FH72" s="4910"/>
      <c r="FI72" s="4910"/>
      <c r="FJ72" s="4910"/>
      <c r="FK72" s="4910"/>
      <c r="FL72" s="4910"/>
    </row>
  </sheetData>
  <mergeCells count="168">
    <mergeCell ref="A2:FV2"/>
    <mergeCell ref="FO6:FR6"/>
    <mergeCell ref="FS6:FV6"/>
    <mergeCell ref="FO4:FR5"/>
    <mergeCell ref="FS4:FV5"/>
    <mergeCell ref="FF5:FL5"/>
    <mergeCell ref="FF6:FF7"/>
    <mergeCell ref="FG6:FL6"/>
    <mergeCell ref="A72:FL72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EA4:EI4"/>
    <mergeCell ref="EA5:EG5"/>
    <mergeCell ref="EH5:EI6"/>
    <mergeCell ref="EA6:EA7"/>
    <mergeCell ref="EB6:EG6"/>
    <mergeCell ref="DD62:DE62"/>
    <mergeCell ref="CW5:DC5"/>
    <mergeCell ref="CW6:CW7"/>
    <mergeCell ref="CX6:DC6"/>
    <mergeCell ref="DU6:DZ6"/>
    <mergeCell ref="EH62:EI62"/>
    <mergeCell ref="BX6:CA6"/>
    <mergeCell ref="BW4:CA4"/>
    <mergeCell ref="BW5:CA5"/>
    <mergeCell ref="BW6:BW7"/>
    <mergeCell ref="CJ6:CO6"/>
    <mergeCell ref="CP6:CP7"/>
    <mergeCell ref="CQ6:CV6"/>
    <mergeCell ref="CI5:CO5"/>
    <mergeCell ref="CP5:CV5"/>
    <mergeCell ref="CB6:CB7"/>
    <mergeCell ref="CC6:CH6"/>
    <mergeCell ref="CI6:CI7"/>
    <mergeCell ref="CB4:CV4"/>
    <mergeCell ref="CB5:CH5"/>
    <mergeCell ref="CW4:DE4"/>
    <mergeCell ref="DD5:DE6"/>
    <mergeCell ref="AO4:AT4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C53:AD54"/>
    <mergeCell ref="W53:X54"/>
    <mergeCell ref="K53:K55"/>
    <mergeCell ref="AK53:AM54"/>
    <mergeCell ref="AI52:AM52"/>
    <mergeCell ref="AU5:AW5"/>
    <mergeCell ref="AU6:AU7"/>
    <mergeCell ref="AV6:AW6"/>
    <mergeCell ref="AK5:AL5"/>
    <mergeCell ref="AM5:AN5"/>
    <mergeCell ref="AK6:AK7"/>
    <mergeCell ref="AL6:AL7"/>
    <mergeCell ref="AM6:AM7"/>
    <mergeCell ref="AN6:AN7"/>
    <mergeCell ref="E4:F4"/>
    <mergeCell ref="F5:F7"/>
    <mergeCell ref="G52:G54"/>
    <mergeCell ref="H52:H54"/>
    <mergeCell ref="R5:R7"/>
    <mergeCell ref="U5:V5"/>
    <mergeCell ref="V6:V7"/>
    <mergeCell ref="J53:J55"/>
    <mergeCell ref="I53:I55"/>
    <mergeCell ref="S5:S7"/>
    <mergeCell ref="M5:M7"/>
    <mergeCell ref="AB4:AI4"/>
    <mergeCell ref="AH5:AH7"/>
    <mergeCell ref="AI5:AI7"/>
    <mergeCell ref="AF5:AG5"/>
    <mergeCell ref="I52:N52"/>
    <mergeCell ref="Y53:Z54"/>
    <mergeCell ref="O52:X52"/>
    <mergeCell ref="Y52:AD52"/>
    <mergeCell ref="L53:N54"/>
    <mergeCell ref="X6:X7"/>
    <mergeCell ref="W6:W7"/>
    <mergeCell ref="AB5:AB7"/>
    <mergeCell ref="AI53:AJ54"/>
    <mergeCell ref="AJ5:AJ7"/>
    <mergeCell ref="AD6:AD7"/>
    <mergeCell ref="AC5:AC7"/>
    <mergeCell ref="AD5:AE5"/>
    <mergeCell ref="Z5:Z7"/>
    <mergeCell ref="AE52:AH52"/>
    <mergeCell ref="AE53:AF54"/>
    <mergeCell ref="AG53:AH54"/>
    <mergeCell ref="AF6:AF7"/>
    <mergeCell ref="AG6:AG7"/>
    <mergeCell ref="AA53:AB54"/>
    <mergeCell ref="BH6:BH7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I6:BJ6"/>
    <mergeCell ref="BK6:BK7"/>
    <mergeCell ref="BK5:BO5"/>
    <mergeCell ref="EK5:EQ5"/>
    <mergeCell ref="ER5:EX5"/>
    <mergeCell ref="EY5:FE5"/>
    <mergeCell ref="EK6:EK7"/>
    <mergeCell ref="EL6:EQ6"/>
    <mergeCell ref="ER6:ER7"/>
    <mergeCell ref="ES6:EX6"/>
    <mergeCell ref="EY6:EY7"/>
    <mergeCell ref="EZ6:FE6"/>
    <mergeCell ref="FM5:FN5"/>
    <mergeCell ref="FM6:FN6"/>
    <mergeCell ref="FF4:FN4"/>
    <mergeCell ref="FM62:FN62"/>
    <mergeCell ref="EJ4:EJ7"/>
    <mergeCell ref="AJ4:AN4"/>
    <mergeCell ref="Y5:Y7"/>
    <mergeCell ref="AE6:AE7"/>
    <mergeCell ref="DF4:DZ4"/>
    <mergeCell ref="DF5:DL5"/>
    <mergeCell ref="DM5:DS5"/>
    <mergeCell ref="DT5:DZ5"/>
    <mergeCell ref="DF6:DF7"/>
    <mergeCell ref="DG6:DL6"/>
    <mergeCell ref="DM6:DM7"/>
    <mergeCell ref="DN6:DS6"/>
    <mergeCell ref="DT6:DT7"/>
    <mergeCell ref="AU4:AW4"/>
    <mergeCell ref="AR5:AT5"/>
    <mergeCell ref="AR6:AR7"/>
    <mergeCell ref="AS6:AT6"/>
    <mergeCell ref="BH4:BM4"/>
    <mergeCell ref="BH5:BJ5"/>
    <mergeCell ref="EK4:FE4"/>
  </mergeCells>
  <phoneticPr fontId="0" type="noConversion"/>
  <printOptions horizontalCentered="1" verticalCentered="1"/>
  <pageMargins left="0" right="0" top="0.35433070866141736" bottom="0" header="0.51181102362204722" footer="0.51181102362204722"/>
  <pageSetup paperSize="9" scale="32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Лист43">
    <tabColor rgb="FFFF66FF"/>
    <pageSetUpPr fitToPage="1"/>
  </sheetPr>
  <dimension ref="A3:AG18"/>
  <sheetViews>
    <sheetView workbookViewId="0">
      <selection activeCell="AF10" sqref="AF10"/>
    </sheetView>
  </sheetViews>
  <sheetFormatPr defaultRowHeight="12.75" x14ac:dyDescent="0.2"/>
  <cols>
    <col min="1" max="1" width="30.42578125" style="5" customWidth="1"/>
    <col min="2" max="2" width="9.5703125" style="5" customWidth="1"/>
    <col min="3" max="4" width="7.7109375" style="5" hidden="1" customWidth="1"/>
    <col min="5" max="13" width="7.7109375" style="5" customWidth="1"/>
    <col min="14" max="15" width="13.42578125" style="5" customWidth="1"/>
    <col min="16" max="17" width="9.5703125" style="5" hidden="1" customWidth="1"/>
    <col min="18" max="18" width="8.140625" style="5" customWidth="1"/>
    <col min="19" max="19" width="13.42578125" style="5" customWidth="1"/>
    <col min="20" max="20" width="12.7109375" style="5" customWidth="1"/>
    <col min="21" max="22" width="12.7109375" style="5" hidden="1" customWidth="1"/>
    <col min="23" max="25" width="12.7109375" style="5" customWidth="1"/>
    <col min="26" max="26" width="15.42578125" style="5" hidden="1" customWidth="1"/>
    <col min="27" max="28" width="0" style="5" hidden="1" customWidth="1"/>
    <col min="29" max="16384" width="9.140625" style="5"/>
  </cols>
  <sheetData>
    <row r="3" spans="1:33" ht="15.75" x14ac:dyDescent="0.25">
      <c r="A3" s="5639" t="s">
        <v>4041</v>
      </c>
      <c r="B3" s="5160"/>
      <c r="C3" s="5160"/>
      <c r="D3" s="5160"/>
      <c r="E3" s="5160"/>
      <c r="F3" s="5160"/>
      <c r="G3" s="5160"/>
      <c r="H3" s="5160"/>
      <c r="I3" s="5160"/>
      <c r="J3" s="5160"/>
      <c r="K3" s="5160"/>
      <c r="L3" s="5160"/>
      <c r="M3" s="5160"/>
      <c r="N3" s="5160"/>
      <c r="O3" s="5160"/>
      <c r="P3" s="5160"/>
      <c r="Q3" s="5160"/>
      <c r="R3" s="5160"/>
      <c r="S3" s="5160"/>
      <c r="T3" s="5160"/>
      <c r="U3" s="5160"/>
      <c r="V3" s="5160"/>
      <c r="W3" s="5160"/>
      <c r="X3" s="5160"/>
      <c r="Y3" s="5160"/>
      <c r="Z3" s="4910"/>
      <c r="AA3" s="4910"/>
      <c r="AB3" s="4910"/>
      <c r="AC3" s="4910"/>
      <c r="AD3" s="4910"/>
      <c r="AE3" s="4910"/>
      <c r="AF3" s="4910"/>
      <c r="AG3" s="4910"/>
    </row>
    <row r="5" spans="1:33" ht="38.25" customHeight="1" x14ac:dyDescent="0.2">
      <c r="A5" s="5155" t="s">
        <v>525</v>
      </c>
      <c r="B5" s="5150" t="s">
        <v>1520</v>
      </c>
      <c r="C5" s="5155" t="s">
        <v>118</v>
      </c>
      <c r="D5" s="5155"/>
      <c r="E5" s="5155"/>
      <c r="F5" s="5155"/>
      <c r="G5" s="5155"/>
      <c r="H5" s="5155" t="s">
        <v>1521</v>
      </c>
      <c r="I5" s="5155"/>
      <c r="J5" s="5155"/>
      <c r="K5" s="5155"/>
      <c r="L5" s="5155"/>
      <c r="M5" s="5155"/>
      <c r="N5" s="4719" t="s">
        <v>3511</v>
      </c>
      <c r="O5" s="4719" t="s">
        <v>3660</v>
      </c>
      <c r="P5" s="5837" t="s">
        <v>3614</v>
      </c>
      <c r="Q5" s="5837" t="s">
        <v>3615</v>
      </c>
      <c r="R5" s="5837" t="s">
        <v>3618</v>
      </c>
      <c r="S5" s="4719" t="s">
        <v>3511</v>
      </c>
      <c r="T5" s="4719" t="s">
        <v>3660</v>
      </c>
      <c r="U5" s="5837" t="s">
        <v>3867</v>
      </c>
      <c r="V5" s="5837" t="s">
        <v>3868</v>
      </c>
      <c r="W5" s="5837" t="s">
        <v>3876</v>
      </c>
      <c r="X5" s="4719" t="s">
        <v>3511</v>
      </c>
      <c r="Y5" s="4719" t="s">
        <v>3660</v>
      </c>
      <c r="Z5" s="5155" t="s">
        <v>1901</v>
      </c>
      <c r="AA5" s="5837" t="s">
        <v>3943</v>
      </c>
      <c r="AB5" s="5837" t="s">
        <v>3944</v>
      </c>
      <c r="AC5" s="5837" t="s">
        <v>3945</v>
      </c>
      <c r="AD5" s="4719" t="s">
        <v>3511</v>
      </c>
      <c r="AE5" s="4719" t="s">
        <v>3660</v>
      </c>
      <c r="AF5" s="5837" t="s">
        <v>4271</v>
      </c>
      <c r="AG5" s="5837" t="s">
        <v>4272</v>
      </c>
    </row>
    <row r="6" spans="1:33" x14ac:dyDescent="0.2">
      <c r="A6" s="5155"/>
      <c r="B6" s="5151"/>
      <c r="C6" s="4720" t="s">
        <v>1799</v>
      </c>
      <c r="D6" s="4720" t="s">
        <v>1805</v>
      </c>
      <c r="E6" s="4720" t="s">
        <v>1806</v>
      </c>
      <c r="F6" s="4720" t="s">
        <v>1807</v>
      </c>
      <c r="G6" s="4720" t="s">
        <v>1808</v>
      </c>
      <c r="H6" s="4720" t="s">
        <v>1799</v>
      </c>
      <c r="I6" s="4720" t="s">
        <v>1805</v>
      </c>
      <c r="J6" s="4720" t="s">
        <v>1806</v>
      </c>
      <c r="K6" s="4720" t="s">
        <v>1807</v>
      </c>
      <c r="L6" s="4720" t="s">
        <v>1808</v>
      </c>
      <c r="M6" s="4720" t="s">
        <v>1809</v>
      </c>
      <c r="N6" s="5864" t="s">
        <v>1805</v>
      </c>
      <c r="O6" s="5675"/>
      <c r="P6" s="6049"/>
      <c r="Q6" s="6049"/>
      <c r="R6" s="6049"/>
      <c r="S6" s="5864" t="s">
        <v>1806</v>
      </c>
      <c r="T6" s="5675"/>
      <c r="U6" s="6049"/>
      <c r="V6" s="6049"/>
      <c r="W6" s="6049"/>
      <c r="X6" s="5864" t="s">
        <v>1807</v>
      </c>
      <c r="Y6" s="5675"/>
      <c r="Z6" s="5155"/>
      <c r="AA6" s="6049"/>
      <c r="AB6" s="6049"/>
      <c r="AC6" s="6049"/>
      <c r="AD6" s="5864" t="s">
        <v>1808</v>
      </c>
      <c r="AE6" s="5675"/>
      <c r="AF6" s="6049"/>
      <c r="AG6" s="6049"/>
    </row>
    <row r="7" spans="1:33" x14ac:dyDescent="0.2">
      <c r="A7" s="5864" t="s">
        <v>1947</v>
      </c>
      <c r="B7" s="6050"/>
      <c r="C7" s="6050"/>
      <c r="D7" s="6050"/>
      <c r="E7" s="6050"/>
      <c r="F7" s="6050"/>
      <c r="G7" s="6050"/>
      <c r="H7" s="6050"/>
      <c r="I7" s="6050"/>
      <c r="J7" s="6050"/>
      <c r="K7" s="6050"/>
      <c r="L7" s="6050"/>
      <c r="M7" s="6050"/>
      <c r="N7" s="6050"/>
      <c r="O7" s="6050"/>
      <c r="P7" s="6050"/>
      <c r="Q7" s="6050"/>
      <c r="R7" s="6050"/>
      <c r="S7" s="6050"/>
      <c r="T7" s="6050"/>
      <c r="U7" s="6050"/>
      <c r="V7" s="6050"/>
      <c r="W7" s="6050"/>
      <c r="X7" s="6050"/>
      <c r="Y7" s="6050"/>
      <c r="Z7" s="5586"/>
      <c r="AA7" s="5586"/>
      <c r="AB7" s="5586"/>
      <c r="AC7" s="5586"/>
      <c r="AD7" s="5586"/>
      <c r="AE7" s="5586"/>
      <c r="AF7" s="5586"/>
      <c r="AG7" s="5587"/>
    </row>
    <row r="8" spans="1:33" ht="22.5" customHeight="1" x14ac:dyDescent="0.2">
      <c r="A8" s="4733" t="s">
        <v>1948</v>
      </c>
      <c r="B8" s="4728" t="s">
        <v>1952</v>
      </c>
      <c r="C8" s="4732">
        <v>2105.39</v>
      </c>
      <c r="D8" s="4732">
        <v>2210.66</v>
      </c>
      <c r="E8" s="4732">
        <v>2321.1999999999998</v>
      </c>
      <c r="F8" s="4732">
        <v>2437.3000000000002</v>
      </c>
      <c r="G8" s="4732">
        <v>2559.1</v>
      </c>
      <c r="H8" s="4732">
        <f>D14*1.059</f>
        <v>2049.7898100000002</v>
      </c>
      <c r="I8" s="4732">
        <f>H8*1.042</f>
        <v>2135.8809820200004</v>
      </c>
      <c r="J8" s="4732">
        <f>I8*1.04</f>
        <v>2221.3162213008004</v>
      </c>
      <c r="K8" s="4732">
        <f>J8*1.04</f>
        <v>2310.1688701528324</v>
      </c>
      <c r="L8" s="4732">
        <f>K8*1.039</f>
        <v>2400.2654560887927</v>
      </c>
      <c r="M8" s="4732">
        <f>L8*1.039</f>
        <v>2493.8758088762556</v>
      </c>
      <c r="N8" s="4732">
        <f>SUM(I8)</f>
        <v>2135.8809820200004</v>
      </c>
      <c r="O8" s="4732">
        <v>2135.88</v>
      </c>
      <c r="P8" s="4732">
        <v>1956.94</v>
      </c>
      <c r="Q8" s="4732">
        <v>1956.94</v>
      </c>
      <c r="R8" s="4732">
        <v>1956.94</v>
      </c>
      <c r="S8" s="4732">
        <f>SUM(N8)</f>
        <v>2135.8809820200004</v>
      </c>
      <c r="T8" s="4732">
        <v>2010.2425000000001</v>
      </c>
      <c r="U8" s="3074">
        <v>1893.97</v>
      </c>
      <c r="V8" s="3074">
        <v>1893.97</v>
      </c>
      <c r="W8" s="4732">
        <v>1893.97</v>
      </c>
      <c r="X8" s="4732">
        <f>2109.43*1.05</f>
        <v>2214.9014999999999</v>
      </c>
      <c r="Y8" s="4732">
        <v>2068.63</v>
      </c>
      <c r="Z8" s="4729" t="s">
        <v>1956</v>
      </c>
      <c r="AA8" s="4732">
        <v>1893.97</v>
      </c>
      <c r="AB8" s="4732">
        <v>1902.96</v>
      </c>
      <c r="AC8" s="4732">
        <v>1968.68</v>
      </c>
      <c r="AD8" s="3074">
        <f>2109.43*1.05*1.05</f>
        <v>2325.6465750000002</v>
      </c>
      <c r="AE8" s="3074">
        <v>2131.3449999999998</v>
      </c>
      <c r="AF8" s="4718">
        <v>2109.4299999999998</v>
      </c>
      <c r="AG8" s="4718">
        <v>2198.0500000000002</v>
      </c>
    </row>
    <row r="9" spans="1:33" ht="45" customHeight="1" x14ac:dyDescent="0.2">
      <c r="A9" s="4733" t="s">
        <v>1949</v>
      </c>
      <c r="B9" s="4728" t="s">
        <v>1951</v>
      </c>
      <c r="C9" s="4728">
        <v>153</v>
      </c>
      <c r="D9" s="4728">
        <v>153</v>
      </c>
      <c r="E9" s="4728">
        <v>153</v>
      </c>
      <c r="F9" s="4728">
        <v>153</v>
      </c>
      <c r="G9" s="4728">
        <v>153</v>
      </c>
      <c r="H9" s="4728">
        <v>153</v>
      </c>
      <c r="I9" s="4728">
        <v>153</v>
      </c>
      <c r="J9" s="4728">
        <f>I9</f>
        <v>153</v>
      </c>
      <c r="K9" s="4728">
        <f t="shared" ref="K9:M9" si="0">J9</f>
        <v>153</v>
      </c>
      <c r="L9" s="4728">
        <f t="shared" si="0"/>
        <v>153</v>
      </c>
      <c r="M9" s="4728">
        <f t="shared" si="0"/>
        <v>153</v>
      </c>
      <c r="N9" s="4728">
        <f>SUM(I9)</f>
        <v>153</v>
      </c>
      <c r="O9" s="4728">
        <f>SUM(N9)</f>
        <v>153</v>
      </c>
      <c r="P9" s="4728">
        <v>40.14</v>
      </c>
      <c r="Q9" s="4728">
        <v>40.14</v>
      </c>
      <c r="R9" s="4728">
        <v>63.96</v>
      </c>
      <c r="S9" s="4728">
        <f>SUM(N9)</f>
        <v>153</v>
      </c>
      <c r="T9" s="4728">
        <f>SUM(R9)</f>
        <v>63.96</v>
      </c>
      <c r="U9" s="4722">
        <v>48.58</v>
      </c>
      <c r="V9" s="4722">
        <v>51.65</v>
      </c>
      <c r="W9" s="4728">
        <v>86.4</v>
      </c>
      <c r="X9" s="4728">
        <v>86.4</v>
      </c>
      <c r="Y9" s="4728">
        <f>SUM(W9)</f>
        <v>86.4</v>
      </c>
      <c r="Z9" s="4723" t="s">
        <v>1955</v>
      </c>
      <c r="AA9" s="4728">
        <v>74.900000000000006</v>
      </c>
      <c r="AB9" s="4728">
        <v>78.16</v>
      </c>
      <c r="AC9" s="4728">
        <v>114.66</v>
      </c>
      <c r="AD9" s="4722">
        <f>SUM(O9)</f>
        <v>153</v>
      </c>
      <c r="AE9" s="4722">
        <f>SUM(AC9)</f>
        <v>114.66</v>
      </c>
      <c r="AF9" s="4756">
        <v>61.13</v>
      </c>
      <c r="AG9" s="4756">
        <v>112.35</v>
      </c>
    </row>
    <row r="10" spans="1:33" ht="40.5" customHeight="1" x14ac:dyDescent="0.2">
      <c r="A10" s="4733" t="s">
        <v>1950</v>
      </c>
      <c r="B10" s="4728" t="s">
        <v>899</v>
      </c>
      <c r="C10" s="4732">
        <v>322.13</v>
      </c>
      <c r="D10" s="4732">
        <v>338.23</v>
      </c>
      <c r="E10" s="4732">
        <v>355.14</v>
      </c>
      <c r="F10" s="4732">
        <v>372.9</v>
      </c>
      <c r="G10" s="4732">
        <v>391.55</v>
      </c>
      <c r="H10" s="4731">
        <f t="shared" ref="H10:Y10" si="1">H8*H9/1000</f>
        <v>313.61784093</v>
      </c>
      <c r="I10" s="4731">
        <f t="shared" si="1"/>
        <v>326.7897902490601</v>
      </c>
      <c r="J10" s="4731">
        <f t="shared" si="1"/>
        <v>339.86138185902246</v>
      </c>
      <c r="K10" s="4731">
        <f t="shared" si="1"/>
        <v>353.4558371333834</v>
      </c>
      <c r="L10" s="4731">
        <f t="shared" si="1"/>
        <v>367.24061478158529</v>
      </c>
      <c r="M10" s="4731">
        <f t="shared" si="1"/>
        <v>381.56299875806707</v>
      </c>
      <c r="N10" s="4731">
        <f t="shared" si="1"/>
        <v>326.7897902490601</v>
      </c>
      <c r="O10" s="4731">
        <f t="shared" si="1"/>
        <v>326.78964000000002</v>
      </c>
      <c r="P10" s="4731">
        <f t="shared" si="1"/>
        <v>78.551571600000017</v>
      </c>
      <c r="Q10" s="4731">
        <f t="shared" si="1"/>
        <v>78.551571600000017</v>
      </c>
      <c r="R10" s="4731">
        <f t="shared" si="1"/>
        <v>125.1658824</v>
      </c>
      <c r="S10" s="4731">
        <f t="shared" si="1"/>
        <v>326.7897902490601</v>
      </c>
      <c r="T10" s="4731">
        <f t="shared" si="1"/>
        <v>128.57511030000001</v>
      </c>
      <c r="U10" s="3075">
        <f t="shared" si="1"/>
        <v>92.009062600000007</v>
      </c>
      <c r="V10" s="3075">
        <f t="shared" si="1"/>
        <v>97.823550499999996</v>
      </c>
      <c r="W10" s="4731">
        <f t="shared" si="1"/>
        <v>163.63900799999999</v>
      </c>
      <c r="X10" s="4731">
        <f t="shared" si="1"/>
        <v>191.3674896</v>
      </c>
      <c r="Y10" s="4731">
        <f t="shared" si="1"/>
        <v>178.72963200000001</v>
      </c>
      <c r="Z10" s="4728"/>
      <c r="AA10" s="4731">
        <f t="shared" ref="AA10:AE10" si="2">AA8*AA9/1000</f>
        <v>141.85835299999999</v>
      </c>
      <c r="AB10" s="4731">
        <f t="shared" si="2"/>
        <v>148.7353536</v>
      </c>
      <c r="AC10" s="4731">
        <f t="shared" si="2"/>
        <v>225.72884880000001</v>
      </c>
      <c r="AD10" s="3075">
        <f t="shared" si="2"/>
        <v>355.82392597500001</v>
      </c>
      <c r="AE10" s="3075">
        <f t="shared" si="2"/>
        <v>244.38001769999997</v>
      </c>
      <c r="AF10" s="4735">
        <f t="shared" ref="AF10:AG10" si="3">AF8*AF9/1000</f>
        <v>128.9494559</v>
      </c>
      <c r="AG10" s="4735">
        <f t="shared" si="3"/>
        <v>246.9509175</v>
      </c>
    </row>
    <row r="12" spans="1:33" ht="25.5" hidden="1" x14ac:dyDescent="0.2">
      <c r="A12" s="2091" t="s">
        <v>1953</v>
      </c>
      <c r="B12" s="5088" t="s">
        <v>1954</v>
      </c>
      <c r="C12" s="5088"/>
      <c r="D12" s="5088"/>
      <c r="E12" s="5088"/>
      <c r="F12" s="4910"/>
    </row>
    <row r="13" spans="1:33" hidden="1" x14ac:dyDescent="0.2">
      <c r="B13" s="5" t="s">
        <v>1959</v>
      </c>
      <c r="C13" s="5" t="s">
        <v>1958</v>
      </c>
      <c r="D13" s="5" t="s">
        <v>1960</v>
      </c>
    </row>
    <row r="14" spans="1:33" hidden="1" x14ac:dyDescent="0.2">
      <c r="A14" s="5" t="s">
        <v>1957</v>
      </c>
      <c r="B14" s="5">
        <v>1884.96</v>
      </c>
      <c r="C14" s="5">
        <v>1986.22</v>
      </c>
      <c r="D14" s="1668">
        <f>(B14*6+C14*6)/12</f>
        <v>1935.5900000000001</v>
      </c>
    </row>
    <row r="18" spans="1:1" ht="18.75" x14ac:dyDescent="0.3">
      <c r="A18" s="389" t="s">
        <v>4042</v>
      </c>
    </row>
  </sheetData>
  <mergeCells count="23">
    <mergeCell ref="B12:F12"/>
    <mergeCell ref="Z5:Z6"/>
    <mergeCell ref="B5:B6"/>
    <mergeCell ref="C5:G5"/>
    <mergeCell ref="A5:A6"/>
    <mergeCell ref="H5:M5"/>
    <mergeCell ref="P5:P6"/>
    <mergeCell ref="Q5:Q6"/>
    <mergeCell ref="R5:R6"/>
    <mergeCell ref="N6:O6"/>
    <mergeCell ref="S6:T6"/>
    <mergeCell ref="U5:U6"/>
    <mergeCell ref="V5:V6"/>
    <mergeCell ref="AF5:AF6"/>
    <mergeCell ref="AG5:AG6"/>
    <mergeCell ref="A7:AG7"/>
    <mergeCell ref="A3:AG3"/>
    <mergeCell ref="AD6:AE6"/>
    <mergeCell ref="W5:W6"/>
    <mergeCell ref="AA5:AA6"/>
    <mergeCell ref="AB5:AB6"/>
    <mergeCell ref="AC5:AC6"/>
    <mergeCell ref="X6:Y6"/>
  </mergeCells>
  <printOptions horizontalCentered="1"/>
  <pageMargins left="0.31496062992125984" right="0.31496062992125984" top="1.1417322834645669" bottom="0.74803149606299213" header="0.31496062992125984" footer="0.31496062992125984"/>
  <pageSetup paperSize="9" scale="6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J56"/>
  <sheetViews>
    <sheetView topLeftCell="A19" workbookViewId="0">
      <selection activeCell="Q50" sqref="Q50"/>
    </sheetView>
  </sheetViews>
  <sheetFormatPr defaultRowHeight="12.75" x14ac:dyDescent="0.2"/>
  <cols>
    <col min="1" max="1" width="14.5703125" style="2482" customWidth="1"/>
    <col min="2" max="6" width="10.7109375" style="2482" customWidth="1"/>
    <col min="7" max="7" width="11.28515625" style="2482" customWidth="1"/>
    <col min="8" max="8" width="10.7109375" style="2482" customWidth="1"/>
    <col min="9" max="9" width="11.28515625" style="2482" customWidth="1"/>
    <col min="10" max="20" width="10.7109375" style="2482" customWidth="1"/>
    <col min="21" max="21" width="8" style="2482" customWidth="1"/>
    <col min="22" max="22" width="9.7109375" style="2482" customWidth="1"/>
    <col min="23" max="23" width="10" style="2482" customWidth="1"/>
    <col min="24" max="24" width="7.42578125" style="2482" customWidth="1"/>
    <col min="25" max="25" width="9" style="2482" customWidth="1"/>
    <col min="26" max="26" width="9.140625" style="2482"/>
    <col min="27" max="27" width="9.42578125" style="2482" bestFit="1" customWidth="1"/>
    <col min="28" max="256" width="9.140625" style="2482"/>
    <col min="257" max="257" width="14.5703125" style="2482" customWidth="1"/>
    <col min="258" max="262" width="10.7109375" style="2482" customWidth="1"/>
    <col min="263" max="263" width="11.28515625" style="2482" customWidth="1"/>
    <col min="264" max="264" width="10.7109375" style="2482" customWidth="1"/>
    <col min="265" max="265" width="11.28515625" style="2482" customWidth="1"/>
    <col min="266" max="276" width="10.7109375" style="2482" customWidth="1"/>
    <col min="277" max="277" width="8" style="2482" customWidth="1"/>
    <col min="278" max="278" width="9.7109375" style="2482" customWidth="1"/>
    <col min="279" max="279" width="10" style="2482" customWidth="1"/>
    <col min="280" max="280" width="7.42578125" style="2482" customWidth="1"/>
    <col min="281" max="281" width="9" style="2482" customWidth="1"/>
    <col min="282" max="282" width="9.140625" style="2482"/>
    <col min="283" max="283" width="9.42578125" style="2482" bestFit="1" customWidth="1"/>
    <col min="284" max="512" width="9.140625" style="2482"/>
    <col min="513" max="513" width="14.5703125" style="2482" customWidth="1"/>
    <col min="514" max="518" width="10.7109375" style="2482" customWidth="1"/>
    <col min="519" max="519" width="11.28515625" style="2482" customWidth="1"/>
    <col min="520" max="520" width="10.7109375" style="2482" customWidth="1"/>
    <col min="521" max="521" width="11.28515625" style="2482" customWidth="1"/>
    <col min="522" max="532" width="10.7109375" style="2482" customWidth="1"/>
    <col min="533" max="533" width="8" style="2482" customWidth="1"/>
    <col min="534" max="534" width="9.7109375" style="2482" customWidth="1"/>
    <col min="535" max="535" width="10" style="2482" customWidth="1"/>
    <col min="536" max="536" width="7.42578125" style="2482" customWidth="1"/>
    <col min="537" max="537" width="9" style="2482" customWidth="1"/>
    <col min="538" max="538" width="9.140625" style="2482"/>
    <col min="539" max="539" width="9.42578125" style="2482" bestFit="1" customWidth="1"/>
    <col min="540" max="768" width="9.140625" style="2482"/>
    <col min="769" max="769" width="14.5703125" style="2482" customWidth="1"/>
    <col min="770" max="774" width="10.7109375" style="2482" customWidth="1"/>
    <col min="775" max="775" width="11.28515625" style="2482" customWidth="1"/>
    <col min="776" max="776" width="10.7109375" style="2482" customWidth="1"/>
    <col min="777" max="777" width="11.28515625" style="2482" customWidth="1"/>
    <col min="778" max="788" width="10.7109375" style="2482" customWidth="1"/>
    <col min="789" max="789" width="8" style="2482" customWidth="1"/>
    <col min="790" max="790" width="9.7109375" style="2482" customWidth="1"/>
    <col min="791" max="791" width="10" style="2482" customWidth="1"/>
    <col min="792" max="792" width="7.42578125" style="2482" customWidth="1"/>
    <col min="793" max="793" width="9" style="2482" customWidth="1"/>
    <col min="794" max="794" width="9.140625" style="2482"/>
    <col min="795" max="795" width="9.42578125" style="2482" bestFit="1" customWidth="1"/>
    <col min="796" max="1024" width="9.140625" style="2482"/>
    <col min="1025" max="1025" width="14.5703125" style="2482" customWidth="1"/>
    <col min="1026" max="1030" width="10.7109375" style="2482" customWidth="1"/>
    <col min="1031" max="1031" width="11.28515625" style="2482" customWidth="1"/>
    <col min="1032" max="1032" width="10.7109375" style="2482" customWidth="1"/>
    <col min="1033" max="1033" width="11.28515625" style="2482" customWidth="1"/>
    <col min="1034" max="1044" width="10.7109375" style="2482" customWidth="1"/>
    <col min="1045" max="1045" width="8" style="2482" customWidth="1"/>
    <col min="1046" max="1046" width="9.7109375" style="2482" customWidth="1"/>
    <col min="1047" max="1047" width="10" style="2482" customWidth="1"/>
    <col min="1048" max="1048" width="7.42578125" style="2482" customWidth="1"/>
    <col min="1049" max="1049" width="9" style="2482" customWidth="1"/>
    <col min="1050" max="1050" width="9.140625" style="2482"/>
    <col min="1051" max="1051" width="9.42578125" style="2482" bestFit="1" customWidth="1"/>
    <col min="1052" max="1280" width="9.140625" style="2482"/>
    <col min="1281" max="1281" width="14.5703125" style="2482" customWidth="1"/>
    <col min="1282" max="1286" width="10.7109375" style="2482" customWidth="1"/>
    <col min="1287" max="1287" width="11.28515625" style="2482" customWidth="1"/>
    <col min="1288" max="1288" width="10.7109375" style="2482" customWidth="1"/>
    <col min="1289" max="1289" width="11.28515625" style="2482" customWidth="1"/>
    <col min="1290" max="1300" width="10.7109375" style="2482" customWidth="1"/>
    <col min="1301" max="1301" width="8" style="2482" customWidth="1"/>
    <col min="1302" max="1302" width="9.7109375" style="2482" customWidth="1"/>
    <col min="1303" max="1303" width="10" style="2482" customWidth="1"/>
    <col min="1304" max="1304" width="7.42578125" style="2482" customWidth="1"/>
    <col min="1305" max="1305" width="9" style="2482" customWidth="1"/>
    <col min="1306" max="1306" width="9.140625" style="2482"/>
    <col min="1307" max="1307" width="9.42578125" style="2482" bestFit="1" customWidth="1"/>
    <col min="1308" max="1536" width="9.140625" style="2482"/>
    <col min="1537" max="1537" width="14.5703125" style="2482" customWidth="1"/>
    <col min="1538" max="1542" width="10.7109375" style="2482" customWidth="1"/>
    <col min="1543" max="1543" width="11.28515625" style="2482" customWidth="1"/>
    <col min="1544" max="1544" width="10.7109375" style="2482" customWidth="1"/>
    <col min="1545" max="1545" width="11.28515625" style="2482" customWidth="1"/>
    <col min="1546" max="1556" width="10.7109375" style="2482" customWidth="1"/>
    <col min="1557" max="1557" width="8" style="2482" customWidth="1"/>
    <col min="1558" max="1558" width="9.7109375" style="2482" customWidth="1"/>
    <col min="1559" max="1559" width="10" style="2482" customWidth="1"/>
    <col min="1560" max="1560" width="7.42578125" style="2482" customWidth="1"/>
    <col min="1561" max="1561" width="9" style="2482" customWidth="1"/>
    <col min="1562" max="1562" width="9.140625" style="2482"/>
    <col min="1563" max="1563" width="9.42578125" style="2482" bestFit="1" customWidth="1"/>
    <col min="1564" max="1792" width="9.140625" style="2482"/>
    <col min="1793" max="1793" width="14.5703125" style="2482" customWidth="1"/>
    <col min="1794" max="1798" width="10.7109375" style="2482" customWidth="1"/>
    <col min="1799" max="1799" width="11.28515625" style="2482" customWidth="1"/>
    <col min="1800" max="1800" width="10.7109375" style="2482" customWidth="1"/>
    <col min="1801" max="1801" width="11.28515625" style="2482" customWidth="1"/>
    <col min="1802" max="1812" width="10.7109375" style="2482" customWidth="1"/>
    <col min="1813" max="1813" width="8" style="2482" customWidth="1"/>
    <col min="1814" max="1814" width="9.7109375" style="2482" customWidth="1"/>
    <col min="1815" max="1815" width="10" style="2482" customWidth="1"/>
    <col min="1816" max="1816" width="7.42578125" style="2482" customWidth="1"/>
    <col min="1817" max="1817" width="9" style="2482" customWidth="1"/>
    <col min="1818" max="1818" width="9.140625" style="2482"/>
    <col min="1819" max="1819" width="9.42578125" style="2482" bestFit="1" customWidth="1"/>
    <col min="1820" max="2048" width="9.140625" style="2482"/>
    <col min="2049" max="2049" width="14.5703125" style="2482" customWidth="1"/>
    <col min="2050" max="2054" width="10.7109375" style="2482" customWidth="1"/>
    <col min="2055" max="2055" width="11.28515625" style="2482" customWidth="1"/>
    <col min="2056" max="2056" width="10.7109375" style="2482" customWidth="1"/>
    <col min="2057" max="2057" width="11.28515625" style="2482" customWidth="1"/>
    <col min="2058" max="2068" width="10.7109375" style="2482" customWidth="1"/>
    <col min="2069" max="2069" width="8" style="2482" customWidth="1"/>
    <col min="2070" max="2070" width="9.7109375" style="2482" customWidth="1"/>
    <col min="2071" max="2071" width="10" style="2482" customWidth="1"/>
    <col min="2072" max="2072" width="7.42578125" style="2482" customWidth="1"/>
    <col min="2073" max="2073" width="9" style="2482" customWidth="1"/>
    <col min="2074" max="2074" width="9.140625" style="2482"/>
    <col min="2075" max="2075" width="9.42578125" style="2482" bestFit="1" customWidth="1"/>
    <col min="2076" max="2304" width="9.140625" style="2482"/>
    <col min="2305" max="2305" width="14.5703125" style="2482" customWidth="1"/>
    <col min="2306" max="2310" width="10.7109375" style="2482" customWidth="1"/>
    <col min="2311" max="2311" width="11.28515625" style="2482" customWidth="1"/>
    <col min="2312" max="2312" width="10.7109375" style="2482" customWidth="1"/>
    <col min="2313" max="2313" width="11.28515625" style="2482" customWidth="1"/>
    <col min="2314" max="2324" width="10.7109375" style="2482" customWidth="1"/>
    <col min="2325" max="2325" width="8" style="2482" customWidth="1"/>
    <col min="2326" max="2326" width="9.7109375" style="2482" customWidth="1"/>
    <col min="2327" max="2327" width="10" style="2482" customWidth="1"/>
    <col min="2328" max="2328" width="7.42578125" style="2482" customWidth="1"/>
    <col min="2329" max="2329" width="9" style="2482" customWidth="1"/>
    <col min="2330" max="2330" width="9.140625" style="2482"/>
    <col min="2331" max="2331" width="9.42578125" style="2482" bestFit="1" customWidth="1"/>
    <col min="2332" max="2560" width="9.140625" style="2482"/>
    <col min="2561" max="2561" width="14.5703125" style="2482" customWidth="1"/>
    <col min="2562" max="2566" width="10.7109375" style="2482" customWidth="1"/>
    <col min="2567" max="2567" width="11.28515625" style="2482" customWidth="1"/>
    <col min="2568" max="2568" width="10.7109375" style="2482" customWidth="1"/>
    <col min="2569" max="2569" width="11.28515625" style="2482" customWidth="1"/>
    <col min="2570" max="2580" width="10.7109375" style="2482" customWidth="1"/>
    <col min="2581" max="2581" width="8" style="2482" customWidth="1"/>
    <col min="2582" max="2582" width="9.7109375" style="2482" customWidth="1"/>
    <col min="2583" max="2583" width="10" style="2482" customWidth="1"/>
    <col min="2584" max="2584" width="7.42578125" style="2482" customWidth="1"/>
    <col min="2585" max="2585" width="9" style="2482" customWidth="1"/>
    <col min="2586" max="2586" width="9.140625" style="2482"/>
    <col min="2587" max="2587" width="9.42578125" style="2482" bestFit="1" customWidth="1"/>
    <col min="2588" max="2816" width="9.140625" style="2482"/>
    <col min="2817" max="2817" width="14.5703125" style="2482" customWidth="1"/>
    <col min="2818" max="2822" width="10.7109375" style="2482" customWidth="1"/>
    <col min="2823" max="2823" width="11.28515625" style="2482" customWidth="1"/>
    <col min="2824" max="2824" width="10.7109375" style="2482" customWidth="1"/>
    <col min="2825" max="2825" width="11.28515625" style="2482" customWidth="1"/>
    <col min="2826" max="2836" width="10.7109375" style="2482" customWidth="1"/>
    <col min="2837" max="2837" width="8" style="2482" customWidth="1"/>
    <col min="2838" max="2838" width="9.7109375" style="2482" customWidth="1"/>
    <col min="2839" max="2839" width="10" style="2482" customWidth="1"/>
    <col min="2840" max="2840" width="7.42578125" style="2482" customWidth="1"/>
    <col min="2841" max="2841" width="9" style="2482" customWidth="1"/>
    <col min="2842" max="2842" width="9.140625" style="2482"/>
    <col min="2843" max="2843" width="9.42578125" style="2482" bestFit="1" customWidth="1"/>
    <col min="2844" max="3072" width="9.140625" style="2482"/>
    <col min="3073" max="3073" width="14.5703125" style="2482" customWidth="1"/>
    <col min="3074" max="3078" width="10.7109375" style="2482" customWidth="1"/>
    <col min="3079" max="3079" width="11.28515625" style="2482" customWidth="1"/>
    <col min="3080" max="3080" width="10.7109375" style="2482" customWidth="1"/>
    <col min="3081" max="3081" width="11.28515625" style="2482" customWidth="1"/>
    <col min="3082" max="3092" width="10.7109375" style="2482" customWidth="1"/>
    <col min="3093" max="3093" width="8" style="2482" customWidth="1"/>
    <col min="3094" max="3094" width="9.7109375" style="2482" customWidth="1"/>
    <col min="3095" max="3095" width="10" style="2482" customWidth="1"/>
    <col min="3096" max="3096" width="7.42578125" style="2482" customWidth="1"/>
    <col min="3097" max="3097" width="9" style="2482" customWidth="1"/>
    <col min="3098" max="3098" width="9.140625" style="2482"/>
    <col min="3099" max="3099" width="9.42578125" style="2482" bestFit="1" customWidth="1"/>
    <col min="3100" max="3328" width="9.140625" style="2482"/>
    <col min="3329" max="3329" width="14.5703125" style="2482" customWidth="1"/>
    <col min="3330" max="3334" width="10.7109375" style="2482" customWidth="1"/>
    <col min="3335" max="3335" width="11.28515625" style="2482" customWidth="1"/>
    <col min="3336" max="3336" width="10.7109375" style="2482" customWidth="1"/>
    <col min="3337" max="3337" width="11.28515625" style="2482" customWidth="1"/>
    <col min="3338" max="3348" width="10.7109375" style="2482" customWidth="1"/>
    <col min="3349" max="3349" width="8" style="2482" customWidth="1"/>
    <col min="3350" max="3350" width="9.7109375" style="2482" customWidth="1"/>
    <col min="3351" max="3351" width="10" style="2482" customWidth="1"/>
    <col min="3352" max="3352" width="7.42578125" style="2482" customWidth="1"/>
    <col min="3353" max="3353" width="9" style="2482" customWidth="1"/>
    <col min="3354" max="3354" width="9.140625" style="2482"/>
    <col min="3355" max="3355" width="9.42578125" style="2482" bestFit="1" customWidth="1"/>
    <col min="3356" max="3584" width="9.140625" style="2482"/>
    <col min="3585" max="3585" width="14.5703125" style="2482" customWidth="1"/>
    <col min="3586" max="3590" width="10.7109375" style="2482" customWidth="1"/>
    <col min="3591" max="3591" width="11.28515625" style="2482" customWidth="1"/>
    <col min="3592" max="3592" width="10.7109375" style="2482" customWidth="1"/>
    <col min="3593" max="3593" width="11.28515625" style="2482" customWidth="1"/>
    <col min="3594" max="3604" width="10.7109375" style="2482" customWidth="1"/>
    <col min="3605" max="3605" width="8" style="2482" customWidth="1"/>
    <col min="3606" max="3606" width="9.7109375" style="2482" customWidth="1"/>
    <col min="3607" max="3607" width="10" style="2482" customWidth="1"/>
    <col min="3608" max="3608" width="7.42578125" style="2482" customWidth="1"/>
    <col min="3609" max="3609" width="9" style="2482" customWidth="1"/>
    <col min="3610" max="3610" width="9.140625" style="2482"/>
    <col min="3611" max="3611" width="9.42578125" style="2482" bestFit="1" customWidth="1"/>
    <col min="3612" max="3840" width="9.140625" style="2482"/>
    <col min="3841" max="3841" width="14.5703125" style="2482" customWidth="1"/>
    <col min="3842" max="3846" width="10.7109375" style="2482" customWidth="1"/>
    <col min="3847" max="3847" width="11.28515625" style="2482" customWidth="1"/>
    <col min="3848" max="3848" width="10.7109375" style="2482" customWidth="1"/>
    <col min="3849" max="3849" width="11.28515625" style="2482" customWidth="1"/>
    <col min="3850" max="3860" width="10.7109375" style="2482" customWidth="1"/>
    <col min="3861" max="3861" width="8" style="2482" customWidth="1"/>
    <col min="3862" max="3862" width="9.7109375" style="2482" customWidth="1"/>
    <col min="3863" max="3863" width="10" style="2482" customWidth="1"/>
    <col min="3864" max="3864" width="7.42578125" style="2482" customWidth="1"/>
    <col min="3865" max="3865" width="9" style="2482" customWidth="1"/>
    <col min="3866" max="3866" width="9.140625" style="2482"/>
    <col min="3867" max="3867" width="9.42578125" style="2482" bestFit="1" customWidth="1"/>
    <col min="3868" max="4096" width="9.140625" style="2482"/>
    <col min="4097" max="4097" width="14.5703125" style="2482" customWidth="1"/>
    <col min="4098" max="4102" width="10.7109375" style="2482" customWidth="1"/>
    <col min="4103" max="4103" width="11.28515625" style="2482" customWidth="1"/>
    <col min="4104" max="4104" width="10.7109375" style="2482" customWidth="1"/>
    <col min="4105" max="4105" width="11.28515625" style="2482" customWidth="1"/>
    <col min="4106" max="4116" width="10.7109375" style="2482" customWidth="1"/>
    <col min="4117" max="4117" width="8" style="2482" customWidth="1"/>
    <col min="4118" max="4118" width="9.7109375" style="2482" customWidth="1"/>
    <col min="4119" max="4119" width="10" style="2482" customWidth="1"/>
    <col min="4120" max="4120" width="7.42578125" style="2482" customWidth="1"/>
    <col min="4121" max="4121" width="9" style="2482" customWidth="1"/>
    <col min="4122" max="4122" width="9.140625" style="2482"/>
    <col min="4123" max="4123" width="9.42578125" style="2482" bestFit="1" customWidth="1"/>
    <col min="4124" max="4352" width="9.140625" style="2482"/>
    <col min="4353" max="4353" width="14.5703125" style="2482" customWidth="1"/>
    <col min="4354" max="4358" width="10.7109375" style="2482" customWidth="1"/>
    <col min="4359" max="4359" width="11.28515625" style="2482" customWidth="1"/>
    <col min="4360" max="4360" width="10.7109375" style="2482" customWidth="1"/>
    <col min="4361" max="4361" width="11.28515625" style="2482" customWidth="1"/>
    <col min="4362" max="4372" width="10.7109375" style="2482" customWidth="1"/>
    <col min="4373" max="4373" width="8" style="2482" customWidth="1"/>
    <col min="4374" max="4374" width="9.7109375" style="2482" customWidth="1"/>
    <col min="4375" max="4375" width="10" style="2482" customWidth="1"/>
    <col min="4376" max="4376" width="7.42578125" style="2482" customWidth="1"/>
    <col min="4377" max="4377" width="9" style="2482" customWidth="1"/>
    <col min="4378" max="4378" width="9.140625" style="2482"/>
    <col min="4379" max="4379" width="9.42578125" style="2482" bestFit="1" customWidth="1"/>
    <col min="4380" max="4608" width="9.140625" style="2482"/>
    <col min="4609" max="4609" width="14.5703125" style="2482" customWidth="1"/>
    <col min="4610" max="4614" width="10.7109375" style="2482" customWidth="1"/>
    <col min="4615" max="4615" width="11.28515625" style="2482" customWidth="1"/>
    <col min="4616" max="4616" width="10.7109375" style="2482" customWidth="1"/>
    <col min="4617" max="4617" width="11.28515625" style="2482" customWidth="1"/>
    <col min="4618" max="4628" width="10.7109375" style="2482" customWidth="1"/>
    <col min="4629" max="4629" width="8" style="2482" customWidth="1"/>
    <col min="4630" max="4630" width="9.7109375" style="2482" customWidth="1"/>
    <col min="4631" max="4631" width="10" style="2482" customWidth="1"/>
    <col min="4632" max="4632" width="7.42578125" style="2482" customWidth="1"/>
    <col min="4633" max="4633" width="9" style="2482" customWidth="1"/>
    <col min="4634" max="4634" width="9.140625" style="2482"/>
    <col min="4635" max="4635" width="9.42578125" style="2482" bestFit="1" customWidth="1"/>
    <col min="4636" max="4864" width="9.140625" style="2482"/>
    <col min="4865" max="4865" width="14.5703125" style="2482" customWidth="1"/>
    <col min="4866" max="4870" width="10.7109375" style="2482" customWidth="1"/>
    <col min="4871" max="4871" width="11.28515625" style="2482" customWidth="1"/>
    <col min="4872" max="4872" width="10.7109375" style="2482" customWidth="1"/>
    <col min="4873" max="4873" width="11.28515625" style="2482" customWidth="1"/>
    <col min="4874" max="4884" width="10.7109375" style="2482" customWidth="1"/>
    <col min="4885" max="4885" width="8" style="2482" customWidth="1"/>
    <col min="4886" max="4886" width="9.7109375" style="2482" customWidth="1"/>
    <col min="4887" max="4887" width="10" style="2482" customWidth="1"/>
    <col min="4888" max="4888" width="7.42578125" style="2482" customWidth="1"/>
    <col min="4889" max="4889" width="9" style="2482" customWidth="1"/>
    <col min="4890" max="4890" width="9.140625" style="2482"/>
    <col min="4891" max="4891" width="9.42578125" style="2482" bestFit="1" customWidth="1"/>
    <col min="4892" max="5120" width="9.140625" style="2482"/>
    <col min="5121" max="5121" width="14.5703125" style="2482" customWidth="1"/>
    <col min="5122" max="5126" width="10.7109375" style="2482" customWidth="1"/>
    <col min="5127" max="5127" width="11.28515625" style="2482" customWidth="1"/>
    <col min="5128" max="5128" width="10.7109375" style="2482" customWidth="1"/>
    <col min="5129" max="5129" width="11.28515625" style="2482" customWidth="1"/>
    <col min="5130" max="5140" width="10.7109375" style="2482" customWidth="1"/>
    <col min="5141" max="5141" width="8" style="2482" customWidth="1"/>
    <col min="5142" max="5142" width="9.7109375" style="2482" customWidth="1"/>
    <col min="5143" max="5143" width="10" style="2482" customWidth="1"/>
    <col min="5144" max="5144" width="7.42578125" style="2482" customWidth="1"/>
    <col min="5145" max="5145" width="9" style="2482" customWidth="1"/>
    <col min="5146" max="5146" width="9.140625" style="2482"/>
    <col min="5147" max="5147" width="9.42578125" style="2482" bestFit="1" customWidth="1"/>
    <col min="5148" max="5376" width="9.140625" style="2482"/>
    <col min="5377" max="5377" width="14.5703125" style="2482" customWidth="1"/>
    <col min="5378" max="5382" width="10.7109375" style="2482" customWidth="1"/>
    <col min="5383" max="5383" width="11.28515625" style="2482" customWidth="1"/>
    <col min="5384" max="5384" width="10.7109375" style="2482" customWidth="1"/>
    <col min="5385" max="5385" width="11.28515625" style="2482" customWidth="1"/>
    <col min="5386" max="5396" width="10.7109375" style="2482" customWidth="1"/>
    <col min="5397" max="5397" width="8" style="2482" customWidth="1"/>
    <col min="5398" max="5398" width="9.7109375" style="2482" customWidth="1"/>
    <col min="5399" max="5399" width="10" style="2482" customWidth="1"/>
    <col min="5400" max="5400" width="7.42578125" style="2482" customWidth="1"/>
    <col min="5401" max="5401" width="9" style="2482" customWidth="1"/>
    <col min="5402" max="5402" width="9.140625" style="2482"/>
    <col min="5403" max="5403" width="9.42578125" style="2482" bestFit="1" customWidth="1"/>
    <col min="5404" max="5632" width="9.140625" style="2482"/>
    <col min="5633" max="5633" width="14.5703125" style="2482" customWidth="1"/>
    <col min="5634" max="5638" width="10.7109375" style="2482" customWidth="1"/>
    <col min="5639" max="5639" width="11.28515625" style="2482" customWidth="1"/>
    <col min="5640" max="5640" width="10.7109375" style="2482" customWidth="1"/>
    <col min="5641" max="5641" width="11.28515625" style="2482" customWidth="1"/>
    <col min="5642" max="5652" width="10.7109375" style="2482" customWidth="1"/>
    <col min="5653" max="5653" width="8" style="2482" customWidth="1"/>
    <col min="5654" max="5654" width="9.7109375" style="2482" customWidth="1"/>
    <col min="5655" max="5655" width="10" style="2482" customWidth="1"/>
    <col min="5656" max="5656" width="7.42578125" style="2482" customWidth="1"/>
    <col min="5657" max="5657" width="9" style="2482" customWidth="1"/>
    <col min="5658" max="5658" width="9.140625" style="2482"/>
    <col min="5659" max="5659" width="9.42578125" style="2482" bestFit="1" customWidth="1"/>
    <col min="5660" max="5888" width="9.140625" style="2482"/>
    <col min="5889" max="5889" width="14.5703125" style="2482" customWidth="1"/>
    <col min="5890" max="5894" width="10.7109375" style="2482" customWidth="1"/>
    <col min="5895" max="5895" width="11.28515625" style="2482" customWidth="1"/>
    <col min="5896" max="5896" width="10.7109375" style="2482" customWidth="1"/>
    <col min="5897" max="5897" width="11.28515625" style="2482" customWidth="1"/>
    <col min="5898" max="5908" width="10.7109375" style="2482" customWidth="1"/>
    <col min="5909" max="5909" width="8" style="2482" customWidth="1"/>
    <col min="5910" max="5910" width="9.7109375" style="2482" customWidth="1"/>
    <col min="5911" max="5911" width="10" style="2482" customWidth="1"/>
    <col min="5912" max="5912" width="7.42578125" style="2482" customWidth="1"/>
    <col min="5913" max="5913" width="9" style="2482" customWidth="1"/>
    <col min="5914" max="5914" width="9.140625" style="2482"/>
    <col min="5915" max="5915" width="9.42578125" style="2482" bestFit="1" customWidth="1"/>
    <col min="5916" max="6144" width="9.140625" style="2482"/>
    <col min="6145" max="6145" width="14.5703125" style="2482" customWidth="1"/>
    <col min="6146" max="6150" width="10.7109375" style="2482" customWidth="1"/>
    <col min="6151" max="6151" width="11.28515625" style="2482" customWidth="1"/>
    <col min="6152" max="6152" width="10.7109375" style="2482" customWidth="1"/>
    <col min="6153" max="6153" width="11.28515625" style="2482" customWidth="1"/>
    <col min="6154" max="6164" width="10.7109375" style="2482" customWidth="1"/>
    <col min="6165" max="6165" width="8" style="2482" customWidth="1"/>
    <col min="6166" max="6166" width="9.7109375" style="2482" customWidth="1"/>
    <col min="6167" max="6167" width="10" style="2482" customWidth="1"/>
    <col min="6168" max="6168" width="7.42578125" style="2482" customWidth="1"/>
    <col min="6169" max="6169" width="9" style="2482" customWidth="1"/>
    <col min="6170" max="6170" width="9.140625" style="2482"/>
    <col min="6171" max="6171" width="9.42578125" style="2482" bestFit="1" customWidth="1"/>
    <col min="6172" max="6400" width="9.140625" style="2482"/>
    <col min="6401" max="6401" width="14.5703125" style="2482" customWidth="1"/>
    <col min="6402" max="6406" width="10.7109375" style="2482" customWidth="1"/>
    <col min="6407" max="6407" width="11.28515625" style="2482" customWidth="1"/>
    <col min="6408" max="6408" width="10.7109375" style="2482" customWidth="1"/>
    <col min="6409" max="6409" width="11.28515625" style="2482" customWidth="1"/>
    <col min="6410" max="6420" width="10.7109375" style="2482" customWidth="1"/>
    <col min="6421" max="6421" width="8" style="2482" customWidth="1"/>
    <col min="6422" max="6422" width="9.7109375" style="2482" customWidth="1"/>
    <col min="6423" max="6423" width="10" style="2482" customWidth="1"/>
    <col min="6424" max="6424" width="7.42578125" style="2482" customWidth="1"/>
    <col min="6425" max="6425" width="9" style="2482" customWidth="1"/>
    <col min="6426" max="6426" width="9.140625" style="2482"/>
    <col min="6427" max="6427" width="9.42578125" style="2482" bestFit="1" customWidth="1"/>
    <col min="6428" max="6656" width="9.140625" style="2482"/>
    <col min="6657" max="6657" width="14.5703125" style="2482" customWidth="1"/>
    <col min="6658" max="6662" width="10.7109375" style="2482" customWidth="1"/>
    <col min="6663" max="6663" width="11.28515625" style="2482" customWidth="1"/>
    <col min="6664" max="6664" width="10.7109375" style="2482" customWidth="1"/>
    <col min="6665" max="6665" width="11.28515625" style="2482" customWidth="1"/>
    <col min="6666" max="6676" width="10.7109375" style="2482" customWidth="1"/>
    <col min="6677" max="6677" width="8" style="2482" customWidth="1"/>
    <col min="6678" max="6678" width="9.7109375" style="2482" customWidth="1"/>
    <col min="6679" max="6679" width="10" style="2482" customWidth="1"/>
    <col min="6680" max="6680" width="7.42578125" style="2482" customWidth="1"/>
    <col min="6681" max="6681" width="9" style="2482" customWidth="1"/>
    <col min="6682" max="6682" width="9.140625" style="2482"/>
    <col min="6683" max="6683" width="9.42578125" style="2482" bestFit="1" customWidth="1"/>
    <col min="6684" max="6912" width="9.140625" style="2482"/>
    <col min="6913" max="6913" width="14.5703125" style="2482" customWidth="1"/>
    <col min="6914" max="6918" width="10.7109375" style="2482" customWidth="1"/>
    <col min="6919" max="6919" width="11.28515625" style="2482" customWidth="1"/>
    <col min="6920" max="6920" width="10.7109375" style="2482" customWidth="1"/>
    <col min="6921" max="6921" width="11.28515625" style="2482" customWidth="1"/>
    <col min="6922" max="6932" width="10.7109375" style="2482" customWidth="1"/>
    <col min="6933" max="6933" width="8" style="2482" customWidth="1"/>
    <col min="6934" max="6934" width="9.7109375" style="2482" customWidth="1"/>
    <col min="6935" max="6935" width="10" style="2482" customWidth="1"/>
    <col min="6936" max="6936" width="7.42578125" style="2482" customWidth="1"/>
    <col min="6937" max="6937" width="9" style="2482" customWidth="1"/>
    <col min="6938" max="6938" width="9.140625" style="2482"/>
    <col min="6939" max="6939" width="9.42578125" style="2482" bestFit="1" customWidth="1"/>
    <col min="6940" max="7168" width="9.140625" style="2482"/>
    <col min="7169" max="7169" width="14.5703125" style="2482" customWidth="1"/>
    <col min="7170" max="7174" width="10.7109375" style="2482" customWidth="1"/>
    <col min="7175" max="7175" width="11.28515625" style="2482" customWidth="1"/>
    <col min="7176" max="7176" width="10.7109375" style="2482" customWidth="1"/>
    <col min="7177" max="7177" width="11.28515625" style="2482" customWidth="1"/>
    <col min="7178" max="7188" width="10.7109375" style="2482" customWidth="1"/>
    <col min="7189" max="7189" width="8" style="2482" customWidth="1"/>
    <col min="7190" max="7190" width="9.7109375" style="2482" customWidth="1"/>
    <col min="7191" max="7191" width="10" style="2482" customWidth="1"/>
    <col min="7192" max="7192" width="7.42578125" style="2482" customWidth="1"/>
    <col min="7193" max="7193" width="9" style="2482" customWidth="1"/>
    <col min="7194" max="7194" width="9.140625" style="2482"/>
    <col min="7195" max="7195" width="9.42578125" style="2482" bestFit="1" customWidth="1"/>
    <col min="7196" max="7424" width="9.140625" style="2482"/>
    <col min="7425" max="7425" width="14.5703125" style="2482" customWidth="1"/>
    <col min="7426" max="7430" width="10.7109375" style="2482" customWidth="1"/>
    <col min="7431" max="7431" width="11.28515625" style="2482" customWidth="1"/>
    <col min="7432" max="7432" width="10.7109375" style="2482" customWidth="1"/>
    <col min="7433" max="7433" width="11.28515625" style="2482" customWidth="1"/>
    <col min="7434" max="7444" width="10.7109375" style="2482" customWidth="1"/>
    <col min="7445" max="7445" width="8" style="2482" customWidth="1"/>
    <col min="7446" max="7446" width="9.7109375" style="2482" customWidth="1"/>
    <col min="7447" max="7447" width="10" style="2482" customWidth="1"/>
    <col min="7448" max="7448" width="7.42578125" style="2482" customWidth="1"/>
    <col min="7449" max="7449" width="9" style="2482" customWidth="1"/>
    <col min="7450" max="7450" width="9.140625" style="2482"/>
    <col min="7451" max="7451" width="9.42578125" style="2482" bestFit="1" customWidth="1"/>
    <col min="7452" max="7680" width="9.140625" style="2482"/>
    <col min="7681" max="7681" width="14.5703125" style="2482" customWidth="1"/>
    <col min="7682" max="7686" width="10.7109375" style="2482" customWidth="1"/>
    <col min="7687" max="7687" width="11.28515625" style="2482" customWidth="1"/>
    <col min="7688" max="7688" width="10.7109375" style="2482" customWidth="1"/>
    <col min="7689" max="7689" width="11.28515625" style="2482" customWidth="1"/>
    <col min="7690" max="7700" width="10.7109375" style="2482" customWidth="1"/>
    <col min="7701" max="7701" width="8" style="2482" customWidth="1"/>
    <col min="7702" max="7702" width="9.7109375" style="2482" customWidth="1"/>
    <col min="7703" max="7703" width="10" style="2482" customWidth="1"/>
    <col min="7704" max="7704" width="7.42578125" style="2482" customWidth="1"/>
    <col min="7705" max="7705" width="9" style="2482" customWidth="1"/>
    <col min="7706" max="7706" width="9.140625" style="2482"/>
    <col min="7707" max="7707" width="9.42578125" style="2482" bestFit="1" customWidth="1"/>
    <col min="7708" max="7936" width="9.140625" style="2482"/>
    <col min="7937" max="7937" width="14.5703125" style="2482" customWidth="1"/>
    <col min="7938" max="7942" width="10.7109375" style="2482" customWidth="1"/>
    <col min="7943" max="7943" width="11.28515625" style="2482" customWidth="1"/>
    <col min="7944" max="7944" width="10.7109375" style="2482" customWidth="1"/>
    <col min="7945" max="7945" width="11.28515625" style="2482" customWidth="1"/>
    <col min="7946" max="7956" width="10.7109375" style="2482" customWidth="1"/>
    <col min="7957" max="7957" width="8" style="2482" customWidth="1"/>
    <col min="7958" max="7958" width="9.7109375" style="2482" customWidth="1"/>
    <col min="7959" max="7959" width="10" style="2482" customWidth="1"/>
    <col min="7960" max="7960" width="7.42578125" style="2482" customWidth="1"/>
    <col min="7961" max="7961" width="9" style="2482" customWidth="1"/>
    <col min="7962" max="7962" width="9.140625" style="2482"/>
    <col min="7963" max="7963" width="9.42578125" style="2482" bestFit="1" customWidth="1"/>
    <col min="7964" max="8192" width="9.140625" style="2482"/>
    <col min="8193" max="8193" width="14.5703125" style="2482" customWidth="1"/>
    <col min="8194" max="8198" width="10.7109375" style="2482" customWidth="1"/>
    <col min="8199" max="8199" width="11.28515625" style="2482" customWidth="1"/>
    <col min="8200" max="8200" width="10.7109375" style="2482" customWidth="1"/>
    <col min="8201" max="8201" width="11.28515625" style="2482" customWidth="1"/>
    <col min="8202" max="8212" width="10.7109375" style="2482" customWidth="1"/>
    <col min="8213" max="8213" width="8" style="2482" customWidth="1"/>
    <col min="8214" max="8214" width="9.7109375" style="2482" customWidth="1"/>
    <col min="8215" max="8215" width="10" style="2482" customWidth="1"/>
    <col min="8216" max="8216" width="7.42578125" style="2482" customWidth="1"/>
    <col min="8217" max="8217" width="9" style="2482" customWidth="1"/>
    <col min="8218" max="8218" width="9.140625" style="2482"/>
    <col min="8219" max="8219" width="9.42578125" style="2482" bestFit="1" customWidth="1"/>
    <col min="8220" max="8448" width="9.140625" style="2482"/>
    <col min="8449" max="8449" width="14.5703125" style="2482" customWidth="1"/>
    <col min="8450" max="8454" width="10.7109375" style="2482" customWidth="1"/>
    <col min="8455" max="8455" width="11.28515625" style="2482" customWidth="1"/>
    <col min="8456" max="8456" width="10.7109375" style="2482" customWidth="1"/>
    <col min="8457" max="8457" width="11.28515625" style="2482" customWidth="1"/>
    <col min="8458" max="8468" width="10.7109375" style="2482" customWidth="1"/>
    <col min="8469" max="8469" width="8" style="2482" customWidth="1"/>
    <col min="8470" max="8470" width="9.7109375" style="2482" customWidth="1"/>
    <col min="8471" max="8471" width="10" style="2482" customWidth="1"/>
    <col min="8472" max="8472" width="7.42578125" style="2482" customWidth="1"/>
    <col min="8473" max="8473" width="9" style="2482" customWidth="1"/>
    <col min="8474" max="8474" width="9.140625" style="2482"/>
    <col min="8475" max="8475" width="9.42578125" style="2482" bestFit="1" customWidth="1"/>
    <col min="8476" max="8704" width="9.140625" style="2482"/>
    <col min="8705" max="8705" width="14.5703125" style="2482" customWidth="1"/>
    <col min="8706" max="8710" width="10.7109375" style="2482" customWidth="1"/>
    <col min="8711" max="8711" width="11.28515625" style="2482" customWidth="1"/>
    <col min="8712" max="8712" width="10.7109375" style="2482" customWidth="1"/>
    <col min="8713" max="8713" width="11.28515625" style="2482" customWidth="1"/>
    <col min="8714" max="8724" width="10.7109375" style="2482" customWidth="1"/>
    <col min="8725" max="8725" width="8" style="2482" customWidth="1"/>
    <col min="8726" max="8726" width="9.7109375" style="2482" customWidth="1"/>
    <col min="8727" max="8727" width="10" style="2482" customWidth="1"/>
    <col min="8728" max="8728" width="7.42578125" style="2482" customWidth="1"/>
    <col min="8729" max="8729" width="9" style="2482" customWidth="1"/>
    <col min="8730" max="8730" width="9.140625" style="2482"/>
    <col min="8731" max="8731" width="9.42578125" style="2482" bestFit="1" customWidth="1"/>
    <col min="8732" max="8960" width="9.140625" style="2482"/>
    <col min="8961" max="8961" width="14.5703125" style="2482" customWidth="1"/>
    <col min="8962" max="8966" width="10.7109375" style="2482" customWidth="1"/>
    <col min="8967" max="8967" width="11.28515625" style="2482" customWidth="1"/>
    <col min="8968" max="8968" width="10.7109375" style="2482" customWidth="1"/>
    <col min="8969" max="8969" width="11.28515625" style="2482" customWidth="1"/>
    <col min="8970" max="8980" width="10.7109375" style="2482" customWidth="1"/>
    <col min="8981" max="8981" width="8" style="2482" customWidth="1"/>
    <col min="8982" max="8982" width="9.7109375" style="2482" customWidth="1"/>
    <col min="8983" max="8983" width="10" style="2482" customWidth="1"/>
    <col min="8984" max="8984" width="7.42578125" style="2482" customWidth="1"/>
    <col min="8985" max="8985" width="9" style="2482" customWidth="1"/>
    <col min="8986" max="8986" width="9.140625" style="2482"/>
    <col min="8987" max="8987" width="9.42578125" style="2482" bestFit="1" customWidth="1"/>
    <col min="8988" max="9216" width="9.140625" style="2482"/>
    <col min="9217" max="9217" width="14.5703125" style="2482" customWidth="1"/>
    <col min="9218" max="9222" width="10.7109375" style="2482" customWidth="1"/>
    <col min="9223" max="9223" width="11.28515625" style="2482" customWidth="1"/>
    <col min="9224" max="9224" width="10.7109375" style="2482" customWidth="1"/>
    <col min="9225" max="9225" width="11.28515625" style="2482" customWidth="1"/>
    <col min="9226" max="9236" width="10.7109375" style="2482" customWidth="1"/>
    <col min="9237" max="9237" width="8" style="2482" customWidth="1"/>
    <col min="9238" max="9238" width="9.7109375" style="2482" customWidth="1"/>
    <col min="9239" max="9239" width="10" style="2482" customWidth="1"/>
    <col min="9240" max="9240" width="7.42578125" style="2482" customWidth="1"/>
    <col min="9241" max="9241" width="9" style="2482" customWidth="1"/>
    <col min="9242" max="9242" width="9.140625" style="2482"/>
    <col min="9243" max="9243" width="9.42578125" style="2482" bestFit="1" customWidth="1"/>
    <col min="9244" max="9472" width="9.140625" style="2482"/>
    <col min="9473" max="9473" width="14.5703125" style="2482" customWidth="1"/>
    <col min="9474" max="9478" width="10.7109375" style="2482" customWidth="1"/>
    <col min="9479" max="9479" width="11.28515625" style="2482" customWidth="1"/>
    <col min="9480" max="9480" width="10.7109375" style="2482" customWidth="1"/>
    <col min="9481" max="9481" width="11.28515625" style="2482" customWidth="1"/>
    <col min="9482" max="9492" width="10.7109375" style="2482" customWidth="1"/>
    <col min="9493" max="9493" width="8" style="2482" customWidth="1"/>
    <col min="9494" max="9494" width="9.7109375" style="2482" customWidth="1"/>
    <col min="9495" max="9495" width="10" style="2482" customWidth="1"/>
    <col min="9496" max="9496" width="7.42578125" style="2482" customWidth="1"/>
    <col min="9497" max="9497" width="9" style="2482" customWidth="1"/>
    <col min="9498" max="9498" width="9.140625" style="2482"/>
    <col min="9499" max="9499" width="9.42578125" style="2482" bestFit="1" customWidth="1"/>
    <col min="9500" max="9728" width="9.140625" style="2482"/>
    <col min="9729" max="9729" width="14.5703125" style="2482" customWidth="1"/>
    <col min="9730" max="9734" width="10.7109375" style="2482" customWidth="1"/>
    <col min="9735" max="9735" width="11.28515625" style="2482" customWidth="1"/>
    <col min="9736" max="9736" width="10.7109375" style="2482" customWidth="1"/>
    <col min="9737" max="9737" width="11.28515625" style="2482" customWidth="1"/>
    <col min="9738" max="9748" width="10.7109375" style="2482" customWidth="1"/>
    <col min="9749" max="9749" width="8" style="2482" customWidth="1"/>
    <col min="9750" max="9750" width="9.7109375" style="2482" customWidth="1"/>
    <col min="9751" max="9751" width="10" style="2482" customWidth="1"/>
    <col min="9752" max="9752" width="7.42578125" style="2482" customWidth="1"/>
    <col min="9753" max="9753" width="9" style="2482" customWidth="1"/>
    <col min="9754" max="9754" width="9.140625" style="2482"/>
    <col min="9755" max="9755" width="9.42578125" style="2482" bestFit="1" customWidth="1"/>
    <col min="9756" max="9984" width="9.140625" style="2482"/>
    <col min="9985" max="9985" width="14.5703125" style="2482" customWidth="1"/>
    <col min="9986" max="9990" width="10.7109375" style="2482" customWidth="1"/>
    <col min="9991" max="9991" width="11.28515625" style="2482" customWidth="1"/>
    <col min="9992" max="9992" width="10.7109375" style="2482" customWidth="1"/>
    <col min="9993" max="9993" width="11.28515625" style="2482" customWidth="1"/>
    <col min="9994" max="10004" width="10.7109375" style="2482" customWidth="1"/>
    <col min="10005" max="10005" width="8" style="2482" customWidth="1"/>
    <col min="10006" max="10006" width="9.7109375" style="2482" customWidth="1"/>
    <col min="10007" max="10007" width="10" style="2482" customWidth="1"/>
    <col min="10008" max="10008" width="7.42578125" style="2482" customWidth="1"/>
    <col min="10009" max="10009" width="9" style="2482" customWidth="1"/>
    <col min="10010" max="10010" width="9.140625" style="2482"/>
    <col min="10011" max="10011" width="9.42578125" style="2482" bestFit="1" customWidth="1"/>
    <col min="10012" max="10240" width="9.140625" style="2482"/>
    <col min="10241" max="10241" width="14.5703125" style="2482" customWidth="1"/>
    <col min="10242" max="10246" width="10.7109375" style="2482" customWidth="1"/>
    <col min="10247" max="10247" width="11.28515625" style="2482" customWidth="1"/>
    <col min="10248" max="10248" width="10.7109375" style="2482" customWidth="1"/>
    <col min="10249" max="10249" width="11.28515625" style="2482" customWidth="1"/>
    <col min="10250" max="10260" width="10.7109375" style="2482" customWidth="1"/>
    <col min="10261" max="10261" width="8" style="2482" customWidth="1"/>
    <col min="10262" max="10262" width="9.7109375" style="2482" customWidth="1"/>
    <col min="10263" max="10263" width="10" style="2482" customWidth="1"/>
    <col min="10264" max="10264" width="7.42578125" style="2482" customWidth="1"/>
    <col min="10265" max="10265" width="9" style="2482" customWidth="1"/>
    <col min="10266" max="10266" width="9.140625" style="2482"/>
    <col min="10267" max="10267" width="9.42578125" style="2482" bestFit="1" customWidth="1"/>
    <col min="10268" max="10496" width="9.140625" style="2482"/>
    <col min="10497" max="10497" width="14.5703125" style="2482" customWidth="1"/>
    <col min="10498" max="10502" width="10.7109375" style="2482" customWidth="1"/>
    <col min="10503" max="10503" width="11.28515625" style="2482" customWidth="1"/>
    <col min="10504" max="10504" width="10.7109375" style="2482" customWidth="1"/>
    <col min="10505" max="10505" width="11.28515625" style="2482" customWidth="1"/>
    <col min="10506" max="10516" width="10.7109375" style="2482" customWidth="1"/>
    <col min="10517" max="10517" width="8" style="2482" customWidth="1"/>
    <col min="10518" max="10518" width="9.7109375" style="2482" customWidth="1"/>
    <col min="10519" max="10519" width="10" style="2482" customWidth="1"/>
    <col min="10520" max="10520" width="7.42578125" style="2482" customWidth="1"/>
    <col min="10521" max="10521" width="9" style="2482" customWidth="1"/>
    <col min="10522" max="10522" width="9.140625" style="2482"/>
    <col min="10523" max="10523" width="9.42578125" style="2482" bestFit="1" customWidth="1"/>
    <col min="10524" max="10752" width="9.140625" style="2482"/>
    <col min="10753" max="10753" width="14.5703125" style="2482" customWidth="1"/>
    <col min="10754" max="10758" width="10.7109375" style="2482" customWidth="1"/>
    <col min="10759" max="10759" width="11.28515625" style="2482" customWidth="1"/>
    <col min="10760" max="10760" width="10.7109375" style="2482" customWidth="1"/>
    <col min="10761" max="10761" width="11.28515625" style="2482" customWidth="1"/>
    <col min="10762" max="10772" width="10.7109375" style="2482" customWidth="1"/>
    <col min="10773" max="10773" width="8" style="2482" customWidth="1"/>
    <col min="10774" max="10774" width="9.7109375" style="2482" customWidth="1"/>
    <col min="10775" max="10775" width="10" style="2482" customWidth="1"/>
    <col min="10776" max="10776" width="7.42578125" style="2482" customWidth="1"/>
    <col min="10777" max="10777" width="9" style="2482" customWidth="1"/>
    <col min="10778" max="10778" width="9.140625" style="2482"/>
    <col min="10779" max="10779" width="9.42578125" style="2482" bestFit="1" customWidth="1"/>
    <col min="10780" max="11008" width="9.140625" style="2482"/>
    <col min="11009" max="11009" width="14.5703125" style="2482" customWidth="1"/>
    <col min="11010" max="11014" width="10.7109375" style="2482" customWidth="1"/>
    <col min="11015" max="11015" width="11.28515625" style="2482" customWidth="1"/>
    <col min="11016" max="11016" width="10.7109375" style="2482" customWidth="1"/>
    <col min="11017" max="11017" width="11.28515625" style="2482" customWidth="1"/>
    <col min="11018" max="11028" width="10.7109375" style="2482" customWidth="1"/>
    <col min="11029" max="11029" width="8" style="2482" customWidth="1"/>
    <col min="11030" max="11030" width="9.7109375" style="2482" customWidth="1"/>
    <col min="11031" max="11031" width="10" style="2482" customWidth="1"/>
    <col min="11032" max="11032" width="7.42578125" style="2482" customWidth="1"/>
    <col min="11033" max="11033" width="9" style="2482" customWidth="1"/>
    <col min="11034" max="11034" width="9.140625" style="2482"/>
    <col min="11035" max="11035" width="9.42578125" style="2482" bestFit="1" customWidth="1"/>
    <col min="11036" max="11264" width="9.140625" style="2482"/>
    <col min="11265" max="11265" width="14.5703125" style="2482" customWidth="1"/>
    <col min="11266" max="11270" width="10.7109375" style="2482" customWidth="1"/>
    <col min="11271" max="11271" width="11.28515625" style="2482" customWidth="1"/>
    <col min="11272" max="11272" width="10.7109375" style="2482" customWidth="1"/>
    <col min="11273" max="11273" width="11.28515625" style="2482" customWidth="1"/>
    <col min="11274" max="11284" width="10.7109375" style="2482" customWidth="1"/>
    <col min="11285" max="11285" width="8" style="2482" customWidth="1"/>
    <col min="11286" max="11286" width="9.7109375" style="2482" customWidth="1"/>
    <col min="11287" max="11287" width="10" style="2482" customWidth="1"/>
    <col min="11288" max="11288" width="7.42578125" style="2482" customWidth="1"/>
    <col min="11289" max="11289" width="9" style="2482" customWidth="1"/>
    <col min="11290" max="11290" width="9.140625" style="2482"/>
    <col min="11291" max="11291" width="9.42578125" style="2482" bestFit="1" customWidth="1"/>
    <col min="11292" max="11520" width="9.140625" style="2482"/>
    <col min="11521" max="11521" width="14.5703125" style="2482" customWidth="1"/>
    <col min="11522" max="11526" width="10.7109375" style="2482" customWidth="1"/>
    <col min="11527" max="11527" width="11.28515625" style="2482" customWidth="1"/>
    <col min="11528" max="11528" width="10.7109375" style="2482" customWidth="1"/>
    <col min="11529" max="11529" width="11.28515625" style="2482" customWidth="1"/>
    <col min="11530" max="11540" width="10.7109375" style="2482" customWidth="1"/>
    <col min="11541" max="11541" width="8" style="2482" customWidth="1"/>
    <col min="11542" max="11542" width="9.7109375" style="2482" customWidth="1"/>
    <col min="11543" max="11543" width="10" style="2482" customWidth="1"/>
    <col min="11544" max="11544" width="7.42578125" style="2482" customWidth="1"/>
    <col min="11545" max="11545" width="9" style="2482" customWidth="1"/>
    <col min="11546" max="11546" width="9.140625" style="2482"/>
    <col min="11547" max="11547" width="9.42578125" style="2482" bestFit="1" customWidth="1"/>
    <col min="11548" max="11776" width="9.140625" style="2482"/>
    <col min="11777" max="11777" width="14.5703125" style="2482" customWidth="1"/>
    <col min="11778" max="11782" width="10.7109375" style="2482" customWidth="1"/>
    <col min="11783" max="11783" width="11.28515625" style="2482" customWidth="1"/>
    <col min="11784" max="11784" width="10.7109375" style="2482" customWidth="1"/>
    <col min="11785" max="11785" width="11.28515625" style="2482" customWidth="1"/>
    <col min="11786" max="11796" width="10.7109375" style="2482" customWidth="1"/>
    <col min="11797" max="11797" width="8" style="2482" customWidth="1"/>
    <col min="11798" max="11798" width="9.7109375" style="2482" customWidth="1"/>
    <col min="11799" max="11799" width="10" style="2482" customWidth="1"/>
    <col min="11800" max="11800" width="7.42578125" style="2482" customWidth="1"/>
    <col min="11801" max="11801" width="9" style="2482" customWidth="1"/>
    <col min="11802" max="11802" width="9.140625" style="2482"/>
    <col min="11803" max="11803" width="9.42578125" style="2482" bestFit="1" customWidth="1"/>
    <col min="11804" max="12032" width="9.140625" style="2482"/>
    <col min="12033" max="12033" width="14.5703125" style="2482" customWidth="1"/>
    <col min="12034" max="12038" width="10.7109375" style="2482" customWidth="1"/>
    <col min="12039" max="12039" width="11.28515625" style="2482" customWidth="1"/>
    <col min="12040" max="12040" width="10.7109375" style="2482" customWidth="1"/>
    <col min="12041" max="12041" width="11.28515625" style="2482" customWidth="1"/>
    <col min="12042" max="12052" width="10.7109375" style="2482" customWidth="1"/>
    <col min="12053" max="12053" width="8" style="2482" customWidth="1"/>
    <col min="12054" max="12054" width="9.7109375" style="2482" customWidth="1"/>
    <col min="12055" max="12055" width="10" style="2482" customWidth="1"/>
    <col min="12056" max="12056" width="7.42578125" style="2482" customWidth="1"/>
    <col min="12057" max="12057" width="9" style="2482" customWidth="1"/>
    <col min="12058" max="12058" width="9.140625" style="2482"/>
    <col min="12059" max="12059" width="9.42578125" style="2482" bestFit="1" customWidth="1"/>
    <col min="12060" max="12288" width="9.140625" style="2482"/>
    <col min="12289" max="12289" width="14.5703125" style="2482" customWidth="1"/>
    <col min="12290" max="12294" width="10.7109375" style="2482" customWidth="1"/>
    <col min="12295" max="12295" width="11.28515625" style="2482" customWidth="1"/>
    <col min="12296" max="12296" width="10.7109375" style="2482" customWidth="1"/>
    <col min="12297" max="12297" width="11.28515625" style="2482" customWidth="1"/>
    <col min="12298" max="12308" width="10.7109375" style="2482" customWidth="1"/>
    <col min="12309" max="12309" width="8" style="2482" customWidth="1"/>
    <col min="12310" max="12310" width="9.7109375" style="2482" customWidth="1"/>
    <col min="12311" max="12311" width="10" style="2482" customWidth="1"/>
    <col min="12312" max="12312" width="7.42578125" style="2482" customWidth="1"/>
    <col min="12313" max="12313" width="9" style="2482" customWidth="1"/>
    <col min="12314" max="12314" width="9.140625" style="2482"/>
    <col min="12315" max="12315" width="9.42578125" style="2482" bestFit="1" customWidth="1"/>
    <col min="12316" max="12544" width="9.140625" style="2482"/>
    <col min="12545" max="12545" width="14.5703125" style="2482" customWidth="1"/>
    <col min="12546" max="12550" width="10.7109375" style="2482" customWidth="1"/>
    <col min="12551" max="12551" width="11.28515625" style="2482" customWidth="1"/>
    <col min="12552" max="12552" width="10.7109375" style="2482" customWidth="1"/>
    <col min="12553" max="12553" width="11.28515625" style="2482" customWidth="1"/>
    <col min="12554" max="12564" width="10.7109375" style="2482" customWidth="1"/>
    <col min="12565" max="12565" width="8" style="2482" customWidth="1"/>
    <col min="12566" max="12566" width="9.7109375" style="2482" customWidth="1"/>
    <col min="12567" max="12567" width="10" style="2482" customWidth="1"/>
    <col min="12568" max="12568" width="7.42578125" style="2482" customWidth="1"/>
    <col min="12569" max="12569" width="9" style="2482" customWidth="1"/>
    <col min="12570" max="12570" width="9.140625" style="2482"/>
    <col min="12571" max="12571" width="9.42578125" style="2482" bestFit="1" customWidth="1"/>
    <col min="12572" max="12800" width="9.140625" style="2482"/>
    <col min="12801" max="12801" width="14.5703125" style="2482" customWidth="1"/>
    <col min="12802" max="12806" width="10.7109375" style="2482" customWidth="1"/>
    <col min="12807" max="12807" width="11.28515625" style="2482" customWidth="1"/>
    <col min="12808" max="12808" width="10.7109375" style="2482" customWidth="1"/>
    <col min="12809" max="12809" width="11.28515625" style="2482" customWidth="1"/>
    <col min="12810" max="12820" width="10.7109375" style="2482" customWidth="1"/>
    <col min="12821" max="12821" width="8" style="2482" customWidth="1"/>
    <col min="12822" max="12822" width="9.7109375" style="2482" customWidth="1"/>
    <col min="12823" max="12823" width="10" style="2482" customWidth="1"/>
    <col min="12824" max="12824" width="7.42578125" style="2482" customWidth="1"/>
    <col min="12825" max="12825" width="9" style="2482" customWidth="1"/>
    <col min="12826" max="12826" width="9.140625" style="2482"/>
    <col min="12827" max="12827" width="9.42578125" style="2482" bestFit="1" customWidth="1"/>
    <col min="12828" max="13056" width="9.140625" style="2482"/>
    <col min="13057" max="13057" width="14.5703125" style="2482" customWidth="1"/>
    <col min="13058" max="13062" width="10.7109375" style="2482" customWidth="1"/>
    <col min="13063" max="13063" width="11.28515625" style="2482" customWidth="1"/>
    <col min="13064" max="13064" width="10.7109375" style="2482" customWidth="1"/>
    <col min="13065" max="13065" width="11.28515625" style="2482" customWidth="1"/>
    <col min="13066" max="13076" width="10.7109375" style="2482" customWidth="1"/>
    <col min="13077" max="13077" width="8" style="2482" customWidth="1"/>
    <col min="13078" max="13078" width="9.7109375" style="2482" customWidth="1"/>
    <col min="13079" max="13079" width="10" style="2482" customWidth="1"/>
    <col min="13080" max="13080" width="7.42578125" style="2482" customWidth="1"/>
    <col min="13081" max="13081" width="9" style="2482" customWidth="1"/>
    <col min="13082" max="13082" width="9.140625" style="2482"/>
    <col min="13083" max="13083" width="9.42578125" style="2482" bestFit="1" customWidth="1"/>
    <col min="13084" max="13312" width="9.140625" style="2482"/>
    <col min="13313" max="13313" width="14.5703125" style="2482" customWidth="1"/>
    <col min="13314" max="13318" width="10.7109375" style="2482" customWidth="1"/>
    <col min="13319" max="13319" width="11.28515625" style="2482" customWidth="1"/>
    <col min="13320" max="13320" width="10.7109375" style="2482" customWidth="1"/>
    <col min="13321" max="13321" width="11.28515625" style="2482" customWidth="1"/>
    <col min="13322" max="13332" width="10.7109375" style="2482" customWidth="1"/>
    <col min="13333" max="13333" width="8" style="2482" customWidth="1"/>
    <col min="13334" max="13334" width="9.7109375" style="2482" customWidth="1"/>
    <col min="13335" max="13335" width="10" style="2482" customWidth="1"/>
    <col min="13336" max="13336" width="7.42578125" style="2482" customWidth="1"/>
    <col min="13337" max="13337" width="9" style="2482" customWidth="1"/>
    <col min="13338" max="13338" width="9.140625" style="2482"/>
    <col min="13339" max="13339" width="9.42578125" style="2482" bestFit="1" customWidth="1"/>
    <col min="13340" max="13568" width="9.140625" style="2482"/>
    <col min="13569" max="13569" width="14.5703125" style="2482" customWidth="1"/>
    <col min="13570" max="13574" width="10.7109375" style="2482" customWidth="1"/>
    <col min="13575" max="13575" width="11.28515625" style="2482" customWidth="1"/>
    <col min="13576" max="13576" width="10.7109375" style="2482" customWidth="1"/>
    <col min="13577" max="13577" width="11.28515625" style="2482" customWidth="1"/>
    <col min="13578" max="13588" width="10.7109375" style="2482" customWidth="1"/>
    <col min="13589" max="13589" width="8" style="2482" customWidth="1"/>
    <col min="13590" max="13590" width="9.7109375" style="2482" customWidth="1"/>
    <col min="13591" max="13591" width="10" style="2482" customWidth="1"/>
    <col min="13592" max="13592" width="7.42578125" style="2482" customWidth="1"/>
    <col min="13593" max="13593" width="9" style="2482" customWidth="1"/>
    <col min="13594" max="13594" width="9.140625" style="2482"/>
    <col min="13595" max="13595" width="9.42578125" style="2482" bestFit="1" customWidth="1"/>
    <col min="13596" max="13824" width="9.140625" style="2482"/>
    <col min="13825" max="13825" width="14.5703125" style="2482" customWidth="1"/>
    <col min="13826" max="13830" width="10.7109375" style="2482" customWidth="1"/>
    <col min="13831" max="13831" width="11.28515625" style="2482" customWidth="1"/>
    <col min="13832" max="13832" width="10.7109375" style="2482" customWidth="1"/>
    <col min="13833" max="13833" width="11.28515625" style="2482" customWidth="1"/>
    <col min="13834" max="13844" width="10.7109375" style="2482" customWidth="1"/>
    <col min="13845" max="13845" width="8" style="2482" customWidth="1"/>
    <col min="13846" max="13846" width="9.7109375" style="2482" customWidth="1"/>
    <col min="13847" max="13847" width="10" style="2482" customWidth="1"/>
    <col min="13848" max="13848" width="7.42578125" style="2482" customWidth="1"/>
    <col min="13849" max="13849" width="9" style="2482" customWidth="1"/>
    <col min="13850" max="13850" width="9.140625" style="2482"/>
    <col min="13851" max="13851" width="9.42578125" style="2482" bestFit="1" customWidth="1"/>
    <col min="13852" max="14080" width="9.140625" style="2482"/>
    <col min="14081" max="14081" width="14.5703125" style="2482" customWidth="1"/>
    <col min="14082" max="14086" width="10.7109375" style="2482" customWidth="1"/>
    <col min="14087" max="14087" width="11.28515625" style="2482" customWidth="1"/>
    <col min="14088" max="14088" width="10.7109375" style="2482" customWidth="1"/>
    <col min="14089" max="14089" width="11.28515625" style="2482" customWidth="1"/>
    <col min="14090" max="14100" width="10.7109375" style="2482" customWidth="1"/>
    <col min="14101" max="14101" width="8" style="2482" customWidth="1"/>
    <col min="14102" max="14102" width="9.7109375" style="2482" customWidth="1"/>
    <col min="14103" max="14103" width="10" style="2482" customWidth="1"/>
    <col min="14104" max="14104" width="7.42578125" style="2482" customWidth="1"/>
    <col min="14105" max="14105" width="9" style="2482" customWidth="1"/>
    <col min="14106" max="14106" width="9.140625" style="2482"/>
    <col min="14107" max="14107" width="9.42578125" style="2482" bestFit="1" customWidth="1"/>
    <col min="14108" max="14336" width="9.140625" style="2482"/>
    <col min="14337" max="14337" width="14.5703125" style="2482" customWidth="1"/>
    <col min="14338" max="14342" width="10.7109375" style="2482" customWidth="1"/>
    <col min="14343" max="14343" width="11.28515625" style="2482" customWidth="1"/>
    <col min="14344" max="14344" width="10.7109375" style="2482" customWidth="1"/>
    <col min="14345" max="14345" width="11.28515625" style="2482" customWidth="1"/>
    <col min="14346" max="14356" width="10.7109375" style="2482" customWidth="1"/>
    <col min="14357" max="14357" width="8" style="2482" customWidth="1"/>
    <col min="14358" max="14358" width="9.7109375" style="2482" customWidth="1"/>
    <col min="14359" max="14359" width="10" style="2482" customWidth="1"/>
    <col min="14360" max="14360" width="7.42578125" style="2482" customWidth="1"/>
    <col min="14361" max="14361" width="9" style="2482" customWidth="1"/>
    <col min="14362" max="14362" width="9.140625" style="2482"/>
    <col min="14363" max="14363" width="9.42578125" style="2482" bestFit="1" customWidth="1"/>
    <col min="14364" max="14592" width="9.140625" style="2482"/>
    <col min="14593" max="14593" width="14.5703125" style="2482" customWidth="1"/>
    <col min="14594" max="14598" width="10.7109375" style="2482" customWidth="1"/>
    <col min="14599" max="14599" width="11.28515625" style="2482" customWidth="1"/>
    <col min="14600" max="14600" width="10.7109375" style="2482" customWidth="1"/>
    <col min="14601" max="14601" width="11.28515625" style="2482" customWidth="1"/>
    <col min="14602" max="14612" width="10.7109375" style="2482" customWidth="1"/>
    <col min="14613" max="14613" width="8" style="2482" customWidth="1"/>
    <col min="14614" max="14614" width="9.7109375" style="2482" customWidth="1"/>
    <col min="14615" max="14615" width="10" style="2482" customWidth="1"/>
    <col min="14616" max="14616" width="7.42578125" style="2482" customWidth="1"/>
    <col min="14617" max="14617" width="9" style="2482" customWidth="1"/>
    <col min="14618" max="14618" width="9.140625" style="2482"/>
    <col min="14619" max="14619" width="9.42578125" style="2482" bestFit="1" customWidth="1"/>
    <col min="14620" max="14848" width="9.140625" style="2482"/>
    <col min="14849" max="14849" width="14.5703125" style="2482" customWidth="1"/>
    <col min="14850" max="14854" width="10.7109375" style="2482" customWidth="1"/>
    <col min="14855" max="14855" width="11.28515625" style="2482" customWidth="1"/>
    <col min="14856" max="14856" width="10.7109375" style="2482" customWidth="1"/>
    <col min="14857" max="14857" width="11.28515625" style="2482" customWidth="1"/>
    <col min="14858" max="14868" width="10.7109375" style="2482" customWidth="1"/>
    <col min="14869" max="14869" width="8" style="2482" customWidth="1"/>
    <col min="14870" max="14870" width="9.7109375" style="2482" customWidth="1"/>
    <col min="14871" max="14871" width="10" style="2482" customWidth="1"/>
    <col min="14872" max="14872" width="7.42578125" style="2482" customWidth="1"/>
    <col min="14873" max="14873" width="9" style="2482" customWidth="1"/>
    <col min="14874" max="14874" width="9.140625" style="2482"/>
    <col min="14875" max="14875" width="9.42578125" style="2482" bestFit="1" customWidth="1"/>
    <col min="14876" max="15104" width="9.140625" style="2482"/>
    <col min="15105" max="15105" width="14.5703125" style="2482" customWidth="1"/>
    <col min="15106" max="15110" width="10.7109375" style="2482" customWidth="1"/>
    <col min="15111" max="15111" width="11.28515625" style="2482" customWidth="1"/>
    <col min="15112" max="15112" width="10.7109375" style="2482" customWidth="1"/>
    <col min="15113" max="15113" width="11.28515625" style="2482" customWidth="1"/>
    <col min="15114" max="15124" width="10.7109375" style="2482" customWidth="1"/>
    <col min="15125" max="15125" width="8" style="2482" customWidth="1"/>
    <col min="15126" max="15126" width="9.7109375" style="2482" customWidth="1"/>
    <col min="15127" max="15127" width="10" style="2482" customWidth="1"/>
    <col min="15128" max="15128" width="7.42578125" style="2482" customWidth="1"/>
    <col min="15129" max="15129" width="9" style="2482" customWidth="1"/>
    <col min="15130" max="15130" width="9.140625" style="2482"/>
    <col min="15131" max="15131" width="9.42578125" style="2482" bestFit="1" customWidth="1"/>
    <col min="15132" max="15360" width="9.140625" style="2482"/>
    <col min="15361" max="15361" width="14.5703125" style="2482" customWidth="1"/>
    <col min="15362" max="15366" width="10.7109375" style="2482" customWidth="1"/>
    <col min="15367" max="15367" width="11.28515625" style="2482" customWidth="1"/>
    <col min="15368" max="15368" width="10.7109375" style="2482" customWidth="1"/>
    <col min="15369" max="15369" width="11.28515625" style="2482" customWidth="1"/>
    <col min="15370" max="15380" width="10.7109375" style="2482" customWidth="1"/>
    <col min="15381" max="15381" width="8" style="2482" customWidth="1"/>
    <col min="15382" max="15382" width="9.7109375" style="2482" customWidth="1"/>
    <col min="15383" max="15383" width="10" style="2482" customWidth="1"/>
    <col min="15384" max="15384" width="7.42578125" style="2482" customWidth="1"/>
    <col min="15385" max="15385" width="9" style="2482" customWidth="1"/>
    <col min="15386" max="15386" width="9.140625" style="2482"/>
    <col min="15387" max="15387" width="9.42578125" style="2482" bestFit="1" customWidth="1"/>
    <col min="15388" max="15616" width="9.140625" style="2482"/>
    <col min="15617" max="15617" width="14.5703125" style="2482" customWidth="1"/>
    <col min="15618" max="15622" width="10.7109375" style="2482" customWidth="1"/>
    <col min="15623" max="15623" width="11.28515625" style="2482" customWidth="1"/>
    <col min="15624" max="15624" width="10.7109375" style="2482" customWidth="1"/>
    <col min="15625" max="15625" width="11.28515625" style="2482" customWidth="1"/>
    <col min="15626" max="15636" width="10.7109375" style="2482" customWidth="1"/>
    <col min="15637" max="15637" width="8" style="2482" customWidth="1"/>
    <col min="15638" max="15638" width="9.7109375" style="2482" customWidth="1"/>
    <col min="15639" max="15639" width="10" style="2482" customWidth="1"/>
    <col min="15640" max="15640" width="7.42578125" style="2482" customWidth="1"/>
    <col min="15641" max="15641" width="9" style="2482" customWidth="1"/>
    <col min="15642" max="15642" width="9.140625" style="2482"/>
    <col min="15643" max="15643" width="9.42578125" style="2482" bestFit="1" customWidth="1"/>
    <col min="15644" max="15872" width="9.140625" style="2482"/>
    <col min="15873" max="15873" width="14.5703125" style="2482" customWidth="1"/>
    <col min="15874" max="15878" width="10.7109375" style="2482" customWidth="1"/>
    <col min="15879" max="15879" width="11.28515625" style="2482" customWidth="1"/>
    <col min="15880" max="15880" width="10.7109375" style="2482" customWidth="1"/>
    <col min="15881" max="15881" width="11.28515625" style="2482" customWidth="1"/>
    <col min="15882" max="15892" width="10.7109375" style="2482" customWidth="1"/>
    <col min="15893" max="15893" width="8" style="2482" customWidth="1"/>
    <col min="15894" max="15894" width="9.7109375" style="2482" customWidth="1"/>
    <col min="15895" max="15895" width="10" style="2482" customWidth="1"/>
    <col min="15896" max="15896" width="7.42578125" style="2482" customWidth="1"/>
    <col min="15897" max="15897" width="9" style="2482" customWidth="1"/>
    <col min="15898" max="15898" width="9.140625" style="2482"/>
    <col min="15899" max="15899" width="9.42578125" style="2482" bestFit="1" customWidth="1"/>
    <col min="15900" max="16128" width="9.140625" style="2482"/>
    <col min="16129" max="16129" width="14.5703125" style="2482" customWidth="1"/>
    <col min="16130" max="16134" width="10.7109375" style="2482" customWidth="1"/>
    <col min="16135" max="16135" width="11.28515625" style="2482" customWidth="1"/>
    <col min="16136" max="16136" width="10.7109375" style="2482" customWidth="1"/>
    <col min="16137" max="16137" width="11.28515625" style="2482" customWidth="1"/>
    <col min="16138" max="16148" width="10.7109375" style="2482" customWidth="1"/>
    <col min="16149" max="16149" width="8" style="2482" customWidth="1"/>
    <col min="16150" max="16150" width="9.7109375" style="2482" customWidth="1"/>
    <col min="16151" max="16151" width="10" style="2482" customWidth="1"/>
    <col min="16152" max="16152" width="7.42578125" style="2482" customWidth="1"/>
    <col min="16153" max="16153" width="9" style="2482" customWidth="1"/>
    <col min="16154" max="16154" width="9.140625" style="2482"/>
    <col min="16155" max="16155" width="9.42578125" style="2482" bestFit="1" customWidth="1"/>
    <col min="16156" max="16384" width="9.140625" style="2482"/>
  </cols>
  <sheetData>
    <row r="1" spans="1:36" ht="15.75" x14ac:dyDescent="0.2">
      <c r="A1" s="6070" t="s">
        <v>4175</v>
      </c>
      <c r="B1" s="6070"/>
      <c r="C1" s="6070"/>
      <c r="D1" s="6061"/>
      <c r="E1" s="6061"/>
      <c r="F1" s="6061"/>
      <c r="G1" s="6061"/>
      <c r="H1" s="6061"/>
      <c r="I1" s="6061"/>
      <c r="J1" s="6061"/>
      <c r="K1" s="6061"/>
      <c r="L1" s="6061"/>
      <c r="M1" s="6061"/>
      <c r="N1" s="6061"/>
      <c r="O1" s="6061"/>
      <c r="P1" s="6061"/>
      <c r="Q1" s="4167"/>
      <c r="R1" s="4167"/>
      <c r="S1" s="4167"/>
      <c r="T1" s="4167"/>
      <c r="U1" s="4167"/>
      <c r="V1" s="4167"/>
      <c r="W1" s="4167"/>
      <c r="X1" s="4167"/>
      <c r="Y1" s="4167"/>
      <c r="Z1" s="4167"/>
      <c r="AA1" s="4167"/>
      <c r="AB1" s="4167"/>
      <c r="AC1" s="4167"/>
      <c r="AD1" s="4167"/>
      <c r="AE1" s="4167"/>
      <c r="AF1" s="4167"/>
      <c r="AG1" s="4167"/>
      <c r="AH1" s="4167"/>
      <c r="AI1" s="4167"/>
      <c r="AJ1" s="4167"/>
    </row>
    <row r="2" spans="1:36" ht="13.5" thickBot="1" x14ac:dyDescent="0.25">
      <c r="A2" s="4167"/>
      <c r="B2" s="4167"/>
      <c r="C2" s="4167"/>
      <c r="D2" s="4167"/>
      <c r="E2" s="4167"/>
      <c r="F2" s="4167"/>
      <c r="G2" s="4167"/>
      <c r="H2" s="4167"/>
      <c r="I2" s="4167"/>
      <c r="J2" s="4167"/>
      <c r="K2" s="4167"/>
      <c r="L2" s="4167"/>
      <c r="M2" s="4167"/>
      <c r="N2" s="4167"/>
      <c r="O2" s="4167"/>
      <c r="P2" s="4167"/>
      <c r="Q2" s="4167"/>
      <c r="R2" s="4167"/>
      <c r="S2" s="4167"/>
      <c r="T2" s="4167"/>
      <c r="U2" s="4167"/>
      <c r="V2" s="4167"/>
      <c r="W2" s="4167"/>
      <c r="X2" s="4167"/>
      <c r="Y2" s="4167"/>
      <c r="Z2" s="4167"/>
      <c r="AA2" s="4167"/>
      <c r="AB2" s="4167"/>
      <c r="AC2" s="4167"/>
      <c r="AD2" s="4167"/>
      <c r="AE2" s="4167"/>
      <c r="AF2" s="4167"/>
      <c r="AG2" s="4167"/>
      <c r="AH2" s="4167"/>
      <c r="AI2" s="4167"/>
      <c r="AJ2" s="4167"/>
    </row>
    <row r="3" spans="1:36" x14ac:dyDescent="0.2">
      <c r="A3" s="4974" t="s">
        <v>3830</v>
      </c>
      <c r="B3" s="6073" t="s">
        <v>4176</v>
      </c>
      <c r="C3" s="6074"/>
      <c r="D3" s="6073" t="s">
        <v>4177</v>
      </c>
      <c r="E3" s="6074"/>
      <c r="F3" s="4975" t="s">
        <v>4178</v>
      </c>
      <c r="G3" s="6077"/>
      <c r="H3" s="6077"/>
      <c r="I3" s="6077"/>
      <c r="J3" s="6077"/>
      <c r="K3" s="6077"/>
      <c r="L3" s="6073" t="s">
        <v>4179</v>
      </c>
      <c r="M3" s="6074"/>
      <c r="N3" s="6073" t="s">
        <v>4180</v>
      </c>
      <c r="O3" s="4968"/>
      <c r="P3" s="4967"/>
      <c r="Q3" s="4168"/>
      <c r="R3" s="4168"/>
      <c r="S3" s="4168"/>
      <c r="T3" s="4168"/>
      <c r="U3" s="4168"/>
      <c r="V3" s="4168"/>
      <c r="W3" s="4168"/>
      <c r="X3" s="4168"/>
      <c r="Y3" s="4168"/>
      <c r="Z3" s="4168"/>
      <c r="AA3" s="4168"/>
      <c r="AB3" s="4168"/>
      <c r="AC3" s="4168"/>
      <c r="AD3" s="4168"/>
      <c r="AE3" s="4168"/>
      <c r="AF3" s="4168"/>
      <c r="AG3" s="4167"/>
      <c r="AH3" s="4167"/>
      <c r="AI3" s="4167"/>
      <c r="AJ3" s="4167"/>
    </row>
    <row r="4" spans="1:36" x14ac:dyDescent="0.2">
      <c r="A4" s="6071"/>
      <c r="B4" s="6075"/>
      <c r="C4" s="6076"/>
      <c r="D4" s="6075"/>
      <c r="E4" s="6076"/>
      <c r="F4" s="6080" t="s">
        <v>614</v>
      </c>
      <c r="G4" s="6080"/>
      <c r="H4" s="6081" t="s">
        <v>4181</v>
      </c>
      <c r="I4" s="6081"/>
      <c r="J4" s="6081" t="s">
        <v>4182</v>
      </c>
      <c r="K4" s="6081"/>
      <c r="L4" s="6075"/>
      <c r="M4" s="6076"/>
      <c r="N4" s="6075"/>
      <c r="O4" s="6078"/>
      <c r="P4" s="6079"/>
      <c r="Q4" s="4168"/>
      <c r="R4" s="4168"/>
      <c r="S4" s="4168"/>
      <c r="T4" s="4168"/>
      <c r="U4" s="4168"/>
      <c r="V4" s="4168"/>
      <c r="W4" s="4168"/>
      <c r="X4" s="4168"/>
      <c r="Y4" s="4168"/>
      <c r="Z4" s="4168"/>
      <c r="AA4" s="4168"/>
      <c r="AB4" s="4168"/>
      <c r="AC4" s="4168"/>
      <c r="AD4" s="4168"/>
      <c r="AE4" s="4168"/>
      <c r="AF4" s="4168"/>
      <c r="AG4" s="4167"/>
      <c r="AH4" s="4167"/>
      <c r="AI4" s="4167"/>
      <c r="AJ4" s="4167"/>
    </row>
    <row r="5" spans="1:36" ht="26.25" thickBot="1" x14ac:dyDescent="0.25">
      <c r="A5" s="6072"/>
      <c r="B5" s="4792" t="s">
        <v>4183</v>
      </c>
      <c r="C5" s="4768" t="s">
        <v>4184</v>
      </c>
      <c r="D5" s="4792" t="s">
        <v>4183</v>
      </c>
      <c r="E5" s="4768" t="s">
        <v>4184</v>
      </c>
      <c r="F5" s="4792" t="s">
        <v>4183</v>
      </c>
      <c r="G5" s="4768" t="s">
        <v>4184</v>
      </c>
      <c r="H5" s="4793" t="s">
        <v>4183</v>
      </c>
      <c r="I5" s="4794" t="s">
        <v>4184</v>
      </c>
      <c r="J5" s="4793" t="s">
        <v>4183</v>
      </c>
      <c r="K5" s="4794" t="s">
        <v>4184</v>
      </c>
      <c r="L5" s="4792" t="s">
        <v>4183</v>
      </c>
      <c r="M5" s="4768" t="s">
        <v>4184</v>
      </c>
      <c r="N5" s="4792" t="s">
        <v>4183</v>
      </c>
      <c r="O5" s="4768" t="s">
        <v>128</v>
      </c>
      <c r="P5" s="4769" t="s">
        <v>4184</v>
      </c>
      <c r="Q5" s="4168"/>
      <c r="R5" s="4168"/>
      <c r="S5" s="4168"/>
      <c r="T5" s="4168"/>
      <c r="U5" s="4168"/>
      <c r="V5" s="4168"/>
      <c r="W5" s="4168"/>
      <c r="X5" s="4168"/>
      <c r="Y5" s="4168"/>
      <c r="Z5" s="4168"/>
      <c r="AA5" s="4168"/>
      <c r="AB5" s="4168"/>
      <c r="AC5" s="4168"/>
      <c r="AD5" s="4168"/>
      <c r="AE5" s="4168"/>
      <c r="AF5" s="4168"/>
      <c r="AG5" s="4167"/>
      <c r="AH5" s="4167"/>
      <c r="AI5" s="4167"/>
      <c r="AJ5" s="4167"/>
    </row>
    <row r="6" spans="1:36" x14ac:dyDescent="0.2">
      <c r="A6" s="4795" t="s">
        <v>256</v>
      </c>
      <c r="B6" s="4796">
        <f>5.967+1.909+7.401</f>
        <v>15.276999999999999</v>
      </c>
      <c r="C6" s="4169">
        <f>31980.2+10231.3+39665.74</f>
        <v>81877.239999999991</v>
      </c>
      <c r="D6" s="4796">
        <f>1.106+0.629+0.732</f>
        <v>2.4670000000000001</v>
      </c>
      <c r="E6" s="4169">
        <f>6014.74+3468.36+4036.32</f>
        <v>13519.42</v>
      </c>
      <c r="F6" s="4170">
        <f>SUM(H6+J6)</f>
        <v>64.215999999999994</v>
      </c>
      <c r="G6" s="4169">
        <f>SUM(I6+K6)</f>
        <v>345729.02</v>
      </c>
      <c r="H6" s="4171">
        <v>59.917999999999999</v>
      </c>
      <c r="I6" s="4172">
        <v>322355.24</v>
      </c>
      <c r="J6" s="4797">
        <v>4.298</v>
      </c>
      <c r="K6" s="4172">
        <v>23373.78</v>
      </c>
      <c r="L6" s="4796">
        <v>4.3120000000000003</v>
      </c>
      <c r="M6" s="4798">
        <v>23110.2</v>
      </c>
      <c r="N6" s="4796">
        <f>SUM(B6+D6+F6+L6)</f>
        <v>86.271999999999991</v>
      </c>
      <c r="O6" s="4798">
        <f>P6/N6</f>
        <v>5381.0724221068258</v>
      </c>
      <c r="P6" s="4799">
        <f>SUM(C6+E6+G6+M6)</f>
        <v>464235.88</v>
      </c>
      <c r="Q6" s="4168"/>
      <c r="R6" s="4168"/>
      <c r="S6" s="4168"/>
      <c r="T6" s="4168"/>
      <c r="U6" s="4168"/>
      <c r="V6" s="4168"/>
      <c r="W6" s="4168"/>
      <c r="X6" s="4168"/>
      <c r="Y6" s="4168"/>
      <c r="Z6" s="4168"/>
      <c r="AA6" s="4168"/>
      <c r="AB6" s="4168"/>
      <c r="AC6" s="4168"/>
      <c r="AD6" s="4168"/>
      <c r="AE6" s="4168"/>
      <c r="AF6" s="4168"/>
      <c r="AG6" s="4167"/>
      <c r="AH6" s="4167"/>
      <c r="AI6" s="4167"/>
      <c r="AJ6" s="4167"/>
    </row>
    <row r="7" spans="1:36" x14ac:dyDescent="0.2">
      <c r="A7" s="4800" t="s">
        <v>257</v>
      </c>
      <c r="B7" s="4801">
        <f>4.048+1.323+5.1</f>
        <v>10.471</v>
      </c>
      <c r="C7" s="4802">
        <f>21729.71+7101.88+27376.85</f>
        <v>56208.44</v>
      </c>
      <c r="D7" s="4801">
        <f>0.943+0.525+0.579</f>
        <v>2.0469999999999997</v>
      </c>
      <c r="E7" s="4802">
        <f>5136.46+2899.44+3197.66</f>
        <v>11233.56</v>
      </c>
      <c r="F7" s="4170">
        <f t="shared" ref="F7:G22" si="0">SUM(H7+J7)</f>
        <v>51.964999999999996</v>
      </c>
      <c r="G7" s="4169">
        <f t="shared" si="0"/>
        <v>280220.39</v>
      </c>
      <c r="H7" s="4803">
        <v>48.497999999999998</v>
      </c>
      <c r="I7" s="4804">
        <v>261335.84</v>
      </c>
      <c r="J7" s="4803">
        <v>3.4670000000000001</v>
      </c>
      <c r="K7" s="4804">
        <v>18884.55</v>
      </c>
      <c r="L7" s="4801">
        <v>3.2549999999999999</v>
      </c>
      <c r="M7" s="4802">
        <v>17472.88</v>
      </c>
      <c r="N7" s="4796">
        <f t="shared" ref="N7:N24" si="1">SUM(B7+D7+F7+L7)</f>
        <v>67.738</v>
      </c>
      <c r="O7" s="4798">
        <f>P7/N7</f>
        <v>5390.4052378281031</v>
      </c>
      <c r="P7" s="4799">
        <f t="shared" ref="P7:P24" si="2">SUM(C7+E7+G7+M7)</f>
        <v>365135.27</v>
      </c>
      <c r="Q7" s="4168"/>
      <c r="R7" s="4168"/>
      <c r="S7" s="4168"/>
      <c r="T7" s="4168"/>
      <c r="U7" s="4168"/>
      <c r="V7" s="4168"/>
      <c r="W7" s="4168"/>
      <c r="X7" s="4168"/>
      <c r="Y7" s="4168"/>
      <c r="Z7" s="4168"/>
      <c r="AA7" s="4168"/>
      <c r="AB7" s="4168"/>
      <c r="AC7" s="4168"/>
      <c r="AD7" s="4168"/>
      <c r="AE7" s="4168"/>
      <c r="AF7" s="4168"/>
      <c r="AG7" s="4167"/>
      <c r="AH7" s="4167"/>
      <c r="AI7" s="4167"/>
      <c r="AJ7" s="4167"/>
    </row>
    <row r="8" spans="1:36" ht="13.5" thickBot="1" x14ac:dyDescent="0.25">
      <c r="A8" s="4805" t="s">
        <v>258</v>
      </c>
      <c r="B8" s="4806">
        <f>3.965+1.23+4.523</f>
        <v>9.718</v>
      </c>
      <c r="C8" s="4807">
        <f>21279.96+6601.35+24274.72</f>
        <v>52156.03</v>
      </c>
      <c r="D8" s="4806">
        <f>0.777+0.456+0.484</f>
        <v>1.7170000000000001</v>
      </c>
      <c r="E8" s="4807">
        <f>4231.42+2517.88+2672.48</f>
        <v>9421.7800000000007</v>
      </c>
      <c r="F8" s="4170">
        <f t="shared" si="0"/>
        <v>42.939</v>
      </c>
      <c r="G8" s="4169">
        <f t="shared" si="0"/>
        <v>231510.46</v>
      </c>
      <c r="H8" s="4808">
        <v>39.92</v>
      </c>
      <c r="I8" s="4809">
        <v>215069.4</v>
      </c>
      <c r="J8" s="4808">
        <v>3.0190000000000001</v>
      </c>
      <c r="K8" s="4809">
        <v>16441.060000000001</v>
      </c>
      <c r="L8" s="4806">
        <v>2.9329999999999998</v>
      </c>
      <c r="M8" s="4807">
        <v>15741.27</v>
      </c>
      <c r="N8" s="4810">
        <f t="shared" si="1"/>
        <v>57.307000000000002</v>
      </c>
      <c r="O8" s="4811">
        <f>P8/N8</f>
        <v>5389.0369413858698</v>
      </c>
      <c r="P8" s="4812">
        <f t="shared" si="2"/>
        <v>308829.54000000004</v>
      </c>
      <c r="Q8" s="4168"/>
      <c r="R8" s="4168"/>
      <c r="S8" s="4168"/>
      <c r="T8" s="4168"/>
      <c r="U8" s="4168"/>
      <c r="V8" s="4168"/>
      <c r="W8" s="4168"/>
      <c r="X8" s="4168"/>
      <c r="Y8" s="4168"/>
      <c r="Z8" s="4168"/>
      <c r="AA8" s="4168"/>
      <c r="AB8" s="4168"/>
      <c r="AC8" s="4168"/>
      <c r="AD8" s="4168"/>
      <c r="AE8" s="4168"/>
      <c r="AF8" s="4168"/>
      <c r="AG8" s="4167"/>
      <c r="AH8" s="4167"/>
      <c r="AI8" s="4167"/>
      <c r="AJ8" s="4167"/>
    </row>
    <row r="9" spans="1:36" ht="14.25" thickBot="1" x14ac:dyDescent="0.25">
      <c r="A9" s="4813" t="s">
        <v>4185</v>
      </c>
      <c r="B9" s="4814">
        <f>SUM(B6:B8)</f>
        <v>35.465999999999994</v>
      </c>
      <c r="C9" s="4815">
        <f>SUM(C6:C8)</f>
        <v>190241.71</v>
      </c>
      <c r="D9" s="4814">
        <f t="shared" ref="D9:M9" si="3">SUM(D6:D8)</f>
        <v>6.2309999999999999</v>
      </c>
      <c r="E9" s="4815">
        <f t="shared" si="3"/>
        <v>34174.76</v>
      </c>
      <c r="F9" s="4814">
        <f t="shared" si="3"/>
        <v>159.11999999999998</v>
      </c>
      <c r="G9" s="4815">
        <f t="shared" si="3"/>
        <v>857459.87</v>
      </c>
      <c r="H9" s="4816">
        <f t="shared" si="3"/>
        <v>148.33600000000001</v>
      </c>
      <c r="I9" s="4817">
        <f t="shared" si="3"/>
        <v>798760.48</v>
      </c>
      <c r="J9" s="4816">
        <f t="shared" si="3"/>
        <v>10.784000000000001</v>
      </c>
      <c r="K9" s="4817">
        <f t="shared" si="3"/>
        <v>58699.39</v>
      </c>
      <c r="L9" s="4814">
        <f t="shared" si="3"/>
        <v>10.5</v>
      </c>
      <c r="M9" s="4815">
        <f t="shared" si="3"/>
        <v>56324.350000000006</v>
      </c>
      <c r="N9" s="4818">
        <f t="shared" si="1"/>
        <v>211.31699999999998</v>
      </c>
      <c r="O9" s="4815">
        <f>P9/N9</f>
        <v>5386.2239668365546</v>
      </c>
      <c r="P9" s="4819">
        <f t="shared" si="2"/>
        <v>1138200.6900000002</v>
      </c>
      <c r="Q9" s="4168"/>
      <c r="R9" s="4168"/>
      <c r="S9" s="4168"/>
      <c r="T9" s="4168"/>
      <c r="U9" s="4168"/>
      <c r="V9" s="4168"/>
      <c r="W9" s="4168"/>
      <c r="X9" s="4168"/>
      <c r="Y9" s="4168"/>
      <c r="Z9" s="4168"/>
      <c r="AA9" s="4168"/>
      <c r="AB9" s="4168"/>
      <c r="AC9" s="4168"/>
      <c r="AD9" s="4168"/>
      <c r="AE9" s="4168"/>
      <c r="AF9" s="4168"/>
      <c r="AG9" s="4167"/>
      <c r="AH9" s="4167"/>
      <c r="AI9" s="4167"/>
      <c r="AJ9" s="4167"/>
    </row>
    <row r="10" spans="1:36" x14ac:dyDescent="0.2">
      <c r="A10" s="4795" t="s">
        <v>259</v>
      </c>
      <c r="B10" s="4796">
        <f>3.027+1.058+3.891</f>
        <v>7.976</v>
      </c>
      <c r="C10" s="4798">
        <f>16318.08+5703.51+20975.76</f>
        <v>42997.35</v>
      </c>
      <c r="D10" s="4796">
        <f>0.592+0.334+0.403</f>
        <v>1.329</v>
      </c>
      <c r="E10" s="4798">
        <f>3238.35+1852.36+2235.04</f>
        <v>7325.75</v>
      </c>
      <c r="F10" s="4170">
        <f t="shared" si="0"/>
        <v>37.177</v>
      </c>
      <c r="G10" s="4169">
        <f t="shared" si="0"/>
        <v>201337.69999999998</v>
      </c>
      <c r="H10" s="4797">
        <v>34.747999999999998</v>
      </c>
      <c r="I10" s="4820">
        <v>188050.61</v>
      </c>
      <c r="J10" s="4797">
        <v>2.4289999999999998</v>
      </c>
      <c r="K10" s="4820">
        <v>13287.09</v>
      </c>
      <c r="L10" s="4796">
        <v>2.258</v>
      </c>
      <c r="M10" s="4798">
        <v>12172.52</v>
      </c>
      <c r="N10" s="4796">
        <f t="shared" si="1"/>
        <v>48.74</v>
      </c>
      <c r="O10" s="4798">
        <f t="shared" ref="O10:O24" si="4">P10/N10</f>
        <v>5413.0759130077968</v>
      </c>
      <c r="P10" s="4799">
        <f t="shared" si="2"/>
        <v>263833.32</v>
      </c>
      <c r="Q10" s="4168"/>
      <c r="R10" s="4168"/>
      <c r="S10" s="4168"/>
      <c r="T10" s="4168"/>
      <c r="U10" s="4168"/>
      <c r="V10" s="4168"/>
      <c r="W10" s="4168"/>
      <c r="X10" s="4168"/>
      <c r="Y10" s="4168"/>
      <c r="Z10" s="4168"/>
      <c r="AA10" s="4168"/>
      <c r="AB10" s="4168"/>
      <c r="AC10" s="4168"/>
      <c r="AD10" s="4168"/>
      <c r="AE10" s="4168"/>
      <c r="AF10" s="4168"/>
      <c r="AG10" s="4167"/>
      <c r="AH10" s="4167"/>
      <c r="AI10" s="4167"/>
      <c r="AJ10" s="4167"/>
    </row>
    <row r="11" spans="1:36" x14ac:dyDescent="0.2">
      <c r="A11" s="4800" t="s">
        <v>260</v>
      </c>
      <c r="B11" s="4801">
        <f>2.278+0.873+2.885</f>
        <v>6.0359999999999996</v>
      </c>
      <c r="C11" s="4802">
        <f>12386.29+4746.82+15686.24</f>
        <v>32819.35</v>
      </c>
      <c r="D11" s="4801">
        <f>0.361+0.191+0.156</f>
        <v>0.70800000000000007</v>
      </c>
      <c r="E11" s="4802">
        <f>2015.1+1080.87+882.8</f>
        <v>3978.7699999999995</v>
      </c>
      <c r="F11" s="4170">
        <f t="shared" si="0"/>
        <v>23.952000000000002</v>
      </c>
      <c r="G11" s="4169">
        <f t="shared" si="0"/>
        <v>132345.57</v>
      </c>
      <c r="H11" s="4803">
        <v>22.631</v>
      </c>
      <c r="I11" s="4804">
        <v>124972.57</v>
      </c>
      <c r="J11" s="4803">
        <v>1.321</v>
      </c>
      <c r="K11" s="4804">
        <v>7373</v>
      </c>
      <c r="L11" s="4801">
        <v>1.4870000000000001</v>
      </c>
      <c r="M11" s="4802">
        <v>8085.08</v>
      </c>
      <c r="N11" s="4796">
        <f t="shared" si="1"/>
        <v>32.183</v>
      </c>
      <c r="O11" s="4798">
        <f t="shared" si="4"/>
        <v>5506.9064412888793</v>
      </c>
      <c r="P11" s="4799">
        <f t="shared" si="2"/>
        <v>177228.77</v>
      </c>
      <c r="Q11" s="4168"/>
      <c r="R11" s="4168"/>
      <c r="S11" s="4168"/>
      <c r="T11" s="4168"/>
      <c r="U11" s="4168"/>
      <c r="V11" s="4168"/>
      <c r="W11" s="4168"/>
      <c r="X11" s="4168"/>
      <c r="Y11" s="4168"/>
      <c r="Z11" s="4168"/>
      <c r="AA11" s="4168"/>
      <c r="AB11" s="4168"/>
      <c r="AC11" s="4168"/>
      <c r="AD11" s="4168"/>
      <c r="AE11" s="4168"/>
      <c r="AF11" s="4168"/>
      <c r="AG11" s="4167"/>
      <c r="AH11" s="4167"/>
      <c r="AI11" s="4167"/>
      <c r="AJ11" s="4167"/>
    </row>
    <row r="12" spans="1:36" ht="13.5" thickBot="1" x14ac:dyDescent="0.25">
      <c r="A12" s="4805" t="s">
        <v>261</v>
      </c>
      <c r="B12" s="4806">
        <f>0.191+0.153+0.575</f>
        <v>0.91899999999999993</v>
      </c>
      <c r="C12" s="4807">
        <f>1035.34+829.35+3116.83</f>
        <v>4981.5200000000004</v>
      </c>
      <c r="D12" s="4806">
        <f>0.079+0.086+0.035</f>
        <v>0.19999999999999998</v>
      </c>
      <c r="E12" s="4807">
        <f>434.55+479.56+195.17</f>
        <v>1109.28</v>
      </c>
      <c r="F12" s="4170">
        <f t="shared" si="0"/>
        <v>5.6760000000000002</v>
      </c>
      <c r="G12" s="4169">
        <f t="shared" si="0"/>
        <v>30904.65</v>
      </c>
      <c r="H12" s="4808">
        <v>5.4169999999999998</v>
      </c>
      <c r="I12" s="4809">
        <v>29480.02</v>
      </c>
      <c r="J12" s="4808">
        <v>0.25900000000000001</v>
      </c>
      <c r="K12" s="4809">
        <v>1424.63</v>
      </c>
      <c r="L12" s="4806"/>
      <c r="M12" s="4807"/>
      <c r="N12" s="4810">
        <f t="shared" si="1"/>
        <v>6.7949999999999999</v>
      </c>
      <c r="O12" s="4811">
        <f t="shared" si="4"/>
        <v>5444.5106696100083</v>
      </c>
      <c r="P12" s="4812">
        <f t="shared" si="2"/>
        <v>36995.450000000004</v>
      </c>
      <c r="Q12" s="4168"/>
      <c r="R12" s="4168"/>
      <c r="S12" s="4168"/>
      <c r="T12" s="4168"/>
      <c r="U12" s="4168"/>
      <c r="V12" s="4168"/>
      <c r="W12" s="4168"/>
      <c r="X12" s="4168"/>
      <c r="Y12" s="4168"/>
      <c r="Z12" s="4168"/>
      <c r="AA12" s="4168"/>
      <c r="AB12" s="4168"/>
      <c r="AC12" s="4168"/>
      <c r="AD12" s="4168"/>
      <c r="AE12" s="4168"/>
      <c r="AF12" s="4168"/>
      <c r="AG12" s="4167"/>
      <c r="AH12" s="4167"/>
      <c r="AI12" s="4167"/>
      <c r="AJ12" s="4167"/>
    </row>
    <row r="13" spans="1:36" ht="14.25" thickBot="1" x14ac:dyDescent="0.25">
      <c r="A13" s="4813" t="s">
        <v>4186</v>
      </c>
      <c r="B13" s="4814">
        <f>SUM(B10:B12)</f>
        <v>14.931000000000001</v>
      </c>
      <c r="C13" s="4815">
        <f>SUM(C10:C12)</f>
        <v>80798.22</v>
      </c>
      <c r="D13" s="4814">
        <f t="shared" ref="D13:M13" si="5">SUM(D10:D12)</f>
        <v>2.2370000000000001</v>
      </c>
      <c r="E13" s="4815">
        <f t="shared" si="5"/>
        <v>12413.800000000001</v>
      </c>
      <c r="F13" s="4814">
        <f>SUM(F10:F12)</f>
        <v>66.805000000000007</v>
      </c>
      <c r="G13" s="4815">
        <f>SUM(G10:G12)</f>
        <v>364587.92000000004</v>
      </c>
      <c r="H13" s="4816">
        <f>SUM(H10:H12)</f>
        <v>62.795999999999999</v>
      </c>
      <c r="I13" s="4817">
        <f>SUM(I10:I12)</f>
        <v>342503.2</v>
      </c>
      <c r="J13" s="4816">
        <f t="shared" si="5"/>
        <v>4.0090000000000003</v>
      </c>
      <c r="K13" s="4817">
        <f t="shared" si="5"/>
        <v>22084.720000000001</v>
      </c>
      <c r="L13" s="4814">
        <f t="shared" si="5"/>
        <v>3.7450000000000001</v>
      </c>
      <c r="M13" s="4815">
        <f t="shared" si="5"/>
        <v>20257.599999999999</v>
      </c>
      <c r="N13" s="4818">
        <f t="shared" si="1"/>
        <v>87.718000000000018</v>
      </c>
      <c r="O13" s="4815">
        <f t="shared" si="4"/>
        <v>5449.9366150619026</v>
      </c>
      <c r="P13" s="4819">
        <f t="shared" si="2"/>
        <v>478057.54000000004</v>
      </c>
      <c r="Q13" s="4168"/>
      <c r="R13" s="4168"/>
      <c r="S13" s="4168"/>
      <c r="T13" s="4168"/>
      <c r="U13" s="4168"/>
      <c r="V13" s="4168"/>
      <c r="W13" s="4168"/>
      <c r="X13" s="4168"/>
      <c r="Y13" s="4168"/>
      <c r="Z13" s="4168"/>
      <c r="AA13" s="4168"/>
      <c r="AB13" s="4168"/>
      <c r="AC13" s="4168"/>
      <c r="AD13" s="4168"/>
      <c r="AE13" s="4168"/>
      <c r="AF13" s="4168"/>
      <c r="AG13" s="4167"/>
      <c r="AH13" s="4167"/>
      <c r="AI13" s="4167"/>
      <c r="AJ13" s="4167"/>
    </row>
    <row r="14" spans="1:36" ht="14.25" thickBot="1" x14ac:dyDescent="0.25">
      <c r="A14" s="4813" t="s">
        <v>4187</v>
      </c>
      <c r="B14" s="4814">
        <f>B9+B13</f>
        <v>50.396999999999991</v>
      </c>
      <c r="C14" s="4815">
        <f>C9+C13</f>
        <v>271039.93</v>
      </c>
      <c r="D14" s="4814">
        <f t="shared" ref="D14:K14" si="6">D9+D13</f>
        <v>8.468</v>
      </c>
      <c r="E14" s="4815">
        <f t="shared" si="6"/>
        <v>46588.560000000005</v>
      </c>
      <c r="F14" s="4814">
        <f t="shared" si="6"/>
        <v>225.92499999999998</v>
      </c>
      <c r="G14" s="4815">
        <f t="shared" si="6"/>
        <v>1222047.79</v>
      </c>
      <c r="H14" s="4816">
        <f t="shared" si="6"/>
        <v>211.13200000000001</v>
      </c>
      <c r="I14" s="4817">
        <f t="shared" si="6"/>
        <v>1141263.68</v>
      </c>
      <c r="J14" s="4816">
        <f t="shared" si="6"/>
        <v>14.793000000000001</v>
      </c>
      <c r="K14" s="4817">
        <f t="shared" si="6"/>
        <v>80784.11</v>
      </c>
      <c r="L14" s="4814">
        <f>SUM(L9+L13)</f>
        <v>14.245000000000001</v>
      </c>
      <c r="M14" s="4815">
        <f>M9+M13</f>
        <v>76581.950000000012</v>
      </c>
      <c r="N14" s="4818">
        <f t="shared" si="1"/>
        <v>299.03499999999997</v>
      </c>
      <c r="O14" s="4815">
        <f t="shared" si="4"/>
        <v>5404.9132375808858</v>
      </c>
      <c r="P14" s="4819">
        <f t="shared" si="2"/>
        <v>1616258.23</v>
      </c>
      <c r="Q14" s="4168"/>
      <c r="R14" s="4168"/>
      <c r="S14" s="4168"/>
      <c r="T14" s="4168"/>
      <c r="U14" s="4168"/>
      <c r="V14" s="4168"/>
      <c r="W14" s="4168"/>
      <c r="X14" s="4168"/>
      <c r="Y14" s="4168"/>
      <c r="Z14" s="4168"/>
      <c r="AA14" s="4168"/>
      <c r="AB14" s="4168"/>
      <c r="AC14" s="4168"/>
      <c r="AD14" s="4168"/>
      <c r="AE14" s="4168"/>
      <c r="AF14" s="4168"/>
      <c r="AG14" s="4167"/>
      <c r="AH14" s="4167"/>
      <c r="AI14" s="4167"/>
      <c r="AJ14" s="4167"/>
    </row>
    <row r="15" spans="1:36" x14ac:dyDescent="0.2">
      <c r="A15" s="4795" t="s">
        <v>1207</v>
      </c>
      <c r="B15" s="4796">
        <v>0.53100000000000003</v>
      </c>
      <c r="C15" s="4798">
        <v>3309.14</v>
      </c>
      <c r="D15" s="4796">
        <f>0.004+0.031+0.009</f>
        <v>4.4000000000000004E-2</v>
      </c>
      <c r="E15" s="4798">
        <f>51.83+180.98+23.35</f>
        <v>256.16000000000003</v>
      </c>
      <c r="F15" s="4170">
        <f t="shared" si="0"/>
        <v>0.97199999999999998</v>
      </c>
      <c r="G15" s="4169">
        <f t="shared" si="0"/>
        <v>5541.3099999999995</v>
      </c>
      <c r="H15" s="4797">
        <v>0.95699999999999996</v>
      </c>
      <c r="I15" s="4820">
        <v>5454.9</v>
      </c>
      <c r="J15" s="4797">
        <v>1.4999999999999999E-2</v>
      </c>
      <c r="K15" s="4820">
        <v>86.41</v>
      </c>
      <c r="L15" s="4796">
        <v>0</v>
      </c>
      <c r="M15" s="4798">
        <v>0</v>
      </c>
      <c r="N15" s="4796">
        <f t="shared" si="1"/>
        <v>1.5470000000000002</v>
      </c>
      <c r="O15" s="4798">
        <f t="shared" si="4"/>
        <v>5886.625727213961</v>
      </c>
      <c r="P15" s="4799">
        <f t="shared" si="2"/>
        <v>9106.6099999999988</v>
      </c>
      <c r="Q15" s="4168"/>
      <c r="R15" s="4168"/>
      <c r="S15" s="4168"/>
      <c r="T15" s="4168"/>
      <c r="U15" s="4168"/>
      <c r="V15" s="4168"/>
      <c r="W15" s="4168"/>
      <c r="X15" s="4168"/>
      <c r="Y15" s="4168"/>
      <c r="Z15" s="4168"/>
      <c r="AA15" s="4168"/>
      <c r="AB15" s="4168"/>
      <c r="AC15" s="4168"/>
      <c r="AD15" s="4168"/>
      <c r="AE15" s="4168"/>
      <c r="AF15" s="4168"/>
      <c r="AG15" s="4167"/>
      <c r="AH15" s="4167"/>
      <c r="AI15" s="4167"/>
      <c r="AJ15" s="4167"/>
    </row>
    <row r="16" spans="1:36" x14ac:dyDescent="0.2">
      <c r="A16" s="4800" t="s">
        <v>262</v>
      </c>
      <c r="B16" s="4796">
        <f>0.048+0.007</f>
        <v>5.5E-2</v>
      </c>
      <c r="C16" s="4798">
        <f>297.54+40.11</f>
        <v>337.65000000000003</v>
      </c>
      <c r="D16" s="4796">
        <f>0.026+0.004</f>
        <v>0.03</v>
      </c>
      <c r="E16" s="4798">
        <f>151.01+23.23</f>
        <v>174.23999999999998</v>
      </c>
      <c r="F16" s="4170">
        <f t="shared" si="0"/>
        <v>1.1000000000000001</v>
      </c>
      <c r="G16" s="4169">
        <f t="shared" si="0"/>
        <v>6236.9000000000005</v>
      </c>
      <c r="H16" s="4797">
        <v>1.0900000000000001</v>
      </c>
      <c r="I16" s="4820">
        <v>6179.59</v>
      </c>
      <c r="J16" s="4797">
        <v>0.01</v>
      </c>
      <c r="K16" s="4820">
        <v>57.31</v>
      </c>
      <c r="L16" s="4796">
        <v>0</v>
      </c>
      <c r="M16" s="4798">
        <v>0</v>
      </c>
      <c r="N16" s="4796">
        <f t="shared" si="1"/>
        <v>1.1850000000000001</v>
      </c>
      <c r="O16" s="4798">
        <f t="shared" si="4"/>
        <v>5695.181434599157</v>
      </c>
      <c r="P16" s="4799">
        <f t="shared" si="2"/>
        <v>6748.7900000000009</v>
      </c>
      <c r="Q16" s="4168"/>
      <c r="R16" s="4168"/>
      <c r="S16" s="4168"/>
      <c r="T16" s="4168"/>
      <c r="U16" s="4168"/>
      <c r="V16" s="4168"/>
      <c r="W16" s="4168"/>
      <c r="X16" s="4168"/>
      <c r="Y16" s="4168"/>
      <c r="Z16" s="4168"/>
      <c r="AA16" s="4168"/>
      <c r="AB16" s="4168"/>
      <c r="AC16" s="4168"/>
      <c r="AD16" s="4168"/>
      <c r="AE16" s="4168"/>
      <c r="AF16" s="4168"/>
      <c r="AG16" s="4167"/>
      <c r="AH16" s="4167"/>
      <c r="AI16" s="4167"/>
      <c r="AJ16" s="4167"/>
    </row>
    <row r="17" spans="1:36" ht="13.5" thickBot="1" x14ac:dyDescent="0.25">
      <c r="A17" s="4805" t="s">
        <v>1225</v>
      </c>
      <c r="B17" s="4806">
        <f>1.032+0.574+1.921</f>
        <v>3.5270000000000001</v>
      </c>
      <c r="C17" s="4807">
        <f>5871.2+3265.57+10928.85</f>
        <v>20065.620000000003</v>
      </c>
      <c r="D17" s="4806">
        <f>0.203+0.124+0.095</f>
        <v>0.42200000000000004</v>
      </c>
      <c r="E17" s="4807">
        <f>1172.07+725.61+555.91</f>
        <v>2453.5899999999997</v>
      </c>
      <c r="F17" s="4170">
        <f t="shared" si="0"/>
        <v>16.331</v>
      </c>
      <c r="G17" s="4169">
        <f t="shared" si="0"/>
        <v>93349.12000000001</v>
      </c>
      <c r="H17" s="4808">
        <v>15.667999999999999</v>
      </c>
      <c r="I17" s="4809">
        <v>89521.16</v>
      </c>
      <c r="J17" s="4808">
        <v>0.66300000000000003</v>
      </c>
      <c r="K17" s="4809">
        <v>3827.96</v>
      </c>
      <c r="L17" s="4806">
        <v>0.36899999999999999</v>
      </c>
      <c r="M17" s="4807">
        <v>2099.29</v>
      </c>
      <c r="N17" s="4810">
        <f t="shared" si="1"/>
        <v>20.649000000000001</v>
      </c>
      <c r="O17" s="4811">
        <f t="shared" si="4"/>
        <v>5712.9943338660469</v>
      </c>
      <c r="P17" s="4812">
        <f>SUM(C17+E17+G17+M17)</f>
        <v>117967.62000000001</v>
      </c>
      <c r="Q17" s="4168"/>
      <c r="R17" s="4168"/>
      <c r="S17" s="4168"/>
      <c r="T17" s="4168"/>
      <c r="U17" s="4168"/>
      <c r="V17" s="4168"/>
      <c r="W17" s="4168"/>
      <c r="X17" s="4168"/>
      <c r="Y17" s="4168"/>
      <c r="Z17" s="4168"/>
      <c r="AA17" s="4168"/>
      <c r="AB17" s="4168"/>
      <c r="AC17" s="4168"/>
      <c r="AD17" s="4168"/>
      <c r="AE17" s="4168"/>
      <c r="AF17" s="4168"/>
      <c r="AG17" s="4167"/>
      <c r="AH17" s="4167"/>
      <c r="AI17" s="4167"/>
      <c r="AJ17" s="4167"/>
    </row>
    <row r="18" spans="1:36" ht="14.25" thickBot="1" x14ac:dyDescent="0.25">
      <c r="A18" s="4813" t="s">
        <v>4188</v>
      </c>
      <c r="B18" s="4814">
        <f>SUM(B15:B17)</f>
        <v>4.1130000000000004</v>
      </c>
      <c r="C18" s="4815">
        <f>SUM(C15:C17)</f>
        <v>23712.410000000003</v>
      </c>
      <c r="D18" s="4814">
        <f t="shared" ref="D18:M18" si="7">SUM(D15:D17)</f>
        <v>0.49600000000000005</v>
      </c>
      <c r="E18" s="4815">
        <f t="shared" si="7"/>
        <v>2883.99</v>
      </c>
      <c r="F18" s="4814">
        <f>SUM(F15:F17)</f>
        <v>18.402999999999999</v>
      </c>
      <c r="G18" s="4815">
        <f>SUM(G15:G17)</f>
        <v>105127.33000000002</v>
      </c>
      <c r="H18" s="4816">
        <f>SUM(H15:H17)</f>
        <v>17.715</v>
      </c>
      <c r="I18" s="4817">
        <f>SUM(I15:I17)</f>
        <v>101155.65000000001</v>
      </c>
      <c r="J18" s="4816">
        <f t="shared" si="7"/>
        <v>0.68800000000000006</v>
      </c>
      <c r="K18" s="4817">
        <f t="shared" si="7"/>
        <v>3971.68</v>
      </c>
      <c r="L18" s="4814">
        <f t="shared" si="7"/>
        <v>0.36899999999999999</v>
      </c>
      <c r="M18" s="4815">
        <f t="shared" si="7"/>
        <v>2099.29</v>
      </c>
      <c r="N18" s="4818">
        <f>SUM(B18+D18+F18+L18)</f>
        <v>23.381</v>
      </c>
      <c r="O18" s="4815">
        <f t="shared" si="4"/>
        <v>5723.5798297763149</v>
      </c>
      <c r="P18" s="4819">
        <f t="shared" si="2"/>
        <v>133823.02000000002</v>
      </c>
      <c r="Q18" s="4168"/>
      <c r="R18" s="4168"/>
      <c r="S18" s="4168"/>
      <c r="T18" s="4168"/>
      <c r="U18" s="4168"/>
      <c r="V18" s="4168"/>
      <c r="W18" s="4168"/>
      <c r="X18" s="4168"/>
      <c r="Y18" s="4168"/>
      <c r="Z18" s="4168"/>
      <c r="AA18" s="4168"/>
      <c r="AB18" s="4168"/>
      <c r="AC18" s="4168"/>
      <c r="AD18" s="4168"/>
      <c r="AE18" s="4168"/>
      <c r="AF18" s="4168"/>
      <c r="AG18" s="4167"/>
      <c r="AH18" s="4167"/>
      <c r="AI18" s="4167"/>
      <c r="AJ18" s="4167"/>
    </row>
    <row r="19" spans="1:36" ht="14.25" thickBot="1" x14ac:dyDescent="0.25">
      <c r="A19" s="4813" t="s">
        <v>126</v>
      </c>
      <c r="B19" s="4814">
        <f>B14+B18</f>
        <v>54.509999999999991</v>
      </c>
      <c r="C19" s="4815">
        <f>C14+C18</f>
        <v>294752.33999999997</v>
      </c>
      <c r="D19" s="4814">
        <f t="shared" ref="D19:M19" si="8">D14+D18</f>
        <v>8.9640000000000004</v>
      </c>
      <c r="E19" s="4815">
        <f t="shared" si="8"/>
        <v>49472.55</v>
      </c>
      <c r="F19" s="4814">
        <f>F14+F18</f>
        <v>244.32799999999997</v>
      </c>
      <c r="G19" s="4815">
        <f>G14+G18</f>
        <v>1327175.1200000001</v>
      </c>
      <c r="H19" s="4816">
        <f>H14+H18</f>
        <v>228.84700000000001</v>
      </c>
      <c r="I19" s="4817">
        <f>I14+I18</f>
        <v>1242419.3299999998</v>
      </c>
      <c r="J19" s="4816">
        <f t="shared" si="8"/>
        <v>15.481000000000002</v>
      </c>
      <c r="K19" s="4817">
        <f t="shared" si="8"/>
        <v>84755.79</v>
      </c>
      <c r="L19" s="4814">
        <f t="shared" si="8"/>
        <v>14.614000000000001</v>
      </c>
      <c r="M19" s="4815">
        <f t="shared" si="8"/>
        <v>78681.240000000005</v>
      </c>
      <c r="N19" s="4818">
        <f t="shared" si="1"/>
        <v>322.41599999999994</v>
      </c>
      <c r="O19" s="4815">
        <f t="shared" si="4"/>
        <v>5428.0223376011127</v>
      </c>
      <c r="P19" s="4819">
        <f t="shared" si="2"/>
        <v>1750081.25</v>
      </c>
      <c r="Q19" s="4168"/>
      <c r="R19" s="4168"/>
      <c r="S19" s="4168"/>
      <c r="T19" s="4168"/>
      <c r="U19" s="4168"/>
      <c r="V19" s="4168"/>
      <c r="W19" s="4168"/>
      <c r="X19" s="4168"/>
      <c r="Y19" s="4168"/>
      <c r="Z19" s="4168"/>
      <c r="AA19" s="4168"/>
      <c r="AB19" s="4168"/>
      <c r="AC19" s="4168"/>
      <c r="AD19" s="4168"/>
      <c r="AE19" s="4168"/>
      <c r="AF19" s="4168"/>
      <c r="AG19" s="4167"/>
      <c r="AH19" s="4167"/>
      <c r="AI19" s="4167"/>
      <c r="AJ19" s="4167"/>
    </row>
    <row r="20" spans="1:36" x14ac:dyDescent="0.2">
      <c r="A20" s="4795" t="s">
        <v>263</v>
      </c>
      <c r="B20" s="4796">
        <f>0.787+2.722</f>
        <v>3.5089999999999999</v>
      </c>
      <c r="C20" s="4798">
        <f>4464.2+15440.32</f>
        <v>19904.52</v>
      </c>
      <c r="D20" s="4796">
        <f>0.351+0.171+0.164</f>
        <v>0.68600000000000005</v>
      </c>
      <c r="E20" s="4798">
        <f>2020.59+997.72+956.9</f>
        <v>3975.21</v>
      </c>
      <c r="F20" s="4170">
        <f t="shared" si="0"/>
        <v>26.48</v>
      </c>
      <c r="G20" s="4169">
        <f t="shared" si="0"/>
        <v>150947.20000000001</v>
      </c>
      <c r="H20" s="4797">
        <v>24.795000000000002</v>
      </c>
      <c r="I20" s="4820">
        <v>141247.20000000001</v>
      </c>
      <c r="J20" s="4797">
        <v>1.6850000000000001</v>
      </c>
      <c r="K20" s="4820">
        <v>9700</v>
      </c>
      <c r="L20" s="4796">
        <v>2.198</v>
      </c>
      <c r="M20" s="4798">
        <v>12467.97</v>
      </c>
      <c r="N20" s="4796">
        <f t="shared" si="1"/>
        <v>32.872999999999998</v>
      </c>
      <c r="O20" s="4798">
        <f>P20/N20</f>
        <v>5697.5298877498262</v>
      </c>
      <c r="P20" s="4812">
        <f t="shared" si="2"/>
        <v>187294.90000000002</v>
      </c>
      <c r="Q20" s="4168"/>
      <c r="R20" s="4168"/>
      <c r="S20" s="4168"/>
      <c r="T20" s="4168"/>
      <c r="U20" s="4168"/>
      <c r="V20" s="4168"/>
      <c r="W20" s="4168"/>
      <c r="X20" s="4168"/>
      <c r="Y20" s="4168"/>
      <c r="Z20" s="4168"/>
      <c r="AA20" s="4168"/>
      <c r="AB20" s="4168"/>
      <c r="AC20" s="4168"/>
      <c r="AD20" s="4168"/>
      <c r="AE20" s="4168"/>
      <c r="AF20" s="4168"/>
      <c r="AG20" s="4167"/>
      <c r="AH20" s="4167"/>
      <c r="AI20" s="4167"/>
      <c r="AJ20" s="4167"/>
    </row>
    <row r="21" spans="1:36" x14ac:dyDescent="0.2">
      <c r="A21" s="4800" t="s">
        <v>264</v>
      </c>
      <c r="B21" s="4801">
        <f>3.357+4.18+1.222</f>
        <v>8.7590000000000003</v>
      </c>
      <c r="C21" s="4802">
        <f>18937.48+23580.18+6893.53</f>
        <v>49411.19</v>
      </c>
      <c r="D21" s="4801">
        <f>0.556+0.312+0.346</f>
        <v>1.214</v>
      </c>
      <c r="E21" s="4802">
        <f>3183.03+1810.5+2007.81</f>
        <v>7001.34</v>
      </c>
      <c r="F21" s="4170">
        <f t="shared" si="0"/>
        <v>43.341000000000001</v>
      </c>
      <c r="G21" s="4169">
        <f t="shared" si="0"/>
        <v>245663.71</v>
      </c>
      <c r="H21" s="4803">
        <v>40.917000000000002</v>
      </c>
      <c r="I21" s="4804">
        <v>231786.62</v>
      </c>
      <c r="J21" s="4803">
        <v>2.4239999999999999</v>
      </c>
      <c r="K21" s="4804">
        <v>13877.09</v>
      </c>
      <c r="L21" s="4801">
        <v>0</v>
      </c>
      <c r="M21" s="4802">
        <v>0</v>
      </c>
      <c r="N21" s="4796">
        <f t="shared" si="1"/>
        <v>53.314</v>
      </c>
      <c r="O21" s="4798">
        <f t="shared" si="4"/>
        <v>5665.9834189893836</v>
      </c>
      <c r="P21" s="4821">
        <f t="shared" si="2"/>
        <v>302076.24</v>
      </c>
      <c r="Q21" s="4168"/>
      <c r="R21" s="4168"/>
      <c r="S21" s="4168"/>
      <c r="T21" s="4168"/>
      <c r="U21" s="4168"/>
      <c r="V21" s="4168"/>
      <c r="W21" s="4168"/>
      <c r="X21" s="4168"/>
      <c r="Y21" s="4168"/>
      <c r="Z21" s="4168"/>
      <c r="AA21" s="4168"/>
      <c r="AB21" s="4168"/>
      <c r="AC21" s="4168"/>
      <c r="AD21" s="4168"/>
      <c r="AE21" s="4168"/>
      <c r="AF21" s="4168"/>
      <c r="AG21" s="4167"/>
      <c r="AH21" s="4167"/>
      <c r="AI21" s="4167"/>
      <c r="AJ21" s="4167"/>
    </row>
    <row r="22" spans="1:36" ht="13.5" thickBot="1" x14ac:dyDescent="0.25">
      <c r="A22" s="4805" t="s">
        <v>1316</v>
      </c>
      <c r="B22" s="4806">
        <f>4.761+5.635+1.304</f>
        <v>11.700000000000001</v>
      </c>
      <c r="C22" s="4807">
        <f>29068.34+34404.55+7961.59</f>
        <v>71434.48</v>
      </c>
      <c r="D22" s="4806">
        <v>1.506</v>
      </c>
      <c r="E22" s="4807">
        <v>9840.2099999999991</v>
      </c>
      <c r="F22" s="4170">
        <f t="shared" si="0"/>
        <v>52.722000000000001</v>
      </c>
      <c r="G22" s="4169">
        <f t="shared" si="0"/>
        <v>323452.73</v>
      </c>
      <c r="H22" s="4808">
        <v>49.701999999999998</v>
      </c>
      <c r="I22" s="4809">
        <v>304739.36</v>
      </c>
      <c r="J22" s="4808">
        <v>3.02</v>
      </c>
      <c r="K22" s="4809">
        <v>18713.37</v>
      </c>
      <c r="L22" s="4806">
        <v>0</v>
      </c>
      <c r="M22" s="4807">
        <v>0</v>
      </c>
      <c r="N22" s="4810">
        <f t="shared" si="1"/>
        <v>65.927999999999997</v>
      </c>
      <c r="O22" s="4811">
        <f t="shared" si="4"/>
        <v>6138.9306516199495</v>
      </c>
      <c r="P22" s="4812">
        <f t="shared" si="2"/>
        <v>404727.42</v>
      </c>
      <c r="Q22" s="4168"/>
      <c r="R22" s="4168"/>
      <c r="S22" s="4168"/>
      <c r="T22" s="4168"/>
      <c r="U22" s="4168"/>
      <c r="V22" s="4168"/>
      <c r="W22" s="4168"/>
      <c r="X22" s="4168"/>
      <c r="Y22" s="4168"/>
      <c r="Z22" s="4168"/>
      <c r="AA22" s="4168"/>
      <c r="AB22" s="4168"/>
      <c r="AC22" s="4168"/>
      <c r="AD22" s="4168"/>
      <c r="AE22" s="4168"/>
      <c r="AF22" s="4168"/>
      <c r="AG22" s="4167"/>
      <c r="AH22" s="4167"/>
      <c r="AI22" s="4167"/>
      <c r="AJ22" s="4167"/>
    </row>
    <row r="23" spans="1:36" ht="14.25" thickBot="1" x14ac:dyDescent="0.25">
      <c r="A23" s="4813" t="s">
        <v>4189</v>
      </c>
      <c r="B23" s="4814">
        <f>SUM(B20:B22)</f>
        <v>23.968000000000004</v>
      </c>
      <c r="C23" s="4815">
        <f>SUM(C20:C22)</f>
        <v>140750.19</v>
      </c>
      <c r="D23" s="4814">
        <f t="shared" ref="D23:M23" si="9">SUM(D20:D22)</f>
        <v>3.4059999999999997</v>
      </c>
      <c r="E23" s="4815">
        <f t="shared" si="9"/>
        <v>20816.759999999998</v>
      </c>
      <c r="F23" s="4814">
        <f>SUM(F20:F22)</f>
        <v>122.54300000000001</v>
      </c>
      <c r="G23" s="4815">
        <f>SUM(G20:G22)</f>
        <v>720063.64</v>
      </c>
      <c r="H23" s="4816">
        <f>SUM(H20:H22)</f>
        <v>115.414</v>
      </c>
      <c r="I23" s="4817">
        <f>SUM(I20:I22)</f>
        <v>677773.17999999993</v>
      </c>
      <c r="J23" s="4816">
        <f t="shared" si="9"/>
        <v>7.1289999999999996</v>
      </c>
      <c r="K23" s="4817">
        <f t="shared" si="9"/>
        <v>42290.46</v>
      </c>
      <c r="L23" s="4814">
        <f t="shared" si="9"/>
        <v>2.198</v>
      </c>
      <c r="M23" s="4815">
        <f t="shared" si="9"/>
        <v>12467.97</v>
      </c>
      <c r="N23" s="4818">
        <f t="shared" si="1"/>
        <v>152.11500000000001</v>
      </c>
      <c r="O23" s="4815">
        <f t="shared" si="4"/>
        <v>5877.7803635407427</v>
      </c>
      <c r="P23" s="4819">
        <f t="shared" si="2"/>
        <v>894098.56</v>
      </c>
      <c r="Q23" s="4168"/>
      <c r="R23" s="4168"/>
      <c r="S23" s="4168"/>
      <c r="T23" s="4168"/>
      <c r="U23" s="4168"/>
      <c r="V23" s="4168"/>
      <c r="W23" s="4168"/>
      <c r="X23" s="4168"/>
      <c r="Y23" s="4168"/>
      <c r="Z23" s="4168"/>
      <c r="AA23" s="4168"/>
      <c r="AB23" s="4168"/>
      <c r="AC23" s="4168"/>
      <c r="AD23" s="4168"/>
      <c r="AE23" s="4168"/>
      <c r="AF23" s="4168"/>
      <c r="AG23" s="4167"/>
      <c r="AH23" s="4167"/>
      <c r="AI23" s="4167"/>
      <c r="AJ23" s="4167"/>
    </row>
    <row r="24" spans="1:36" ht="14.25" thickBot="1" x14ac:dyDescent="0.25">
      <c r="A24" s="4813" t="s">
        <v>4190</v>
      </c>
      <c r="B24" s="4814">
        <f>B19+B23</f>
        <v>78.477999999999994</v>
      </c>
      <c r="C24" s="4815">
        <f>C19+C23</f>
        <v>435502.52999999997</v>
      </c>
      <c r="D24" s="4814">
        <f t="shared" ref="D24:M24" si="10">D19+D23</f>
        <v>12.370000000000001</v>
      </c>
      <c r="E24" s="4815">
        <f t="shared" si="10"/>
        <v>70289.31</v>
      </c>
      <c r="F24" s="4814">
        <f>F19+F23</f>
        <v>366.87099999999998</v>
      </c>
      <c r="G24" s="4815">
        <f>G19+G23</f>
        <v>2047238.7600000002</v>
      </c>
      <c r="H24" s="4816">
        <f>H19+H23</f>
        <v>344.26100000000002</v>
      </c>
      <c r="I24" s="4817">
        <f>I19+I23</f>
        <v>1920192.5099999998</v>
      </c>
      <c r="J24" s="4816">
        <f t="shared" si="10"/>
        <v>22.61</v>
      </c>
      <c r="K24" s="4817">
        <f t="shared" si="10"/>
        <v>127046.25</v>
      </c>
      <c r="L24" s="4814">
        <f t="shared" si="10"/>
        <v>16.812000000000001</v>
      </c>
      <c r="M24" s="4815">
        <f t="shared" si="10"/>
        <v>91149.21</v>
      </c>
      <c r="N24" s="4818">
        <f t="shared" si="1"/>
        <v>474.53100000000001</v>
      </c>
      <c r="O24" s="4815">
        <f t="shared" si="4"/>
        <v>5572.1961473539141</v>
      </c>
      <c r="P24" s="4819">
        <f t="shared" si="2"/>
        <v>2644179.81</v>
      </c>
      <c r="Q24" s="4168"/>
      <c r="R24" s="4168"/>
      <c r="S24" s="4168"/>
      <c r="T24" s="4168"/>
      <c r="U24" s="4168"/>
      <c r="V24" s="4168"/>
      <c r="W24" s="4168"/>
      <c r="X24" s="4168"/>
      <c r="Y24" s="4168"/>
      <c r="Z24" s="4168"/>
      <c r="AA24" s="4168"/>
      <c r="AB24" s="4168"/>
      <c r="AC24" s="4168"/>
      <c r="AD24" s="4168"/>
      <c r="AE24" s="4168"/>
      <c r="AF24" s="4168"/>
      <c r="AG24" s="4167"/>
      <c r="AH24" s="4167"/>
      <c r="AI24" s="4167"/>
      <c r="AJ24" s="4167"/>
    </row>
    <row r="25" spans="1:36" x14ac:dyDescent="0.2">
      <c r="A25" s="4168"/>
      <c r="B25" s="4168"/>
      <c r="C25" s="4168"/>
      <c r="D25" s="4168"/>
      <c r="E25" s="4168"/>
      <c r="F25" s="4168"/>
      <c r="G25" s="4168"/>
      <c r="H25" s="4168"/>
      <c r="I25" s="4168"/>
      <c r="J25" s="4168"/>
      <c r="K25" s="4168"/>
      <c r="L25" s="4168"/>
      <c r="M25" s="4168"/>
      <c r="N25" s="4168"/>
      <c r="O25" s="4168"/>
      <c r="P25" s="4168"/>
      <c r="Q25" s="4168"/>
      <c r="R25" s="4168"/>
      <c r="S25" s="4168"/>
      <c r="T25" s="4168"/>
      <c r="U25" s="4168"/>
      <c r="V25" s="4168"/>
      <c r="W25" s="4168"/>
      <c r="X25" s="4168"/>
      <c r="Y25" s="4168"/>
      <c r="Z25" s="4168"/>
      <c r="AA25" s="4168"/>
      <c r="AB25" s="4168"/>
      <c r="AC25" s="4168"/>
      <c r="AD25" s="4168"/>
      <c r="AE25" s="4168"/>
      <c r="AF25" s="4168"/>
      <c r="AG25" s="4167"/>
      <c r="AH25" s="4167"/>
      <c r="AI25" s="4167"/>
      <c r="AJ25" s="4167"/>
    </row>
    <row r="26" spans="1:36" x14ac:dyDescent="0.2">
      <c r="A26" s="6058" t="s">
        <v>4191</v>
      </c>
      <c r="B26" s="6058"/>
      <c r="C26" s="6058"/>
      <c r="D26" s="6059"/>
      <c r="E26" s="6059"/>
      <c r="F26" s="6059"/>
      <c r="G26" s="6059"/>
      <c r="H26" s="6059"/>
      <c r="I26" s="6059"/>
      <c r="J26" s="6059"/>
      <c r="K26" s="6059"/>
      <c r="L26" s="6059"/>
      <c r="M26" s="6059"/>
      <c r="N26" s="6059"/>
      <c r="O26" s="6059"/>
      <c r="P26" s="6059"/>
      <c r="Q26" s="4168"/>
      <c r="R26" s="4168"/>
      <c r="S26" s="4168"/>
      <c r="T26" s="4168"/>
      <c r="U26" s="4168"/>
      <c r="V26" s="4168"/>
      <c r="W26" s="4168"/>
      <c r="X26" s="4168"/>
      <c r="Y26" s="4168"/>
      <c r="Z26" s="4168"/>
      <c r="AA26" s="4168"/>
      <c r="AB26" s="4168"/>
      <c r="AC26" s="4168"/>
      <c r="AD26" s="4168"/>
      <c r="AE26" s="4168"/>
      <c r="AF26" s="4168"/>
      <c r="AG26" s="4167"/>
      <c r="AH26" s="4167"/>
      <c r="AI26" s="4167"/>
      <c r="AJ26" s="4167"/>
    </row>
    <row r="27" spans="1:36" x14ac:dyDescent="0.2">
      <c r="A27" s="4168"/>
      <c r="B27" s="4168"/>
      <c r="C27" s="4168"/>
      <c r="D27" s="4168"/>
      <c r="E27" s="4168"/>
      <c r="F27" s="4168"/>
      <c r="G27" s="4168"/>
      <c r="H27" s="4168"/>
      <c r="I27" s="4168"/>
      <c r="J27" s="4168"/>
      <c r="K27" s="4168"/>
      <c r="L27" s="4168"/>
      <c r="M27" s="4168"/>
      <c r="N27" s="4168"/>
      <c r="O27" s="4168"/>
      <c r="P27" s="4168"/>
      <c r="Q27" s="4168"/>
      <c r="R27" s="4168"/>
      <c r="S27" s="4168"/>
      <c r="T27" s="4168"/>
      <c r="U27" s="4168"/>
      <c r="V27" s="4168"/>
      <c r="W27" s="4168"/>
      <c r="X27" s="4168"/>
      <c r="Y27" s="4168"/>
      <c r="Z27" s="4168"/>
      <c r="AA27" s="4168"/>
      <c r="AB27" s="4168"/>
      <c r="AC27" s="4168"/>
      <c r="AD27" s="4168"/>
      <c r="AE27" s="4168"/>
      <c r="AF27" s="4168"/>
      <c r="AG27" s="4167"/>
      <c r="AH27" s="4167"/>
      <c r="AI27" s="4167"/>
      <c r="AJ27" s="4167"/>
    </row>
    <row r="28" spans="1:36" x14ac:dyDescent="0.2">
      <c r="A28" s="4168"/>
      <c r="B28" s="4168"/>
      <c r="C28" s="4168"/>
      <c r="D28" s="4168"/>
      <c r="E28" s="4168"/>
      <c r="F28" s="4168"/>
      <c r="G28" s="4168"/>
      <c r="H28" s="4168"/>
      <c r="I28" s="4168"/>
      <c r="J28" s="4168"/>
      <c r="K28" s="4168"/>
      <c r="L28" s="4168"/>
      <c r="M28" s="4168"/>
      <c r="N28" s="4168"/>
      <c r="O28" s="4168"/>
      <c r="P28" s="4168"/>
      <c r="Q28" s="4168"/>
      <c r="R28" s="4168"/>
      <c r="S28" s="4168"/>
      <c r="T28" s="4168"/>
      <c r="U28" s="4168"/>
      <c r="V28" s="4168"/>
      <c r="W28" s="4168"/>
      <c r="X28" s="4168"/>
      <c r="Y28" s="4168"/>
      <c r="Z28" s="4168"/>
      <c r="AA28" s="4168"/>
      <c r="AB28" s="4168"/>
      <c r="AC28" s="4168"/>
      <c r="AD28" s="4168"/>
      <c r="AE28" s="4168"/>
      <c r="AF28" s="4168"/>
      <c r="AG28" s="4167"/>
      <c r="AH28" s="4167"/>
      <c r="AI28" s="4167"/>
      <c r="AJ28" s="4167"/>
    </row>
    <row r="29" spans="1:36" ht="15.75" x14ac:dyDescent="0.2">
      <c r="A29" s="6060" t="s">
        <v>4192</v>
      </c>
      <c r="B29" s="6061"/>
      <c r="C29" s="6061"/>
      <c r="D29" s="6061"/>
      <c r="E29" s="6061"/>
      <c r="F29" s="6061"/>
      <c r="G29" s="6061"/>
      <c r="H29" s="6061"/>
      <c r="I29" s="6061"/>
      <c r="J29" s="6061"/>
      <c r="K29" s="6061"/>
      <c r="L29" s="6061"/>
      <c r="M29" s="6061"/>
      <c r="N29" s="4173"/>
      <c r="O29" s="4173"/>
      <c r="P29" s="4173"/>
      <c r="Q29" s="4173"/>
      <c r="R29" s="4173"/>
      <c r="S29" s="4173"/>
      <c r="T29" s="4173"/>
      <c r="U29" s="4168"/>
      <c r="V29" s="4168"/>
      <c r="W29" s="4168"/>
      <c r="X29" s="4168"/>
      <c r="Y29" s="4168"/>
      <c r="Z29" s="4168"/>
      <c r="AA29" s="4168"/>
      <c r="AB29" s="4168"/>
      <c r="AC29" s="4168"/>
      <c r="AD29" s="4168"/>
      <c r="AE29" s="4168"/>
      <c r="AF29" s="4168"/>
      <c r="AG29" s="4167"/>
      <c r="AH29" s="4167"/>
      <c r="AI29" s="4167"/>
      <c r="AJ29" s="4167"/>
    </row>
    <row r="30" spans="1:36" ht="13.5" thickBot="1" x14ac:dyDescent="0.25">
      <c r="A30" s="4174"/>
      <c r="B30" s="4174"/>
      <c r="C30" s="4174"/>
      <c r="D30" s="4175"/>
      <c r="E30" s="4175"/>
      <c r="F30" s="4175"/>
      <c r="G30" s="4175"/>
      <c r="H30" s="4175"/>
      <c r="I30" s="4175"/>
      <c r="J30" s="4176"/>
      <c r="K30" s="4175"/>
      <c r="L30" s="4176"/>
      <c r="M30" s="4176" t="s">
        <v>4193</v>
      </c>
      <c r="N30" s="4175"/>
      <c r="O30" s="4175"/>
      <c r="P30" s="4175"/>
      <c r="Q30" s="4175"/>
      <c r="R30" s="4175"/>
      <c r="S30" s="4175"/>
      <c r="T30" s="4177"/>
      <c r="U30" s="4168"/>
      <c r="V30" s="4168"/>
      <c r="W30" s="4168"/>
      <c r="X30" s="4168"/>
      <c r="Y30" s="4168"/>
      <c r="Z30" s="4168"/>
      <c r="AA30" s="4168"/>
      <c r="AB30" s="4168"/>
      <c r="AC30" s="4168"/>
      <c r="AD30" s="4168"/>
      <c r="AE30" s="4168"/>
      <c r="AF30" s="4168"/>
      <c r="AG30" s="4167"/>
      <c r="AH30" s="4167"/>
      <c r="AI30" s="4167"/>
      <c r="AJ30" s="4167"/>
    </row>
    <row r="31" spans="1:36" ht="12.75" customHeight="1" x14ac:dyDescent="0.2">
      <c r="A31" s="4956" t="s">
        <v>3830</v>
      </c>
      <c r="B31" s="6064" t="s">
        <v>4194</v>
      </c>
      <c r="C31" s="6065"/>
      <c r="D31" s="6065"/>
      <c r="E31" s="6065"/>
      <c r="F31" s="6065"/>
      <c r="G31" s="6065"/>
      <c r="H31" s="6065"/>
      <c r="I31" s="6065"/>
      <c r="J31" s="6066"/>
      <c r="K31" s="6065" t="s">
        <v>4195</v>
      </c>
      <c r="L31" s="6067"/>
      <c r="M31" s="6068"/>
      <c r="N31" s="4178"/>
      <c r="O31" s="4178"/>
      <c r="P31" s="6051"/>
      <c r="Q31" s="6052"/>
      <c r="R31" s="6052"/>
      <c r="S31" s="6051"/>
      <c r="T31" s="6052"/>
      <c r="U31" s="4179"/>
      <c r="V31" s="4179"/>
      <c r="W31" s="4168"/>
      <c r="X31" s="4168"/>
      <c r="Y31" s="4168"/>
      <c r="Z31" s="4168"/>
      <c r="AA31" s="4168"/>
      <c r="AB31" s="4168"/>
      <c r="AC31" s="4168"/>
      <c r="AD31" s="4168"/>
      <c r="AE31" s="4168"/>
      <c r="AF31" s="4168"/>
      <c r="AG31" s="4167"/>
      <c r="AH31" s="4167"/>
      <c r="AI31" s="4167"/>
      <c r="AJ31" s="4167"/>
    </row>
    <row r="32" spans="1:36" ht="26.25" customHeight="1" x14ac:dyDescent="0.2">
      <c r="A32" s="6062"/>
      <c r="B32" s="6053" t="s">
        <v>4196</v>
      </c>
      <c r="C32" s="6054"/>
      <c r="D32" s="5508"/>
      <c r="E32" s="6055" t="s">
        <v>4197</v>
      </c>
      <c r="F32" s="6054"/>
      <c r="G32" s="5508"/>
      <c r="H32" s="6056" t="s">
        <v>4198</v>
      </c>
      <c r="I32" s="6056"/>
      <c r="J32" s="6057"/>
      <c r="K32" s="5511"/>
      <c r="L32" s="5511"/>
      <c r="M32" s="6069"/>
      <c r="N32" s="4180"/>
      <c r="O32" s="4180"/>
      <c r="P32" s="4181"/>
      <c r="Q32" s="4180"/>
      <c r="R32" s="4180"/>
      <c r="S32" s="4181"/>
      <c r="T32" s="4180"/>
      <c r="U32" s="4179"/>
      <c r="V32" s="4179"/>
      <c r="W32" s="4168"/>
      <c r="X32" s="4168"/>
      <c r="Y32" s="4168"/>
      <c r="Z32" s="4168"/>
      <c r="AA32" s="4168"/>
      <c r="AB32" s="4168"/>
      <c r="AC32" s="4168"/>
      <c r="AD32" s="4168"/>
      <c r="AE32" s="4168"/>
      <c r="AF32" s="4168"/>
      <c r="AG32" s="4167"/>
      <c r="AH32" s="4167"/>
      <c r="AI32" s="4167"/>
      <c r="AJ32" s="4167"/>
    </row>
    <row r="33" spans="1:36" ht="26.25" thickBot="1" x14ac:dyDescent="0.25">
      <c r="A33" s="6063"/>
      <c r="B33" s="4767" t="s">
        <v>128</v>
      </c>
      <c r="C33" s="4768" t="s">
        <v>4199</v>
      </c>
      <c r="D33" s="4768" t="s">
        <v>4200</v>
      </c>
      <c r="E33" s="4768" t="s">
        <v>128</v>
      </c>
      <c r="F33" s="4768" t="s">
        <v>4199</v>
      </c>
      <c r="G33" s="4768" t="s">
        <v>4200</v>
      </c>
      <c r="H33" s="4768" t="s">
        <v>128</v>
      </c>
      <c r="I33" s="4768" t="s">
        <v>4199</v>
      </c>
      <c r="J33" s="4769" t="s">
        <v>4200</v>
      </c>
      <c r="K33" s="4770" t="s">
        <v>128</v>
      </c>
      <c r="L33" s="4768" t="s">
        <v>4199</v>
      </c>
      <c r="M33" s="4769" t="s">
        <v>4200</v>
      </c>
      <c r="N33" s="4181"/>
      <c r="O33" s="4181"/>
      <c r="P33" s="4181"/>
      <c r="Q33" s="4181"/>
      <c r="R33" s="4181"/>
      <c r="S33" s="4181"/>
      <c r="T33" s="4181"/>
      <c r="U33" s="4179"/>
      <c r="V33" s="4179"/>
      <c r="W33" s="4168"/>
      <c r="X33" s="4168"/>
      <c r="Y33" s="4168"/>
      <c r="Z33" s="4168"/>
      <c r="AA33" s="4168"/>
      <c r="AB33" s="4168"/>
      <c r="AC33" s="4168"/>
      <c r="AD33" s="4168"/>
      <c r="AE33" s="4168"/>
      <c r="AF33" s="4168"/>
      <c r="AG33" s="4167"/>
      <c r="AH33" s="4167"/>
      <c r="AI33" s="4167"/>
      <c r="AJ33" s="4167"/>
    </row>
    <row r="34" spans="1:36" x14ac:dyDescent="0.2">
      <c r="A34" s="4771" t="s">
        <v>256</v>
      </c>
      <c r="B34" s="4772">
        <f>SUM(D34/C34)</f>
        <v>2109.4300037133307</v>
      </c>
      <c r="C34" s="4734">
        <v>26.93</v>
      </c>
      <c r="D34" s="4734">
        <v>56806.95</v>
      </c>
      <c r="E34" s="4725">
        <f t="shared" ref="E34:E52" si="11">G34/F34</f>
        <v>2109.4303797468356</v>
      </c>
      <c r="F34" s="4734">
        <v>15.01</v>
      </c>
      <c r="G34" s="4734">
        <v>31662.55</v>
      </c>
      <c r="H34" s="4773">
        <f t="shared" ref="H34:H42" si="12">J34/I34</f>
        <v>1893.9699248120298</v>
      </c>
      <c r="I34" s="4734">
        <v>7.98</v>
      </c>
      <c r="J34" s="4774">
        <v>15113.88</v>
      </c>
      <c r="K34" s="4726">
        <f>M34/L34</f>
        <v>2074.9875801282051</v>
      </c>
      <c r="L34" s="4725">
        <f t="shared" ref="L34:M36" si="13">C34+F34+I34</f>
        <v>49.92</v>
      </c>
      <c r="M34" s="4775">
        <f t="shared" si="13"/>
        <v>103583.38</v>
      </c>
      <c r="N34" s="4181"/>
      <c r="O34" s="4181"/>
      <c r="P34" s="4182"/>
      <c r="Q34" s="4181"/>
      <c r="R34" s="4181"/>
      <c r="S34" s="4181"/>
      <c r="T34" s="4182"/>
      <c r="U34" s="4179"/>
      <c r="V34" s="4179"/>
      <c r="W34" s="4168"/>
      <c r="X34" s="4168"/>
      <c r="Y34" s="4168"/>
      <c r="Z34" s="4168"/>
      <c r="AA34" s="4168"/>
      <c r="AB34" s="4168"/>
      <c r="AC34" s="4168"/>
      <c r="AD34" s="4168"/>
      <c r="AE34" s="4168"/>
      <c r="AF34" s="4168"/>
      <c r="AG34" s="4167"/>
      <c r="AH34" s="4167"/>
      <c r="AI34" s="4167"/>
      <c r="AJ34" s="4167"/>
    </row>
    <row r="35" spans="1:36" x14ac:dyDescent="0.2">
      <c r="A35" s="4776" t="s">
        <v>257</v>
      </c>
      <c r="B35" s="4772">
        <f t="shared" ref="B35:B52" si="14">SUM(D35/C35)</f>
        <v>2109.429772502473</v>
      </c>
      <c r="C35" s="4777">
        <v>20.22</v>
      </c>
      <c r="D35" s="4777">
        <v>42652.67</v>
      </c>
      <c r="E35" s="4773">
        <f t="shared" si="11"/>
        <v>2109.4299999999998</v>
      </c>
      <c r="F35" s="4777">
        <v>12</v>
      </c>
      <c r="G35" s="4777">
        <v>25313.16</v>
      </c>
      <c r="H35" s="4773">
        <f t="shared" si="12"/>
        <v>1893.9716814159287</v>
      </c>
      <c r="I35" s="4734">
        <f>3.16+2.49</f>
        <v>5.65</v>
      </c>
      <c r="J35" s="4774">
        <f>5984.95+4715.99</f>
        <v>10700.939999999999</v>
      </c>
      <c r="K35" s="4778">
        <f>M35/L35</f>
        <v>2077.2846580406658</v>
      </c>
      <c r="L35" s="4725">
        <f t="shared" si="13"/>
        <v>37.869999999999997</v>
      </c>
      <c r="M35" s="4775">
        <f t="shared" si="13"/>
        <v>78666.77</v>
      </c>
      <c r="N35" s="4181"/>
      <c r="O35" s="4181"/>
      <c r="P35" s="4182"/>
      <c r="Q35" s="4181"/>
      <c r="R35" s="4181"/>
      <c r="S35" s="4181"/>
      <c r="T35" s="4182"/>
      <c r="U35" s="4179"/>
      <c r="V35" s="4179"/>
      <c r="W35" s="4168"/>
      <c r="X35" s="4168"/>
      <c r="Y35" s="4168"/>
      <c r="Z35" s="4168"/>
      <c r="AA35" s="4168"/>
      <c r="AB35" s="4168"/>
      <c r="AC35" s="4168"/>
      <c r="AD35" s="4168"/>
      <c r="AE35" s="4168"/>
      <c r="AF35" s="4168"/>
      <c r="AG35" s="4167"/>
      <c r="AH35" s="4167"/>
      <c r="AI35" s="4167"/>
      <c r="AJ35" s="4167"/>
    </row>
    <row r="36" spans="1:36" ht="13.5" thickBot="1" x14ac:dyDescent="0.25">
      <c r="A36" s="4779" t="s">
        <v>258</v>
      </c>
      <c r="B36" s="4780">
        <f t="shared" si="14"/>
        <v>2109.4301385681292</v>
      </c>
      <c r="C36" s="4781">
        <v>17.32</v>
      </c>
      <c r="D36" s="4781">
        <v>36535.33</v>
      </c>
      <c r="E36" s="4782">
        <f t="shared" si="11"/>
        <v>2109.4298998569384</v>
      </c>
      <c r="F36" s="4781">
        <v>13.98</v>
      </c>
      <c r="G36" s="4781">
        <v>29489.83</v>
      </c>
      <c r="H36" s="4773">
        <f t="shared" si="12"/>
        <v>1893.9702970297028</v>
      </c>
      <c r="I36" s="4734">
        <v>5.05</v>
      </c>
      <c r="J36" s="4822">
        <v>9564.5499999999993</v>
      </c>
      <c r="K36" s="4824">
        <f>M36/L36</f>
        <v>2079.4968363136177</v>
      </c>
      <c r="L36" s="4725">
        <f t="shared" si="13"/>
        <v>36.35</v>
      </c>
      <c r="M36" s="4775">
        <f t="shared" si="13"/>
        <v>75589.710000000006</v>
      </c>
      <c r="N36" s="4181"/>
      <c r="O36" s="4181"/>
      <c r="P36" s="4182"/>
      <c r="Q36" s="4181"/>
      <c r="R36" s="4181"/>
      <c r="S36" s="4181"/>
      <c r="T36" s="4182"/>
      <c r="U36" s="4179"/>
      <c r="V36" s="4179"/>
      <c r="W36" s="4168"/>
      <c r="X36" s="4168"/>
      <c r="Y36" s="4168"/>
      <c r="Z36" s="4168"/>
      <c r="AA36" s="4168"/>
      <c r="AB36" s="4168"/>
      <c r="AC36" s="4168"/>
      <c r="AD36" s="4168"/>
      <c r="AE36" s="4168"/>
      <c r="AF36" s="4168"/>
      <c r="AG36" s="4167"/>
      <c r="AH36" s="4167"/>
      <c r="AI36" s="4167"/>
      <c r="AJ36" s="4167"/>
    </row>
    <row r="37" spans="1:36" ht="13.5" thickBot="1" x14ac:dyDescent="0.25">
      <c r="A37" s="4783" t="s">
        <v>1559</v>
      </c>
      <c r="B37" s="4784">
        <f t="shared" si="14"/>
        <v>2109.4299674267104</v>
      </c>
      <c r="C37" s="4785">
        <f>SUM(C34:C36)</f>
        <v>64.47</v>
      </c>
      <c r="D37" s="4785">
        <f>SUM(D34:D36)</f>
        <v>135994.95000000001</v>
      </c>
      <c r="E37" s="4785">
        <f t="shared" si="11"/>
        <v>2109.4301049036353</v>
      </c>
      <c r="F37" s="4785">
        <f>SUM(F34:F36)</f>
        <v>40.989999999999995</v>
      </c>
      <c r="G37" s="4785">
        <f>SUM(G34:G36)</f>
        <v>86465.540000000008</v>
      </c>
      <c r="H37" s="4785">
        <f t="shared" si="12"/>
        <v>1893.9705567451817</v>
      </c>
      <c r="I37" s="4785">
        <f>SUM(I34:I36)</f>
        <v>18.68</v>
      </c>
      <c r="J37" s="4823">
        <f>SUM(J34:J36)</f>
        <v>35379.369999999995</v>
      </c>
      <c r="K37" s="4784">
        <f t="shared" ref="K37:K52" si="15">M37/L37</f>
        <v>2077.0086998550032</v>
      </c>
      <c r="L37" s="4785">
        <f>SUM(L34:L36)</f>
        <v>124.13999999999999</v>
      </c>
      <c r="M37" s="4787">
        <f>SUM(M34:M36)</f>
        <v>257839.86000000004</v>
      </c>
      <c r="N37" s="4183"/>
      <c r="O37" s="4183"/>
      <c r="P37" s="4183"/>
      <c r="Q37" s="4183"/>
      <c r="R37" s="4183"/>
      <c r="S37" s="4183"/>
      <c r="T37" s="4183"/>
      <c r="U37" s="4179"/>
      <c r="V37" s="4179"/>
      <c r="W37" s="4168"/>
      <c r="X37" s="4168"/>
      <c r="Y37" s="4168"/>
      <c r="Z37" s="4168"/>
      <c r="AA37" s="4168"/>
      <c r="AB37" s="4168"/>
      <c r="AC37" s="4168"/>
      <c r="AD37" s="4168"/>
      <c r="AE37" s="4168"/>
      <c r="AF37" s="4168"/>
      <c r="AG37" s="4167"/>
      <c r="AH37" s="4167"/>
      <c r="AI37" s="4167"/>
      <c r="AJ37" s="4167"/>
    </row>
    <row r="38" spans="1:36" x14ac:dyDescent="0.2">
      <c r="A38" s="4771" t="s">
        <v>259</v>
      </c>
      <c r="B38" s="4772">
        <f t="shared" si="14"/>
        <v>2109.4299999999998</v>
      </c>
      <c r="C38" s="4725">
        <v>15</v>
      </c>
      <c r="D38" s="4725">
        <v>31641.45</v>
      </c>
      <c r="E38" s="4725">
        <f t="shared" si="11"/>
        <v>2109.429520295203</v>
      </c>
      <c r="F38" s="4734">
        <v>13.55</v>
      </c>
      <c r="G38" s="4734">
        <v>28582.77</v>
      </c>
      <c r="H38" s="4773">
        <f t="shared" si="12"/>
        <v>1893.9707207207205</v>
      </c>
      <c r="I38" s="4734">
        <v>4.4400000000000004</v>
      </c>
      <c r="J38" s="4822">
        <v>8409.23</v>
      </c>
      <c r="K38" s="4772">
        <f t="shared" si="15"/>
        <v>2080.4319490754774</v>
      </c>
      <c r="L38" s="4725">
        <f t="shared" ref="L38:M40" si="16">C38+F38+I38</f>
        <v>32.99</v>
      </c>
      <c r="M38" s="4775">
        <f t="shared" si="16"/>
        <v>68633.45</v>
      </c>
      <c r="N38" s="4184"/>
      <c r="O38" s="4184"/>
      <c r="P38" s="4185"/>
      <c r="Q38" s="4184"/>
      <c r="R38" s="4185"/>
      <c r="S38" s="4184"/>
      <c r="T38" s="4184"/>
      <c r="U38" s="4179"/>
      <c r="V38" s="4179"/>
      <c r="W38" s="4168"/>
      <c r="X38" s="4168"/>
      <c r="Y38" s="4168"/>
      <c r="Z38" s="4168"/>
      <c r="AA38" s="4168"/>
      <c r="AB38" s="4168"/>
      <c r="AC38" s="4168"/>
      <c r="AD38" s="4168"/>
      <c r="AE38" s="4168"/>
      <c r="AF38" s="4168"/>
      <c r="AG38" s="4167"/>
      <c r="AH38" s="4167"/>
      <c r="AI38" s="4167"/>
      <c r="AJ38" s="4167"/>
    </row>
    <row r="39" spans="1:36" x14ac:dyDescent="0.2">
      <c r="A39" s="4776" t="s">
        <v>1342</v>
      </c>
      <c r="B39" s="4772">
        <f t="shared" si="14"/>
        <v>2109.4305555555552</v>
      </c>
      <c r="C39" s="4777">
        <v>7.92</v>
      </c>
      <c r="D39" s="4773">
        <v>16706.689999999999</v>
      </c>
      <c r="E39" s="4773">
        <f t="shared" si="11"/>
        <v>2109.4294385432472</v>
      </c>
      <c r="F39" s="4777">
        <v>6.59</v>
      </c>
      <c r="G39" s="4777">
        <v>13901.14</v>
      </c>
      <c r="H39" s="4773">
        <f t="shared" si="12"/>
        <v>1893.9723320158105</v>
      </c>
      <c r="I39" s="4734">
        <v>2.5299999999999998</v>
      </c>
      <c r="J39" s="4822">
        <v>4791.75</v>
      </c>
      <c r="K39" s="4825">
        <f t="shared" si="15"/>
        <v>2077.4401408450708</v>
      </c>
      <c r="L39" s="4725">
        <f t="shared" si="16"/>
        <v>17.04</v>
      </c>
      <c r="M39" s="4775">
        <f t="shared" si="16"/>
        <v>35399.58</v>
      </c>
      <c r="N39" s="4184"/>
      <c r="O39" s="4184"/>
      <c r="P39" s="4185"/>
      <c r="Q39" s="4184"/>
      <c r="R39" s="4184"/>
      <c r="S39" s="4184"/>
      <c r="T39" s="4184"/>
      <c r="U39" s="4179"/>
      <c r="V39" s="4179"/>
      <c r="W39" s="4168"/>
      <c r="X39" s="4168"/>
      <c r="Y39" s="4168"/>
      <c r="Z39" s="4168"/>
      <c r="AA39" s="4168"/>
      <c r="AB39" s="4168"/>
      <c r="AC39" s="4168"/>
      <c r="AD39" s="4168"/>
      <c r="AE39" s="4168"/>
      <c r="AF39" s="4168"/>
      <c r="AG39" s="4167"/>
      <c r="AH39" s="4167"/>
      <c r="AI39" s="4167"/>
      <c r="AJ39" s="4167"/>
    </row>
    <row r="40" spans="1:36" ht="13.5" thickBot="1" x14ac:dyDescent="0.25">
      <c r="A40" s="4779" t="s">
        <v>261</v>
      </c>
      <c r="B40" s="4780" t="e">
        <f t="shared" si="14"/>
        <v>#DIV/0!</v>
      </c>
      <c r="C40" s="4788">
        <v>0</v>
      </c>
      <c r="D40" s="4781">
        <v>0</v>
      </c>
      <c r="E40" s="4773" t="e">
        <f t="shared" si="11"/>
        <v>#DIV/0!</v>
      </c>
      <c r="F40" s="4781">
        <v>0</v>
      </c>
      <c r="G40" s="4781">
        <v>0</v>
      </c>
      <c r="H40" s="4773" t="e">
        <f t="shared" si="12"/>
        <v>#DIV/0!</v>
      </c>
      <c r="I40" s="4734">
        <v>0</v>
      </c>
      <c r="J40" s="4822">
        <v>0</v>
      </c>
      <c r="K40" s="4825" t="e">
        <f t="shared" si="15"/>
        <v>#DIV/0!</v>
      </c>
      <c r="L40" s="4725">
        <f t="shared" si="16"/>
        <v>0</v>
      </c>
      <c r="M40" s="4775">
        <f t="shared" si="16"/>
        <v>0</v>
      </c>
      <c r="N40" s="4184"/>
      <c r="O40" s="4184"/>
      <c r="P40" s="4185"/>
      <c r="Q40" s="4184"/>
      <c r="R40" s="4184"/>
      <c r="S40" s="4184"/>
      <c r="T40" s="4185"/>
      <c r="U40" s="4179"/>
      <c r="V40" s="4179"/>
      <c r="W40" s="4168"/>
      <c r="X40" s="4168"/>
      <c r="Y40" s="4168"/>
      <c r="Z40" s="4168"/>
      <c r="AA40" s="4168"/>
      <c r="AB40" s="4168"/>
      <c r="AC40" s="4168"/>
      <c r="AD40" s="4168"/>
      <c r="AE40" s="4168"/>
      <c r="AF40" s="4168"/>
      <c r="AG40" s="4167"/>
      <c r="AH40" s="4167"/>
      <c r="AI40" s="4167"/>
      <c r="AJ40" s="4167"/>
    </row>
    <row r="41" spans="1:36" ht="13.5" thickBot="1" x14ac:dyDescent="0.25">
      <c r="A41" s="4783" t="s">
        <v>1560</v>
      </c>
      <c r="B41" s="4784">
        <f t="shared" si="14"/>
        <v>2109.4301919720765</v>
      </c>
      <c r="C41" s="4785">
        <f>SUM(C38:C40)</f>
        <v>22.92</v>
      </c>
      <c r="D41" s="4785">
        <f>SUM(D38:D40)</f>
        <v>48348.14</v>
      </c>
      <c r="E41" s="4785">
        <f t="shared" si="11"/>
        <v>2109.429493545184</v>
      </c>
      <c r="F41" s="4785">
        <f>SUM(F38:F40)</f>
        <v>20.14</v>
      </c>
      <c r="G41" s="4785">
        <f>SUM(G38:G40)</f>
        <v>42483.91</v>
      </c>
      <c r="H41" s="4785">
        <f t="shared" si="12"/>
        <v>1893.9713055954087</v>
      </c>
      <c r="I41" s="4785">
        <f>SUM(I38:I40)</f>
        <v>6.9700000000000006</v>
      </c>
      <c r="J41" s="4823">
        <f>SUM(J38:J40)</f>
        <v>13200.98</v>
      </c>
      <c r="K41" s="4784">
        <f t="shared" si="15"/>
        <v>2079.4129522286626</v>
      </c>
      <c r="L41" s="4785">
        <f>SUM(L38:L40)</f>
        <v>50.03</v>
      </c>
      <c r="M41" s="4787">
        <f>SUM(M38:M40)</f>
        <v>104033.03</v>
      </c>
      <c r="N41" s="4183"/>
      <c r="O41" s="4183"/>
      <c r="P41" s="4183"/>
      <c r="Q41" s="4183"/>
      <c r="R41" s="4183"/>
      <c r="S41" s="4183"/>
      <c r="T41" s="4183"/>
      <c r="U41" s="4179"/>
      <c r="V41" s="4179"/>
      <c r="W41" s="4168"/>
      <c r="X41" s="4168"/>
      <c r="Y41" s="4168"/>
      <c r="Z41" s="4168"/>
      <c r="AA41" s="4168"/>
      <c r="AB41" s="4168"/>
      <c r="AC41" s="4168"/>
      <c r="AD41" s="4168"/>
      <c r="AE41" s="4168"/>
      <c r="AF41" s="4168"/>
      <c r="AG41" s="4167"/>
      <c r="AH41" s="4167"/>
      <c r="AI41" s="4167"/>
      <c r="AJ41" s="4167"/>
    </row>
    <row r="42" spans="1:36" ht="13.5" thickBot="1" x14ac:dyDescent="0.25">
      <c r="A42" s="4783" t="s">
        <v>4187</v>
      </c>
      <c r="B42" s="4784">
        <f t="shared" si="14"/>
        <v>2109.4300263188011</v>
      </c>
      <c r="C42" s="4785">
        <f>C37+C41</f>
        <v>87.39</v>
      </c>
      <c r="D42" s="4785">
        <f>D37+D41</f>
        <v>184343.09000000003</v>
      </c>
      <c r="E42" s="4785">
        <f t="shared" si="11"/>
        <v>2109.429903484378</v>
      </c>
      <c r="F42" s="4785">
        <f>F37+F41</f>
        <v>61.129999999999995</v>
      </c>
      <c r="G42" s="4785">
        <f>G37+G41</f>
        <v>128949.45000000001</v>
      </c>
      <c r="H42" s="4785">
        <f t="shared" si="12"/>
        <v>1893.9707602339179</v>
      </c>
      <c r="I42" s="4785">
        <f>I37+I41</f>
        <v>25.65</v>
      </c>
      <c r="J42" s="4823">
        <f>J37+J41</f>
        <v>48580.349999999991</v>
      </c>
      <c r="K42" s="4784">
        <f t="shared" si="15"/>
        <v>2077.6993167594883</v>
      </c>
      <c r="L42" s="4785">
        <f>L37+L41</f>
        <v>174.17</v>
      </c>
      <c r="M42" s="4787">
        <f>M37+M41</f>
        <v>361872.89</v>
      </c>
      <c r="N42" s="4183"/>
      <c r="O42" s="4183"/>
      <c r="P42" s="4183"/>
      <c r="Q42" s="4183"/>
      <c r="R42" s="4183"/>
      <c r="S42" s="4183"/>
      <c r="T42" s="4183"/>
      <c r="U42" s="4179"/>
      <c r="V42" s="4179"/>
      <c r="W42" s="4168"/>
      <c r="X42" s="4168"/>
      <c r="Y42" s="4168"/>
      <c r="Z42" s="4168"/>
      <c r="AA42" s="4168"/>
      <c r="AB42" s="4168"/>
      <c r="AC42" s="4168"/>
      <c r="AD42" s="4168"/>
      <c r="AE42" s="4168"/>
      <c r="AF42" s="4168"/>
      <c r="AG42" s="4167"/>
      <c r="AH42" s="4167"/>
      <c r="AI42" s="4167"/>
      <c r="AJ42" s="4167"/>
    </row>
    <row r="43" spans="1:36" x14ac:dyDescent="0.2">
      <c r="A43" s="4771" t="s">
        <v>1207</v>
      </c>
      <c r="B43" s="4772" t="e">
        <f t="shared" si="14"/>
        <v>#DIV/0!</v>
      </c>
      <c r="C43" s="4789">
        <v>0</v>
      </c>
      <c r="D43" s="4734">
        <v>0</v>
      </c>
      <c r="E43" s="4773" t="e">
        <f t="shared" si="11"/>
        <v>#DIV/0!</v>
      </c>
      <c r="F43" s="4734">
        <v>0</v>
      </c>
      <c r="G43" s="4734">
        <v>0</v>
      </c>
      <c r="H43" s="4773" t="e">
        <f>J43/I43</f>
        <v>#DIV/0!</v>
      </c>
      <c r="I43" s="4734">
        <v>0</v>
      </c>
      <c r="J43" s="4822">
        <v>0</v>
      </c>
      <c r="K43" s="4825" t="e">
        <f t="shared" si="15"/>
        <v>#DIV/0!</v>
      </c>
      <c r="L43" s="4725">
        <f t="shared" ref="L43:M45" si="17">C43+F43+I43</f>
        <v>0</v>
      </c>
      <c r="M43" s="4775">
        <f t="shared" si="17"/>
        <v>0</v>
      </c>
      <c r="N43" s="4184"/>
      <c r="O43" s="4184"/>
      <c r="P43" s="4185"/>
      <c r="Q43" s="4184"/>
      <c r="R43" s="4184"/>
      <c r="S43" s="4184"/>
      <c r="T43" s="4184"/>
      <c r="U43" s="4179"/>
      <c r="V43" s="4179"/>
      <c r="W43" s="4168"/>
      <c r="X43" s="4168"/>
      <c r="Y43" s="4168"/>
      <c r="Z43" s="4168"/>
      <c r="AA43" s="4168"/>
      <c r="AB43" s="4168"/>
      <c r="AC43" s="4168"/>
      <c r="AD43" s="4168"/>
      <c r="AE43" s="4168"/>
      <c r="AF43" s="4168"/>
      <c r="AG43" s="4167"/>
      <c r="AH43" s="4167"/>
      <c r="AI43" s="4167"/>
      <c r="AJ43" s="4167"/>
    </row>
    <row r="44" spans="1:36" x14ac:dyDescent="0.2">
      <c r="A44" s="4776" t="s">
        <v>262</v>
      </c>
      <c r="B44" s="4772" t="e">
        <f t="shared" si="14"/>
        <v>#DIV/0!</v>
      </c>
      <c r="C44" s="4777">
        <v>0</v>
      </c>
      <c r="D44" s="4777">
        <v>0</v>
      </c>
      <c r="E44" s="4773" t="e">
        <f t="shared" si="11"/>
        <v>#DIV/0!</v>
      </c>
      <c r="F44" s="4777">
        <v>0</v>
      </c>
      <c r="G44" s="4777">
        <v>0</v>
      </c>
      <c r="H44" s="4773" t="e">
        <f>J44/I44</f>
        <v>#DIV/0!</v>
      </c>
      <c r="I44" s="4734">
        <v>0</v>
      </c>
      <c r="J44" s="4822">
        <v>0</v>
      </c>
      <c r="K44" s="4825" t="e">
        <f t="shared" si="15"/>
        <v>#DIV/0!</v>
      </c>
      <c r="L44" s="4725">
        <f t="shared" si="17"/>
        <v>0</v>
      </c>
      <c r="M44" s="4775">
        <f t="shared" si="17"/>
        <v>0</v>
      </c>
      <c r="N44" s="4184"/>
      <c r="O44" s="4184"/>
      <c r="P44" s="4185"/>
      <c r="Q44" s="4184"/>
      <c r="R44" s="4184"/>
      <c r="S44" s="4184"/>
      <c r="T44" s="4184"/>
      <c r="U44" s="4179"/>
      <c r="V44" s="4179"/>
      <c r="W44" s="4168"/>
      <c r="X44" s="4168"/>
      <c r="Y44" s="4168"/>
      <c r="Z44" s="4168"/>
      <c r="AA44" s="4168"/>
      <c r="AB44" s="4168"/>
      <c r="AC44" s="4168"/>
      <c r="AD44" s="4168"/>
      <c r="AE44" s="4168"/>
      <c r="AF44" s="4168"/>
      <c r="AG44" s="4167"/>
      <c r="AH44" s="4167"/>
      <c r="AI44" s="4167"/>
      <c r="AJ44" s="4167"/>
    </row>
    <row r="45" spans="1:36" ht="13.5" thickBot="1" x14ac:dyDescent="0.25">
      <c r="A45" s="4779" t="s">
        <v>1225</v>
      </c>
      <c r="B45" s="4780">
        <f t="shared" si="14"/>
        <v>2379.0803212851401</v>
      </c>
      <c r="C45" s="4782">
        <v>4.9800000000000004</v>
      </c>
      <c r="D45" s="4782">
        <v>11847.82</v>
      </c>
      <c r="E45" s="4773">
        <f t="shared" si="11"/>
        <v>2379.0821256038648</v>
      </c>
      <c r="F45" s="4781">
        <v>4.1399999999999997</v>
      </c>
      <c r="G45" s="4781">
        <v>9849.4</v>
      </c>
      <c r="H45" s="4773">
        <f>J45/I45</f>
        <v>2470.7319148936172</v>
      </c>
      <c r="I45" s="4734">
        <v>2.35</v>
      </c>
      <c r="J45" s="4822">
        <v>5806.22</v>
      </c>
      <c r="K45" s="4825">
        <f t="shared" si="15"/>
        <v>2397.8587619877944</v>
      </c>
      <c r="L45" s="4725">
        <f t="shared" si="17"/>
        <v>11.47</v>
      </c>
      <c r="M45" s="4775">
        <f t="shared" si="17"/>
        <v>27503.440000000002</v>
      </c>
      <c r="N45" s="4184"/>
      <c r="O45" s="4184"/>
      <c r="P45" s="4185"/>
      <c r="Q45" s="4184"/>
      <c r="R45" s="4184"/>
      <c r="S45" s="4184"/>
      <c r="T45" s="4184"/>
      <c r="U45" s="4179"/>
      <c r="V45" s="4179"/>
      <c r="W45" s="4168"/>
      <c r="X45" s="4168"/>
      <c r="Y45" s="4168"/>
      <c r="Z45" s="4168"/>
      <c r="AA45" s="4168"/>
      <c r="AB45" s="4168"/>
      <c r="AC45" s="4168"/>
      <c r="AD45" s="4168"/>
      <c r="AE45" s="4168"/>
      <c r="AF45" s="4168"/>
      <c r="AG45" s="4167"/>
      <c r="AH45" s="4167"/>
      <c r="AI45" s="4167"/>
      <c r="AJ45" s="4167"/>
    </row>
    <row r="46" spans="1:36" ht="13.5" thickBot="1" x14ac:dyDescent="0.25">
      <c r="A46" s="4783" t="s">
        <v>1561</v>
      </c>
      <c r="B46" s="4784">
        <f t="shared" si="14"/>
        <v>2379.0803212851401</v>
      </c>
      <c r="C46" s="4785">
        <f>SUM(C43:C45)</f>
        <v>4.9800000000000004</v>
      </c>
      <c r="D46" s="4785">
        <f>SUM(D43:D45)</f>
        <v>11847.82</v>
      </c>
      <c r="E46" s="4785">
        <f t="shared" si="11"/>
        <v>2379.0821256038648</v>
      </c>
      <c r="F46" s="4785">
        <f>SUM(F43:F45)</f>
        <v>4.1399999999999997</v>
      </c>
      <c r="G46" s="4785">
        <f>SUM(G43:G45)</f>
        <v>9849.4</v>
      </c>
      <c r="H46" s="4785">
        <f t="shared" ref="H46:H52" si="18">J46/I46</f>
        <v>2470.7319148936172</v>
      </c>
      <c r="I46" s="4785">
        <f>SUM(I43:I45)</f>
        <v>2.35</v>
      </c>
      <c r="J46" s="4823">
        <f>SUM(J43:J45)</f>
        <v>5806.22</v>
      </c>
      <c r="K46" s="4784">
        <f t="shared" si="15"/>
        <v>2397.8587619877944</v>
      </c>
      <c r="L46" s="4785">
        <f>SUM(L43:L45)</f>
        <v>11.47</v>
      </c>
      <c r="M46" s="4787">
        <f>SUM(M43:M45)</f>
        <v>27503.440000000002</v>
      </c>
      <c r="N46" s="4183"/>
      <c r="O46" s="4183"/>
      <c r="P46" s="4183"/>
      <c r="Q46" s="4183"/>
      <c r="R46" s="4183"/>
      <c r="S46" s="4183"/>
      <c r="T46" s="4183"/>
      <c r="U46" s="4179"/>
      <c r="V46" s="4179"/>
      <c r="W46" s="4168"/>
      <c r="X46" s="4168"/>
      <c r="Y46" s="4168"/>
      <c r="Z46" s="4168"/>
      <c r="AA46" s="4168"/>
      <c r="AB46" s="4168"/>
      <c r="AC46" s="4168"/>
      <c r="AD46" s="4168"/>
      <c r="AE46" s="4168"/>
      <c r="AF46" s="4168"/>
      <c r="AG46" s="4167"/>
      <c r="AH46" s="4167"/>
      <c r="AI46" s="4167"/>
      <c r="AJ46" s="4167"/>
    </row>
    <row r="47" spans="1:36" ht="13.5" thickBot="1" x14ac:dyDescent="0.25">
      <c r="A47" s="4783" t="s">
        <v>126</v>
      </c>
      <c r="B47" s="4784">
        <f t="shared" si="14"/>
        <v>2123.9678467034755</v>
      </c>
      <c r="C47" s="4785">
        <f>C42+C46</f>
        <v>92.37</v>
      </c>
      <c r="D47" s="4785">
        <f>D42+D46</f>
        <v>196190.91000000003</v>
      </c>
      <c r="E47" s="4785">
        <f t="shared" si="11"/>
        <v>2126.5336295388388</v>
      </c>
      <c r="F47" s="4785">
        <f>F42+F46</f>
        <v>65.27</v>
      </c>
      <c r="G47" s="4785">
        <f>G42+G46</f>
        <v>138798.85</v>
      </c>
      <c r="H47" s="4785">
        <f t="shared" si="18"/>
        <v>1942.3774999999998</v>
      </c>
      <c r="I47" s="4785">
        <f>I42+I46</f>
        <v>28</v>
      </c>
      <c r="J47" s="4823">
        <f>J42+J46</f>
        <v>54386.569999999992</v>
      </c>
      <c r="K47" s="4784">
        <f t="shared" si="15"/>
        <v>2097.4807692307695</v>
      </c>
      <c r="L47" s="4785">
        <f>L42+L46</f>
        <v>185.64</v>
      </c>
      <c r="M47" s="4787">
        <f>M42+M46</f>
        <v>389376.33</v>
      </c>
      <c r="N47" s="4183"/>
      <c r="O47" s="4183"/>
      <c r="P47" s="4183"/>
      <c r="Q47" s="4183"/>
      <c r="R47" s="4183"/>
      <c r="S47" s="4183"/>
      <c r="T47" s="4183"/>
      <c r="U47" s="4179"/>
      <c r="V47" s="4179"/>
      <c r="W47" s="4168"/>
      <c r="X47" s="4168"/>
      <c r="Y47" s="4168"/>
      <c r="Z47" s="4168"/>
      <c r="AA47" s="4168"/>
      <c r="AB47" s="4168"/>
      <c r="AC47" s="4168"/>
      <c r="AD47" s="4168"/>
      <c r="AE47" s="4168"/>
      <c r="AF47" s="4168"/>
      <c r="AG47" s="4167"/>
      <c r="AH47" s="4167"/>
      <c r="AI47" s="4167"/>
      <c r="AJ47" s="4167"/>
    </row>
    <row r="48" spans="1:36" x14ac:dyDescent="0.2">
      <c r="A48" s="4771" t="s">
        <v>263</v>
      </c>
      <c r="B48" s="4772">
        <f t="shared" si="14"/>
        <v>2379.0803474484255</v>
      </c>
      <c r="C48" s="4725">
        <v>9.2100000000000009</v>
      </c>
      <c r="D48" s="4725">
        <v>21911.33</v>
      </c>
      <c r="E48" s="4773">
        <f t="shared" si="11"/>
        <v>2379.0800933125975</v>
      </c>
      <c r="F48" s="4734">
        <v>12.86</v>
      </c>
      <c r="G48" s="4734">
        <v>30594.97</v>
      </c>
      <c r="H48" s="4773">
        <f t="shared" si="18"/>
        <v>2470.7289473684214</v>
      </c>
      <c r="I48" s="4734">
        <v>3.8</v>
      </c>
      <c r="J48" s="4822">
        <v>9388.77</v>
      </c>
      <c r="K48" s="4825">
        <f t="shared" si="15"/>
        <v>2392.5423270197143</v>
      </c>
      <c r="L48" s="4725">
        <f t="shared" ref="L48:M50" si="19">C48+F48+I48</f>
        <v>25.87</v>
      </c>
      <c r="M48" s="4775">
        <f t="shared" si="19"/>
        <v>61895.070000000007</v>
      </c>
      <c r="N48" s="4184"/>
      <c r="O48" s="4184"/>
      <c r="P48" s="4185"/>
      <c r="Q48" s="4184"/>
      <c r="R48" s="4184"/>
      <c r="S48" s="4185"/>
      <c r="T48" s="4185"/>
      <c r="U48" s="4179"/>
      <c r="V48" s="4179"/>
      <c r="W48" s="4168"/>
      <c r="X48" s="4168"/>
      <c r="Y48" s="4168"/>
      <c r="Z48" s="4168"/>
      <c r="AA48" s="4168"/>
      <c r="AB48" s="4168"/>
      <c r="AC48" s="4168"/>
      <c r="AD48" s="4168"/>
      <c r="AE48" s="4168"/>
      <c r="AF48" s="4168"/>
      <c r="AG48" s="4167"/>
      <c r="AH48" s="4167"/>
      <c r="AI48" s="4167"/>
      <c r="AJ48" s="4167"/>
    </row>
    <row r="49" spans="1:36" x14ac:dyDescent="0.2">
      <c r="A49" s="4776" t="s">
        <v>264</v>
      </c>
      <c r="B49" s="4772">
        <f t="shared" si="14"/>
        <v>2379.0798182998055</v>
      </c>
      <c r="C49" s="4773">
        <v>15.41</v>
      </c>
      <c r="D49" s="4773">
        <v>36661.620000000003</v>
      </c>
      <c r="E49" s="4773">
        <f t="shared" si="11"/>
        <v>2379.08</v>
      </c>
      <c r="F49" s="4777">
        <v>16</v>
      </c>
      <c r="G49" s="4777">
        <v>38065.279999999999</v>
      </c>
      <c r="H49" s="4773">
        <f t="shared" si="18"/>
        <v>2470.7304075235111</v>
      </c>
      <c r="I49" s="4734">
        <v>6.38</v>
      </c>
      <c r="J49" s="4822">
        <v>15763.26</v>
      </c>
      <c r="K49" s="4825">
        <f t="shared" si="15"/>
        <v>2394.5530563641173</v>
      </c>
      <c r="L49" s="4725">
        <f t="shared" si="19"/>
        <v>37.79</v>
      </c>
      <c r="M49" s="4775">
        <f t="shared" si="19"/>
        <v>90490.159999999989</v>
      </c>
      <c r="N49" s="4184"/>
      <c r="O49" s="4184"/>
      <c r="P49" s="4185"/>
      <c r="Q49" s="4184"/>
      <c r="R49" s="4184"/>
      <c r="S49" s="4185"/>
      <c r="T49" s="4185"/>
      <c r="U49" s="4179"/>
      <c r="V49" s="4179"/>
      <c r="W49" s="4168"/>
      <c r="X49" s="4168"/>
      <c r="Y49" s="4168"/>
      <c r="Z49" s="4168"/>
      <c r="AA49" s="4168"/>
      <c r="AB49" s="4168"/>
      <c r="AC49" s="4168"/>
      <c r="AD49" s="4168"/>
      <c r="AE49" s="4168"/>
      <c r="AF49" s="4168"/>
      <c r="AG49" s="4167"/>
      <c r="AH49" s="4167"/>
      <c r="AI49" s="4167"/>
      <c r="AJ49" s="4167"/>
    </row>
    <row r="50" spans="1:36" ht="13.5" thickBot="1" x14ac:dyDescent="0.25">
      <c r="A50" s="4779" t="s">
        <v>1316</v>
      </c>
      <c r="B50" s="4780">
        <f t="shared" si="14"/>
        <v>2167.5098206660973</v>
      </c>
      <c r="C50" s="4781">
        <v>23.42</v>
      </c>
      <c r="D50" s="4782">
        <v>50763.08</v>
      </c>
      <c r="E50" s="4773">
        <f t="shared" si="11"/>
        <v>2167.5098792535678</v>
      </c>
      <c r="F50" s="4781">
        <v>18.22</v>
      </c>
      <c r="G50" s="4781">
        <v>39492.03</v>
      </c>
      <c r="H50" s="4773">
        <f t="shared" si="18"/>
        <v>2240.2800000000002</v>
      </c>
      <c r="I50" s="4734">
        <v>7.25</v>
      </c>
      <c r="J50" s="4822">
        <v>16242.03</v>
      </c>
      <c r="K50" s="4826">
        <f t="shared" si="15"/>
        <v>2178.301084066271</v>
      </c>
      <c r="L50" s="4725">
        <f t="shared" si="19"/>
        <v>48.89</v>
      </c>
      <c r="M50" s="4775">
        <f t="shared" si="19"/>
        <v>106497.14</v>
      </c>
      <c r="N50" s="4184"/>
      <c r="O50" s="4184"/>
      <c r="P50" s="4185"/>
      <c r="Q50" s="4184"/>
      <c r="R50" s="4184"/>
      <c r="S50" s="4185"/>
      <c r="T50" s="4185"/>
      <c r="U50" s="4179"/>
      <c r="V50" s="4179"/>
      <c r="W50" s="4168"/>
      <c r="X50" s="4168"/>
      <c r="Y50" s="4168"/>
      <c r="Z50" s="4168"/>
      <c r="AA50" s="4168"/>
      <c r="AB50" s="4168"/>
      <c r="AC50" s="4168"/>
      <c r="AD50" s="4168"/>
      <c r="AE50" s="4168"/>
      <c r="AF50" s="4168"/>
      <c r="AG50" s="4167"/>
      <c r="AH50" s="4167"/>
      <c r="AI50" s="4167"/>
      <c r="AJ50" s="4167"/>
    </row>
    <row r="51" spans="1:36" ht="13.5" thickBot="1" x14ac:dyDescent="0.25">
      <c r="A51" s="4783" t="s">
        <v>127</v>
      </c>
      <c r="B51" s="4784">
        <f t="shared" si="14"/>
        <v>2275.9373438800994</v>
      </c>
      <c r="C51" s="4785">
        <f>SUM(C48:C50)</f>
        <v>48.040000000000006</v>
      </c>
      <c r="D51" s="4785">
        <f>SUM(D48:D50)</f>
        <v>109336.03</v>
      </c>
      <c r="E51" s="4785">
        <f t="shared" si="11"/>
        <v>2297.2022090059472</v>
      </c>
      <c r="F51" s="4785">
        <f>SUM(F48:F50)</f>
        <v>47.08</v>
      </c>
      <c r="G51" s="4785">
        <f>SUM(G48:G50)</f>
        <v>108152.28</v>
      </c>
      <c r="H51" s="4785">
        <f t="shared" si="18"/>
        <v>2374.8743545611014</v>
      </c>
      <c r="I51" s="4785">
        <f>SUM(I48:I50)</f>
        <v>17.43</v>
      </c>
      <c r="J51" s="4787">
        <f>SUM(J48:J50)</f>
        <v>41394.06</v>
      </c>
      <c r="K51" s="4786">
        <f t="shared" si="15"/>
        <v>2300.1543314082628</v>
      </c>
      <c r="L51" s="4790">
        <f>SUM(L48:L50)</f>
        <v>112.55</v>
      </c>
      <c r="M51" s="4787">
        <f>SUM(M48:M50)</f>
        <v>258882.37</v>
      </c>
      <c r="N51" s="4183"/>
      <c r="O51" s="4183"/>
      <c r="P51" s="4183"/>
      <c r="Q51" s="4183"/>
      <c r="R51" s="4183"/>
      <c r="S51" s="4183"/>
      <c r="T51" s="4183"/>
      <c r="U51" s="4179"/>
      <c r="V51" s="4179"/>
      <c r="W51" s="4168"/>
      <c r="X51" s="4168"/>
      <c r="Y51" s="4168"/>
      <c r="Z51" s="4168"/>
      <c r="AA51" s="4168"/>
      <c r="AB51" s="4168"/>
      <c r="AC51" s="4168"/>
      <c r="AD51" s="4168"/>
      <c r="AE51" s="4168"/>
      <c r="AF51" s="4168"/>
      <c r="AG51" s="4167"/>
      <c r="AH51" s="4167"/>
      <c r="AI51" s="4167"/>
      <c r="AJ51" s="4167"/>
    </row>
    <row r="52" spans="1:36" ht="13.5" thickBot="1" x14ac:dyDescent="0.25">
      <c r="A52" s="4783" t="s">
        <v>4190</v>
      </c>
      <c r="B52" s="4784">
        <f t="shared" si="14"/>
        <v>2175.9628231607435</v>
      </c>
      <c r="C52" s="4785">
        <f>C47+C51</f>
        <v>140.41000000000003</v>
      </c>
      <c r="D52" s="4785">
        <f>D47+D51</f>
        <v>305526.94000000006</v>
      </c>
      <c r="E52" s="4785">
        <f t="shared" si="11"/>
        <v>2198.0518914107702</v>
      </c>
      <c r="F52" s="4785">
        <f>F47+F51</f>
        <v>112.35</v>
      </c>
      <c r="G52" s="4785">
        <f>G47+G51</f>
        <v>246951.13</v>
      </c>
      <c r="H52" s="4785">
        <f t="shared" si="18"/>
        <v>2108.3123486682807</v>
      </c>
      <c r="I52" s="4785">
        <f>I47+I51</f>
        <v>45.43</v>
      </c>
      <c r="J52" s="4787">
        <f>J47+J51</f>
        <v>95780.62999999999</v>
      </c>
      <c r="K52" s="4785">
        <f t="shared" si="15"/>
        <v>2173.9786713169456</v>
      </c>
      <c r="L52" s="4791">
        <f>L47+L51</f>
        <v>298.19</v>
      </c>
      <c r="M52" s="4787">
        <f>M47+M51</f>
        <v>648258.69999999995</v>
      </c>
      <c r="N52" s="4183"/>
      <c r="O52" s="4183"/>
      <c r="P52" s="4183"/>
      <c r="Q52" s="4183"/>
      <c r="R52" s="4183"/>
      <c r="S52" s="4183"/>
      <c r="T52" s="4183"/>
      <c r="U52" s="4179"/>
      <c r="V52" s="4179"/>
      <c r="W52" s="4168"/>
      <c r="X52" s="4168"/>
      <c r="Y52" s="4168"/>
      <c r="Z52" s="4168"/>
      <c r="AA52" s="4168"/>
      <c r="AB52" s="4168"/>
      <c r="AC52" s="4168"/>
      <c r="AD52" s="4168"/>
      <c r="AE52" s="4168"/>
      <c r="AF52" s="4168"/>
      <c r="AG52" s="4167"/>
      <c r="AH52" s="4167"/>
      <c r="AI52" s="4167"/>
      <c r="AJ52" s="4167"/>
    </row>
    <row r="53" spans="1:36" x14ac:dyDescent="0.2">
      <c r="A53" s="4186"/>
      <c r="B53" s="4186"/>
      <c r="C53" s="4186"/>
      <c r="D53" s="4187"/>
      <c r="E53" s="6051"/>
      <c r="F53" s="6051"/>
      <c r="G53" s="6051"/>
      <c r="H53" s="6051"/>
      <c r="I53" s="6051"/>
      <c r="J53" s="6051"/>
      <c r="K53" s="6051"/>
      <c r="L53" s="6051"/>
      <c r="M53" s="4184"/>
      <c r="N53" s="4184"/>
      <c r="O53" s="4184"/>
      <c r="P53" s="4183"/>
      <c r="Q53" s="4188"/>
      <c r="R53" s="4188"/>
      <c r="S53" s="4188"/>
      <c r="T53" s="4188"/>
      <c r="U53" s="4179"/>
      <c r="V53" s="4179"/>
      <c r="W53" s="4168"/>
      <c r="X53" s="4168"/>
      <c r="Y53" s="4168"/>
      <c r="Z53" s="4168"/>
      <c r="AA53" s="4168"/>
      <c r="AB53" s="4168"/>
      <c r="AC53" s="4168"/>
      <c r="AD53" s="4168"/>
      <c r="AE53" s="4168"/>
      <c r="AF53" s="4168"/>
      <c r="AG53" s="4167"/>
      <c r="AH53" s="4167"/>
      <c r="AI53" s="4167"/>
      <c r="AJ53" s="4167"/>
    </row>
    <row r="54" spans="1:36" x14ac:dyDescent="0.2">
      <c r="A54" s="4189" t="s">
        <v>1389</v>
      </c>
      <c r="B54" s="4189"/>
      <c r="C54" s="4189"/>
      <c r="D54" s="4189"/>
      <c r="E54" s="4189" t="s">
        <v>1390</v>
      </c>
      <c r="F54" s="4189"/>
      <c r="G54" s="4189"/>
      <c r="H54" s="4189"/>
      <c r="I54" s="4189" t="s">
        <v>4201</v>
      </c>
      <c r="J54" s="4189"/>
      <c r="K54" s="4189"/>
      <c r="L54" s="4189"/>
      <c r="M54" s="4189"/>
      <c r="N54" s="4177"/>
      <c r="O54" s="4177"/>
      <c r="P54" s="4190"/>
      <c r="Q54" s="4168"/>
      <c r="R54" s="4168"/>
      <c r="S54" s="4168"/>
      <c r="T54" s="4168"/>
      <c r="U54" s="4168"/>
      <c r="V54" s="4168"/>
      <c r="W54" s="4168"/>
      <c r="X54" s="4168"/>
      <c r="Y54" s="4168"/>
      <c r="Z54" s="4168"/>
      <c r="AA54" s="4168"/>
      <c r="AB54" s="4168"/>
      <c r="AC54" s="4168"/>
      <c r="AD54" s="4168"/>
      <c r="AE54" s="4168"/>
      <c r="AF54" s="4168"/>
      <c r="AG54" s="4167"/>
      <c r="AH54" s="4167"/>
      <c r="AI54" s="4167"/>
      <c r="AJ54" s="4167"/>
    </row>
    <row r="55" spans="1:36" x14ac:dyDescent="0.2">
      <c r="A55" s="4174"/>
      <c r="B55" s="4174"/>
      <c r="C55" s="4174"/>
      <c r="D55" s="4191"/>
      <c r="E55" s="4177"/>
      <c r="F55" s="4177"/>
      <c r="G55" s="4177"/>
      <c r="H55" s="4177"/>
      <c r="I55" s="4177"/>
      <c r="J55" s="4177"/>
      <c r="K55" s="4177"/>
      <c r="L55" s="4177"/>
      <c r="M55" s="4177"/>
      <c r="N55" s="4177"/>
      <c r="O55" s="4177"/>
      <c r="P55" s="4190"/>
      <c r="Q55" s="4168"/>
      <c r="R55" s="4168"/>
      <c r="S55" s="4168"/>
      <c r="T55" s="4168"/>
      <c r="U55" s="4168"/>
      <c r="V55" s="4168"/>
      <c r="W55" s="4168"/>
      <c r="X55" s="4168"/>
      <c r="Y55" s="4168"/>
      <c r="Z55" s="4168"/>
      <c r="AA55" s="4168"/>
      <c r="AB55" s="4168"/>
      <c r="AC55" s="4168"/>
      <c r="AD55" s="4168"/>
      <c r="AE55" s="4168"/>
      <c r="AF55" s="4168"/>
      <c r="AG55" s="4167"/>
      <c r="AH55" s="4167"/>
      <c r="AI55" s="4167"/>
      <c r="AJ55" s="4167"/>
    </row>
    <row r="56" spans="1:36" x14ac:dyDescent="0.2">
      <c r="A56" s="4192"/>
      <c r="B56" s="4192"/>
      <c r="C56" s="4192"/>
      <c r="D56" s="4192"/>
      <c r="E56" s="4192"/>
      <c r="F56" s="4192"/>
      <c r="G56" s="4192"/>
      <c r="H56" s="4192"/>
      <c r="I56" s="4192"/>
      <c r="J56" s="4192"/>
      <c r="K56" s="4192"/>
      <c r="L56" s="4192"/>
      <c r="M56" s="4192"/>
      <c r="N56" s="4192"/>
      <c r="O56" s="4192"/>
      <c r="P56" s="4192"/>
      <c r="Q56" s="4192"/>
      <c r="R56" s="4192"/>
      <c r="S56" s="4192"/>
      <c r="T56" s="4192"/>
      <c r="U56" s="4192"/>
      <c r="V56" s="4192"/>
      <c r="W56" s="4192"/>
      <c r="X56" s="4192"/>
      <c r="Y56" s="4192"/>
      <c r="Z56" s="4192"/>
      <c r="AA56" s="4192"/>
      <c r="AB56" s="4192"/>
      <c r="AC56" s="4192"/>
      <c r="AD56" s="4192"/>
      <c r="AE56" s="4192"/>
      <c r="AF56" s="4192"/>
      <c r="AG56" s="4193"/>
      <c r="AH56" s="4193"/>
      <c r="AI56" s="4193"/>
    </row>
  </sheetData>
  <mergeCells count="21">
    <mergeCell ref="A1:P1"/>
    <mergeCell ref="A3:A5"/>
    <mergeCell ref="B3:C4"/>
    <mergeCell ref="D3:E4"/>
    <mergeCell ref="F3:K3"/>
    <mergeCell ref="L3:M4"/>
    <mergeCell ref="N3:P4"/>
    <mergeCell ref="F4:G4"/>
    <mergeCell ref="H4:I4"/>
    <mergeCell ref="J4:K4"/>
    <mergeCell ref="A26:P26"/>
    <mergeCell ref="A29:M29"/>
    <mergeCell ref="A31:A33"/>
    <mergeCell ref="B31:J31"/>
    <mergeCell ref="K31:M32"/>
    <mergeCell ref="P31:R31"/>
    <mergeCell ref="S31:T31"/>
    <mergeCell ref="B32:D32"/>
    <mergeCell ref="E32:G32"/>
    <mergeCell ref="H32:J32"/>
    <mergeCell ref="E53:L53"/>
  </mergeCells>
  <printOptions horizontalCentered="1"/>
  <pageMargins left="0.78740157480314965" right="0.39370078740157483" top="0.78740157480314965" bottom="0.78740157480314965" header="0.51181102362204722" footer="0.51181102362204722"/>
  <pageSetup paperSize="9" scale="65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Лист44">
    <tabColor rgb="FFCC00FF"/>
    <pageSetUpPr fitToPage="1"/>
  </sheetPr>
  <dimension ref="A2:W16"/>
  <sheetViews>
    <sheetView workbookViewId="0">
      <selection activeCell="V10" sqref="V10:W12"/>
    </sheetView>
  </sheetViews>
  <sheetFormatPr defaultRowHeight="12.75" x14ac:dyDescent="0.2"/>
  <cols>
    <col min="1" max="1" width="27.28515625" style="2092" customWidth="1"/>
    <col min="2" max="2" width="11.85546875" style="2092" customWidth="1"/>
    <col min="3" max="8" width="7.7109375" style="2208" customWidth="1"/>
    <col min="9" max="9" width="16.42578125" style="2459" customWidth="1"/>
    <col min="10" max="10" width="9.5703125" style="3219" customWidth="1"/>
    <col min="11" max="11" width="16.42578125" style="3219" customWidth="1"/>
    <col min="12" max="12" width="14" style="3219" customWidth="1"/>
    <col min="13" max="13" width="2.5703125" style="5" hidden="1" customWidth="1"/>
    <col min="14" max="14" width="9" style="5" customWidth="1"/>
    <col min="15" max="15" width="13.7109375" style="5" customWidth="1"/>
    <col min="16" max="16" width="11.28515625" style="5" customWidth="1"/>
    <col min="17" max="18" width="0" style="5" hidden="1" customWidth="1"/>
    <col min="19" max="19" width="9.140625" style="5"/>
    <col min="20" max="21" width="11.28515625" style="5" customWidth="1"/>
    <col min="22" max="16384" width="9.140625" style="5"/>
  </cols>
  <sheetData>
    <row r="2" spans="1:23" s="1653" customFormat="1" ht="38.25" customHeight="1" x14ac:dyDescent="0.25">
      <c r="A2" s="6088" t="s">
        <v>4032</v>
      </c>
      <c r="B2" s="6088"/>
      <c r="C2" s="6088"/>
      <c r="D2" s="6088"/>
      <c r="E2" s="6088"/>
      <c r="F2" s="6088"/>
      <c r="G2" s="6088"/>
      <c r="H2" s="6088"/>
      <c r="I2" s="6088"/>
      <c r="J2" s="6088"/>
      <c r="K2" s="6088"/>
      <c r="L2" s="6088"/>
      <c r="M2" s="6088"/>
      <c r="N2" s="6089"/>
      <c r="O2" s="4910"/>
      <c r="P2" s="4910"/>
      <c r="Q2" s="4910"/>
      <c r="R2" s="4910"/>
      <c r="S2" s="4910"/>
      <c r="T2" s="4910"/>
      <c r="U2" s="4910"/>
      <c r="V2" s="4910"/>
      <c r="W2" s="4910"/>
    </row>
    <row r="3" spans="1:23" ht="25.5" customHeight="1" x14ac:dyDescent="0.2">
      <c r="A3" s="6083" t="s">
        <v>2024</v>
      </c>
      <c r="B3" s="6083"/>
      <c r="C3" s="6083"/>
      <c r="D3" s="6083"/>
      <c r="E3" s="6083"/>
      <c r="F3" s="6083"/>
      <c r="G3" s="6083"/>
      <c r="H3" s="6083"/>
      <c r="I3" s="6083"/>
      <c r="J3" s="6083"/>
      <c r="K3" s="6083"/>
      <c r="L3" s="6083"/>
      <c r="M3" s="6083"/>
      <c r="N3" s="5536"/>
      <c r="O3" s="6084"/>
      <c r="P3" s="6084"/>
      <c r="Q3" s="6084"/>
      <c r="R3" s="6084"/>
      <c r="S3" s="6084"/>
      <c r="T3" s="6084"/>
      <c r="U3" s="6084"/>
    </row>
    <row r="4" spans="1:23" ht="49.5" customHeight="1" x14ac:dyDescent="0.2">
      <c r="A4" s="4719" t="s">
        <v>525</v>
      </c>
      <c r="B4" s="4719" t="s">
        <v>323</v>
      </c>
      <c r="C4" s="4721" t="s">
        <v>1799</v>
      </c>
      <c r="D4" s="4721" t="s">
        <v>1805</v>
      </c>
      <c r="E4" s="4721" t="s">
        <v>1806</v>
      </c>
      <c r="F4" s="4721" t="s">
        <v>1807</v>
      </c>
      <c r="G4" s="4721" t="s">
        <v>1808</v>
      </c>
      <c r="H4" s="4721" t="s">
        <v>1809</v>
      </c>
      <c r="I4" s="4719" t="s">
        <v>3542</v>
      </c>
      <c r="J4" s="4719" t="s">
        <v>3608</v>
      </c>
      <c r="K4" s="4719" t="s">
        <v>3855</v>
      </c>
      <c r="L4" s="4719" t="s">
        <v>3856</v>
      </c>
      <c r="M4" s="4721" t="s">
        <v>235</v>
      </c>
      <c r="N4" s="4719" t="s">
        <v>3866</v>
      </c>
      <c r="O4" s="4719" t="s">
        <v>3902</v>
      </c>
      <c r="P4" s="4719" t="s">
        <v>3903</v>
      </c>
      <c r="Q4" s="4719" t="s">
        <v>3926</v>
      </c>
      <c r="R4" s="4719" t="s">
        <v>3941</v>
      </c>
      <c r="S4" s="4719" t="s">
        <v>3927</v>
      </c>
      <c r="T4" s="4719" t="s">
        <v>4034</v>
      </c>
      <c r="U4" s="4719" t="s">
        <v>4035</v>
      </c>
      <c r="V4" s="4719" t="s">
        <v>4254</v>
      </c>
      <c r="W4" s="4719" t="s">
        <v>4252</v>
      </c>
    </row>
    <row r="5" spans="1:23" ht="25.5" customHeight="1" x14ac:dyDescent="0.2">
      <c r="A5" s="6085" t="s">
        <v>2017</v>
      </c>
      <c r="B5" s="6086"/>
      <c r="C5" s="6086"/>
      <c r="D5" s="6086"/>
      <c r="E5" s="6086"/>
      <c r="F5" s="6086"/>
      <c r="G5" s="6086"/>
      <c r="H5" s="6086"/>
      <c r="I5" s="6087"/>
      <c r="J5" s="5530"/>
      <c r="K5" s="5530"/>
      <c r="L5" s="5530"/>
      <c r="M5" s="5586"/>
      <c r="N5" s="5586"/>
      <c r="O5" s="5586"/>
      <c r="P5" s="5586"/>
      <c r="Q5" s="5586"/>
      <c r="R5" s="5586"/>
      <c r="S5" s="5586"/>
      <c r="T5" s="5586"/>
      <c r="U5" s="5586"/>
      <c r="V5" s="5586"/>
      <c r="W5" s="5587"/>
    </row>
    <row r="6" spans="1:23" ht="66.75" customHeight="1" x14ac:dyDescent="0.2">
      <c r="A6" s="4724" t="s">
        <v>2018</v>
      </c>
      <c r="B6" s="4730" t="s">
        <v>934</v>
      </c>
      <c r="C6" s="4728">
        <f>'[50]объемы2019-2024'!$AC$19/1000</f>
        <v>2.63</v>
      </c>
      <c r="D6" s="4728">
        <f>'[50]объемы2019-2024'!$AC$19/1000</f>
        <v>2.63</v>
      </c>
      <c r="E6" s="4728"/>
      <c r="F6" s="4728"/>
      <c r="G6" s="4728"/>
      <c r="H6" s="4728"/>
      <c r="I6" s="4728"/>
      <c r="J6" s="4728"/>
      <c r="K6" s="4728"/>
      <c r="L6" s="4728"/>
      <c r="M6" s="2167" t="s">
        <v>2064</v>
      </c>
      <c r="N6" s="4728"/>
      <c r="O6" s="1669"/>
      <c r="P6" s="1669"/>
      <c r="Q6" s="1669"/>
      <c r="R6" s="1669"/>
      <c r="S6" s="1669"/>
      <c r="T6" s="1669"/>
      <c r="U6" s="1669"/>
      <c r="V6" s="1669"/>
      <c r="W6" s="1669"/>
    </row>
    <row r="7" spans="1:23" ht="48.75" customHeight="1" x14ac:dyDescent="0.2">
      <c r="A7" s="4724" t="s">
        <v>2019</v>
      </c>
      <c r="B7" s="4730" t="s">
        <v>2025</v>
      </c>
      <c r="C7" s="4732">
        <v>7.98</v>
      </c>
      <c r="D7" s="4732">
        <v>8.26</v>
      </c>
      <c r="E7" s="4732"/>
      <c r="F7" s="4732"/>
      <c r="G7" s="4732"/>
      <c r="H7" s="4732"/>
      <c r="I7" s="4732"/>
      <c r="J7" s="4732"/>
      <c r="K7" s="4732"/>
      <c r="L7" s="4732"/>
      <c r="M7" s="2167" t="s">
        <v>2065</v>
      </c>
      <c r="N7" s="4732"/>
      <c r="O7" s="1669"/>
      <c r="P7" s="1669"/>
      <c r="Q7" s="1669"/>
      <c r="R7" s="1669"/>
      <c r="S7" s="1669"/>
      <c r="T7" s="1669"/>
      <c r="U7" s="1669"/>
      <c r="V7" s="1669"/>
      <c r="W7" s="1669"/>
    </row>
    <row r="8" spans="1:23" s="1920" customFormat="1" ht="27" customHeight="1" x14ac:dyDescent="0.2">
      <c r="A8" s="3169" t="s">
        <v>2020</v>
      </c>
      <c r="B8" s="4727" t="s">
        <v>899</v>
      </c>
      <c r="C8" s="3086">
        <f>C6*C7</f>
        <v>20.987400000000001</v>
      </c>
      <c r="D8" s="3086">
        <f t="shared" ref="D8" si="0">D6*D7</f>
        <v>21.723799999999997</v>
      </c>
      <c r="E8" s="3086"/>
      <c r="F8" s="3086"/>
      <c r="G8" s="3086"/>
      <c r="H8" s="3086"/>
      <c r="I8" s="3086"/>
      <c r="J8" s="3086"/>
      <c r="K8" s="3086"/>
      <c r="L8" s="3086"/>
      <c r="M8" s="1826"/>
      <c r="N8" s="3086"/>
      <c r="O8" s="3966"/>
      <c r="P8" s="3966"/>
      <c r="Q8" s="3966"/>
      <c r="R8" s="3966"/>
      <c r="S8" s="3966"/>
      <c r="T8" s="3966"/>
      <c r="U8" s="3966"/>
      <c r="V8" s="3966"/>
      <c r="W8" s="3966"/>
    </row>
    <row r="9" spans="1:23" ht="23.25" customHeight="1" x14ac:dyDescent="0.2">
      <c r="A9" s="6085" t="s">
        <v>2021</v>
      </c>
      <c r="B9" s="6086"/>
      <c r="C9" s="6086"/>
      <c r="D9" s="6086"/>
      <c r="E9" s="6086"/>
      <c r="F9" s="6086"/>
      <c r="G9" s="6086"/>
      <c r="H9" s="6086"/>
      <c r="I9" s="6087"/>
      <c r="J9" s="5530"/>
      <c r="K9" s="5530"/>
      <c r="L9" s="5530"/>
      <c r="M9" s="5586"/>
      <c r="N9" s="5586"/>
      <c r="O9" s="5586"/>
      <c r="P9" s="5586"/>
      <c r="Q9" s="5586"/>
      <c r="R9" s="5586"/>
      <c r="S9" s="5586"/>
      <c r="T9" s="5586"/>
      <c r="U9" s="5586"/>
      <c r="V9" s="5586"/>
      <c r="W9" s="5587"/>
    </row>
    <row r="10" spans="1:23" ht="79.5" customHeight="1" x14ac:dyDescent="0.2">
      <c r="A10" s="4724" t="s">
        <v>2022</v>
      </c>
      <c r="B10" s="4730" t="s">
        <v>934</v>
      </c>
      <c r="C10" s="2112">
        <f>'[50]объемы2019-2024'!$AC$28/1000</f>
        <v>93.374850000000009</v>
      </c>
      <c r="D10" s="2112">
        <f>'[50]объемы2019-2024'!$AC$28/1000</f>
        <v>93.374850000000009</v>
      </c>
      <c r="E10" s="2112">
        <f>'[50]объемы2019-2024'!$AC$28/1000</f>
        <v>93.374850000000009</v>
      </c>
      <c r="F10" s="2112">
        <f>'[50]объемы2019-2024'!$AC$28/1000</f>
        <v>93.374850000000009</v>
      </c>
      <c r="G10" s="2112">
        <f>'[50]объемы2019-2024'!$AC$28/1000</f>
        <v>93.374850000000009</v>
      </c>
      <c r="H10" s="2112">
        <f>'[50]объемы2019-2024'!$AC$28/1000</f>
        <v>93.374850000000009</v>
      </c>
      <c r="I10" s="2112">
        <f>SUM(D10)</f>
        <v>93.374850000000009</v>
      </c>
      <c r="J10" s="2112">
        <v>117.04</v>
      </c>
      <c r="K10" s="2112">
        <v>117.04</v>
      </c>
      <c r="L10" s="2112">
        <v>112.5</v>
      </c>
      <c r="M10" s="2167" t="s">
        <v>2064</v>
      </c>
      <c r="N10" s="2112">
        <v>112.265288</v>
      </c>
      <c r="O10" s="2112">
        <f>SUM(L10)</f>
        <v>112.5</v>
      </c>
      <c r="P10" s="2112">
        <v>97.802999999999997</v>
      </c>
      <c r="Q10" s="2112">
        <v>50.303469999999997</v>
      </c>
      <c r="R10" s="2112">
        <f>SUM(R12/R11)</f>
        <v>71.0085409252669</v>
      </c>
      <c r="S10" s="2112">
        <f>SUM(S12/S11)</f>
        <v>95.824555160142339</v>
      </c>
      <c r="T10" s="2464">
        <f>SUM(P10)</f>
        <v>97.802999999999997</v>
      </c>
      <c r="U10" s="2464">
        <v>95.82</v>
      </c>
      <c r="V10" s="4827">
        <f t="shared" ref="V10:W10" si="1">SUM(V12/V11)</f>
        <v>42.875374999999998</v>
      </c>
      <c r="W10" s="4827">
        <f t="shared" si="1"/>
        <v>64.386384259259259</v>
      </c>
    </row>
    <row r="11" spans="1:23" ht="78.75" customHeight="1" x14ac:dyDescent="0.2">
      <c r="A11" s="4724" t="s">
        <v>2023</v>
      </c>
      <c r="B11" s="4730" t="s">
        <v>2025</v>
      </c>
      <c r="C11" s="4728">
        <v>5.54</v>
      </c>
      <c r="D11" s="4728">
        <v>5.88</v>
      </c>
      <c r="E11" s="4728">
        <v>6.02</v>
      </c>
      <c r="F11" s="4728">
        <v>6.2</v>
      </c>
      <c r="G11" s="4728">
        <v>6.39</v>
      </c>
      <c r="H11" s="4728">
        <v>6.57</v>
      </c>
      <c r="I11" s="2112">
        <f>SUM(D11)</f>
        <v>5.88</v>
      </c>
      <c r="J11" s="2112">
        <v>5.54</v>
      </c>
      <c r="K11" s="2112">
        <f t="shared" ref="K11" si="2">SUM(E11)</f>
        <v>6.02</v>
      </c>
      <c r="L11" s="2112">
        <v>2.81</v>
      </c>
      <c r="M11" s="2167" t="s">
        <v>2065</v>
      </c>
      <c r="N11" s="2112">
        <f>SUM(N12/N10)</f>
        <v>3.389997093313474</v>
      </c>
      <c r="O11" s="2112">
        <f>SUM(L11*1.05)</f>
        <v>2.9505000000000003</v>
      </c>
      <c r="P11" s="2112">
        <v>2.16</v>
      </c>
      <c r="Q11" s="2112">
        <f t="shared" ref="Q11" si="3">SUM(Q12/Q10)</f>
        <v>2.8101441113306898</v>
      </c>
      <c r="R11" s="2112">
        <v>2.81</v>
      </c>
      <c r="S11" s="2112">
        <v>2.81</v>
      </c>
      <c r="T11" s="2464">
        <f>SUM(P11*(1+0.05)*0.99)</f>
        <v>2.2453200000000004</v>
      </c>
      <c r="U11" s="2464">
        <v>2.17</v>
      </c>
      <c r="V11" s="4827">
        <v>2.16</v>
      </c>
      <c r="W11" s="4827">
        <v>2.16</v>
      </c>
    </row>
    <row r="12" spans="1:23" s="1920" customFormat="1" ht="25.5" customHeight="1" x14ac:dyDescent="0.2">
      <c r="A12" s="3169" t="s">
        <v>2020</v>
      </c>
      <c r="B12" s="4727" t="s">
        <v>899</v>
      </c>
      <c r="C12" s="3086">
        <f>C10*C11</f>
        <v>517.29666900000007</v>
      </c>
      <c r="D12" s="3086">
        <f t="shared" ref="D12" si="4">D10*D11</f>
        <v>549.04411800000003</v>
      </c>
      <c r="E12" s="3086">
        <f t="shared" ref="E12" si="5">E10*E11</f>
        <v>562.11659700000007</v>
      </c>
      <c r="F12" s="3086">
        <f t="shared" ref="F12" si="6">F10*F11</f>
        <v>578.92407000000003</v>
      </c>
      <c r="G12" s="3086">
        <f t="shared" ref="G12" si="7">G10*G11</f>
        <v>596.66529150000008</v>
      </c>
      <c r="H12" s="3086">
        <f t="shared" ref="H12:I12" si="8">H10*H11</f>
        <v>613.47276450000004</v>
      </c>
      <c r="I12" s="3086">
        <f t="shared" si="8"/>
        <v>549.04411800000003</v>
      </c>
      <c r="J12" s="3086">
        <v>648.35</v>
      </c>
      <c r="K12" s="3086">
        <f t="shared" ref="K12:L12" si="9">K10*K11</f>
        <v>704.58079999999995</v>
      </c>
      <c r="L12" s="3649">
        <f t="shared" si="9"/>
        <v>316.125</v>
      </c>
      <c r="M12" s="1826"/>
      <c r="N12" s="3086">
        <v>380.57900000000001</v>
      </c>
      <c r="O12" s="3086">
        <f t="shared" ref="O12:P12" si="10">O10*O11</f>
        <v>331.93125000000003</v>
      </c>
      <c r="P12" s="3649">
        <f t="shared" si="10"/>
        <v>211.25448</v>
      </c>
      <c r="Q12" s="3086">
        <v>141.36000000000001</v>
      </c>
      <c r="R12" s="3086">
        <v>199.53399999999999</v>
      </c>
      <c r="S12" s="3086">
        <v>269.267</v>
      </c>
      <c r="T12" s="3296">
        <f t="shared" ref="T12" si="11">T10*T11</f>
        <v>219.59903196000005</v>
      </c>
      <c r="U12" s="3296">
        <f t="shared" ref="U12" si="12">U10*U11</f>
        <v>207.92939999999999</v>
      </c>
      <c r="V12" s="4757">
        <v>92.610810000000001</v>
      </c>
      <c r="W12" s="4757">
        <v>139.07459</v>
      </c>
    </row>
    <row r="13" spans="1:23" x14ac:dyDescent="0.2">
      <c r="A13" s="3244"/>
      <c r="B13" s="3244"/>
      <c r="C13" s="3245"/>
      <c r="D13" s="3245"/>
      <c r="E13" s="3245"/>
      <c r="F13" s="3245"/>
      <c r="G13" s="3245"/>
      <c r="H13" s="3245"/>
      <c r="I13" s="3245"/>
      <c r="J13" s="3245"/>
      <c r="K13" s="3245"/>
      <c r="L13" s="3245"/>
    </row>
    <row r="14" spans="1:23" x14ac:dyDescent="0.2">
      <c r="A14" s="3244"/>
      <c r="B14" s="3244"/>
      <c r="C14" s="3245"/>
      <c r="D14" s="3245"/>
      <c r="E14" s="3245"/>
      <c r="F14" s="3245"/>
      <c r="G14" s="3245"/>
      <c r="H14" s="3245"/>
      <c r="I14" s="3246"/>
      <c r="J14" s="3246"/>
      <c r="K14" s="3246"/>
      <c r="L14" s="3246"/>
    </row>
    <row r="16" spans="1:23" ht="20.25" x14ac:dyDescent="0.3">
      <c r="A16" s="6082" t="s">
        <v>4033</v>
      </c>
      <c r="B16" s="5824"/>
      <c r="C16" s="5824"/>
      <c r="D16" s="5824"/>
      <c r="E16" s="5824"/>
      <c r="F16" s="5824"/>
      <c r="G16" s="5824"/>
      <c r="H16" s="5824"/>
      <c r="I16" s="5824"/>
      <c r="J16" s="5824"/>
      <c r="K16" s="5824"/>
      <c r="L16" s="5824"/>
      <c r="M16" s="5824"/>
      <c r="N16" s="3554"/>
    </row>
  </sheetData>
  <mergeCells count="5">
    <mergeCell ref="A16:M16"/>
    <mergeCell ref="A3:U3"/>
    <mergeCell ref="A5:W5"/>
    <mergeCell ref="A2:W2"/>
    <mergeCell ref="A9:W9"/>
  </mergeCells>
  <pageMargins left="0.51181102362204722" right="0.51181102362204722" top="0.74803149606299213" bottom="0.74803149606299213" header="0.31496062992125984" footer="0.31496062992125984"/>
  <pageSetup paperSize="9" scale="66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1499</v>
      </c>
    </row>
    <row r="2" spans="1:80" ht="30" x14ac:dyDescent="0.2">
      <c r="A2" s="6090" t="s">
        <v>222</v>
      </c>
      <c r="B2" s="6090"/>
      <c r="C2" s="6090"/>
      <c r="D2" s="6090"/>
      <c r="E2" s="6090"/>
      <c r="F2" s="6090"/>
      <c r="G2" s="6090"/>
      <c r="H2" s="6090"/>
      <c r="I2" s="6090"/>
      <c r="J2" s="6090"/>
      <c r="K2" s="6090"/>
      <c r="L2" s="6090"/>
      <c r="M2" s="6090"/>
      <c r="N2" s="6090"/>
      <c r="O2" s="6090"/>
      <c r="P2" s="6090"/>
      <c r="Q2" s="6090"/>
      <c r="R2" s="6090"/>
      <c r="S2" s="6090"/>
      <c r="T2" s="6090"/>
      <c r="U2" s="6090"/>
      <c r="V2" s="6090"/>
      <c r="W2" s="6090"/>
      <c r="X2" s="6090"/>
      <c r="Y2" s="6090"/>
      <c r="Z2" s="6090"/>
      <c r="AA2" s="6090"/>
      <c r="AB2" s="6090"/>
      <c r="AC2" s="6090"/>
      <c r="AD2" s="6090"/>
      <c r="AE2" s="6090"/>
      <c r="AF2" s="6090"/>
      <c r="AG2" s="6090"/>
      <c r="AH2" s="6090"/>
      <c r="AI2" s="6090"/>
      <c r="AJ2" s="6090"/>
      <c r="AK2" s="6090"/>
      <c r="AL2" s="6090"/>
      <c r="AM2" s="6090"/>
      <c r="AN2" s="6090"/>
      <c r="AO2" s="6090"/>
      <c r="AP2" s="6090"/>
      <c r="AQ2" s="6090"/>
      <c r="AR2" s="6090"/>
      <c r="AS2" s="6090"/>
      <c r="AT2" s="6090"/>
      <c r="AU2" s="6091"/>
      <c r="AV2" s="6091"/>
      <c r="AW2" s="6091"/>
      <c r="AX2" s="6091"/>
      <c r="AY2" s="6091"/>
      <c r="AZ2" s="6091"/>
      <c r="BA2" s="6091"/>
      <c r="BB2" s="6091"/>
      <c r="BC2" s="6091"/>
      <c r="BD2" s="6091"/>
      <c r="BE2" s="6091"/>
      <c r="BF2" s="6091"/>
      <c r="BG2" s="6091"/>
      <c r="BH2" s="6091"/>
      <c r="BI2" s="6091"/>
      <c r="BJ2" s="6091"/>
      <c r="BK2" s="6091"/>
      <c r="BL2" s="6091"/>
      <c r="BM2" s="6091"/>
      <c r="BN2" s="6091"/>
      <c r="BO2" s="6091"/>
      <c r="BP2" s="6091"/>
      <c r="BQ2" s="6091"/>
      <c r="BR2" s="6091"/>
      <c r="BS2" s="6091"/>
      <c r="BT2" s="6091"/>
      <c r="BU2" s="6091"/>
      <c r="BV2" s="6091"/>
      <c r="BW2" s="6091"/>
      <c r="BX2" s="6091"/>
      <c r="BY2" s="6091"/>
      <c r="BZ2" s="6091"/>
      <c r="CA2" s="6091"/>
      <c r="CB2" s="6091"/>
    </row>
    <row r="3" spans="1:80" ht="19.5" hidden="1" thickBot="1" x14ac:dyDescent="0.35">
      <c r="A3" s="6092"/>
      <c r="B3" s="6092"/>
      <c r="C3" s="6092"/>
      <c r="D3" s="6092"/>
      <c r="E3" s="6092"/>
      <c r="F3" s="6092"/>
      <c r="G3" s="6092"/>
      <c r="H3" s="6092"/>
      <c r="I3" s="6092"/>
      <c r="J3" s="6092"/>
      <c r="K3" s="6092"/>
      <c r="L3" s="6092"/>
      <c r="M3" s="6092"/>
      <c r="N3" s="6092"/>
      <c r="O3" s="6092"/>
      <c r="P3" s="6092"/>
      <c r="Q3" s="6092"/>
      <c r="R3" s="6092"/>
      <c r="S3" s="6092"/>
      <c r="T3" s="6092"/>
      <c r="U3" s="6092"/>
      <c r="V3" s="6092"/>
      <c r="W3" s="6092"/>
      <c r="X3" s="6092"/>
      <c r="Y3" s="6092"/>
      <c r="Z3" s="6092"/>
      <c r="AA3" s="6092"/>
      <c r="AB3" s="6092"/>
      <c r="AC3" s="6092"/>
      <c r="AD3" s="6092"/>
      <c r="AE3" s="6092"/>
      <c r="AF3" s="6092"/>
      <c r="AG3" s="6092"/>
      <c r="AH3" s="6092"/>
      <c r="AI3" s="6092"/>
      <c r="AJ3" s="6092"/>
      <c r="AK3" s="6092"/>
      <c r="AL3" s="6092"/>
      <c r="AM3" s="6092"/>
      <c r="AN3" s="6092"/>
      <c r="AO3" s="6092"/>
      <c r="AP3" s="6092"/>
      <c r="AQ3" s="452"/>
      <c r="AR3" s="452"/>
      <c r="AS3" s="452"/>
      <c r="AT3" s="452"/>
      <c r="AU3" s="452"/>
      <c r="AV3" s="452"/>
      <c r="AW3" s="452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</row>
    <row r="4" spans="1:80" ht="23.25" hidden="1" customHeight="1" x14ac:dyDescent="0.2">
      <c r="A4" s="6093" t="s">
        <v>165</v>
      </c>
      <c r="B4" s="6096" t="s">
        <v>166</v>
      </c>
      <c r="C4" s="6099" t="s">
        <v>167</v>
      </c>
      <c r="D4" s="6100"/>
      <c r="E4" s="6101"/>
      <c r="F4" s="6105" t="s">
        <v>168</v>
      </c>
      <c r="G4" s="6106"/>
      <c r="H4" s="6106"/>
      <c r="I4" s="4951" t="s">
        <v>169</v>
      </c>
      <c r="J4" s="4951"/>
      <c r="K4" s="4951"/>
      <c r="L4" s="4951"/>
      <c r="M4" s="6099" t="s">
        <v>170</v>
      </c>
      <c r="N4" s="6100"/>
      <c r="O4" s="6101"/>
      <c r="P4" s="6099" t="s">
        <v>188</v>
      </c>
      <c r="Q4" s="6100"/>
      <c r="R4" s="6101"/>
      <c r="S4" s="6109" t="s">
        <v>189</v>
      </c>
      <c r="T4" s="6110"/>
      <c r="U4" s="6111"/>
      <c r="V4" s="6109" t="s">
        <v>190</v>
      </c>
      <c r="W4" s="6110"/>
      <c r="X4" s="6111"/>
      <c r="Y4" s="6109" t="s">
        <v>242</v>
      </c>
      <c r="Z4" s="6110"/>
      <c r="AA4" s="6111"/>
      <c r="AB4" s="5928" t="s">
        <v>191</v>
      </c>
      <c r="AC4" s="5929"/>
      <c r="AD4" s="5929"/>
      <c r="AE4" s="5929"/>
      <c r="AF4" s="5930"/>
      <c r="AG4" s="5947" t="s">
        <v>171</v>
      </c>
      <c r="AH4" s="5948"/>
      <c r="AI4" s="5948"/>
      <c r="AJ4" s="5948"/>
      <c r="AK4" s="5949"/>
      <c r="AL4" s="5928" t="s">
        <v>223</v>
      </c>
      <c r="AM4" s="5929"/>
      <c r="AN4" s="5929"/>
      <c r="AO4" s="5929"/>
      <c r="AP4" s="5930"/>
      <c r="AQ4" s="1389"/>
      <c r="AR4" s="1389"/>
      <c r="AS4" s="1389"/>
      <c r="AT4" s="1389"/>
      <c r="AU4" s="5928" t="s">
        <v>224</v>
      </c>
      <c r="AV4" s="5929"/>
      <c r="AW4" s="5930"/>
      <c r="AX4" s="5928" t="s">
        <v>349</v>
      </c>
      <c r="AY4" s="5929"/>
      <c r="AZ4" s="5930"/>
      <c r="BA4" s="5928" t="s">
        <v>364</v>
      </c>
      <c r="BB4" s="5929"/>
      <c r="BC4" s="5929"/>
      <c r="BD4" s="6115" t="s">
        <v>372</v>
      </c>
      <c r="BE4" s="850"/>
      <c r="BF4" s="850"/>
      <c r="BG4" s="850"/>
      <c r="BH4" s="850"/>
      <c r="BI4" s="850"/>
      <c r="BJ4" s="850"/>
      <c r="BK4" s="850"/>
      <c r="BL4" s="850"/>
      <c r="BM4" s="850"/>
      <c r="BN4" s="850"/>
      <c r="BO4" s="850"/>
      <c r="BP4" s="850"/>
      <c r="BQ4" s="850"/>
      <c r="BR4" s="850"/>
      <c r="BS4" s="850"/>
      <c r="BT4" s="850"/>
      <c r="BU4" s="850"/>
      <c r="BV4" s="850"/>
      <c r="BW4" s="850"/>
      <c r="BX4" s="850"/>
    </row>
    <row r="5" spans="1:80" ht="22.5" hidden="1" customHeight="1" x14ac:dyDescent="0.2">
      <c r="A5" s="6094"/>
      <c r="B5" s="6097"/>
      <c r="C5" s="6102"/>
      <c r="D5" s="6103"/>
      <c r="E5" s="6104"/>
      <c r="F5" s="6107"/>
      <c r="G5" s="6108"/>
      <c r="H5" s="6108"/>
      <c r="I5" s="453"/>
      <c r="J5" s="453"/>
      <c r="K5" s="453"/>
      <c r="L5" s="454"/>
      <c r="M5" s="6102"/>
      <c r="N5" s="6103"/>
      <c r="O5" s="6104"/>
      <c r="P5" s="6102"/>
      <c r="Q5" s="6103"/>
      <c r="R5" s="6104"/>
      <c r="S5" s="6112"/>
      <c r="T5" s="6113"/>
      <c r="U5" s="6114"/>
      <c r="V5" s="6112"/>
      <c r="W5" s="6113"/>
      <c r="X5" s="6114"/>
      <c r="Y5" s="6112"/>
      <c r="Z5" s="6113"/>
      <c r="AA5" s="6114"/>
      <c r="AB5" s="5931"/>
      <c r="AC5" s="5932"/>
      <c r="AD5" s="5932"/>
      <c r="AE5" s="5932"/>
      <c r="AF5" s="5933"/>
      <c r="AG5" s="5922" t="s">
        <v>172</v>
      </c>
      <c r="AH5" s="5945" t="s">
        <v>173</v>
      </c>
      <c r="AI5" s="5945"/>
      <c r="AJ5" s="5945" t="s">
        <v>174</v>
      </c>
      <c r="AK5" s="5946"/>
      <c r="AL5" s="5931"/>
      <c r="AM5" s="5932"/>
      <c r="AN5" s="5932"/>
      <c r="AO5" s="5932"/>
      <c r="AP5" s="5933"/>
      <c r="AQ5" s="1390"/>
      <c r="AR5" s="1390"/>
      <c r="AS5" s="1390"/>
      <c r="AT5" s="1390"/>
      <c r="AU5" s="5931"/>
      <c r="AV5" s="5932"/>
      <c r="AW5" s="5933"/>
      <c r="AX5" s="5931"/>
      <c r="AY5" s="5932"/>
      <c r="AZ5" s="5933"/>
      <c r="BA5" s="5931"/>
      <c r="BB5" s="5932"/>
      <c r="BC5" s="5932"/>
      <c r="BD5" s="6116"/>
      <c r="BE5" s="850"/>
      <c r="BF5" s="850"/>
      <c r="BG5" s="850"/>
      <c r="BH5" s="850"/>
      <c r="BI5" s="850"/>
      <c r="BJ5" s="850"/>
      <c r="BK5" s="850"/>
      <c r="BL5" s="850"/>
      <c r="BM5" s="850"/>
      <c r="BN5" s="850"/>
      <c r="BO5" s="850"/>
      <c r="BP5" s="850"/>
      <c r="BQ5" s="850"/>
      <c r="BR5" s="850"/>
      <c r="BS5" s="850"/>
      <c r="BT5" s="850"/>
      <c r="BU5" s="850"/>
      <c r="BV5" s="850"/>
      <c r="BW5" s="850"/>
      <c r="BX5" s="850"/>
    </row>
    <row r="6" spans="1:80" ht="63" hidden="1" customHeight="1" x14ac:dyDescent="0.2">
      <c r="A6" s="6095"/>
      <c r="B6" s="6098"/>
      <c r="C6" s="1372" t="s">
        <v>172</v>
      </c>
      <c r="D6" s="1387" t="s">
        <v>175</v>
      </c>
      <c r="E6" s="1388" t="s">
        <v>176</v>
      </c>
      <c r="F6" s="1397" t="s">
        <v>172</v>
      </c>
      <c r="G6" s="1398" t="s">
        <v>175</v>
      </c>
      <c r="H6" s="1399" t="s">
        <v>176</v>
      </c>
      <c r="I6" s="1372" t="s">
        <v>172</v>
      </c>
      <c r="J6" s="1387" t="s">
        <v>175</v>
      </c>
      <c r="K6" s="1387" t="s">
        <v>177</v>
      </c>
      <c r="L6" s="1388" t="s">
        <v>176</v>
      </c>
      <c r="M6" s="1371" t="s">
        <v>172</v>
      </c>
      <c r="N6" s="1387" t="s">
        <v>175</v>
      </c>
      <c r="O6" s="1400" t="s">
        <v>176</v>
      </c>
      <c r="P6" s="1371" t="s">
        <v>172</v>
      </c>
      <c r="Q6" s="1401" t="s">
        <v>175</v>
      </c>
      <c r="R6" s="1400" t="s">
        <v>176</v>
      </c>
      <c r="S6" s="1402" t="s">
        <v>172</v>
      </c>
      <c r="T6" s="1403" t="s">
        <v>175</v>
      </c>
      <c r="U6" s="1404" t="s">
        <v>176</v>
      </c>
      <c r="V6" s="1405" t="s">
        <v>172</v>
      </c>
      <c r="W6" s="1403" t="s">
        <v>175</v>
      </c>
      <c r="X6" s="1404" t="s">
        <v>176</v>
      </c>
      <c r="Y6" s="1402" t="s">
        <v>172</v>
      </c>
      <c r="Z6" s="1403" t="s">
        <v>175</v>
      </c>
      <c r="AA6" s="1404" t="s">
        <v>176</v>
      </c>
      <c r="AB6" s="1406" t="s">
        <v>172</v>
      </c>
      <c r="AC6" s="1365" t="s">
        <v>175</v>
      </c>
      <c r="AD6" s="1407" t="s">
        <v>199</v>
      </c>
      <c r="AE6" s="1407" t="s">
        <v>200</v>
      </c>
      <c r="AF6" s="1366" t="s">
        <v>176</v>
      </c>
      <c r="AG6" s="5923"/>
      <c r="AH6" s="1365" t="s">
        <v>178</v>
      </c>
      <c r="AI6" s="1365" t="s">
        <v>179</v>
      </c>
      <c r="AJ6" s="1365" t="s">
        <v>180</v>
      </c>
      <c r="AK6" s="1366" t="s">
        <v>181</v>
      </c>
      <c r="AL6" s="1406" t="s">
        <v>172</v>
      </c>
      <c r="AM6" s="1365" t="s">
        <v>175</v>
      </c>
      <c r="AN6" s="1407" t="s">
        <v>199</v>
      </c>
      <c r="AO6" s="1407" t="s">
        <v>200</v>
      </c>
      <c r="AP6" s="1366" t="s">
        <v>176</v>
      </c>
      <c r="AQ6" s="1408"/>
      <c r="AR6" s="1408"/>
      <c r="AS6" s="1408"/>
      <c r="AT6" s="1408"/>
      <c r="AU6" s="1406" t="s">
        <v>172</v>
      </c>
      <c r="AV6" s="1365" t="s">
        <v>175</v>
      </c>
      <c r="AW6" s="1366" t="s">
        <v>176</v>
      </c>
      <c r="AX6" s="1406" t="s">
        <v>172</v>
      </c>
      <c r="AY6" s="1365" t="s">
        <v>175</v>
      </c>
      <c r="AZ6" s="1366" t="s">
        <v>176</v>
      </c>
      <c r="BA6" s="1406" t="s">
        <v>172</v>
      </c>
      <c r="BB6" s="1365" t="s">
        <v>175</v>
      </c>
      <c r="BC6" s="1407" t="s">
        <v>176</v>
      </c>
      <c r="BD6" s="6117"/>
      <c r="BE6" s="850"/>
      <c r="BF6" s="850"/>
      <c r="BG6" s="850"/>
      <c r="BH6" s="850"/>
      <c r="BI6" s="850"/>
      <c r="BJ6" s="850"/>
      <c r="BK6" s="850"/>
      <c r="BL6" s="850"/>
      <c r="BM6" s="850"/>
      <c r="BN6" s="850"/>
      <c r="BO6" s="850"/>
      <c r="BP6" s="850"/>
      <c r="BQ6" s="850"/>
      <c r="BR6" s="850"/>
      <c r="BS6" s="850"/>
      <c r="BT6" s="850"/>
      <c r="BU6" s="850"/>
      <c r="BV6" s="850"/>
      <c r="BW6" s="850"/>
      <c r="BX6" s="850"/>
    </row>
    <row r="7" spans="1:80" ht="18.75" hidden="1" x14ac:dyDescent="0.3">
      <c r="A7" s="457"/>
      <c r="B7" s="381"/>
      <c r="C7" s="458"/>
      <c r="D7" s="380"/>
      <c r="E7" s="381"/>
      <c r="F7" s="459"/>
      <c r="G7" s="460"/>
      <c r="H7" s="461"/>
      <c r="I7" s="462"/>
      <c r="J7" s="380"/>
      <c r="K7" s="380"/>
      <c r="L7" s="463"/>
      <c r="M7" s="464"/>
      <c r="N7" s="465"/>
      <c r="O7" s="466"/>
      <c r="P7" s="467"/>
      <c r="Q7" s="1409"/>
      <c r="R7" s="467"/>
      <c r="S7" s="468"/>
      <c r="T7" s="469"/>
      <c r="U7" s="470"/>
      <c r="V7" s="471"/>
      <c r="W7" s="469"/>
      <c r="X7" s="470"/>
      <c r="Y7" s="468"/>
      <c r="Z7" s="469"/>
      <c r="AA7" s="470"/>
      <c r="AB7" s="1374"/>
      <c r="AC7" s="1373"/>
      <c r="AD7" s="1379"/>
      <c r="AE7" s="1379"/>
      <c r="AF7" s="1376"/>
      <c r="AG7" s="1374"/>
      <c r="AH7" s="1373"/>
      <c r="AI7" s="1373"/>
      <c r="AJ7" s="1373"/>
      <c r="AK7" s="472"/>
      <c r="AL7" s="1374"/>
      <c r="AM7" s="1373"/>
      <c r="AN7" s="1379"/>
      <c r="AO7" s="1379"/>
      <c r="AP7" s="1376"/>
      <c r="AQ7" s="842"/>
      <c r="AR7" s="842"/>
      <c r="AS7" s="842"/>
      <c r="AT7" s="842"/>
      <c r="AU7" s="1374"/>
      <c r="AV7" s="1373"/>
      <c r="AW7" s="1376"/>
      <c r="AX7" s="1374"/>
      <c r="AY7" s="1373"/>
      <c r="AZ7" s="1376"/>
      <c r="BA7" s="1374"/>
      <c r="BB7" s="1373"/>
      <c r="BC7" s="1379"/>
      <c r="BD7" s="473"/>
      <c r="BE7" s="851"/>
      <c r="BF7" s="851"/>
      <c r="BG7" s="851"/>
      <c r="BH7" s="851"/>
      <c r="BI7" s="851"/>
      <c r="BJ7" s="851"/>
      <c r="BK7" s="851"/>
      <c r="BL7" s="851"/>
      <c r="BM7" s="851"/>
      <c r="BN7" s="851"/>
      <c r="BO7" s="851"/>
      <c r="BP7" s="851"/>
      <c r="BQ7" s="851"/>
      <c r="BR7" s="851"/>
      <c r="BS7" s="851"/>
      <c r="BT7" s="851"/>
      <c r="BU7" s="851"/>
      <c r="BV7" s="851"/>
      <c r="BW7" s="851"/>
      <c r="BX7" s="851"/>
    </row>
    <row r="8" spans="1:80" ht="56.25" hidden="1" x14ac:dyDescent="0.3">
      <c r="A8" s="1410" t="s">
        <v>182</v>
      </c>
      <c r="B8" s="1411" t="s">
        <v>194</v>
      </c>
      <c r="C8" s="1412">
        <v>840</v>
      </c>
      <c r="D8" s="1413">
        <v>12146</v>
      </c>
      <c r="E8" s="1414">
        <v>122429.8</v>
      </c>
      <c r="F8" s="1415">
        <f>F9+F10</f>
        <v>813</v>
      </c>
      <c r="G8" s="1416">
        <f>(G9*F9+G10*F10)/(F9+F10)</f>
        <v>12443.442804428045</v>
      </c>
      <c r="H8" s="1417">
        <f>H10+H9</f>
        <v>121398.228</v>
      </c>
      <c r="I8" s="1418">
        <v>799</v>
      </c>
      <c r="J8" s="1413">
        <v>13361</v>
      </c>
      <c r="K8" s="1419">
        <f>J8/G8</f>
        <v>1.07373820975377</v>
      </c>
      <c r="L8" s="1420">
        <v>128108.9</v>
      </c>
      <c r="M8" s="1418">
        <f>M9+M10+M11+M12</f>
        <v>155.5</v>
      </c>
      <c r="N8" s="1413">
        <f>O8/M8/12*1000</f>
        <v>17474.049303322616</v>
      </c>
      <c r="O8" s="1414">
        <f>O9+O10+O11+O12</f>
        <v>32606.576000000001</v>
      </c>
      <c r="P8" s="1421">
        <f>SUM(P9:P12)</f>
        <v>150</v>
      </c>
      <c r="Q8" s="1422">
        <f>R8/P8/12*1000</f>
        <v>20234.871111111108</v>
      </c>
      <c r="R8" s="1421">
        <f>SUM(R9:R12)</f>
        <v>36422.767999999996</v>
      </c>
      <c r="S8" s="1423">
        <f>S9+S10+S11+S12</f>
        <v>155</v>
      </c>
      <c r="T8" s="1424">
        <f>U8/S8/12*1000</f>
        <v>8717.967741935483</v>
      </c>
      <c r="U8" s="1425">
        <f>U9+U10+U11+U12</f>
        <v>16215.419999999998</v>
      </c>
      <c r="V8" s="1426">
        <f>V9+V10+V11+V12</f>
        <v>149</v>
      </c>
      <c r="W8" s="1424">
        <f>X8/V8/12*1000</f>
        <v>8464.3176733780765</v>
      </c>
      <c r="X8" s="1427">
        <f>X9+X10</f>
        <v>15134.2</v>
      </c>
      <c r="Y8" s="1428">
        <f>Y9+Y10+Y11+Y12</f>
        <v>155</v>
      </c>
      <c r="Z8" s="1429">
        <f>AA8/Y8/12*1000</f>
        <v>19376.075268817203</v>
      </c>
      <c r="AA8" s="1430">
        <f>AA9+AA10+AA11+AA12</f>
        <v>36039.5</v>
      </c>
      <c r="AB8" s="1428">
        <f>AB9+AB10+AB11+AB12</f>
        <v>155</v>
      </c>
      <c r="AC8" s="1429">
        <f>AF8/AB8/12*1000</f>
        <v>24645.696774193548</v>
      </c>
      <c r="AD8" s="1431">
        <f>AC8/T8*100</f>
        <v>282.70002257110826</v>
      </c>
      <c r="AE8" s="1431">
        <f>AC8/Z8*100</f>
        <v>127.19653713286812</v>
      </c>
      <c r="AF8" s="1430">
        <f>AF9+AF10+AF11+AF12</f>
        <v>45840.995999999999</v>
      </c>
      <c r="AG8" s="1432">
        <f>AG9+AG10</f>
        <v>94</v>
      </c>
      <c r="AH8" s="1429">
        <f>AJ8/AG8/12*1000</f>
        <v>19182.659183059011</v>
      </c>
      <c r="AI8" s="1433">
        <f>AH8/Z8*100</f>
        <v>99.001778827369307</v>
      </c>
      <c r="AJ8" s="1434">
        <f>AJ9+AJ10</f>
        <v>21638.039558490564</v>
      </c>
      <c r="AK8" s="1435">
        <f>AJ8/U8*100</f>
        <v>133.44112923680402</v>
      </c>
      <c r="AL8" s="1428">
        <f>AL9+AL10+AL11+AL12</f>
        <v>155</v>
      </c>
      <c r="AM8" s="1429">
        <f>AP8/AL8/12*1000</f>
        <v>9336.943451612904</v>
      </c>
      <c r="AN8" s="1436">
        <f>AM8/T8*100</f>
        <v>107.10000000000002</v>
      </c>
      <c r="AO8" s="1431">
        <f>AM8/AJ8*100</f>
        <v>43.150597938292314</v>
      </c>
      <c r="AP8" s="1430">
        <f>AP9+AP10+AP11+AP12</f>
        <v>17366.714820000001</v>
      </c>
      <c r="AQ8" s="1437"/>
      <c r="AR8" s="1437"/>
      <c r="AS8" s="1437"/>
      <c r="AT8" s="1437"/>
      <c r="AU8" s="1428">
        <f>AU9+AU10+AU11+AU12</f>
        <v>151</v>
      </c>
      <c r="AV8" s="1429">
        <f>AW8/AU8/9*1000</f>
        <v>22518.469462840323</v>
      </c>
      <c r="AW8" s="1430">
        <f>AW9+AW10+AW11+AW12</f>
        <v>30602.6</v>
      </c>
      <c r="AX8" s="1428">
        <f>AX9+AX10+AX11+AX12</f>
        <v>151</v>
      </c>
      <c r="AY8" s="1429">
        <f>AZ8/AX8/3*1000</f>
        <v>25066.88741721855</v>
      </c>
      <c r="AZ8" s="1430">
        <f>AZ9+AZ10+AZ11+AZ12</f>
        <v>11355.300000000001</v>
      </c>
      <c r="BA8" s="1428">
        <f>BA9+BA10+BA11+BA12</f>
        <v>150</v>
      </c>
      <c r="BB8" s="1429">
        <f>BC8/BA8/12*1000</f>
        <v>22582.944444444442</v>
      </c>
      <c r="BC8" s="1438">
        <f>BC9+BC10+BC11+BC12</f>
        <v>40649.299999999996</v>
      </c>
      <c r="BD8" s="1439">
        <f>(M8+P8+Y8+BA8)/4</f>
        <v>152.625</v>
      </c>
      <c r="BE8" s="852"/>
      <c r="BF8" s="852"/>
      <c r="BG8" s="852"/>
      <c r="BH8" s="852"/>
      <c r="BI8" s="852"/>
      <c r="BJ8" s="852"/>
      <c r="BK8" s="852"/>
      <c r="BL8" s="852"/>
      <c r="BM8" s="852"/>
      <c r="BN8" s="852"/>
      <c r="BO8" s="852"/>
      <c r="BP8" s="852"/>
      <c r="BQ8" s="852"/>
      <c r="BR8" s="852"/>
      <c r="BS8" s="852"/>
      <c r="BT8" s="852"/>
      <c r="BU8" s="852"/>
      <c r="BV8" s="852"/>
      <c r="BW8" s="852"/>
      <c r="BX8" s="852"/>
    </row>
    <row r="9" spans="1:80" ht="18.75" hidden="1" x14ac:dyDescent="0.3">
      <c r="A9" s="1440" t="s">
        <v>183</v>
      </c>
      <c r="B9" s="1441" t="s">
        <v>82</v>
      </c>
      <c r="C9" s="1442">
        <v>456</v>
      </c>
      <c r="D9" s="1443">
        <v>12405</v>
      </c>
      <c r="E9" s="1444">
        <v>67882.600000000006</v>
      </c>
      <c r="F9" s="1445">
        <v>444</v>
      </c>
      <c r="G9" s="1446">
        <v>12620</v>
      </c>
      <c r="H9" s="1447">
        <f>F9*G9*12/1000</f>
        <v>67239.360000000001</v>
      </c>
      <c r="I9" s="1448">
        <v>435</v>
      </c>
      <c r="J9" s="1443">
        <v>13646</v>
      </c>
      <c r="K9" s="1419">
        <f>J9/G9</f>
        <v>1.0812995245641839</v>
      </c>
      <c r="L9" s="1449">
        <v>71232.100000000006</v>
      </c>
      <c r="M9" s="1448">
        <v>26</v>
      </c>
      <c r="N9" s="1443">
        <f>O9/M9/12*1000</f>
        <v>16771.474358974359</v>
      </c>
      <c r="O9" s="1444">
        <v>5232.7</v>
      </c>
      <c r="P9" s="1450">
        <v>22</v>
      </c>
      <c r="Q9" s="1443">
        <v>20793</v>
      </c>
      <c r="R9" s="1451">
        <f>P9*Q9*12/1000</f>
        <v>5489.3519999999999</v>
      </c>
      <c r="S9" s="1452">
        <v>26.5</v>
      </c>
      <c r="T9" s="1453">
        <f>U9/12/S9*1000</f>
        <v>1500.3144654088051</v>
      </c>
      <c r="U9" s="1454">
        <f>вода!I12</f>
        <v>477.1</v>
      </c>
      <c r="V9" s="1455">
        <v>22</v>
      </c>
      <c r="W9" s="1456">
        <f>X9/9/V9*1000</f>
        <v>17417.171717171717</v>
      </c>
      <c r="X9" s="1457">
        <v>3448.6</v>
      </c>
      <c r="Y9" s="1458">
        <v>26.5</v>
      </c>
      <c r="Z9" s="1456">
        <f>AA9/12/Y9*1000</f>
        <v>15450.943396226414</v>
      </c>
      <c r="AA9" s="1459">
        <v>4913.3999999999996</v>
      </c>
      <c r="AB9" s="1458">
        <v>26.5</v>
      </c>
      <c r="AC9" s="1456">
        <v>21852</v>
      </c>
      <c r="AD9" s="1460">
        <f t="shared" ref="AD9:AD18" si="0">AC9/T9*100</f>
        <v>1456.4946552085516</v>
      </c>
      <c r="AE9" s="1460">
        <f t="shared" ref="AE9:AE18" si="1">AC9/Z9*100</f>
        <v>141.42825741848824</v>
      </c>
      <c r="AF9" s="1459">
        <f>AB9*AC9*12/1000</f>
        <v>6948.9359999999997</v>
      </c>
      <c r="AG9" s="1458">
        <f>V9</f>
        <v>22</v>
      </c>
      <c r="AH9" s="1456">
        <f>Z9*1.051</f>
        <v>16238.94150943396</v>
      </c>
      <c r="AI9" s="1461">
        <f>AH9/Z9*100</f>
        <v>105.1</v>
      </c>
      <c r="AJ9" s="1462">
        <f>AH9*12*AG9/1000</f>
        <v>4287.0805584905647</v>
      </c>
      <c r="AK9" s="1463">
        <f>AJ9/U9*100</f>
        <v>898.57064734658661</v>
      </c>
      <c r="AL9" s="1458">
        <v>26.5</v>
      </c>
      <c r="AM9" s="1464">
        <f>T9*1.071</f>
        <v>1606.8367924528302</v>
      </c>
      <c r="AN9" s="1436">
        <f>AM9/T9*100</f>
        <v>107.1</v>
      </c>
      <c r="AO9" s="1465">
        <f>AM9/Z9*100</f>
        <v>10.399603126144829</v>
      </c>
      <c r="AP9" s="1459">
        <f>AL9*AM9*12/1000</f>
        <v>510.97410000000002</v>
      </c>
      <c r="AQ9" s="1466"/>
      <c r="AR9" s="1466"/>
      <c r="AS9" s="1466"/>
      <c r="AT9" s="1466"/>
      <c r="AU9" s="1458">
        <v>22</v>
      </c>
      <c r="AV9" s="1456">
        <f>AW9/9/AU9*1000</f>
        <v>21411.616161616163</v>
      </c>
      <c r="AW9" s="1459">
        <v>4239.5</v>
      </c>
      <c r="AX9" s="1458">
        <v>22</v>
      </c>
      <c r="AY9" s="1456">
        <f>AZ9/3/AX9*1000</f>
        <v>23621.21212121212</v>
      </c>
      <c r="AZ9" s="1459">
        <v>1559</v>
      </c>
      <c r="BA9" s="1458">
        <v>22</v>
      </c>
      <c r="BB9" s="1464">
        <f>BC9/BA9/12*1000</f>
        <v>21159.469696969696</v>
      </c>
      <c r="BC9" s="1467">
        <v>5586.1</v>
      </c>
      <c r="BD9" s="1439">
        <f>(M9+P9+Y9+BA9)/4</f>
        <v>24.125</v>
      </c>
      <c r="BE9" s="852"/>
      <c r="BF9" s="852"/>
      <c r="BG9" s="852"/>
      <c r="BH9" s="852"/>
      <c r="BI9" s="852"/>
      <c r="BJ9" s="852"/>
      <c r="BK9" s="852"/>
      <c r="BL9" s="852"/>
      <c r="BM9" s="852"/>
      <c r="BN9" s="852"/>
      <c r="BO9" s="852"/>
      <c r="BP9" s="852"/>
      <c r="BQ9" s="852"/>
      <c r="BR9" s="852"/>
      <c r="BS9" s="852"/>
      <c r="BT9" s="852"/>
      <c r="BU9" s="852"/>
      <c r="BV9" s="852"/>
      <c r="BW9" s="852"/>
      <c r="BX9" s="852"/>
    </row>
    <row r="10" spans="1:80" ht="18.75" hidden="1" x14ac:dyDescent="0.3">
      <c r="A10" s="1440" t="s">
        <v>184</v>
      </c>
      <c r="B10" s="1441" t="s">
        <v>83</v>
      </c>
      <c r="C10" s="1442">
        <v>384</v>
      </c>
      <c r="D10" s="1443">
        <v>11838</v>
      </c>
      <c r="E10" s="1444">
        <v>54547.199999999997</v>
      </c>
      <c r="F10" s="1445">
        <v>369</v>
      </c>
      <c r="G10" s="1446">
        <v>12231</v>
      </c>
      <c r="H10" s="1447">
        <f>F10*G10*12/1000</f>
        <v>54158.868000000002</v>
      </c>
      <c r="I10" s="1448">
        <v>364</v>
      </c>
      <c r="J10" s="1443">
        <v>13021</v>
      </c>
      <c r="K10" s="1419">
        <f>J10/G10</f>
        <v>1.0645899762897555</v>
      </c>
      <c r="L10" s="1449">
        <v>56876.800000000003</v>
      </c>
      <c r="M10" s="1468">
        <v>71.5</v>
      </c>
      <c r="N10" s="1443">
        <f>O10/M10/12*1000</f>
        <v>16952.564102564102</v>
      </c>
      <c r="O10" s="1444">
        <v>14545.3</v>
      </c>
      <c r="P10" s="1450">
        <v>70</v>
      </c>
      <c r="Q10" s="1443">
        <f>R10/P10/12*1000</f>
        <v>18740.238095238095</v>
      </c>
      <c r="R10" s="1451">
        <v>15741.8</v>
      </c>
      <c r="S10" s="1452">
        <v>72.5</v>
      </c>
      <c r="T10" s="1453">
        <f>U10/S10/12*1000</f>
        <v>994.02298850574709</v>
      </c>
      <c r="U10" s="1454">
        <f>вода!I22</f>
        <v>864.8</v>
      </c>
      <c r="V10" s="1455">
        <v>72</v>
      </c>
      <c r="W10" s="1456">
        <f>X10/V10/12*1000</f>
        <v>13525</v>
      </c>
      <c r="X10" s="1457">
        <v>11685.6</v>
      </c>
      <c r="Y10" s="1458">
        <v>72.5</v>
      </c>
      <c r="Z10" s="1456">
        <f>AA10/12/72*1000</f>
        <v>19107.638888888891</v>
      </c>
      <c r="AA10" s="1459">
        <v>16509</v>
      </c>
      <c r="AB10" s="1458">
        <v>72.5</v>
      </c>
      <c r="AC10" s="1456">
        <v>23802</v>
      </c>
      <c r="AD10" s="1460">
        <f t="shared" si="0"/>
        <v>2394.5120259019427</v>
      </c>
      <c r="AE10" s="1460">
        <f t="shared" si="1"/>
        <v>124.56798110121751</v>
      </c>
      <c r="AF10" s="1459">
        <f>AB10*AC10*12/1000</f>
        <v>20707.740000000002</v>
      </c>
      <c r="AG10" s="1458">
        <f>V10</f>
        <v>72</v>
      </c>
      <c r="AH10" s="1456">
        <f>Z10*1.051</f>
        <v>20082.128472222223</v>
      </c>
      <c r="AI10" s="1461">
        <f>AH10/Z10*100</f>
        <v>105.1</v>
      </c>
      <c r="AJ10" s="1462">
        <f>AH10*12*AG10/1000</f>
        <v>17350.958999999999</v>
      </c>
      <c r="AK10" s="1463">
        <f>AJ10/U10*100</f>
        <v>2006.3551110083256</v>
      </c>
      <c r="AL10" s="1458">
        <v>72.5</v>
      </c>
      <c r="AM10" s="1464">
        <f>T10*1.071</f>
        <v>1064.598620689655</v>
      </c>
      <c r="AN10" s="1436">
        <f>AM10/T10*100</f>
        <v>107.1</v>
      </c>
      <c r="AO10" s="1465">
        <f t="shared" ref="AO10:AO18" si="2">AM10/Z10*100</f>
        <v>5.5715864575435328</v>
      </c>
      <c r="AP10" s="1459">
        <f>AL10*AM10*12/1000</f>
        <v>926.20079999999996</v>
      </c>
      <c r="AQ10" s="1466"/>
      <c r="AR10" s="1466"/>
      <c r="AS10" s="1466"/>
      <c r="AT10" s="1466"/>
      <c r="AU10" s="1458">
        <v>72</v>
      </c>
      <c r="AV10" s="1456">
        <f>AW10/9/AU10*1000</f>
        <v>21503.703703703704</v>
      </c>
      <c r="AW10" s="1459">
        <v>13934.4</v>
      </c>
      <c r="AX10" s="1458">
        <v>72</v>
      </c>
      <c r="AY10" s="1456">
        <f>AZ10/3/AX10*1000</f>
        <v>23650.925925925927</v>
      </c>
      <c r="AZ10" s="1459">
        <v>5108.6000000000004</v>
      </c>
      <c r="BA10" s="1458">
        <v>72</v>
      </c>
      <c r="BB10" s="1464">
        <f>BC10/BA10/12*1000</f>
        <v>21402.199074074077</v>
      </c>
      <c r="BC10" s="1467">
        <v>18491.5</v>
      </c>
      <c r="BD10" s="1439">
        <f>(M10+P10+Y10+BA10)/4</f>
        <v>71.5</v>
      </c>
      <c r="BE10" s="852"/>
      <c r="BF10" s="852"/>
      <c r="BG10" s="852"/>
      <c r="BH10" s="852"/>
      <c r="BI10" s="852"/>
      <c r="BJ10" s="852"/>
      <c r="BK10" s="852"/>
      <c r="BL10" s="852"/>
      <c r="BM10" s="852"/>
      <c r="BN10" s="852"/>
      <c r="BO10" s="852"/>
      <c r="BP10" s="852"/>
      <c r="BQ10" s="852"/>
      <c r="BR10" s="852"/>
      <c r="BS10" s="852"/>
      <c r="BT10" s="852"/>
      <c r="BU10" s="852"/>
      <c r="BV10" s="852"/>
      <c r="BW10" s="852"/>
      <c r="BX10" s="852"/>
    </row>
    <row r="11" spans="1:80" ht="18.75" hidden="1" x14ac:dyDescent="0.3">
      <c r="A11" s="1440" t="s">
        <v>192</v>
      </c>
      <c r="B11" s="1441" t="s">
        <v>84</v>
      </c>
      <c r="C11" s="1442"/>
      <c r="D11" s="1443"/>
      <c r="E11" s="1444"/>
      <c r="F11" s="1445"/>
      <c r="G11" s="1446"/>
      <c r="H11" s="1447"/>
      <c r="I11" s="1448"/>
      <c r="J11" s="1443"/>
      <c r="K11" s="1419"/>
      <c r="L11" s="1449"/>
      <c r="M11" s="1448">
        <v>33</v>
      </c>
      <c r="N11" s="1443">
        <v>18981</v>
      </c>
      <c r="O11" s="1444">
        <f>M11*N11*12/1000</f>
        <v>7516.4759999999997</v>
      </c>
      <c r="P11" s="1469">
        <v>32</v>
      </c>
      <c r="Q11" s="1470">
        <v>21797</v>
      </c>
      <c r="R11" s="1451">
        <f>P11*Q11*12/1000</f>
        <v>8370.0480000000007</v>
      </c>
      <c r="S11" s="1452">
        <v>31</v>
      </c>
      <c r="T11" s="1344">
        <v>23385</v>
      </c>
      <c r="U11" s="1454">
        <f>S11*T11*12/1000</f>
        <v>8699.2199999999993</v>
      </c>
      <c r="V11" s="1455">
        <v>30</v>
      </c>
      <c r="W11" s="1456">
        <v>21786</v>
      </c>
      <c r="X11" s="1457">
        <f>V11*W11*9/1000</f>
        <v>5882.22</v>
      </c>
      <c r="Y11" s="1458">
        <v>31</v>
      </c>
      <c r="Z11" s="1456">
        <v>24160</v>
      </c>
      <c r="AA11" s="1459">
        <v>8778.6</v>
      </c>
      <c r="AB11" s="1458">
        <v>31</v>
      </c>
      <c r="AC11" s="1456">
        <v>28610</v>
      </c>
      <c r="AD11" s="1460">
        <f t="shared" si="0"/>
        <v>122.34338251015609</v>
      </c>
      <c r="AE11" s="1460">
        <f t="shared" si="1"/>
        <v>118.41887417218544</v>
      </c>
      <c r="AF11" s="1459">
        <f>AB11*AC11*12/1000</f>
        <v>10642.92</v>
      </c>
      <c r="AG11" s="1458"/>
      <c r="AH11" s="1456"/>
      <c r="AI11" s="1461"/>
      <c r="AJ11" s="1462"/>
      <c r="AK11" s="1463"/>
      <c r="AL11" s="1458">
        <v>31</v>
      </c>
      <c r="AM11" s="1464">
        <f>T11*1.071</f>
        <v>25045.334999999999</v>
      </c>
      <c r="AN11" s="1436">
        <f>AM11/T11*100</f>
        <v>107.1</v>
      </c>
      <c r="AO11" s="1465">
        <f t="shared" si="2"/>
        <v>103.66446605960265</v>
      </c>
      <c r="AP11" s="1459">
        <f>AL11*AM11*12/1000</f>
        <v>9316.8646200000003</v>
      </c>
      <c r="AQ11" s="1466"/>
      <c r="AR11" s="1466"/>
      <c r="AS11" s="1466"/>
      <c r="AT11" s="1466"/>
      <c r="AU11" s="1458">
        <v>32</v>
      </c>
      <c r="AV11" s="1456">
        <f>AW11/9/AU11*1000</f>
        <v>25180.902777777777</v>
      </c>
      <c r="AW11" s="1459">
        <v>7252.1</v>
      </c>
      <c r="AX11" s="1458">
        <v>32</v>
      </c>
      <c r="AY11" s="1456">
        <f>AZ11/3/AX11*1000</f>
        <v>28734.375</v>
      </c>
      <c r="AZ11" s="1459">
        <v>2758.5</v>
      </c>
      <c r="BA11" s="1458">
        <v>31</v>
      </c>
      <c r="BB11" s="1464">
        <f>BC11/BA11/12*1000</f>
        <v>26139.247311827956</v>
      </c>
      <c r="BC11" s="1467">
        <v>9723.7999999999993</v>
      </c>
      <c r="BD11" s="1439">
        <f>(M11+P11+Y11+BA11)/4</f>
        <v>31.75</v>
      </c>
      <c r="BE11" s="852"/>
      <c r="BF11" s="852"/>
      <c r="BG11" s="852"/>
      <c r="BH11" s="852"/>
      <c r="BI11" s="852"/>
      <c r="BJ11" s="852"/>
      <c r="BK11" s="852"/>
      <c r="BL11" s="852"/>
      <c r="BM11" s="852"/>
      <c r="BN11" s="852"/>
      <c r="BO11" s="852"/>
      <c r="BP11" s="852"/>
      <c r="BQ11" s="852"/>
      <c r="BR11" s="852"/>
      <c r="BS11" s="852"/>
      <c r="BT11" s="852"/>
      <c r="BU11" s="852"/>
      <c r="BV11" s="852"/>
      <c r="BW11" s="852"/>
      <c r="BX11" s="852"/>
    </row>
    <row r="12" spans="1:80" ht="18.75" hidden="1" x14ac:dyDescent="0.3">
      <c r="A12" s="1440" t="s">
        <v>193</v>
      </c>
      <c r="B12" s="1441" t="s">
        <v>85</v>
      </c>
      <c r="C12" s="1442"/>
      <c r="D12" s="1443"/>
      <c r="E12" s="1444"/>
      <c r="F12" s="1445"/>
      <c r="G12" s="1446"/>
      <c r="H12" s="1447"/>
      <c r="I12" s="1448"/>
      <c r="J12" s="1443"/>
      <c r="K12" s="1419"/>
      <c r="L12" s="1449"/>
      <c r="M12" s="1448">
        <v>25</v>
      </c>
      <c r="N12" s="1443">
        <v>17707</v>
      </c>
      <c r="O12" s="1444">
        <f>M12*N12*12/1000</f>
        <v>5312.1</v>
      </c>
      <c r="P12" s="1469">
        <v>26</v>
      </c>
      <c r="Q12" s="1470">
        <v>21864</v>
      </c>
      <c r="R12" s="1451">
        <f>P12*Q12*12/1000</f>
        <v>6821.5680000000002</v>
      </c>
      <c r="S12" s="1452">
        <v>25</v>
      </c>
      <c r="T12" s="1344">
        <v>20581</v>
      </c>
      <c r="U12" s="1454">
        <f>S12*T12*12/1000</f>
        <v>6174.3</v>
      </c>
      <c r="V12" s="1455">
        <v>25</v>
      </c>
      <c r="W12" s="1456">
        <v>18220</v>
      </c>
      <c r="X12" s="1457">
        <f>V12*W12*9/1000</f>
        <v>4099.5</v>
      </c>
      <c r="Y12" s="1458">
        <v>25</v>
      </c>
      <c r="Z12" s="1456">
        <v>20570</v>
      </c>
      <c r="AA12" s="1459">
        <v>5838.5</v>
      </c>
      <c r="AB12" s="1458">
        <v>25</v>
      </c>
      <c r="AC12" s="1456">
        <v>25138</v>
      </c>
      <c r="AD12" s="1460">
        <f t="shared" si="0"/>
        <v>122.14178125455517</v>
      </c>
      <c r="AE12" s="1460">
        <f t="shared" si="1"/>
        <v>122.2070977151191</v>
      </c>
      <c r="AF12" s="1459">
        <f>AB12*AC12*12/1000</f>
        <v>7541.4</v>
      </c>
      <c r="AG12" s="1458"/>
      <c r="AH12" s="1456"/>
      <c r="AI12" s="1461"/>
      <c r="AJ12" s="1462"/>
      <c r="AK12" s="1463"/>
      <c r="AL12" s="1458">
        <v>25</v>
      </c>
      <c r="AM12" s="1464">
        <f>T12*1.071</f>
        <v>22042.251</v>
      </c>
      <c r="AN12" s="1436">
        <f>AM12/T12*100</f>
        <v>107.1</v>
      </c>
      <c r="AO12" s="1465">
        <f t="shared" si="2"/>
        <v>107.15727272727274</v>
      </c>
      <c r="AP12" s="1459">
        <f>AL12*AM12*12/1000</f>
        <v>6612.6753000000008</v>
      </c>
      <c r="AQ12" s="1466"/>
      <c r="AR12" s="1466"/>
      <c r="AS12" s="1466"/>
      <c r="AT12" s="1466"/>
      <c r="AU12" s="1458">
        <v>25</v>
      </c>
      <c r="AV12" s="1456">
        <f>AW12/9/AU12*1000</f>
        <v>23007.111111111113</v>
      </c>
      <c r="AW12" s="1459">
        <v>5176.6000000000004</v>
      </c>
      <c r="AX12" s="1458">
        <v>25</v>
      </c>
      <c r="AY12" s="1456">
        <f>AZ12/3/AX12*1000</f>
        <v>25722.666666666668</v>
      </c>
      <c r="AZ12" s="1459">
        <v>1929.2</v>
      </c>
      <c r="BA12" s="1458">
        <v>25</v>
      </c>
      <c r="BB12" s="1464">
        <f>BC12/BA12/12*1000</f>
        <v>22826.333333333336</v>
      </c>
      <c r="BC12" s="1467">
        <v>6847.9</v>
      </c>
      <c r="BD12" s="1439">
        <f>(M12+P12+Y12+BA12)/4</f>
        <v>25.25</v>
      </c>
      <c r="BE12" s="852"/>
      <c r="BF12" s="852"/>
      <c r="BG12" s="852"/>
      <c r="BH12" s="852"/>
      <c r="BI12" s="852"/>
      <c r="BJ12" s="852"/>
      <c r="BK12" s="852"/>
      <c r="BL12" s="852"/>
      <c r="BM12" s="852"/>
      <c r="BN12" s="852"/>
      <c r="BO12" s="852"/>
      <c r="BP12" s="852"/>
      <c r="BQ12" s="852"/>
      <c r="BR12" s="852"/>
      <c r="BS12" s="852"/>
      <c r="BT12" s="852"/>
      <c r="BU12" s="852"/>
      <c r="BV12" s="852"/>
      <c r="BW12" s="852"/>
      <c r="BX12" s="852"/>
    </row>
    <row r="13" spans="1:80" ht="18.75" hidden="1" x14ac:dyDescent="0.3">
      <c r="A13" s="1440"/>
      <c r="B13" s="1441"/>
      <c r="C13" s="1442"/>
      <c r="D13" s="1443"/>
      <c r="E13" s="1444"/>
      <c r="F13" s="1445"/>
      <c r="G13" s="1446"/>
      <c r="H13" s="1447"/>
      <c r="I13" s="1448"/>
      <c r="J13" s="1443"/>
      <c r="K13" s="1419"/>
      <c r="L13" s="1449"/>
      <c r="M13" s="1448"/>
      <c r="N13" s="1443"/>
      <c r="O13" s="1444"/>
      <c r="P13" s="1451"/>
      <c r="Q13" s="1471"/>
      <c r="R13" s="1451"/>
      <c r="S13" s="1452"/>
      <c r="T13" s="1344"/>
      <c r="U13" s="1454"/>
      <c r="V13" s="1455"/>
      <c r="W13" s="1456"/>
      <c r="X13" s="1457"/>
      <c r="Y13" s="1458"/>
      <c r="Z13" s="1456"/>
      <c r="AA13" s="1459"/>
      <c r="AB13" s="1458"/>
      <c r="AC13" s="1456"/>
      <c r="AD13" s="1431"/>
      <c r="AE13" s="1460"/>
      <c r="AF13" s="1459"/>
      <c r="AG13" s="1458"/>
      <c r="AH13" s="1456"/>
      <c r="AI13" s="1461"/>
      <c r="AJ13" s="1462"/>
      <c r="AK13" s="1463"/>
      <c r="AL13" s="1458"/>
      <c r="AM13" s="1456"/>
      <c r="AN13" s="1436"/>
      <c r="AO13" s="1465"/>
      <c r="AP13" s="1459"/>
      <c r="AQ13" s="1466"/>
      <c r="AR13" s="1466"/>
      <c r="AS13" s="1466"/>
      <c r="AT13" s="1466"/>
      <c r="AU13" s="1458"/>
      <c r="AV13" s="494"/>
      <c r="AW13" s="1459"/>
      <c r="AX13" s="1458"/>
      <c r="AY13" s="494"/>
      <c r="AZ13" s="1459"/>
      <c r="BA13" s="1458"/>
      <c r="BB13" s="1456"/>
      <c r="BC13" s="1467"/>
      <c r="BD13" s="1439"/>
      <c r="BE13" s="852"/>
      <c r="BF13" s="852"/>
      <c r="BG13" s="852"/>
      <c r="BH13" s="852"/>
      <c r="BI13" s="852"/>
      <c r="BJ13" s="852"/>
      <c r="BK13" s="852"/>
      <c r="BL13" s="852"/>
      <c r="BM13" s="852"/>
      <c r="BN13" s="852"/>
      <c r="BO13" s="852"/>
      <c r="BP13" s="852"/>
      <c r="BQ13" s="852"/>
      <c r="BR13" s="852"/>
      <c r="BS13" s="852"/>
      <c r="BT13" s="852"/>
      <c r="BU13" s="852"/>
      <c r="BV13" s="852"/>
      <c r="BW13" s="852"/>
      <c r="BX13" s="852"/>
    </row>
    <row r="14" spans="1:80" ht="56.25" hidden="1" x14ac:dyDescent="0.3">
      <c r="A14" s="1410" t="s">
        <v>185</v>
      </c>
      <c r="B14" s="1411" t="s">
        <v>195</v>
      </c>
      <c r="C14" s="1412">
        <v>840</v>
      </c>
      <c r="D14" s="1413">
        <v>12146</v>
      </c>
      <c r="E14" s="1414">
        <v>122429.8</v>
      </c>
      <c r="F14" s="1415">
        <f>F15+F16</f>
        <v>813</v>
      </c>
      <c r="G14" s="1416">
        <f>(G15*F15+G16*F16)/(F15+F16)</f>
        <v>12443.442804428045</v>
      </c>
      <c r="H14" s="1417">
        <f>H16+H15</f>
        <v>121398.228</v>
      </c>
      <c r="I14" s="1418">
        <v>799</v>
      </c>
      <c r="J14" s="1413">
        <v>13361</v>
      </c>
      <c r="K14" s="1419">
        <f>J14/G14</f>
        <v>1.07373820975377</v>
      </c>
      <c r="L14" s="1420">
        <v>128108.9</v>
      </c>
      <c r="M14" s="1418">
        <f>M15+M16+M17+M18</f>
        <v>109</v>
      </c>
      <c r="N14" s="1413">
        <f>O14/M14/12*1000</f>
        <v>18196.483180428135</v>
      </c>
      <c r="O14" s="1414">
        <f>O15+O16+O17+O18</f>
        <v>23801.000000000004</v>
      </c>
      <c r="P14" s="1421">
        <f>SUM(P15:P18)</f>
        <v>95</v>
      </c>
      <c r="Q14" s="1422">
        <f>R14/P14/12*1000</f>
        <v>21844.621052631581</v>
      </c>
      <c r="R14" s="1421">
        <f>SUM(R15:R18)</f>
        <v>24902.868000000002</v>
      </c>
      <c r="S14" s="1423">
        <f>S15+S16+S17+S18</f>
        <v>105</v>
      </c>
      <c r="T14" s="1424">
        <f>U14/S14/12*1000</f>
        <v>22144.31111111111</v>
      </c>
      <c r="U14" s="1425">
        <f>U15+U16+U17+U18</f>
        <v>27901.832000000002</v>
      </c>
      <c r="V14" s="1426">
        <f>V15+V16+V17+V18</f>
        <v>98</v>
      </c>
      <c r="W14" s="1424">
        <f>X14/V14/12*1000</f>
        <v>15199.064625850338</v>
      </c>
      <c r="X14" s="1427">
        <f>X15+X16+X17+X18</f>
        <v>17874.099999999999</v>
      </c>
      <c r="Y14" s="1472">
        <f>Y15+Y16+Y17+Y18</f>
        <v>94</v>
      </c>
      <c r="Z14" s="1473">
        <f>AA14/Y14/12*1000</f>
        <v>22720.301418439718</v>
      </c>
      <c r="AA14" s="1474">
        <f>AA15+AA16+AA17+AA18</f>
        <v>25628.5</v>
      </c>
      <c r="AB14" s="1428">
        <f>AB15+AB16+AB17+AB18</f>
        <v>105</v>
      </c>
      <c r="AC14" s="1429">
        <f>AF14/AB14/12*1000</f>
        <v>27439.161904761906</v>
      </c>
      <c r="AD14" s="1431">
        <f t="shared" si="0"/>
        <v>123.91065934308546</v>
      </c>
      <c r="AE14" s="1460">
        <f t="shared" si="1"/>
        <v>120.76935688226555</v>
      </c>
      <c r="AF14" s="1430">
        <f>AF15+AF16+AF17+AF18</f>
        <v>34573.344000000005</v>
      </c>
      <c r="AG14" s="1458"/>
      <c r="AH14" s="1456"/>
      <c r="AI14" s="1461"/>
      <c r="AJ14" s="1462"/>
      <c r="AK14" s="1463"/>
      <c r="AL14" s="1428">
        <f>AL15+AL16+AL17+AL18</f>
        <v>105</v>
      </c>
      <c r="AM14" s="1429">
        <f>AP14/AL14/12*1000</f>
        <v>23716.557199999999</v>
      </c>
      <c r="AN14" s="1436">
        <f>AM14/T14*100</f>
        <v>107.1</v>
      </c>
      <c r="AO14" s="1465">
        <f t="shared" si="2"/>
        <v>104.38487044345162</v>
      </c>
      <c r="AP14" s="1430">
        <f>AP15+AP16+AP17+AP18</f>
        <v>29882.862072</v>
      </c>
      <c r="AQ14" s="1437"/>
      <c r="AR14" s="1437"/>
      <c r="AS14" s="1437"/>
      <c r="AT14" s="1437"/>
      <c r="AU14" s="1428">
        <f>AU15+AU16+AU17+AU18</f>
        <v>98</v>
      </c>
      <c r="AV14" s="1429">
        <f>AW14/AU14/9*1000</f>
        <v>24623.582766439908</v>
      </c>
      <c r="AW14" s="1430">
        <f>AW15+AW16+AW17+AW18</f>
        <v>21717.999999999996</v>
      </c>
      <c r="AX14" s="1428">
        <f>AX15+AX16+AX17+AX18</f>
        <v>98</v>
      </c>
      <c r="AY14" s="1429">
        <f>AZ14/AX14/3*1000</f>
        <v>27260.884353741498</v>
      </c>
      <c r="AZ14" s="1430">
        <f>AZ15+AZ16+AZ17+AZ18</f>
        <v>8014.7000000000007</v>
      </c>
      <c r="BA14" s="1428">
        <f>BA15+BA16+BA17+BA18</f>
        <v>98</v>
      </c>
      <c r="BB14" s="1429">
        <f>BC14/BA14/12*1000</f>
        <v>24748.639455782311</v>
      </c>
      <c r="BC14" s="1438">
        <f>BC15+BC16+BC17+BC18</f>
        <v>29104.399999999998</v>
      </c>
      <c r="BD14" s="1439">
        <f>(M14+P14+Y14+BA14)/4</f>
        <v>99</v>
      </c>
      <c r="BE14" s="852"/>
      <c r="BF14" s="852"/>
      <c r="BG14" s="852"/>
      <c r="BH14" s="852"/>
      <c r="BI14" s="852"/>
      <c r="BJ14" s="852"/>
      <c r="BK14" s="852"/>
      <c r="BL14" s="852"/>
      <c r="BM14" s="852"/>
      <c r="BN14" s="852"/>
      <c r="BO14" s="852"/>
      <c r="BP14" s="852"/>
      <c r="BQ14" s="852"/>
      <c r="BR14" s="852"/>
      <c r="BS14" s="852"/>
      <c r="BT14" s="852"/>
      <c r="BU14" s="852"/>
      <c r="BV14" s="852"/>
      <c r="BW14" s="852"/>
      <c r="BX14" s="852"/>
    </row>
    <row r="15" spans="1:80" ht="18.75" hidden="1" x14ac:dyDescent="0.3">
      <c r="A15" s="1440" t="s">
        <v>186</v>
      </c>
      <c r="B15" s="1441" t="s">
        <v>87</v>
      </c>
      <c r="C15" s="1442">
        <v>456</v>
      </c>
      <c r="D15" s="1443">
        <v>12405</v>
      </c>
      <c r="E15" s="1444">
        <v>67882.600000000006</v>
      </c>
      <c r="F15" s="1445">
        <v>444</v>
      </c>
      <c r="G15" s="1446">
        <v>12620</v>
      </c>
      <c r="H15" s="1447">
        <f>F15*G15*12/1000</f>
        <v>67239.360000000001</v>
      </c>
      <c r="I15" s="1448">
        <v>435</v>
      </c>
      <c r="J15" s="1443">
        <v>13646</v>
      </c>
      <c r="K15" s="1419">
        <f>J15/G15</f>
        <v>1.0812995245641839</v>
      </c>
      <c r="L15" s="1449">
        <v>71232.100000000006</v>
      </c>
      <c r="M15" s="1448">
        <v>26</v>
      </c>
      <c r="N15" s="1443">
        <f>O15/M15/12*1000</f>
        <v>18108.974358974363</v>
      </c>
      <c r="O15" s="1444">
        <v>5650</v>
      </c>
      <c r="P15" s="1450">
        <v>26</v>
      </c>
      <c r="Q15" s="1443">
        <f>R15/P15/12*1000</f>
        <v>19295.833333333336</v>
      </c>
      <c r="R15" s="1451">
        <v>6020.3</v>
      </c>
      <c r="S15" s="1452">
        <v>30</v>
      </c>
      <c r="T15" s="1453">
        <f>U15/S15/12*1000</f>
        <v>18746.388888888887</v>
      </c>
      <c r="U15" s="1454">
        <v>6748.7</v>
      </c>
      <c r="V15" s="1455">
        <v>27</v>
      </c>
      <c r="W15" s="1453">
        <f>X15/V15/9*1000</f>
        <v>17960.905349794237</v>
      </c>
      <c r="X15" s="1457">
        <v>4364.5</v>
      </c>
      <c r="Y15" s="1458">
        <v>26</v>
      </c>
      <c r="Z15" s="1456">
        <f>AA15/12/Y15*1000</f>
        <v>19381.410256410254</v>
      </c>
      <c r="AA15" s="1459">
        <v>6047</v>
      </c>
      <c r="AB15" s="1458">
        <v>30</v>
      </c>
      <c r="AC15" s="1456">
        <v>23903</v>
      </c>
      <c r="AD15" s="1460">
        <f t="shared" si="0"/>
        <v>127.50722361343666</v>
      </c>
      <c r="AE15" s="1460">
        <f t="shared" si="1"/>
        <v>123.32951876963784</v>
      </c>
      <c r="AF15" s="1459">
        <f>AB15*AC15*12/1000</f>
        <v>8605.08</v>
      </c>
      <c r="AG15" s="1458"/>
      <c r="AH15" s="1456"/>
      <c r="AI15" s="1461"/>
      <c r="AJ15" s="1462"/>
      <c r="AK15" s="1463"/>
      <c r="AL15" s="1458">
        <v>30</v>
      </c>
      <c r="AM15" s="1464">
        <f>T15*1.071</f>
        <v>20077.382499999996</v>
      </c>
      <c r="AN15" s="1436">
        <f>AM15/T15*100</f>
        <v>107.1</v>
      </c>
      <c r="AO15" s="1465">
        <f t="shared" si="2"/>
        <v>103.5909267405325</v>
      </c>
      <c r="AP15" s="1459">
        <f>AL15*AM15*12/1000</f>
        <v>7227.8576999999987</v>
      </c>
      <c r="AQ15" s="1466"/>
      <c r="AR15" s="1466"/>
      <c r="AS15" s="1466"/>
      <c r="AT15" s="1466"/>
      <c r="AU15" s="1458">
        <v>26</v>
      </c>
      <c r="AV15" s="1456">
        <f>AW15/9/AU15*1000</f>
        <v>22458.119658119656</v>
      </c>
      <c r="AW15" s="1459">
        <v>5255.2</v>
      </c>
      <c r="AX15" s="1458">
        <v>26</v>
      </c>
      <c r="AY15" s="1456">
        <f>AZ15/3/AX15*1000</f>
        <v>23894.871794871793</v>
      </c>
      <c r="AZ15" s="1459">
        <v>1863.8</v>
      </c>
      <c r="BA15" s="1458">
        <v>26</v>
      </c>
      <c r="BB15" s="1464">
        <f>BC15/12/BA15*1000</f>
        <v>22598.076923076926</v>
      </c>
      <c r="BC15" s="1467">
        <v>7050.6</v>
      </c>
      <c r="BD15" s="1439">
        <f>(M15+P15+Y15+BA15)/4</f>
        <v>26</v>
      </c>
      <c r="BE15" s="852"/>
      <c r="BF15" s="852"/>
      <c r="BG15" s="852"/>
      <c r="BH15" s="852"/>
      <c r="BI15" s="852"/>
      <c r="BJ15" s="852"/>
      <c r="BK15" s="852"/>
      <c r="BL15" s="852"/>
      <c r="BM15" s="852"/>
      <c r="BN15" s="852"/>
      <c r="BO15" s="852"/>
      <c r="BP15" s="852"/>
      <c r="BQ15" s="852"/>
      <c r="BR15" s="852"/>
      <c r="BS15" s="852"/>
      <c r="BT15" s="852"/>
      <c r="BU15" s="852"/>
      <c r="BV15" s="852"/>
      <c r="BW15" s="852"/>
      <c r="BX15" s="852"/>
    </row>
    <row r="16" spans="1:80" ht="18.75" hidden="1" x14ac:dyDescent="0.3">
      <c r="A16" s="1440" t="s">
        <v>187</v>
      </c>
      <c r="B16" s="1441" t="s">
        <v>88</v>
      </c>
      <c r="C16" s="1442">
        <v>384</v>
      </c>
      <c r="D16" s="1443">
        <v>11838</v>
      </c>
      <c r="E16" s="1444">
        <v>54547.199999999997</v>
      </c>
      <c r="F16" s="1445">
        <v>369</v>
      </c>
      <c r="G16" s="1446">
        <v>12231</v>
      </c>
      <c r="H16" s="1447">
        <f>F16*G16*12/1000</f>
        <v>54158.868000000002</v>
      </c>
      <c r="I16" s="1448">
        <v>364</v>
      </c>
      <c r="J16" s="1443">
        <v>13021</v>
      </c>
      <c r="K16" s="1419">
        <f>J16/G16</f>
        <v>1.0645899762897555</v>
      </c>
      <c r="L16" s="1449">
        <v>56876.800000000003</v>
      </c>
      <c r="M16" s="1448">
        <v>60</v>
      </c>
      <c r="N16" s="1443">
        <v>19277</v>
      </c>
      <c r="O16" s="1444">
        <f>M16*N16*12/1000</f>
        <v>13879.44</v>
      </c>
      <c r="P16" s="1450">
        <v>48</v>
      </c>
      <c r="Q16" s="1443">
        <v>22603</v>
      </c>
      <c r="R16" s="1451">
        <f>P16*Q16*12/1000</f>
        <v>13019.328</v>
      </c>
      <c r="S16" s="1452">
        <v>49</v>
      </c>
      <c r="T16" s="1344">
        <v>24500</v>
      </c>
      <c r="U16" s="1454">
        <f>S16*T16*12/1000</f>
        <v>14406</v>
      </c>
      <c r="V16" s="1455">
        <v>48</v>
      </c>
      <c r="W16" s="1453">
        <f>X16/V16/9*1000</f>
        <v>21462.037037037036</v>
      </c>
      <c r="X16" s="1457">
        <v>9271.6</v>
      </c>
      <c r="Y16" s="1458">
        <v>48</v>
      </c>
      <c r="Z16" s="1456">
        <f>AA16/12/Y16*1000</f>
        <v>23137.326388888891</v>
      </c>
      <c r="AA16" s="1459">
        <v>13327.1</v>
      </c>
      <c r="AB16" s="1458">
        <v>49</v>
      </c>
      <c r="AC16" s="1456">
        <v>28797</v>
      </c>
      <c r="AD16" s="1460">
        <f t="shared" si="0"/>
        <v>117.53877551020409</v>
      </c>
      <c r="AE16" s="1460">
        <f t="shared" si="1"/>
        <v>124.46122562297874</v>
      </c>
      <c r="AF16" s="1459">
        <f>AB16*AC16*12/1000</f>
        <v>16932.635999999999</v>
      </c>
      <c r="AG16" s="1458"/>
      <c r="AH16" s="1456"/>
      <c r="AI16" s="1461"/>
      <c r="AJ16" s="1462"/>
      <c r="AK16" s="1463"/>
      <c r="AL16" s="1458">
        <v>49</v>
      </c>
      <c r="AM16" s="1464">
        <f>T16*1.071</f>
        <v>26239.5</v>
      </c>
      <c r="AN16" s="1436">
        <f>AM16/T16*100</f>
        <v>107.1</v>
      </c>
      <c r="AO16" s="1465">
        <f t="shared" si="2"/>
        <v>113.40765808015247</v>
      </c>
      <c r="AP16" s="1459">
        <f>AL16*AM16*12/1000</f>
        <v>15428.825999999999</v>
      </c>
      <c r="AQ16" s="1466"/>
      <c r="AR16" s="1466"/>
      <c r="AS16" s="1466"/>
      <c r="AT16" s="1466"/>
      <c r="AU16" s="1458">
        <v>49</v>
      </c>
      <c r="AV16" s="1456">
        <f>AW16/9/AU16*1000</f>
        <v>25834.24036281179</v>
      </c>
      <c r="AW16" s="1459">
        <v>11392.9</v>
      </c>
      <c r="AX16" s="1458">
        <v>49</v>
      </c>
      <c r="AY16" s="1456">
        <f>AZ16/3/AX16*1000</f>
        <v>28514.285714285717</v>
      </c>
      <c r="AZ16" s="1459">
        <v>4191.6000000000004</v>
      </c>
      <c r="BA16" s="1458">
        <v>49</v>
      </c>
      <c r="BB16" s="1464">
        <f>BC16/12/BA16*1000</f>
        <v>26018.707482993199</v>
      </c>
      <c r="BC16" s="1467">
        <v>15299</v>
      </c>
      <c r="BD16" s="1439">
        <f>(M16+P16+Y16+BA16)/4</f>
        <v>51.25</v>
      </c>
      <c r="BE16" s="852"/>
      <c r="BF16" s="852"/>
      <c r="BG16" s="852"/>
      <c r="BH16" s="852"/>
      <c r="BI16" s="852"/>
      <c r="BJ16" s="852"/>
      <c r="BK16" s="852"/>
      <c r="BL16" s="852"/>
      <c r="BM16" s="852"/>
      <c r="BN16" s="852"/>
      <c r="BO16" s="852"/>
      <c r="BP16" s="852"/>
      <c r="BQ16" s="852"/>
      <c r="BR16" s="852"/>
      <c r="BS16" s="852"/>
      <c r="BT16" s="852"/>
      <c r="BU16" s="852"/>
      <c r="BV16" s="852"/>
      <c r="BW16" s="852"/>
      <c r="BX16" s="852"/>
    </row>
    <row r="17" spans="1:80" ht="75" hidden="1" x14ac:dyDescent="0.3">
      <c r="A17" s="1440" t="s">
        <v>196</v>
      </c>
      <c r="B17" s="1475" t="s">
        <v>198</v>
      </c>
      <c r="C17" s="1442"/>
      <c r="D17" s="1443"/>
      <c r="E17" s="1444"/>
      <c r="F17" s="1445"/>
      <c r="G17" s="1446"/>
      <c r="H17" s="1447"/>
      <c r="I17" s="1448"/>
      <c r="J17" s="1443"/>
      <c r="K17" s="1419"/>
      <c r="L17" s="1449"/>
      <c r="M17" s="1448">
        <v>6</v>
      </c>
      <c r="N17" s="1413">
        <f>O17/M17/12*1000</f>
        <v>18130.555555555555</v>
      </c>
      <c r="O17" s="1444">
        <v>1305.4000000000001</v>
      </c>
      <c r="P17" s="1469">
        <v>6</v>
      </c>
      <c r="Q17" s="1470">
        <f>R17/P17/12*1000</f>
        <v>22363.888888888891</v>
      </c>
      <c r="R17" s="1451">
        <v>1610.2</v>
      </c>
      <c r="S17" s="1452">
        <v>7</v>
      </c>
      <c r="T17" s="1344">
        <v>22943</v>
      </c>
      <c r="U17" s="1454">
        <f>S17*T17*12/1000</f>
        <v>1927.212</v>
      </c>
      <c r="V17" s="1455">
        <v>7</v>
      </c>
      <c r="W17" s="1453">
        <f>X17/V17/9*1000</f>
        <v>18404.761904761905</v>
      </c>
      <c r="X17" s="1457">
        <v>1159.5</v>
      </c>
      <c r="Y17" s="1458">
        <v>5</v>
      </c>
      <c r="Z17" s="1456">
        <f>AA17/12/Y17*1000</f>
        <v>28281.666666666668</v>
      </c>
      <c r="AA17" s="1459">
        <v>1696.9</v>
      </c>
      <c r="AB17" s="1458">
        <v>7</v>
      </c>
      <c r="AC17" s="1456">
        <v>29211</v>
      </c>
      <c r="AD17" s="1460">
        <f t="shared" si="0"/>
        <v>127.31987970186984</v>
      </c>
      <c r="AE17" s="1460">
        <f t="shared" si="1"/>
        <v>103.2859921032471</v>
      </c>
      <c r="AF17" s="1459">
        <f>AB17*AC17*12/1000</f>
        <v>2453.7240000000002</v>
      </c>
      <c r="AG17" s="1458"/>
      <c r="AH17" s="1456"/>
      <c r="AI17" s="1461"/>
      <c r="AJ17" s="1462"/>
      <c r="AK17" s="1463"/>
      <c r="AL17" s="1458">
        <v>7</v>
      </c>
      <c r="AM17" s="1464">
        <f>T17*1.071</f>
        <v>24571.952999999998</v>
      </c>
      <c r="AN17" s="1436">
        <f>AM17/T17*100</f>
        <v>107.1</v>
      </c>
      <c r="AO17" s="1465">
        <f t="shared" si="2"/>
        <v>86.882973657846648</v>
      </c>
      <c r="AP17" s="1459">
        <f>AL17*AM17*12/1000</f>
        <v>2064.0440519999997</v>
      </c>
      <c r="AQ17" s="1466"/>
      <c r="AR17" s="1466"/>
      <c r="AS17" s="1466"/>
      <c r="AT17" s="1466"/>
      <c r="AU17" s="1458">
        <v>6</v>
      </c>
      <c r="AV17" s="1456">
        <f>AW17/9/AU17*1000</f>
        <v>23866.666666666664</v>
      </c>
      <c r="AW17" s="1459">
        <v>1288.8</v>
      </c>
      <c r="AX17" s="1458">
        <v>6</v>
      </c>
      <c r="AY17" s="1456">
        <f>AZ17/3/AX17*1000</f>
        <v>29477.777777777777</v>
      </c>
      <c r="AZ17" s="1459">
        <v>530.6</v>
      </c>
      <c r="BA17" s="1458">
        <v>6</v>
      </c>
      <c r="BB17" s="1464">
        <f>BC17/12/BA17*1000</f>
        <v>24416.666666666668</v>
      </c>
      <c r="BC17" s="1467">
        <v>1758</v>
      </c>
      <c r="BD17" s="1439">
        <f>(M17+P17+Y17+BA17)/4</f>
        <v>5.75</v>
      </c>
      <c r="BE17" s="852"/>
      <c r="BF17" s="852"/>
      <c r="BG17" s="852"/>
      <c r="BH17" s="852"/>
      <c r="BI17" s="852"/>
      <c r="BJ17" s="852"/>
      <c r="BK17" s="852"/>
      <c r="BL17" s="852"/>
      <c r="BM17" s="852"/>
      <c r="BN17" s="852"/>
      <c r="BO17" s="852"/>
      <c r="BP17" s="852"/>
      <c r="BQ17" s="852"/>
      <c r="BR17" s="852"/>
      <c r="BS17" s="852"/>
      <c r="BT17" s="852"/>
      <c r="BU17" s="852"/>
      <c r="BV17" s="852"/>
      <c r="BW17" s="852"/>
      <c r="BX17" s="852"/>
    </row>
    <row r="18" spans="1:80" ht="19.5" hidden="1" thickBot="1" x14ac:dyDescent="0.35">
      <c r="A18" s="498" t="s">
        <v>197</v>
      </c>
      <c r="B18" s="378" t="s">
        <v>85</v>
      </c>
      <c r="C18" s="1476"/>
      <c r="D18" s="1477"/>
      <c r="E18" s="499"/>
      <c r="F18" s="500"/>
      <c r="G18" s="1478"/>
      <c r="H18" s="1479"/>
      <c r="I18" s="501"/>
      <c r="J18" s="1477"/>
      <c r="K18" s="1480"/>
      <c r="L18" s="1481"/>
      <c r="M18" s="501">
        <v>17</v>
      </c>
      <c r="N18" s="1477">
        <v>14540</v>
      </c>
      <c r="O18" s="499">
        <f>M18*N18*12/1000</f>
        <v>2966.16</v>
      </c>
      <c r="P18" s="1482">
        <v>15</v>
      </c>
      <c r="Q18" s="1483">
        <v>23628</v>
      </c>
      <c r="R18" s="1484">
        <f>P18*Q18*12/1000</f>
        <v>4253.04</v>
      </c>
      <c r="S18" s="1380">
        <v>19</v>
      </c>
      <c r="T18" s="1485">
        <v>21140</v>
      </c>
      <c r="U18" s="503">
        <f>S18*T18*12/1000</f>
        <v>4819.92</v>
      </c>
      <c r="V18" s="1486">
        <v>16</v>
      </c>
      <c r="W18" s="1487">
        <f>X18/V18/9*1000</f>
        <v>21378.472222222223</v>
      </c>
      <c r="X18" s="1488">
        <v>3078.5</v>
      </c>
      <c r="Y18" s="1375">
        <v>15</v>
      </c>
      <c r="Z18" s="1487">
        <f>AA18/12/Y18*1000</f>
        <v>25319.444444444445</v>
      </c>
      <c r="AA18" s="506">
        <v>4557.5</v>
      </c>
      <c r="AB18" s="1375">
        <v>19</v>
      </c>
      <c r="AC18" s="1487">
        <v>28868</v>
      </c>
      <c r="AD18" s="1489">
        <f t="shared" si="0"/>
        <v>136.55629139072846</v>
      </c>
      <c r="AE18" s="1489">
        <f t="shared" si="1"/>
        <v>114.01513987931979</v>
      </c>
      <c r="AF18" s="506">
        <f>AB18*AC18*12/1000</f>
        <v>6581.9040000000005</v>
      </c>
      <c r="AG18" s="1458"/>
      <c r="AH18" s="1456"/>
      <c r="AI18" s="1461"/>
      <c r="AJ18" s="1462"/>
      <c r="AK18" s="1463"/>
      <c r="AL18" s="1375">
        <v>19</v>
      </c>
      <c r="AM18" s="1490">
        <f>T18*1.071</f>
        <v>22640.94</v>
      </c>
      <c r="AN18" s="1491">
        <f>AM18/T18*100</f>
        <v>107.1</v>
      </c>
      <c r="AO18" s="1492">
        <f t="shared" si="2"/>
        <v>89.421156335710364</v>
      </c>
      <c r="AP18" s="506">
        <f>AL18*AM18*12/1000</f>
        <v>5162.1343200000001</v>
      </c>
      <c r="AQ18" s="845"/>
      <c r="AR18" s="845"/>
      <c r="AS18" s="845"/>
      <c r="AT18" s="845"/>
      <c r="AU18" s="1375">
        <v>17</v>
      </c>
      <c r="AV18" s="1487">
        <f>AW18/9/AU18*1000</f>
        <v>24713.071895424837</v>
      </c>
      <c r="AW18" s="506">
        <v>3781.1</v>
      </c>
      <c r="AX18" s="1375">
        <v>17</v>
      </c>
      <c r="AY18" s="1487">
        <f>AZ18/3/AX18*1000</f>
        <v>28013.725490196081</v>
      </c>
      <c r="AZ18" s="506">
        <v>1428.7</v>
      </c>
      <c r="BA18" s="1375">
        <v>17</v>
      </c>
      <c r="BB18" s="1490">
        <f>BC18/12/BA18*1000</f>
        <v>24494.117647058825</v>
      </c>
      <c r="BC18" s="1493">
        <v>4996.8</v>
      </c>
      <c r="BD18" s="1439">
        <f>(M18+P18+Y18+BA18)/4</f>
        <v>16</v>
      </c>
      <c r="BE18" s="852"/>
      <c r="BF18" s="852"/>
      <c r="BG18" s="852"/>
      <c r="BH18" s="852"/>
      <c r="BI18" s="852"/>
      <c r="BJ18" s="852"/>
      <c r="BK18" s="852"/>
      <c r="BL18" s="852"/>
      <c r="BM18" s="852"/>
      <c r="BN18" s="852"/>
      <c r="BO18" s="852"/>
      <c r="BP18" s="852"/>
      <c r="BQ18" s="852"/>
      <c r="BR18" s="852"/>
      <c r="BS18" s="852"/>
      <c r="BT18" s="852"/>
      <c r="BU18" s="852"/>
      <c r="BV18" s="852"/>
      <c r="BW18" s="852"/>
      <c r="BX18" s="852"/>
    </row>
    <row r="19" spans="1:80" ht="18.75" thickBot="1" x14ac:dyDescent="0.3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361"/>
      <c r="AB19" s="361"/>
      <c r="AC19" s="361"/>
      <c r="AD19" s="361"/>
      <c r="AE19" s="361"/>
      <c r="AF19" s="361"/>
      <c r="AG19" s="361"/>
      <c r="AH19" s="361"/>
      <c r="AI19" s="361"/>
      <c r="AJ19" s="361"/>
      <c r="AK19" s="361"/>
      <c r="AL19" s="361"/>
      <c r="AM19" s="361"/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61"/>
      <c r="BB19" s="361"/>
      <c r="BC19" s="361"/>
      <c r="BD19" s="361"/>
      <c r="BE19" s="361"/>
      <c r="BF19" s="361"/>
      <c r="BG19" s="361"/>
      <c r="BH19" s="361"/>
      <c r="BI19" s="361"/>
      <c r="BJ19" s="361"/>
      <c r="BK19" s="361"/>
      <c r="BL19" s="361"/>
      <c r="BM19" s="361"/>
      <c r="BN19" s="361"/>
      <c r="BO19" s="361"/>
      <c r="BP19" s="361"/>
      <c r="BQ19" s="361"/>
      <c r="BR19" s="361"/>
      <c r="BS19" s="361"/>
      <c r="BT19" s="361"/>
      <c r="BU19" s="361"/>
      <c r="BV19" s="361"/>
      <c r="BW19" s="361"/>
      <c r="BX19" s="361"/>
    </row>
    <row r="20" spans="1:80" ht="27" thickBot="1" x14ac:dyDescent="0.45">
      <c r="A20" s="6157" t="s">
        <v>165</v>
      </c>
      <c r="B20" s="5946" t="s">
        <v>166</v>
      </c>
      <c r="C20" s="846"/>
      <c r="D20" s="846"/>
      <c r="E20" s="846"/>
      <c r="F20" s="846"/>
      <c r="G20" s="846"/>
      <c r="H20" s="846"/>
      <c r="I20" s="846"/>
      <c r="J20" s="846"/>
      <c r="K20" s="846"/>
      <c r="L20" s="846"/>
      <c r="M20" s="6119" t="s">
        <v>227</v>
      </c>
      <c r="N20" s="6119"/>
      <c r="O20" s="6119"/>
      <c r="P20" s="6119"/>
      <c r="Q20" s="6119"/>
      <c r="R20" s="6119"/>
      <c r="S20" s="6119"/>
      <c r="T20" s="6119"/>
      <c r="U20" s="6119"/>
      <c r="V20" s="6119"/>
      <c r="W20" s="6119"/>
      <c r="X20" s="6119"/>
      <c r="Y20" s="6119"/>
      <c r="Z20" s="6119"/>
      <c r="AA20" s="6119"/>
      <c r="AB20" s="6119"/>
      <c r="AC20" s="6119"/>
      <c r="AD20" s="6119"/>
      <c r="AE20" s="6119"/>
      <c r="AF20" s="6119"/>
      <c r="AG20" s="6119"/>
      <c r="AH20" s="6119"/>
      <c r="AI20" s="6119"/>
      <c r="AJ20" s="6119"/>
      <c r="AK20" s="6119"/>
      <c r="AL20" s="6119"/>
      <c r="AM20" s="6119"/>
      <c r="AN20" s="6119"/>
      <c r="AO20" s="6119"/>
      <c r="AP20" s="6119"/>
      <c r="AQ20" s="6119"/>
      <c r="AR20" s="6119"/>
      <c r="AS20" s="6119"/>
      <c r="AT20" s="6119"/>
      <c r="AU20" s="6118" t="s">
        <v>362</v>
      </c>
      <c r="AV20" s="6119"/>
      <c r="AW20" s="6119"/>
      <c r="AX20" s="6119"/>
      <c r="AY20" s="6119"/>
      <c r="AZ20" s="6119"/>
      <c r="BA20" s="6119"/>
      <c r="BB20" s="6119"/>
      <c r="BC20" s="6119"/>
      <c r="BD20" s="6119"/>
      <c r="BE20" s="6119"/>
      <c r="BF20" s="6119"/>
      <c r="BG20" s="6119"/>
      <c r="BH20" s="6119"/>
      <c r="BI20" s="6119"/>
      <c r="BJ20" s="6119"/>
      <c r="BK20" s="6119"/>
      <c r="BL20" s="6119"/>
      <c r="BM20" s="6119"/>
      <c r="BN20" s="6119"/>
      <c r="BO20" s="6120"/>
      <c r="BP20" s="6118" t="s">
        <v>815</v>
      </c>
      <c r="BQ20" s="6119"/>
      <c r="BR20" s="6119"/>
      <c r="BS20" s="6119"/>
      <c r="BT20" s="6119"/>
      <c r="BU20" s="6119"/>
      <c r="BV20" s="6119"/>
      <c r="BW20" s="6119"/>
      <c r="BX20" s="6120"/>
      <c r="BY20" s="6121" t="s">
        <v>235</v>
      </c>
      <c r="BZ20" s="4909"/>
      <c r="CA20" s="4909"/>
      <c r="CB20" s="6122"/>
    </row>
    <row r="21" spans="1:80" ht="12.75" customHeight="1" x14ac:dyDescent="0.2">
      <c r="A21" s="6158"/>
      <c r="B21" s="6159"/>
      <c r="C21" s="5929" t="s">
        <v>167</v>
      </c>
      <c r="D21" s="5929"/>
      <c r="E21" s="5930"/>
      <c r="F21" s="5928" t="s">
        <v>168</v>
      </c>
      <c r="G21" s="5929"/>
      <c r="H21" s="5929"/>
      <c r="I21" s="5955" t="s">
        <v>169</v>
      </c>
      <c r="J21" s="5955"/>
      <c r="K21" s="5955"/>
      <c r="L21" s="5016"/>
      <c r="M21" s="6128" t="s">
        <v>225</v>
      </c>
      <c r="N21" s="6129"/>
      <c r="O21" s="6129"/>
      <c r="P21" s="6129"/>
      <c r="Q21" s="6130"/>
      <c r="R21" s="6148"/>
      <c r="S21" s="6135" t="s">
        <v>226</v>
      </c>
      <c r="T21" s="6136"/>
      <c r="U21" s="6136"/>
      <c r="V21" s="6136"/>
      <c r="W21" s="6150"/>
      <c r="X21" s="6135" t="s">
        <v>413</v>
      </c>
      <c r="Y21" s="6136"/>
      <c r="Z21" s="6136"/>
      <c r="AA21" s="6136"/>
      <c r="AB21" s="6137"/>
      <c r="AC21" s="520"/>
      <c r="AD21" s="520"/>
      <c r="AE21" s="520"/>
      <c r="AF21" s="520"/>
      <c r="AG21" s="520"/>
      <c r="AH21" s="520"/>
      <c r="AI21" s="520"/>
      <c r="AJ21" s="520"/>
      <c r="AK21" s="520"/>
      <c r="AL21" s="6135" t="s">
        <v>414</v>
      </c>
      <c r="AM21" s="6136"/>
      <c r="AN21" s="6136"/>
      <c r="AO21" s="6136"/>
      <c r="AP21" s="6137"/>
      <c r="AQ21" s="6128" t="s">
        <v>814</v>
      </c>
      <c r="AR21" s="6152"/>
      <c r="AS21" s="6152"/>
      <c r="AT21" s="6153"/>
      <c r="AU21" s="6135" t="s">
        <v>365</v>
      </c>
      <c r="AV21" s="6136"/>
      <c r="AW21" s="6136"/>
      <c r="AX21" s="6136"/>
      <c r="AY21" s="6137"/>
      <c r="AZ21" s="6135" t="s">
        <v>369</v>
      </c>
      <c r="BA21" s="6136"/>
      <c r="BB21" s="6136"/>
      <c r="BC21" s="6136"/>
      <c r="BD21" s="6137"/>
      <c r="BE21" s="6135" t="s">
        <v>841</v>
      </c>
      <c r="BF21" s="6136"/>
      <c r="BG21" s="6136"/>
      <c r="BH21" s="6136"/>
      <c r="BI21" s="6135" t="s">
        <v>840</v>
      </c>
      <c r="BJ21" s="6136"/>
      <c r="BK21" s="6136"/>
      <c r="BL21" s="6136"/>
      <c r="BM21" s="6141" t="s">
        <v>1509</v>
      </c>
      <c r="BN21" s="6129"/>
      <c r="BO21" s="6130"/>
      <c r="BP21" s="6143" t="s">
        <v>842</v>
      </c>
      <c r="BQ21" s="6144"/>
      <c r="BR21" s="6144"/>
      <c r="BS21" s="6144"/>
      <c r="BT21" s="6145" t="s">
        <v>843</v>
      </c>
      <c r="BU21" s="6146"/>
      <c r="BV21" s="6146"/>
      <c r="BW21" s="6146"/>
      <c r="BX21" s="6147"/>
      <c r="BY21" s="6123"/>
      <c r="BZ21" s="6124"/>
      <c r="CA21" s="6124"/>
      <c r="CB21" s="6125"/>
    </row>
    <row r="22" spans="1:80" ht="18.75" customHeight="1" x14ac:dyDescent="0.2">
      <c r="A22" s="6158"/>
      <c r="B22" s="6159"/>
      <c r="C22" s="5932"/>
      <c r="D22" s="5932"/>
      <c r="E22" s="5933"/>
      <c r="F22" s="5931"/>
      <c r="G22" s="5932"/>
      <c r="H22" s="5932"/>
      <c r="I22" s="1378"/>
      <c r="J22" s="1378"/>
      <c r="K22" s="1378"/>
      <c r="L22" s="1378"/>
      <c r="M22" s="6131"/>
      <c r="N22" s="6132"/>
      <c r="O22" s="6132"/>
      <c r="P22" s="6132"/>
      <c r="Q22" s="6133"/>
      <c r="R22" s="6149"/>
      <c r="S22" s="6138"/>
      <c r="T22" s="6139"/>
      <c r="U22" s="6139"/>
      <c r="V22" s="6139"/>
      <c r="W22" s="6151"/>
      <c r="X22" s="6138"/>
      <c r="Y22" s="6139"/>
      <c r="Z22" s="6139"/>
      <c r="AA22" s="6139"/>
      <c r="AB22" s="6140"/>
      <c r="AC22" s="513"/>
      <c r="AD22" s="513"/>
      <c r="AE22" s="513"/>
      <c r="AF22" s="513"/>
      <c r="AG22" s="513"/>
      <c r="AH22" s="513"/>
      <c r="AI22" s="513"/>
      <c r="AJ22" s="513"/>
      <c r="AK22" s="513"/>
      <c r="AL22" s="6138"/>
      <c r="AM22" s="6139"/>
      <c r="AN22" s="6139"/>
      <c r="AO22" s="6139"/>
      <c r="AP22" s="6140"/>
      <c r="AQ22" s="6154"/>
      <c r="AR22" s="6155"/>
      <c r="AS22" s="6155"/>
      <c r="AT22" s="6156"/>
      <c r="AU22" s="6138"/>
      <c r="AV22" s="6139"/>
      <c r="AW22" s="6139"/>
      <c r="AX22" s="6139"/>
      <c r="AY22" s="6140"/>
      <c r="AZ22" s="6138"/>
      <c r="BA22" s="6139"/>
      <c r="BB22" s="6139"/>
      <c r="BC22" s="6139"/>
      <c r="BD22" s="6140"/>
      <c r="BE22" s="6138"/>
      <c r="BF22" s="6139"/>
      <c r="BG22" s="6139"/>
      <c r="BH22" s="6139"/>
      <c r="BI22" s="6138"/>
      <c r="BJ22" s="6139"/>
      <c r="BK22" s="6139"/>
      <c r="BL22" s="6139"/>
      <c r="BM22" s="6142"/>
      <c r="BN22" s="6132"/>
      <c r="BO22" s="6133"/>
      <c r="BP22" s="6138"/>
      <c r="BQ22" s="6139"/>
      <c r="BR22" s="6139"/>
      <c r="BS22" s="6139"/>
      <c r="BT22" s="6145"/>
      <c r="BU22" s="6146"/>
      <c r="BV22" s="6146"/>
      <c r="BW22" s="6146"/>
      <c r="BX22" s="6147"/>
      <c r="BY22" s="6123"/>
      <c r="BZ22" s="6124"/>
      <c r="CA22" s="6124"/>
      <c r="CB22" s="6125"/>
    </row>
    <row r="23" spans="1:80" ht="150.75" thickBot="1" x14ac:dyDescent="0.25">
      <c r="A23" s="6158"/>
      <c r="B23" s="6159"/>
      <c r="C23" s="1377" t="s">
        <v>172</v>
      </c>
      <c r="D23" s="1494" t="s">
        <v>175</v>
      </c>
      <c r="E23" s="512" t="s">
        <v>176</v>
      </c>
      <c r="F23" s="1377" t="s">
        <v>172</v>
      </c>
      <c r="G23" s="1494" t="s">
        <v>175</v>
      </c>
      <c r="H23" s="1495" t="s">
        <v>176</v>
      </c>
      <c r="I23" s="1377" t="s">
        <v>172</v>
      </c>
      <c r="J23" s="1494" t="s">
        <v>175</v>
      </c>
      <c r="K23" s="1494" t="s">
        <v>177</v>
      </c>
      <c r="L23" s="1495" t="s">
        <v>176</v>
      </c>
      <c r="M23" s="1496" t="s">
        <v>172</v>
      </c>
      <c r="N23" s="1497" t="s">
        <v>175</v>
      </c>
      <c r="O23" s="1497" t="s">
        <v>176</v>
      </c>
      <c r="P23" s="1497" t="s">
        <v>243</v>
      </c>
      <c r="Q23" s="1498" t="s">
        <v>244</v>
      </c>
      <c r="R23" s="6149"/>
      <c r="S23" s="1496" t="s">
        <v>172</v>
      </c>
      <c r="T23" s="1497" t="s">
        <v>175</v>
      </c>
      <c r="U23" s="1497" t="s">
        <v>176</v>
      </c>
      <c r="V23" s="1497" t="s">
        <v>243</v>
      </c>
      <c r="W23" s="1499" t="s">
        <v>244</v>
      </c>
      <c r="X23" s="1496" t="s">
        <v>172</v>
      </c>
      <c r="Y23" s="1497" t="s">
        <v>175</v>
      </c>
      <c r="Z23" s="1497" t="s">
        <v>176</v>
      </c>
      <c r="AA23" s="1497" t="s">
        <v>243</v>
      </c>
      <c r="AB23" s="1498" t="s">
        <v>244</v>
      </c>
      <c r="AC23" s="513"/>
      <c r="AD23" s="513"/>
      <c r="AE23" s="513"/>
      <c r="AF23" s="513"/>
      <c r="AG23" s="513"/>
      <c r="AH23" s="513"/>
      <c r="AI23" s="513"/>
      <c r="AJ23" s="513"/>
      <c r="AK23" s="513"/>
      <c r="AL23" s="1496" t="s">
        <v>172</v>
      </c>
      <c r="AM23" s="1497" t="s">
        <v>175</v>
      </c>
      <c r="AN23" s="1497" t="s">
        <v>176</v>
      </c>
      <c r="AO23" s="1497" t="s">
        <v>243</v>
      </c>
      <c r="AP23" s="1500"/>
      <c r="AQ23" s="1496" t="s">
        <v>172</v>
      </c>
      <c r="AR23" s="1497" t="s">
        <v>175</v>
      </c>
      <c r="AS23" s="1497" t="s">
        <v>176</v>
      </c>
      <c r="AT23" s="1497" t="s">
        <v>243</v>
      </c>
      <c r="AU23" s="1496" t="s">
        <v>172</v>
      </c>
      <c r="AV23" s="1497" t="s">
        <v>175</v>
      </c>
      <c r="AW23" s="1497" t="s">
        <v>176</v>
      </c>
      <c r="AX23" s="1497" t="s">
        <v>243</v>
      </c>
      <c r="AY23" s="1498" t="s">
        <v>433</v>
      </c>
      <c r="AZ23" s="1496" t="s">
        <v>172</v>
      </c>
      <c r="BA23" s="1497" t="s">
        <v>175</v>
      </c>
      <c r="BB23" s="1497" t="s">
        <v>176</v>
      </c>
      <c r="BC23" s="1497" t="s">
        <v>243</v>
      </c>
      <c r="BD23" s="1500"/>
      <c r="BE23" s="1496" t="s">
        <v>172</v>
      </c>
      <c r="BF23" s="1497" t="s">
        <v>175</v>
      </c>
      <c r="BG23" s="1497" t="s">
        <v>176</v>
      </c>
      <c r="BH23" s="1497" t="s">
        <v>243</v>
      </c>
      <c r="BI23" s="1496" t="s">
        <v>172</v>
      </c>
      <c r="BJ23" s="1497" t="s">
        <v>175</v>
      </c>
      <c r="BK23" s="1497" t="s">
        <v>176</v>
      </c>
      <c r="BL23" s="1497" t="s">
        <v>243</v>
      </c>
      <c r="BM23" s="1496" t="s">
        <v>172</v>
      </c>
      <c r="BN23" s="1497" t="s">
        <v>175</v>
      </c>
      <c r="BO23" s="1497" t="s">
        <v>176</v>
      </c>
      <c r="BP23" s="1496" t="s">
        <v>172</v>
      </c>
      <c r="BQ23" s="1497" t="s">
        <v>175</v>
      </c>
      <c r="BR23" s="1497" t="s">
        <v>176</v>
      </c>
      <c r="BS23" s="1497" t="s">
        <v>243</v>
      </c>
      <c r="BT23" s="1496" t="s">
        <v>172</v>
      </c>
      <c r="BU23" s="1497" t="s">
        <v>175</v>
      </c>
      <c r="BV23" s="1497" t="s">
        <v>176</v>
      </c>
      <c r="BW23" s="1497" t="s">
        <v>243</v>
      </c>
      <c r="BX23" s="1501" t="s">
        <v>1020</v>
      </c>
      <c r="BY23" s="6126"/>
      <c r="BZ23" s="5224"/>
      <c r="CA23" s="5224"/>
      <c r="CB23" s="6127"/>
    </row>
    <row r="24" spans="1:80" ht="72.75" customHeight="1" x14ac:dyDescent="0.2">
      <c r="A24" s="1502" t="s">
        <v>182</v>
      </c>
      <c r="B24" s="1503" t="s">
        <v>194</v>
      </c>
      <c r="C24" s="1504">
        <v>840</v>
      </c>
      <c r="D24" s="1505">
        <v>12146</v>
      </c>
      <c r="E24" s="1430">
        <v>122429.8</v>
      </c>
      <c r="F24" s="1506">
        <f>F25+F26</f>
        <v>813</v>
      </c>
      <c r="G24" s="1505">
        <f>(G25*F25+G26*F26)/(F25+F26)</f>
        <v>12443.442804428045</v>
      </c>
      <c r="H24" s="1438">
        <f>H26+H25</f>
        <v>121398.228</v>
      </c>
      <c r="I24" s="1507">
        <v>799</v>
      </c>
      <c r="J24" s="1505">
        <v>13361</v>
      </c>
      <c r="K24" s="1508">
        <f>J24/G24</f>
        <v>1.07373820975377</v>
      </c>
      <c r="L24" s="1438">
        <v>128108.9</v>
      </c>
      <c r="M24" s="1507">
        <f>M25+M26+M27+M28</f>
        <v>155</v>
      </c>
      <c r="N24" s="1505">
        <f t="shared" ref="N24:N33" si="3">O24/M24/12*1000</f>
        <v>25754.516129032254</v>
      </c>
      <c r="O24" s="1434">
        <f>O25+O26+O27+O28</f>
        <v>47903.399999999994</v>
      </c>
      <c r="P24" s="1509">
        <f>N24/AM8</f>
        <v>2.7583455187985857</v>
      </c>
      <c r="Q24" s="1500"/>
      <c r="R24" s="6149"/>
      <c r="S24" s="1510">
        <f>SUM(S25:S28)</f>
        <v>155</v>
      </c>
      <c r="T24" s="1511">
        <f>U24/S24/12*1000</f>
        <v>9859.8122849032261</v>
      </c>
      <c r="U24" s="1512">
        <f>SUM(U25:U28)</f>
        <v>18339.250849920001</v>
      </c>
      <c r="V24" s="1509">
        <f>T24/AM8</f>
        <v>1.056</v>
      </c>
      <c r="W24" s="1513"/>
      <c r="X24" s="1507">
        <f>X25+X26+X27+X28</f>
        <v>148.32999999999998</v>
      </c>
      <c r="Y24" s="1505">
        <f t="shared" ref="Y24:Y33" si="4">Z24/X24/6*1000</f>
        <v>21580.822040944742</v>
      </c>
      <c r="Z24" s="1434">
        <f>Z25+Z26+Z27+Z28</f>
        <v>19206.5</v>
      </c>
      <c r="AA24" s="1509">
        <f>Y24/BB8</f>
        <v>0.95562481208041816</v>
      </c>
      <c r="AB24" s="1500"/>
      <c r="AC24" s="513"/>
      <c r="AD24" s="513"/>
      <c r="AE24" s="513"/>
      <c r="AF24" s="513"/>
      <c r="AG24" s="513"/>
      <c r="AH24" s="513"/>
      <c r="AI24" s="513"/>
      <c r="AJ24" s="513"/>
      <c r="AK24" s="513"/>
      <c r="AL24" s="1507">
        <f>AL25+AL26+AL27+AL28</f>
        <v>148</v>
      </c>
      <c r="AM24" s="1505">
        <f t="shared" ref="AM24:AM33" si="5">AN24/AL24/9*1000</f>
        <v>22609.909909909911</v>
      </c>
      <c r="AN24" s="1434">
        <f>AN25+AN26+AN27+AN28</f>
        <v>30116.400000000001</v>
      </c>
      <c r="AO24" s="1509">
        <f>AM24/BB8</f>
        <v>1.0011940633132144</v>
      </c>
      <c r="AP24" s="1500"/>
      <c r="AQ24" s="1507">
        <f>AQ25+AQ26+AQ27+AQ28</f>
        <v>148</v>
      </c>
      <c r="AR24" s="1505">
        <f t="shared" ref="AR24:AR33" si="6">AS24/AQ24/12*1000</f>
        <v>22770.326576576579</v>
      </c>
      <c r="AS24" s="1434">
        <f>AS25+AS26+AS27+AS28</f>
        <v>40440.100000000006</v>
      </c>
      <c r="AT24" s="1509">
        <f>AR24/T24</f>
        <v>2.3094077167616249</v>
      </c>
      <c r="AU24" s="1507">
        <f>AU25+AU26+AU27+AU28</f>
        <v>155</v>
      </c>
      <c r="AV24" s="1505">
        <f t="shared" ref="AV24:AV33" si="7">AW24/AU24/12*1000</f>
        <v>23460.37634408602</v>
      </c>
      <c r="AW24" s="1434">
        <f>AW25+AW26+AW27+AW28</f>
        <v>43636.299999999996</v>
      </c>
      <c r="AX24" s="1509">
        <f>AV24/T24</f>
        <v>2.3793938125989671</v>
      </c>
      <c r="AY24" s="1514">
        <f>AV24/BB8</f>
        <v>1.0388537421149895</v>
      </c>
      <c r="AZ24" s="1510">
        <f>SUM(AZ25:AZ28)</f>
        <v>150</v>
      </c>
      <c r="BA24" s="1511">
        <f>BB24/AZ24/12*1000</f>
        <v>23530.113691896189</v>
      </c>
      <c r="BB24" s="1512">
        <f>SUM(BB25:BB28)</f>
        <v>42354.204645413141</v>
      </c>
      <c r="BC24" s="1509">
        <f t="shared" ref="BC24:BC33" si="8">BA24/T24</f>
        <v>2.3864667005805109</v>
      </c>
      <c r="BD24" s="1500"/>
      <c r="BE24" s="1507">
        <f>BE25+BE26+BE27+BE28</f>
        <v>144</v>
      </c>
      <c r="BF24" s="1505">
        <f t="shared" ref="BF24:BF33" si="9">BG24/BE24/6*1000</f>
        <v>22832.175925925923</v>
      </c>
      <c r="BG24" s="1434">
        <f>BG25+BG26+BG27+BG28</f>
        <v>19727</v>
      </c>
      <c r="BH24" s="1509">
        <f>BF24/AV24</f>
        <v>0.9732229181260148</v>
      </c>
      <c r="BI24" s="1507">
        <f>BI25+BI26+BI27+BI28</f>
        <v>148</v>
      </c>
      <c r="BJ24" s="1505">
        <f t="shared" ref="BJ24:BJ33" si="10">BK24/BI24/9*1000</f>
        <v>22988.888888888887</v>
      </c>
      <c r="BK24" s="1434">
        <f>BK25+BK26+BK27+BK28</f>
        <v>30621.199999999997</v>
      </c>
      <c r="BL24" s="1509">
        <f>BJ24/BA24</f>
        <v>0.9769986320468268</v>
      </c>
      <c r="BM24" s="1507">
        <f>(BI24+BE24)/2</f>
        <v>146</v>
      </c>
      <c r="BN24" s="1505">
        <f>BO24/BM24/3*1000</f>
        <v>24872.602739726019</v>
      </c>
      <c r="BO24" s="1434">
        <f>BK24-BG24</f>
        <v>10894.199999999997</v>
      </c>
      <c r="BP24" s="1507">
        <f>BP25+BP26+BP27+BP28</f>
        <v>155</v>
      </c>
      <c r="BQ24" s="1511">
        <f>BR24/BP24/12*1000</f>
        <v>25806.413978494627</v>
      </c>
      <c r="BR24" s="1512">
        <f>SUM(BR25:BR28)</f>
        <v>47999.930000000008</v>
      </c>
      <c r="BS24" s="1509">
        <f>BQ24/BA24</f>
        <v>1.0967398762455789</v>
      </c>
      <c r="BT24" s="1507">
        <f>BT25+BT26+BT27+BT28</f>
        <v>148</v>
      </c>
      <c r="BU24" s="1511">
        <f>BV24/BT24/12*1000</f>
        <v>26725.298409525822</v>
      </c>
      <c r="BV24" s="1512">
        <f>SUM(BV25:BV28)</f>
        <v>47464.129975317854</v>
      </c>
      <c r="BW24" s="1509">
        <f>BU24/BA24</f>
        <v>1.1357912995860304</v>
      </c>
      <c r="BX24" s="1291"/>
      <c r="BY24" s="6160" t="s">
        <v>556</v>
      </c>
      <c r="BZ24" s="6161"/>
      <c r="CA24" s="6161"/>
      <c r="CB24" s="6162"/>
    </row>
    <row r="25" spans="1:80" ht="37.5" customHeight="1" x14ac:dyDescent="0.2">
      <c r="A25" s="1515" t="s">
        <v>183</v>
      </c>
      <c r="B25" s="1516" t="s">
        <v>82</v>
      </c>
      <c r="C25" s="1517">
        <v>456</v>
      </c>
      <c r="D25" s="1518">
        <v>12405</v>
      </c>
      <c r="E25" s="1459">
        <v>67882.600000000006</v>
      </c>
      <c r="F25" s="1519">
        <v>444</v>
      </c>
      <c r="G25" s="1518">
        <v>12620</v>
      </c>
      <c r="H25" s="1467">
        <f>F25*G25*12/1000</f>
        <v>67239.360000000001</v>
      </c>
      <c r="I25" s="1520">
        <v>435</v>
      </c>
      <c r="J25" s="1518">
        <v>13646</v>
      </c>
      <c r="K25" s="1508">
        <f>J25/G25</f>
        <v>1.0812995245641839</v>
      </c>
      <c r="L25" s="1467">
        <v>71232.100000000006</v>
      </c>
      <c r="M25" s="1520">
        <v>26.5</v>
      </c>
      <c r="N25" s="1518">
        <f t="shared" si="3"/>
        <v>22554.402515723272</v>
      </c>
      <c r="O25" s="1462">
        <v>7172.3</v>
      </c>
      <c r="P25" s="1509">
        <f>N25/AM9</f>
        <v>14.036523573308315</v>
      </c>
      <c r="Q25" s="1500"/>
      <c r="R25" s="6149"/>
      <c r="S25" s="1521">
        <f>AL9</f>
        <v>26.5</v>
      </c>
      <c r="T25" s="1518">
        <f>AM9*1.056</f>
        <v>1696.8196528301887</v>
      </c>
      <c r="U25" s="1462">
        <f>S25*T25*12/1000</f>
        <v>539.58864960000005</v>
      </c>
      <c r="V25" s="1509">
        <f>T25/AM9</f>
        <v>1.056</v>
      </c>
      <c r="W25" s="1509">
        <f>T25/AY9</f>
        <v>7.1834571575877137E-2</v>
      </c>
      <c r="X25" s="1522">
        <v>23.5</v>
      </c>
      <c r="Y25" s="1518">
        <f t="shared" si="4"/>
        <v>20790.070921985814</v>
      </c>
      <c r="Z25" s="1462">
        <v>2931.4</v>
      </c>
      <c r="AA25" s="1509">
        <f>Y25/BB9</f>
        <v>0.98254215345308094</v>
      </c>
      <c r="AB25" s="1514" t="e">
        <f>Y25/#REF!</f>
        <v>#REF!</v>
      </c>
      <c r="AC25" s="513"/>
      <c r="AD25" s="513"/>
      <c r="AE25" s="513"/>
      <c r="AF25" s="513"/>
      <c r="AG25" s="513"/>
      <c r="AH25" s="513"/>
      <c r="AI25" s="513"/>
      <c r="AJ25" s="513"/>
      <c r="AK25" s="513"/>
      <c r="AL25" s="1520">
        <v>24</v>
      </c>
      <c r="AM25" s="1518">
        <f t="shared" si="5"/>
        <v>21343.981481481482</v>
      </c>
      <c r="AN25" s="1462">
        <v>4610.3</v>
      </c>
      <c r="AO25" s="1509">
        <f>AM25/BB9</f>
        <v>1.0087200571259218</v>
      </c>
      <c r="AP25" s="1500"/>
      <c r="AQ25" s="1520">
        <v>24</v>
      </c>
      <c r="AR25" s="1518">
        <f t="shared" si="6"/>
        <v>21852.430555555558</v>
      </c>
      <c r="AS25" s="1462">
        <v>6293.5</v>
      </c>
      <c r="AT25" s="1509">
        <f t="shared" ref="AT25:AT37" si="11">AR25/T25</f>
        <v>12.878463848003573</v>
      </c>
      <c r="AU25" s="1520">
        <v>26.5</v>
      </c>
      <c r="AV25" s="1518">
        <f t="shared" si="7"/>
        <v>21298.113207547172</v>
      </c>
      <c r="AW25" s="1462">
        <v>6772.8</v>
      </c>
      <c r="AX25" s="1509">
        <f t="shared" ref="AX25:AX33" si="12">AV25/T25</f>
        <v>12.551783668949883</v>
      </c>
      <c r="AY25" s="1514">
        <f>AV25/BB9</f>
        <v>1.0065523149948004</v>
      </c>
      <c r="AZ25" s="1523">
        <f>BA9</f>
        <v>22</v>
      </c>
      <c r="BA25" s="1518">
        <f>AV25</f>
        <v>21298.113207547172</v>
      </c>
      <c r="BB25" s="1462">
        <f>AZ25*BA25*12/1000</f>
        <v>5622.7018867924526</v>
      </c>
      <c r="BC25" s="1509">
        <f t="shared" si="8"/>
        <v>12.551783668949883</v>
      </c>
      <c r="BD25" s="1500"/>
      <c r="BE25" s="1520">
        <v>24</v>
      </c>
      <c r="BF25" s="1518">
        <f t="shared" si="9"/>
        <v>21190.972222222223</v>
      </c>
      <c r="BG25" s="1462">
        <v>3051.5</v>
      </c>
      <c r="BH25" s="1509">
        <f t="shared" ref="BH25:BH37" si="13">BF25/AV25</f>
        <v>0.99496946117804541</v>
      </c>
      <c r="BI25" s="1520">
        <v>24</v>
      </c>
      <c r="BJ25" s="1518">
        <f t="shared" si="10"/>
        <v>21644.444444444442</v>
      </c>
      <c r="BK25" s="1462">
        <v>4675.2</v>
      </c>
      <c r="BL25" s="1509">
        <f t="shared" ref="BL25:BL37" si="14">BJ25/BA25</f>
        <v>1.0162611229230645</v>
      </c>
      <c r="BM25" s="1507">
        <f t="shared" ref="BM25:BM33" si="15">(BI25+BE25)/2</f>
        <v>24</v>
      </c>
      <c r="BN25" s="1518">
        <f>BO25/BM25/3*1000</f>
        <v>22551.388888888883</v>
      </c>
      <c r="BO25" s="1434">
        <f t="shared" ref="BO25:BO33" si="16">BK25-BG25</f>
        <v>1623.6999999999998</v>
      </c>
      <c r="BP25" s="1520">
        <v>26.5</v>
      </c>
      <c r="BQ25" s="1518">
        <f>SUM(BA25*1.1)</f>
        <v>23427.92452830189</v>
      </c>
      <c r="BR25" s="1462">
        <f>BP25*BQ25*12/1000</f>
        <v>7450.0800000000017</v>
      </c>
      <c r="BS25" s="1509">
        <f t="shared" ref="BS25:BS37" si="17">BQ25/BA25</f>
        <v>1.1000000000000001</v>
      </c>
      <c r="BT25" s="1520">
        <f>AQ25</f>
        <v>24</v>
      </c>
      <c r="BU25" s="1518">
        <f>BN25*1.074</f>
        <v>24220.191666666662</v>
      </c>
      <c r="BV25" s="1462">
        <f>BT25*BU25*12/1000</f>
        <v>6975.4151999999985</v>
      </c>
      <c r="BW25" s="1509">
        <f t="shared" ref="BW25:BW37" si="18">BU25/BA25</f>
        <v>1.1371989354476726</v>
      </c>
      <c r="BX25" s="1292">
        <f>BU25/BJ25</f>
        <v>1.1190026950718686</v>
      </c>
      <c r="BY25" s="6163"/>
      <c r="BZ25" s="6164"/>
      <c r="CA25" s="6164"/>
      <c r="CB25" s="6165"/>
    </row>
    <row r="26" spans="1:80" ht="37.5" customHeight="1" x14ac:dyDescent="0.2">
      <c r="A26" s="1515" t="s">
        <v>184</v>
      </c>
      <c r="B26" s="1516" t="s">
        <v>83</v>
      </c>
      <c r="C26" s="1517">
        <v>384</v>
      </c>
      <c r="D26" s="1518">
        <v>11838</v>
      </c>
      <c r="E26" s="1459">
        <v>54547.199999999997</v>
      </c>
      <c r="F26" s="1519">
        <v>369</v>
      </c>
      <c r="G26" s="1518">
        <v>12231</v>
      </c>
      <c r="H26" s="1467">
        <f>F26*G26*12/1000</f>
        <v>54158.868000000002</v>
      </c>
      <c r="I26" s="1520">
        <v>364</v>
      </c>
      <c r="J26" s="1518">
        <v>13021</v>
      </c>
      <c r="K26" s="1508">
        <f>J26/G26</f>
        <v>1.0645899762897555</v>
      </c>
      <c r="L26" s="1467">
        <v>56876.800000000003</v>
      </c>
      <c r="M26" s="1522">
        <v>72.5</v>
      </c>
      <c r="N26" s="1518">
        <f t="shared" si="3"/>
        <v>24945.172413793101</v>
      </c>
      <c r="O26" s="1462">
        <v>21702.3</v>
      </c>
      <c r="P26" s="1509">
        <f>N26/AM10</f>
        <v>23.43152802286502</v>
      </c>
      <c r="Q26" s="1500"/>
      <c r="R26" s="6149"/>
      <c r="S26" s="1521">
        <f>AL10</f>
        <v>72.5</v>
      </c>
      <c r="T26" s="1518">
        <f>AM10*1.056</f>
        <v>1124.2161434482757</v>
      </c>
      <c r="U26" s="1462">
        <f>S26*T26*12/1000</f>
        <v>978.06804479999983</v>
      </c>
      <c r="V26" s="1509">
        <f>T26/AM10</f>
        <v>1.056</v>
      </c>
      <c r="W26" s="1509">
        <f>T26/AY10</f>
        <v>4.753370531747006E-2</v>
      </c>
      <c r="X26" s="1522">
        <v>73.5</v>
      </c>
      <c r="Y26" s="1518">
        <f t="shared" si="4"/>
        <v>19868.934240362814</v>
      </c>
      <c r="Z26" s="1462">
        <v>8762.2000000000007</v>
      </c>
      <c r="AA26" s="1509">
        <f>Y26/BB10</f>
        <v>0.9283594723885823</v>
      </c>
      <c r="AB26" s="1514" t="e">
        <f>Y26/#REF!</f>
        <v>#REF!</v>
      </c>
      <c r="AC26" s="513"/>
      <c r="AD26" s="513"/>
      <c r="AE26" s="513"/>
      <c r="AF26" s="513"/>
      <c r="AG26" s="513"/>
      <c r="AH26" s="513"/>
      <c r="AI26" s="513"/>
      <c r="AJ26" s="513"/>
      <c r="AK26" s="513"/>
      <c r="AL26" s="1522">
        <v>75</v>
      </c>
      <c r="AM26" s="1518">
        <f t="shared" si="5"/>
        <v>20413.185185185186</v>
      </c>
      <c r="AN26" s="1462">
        <v>13778.9</v>
      </c>
      <c r="AO26" s="1509">
        <f>AM26/BB10</f>
        <v>0.95378914636454581</v>
      </c>
      <c r="AP26" s="1500"/>
      <c r="AQ26" s="1522">
        <v>74</v>
      </c>
      <c r="AR26" s="1518">
        <f t="shared" si="6"/>
        <v>20925.33783783784</v>
      </c>
      <c r="AS26" s="1462">
        <v>18581.7</v>
      </c>
      <c r="AT26" s="1509">
        <f t="shared" si="11"/>
        <v>18.61326930749647</v>
      </c>
      <c r="AU26" s="1522">
        <v>72.5</v>
      </c>
      <c r="AV26" s="1518">
        <f t="shared" si="7"/>
        <v>21999.540229885057</v>
      </c>
      <c r="AW26" s="1462">
        <v>19139.599999999999</v>
      </c>
      <c r="AX26" s="1509">
        <f t="shared" si="12"/>
        <v>19.568781642297452</v>
      </c>
      <c r="AY26" s="1514">
        <f>AV26/BB10</f>
        <v>1.0279102700495193</v>
      </c>
      <c r="AZ26" s="1523">
        <f>BA10</f>
        <v>72</v>
      </c>
      <c r="BA26" s="1518">
        <f>AV26</f>
        <v>21999.540229885057</v>
      </c>
      <c r="BB26" s="1462">
        <f>AZ26*BA26*12/1000</f>
        <v>19007.602758620687</v>
      </c>
      <c r="BC26" s="1509">
        <f t="shared" si="8"/>
        <v>19.568781642297452</v>
      </c>
      <c r="BD26" s="1500"/>
      <c r="BE26" s="1522">
        <v>72</v>
      </c>
      <c r="BF26" s="1518">
        <f t="shared" si="9"/>
        <v>21250.231481481482</v>
      </c>
      <c r="BG26" s="1462">
        <v>9180.1</v>
      </c>
      <c r="BH26" s="1509">
        <f t="shared" si="13"/>
        <v>0.965939799624281</v>
      </c>
      <c r="BI26" s="1522">
        <v>74</v>
      </c>
      <c r="BJ26" s="1518">
        <f t="shared" si="10"/>
        <v>21538.138138138136</v>
      </c>
      <c r="BK26" s="1462">
        <v>14344.4</v>
      </c>
      <c r="BL26" s="1509">
        <f t="shared" si="14"/>
        <v>0.97902673933520967</v>
      </c>
      <c r="BM26" s="1507">
        <f t="shared" si="15"/>
        <v>73</v>
      </c>
      <c r="BN26" s="1518">
        <f t="shared" ref="BN26:BN33" si="19">BO26/BM26/3*1000</f>
        <v>23581.278538812781</v>
      </c>
      <c r="BO26" s="1434">
        <f t="shared" si="16"/>
        <v>5164.2999999999993</v>
      </c>
      <c r="BP26" s="1522">
        <v>72.5</v>
      </c>
      <c r="BQ26" s="1518">
        <f t="shared" ref="BQ26:BQ33" si="20">SUM(BA26*1.1)</f>
        <v>24199.494252873563</v>
      </c>
      <c r="BR26" s="1462">
        <f>BP26*BQ26*12/1000</f>
        <v>21053.56</v>
      </c>
      <c r="BS26" s="1509">
        <f t="shared" si="17"/>
        <v>1.1000000000000001</v>
      </c>
      <c r="BT26" s="1520">
        <f t="shared" ref="BT26:BT28" si="21">AQ26</f>
        <v>74</v>
      </c>
      <c r="BU26" s="1518">
        <f t="shared" ref="BU26:BU28" si="22">BN26*1.074</f>
        <v>25326.293150684927</v>
      </c>
      <c r="BV26" s="1462">
        <f>BT26*BU26*12/1000</f>
        <v>22489.748317808218</v>
      </c>
      <c r="BW26" s="1509">
        <f t="shared" si="18"/>
        <v>1.1512192021304462</v>
      </c>
      <c r="BX26" s="1292">
        <f t="shared" ref="BX26:BX37" si="23">BU26/BJ26</f>
        <v>1.1758812664423861</v>
      </c>
      <c r="BY26" s="6163"/>
      <c r="BZ26" s="6164"/>
      <c r="CA26" s="6164"/>
      <c r="CB26" s="6165"/>
    </row>
    <row r="27" spans="1:80" ht="37.5" customHeight="1" x14ac:dyDescent="0.2">
      <c r="A27" s="1515" t="s">
        <v>192</v>
      </c>
      <c r="B27" s="1516" t="s">
        <v>84</v>
      </c>
      <c r="C27" s="1517"/>
      <c r="D27" s="1518"/>
      <c r="E27" s="1459"/>
      <c r="F27" s="1519"/>
      <c r="G27" s="1518"/>
      <c r="H27" s="1467"/>
      <c r="I27" s="1520"/>
      <c r="J27" s="1518"/>
      <c r="K27" s="1508"/>
      <c r="L27" s="1467"/>
      <c r="M27" s="1520">
        <v>31</v>
      </c>
      <c r="N27" s="1518">
        <f t="shared" si="3"/>
        <v>30275.806451612905</v>
      </c>
      <c r="O27" s="1462">
        <v>11262.6</v>
      </c>
      <c r="P27" s="1509">
        <f>N27/AM11</f>
        <v>1.2088401473413275</v>
      </c>
      <c r="Q27" s="1500"/>
      <c r="R27" s="6149"/>
      <c r="S27" s="1521">
        <f>AL11</f>
        <v>31</v>
      </c>
      <c r="T27" s="1518">
        <f>AM11*1.056</f>
        <v>26447.873759999999</v>
      </c>
      <c r="U27" s="1462">
        <f>S27*T27*12/1000</f>
        <v>9838.6090387200002</v>
      </c>
      <c r="V27" s="1509">
        <f>T27/AM11</f>
        <v>1.056</v>
      </c>
      <c r="W27" s="1509">
        <f>T27/AY11</f>
        <v>0.92042627549755296</v>
      </c>
      <c r="X27" s="1522">
        <v>29.33</v>
      </c>
      <c r="Y27" s="1518">
        <f t="shared" si="4"/>
        <v>25010.796681441076</v>
      </c>
      <c r="Z27" s="1462">
        <v>4401.3999999999996</v>
      </c>
      <c r="AA27" s="1509">
        <f>Y27/BB11</f>
        <v>0.95682926073099828</v>
      </c>
      <c r="AB27" s="1514" t="e">
        <f>Y27/#REF!</f>
        <v>#REF!</v>
      </c>
      <c r="AC27" s="513"/>
      <c r="AD27" s="513"/>
      <c r="AE27" s="513"/>
      <c r="AF27" s="513"/>
      <c r="AG27" s="513"/>
      <c r="AH27" s="513"/>
      <c r="AI27" s="513"/>
      <c r="AJ27" s="513"/>
      <c r="AK27" s="513"/>
      <c r="AL27" s="1520">
        <v>28</v>
      </c>
      <c r="AM27" s="1518">
        <f t="shared" si="5"/>
        <v>27159.920634920636</v>
      </c>
      <c r="AN27" s="1462">
        <v>6844.3</v>
      </c>
      <c r="AO27" s="1509">
        <f>AM27/BB11</f>
        <v>1.039047540692988</v>
      </c>
      <c r="AP27" s="1500"/>
      <c r="AQ27" s="1520">
        <v>29</v>
      </c>
      <c r="AR27" s="1518">
        <f t="shared" si="6"/>
        <v>26195.689655172417</v>
      </c>
      <c r="AS27" s="1462">
        <v>9116.1</v>
      </c>
      <c r="AT27" s="1509">
        <f t="shared" si="11"/>
        <v>0.99046486280462409</v>
      </c>
      <c r="AU27" s="1520">
        <v>31</v>
      </c>
      <c r="AV27" s="1518">
        <f t="shared" si="7"/>
        <v>27862.365591397847</v>
      </c>
      <c r="AW27" s="1462">
        <v>10364.799999999999</v>
      </c>
      <c r="AX27" s="1509">
        <f t="shared" si="12"/>
        <v>1.0534822513232478</v>
      </c>
      <c r="AY27" s="1514">
        <f>AV27/BB11</f>
        <v>1.0659207305785803</v>
      </c>
      <c r="AZ27" s="1523">
        <f>BA11</f>
        <v>31</v>
      </c>
      <c r="BA27" s="1518">
        <f>AV27</f>
        <v>27862.365591397847</v>
      </c>
      <c r="BB27" s="1462">
        <f>AZ27*BA27*12/1000</f>
        <v>10364.799999999999</v>
      </c>
      <c r="BC27" s="1509">
        <f t="shared" si="8"/>
        <v>1.0534822513232478</v>
      </c>
      <c r="BD27" s="1500"/>
      <c r="BE27" s="1520">
        <v>28</v>
      </c>
      <c r="BF27" s="1518">
        <f t="shared" si="9"/>
        <v>26782.738095238099</v>
      </c>
      <c r="BG27" s="1462">
        <v>4499.5</v>
      </c>
      <c r="BH27" s="1509">
        <f t="shared" si="13"/>
        <v>0.96125140585718716</v>
      </c>
      <c r="BI27" s="1520">
        <v>29</v>
      </c>
      <c r="BJ27" s="1518">
        <f t="shared" si="10"/>
        <v>26555.938697318008</v>
      </c>
      <c r="BK27" s="1462">
        <v>6931.1</v>
      </c>
      <c r="BL27" s="1509">
        <f t="shared" si="14"/>
        <v>0.95311141511677022</v>
      </c>
      <c r="BM27" s="1507">
        <f t="shared" si="15"/>
        <v>28.5</v>
      </c>
      <c r="BN27" s="1518">
        <f t="shared" si="19"/>
        <v>28439.766081871352</v>
      </c>
      <c r="BO27" s="1434">
        <f t="shared" si="16"/>
        <v>2431.6000000000004</v>
      </c>
      <c r="BP27" s="1520">
        <v>31</v>
      </c>
      <c r="BQ27" s="1518">
        <f t="shared" si="20"/>
        <v>30648.602150537634</v>
      </c>
      <c r="BR27" s="1462">
        <f>BP27*BQ27*12/1000</f>
        <v>11401.28</v>
      </c>
      <c r="BS27" s="1509">
        <f t="shared" si="17"/>
        <v>1.1000000000000001</v>
      </c>
      <c r="BT27" s="1520">
        <f t="shared" si="21"/>
        <v>29</v>
      </c>
      <c r="BU27" s="1518">
        <f t="shared" si="22"/>
        <v>30544.308771929835</v>
      </c>
      <c r="BV27" s="1462">
        <f>BT27*BU27*12/1000</f>
        <v>10629.419452631584</v>
      </c>
      <c r="BW27" s="1509">
        <f t="shared" si="18"/>
        <v>1.0962568369054781</v>
      </c>
      <c r="BX27" s="1292">
        <f t="shared" si="23"/>
        <v>1.1501875011864908</v>
      </c>
      <c r="BY27" s="6163"/>
      <c r="BZ27" s="6164"/>
      <c r="CA27" s="6164"/>
      <c r="CB27" s="6165"/>
    </row>
    <row r="28" spans="1:80" ht="37.5" customHeight="1" x14ac:dyDescent="0.2">
      <c r="A28" s="1515" t="s">
        <v>193</v>
      </c>
      <c r="B28" s="1516" t="s">
        <v>85</v>
      </c>
      <c r="C28" s="1517"/>
      <c r="D28" s="1518"/>
      <c r="E28" s="1459"/>
      <c r="F28" s="1519"/>
      <c r="G28" s="1518"/>
      <c r="H28" s="1467"/>
      <c r="I28" s="1520"/>
      <c r="J28" s="1518"/>
      <c r="K28" s="1508"/>
      <c r="L28" s="1467"/>
      <c r="M28" s="1520">
        <v>25</v>
      </c>
      <c r="N28" s="1518">
        <f t="shared" si="3"/>
        <v>25887.333333333332</v>
      </c>
      <c r="O28" s="1462">
        <v>7766.2</v>
      </c>
      <c r="P28" s="1509">
        <f>N28/AM12</f>
        <v>1.174441454882867</v>
      </c>
      <c r="Q28" s="1500"/>
      <c r="R28" s="6149"/>
      <c r="S28" s="1521">
        <f>AL12</f>
        <v>25</v>
      </c>
      <c r="T28" s="1518">
        <f>AM12*1.056</f>
        <v>23276.617056000003</v>
      </c>
      <c r="U28" s="1462">
        <f>S28*T28*12/1000</f>
        <v>6982.9851168000005</v>
      </c>
      <c r="V28" s="1509">
        <f>T28/AM12</f>
        <v>1.056</v>
      </c>
      <c r="W28" s="1509">
        <f>T28/AY12</f>
        <v>0.90490684179970982</v>
      </c>
      <c r="X28" s="1522">
        <v>22</v>
      </c>
      <c r="Y28" s="1518">
        <f t="shared" si="4"/>
        <v>23571.9696969697</v>
      </c>
      <c r="Z28" s="1462">
        <v>3111.5</v>
      </c>
      <c r="AA28" s="1509">
        <f>Y28/BB12</f>
        <v>1.0326656214446632</v>
      </c>
      <c r="AB28" s="1514" t="e">
        <f>Y28/#REF!</f>
        <v>#REF!</v>
      </c>
      <c r="AC28" s="513"/>
      <c r="AD28" s="513"/>
      <c r="AE28" s="513"/>
      <c r="AF28" s="513"/>
      <c r="AG28" s="513"/>
      <c r="AH28" s="513"/>
      <c r="AI28" s="513"/>
      <c r="AJ28" s="513"/>
      <c r="AK28" s="513"/>
      <c r="AL28" s="1520">
        <v>21</v>
      </c>
      <c r="AM28" s="1518">
        <f t="shared" si="5"/>
        <v>25835.449735449733</v>
      </c>
      <c r="AN28" s="1462">
        <v>4882.8999999999996</v>
      </c>
      <c r="AO28" s="1509">
        <f>AM28/BB12</f>
        <v>1.1318265337745761</v>
      </c>
      <c r="AP28" s="1500"/>
      <c r="AQ28" s="1520">
        <v>21</v>
      </c>
      <c r="AR28" s="1518">
        <f t="shared" si="6"/>
        <v>25590.476190476191</v>
      </c>
      <c r="AS28" s="1462">
        <v>6448.8</v>
      </c>
      <c r="AT28" s="1509">
        <f t="shared" si="11"/>
        <v>1.0994070198822017</v>
      </c>
      <c r="AU28" s="1520">
        <v>25</v>
      </c>
      <c r="AV28" s="1518">
        <f t="shared" si="7"/>
        <v>24530.333333333336</v>
      </c>
      <c r="AW28" s="1462">
        <v>7359.1</v>
      </c>
      <c r="AX28" s="1509">
        <f t="shared" si="12"/>
        <v>1.0538616189078114</v>
      </c>
      <c r="AY28" s="1514">
        <f>AV28/BB12</f>
        <v>1.0746506228186743</v>
      </c>
      <c r="AZ28" s="1523">
        <f>BA12</f>
        <v>25</v>
      </c>
      <c r="BA28" s="1518">
        <f>AV28</f>
        <v>24530.333333333336</v>
      </c>
      <c r="BB28" s="1462">
        <f>AZ28*BA28*12/1000</f>
        <v>7359.1</v>
      </c>
      <c r="BC28" s="1509">
        <f t="shared" si="8"/>
        <v>1.0538616189078114</v>
      </c>
      <c r="BD28" s="1500"/>
      <c r="BE28" s="1520">
        <v>20</v>
      </c>
      <c r="BF28" s="1518">
        <f t="shared" si="9"/>
        <v>24965.833333333336</v>
      </c>
      <c r="BG28" s="1462">
        <v>2995.9</v>
      </c>
      <c r="BH28" s="1509">
        <f t="shared" si="13"/>
        <v>1.0177535296435705</v>
      </c>
      <c r="BI28" s="1520">
        <v>21</v>
      </c>
      <c r="BJ28" s="1518">
        <f t="shared" si="10"/>
        <v>24711.640211640213</v>
      </c>
      <c r="BK28" s="1462">
        <v>4670.5</v>
      </c>
      <c r="BL28" s="1509">
        <f t="shared" si="14"/>
        <v>1.0073911298245795</v>
      </c>
      <c r="BM28" s="1507">
        <f t="shared" si="15"/>
        <v>20.5</v>
      </c>
      <c r="BN28" s="1518">
        <f t="shared" si="19"/>
        <v>27229.268292682929</v>
      </c>
      <c r="BO28" s="1434">
        <f t="shared" si="16"/>
        <v>1674.6</v>
      </c>
      <c r="BP28" s="1520">
        <v>25</v>
      </c>
      <c r="BQ28" s="1518">
        <f t="shared" si="20"/>
        <v>26983.366666666672</v>
      </c>
      <c r="BR28" s="1462">
        <f>BP28*BQ28*12/1000</f>
        <v>8095.010000000002</v>
      </c>
      <c r="BS28" s="1509">
        <f t="shared" si="17"/>
        <v>1.1000000000000001</v>
      </c>
      <c r="BT28" s="1520">
        <f t="shared" si="21"/>
        <v>21</v>
      </c>
      <c r="BU28" s="1518">
        <f t="shared" si="22"/>
        <v>29244.234146341467</v>
      </c>
      <c r="BV28" s="1462">
        <f>BT28*BU28*12/1000</f>
        <v>7369.5470048780498</v>
      </c>
      <c r="BW28" s="1509">
        <f t="shared" si="18"/>
        <v>1.1921661947659958</v>
      </c>
      <c r="BX28" s="1292">
        <f t="shared" si="23"/>
        <v>1.183419388429191</v>
      </c>
      <c r="BY28" s="6163"/>
      <c r="BZ28" s="6164"/>
      <c r="CA28" s="6164"/>
      <c r="CB28" s="6165"/>
    </row>
    <row r="29" spans="1:80" ht="63" customHeight="1" x14ac:dyDescent="0.2">
      <c r="A29" s="1502" t="s">
        <v>185</v>
      </c>
      <c r="B29" s="1503" t="s">
        <v>195</v>
      </c>
      <c r="C29" s="1504">
        <v>840</v>
      </c>
      <c r="D29" s="1505">
        <v>12146</v>
      </c>
      <c r="E29" s="1430">
        <v>122429.8</v>
      </c>
      <c r="F29" s="1506">
        <f>F30+F31</f>
        <v>813</v>
      </c>
      <c r="G29" s="1505">
        <f>(G30*F30+G31*F31)/(F30+F31)</f>
        <v>12443.442804428045</v>
      </c>
      <c r="H29" s="1438">
        <f>H31+H30</f>
        <v>121398.228</v>
      </c>
      <c r="I29" s="1507">
        <v>799</v>
      </c>
      <c r="J29" s="1505">
        <v>13361</v>
      </c>
      <c r="K29" s="1508">
        <f>J29/G29</f>
        <v>1.07373820975377</v>
      </c>
      <c r="L29" s="1438">
        <v>128108.9</v>
      </c>
      <c r="M29" s="1507">
        <f>M30+M31+M32+M33</f>
        <v>105</v>
      </c>
      <c r="N29" s="1505">
        <f t="shared" si="3"/>
        <v>28668.650793650795</v>
      </c>
      <c r="O29" s="1434">
        <f>O30+O31+O32+O33</f>
        <v>36122.5</v>
      </c>
      <c r="P29" s="1509">
        <f>N29/AM14</f>
        <v>1.2088032234986785</v>
      </c>
      <c r="Q29" s="1500"/>
      <c r="R29" s="6149"/>
      <c r="S29" s="1510">
        <f>SUM(S30:S33)</f>
        <v>96</v>
      </c>
      <c r="T29" s="1511">
        <f>U29/S29/12*1000</f>
        <v>25224.382875999996</v>
      </c>
      <c r="U29" s="1512">
        <f>SUM(U30:U33)</f>
        <v>29058.489073151999</v>
      </c>
      <c r="V29" s="1509">
        <f>T29/AM14</f>
        <v>1.0635769206839176</v>
      </c>
      <c r="W29" s="1513"/>
      <c r="X29" s="1507">
        <f>X30+X31+X32+X33</f>
        <v>95</v>
      </c>
      <c r="Y29" s="1505">
        <f t="shared" si="4"/>
        <v>22836.666666666668</v>
      </c>
      <c r="Z29" s="1434">
        <f>Z30+Z31+Z32+Z33</f>
        <v>13016.900000000001</v>
      </c>
      <c r="AA29" s="1509">
        <f>Y29/BB14</f>
        <v>0.92274432731820633</v>
      </c>
      <c r="AB29" s="1500"/>
      <c r="AC29" s="513"/>
      <c r="AD29" s="513"/>
      <c r="AE29" s="513"/>
      <c r="AF29" s="513"/>
      <c r="AG29" s="513"/>
      <c r="AH29" s="513"/>
      <c r="AI29" s="513"/>
      <c r="AJ29" s="513"/>
      <c r="AK29" s="513"/>
      <c r="AL29" s="1507">
        <f>AL30+AL31+AL32+AL33</f>
        <v>94</v>
      </c>
      <c r="AM29" s="1505">
        <f t="shared" si="5"/>
        <v>23876.59574468085</v>
      </c>
      <c r="AN29" s="1434">
        <f>AN30+AN31+AN32+AN33</f>
        <v>20199.599999999999</v>
      </c>
      <c r="AO29" s="1509">
        <f>AM29/BB14</f>
        <v>0.96476397368592659</v>
      </c>
      <c r="AP29" s="1500"/>
      <c r="AQ29" s="1507">
        <f>AQ30+AQ31+AQ32+AQ33</f>
        <v>94</v>
      </c>
      <c r="AR29" s="1505">
        <f t="shared" si="6"/>
        <v>24074.734042553187</v>
      </c>
      <c r="AS29" s="1434">
        <f>AS30+AS31+AS32+AS33</f>
        <v>27156.3</v>
      </c>
      <c r="AT29" s="1509">
        <f t="shared" si="11"/>
        <v>0.95442311357632248</v>
      </c>
      <c r="AU29" s="1507">
        <f>AU30+AU31+AU32+AU33</f>
        <v>105</v>
      </c>
      <c r="AV29" s="1505">
        <f t="shared" si="7"/>
        <v>28668.650793650795</v>
      </c>
      <c r="AW29" s="1434">
        <f>AW30+AW31+AW32+AW33</f>
        <v>36122.5</v>
      </c>
      <c r="AX29" s="1509">
        <f t="shared" si="12"/>
        <v>1.1365451806921265</v>
      </c>
      <c r="AY29" s="1524">
        <f>AV29/BB14</f>
        <v>1.1583930035779242</v>
      </c>
      <c r="AZ29" s="1510">
        <f>SUM(AZ30:AZ33)</f>
        <v>98</v>
      </c>
      <c r="BA29" s="1511">
        <f>BB29/AZ29/12*1000</f>
        <v>28763.121622082414</v>
      </c>
      <c r="BB29" s="1512">
        <f>SUM(BB30:BB33)</f>
        <v>33825.43102756892</v>
      </c>
      <c r="BC29" s="1509">
        <f t="shared" si="8"/>
        <v>1.1402903993123807</v>
      </c>
      <c r="BD29" s="1500"/>
      <c r="BE29" s="1507">
        <f>BE30+BE31+BE32+BE33</f>
        <v>94</v>
      </c>
      <c r="BF29" s="1505">
        <f t="shared" si="9"/>
        <v>23914.007092198586</v>
      </c>
      <c r="BG29" s="1434">
        <f>BG30+BG31+BG32+BG33</f>
        <v>13487.5</v>
      </c>
      <c r="BH29" s="1509">
        <f t="shared" si="13"/>
        <v>0.83415181496768542</v>
      </c>
      <c r="BI29" s="1507">
        <f>BI30+BI31+BI32+BI33</f>
        <v>94</v>
      </c>
      <c r="BJ29" s="1505">
        <f t="shared" si="10"/>
        <v>24833.096926713952</v>
      </c>
      <c r="BK29" s="1434">
        <f>BK30+BK31+BK32+BK33</f>
        <v>21008.800000000003</v>
      </c>
      <c r="BL29" s="1509">
        <f t="shared" si="14"/>
        <v>0.86336584926334103</v>
      </c>
      <c r="BM29" s="1507">
        <f t="shared" si="15"/>
        <v>94</v>
      </c>
      <c r="BN29" s="1505">
        <f t="shared" si="19"/>
        <v>26671.27659574469</v>
      </c>
      <c r="BO29" s="1434">
        <f t="shared" si="16"/>
        <v>7521.3000000000029</v>
      </c>
      <c r="BP29" s="1507">
        <f>BP30+BP31+BP32+BP33</f>
        <v>105</v>
      </c>
      <c r="BQ29" s="1511">
        <f>BR29/BP29/12*1000</f>
        <v>31535.515873015873</v>
      </c>
      <c r="BR29" s="1512">
        <f>SUM(BR30:BR33)</f>
        <v>39734.75</v>
      </c>
      <c r="BS29" s="1509">
        <f t="shared" si="17"/>
        <v>1.0963871128926772</v>
      </c>
      <c r="BT29" s="1507">
        <f>BT30+BT31+BT32+BT33</f>
        <v>94</v>
      </c>
      <c r="BU29" s="1511">
        <f>BV29/BT29/12*1000</f>
        <v>28606.666659040642</v>
      </c>
      <c r="BV29" s="1512">
        <f>SUM(BV30:BV33)</f>
        <v>32268.319991397846</v>
      </c>
      <c r="BW29" s="1509">
        <f t="shared" si="18"/>
        <v>0.99456057082060056</v>
      </c>
      <c r="BX29" s="1292"/>
      <c r="BY29" s="6163"/>
      <c r="BZ29" s="6164"/>
      <c r="CA29" s="6164"/>
      <c r="CB29" s="6165"/>
    </row>
    <row r="30" spans="1:80" ht="37.5" customHeight="1" x14ac:dyDescent="0.2">
      <c r="A30" s="1515" t="s">
        <v>186</v>
      </c>
      <c r="B30" s="1516" t="s">
        <v>87</v>
      </c>
      <c r="C30" s="1517">
        <v>456</v>
      </c>
      <c r="D30" s="1518">
        <v>12405</v>
      </c>
      <c r="E30" s="1459">
        <v>67882.600000000006</v>
      </c>
      <c r="F30" s="1519">
        <v>444</v>
      </c>
      <c r="G30" s="1518">
        <v>12620</v>
      </c>
      <c r="H30" s="1467">
        <f>F30*G30*12/1000</f>
        <v>67239.360000000001</v>
      </c>
      <c r="I30" s="1520">
        <v>435</v>
      </c>
      <c r="J30" s="1518">
        <v>13646</v>
      </c>
      <c r="K30" s="1508">
        <f>J30/G30</f>
        <v>1.0812995245641839</v>
      </c>
      <c r="L30" s="1467">
        <v>71232.100000000006</v>
      </c>
      <c r="M30" s="1520">
        <v>30</v>
      </c>
      <c r="N30" s="1518">
        <f t="shared" si="3"/>
        <v>25154.444444444449</v>
      </c>
      <c r="O30" s="1462">
        <v>9055.6</v>
      </c>
      <c r="P30" s="1509">
        <f>N30/AM15</f>
        <v>1.2528746934240285</v>
      </c>
      <c r="Q30" s="1500"/>
      <c r="R30" s="6149"/>
      <c r="S30" s="1525">
        <v>26</v>
      </c>
      <c r="T30" s="1518">
        <f>AM15*1.056</f>
        <v>21201.715919999995</v>
      </c>
      <c r="U30" s="1462">
        <f>S30*T30*12/1000</f>
        <v>6614.9353670399987</v>
      </c>
      <c r="V30" s="1509">
        <f>T30/AM15</f>
        <v>1.056</v>
      </c>
      <c r="W30" s="1513"/>
      <c r="X30" s="1520">
        <v>25</v>
      </c>
      <c r="Y30" s="1518">
        <f t="shared" si="4"/>
        <v>21835.333333333336</v>
      </c>
      <c r="Z30" s="1462">
        <v>3275.3</v>
      </c>
      <c r="AA30" s="1509">
        <f>Y30/BB15</f>
        <v>0.9662474115678098</v>
      </c>
      <c r="AB30" s="1500"/>
      <c r="AC30" s="513"/>
      <c r="AD30" s="513"/>
      <c r="AE30" s="513"/>
      <c r="AF30" s="513"/>
      <c r="AG30" s="513"/>
      <c r="AH30" s="513"/>
      <c r="AI30" s="513"/>
      <c r="AJ30" s="513"/>
      <c r="AK30" s="513"/>
      <c r="AL30" s="1520">
        <v>25</v>
      </c>
      <c r="AM30" s="1518">
        <f t="shared" si="5"/>
        <v>22584.444444444445</v>
      </c>
      <c r="AN30" s="1462">
        <v>5081.5</v>
      </c>
      <c r="AO30" s="1509">
        <f>AM30/BB15</f>
        <v>0.99939674164846481</v>
      </c>
      <c r="AP30" s="1500"/>
      <c r="AQ30" s="1520">
        <v>25</v>
      </c>
      <c r="AR30" s="1518">
        <f t="shared" si="6"/>
        <v>23072.333333333332</v>
      </c>
      <c r="AS30" s="1462">
        <v>6921.7</v>
      </c>
      <c r="AT30" s="1509">
        <f t="shared" si="11"/>
        <v>1.0882295291754545</v>
      </c>
      <c r="AU30" s="1520">
        <v>30</v>
      </c>
      <c r="AV30" s="1518">
        <f t="shared" si="7"/>
        <v>25154.444444444449</v>
      </c>
      <c r="AW30" s="1462">
        <v>9055.6</v>
      </c>
      <c r="AX30" s="1509">
        <f t="shared" si="12"/>
        <v>1.1864343687727543</v>
      </c>
      <c r="AY30" s="1524">
        <f>AV30/BB15</f>
        <v>1.1131232330109022</v>
      </c>
      <c r="AZ30" s="1523">
        <f>BA15</f>
        <v>26</v>
      </c>
      <c r="BA30" s="1518">
        <f>AV30</f>
        <v>25154.444444444449</v>
      </c>
      <c r="BB30" s="1462">
        <f>AZ30*BA30*12/1000</f>
        <v>7848.1866666666683</v>
      </c>
      <c r="BC30" s="1509">
        <f t="shared" si="8"/>
        <v>1.1864343687727543</v>
      </c>
      <c r="BD30" s="1500"/>
      <c r="BE30" s="1520">
        <v>25</v>
      </c>
      <c r="BF30" s="1518">
        <f t="shared" si="9"/>
        <v>22802.666666666668</v>
      </c>
      <c r="BG30" s="1462">
        <v>3420.4</v>
      </c>
      <c r="BH30" s="1509">
        <f t="shared" si="13"/>
        <v>0.90650647113388394</v>
      </c>
      <c r="BI30" s="1520">
        <v>25</v>
      </c>
      <c r="BJ30" s="1518">
        <f t="shared" si="10"/>
        <v>23330.666666666664</v>
      </c>
      <c r="BK30" s="1462">
        <v>5249.4</v>
      </c>
      <c r="BL30" s="1509">
        <f t="shared" si="14"/>
        <v>0.92749679756172954</v>
      </c>
      <c r="BM30" s="1507">
        <f t="shared" si="15"/>
        <v>25</v>
      </c>
      <c r="BN30" s="1518">
        <f t="shared" si="19"/>
        <v>24386.666666666661</v>
      </c>
      <c r="BO30" s="1434">
        <f t="shared" si="16"/>
        <v>1828.9999999999995</v>
      </c>
      <c r="BP30" s="1520">
        <v>30</v>
      </c>
      <c r="BQ30" s="1518">
        <f t="shared" si="20"/>
        <v>27669.888888888898</v>
      </c>
      <c r="BR30" s="1462">
        <f>BP30*BQ30*12/1000</f>
        <v>9961.1600000000035</v>
      </c>
      <c r="BS30" s="1509">
        <f t="shared" si="17"/>
        <v>1.1000000000000001</v>
      </c>
      <c r="BT30" s="1520">
        <f>AQ30</f>
        <v>25</v>
      </c>
      <c r="BU30" s="1518">
        <f>BN30*1.074</f>
        <v>26191.279999999995</v>
      </c>
      <c r="BV30" s="1462">
        <f>BT30*BU30*12/1000</f>
        <v>7857.3839999999982</v>
      </c>
      <c r="BW30" s="1509">
        <f t="shared" si="18"/>
        <v>1.0412187817483101</v>
      </c>
      <c r="BX30" s="1292">
        <f t="shared" si="23"/>
        <v>1.1226117270545204</v>
      </c>
      <c r="BY30" s="6163"/>
      <c r="BZ30" s="6164"/>
      <c r="CA30" s="6164"/>
      <c r="CB30" s="6165"/>
    </row>
    <row r="31" spans="1:80" ht="37.5" customHeight="1" x14ac:dyDescent="0.2">
      <c r="A31" s="1515" t="s">
        <v>187</v>
      </c>
      <c r="B31" s="1516" t="s">
        <v>88</v>
      </c>
      <c r="C31" s="1517">
        <v>384</v>
      </c>
      <c r="D31" s="1518">
        <v>11838</v>
      </c>
      <c r="E31" s="1459">
        <v>54547.199999999997</v>
      </c>
      <c r="F31" s="1519">
        <v>369</v>
      </c>
      <c r="G31" s="1518">
        <v>12231</v>
      </c>
      <c r="H31" s="1467">
        <f>F31*G31*12/1000</f>
        <v>54158.868000000002</v>
      </c>
      <c r="I31" s="1520">
        <v>364</v>
      </c>
      <c r="J31" s="1518">
        <v>13021</v>
      </c>
      <c r="K31" s="1508">
        <f>J31/G31</f>
        <v>1.0645899762897555</v>
      </c>
      <c r="L31" s="1467">
        <v>56876.800000000003</v>
      </c>
      <c r="M31" s="1520">
        <v>49</v>
      </c>
      <c r="N31" s="1518">
        <f t="shared" si="3"/>
        <v>30026.530612244896</v>
      </c>
      <c r="O31" s="1462">
        <v>17655.599999999999</v>
      </c>
      <c r="P31" s="1509">
        <f>N31/AM16</f>
        <v>1.1443255630726537</v>
      </c>
      <c r="Q31" s="1500"/>
      <c r="R31" s="6149"/>
      <c r="S31" s="1525">
        <v>48</v>
      </c>
      <c r="T31" s="1518">
        <f>AM16*1.056</f>
        <v>27708.912</v>
      </c>
      <c r="U31" s="1462">
        <f>S31*T31*12/1000</f>
        <v>15960.333312000001</v>
      </c>
      <c r="V31" s="1509">
        <f>T31/AM16</f>
        <v>1.056</v>
      </c>
      <c r="W31" s="1513"/>
      <c r="X31" s="1520">
        <v>49</v>
      </c>
      <c r="Y31" s="1518">
        <f t="shared" si="4"/>
        <v>23665.306122448983</v>
      </c>
      <c r="Z31" s="1462">
        <v>6957.6</v>
      </c>
      <c r="AA31" s="1509">
        <f>Y31/BB16</f>
        <v>0.90954964376756653</v>
      </c>
      <c r="AB31" s="1500"/>
      <c r="AC31" s="513"/>
      <c r="AD31" s="513"/>
      <c r="AE31" s="513"/>
      <c r="AF31" s="513"/>
      <c r="AG31" s="513"/>
      <c r="AH31" s="513"/>
      <c r="AI31" s="513"/>
      <c r="AJ31" s="513"/>
      <c r="AK31" s="513"/>
      <c r="AL31" s="1520">
        <v>49</v>
      </c>
      <c r="AM31" s="1518">
        <f t="shared" si="5"/>
        <v>24274.149659863946</v>
      </c>
      <c r="AN31" s="1462">
        <v>10704.9</v>
      </c>
      <c r="AO31" s="1509">
        <f>AM31/BB16</f>
        <v>0.93294986600431395</v>
      </c>
      <c r="AP31" s="1500"/>
      <c r="AQ31" s="1520">
        <v>49</v>
      </c>
      <c r="AR31" s="1518">
        <f t="shared" si="6"/>
        <v>24466.496598639456</v>
      </c>
      <c r="AS31" s="1462">
        <v>14386.3</v>
      </c>
      <c r="AT31" s="1509">
        <f t="shared" si="11"/>
        <v>0.88298294060190652</v>
      </c>
      <c r="AU31" s="1520">
        <v>49</v>
      </c>
      <c r="AV31" s="1518">
        <f t="shared" si="7"/>
        <v>30026.530612244896</v>
      </c>
      <c r="AW31" s="1462">
        <v>17655.599999999999</v>
      </c>
      <c r="AX31" s="1509">
        <f t="shared" si="12"/>
        <v>1.0836416316975888</v>
      </c>
      <c r="AY31" s="1524">
        <f>AV31/BB16</f>
        <v>1.1540362115170926</v>
      </c>
      <c r="AZ31" s="1523">
        <f>BA16</f>
        <v>49</v>
      </c>
      <c r="BA31" s="1518">
        <f>AV31</f>
        <v>30026.530612244896</v>
      </c>
      <c r="BB31" s="1462">
        <f>AZ31*BA31*12/1000</f>
        <v>17655.599999999999</v>
      </c>
      <c r="BC31" s="1509">
        <f t="shared" si="8"/>
        <v>1.0836416316975888</v>
      </c>
      <c r="BD31" s="1500"/>
      <c r="BE31" s="1520">
        <v>49</v>
      </c>
      <c r="BF31" s="1518">
        <f t="shared" si="9"/>
        <v>24546.938775510203</v>
      </c>
      <c r="BG31" s="1462">
        <v>7216.8</v>
      </c>
      <c r="BH31" s="1509">
        <f t="shared" si="13"/>
        <v>0.81750832597023038</v>
      </c>
      <c r="BI31" s="1520">
        <v>49</v>
      </c>
      <c r="BJ31" s="1518">
        <f t="shared" si="10"/>
        <v>25629.25170068027</v>
      </c>
      <c r="BK31" s="1462">
        <v>11302.5</v>
      </c>
      <c r="BL31" s="1509">
        <f t="shared" si="14"/>
        <v>0.85355354675003958</v>
      </c>
      <c r="BM31" s="1507">
        <f t="shared" si="15"/>
        <v>49</v>
      </c>
      <c r="BN31" s="1518">
        <f t="shared" si="19"/>
        <v>27793.877551020403</v>
      </c>
      <c r="BO31" s="1434">
        <f t="shared" si="16"/>
        <v>4085.7</v>
      </c>
      <c r="BP31" s="1520">
        <v>49</v>
      </c>
      <c r="BQ31" s="1518">
        <f t="shared" si="20"/>
        <v>33029.183673469386</v>
      </c>
      <c r="BR31" s="1462">
        <f>BP31*BQ31*12/1000</f>
        <v>19421.16</v>
      </c>
      <c r="BS31" s="1509">
        <f t="shared" si="17"/>
        <v>1.1000000000000001</v>
      </c>
      <c r="BT31" s="1520">
        <f t="shared" ref="BT31:BT33" si="24">AQ31</f>
        <v>49</v>
      </c>
      <c r="BU31" s="1518">
        <f t="shared" ref="BU31:BU33" si="25">BN31*1.074</f>
        <v>29850.624489795915</v>
      </c>
      <c r="BV31" s="1462">
        <f>BT31*BU31*12/1000</f>
        <v>17552.1672</v>
      </c>
      <c r="BW31" s="1509">
        <f t="shared" si="18"/>
        <v>0.99414164344457279</v>
      </c>
      <c r="BX31" s="1292">
        <f t="shared" si="23"/>
        <v>1.1647091705374917</v>
      </c>
      <c r="BY31" s="6163"/>
      <c r="BZ31" s="6164"/>
      <c r="CA31" s="6164"/>
      <c r="CB31" s="6165"/>
    </row>
    <row r="32" spans="1:80" ht="75" x14ac:dyDescent="0.2">
      <c r="A32" s="1515" t="s">
        <v>196</v>
      </c>
      <c r="B32" s="1516" t="s">
        <v>198</v>
      </c>
      <c r="C32" s="1517"/>
      <c r="D32" s="1518"/>
      <c r="E32" s="1459"/>
      <c r="F32" s="1519"/>
      <c r="G32" s="1518"/>
      <c r="H32" s="1467"/>
      <c r="I32" s="1520"/>
      <c r="J32" s="1518"/>
      <c r="K32" s="1508"/>
      <c r="L32" s="1467"/>
      <c r="M32" s="1520">
        <v>7</v>
      </c>
      <c r="N32" s="1518">
        <f t="shared" si="3"/>
        <v>31347.619047619046</v>
      </c>
      <c r="O32" s="1462">
        <v>2633.2</v>
      </c>
      <c r="P32" s="1509">
        <f>N32/AM17</f>
        <v>1.2757479654799539</v>
      </c>
      <c r="Q32" s="1500"/>
      <c r="R32" s="6149"/>
      <c r="S32" s="1526">
        <v>7</v>
      </c>
      <c r="T32" s="1518">
        <f>AM17*1.056</f>
        <v>25947.982367999997</v>
      </c>
      <c r="U32" s="1462">
        <f>S32*T32*12/1000</f>
        <v>2179.6305189119998</v>
      </c>
      <c r="V32" s="1509">
        <f>T32/AM17</f>
        <v>1.056</v>
      </c>
      <c r="W32" s="1513"/>
      <c r="X32" s="1520">
        <v>4</v>
      </c>
      <c r="Y32" s="1518">
        <f t="shared" si="4"/>
        <v>22329.166666666664</v>
      </c>
      <c r="Z32" s="1462">
        <v>535.9</v>
      </c>
      <c r="AA32" s="1509">
        <f>Y32/BB17</f>
        <v>0.91450511945392476</v>
      </c>
      <c r="AB32" s="1500"/>
      <c r="AC32" s="513"/>
      <c r="AD32" s="513"/>
      <c r="AE32" s="513"/>
      <c r="AF32" s="513"/>
      <c r="AG32" s="513"/>
      <c r="AH32" s="513"/>
      <c r="AI32" s="513"/>
      <c r="AJ32" s="513"/>
      <c r="AK32" s="513"/>
      <c r="AL32" s="1520">
        <v>4</v>
      </c>
      <c r="AM32" s="1518">
        <f t="shared" si="5"/>
        <v>23575.000000000004</v>
      </c>
      <c r="AN32" s="1462">
        <v>848.7</v>
      </c>
      <c r="AO32" s="1509">
        <f>AM32/BB17</f>
        <v>0.96552901023890791</v>
      </c>
      <c r="AP32" s="1500"/>
      <c r="AQ32" s="1520">
        <v>4</v>
      </c>
      <c r="AR32" s="1518">
        <f t="shared" si="6"/>
        <v>24131.249999999996</v>
      </c>
      <c r="AS32" s="1462">
        <v>1158.3</v>
      </c>
      <c r="AT32" s="1509">
        <f t="shared" si="11"/>
        <v>0.92998560187706691</v>
      </c>
      <c r="AU32" s="1520">
        <v>7</v>
      </c>
      <c r="AV32" s="1518">
        <f t="shared" si="7"/>
        <v>31347.619047619046</v>
      </c>
      <c r="AW32" s="1462">
        <v>2633.2</v>
      </c>
      <c r="AX32" s="1509">
        <f t="shared" si="12"/>
        <v>1.2080946642802595</v>
      </c>
      <c r="AY32" s="1524">
        <f>AV32/BB17</f>
        <v>1.283861530960507</v>
      </c>
      <c r="AZ32" s="1523">
        <f>BA17</f>
        <v>6</v>
      </c>
      <c r="BA32" s="1518">
        <f>AV32</f>
        <v>31347.619047619046</v>
      </c>
      <c r="BB32" s="1462">
        <f>AZ32*BA32*12/1000</f>
        <v>2257.028571428571</v>
      </c>
      <c r="BC32" s="1509">
        <f t="shared" si="8"/>
        <v>1.2080946642802595</v>
      </c>
      <c r="BD32" s="1500"/>
      <c r="BE32" s="1520">
        <v>5</v>
      </c>
      <c r="BF32" s="1518">
        <f t="shared" si="9"/>
        <v>22876.666666666664</v>
      </c>
      <c r="BG32" s="1462">
        <v>686.3</v>
      </c>
      <c r="BH32" s="1509">
        <f t="shared" si="13"/>
        <v>0.72977365942579364</v>
      </c>
      <c r="BI32" s="1520">
        <v>4</v>
      </c>
      <c r="BJ32" s="1518">
        <f t="shared" si="10"/>
        <v>31052.777777777781</v>
      </c>
      <c r="BK32" s="1462">
        <v>1117.9000000000001</v>
      </c>
      <c r="BL32" s="1509">
        <f t="shared" si="14"/>
        <v>0.99059446047901178</v>
      </c>
      <c r="BM32" s="1507">
        <f t="shared" si="15"/>
        <v>4.5</v>
      </c>
      <c r="BN32" s="1518">
        <f t="shared" si="19"/>
        <v>31970.37037037038</v>
      </c>
      <c r="BO32" s="1434">
        <f t="shared" si="16"/>
        <v>431.60000000000014</v>
      </c>
      <c r="BP32" s="1520">
        <v>7</v>
      </c>
      <c r="BQ32" s="1518">
        <f t="shared" si="20"/>
        <v>34482.380952380954</v>
      </c>
      <c r="BR32" s="1462">
        <f>BP32*BQ32*12/1000</f>
        <v>2896.52</v>
      </c>
      <c r="BS32" s="1509">
        <f t="shared" si="17"/>
        <v>1.1000000000000001</v>
      </c>
      <c r="BT32" s="1520">
        <f t="shared" si="24"/>
        <v>4</v>
      </c>
      <c r="BU32" s="1518">
        <f t="shared" si="25"/>
        <v>34336.17777777779</v>
      </c>
      <c r="BV32" s="1462">
        <f>BT32*BU32*12/1000</f>
        <v>1648.136533333334</v>
      </c>
      <c r="BW32" s="1509">
        <f t="shared" si="18"/>
        <v>1.0953360676489954</v>
      </c>
      <c r="BX32" s="1292">
        <f t="shared" si="23"/>
        <v>1.1057361123535203</v>
      </c>
      <c r="BY32" s="6163"/>
      <c r="BZ32" s="6164"/>
      <c r="CA32" s="6164"/>
      <c r="CB32" s="6165"/>
    </row>
    <row r="33" spans="1:80" ht="24.95" customHeight="1" thickBot="1" x14ac:dyDescent="0.25">
      <c r="A33" s="1527" t="s">
        <v>197</v>
      </c>
      <c r="B33" s="1528" t="s">
        <v>85</v>
      </c>
      <c r="C33" s="1529"/>
      <c r="D33" s="1530"/>
      <c r="E33" s="1531"/>
      <c r="F33" s="1532"/>
      <c r="G33" s="1530"/>
      <c r="H33" s="1533"/>
      <c r="I33" s="1534"/>
      <c r="J33" s="1530"/>
      <c r="K33" s="1535"/>
      <c r="L33" s="1533"/>
      <c r="M33" s="1534">
        <v>19</v>
      </c>
      <c r="N33" s="1530">
        <f t="shared" si="3"/>
        <v>29728.508771929824</v>
      </c>
      <c r="O33" s="1536">
        <v>6778.1</v>
      </c>
      <c r="P33" s="1537">
        <f>N33/AM18</f>
        <v>1.3130421604372358</v>
      </c>
      <c r="Q33" s="1538"/>
      <c r="R33" s="6149"/>
      <c r="S33" s="1539">
        <v>15</v>
      </c>
      <c r="T33" s="1530">
        <f>AM18*1.056</f>
        <v>23908.832640000001</v>
      </c>
      <c r="U33" s="1536">
        <f>S33*T33*12/1000</f>
        <v>4303.5898752000003</v>
      </c>
      <c r="V33" s="1537">
        <f>T33/AM18</f>
        <v>1.056</v>
      </c>
      <c r="W33" s="1540"/>
      <c r="X33" s="1534">
        <v>17</v>
      </c>
      <c r="Y33" s="1530">
        <f t="shared" si="4"/>
        <v>22040.196078431374</v>
      </c>
      <c r="Z33" s="1536">
        <v>2248.1</v>
      </c>
      <c r="AA33" s="1537">
        <f>Y33/BB18</f>
        <v>0.8998158821645853</v>
      </c>
      <c r="AB33" s="1538"/>
      <c r="AC33" s="513"/>
      <c r="AD33" s="513"/>
      <c r="AE33" s="513"/>
      <c r="AF33" s="513"/>
      <c r="AG33" s="513"/>
      <c r="AH33" s="513"/>
      <c r="AI33" s="513"/>
      <c r="AJ33" s="513"/>
      <c r="AK33" s="513"/>
      <c r="AL33" s="1534">
        <v>16</v>
      </c>
      <c r="AM33" s="1530">
        <f t="shared" si="5"/>
        <v>24753.472222222223</v>
      </c>
      <c r="AN33" s="1536">
        <v>3564.5</v>
      </c>
      <c r="AO33" s="1537">
        <f>AM33/BB18</f>
        <v>1.0105884432703596</v>
      </c>
      <c r="AP33" s="1538"/>
      <c r="AQ33" s="1534">
        <v>16</v>
      </c>
      <c r="AR33" s="1530">
        <f t="shared" si="6"/>
        <v>24427.083333333332</v>
      </c>
      <c r="AS33" s="1536">
        <v>4690</v>
      </c>
      <c r="AT33" s="1537">
        <f t="shared" si="11"/>
        <v>1.0216761186602765</v>
      </c>
      <c r="AU33" s="1534">
        <v>19</v>
      </c>
      <c r="AV33" s="1530">
        <f t="shared" si="7"/>
        <v>29728.508771929824</v>
      </c>
      <c r="AW33" s="1536">
        <v>6778.1</v>
      </c>
      <c r="AX33" s="1537">
        <f t="shared" si="12"/>
        <v>1.2434111367776852</v>
      </c>
      <c r="AY33" s="1541">
        <f>AV33/BB18</f>
        <v>1.2136999258472789</v>
      </c>
      <c r="AZ33" s="1542">
        <f>BA18</f>
        <v>17</v>
      </c>
      <c r="BA33" s="1530">
        <f>AV33</f>
        <v>29728.508771929824</v>
      </c>
      <c r="BB33" s="1536">
        <f>AZ33*BA33*12/1000</f>
        <v>6064.6157894736843</v>
      </c>
      <c r="BC33" s="1537">
        <f t="shared" si="8"/>
        <v>1.2434111367776852</v>
      </c>
      <c r="BD33" s="1538"/>
      <c r="BE33" s="1534">
        <v>15</v>
      </c>
      <c r="BF33" s="1530">
        <f t="shared" si="9"/>
        <v>24044.444444444449</v>
      </c>
      <c r="BG33" s="1536">
        <v>2164</v>
      </c>
      <c r="BH33" s="1537">
        <f t="shared" si="13"/>
        <v>0.80880089307229674</v>
      </c>
      <c r="BI33" s="1534">
        <v>16</v>
      </c>
      <c r="BJ33" s="1530">
        <f t="shared" si="10"/>
        <v>23187.5</v>
      </c>
      <c r="BK33" s="1536">
        <v>3339</v>
      </c>
      <c r="BL33" s="1537">
        <f t="shared" si="14"/>
        <v>0.77997521429309102</v>
      </c>
      <c r="BM33" s="1507">
        <f t="shared" si="15"/>
        <v>15.5</v>
      </c>
      <c r="BN33" s="1518">
        <f t="shared" si="19"/>
        <v>25268.817204301075</v>
      </c>
      <c r="BO33" s="1434">
        <f t="shared" si="16"/>
        <v>1175</v>
      </c>
      <c r="BP33" s="1534">
        <v>19</v>
      </c>
      <c r="BQ33" s="1530">
        <f t="shared" si="20"/>
        <v>32701.359649122809</v>
      </c>
      <c r="BR33" s="1536">
        <f>BP33*BQ33*12/1000</f>
        <v>7455.91</v>
      </c>
      <c r="BS33" s="1537">
        <f t="shared" si="17"/>
        <v>1.1000000000000001</v>
      </c>
      <c r="BT33" s="1534">
        <f t="shared" si="24"/>
        <v>16</v>
      </c>
      <c r="BU33" s="1518">
        <f t="shared" si="25"/>
        <v>27138.709677419356</v>
      </c>
      <c r="BV33" s="1536">
        <f>BT33*BU33*12/1000</f>
        <v>5210.6322580645156</v>
      </c>
      <c r="BW33" s="1537">
        <f t="shared" si="18"/>
        <v>0.91288499822245361</v>
      </c>
      <c r="BX33" s="1292">
        <f t="shared" si="23"/>
        <v>1.1704025736892445</v>
      </c>
      <c r="BY33" s="6163"/>
      <c r="BZ33" s="6164"/>
      <c r="CA33" s="6164"/>
      <c r="CB33" s="6165"/>
    </row>
    <row r="34" spans="1:80" ht="19.5" thickBot="1" x14ac:dyDescent="0.25">
      <c r="A34" s="4999" t="s">
        <v>839</v>
      </c>
      <c r="B34" s="6169"/>
      <c r="C34" s="6169"/>
      <c r="D34" s="6169"/>
      <c r="E34" s="6169"/>
      <c r="F34" s="6169"/>
      <c r="G34" s="6169"/>
      <c r="H34" s="6169"/>
      <c r="I34" s="6169"/>
      <c r="J34" s="6169"/>
      <c r="K34" s="6169"/>
      <c r="L34" s="6169"/>
      <c r="M34" s="6169"/>
      <c r="N34" s="6169"/>
      <c r="O34" s="6169"/>
      <c r="P34" s="6169"/>
      <c r="Q34" s="6169"/>
      <c r="R34" s="6169"/>
      <c r="S34" s="6169"/>
      <c r="T34" s="6169"/>
      <c r="U34" s="6169"/>
      <c r="V34" s="6169"/>
      <c r="W34" s="6169"/>
      <c r="X34" s="6169"/>
      <c r="Y34" s="6169"/>
      <c r="Z34" s="6169"/>
      <c r="AA34" s="6169"/>
      <c r="AB34" s="6169"/>
      <c r="AC34" s="6169"/>
      <c r="AD34" s="6169"/>
      <c r="AE34" s="6169"/>
      <c r="AF34" s="6169"/>
      <c r="AG34" s="6169"/>
      <c r="AH34" s="6169"/>
      <c r="AI34" s="6169"/>
      <c r="AJ34" s="6169"/>
      <c r="AK34" s="6169"/>
      <c r="AL34" s="6169"/>
      <c r="AM34" s="6169"/>
      <c r="AN34" s="6169"/>
      <c r="AO34" s="6169"/>
      <c r="AP34" s="6169"/>
      <c r="AQ34" s="6169"/>
      <c r="AR34" s="6169"/>
      <c r="AS34" s="6169"/>
      <c r="AT34" s="6169"/>
      <c r="AU34" s="6169"/>
      <c r="AV34" s="6169"/>
      <c r="AW34" s="6169"/>
      <c r="AX34" s="6169"/>
      <c r="AY34" s="6169"/>
      <c r="AZ34" s="6169"/>
      <c r="BA34" s="6169"/>
      <c r="BB34" s="6169"/>
      <c r="BC34" s="6169"/>
      <c r="BD34" s="6169"/>
      <c r="BE34" s="6169"/>
      <c r="BF34" s="6169"/>
      <c r="BG34" s="6169"/>
      <c r="BH34" s="6169"/>
      <c r="BI34" s="6169"/>
      <c r="BJ34" s="6169"/>
      <c r="BK34" s="6169"/>
      <c r="BL34" s="6169"/>
      <c r="BM34" s="6169"/>
      <c r="BN34" s="6169"/>
      <c r="BO34" s="6169"/>
      <c r="BP34" s="6169"/>
      <c r="BQ34" s="6169"/>
      <c r="BR34" s="6169"/>
      <c r="BS34" s="6169"/>
      <c r="BT34" s="6169"/>
      <c r="BU34" s="6169"/>
      <c r="BV34" s="6169"/>
      <c r="BW34" s="6169"/>
      <c r="BX34" s="6170"/>
      <c r="BY34" s="6163"/>
      <c r="BZ34" s="6164"/>
      <c r="CA34" s="6164"/>
      <c r="CB34" s="6165"/>
    </row>
    <row r="35" spans="1:80" ht="37.5" customHeight="1" x14ac:dyDescent="0.2">
      <c r="A35" s="6171" t="s">
        <v>247</v>
      </c>
      <c r="B35" s="6172"/>
      <c r="C35" s="830"/>
      <c r="D35" s="515"/>
      <c r="E35" s="515"/>
      <c r="F35" s="515"/>
      <c r="G35" s="515"/>
      <c r="H35" s="515"/>
      <c r="I35" s="515"/>
      <c r="J35" s="515"/>
      <c r="K35" s="515"/>
      <c r="L35" s="831"/>
      <c r="M35" s="828"/>
      <c r="N35" s="516">
        <f>(O24+O29)/(M24+M29)/12*1000</f>
        <v>26931.3782051282</v>
      </c>
      <c r="O35" s="515"/>
      <c r="P35" s="514"/>
      <c r="Q35" s="830"/>
      <c r="R35" s="6173"/>
      <c r="S35" s="828"/>
      <c r="T35" s="516">
        <f>(U24+U29)/(S24+S29)/12*1000</f>
        <v>15736.30143528287</v>
      </c>
      <c r="U35" s="515"/>
      <c r="V35" s="515"/>
      <c r="W35" s="514"/>
      <c r="X35" s="853"/>
      <c r="Y35" s="516">
        <f>(Z24+Z29)/(X24+X29)/6*1000</f>
        <v>22071.124261976194</v>
      </c>
      <c r="Z35" s="517"/>
      <c r="AA35" s="514"/>
      <c r="AB35" s="830"/>
      <c r="AC35" s="515"/>
      <c r="AD35" s="515"/>
      <c r="AE35" s="515"/>
      <c r="AF35" s="515"/>
      <c r="AG35" s="515"/>
      <c r="AH35" s="515"/>
      <c r="AI35" s="515"/>
      <c r="AJ35" s="515"/>
      <c r="AK35" s="831"/>
      <c r="AL35" s="853"/>
      <c r="AM35" s="516">
        <f>(AN24+AN29)/(AL24+AL29)/9*1000</f>
        <v>23101.92837465565</v>
      </c>
      <c r="AN35" s="517"/>
      <c r="AO35" s="514"/>
      <c r="AP35" s="825"/>
      <c r="AQ35" s="853"/>
      <c r="AR35" s="516">
        <f>(AS24+AS29)/(AQ24+AQ29)/12*1000</f>
        <v>23276.997245179064</v>
      </c>
      <c r="AS35" s="517"/>
      <c r="AT35" s="827">
        <f t="shared" si="11"/>
        <v>1.4791911136748408</v>
      </c>
      <c r="AU35" s="828"/>
      <c r="AV35" s="516">
        <f>(AW24+AW29)/(AU24+AU29)/12*1000</f>
        <v>25563.717948717946</v>
      </c>
      <c r="AW35" s="515"/>
      <c r="AX35" s="515"/>
      <c r="AY35" s="514"/>
      <c r="AZ35" s="828"/>
      <c r="BA35" s="516">
        <f>(BB24+BB29)/(AZ24+AZ29)/12*1000</f>
        <v>25597.995857856873</v>
      </c>
      <c r="BB35" s="515"/>
      <c r="BC35" s="854">
        <f>BA35/T35</f>
        <v>1.6266843872514274</v>
      </c>
      <c r="BD35" s="826"/>
      <c r="BE35" s="853"/>
      <c r="BF35" s="516">
        <f>(BG24+BG29)/(BE24+BE29)/6*1000</f>
        <v>23259.453781512606</v>
      </c>
      <c r="BG35" s="517"/>
      <c r="BH35" s="827">
        <f t="shared" si="13"/>
        <v>0.90986193120156444</v>
      </c>
      <c r="BI35" s="853"/>
      <c r="BJ35" s="516">
        <f>(BK24+BK29)/(BI24+BI29)/9*1000</f>
        <v>23705.234159779615</v>
      </c>
      <c r="BK35" s="517"/>
      <c r="BL35" s="827">
        <f t="shared" si="14"/>
        <v>0.9260582075023539</v>
      </c>
      <c r="BM35" s="1543"/>
      <c r="BN35" s="516">
        <f>(BO24+BO29)/(BM24+BM29)/3*1000</f>
        <v>25577.083333333336</v>
      </c>
      <c r="BO35" s="1543"/>
      <c r="BP35" s="828"/>
      <c r="BQ35" s="516">
        <f>(BR24+BR29)/(BP24+BP29)/12*1000</f>
        <v>28120.089743589746</v>
      </c>
      <c r="BR35" s="515"/>
      <c r="BS35" s="827">
        <f t="shared" si="17"/>
        <v>1.0985270057756791</v>
      </c>
      <c r="BT35" s="828"/>
      <c r="BU35" s="516">
        <f>(BV24+BV29)/(BT24+BT29)/12*1000</f>
        <v>27456.077812229923</v>
      </c>
      <c r="BV35" s="515"/>
      <c r="BW35" s="827">
        <f t="shared" si="18"/>
        <v>1.0725870089475285</v>
      </c>
      <c r="BX35" s="1292">
        <f t="shared" si="23"/>
        <v>1.1582285003880839</v>
      </c>
      <c r="BY35" s="6163"/>
      <c r="BZ35" s="6164"/>
      <c r="CA35" s="6164"/>
      <c r="CB35" s="6165"/>
    </row>
    <row r="36" spans="1:80" ht="37.5" customHeight="1" x14ac:dyDescent="0.2">
      <c r="A36" s="6175" t="s">
        <v>245</v>
      </c>
      <c r="B36" s="6176"/>
      <c r="C36" s="1544"/>
      <c r="D36" s="1545"/>
      <c r="E36" s="1545"/>
      <c r="F36" s="1545"/>
      <c r="G36" s="1545"/>
      <c r="H36" s="1545"/>
      <c r="I36" s="1545"/>
      <c r="J36" s="1545"/>
      <c r="K36" s="1545"/>
      <c r="L36" s="1513"/>
      <c r="M36" s="1546"/>
      <c r="N36" s="1547">
        <f>N24</f>
        <v>25754.516129032254</v>
      </c>
      <c r="O36" s="1545"/>
      <c r="P36" s="1524">
        <f>N36/AM8</f>
        <v>2.7583455187985857</v>
      </c>
      <c r="Q36" s="1544"/>
      <c r="R36" s="6173"/>
      <c r="S36" s="1546"/>
      <c r="T36" s="1547">
        <f>T24</f>
        <v>9859.8122849032261</v>
      </c>
      <c r="U36" s="1545"/>
      <c r="V36" s="1345">
        <f>T36/AM8</f>
        <v>1.056</v>
      </c>
      <c r="W36" s="1500"/>
      <c r="X36" s="1548"/>
      <c r="Y36" s="1547">
        <f>Y24</f>
        <v>21580.822040944742</v>
      </c>
      <c r="Z36" s="1518"/>
      <c r="AA36" s="1514">
        <f>Y36/T36</f>
        <v>2.1887660147433077</v>
      </c>
      <c r="AB36" s="1544"/>
      <c r="AC36" s="1545"/>
      <c r="AD36" s="1545"/>
      <c r="AE36" s="1545"/>
      <c r="AF36" s="1545"/>
      <c r="AG36" s="1545"/>
      <c r="AH36" s="1545"/>
      <c r="AI36" s="1545"/>
      <c r="AJ36" s="1545"/>
      <c r="AK36" s="1513"/>
      <c r="AL36" s="1548"/>
      <c r="AM36" s="1547">
        <f>AM24</f>
        <v>22609.909909909911</v>
      </c>
      <c r="AN36" s="1518"/>
      <c r="AO36" s="1514">
        <f>AM36/T36</f>
        <v>2.2931379682074575</v>
      </c>
      <c r="AP36" s="1549"/>
      <c r="AQ36" s="1548"/>
      <c r="AR36" s="1547">
        <f>AR24</f>
        <v>22770.326576576579</v>
      </c>
      <c r="AS36" s="1518"/>
      <c r="AT36" s="1509">
        <f t="shared" si="11"/>
        <v>2.3094077167616249</v>
      </c>
      <c r="AU36" s="1546"/>
      <c r="AV36" s="1547">
        <f>AV24</f>
        <v>23460.37634408602</v>
      </c>
      <c r="AW36" s="1545"/>
      <c r="AX36" s="1345">
        <f>AV36/T36</f>
        <v>2.3793938125989671</v>
      </c>
      <c r="AY36" s="1500"/>
      <c r="AZ36" s="1546"/>
      <c r="BA36" s="1547">
        <f>BA24</f>
        <v>23530.113691896189</v>
      </c>
      <c r="BB36" s="1545"/>
      <c r="BC36" s="1524">
        <f>BA36/T36</f>
        <v>2.3864667005805109</v>
      </c>
      <c r="BD36" s="1550"/>
      <c r="BE36" s="1548"/>
      <c r="BF36" s="1547">
        <f>BF24</f>
        <v>22832.175925925923</v>
      </c>
      <c r="BG36" s="1518"/>
      <c r="BH36" s="1509">
        <f t="shared" si="13"/>
        <v>0.9732229181260148</v>
      </c>
      <c r="BI36" s="1548"/>
      <c r="BJ36" s="1547">
        <f>BJ24</f>
        <v>22988.888888888887</v>
      </c>
      <c r="BK36" s="1518"/>
      <c r="BL36" s="1509">
        <f t="shared" si="14"/>
        <v>0.9769986320468268</v>
      </c>
      <c r="BM36" s="1551"/>
      <c r="BN36" s="1547">
        <f>BN24</f>
        <v>24872.602739726019</v>
      </c>
      <c r="BO36" s="1551"/>
      <c r="BP36" s="1546"/>
      <c r="BQ36" s="1547">
        <f>BQ24</f>
        <v>25806.413978494627</v>
      </c>
      <c r="BR36" s="1545"/>
      <c r="BS36" s="1509">
        <f t="shared" si="17"/>
        <v>1.0967398762455789</v>
      </c>
      <c r="BT36" s="1546"/>
      <c r="BU36" s="1547">
        <f>BU24</f>
        <v>26725.298409525822</v>
      </c>
      <c r="BV36" s="1545"/>
      <c r="BW36" s="1509">
        <f t="shared" si="18"/>
        <v>1.1357912995860304</v>
      </c>
      <c r="BX36" s="1292">
        <f t="shared" si="23"/>
        <v>1.1625311052959517</v>
      </c>
      <c r="BY36" s="6163"/>
      <c r="BZ36" s="6164"/>
      <c r="CA36" s="6164"/>
      <c r="CB36" s="6165"/>
    </row>
    <row r="37" spans="1:80" ht="37.5" customHeight="1" thickBot="1" x14ac:dyDescent="0.25">
      <c r="A37" s="518" t="s">
        <v>246</v>
      </c>
      <c r="B37" s="519"/>
      <c r="C37" s="829"/>
      <c r="D37" s="1552"/>
      <c r="E37" s="1552"/>
      <c r="F37" s="1552"/>
      <c r="G37" s="1552"/>
      <c r="H37" s="1552"/>
      <c r="I37" s="1552"/>
      <c r="J37" s="1552"/>
      <c r="K37" s="1552"/>
      <c r="L37" s="1553"/>
      <c r="M37" s="518"/>
      <c r="N37" s="1554">
        <f>N29</f>
        <v>28668.650793650795</v>
      </c>
      <c r="O37" s="1552"/>
      <c r="P37" s="847">
        <f>N37/AM14</f>
        <v>1.2088032234986785</v>
      </c>
      <c r="Q37" s="829"/>
      <c r="R37" s="6174"/>
      <c r="S37" s="518"/>
      <c r="T37" s="1554">
        <f>T29</f>
        <v>25224.382875999996</v>
      </c>
      <c r="U37" s="1552"/>
      <c r="V37" s="1555">
        <f>T37/AM14</f>
        <v>1.0635769206839176</v>
      </c>
      <c r="W37" s="519"/>
      <c r="X37" s="848"/>
      <c r="Y37" s="1554">
        <f>Y29</f>
        <v>22836.666666666668</v>
      </c>
      <c r="Z37" s="1556"/>
      <c r="AA37" s="849">
        <f>Y37/T37</f>
        <v>0.90534094645363372</v>
      </c>
      <c r="AB37" s="829"/>
      <c r="AC37" s="1552"/>
      <c r="AD37" s="1552"/>
      <c r="AE37" s="1552"/>
      <c r="AF37" s="1552"/>
      <c r="AG37" s="1552"/>
      <c r="AH37" s="1552"/>
      <c r="AI37" s="1552"/>
      <c r="AJ37" s="1552"/>
      <c r="AK37" s="1553"/>
      <c r="AL37" s="848"/>
      <c r="AM37" s="1554">
        <f>AM29</f>
        <v>23876.59574468085</v>
      </c>
      <c r="AN37" s="1556"/>
      <c r="AO37" s="849">
        <f>AM37/T37</f>
        <v>0.94656808303518447</v>
      </c>
      <c r="AP37" s="823"/>
      <c r="AQ37" s="848"/>
      <c r="AR37" s="1554">
        <f>AR29</f>
        <v>24074.734042553187</v>
      </c>
      <c r="AS37" s="1556"/>
      <c r="AT37" s="1557">
        <f t="shared" si="11"/>
        <v>0.95442311357632248</v>
      </c>
      <c r="AU37" s="518"/>
      <c r="AV37" s="1554">
        <f>AV29</f>
        <v>28668.650793650795</v>
      </c>
      <c r="AW37" s="1552"/>
      <c r="AX37" s="1555">
        <f>AV37/T37</f>
        <v>1.1365451806921265</v>
      </c>
      <c r="AY37" s="519"/>
      <c r="AZ37" s="518"/>
      <c r="BA37" s="1554">
        <f>BA29</f>
        <v>28763.121622082414</v>
      </c>
      <c r="BB37" s="1552"/>
      <c r="BC37" s="847">
        <f>BA37/T37</f>
        <v>1.1402903993123807</v>
      </c>
      <c r="BD37" s="824"/>
      <c r="BE37" s="848"/>
      <c r="BF37" s="1554">
        <f>BF29</f>
        <v>23914.007092198586</v>
      </c>
      <c r="BG37" s="1556"/>
      <c r="BH37" s="1557">
        <f t="shared" si="13"/>
        <v>0.83415181496768542</v>
      </c>
      <c r="BI37" s="848"/>
      <c r="BJ37" s="1554">
        <f>BJ29</f>
        <v>24833.096926713952</v>
      </c>
      <c r="BK37" s="1556"/>
      <c r="BL37" s="1557">
        <f t="shared" si="14"/>
        <v>0.86336584926334103</v>
      </c>
      <c r="BM37" s="1558"/>
      <c r="BN37" s="1554">
        <f>BN29</f>
        <v>26671.27659574469</v>
      </c>
      <c r="BO37" s="1558"/>
      <c r="BP37" s="518"/>
      <c r="BQ37" s="1554">
        <f>BQ29</f>
        <v>31535.515873015873</v>
      </c>
      <c r="BR37" s="1552"/>
      <c r="BS37" s="1557">
        <f t="shared" si="17"/>
        <v>1.0963871128926772</v>
      </c>
      <c r="BT37" s="518"/>
      <c r="BU37" s="1554">
        <f>BU29</f>
        <v>28606.666659040642</v>
      </c>
      <c r="BV37" s="1552"/>
      <c r="BW37" s="1557">
        <f t="shared" si="18"/>
        <v>0.99456057082060056</v>
      </c>
      <c r="BX37" s="1292">
        <f t="shared" si="23"/>
        <v>1.1519572747395559</v>
      </c>
      <c r="BY37" s="6166"/>
      <c r="BZ37" s="6167"/>
      <c r="CA37" s="6167"/>
      <c r="CB37" s="6168"/>
    </row>
    <row r="40" spans="1:80" ht="50.25" customHeight="1" x14ac:dyDescent="0.3">
      <c r="A40" s="6134" t="s">
        <v>1021</v>
      </c>
      <c r="B40" s="6134"/>
      <c r="C40" s="6134"/>
      <c r="D40" s="6134"/>
      <c r="E40" s="6134"/>
      <c r="F40" s="6134"/>
      <c r="G40" s="6134"/>
      <c r="H40" s="6134"/>
      <c r="I40" s="6134"/>
      <c r="J40" s="6134"/>
      <c r="K40" s="6134"/>
      <c r="L40" s="6134"/>
      <c r="M40" s="6134"/>
      <c r="N40" s="6134"/>
      <c r="O40" s="6134"/>
      <c r="P40" s="6134"/>
      <c r="Q40" s="6134"/>
      <c r="R40" s="6134"/>
      <c r="S40" s="6134"/>
      <c r="T40" s="6134"/>
      <c r="U40" s="6134"/>
      <c r="V40" s="6134"/>
      <c r="W40" s="6134"/>
      <c r="X40" s="6134"/>
      <c r="Y40" s="6134"/>
      <c r="Z40" s="6134"/>
      <c r="AA40" s="6134"/>
      <c r="AB40" s="6134"/>
      <c r="AC40" s="6134"/>
      <c r="AD40" s="6134"/>
      <c r="AE40" s="6134"/>
      <c r="AF40" s="6134"/>
      <c r="AG40" s="6134"/>
      <c r="AH40" s="6134"/>
      <c r="AI40" s="6134"/>
      <c r="AJ40" s="6134"/>
      <c r="AK40" s="6134"/>
      <c r="AL40" s="6134"/>
      <c r="AM40" s="6134"/>
      <c r="AN40" s="6134"/>
      <c r="AO40" s="6134"/>
      <c r="AP40" s="6134"/>
      <c r="AQ40" s="6134"/>
      <c r="AR40" s="6134"/>
      <c r="AS40" s="6134"/>
      <c r="AT40" s="6134"/>
      <c r="AU40" s="6134"/>
      <c r="AV40" s="6134"/>
      <c r="AW40" s="6134"/>
      <c r="AX40" s="6134"/>
      <c r="AY40" s="6134"/>
      <c r="AZ40" s="6134"/>
      <c r="BA40" s="6134"/>
      <c r="BB40" s="6134"/>
      <c r="BC40" s="6134"/>
      <c r="BD40" s="6134"/>
      <c r="BE40" s="6134"/>
      <c r="BF40" s="6134"/>
      <c r="BG40" s="6134"/>
      <c r="BH40" s="6134"/>
      <c r="BI40" s="6134"/>
      <c r="BJ40" s="6134"/>
      <c r="BK40" s="6134"/>
      <c r="BL40" s="6134"/>
      <c r="BM40" s="6134"/>
      <c r="BN40" s="6134"/>
      <c r="BO40" s="6134"/>
      <c r="BP40" s="6134"/>
      <c r="BQ40" s="6134"/>
      <c r="BR40" s="6134"/>
      <c r="BS40" s="6134"/>
      <c r="BT40" s="6134"/>
      <c r="BU40" s="6134"/>
      <c r="BV40" s="6134"/>
      <c r="BW40" s="6134"/>
      <c r="BX40" s="6134"/>
      <c r="BY40" s="6134"/>
      <c r="BZ40" s="6134"/>
      <c r="CA40" s="6134"/>
      <c r="CB40" s="6134"/>
    </row>
    <row r="47" spans="1:80" x14ac:dyDescent="0.2">
      <c r="BJ47" s="1290"/>
    </row>
  </sheetData>
  <mergeCells count="50">
    <mergeCell ref="BY24:CB37"/>
    <mergeCell ref="A34:BX34"/>
    <mergeCell ref="A35:B35"/>
    <mergeCell ref="R35:R37"/>
    <mergeCell ref="A36:B36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AU20:BO20"/>
    <mergeCell ref="BP20:BX20"/>
    <mergeCell ref="BY20:CB23"/>
    <mergeCell ref="C21:E22"/>
    <mergeCell ref="F21:H22"/>
    <mergeCell ref="I21:L21"/>
    <mergeCell ref="M21:Q22"/>
    <mergeCell ref="BA4:BC5"/>
    <mergeCell ref="BD4:BD6"/>
    <mergeCell ref="AG5:AG6"/>
    <mergeCell ref="AH5:AI5"/>
    <mergeCell ref="AJ5:AK5"/>
    <mergeCell ref="AU4:AW5"/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335</v>
      </c>
    </row>
    <row r="6" spans="1:5" x14ac:dyDescent="0.2">
      <c r="A6" s="5" t="s">
        <v>610</v>
      </c>
    </row>
    <row r="7" spans="1:5" x14ac:dyDescent="0.2">
      <c r="A7" s="5" t="s">
        <v>3492</v>
      </c>
    </row>
    <row r="8" spans="1:5" x14ac:dyDescent="0.2">
      <c r="A8" s="5" t="s">
        <v>3493</v>
      </c>
    </row>
    <row r="11" spans="1:5" x14ac:dyDescent="0.2">
      <c r="B11" s="5142" t="s">
        <v>1847</v>
      </c>
      <c r="C11" s="5142"/>
      <c r="D11" s="5142"/>
      <c r="E11" s="5142"/>
    </row>
    <row r="12" spans="1:5" x14ac:dyDescent="0.2">
      <c r="B12" s="5142" t="s">
        <v>1848</v>
      </c>
      <c r="C12" s="5142"/>
      <c r="D12" s="5142" t="s">
        <v>1849</v>
      </c>
      <c r="E12" s="5142"/>
    </row>
    <row r="13" spans="1:5" x14ac:dyDescent="0.2">
      <c r="B13" s="2349" t="s">
        <v>359</v>
      </c>
      <c r="C13" s="2349" t="s">
        <v>1018</v>
      </c>
      <c r="D13" s="2349" t="s">
        <v>359</v>
      </c>
      <c r="E13" s="2349" t="s">
        <v>1018</v>
      </c>
    </row>
    <row r="14" spans="1:5" x14ac:dyDescent="0.2">
      <c r="A14" s="5" t="s">
        <v>345</v>
      </c>
    </row>
    <row r="15" spans="1:5" x14ac:dyDescent="0.2">
      <c r="A15" s="5" t="s">
        <v>150</v>
      </c>
      <c r="B15" s="5">
        <f>SUM(B16:B19)</f>
        <v>21</v>
      </c>
      <c r="C15" s="2360">
        <f>(B16*C16+B17*C17+B18*C18+B19*C19)/B15</f>
        <v>3.3333333333333335</v>
      </c>
      <c r="D15" s="5">
        <f>SUM(D16:D19)</f>
        <v>21</v>
      </c>
      <c r="E15" s="2360">
        <f>(D16*E16+D17*E17+D18*E18+D19*E19)/D15</f>
        <v>3.0952380952380953</v>
      </c>
    </row>
    <row r="16" spans="1:5" x14ac:dyDescent="0.2">
      <c r="A16" s="5" t="s">
        <v>3494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3494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3494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1963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3495</v>
      </c>
      <c r="B20" s="5">
        <f>SUM(B21:B33)</f>
        <v>47</v>
      </c>
      <c r="C20" s="2360">
        <f>(B21*C21+B22*C22+B23*C23+B24*C24+B25*C25+B26*C26+B27*C27+B28*C28+B29*C29+B30*C30+B31*C31+B32*C32+B33*C33)/B20</f>
        <v>3.2765957446808511</v>
      </c>
      <c r="D20" s="5">
        <f>SUM(D21:D33)</f>
        <v>47</v>
      </c>
      <c r="E20" s="2360">
        <f>(D21*E21+D22*E22+D23*E23+D24*E24+D25*E25+D26*E26+D27*E27+D28*E28+D29*E29+D30*E30+D31*E31+D32*E32+D33*E33)/D20</f>
        <v>3.1063829787234041</v>
      </c>
    </row>
    <row r="21" spans="1:5" x14ac:dyDescent="0.2">
      <c r="A21" s="5" t="s">
        <v>3496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3497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3498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3498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1963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1963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3496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3499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3500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3501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3501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3502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3503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3504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Лист47">
    <tabColor rgb="FFCC00FF"/>
    <pageSetUpPr fitToPage="1"/>
  </sheetPr>
  <dimension ref="A1:AL92"/>
  <sheetViews>
    <sheetView workbookViewId="0">
      <selection activeCell="AL7" sqref="AL7:AL23"/>
    </sheetView>
  </sheetViews>
  <sheetFormatPr defaultRowHeight="12.75" x14ac:dyDescent="0.2"/>
  <cols>
    <col min="1" max="1" width="19.140625" style="5" customWidth="1"/>
    <col min="2" max="4" width="7.42578125" style="2091" hidden="1" customWidth="1"/>
    <col min="5" max="5" width="7.42578125" style="2208" hidden="1" customWidth="1"/>
    <col min="6" max="7" width="7.42578125" style="2459" hidden="1" customWidth="1"/>
    <col min="8" max="18" width="7.7109375" style="2208" customWidth="1"/>
    <col min="19" max="19" width="10.7109375" style="2459" customWidth="1"/>
    <col min="20" max="20" width="11.140625" style="2696" customWidth="1"/>
    <col min="21" max="22" width="9.5703125" style="2535" hidden="1" customWidth="1"/>
    <col min="23" max="23" width="8.7109375" style="2535" customWidth="1"/>
    <col min="24" max="24" width="15.42578125" style="2208" hidden="1" customWidth="1"/>
    <col min="25" max="25" width="11.42578125" style="3219" customWidth="1"/>
    <col min="26" max="26" width="9.7109375" style="3219" customWidth="1"/>
    <col min="27" max="28" width="9.5703125" style="3551" hidden="1" customWidth="1"/>
    <col min="29" max="29" width="8.85546875" style="3551" customWidth="1"/>
    <col min="30" max="30" width="12.85546875" style="3551" customWidth="1"/>
    <col min="31" max="31" width="9.140625" style="5"/>
    <col min="32" max="33" width="0" style="5" hidden="1" customWidth="1"/>
    <col min="34" max="34" width="9.140625" style="5"/>
    <col min="35" max="36" width="11.42578125" style="5" customWidth="1"/>
    <col min="37" max="16384" width="9.140625" style="5"/>
  </cols>
  <sheetData>
    <row r="1" spans="1:38" ht="18.75" customHeight="1" x14ac:dyDescent="0.3">
      <c r="A1" s="6178" t="s">
        <v>4036</v>
      </c>
      <c r="B1" s="4910"/>
      <c r="C1" s="4910"/>
      <c r="D1" s="4910"/>
      <c r="E1" s="4910"/>
      <c r="F1" s="4910"/>
      <c r="G1" s="4910"/>
      <c r="H1" s="4910"/>
      <c r="I1" s="4910"/>
      <c r="J1" s="4910"/>
      <c r="K1" s="4910"/>
      <c r="L1" s="4910"/>
      <c r="M1" s="4910"/>
      <c r="N1" s="4910"/>
      <c r="O1" s="4910"/>
      <c r="P1" s="4910"/>
      <c r="Q1" s="4910"/>
      <c r="R1" s="4910"/>
      <c r="S1" s="4910"/>
      <c r="T1" s="4910"/>
      <c r="U1" s="4910"/>
      <c r="V1" s="4910"/>
      <c r="W1" s="4910"/>
      <c r="X1" s="4910"/>
      <c r="Y1" s="4910"/>
      <c r="Z1" s="4910"/>
      <c r="AA1" s="4910"/>
      <c r="AB1" s="4910"/>
      <c r="AC1" s="4910"/>
      <c r="AD1" s="4910"/>
      <c r="AE1" s="4910"/>
      <c r="AF1" s="4910"/>
      <c r="AG1" s="4910"/>
      <c r="AH1" s="4910"/>
      <c r="AI1" s="4910"/>
      <c r="AJ1" s="4910"/>
      <c r="AK1" s="4910"/>
      <c r="AL1" s="4910"/>
    </row>
    <row r="4" spans="1:38" x14ac:dyDescent="0.2">
      <c r="A4" s="5155" t="s">
        <v>525</v>
      </c>
      <c r="B4" s="5144" t="s">
        <v>645</v>
      </c>
      <c r="C4" s="5144"/>
      <c r="D4" s="5155" t="s">
        <v>2037</v>
      </c>
      <c r="E4" s="5155"/>
      <c r="F4" s="5155" t="s">
        <v>3539</v>
      </c>
      <c r="G4" s="5155"/>
      <c r="H4" s="3223" t="s">
        <v>1799</v>
      </c>
      <c r="I4" s="3223" t="s">
        <v>1805</v>
      </c>
      <c r="J4" s="3223" t="s">
        <v>1806</v>
      </c>
      <c r="K4" s="3223" t="s">
        <v>1807</v>
      </c>
      <c r="L4" s="3223" t="s">
        <v>1808</v>
      </c>
      <c r="M4" s="3223" t="s">
        <v>1799</v>
      </c>
      <c r="N4" s="3223" t="s">
        <v>1805</v>
      </c>
      <c r="O4" s="3223" t="s">
        <v>1806</v>
      </c>
      <c r="P4" s="3223" t="s">
        <v>1807</v>
      </c>
      <c r="Q4" s="3223" t="s">
        <v>1808</v>
      </c>
      <c r="R4" s="3223" t="s">
        <v>1809</v>
      </c>
      <c r="S4" s="5155" t="s">
        <v>3659</v>
      </c>
      <c r="T4" s="6181"/>
      <c r="U4" s="5837" t="s">
        <v>3614</v>
      </c>
      <c r="V4" s="5837" t="s">
        <v>3615</v>
      </c>
      <c r="W4" s="5837" t="s">
        <v>3616</v>
      </c>
      <c r="X4" s="5155" t="s">
        <v>235</v>
      </c>
      <c r="Y4" s="5155" t="s">
        <v>3846</v>
      </c>
      <c r="Z4" s="6181"/>
      <c r="AA4" s="5837" t="s">
        <v>3867</v>
      </c>
      <c r="AB4" s="5837" t="s">
        <v>3868</v>
      </c>
      <c r="AC4" s="5837" t="s">
        <v>3877</v>
      </c>
      <c r="AD4" s="5155" t="s">
        <v>3895</v>
      </c>
      <c r="AE4" s="6181"/>
      <c r="AF4" s="5837" t="s">
        <v>3946</v>
      </c>
      <c r="AG4" s="5837" t="s">
        <v>3947</v>
      </c>
      <c r="AH4" s="5837" t="s">
        <v>3948</v>
      </c>
      <c r="AI4" s="5155" t="s">
        <v>4014</v>
      </c>
      <c r="AJ4" s="6181"/>
      <c r="AK4" s="5837" t="s">
        <v>4273</v>
      </c>
      <c r="AL4" s="5837" t="s">
        <v>4274</v>
      </c>
    </row>
    <row r="5" spans="1:38" ht="24.75" customHeight="1" x14ac:dyDescent="0.2">
      <c r="A5" s="5155"/>
      <c r="B5" s="3220" t="s">
        <v>1585</v>
      </c>
      <c r="C5" s="3220" t="s">
        <v>60</v>
      </c>
      <c r="D5" s="3220" t="s">
        <v>1585</v>
      </c>
      <c r="E5" s="3223" t="s">
        <v>60</v>
      </c>
      <c r="F5" s="3220" t="s">
        <v>1585</v>
      </c>
      <c r="G5" s="3223" t="s">
        <v>60</v>
      </c>
      <c r="H5" s="5155" t="s">
        <v>118</v>
      </c>
      <c r="I5" s="5155"/>
      <c r="J5" s="5155"/>
      <c r="K5" s="5155"/>
      <c r="L5" s="5155"/>
      <c r="M5" s="5155" t="s">
        <v>1521</v>
      </c>
      <c r="N5" s="5155"/>
      <c r="O5" s="5155"/>
      <c r="P5" s="5155"/>
      <c r="Q5" s="5155"/>
      <c r="R5" s="5155"/>
      <c r="S5" s="3223" t="s">
        <v>3668</v>
      </c>
      <c r="T5" s="3223" t="s">
        <v>1899</v>
      </c>
      <c r="U5" s="6177"/>
      <c r="V5" s="6177"/>
      <c r="W5" s="6177"/>
      <c r="X5" s="5155"/>
      <c r="Y5" s="3223" t="s">
        <v>3668</v>
      </c>
      <c r="Z5" s="3223" t="s">
        <v>1899</v>
      </c>
      <c r="AA5" s="6177"/>
      <c r="AB5" s="6177"/>
      <c r="AC5" s="6177"/>
      <c r="AD5" s="3624" t="s">
        <v>3668</v>
      </c>
      <c r="AE5" s="3624" t="s">
        <v>1899</v>
      </c>
      <c r="AF5" s="6177"/>
      <c r="AG5" s="6177"/>
      <c r="AH5" s="6177"/>
      <c r="AI5" s="3937" t="s">
        <v>3668</v>
      </c>
      <c r="AJ5" s="3937" t="s">
        <v>1899</v>
      </c>
      <c r="AK5" s="6177"/>
      <c r="AL5" s="6177"/>
    </row>
    <row r="6" spans="1:38" x14ac:dyDescent="0.2">
      <c r="A6" s="2553" t="s">
        <v>94</v>
      </c>
      <c r="B6" s="3052"/>
      <c r="C6" s="3052"/>
      <c r="D6" s="3052"/>
      <c r="E6" s="3228"/>
      <c r="F6" s="3052"/>
      <c r="G6" s="3228"/>
      <c r="H6" s="3228"/>
      <c r="I6" s="3228"/>
      <c r="J6" s="3228"/>
      <c r="K6" s="3228"/>
      <c r="L6" s="3228"/>
      <c r="M6" s="3228"/>
      <c r="N6" s="3228"/>
      <c r="O6" s="3228"/>
      <c r="P6" s="3228"/>
      <c r="Q6" s="3228"/>
      <c r="R6" s="3228"/>
      <c r="S6" s="3228"/>
      <c r="T6" s="3228"/>
      <c r="U6" s="3228"/>
      <c r="V6" s="3228"/>
      <c r="W6" s="3228"/>
      <c r="X6" s="3228"/>
      <c r="Y6" s="3942"/>
      <c r="Z6" s="3942"/>
      <c r="AA6" s="3942"/>
      <c r="AB6" s="3942"/>
      <c r="AC6" s="3184"/>
      <c r="AD6" s="3942"/>
      <c r="AE6" s="3942"/>
      <c r="AF6" s="3803"/>
      <c r="AG6" s="3803"/>
      <c r="AH6" s="3942"/>
      <c r="AI6" s="3948"/>
      <c r="AJ6" s="4140"/>
      <c r="AK6" s="4728"/>
      <c r="AL6" s="4728"/>
    </row>
    <row r="7" spans="1:38" x14ac:dyDescent="0.2">
      <c r="A7" s="2553" t="s">
        <v>46</v>
      </c>
      <c r="B7" s="3247">
        <f>'вода 2019-2023 коррект'!F18</f>
        <v>216.27343999999999</v>
      </c>
      <c r="C7" s="2202">
        <f>'вода 2019-2023 коррект'!H18</f>
        <v>128.16</v>
      </c>
      <c r="D7" s="2202">
        <f>B7</f>
        <v>216.27343999999999</v>
      </c>
      <c r="E7" s="3229">
        <f>'вода 2019-2023 коррект'!L18</f>
        <v>156.02000000000001</v>
      </c>
      <c r="F7" s="2202">
        <v>82.14</v>
      </c>
      <c r="G7" s="2558">
        <f>SUM(G9:G12)</f>
        <v>136.50051999999999</v>
      </c>
      <c r="H7" s="3229">
        <f>'вода 2019-2023 коррект'!R18</f>
        <v>222.75</v>
      </c>
      <c r="I7" s="3229">
        <f>'вода 2019-2023 коррект'!S18</f>
        <v>229.44</v>
      </c>
      <c r="J7" s="3229">
        <f>'вода 2019-2023 коррект'!T18</f>
        <v>236.32</v>
      </c>
      <c r="K7" s="3229">
        <f>'вода 2019-2023 коррект'!U18</f>
        <v>243.41</v>
      </c>
      <c r="L7" s="3229">
        <f>'вода 2019-2023 коррект'!V18</f>
        <v>250.71</v>
      </c>
      <c r="M7" s="2112">
        <f>D53/1000</f>
        <v>63.916885499999999</v>
      </c>
      <c r="N7" s="2112">
        <f>M7*1.034</f>
        <v>66.090059607000001</v>
      </c>
      <c r="O7" s="2112">
        <f>N7*1.04</f>
        <v>68.733661991280002</v>
      </c>
      <c r="P7" s="2112">
        <f t="shared" ref="P7:R13" si="0">O7*1.04</f>
        <v>71.48300847093121</v>
      </c>
      <c r="Q7" s="2112">
        <f t="shared" si="0"/>
        <v>74.34232880976846</v>
      </c>
      <c r="R7" s="2112">
        <f t="shared" si="0"/>
        <v>77.316021962159198</v>
      </c>
      <c r="S7" s="2558">
        <f>SUM(S9:S12)</f>
        <v>147.08531632288</v>
      </c>
      <c r="T7" s="2558">
        <f>128.069*1.047*1.03</f>
        <v>138.11089028999999</v>
      </c>
      <c r="U7" s="2558">
        <f>SUM(U9+U12)</f>
        <v>44.824379999999998</v>
      </c>
      <c r="V7" s="2558">
        <f>SUM(V9+V12)</f>
        <v>67.213049999999996</v>
      </c>
      <c r="W7" s="2558">
        <f>SUM(W9+W12)</f>
        <v>89.509</v>
      </c>
      <c r="X7" s="3228"/>
      <c r="Y7" s="2558">
        <f>SUM(T7)</f>
        <v>138.11089028999999</v>
      </c>
      <c r="Z7" s="2574">
        <f>SUM(Z9)</f>
        <v>86.286980999999997</v>
      </c>
      <c r="AA7" s="2558">
        <f>SUM(AA9+AA12)</f>
        <v>65.471580000000003</v>
      </c>
      <c r="AB7" s="2558">
        <f>SUM(AB9+AB12)</f>
        <v>98.133319999999998</v>
      </c>
      <c r="AC7" s="2558">
        <f>SUM(AC9+AC12)</f>
        <v>130.78776999999999</v>
      </c>
      <c r="AD7" s="2558">
        <f>SUM(AD9+AD12)</f>
        <v>137.32005000000001</v>
      </c>
      <c r="AE7" s="2574">
        <f>SUM(AE9)</f>
        <v>115.26003174</v>
      </c>
      <c r="AF7" s="3808">
        <f t="shared" ref="AF7:AH7" si="1">SUM(AF9+AF12)</f>
        <v>72.259810000000002</v>
      </c>
      <c r="AG7" s="3808">
        <f t="shared" si="1"/>
        <v>108.71161000000001</v>
      </c>
      <c r="AH7" s="2558">
        <f t="shared" si="1"/>
        <v>145.3484</v>
      </c>
      <c r="AI7" s="2463">
        <f>SUM(AI9)</f>
        <v>111.3917805</v>
      </c>
      <c r="AJ7" s="2574">
        <f>SUM(AJ9)</f>
        <v>89.04</v>
      </c>
      <c r="AK7" s="4830">
        <f t="shared" ref="AK7:AL7" si="2">SUM(AK9+AK12)</f>
        <v>74.807540000000003</v>
      </c>
      <c r="AL7" s="4830">
        <f t="shared" si="2"/>
        <v>143.68168000000003</v>
      </c>
    </row>
    <row r="8" spans="1:38" x14ac:dyDescent="0.2">
      <c r="A8" s="2553" t="s">
        <v>50</v>
      </c>
      <c r="B8" s="3247"/>
      <c r="C8" s="2202"/>
      <c r="D8" s="2202"/>
      <c r="E8" s="3229"/>
      <c r="F8" s="2202"/>
      <c r="G8" s="2558"/>
      <c r="H8" s="3229"/>
      <c r="I8" s="3229"/>
      <c r="J8" s="3229"/>
      <c r="K8" s="3229"/>
      <c r="L8" s="3229"/>
      <c r="M8" s="2112"/>
      <c r="N8" s="2112"/>
      <c r="O8" s="2112"/>
      <c r="P8" s="2112"/>
      <c r="Q8" s="2112"/>
      <c r="R8" s="2112"/>
      <c r="S8" s="2112"/>
      <c r="T8" s="2112"/>
      <c r="U8" s="2112"/>
      <c r="V8" s="2112"/>
      <c r="W8" s="2112"/>
      <c r="X8" s="3228"/>
      <c r="Y8" s="2112"/>
      <c r="Z8" s="2112"/>
      <c r="AA8" s="2112"/>
      <c r="AB8" s="2112"/>
      <c r="AC8" s="2112"/>
      <c r="AD8" s="2112"/>
      <c r="AE8" s="2112"/>
      <c r="AF8" s="3804"/>
      <c r="AG8" s="3804"/>
      <c r="AH8" s="2112"/>
      <c r="AI8" s="2464"/>
      <c r="AJ8" s="2112"/>
      <c r="AK8" s="4827"/>
      <c r="AL8" s="4827"/>
    </row>
    <row r="9" spans="1:38" s="1867" customFormat="1" x14ac:dyDescent="0.2">
      <c r="A9" s="3101" t="s">
        <v>3632</v>
      </c>
      <c r="B9" s="3248"/>
      <c r="C9" s="3186"/>
      <c r="D9" s="3186"/>
      <c r="E9" s="2636"/>
      <c r="F9" s="3186"/>
      <c r="G9" s="2558">
        <v>136.5</v>
      </c>
      <c r="H9" s="2636"/>
      <c r="I9" s="2636"/>
      <c r="J9" s="2636"/>
      <c r="K9" s="2636"/>
      <c r="L9" s="2636"/>
      <c r="M9" s="3249">
        <f>вода!BW60</f>
        <v>63.885995088205725</v>
      </c>
      <c r="N9" s="2112">
        <f>M9*1.034</f>
        <v>66.058118921204724</v>
      </c>
      <c r="O9" s="2112">
        <f t="shared" ref="O9:R9" si="3">N9*1.04</f>
        <v>68.70044367805292</v>
      </c>
      <c r="P9" s="2112">
        <f t="shared" si="3"/>
        <v>71.44846142517504</v>
      </c>
      <c r="Q9" s="2112">
        <f t="shared" si="3"/>
        <v>74.306399882182049</v>
      </c>
      <c r="R9" s="2112">
        <f t="shared" si="3"/>
        <v>77.278655877469333</v>
      </c>
      <c r="S9" s="2560">
        <f>SUM(G9*1.0361*1.04)</f>
        <v>147.084756</v>
      </c>
      <c r="T9" s="2560"/>
      <c r="U9" s="2560">
        <f>SUM(U10:U11)</f>
        <v>44.822929999999999</v>
      </c>
      <c r="V9" s="2560">
        <f>SUM(V10:V11)</f>
        <v>67.210719999999995</v>
      </c>
      <c r="W9" s="2560">
        <f>SUM(W10:W11)</f>
        <v>89.506</v>
      </c>
      <c r="X9" s="2636"/>
      <c r="Y9" s="2560">
        <f>SUM(Y7)</f>
        <v>138.11089028999999</v>
      </c>
      <c r="Z9" s="2560">
        <v>86.286980999999997</v>
      </c>
      <c r="AA9" s="2560">
        <f>SUM(AA10:AA11)</f>
        <v>65.468450000000004</v>
      </c>
      <c r="AB9" s="2560">
        <f>SUM(AB10:AB11)</f>
        <v>98.12679</v>
      </c>
      <c r="AC9" s="2560">
        <f>SUM(AC10:AC11)</f>
        <v>130.78100000000001</v>
      </c>
      <c r="AD9" s="2560">
        <f>SUM(AC9*1.05)</f>
        <v>137.32005000000001</v>
      </c>
      <c r="AE9" s="2560">
        <f>SUM(AE10:AE11)</f>
        <v>115.26003174</v>
      </c>
      <c r="AF9" s="3807">
        <f t="shared" ref="AF9:AH9" si="4">SUM(AF10:AF11)</f>
        <v>72.257239999999996</v>
      </c>
      <c r="AG9" s="3807">
        <f t="shared" si="4"/>
        <v>108.70672</v>
      </c>
      <c r="AH9" s="2560">
        <f t="shared" si="4"/>
        <v>145.34207000000001</v>
      </c>
      <c r="AI9" s="2465">
        <f>SUM(AI36)/1000</f>
        <v>111.3917805</v>
      </c>
      <c r="AJ9" s="2560">
        <v>89.04</v>
      </c>
      <c r="AK9" s="4831">
        <f t="shared" ref="AK9:AL9" si="5">SUM(AK10:AK11)</f>
        <v>74.80386</v>
      </c>
      <c r="AL9" s="4831">
        <f t="shared" si="5"/>
        <v>143.67680000000001</v>
      </c>
    </row>
    <row r="10" spans="1:38" s="1867" customFormat="1" x14ac:dyDescent="0.2">
      <c r="A10" s="3250" t="s">
        <v>3633</v>
      </c>
      <c r="B10" s="3248"/>
      <c r="C10" s="3186"/>
      <c r="D10" s="3186"/>
      <c r="E10" s="2636"/>
      <c r="F10" s="3186"/>
      <c r="G10" s="2558"/>
      <c r="H10" s="2636"/>
      <c r="I10" s="2636"/>
      <c r="J10" s="2636"/>
      <c r="K10" s="2636"/>
      <c r="L10" s="2636"/>
      <c r="M10" s="3249"/>
      <c r="N10" s="2112"/>
      <c r="O10" s="2112"/>
      <c r="P10" s="2112"/>
      <c r="Q10" s="2112"/>
      <c r="R10" s="2112"/>
      <c r="S10" s="2560"/>
      <c r="T10" s="2560"/>
      <c r="U10" s="2615">
        <v>40.353000000000002</v>
      </c>
      <c r="V10" s="2615">
        <v>60.529499999999999</v>
      </c>
      <c r="W10" s="2615">
        <v>80.706000000000003</v>
      </c>
      <c r="X10" s="2636"/>
      <c r="Y10" s="2560"/>
      <c r="Z10" s="2560"/>
      <c r="AA10" s="2615">
        <v>52.128</v>
      </c>
      <c r="AB10" s="2615">
        <v>78.191999999999993</v>
      </c>
      <c r="AC10" s="2615">
        <v>104.253</v>
      </c>
      <c r="AD10" s="2560"/>
      <c r="AE10" s="2560">
        <f>SUM(AC10*1.06*1.043)</f>
        <v>115.26003174</v>
      </c>
      <c r="AF10" s="3805">
        <v>58.255000000000003</v>
      </c>
      <c r="AG10" s="3805">
        <v>87.873000000000005</v>
      </c>
      <c r="AH10" s="2615">
        <v>117.479</v>
      </c>
      <c r="AI10" s="2465"/>
      <c r="AJ10" s="2560"/>
      <c r="AK10" s="4828">
        <v>60.774999999999999</v>
      </c>
      <c r="AL10" s="4828">
        <v>122.55800000000001</v>
      </c>
    </row>
    <row r="11" spans="1:38" s="1867" customFormat="1" x14ac:dyDescent="0.2">
      <c r="A11" s="3250" t="s">
        <v>3634</v>
      </c>
      <c r="B11" s="3248"/>
      <c r="C11" s="3186"/>
      <c r="D11" s="3186"/>
      <c r="E11" s="2636"/>
      <c r="F11" s="3186"/>
      <c r="G11" s="2558"/>
      <c r="H11" s="2636"/>
      <c r="I11" s="2636"/>
      <c r="J11" s="2636"/>
      <c r="K11" s="2636"/>
      <c r="L11" s="2636"/>
      <c r="M11" s="3249"/>
      <c r="N11" s="2112"/>
      <c r="O11" s="2112"/>
      <c r="P11" s="2112"/>
      <c r="Q11" s="2112"/>
      <c r="R11" s="2112"/>
      <c r="S11" s="2560"/>
      <c r="T11" s="2560"/>
      <c r="U11" s="2615">
        <v>4.4699299999999997</v>
      </c>
      <c r="V11" s="2615">
        <v>6.6812199999999997</v>
      </c>
      <c r="W11" s="2615">
        <v>8.8000000000000007</v>
      </c>
      <c r="X11" s="2636"/>
      <c r="Y11" s="2560"/>
      <c r="Z11" s="2560"/>
      <c r="AA11" s="2615">
        <v>13.340450000000001</v>
      </c>
      <c r="AB11" s="2615">
        <v>19.93479</v>
      </c>
      <c r="AC11" s="2615">
        <v>26.527999999999999</v>
      </c>
      <c r="AD11" s="2560"/>
      <c r="AE11" s="2560"/>
      <c r="AF11" s="3805">
        <v>14.00224</v>
      </c>
      <c r="AG11" s="3805">
        <v>20.83372</v>
      </c>
      <c r="AH11" s="2615">
        <v>27.86307</v>
      </c>
      <c r="AI11" s="2465"/>
      <c r="AJ11" s="2560"/>
      <c r="AK11" s="4828">
        <v>14.02886</v>
      </c>
      <c r="AL11" s="4828">
        <v>21.1188</v>
      </c>
    </row>
    <row r="12" spans="1:38" s="1867" customFormat="1" x14ac:dyDescent="0.2">
      <c r="A12" s="3101" t="s">
        <v>3635</v>
      </c>
      <c r="B12" s="3248"/>
      <c r="C12" s="3186"/>
      <c r="D12" s="3186"/>
      <c r="E12" s="2636"/>
      <c r="F12" s="3186"/>
      <c r="G12" s="2559">
        <v>5.1999999999999995E-4</v>
      </c>
      <c r="H12" s="2636"/>
      <c r="I12" s="2636"/>
      <c r="J12" s="2636"/>
      <c r="K12" s="2636"/>
      <c r="L12" s="2636"/>
      <c r="M12" s="3249">
        <f>вода!BX60</f>
        <v>3.0890411794274542E-2</v>
      </c>
      <c r="N12" s="2112">
        <f>M12*1.034</f>
        <v>3.194068579527988E-2</v>
      </c>
      <c r="O12" s="2112">
        <f t="shared" ref="O12:R12" si="6">N12*1.04</f>
        <v>3.3218313227091074E-2</v>
      </c>
      <c r="P12" s="2112">
        <f t="shared" si="6"/>
        <v>3.4547045756174719E-2</v>
      </c>
      <c r="Q12" s="2112">
        <f t="shared" si="6"/>
        <v>3.5928927586421709E-2</v>
      </c>
      <c r="R12" s="2112">
        <f t="shared" si="6"/>
        <v>3.7366084689878579E-2</v>
      </c>
      <c r="S12" s="2561">
        <f>SUM(G12*1.0361*1.04)</f>
        <v>5.6032287999999999E-4</v>
      </c>
      <c r="T12" s="2561"/>
      <c r="U12" s="2561">
        <v>1.4499999999999999E-3</v>
      </c>
      <c r="V12" s="2561">
        <v>2.33E-3</v>
      </c>
      <c r="W12" s="2561">
        <v>3.0000000000000001E-3</v>
      </c>
      <c r="X12" s="3251"/>
      <c r="Y12" s="2561"/>
      <c r="Z12" s="2561"/>
      <c r="AA12" s="2561">
        <v>3.13E-3</v>
      </c>
      <c r="AB12" s="2561">
        <v>6.5300000000000002E-3</v>
      </c>
      <c r="AC12" s="2561">
        <v>6.77E-3</v>
      </c>
      <c r="AD12" s="2561"/>
      <c r="AE12" s="2561"/>
      <c r="AF12" s="3806">
        <v>2.5699999999999998E-3</v>
      </c>
      <c r="AG12" s="3806">
        <v>4.8900000000000002E-3</v>
      </c>
      <c r="AH12" s="2561">
        <v>6.3299999999999997E-3</v>
      </c>
      <c r="AI12" s="2466"/>
      <c r="AJ12" s="2561"/>
      <c r="AK12" s="4829">
        <v>3.6800000000000001E-3</v>
      </c>
      <c r="AL12" s="4829">
        <v>4.8799999999999998E-3</v>
      </c>
    </row>
    <row r="13" spans="1:38" x14ac:dyDescent="0.2">
      <c r="A13" s="2553" t="s">
        <v>2089</v>
      </c>
      <c r="B13" s="3247">
        <f>'стоки 2019-2023'!F16</f>
        <v>152.0548</v>
      </c>
      <c r="C13" s="3247">
        <f>'стоки 2019-2023'!G16</f>
        <v>157.80000000000001</v>
      </c>
      <c r="D13" s="3247">
        <f>B13</f>
        <v>152.0548</v>
      </c>
      <c r="E13" s="3229">
        <f>'стоки 2019-2023'!M16</f>
        <v>165.87</v>
      </c>
      <c r="F13" s="3252">
        <v>65.55</v>
      </c>
      <c r="G13" s="2558">
        <f>SUM(G15:G18)</f>
        <v>92.365989999999996</v>
      </c>
      <c r="H13" s="3229">
        <f>'стоки 2019-2023'!T16</f>
        <v>175.97</v>
      </c>
      <c r="I13" s="3229">
        <f>'стоки 2019-2023'!U16</f>
        <v>181.25</v>
      </c>
      <c r="J13" s="3229">
        <f>'стоки 2019-2023'!V16</f>
        <v>186.68</v>
      </c>
      <c r="K13" s="3229">
        <f>'стоки 2019-2023'!W16</f>
        <v>192.28</v>
      </c>
      <c r="L13" s="3229">
        <f>'стоки 2019-2023'!X16</f>
        <v>198.05</v>
      </c>
      <c r="M13" s="2112">
        <f>D54/1000</f>
        <v>105.48881849999999</v>
      </c>
      <c r="N13" s="2112">
        <f>M13*1.034</f>
        <v>109.07543832899999</v>
      </c>
      <c r="O13" s="2112">
        <f>N13*1.04</f>
        <v>113.43845586216</v>
      </c>
      <c r="P13" s="2112">
        <f t="shared" si="0"/>
        <v>117.9759940966464</v>
      </c>
      <c r="Q13" s="2112">
        <f t="shared" si="0"/>
        <v>122.69503386051227</v>
      </c>
      <c r="R13" s="2112">
        <f t="shared" si="0"/>
        <v>127.60283521493277</v>
      </c>
      <c r="S13" s="2558">
        <f>SUM(S15:S18)</f>
        <v>98.942473800559995</v>
      </c>
      <c r="T13" s="2558">
        <f>86.34*1.047*1.03</f>
        <v>93.10991940000001</v>
      </c>
      <c r="U13" s="2558">
        <f>SUM(U15+U18)</f>
        <v>47.806010000000001</v>
      </c>
      <c r="V13" s="2558">
        <f>SUM(V15+V18)</f>
        <v>71.728929999999991</v>
      </c>
      <c r="W13" s="2558">
        <f>SUM(W15+W18)</f>
        <v>95.605999999999995</v>
      </c>
      <c r="X13" s="3228"/>
      <c r="Y13" s="2558">
        <f>SUM(T13)</f>
        <v>93.10991940000001</v>
      </c>
      <c r="Z13" s="2574">
        <f>SUM(Z16)</f>
        <v>93.109919000000005</v>
      </c>
      <c r="AA13" s="2558">
        <f>SUM(AA15+AA18)</f>
        <v>37.905550000000005</v>
      </c>
      <c r="AB13" s="2558">
        <f>SUM(AB15+AB18)</f>
        <v>56.961390000000002</v>
      </c>
      <c r="AC13" s="2558">
        <f>SUM(AC15+AC18)</f>
        <v>76.102800000000002</v>
      </c>
      <c r="AD13" s="2558">
        <f>SUM(Z13*1.05)</f>
        <v>97.765414950000007</v>
      </c>
      <c r="AE13" s="2574">
        <f>SUM(AE16)</f>
        <v>62.334811559999999</v>
      </c>
      <c r="AF13" s="3808">
        <f t="shared" ref="AF13:AH13" si="7">SUM(AF15+AF18)</f>
        <v>38.334200000000003</v>
      </c>
      <c r="AG13" s="3808">
        <f t="shared" si="7"/>
        <v>58.13485</v>
      </c>
      <c r="AH13" s="2558">
        <f t="shared" si="7"/>
        <v>77.907039999999995</v>
      </c>
      <c r="AI13" s="2463">
        <f>SUM(AI16)</f>
        <v>133.48947150000001</v>
      </c>
      <c r="AJ13" s="2574">
        <f>SUM(AJ16)</f>
        <v>77.86</v>
      </c>
      <c r="AK13" s="4830">
        <f t="shared" ref="AK13:AL13" si="8">SUM(AK15+AK18)</f>
        <v>40.45823</v>
      </c>
      <c r="AL13" s="4830">
        <f t="shared" si="8"/>
        <v>76.534779999999998</v>
      </c>
    </row>
    <row r="14" spans="1:38" x14ac:dyDescent="0.2">
      <c r="A14" s="2553" t="s">
        <v>50</v>
      </c>
      <c r="B14" s="3052"/>
      <c r="C14" s="3052"/>
      <c r="D14" s="3052"/>
      <c r="E14" s="3228"/>
      <c r="F14" s="3052"/>
      <c r="G14" s="2558"/>
      <c r="H14" s="3228"/>
      <c r="I14" s="3228"/>
      <c r="J14" s="3228"/>
      <c r="K14" s="3228"/>
      <c r="L14" s="3228"/>
      <c r="M14" s="3228"/>
      <c r="N14" s="3228"/>
      <c r="O14" s="3228"/>
      <c r="P14" s="3228"/>
      <c r="Q14" s="3228"/>
      <c r="R14" s="3228"/>
      <c r="S14" s="3228"/>
      <c r="T14" s="3228"/>
      <c r="U14" s="3228"/>
      <c r="V14" s="3228"/>
      <c r="W14" s="3228"/>
      <c r="X14" s="3228"/>
      <c r="Y14" s="3942"/>
      <c r="Z14" s="3942"/>
      <c r="AA14" s="3942"/>
      <c r="AB14" s="3942"/>
      <c r="AC14" s="3942"/>
      <c r="AD14" s="3942"/>
      <c r="AE14" s="3942"/>
      <c r="AF14" s="3803"/>
      <c r="AG14" s="3803"/>
      <c r="AH14" s="3942"/>
      <c r="AI14" s="3948"/>
      <c r="AJ14" s="4140"/>
      <c r="AK14" s="4756"/>
      <c r="AL14" s="4756"/>
    </row>
    <row r="15" spans="1:38" x14ac:dyDescent="0.2">
      <c r="A15" s="3101" t="s">
        <v>3636</v>
      </c>
      <c r="B15" s="3052"/>
      <c r="C15" s="3052"/>
      <c r="D15" s="3052"/>
      <c r="E15" s="3228"/>
      <c r="F15" s="3052"/>
      <c r="G15" s="2558">
        <v>92.361999999999995</v>
      </c>
      <c r="H15" s="3228"/>
      <c r="I15" s="3228"/>
      <c r="J15" s="3228"/>
      <c r="K15" s="3228"/>
      <c r="L15" s="3228"/>
      <c r="M15" s="2112">
        <f>M13</f>
        <v>105.48881849999999</v>
      </c>
      <c r="N15" s="2112">
        <f t="shared" ref="N15:R15" si="9">N13</f>
        <v>109.07543832899999</v>
      </c>
      <c r="O15" s="2112">
        <f t="shared" si="9"/>
        <v>113.43845586216</v>
      </c>
      <c r="P15" s="2112">
        <f t="shared" si="9"/>
        <v>117.9759940966464</v>
      </c>
      <c r="Q15" s="2112">
        <f t="shared" si="9"/>
        <v>122.69503386051227</v>
      </c>
      <c r="R15" s="2112">
        <f t="shared" si="9"/>
        <v>127.60283521493277</v>
      </c>
      <c r="S15" s="2560">
        <f>SUM(G15*1.03*1.04)</f>
        <v>98.938174399999994</v>
      </c>
      <c r="T15" s="2560"/>
      <c r="U15" s="2560">
        <f>SUM(U16:U17)</f>
        <v>47.794029999999999</v>
      </c>
      <c r="V15" s="2560">
        <f>SUM(V16:V17)</f>
        <v>71.712869999999995</v>
      </c>
      <c r="W15" s="2560">
        <f>SUM(W16:W17)</f>
        <v>95.585999999999999</v>
      </c>
      <c r="X15" s="3228"/>
      <c r="Y15" s="2560"/>
      <c r="Z15" s="2560"/>
      <c r="AA15" s="2560">
        <f>SUM(AA16:AA17)</f>
        <v>37.875640000000004</v>
      </c>
      <c r="AB15" s="2560">
        <f>SUM(AB16:AB17)</f>
        <v>56.916460000000001</v>
      </c>
      <c r="AC15" s="2560">
        <f>SUM(AC16:AC17)</f>
        <v>76.042000000000002</v>
      </c>
      <c r="AD15" s="2560"/>
      <c r="AE15" s="2560"/>
      <c r="AF15" s="3807">
        <f t="shared" ref="AF15:AH15" si="10">SUM(AF16:AF17)</f>
        <v>38.315100000000001</v>
      </c>
      <c r="AG15" s="3807">
        <f t="shared" si="10"/>
        <v>58.102870000000003</v>
      </c>
      <c r="AH15" s="2560">
        <f t="shared" si="10"/>
        <v>77.863069999999993</v>
      </c>
      <c r="AI15" s="2465">
        <f>SUM(AI16)</f>
        <v>133.48947150000001</v>
      </c>
      <c r="AJ15" s="2560"/>
      <c r="AK15" s="4831">
        <f t="shared" ref="AK15:AL15" si="11">SUM(AK16:AK17)</f>
        <v>40.427199999999999</v>
      </c>
      <c r="AL15" s="4831">
        <f t="shared" si="11"/>
        <v>76.490679999999998</v>
      </c>
    </row>
    <row r="16" spans="1:38" x14ac:dyDescent="0.2">
      <c r="A16" s="3250" t="s">
        <v>3633</v>
      </c>
      <c r="B16" s="3052"/>
      <c r="C16" s="3052"/>
      <c r="D16" s="3052"/>
      <c r="E16" s="3228"/>
      <c r="F16" s="3052"/>
      <c r="G16" s="2558"/>
      <c r="H16" s="3228"/>
      <c r="I16" s="3228"/>
      <c r="J16" s="3228"/>
      <c r="K16" s="3228"/>
      <c r="L16" s="3228"/>
      <c r="M16" s="2112"/>
      <c r="N16" s="2112"/>
      <c r="O16" s="2112"/>
      <c r="P16" s="2112"/>
      <c r="Q16" s="2112"/>
      <c r="R16" s="2112"/>
      <c r="S16" s="2560"/>
      <c r="T16" s="2560"/>
      <c r="U16" s="2615">
        <v>44.8675</v>
      </c>
      <c r="V16" s="2560">
        <v>67.301249999999996</v>
      </c>
      <c r="W16" s="2560">
        <v>89.734999999999999</v>
      </c>
      <c r="X16" s="3228"/>
      <c r="Y16" s="2560">
        <f>SUM(Y13)</f>
        <v>93.10991940000001</v>
      </c>
      <c r="Z16" s="2560">
        <v>93.109919000000005</v>
      </c>
      <c r="AA16" s="2615">
        <v>28.192</v>
      </c>
      <c r="AB16" s="2560">
        <v>42.287999999999997</v>
      </c>
      <c r="AC16" s="2560">
        <v>56.381999999999998</v>
      </c>
      <c r="AD16" s="2560">
        <f>SUM(AD13)</f>
        <v>97.765414950000007</v>
      </c>
      <c r="AE16" s="2560">
        <f>SUM(AC16*1.06*1.043)</f>
        <v>62.334811559999999</v>
      </c>
      <c r="AF16" s="3807">
        <v>28.899000000000001</v>
      </c>
      <c r="AG16" s="3807">
        <v>43.588000000000001</v>
      </c>
      <c r="AH16" s="2560">
        <v>58.277000000000001</v>
      </c>
      <c r="AI16" s="2465">
        <f>SUM(AI37)/1000</f>
        <v>133.48947150000001</v>
      </c>
      <c r="AJ16" s="2560">
        <v>77.86</v>
      </c>
      <c r="AK16" s="4828">
        <v>30.148</v>
      </c>
      <c r="AL16" s="4828">
        <v>60.796999999999997</v>
      </c>
    </row>
    <row r="17" spans="1:38" x14ac:dyDescent="0.2">
      <c r="A17" s="3250" t="s">
        <v>3634</v>
      </c>
      <c r="B17" s="3052"/>
      <c r="C17" s="3052"/>
      <c r="D17" s="3052"/>
      <c r="E17" s="3228"/>
      <c r="F17" s="3052"/>
      <c r="G17" s="2558"/>
      <c r="H17" s="3228"/>
      <c r="I17" s="3228"/>
      <c r="J17" s="3228"/>
      <c r="K17" s="3228"/>
      <c r="L17" s="3228"/>
      <c r="M17" s="2112"/>
      <c r="N17" s="2112"/>
      <c r="O17" s="2112"/>
      <c r="P17" s="2112"/>
      <c r="Q17" s="2112"/>
      <c r="R17" s="2112"/>
      <c r="S17" s="2560"/>
      <c r="T17" s="2560"/>
      <c r="U17" s="2615">
        <v>2.9265300000000001</v>
      </c>
      <c r="V17" s="2560">
        <v>4.4116200000000001</v>
      </c>
      <c r="W17" s="2560">
        <v>5.851</v>
      </c>
      <c r="X17" s="3228"/>
      <c r="Y17" s="2560"/>
      <c r="Z17" s="2560"/>
      <c r="AA17" s="2615">
        <v>9.6836400000000005</v>
      </c>
      <c r="AB17" s="2560">
        <v>14.62846</v>
      </c>
      <c r="AC17" s="2560">
        <v>19.66</v>
      </c>
      <c r="AD17" s="2560"/>
      <c r="AE17" s="2560"/>
      <c r="AF17" s="3807">
        <v>9.4161000000000001</v>
      </c>
      <c r="AG17" s="3807">
        <v>14.51487</v>
      </c>
      <c r="AH17" s="2560">
        <v>19.586069999999999</v>
      </c>
      <c r="AI17" s="2465"/>
      <c r="AJ17" s="2560"/>
      <c r="AK17" s="4828">
        <v>10.279199999999999</v>
      </c>
      <c r="AL17" s="4828">
        <v>15.693680000000001</v>
      </c>
    </row>
    <row r="18" spans="1:38" x14ac:dyDescent="0.2">
      <c r="A18" s="3101" t="s">
        <v>3637</v>
      </c>
      <c r="B18" s="3052"/>
      <c r="C18" s="3052"/>
      <c r="D18" s="3052"/>
      <c r="E18" s="3228"/>
      <c r="F18" s="3052"/>
      <c r="G18" s="2559">
        <v>3.9899999999999996E-3</v>
      </c>
      <c r="H18" s="3228"/>
      <c r="I18" s="3228"/>
      <c r="J18" s="3228"/>
      <c r="K18" s="3228"/>
      <c r="L18" s="3228"/>
      <c r="M18" s="3228"/>
      <c r="N18" s="3228"/>
      <c r="O18" s="3228"/>
      <c r="P18" s="3228"/>
      <c r="Q18" s="3228"/>
      <c r="R18" s="3228"/>
      <c r="S18" s="2560">
        <f>SUM(G18*1.0361*1.04)</f>
        <v>4.2994005600000005E-3</v>
      </c>
      <c r="T18" s="2560"/>
      <c r="U18" s="2560">
        <v>1.1979999999999999E-2</v>
      </c>
      <c r="V18" s="2560">
        <v>1.6060000000000001E-2</v>
      </c>
      <c r="W18" s="2560">
        <v>0.02</v>
      </c>
      <c r="X18" s="3228"/>
      <c r="Y18" s="2560"/>
      <c r="Z18" s="2560"/>
      <c r="AA18" s="2560">
        <v>2.9909999999999999E-2</v>
      </c>
      <c r="AB18" s="2560">
        <v>4.4929999999999998E-2</v>
      </c>
      <c r="AC18" s="2560">
        <v>6.08E-2</v>
      </c>
      <c r="AD18" s="2560"/>
      <c r="AE18" s="2560"/>
      <c r="AF18" s="3807">
        <v>1.9099999999999999E-2</v>
      </c>
      <c r="AG18" s="3807">
        <v>3.1980000000000001E-2</v>
      </c>
      <c r="AH18" s="2560">
        <v>4.3970000000000002E-2</v>
      </c>
      <c r="AI18" s="2465"/>
      <c r="AJ18" s="2560"/>
      <c r="AK18" s="4828">
        <v>3.1029999999999999E-2</v>
      </c>
      <c r="AL18" s="4828">
        <v>4.41E-2</v>
      </c>
    </row>
    <row r="19" spans="1:38" ht="51" x14ac:dyDescent="0.2">
      <c r="A19" s="3052" t="s">
        <v>3540</v>
      </c>
      <c r="B19" s="3052"/>
      <c r="C19" s="3052"/>
      <c r="D19" s="3052"/>
      <c r="E19" s="3228"/>
      <c r="F19" s="3228"/>
      <c r="G19" s="2558">
        <v>5.16E-2</v>
      </c>
      <c r="H19" s="3228"/>
      <c r="I19" s="3228"/>
      <c r="J19" s="3228"/>
      <c r="K19" s="3228"/>
      <c r="L19" s="3228"/>
      <c r="M19" s="3228"/>
      <c r="N19" s="3228"/>
      <c r="O19" s="3228"/>
      <c r="P19" s="3228"/>
      <c r="Q19" s="3228"/>
      <c r="R19" s="3228"/>
      <c r="S19" s="2560">
        <f>SUM(G19*1.0361*1.04)</f>
        <v>5.56012704E-2</v>
      </c>
      <c r="T19" s="2560"/>
      <c r="U19" s="2560">
        <v>0</v>
      </c>
      <c r="V19" s="2560">
        <v>0</v>
      </c>
      <c r="W19" s="2560">
        <v>0</v>
      </c>
      <c r="X19" s="3228"/>
      <c r="Y19" s="2560"/>
      <c r="Z19" s="2560"/>
      <c r="AA19" s="2560">
        <v>0</v>
      </c>
      <c r="AB19" s="2560">
        <v>0</v>
      </c>
      <c r="AC19" s="2560">
        <v>0</v>
      </c>
      <c r="AD19" s="2560"/>
      <c r="AE19" s="2560"/>
      <c r="AF19" s="3807">
        <v>0</v>
      </c>
      <c r="AG19" s="3807">
        <v>0</v>
      </c>
      <c r="AH19" s="2560">
        <v>0</v>
      </c>
      <c r="AI19" s="2465"/>
      <c r="AJ19" s="2560"/>
      <c r="AK19" s="4831">
        <v>0</v>
      </c>
      <c r="AL19" s="4831">
        <v>0</v>
      </c>
    </row>
    <row r="20" spans="1:38" ht="25.5" x14ac:dyDescent="0.2">
      <c r="A20" s="3052" t="s">
        <v>1889</v>
      </c>
      <c r="B20" s="3052"/>
      <c r="C20" s="3052"/>
      <c r="D20" s="3052"/>
      <c r="E20" s="3861"/>
      <c r="F20" s="3861"/>
      <c r="G20" s="2558"/>
      <c r="H20" s="3861"/>
      <c r="I20" s="3861"/>
      <c r="J20" s="3861"/>
      <c r="K20" s="3861"/>
      <c r="L20" s="3861"/>
      <c r="M20" s="3861"/>
      <c r="N20" s="3861"/>
      <c r="O20" s="3861"/>
      <c r="P20" s="3861"/>
      <c r="Q20" s="3861"/>
      <c r="R20" s="3861"/>
      <c r="S20" s="2560"/>
      <c r="T20" s="2560"/>
      <c r="U20" s="2560"/>
      <c r="V20" s="2560"/>
      <c r="W20" s="2560"/>
      <c r="X20" s="3861"/>
      <c r="Y20" s="2560"/>
      <c r="Z20" s="2560"/>
      <c r="AA20" s="2560"/>
      <c r="AB20" s="2560"/>
      <c r="AC20" s="2560"/>
      <c r="AD20" s="2560"/>
      <c r="AE20" s="2560"/>
      <c r="AF20" s="3807"/>
      <c r="AG20" s="3807">
        <v>0.19255</v>
      </c>
      <c r="AH20" s="2560">
        <v>0.22661999999999999</v>
      </c>
      <c r="AI20" s="2465"/>
      <c r="AJ20" s="2560"/>
      <c r="AK20" s="4831">
        <v>0.12537000000000001</v>
      </c>
      <c r="AL20" s="4831">
        <v>0.24845</v>
      </c>
    </row>
    <row r="21" spans="1:38" ht="25.5" x14ac:dyDescent="0.2">
      <c r="A21" s="3052" t="s">
        <v>623</v>
      </c>
      <c r="B21" s="3052"/>
      <c r="C21" s="3052"/>
      <c r="D21" s="3052"/>
      <c r="E21" s="3861"/>
      <c r="F21" s="3861"/>
      <c r="G21" s="2558"/>
      <c r="H21" s="3861"/>
      <c r="I21" s="3861"/>
      <c r="J21" s="3861"/>
      <c r="K21" s="3861"/>
      <c r="L21" s="3861"/>
      <c r="M21" s="3861"/>
      <c r="N21" s="3861"/>
      <c r="O21" s="3861"/>
      <c r="P21" s="3861"/>
      <c r="Q21" s="3861"/>
      <c r="R21" s="3861"/>
      <c r="S21" s="2560"/>
      <c r="T21" s="2560"/>
      <c r="U21" s="2560"/>
      <c r="V21" s="2560"/>
      <c r="W21" s="2560"/>
      <c r="X21" s="3861"/>
      <c r="Y21" s="2560"/>
      <c r="Z21" s="2560"/>
      <c r="AA21" s="2560"/>
      <c r="AB21" s="2560"/>
      <c r="AC21" s="2560"/>
      <c r="AD21" s="2560"/>
      <c r="AE21" s="2560"/>
      <c r="AF21" s="3807"/>
      <c r="AG21" s="3807">
        <v>1.3018000000000001</v>
      </c>
      <c r="AH21" s="2560">
        <v>1.71522</v>
      </c>
      <c r="AI21" s="2465"/>
      <c r="AJ21" s="2560"/>
      <c r="AK21" s="4831">
        <v>0.94774999999999998</v>
      </c>
      <c r="AL21" s="4831">
        <v>1.52216</v>
      </c>
    </row>
    <row r="22" spans="1:38" ht="25.5" x14ac:dyDescent="0.2">
      <c r="A22" s="3052" t="s">
        <v>3638</v>
      </c>
      <c r="B22" s="3052"/>
      <c r="C22" s="3052"/>
      <c r="D22" s="3052"/>
      <c r="E22" s="3228"/>
      <c r="F22" s="3228"/>
      <c r="G22" s="2558">
        <v>4.2000000000000003E-2</v>
      </c>
      <c r="H22" s="3228"/>
      <c r="I22" s="3228"/>
      <c r="J22" s="3228"/>
      <c r="K22" s="3228"/>
      <c r="L22" s="3228"/>
      <c r="M22" s="3228"/>
      <c r="N22" s="3228"/>
      <c r="O22" s="3228"/>
      <c r="P22" s="3228"/>
      <c r="Q22" s="3228"/>
      <c r="R22" s="3228"/>
      <c r="S22" s="2560">
        <f>SUM(G22*1.0361*1.04)</f>
        <v>4.5256848000000009E-2</v>
      </c>
      <c r="T22" s="2560"/>
      <c r="U22" s="2560">
        <v>0.15361</v>
      </c>
      <c r="V22" s="2560">
        <v>0.23402000000000001</v>
      </c>
      <c r="W22" s="2560">
        <v>0.373</v>
      </c>
      <c r="X22" s="3228"/>
      <c r="Y22" s="2560"/>
      <c r="Z22" s="2560"/>
      <c r="AA22" s="2560">
        <v>0.62968999999999997</v>
      </c>
      <c r="AB22" s="2560">
        <v>1.7062999999999999</v>
      </c>
      <c r="AC22" s="2560">
        <v>1.0049999999999999</v>
      </c>
      <c r="AD22" s="2560"/>
      <c r="AE22" s="2560"/>
      <c r="AF22" s="3807">
        <v>0.43003000000000002</v>
      </c>
      <c r="AG22" s="3807">
        <v>0.59</v>
      </c>
      <c r="AH22" s="2560">
        <v>0.61470999999999998</v>
      </c>
      <c r="AI22" s="2465"/>
      <c r="AJ22" s="2560"/>
      <c r="AK22" s="4831">
        <v>0.47910999999999998</v>
      </c>
      <c r="AL22" s="4831">
        <v>0.56920000000000004</v>
      </c>
    </row>
    <row r="23" spans="1:38" x14ac:dyDescent="0.2">
      <c r="A23" s="3052" t="s">
        <v>614</v>
      </c>
      <c r="B23" s="2558">
        <f t="shared" ref="B23:F23" si="12">SUM(B7+B13+B19+B22)</f>
        <v>368.32823999999999</v>
      </c>
      <c r="C23" s="2558">
        <f t="shared" si="12"/>
        <v>285.96000000000004</v>
      </c>
      <c r="D23" s="2558">
        <f t="shared" si="12"/>
        <v>368.32823999999999</v>
      </c>
      <c r="E23" s="2558">
        <f t="shared" si="12"/>
        <v>321.89</v>
      </c>
      <c r="F23" s="2558">
        <f t="shared" si="12"/>
        <v>147.69</v>
      </c>
      <c r="G23" s="2558">
        <f>SUM(G7+G13+G19+G22)</f>
        <v>228.96011000000001</v>
      </c>
      <c r="H23" s="2558">
        <f t="shared" ref="H23" si="13">SUM(H7+H13+H19+H22)</f>
        <v>398.72</v>
      </c>
      <c r="I23" s="2558">
        <f t="shared" ref="I23" si="14">SUM(I7+I13+I19+I22)</f>
        <v>410.69</v>
      </c>
      <c r="J23" s="2558">
        <f t="shared" ref="J23" si="15">SUM(J7+J13+J19+J22)</f>
        <v>423</v>
      </c>
      <c r="K23" s="2558">
        <f t="shared" ref="K23" si="16">SUM(K7+K13+K19+K22)</f>
        <v>435.69</v>
      </c>
      <c r="L23" s="2558">
        <f t="shared" ref="L23" si="17">SUM(L7+L13+L19+L22)</f>
        <v>448.76</v>
      </c>
      <c r="M23" s="2558">
        <f t="shared" ref="M23" si="18">SUM(M7+M13+M19+M22)</f>
        <v>169.40570399999999</v>
      </c>
      <c r="N23" s="2558">
        <f t="shared" ref="N23" si="19">SUM(N7+N13+N19+N22)</f>
        <v>175.16549793600001</v>
      </c>
      <c r="O23" s="2558">
        <f t="shared" ref="O23" si="20">SUM(O7+O13+O19+O22)</f>
        <v>182.17211785344</v>
      </c>
      <c r="P23" s="2558">
        <f t="shared" ref="P23" si="21">SUM(P7+P13+P19+P22)</f>
        <v>189.45900256757761</v>
      </c>
      <c r="Q23" s="2558">
        <f t="shared" ref="Q23" si="22">SUM(Q7+Q13+Q19+Q22)</f>
        <v>197.03736267028074</v>
      </c>
      <c r="R23" s="2558">
        <f t="shared" ref="R23" si="23">SUM(R7+R13+R19+R22)</f>
        <v>204.91885717709198</v>
      </c>
      <c r="S23" s="2558">
        <f>SUM(S7+S13+S19+S22)</f>
        <v>246.12864824184001</v>
      </c>
      <c r="T23" s="2558">
        <f>SUM(T7+T13+T19+T22)</f>
        <v>231.22080969000001</v>
      </c>
      <c r="U23" s="2558">
        <f>SUM(U7+U13+U19+U22)</f>
        <v>92.784000000000006</v>
      </c>
      <c r="V23" s="2558">
        <f>SUM(V7+V13+V19+V22)</f>
        <v>139.17599999999999</v>
      </c>
      <c r="W23" s="2558">
        <f>SUM(W7+W13+W19+W22)</f>
        <v>185.488</v>
      </c>
      <c r="X23" s="3228"/>
      <c r="Y23" s="2558">
        <f t="shared" ref="Y23:AE23" si="24">SUM(Y7+Y13+Y19+Y22)</f>
        <v>231.22080969000001</v>
      </c>
      <c r="Z23" s="2574">
        <f t="shared" si="24"/>
        <v>179.39690000000002</v>
      </c>
      <c r="AA23" s="2558">
        <f t="shared" si="24"/>
        <v>104.00682</v>
      </c>
      <c r="AB23" s="2574">
        <f t="shared" si="24"/>
        <v>156.80100999999999</v>
      </c>
      <c r="AC23" s="2558">
        <f t="shared" si="24"/>
        <v>207.89556999999999</v>
      </c>
      <c r="AD23" s="2558">
        <f t="shared" si="24"/>
        <v>235.08546495000002</v>
      </c>
      <c r="AE23" s="2574">
        <f t="shared" si="24"/>
        <v>177.59484330000001</v>
      </c>
      <c r="AF23" s="3808">
        <f t="shared" ref="AF23" si="25">SUM(AF7+AF13+AF19+AF22)</f>
        <v>111.02404</v>
      </c>
      <c r="AG23" s="3808">
        <f>SUM(AG7+AG13+AG19+AG22+AG20+AG21)</f>
        <v>168.93081000000001</v>
      </c>
      <c r="AH23" s="2558">
        <f>SUM(AH7+AH13+AH19+AH22+AH20+AH21)</f>
        <v>225.81198999999998</v>
      </c>
      <c r="AI23" s="2463">
        <f t="shared" ref="AI23:AJ23" si="26">SUM(AI7+AI13+AI19+AI22)</f>
        <v>244.88125200000002</v>
      </c>
      <c r="AJ23" s="2574">
        <f t="shared" si="26"/>
        <v>166.9</v>
      </c>
      <c r="AK23" s="4830">
        <f>SUM(AK7+AK13+AK19+AK22+AK20+AK21)</f>
        <v>116.81800000000001</v>
      </c>
      <c r="AL23" s="4830">
        <f>SUM(AL7+AL13+AL19+AL22+AL20+AL21)</f>
        <v>222.55627000000004</v>
      </c>
    </row>
    <row r="25" spans="1:38" ht="76.5" x14ac:dyDescent="0.2">
      <c r="E25" s="2459"/>
      <c r="H25" s="2459"/>
      <c r="I25" s="2459"/>
      <c r="J25" s="2459"/>
      <c r="K25" s="2459"/>
      <c r="L25" s="2459"/>
      <c r="M25" s="2459"/>
      <c r="N25" s="2459"/>
      <c r="O25" s="2459"/>
      <c r="P25" s="2459"/>
      <c r="Q25" s="2459"/>
      <c r="R25" s="2459"/>
      <c r="X25" s="2459"/>
      <c r="Z25" s="5155" t="s">
        <v>2093</v>
      </c>
      <c r="AA25" s="5526"/>
      <c r="AB25" s="5526"/>
      <c r="AC25" s="5526"/>
      <c r="AD25" s="5155" t="s">
        <v>2093</v>
      </c>
      <c r="AE25" s="5526"/>
      <c r="AF25" s="1669"/>
      <c r="AG25" s="1669"/>
      <c r="AH25" s="3936" t="s">
        <v>4039</v>
      </c>
      <c r="AI25" s="3936" t="s">
        <v>4040</v>
      </c>
    </row>
    <row r="26" spans="1:38" x14ac:dyDescent="0.2">
      <c r="E26" s="3933"/>
      <c r="F26" s="3933"/>
      <c r="G26" s="3933"/>
      <c r="H26" s="3933"/>
      <c r="I26" s="3933"/>
      <c r="J26" s="3933"/>
      <c r="K26" s="3933"/>
      <c r="L26" s="3933"/>
      <c r="M26" s="3933"/>
      <c r="N26" s="3933"/>
      <c r="O26" s="3933"/>
      <c r="P26" s="3933"/>
      <c r="Q26" s="3933"/>
      <c r="R26" s="3933"/>
      <c r="S26" s="3933"/>
      <c r="T26" s="3933"/>
      <c r="U26" s="3933"/>
      <c r="V26" s="3933"/>
      <c r="W26" s="3933"/>
      <c r="X26" s="3933"/>
      <c r="Y26" s="3933"/>
      <c r="Z26" s="6179" t="s">
        <v>2094</v>
      </c>
      <c r="AA26" s="6180"/>
      <c r="AB26" s="6180"/>
      <c r="AC26" s="6180"/>
      <c r="AD26" s="5656" t="s">
        <v>2103</v>
      </c>
      <c r="AE26" s="6180"/>
      <c r="AF26" s="2553"/>
      <c r="AG26" s="2553"/>
      <c r="AH26" s="3942">
        <v>52221</v>
      </c>
      <c r="AI26" s="2112">
        <f t="shared" ref="AI26:AI34" si="27">SUM(AH26*(1+0.05)*0.99)</f>
        <v>54283.729500000001</v>
      </c>
    </row>
    <row r="27" spans="1:38" x14ac:dyDescent="0.2">
      <c r="E27" s="3933"/>
      <c r="F27" s="3933"/>
      <c r="G27" s="3933"/>
      <c r="H27" s="3933"/>
      <c r="I27" s="3933"/>
      <c r="J27" s="3933"/>
      <c r="K27" s="3933"/>
      <c r="L27" s="3933"/>
      <c r="M27" s="3933"/>
      <c r="N27" s="3933"/>
      <c r="O27" s="3933"/>
      <c r="P27" s="3933"/>
      <c r="Q27" s="3933"/>
      <c r="R27" s="3933"/>
      <c r="S27" s="3933"/>
      <c r="T27" s="3933"/>
      <c r="U27" s="3933"/>
      <c r="V27" s="3933"/>
      <c r="W27" s="3933"/>
      <c r="X27" s="3933"/>
      <c r="Y27" s="3933"/>
      <c r="Z27" s="6179" t="s">
        <v>2096</v>
      </c>
      <c r="AA27" s="6180"/>
      <c r="AB27" s="6180"/>
      <c r="AC27" s="6180"/>
      <c r="AD27" s="5656" t="s">
        <v>2105</v>
      </c>
      <c r="AE27" s="6180"/>
      <c r="AF27" s="2553"/>
      <c r="AG27" s="2553"/>
      <c r="AH27" s="3942"/>
      <c r="AI27" s="2112">
        <f t="shared" si="27"/>
        <v>0</v>
      </c>
    </row>
    <row r="28" spans="1:38" x14ac:dyDescent="0.2">
      <c r="E28" s="3933"/>
      <c r="F28" s="3933"/>
      <c r="G28" s="3933"/>
      <c r="H28" s="3933"/>
      <c r="I28" s="3933"/>
      <c r="J28" s="3933"/>
      <c r="K28" s="3933"/>
      <c r="L28" s="3933"/>
      <c r="M28" s="3933"/>
      <c r="N28" s="3933"/>
      <c r="O28" s="3933"/>
      <c r="P28" s="3933"/>
      <c r="Q28" s="3933"/>
      <c r="R28" s="3933"/>
      <c r="S28" s="3933"/>
      <c r="T28" s="3933"/>
      <c r="U28" s="3933"/>
      <c r="V28" s="3933"/>
      <c r="W28" s="3933"/>
      <c r="X28" s="3933"/>
      <c r="Y28" s="3933"/>
      <c r="Z28" s="6179" t="s">
        <v>2097</v>
      </c>
      <c r="AA28" s="6180"/>
      <c r="AB28" s="6180"/>
      <c r="AC28" s="6180"/>
      <c r="AD28" s="5656" t="s">
        <v>2106</v>
      </c>
      <c r="AE28" s="6180"/>
      <c r="AF28" s="2553"/>
      <c r="AG28" s="2553"/>
      <c r="AH28" s="3942">
        <v>59973</v>
      </c>
      <c r="AI28" s="2112">
        <f t="shared" si="27"/>
        <v>62341.933499999999</v>
      </c>
    </row>
    <row r="29" spans="1:38" x14ac:dyDescent="0.2">
      <c r="E29" s="3933"/>
      <c r="F29" s="3933"/>
      <c r="G29" s="3933"/>
      <c r="H29" s="3933"/>
      <c r="I29" s="3933"/>
      <c r="J29" s="3933"/>
      <c r="K29" s="3933"/>
      <c r="L29" s="3933"/>
      <c r="M29" s="3933"/>
      <c r="N29" s="3933"/>
      <c r="O29" s="3933"/>
      <c r="P29" s="3933"/>
      <c r="Q29" s="3933"/>
      <c r="R29" s="3933"/>
      <c r="S29" s="3933"/>
      <c r="T29" s="3933"/>
      <c r="U29" s="3933"/>
      <c r="V29" s="3933"/>
      <c r="W29" s="3933"/>
      <c r="X29" s="3933"/>
      <c r="Y29" s="3933"/>
      <c r="Z29" s="6179" t="s">
        <v>2098</v>
      </c>
      <c r="AA29" s="6180"/>
      <c r="AB29" s="6180"/>
      <c r="AC29" s="6180"/>
      <c r="AD29" s="5656" t="s">
        <v>2106</v>
      </c>
      <c r="AE29" s="6180"/>
      <c r="AF29" s="2553"/>
      <c r="AG29" s="2553"/>
      <c r="AH29" s="3942">
        <v>824</v>
      </c>
      <c r="AI29" s="2112">
        <f t="shared" si="27"/>
        <v>856.548</v>
      </c>
    </row>
    <row r="30" spans="1:38" x14ac:dyDescent="0.2">
      <c r="E30" s="3933"/>
      <c r="F30" s="3933"/>
      <c r="G30" s="3933"/>
      <c r="H30" s="3933"/>
      <c r="I30" s="3933"/>
      <c r="J30" s="3933"/>
      <c r="K30" s="3933"/>
      <c r="L30" s="3933"/>
      <c r="M30" s="3933"/>
      <c r="N30" s="3933"/>
      <c r="O30" s="3933"/>
      <c r="P30" s="3933"/>
      <c r="Q30" s="3933"/>
      <c r="R30" s="3933"/>
      <c r="S30" s="3933"/>
      <c r="T30" s="3933"/>
      <c r="U30" s="3933"/>
      <c r="V30" s="3933"/>
      <c r="W30" s="3933"/>
      <c r="X30" s="3933"/>
      <c r="Y30" s="3933"/>
      <c r="Z30" s="6179" t="s">
        <v>2099</v>
      </c>
      <c r="AA30" s="6180"/>
      <c r="AB30" s="6180"/>
      <c r="AC30" s="6180"/>
      <c r="AD30" s="5656" t="s">
        <v>2104</v>
      </c>
      <c r="AE30" s="6180"/>
      <c r="AF30" s="2553"/>
      <c r="AG30" s="2553"/>
      <c r="AH30" s="3942">
        <v>20316</v>
      </c>
      <c r="AI30" s="2112">
        <f t="shared" si="27"/>
        <v>21118.482</v>
      </c>
    </row>
    <row r="31" spans="1:38" x14ac:dyDescent="0.2">
      <c r="E31" s="3933"/>
      <c r="F31" s="3933"/>
      <c r="G31" s="3933"/>
      <c r="H31" s="3933"/>
      <c r="I31" s="3933"/>
      <c r="J31" s="3933"/>
      <c r="K31" s="3933"/>
      <c r="L31" s="3933"/>
      <c r="M31" s="3933"/>
      <c r="N31" s="3933"/>
      <c r="O31" s="3933"/>
      <c r="P31" s="3933"/>
      <c r="Q31" s="3933"/>
      <c r="R31" s="3933"/>
      <c r="S31" s="3933"/>
      <c r="T31" s="3933"/>
      <c r="U31" s="3933"/>
      <c r="V31" s="3933"/>
      <c r="W31" s="3933"/>
      <c r="X31" s="3933"/>
      <c r="Y31" s="3933"/>
      <c r="Z31" s="6179" t="s">
        <v>4038</v>
      </c>
      <c r="AA31" s="6180"/>
      <c r="AB31" s="6180"/>
      <c r="AC31" s="6180"/>
      <c r="AD31" s="5656" t="s">
        <v>46</v>
      </c>
      <c r="AE31" s="6180"/>
      <c r="AF31" s="2553"/>
      <c r="AG31" s="2553"/>
      <c r="AH31" s="3942">
        <v>6472</v>
      </c>
      <c r="AI31" s="2112">
        <f t="shared" si="27"/>
        <v>6727.6440000000002</v>
      </c>
    </row>
    <row r="32" spans="1:38" x14ac:dyDescent="0.2">
      <c r="E32" s="3933"/>
      <c r="F32" s="3933"/>
      <c r="G32" s="3933"/>
      <c r="H32" s="3933"/>
      <c r="I32" s="3933"/>
      <c r="J32" s="3933"/>
      <c r="K32" s="3933"/>
      <c r="L32" s="3933"/>
      <c r="M32" s="3933"/>
      <c r="N32" s="3933"/>
      <c r="O32" s="3933"/>
      <c r="P32" s="3933"/>
      <c r="Q32" s="3933"/>
      <c r="R32" s="3933"/>
      <c r="S32" s="3933"/>
      <c r="T32" s="3933"/>
      <c r="U32" s="3933"/>
      <c r="V32" s="3933"/>
      <c r="W32" s="3933"/>
      <c r="X32" s="3933"/>
      <c r="Y32" s="3933"/>
      <c r="Z32" s="6179" t="s">
        <v>2100</v>
      </c>
      <c r="AA32" s="6180"/>
      <c r="AB32" s="6180"/>
      <c r="AC32" s="6180"/>
      <c r="AD32" s="5656" t="s">
        <v>2106</v>
      </c>
      <c r="AE32" s="6180"/>
      <c r="AF32" s="2553"/>
      <c r="AG32" s="2553"/>
      <c r="AH32" s="3942">
        <v>49029</v>
      </c>
      <c r="AI32" s="2112">
        <f t="shared" si="27"/>
        <v>50965.645500000006</v>
      </c>
    </row>
    <row r="33" spans="1:35" x14ac:dyDescent="0.2">
      <c r="E33" s="3933"/>
      <c r="F33" s="3933"/>
      <c r="G33" s="3933"/>
      <c r="H33" s="3933"/>
      <c r="I33" s="3933"/>
      <c r="J33" s="3933"/>
      <c r="K33" s="3933"/>
      <c r="L33" s="3933"/>
      <c r="M33" s="3933"/>
      <c r="N33" s="3933"/>
      <c r="O33" s="3933"/>
      <c r="P33" s="3933"/>
      <c r="Q33" s="3933"/>
      <c r="R33" s="3933"/>
      <c r="S33" s="3933"/>
      <c r="T33" s="3933"/>
      <c r="U33" s="3933"/>
      <c r="V33" s="3933"/>
      <c r="W33" s="3933"/>
      <c r="X33" s="3933"/>
      <c r="Y33" s="3933"/>
      <c r="Z33" s="6179" t="s">
        <v>4037</v>
      </c>
      <c r="AA33" s="6180"/>
      <c r="AB33" s="6180"/>
      <c r="AC33" s="6180"/>
      <c r="AD33" s="5656" t="s">
        <v>46</v>
      </c>
      <c r="AE33" s="6180"/>
      <c r="AF33" s="2553"/>
      <c r="AG33" s="2553"/>
      <c r="AH33" s="3942">
        <v>28150</v>
      </c>
      <c r="AI33" s="2112">
        <f t="shared" si="27"/>
        <v>29261.924999999999</v>
      </c>
    </row>
    <row r="34" spans="1:35" x14ac:dyDescent="0.2">
      <c r="E34" s="3933"/>
      <c r="F34" s="3933"/>
      <c r="G34" s="3933"/>
      <c r="H34" s="3933"/>
      <c r="I34" s="3933"/>
      <c r="J34" s="3933"/>
      <c r="K34" s="3933"/>
      <c r="L34" s="3933"/>
      <c r="M34" s="3933"/>
      <c r="N34" s="3933"/>
      <c r="O34" s="3933"/>
      <c r="P34" s="3933"/>
      <c r="Q34" s="3933"/>
      <c r="R34" s="3933"/>
      <c r="S34" s="3933"/>
      <c r="T34" s="3933"/>
      <c r="U34" s="3933"/>
      <c r="V34" s="3933"/>
      <c r="W34" s="3933"/>
      <c r="X34" s="3933"/>
      <c r="Y34" s="3933"/>
      <c r="Z34" s="6179" t="s">
        <v>2101</v>
      </c>
      <c r="AA34" s="6180"/>
      <c r="AB34" s="6180"/>
      <c r="AC34" s="6180"/>
      <c r="AD34" s="5656" t="s">
        <v>2106</v>
      </c>
      <c r="AE34" s="6180"/>
      <c r="AF34" s="2553"/>
      <c r="AG34" s="2553"/>
      <c r="AH34" s="3942">
        <v>18591</v>
      </c>
      <c r="AI34" s="2112">
        <f t="shared" si="27"/>
        <v>19325.344499999999</v>
      </c>
    </row>
    <row r="35" spans="1:35" x14ac:dyDescent="0.2">
      <c r="E35" s="3933"/>
      <c r="F35" s="3933"/>
      <c r="G35" s="3933"/>
      <c r="H35" s="3933"/>
      <c r="I35" s="3933"/>
      <c r="J35" s="3933"/>
      <c r="K35" s="3933"/>
      <c r="L35" s="3933"/>
      <c r="M35" s="3933"/>
      <c r="N35" s="3933"/>
      <c r="O35" s="3933"/>
      <c r="P35" s="3933"/>
      <c r="Q35" s="3933"/>
      <c r="R35" s="3933"/>
      <c r="S35" s="3933"/>
      <c r="T35" s="3933"/>
      <c r="U35" s="3933"/>
      <c r="V35" s="3933"/>
      <c r="W35" s="3933"/>
      <c r="X35" s="3933"/>
      <c r="Y35" s="3933"/>
      <c r="Z35" s="6179" t="s">
        <v>50</v>
      </c>
      <c r="AA35" s="6180"/>
      <c r="AB35" s="6180"/>
      <c r="AC35" s="6180"/>
      <c r="AD35" s="6179" t="s">
        <v>50</v>
      </c>
      <c r="AE35" s="6180"/>
      <c r="AF35" s="2553"/>
      <c r="AG35" s="2553"/>
      <c r="AH35" s="3278">
        <f>SUM(AH26:AH34)</f>
        <v>235576</v>
      </c>
      <c r="AI35" s="3278">
        <f>SUM(AI26:AI34)</f>
        <v>244881.25200000001</v>
      </c>
    </row>
    <row r="36" spans="1:35" x14ac:dyDescent="0.2">
      <c r="E36" s="3933"/>
      <c r="F36" s="3933"/>
      <c r="G36" s="3933"/>
      <c r="H36" s="3933"/>
      <c r="I36" s="3933"/>
      <c r="J36" s="3933"/>
      <c r="K36" s="3933"/>
      <c r="L36" s="3933"/>
      <c r="M36" s="3933"/>
      <c r="N36" s="3933"/>
      <c r="O36" s="3933"/>
      <c r="P36" s="3933"/>
      <c r="Q36" s="3933"/>
      <c r="R36" s="3933"/>
      <c r="S36" s="3933"/>
      <c r="T36" s="3933"/>
      <c r="U36" s="3933"/>
      <c r="V36" s="3933"/>
      <c r="W36" s="3933"/>
      <c r="X36" s="3933"/>
      <c r="Y36" s="3933"/>
      <c r="Z36" s="6179" t="s">
        <v>46</v>
      </c>
      <c r="AA36" s="6180"/>
      <c r="AB36" s="6180"/>
      <c r="AC36" s="6180"/>
      <c r="AD36" s="6179" t="s">
        <v>46</v>
      </c>
      <c r="AE36" s="6180"/>
      <c r="AF36" s="2553"/>
      <c r="AG36" s="2553"/>
      <c r="AH36" s="2553">
        <f>SUM(AH27+AH30+AH31+AH33)</f>
        <v>54938</v>
      </c>
      <c r="AI36" s="2614">
        <f>SUM(AI27+AI30+AI31+AI33+AI26)</f>
        <v>111391.78049999999</v>
      </c>
    </row>
    <row r="37" spans="1:35" x14ac:dyDescent="0.2">
      <c r="E37" s="3933"/>
      <c r="F37" s="3933"/>
      <c r="G37" s="3933"/>
      <c r="H37" s="3933"/>
      <c r="I37" s="3933"/>
      <c r="J37" s="3933"/>
      <c r="K37" s="3933"/>
      <c r="L37" s="3933"/>
      <c r="M37" s="3933"/>
      <c r="N37" s="3933"/>
      <c r="O37" s="3933"/>
      <c r="P37" s="3933"/>
      <c r="Q37" s="3933"/>
      <c r="R37" s="3933"/>
      <c r="S37" s="3933"/>
      <c r="T37" s="3933"/>
      <c r="U37" s="3933"/>
      <c r="V37" s="3933"/>
      <c r="W37" s="3933"/>
      <c r="X37" s="3933"/>
      <c r="Y37" s="3933"/>
      <c r="Z37" s="6179" t="s">
        <v>47</v>
      </c>
      <c r="AA37" s="6180"/>
      <c r="AB37" s="6180"/>
      <c r="AC37" s="6180"/>
      <c r="AD37" s="6179" t="s">
        <v>47</v>
      </c>
      <c r="AE37" s="6180"/>
      <c r="AF37" s="2553"/>
      <c r="AG37" s="2553"/>
      <c r="AH37" s="2553">
        <f>SUM(AH28+AH29+AH32+AH34)</f>
        <v>128417</v>
      </c>
      <c r="AI37" s="2553">
        <f>SUM(AI28+AI29+AI32+AI34)</f>
        <v>133489.47150000001</v>
      </c>
    </row>
    <row r="38" spans="1:35" x14ac:dyDescent="0.2">
      <c r="E38" s="3933"/>
      <c r="F38" s="3933"/>
      <c r="G38" s="3933"/>
      <c r="H38" s="3933"/>
      <c r="I38" s="3933"/>
      <c r="J38" s="3933"/>
      <c r="K38" s="3933"/>
      <c r="L38" s="3933"/>
      <c r="M38" s="3933"/>
      <c r="N38" s="3933"/>
      <c r="O38" s="3933"/>
      <c r="P38" s="3933"/>
      <c r="Q38" s="3933"/>
      <c r="R38" s="3933"/>
      <c r="S38" s="3933"/>
      <c r="T38" s="3933"/>
      <c r="U38" s="3933"/>
      <c r="V38" s="3933"/>
      <c r="W38" s="3933"/>
      <c r="X38" s="3933"/>
      <c r="Y38" s="3933"/>
      <c r="Z38" s="6179" t="s">
        <v>2109</v>
      </c>
      <c r="AA38" s="6180"/>
      <c r="AB38" s="6180"/>
      <c r="AC38" s="6180"/>
      <c r="AD38" s="6179" t="s">
        <v>2109</v>
      </c>
      <c r="AE38" s="6180"/>
      <c r="AF38" s="2553"/>
      <c r="AG38" s="2553"/>
      <c r="AH38" s="2553">
        <f>SUM(AH26)</f>
        <v>52221</v>
      </c>
      <c r="AI38" s="2553"/>
    </row>
    <row r="39" spans="1:35" ht="20.25" x14ac:dyDescent="0.3">
      <c r="A39" s="2435" t="s">
        <v>3986</v>
      </c>
      <c r="E39" s="2459"/>
      <c r="H39" s="2459"/>
      <c r="I39" s="2459"/>
      <c r="J39" s="2459"/>
      <c r="K39" s="2459"/>
      <c r="L39" s="2459"/>
      <c r="M39" s="2459"/>
      <c r="N39" s="2459"/>
      <c r="O39" s="2459"/>
      <c r="P39" s="2459"/>
      <c r="Q39" s="2459"/>
      <c r="R39" s="2459"/>
      <c r="X39" s="2459"/>
    </row>
    <row r="41" spans="1:35" s="2247" customFormat="1" ht="79.5" customHeight="1" x14ac:dyDescent="0.2">
      <c r="A41" s="2243" t="s">
        <v>2093</v>
      </c>
      <c r="B41" s="2242" t="s">
        <v>2095</v>
      </c>
      <c r="C41" s="2242"/>
      <c r="D41" s="2242" t="s">
        <v>2108</v>
      </c>
      <c r="E41" s="2247">
        <v>2022</v>
      </c>
      <c r="F41" s="2459"/>
      <c r="G41" s="2459"/>
      <c r="S41" s="2459"/>
      <c r="T41" s="2696"/>
      <c r="U41" s="2535"/>
      <c r="V41" s="2535"/>
      <c r="W41" s="2535"/>
      <c r="Y41" s="3219"/>
      <c r="Z41" s="3219"/>
      <c r="AA41" s="3551"/>
      <c r="AB41" s="3551"/>
      <c r="AC41" s="3551"/>
      <c r="AD41" s="3551"/>
    </row>
    <row r="42" spans="1:35" x14ac:dyDescent="0.2">
      <c r="A42" s="2245" t="s">
        <v>2094</v>
      </c>
      <c r="B42" s="2251">
        <v>14554</v>
      </c>
      <c r="C42" s="2167" t="s">
        <v>2103</v>
      </c>
      <c r="D42" s="2251">
        <f>B42*1.027</f>
        <v>14946.957999999999</v>
      </c>
      <c r="E42" s="2208">
        <v>52221</v>
      </c>
    </row>
    <row r="43" spans="1:35" ht="25.5" x14ac:dyDescent="0.2">
      <c r="A43" s="2245" t="s">
        <v>2096</v>
      </c>
      <c r="B43" s="2251">
        <v>49500</v>
      </c>
      <c r="C43" s="2167" t="s">
        <v>2105</v>
      </c>
      <c r="D43" s="2251">
        <f t="shared" ref="D43:D50" si="28">B43*1.027</f>
        <v>50836.499999999993</v>
      </c>
    </row>
    <row r="44" spans="1:35" ht="25.5" x14ac:dyDescent="0.2">
      <c r="A44" s="2245" t="s">
        <v>2097</v>
      </c>
      <c r="B44" s="2251">
        <v>72832</v>
      </c>
      <c r="C44" s="2167" t="s">
        <v>2106</v>
      </c>
      <c r="D44" s="2251">
        <f t="shared" si="28"/>
        <v>74798.463999999993</v>
      </c>
      <c r="E44" s="2208">
        <v>59973</v>
      </c>
    </row>
    <row r="45" spans="1:35" ht="51" x14ac:dyDescent="0.2">
      <c r="A45" s="2245" t="s">
        <v>2098</v>
      </c>
      <c r="B45" s="2251">
        <v>1541</v>
      </c>
      <c r="C45" s="2167" t="s">
        <v>2107</v>
      </c>
      <c r="D45" s="2251">
        <f t="shared" si="28"/>
        <v>1582.607</v>
      </c>
      <c r="E45" s="2208">
        <v>824</v>
      </c>
    </row>
    <row r="46" spans="1:35" ht="38.25" x14ac:dyDescent="0.2">
      <c r="A46" s="2245" t="s">
        <v>2099</v>
      </c>
      <c r="B46" s="2251">
        <v>11966</v>
      </c>
      <c r="C46" s="2167" t="s">
        <v>2104</v>
      </c>
      <c r="D46" s="2251">
        <f t="shared" si="28"/>
        <v>12289.081999999999</v>
      </c>
      <c r="E46" s="2208">
        <v>20316</v>
      </c>
    </row>
    <row r="47" spans="1:35" ht="25.5" x14ac:dyDescent="0.2">
      <c r="A47" s="3949" t="s">
        <v>4038</v>
      </c>
      <c r="B47" s="2251"/>
      <c r="C47" s="2167" t="s">
        <v>46</v>
      </c>
      <c r="D47" s="2251"/>
      <c r="E47" s="3933">
        <v>6472</v>
      </c>
      <c r="F47" s="3933"/>
      <c r="G47" s="3933"/>
      <c r="H47" s="3933"/>
      <c r="I47" s="3933"/>
      <c r="J47" s="3933"/>
      <c r="K47" s="3933"/>
      <c r="L47" s="3933"/>
      <c r="M47" s="3933"/>
      <c r="N47" s="3933"/>
      <c r="O47" s="3933"/>
      <c r="P47" s="3933"/>
      <c r="Q47" s="3933"/>
      <c r="R47" s="3933"/>
      <c r="S47" s="3933"/>
      <c r="T47" s="3933"/>
      <c r="U47" s="3933"/>
      <c r="V47" s="3933"/>
      <c r="W47" s="3933"/>
      <c r="X47" s="3933"/>
      <c r="Y47" s="3933"/>
      <c r="Z47" s="3933"/>
      <c r="AA47" s="3933"/>
      <c r="AB47" s="3933"/>
      <c r="AC47" s="3933"/>
      <c r="AD47" s="3933"/>
    </row>
    <row r="48" spans="1:35" ht="25.5" x14ac:dyDescent="0.2">
      <c r="A48" s="2245" t="s">
        <v>2100</v>
      </c>
      <c r="B48" s="2251">
        <v>28977</v>
      </c>
      <c r="C48" s="2167" t="s">
        <v>2106</v>
      </c>
      <c r="D48" s="2251">
        <f t="shared" si="28"/>
        <v>29759.378999999997</v>
      </c>
      <c r="E48" s="2208">
        <v>49029</v>
      </c>
    </row>
    <row r="49" spans="1:30" ht="25.5" x14ac:dyDescent="0.2">
      <c r="A49" s="3949" t="s">
        <v>4037</v>
      </c>
      <c r="B49" s="2251"/>
      <c r="C49" s="2167" t="s">
        <v>46</v>
      </c>
      <c r="D49" s="2251"/>
      <c r="E49" s="3933">
        <v>28150</v>
      </c>
      <c r="F49" s="3933"/>
      <c r="G49" s="3933"/>
      <c r="H49" s="3933"/>
      <c r="I49" s="3933"/>
      <c r="J49" s="3933"/>
      <c r="K49" s="3933"/>
      <c r="L49" s="3933"/>
      <c r="M49" s="3933"/>
      <c r="N49" s="3933"/>
      <c r="O49" s="3933"/>
      <c r="P49" s="3933"/>
      <c r="Q49" s="3933"/>
      <c r="R49" s="3933"/>
      <c r="S49" s="3933"/>
      <c r="T49" s="3933"/>
      <c r="U49" s="3933"/>
      <c r="V49" s="3933"/>
      <c r="W49" s="3933"/>
      <c r="X49" s="3933"/>
      <c r="Y49" s="3933"/>
      <c r="Z49" s="3933"/>
      <c r="AA49" s="3933"/>
      <c r="AB49" s="3933"/>
      <c r="AC49" s="3933"/>
      <c r="AD49" s="3933"/>
    </row>
    <row r="50" spans="1:30" ht="25.5" x14ac:dyDescent="0.2">
      <c r="A50" s="2245" t="s">
        <v>2101</v>
      </c>
      <c r="B50" s="2251">
        <v>136</v>
      </c>
      <c r="C50" s="2167" t="s">
        <v>2106</v>
      </c>
      <c r="D50" s="2251">
        <f t="shared" si="28"/>
        <v>139.672</v>
      </c>
      <c r="E50" s="2208">
        <v>18591</v>
      </c>
    </row>
    <row r="51" spans="1:30" s="1920" customFormat="1" x14ac:dyDescent="0.2">
      <c r="A51" s="1826"/>
      <c r="B51" s="2252">
        <f>SUM(B42:B50)</f>
        <v>179506</v>
      </c>
      <c r="C51" s="1827"/>
      <c r="D51" s="2252">
        <f>SUM(D42:D50)</f>
        <v>184352.66199999992</v>
      </c>
      <c r="E51" s="2246"/>
      <c r="F51" s="2460"/>
      <c r="G51" s="2460"/>
      <c r="H51" s="2246"/>
      <c r="I51" s="2246"/>
      <c r="J51" s="2246"/>
      <c r="K51" s="2246"/>
      <c r="L51" s="2246"/>
      <c r="M51" s="2246"/>
      <c r="N51" s="2246"/>
      <c r="O51" s="2246"/>
      <c r="P51" s="2246"/>
      <c r="Q51" s="2246"/>
      <c r="R51" s="2246"/>
      <c r="S51" s="2460"/>
      <c r="T51" s="2697"/>
      <c r="U51" s="2542"/>
      <c r="V51" s="2542"/>
      <c r="W51" s="2542"/>
      <c r="X51" s="2246"/>
      <c r="Y51" s="3227"/>
      <c r="Z51" s="3227"/>
      <c r="AA51" s="3555"/>
      <c r="AB51" s="3555"/>
      <c r="AC51" s="3555"/>
      <c r="AD51" s="3555"/>
    </row>
    <row r="52" spans="1:30" x14ac:dyDescent="0.2">
      <c r="A52" s="2245" t="s">
        <v>50</v>
      </c>
      <c r="B52" s="2093"/>
      <c r="C52" s="2093"/>
      <c r="D52" s="2093"/>
      <c r="E52" s="2247"/>
      <c r="H52" s="2247"/>
      <c r="I52" s="2247"/>
      <c r="J52" s="2247"/>
      <c r="K52" s="2247"/>
      <c r="L52" s="2247"/>
      <c r="M52" s="2247"/>
      <c r="N52" s="2247"/>
      <c r="O52" s="2247"/>
      <c r="P52" s="2247"/>
      <c r="Q52" s="2247"/>
      <c r="R52" s="2247"/>
      <c r="X52" s="2247"/>
    </row>
    <row r="53" spans="1:30" ht="19.5" customHeight="1" x14ac:dyDescent="0.2">
      <c r="A53" s="2245" t="s">
        <v>46</v>
      </c>
      <c r="B53" s="2253">
        <f>B43+B46+B45/2</f>
        <v>62236.5</v>
      </c>
      <c r="C53" s="2244"/>
      <c r="D53" s="2253">
        <f>D43+D46+D45/2</f>
        <v>63916.885499999997</v>
      </c>
      <c r="E53" s="2247"/>
      <c r="H53" s="2247"/>
      <c r="I53" s="2247"/>
      <c r="J53" s="2247"/>
      <c r="K53" s="2247"/>
      <c r="L53" s="2247"/>
      <c r="M53" s="2247"/>
      <c r="N53" s="2247"/>
      <c r="O53" s="2247"/>
      <c r="P53" s="2247"/>
      <c r="Q53" s="2247"/>
      <c r="R53" s="2247"/>
      <c r="X53" s="2247"/>
    </row>
    <row r="54" spans="1:30" ht="20.25" customHeight="1" x14ac:dyDescent="0.2">
      <c r="A54" s="2245" t="s">
        <v>47</v>
      </c>
      <c r="B54" s="2253">
        <f>B44+B48+B50+B45/2</f>
        <v>102715.5</v>
      </c>
      <c r="C54" s="2244"/>
      <c r="D54" s="2253">
        <f>D44+D48+D50+D45/2</f>
        <v>105488.81849999999</v>
      </c>
      <c r="E54" s="2247"/>
      <c r="H54" s="2247"/>
      <c r="I54" s="2247"/>
      <c r="J54" s="2247"/>
      <c r="K54" s="2247"/>
      <c r="L54" s="2247"/>
      <c r="M54" s="2247"/>
      <c r="N54" s="2247"/>
      <c r="O54" s="2247"/>
      <c r="P54" s="2247"/>
      <c r="Q54" s="2247"/>
      <c r="R54" s="2247"/>
      <c r="X54" s="2247"/>
    </row>
    <row r="55" spans="1:30" ht="18.75" customHeight="1" x14ac:dyDescent="0.2">
      <c r="A55" s="2245" t="s">
        <v>2109</v>
      </c>
      <c r="B55" s="2253">
        <f>B42</f>
        <v>14554</v>
      </c>
      <c r="C55" s="2253"/>
      <c r="D55" s="2253">
        <f>D42</f>
        <v>14946.957999999999</v>
      </c>
      <c r="E55" s="2247"/>
      <c r="H55" s="2247"/>
      <c r="I55" s="2247"/>
      <c r="J55" s="2247"/>
      <c r="K55" s="2247"/>
      <c r="L55" s="2247"/>
      <c r="M55" s="2247"/>
      <c r="N55" s="2247"/>
      <c r="O55" s="2247"/>
      <c r="P55" s="2247"/>
      <c r="Q55" s="2247"/>
      <c r="R55" s="2247"/>
      <c r="X55" s="2247"/>
    </row>
    <row r="56" spans="1:30" x14ac:dyDescent="0.2">
      <c r="B56" s="2250">
        <f>SUM(B53:B55)</f>
        <v>179506</v>
      </c>
      <c r="C56" s="2250"/>
      <c r="D56" s="2250">
        <f t="shared" ref="D56" si="29">SUM(D53:D55)</f>
        <v>184352.66200000001</v>
      </c>
      <c r="E56" s="2247"/>
      <c r="H56" s="2247"/>
      <c r="I56" s="2247"/>
      <c r="J56" s="2247"/>
      <c r="K56" s="2247"/>
      <c r="L56" s="2247"/>
      <c r="M56" s="2247"/>
      <c r="N56" s="2247"/>
      <c r="O56" s="2247"/>
      <c r="P56" s="2247"/>
      <c r="Q56" s="2247"/>
      <c r="R56" s="2247"/>
      <c r="X56" s="2247"/>
    </row>
    <row r="57" spans="1:30" x14ac:dyDescent="0.2">
      <c r="E57" s="2247"/>
      <c r="H57" s="2247"/>
      <c r="I57" s="2247"/>
      <c r="J57" s="2247"/>
      <c r="K57" s="2247"/>
      <c r="L57" s="2247"/>
      <c r="M57" s="2247"/>
      <c r="N57" s="2247"/>
      <c r="O57" s="2247"/>
      <c r="P57" s="2247"/>
      <c r="Q57" s="2247"/>
      <c r="R57" s="2247"/>
      <c r="X57" s="2247"/>
    </row>
    <row r="58" spans="1:30" x14ac:dyDescent="0.2">
      <c r="E58" s="2247"/>
      <c r="H58" s="2247"/>
      <c r="I58" s="2247"/>
      <c r="J58" s="2247"/>
      <c r="K58" s="2247"/>
      <c r="L58" s="2247"/>
      <c r="M58" s="2247"/>
      <c r="N58" s="2247"/>
      <c r="O58" s="2247"/>
      <c r="P58" s="2247"/>
      <c r="Q58" s="2247"/>
      <c r="R58" s="2247"/>
      <c r="X58" s="2247"/>
    </row>
    <row r="59" spans="1:30" x14ac:dyDescent="0.2">
      <c r="E59" s="2247"/>
      <c r="H59" s="2247"/>
      <c r="I59" s="2247"/>
      <c r="J59" s="2247"/>
      <c r="K59" s="2247"/>
      <c r="L59" s="2247"/>
      <c r="M59" s="2247"/>
      <c r="N59" s="2247"/>
      <c r="O59" s="2247"/>
      <c r="P59" s="2247"/>
      <c r="Q59" s="2247"/>
      <c r="R59" s="2247"/>
      <c r="X59" s="2247"/>
    </row>
    <row r="60" spans="1:30" x14ac:dyDescent="0.2">
      <c r="E60" s="2247"/>
      <c r="H60" s="2247"/>
      <c r="I60" s="2247"/>
      <c r="J60" s="2247"/>
      <c r="K60" s="2247"/>
      <c r="L60" s="2247"/>
      <c r="M60" s="2247"/>
      <c r="N60" s="2247"/>
      <c r="O60" s="2247"/>
      <c r="P60" s="2247"/>
      <c r="Q60" s="2247"/>
      <c r="R60" s="2247"/>
      <c r="X60" s="2247"/>
    </row>
    <row r="61" spans="1:30" x14ac:dyDescent="0.2">
      <c r="E61" s="2247"/>
      <c r="H61" s="2247"/>
      <c r="I61" s="2247"/>
      <c r="J61" s="2247"/>
      <c r="K61" s="2247"/>
      <c r="L61" s="2247"/>
      <c r="M61" s="2247"/>
      <c r="N61" s="2247"/>
      <c r="O61" s="2247"/>
      <c r="P61" s="2247"/>
      <c r="Q61" s="2247"/>
      <c r="R61" s="2247"/>
      <c r="X61" s="2247"/>
    </row>
    <row r="62" spans="1:30" x14ac:dyDescent="0.2">
      <c r="E62" s="2247"/>
      <c r="H62" s="2247"/>
      <c r="I62" s="2247"/>
      <c r="J62" s="2247"/>
      <c r="K62" s="2247"/>
      <c r="L62" s="2247"/>
      <c r="M62" s="2247"/>
      <c r="N62" s="2247"/>
      <c r="O62" s="2247"/>
      <c r="P62" s="2247"/>
      <c r="Q62" s="2247"/>
      <c r="R62" s="2247"/>
      <c r="X62" s="2247"/>
    </row>
    <row r="63" spans="1:30" x14ac:dyDescent="0.2">
      <c r="E63" s="2247"/>
      <c r="H63" s="2247"/>
      <c r="I63" s="2247"/>
      <c r="J63" s="2247"/>
      <c r="K63" s="2247"/>
      <c r="L63" s="2247"/>
      <c r="M63" s="2247"/>
      <c r="N63" s="2247"/>
      <c r="O63" s="2247"/>
      <c r="P63" s="2247"/>
      <c r="Q63" s="2247"/>
      <c r="R63" s="2247"/>
      <c r="X63" s="2247"/>
    </row>
    <row r="64" spans="1:30" x14ac:dyDescent="0.2">
      <c r="E64" s="2247"/>
      <c r="H64" s="2247"/>
      <c r="I64" s="2247"/>
      <c r="J64" s="2247"/>
      <c r="K64" s="2247"/>
      <c r="L64" s="2247"/>
      <c r="M64" s="2247"/>
      <c r="N64" s="2247"/>
      <c r="O64" s="2247"/>
      <c r="P64" s="2247"/>
      <c r="Q64" s="2247"/>
      <c r="R64" s="2247"/>
      <c r="X64" s="2247"/>
    </row>
    <row r="65" spans="1:24" x14ac:dyDescent="0.2">
      <c r="E65" s="2247"/>
      <c r="H65" s="2247"/>
      <c r="I65" s="2247"/>
      <c r="J65" s="2247"/>
      <c r="K65" s="2247"/>
      <c r="L65" s="2247"/>
      <c r="M65" s="2247"/>
      <c r="N65" s="2247"/>
      <c r="O65" s="2247"/>
      <c r="P65" s="2247"/>
      <c r="Q65" s="2247"/>
      <c r="R65" s="2247"/>
      <c r="X65" s="2247"/>
    </row>
    <row r="68" spans="1:24" x14ac:dyDescent="0.2">
      <c r="A68" s="5" t="s">
        <v>1931</v>
      </c>
      <c r="B68" s="2091">
        <v>23.18</v>
      </c>
    </row>
    <row r="69" spans="1:24" x14ac:dyDescent="0.2">
      <c r="A69" s="5" t="s">
        <v>46</v>
      </c>
    </row>
    <row r="70" spans="1:24" x14ac:dyDescent="0.2">
      <c r="B70" s="2091">
        <v>989.91</v>
      </c>
    </row>
    <row r="71" spans="1:24" x14ac:dyDescent="0.2">
      <c r="B71" s="2091">
        <v>242.96</v>
      </c>
    </row>
    <row r="72" spans="1:24" x14ac:dyDescent="0.2">
      <c r="B72" s="2091">
        <v>964.85</v>
      </c>
    </row>
    <row r="73" spans="1:24" x14ac:dyDescent="0.2">
      <c r="B73" s="2091">
        <v>83550.570000000007</v>
      </c>
    </row>
    <row r="74" spans="1:24" x14ac:dyDescent="0.2">
      <c r="B74" s="2091">
        <v>1445.5</v>
      </c>
      <c r="E74" s="2247"/>
      <c r="H74" s="2247"/>
      <c r="I74" s="2247"/>
      <c r="J74" s="2247"/>
      <c r="K74" s="2247"/>
      <c r="L74" s="2247"/>
      <c r="M74" s="2247"/>
      <c r="N74" s="2247"/>
      <c r="O74" s="2247"/>
      <c r="P74" s="2247"/>
      <c r="Q74" s="2247"/>
      <c r="R74" s="2247"/>
      <c r="X74" s="2247"/>
    </row>
    <row r="75" spans="1:24" x14ac:dyDescent="0.2">
      <c r="B75" s="2091">
        <v>30390.560000000001</v>
      </c>
      <c r="E75" s="2247"/>
      <c r="H75" s="2247"/>
      <c r="I75" s="2247"/>
      <c r="J75" s="2247"/>
      <c r="K75" s="2247"/>
      <c r="L75" s="2247"/>
      <c r="M75" s="2247"/>
      <c r="N75" s="2247"/>
      <c r="O75" s="2247"/>
      <c r="P75" s="2247"/>
      <c r="Q75" s="2247"/>
      <c r="R75" s="2247"/>
      <c r="X75" s="2247"/>
    </row>
    <row r="76" spans="1:24" x14ac:dyDescent="0.2">
      <c r="B76" s="2091">
        <v>30.29</v>
      </c>
      <c r="E76" s="2247"/>
      <c r="H76" s="2247"/>
      <c r="I76" s="2247"/>
      <c r="J76" s="2247"/>
      <c r="K76" s="2247"/>
      <c r="L76" s="2247"/>
      <c r="M76" s="2247"/>
      <c r="N76" s="2247"/>
      <c r="O76" s="2247"/>
      <c r="P76" s="2247"/>
      <c r="Q76" s="2247"/>
      <c r="R76" s="2247"/>
      <c r="X76" s="2247"/>
    </row>
    <row r="77" spans="1:24" x14ac:dyDescent="0.2">
      <c r="B77" s="2248">
        <f>SUM(B68:B76)</f>
        <v>117637.81999999999</v>
      </c>
      <c r="E77" s="2247"/>
      <c r="H77" s="2247"/>
      <c r="I77" s="2247"/>
      <c r="J77" s="2247"/>
      <c r="K77" s="2247"/>
      <c r="L77" s="2247"/>
      <c r="M77" s="2247"/>
      <c r="N77" s="2247"/>
      <c r="O77" s="2247"/>
      <c r="P77" s="2247"/>
      <c r="Q77" s="2247"/>
      <c r="R77" s="2247"/>
      <c r="X77" s="2247"/>
    </row>
    <row r="78" spans="1:24" x14ac:dyDescent="0.2">
      <c r="E78" s="2247"/>
      <c r="H78" s="2247"/>
      <c r="I78" s="2247"/>
      <c r="J78" s="2247"/>
      <c r="K78" s="2247"/>
      <c r="L78" s="2247"/>
      <c r="M78" s="2247"/>
      <c r="N78" s="2247"/>
      <c r="O78" s="2247"/>
      <c r="P78" s="2247"/>
      <c r="Q78" s="2247"/>
      <c r="R78" s="2247"/>
      <c r="X78" s="2247"/>
    </row>
    <row r="79" spans="1:24" x14ac:dyDescent="0.2">
      <c r="E79" s="2247"/>
      <c r="H79" s="2247"/>
      <c r="I79" s="2247"/>
      <c r="J79" s="2247"/>
      <c r="K79" s="2247"/>
      <c r="L79" s="2247"/>
      <c r="M79" s="2247"/>
      <c r="N79" s="2247"/>
      <c r="O79" s="2247"/>
      <c r="P79" s="2247"/>
      <c r="Q79" s="2247"/>
      <c r="R79" s="2247"/>
      <c r="X79" s="2247"/>
    </row>
    <row r="80" spans="1:24" x14ac:dyDescent="0.2">
      <c r="E80" s="2247"/>
      <c r="H80" s="2247"/>
      <c r="I80" s="2247"/>
      <c r="J80" s="2247"/>
      <c r="K80" s="2247"/>
      <c r="L80" s="2247"/>
      <c r="M80" s="2247"/>
      <c r="N80" s="2247"/>
      <c r="O80" s="2247"/>
      <c r="P80" s="2247"/>
      <c r="Q80" s="2247"/>
      <c r="R80" s="2247"/>
      <c r="X80" s="2247"/>
    </row>
    <row r="81" spans="1:30" x14ac:dyDescent="0.2">
      <c r="A81" s="5" t="s">
        <v>47</v>
      </c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5" t="s">
        <v>2102</v>
      </c>
      <c r="B82" s="2248">
        <v>594.78</v>
      </c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B83" s="2248">
        <v>302.64999999999998</v>
      </c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B84" s="2248">
        <v>842.18</v>
      </c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B85" s="2248">
        <v>1477.03</v>
      </c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B86" s="2248">
        <v>88959.62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B87" s="2248">
        <v>246.76</v>
      </c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B88" s="2248">
        <f>SUM(B82:B87)</f>
        <v>92423.01999999999</v>
      </c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90" spans="1:30" x14ac:dyDescent="0.2">
      <c r="B90" s="2248">
        <f>B88+B77</f>
        <v>210060.83999999997</v>
      </c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2" spans="1:30" x14ac:dyDescent="0.2">
      <c r="A92" s="5" t="s">
        <v>2103</v>
      </c>
      <c r="B92" s="2091">
        <v>14554</v>
      </c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</sheetData>
  <mergeCells count="51">
    <mergeCell ref="D4:E4"/>
    <mergeCell ref="F4:G4"/>
    <mergeCell ref="U4:U5"/>
    <mergeCell ref="V4:V5"/>
    <mergeCell ref="W4:W5"/>
    <mergeCell ref="S4:T4"/>
    <mergeCell ref="AD27:AE27"/>
    <mergeCell ref="AD28:AE28"/>
    <mergeCell ref="AD29:AE29"/>
    <mergeCell ref="AI4:AJ4"/>
    <mergeCell ref="AD4:AE4"/>
    <mergeCell ref="AF4:AF5"/>
    <mergeCell ref="AG4:AG5"/>
    <mergeCell ref="AH4:AH5"/>
    <mergeCell ref="AD30:AE30"/>
    <mergeCell ref="AD31:AE31"/>
    <mergeCell ref="AD32:AE32"/>
    <mergeCell ref="AD33:AE33"/>
    <mergeCell ref="AD34:AE34"/>
    <mergeCell ref="Z37:AC37"/>
    <mergeCell ref="Z38:AC38"/>
    <mergeCell ref="AD35:AE35"/>
    <mergeCell ref="AD36:AE36"/>
    <mergeCell ref="AD37:AE37"/>
    <mergeCell ref="AD38:AE38"/>
    <mergeCell ref="Z32:AC32"/>
    <mergeCell ref="Z33:AC33"/>
    <mergeCell ref="Z34:AC34"/>
    <mergeCell ref="Z35:AC35"/>
    <mergeCell ref="Z36:AC36"/>
    <mergeCell ref="Z27:AC27"/>
    <mergeCell ref="Z28:AC28"/>
    <mergeCell ref="Z29:AC29"/>
    <mergeCell ref="Z30:AC30"/>
    <mergeCell ref="Z31:AC31"/>
    <mergeCell ref="AK4:AK5"/>
    <mergeCell ref="AL4:AL5"/>
    <mergeCell ref="A1:AL1"/>
    <mergeCell ref="Z25:AC25"/>
    <mergeCell ref="Z26:AC26"/>
    <mergeCell ref="AD25:AE25"/>
    <mergeCell ref="AD26:AE26"/>
    <mergeCell ref="AA4:AA5"/>
    <mergeCell ref="AB4:AB5"/>
    <mergeCell ref="AC4:AC5"/>
    <mergeCell ref="Y4:Z4"/>
    <mergeCell ref="X4:X5"/>
    <mergeCell ref="H5:L5"/>
    <mergeCell ref="M5:R5"/>
    <mergeCell ref="A4:A5"/>
    <mergeCell ref="B4:C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Лист48"/>
  <dimension ref="A3:J31"/>
  <sheetViews>
    <sheetView workbookViewId="0">
      <selection activeCell="M30" sqref="M30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1869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270</v>
      </c>
    </row>
    <row r="4" spans="1:10" s="1869" customFormat="1" ht="25.5" x14ac:dyDescent="0.2">
      <c r="A4" s="2199"/>
      <c r="B4" s="2199" t="s">
        <v>1966</v>
      </c>
      <c r="C4" s="2199" t="s">
        <v>1018</v>
      </c>
      <c r="D4" s="2198" t="s">
        <v>1967</v>
      </c>
      <c r="E4" s="2198" t="s">
        <v>1968</v>
      </c>
      <c r="F4" s="2199" t="s">
        <v>1969</v>
      </c>
    </row>
    <row r="5" spans="1:10" x14ac:dyDescent="0.2">
      <c r="A5" s="1748" t="s">
        <v>1962</v>
      </c>
      <c r="B5" s="2199">
        <v>5</v>
      </c>
      <c r="C5" s="2199">
        <v>4</v>
      </c>
      <c r="D5" s="1753">
        <v>36990.29</v>
      </c>
      <c r="E5" s="1753">
        <f>B5*D5</f>
        <v>184951.45</v>
      </c>
      <c r="F5" s="1753">
        <f>E5*12</f>
        <v>2219417.4000000004</v>
      </c>
    </row>
    <row r="6" spans="1:10" x14ac:dyDescent="0.2">
      <c r="A6" s="1748" t="s">
        <v>1963</v>
      </c>
      <c r="B6" s="2199">
        <v>1</v>
      </c>
      <c r="C6" s="2199">
        <v>5</v>
      </c>
      <c r="D6" s="1753">
        <v>35898.44</v>
      </c>
      <c r="E6" s="1753">
        <f t="shared" ref="E6:E8" si="0">B6*D6</f>
        <v>35898.44</v>
      </c>
      <c r="F6" s="1753">
        <f t="shared" ref="F6:F8" si="1">E6*12</f>
        <v>430781.28</v>
      </c>
    </row>
    <row r="7" spans="1:10" x14ac:dyDescent="0.2">
      <c r="A7" s="1748" t="s">
        <v>1964</v>
      </c>
      <c r="B7" s="2199">
        <v>1</v>
      </c>
      <c r="C7" s="2199">
        <v>5</v>
      </c>
      <c r="D7" s="1753">
        <v>35898.44</v>
      </c>
      <c r="E7" s="1753">
        <f t="shared" si="0"/>
        <v>35898.44</v>
      </c>
      <c r="F7" s="1753">
        <f t="shared" si="1"/>
        <v>430781.28</v>
      </c>
    </row>
    <row r="8" spans="1:10" x14ac:dyDescent="0.2">
      <c r="A8" s="1748" t="s">
        <v>1965</v>
      </c>
      <c r="B8" s="2199">
        <v>1</v>
      </c>
      <c r="C8" s="2199">
        <v>2</v>
      </c>
      <c r="D8" s="1753">
        <v>23959.8</v>
      </c>
      <c r="E8" s="1753">
        <f t="shared" si="0"/>
        <v>23959.8</v>
      </c>
      <c r="F8" s="1753">
        <f t="shared" si="1"/>
        <v>287517.59999999998</v>
      </c>
    </row>
    <row r="9" spans="1:10" x14ac:dyDescent="0.2">
      <c r="A9" s="1748"/>
      <c r="B9" s="2199">
        <f>SUM(B5:B8)</f>
        <v>8</v>
      </c>
      <c r="C9" s="2199">
        <f>(B5*C5+B6*C6+B7*C7+B8*C8)/B9</f>
        <v>4</v>
      </c>
      <c r="D9" s="1749">
        <f>E9/B9</f>
        <v>35088.516250000001</v>
      </c>
      <c r="E9" s="1749">
        <f>SUM(E5:E8)</f>
        <v>280708.13</v>
      </c>
      <c r="F9" s="1749">
        <f>SUM(F5:F8)</f>
        <v>3368497.560000001</v>
      </c>
    </row>
    <row r="11" spans="1:10" x14ac:dyDescent="0.2">
      <c r="A11" s="5" t="s">
        <v>1970</v>
      </c>
    </row>
    <row r="12" spans="1:10" x14ac:dyDescent="0.2">
      <c r="A12" s="5" t="s">
        <v>1971</v>
      </c>
    </row>
    <row r="13" spans="1:10" s="2205" customFormat="1" ht="25.5" x14ac:dyDescent="0.2">
      <c r="A13" s="2118" t="s">
        <v>1972</v>
      </c>
      <c r="B13" s="2162" t="s">
        <v>1973</v>
      </c>
      <c r="C13" s="2164" t="s">
        <v>1974</v>
      </c>
      <c r="D13" s="5155" t="s">
        <v>1982</v>
      </c>
      <c r="E13" s="5155"/>
      <c r="F13" s="5155"/>
      <c r="G13" s="5155" t="s">
        <v>1983</v>
      </c>
      <c r="H13" s="5155"/>
      <c r="I13" s="5155"/>
      <c r="J13" s="5155"/>
    </row>
    <row r="14" spans="1:10" x14ac:dyDescent="0.2">
      <c r="A14" s="1748" t="s">
        <v>1975</v>
      </c>
      <c r="B14" s="2163"/>
      <c r="C14" s="2164"/>
      <c r="D14" s="6182" t="s">
        <v>1981</v>
      </c>
      <c r="E14" s="6183"/>
      <c r="F14" s="6184"/>
      <c r="G14" s="6191" t="s">
        <v>1984</v>
      </c>
      <c r="H14" s="6192"/>
      <c r="I14" s="6192"/>
      <c r="J14" s="6193"/>
    </row>
    <row r="15" spans="1:10" x14ac:dyDescent="0.2">
      <c r="A15" s="1748" t="s">
        <v>1976</v>
      </c>
      <c r="B15" s="1928">
        <f>'ЭЭ вода'!T23</f>
        <v>1900</v>
      </c>
      <c r="C15" s="2164"/>
      <c r="D15" s="6185"/>
      <c r="E15" s="6186"/>
      <c r="F15" s="6187"/>
      <c r="G15" s="6194"/>
      <c r="H15" s="6195"/>
      <c r="I15" s="6195"/>
      <c r="J15" s="6196"/>
    </row>
    <row r="16" spans="1:10" x14ac:dyDescent="0.2">
      <c r="A16" s="1748" t="s">
        <v>1977</v>
      </c>
      <c r="B16" s="2209">
        <f>B15/365</f>
        <v>5.2054794520547949</v>
      </c>
      <c r="C16" s="2164"/>
      <c r="D16" s="6185"/>
      <c r="E16" s="6186"/>
      <c r="F16" s="6187"/>
      <c r="G16" s="6194"/>
      <c r="H16" s="6195"/>
      <c r="I16" s="6195"/>
      <c r="J16" s="6196"/>
    </row>
    <row r="17" spans="1:10" ht="25.5" x14ac:dyDescent="0.2">
      <c r="A17" s="2093" t="s">
        <v>1978</v>
      </c>
      <c r="B17" s="2209">
        <f>5+((6-5)/15)*B16</f>
        <v>5.3470319634703198</v>
      </c>
      <c r="C17" s="2164"/>
      <c r="D17" s="6185"/>
      <c r="E17" s="6186"/>
      <c r="F17" s="6187"/>
      <c r="G17" s="6194"/>
      <c r="H17" s="6195"/>
      <c r="I17" s="6195"/>
      <c r="J17" s="6196"/>
    </row>
    <row r="18" spans="1:10" x14ac:dyDescent="0.2">
      <c r="A18" s="1748" t="s">
        <v>1979</v>
      </c>
      <c r="B18" s="2209">
        <v>1.1599999999999999</v>
      </c>
      <c r="C18" s="2164"/>
      <c r="D18" s="6185"/>
      <c r="E18" s="6186"/>
      <c r="F18" s="6187"/>
      <c r="G18" s="6194"/>
      <c r="H18" s="6195"/>
      <c r="I18" s="6195"/>
      <c r="J18" s="6196"/>
    </row>
    <row r="19" spans="1:10" ht="37.5" customHeight="1" x14ac:dyDescent="0.2">
      <c r="A19" s="2093" t="s">
        <v>1980</v>
      </c>
      <c r="B19" s="2210">
        <f>B17*B18</f>
        <v>6.2025570776255705</v>
      </c>
      <c r="C19" s="2164"/>
      <c r="D19" s="6188"/>
      <c r="E19" s="6189"/>
      <c r="F19" s="6190"/>
      <c r="G19" s="6197"/>
      <c r="H19" s="6198"/>
      <c r="I19" s="6198"/>
      <c r="J19" s="6199"/>
    </row>
    <row r="22" spans="1:10" x14ac:dyDescent="0.2">
      <c r="A22" s="1920" t="s">
        <v>1994</v>
      </c>
    </row>
    <row r="23" spans="1:10" x14ac:dyDescent="0.2">
      <c r="A23" s="5" t="s">
        <v>1933</v>
      </c>
    </row>
    <row r="24" spans="1:10" x14ac:dyDescent="0.2">
      <c r="A24" s="5" t="s">
        <v>1995</v>
      </c>
    </row>
    <row r="26" spans="1:10" x14ac:dyDescent="0.2">
      <c r="A26" s="2350"/>
      <c r="B26" s="2350" t="s">
        <v>1966</v>
      </c>
      <c r="C26" s="2350" t="s">
        <v>1018</v>
      </c>
    </row>
    <row r="27" spans="1:10" x14ac:dyDescent="0.2">
      <c r="A27" s="1748" t="s">
        <v>1962</v>
      </c>
      <c r="B27" s="2350">
        <v>4</v>
      </c>
      <c r="C27" s="2350">
        <v>3</v>
      </c>
    </row>
    <row r="28" spans="1:10" x14ac:dyDescent="0.2">
      <c r="A28" s="1748" t="s">
        <v>1963</v>
      </c>
      <c r="B28" s="2350">
        <v>0.9</v>
      </c>
      <c r="C28" s="2350">
        <v>5</v>
      </c>
    </row>
    <row r="29" spans="1:10" x14ac:dyDescent="0.2">
      <c r="A29" s="1748" t="s">
        <v>1964</v>
      </c>
      <c r="B29" s="2350">
        <v>0.9</v>
      </c>
      <c r="C29" s="2350">
        <v>5</v>
      </c>
    </row>
    <row r="30" spans="1:10" x14ac:dyDescent="0.2">
      <c r="A30" s="1748" t="s">
        <v>1965</v>
      </c>
      <c r="B30" s="2350">
        <v>0.4</v>
      </c>
      <c r="C30" s="2350">
        <v>1</v>
      </c>
    </row>
    <row r="31" spans="1:10" x14ac:dyDescent="0.2">
      <c r="A31" s="1748"/>
      <c r="B31" s="2350">
        <f>SUM(B27:B30)</f>
        <v>6.2000000000000011</v>
      </c>
      <c r="C31" s="2361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1920" customFormat="1" x14ac:dyDescent="0.2">
      <c r="A2" s="1922" t="s">
        <v>1692</v>
      </c>
    </row>
    <row r="3" spans="1:5" ht="15" x14ac:dyDescent="0.2">
      <c r="A3" s="5118" t="s">
        <v>525</v>
      </c>
      <c r="B3" s="5118" t="s">
        <v>1686</v>
      </c>
      <c r="C3" s="5118"/>
      <c r="D3" s="5118"/>
      <c r="E3" s="5118"/>
    </row>
    <row r="4" spans="1:5" ht="14.25" customHeight="1" x14ac:dyDescent="0.2">
      <c r="A4" s="5118"/>
      <c r="B4" s="1917" t="s">
        <v>154</v>
      </c>
      <c r="C4" s="1917" t="s">
        <v>227</v>
      </c>
      <c r="D4" s="1917" t="s">
        <v>362</v>
      </c>
      <c r="E4" s="1917" t="s">
        <v>815</v>
      </c>
    </row>
    <row r="5" spans="1:5" ht="28.5" customHeight="1" x14ac:dyDescent="0.2">
      <c r="A5" s="1918" t="s">
        <v>1687</v>
      </c>
      <c r="B5" s="1919">
        <v>4181.7077200000003</v>
      </c>
      <c r="C5" s="1919">
        <f>'объемы ВС и ВО 2023'!K49-'объемы ВС и ВО 2023'!K51</f>
        <v>3989.2</v>
      </c>
      <c r="D5" s="1919">
        <f>'объемы ВС и ВО 2023'!R49</f>
        <v>3762.2000000000003</v>
      </c>
      <c r="E5" s="1919">
        <f>'объемы ВС и ВО 2023'!W49</f>
        <v>3566.34</v>
      </c>
    </row>
    <row r="6" spans="1:5" ht="23.25" customHeight="1" x14ac:dyDescent="0.2">
      <c r="A6" s="1918" t="s">
        <v>1688</v>
      </c>
      <c r="B6" s="5119">
        <f>1/3*((E5-D5)/D5+(D5-C5)/C5+(C5-B5)/B5)</f>
        <v>-5.1666425182175194E-2</v>
      </c>
      <c r="C6" s="5119"/>
      <c r="D6" s="5119"/>
      <c r="E6" s="5119"/>
    </row>
    <row r="7" spans="1:5" ht="31.5" customHeight="1" x14ac:dyDescent="0.2">
      <c r="A7" s="1918" t="s">
        <v>1689</v>
      </c>
      <c r="B7" s="5120">
        <f>E5*(1-0.05)*(1-0.05)</f>
        <v>3218.62185</v>
      </c>
      <c r="C7" s="5120"/>
      <c r="D7" s="5120"/>
      <c r="E7" s="5120"/>
    </row>
    <row r="8" spans="1:5" ht="13.5" customHeight="1" x14ac:dyDescent="0.2">
      <c r="A8" s="1921" t="s">
        <v>1693</v>
      </c>
    </row>
    <row r="9" spans="1:5" ht="19.5" customHeight="1" x14ac:dyDescent="0.2">
      <c r="A9" s="1918" t="s">
        <v>1690</v>
      </c>
      <c r="B9" s="1919">
        <v>46.051000000000002</v>
      </c>
      <c r="C9" s="1919">
        <f>'объемы ВС и ВО 2023'!K51</f>
        <v>49.8</v>
      </c>
      <c r="D9" s="1919">
        <f>'объемы ВС и ВО 2023'!S49</f>
        <v>18.22</v>
      </c>
      <c r="E9" s="1919">
        <f>'объемы ВС и ВО 2023'!X49</f>
        <v>2.4</v>
      </c>
    </row>
    <row r="10" spans="1:5" ht="19.5" customHeight="1" x14ac:dyDescent="0.2">
      <c r="A10" s="1918" t="s">
        <v>1688</v>
      </c>
      <c r="B10" s="5121">
        <f>1/3*((E9-D9)/D9+(D9-C9)/C9+(C9-B9)/B9)</f>
        <v>-0.47366780797031161</v>
      </c>
      <c r="C10" s="5122"/>
      <c r="D10" s="5122"/>
      <c r="E10" s="5123"/>
    </row>
    <row r="11" spans="1:5" ht="33" customHeight="1" x14ac:dyDescent="0.2">
      <c r="A11" s="1918" t="s">
        <v>1691</v>
      </c>
      <c r="B11" s="5115">
        <f>E9*(1-0.05)*(1-0.05)</f>
        <v>2.1659999999999999</v>
      </c>
      <c r="C11" s="5116"/>
      <c r="D11" s="5116"/>
      <c r="E11" s="5117"/>
    </row>
    <row r="12" spans="1:5" x14ac:dyDescent="0.2">
      <c r="A12" s="1921" t="s">
        <v>335</v>
      </c>
    </row>
    <row r="13" spans="1:5" ht="21.75" customHeight="1" x14ac:dyDescent="0.2">
      <c r="A13" s="1918" t="s">
        <v>1690</v>
      </c>
      <c r="B13" s="1919">
        <v>3771.0683899999999</v>
      </c>
      <c r="C13" s="1919">
        <f>'объемы ВС и ВО 2023'!K63</f>
        <v>3476.2</v>
      </c>
      <c r="D13" s="1919">
        <f>'объемы ВС и ВО 2023'!R63</f>
        <v>3186.5699999999997</v>
      </c>
      <c r="E13" s="1919">
        <f>'объемы ВС и ВО 2023'!W63</f>
        <v>4196.72</v>
      </c>
    </row>
    <row r="14" spans="1:5" ht="15" x14ac:dyDescent="0.2">
      <c r="A14" s="1918" t="s">
        <v>1688</v>
      </c>
      <c r="B14" s="5121">
        <f>1/3*((E13-D13)/D13+(D13-C13)/C13+(C13-B13)/B13)</f>
        <v>5.1830678381774548E-2</v>
      </c>
      <c r="C14" s="5122"/>
      <c r="D14" s="5122"/>
      <c r="E14" s="5123"/>
    </row>
    <row r="15" spans="1:5" ht="33" customHeight="1" x14ac:dyDescent="0.2">
      <c r="A15" s="1918" t="s">
        <v>1691</v>
      </c>
      <c r="B15" s="5115">
        <f>E13*(1-0.05)*(1-0.05)</f>
        <v>3787.5398</v>
      </c>
      <c r="C15" s="5116"/>
      <c r="D15" s="5116"/>
      <c r="E15" s="5117"/>
    </row>
    <row r="16" spans="1:5" x14ac:dyDescent="0.2">
      <c r="A16" s="1921" t="s">
        <v>1694</v>
      </c>
    </row>
    <row r="17" spans="1:5" ht="30" x14ac:dyDescent="0.2">
      <c r="A17" s="1918" t="s">
        <v>1690</v>
      </c>
      <c r="B17" s="1919">
        <v>30.195530000000002</v>
      </c>
      <c r="C17" s="1919">
        <f>'объемы ВС и ВО 2023'!K70</f>
        <v>30.2</v>
      </c>
      <c r="D17" s="1919">
        <f>'объемы ВС и ВО 2023'!S70</f>
        <v>23.38</v>
      </c>
      <c r="E17" s="1919">
        <f>'объемы ВС и ВО 2023'!Z70</f>
        <v>20.65</v>
      </c>
    </row>
    <row r="18" spans="1:5" ht="15" x14ac:dyDescent="0.2">
      <c r="A18" s="1918" t="s">
        <v>1688</v>
      </c>
      <c r="B18" s="5121">
        <f>1/3*((E17-D17)/D17+(D17-C17)/C17+(C17-B17)/B17)</f>
        <v>-0.11414874882640261</v>
      </c>
      <c r="C18" s="5122"/>
      <c r="D18" s="5122"/>
      <c r="E18" s="5123"/>
    </row>
    <row r="19" spans="1:5" ht="30" x14ac:dyDescent="0.2">
      <c r="A19" s="1918" t="s">
        <v>1691</v>
      </c>
      <c r="B19" s="5115">
        <f>E17*(1-0.05)*(1-0.05)</f>
        <v>18.636624999999995</v>
      </c>
      <c r="C19" s="5116"/>
      <c r="D19" s="5116"/>
      <c r="E19" s="5117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261" customWidth="1"/>
    <col min="2" max="2" width="24.140625" style="1261" customWidth="1"/>
    <col min="3" max="3" width="43.7109375" style="1261" customWidth="1"/>
    <col min="4" max="4" width="9" style="1261" customWidth="1"/>
    <col min="5" max="5" width="11.85546875" style="1261" customWidth="1"/>
    <col min="6" max="16384" width="9.140625" style="1261"/>
  </cols>
  <sheetData>
    <row r="1" spans="1:5" hidden="1" x14ac:dyDescent="0.25"/>
    <row r="2" spans="1:5" hidden="1" x14ac:dyDescent="0.25">
      <c r="A2" s="1293"/>
      <c r="B2" s="1294" t="s">
        <v>1022</v>
      </c>
      <c r="C2" s="1293"/>
      <c r="D2" s="1295"/>
      <c r="E2" s="1295"/>
    </row>
    <row r="3" spans="1:5" hidden="1" x14ac:dyDescent="0.25">
      <c r="A3" s="1295"/>
      <c r="B3" s="1294" t="s">
        <v>1023</v>
      </c>
      <c r="C3" s="1295"/>
      <c r="D3" s="1295"/>
      <c r="E3" s="1295"/>
    </row>
    <row r="4" spans="1:5" hidden="1" x14ac:dyDescent="0.25">
      <c r="A4" s="1296" t="s">
        <v>1024</v>
      </c>
      <c r="B4" s="1296" t="s">
        <v>1025</v>
      </c>
      <c r="C4" s="1296" t="s">
        <v>1026</v>
      </c>
      <c r="D4" s="1296" t="s">
        <v>1027</v>
      </c>
      <c r="E4" s="1296" t="s">
        <v>45</v>
      </c>
    </row>
    <row r="5" spans="1:5" hidden="1" x14ac:dyDescent="0.25">
      <c r="A5" s="1297" t="s">
        <v>1028</v>
      </c>
      <c r="B5" s="1297" t="s">
        <v>1029</v>
      </c>
      <c r="C5" s="1297"/>
      <c r="D5" s="1297"/>
      <c r="E5" s="1297" t="s">
        <v>180</v>
      </c>
    </row>
    <row r="6" spans="1:5" hidden="1" x14ac:dyDescent="0.25">
      <c r="A6" s="1298"/>
      <c r="B6" s="1298"/>
      <c r="C6" s="1298"/>
      <c r="D6" s="1298"/>
      <c r="E6" s="1298"/>
    </row>
    <row r="7" spans="1:5" hidden="1" x14ac:dyDescent="0.25">
      <c r="A7" s="1298" t="s">
        <v>1030</v>
      </c>
      <c r="B7" s="1298" t="s">
        <v>1031</v>
      </c>
      <c r="C7" s="1298" t="s">
        <v>1032</v>
      </c>
      <c r="D7" s="1298">
        <v>3.5</v>
      </c>
      <c r="E7" s="1298">
        <v>5655</v>
      </c>
    </row>
    <row r="8" spans="1:5" hidden="1" x14ac:dyDescent="0.25">
      <c r="A8" s="1298" t="s">
        <v>1033</v>
      </c>
      <c r="B8" s="1298" t="s">
        <v>1034</v>
      </c>
      <c r="C8" s="1299" t="s">
        <v>1035</v>
      </c>
      <c r="D8" s="1298">
        <v>4</v>
      </c>
      <c r="E8" s="1298">
        <v>10800</v>
      </c>
    </row>
    <row r="9" spans="1:5" hidden="1" x14ac:dyDescent="0.25">
      <c r="A9" s="1298" t="s">
        <v>1033</v>
      </c>
      <c r="B9" s="1298" t="s">
        <v>1036</v>
      </c>
      <c r="C9" s="1299" t="s">
        <v>1035</v>
      </c>
      <c r="D9" s="1298">
        <v>27</v>
      </c>
      <c r="E9" s="1298">
        <v>24300</v>
      </c>
    </row>
    <row r="10" spans="1:5" hidden="1" x14ac:dyDescent="0.25">
      <c r="A10" s="1298" t="s">
        <v>1033</v>
      </c>
      <c r="B10" s="1298" t="s">
        <v>1037</v>
      </c>
      <c r="C10" s="1299" t="s">
        <v>1035</v>
      </c>
      <c r="D10" s="1298">
        <v>24</v>
      </c>
      <c r="E10" s="1298">
        <v>21600</v>
      </c>
    </row>
    <row r="11" spans="1:5" hidden="1" x14ac:dyDescent="0.25">
      <c r="A11" s="1298" t="s">
        <v>1033</v>
      </c>
      <c r="B11" s="1298" t="s">
        <v>1038</v>
      </c>
      <c r="C11" s="1299" t="s">
        <v>1039</v>
      </c>
      <c r="D11" s="1298">
        <v>8</v>
      </c>
      <c r="E11" s="1298">
        <v>7200</v>
      </c>
    </row>
    <row r="12" spans="1:5" hidden="1" x14ac:dyDescent="0.25">
      <c r="A12" s="1298" t="s">
        <v>1033</v>
      </c>
      <c r="B12" s="1298" t="s">
        <v>1038</v>
      </c>
      <c r="C12" s="1299"/>
      <c r="D12" s="1298">
        <v>5</v>
      </c>
      <c r="E12" s="1298">
        <v>4500</v>
      </c>
    </row>
    <row r="13" spans="1:5" hidden="1" x14ac:dyDescent="0.25">
      <c r="A13" s="1298" t="s">
        <v>1033</v>
      </c>
      <c r="B13" s="1298" t="s">
        <v>1040</v>
      </c>
      <c r="C13" s="1299"/>
      <c r="D13" s="1298">
        <v>7</v>
      </c>
      <c r="E13" s="1298">
        <v>6300</v>
      </c>
    </row>
    <row r="14" spans="1:5" hidden="1" x14ac:dyDescent="0.25">
      <c r="A14" s="1298" t="s">
        <v>1041</v>
      </c>
      <c r="B14" s="1298" t="s">
        <v>1042</v>
      </c>
      <c r="C14" s="1299"/>
      <c r="D14" s="1298">
        <v>0.5</v>
      </c>
      <c r="E14" s="1298">
        <v>627.12</v>
      </c>
    </row>
    <row r="15" spans="1:5" hidden="1" x14ac:dyDescent="0.25">
      <c r="A15" s="1298" t="s">
        <v>1043</v>
      </c>
      <c r="B15" s="1298" t="s">
        <v>1044</v>
      </c>
      <c r="C15" s="1299"/>
      <c r="D15" s="1298">
        <v>7</v>
      </c>
      <c r="E15" s="1298">
        <v>11186</v>
      </c>
    </row>
    <row r="16" spans="1:5" hidden="1" x14ac:dyDescent="0.25">
      <c r="A16" s="1298" t="s">
        <v>1043</v>
      </c>
      <c r="B16" s="1298" t="s">
        <v>1045</v>
      </c>
      <c r="C16" s="1299"/>
      <c r="D16" s="1298">
        <v>13</v>
      </c>
      <c r="E16" s="1298">
        <v>20774</v>
      </c>
    </row>
    <row r="17" spans="1:5" hidden="1" x14ac:dyDescent="0.25">
      <c r="A17" s="1298" t="s">
        <v>1046</v>
      </c>
      <c r="B17" s="1298" t="s">
        <v>1047</v>
      </c>
      <c r="C17" s="1299"/>
      <c r="D17" s="1298">
        <v>3</v>
      </c>
      <c r="E17" s="1298">
        <v>1779.66</v>
      </c>
    </row>
    <row r="18" spans="1:5" hidden="1" x14ac:dyDescent="0.25">
      <c r="A18" s="1298" t="s">
        <v>1041</v>
      </c>
      <c r="B18" s="1298" t="s">
        <v>1048</v>
      </c>
      <c r="C18" s="1299"/>
      <c r="D18" s="1298">
        <v>0.5</v>
      </c>
      <c r="E18" s="1298">
        <v>711.86</v>
      </c>
    </row>
    <row r="19" spans="1:5" hidden="1" x14ac:dyDescent="0.25">
      <c r="A19" s="1298" t="s">
        <v>1043</v>
      </c>
      <c r="B19" s="1298" t="s">
        <v>1049</v>
      </c>
      <c r="C19" s="1299"/>
      <c r="D19" s="1298">
        <v>8</v>
      </c>
      <c r="E19" s="1298">
        <v>12784</v>
      </c>
    </row>
    <row r="20" spans="1:5" hidden="1" x14ac:dyDescent="0.25">
      <c r="A20" s="1298" t="s">
        <v>1046</v>
      </c>
      <c r="B20" s="1298" t="s">
        <v>1050</v>
      </c>
      <c r="C20" s="1299"/>
      <c r="D20" s="1298">
        <v>0.3</v>
      </c>
      <c r="E20" s="1298">
        <v>395.48</v>
      </c>
    </row>
    <row r="21" spans="1:5" hidden="1" x14ac:dyDescent="0.25">
      <c r="A21" s="1298" t="s">
        <v>1033</v>
      </c>
      <c r="B21" s="1298" t="s">
        <v>1051</v>
      </c>
      <c r="C21" s="1299"/>
      <c r="D21" s="1298">
        <v>18</v>
      </c>
      <c r="E21" s="1298">
        <v>16200</v>
      </c>
    </row>
    <row r="22" spans="1:5" hidden="1" x14ac:dyDescent="0.25">
      <c r="A22" s="1298" t="s">
        <v>1033</v>
      </c>
      <c r="B22" s="1298" t="s">
        <v>1052</v>
      </c>
      <c r="C22" s="1299"/>
      <c r="D22" s="1298">
        <v>23</v>
      </c>
      <c r="E22" s="1298">
        <v>20700</v>
      </c>
    </row>
    <row r="23" spans="1:5" hidden="1" x14ac:dyDescent="0.25">
      <c r="A23" s="1298" t="s">
        <v>1033</v>
      </c>
      <c r="B23" s="1298" t="s">
        <v>1053</v>
      </c>
      <c r="C23" s="1299"/>
      <c r="D23" s="1298">
        <v>17</v>
      </c>
      <c r="E23" s="1298">
        <v>15300</v>
      </c>
    </row>
    <row r="24" spans="1:5" hidden="1" x14ac:dyDescent="0.25">
      <c r="A24" s="1298" t="s">
        <v>1054</v>
      </c>
      <c r="B24" s="1298" t="s">
        <v>1055</v>
      </c>
      <c r="C24" s="1299"/>
      <c r="D24" s="1298"/>
      <c r="E24" s="1298">
        <v>120.13</v>
      </c>
    </row>
    <row r="25" spans="1:5" hidden="1" x14ac:dyDescent="0.25">
      <c r="A25" s="1298" t="s">
        <v>1056</v>
      </c>
      <c r="B25" s="1298" t="s">
        <v>1057</v>
      </c>
      <c r="C25" s="1299"/>
      <c r="D25" s="1298">
        <v>3</v>
      </c>
      <c r="E25" s="1298">
        <v>4237.29</v>
      </c>
    </row>
    <row r="26" spans="1:5" hidden="1" x14ac:dyDescent="0.25">
      <c r="A26" s="1298" t="s">
        <v>1043</v>
      </c>
      <c r="B26" s="1298" t="s">
        <v>1058</v>
      </c>
      <c r="C26" s="1299"/>
      <c r="D26" s="1298">
        <v>6</v>
      </c>
      <c r="E26" s="1298">
        <v>9588</v>
      </c>
    </row>
    <row r="27" spans="1:5" hidden="1" x14ac:dyDescent="0.25">
      <c r="A27" s="1298" t="s">
        <v>1043</v>
      </c>
      <c r="B27" s="1298" t="s">
        <v>1059</v>
      </c>
      <c r="C27" s="1299"/>
      <c r="D27" s="1298">
        <v>4</v>
      </c>
      <c r="E27" s="1298">
        <v>6392</v>
      </c>
    </row>
    <row r="28" spans="1:5" hidden="1" x14ac:dyDescent="0.25">
      <c r="A28" s="1298" t="s">
        <v>1043</v>
      </c>
      <c r="B28" s="1298" t="s">
        <v>1060</v>
      </c>
      <c r="C28" s="1299"/>
      <c r="D28" s="1298">
        <v>8.4</v>
      </c>
      <c r="E28" s="1298">
        <v>13448</v>
      </c>
    </row>
    <row r="29" spans="1:5" hidden="1" x14ac:dyDescent="0.25">
      <c r="A29" s="1298" t="s">
        <v>1043</v>
      </c>
      <c r="B29" s="1298" t="s">
        <v>1061</v>
      </c>
      <c r="C29" s="1299"/>
      <c r="D29" s="1298">
        <v>6</v>
      </c>
      <c r="E29" s="1298">
        <v>9588</v>
      </c>
    </row>
    <row r="30" spans="1:5" hidden="1" x14ac:dyDescent="0.25">
      <c r="A30" s="1298" t="s">
        <v>1033</v>
      </c>
      <c r="B30" s="1298" t="s">
        <v>1062</v>
      </c>
      <c r="C30" s="1299"/>
      <c r="D30" s="1298">
        <v>7</v>
      </c>
      <c r="E30" s="1298">
        <v>6300</v>
      </c>
    </row>
    <row r="31" spans="1:5" hidden="1" x14ac:dyDescent="0.25">
      <c r="A31" s="1298" t="s">
        <v>1033</v>
      </c>
      <c r="B31" s="1298" t="s">
        <v>1037</v>
      </c>
      <c r="C31" s="1299"/>
      <c r="D31" s="1298">
        <v>16</v>
      </c>
      <c r="E31" s="1298">
        <v>14400</v>
      </c>
    </row>
    <row r="32" spans="1:5" hidden="1" x14ac:dyDescent="0.25">
      <c r="A32" s="1298" t="s">
        <v>1046</v>
      </c>
      <c r="B32" s="1298" t="s">
        <v>1063</v>
      </c>
      <c r="C32" s="1299"/>
      <c r="D32" s="1298">
        <v>0.25</v>
      </c>
      <c r="E32" s="1298">
        <v>296.61</v>
      </c>
    </row>
    <row r="33" spans="1:5" hidden="1" x14ac:dyDescent="0.25">
      <c r="A33" s="1298" t="s">
        <v>1043</v>
      </c>
      <c r="B33" s="1298" t="s">
        <v>1064</v>
      </c>
      <c r="C33" s="1299"/>
      <c r="D33" s="1298">
        <v>3.5</v>
      </c>
      <c r="E33" s="1298">
        <v>5593</v>
      </c>
    </row>
    <row r="34" spans="1:5" hidden="1" x14ac:dyDescent="0.25">
      <c r="A34" s="1298" t="s">
        <v>1046</v>
      </c>
      <c r="B34" s="1298" t="s">
        <v>1065</v>
      </c>
      <c r="C34" s="1299"/>
      <c r="D34" s="1298">
        <v>1</v>
      </c>
      <c r="E34" s="1298">
        <v>1186.44</v>
      </c>
    </row>
    <row r="35" spans="1:5" hidden="1" x14ac:dyDescent="0.25">
      <c r="A35" s="1300" t="s">
        <v>1066</v>
      </c>
      <c r="B35" s="1300"/>
      <c r="C35" s="1301"/>
      <c r="D35" s="1300">
        <f>SUM(D7:D34)</f>
        <v>223.95000000000002</v>
      </c>
      <c r="E35" s="1300">
        <f>SUM(E7:E34)</f>
        <v>251962.59</v>
      </c>
    </row>
    <row r="36" spans="1:5" hidden="1" x14ac:dyDescent="0.25">
      <c r="A36" s="1293"/>
      <c r="B36" s="1302" t="s">
        <v>1067</v>
      </c>
      <c r="C36" s="1303"/>
      <c r="D36" s="1295"/>
      <c r="E36" s="1295"/>
    </row>
    <row r="37" spans="1:5" hidden="1" x14ac:dyDescent="0.25">
      <c r="A37" s="1296" t="s">
        <v>1024</v>
      </c>
      <c r="B37" s="1296" t="s">
        <v>1025</v>
      </c>
      <c r="C37" s="1296" t="s">
        <v>1026</v>
      </c>
      <c r="D37" s="1296" t="s">
        <v>45</v>
      </c>
      <c r="E37" s="1296" t="s">
        <v>45</v>
      </c>
    </row>
    <row r="38" spans="1:5" hidden="1" x14ac:dyDescent="0.25">
      <c r="A38" s="1297" t="s">
        <v>1028</v>
      </c>
      <c r="B38" s="1297" t="s">
        <v>1029</v>
      </c>
      <c r="C38" s="1297"/>
      <c r="D38" s="1297" t="s">
        <v>180</v>
      </c>
      <c r="E38" s="1297" t="s">
        <v>180</v>
      </c>
    </row>
    <row r="39" spans="1:5" hidden="1" x14ac:dyDescent="0.25">
      <c r="A39" s="1298" t="s">
        <v>1030</v>
      </c>
      <c r="B39" s="1298" t="s">
        <v>1068</v>
      </c>
      <c r="C39" s="1299" t="s">
        <v>1069</v>
      </c>
      <c r="D39" s="1298">
        <v>8</v>
      </c>
      <c r="E39" s="1298">
        <v>9048</v>
      </c>
    </row>
    <row r="40" spans="1:5" hidden="1" x14ac:dyDescent="0.25">
      <c r="A40" s="1298" t="s">
        <v>1030</v>
      </c>
      <c r="B40" s="1298" t="s">
        <v>1070</v>
      </c>
      <c r="C40" s="1299" t="s">
        <v>1069</v>
      </c>
      <c r="D40" s="1298">
        <v>2.5</v>
      </c>
      <c r="E40" s="1298">
        <v>2827.5</v>
      </c>
    </row>
    <row r="41" spans="1:5" hidden="1" x14ac:dyDescent="0.25">
      <c r="A41" s="1298" t="s">
        <v>1030</v>
      </c>
      <c r="B41" s="1298" t="s">
        <v>1071</v>
      </c>
      <c r="C41" s="1299" t="s">
        <v>1072</v>
      </c>
      <c r="D41" s="1298">
        <v>16</v>
      </c>
      <c r="E41" s="1298">
        <v>18096</v>
      </c>
    </row>
    <row r="42" spans="1:5" hidden="1" x14ac:dyDescent="0.25">
      <c r="A42" s="1298" t="s">
        <v>1073</v>
      </c>
      <c r="B42" s="1298" t="s">
        <v>1074</v>
      </c>
      <c r="C42" s="1299" t="s">
        <v>1075</v>
      </c>
      <c r="D42" s="1298">
        <v>7</v>
      </c>
      <c r="E42" s="1298">
        <v>6300</v>
      </c>
    </row>
    <row r="43" spans="1:5" hidden="1" x14ac:dyDescent="0.25">
      <c r="A43" s="1298" t="s">
        <v>1076</v>
      </c>
      <c r="B43" s="1298" t="s">
        <v>1077</v>
      </c>
      <c r="C43" s="1299" t="s">
        <v>1078</v>
      </c>
      <c r="D43" s="1298">
        <v>3</v>
      </c>
      <c r="E43" s="1298">
        <v>4200</v>
      </c>
    </row>
    <row r="44" spans="1:5" hidden="1" x14ac:dyDescent="0.25">
      <c r="A44" s="1298" t="s">
        <v>1079</v>
      </c>
      <c r="B44" s="1298" t="s">
        <v>1080</v>
      </c>
      <c r="C44" s="1299" t="s">
        <v>1081</v>
      </c>
      <c r="D44" s="1298">
        <v>27</v>
      </c>
      <c r="E44" s="1298">
        <v>31872.15</v>
      </c>
    </row>
    <row r="45" spans="1:5" hidden="1" x14ac:dyDescent="0.25">
      <c r="A45" s="1298" t="s">
        <v>1082</v>
      </c>
      <c r="B45" s="1298" t="s">
        <v>1083</v>
      </c>
      <c r="C45" s="1299" t="s">
        <v>1075</v>
      </c>
      <c r="D45" s="1298">
        <v>40</v>
      </c>
      <c r="E45" s="1298">
        <v>47218</v>
      </c>
    </row>
    <row r="46" spans="1:5" hidden="1" x14ac:dyDescent="0.25">
      <c r="A46" s="1298" t="s">
        <v>1073</v>
      </c>
      <c r="B46" s="1298" t="s">
        <v>1084</v>
      </c>
      <c r="C46" s="1299" t="s">
        <v>1075</v>
      </c>
      <c r="D46" s="1298">
        <v>9</v>
      </c>
      <c r="E46" s="1298">
        <v>8100</v>
      </c>
    </row>
    <row r="47" spans="1:5" hidden="1" x14ac:dyDescent="0.25">
      <c r="A47" s="1298" t="s">
        <v>1079</v>
      </c>
      <c r="B47" s="1298" t="s">
        <v>1085</v>
      </c>
      <c r="C47" s="1299" t="s">
        <v>1081</v>
      </c>
      <c r="D47" s="1298">
        <v>7</v>
      </c>
      <c r="E47" s="1298">
        <v>8400</v>
      </c>
    </row>
    <row r="48" spans="1:5" hidden="1" x14ac:dyDescent="0.25">
      <c r="A48" s="1298" t="s">
        <v>1086</v>
      </c>
      <c r="B48" s="1298" t="s">
        <v>1087</v>
      </c>
      <c r="C48" s="1299" t="s">
        <v>1075</v>
      </c>
      <c r="D48" s="1298">
        <v>168</v>
      </c>
      <c r="E48" s="1298">
        <v>102656.4</v>
      </c>
    </row>
    <row r="49" spans="1:5" hidden="1" x14ac:dyDescent="0.25">
      <c r="A49" s="1298" t="s">
        <v>1086</v>
      </c>
      <c r="B49" s="1298" t="s">
        <v>1088</v>
      </c>
      <c r="C49" s="1299" t="s">
        <v>1075</v>
      </c>
      <c r="D49" s="1298">
        <v>176</v>
      </c>
      <c r="E49" s="1298">
        <v>211200</v>
      </c>
    </row>
    <row r="50" spans="1:5" hidden="1" x14ac:dyDescent="0.25">
      <c r="A50" s="1298" t="s">
        <v>1089</v>
      </c>
      <c r="B50" s="1298" t="s">
        <v>1090</v>
      </c>
      <c r="C50" s="1299" t="s">
        <v>1091</v>
      </c>
      <c r="D50" s="1298">
        <v>0.5</v>
      </c>
      <c r="E50" s="1298">
        <v>593.22</v>
      </c>
    </row>
    <row r="51" spans="1:5" hidden="1" x14ac:dyDescent="0.25">
      <c r="A51" s="1298" t="s">
        <v>1092</v>
      </c>
      <c r="B51" s="1298" t="s">
        <v>1093</v>
      </c>
      <c r="C51" s="1299" t="s">
        <v>1094</v>
      </c>
      <c r="D51" s="1298">
        <v>2</v>
      </c>
      <c r="E51" s="1298">
        <v>465.76</v>
      </c>
    </row>
    <row r="52" spans="1:5" hidden="1" x14ac:dyDescent="0.25">
      <c r="A52" s="1298" t="s">
        <v>1030</v>
      </c>
      <c r="B52" s="1298" t="s">
        <v>1095</v>
      </c>
      <c r="C52" s="1299" t="s">
        <v>1096</v>
      </c>
      <c r="D52" s="1298">
        <v>4</v>
      </c>
      <c r="E52" s="1298">
        <v>6392</v>
      </c>
    </row>
    <row r="53" spans="1:5" hidden="1" x14ac:dyDescent="0.25">
      <c r="A53" s="1298" t="s">
        <v>1073</v>
      </c>
      <c r="B53" s="1298" t="s">
        <v>1097</v>
      </c>
      <c r="C53" s="1299" t="s">
        <v>1098</v>
      </c>
      <c r="D53" s="1298">
        <v>2</v>
      </c>
      <c r="E53" s="1298">
        <v>1800</v>
      </c>
    </row>
    <row r="54" spans="1:5" hidden="1" x14ac:dyDescent="0.25">
      <c r="A54" s="1298" t="s">
        <v>1030</v>
      </c>
      <c r="B54" s="1298" t="s">
        <v>1099</v>
      </c>
      <c r="C54" s="1299" t="s">
        <v>1100</v>
      </c>
      <c r="D54" s="1298">
        <v>21</v>
      </c>
      <c r="E54" s="1298">
        <v>2262</v>
      </c>
    </row>
    <row r="55" spans="1:5" hidden="1" x14ac:dyDescent="0.25">
      <c r="A55" s="1298" t="s">
        <v>1056</v>
      </c>
      <c r="B55" s="1298" t="s">
        <v>1101</v>
      </c>
      <c r="C55" s="1299" t="s">
        <v>1102</v>
      </c>
      <c r="D55" s="1298">
        <v>3</v>
      </c>
      <c r="E55" s="1298">
        <v>6355.93</v>
      </c>
    </row>
    <row r="56" spans="1:5" hidden="1" x14ac:dyDescent="0.25">
      <c r="A56" s="1298" t="s">
        <v>1056</v>
      </c>
      <c r="B56" s="1298" t="s">
        <v>1101</v>
      </c>
      <c r="C56" s="1299" t="s">
        <v>1103</v>
      </c>
      <c r="D56" s="1298">
        <v>14</v>
      </c>
      <c r="E56" s="1298">
        <v>29661.02</v>
      </c>
    </row>
    <row r="57" spans="1:5" hidden="1" x14ac:dyDescent="0.25">
      <c r="A57" s="1298" t="s">
        <v>1089</v>
      </c>
      <c r="B57" s="1298" t="s">
        <v>1104</v>
      </c>
      <c r="C57" s="1299" t="s">
        <v>1105</v>
      </c>
      <c r="D57" s="1298">
        <v>1</v>
      </c>
      <c r="E57" s="1298">
        <v>677.97</v>
      </c>
    </row>
    <row r="58" spans="1:5" hidden="1" x14ac:dyDescent="0.25">
      <c r="A58" s="1298" t="s">
        <v>1030</v>
      </c>
      <c r="B58" s="1298" t="s">
        <v>1106</v>
      </c>
      <c r="C58" s="1299" t="s">
        <v>1107</v>
      </c>
      <c r="D58" s="1298">
        <v>1</v>
      </c>
      <c r="E58" s="1298">
        <v>1131</v>
      </c>
    </row>
    <row r="59" spans="1:5" hidden="1" x14ac:dyDescent="0.25">
      <c r="A59" s="1298" t="s">
        <v>1073</v>
      </c>
      <c r="B59" s="1298" t="s">
        <v>1108</v>
      </c>
      <c r="C59" s="1299" t="s">
        <v>1107</v>
      </c>
      <c r="D59" s="1298">
        <v>12</v>
      </c>
      <c r="E59" s="1298">
        <v>10800</v>
      </c>
    </row>
    <row r="60" spans="1:5" hidden="1" x14ac:dyDescent="0.25">
      <c r="A60" s="1298" t="s">
        <v>1073</v>
      </c>
      <c r="B60" s="1298" t="s">
        <v>1109</v>
      </c>
      <c r="C60" s="1299" t="s">
        <v>1107</v>
      </c>
      <c r="D60" s="1298">
        <v>3</v>
      </c>
      <c r="E60" s="1298">
        <v>2700</v>
      </c>
    </row>
    <row r="61" spans="1:5" hidden="1" x14ac:dyDescent="0.25">
      <c r="A61" s="1298" t="s">
        <v>1079</v>
      </c>
      <c r="B61" s="1298" t="s">
        <v>1110</v>
      </c>
      <c r="C61" s="1299" t="s">
        <v>1105</v>
      </c>
      <c r="D61" s="1298">
        <v>8</v>
      </c>
      <c r="E61" s="1298">
        <v>9600</v>
      </c>
    </row>
    <row r="62" spans="1:5" hidden="1" x14ac:dyDescent="0.25">
      <c r="A62" s="1298" t="s">
        <v>1089</v>
      </c>
      <c r="B62" s="1298" t="s">
        <v>1111</v>
      </c>
      <c r="C62" s="1299" t="s">
        <v>1112</v>
      </c>
      <c r="D62" s="1298">
        <v>3</v>
      </c>
      <c r="E62" s="1298">
        <v>2033.9</v>
      </c>
    </row>
    <row r="63" spans="1:5" hidden="1" x14ac:dyDescent="0.25">
      <c r="A63" s="1298" t="s">
        <v>1030</v>
      </c>
      <c r="B63" s="1298" t="s">
        <v>1113</v>
      </c>
      <c r="C63" s="1299" t="s">
        <v>1114</v>
      </c>
      <c r="D63" s="1304">
        <v>2.5</v>
      </c>
      <c r="E63" s="1298">
        <v>2827.5</v>
      </c>
    </row>
    <row r="64" spans="1:5" hidden="1" x14ac:dyDescent="0.25">
      <c r="A64" s="1300" t="s">
        <v>1115</v>
      </c>
      <c r="B64" s="1300"/>
      <c r="C64" s="1300"/>
      <c r="D64" s="1300">
        <f>SUM(D39:D63)</f>
        <v>540.5</v>
      </c>
      <c r="E64" s="1300">
        <f>SUM(E39:E63)</f>
        <v>527218.35</v>
      </c>
    </row>
    <row r="65" spans="1:5" hidden="1" x14ac:dyDescent="0.25">
      <c r="A65" s="1305" t="s">
        <v>1116</v>
      </c>
      <c r="B65" s="1300"/>
      <c r="C65" s="1300"/>
      <c r="D65" s="1300">
        <f>D35+D64</f>
        <v>764.45</v>
      </c>
      <c r="E65" s="1300">
        <f>E35+E64</f>
        <v>779180.94</v>
      </c>
    </row>
    <row r="66" spans="1:5" hidden="1" x14ac:dyDescent="0.25">
      <c r="B66" s="1302" t="s">
        <v>1117</v>
      </c>
    </row>
    <row r="67" spans="1:5" hidden="1" x14ac:dyDescent="0.25">
      <c r="A67" s="1296" t="s">
        <v>1024</v>
      </c>
      <c r="B67" s="1296" t="s">
        <v>1025</v>
      </c>
      <c r="C67" s="1296" t="s">
        <v>1026</v>
      </c>
      <c r="D67" s="1296" t="s">
        <v>1027</v>
      </c>
      <c r="E67" s="1296" t="s">
        <v>45</v>
      </c>
    </row>
    <row r="68" spans="1:5" hidden="1" x14ac:dyDescent="0.25">
      <c r="A68" s="1297" t="s">
        <v>1028</v>
      </c>
      <c r="B68" s="1297" t="s">
        <v>1029</v>
      </c>
      <c r="C68" s="1297"/>
      <c r="D68" s="1297"/>
      <c r="E68" s="1297" t="s">
        <v>180</v>
      </c>
    </row>
    <row r="69" spans="1:5" hidden="1" x14ac:dyDescent="0.25">
      <c r="A69" s="1298"/>
      <c r="B69" s="1298"/>
      <c r="C69" s="1298"/>
      <c r="D69" s="1298"/>
      <c r="E69" s="1298"/>
    </row>
    <row r="70" spans="1:5" hidden="1" x14ac:dyDescent="0.25">
      <c r="A70" s="1298" t="s">
        <v>1118</v>
      </c>
      <c r="B70" s="1298" t="s">
        <v>1119</v>
      </c>
      <c r="C70" s="1298" t="s">
        <v>1032</v>
      </c>
      <c r="D70" s="1298">
        <v>48</v>
      </c>
      <c r="E70" s="1298">
        <v>29330.400000000001</v>
      </c>
    </row>
    <row r="71" spans="1:5" hidden="1" x14ac:dyDescent="0.25">
      <c r="A71" s="1298" t="s">
        <v>1079</v>
      </c>
      <c r="B71" s="1298" t="s">
        <v>1120</v>
      </c>
      <c r="C71" s="1299" t="s">
        <v>1035</v>
      </c>
      <c r="D71" s="1298">
        <v>7.5</v>
      </c>
      <c r="E71" s="1298">
        <v>9000</v>
      </c>
    </row>
    <row r="72" spans="1:5" hidden="1" x14ac:dyDescent="0.25">
      <c r="A72" s="1298" t="s">
        <v>1079</v>
      </c>
      <c r="B72" s="1298" t="s">
        <v>1120</v>
      </c>
      <c r="C72" s="1299" t="s">
        <v>1035</v>
      </c>
      <c r="D72" s="1298">
        <v>2</v>
      </c>
      <c r="E72" s="1298">
        <v>2400</v>
      </c>
    </row>
    <row r="73" spans="1:5" hidden="1" x14ac:dyDescent="0.25">
      <c r="A73" s="1298" t="s">
        <v>1121</v>
      </c>
      <c r="B73" s="1298" t="s">
        <v>1122</v>
      </c>
      <c r="C73" s="1299" t="s">
        <v>1035</v>
      </c>
      <c r="D73" s="1298">
        <v>2</v>
      </c>
      <c r="E73" s="1298">
        <v>1800</v>
      </c>
    </row>
    <row r="74" spans="1:5" hidden="1" x14ac:dyDescent="0.25">
      <c r="A74" s="1298" t="s">
        <v>1123</v>
      </c>
      <c r="B74" s="1298" t="s">
        <v>1124</v>
      </c>
      <c r="C74" s="1299" t="s">
        <v>1125</v>
      </c>
      <c r="D74" s="1298">
        <v>15</v>
      </c>
      <c r="E74" s="1298">
        <v>30000</v>
      </c>
    </row>
    <row r="75" spans="1:5" hidden="1" x14ac:dyDescent="0.25">
      <c r="A75" s="1298" t="s">
        <v>1126</v>
      </c>
      <c r="B75" s="1298" t="s">
        <v>1127</v>
      </c>
      <c r="C75" s="1299" t="s">
        <v>1128</v>
      </c>
      <c r="D75" s="1298">
        <v>8</v>
      </c>
      <c r="E75" s="1298">
        <v>12000</v>
      </c>
    </row>
    <row r="76" spans="1:5" hidden="1" x14ac:dyDescent="0.25">
      <c r="A76" s="1298" t="s">
        <v>1092</v>
      </c>
      <c r="B76" s="1298" t="s">
        <v>1129</v>
      </c>
      <c r="C76" s="1299" t="s">
        <v>1130</v>
      </c>
      <c r="D76" s="1298">
        <v>2</v>
      </c>
      <c r="E76" s="1298">
        <v>550.79999999999995</v>
      </c>
    </row>
    <row r="77" spans="1:5" hidden="1" x14ac:dyDescent="0.25">
      <c r="A77" s="1298" t="s">
        <v>1073</v>
      </c>
      <c r="B77" s="1298" t="s">
        <v>1131</v>
      </c>
      <c r="C77" s="1299" t="s">
        <v>1132</v>
      </c>
      <c r="D77" s="1298">
        <v>4</v>
      </c>
      <c r="E77" s="1298">
        <v>3600</v>
      </c>
    </row>
    <row r="78" spans="1:5" hidden="1" x14ac:dyDescent="0.25">
      <c r="A78" s="1298" t="s">
        <v>1079</v>
      </c>
      <c r="B78" s="1298" t="s">
        <v>1120</v>
      </c>
      <c r="C78" s="1299" t="s">
        <v>1133</v>
      </c>
      <c r="D78" s="1298">
        <v>15.5</v>
      </c>
      <c r="E78" s="1298">
        <v>18600</v>
      </c>
    </row>
    <row r="79" spans="1:5" hidden="1" x14ac:dyDescent="0.25">
      <c r="A79" s="1298" t="s">
        <v>1134</v>
      </c>
      <c r="B79" s="1298" t="s">
        <v>1122</v>
      </c>
      <c r="C79" s="1299" t="s">
        <v>1135</v>
      </c>
      <c r="D79" s="1298">
        <v>8</v>
      </c>
      <c r="E79" s="1298">
        <v>7200</v>
      </c>
    </row>
    <row r="80" spans="1:5" hidden="1" x14ac:dyDescent="0.25">
      <c r="A80" s="1298" t="s">
        <v>1136</v>
      </c>
      <c r="B80" s="1298" t="s">
        <v>1137</v>
      </c>
      <c r="C80" s="1299" t="s">
        <v>1138</v>
      </c>
      <c r="D80" s="1298">
        <v>14</v>
      </c>
      <c r="E80" s="1298">
        <v>16572.849999999999</v>
      </c>
    </row>
    <row r="81" spans="1:5" hidden="1" x14ac:dyDescent="0.25">
      <c r="A81" s="1298" t="s">
        <v>1134</v>
      </c>
      <c r="B81" s="1298" t="s">
        <v>1139</v>
      </c>
      <c r="C81" s="1299" t="s">
        <v>1133</v>
      </c>
      <c r="D81" s="1298">
        <v>2</v>
      </c>
      <c r="E81" s="1298">
        <v>1800</v>
      </c>
    </row>
    <row r="82" spans="1:5" hidden="1" x14ac:dyDescent="0.25">
      <c r="A82" s="1298" t="s">
        <v>1030</v>
      </c>
      <c r="B82" s="1298" t="s">
        <v>1140</v>
      </c>
      <c r="C82" s="1299" t="s">
        <v>1141</v>
      </c>
      <c r="D82" s="1298">
        <v>29</v>
      </c>
      <c r="E82" s="1298">
        <v>32799</v>
      </c>
    </row>
    <row r="83" spans="1:5" hidden="1" x14ac:dyDescent="0.25">
      <c r="A83" s="1298" t="s">
        <v>1134</v>
      </c>
      <c r="B83" s="1298" t="s">
        <v>1142</v>
      </c>
      <c r="C83" s="1299" t="s">
        <v>1133</v>
      </c>
      <c r="D83" s="1298">
        <v>11</v>
      </c>
      <c r="E83" s="1298">
        <v>9900</v>
      </c>
    </row>
    <row r="84" spans="1:5" hidden="1" x14ac:dyDescent="0.25">
      <c r="A84" s="1298" t="s">
        <v>1030</v>
      </c>
      <c r="B84" s="1298" t="s">
        <v>1143</v>
      </c>
      <c r="C84" s="1299" t="s">
        <v>1144</v>
      </c>
      <c r="D84" s="1298">
        <v>3</v>
      </c>
      <c r="E84" s="1298">
        <v>3393</v>
      </c>
    </row>
    <row r="85" spans="1:5" hidden="1" x14ac:dyDescent="0.25">
      <c r="A85" s="1298" t="s">
        <v>1134</v>
      </c>
      <c r="B85" s="1298" t="s">
        <v>1145</v>
      </c>
      <c r="C85" s="1299" t="s">
        <v>1133</v>
      </c>
      <c r="D85" s="1298">
        <v>15</v>
      </c>
      <c r="E85" s="1298">
        <v>13500</v>
      </c>
    </row>
    <row r="86" spans="1:5" hidden="1" x14ac:dyDescent="0.25">
      <c r="A86" s="1298" t="s">
        <v>1134</v>
      </c>
      <c r="B86" s="1298" t="s">
        <v>1146</v>
      </c>
      <c r="C86" s="1299" t="s">
        <v>1133</v>
      </c>
      <c r="D86" s="1298">
        <v>9</v>
      </c>
      <c r="E86" s="1298">
        <v>8100</v>
      </c>
    </row>
    <row r="87" spans="1:5" hidden="1" x14ac:dyDescent="0.25">
      <c r="A87" s="1298" t="s">
        <v>1134</v>
      </c>
      <c r="B87" s="1298" t="s">
        <v>1147</v>
      </c>
      <c r="C87" s="1299" t="s">
        <v>1133</v>
      </c>
      <c r="D87" s="1298">
        <v>2</v>
      </c>
      <c r="E87" s="1298">
        <v>1800</v>
      </c>
    </row>
    <row r="88" spans="1:5" hidden="1" x14ac:dyDescent="0.25">
      <c r="A88" s="1298" t="s">
        <v>1126</v>
      </c>
      <c r="B88" s="1298" t="s">
        <v>1148</v>
      </c>
      <c r="C88" s="1299" t="s">
        <v>1138</v>
      </c>
      <c r="D88" s="1298">
        <v>3</v>
      </c>
      <c r="E88" s="1298">
        <v>5100</v>
      </c>
    </row>
    <row r="89" spans="1:5" hidden="1" x14ac:dyDescent="0.25">
      <c r="A89" s="1300" t="s">
        <v>1149</v>
      </c>
      <c r="B89" s="1300"/>
      <c r="C89" s="1301"/>
      <c r="D89" s="1300">
        <f>SUM(D70:D88)</f>
        <v>200</v>
      </c>
      <c r="E89" s="1300">
        <f>SUM(E70:E88)</f>
        <v>207446.05</v>
      </c>
    </row>
    <row r="90" spans="1:5" hidden="1" x14ac:dyDescent="0.25">
      <c r="A90" s="1305" t="s">
        <v>1150</v>
      </c>
      <c r="B90" s="1300"/>
      <c r="C90" s="1300"/>
      <c r="D90" s="1300">
        <f>D65+D89</f>
        <v>964.45</v>
      </c>
      <c r="E90" s="1300">
        <f>E65+E89</f>
        <v>986626.99</v>
      </c>
    </row>
    <row r="91" spans="1:5" hidden="1" x14ac:dyDescent="0.25">
      <c r="A91" s="1306"/>
      <c r="B91" s="1305" t="s">
        <v>1151</v>
      </c>
      <c r="C91" s="1306"/>
      <c r="D91" s="1306"/>
      <c r="E91" s="1306"/>
    </row>
    <row r="92" spans="1:5" hidden="1" x14ac:dyDescent="0.25">
      <c r="A92" s="1296" t="s">
        <v>1024</v>
      </c>
      <c r="B92" s="1296" t="s">
        <v>1025</v>
      </c>
      <c r="C92" s="1296" t="s">
        <v>1026</v>
      </c>
      <c r="D92" s="1296" t="s">
        <v>1027</v>
      </c>
      <c r="E92" s="1296" t="s">
        <v>45</v>
      </c>
    </row>
    <row r="93" spans="1:5" hidden="1" x14ac:dyDescent="0.25">
      <c r="A93" s="1297" t="s">
        <v>1028</v>
      </c>
      <c r="B93" s="1297" t="s">
        <v>1029</v>
      </c>
      <c r="C93" s="1297"/>
      <c r="D93" s="1297"/>
      <c r="E93" s="1297" t="s">
        <v>180</v>
      </c>
    </row>
    <row r="94" spans="1:5" hidden="1" x14ac:dyDescent="0.25">
      <c r="A94" s="1298"/>
      <c r="B94" s="1298"/>
      <c r="C94" s="1298"/>
      <c r="D94" s="1298"/>
      <c r="E94" s="1298"/>
    </row>
    <row r="95" spans="1:5" hidden="1" x14ac:dyDescent="0.25">
      <c r="A95" s="1298" t="s">
        <v>1076</v>
      </c>
      <c r="B95" s="1298" t="s">
        <v>1152</v>
      </c>
      <c r="C95" s="1298" t="s">
        <v>1032</v>
      </c>
      <c r="D95" s="1298">
        <v>1</v>
      </c>
      <c r="E95" s="1298">
        <v>1400</v>
      </c>
    </row>
    <row r="96" spans="1:5" hidden="1" x14ac:dyDescent="0.25">
      <c r="A96" s="1298" t="s">
        <v>1153</v>
      </c>
      <c r="B96" s="1298" t="s">
        <v>1154</v>
      </c>
      <c r="C96" s="1299" t="s">
        <v>1035</v>
      </c>
      <c r="D96" s="1298">
        <v>1</v>
      </c>
      <c r="E96" s="1298">
        <v>2118.64</v>
      </c>
    </row>
    <row r="97" spans="1:5" hidden="1" x14ac:dyDescent="0.25">
      <c r="A97" s="1298" t="s">
        <v>1079</v>
      </c>
      <c r="B97" s="1298" t="s">
        <v>1155</v>
      </c>
      <c r="C97" s="1299" t="s">
        <v>1035</v>
      </c>
      <c r="D97" s="1298">
        <v>2</v>
      </c>
      <c r="E97" s="1298">
        <v>2400</v>
      </c>
    </row>
    <row r="98" spans="1:5" hidden="1" x14ac:dyDescent="0.25">
      <c r="A98" s="1298" t="s">
        <v>1121</v>
      </c>
      <c r="B98" s="1298" t="s">
        <v>1156</v>
      </c>
      <c r="C98" s="1299"/>
      <c r="D98" s="1298">
        <v>18</v>
      </c>
      <c r="E98" s="1298">
        <v>16200</v>
      </c>
    </row>
    <row r="99" spans="1:5" hidden="1" x14ac:dyDescent="0.25">
      <c r="A99" s="1298" t="s">
        <v>1121</v>
      </c>
      <c r="B99" s="1298" t="s">
        <v>1157</v>
      </c>
      <c r="C99" s="1299"/>
      <c r="D99" s="1298">
        <v>12</v>
      </c>
      <c r="E99" s="1298">
        <v>10800</v>
      </c>
    </row>
    <row r="100" spans="1:5" hidden="1" x14ac:dyDescent="0.25">
      <c r="A100" s="1298" t="s">
        <v>1121</v>
      </c>
      <c r="B100" s="1298" t="s">
        <v>1158</v>
      </c>
      <c r="C100" s="1299"/>
      <c r="D100" s="1298">
        <v>4</v>
      </c>
      <c r="E100" s="1298">
        <v>3600</v>
      </c>
    </row>
    <row r="101" spans="1:5" hidden="1" x14ac:dyDescent="0.25">
      <c r="A101" s="1298" t="s">
        <v>1121</v>
      </c>
      <c r="B101" s="1298" t="s">
        <v>1159</v>
      </c>
      <c r="C101" s="1299"/>
      <c r="D101" s="1298">
        <v>3</v>
      </c>
      <c r="E101" s="1298">
        <v>2700</v>
      </c>
    </row>
    <row r="102" spans="1:5" hidden="1" x14ac:dyDescent="0.25">
      <c r="A102" s="1298" t="s">
        <v>1121</v>
      </c>
      <c r="B102" s="1298" t="s">
        <v>1160</v>
      </c>
      <c r="C102" s="1299"/>
      <c r="D102" s="1298">
        <v>3</v>
      </c>
      <c r="E102" s="1298">
        <v>2700</v>
      </c>
    </row>
    <row r="103" spans="1:5" hidden="1" x14ac:dyDescent="0.25">
      <c r="A103" s="1298" t="s">
        <v>1121</v>
      </c>
      <c r="B103" s="1298" t="s">
        <v>1161</v>
      </c>
      <c r="C103" s="1299"/>
      <c r="D103" s="1298">
        <v>2</v>
      </c>
      <c r="E103" s="1298">
        <v>1800</v>
      </c>
    </row>
    <row r="104" spans="1:5" hidden="1" x14ac:dyDescent="0.25">
      <c r="A104" s="1298" t="s">
        <v>1162</v>
      </c>
      <c r="B104" s="1298" t="s">
        <v>1163</v>
      </c>
      <c r="C104" s="1299"/>
      <c r="D104" s="1298">
        <v>5</v>
      </c>
      <c r="E104" s="1298">
        <v>7990</v>
      </c>
    </row>
    <row r="105" spans="1:5" hidden="1" x14ac:dyDescent="0.25">
      <c r="A105" s="1298" t="s">
        <v>1089</v>
      </c>
      <c r="B105" s="1298" t="s">
        <v>1164</v>
      </c>
      <c r="C105" s="1299"/>
      <c r="D105" s="1298">
        <v>1.5</v>
      </c>
      <c r="E105" s="1298">
        <v>1779.66</v>
      </c>
    </row>
    <row r="106" spans="1:5" hidden="1" x14ac:dyDescent="0.25">
      <c r="A106" s="1298" t="s">
        <v>1165</v>
      </c>
      <c r="B106" s="1298" t="s">
        <v>1166</v>
      </c>
      <c r="C106" s="1299"/>
      <c r="D106" s="1298">
        <v>0.5</v>
      </c>
      <c r="E106" s="1298">
        <v>550.79999999999995</v>
      </c>
    </row>
    <row r="107" spans="1:5" hidden="1" x14ac:dyDescent="0.25">
      <c r="A107" s="1298" t="s">
        <v>1167</v>
      </c>
      <c r="B107" s="1298" t="s">
        <v>1168</v>
      </c>
      <c r="C107" s="1299"/>
      <c r="D107" s="1298">
        <v>3</v>
      </c>
      <c r="E107" s="1298">
        <v>3393</v>
      </c>
    </row>
    <row r="108" spans="1:5" hidden="1" x14ac:dyDescent="0.25">
      <c r="A108" s="1298" t="s">
        <v>1089</v>
      </c>
      <c r="B108" s="1298" t="s">
        <v>1169</v>
      </c>
      <c r="C108" s="1299"/>
      <c r="D108" s="1298">
        <v>1.5</v>
      </c>
      <c r="E108" s="1298">
        <v>1779.66</v>
      </c>
    </row>
    <row r="109" spans="1:5" hidden="1" x14ac:dyDescent="0.25">
      <c r="A109" s="1298" t="s">
        <v>1089</v>
      </c>
      <c r="B109" s="1298" t="s">
        <v>1170</v>
      </c>
      <c r="C109" s="1299"/>
      <c r="D109" s="1298">
        <v>3.5</v>
      </c>
      <c r="E109" s="1298">
        <v>4152.54</v>
      </c>
    </row>
    <row r="110" spans="1:5" hidden="1" x14ac:dyDescent="0.25">
      <c r="A110" s="1298"/>
      <c r="B110" s="1298"/>
      <c r="C110" s="1299"/>
      <c r="D110" s="1298"/>
      <c r="E110" s="1298"/>
    </row>
    <row r="111" spans="1:5" hidden="1" x14ac:dyDescent="0.25">
      <c r="A111" s="1300" t="s">
        <v>1171</v>
      </c>
      <c r="B111" s="1300"/>
      <c r="C111" s="1301"/>
      <c r="D111" s="1300">
        <f>SUM(D95:D109)</f>
        <v>61</v>
      </c>
      <c r="E111" s="1300">
        <f>SUM(E95:E109)</f>
        <v>63364.30000000001</v>
      </c>
    </row>
    <row r="112" spans="1:5" hidden="1" x14ac:dyDescent="0.25">
      <c r="A112" s="1307" t="s">
        <v>1172</v>
      </c>
      <c r="B112" s="1300"/>
      <c r="C112" s="1300"/>
      <c r="D112" s="1300">
        <f>D90+D111</f>
        <v>1025.45</v>
      </c>
      <c r="E112" s="1300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293"/>
      <c r="B115" s="1294" t="s">
        <v>1173</v>
      </c>
      <c r="C115" s="1293"/>
      <c r="D115" s="1295"/>
      <c r="E115" s="1295"/>
    </row>
    <row r="116" spans="1:5" hidden="1" x14ac:dyDescent="0.25">
      <c r="A116" s="1295"/>
      <c r="B116" s="1295"/>
      <c r="C116" s="1295"/>
      <c r="D116" s="1295"/>
      <c r="E116" s="1295"/>
    </row>
    <row r="117" spans="1:5" hidden="1" x14ac:dyDescent="0.25">
      <c r="A117" s="1296" t="s">
        <v>1024</v>
      </c>
      <c r="B117" s="1296" t="s">
        <v>1025</v>
      </c>
      <c r="C117" s="1296" t="s">
        <v>1026</v>
      </c>
      <c r="D117" s="1296" t="s">
        <v>1027</v>
      </c>
      <c r="E117" s="1296" t="s">
        <v>45</v>
      </c>
    </row>
    <row r="118" spans="1:5" hidden="1" x14ac:dyDescent="0.25">
      <c r="A118" s="1297" t="s">
        <v>1028</v>
      </c>
      <c r="B118" s="1297" t="s">
        <v>1029</v>
      </c>
      <c r="C118" s="1297"/>
      <c r="D118" s="1297"/>
      <c r="E118" s="1297" t="s">
        <v>180</v>
      </c>
    </row>
    <row r="119" spans="1:5" hidden="1" x14ac:dyDescent="0.25">
      <c r="A119" s="1298"/>
      <c r="B119" s="1294" t="s">
        <v>1174</v>
      </c>
      <c r="C119" s="1298"/>
      <c r="D119" s="1298"/>
      <c r="E119" s="1298"/>
    </row>
    <row r="120" spans="1:5" hidden="1" x14ac:dyDescent="0.25">
      <c r="A120" s="1298" t="s">
        <v>1175</v>
      </c>
      <c r="B120" s="1298" t="s">
        <v>1176</v>
      </c>
      <c r="C120" s="1298" t="s">
        <v>1032</v>
      </c>
      <c r="D120" s="1298">
        <v>4</v>
      </c>
      <c r="E120" s="1298">
        <v>8474.57</v>
      </c>
    </row>
    <row r="121" spans="1:5" hidden="1" x14ac:dyDescent="0.25">
      <c r="A121" s="1298" t="s">
        <v>1089</v>
      </c>
      <c r="B121" s="1298" t="s">
        <v>1177</v>
      </c>
      <c r="C121" s="1299" t="s">
        <v>1035</v>
      </c>
      <c r="D121" s="1298">
        <v>0.5</v>
      </c>
      <c r="E121" s="1298">
        <v>593.22</v>
      </c>
    </row>
    <row r="122" spans="1:5" hidden="1" x14ac:dyDescent="0.25">
      <c r="A122" s="1298" t="s">
        <v>1089</v>
      </c>
      <c r="B122" s="1298" t="s">
        <v>1178</v>
      </c>
      <c r="C122" s="1299" t="s">
        <v>1035</v>
      </c>
      <c r="D122" s="1298">
        <v>1</v>
      </c>
      <c r="E122" s="1298">
        <v>1313.56</v>
      </c>
    </row>
    <row r="123" spans="1:5" hidden="1" x14ac:dyDescent="0.25">
      <c r="A123" s="1298" t="s">
        <v>1179</v>
      </c>
      <c r="B123" s="1298" t="s">
        <v>1180</v>
      </c>
      <c r="C123" s="1299" t="s">
        <v>1035</v>
      </c>
      <c r="D123" s="1298">
        <v>1</v>
      </c>
      <c r="E123" s="1298">
        <v>1356.67</v>
      </c>
    </row>
    <row r="124" spans="1:5" hidden="1" x14ac:dyDescent="0.25">
      <c r="A124" s="1298" t="s">
        <v>1134</v>
      </c>
      <c r="B124" s="1298" t="s">
        <v>1181</v>
      </c>
      <c r="C124" s="1299" t="s">
        <v>1039</v>
      </c>
      <c r="D124" s="1298">
        <v>28</v>
      </c>
      <c r="E124" s="1298">
        <v>30800</v>
      </c>
    </row>
    <row r="125" spans="1:5" hidden="1" x14ac:dyDescent="0.25">
      <c r="A125" s="1298" t="s">
        <v>1182</v>
      </c>
      <c r="B125" s="1298" t="s">
        <v>1183</v>
      </c>
      <c r="C125" s="1299" t="s">
        <v>1035</v>
      </c>
      <c r="D125" s="1298">
        <v>27</v>
      </c>
      <c r="E125" s="1298">
        <v>35059.5</v>
      </c>
    </row>
    <row r="126" spans="1:5" hidden="1" x14ac:dyDescent="0.25">
      <c r="A126" s="1298" t="s">
        <v>1184</v>
      </c>
      <c r="B126" s="1298" t="s">
        <v>1185</v>
      </c>
      <c r="C126" s="1299" t="s">
        <v>1186</v>
      </c>
      <c r="D126" s="1298">
        <v>2</v>
      </c>
      <c r="E126" s="1298">
        <v>1803.8</v>
      </c>
    </row>
    <row r="127" spans="1:5" hidden="1" x14ac:dyDescent="0.25">
      <c r="A127" s="1298" t="s">
        <v>1121</v>
      </c>
      <c r="B127" s="1298" t="s">
        <v>1181</v>
      </c>
      <c r="C127" s="1299" t="s">
        <v>1075</v>
      </c>
      <c r="D127" s="1298">
        <v>7</v>
      </c>
      <c r="E127" s="1298">
        <v>7000</v>
      </c>
    </row>
    <row r="128" spans="1:5" hidden="1" x14ac:dyDescent="0.25">
      <c r="A128" s="1298" t="s">
        <v>1079</v>
      </c>
      <c r="B128" s="1298" t="s">
        <v>1183</v>
      </c>
      <c r="C128" s="1299" t="s">
        <v>1035</v>
      </c>
      <c r="D128" s="1298">
        <v>4</v>
      </c>
      <c r="E128" s="1298">
        <v>5280</v>
      </c>
    </row>
    <row r="129" spans="1:5" hidden="1" x14ac:dyDescent="0.25">
      <c r="A129" s="1298" t="s">
        <v>1187</v>
      </c>
      <c r="B129" s="1298" t="s">
        <v>1188</v>
      </c>
      <c r="C129" s="1299" t="s">
        <v>1035</v>
      </c>
      <c r="D129" s="1298">
        <v>0.5</v>
      </c>
      <c r="E129" s="1298">
        <v>550.79999999999995</v>
      </c>
    </row>
    <row r="130" spans="1:5" hidden="1" x14ac:dyDescent="0.25">
      <c r="A130" s="1300" t="s">
        <v>1189</v>
      </c>
      <c r="B130" s="1300"/>
      <c r="C130" s="1301"/>
      <c r="D130" s="1300">
        <f>SUM(D120:D129)</f>
        <v>75</v>
      </c>
      <c r="E130" s="1300">
        <f>SUM(E120:E129)</f>
        <v>92232.12</v>
      </c>
    </row>
    <row r="131" spans="1:5" hidden="1" x14ac:dyDescent="0.25">
      <c r="A131" s="1308"/>
      <c r="B131" s="1305" t="s">
        <v>1190</v>
      </c>
      <c r="C131" s="1299"/>
      <c r="D131" s="1298"/>
      <c r="E131" s="1298"/>
    </row>
    <row r="132" spans="1:5" hidden="1" x14ac:dyDescent="0.25">
      <c r="A132" s="1296" t="s">
        <v>1024</v>
      </c>
      <c r="B132" s="1296" t="s">
        <v>1025</v>
      </c>
      <c r="C132" s="1296" t="s">
        <v>1026</v>
      </c>
      <c r="D132" s="1296" t="s">
        <v>45</v>
      </c>
      <c r="E132" s="1296" t="s">
        <v>45</v>
      </c>
    </row>
    <row r="133" spans="1:5" hidden="1" x14ac:dyDescent="0.25">
      <c r="A133" s="1297" t="s">
        <v>1028</v>
      </c>
      <c r="B133" s="1297" t="s">
        <v>1029</v>
      </c>
      <c r="C133" s="1297"/>
      <c r="D133" s="1297" t="s">
        <v>180</v>
      </c>
      <c r="E133" s="1297" t="s">
        <v>180</v>
      </c>
    </row>
    <row r="134" spans="1:5" hidden="1" x14ac:dyDescent="0.25">
      <c r="A134" s="1298" t="s">
        <v>1182</v>
      </c>
      <c r="B134" s="1298" t="s">
        <v>1191</v>
      </c>
      <c r="C134" s="1299" t="s">
        <v>1039</v>
      </c>
      <c r="D134" s="1298">
        <v>39</v>
      </c>
      <c r="E134" s="1298">
        <v>50641.5</v>
      </c>
    </row>
    <row r="135" spans="1:5" hidden="1" x14ac:dyDescent="0.25">
      <c r="A135" s="1298" t="s">
        <v>1121</v>
      </c>
      <c r="B135" s="1298" t="s">
        <v>1192</v>
      </c>
      <c r="C135" s="1299" t="s">
        <v>1039</v>
      </c>
      <c r="D135" s="1298">
        <v>49</v>
      </c>
      <c r="E135" s="1298">
        <v>53900</v>
      </c>
    </row>
    <row r="136" spans="1:5" hidden="1" x14ac:dyDescent="0.25">
      <c r="A136" s="1298" t="s">
        <v>1193</v>
      </c>
      <c r="B136" s="1298" t="s">
        <v>1194</v>
      </c>
      <c r="C136" s="1299" t="s">
        <v>1075</v>
      </c>
      <c r="D136" s="1298">
        <v>205</v>
      </c>
      <c r="E136" s="1298">
        <v>266192.5</v>
      </c>
    </row>
    <row r="137" spans="1:5" hidden="1" x14ac:dyDescent="0.25">
      <c r="A137" s="1298" t="s">
        <v>1182</v>
      </c>
      <c r="B137" s="1298" t="s">
        <v>1195</v>
      </c>
      <c r="C137" s="1299" t="s">
        <v>1039</v>
      </c>
      <c r="D137" s="1298">
        <v>79</v>
      </c>
      <c r="E137" s="1298">
        <v>102581.5</v>
      </c>
    </row>
    <row r="138" spans="1:5" hidden="1" x14ac:dyDescent="0.25">
      <c r="A138" s="1298" t="s">
        <v>1121</v>
      </c>
      <c r="B138" s="1298" t="s">
        <v>1083</v>
      </c>
      <c r="C138" s="1299" t="s">
        <v>1105</v>
      </c>
      <c r="D138" s="1298">
        <v>4</v>
      </c>
      <c r="E138" s="1298">
        <v>4000</v>
      </c>
    </row>
    <row r="139" spans="1:5" hidden="1" x14ac:dyDescent="0.25">
      <c r="A139" s="1298" t="s">
        <v>1121</v>
      </c>
      <c r="B139" s="1298" t="s">
        <v>1196</v>
      </c>
      <c r="C139" s="1299" t="s">
        <v>1105</v>
      </c>
      <c r="D139" s="1298">
        <v>8</v>
      </c>
      <c r="E139" s="1298">
        <v>8000</v>
      </c>
    </row>
    <row r="140" spans="1:5" hidden="1" x14ac:dyDescent="0.25">
      <c r="A140" s="1298" t="s">
        <v>1089</v>
      </c>
      <c r="B140" s="1298" t="s">
        <v>1197</v>
      </c>
      <c r="C140" s="1299" t="s">
        <v>1198</v>
      </c>
      <c r="D140" s="1298">
        <v>0.5</v>
      </c>
      <c r="E140" s="1298">
        <v>656.78</v>
      </c>
    </row>
    <row r="141" spans="1:5" hidden="1" x14ac:dyDescent="0.25">
      <c r="A141" s="1298" t="s">
        <v>1089</v>
      </c>
      <c r="B141" s="1298" t="s">
        <v>1199</v>
      </c>
      <c r="C141" s="1299" t="s">
        <v>1198</v>
      </c>
      <c r="D141" s="1298">
        <v>0.5</v>
      </c>
      <c r="E141" s="1298">
        <v>656.78</v>
      </c>
    </row>
    <row r="142" spans="1:5" hidden="1" x14ac:dyDescent="0.25">
      <c r="A142" s="1298" t="s">
        <v>1089</v>
      </c>
      <c r="B142" s="1298" t="s">
        <v>1200</v>
      </c>
      <c r="C142" s="1299" t="s">
        <v>1198</v>
      </c>
      <c r="D142" s="1298">
        <v>0.5</v>
      </c>
      <c r="E142" s="1298">
        <v>656.78</v>
      </c>
    </row>
    <row r="143" spans="1:5" hidden="1" x14ac:dyDescent="0.25">
      <c r="A143" s="1298" t="s">
        <v>1167</v>
      </c>
      <c r="B143" s="1298" t="s">
        <v>1201</v>
      </c>
      <c r="C143" s="1299" t="s">
        <v>1198</v>
      </c>
      <c r="D143" s="1298">
        <v>6</v>
      </c>
      <c r="E143" s="1298">
        <v>6176</v>
      </c>
    </row>
    <row r="144" spans="1:5" hidden="1" x14ac:dyDescent="0.25">
      <c r="A144" s="1298" t="s">
        <v>1202</v>
      </c>
      <c r="B144" s="1298" t="s">
        <v>1203</v>
      </c>
      <c r="C144" s="1299" t="s">
        <v>1198</v>
      </c>
      <c r="D144" s="1298">
        <v>0.5</v>
      </c>
      <c r="E144" s="1298">
        <v>550.79999999999995</v>
      </c>
    </row>
    <row r="145" spans="1:5" hidden="1" x14ac:dyDescent="0.25">
      <c r="A145" s="1298" t="s">
        <v>1121</v>
      </c>
      <c r="B145" s="1298" t="s">
        <v>1204</v>
      </c>
      <c r="C145" s="1299" t="s">
        <v>1198</v>
      </c>
      <c r="D145" s="1298">
        <v>7</v>
      </c>
      <c r="E145" s="1298">
        <v>7000</v>
      </c>
    </row>
    <row r="146" spans="1:5" hidden="1" x14ac:dyDescent="0.25">
      <c r="A146" s="1298" t="s">
        <v>1121</v>
      </c>
      <c r="B146" s="1298" t="s">
        <v>1083</v>
      </c>
      <c r="C146" s="1299" t="s">
        <v>1198</v>
      </c>
      <c r="D146" s="1298">
        <v>4</v>
      </c>
      <c r="E146" s="1298">
        <v>4000</v>
      </c>
    </row>
    <row r="147" spans="1:5" hidden="1" x14ac:dyDescent="0.25">
      <c r="A147" s="1300" t="s">
        <v>1205</v>
      </c>
      <c r="B147" s="1300"/>
      <c r="C147" s="1300"/>
      <c r="D147" s="1300">
        <f>SUM(D134:D146)</f>
        <v>403</v>
      </c>
      <c r="E147" s="1300">
        <f>SUM(E134:E146)</f>
        <v>505012.64000000007</v>
      </c>
    </row>
    <row r="148" spans="1:5" hidden="1" x14ac:dyDescent="0.25">
      <c r="A148" s="1305" t="s">
        <v>1206</v>
      </c>
      <c r="B148" s="1300"/>
      <c r="C148" s="1300"/>
      <c r="D148" s="1300">
        <f>D130+D147</f>
        <v>478</v>
      </c>
      <c r="E148" s="1300">
        <f>E130+E147</f>
        <v>597244.76</v>
      </c>
    </row>
    <row r="149" spans="1:5" hidden="1" x14ac:dyDescent="0.25">
      <c r="A149" s="1309" t="s">
        <v>1207</v>
      </c>
      <c r="B149" s="1310"/>
      <c r="C149" s="1310"/>
      <c r="D149" s="1310"/>
      <c r="E149" s="1310"/>
    </row>
    <row r="150" spans="1:5" hidden="1" x14ac:dyDescent="0.25">
      <c r="A150" s="1298" t="s">
        <v>1202</v>
      </c>
      <c r="B150" s="1298" t="s">
        <v>1208</v>
      </c>
      <c r="C150" s="1299" t="s">
        <v>1198</v>
      </c>
      <c r="D150" s="1298">
        <v>0.5</v>
      </c>
      <c r="E150" s="1298">
        <v>550.79999999999995</v>
      </c>
    </row>
    <row r="151" spans="1:5" hidden="1" x14ac:dyDescent="0.25">
      <c r="A151" s="1311" t="s">
        <v>1209</v>
      </c>
      <c r="B151" s="1311" t="s">
        <v>1210</v>
      </c>
      <c r="C151" s="1299" t="s">
        <v>1198</v>
      </c>
      <c r="D151" s="1310">
        <v>1</v>
      </c>
      <c r="E151" s="1311">
        <v>1351.7</v>
      </c>
    </row>
    <row r="152" spans="1:5" hidden="1" x14ac:dyDescent="0.25">
      <c r="A152" s="1311" t="s">
        <v>1211</v>
      </c>
      <c r="B152" s="1310" t="s">
        <v>1212</v>
      </c>
      <c r="C152" s="1312" t="s">
        <v>1075</v>
      </c>
      <c r="D152" s="1310">
        <v>89</v>
      </c>
      <c r="E152" s="1311">
        <v>115566.5</v>
      </c>
    </row>
    <row r="153" spans="1:5" hidden="1" x14ac:dyDescent="0.25">
      <c r="A153" s="1311" t="s">
        <v>1213</v>
      </c>
      <c r="B153" s="1311" t="s">
        <v>1214</v>
      </c>
      <c r="C153" s="1312" t="s">
        <v>1039</v>
      </c>
      <c r="D153" s="1311">
        <v>70</v>
      </c>
      <c r="E153" s="1311">
        <v>90895</v>
      </c>
    </row>
    <row r="154" spans="1:5" hidden="1" x14ac:dyDescent="0.25">
      <c r="A154" s="1298" t="s">
        <v>1215</v>
      </c>
      <c r="B154" s="1298" t="s">
        <v>1216</v>
      </c>
      <c r="C154" s="1299" t="s">
        <v>1105</v>
      </c>
      <c r="D154" s="1298">
        <v>1</v>
      </c>
      <c r="E154" s="1298">
        <v>1000</v>
      </c>
    </row>
    <row r="155" spans="1:5" hidden="1" x14ac:dyDescent="0.25">
      <c r="A155" s="1309" t="s">
        <v>1217</v>
      </c>
      <c r="B155" s="1308"/>
      <c r="C155" s="1308"/>
      <c r="D155" s="1308">
        <f>D150+D151+D152+D153+D154</f>
        <v>161.5</v>
      </c>
      <c r="E155" s="1308">
        <f>E150+E151+E152+E153+E154</f>
        <v>209364</v>
      </c>
    </row>
    <row r="156" spans="1:5" hidden="1" x14ac:dyDescent="0.25">
      <c r="A156" s="1309" t="s">
        <v>262</v>
      </c>
      <c r="B156" s="1298"/>
      <c r="C156" s="1298"/>
      <c r="D156" s="1298"/>
      <c r="E156" s="1298"/>
    </row>
    <row r="157" spans="1:5" hidden="1" x14ac:dyDescent="0.25">
      <c r="A157" s="1298" t="s">
        <v>1215</v>
      </c>
      <c r="B157" s="1298" t="s">
        <v>1218</v>
      </c>
      <c r="C157" s="1299" t="s">
        <v>1198</v>
      </c>
      <c r="D157" s="1298">
        <v>2</v>
      </c>
      <c r="E157" s="1298">
        <v>2000</v>
      </c>
    </row>
    <row r="158" spans="1:5" hidden="1" x14ac:dyDescent="0.25">
      <c r="A158" s="1298" t="s">
        <v>1215</v>
      </c>
      <c r="B158" s="1298" t="s">
        <v>1219</v>
      </c>
      <c r="C158" s="1299" t="s">
        <v>1105</v>
      </c>
      <c r="D158" s="1298">
        <v>12</v>
      </c>
      <c r="E158" s="1298">
        <v>12000</v>
      </c>
    </row>
    <row r="159" spans="1:5" hidden="1" x14ac:dyDescent="0.25">
      <c r="A159" s="1310" t="s">
        <v>1220</v>
      </c>
      <c r="B159" s="1310" t="s">
        <v>1221</v>
      </c>
      <c r="C159" s="1299" t="s">
        <v>1198</v>
      </c>
      <c r="D159" s="1310">
        <v>4</v>
      </c>
      <c r="E159" s="1310">
        <v>8800</v>
      </c>
    </row>
    <row r="160" spans="1:5" hidden="1" x14ac:dyDescent="0.25">
      <c r="A160" s="1298" t="s">
        <v>1187</v>
      </c>
      <c r="B160" s="1298" t="s">
        <v>1222</v>
      </c>
      <c r="C160" s="1299" t="s">
        <v>1198</v>
      </c>
      <c r="D160" s="1298">
        <v>0.5</v>
      </c>
      <c r="E160" s="1298">
        <v>550.79999999999995</v>
      </c>
    </row>
    <row r="161" spans="1:5" hidden="1" x14ac:dyDescent="0.25">
      <c r="A161" s="1310" t="s">
        <v>1167</v>
      </c>
      <c r="B161" s="1310" t="s">
        <v>1223</v>
      </c>
      <c r="C161" s="1310" t="s">
        <v>1100</v>
      </c>
      <c r="D161" s="1310">
        <v>5</v>
      </c>
      <c r="E161" s="1310">
        <v>5655</v>
      </c>
    </row>
    <row r="162" spans="1:5" hidden="1" x14ac:dyDescent="0.25">
      <c r="A162" s="1310" t="s">
        <v>1224</v>
      </c>
      <c r="B162" s="1310"/>
      <c r="C162" s="1310"/>
      <c r="D162" s="1310">
        <f>D157+D158+D159+D160+D161</f>
        <v>23.5</v>
      </c>
      <c r="E162" s="1310">
        <f>E157+E158+E159+E160+E161</f>
        <v>29005.8</v>
      </c>
    </row>
    <row r="163" spans="1:5" hidden="1" x14ac:dyDescent="0.25">
      <c r="A163" s="1313" t="s">
        <v>1225</v>
      </c>
      <c r="B163" s="1314"/>
      <c r="C163" s="1314"/>
      <c r="D163" s="1314">
        <v>0</v>
      </c>
      <c r="E163" s="1313">
        <v>0</v>
      </c>
    </row>
    <row r="164" spans="1:5" hidden="1" x14ac:dyDescent="0.25">
      <c r="A164" s="1313" t="s">
        <v>1226</v>
      </c>
      <c r="B164" s="1314"/>
      <c r="C164" s="1314"/>
      <c r="D164" s="1315">
        <f>D148+D155+D162+D163</f>
        <v>663</v>
      </c>
      <c r="E164" s="1314">
        <f>E148+E155+E162+E163</f>
        <v>835614.56</v>
      </c>
    </row>
    <row r="165" spans="1:5" hidden="1" x14ac:dyDescent="0.25">
      <c r="A165" s="1314" t="s">
        <v>263</v>
      </c>
      <c r="B165" s="1310"/>
      <c r="C165" s="1310"/>
      <c r="D165" s="1314">
        <f>D166+D167</f>
        <v>1.5</v>
      </c>
      <c r="E165" s="1314">
        <f>E166+E167</f>
        <v>2078.9300000000003</v>
      </c>
    </row>
    <row r="166" spans="1:5" hidden="1" x14ac:dyDescent="0.25">
      <c r="A166" s="1310" t="s">
        <v>1227</v>
      </c>
      <c r="B166" s="1310" t="s">
        <v>1228</v>
      </c>
      <c r="C166" s="1310" t="s">
        <v>1229</v>
      </c>
      <c r="D166" s="1310">
        <v>1</v>
      </c>
      <c r="E166" s="1310">
        <v>1528.13</v>
      </c>
    </row>
    <row r="167" spans="1:5" hidden="1" x14ac:dyDescent="0.25">
      <c r="A167" s="1310" t="s">
        <v>1202</v>
      </c>
      <c r="B167" s="1310" t="s">
        <v>1230</v>
      </c>
      <c r="C167" s="1310" t="s">
        <v>1231</v>
      </c>
      <c r="D167" s="1310">
        <v>0.5</v>
      </c>
      <c r="E167" s="1310">
        <v>550.79999999999995</v>
      </c>
    </row>
    <row r="168" spans="1:5" hidden="1" x14ac:dyDescent="0.25">
      <c r="A168" s="1314" t="s">
        <v>264</v>
      </c>
      <c r="B168" s="1310"/>
      <c r="C168" s="1310"/>
      <c r="D168" s="1314">
        <f>D169+D170</f>
        <v>9</v>
      </c>
      <c r="E168" s="1314">
        <f>E169+E170</f>
        <v>8791.41</v>
      </c>
    </row>
    <row r="169" spans="1:5" hidden="1" x14ac:dyDescent="0.25">
      <c r="A169" s="1310" t="s">
        <v>1232</v>
      </c>
      <c r="B169" s="1310" t="s">
        <v>1233</v>
      </c>
      <c r="C169" s="1310" t="s">
        <v>1234</v>
      </c>
      <c r="D169" s="1310">
        <v>9</v>
      </c>
      <c r="E169" s="1310">
        <v>10179</v>
      </c>
    </row>
    <row r="170" spans="1:5" hidden="1" x14ac:dyDescent="0.25">
      <c r="A170" s="1316" t="s">
        <v>1235</v>
      </c>
      <c r="B170" s="1306"/>
      <c r="C170" s="1306"/>
      <c r="D170" s="1306"/>
      <c r="E170" s="1316">
        <v>-1387.59</v>
      </c>
    </row>
    <row r="171" spans="1:5" hidden="1" x14ac:dyDescent="0.25">
      <c r="A171" s="1313" t="s">
        <v>1236</v>
      </c>
      <c r="B171" s="1306"/>
      <c r="C171" s="1306"/>
      <c r="D171" s="1317">
        <f>D172</f>
        <v>22</v>
      </c>
      <c r="E171" s="1317">
        <f>E172</f>
        <v>22000</v>
      </c>
    </row>
    <row r="172" spans="1:5" hidden="1" x14ac:dyDescent="0.25">
      <c r="A172" s="1316" t="s">
        <v>1134</v>
      </c>
      <c r="B172" s="1310" t="s">
        <v>1237</v>
      </c>
      <c r="C172" s="1310" t="s">
        <v>1238</v>
      </c>
      <c r="D172" s="1306">
        <v>22</v>
      </c>
      <c r="E172" s="1316">
        <v>22000</v>
      </c>
    </row>
    <row r="173" spans="1:5" hidden="1" x14ac:dyDescent="0.25">
      <c r="A173" s="1313" t="s">
        <v>1239</v>
      </c>
      <c r="B173" s="1317"/>
      <c r="C173" s="1317"/>
      <c r="D173" s="1317">
        <f>D164+D165+D168+D171</f>
        <v>695.5</v>
      </c>
      <c r="E173" s="1317">
        <f>E164+E165+E168+E171</f>
        <v>868484.90000000014</v>
      </c>
    </row>
    <row r="174" spans="1:5" hidden="1" x14ac:dyDescent="0.25"/>
    <row r="175" spans="1:5" hidden="1" x14ac:dyDescent="0.25">
      <c r="A175" s="1293"/>
      <c r="B175" s="1294" t="s">
        <v>1240</v>
      </c>
      <c r="C175" s="1293"/>
      <c r="D175" s="1295"/>
      <c r="E175" s="1295"/>
    </row>
    <row r="176" spans="1:5" hidden="1" x14ac:dyDescent="0.25">
      <c r="A176" s="1295"/>
      <c r="B176" s="1295"/>
      <c r="C176" s="1295"/>
      <c r="D176" s="1295"/>
      <c r="E176" s="1295"/>
    </row>
    <row r="177" spans="1:8" hidden="1" x14ac:dyDescent="0.25">
      <c r="A177" s="1296" t="s">
        <v>1024</v>
      </c>
      <c r="B177" s="1296" t="s">
        <v>1025</v>
      </c>
      <c r="C177" s="1296" t="s">
        <v>1026</v>
      </c>
      <c r="D177" s="1296" t="s">
        <v>1027</v>
      </c>
      <c r="E177" s="1296" t="s">
        <v>45</v>
      </c>
    </row>
    <row r="178" spans="1:8" hidden="1" x14ac:dyDescent="0.25">
      <c r="A178" s="1297" t="s">
        <v>1028</v>
      </c>
      <c r="B178" s="1297" t="s">
        <v>1029</v>
      </c>
      <c r="C178" s="1297"/>
      <c r="D178" s="1297"/>
      <c r="E178" s="1297" t="s">
        <v>180</v>
      </c>
    </row>
    <row r="179" spans="1:8" hidden="1" x14ac:dyDescent="0.25">
      <c r="A179" s="1298"/>
      <c r="B179" s="1294" t="s">
        <v>1241</v>
      </c>
      <c r="C179" s="1298"/>
      <c r="D179" s="1298"/>
      <c r="E179" s="1298"/>
    </row>
    <row r="180" spans="1:8" hidden="1" x14ac:dyDescent="0.25">
      <c r="A180" s="1298" t="s">
        <v>1242</v>
      </c>
      <c r="B180" s="1298" t="s">
        <v>1243</v>
      </c>
      <c r="C180" s="1318" t="s">
        <v>1107</v>
      </c>
      <c r="D180" s="1298">
        <v>44</v>
      </c>
      <c r="E180" s="1298">
        <v>57134</v>
      </c>
    </row>
    <row r="181" spans="1:8" hidden="1" x14ac:dyDescent="0.25">
      <c r="A181" s="1298" t="s">
        <v>1242</v>
      </c>
      <c r="B181" s="1298" t="s">
        <v>1244</v>
      </c>
      <c r="C181" s="1318" t="s">
        <v>1107</v>
      </c>
      <c r="D181" s="1298">
        <v>82</v>
      </c>
      <c r="E181" s="1298">
        <v>106477</v>
      </c>
    </row>
    <row r="182" spans="1:8" hidden="1" x14ac:dyDescent="0.25">
      <c r="A182" s="1298" t="s">
        <v>1089</v>
      </c>
      <c r="B182" s="1298" t="s">
        <v>1245</v>
      </c>
      <c r="C182" s="1318" t="s">
        <v>1246</v>
      </c>
      <c r="D182" s="1298">
        <v>3.2</v>
      </c>
      <c r="E182" s="1298">
        <v>4881.3599999999997</v>
      </c>
    </row>
    <row r="183" spans="1:8" hidden="1" x14ac:dyDescent="0.25">
      <c r="A183" s="1298" t="s">
        <v>1187</v>
      </c>
      <c r="B183" s="1298" t="s">
        <v>1247</v>
      </c>
      <c r="C183" s="1318" t="s">
        <v>1248</v>
      </c>
      <c r="D183" s="1298">
        <v>0.5</v>
      </c>
      <c r="E183" s="1298">
        <v>556.5</v>
      </c>
    </row>
    <row r="184" spans="1:8" hidden="1" x14ac:dyDescent="0.25">
      <c r="A184" s="1298" t="s">
        <v>1187</v>
      </c>
      <c r="B184" s="1298" t="s">
        <v>1249</v>
      </c>
      <c r="C184" s="1318" t="s">
        <v>1250</v>
      </c>
      <c r="D184" s="1298">
        <v>0.5</v>
      </c>
      <c r="E184" s="1298">
        <v>618.29999999999995</v>
      </c>
    </row>
    <row r="185" spans="1:8" hidden="1" x14ac:dyDescent="0.25">
      <c r="A185" s="1298" t="s">
        <v>1134</v>
      </c>
      <c r="B185" s="1298" t="s">
        <v>1251</v>
      </c>
      <c r="C185" s="1318" t="s">
        <v>1252</v>
      </c>
      <c r="D185" s="1298">
        <v>4</v>
      </c>
      <c r="E185" s="1298">
        <v>4000</v>
      </c>
    </row>
    <row r="186" spans="1:8" hidden="1" x14ac:dyDescent="0.25">
      <c r="A186" s="1298" t="s">
        <v>1253</v>
      </c>
      <c r="B186" s="1298" t="s">
        <v>1254</v>
      </c>
      <c r="C186" s="1318" t="s">
        <v>1255</v>
      </c>
      <c r="D186" s="1298">
        <v>37</v>
      </c>
      <c r="E186" s="1298">
        <v>48044.5</v>
      </c>
    </row>
    <row r="187" spans="1:8" hidden="1" x14ac:dyDescent="0.25">
      <c r="A187" s="1298" t="s">
        <v>1134</v>
      </c>
      <c r="B187" s="1298" t="s">
        <v>1256</v>
      </c>
      <c r="C187" s="1318" t="s">
        <v>1252</v>
      </c>
      <c r="D187" s="1298">
        <v>4</v>
      </c>
      <c r="E187" s="1298">
        <v>4000</v>
      </c>
    </row>
    <row r="188" spans="1:8" hidden="1" x14ac:dyDescent="0.25">
      <c r="A188" s="1298" t="s">
        <v>1257</v>
      </c>
      <c r="B188" s="1298" t="s">
        <v>1258</v>
      </c>
      <c r="C188" s="1318"/>
      <c r="D188" s="1298"/>
      <c r="E188" s="1298">
        <v>3573.08</v>
      </c>
    </row>
    <row r="189" spans="1:8" hidden="1" x14ac:dyDescent="0.25">
      <c r="A189" s="1300" t="s">
        <v>1259</v>
      </c>
      <c r="B189" s="1300"/>
      <c r="C189" s="1319"/>
      <c r="D189" s="1300">
        <f>SUM(D180:D188)</f>
        <v>175.2</v>
      </c>
      <c r="E189" s="1300">
        <f>SUM(E180:E188)</f>
        <v>229284.73999999996</v>
      </c>
    </row>
    <row r="190" spans="1:8" hidden="1" x14ac:dyDescent="0.25">
      <c r="A190" s="1309" t="s">
        <v>259</v>
      </c>
      <c r="B190" s="1306"/>
      <c r="C190" s="1320"/>
      <c r="D190" s="1306"/>
      <c r="E190" s="1306"/>
    </row>
    <row r="191" spans="1:8" hidden="1" x14ac:dyDescent="0.25">
      <c r="A191" s="1311" t="s">
        <v>1213</v>
      </c>
      <c r="B191" s="1311" t="s">
        <v>1260</v>
      </c>
      <c r="C191" s="1321" t="s">
        <v>1261</v>
      </c>
      <c r="D191" s="1310">
        <v>118</v>
      </c>
      <c r="E191" s="1311">
        <v>153481</v>
      </c>
      <c r="G191" s="1261">
        <f>E191+E192+E193+E194+E199+E200+E201+E204+E211+E213+E214</f>
        <v>770253.5</v>
      </c>
      <c r="H191" s="1261" t="s">
        <v>1262</v>
      </c>
    </row>
    <row r="192" spans="1:8" hidden="1" x14ac:dyDescent="0.25">
      <c r="A192" s="1311" t="s">
        <v>1242</v>
      </c>
      <c r="B192" s="1311" t="s">
        <v>1263</v>
      </c>
      <c r="C192" s="1321" t="s">
        <v>1261</v>
      </c>
      <c r="D192" s="1310">
        <v>65</v>
      </c>
      <c r="E192" s="1311">
        <v>84402.5</v>
      </c>
    </row>
    <row r="193" spans="1:5" hidden="1" x14ac:dyDescent="0.25">
      <c r="A193" s="1311" t="s">
        <v>1242</v>
      </c>
      <c r="B193" s="1311" t="s">
        <v>1264</v>
      </c>
      <c r="C193" s="1321" t="s">
        <v>1261</v>
      </c>
      <c r="D193" s="1310">
        <v>63</v>
      </c>
      <c r="E193" s="1311">
        <v>81805.5</v>
      </c>
    </row>
    <row r="194" spans="1:5" hidden="1" x14ac:dyDescent="0.25">
      <c r="A194" s="1311" t="s">
        <v>1213</v>
      </c>
      <c r="B194" s="1311" t="s">
        <v>1265</v>
      </c>
      <c r="C194" s="1321" t="s">
        <v>1261</v>
      </c>
      <c r="D194" s="1310">
        <v>48</v>
      </c>
      <c r="E194" s="1311">
        <v>63360</v>
      </c>
    </row>
    <row r="195" spans="1:5" hidden="1" x14ac:dyDescent="0.25">
      <c r="A195" s="1310" t="s">
        <v>1089</v>
      </c>
      <c r="B195" s="1310" t="s">
        <v>1266</v>
      </c>
      <c r="C195" s="1321" t="s">
        <v>1267</v>
      </c>
      <c r="D195" s="1310">
        <v>4</v>
      </c>
      <c r="E195" s="1310">
        <v>3288.14</v>
      </c>
    </row>
    <row r="196" spans="1:5" hidden="1" x14ac:dyDescent="0.25">
      <c r="A196" s="1310" t="s">
        <v>1089</v>
      </c>
      <c r="B196" s="1310" t="s">
        <v>1266</v>
      </c>
      <c r="C196" s="1321" t="s">
        <v>1268</v>
      </c>
      <c r="D196" s="1310">
        <v>2.67</v>
      </c>
      <c r="E196" s="1310">
        <v>4186.0200000000004</v>
      </c>
    </row>
    <row r="197" spans="1:5" hidden="1" x14ac:dyDescent="0.25">
      <c r="A197" s="1310" t="s">
        <v>1089</v>
      </c>
      <c r="B197" s="1310" t="s">
        <v>1269</v>
      </c>
      <c r="C197" s="1321" t="s">
        <v>1268</v>
      </c>
      <c r="D197" s="1310">
        <v>1.25</v>
      </c>
      <c r="E197" s="1310">
        <v>1959.75</v>
      </c>
    </row>
    <row r="198" spans="1:5" hidden="1" x14ac:dyDescent="0.25">
      <c r="A198" s="1310" t="s">
        <v>1089</v>
      </c>
      <c r="B198" s="1310" t="s">
        <v>1270</v>
      </c>
      <c r="C198" s="1321" t="s">
        <v>1271</v>
      </c>
      <c r="D198" s="1310">
        <v>1.5</v>
      </c>
      <c r="E198" s="1310">
        <v>2351.6999999999998</v>
      </c>
    </row>
    <row r="199" spans="1:5" hidden="1" x14ac:dyDescent="0.25">
      <c r="A199" s="1298" t="s">
        <v>1272</v>
      </c>
      <c r="B199" s="1298" t="s">
        <v>1273</v>
      </c>
      <c r="C199" s="1318" t="s">
        <v>1274</v>
      </c>
      <c r="D199" s="1298">
        <v>22</v>
      </c>
      <c r="E199" s="1298">
        <v>24200</v>
      </c>
    </row>
    <row r="200" spans="1:5" hidden="1" x14ac:dyDescent="0.25">
      <c r="A200" s="1298" t="s">
        <v>1272</v>
      </c>
      <c r="B200" s="1298" t="s">
        <v>1275</v>
      </c>
      <c r="C200" s="1318" t="s">
        <v>1274</v>
      </c>
      <c r="D200" s="1298">
        <v>32</v>
      </c>
      <c r="E200" s="1298">
        <v>32000</v>
      </c>
    </row>
    <row r="201" spans="1:5" hidden="1" x14ac:dyDescent="0.25">
      <c r="A201" s="1298" t="s">
        <v>1272</v>
      </c>
      <c r="B201" s="1298" t="s">
        <v>1276</v>
      </c>
      <c r="C201" s="1318" t="s">
        <v>1274</v>
      </c>
      <c r="D201" s="1298">
        <v>18</v>
      </c>
      <c r="E201" s="1298">
        <v>18000</v>
      </c>
    </row>
    <row r="202" spans="1:5" hidden="1" x14ac:dyDescent="0.25">
      <c r="A202" s="1314" t="s">
        <v>1277</v>
      </c>
      <c r="B202" s="1310"/>
      <c r="C202" s="1321"/>
      <c r="D202" s="1314">
        <f>D191+D192+D193+D194+D195+D196+D197+D198+D199+D200+D201</f>
        <v>375.42</v>
      </c>
      <c r="E202" s="1314">
        <f>E191+E192+E193+E194+E195+E196+E197+E198+E199+E200+E201</f>
        <v>469034.61000000004</v>
      </c>
    </row>
    <row r="203" spans="1:5" hidden="1" x14ac:dyDescent="0.25">
      <c r="A203" s="1314" t="s">
        <v>260</v>
      </c>
      <c r="B203" s="1310"/>
      <c r="C203" s="1321"/>
      <c r="D203" s="1310"/>
      <c r="E203" s="1310"/>
    </row>
    <row r="204" spans="1:5" hidden="1" x14ac:dyDescent="0.25">
      <c r="A204" s="1310" t="s">
        <v>1242</v>
      </c>
      <c r="B204" s="1310" t="s">
        <v>1278</v>
      </c>
      <c r="C204" s="1321" t="s">
        <v>1279</v>
      </c>
      <c r="D204" s="1310">
        <v>56</v>
      </c>
      <c r="E204" s="1310">
        <v>72716</v>
      </c>
    </row>
    <row r="205" spans="1:5" hidden="1" x14ac:dyDescent="0.25">
      <c r="A205" s="1310" t="s">
        <v>1280</v>
      </c>
      <c r="B205" s="1310" t="s">
        <v>1281</v>
      </c>
      <c r="C205" s="1321" t="s">
        <v>1282</v>
      </c>
      <c r="D205" s="1310">
        <v>8</v>
      </c>
      <c r="E205" s="1310">
        <v>12000</v>
      </c>
    </row>
    <row r="206" spans="1:5" hidden="1" x14ac:dyDescent="0.25">
      <c r="A206" s="1310" t="s">
        <v>1123</v>
      </c>
      <c r="B206" s="1310" t="s">
        <v>1283</v>
      </c>
      <c r="C206" s="1321" t="s">
        <v>1284</v>
      </c>
      <c r="D206" s="1310">
        <v>6</v>
      </c>
      <c r="E206" s="1310">
        <v>13200</v>
      </c>
    </row>
    <row r="207" spans="1:5" hidden="1" x14ac:dyDescent="0.25">
      <c r="A207" s="1313" t="s">
        <v>1285</v>
      </c>
      <c r="B207" s="1314"/>
      <c r="C207" s="1322"/>
      <c r="D207" s="1314">
        <f>D204+D205+D206</f>
        <v>70</v>
      </c>
      <c r="E207" s="1314">
        <f>E204+E205+E206</f>
        <v>97916</v>
      </c>
    </row>
    <row r="208" spans="1:5" hidden="1" x14ac:dyDescent="0.25">
      <c r="A208" s="1316" t="s">
        <v>261</v>
      </c>
      <c r="B208" s="1306"/>
      <c r="C208" s="1320"/>
      <c r="D208" s="1306"/>
      <c r="E208" s="1316">
        <v>0</v>
      </c>
    </row>
    <row r="209" spans="1:5" hidden="1" x14ac:dyDescent="0.25">
      <c r="A209" s="1323" t="s">
        <v>1286</v>
      </c>
      <c r="B209" s="1306"/>
      <c r="C209" s="1320"/>
      <c r="D209" s="1324">
        <f>D189+D202+D207+D208</f>
        <v>620.62</v>
      </c>
      <c r="E209" s="1324">
        <f>E189+E202+E207+E208</f>
        <v>796235.35</v>
      </c>
    </row>
    <row r="210" spans="1:5" hidden="1" x14ac:dyDescent="0.25">
      <c r="A210" s="1314" t="s">
        <v>1287</v>
      </c>
      <c r="B210" s="1310"/>
      <c r="C210" s="1321"/>
      <c r="D210" s="1310"/>
      <c r="E210" s="1310"/>
    </row>
    <row r="211" spans="1:5" hidden="1" x14ac:dyDescent="0.25">
      <c r="A211" s="1310" t="s">
        <v>1213</v>
      </c>
      <c r="B211" s="1310" t="s">
        <v>1288</v>
      </c>
      <c r="C211" s="1321" t="s">
        <v>1261</v>
      </c>
      <c r="D211" s="1310">
        <v>71</v>
      </c>
      <c r="E211" s="1310">
        <v>92193.5</v>
      </c>
    </row>
    <row r="212" spans="1:5" hidden="1" x14ac:dyDescent="0.25">
      <c r="A212" s="1310" t="s">
        <v>1272</v>
      </c>
      <c r="B212" s="1310" t="s">
        <v>1289</v>
      </c>
      <c r="C212" s="1321" t="s">
        <v>1290</v>
      </c>
      <c r="D212" s="1310">
        <v>29</v>
      </c>
      <c r="E212" s="1310">
        <v>29000</v>
      </c>
    </row>
    <row r="213" spans="1:5" hidden="1" x14ac:dyDescent="0.25">
      <c r="A213" s="1310" t="s">
        <v>1272</v>
      </c>
      <c r="B213" s="1310" t="s">
        <v>1291</v>
      </c>
      <c r="C213" s="1321" t="s">
        <v>1261</v>
      </c>
      <c r="D213" s="1310">
        <v>52</v>
      </c>
      <c r="E213" s="1310">
        <v>57200</v>
      </c>
    </row>
    <row r="214" spans="1:5" hidden="1" x14ac:dyDescent="0.25">
      <c r="A214" s="1310" t="s">
        <v>1213</v>
      </c>
      <c r="B214" s="1310" t="s">
        <v>1292</v>
      </c>
      <c r="C214" s="1321" t="s">
        <v>1261</v>
      </c>
      <c r="D214" s="1310">
        <v>70</v>
      </c>
      <c r="E214" s="1310">
        <v>90895</v>
      </c>
    </row>
    <row r="215" spans="1:5" hidden="1" x14ac:dyDescent="0.25">
      <c r="A215" s="1310" t="s">
        <v>1165</v>
      </c>
      <c r="B215" s="1310" t="s">
        <v>1293</v>
      </c>
      <c r="C215" s="1321" t="s">
        <v>1294</v>
      </c>
      <c r="D215" s="1310">
        <v>0.5</v>
      </c>
      <c r="E215" s="1310">
        <v>618.29999999999995</v>
      </c>
    </row>
    <row r="216" spans="1:5" hidden="1" x14ac:dyDescent="0.25">
      <c r="A216" s="1310" t="s">
        <v>1123</v>
      </c>
      <c r="B216" s="1310" t="s">
        <v>1295</v>
      </c>
      <c r="C216" s="1321" t="s">
        <v>1296</v>
      </c>
      <c r="D216" s="1310">
        <v>2</v>
      </c>
      <c r="E216" s="1310">
        <v>4400</v>
      </c>
    </row>
    <row r="217" spans="1:5" hidden="1" x14ac:dyDescent="0.25">
      <c r="A217" s="1314" t="s">
        <v>1297</v>
      </c>
      <c r="B217" s="1314"/>
      <c r="C217" s="1322"/>
      <c r="D217" s="1314">
        <f>D211+D212+D213+D214+D215+D216</f>
        <v>224.5</v>
      </c>
      <c r="E217" s="1314">
        <f>E211+E212+E213+E214+E215+E216</f>
        <v>274306.8</v>
      </c>
    </row>
    <row r="218" spans="1:5" hidden="1" x14ac:dyDescent="0.25">
      <c r="A218" s="1310" t="s">
        <v>262</v>
      </c>
      <c r="B218" s="1310"/>
      <c r="C218" s="1321"/>
      <c r="D218" s="1310"/>
      <c r="E218" s="1310"/>
    </row>
    <row r="219" spans="1:5" hidden="1" x14ac:dyDescent="0.25">
      <c r="A219" s="1310" t="s">
        <v>1165</v>
      </c>
      <c r="B219" s="1310" t="s">
        <v>1298</v>
      </c>
      <c r="C219" s="1321" t="s">
        <v>1299</v>
      </c>
      <c r="D219" s="1310">
        <v>0.5</v>
      </c>
      <c r="E219" s="1310">
        <v>618.29999999999995</v>
      </c>
    </row>
    <row r="220" spans="1:5" hidden="1" x14ac:dyDescent="0.25">
      <c r="A220" s="1310" t="s">
        <v>1213</v>
      </c>
      <c r="B220" s="1310" t="s">
        <v>1300</v>
      </c>
      <c r="C220" s="1321" t="s">
        <v>1301</v>
      </c>
      <c r="D220" s="1310">
        <v>47</v>
      </c>
      <c r="E220" s="1310">
        <v>61029.5</v>
      </c>
    </row>
    <row r="221" spans="1:5" hidden="1" x14ac:dyDescent="0.25">
      <c r="A221" s="1310" t="s">
        <v>1302</v>
      </c>
      <c r="B221" s="1310" t="s">
        <v>1303</v>
      </c>
      <c r="C221" s="1321" t="s">
        <v>1304</v>
      </c>
      <c r="D221" s="1310">
        <v>4</v>
      </c>
      <c r="E221" s="1310">
        <v>6800</v>
      </c>
    </row>
    <row r="222" spans="1:5" hidden="1" x14ac:dyDescent="0.25">
      <c r="A222" s="1310" t="s">
        <v>1089</v>
      </c>
      <c r="B222" s="1310" t="s">
        <v>1305</v>
      </c>
      <c r="C222" s="1321" t="s">
        <v>1306</v>
      </c>
      <c r="D222" s="1310">
        <v>5.09</v>
      </c>
      <c r="E222" s="1310">
        <v>8058.13</v>
      </c>
    </row>
    <row r="223" spans="1:5" hidden="1" x14ac:dyDescent="0.25">
      <c r="A223" s="1314" t="s">
        <v>1307</v>
      </c>
      <c r="B223" s="1314"/>
      <c r="C223" s="1322"/>
      <c r="D223" s="1314">
        <f>D219+D220+D221+D222</f>
        <v>56.59</v>
      </c>
      <c r="E223" s="1314">
        <f>E219+E220+E221+E222</f>
        <v>76505.930000000008</v>
      </c>
    </row>
    <row r="224" spans="1:5" hidden="1" x14ac:dyDescent="0.25">
      <c r="A224" s="1314" t="s">
        <v>1308</v>
      </c>
      <c r="B224" s="1310"/>
      <c r="C224" s="1321"/>
      <c r="D224" s="1310">
        <f>D223+D217+D209</f>
        <v>901.71</v>
      </c>
      <c r="E224" s="1314">
        <f>E223+E217+E209</f>
        <v>1147048.08</v>
      </c>
    </row>
    <row r="225" spans="1:5" hidden="1" x14ac:dyDescent="0.25">
      <c r="A225" s="1314" t="s">
        <v>263</v>
      </c>
      <c r="B225" s="1310"/>
      <c r="C225" s="1321"/>
      <c r="D225" s="1310"/>
      <c r="E225" s="1314"/>
    </row>
    <row r="226" spans="1:5" hidden="1" x14ac:dyDescent="0.25">
      <c r="A226" s="1310" t="s">
        <v>1165</v>
      </c>
      <c r="B226" s="1310" t="s">
        <v>1309</v>
      </c>
      <c r="C226" s="1321" t="s">
        <v>1294</v>
      </c>
      <c r="D226" s="1310">
        <v>0.5</v>
      </c>
      <c r="E226" s="1310">
        <v>618.29999999999995</v>
      </c>
    </row>
    <row r="227" spans="1:5" hidden="1" x14ac:dyDescent="0.25">
      <c r="A227" s="1316" t="s">
        <v>1213</v>
      </c>
      <c r="B227" s="1316" t="s">
        <v>1310</v>
      </c>
      <c r="C227" s="1325" t="s">
        <v>1301</v>
      </c>
      <c r="D227" s="1316">
        <v>2</v>
      </c>
      <c r="E227" s="1316">
        <v>2640</v>
      </c>
    </row>
    <row r="228" spans="1:5" hidden="1" x14ac:dyDescent="0.25">
      <c r="A228" s="1316" t="s">
        <v>1213</v>
      </c>
      <c r="B228" s="1316" t="s">
        <v>1310</v>
      </c>
      <c r="C228" s="1325" t="s">
        <v>1311</v>
      </c>
      <c r="D228" s="1316">
        <v>1</v>
      </c>
      <c r="E228" s="1316">
        <v>1320</v>
      </c>
    </row>
    <row r="229" spans="1:5" hidden="1" x14ac:dyDescent="0.25">
      <c r="A229" s="1316" t="s">
        <v>1312</v>
      </c>
      <c r="B229" s="1316" t="s">
        <v>1313</v>
      </c>
      <c r="C229" s="1325" t="s">
        <v>1314</v>
      </c>
      <c r="D229" s="1316">
        <v>4</v>
      </c>
      <c r="E229" s="1316">
        <v>6800</v>
      </c>
    </row>
    <row r="230" spans="1:5" hidden="1" x14ac:dyDescent="0.25">
      <c r="A230" s="1314" t="s">
        <v>1315</v>
      </c>
      <c r="B230" s="1314"/>
      <c r="C230" s="1322"/>
      <c r="D230" s="1314">
        <f>D226+D227+D228+D229</f>
        <v>7.5</v>
      </c>
      <c r="E230" s="1314">
        <f>E226+E227+E228+E229</f>
        <v>11378.3</v>
      </c>
    </row>
    <row r="231" spans="1:5" hidden="1" x14ac:dyDescent="0.25">
      <c r="A231" s="1314" t="s">
        <v>1316</v>
      </c>
      <c r="B231" s="1310"/>
      <c r="C231" s="1321"/>
      <c r="D231" s="1310"/>
      <c r="E231" s="1310"/>
    </row>
    <row r="232" spans="1:5" hidden="1" x14ac:dyDescent="0.25">
      <c r="A232" s="1310" t="s">
        <v>1165</v>
      </c>
      <c r="B232" s="1310" t="s">
        <v>1317</v>
      </c>
      <c r="C232" s="1321" t="s">
        <v>1294</v>
      </c>
      <c r="D232" s="1310">
        <v>0.5</v>
      </c>
      <c r="E232" s="1310">
        <v>618.29999999999995</v>
      </c>
    </row>
    <row r="233" spans="1:5" hidden="1" x14ac:dyDescent="0.25">
      <c r="A233" s="1310" t="s">
        <v>1242</v>
      </c>
      <c r="B233" s="1310" t="s">
        <v>1318</v>
      </c>
      <c r="C233" s="1321" t="s">
        <v>1319</v>
      </c>
      <c r="D233" s="1310">
        <v>31</v>
      </c>
      <c r="E233" s="1310">
        <v>40253.5</v>
      </c>
    </row>
    <row r="234" spans="1:5" hidden="1" x14ac:dyDescent="0.25">
      <c r="A234" s="1310" t="s">
        <v>1320</v>
      </c>
      <c r="B234" s="1310"/>
      <c r="C234" s="1321"/>
      <c r="D234" s="1310"/>
      <c r="E234" s="1310">
        <v>-10050.89</v>
      </c>
    </row>
    <row r="235" spans="1:5" hidden="1" x14ac:dyDescent="0.25">
      <c r="A235" s="1310" t="s">
        <v>1321</v>
      </c>
      <c r="B235" s="1310"/>
      <c r="C235" s="1321"/>
      <c r="D235" s="1310">
        <f>D232+D233+D234</f>
        <v>31.5</v>
      </c>
      <c r="E235" s="1310">
        <f>E232+E233+E234</f>
        <v>30820.910000000003</v>
      </c>
    </row>
    <row r="236" spans="1:5" hidden="1" x14ac:dyDescent="0.25">
      <c r="A236" s="1310" t="s">
        <v>1322</v>
      </c>
      <c r="B236" s="1310"/>
      <c r="C236" s="1321"/>
      <c r="D236" s="1310">
        <f>D224+D230+D235</f>
        <v>940.71</v>
      </c>
      <c r="E236" s="1314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293"/>
      <c r="B239" s="1294" t="s">
        <v>1323</v>
      </c>
      <c r="C239" s="1293"/>
      <c r="D239" s="1295"/>
      <c r="E239" s="1295"/>
    </row>
    <row r="240" spans="1:5" hidden="1" x14ac:dyDescent="0.25">
      <c r="A240" s="1295"/>
      <c r="B240" s="1295"/>
      <c r="C240" s="1295"/>
      <c r="D240" s="1295"/>
      <c r="E240" s="1295"/>
    </row>
    <row r="241" spans="1:5" hidden="1" x14ac:dyDescent="0.25">
      <c r="A241" s="1326" t="s">
        <v>1024</v>
      </c>
      <c r="B241" s="1326" t="s">
        <v>1025</v>
      </c>
      <c r="C241" s="1326" t="s">
        <v>1026</v>
      </c>
      <c r="D241" s="1326" t="s">
        <v>1027</v>
      </c>
      <c r="E241" s="1326" t="s">
        <v>45</v>
      </c>
    </row>
    <row r="242" spans="1:5" hidden="1" x14ac:dyDescent="0.25">
      <c r="A242" s="1327" t="s">
        <v>1028</v>
      </c>
      <c r="B242" s="1327" t="s">
        <v>1029</v>
      </c>
      <c r="C242" s="1327"/>
      <c r="D242" s="1327"/>
      <c r="E242" s="1327" t="s">
        <v>180</v>
      </c>
    </row>
    <row r="243" spans="1:5" hidden="1" x14ac:dyDescent="0.25">
      <c r="A243" s="1308" t="s">
        <v>1324</v>
      </c>
      <c r="B243" s="1294"/>
      <c r="C243" s="1298"/>
      <c r="D243" s="1298"/>
      <c r="E243" s="1298"/>
    </row>
    <row r="244" spans="1:5" hidden="1" x14ac:dyDescent="0.25">
      <c r="A244" s="1298" t="s">
        <v>1325</v>
      </c>
      <c r="B244" s="1299" t="s">
        <v>1326</v>
      </c>
      <c r="C244" s="1299" t="s">
        <v>1327</v>
      </c>
      <c r="D244" s="1299">
        <v>0.83</v>
      </c>
      <c r="E244" s="1299">
        <v>1355.39</v>
      </c>
    </row>
    <row r="245" spans="1:5" hidden="1" x14ac:dyDescent="0.25">
      <c r="A245" s="1309" t="s">
        <v>1328</v>
      </c>
      <c r="B245" s="1328"/>
      <c r="C245" s="1328"/>
      <c r="D245" s="1328"/>
      <c r="E245" s="1328"/>
    </row>
    <row r="246" spans="1:5" hidden="1" x14ac:dyDescent="0.25">
      <c r="A246" s="1311" t="s">
        <v>1242</v>
      </c>
      <c r="B246" s="1312" t="s">
        <v>1329</v>
      </c>
      <c r="C246" s="1329" t="s">
        <v>1330</v>
      </c>
      <c r="D246" s="1329">
        <v>1</v>
      </c>
      <c r="E246" s="1329">
        <v>1500</v>
      </c>
    </row>
    <row r="247" spans="1:5" hidden="1" x14ac:dyDescent="0.25">
      <c r="A247" s="1311" t="s">
        <v>1242</v>
      </c>
      <c r="B247" s="1312" t="s">
        <v>1331</v>
      </c>
      <c r="C247" s="1329" t="s">
        <v>1332</v>
      </c>
      <c r="D247" s="1329">
        <v>32</v>
      </c>
      <c r="E247" s="1329">
        <v>49492.480000000003</v>
      </c>
    </row>
    <row r="248" spans="1:5" hidden="1" x14ac:dyDescent="0.25">
      <c r="A248" s="1309" t="s">
        <v>1333</v>
      </c>
      <c r="B248" s="1330"/>
      <c r="C248" s="1330"/>
      <c r="D248" s="1331">
        <f>D246+D247</f>
        <v>33</v>
      </c>
      <c r="E248" s="1331">
        <f>E246+E247</f>
        <v>50992.480000000003</v>
      </c>
    </row>
    <row r="249" spans="1:5" hidden="1" x14ac:dyDescent="0.25">
      <c r="A249" s="1314" t="s">
        <v>258</v>
      </c>
      <c r="B249" s="1329"/>
      <c r="C249" s="1329"/>
      <c r="D249" s="1329"/>
      <c r="E249" s="1329"/>
    </row>
    <row r="250" spans="1:5" hidden="1" x14ac:dyDescent="0.25">
      <c r="A250" s="1298" t="s">
        <v>1325</v>
      </c>
      <c r="B250" s="1329" t="s">
        <v>1334</v>
      </c>
      <c r="C250" s="1299" t="s">
        <v>1306</v>
      </c>
      <c r="D250" s="1329">
        <v>1</v>
      </c>
      <c r="E250" s="1329">
        <v>1627.12</v>
      </c>
    </row>
    <row r="251" spans="1:5" hidden="1" x14ac:dyDescent="0.25">
      <c r="A251" s="1310" t="s">
        <v>1335</v>
      </c>
      <c r="B251" s="1329" t="s">
        <v>1336</v>
      </c>
      <c r="C251" s="1329" t="s">
        <v>1274</v>
      </c>
      <c r="D251" s="1329">
        <v>64</v>
      </c>
      <c r="E251" s="1329">
        <v>81355.929999999993</v>
      </c>
    </row>
    <row r="252" spans="1:5" hidden="1" x14ac:dyDescent="0.25">
      <c r="A252" s="1309" t="s">
        <v>1337</v>
      </c>
      <c r="B252" s="1331"/>
      <c r="C252" s="1331"/>
      <c r="D252" s="1331">
        <f>D250+D251</f>
        <v>65</v>
      </c>
      <c r="E252" s="1331">
        <f>E250+E251</f>
        <v>82983.049999999988</v>
      </c>
    </row>
    <row r="253" spans="1:5" hidden="1" x14ac:dyDescent="0.25">
      <c r="A253" s="1314" t="s">
        <v>1338</v>
      </c>
      <c r="B253" s="1331"/>
      <c r="C253" s="1331"/>
      <c r="D253" s="1331">
        <f>D244+D248+D252</f>
        <v>98.83</v>
      </c>
      <c r="E253" s="1331">
        <f>E244+E248+E252</f>
        <v>135330.91999999998</v>
      </c>
    </row>
    <row r="254" spans="1:5" hidden="1" x14ac:dyDescent="0.25">
      <c r="A254" s="1314" t="s">
        <v>1339</v>
      </c>
      <c r="B254" s="1329"/>
      <c r="C254" s="1329"/>
      <c r="D254" s="1329"/>
      <c r="E254" s="1329"/>
    </row>
    <row r="255" spans="1:5" ht="24.75" hidden="1" customHeight="1" x14ac:dyDescent="0.25">
      <c r="A255" s="1310" t="s">
        <v>1325</v>
      </c>
      <c r="B255" s="1329" t="s">
        <v>1340</v>
      </c>
      <c r="C255" s="1332" t="s">
        <v>1341</v>
      </c>
      <c r="D255" s="1329">
        <v>0.57999999999999996</v>
      </c>
      <c r="E255" s="1329">
        <v>949.15</v>
      </c>
    </row>
    <row r="256" spans="1:5" hidden="1" x14ac:dyDescent="0.25">
      <c r="A256" s="1314" t="s">
        <v>1342</v>
      </c>
      <c r="B256" s="1329"/>
      <c r="C256" s="1329"/>
      <c r="D256" s="1329"/>
      <c r="E256" s="1329"/>
    </row>
    <row r="257" spans="1:5" ht="23.25" hidden="1" x14ac:dyDescent="0.25">
      <c r="A257" s="1310" t="s">
        <v>1041</v>
      </c>
      <c r="B257" s="1329" t="s">
        <v>1343</v>
      </c>
      <c r="C257" s="1332" t="s">
        <v>1344</v>
      </c>
      <c r="D257" s="1329"/>
      <c r="E257" s="1329">
        <v>625</v>
      </c>
    </row>
    <row r="258" spans="1:5" hidden="1" x14ac:dyDescent="0.25">
      <c r="A258" s="1310" t="s">
        <v>1280</v>
      </c>
      <c r="B258" s="1329" t="s">
        <v>1345</v>
      </c>
      <c r="C258" s="1329" t="s">
        <v>1346</v>
      </c>
      <c r="D258" s="1329">
        <v>1</v>
      </c>
      <c r="E258" s="1329">
        <v>1200</v>
      </c>
    </row>
    <row r="259" spans="1:5" hidden="1" x14ac:dyDescent="0.25">
      <c r="A259" s="1314" t="s">
        <v>1347</v>
      </c>
      <c r="B259" s="1329"/>
      <c r="C259" s="1329"/>
      <c r="D259" s="1331">
        <f>D257+D258</f>
        <v>1</v>
      </c>
      <c r="E259" s="1331">
        <f>E257+E258</f>
        <v>1825</v>
      </c>
    </row>
    <row r="260" spans="1:5" hidden="1" x14ac:dyDescent="0.25">
      <c r="A260" s="1314" t="s">
        <v>261</v>
      </c>
      <c r="B260" s="1329"/>
      <c r="C260" s="1329"/>
      <c r="D260" s="1329"/>
      <c r="E260" s="1329"/>
    </row>
    <row r="261" spans="1:5" hidden="1" x14ac:dyDescent="0.25">
      <c r="A261" s="1310" t="s">
        <v>1348</v>
      </c>
      <c r="B261" s="1329" t="s">
        <v>1349</v>
      </c>
      <c r="C261" s="1329" t="s">
        <v>1299</v>
      </c>
      <c r="D261" s="1329"/>
      <c r="E261" s="1329">
        <v>699.3</v>
      </c>
    </row>
    <row r="262" spans="1:5" hidden="1" x14ac:dyDescent="0.25">
      <c r="A262" s="1310" t="s">
        <v>1348</v>
      </c>
      <c r="B262" s="1329" t="s">
        <v>1350</v>
      </c>
      <c r="C262" s="1329" t="s">
        <v>1299</v>
      </c>
      <c r="D262" s="1329"/>
      <c r="E262" s="1329">
        <v>699.3</v>
      </c>
    </row>
    <row r="263" spans="1:5" hidden="1" x14ac:dyDescent="0.25">
      <c r="A263" s="1310" t="s">
        <v>1242</v>
      </c>
      <c r="B263" s="1329" t="s">
        <v>1351</v>
      </c>
      <c r="C263" s="1329" t="s">
        <v>1352</v>
      </c>
      <c r="D263" s="1329">
        <v>10</v>
      </c>
      <c r="E263" s="1329">
        <v>10000</v>
      </c>
    </row>
    <row r="264" spans="1:5" hidden="1" x14ac:dyDescent="0.25">
      <c r="A264" s="1310" t="s">
        <v>1089</v>
      </c>
      <c r="B264" s="1329" t="s">
        <v>1353</v>
      </c>
      <c r="C264" s="1329" t="s">
        <v>1354</v>
      </c>
      <c r="D264" s="1329">
        <v>0.5</v>
      </c>
      <c r="E264" s="1329">
        <v>813.56</v>
      </c>
    </row>
    <row r="265" spans="1:5" hidden="1" x14ac:dyDescent="0.25">
      <c r="A265" s="1314" t="s">
        <v>1355</v>
      </c>
      <c r="B265" s="1331"/>
      <c r="C265" s="1331"/>
      <c r="D265" s="1331">
        <f>D261+D262+D263+D264</f>
        <v>10.5</v>
      </c>
      <c r="E265" s="1331">
        <f>E261+E264+E262+E263</f>
        <v>12212.16</v>
      </c>
    </row>
    <row r="266" spans="1:5" hidden="1" x14ac:dyDescent="0.25">
      <c r="A266" s="1313" t="s">
        <v>1356</v>
      </c>
      <c r="B266" s="1328"/>
      <c r="C266" s="1328"/>
      <c r="D266" s="1331">
        <f>D253+D255+D259+D265</f>
        <v>110.91</v>
      </c>
      <c r="E266" s="1331">
        <f>E253+E255+E259+E265</f>
        <v>150317.22999999998</v>
      </c>
    </row>
    <row r="267" spans="1:5" hidden="1" x14ac:dyDescent="0.25">
      <c r="A267" s="1333" t="s">
        <v>1357</v>
      </c>
      <c r="B267" s="1329"/>
      <c r="C267" s="1329"/>
      <c r="D267" s="1329"/>
      <c r="E267" s="1329"/>
    </row>
    <row r="268" spans="1:5" hidden="1" x14ac:dyDescent="0.25">
      <c r="A268" s="1310" t="s">
        <v>1358</v>
      </c>
      <c r="B268" s="1329" t="s">
        <v>1359</v>
      </c>
      <c r="C268" s="1329" t="s">
        <v>1261</v>
      </c>
      <c r="D268" s="1329">
        <v>49</v>
      </c>
      <c r="E268" s="1329">
        <v>49000</v>
      </c>
    </row>
    <row r="269" spans="1:5" hidden="1" x14ac:dyDescent="0.25">
      <c r="A269" s="1310" t="s">
        <v>1348</v>
      </c>
      <c r="B269" s="1329" t="s">
        <v>1360</v>
      </c>
      <c r="C269" s="1329" t="s">
        <v>1299</v>
      </c>
      <c r="D269" s="1329"/>
      <c r="E269" s="1329">
        <v>-618.29999999999995</v>
      </c>
    </row>
    <row r="270" spans="1:5" hidden="1" x14ac:dyDescent="0.25">
      <c r="A270" s="1314" t="s">
        <v>1361</v>
      </c>
      <c r="B270" s="1331"/>
      <c r="C270" s="1331"/>
      <c r="D270" s="1331">
        <f>D268+D269</f>
        <v>49</v>
      </c>
      <c r="E270" s="1331">
        <f>E268+E269</f>
        <v>48381.7</v>
      </c>
    </row>
    <row r="271" spans="1:5" hidden="1" x14ac:dyDescent="0.25">
      <c r="A271" s="1314" t="s">
        <v>262</v>
      </c>
      <c r="B271" s="1329"/>
      <c r="C271" s="1329"/>
      <c r="D271" s="1329"/>
      <c r="E271" s="1329"/>
    </row>
    <row r="272" spans="1:5" ht="23.25" hidden="1" x14ac:dyDescent="0.25">
      <c r="A272" s="1310" t="s">
        <v>1220</v>
      </c>
      <c r="B272" s="1329" t="s">
        <v>1362</v>
      </c>
      <c r="C272" s="1332" t="s">
        <v>1363</v>
      </c>
      <c r="D272" s="1329">
        <v>3</v>
      </c>
      <c r="E272" s="1329">
        <v>8400</v>
      </c>
    </row>
    <row r="273" spans="1:5" ht="23.25" hidden="1" x14ac:dyDescent="0.25">
      <c r="A273" s="1310" t="s">
        <v>1364</v>
      </c>
      <c r="B273" s="1329" t="s">
        <v>1365</v>
      </c>
      <c r="C273" s="1332" t="s">
        <v>1366</v>
      </c>
      <c r="D273" s="1329">
        <v>1</v>
      </c>
      <c r="E273" s="1329">
        <v>1500</v>
      </c>
    </row>
    <row r="274" spans="1:5" hidden="1" x14ac:dyDescent="0.25">
      <c r="A274" s="1310" t="s">
        <v>1367</v>
      </c>
      <c r="B274" s="1329" t="s">
        <v>1368</v>
      </c>
      <c r="C274" s="1329" t="s">
        <v>1261</v>
      </c>
      <c r="D274" s="1329">
        <v>19</v>
      </c>
      <c r="E274" s="1329">
        <v>24152.54</v>
      </c>
    </row>
    <row r="275" spans="1:5" hidden="1" x14ac:dyDescent="0.25">
      <c r="A275" s="1314" t="s">
        <v>1224</v>
      </c>
      <c r="B275" s="1329"/>
      <c r="C275" s="1329"/>
      <c r="D275" s="1331">
        <f>D272+D273+D274</f>
        <v>23</v>
      </c>
      <c r="E275" s="1331">
        <f>E272+E273+E274</f>
        <v>34052.54</v>
      </c>
    </row>
    <row r="276" spans="1:5" hidden="1" x14ac:dyDescent="0.25">
      <c r="A276" s="1314" t="s">
        <v>1225</v>
      </c>
      <c r="B276" s="1329"/>
      <c r="C276" s="1329"/>
      <c r="D276" s="1329"/>
      <c r="E276" s="1329"/>
    </row>
    <row r="277" spans="1:5" hidden="1" x14ac:dyDescent="0.25">
      <c r="A277" s="1310" t="s">
        <v>1369</v>
      </c>
      <c r="B277" s="1329" t="s">
        <v>1370</v>
      </c>
      <c r="C277" s="1329" t="s">
        <v>1371</v>
      </c>
      <c r="D277" s="1329">
        <v>2</v>
      </c>
      <c r="E277" s="1329">
        <v>2881.36</v>
      </c>
    </row>
    <row r="278" spans="1:5" hidden="1" x14ac:dyDescent="0.25">
      <c r="A278" s="1314" t="s">
        <v>1372</v>
      </c>
      <c r="B278" s="1329"/>
      <c r="C278" s="1329"/>
      <c r="D278" s="1331">
        <f>SUM(D277)</f>
        <v>2</v>
      </c>
      <c r="E278" s="1331">
        <f>SUM(E277)</f>
        <v>2881.36</v>
      </c>
    </row>
    <row r="279" spans="1:5" hidden="1" x14ac:dyDescent="0.25">
      <c r="A279" s="1314" t="s">
        <v>1373</v>
      </c>
      <c r="B279" s="1329"/>
      <c r="C279" s="1329"/>
      <c r="D279" s="1331">
        <f>D266+D270+D275+D278</f>
        <v>184.91</v>
      </c>
      <c r="E279" s="1331">
        <f>E266+E270+E275+E278</f>
        <v>235632.83</v>
      </c>
    </row>
    <row r="280" spans="1:5" hidden="1" x14ac:dyDescent="0.25">
      <c r="A280" s="1314" t="s">
        <v>1374</v>
      </c>
      <c r="B280" s="1329"/>
      <c r="C280" s="1329"/>
      <c r="D280" s="1329"/>
      <c r="E280" s="1329"/>
    </row>
    <row r="281" spans="1:5" hidden="1" x14ac:dyDescent="0.25">
      <c r="A281" s="1314" t="s">
        <v>264</v>
      </c>
      <c r="B281" s="1329" t="s">
        <v>1375</v>
      </c>
      <c r="C281" s="1329" t="s">
        <v>1376</v>
      </c>
      <c r="D281" s="1329"/>
      <c r="E281" s="1329">
        <v>699.3</v>
      </c>
    </row>
    <row r="282" spans="1:5" hidden="1" x14ac:dyDescent="0.25">
      <c r="A282" s="1314" t="s">
        <v>1316</v>
      </c>
      <c r="B282" s="1329"/>
      <c r="C282" s="1329"/>
      <c r="D282" s="1329"/>
      <c r="E282" s="1329"/>
    </row>
    <row r="283" spans="1:5" hidden="1" x14ac:dyDescent="0.25">
      <c r="A283" s="1310" t="s">
        <v>1242</v>
      </c>
      <c r="B283" s="1329" t="s">
        <v>1377</v>
      </c>
      <c r="C283" s="1329" t="s">
        <v>1378</v>
      </c>
      <c r="D283" s="1329">
        <v>2</v>
      </c>
      <c r="E283" s="1329">
        <v>2000</v>
      </c>
    </row>
    <row r="284" spans="1:5" hidden="1" x14ac:dyDescent="0.25">
      <c r="A284" s="1310" t="s">
        <v>1041</v>
      </c>
      <c r="B284" s="1329" t="s">
        <v>1379</v>
      </c>
      <c r="C284" s="1329" t="s">
        <v>1380</v>
      </c>
      <c r="D284" s="1329"/>
      <c r="E284" s="1329">
        <v>279.66000000000003</v>
      </c>
    </row>
    <row r="285" spans="1:5" hidden="1" x14ac:dyDescent="0.25">
      <c r="A285" s="1310" t="s">
        <v>1089</v>
      </c>
      <c r="B285" s="1329" t="s">
        <v>1381</v>
      </c>
      <c r="C285" s="1329" t="s">
        <v>1382</v>
      </c>
      <c r="D285" s="1329">
        <v>3</v>
      </c>
      <c r="E285" s="1329">
        <v>4881.3599999999997</v>
      </c>
    </row>
    <row r="286" spans="1:5" hidden="1" x14ac:dyDescent="0.25">
      <c r="A286" s="1310" t="s">
        <v>1383</v>
      </c>
      <c r="B286" s="1329" t="s">
        <v>1384</v>
      </c>
      <c r="C286" s="1329" t="s">
        <v>1385</v>
      </c>
      <c r="D286" s="1329">
        <v>7</v>
      </c>
      <c r="E286" s="1329">
        <v>14830.51</v>
      </c>
    </row>
    <row r="287" spans="1:5" hidden="1" x14ac:dyDescent="0.25">
      <c r="A287" s="1310" t="s">
        <v>1383</v>
      </c>
      <c r="B287" s="1329" t="s">
        <v>1384</v>
      </c>
      <c r="C287" s="1329" t="s">
        <v>1386</v>
      </c>
      <c r="D287" s="1329">
        <v>1</v>
      </c>
      <c r="E287" s="1329">
        <v>2400</v>
      </c>
    </row>
    <row r="288" spans="1:5" hidden="1" x14ac:dyDescent="0.25">
      <c r="A288" s="1314" t="s">
        <v>1387</v>
      </c>
      <c r="B288" s="1331"/>
      <c r="C288" s="1331"/>
      <c r="D288" s="1331">
        <f>D283+D284+D285+D286+D287</f>
        <v>13</v>
      </c>
      <c r="E288" s="1331">
        <f>E283+E284+E285+E286+E287</f>
        <v>24391.53</v>
      </c>
    </row>
    <row r="289" spans="1:5" hidden="1" x14ac:dyDescent="0.25">
      <c r="A289" s="1314" t="s">
        <v>1388</v>
      </c>
      <c r="B289" s="1331"/>
      <c r="C289" s="1331"/>
      <c r="D289" s="1331">
        <f>D244+D248+D252+D255+D259+D265+D270+D275+D278+D281+D288</f>
        <v>197.91</v>
      </c>
      <c r="E289" s="1331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261" t="s">
        <v>1389</v>
      </c>
      <c r="D291" s="1261" t="s">
        <v>1390</v>
      </c>
    </row>
    <row r="292" spans="1:5" x14ac:dyDescent="0.25">
      <c r="A292" s="6200" t="s">
        <v>1448</v>
      </c>
      <c r="B292" s="6201"/>
      <c r="C292" s="6201"/>
      <c r="D292" s="6201"/>
      <c r="E292" s="6201"/>
    </row>
    <row r="293" spans="1:5" x14ac:dyDescent="0.25">
      <c r="A293" s="1296" t="s">
        <v>1024</v>
      </c>
      <c r="B293" s="1326" t="s">
        <v>1025</v>
      </c>
      <c r="C293" s="1326" t="s">
        <v>1026</v>
      </c>
      <c r="D293" s="1326" t="s">
        <v>1027</v>
      </c>
      <c r="E293" s="1326" t="s">
        <v>45</v>
      </c>
    </row>
    <row r="294" spans="1:5" x14ac:dyDescent="0.25">
      <c r="A294" s="1297" t="s">
        <v>1028</v>
      </c>
      <c r="B294" s="1327" t="s">
        <v>1029</v>
      </c>
      <c r="C294" s="1327"/>
      <c r="D294" s="1327"/>
      <c r="E294" s="1327" t="s">
        <v>180</v>
      </c>
    </row>
    <row r="295" spans="1:5" x14ac:dyDescent="0.25">
      <c r="A295" s="1308" t="s">
        <v>1324</v>
      </c>
      <c r="B295" s="1301"/>
      <c r="C295" s="1299"/>
      <c r="D295" s="1299"/>
      <c r="E295" s="1299"/>
    </row>
    <row r="296" spans="1:5" x14ac:dyDescent="0.25">
      <c r="A296" s="1310" t="s">
        <v>1391</v>
      </c>
      <c r="B296" s="1329" t="s">
        <v>1392</v>
      </c>
      <c r="C296" s="1321" t="s">
        <v>1393</v>
      </c>
      <c r="D296" s="1329">
        <v>2.5</v>
      </c>
      <c r="E296" s="1329">
        <v>4067.8</v>
      </c>
    </row>
    <row r="297" spans="1:5" x14ac:dyDescent="0.25">
      <c r="A297" s="1314" t="s">
        <v>257</v>
      </c>
      <c r="B297" s="1329"/>
      <c r="C297" s="1321"/>
      <c r="D297" s="1329"/>
      <c r="E297" s="1329"/>
    </row>
    <row r="298" spans="1:5" x14ac:dyDescent="0.25">
      <c r="A298" s="1310" t="s">
        <v>1391</v>
      </c>
      <c r="B298" s="1329" t="s">
        <v>1394</v>
      </c>
      <c r="C298" s="1321" t="s">
        <v>1395</v>
      </c>
      <c r="D298" s="1329">
        <v>0.5</v>
      </c>
      <c r="E298" s="1329">
        <v>622.88</v>
      </c>
    </row>
    <row r="299" spans="1:5" x14ac:dyDescent="0.25">
      <c r="A299" s="1314" t="s">
        <v>258</v>
      </c>
      <c r="B299" s="1329"/>
      <c r="C299" s="1321"/>
      <c r="D299" s="1329"/>
      <c r="E299" s="1329"/>
    </row>
    <row r="300" spans="1:5" x14ac:dyDescent="0.25">
      <c r="A300" s="1314" t="s">
        <v>259</v>
      </c>
      <c r="B300" s="1329"/>
      <c r="C300" s="1321"/>
      <c r="D300" s="1329"/>
      <c r="E300" s="1329"/>
    </row>
    <row r="301" spans="1:5" x14ac:dyDescent="0.25">
      <c r="A301" s="1310" t="s">
        <v>1396</v>
      </c>
      <c r="B301" s="1329" t="s">
        <v>1397</v>
      </c>
      <c r="C301" s="1321" t="s">
        <v>1398</v>
      </c>
      <c r="D301" s="1329">
        <v>9</v>
      </c>
      <c r="E301" s="1329">
        <v>9000</v>
      </c>
    </row>
    <row r="302" spans="1:5" x14ac:dyDescent="0.25">
      <c r="A302" s="1310" t="s">
        <v>1165</v>
      </c>
      <c r="B302" s="1329" t="s">
        <v>1399</v>
      </c>
      <c r="C302" s="1321" t="s">
        <v>1400</v>
      </c>
      <c r="D302" s="1329"/>
      <c r="E302" s="1329">
        <v>792.5</v>
      </c>
    </row>
    <row r="303" spans="1:5" x14ac:dyDescent="0.25">
      <c r="A303" s="1314" t="s">
        <v>260</v>
      </c>
      <c r="B303" s="1329"/>
      <c r="C303" s="1321"/>
      <c r="D303" s="1329"/>
      <c r="E303" s="1329"/>
    </row>
    <row r="304" spans="1:5" x14ac:dyDescent="0.25">
      <c r="A304" s="1310" t="s">
        <v>1401</v>
      </c>
      <c r="B304" s="1329" t="s">
        <v>1402</v>
      </c>
      <c r="C304" s="1321" t="s">
        <v>1403</v>
      </c>
      <c r="D304" s="1329"/>
      <c r="E304" s="1329">
        <v>9000</v>
      </c>
    </row>
    <row r="305" spans="1:5" x14ac:dyDescent="0.25">
      <c r="A305" s="1310" t="s">
        <v>1401</v>
      </c>
      <c r="B305" s="1329" t="s">
        <v>1404</v>
      </c>
      <c r="C305" s="1321" t="s">
        <v>1403</v>
      </c>
      <c r="D305" s="1329"/>
      <c r="E305" s="1329">
        <v>9000</v>
      </c>
    </row>
    <row r="306" spans="1:5" x14ac:dyDescent="0.25">
      <c r="A306" s="1314" t="s">
        <v>261</v>
      </c>
      <c r="B306" s="1329"/>
      <c r="C306" s="1321"/>
      <c r="D306" s="1329"/>
      <c r="E306" s="1329"/>
    </row>
    <row r="307" spans="1:5" x14ac:dyDescent="0.25">
      <c r="A307" s="1310" t="s">
        <v>1396</v>
      </c>
      <c r="B307" s="1329" t="s">
        <v>1405</v>
      </c>
      <c r="C307" s="1321" t="s">
        <v>1406</v>
      </c>
      <c r="D307" s="1329">
        <v>5</v>
      </c>
      <c r="E307" s="1329">
        <v>6000</v>
      </c>
    </row>
    <row r="308" spans="1:5" x14ac:dyDescent="0.25">
      <c r="A308" s="1310" t="s">
        <v>1407</v>
      </c>
      <c r="B308" s="1329" t="s">
        <v>1408</v>
      </c>
      <c r="C308" s="1321" t="s">
        <v>1409</v>
      </c>
      <c r="D308" s="1329">
        <v>3</v>
      </c>
      <c r="E308" s="1329">
        <v>7200</v>
      </c>
    </row>
    <row r="309" spans="1:5" x14ac:dyDescent="0.25">
      <c r="A309" s="1310" t="s">
        <v>1407</v>
      </c>
      <c r="B309" s="1329" t="s">
        <v>1408</v>
      </c>
      <c r="C309" s="1321" t="s">
        <v>1410</v>
      </c>
      <c r="D309" s="1329">
        <v>6</v>
      </c>
      <c r="E309" s="1329">
        <v>12711.86</v>
      </c>
    </row>
    <row r="310" spans="1:5" ht="23.25" x14ac:dyDescent="0.25">
      <c r="A310" s="1310" t="s">
        <v>1136</v>
      </c>
      <c r="B310" s="1329" t="s">
        <v>1411</v>
      </c>
      <c r="C310" s="1334" t="s">
        <v>1412</v>
      </c>
      <c r="D310" s="1329">
        <v>1</v>
      </c>
      <c r="E310" s="1329">
        <v>1391.81</v>
      </c>
    </row>
    <row r="311" spans="1:5" x14ac:dyDescent="0.25">
      <c r="A311" s="1314" t="s">
        <v>1413</v>
      </c>
      <c r="B311" s="1331"/>
      <c r="C311" s="1331"/>
      <c r="D311" s="1331">
        <f>D296+D298+D301+D304+D305+D307+D308+D309+D310+D302</f>
        <v>27</v>
      </c>
      <c r="E311" s="1331">
        <f>E296+E298+E301+E304+E305+E307+E308+E309+E310+E302</f>
        <v>59786.85</v>
      </c>
    </row>
    <row r="312" spans="1:5" x14ac:dyDescent="0.25">
      <c r="A312" s="1314" t="s">
        <v>1287</v>
      </c>
      <c r="B312" s="1310"/>
      <c r="C312" s="1310"/>
      <c r="D312" s="1310"/>
      <c r="E312" s="1329"/>
    </row>
    <row r="313" spans="1:5" x14ac:dyDescent="0.25">
      <c r="A313" s="1310" t="s">
        <v>1414</v>
      </c>
      <c r="B313" s="1310" t="s">
        <v>1415</v>
      </c>
      <c r="C313" s="1310" t="s">
        <v>1416</v>
      </c>
      <c r="D313" s="1310"/>
      <c r="E313" s="1329">
        <v>1697.03</v>
      </c>
    </row>
    <row r="314" spans="1:5" x14ac:dyDescent="0.25">
      <c r="A314" s="1314" t="s">
        <v>262</v>
      </c>
      <c r="B314" s="1310"/>
      <c r="C314" s="1310"/>
      <c r="D314" s="1310"/>
      <c r="E314" s="1329"/>
    </row>
    <row r="315" spans="1:5" ht="23.25" x14ac:dyDescent="0.25">
      <c r="A315" s="1310" t="s">
        <v>1417</v>
      </c>
      <c r="B315" s="1310" t="s">
        <v>1418</v>
      </c>
      <c r="C315" s="1335" t="s">
        <v>1419</v>
      </c>
      <c r="D315" s="1310">
        <v>1</v>
      </c>
      <c r="E315" s="1329">
        <v>4237.29</v>
      </c>
    </row>
    <row r="316" spans="1:5" ht="23.25" x14ac:dyDescent="0.25">
      <c r="A316" s="1335" t="s">
        <v>1420</v>
      </c>
      <c r="B316" s="1310" t="s">
        <v>1421</v>
      </c>
      <c r="C316" s="1310" t="s">
        <v>1422</v>
      </c>
      <c r="D316" s="1310">
        <v>2</v>
      </c>
      <c r="E316" s="1329">
        <v>3000</v>
      </c>
    </row>
    <row r="317" spans="1:5" ht="23.25" x14ac:dyDescent="0.25">
      <c r="A317" s="1335" t="s">
        <v>1420</v>
      </c>
      <c r="B317" s="1310" t="s">
        <v>1423</v>
      </c>
      <c r="C317" s="1310" t="s">
        <v>1424</v>
      </c>
      <c r="D317" s="1310">
        <v>3.5</v>
      </c>
      <c r="E317" s="1329">
        <v>5250</v>
      </c>
    </row>
    <row r="318" spans="1:5" x14ac:dyDescent="0.25">
      <c r="A318" s="1313" t="s">
        <v>1425</v>
      </c>
      <c r="B318" s="1310"/>
      <c r="C318" s="1310"/>
      <c r="D318" s="1310"/>
      <c r="E318" s="1331">
        <f>E315+E316+E317</f>
        <v>12487.29</v>
      </c>
    </row>
    <row r="319" spans="1:5" x14ac:dyDescent="0.25">
      <c r="A319" s="1316" t="s">
        <v>1426</v>
      </c>
      <c r="B319" s="1310" t="s">
        <v>1427</v>
      </c>
      <c r="C319" s="1310" t="s">
        <v>1428</v>
      </c>
      <c r="D319" s="1310">
        <v>40</v>
      </c>
      <c r="E319" s="1329">
        <v>40680</v>
      </c>
    </row>
    <row r="320" spans="1:5" x14ac:dyDescent="0.25">
      <c r="A320" s="1316" t="s">
        <v>1426</v>
      </c>
      <c r="B320" s="1310" t="s">
        <v>1427</v>
      </c>
      <c r="C320" s="1310" t="s">
        <v>1429</v>
      </c>
      <c r="D320" s="1310">
        <v>40</v>
      </c>
      <c r="E320" s="1329">
        <v>40680</v>
      </c>
    </row>
    <row r="321" spans="1:5" x14ac:dyDescent="0.25">
      <c r="A321" s="1310" t="s">
        <v>1430</v>
      </c>
      <c r="B321" s="1310" t="s">
        <v>1431</v>
      </c>
      <c r="C321" s="1310" t="s">
        <v>1432</v>
      </c>
      <c r="D321" s="1310">
        <v>2</v>
      </c>
      <c r="E321" s="1329">
        <v>2400</v>
      </c>
    </row>
    <row r="322" spans="1:5" ht="23.25" x14ac:dyDescent="0.25">
      <c r="A322" s="1335" t="s">
        <v>1433</v>
      </c>
      <c r="B322" s="1310" t="s">
        <v>1434</v>
      </c>
      <c r="C322" s="1310" t="s">
        <v>1435</v>
      </c>
      <c r="D322" s="1310">
        <v>1</v>
      </c>
      <c r="E322" s="1329">
        <v>1500</v>
      </c>
    </row>
    <row r="323" spans="1:5" x14ac:dyDescent="0.25">
      <c r="A323" s="1316" t="s">
        <v>1426</v>
      </c>
      <c r="B323" s="1310" t="s">
        <v>1436</v>
      </c>
      <c r="C323" s="1310" t="s">
        <v>1428</v>
      </c>
      <c r="D323" s="1310">
        <v>40</v>
      </c>
      <c r="E323" s="1329">
        <v>40680</v>
      </c>
    </row>
    <row r="324" spans="1:5" x14ac:dyDescent="0.25">
      <c r="A324" s="1316" t="s">
        <v>1426</v>
      </c>
      <c r="B324" s="1310" t="s">
        <v>1436</v>
      </c>
      <c r="C324" s="1310" t="s">
        <v>1429</v>
      </c>
      <c r="D324" s="1310">
        <v>40</v>
      </c>
      <c r="E324" s="1329">
        <v>40680</v>
      </c>
    </row>
    <row r="325" spans="1:5" x14ac:dyDescent="0.25">
      <c r="A325" s="1310" t="s">
        <v>1437</v>
      </c>
      <c r="B325" s="1310" t="s">
        <v>1438</v>
      </c>
      <c r="C325" s="1310" t="s">
        <v>1439</v>
      </c>
      <c r="D325" s="1310">
        <v>2</v>
      </c>
      <c r="E325" s="1329">
        <v>3000</v>
      </c>
    </row>
    <row r="326" spans="1:5" x14ac:dyDescent="0.25">
      <c r="A326" s="1310" t="s">
        <v>1136</v>
      </c>
      <c r="B326" s="1310" t="s">
        <v>1440</v>
      </c>
      <c r="C326" s="1310" t="s">
        <v>1441</v>
      </c>
      <c r="D326" s="1310">
        <v>3</v>
      </c>
      <c r="E326" s="1329">
        <v>4034.16</v>
      </c>
    </row>
    <row r="327" spans="1:5" ht="23.25" x14ac:dyDescent="0.25">
      <c r="A327" s="1335" t="s">
        <v>1433</v>
      </c>
      <c r="B327" s="1310" t="s">
        <v>1442</v>
      </c>
      <c r="C327" s="1310" t="s">
        <v>1443</v>
      </c>
      <c r="D327" s="1310">
        <v>2</v>
      </c>
      <c r="E327" s="1329">
        <v>3000</v>
      </c>
    </row>
    <row r="328" spans="1:5" x14ac:dyDescent="0.25">
      <c r="A328" s="1314" t="s">
        <v>1425</v>
      </c>
      <c r="B328" s="1314"/>
      <c r="C328" s="1314"/>
      <c r="D328" s="1314">
        <f>SUM(D319:D327)</f>
        <v>170</v>
      </c>
      <c r="E328" s="1331">
        <f>SUM(E319:E327)</f>
        <v>176654.16</v>
      </c>
    </row>
    <row r="329" spans="1:5" x14ac:dyDescent="0.25">
      <c r="A329" s="1314" t="s">
        <v>1444</v>
      </c>
      <c r="B329" s="1314"/>
      <c r="C329" s="1314"/>
      <c r="D329" s="1314">
        <f>D311+D313+D318+D328</f>
        <v>197</v>
      </c>
      <c r="E329" s="1331">
        <f>E311+E313+E318+E328</f>
        <v>250625.33000000002</v>
      </c>
    </row>
    <row r="330" spans="1:5" x14ac:dyDescent="0.25">
      <c r="A330" s="1310" t="s">
        <v>46</v>
      </c>
      <c r="B330" s="6202"/>
      <c r="C330" s="6203"/>
      <c r="D330" s="6203"/>
      <c r="E330" s="1310">
        <f>SUM(E296+E298+E301+E302+E304+E305+E307+E308+E309+E310+E313+E315+E316+E325+E326)</f>
        <v>75755.33</v>
      </c>
    </row>
    <row r="331" spans="1:5" x14ac:dyDescent="0.25">
      <c r="A331" s="1310" t="s">
        <v>47</v>
      </c>
      <c r="B331" s="6203"/>
      <c r="C331" s="6203"/>
      <c r="D331" s="6203"/>
      <c r="E331" s="1336">
        <f>SUM(E317+E319+E320+E321+E322+E323+E324+E327)</f>
        <v>174870</v>
      </c>
    </row>
    <row r="332" spans="1:5" x14ac:dyDescent="0.25">
      <c r="A332" s="1314" t="s">
        <v>1445</v>
      </c>
      <c r="B332" s="6203"/>
      <c r="C332" s="6203"/>
      <c r="D332" s="6203"/>
      <c r="E332" s="1337">
        <f>SUM(E329/9*12)</f>
        <v>334167.10666666669</v>
      </c>
    </row>
    <row r="333" spans="1:5" x14ac:dyDescent="0.25">
      <c r="A333" s="1313" t="s">
        <v>46</v>
      </c>
      <c r="B333" s="6203"/>
      <c r="C333" s="6203"/>
      <c r="D333" s="6203"/>
      <c r="E333" s="1336">
        <f>SUM(E330/E329)*E332</f>
        <v>101007.10666666666</v>
      </c>
    </row>
    <row r="334" spans="1:5" x14ac:dyDescent="0.25">
      <c r="A334" s="1313" t="s">
        <v>47</v>
      </c>
      <c r="B334" s="6203"/>
      <c r="C334" s="6203"/>
      <c r="D334" s="6203"/>
      <c r="E334" s="1338">
        <f>SUM(E331/E329)*E332</f>
        <v>233160</v>
      </c>
    </row>
    <row r="335" spans="1:5" x14ac:dyDescent="0.25">
      <c r="A335" s="6204" t="s">
        <v>1447</v>
      </c>
      <c r="B335" s="6205"/>
      <c r="C335" s="6205"/>
      <c r="D335" s="6205"/>
      <c r="E335" s="6205"/>
    </row>
    <row r="336" spans="1:5" x14ac:dyDescent="0.25">
      <c r="A336" s="1313" t="s">
        <v>1446</v>
      </c>
      <c r="B336" s="6203"/>
      <c r="C336" s="6203"/>
      <c r="D336" s="6203"/>
      <c r="E336" s="1338">
        <v>0</v>
      </c>
    </row>
    <row r="337" spans="1:5" x14ac:dyDescent="0.25">
      <c r="A337" s="1313" t="s">
        <v>46</v>
      </c>
      <c r="B337" s="6203"/>
      <c r="C337" s="6203"/>
      <c r="D337" s="6203"/>
      <c r="E337" s="1336">
        <v>0</v>
      </c>
    </row>
    <row r="338" spans="1:5" x14ac:dyDescent="0.25">
      <c r="A338" s="1313" t="s">
        <v>47</v>
      </c>
      <c r="B338" s="6203"/>
      <c r="C338" s="6203"/>
      <c r="D338" s="6203"/>
      <c r="E338" s="1336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1500</v>
      </c>
    </row>
    <row r="2" spans="1:11" ht="18.75" x14ac:dyDescent="0.3">
      <c r="A2" s="6251" t="s">
        <v>649</v>
      </c>
      <c r="B2" s="6252"/>
      <c r="C2" s="6252"/>
      <c r="D2" s="6252"/>
      <c r="E2" s="6252"/>
      <c r="F2" s="6252"/>
      <c r="G2" s="6252"/>
      <c r="H2" s="6252"/>
      <c r="I2" s="6252"/>
      <c r="J2" s="6252"/>
      <c r="K2" s="6257"/>
    </row>
    <row r="3" spans="1:11" ht="13.5" x14ac:dyDescent="0.25">
      <c r="A3" s="6253" t="s">
        <v>650</v>
      </c>
      <c r="B3" s="6124"/>
      <c r="C3" s="6124"/>
      <c r="D3" s="6124"/>
      <c r="E3" s="6124"/>
      <c r="F3" s="6124"/>
      <c r="G3" s="6124"/>
      <c r="H3" s="6124"/>
      <c r="I3" s="6124"/>
      <c r="J3" s="6124"/>
      <c r="K3" s="6125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6254" t="s">
        <v>651</v>
      </c>
      <c r="B5" s="6124"/>
      <c r="C5" s="6124"/>
      <c r="D5" s="6124"/>
      <c r="E5" s="6124"/>
      <c r="F5" s="6124"/>
      <c r="G5" s="6124"/>
      <c r="H5" s="6124"/>
      <c r="I5" s="6124"/>
      <c r="J5" s="6124"/>
      <c r="K5" s="6125"/>
    </row>
    <row r="6" spans="1:11" ht="18" x14ac:dyDescent="0.25">
      <c r="A6" s="618" t="s">
        <v>652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6242" t="s">
        <v>475</v>
      </c>
      <c r="B7" s="6124"/>
      <c r="C7" s="6124"/>
      <c r="D7" s="6124"/>
      <c r="E7" s="6124"/>
      <c r="F7" s="6124"/>
      <c r="G7" s="6124"/>
      <c r="H7" s="6124"/>
      <c r="I7" s="6124"/>
      <c r="J7" s="6124"/>
      <c r="K7" s="6125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6258" t="s">
        <v>653</v>
      </c>
      <c r="B9" s="6124"/>
      <c r="C9" s="6124"/>
      <c r="D9" s="6124"/>
      <c r="E9" s="6124"/>
      <c r="F9" s="6124"/>
      <c r="G9" s="6124"/>
      <c r="H9" s="6124"/>
      <c r="I9" s="6124"/>
      <c r="J9" s="6124"/>
      <c r="K9" s="6125"/>
    </row>
    <row r="10" spans="1:11" ht="15" customHeight="1" x14ac:dyDescent="0.2">
      <c r="A10" s="6239" t="s">
        <v>654</v>
      </c>
      <c r="B10" s="6124"/>
      <c r="C10" s="6124"/>
      <c r="D10" s="620" t="s">
        <v>655</v>
      </c>
      <c r="E10" s="955"/>
      <c r="F10" s="955"/>
      <c r="G10" s="955"/>
      <c r="H10" s="955"/>
      <c r="I10" s="955"/>
      <c r="J10" s="955"/>
      <c r="K10" s="956"/>
    </row>
    <row r="11" spans="1:11" ht="15" customHeight="1" x14ac:dyDescent="0.2">
      <c r="A11" s="6248" t="s">
        <v>656</v>
      </c>
      <c r="B11" s="6124"/>
      <c r="C11" s="6124"/>
      <c r="D11" s="6124"/>
      <c r="E11" s="6124"/>
      <c r="F11" s="6124"/>
      <c r="G11" s="6249" t="s">
        <v>657</v>
      </c>
      <c r="H11" s="6250" t="s">
        <v>658</v>
      </c>
      <c r="I11" s="279"/>
      <c r="J11" s="279"/>
      <c r="K11" s="617"/>
    </row>
    <row r="12" spans="1:11" ht="5.25" customHeight="1" x14ac:dyDescent="0.2">
      <c r="A12" s="6248"/>
      <c r="B12" s="6124"/>
      <c r="C12" s="6124"/>
      <c r="D12" s="6124"/>
      <c r="E12" s="6124"/>
      <c r="F12" s="6124"/>
      <c r="G12" s="6249"/>
      <c r="H12" s="6250"/>
      <c r="I12" s="279"/>
      <c r="J12" s="279"/>
      <c r="K12" s="617"/>
    </row>
    <row r="13" spans="1:11" ht="11.25" customHeight="1" x14ac:dyDescent="0.2">
      <c r="A13" s="6239" t="s">
        <v>659</v>
      </c>
      <c r="B13" s="6124"/>
      <c r="C13" s="6124"/>
      <c r="D13" s="6124"/>
      <c r="E13" s="6124"/>
      <c r="F13" s="6124"/>
      <c r="G13" s="6240">
        <v>584</v>
      </c>
      <c r="H13" s="6241" t="s">
        <v>660</v>
      </c>
      <c r="I13" s="279"/>
      <c r="J13" s="279"/>
      <c r="K13" s="617"/>
    </row>
    <row r="14" spans="1:11" ht="6.75" customHeight="1" x14ac:dyDescent="0.2">
      <c r="A14" s="6239"/>
      <c r="B14" s="6124"/>
      <c r="C14" s="6124"/>
      <c r="D14" s="6124"/>
      <c r="E14" s="6124"/>
      <c r="F14" s="6124"/>
      <c r="G14" s="6240"/>
      <c r="H14" s="6241"/>
      <c r="I14" s="279"/>
      <c r="J14" s="279"/>
      <c r="K14" s="617"/>
    </row>
    <row r="15" spans="1:11" ht="15.75" customHeight="1" x14ac:dyDescent="0.2">
      <c r="A15" s="6239" t="s">
        <v>661</v>
      </c>
      <c r="B15" s="6124"/>
      <c r="C15" s="6124"/>
      <c r="D15" s="6124"/>
      <c r="E15" s="6124"/>
      <c r="F15" s="6124"/>
      <c r="G15" s="6240" t="s">
        <v>662</v>
      </c>
      <c r="H15" s="6241" t="s">
        <v>658</v>
      </c>
      <c r="I15" s="279"/>
      <c r="J15" s="279"/>
      <c r="K15" s="617"/>
    </row>
    <row r="16" spans="1:11" ht="13.5" thickBot="1" x14ac:dyDescent="0.25">
      <c r="A16" s="6239"/>
      <c r="B16" s="6124"/>
      <c r="C16" s="6124"/>
      <c r="D16" s="6124"/>
      <c r="E16" s="6124"/>
      <c r="F16" s="6124"/>
      <c r="G16" s="6240"/>
      <c r="H16" s="6241"/>
      <c r="I16" s="279"/>
      <c r="J16" s="279"/>
      <c r="K16" s="617"/>
    </row>
    <row r="17" spans="1:11" ht="23.25" customHeight="1" thickBot="1" x14ac:dyDescent="0.25">
      <c r="A17" s="951" t="s">
        <v>165</v>
      </c>
      <c r="B17" s="951" t="s">
        <v>437</v>
      </c>
      <c r="C17" s="951" t="s">
        <v>356</v>
      </c>
      <c r="D17" s="337"/>
      <c r="E17" s="6229" t="s">
        <v>438</v>
      </c>
      <c r="F17" s="6230"/>
      <c r="G17" s="6229" t="s">
        <v>439</v>
      </c>
      <c r="H17" s="6231"/>
      <c r="I17" s="6230"/>
      <c r="J17" s="6232" t="s">
        <v>440</v>
      </c>
      <c r="K17" s="6233"/>
    </row>
    <row r="18" spans="1:11" ht="23.25" customHeight="1" thickBot="1" x14ac:dyDescent="0.25">
      <c r="A18" s="340" t="s">
        <v>441</v>
      </c>
      <c r="B18" s="340" t="s">
        <v>442</v>
      </c>
      <c r="C18" s="340" t="s">
        <v>443</v>
      </c>
      <c r="D18" s="341" t="s">
        <v>444</v>
      </c>
      <c r="E18" s="950" t="s">
        <v>445</v>
      </c>
      <c r="F18" s="953" t="s">
        <v>446</v>
      </c>
      <c r="G18" s="340" t="s">
        <v>445</v>
      </c>
      <c r="H18" s="341" t="s">
        <v>447</v>
      </c>
      <c r="I18" s="343" t="s">
        <v>446</v>
      </c>
      <c r="J18" s="6234" t="s">
        <v>448</v>
      </c>
      <c r="K18" s="6235"/>
    </row>
    <row r="19" spans="1:11" ht="13.5" thickBot="1" x14ac:dyDescent="0.25">
      <c r="A19" s="949"/>
      <c r="B19" s="949" t="s">
        <v>449</v>
      </c>
      <c r="C19" s="949"/>
      <c r="D19" s="345"/>
      <c r="E19" s="950" t="s">
        <v>447</v>
      </c>
      <c r="F19" s="343" t="s">
        <v>450</v>
      </c>
      <c r="G19" s="952"/>
      <c r="H19" s="346"/>
      <c r="I19" s="343" t="s">
        <v>450</v>
      </c>
      <c r="J19" s="949" t="s">
        <v>451</v>
      </c>
      <c r="K19" s="345" t="s">
        <v>445</v>
      </c>
    </row>
    <row r="20" spans="1:11" ht="13.5" thickBot="1" x14ac:dyDescent="0.25">
      <c r="A20" s="623"/>
      <c r="B20" s="279"/>
      <c r="C20" s="279"/>
      <c r="D20" s="279"/>
      <c r="E20" s="279"/>
      <c r="F20" s="279"/>
      <c r="G20" s="279"/>
      <c r="H20" s="279"/>
      <c r="I20" s="279"/>
      <c r="J20" s="279"/>
      <c r="K20" s="617"/>
    </row>
    <row r="21" spans="1:11" ht="13.5" thickBot="1" x14ac:dyDescent="0.25">
      <c r="A21" s="348">
        <v>1</v>
      </c>
      <c r="B21" s="349">
        <v>2</v>
      </c>
      <c r="C21" s="349">
        <v>3</v>
      </c>
      <c r="D21" s="349">
        <v>4</v>
      </c>
      <c r="E21" s="349">
        <v>5</v>
      </c>
      <c r="F21" s="349">
        <v>6</v>
      </c>
      <c r="G21" s="349">
        <v>7</v>
      </c>
      <c r="H21" s="349">
        <v>8</v>
      </c>
      <c r="I21" s="349">
        <v>9</v>
      </c>
      <c r="J21" s="349">
        <v>10</v>
      </c>
      <c r="K21" s="349">
        <v>11</v>
      </c>
    </row>
    <row r="22" spans="1:11" ht="13.5" thickBot="1" x14ac:dyDescent="0.25">
      <c r="A22" s="609"/>
      <c r="B22" s="610"/>
      <c r="C22" s="610"/>
      <c r="D22" s="610"/>
      <c r="E22" s="610"/>
      <c r="F22" s="610"/>
      <c r="G22" s="610"/>
      <c r="H22" s="610"/>
      <c r="I22" s="610"/>
      <c r="J22" s="610"/>
      <c r="K22" s="610"/>
    </row>
    <row r="23" spans="1:11" ht="13.5" thickBot="1" x14ac:dyDescent="0.25">
      <c r="A23" s="6212"/>
      <c r="B23" s="6213"/>
      <c r="C23" s="6213"/>
      <c r="D23" s="6213"/>
      <c r="E23" s="6213"/>
      <c r="F23" s="6213"/>
      <c r="G23" s="6213"/>
      <c r="H23" s="6213"/>
      <c r="I23" s="6213"/>
      <c r="J23" s="6213"/>
      <c r="K23" s="6214"/>
    </row>
    <row r="24" spans="1:11" ht="13.5" thickBot="1" x14ac:dyDescent="0.25">
      <c r="A24" s="6236" t="s">
        <v>663</v>
      </c>
      <c r="B24" s="6237"/>
      <c r="C24" s="6237"/>
      <c r="D24" s="6237"/>
      <c r="E24" s="6237"/>
      <c r="F24" s="6237"/>
      <c r="G24" s="6237"/>
      <c r="H24" s="6237"/>
      <c r="I24" s="6237"/>
      <c r="J24" s="6237"/>
      <c r="K24" s="6238"/>
    </row>
    <row r="25" spans="1:11" ht="13.5" thickBot="1" x14ac:dyDescent="0.25">
      <c r="A25" s="6212"/>
      <c r="B25" s="6213"/>
      <c r="C25" s="6213"/>
      <c r="D25" s="6213"/>
      <c r="E25" s="6213"/>
      <c r="F25" s="6213"/>
      <c r="G25" s="6213"/>
      <c r="H25" s="6213"/>
      <c r="I25" s="6213"/>
      <c r="J25" s="6213"/>
      <c r="K25" s="6214"/>
    </row>
    <row r="26" spans="1:11" ht="34.5" customHeight="1" x14ac:dyDescent="0.2">
      <c r="A26" s="6222">
        <v>1</v>
      </c>
      <c r="B26" s="6224" t="s">
        <v>664</v>
      </c>
      <c r="C26" s="355" t="s">
        <v>665</v>
      </c>
      <c r="D26" s="356">
        <v>0.26</v>
      </c>
      <c r="E26" s="357">
        <v>40328.97</v>
      </c>
      <c r="F26" s="357">
        <v>37757.160000000003</v>
      </c>
      <c r="G26" s="6222">
        <v>10486</v>
      </c>
      <c r="H26" s="6222">
        <v>669</v>
      </c>
      <c r="I26" s="357">
        <v>9817</v>
      </c>
      <c r="J26" s="357">
        <v>13.22</v>
      </c>
      <c r="K26" s="357">
        <v>3.44</v>
      </c>
    </row>
    <row r="27" spans="1:11" ht="35.25" customHeight="1" thickBot="1" x14ac:dyDescent="0.25">
      <c r="A27" s="6223"/>
      <c r="B27" s="6225"/>
      <c r="C27" s="353" t="s">
        <v>666</v>
      </c>
      <c r="D27" s="354" t="s">
        <v>667</v>
      </c>
      <c r="E27" s="354">
        <v>2571.81</v>
      </c>
      <c r="F27" s="354">
        <v>9733.83</v>
      </c>
      <c r="G27" s="6223"/>
      <c r="H27" s="6223"/>
      <c r="I27" s="354">
        <v>2531</v>
      </c>
      <c r="J27" s="354">
        <v>28.91</v>
      </c>
      <c r="K27" s="354">
        <v>7.52</v>
      </c>
    </row>
    <row r="28" spans="1:11" ht="24" customHeight="1" x14ac:dyDescent="0.2">
      <c r="A28" s="6222">
        <v>2</v>
      </c>
      <c r="B28" s="6224" t="s">
        <v>668</v>
      </c>
      <c r="C28" s="355" t="s">
        <v>669</v>
      </c>
      <c r="D28" s="356">
        <v>0.16</v>
      </c>
      <c r="E28" s="357">
        <v>79627.929999999993</v>
      </c>
      <c r="F28" s="357">
        <v>0</v>
      </c>
      <c r="G28" s="6222">
        <v>12740</v>
      </c>
      <c r="H28" s="6222">
        <v>12740</v>
      </c>
      <c r="I28" s="357">
        <v>0</v>
      </c>
      <c r="J28" s="357">
        <v>381</v>
      </c>
      <c r="K28" s="357">
        <v>60.96</v>
      </c>
    </row>
    <row r="29" spans="1:11" ht="34.5" customHeight="1" thickBot="1" x14ac:dyDescent="0.25">
      <c r="A29" s="6223"/>
      <c r="B29" s="6225"/>
      <c r="C29" s="353" t="s">
        <v>666</v>
      </c>
      <c r="D29" s="354" t="s">
        <v>670</v>
      </c>
      <c r="E29" s="354">
        <v>79627.929999999993</v>
      </c>
      <c r="F29" s="354">
        <v>0</v>
      </c>
      <c r="G29" s="6223"/>
      <c r="H29" s="6223"/>
      <c r="I29" s="354">
        <v>0</v>
      </c>
      <c r="J29" s="354">
        <v>0</v>
      </c>
      <c r="K29" s="354">
        <v>0</v>
      </c>
    </row>
    <row r="30" spans="1:11" ht="12" customHeight="1" x14ac:dyDescent="0.2">
      <c r="A30" s="6222">
        <v>3</v>
      </c>
      <c r="B30" s="6224" t="s">
        <v>671</v>
      </c>
      <c r="C30" s="355" t="s">
        <v>672</v>
      </c>
      <c r="D30" s="356">
        <v>0.5</v>
      </c>
      <c r="E30" s="357">
        <v>19221.080000000002</v>
      </c>
      <c r="F30" s="357">
        <v>19221.080000000002</v>
      </c>
      <c r="G30" s="6222">
        <v>9611</v>
      </c>
      <c r="H30" s="6222">
        <v>0</v>
      </c>
      <c r="I30" s="357">
        <v>9611</v>
      </c>
      <c r="J30" s="357">
        <v>0</v>
      </c>
      <c r="K30" s="357">
        <v>0</v>
      </c>
    </row>
    <row r="31" spans="1:11" ht="34.5" customHeight="1" thickBot="1" x14ac:dyDescent="0.25">
      <c r="A31" s="6223"/>
      <c r="B31" s="6225"/>
      <c r="C31" s="353" t="s">
        <v>666</v>
      </c>
      <c r="D31" s="354" t="s">
        <v>673</v>
      </c>
      <c r="E31" s="354">
        <v>0</v>
      </c>
      <c r="F31" s="354">
        <v>24389.57</v>
      </c>
      <c r="G31" s="6223"/>
      <c r="H31" s="6223"/>
      <c r="I31" s="354">
        <v>12195</v>
      </c>
      <c r="J31" s="354">
        <v>97.21</v>
      </c>
      <c r="K31" s="354">
        <v>48.61</v>
      </c>
    </row>
    <row r="32" spans="1:11" ht="21" customHeight="1" x14ac:dyDescent="0.2">
      <c r="A32" s="6222">
        <v>4</v>
      </c>
      <c r="B32" s="6224" t="s">
        <v>674</v>
      </c>
      <c r="C32" s="355" t="s">
        <v>675</v>
      </c>
      <c r="D32" s="356">
        <v>1</v>
      </c>
      <c r="E32" s="357">
        <v>12431.39</v>
      </c>
      <c r="F32" s="357">
        <v>726.88</v>
      </c>
      <c r="G32" s="6222">
        <v>12431</v>
      </c>
      <c r="H32" s="6222">
        <v>5531</v>
      </c>
      <c r="I32" s="357">
        <v>727</v>
      </c>
      <c r="J32" s="357">
        <v>26</v>
      </c>
      <c r="K32" s="357">
        <v>26</v>
      </c>
    </row>
    <row r="33" spans="1:11" ht="33" customHeight="1" thickBot="1" x14ac:dyDescent="0.25">
      <c r="A33" s="6223"/>
      <c r="B33" s="6225"/>
      <c r="C33" s="353" t="s">
        <v>666</v>
      </c>
      <c r="D33" s="354" t="s">
        <v>676</v>
      </c>
      <c r="E33" s="354">
        <v>5531.19</v>
      </c>
      <c r="F33" s="354">
        <v>97.76</v>
      </c>
      <c r="G33" s="6223"/>
      <c r="H33" s="6223"/>
      <c r="I33" s="354">
        <v>98</v>
      </c>
      <c r="J33" s="354">
        <v>0.72</v>
      </c>
      <c r="K33" s="354">
        <v>0.72</v>
      </c>
    </row>
    <row r="34" spans="1:11" ht="11.25" customHeight="1" x14ac:dyDescent="0.2">
      <c r="A34" s="6222">
        <v>5</v>
      </c>
      <c r="B34" s="6224" t="s">
        <v>677</v>
      </c>
      <c r="C34" s="355" t="s">
        <v>678</v>
      </c>
      <c r="D34" s="356">
        <v>2</v>
      </c>
      <c r="E34" s="357">
        <v>5195.62</v>
      </c>
      <c r="F34" s="357">
        <v>327.29000000000002</v>
      </c>
      <c r="G34" s="6222">
        <v>10391</v>
      </c>
      <c r="H34" s="6222">
        <v>4156</v>
      </c>
      <c r="I34" s="357">
        <v>655</v>
      </c>
      <c r="J34" s="357">
        <v>10.199999999999999</v>
      </c>
      <c r="K34" s="357">
        <v>20.399999999999999</v>
      </c>
    </row>
    <row r="35" spans="1:11" ht="32.25" customHeight="1" thickBot="1" x14ac:dyDescent="0.25">
      <c r="A35" s="6223"/>
      <c r="B35" s="6225"/>
      <c r="C35" s="353" t="s">
        <v>666</v>
      </c>
      <c r="D35" s="354" t="s">
        <v>679</v>
      </c>
      <c r="E35" s="354">
        <v>2078.25</v>
      </c>
      <c r="F35" s="354">
        <v>87.79</v>
      </c>
      <c r="G35" s="6223"/>
      <c r="H35" s="6223"/>
      <c r="I35" s="354">
        <v>176</v>
      </c>
      <c r="J35" s="354">
        <v>0.35</v>
      </c>
      <c r="K35" s="354">
        <v>0.7</v>
      </c>
    </row>
    <row r="36" spans="1:11" ht="32.25" customHeight="1" x14ac:dyDescent="0.2">
      <c r="A36" s="6222">
        <v>6</v>
      </c>
      <c r="B36" s="6224" t="s">
        <v>680</v>
      </c>
      <c r="C36" s="355" t="s">
        <v>681</v>
      </c>
      <c r="D36" s="356">
        <v>6</v>
      </c>
      <c r="E36" s="357">
        <v>904.33</v>
      </c>
      <c r="F36" s="357">
        <v>310.14</v>
      </c>
      <c r="G36" s="6222">
        <v>5426</v>
      </c>
      <c r="H36" s="6222">
        <v>1634</v>
      </c>
      <c r="I36" s="357">
        <v>1861</v>
      </c>
      <c r="J36" s="357">
        <v>1.28</v>
      </c>
      <c r="K36" s="357">
        <v>7.68</v>
      </c>
    </row>
    <row r="37" spans="1:11" ht="34.5" customHeight="1" thickBot="1" x14ac:dyDescent="0.25">
      <c r="A37" s="6223"/>
      <c r="B37" s="6225"/>
      <c r="C37" s="353" t="s">
        <v>666</v>
      </c>
      <c r="D37" s="354" t="s">
        <v>682</v>
      </c>
      <c r="E37" s="354">
        <v>272.33999999999997</v>
      </c>
      <c r="F37" s="354">
        <v>39.409999999999997</v>
      </c>
      <c r="G37" s="6223"/>
      <c r="H37" s="6223"/>
      <c r="I37" s="354">
        <v>236</v>
      </c>
      <c r="J37" s="354">
        <v>0.26</v>
      </c>
      <c r="K37" s="354">
        <v>1.56</v>
      </c>
    </row>
    <row r="38" spans="1:11" ht="33" customHeight="1" x14ac:dyDescent="0.2">
      <c r="A38" s="6222">
        <v>7</v>
      </c>
      <c r="B38" s="6224" t="s">
        <v>683</v>
      </c>
      <c r="C38" s="355" t="s">
        <v>684</v>
      </c>
      <c r="D38" s="356">
        <v>0.27</v>
      </c>
      <c r="E38" s="357">
        <v>7223.86</v>
      </c>
      <c r="F38" s="357">
        <v>7223.86</v>
      </c>
      <c r="G38" s="6222">
        <v>1950</v>
      </c>
      <c r="H38" s="6222">
        <v>0</v>
      </c>
      <c r="I38" s="357">
        <v>1950</v>
      </c>
      <c r="J38" s="357">
        <v>0</v>
      </c>
      <c r="K38" s="357">
        <v>0</v>
      </c>
    </row>
    <row r="39" spans="1:11" ht="33.75" customHeight="1" thickBot="1" x14ac:dyDescent="0.25">
      <c r="A39" s="6223"/>
      <c r="B39" s="6225"/>
      <c r="C39" s="353" t="s">
        <v>666</v>
      </c>
      <c r="D39" s="354" t="s">
        <v>667</v>
      </c>
      <c r="E39" s="354">
        <v>0</v>
      </c>
      <c r="F39" s="354">
        <v>2650.37</v>
      </c>
      <c r="G39" s="6223"/>
      <c r="H39" s="6223"/>
      <c r="I39" s="354">
        <v>716</v>
      </c>
      <c r="J39" s="354">
        <v>7.38</v>
      </c>
      <c r="K39" s="354">
        <v>1.99</v>
      </c>
    </row>
    <row r="40" spans="1:11" ht="24" customHeight="1" x14ac:dyDescent="0.2">
      <c r="A40" s="6222">
        <v>8</v>
      </c>
      <c r="B40" s="6224" t="s">
        <v>685</v>
      </c>
      <c r="C40" s="355" t="s">
        <v>686</v>
      </c>
      <c r="D40" s="356">
        <v>0.16500000000000001</v>
      </c>
      <c r="E40" s="357">
        <v>22633.05</v>
      </c>
      <c r="F40" s="357">
        <v>0</v>
      </c>
      <c r="G40" s="6222">
        <v>3734</v>
      </c>
      <c r="H40" s="6222">
        <v>3734</v>
      </c>
      <c r="I40" s="357">
        <v>0</v>
      </c>
      <c r="J40" s="357">
        <v>121</v>
      </c>
      <c r="K40" s="357">
        <v>19.97</v>
      </c>
    </row>
    <row r="41" spans="1:11" ht="34.5" customHeight="1" thickBot="1" x14ac:dyDescent="0.25">
      <c r="A41" s="6223"/>
      <c r="B41" s="6225"/>
      <c r="C41" s="353" t="s">
        <v>666</v>
      </c>
      <c r="D41" s="354" t="s">
        <v>670</v>
      </c>
      <c r="E41" s="354">
        <v>22633.05</v>
      </c>
      <c r="F41" s="354">
        <v>0</v>
      </c>
      <c r="G41" s="6223"/>
      <c r="H41" s="6223"/>
      <c r="I41" s="354">
        <v>0</v>
      </c>
      <c r="J41" s="354">
        <v>0</v>
      </c>
      <c r="K41" s="354">
        <v>0</v>
      </c>
    </row>
    <row r="42" spans="1:11" ht="12" customHeight="1" x14ac:dyDescent="0.2">
      <c r="A42" s="6222">
        <v>9</v>
      </c>
      <c r="B42" s="6224" t="s">
        <v>476</v>
      </c>
      <c r="C42" s="355" t="s">
        <v>477</v>
      </c>
      <c r="D42" s="356">
        <v>15</v>
      </c>
      <c r="E42" s="357">
        <v>4006.63</v>
      </c>
      <c r="F42" s="357">
        <v>751.4</v>
      </c>
      <c r="G42" s="6222">
        <v>60099</v>
      </c>
      <c r="H42" s="6222">
        <v>20123</v>
      </c>
      <c r="I42" s="357">
        <v>11271</v>
      </c>
      <c r="J42" s="357">
        <v>5.86</v>
      </c>
      <c r="K42" s="357">
        <v>87.9</v>
      </c>
    </row>
    <row r="43" spans="1:11" ht="33.75" customHeight="1" thickBot="1" x14ac:dyDescent="0.25">
      <c r="A43" s="6223"/>
      <c r="B43" s="6225"/>
      <c r="C43" s="353" t="s">
        <v>666</v>
      </c>
      <c r="D43" s="354" t="s">
        <v>478</v>
      </c>
      <c r="E43" s="354">
        <v>1341.52</v>
      </c>
      <c r="F43" s="354">
        <v>138.16999999999999</v>
      </c>
      <c r="G43" s="6223"/>
      <c r="H43" s="6223"/>
      <c r="I43" s="354">
        <v>2073</v>
      </c>
      <c r="J43" s="354">
        <v>0.55000000000000004</v>
      </c>
      <c r="K43" s="354">
        <v>8.25</v>
      </c>
    </row>
    <row r="44" spans="1:11" ht="10.5" customHeight="1" x14ac:dyDescent="0.2">
      <c r="A44" s="6222">
        <v>10</v>
      </c>
      <c r="B44" s="6224" t="s">
        <v>479</v>
      </c>
      <c r="C44" s="355" t="s">
        <v>480</v>
      </c>
      <c r="D44" s="356">
        <v>12</v>
      </c>
      <c r="E44" s="357">
        <v>8765.59</v>
      </c>
      <c r="F44" s="357">
        <v>936.14</v>
      </c>
      <c r="G44" s="6222">
        <v>105187</v>
      </c>
      <c r="H44" s="6222">
        <v>26923</v>
      </c>
      <c r="I44" s="357">
        <v>11234</v>
      </c>
      <c r="J44" s="357">
        <v>9.8000000000000007</v>
      </c>
      <c r="K44" s="357">
        <v>117.6</v>
      </c>
    </row>
    <row r="45" spans="1:11" ht="35.25" customHeight="1" thickBot="1" x14ac:dyDescent="0.25">
      <c r="A45" s="6223"/>
      <c r="B45" s="6225"/>
      <c r="C45" s="353" t="s">
        <v>666</v>
      </c>
      <c r="D45" s="354" t="s">
        <v>478</v>
      </c>
      <c r="E45" s="354">
        <v>2243.6</v>
      </c>
      <c r="F45" s="354">
        <v>138.16999999999999</v>
      </c>
      <c r="G45" s="6223"/>
      <c r="H45" s="6223"/>
      <c r="I45" s="354">
        <v>1658</v>
      </c>
      <c r="J45" s="354">
        <v>0.55000000000000004</v>
      </c>
      <c r="K45" s="354">
        <v>6.6</v>
      </c>
    </row>
    <row r="46" spans="1:11" ht="12" customHeight="1" x14ac:dyDescent="0.2">
      <c r="A46" s="6222">
        <v>11</v>
      </c>
      <c r="B46" s="6224" t="s">
        <v>481</v>
      </c>
      <c r="C46" s="355" t="s">
        <v>482</v>
      </c>
      <c r="D46" s="356">
        <v>3</v>
      </c>
      <c r="E46" s="357">
        <v>14254.95</v>
      </c>
      <c r="F46" s="357">
        <v>1157.76</v>
      </c>
      <c r="G46" s="6222">
        <v>42765</v>
      </c>
      <c r="H46" s="6222">
        <v>9272</v>
      </c>
      <c r="I46" s="357">
        <v>3473</v>
      </c>
      <c r="J46" s="357">
        <v>13.5</v>
      </c>
      <c r="K46" s="357">
        <v>40.5</v>
      </c>
    </row>
    <row r="47" spans="1:11" ht="34.5" customHeight="1" thickBot="1" x14ac:dyDescent="0.25">
      <c r="A47" s="6223"/>
      <c r="B47" s="6225"/>
      <c r="C47" s="353" t="s">
        <v>666</v>
      </c>
      <c r="D47" s="354" t="s">
        <v>478</v>
      </c>
      <c r="E47" s="354">
        <v>3090.81</v>
      </c>
      <c r="F47" s="354">
        <v>138.16999999999999</v>
      </c>
      <c r="G47" s="6223"/>
      <c r="H47" s="6223"/>
      <c r="I47" s="354">
        <v>415</v>
      </c>
      <c r="J47" s="354">
        <v>0.55000000000000004</v>
      </c>
      <c r="K47" s="354">
        <v>1.65</v>
      </c>
    </row>
    <row r="48" spans="1:11" ht="10.5" customHeight="1" x14ac:dyDescent="0.2">
      <c r="A48" s="6222">
        <v>12</v>
      </c>
      <c r="B48" s="6224" t="s">
        <v>687</v>
      </c>
      <c r="C48" s="355" t="s">
        <v>688</v>
      </c>
      <c r="D48" s="356">
        <v>0.6</v>
      </c>
      <c r="E48" s="357">
        <v>145994.18</v>
      </c>
      <c r="F48" s="357">
        <v>103149.95</v>
      </c>
      <c r="G48" s="6222">
        <v>87597</v>
      </c>
      <c r="H48" s="6222">
        <v>24932</v>
      </c>
      <c r="I48" s="357">
        <v>61890</v>
      </c>
      <c r="J48" s="357">
        <v>128.96</v>
      </c>
      <c r="K48" s="357">
        <v>77.38</v>
      </c>
    </row>
    <row r="49" spans="1:11" ht="36" customHeight="1" thickBot="1" x14ac:dyDescent="0.25">
      <c r="A49" s="6223"/>
      <c r="B49" s="6225"/>
      <c r="C49" s="353" t="s">
        <v>666</v>
      </c>
      <c r="D49" s="354" t="s">
        <v>502</v>
      </c>
      <c r="E49" s="354">
        <v>41554.03</v>
      </c>
      <c r="F49" s="354">
        <v>12446.06</v>
      </c>
      <c r="G49" s="6223"/>
      <c r="H49" s="6223"/>
      <c r="I49" s="354">
        <v>7468</v>
      </c>
      <c r="J49" s="354">
        <v>55.8</v>
      </c>
      <c r="K49" s="354">
        <v>33.479999999999997</v>
      </c>
    </row>
    <row r="50" spans="1:11" ht="12.75" customHeight="1" x14ac:dyDescent="0.2">
      <c r="A50" s="6222">
        <v>13</v>
      </c>
      <c r="B50" s="6224" t="s">
        <v>689</v>
      </c>
      <c r="C50" s="355" t="s">
        <v>690</v>
      </c>
      <c r="D50" s="356">
        <v>0.72</v>
      </c>
      <c r="E50" s="357">
        <v>190490.87</v>
      </c>
      <c r="F50" s="357">
        <v>134224.35999999999</v>
      </c>
      <c r="G50" s="6222">
        <v>137153</v>
      </c>
      <c r="H50" s="6222">
        <v>39273</v>
      </c>
      <c r="I50" s="357">
        <v>96642</v>
      </c>
      <c r="J50" s="357">
        <v>169.28</v>
      </c>
      <c r="K50" s="357">
        <v>121.88</v>
      </c>
    </row>
    <row r="51" spans="1:11" ht="33.75" customHeight="1" thickBot="1" x14ac:dyDescent="0.25">
      <c r="A51" s="6223"/>
      <c r="B51" s="6225"/>
      <c r="C51" s="353" t="s">
        <v>666</v>
      </c>
      <c r="D51" s="354" t="s">
        <v>502</v>
      </c>
      <c r="E51" s="354">
        <v>54546.27</v>
      </c>
      <c r="F51" s="354">
        <v>16418</v>
      </c>
      <c r="G51" s="6223"/>
      <c r="H51" s="6223"/>
      <c r="I51" s="354">
        <v>11821</v>
      </c>
      <c r="J51" s="354">
        <v>73.400000000000006</v>
      </c>
      <c r="K51" s="354">
        <v>52.85</v>
      </c>
    </row>
    <row r="52" spans="1:11" ht="13.5" thickBot="1" x14ac:dyDescent="0.25">
      <c r="A52" s="6212"/>
      <c r="B52" s="6213"/>
      <c r="C52" s="6213"/>
      <c r="D52" s="6213"/>
      <c r="E52" s="6213"/>
      <c r="F52" s="6213"/>
      <c r="G52" s="6213"/>
      <c r="H52" s="6213"/>
      <c r="I52" s="6213"/>
      <c r="J52" s="6213"/>
      <c r="K52" s="6214"/>
    </row>
    <row r="53" spans="1:11" x14ac:dyDescent="0.2">
      <c r="A53" s="6215" t="s">
        <v>691</v>
      </c>
      <c r="B53" s="6216"/>
      <c r="C53" s="6216"/>
      <c r="D53" s="6216"/>
      <c r="E53" s="6216"/>
      <c r="F53" s="6218"/>
      <c r="G53" s="6218">
        <v>499570</v>
      </c>
      <c r="H53" s="6218">
        <v>148987</v>
      </c>
      <c r="I53" s="624">
        <v>209131</v>
      </c>
      <c r="J53" s="6218"/>
      <c r="K53" s="357">
        <v>583.70000000000005</v>
      </c>
    </row>
    <row r="54" spans="1:11" ht="13.5" thickBot="1" x14ac:dyDescent="0.25">
      <c r="A54" s="6217"/>
      <c r="B54" s="6210"/>
      <c r="C54" s="6210"/>
      <c r="D54" s="6210"/>
      <c r="E54" s="6210"/>
      <c r="F54" s="6219"/>
      <c r="G54" s="6219"/>
      <c r="H54" s="6219"/>
      <c r="I54" s="954">
        <v>39387</v>
      </c>
      <c r="J54" s="6219"/>
      <c r="K54" s="354">
        <v>163.92</v>
      </c>
    </row>
    <row r="55" spans="1:11" ht="24" thickBot="1" x14ac:dyDescent="0.25">
      <c r="A55" s="6255" t="s">
        <v>869</v>
      </c>
      <c r="B55" s="6256"/>
      <c r="C55" s="6256"/>
      <c r="D55" s="6256"/>
      <c r="E55" s="6256"/>
      <c r="F55" s="6256"/>
      <c r="G55" s="1394"/>
      <c r="H55" s="1394"/>
      <c r="I55" s="1563">
        <f>G53-H53-I53-I54</f>
        <v>102065</v>
      </c>
      <c r="J55" s="954"/>
      <c r="K55" s="354"/>
    </row>
    <row r="56" spans="1:11" ht="13.5" thickBot="1" x14ac:dyDescent="0.25">
      <c r="A56" s="6212"/>
      <c r="B56" s="6213"/>
      <c r="C56" s="6213"/>
      <c r="D56" s="6213"/>
      <c r="E56" s="6213"/>
      <c r="F56" s="6213"/>
      <c r="G56" s="6213"/>
      <c r="H56" s="6213"/>
      <c r="I56" s="6213"/>
      <c r="J56" s="6213"/>
      <c r="K56" s="6214"/>
    </row>
    <row r="57" spans="1:11" hidden="1" x14ac:dyDescent="0.2">
      <c r="A57" s="6215" t="s">
        <v>692</v>
      </c>
      <c r="B57" s="6216"/>
      <c r="C57" s="6216"/>
      <c r="D57" s="6216"/>
      <c r="E57" s="6216"/>
      <c r="F57" s="6218"/>
      <c r="G57" s="6218">
        <v>499570</v>
      </c>
      <c r="H57" s="6218">
        <v>148987</v>
      </c>
      <c r="I57" s="624">
        <v>209131</v>
      </c>
      <c r="J57" s="6218"/>
      <c r="K57" s="357">
        <v>583.70000000000005</v>
      </c>
    </row>
    <row r="58" spans="1:11" ht="13.5" hidden="1" thickBot="1" x14ac:dyDescent="0.25">
      <c r="A58" s="6217"/>
      <c r="B58" s="6210"/>
      <c r="C58" s="6210"/>
      <c r="D58" s="6210"/>
      <c r="E58" s="6210"/>
      <c r="F58" s="6219"/>
      <c r="G58" s="6219"/>
      <c r="H58" s="6219"/>
      <c r="I58" s="954">
        <v>39387</v>
      </c>
      <c r="J58" s="6219"/>
      <c r="K58" s="354">
        <v>163.92</v>
      </c>
    </row>
    <row r="59" spans="1:11" ht="13.5" hidden="1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hidden="1" x14ac:dyDescent="0.2">
      <c r="A60" s="625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hidden="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6207" t="s">
        <v>693</v>
      </c>
      <c r="D62" s="6124"/>
      <c r="E62" s="6124"/>
      <c r="F62" s="6124"/>
      <c r="G62" s="6124"/>
      <c r="H62" s="6124"/>
      <c r="I62" s="6207" t="s">
        <v>694</v>
      </c>
      <c r="J62" s="6207" t="s">
        <v>695</v>
      </c>
      <c r="K62" s="355" t="s">
        <v>559</v>
      </c>
    </row>
    <row r="63" spans="1:11" hidden="1" x14ac:dyDescent="0.2">
      <c r="A63" s="626"/>
      <c r="B63" s="279"/>
      <c r="C63" s="6207"/>
      <c r="D63" s="6124"/>
      <c r="E63" s="6124"/>
      <c r="F63" s="6124"/>
      <c r="G63" s="6124"/>
      <c r="H63" s="6124"/>
      <c r="I63" s="6207"/>
      <c r="J63" s="6207"/>
      <c r="K63" s="355" t="s">
        <v>696</v>
      </c>
    </row>
    <row r="64" spans="1:11" ht="13.5" hidden="1" thickBot="1" x14ac:dyDescent="0.25">
      <c r="A64" s="626"/>
      <c r="B64" s="279"/>
      <c r="C64" s="6207" t="s">
        <v>54</v>
      </c>
      <c r="D64" s="6124"/>
      <c r="E64" s="6124"/>
      <c r="F64" s="6124"/>
      <c r="G64" s="6124"/>
      <c r="H64" s="6124"/>
      <c r="I64" s="954"/>
      <c r="J64" s="954"/>
      <c r="K64" s="354" t="s">
        <v>697</v>
      </c>
    </row>
    <row r="65" spans="1:11" ht="13.5" hidden="1" thickBot="1" x14ac:dyDescent="0.25">
      <c r="A65" s="626"/>
      <c r="B65" s="279"/>
      <c r="C65" s="6207" t="s">
        <v>698</v>
      </c>
      <c r="D65" s="6124"/>
      <c r="E65" s="6124"/>
      <c r="F65" s="6124"/>
      <c r="G65" s="6124"/>
      <c r="H65" s="6124"/>
      <c r="I65" s="954">
        <v>0.6</v>
      </c>
      <c r="J65" s="954">
        <v>85</v>
      </c>
      <c r="K65" s="354" t="s">
        <v>699</v>
      </c>
    </row>
    <row r="66" spans="1:11" ht="13.5" hidden="1" thickBot="1" x14ac:dyDescent="0.25">
      <c r="A66" s="626"/>
      <c r="B66" s="279"/>
      <c r="C66" s="6207" t="s">
        <v>700</v>
      </c>
      <c r="D66" s="6124"/>
      <c r="E66" s="6124"/>
      <c r="F66" s="6124"/>
      <c r="G66" s="6124"/>
      <c r="H66" s="6124"/>
      <c r="I66" s="954">
        <v>0.6</v>
      </c>
      <c r="J66" s="954">
        <v>71</v>
      </c>
      <c r="K66" s="354" t="s">
        <v>701</v>
      </c>
    </row>
    <row r="67" spans="1:11" ht="13.5" hidden="1" thickBot="1" x14ac:dyDescent="0.25">
      <c r="A67" s="626"/>
      <c r="B67" s="279"/>
      <c r="C67" s="6207" t="s">
        <v>702</v>
      </c>
      <c r="D67" s="6124"/>
      <c r="E67" s="6124"/>
      <c r="F67" s="6124"/>
      <c r="G67" s="6124"/>
      <c r="H67" s="6124"/>
      <c r="I67" s="954">
        <v>0.6</v>
      </c>
      <c r="J67" s="954">
        <v>71</v>
      </c>
      <c r="K67" s="354" t="s">
        <v>703</v>
      </c>
    </row>
    <row r="68" spans="1:11" ht="13.5" hidden="1" thickBot="1" x14ac:dyDescent="0.25">
      <c r="A68" s="626"/>
      <c r="B68" s="279"/>
      <c r="C68" s="6207" t="s">
        <v>704</v>
      </c>
      <c r="D68" s="6124"/>
      <c r="E68" s="6124"/>
      <c r="F68" s="6124"/>
      <c r="G68" s="6124"/>
      <c r="H68" s="6124"/>
      <c r="I68" s="954">
        <v>0.6</v>
      </c>
      <c r="J68" s="954">
        <v>116</v>
      </c>
      <c r="K68" s="354" t="s">
        <v>705</v>
      </c>
    </row>
    <row r="69" spans="1:11" ht="13.5" hidden="1" thickBot="1" x14ac:dyDescent="0.25">
      <c r="A69" s="626"/>
      <c r="B69" s="279"/>
      <c r="C69" s="6207" t="s">
        <v>706</v>
      </c>
      <c r="D69" s="6124"/>
      <c r="E69" s="6124"/>
      <c r="F69" s="6124"/>
      <c r="G69" s="6124"/>
      <c r="H69" s="6124"/>
      <c r="I69" s="954">
        <v>0.6</v>
      </c>
      <c r="J69" s="954">
        <v>92</v>
      </c>
      <c r="K69" s="354" t="s">
        <v>707</v>
      </c>
    </row>
    <row r="70" spans="1:11" ht="13.5" hidden="1" thickBot="1" x14ac:dyDescent="0.25">
      <c r="A70" s="626"/>
      <c r="B70" s="279"/>
      <c r="C70" s="6207" t="s">
        <v>708</v>
      </c>
      <c r="D70" s="6124"/>
      <c r="E70" s="6124"/>
      <c r="F70" s="6124"/>
      <c r="G70" s="6124"/>
      <c r="H70" s="6124"/>
      <c r="I70" s="954"/>
      <c r="J70" s="954"/>
      <c r="K70" s="354" t="s">
        <v>709</v>
      </c>
    </row>
    <row r="71" spans="1:11" ht="13.5" hidden="1" thickBot="1" x14ac:dyDescent="0.25">
      <c r="A71" s="626"/>
      <c r="B71" s="279"/>
      <c r="C71" s="6207" t="s">
        <v>54</v>
      </c>
      <c r="D71" s="6124"/>
      <c r="E71" s="6124"/>
      <c r="F71" s="6124"/>
      <c r="G71" s="6124"/>
      <c r="H71" s="6124"/>
      <c r="I71" s="954"/>
      <c r="J71" s="954"/>
      <c r="K71" s="354" t="s">
        <v>710</v>
      </c>
    </row>
    <row r="72" spans="1:11" ht="13.5" hidden="1" thickBot="1" x14ac:dyDescent="0.25">
      <c r="A72" s="626"/>
      <c r="B72" s="279"/>
      <c r="C72" s="6207" t="s">
        <v>711</v>
      </c>
      <c r="D72" s="6124"/>
      <c r="E72" s="6124"/>
      <c r="F72" s="6124"/>
      <c r="G72" s="6124"/>
      <c r="H72" s="6124"/>
      <c r="I72" s="954"/>
      <c r="J72" s="954">
        <v>40</v>
      </c>
      <c r="K72" s="354" t="s">
        <v>712</v>
      </c>
    </row>
    <row r="73" spans="1:11" ht="13.5" hidden="1" thickBot="1" x14ac:dyDescent="0.25">
      <c r="A73" s="626"/>
      <c r="B73" s="279"/>
      <c r="C73" s="6207" t="s">
        <v>713</v>
      </c>
      <c r="D73" s="6124"/>
      <c r="E73" s="6124"/>
      <c r="F73" s="6124"/>
      <c r="G73" s="6124"/>
      <c r="H73" s="6124"/>
      <c r="I73" s="954"/>
      <c r="J73" s="954">
        <v>36</v>
      </c>
      <c r="K73" s="354" t="s">
        <v>714</v>
      </c>
    </row>
    <row r="74" spans="1:11" ht="13.5" hidden="1" thickBot="1" x14ac:dyDescent="0.25">
      <c r="A74" s="626"/>
      <c r="B74" s="279"/>
      <c r="C74" s="6207" t="s">
        <v>715</v>
      </c>
      <c r="D74" s="6124"/>
      <c r="E74" s="6124"/>
      <c r="F74" s="6124"/>
      <c r="G74" s="6124"/>
      <c r="H74" s="6124"/>
      <c r="I74" s="954"/>
      <c r="J74" s="954">
        <v>36</v>
      </c>
      <c r="K74" s="354" t="s">
        <v>716</v>
      </c>
    </row>
    <row r="75" spans="1:11" ht="13.5" hidden="1" thickBot="1" x14ac:dyDescent="0.25">
      <c r="A75" s="626"/>
      <c r="B75" s="279"/>
      <c r="C75" s="6207" t="s">
        <v>717</v>
      </c>
      <c r="D75" s="6124"/>
      <c r="E75" s="6124"/>
      <c r="F75" s="6124"/>
      <c r="G75" s="6124"/>
      <c r="H75" s="6124"/>
      <c r="I75" s="954"/>
      <c r="J75" s="954">
        <v>71</v>
      </c>
      <c r="K75" s="354" t="s">
        <v>718</v>
      </c>
    </row>
    <row r="76" spans="1:11" ht="13.5" hidden="1" thickBot="1" x14ac:dyDescent="0.25">
      <c r="A76" s="626"/>
      <c r="B76" s="279"/>
      <c r="C76" s="6207" t="s">
        <v>719</v>
      </c>
      <c r="D76" s="6124"/>
      <c r="E76" s="6124"/>
      <c r="F76" s="6124"/>
      <c r="G76" s="6124"/>
      <c r="H76" s="6124"/>
      <c r="I76" s="954"/>
      <c r="J76" s="954">
        <v>54</v>
      </c>
      <c r="K76" s="354" t="s">
        <v>720</v>
      </c>
    </row>
    <row r="77" spans="1:11" ht="13.5" hidden="1" thickBot="1" x14ac:dyDescent="0.25">
      <c r="A77" s="626"/>
      <c r="B77" s="279"/>
      <c r="C77" s="6207" t="s">
        <v>721</v>
      </c>
      <c r="D77" s="6124"/>
      <c r="E77" s="6124"/>
      <c r="F77" s="6124"/>
      <c r="G77" s="6124"/>
      <c r="H77" s="6124"/>
      <c r="I77" s="954"/>
      <c r="J77" s="954"/>
      <c r="K77" s="354" t="s">
        <v>722</v>
      </c>
    </row>
    <row r="78" spans="1:11" ht="13.5" hidden="1" thickBot="1" x14ac:dyDescent="0.25">
      <c r="A78" s="626"/>
      <c r="B78" s="279"/>
      <c r="C78" s="6207" t="s">
        <v>54</v>
      </c>
      <c r="D78" s="6124"/>
      <c r="E78" s="6124"/>
      <c r="F78" s="6124"/>
      <c r="G78" s="6124"/>
      <c r="H78" s="6124"/>
      <c r="I78" s="954"/>
      <c r="J78" s="954"/>
      <c r="K78" s="354" t="s">
        <v>723</v>
      </c>
    </row>
    <row r="79" spans="1:11" ht="13.5" hidden="1" thickBot="1" x14ac:dyDescent="0.25">
      <c r="A79" s="626"/>
      <c r="B79" s="279"/>
      <c r="C79" s="6207" t="s">
        <v>724</v>
      </c>
      <c r="D79" s="6124"/>
      <c r="E79" s="6124"/>
      <c r="F79" s="6124"/>
      <c r="G79" s="6124"/>
      <c r="H79" s="6124"/>
      <c r="I79" s="954"/>
      <c r="J79" s="954">
        <v>18</v>
      </c>
      <c r="K79" s="354" t="s">
        <v>725</v>
      </c>
    </row>
    <row r="80" spans="1:11" ht="13.5" hidden="1" thickBot="1" x14ac:dyDescent="0.25">
      <c r="A80" s="626"/>
      <c r="B80" s="279"/>
      <c r="C80" s="6207" t="s">
        <v>280</v>
      </c>
      <c r="D80" s="6124"/>
      <c r="E80" s="6124"/>
      <c r="F80" s="6124"/>
      <c r="G80" s="6124"/>
      <c r="H80" s="6124"/>
      <c r="I80" s="954"/>
      <c r="J80" s="954"/>
      <c r="K80" s="354" t="s">
        <v>657</v>
      </c>
    </row>
    <row r="81" spans="1:12" ht="13.5" hidden="1" thickBot="1" x14ac:dyDescent="0.25">
      <c r="A81" s="613"/>
      <c r="B81" s="612"/>
      <c r="C81" s="6210" t="s">
        <v>726</v>
      </c>
      <c r="D81" s="4911"/>
      <c r="E81" s="4911"/>
      <c r="F81" s="4911"/>
      <c r="G81" s="4911"/>
      <c r="H81" s="4911"/>
      <c r="I81" s="954"/>
      <c r="J81" s="954"/>
      <c r="K81" s="354" t="s">
        <v>657</v>
      </c>
    </row>
    <row r="82" spans="1:12" ht="15.75" hidden="1" x14ac:dyDescent="0.25">
      <c r="K82" s="636">
        <v>821297</v>
      </c>
    </row>
    <row r="83" spans="1:12" ht="13.5" thickBot="1" x14ac:dyDescent="0.25"/>
    <row r="84" spans="1:12" ht="18.75" x14ac:dyDescent="0.3">
      <c r="A84" s="6251" t="s">
        <v>727</v>
      </c>
      <c r="B84" s="6252"/>
      <c r="C84" s="6252"/>
      <c r="D84" s="6252"/>
      <c r="E84" s="6252"/>
      <c r="F84" s="6252"/>
      <c r="G84" s="6252"/>
      <c r="H84" s="6252"/>
      <c r="I84" s="6252"/>
      <c r="J84" s="6252"/>
      <c r="K84" s="6252"/>
      <c r="L84" s="627"/>
    </row>
    <row r="85" spans="1:12" ht="13.5" x14ac:dyDescent="0.25">
      <c r="A85" s="6253" t="s">
        <v>650</v>
      </c>
      <c r="B85" s="5841"/>
      <c r="C85" s="5841"/>
      <c r="D85" s="5841"/>
      <c r="E85" s="5841"/>
      <c r="F85" s="5841"/>
      <c r="G85" s="5841"/>
      <c r="H85" s="5841"/>
      <c r="I85" s="5841"/>
      <c r="J85" s="5841"/>
      <c r="K85" s="5841"/>
      <c r="L85" s="962"/>
    </row>
    <row r="86" spans="1:12" ht="18.75" x14ac:dyDescent="0.3">
      <c r="A86" s="629"/>
      <c r="B86" s="961"/>
      <c r="C86" s="961"/>
      <c r="D86" s="961"/>
      <c r="E86" s="961"/>
      <c r="F86" s="961"/>
      <c r="G86" s="961"/>
      <c r="H86" s="961"/>
      <c r="I86" s="961"/>
      <c r="J86" s="961"/>
      <c r="K86" s="961"/>
      <c r="L86" s="962"/>
    </row>
    <row r="87" spans="1:12" ht="18.75" x14ac:dyDescent="0.3">
      <c r="A87" s="6254" t="s">
        <v>728</v>
      </c>
      <c r="B87" s="5841"/>
      <c r="C87" s="5841"/>
      <c r="D87" s="5841"/>
      <c r="E87" s="5841"/>
      <c r="F87" s="5841"/>
      <c r="G87" s="5841"/>
      <c r="H87" s="5841"/>
      <c r="I87" s="5841"/>
      <c r="J87" s="5841"/>
      <c r="K87" s="5841"/>
      <c r="L87" s="6243"/>
    </row>
    <row r="88" spans="1:12" ht="18" x14ac:dyDescent="0.25">
      <c r="A88" s="618" t="s">
        <v>652</v>
      </c>
      <c r="B88" s="961"/>
      <c r="C88" s="961"/>
      <c r="D88" s="961"/>
      <c r="E88" s="961"/>
      <c r="F88" s="961"/>
      <c r="G88" s="961"/>
      <c r="H88" s="961"/>
      <c r="I88" s="961"/>
      <c r="J88" s="961"/>
      <c r="K88" s="961"/>
      <c r="L88" s="962"/>
    </row>
    <row r="89" spans="1:12" x14ac:dyDescent="0.2">
      <c r="A89" s="6242" t="s">
        <v>729</v>
      </c>
      <c r="B89" s="5841"/>
      <c r="C89" s="5841"/>
      <c r="D89" s="5841"/>
      <c r="E89" s="5841"/>
      <c r="F89" s="5841"/>
      <c r="G89" s="5841"/>
      <c r="H89" s="5841"/>
      <c r="I89" s="5841"/>
      <c r="J89" s="5841"/>
      <c r="K89" s="5841"/>
      <c r="L89" s="6243"/>
    </row>
    <row r="90" spans="1:12" x14ac:dyDescent="0.2">
      <c r="A90" s="6244"/>
      <c r="B90" s="5841"/>
      <c r="C90" s="5841"/>
      <c r="D90" s="5841"/>
      <c r="E90" s="5841"/>
      <c r="F90" s="5841"/>
      <c r="G90" s="5841"/>
      <c r="H90" s="5841"/>
      <c r="I90" s="5841"/>
      <c r="J90" s="5841"/>
      <c r="K90" s="5841"/>
      <c r="L90" s="6243"/>
    </row>
    <row r="91" spans="1:12" x14ac:dyDescent="0.2">
      <c r="A91" s="6245" t="s">
        <v>653</v>
      </c>
      <c r="B91" s="6246"/>
      <c r="C91" s="961"/>
      <c r="D91" s="961"/>
      <c r="E91" s="961"/>
      <c r="F91" s="961"/>
      <c r="G91" s="961"/>
      <c r="H91" s="961"/>
      <c r="I91" s="961"/>
      <c r="J91" s="961"/>
      <c r="K91" s="961"/>
      <c r="L91" s="962"/>
    </row>
    <row r="92" spans="1:12" ht="13.5" x14ac:dyDescent="0.2">
      <c r="A92" s="631"/>
      <c r="B92" s="632"/>
      <c r="C92" s="961"/>
      <c r="D92" s="961"/>
      <c r="E92" s="961"/>
      <c r="F92" s="961"/>
      <c r="G92" s="961"/>
      <c r="H92" s="961"/>
      <c r="I92" s="961"/>
      <c r="J92" s="961"/>
      <c r="K92" s="961"/>
      <c r="L92" s="962"/>
    </row>
    <row r="93" spans="1:12" x14ac:dyDescent="0.2">
      <c r="A93" s="6245" t="s">
        <v>654</v>
      </c>
      <c r="B93" s="5841"/>
      <c r="C93" s="5841"/>
      <c r="D93" s="6247" t="s">
        <v>730</v>
      </c>
      <c r="E93" s="5841"/>
      <c r="F93" s="5841"/>
      <c r="G93" s="5841"/>
      <c r="H93" s="5841"/>
      <c r="I93" s="5841"/>
      <c r="J93" s="5841"/>
      <c r="K93" s="5841"/>
      <c r="L93" s="6243"/>
    </row>
    <row r="94" spans="1:12" ht="18.75" x14ac:dyDescent="0.3">
      <c r="A94" s="957"/>
      <c r="B94" s="279"/>
      <c r="C94" s="279"/>
      <c r="D94" s="279"/>
      <c r="E94" s="279"/>
      <c r="F94" s="279"/>
      <c r="G94" s="279"/>
      <c r="H94" s="279"/>
      <c r="I94" s="279"/>
      <c r="J94" s="279"/>
      <c r="K94" s="279"/>
      <c r="L94" s="617"/>
    </row>
    <row r="95" spans="1:12" ht="12.75" customHeight="1" x14ac:dyDescent="0.2">
      <c r="A95" s="6248" t="s">
        <v>656</v>
      </c>
      <c r="B95" s="6124"/>
      <c r="C95" s="6124"/>
      <c r="D95" s="6124"/>
      <c r="E95" s="6124"/>
      <c r="F95" s="6249" t="s">
        <v>731</v>
      </c>
      <c r="G95" s="6250" t="s">
        <v>658</v>
      </c>
      <c r="H95" s="279"/>
      <c r="I95" s="279"/>
      <c r="J95" s="279"/>
      <c r="K95" s="279"/>
      <c r="L95" s="617"/>
    </row>
    <row r="96" spans="1:12" x14ac:dyDescent="0.2">
      <c r="A96" s="6248"/>
      <c r="B96" s="6124"/>
      <c r="C96" s="6124"/>
      <c r="D96" s="6124"/>
      <c r="E96" s="6124"/>
      <c r="F96" s="6249"/>
      <c r="G96" s="6250"/>
      <c r="H96" s="279"/>
      <c r="I96" s="279"/>
      <c r="J96" s="279"/>
      <c r="K96" s="279"/>
      <c r="L96" s="617"/>
    </row>
    <row r="97" spans="1:12" ht="13.5" customHeight="1" x14ac:dyDescent="0.2">
      <c r="A97" s="6239" t="s">
        <v>659</v>
      </c>
      <c r="B97" s="6124"/>
      <c r="C97" s="6124"/>
      <c r="D97" s="6124"/>
      <c r="E97" s="6124"/>
      <c r="F97" s="6240">
        <v>951</v>
      </c>
      <c r="G97" s="6241" t="s">
        <v>660</v>
      </c>
      <c r="H97" s="279"/>
      <c r="I97" s="279"/>
      <c r="J97" s="279"/>
      <c r="K97" s="279"/>
      <c r="L97" s="617"/>
    </row>
    <row r="98" spans="1:12" x14ac:dyDescent="0.2">
      <c r="A98" s="6239"/>
      <c r="B98" s="6124"/>
      <c r="C98" s="6124"/>
      <c r="D98" s="6124"/>
      <c r="E98" s="6124"/>
      <c r="F98" s="6240"/>
      <c r="G98" s="6241"/>
      <c r="H98" s="279"/>
      <c r="I98" s="279"/>
      <c r="J98" s="279"/>
      <c r="K98" s="279"/>
      <c r="L98" s="617"/>
    </row>
    <row r="99" spans="1:12" ht="13.5" customHeight="1" x14ac:dyDescent="0.2">
      <c r="A99" s="6239" t="s">
        <v>661</v>
      </c>
      <c r="B99" s="6124"/>
      <c r="C99" s="6124"/>
      <c r="D99" s="6124"/>
      <c r="E99" s="6124"/>
      <c r="F99" s="6240" t="s">
        <v>732</v>
      </c>
      <c r="G99" s="6241" t="s">
        <v>658</v>
      </c>
      <c r="H99" s="279"/>
      <c r="I99" s="279"/>
      <c r="J99" s="279"/>
      <c r="K99" s="279"/>
      <c r="L99" s="617"/>
    </row>
    <row r="100" spans="1:12" ht="13.5" thickBot="1" x14ac:dyDescent="0.25">
      <c r="A100" s="6239"/>
      <c r="B100" s="6124"/>
      <c r="C100" s="6124"/>
      <c r="D100" s="6124"/>
      <c r="E100" s="6124"/>
      <c r="F100" s="6240"/>
      <c r="G100" s="6241"/>
      <c r="H100" s="279"/>
      <c r="I100" s="279"/>
      <c r="J100" s="279"/>
      <c r="K100" s="279"/>
      <c r="L100" s="617"/>
    </row>
    <row r="101" spans="1:12" ht="13.5" thickBot="1" x14ac:dyDescent="0.25">
      <c r="A101" s="951" t="s">
        <v>165</v>
      </c>
      <c r="B101" s="951" t="s">
        <v>437</v>
      </c>
      <c r="C101" s="951" t="s">
        <v>356</v>
      </c>
      <c r="D101" s="337"/>
      <c r="E101" s="6229" t="s">
        <v>438</v>
      </c>
      <c r="F101" s="6230"/>
      <c r="G101" s="6229" t="s">
        <v>439</v>
      </c>
      <c r="H101" s="6231"/>
      <c r="I101" s="6230"/>
      <c r="J101" s="6232" t="s">
        <v>440</v>
      </c>
      <c r="K101" s="6233"/>
      <c r="L101" s="617"/>
    </row>
    <row r="102" spans="1:12" ht="13.5" thickBot="1" x14ac:dyDescent="0.25">
      <c r="A102" s="340" t="s">
        <v>441</v>
      </c>
      <c r="B102" s="340" t="s">
        <v>442</v>
      </c>
      <c r="C102" s="340" t="s">
        <v>443</v>
      </c>
      <c r="D102" s="341" t="s">
        <v>444</v>
      </c>
      <c r="E102" s="950" t="s">
        <v>445</v>
      </c>
      <c r="F102" s="953" t="s">
        <v>446</v>
      </c>
      <c r="G102" s="340" t="s">
        <v>445</v>
      </c>
      <c r="H102" s="341" t="s">
        <v>447</v>
      </c>
      <c r="I102" s="343" t="s">
        <v>446</v>
      </c>
      <c r="J102" s="6234" t="s">
        <v>448</v>
      </c>
      <c r="K102" s="6235"/>
      <c r="L102" s="617"/>
    </row>
    <row r="103" spans="1:12" ht="13.5" thickBot="1" x14ac:dyDescent="0.25">
      <c r="A103" s="949"/>
      <c r="B103" s="949" t="s">
        <v>449</v>
      </c>
      <c r="C103" s="949"/>
      <c r="D103" s="345"/>
      <c r="E103" s="950" t="s">
        <v>447</v>
      </c>
      <c r="F103" s="343" t="s">
        <v>450</v>
      </c>
      <c r="G103" s="952"/>
      <c r="H103" s="346"/>
      <c r="I103" s="343" t="s">
        <v>450</v>
      </c>
      <c r="J103" s="949" t="s">
        <v>451</v>
      </c>
      <c r="K103" s="345" t="s">
        <v>445</v>
      </c>
      <c r="L103" s="617"/>
    </row>
    <row r="104" spans="1:12" ht="13.5" thickBot="1" x14ac:dyDescent="0.25">
      <c r="A104" s="623"/>
      <c r="B104" s="279"/>
      <c r="C104" s="279"/>
      <c r="D104" s="279"/>
      <c r="E104" s="279"/>
      <c r="F104" s="279"/>
      <c r="G104" s="279"/>
      <c r="H104" s="279"/>
      <c r="I104" s="279"/>
      <c r="J104" s="279"/>
      <c r="K104" s="279"/>
      <c r="L104" s="617"/>
    </row>
    <row r="105" spans="1:12" ht="13.5" thickBot="1" x14ac:dyDescent="0.25">
      <c r="A105" s="348">
        <v>1</v>
      </c>
      <c r="B105" s="349">
        <v>2</v>
      </c>
      <c r="C105" s="349">
        <v>3</v>
      </c>
      <c r="D105" s="349">
        <v>4</v>
      </c>
      <c r="E105" s="349">
        <v>5</v>
      </c>
      <c r="F105" s="349">
        <v>6</v>
      </c>
      <c r="G105" s="349">
        <v>7</v>
      </c>
      <c r="H105" s="349">
        <v>8</v>
      </c>
      <c r="I105" s="349">
        <v>9</v>
      </c>
      <c r="J105" s="349">
        <v>10</v>
      </c>
      <c r="K105" s="349">
        <v>11</v>
      </c>
      <c r="L105" s="633"/>
    </row>
    <row r="106" spans="1:12" ht="13.5" thickBot="1" x14ac:dyDescent="0.25">
      <c r="A106" s="609"/>
      <c r="B106" s="610"/>
      <c r="C106" s="610"/>
      <c r="D106" s="610"/>
      <c r="E106" s="610"/>
      <c r="F106" s="610"/>
      <c r="G106" s="610"/>
      <c r="H106" s="610"/>
      <c r="I106" s="610"/>
      <c r="J106" s="610"/>
      <c r="K106" s="610"/>
      <c r="L106" s="633"/>
    </row>
    <row r="107" spans="1:12" ht="13.5" thickBot="1" x14ac:dyDescent="0.25">
      <c r="A107" s="6212"/>
      <c r="B107" s="6213"/>
      <c r="C107" s="6213"/>
      <c r="D107" s="6213"/>
      <c r="E107" s="6213"/>
      <c r="F107" s="6213"/>
      <c r="G107" s="6213"/>
      <c r="H107" s="6213"/>
      <c r="I107" s="6213"/>
      <c r="J107" s="6213"/>
      <c r="K107" s="6214"/>
      <c r="L107" s="633"/>
    </row>
    <row r="108" spans="1:12" ht="13.5" thickBot="1" x14ac:dyDescent="0.25">
      <c r="A108" s="6236" t="s">
        <v>733</v>
      </c>
      <c r="B108" s="6237"/>
      <c r="C108" s="6237"/>
      <c r="D108" s="6237"/>
      <c r="E108" s="6237"/>
      <c r="F108" s="6237"/>
      <c r="G108" s="6237"/>
      <c r="H108" s="6237"/>
      <c r="I108" s="6237"/>
      <c r="J108" s="6237"/>
      <c r="K108" s="6238"/>
      <c r="L108" s="633"/>
    </row>
    <row r="109" spans="1:12" ht="13.5" thickBot="1" x14ac:dyDescent="0.25">
      <c r="A109" s="6212"/>
      <c r="B109" s="6213"/>
      <c r="C109" s="6213"/>
      <c r="D109" s="6213"/>
      <c r="E109" s="6213"/>
      <c r="F109" s="6213"/>
      <c r="G109" s="6213"/>
      <c r="H109" s="6213"/>
      <c r="I109" s="6213"/>
      <c r="J109" s="6213"/>
      <c r="K109" s="6214"/>
      <c r="L109" s="634"/>
    </row>
    <row r="110" spans="1:12" ht="33.75" x14ac:dyDescent="0.2">
      <c r="A110" s="6222">
        <v>1</v>
      </c>
      <c r="B110" s="6224" t="s">
        <v>734</v>
      </c>
      <c r="C110" s="6224" t="s">
        <v>671</v>
      </c>
      <c r="D110" s="355" t="s">
        <v>735</v>
      </c>
      <c r="E110" s="356">
        <v>0.8</v>
      </c>
      <c r="F110" s="357">
        <v>19221.080000000002</v>
      </c>
      <c r="G110" s="357">
        <v>19221.080000000002</v>
      </c>
      <c r="H110" s="6222">
        <v>15377</v>
      </c>
      <c r="I110" s="6222">
        <v>0</v>
      </c>
      <c r="J110" s="357">
        <v>15377</v>
      </c>
      <c r="K110" s="357">
        <v>0</v>
      </c>
      <c r="L110" s="357">
        <v>0</v>
      </c>
    </row>
    <row r="111" spans="1:12" ht="169.5" thickBot="1" x14ac:dyDescent="0.25">
      <c r="A111" s="6223"/>
      <c r="B111" s="6225"/>
      <c r="C111" s="6225"/>
      <c r="D111" s="353" t="s">
        <v>666</v>
      </c>
      <c r="E111" s="354" t="s">
        <v>673</v>
      </c>
      <c r="F111" s="354">
        <v>0</v>
      </c>
      <c r="G111" s="354">
        <v>24389.57</v>
      </c>
      <c r="H111" s="6223"/>
      <c r="I111" s="6223"/>
      <c r="J111" s="354">
        <v>19512</v>
      </c>
      <c r="K111" s="354">
        <v>97.21</v>
      </c>
      <c r="L111" s="354">
        <v>77.77</v>
      </c>
    </row>
    <row r="112" spans="1:12" ht="22.5" x14ac:dyDescent="0.2">
      <c r="A112" s="6222">
        <v>2</v>
      </c>
      <c r="B112" s="6224" t="s">
        <v>736</v>
      </c>
      <c r="C112" s="355" t="s">
        <v>737</v>
      </c>
      <c r="D112" s="356">
        <v>0.2</v>
      </c>
      <c r="E112" s="357">
        <v>110221.54</v>
      </c>
      <c r="F112" s="357">
        <v>49699.94</v>
      </c>
      <c r="G112" s="6222">
        <v>22044</v>
      </c>
      <c r="H112" s="6222">
        <v>12104</v>
      </c>
      <c r="I112" s="357">
        <v>9940</v>
      </c>
      <c r="J112" s="357">
        <v>292.02</v>
      </c>
      <c r="K112" s="357">
        <v>58.4</v>
      </c>
      <c r="L112" s="6228"/>
    </row>
    <row r="113" spans="1:12" ht="33.75" x14ac:dyDescent="0.2">
      <c r="A113" s="6226"/>
      <c r="B113" s="6227"/>
      <c r="C113" s="355" t="s">
        <v>491</v>
      </c>
      <c r="D113" s="357" t="s">
        <v>739</v>
      </c>
      <c r="E113" s="357">
        <v>60521.599999999999</v>
      </c>
      <c r="F113" s="357">
        <v>12684.38</v>
      </c>
      <c r="G113" s="6226"/>
      <c r="H113" s="6226"/>
      <c r="I113" s="357">
        <v>2537</v>
      </c>
      <c r="J113" s="357">
        <v>49.67</v>
      </c>
      <c r="K113" s="357">
        <v>9.93</v>
      </c>
      <c r="L113" s="6211"/>
    </row>
    <row r="114" spans="1:12" ht="34.5" thickBot="1" x14ac:dyDescent="0.25">
      <c r="A114" s="6223"/>
      <c r="B114" s="6225"/>
      <c r="C114" s="353" t="s">
        <v>738</v>
      </c>
      <c r="D114" s="358"/>
      <c r="E114" s="358"/>
      <c r="F114" s="358"/>
      <c r="G114" s="6223"/>
      <c r="H114" s="6223"/>
      <c r="I114" s="358"/>
      <c r="J114" s="358"/>
      <c r="K114" s="358"/>
      <c r="L114" s="6211"/>
    </row>
    <row r="115" spans="1:12" x14ac:dyDescent="0.2">
      <c r="A115" s="6222">
        <v>3</v>
      </c>
      <c r="B115" s="6224" t="s">
        <v>740</v>
      </c>
      <c r="C115" s="355" t="s">
        <v>741</v>
      </c>
      <c r="D115" s="356">
        <v>20</v>
      </c>
      <c r="E115" s="357">
        <v>534.51</v>
      </c>
      <c r="F115" s="357">
        <v>0</v>
      </c>
      <c r="G115" s="6222">
        <v>10690</v>
      </c>
      <c r="H115" s="6222">
        <v>10690</v>
      </c>
      <c r="I115" s="357">
        <v>0</v>
      </c>
      <c r="J115" s="357">
        <v>2.72</v>
      </c>
      <c r="K115" s="357">
        <v>54.48</v>
      </c>
      <c r="L115" s="6211"/>
    </row>
    <row r="116" spans="1:12" x14ac:dyDescent="0.2">
      <c r="A116" s="6226"/>
      <c r="B116" s="6227"/>
      <c r="C116" s="355" t="s">
        <v>491</v>
      </c>
      <c r="D116" s="357" t="s">
        <v>455</v>
      </c>
      <c r="E116" s="357">
        <v>534.51</v>
      </c>
      <c r="F116" s="357">
        <v>0</v>
      </c>
      <c r="G116" s="6226"/>
      <c r="H116" s="6226"/>
      <c r="I116" s="357">
        <v>0</v>
      </c>
      <c r="J116" s="357">
        <v>0</v>
      </c>
      <c r="K116" s="357">
        <v>0</v>
      </c>
      <c r="L116" s="6211"/>
    </row>
    <row r="117" spans="1:12" ht="34.5" thickBot="1" x14ac:dyDescent="0.25">
      <c r="A117" s="6223"/>
      <c r="B117" s="6225"/>
      <c r="C117" s="353" t="s">
        <v>738</v>
      </c>
      <c r="D117" s="358"/>
      <c r="E117" s="358"/>
      <c r="F117" s="358"/>
      <c r="G117" s="6223"/>
      <c r="H117" s="6223"/>
      <c r="I117" s="358"/>
      <c r="J117" s="358"/>
      <c r="K117" s="358"/>
      <c r="L117" s="6211"/>
    </row>
    <row r="118" spans="1:12" x14ac:dyDescent="0.2">
      <c r="A118" s="6222">
        <v>4</v>
      </c>
      <c r="B118" s="6224" t="s">
        <v>742</v>
      </c>
      <c r="C118" s="355" t="s">
        <v>743</v>
      </c>
      <c r="D118" s="356">
        <v>10</v>
      </c>
      <c r="E118" s="357">
        <v>345.7</v>
      </c>
      <c r="F118" s="357">
        <v>63.38</v>
      </c>
      <c r="G118" s="6222">
        <v>3457</v>
      </c>
      <c r="H118" s="6222">
        <v>2823</v>
      </c>
      <c r="I118" s="357">
        <v>634</v>
      </c>
      <c r="J118" s="357">
        <v>1.31</v>
      </c>
      <c r="K118" s="357">
        <v>13.1</v>
      </c>
      <c r="L118" s="6211"/>
    </row>
    <row r="119" spans="1:12" ht="34.5" thickBot="1" x14ac:dyDescent="0.25">
      <c r="A119" s="6223"/>
      <c r="B119" s="6225"/>
      <c r="C119" s="353" t="s">
        <v>666</v>
      </c>
      <c r="D119" s="354" t="s">
        <v>744</v>
      </c>
      <c r="E119" s="354">
        <v>282.32</v>
      </c>
      <c r="F119" s="354">
        <v>0</v>
      </c>
      <c r="G119" s="6223"/>
      <c r="H119" s="6223"/>
      <c r="I119" s="354">
        <v>0</v>
      </c>
      <c r="J119" s="354">
        <v>7.0000000000000007E-2</v>
      </c>
      <c r="K119" s="354">
        <v>0.7</v>
      </c>
      <c r="L119" s="6211"/>
    </row>
    <row r="120" spans="1:12" ht="33.75" x14ac:dyDescent="0.2">
      <c r="A120" s="6222">
        <v>5</v>
      </c>
      <c r="B120" s="6224" t="s">
        <v>489</v>
      </c>
      <c r="C120" s="355" t="s">
        <v>490</v>
      </c>
      <c r="D120" s="356">
        <v>0.8</v>
      </c>
      <c r="E120" s="357">
        <v>64165.23</v>
      </c>
      <c r="F120" s="357">
        <v>8630.9699999999993</v>
      </c>
      <c r="G120" s="6222">
        <v>51332</v>
      </c>
      <c r="H120" s="6222">
        <v>15897</v>
      </c>
      <c r="I120" s="357">
        <v>6905</v>
      </c>
      <c r="J120" s="357">
        <v>95.88</v>
      </c>
      <c r="K120" s="357">
        <v>76.7</v>
      </c>
      <c r="L120" s="6211"/>
    </row>
    <row r="121" spans="1:12" x14ac:dyDescent="0.2">
      <c r="A121" s="6226"/>
      <c r="B121" s="6227"/>
      <c r="C121" s="355" t="s">
        <v>491</v>
      </c>
      <c r="D121" s="357" t="s">
        <v>492</v>
      </c>
      <c r="E121" s="357">
        <v>19871.29</v>
      </c>
      <c r="F121" s="357">
        <v>2421.77</v>
      </c>
      <c r="G121" s="6226"/>
      <c r="H121" s="6226"/>
      <c r="I121" s="357">
        <v>1937</v>
      </c>
      <c r="J121" s="357">
        <v>7.81</v>
      </c>
      <c r="K121" s="357">
        <v>6.25</v>
      </c>
      <c r="L121" s="6211"/>
    </row>
    <row r="122" spans="1:12" ht="34.5" thickBot="1" x14ac:dyDescent="0.25">
      <c r="A122" s="6223"/>
      <c r="B122" s="6225"/>
      <c r="C122" s="353" t="s">
        <v>738</v>
      </c>
      <c r="D122" s="358"/>
      <c r="E122" s="358"/>
      <c r="F122" s="358"/>
      <c r="G122" s="6223"/>
      <c r="H122" s="6223"/>
      <c r="I122" s="358"/>
      <c r="J122" s="358"/>
      <c r="K122" s="358"/>
      <c r="L122" s="6211"/>
    </row>
    <row r="123" spans="1:12" x14ac:dyDescent="0.2">
      <c r="A123" s="6222">
        <v>6</v>
      </c>
      <c r="B123" s="6224" t="s">
        <v>494</v>
      </c>
      <c r="C123" s="355" t="s">
        <v>495</v>
      </c>
      <c r="D123" s="356">
        <v>4.5</v>
      </c>
      <c r="E123" s="357">
        <v>11932</v>
      </c>
      <c r="F123" s="357">
        <v>307.44</v>
      </c>
      <c r="G123" s="6222">
        <v>53694</v>
      </c>
      <c r="H123" s="6222">
        <v>35040</v>
      </c>
      <c r="I123" s="357">
        <v>1383</v>
      </c>
      <c r="J123" s="357">
        <v>38.93</v>
      </c>
      <c r="K123" s="357">
        <v>175.18</v>
      </c>
      <c r="L123" s="6211"/>
    </row>
    <row r="124" spans="1:12" x14ac:dyDescent="0.2">
      <c r="A124" s="6226"/>
      <c r="B124" s="6227"/>
      <c r="C124" s="355" t="s">
        <v>496</v>
      </c>
      <c r="D124" s="357" t="s">
        <v>497</v>
      </c>
      <c r="E124" s="357">
        <v>7786.59</v>
      </c>
      <c r="F124" s="357">
        <v>133.93</v>
      </c>
      <c r="G124" s="6226"/>
      <c r="H124" s="6226"/>
      <c r="I124" s="357">
        <v>603</v>
      </c>
      <c r="J124" s="357">
        <v>0.43</v>
      </c>
      <c r="K124" s="357">
        <v>1.94</v>
      </c>
      <c r="L124" s="6211"/>
    </row>
    <row r="125" spans="1:12" ht="34.5" thickBot="1" x14ac:dyDescent="0.25">
      <c r="A125" s="6223"/>
      <c r="B125" s="6225"/>
      <c r="C125" s="353" t="s">
        <v>738</v>
      </c>
      <c r="D125" s="358"/>
      <c r="E125" s="358"/>
      <c r="F125" s="358"/>
      <c r="G125" s="6223"/>
      <c r="H125" s="6223"/>
      <c r="I125" s="358"/>
      <c r="J125" s="358"/>
      <c r="K125" s="358"/>
      <c r="L125" s="6211"/>
    </row>
    <row r="126" spans="1:12" x14ac:dyDescent="0.2">
      <c r="A126" s="6222">
        <v>7</v>
      </c>
      <c r="B126" s="6224" t="s">
        <v>498</v>
      </c>
      <c r="C126" s="355" t="s">
        <v>499</v>
      </c>
      <c r="D126" s="356">
        <v>3.4</v>
      </c>
      <c r="E126" s="357">
        <v>13649.9</v>
      </c>
      <c r="F126" s="357">
        <v>54.34</v>
      </c>
      <c r="G126" s="6222">
        <v>46410</v>
      </c>
      <c r="H126" s="6222">
        <v>25063</v>
      </c>
      <c r="I126" s="357">
        <v>185</v>
      </c>
      <c r="J126" s="357">
        <v>34.65</v>
      </c>
      <c r="K126" s="357">
        <v>117.81</v>
      </c>
      <c r="L126" s="6211"/>
    </row>
    <row r="127" spans="1:12" x14ac:dyDescent="0.2">
      <c r="A127" s="6226"/>
      <c r="B127" s="6227"/>
      <c r="C127" s="355" t="s">
        <v>496</v>
      </c>
      <c r="D127" s="357" t="s">
        <v>492</v>
      </c>
      <c r="E127" s="357">
        <v>7371.52</v>
      </c>
      <c r="F127" s="357">
        <v>0</v>
      </c>
      <c r="G127" s="6226"/>
      <c r="H127" s="6226"/>
      <c r="I127" s="357">
        <v>0</v>
      </c>
      <c r="J127" s="357">
        <v>0.06</v>
      </c>
      <c r="K127" s="357">
        <v>0.2</v>
      </c>
      <c r="L127" s="6211"/>
    </row>
    <row r="128" spans="1:12" ht="34.5" thickBot="1" x14ac:dyDescent="0.25">
      <c r="A128" s="6223"/>
      <c r="B128" s="6225"/>
      <c r="C128" s="353" t="s">
        <v>738</v>
      </c>
      <c r="D128" s="358"/>
      <c r="E128" s="358"/>
      <c r="F128" s="358"/>
      <c r="G128" s="6223"/>
      <c r="H128" s="6223"/>
      <c r="I128" s="358"/>
      <c r="J128" s="358"/>
      <c r="K128" s="358"/>
      <c r="L128" s="6211"/>
    </row>
    <row r="129" spans="1:12" ht="22.5" x14ac:dyDescent="0.2">
      <c r="A129" s="6222">
        <v>8</v>
      </c>
      <c r="B129" s="6224" t="s">
        <v>745</v>
      </c>
      <c r="C129" s="355" t="s">
        <v>746</v>
      </c>
      <c r="D129" s="356">
        <v>20</v>
      </c>
      <c r="E129" s="357">
        <v>1297.83</v>
      </c>
      <c r="F129" s="357">
        <v>27.64</v>
      </c>
      <c r="G129" s="6222">
        <v>25957</v>
      </c>
      <c r="H129" s="6222">
        <v>25404</v>
      </c>
      <c r="I129" s="357">
        <v>553</v>
      </c>
      <c r="J129" s="357">
        <v>6.58</v>
      </c>
      <c r="K129" s="357">
        <v>131.6</v>
      </c>
      <c r="L129" s="6211"/>
    </row>
    <row r="130" spans="1:12" ht="34.5" thickBot="1" x14ac:dyDescent="0.25">
      <c r="A130" s="6223"/>
      <c r="B130" s="6225"/>
      <c r="C130" s="353" t="s">
        <v>666</v>
      </c>
      <c r="D130" s="354" t="s">
        <v>747</v>
      </c>
      <c r="E130" s="354">
        <v>1270.19</v>
      </c>
      <c r="F130" s="354">
        <v>0</v>
      </c>
      <c r="G130" s="6223"/>
      <c r="H130" s="6223"/>
      <c r="I130" s="354">
        <v>0</v>
      </c>
      <c r="J130" s="354">
        <v>0</v>
      </c>
      <c r="K130" s="354">
        <v>0</v>
      </c>
      <c r="L130" s="6211"/>
    </row>
    <row r="131" spans="1:12" x14ac:dyDescent="0.2">
      <c r="A131" s="6222">
        <v>9</v>
      </c>
      <c r="B131" s="6224" t="s">
        <v>748</v>
      </c>
      <c r="C131" s="355" t="s">
        <v>749</v>
      </c>
      <c r="D131" s="356">
        <v>25</v>
      </c>
      <c r="E131" s="357">
        <v>336.26</v>
      </c>
      <c r="F131" s="357">
        <v>90.6</v>
      </c>
      <c r="G131" s="6222">
        <v>8406</v>
      </c>
      <c r="H131" s="6222">
        <v>6142</v>
      </c>
      <c r="I131" s="357">
        <v>2265</v>
      </c>
      <c r="J131" s="357">
        <v>1.1399999999999999</v>
      </c>
      <c r="K131" s="357">
        <v>28.5</v>
      </c>
      <c r="L131" s="6211"/>
    </row>
    <row r="132" spans="1:12" ht="34.5" thickBot="1" x14ac:dyDescent="0.25">
      <c r="A132" s="6223"/>
      <c r="B132" s="6225"/>
      <c r="C132" s="353" t="s">
        <v>666</v>
      </c>
      <c r="D132" s="354" t="s">
        <v>750</v>
      </c>
      <c r="E132" s="354">
        <v>245.66</v>
      </c>
      <c r="F132" s="354">
        <v>0</v>
      </c>
      <c r="G132" s="6223"/>
      <c r="H132" s="6223"/>
      <c r="I132" s="354">
        <v>0</v>
      </c>
      <c r="J132" s="354">
        <v>0.1</v>
      </c>
      <c r="K132" s="354">
        <v>2.5</v>
      </c>
      <c r="L132" s="6211"/>
    </row>
    <row r="133" spans="1:12" x14ac:dyDescent="0.2">
      <c r="A133" s="6222">
        <v>10</v>
      </c>
      <c r="B133" s="6224" t="s">
        <v>751</v>
      </c>
      <c r="C133" s="355" t="s">
        <v>752</v>
      </c>
      <c r="D133" s="356">
        <v>10</v>
      </c>
      <c r="E133" s="357">
        <v>491.39</v>
      </c>
      <c r="F133" s="357">
        <v>90.6</v>
      </c>
      <c r="G133" s="6222">
        <v>4914</v>
      </c>
      <c r="H133" s="6222">
        <v>4008</v>
      </c>
      <c r="I133" s="357">
        <v>906</v>
      </c>
      <c r="J133" s="357">
        <v>1.86</v>
      </c>
      <c r="K133" s="357">
        <v>18.600000000000001</v>
      </c>
      <c r="L133" s="6211"/>
    </row>
    <row r="134" spans="1:12" ht="34.5" thickBot="1" x14ac:dyDescent="0.25">
      <c r="A134" s="6223"/>
      <c r="B134" s="6225"/>
      <c r="C134" s="353" t="s">
        <v>666</v>
      </c>
      <c r="D134" s="354" t="s">
        <v>750</v>
      </c>
      <c r="E134" s="354">
        <v>400.79</v>
      </c>
      <c r="F134" s="354">
        <v>0</v>
      </c>
      <c r="G134" s="6223"/>
      <c r="H134" s="6223"/>
      <c r="I134" s="354">
        <v>0</v>
      </c>
      <c r="J134" s="354">
        <v>0.1</v>
      </c>
      <c r="K134" s="354">
        <v>1</v>
      </c>
      <c r="L134" s="6211"/>
    </row>
    <row r="135" spans="1:12" x14ac:dyDescent="0.2">
      <c r="A135" s="6222">
        <v>11</v>
      </c>
      <c r="B135" s="6224" t="s">
        <v>753</v>
      </c>
      <c r="C135" s="355" t="s">
        <v>754</v>
      </c>
      <c r="D135" s="356">
        <v>10</v>
      </c>
      <c r="E135" s="357">
        <v>1049.04</v>
      </c>
      <c r="F135" s="357">
        <v>521.05999999999995</v>
      </c>
      <c r="G135" s="6222">
        <v>10490</v>
      </c>
      <c r="H135" s="6222">
        <v>5280</v>
      </c>
      <c r="I135" s="357">
        <v>5211</v>
      </c>
      <c r="J135" s="357">
        <v>2.4500000000000002</v>
      </c>
      <c r="K135" s="357">
        <v>24.5</v>
      </c>
      <c r="L135" s="6211"/>
    </row>
    <row r="136" spans="1:12" ht="34.5" thickBot="1" x14ac:dyDescent="0.25">
      <c r="A136" s="6223"/>
      <c r="B136" s="6225"/>
      <c r="C136" s="353" t="s">
        <v>666</v>
      </c>
      <c r="D136" s="354" t="s">
        <v>750</v>
      </c>
      <c r="E136" s="354">
        <v>527.98</v>
      </c>
      <c r="F136" s="354">
        <v>124.7</v>
      </c>
      <c r="G136" s="6223"/>
      <c r="H136" s="6223"/>
      <c r="I136" s="354">
        <v>1247</v>
      </c>
      <c r="J136" s="354">
        <v>0.47</v>
      </c>
      <c r="K136" s="354">
        <v>4.7</v>
      </c>
      <c r="L136" s="6211"/>
    </row>
    <row r="137" spans="1:12" ht="22.5" x14ac:dyDescent="0.2">
      <c r="A137" s="6222">
        <v>12</v>
      </c>
      <c r="B137" s="6224" t="s">
        <v>452</v>
      </c>
      <c r="C137" s="355" t="s">
        <v>453</v>
      </c>
      <c r="D137" s="356">
        <v>10</v>
      </c>
      <c r="E137" s="357">
        <v>4803.8100000000004</v>
      </c>
      <c r="F137" s="357">
        <v>90.6</v>
      </c>
      <c r="G137" s="6222">
        <v>48038</v>
      </c>
      <c r="H137" s="6222">
        <v>9637</v>
      </c>
      <c r="I137" s="357">
        <v>906</v>
      </c>
      <c r="J137" s="357">
        <v>4.53</v>
      </c>
      <c r="K137" s="357">
        <v>45.3</v>
      </c>
      <c r="L137" s="6211"/>
    </row>
    <row r="138" spans="1:12" ht="34.5" thickBot="1" x14ac:dyDescent="0.25">
      <c r="A138" s="6223"/>
      <c r="B138" s="6225"/>
      <c r="C138" s="353" t="s">
        <v>666</v>
      </c>
      <c r="D138" s="354" t="s">
        <v>455</v>
      </c>
      <c r="E138" s="354">
        <v>963.68</v>
      </c>
      <c r="F138" s="354">
        <v>0</v>
      </c>
      <c r="G138" s="6223"/>
      <c r="H138" s="6223"/>
      <c r="I138" s="354">
        <v>0</v>
      </c>
      <c r="J138" s="354">
        <v>0.1</v>
      </c>
      <c r="K138" s="354">
        <v>1</v>
      </c>
      <c r="L138" s="6211"/>
    </row>
    <row r="139" spans="1:12" ht="22.5" x14ac:dyDescent="0.2">
      <c r="A139" s="6222">
        <v>13</v>
      </c>
      <c r="B139" s="6224" t="s">
        <v>456</v>
      </c>
      <c r="C139" s="355" t="s">
        <v>457</v>
      </c>
      <c r="D139" s="356">
        <v>6</v>
      </c>
      <c r="E139" s="357">
        <v>1472.01</v>
      </c>
      <c r="F139" s="357">
        <v>9.0399999999999991</v>
      </c>
      <c r="G139" s="6222">
        <v>8832</v>
      </c>
      <c r="H139" s="6222">
        <v>1339</v>
      </c>
      <c r="I139" s="357">
        <v>54</v>
      </c>
      <c r="J139" s="357">
        <v>1.01</v>
      </c>
      <c r="K139" s="357">
        <v>6.06</v>
      </c>
      <c r="L139" s="6211"/>
    </row>
    <row r="140" spans="1:12" ht="57" thickBot="1" x14ac:dyDescent="0.25">
      <c r="A140" s="6223"/>
      <c r="B140" s="6225"/>
      <c r="C140" s="353" t="s">
        <v>666</v>
      </c>
      <c r="D140" s="354" t="s">
        <v>458</v>
      </c>
      <c r="E140" s="354">
        <v>223.21</v>
      </c>
      <c r="F140" s="354">
        <v>0</v>
      </c>
      <c r="G140" s="6223"/>
      <c r="H140" s="6223"/>
      <c r="I140" s="354">
        <v>0</v>
      </c>
      <c r="J140" s="354">
        <v>0.01</v>
      </c>
      <c r="K140" s="354">
        <v>0.06</v>
      </c>
      <c r="L140" s="6211"/>
    </row>
    <row r="141" spans="1:12" ht="22.5" x14ac:dyDescent="0.2">
      <c r="A141" s="6222">
        <v>14</v>
      </c>
      <c r="B141" s="6224" t="s">
        <v>459</v>
      </c>
      <c r="C141" s="355" t="s">
        <v>460</v>
      </c>
      <c r="D141" s="356">
        <v>6</v>
      </c>
      <c r="E141" s="357">
        <v>2364.29</v>
      </c>
      <c r="F141" s="357">
        <v>27.22</v>
      </c>
      <c r="G141" s="6222">
        <v>14186</v>
      </c>
      <c r="H141" s="6222">
        <v>2215</v>
      </c>
      <c r="I141" s="357">
        <v>163</v>
      </c>
      <c r="J141" s="357">
        <v>1.67</v>
      </c>
      <c r="K141" s="357">
        <v>10.02</v>
      </c>
      <c r="L141" s="6211"/>
    </row>
    <row r="142" spans="1:12" ht="57" thickBot="1" x14ac:dyDescent="0.25">
      <c r="A142" s="6223"/>
      <c r="B142" s="6225"/>
      <c r="C142" s="353" t="s">
        <v>666</v>
      </c>
      <c r="D142" s="354" t="s">
        <v>458</v>
      </c>
      <c r="E142" s="354">
        <v>369.11</v>
      </c>
      <c r="F142" s="354">
        <v>0</v>
      </c>
      <c r="G142" s="6223"/>
      <c r="H142" s="6223"/>
      <c r="I142" s="354">
        <v>0</v>
      </c>
      <c r="J142" s="354">
        <v>0.03</v>
      </c>
      <c r="K142" s="354">
        <v>0.18</v>
      </c>
      <c r="L142" s="6211"/>
    </row>
    <row r="143" spans="1:12" ht="22.5" x14ac:dyDescent="0.2">
      <c r="A143" s="6222">
        <v>15</v>
      </c>
      <c r="B143" s="6224" t="s">
        <v>461</v>
      </c>
      <c r="C143" s="355" t="s">
        <v>462</v>
      </c>
      <c r="D143" s="356">
        <v>5</v>
      </c>
      <c r="E143" s="357">
        <v>2703.56</v>
      </c>
      <c r="F143" s="357">
        <v>27.22</v>
      </c>
      <c r="G143" s="6222">
        <v>13518</v>
      </c>
      <c r="H143" s="6222">
        <v>1878</v>
      </c>
      <c r="I143" s="357">
        <v>136</v>
      </c>
      <c r="J143" s="357">
        <v>1.7</v>
      </c>
      <c r="K143" s="357">
        <v>8.5</v>
      </c>
      <c r="L143" s="6211"/>
    </row>
    <row r="144" spans="1:12" ht="57" thickBot="1" x14ac:dyDescent="0.25">
      <c r="A144" s="6223"/>
      <c r="B144" s="6225"/>
      <c r="C144" s="353" t="s">
        <v>666</v>
      </c>
      <c r="D144" s="354" t="s">
        <v>458</v>
      </c>
      <c r="E144" s="354">
        <v>375.6</v>
      </c>
      <c r="F144" s="354">
        <v>0</v>
      </c>
      <c r="G144" s="6223"/>
      <c r="H144" s="6223"/>
      <c r="I144" s="354">
        <v>0</v>
      </c>
      <c r="J144" s="354">
        <v>0.03</v>
      </c>
      <c r="K144" s="354">
        <v>0.15</v>
      </c>
      <c r="L144" s="6211"/>
    </row>
    <row r="145" spans="1:12" ht="22.5" x14ac:dyDescent="0.2">
      <c r="A145" s="6222">
        <v>16</v>
      </c>
      <c r="B145" s="6224" t="s">
        <v>463</v>
      </c>
      <c r="C145" s="355" t="s">
        <v>464</v>
      </c>
      <c r="D145" s="356">
        <v>4</v>
      </c>
      <c r="E145" s="357">
        <v>4736.55</v>
      </c>
      <c r="F145" s="357">
        <v>63.38</v>
      </c>
      <c r="G145" s="6222">
        <v>18946</v>
      </c>
      <c r="H145" s="6222">
        <v>2515</v>
      </c>
      <c r="I145" s="357">
        <v>254</v>
      </c>
      <c r="J145" s="357">
        <v>2.78</v>
      </c>
      <c r="K145" s="357">
        <v>11.12</v>
      </c>
      <c r="L145" s="6211"/>
    </row>
    <row r="146" spans="1:12" ht="57" thickBot="1" x14ac:dyDescent="0.25">
      <c r="A146" s="6223"/>
      <c r="B146" s="6225"/>
      <c r="C146" s="353" t="s">
        <v>666</v>
      </c>
      <c r="D146" s="354" t="s">
        <v>458</v>
      </c>
      <c r="E146" s="354">
        <v>628.74</v>
      </c>
      <c r="F146" s="354">
        <v>0</v>
      </c>
      <c r="G146" s="6223"/>
      <c r="H146" s="6223"/>
      <c r="I146" s="354">
        <v>0</v>
      </c>
      <c r="J146" s="354">
        <v>7.0000000000000007E-2</v>
      </c>
      <c r="K146" s="354">
        <v>0.28000000000000003</v>
      </c>
      <c r="L146" s="6211"/>
    </row>
    <row r="147" spans="1:12" ht="22.5" x14ac:dyDescent="0.2">
      <c r="A147" s="6222">
        <v>17</v>
      </c>
      <c r="B147" s="6224" t="s">
        <v>465</v>
      </c>
      <c r="C147" s="355" t="s">
        <v>466</v>
      </c>
      <c r="D147" s="356">
        <v>4</v>
      </c>
      <c r="E147" s="357">
        <v>7296.17</v>
      </c>
      <c r="F147" s="357">
        <v>500.38</v>
      </c>
      <c r="G147" s="6222">
        <v>29185</v>
      </c>
      <c r="H147" s="6222">
        <v>3599</v>
      </c>
      <c r="I147" s="357">
        <v>2002</v>
      </c>
      <c r="J147" s="357">
        <v>3.93</v>
      </c>
      <c r="K147" s="357">
        <v>15.72</v>
      </c>
      <c r="L147" s="6211"/>
    </row>
    <row r="148" spans="1:12" ht="57" thickBot="1" x14ac:dyDescent="0.25">
      <c r="A148" s="6223"/>
      <c r="B148" s="6225"/>
      <c r="C148" s="353" t="s">
        <v>666</v>
      </c>
      <c r="D148" s="354" t="s">
        <v>458</v>
      </c>
      <c r="E148" s="354">
        <v>899.84</v>
      </c>
      <c r="F148" s="354">
        <v>89.04</v>
      </c>
      <c r="G148" s="6223"/>
      <c r="H148" s="6223"/>
      <c r="I148" s="354">
        <v>356</v>
      </c>
      <c r="J148" s="354">
        <v>0.36</v>
      </c>
      <c r="K148" s="354">
        <v>1.44</v>
      </c>
      <c r="L148" s="6211"/>
    </row>
    <row r="149" spans="1:12" ht="22.5" x14ac:dyDescent="0.2">
      <c r="A149" s="6222">
        <v>18</v>
      </c>
      <c r="B149" s="6224" t="s">
        <v>467</v>
      </c>
      <c r="C149" s="355" t="s">
        <v>468</v>
      </c>
      <c r="D149" s="356">
        <v>0.1</v>
      </c>
      <c r="E149" s="357">
        <v>127224.66</v>
      </c>
      <c r="F149" s="357">
        <v>36.26</v>
      </c>
      <c r="G149" s="6222">
        <v>12722</v>
      </c>
      <c r="H149" s="6222">
        <v>11222</v>
      </c>
      <c r="I149" s="357">
        <v>4</v>
      </c>
      <c r="J149" s="357">
        <v>520.79999999999995</v>
      </c>
      <c r="K149" s="357">
        <v>52.08</v>
      </c>
      <c r="L149" s="6211"/>
    </row>
    <row r="150" spans="1:12" ht="34.5" thickBot="1" x14ac:dyDescent="0.25">
      <c r="A150" s="6223"/>
      <c r="B150" s="6225"/>
      <c r="C150" s="353" t="s">
        <v>666</v>
      </c>
      <c r="D150" s="354" t="s">
        <v>469</v>
      </c>
      <c r="E150" s="354">
        <v>112222.52</v>
      </c>
      <c r="F150" s="354">
        <v>0</v>
      </c>
      <c r="G150" s="6223"/>
      <c r="H150" s="6223"/>
      <c r="I150" s="354">
        <v>0</v>
      </c>
      <c r="J150" s="354">
        <v>0.04</v>
      </c>
      <c r="K150" s="354">
        <v>0</v>
      </c>
      <c r="L150" s="6211"/>
    </row>
    <row r="151" spans="1:12" ht="22.5" x14ac:dyDescent="0.2">
      <c r="A151" s="6222">
        <v>19</v>
      </c>
      <c r="B151" s="6224" t="s">
        <v>470</v>
      </c>
      <c r="C151" s="355" t="s">
        <v>471</v>
      </c>
      <c r="D151" s="356">
        <v>0.06</v>
      </c>
      <c r="E151" s="357">
        <v>184530.95</v>
      </c>
      <c r="F151" s="357">
        <v>63.38</v>
      </c>
      <c r="G151" s="6222">
        <v>11072</v>
      </c>
      <c r="H151" s="6222">
        <v>9479</v>
      </c>
      <c r="I151" s="357">
        <v>4</v>
      </c>
      <c r="J151" s="357">
        <v>733.2</v>
      </c>
      <c r="K151" s="357">
        <v>43.99</v>
      </c>
      <c r="L151" s="6211"/>
    </row>
    <row r="152" spans="1:12" ht="34.5" thickBot="1" x14ac:dyDescent="0.25">
      <c r="A152" s="6223"/>
      <c r="B152" s="6225"/>
      <c r="C152" s="353" t="s">
        <v>666</v>
      </c>
      <c r="D152" s="354" t="s">
        <v>469</v>
      </c>
      <c r="E152" s="354">
        <v>157991.16</v>
      </c>
      <c r="F152" s="354">
        <v>0</v>
      </c>
      <c r="G152" s="6223"/>
      <c r="H152" s="6223"/>
      <c r="I152" s="354">
        <v>0</v>
      </c>
      <c r="J152" s="354">
        <v>7.0000000000000007E-2</v>
      </c>
      <c r="K152" s="354">
        <v>0</v>
      </c>
      <c r="L152" s="6211"/>
    </row>
    <row r="153" spans="1:12" ht="22.5" x14ac:dyDescent="0.2">
      <c r="A153" s="6222">
        <v>20</v>
      </c>
      <c r="B153" s="6224" t="s">
        <v>472</v>
      </c>
      <c r="C153" s="355" t="s">
        <v>473</v>
      </c>
      <c r="D153" s="356">
        <v>0.06</v>
      </c>
      <c r="E153" s="357">
        <v>249630.38</v>
      </c>
      <c r="F153" s="357">
        <v>81.56</v>
      </c>
      <c r="G153" s="6222">
        <v>14978</v>
      </c>
      <c r="H153" s="6222">
        <v>12766</v>
      </c>
      <c r="I153" s="357">
        <v>5</v>
      </c>
      <c r="J153" s="357">
        <v>987.4</v>
      </c>
      <c r="K153" s="357">
        <v>59.24</v>
      </c>
      <c r="L153" s="6211"/>
    </row>
    <row r="154" spans="1:12" ht="34.5" thickBot="1" x14ac:dyDescent="0.25">
      <c r="A154" s="6223"/>
      <c r="B154" s="6225"/>
      <c r="C154" s="353" t="s">
        <v>666</v>
      </c>
      <c r="D154" s="354" t="s">
        <v>469</v>
      </c>
      <c r="E154" s="354">
        <v>212766.63</v>
      </c>
      <c r="F154" s="354">
        <v>0</v>
      </c>
      <c r="G154" s="6223"/>
      <c r="H154" s="6223"/>
      <c r="I154" s="354">
        <v>0</v>
      </c>
      <c r="J154" s="354">
        <v>0.09</v>
      </c>
      <c r="K154" s="354">
        <v>0.01</v>
      </c>
      <c r="L154" s="6211"/>
    </row>
    <row r="155" spans="1:12" ht="13.5" thickBot="1" x14ac:dyDescent="0.25">
      <c r="A155" s="6212"/>
      <c r="B155" s="6213"/>
      <c r="C155" s="6213"/>
      <c r="D155" s="6213"/>
      <c r="E155" s="6213"/>
      <c r="F155" s="6213"/>
      <c r="G155" s="6213"/>
      <c r="H155" s="6213"/>
      <c r="I155" s="6213"/>
      <c r="J155" s="6213"/>
      <c r="K155" s="6214"/>
      <c r="L155" s="633"/>
    </row>
    <row r="156" spans="1:12" x14ac:dyDescent="0.2">
      <c r="A156" s="6215" t="s">
        <v>691</v>
      </c>
      <c r="B156" s="6216"/>
      <c r="C156" s="6216"/>
      <c r="D156" s="6216"/>
      <c r="E156" s="6216"/>
      <c r="F156" s="6218"/>
      <c r="G156" s="6218">
        <v>424248</v>
      </c>
      <c r="H156" s="6218">
        <v>197101</v>
      </c>
      <c r="I156" s="624">
        <v>46887</v>
      </c>
      <c r="J156" s="6218"/>
      <c r="K156" s="357">
        <v>950.91</v>
      </c>
      <c r="L156" s="6211"/>
    </row>
    <row r="157" spans="1:12" ht="13.5" thickBot="1" x14ac:dyDescent="0.25">
      <c r="A157" s="6217"/>
      <c r="B157" s="6210"/>
      <c r="C157" s="6210"/>
      <c r="D157" s="6210"/>
      <c r="E157" s="6210"/>
      <c r="F157" s="6219"/>
      <c r="G157" s="6219"/>
      <c r="H157" s="6219"/>
      <c r="I157" s="954">
        <v>26192</v>
      </c>
      <c r="J157" s="6219"/>
      <c r="K157" s="354">
        <v>108.11</v>
      </c>
      <c r="L157" s="6211"/>
    </row>
    <row r="158" spans="1:12" ht="26.25" thickBot="1" x14ac:dyDescent="0.25">
      <c r="A158" s="6220" t="s">
        <v>869</v>
      </c>
      <c r="B158" s="6221"/>
      <c r="C158" s="6221"/>
      <c r="D158" s="6221"/>
      <c r="E158" s="6221"/>
      <c r="F158" s="6221"/>
      <c r="G158" s="1395"/>
      <c r="H158" s="1395"/>
      <c r="I158" s="1564">
        <f>G156-H156-I156-I157</f>
        <v>154068</v>
      </c>
      <c r="J158" s="954"/>
      <c r="K158" s="354"/>
      <c r="L158" s="633"/>
    </row>
    <row r="159" spans="1:12" ht="13.5" thickBot="1" x14ac:dyDescent="0.25">
      <c r="A159" s="6212"/>
      <c r="B159" s="6213"/>
      <c r="C159" s="6213"/>
      <c r="D159" s="6213"/>
      <c r="E159" s="6213"/>
      <c r="F159" s="6213"/>
      <c r="G159" s="6213"/>
      <c r="H159" s="6213"/>
      <c r="I159" s="6213"/>
      <c r="J159" s="6213"/>
      <c r="K159" s="6214"/>
      <c r="L159" s="633"/>
    </row>
    <row r="160" spans="1:12" hidden="1" x14ac:dyDescent="0.2">
      <c r="A160" s="6215" t="s">
        <v>692</v>
      </c>
      <c r="B160" s="6216"/>
      <c r="C160" s="6216"/>
      <c r="D160" s="6216"/>
      <c r="E160" s="6216"/>
      <c r="F160" s="6218"/>
      <c r="G160" s="6218">
        <v>424248</v>
      </c>
      <c r="H160" s="6218">
        <v>197101</v>
      </c>
      <c r="I160" s="624">
        <v>46887</v>
      </c>
      <c r="J160" s="6218"/>
      <c r="K160" s="357">
        <v>950.91</v>
      </c>
      <c r="L160" s="6211"/>
    </row>
    <row r="161" spans="1:12" ht="13.5" hidden="1" thickBot="1" x14ac:dyDescent="0.25">
      <c r="A161" s="6217"/>
      <c r="B161" s="6210"/>
      <c r="C161" s="6210"/>
      <c r="D161" s="6210"/>
      <c r="E161" s="6210"/>
      <c r="F161" s="6219"/>
      <c r="G161" s="6219"/>
      <c r="H161" s="6219"/>
      <c r="I161" s="954">
        <v>26192</v>
      </c>
      <c r="J161" s="6219"/>
      <c r="K161" s="354">
        <v>108.11</v>
      </c>
      <c r="L161" s="6211"/>
    </row>
    <row r="162" spans="1:12" ht="13.5" hidden="1" thickBot="1" x14ac:dyDescent="0.25">
      <c r="A162" s="609"/>
      <c r="B162" s="610"/>
      <c r="C162" s="610"/>
      <c r="D162" s="610"/>
      <c r="E162" s="610"/>
      <c r="F162" s="610"/>
      <c r="G162" s="610"/>
      <c r="H162" s="610"/>
      <c r="I162" s="610"/>
      <c r="J162" s="610"/>
      <c r="K162" s="610"/>
      <c r="L162" s="633"/>
    </row>
    <row r="163" spans="1:12" hidden="1" x14ac:dyDescent="0.2">
      <c r="A163" s="626"/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  <c r="L163" s="617"/>
    </row>
    <row r="164" spans="1:12" hidden="1" x14ac:dyDescent="0.2">
      <c r="A164" s="626"/>
      <c r="B164" s="279"/>
      <c r="C164" s="6207" t="s">
        <v>693</v>
      </c>
      <c r="D164" s="6124"/>
      <c r="E164" s="6124"/>
      <c r="F164" s="6124"/>
      <c r="G164" s="6124"/>
      <c r="H164" s="6124"/>
      <c r="I164" s="6207" t="s">
        <v>694</v>
      </c>
      <c r="J164" s="6207" t="s">
        <v>695</v>
      </c>
      <c r="K164" s="958" t="s">
        <v>559</v>
      </c>
      <c r="L164" s="617"/>
    </row>
    <row r="165" spans="1:12" hidden="1" x14ac:dyDescent="0.2">
      <c r="A165" s="626"/>
      <c r="B165" s="279"/>
      <c r="C165" s="6207"/>
      <c r="D165" s="6124"/>
      <c r="E165" s="6124"/>
      <c r="F165" s="6124"/>
      <c r="G165" s="6124"/>
      <c r="H165" s="6124"/>
      <c r="I165" s="6207"/>
      <c r="J165" s="6207"/>
      <c r="K165" s="958" t="s">
        <v>696</v>
      </c>
      <c r="L165" s="617"/>
    </row>
    <row r="166" spans="1:12" ht="13.5" hidden="1" thickBot="1" x14ac:dyDescent="0.25">
      <c r="A166" s="626"/>
      <c r="B166" s="279"/>
      <c r="C166" s="960"/>
      <c r="D166" s="960"/>
      <c r="E166" s="960"/>
      <c r="F166" s="960"/>
      <c r="G166" s="279"/>
      <c r="H166" s="279"/>
      <c r="I166" s="960"/>
      <c r="J166" s="960"/>
      <c r="K166" s="960"/>
      <c r="L166" s="617"/>
    </row>
    <row r="167" spans="1:12" ht="13.5" hidden="1" thickBot="1" x14ac:dyDescent="0.25">
      <c r="A167" s="626"/>
      <c r="B167" s="279"/>
      <c r="C167" s="6207" t="s">
        <v>54</v>
      </c>
      <c r="D167" s="6124"/>
      <c r="E167" s="6124"/>
      <c r="F167" s="6124"/>
      <c r="G167" s="6124"/>
      <c r="H167" s="6124"/>
      <c r="I167" s="954"/>
      <c r="J167" s="954"/>
      <c r="K167" s="954" t="s">
        <v>755</v>
      </c>
      <c r="L167" s="617"/>
    </row>
    <row r="168" spans="1:12" ht="13.5" hidden="1" thickBot="1" x14ac:dyDescent="0.25">
      <c r="A168" s="626"/>
      <c r="B168" s="279"/>
      <c r="C168" s="6207" t="s">
        <v>702</v>
      </c>
      <c r="D168" s="6124"/>
      <c r="E168" s="6124"/>
      <c r="F168" s="6124"/>
      <c r="G168" s="6124"/>
      <c r="H168" s="6124"/>
      <c r="I168" s="954">
        <v>0.6</v>
      </c>
      <c r="J168" s="954">
        <v>71</v>
      </c>
      <c r="K168" s="954" t="s">
        <v>756</v>
      </c>
      <c r="L168" s="617"/>
    </row>
    <row r="169" spans="1:12" ht="13.5" hidden="1" thickBot="1" x14ac:dyDescent="0.25">
      <c r="A169" s="626"/>
      <c r="B169" s="279"/>
      <c r="C169" s="6207" t="s">
        <v>757</v>
      </c>
      <c r="D169" s="6124"/>
      <c r="E169" s="6124"/>
      <c r="F169" s="6124"/>
      <c r="G169" s="6124"/>
      <c r="H169" s="6124"/>
      <c r="I169" s="954">
        <v>0.6</v>
      </c>
      <c r="J169" s="954">
        <v>93</v>
      </c>
      <c r="K169" s="954" t="s">
        <v>758</v>
      </c>
      <c r="L169" s="617"/>
    </row>
    <row r="170" spans="1:12" ht="13.5" hidden="1" thickBot="1" x14ac:dyDescent="0.25">
      <c r="A170" s="626"/>
      <c r="B170" s="279"/>
      <c r="C170" s="6207" t="s">
        <v>706</v>
      </c>
      <c r="D170" s="6124"/>
      <c r="E170" s="6124"/>
      <c r="F170" s="6124"/>
      <c r="G170" s="6124"/>
      <c r="H170" s="6124"/>
      <c r="I170" s="954">
        <v>0.6</v>
      </c>
      <c r="J170" s="954">
        <v>92</v>
      </c>
      <c r="K170" s="954" t="s">
        <v>759</v>
      </c>
      <c r="L170" s="617"/>
    </row>
    <row r="171" spans="1:12" ht="13.5" hidden="1" thickBot="1" x14ac:dyDescent="0.25">
      <c r="A171" s="626"/>
      <c r="B171" s="279"/>
      <c r="C171" s="6207" t="s">
        <v>704</v>
      </c>
      <c r="D171" s="6124"/>
      <c r="E171" s="6124"/>
      <c r="F171" s="6124"/>
      <c r="G171" s="6124"/>
      <c r="H171" s="6124"/>
      <c r="I171" s="954">
        <v>0.6</v>
      </c>
      <c r="J171" s="954">
        <v>116</v>
      </c>
      <c r="K171" s="954" t="s">
        <v>760</v>
      </c>
      <c r="L171" s="617"/>
    </row>
    <row r="172" spans="1:12" ht="13.5" hidden="1" thickBot="1" x14ac:dyDescent="0.25">
      <c r="A172" s="626"/>
      <c r="B172" s="279"/>
      <c r="C172" s="6207" t="s">
        <v>761</v>
      </c>
      <c r="D172" s="6124"/>
      <c r="E172" s="6124"/>
      <c r="F172" s="6124"/>
      <c r="G172" s="6124"/>
      <c r="H172" s="6124"/>
      <c r="I172" s="954">
        <v>0.6</v>
      </c>
      <c r="J172" s="954">
        <v>77</v>
      </c>
      <c r="K172" s="954" t="s">
        <v>762</v>
      </c>
      <c r="L172" s="617"/>
    </row>
    <row r="173" spans="1:12" ht="13.5" hidden="1" thickBot="1" x14ac:dyDescent="0.25">
      <c r="A173" s="626"/>
      <c r="B173" s="279"/>
      <c r="C173" s="6207" t="s">
        <v>763</v>
      </c>
      <c r="D173" s="6124"/>
      <c r="E173" s="6124"/>
      <c r="F173" s="6124"/>
      <c r="G173" s="6124"/>
      <c r="H173" s="6124"/>
      <c r="I173" s="954">
        <v>0.6</v>
      </c>
      <c r="J173" s="954">
        <v>83</v>
      </c>
      <c r="K173" s="954" t="s">
        <v>764</v>
      </c>
      <c r="L173" s="617"/>
    </row>
    <row r="174" spans="1:12" ht="13.5" hidden="1" thickBot="1" x14ac:dyDescent="0.25">
      <c r="A174" s="626"/>
      <c r="B174" s="279"/>
      <c r="C174" s="6207" t="s">
        <v>765</v>
      </c>
      <c r="D174" s="6124"/>
      <c r="E174" s="6124"/>
      <c r="F174" s="6124"/>
      <c r="G174" s="6124"/>
      <c r="H174" s="6124"/>
      <c r="I174" s="954">
        <v>0.7</v>
      </c>
      <c r="J174" s="954">
        <v>66</v>
      </c>
      <c r="K174" s="954" t="s">
        <v>766</v>
      </c>
      <c r="L174" s="617"/>
    </row>
    <row r="175" spans="1:12" ht="13.5" hidden="1" thickBot="1" x14ac:dyDescent="0.25">
      <c r="A175" s="626"/>
      <c r="B175" s="279"/>
      <c r="C175" s="6207" t="s">
        <v>767</v>
      </c>
      <c r="D175" s="6124"/>
      <c r="E175" s="6124"/>
      <c r="F175" s="6124"/>
      <c r="G175" s="6124"/>
      <c r="H175" s="6124"/>
      <c r="I175" s="954">
        <v>0.6</v>
      </c>
      <c r="J175" s="954">
        <v>92</v>
      </c>
      <c r="K175" s="954" t="s">
        <v>768</v>
      </c>
      <c r="L175" s="617"/>
    </row>
    <row r="176" spans="1:12" ht="13.5" hidden="1" thickBot="1" x14ac:dyDescent="0.25">
      <c r="A176" s="626"/>
      <c r="B176" s="279"/>
      <c r="C176" s="6207" t="s">
        <v>708</v>
      </c>
      <c r="D176" s="6124"/>
      <c r="E176" s="6124"/>
      <c r="F176" s="6124"/>
      <c r="G176" s="6124"/>
      <c r="H176" s="6124"/>
      <c r="I176" s="954"/>
      <c r="J176" s="954"/>
      <c r="K176" s="954" t="s">
        <v>769</v>
      </c>
      <c r="L176" s="617"/>
    </row>
    <row r="177" spans="1:12" ht="13.5" hidden="1" thickBot="1" x14ac:dyDescent="0.25">
      <c r="A177" s="626"/>
      <c r="B177" s="279"/>
      <c r="C177" s="6207" t="s">
        <v>54</v>
      </c>
      <c r="D177" s="6124"/>
      <c r="E177" s="6124"/>
      <c r="F177" s="6124"/>
      <c r="G177" s="6124"/>
      <c r="H177" s="6124"/>
      <c r="I177" s="954"/>
      <c r="J177" s="954"/>
      <c r="K177" s="954" t="s">
        <v>770</v>
      </c>
      <c r="L177" s="617"/>
    </row>
    <row r="178" spans="1:12" ht="13.5" hidden="1" thickBot="1" x14ac:dyDescent="0.25">
      <c r="A178" s="626"/>
      <c r="B178" s="279"/>
      <c r="C178" s="6207" t="s">
        <v>715</v>
      </c>
      <c r="D178" s="6124"/>
      <c r="E178" s="6124"/>
      <c r="F178" s="6124"/>
      <c r="G178" s="6124"/>
      <c r="H178" s="6124"/>
      <c r="I178" s="954"/>
      <c r="J178" s="954">
        <v>36</v>
      </c>
      <c r="K178" s="954" t="s">
        <v>771</v>
      </c>
      <c r="L178" s="617"/>
    </row>
    <row r="179" spans="1:12" ht="13.5" hidden="1" thickBot="1" x14ac:dyDescent="0.25">
      <c r="A179" s="626"/>
      <c r="B179" s="279"/>
      <c r="C179" s="6207" t="s">
        <v>772</v>
      </c>
      <c r="D179" s="6124"/>
      <c r="E179" s="6124"/>
      <c r="F179" s="6124"/>
      <c r="G179" s="6124"/>
      <c r="H179" s="6124"/>
      <c r="I179" s="954"/>
      <c r="J179" s="954">
        <v>48</v>
      </c>
      <c r="K179" s="954" t="s">
        <v>773</v>
      </c>
      <c r="L179" s="617"/>
    </row>
    <row r="180" spans="1:12" ht="13.5" hidden="1" thickBot="1" x14ac:dyDescent="0.25">
      <c r="A180" s="626"/>
      <c r="B180" s="279"/>
      <c r="C180" s="6207" t="s">
        <v>719</v>
      </c>
      <c r="D180" s="6124"/>
      <c r="E180" s="6124"/>
      <c r="F180" s="6124"/>
      <c r="G180" s="6124"/>
      <c r="H180" s="6124"/>
      <c r="I180" s="954"/>
      <c r="J180" s="954">
        <v>54</v>
      </c>
      <c r="K180" s="954" t="s">
        <v>774</v>
      </c>
      <c r="L180" s="617"/>
    </row>
    <row r="181" spans="1:12" ht="13.5" hidden="1" thickBot="1" x14ac:dyDescent="0.25">
      <c r="A181" s="626"/>
      <c r="B181" s="279"/>
      <c r="C181" s="6207" t="s">
        <v>717</v>
      </c>
      <c r="D181" s="6124"/>
      <c r="E181" s="6124"/>
      <c r="F181" s="6124"/>
      <c r="G181" s="6124"/>
      <c r="H181" s="6124"/>
      <c r="I181" s="954"/>
      <c r="J181" s="954">
        <v>61</v>
      </c>
      <c r="K181" s="954" t="s">
        <v>775</v>
      </c>
      <c r="L181" s="617"/>
    </row>
    <row r="182" spans="1:12" ht="13.5" hidden="1" thickBot="1" x14ac:dyDescent="0.25">
      <c r="A182" s="626"/>
      <c r="B182" s="279"/>
      <c r="C182" s="6207" t="s">
        <v>776</v>
      </c>
      <c r="D182" s="6124"/>
      <c r="E182" s="6124"/>
      <c r="F182" s="6124"/>
      <c r="G182" s="6124"/>
      <c r="H182" s="6124"/>
      <c r="I182" s="954"/>
      <c r="J182" s="954">
        <v>56</v>
      </c>
      <c r="K182" s="954" t="s">
        <v>777</v>
      </c>
      <c r="L182" s="617"/>
    </row>
    <row r="183" spans="1:12" ht="13.5" hidden="1" thickBot="1" x14ac:dyDescent="0.25">
      <c r="A183" s="626"/>
      <c r="B183" s="279"/>
      <c r="C183" s="6207" t="s">
        <v>778</v>
      </c>
      <c r="D183" s="6124"/>
      <c r="E183" s="6124"/>
      <c r="F183" s="6124"/>
      <c r="G183" s="6124"/>
      <c r="H183" s="6124"/>
      <c r="I183" s="954"/>
      <c r="J183" s="954">
        <v>60</v>
      </c>
      <c r="K183" s="954" t="s">
        <v>779</v>
      </c>
      <c r="L183" s="617"/>
    </row>
    <row r="184" spans="1:12" ht="13.5" hidden="1" thickBot="1" x14ac:dyDescent="0.25">
      <c r="A184" s="626"/>
      <c r="B184" s="279"/>
      <c r="C184" s="6207" t="s">
        <v>780</v>
      </c>
      <c r="D184" s="6124"/>
      <c r="E184" s="6124"/>
      <c r="F184" s="6124"/>
      <c r="G184" s="6124"/>
      <c r="H184" s="6124"/>
      <c r="I184" s="954"/>
      <c r="J184" s="954">
        <v>40</v>
      </c>
      <c r="K184" s="954" t="s">
        <v>781</v>
      </c>
      <c r="L184" s="617"/>
    </row>
    <row r="185" spans="1:12" ht="13.5" hidden="1" thickBot="1" x14ac:dyDescent="0.25">
      <c r="A185" s="626"/>
      <c r="B185" s="279"/>
      <c r="C185" s="6207" t="s">
        <v>717</v>
      </c>
      <c r="D185" s="6124"/>
      <c r="E185" s="6124"/>
      <c r="F185" s="6124"/>
      <c r="G185" s="6124"/>
      <c r="H185" s="6124"/>
      <c r="I185" s="954"/>
      <c r="J185" s="954">
        <v>71</v>
      </c>
      <c r="K185" s="954" t="s">
        <v>782</v>
      </c>
      <c r="L185" s="617"/>
    </row>
    <row r="186" spans="1:12" ht="13.5" hidden="1" thickBot="1" x14ac:dyDescent="0.25">
      <c r="A186" s="626"/>
      <c r="B186" s="279"/>
      <c r="C186" s="6207" t="s">
        <v>783</v>
      </c>
      <c r="D186" s="6124"/>
      <c r="E186" s="6124"/>
      <c r="F186" s="6124"/>
      <c r="G186" s="6124"/>
      <c r="H186" s="6124"/>
      <c r="I186" s="954"/>
      <c r="J186" s="954">
        <v>48</v>
      </c>
      <c r="K186" s="954" t="s">
        <v>784</v>
      </c>
      <c r="L186" s="617"/>
    </row>
    <row r="187" spans="1:12" ht="13.5" hidden="1" thickBot="1" x14ac:dyDescent="0.25">
      <c r="A187" s="626"/>
      <c r="B187" s="279"/>
      <c r="C187" s="6207" t="s">
        <v>721</v>
      </c>
      <c r="D187" s="6124"/>
      <c r="E187" s="6124"/>
      <c r="F187" s="6124"/>
      <c r="G187" s="6124"/>
      <c r="H187" s="6124"/>
      <c r="I187" s="954"/>
      <c r="J187" s="954"/>
      <c r="K187" s="954" t="s">
        <v>785</v>
      </c>
      <c r="L187" s="617"/>
    </row>
    <row r="188" spans="1:12" ht="13.5" hidden="1" thickBot="1" x14ac:dyDescent="0.25">
      <c r="A188" s="626"/>
      <c r="B188" s="279"/>
      <c r="C188" s="6207" t="s">
        <v>54</v>
      </c>
      <c r="D188" s="6124"/>
      <c r="E188" s="6124"/>
      <c r="F188" s="6124"/>
      <c r="G188" s="6124"/>
      <c r="H188" s="6124"/>
      <c r="I188" s="954"/>
      <c r="J188" s="954"/>
      <c r="K188" s="954" t="s">
        <v>786</v>
      </c>
      <c r="L188" s="617"/>
    </row>
    <row r="189" spans="1:12" ht="13.5" hidden="1" thickBot="1" x14ac:dyDescent="0.25">
      <c r="A189" s="626"/>
      <c r="B189" s="279"/>
      <c r="C189" s="6207" t="s">
        <v>280</v>
      </c>
      <c r="D189" s="6124"/>
      <c r="E189" s="6124"/>
      <c r="F189" s="6124"/>
      <c r="G189" s="6124"/>
      <c r="H189" s="6124"/>
      <c r="I189" s="954"/>
      <c r="J189" s="954"/>
      <c r="K189" s="954" t="s">
        <v>786</v>
      </c>
      <c r="L189" s="617"/>
    </row>
    <row r="190" spans="1:12" ht="13.5" hidden="1" thickBot="1" x14ac:dyDescent="0.25">
      <c r="A190" s="626"/>
      <c r="B190" s="279"/>
      <c r="C190" s="6207" t="s">
        <v>724</v>
      </c>
      <c r="D190" s="6124"/>
      <c r="E190" s="6124"/>
      <c r="F190" s="6124"/>
      <c r="G190" s="6124"/>
      <c r="H190" s="6124"/>
      <c r="I190" s="954"/>
      <c r="J190" s="954">
        <v>18</v>
      </c>
      <c r="K190" s="954" t="s">
        <v>787</v>
      </c>
      <c r="L190" s="617"/>
    </row>
    <row r="191" spans="1:12" ht="13.5" hidden="1" thickBot="1" x14ac:dyDescent="0.25">
      <c r="A191" s="626"/>
      <c r="B191" s="279"/>
      <c r="C191" s="6207" t="s">
        <v>280</v>
      </c>
      <c r="D191" s="6124"/>
      <c r="E191" s="6124"/>
      <c r="F191" s="6124"/>
      <c r="G191" s="6124"/>
      <c r="H191" s="6124"/>
      <c r="I191" s="954"/>
      <c r="J191" s="954"/>
      <c r="K191" s="954" t="s">
        <v>731</v>
      </c>
      <c r="L191" s="617"/>
    </row>
    <row r="192" spans="1:12" ht="13.5" hidden="1" thickBot="1" x14ac:dyDescent="0.25">
      <c r="A192" s="613"/>
      <c r="B192" s="612"/>
      <c r="C192" s="6210" t="s">
        <v>726</v>
      </c>
      <c r="D192" s="4911"/>
      <c r="E192" s="4911"/>
      <c r="F192" s="4911"/>
      <c r="G192" s="4911"/>
      <c r="H192" s="4911"/>
      <c r="I192" s="954"/>
      <c r="J192" s="954"/>
      <c r="K192" s="954" t="s">
        <v>731</v>
      </c>
      <c r="L192" s="608"/>
    </row>
    <row r="193" spans="1:12" ht="15.75" hidden="1" x14ac:dyDescent="0.25">
      <c r="C193" s="611"/>
      <c r="D193" s="611"/>
      <c r="E193" s="611"/>
      <c r="F193" s="611"/>
      <c r="K193" s="636">
        <v>772319</v>
      </c>
    </row>
    <row r="194" spans="1:12" ht="15.75" x14ac:dyDescent="0.25">
      <c r="A194" s="637" t="s">
        <v>870</v>
      </c>
      <c r="B194" s="637"/>
      <c r="C194" s="637"/>
      <c r="D194" s="637"/>
      <c r="E194" s="637"/>
      <c r="F194" s="637"/>
      <c r="G194" s="637"/>
      <c r="H194" s="637"/>
      <c r="I194" s="6206">
        <f>SUM(K82+K193)</f>
        <v>1593616</v>
      </c>
      <c r="J194" s="6206"/>
      <c r="K194" s="6206"/>
      <c r="L194" s="637"/>
    </row>
    <row r="196" spans="1:12" ht="13.5" thickBot="1" x14ac:dyDescent="0.25"/>
    <row r="197" spans="1:12" ht="27" thickBot="1" x14ac:dyDescent="0.45">
      <c r="A197" s="6208" t="s">
        <v>871</v>
      </c>
      <c r="B197" s="6209"/>
      <c r="C197" s="6209"/>
      <c r="D197" s="6209"/>
      <c r="E197" s="6209"/>
      <c r="F197" s="6209"/>
      <c r="G197" s="1565"/>
      <c r="H197" s="1565"/>
      <c r="I197" s="1566">
        <f>I158+I55</f>
        <v>256133</v>
      </c>
      <c r="J197" s="1393"/>
      <c r="K197" s="1393"/>
      <c r="L197" s="1393"/>
    </row>
  </sheetData>
  <mergeCells count="277"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1501</v>
      </c>
    </row>
    <row r="2" spans="1:11" ht="18.75" x14ac:dyDescent="0.3">
      <c r="A2" s="6251" t="s">
        <v>789</v>
      </c>
      <c r="B2" s="6252"/>
      <c r="C2" s="6252"/>
      <c r="D2" s="6252"/>
      <c r="E2" s="6252"/>
      <c r="F2" s="6252"/>
      <c r="G2" s="6252"/>
      <c r="H2" s="6252"/>
      <c r="I2" s="6252"/>
      <c r="J2" s="6252"/>
      <c r="K2" s="6257"/>
    </row>
    <row r="3" spans="1:11" ht="13.5" x14ac:dyDescent="0.25">
      <c r="A3" s="6253" t="s">
        <v>650</v>
      </c>
      <c r="B3" s="6124"/>
      <c r="C3" s="6124"/>
      <c r="D3" s="6124"/>
      <c r="E3" s="6124"/>
      <c r="F3" s="6124"/>
      <c r="G3" s="6124"/>
      <c r="H3" s="6124"/>
      <c r="I3" s="6124"/>
      <c r="J3" s="6124"/>
      <c r="K3" s="6125"/>
    </row>
    <row r="4" spans="1:11" ht="18.75" x14ac:dyDescent="0.3">
      <c r="A4" s="616"/>
      <c r="B4" s="279"/>
      <c r="C4" s="279"/>
      <c r="D4" s="279"/>
      <c r="E4" s="279"/>
      <c r="F4" s="279"/>
      <c r="G4" s="279"/>
      <c r="H4" s="279"/>
      <c r="I4" s="279"/>
      <c r="J4" s="279"/>
      <c r="K4" s="617"/>
    </row>
    <row r="5" spans="1:11" ht="18.75" x14ac:dyDescent="0.3">
      <c r="A5" s="6254" t="s">
        <v>790</v>
      </c>
      <c r="B5" s="6124"/>
      <c r="C5" s="6124"/>
      <c r="D5" s="6124"/>
      <c r="E5" s="6124"/>
      <c r="F5" s="6124"/>
      <c r="G5" s="6124"/>
      <c r="H5" s="6124"/>
      <c r="I5" s="6124"/>
      <c r="J5" s="6124"/>
      <c r="K5" s="6125"/>
    </row>
    <row r="6" spans="1:11" ht="18" x14ac:dyDescent="0.25">
      <c r="A6" s="618" t="s">
        <v>652</v>
      </c>
      <c r="B6" s="279"/>
      <c r="C6" s="279"/>
      <c r="D6" s="279"/>
      <c r="E6" s="279"/>
      <c r="F6" s="279"/>
      <c r="G6" s="279"/>
      <c r="H6" s="279"/>
      <c r="I6" s="279"/>
      <c r="J6" s="279"/>
      <c r="K6" s="617"/>
    </row>
    <row r="7" spans="1:11" ht="15" x14ac:dyDescent="0.2">
      <c r="A7" s="6242" t="s">
        <v>487</v>
      </c>
      <c r="B7" s="6124"/>
      <c r="C7" s="6124"/>
      <c r="D7" s="6124"/>
      <c r="E7" s="6124"/>
      <c r="F7" s="6124"/>
      <c r="G7" s="6124"/>
      <c r="H7" s="6124"/>
      <c r="I7" s="6124"/>
      <c r="J7" s="6124"/>
      <c r="K7" s="6125"/>
    </row>
    <row r="8" spans="1:11" ht="18.75" x14ac:dyDescent="0.3">
      <c r="A8" s="957"/>
      <c r="B8" s="279"/>
      <c r="C8" s="279"/>
      <c r="D8" s="279"/>
      <c r="E8" s="279"/>
      <c r="F8" s="279"/>
      <c r="G8" s="279"/>
      <c r="H8" s="279"/>
      <c r="I8" s="279"/>
      <c r="J8" s="279"/>
      <c r="K8" s="617"/>
    </row>
    <row r="9" spans="1:11" x14ac:dyDescent="0.2">
      <c r="A9" s="6239" t="s">
        <v>653</v>
      </c>
      <c r="B9" s="6124"/>
      <c r="C9" s="6124"/>
      <c r="D9" s="6124"/>
      <c r="E9" s="6124"/>
      <c r="F9" s="6124"/>
      <c r="G9" s="6124"/>
      <c r="H9" s="6124"/>
      <c r="I9" s="6124"/>
      <c r="J9" s="6124"/>
      <c r="K9" s="6125"/>
    </row>
    <row r="10" spans="1:11" ht="13.5" x14ac:dyDescent="0.2">
      <c r="A10" s="959"/>
      <c r="B10" s="632"/>
      <c r="C10" s="279"/>
      <c r="D10" s="279"/>
      <c r="E10" s="279"/>
      <c r="F10" s="279"/>
      <c r="G10" s="279"/>
      <c r="H10" s="279"/>
      <c r="I10" s="279"/>
      <c r="J10" s="279"/>
      <c r="K10" s="617"/>
    </row>
    <row r="11" spans="1:11" x14ac:dyDescent="0.2">
      <c r="A11" s="6239" t="s">
        <v>654</v>
      </c>
      <c r="B11" s="6124"/>
      <c r="C11" s="6124"/>
      <c r="D11" s="6241" t="s">
        <v>791</v>
      </c>
      <c r="E11" s="6124"/>
      <c r="F11" s="6124"/>
      <c r="G11" s="6124"/>
      <c r="H11" s="6124"/>
      <c r="I11" s="6124"/>
      <c r="J11" s="6124"/>
      <c r="K11" s="6125"/>
    </row>
    <row r="12" spans="1:11" ht="18.75" x14ac:dyDescent="0.3">
      <c r="A12" s="957"/>
      <c r="B12" s="279"/>
      <c r="C12" s="279"/>
      <c r="D12" s="279"/>
      <c r="E12" s="279"/>
      <c r="F12" s="279"/>
      <c r="G12" s="279"/>
      <c r="H12" s="279"/>
      <c r="I12" s="279"/>
      <c r="J12" s="279"/>
      <c r="K12" s="617"/>
    </row>
    <row r="13" spans="1:11" ht="12.75" customHeight="1" x14ac:dyDescent="0.2">
      <c r="A13" s="6248" t="s">
        <v>656</v>
      </c>
      <c r="B13" s="6124"/>
      <c r="C13" s="6124"/>
      <c r="D13" s="6124"/>
      <c r="E13" s="6124"/>
      <c r="F13" s="6124"/>
      <c r="G13" s="6249" t="s">
        <v>792</v>
      </c>
      <c r="H13" s="6250" t="s">
        <v>658</v>
      </c>
      <c r="I13" s="279"/>
      <c r="J13" s="279"/>
      <c r="K13" s="617"/>
    </row>
    <row r="14" spans="1:11" x14ac:dyDescent="0.2">
      <c r="A14" s="6248"/>
      <c r="B14" s="6124"/>
      <c r="C14" s="6124"/>
      <c r="D14" s="6124"/>
      <c r="E14" s="6124"/>
      <c r="F14" s="6124"/>
      <c r="G14" s="6249"/>
      <c r="H14" s="6250"/>
      <c r="I14" s="279"/>
      <c r="J14" s="279"/>
      <c r="K14" s="617"/>
    </row>
    <row r="15" spans="1:11" ht="15" customHeight="1" x14ac:dyDescent="0.2">
      <c r="A15" s="6239" t="s">
        <v>659</v>
      </c>
      <c r="B15" s="6124"/>
      <c r="C15" s="6124"/>
      <c r="D15" s="6124"/>
      <c r="E15" s="6124"/>
      <c r="F15" s="6124"/>
      <c r="G15" s="6240">
        <v>854</v>
      </c>
      <c r="H15" s="6241" t="s">
        <v>660</v>
      </c>
      <c r="I15" s="279"/>
      <c r="J15" s="279"/>
      <c r="K15" s="617"/>
    </row>
    <row r="16" spans="1:11" x14ac:dyDescent="0.2">
      <c r="A16" s="6239"/>
      <c r="B16" s="6124"/>
      <c r="C16" s="6124"/>
      <c r="D16" s="6124"/>
      <c r="E16" s="6124"/>
      <c r="F16" s="6124"/>
      <c r="G16" s="6240"/>
      <c r="H16" s="6241"/>
      <c r="I16" s="279"/>
      <c r="J16" s="279"/>
      <c r="K16" s="617"/>
    </row>
    <row r="17" spans="1:11" ht="13.5" customHeight="1" x14ac:dyDescent="0.2">
      <c r="A17" s="6239" t="s">
        <v>661</v>
      </c>
      <c r="B17" s="6124"/>
      <c r="C17" s="6124"/>
      <c r="D17" s="6124"/>
      <c r="E17" s="6124"/>
      <c r="F17" s="6124"/>
      <c r="G17" s="6240" t="s">
        <v>793</v>
      </c>
      <c r="H17" s="6241" t="s">
        <v>658</v>
      </c>
      <c r="I17" s="279"/>
      <c r="J17" s="279"/>
      <c r="K17" s="617"/>
    </row>
    <row r="18" spans="1:11" ht="3.75" customHeight="1" x14ac:dyDescent="0.2">
      <c r="A18" s="6239"/>
      <c r="B18" s="6124"/>
      <c r="C18" s="6124"/>
      <c r="D18" s="6124"/>
      <c r="E18" s="6124"/>
      <c r="F18" s="6124"/>
      <c r="G18" s="6240"/>
      <c r="H18" s="6241"/>
      <c r="I18" s="279"/>
      <c r="J18" s="279"/>
      <c r="K18" s="617"/>
    </row>
    <row r="19" spans="1:11" ht="19.5" thickBot="1" x14ac:dyDescent="0.35">
      <c r="A19" s="639" t="s">
        <v>239</v>
      </c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951" t="s">
        <v>165</v>
      </c>
      <c r="B20" s="951" t="s">
        <v>437</v>
      </c>
      <c r="C20" s="951" t="s">
        <v>356</v>
      </c>
      <c r="D20" s="337"/>
      <c r="E20" s="6229" t="s">
        <v>438</v>
      </c>
      <c r="F20" s="6230"/>
      <c r="G20" s="6229" t="s">
        <v>439</v>
      </c>
      <c r="H20" s="6231"/>
      <c r="I20" s="6230"/>
      <c r="J20" s="6232" t="s">
        <v>440</v>
      </c>
      <c r="K20" s="6233"/>
    </row>
    <row r="21" spans="1:11" ht="13.5" thickBot="1" x14ac:dyDescent="0.25">
      <c r="A21" s="340" t="s">
        <v>441</v>
      </c>
      <c r="B21" s="340" t="s">
        <v>442</v>
      </c>
      <c r="C21" s="340" t="s">
        <v>443</v>
      </c>
      <c r="D21" s="341" t="s">
        <v>444</v>
      </c>
      <c r="E21" s="950" t="s">
        <v>445</v>
      </c>
      <c r="F21" s="953" t="s">
        <v>446</v>
      </c>
      <c r="G21" s="340" t="s">
        <v>445</v>
      </c>
      <c r="H21" s="341" t="s">
        <v>447</v>
      </c>
      <c r="I21" s="343" t="s">
        <v>446</v>
      </c>
      <c r="J21" s="6234" t="s">
        <v>448</v>
      </c>
      <c r="K21" s="6235"/>
    </row>
    <row r="22" spans="1:11" ht="13.5" thickBot="1" x14ac:dyDescent="0.25">
      <c r="A22" s="949"/>
      <c r="B22" s="949" t="s">
        <v>449</v>
      </c>
      <c r="C22" s="949"/>
      <c r="D22" s="345"/>
      <c r="E22" s="950" t="s">
        <v>447</v>
      </c>
      <c r="F22" s="343" t="s">
        <v>450</v>
      </c>
      <c r="G22" s="952"/>
      <c r="H22" s="346"/>
      <c r="I22" s="343" t="s">
        <v>450</v>
      </c>
      <c r="J22" s="949" t="s">
        <v>451</v>
      </c>
      <c r="K22" s="345" t="s">
        <v>445</v>
      </c>
    </row>
    <row r="23" spans="1:11" ht="13.5" thickBot="1" x14ac:dyDescent="0.25">
      <c r="A23" s="623"/>
      <c r="B23" s="279"/>
      <c r="C23" s="279"/>
      <c r="D23" s="279"/>
      <c r="E23" s="279"/>
      <c r="F23" s="279"/>
      <c r="G23" s="279"/>
      <c r="H23" s="279"/>
      <c r="I23" s="279"/>
      <c r="J23" s="279"/>
      <c r="K23" s="617"/>
    </row>
    <row r="24" spans="1:11" ht="13.5" thickBot="1" x14ac:dyDescent="0.25">
      <c r="A24" s="348">
        <v>1</v>
      </c>
      <c r="B24" s="349">
        <v>2</v>
      </c>
      <c r="C24" s="349">
        <v>3</v>
      </c>
      <c r="D24" s="349">
        <v>4</v>
      </c>
      <c r="E24" s="349">
        <v>5</v>
      </c>
      <c r="F24" s="349">
        <v>6</v>
      </c>
      <c r="G24" s="349">
        <v>7</v>
      </c>
      <c r="H24" s="349">
        <v>8</v>
      </c>
      <c r="I24" s="349">
        <v>9</v>
      </c>
      <c r="J24" s="349">
        <v>10</v>
      </c>
      <c r="K24" s="349">
        <v>11</v>
      </c>
    </row>
    <row r="25" spans="1:11" ht="13.5" thickBot="1" x14ac:dyDescent="0.25">
      <c r="A25" s="609"/>
      <c r="B25" s="610"/>
      <c r="C25" s="610"/>
      <c r="D25" s="610"/>
      <c r="E25" s="610"/>
      <c r="F25" s="610"/>
      <c r="G25" s="610"/>
      <c r="H25" s="610"/>
      <c r="I25" s="610"/>
      <c r="J25" s="610"/>
      <c r="K25" s="610"/>
    </row>
    <row r="26" spans="1:11" ht="13.5" thickBot="1" x14ac:dyDescent="0.25">
      <c r="A26" s="6212"/>
      <c r="B26" s="6213"/>
      <c r="C26" s="6213"/>
      <c r="D26" s="6213"/>
      <c r="E26" s="6213"/>
      <c r="F26" s="6213"/>
      <c r="G26" s="6213"/>
      <c r="H26" s="6213"/>
      <c r="I26" s="6213"/>
      <c r="J26" s="6213"/>
      <c r="K26" s="6214"/>
    </row>
    <row r="27" spans="1:11" ht="13.5" thickBot="1" x14ac:dyDescent="0.25">
      <c r="A27" s="6236" t="s">
        <v>794</v>
      </c>
      <c r="B27" s="6237"/>
      <c r="C27" s="6237"/>
      <c r="D27" s="6237"/>
      <c r="E27" s="6237"/>
      <c r="F27" s="6237"/>
      <c r="G27" s="6237"/>
      <c r="H27" s="6237"/>
      <c r="I27" s="6237"/>
      <c r="J27" s="6237"/>
      <c r="K27" s="6238"/>
    </row>
    <row r="28" spans="1:11" ht="13.5" thickBot="1" x14ac:dyDescent="0.25">
      <c r="A28" s="6212"/>
      <c r="B28" s="6213"/>
      <c r="C28" s="6213"/>
      <c r="D28" s="6213"/>
      <c r="E28" s="6213"/>
      <c r="F28" s="6213"/>
      <c r="G28" s="6213"/>
      <c r="H28" s="6213"/>
      <c r="I28" s="6213"/>
      <c r="J28" s="6213"/>
      <c r="K28" s="6214"/>
    </row>
    <row r="29" spans="1:11" x14ac:dyDescent="0.2">
      <c r="A29" s="6222">
        <v>1</v>
      </c>
      <c r="B29" s="6224" t="s">
        <v>671</v>
      </c>
      <c r="C29" s="355" t="s">
        <v>735</v>
      </c>
      <c r="D29" s="356">
        <v>0.8</v>
      </c>
      <c r="E29" s="357">
        <v>21330.04</v>
      </c>
      <c r="F29" s="357">
        <v>21330.04</v>
      </c>
      <c r="G29" s="6222">
        <v>17064</v>
      </c>
      <c r="H29" s="6222">
        <v>0</v>
      </c>
      <c r="I29" s="357">
        <v>17064</v>
      </c>
      <c r="J29" s="357">
        <v>0</v>
      </c>
      <c r="K29" s="357">
        <v>0</v>
      </c>
    </row>
    <row r="30" spans="1:11" ht="34.5" customHeight="1" thickBot="1" x14ac:dyDescent="0.25">
      <c r="A30" s="6223"/>
      <c r="B30" s="6225"/>
      <c r="C30" s="353" t="s">
        <v>795</v>
      </c>
      <c r="D30" s="354" t="s">
        <v>673</v>
      </c>
      <c r="E30" s="354">
        <v>0</v>
      </c>
      <c r="F30" s="354">
        <v>24389.57</v>
      </c>
      <c r="G30" s="6223"/>
      <c r="H30" s="6223"/>
      <c r="I30" s="354">
        <v>19512</v>
      </c>
      <c r="J30" s="354">
        <v>97.21</v>
      </c>
      <c r="K30" s="354">
        <v>77.77</v>
      </c>
    </row>
    <row r="31" spans="1:11" ht="22.5" customHeight="1" x14ac:dyDescent="0.2">
      <c r="A31" s="6222">
        <v>2</v>
      </c>
      <c r="B31" s="6224" t="s">
        <v>745</v>
      </c>
      <c r="C31" s="355" t="s">
        <v>746</v>
      </c>
      <c r="D31" s="356">
        <v>20</v>
      </c>
      <c r="E31" s="357">
        <v>1300.8599999999999</v>
      </c>
      <c r="F31" s="357">
        <v>30.67</v>
      </c>
      <c r="G31" s="6222">
        <v>26017</v>
      </c>
      <c r="H31" s="6222">
        <v>25404</v>
      </c>
      <c r="I31" s="357">
        <v>613</v>
      </c>
      <c r="J31" s="357">
        <v>6.58</v>
      </c>
      <c r="K31" s="357">
        <v>131.6</v>
      </c>
    </row>
    <row r="32" spans="1:11" ht="33" customHeight="1" thickBot="1" x14ac:dyDescent="0.25">
      <c r="A32" s="6223"/>
      <c r="B32" s="6225"/>
      <c r="C32" s="353" t="s">
        <v>795</v>
      </c>
      <c r="D32" s="354" t="s">
        <v>747</v>
      </c>
      <c r="E32" s="354">
        <v>1270.19</v>
      </c>
      <c r="F32" s="354">
        <v>0</v>
      </c>
      <c r="G32" s="6223"/>
      <c r="H32" s="6223"/>
      <c r="I32" s="354">
        <v>0</v>
      </c>
      <c r="J32" s="354">
        <v>0</v>
      </c>
      <c r="K32" s="354">
        <v>0</v>
      </c>
    </row>
    <row r="33" spans="1:11" ht="22.5" customHeight="1" x14ac:dyDescent="0.2">
      <c r="A33" s="6222">
        <v>3</v>
      </c>
      <c r="B33" s="6224" t="s">
        <v>736</v>
      </c>
      <c r="C33" s="355" t="s">
        <v>737</v>
      </c>
      <c r="D33" s="356">
        <v>0.2</v>
      </c>
      <c r="E33" s="357">
        <v>115674.66</v>
      </c>
      <c r="F33" s="357">
        <v>55153.06</v>
      </c>
      <c r="G33" s="6222">
        <v>23135</v>
      </c>
      <c r="H33" s="6222">
        <v>12104</v>
      </c>
      <c r="I33" s="357">
        <v>11031</v>
      </c>
      <c r="J33" s="357">
        <v>292.02</v>
      </c>
      <c r="K33" s="357">
        <v>58.4</v>
      </c>
    </row>
    <row r="34" spans="1:11" ht="33.75" customHeight="1" x14ac:dyDescent="0.2">
      <c r="A34" s="6226"/>
      <c r="B34" s="6227"/>
      <c r="C34" s="355" t="s">
        <v>491</v>
      </c>
      <c r="D34" s="357" t="s">
        <v>739</v>
      </c>
      <c r="E34" s="357">
        <v>60521.599999999999</v>
      </c>
      <c r="F34" s="357">
        <v>12684.38</v>
      </c>
      <c r="G34" s="6226"/>
      <c r="H34" s="6226"/>
      <c r="I34" s="357">
        <v>2537</v>
      </c>
      <c r="J34" s="357">
        <v>49.67</v>
      </c>
      <c r="K34" s="357">
        <v>9.93</v>
      </c>
    </row>
    <row r="35" spans="1:11" ht="33.75" customHeight="1" thickBot="1" x14ac:dyDescent="0.25">
      <c r="A35" s="6223"/>
      <c r="B35" s="6225"/>
      <c r="C35" s="353" t="s">
        <v>796</v>
      </c>
      <c r="D35" s="358"/>
      <c r="E35" s="358"/>
      <c r="F35" s="358"/>
      <c r="G35" s="6223"/>
      <c r="H35" s="6223"/>
      <c r="I35" s="358"/>
      <c r="J35" s="358"/>
      <c r="K35" s="358"/>
    </row>
    <row r="36" spans="1:11" ht="10.5" customHeight="1" x14ac:dyDescent="0.2">
      <c r="A36" s="6222">
        <v>4</v>
      </c>
      <c r="B36" s="6224" t="s">
        <v>740</v>
      </c>
      <c r="C36" s="355" t="s">
        <v>741</v>
      </c>
      <c r="D36" s="356">
        <v>20</v>
      </c>
      <c r="E36" s="357">
        <v>534.51</v>
      </c>
      <c r="F36" s="357">
        <v>0</v>
      </c>
      <c r="G36" s="6222">
        <v>10690</v>
      </c>
      <c r="H36" s="6222">
        <v>10690</v>
      </c>
      <c r="I36" s="357">
        <v>0</v>
      </c>
      <c r="J36" s="357">
        <v>2.72</v>
      </c>
      <c r="K36" s="357">
        <v>54.48</v>
      </c>
    </row>
    <row r="37" spans="1:11" ht="10.5" customHeight="1" x14ac:dyDescent="0.2">
      <c r="A37" s="6226"/>
      <c r="B37" s="6227"/>
      <c r="C37" s="355" t="s">
        <v>491</v>
      </c>
      <c r="D37" s="357" t="s">
        <v>455</v>
      </c>
      <c r="E37" s="357">
        <v>534.51</v>
      </c>
      <c r="F37" s="357">
        <v>0</v>
      </c>
      <c r="G37" s="6226"/>
      <c r="H37" s="6226"/>
      <c r="I37" s="357">
        <v>0</v>
      </c>
      <c r="J37" s="357">
        <v>0</v>
      </c>
      <c r="K37" s="357">
        <v>0</v>
      </c>
    </row>
    <row r="38" spans="1:11" ht="33.75" customHeight="1" thickBot="1" x14ac:dyDescent="0.25">
      <c r="A38" s="6223"/>
      <c r="B38" s="6225"/>
      <c r="C38" s="353" t="s">
        <v>796</v>
      </c>
      <c r="D38" s="358"/>
      <c r="E38" s="358"/>
      <c r="F38" s="358"/>
      <c r="G38" s="6223"/>
      <c r="H38" s="6223"/>
      <c r="I38" s="358"/>
      <c r="J38" s="358"/>
      <c r="K38" s="358"/>
    </row>
    <row r="39" spans="1:11" ht="10.5" customHeight="1" x14ac:dyDescent="0.2">
      <c r="A39" s="6222">
        <v>5</v>
      </c>
      <c r="B39" s="6224" t="s">
        <v>742</v>
      </c>
      <c r="C39" s="355" t="s">
        <v>743</v>
      </c>
      <c r="D39" s="356">
        <v>12</v>
      </c>
      <c r="E39" s="357">
        <v>352.65</v>
      </c>
      <c r="F39" s="357">
        <v>70.33</v>
      </c>
      <c r="G39" s="6222">
        <v>4232</v>
      </c>
      <c r="H39" s="6222">
        <v>3388</v>
      </c>
      <c r="I39" s="357">
        <v>844</v>
      </c>
      <c r="J39" s="357">
        <v>1.31</v>
      </c>
      <c r="K39" s="357">
        <v>15.72</v>
      </c>
    </row>
    <row r="40" spans="1:11" ht="33" customHeight="1" thickBot="1" x14ac:dyDescent="0.25">
      <c r="A40" s="6223"/>
      <c r="B40" s="6225"/>
      <c r="C40" s="353" t="s">
        <v>795</v>
      </c>
      <c r="D40" s="354" t="s">
        <v>744</v>
      </c>
      <c r="E40" s="354">
        <v>282.32</v>
      </c>
      <c r="F40" s="354">
        <v>0</v>
      </c>
      <c r="G40" s="6223"/>
      <c r="H40" s="6223"/>
      <c r="I40" s="354">
        <v>0</v>
      </c>
      <c r="J40" s="354">
        <v>7.0000000000000007E-2</v>
      </c>
      <c r="K40" s="354">
        <v>0.84</v>
      </c>
    </row>
    <row r="41" spans="1:11" ht="9.75" customHeight="1" x14ac:dyDescent="0.2">
      <c r="A41" s="6222">
        <v>6</v>
      </c>
      <c r="B41" s="6224" t="s">
        <v>452</v>
      </c>
      <c r="C41" s="355" t="s">
        <v>453</v>
      </c>
      <c r="D41" s="356">
        <v>8</v>
      </c>
      <c r="E41" s="357">
        <v>7190.9</v>
      </c>
      <c r="F41" s="357">
        <v>100.54</v>
      </c>
      <c r="G41" s="6222">
        <v>57527</v>
      </c>
      <c r="H41" s="6222">
        <v>7709</v>
      </c>
      <c r="I41" s="357">
        <v>804</v>
      </c>
      <c r="J41" s="357">
        <v>4.53</v>
      </c>
      <c r="K41" s="357">
        <v>36.24</v>
      </c>
    </row>
    <row r="42" spans="1:11" ht="34.5" customHeight="1" thickBot="1" x14ac:dyDescent="0.25">
      <c r="A42" s="6223"/>
      <c r="B42" s="6225"/>
      <c r="C42" s="353" t="s">
        <v>795</v>
      </c>
      <c r="D42" s="354" t="s">
        <v>455</v>
      </c>
      <c r="E42" s="354">
        <v>963.68</v>
      </c>
      <c r="F42" s="354">
        <v>0</v>
      </c>
      <c r="G42" s="6223"/>
      <c r="H42" s="6223"/>
      <c r="I42" s="354">
        <v>0</v>
      </c>
      <c r="J42" s="354">
        <v>0.1</v>
      </c>
      <c r="K42" s="354">
        <v>0.8</v>
      </c>
    </row>
    <row r="43" spans="1:11" ht="23.25" customHeight="1" x14ac:dyDescent="0.2">
      <c r="A43" s="6222">
        <v>7</v>
      </c>
      <c r="B43" s="6224" t="s">
        <v>489</v>
      </c>
      <c r="C43" s="355" t="s">
        <v>490</v>
      </c>
      <c r="D43" s="356">
        <v>0.5</v>
      </c>
      <c r="E43" s="357">
        <v>87722.08</v>
      </c>
      <c r="F43" s="357">
        <v>9577.9699999999993</v>
      </c>
      <c r="G43" s="6222">
        <v>43861</v>
      </c>
      <c r="H43" s="6222">
        <v>9936</v>
      </c>
      <c r="I43" s="357">
        <v>4789</v>
      </c>
      <c r="J43" s="357">
        <v>95.88</v>
      </c>
      <c r="K43" s="357">
        <v>47.94</v>
      </c>
    </row>
    <row r="44" spans="1:11" ht="10.5" customHeight="1" x14ac:dyDescent="0.2">
      <c r="A44" s="6226"/>
      <c r="B44" s="6227"/>
      <c r="C44" s="355" t="s">
        <v>491</v>
      </c>
      <c r="D44" s="357" t="s">
        <v>492</v>
      </c>
      <c r="E44" s="357">
        <v>19871.29</v>
      </c>
      <c r="F44" s="357">
        <v>2421.77</v>
      </c>
      <c r="G44" s="6226"/>
      <c r="H44" s="6226"/>
      <c r="I44" s="357">
        <v>1211</v>
      </c>
      <c r="J44" s="357">
        <v>7.81</v>
      </c>
      <c r="K44" s="357">
        <v>3.91</v>
      </c>
    </row>
    <row r="45" spans="1:11" ht="32.25" customHeight="1" thickBot="1" x14ac:dyDescent="0.25">
      <c r="A45" s="6223"/>
      <c r="B45" s="6225"/>
      <c r="C45" s="353" t="s">
        <v>796</v>
      </c>
      <c r="D45" s="358"/>
      <c r="E45" s="358"/>
      <c r="F45" s="358"/>
      <c r="G45" s="6223"/>
      <c r="H45" s="6223"/>
      <c r="I45" s="358"/>
      <c r="J45" s="358"/>
      <c r="K45" s="358"/>
    </row>
    <row r="46" spans="1:11" ht="10.5" customHeight="1" x14ac:dyDescent="0.2">
      <c r="A46" s="6222">
        <v>8</v>
      </c>
      <c r="B46" s="6224" t="s">
        <v>494</v>
      </c>
      <c r="C46" s="355" t="s">
        <v>495</v>
      </c>
      <c r="D46" s="356">
        <v>3.5</v>
      </c>
      <c r="E46" s="357">
        <v>14398.96</v>
      </c>
      <c r="F46" s="357">
        <v>341.17</v>
      </c>
      <c r="G46" s="6222">
        <v>50396</v>
      </c>
      <c r="H46" s="6222">
        <v>27253</v>
      </c>
      <c r="I46" s="357">
        <v>1194</v>
      </c>
      <c r="J46" s="357">
        <v>38.93</v>
      </c>
      <c r="K46" s="357">
        <v>136.25</v>
      </c>
    </row>
    <row r="47" spans="1:11" ht="12.75" customHeight="1" x14ac:dyDescent="0.2">
      <c r="A47" s="6226"/>
      <c r="B47" s="6227"/>
      <c r="C47" s="355" t="s">
        <v>496</v>
      </c>
      <c r="D47" s="357" t="s">
        <v>497</v>
      </c>
      <c r="E47" s="357">
        <v>7786.59</v>
      </c>
      <c r="F47" s="357">
        <v>133.93</v>
      </c>
      <c r="G47" s="6226"/>
      <c r="H47" s="6226"/>
      <c r="I47" s="357">
        <v>469</v>
      </c>
      <c r="J47" s="357">
        <v>0.43</v>
      </c>
      <c r="K47" s="357">
        <v>1.51</v>
      </c>
    </row>
    <row r="48" spans="1:11" ht="32.25" customHeight="1" thickBot="1" x14ac:dyDescent="0.25">
      <c r="A48" s="6223"/>
      <c r="B48" s="6225"/>
      <c r="C48" s="353" t="s">
        <v>796</v>
      </c>
      <c r="D48" s="358"/>
      <c r="E48" s="358"/>
      <c r="F48" s="358"/>
      <c r="G48" s="6223"/>
      <c r="H48" s="6223"/>
      <c r="I48" s="358"/>
      <c r="J48" s="358"/>
      <c r="K48" s="358"/>
    </row>
    <row r="49" spans="1:11" ht="11.25" customHeight="1" x14ac:dyDescent="0.2">
      <c r="A49" s="6222">
        <v>9</v>
      </c>
      <c r="B49" s="6224" t="s">
        <v>498</v>
      </c>
      <c r="C49" s="355" t="s">
        <v>499</v>
      </c>
      <c r="D49" s="356">
        <v>2.5</v>
      </c>
      <c r="E49" s="357">
        <v>17601.82</v>
      </c>
      <c r="F49" s="357">
        <v>60.3</v>
      </c>
      <c r="G49" s="6222">
        <v>44005</v>
      </c>
      <c r="H49" s="6222">
        <v>18429</v>
      </c>
      <c r="I49" s="357">
        <v>151</v>
      </c>
      <c r="J49" s="357">
        <v>34.65</v>
      </c>
      <c r="K49" s="357">
        <v>86.63</v>
      </c>
    </row>
    <row r="50" spans="1:11" ht="12.75" customHeight="1" x14ac:dyDescent="0.2">
      <c r="A50" s="6226"/>
      <c r="B50" s="6227"/>
      <c r="C50" s="355" t="s">
        <v>496</v>
      </c>
      <c r="D50" s="357" t="s">
        <v>492</v>
      </c>
      <c r="E50" s="357">
        <v>7371.52</v>
      </c>
      <c r="F50" s="357">
        <v>0</v>
      </c>
      <c r="G50" s="6226"/>
      <c r="H50" s="6226"/>
      <c r="I50" s="357">
        <v>0</v>
      </c>
      <c r="J50" s="357">
        <v>0.06</v>
      </c>
      <c r="K50" s="357">
        <v>0.15</v>
      </c>
    </row>
    <row r="51" spans="1:11" ht="33.75" customHeight="1" thickBot="1" x14ac:dyDescent="0.25">
      <c r="A51" s="6223"/>
      <c r="B51" s="6225"/>
      <c r="C51" s="353" t="s">
        <v>796</v>
      </c>
      <c r="D51" s="358"/>
      <c r="E51" s="358"/>
      <c r="F51" s="358"/>
      <c r="G51" s="6223"/>
      <c r="H51" s="6223"/>
      <c r="I51" s="358"/>
      <c r="J51" s="358"/>
      <c r="K51" s="358"/>
    </row>
    <row r="52" spans="1:11" ht="24.75" customHeight="1" x14ac:dyDescent="0.2">
      <c r="A52" s="6222">
        <v>10</v>
      </c>
      <c r="B52" s="6224" t="s">
        <v>500</v>
      </c>
      <c r="C52" s="355" t="s">
        <v>501</v>
      </c>
      <c r="D52" s="356">
        <v>2.2000000000000002</v>
      </c>
      <c r="E52" s="357">
        <v>182869.16</v>
      </c>
      <c r="F52" s="357">
        <v>149723.85</v>
      </c>
      <c r="G52" s="6222">
        <v>402312</v>
      </c>
      <c r="H52" s="6222">
        <v>69900</v>
      </c>
      <c r="I52" s="357">
        <v>329392</v>
      </c>
      <c r="J52" s="357">
        <v>130.53</v>
      </c>
      <c r="K52" s="357">
        <v>287.17</v>
      </c>
    </row>
    <row r="53" spans="1:11" ht="33.75" customHeight="1" thickBot="1" x14ac:dyDescent="0.25">
      <c r="A53" s="6223"/>
      <c r="B53" s="6225"/>
      <c r="C53" s="353" t="s">
        <v>795</v>
      </c>
      <c r="D53" s="354" t="s">
        <v>502</v>
      </c>
      <c r="E53" s="354">
        <v>31772.81</v>
      </c>
      <c r="F53" s="354">
        <v>10028.870000000001</v>
      </c>
      <c r="G53" s="6223"/>
      <c r="H53" s="6223"/>
      <c r="I53" s="354">
        <v>22064</v>
      </c>
      <c r="J53" s="354">
        <v>47.81</v>
      </c>
      <c r="K53" s="354">
        <v>105.18</v>
      </c>
    </row>
    <row r="54" spans="1:11" ht="13.5" thickBot="1" x14ac:dyDescent="0.25">
      <c r="A54" s="6212"/>
      <c r="B54" s="6213"/>
      <c r="C54" s="6213"/>
      <c r="D54" s="6213"/>
      <c r="E54" s="6213"/>
      <c r="F54" s="6213"/>
      <c r="G54" s="6213"/>
      <c r="H54" s="6213"/>
      <c r="I54" s="6213"/>
      <c r="J54" s="6213"/>
      <c r="K54" s="6214"/>
    </row>
    <row r="55" spans="1:11" x14ac:dyDescent="0.2">
      <c r="A55" s="6215" t="s">
        <v>691</v>
      </c>
      <c r="B55" s="6216"/>
      <c r="C55" s="6216"/>
      <c r="D55" s="6216"/>
      <c r="E55" s="6216"/>
      <c r="F55" s="6218"/>
      <c r="G55" s="6218">
        <v>679239</v>
      </c>
      <c r="H55" s="6218">
        <v>184813</v>
      </c>
      <c r="I55" s="624">
        <v>365882</v>
      </c>
      <c r="J55" s="6218"/>
      <c r="K55" s="357">
        <v>854.43</v>
      </c>
    </row>
    <row r="56" spans="1:11" ht="13.5" thickBot="1" x14ac:dyDescent="0.25">
      <c r="A56" s="6217"/>
      <c r="B56" s="6210"/>
      <c r="C56" s="6210"/>
      <c r="D56" s="6210"/>
      <c r="E56" s="6210"/>
      <c r="F56" s="6219"/>
      <c r="G56" s="6219"/>
      <c r="H56" s="6219"/>
      <c r="I56" s="954">
        <v>45793</v>
      </c>
      <c r="J56" s="6219"/>
      <c r="K56" s="354">
        <v>200.08</v>
      </c>
    </row>
    <row r="57" spans="1:11" ht="13.5" thickBot="1" x14ac:dyDescent="0.25">
      <c r="A57" s="6212"/>
      <c r="B57" s="6213"/>
      <c r="C57" s="6213"/>
      <c r="D57" s="6213"/>
      <c r="E57" s="6213"/>
      <c r="F57" s="6213"/>
      <c r="G57" s="6213"/>
      <c r="H57" s="6213"/>
      <c r="I57" s="6213"/>
      <c r="J57" s="6213"/>
      <c r="K57" s="6214"/>
    </row>
    <row r="58" spans="1:11" hidden="1" x14ac:dyDescent="0.2">
      <c r="A58" s="6215" t="s">
        <v>692</v>
      </c>
      <c r="B58" s="6216"/>
      <c r="C58" s="6216"/>
      <c r="D58" s="6216"/>
      <c r="E58" s="6216"/>
      <c r="F58" s="6218"/>
      <c r="G58" s="6218">
        <v>679239</v>
      </c>
      <c r="H58" s="6218">
        <v>184813</v>
      </c>
      <c r="I58" s="624">
        <v>365882</v>
      </c>
      <c r="J58" s="6218"/>
      <c r="K58" s="357">
        <v>854.43</v>
      </c>
    </row>
    <row r="59" spans="1:11" ht="13.5" hidden="1" thickBot="1" x14ac:dyDescent="0.25">
      <c r="A59" s="6217"/>
      <c r="B59" s="6210"/>
      <c r="C59" s="6210"/>
      <c r="D59" s="6210"/>
      <c r="E59" s="6210"/>
      <c r="F59" s="6219"/>
      <c r="G59" s="6219"/>
      <c r="H59" s="6219"/>
      <c r="I59" s="954">
        <v>45793</v>
      </c>
      <c r="J59" s="6219"/>
      <c r="K59" s="354">
        <v>200.08</v>
      </c>
    </row>
    <row r="60" spans="1:11" ht="13.5" hidden="1" thickBot="1" x14ac:dyDescent="0.25">
      <c r="A60" s="609"/>
      <c r="B60" s="610"/>
      <c r="C60" s="610"/>
      <c r="D60" s="610"/>
      <c r="E60" s="610"/>
      <c r="F60" s="610"/>
      <c r="G60" s="610"/>
      <c r="H60" s="610"/>
      <c r="I60" s="610"/>
      <c r="J60" s="610"/>
      <c r="K60" s="610"/>
    </row>
    <row r="61" spans="1:11" hidden="1" x14ac:dyDescent="0.2">
      <c r="A61" s="640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hidden="1" x14ac:dyDescent="0.2">
      <c r="A62" s="626"/>
      <c r="B62" s="279"/>
      <c r="C62" s="279"/>
      <c r="D62" s="279"/>
      <c r="E62" s="279"/>
      <c r="F62" s="279"/>
      <c r="G62" s="279"/>
      <c r="H62" s="279"/>
      <c r="I62" s="279"/>
      <c r="J62" s="279"/>
      <c r="K62" s="617"/>
    </row>
    <row r="63" spans="1:11" hidden="1" x14ac:dyDescent="0.2">
      <c r="A63" s="626"/>
      <c r="B63" s="279"/>
      <c r="C63" s="6207" t="s">
        <v>693</v>
      </c>
      <c r="D63" s="6124"/>
      <c r="E63" s="6124"/>
      <c r="F63" s="6124"/>
      <c r="G63" s="6124"/>
      <c r="H63" s="6124"/>
      <c r="I63" s="6207" t="s">
        <v>694</v>
      </c>
      <c r="J63" s="6207" t="s">
        <v>695</v>
      </c>
      <c r="K63" s="355" t="s">
        <v>559</v>
      </c>
    </row>
    <row r="64" spans="1:11" hidden="1" x14ac:dyDescent="0.2">
      <c r="A64" s="626"/>
      <c r="B64" s="279"/>
      <c r="C64" s="6207"/>
      <c r="D64" s="6124"/>
      <c r="E64" s="6124"/>
      <c r="F64" s="6124"/>
      <c r="G64" s="6124"/>
      <c r="H64" s="6124"/>
      <c r="I64" s="6207"/>
      <c r="J64" s="6207"/>
      <c r="K64" s="355" t="s">
        <v>696</v>
      </c>
    </row>
    <row r="65" spans="1:11" ht="13.5" hidden="1" thickBot="1" x14ac:dyDescent="0.25">
      <c r="A65" s="626"/>
      <c r="B65" s="279"/>
      <c r="C65" s="960"/>
      <c r="D65" s="960"/>
      <c r="E65" s="960"/>
      <c r="F65" s="960"/>
      <c r="G65" s="279"/>
      <c r="H65" s="279"/>
      <c r="I65" s="960"/>
      <c r="J65" s="960"/>
      <c r="K65" s="353"/>
    </row>
    <row r="66" spans="1:11" ht="13.5" hidden="1" thickBot="1" x14ac:dyDescent="0.25">
      <c r="A66" s="626"/>
      <c r="B66" s="279"/>
      <c r="C66" s="6207" t="s">
        <v>54</v>
      </c>
      <c r="D66" s="6124"/>
      <c r="E66" s="6124"/>
      <c r="F66" s="6124"/>
      <c r="G66" s="6124"/>
      <c r="H66" s="6124"/>
      <c r="I66" s="954"/>
      <c r="J66" s="954"/>
      <c r="K66" s="354" t="s">
        <v>797</v>
      </c>
    </row>
    <row r="67" spans="1:11" ht="13.5" hidden="1" thickBot="1" x14ac:dyDescent="0.25">
      <c r="A67" s="626"/>
      <c r="B67" s="279"/>
      <c r="C67" s="6207" t="s">
        <v>702</v>
      </c>
      <c r="D67" s="6124"/>
      <c r="E67" s="6124"/>
      <c r="F67" s="6124"/>
      <c r="G67" s="6124"/>
      <c r="H67" s="6124"/>
      <c r="I67" s="954">
        <v>0.6</v>
      </c>
      <c r="J67" s="954">
        <v>71</v>
      </c>
      <c r="K67" s="354" t="s">
        <v>756</v>
      </c>
    </row>
    <row r="68" spans="1:11" ht="13.5" hidden="1" thickBot="1" x14ac:dyDescent="0.25">
      <c r="A68" s="626"/>
      <c r="B68" s="279"/>
      <c r="C68" s="6207" t="s">
        <v>765</v>
      </c>
      <c r="D68" s="6124"/>
      <c r="E68" s="6124"/>
      <c r="F68" s="6124"/>
      <c r="G68" s="6124"/>
      <c r="H68" s="6124"/>
      <c r="I68" s="954">
        <v>0.7</v>
      </c>
      <c r="J68" s="954">
        <v>66</v>
      </c>
      <c r="K68" s="354" t="s">
        <v>766</v>
      </c>
    </row>
    <row r="69" spans="1:11" ht="13.5" hidden="1" thickBot="1" x14ac:dyDescent="0.25">
      <c r="A69" s="626"/>
      <c r="B69" s="279"/>
      <c r="C69" s="6207" t="s">
        <v>757</v>
      </c>
      <c r="D69" s="6124"/>
      <c r="E69" s="6124"/>
      <c r="F69" s="6124"/>
      <c r="G69" s="6124"/>
      <c r="H69" s="6124"/>
      <c r="I69" s="954">
        <v>0.6</v>
      </c>
      <c r="J69" s="954">
        <v>93</v>
      </c>
      <c r="K69" s="354" t="s">
        <v>798</v>
      </c>
    </row>
    <row r="70" spans="1:11" ht="13.5" hidden="1" thickBot="1" x14ac:dyDescent="0.25">
      <c r="A70" s="626"/>
      <c r="B70" s="279"/>
      <c r="C70" s="6207" t="s">
        <v>706</v>
      </c>
      <c r="D70" s="6124"/>
      <c r="E70" s="6124"/>
      <c r="F70" s="6124"/>
      <c r="G70" s="6124"/>
      <c r="H70" s="6124"/>
      <c r="I70" s="954">
        <v>0.6</v>
      </c>
      <c r="J70" s="954">
        <v>92</v>
      </c>
      <c r="K70" s="354" t="s">
        <v>799</v>
      </c>
    </row>
    <row r="71" spans="1:11" ht="13.5" hidden="1" thickBot="1" x14ac:dyDescent="0.25">
      <c r="A71" s="626"/>
      <c r="B71" s="279"/>
      <c r="C71" s="6207" t="s">
        <v>704</v>
      </c>
      <c r="D71" s="6124"/>
      <c r="E71" s="6124"/>
      <c r="F71" s="6124"/>
      <c r="G71" s="6124"/>
      <c r="H71" s="6124"/>
      <c r="I71" s="954">
        <v>0.6</v>
      </c>
      <c r="J71" s="954">
        <v>116</v>
      </c>
      <c r="K71" s="354" t="s">
        <v>800</v>
      </c>
    </row>
    <row r="72" spans="1:11" ht="13.5" hidden="1" thickBot="1" x14ac:dyDescent="0.25">
      <c r="A72" s="626"/>
      <c r="B72" s="279"/>
      <c r="C72" s="6207" t="s">
        <v>761</v>
      </c>
      <c r="D72" s="6124"/>
      <c r="E72" s="6124"/>
      <c r="F72" s="6124"/>
      <c r="G72" s="6124"/>
      <c r="H72" s="6124"/>
      <c r="I72" s="954">
        <v>0.6</v>
      </c>
      <c r="J72" s="954">
        <v>77</v>
      </c>
      <c r="K72" s="354" t="s">
        <v>801</v>
      </c>
    </row>
    <row r="73" spans="1:11" ht="13.5" hidden="1" thickBot="1" x14ac:dyDescent="0.25">
      <c r="A73" s="626"/>
      <c r="B73" s="279"/>
      <c r="C73" s="6207" t="s">
        <v>763</v>
      </c>
      <c r="D73" s="6124"/>
      <c r="E73" s="6124"/>
      <c r="F73" s="6124"/>
      <c r="G73" s="6124"/>
      <c r="H73" s="6124"/>
      <c r="I73" s="954">
        <v>0.6</v>
      </c>
      <c r="J73" s="954">
        <v>83</v>
      </c>
      <c r="K73" s="354" t="s">
        <v>802</v>
      </c>
    </row>
    <row r="74" spans="1:11" ht="13.5" hidden="1" thickBot="1" x14ac:dyDescent="0.25">
      <c r="A74" s="626"/>
      <c r="B74" s="279"/>
      <c r="C74" s="6207" t="s">
        <v>708</v>
      </c>
      <c r="D74" s="6124"/>
      <c r="E74" s="6124"/>
      <c r="F74" s="6124"/>
      <c r="G74" s="6124"/>
      <c r="H74" s="6124"/>
      <c r="I74" s="954"/>
      <c r="J74" s="954"/>
      <c r="K74" s="354" t="s">
        <v>803</v>
      </c>
    </row>
    <row r="75" spans="1:11" ht="13.5" hidden="1" thickBot="1" x14ac:dyDescent="0.25">
      <c r="A75" s="626"/>
      <c r="B75" s="279"/>
      <c r="C75" s="6207" t="s">
        <v>54</v>
      </c>
      <c r="D75" s="6124"/>
      <c r="E75" s="6124"/>
      <c r="F75" s="6124"/>
      <c r="G75" s="6124"/>
      <c r="H75" s="6124"/>
      <c r="I75" s="954"/>
      <c r="J75" s="954"/>
      <c r="K75" s="354" t="s">
        <v>804</v>
      </c>
    </row>
    <row r="76" spans="1:11" ht="13.5" hidden="1" thickBot="1" x14ac:dyDescent="0.25">
      <c r="A76" s="626"/>
      <c r="B76" s="279"/>
      <c r="C76" s="6207" t="s">
        <v>715</v>
      </c>
      <c r="D76" s="6124"/>
      <c r="E76" s="6124"/>
      <c r="F76" s="6124"/>
      <c r="G76" s="6124"/>
      <c r="H76" s="6124"/>
      <c r="I76" s="954"/>
      <c r="J76" s="954">
        <v>36</v>
      </c>
      <c r="K76" s="354" t="s">
        <v>771</v>
      </c>
    </row>
    <row r="77" spans="1:11" ht="13.5" hidden="1" thickBot="1" x14ac:dyDescent="0.25">
      <c r="A77" s="626"/>
      <c r="B77" s="279"/>
      <c r="C77" s="6207" t="s">
        <v>780</v>
      </c>
      <c r="D77" s="6124"/>
      <c r="E77" s="6124"/>
      <c r="F77" s="6124"/>
      <c r="G77" s="6124"/>
      <c r="H77" s="6124"/>
      <c r="I77" s="954"/>
      <c r="J77" s="954">
        <v>40</v>
      </c>
      <c r="K77" s="354" t="s">
        <v>781</v>
      </c>
    </row>
    <row r="78" spans="1:11" ht="13.5" hidden="1" thickBot="1" x14ac:dyDescent="0.25">
      <c r="A78" s="626"/>
      <c r="B78" s="279"/>
      <c r="C78" s="6207" t="s">
        <v>772</v>
      </c>
      <c r="D78" s="6124"/>
      <c r="E78" s="6124"/>
      <c r="F78" s="6124"/>
      <c r="G78" s="6124"/>
      <c r="H78" s="6124"/>
      <c r="I78" s="954"/>
      <c r="J78" s="954">
        <v>48</v>
      </c>
      <c r="K78" s="354" t="s">
        <v>805</v>
      </c>
    </row>
    <row r="79" spans="1:11" ht="13.5" hidden="1" thickBot="1" x14ac:dyDescent="0.25">
      <c r="A79" s="626"/>
      <c r="B79" s="279"/>
      <c r="C79" s="6207" t="s">
        <v>719</v>
      </c>
      <c r="D79" s="6124"/>
      <c r="E79" s="6124"/>
      <c r="F79" s="6124"/>
      <c r="G79" s="6124"/>
      <c r="H79" s="6124"/>
      <c r="I79" s="954"/>
      <c r="J79" s="954">
        <v>54</v>
      </c>
      <c r="K79" s="354" t="s">
        <v>806</v>
      </c>
    </row>
    <row r="80" spans="1:11" ht="13.5" hidden="1" thickBot="1" x14ac:dyDescent="0.25">
      <c r="A80" s="626"/>
      <c r="B80" s="279"/>
      <c r="C80" s="6207" t="s">
        <v>717</v>
      </c>
      <c r="D80" s="6124"/>
      <c r="E80" s="6124"/>
      <c r="F80" s="6124"/>
      <c r="G80" s="6124"/>
      <c r="H80" s="6124"/>
      <c r="I80" s="954"/>
      <c r="J80" s="954">
        <v>61</v>
      </c>
      <c r="K80" s="354" t="s">
        <v>807</v>
      </c>
    </row>
    <row r="81" spans="1:11" ht="13.5" hidden="1" thickBot="1" x14ac:dyDescent="0.25">
      <c r="A81" s="626"/>
      <c r="B81" s="279"/>
      <c r="C81" s="6207" t="s">
        <v>776</v>
      </c>
      <c r="D81" s="6124"/>
      <c r="E81" s="6124"/>
      <c r="F81" s="6124"/>
      <c r="G81" s="6124"/>
      <c r="H81" s="6124"/>
      <c r="I81" s="954"/>
      <c r="J81" s="954">
        <v>56</v>
      </c>
      <c r="K81" s="354" t="s">
        <v>808</v>
      </c>
    </row>
    <row r="82" spans="1:11" ht="13.5" hidden="1" thickBot="1" x14ac:dyDescent="0.25">
      <c r="A82" s="626"/>
      <c r="B82" s="279"/>
      <c r="C82" s="6207" t="s">
        <v>778</v>
      </c>
      <c r="D82" s="6124"/>
      <c r="E82" s="6124"/>
      <c r="F82" s="6124"/>
      <c r="G82" s="6124"/>
      <c r="H82" s="6124"/>
      <c r="I82" s="954"/>
      <c r="J82" s="954">
        <v>60</v>
      </c>
      <c r="K82" s="354" t="s">
        <v>809</v>
      </c>
    </row>
    <row r="83" spans="1:11" ht="13.5" hidden="1" thickBot="1" x14ac:dyDescent="0.25">
      <c r="A83" s="626"/>
      <c r="B83" s="279"/>
      <c r="C83" s="6207" t="s">
        <v>721</v>
      </c>
      <c r="D83" s="6124"/>
      <c r="E83" s="6124"/>
      <c r="F83" s="6124"/>
      <c r="G83" s="6124"/>
      <c r="H83" s="6124"/>
      <c r="I83" s="954"/>
      <c r="J83" s="954"/>
      <c r="K83" s="354" t="s">
        <v>810</v>
      </c>
    </row>
    <row r="84" spans="1:11" ht="13.5" hidden="1" thickBot="1" x14ac:dyDescent="0.25">
      <c r="A84" s="626"/>
      <c r="B84" s="279"/>
      <c r="C84" s="6207" t="s">
        <v>54</v>
      </c>
      <c r="D84" s="6124"/>
      <c r="E84" s="6124"/>
      <c r="F84" s="6124"/>
      <c r="G84" s="6124"/>
      <c r="H84" s="6124"/>
      <c r="I84" s="954"/>
      <c r="J84" s="954"/>
      <c r="K84" s="354" t="s">
        <v>811</v>
      </c>
    </row>
    <row r="85" spans="1:11" ht="13.5" hidden="1" thickBot="1" x14ac:dyDescent="0.25">
      <c r="A85" s="626"/>
      <c r="B85" s="279"/>
      <c r="C85" s="6207" t="s">
        <v>280</v>
      </c>
      <c r="D85" s="6124"/>
      <c r="E85" s="6124"/>
      <c r="F85" s="6124"/>
      <c r="G85" s="6124"/>
      <c r="H85" s="6124"/>
      <c r="I85" s="954"/>
      <c r="J85" s="954"/>
      <c r="K85" s="354" t="s">
        <v>811</v>
      </c>
    </row>
    <row r="86" spans="1:11" ht="13.5" hidden="1" thickBot="1" x14ac:dyDescent="0.25">
      <c r="A86" s="626"/>
      <c r="B86" s="279"/>
      <c r="C86" s="6207" t="s">
        <v>724</v>
      </c>
      <c r="D86" s="6124"/>
      <c r="E86" s="6124"/>
      <c r="F86" s="6124"/>
      <c r="G86" s="6124"/>
      <c r="H86" s="6124"/>
      <c r="I86" s="954"/>
      <c r="J86" s="954">
        <v>18</v>
      </c>
      <c r="K86" s="354" t="s">
        <v>812</v>
      </c>
    </row>
    <row r="87" spans="1:11" ht="13.5" hidden="1" thickBot="1" x14ac:dyDescent="0.25">
      <c r="A87" s="626"/>
      <c r="B87" s="279"/>
      <c r="C87" s="6207" t="s">
        <v>280</v>
      </c>
      <c r="D87" s="6124"/>
      <c r="E87" s="6124"/>
      <c r="F87" s="6124"/>
      <c r="G87" s="6124"/>
      <c r="H87" s="6124"/>
      <c r="I87" s="954"/>
      <c r="J87" s="954"/>
      <c r="K87" s="354" t="s">
        <v>792</v>
      </c>
    </row>
    <row r="88" spans="1:11" ht="13.5" hidden="1" thickBot="1" x14ac:dyDescent="0.25">
      <c r="A88" s="613"/>
      <c r="B88" s="612"/>
      <c r="C88" s="6210" t="s">
        <v>726</v>
      </c>
      <c r="D88" s="4911"/>
      <c r="E88" s="4911"/>
      <c r="F88" s="4911"/>
      <c r="G88" s="4911"/>
      <c r="H88" s="4911"/>
      <c r="I88" s="954"/>
      <c r="J88" s="954"/>
      <c r="K88" s="354" t="s">
        <v>792</v>
      </c>
    </row>
    <row r="89" spans="1:11" ht="12.75" customHeight="1" x14ac:dyDescent="0.25">
      <c r="A89" s="641" t="s">
        <v>813</v>
      </c>
      <c r="B89" s="385"/>
      <c r="C89" s="385"/>
      <c r="D89" s="385"/>
      <c r="E89" s="385"/>
      <c r="F89" s="385"/>
      <c r="G89" s="385"/>
      <c r="H89" s="385"/>
      <c r="I89" s="6259">
        <v>1081767</v>
      </c>
      <c r="J89" s="6259"/>
      <c r="K89" s="6259"/>
    </row>
    <row r="90" spans="1:11" ht="13.5" thickBot="1" x14ac:dyDescent="0.25"/>
    <row r="91" spans="1:11" ht="27" thickBot="1" x14ac:dyDescent="0.45">
      <c r="A91" s="6260" t="s">
        <v>871</v>
      </c>
      <c r="B91" s="6261"/>
      <c r="C91" s="6261"/>
      <c r="D91" s="6261"/>
      <c r="E91" s="6261"/>
      <c r="F91" s="6261"/>
      <c r="G91" s="1392"/>
      <c r="H91" s="1392"/>
      <c r="I91" s="1566">
        <f>57527-7709+43861-9936+50396-27253+44005-18429</f>
        <v>132462</v>
      </c>
    </row>
  </sheetData>
  <mergeCells count="103"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1502</v>
      </c>
    </row>
    <row r="2" spans="1:10" ht="25.5" customHeight="1" x14ac:dyDescent="0.2">
      <c r="A2" s="6263" t="s">
        <v>954</v>
      </c>
      <c r="B2" s="6263"/>
      <c r="C2" s="6263"/>
      <c r="D2" s="6263"/>
      <c r="E2" s="6263"/>
      <c r="F2" s="6263"/>
      <c r="G2" s="6263"/>
      <c r="H2" s="6263"/>
      <c r="I2" s="6263"/>
      <c r="J2" s="6263"/>
    </row>
    <row r="3" spans="1:10" ht="22.5" customHeight="1" x14ac:dyDescent="0.2"/>
    <row r="4" spans="1:10" x14ac:dyDescent="0.2">
      <c r="A4" s="6265" t="s">
        <v>950</v>
      </c>
      <c r="B4" s="6264" t="s">
        <v>270</v>
      </c>
      <c r="C4" s="6264"/>
      <c r="D4" s="6264"/>
      <c r="E4" s="6264"/>
      <c r="F4" s="6264" t="s">
        <v>375</v>
      </c>
      <c r="G4" s="6264"/>
      <c r="H4" s="6264"/>
      <c r="I4" s="6264"/>
      <c r="J4" s="6264"/>
    </row>
    <row r="5" spans="1:10" ht="25.5" x14ac:dyDescent="0.2">
      <c r="A5" s="6266"/>
      <c r="B5" s="1247" t="s">
        <v>949</v>
      </c>
      <c r="C5" s="1248">
        <v>2016</v>
      </c>
      <c r="D5" s="1248">
        <v>2017</v>
      </c>
      <c r="E5" s="1248">
        <v>2018</v>
      </c>
      <c r="F5" s="1247" t="s">
        <v>949</v>
      </c>
      <c r="G5" s="1248">
        <v>2016</v>
      </c>
      <c r="H5" s="1248">
        <v>2017</v>
      </c>
      <c r="I5" s="1248">
        <v>2018</v>
      </c>
      <c r="J5" s="1248" t="s">
        <v>235</v>
      </c>
    </row>
    <row r="6" spans="1:10" ht="18" x14ac:dyDescent="0.25">
      <c r="A6" s="6262" t="s">
        <v>345</v>
      </c>
      <c r="B6" s="6262"/>
      <c r="C6" s="6262"/>
      <c r="D6" s="6262"/>
      <c r="E6" s="6262"/>
      <c r="F6" s="6262"/>
      <c r="G6" s="6262"/>
      <c r="H6" s="6262"/>
      <c r="I6" s="6262"/>
      <c r="J6" s="6262"/>
    </row>
    <row r="7" spans="1:10" ht="57.75" customHeight="1" x14ac:dyDescent="0.2">
      <c r="A7" s="1188" t="s">
        <v>946</v>
      </c>
      <c r="B7" s="1186">
        <f>10407.5/1.18</f>
        <v>8819.9152542372885</v>
      </c>
      <c r="C7" s="1186">
        <f>2316.1/1.18</f>
        <v>1962.7966101694915</v>
      </c>
      <c r="D7" s="1186">
        <f>4045.7/1.18</f>
        <v>3428.5593220338983</v>
      </c>
      <c r="E7" s="1186">
        <f>4045.7/1.18</f>
        <v>3428.5593220338983</v>
      </c>
      <c r="F7" s="1186">
        <f>G7+H7+I7</f>
        <v>0</v>
      </c>
      <c r="G7" s="1186">
        <v>0</v>
      </c>
      <c r="H7" s="1186">
        <v>0</v>
      </c>
      <c r="I7" s="1186">
        <v>0</v>
      </c>
      <c r="J7" s="1188" t="s">
        <v>951</v>
      </c>
    </row>
    <row r="8" spans="1:10" ht="26.25" customHeight="1" x14ac:dyDescent="0.2">
      <c r="A8" s="1188" t="s">
        <v>947</v>
      </c>
      <c r="B8" s="1186">
        <f>835.7/1.18</f>
        <v>708.22033898305096</v>
      </c>
      <c r="C8" s="1186">
        <f>278.5/1.18</f>
        <v>236.0169491525424</v>
      </c>
      <c r="D8" s="1186">
        <f>278.6/1.18</f>
        <v>236.10169491525426</v>
      </c>
      <c r="E8" s="1186">
        <f>278.6/1.18</f>
        <v>236.10169491525426</v>
      </c>
      <c r="F8" s="1186">
        <f t="shared" ref="F8:F9" si="0">G8+H8+I8</f>
        <v>0</v>
      </c>
      <c r="G8" s="1186">
        <v>0</v>
      </c>
      <c r="H8" s="1186">
        <v>0</v>
      </c>
      <c r="I8" s="1186">
        <v>0</v>
      </c>
      <c r="J8" s="1188" t="s">
        <v>952</v>
      </c>
    </row>
    <row r="9" spans="1:10" ht="24.75" customHeight="1" x14ac:dyDescent="0.2">
      <c r="A9" s="1188" t="s">
        <v>948</v>
      </c>
      <c r="B9" s="1186">
        <f>865.4/1.18</f>
        <v>733.38983050847457</v>
      </c>
      <c r="C9" s="1186">
        <f>288.4/1.18</f>
        <v>244.40677966101694</v>
      </c>
      <c r="D9" s="1186">
        <f>288.5/1.18</f>
        <v>244.49152542372883</v>
      </c>
      <c r="E9" s="1186">
        <f>288.5/1.18</f>
        <v>244.49152542372883</v>
      </c>
      <c r="F9" s="1186">
        <f t="shared" si="0"/>
        <v>733.38983050847457</v>
      </c>
      <c r="G9" s="1186">
        <f>C9</f>
        <v>244.40677966101694</v>
      </c>
      <c r="H9" s="1186">
        <f t="shared" ref="H9:I9" si="1">D9</f>
        <v>244.49152542372883</v>
      </c>
      <c r="I9" s="1186">
        <f t="shared" si="1"/>
        <v>244.49152542372883</v>
      </c>
      <c r="J9" s="1188" t="s">
        <v>284</v>
      </c>
    </row>
    <row r="10" spans="1:10" x14ac:dyDescent="0.2">
      <c r="A10" s="1188" t="s">
        <v>953</v>
      </c>
      <c r="B10" s="1186">
        <f>SUM(B7:B9)</f>
        <v>10261.525423728814</v>
      </c>
      <c r="C10" s="1186">
        <f t="shared" ref="C10:I10" si="2">SUM(C7:C9)</f>
        <v>2443.2203389830511</v>
      </c>
      <c r="D10" s="1186">
        <f t="shared" si="2"/>
        <v>3909.1525423728813</v>
      </c>
      <c r="E10" s="1186">
        <f t="shared" si="2"/>
        <v>3909.1525423728813</v>
      </c>
      <c r="F10" s="1186">
        <f t="shared" si="2"/>
        <v>733.38983050847457</v>
      </c>
      <c r="G10" s="1186">
        <f t="shared" si="2"/>
        <v>244.40677966101694</v>
      </c>
      <c r="H10" s="1186">
        <f t="shared" si="2"/>
        <v>244.49152542372883</v>
      </c>
      <c r="I10" s="1186">
        <f t="shared" si="2"/>
        <v>244.49152542372883</v>
      </c>
      <c r="J10" s="1185"/>
    </row>
    <row r="11" spans="1:10" ht="18" x14ac:dyDescent="0.25">
      <c r="A11" s="6262" t="s">
        <v>335</v>
      </c>
      <c r="B11" s="6262"/>
      <c r="C11" s="6262"/>
      <c r="D11" s="6262"/>
      <c r="E11" s="6262"/>
      <c r="F11" s="6262"/>
      <c r="G11" s="6262"/>
      <c r="H11" s="6262"/>
      <c r="I11" s="6262"/>
      <c r="J11" s="6262"/>
    </row>
    <row r="12" spans="1:10" ht="25.5" x14ac:dyDescent="0.2">
      <c r="A12" s="1188" t="s">
        <v>983</v>
      </c>
      <c r="B12" s="1186">
        <f>1286.5/1.18</f>
        <v>1090.2542372881358</v>
      </c>
      <c r="C12" s="1186">
        <f>428.8/1.18</f>
        <v>363.38983050847463</v>
      </c>
      <c r="D12" s="1186">
        <f t="shared" ref="D12" si="3">428.8/1.18</f>
        <v>363.38983050847463</v>
      </c>
      <c r="E12" s="1186">
        <f>428.9/1.18</f>
        <v>363.47457627118644</v>
      </c>
      <c r="F12" s="1186">
        <f t="shared" ref="F12:F15" si="4">G12+H12+I12</f>
        <v>0</v>
      </c>
      <c r="G12" s="1186">
        <v>0</v>
      </c>
      <c r="H12" s="1186">
        <v>0</v>
      </c>
      <c r="I12" s="1186">
        <v>0</v>
      </c>
      <c r="J12" s="1188" t="s">
        <v>952</v>
      </c>
    </row>
    <row r="13" spans="1:10" ht="38.25" x14ac:dyDescent="0.2">
      <c r="A13" s="1188" t="s">
        <v>955</v>
      </c>
      <c r="B13" s="1186">
        <f>597.7/1.18</f>
        <v>506.52542372881362</v>
      </c>
      <c r="C13" s="1186">
        <f>199.2/1.18</f>
        <v>168.81355932203391</v>
      </c>
      <c r="D13" s="1186">
        <f t="shared" ref="D13" si="5">199.2/1.18</f>
        <v>168.81355932203391</v>
      </c>
      <c r="E13" s="1186">
        <f>199.3/1.18</f>
        <v>168.89830508474577</v>
      </c>
      <c r="F13" s="1186">
        <f t="shared" si="4"/>
        <v>506.52542372881362</v>
      </c>
      <c r="G13" s="1186">
        <f>C13</f>
        <v>168.81355932203391</v>
      </c>
      <c r="H13" s="1186">
        <f t="shared" ref="H13:I13" si="6">D13</f>
        <v>168.81355932203391</v>
      </c>
      <c r="I13" s="1186">
        <f t="shared" si="6"/>
        <v>168.89830508474577</v>
      </c>
      <c r="J13" s="1185" t="s">
        <v>284</v>
      </c>
    </row>
    <row r="14" spans="1:10" ht="38.25" x14ac:dyDescent="0.2">
      <c r="A14" s="1188" t="s">
        <v>956</v>
      </c>
      <c r="B14" s="1186">
        <f>2278/1.18</f>
        <v>1930.5084745762713</v>
      </c>
      <c r="C14" s="1186">
        <f>759.3/1.18</f>
        <v>643.47457627118649</v>
      </c>
      <c r="D14" s="1186">
        <f t="shared" ref="D14" si="7">759.3/1.18</f>
        <v>643.47457627118649</v>
      </c>
      <c r="E14" s="1186">
        <f>759.4/1.18</f>
        <v>643.5593220338983</v>
      </c>
      <c r="F14" s="1186">
        <f t="shared" si="4"/>
        <v>0</v>
      </c>
      <c r="G14" s="1186">
        <v>0</v>
      </c>
      <c r="H14" s="1186">
        <v>0</v>
      </c>
      <c r="I14" s="1186">
        <v>0</v>
      </c>
      <c r="J14" s="1188" t="s">
        <v>959</v>
      </c>
    </row>
    <row r="15" spans="1:10" ht="38.25" x14ac:dyDescent="0.2">
      <c r="A15" s="1188" t="s">
        <v>957</v>
      </c>
      <c r="B15" s="1186">
        <f>9697/1.18</f>
        <v>8217.7966101694929</v>
      </c>
      <c r="C15" s="1186">
        <f>3232.3/1.18</f>
        <v>2739.2372881355936</v>
      </c>
      <c r="D15" s="1186">
        <f t="shared" ref="D15:E15" si="8">3232.3/1.18</f>
        <v>2739.2372881355936</v>
      </c>
      <c r="E15" s="1186">
        <f t="shared" si="8"/>
        <v>2739.2372881355936</v>
      </c>
      <c r="F15" s="1186">
        <f t="shared" si="4"/>
        <v>0</v>
      </c>
      <c r="G15" s="1186">
        <v>0</v>
      </c>
      <c r="H15" s="1186">
        <v>0</v>
      </c>
      <c r="I15" s="1186">
        <v>0</v>
      </c>
      <c r="J15" s="1188" t="s">
        <v>959</v>
      </c>
    </row>
    <row r="16" spans="1:10" x14ac:dyDescent="0.2">
      <c r="A16" s="1188" t="s">
        <v>958</v>
      </c>
      <c r="B16" s="1186">
        <f>SUM(B12:B15)</f>
        <v>11745.084745762713</v>
      </c>
      <c r="C16" s="1186">
        <f t="shared" ref="C16:I16" si="9">SUM(C12:C15)</f>
        <v>3914.9152542372885</v>
      </c>
      <c r="D16" s="1186">
        <f t="shared" si="9"/>
        <v>3914.9152542372885</v>
      </c>
      <c r="E16" s="1186">
        <f t="shared" si="9"/>
        <v>3915.1694915254243</v>
      </c>
      <c r="F16" s="1186">
        <f t="shared" si="9"/>
        <v>506.52542372881362</v>
      </c>
      <c r="G16" s="1186">
        <f t="shared" si="9"/>
        <v>168.81355932203391</v>
      </c>
      <c r="H16" s="1186">
        <f t="shared" si="9"/>
        <v>168.81355932203391</v>
      </c>
      <c r="I16" s="1186">
        <f t="shared" si="9"/>
        <v>168.89830508474577</v>
      </c>
      <c r="J16" s="1185"/>
    </row>
    <row r="17" spans="1:10" x14ac:dyDescent="0.2">
      <c r="A17" s="1188"/>
      <c r="B17" s="1185"/>
      <c r="C17" s="1185"/>
      <c r="D17" s="1185"/>
      <c r="E17" s="1185"/>
      <c r="F17" s="1185"/>
      <c r="G17" s="1185"/>
      <c r="H17" s="1185"/>
      <c r="I17" s="1185"/>
      <c r="J17" s="1185"/>
    </row>
    <row r="18" spans="1:10" x14ac:dyDescent="0.2">
      <c r="A18" s="1188"/>
      <c r="B18" s="1185"/>
      <c r="C18" s="1185"/>
      <c r="D18" s="1185"/>
      <c r="E18" s="1185"/>
      <c r="F18" s="1185"/>
      <c r="G18" s="1185"/>
      <c r="H18" s="1185"/>
      <c r="I18" s="1185"/>
      <c r="J18" s="1185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347" customWidth="1"/>
    <col min="2" max="7" width="0" style="1347" hidden="1" customWidth="1"/>
    <col min="8" max="8" width="10.28515625" style="1347" customWidth="1"/>
    <col min="9" max="9" width="9.42578125" style="1347" customWidth="1"/>
    <col min="10" max="10" width="9.140625" style="1347"/>
    <col min="11" max="11" width="11.140625" style="1347" customWidth="1"/>
    <col min="12" max="12" width="11.42578125" style="1347" customWidth="1"/>
    <col min="13" max="13" width="10.42578125" style="1347" customWidth="1"/>
    <col min="14" max="14" width="10.85546875" style="1347" customWidth="1"/>
    <col min="15" max="15" width="10" style="1347" customWidth="1"/>
    <col min="16" max="16" width="9.140625" style="1347"/>
    <col min="17" max="17" width="11.140625" style="1347" customWidth="1"/>
    <col min="18" max="18" width="10.42578125" style="1347" customWidth="1"/>
    <col min="19" max="19" width="9.140625" style="1347"/>
    <col min="20" max="20" width="11" style="1347" customWidth="1"/>
    <col min="21" max="21" width="11.85546875" style="1347" customWidth="1"/>
    <col min="22" max="22" width="14.85546875" style="1347" customWidth="1"/>
    <col min="23" max="23" width="14.28515625" style="1347" customWidth="1"/>
    <col min="24" max="16384" width="9.140625" style="1347"/>
  </cols>
  <sheetData>
    <row r="1" spans="1:23" x14ac:dyDescent="0.25">
      <c r="U1" s="1391" t="s">
        <v>1503</v>
      </c>
    </row>
    <row r="3" spans="1:23" ht="28.5" x14ac:dyDescent="0.45">
      <c r="A3" s="6267" t="s">
        <v>1471</v>
      </c>
      <c r="B3" s="6267"/>
      <c r="C3" s="6267"/>
      <c r="D3" s="6267"/>
      <c r="E3" s="6267"/>
      <c r="F3" s="6267"/>
      <c r="G3" s="6267"/>
      <c r="H3" s="6267"/>
      <c r="I3" s="6267"/>
      <c r="J3" s="6267"/>
      <c r="K3" s="6267"/>
      <c r="L3" s="6267"/>
      <c r="M3" s="6267"/>
      <c r="N3" s="6267"/>
      <c r="O3" s="6267"/>
      <c r="P3" s="6267"/>
      <c r="Q3" s="6267"/>
      <c r="R3" s="6267"/>
      <c r="S3" s="6267"/>
      <c r="T3" s="6267"/>
      <c r="U3" s="6267"/>
      <c r="V3" s="6267"/>
    </row>
    <row r="5" spans="1:23" x14ac:dyDescent="0.25">
      <c r="A5" s="1346"/>
      <c r="B5" s="6277" t="s">
        <v>66</v>
      </c>
      <c r="C5" s="6277"/>
      <c r="D5" s="6277"/>
      <c r="E5" s="6277" t="s">
        <v>91</v>
      </c>
      <c r="F5" s="6277"/>
      <c r="G5" s="6277"/>
      <c r="H5" s="6277" t="s">
        <v>116</v>
      </c>
      <c r="I5" s="6277"/>
      <c r="J5" s="6277"/>
      <c r="K5" s="6277" t="s">
        <v>154</v>
      </c>
      <c r="L5" s="6277"/>
      <c r="M5" s="6277"/>
      <c r="N5" s="6277" t="s">
        <v>227</v>
      </c>
      <c r="O5" s="6277"/>
      <c r="P5" s="6277"/>
      <c r="Q5" s="6277" t="s">
        <v>362</v>
      </c>
      <c r="R5" s="6277"/>
      <c r="S5" s="6277"/>
      <c r="T5" s="6277" t="s">
        <v>815</v>
      </c>
      <c r="U5" s="6277"/>
      <c r="V5" s="6278"/>
      <c r="W5" s="6268" t="s">
        <v>1473</v>
      </c>
    </row>
    <row r="6" spans="1:23" x14ac:dyDescent="0.25">
      <c r="A6" s="1346"/>
      <c r="B6" s="1348" t="s">
        <v>286</v>
      </c>
      <c r="C6" s="1348" t="s">
        <v>314</v>
      </c>
      <c r="D6" s="1348" t="s">
        <v>287</v>
      </c>
      <c r="E6" s="1348" t="s">
        <v>286</v>
      </c>
      <c r="F6" s="1348" t="s">
        <v>314</v>
      </c>
      <c r="G6" s="1348" t="s">
        <v>287</v>
      </c>
      <c r="H6" s="1348" t="s">
        <v>286</v>
      </c>
      <c r="I6" s="1348" t="s">
        <v>314</v>
      </c>
      <c r="J6" s="1348" t="s">
        <v>287</v>
      </c>
      <c r="K6" s="1348" t="s">
        <v>286</v>
      </c>
      <c r="L6" s="1348" t="s">
        <v>314</v>
      </c>
      <c r="M6" s="1348" t="s">
        <v>287</v>
      </c>
      <c r="N6" s="1348" t="s">
        <v>286</v>
      </c>
      <c r="O6" s="1348" t="s">
        <v>314</v>
      </c>
      <c r="P6" s="1348" t="s">
        <v>287</v>
      </c>
      <c r="Q6" s="1348" t="s">
        <v>286</v>
      </c>
      <c r="R6" s="1348" t="s">
        <v>314</v>
      </c>
      <c r="S6" s="1348" t="s">
        <v>287</v>
      </c>
      <c r="T6" s="1348" t="s">
        <v>286</v>
      </c>
      <c r="U6" s="1348" t="s">
        <v>314</v>
      </c>
      <c r="V6" s="1352" t="s">
        <v>287</v>
      </c>
      <c r="W6" s="6268"/>
    </row>
    <row r="7" spans="1:23" x14ac:dyDescent="0.25">
      <c r="A7" s="6268" t="s">
        <v>1460</v>
      </c>
      <c r="B7" s="6268"/>
      <c r="C7" s="6268"/>
      <c r="D7" s="6268"/>
      <c r="E7" s="6268"/>
      <c r="F7" s="6268"/>
      <c r="G7" s="6268"/>
      <c r="H7" s="6268"/>
      <c r="I7" s="6268"/>
      <c r="J7" s="6268"/>
      <c r="K7" s="6268"/>
      <c r="L7" s="6268"/>
      <c r="M7" s="6268"/>
      <c r="N7" s="6268"/>
      <c r="O7" s="6268"/>
      <c r="P7" s="6268"/>
      <c r="Q7" s="6268"/>
      <c r="R7" s="6268"/>
      <c r="S7" s="6268"/>
      <c r="T7" s="6268"/>
      <c r="U7" s="6268"/>
      <c r="V7" s="6279"/>
      <c r="W7" s="1350"/>
    </row>
    <row r="8" spans="1:23" ht="37.5" customHeight="1" x14ac:dyDescent="0.25">
      <c r="A8" s="1346" t="s">
        <v>1469</v>
      </c>
      <c r="B8" s="1349"/>
      <c r="C8" s="1349"/>
      <c r="D8" s="1349"/>
      <c r="E8" s="1349"/>
      <c r="F8" s="1349"/>
      <c r="G8" s="1349"/>
      <c r="H8" s="1349">
        <v>4099</v>
      </c>
      <c r="I8" s="1349">
        <v>3507.9</v>
      </c>
      <c r="J8" s="1349">
        <v>299.7</v>
      </c>
      <c r="K8" s="1349">
        <v>7199</v>
      </c>
      <c r="L8" s="1349">
        <v>3538.9</v>
      </c>
      <c r="M8" s="1349">
        <v>216.9</v>
      </c>
      <c r="N8" s="1349">
        <f>7295.1</f>
        <v>7295.1</v>
      </c>
      <c r="O8" s="1349">
        <f>4787.73</f>
        <v>4787.7299999999996</v>
      </c>
      <c r="P8" s="1349">
        <f>'ОХР '!W24+'ОХР '!X24</f>
        <v>189.15722480612965</v>
      </c>
      <c r="Q8" s="1349">
        <f>7550.3+1287.3</f>
        <v>8837.6</v>
      </c>
      <c r="R8" s="1349">
        <f>4822.1+1355.2</f>
        <v>6177.3</v>
      </c>
      <c r="S8" s="1349">
        <v>192.15</v>
      </c>
      <c r="T8" s="1349">
        <f>7550.3+1785.8</f>
        <v>9336.1</v>
      </c>
      <c r="U8" s="1349">
        <v>4822.1000000000004</v>
      </c>
      <c r="V8" s="1353">
        <v>192.66</v>
      </c>
      <c r="W8" s="1349">
        <f>SUM(H8:V8)</f>
        <v>60691.297224806134</v>
      </c>
    </row>
    <row r="9" spans="1:23" s="1360" customFormat="1" ht="30" x14ac:dyDescent="0.25">
      <c r="A9" s="1356" t="s">
        <v>1474</v>
      </c>
      <c r="B9" s="1357">
        <f>2944</f>
        <v>2944</v>
      </c>
      <c r="C9" s="1357">
        <v>2430.6999999999998</v>
      </c>
      <c r="D9" s="1357"/>
      <c r="E9" s="1357">
        <v>5065.2</v>
      </c>
      <c r="F9" s="1357">
        <v>4702.8</v>
      </c>
      <c r="G9" s="1357"/>
      <c r="H9" s="1357">
        <v>7172.1</v>
      </c>
      <c r="I9" s="1357">
        <v>4863.1000000000004</v>
      </c>
      <c r="J9" s="1357">
        <v>206.6</v>
      </c>
      <c r="K9" s="1357">
        <v>7355</v>
      </c>
      <c r="L9" s="1357">
        <v>4787.7299999999996</v>
      </c>
      <c r="M9" s="1357">
        <v>192.4</v>
      </c>
      <c r="N9" s="1357">
        <v>7609.8</v>
      </c>
      <c r="O9" s="1357">
        <v>4702.5</v>
      </c>
      <c r="P9" s="1357">
        <f>'ОХР '!AA24</f>
        <v>182.16</v>
      </c>
      <c r="Q9" s="1357">
        <v>6102.07</v>
      </c>
      <c r="R9" s="1357">
        <v>3628.35</v>
      </c>
      <c r="S9" s="1357">
        <v>112.52</v>
      </c>
      <c r="T9" s="1357"/>
      <c r="U9" s="1357"/>
      <c r="V9" s="1358"/>
      <c r="W9" s="1359"/>
    </row>
    <row r="10" spans="1:23" ht="30" x14ac:dyDescent="0.25">
      <c r="A10" s="1346" t="s">
        <v>1461</v>
      </c>
      <c r="B10" s="1349"/>
      <c r="C10" s="1349"/>
      <c r="D10" s="1349"/>
      <c r="E10" s="1349"/>
      <c r="F10" s="1349"/>
      <c r="G10" s="1349"/>
      <c r="H10" s="1349">
        <f>477.1+864.8+583.2+1667.9</f>
        <v>3593</v>
      </c>
      <c r="I10" s="1349">
        <f>430+841.5+196.9+735.9</f>
        <v>2204.3000000000002</v>
      </c>
      <c r="J10" s="1349"/>
      <c r="K10" s="1349">
        <f>124.5+300</f>
        <v>424.5</v>
      </c>
      <c r="L10" s="1349">
        <f>451+882.7+206.7+771.96</f>
        <v>2312.36</v>
      </c>
      <c r="M10" s="1349"/>
      <c r="N10" s="1349">
        <f>780</f>
        <v>780</v>
      </c>
      <c r="O10" s="1349">
        <f>стоки!Z12+стоки!Y22+стоки!Y28+стоки!Y37</f>
        <v>699.72213333333343</v>
      </c>
      <c r="P10" s="1349"/>
      <c r="Q10" s="1349">
        <v>215.85</v>
      </c>
      <c r="R10" s="1349">
        <f>стоки!AI12+стоки!AI22+стоки!AI28+стоки!AI37</f>
        <v>361.53</v>
      </c>
      <c r="S10" s="1349"/>
      <c r="T10" s="1349">
        <f>вода!BD12+вода!BD22+вода!BD28+вода!BD38</f>
        <v>500.53977966101695</v>
      </c>
      <c r="U10" s="1349">
        <f>стоки!AZ12+стоки!AZ22+стоки!AZ28+стоки!AZ37</f>
        <v>301.27555932203393</v>
      </c>
      <c r="V10" s="1353"/>
      <c r="W10" s="1349">
        <f>SUM(H10:V10)</f>
        <v>11393.077472316385</v>
      </c>
    </row>
    <row r="11" spans="1:23" x14ac:dyDescent="0.25">
      <c r="A11" s="1346" t="s">
        <v>1467</v>
      </c>
      <c r="B11" s="1349"/>
      <c r="C11" s="1349"/>
      <c r="D11" s="1349"/>
      <c r="E11" s="1349"/>
      <c r="F11" s="1349"/>
      <c r="G11" s="1349"/>
      <c r="H11" s="1349"/>
      <c r="I11" s="1349"/>
      <c r="J11" s="1349"/>
      <c r="K11" s="1349"/>
      <c r="L11" s="1349"/>
      <c r="M11" s="1349"/>
      <c r="N11" s="1349">
        <f>вода!AA92</f>
        <v>4665</v>
      </c>
      <c r="O11" s="1349">
        <f>стоки!Y83</f>
        <v>4947</v>
      </c>
      <c r="P11" s="1349"/>
      <c r="Q11" s="1349">
        <f>вода!AN92</f>
        <v>4444</v>
      </c>
      <c r="R11" s="1349">
        <f>стоки!AI83</f>
        <v>3568.1</v>
      </c>
      <c r="S11" s="1349"/>
      <c r="T11" s="1349">
        <f>вода!BD92</f>
        <v>3976</v>
      </c>
      <c r="U11" s="1349">
        <f>стоки!AZ83</f>
        <v>0.9</v>
      </c>
      <c r="V11" s="1353"/>
      <c r="W11" s="1349">
        <f t="shared" ref="W11:W12" si="0">SUM(H11:V11)</f>
        <v>21601</v>
      </c>
    </row>
    <row r="12" spans="1:23" x14ac:dyDescent="0.25">
      <c r="A12" s="1346" t="s">
        <v>1464</v>
      </c>
      <c r="B12" s="1349">
        <f t="shared" ref="B12:G12" si="1">B8+B10</f>
        <v>0</v>
      </c>
      <c r="C12" s="1349">
        <f t="shared" si="1"/>
        <v>0</v>
      </c>
      <c r="D12" s="1349">
        <f t="shared" si="1"/>
        <v>0</v>
      </c>
      <c r="E12" s="1349">
        <f t="shared" si="1"/>
        <v>0</v>
      </c>
      <c r="F12" s="1349">
        <f t="shared" si="1"/>
        <v>0</v>
      </c>
      <c r="G12" s="1349">
        <f t="shared" si="1"/>
        <v>0</v>
      </c>
      <c r="H12" s="1349">
        <f t="shared" ref="H12:V12" si="2">H8+H10+H11</f>
        <v>7692</v>
      </c>
      <c r="I12" s="1349">
        <f t="shared" si="2"/>
        <v>5712.2000000000007</v>
      </c>
      <c r="J12" s="1349">
        <f t="shared" si="2"/>
        <v>299.7</v>
      </c>
      <c r="K12" s="1349">
        <f t="shared" si="2"/>
        <v>7623.5</v>
      </c>
      <c r="L12" s="1349">
        <f t="shared" si="2"/>
        <v>5851.26</v>
      </c>
      <c r="M12" s="1349">
        <f t="shared" si="2"/>
        <v>216.9</v>
      </c>
      <c r="N12" s="1349">
        <f t="shared" si="2"/>
        <v>12740.1</v>
      </c>
      <c r="O12" s="1349">
        <f t="shared" si="2"/>
        <v>10434.452133333332</v>
      </c>
      <c r="P12" s="1349">
        <f t="shared" si="2"/>
        <v>189.15722480612965</v>
      </c>
      <c r="Q12" s="1349">
        <f t="shared" si="2"/>
        <v>13497.45</v>
      </c>
      <c r="R12" s="1349">
        <f t="shared" si="2"/>
        <v>10106.93</v>
      </c>
      <c r="S12" s="1349">
        <f t="shared" si="2"/>
        <v>192.15</v>
      </c>
      <c r="T12" s="1349">
        <f t="shared" si="2"/>
        <v>13812.639779661018</v>
      </c>
      <c r="U12" s="1349">
        <f t="shared" si="2"/>
        <v>5124.2755593220336</v>
      </c>
      <c r="V12" s="1353">
        <f t="shared" si="2"/>
        <v>192.66</v>
      </c>
      <c r="W12" s="1349">
        <f t="shared" si="0"/>
        <v>93685.374697122519</v>
      </c>
    </row>
    <row r="13" spans="1:23" x14ac:dyDescent="0.25">
      <c r="A13" s="6269"/>
      <c r="B13" s="6270"/>
      <c r="C13" s="6270"/>
      <c r="D13" s="6270"/>
      <c r="E13" s="6270"/>
      <c r="F13" s="6270"/>
      <c r="G13" s="6270"/>
      <c r="H13" s="6270"/>
      <c r="I13" s="6270"/>
      <c r="J13" s="6270"/>
      <c r="K13" s="6270"/>
      <c r="L13" s="6270"/>
      <c r="M13" s="6270"/>
      <c r="N13" s="6270"/>
      <c r="O13" s="6270"/>
      <c r="P13" s="6270"/>
      <c r="Q13" s="6270"/>
      <c r="R13" s="6270"/>
      <c r="S13" s="6270"/>
      <c r="T13" s="6270"/>
      <c r="U13" s="6270"/>
      <c r="V13" s="6270"/>
      <c r="W13" s="6271"/>
    </row>
    <row r="14" spans="1:23" ht="30" x14ac:dyDescent="0.25">
      <c r="A14" s="1346" t="s">
        <v>1462</v>
      </c>
      <c r="B14" s="1349"/>
      <c r="C14" s="1349"/>
      <c r="D14" s="1349"/>
      <c r="E14" s="1349"/>
      <c r="F14" s="1349"/>
      <c r="G14" s="1349"/>
      <c r="H14" s="6274">
        <f>3801.4</f>
        <v>3801.4</v>
      </c>
      <c r="I14" s="6275"/>
      <c r="J14" s="6276"/>
      <c r="K14" s="6274">
        <v>3970.2</v>
      </c>
      <c r="L14" s="6275"/>
      <c r="M14" s="6276"/>
      <c r="N14" s="6274">
        <v>3057.9</v>
      </c>
      <c r="O14" s="6275"/>
      <c r="P14" s="6276"/>
      <c r="Q14" s="1349"/>
      <c r="R14" s="1349"/>
      <c r="S14" s="1349"/>
      <c r="T14" s="1349"/>
      <c r="U14" s="1349"/>
      <c r="V14" s="1353"/>
      <c r="W14" s="1349">
        <f>SUM(H14:V14)</f>
        <v>10829.5</v>
      </c>
    </row>
    <row r="15" spans="1:23" x14ac:dyDescent="0.25">
      <c r="A15" s="1346" t="s">
        <v>1463</v>
      </c>
      <c r="B15" s="1349">
        <f>196.7+1504.8+562.4+1300.3</f>
        <v>3564.2</v>
      </c>
      <c r="C15" s="1349"/>
      <c r="D15" s="1349"/>
      <c r="E15" s="1349">
        <f>430.7+822.8+623.8+3074.9</f>
        <v>4952.2</v>
      </c>
      <c r="F15" s="1349"/>
      <c r="G15" s="1349"/>
      <c r="H15" s="1349">
        <f>94.7+1076.6+710+2187.1</f>
        <v>4068.3999999999996</v>
      </c>
      <c r="I15" s="1349">
        <f>427+279.7+300.6+250.9</f>
        <v>1258.2</v>
      </c>
      <c r="J15" s="1349"/>
      <c r="K15" s="1349">
        <f>20+1500+300+1238.7</f>
        <v>3058.7</v>
      </c>
      <c r="L15" s="1349"/>
      <c r="M15" s="1349"/>
      <c r="N15" s="1349">
        <v>2797.4</v>
      </c>
      <c r="O15" s="1349">
        <f>стоки!AB12+стоки!AB22+стоки!AB28+стоки!AB37</f>
        <v>658.1</v>
      </c>
      <c r="P15" s="1349"/>
      <c r="Q15" s="1349">
        <v>2859.9</v>
      </c>
      <c r="R15" s="1349">
        <f>стоки!AS12+стоки!AS22+стоки!AS28+стоки!AS37</f>
        <v>0</v>
      </c>
      <c r="S15" s="1349"/>
      <c r="T15" s="1349"/>
      <c r="U15" s="1349"/>
      <c r="V15" s="1353"/>
      <c r="W15" s="1349">
        <f>SUM(H15:V15)</f>
        <v>14700.699999999999</v>
      </c>
    </row>
    <row r="16" spans="1:23" x14ac:dyDescent="0.25">
      <c r="A16" s="1346" t="s">
        <v>1468</v>
      </c>
      <c r="B16" s="1349"/>
      <c r="C16" s="1349"/>
      <c r="D16" s="1349"/>
      <c r="E16" s="1349"/>
      <c r="F16" s="1349"/>
      <c r="G16" s="1349"/>
      <c r="H16" s="1349"/>
      <c r="I16" s="1349"/>
      <c r="J16" s="1349"/>
      <c r="K16" s="1349"/>
      <c r="L16" s="1349"/>
      <c r="M16" s="1349"/>
      <c r="N16" s="1349">
        <v>824.7</v>
      </c>
      <c r="O16" s="1349">
        <v>1044.8800000000001</v>
      </c>
      <c r="P16" s="1349"/>
      <c r="Q16" s="1349"/>
      <c r="R16" s="1349"/>
      <c r="S16" s="1349"/>
      <c r="T16" s="1349"/>
      <c r="U16" s="1349"/>
      <c r="V16" s="1353"/>
      <c r="W16" s="1349">
        <f>SUM(H16:V16)</f>
        <v>1869.5800000000002</v>
      </c>
    </row>
    <row r="17" spans="1:23" x14ac:dyDescent="0.25">
      <c r="A17" s="6272"/>
      <c r="B17" s="6272"/>
      <c r="C17" s="6272"/>
      <c r="D17" s="6272"/>
      <c r="E17" s="6272"/>
      <c r="F17" s="6272"/>
      <c r="G17" s="6272"/>
      <c r="H17" s="6272"/>
      <c r="I17" s="6272"/>
      <c r="J17" s="6272"/>
      <c r="K17" s="6272"/>
      <c r="L17" s="6272"/>
      <c r="M17" s="6272"/>
      <c r="N17" s="6272"/>
      <c r="O17" s="6272"/>
      <c r="P17" s="6272"/>
      <c r="Q17" s="6272"/>
      <c r="R17" s="6272"/>
      <c r="S17" s="6272"/>
      <c r="T17" s="6272"/>
      <c r="U17" s="6272"/>
      <c r="V17" s="6272"/>
      <c r="W17" s="6273"/>
    </row>
    <row r="18" spans="1:23" x14ac:dyDescent="0.25">
      <c r="A18" s="1346"/>
      <c r="B18" s="1349"/>
      <c r="C18" s="1349"/>
      <c r="D18" s="1349"/>
      <c r="E18" s="1349"/>
      <c r="F18" s="1349"/>
      <c r="G18" s="1349"/>
      <c r="H18" s="1349"/>
      <c r="I18" s="1349"/>
      <c r="J18" s="1349"/>
      <c r="K18" s="1349"/>
      <c r="L18" s="1349"/>
      <c r="M18" s="1349"/>
      <c r="N18" s="1349"/>
      <c r="O18" s="1349"/>
      <c r="P18" s="1349"/>
      <c r="Q18" s="1349"/>
      <c r="R18" s="1349"/>
      <c r="S18" s="1349"/>
      <c r="T18" s="1349"/>
      <c r="U18" s="1349"/>
      <c r="V18" s="1353"/>
      <c r="W18" s="1350"/>
    </row>
    <row r="19" spans="1:23" ht="30" x14ac:dyDescent="0.25">
      <c r="A19" s="1346" t="s">
        <v>1465</v>
      </c>
      <c r="B19" s="1349">
        <f t="shared" ref="B19:G19" si="3">B14+B15</f>
        <v>3564.2</v>
      </c>
      <c r="C19" s="1349">
        <f t="shared" si="3"/>
        <v>0</v>
      </c>
      <c r="D19" s="1349">
        <f t="shared" si="3"/>
        <v>0</v>
      </c>
      <c r="E19" s="1349">
        <f t="shared" si="3"/>
        <v>4952.2</v>
      </c>
      <c r="F19" s="1349">
        <f t="shared" si="3"/>
        <v>0</v>
      </c>
      <c r="G19" s="1349">
        <f t="shared" si="3"/>
        <v>0</v>
      </c>
      <c r="H19" s="1349">
        <f>H14+H15+H16</f>
        <v>7869.7999999999993</v>
      </c>
      <c r="I19" s="1349">
        <f t="shared" ref="I19:V19" si="4">I14+I15+I16</f>
        <v>1258.2</v>
      </c>
      <c r="J19" s="1349">
        <f t="shared" si="4"/>
        <v>0</v>
      </c>
      <c r="K19" s="1349">
        <f t="shared" si="4"/>
        <v>7028.9</v>
      </c>
      <c r="L19" s="1349">
        <f t="shared" si="4"/>
        <v>0</v>
      </c>
      <c r="M19" s="1349">
        <f t="shared" si="4"/>
        <v>0</v>
      </c>
      <c r="N19" s="1349">
        <f t="shared" si="4"/>
        <v>6680</v>
      </c>
      <c r="O19" s="1349">
        <f t="shared" si="4"/>
        <v>1702.98</v>
      </c>
      <c r="P19" s="1349">
        <f t="shared" si="4"/>
        <v>0</v>
      </c>
      <c r="Q19" s="1349">
        <f t="shared" si="4"/>
        <v>2859.9</v>
      </c>
      <c r="R19" s="1349">
        <f t="shared" si="4"/>
        <v>0</v>
      </c>
      <c r="S19" s="1349">
        <f t="shared" si="4"/>
        <v>0</v>
      </c>
      <c r="T19" s="1349">
        <f t="shared" si="4"/>
        <v>0</v>
      </c>
      <c r="U19" s="1349">
        <f t="shared" si="4"/>
        <v>0</v>
      </c>
      <c r="V19" s="1353">
        <f t="shared" si="4"/>
        <v>0</v>
      </c>
      <c r="W19" s="1349">
        <f>SUM(H19:V19)</f>
        <v>27399.780000000002</v>
      </c>
    </row>
    <row r="20" spans="1:23" x14ac:dyDescent="0.25">
      <c r="A20" s="1346" t="s">
        <v>1466</v>
      </c>
      <c r="B20" s="1350"/>
      <c r="C20" s="1350"/>
      <c r="D20" s="1350"/>
      <c r="E20" s="1350"/>
      <c r="F20" s="1350"/>
      <c r="G20" s="1350"/>
      <c r="H20" s="1349">
        <f t="shared" ref="H20:V20" si="5">H12-H19</f>
        <v>-177.79999999999927</v>
      </c>
      <c r="I20" s="1349">
        <f t="shared" si="5"/>
        <v>4454.0000000000009</v>
      </c>
      <c r="J20" s="1349">
        <f t="shared" si="5"/>
        <v>299.7</v>
      </c>
      <c r="K20" s="1349">
        <f t="shared" si="5"/>
        <v>594.60000000000036</v>
      </c>
      <c r="L20" s="1349">
        <f t="shared" si="5"/>
        <v>5851.26</v>
      </c>
      <c r="M20" s="1349">
        <f t="shared" si="5"/>
        <v>216.9</v>
      </c>
      <c r="N20" s="1349">
        <f t="shared" si="5"/>
        <v>6060.1</v>
      </c>
      <c r="O20" s="1349">
        <f t="shared" si="5"/>
        <v>8731.4721333333327</v>
      </c>
      <c r="P20" s="1349">
        <f t="shared" si="5"/>
        <v>189.15722480612965</v>
      </c>
      <c r="Q20" s="1349">
        <f t="shared" si="5"/>
        <v>10637.550000000001</v>
      </c>
      <c r="R20" s="1349">
        <f t="shared" si="5"/>
        <v>10106.93</v>
      </c>
      <c r="S20" s="1349">
        <f t="shared" si="5"/>
        <v>192.15</v>
      </c>
      <c r="T20" s="1349">
        <f t="shared" si="5"/>
        <v>13812.639779661018</v>
      </c>
      <c r="U20" s="1349">
        <f t="shared" si="5"/>
        <v>5124.2755593220336</v>
      </c>
      <c r="V20" s="1353">
        <f t="shared" si="5"/>
        <v>192.66</v>
      </c>
      <c r="W20" s="1351">
        <f>SUM(H20:V20)</f>
        <v>66285.59469712252</v>
      </c>
    </row>
    <row r="21" spans="1:23" ht="30" customHeight="1" x14ac:dyDescent="0.35">
      <c r="A21" s="6280" t="s">
        <v>1472</v>
      </c>
      <c r="B21" s="6281"/>
      <c r="C21" s="6281"/>
      <c r="D21" s="6281"/>
      <c r="E21" s="6281"/>
      <c r="F21" s="6281"/>
      <c r="G21" s="6281"/>
      <c r="H21" s="6281"/>
      <c r="I21" s="6281"/>
      <c r="J21" s="6281"/>
      <c r="K21" s="6281"/>
      <c r="L21" s="6281"/>
      <c r="M21" s="6281"/>
      <c r="N21" s="6281"/>
      <c r="O21" s="6281"/>
      <c r="P21" s="6281"/>
      <c r="Q21" s="6281"/>
      <c r="R21" s="6281"/>
      <c r="S21" s="6281"/>
      <c r="T21" s="6281"/>
      <c r="U21" s="6282"/>
      <c r="V21" s="1354">
        <f>SUM(H20:V20)</f>
        <v>66285.59469712252</v>
      </c>
      <c r="W21" s="1350"/>
    </row>
    <row r="22" spans="1:23" x14ac:dyDescent="0.25">
      <c r="A22" s="6270"/>
      <c r="B22" s="6270"/>
      <c r="C22" s="6270"/>
      <c r="D22" s="6270"/>
      <c r="E22" s="6270"/>
      <c r="F22" s="6270"/>
      <c r="G22" s="6270"/>
      <c r="H22" s="6270"/>
      <c r="I22" s="6270"/>
      <c r="J22" s="6270"/>
      <c r="K22" s="6270"/>
      <c r="L22" s="6270"/>
      <c r="M22" s="6270"/>
      <c r="N22" s="6270"/>
      <c r="O22" s="6270"/>
      <c r="P22" s="6270"/>
      <c r="Q22" s="6270"/>
      <c r="R22" s="6270"/>
      <c r="S22" s="6270"/>
      <c r="T22" s="6270"/>
      <c r="U22" s="6270"/>
      <c r="V22" s="6270"/>
      <c r="W22" s="6271"/>
    </row>
    <row r="23" spans="1:23" x14ac:dyDescent="0.25">
      <c r="A23" s="6268" t="s">
        <v>1470</v>
      </c>
      <c r="B23" s="6268"/>
      <c r="C23" s="6268"/>
      <c r="D23" s="6268"/>
      <c r="E23" s="6268"/>
      <c r="F23" s="6268"/>
      <c r="G23" s="6268"/>
      <c r="H23" s="6268"/>
      <c r="I23" s="6268"/>
      <c r="J23" s="6268"/>
      <c r="K23" s="6268"/>
      <c r="L23" s="6268"/>
      <c r="M23" s="6268"/>
      <c r="N23" s="6268"/>
      <c r="O23" s="6268"/>
      <c r="P23" s="6268"/>
      <c r="Q23" s="6268"/>
      <c r="R23" s="6268"/>
      <c r="S23" s="6268"/>
      <c r="T23" s="6268"/>
      <c r="U23" s="6268"/>
      <c r="V23" s="6279"/>
      <c r="W23" s="1350"/>
    </row>
    <row r="24" spans="1:23" ht="30" x14ac:dyDescent="0.25">
      <c r="A24" s="1346" t="s">
        <v>1475</v>
      </c>
      <c r="B24" s="1350"/>
      <c r="C24" s="1350"/>
      <c r="D24" s="1350"/>
      <c r="E24" s="1350"/>
      <c r="F24" s="1350"/>
      <c r="G24" s="1350"/>
      <c r="H24" s="1350"/>
      <c r="I24" s="1350"/>
      <c r="J24" s="1350"/>
      <c r="K24" s="1350"/>
      <c r="L24" s="1350"/>
      <c r="M24" s="1350"/>
      <c r="N24" s="1350"/>
      <c r="O24" s="1350"/>
      <c r="P24" s="1350"/>
      <c r="Q24" s="1350"/>
      <c r="R24" s="1350"/>
      <c r="S24" s="1350"/>
      <c r="T24" s="1349">
        <f>10+15+4100.22+5000+5000</f>
        <v>14125.220000000001</v>
      </c>
      <c r="U24" s="1349">
        <f>1497.7+1500+1500</f>
        <v>4497.7</v>
      </c>
      <c r="V24" s="1355"/>
      <c r="W24" s="1349">
        <f>SUM(H24:V24)</f>
        <v>18622.920000000002</v>
      </c>
    </row>
    <row r="25" spans="1:23" ht="30" x14ac:dyDescent="0.25">
      <c r="A25" s="1346" t="s">
        <v>1476</v>
      </c>
      <c r="B25" s="1350"/>
      <c r="C25" s="1350"/>
      <c r="D25" s="1350"/>
      <c r="E25" s="1350"/>
      <c r="F25" s="1350"/>
      <c r="G25" s="1350"/>
      <c r="H25" s="1350"/>
      <c r="I25" s="1350"/>
      <c r="J25" s="1350"/>
      <c r="K25" s="1350"/>
      <c r="L25" s="1350"/>
      <c r="M25" s="1350"/>
      <c r="N25" s="1350"/>
      <c r="O25" s="1350"/>
      <c r="P25" s="1350"/>
      <c r="Q25" s="1350"/>
      <c r="R25" s="1350"/>
      <c r="S25" s="1350"/>
      <c r="T25" s="1350">
        <v>4735.2</v>
      </c>
      <c r="U25" s="1350">
        <v>4491.5</v>
      </c>
      <c r="V25" s="1355"/>
      <c r="W25" s="1349">
        <f>SUM(H25:V25)</f>
        <v>9226.7000000000007</v>
      </c>
    </row>
  </sheetData>
  <mergeCells count="18">
    <mergeCell ref="A23:V23"/>
    <mergeCell ref="B5:D5"/>
    <mergeCell ref="E5:G5"/>
    <mergeCell ref="H5:J5"/>
    <mergeCell ref="K5:M5"/>
    <mergeCell ref="N5:P5"/>
    <mergeCell ref="Q5:S5"/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</mergeCells>
  <pageMargins left="0.7" right="0.7" top="0.75" bottom="0.75" header="0.3" footer="0.3"/>
  <pageSetup paperSize="9" scale="57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66FF"/>
    <pageSetUpPr fitToPage="1"/>
  </sheetPr>
  <dimension ref="A1:DP21"/>
  <sheetViews>
    <sheetView zoomScale="80" zoomScaleNormal="80" zoomScaleSheetLayoutView="75" zoomScalePageLayoutView="70" workbookViewId="0">
      <pane xSplit="24" ySplit="5" topLeftCell="DJ6" activePane="bottomRight" state="frozen"/>
      <selection pane="topRight" activeCell="Y1" sqref="Y1"/>
      <selection pane="bottomLeft" activeCell="A7" sqref="A7"/>
      <selection pane="bottomRight" activeCell="DM7" sqref="DM7:DM17"/>
    </sheetView>
  </sheetViews>
  <sheetFormatPr defaultRowHeight="15.75" outlineLevelCol="1" x14ac:dyDescent="0.25"/>
  <cols>
    <col min="1" max="1" width="80.710937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4" hidden="1" customWidth="1"/>
    <col min="37" max="37" width="11" style="324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1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69" width="13.7109375" style="1655" hidden="1" customWidth="1" outlineLevel="1"/>
    <col min="70" max="70" width="2.140625" style="1655" hidden="1" customWidth="1" outlineLevel="1"/>
    <col min="71" max="72" width="13.7109375" style="1655" hidden="1" customWidth="1" outlineLevel="1"/>
    <col min="73" max="73" width="10.7109375" style="1655" hidden="1" customWidth="1" outlineLevel="1"/>
    <col min="74" max="75" width="13.7109375" style="1655" hidden="1" customWidth="1" outlineLevel="1"/>
    <col min="76" max="76" width="1.42578125" style="1655" hidden="1" customWidth="1" outlineLevel="1"/>
    <col min="77" max="77" width="15.7109375" style="1655" customWidth="1" outlineLevel="1"/>
    <col min="78" max="78" width="13.7109375" style="1655" hidden="1" customWidth="1" outlineLevel="1"/>
    <col min="79" max="79" width="10.7109375" style="1655" hidden="1" customWidth="1" outlineLevel="1"/>
    <col min="80" max="80" width="43.42578125" hidden="1" customWidth="1"/>
    <col min="81" max="83" width="0" hidden="1" customWidth="1"/>
    <col min="84" max="84" width="15.7109375" customWidth="1"/>
    <col min="85" max="85" width="13.7109375" hidden="1" customWidth="1"/>
    <col min="86" max="86" width="10.7109375" hidden="1" customWidth="1"/>
    <col min="87" max="88" width="13.7109375" hidden="1" customWidth="1"/>
    <col min="89" max="89" width="10.7109375" hidden="1" customWidth="1"/>
    <col min="90" max="91" width="13.7109375" hidden="1" customWidth="1"/>
    <col min="92" max="92" width="10.7109375" hidden="1" customWidth="1"/>
    <col min="93" max="93" width="15.7109375" customWidth="1"/>
    <col min="94" max="94" width="13.7109375" hidden="1" customWidth="1"/>
    <col min="95" max="95" width="10.7109375" hidden="1" customWidth="1"/>
    <col min="96" max="96" width="15.7109375" customWidth="1"/>
    <col min="97" max="97" width="13.85546875" hidden="1" customWidth="1"/>
    <col min="98" max="98" width="10.7109375" hidden="1" customWidth="1"/>
    <col min="99" max="99" width="15.7109375" customWidth="1"/>
    <col min="100" max="100" width="14.140625" hidden="1" customWidth="1"/>
    <col min="101" max="101" width="10.7109375" hidden="1" customWidth="1"/>
    <col min="102" max="107" width="13.7109375" hidden="1" customWidth="1"/>
    <col min="108" max="108" width="19.7109375" customWidth="1"/>
    <col min="109" max="109" width="13.7109375" hidden="1" customWidth="1"/>
    <col min="110" max="110" width="10.7109375" hidden="1" customWidth="1"/>
    <col min="111" max="111" width="23" customWidth="1"/>
    <col min="112" max="112" width="14" hidden="1" customWidth="1"/>
    <col min="113" max="113" width="10.7109375" hidden="1" customWidth="1"/>
    <col min="114" max="114" width="27" customWidth="1"/>
    <col min="115" max="117" width="24" customWidth="1"/>
    <col min="118" max="118" width="3" customWidth="1"/>
    <col min="119" max="119" width="7" customWidth="1"/>
  </cols>
  <sheetData>
    <row r="1" spans="1:120" x14ac:dyDescent="0.25">
      <c r="CB1" t="s">
        <v>1490</v>
      </c>
      <c r="CW1" s="155"/>
    </row>
    <row r="2" spans="1:120" ht="54" customHeight="1" x14ac:dyDescent="0.2">
      <c r="A2" s="6286" t="s">
        <v>4030</v>
      </c>
      <c r="B2" s="5530"/>
      <c r="C2" s="5530"/>
      <c r="D2" s="5530"/>
      <c r="E2" s="5530"/>
      <c r="F2" s="5530"/>
      <c r="G2" s="5530"/>
      <c r="H2" s="5530"/>
      <c r="I2" s="5530"/>
      <c r="J2" s="5530"/>
      <c r="K2" s="5530"/>
      <c r="L2" s="5530"/>
      <c r="M2" s="5530"/>
      <c r="N2" s="5530"/>
      <c r="O2" s="5530"/>
      <c r="P2" s="5530"/>
      <c r="Q2" s="5530"/>
      <c r="R2" s="5530"/>
      <c r="S2" s="5530"/>
      <c r="T2" s="5530"/>
      <c r="U2" s="5530"/>
      <c r="V2" s="5530"/>
      <c r="W2" s="5530"/>
      <c r="X2" s="5530"/>
      <c r="Y2" s="5530"/>
      <c r="Z2" s="5530"/>
      <c r="AA2" s="5530"/>
      <c r="AB2" s="5530"/>
      <c r="AC2" s="5530"/>
      <c r="AD2" s="5530"/>
      <c r="AE2" s="5530"/>
      <c r="AF2" s="5530"/>
      <c r="AG2" s="5530"/>
      <c r="AH2" s="5530"/>
      <c r="AI2" s="5530"/>
      <c r="AJ2" s="5530"/>
      <c r="AK2" s="5530"/>
      <c r="AL2" s="5530"/>
      <c r="AM2" s="5530"/>
      <c r="AN2" s="5530"/>
      <c r="AO2" s="5530"/>
      <c r="AP2" s="5530"/>
      <c r="AQ2" s="5530"/>
      <c r="AR2" s="5530"/>
      <c r="AS2" s="5530"/>
      <c r="AT2" s="5530"/>
      <c r="AU2" s="5530"/>
      <c r="AV2" s="5530"/>
      <c r="AW2" s="5530"/>
      <c r="AX2" s="5530"/>
      <c r="AY2" s="5530"/>
      <c r="AZ2" s="5530"/>
      <c r="BA2" s="5530"/>
      <c r="BB2" s="5530"/>
      <c r="BC2" s="5530"/>
      <c r="BD2" s="5530"/>
      <c r="BE2" s="5530"/>
      <c r="BF2" s="5530"/>
      <c r="BG2" s="5530"/>
      <c r="BH2" s="5530"/>
      <c r="BI2" s="5530"/>
      <c r="BJ2" s="5530"/>
      <c r="BK2" s="5530"/>
      <c r="BL2" s="5530"/>
      <c r="BM2" s="5530"/>
      <c r="BN2" s="5530"/>
      <c r="BO2" s="5530"/>
      <c r="BP2" s="5530"/>
      <c r="BQ2" s="5530"/>
      <c r="BR2" s="5530"/>
      <c r="BS2" s="5530"/>
      <c r="BT2" s="5530"/>
      <c r="BU2" s="5530"/>
      <c r="BV2" s="5530"/>
      <c r="BW2" s="5530"/>
      <c r="BX2" s="5530"/>
      <c r="BY2" s="5530"/>
      <c r="BZ2" s="5530"/>
      <c r="CA2" s="5530"/>
      <c r="CB2" s="5530"/>
      <c r="CC2" s="5530"/>
      <c r="CD2" s="5530"/>
      <c r="CE2" s="5530"/>
      <c r="CF2" s="5530"/>
      <c r="CG2" s="5530"/>
      <c r="CH2" s="5530"/>
      <c r="CI2" s="5530"/>
      <c r="CJ2" s="5530"/>
      <c r="CK2" s="5530"/>
      <c r="CL2" s="5530"/>
      <c r="CM2" s="5530"/>
      <c r="CN2" s="5530"/>
      <c r="CO2" s="5530"/>
      <c r="CP2" s="5530"/>
      <c r="CQ2" s="5530"/>
      <c r="CR2" s="5530"/>
      <c r="CS2" s="5530"/>
      <c r="CT2" s="5530"/>
      <c r="CU2" s="5530"/>
      <c r="CV2" s="5530"/>
      <c r="CW2" s="5530"/>
      <c r="CX2" s="5530"/>
      <c r="CY2" s="5530"/>
      <c r="CZ2" s="5530"/>
      <c r="DA2" s="5530"/>
      <c r="DB2" s="5530"/>
      <c r="DC2" s="5530"/>
      <c r="DD2" s="5530"/>
      <c r="DE2" s="5530"/>
      <c r="DF2" s="5530"/>
      <c r="DG2" s="5530"/>
      <c r="DH2" s="5530"/>
      <c r="DI2" s="5530"/>
      <c r="DJ2" s="5530"/>
      <c r="DK2" s="5530"/>
      <c r="DL2" s="5530"/>
      <c r="DM2" s="5531"/>
      <c r="DN2" s="2086"/>
    </row>
    <row r="3" spans="1:120" ht="20.25" x14ac:dyDescent="0.2">
      <c r="A3" s="3718"/>
      <c r="B3" s="3718"/>
      <c r="C3" s="3718"/>
      <c r="D3" s="3718"/>
      <c r="E3" s="3718"/>
      <c r="F3" s="3718"/>
      <c r="G3" s="3718"/>
      <c r="H3" s="3718"/>
      <c r="I3" s="3718"/>
      <c r="J3" s="3718"/>
      <c r="K3" s="3718"/>
      <c r="L3" s="3718"/>
      <c r="M3" s="3718"/>
      <c r="N3" s="3718"/>
      <c r="O3" s="3718"/>
      <c r="P3" s="3718"/>
      <c r="Q3" s="3718"/>
      <c r="R3" s="3718"/>
      <c r="S3" s="3718"/>
      <c r="T3" s="3718"/>
      <c r="U3" s="3718"/>
      <c r="V3" s="3718"/>
      <c r="W3" s="3718"/>
      <c r="X3" s="3718"/>
      <c r="Y3" s="3718"/>
      <c r="Z3" s="3718"/>
      <c r="AA3" s="3718"/>
      <c r="AB3" s="3718"/>
      <c r="AC3" s="3718"/>
      <c r="AD3" s="3718"/>
      <c r="AE3" s="3718"/>
      <c r="AF3" s="3718"/>
      <c r="AG3" s="3718"/>
      <c r="AH3" s="3718"/>
      <c r="AI3" s="3718"/>
      <c r="AJ3" s="3719"/>
      <c r="AK3" s="3719"/>
      <c r="AL3" s="3718"/>
      <c r="AM3" s="3718"/>
      <c r="AN3" s="3718"/>
      <c r="AO3" s="3718"/>
      <c r="AP3" s="3718"/>
      <c r="AQ3" s="3718"/>
      <c r="AR3" s="3718"/>
      <c r="AS3" s="3718"/>
      <c r="AT3" s="3718"/>
      <c r="AU3" s="3718"/>
      <c r="AV3" s="3718"/>
      <c r="AW3" s="3718"/>
      <c r="AX3" s="3718"/>
      <c r="AY3" s="3718"/>
      <c r="AZ3" s="3718"/>
      <c r="BA3" s="3720"/>
      <c r="BB3" s="3718"/>
      <c r="BC3" s="3718"/>
      <c r="BD3" s="3718"/>
      <c r="BE3" s="3718"/>
      <c r="BF3" s="3718"/>
      <c r="BG3" s="3721"/>
      <c r="BH3" s="3721"/>
      <c r="BI3" s="3721"/>
      <c r="BJ3" s="3721"/>
      <c r="BK3" s="3721"/>
      <c r="BL3" s="3721"/>
      <c r="BM3" s="3721"/>
      <c r="BN3" s="3721"/>
      <c r="BO3" s="3721"/>
      <c r="BP3" s="3721"/>
      <c r="BQ3" s="3721"/>
      <c r="BR3" s="3721"/>
      <c r="BS3" s="3721"/>
      <c r="BT3" s="3721"/>
      <c r="BU3" s="3721"/>
      <c r="BV3" s="3721"/>
      <c r="BW3" s="3721"/>
      <c r="BX3" s="3721"/>
      <c r="BY3" s="5532" t="s">
        <v>3916</v>
      </c>
      <c r="BZ3" s="5533"/>
      <c r="CA3" s="5533"/>
      <c r="CB3" s="5533"/>
      <c r="CC3" s="5533"/>
      <c r="CD3" s="5533"/>
      <c r="CE3" s="5533"/>
      <c r="CF3" s="5533"/>
      <c r="CG3" s="5533"/>
      <c r="CH3" s="5534"/>
      <c r="CI3" s="3913"/>
      <c r="CJ3" s="3913"/>
      <c r="CK3" s="3913"/>
      <c r="CL3" s="3913"/>
      <c r="CM3" s="3913"/>
      <c r="CN3" s="3913"/>
      <c r="CO3" s="5532" t="s">
        <v>3608</v>
      </c>
      <c r="CP3" s="5533"/>
      <c r="CQ3" s="5534"/>
      <c r="CR3" s="5532" t="s">
        <v>3915</v>
      </c>
      <c r="CS3" s="5533"/>
      <c r="CT3" s="5533"/>
      <c r="CU3" s="5533"/>
      <c r="CV3" s="5533"/>
      <c r="CW3" s="5534"/>
      <c r="CX3" s="3913"/>
      <c r="CY3" s="3913"/>
      <c r="CZ3" s="3913"/>
      <c r="DA3" s="3913"/>
      <c r="DB3" s="3913"/>
      <c r="DC3" s="3913"/>
      <c r="DD3" s="5532" t="s">
        <v>3866</v>
      </c>
      <c r="DE3" s="5533"/>
      <c r="DF3" s="5534"/>
      <c r="DG3" s="5532" t="s">
        <v>3905</v>
      </c>
      <c r="DH3" s="3963"/>
      <c r="DI3" s="3963"/>
      <c r="DJ3" s="5549" t="s">
        <v>1807</v>
      </c>
      <c r="DK3" s="6047"/>
      <c r="DL3" s="5549" t="s">
        <v>1808</v>
      </c>
      <c r="DM3" s="6047"/>
      <c r="DN3" s="2086"/>
    </row>
    <row r="4" spans="1:120" ht="45" customHeight="1" x14ac:dyDescent="0.2">
      <c r="A4" s="5557" t="s">
        <v>525</v>
      </c>
      <c r="B4" s="5522" t="s">
        <v>57</v>
      </c>
      <c r="C4" s="5557" t="s">
        <v>58</v>
      </c>
      <c r="D4" s="5557"/>
      <c r="E4" s="5555" t="s">
        <v>66</v>
      </c>
      <c r="F4" s="5555"/>
      <c r="G4" s="5555" t="s">
        <v>91</v>
      </c>
      <c r="H4" s="5555"/>
      <c r="I4" s="5555" t="s">
        <v>116</v>
      </c>
      <c r="J4" s="5555"/>
      <c r="K4" s="5555"/>
      <c r="L4" s="5555"/>
      <c r="M4" s="5555"/>
      <c r="N4" s="5555"/>
      <c r="O4" s="5543" t="s">
        <v>154</v>
      </c>
      <c r="P4" s="5543"/>
      <c r="Q4" s="5543"/>
      <c r="R4" s="5543"/>
      <c r="S4" s="5543"/>
      <c r="T4" s="5543"/>
      <c r="U4" s="5543"/>
      <c r="V4" s="5543"/>
      <c r="W4" s="5543"/>
      <c r="X4" s="5543"/>
      <c r="Y4" s="5520" t="s">
        <v>227</v>
      </c>
      <c r="Z4" s="5520"/>
      <c r="AA4" s="5520"/>
      <c r="AB4" s="5520"/>
      <c r="AC4" s="5520"/>
      <c r="AD4" s="5520"/>
      <c r="AE4" s="5556"/>
      <c r="AF4" s="5556"/>
      <c r="AG4" s="5556"/>
      <c r="AH4" s="5520" t="s">
        <v>362</v>
      </c>
      <c r="AI4" s="5523"/>
      <c r="AJ4" s="5523"/>
      <c r="AK4" s="5523"/>
      <c r="AL4" s="5523"/>
      <c r="AM4" s="5523"/>
      <c r="AN4" s="5523"/>
      <c r="AO4" s="5523"/>
      <c r="AP4" s="5523"/>
      <c r="AQ4" s="5523"/>
      <c r="AR4" s="5523"/>
      <c r="AS4" s="5523"/>
      <c r="AT4" s="5523"/>
      <c r="AU4" s="5523"/>
      <c r="AV4" s="5523"/>
      <c r="AW4" s="5523"/>
      <c r="AX4" s="5523"/>
      <c r="AY4" s="5523"/>
      <c r="AZ4" s="5520" t="s">
        <v>815</v>
      </c>
      <c r="BA4" s="5520"/>
      <c r="BB4" s="5520"/>
      <c r="BC4" s="5520"/>
      <c r="BD4" s="5520"/>
      <c r="BE4" s="5520"/>
      <c r="BF4" s="5520"/>
      <c r="BG4" s="5520"/>
      <c r="BH4" s="5520"/>
      <c r="BI4" s="5520"/>
      <c r="BJ4" s="5520" t="s">
        <v>892</v>
      </c>
      <c r="BK4" s="5520"/>
      <c r="BL4" s="5520"/>
      <c r="BM4" s="5520" t="s">
        <v>893</v>
      </c>
      <c r="BN4" s="5521"/>
      <c r="BO4" s="5521"/>
      <c r="BP4" s="5521"/>
      <c r="BQ4" s="5521"/>
      <c r="BR4" s="5521"/>
      <c r="BS4" s="5520" t="s">
        <v>1799</v>
      </c>
      <c r="BT4" s="5520"/>
      <c r="BU4" s="5520"/>
      <c r="BV4" s="5520"/>
      <c r="BW4" s="5520"/>
      <c r="BX4" s="5520"/>
      <c r="BY4" s="5535"/>
      <c r="BZ4" s="5536"/>
      <c r="CA4" s="5536"/>
      <c r="CB4" s="5536"/>
      <c r="CC4" s="5536"/>
      <c r="CD4" s="5536"/>
      <c r="CE4" s="5536"/>
      <c r="CF4" s="5536"/>
      <c r="CG4" s="5536"/>
      <c r="CH4" s="5537"/>
      <c r="CI4" s="5520" t="s">
        <v>3614</v>
      </c>
      <c r="CJ4" s="5521"/>
      <c r="CK4" s="5521"/>
      <c r="CL4" s="5520" t="s">
        <v>3615</v>
      </c>
      <c r="CM4" s="5521"/>
      <c r="CN4" s="5521"/>
      <c r="CO4" s="6289"/>
      <c r="CP4" s="6089"/>
      <c r="CQ4" s="6290"/>
      <c r="CR4" s="5535"/>
      <c r="CS4" s="5536"/>
      <c r="CT4" s="5536"/>
      <c r="CU4" s="5536"/>
      <c r="CV4" s="5536"/>
      <c r="CW4" s="5537"/>
      <c r="CX4" s="5520" t="s">
        <v>3867</v>
      </c>
      <c r="CY4" s="5521"/>
      <c r="CZ4" s="5521"/>
      <c r="DA4" s="5520" t="s">
        <v>3868</v>
      </c>
      <c r="DB4" s="5521"/>
      <c r="DC4" s="5521"/>
      <c r="DD4" s="6289"/>
      <c r="DE4" s="6089"/>
      <c r="DF4" s="6290"/>
      <c r="DG4" s="5535"/>
      <c r="DH4" s="3913"/>
      <c r="DI4" s="3913"/>
      <c r="DJ4" s="6287" t="s">
        <v>3957</v>
      </c>
      <c r="DK4" s="6287" t="s">
        <v>3958</v>
      </c>
      <c r="DL4" s="6287" t="s">
        <v>3957</v>
      </c>
      <c r="DM4" s="6287" t="s">
        <v>3958</v>
      </c>
      <c r="DN4" s="3672"/>
      <c r="DO4" s="3722"/>
      <c r="DP4" s="3691"/>
    </row>
    <row r="5" spans="1:120" ht="34.5" customHeight="1" x14ac:dyDescent="0.2">
      <c r="A5" s="5557"/>
      <c r="B5" s="5522"/>
      <c r="C5" s="3671" t="s">
        <v>60</v>
      </c>
      <c r="D5" s="3671" t="s">
        <v>61</v>
      </c>
      <c r="E5" s="3671" t="s">
        <v>60</v>
      </c>
      <c r="F5" s="3671" t="s">
        <v>65</v>
      </c>
      <c r="G5" s="3671" t="s">
        <v>60</v>
      </c>
      <c r="H5" s="3671" t="s">
        <v>108</v>
      </c>
      <c r="I5" s="3671" t="s">
        <v>59</v>
      </c>
      <c r="J5" s="3671" t="s">
        <v>112</v>
      </c>
      <c r="K5" s="3671" t="s">
        <v>106</v>
      </c>
      <c r="L5" s="3671" t="s">
        <v>60</v>
      </c>
      <c r="M5" s="3671" t="s">
        <v>64</v>
      </c>
      <c r="N5" s="3671" t="s">
        <v>212</v>
      </c>
      <c r="O5" s="3671" t="s">
        <v>118</v>
      </c>
      <c r="P5" s="3671" t="s">
        <v>93</v>
      </c>
      <c r="Q5" s="3671" t="s">
        <v>119</v>
      </c>
      <c r="R5" s="3671" t="s">
        <v>93</v>
      </c>
      <c r="S5" s="3671" t="s">
        <v>152</v>
      </c>
      <c r="T5" s="5522" t="s">
        <v>23</v>
      </c>
      <c r="U5" s="5522"/>
      <c r="V5" s="3671" t="s">
        <v>106</v>
      </c>
      <c r="W5" s="5552" t="s">
        <v>368</v>
      </c>
      <c r="X5" s="5552"/>
      <c r="Y5" s="3671" t="s">
        <v>118</v>
      </c>
      <c r="Z5" s="3671" t="s">
        <v>93</v>
      </c>
      <c r="AA5" s="5543" t="s">
        <v>119</v>
      </c>
      <c r="AB5" s="5544"/>
      <c r="AC5" s="5544"/>
      <c r="AD5" s="5544"/>
      <c r="AE5" s="5543" t="s">
        <v>814</v>
      </c>
      <c r="AF5" s="5544"/>
      <c r="AG5" s="5544"/>
      <c r="AH5" s="5543" t="str">
        <f>Y5</f>
        <v>предложение предприятия</v>
      </c>
      <c r="AI5" s="5544"/>
      <c r="AJ5" s="5544"/>
      <c r="AK5" s="5544"/>
      <c r="AL5" s="5543" t="s">
        <v>236</v>
      </c>
      <c r="AM5" s="5544"/>
      <c r="AN5" s="5544"/>
      <c r="AO5" s="5544"/>
      <c r="AP5" s="3670"/>
      <c r="AQ5" s="3670"/>
      <c r="AR5" s="3670"/>
      <c r="AS5" s="3670"/>
      <c r="AT5" s="5543" t="s">
        <v>844</v>
      </c>
      <c r="AU5" s="5544"/>
      <c r="AV5" s="5544"/>
      <c r="AW5" s="5543" t="s">
        <v>1516</v>
      </c>
      <c r="AX5" s="5544"/>
      <c r="AY5" s="5544"/>
      <c r="AZ5" s="5543" t="s">
        <v>1484</v>
      </c>
      <c r="BA5" s="5543"/>
      <c r="BB5" s="5544"/>
      <c r="BC5" s="5544"/>
      <c r="BD5" s="5543" t="s">
        <v>1585</v>
      </c>
      <c r="BE5" s="5544"/>
      <c r="BF5" s="5544"/>
      <c r="BG5" s="5528" t="s">
        <v>1674</v>
      </c>
      <c r="BH5" s="5528"/>
      <c r="BI5" s="5528"/>
      <c r="BJ5" s="5528" t="s">
        <v>1674</v>
      </c>
      <c r="BK5" s="5528"/>
      <c r="BL5" s="5528"/>
      <c r="BM5" s="5543" t="s">
        <v>1585</v>
      </c>
      <c r="BN5" s="5544"/>
      <c r="BO5" s="5544"/>
      <c r="BP5" s="5528" t="s">
        <v>1674</v>
      </c>
      <c r="BQ5" s="5528"/>
      <c r="BR5" s="5528"/>
      <c r="BS5" s="5528" t="s">
        <v>1817</v>
      </c>
      <c r="BT5" s="5528"/>
      <c r="BU5" s="5528"/>
      <c r="BV5" s="5528" t="s">
        <v>1521</v>
      </c>
      <c r="BW5" s="5528"/>
      <c r="BX5" s="5528"/>
      <c r="BY5" s="5528" t="s">
        <v>118</v>
      </c>
      <c r="BZ5" s="5521"/>
      <c r="CA5" s="5521"/>
      <c r="CB5" s="3914"/>
      <c r="CC5" s="3913"/>
      <c r="CD5" s="3913"/>
      <c r="CE5" s="3913"/>
      <c r="CF5" s="5528" t="s">
        <v>1521</v>
      </c>
      <c r="CG5" s="5521"/>
      <c r="CH5" s="5521"/>
      <c r="CI5" s="5521"/>
      <c r="CJ5" s="5521"/>
      <c r="CK5" s="5521"/>
      <c r="CL5" s="5521"/>
      <c r="CM5" s="5521"/>
      <c r="CN5" s="5521"/>
      <c r="CO5" s="5535"/>
      <c r="CP5" s="5536"/>
      <c r="CQ5" s="5537"/>
      <c r="CR5" s="5528" t="s">
        <v>118</v>
      </c>
      <c r="CS5" s="5521"/>
      <c r="CT5" s="5521"/>
      <c r="CU5" s="5528" t="s">
        <v>1521</v>
      </c>
      <c r="CV5" s="5521"/>
      <c r="CW5" s="5521"/>
      <c r="CX5" s="5521"/>
      <c r="CY5" s="5521"/>
      <c r="CZ5" s="5521"/>
      <c r="DA5" s="5521"/>
      <c r="DB5" s="5521"/>
      <c r="DC5" s="5521"/>
      <c r="DD5" s="5535"/>
      <c r="DE5" s="5536"/>
      <c r="DF5" s="5537"/>
      <c r="DG5" s="5528" t="s">
        <v>118</v>
      </c>
      <c r="DH5" s="5521"/>
      <c r="DI5" s="5521"/>
      <c r="DJ5" s="6288"/>
      <c r="DK5" s="6288"/>
      <c r="DL5" s="6288"/>
      <c r="DM5" s="6288"/>
      <c r="DN5" s="3212">
        <f>SUM(DN7:DN13)-DN12</f>
        <v>0</v>
      </c>
      <c r="DO5" s="3722"/>
      <c r="DP5" s="3691"/>
    </row>
    <row r="6" spans="1:120" ht="35.25" customHeight="1" x14ac:dyDescent="0.2">
      <c r="A6" s="6285" t="s">
        <v>3914</v>
      </c>
      <c r="B6" s="6050"/>
      <c r="C6" s="6050"/>
      <c r="D6" s="6050"/>
      <c r="E6" s="6050"/>
      <c r="F6" s="6050"/>
      <c r="G6" s="6050"/>
      <c r="H6" s="6050"/>
      <c r="I6" s="6050"/>
      <c r="J6" s="6050"/>
      <c r="K6" s="6050"/>
      <c r="L6" s="6050"/>
      <c r="M6" s="6050"/>
      <c r="N6" s="6050"/>
      <c r="O6" s="6050"/>
      <c r="P6" s="6050"/>
      <c r="Q6" s="6050"/>
      <c r="R6" s="6050"/>
      <c r="S6" s="6050"/>
      <c r="T6" s="6050"/>
      <c r="U6" s="6050"/>
      <c r="V6" s="6050"/>
      <c r="W6" s="6050"/>
      <c r="X6" s="6050"/>
      <c r="Y6" s="6050"/>
      <c r="Z6" s="6050"/>
      <c r="AA6" s="6050"/>
      <c r="AB6" s="6050"/>
      <c r="AC6" s="6050"/>
      <c r="AD6" s="6050"/>
      <c r="AE6" s="6050"/>
      <c r="AF6" s="6050"/>
      <c r="AG6" s="6050"/>
      <c r="AH6" s="6050"/>
      <c r="AI6" s="6050"/>
      <c r="AJ6" s="6050"/>
      <c r="AK6" s="6050"/>
      <c r="AL6" s="6050"/>
      <c r="AM6" s="6050"/>
      <c r="AN6" s="6050"/>
      <c r="AO6" s="6050"/>
      <c r="AP6" s="6050"/>
      <c r="AQ6" s="6050"/>
      <c r="AR6" s="6050"/>
      <c r="AS6" s="6050"/>
      <c r="AT6" s="6050"/>
      <c r="AU6" s="6050"/>
      <c r="AV6" s="6050"/>
      <c r="AW6" s="6050"/>
      <c r="AX6" s="6050"/>
      <c r="AY6" s="6050"/>
      <c r="AZ6" s="6050"/>
      <c r="BA6" s="6050"/>
      <c r="BB6" s="6050"/>
      <c r="BC6" s="6050"/>
      <c r="BD6" s="6050"/>
      <c r="BE6" s="6050"/>
      <c r="BF6" s="6050"/>
      <c r="BG6" s="6050"/>
      <c r="BH6" s="6050"/>
      <c r="BI6" s="6050"/>
      <c r="BJ6" s="6050"/>
      <c r="BK6" s="6050"/>
      <c r="BL6" s="6050"/>
      <c r="BM6" s="6050"/>
      <c r="BN6" s="6050"/>
      <c r="BO6" s="6050"/>
      <c r="BP6" s="6050"/>
      <c r="BQ6" s="6050"/>
      <c r="BR6" s="6050"/>
      <c r="BS6" s="6050"/>
      <c r="BT6" s="6050"/>
      <c r="BU6" s="6050"/>
      <c r="BV6" s="6050"/>
      <c r="BW6" s="6050"/>
      <c r="BX6" s="6050"/>
      <c r="BY6" s="6050"/>
      <c r="BZ6" s="6050"/>
      <c r="CA6" s="6050"/>
      <c r="CB6" s="6050"/>
      <c r="CC6" s="6050"/>
      <c r="CD6" s="6050"/>
      <c r="CE6" s="6050"/>
      <c r="CF6" s="6050"/>
      <c r="CG6" s="6050"/>
      <c r="CH6" s="6050"/>
      <c r="CI6" s="6050"/>
      <c r="CJ6" s="6050"/>
      <c r="CK6" s="6050"/>
      <c r="CL6" s="6050"/>
      <c r="CM6" s="6050"/>
      <c r="CN6" s="6050"/>
      <c r="CO6" s="6050"/>
      <c r="CP6" s="6050"/>
      <c r="CQ6" s="6050"/>
      <c r="CR6" s="6050"/>
      <c r="CS6" s="6050"/>
      <c r="CT6" s="6050"/>
      <c r="CU6" s="6050"/>
      <c r="CV6" s="6050"/>
      <c r="CW6" s="6050"/>
      <c r="CX6" s="6050"/>
      <c r="CY6" s="6050"/>
      <c r="CZ6" s="6050"/>
      <c r="DA6" s="6050"/>
      <c r="DB6" s="6050"/>
      <c r="DC6" s="6050"/>
      <c r="DD6" s="6050"/>
      <c r="DE6" s="6050"/>
      <c r="DF6" s="6050"/>
      <c r="DG6" s="6050"/>
      <c r="DH6" s="6050"/>
      <c r="DI6" s="6050"/>
      <c r="DJ6" s="6050"/>
      <c r="DK6" s="6050"/>
      <c r="DL6" s="6050"/>
      <c r="DM6" s="5675"/>
      <c r="DN6" s="3212"/>
    </row>
    <row r="7" spans="1:120" s="2196" customFormat="1" ht="36" customHeight="1" x14ac:dyDescent="0.2">
      <c r="A7" s="3320" t="s">
        <v>3913</v>
      </c>
      <c r="B7" s="2600">
        <f>SUM(B8:B14)</f>
        <v>7249.7</v>
      </c>
      <c r="C7" s="3315">
        <f>SUM(C8:C14)</f>
        <v>10354.4</v>
      </c>
      <c r="D7" s="3079">
        <f t="shared" ref="D7:D14" si="0">C7/B7*100</f>
        <v>142.82522035394567</v>
      </c>
      <c r="E7" s="3315">
        <f>SUM(E8:E14)-E13</f>
        <v>11764.7</v>
      </c>
      <c r="F7" s="1737">
        <f t="shared" ref="F7:F14" si="1">E7/C7*100</f>
        <v>113.62029668546705</v>
      </c>
      <c r="G7" s="3315">
        <v>16478.3</v>
      </c>
      <c r="H7" s="3079">
        <f t="shared" ref="H7:H15" si="2">G7/E7*100</f>
        <v>140.06562003280999</v>
      </c>
      <c r="I7" s="3315">
        <f>SUM(I8:I14)-I13</f>
        <v>14063.7084</v>
      </c>
      <c r="J7" s="3315">
        <f>SUM(J8:J14)-J13</f>
        <v>8204.1999999999989</v>
      </c>
      <c r="K7" s="3315">
        <f>SUM(K8:K14)-K13</f>
        <v>10064.388220844954</v>
      </c>
      <c r="L7" s="3315">
        <f>SUM(L8:L14)-L13</f>
        <v>14542.8</v>
      </c>
      <c r="M7" s="3318">
        <f t="shared" ref="M7:M14" si="3">L7/I7*100</f>
        <v>103.40658087023475</v>
      </c>
      <c r="N7" s="3308">
        <f t="shared" ref="N7:N15" si="4">L7/G7*100</f>
        <v>88.25424952816735</v>
      </c>
      <c r="O7" s="3679">
        <v>18477</v>
      </c>
      <c r="P7" s="3308">
        <f t="shared" ref="P7:P15" si="5">O7/I7*100</f>
        <v>131.38071036797095</v>
      </c>
      <c r="Q7" s="3319">
        <f>SUM(Q8:Q14)-Q13</f>
        <v>13651.565713400467</v>
      </c>
      <c r="R7" s="3308">
        <f t="shared" ref="R7:R14" si="6">Q7/I7*100</f>
        <v>97.069459385267592</v>
      </c>
      <c r="S7" s="3308">
        <f t="shared" ref="S7:S14" si="7">Q7/L7*100</f>
        <v>93.871645854996757</v>
      </c>
      <c r="T7" s="3679" t="e">
        <f t="shared" ref="T7:Y7" si="8">SUM(T8:T14)-T13</f>
        <v>#REF!</v>
      </c>
      <c r="U7" s="3679" t="e">
        <f t="shared" si="8"/>
        <v>#REF!</v>
      </c>
      <c r="V7" s="3679">
        <f t="shared" si="8"/>
        <v>11610.7</v>
      </c>
      <c r="W7" s="3679" t="e">
        <f t="shared" si="8"/>
        <v>#REF!</v>
      </c>
      <c r="X7" s="3679" t="e">
        <f t="shared" si="8"/>
        <v>#REF!</v>
      </c>
      <c r="Y7" s="3682">
        <f t="shared" si="8"/>
        <v>18050.300000000003</v>
      </c>
      <c r="Z7" s="1591">
        <f t="shared" ref="Z7:Z15" si="9">Y7/Q7</f>
        <v>1.3222146366904795</v>
      </c>
      <c r="AA7" s="3682" t="e">
        <f>SUM(AA8:AA14)-AA13</f>
        <v>#REF!</v>
      </c>
      <c r="AB7" s="1591" t="e">
        <f t="shared" ref="AB7:AB14" si="10">AA7/Q7</f>
        <v>#REF!</v>
      </c>
      <c r="AC7" s="3682" t="e">
        <f>SUM(AC8:AC14)-AC13</f>
        <v>#REF!</v>
      </c>
      <c r="AD7" s="3682" t="e">
        <f>SUM(AD8:AD14)-AD13</f>
        <v>#REF!</v>
      </c>
      <c r="AE7" s="3682">
        <f>SUM(AE8:AE14)-AE13</f>
        <v>14424.1</v>
      </c>
      <c r="AF7" s="3682" t="e">
        <f>SUM(AF8:AF14)-AF13</f>
        <v>#REF!</v>
      </c>
      <c r="AG7" s="3682" t="e">
        <f>SUM(AG8:AG14)-AG13</f>
        <v>#REF!</v>
      </c>
      <c r="AH7" s="1590">
        <f t="shared" ref="AH7:AH15" si="11">SUM(AJ7+AK7)</f>
        <v>16341.494330000001</v>
      </c>
      <c r="AI7" s="1592" t="e">
        <f t="shared" ref="AI7:AI15" si="12">SUM(AH7/AA7)</f>
        <v>#REF!</v>
      </c>
      <c r="AJ7" s="3682">
        <f>SUM(AJ8:AJ14)-AJ13</f>
        <v>16173.394330000001</v>
      </c>
      <c r="AK7" s="3682">
        <f>SUM(AK8:AK14)-AK13</f>
        <v>168.1</v>
      </c>
      <c r="AL7" s="1590" t="e">
        <f t="shared" ref="AL7:AL15" si="13">SUM(AN7+AO7)</f>
        <v>#REF!</v>
      </c>
      <c r="AM7" s="1592" t="e">
        <f t="shared" ref="AM7:AM15" si="14">SUM(AL7/AA7)</f>
        <v>#REF!</v>
      </c>
      <c r="AN7" s="3682" t="e">
        <f>SUM(AN8:AN14)-AN13</f>
        <v>#REF!</v>
      </c>
      <c r="AO7" s="3682" t="e">
        <f>SUM(AO8:AO14)-AO13</f>
        <v>#REF!</v>
      </c>
      <c r="AP7" s="1593" t="e">
        <f t="shared" ref="AP7:AP15" si="15">AA7-Y7</f>
        <v>#REF!</v>
      </c>
      <c r="AQ7" s="1593" t="e">
        <f t="shared" ref="AQ7:AQ8" si="16">AP7*AC7/AA7</f>
        <v>#REF!</v>
      </c>
      <c r="AR7" s="1593" t="e">
        <f t="shared" ref="AR7:AR15" si="17">AP7-AQ7</f>
        <v>#REF!</v>
      </c>
      <c r="AS7" s="1593" t="e">
        <f t="shared" ref="AS7" si="18">AQ7+AR7</f>
        <v>#REF!</v>
      </c>
      <c r="AT7" s="3682">
        <f t="shared" ref="AT7:AZ7" si="19">SUM(AT8:AT14)-AT13</f>
        <v>6773.28</v>
      </c>
      <c r="AU7" s="3682" t="e">
        <f t="shared" si="19"/>
        <v>#REF!</v>
      </c>
      <c r="AV7" s="3682" t="e">
        <f t="shared" si="19"/>
        <v>#REF!</v>
      </c>
      <c r="AW7" s="3682">
        <f t="shared" si="19"/>
        <v>14627.66</v>
      </c>
      <c r="AX7" s="3682">
        <f t="shared" si="19"/>
        <v>14562.61</v>
      </c>
      <c r="AY7" s="3682">
        <f t="shared" si="19"/>
        <v>65.050000000000011</v>
      </c>
      <c r="AZ7" s="3682" t="e">
        <f t="shared" si="19"/>
        <v>#REF!</v>
      </c>
      <c r="BA7" s="1594" t="e">
        <f t="shared" ref="BA7:BA15" si="20">SUM(AZ7/AL7)</f>
        <v>#REF!</v>
      </c>
      <c r="BB7" s="3682" t="e">
        <f t="shared" ref="BB7:CA7" si="21">SUM(BB8:BB14)-BB13</f>
        <v>#REF!</v>
      </c>
      <c r="BC7" s="3682" t="e">
        <f t="shared" si="21"/>
        <v>#REF!</v>
      </c>
      <c r="BD7" s="3682" t="e">
        <f t="shared" si="21"/>
        <v>#REF!</v>
      </c>
      <c r="BE7" s="3682" t="e">
        <f t="shared" si="21"/>
        <v>#REF!</v>
      </c>
      <c r="BF7" s="3682" t="e">
        <f t="shared" si="21"/>
        <v>#REF!</v>
      </c>
      <c r="BG7" s="3682">
        <f t="shared" si="21"/>
        <v>14459.76</v>
      </c>
      <c r="BH7" s="3682">
        <f t="shared" si="21"/>
        <v>14450.9</v>
      </c>
      <c r="BI7" s="3682">
        <f t="shared" si="21"/>
        <v>8.86</v>
      </c>
      <c r="BJ7" s="3682">
        <f t="shared" si="21"/>
        <v>14914.53</v>
      </c>
      <c r="BK7" s="3682">
        <f t="shared" si="21"/>
        <v>14908.07</v>
      </c>
      <c r="BL7" s="3682">
        <f t="shared" si="21"/>
        <v>6.46</v>
      </c>
      <c r="BM7" s="3682">
        <f t="shared" si="21"/>
        <v>16783.0059</v>
      </c>
      <c r="BN7" s="3682">
        <f t="shared" si="21"/>
        <v>16710.641</v>
      </c>
      <c r="BO7" s="3682">
        <f t="shared" si="21"/>
        <v>72.364900000000006</v>
      </c>
      <c r="BP7" s="3682">
        <f t="shared" si="21"/>
        <v>15282.380000000001</v>
      </c>
      <c r="BQ7" s="3682">
        <f t="shared" si="21"/>
        <v>15276.819999999998</v>
      </c>
      <c r="BR7" s="3682">
        <f t="shared" si="21"/>
        <v>5.56</v>
      </c>
      <c r="BS7" s="3682">
        <f t="shared" si="21"/>
        <v>16784.819999999996</v>
      </c>
      <c r="BT7" s="3682">
        <f t="shared" si="21"/>
        <v>16767.669999999998</v>
      </c>
      <c r="BU7" s="3682">
        <f t="shared" si="21"/>
        <v>17.149999999999995</v>
      </c>
      <c r="BV7" s="3682">
        <f t="shared" si="21"/>
        <v>15485.369266070755</v>
      </c>
      <c r="BW7" s="3682">
        <f t="shared" si="21"/>
        <v>15479.86608</v>
      </c>
      <c r="BX7" s="3682">
        <f t="shared" si="21"/>
        <v>5.4899999999999993</v>
      </c>
      <c r="BY7" s="3682">
        <f t="shared" si="21"/>
        <v>15808.750180118781</v>
      </c>
      <c r="BZ7" s="3682">
        <f t="shared" si="21"/>
        <v>15803.119056883201</v>
      </c>
      <c r="CA7" s="3682">
        <f t="shared" si="21"/>
        <v>5.64</v>
      </c>
      <c r="CB7" s="3169"/>
      <c r="CC7" s="3203"/>
      <c r="CD7" s="3203"/>
      <c r="CE7" s="3203"/>
      <c r="CF7" s="3682">
        <f t="shared" ref="CF7:DJ7" si="22">SUM(CF8:CF14)-CF13</f>
        <v>15690.859913103546</v>
      </c>
      <c r="CG7" s="3682">
        <f t="shared" si="22"/>
        <v>15684.683365036237</v>
      </c>
      <c r="CH7" s="3682">
        <f t="shared" si="22"/>
        <v>6.1914595436993842</v>
      </c>
      <c r="CI7" s="3682">
        <f t="shared" si="22"/>
        <v>7765.2099999999991</v>
      </c>
      <c r="CJ7" s="3682">
        <f t="shared" si="22"/>
        <v>7765.2099999999991</v>
      </c>
      <c r="CK7" s="3682">
        <f t="shared" si="22"/>
        <v>0</v>
      </c>
      <c r="CL7" s="3682">
        <f t="shared" si="22"/>
        <v>12036.94</v>
      </c>
      <c r="CM7" s="3682">
        <f t="shared" si="22"/>
        <v>12036.94</v>
      </c>
      <c r="CN7" s="3682">
        <f t="shared" si="22"/>
        <v>0</v>
      </c>
      <c r="CO7" s="3682">
        <f t="shared" si="22"/>
        <v>16519.969999999998</v>
      </c>
      <c r="CP7" s="3682">
        <f t="shared" si="22"/>
        <v>16519.969999999998</v>
      </c>
      <c r="CQ7" s="3682">
        <f t="shared" si="22"/>
        <v>0</v>
      </c>
      <c r="CR7" s="3682">
        <f t="shared" si="22"/>
        <v>20156.284235526022</v>
      </c>
      <c r="CS7" s="3682">
        <f t="shared" si="22"/>
        <v>20156.284235526022</v>
      </c>
      <c r="CT7" s="3682">
        <f t="shared" si="22"/>
        <v>0</v>
      </c>
      <c r="CU7" s="3682">
        <f t="shared" si="22"/>
        <v>15141.561732921931</v>
      </c>
      <c r="CV7" s="3682">
        <f t="shared" si="22"/>
        <v>15141.561732921931</v>
      </c>
      <c r="CW7" s="3682">
        <f t="shared" si="22"/>
        <v>0</v>
      </c>
      <c r="CX7" s="3682">
        <f t="shared" si="22"/>
        <v>8833.6250000000018</v>
      </c>
      <c r="CY7" s="3682">
        <f t="shared" si="22"/>
        <v>8833.6250000000018</v>
      </c>
      <c r="CZ7" s="3682">
        <f t="shared" si="22"/>
        <v>0</v>
      </c>
      <c r="DA7" s="3682">
        <f t="shared" si="22"/>
        <v>12975.849</v>
      </c>
      <c r="DB7" s="3682">
        <f t="shared" si="22"/>
        <v>12975.849</v>
      </c>
      <c r="DC7" s="3682">
        <f t="shared" si="22"/>
        <v>0</v>
      </c>
      <c r="DD7" s="3682">
        <f t="shared" si="22"/>
        <v>17797.574000000001</v>
      </c>
      <c r="DE7" s="3682">
        <f t="shared" si="22"/>
        <v>17797.574000000001</v>
      </c>
      <c r="DF7" s="3682">
        <f t="shared" si="22"/>
        <v>0</v>
      </c>
      <c r="DG7" s="3682">
        <f t="shared" si="22"/>
        <v>22953.616896691758</v>
      </c>
      <c r="DH7" s="2346">
        <f t="shared" si="22"/>
        <v>22953.616896691758</v>
      </c>
      <c r="DI7" s="2346">
        <f t="shared" si="22"/>
        <v>0</v>
      </c>
      <c r="DJ7" s="3682">
        <f t="shared" si="22"/>
        <v>257.56745268583632</v>
      </c>
      <c r="DK7" s="3682">
        <f t="shared" ref="DK7" si="23">SUM(DK8:DK14)-DK13</f>
        <v>180.41201952630846</v>
      </c>
      <c r="DL7" s="2346">
        <f t="shared" ref="DL7" si="24">SUM(DL8:DL14)-DL13</f>
        <v>187.53829429759764</v>
      </c>
      <c r="DM7" s="2346">
        <f>SUM(DM8:DM14)</f>
        <v>187.84100000000001</v>
      </c>
      <c r="DN7" s="3714"/>
    </row>
    <row r="8" spans="1:120" ht="39.950000000000003" customHeight="1" x14ac:dyDescent="0.2">
      <c r="A8" s="3191" t="s">
        <v>2</v>
      </c>
      <c r="B8" s="3677">
        <v>928.8</v>
      </c>
      <c r="C8" s="2110">
        <v>1802</v>
      </c>
      <c r="D8" s="3079">
        <f t="shared" si="0"/>
        <v>194.01378122308356</v>
      </c>
      <c r="E8" s="2110">
        <v>1837.4</v>
      </c>
      <c r="F8" s="3079">
        <f t="shared" si="1"/>
        <v>101.96448390677027</v>
      </c>
      <c r="G8" s="3079">
        <v>2253.5</v>
      </c>
      <c r="H8" s="3079">
        <f t="shared" si="2"/>
        <v>122.6461304016545</v>
      </c>
      <c r="I8" s="3678">
        <v>2250</v>
      </c>
      <c r="J8" s="3678">
        <v>949.2</v>
      </c>
      <c r="K8" s="3678">
        <v>1968.8</v>
      </c>
      <c r="L8" s="3678">
        <v>2598.4</v>
      </c>
      <c r="M8" s="3308">
        <f t="shared" si="3"/>
        <v>115.48444444444445</v>
      </c>
      <c r="N8" s="3308">
        <f t="shared" si="4"/>
        <v>115.30508098513424</v>
      </c>
      <c r="O8" s="3678">
        <v>2628</v>
      </c>
      <c r="P8" s="3308">
        <f t="shared" si="5"/>
        <v>116.8</v>
      </c>
      <c r="Q8" s="3309">
        <v>2628</v>
      </c>
      <c r="R8" s="3308">
        <f t="shared" si="6"/>
        <v>116.8</v>
      </c>
      <c r="S8" s="3308">
        <f t="shared" si="7"/>
        <v>101.13916256157636</v>
      </c>
      <c r="T8" s="3678" t="e">
        <f>Q8/#REF!*#REF!</f>
        <v>#REF!</v>
      </c>
      <c r="U8" s="3678" t="e">
        <f t="shared" ref="U8:U14" si="25">Q8-T8</f>
        <v>#REF!</v>
      </c>
      <c r="V8" s="3678">
        <v>2012.2</v>
      </c>
      <c r="W8" s="3678" t="e">
        <f>2690.2*('объемы ВС и ВО 2023'!#REF!-'объемы ВС и ВО 2023'!#REF!)/'объемы ВС и ВО 2023'!#REF!</f>
        <v>#REF!</v>
      </c>
      <c r="X8" s="3678" t="e">
        <f>2690.2-W8</f>
        <v>#REF!</v>
      </c>
      <c r="Y8" s="1597">
        <v>2715.2</v>
      </c>
      <c r="Z8" s="1591">
        <f t="shared" si="9"/>
        <v>1.0331811263318111</v>
      </c>
      <c r="AA8" s="1597" t="e">
        <f>Аморт!G10</f>
        <v>#REF!</v>
      </c>
      <c r="AB8" s="1591" t="e">
        <f t="shared" si="10"/>
        <v>#REF!</v>
      </c>
      <c r="AC8" s="1597" t="e">
        <f>#REF!/#REF!*AA8</f>
        <v>#REF!</v>
      </c>
      <c r="AD8" s="1597" t="e">
        <f t="shared" ref="AD8:AD14" si="26">AA8-AC8</f>
        <v>#REF!</v>
      </c>
      <c r="AE8" s="1597">
        <f>SUM(Аморт!L10)</f>
        <v>2798.4</v>
      </c>
      <c r="AF8" s="1597" t="e">
        <f>#REF!/#REF!*AE8</f>
        <v>#REF!</v>
      </c>
      <c r="AG8" s="1597" t="e">
        <f>AE8-AF8</f>
        <v>#REF!</v>
      </c>
      <c r="AH8" s="1598">
        <f t="shared" si="11"/>
        <v>2797</v>
      </c>
      <c r="AI8" s="1592" t="e">
        <f t="shared" si="12"/>
        <v>#REF!</v>
      </c>
      <c r="AJ8" s="1597">
        <v>2765.16</v>
      </c>
      <c r="AK8" s="1597">
        <v>31.84</v>
      </c>
      <c r="AL8" s="1598" t="e">
        <f t="shared" si="13"/>
        <v>#REF!</v>
      </c>
      <c r="AM8" s="1592" t="e">
        <f t="shared" si="14"/>
        <v>#REF!</v>
      </c>
      <c r="AN8" s="1597" t="e">
        <f>Аморт!O10*#REF!/(#REF!+#REF!)</f>
        <v>#REF!</v>
      </c>
      <c r="AO8" s="1597" t="e">
        <f>-AN8+Аморт!O10</f>
        <v>#REF!</v>
      </c>
      <c r="AP8" s="1593" t="e">
        <f t="shared" si="15"/>
        <v>#REF!</v>
      </c>
      <c r="AQ8" s="1593" t="e">
        <f t="shared" si="16"/>
        <v>#REF!</v>
      </c>
      <c r="AR8" s="1593" t="e">
        <f t="shared" si="17"/>
        <v>#REF!</v>
      </c>
      <c r="AS8" s="1593" t="e">
        <f>AQ8+AR8</f>
        <v>#REF!</v>
      </c>
      <c r="AT8" s="1597">
        <f>SUM(Аморт!Q10)</f>
        <v>1412.82</v>
      </c>
      <c r="AU8" s="1597" t="e">
        <f>#REF!/#REF!*AT8</f>
        <v>#REF!</v>
      </c>
      <c r="AV8" s="1597" t="e">
        <f>AT8-AU8</f>
        <v>#REF!</v>
      </c>
      <c r="AW8" s="1597">
        <f t="shared" ref="AW8:AW14" si="27">AX8+AY8</f>
        <v>3059.78</v>
      </c>
      <c r="AX8" s="1597">
        <v>3045.03</v>
      </c>
      <c r="AY8" s="1597">
        <v>14.75</v>
      </c>
      <c r="AZ8" s="1598">
        <f>SUM(Аморт!T10)</f>
        <v>2797</v>
      </c>
      <c r="BA8" s="1594" t="e">
        <f t="shared" si="20"/>
        <v>#REF!</v>
      </c>
      <c r="BB8" s="1597" t="e">
        <f>#REF!/#REF!*AZ8</f>
        <v>#REF!</v>
      </c>
      <c r="BC8" s="1597" t="e">
        <f>AZ8-BB8</f>
        <v>#REF!</v>
      </c>
      <c r="BD8" s="1598">
        <f>SUM(Аморт!U10)</f>
        <v>2901.95</v>
      </c>
      <c r="BE8" s="1597" t="e">
        <f>#REF!/#REF!*BD8</f>
        <v>#REF!</v>
      </c>
      <c r="BF8" s="1597" t="e">
        <f>BD8-BE8</f>
        <v>#REF!</v>
      </c>
      <c r="BG8" s="1597">
        <f t="shared" ref="BG8:BG14" si="28">BH8+BI8</f>
        <v>3533.2400000000002</v>
      </c>
      <c r="BH8" s="1597">
        <v>3530.86</v>
      </c>
      <c r="BI8" s="1597">
        <v>2.38</v>
      </c>
      <c r="BJ8" s="1597">
        <f t="shared" ref="BJ8:BJ12" si="29">BK8+BL8</f>
        <v>3533.27</v>
      </c>
      <c r="BK8" s="1597">
        <v>3531.56</v>
      </c>
      <c r="BL8" s="1597">
        <v>1.71</v>
      </c>
      <c r="BM8" s="1598">
        <f t="shared" ref="BM8:BM14" si="30">SUM(BN8+BO8)</f>
        <v>3533.24</v>
      </c>
      <c r="BN8" s="1597">
        <v>3533.24</v>
      </c>
      <c r="BO8" s="1597">
        <v>0</v>
      </c>
      <c r="BP8" s="1598">
        <f t="shared" ref="BP8:BP12" si="31">SUM(BQ8+BR8)</f>
        <v>3544.43</v>
      </c>
      <c r="BQ8" s="1597">
        <v>3543.14</v>
      </c>
      <c r="BR8" s="1597">
        <v>1.29</v>
      </c>
      <c r="BS8" s="1597">
        <f t="shared" ref="BS8:BS12" si="32">BT8+BU8</f>
        <v>3533.27</v>
      </c>
      <c r="BT8" s="1597">
        <v>3533.27</v>
      </c>
      <c r="BU8" s="1597">
        <v>0</v>
      </c>
      <c r="BV8" s="1597">
        <f>Аморт!AM10</f>
        <v>3533.27</v>
      </c>
      <c r="BW8" s="1597">
        <f>BV8</f>
        <v>3533.27</v>
      </c>
      <c r="BX8" s="1597">
        <v>0</v>
      </c>
      <c r="BY8" s="1597">
        <f>SUM(Аморт!AS10)</f>
        <v>3544.43</v>
      </c>
      <c r="BZ8" s="1597">
        <f>BY8</f>
        <v>3544.43</v>
      </c>
      <c r="CA8" s="1597">
        <v>0</v>
      </c>
      <c r="CB8" s="3675" t="e">
        <f>#REF!</f>
        <v>#REF!</v>
      </c>
      <c r="CC8" s="3203"/>
      <c r="CD8" s="3203"/>
      <c r="CE8" s="3203"/>
      <c r="CF8" s="1597">
        <f>SUM(Аморт!AT10)</f>
        <v>3544.43</v>
      </c>
      <c r="CG8" s="1597">
        <f>CF8</f>
        <v>3544.43</v>
      </c>
      <c r="CH8" s="1597">
        <v>0</v>
      </c>
      <c r="CI8" s="1597">
        <f>SUM(CJ8:CK8)</f>
        <v>1776.75</v>
      </c>
      <c r="CJ8" s="1597">
        <f>SUM(Аморт!AV10)</f>
        <v>1776.75</v>
      </c>
      <c r="CK8" s="1597">
        <f>SUM(Аморт!AW10)</f>
        <v>0</v>
      </c>
      <c r="CL8" s="1597">
        <f>SUM(CM8:CN8)</f>
        <v>2670.81</v>
      </c>
      <c r="CM8" s="1597">
        <f>SUM(Аморт!AY10)</f>
        <v>2670.81</v>
      </c>
      <c r="CN8" s="1597">
        <f>SUM(Аморт!AZ10)</f>
        <v>0</v>
      </c>
      <c r="CO8" s="1597">
        <f>SUM(CP8:CQ8)</f>
        <v>3575.59</v>
      </c>
      <c r="CP8" s="1597">
        <f>SUM(Аморт!BB10)</f>
        <v>3575.59</v>
      </c>
      <c r="CQ8" s="1597">
        <f>SUM(Аморт!BC10)</f>
        <v>0</v>
      </c>
      <c r="CR8" s="1597">
        <f>SUM(CS8:CT8)</f>
        <v>3575.59</v>
      </c>
      <c r="CS8" s="1597">
        <f>SUM(Аморт!BD10)</f>
        <v>3575.59</v>
      </c>
      <c r="CT8" s="1597">
        <f>SUM(Аморт!BF10)</f>
        <v>0</v>
      </c>
      <c r="CU8" s="1597">
        <f>SUM(CV8:CW8)</f>
        <v>1875.8092036112455</v>
      </c>
      <c r="CV8" s="1597">
        <f>SUM(Аморт!BE10)</f>
        <v>1875.8092036112455</v>
      </c>
      <c r="CW8" s="1597">
        <v>0</v>
      </c>
      <c r="CX8" s="1597">
        <f>SUM(CY8:CZ8)</f>
        <v>1827.8309999999999</v>
      </c>
      <c r="CY8" s="1597">
        <f>SUM(Аморт!BJ10)</f>
        <v>1827.8309999999999</v>
      </c>
      <c r="CZ8" s="1597">
        <v>0</v>
      </c>
      <c r="DA8" s="1597">
        <f>SUM(DB8:DC8)</f>
        <v>2745.6750000000002</v>
      </c>
      <c r="DB8" s="1597">
        <f>SUM(Аморт!BM10)</f>
        <v>2745.6750000000002</v>
      </c>
      <c r="DC8" s="1597">
        <v>0</v>
      </c>
      <c r="DD8" s="1597">
        <f>SUM(DE8:DF8)</f>
        <v>3663.53</v>
      </c>
      <c r="DE8" s="1597">
        <f>SUM(Аморт!BP10)</f>
        <v>3663.53</v>
      </c>
      <c r="DF8" s="1597">
        <v>0</v>
      </c>
      <c r="DG8" s="1597">
        <f>SUM(DH8:DI8)</f>
        <v>3663.53</v>
      </c>
      <c r="DH8" s="3662">
        <f>SUM(Аморт!BR10)</f>
        <v>3663.53</v>
      </c>
      <c r="DI8" s="3662">
        <v>0</v>
      </c>
      <c r="DJ8" s="1597">
        <f>SUM(DJ15*DO8)</f>
        <v>41.109254989532445</v>
      </c>
      <c r="DK8" s="1597">
        <v>0</v>
      </c>
      <c r="DL8" s="2343">
        <v>0</v>
      </c>
      <c r="DM8" s="2343">
        <v>0</v>
      </c>
      <c r="DN8" s="3714"/>
      <c r="DO8">
        <f>SUM(DG8/DG15)</f>
        <v>0.15960578310985118</v>
      </c>
    </row>
    <row r="9" spans="1:120" ht="39.950000000000003" hidden="1" customHeight="1" x14ac:dyDescent="0.2">
      <c r="A9" s="3191" t="s">
        <v>209</v>
      </c>
      <c r="B9" s="3677">
        <v>6.1</v>
      </c>
      <c r="C9" s="2110">
        <v>5.6</v>
      </c>
      <c r="D9" s="3079">
        <f t="shared" si="0"/>
        <v>91.803278688524586</v>
      </c>
      <c r="E9" s="2110">
        <v>33.5</v>
      </c>
      <c r="F9" s="3079">
        <f t="shared" si="1"/>
        <v>598.21428571428578</v>
      </c>
      <c r="G9" s="3079"/>
      <c r="H9" s="3079">
        <f t="shared" si="2"/>
        <v>0</v>
      </c>
      <c r="I9" s="3678"/>
      <c r="J9" s="3678"/>
      <c r="K9" s="3678"/>
      <c r="L9" s="3678">
        <f>K9/9*12</f>
        <v>0</v>
      </c>
      <c r="M9" s="3308"/>
      <c r="N9" s="3308"/>
      <c r="O9" s="3678"/>
      <c r="P9" s="3308"/>
      <c r="Q9" s="3309"/>
      <c r="R9" s="3308"/>
      <c r="S9" s="3308"/>
      <c r="T9" s="3678"/>
      <c r="U9" s="3678">
        <f t="shared" si="25"/>
        <v>0</v>
      </c>
      <c r="V9" s="3678">
        <v>0</v>
      </c>
      <c r="W9" s="3678"/>
      <c r="X9" s="3678">
        <v>0</v>
      </c>
      <c r="Y9" s="1597">
        <v>0</v>
      </c>
      <c r="Z9" s="1591"/>
      <c r="AA9" s="1597">
        <v>0</v>
      </c>
      <c r="AB9" s="1591"/>
      <c r="AC9" s="1597" t="e">
        <f>#REF!/#REF!*AA9</f>
        <v>#REF!</v>
      </c>
      <c r="AD9" s="1597" t="e">
        <f t="shared" si="26"/>
        <v>#REF!</v>
      </c>
      <c r="AE9" s="1597">
        <v>0</v>
      </c>
      <c r="AF9" s="1597">
        <v>0</v>
      </c>
      <c r="AG9" s="1597">
        <v>0</v>
      </c>
      <c r="AH9" s="1598">
        <f t="shared" si="11"/>
        <v>0</v>
      </c>
      <c r="AI9" s="1592"/>
      <c r="AJ9" s="1597">
        <v>0</v>
      </c>
      <c r="AK9" s="1597">
        <v>0</v>
      </c>
      <c r="AL9" s="1598">
        <f t="shared" si="13"/>
        <v>0</v>
      </c>
      <c r="AM9" s="1592"/>
      <c r="AN9" s="1597">
        <v>0</v>
      </c>
      <c r="AO9" s="1597">
        <v>0</v>
      </c>
      <c r="AP9" s="1593">
        <f t="shared" si="15"/>
        <v>0</v>
      </c>
      <c r="AQ9" s="1593"/>
      <c r="AR9" s="1593"/>
      <c r="AS9" s="1593">
        <f t="shared" ref="AS9:AS15" si="33">AQ9+AR9</f>
        <v>0</v>
      </c>
      <c r="AT9" s="1597">
        <v>0</v>
      </c>
      <c r="AU9" s="1597">
        <v>0</v>
      </c>
      <c r="AV9" s="1597">
        <v>0</v>
      </c>
      <c r="AW9" s="1597">
        <f t="shared" si="27"/>
        <v>0</v>
      </c>
      <c r="AX9" s="1597">
        <v>0</v>
      </c>
      <c r="AY9" s="1597">
        <v>0</v>
      </c>
      <c r="AZ9" s="1598">
        <f t="shared" ref="AZ9:AZ10" si="34">SUM(BB9+BC9)</f>
        <v>0</v>
      </c>
      <c r="BA9" s="1594"/>
      <c r="BB9" s="1597">
        <v>0</v>
      </c>
      <c r="BC9" s="1597">
        <v>0</v>
      </c>
      <c r="BD9" s="1598">
        <f t="shared" ref="BD9" si="35">SUM(BE9+BF9)</f>
        <v>0</v>
      </c>
      <c r="BE9" s="1597">
        <v>0</v>
      </c>
      <c r="BF9" s="1597">
        <v>0</v>
      </c>
      <c r="BG9" s="1597">
        <f t="shared" si="28"/>
        <v>0</v>
      </c>
      <c r="BH9" s="1597">
        <v>0</v>
      </c>
      <c r="BI9" s="1597">
        <v>0</v>
      </c>
      <c r="BJ9" s="1597">
        <f t="shared" si="29"/>
        <v>0</v>
      </c>
      <c r="BK9" s="1597">
        <v>0</v>
      </c>
      <c r="BL9" s="1597">
        <v>0</v>
      </c>
      <c r="BM9" s="1598">
        <f t="shared" si="30"/>
        <v>0</v>
      </c>
      <c r="BN9" s="1597">
        <v>0</v>
      </c>
      <c r="BO9" s="1597">
        <v>0</v>
      </c>
      <c r="BP9" s="1598">
        <f t="shared" si="31"/>
        <v>0</v>
      </c>
      <c r="BQ9" s="1597">
        <v>0</v>
      </c>
      <c r="BR9" s="1597">
        <v>0</v>
      </c>
      <c r="BS9" s="1597">
        <f t="shared" si="32"/>
        <v>0</v>
      </c>
      <c r="BT9" s="1597">
        <v>0</v>
      </c>
      <c r="BU9" s="1597">
        <v>0</v>
      </c>
      <c r="BV9" s="1597">
        <v>0</v>
      </c>
      <c r="BW9" s="1597">
        <f t="shared" ref="BW9" si="36">BV9</f>
        <v>0</v>
      </c>
      <c r="BX9" s="1597">
        <v>0</v>
      </c>
      <c r="BY9" s="1597">
        <v>0</v>
      </c>
      <c r="BZ9" s="1597">
        <f t="shared" ref="BZ9" si="37">BY9</f>
        <v>0</v>
      </c>
      <c r="CA9" s="1597">
        <v>0</v>
      </c>
      <c r="CB9" s="3675"/>
      <c r="CC9" s="3203"/>
      <c r="CD9" s="3203"/>
      <c r="CE9" s="3203"/>
      <c r="CF9" s="1597">
        <v>0</v>
      </c>
      <c r="CG9" s="1597">
        <f t="shared" ref="CG9" si="38">CF9</f>
        <v>0</v>
      </c>
      <c r="CH9" s="1597">
        <v>0</v>
      </c>
      <c r="CI9" s="1597">
        <f t="shared" ref="CI9:CI11" si="39">SUM(CJ9:CK9)</f>
        <v>0</v>
      </c>
      <c r="CJ9" s="1597">
        <v>0</v>
      </c>
      <c r="CK9" s="1597">
        <v>0</v>
      </c>
      <c r="CL9" s="1597">
        <f t="shared" ref="CL9:CL11" si="40">SUM(CM9:CN9)</f>
        <v>0</v>
      </c>
      <c r="CM9" s="1597">
        <v>0</v>
      </c>
      <c r="CN9" s="1597">
        <v>0</v>
      </c>
      <c r="CO9" s="1597">
        <f t="shared" ref="CO9:CO11" si="41">SUM(CP9:CQ9)</f>
        <v>0</v>
      </c>
      <c r="CP9" s="1597">
        <v>0</v>
      </c>
      <c r="CQ9" s="1597">
        <v>0</v>
      </c>
      <c r="CR9" s="1597">
        <f t="shared" ref="CR9:CR11" si="42">SUM(CS9:CT9)</f>
        <v>0</v>
      </c>
      <c r="CS9" s="1597">
        <v>0</v>
      </c>
      <c r="CT9" s="1597">
        <v>0</v>
      </c>
      <c r="CU9" s="1597">
        <f t="shared" ref="CU9:CU11" si="43">SUM(CV9:CW9)</f>
        <v>0</v>
      </c>
      <c r="CV9" s="1597">
        <v>0</v>
      </c>
      <c r="CW9" s="1597">
        <v>0</v>
      </c>
      <c r="CX9" s="1597">
        <f t="shared" ref="CX9:CX11" si="44">SUM(CY9:CZ9)</f>
        <v>0</v>
      </c>
      <c r="CY9" s="1597">
        <v>0</v>
      </c>
      <c r="CZ9" s="1597">
        <v>0</v>
      </c>
      <c r="DA9" s="1597">
        <f t="shared" ref="DA9:DA11" si="45">SUM(DB9:DC9)</f>
        <v>0</v>
      </c>
      <c r="DB9" s="1597">
        <v>0</v>
      </c>
      <c r="DC9" s="1597">
        <v>0</v>
      </c>
      <c r="DD9" s="1597">
        <f t="shared" ref="DD9:DD11" si="46">SUM(DE9:DF9)</f>
        <v>0</v>
      </c>
      <c r="DE9" s="1597">
        <v>0</v>
      </c>
      <c r="DF9" s="1597">
        <v>0</v>
      </c>
      <c r="DG9" s="1597">
        <f t="shared" ref="DG9:DG11" si="47">SUM(DH9:DI9)</f>
        <v>0</v>
      </c>
      <c r="DH9" s="3662">
        <v>0</v>
      </c>
      <c r="DI9" s="3662">
        <v>0</v>
      </c>
      <c r="DJ9" s="1597"/>
      <c r="DK9" s="1597"/>
      <c r="DL9" s="2343"/>
      <c r="DM9" s="2343"/>
      <c r="DN9" s="3714"/>
    </row>
    <row r="10" spans="1:120" s="385" customFormat="1" ht="39.950000000000003" customHeight="1" x14ac:dyDescent="0.2">
      <c r="A10" s="3191" t="s">
        <v>3</v>
      </c>
      <c r="B10" s="3677">
        <v>398.6</v>
      </c>
      <c r="C10" s="2110">
        <v>1512.8</v>
      </c>
      <c r="D10" s="3079">
        <f t="shared" si="0"/>
        <v>379.52834922227794</v>
      </c>
      <c r="E10" s="2110">
        <v>1300.3</v>
      </c>
      <c r="F10" s="3079">
        <f t="shared" si="1"/>
        <v>85.953199365415117</v>
      </c>
      <c r="G10" s="3079" t="e">
        <f>G7-G8-G11-G12-G14</f>
        <v>#REF!</v>
      </c>
      <c r="H10" s="3079" t="e">
        <f t="shared" si="2"/>
        <v>#REF!</v>
      </c>
      <c r="I10" s="3678">
        <v>1667.9</v>
      </c>
      <c r="J10" s="3678">
        <v>1509.7</v>
      </c>
      <c r="K10" s="3678">
        <v>1071.7</v>
      </c>
      <c r="L10" s="3678">
        <v>2187.1</v>
      </c>
      <c r="M10" s="3308">
        <f t="shared" si="3"/>
        <v>131.12896456622099</v>
      </c>
      <c r="N10" s="3308"/>
      <c r="O10" s="3678">
        <f>O7-O8-O11-O12-O14</f>
        <v>3385.7971999999991</v>
      </c>
      <c r="P10" s="3308">
        <f t="shared" si="5"/>
        <v>202.99761376581324</v>
      </c>
      <c r="Q10" s="3309">
        <v>300</v>
      </c>
      <c r="R10" s="3308">
        <f t="shared" si="6"/>
        <v>17.986689849511361</v>
      </c>
      <c r="S10" s="3308">
        <f t="shared" si="7"/>
        <v>13.716793928032555</v>
      </c>
      <c r="T10" s="3678">
        <v>285.7</v>
      </c>
      <c r="U10" s="3678">
        <v>14.3</v>
      </c>
      <c r="V10" s="3678">
        <v>816.6</v>
      </c>
      <c r="W10" s="3678" t="e">
        <f>3058.7-#REF!-#REF!-#REF!</f>
        <v>#REF!</v>
      </c>
      <c r="X10" s="3678">
        <v>0</v>
      </c>
      <c r="Y10" s="1597">
        <v>2406</v>
      </c>
      <c r="Z10" s="1591">
        <f t="shared" si="9"/>
        <v>8.02</v>
      </c>
      <c r="AA10" s="1597">
        <v>0</v>
      </c>
      <c r="AB10" s="1591">
        <f t="shared" si="10"/>
        <v>0</v>
      </c>
      <c r="AC10" s="1597" t="e">
        <f>#REF!/#REF!*AA10</f>
        <v>#REF!</v>
      </c>
      <c r="AD10" s="1597" t="e">
        <f t="shared" si="26"/>
        <v>#REF!</v>
      </c>
      <c r="AE10" s="1597">
        <v>921.9</v>
      </c>
      <c r="AF10" s="1597">
        <f>SUM(AE10)</f>
        <v>921.9</v>
      </c>
      <c r="AG10" s="1597">
        <v>0</v>
      </c>
      <c r="AH10" s="1598">
        <f t="shared" si="11"/>
        <v>1575</v>
      </c>
      <c r="AI10" s="1592"/>
      <c r="AJ10" s="1597">
        <v>1575</v>
      </c>
      <c r="AK10" s="1597">
        <v>0</v>
      </c>
      <c r="AL10" s="1598">
        <f t="shared" si="13"/>
        <v>0</v>
      </c>
      <c r="AM10" s="1592"/>
      <c r="AN10" s="1597">
        <v>0</v>
      </c>
      <c r="AO10" s="1597">
        <v>0</v>
      </c>
      <c r="AP10" s="1593">
        <f t="shared" si="15"/>
        <v>-2406</v>
      </c>
      <c r="AQ10" s="1593">
        <f>AP10</f>
        <v>-2406</v>
      </c>
      <c r="AR10" s="1593">
        <f t="shared" si="17"/>
        <v>0</v>
      </c>
      <c r="AS10" s="1593">
        <f t="shared" si="33"/>
        <v>-2406</v>
      </c>
      <c r="AT10" s="1597">
        <v>286.85000000000002</v>
      </c>
      <c r="AU10" s="1597">
        <v>286.85000000000002</v>
      </c>
      <c r="AV10" s="1597">
        <v>0</v>
      </c>
      <c r="AW10" s="1597">
        <f t="shared" si="27"/>
        <v>1131.27</v>
      </c>
      <c r="AX10" s="1597">
        <v>1131.27</v>
      </c>
      <c r="AY10" s="1597">
        <v>0</v>
      </c>
      <c r="AZ10" s="1598">
        <f t="shared" si="34"/>
        <v>921.9</v>
      </c>
      <c r="BA10" s="1594"/>
      <c r="BB10" s="1597">
        <v>921.9</v>
      </c>
      <c r="BC10" s="1597">
        <v>0</v>
      </c>
      <c r="BD10" s="1598">
        <f>BE10+BF10</f>
        <v>244.40677966101694</v>
      </c>
      <c r="BE10" s="1597">
        <f>'Кап Рем'!G10</f>
        <v>244.40677966101694</v>
      </c>
      <c r="BF10" s="1597">
        <v>0</v>
      </c>
      <c r="BG10" s="1597">
        <f t="shared" si="28"/>
        <v>1283.98</v>
      </c>
      <c r="BH10" s="1597">
        <v>1283.98</v>
      </c>
      <c r="BI10" s="1597">
        <v>0</v>
      </c>
      <c r="BJ10" s="1597">
        <f t="shared" si="29"/>
        <v>1564.17</v>
      </c>
      <c r="BK10" s="1597">
        <v>1564.17</v>
      </c>
      <c r="BL10" s="1597">
        <v>0</v>
      </c>
      <c r="BM10" s="1598">
        <f t="shared" si="30"/>
        <v>266.81</v>
      </c>
      <c r="BN10" s="1597">
        <v>266.81</v>
      </c>
      <c r="BO10" s="1597">
        <v>0</v>
      </c>
      <c r="BP10" s="1598">
        <f t="shared" si="31"/>
        <v>1747.0300000000002</v>
      </c>
      <c r="BQ10" s="1597">
        <v>1746.39</v>
      </c>
      <c r="BR10" s="1597">
        <v>0.64</v>
      </c>
      <c r="BS10" s="1597">
        <f t="shared" si="32"/>
        <v>880.43</v>
      </c>
      <c r="BT10" s="1597">
        <v>880.43</v>
      </c>
      <c r="BU10" s="1597">
        <v>0</v>
      </c>
      <c r="BV10" s="1597">
        <f>ремонты!E33</f>
        <v>582.52608000000009</v>
      </c>
      <c r="BW10" s="1597">
        <f>BV10</f>
        <v>582.52608000000009</v>
      </c>
      <c r="BX10" s="1597">
        <v>0</v>
      </c>
      <c r="BY10" s="1597">
        <f>SUM('рем программа'!I31:J31)</f>
        <v>603.22905688320009</v>
      </c>
      <c r="BZ10" s="1597">
        <f>BY10</f>
        <v>603.22905688320009</v>
      </c>
      <c r="CA10" s="1597">
        <v>0</v>
      </c>
      <c r="CB10" s="3675" t="s">
        <v>3490</v>
      </c>
      <c r="CC10" s="3203"/>
      <c r="CD10" s="3203"/>
      <c r="CE10" s="3203"/>
      <c r="CF10" s="1597">
        <f>SUM('рем программа'!K31)</f>
        <v>594.0018437760001</v>
      </c>
      <c r="CG10" s="1597">
        <v>593.70000000000005</v>
      </c>
      <c r="CH10" s="1597">
        <v>0.3</v>
      </c>
      <c r="CI10" s="1597">
        <f t="shared" si="39"/>
        <v>719.17</v>
      </c>
      <c r="CJ10" s="1597">
        <f>SUM('рем программа'!L31)</f>
        <v>719.17</v>
      </c>
      <c r="CK10" s="1597">
        <v>0</v>
      </c>
      <c r="CL10" s="1597">
        <f t="shared" si="40"/>
        <v>948.25</v>
      </c>
      <c r="CM10" s="1597">
        <f>SUM('рем программа'!M31)</f>
        <v>948.25</v>
      </c>
      <c r="CN10" s="1597">
        <v>0</v>
      </c>
      <c r="CO10" s="1597">
        <f t="shared" si="41"/>
        <v>1203.47</v>
      </c>
      <c r="CP10" s="1597">
        <f>SUM('рем программа'!N31)</f>
        <v>1203.47</v>
      </c>
      <c r="CQ10" s="1597">
        <v>0</v>
      </c>
      <c r="CR10" s="1597">
        <f t="shared" si="42"/>
        <v>967.24613699999998</v>
      </c>
      <c r="CS10" s="1597">
        <f>SUM('рем программа'!O31)</f>
        <v>967.24613699999998</v>
      </c>
      <c r="CT10" s="1597">
        <v>0</v>
      </c>
      <c r="CU10" s="1597">
        <f t="shared" si="43"/>
        <v>610.41913358025613</v>
      </c>
      <c r="CV10" s="1597">
        <f>SUM('рем программа'!P31)</f>
        <v>610.41913358025613</v>
      </c>
      <c r="CW10" s="1597">
        <v>0</v>
      </c>
      <c r="CX10" s="1597">
        <f t="shared" si="44"/>
        <v>605.74</v>
      </c>
      <c r="CY10" s="1597">
        <f>SUM('рем программа'!Q31)</f>
        <v>605.74</v>
      </c>
      <c r="CZ10" s="1597">
        <v>0</v>
      </c>
      <c r="DA10" s="1597">
        <f t="shared" si="45"/>
        <v>890.72</v>
      </c>
      <c r="DB10" s="1597">
        <f>SUM('рем программа'!R31)</f>
        <v>890.72</v>
      </c>
      <c r="DC10" s="1597">
        <v>0</v>
      </c>
      <c r="DD10" s="1597">
        <f t="shared" si="46"/>
        <v>1727.3</v>
      </c>
      <c r="DE10" s="1597">
        <f>SUM('рем программа'!S31)</f>
        <v>1727.3</v>
      </c>
      <c r="DF10" s="1597">
        <v>0</v>
      </c>
      <c r="DG10" s="1597">
        <f t="shared" si="47"/>
        <v>1000.0717650000001</v>
      </c>
      <c r="DH10" s="3662">
        <f>SUM('рем программа'!T31)</f>
        <v>1000.0717650000001</v>
      </c>
      <c r="DI10" s="3662">
        <v>0</v>
      </c>
      <c r="DJ10" s="1597">
        <f>SUM(DJ15*DO10)</f>
        <v>11.222019526308445</v>
      </c>
      <c r="DK10" s="1597">
        <f>SUM(DJ10)</f>
        <v>11.222019526308445</v>
      </c>
      <c r="DL10" s="3209">
        <f>SUM(DK10*(1+0.05)*0.99)</f>
        <v>11.66528929759763</v>
      </c>
      <c r="DM10" s="2343">
        <v>11.67</v>
      </c>
      <c r="DN10" s="3714"/>
      <c r="DO10" s="385">
        <f>SUM(DG10/DG15)</f>
        <v>4.3569245295896605E-2</v>
      </c>
    </row>
    <row r="11" spans="1:120" ht="39.950000000000003" customHeight="1" x14ac:dyDescent="0.2">
      <c r="A11" s="3191" t="s">
        <v>4</v>
      </c>
      <c r="B11" s="3677">
        <v>3889.5</v>
      </c>
      <c r="C11" s="2110">
        <v>4434.3</v>
      </c>
      <c r="D11" s="3079">
        <f t="shared" si="0"/>
        <v>114.00694176629386</v>
      </c>
      <c r="E11" s="2110">
        <v>5312</v>
      </c>
      <c r="F11" s="3079">
        <f t="shared" si="1"/>
        <v>119.79342850055249</v>
      </c>
      <c r="G11" s="2110">
        <v>6821.5</v>
      </c>
      <c r="H11" s="3079">
        <f t="shared" si="2"/>
        <v>128.4167921686747</v>
      </c>
      <c r="I11" s="3678">
        <v>6174.2</v>
      </c>
      <c r="J11" s="3678">
        <v>3312</v>
      </c>
      <c r="K11" s="3678">
        <v>4099.3</v>
      </c>
      <c r="L11" s="3678">
        <v>5838.5</v>
      </c>
      <c r="M11" s="3308">
        <f t="shared" si="3"/>
        <v>94.562858346020533</v>
      </c>
      <c r="N11" s="3308">
        <f t="shared" si="4"/>
        <v>85.589679689217917</v>
      </c>
      <c r="O11" s="3678">
        <f>ЗП!AF12</f>
        <v>7541.4</v>
      </c>
      <c r="P11" s="3308">
        <f t="shared" si="5"/>
        <v>122.14375951540279</v>
      </c>
      <c r="Q11" s="3309">
        <f>ЗП!AP12</f>
        <v>6612.6753000000008</v>
      </c>
      <c r="R11" s="3308">
        <f t="shared" si="6"/>
        <v>107.10173463768587</v>
      </c>
      <c r="S11" s="3308">
        <f t="shared" si="7"/>
        <v>113.25983214866832</v>
      </c>
      <c r="T11" s="3678" t="e">
        <f>Q11/#REF!*#REF!</f>
        <v>#REF!</v>
      </c>
      <c r="U11" s="3678" t="e">
        <f t="shared" si="25"/>
        <v>#REF!</v>
      </c>
      <c r="V11" s="3678">
        <v>5176.6000000000004</v>
      </c>
      <c r="W11" s="3678" t="e">
        <f>6847.9*('объемы ВС и ВО 2023'!#REF!-'объемы ВС и ВО 2023'!#REF!)/'объемы ВС и ВО 2023'!#REF!</f>
        <v>#REF!</v>
      </c>
      <c r="X11" s="3678" t="e">
        <f>6847.9-W11</f>
        <v>#REF!</v>
      </c>
      <c r="Y11" s="1597">
        <v>7766.2</v>
      </c>
      <c r="Z11" s="1591">
        <f t="shared" si="9"/>
        <v>1.174441454882867</v>
      </c>
      <c r="AA11" s="1597">
        <f>ЗП!U28</f>
        <v>6982.9851168000005</v>
      </c>
      <c r="AB11" s="1591">
        <f t="shared" si="10"/>
        <v>1.056</v>
      </c>
      <c r="AC11" s="1597" t="e">
        <f>#REF!/#REF!*AA11</f>
        <v>#REF!</v>
      </c>
      <c r="AD11" s="1597" t="e">
        <f t="shared" si="26"/>
        <v>#REF!</v>
      </c>
      <c r="AE11" s="1597">
        <f>SUM(ЗП!AS28)</f>
        <v>6448.8</v>
      </c>
      <c r="AF11" s="1597" t="e">
        <f>#REF!/#REF!*AE11</f>
        <v>#REF!</v>
      </c>
      <c r="AG11" s="1597" t="e">
        <f>AE11-AF11</f>
        <v>#REF!</v>
      </c>
      <c r="AH11" s="1598">
        <f t="shared" si="11"/>
        <v>7359.1</v>
      </c>
      <c r="AI11" s="1592">
        <f t="shared" si="12"/>
        <v>1.0538616189078114</v>
      </c>
      <c r="AJ11" s="1597">
        <v>7275.33</v>
      </c>
      <c r="AK11" s="1597">
        <v>83.77</v>
      </c>
      <c r="AL11" s="1598" t="e">
        <f t="shared" si="13"/>
        <v>#REF!</v>
      </c>
      <c r="AM11" s="1592" t="e">
        <f t="shared" si="14"/>
        <v>#REF!</v>
      </c>
      <c r="AN11" s="1597" t="e">
        <f>ЗП!BB28*#REF!/(#REF!+#REF!)</f>
        <v>#REF!</v>
      </c>
      <c r="AO11" s="1597" t="e">
        <f>-AN11+ЗП!BB28</f>
        <v>#REF!</v>
      </c>
      <c r="AP11" s="1593">
        <f t="shared" si="15"/>
        <v>-783.21488319999935</v>
      </c>
      <c r="AQ11" s="1593" t="e">
        <f t="shared" ref="AQ11:AQ14" si="48">AP11*AC11/AA11</f>
        <v>#REF!</v>
      </c>
      <c r="AR11" s="1593" t="e">
        <f t="shared" si="17"/>
        <v>#REF!</v>
      </c>
      <c r="AS11" s="1593" t="e">
        <f t="shared" si="33"/>
        <v>#REF!</v>
      </c>
      <c r="AT11" s="1597">
        <f>SUM(ЗП!BG28)</f>
        <v>2995.9</v>
      </c>
      <c r="AU11" s="1597" t="e">
        <f>#REF!/#REF!*AT11</f>
        <v>#REF!</v>
      </c>
      <c r="AV11" s="1597" t="e">
        <f>AT11-AU11</f>
        <v>#REF!</v>
      </c>
      <c r="AW11" s="1597">
        <f t="shared" si="27"/>
        <v>6134.37</v>
      </c>
      <c r="AX11" s="1597">
        <v>6104.8</v>
      </c>
      <c r="AY11" s="1597">
        <v>29.57</v>
      </c>
      <c r="AZ11" s="1598">
        <f>SUM(ЗП!BO28)</f>
        <v>8095.010000000002</v>
      </c>
      <c r="BA11" s="1594" t="e">
        <f t="shared" si="20"/>
        <v>#REF!</v>
      </c>
      <c r="BB11" s="1597" t="e">
        <f>#REF!/#REF!*AZ11</f>
        <v>#REF!</v>
      </c>
      <c r="BC11" s="1597" t="e">
        <f>AZ11-BB11</f>
        <v>#REF!</v>
      </c>
      <c r="BD11" s="1598">
        <f>SUM(ЗП!BS28)</f>
        <v>7369.5470048780498</v>
      </c>
      <c r="BE11" s="1597" t="e">
        <f>#REF!/#REF!*BD11</f>
        <v>#REF!</v>
      </c>
      <c r="BF11" s="1597" t="e">
        <f>BD11-BE11</f>
        <v>#REF!</v>
      </c>
      <c r="BG11" s="1597">
        <f t="shared" si="28"/>
        <v>5452.53</v>
      </c>
      <c r="BH11" s="1597">
        <v>5448.86</v>
      </c>
      <c r="BI11" s="1597">
        <v>3.67</v>
      </c>
      <c r="BJ11" s="1597">
        <f t="shared" si="29"/>
        <v>5676.66</v>
      </c>
      <c r="BK11" s="1597">
        <v>5673.91</v>
      </c>
      <c r="BL11" s="1597">
        <v>2.75</v>
      </c>
      <c r="BM11" s="1598">
        <f t="shared" si="30"/>
        <v>8045.1468999999997</v>
      </c>
      <c r="BN11" s="1597">
        <v>8000.67</v>
      </c>
      <c r="BO11" s="1597">
        <v>44.476900000000001</v>
      </c>
      <c r="BP11" s="1598">
        <f t="shared" si="31"/>
        <v>5780.39</v>
      </c>
      <c r="BQ11" s="1597">
        <v>5778.29</v>
      </c>
      <c r="BR11" s="1597">
        <v>2.1</v>
      </c>
      <c r="BS11" s="1597">
        <f t="shared" si="32"/>
        <v>7051.9299999999994</v>
      </c>
      <c r="BT11" s="1597">
        <v>7042.15</v>
      </c>
      <c r="BU11" s="1597">
        <v>9.7799999999999994</v>
      </c>
      <c r="BV11" s="1597">
        <f>ЗП!CR28</f>
        <v>6658.5404159999989</v>
      </c>
      <c r="BW11" s="1597">
        <v>6655.32</v>
      </c>
      <c r="BX11" s="1597">
        <v>3.2149999999999999</v>
      </c>
      <c r="BY11" s="1597">
        <f>SUM(ЗП!CU28)</f>
        <v>6964.8332751359994</v>
      </c>
      <c r="BZ11" s="1597">
        <v>6961.47</v>
      </c>
      <c r="CA11" s="1597">
        <v>3.37</v>
      </c>
      <c r="CB11" s="3675" t="e">
        <f>#REF!</f>
        <v>#REF!</v>
      </c>
      <c r="CC11" s="3203"/>
      <c r="CD11" s="3203"/>
      <c r="CE11" s="3203"/>
      <c r="CF11" s="1597">
        <f>SUM(ЗП!CX28)</f>
        <v>6789.7136621952004</v>
      </c>
      <c r="CG11" s="1597">
        <v>6786.26</v>
      </c>
      <c r="CH11" s="1597">
        <v>3.46</v>
      </c>
      <c r="CI11" s="1597">
        <f t="shared" si="39"/>
        <v>3032.81</v>
      </c>
      <c r="CJ11" s="1597">
        <f>SUM(ЗП!DA28)</f>
        <v>3032.81</v>
      </c>
      <c r="CK11" s="1597">
        <v>0</v>
      </c>
      <c r="CL11" s="1597">
        <f t="shared" si="40"/>
        <v>4668.76</v>
      </c>
      <c r="CM11" s="1597">
        <f>SUM(ЗП!DD28)</f>
        <v>4668.76</v>
      </c>
      <c r="CN11" s="1597">
        <v>0</v>
      </c>
      <c r="CO11" s="1597">
        <f t="shared" si="41"/>
        <v>6034.71</v>
      </c>
      <c r="CP11" s="1597">
        <f>SUM(ЗП!DG28)</f>
        <v>6034.71</v>
      </c>
      <c r="CQ11" s="1597">
        <v>0</v>
      </c>
      <c r="CR11" s="1597">
        <f t="shared" si="42"/>
        <v>8199.8862105600001</v>
      </c>
      <c r="CS11" s="1597">
        <f>SUM(ЗП!DJ28)</f>
        <v>8199.8862105600001</v>
      </c>
      <c r="CT11" s="1597">
        <v>0</v>
      </c>
      <c r="CU11" s="1597">
        <f t="shared" si="43"/>
        <v>6977.3238659705721</v>
      </c>
      <c r="CV11" s="1597">
        <f>SUM(ЗП!DM28)</f>
        <v>6977.3238659705721</v>
      </c>
      <c r="CW11" s="1597">
        <v>0</v>
      </c>
      <c r="CX11" s="1597">
        <f t="shared" si="44"/>
        <v>2745.82</v>
      </c>
      <c r="CY11" s="1597">
        <f>SUM(ЗП!DR28)</f>
        <v>2745.82</v>
      </c>
      <c r="CZ11" s="1597">
        <v>0</v>
      </c>
      <c r="DA11" s="1597">
        <f t="shared" si="45"/>
        <v>4078.0200000000004</v>
      </c>
      <c r="DB11" s="1597">
        <f>SUM(ЗП!DU28)+0.01</f>
        <v>4078.0200000000004</v>
      </c>
      <c r="DC11" s="1597">
        <v>0</v>
      </c>
      <c r="DD11" s="1597">
        <f t="shared" si="46"/>
        <v>5342.98</v>
      </c>
      <c r="DE11" s="1597">
        <f>SUM(ЗП!DX28)</f>
        <v>5342.98</v>
      </c>
      <c r="DF11" s="1597">
        <v>0</v>
      </c>
      <c r="DG11" s="1597">
        <f t="shared" si="47"/>
        <v>8680.4669952000004</v>
      </c>
      <c r="DH11" s="3662">
        <f>SUM(ЗП!EA28)</f>
        <v>8680.4669952000004</v>
      </c>
      <c r="DI11" s="3662">
        <v>0</v>
      </c>
      <c r="DJ11" s="1597">
        <f>SUM(DJ15*DO11)</f>
        <v>97.405379820527557</v>
      </c>
      <c r="DK11" s="1597">
        <v>105.54</v>
      </c>
      <c r="DL11" s="3209">
        <f t="shared" ref="DL11:DL14" si="49">SUM(DK11*(1+0.05)*0.99)</f>
        <v>109.70883000000001</v>
      </c>
      <c r="DM11" s="2343">
        <v>109.71</v>
      </c>
      <c r="DN11" s="3714"/>
      <c r="DO11">
        <f>SUM(DG11/DG15)</f>
        <v>0.37817425612131272</v>
      </c>
    </row>
    <row r="12" spans="1:120" ht="39.950000000000003" customHeight="1" x14ac:dyDescent="0.2">
      <c r="A12" s="3191" t="s">
        <v>5</v>
      </c>
      <c r="B12" s="3677">
        <v>991</v>
      </c>
      <c r="C12" s="2110">
        <v>1109.0999999999999</v>
      </c>
      <c r="D12" s="3079">
        <f t="shared" si="0"/>
        <v>111.91725529767911</v>
      </c>
      <c r="E12" s="2110">
        <v>1349.6</v>
      </c>
      <c r="F12" s="3079">
        <f t="shared" si="1"/>
        <v>121.68424848976649</v>
      </c>
      <c r="G12" s="2110">
        <f>G11*0.302</f>
        <v>2060.0929999999998</v>
      </c>
      <c r="H12" s="3079">
        <f t="shared" si="2"/>
        <v>152.64470954356847</v>
      </c>
      <c r="I12" s="3678">
        <f>I11*30.2/100</f>
        <v>1864.6084000000001</v>
      </c>
      <c r="J12" s="3678">
        <v>1103.4000000000001</v>
      </c>
      <c r="K12" s="3678">
        <v>1205.7</v>
      </c>
      <c r="L12" s="3678">
        <v>1728</v>
      </c>
      <c r="M12" s="3308">
        <f t="shared" si="3"/>
        <v>92.673614470470042</v>
      </c>
      <c r="N12" s="3308"/>
      <c r="O12" s="3678">
        <f>O11*0.302</f>
        <v>2277.5027999999998</v>
      </c>
      <c r="P12" s="3308">
        <f t="shared" si="5"/>
        <v>122.14375951540279</v>
      </c>
      <c r="Q12" s="3309">
        <f>Q11*0.302</f>
        <v>1997.0279406000002</v>
      </c>
      <c r="R12" s="3308">
        <f t="shared" si="6"/>
        <v>107.10173463768587</v>
      </c>
      <c r="S12" s="3308">
        <f t="shared" si="7"/>
        <v>115.5687465625</v>
      </c>
      <c r="T12" s="3678" t="e">
        <f>Q12/#REF!*#REF!</f>
        <v>#REF!</v>
      </c>
      <c r="U12" s="3678" t="e">
        <f t="shared" si="25"/>
        <v>#REF!</v>
      </c>
      <c r="V12" s="3678">
        <v>1556.7</v>
      </c>
      <c r="W12" s="3678"/>
      <c r="X12" s="3678">
        <v>0</v>
      </c>
      <c r="Y12" s="1597">
        <v>2345.4</v>
      </c>
      <c r="Z12" s="1591">
        <f t="shared" si="9"/>
        <v>1.1744452605381839</v>
      </c>
      <c r="AA12" s="1597">
        <f>AA11*V13</f>
        <v>2099.9136366191242</v>
      </c>
      <c r="AB12" s="1591">
        <f t="shared" si="10"/>
        <v>1.0515194073790537</v>
      </c>
      <c r="AC12" s="1597" t="e">
        <f>#REF!/#REF!*AA12</f>
        <v>#REF!</v>
      </c>
      <c r="AD12" s="1597" t="e">
        <f t="shared" si="26"/>
        <v>#REF!</v>
      </c>
      <c r="AE12" s="1597">
        <v>1965.4</v>
      </c>
      <c r="AF12" s="1597" t="e">
        <f>#REF!/#REF!*AE12</f>
        <v>#REF!</v>
      </c>
      <c r="AG12" s="1597" t="e">
        <f>AE12-AF12</f>
        <v>#REF!</v>
      </c>
      <c r="AH12" s="1598">
        <f t="shared" si="11"/>
        <v>2215.0943299999999</v>
      </c>
      <c r="AI12" s="1592">
        <f t="shared" si="12"/>
        <v>1.0548502049666755</v>
      </c>
      <c r="AJ12" s="1597">
        <f>AJ11*AJ13</f>
        <v>2189.8743300000001</v>
      </c>
      <c r="AK12" s="1597">
        <v>25.22</v>
      </c>
      <c r="AL12" s="1598" t="e">
        <f t="shared" si="13"/>
        <v>#REF!</v>
      </c>
      <c r="AM12" s="1592" t="e">
        <f t="shared" si="14"/>
        <v>#REF!</v>
      </c>
      <c r="AN12" s="1597" t="e">
        <f>AN11*AA13</f>
        <v>#REF!</v>
      </c>
      <c r="AO12" s="1597" t="e">
        <f>AO11*AA13</f>
        <v>#REF!</v>
      </c>
      <c r="AP12" s="1593">
        <f t="shared" si="15"/>
        <v>-245.4863633808759</v>
      </c>
      <c r="AQ12" s="1593" t="e">
        <f t="shared" si="48"/>
        <v>#REF!</v>
      </c>
      <c r="AR12" s="1593" t="e">
        <f t="shared" si="17"/>
        <v>#REF!</v>
      </c>
      <c r="AS12" s="1593" t="e">
        <f t="shared" si="33"/>
        <v>#REF!</v>
      </c>
      <c r="AT12" s="1597">
        <v>927.99</v>
      </c>
      <c r="AU12" s="1597" t="e">
        <f>#REF!/#REF!*AT12</f>
        <v>#REF!</v>
      </c>
      <c r="AV12" s="1597" t="e">
        <f>AT12-AU12</f>
        <v>#REF!</v>
      </c>
      <c r="AW12" s="1597">
        <f t="shared" si="27"/>
        <v>1903.67</v>
      </c>
      <c r="AX12" s="1597">
        <v>1894.5</v>
      </c>
      <c r="AY12" s="1597">
        <v>9.17</v>
      </c>
      <c r="AZ12" s="1598" t="e">
        <f t="shared" ref="AZ12" si="50">SUM(BB12+BC12)</f>
        <v>#REF!</v>
      </c>
      <c r="BA12" s="1594" t="e">
        <f t="shared" si="20"/>
        <v>#REF!</v>
      </c>
      <c r="BB12" s="1597" t="e">
        <f>SUM(BB11*AH13)</f>
        <v>#REF!</v>
      </c>
      <c r="BC12" s="1597" t="e">
        <f>SUM(BC11*AH13)</f>
        <v>#REF!</v>
      </c>
      <c r="BD12" s="1598" t="e">
        <f t="shared" ref="BD12" si="51">SUM(BE12+BF12)</f>
        <v>#REF!</v>
      </c>
      <c r="BE12" s="1597" t="e">
        <f>SUM(BE11*AZ13)</f>
        <v>#REF!</v>
      </c>
      <c r="BF12" s="1597" t="e">
        <f>SUM(BF11*AZ13)</f>
        <v>#REF!</v>
      </c>
      <c r="BG12" s="1597">
        <f t="shared" si="28"/>
        <v>1684.7700000000002</v>
      </c>
      <c r="BH12" s="1597">
        <v>1683.64</v>
      </c>
      <c r="BI12" s="1597">
        <v>1.1299999999999999</v>
      </c>
      <c r="BJ12" s="1597">
        <f t="shared" si="29"/>
        <v>1738.25</v>
      </c>
      <c r="BK12" s="1597">
        <v>1737.41</v>
      </c>
      <c r="BL12" s="1597">
        <v>0.84</v>
      </c>
      <c r="BM12" s="1598">
        <f t="shared" si="30"/>
        <v>2421.5899999999997</v>
      </c>
      <c r="BN12" s="1597">
        <v>2408.1999999999998</v>
      </c>
      <c r="BO12" s="1597">
        <v>13.39</v>
      </c>
      <c r="BP12" s="1598">
        <f t="shared" si="31"/>
        <v>1768.01</v>
      </c>
      <c r="BQ12" s="1597">
        <v>1767.37</v>
      </c>
      <c r="BR12" s="1597">
        <v>0.64</v>
      </c>
      <c r="BS12" s="1597">
        <f t="shared" si="32"/>
        <v>2122.63</v>
      </c>
      <c r="BT12" s="1597">
        <v>2119.69</v>
      </c>
      <c r="BU12" s="1597">
        <v>2.94</v>
      </c>
      <c r="BV12" s="1597">
        <f>BV11*BS13</f>
        <v>2004.2197870957427</v>
      </c>
      <c r="BW12" s="1597">
        <v>2003.25</v>
      </c>
      <c r="BX12" s="1597">
        <v>0.97</v>
      </c>
      <c r="BY12" s="1597">
        <f>BY11*BV13</f>
        <v>2096.4138973021472</v>
      </c>
      <c r="BZ12" s="1597">
        <v>2095.4</v>
      </c>
      <c r="CA12" s="1597">
        <v>1.01</v>
      </c>
      <c r="CB12" s="3675" t="s">
        <v>239</v>
      </c>
      <c r="CC12" s="3203"/>
      <c r="CD12" s="3203"/>
      <c r="CE12" s="3203"/>
      <c r="CF12" s="1597">
        <f>SUM(CF11*CF13)</f>
        <v>2043.7029169015293</v>
      </c>
      <c r="CG12" s="1597">
        <f t="shared" ref="CG12:CH12" si="52">SUM(CG11*CG13)</f>
        <v>2042.6633650362387</v>
      </c>
      <c r="CH12" s="1597">
        <f t="shared" si="52"/>
        <v>1.0414595436993845</v>
      </c>
      <c r="CI12" s="1597">
        <f t="shared" ref="CI12" si="53">CJ12+CK12</f>
        <v>933.41</v>
      </c>
      <c r="CJ12" s="1597">
        <v>933.41</v>
      </c>
      <c r="CK12" s="1597">
        <v>0</v>
      </c>
      <c r="CL12" s="1597">
        <f t="shared" ref="CL12" si="54">CM12+CN12</f>
        <v>1437.13</v>
      </c>
      <c r="CM12" s="1597">
        <v>1437.13</v>
      </c>
      <c r="CN12" s="1597">
        <v>0</v>
      </c>
      <c r="CO12" s="1597">
        <f t="shared" ref="CO12" si="55">CP12+CQ12</f>
        <v>1861.31</v>
      </c>
      <c r="CP12" s="1597">
        <v>1861.31</v>
      </c>
      <c r="CQ12" s="1597">
        <v>0</v>
      </c>
      <c r="CR12" s="1597">
        <f t="shared" ref="CR12" si="56">CS12+CT12</f>
        <v>2468.17</v>
      </c>
      <c r="CS12" s="1597">
        <v>2468.17</v>
      </c>
      <c r="CT12" s="1597">
        <v>0</v>
      </c>
      <c r="CU12" s="1597">
        <f t="shared" ref="CU12" si="57">CV12+CW12</f>
        <v>2100.1730997916779</v>
      </c>
      <c r="CV12" s="1597">
        <f t="shared" ref="CV12" si="58">SUM(CV11*CV13)</f>
        <v>2100.1730997916779</v>
      </c>
      <c r="CW12" s="1597">
        <v>0</v>
      </c>
      <c r="CX12" s="1597">
        <f t="shared" ref="CX12" si="59">CY12+CZ12</f>
        <v>849.31399999999996</v>
      </c>
      <c r="CY12" s="1597">
        <v>849.31399999999996</v>
      </c>
      <c r="CZ12" s="1597">
        <v>0</v>
      </c>
      <c r="DA12" s="1597">
        <f t="shared" ref="DA12" si="60">DB12+DC12</f>
        <v>1263.0239999999999</v>
      </c>
      <c r="DB12" s="1597">
        <v>1263.0239999999999</v>
      </c>
      <c r="DC12" s="1597">
        <v>0</v>
      </c>
      <c r="DD12" s="1597">
        <f t="shared" ref="DD12" si="61">DE12+DF12</f>
        <v>1655.4639999999999</v>
      </c>
      <c r="DE12" s="1597">
        <v>1655.4639999999999</v>
      </c>
      <c r="DF12" s="1597">
        <v>0</v>
      </c>
      <c r="DG12" s="1597">
        <f t="shared" ref="DG12" si="62">DH12+DI12</f>
        <v>2612.8200000000002</v>
      </c>
      <c r="DH12" s="3662">
        <v>2612.8200000000002</v>
      </c>
      <c r="DI12" s="3662">
        <v>0</v>
      </c>
      <c r="DJ12" s="1597">
        <f>SUM(DJ15*DO12)</f>
        <v>29.319012979762736</v>
      </c>
      <c r="DK12" s="1597">
        <v>31.77</v>
      </c>
      <c r="DL12" s="3209">
        <f t="shared" si="49"/>
        <v>33.024915</v>
      </c>
      <c r="DM12" s="2343">
        <v>33.020000000000003</v>
      </c>
      <c r="DN12" s="3715"/>
      <c r="DO12">
        <f>SUM(DG12/DG15)</f>
        <v>0.11383042645347012</v>
      </c>
    </row>
    <row r="13" spans="1:120" s="181" customFormat="1" ht="39.950000000000003" customHeight="1" x14ac:dyDescent="0.2">
      <c r="A13" s="3195" t="s">
        <v>308</v>
      </c>
      <c r="B13" s="3088"/>
      <c r="C13" s="3079"/>
      <c r="D13" s="3079"/>
      <c r="E13" s="3310">
        <f>E12/E11</f>
        <v>0.25406626506024094</v>
      </c>
      <c r="F13" s="3310">
        <f t="shared" ref="F13:AG13" si="63">F12/F11</f>
        <v>1.0157840042887267</v>
      </c>
      <c r="G13" s="3310">
        <f t="shared" si="63"/>
        <v>0.30199999999999999</v>
      </c>
      <c r="H13" s="3310">
        <f t="shared" si="63"/>
        <v>1.1886662714878482</v>
      </c>
      <c r="I13" s="3310">
        <f t="shared" si="63"/>
        <v>0.30200000000000005</v>
      </c>
      <c r="J13" s="3310">
        <f t="shared" si="63"/>
        <v>0.33315217391304353</v>
      </c>
      <c r="K13" s="3310">
        <f t="shared" si="63"/>
        <v>0.29412338691971801</v>
      </c>
      <c r="L13" s="3310">
        <f t="shared" si="63"/>
        <v>0.29596642973366449</v>
      </c>
      <c r="M13" s="3310">
        <f t="shared" si="63"/>
        <v>0.9800212905088227</v>
      </c>
      <c r="N13" s="3310">
        <f t="shared" si="63"/>
        <v>0</v>
      </c>
      <c r="O13" s="3310">
        <f t="shared" si="63"/>
        <v>0.30199999999999999</v>
      </c>
      <c r="P13" s="3310">
        <f t="shared" si="63"/>
        <v>1</v>
      </c>
      <c r="Q13" s="3311">
        <f t="shared" si="63"/>
        <v>0.30199999999999999</v>
      </c>
      <c r="R13" s="3310">
        <f t="shared" si="63"/>
        <v>1</v>
      </c>
      <c r="S13" s="3310">
        <f t="shared" si="63"/>
        <v>1.0203859953703702</v>
      </c>
      <c r="T13" s="3310" t="e">
        <f t="shared" si="63"/>
        <v>#REF!</v>
      </c>
      <c r="U13" s="3310" t="e">
        <f t="shared" si="63"/>
        <v>#REF!</v>
      </c>
      <c r="V13" s="3310">
        <f t="shared" si="63"/>
        <v>0.30071861839817637</v>
      </c>
      <c r="W13" s="3310"/>
      <c r="X13" s="3310">
        <v>0</v>
      </c>
      <c r="Y13" s="1599">
        <f t="shared" si="63"/>
        <v>0.30200097859957253</v>
      </c>
      <c r="Z13" s="1591">
        <f t="shared" si="9"/>
        <v>1.0000032403959356</v>
      </c>
      <c r="AA13" s="1599">
        <f t="shared" si="63"/>
        <v>0.30071861839817632</v>
      </c>
      <c r="AB13" s="1599">
        <f t="shared" si="63"/>
        <v>0.99575701456349774</v>
      </c>
      <c r="AC13" s="1599" t="e">
        <f t="shared" si="63"/>
        <v>#REF!</v>
      </c>
      <c r="AD13" s="1599" t="e">
        <f t="shared" si="63"/>
        <v>#REF!</v>
      </c>
      <c r="AE13" s="1599">
        <f t="shared" si="63"/>
        <v>0.30476987966753505</v>
      </c>
      <c r="AF13" s="1599" t="e">
        <f t="shared" si="63"/>
        <v>#REF!</v>
      </c>
      <c r="AG13" s="1599" t="e">
        <f t="shared" si="63"/>
        <v>#REF!</v>
      </c>
      <c r="AH13" s="1599">
        <v>0.30099999999999999</v>
      </c>
      <c r="AI13" s="1592">
        <f t="shared" si="12"/>
        <v>1.0009356973084091</v>
      </c>
      <c r="AJ13" s="1599">
        <v>0.30099999999999999</v>
      </c>
      <c r="AK13" s="1599">
        <v>0.30099999999999999</v>
      </c>
      <c r="AL13" s="1599" t="e">
        <f>SUM(AL12/AL11)</f>
        <v>#REF!</v>
      </c>
      <c r="AM13" s="1592" t="e">
        <f t="shared" si="14"/>
        <v>#REF!</v>
      </c>
      <c r="AN13" s="1599" t="e">
        <f>AN12/AN11</f>
        <v>#REF!</v>
      </c>
      <c r="AO13" s="1599" t="e">
        <f>AO12/AO11</f>
        <v>#REF!</v>
      </c>
      <c r="AP13" s="1593">
        <f t="shared" si="15"/>
        <v>-1.2823602013962154E-3</v>
      </c>
      <c r="AQ13" s="1593" t="e">
        <f t="shared" si="48"/>
        <v>#REF!</v>
      </c>
      <c r="AR13" s="1593" t="e">
        <f t="shared" si="17"/>
        <v>#REF!</v>
      </c>
      <c r="AS13" s="1593" t="e">
        <f t="shared" si="33"/>
        <v>#REF!</v>
      </c>
      <c r="AT13" s="1599">
        <f t="shared" ref="AT13:AY13" si="64">AT12/AT11</f>
        <v>0.30975332955038554</v>
      </c>
      <c r="AU13" s="1599" t="e">
        <f t="shared" si="64"/>
        <v>#REF!</v>
      </c>
      <c r="AV13" s="1599" t="e">
        <f t="shared" si="64"/>
        <v>#REF!</v>
      </c>
      <c r="AW13" s="1599">
        <f t="shared" si="64"/>
        <v>0.31032852599370436</v>
      </c>
      <c r="AX13" s="1599">
        <f t="shared" si="64"/>
        <v>0.31032957672651029</v>
      </c>
      <c r="AY13" s="1599">
        <f t="shared" si="64"/>
        <v>0.31011159959418327</v>
      </c>
      <c r="AZ13" s="1599" t="e">
        <f>SUM(AZ12/AZ11)</f>
        <v>#REF!</v>
      </c>
      <c r="BA13" s="1594" t="e">
        <f t="shared" si="20"/>
        <v>#REF!</v>
      </c>
      <c r="BB13" s="1599" t="e">
        <f t="shared" ref="BB13:BI13" si="65">SUM(BB12/BB11)</f>
        <v>#REF!</v>
      </c>
      <c r="BC13" s="1599" t="e">
        <f t="shared" si="65"/>
        <v>#REF!</v>
      </c>
      <c r="BD13" s="1599" t="e">
        <f t="shared" si="65"/>
        <v>#REF!</v>
      </c>
      <c r="BE13" s="1599" t="e">
        <f t="shared" si="65"/>
        <v>#REF!</v>
      </c>
      <c r="BF13" s="1599" t="e">
        <f t="shared" si="65"/>
        <v>#REF!</v>
      </c>
      <c r="BG13" s="1599">
        <f t="shared" si="65"/>
        <v>0.30898867131405061</v>
      </c>
      <c r="BH13" s="1599">
        <f t="shared" si="65"/>
        <v>0.30898940328802726</v>
      </c>
      <c r="BI13" s="1599">
        <f t="shared" si="65"/>
        <v>0.30790190735694822</v>
      </c>
      <c r="BJ13" s="1599">
        <f>SUM(BJ12/BJ11)</f>
        <v>0.30620998967702839</v>
      </c>
      <c r="BK13" s="1599">
        <f t="shared" ref="BK13:BU13" si="66">SUM(BK12/BK11)</f>
        <v>0.3062103558216468</v>
      </c>
      <c r="BL13" s="1599">
        <f t="shared" si="66"/>
        <v>0.30545454545454542</v>
      </c>
      <c r="BM13" s="1599">
        <f t="shared" si="66"/>
        <v>0.30100009733818528</v>
      </c>
      <c r="BN13" s="1599">
        <f t="shared" si="66"/>
        <v>0.30099979126748133</v>
      </c>
      <c r="BO13" s="1599">
        <f t="shared" si="66"/>
        <v>0.30105515447344577</v>
      </c>
      <c r="BP13" s="1599">
        <f t="shared" si="66"/>
        <v>0.30586344520006431</v>
      </c>
      <c r="BQ13" s="1599">
        <f t="shared" si="66"/>
        <v>0.30586384553215568</v>
      </c>
      <c r="BR13" s="1599">
        <f t="shared" si="66"/>
        <v>0.30476190476190473</v>
      </c>
      <c r="BS13" s="1599">
        <f t="shared" si="66"/>
        <v>0.30099986812120944</v>
      </c>
      <c r="BT13" s="1599">
        <f t="shared" si="66"/>
        <v>0.30100040470594919</v>
      </c>
      <c r="BU13" s="1599">
        <f t="shared" si="66"/>
        <v>0.30061349693251538</v>
      </c>
      <c r="BV13" s="1599">
        <f>SUM(BV12/BV11)</f>
        <v>0.30099986812120944</v>
      </c>
      <c r="BW13" s="1599">
        <f t="shared" ref="BW13:BX13" si="67">SUM(BW12/BW11)</f>
        <v>0.30099980166242946</v>
      </c>
      <c r="BX13" s="1599">
        <f t="shared" si="67"/>
        <v>0.30171073094867806</v>
      </c>
      <c r="BY13" s="1599">
        <f>SUM(BY12/BY11)</f>
        <v>0.30099986812120949</v>
      </c>
      <c r="BZ13" s="1599">
        <f t="shared" ref="BZ13:CA13" si="68">SUM(BZ12/BZ11)</f>
        <v>0.30099964518988087</v>
      </c>
      <c r="CA13" s="1599">
        <f t="shared" si="68"/>
        <v>0.29970326409495546</v>
      </c>
      <c r="CB13" s="3312"/>
      <c r="CC13" s="3197"/>
      <c r="CD13" s="3197"/>
      <c r="CE13" s="3197"/>
      <c r="CF13" s="1599">
        <f>SUM(BV13)</f>
        <v>0.30099986812120944</v>
      </c>
      <c r="CG13" s="1599">
        <f>SUM(CF13)</f>
        <v>0.30099986812120944</v>
      </c>
      <c r="CH13" s="1599">
        <f>SUM(CF13)</f>
        <v>0.30099986812120944</v>
      </c>
      <c r="CI13" s="1599">
        <f>SUM(CI12/CI11)</f>
        <v>0.30777068131534779</v>
      </c>
      <c r="CJ13" s="1599">
        <f t="shared" ref="CJ13" si="69">SUM(CJ12/CJ11)</f>
        <v>0.30777068131534779</v>
      </c>
      <c r="CK13" s="1599">
        <v>0</v>
      </c>
      <c r="CL13" s="1599">
        <f t="shared" ref="CL13:CM13" si="70">SUM(CL12/CL11)</f>
        <v>0.30781835005440417</v>
      </c>
      <c r="CM13" s="1599">
        <f t="shared" si="70"/>
        <v>0.30781835005440417</v>
      </c>
      <c r="CN13" s="1599">
        <v>0</v>
      </c>
      <c r="CO13" s="1599">
        <f t="shared" ref="CO13:CP13" si="71">SUM(CO12/CO11)</f>
        <v>0.30843404239806055</v>
      </c>
      <c r="CP13" s="1599">
        <f t="shared" si="71"/>
        <v>0.30843404239806055</v>
      </c>
      <c r="CQ13" s="1599">
        <v>0</v>
      </c>
      <c r="CR13" s="1599">
        <f t="shared" ref="CR13:CS13" si="72">SUM(CR12/CR11)</f>
        <v>0.30100051837566166</v>
      </c>
      <c r="CS13" s="1599">
        <f t="shared" si="72"/>
        <v>0.30100051837566166</v>
      </c>
      <c r="CT13" s="1599">
        <v>0</v>
      </c>
      <c r="CU13" s="1599">
        <f>SUM(BV13)</f>
        <v>0.30099986812120944</v>
      </c>
      <c r="CV13" s="1599">
        <f t="shared" ref="CV13:CW13" si="73">SUM(BW13)</f>
        <v>0.30099980166242946</v>
      </c>
      <c r="CW13" s="1599">
        <f t="shared" si="73"/>
        <v>0.30171073094867806</v>
      </c>
      <c r="CX13" s="1599">
        <f>SUM(CX12/CX11)</f>
        <v>0.30931160818990316</v>
      </c>
      <c r="CY13" s="1599">
        <f t="shared" ref="CY13" si="74">SUM(CY12/CY11)</f>
        <v>0.30931160818990316</v>
      </c>
      <c r="CZ13" s="1599">
        <v>0</v>
      </c>
      <c r="DA13" s="1599">
        <f t="shared" ref="DA13:DB13" si="75">SUM(DA12/DA11)</f>
        <v>0.30971500875424834</v>
      </c>
      <c r="DB13" s="1599">
        <f t="shared" si="75"/>
        <v>0.30971500875424834</v>
      </c>
      <c r="DC13" s="1599">
        <v>0</v>
      </c>
      <c r="DD13" s="1599">
        <f t="shared" ref="DD13:DE13" si="76">SUM(DD12/DD11)</f>
        <v>0.30983907856664261</v>
      </c>
      <c r="DE13" s="1599">
        <f t="shared" si="76"/>
        <v>0.30983907856664261</v>
      </c>
      <c r="DF13" s="1599">
        <v>0</v>
      </c>
      <c r="DG13" s="1599">
        <f t="shared" ref="DG13:DJ13" si="77">SUM(DG12/DG11)</f>
        <v>0.30099993484737625</v>
      </c>
      <c r="DH13" s="3663">
        <f t="shared" si="77"/>
        <v>0.30099993484737625</v>
      </c>
      <c r="DI13" s="3663">
        <v>0</v>
      </c>
      <c r="DJ13" s="1599">
        <f t="shared" si="77"/>
        <v>0.3009999348473763</v>
      </c>
      <c r="DK13" s="1599">
        <f t="shared" ref="DK13:DL13" si="78">SUM(DK12/DK11)</f>
        <v>0.30102330869812394</v>
      </c>
      <c r="DL13" s="3690">
        <f t="shared" si="78"/>
        <v>0.30102330869812394</v>
      </c>
      <c r="DM13" s="4160">
        <v>0.30099999999999999</v>
      </c>
      <c r="DN13" s="3714"/>
    </row>
    <row r="14" spans="1:120" ht="39.950000000000003" customHeight="1" x14ac:dyDescent="0.2">
      <c r="A14" s="3191" t="s">
        <v>6</v>
      </c>
      <c r="B14" s="3677">
        <v>1035.7</v>
      </c>
      <c r="C14" s="2110">
        <v>1490.6</v>
      </c>
      <c r="D14" s="3079">
        <f t="shared" si="0"/>
        <v>143.92198513082937</v>
      </c>
      <c r="E14" s="2110">
        <v>1931.9</v>
      </c>
      <c r="F14" s="3079">
        <f t="shared" si="1"/>
        <v>129.60552797531199</v>
      </c>
      <c r="G14" s="2110" t="e">
        <f>'цех вода 2023'!G46-'Бесхоз. сети вода'!#REF!-'Бесхоз. сети вода'!#REF!-'Бесхоз. сети вода'!#REF!</f>
        <v>#REF!</v>
      </c>
      <c r="H14" s="3079" t="e">
        <f t="shared" si="2"/>
        <v>#REF!</v>
      </c>
      <c r="I14" s="3678">
        <v>2107</v>
      </c>
      <c r="J14" s="3678">
        <v>1329.9</v>
      </c>
      <c r="K14" s="3678">
        <f>'цех вода 2023'!K51</f>
        <v>1718.888220844955</v>
      </c>
      <c r="L14" s="3678">
        <v>2190.8000000000002</v>
      </c>
      <c r="M14" s="3308">
        <f t="shared" si="3"/>
        <v>103.97721879449455</v>
      </c>
      <c r="N14" s="3308"/>
      <c r="O14" s="3678">
        <f>'цех вода 2023'!N51</f>
        <v>2644.3000000000011</v>
      </c>
      <c r="P14" s="3308">
        <f t="shared" si="5"/>
        <v>125.50071191267209</v>
      </c>
      <c r="Q14" s="3309">
        <f>'цех вода 2023'!P51</f>
        <v>2113.8624728004652</v>
      </c>
      <c r="R14" s="3308">
        <f t="shared" si="6"/>
        <v>100.32569875654795</v>
      </c>
      <c r="S14" s="3308">
        <f t="shared" si="7"/>
        <v>96.48815377033344</v>
      </c>
      <c r="T14" s="3678" t="e">
        <f>Q14/#REF!*#REF!</f>
        <v>#REF!</v>
      </c>
      <c r="U14" s="3678" t="e">
        <f t="shared" si="25"/>
        <v>#REF!</v>
      </c>
      <c r="V14" s="3678">
        <v>2048.6</v>
      </c>
      <c r="W14" s="3678"/>
      <c r="X14" s="3678"/>
      <c r="Y14" s="1597">
        <v>2817.5</v>
      </c>
      <c r="Z14" s="1591">
        <f t="shared" si="9"/>
        <v>1.3328681672783325</v>
      </c>
      <c r="AA14" s="1597">
        <f>'цех вода 2023'!W51</f>
        <v>2244.4438912833493</v>
      </c>
      <c r="AB14" s="1591">
        <f t="shared" si="10"/>
        <v>1.0617738477138905</v>
      </c>
      <c r="AC14" s="1597" t="e">
        <f>#REF!/#REF!*AA14</f>
        <v>#REF!</v>
      </c>
      <c r="AD14" s="1597" t="e">
        <f t="shared" si="26"/>
        <v>#REF!</v>
      </c>
      <c r="AE14" s="1597">
        <v>2289.6</v>
      </c>
      <c r="AF14" s="1597" t="e">
        <f>AE14*#REF!/(#REF!+#REF!)</f>
        <v>#REF!</v>
      </c>
      <c r="AG14" s="1597" t="e">
        <f>SUM(AE14-AF14)</f>
        <v>#REF!</v>
      </c>
      <c r="AH14" s="1598">
        <f t="shared" si="11"/>
        <v>2395.3000000000002</v>
      </c>
      <c r="AI14" s="1592">
        <f t="shared" si="12"/>
        <v>1.0672131343102513</v>
      </c>
      <c r="AJ14" s="1597">
        <v>2368.0300000000002</v>
      </c>
      <c r="AK14" s="1597">
        <v>27.27</v>
      </c>
      <c r="AL14" s="1598" t="e">
        <f t="shared" si="13"/>
        <v>#REF!</v>
      </c>
      <c r="AM14" s="1592" t="e">
        <f t="shared" si="14"/>
        <v>#REF!</v>
      </c>
      <c r="AN14" s="1597" t="e">
        <f>'цех вода 2023'!AB51*#REF!/(#REF!+#REF!)</f>
        <v>#REF!</v>
      </c>
      <c r="AO14" s="1597" t="e">
        <f>'цех вода 2023'!AB51-AN14</f>
        <v>#REF!</v>
      </c>
      <c r="AP14" s="1593">
        <f t="shared" si="15"/>
        <v>-573.05610871665067</v>
      </c>
      <c r="AQ14" s="1593" t="e">
        <f t="shared" si="48"/>
        <v>#REF!</v>
      </c>
      <c r="AR14" s="1593" t="e">
        <f t="shared" si="17"/>
        <v>#REF!</v>
      </c>
      <c r="AS14" s="1593" t="e">
        <f t="shared" si="33"/>
        <v>#REF!</v>
      </c>
      <c r="AT14" s="1597">
        <v>1149.72</v>
      </c>
      <c r="AU14" s="1597" t="e">
        <f>AT14*#REF!/(#REF!+#REF!)</f>
        <v>#REF!</v>
      </c>
      <c r="AV14" s="1597" t="e">
        <f>SUM(AT14-AU14)</f>
        <v>#REF!</v>
      </c>
      <c r="AW14" s="1597">
        <f t="shared" si="27"/>
        <v>2398.5700000000002</v>
      </c>
      <c r="AX14" s="1597">
        <v>2387.0100000000002</v>
      </c>
      <c r="AY14" s="1597">
        <v>11.56</v>
      </c>
      <c r="AZ14" s="1597">
        <v>2843.27</v>
      </c>
      <c r="BA14" s="1594" t="e">
        <f t="shared" si="20"/>
        <v>#REF!</v>
      </c>
      <c r="BB14" s="1597" t="e">
        <f>AZ14*#REF!/(#REF!+#REF!)</f>
        <v>#REF!</v>
      </c>
      <c r="BC14" s="1597" t="e">
        <f>SUM(AZ14-BB14)</f>
        <v>#REF!</v>
      </c>
      <c r="BD14" s="1597">
        <f>SUM('цех вода 2023'!AG51)</f>
        <v>2475.1343982218523</v>
      </c>
      <c r="BE14" s="1597" t="e">
        <f>BD14*#REF!/(#REF!+#REF!)</f>
        <v>#REF!</v>
      </c>
      <c r="BF14" s="1597" t="e">
        <f>SUM(BD14-BE14)</f>
        <v>#REF!</v>
      </c>
      <c r="BG14" s="1597">
        <f t="shared" si="28"/>
        <v>2505.2399999999998</v>
      </c>
      <c r="BH14" s="1597">
        <v>2503.56</v>
      </c>
      <c r="BI14" s="1597">
        <v>1.68</v>
      </c>
      <c r="BJ14" s="1597">
        <f t="shared" ref="BJ14" si="79">BK14+BL14</f>
        <v>2402.1799999999998</v>
      </c>
      <c r="BK14" s="1597">
        <v>2401.02</v>
      </c>
      <c r="BL14" s="1597">
        <v>1.1599999999999999</v>
      </c>
      <c r="BM14" s="1598">
        <f t="shared" si="30"/>
        <v>2516.2190000000001</v>
      </c>
      <c r="BN14" s="1597">
        <v>2501.721</v>
      </c>
      <c r="BO14" s="1597">
        <v>14.497999999999999</v>
      </c>
      <c r="BP14" s="1598">
        <f t="shared" ref="BP14" si="80">SUM(BQ14+BR14)</f>
        <v>2442.52</v>
      </c>
      <c r="BQ14" s="1597">
        <v>2441.63</v>
      </c>
      <c r="BR14" s="1597">
        <v>0.89</v>
      </c>
      <c r="BS14" s="1597">
        <f t="shared" ref="BS14" si="81">BT14+BU14</f>
        <v>3196.56</v>
      </c>
      <c r="BT14" s="1597">
        <v>3192.13</v>
      </c>
      <c r="BU14" s="1597">
        <v>4.43</v>
      </c>
      <c r="BV14" s="1597">
        <f>'цех вода 2023'!AM51</f>
        <v>2706.8129829750114</v>
      </c>
      <c r="BW14" s="1597">
        <v>2705.5</v>
      </c>
      <c r="BX14" s="1597">
        <v>1.3049999999999999</v>
      </c>
      <c r="BY14" s="1597">
        <f>SUM('цех вода 2023'!AN51)</f>
        <v>2599.8439507974344</v>
      </c>
      <c r="BZ14" s="1597">
        <v>2598.59</v>
      </c>
      <c r="CA14" s="1597">
        <v>1.26</v>
      </c>
      <c r="CB14" s="3675" t="e">
        <f>#REF!</f>
        <v>#REF!</v>
      </c>
      <c r="CC14" s="3203"/>
      <c r="CD14" s="3203"/>
      <c r="CE14" s="3203"/>
      <c r="CF14" s="1597">
        <f>SUM('цех вода 2023'!AX51)</f>
        <v>2719.011490230816</v>
      </c>
      <c r="CG14" s="1597">
        <v>2717.63</v>
      </c>
      <c r="CH14" s="1597">
        <v>1.39</v>
      </c>
      <c r="CI14" s="1597">
        <f t="shared" ref="CI14" si="82">CJ14+CK14</f>
        <v>1303.07</v>
      </c>
      <c r="CJ14" s="1597">
        <f>SUM('цех вода 2023'!AY51)</f>
        <v>1303.07</v>
      </c>
      <c r="CK14" s="1597">
        <v>0</v>
      </c>
      <c r="CL14" s="1597">
        <f t="shared" ref="CL14" si="83">CM14+CN14</f>
        <v>2311.9899999999998</v>
      </c>
      <c r="CM14" s="1597">
        <f>SUM('цех вода 2023'!AZ51)</f>
        <v>2311.9899999999998</v>
      </c>
      <c r="CN14" s="1597">
        <v>0</v>
      </c>
      <c r="CO14" s="1597">
        <f t="shared" ref="CO14" si="84">CP14+CQ14</f>
        <v>3844.89</v>
      </c>
      <c r="CP14" s="1597">
        <f>SUM('цех вода 2023'!BA51)</f>
        <v>3844.89</v>
      </c>
      <c r="CQ14" s="1597">
        <v>0</v>
      </c>
      <c r="CR14" s="1597">
        <f t="shared" ref="CR14" si="85">CS14+CT14</f>
        <v>4945.3918879660223</v>
      </c>
      <c r="CS14" s="1597">
        <f>SUM('цех вода 2023'!BB51)</f>
        <v>4945.3918879660223</v>
      </c>
      <c r="CT14" s="1597">
        <v>0</v>
      </c>
      <c r="CU14" s="1597">
        <f t="shared" ref="CU14" si="86">CV14+CW14</f>
        <v>3577.8364299681775</v>
      </c>
      <c r="CV14" s="1597">
        <f>SUM('цех вода 2023'!BC51)</f>
        <v>3577.8364299681775</v>
      </c>
      <c r="CW14" s="1597">
        <v>0</v>
      </c>
      <c r="CX14" s="1597">
        <f t="shared" ref="CX14" si="87">CY14+CZ14</f>
        <v>2804.92</v>
      </c>
      <c r="CY14" s="1597">
        <f>SUM('цех вода 2023'!BD51)</f>
        <v>2804.92</v>
      </c>
      <c r="CZ14" s="1597">
        <v>0</v>
      </c>
      <c r="DA14" s="1597">
        <f t="shared" ref="DA14" si="88">DB14+DC14</f>
        <v>3998.41</v>
      </c>
      <c r="DB14" s="1597">
        <f>SUM('цех вода 2023'!BE51)</f>
        <v>3998.41</v>
      </c>
      <c r="DC14" s="1597">
        <v>0</v>
      </c>
      <c r="DD14" s="1597">
        <f t="shared" ref="DD14" si="89">DE14+DF14</f>
        <v>5408.3</v>
      </c>
      <c r="DE14" s="1597">
        <f>SUM('цех вода 2023'!BF51)</f>
        <v>5408.3</v>
      </c>
      <c r="DF14" s="1597">
        <v>0</v>
      </c>
      <c r="DG14" s="1597">
        <f t="shared" ref="DG14" si="90">DH14+DI14</f>
        <v>6996.728136491759</v>
      </c>
      <c r="DH14" s="3662">
        <f>SUM('цех вода 2023'!BG51)</f>
        <v>6996.728136491759</v>
      </c>
      <c r="DI14" s="3662">
        <v>0</v>
      </c>
      <c r="DJ14" s="1597">
        <f>SUM(DJ15*DO14)</f>
        <v>78.511785369705152</v>
      </c>
      <c r="DK14" s="1597">
        <v>31.88</v>
      </c>
      <c r="DL14" s="3209">
        <f t="shared" si="49"/>
        <v>33.13926</v>
      </c>
      <c r="DM14" s="2343">
        <v>33.14</v>
      </c>
      <c r="DN14" s="3716"/>
      <c r="DO14">
        <f>SUM(DG14/DG15)</f>
        <v>0.30482028901946945</v>
      </c>
    </row>
    <row r="15" spans="1:120" s="2196" customFormat="1" ht="39.950000000000003" customHeight="1" x14ac:dyDescent="0.35">
      <c r="A15" s="3697" t="s">
        <v>3909</v>
      </c>
      <c r="B15" s="3698" t="e">
        <f>#REF!+#REF!+#REF!+B7+#REF!+#REF!</f>
        <v>#REF!</v>
      </c>
      <c r="C15" s="3699" t="e">
        <f>#REF!+#REF!+#REF!+C7+#REF!+#REF!</f>
        <v>#REF!</v>
      </c>
      <c r="D15" s="3707" t="e">
        <f>C15/B15*100</f>
        <v>#REF!</v>
      </c>
      <c r="E15" s="3699" t="e">
        <f>#REF!+#REF!+#REF!+E7+#REF!+#REF!</f>
        <v>#REF!</v>
      </c>
      <c r="F15" s="3699" t="e">
        <f>#REF!+#REF!+#REF!+F7+#REF!+#REF!</f>
        <v>#REF!</v>
      </c>
      <c r="G15" s="3699" t="e">
        <f>#REF!+#REF!+#REF!+G7+#REF!+#REF!</f>
        <v>#REF!</v>
      </c>
      <c r="H15" s="3707" t="e">
        <f t="shared" si="2"/>
        <v>#REF!</v>
      </c>
      <c r="I15" s="3701" t="e">
        <f>#REF!+#REF!+#REF!+I7+#REF!+#REF!</f>
        <v>#REF!</v>
      </c>
      <c r="J15" s="3701" t="e">
        <f>#REF!+#REF!+#REF!+J7+#REF!+#REF!</f>
        <v>#REF!</v>
      </c>
      <c r="K15" s="3701" t="e">
        <f>#REF!+#REF!+#REF!+K7+#REF!+#REF!</f>
        <v>#REF!</v>
      </c>
      <c r="L15" s="3701" t="e">
        <f>#REF!+#REF!+#REF!+L7+#REF!+#REF!</f>
        <v>#REF!</v>
      </c>
      <c r="M15" s="3701" t="e">
        <f>#REF!+#REF!+#REF!+M7+#REF!+#REF!</f>
        <v>#REF!</v>
      </c>
      <c r="N15" s="3702" t="e">
        <f t="shared" si="4"/>
        <v>#REF!</v>
      </c>
      <c r="O15" s="3701" t="e">
        <f>#REF!+#REF!+#REF!+O7+#REF!+#REF!</f>
        <v>#REF!</v>
      </c>
      <c r="P15" s="3702" t="e">
        <f t="shared" si="5"/>
        <v>#REF!</v>
      </c>
      <c r="Q15" s="3701" t="e">
        <f>#REF!+#REF!+#REF!+Q7+#REF!+#REF!</f>
        <v>#REF!</v>
      </c>
      <c r="R15" s="3701" t="e">
        <f>#REF!+#REF!+#REF!+R7+#REF!+#REF!</f>
        <v>#REF!</v>
      </c>
      <c r="S15" s="3701" t="e">
        <f>#REF!+#REF!+#REF!+S7+#REF!+#REF!</f>
        <v>#REF!</v>
      </c>
      <c r="T15" s="3701" t="e">
        <f>#REF!+#REF!+#REF!+T7+#REF!+#REF!</f>
        <v>#REF!</v>
      </c>
      <c r="U15" s="3701" t="e">
        <f>#REF!+#REF!+#REF!+U7+#REF!+#REF!</f>
        <v>#REF!</v>
      </c>
      <c r="V15" s="3701" t="e">
        <f>#REF!+#REF!+#REF!+V7+#REF!+#REF!</f>
        <v>#REF!</v>
      </c>
      <c r="W15" s="3701" t="e">
        <f>#REF!+#REF!+#REF!+W7+#REF!+#REF!</f>
        <v>#REF!</v>
      </c>
      <c r="X15" s="3701" t="e">
        <f>#REF!+#REF!+#REF!+X7+#REF!+#REF!</f>
        <v>#REF!</v>
      </c>
      <c r="Y15" s="3701" t="e">
        <f>#REF!+#REF!+#REF!+Y7+#REF!+#REF!</f>
        <v>#REF!</v>
      </c>
      <c r="Z15" s="3703" t="e">
        <f t="shared" si="9"/>
        <v>#REF!</v>
      </c>
      <c r="AA15" s="3701" t="e">
        <f>#REF!+#REF!+#REF!+AA7+#REF!+#REF!</f>
        <v>#REF!</v>
      </c>
      <c r="AB15" s="3703" t="e">
        <f t="shared" ref="AB15" si="91">AA15/Q15</f>
        <v>#REF!</v>
      </c>
      <c r="AC15" s="3701" t="e">
        <f>#REF!+#REF!+#REF!+AC7+#REF!+#REF!+0.02</f>
        <v>#REF!</v>
      </c>
      <c r="AD15" s="3701" t="e">
        <f>#REF!+#REF!+#REF!+AD7+#REF!+#REF!</f>
        <v>#REF!</v>
      </c>
      <c r="AE15" s="3701" t="e">
        <f>#REF!+#REF!+#REF!+AE7+#REF!+#REF!</f>
        <v>#REF!</v>
      </c>
      <c r="AF15" s="3701" t="e">
        <f>#REF!+#REF!+#REF!+AF7+#REF!+#REF!</f>
        <v>#REF!</v>
      </c>
      <c r="AG15" s="3701" t="e">
        <f>#REF!+#REF!+#REF!+AG7+#REF!+#REF!</f>
        <v>#REF!</v>
      </c>
      <c r="AH15" s="3708" t="e">
        <f t="shared" si="11"/>
        <v>#REF!</v>
      </c>
      <c r="AI15" s="3709" t="e">
        <f t="shared" si="12"/>
        <v>#REF!</v>
      </c>
      <c r="AJ15" s="3701" t="e">
        <f>#REF!+#REF!+#REF!+AJ7+#REF!+#REF!+#REF!</f>
        <v>#REF!</v>
      </c>
      <c r="AK15" s="3701" t="e">
        <f>#REF!+#REF!+#REF!+AK7+#REF!+#REF!</f>
        <v>#REF!</v>
      </c>
      <c r="AL15" s="3708" t="e">
        <f t="shared" si="13"/>
        <v>#REF!</v>
      </c>
      <c r="AM15" s="3709" t="e">
        <f t="shared" si="14"/>
        <v>#REF!</v>
      </c>
      <c r="AN15" s="3701" t="e">
        <f>#REF!+#REF!+#REF!+AN7+#REF!+#REF!+#REF!</f>
        <v>#REF!</v>
      </c>
      <c r="AO15" s="3701" t="e">
        <f>#REF!+#REF!+#REF!+AO7+#REF!+#REF!+#REF!</f>
        <v>#REF!</v>
      </c>
      <c r="AP15" s="3708" t="e">
        <f t="shared" si="15"/>
        <v>#REF!</v>
      </c>
      <c r="AQ15" s="3708" t="e">
        <f>AP15*AC15/AA15</f>
        <v>#REF!</v>
      </c>
      <c r="AR15" s="3708" t="e">
        <f t="shared" si="17"/>
        <v>#REF!</v>
      </c>
      <c r="AS15" s="3708" t="e">
        <f t="shared" si="33"/>
        <v>#REF!</v>
      </c>
      <c r="AT15" s="3701" t="e">
        <f>#REF!+#REF!+#REF!+AT7+#REF!+#REF!</f>
        <v>#REF!</v>
      </c>
      <c r="AU15" s="3701" t="e">
        <f>#REF!+#REF!+#REF!+AU7+#REF!+#REF!</f>
        <v>#REF!</v>
      </c>
      <c r="AV15" s="3701" t="e">
        <f>#REF!+#REF!+#REF!+AV7+#REF!+#REF!</f>
        <v>#REF!</v>
      </c>
      <c r="AW15" s="3701" t="e">
        <f>#REF!+#REF!+#REF!+AW7+#REF!+#REF!</f>
        <v>#REF!</v>
      </c>
      <c r="AX15" s="3701" t="e">
        <f>#REF!+#REF!+#REF!+AX7+#REF!+#REF!</f>
        <v>#REF!</v>
      </c>
      <c r="AY15" s="3701" t="e">
        <f>#REF!+#REF!+#REF!+AY7+#REF!+#REF!</f>
        <v>#REF!</v>
      </c>
      <c r="AZ15" s="3708" t="e">
        <f t="shared" ref="AZ15" si="92">SUM(BB15+BC15)</f>
        <v>#REF!</v>
      </c>
      <c r="BA15" s="3710" t="e">
        <f t="shared" si="20"/>
        <v>#REF!</v>
      </c>
      <c r="BB15" s="3701" t="e">
        <f>#REF!+#REF!+#REF!+BB7+#REF!+#REF!+#REF!+#REF!</f>
        <v>#REF!</v>
      </c>
      <c r="BC15" s="3701" t="e">
        <f>#REF!+#REF!+#REF!+BC7+#REF!+#REF!</f>
        <v>#REF!</v>
      </c>
      <c r="BD15" s="3701" t="e">
        <f>#REF!+#REF!+#REF!+BD7+#REF!+#REF!+#REF!+#REF!</f>
        <v>#REF!</v>
      </c>
      <c r="BE15" s="3701" t="e">
        <f>#REF!+#REF!+#REF!+BE7+#REF!+#REF!+#REF!+#REF!</f>
        <v>#REF!</v>
      </c>
      <c r="BF15" s="3701" t="e">
        <f>#REF!+#REF!+#REF!+BF7+#REF!+#REF!+#REF!+#REF!</f>
        <v>#REF!</v>
      </c>
      <c r="BG15" s="3701" t="e">
        <f>#REF!+#REF!+#REF!+BG7+#REF!+#REF!+#REF!+#REF!</f>
        <v>#REF!</v>
      </c>
      <c r="BH15" s="3701" t="e">
        <f>#REF!+#REF!+#REF!+BH7+#REF!+#REF!+#REF!+#REF!</f>
        <v>#REF!</v>
      </c>
      <c r="BI15" s="3701" t="e">
        <f>#REF!+#REF!+#REF!+BI7+#REF!+#REF!+#REF!+#REF!</f>
        <v>#REF!</v>
      </c>
      <c r="BJ15" s="3701" t="e">
        <f>#REF!+#REF!+#REF!+BJ7+#REF!+#REF!+#REF!+#REF!</f>
        <v>#REF!</v>
      </c>
      <c r="BK15" s="3701" t="e">
        <f>#REF!+#REF!+#REF!+BK7+#REF!+#REF!+#REF!+#REF!</f>
        <v>#REF!</v>
      </c>
      <c r="BL15" s="3701" t="e">
        <f>#REF!+#REF!+#REF!+BL7+#REF!+#REF!+#REF!+#REF!</f>
        <v>#REF!</v>
      </c>
      <c r="BM15" s="3701" t="e">
        <f>#REF!+#REF!+#REF!+BM7+#REF!+#REF!+#REF!+#REF!</f>
        <v>#REF!</v>
      </c>
      <c r="BN15" s="3701" t="e">
        <f>#REF!+#REF!+#REF!+BN7+#REF!+#REF!+#REF!+#REF!</f>
        <v>#REF!</v>
      </c>
      <c r="BO15" s="3701" t="e">
        <f>#REF!+#REF!+#REF!+BO7+#REF!+#REF!+#REF!+#REF!</f>
        <v>#REF!</v>
      </c>
      <c r="BP15" s="3701" t="e">
        <f>#REF!+#REF!+#REF!+BP7+#REF!+#REF!+#REF!+#REF!+#REF!</f>
        <v>#REF!</v>
      </c>
      <c r="BQ15" s="3701" t="e">
        <f>#REF!+#REF!+#REF!+BQ7+#REF!+#REF!+#REF!+#REF!+#REF!</f>
        <v>#REF!</v>
      </c>
      <c r="BR15" s="3701" t="e">
        <f>#REF!+#REF!+#REF!+BR7+#REF!+#REF!+#REF!+#REF!+#REF!</f>
        <v>#REF!</v>
      </c>
      <c r="BS15" s="3701">
        <f t="shared" ref="BS15:CA15" si="93">SUM(BS8+BS9+BS10+BS11+BS12+BS14)</f>
        <v>16784.82</v>
      </c>
      <c r="BT15" s="3701">
        <f t="shared" si="93"/>
        <v>16767.669999999998</v>
      </c>
      <c r="BU15" s="3701">
        <f t="shared" si="93"/>
        <v>17.149999999999999</v>
      </c>
      <c r="BV15" s="3701">
        <f t="shared" si="93"/>
        <v>15485.369266070753</v>
      </c>
      <c r="BW15" s="3701">
        <f t="shared" si="93"/>
        <v>15479.86608</v>
      </c>
      <c r="BX15" s="3701">
        <f t="shared" si="93"/>
        <v>5.4899999999999993</v>
      </c>
      <c r="BY15" s="3701">
        <f t="shared" si="93"/>
        <v>15808.750180118781</v>
      </c>
      <c r="BZ15" s="3701">
        <f t="shared" si="93"/>
        <v>15803.119056883201</v>
      </c>
      <c r="CA15" s="3701">
        <f t="shared" si="93"/>
        <v>5.64</v>
      </c>
      <c r="CB15" s="3711"/>
      <c r="CC15" s="3712"/>
      <c r="CD15" s="3712"/>
      <c r="CE15" s="3712"/>
      <c r="CF15" s="3701">
        <f>SUM(CF8+CF9+CF10+CF11+CF12+CF14)</f>
        <v>15690.859913103546</v>
      </c>
      <c r="CG15" s="3701">
        <f>SUM(CG8+CG9+CG10+CG11+CG12+CG14)</f>
        <v>15684.683365036239</v>
      </c>
      <c r="CH15" s="3701">
        <f>SUM(CH8+CH9+CH10+CH11+CH12+CH14)</f>
        <v>6.1914595436993842</v>
      </c>
      <c r="CI15" s="3701" t="e">
        <f>#REF!+#REF!+#REF!+CI7+#REF!+#REF!+#REF!+#REF!+#REF!+#REF!-#REF!</f>
        <v>#REF!</v>
      </c>
      <c r="CJ15" s="3701" t="e">
        <f>#REF!+#REF!+#REF!+CJ7+#REF!+#REF!+#REF!+#REF!+#REF!+#REF!-#REF!</f>
        <v>#REF!</v>
      </c>
      <c r="CK15" s="3701" t="e">
        <f>#REF!+#REF!+#REF!+CK7+#REF!+#REF!+#REF!+#REF!+#REF!+#REF!</f>
        <v>#REF!</v>
      </c>
      <c r="CL15" s="3701" t="e">
        <f>#REF!+#REF!+#REF!+CL7+#REF!+#REF!+#REF!+#REF!+#REF!+#REF!-#REF!</f>
        <v>#REF!</v>
      </c>
      <c r="CM15" s="3701" t="e">
        <f>#REF!+#REF!+#REF!+CM7+#REF!+#REF!+#REF!+#REF!+#REF!+#REF!-#REF!</f>
        <v>#REF!</v>
      </c>
      <c r="CN15" s="3701" t="e">
        <f>#REF!+#REF!+#REF!+CN7+#REF!+#REF!+#REF!+#REF!+#REF!+#REF!</f>
        <v>#REF!</v>
      </c>
      <c r="CO15" s="3701">
        <f t="shared" ref="CO15:CW15" si="94">SUM(CO8+CO9+CO10+CO11+CO12+CO14)</f>
        <v>16519.97</v>
      </c>
      <c r="CP15" s="3701">
        <f t="shared" si="94"/>
        <v>16519.97</v>
      </c>
      <c r="CQ15" s="3701">
        <f t="shared" si="94"/>
        <v>0</v>
      </c>
      <c r="CR15" s="3701">
        <f t="shared" si="94"/>
        <v>20156.284235526022</v>
      </c>
      <c r="CS15" s="3701">
        <f t="shared" si="94"/>
        <v>20156.284235526022</v>
      </c>
      <c r="CT15" s="3701">
        <f t="shared" si="94"/>
        <v>0</v>
      </c>
      <c r="CU15" s="3701">
        <f t="shared" si="94"/>
        <v>15141.561732921931</v>
      </c>
      <c r="CV15" s="3701">
        <f t="shared" si="94"/>
        <v>15141.561732921931</v>
      </c>
      <c r="CW15" s="3701">
        <f t="shared" si="94"/>
        <v>0</v>
      </c>
      <c r="CX15" s="3701" t="e">
        <f>#REF!+#REF!+#REF!+CX7+#REF!+#REF!+#REF!+#REF!+#REF!+#REF!-#REF!</f>
        <v>#REF!</v>
      </c>
      <c r="CY15" s="3701" t="e">
        <f>#REF!+#REF!+#REF!+CY7+#REF!+#REF!+#REF!+#REF!+#REF!+#REF!-#REF!</f>
        <v>#REF!</v>
      </c>
      <c r="CZ15" s="3701" t="e">
        <f>#REF!+#REF!+#REF!+CZ7+#REF!+#REF!+#REF!+#REF!+#REF!+#REF!</f>
        <v>#REF!</v>
      </c>
      <c r="DA15" s="3701" t="e">
        <f>#REF!+#REF!+#REF!+DA7+#REF!+#REF!+#REF!+#REF!+#REF!+#REF!-#REF!</f>
        <v>#REF!</v>
      </c>
      <c r="DB15" s="3701" t="e">
        <f>#REF!+#REF!+#REF!+DB7+#REF!+#REF!+#REF!+#REF!+#REF!+#REF!-#REF!</f>
        <v>#REF!</v>
      </c>
      <c r="DC15" s="3701" t="e">
        <f>#REF!+#REF!+#REF!+DC7+#REF!+#REF!+#REF!+#REF!+#REF!+#REF!</f>
        <v>#REF!</v>
      </c>
      <c r="DD15" s="3701">
        <f t="shared" ref="DD15:DI15" si="95">SUM(DD8+DD9+DD10+DD11+DD12+DD14)</f>
        <v>17797.574000000001</v>
      </c>
      <c r="DE15" s="3701">
        <f t="shared" si="95"/>
        <v>17797.574000000001</v>
      </c>
      <c r="DF15" s="3701">
        <f t="shared" si="95"/>
        <v>0</v>
      </c>
      <c r="DG15" s="3701">
        <f t="shared" si="95"/>
        <v>22953.616896691758</v>
      </c>
      <c r="DH15" s="3701">
        <f t="shared" si="95"/>
        <v>22953.616896691758</v>
      </c>
      <c r="DI15" s="3701">
        <f t="shared" si="95"/>
        <v>0</v>
      </c>
      <c r="DJ15" s="3701">
        <f>SUM(DJ17*DJ16)/1000</f>
        <v>257.56745268583632</v>
      </c>
      <c r="DK15" s="3701">
        <f>SUM(DK7)</f>
        <v>180.41201952630846</v>
      </c>
      <c r="DL15" s="3706">
        <f>SUM(DL7)</f>
        <v>187.53829429759764</v>
      </c>
      <c r="DM15" s="3706">
        <f>SUM(DM7)</f>
        <v>187.84100000000001</v>
      </c>
      <c r="DN15" s="3716"/>
      <c r="DO15" s="2196">
        <f>SUM(DO8:DO14)</f>
        <v>1</v>
      </c>
    </row>
    <row r="16" spans="1:120" s="2196" customFormat="1" ht="39.950000000000003" customHeight="1" x14ac:dyDescent="0.2">
      <c r="A16" s="3200" t="s">
        <v>3912</v>
      </c>
      <c r="B16" s="3324"/>
      <c r="C16" s="1737"/>
      <c r="D16" s="1737"/>
      <c r="E16" s="1737"/>
      <c r="F16" s="1737"/>
      <c r="G16" s="1737"/>
      <c r="H16" s="1737"/>
      <c r="I16" s="3318"/>
      <c r="J16" s="3318"/>
      <c r="K16" s="3318"/>
      <c r="L16" s="3318"/>
      <c r="M16" s="3318"/>
      <c r="N16" s="3318"/>
      <c r="O16" s="3318"/>
      <c r="P16" s="3318"/>
      <c r="Q16" s="3325"/>
      <c r="R16" s="3318"/>
      <c r="S16" s="3318"/>
      <c r="T16" s="3318"/>
      <c r="U16" s="3318"/>
      <c r="V16" s="3318"/>
      <c r="W16" s="3318"/>
      <c r="X16" s="3318"/>
      <c r="Y16" s="1728"/>
      <c r="Z16" s="1604"/>
      <c r="AA16" s="1728"/>
      <c r="AB16" s="1604"/>
      <c r="AC16" s="1728"/>
      <c r="AD16" s="1728"/>
      <c r="AE16" s="1728"/>
      <c r="AF16" s="1728"/>
      <c r="AG16" s="1728"/>
      <c r="AH16" s="3326"/>
      <c r="AI16" s="1606"/>
      <c r="AJ16" s="1728"/>
      <c r="AK16" s="1728"/>
      <c r="AL16" s="3326"/>
      <c r="AM16" s="1606"/>
      <c r="AN16" s="1728"/>
      <c r="AO16" s="1728"/>
      <c r="AP16" s="3327"/>
      <c r="AQ16" s="3327"/>
      <c r="AR16" s="3327"/>
      <c r="AS16" s="3327"/>
      <c r="AT16" s="1728"/>
      <c r="AU16" s="1728"/>
      <c r="AV16" s="1728"/>
      <c r="AW16" s="1728"/>
      <c r="AX16" s="1728"/>
      <c r="AY16" s="1728"/>
      <c r="AZ16" s="3326"/>
      <c r="BA16" s="1606"/>
      <c r="BB16" s="1728"/>
      <c r="BC16" s="1728"/>
      <c r="BD16" s="1728"/>
      <c r="BE16" s="1728"/>
      <c r="BF16" s="1728"/>
      <c r="BG16" s="1728"/>
      <c r="BH16" s="1728"/>
      <c r="BI16" s="1728"/>
      <c r="BJ16" s="1728"/>
      <c r="BK16" s="1728"/>
      <c r="BL16" s="1728"/>
      <c r="BM16" s="1728"/>
      <c r="BN16" s="1728"/>
      <c r="BO16" s="1728"/>
      <c r="BP16" s="1728"/>
      <c r="BQ16" s="1728"/>
      <c r="BR16" s="1728"/>
      <c r="BS16" s="1728"/>
      <c r="BT16" s="1728"/>
      <c r="BU16" s="1728"/>
      <c r="BV16" s="1728"/>
      <c r="BW16" s="1728"/>
      <c r="BX16" s="1728"/>
      <c r="BY16" s="6283">
        <v>143.30000000000001</v>
      </c>
      <c r="BZ16" s="6284"/>
      <c r="CA16" s="6284"/>
      <c r="CB16" s="6284"/>
      <c r="CC16" s="6284"/>
      <c r="CD16" s="6284"/>
      <c r="CE16" s="6284"/>
      <c r="CF16" s="6284"/>
      <c r="CG16" s="6284"/>
      <c r="CH16" s="6284"/>
      <c r="CI16" s="6284"/>
      <c r="CJ16" s="6284"/>
      <c r="CK16" s="6284"/>
      <c r="CL16" s="6284"/>
      <c r="CM16" s="6284"/>
      <c r="CN16" s="6284"/>
      <c r="CO16" s="6284"/>
      <c r="CP16" s="6284"/>
      <c r="CQ16" s="6284"/>
      <c r="CR16" s="6284"/>
      <c r="CS16" s="6284"/>
      <c r="CT16" s="6284"/>
      <c r="CU16" s="6284"/>
      <c r="CV16" s="6284"/>
      <c r="CW16" s="6284"/>
      <c r="CX16" s="6284"/>
      <c r="CY16" s="6284"/>
      <c r="CZ16" s="6284"/>
      <c r="DA16" s="6284"/>
      <c r="DB16" s="6284"/>
      <c r="DC16" s="6284"/>
      <c r="DD16" s="6284"/>
      <c r="DE16" s="6284"/>
      <c r="DF16" s="6284"/>
      <c r="DG16" s="6284"/>
      <c r="DH16" s="3713"/>
      <c r="DI16" s="3713"/>
      <c r="DJ16" s="3918">
        <v>1.6080000000000001</v>
      </c>
      <c r="DK16" s="3918">
        <v>1.6080000000000001</v>
      </c>
      <c r="DL16" s="3696">
        <v>1.6080000000000001</v>
      </c>
      <c r="DM16" s="3696">
        <v>1.6080000000000001</v>
      </c>
      <c r="DN16" s="3717"/>
    </row>
    <row r="17" spans="1:118" s="2196" customFormat="1" ht="39.950000000000003" customHeight="1" x14ac:dyDescent="0.2">
      <c r="A17" s="3200" t="s">
        <v>3910</v>
      </c>
      <c r="B17" s="3324"/>
      <c r="C17" s="1737"/>
      <c r="D17" s="1737"/>
      <c r="E17" s="1737"/>
      <c r="F17" s="1737"/>
      <c r="G17" s="1737"/>
      <c r="H17" s="1737"/>
      <c r="I17" s="3318"/>
      <c r="J17" s="3318"/>
      <c r="K17" s="3318"/>
      <c r="L17" s="3318"/>
      <c r="M17" s="3318"/>
      <c r="N17" s="3318"/>
      <c r="O17" s="3318"/>
      <c r="P17" s="3318"/>
      <c r="Q17" s="3325"/>
      <c r="R17" s="3318"/>
      <c r="S17" s="3318"/>
      <c r="T17" s="3318"/>
      <c r="U17" s="3318"/>
      <c r="V17" s="3318"/>
      <c r="W17" s="3318"/>
      <c r="X17" s="3318"/>
      <c r="Y17" s="1728"/>
      <c r="Z17" s="1604"/>
      <c r="AA17" s="1728"/>
      <c r="AB17" s="1604"/>
      <c r="AC17" s="1728"/>
      <c r="AD17" s="1728"/>
      <c r="AE17" s="1728"/>
      <c r="AF17" s="1728"/>
      <c r="AG17" s="1728"/>
      <c r="AH17" s="3326"/>
      <c r="AI17" s="1606"/>
      <c r="AJ17" s="1728"/>
      <c r="AK17" s="1728"/>
      <c r="AL17" s="3326"/>
      <c r="AM17" s="1606"/>
      <c r="AN17" s="1728"/>
      <c r="AO17" s="1728"/>
      <c r="AP17" s="3327"/>
      <c r="AQ17" s="3327"/>
      <c r="AR17" s="3327"/>
      <c r="AS17" s="3327"/>
      <c r="AT17" s="1728"/>
      <c r="AU17" s="1728"/>
      <c r="AV17" s="1728"/>
      <c r="AW17" s="1728"/>
      <c r="AX17" s="1728"/>
      <c r="AY17" s="1728"/>
      <c r="AZ17" s="3326"/>
      <c r="BA17" s="1606"/>
      <c r="BB17" s="1728"/>
      <c r="BC17" s="1728"/>
      <c r="BD17" s="1728"/>
      <c r="BE17" s="1728"/>
      <c r="BF17" s="1728"/>
      <c r="BG17" s="1728"/>
      <c r="BH17" s="1728"/>
      <c r="BI17" s="1728"/>
      <c r="BJ17" s="1728"/>
      <c r="BK17" s="1728"/>
      <c r="BL17" s="1728"/>
      <c r="BM17" s="1728"/>
      <c r="BN17" s="1728"/>
      <c r="BO17" s="1728"/>
      <c r="BP17" s="1728"/>
      <c r="BQ17" s="1728"/>
      <c r="BR17" s="1728"/>
      <c r="BS17" s="1728"/>
      <c r="BT17" s="1728"/>
      <c r="BU17" s="1728"/>
      <c r="BV17" s="1728"/>
      <c r="BW17" s="1728"/>
      <c r="BX17" s="1728"/>
      <c r="BY17" s="1728">
        <f>SUM(BY15*1000/BY16)</f>
        <v>110319.26155002638</v>
      </c>
      <c r="BZ17" s="1728"/>
      <c r="CA17" s="1728"/>
      <c r="CB17" s="3312"/>
      <c r="CC17" s="3197"/>
      <c r="CD17" s="3197"/>
      <c r="CE17" s="3197"/>
      <c r="CF17" s="1728">
        <f>SUM(CF15*1000/BY16)</f>
        <v>109496.57999374421</v>
      </c>
      <c r="CG17" s="1728" t="e">
        <f t="shared" ref="CG17:DF17" si="96">SUM(CG15*1000/CG16)</f>
        <v>#DIV/0!</v>
      </c>
      <c r="CH17" s="1728" t="e">
        <f t="shared" si="96"/>
        <v>#DIV/0!</v>
      </c>
      <c r="CI17" s="1728" t="e">
        <f t="shared" si="96"/>
        <v>#REF!</v>
      </c>
      <c r="CJ17" s="1728" t="e">
        <f t="shared" si="96"/>
        <v>#REF!</v>
      </c>
      <c r="CK17" s="1728" t="e">
        <f t="shared" si="96"/>
        <v>#REF!</v>
      </c>
      <c r="CL17" s="1728" t="e">
        <f t="shared" si="96"/>
        <v>#REF!</v>
      </c>
      <c r="CM17" s="1728" t="e">
        <f t="shared" si="96"/>
        <v>#REF!</v>
      </c>
      <c r="CN17" s="1728" t="e">
        <f t="shared" si="96"/>
        <v>#REF!</v>
      </c>
      <c r="CO17" s="1728">
        <f>SUM(CO15*1000/BY16)</f>
        <v>115282.41451500349</v>
      </c>
      <c r="CP17" s="1728" t="e">
        <f t="shared" si="96"/>
        <v>#DIV/0!</v>
      </c>
      <c r="CQ17" s="1728" t="e">
        <f t="shared" si="96"/>
        <v>#DIV/0!</v>
      </c>
      <c r="CR17" s="1728">
        <f>SUM(CR15*1000/BY16)</f>
        <v>140657.95000367076</v>
      </c>
      <c r="CS17" s="1728" t="e">
        <f t="shared" si="96"/>
        <v>#DIV/0!</v>
      </c>
      <c r="CT17" s="1728" t="e">
        <f t="shared" si="96"/>
        <v>#DIV/0!</v>
      </c>
      <c r="CU17" s="1728">
        <f>SUM(CU15*1000/BY16)</f>
        <v>105663.37566588925</v>
      </c>
      <c r="CV17" s="1728" t="e">
        <f t="shared" si="96"/>
        <v>#DIV/0!</v>
      </c>
      <c r="CW17" s="1728" t="e">
        <f t="shared" si="96"/>
        <v>#DIV/0!</v>
      </c>
      <c r="CX17" s="1728" t="e">
        <f t="shared" si="96"/>
        <v>#REF!</v>
      </c>
      <c r="CY17" s="1728" t="e">
        <f t="shared" si="96"/>
        <v>#REF!</v>
      </c>
      <c r="CZ17" s="1728" t="e">
        <f t="shared" si="96"/>
        <v>#REF!</v>
      </c>
      <c r="DA17" s="1728" t="e">
        <f t="shared" si="96"/>
        <v>#REF!</v>
      </c>
      <c r="DB17" s="1728" t="e">
        <f t="shared" si="96"/>
        <v>#REF!</v>
      </c>
      <c r="DC17" s="1728" t="e">
        <f t="shared" si="96"/>
        <v>#REF!</v>
      </c>
      <c r="DD17" s="1728">
        <f>SUM(DD15*1000/BY16)</f>
        <v>124198.00418702023</v>
      </c>
      <c r="DE17" s="1728" t="e">
        <f t="shared" si="96"/>
        <v>#DIV/0!</v>
      </c>
      <c r="DF17" s="1728" t="e">
        <f t="shared" si="96"/>
        <v>#DIV/0!</v>
      </c>
      <c r="DG17" s="1728">
        <f>SUM(DG15*1000/BY16)</f>
        <v>160178.76410810716</v>
      </c>
      <c r="DH17" s="3713"/>
      <c r="DI17" s="3713"/>
      <c r="DJ17" s="3918">
        <f>SUM(DG17)</f>
        <v>160178.76410810716</v>
      </c>
      <c r="DK17" s="3918">
        <f>SUM(DK15/DK16)*1000</f>
        <v>112196.52955616196</v>
      </c>
      <c r="DL17" s="3696">
        <f>SUM(DL15/DL16)*1000</f>
        <v>116628.29247363037</v>
      </c>
      <c r="DM17" s="3696">
        <f>SUM(DM15/DM16)*1000</f>
        <v>116816.54228855722</v>
      </c>
      <c r="DN17" s="3717"/>
    </row>
    <row r="18" spans="1:118" s="2196" customFormat="1" ht="39.950000000000003" customHeight="1" x14ac:dyDescent="0.2">
      <c r="A18" s="3356"/>
      <c r="B18" s="3109"/>
      <c r="C18" s="3357"/>
      <c r="D18" s="3358"/>
      <c r="E18" s="3357"/>
      <c r="F18" s="3357"/>
      <c r="G18" s="3357"/>
      <c r="H18" s="3358"/>
      <c r="I18" s="3359"/>
      <c r="J18" s="3359"/>
      <c r="K18" s="3359"/>
      <c r="L18" s="3359"/>
      <c r="M18" s="3359"/>
      <c r="N18" s="3360"/>
      <c r="O18" s="3359"/>
      <c r="P18" s="3360"/>
      <c r="Q18" s="3361"/>
      <c r="R18" s="3359"/>
      <c r="S18" s="3359"/>
      <c r="T18" s="3359"/>
      <c r="U18" s="3359"/>
      <c r="V18" s="3359"/>
      <c r="W18" s="3359"/>
      <c r="X18" s="3359"/>
      <c r="Y18" s="3362"/>
      <c r="Z18" s="3363"/>
      <c r="AA18" s="3362"/>
      <c r="AB18" s="3363"/>
      <c r="AC18" s="3362"/>
      <c r="AD18" s="3362"/>
      <c r="AE18" s="3362"/>
      <c r="AF18" s="3362"/>
      <c r="AG18" s="3362"/>
      <c r="AH18" s="3364"/>
      <c r="AI18" s="3365"/>
      <c r="AJ18" s="3362"/>
      <c r="AK18" s="3362"/>
      <c r="AL18" s="3364"/>
      <c r="AM18" s="3365"/>
      <c r="AN18" s="3362"/>
      <c r="AO18" s="3362"/>
      <c r="AP18" s="3274"/>
      <c r="AQ18" s="3274"/>
      <c r="AR18" s="3274"/>
      <c r="AS18" s="3274"/>
      <c r="AT18" s="3362"/>
      <c r="AU18" s="3362"/>
      <c r="AV18" s="3362"/>
      <c r="AW18" s="3362"/>
      <c r="AX18" s="3362"/>
      <c r="AY18" s="3362"/>
      <c r="AZ18" s="3364"/>
      <c r="BA18" s="3366"/>
      <c r="BB18" s="3362"/>
      <c r="BC18" s="3362"/>
      <c r="BD18" s="3362"/>
      <c r="BE18" s="3362"/>
      <c r="BF18" s="3362"/>
      <c r="BG18" s="3362"/>
      <c r="BH18" s="3362"/>
      <c r="BI18" s="3362"/>
      <c r="BJ18" s="3362"/>
      <c r="BK18" s="3362"/>
      <c r="BL18" s="3362"/>
      <c r="BM18" s="3362"/>
      <c r="BN18" s="3362"/>
      <c r="BO18" s="3362"/>
      <c r="BP18" s="3362"/>
      <c r="BQ18" s="3362"/>
      <c r="BR18" s="3362"/>
      <c r="BS18" s="3362"/>
      <c r="BT18" s="3362"/>
      <c r="BU18" s="3362"/>
      <c r="BV18" s="3362"/>
      <c r="BW18" s="3362"/>
      <c r="BX18" s="3362"/>
      <c r="BY18" s="3362"/>
      <c r="BZ18" s="3362"/>
      <c r="CA18" s="3362"/>
      <c r="CB18" s="2416"/>
      <c r="CC18" s="365"/>
      <c r="CD18" s="365"/>
      <c r="CE18" s="365"/>
      <c r="CF18" s="3362"/>
      <c r="CG18" s="3362"/>
      <c r="CH18" s="3362"/>
      <c r="CI18" s="3362"/>
      <c r="CJ18" s="3362"/>
      <c r="CK18" s="3362"/>
      <c r="CL18" s="3362"/>
      <c r="CM18" s="3362"/>
      <c r="CN18" s="3362"/>
      <c r="CO18" s="3362"/>
      <c r="CP18" s="3362"/>
      <c r="CQ18" s="3362"/>
      <c r="CR18" s="3362"/>
      <c r="CS18" s="3362"/>
      <c r="CT18" s="3362"/>
      <c r="CU18" s="3362"/>
      <c r="CV18" s="3362"/>
      <c r="CW18" s="3362"/>
      <c r="CX18" s="3362"/>
      <c r="CY18" s="3362"/>
      <c r="CZ18" s="3362"/>
      <c r="DA18" s="3362"/>
      <c r="DB18" s="3362"/>
      <c r="DC18" s="3362"/>
      <c r="DD18" s="3362"/>
      <c r="DE18" s="3362"/>
      <c r="DF18" s="3362"/>
      <c r="DG18" s="3362"/>
      <c r="DH18" s="3681"/>
      <c r="DI18" s="3681"/>
      <c r="DJ18" s="3680"/>
      <c r="DK18" s="3680"/>
      <c r="DL18" s="3680"/>
      <c r="DM18" s="3680"/>
    </row>
    <row r="19" spans="1:118" s="2196" customFormat="1" ht="21" customHeight="1" x14ac:dyDescent="0.2">
      <c r="A19" s="3356"/>
      <c r="B19" s="3109"/>
      <c r="C19" s="3357"/>
      <c r="D19" s="3358"/>
      <c r="E19" s="3357"/>
      <c r="F19" s="3357"/>
      <c r="G19" s="3357"/>
      <c r="H19" s="3358"/>
      <c r="I19" s="3359"/>
      <c r="J19" s="3359"/>
      <c r="K19" s="3359"/>
      <c r="L19" s="3359"/>
      <c r="M19" s="3359"/>
      <c r="N19" s="3360"/>
      <c r="O19" s="3359"/>
      <c r="P19" s="3360"/>
      <c r="Q19" s="3361"/>
      <c r="R19" s="3359"/>
      <c r="S19" s="3359"/>
      <c r="T19" s="3359"/>
      <c r="U19" s="3359"/>
      <c r="V19" s="3359"/>
      <c r="W19" s="3359"/>
      <c r="X19" s="3359"/>
      <c r="Y19" s="3362"/>
      <c r="Z19" s="3363"/>
      <c r="AA19" s="3362"/>
      <c r="AB19" s="3363"/>
      <c r="AC19" s="3362"/>
      <c r="AD19" s="3362"/>
      <c r="AE19" s="3362"/>
      <c r="AF19" s="3362"/>
      <c r="AG19" s="3362"/>
      <c r="AH19" s="3364"/>
      <c r="AI19" s="3365"/>
      <c r="AJ19" s="3362"/>
      <c r="AK19" s="3362"/>
      <c r="AL19" s="3364"/>
      <c r="AM19" s="3365"/>
      <c r="AN19" s="3362"/>
      <c r="AO19" s="3362"/>
      <c r="AP19" s="3274"/>
      <c r="AQ19" s="3274"/>
      <c r="AR19" s="3274"/>
      <c r="AS19" s="3274"/>
      <c r="AT19" s="3362"/>
      <c r="AU19" s="3362"/>
      <c r="AV19" s="3362"/>
      <c r="AW19" s="3362"/>
      <c r="AX19" s="3362"/>
      <c r="AY19" s="3362"/>
      <c r="AZ19" s="3364"/>
      <c r="BA19" s="3366"/>
      <c r="BB19" s="3362"/>
      <c r="BC19" s="3362"/>
      <c r="BD19" s="3362"/>
      <c r="BE19" s="3362"/>
      <c r="BF19" s="3362"/>
      <c r="BG19" s="3362"/>
      <c r="BH19" s="3362"/>
      <c r="BI19" s="3362"/>
      <c r="BJ19" s="3362"/>
      <c r="BK19" s="3362"/>
      <c r="BL19" s="3362"/>
      <c r="BM19" s="3362"/>
      <c r="BN19" s="3362"/>
      <c r="BO19" s="3362"/>
      <c r="BP19" s="3362"/>
      <c r="BQ19" s="3362"/>
      <c r="BR19" s="3362"/>
      <c r="BS19" s="3362"/>
      <c r="BT19" s="3362"/>
      <c r="BU19" s="3362"/>
      <c r="BV19" s="3362"/>
      <c r="BW19" s="3362"/>
      <c r="BX19" s="3362"/>
      <c r="BY19" s="3362"/>
      <c r="BZ19" s="3362"/>
      <c r="CA19" s="3362"/>
      <c r="CB19" s="2416"/>
      <c r="CC19" s="365"/>
      <c r="CD19" s="365"/>
      <c r="CE19" s="365"/>
      <c r="CF19" s="3362"/>
      <c r="CG19" s="3362"/>
      <c r="CH19" s="3362"/>
      <c r="CI19" s="3362"/>
      <c r="CJ19" s="3362"/>
      <c r="CK19" s="3362"/>
      <c r="CL19" s="3362"/>
      <c r="CM19" s="3362"/>
      <c r="CN19" s="3362"/>
      <c r="CO19" s="3362"/>
      <c r="CP19" s="3362"/>
      <c r="CQ19" s="3362"/>
      <c r="CR19" s="3362"/>
      <c r="CS19" s="3362"/>
      <c r="CT19" s="3362"/>
      <c r="CU19" s="3362"/>
      <c r="CV19" s="3362"/>
      <c r="CW19" s="3362"/>
      <c r="CX19" s="3362"/>
      <c r="CY19" s="3362"/>
      <c r="CZ19" s="3362"/>
      <c r="DA19" s="3362"/>
      <c r="DB19" s="3362"/>
      <c r="DC19" s="3362"/>
      <c r="DD19" s="3362"/>
      <c r="DE19" s="3362"/>
      <c r="DF19" s="3362"/>
      <c r="DG19" s="3681"/>
      <c r="DH19" s="3681"/>
      <c r="DI19" s="3681"/>
      <c r="DJ19" s="3680"/>
      <c r="DK19" s="3680"/>
      <c r="DL19" s="3680"/>
      <c r="DM19" s="3680"/>
    </row>
    <row r="20" spans="1:118" ht="20.25" x14ac:dyDescent="0.3">
      <c r="A20" s="2792" t="s">
        <v>4029</v>
      </c>
      <c r="CF20" s="1655"/>
    </row>
    <row r="21" spans="1:118" x14ac:dyDescent="0.25">
      <c r="CW21" s="155"/>
    </row>
  </sheetData>
  <mergeCells count="52">
    <mergeCell ref="DJ3:DK3"/>
    <mergeCell ref="DL3:DM3"/>
    <mergeCell ref="DD3:DF5"/>
    <mergeCell ref="CR3:CW4"/>
    <mergeCell ref="CO3:CQ5"/>
    <mergeCell ref="DG3:DG4"/>
    <mergeCell ref="DK4:DK5"/>
    <mergeCell ref="DJ4:DJ5"/>
    <mergeCell ref="DG5:DI5"/>
    <mergeCell ref="A2:DM2"/>
    <mergeCell ref="DL4:DL5"/>
    <mergeCell ref="DM4:DM5"/>
    <mergeCell ref="CR5:CT5"/>
    <mergeCell ref="CU5:CW5"/>
    <mergeCell ref="AA5:AD5"/>
    <mergeCell ref="AE5:AG5"/>
    <mergeCell ref="AH5:AK5"/>
    <mergeCell ref="AL5:AO5"/>
    <mergeCell ref="AT5:AV5"/>
    <mergeCell ref="BD5:BF5"/>
    <mergeCell ref="BG5:BI5"/>
    <mergeCell ref="BJ5:BL5"/>
    <mergeCell ref="BM5:BO5"/>
    <mergeCell ref="BJ4:BL4"/>
    <mergeCell ref="BM4:BR4"/>
    <mergeCell ref="BY16:DG16"/>
    <mergeCell ref="BV5:BX5"/>
    <mergeCell ref="BY5:CA5"/>
    <mergeCell ref="CX4:CZ5"/>
    <mergeCell ref="DA4:DC5"/>
    <mergeCell ref="A6:DM6"/>
    <mergeCell ref="BY3:CH4"/>
    <mergeCell ref="AW5:AY5"/>
    <mergeCell ref="AZ5:BC5"/>
    <mergeCell ref="T5:U5"/>
    <mergeCell ref="W5:X5"/>
    <mergeCell ref="BS4:BX4"/>
    <mergeCell ref="A4:A5"/>
    <mergeCell ref="B4:B5"/>
    <mergeCell ref="C4:D4"/>
    <mergeCell ref="E4:F4"/>
    <mergeCell ref="G4:H4"/>
    <mergeCell ref="I4:N4"/>
    <mergeCell ref="O4:X4"/>
    <mergeCell ref="Y4:AG4"/>
    <mergeCell ref="AH4:AY4"/>
    <mergeCell ref="CL4:CN5"/>
    <mergeCell ref="AZ4:BI4"/>
    <mergeCell ref="CI4:CK5"/>
    <mergeCell ref="BP5:BR5"/>
    <mergeCell ref="BS5:BU5"/>
    <mergeCell ref="CF5:CH5"/>
  </mergeCells>
  <printOptions horizontalCentered="1"/>
  <pageMargins left="0.39370078740157483" right="0.39370078740157483" top="1.1811023622047245" bottom="0.19685039370078741" header="0" footer="0"/>
  <pageSetup paperSize="9" scale="47" fitToHeight="2" orientation="landscape" r:id="rId1"/>
  <headerFooter scaleWithDoc="0"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CC00FF"/>
    <pageSetUpPr fitToPage="1"/>
  </sheetPr>
  <dimension ref="A1:DU19"/>
  <sheetViews>
    <sheetView zoomScale="80" zoomScaleNormal="80" zoomScaleSheetLayoutView="75" zoomScalePageLayoutView="80" workbookViewId="0">
      <pane xSplit="22" ySplit="5" topLeftCell="DQ6" activePane="bottomRight" state="frozen"/>
      <selection pane="topRight" activeCell="W1" sqref="W1"/>
      <selection pane="bottomLeft" activeCell="A7" sqref="A7"/>
      <selection pane="bottomRight" activeCell="DR7" sqref="DR7"/>
    </sheetView>
  </sheetViews>
  <sheetFormatPr defaultRowHeight="12.75" outlineLevelCol="1" x14ac:dyDescent="0.2"/>
  <cols>
    <col min="1" max="1" width="82.4257812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731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731" hidden="1" customWidth="1" outlineLevel="1"/>
    <col min="54" max="67" width="13.140625" style="5" hidden="1" customWidth="1" outlineLevel="1"/>
    <col min="68" max="69" width="14.28515625" style="5" hidden="1" customWidth="1" outlineLevel="1"/>
    <col min="70" max="73" width="13.140625" style="5" hidden="1" customWidth="1" outlineLevel="1"/>
    <col min="74" max="74" width="15.7109375" style="5" customWidth="1" outlineLevel="1"/>
    <col min="75" max="75" width="14.28515625" style="5" hidden="1" customWidth="1" outlineLevel="1"/>
    <col min="76" max="76" width="13.140625" style="5" hidden="1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89" width="15.7109375" style="5" customWidth="1"/>
    <col min="90" max="91" width="14.140625" style="5" hidden="1" customWidth="1"/>
    <col min="92" max="97" width="13.140625" style="5" hidden="1" customWidth="1"/>
    <col min="98" max="98" width="15.7109375" style="5" customWidth="1"/>
    <col min="99" max="100" width="13.140625" style="5" hidden="1" customWidth="1"/>
    <col min="101" max="101" width="15.7109375" style="5" customWidth="1"/>
    <col min="102" max="102" width="15.7109375" style="5" hidden="1" customWidth="1"/>
    <col min="103" max="103" width="13.85546875" style="5" hidden="1" customWidth="1"/>
    <col min="104" max="104" width="15.7109375" style="5" customWidth="1"/>
    <col min="105" max="105" width="14.42578125" style="5" hidden="1" customWidth="1"/>
    <col min="106" max="106" width="14.28515625" style="5" hidden="1" customWidth="1"/>
    <col min="107" max="112" width="13" style="5" hidden="1" customWidth="1"/>
    <col min="113" max="113" width="15.7109375" style="5" customWidth="1"/>
    <col min="114" max="115" width="13" style="5" hidden="1" customWidth="1"/>
    <col min="116" max="116" width="23" style="5" customWidth="1"/>
    <col min="117" max="117" width="15.5703125" style="5" hidden="1" customWidth="1"/>
    <col min="118" max="118" width="13.85546875" style="5" hidden="1" customWidth="1"/>
    <col min="119" max="119" width="24" style="5" customWidth="1"/>
    <col min="120" max="122" width="24.5703125" style="5" customWidth="1"/>
    <col min="123" max="123" width="2.85546875" style="5" customWidth="1"/>
    <col min="124" max="124" width="4.85546875" style="5" customWidth="1"/>
    <col min="125" max="125" width="11" style="5" customWidth="1"/>
    <col min="126" max="16384" width="9.140625" style="5"/>
  </cols>
  <sheetData>
    <row r="1" spans="1:125" x14ac:dyDescent="0.2">
      <c r="BY1" s="5" t="s">
        <v>1493</v>
      </c>
    </row>
    <row r="2" spans="1:125" ht="54.75" customHeight="1" x14ac:dyDescent="0.2">
      <c r="A2" s="6286" t="s">
        <v>4031</v>
      </c>
      <c r="B2" s="6292"/>
      <c r="C2" s="6292"/>
      <c r="D2" s="6292"/>
      <c r="E2" s="6292"/>
      <c r="F2" s="6292"/>
      <c r="G2" s="6292"/>
      <c r="H2" s="6292"/>
      <c r="I2" s="6292"/>
      <c r="J2" s="6292"/>
      <c r="K2" s="6292"/>
      <c r="L2" s="6292"/>
      <c r="M2" s="6292"/>
      <c r="N2" s="6292"/>
      <c r="O2" s="6292"/>
      <c r="P2" s="6292"/>
      <c r="Q2" s="6292"/>
      <c r="R2" s="6292"/>
      <c r="S2" s="6292"/>
      <c r="T2" s="6292"/>
      <c r="U2" s="6292"/>
      <c r="V2" s="6292"/>
      <c r="W2" s="6292"/>
      <c r="X2" s="6292"/>
      <c r="Y2" s="6292"/>
      <c r="Z2" s="6292"/>
      <c r="AA2" s="6292"/>
      <c r="AB2" s="6292"/>
      <c r="AC2" s="6292"/>
      <c r="AD2" s="6292"/>
      <c r="AE2" s="6292"/>
      <c r="AF2" s="6292"/>
      <c r="AG2" s="6292"/>
      <c r="AH2" s="6292"/>
      <c r="AI2" s="6292"/>
      <c r="AJ2" s="6292"/>
      <c r="AK2" s="6292"/>
      <c r="AL2" s="6292"/>
      <c r="AM2" s="6292"/>
      <c r="AN2" s="6292"/>
      <c r="AO2" s="6292"/>
      <c r="AP2" s="6292"/>
      <c r="AQ2" s="6292"/>
      <c r="AR2" s="6292"/>
      <c r="AS2" s="6292"/>
      <c r="AT2" s="6292"/>
      <c r="AU2" s="6292"/>
      <c r="AV2" s="6292"/>
      <c r="AW2" s="6292"/>
      <c r="AX2" s="6292"/>
      <c r="AY2" s="6292"/>
      <c r="AZ2" s="6292"/>
      <c r="BA2" s="6292"/>
      <c r="BB2" s="6292"/>
      <c r="BC2" s="6292"/>
      <c r="BD2" s="6292"/>
      <c r="BE2" s="6292"/>
      <c r="BF2" s="6292"/>
      <c r="BG2" s="6292"/>
      <c r="BH2" s="6292"/>
      <c r="BI2" s="6292"/>
      <c r="BJ2" s="6292"/>
      <c r="BK2" s="6292"/>
      <c r="BL2" s="6292"/>
      <c r="BM2" s="6292"/>
      <c r="BN2" s="6292"/>
      <c r="BO2" s="6292"/>
      <c r="BP2" s="6292"/>
      <c r="BQ2" s="6292"/>
      <c r="BR2" s="6292"/>
      <c r="BS2" s="6292"/>
      <c r="BT2" s="6292"/>
      <c r="BU2" s="6292"/>
      <c r="BV2" s="6292"/>
      <c r="BW2" s="6292"/>
      <c r="BX2" s="6292"/>
      <c r="BY2" s="6292"/>
      <c r="BZ2" s="6292"/>
      <c r="CA2" s="6292"/>
      <c r="CB2" s="6292"/>
      <c r="CC2" s="6292"/>
      <c r="CD2" s="6292"/>
      <c r="CE2" s="6292"/>
      <c r="CF2" s="6292"/>
      <c r="CG2" s="6292"/>
      <c r="CH2" s="6292"/>
      <c r="CI2" s="6292"/>
      <c r="CJ2" s="6292"/>
      <c r="CK2" s="6292"/>
      <c r="CL2" s="6292"/>
      <c r="CM2" s="6292"/>
      <c r="CN2" s="6292"/>
      <c r="CO2" s="6292"/>
      <c r="CP2" s="6292"/>
      <c r="CQ2" s="6292"/>
      <c r="CR2" s="6292"/>
      <c r="CS2" s="6292"/>
      <c r="CT2" s="6292"/>
      <c r="CU2" s="6292"/>
      <c r="CV2" s="6292"/>
      <c r="CW2" s="6292"/>
      <c r="CX2" s="6292"/>
      <c r="CY2" s="6292"/>
      <c r="CZ2" s="6292"/>
      <c r="DA2" s="6292"/>
      <c r="DB2" s="6292"/>
      <c r="DC2" s="6292"/>
      <c r="DD2" s="6292"/>
      <c r="DE2" s="6292"/>
      <c r="DF2" s="6292"/>
      <c r="DG2" s="6292"/>
      <c r="DH2" s="6292"/>
      <c r="DI2" s="6292"/>
      <c r="DJ2" s="6292"/>
      <c r="DK2" s="6292"/>
      <c r="DL2" s="6292"/>
      <c r="DM2" s="6292"/>
      <c r="DN2" s="6292"/>
      <c r="DO2" s="6292"/>
      <c r="DP2" s="6292"/>
      <c r="DQ2" s="6292"/>
      <c r="DR2" s="6293"/>
      <c r="DS2" s="3693"/>
      <c r="DT2" s="1669"/>
    </row>
    <row r="3" spans="1:125" ht="21" customHeight="1" x14ac:dyDescent="0.2">
      <c r="A3" s="1603"/>
      <c r="B3" s="1603"/>
      <c r="C3" s="1603"/>
      <c r="D3" s="1603"/>
      <c r="E3" s="1603"/>
      <c r="F3" s="1603"/>
      <c r="G3" s="1603"/>
      <c r="H3" s="1603"/>
      <c r="I3" s="1603"/>
      <c r="J3" s="1603"/>
      <c r="K3" s="1603"/>
      <c r="L3" s="1603"/>
      <c r="M3" s="1603"/>
      <c r="N3" s="1603"/>
      <c r="O3" s="1603"/>
      <c r="P3" s="1603"/>
      <c r="Q3" s="1603"/>
      <c r="R3" s="1603"/>
      <c r="S3" s="1603"/>
      <c r="T3" s="1603"/>
      <c r="U3" s="1603"/>
      <c r="V3" s="1603"/>
      <c r="W3" s="1603"/>
      <c r="X3" s="1603"/>
      <c r="Y3" s="1603"/>
      <c r="Z3" s="1603"/>
      <c r="AA3" s="1603"/>
      <c r="AB3" s="1603"/>
      <c r="AC3" s="1603"/>
      <c r="AD3" s="1603"/>
      <c r="AE3" s="1603"/>
      <c r="AF3" s="1603"/>
      <c r="AG3" s="1603"/>
      <c r="AH3" s="1603"/>
      <c r="AI3" s="1603"/>
      <c r="AJ3" s="1603"/>
      <c r="AK3" s="1603"/>
      <c r="AL3" s="1603"/>
      <c r="AM3" s="1603"/>
      <c r="AN3" s="1603"/>
      <c r="AO3" s="1603"/>
      <c r="AP3" s="1603"/>
      <c r="AQ3" s="1603"/>
      <c r="AR3" s="1603"/>
      <c r="AS3" s="1603"/>
      <c r="AT3" s="1603"/>
      <c r="AU3" s="1603"/>
      <c r="AV3" s="1603"/>
      <c r="AW3" s="3683"/>
      <c r="AX3" s="1603"/>
      <c r="AY3" s="1603"/>
      <c r="AZ3" s="1603"/>
      <c r="BA3" s="3683"/>
      <c r="BB3" s="1603"/>
      <c r="BC3" s="1603"/>
      <c r="BD3" s="1603"/>
      <c r="BE3" s="1603"/>
      <c r="BF3" s="1603"/>
      <c r="BG3" s="1603"/>
      <c r="BH3" s="1603"/>
      <c r="BI3" s="1603"/>
      <c r="BJ3" s="1603"/>
      <c r="BK3" s="1603"/>
      <c r="BL3" s="1603"/>
      <c r="BM3" s="1603"/>
      <c r="BN3" s="1603"/>
      <c r="BO3" s="1603"/>
      <c r="BP3" s="1603"/>
      <c r="BQ3" s="1603"/>
      <c r="BR3" s="1603"/>
      <c r="BS3" s="1603"/>
      <c r="BT3" s="1603"/>
      <c r="BU3" s="1603"/>
      <c r="BV3" s="5532" t="s">
        <v>3517</v>
      </c>
      <c r="BW3" s="5533"/>
      <c r="BX3" s="5533"/>
      <c r="BY3" s="5533"/>
      <c r="BZ3" s="5533"/>
      <c r="CA3" s="5533"/>
      <c r="CB3" s="5533"/>
      <c r="CC3" s="5533"/>
      <c r="CD3" s="5533"/>
      <c r="CE3" s="5533"/>
      <c r="CF3" s="5533"/>
      <c r="CG3" s="5533"/>
      <c r="CH3" s="5533"/>
      <c r="CI3" s="5533"/>
      <c r="CJ3" s="5533"/>
      <c r="CK3" s="5533"/>
      <c r="CL3" s="5533"/>
      <c r="CM3" s="5534"/>
      <c r="CN3" s="3919"/>
      <c r="CO3" s="3919"/>
      <c r="CP3" s="3919"/>
      <c r="CQ3" s="3919"/>
      <c r="CR3" s="3919"/>
      <c r="CS3" s="3919"/>
      <c r="CT3" s="5532" t="s">
        <v>3608</v>
      </c>
      <c r="CU3" s="5533"/>
      <c r="CV3" s="5534"/>
      <c r="CW3" s="5532" t="s">
        <v>3862</v>
      </c>
      <c r="CX3" s="5533"/>
      <c r="CY3" s="5533"/>
      <c r="CZ3" s="5533"/>
      <c r="DA3" s="5533"/>
      <c r="DB3" s="5534"/>
      <c r="DC3" s="3919"/>
      <c r="DD3" s="3919"/>
      <c r="DE3" s="3919"/>
      <c r="DF3" s="3919"/>
      <c r="DG3" s="3919"/>
      <c r="DH3" s="3919"/>
      <c r="DI3" s="5532" t="s">
        <v>3866</v>
      </c>
      <c r="DJ3" s="5533"/>
      <c r="DK3" s="5534"/>
      <c r="DL3" s="6287" t="s">
        <v>3905</v>
      </c>
      <c r="DM3" s="3919"/>
      <c r="DN3" s="3919"/>
      <c r="DO3" s="5549" t="s">
        <v>1807</v>
      </c>
      <c r="DP3" s="6047"/>
      <c r="DQ3" s="5549" t="s">
        <v>1808</v>
      </c>
      <c r="DR3" s="6047"/>
      <c r="DS3" s="1669"/>
      <c r="DT3" s="1669"/>
    </row>
    <row r="4" spans="1:125" s="2041" customFormat="1" ht="39" customHeight="1" x14ac:dyDescent="0.3">
      <c r="A4" s="5557" t="s">
        <v>525</v>
      </c>
      <c r="B4" s="5522" t="s">
        <v>57</v>
      </c>
      <c r="C4" s="5557" t="s">
        <v>58</v>
      </c>
      <c r="D4" s="5557"/>
      <c r="E4" s="5555" t="s">
        <v>66</v>
      </c>
      <c r="F4" s="5555"/>
      <c r="G4" s="5555" t="s">
        <v>91</v>
      </c>
      <c r="H4" s="5555"/>
      <c r="I4" s="5555" t="s">
        <v>116</v>
      </c>
      <c r="J4" s="5555"/>
      <c r="K4" s="5555"/>
      <c r="L4" s="5555"/>
      <c r="M4" s="5555"/>
      <c r="N4" s="5543" t="s">
        <v>153</v>
      </c>
      <c r="O4" s="5543"/>
      <c r="P4" s="5543"/>
      <c r="Q4" s="5543"/>
      <c r="R4" s="5543"/>
      <c r="S4" s="5543"/>
      <c r="T4" s="5543"/>
      <c r="U4" s="5543"/>
      <c r="V4" s="5543"/>
      <c r="W4" s="5520" t="s">
        <v>227</v>
      </c>
      <c r="X4" s="5520"/>
      <c r="Y4" s="5520"/>
      <c r="Z4" s="5520"/>
      <c r="AA4" s="5520"/>
      <c r="AB4" s="5556"/>
      <c r="AC4" s="5556"/>
      <c r="AD4" s="5556"/>
      <c r="AE4" s="5520" t="s">
        <v>362</v>
      </c>
      <c r="AF4" s="5566"/>
      <c r="AG4" s="5566"/>
      <c r="AH4" s="5566"/>
      <c r="AI4" s="5566"/>
      <c r="AJ4" s="5566"/>
      <c r="AK4" s="5566"/>
      <c r="AL4" s="5566"/>
      <c r="AM4" s="5566"/>
      <c r="AN4" s="5566"/>
      <c r="AO4" s="5566"/>
      <c r="AP4" s="5566"/>
      <c r="AQ4" s="5566"/>
      <c r="AR4" s="5566"/>
      <c r="AS4" s="5566"/>
      <c r="AT4" s="5566"/>
      <c r="AU4" s="5566"/>
      <c r="AV4" s="5520" t="s">
        <v>815</v>
      </c>
      <c r="AW4" s="5520"/>
      <c r="AX4" s="5520"/>
      <c r="AY4" s="5520"/>
      <c r="AZ4" s="5520"/>
      <c r="BA4" s="5520"/>
      <c r="BB4" s="5520"/>
      <c r="BC4" s="5520"/>
      <c r="BD4" s="5520"/>
      <c r="BE4" s="5520"/>
      <c r="BF4" s="5520"/>
      <c r="BG4" s="5520" t="s">
        <v>2037</v>
      </c>
      <c r="BH4" s="5520"/>
      <c r="BI4" s="5520"/>
      <c r="BJ4" s="5520" t="s">
        <v>893</v>
      </c>
      <c r="BK4" s="5521"/>
      <c r="BL4" s="5521"/>
      <c r="BM4" s="5521"/>
      <c r="BN4" s="5521"/>
      <c r="BO4" s="5521"/>
      <c r="BP4" s="5520" t="s">
        <v>1799</v>
      </c>
      <c r="BQ4" s="5520"/>
      <c r="BR4" s="5520"/>
      <c r="BS4" s="5520"/>
      <c r="BT4" s="5520"/>
      <c r="BU4" s="5520"/>
      <c r="BV4" s="5535"/>
      <c r="BW4" s="5536"/>
      <c r="BX4" s="5536"/>
      <c r="BY4" s="5536"/>
      <c r="BZ4" s="5536"/>
      <c r="CA4" s="5536"/>
      <c r="CB4" s="5536"/>
      <c r="CC4" s="5536"/>
      <c r="CD4" s="5536"/>
      <c r="CE4" s="5536"/>
      <c r="CF4" s="5536"/>
      <c r="CG4" s="5536"/>
      <c r="CH4" s="5536"/>
      <c r="CI4" s="5536"/>
      <c r="CJ4" s="5536"/>
      <c r="CK4" s="5536"/>
      <c r="CL4" s="5536"/>
      <c r="CM4" s="5537"/>
      <c r="CN4" s="5532" t="s">
        <v>3614</v>
      </c>
      <c r="CO4" s="5533"/>
      <c r="CP4" s="5534"/>
      <c r="CQ4" s="5532" t="s">
        <v>3615</v>
      </c>
      <c r="CR4" s="5533"/>
      <c r="CS4" s="5534"/>
      <c r="CT4" s="6289"/>
      <c r="CU4" s="6089"/>
      <c r="CV4" s="6290"/>
      <c r="CW4" s="5535"/>
      <c r="CX4" s="5536"/>
      <c r="CY4" s="5536"/>
      <c r="CZ4" s="5536"/>
      <c r="DA4" s="5536"/>
      <c r="DB4" s="5537"/>
      <c r="DC4" s="5532" t="s">
        <v>3867</v>
      </c>
      <c r="DD4" s="5533"/>
      <c r="DE4" s="5534"/>
      <c r="DF4" s="5532" t="s">
        <v>3868</v>
      </c>
      <c r="DG4" s="5533"/>
      <c r="DH4" s="5534"/>
      <c r="DI4" s="6289"/>
      <c r="DJ4" s="6089"/>
      <c r="DK4" s="6290"/>
      <c r="DL4" s="5652"/>
      <c r="DM4" s="3913"/>
      <c r="DN4" s="3913"/>
      <c r="DO4" s="6287" t="s">
        <v>3957</v>
      </c>
      <c r="DP4" s="6287" t="s">
        <v>3958</v>
      </c>
      <c r="DQ4" s="6287" t="s">
        <v>3957</v>
      </c>
      <c r="DR4" s="6287" t="s">
        <v>3958</v>
      </c>
      <c r="DS4" s="3692"/>
      <c r="DT4" s="1748"/>
    </row>
    <row r="5" spans="1:125" s="2041" customFormat="1" ht="54.75" customHeight="1" x14ac:dyDescent="0.3">
      <c r="A5" s="5557"/>
      <c r="B5" s="5522"/>
      <c r="C5" s="3666" t="s">
        <v>60</v>
      </c>
      <c r="D5" s="3666" t="s">
        <v>61</v>
      </c>
      <c r="E5" s="3666" t="s">
        <v>60</v>
      </c>
      <c r="F5" s="3666" t="s">
        <v>65</v>
      </c>
      <c r="G5" s="3666" t="s">
        <v>60</v>
      </c>
      <c r="H5" s="3666" t="s">
        <v>108</v>
      </c>
      <c r="I5" s="3666" t="s">
        <v>59</v>
      </c>
      <c r="J5" s="3666" t="s">
        <v>62</v>
      </c>
      <c r="K5" s="3666" t="s">
        <v>106</v>
      </c>
      <c r="L5" s="3666" t="s">
        <v>60</v>
      </c>
      <c r="M5" s="3666" t="s">
        <v>115</v>
      </c>
      <c r="N5" s="3666" t="s">
        <v>118</v>
      </c>
      <c r="O5" s="3666" t="s">
        <v>93</v>
      </c>
      <c r="P5" s="3666" t="s">
        <v>119</v>
      </c>
      <c r="Q5" s="3666" t="s">
        <v>93</v>
      </c>
      <c r="R5" s="3666" t="s">
        <v>152</v>
      </c>
      <c r="S5" s="5557" t="s">
        <v>23</v>
      </c>
      <c r="T5" s="5557"/>
      <c r="U5" s="3666" t="s">
        <v>106</v>
      </c>
      <c r="V5" s="3666" t="s">
        <v>391</v>
      </c>
      <c r="W5" s="3666" t="s">
        <v>118</v>
      </c>
      <c r="X5" s="3666" t="s">
        <v>93</v>
      </c>
      <c r="Y5" s="5543" t="s">
        <v>119</v>
      </c>
      <c r="Z5" s="5574"/>
      <c r="AA5" s="5574"/>
      <c r="AB5" s="5543" t="s">
        <v>814</v>
      </c>
      <c r="AC5" s="5543"/>
      <c r="AD5" s="5543"/>
      <c r="AE5" s="5543" t="s">
        <v>118</v>
      </c>
      <c r="AF5" s="5573"/>
      <c r="AG5" s="5573"/>
      <c r="AH5" s="5573"/>
      <c r="AI5" s="5543" t="s">
        <v>119</v>
      </c>
      <c r="AJ5" s="5575"/>
      <c r="AK5" s="5575"/>
      <c r="AL5" s="5575"/>
      <c r="AM5" s="3667"/>
      <c r="AN5" s="3667"/>
      <c r="AO5" s="3668"/>
      <c r="AP5" s="5543" t="s">
        <v>844</v>
      </c>
      <c r="AQ5" s="5543"/>
      <c r="AR5" s="5543"/>
      <c r="AS5" s="5543" t="s">
        <v>845</v>
      </c>
      <c r="AT5" s="5522"/>
      <c r="AU5" s="5522"/>
      <c r="AV5" s="5543" t="s">
        <v>118</v>
      </c>
      <c r="AW5" s="5572"/>
      <c r="AX5" s="5572"/>
      <c r="AY5" s="5572"/>
      <c r="AZ5" s="5543" t="s">
        <v>1585</v>
      </c>
      <c r="BA5" s="5543"/>
      <c r="BB5" s="5543"/>
      <c r="BC5" s="5543"/>
      <c r="BD5" s="5543" t="s">
        <v>1516</v>
      </c>
      <c r="BE5" s="5543"/>
      <c r="BF5" s="5543"/>
      <c r="BG5" s="5543" t="s">
        <v>60</v>
      </c>
      <c r="BH5" s="5543"/>
      <c r="BI5" s="5543"/>
      <c r="BJ5" s="5543" t="s">
        <v>1585</v>
      </c>
      <c r="BK5" s="5544"/>
      <c r="BL5" s="5544"/>
      <c r="BM5" s="5528" t="s">
        <v>1674</v>
      </c>
      <c r="BN5" s="5528"/>
      <c r="BO5" s="5528"/>
      <c r="BP5" s="5543" t="s">
        <v>118</v>
      </c>
      <c r="BQ5" s="5543"/>
      <c r="BR5" s="5543"/>
      <c r="BS5" s="5543" t="s">
        <v>1521</v>
      </c>
      <c r="BT5" s="5543"/>
      <c r="BU5" s="5543"/>
      <c r="BV5" s="5529" t="s">
        <v>118</v>
      </c>
      <c r="BW5" s="5545"/>
      <c r="BX5" s="5546"/>
      <c r="BY5" s="5529" t="s">
        <v>1521</v>
      </c>
      <c r="BZ5" s="5545"/>
      <c r="CA5" s="5546"/>
      <c r="CB5" s="1589"/>
      <c r="CC5" s="1589"/>
      <c r="CD5" s="1589"/>
      <c r="CE5" s="1589"/>
      <c r="CF5" s="1589"/>
      <c r="CG5" s="1589"/>
      <c r="CH5" s="1589"/>
      <c r="CI5" s="1589"/>
      <c r="CJ5" s="1589"/>
      <c r="CK5" s="5529" t="s">
        <v>1521</v>
      </c>
      <c r="CL5" s="5545"/>
      <c r="CM5" s="5546"/>
      <c r="CN5" s="5535"/>
      <c r="CO5" s="5536"/>
      <c r="CP5" s="5537"/>
      <c r="CQ5" s="5535"/>
      <c r="CR5" s="5536"/>
      <c r="CS5" s="5537"/>
      <c r="CT5" s="5535"/>
      <c r="CU5" s="5536"/>
      <c r="CV5" s="5537"/>
      <c r="CW5" s="5529" t="s">
        <v>118</v>
      </c>
      <c r="CX5" s="5545"/>
      <c r="CY5" s="5546"/>
      <c r="CZ5" s="5529" t="s">
        <v>1521</v>
      </c>
      <c r="DA5" s="5545"/>
      <c r="DB5" s="5546"/>
      <c r="DC5" s="5535"/>
      <c r="DD5" s="5536"/>
      <c r="DE5" s="5537"/>
      <c r="DF5" s="5535"/>
      <c r="DG5" s="5536"/>
      <c r="DH5" s="5537"/>
      <c r="DI5" s="5535"/>
      <c r="DJ5" s="5536"/>
      <c r="DK5" s="5537"/>
      <c r="DL5" s="5529" t="s">
        <v>118</v>
      </c>
      <c r="DM5" s="5545"/>
      <c r="DN5" s="5546"/>
      <c r="DO5" s="6288"/>
      <c r="DP5" s="6288"/>
      <c r="DQ5" s="6288"/>
      <c r="DR5" s="6288"/>
      <c r="DS5" s="3692"/>
      <c r="DT5" s="1748"/>
    </row>
    <row r="6" spans="1:125" s="2041" customFormat="1" ht="36" customHeight="1" x14ac:dyDescent="0.2">
      <c r="A6" s="6285" t="s">
        <v>3917</v>
      </c>
      <c r="B6" s="6050"/>
      <c r="C6" s="6050"/>
      <c r="D6" s="6050"/>
      <c r="E6" s="6050"/>
      <c r="F6" s="6050"/>
      <c r="G6" s="6050"/>
      <c r="H6" s="6050"/>
      <c r="I6" s="6050"/>
      <c r="J6" s="6050"/>
      <c r="K6" s="6050"/>
      <c r="L6" s="6050"/>
      <c r="M6" s="6050"/>
      <c r="N6" s="6050"/>
      <c r="O6" s="6050"/>
      <c r="P6" s="6050"/>
      <c r="Q6" s="6050"/>
      <c r="R6" s="6050"/>
      <c r="S6" s="6050"/>
      <c r="T6" s="6050"/>
      <c r="U6" s="6050"/>
      <c r="V6" s="6050"/>
      <c r="W6" s="6050"/>
      <c r="X6" s="6050"/>
      <c r="Y6" s="6050"/>
      <c r="Z6" s="6050"/>
      <c r="AA6" s="6050"/>
      <c r="AB6" s="6050"/>
      <c r="AC6" s="6050"/>
      <c r="AD6" s="6050"/>
      <c r="AE6" s="6050"/>
      <c r="AF6" s="6050"/>
      <c r="AG6" s="6050"/>
      <c r="AH6" s="6050"/>
      <c r="AI6" s="6050"/>
      <c r="AJ6" s="6050"/>
      <c r="AK6" s="6050"/>
      <c r="AL6" s="6050"/>
      <c r="AM6" s="6050"/>
      <c r="AN6" s="6050"/>
      <c r="AO6" s="6050"/>
      <c r="AP6" s="6050"/>
      <c r="AQ6" s="6050"/>
      <c r="AR6" s="6050"/>
      <c r="AS6" s="6050"/>
      <c r="AT6" s="6050"/>
      <c r="AU6" s="6050"/>
      <c r="AV6" s="6050"/>
      <c r="AW6" s="6050"/>
      <c r="AX6" s="6050"/>
      <c r="AY6" s="6050"/>
      <c r="AZ6" s="6050"/>
      <c r="BA6" s="6050"/>
      <c r="BB6" s="6050"/>
      <c r="BC6" s="6050"/>
      <c r="BD6" s="6050"/>
      <c r="BE6" s="6050"/>
      <c r="BF6" s="6050"/>
      <c r="BG6" s="6050"/>
      <c r="BH6" s="6050"/>
      <c r="BI6" s="6050"/>
      <c r="BJ6" s="6050"/>
      <c r="BK6" s="6050"/>
      <c r="BL6" s="6050"/>
      <c r="BM6" s="6050"/>
      <c r="BN6" s="6050"/>
      <c r="BO6" s="6050"/>
      <c r="BP6" s="6050"/>
      <c r="BQ6" s="6050"/>
      <c r="BR6" s="6050"/>
      <c r="BS6" s="6050"/>
      <c r="BT6" s="6050"/>
      <c r="BU6" s="6050"/>
      <c r="BV6" s="6050"/>
      <c r="BW6" s="6050"/>
      <c r="BX6" s="6050"/>
      <c r="BY6" s="6050"/>
      <c r="BZ6" s="6050"/>
      <c r="CA6" s="6050"/>
      <c r="CB6" s="6050"/>
      <c r="CC6" s="6050"/>
      <c r="CD6" s="6050"/>
      <c r="CE6" s="6050"/>
      <c r="CF6" s="6050"/>
      <c r="CG6" s="6050"/>
      <c r="CH6" s="6050"/>
      <c r="CI6" s="6050"/>
      <c r="CJ6" s="6050"/>
      <c r="CK6" s="6050"/>
      <c r="CL6" s="6050"/>
      <c r="CM6" s="6050"/>
      <c r="CN6" s="6050"/>
      <c r="CO6" s="6050"/>
      <c r="CP6" s="6050"/>
      <c r="CQ6" s="6050"/>
      <c r="CR6" s="6050"/>
      <c r="CS6" s="6050"/>
      <c r="CT6" s="6050"/>
      <c r="CU6" s="6050"/>
      <c r="CV6" s="6050"/>
      <c r="CW6" s="6050"/>
      <c r="CX6" s="6050"/>
      <c r="CY6" s="6050"/>
      <c r="CZ6" s="6050"/>
      <c r="DA6" s="6050"/>
      <c r="DB6" s="6050"/>
      <c r="DC6" s="6050"/>
      <c r="DD6" s="6050"/>
      <c r="DE6" s="6050"/>
      <c r="DF6" s="6050"/>
      <c r="DG6" s="6050"/>
      <c r="DH6" s="6050"/>
      <c r="DI6" s="6050"/>
      <c r="DJ6" s="6050"/>
      <c r="DK6" s="6050"/>
      <c r="DL6" s="6050"/>
      <c r="DM6" s="6050"/>
      <c r="DN6" s="6050"/>
      <c r="DO6" s="6050"/>
      <c r="DP6" s="6050"/>
      <c r="DQ6" s="6050"/>
      <c r="DR6" s="5675"/>
      <c r="DS6" s="3673"/>
      <c r="DT6" s="1748"/>
    </row>
    <row r="7" spans="1:125" ht="39.950000000000003" customHeight="1" x14ac:dyDescent="0.2">
      <c r="A7" s="3320" t="s">
        <v>3918</v>
      </c>
      <c r="B7" s="1722">
        <f>SUM(B8:B13)</f>
        <v>5305.7000000000007</v>
      </c>
      <c r="C7" s="1723">
        <f>SUM(C8:C13)</f>
        <v>5614.9</v>
      </c>
      <c r="D7" s="1724">
        <f t="shared" ref="D7:D13" si="0">C7/B7*100</f>
        <v>105.82769474338916</v>
      </c>
      <c r="E7" s="1601">
        <f>SUM(E8:E13)-E12</f>
        <v>7113.5999999999995</v>
      </c>
      <c r="F7" s="1601">
        <f>SUM(F8:F13)</f>
        <v>804.76300809147961</v>
      </c>
      <c r="G7" s="1601">
        <v>12529.9</v>
      </c>
      <c r="H7" s="1600"/>
      <c r="I7" s="1601">
        <f>I8+I9+I10+I11+I13</f>
        <v>11227.5098</v>
      </c>
      <c r="J7" s="1601">
        <f>SUM(J8:J13)</f>
        <v>5742.523848867434</v>
      </c>
      <c r="K7" s="1601">
        <f>SUM(K8:K13)-K12</f>
        <v>8383.5600740438877</v>
      </c>
      <c r="L7" s="1601">
        <f>SUM(L8:L13)-L12</f>
        <v>11915.9</v>
      </c>
      <c r="M7" s="1600">
        <f t="shared" ref="M7:M13" si="1">L7/G7*100</f>
        <v>95.099721466252717</v>
      </c>
      <c r="N7" s="1601">
        <v>16741.8</v>
      </c>
      <c r="O7" s="1600">
        <f t="shared" ref="O7:O13" si="2">N7/I7*100</f>
        <v>149.11409830165545</v>
      </c>
      <c r="P7" s="1601">
        <f t="shared" ref="P7:W7" si="3">P8+P9+P10+P11+P13</f>
        <v>12235.25798464</v>
      </c>
      <c r="Q7" s="1601">
        <f t="shared" si="3"/>
        <v>543.11165966081455</v>
      </c>
      <c r="R7" s="1601">
        <f t="shared" si="3"/>
        <v>719.07045660461495</v>
      </c>
      <c r="S7" s="1601">
        <f t="shared" si="3"/>
        <v>12517.6</v>
      </c>
      <c r="T7" s="1601">
        <f t="shared" si="3"/>
        <v>0</v>
      </c>
      <c r="U7" s="1601">
        <f t="shared" si="3"/>
        <v>9500.4</v>
      </c>
      <c r="V7" s="1601">
        <f t="shared" si="3"/>
        <v>0</v>
      </c>
      <c r="W7" s="1601">
        <f t="shared" si="3"/>
        <v>17090.59</v>
      </c>
      <c r="X7" s="1601"/>
      <c r="Y7" s="1601" t="e">
        <f t="shared" ref="Y7:AD7" si="4">Y8+Y9+Y10+Y11+Y13</f>
        <v>#REF!</v>
      </c>
      <c r="Z7" s="1601" t="e">
        <f t="shared" si="4"/>
        <v>#REF!</v>
      </c>
      <c r="AA7" s="1601">
        <f t="shared" si="4"/>
        <v>0</v>
      </c>
      <c r="AB7" s="1601">
        <f t="shared" si="4"/>
        <v>11982.7</v>
      </c>
      <c r="AC7" s="1601">
        <f t="shared" si="4"/>
        <v>11982.7</v>
      </c>
      <c r="AD7" s="1601">
        <f t="shared" si="4"/>
        <v>0</v>
      </c>
      <c r="AE7" s="1601">
        <v>15733.22</v>
      </c>
      <c r="AF7" s="1597" t="e">
        <f t="shared" ref="AF7:AF13" si="5">SUM(AE7/Y7)</f>
        <v>#REF!</v>
      </c>
      <c r="AG7" s="1601">
        <v>15733.22</v>
      </c>
      <c r="AH7" s="1601">
        <v>0</v>
      </c>
      <c r="AI7" s="1601">
        <f>AI8+AI9+AI10+AI11+AI13</f>
        <v>14124.397647353169</v>
      </c>
      <c r="AJ7" s="1597" t="e">
        <f t="shared" ref="AJ7:AJ13" si="6">SUM(AI7/Y7)</f>
        <v>#REF!</v>
      </c>
      <c r="AK7" s="1601">
        <f>AK8+AK9+AK10+AK11+AK13</f>
        <v>14124.397647353169</v>
      </c>
      <c r="AL7" s="1601">
        <f>AL8+AL9+AL10+AL11+AL13</f>
        <v>0</v>
      </c>
      <c r="AM7" s="1601" t="e">
        <f>#REF!</f>
        <v>#REF!</v>
      </c>
      <c r="AN7" s="1601">
        <v>0</v>
      </c>
      <c r="AO7" s="1601" t="e">
        <f t="shared" ref="AO7:AO13" si="7">AM7+AN7</f>
        <v>#REF!</v>
      </c>
      <c r="AP7" s="1601">
        <f t="shared" ref="AP7:AV7" si="8">AP8+AP9+AP10+AP11+AP13</f>
        <v>5196.55</v>
      </c>
      <c r="AQ7" s="1601">
        <f t="shared" si="8"/>
        <v>5196.55</v>
      </c>
      <c r="AR7" s="1601">
        <f t="shared" si="8"/>
        <v>0</v>
      </c>
      <c r="AS7" s="1601">
        <f t="shared" si="8"/>
        <v>7853.18</v>
      </c>
      <c r="AT7" s="1601">
        <f t="shared" si="8"/>
        <v>7853.18</v>
      </c>
      <c r="AU7" s="1601">
        <f t="shared" si="8"/>
        <v>0</v>
      </c>
      <c r="AV7" s="1601">
        <f t="shared" si="8"/>
        <v>16901.098910000001</v>
      </c>
      <c r="AW7" s="1600">
        <f t="shared" ref="AW7:AW10" si="9">SUM(AV7/AI7)</f>
        <v>1.1965890037914055</v>
      </c>
      <c r="AX7" s="1601">
        <f>AX8+AX9+AX10+AX11+AX13</f>
        <v>16901.098910000001</v>
      </c>
      <c r="AY7" s="1601">
        <f>AY8+AY9+AY10+AY11+AY13</f>
        <v>0</v>
      </c>
      <c r="AZ7" s="1601">
        <f>AZ8+AZ9+AZ10+AZ11+AZ13</f>
        <v>13151.996497389971</v>
      </c>
      <c r="BA7" s="1591">
        <f t="shared" ref="BA7:BA13" si="10">SUM(AZ7/AI7)</f>
        <v>0.93115450483331441</v>
      </c>
      <c r="BB7" s="1601">
        <f t="shared" ref="BB7:BX7" si="11">BB8+BB9+BB10+BB11+BB13</f>
        <v>13151.996497389971</v>
      </c>
      <c r="BC7" s="1601">
        <f t="shared" si="11"/>
        <v>0</v>
      </c>
      <c r="BD7" s="1601">
        <f t="shared" si="11"/>
        <v>12825.269999999999</v>
      </c>
      <c r="BE7" s="1601">
        <f t="shared" si="11"/>
        <v>12825.269999999999</v>
      </c>
      <c r="BF7" s="1601">
        <f t="shared" si="11"/>
        <v>0</v>
      </c>
      <c r="BG7" s="1601">
        <f t="shared" si="11"/>
        <v>12698.41</v>
      </c>
      <c r="BH7" s="1601">
        <f t="shared" si="11"/>
        <v>12698.41</v>
      </c>
      <c r="BI7" s="1601">
        <f t="shared" si="11"/>
        <v>0</v>
      </c>
      <c r="BJ7" s="1601">
        <f t="shared" si="11"/>
        <v>14090.9</v>
      </c>
      <c r="BK7" s="1601">
        <f t="shared" si="11"/>
        <v>14090.9</v>
      </c>
      <c r="BL7" s="1601">
        <f t="shared" si="11"/>
        <v>0</v>
      </c>
      <c r="BM7" s="1601">
        <f t="shared" si="11"/>
        <v>12930.99</v>
      </c>
      <c r="BN7" s="1601">
        <f t="shared" si="11"/>
        <v>12930.99</v>
      </c>
      <c r="BO7" s="1601">
        <f t="shared" si="11"/>
        <v>0</v>
      </c>
      <c r="BP7" s="1601">
        <f t="shared" si="11"/>
        <v>17091.93</v>
      </c>
      <c r="BQ7" s="1601">
        <f t="shared" si="11"/>
        <v>17091.93</v>
      </c>
      <c r="BR7" s="1601">
        <f t="shared" si="11"/>
        <v>0</v>
      </c>
      <c r="BS7" s="1601">
        <f t="shared" si="11"/>
        <v>15059.4956506622</v>
      </c>
      <c r="BT7" s="1601">
        <f t="shared" si="11"/>
        <v>15059.4956506622</v>
      </c>
      <c r="BU7" s="1601">
        <f t="shared" si="11"/>
        <v>0</v>
      </c>
      <c r="BV7" s="1601">
        <f t="shared" si="11"/>
        <v>16085.392793077295</v>
      </c>
      <c r="BW7" s="1601">
        <f t="shared" si="11"/>
        <v>16085.392793077295</v>
      </c>
      <c r="BX7" s="1601">
        <f t="shared" si="11"/>
        <v>0</v>
      </c>
      <c r="BY7" s="3685"/>
      <c r="BZ7" s="3669"/>
      <c r="CA7" s="3669"/>
      <c r="CB7" s="3669"/>
      <c r="CC7" s="3669"/>
      <c r="CD7" s="3669"/>
      <c r="CE7" s="3669"/>
      <c r="CF7" s="3669"/>
      <c r="CG7" s="3669"/>
      <c r="CH7" s="3669"/>
      <c r="CI7" s="3669"/>
      <c r="CJ7" s="3669"/>
      <c r="CK7" s="1601">
        <f t="shared" ref="CK7:DS7" si="12">CK8+CK9+CK10+CK11+CK13</f>
        <v>15290.806349980245</v>
      </c>
      <c r="CL7" s="1601">
        <f t="shared" si="12"/>
        <v>15290.806349980245</v>
      </c>
      <c r="CM7" s="1601">
        <f t="shared" si="12"/>
        <v>0</v>
      </c>
      <c r="CN7" s="1601">
        <f t="shared" si="12"/>
        <v>6110.6350000000002</v>
      </c>
      <c r="CO7" s="1601">
        <f t="shared" si="12"/>
        <v>6110.6350000000002</v>
      </c>
      <c r="CP7" s="1601">
        <f t="shared" si="12"/>
        <v>0</v>
      </c>
      <c r="CQ7" s="1601">
        <f t="shared" si="12"/>
        <v>9780.5049999999992</v>
      </c>
      <c r="CR7" s="1601">
        <f t="shared" si="12"/>
        <v>9780.5049999999992</v>
      </c>
      <c r="CS7" s="1601">
        <f t="shared" si="12"/>
        <v>0</v>
      </c>
      <c r="CT7" s="1601">
        <f t="shared" si="12"/>
        <v>13097.359999999999</v>
      </c>
      <c r="CU7" s="1601">
        <f t="shared" si="12"/>
        <v>13097.359999999999</v>
      </c>
      <c r="CV7" s="1601">
        <f t="shared" si="12"/>
        <v>0</v>
      </c>
      <c r="CW7" s="1601">
        <f t="shared" si="12"/>
        <v>18499.427536177158</v>
      </c>
      <c r="CX7" s="1601">
        <f t="shared" si="12"/>
        <v>18499.427536177158</v>
      </c>
      <c r="CY7" s="1601">
        <f t="shared" si="12"/>
        <v>0</v>
      </c>
      <c r="CZ7" s="1601">
        <f t="shared" si="12"/>
        <v>16799.413373074774</v>
      </c>
      <c r="DA7" s="1601">
        <f t="shared" si="12"/>
        <v>16799.413373074774</v>
      </c>
      <c r="DB7" s="1601">
        <f t="shared" si="12"/>
        <v>0</v>
      </c>
      <c r="DC7" s="1601">
        <f t="shared" si="12"/>
        <v>6688.5259999999989</v>
      </c>
      <c r="DD7" s="1601">
        <f t="shared" si="12"/>
        <v>6688.5259999999989</v>
      </c>
      <c r="DE7" s="1601">
        <f t="shared" si="12"/>
        <v>0</v>
      </c>
      <c r="DF7" s="1601">
        <f t="shared" si="12"/>
        <v>10186</v>
      </c>
      <c r="DG7" s="1601">
        <f t="shared" si="12"/>
        <v>10186</v>
      </c>
      <c r="DH7" s="1601">
        <f t="shared" si="12"/>
        <v>0</v>
      </c>
      <c r="DI7" s="1601">
        <f t="shared" si="12"/>
        <v>13944.24</v>
      </c>
      <c r="DJ7" s="1601">
        <f t="shared" si="12"/>
        <v>13944.24</v>
      </c>
      <c r="DK7" s="1601">
        <f t="shared" si="12"/>
        <v>0</v>
      </c>
      <c r="DL7" s="3682">
        <f t="shared" si="12"/>
        <v>20197.962452367254</v>
      </c>
      <c r="DM7" s="2346">
        <f t="shared" si="12"/>
        <v>20197.962452367254</v>
      </c>
      <c r="DN7" s="2346">
        <f t="shared" si="12"/>
        <v>0</v>
      </c>
      <c r="DO7" s="3682">
        <f t="shared" si="12"/>
        <v>491.54706950431915</v>
      </c>
      <c r="DP7" s="3682">
        <f t="shared" ref="DP7:DQ7" si="13">DP8+DP9+DP10+DP11+DP13</f>
        <v>397.84000000000003</v>
      </c>
      <c r="DQ7" s="2346">
        <f t="shared" si="13"/>
        <v>413.55468000000002</v>
      </c>
      <c r="DR7" s="2346">
        <f t="shared" ref="DR7" si="14">DR8+DR9+DR10+DR11+DR13</f>
        <v>413.56</v>
      </c>
      <c r="DS7" s="3212">
        <f t="shared" si="12"/>
        <v>0</v>
      </c>
      <c r="DT7" s="3686"/>
    </row>
    <row r="8" spans="1:125" ht="39.950000000000003" customHeight="1" x14ac:dyDescent="0.2">
      <c r="A8" s="3214" t="s">
        <v>2</v>
      </c>
      <c r="B8" s="3669">
        <v>1184.9000000000001</v>
      </c>
      <c r="C8" s="3193">
        <v>1102.8</v>
      </c>
      <c r="D8" s="1725">
        <f t="shared" si="0"/>
        <v>93.071145244324399</v>
      </c>
      <c r="E8" s="3193">
        <v>1090</v>
      </c>
      <c r="F8" s="1725">
        <f t="shared" ref="F8:F13" si="15">E8/C8*100</f>
        <v>98.839318099383391</v>
      </c>
      <c r="G8" s="3193" t="e">
        <f>Аморт!#REF!</f>
        <v>#REF!</v>
      </c>
      <c r="H8" s="1725" t="e">
        <f t="shared" ref="H8:H13" si="16">G8/E8*100</f>
        <v>#REF!</v>
      </c>
      <c r="I8" s="1597">
        <v>2025</v>
      </c>
      <c r="J8" s="1597">
        <v>1460.8</v>
      </c>
      <c r="K8" s="1597">
        <v>2699.1</v>
      </c>
      <c r="L8" s="1597">
        <v>3595</v>
      </c>
      <c r="M8" s="1600" t="e">
        <f t="shared" si="1"/>
        <v>#REF!</v>
      </c>
      <c r="N8" s="1597" t="e">
        <f>Аморт!#REF!</f>
        <v>#REF!</v>
      </c>
      <c r="O8" s="1600" t="e">
        <f t="shared" si="2"/>
        <v>#REF!</v>
      </c>
      <c r="P8" s="1597">
        <v>2025</v>
      </c>
      <c r="Q8" s="1600">
        <f t="shared" ref="Q8:Q13" si="17">P8/I8*100</f>
        <v>100</v>
      </c>
      <c r="R8" s="1600">
        <f t="shared" ref="R8:R13" si="18">P8/L8*100</f>
        <v>56.328233657858142</v>
      </c>
      <c r="S8" s="1597">
        <v>2025</v>
      </c>
      <c r="T8" s="1597"/>
      <c r="U8" s="1597">
        <v>2658.5</v>
      </c>
      <c r="V8" s="1597"/>
      <c r="W8" s="1597">
        <v>3595</v>
      </c>
      <c r="X8" s="1597"/>
      <c r="Y8" s="1597" t="e">
        <f>Аморт!G17</f>
        <v>#REF!</v>
      </c>
      <c r="Z8" s="1597" t="e">
        <f t="shared" ref="Z8:Z13" si="19">Y8</f>
        <v>#REF!</v>
      </c>
      <c r="AA8" s="1597"/>
      <c r="AB8" s="1597">
        <f>SUM(Аморт!L17)</f>
        <v>3567.6</v>
      </c>
      <c r="AC8" s="1597">
        <f t="shared" ref="AC8" si="20">AB8</f>
        <v>3567.6</v>
      </c>
      <c r="AD8" s="1597">
        <v>0</v>
      </c>
      <c r="AE8" s="1597">
        <v>3562.4</v>
      </c>
      <c r="AF8" s="1597" t="e">
        <f t="shared" si="5"/>
        <v>#REF!</v>
      </c>
      <c r="AG8" s="1597">
        <v>3562.4</v>
      </c>
      <c r="AH8" s="1597">
        <v>0</v>
      </c>
      <c r="AI8" s="1597">
        <f>Аморт!O17</f>
        <v>3562.4</v>
      </c>
      <c r="AJ8" s="1597" t="e">
        <f t="shared" si="6"/>
        <v>#REF!</v>
      </c>
      <c r="AK8" s="1597">
        <f>AI8</f>
        <v>3562.4</v>
      </c>
      <c r="AL8" s="1597"/>
      <c r="AM8" s="1601" t="e">
        <f>#REF!</f>
        <v>#REF!</v>
      </c>
      <c r="AN8" s="1601">
        <v>0</v>
      </c>
      <c r="AO8" s="1601" t="e">
        <f t="shared" si="7"/>
        <v>#REF!</v>
      </c>
      <c r="AP8" s="1597">
        <f>SUM(Аморт!Q17)</f>
        <v>1790.52</v>
      </c>
      <c r="AQ8" s="1597">
        <f t="shared" ref="AQ8" si="21">AP8</f>
        <v>1790.52</v>
      </c>
      <c r="AR8" s="1597">
        <v>0</v>
      </c>
      <c r="AS8" s="1597">
        <f>SUM(Аморт!R17)</f>
        <v>2713.05</v>
      </c>
      <c r="AT8" s="1597">
        <f t="shared" ref="AT8" si="22">AS8</f>
        <v>2713.05</v>
      </c>
      <c r="AU8" s="1597">
        <v>0</v>
      </c>
      <c r="AV8" s="1597">
        <f>SUM(Аморт!T17)</f>
        <v>3562.4</v>
      </c>
      <c r="AW8" s="1600">
        <f t="shared" si="9"/>
        <v>1</v>
      </c>
      <c r="AX8" s="1597">
        <f>SUM(AV8)</f>
        <v>3562.4</v>
      </c>
      <c r="AY8" s="1597">
        <v>0</v>
      </c>
      <c r="AZ8" s="1597">
        <f>SUM(Аморт!U17)</f>
        <v>3562.4</v>
      </c>
      <c r="BA8" s="1591">
        <f t="shared" si="10"/>
        <v>1</v>
      </c>
      <c r="BB8" s="1597">
        <f>SUM(AZ8)</f>
        <v>3562.4</v>
      </c>
      <c r="BC8" s="1597">
        <v>0</v>
      </c>
      <c r="BD8" s="1597">
        <f t="shared" ref="BD8:BD13" si="23">BE8+BF8</f>
        <v>3912.88</v>
      </c>
      <c r="BE8" s="1597">
        <v>3912.88</v>
      </c>
      <c r="BF8" s="1597">
        <v>0</v>
      </c>
      <c r="BG8" s="1597">
        <f t="shared" ref="BG8:BG11" si="24">BH8+BI8</f>
        <v>3925.45</v>
      </c>
      <c r="BH8" s="1597">
        <v>3925.45</v>
      </c>
      <c r="BI8" s="1597">
        <v>0</v>
      </c>
      <c r="BJ8" s="1597">
        <f t="shared" ref="BJ8:BJ11" si="25">BK8+BL8</f>
        <v>3912.88</v>
      </c>
      <c r="BK8" s="1597">
        <v>3912.88</v>
      </c>
      <c r="BL8" s="1597">
        <v>0</v>
      </c>
      <c r="BM8" s="1597">
        <f t="shared" ref="BM8:BM11" si="26">BN8+BO8</f>
        <v>3937.42</v>
      </c>
      <c r="BN8" s="1597">
        <v>3937.42</v>
      </c>
      <c r="BO8" s="1597">
        <v>0</v>
      </c>
      <c r="BP8" s="1597">
        <f t="shared" ref="BP8:BP11" si="27">BQ8+BR8</f>
        <v>3925.45</v>
      </c>
      <c r="BQ8" s="1597">
        <v>3925.45</v>
      </c>
      <c r="BR8" s="1597">
        <v>0</v>
      </c>
      <c r="BS8" s="1597">
        <f t="shared" ref="BS8:BS11" si="28">BT8+BU8</f>
        <v>3925.45</v>
      </c>
      <c r="BT8" s="1597">
        <f>Аморт!AM17</f>
        <v>3925.45</v>
      </c>
      <c r="BU8" s="1597">
        <v>0</v>
      </c>
      <c r="BV8" s="1597">
        <f t="shared" ref="BV8" si="29">BW8+BX8</f>
        <v>3937.42</v>
      </c>
      <c r="BW8" s="1597">
        <f>SUM(Аморт!AS17)</f>
        <v>3937.42</v>
      </c>
      <c r="BX8" s="1597">
        <v>0</v>
      </c>
      <c r="BY8" s="3685" t="e">
        <f>#REF!</f>
        <v>#REF!</v>
      </c>
      <c r="BZ8" s="3669"/>
      <c r="CA8" s="3669"/>
      <c r="CB8" s="3669"/>
      <c r="CC8" s="3669"/>
      <c r="CD8" s="3669"/>
      <c r="CE8" s="3669"/>
      <c r="CF8" s="3669"/>
      <c r="CG8" s="3669"/>
      <c r="CH8" s="3669"/>
      <c r="CI8" s="3669"/>
      <c r="CJ8" s="3669"/>
      <c r="CK8" s="1597">
        <f t="shared" ref="CK8" si="30">CL8+CM8</f>
        <v>3937.42</v>
      </c>
      <c r="CL8" s="1597">
        <f>SUM(Аморт!AT17)</f>
        <v>3937.42</v>
      </c>
      <c r="CM8" s="1597">
        <v>0</v>
      </c>
      <c r="CN8" s="1597">
        <f t="shared" ref="CN8:CN11" si="31">CO8+CP8</f>
        <v>1973.89</v>
      </c>
      <c r="CO8" s="1597">
        <f>SUM(Аморт!AV17)</f>
        <v>1973.89</v>
      </c>
      <c r="CP8" s="1597">
        <f>SUM(Аморт!AW17)</f>
        <v>0</v>
      </c>
      <c r="CQ8" s="1597">
        <f t="shared" ref="CQ8:CQ11" si="32">CR8+CS8</f>
        <v>2982.19</v>
      </c>
      <c r="CR8" s="1597">
        <f>SUM(Аморт!AY17)</f>
        <v>2982.19</v>
      </c>
      <c r="CS8" s="1597">
        <f>SUM(Аморт!AZ17)</f>
        <v>0</v>
      </c>
      <c r="CT8" s="1597">
        <f t="shared" ref="CT8:CT11" si="33">CU8+CV8</f>
        <v>4007.33</v>
      </c>
      <c r="CU8" s="1597">
        <f>SUM(Аморт!BB17)</f>
        <v>4007.33</v>
      </c>
      <c r="CV8" s="1597">
        <f>SUM(Аморт!BC17)</f>
        <v>0</v>
      </c>
      <c r="CW8" s="1597">
        <f t="shared" ref="CW8:CW11" si="34">CX8+CY8</f>
        <v>4007.33</v>
      </c>
      <c r="CX8" s="1597">
        <f>SUM(Аморт!BD17)</f>
        <v>4007.33</v>
      </c>
      <c r="CY8" s="1597">
        <f>SUM(Аморт!BF17)</f>
        <v>0</v>
      </c>
      <c r="CZ8" s="1597">
        <f t="shared" ref="CZ8:CZ11" si="35">DA8+DB8</f>
        <v>3997.9905385636621</v>
      </c>
      <c r="DA8" s="1597">
        <f>SUM(Аморт!BE17)</f>
        <v>3997.9905385636621</v>
      </c>
      <c r="DB8" s="1597">
        <v>0</v>
      </c>
      <c r="DC8" s="1597">
        <f t="shared" ref="DC8:DC11" si="36">DD8+DE8</f>
        <v>2057.556</v>
      </c>
      <c r="DD8" s="1597">
        <f>SUM(Аморт!BJ17)</f>
        <v>2057.556</v>
      </c>
      <c r="DE8" s="1597">
        <v>0</v>
      </c>
      <c r="DF8" s="1597">
        <f t="shared" ref="DF8:DF11" si="37">DG8+DH8</f>
        <v>3093.25</v>
      </c>
      <c r="DG8" s="1597">
        <f>SUM(Аморт!BM17)</f>
        <v>3093.25</v>
      </c>
      <c r="DH8" s="1597">
        <v>0</v>
      </c>
      <c r="DI8" s="1597">
        <f t="shared" ref="DI8:DI11" si="38">DJ8+DK8</f>
        <v>4128.96</v>
      </c>
      <c r="DJ8" s="1597">
        <f>SUM(Аморт!BP17)</f>
        <v>4128.96</v>
      </c>
      <c r="DK8" s="1597">
        <v>0</v>
      </c>
      <c r="DL8" s="1597">
        <f t="shared" ref="DL8:DL11" si="39">DM8+DN8</f>
        <v>4128.96</v>
      </c>
      <c r="DM8" s="3662">
        <f>SUM(Аморт!BR17)</f>
        <v>4128.96</v>
      </c>
      <c r="DN8" s="3662">
        <v>0</v>
      </c>
      <c r="DO8" s="1597">
        <f>SUM(DO14*DU8)</f>
        <v>100.48430344827588</v>
      </c>
      <c r="DP8" s="1597">
        <v>0</v>
      </c>
      <c r="DQ8" s="3209">
        <f>SUM(DP8*(1+0.05)*0.99)</f>
        <v>0</v>
      </c>
      <c r="DR8" s="2343">
        <v>0</v>
      </c>
      <c r="DS8" s="3211">
        <v>0</v>
      </c>
      <c r="DT8" s="3686"/>
      <c r="DU8" s="5">
        <f>SUM(DL8/DL7)</f>
        <v>0.20442458043663089</v>
      </c>
    </row>
    <row r="9" spans="1:125" s="2730" customFormat="1" ht="39.950000000000003" customHeight="1" x14ac:dyDescent="0.2">
      <c r="A9" s="3214" t="s">
        <v>3</v>
      </c>
      <c r="B9" s="3669">
        <v>160.5</v>
      </c>
      <c r="C9" s="3193">
        <v>209.5</v>
      </c>
      <c r="D9" s="1725">
        <f t="shared" si="0"/>
        <v>130.52959501557632</v>
      </c>
      <c r="E9" s="3193">
        <v>596.1</v>
      </c>
      <c r="F9" s="1725">
        <f t="shared" si="15"/>
        <v>284.53460620525061</v>
      </c>
      <c r="G9" s="3193" t="e">
        <f>G7-G8-G10-G11-G13</f>
        <v>#REF!</v>
      </c>
      <c r="H9" s="1725" t="e">
        <f t="shared" si="16"/>
        <v>#REF!</v>
      </c>
      <c r="I9" s="1597">
        <v>735.9</v>
      </c>
      <c r="J9" s="1597">
        <v>344.8</v>
      </c>
      <c r="K9" s="1597">
        <v>224.8</v>
      </c>
      <c r="L9" s="1597">
        <v>250.9</v>
      </c>
      <c r="M9" s="1600" t="e">
        <f t="shared" si="1"/>
        <v>#REF!</v>
      </c>
      <c r="N9" s="1597" t="e">
        <f>N7-N8-N10-N11-N13</f>
        <v>#REF!</v>
      </c>
      <c r="O9" s="1600" t="e">
        <f t="shared" si="2"/>
        <v>#REF!</v>
      </c>
      <c r="P9" s="1597">
        <f>I9*1.049</f>
        <v>771.95909999999992</v>
      </c>
      <c r="Q9" s="1600">
        <f t="shared" si="17"/>
        <v>104.89999999999999</v>
      </c>
      <c r="R9" s="1600">
        <f t="shared" si="18"/>
        <v>307.6760063770426</v>
      </c>
      <c r="S9" s="1597">
        <v>772</v>
      </c>
      <c r="T9" s="1597"/>
      <c r="U9" s="1597">
        <v>114.9</v>
      </c>
      <c r="V9" s="1597"/>
      <c r="W9" s="1597">
        <v>842</v>
      </c>
      <c r="X9" s="1597"/>
      <c r="Y9" s="1597">
        <v>0</v>
      </c>
      <c r="Z9" s="1597">
        <f t="shared" si="19"/>
        <v>0</v>
      </c>
      <c r="AA9" s="1597"/>
      <c r="AB9" s="1597">
        <f>SUM(AC9:AD9)</f>
        <v>50.4</v>
      </c>
      <c r="AC9" s="1597">
        <v>50.4</v>
      </c>
      <c r="AD9" s="1597">
        <v>0</v>
      </c>
      <c r="AE9" s="1597">
        <v>730</v>
      </c>
      <c r="AF9" s="1597"/>
      <c r="AG9" s="1597">
        <v>730</v>
      </c>
      <c r="AH9" s="1597">
        <v>0</v>
      </c>
      <c r="AI9" s="1597">
        <v>0</v>
      </c>
      <c r="AJ9" s="1597"/>
      <c r="AK9" s="1597">
        <f>AI9</f>
        <v>0</v>
      </c>
      <c r="AL9" s="1597"/>
      <c r="AM9" s="1601" t="e">
        <f>#REF!</f>
        <v>#REF!</v>
      </c>
      <c r="AN9" s="1601">
        <v>0</v>
      </c>
      <c r="AO9" s="1601" t="e">
        <f t="shared" si="7"/>
        <v>#REF!</v>
      </c>
      <c r="AP9" s="1597">
        <f>SUM(AQ9:AR9)</f>
        <v>0</v>
      </c>
      <c r="AQ9" s="1597">
        <v>0</v>
      </c>
      <c r="AR9" s="1597">
        <v>0</v>
      </c>
      <c r="AS9" s="1597">
        <f>SUM(AT9:AU9)</f>
        <v>0</v>
      </c>
      <c r="AT9" s="1597">
        <v>0</v>
      </c>
      <c r="AU9" s="1597">
        <v>0</v>
      </c>
      <c r="AV9" s="1597">
        <v>168.81</v>
      </c>
      <c r="AW9" s="1600"/>
      <c r="AX9" s="1597">
        <v>168.81</v>
      </c>
      <c r="AY9" s="1597">
        <v>0</v>
      </c>
      <c r="AZ9" s="1597">
        <f>SUM(BB9:BC9)</f>
        <v>168.81355932203391</v>
      </c>
      <c r="BA9" s="1591"/>
      <c r="BB9" s="1597">
        <f>'Кап Рем'!G13</f>
        <v>168.81355932203391</v>
      </c>
      <c r="BC9" s="1597">
        <v>0</v>
      </c>
      <c r="BD9" s="1597">
        <f t="shared" si="23"/>
        <v>335.88</v>
      </c>
      <c r="BE9" s="1597">
        <v>335.88</v>
      </c>
      <c r="BF9" s="1597">
        <v>0</v>
      </c>
      <c r="BG9" s="1597">
        <f t="shared" si="24"/>
        <v>174.81</v>
      </c>
      <c r="BH9" s="1597">
        <v>174.81</v>
      </c>
      <c r="BI9" s="1597">
        <v>0</v>
      </c>
      <c r="BJ9" s="1597">
        <f t="shared" si="25"/>
        <v>188.42</v>
      </c>
      <c r="BK9" s="1597">
        <v>188.42</v>
      </c>
      <c r="BL9" s="1597">
        <v>0</v>
      </c>
      <c r="BM9" s="1597">
        <f t="shared" si="26"/>
        <v>431.05</v>
      </c>
      <c r="BN9" s="1597">
        <v>431.05</v>
      </c>
      <c r="BO9" s="1597">
        <v>0</v>
      </c>
      <c r="BP9" s="1597">
        <f t="shared" si="27"/>
        <v>1202.8599999999999</v>
      </c>
      <c r="BQ9" s="1597">
        <v>1202.8599999999999</v>
      </c>
      <c r="BR9" s="1597">
        <v>0</v>
      </c>
      <c r="BS9" s="1597">
        <f>ремонты!E40</f>
        <v>752.84633000000008</v>
      </c>
      <c r="BT9" s="1597">
        <f>BS9</f>
        <v>752.84633000000008</v>
      </c>
      <c r="BU9" s="1597">
        <v>0</v>
      </c>
      <c r="BV9" s="1597">
        <f>SUM('рем программа'!I36:J36)</f>
        <v>779.6024885682001</v>
      </c>
      <c r="BW9" s="1597">
        <f>BV9</f>
        <v>779.6024885682001</v>
      </c>
      <c r="BX9" s="1597">
        <v>0</v>
      </c>
      <c r="BY9" s="3685" t="s">
        <v>3491</v>
      </c>
      <c r="BZ9" s="3669"/>
      <c r="CA9" s="3669"/>
      <c r="CB9" s="3669"/>
      <c r="CC9" s="3669"/>
      <c r="CD9" s="3669"/>
      <c r="CE9" s="3669"/>
      <c r="CF9" s="3669"/>
      <c r="CG9" s="3669"/>
      <c r="CH9" s="3669"/>
      <c r="CI9" s="3669"/>
      <c r="CJ9" s="3669"/>
      <c r="CK9" s="1597">
        <f>SUM('рем программа'!K36)</f>
        <v>767.67740270100012</v>
      </c>
      <c r="CL9" s="1597">
        <f>SUM(CK9)</f>
        <v>767.67740270100012</v>
      </c>
      <c r="CM9" s="1597">
        <v>0</v>
      </c>
      <c r="CN9" s="1597">
        <f t="shared" si="31"/>
        <v>267.86</v>
      </c>
      <c r="CO9" s="1597">
        <f>SUM('рем программа'!L36)</f>
        <v>267.86</v>
      </c>
      <c r="CP9" s="1597">
        <v>0</v>
      </c>
      <c r="CQ9" s="1597">
        <f t="shared" si="32"/>
        <v>480.74</v>
      </c>
      <c r="CR9" s="1597">
        <f>SUM('рем программа'!M36)</f>
        <v>480.74</v>
      </c>
      <c r="CS9" s="1597">
        <v>0</v>
      </c>
      <c r="CT9" s="1597">
        <f t="shared" si="33"/>
        <v>678.24</v>
      </c>
      <c r="CU9" s="1597">
        <f>SUM('рем программа'!N36)</f>
        <v>678.24</v>
      </c>
      <c r="CV9" s="1597">
        <v>0</v>
      </c>
      <c r="CW9" s="1597">
        <f t="shared" si="34"/>
        <v>1321.4629494000001</v>
      </c>
      <c r="CX9" s="1597">
        <f>SUM('рем программа'!O36)</f>
        <v>1321.4629494000001</v>
      </c>
      <c r="CY9" s="1597">
        <v>0</v>
      </c>
      <c r="CZ9" s="1597">
        <f t="shared" si="35"/>
        <v>788.89335264432009</v>
      </c>
      <c r="DA9" s="1597">
        <f>SUM('рем программа'!P36)</f>
        <v>788.89335264432009</v>
      </c>
      <c r="DB9" s="1597">
        <v>0</v>
      </c>
      <c r="DC9" s="1597">
        <f t="shared" si="36"/>
        <v>114.47499999999999</v>
      </c>
      <c r="DD9" s="1597">
        <f>SUM('рем программа'!Q36)</f>
        <v>114.47499999999999</v>
      </c>
      <c r="DE9" s="1597">
        <v>0</v>
      </c>
      <c r="DF9" s="1597">
        <f t="shared" si="37"/>
        <v>243.505</v>
      </c>
      <c r="DG9" s="1597">
        <f>SUM('рем программа'!R36)</f>
        <v>243.505</v>
      </c>
      <c r="DH9" s="1597">
        <v>0</v>
      </c>
      <c r="DI9" s="1597">
        <f t="shared" si="38"/>
        <v>716.42</v>
      </c>
      <c r="DJ9" s="1597">
        <f>SUM('рем программа'!S36)</f>
        <v>716.42</v>
      </c>
      <c r="DK9" s="1597">
        <v>0</v>
      </c>
      <c r="DL9" s="1597">
        <f t="shared" si="39"/>
        <v>1361.1137760000001</v>
      </c>
      <c r="DM9" s="3662">
        <f>SUM('рем программа'!T36)</f>
        <v>1361.1137760000001</v>
      </c>
      <c r="DN9" s="3662">
        <v>0</v>
      </c>
      <c r="DO9" s="1597">
        <f>SUM(DO14*DU9)</f>
        <v>33.124702030344828</v>
      </c>
      <c r="DP9" s="1597">
        <v>17.440000000000001</v>
      </c>
      <c r="DQ9" s="3209">
        <f>SUM(DP9*(1+0.05)*0.99)</f>
        <v>18.128880000000002</v>
      </c>
      <c r="DR9" s="2343">
        <v>18.13</v>
      </c>
      <c r="DS9" s="3211">
        <v>0</v>
      </c>
      <c r="DT9" s="3687"/>
      <c r="DU9" s="2730">
        <f>SUM(DL9/DL7)</f>
        <v>6.7388667505938152E-2</v>
      </c>
    </row>
    <row r="10" spans="1:125" ht="39.950000000000003" customHeight="1" x14ac:dyDescent="0.2">
      <c r="A10" s="3214" t="s">
        <v>4</v>
      </c>
      <c r="B10" s="3669">
        <v>2374.9</v>
      </c>
      <c r="C10" s="3193">
        <v>2766.9</v>
      </c>
      <c r="D10" s="1725">
        <f t="shared" si="0"/>
        <v>116.50595814560614</v>
      </c>
      <c r="E10" s="3193">
        <v>2966.8</v>
      </c>
      <c r="F10" s="1725">
        <f t="shared" si="15"/>
        <v>107.22469189345478</v>
      </c>
      <c r="G10" s="3193">
        <v>4252.5</v>
      </c>
      <c r="H10" s="1725">
        <f t="shared" si="16"/>
        <v>143.33625455035727</v>
      </c>
      <c r="I10" s="1597">
        <v>4819.8999999999996</v>
      </c>
      <c r="J10" s="1597">
        <v>2154.4</v>
      </c>
      <c r="K10" s="1597">
        <v>3078.5</v>
      </c>
      <c r="L10" s="1597">
        <v>4557.5</v>
      </c>
      <c r="M10" s="1600">
        <f t="shared" si="1"/>
        <v>107.17225161669606</v>
      </c>
      <c r="N10" s="1597">
        <f>ЗП!AF18</f>
        <v>6581.9040000000005</v>
      </c>
      <c r="O10" s="1600">
        <f t="shared" si="2"/>
        <v>136.55685802610014</v>
      </c>
      <c r="P10" s="1597">
        <f>ЗП!AP18</f>
        <v>5162.1343200000001</v>
      </c>
      <c r="Q10" s="1600">
        <f t="shared" si="17"/>
        <v>107.10044440756033</v>
      </c>
      <c r="R10" s="1600">
        <f t="shared" si="18"/>
        <v>113.26679802523314</v>
      </c>
      <c r="S10" s="1597">
        <v>5162.1000000000004</v>
      </c>
      <c r="T10" s="1597"/>
      <c r="U10" s="1597">
        <v>3781.1</v>
      </c>
      <c r="V10" s="1597"/>
      <c r="W10" s="1597">
        <v>6778.1</v>
      </c>
      <c r="X10" s="1597"/>
      <c r="Y10" s="1597">
        <f>ЗП!U35</f>
        <v>4303.5898752000003</v>
      </c>
      <c r="Z10" s="1597">
        <f t="shared" si="19"/>
        <v>4303.5898752000003</v>
      </c>
      <c r="AA10" s="1597"/>
      <c r="AB10" s="1597">
        <v>4690</v>
      </c>
      <c r="AC10" s="1597">
        <f>SUM(AB10)</f>
        <v>4690</v>
      </c>
      <c r="AD10" s="1597">
        <v>0</v>
      </c>
      <c r="AE10" s="1597">
        <v>6778.1</v>
      </c>
      <c r="AF10" s="1597">
        <f t="shared" si="5"/>
        <v>1.5749874399184012</v>
      </c>
      <c r="AG10" s="1597">
        <v>6778.1</v>
      </c>
      <c r="AH10" s="1597">
        <v>0</v>
      </c>
      <c r="AI10" s="1597">
        <f>ЗП!BB35</f>
        <v>6064.6157894736843</v>
      </c>
      <c r="AJ10" s="1597">
        <f t="shared" si="6"/>
        <v>1.4091992883480431</v>
      </c>
      <c r="AK10" s="1597">
        <f>AI10</f>
        <v>6064.6157894736843</v>
      </c>
      <c r="AL10" s="1597">
        <f>AA10*1.05</f>
        <v>0</v>
      </c>
      <c r="AM10" s="1601" t="e">
        <f>#REF!</f>
        <v>#REF!</v>
      </c>
      <c r="AN10" s="1601">
        <v>0</v>
      </c>
      <c r="AO10" s="1601" t="e">
        <f t="shared" si="7"/>
        <v>#REF!</v>
      </c>
      <c r="AP10" s="1597">
        <f>SUM(ЗП!BG35)</f>
        <v>2164</v>
      </c>
      <c r="AQ10" s="1597">
        <f>SUM(AP10)</f>
        <v>2164</v>
      </c>
      <c r="AR10" s="1597">
        <v>0</v>
      </c>
      <c r="AS10" s="1597">
        <f>SUM(ЗП!BK35)</f>
        <v>3339</v>
      </c>
      <c r="AT10" s="1597">
        <f>SUM(AS10)</f>
        <v>3339</v>
      </c>
      <c r="AU10" s="1597">
        <v>0</v>
      </c>
      <c r="AV10" s="1597">
        <f>SUM(ЗП!BO35)</f>
        <v>7455.91</v>
      </c>
      <c r="AW10" s="1600">
        <f t="shared" si="9"/>
        <v>1.2294117647058822</v>
      </c>
      <c r="AX10" s="1597">
        <f>SUM(AV10)</f>
        <v>7455.91</v>
      </c>
      <c r="AY10" s="1597">
        <v>0</v>
      </c>
      <c r="AZ10" s="1597">
        <f>SUM(ЗП!BS35)</f>
        <v>5210.6322580645156</v>
      </c>
      <c r="BA10" s="1591">
        <f t="shared" si="10"/>
        <v>0.85918588067995627</v>
      </c>
      <c r="BB10" s="1597">
        <f>SUM(AZ10)</f>
        <v>5210.6322580645156</v>
      </c>
      <c r="BC10" s="1597">
        <v>0</v>
      </c>
      <c r="BD10" s="1597">
        <f t="shared" si="23"/>
        <v>4641.97</v>
      </c>
      <c r="BE10" s="1597">
        <v>4641.97</v>
      </c>
      <c r="BF10" s="1597">
        <v>0</v>
      </c>
      <c r="BG10" s="1597">
        <f t="shared" si="24"/>
        <v>4788.53</v>
      </c>
      <c r="BH10" s="1597">
        <v>4788.53</v>
      </c>
      <c r="BI10" s="1597">
        <v>0</v>
      </c>
      <c r="BJ10" s="1597">
        <f t="shared" si="25"/>
        <v>5815.7</v>
      </c>
      <c r="BK10" s="1597">
        <v>5815.7</v>
      </c>
      <c r="BL10" s="1597">
        <v>0</v>
      </c>
      <c r="BM10" s="1597">
        <f t="shared" si="26"/>
        <v>4408.58</v>
      </c>
      <c r="BN10" s="1597">
        <v>4408.58</v>
      </c>
      <c r="BO10" s="1597">
        <v>0</v>
      </c>
      <c r="BP10" s="1597">
        <f t="shared" si="27"/>
        <v>6087.71</v>
      </c>
      <c r="BQ10" s="1597">
        <v>6087.71</v>
      </c>
      <c r="BR10" s="1597">
        <v>0</v>
      </c>
      <c r="BS10" s="1597">
        <f t="shared" si="28"/>
        <v>5548.7836799999995</v>
      </c>
      <c r="BT10" s="1597">
        <f>ЗП!CR35</f>
        <v>5548.7836799999995</v>
      </c>
      <c r="BU10" s="1597">
        <v>0</v>
      </c>
      <c r="BV10" s="1597">
        <f t="shared" ref="BV10" si="40">BW10+BX10</f>
        <v>5804.0277292799992</v>
      </c>
      <c r="BW10" s="1597">
        <f>SUM(ЗП!CU35)</f>
        <v>5804.0277292799992</v>
      </c>
      <c r="BX10" s="1597">
        <v>0</v>
      </c>
      <c r="BY10" s="3685" t="e">
        <f>#REF!</f>
        <v>#REF!</v>
      </c>
      <c r="BZ10" s="3669"/>
      <c r="CA10" s="3669"/>
      <c r="CB10" s="3669"/>
      <c r="CC10" s="3669"/>
      <c r="CD10" s="3669"/>
      <c r="CE10" s="3669"/>
      <c r="CF10" s="3669"/>
      <c r="CG10" s="3669"/>
      <c r="CH10" s="3669"/>
      <c r="CI10" s="3669"/>
      <c r="CJ10" s="3669"/>
      <c r="CK10" s="1597">
        <f>SUM(ЗП!CX35)</f>
        <v>5658.0947184960005</v>
      </c>
      <c r="CL10" s="1597">
        <f>SUM(CK10)</f>
        <v>5658.0947184960005</v>
      </c>
      <c r="CM10" s="1597">
        <v>0</v>
      </c>
      <c r="CN10" s="1597">
        <f t="shared" si="31"/>
        <v>1961.26</v>
      </c>
      <c r="CO10" s="1597">
        <f>SUM(ЗП!DA35)</f>
        <v>1961.26</v>
      </c>
      <c r="CP10" s="1597">
        <v>0</v>
      </c>
      <c r="CQ10" s="1597">
        <f t="shared" si="32"/>
        <v>3269.41</v>
      </c>
      <c r="CR10" s="1597">
        <f>SUM(ЗП!DD35)</f>
        <v>3269.41</v>
      </c>
      <c r="CS10" s="1597">
        <v>0</v>
      </c>
      <c r="CT10" s="1597">
        <f t="shared" si="33"/>
        <v>4222.8999999999996</v>
      </c>
      <c r="CU10" s="1597">
        <f>SUM(ЗП!DG35)</f>
        <v>4222.8999999999996</v>
      </c>
      <c r="CV10" s="1597">
        <v>0</v>
      </c>
      <c r="CW10" s="1597">
        <f t="shared" si="34"/>
        <v>6833.2385088000001</v>
      </c>
      <c r="CX10" s="1597">
        <f>SUM(ЗП!DJ35)</f>
        <v>6833.2385088000001</v>
      </c>
      <c r="CY10" s="1597">
        <v>0</v>
      </c>
      <c r="CZ10" s="1597">
        <f t="shared" si="35"/>
        <v>5814.4365549754757</v>
      </c>
      <c r="DA10" s="1597">
        <f>SUM(ЗП!DM35)</f>
        <v>5814.4365549754757</v>
      </c>
      <c r="DB10" s="1597">
        <v>0</v>
      </c>
      <c r="DC10" s="1597">
        <f t="shared" si="36"/>
        <v>2158.2399999999998</v>
      </c>
      <c r="DD10" s="1597">
        <f>SUM(ЗП!DR35)</f>
        <v>2158.2399999999998</v>
      </c>
      <c r="DE10" s="1597">
        <v>0</v>
      </c>
      <c r="DF10" s="1597">
        <f t="shared" si="37"/>
        <v>3286.0949999999998</v>
      </c>
      <c r="DG10" s="1597">
        <f>SUM(ЗП!DU35)</f>
        <v>3286.0949999999998</v>
      </c>
      <c r="DH10" s="1597">
        <v>0</v>
      </c>
      <c r="DI10" s="1597">
        <f t="shared" si="38"/>
        <v>4396.04</v>
      </c>
      <c r="DJ10" s="1597">
        <f>SUM(ЗП!DX35)</f>
        <v>4396.04</v>
      </c>
      <c r="DK10" s="1597">
        <v>0</v>
      </c>
      <c r="DL10" s="1597">
        <f t="shared" si="39"/>
        <v>7233.7224960000012</v>
      </c>
      <c r="DM10" s="3662">
        <f>SUM(ЗП!EA35)</f>
        <v>7233.7224960000012</v>
      </c>
      <c r="DN10" s="3662">
        <v>0</v>
      </c>
      <c r="DO10" s="1597">
        <f>SUM(DO14*DU10)</f>
        <v>176.04325698206901</v>
      </c>
      <c r="DP10" s="1597">
        <v>212.63</v>
      </c>
      <c r="DQ10" s="3209">
        <f>SUM(DP10*(1+0.05)*0.99)</f>
        <v>221.028885</v>
      </c>
      <c r="DR10" s="2343">
        <v>221.03</v>
      </c>
      <c r="DS10" s="3211">
        <v>0</v>
      </c>
      <c r="DT10" s="3686"/>
      <c r="DU10" s="5">
        <f>SUM(DL10/DL7)</f>
        <v>0.35814119929469374</v>
      </c>
    </row>
    <row r="11" spans="1:125" ht="39.950000000000003" customHeight="1" x14ac:dyDescent="0.2">
      <c r="A11" s="3214" t="s">
        <v>113</v>
      </c>
      <c r="B11" s="3669">
        <v>606.79999999999995</v>
      </c>
      <c r="C11" s="3193">
        <v>710.5</v>
      </c>
      <c r="D11" s="1725">
        <f t="shared" si="0"/>
        <v>117.08965062623599</v>
      </c>
      <c r="E11" s="3193">
        <v>765</v>
      </c>
      <c r="F11" s="1725">
        <f t="shared" si="15"/>
        <v>107.67065446868402</v>
      </c>
      <c r="G11" s="3193">
        <f>G10*0.302</f>
        <v>1284.2549999999999</v>
      </c>
      <c r="H11" s="1725">
        <f t="shared" si="16"/>
        <v>167.87647058823526</v>
      </c>
      <c r="I11" s="1597">
        <f>I10*30.2/100</f>
        <v>1455.6097999999997</v>
      </c>
      <c r="J11" s="1597">
        <v>697.7</v>
      </c>
      <c r="K11" s="1597">
        <v>895.2</v>
      </c>
      <c r="L11" s="1597">
        <v>1327.3</v>
      </c>
      <c r="M11" s="1600">
        <f t="shared" si="1"/>
        <v>103.35174867919534</v>
      </c>
      <c r="N11" s="1597">
        <f>N10*0.302</f>
        <v>1987.7350080000001</v>
      </c>
      <c r="O11" s="1600">
        <f t="shared" si="2"/>
        <v>136.55685802610014</v>
      </c>
      <c r="P11" s="1597">
        <f>P10*30.2/100</f>
        <v>1558.9645646399999</v>
      </c>
      <c r="Q11" s="1600">
        <f t="shared" si="17"/>
        <v>107.10044440756035</v>
      </c>
      <c r="R11" s="1600">
        <f t="shared" si="18"/>
        <v>117.45382088751602</v>
      </c>
      <c r="S11" s="1597">
        <v>1559</v>
      </c>
      <c r="T11" s="1597"/>
      <c r="U11" s="1597">
        <v>1128.4000000000001</v>
      </c>
      <c r="V11" s="1597"/>
      <c r="W11" s="1597">
        <v>2046.99</v>
      </c>
      <c r="X11" s="1597"/>
      <c r="Y11" s="1597">
        <f>Y10*U12</f>
        <v>1284.3275277500413</v>
      </c>
      <c r="Z11" s="1597">
        <f t="shared" si="19"/>
        <v>1284.3275277500413</v>
      </c>
      <c r="AA11" s="1597"/>
      <c r="AB11" s="1597">
        <v>1397.5</v>
      </c>
      <c r="AC11" s="1597">
        <f>SUM(AB11)</f>
        <v>1397.5</v>
      </c>
      <c r="AD11" s="1597">
        <v>0</v>
      </c>
      <c r="AE11" s="1597">
        <v>2040.21</v>
      </c>
      <c r="AF11" s="1597">
        <f t="shared" si="5"/>
        <v>1.5885433862607905</v>
      </c>
      <c r="AG11" s="1597">
        <v>2040.21</v>
      </c>
      <c r="AH11" s="1597">
        <v>0</v>
      </c>
      <c r="AI11" s="1597">
        <f>AI10*Y12</f>
        <v>1809.8734381111599</v>
      </c>
      <c r="AJ11" s="1597">
        <f t="shared" si="6"/>
        <v>1.4091992883480431</v>
      </c>
      <c r="AK11" s="1597">
        <f>AK10*Z12</f>
        <v>1809.8734381111599</v>
      </c>
      <c r="AL11" s="1597">
        <f>AA11*1.05</f>
        <v>0</v>
      </c>
      <c r="AM11" s="1601" t="e">
        <f>#REF!</f>
        <v>#REF!</v>
      </c>
      <c r="AN11" s="1601">
        <v>0</v>
      </c>
      <c r="AO11" s="1601" t="e">
        <f t="shared" si="7"/>
        <v>#REF!</v>
      </c>
      <c r="AP11" s="1597">
        <v>0</v>
      </c>
      <c r="AQ11" s="1597">
        <f>SUM(AP11)</f>
        <v>0</v>
      </c>
      <c r="AR11" s="1597">
        <v>0</v>
      </c>
      <c r="AS11" s="1597">
        <v>0</v>
      </c>
      <c r="AT11" s="1597">
        <f>SUM(AS11)</f>
        <v>0</v>
      </c>
      <c r="AU11" s="1597">
        <v>0</v>
      </c>
      <c r="AV11" s="1598">
        <f t="shared" ref="AV11" si="41">SUM(AX11+AY11)</f>
        <v>2244.2289099999998</v>
      </c>
      <c r="AW11" s="1600">
        <f t="shared" ref="AW11:AW12" si="42">SUM(AV11/AI11)</f>
        <v>1.2399921799737261</v>
      </c>
      <c r="AX11" s="1597">
        <f>SUM(AX10*AE12)</f>
        <v>2244.2289099999998</v>
      </c>
      <c r="AY11" s="1597">
        <f>SUM(AY10*AE12)</f>
        <v>0</v>
      </c>
      <c r="AZ11" s="1598">
        <f t="shared" ref="AZ11" si="43">SUM(BB11+BC11)</f>
        <v>1555.0177038427971</v>
      </c>
      <c r="BA11" s="1591">
        <f t="shared" si="10"/>
        <v>0.85918588067995616</v>
      </c>
      <c r="BB11" s="1597">
        <f>BB10*BB12</f>
        <v>1555.0177038427971</v>
      </c>
      <c r="BC11" s="1597">
        <f>SUM(BC10*AV12)</f>
        <v>0</v>
      </c>
      <c r="BD11" s="1597">
        <f t="shared" si="23"/>
        <v>1416.48</v>
      </c>
      <c r="BE11" s="1597">
        <v>1416.48</v>
      </c>
      <c r="BF11" s="1597">
        <v>0</v>
      </c>
      <c r="BG11" s="1597">
        <f t="shared" si="24"/>
        <v>1457.64</v>
      </c>
      <c r="BH11" s="1597">
        <v>1457.64</v>
      </c>
      <c r="BI11" s="1597">
        <v>0</v>
      </c>
      <c r="BJ11" s="1597">
        <f t="shared" si="25"/>
        <v>1735.4</v>
      </c>
      <c r="BK11" s="1597">
        <v>1735.4</v>
      </c>
      <c r="BL11" s="1597">
        <v>0</v>
      </c>
      <c r="BM11" s="1597">
        <f t="shared" si="26"/>
        <v>1336.36</v>
      </c>
      <c r="BN11" s="1597">
        <v>1336.36</v>
      </c>
      <c r="BO11" s="1597">
        <v>0</v>
      </c>
      <c r="BP11" s="1597">
        <f t="shared" si="27"/>
        <v>1816.57</v>
      </c>
      <c r="BQ11" s="1597">
        <v>1816.57</v>
      </c>
      <c r="BR11" s="1597">
        <v>0</v>
      </c>
      <c r="BS11" s="1597">
        <f t="shared" si="28"/>
        <v>1689.0630409155212</v>
      </c>
      <c r="BT11" s="1597">
        <f>BT10*BG12</f>
        <v>1689.0630409155212</v>
      </c>
      <c r="BU11" s="1597">
        <v>0</v>
      </c>
      <c r="BV11" s="1597">
        <f>SUM(BV10*BV12)</f>
        <v>1759.3580010571702</v>
      </c>
      <c r="BW11" s="1597">
        <f>SUM(BW10*BW12)</f>
        <v>1759.3580010571702</v>
      </c>
      <c r="BX11" s="1597">
        <v>0</v>
      </c>
      <c r="BY11" s="3685" t="s">
        <v>239</v>
      </c>
      <c r="BZ11" s="3669"/>
      <c r="CA11" s="3669"/>
      <c r="CB11" s="3669"/>
      <c r="CC11" s="3669"/>
      <c r="CD11" s="3669"/>
      <c r="CE11" s="3669"/>
      <c r="CF11" s="3669"/>
      <c r="CG11" s="3669"/>
      <c r="CH11" s="3669"/>
      <c r="CI11" s="3669"/>
      <c r="CJ11" s="3669"/>
      <c r="CK11" s="1597">
        <f>SUM(CK10*CK12)</f>
        <v>1722.3375828215571</v>
      </c>
      <c r="CL11" s="1597">
        <f>SUM(CL10*CL12)</f>
        <v>1722.3375828215571</v>
      </c>
      <c r="CM11" s="1597">
        <v>0</v>
      </c>
      <c r="CN11" s="1597">
        <f t="shared" si="31"/>
        <v>593.83000000000004</v>
      </c>
      <c r="CO11" s="1597">
        <v>593.83000000000004</v>
      </c>
      <c r="CP11" s="1597">
        <v>0</v>
      </c>
      <c r="CQ11" s="1597">
        <f t="shared" si="32"/>
        <v>995.61</v>
      </c>
      <c r="CR11" s="1597">
        <v>995.61</v>
      </c>
      <c r="CS11" s="1597">
        <v>0</v>
      </c>
      <c r="CT11" s="1597">
        <f t="shared" si="33"/>
        <v>1286.17</v>
      </c>
      <c r="CU11" s="1597">
        <v>1286.17</v>
      </c>
      <c r="CV11" s="1597">
        <v>0</v>
      </c>
      <c r="CW11" s="1597">
        <f t="shared" si="34"/>
        <v>2080.04</v>
      </c>
      <c r="CX11" s="1597">
        <v>2080.04</v>
      </c>
      <c r="CY11" s="1597">
        <v>0</v>
      </c>
      <c r="CZ11" s="1597">
        <f t="shared" si="35"/>
        <v>1769.928412267325</v>
      </c>
      <c r="DA11" s="1597">
        <f>SUM(DA10*DA12)</f>
        <v>1769.928412267325</v>
      </c>
      <c r="DB11" s="1597">
        <f>SUM(DB10*DB12)</f>
        <v>0</v>
      </c>
      <c r="DC11" s="1597">
        <f t="shared" si="36"/>
        <v>656.89499999999998</v>
      </c>
      <c r="DD11" s="1597">
        <v>656.89499999999998</v>
      </c>
      <c r="DE11" s="1597">
        <v>0</v>
      </c>
      <c r="DF11" s="1597">
        <f t="shared" si="37"/>
        <v>998.29</v>
      </c>
      <c r="DG11" s="1597">
        <v>998.29</v>
      </c>
      <c r="DH11" s="1597">
        <v>0</v>
      </c>
      <c r="DI11" s="1597">
        <f t="shared" si="38"/>
        <v>1329.04</v>
      </c>
      <c r="DJ11" s="1597">
        <v>1329.04</v>
      </c>
      <c r="DK11" s="1597">
        <v>0</v>
      </c>
      <c r="DL11" s="1597">
        <f t="shared" si="39"/>
        <v>2201.94</v>
      </c>
      <c r="DM11" s="3662">
        <v>2201.94</v>
      </c>
      <c r="DN11" s="3662">
        <v>0</v>
      </c>
      <c r="DO11" s="1597">
        <f>SUM(DO14*DU11)</f>
        <v>53.587442633228846</v>
      </c>
      <c r="DP11" s="1597">
        <v>64.28</v>
      </c>
      <c r="DQ11" s="3209">
        <f>SUM(DP11*(1+0.05)*0.99)</f>
        <v>66.819059999999993</v>
      </c>
      <c r="DR11" s="2343">
        <v>66.819999999999993</v>
      </c>
      <c r="DS11" s="3211">
        <f>SUM(DS10*DS12)</f>
        <v>0</v>
      </c>
      <c r="DT11" s="3686"/>
      <c r="DU11" s="5">
        <f>SUM(DL11/DL7)</f>
        <v>0.10901792718908272</v>
      </c>
    </row>
    <row r="12" spans="1:125" s="1731" customFormat="1" ht="39.950000000000003" customHeight="1" x14ac:dyDescent="0.2">
      <c r="A12" s="3199" t="s">
        <v>308</v>
      </c>
      <c r="B12" s="3196"/>
      <c r="C12" s="1725"/>
      <c r="D12" s="1725"/>
      <c r="E12" s="1599">
        <f>E11/E10</f>
        <v>0.25785357961439936</v>
      </c>
      <c r="F12" s="1599">
        <f t="shared" ref="F12:Z12" si="44">F11/F10</f>
        <v>1.0041591406545833</v>
      </c>
      <c r="G12" s="1599">
        <f t="shared" si="44"/>
        <v>0.30199999999999999</v>
      </c>
      <c r="H12" s="1599"/>
      <c r="I12" s="1599">
        <f t="shared" si="44"/>
        <v>0.30199999999999999</v>
      </c>
      <c r="J12" s="1599">
        <f t="shared" si="44"/>
        <v>0.32384886743408836</v>
      </c>
      <c r="K12" s="1599">
        <f t="shared" si="44"/>
        <v>0.29079096962806561</v>
      </c>
      <c r="L12" s="1599">
        <f t="shared" si="44"/>
        <v>0.29123422929237519</v>
      </c>
      <c r="M12" s="1599">
        <f t="shared" si="44"/>
        <v>0.96435175262375905</v>
      </c>
      <c r="N12" s="1599">
        <f t="shared" si="44"/>
        <v>0.30199999999999999</v>
      </c>
      <c r="O12" s="1599">
        <f t="shared" si="44"/>
        <v>1</v>
      </c>
      <c r="P12" s="1599">
        <f t="shared" si="44"/>
        <v>0.30199999999999999</v>
      </c>
      <c r="Q12" s="1599">
        <f t="shared" si="44"/>
        <v>1.0000000000000002</v>
      </c>
      <c r="R12" s="1599">
        <f t="shared" si="44"/>
        <v>1.0369660212461387</v>
      </c>
      <c r="S12" s="1599">
        <f t="shared" si="44"/>
        <v>0.30200887235814877</v>
      </c>
      <c r="T12" s="1599"/>
      <c r="U12" s="1599">
        <f t="shared" si="44"/>
        <v>0.29843167332257814</v>
      </c>
      <c r="V12" s="1599"/>
      <c r="W12" s="1599">
        <f t="shared" si="44"/>
        <v>0.30200056062908481</v>
      </c>
      <c r="X12" s="1599"/>
      <c r="Y12" s="1599">
        <f t="shared" si="44"/>
        <v>0.29843167332257814</v>
      </c>
      <c r="Z12" s="1599">
        <f t="shared" si="44"/>
        <v>0.29843167332257814</v>
      </c>
      <c r="AA12" s="1599"/>
      <c r="AB12" s="1599">
        <f t="shared" ref="AB12:AC12" si="45">AB11/AB10</f>
        <v>0.29797441364605542</v>
      </c>
      <c r="AC12" s="1599">
        <f t="shared" si="45"/>
        <v>0.29797441364605542</v>
      </c>
      <c r="AD12" s="1599"/>
      <c r="AE12" s="1599">
        <v>0.30099999999999999</v>
      </c>
      <c r="AF12" s="1727"/>
      <c r="AG12" s="1599">
        <v>0.30099999999999999</v>
      </c>
      <c r="AH12" s="1599">
        <v>0</v>
      </c>
      <c r="AI12" s="1599">
        <f>AI11/AI10</f>
        <v>0.29843167332257814</v>
      </c>
      <c r="AJ12" s="1727"/>
      <c r="AK12" s="1599">
        <f>AK11/AK10</f>
        <v>0.29843167332257814</v>
      </c>
      <c r="AL12" s="1599"/>
      <c r="AM12" s="3417" t="e">
        <f>#REF!</f>
        <v>#REF!</v>
      </c>
      <c r="AN12" s="3417">
        <v>0</v>
      </c>
      <c r="AO12" s="3417" t="e">
        <f t="shared" si="7"/>
        <v>#REF!</v>
      </c>
      <c r="AP12" s="1599">
        <f>AP11/AP10</f>
        <v>0</v>
      </c>
      <c r="AQ12" s="1599">
        <f t="shared" ref="AQ12" si="46">AQ11/AQ10</f>
        <v>0</v>
      </c>
      <c r="AR12" s="1599"/>
      <c r="AS12" s="1599">
        <f>AS11/AS10</f>
        <v>0</v>
      </c>
      <c r="AT12" s="1599">
        <f t="shared" ref="AT12" si="47">AT11/AT10</f>
        <v>0</v>
      </c>
      <c r="AU12" s="1599"/>
      <c r="AV12" s="1599">
        <f>SUM(AV11/AV10)</f>
        <v>0.30099999999999999</v>
      </c>
      <c r="AW12" s="1599">
        <f t="shared" si="42"/>
        <v>1.0086060794044662</v>
      </c>
      <c r="AX12" s="1599">
        <f>SUM(AX11/AX10)</f>
        <v>0.30099999999999999</v>
      </c>
      <c r="AY12" s="1599"/>
      <c r="AZ12" s="1599">
        <f>Y12</f>
        <v>0.29843167332257814</v>
      </c>
      <c r="BA12" s="1591">
        <f t="shared" si="10"/>
        <v>1</v>
      </c>
      <c r="BB12" s="1599">
        <f>Z12</f>
        <v>0.29843167332257814</v>
      </c>
      <c r="BC12" s="1599"/>
      <c r="BD12" s="1599">
        <f>BD11/BD10</f>
        <v>0.30514630641731849</v>
      </c>
      <c r="BE12" s="1599">
        <f t="shared" ref="BE12" si="48">BE11/BE10</f>
        <v>0.30514630641731849</v>
      </c>
      <c r="BF12" s="1599">
        <v>0</v>
      </c>
      <c r="BG12" s="1599">
        <f>BG11/BG10</f>
        <v>0.30440239488945464</v>
      </c>
      <c r="BH12" s="1599">
        <f t="shared" ref="BH12" si="49">BH11/BH10</f>
        <v>0.30440239488945464</v>
      </c>
      <c r="BI12" s="1599">
        <v>0</v>
      </c>
      <c r="BJ12" s="1599">
        <f>BJ11/BJ10</f>
        <v>0.29839916089206803</v>
      </c>
      <c r="BK12" s="1599">
        <f t="shared" ref="BK12" si="50">BK11/BK10</f>
        <v>0.29839916089206803</v>
      </c>
      <c r="BL12" s="1599">
        <v>0</v>
      </c>
      <c r="BM12" s="1599">
        <f>BM11/BM10</f>
        <v>0.30312708400437327</v>
      </c>
      <c r="BN12" s="1599">
        <f t="shared" ref="BN12" si="51">BN11/BN10</f>
        <v>0.30312708400437327</v>
      </c>
      <c r="BO12" s="1599">
        <v>0</v>
      </c>
      <c r="BP12" s="1599">
        <f>BP11/BP10</f>
        <v>0.29839956239702614</v>
      </c>
      <c r="BQ12" s="1599">
        <f t="shared" ref="BQ12" si="52">BQ11/BQ10</f>
        <v>0.29839956239702614</v>
      </c>
      <c r="BR12" s="1599">
        <v>0</v>
      </c>
      <c r="BS12" s="1599">
        <f>BS11/BS10</f>
        <v>0.30440239488945464</v>
      </c>
      <c r="BT12" s="1599">
        <f t="shared" ref="BT12" si="53">BT11/BT10</f>
        <v>0.30440239488945464</v>
      </c>
      <c r="BU12" s="1599">
        <v>0</v>
      </c>
      <c r="BV12" s="1599">
        <f>SUM(BM12)</f>
        <v>0.30312708400437327</v>
      </c>
      <c r="BW12" s="1599">
        <f>SUM(BV12)</f>
        <v>0.30312708400437327</v>
      </c>
      <c r="BX12" s="1599">
        <v>0</v>
      </c>
      <c r="BY12" s="3688"/>
      <c r="BZ12" s="3196"/>
      <c r="CA12" s="3196"/>
      <c r="CB12" s="3196"/>
      <c r="CC12" s="3196"/>
      <c r="CD12" s="3196"/>
      <c r="CE12" s="3196"/>
      <c r="CF12" s="3196"/>
      <c r="CG12" s="3196"/>
      <c r="CH12" s="3196"/>
      <c r="CI12" s="3196"/>
      <c r="CJ12" s="3196"/>
      <c r="CK12" s="1599">
        <f>SUM(BS12)</f>
        <v>0.30440239488945464</v>
      </c>
      <c r="CL12" s="1599">
        <f>SUM(CK12)</f>
        <v>0.30440239488945464</v>
      </c>
      <c r="CM12" s="1599">
        <v>0</v>
      </c>
      <c r="CN12" s="1599">
        <f>SUM(CN11/CN10)</f>
        <v>0.30277984560945514</v>
      </c>
      <c r="CO12" s="1599">
        <f t="shared" ref="CO12:CR12" si="54">SUM(CO11/CO10)</f>
        <v>0.30277984560945514</v>
      </c>
      <c r="CP12" s="1599">
        <v>0</v>
      </c>
      <c r="CQ12" s="1599">
        <f t="shared" si="54"/>
        <v>0.30452283439519673</v>
      </c>
      <c r="CR12" s="1599">
        <f t="shared" si="54"/>
        <v>0.30452283439519673</v>
      </c>
      <c r="CS12" s="1599">
        <v>0</v>
      </c>
      <c r="CT12" s="1599">
        <f t="shared" ref="CT12:CU12" si="55">SUM(CT11/CT10)</f>
        <v>0.30457031897511194</v>
      </c>
      <c r="CU12" s="1599">
        <f t="shared" si="55"/>
        <v>0.30457031897511194</v>
      </c>
      <c r="CV12" s="1599">
        <v>0</v>
      </c>
      <c r="CW12" s="1599">
        <f t="shared" ref="CW12:CX12" si="56">SUM(CW11/CW10)</f>
        <v>0.30440032165148007</v>
      </c>
      <c r="CX12" s="1599">
        <f t="shared" si="56"/>
        <v>0.30440032165148007</v>
      </c>
      <c r="CY12" s="1599">
        <v>0</v>
      </c>
      <c r="CZ12" s="1599">
        <f>SUM(BS12)</f>
        <v>0.30440239488945464</v>
      </c>
      <c r="DA12" s="1599">
        <f t="shared" ref="DA12:DB12" si="57">SUM(BT12)</f>
        <v>0.30440239488945464</v>
      </c>
      <c r="DB12" s="1599">
        <f t="shared" si="57"/>
        <v>0</v>
      </c>
      <c r="DC12" s="1599">
        <f>SUM(DC11/DC10)</f>
        <v>0.30436605752835644</v>
      </c>
      <c r="DD12" s="1599">
        <f t="shared" ref="DD12" si="58">SUM(DD11/DD10)</f>
        <v>0.30436605752835644</v>
      </c>
      <c r="DE12" s="1599">
        <v>0</v>
      </c>
      <c r="DF12" s="1599">
        <f t="shared" ref="DF12:DG12" si="59">SUM(DF11/DF10)</f>
        <v>0.30379219103525612</v>
      </c>
      <c r="DG12" s="1599">
        <f t="shared" si="59"/>
        <v>0.30379219103525612</v>
      </c>
      <c r="DH12" s="1599">
        <v>0</v>
      </c>
      <c r="DI12" s="1599">
        <f t="shared" ref="DI12:DJ12" si="60">SUM(DI11/DI10)</f>
        <v>0.30232663943003246</v>
      </c>
      <c r="DJ12" s="1599">
        <f t="shared" si="60"/>
        <v>0.30232663943003246</v>
      </c>
      <c r="DK12" s="1599">
        <v>0</v>
      </c>
      <c r="DL12" s="1599">
        <f t="shared" ref="DL12:DO12" si="61">SUM(DL11/DL10)</f>
        <v>0.30439929112812897</v>
      </c>
      <c r="DM12" s="3663">
        <f t="shared" si="61"/>
        <v>0.30439929112812897</v>
      </c>
      <c r="DN12" s="3663">
        <v>0</v>
      </c>
      <c r="DO12" s="1599">
        <f t="shared" si="61"/>
        <v>0.30439929112812897</v>
      </c>
      <c r="DP12" s="1599">
        <f t="shared" ref="DP12:DQ12" si="62">SUM(DP11/DP10)</f>
        <v>0.30230917556318487</v>
      </c>
      <c r="DQ12" s="3690">
        <f t="shared" si="62"/>
        <v>0.30230917556318482</v>
      </c>
      <c r="DR12" s="4160">
        <f t="shared" ref="DR12" si="63">SUM(DR11/DR10)</f>
        <v>0.30231190336153463</v>
      </c>
      <c r="DS12" s="3413">
        <f t="shared" ref="DS12" si="64">SUM(CJ12)</f>
        <v>0</v>
      </c>
      <c r="DT12" s="3689"/>
    </row>
    <row r="13" spans="1:125" ht="39.950000000000003" customHeight="1" x14ac:dyDescent="0.2">
      <c r="A13" s="3214" t="s">
        <v>6</v>
      </c>
      <c r="B13" s="3669">
        <v>978.6</v>
      </c>
      <c r="C13" s="3193">
        <v>825.2</v>
      </c>
      <c r="D13" s="1725">
        <f t="shared" si="0"/>
        <v>84.32454526875128</v>
      </c>
      <c r="E13" s="3193">
        <v>1695.7</v>
      </c>
      <c r="F13" s="1725">
        <f t="shared" si="15"/>
        <v>205.48957828405236</v>
      </c>
      <c r="G13" s="3193" t="e">
        <f>'цех стоки 2023'!G45-'Бесхоз. сети стоки'!#REF!-'Бесхоз. сети стоки'!#REF!-'Бесхоз. сети стоки'!#REF!</f>
        <v>#REF!</v>
      </c>
      <c r="H13" s="1725" t="e">
        <f t="shared" si="16"/>
        <v>#REF!</v>
      </c>
      <c r="I13" s="1597">
        <v>2191.1</v>
      </c>
      <c r="J13" s="1597">
        <v>1084.5</v>
      </c>
      <c r="K13" s="1597">
        <f>'цех стоки 2023'!K50</f>
        <v>1485.9600740438873</v>
      </c>
      <c r="L13" s="1597">
        <f>'цех стоки 2023'!L50</f>
        <v>2185.1999999999998</v>
      </c>
      <c r="M13" s="1600" t="e">
        <f t="shared" si="1"/>
        <v>#REF!</v>
      </c>
      <c r="N13" s="1597">
        <f>'цех стоки 2023'!N50</f>
        <v>3571.6000000000022</v>
      </c>
      <c r="O13" s="1600">
        <f t="shared" si="2"/>
        <v>163.00488339190372</v>
      </c>
      <c r="P13" s="1597">
        <v>2717.2</v>
      </c>
      <c r="Q13" s="1600">
        <f t="shared" si="17"/>
        <v>124.01077084569394</v>
      </c>
      <c r="R13" s="1600">
        <f t="shared" si="18"/>
        <v>124.34559765696504</v>
      </c>
      <c r="S13" s="1597">
        <v>2999.5</v>
      </c>
      <c r="T13" s="1597"/>
      <c r="U13" s="1597">
        <v>1817.5</v>
      </c>
      <c r="V13" s="1597"/>
      <c r="W13" s="1597">
        <v>3828.5</v>
      </c>
      <c r="X13" s="1597"/>
      <c r="Y13" s="1597">
        <f>'цех стоки 2023'!X50</f>
        <v>2844.973155291787</v>
      </c>
      <c r="Z13" s="1597">
        <f t="shared" si="19"/>
        <v>2844.973155291787</v>
      </c>
      <c r="AA13" s="1597"/>
      <c r="AB13" s="1597">
        <f>'цех стоки 2023'!AA50</f>
        <v>2277.1999999999998</v>
      </c>
      <c r="AC13" s="1597">
        <f t="shared" ref="AC13" si="65">AB13</f>
        <v>2277.1999999999998</v>
      </c>
      <c r="AD13" s="1597">
        <v>0</v>
      </c>
      <c r="AE13" s="1597">
        <v>2622.51</v>
      </c>
      <c r="AF13" s="1597">
        <f t="shared" si="5"/>
        <v>0.92180483148742742</v>
      </c>
      <c r="AG13" s="1597">
        <v>2622.51</v>
      </c>
      <c r="AH13" s="1597">
        <v>0</v>
      </c>
      <c r="AI13" s="1597">
        <f>'цех стоки 2023'!AC50</f>
        <v>2687.5084197683254</v>
      </c>
      <c r="AJ13" s="1597">
        <f t="shared" si="6"/>
        <v>0.94465159179777514</v>
      </c>
      <c r="AK13" s="1597">
        <f>SUM('цех стоки 2023'!X113)</f>
        <v>2687.5084197683254</v>
      </c>
      <c r="AL13" s="1597">
        <f>SUM('цех стоки 2023'!Y113)</f>
        <v>0</v>
      </c>
      <c r="AM13" s="1601" t="e">
        <f>#REF!</f>
        <v>#REF!</v>
      </c>
      <c r="AN13" s="1601">
        <v>0</v>
      </c>
      <c r="AO13" s="1601" t="e">
        <f t="shared" si="7"/>
        <v>#REF!</v>
      </c>
      <c r="AP13" s="1597">
        <f>SUM('цех стоки 2023'!AE50)</f>
        <v>1242.03</v>
      </c>
      <c r="AQ13" s="1597">
        <f>SUM(AP13)</f>
        <v>1242.03</v>
      </c>
      <c r="AR13" s="1597">
        <v>0</v>
      </c>
      <c r="AS13" s="1597">
        <f>SUM('цех стоки 2023'!AF50)</f>
        <v>1801.13</v>
      </c>
      <c r="AT13" s="1597">
        <f>SUM(AS13)</f>
        <v>1801.13</v>
      </c>
      <c r="AU13" s="1597">
        <v>0</v>
      </c>
      <c r="AV13" s="1597">
        <v>3469.75</v>
      </c>
      <c r="AW13" s="1600">
        <f>SUM(AV13/AI13)</f>
        <v>1.2910657226142224</v>
      </c>
      <c r="AX13" s="1597">
        <f>SUM(AV13)</f>
        <v>3469.75</v>
      </c>
      <c r="AY13" s="1597">
        <v>0</v>
      </c>
      <c r="AZ13" s="1597">
        <f>SUM('цех стоки 2023'!AH50)</f>
        <v>2655.1329761606248</v>
      </c>
      <c r="BA13" s="1591">
        <f t="shared" si="10"/>
        <v>0.9879533610501241</v>
      </c>
      <c r="BB13" s="1597">
        <f>SUM(AZ13)</f>
        <v>2655.1329761606248</v>
      </c>
      <c r="BC13" s="1597">
        <v>0</v>
      </c>
      <c r="BD13" s="1597">
        <f t="shared" si="23"/>
        <v>2518.06</v>
      </c>
      <c r="BE13" s="1597">
        <v>2518.06</v>
      </c>
      <c r="BF13" s="1597">
        <v>0</v>
      </c>
      <c r="BG13" s="1597">
        <f t="shared" ref="BG13" si="66">BH13+BI13</f>
        <v>2351.98</v>
      </c>
      <c r="BH13" s="1597">
        <v>2351.98</v>
      </c>
      <c r="BI13" s="1597">
        <v>0</v>
      </c>
      <c r="BJ13" s="1597">
        <f t="shared" ref="BJ13" si="67">BK13+BL13</f>
        <v>2438.5</v>
      </c>
      <c r="BK13" s="1597">
        <v>2438.5</v>
      </c>
      <c r="BL13" s="1597">
        <v>0</v>
      </c>
      <c r="BM13" s="1597">
        <f t="shared" ref="BM13" si="68">BN13+BO13</f>
        <v>2817.58</v>
      </c>
      <c r="BN13" s="1597">
        <v>2817.58</v>
      </c>
      <c r="BO13" s="1597">
        <v>0</v>
      </c>
      <c r="BP13" s="1597">
        <f t="shared" ref="BP13" si="69">BQ13+BR13</f>
        <v>4059.34</v>
      </c>
      <c r="BQ13" s="1597">
        <v>4059.34</v>
      </c>
      <c r="BR13" s="1597">
        <v>0</v>
      </c>
      <c r="BS13" s="1597">
        <f t="shared" ref="BS13" si="70">BT13+BU13</f>
        <v>3143.3525997466791</v>
      </c>
      <c r="BT13" s="1597">
        <f>'цех стоки 2023'!AN50</f>
        <v>3143.3525997466791</v>
      </c>
      <c r="BU13" s="1597">
        <v>0</v>
      </c>
      <c r="BV13" s="1597">
        <f t="shared" ref="BV13" si="71">BW13+BX13</f>
        <v>3804.9845741719278</v>
      </c>
      <c r="BW13" s="1597">
        <f>SUM('цех стоки 2023'!AO50)</f>
        <v>3804.9845741719278</v>
      </c>
      <c r="BX13" s="1597">
        <v>0</v>
      </c>
      <c r="BY13" s="3685" t="e">
        <f>#REF!</f>
        <v>#REF!</v>
      </c>
      <c r="BZ13" s="3669"/>
      <c r="CA13" s="3669"/>
      <c r="CB13" s="3669"/>
      <c r="CC13" s="3669"/>
      <c r="CD13" s="3669"/>
      <c r="CE13" s="3669"/>
      <c r="CF13" s="3669"/>
      <c r="CG13" s="3669"/>
      <c r="CH13" s="3669"/>
      <c r="CI13" s="3669"/>
      <c r="CJ13" s="3669"/>
      <c r="CK13" s="1597">
        <f t="shared" ref="CK13" si="72">CL13+CM13</f>
        <v>3205.2766459616873</v>
      </c>
      <c r="CL13" s="1597">
        <f>SUM('цех стоки 2023'!AP50)</f>
        <v>3205.2766459616873</v>
      </c>
      <c r="CM13" s="1597">
        <v>0</v>
      </c>
      <c r="CN13" s="1597">
        <f t="shared" ref="CN13" si="73">CO13+CP13</f>
        <v>1313.7950000000001</v>
      </c>
      <c r="CO13" s="1597">
        <f>SUM('цех стоки 2023'!AQ50)</f>
        <v>1313.7950000000001</v>
      </c>
      <c r="CP13" s="1597">
        <v>0</v>
      </c>
      <c r="CQ13" s="1597">
        <f t="shared" ref="CQ13" si="74">CR13+CS13</f>
        <v>2052.5549999999998</v>
      </c>
      <c r="CR13" s="1597">
        <f>SUM('цех стоки 2023'!AR50)</f>
        <v>2052.5549999999998</v>
      </c>
      <c r="CS13" s="1597">
        <v>0</v>
      </c>
      <c r="CT13" s="1597">
        <f t="shared" ref="CT13" si="75">CU13+CV13</f>
        <v>2902.72</v>
      </c>
      <c r="CU13" s="1597">
        <f>SUM('цех стоки 2023'!AS50)</f>
        <v>2902.72</v>
      </c>
      <c r="CV13" s="1597">
        <v>0</v>
      </c>
      <c r="CW13" s="1597">
        <f t="shared" ref="CW13" si="76">CX13+CY13</f>
        <v>4257.356077977156</v>
      </c>
      <c r="CX13" s="1597">
        <f>SUM('цех стоки 2023'!AT50)</f>
        <v>4257.356077977156</v>
      </c>
      <c r="CY13" s="1597">
        <v>0</v>
      </c>
      <c r="CZ13" s="1597">
        <f t="shared" ref="CZ13" si="77">DA13+DB13</f>
        <v>4428.1645146239916</v>
      </c>
      <c r="DA13" s="1597">
        <f>SUM('цех стоки 2023'!AU50)</f>
        <v>4428.1645146239916</v>
      </c>
      <c r="DB13" s="1597">
        <v>0</v>
      </c>
      <c r="DC13" s="1597">
        <f t="shared" ref="DC13" si="78">DD13+DE13</f>
        <v>1701.36</v>
      </c>
      <c r="DD13" s="1597">
        <f>SUM('цех стоки 2023'!AY50)</f>
        <v>1701.36</v>
      </c>
      <c r="DE13" s="1597">
        <v>0</v>
      </c>
      <c r="DF13" s="1597">
        <f t="shared" ref="DF13" si="79">DG13+DH13</f>
        <v>2564.86</v>
      </c>
      <c r="DG13" s="1597">
        <f>SUM('цех стоки 2023'!AZ50)</f>
        <v>2564.86</v>
      </c>
      <c r="DH13" s="1597">
        <v>0</v>
      </c>
      <c r="DI13" s="1597">
        <f t="shared" ref="DI13" si="80">DJ13+DK13</f>
        <v>3373.78</v>
      </c>
      <c r="DJ13" s="1597">
        <f>SUM('цех стоки 2023'!BA50)</f>
        <v>3373.78</v>
      </c>
      <c r="DK13" s="1597">
        <v>0</v>
      </c>
      <c r="DL13" s="1597">
        <f t="shared" ref="DL13" si="81">DM13+DN13</f>
        <v>5272.2261803672527</v>
      </c>
      <c r="DM13" s="3662">
        <f>SUM('цех стоки 2023'!BB50)</f>
        <v>5272.2261803672527</v>
      </c>
      <c r="DN13" s="3662">
        <v>0</v>
      </c>
      <c r="DO13" s="1597">
        <f>SUM(DO14*DU13)</f>
        <v>128.30736441040057</v>
      </c>
      <c r="DP13" s="1597">
        <v>103.49</v>
      </c>
      <c r="DQ13" s="3209">
        <f>SUM(DP13*(1+0.05)*0.99)</f>
        <v>107.577855</v>
      </c>
      <c r="DR13" s="2343">
        <v>107.58</v>
      </c>
      <c r="DS13" s="3211">
        <v>0</v>
      </c>
      <c r="DT13" s="3686"/>
      <c r="DU13" s="5">
        <f>SUM(DL13/DL7)</f>
        <v>0.26102762557365455</v>
      </c>
    </row>
    <row r="14" spans="1:125" ht="39.950000000000003" customHeight="1" x14ac:dyDescent="0.2">
      <c r="A14" s="3697" t="s">
        <v>3909</v>
      </c>
      <c r="B14" s="3698"/>
      <c r="C14" s="3699"/>
      <c r="D14" s="3700"/>
      <c r="E14" s="3701"/>
      <c r="F14" s="3701"/>
      <c r="G14" s="3701"/>
      <c r="H14" s="3700"/>
      <c r="I14" s="3701"/>
      <c r="J14" s="3701"/>
      <c r="K14" s="3701"/>
      <c r="L14" s="3701"/>
      <c r="M14" s="3701"/>
      <c r="N14" s="3701"/>
      <c r="O14" s="3701"/>
      <c r="P14" s="3701"/>
      <c r="Q14" s="3701"/>
      <c r="R14" s="3701"/>
      <c r="S14" s="3701"/>
      <c r="T14" s="3701"/>
      <c r="U14" s="3701"/>
      <c r="V14" s="3701"/>
      <c r="W14" s="3701"/>
      <c r="X14" s="3701"/>
      <c r="Y14" s="3701"/>
      <c r="Z14" s="3701"/>
      <c r="AA14" s="3701"/>
      <c r="AB14" s="3701"/>
      <c r="AC14" s="3701"/>
      <c r="AD14" s="3701"/>
      <c r="AE14" s="3701"/>
      <c r="AF14" s="3701"/>
      <c r="AG14" s="3701"/>
      <c r="AH14" s="3701"/>
      <c r="AI14" s="3701"/>
      <c r="AJ14" s="3701"/>
      <c r="AK14" s="3701"/>
      <c r="AL14" s="3701"/>
      <c r="AM14" s="3701"/>
      <c r="AN14" s="3701"/>
      <c r="AO14" s="3701"/>
      <c r="AP14" s="3701"/>
      <c r="AQ14" s="3701"/>
      <c r="AR14" s="3701"/>
      <c r="AS14" s="3701"/>
      <c r="AT14" s="3701"/>
      <c r="AU14" s="3701"/>
      <c r="AV14" s="3701"/>
      <c r="AW14" s="3702"/>
      <c r="AX14" s="3701"/>
      <c r="AY14" s="3701"/>
      <c r="AZ14" s="3701"/>
      <c r="BA14" s="3703"/>
      <c r="BB14" s="3701"/>
      <c r="BC14" s="3701"/>
      <c r="BD14" s="3701"/>
      <c r="BE14" s="3701"/>
      <c r="BF14" s="3701"/>
      <c r="BG14" s="3701"/>
      <c r="BH14" s="3701"/>
      <c r="BI14" s="3701"/>
      <c r="BJ14" s="3701"/>
      <c r="BK14" s="3701"/>
      <c r="BL14" s="3701"/>
      <c r="BM14" s="3701"/>
      <c r="BN14" s="3701"/>
      <c r="BO14" s="3701"/>
      <c r="BP14" s="3701"/>
      <c r="BQ14" s="3701"/>
      <c r="BR14" s="3701"/>
      <c r="BS14" s="3701"/>
      <c r="BT14" s="3701"/>
      <c r="BU14" s="3701"/>
      <c r="BV14" s="3701">
        <f>SUM(BV8+BV9+BV10+BV11+BV13)</f>
        <v>16085.392793077295</v>
      </c>
      <c r="BW14" s="3701"/>
      <c r="BX14" s="3701"/>
      <c r="BY14" s="3704"/>
      <c r="BZ14" s="3704"/>
      <c r="CA14" s="3704"/>
      <c r="CB14" s="3704"/>
      <c r="CC14" s="3704"/>
      <c r="CD14" s="3704"/>
      <c r="CE14" s="3704"/>
      <c r="CF14" s="3704"/>
      <c r="CG14" s="3704"/>
      <c r="CH14" s="3704"/>
      <c r="CI14" s="3704"/>
      <c r="CJ14" s="3704"/>
      <c r="CK14" s="3701">
        <f t="shared" ref="CK14:DL14" si="82">SUM(CK8+CK9+CK10+CK11+CK13)</f>
        <v>15290.806349980245</v>
      </c>
      <c r="CL14" s="3701">
        <f t="shared" si="82"/>
        <v>15290.806349980245</v>
      </c>
      <c r="CM14" s="3701">
        <f t="shared" si="82"/>
        <v>0</v>
      </c>
      <c r="CN14" s="3701">
        <f t="shared" si="82"/>
        <v>6110.6350000000002</v>
      </c>
      <c r="CO14" s="3701">
        <f t="shared" si="82"/>
        <v>6110.6350000000002</v>
      </c>
      <c r="CP14" s="3701">
        <f t="shared" si="82"/>
        <v>0</v>
      </c>
      <c r="CQ14" s="3701">
        <f t="shared" si="82"/>
        <v>9780.5049999999992</v>
      </c>
      <c r="CR14" s="3701">
        <f t="shared" si="82"/>
        <v>9780.5049999999992</v>
      </c>
      <c r="CS14" s="3701">
        <f t="shared" si="82"/>
        <v>0</v>
      </c>
      <c r="CT14" s="3701">
        <f t="shared" si="82"/>
        <v>13097.359999999999</v>
      </c>
      <c r="CU14" s="3701">
        <f t="shared" si="82"/>
        <v>13097.359999999999</v>
      </c>
      <c r="CV14" s="3701">
        <f t="shared" si="82"/>
        <v>0</v>
      </c>
      <c r="CW14" s="3701">
        <f t="shared" si="82"/>
        <v>18499.427536177158</v>
      </c>
      <c r="CX14" s="3701">
        <f t="shared" si="82"/>
        <v>18499.427536177158</v>
      </c>
      <c r="CY14" s="3701">
        <f t="shared" si="82"/>
        <v>0</v>
      </c>
      <c r="CZ14" s="3701">
        <f t="shared" si="82"/>
        <v>16799.413373074774</v>
      </c>
      <c r="DA14" s="3701">
        <f t="shared" si="82"/>
        <v>16799.413373074774</v>
      </c>
      <c r="DB14" s="3701">
        <f t="shared" si="82"/>
        <v>0</v>
      </c>
      <c r="DC14" s="3701">
        <f t="shared" si="82"/>
        <v>6688.5259999999989</v>
      </c>
      <c r="DD14" s="3701">
        <f t="shared" si="82"/>
        <v>6688.5259999999989</v>
      </c>
      <c r="DE14" s="3701">
        <f t="shared" si="82"/>
        <v>0</v>
      </c>
      <c r="DF14" s="3701">
        <f t="shared" si="82"/>
        <v>10186</v>
      </c>
      <c r="DG14" s="3701">
        <f t="shared" si="82"/>
        <v>10186</v>
      </c>
      <c r="DH14" s="3701">
        <f t="shared" si="82"/>
        <v>0</v>
      </c>
      <c r="DI14" s="3701">
        <f t="shared" si="82"/>
        <v>13944.24</v>
      </c>
      <c r="DJ14" s="3701">
        <f t="shared" si="82"/>
        <v>13944.24</v>
      </c>
      <c r="DK14" s="3701">
        <f t="shared" si="82"/>
        <v>0</v>
      </c>
      <c r="DL14" s="3701">
        <f t="shared" si="82"/>
        <v>20197.962452367254</v>
      </c>
      <c r="DM14" s="3705"/>
      <c r="DN14" s="3705"/>
      <c r="DO14" s="3701">
        <f>SUM(DO16*DO15/1000)</f>
        <v>491.5470695043191</v>
      </c>
      <c r="DP14" s="3701">
        <f>SUM(DP7)</f>
        <v>397.84000000000003</v>
      </c>
      <c r="DQ14" s="3706">
        <f>SUM(DQ7)</f>
        <v>413.55468000000002</v>
      </c>
      <c r="DR14" s="3706">
        <f>SUM(DR7)</f>
        <v>413.56</v>
      </c>
      <c r="DS14" s="3686"/>
      <c r="DT14" s="3686"/>
      <c r="DU14" s="5">
        <f>SUM(DU8:DU13)</f>
        <v>1</v>
      </c>
    </row>
    <row r="15" spans="1:125" ht="39.950000000000003" customHeight="1" x14ac:dyDescent="0.2">
      <c r="A15" s="3200" t="s">
        <v>3911</v>
      </c>
      <c r="B15" s="3419"/>
      <c r="C15" s="1724"/>
      <c r="D15" s="1725"/>
      <c r="E15" s="1728"/>
      <c r="F15" s="1728"/>
      <c r="G15" s="1728"/>
      <c r="H15" s="1725"/>
      <c r="I15" s="1728"/>
      <c r="J15" s="1728"/>
      <c r="K15" s="1728"/>
      <c r="L15" s="1728"/>
      <c r="M15" s="1728"/>
      <c r="N15" s="1728"/>
      <c r="O15" s="1728"/>
      <c r="P15" s="1728"/>
      <c r="Q15" s="1728"/>
      <c r="R15" s="1728"/>
      <c r="S15" s="1728"/>
      <c r="T15" s="1728"/>
      <c r="U15" s="1728"/>
      <c r="V15" s="1728"/>
      <c r="W15" s="1728"/>
      <c r="X15" s="1728"/>
      <c r="Y15" s="1728"/>
      <c r="Z15" s="1728"/>
      <c r="AA15" s="1728"/>
      <c r="AB15" s="1728"/>
      <c r="AC15" s="1728"/>
      <c r="AD15" s="1728"/>
      <c r="AE15" s="1728"/>
      <c r="AF15" s="1728"/>
      <c r="AG15" s="1728"/>
      <c r="AH15" s="1728"/>
      <c r="AI15" s="1728"/>
      <c r="AJ15" s="1728"/>
      <c r="AK15" s="1728"/>
      <c r="AL15" s="1728"/>
      <c r="AM15" s="1728"/>
      <c r="AN15" s="1728"/>
      <c r="AO15" s="1728"/>
      <c r="AP15" s="1728"/>
      <c r="AQ15" s="1728"/>
      <c r="AR15" s="1728"/>
      <c r="AS15" s="1728"/>
      <c r="AT15" s="1728"/>
      <c r="AU15" s="1728"/>
      <c r="AV15" s="1728"/>
      <c r="AW15" s="1728"/>
      <c r="AX15" s="1728"/>
      <c r="AY15" s="1728"/>
      <c r="AZ15" s="1728"/>
      <c r="BA15" s="1604"/>
      <c r="BB15" s="1728"/>
      <c r="BC15" s="1728"/>
      <c r="BD15" s="1728"/>
      <c r="BE15" s="1728"/>
      <c r="BF15" s="1728"/>
      <c r="BG15" s="1728"/>
      <c r="BH15" s="1728"/>
      <c r="BI15" s="1728"/>
      <c r="BJ15" s="1728"/>
      <c r="BK15" s="1728"/>
      <c r="BL15" s="1728"/>
      <c r="BM15" s="1728"/>
      <c r="BN15" s="1728"/>
      <c r="BO15" s="1728"/>
      <c r="BP15" s="1728"/>
      <c r="BQ15" s="1728"/>
      <c r="BR15" s="1728"/>
      <c r="BS15" s="1728"/>
      <c r="BT15" s="1728"/>
      <c r="BU15" s="1728"/>
      <c r="BV15" s="6283">
        <v>95.7</v>
      </c>
      <c r="BW15" s="6291"/>
      <c r="BX15" s="6291"/>
      <c r="BY15" s="6291"/>
      <c r="BZ15" s="6291"/>
      <c r="CA15" s="6291"/>
      <c r="CB15" s="6291"/>
      <c r="CC15" s="6291"/>
      <c r="CD15" s="6291"/>
      <c r="CE15" s="6291"/>
      <c r="CF15" s="6291"/>
      <c r="CG15" s="6291"/>
      <c r="CH15" s="6291"/>
      <c r="CI15" s="6291"/>
      <c r="CJ15" s="6291"/>
      <c r="CK15" s="6291"/>
      <c r="CL15" s="6291"/>
      <c r="CM15" s="6291"/>
      <c r="CN15" s="6291"/>
      <c r="CO15" s="6291"/>
      <c r="CP15" s="6291"/>
      <c r="CQ15" s="6291"/>
      <c r="CR15" s="6291"/>
      <c r="CS15" s="6291"/>
      <c r="CT15" s="6291"/>
      <c r="CU15" s="6291"/>
      <c r="CV15" s="6291"/>
      <c r="CW15" s="6291"/>
      <c r="CX15" s="6291"/>
      <c r="CY15" s="6291"/>
      <c r="CZ15" s="6291"/>
      <c r="DA15" s="6291"/>
      <c r="DB15" s="6291"/>
      <c r="DC15" s="6291"/>
      <c r="DD15" s="6291"/>
      <c r="DE15" s="6291"/>
      <c r="DF15" s="6291"/>
      <c r="DG15" s="6291"/>
      <c r="DH15" s="6291"/>
      <c r="DI15" s="6291"/>
      <c r="DJ15" s="6291"/>
      <c r="DK15" s="6291"/>
      <c r="DL15" s="6291"/>
      <c r="DM15" s="3689"/>
      <c r="DN15" s="3689"/>
      <c r="DO15" s="3419">
        <v>2.3290000000000002</v>
      </c>
      <c r="DP15" s="3419">
        <v>2.3290000000000002</v>
      </c>
      <c r="DQ15" s="3694">
        <v>2.3290000000000002</v>
      </c>
      <c r="DR15" s="3696">
        <v>2.3290000000000002</v>
      </c>
      <c r="DS15" s="3686"/>
      <c r="DT15" s="3686"/>
    </row>
    <row r="16" spans="1:125" ht="39.950000000000003" customHeight="1" x14ac:dyDescent="0.2">
      <c r="A16" s="3200" t="s">
        <v>3910</v>
      </c>
      <c r="B16" s="3684"/>
      <c r="C16" s="3684"/>
      <c r="D16" s="3684"/>
      <c r="E16" s="3684"/>
      <c r="F16" s="3684"/>
      <c r="G16" s="3684"/>
      <c r="H16" s="3684"/>
      <c r="I16" s="3684"/>
      <c r="J16" s="3684"/>
      <c r="K16" s="3684"/>
      <c r="L16" s="3684"/>
      <c r="M16" s="3684"/>
      <c r="N16" s="3684"/>
      <c r="O16" s="3684"/>
      <c r="P16" s="3684"/>
      <c r="Q16" s="3684"/>
      <c r="R16" s="3684"/>
      <c r="S16" s="3684"/>
      <c r="T16" s="3684"/>
      <c r="U16" s="3684"/>
      <c r="V16" s="3684"/>
      <c r="W16" s="3684"/>
      <c r="X16" s="3684"/>
      <c r="Y16" s="3684"/>
      <c r="Z16" s="3684"/>
      <c r="AA16" s="3684"/>
      <c r="AB16" s="3684"/>
      <c r="AC16" s="3684"/>
      <c r="AD16" s="3684"/>
      <c r="AE16" s="3684"/>
      <c r="AF16" s="3684"/>
      <c r="AG16" s="3684"/>
      <c r="AH16" s="3684"/>
      <c r="AI16" s="3684"/>
      <c r="AJ16" s="3684"/>
      <c r="AK16" s="3684"/>
      <c r="AL16" s="3684"/>
      <c r="AM16" s="3684"/>
      <c r="AN16" s="3684"/>
      <c r="AO16" s="3684"/>
      <c r="AP16" s="3684"/>
      <c r="AQ16" s="3684"/>
      <c r="AR16" s="3684"/>
      <c r="AS16" s="3684"/>
      <c r="AT16" s="3684"/>
      <c r="AU16" s="3684"/>
      <c r="AV16" s="3684"/>
      <c r="AW16" s="3684"/>
      <c r="AX16" s="3684"/>
      <c r="AY16" s="3684"/>
      <c r="AZ16" s="3684"/>
      <c r="BA16" s="3684"/>
      <c r="BB16" s="3684"/>
      <c r="BC16" s="3684"/>
      <c r="BD16" s="3684"/>
      <c r="BE16" s="3684"/>
      <c r="BF16" s="3684"/>
      <c r="BG16" s="3684"/>
      <c r="BH16" s="3684"/>
      <c r="BI16" s="3684"/>
      <c r="BJ16" s="3684"/>
      <c r="BK16" s="3684"/>
      <c r="BL16" s="3684"/>
      <c r="BM16" s="3684"/>
      <c r="BN16" s="3684"/>
      <c r="BO16" s="3684"/>
      <c r="BP16" s="3684"/>
      <c r="BQ16" s="3684"/>
      <c r="BR16" s="3684"/>
      <c r="BS16" s="3684"/>
      <c r="BT16" s="3684"/>
      <c r="BU16" s="3684"/>
      <c r="BV16" s="3695">
        <f>SUM(BV14*1000/BV15)</f>
        <v>168081.42939474707</v>
      </c>
      <c r="BW16" s="3695"/>
      <c r="BX16" s="3695"/>
      <c r="BY16" s="3695"/>
      <c r="BZ16" s="3695"/>
      <c r="CA16" s="3695"/>
      <c r="CB16" s="3695"/>
      <c r="CC16" s="3695"/>
      <c r="CD16" s="3695"/>
      <c r="CE16" s="3695"/>
      <c r="CF16" s="3695"/>
      <c r="CG16" s="3695"/>
      <c r="CH16" s="3695"/>
      <c r="CI16" s="3695"/>
      <c r="CJ16" s="3695"/>
      <c r="CK16" s="3695">
        <f>SUM(CK14*1000/BV15)</f>
        <v>159778.54075214465</v>
      </c>
      <c r="CL16" s="3695" t="e">
        <f t="shared" ref="CL16:DN16" si="83">SUM(CL14*1000/CL15)</f>
        <v>#DIV/0!</v>
      </c>
      <c r="CM16" s="3695" t="e">
        <f t="shared" si="83"/>
        <v>#DIV/0!</v>
      </c>
      <c r="CN16" s="3695" t="e">
        <f t="shared" si="83"/>
        <v>#DIV/0!</v>
      </c>
      <c r="CO16" s="3695" t="e">
        <f t="shared" si="83"/>
        <v>#DIV/0!</v>
      </c>
      <c r="CP16" s="3695" t="e">
        <f t="shared" si="83"/>
        <v>#DIV/0!</v>
      </c>
      <c r="CQ16" s="3695" t="e">
        <f t="shared" si="83"/>
        <v>#DIV/0!</v>
      </c>
      <c r="CR16" s="3695" t="e">
        <f t="shared" si="83"/>
        <v>#DIV/0!</v>
      </c>
      <c r="CS16" s="3695" t="e">
        <f t="shared" si="83"/>
        <v>#DIV/0!</v>
      </c>
      <c r="CT16" s="3695">
        <f>SUM(CT14*1000/BV15)</f>
        <v>136858.51619644722</v>
      </c>
      <c r="CU16" s="3695" t="e">
        <f t="shared" si="83"/>
        <v>#DIV/0!</v>
      </c>
      <c r="CV16" s="3695" t="e">
        <f t="shared" si="83"/>
        <v>#DIV/0!</v>
      </c>
      <c r="CW16" s="3695">
        <f>SUM(CW14*1000/BV15)</f>
        <v>193306.45283361711</v>
      </c>
      <c r="CX16" s="3695" t="e">
        <f t="shared" si="83"/>
        <v>#DIV/0!</v>
      </c>
      <c r="CY16" s="3695" t="e">
        <f t="shared" si="83"/>
        <v>#DIV/0!</v>
      </c>
      <c r="CZ16" s="3695">
        <f>SUM(CZ14*1000/BV15)</f>
        <v>175542.45948876461</v>
      </c>
      <c r="DA16" s="3695" t="e">
        <f t="shared" si="83"/>
        <v>#DIV/0!</v>
      </c>
      <c r="DB16" s="3695" t="e">
        <f t="shared" si="83"/>
        <v>#DIV/0!</v>
      </c>
      <c r="DC16" s="3695" t="e">
        <f t="shared" si="83"/>
        <v>#DIV/0!</v>
      </c>
      <c r="DD16" s="3695" t="e">
        <f t="shared" si="83"/>
        <v>#DIV/0!</v>
      </c>
      <c r="DE16" s="3695" t="e">
        <f t="shared" si="83"/>
        <v>#DIV/0!</v>
      </c>
      <c r="DF16" s="3695" t="e">
        <f t="shared" si="83"/>
        <v>#DIV/0!</v>
      </c>
      <c r="DG16" s="3695" t="e">
        <f t="shared" si="83"/>
        <v>#DIV/0!</v>
      </c>
      <c r="DH16" s="3695" t="e">
        <f t="shared" si="83"/>
        <v>#DIV/0!</v>
      </c>
      <c r="DI16" s="3695">
        <f>SUM(DI14*1000/BV15)</f>
        <v>145707.83699059562</v>
      </c>
      <c r="DJ16" s="3695" t="e">
        <f t="shared" si="83"/>
        <v>#DIV/0!</v>
      </c>
      <c r="DK16" s="3695" t="e">
        <f t="shared" si="83"/>
        <v>#DIV/0!</v>
      </c>
      <c r="DL16" s="3695">
        <f>SUM(DL14*1000/BV15)</f>
        <v>211054.98905294936</v>
      </c>
      <c r="DM16" s="3695" t="e">
        <f t="shared" si="83"/>
        <v>#DIV/0!</v>
      </c>
      <c r="DN16" s="3695" t="e">
        <f t="shared" si="83"/>
        <v>#DIV/0!</v>
      </c>
      <c r="DO16" s="3947">
        <f>SUM(DL16)</f>
        <v>211054.98905294936</v>
      </c>
      <c r="DP16" s="3947">
        <f>SUM(DP14/DP15)*1000</f>
        <v>170820.09446114214</v>
      </c>
      <c r="DQ16" s="3696">
        <f>SUM(DQ14/DQ15)*1000</f>
        <v>177567.48819235721</v>
      </c>
      <c r="DR16" s="3696">
        <f>SUM(DR14/DR15)*1000</f>
        <v>177569.77243452123</v>
      </c>
      <c r="DS16" s="1669"/>
      <c r="DT16" s="1669"/>
    </row>
    <row r="17" spans="1:1" ht="18.75" x14ac:dyDescent="0.2">
      <c r="A17" s="3356"/>
    </row>
    <row r="18" spans="1:1" ht="18.75" x14ac:dyDescent="0.2">
      <c r="A18" s="3356"/>
    </row>
    <row r="19" spans="1:1" ht="20.25" x14ac:dyDescent="0.3">
      <c r="A19" s="2792" t="s">
        <v>4029</v>
      </c>
    </row>
  </sheetData>
  <mergeCells count="52">
    <mergeCell ref="S5:T5"/>
    <mergeCell ref="CK5:CM5"/>
    <mergeCell ref="A6:DR6"/>
    <mergeCell ref="A2:DR2"/>
    <mergeCell ref="DI3:DK5"/>
    <mergeCell ref="CW3:DB4"/>
    <mergeCell ref="CT3:CV5"/>
    <mergeCell ref="BV3:CM4"/>
    <mergeCell ref="DQ4:DQ5"/>
    <mergeCell ref="DR4:DR5"/>
    <mergeCell ref="DO3:DP3"/>
    <mergeCell ref="DQ3:DR3"/>
    <mergeCell ref="DL3:DL4"/>
    <mergeCell ref="DP4:DP5"/>
    <mergeCell ref="DO4:DO5"/>
    <mergeCell ref="BJ5:BL5"/>
    <mergeCell ref="CW5:CY5"/>
    <mergeCell ref="CZ5:DB5"/>
    <mergeCell ref="DL5:DN5"/>
    <mergeCell ref="Y5:AA5"/>
    <mergeCell ref="AB5:AD5"/>
    <mergeCell ref="AE5:AH5"/>
    <mergeCell ref="AI5:AL5"/>
    <mergeCell ref="AP5:AR5"/>
    <mergeCell ref="AS5:AU5"/>
    <mergeCell ref="BD5:BF5"/>
    <mergeCell ref="BS5:BU5"/>
    <mergeCell ref="BV5:BX5"/>
    <mergeCell ref="BY5:CA5"/>
    <mergeCell ref="BM5:BO5"/>
    <mergeCell ref="BP5:BR5"/>
    <mergeCell ref="BJ4:BO4"/>
    <mergeCell ref="BP4:BU4"/>
    <mergeCell ref="CN4:CP5"/>
    <mergeCell ref="AV5:AY5"/>
    <mergeCell ref="AZ5:BC5"/>
    <mergeCell ref="BV15:DL15"/>
    <mergeCell ref="A4:A5"/>
    <mergeCell ref="B4:B5"/>
    <mergeCell ref="C4:D4"/>
    <mergeCell ref="E4:F4"/>
    <mergeCell ref="G4:H4"/>
    <mergeCell ref="I4:M4"/>
    <mergeCell ref="N4:V4"/>
    <mergeCell ref="W4:AD4"/>
    <mergeCell ref="AE4:AU4"/>
    <mergeCell ref="CQ4:CS5"/>
    <mergeCell ref="DC4:DE5"/>
    <mergeCell ref="BG5:BI5"/>
    <mergeCell ref="DF4:DH5"/>
    <mergeCell ref="AV4:BF4"/>
    <mergeCell ref="BG4:BI4"/>
  </mergeCells>
  <printOptions horizontalCentered="1" verticalCentered="1"/>
  <pageMargins left="0.19685039370078741" right="0.19685039370078741" top="0.59055118110236227" bottom="0.19685039370078741" header="0" footer="0"/>
  <pageSetup paperSize="9" scale="49" fitToHeight="2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Лист54">
    <tabColor rgb="FFFF66FF"/>
    <pageSetUpPr fitToPage="1"/>
  </sheetPr>
  <dimension ref="A1:CL86"/>
  <sheetViews>
    <sheetView topLeftCell="A26" zoomScale="80" zoomScaleNormal="80" workbookViewId="0">
      <selection activeCell="I38" sqref="I38"/>
    </sheetView>
  </sheetViews>
  <sheetFormatPr defaultRowHeight="15" x14ac:dyDescent="0.25"/>
  <cols>
    <col min="1" max="1" width="6.42578125" style="2519" customWidth="1"/>
    <col min="2" max="2" width="32.140625" style="2519" customWidth="1"/>
    <col min="3" max="3" width="9.42578125" style="2519" customWidth="1"/>
    <col min="4" max="6" width="18.7109375" style="2519" customWidth="1"/>
    <col min="7" max="12" width="9.140625" style="2519"/>
    <col min="13" max="13" width="38.42578125" style="2519" customWidth="1"/>
    <col min="14" max="45" width="0" style="2519" hidden="1" customWidth="1"/>
    <col min="46" max="46" width="12.28515625" style="2519" customWidth="1"/>
    <col min="47" max="50" width="0" style="2519" hidden="1" customWidth="1"/>
    <col min="51" max="51" width="12.42578125" style="2519" customWidth="1"/>
    <col min="52" max="56" width="0" style="2519" hidden="1" customWidth="1"/>
    <col min="57" max="58" width="12.28515625" style="2519" customWidth="1"/>
    <col min="59" max="64" width="0" style="2519" hidden="1" customWidth="1"/>
    <col min="65" max="65" width="12.42578125" style="2519" customWidth="1"/>
    <col min="66" max="67" width="0" style="2519" hidden="1" customWidth="1"/>
    <col min="68" max="69" width="12.28515625" style="2519" customWidth="1"/>
    <col min="70" max="75" width="0" style="2519" hidden="1" customWidth="1"/>
    <col min="76" max="76" width="12.42578125" style="2519" customWidth="1"/>
    <col min="77" max="78" width="0" style="2519" hidden="1" customWidth="1"/>
    <col min="79" max="80" width="12.28515625" style="2519" customWidth="1"/>
    <col min="81" max="86" width="0" style="2519" hidden="1" customWidth="1"/>
    <col min="87" max="87" width="12.42578125" style="2519" customWidth="1"/>
    <col min="88" max="89" width="0" style="2519" hidden="1" customWidth="1"/>
    <col min="90" max="90" width="12.28515625" style="2519" customWidth="1"/>
    <col min="91" max="16384" width="9.140625" style="2519"/>
  </cols>
  <sheetData>
    <row r="1" spans="1:6" ht="29.25" hidden="1" customHeight="1" x14ac:dyDescent="0.25">
      <c r="A1" s="6301" t="s">
        <v>3583</v>
      </c>
      <c r="B1" s="6301"/>
      <c r="C1" s="6301"/>
      <c r="D1" s="6301"/>
      <c r="E1" s="6301"/>
      <c r="F1" s="6301"/>
    </row>
    <row r="2" spans="1:6" hidden="1" x14ac:dyDescent="0.25">
      <c r="A2" s="6302" t="s">
        <v>345</v>
      </c>
      <c r="B2" s="6303"/>
      <c r="C2" s="6303"/>
      <c r="D2" s="6303"/>
      <c r="E2" s="6303"/>
      <c r="F2" s="6304"/>
    </row>
    <row r="3" spans="1:6" ht="41.25" hidden="1" customHeight="1" x14ac:dyDescent="0.25">
      <c r="A3" s="2520" t="s">
        <v>3584</v>
      </c>
      <c r="B3" s="2520" t="s">
        <v>3585</v>
      </c>
      <c r="C3" s="2520" t="s">
        <v>1520</v>
      </c>
      <c r="D3" s="2520" t="s">
        <v>3586</v>
      </c>
      <c r="E3" s="2520" t="s">
        <v>3587</v>
      </c>
      <c r="F3" s="2520" t="s">
        <v>3588</v>
      </c>
    </row>
    <row r="4" spans="1:6" ht="30" hidden="1" customHeight="1" x14ac:dyDescent="0.25">
      <c r="A4" s="2521" t="s">
        <v>182</v>
      </c>
      <c r="B4" s="2522" t="s">
        <v>2</v>
      </c>
      <c r="C4" s="2522" t="s">
        <v>899</v>
      </c>
      <c r="D4" s="2522">
        <v>8206.25</v>
      </c>
      <c r="E4" s="2522">
        <v>8576.67</v>
      </c>
      <c r="F4" s="2522">
        <f>SUM(E4-D4)</f>
        <v>370.42000000000007</v>
      </c>
    </row>
    <row r="5" spans="1:6" ht="30" hidden="1" customHeight="1" x14ac:dyDescent="0.25">
      <c r="A5" s="2521" t="s">
        <v>185</v>
      </c>
      <c r="B5" s="2522" t="s">
        <v>8</v>
      </c>
      <c r="C5" s="2522" t="s">
        <v>899</v>
      </c>
      <c r="D5" s="2522">
        <v>6985.43</v>
      </c>
      <c r="E5" s="2522">
        <v>8877.36</v>
      </c>
      <c r="F5" s="2522">
        <f t="shared" ref="F5:F12" si="0">SUM(E5-D5)</f>
        <v>1891.9300000000003</v>
      </c>
    </row>
    <row r="6" spans="1:6" ht="30" hidden="1" customHeight="1" x14ac:dyDescent="0.25">
      <c r="A6" s="2521" t="s">
        <v>936</v>
      </c>
      <c r="B6" s="2522" t="s">
        <v>3589</v>
      </c>
      <c r="C6" s="2522" t="s">
        <v>899</v>
      </c>
      <c r="D6" s="2522">
        <f>SUM(D7:D9)</f>
        <v>1228.1999999999998</v>
      </c>
      <c r="E6" s="2522">
        <f>SUM(E7:E9)</f>
        <v>1818.6399999999999</v>
      </c>
      <c r="F6" s="2522">
        <f t="shared" si="0"/>
        <v>590.44000000000005</v>
      </c>
    </row>
    <row r="7" spans="1:6" ht="30" hidden="1" customHeight="1" x14ac:dyDescent="0.25">
      <c r="A7" s="2521" t="s">
        <v>3590</v>
      </c>
      <c r="B7" s="2523" t="s">
        <v>3591</v>
      </c>
      <c r="C7" s="2523" t="s">
        <v>899</v>
      </c>
      <c r="D7" s="2523">
        <v>794.8</v>
      </c>
      <c r="E7" s="2523">
        <v>891.16</v>
      </c>
      <c r="F7" s="2523">
        <f t="shared" si="0"/>
        <v>96.360000000000014</v>
      </c>
    </row>
    <row r="8" spans="1:6" ht="30" hidden="1" customHeight="1" x14ac:dyDescent="0.25">
      <c r="A8" s="2521" t="s">
        <v>3592</v>
      </c>
      <c r="B8" s="2524" t="s">
        <v>3593</v>
      </c>
      <c r="C8" s="2523" t="s">
        <v>899</v>
      </c>
      <c r="D8" s="2523">
        <v>132.88</v>
      </c>
      <c r="E8" s="2523">
        <v>386.93</v>
      </c>
      <c r="F8" s="2523">
        <f t="shared" si="0"/>
        <v>254.05</v>
      </c>
    </row>
    <row r="9" spans="1:6" ht="30" hidden="1" customHeight="1" x14ac:dyDescent="0.25">
      <c r="A9" s="2521" t="s">
        <v>3594</v>
      </c>
      <c r="B9" s="2524" t="s">
        <v>3595</v>
      </c>
      <c r="C9" s="2523" t="s">
        <v>899</v>
      </c>
      <c r="D9" s="2523">
        <v>300.52</v>
      </c>
      <c r="E9" s="2523">
        <v>540.54999999999995</v>
      </c>
      <c r="F9" s="2523">
        <f t="shared" si="0"/>
        <v>240.02999999999997</v>
      </c>
    </row>
    <row r="10" spans="1:6" ht="30" hidden="1" customHeight="1" x14ac:dyDescent="0.25">
      <c r="A10" s="2521" t="s">
        <v>942</v>
      </c>
      <c r="B10" s="2522" t="s">
        <v>3596</v>
      </c>
      <c r="C10" s="2522" t="s">
        <v>899</v>
      </c>
      <c r="D10" s="2522">
        <f>SUM(D11:D12)</f>
        <v>3036.26</v>
      </c>
      <c r="E10" s="2522">
        <f>SUM(E11:E12)</f>
        <v>4888.22</v>
      </c>
      <c r="F10" s="2522">
        <f>SUM(F11:F12)</f>
        <v>1851.96</v>
      </c>
    </row>
    <row r="11" spans="1:6" ht="30" hidden="1" customHeight="1" x14ac:dyDescent="0.25">
      <c r="A11" s="2525" t="s">
        <v>3597</v>
      </c>
      <c r="B11" s="2523" t="s">
        <v>3598</v>
      </c>
      <c r="C11" s="2523" t="s">
        <v>899</v>
      </c>
      <c r="D11" s="2523">
        <v>1193.47</v>
      </c>
      <c r="E11" s="2523">
        <v>2891.98</v>
      </c>
      <c r="F11" s="2523">
        <f t="shared" si="0"/>
        <v>1698.51</v>
      </c>
    </row>
    <row r="12" spans="1:6" ht="30" hidden="1" customHeight="1" x14ac:dyDescent="0.25">
      <c r="A12" s="2525" t="s">
        <v>3599</v>
      </c>
      <c r="B12" s="2523" t="s">
        <v>524</v>
      </c>
      <c r="C12" s="2523" t="s">
        <v>899</v>
      </c>
      <c r="D12" s="2523">
        <v>1842.79</v>
      </c>
      <c r="E12" s="2523">
        <v>1996.24</v>
      </c>
      <c r="F12" s="2523">
        <f t="shared" si="0"/>
        <v>153.45000000000005</v>
      </c>
    </row>
    <row r="13" spans="1:6" ht="30" hidden="1" customHeight="1" x14ac:dyDescent="0.25">
      <c r="A13" s="2521"/>
      <c r="B13" s="2526" t="s">
        <v>614</v>
      </c>
      <c r="C13" s="2526" t="s">
        <v>899</v>
      </c>
      <c r="D13" s="2526">
        <f>SUM(D4:D6)+D10</f>
        <v>19456.14</v>
      </c>
      <c r="E13" s="2526">
        <f>SUM(E4:E6)+E10</f>
        <v>24160.89</v>
      </c>
      <c r="F13" s="2526">
        <f>SUM(F4:F6)+F10</f>
        <v>4704.75</v>
      </c>
    </row>
    <row r="14" spans="1:6" hidden="1" x14ac:dyDescent="0.25">
      <c r="A14" s="6298" t="s">
        <v>335</v>
      </c>
      <c r="B14" s="6303"/>
      <c r="C14" s="6303"/>
      <c r="D14" s="6303"/>
      <c r="E14" s="6303"/>
      <c r="F14" s="6304"/>
    </row>
    <row r="15" spans="1:6" ht="41.25" hidden="1" customHeight="1" x14ac:dyDescent="0.25">
      <c r="A15" s="2527" t="s">
        <v>3600</v>
      </c>
      <c r="B15" s="2527" t="s">
        <v>3585</v>
      </c>
      <c r="C15" s="2527" t="s">
        <v>1520</v>
      </c>
      <c r="D15" s="2527" t="s">
        <v>3586</v>
      </c>
      <c r="E15" s="2527" t="s">
        <v>3587</v>
      </c>
      <c r="F15" s="2527" t="s">
        <v>3588</v>
      </c>
    </row>
    <row r="16" spans="1:6" ht="30" hidden="1" customHeight="1" x14ac:dyDescent="0.25">
      <c r="A16" s="2521" t="s">
        <v>182</v>
      </c>
      <c r="B16" s="2522" t="s">
        <v>2</v>
      </c>
      <c r="C16" s="2522" t="s">
        <v>899</v>
      </c>
      <c r="D16" s="2528">
        <v>4904.1000000000004</v>
      </c>
      <c r="E16" s="2522">
        <v>5089.3900000000003</v>
      </c>
      <c r="F16" s="2522">
        <f>SUM(E16-D16)</f>
        <v>185.28999999999996</v>
      </c>
    </row>
    <row r="17" spans="1:6" ht="30" hidden="1" customHeight="1" x14ac:dyDescent="0.25">
      <c r="A17" s="2521" t="s">
        <v>185</v>
      </c>
      <c r="B17" s="2522" t="s">
        <v>8</v>
      </c>
      <c r="C17" s="2522" t="s">
        <v>899</v>
      </c>
      <c r="D17" s="2522">
        <v>229.76</v>
      </c>
      <c r="E17" s="2522">
        <v>652.05999999999995</v>
      </c>
      <c r="F17" s="2522">
        <f t="shared" ref="F17:F21" si="1">SUM(E17-D17)</f>
        <v>422.29999999999995</v>
      </c>
    </row>
    <row r="18" spans="1:6" ht="30" hidden="1" customHeight="1" x14ac:dyDescent="0.25">
      <c r="A18" s="2521" t="s">
        <v>936</v>
      </c>
      <c r="B18" s="2522" t="s">
        <v>3589</v>
      </c>
      <c r="C18" s="2522" t="s">
        <v>899</v>
      </c>
      <c r="D18" s="2522">
        <f>SUM(D19:D21)</f>
        <v>951.03</v>
      </c>
      <c r="E18" s="2522">
        <f>SUM(E19:E21)</f>
        <v>1634.64</v>
      </c>
      <c r="F18" s="2522">
        <f t="shared" si="1"/>
        <v>683.61000000000013</v>
      </c>
    </row>
    <row r="19" spans="1:6" ht="30" hidden="1" customHeight="1" x14ac:dyDescent="0.25">
      <c r="A19" s="2521" t="s">
        <v>3590</v>
      </c>
      <c r="B19" s="2523" t="s">
        <v>3591</v>
      </c>
      <c r="C19" s="2523" t="s">
        <v>899</v>
      </c>
      <c r="D19" s="2523">
        <v>710.16</v>
      </c>
      <c r="E19" s="2523">
        <v>783.85</v>
      </c>
      <c r="F19" s="2522">
        <f t="shared" si="1"/>
        <v>73.690000000000055</v>
      </c>
    </row>
    <row r="20" spans="1:6" ht="30" hidden="1" customHeight="1" x14ac:dyDescent="0.25">
      <c r="A20" s="2521" t="s">
        <v>3592</v>
      </c>
      <c r="B20" s="2524" t="s">
        <v>3593</v>
      </c>
      <c r="C20" s="2523" t="s">
        <v>899</v>
      </c>
      <c r="D20" s="2523">
        <v>36.71</v>
      </c>
      <c r="E20" s="2523">
        <v>469.97</v>
      </c>
      <c r="F20" s="2523">
        <f t="shared" si="1"/>
        <v>433.26000000000005</v>
      </c>
    </row>
    <row r="21" spans="1:6" ht="30" hidden="1" customHeight="1" x14ac:dyDescent="0.25">
      <c r="A21" s="2521" t="s">
        <v>3594</v>
      </c>
      <c r="B21" s="2524" t="s">
        <v>3595</v>
      </c>
      <c r="C21" s="2523" t="s">
        <v>899</v>
      </c>
      <c r="D21" s="2523">
        <v>204.16</v>
      </c>
      <c r="E21" s="2523">
        <v>380.82</v>
      </c>
      <c r="F21" s="2522">
        <f t="shared" si="1"/>
        <v>176.66</v>
      </c>
    </row>
    <row r="22" spans="1:6" ht="30" hidden="1" customHeight="1" x14ac:dyDescent="0.25">
      <c r="A22" s="2521"/>
      <c r="B22" s="2526" t="s">
        <v>614</v>
      </c>
      <c r="C22" s="2526" t="s">
        <v>899</v>
      </c>
      <c r="D22" s="2529">
        <f>SUM(D16:D18)</f>
        <v>6084.89</v>
      </c>
      <c r="E22" s="2529">
        <f>SUM(E16:E18)</f>
        <v>7376.0900000000011</v>
      </c>
      <c r="F22" s="2529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6305" t="s">
        <v>4061</v>
      </c>
      <c r="B26" s="6305"/>
      <c r="C26" s="6305"/>
      <c r="D26" s="6305"/>
      <c r="E26" s="6305"/>
      <c r="F26" s="6305"/>
    </row>
    <row r="27" spans="1:6" x14ac:dyDescent="0.25">
      <c r="A27" s="6298" t="s">
        <v>345</v>
      </c>
      <c r="B27" s="6303"/>
      <c r="C27" s="6303"/>
      <c r="D27" s="6303"/>
      <c r="E27" s="6303"/>
      <c r="F27" s="6304"/>
    </row>
    <row r="28" spans="1:6" ht="45" x14ac:dyDescent="0.25">
      <c r="A28" s="2527" t="s">
        <v>3584</v>
      </c>
      <c r="B28" s="2527" t="s">
        <v>3585</v>
      </c>
      <c r="C28" s="2527" t="s">
        <v>1520</v>
      </c>
      <c r="D28" s="2527" t="s">
        <v>4066</v>
      </c>
      <c r="E28" s="2527" t="s">
        <v>4067</v>
      </c>
      <c r="F28" s="2527" t="s">
        <v>3588</v>
      </c>
    </row>
    <row r="29" spans="1:6" ht="30" customHeight="1" x14ac:dyDescent="0.25">
      <c r="A29" s="2545" t="s">
        <v>182</v>
      </c>
      <c r="B29" s="2526" t="s">
        <v>2</v>
      </c>
      <c r="C29" s="2526" t="s">
        <v>899</v>
      </c>
      <c r="D29" s="2546">
        <f>SUM(BQ75)</f>
        <v>6142.71</v>
      </c>
      <c r="E29" s="2546">
        <f>SUM(CI70:CI73)</f>
        <v>10497.723999999998</v>
      </c>
      <c r="F29" s="2546">
        <f>SUM(E29-D29)</f>
        <v>4355.0139999999983</v>
      </c>
    </row>
    <row r="30" spans="1:6" ht="30" customHeight="1" x14ac:dyDescent="0.25">
      <c r="A30" s="2545">
        <v>2</v>
      </c>
      <c r="B30" s="2526" t="s">
        <v>3601</v>
      </c>
      <c r="C30" s="2526" t="s">
        <v>899</v>
      </c>
      <c r="D30" s="2546">
        <f>SUM(D31:D38)</f>
        <v>14060.78</v>
      </c>
      <c r="E30" s="2546">
        <f>SUM(E31:E38)</f>
        <v>15908.42</v>
      </c>
      <c r="F30" s="2546">
        <f>SUM(F31:F38)</f>
        <v>1847.6400000000006</v>
      </c>
    </row>
    <row r="31" spans="1:6" ht="30" customHeight="1" x14ac:dyDescent="0.25">
      <c r="A31" s="2525" t="s">
        <v>186</v>
      </c>
      <c r="B31" s="2524" t="s">
        <v>52</v>
      </c>
      <c r="C31" s="2523" t="s">
        <v>899</v>
      </c>
      <c r="D31" s="2530">
        <v>169.79</v>
      </c>
      <c r="E31" s="2530">
        <v>292.32</v>
      </c>
      <c r="F31" s="2531">
        <f t="shared" ref="F31" si="2">SUM(E31-D31)</f>
        <v>122.53</v>
      </c>
    </row>
    <row r="32" spans="1:6" ht="30" customHeight="1" x14ac:dyDescent="0.25">
      <c r="A32" s="2525" t="s">
        <v>187</v>
      </c>
      <c r="B32" s="2524" t="s">
        <v>42</v>
      </c>
      <c r="C32" s="2523" t="s">
        <v>899</v>
      </c>
      <c r="D32" s="2530">
        <v>88.89</v>
      </c>
      <c r="E32" s="2530">
        <v>106.04</v>
      </c>
      <c r="F32" s="2531">
        <f t="shared" ref="F32:F40" si="3">SUM(E32-D32)</f>
        <v>17.150000000000006</v>
      </c>
    </row>
    <row r="33" spans="1:6" ht="30" customHeight="1" x14ac:dyDescent="0.25">
      <c r="A33" s="2525" t="s">
        <v>196</v>
      </c>
      <c r="B33" s="3561" t="s">
        <v>70</v>
      </c>
      <c r="C33" s="2523" t="s">
        <v>899</v>
      </c>
      <c r="D33" s="2530">
        <v>8206.66</v>
      </c>
      <c r="E33" s="2530">
        <v>8328.92</v>
      </c>
      <c r="F33" s="2531">
        <f t="shared" si="3"/>
        <v>122.26000000000022</v>
      </c>
    </row>
    <row r="34" spans="1:6" ht="30" customHeight="1" x14ac:dyDescent="0.25">
      <c r="A34" s="2525" t="s">
        <v>197</v>
      </c>
      <c r="B34" s="2524" t="s">
        <v>3924</v>
      </c>
      <c r="C34" s="2523" t="s">
        <v>899</v>
      </c>
      <c r="D34" s="2530">
        <v>2431.59</v>
      </c>
      <c r="E34" s="2530">
        <v>2502.0300000000002</v>
      </c>
      <c r="F34" s="2531">
        <f t="shared" si="3"/>
        <v>70.440000000000055</v>
      </c>
    </row>
    <row r="35" spans="1:6" ht="30" customHeight="1" x14ac:dyDescent="0.25">
      <c r="A35" s="2525" t="s">
        <v>3605</v>
      </c>
      <c r="B35" s="2524" t="s">
        <v>31</v>
      </c>
      <c r="C35" s="2523" t="s">
        <v>899</v>
      </c>
      <c r="D35" s="2530">
        <v>1918.3</v>
      </c>
      <c r="E35" s="2530">
        <v>2328.71</v>
      </c>
      <c r="F35" s="2531">
        <f t="shared" si="3"/>
        <v>410.41000000000008</v>
      </c>
    </row>
    <row r="36" spans="1:6" ht="30" customHeight="1" x14ac:dyDescent="0.25">
      <c r="A36" s="2525" t="s">
        <v>3606</v>
      </c>
      <c r="B36" s="2524" t="s">
        <v>588</v>
      </c>
      <c r="C36" s="2523" t="s">
        <v>899</v>
      </c>
      <c r="D36" s="2530">
        <v>799.42</v>
      </c>
      <c r="E36" s="2530">
        <v>1147.78</v>
      </c>
      <c r="F36" s="2531">
        <f t="shared" si="3"/>
        <v>348.36</v>
      </c>
    </row>
    <row r="37" spans="1:6" ht="30" customHeight="1" x14ac:dyDescent="0.25">
      <c r="A37" s="2525" t="s">
        <v>3607</v>
      </c>
      <c r="B37" s="2524" t="s">
        <v>37</v>
      </c>
      <c r="C37" s="2523" t="s">
        <v>899</v>
      </c>
      <c r="D37" s="2530">
        <v>389.04</v>
      </c>
      <c r="E37" s="2530">
        <v>1079.24</v>
      </c>
      <c r="F37" s="2531">
        <f t="shared" si="3"/>
        <v>690.2</v>
      </c>
    </row>
    <row r="38" spans="1:6" ht="30" customHeight="1" x14ac:dyDescent="0.25">
      <c r="A38" s="2525" t="s">
        <v>4073</v>
      </c>
      <c r="B38" s="2524" t="s">
        <v>3604</v>
      </c>
      <c r="C38" s="2523" t="s">
        <v>899</v>
      </c>
      <c r="D38" s="2530">
        <v>57.09</v>
      </c>
      <c r="E38" s="2530">
        <v>123.38</v>
      </c>
      <c r="F38" s="2531">
        <f t="shared" si="3"/>
        <v>66.289999999999992</v>
      </c>
    </row>
    <row r="39" spans="1:6" ht="30" customHeight="1" x14ac:dyDescent="0.25">
      <c r="A39" s="2545" t="s">
        <v>936</v>
      </c>
      <c r="B39" s="2526" t="s">
        <v>3596</v>
      </c>
      <c r="C39" s="2526" t="s">
        <v>899</v>
      </c>
      <c r="D39" s="2529">
        <f>SUM(D40)</f>
        <v>0</v>
      </c>
      <c r="E39" s="2526">
        <f>SUM(E40)</f>
        <v>1638.7244699999999</v>
      </c>
      <c r="F39" s="2529">
        <f>SUM(F40)</f>
        <v>1638.7244699999999</v>
      </c>
    </row>
    <row r="40" spans="1:6" ht="30" customHeight="1" x14ac:dyDescent="0.25">
      <c r="A40" s="2525" t="s">
        <v>3590</v>
      </c>
      <c r="B40" s="2523" t="s">
        <v>3961</v>
      </c>
      <c r="C40" s="2523" t="s">
        <v>899</v>
      </c>
      <c r="D40" s="2531">
        <v>0</v>
      </c>
      <c r="E40" s="2523">
        <f>SUM('Налог на прибыль'!F43)/1000</f>
        <v>1638.7244699999999</v>
      </c>
      <c r="F40" s="2531">
        <f t="shared" si="3"/>
        <v>1638.7244699999999</v>
      </c>
    </row>
    <row r="41" spans="1:6" ht="30" customHeight="1" x14ac:dyDescent="0.25">
      <c r="A41" s="2521"/>
      <c r="B41" s="2526" t="s">
        <v>614</v>
      </c>
      <c r="C41" s="2526" t="s">
        <v>899</v>
      </c>
      <c r="D41" s="2529">
        <f>SUM(D29+D30+D39)</f>
        <v>20203.490000000002</v>
      </c>
      <c r="E41" s="2529">
        <f>SUM(E29+E30+E39)</f>
        <v>28044.868470000001</v>
      </c>
      <c r="F41" s="2529">
        <f>SUM(F29+F30+F39)</f>
        <v>7841.3784699999987</v>
      </c>
    </row>
    <row r="42" spans="1:6" x14ac:dyDescent="0.25">
      <c r="A42" s="6298" t="s">
        <v>335</v>
      </c>
      <c r="B42" s="6299"/>
      <c r="C42" s="6299"/>
      <c r="D42" s="6299"/>
      <c r="E42" s="6299"/>
      <c r="F42" s="6300"/>
    </row>
    <row r="43" spans="1:6" ht="45" x14ac:dyDescent="0.25">
      <c r="A43" s="2527" t="s">
        <v>3600</v>
      </c>
      <c r="B43" s="2527" t="s">
        <v>3585</v>
      </c>
      <c r="C43" s="2527" t="s">
        <v>1520</v>
      </c>
      <c r="D43" s="2527" t="s">
        <v>4066</v>
      </c>
      <c r="E43" s="2527" t="s">
        <v>4067</v>
      </c>
      <c r="F43" s="2527" t="s">
        <v>3588</v>
      </c>
    </row>
    <row r="44" spans="1:6" ht="30" customHeight="1" x14ac:dyDescent="0.25">
      <c r="A44" s="2545" t="s">
        <v>182</v>
      </c>
      <c r="B44" s="2526" t="s">
        <v>2</v>
      </c>
      <c r="C44" s="2526" t="s">
        <v>899</v>
      </c>
      <c r="D44" s="2546">
        <f>SUM(BQ80)</f>
        <v>5132.62</v>
      </c>
      <c r="E44" s="2546">
        <f>SUM(CI80)</f>
        <v>5490.75</v>
      </c>
      <c r="F44" s="2526">
        <f>SUM(E44-D44)</f>
        <v>358.13000000000011</v>
      </c>
    </row>
    <row r="45" spans="1:6" ht="30" customHeight="1" x14ac:dyDescent="0.25">
      <c r="A45" s="2545" t="s">
        <v>3602</v>
      </c>
      <c r="B45" s="2526" t="s">
        <v>3601</v>
      </c>
      <c r="C45" s="2526" t="s">
        <v>899</v>
      </c>
      <c r="D45" s="2546">
        <f>SUM(D46:D51)</f>
        <v>10811.64</v>
      </c>
      <c r="E45" s="2546">
        <f>SUM(E46:E51)</f>
        <v>13195.59</v>
      </c>
      <c r="F45" s="2526">
        <f>SUM(E45-D45)</f>
        <v>2383.9500000000007</v>
      </c>
    </row>
    <row r="46" spans="1:6" ht="30" customHeight="1" x14ac:dyDescent="0.25">
      <c r="A46" s="2525" t="s">
        <v>186</v>
      </c>
      <c r="B46" s="2523" t="s">
        <v>31</v>
      </c>
      <c r="C46" s="2523" t="s">
        <v>899</v>
      </c>
      <c r="D46" s="2530">
        <v>1478.35</v>
      </c>
      <c r="E46" s="2530">
        <v>1891.54</v>
      </c>
      <c r="F46" s="2531">
        <f t="shared" ref="F46:F51" si="4">SUM(E46-D46)</f>
        <v>413.19000000000005</v>
      </c>
    </row>
    <row r="47" spans="1:6" ht="30" customHeight="1" x14ac:dyDescent="0.25">
      <c r="A47" s="2525" t="s">
        <v>187</v>
      </c>
      <c r="B47" s="3561" t="s">
        <v>70</v>
      </c>
      <c r="C47" s="2523" t="s">
        <v>899</v>
      </c>
      <c r="D47" s="2530">
        <v>6529.39</v>
      </c>
      <c r="E47" s="2530">
        <v>7559.19</v>
      </c>
      <c r="F47" s="2531">
        <f t="shared" si="4"/>
        <v>1029.7999999999993</v>
      </c>
    </row>
    <row r="48" spans="1:6" ht="30" customHeight="1" x14ac:dyDescent="0.25">
      <c r="A48" s="2525" t="s">
        <v>196</v>
      </c>
      <c r="B48" s="2524" t="s">
        <v>3924</v>
      </c>
      <c r="C48" s="2523" t="s">
        <v>899</v>
      </c>
      <c r="D48" s="2530">
        <v>1962.08</v>
      </c>
      <c r="E48" s="2530">
        <v>2271.6799999999998</v>
      </c>
      <c r="F48" s="2531">
        <f t="shared" si="4"/>
        <v>309.59999999999991</v>
      </c>
    </row>
    <row r="49" spans="1:6" ht="30" customHeight="1" x14ac:dyDescent="0.25">
      <c r="A49" s="2525" t="s">
        <v>197</v>
      </c>
      <c r="B49" s="2524" t="s">
        <v>37</v>
      </c>
      <c r="C49" s="2523" t="s">
        <v>899</v>
      </c>
      <c r="D49" s="2530">
        <v>416.33</v>
      </c>
      <c r="E49" s="2530">
        <v>899.81</v>
      </c>
      <c r="F49" s="2531">
        <f t="shared" si="4"/>
        <v>483.47999999999996</v>
      </c>
    </row>
    <row r="50" spans="1:6" ht="30" customHeight="1" x14ac:dyDescent="0.25">
      <c r="A50" s="2547" t="s">
        <v>3605</v>
      </c>
      <c r="B50" s="2524" t="s">
        <v>42</v>
      </c>
      <c r="C50" s="3559" t="s">
        <v>899</v>
      </c>
      <c r="D50" s="3560">
        <v>52.13</v>
      </c>
      <c r="E50" s="3560">
        <v>74.599999999999994</v>
      </c>
      <c r="F50" s="2531">
        <f t="shared" si="4"/>
        <v>22.469999999999992</v>
      </c>
    </row>
    <row r="51" spans="1:6" ht="30" customHeight="1" x14ac:dyDescent="0.25">
      <c r="A51" s="2547" t="s">
        <v>3606</v>
      </c>
      <c r="B51" s="3561" t="s">
        <v>73</v>
      </c>
      <c r="C51" s="3559" t="s">
        <v>899</v>
      </c>
      <c r="D51" s="3560">
        <v>373.36</v>
      </c>
      <c r="E51" s="3560">
        <v>498.77</v>
      </c>
      <c r="F51" s="2531">
        <f t="shared" si="4"/>
        <v>125.40999999999997</v>
      </c>
    </row>
    <row r="52" spans="1:6" ht="30" customHeight="1" x14ac:dyDescent="0.25">
      <c r="A52" s="2545" t="s">
        <v>936</v>
      </c>
      <c r="B52" s="2526" t="s">
        <v>3596</v>
      </c>
      <c r="C52" s="2526" t="s">
        <v>899</v>
      </c>
      <c r="D52" s="2526">
        <v>2303.6</v>
      </c>
      <c r="E52" s="2529">
        <f>SUM(E53)</f>
        <v>1092.48298</v>
      </c>
      <c r="F52" s="2529">
        <f>SUM(F53)</f>
        <v>-1211.1170199999999</v>
      </c>
    </row>
    <row r="53" spans="1:6" ht="30" customHeight="1" x14ac:dyDescent="0.25">
      <c r="A53" s="2525" t="s">
        <v>3590</v>
      </c>
      <c r="B53" s="2523" t="s">
        <v>3961</v>
      </c>
      <c r="C53" s="2523" t="s">
        <v>899</v>
      </c>
      <c r="D53" s="2531">
        <v>0</v>
      </c>
      <c r="E53" s="2530">
        <f>SUM('Налог на прибыль'!G43)/1000</f>
        <v>1092.48298</v>
      </c>
      <c r="F53" s="2531">
        <f>SUM(E53-D52)</f>
        <v>-1211.1170199999999</v>
      </c>
    </row>
    <row r="54" spans="1:6" ht="30" customHeight="1" x14ac:dyDescent="0.25">
      <c r="A54" s="2521"/>
      <c r="B54" s="2526" t="s">
        <v>614</v>
      </c>
      <c r="C54" s="2526" t="s">
        <v>899</v>
      </c>
      <c r="D54" s="2529">
        <f>SUM(D44+D45+D52)</f>
        <v>18247.859999999997</v>
      </c>
      <c r="E54" s="2529">
        <f t="shared" ref="E54:F54" si="5">SUM(E44+E45+E52)</f>
        <v>19778.822980000001</v>
      </c>
      <c r="F54" s="2529">
        <f t="shared" si="5"/>
        <v>1530.9629800000009</v>
      </c>
    </row>
    <row r="57" spans="1:6" x14ac:dyDescent="0.25">
      <c r="D57" s="3983"/>
    </row>
    <row r="59" spans="1:6" ht="18.75" x14ac:dyDescent="0.3">
      <c r="A59" s="2532" t="s">
        <v>4042</v>
      </c>
    </row>
    <row r="65" spans="13:90" ht="18.75" x14ac:dyDescent="0.3">
      <c r="M65" s="5637" t="s">
        <v>4064</v>
      </c>
      <c r="N65" s="5841"/>
      <c r="O65" s="5841"/>
      <c r="P65" s="5841"/>
      <c r="Q65" s="5841"/>
      <c r="R65" s="5841"/>
      <c r="S65" s="5841"/>
      <c r="T65" s="5841"/>
      <c r="U65" s="5841"/>
      <c r="V65" s="5841"/>
      <c r="W65" s="5841"/>
      <c r="X65" s="5841"/>
      <c r="Y65" s="5841"/>
      <c r="Z65" s="5841"/>
      <c r="AA65" s="5841"/>
      <c r="AB65" s="5841"/>
      <c r="AC65" s="5841"/>
      <c r="AD65" s="5841"/>
      <c r="AE65" s="5841"/>
      <c r="AF65" s="5841"/>
      <c r="AG65" s="5841"/>
      <c r="AH65" s="5841"/>
      <c r="AI65" s="5841"/>
      <c r="AJ65" s="5841"/>
      <c r="AK65" s="5841"/>
      <c r="AL65" s="5841"/>
      <c r="AM65" s="5841"/>
      <c r="AN65" s="5841"/>
      <c r="AO65" s="5841"/>
      <c r="AP65" s="5841"/>
      <c r="AQ65" s="5841"/>
      <c r="AR65" s="5841"/>
      <c r="AS65" s="5841"/>
      <c r="AT65" s="5841"/>
      <c r="AU65" s="5841"/>
      <c r="AV65" s="5841"/>
      <c r="AW65" s="5841"/>
      <c r="AX65" s="5841"/>
      <c r="AY65" s="5841"/>
      <c r="AZ65" s="5841"/>
      <c r="BA65" s="5841"/>
      <c r="BB65" s="5841"/>
      <c r="BC65" s="5841"/>
      <c r="BD65" s="5841"/>
      <c r="BE65" s="5841"/>
      <c r="BF65" s="5841"/>
      <c r="BG65" s="5841"/>
      <c r="BH65" s="5841"/>
      <c r="BI65" s="5841"/>
      <c r="BJ65" s="5841"/>
      <c r="BK65" s="5841"/>
      <c r="BL65" s="5841"/>
      <c r="BM65" s="5841"/>
      <c r="BN65" s="5841"/>
      <c r="BO65" s="5841"/>
      <c r="BP65" s="5841"/>
      <c r="BQ65" s="5841"/>
      <c r="BR65" s="4910"/>
      <c r="BS65" s="4910"/>
      <c r="BT65" s="4910"/>
      <c r="BU65" s="4910"/>
      <c r="BV65" s="4910"/>
      <c r="BW65" s="4910"/>
      <c r="BX65" s="4910"/>
      <c r="BY65" s="4910"/>
      <c r="BZ65" s="4910"/>
      <c r="CA65" s="4910"/>
      <c r="CB65" s="4910"/>
      <c r="CC65" s="4910"/>
      <c r="CD65" s="4910"/>
      <c r="CE65" s="4910"/>
      <c r="CF65" s="4910"/>
      <c r="CG65" s="4910"/>
      <c r="CH65" s="4910"/>
      <c r="CI65" s="4910"/>
      <c r="CJ65" s="4910"/>
      <c r="CK65" s="4910"/>
      <c r="CL65" s="4910"/>
    </row>
    <row r="66" spans="13:90" x14ac:dyDescent="0.25"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</row>
    <row r="67" spans="13:90" ht="38.25" x14ac:dyDescent="0.25">
      <c r="M67" s="5155" t="s">
        <v>525</v>
      </c>
      <c r="N67" s="3949"/>
      <c r="O67" s="3949"/>
      <c r="P67" s="3949"/>
      <c r="Q67" s="5842" t="s">
        <v>227</v>
      </c>
      <c r="R67" s="5843"/>
      <c r="S67" s="5843"/>
      <c r="T67" s="5843"/>
      <c r="U67" s="5843"/>
      <c r="V67" s="5843"/>
      <c r="W67" s="5843"/>
      <c r="X67" s="5844"/>
      <c r="Y67" s="5627" t="s">
        <v>362</v>
      </c>
      <c r="Z67" s="5845"/>
      <c r="AA67" s="5845"/>
      <c r="AB67" s="5845"/>
      <c r="AC67" s="5845"/>
      <c r="AD67" s="5845"/>
      <c r="AE67" s="5846"/>
      <c r="AF67" s="5842" t="s">
        <v>815</v>
      </c>
      <c r="AG67" s="5843"/>
      <c r="AH67" s="5843"/>
      <c r="AI67" s="5843"/>
      <c r="AJ67" s="5843"/>
      <c r="AK67" s="5844"/>
      <c r="AL67" s="2095" t="s">
        <v>1534</v>
      </c>
      <c r="AM67" s="5627" t="s">
        <v>892</v>
      </c>
      <c r="AN67" s="5845"/>
      <c r="AO67" s="5846"/>
      <c r="AP67" s="3941" t="s">
        <v>893</v>
      </c>
      <c r="AQ67" s="5853" t="s">
        <v>893</v>
      </c>
      <c r="AR67" s="5853"/>
      <c r="AS67" s="5854"/>
      <c r="AT67" s="5627" t="s">
        <v>3510</v>
      </c>
      <c r="AU67" s="5845"/>
      <c r="AV67" s="5845"/>
      <c r="AW67" s="5845"/>
      <c r="AX67" s="5845"/>
      <c r="AY67" s="5846"/>
      <c r="AZ67" s="3939" t="s">
        <v>1805</v>
      </c>
      <c r="BA67" s="3939" t="s">
        <v>1806</v>
      </c>
      <c r="BB67" s="3939" t="s">
        <v>1807</v>
      </c>
      <c r="BC67" s="3939" t="s">
        <v>1808</v>
      </c>
      <c r="BD67" s="3939" t="s">
        <v>1809</v>
      </c>
      <c r="BE67" s="5627" t="s">
        <v>3659</v>
      </c>
      <c r="BF67" s="5531"/>
      <c r="BG67" s="5575" t="s">
        <v>3614</v>
      </c>
      <c r="BH67" s="5523"/>
      <c r="BI67" s="5523"/>
      <c r="BJ67" s="5575" t="s">
        <v>3615</v>
      </c>
      <c r="BK67" s="5523"/>
      <c r="BL67" s="5523"/>
      <c r="BM67" s="6295" t="s">
        <v>4054</v>
      </c>
      <c r="BN67" s="6296"/>
      <c r="BO67" s="6297"/>
      <c r="BP67" s="5575" t="s">
        <v>3846</v>
      </c>
      <c r="BQ67" s="5521"/>
      <c r="BR67" s="5575" t="s">
        <v>3867</v>
      </c>
      <c r="BS67" s="5523"/>
      <c r="BT67" s="5523"/>
      <c r="BU67" s="5575" t="s">
        <v>3868</v>
      </c>
      <c r="BV67" s="5523"/>
      <c r="BW67" s="5523"/>
      <c r="BX67" s="6295" t="s">
        <v>4055</v>
      </c>
      <c r="BY67" s="6296"/>
      <c r="BZ67" s="6297"/>
      <c r="CA67" s="5575" t="s">
        <v>3895</v>
      </c>
      <c r="CB67" s="5521"/>
      <c r="CC67" s="5575" t="s">
        <v>3929</v>
      </c>
      <c r="CD67" s="5523"/>
      <c r="CE67" s="5523"/>
      <c r="CF67" s="5575" t="s">
        <v>3930</v>
      </c>
      <c r="CG67" s="5523"/>
      <c r="CH67" s="5523"/>
      <c r="CI67" s="6295" t="s">
        <v>4062</v>
      </c>
      <c r="CJ67" s="6296"/>
      <c r="CK67" s="6297"/>
      <c r="CL67" s="5861" t="s">
        <v>4063</v>
      </c>
    </row>
    <row r="68" spans="13:90" ht="51" x14ac:dyDescent="0.25">
      <c r="M68" s="5155"/>
      <c r="N68" s="3949"/>
      <c r="O68" s="3949"/>
      <c r="P68" s="3949"/>
      <c r="Q68" s="5144" t="s">
        <v>554</v>
      </c>
      <c r="R68" s="3936" t="s">
        <v>160</v>
      </c>
      <c r="S68" s="5144" t="s">
        <v>236</v>
      </c>
      <c r="T68" s="5144" t="s">
        <v>555</v>
      </c>
      <c r="U68" s="5144" t="s">
        <v>370</v>
      </c>
      <c r="V68" s="3936" t="s">
        <v>238</v>
      </c>
      <c r="W68" s="3936"/>
      <c r="X68" s="5144" t="s">
        <v>60</v>
      </c>
      <c r="Y68" s="5144" t="s">
        <v>554</v>
      </c>
      <c r="Z68" s="5144" t="s">
        <v>160</v>
      </c>
      <c r="AA68" s="5144" t="s">
        <v>236</v>
      </c>
      <c r="AB68" s="5144" t="s">
        <v>818</v>
      </c>
      <c r="AC68" s="5144" t="s">
        <v>555</v>
      </c>
      <c r="AD68" s="5144" t="s">
        <v>370</v>
      </c>
      <c r="AE68" s="5144" t="s">
        <v>60</v>
      </c>
      <c r="AF68" s="5144" t="s">
        <v>554</v>
      </c>
      <c r="AG68" s="5837" t="s">
        <v>1585</v>
      </c>
      <c r="AH68" s="1966"/>
      <c r="AI68" s="5837" t="s">
        <v>60</v>
      </c>
      <c r="AJ68" s="5837" t="s">
        <v>1675</v>
      </c>
      <c r="AK68" s="1966" t="s">
        <v>237</v>
      </c>
      <c r="AL68" s="1966" t="s">
        <v>118</v>
      </c>
      <c r="AM68" s="5837" t="s">
        <v>1679</v>
      </c>
      <c r="AN68" s="5837" t="s">
        <v>60</v>
      </c>
      <c r="AO68" s="5837" t="s">
        <v>1675</v>
      </c>
      <c r="AP68" s="1966" t="s">
        <v>118</v>
      </c>
      <c r="AQ68" s="5837" t="s">
        <v>1679</v>
      </c>
      <c r="AR68" s="3950"/>
      <c r="AS68" s="5837" t="s">
        <v>60</v>
      </c>
      <c r="AT68" s="5629" t="s">
        <v>118</v>
      </c>
      <c r="AU68" s="5847"/>
      <c r="AV68" s="5847"/>
      <c r="AW68" s="5847"/>
      <c r="AX68" s="5848"/>
      <c r="AY68" s="5629" t="s">
        <v>1521</v>
      </c>
      <c r="AZ68" s="5847"/>
      <c r="BA68" s="5847"/>
      <c r="BB68" s="5847"/>
      <c r="BC68" s="5847"/>
      <c r="BD68" s="5848"/>
      <c r="BE68" s="5837" t="s">
        <v>3511</v>
      </c>
      <c r="BF68" s="5837" t="s">
        <v>3660</v>
      </c>
      <c r="BG68" s="5144" t="s">
        <v>288</v>
      </c>
      <c r="BH68" s="5144" t="s">
        <v>3625</v>
      </c>
      <c r="BI68" s="5144"/>
      <c r="BJ68" s="5144" t="s">
        <v>288</v>
      </c>
      <c r="BK68" s="5144" t="s">
        <v>3625</v>
      </c>
      <c r="BL68" s="5144"/>
      <c r="BM68" s="6289"/>
      <c r="BN68" s="6089"/>
      <c r="BO68" s="6290"/>
      <c r="BP68" s="5837" t="s">
        <v>3511</v>
      </c>
      <c r="BQ68" s="5837" t="s">
        <v>3660</v>
      </c>
      <c r="BR68" s="5144" t="s">
        <v>288</v>
      </c>
      <c r="BS68" s="5144" t="s">
        <v>3625</v>
      </c>
      <c r="BT68" s="5144"/>
      <c r="BU68" s="5144" t="s">
        <v>288</v>
      </c>
      <c r="BV68" s="5144" t="s">
        <v>3625</v>
      </c>
      <c r="BW68" s="5144"/>
      <c r="BX68" s="6289"/>
      <c r="BY68" s="6089"/>
      <c r="BZ68" s="6290"/>
      <c r="CA68" s="5837" t="s">
        <v>3511</v>
      </c>
      <c r="CB68" s="5837" t="s">
        <v>3660</v>
      </c>
      <c r="CC68" s="5144" t="s">
        <v>288</v>
      </c>
      <c r="CD68" s="5144" t="s">
        <v>3625</v>
      </c>
      <c r="CE68" s="5144"/>
      <c r="CF68" s="5144" t="s">
        <v>288</v>
      </c>
      <c r="CG68" s="5144" t="s">
        <v>3625</v>
      </c>
      <c r="CH68" s="5144"/>
      <c r="CI68" s="6289"/>
      <c r="CJ68" s="6089"/>
      <c r="CK68" s="6290"/>
      <c r="CL68" s="5651"/>
    </row>
    <row r="69" spans="13:90" ht="51" x14ac:dyDescent="0.25">
      <c r="M69" s="5155"/>
      <c r="N69" s="3949"/>
      <c r="O69" s="3949"/>
      <c r="P69" s="3949"/>
      <c r="Q69" s="5144"/>
      <c r="R69" s="3936"/>
      <c r="S69" s="5144"/>
      <c r="T69" s="5144"/>
      <c r="U69" s="5144"/>
      <c r="V69" s="3936"/>
      <c r="W69" s="3936"/>
      <c r="X69" s="5144"/>
      <c r="Y69" s="5144"/>
      <c r="Z69" s="5144"/>
      <c r="AA69" s="5144"/>
      <c r="AB69" s="5144"/>
      <c r="AC69" s="5144"/>
      <c r="AD69" s="5144"/>
      <c r="AE69" s="5144"/>
      <c r="AF69" s="5144"/>
      <c r="AG69" s="5852"/>
      <c r="AH69" s="1966" t="s">
        <v>817</v>
      </c>
      <c r="AI69" s="5852"/>
      <c r="AJ69" s="5852"/>
      <c r="AK69" s="1966" t="s">
        <v>237</v>
      </c>
      <c r="AL69" s="1966" t="s">
        <v>118</v>
      </c>
      <c r="AM69" s="5852"/>
      <c r="AN69" s="5852"/>
      <c r="AO69" s="5852"/>
      <c r="AP69" s="1966" t="s">
        <v>118</v>
      </c>
      <c r="AQ69" s="5652"/>
      <c r="AR69" s="3951"/>
      <c r="AS69" s="5647"/>
      <c r="AT69" s="5849"/>
      <c r="AU69" s="5850"/>
      <c r="AV69" s="5850"/>
      <c r="AW69" s="5850"/>
      <c r="AX69" s="5851"/>
      <c r="AY69" s="5849"/>
      <c r="AZ69" s="5850"/>
      <c r="BA69" s="5850"/>
      <c r="BB69" s="5850"/>
      <c r="BC69" s="5850"/>
      <c r="BD69" s="5851"/>
      <c r="BE69" s="5652"/>
      <c r="BF69" s="5652"/>
      <c r="BG69" s="5144"/>
      <c r="BH69" s="3936" t="s">
        <v>1692</v>
      </c>
      <c r="BI69" s="3936" t="s">
        <v>3626</v>
      </c>
      <c r="BJ69" s="5144"/>
      <c r="BK69" s="3936" t="s">
        <v>1692</v>
      </c>
      <c r="BL69" s="3936" t="s">
        <v>3626</v>
      </c>
      <c r="BM69" s="5535"/>
      <c r="BN69" s="5536"/>
      <c r="BO69" s="5537"/>
      <c r="BP69" s="5652"/>
      <c r="BQ69" s="5652"/>
      <c r="BR69" s="5144"/>
      <c r="BS69" s="3936" t="s">
        <v>1692</v>
      </c>
      <c r="BT69" s="3936" t="s">
        <v>3626</v>
      </c>
      <c r="BU69" s="5144"/>
      <c r="BV69" s="3936" t="s">
        <v>1692</v>
      </c>
      <c r="BW69" s="3936" t="s">
        <v>3626</v>
      </c>
      <c r="BX69" s="5535"/>
      <c r="BY69" s="5536"/>
      <c r="BZ69" s="5537"/>
      <c r="CA69" s="5652"/>
      <c r="CB69" s="5652"/>
      <c r="CC69" s="5144"/>
      <c r="CD69" s="3936" t="s">
        <v>1692</v>
      </c>
      <c r="CE69" s="3936" t="s">
        <v>3626</v>
      </c>
      <c r="CF69" s="5144"/>
      <c r="CG69" s="3936" t="s">
        <v>1692</v>
      </c>
      <c r="CH69" s="3936" t="s">
        <v>3626</v>
      </c>
      <c r="CI69" s="5535"/>
      <c r="CJ69" s="5536"/>
      <c r="CK69" s="5537"/>
      <c r="CL69" s="5652"/>
    </row>
    <row r="70" spans="13:90" x14ac:dyDescent="0.25">
      <c r="M70" s="1726" t="s">
        <v>82</v>
      </c>
      <c r="N70" s="1726"/>
      <c r="O70" s="1726"/>
      <c r="P70" s="1726"/>
      <c r="Q70" s="3945">
        <v>3847.4</v>
      </c>
      <c r="R70" s="3079" t="e">
        <f>Q70/#REF!*100</f>
        <v>#REF!</v>
      </c>
      <c r="S70" s="3945" t="e">
        <f>#REF!</f>
        <v>#REF!</v>
      </c>
      <c r="T70" s="3945">
        <v>1903.22</v>
      </c>
      <c r="U70" s="3945">
        <v>2781.7</v>
      </c>
      <c r="V70" s="3945">
        <v>3772</v>
      </c>
      <c r="W70" s="3945"/>
      <c r="X70" s="3945">
        <v>3695.7</v>
      </c>
      <c r="Y70" s="3945">
        <v>3759.1</v>
      </c>
      <c r="Z70" s="3079"/>
      <c r="AA70" s="3945">
        <f>Y70</f>
        <v>3759.1</v>
      </c>
      <c r="AB70" s="2149" t="e">
        <f>AA70/S70</f>
        <v>#REF!</v>
      </c>
      <c r="AC70" s="3945">
        <v>1827.75</v>
      </c>
      <c r="AD70" s="3945">
        <v>2733.41</v>
      </c>
      <c r="AE70" s="3945">
        <v>3621.84</v>
      </c>
      <c r="AF70" s="3945">
        <v>3759.1</v>
      </c>
      <c r="AG70" s="3945">
        <v>3644.55</v>
      </c>
      <c r="AH70" s="3080">
        <f>SUM(AG70/AA70)</f>
        <v>0.96952728046606906</v>
      </c>
      <c r="AI70" s="3080">
        <v>3566.58</v>
      </c>
      <c r="AJ70" s="3080">
        <v>3566.58</v>
      </c>
      <c r="AK70" s="3080"/>
      <c r="AL70" s="3080">
        <v>3621.84</v>
      </c>
      <c r="AM70" s="3080">
        <f>AL70</f>
        <v>3621.84</v>
      </c>
      <c r="AN70" s="3080">
        <v>3595.11</v>
      </c>
      <c r="AO70" s="3080">
        <f>AN70</f>
        <v>3595.11</v>
      </c>
      <c r="AP70" s="3080">
        <v>3566.58</v>
      </c>
      <c r="AQ70" s="3080">
        <f>AP70</f>
        <v>3566.58</v>
      </c>
      <c r="AR70" s="2149">
        <f t="shared" ref="AR70:AR79" si="6">AM70/AG70</f>
        <v>0.99376877803844099</v>
      </c>
      <c r="AS70" s="3081">
        <v>2969.39</v>
      </c>
      <c r="AT70" s="3082">
        <v>3595.11</v>
      </c>
      <c r="AU70" s="3082">
        <f>AT70</f>
        <v>3595.11</v>
      </c>
      <c r="AV70" s="3082">
        <f t="shared" ref="AV70:AX70" si="7">AU70</f>
        <v>3595.11</v>
      </c>
      <c r="AW70" s="3082">
        <f t="shared" si="7"/>
        <v>3595.11</v>
      </c>
      <c r="AX70" s="3082">
        <f t="shared" si="7"/>
        <v>3595.11</v>
      </c>
      <c r="AY70" s="3082">
        <v>3595.11</v>
      </c>
      <c r="AZ70" s="3082">
        <f>AY70</f>
        <v>3595.11</v>
      </c>
      <c r="BA70" s="3082">
        <f t="shared" ref="BA70:BD70" si="8">AZ70</f>
        <v>3595.11</v>
      </c>
      <c r="BB70" s="3082">
        <f t="shared" si="8"/>
        <v>3595.11</v>
      </c>
      <c r="BC70" s="3082">
        <f t="shared" si="8"/>
        <v>3595.11</v>
      </c>
      <c r="BD70" s="3082">
        <f t="shared" si="8"/>
        <v>3595.11</v>
      </c>
      <c r="BE70" s="3082">
        <f>SUM(AY70)</f>
        <v>3595.11</v>
      </c>
      <c r="BF70" s="3082">
        <f>SUM(AZ70)</f>
        <v>3595.11</v>
      </c>
      <c r="BG70" s="3082">
        <f>SUM(BH70:BI70)</f>
        <v>1155.57</v>
      </c>
      <c r="BH70" s="3082">
        <v>1155.57</v>
      </c>
      <c r="BI70" s="3082">
        <v>0</v>
      </c>
      <c r="BJ70" s="3082">
        <f>SUM(BK70:BL70)</f>
        <v>1731.27</v>
      </c>
      <c r="BK70" s="3082">
        <v>1731.27</v>
      </c>
      <c r="BL70" s="3082"/>
      <c r="BM70" s="3082">
        <f>SUM(BN70:BO70)</f>
        <v>2385.85</v>
      </c>
      <c r="BN70" s="3082">
        <v>2385.85</v>
      </c>
      <c r="BO70" s="3080"/>
      <c r="BP70" s="3080">
        <v>2385.85</v>
      </c>
      <c r="BQ70" s="3080">
        <f>SUM(BP70/BP75*BQ75)</f>
        <v>1251.653402217785</v>
      </c>
      <c r="BR70" s="3082">
        <f>SUM(BS70:BT70)</f>
        <v>1443.085</v>
      </c>
      <c r="BS70" s="3082">
        <v>1443.085</v>
      </c>
      <c r="BT70" s="3082">
        <v>0</v>
      </c>
      <c r="BU70" s="3082">
        <f>SUM(BV70:BW70)</f>
        <v>2164.8000000000002</v>
      </c>
      <c r="BV70" s="3082">
        <v>2164.8000000000002</v>
      </c>
      <c r="BW70" s="3082"/>
      <c r="BX70" s="3082">
        <f>SUM(BY70:BZ70)</f>
        <v>2885.46</v>
      </c>
      <c r="BY70" s="3082">
        <v>2885.46</v>
      </c>
      <c r="BZ70" s="3080"/>
      <c r="CA70" s="3080">
        <f>SUM(BY70)</f>
        <v>2885.46</v>
      </c>
      <c r="CB70" s="3080">
        <f>SUM(CA70/CA75*CB75)</f>
        <v>2867.6223122571282</v>
      </c>
      <c r="CC70" s="3082">
        <f>SUM(CD70:CE70)</f>
        <v>1388.0429999999999</v>
      </c>
      <c r="CD70" s="3082">
        <v>1388.0429999999999</v>
      </c>
      <c r="CE70" s="3080"/>
      <c r="CF70" s="3082">
        <f>SUM(CG70:CH70)</f>
        <v>1657.22</v>
      </c>
      <c r="CG70" s="3082">
        <v>1657.22</v>
      </c>
      <c r="CH70" s="3080"/>
      <c r="CI70" s="3082">
        <f>SUM(CJ70:CK70)</f>
        <v>1908.3240000000001</v>
      </c>
      <c r="CJ70" s="3799">
        <v>1908.3240000000001</v>
      </c>
      <c r="CK70" s="3800"/>
      <c r="CL70" s="2634">
        <f>SUM(CI70-BQ70)</f>
        <v>656.67059778221505</v>
      </c>
    </row>
    <row r="71" spans="13:90" ht="15" customHeight="1" x14ac:dyDescent="0.25">
      <c r="M71" s="1726" t="s">
        <v>83</v>
      </c>
      <c r="N71" s="1726"/>
      <c r="O71" s="1726"/>
      <c r="P71" s="1726"/>
      <c r="Q71" s="3945">
        <v>575.29999999999995</v>
      </c>
      <c r="R71" s="3079" t="e">
        <f>Q71/#REF!*100</f>
        <v>#REF!</v>
      </c>
      <c r="S71" s="3945">
        <f>Q71</f>
        <v>575.29999999999995</v>
      </c>
      <c r="T71" s="3945">
        <v>445.93</v>
      </c>
      <c r="U71" s="3945">
        <v>753.9</v>
      </c>
      <c r="V71" s="3945">
        <v>564</v>
      </c>
      <c r="W71" s="3945"/>
      <c r="X71" s="3945">
        <v>1043.5999999999999</v>
      </c>
      <c r="Y71" s="3945">
        <v>721.2</v>
      </c>
      <c r="Z71" s="3079"/>
      <c r="AA71" s="3945">
        <f>Y71</f>
        <v>721.2</v>
      </c>
      <c r="AB71" s="2149">
        <f t="shared" ref="AB71:AB81" si="9">AA71/S71</f>
        <v>1.2536068138362595</v>
      </c>
      <c r="AC71" s="3945">
        <v>725.7</v>
      </c>
      <c r="AD71" s="3945">
        <v>1151.78</v>
      </c>
      <c r="AE71" s="3945">
        <v>1561.14</v>
      </c>
      <c r="AF71" s="3945">
        <v>721.2</v>
      </c>
      <c r="AG71" s="3945">
        <v>1535.71</v>
      </c>
      <c r="AH71" s="3080">
        <f t="shared" ref="AH71:AH79" si="10">SUM(AG71/AA71)</f>
        <v>2.1293815862451471</v>
      </c>
      <c r="AI71" s="3080">
        <v>1344.19</v>
      </c>
      <c r="AJ71" s="3080">
        <v>1344.19</v>
      </c>
      <c r="AK71" s="3080"/>
      <c r="AL71" s="3080">
        <v>1561.17</v>
      </c>
      <c r="AM71" s="3080">
        <f t="shared" ref="AM71:AM73" si="11">AL71</f>
        <v>1561.17</v>
      </c>
      <c r="AN71" s="3080">
        <v>2802.12</v>
      </c>
      <c r="AO71" s="3080">
        <f t="shared" ref="AO71:AO73" si="12">AN71</f>
        <v>2802.12</v>
      </c>
      <c r="AP71" s="3080">
        <v>1344.19</v>
      </c>
      <c r="AQ71" s="3080">
        <f t="shared" ref="AQ71:AQ73" si="13">AP71</f>
        <v>1344.19</v>
      </c>
      <c r="AR71" s="2149">
        <f t="shared" si="6"/>
        <v>1.0165786509171655</v>
      </c>
      <c r="AS71" s="3083">
        <v>3021.59</v>
      </c>
      <c r="AT71" s="3080">
        <v>2802.12</v>
      </c>
      <c r="AU71" s="3082">
        <f t="shared" ref="AU71:AX74" si="14">AT71</f>
        <v>2802.12</v>
      </c>
      <c r="AV71" s="3082">
        <f t="shared" si="14"/>
        <v>2802.12</v>
      </c>
      <c r="AW71" s="3082">
        <f t="shared" si="14"/>
        <v>2802.12</v>
      </c>
      <c r="AX71" s="3082">
        <f t="shared" si="14"/>
        <v>2802.12</v>
      </c>
      <c r="AY71" s="3080">
        <v>2802.12</v>
      </c>
      <c r="AZ71" s="3082">
        <f t="shared" ref="AZ71:BD74" si="15">AY71</f>
        <v>2802.12</v>
      </c>
      <c r="BA71" s="3082">
        <f t="shared" si="15"/>
        <v>2802.12</v>
      </c>
      <c r="BB71" s="3082">
        <f t="shared" si="15"/>
        <v>2802.12</v>
      </c>
      <c r="BC71" s="3082">
        <f t="shared" si="15"/>
        <v>2802.12</v>
      </c>
      <c r="BD71" s="3082">
        <f t="shared" si="15"/>
        <v>2802.12</v>
      </c>
      <c r="BE71" s="3082">
        <f>SUM(AS71)</f>
        <v>3021.59</v>
      </c>
      <c r="BF71" s="3082">
        <f>SUM(BE71)</f>
        <v>3021.59</v>
      </c>
      <c r="BG71" s="3082">
        <f t="shared" ref="BG71:BG74" si="16">SUM(BH71:BI71)</f>
        <v>3307.34</v>
      </c>
      <c r="BH71" s="3082">
        <v>3307.34</v>
      </c>
      <c r="BI71" s="3082">
        <v>0</v>
      </c>
      <c r="BJ71" s="3082">
        <f t="shared" ref="BJ71:BJ74" si="17">SUM(BK71:BL71)</f>
        <v>4757.53</v>
      </c>
      <c r="BK71" s="3082">
        <v>4757.53</v>
      </c>
      <c r="BL71" s="3082"/>
      <c r="BM71" s="3082">
        <f t="shared" ref="BM71:BM74" si="18">SUM(BN71:BO71)</f>
        <v>5705.59</v>
      </c>
      <c r="BN71" s="3082">
        <v>5705.59</v>
      </c>
      <c r="BO71" s="3080"/>
      <c r="BP71" s="3080">
        <v>5705.59</v>
      </c>
      <c r="BQ71" s="3080">
        <f>SUM(BP71/BP75*BQ75)</f>
        <v>2993.239782534431</v>
      </c>
      <c r="BR71" s="3082">
        <f t="shared" ref="BR71:BR74" si="19">SUM(BS71:BT71)</f>
        <v>2500.84</v>
      </c>
      <c r="BS71" s="3082">
        <v>2500.84</v>
      </c>
      <c r="BT71" s="3082">
        <v>0</v>
      </c>
      <c r="BU71" s="3082">
        <f t="shared" ref="BU71:BU74" si="20">SUM(BV71:BW71)</f>
        <v>3748.76</v>
      </c>
      <c r="BV71" s="3082">
        <v>3748.76</v>
      </c>
      <c r="BW71" s="3082"/>
      <c r="BX71" s="3082">
        <f t="shared" ref="BX71:BX74" si="21">SUM(BY71:BZ71)</f>
        <v>4993.4399999999996</v>
      </c>
      <c r="BY71" s="3082">
        <v>4993.4399999999996</v>
      </c>
      <c r="BZ71" s="3080"/>
      <c r="CA71" s="3080">
        <f t="shared" ref="CA71:CA73" si="22">SUM(BY71)</f>
        <v>4993.4399999999996</v>
      </c>
      <c r="CB71" s="3080">
        <f>SUM(CA71/CA75*CB75)</f>
        <v>4962.5709449852829</v>
      </c>
      <c r="CC71" s="3082">
        <f t="shared" ref="CC71:CC74" si="23">SUM(CD71:CE71)</f>
        <v>2140.0729999999999</v>
      </c>
      <c r="CD71" s="3082">
        <v>2140.0729999999999</v>
      </c>
      <c r="CE71" s="3080"/>
      <c r="CF71" s="3082">
        <f t="shared" ref="CF71:CF74" si="24">SUM(CG71:CH71)</f>
        <v>3333</v>
      </c>
      <c r="CG71" s="3082">
        <v>3333</v>
      </c>
      <c r="CH71" s="3080"/>
      <c r="CI71" s="3082">
        <f t="shared" ref="CI71:CI74" si="25">SUM(CJ71:CK71)</f>
        <v>4529.4059999999999</v>
      </c>
      <c r="CJ71" s="3799">
        <v>4529.4059999999999</v>
      </c>
      <c r="CK71" s="3800"/>
      <c r="CL71" s="2634">
        <f t="shared" ref="CL71:CL80" si="26">SUM(CI71-BQ71)</f>
        <v>1536.1662174655689</v>
      </c>
    </row>
    <row r="72" spans="13:90" x14ac:dyDescent="0.25">
      <c r="M72" s="1726" t="s">
        <v>84</v>
      </c>
      <c r="N72" s="1726"/>
      <c r="O72" s="1726"/>
      <c r="P72" s="1726"/>
      <c r="Q72" s="3945">
        <v>298.89999999999998</v>
      </c>
      <c r="R72" s="3079" t="e">
        <f>Q72/#REF!*100</f>
        <v>#REF!</v>
      </c>
      <c r="S72" s="3945" t="e">
        <f>#REF!</f>
        <v>#REF!</v>
      </c>
      <c r="T72" s="3945">
        <v>100.67</v>
      </c>
      <c r="U72" s="3945">
        <v>58.6</v>
      </c>
      <c r="V72" s="3945">
        <v>293</v>
      </c>
      <c r="W72" s="3945"/>
      <c r="X72" s="3945">
        <v>72.099999999999994</v>
      </c>
      <c r="Y72" s="3945">
        <v>273</v>
      </c>
      <c r="Z72" s="3079"/>
      <c r="AA72" s="3945">
        <f>Y72</f>
        <v>273</v>
      </c>
      <c r="AB72" s="2149" t="e">
        <f t="shared" si="9"/>
        <v>#REF!</v>
      </c>
      <c r="AC72" s="3945">
        <v>26.95</v>
      </c>
      <c r="AD72" s="3945">
        <v>40.42</v>
      </c>
      <c r="AE72" s="3945">
        <v>53.89</v>
      </c>
      <c r="AF72" s="3945">
        <v>273</v>
      </c>
      <c r="AG72" s="3945">
        <v>53.89</v>
      </c>
      <c r="AH72" s="3080">
        <f t="shared" si="10"/>
        <v>0.19739926739926741</v>
      </c>
      <c r="AI72" s="3080">
        <v>53.89</v>
      </c>
      <c r="AJ72" s="3080">
        <v>53.89</v>
      </c>
      <c r="AK72" s="3080"/>
      <c r="AL72" s="3080">
        <v>53.89</v>
      </c>
      <c r="AM72" s="3080">
        <f t="shared" si="11"/>
        <v>53.89</v>
      </c>
      <c r="AN72" s="3080">
        <v>53.88</v>
      </c>
      <c r="AO72" s="3080">
        <f t="shared" si="12"/>
        <v>53.88</v>
      </c>
      <c r="AP72" s="3080">
        <v>53.89</v>
      </c>
      <c r="AQ72" s="3080">
        <f t="shared" si="13"/>
        <v>53.89</v>
      </c>
      <c r="AR72" s="2149">
        <f t="shared" si="6"/>
        <v>1</v>
      </c>
      <c r="AS72" s="3083">
        <v>51.45</v>
      </c>
      <c r="AT72" s="3080">
        <v>53.88</v>
      </c>
      <c r="AU72" s="3082">
        <f t="shared" si="14"/>
        <v>53.88</v>
      </c>
      <c r="AV72" s="3082">
        <f t="shared" si="14"/>
        <v>53.88</v>
      </c>
      <c r="AW72" s="3082">
        <f t="shared" si="14"/>
        <v>53.88</v>
      </c>
      <c r="AX72" s="3082">
        <f t="shared" si="14"/>
        <v>53.88</v>
      </c>
      <c r="AY72" s="3080">
        <v>53.88</v>
      </c>
      <c r="AZ72" s="3082">
        <f t="shared" si="15"/>
        <v>53.88</v>
      </c>
      <c r="BA72" s="3082">
        <f t="shared" si="15"/>
        <v>53.88</v>
      </c>
      <c r="BB72" s="3082">
        <f t="shared" si="15"/>
        <v>53.88</v>
      </c>
      <c r="BC72" s="3082">
        <f t="shared" si="15"/>
        <v>53.88</v>
      </c>
      <c r="BD72" s="3082">
        <f t="shared" si="15"/>
        <v>53.88</v>
      </c>
      <c r="BE72" s="3082">
        <f>SUM(AY72)</f>
        <v>53.88</v>
      </c>
      <c r="BF72" s="3082">
        <f>SUM(AZ72)</f>
        <v>53.88</v>
      </c>
      <c r="BG72" s="3082">
        <f t="shared" si="16"/>
        <v>22.59</v>
      </c>
      <c r="BH72" s="3082">
        <v>22.59</v>
      </c>
      <c r="BI72" s="3082">
        <v>0</v>
      </c>
      <c r="BJ72" s="3082">
        <f t="shared" si="17"/>
        <v>34.06</v>
      </c>
      <c r="BK72" s="3082">
        <v>34.06</v>
      </c>
      <c r="BL72" s="3082"/>
      <c r="BM72" s="3082">
        <f t="shared" si="18"/>
        <v>41.95</v>
      </c>
      <c r="BN72" s="3082">
        <v>41.95</v>
      </c>
      <c r="BO72" s="3080"/>
      <c r="BP72" s="3080">
        <v>41.95</v>
      </c>
      <c r="BQ72" s="3080">
        <f>SUM(BP72/BP75*BQ75)</f>
        <v>22.007611636538794</v>
      </c>
      <c r="BR72" s="3082">
        <f t="shared" si="19"/>
        <v>23.655000000000001</v>
      </c>
      <c r="BS72" s="3082">
        <v>23.655000000000001</v>
      </c>
      <c r="BT72" s="3082">
        <v>0</v>
      </c>
      <c r="BU72" s="3082">
        <f t="shared" si="20"/>
        <v>55.16</v>
      </c>
      <c r="BV72" s="3082">
        <v>55.16</v>
      </c>
      <c r="BW72" s="3082"/>
      <c r="BX72" s="3082">
        <f t="shared" si="21"/>
        <v>86.64</v>
      </c>
      <c r="BY72" s="3082">
        <v>86.64</v>
      </c>
      <c r="BZ72" s="3080"/>
      <c r="CA72" s="3080">
        <f t="shared" si="22"/>
        <v>86.64</v>
      </c>
      <c r="CB72" s="3080">
        <f>SUM(CA72/CA75*CB75)</f>
        <v>86.104398305281507</v>
      </c>
      <c r="CC72" s="3082">
        <f t="shared" si="23"/>
        <v>62.993000000000002</v>
      </c>
      <c r="CD72" s="3082">
        <v>62.993000000000002</v>
      </c>
      <c r="CE72" s="3080"/>
      <c r="CF72" s="3082">
        <f t="shared" si="24"/>
        <v>94.494</v>
      </c>
      <c r="CG72" s="3082">
        <v>94.494</v>
      </c>
      <c r="CH72" s="3080"/>
      <c r="CI72" s="3082">
        <f t="shared" si="25"/>
        <v>133.28399999999999</v>
      </c>
      <c r="CJ72" s="3799">
        <v>133.28399999999999</v>
      </c>
      <c r="CK72" s="3800"/>
      <c r="CL72" s="2634">
        <f t="shared" si="26"/>
        <v>111.27638836346119</v>
      </c>
    </row>
    <row r="73" spans="13:90" x14ac:dyDescent="0.25">
      <c r="M73" s="1726" t="s">
        <v>85</v>
      </c>
      <c r="N73" s="1726"/>
      <c r="O73" s="1726"/>
      <c r="P73" s="1726"/>
      <c r="Q73" s="3945">
        <v>2715.2</v>
      </c>
      <c r="R73" s="3079" t="e">
        <f>Q73/#REF!*100</f>
        <v>#REF!</v>
      </c>
      <c r="S73" s="3945" t="e">
        <f>#REF!</f>
        <v>#REF!</v>
      </c>
      <c r="T73" s="3945">
        <v>1397.95</v>
      </c>
      <c r="U73" s="3945">
        <v>2094.3000000000002</v>
      </c>
      <c r="V73" s="3945">
        <v>2662</v>
      </c>
      <c r="W73" s="3945"/>
      <c r="X73" s="3945">
        <v>2798.4</v>
      </c>
      <c r="Y73" s="3945">
        <v>2797</v>
      </c>
      <c r="Z73" s="3079"/>
      <c r="AA73" s="3945">
        <f>Y73</f>
        <v>2797</v>
      </c>
      <c r="AB73" s="2149" t="e">
        <f t="shared" si="9"/>
        <v>#REF!</v>
      </c>
      <c r="AC73" s="3945">
        <v>1412.82</v>
      </c>
      <c r="AD73" s="3945">
        <v>2176.46</v>
      </c>
      <c r="AE73" s="3945">
        <v>3059.78</v>
      </c>
      <c r="AF73" s="3945">
        <v>2797</v>
      </c>
      <c r="AG73" s="3945">
        <v>2901.95</v>
      </c>
      <c r="AH73" s="3080">
        <f t="shared" si="10"/>
        <v>1.0375223453700393</v>
      </c>
      <c r="AI73" s="3080">
        <v>3533.24</v>
      </c>
      <c r="AJ73" s="3080">
        <v>3533.24</v>
      </c>
      <c r="AK73" s="3080"/>
      <c r="AL73" s="3080">
        <v>3059.78</v>
      </c>
      <c r="AM73" s="3080">
        <f t="shared" si="11"/>
        <v>3059.78</v>
      </c>
      <c r="AN73" s="3080">
        <v>3533.27</v>
      </c>
      <c r="AO73" s="3080">
        <f t="shared" si="12"/>
        <v>3533.27</v>
      </c>
      <c r="AP73" s="3080">
        <v>3533.24</v>
      </c>
      <c r="AQ73" s="3080">
        <f t="shared" si="13"/>
        <v>3533.24</v>
      </c>
      <c r="AR73" s="2149">
        <f t="shared" si="6"/>
        <v>1.0543875669808234</v>
      </c>
      <c r="AS73" s="3083">
        <v>3544.43</v>
      </c>
      <c r="AT73" s="3080">
        <v>3533.27</v>
      </c>
      <c r="AU73" s="3082">
        <f t="shared" si="14"/>
        <v>3533.27</v>
      </c>
      <c r="AV73" s="3082">
        <f t="shared" si="14"/>
        <v>3533.27</v>
      </c>
      <c r="AW73" s="3082">
        <f t="shared" si="14"/>
        <v>3533.27</v>
      </c>
      <c r="AX73" s="3082">
        <f t="shared" si="14"/>
        <v>3533.27</v>
      </c>
      <c r="AY73" s="3080">
        <v>3533.27</v>
      </c>
      <c r="AZ73" s="3082">
        <f t="shared" si="15"/>
        <v>3533.27</v>
      </c>
      <c r="BA73" s="3082">
        <f t="shared" si="15"/>
        <v>3533.27</v>
      </c>
      <c r="BB73" s="3082">
        <f t="shared" si="15"/>
        <v>3533.27</v>
      </c>
      <c r="BC73" s="3082">
        <f t="shared" si="15"/>
        <v>3533.27</v>
      </c>
      <c r="BD73" s="3082">
        <f t="shared" si="15"/>
        <v>3533.27</v>
      </c>
      <c r="BE73" s="3082">
        <f>SUM(AS73)</f>
        <v>3544.43</v>
      </c>
      <c r="BF73" s="3082">
        <f>SUM(BE73)</f>
        <v>3544.43</v>
      </c>
      <c r="BG73" s="3082">
        <f t="shared" si="16"/>
        <v>1776.75</v>
      </c>
      <c r="BH73" s="3082">
        <v>1776.75</v>
      </c>
      <c r="BI73" s="3082">
        <v>0</v>
      </c>
      <c r="BJ73" s="3082">
        <f t="shared" si="17"/>
        <v>2670.81</v>
      </c>
      <c r="BK73" s="3082">
        <v>2670.81</v>
      </c>
      <c r="BL73" s="3082"/>
      <c r="BM73" s="3082">
        <f t="shared" si="18"/>
        <v>3575.59</v>
      </c>
      <c r="BN73" s="3082">
        <v>3575.59</v>
      </c>
      <c r="BO73" s="3080"/>
      <c r="BP73" s="3080">
        <v>3575.59</v>
      </c>
      <c r="BQ73" s="3080">
        <f>SUM(BP73/BP75*BQ75)</f>
        <v>1875.8092036112455</v>
      </c>
      <c r="BR73" s="3082">
        <f t="shared" si="19"/>
        <v>1827.8309999999999</v>
      </c>
      <c r="BS73" s="3082">
        <v>1827.8309999999999</v>
      </c>
      <c r="BT73" s="3082">
        <v>0</v>
      </c>
      <c r="BU73" s="3082">
        <f t="shared" si="20"/>
        <v>2745.6750000000002</v>
      </c>
      <c r="BV73" s="3082">
        <v>2745.6750000000002</v>
      </c>
      <c r="BW73" s="3082"/>
      <c r="BX73" s="3082">
        <f t="shared" si="21"/>
        <v>3663.53</v>
      </c>
      <c r="BY73" s="3082">
        <v>3663.53</v>
      </c>
      <c r="BZ73" s="3080"/>
      <c r="CA73" s="3080">
        <f t="shared" si="22"/>
        <v>3663.53</v>
      </c>
      <c r="CB73" s="3080">
        <f>SUM(CA73/CA75*CB75)</f>
        <v>3640.8823444523077</v>
      </c>
      <c r="CC73" s="3082">
        <f t="shared" si="23"/>
        <v>1855.7</v>
      </c>
      <c r="CD73" s="3082">
        <v>1855.7</v>
      </c>
      <c r="CE73" s="3080"/>
      <c r="CF73" s="3082">
        <f t="shared" si="24"/>
        <v>2840.0410000000002</v>
      </c>
      <c r="CG73" s="3082">
        <v>2840.0410000000002</v>
      </c>
      <c r="CH73" s="3080"/>
      <c r="CI73" s="3082">
        <f t="shared" si="25"/>
        <v>3926.71</v>
      </c>
      <c r="CJ73" s="3799">
        <v>3926.71</v>
      </c>
      <c r="CK73" s="3800"/>
      <c r="CL73" s="2634">
        <f t="shared" si="26"/>
        <v>2050.9007963887543</v>
      </c>
    </row>
    <row r="74" spans="13:90" ht="39.75" customHeight="1" x14ac:dyDescent="0.25">
      <c r="M74" s="3940" t="s">
        <v>4065</v>
      </c>
      <c r="N74" s="1726"/>
      <c r="O74" s="1726"/>
      <c r="P74" s="1726"/>
      <c r="Q74" s="3945"/>
      <c r="R74" s="3079"/>
      <c r="S74" s="3945"/>
      <c r="T74" s="3945"/>
      <c r="U74" s="3945"/>
      <c r="V74" s="3945"/>
      <c r="W74" s="3945"/>
      <c r="X74" s="3945"/>
      <c r="Y74" s="3945"/>
      <c r="Z74" s="3079"/>
      <c r="AA74" s="3945"/>
      <c r="AB74" s="2149"/>
      <c r="AC74" s="3945"/>
      <c r="AD74" s="3945"/>
      <c r="AE74" s="3945"/>
      <c r="AF74" s="3945"/>
      <c r="AG74" s="3945">
        <v>0</v>
      </c>
      <c r="AH74" s="3080"/>
      <c r="AI74" s="3080">
        <v>0</v>
      </c>
      <c r="AJ74" s="3080">
        <v>0</v>
      </c>
      <c r="AK74" s="3080"/>
      <c r="AL74" s="3080"/>
      <c r="AM74" s="3080">
        <v>0</v>
      </c>
      <c r="AN74" s="3080">
        <v>0</v>
      </c>
      <c r="AO74" s="3080">
        <v>0</v>
      </c>
      <c r="AP74" s="3080"/>
      <c r="AQ74" s="3080">
        <v>0</v>
      </c>
      <c r="AR74" s="2149"/>
      <c r="AS74" s="3083">
        <v>330.7</v>
      </c>
      <c r="AT74" s="3080">
        <v>2766.9</v>
      </c>
      <c r="AU74" s="3082">
        <f t="shared" si="14"/>
        <v>2766.9</v>
      </c>
      <c r="AV74" s="3082">
        <f t="shared" si="14"/>
        <v>2766.9</v>
      </c>
      <c r="AW74" s="3082">
        <f t="shared" si="14"/>
        <v>2766.9</v>
      </c>
      <c r="AX74" s="3082">
        <f t="shared" si="14"/>
        <v>2766.9</v>
      </c>
      <c r="AY74" s="3080">
        <v>0</v>
      </c>
      <c r="AZ74" s="3084">
        <f>AY74</f>
        <v>0</v>
      </c>
      <c r="BA74" s="3084">
        <f t="shared" si="15"/>
        <v>0</v>
      </c>
      <c r="BB74" s="3084">
        <f t="shared" si="15"/>
        <v>0</v>
      </c>
      <c r="BC74" s="3084">
        <f t="shared" si="15"/>
        <v>0</v>
      </c>
      <c r="BD74" s="3084">
        <f t="shared" si="15"/>
        <v>0</v>
      </c>
      <c r="BE74" s="6294"/>
      <c r="BF74" s="5531"/>
      <c r="BG74" s="3082">
        <f t="shared" si="16"/>
        <v>1984.2</v>
      </c>
      <c r="BH74" s="3085">
        <v>1984.2</v>
      </c>
      <c r="BI74" s="3085">
        <v>0</v>
      </c>
      <c r="BJ74" s="3082">
        <f t="shared" si="17"/>
        <v>2976.3</v>
      </c>
      <c r="BK74" s="3085">
        <v>2976.3</v>
      </c>
      <c r="BL74" s="3085"/>
      <c r="BM74" s="3082">
        <f t="shared" si="18"/>
        <v>3968.43</v>
      </c>
      <c r="BN74" s="3085">
        <v>3968.43</v>
      </c>
      <c r="BO74" s="3084"/>
      <c r="BP74" s="6294"/>
      <c r="BQ74" s="5531"/>
      <c r="BR74" s="3082">
        <f t="shared" si="19"/>
        <v>1984.2058999999999</v>
      </c>
      <c r="BS74" s="3085">
        <v>1984.2058999999999</v>
      </c>
      <c r="BT74" s="3085">
        <v>0</v>
      </c>
      <c r="BU74" s="3082">
        <f t="shared" si="20"/>
        <v>2976.3049999999998</v>
      </c>
      <c r="BV74" s="3085">
        <v>2976.3049999999998</v>
      </c>
      <c r="BW74" s="3085"/>
      <c r="BX74" s="3082">
        <f t="shared" si="21"/>
        <v>3968.43</v>
      </c>
      <c r="BY74" s="3085">
        <v>3968.43</v>
      </c>
      <c r="BZ74" s="3084"/>
      <c r="CA74" s="6294"/>
      <c r="CB74" s="5531"/>
      <c r="CC74" s="3082">
        <f t="shared" si="23"/>
        <v>1984.2</v>
      </c>
      <c r="CD74" s="3085">
        <v>1984.2</v>
      </c>
      <c r="CE74" s="3084"/>
      <c r="CF74" s="3082">
        <f t="shared" si="24"/>
        <v>2976.31</v>
      </c>
      <c r="CG74" s="3085">
        <v>2976.31</v>
      </c>
      <c r="CH74" s="3084"/>
      <c r="CI74" s="3082">
        <f t="shared" si="25"/>
        <v>3968.43</v>
      </c>
      <c r="CJ74" s="3801">
        <v>3968.43</v>
      </c>
      <c r="CK74" s="3802"/>
      <c r="CL74" s="2634"/>
    </row>
    <row r="75" spans="13:90" x14ac:dyDescent="0.25">
      <c r="M75" s="2556" t="s">
        <v>86</v>
      </c>
      <c r="N75" s="1726"/>
      <c r="O75" s="1726"/>
      <c r="P75" s="1726"/>
      <c r="Q75" s="3944">
        <f>SUM(Q70:Q73)</f>
        <v>7436.7999999999993</v>
      </c>
      <c r="R75" s="3079" t="e">
        <f>Q75/#REF!*100</f>
        <v>#REF!</v>
      </c>
      <c r="S75" s="3944" t="e">
        <f>SUM(S70:S73)</f>
        <v>#REF!</v>
      </c>
      <c r="T75" s="3944">
        <f>SUM(T70:T73)</f>
        <v>3847.7700000000004</v>
      </c>
      <c r="U75" s="3944">
        <f>SUM(U70:U73)</f>
        <v>5688.5</v>
      </c>
      <c r="V75" s="3944">
        <f>SUM(V70:V73)</f>
        <v>7291</v>
      </c>
      <c r="W75" s="3945"/>
      <c r="X75" s="3944">
        <f>SUM(X70:X73)</f>
        <v>7609.7999999999993</v>
      </c>
      <c r="Y75" s="3944">
        <f>SUM(Y70:Y73)</f>
        <v>7550.3</v>
      </c>
      <c r="Z75" s="3079"/>
      <c r="AA75" s="3944">
        <f t="shared" ref="AA75:AF75" si="27">SUM(AA70:AA73)</f>
        <v>7550.3</v>
      </c>
      <c r="AB75" s="3944" t="e">
        <f t="shared" si="27"/>
        <v>#REF!</v>
      </c>
      <c r="AC75" s="3944">
        <f t="shared" si="27"/>
        <v>3993.2199999999993</v>
      </c>
      <c r="AD75" s="3944">
        <f t="shared" si="27"/>
        <v>6102.07</v>
      </c>
      <c r="AE75" s="3944">
        <f t="shared" si="27"/>
        <v>8296.6500000000015</v>
      </c>
      <c r="AF75" s="3944">
        <f t="shared" si="27"/>
        <v>7550.3</v>
      </c>
      <c r="AG75" s="3944">
        <f>SUM(AG70:AG74)</f>
        <v>8136.1</v>
      </c>
      <c r="AH75" s="3944">
        <f>SUM(AH70:AH73)</f>
        <v>4.3338304794805236</v>
      </c>
      <c r="AI75" s="3086">
        <f>SUM(AI70:AI74)</f>
        <v>8497.9000000000015</v>
      </c>
      <c r="AJ75" s="3086">
        <f>SUM(AJ70:AJ74)</f>
        <v>8497.9000000000015</v>
      </c>
      <c r="AK75" s="3087">
        <v>6404.4</v>
      </c>
      <c r="AL75" s="3944">
        <f>SUM(AL70:AL73)</f>
        <v>8296.68</v>
      </c>
      <c r="AM75" s="3944">
        <f>SUM(AM70:AM73)</f>
        <v>8296.68</v>
      </c>
      <c r="AN75" s="3944">
        <f>SUM(AN70:AN74)</f>
        <v>9984.3799999999992</v>
      </c>
      <c r="AO75" s="3944">
        <f>SUM(AO70:AO74)</f>
        <v>9984.3799999999992</v>
      </c>
      <c r="AP75" s="3944">
        <f>SUM(AP70:AP73)</f>
        <v>8497.9000000000015</v>
      </c>
      <c r="AQ75" s="3944">
        <f>SUM(AQ70:AQ73)</f>
        <v>8497.9000000000015</v>
      </c>
      <c r="AR75" s="3944">
        <f>SUM(AR70:AR73)</f>
        <v>4.0647349959364298</v>
      </c>
      <c r="AS75" s="3944">
        <f t="shared" ref="AS75:BP75" si="28">SUM(AS70:AS74)</f>
        <v>9917.56</v>
      </c>
      <c r="AT75" s="3944">
        <f t="shared" si="28"/>
        <v>12751.279999999999</v>
      </c>
      <c r="AU75" s="3944">
        <f t="shared" si="28"/>
        <v>12751.279999999999</v>
      </c>
      <c r="AV75" s="3944">
        <f t="shared" si="28"/>
        <v>12751.279999999999</v>
      </c>
      <c r="AW75" s="3944">
        <f t="shared" si="28"/>
        <v>12751.279999999999</v>
      </c>
      <c r="AX75" s="3944">
        <f t="shared" si="28"/>
        <v>12751.279999999999</v>
      </c>
      <c r="AY75" s="3944">
        <f t="shared" si="28"/>
        <v>9984.3799999999992</v>
      </c>
      <c r="AZ75" s="3944">
        <f t="shared" si="28"/>
        <v>9984.3799999999992</v>
      </c>
      <c r="BA75" s="3944">
        <f t="shared" si="28"/>
        <v>9984.3799999999992</v>
      </c>
      <c r="BB75" s="3944">
        <f t="shared" si="28"/>
        <v>9984.3799999999992</v>
      </c>
      <c r="BC75" s="3944">
        <f t="shared" si="28"/>
        <v>9984.3799999999992</v>
      </c>
      <c r="BD75" s="3944">
        <f t="shared" si="28"/>
        <v>9984.3799999999992</v>
      </c>
      <c r="BE75" s="3944">
        <f t="shared" si="28"/>
        <v>10215.01</v>
      </c>
      <c r="BF75" s="3944">
        <f t="shared" si="28"/>
        <v>10215.01</v>
      </c>
      <c r="BG75" s="3944">
        <f t="shared" si="28"/>
        <v>8246.4500000000007</v>
      </c>
      <c r="BH75" s="3944">
        <f t="shared" si="28"/>
        <v>8246.4500000000007</v>
      </c>
      <c r="BI75" s="3944">
        <f t="shared" si="28"/>
        <v>0</v>
      </c>
      <c r="BJ75" s="3944">
        <f t="shared" si="28"/>
        <v>12169.970000000001</v>
      </c>
      <c r="BK75" s="3944">
        <f t="shared" si="28"/>
        <v>12169.970000000001</v>
      </c>
      <c r="BL75" s="3944">
        <f t="shared" si="28"/>
        <v>0</v>
      </c>
      <c r="BM75" s="3944">
        <f t="shared" si="28"/>
        <v>15677.41</v>
      </c>
      <c r="BN75" s="3944">
        <f t="shared" si="28"/>
        <v>15677.41</v>
      </c>
      <c r="BO75" s="3944">
        <f t="shared" si="28"/>
        <v>0</v>
      </c>
      <c r="BP75" s="3944">
        <f t="shared" si="28"/>
        <v>11708.98</v>
      </c>
      <c r="BQ75" s="3944">
        <v>6142.71</v>
      </c>
      <c r="BR75" s="3944">
        <f t="shared" ref="BR75:CA75" si="29">SUM(BR70:BR74)</f>
        <v>7779.6169</v>
      </c>
      <c r="BS75" s="3944">
        <f t="shared" si="29"/>
        <v>7779.6169</v>
      </c>
      <c r="BT75" s="3944">
        <f t="shared" si="29"/>
        <v>0</v>
      </c>
      <c r="BU75" s="3944">
        <f t="shared" si="29"/>
        <v>11690.7</v>
      </c>
      <c r="BV75" s="3944">
        <f t="shared" si="29"/>
        <v>11690.7</v>
      </c>
      <c r="BW75" s="3944">
        <f t="shared" si="29"/>
        <v>0</v>
      </c>
      <c r="BX75" s="3944">
        <f t="shared" si="29"/>
        <v>15597.5</v>
      </c>
      <c r="BY75" s="3944">
        <f t="shared" si="29"/>
        <v>15597.5</v>
      </c>
      <c r="BZ75" s="3944">
        <f t="shared" si="29"/>
        <v>0</v>
      </c>
      <c r="CA75" s="3944">
        <f t="shared" si="29"/>
        <v>11629.07</v>
      </c>
      <c r="CB75" s="3944">
        <v>11557.18</v>
      </c>
      <c r="CC75" s="3944">
        <f t="shared" ref="CC75:CK75" si="30">SUM(CC70:CC74)</f>
        <v>7431.009</v>
      </c>
      <c r="CD75" s="3944">
        <f t="shared" si="30"/>
        <v>7431.009</v>
      </c>
      <c r="CE75" s="3944">
        <f t="shared" si="30"/>
        <v>0</v>
      </c>
      <c r="CF75" s="3944">
        <f t="shared" si="30"/>
        <v>10901.065000000001</v>
      </c>
      <c r="CG75" s="3944">
        <f t="shared" si="30"/>
        <v>10901.065000000001</v>
      </c>
      <c r="CH75" s="3944">
        <f t="shared" si="30"/>
        <v>0</v>
      </c>
      <c r="CI75" s="3944">
        <f t="shared" si="30"/>
        <v>14466.153999999999</v>
      </c>
      <c r="CJ75" s="3797">
        <f t="shared" si="30"/>
        <v>14466.153999999999</v>
      </c>
      <c r="CK75" s="3797">
        <f t="shared" si="30"/>
        <v>0</v>
      </c>
      <c r="CL75" s="3976">
        <f>SUM(CL70:CL73)</f>
        <v>4355.0139999999992</v>
      </c>
    </row>
    <row r="76" spans="13:90" x14ac:dyDescent="0.25">
      <c r="M76" s="1726" t="s">
        <v>87</v>
      </c>
      <c r="N76" s="1726"/>
      <c r="O76" s="1726"/>
      <c r="P76" s="1726"/>
      <c r="Q76" s="3945">
        <v>267.89999999999998</v>
      </c>
      <c r="R76" s="3079" t="e">
        <f>Q76/#REF!*100</f>
        <v>#REF!</v>
      </c>
      <c r="S76" s="3945" t="e">
        <f>#REF!</f>
        <v>#REF!</v>
      </c>
      <c r="T76" s="3945">
        <v>136.63</v>
      </c>
      <c r="U76" s="3945">
        <v>205.2</v>
      </c>
      <c r="V76" s="3945">
        <v>267.60000000000002</v>
      </c>
      <c r="W76" s="3945"/>
      <c r="X76" s="3945">
        <v>275.8</v>
      </c>
      <c r="Y76" s="3945">
        <v>273.60000000000002</v>
      </c>
      <c r="Z76" s="3079"/>
      <c r="AA76" s="3945">
        <f>Y76</f>
        <v>273.60000000000002</v>
      </c>
      <c r="AB76" s="2149" t="e">
        <f t="shared" si="9"/>
        <v>#REF!</v>
      </c>
      <c r="AC76" s="3945">
        <v>189.68</v>
      </c>
      <c r="AD76" s="3945">
        <v>307.45999999999998</v>
      </c>
      <c r="AE76" s="3945">
        <v>425.24</v>
      </c>
      <c r="AF76" s="3945">
        <v>273.60000000000002</v>
      </c>
      <c r="AG76" s="3945">
        <f>AF76</f>
        <v>273.60000000000002</v>
      </c>
      <c r="AH76" s="2149">
        <f t="shared" si="10"/>
        <v>1</v>
      </c>
      <c r="AI76" s="3083">
        <v>498.59</v>
      </c>
      <c r="AJ76" s="3083">
        <v>498.59</v>
      </c>
      <c r="AK76" s="3083"/>
      <c r="AL76" s="3083">
        <v>425.24</v>
      </c>
      <c r="AM76" s="3083">
        <f>AE76</f>
        <v>425.24</v>
      </c>
      <c r="AN76" s="3083">
        <v>498.89</v>
      </c>
      <c r="AO76" s="3083">
        <f>AN76</f>
        <v>498.89</v>
      </c>
      <c r="AP76" s="3083">
        <v>498.59</v>
      </c>
      <c r="AQ76" s="3083">
        <f>AP76</f>
        <v>498.59</v>
      </c>
      <c r="AR76" s="2149">
        <f t="shared" si="6"/>
        <v>1.5542397660818712</v>
      </c>
      <c r="AS76" s="3083">
        <v>341.3</v>
      </c>
      <c r="AT76" s="3080">
        <v>498.89</v>
      </c>
      <c r="AU76" s="3080">
        <f>AT76</f>
        <v>498.89</v>
      </c>
      <c r="AV76" s="3080">
        <f t="shared" ref="AV76:AX76" si="31">AU76</f>
        <v>498.89</v>
      </c>
      <c r="AW76" s="3080">
        <f t="shared" si="31"/>
        <v>498.89</v>
      </c>
      <c r="AX76" s="3080">
        <f t="shared" si="31"/>
        <v>498.89</v>
      </c>
      <c r="AY76" s="3082">
        <v>498.89</v>
      </c>
      <c r="AZ76" s="3945">
        <f>AY76</f>
        <v>498.89</v>
      </c>
      <c r="BA76" s="3945">
        <f t="shared" ref="BA76:BD76" si="32">AZ76</f>
        <v>498.89</v>
      </c>
      <c r="BB76" s="3945">
        <f t="shared" si="32"/>
        <v>498.89</v>
      </c>
      <c r="BC76" s="3945">
        <f t="shared" si="32"/>
        <v>498.89</v>
      </c>
      <c r="BD76" s="3945">
        <f t="shared" si="32"/>
        <v>498.89</v>
      </c>
      <c r="BE76" s="3945">
        <f>SUM(AY76)</f>
        <v>498.89</v>
      </c>
      <c r="BF76" s="3945">
        <f>SUM(AZ76)</f>
        <v>498.89</v>
      </c>
      <c r="BG76" s="3082">
        <f t="shared" ref="BG76:BG79" si="33">SUM(BH76:BI76)</f>
        <v>175.79</v>
      </c>
      <c r="BH76" s="3945">
        <v>175.79</v>
      </c>
      <c r="BI76" s="3945">
        <v>0</v>
      </c>
      <c r="BJ76" s="3082">
        <f t="shared" ref="BJ76:BJ79" si="34">SUM(BK76:BL76)</f>
        <v>261.02</v>
      </c>
      <c r="BK76" s="3945">
        <v>261.02</v>
      </c>
      <c r="BL76" s="3945"/>
      <c r="BM76" s="3082">
        <f t="shared" ref="BM76:BM79" si="35">SUM(BN76:BO76)</f>
        <v>350.43</v>
      </c>
      <c r="BN76" s="3945">
        <v>350.43</v>
      </c>
      <c r="BO76" s="3945"/>
      <c r="BP76" s="3945">
        <v>350.43</v>
      </c>
      <c r="BQ76" s="3945">
        <f>SUM(BP76/BP80)*BQ80</f>
        <v>349.61328975374232</v>
      </c>
      <c r="BR76" s="3082">
        <f t="shared" ref="BR76:BR79" si="36">SUM(BS76:BT76)</f>
        <v>183.71</v>
      </c>
      <c r="BS76" s="3945">
        <v>183.71</v>
      </c>
      <c r="BT76" s="3945">
        <v>0</v>
      </c>
      <c r="BU76" s="3082">
        <f t="shared" ref="BU76:BU79" si="37">SUM(BV76:BW76)</f>
        <v>276.27</v>
      </c>
      <c r="BV76" s="3945">
        <v>276.27</v>
      </c>
      <c r="BW76" s="3945"/>
      <c r="BX76" s="3082">
        <f t="shared" ref="BX76:BX79" si="38">SUM(BY76:BZ76)</f>
        <v>361.79</v>
      </c>
      <c r="BY76" s="3945">
        <v>361.79</v>
      </c>
      <c r="BZ76" s="3945"/>
      <c r="CA76" s="3080">
        <f t="shared" ref="CA76:CA79" si="39">SUM(BY76)</f>
        <v>361.79</v>
      </c>
      <c r="CB76" s="3945">
        <f>SUM(CA76/CA80)*CB80</f>
        <v>361.79</v>
      </c>
      <c r="CC76" s="3082">
        <f t="shared" ref="CC76:CC79" si="40">SUM(CD76:CE76)</f>
        <v>171.01</v>
      </c>
      <c r="CD76" s="3945">
        <v>171.01</v>
      </c>
      <c r="CE76" s="3945"/>
      <c r="CF76" s="3082">
        <f t="shared" ref="CF76:CF79" si="41">SUM(CG76:CH76)</f>
        <v>256.51</v>
      </c>
      <c r="CG76" s="3945">
        <v>256.51</v>
      </c>
      <c r="CH76" s="3945"/>
      <c r="CI76" s="3082">
        <f t="shared" ref="CI76:CI79" si="42">SUM(CJ76:CK76)</f>
        <v>342.03100000000001</v>
      </c>
      <c r="CJ76" s="3796">
        <v>342.03100000000001</v>
      </c>
      <c r="CK76" s="3074"/>
      <c r="CL76" s="2634">
        <f t="shared" si="26"/>
        <v>-7.582289753742316</v>
      </c>
    </row>
    <row r="77" spans="13:90" x14ac:dyDescent="0.25">
      <c r="M77" s="1726" t="s">
        <v>88</v>
      </c>
      <c r="N77" s="1726"/>
      <c r="O77" s="1726"/>
      <c r="P77" s="1726"/>
      <c r="Q77" s="3945">
        <v>1281</v>
      </c>
      <c r="R77" s="3088" t="e">
        <f>Q77/#REF!*100</f>
        <v>#REF!</v>
      </c>
      <c r="S77" s="3945" t="e">
        <f>#REF!</f>
        <v>#REF!</v>
      </c>
      <c r="T77" s="3945">
        <v>412.35</v>
      </c>
      <c r="U77" s="3945">
        <v>632.5</v>
      </c>
      <c r="V77" s="3945">
        <v>1281</v>
      </c>
      <c r="W77" s="3945"/>
      <c r="X77" s="3945">
        <v>833.9</v>
      </c>
      <c r="Y77" s="3945">
        <v>960.9</v>
      </c>
      <c r="Z77" s="3088"/>
      <c r="AA77" s="3945">
        <f>Y77</f>
        <v>960.9</v>
      </c>
      <c r="AB77" s="2149" t="e">
        <f t="shared" si="9"/>
        <v>#REF!</v>
      </c>
      <c r="AC77" s="3945">
        <v>407.8</v>
      </c>
      <c r="AD77" s="3945">
        <v>588.73</v>
      </c>
      <c r="AE77" s="3945">
        <v>717.01</v>
      </c>
      <c r="AF77" s="3945">
        <v>960.9</v>
      </c>
      <c r="AG77" s="3945">
        <f t="shared" ref="AG77:AG79" si="43">AF77</f>
        <v>960.9</v>
      </c>
      <c r="AH77" s="2149">
        <f t="shared" si="10"/>
        <v>1</v>
      </c>
      <c r="AI77" s="3083">
        <v>588.47</v>
      </c>
      <c r="AJ77" s="3083">
        <v>588.47</v>
      </c>
      <c r="AK77" s="3083"/>
      <c r="AL77" s="3083">
        <v>717.01</v>
      </c>
      <c r="AM77" s="3083">
        <f t="shared" ref="AM77:AM79" si="44">AE77</f>
        <v>717.01</v>
      </c>
      <c r="AN77" s="3083">
        <v>513.41</v>
      </c>
      <c r="AO77" s="3083">
        <f t="shared" ref="AO77:AO79" si="45">AN77</f>
        <v>513.41</v>
      </c>
      <c r="AP77" s="3083">
        <v>588.47</v>
      </c>
      <c r="AQ77" s="3083">
        <f t="shared" ref="AQ77:AQ79" si="46">AP77</f>
        <v>588.47</v>
      </c>
      <c r="AR77" s="2149">
        <f t="shared" si="6"/>
        <v>0.74618586741596415</v>
      </c>
      <c r="AS77" s="3083">
        <v>453.95</v>
      </c>
      <c r="AT77" s="3080">
        <v>513.41</v>
      </c>
      <c r="AU77" s="3080">
        <f t="shared" ref="AU77:AX79" si="47">AT77</f>
        <v>513.41</v>
      </c>
      <c r="AV77" s="3080">
        <f t="shared" si="47"/>
        <v>513.41</v>
      </c>
      <c r="AW77" s="3080">
        <f t="shared" si="47"/>
        <v>513.41</v>
      </c>
      <c r="AX77" s="3080">
        <f t="shared" si="47"/>
        <v>513.41</v>
      </c>
      <c r="AY77" s="3082">
        <v>513.41</v>
      </c>
      <c r="AZ77" s="3945">
        <f t="shared" ref="AZ77:BD79" si="48">AY77</f>
        <v>513.41</v>
      </c>
      <c r="BA77" s="3945">
        <f t="shared" si="48"/>
        <v>513.41</v>
      </c>
      <c r="BB77" s="3945">
        <f t="shared" si="48"/>
        <v>513.41</v>
      </c>
      <c r="BC77" s="3945">
        <f t="shared" si="48"/>
        <v>513.41</v>
      </c>
      <c r="BD77" s="3945">
        <f t="shared" si="48"/>
        <v>513.41</v>
      </c>
      <c r="BE77" s="3945">
        <f>SUM(AY77)</f>
        <v>513.41</v>
      </c>
      <c r="BF77" s="3945">
        <f>SUM(AZ77)</f>
        <v>513.41</v>
      </c>
      <c r="BG77" s="3082">
        <f t="shared" si="33"/>
        <v>253</v>
      </c>
      <c r="BH77" s="3945">
        <v>253</v>
      </c>
      <c r="BI77" s="3945">
        <v>0</v>
      </c>
      <c r="BJ77" s="3082">
        <f t="shared" si="34"/>
        <v>369.04</v>
      </c>
      <c r="BK77" s="3945">
        <v>369.04</v>
      </c>
      <c r="BL77" s="3945"/>
      <c r="BM77" s="3082">
        <f t="shared" si="35"/>
        <v>475.83</v>
      </c>
      <c r="BN77" s="3945">
        <v>475.83</v>
      </c>
      <c r="BO77" s="3945"/>
      <c r="BP77" s="3945">
        <v>475.83</v>
      </c>
      <c r="BQ77" s="3945">
        <f>SUM(BP77/BP80)*BQ80</f>
        <v>474.72103319785174</v>
      </c>
      <c r="BR77" s="3082">
        <f t="shared" si="36"/>
        <v>231.73</v>
      </c>
      <c r="BS77" s="3945">
        <v>231.73</v>
      </c>
      <c r="BT77" s="3945">
        <v>0</v>
      </c>
      <c r="BU77" s="3082">
        <f t="shared" si="37"/>
        <v>338.74</v>
      </c>
      <c r="BV77" s="3945">
        <v>338.74</v>
      </c>
      <c r="BW77" s="3945"/>
      <c r="BX77" s="3082">
        <f t="shared" si="38"/>
        <v>461.09</v>
      </c>
      <c r="BY77" s="3945">
        <v>461.09</v>
      </c>
      <c r="BZ77" s="3945"/>
      <c r="CA77" s="3080">
        <f t="shared" si="39"/>
        <v>461.09</v>
      </c>
      <c r="CB77" s="3945">
        <f>SUM(CA77/CA80)*CB80</f>
        <v>461.09</v>
      </c>
      <c r="CC77" s="3082">
        <f t="shared" si="40"/>
        <v>203.29</v>
      </c>
      <c r="CD77" s="3945">
        <v>203.29</v>
      </c>
      <c r="CE77" s="3945"/>
      <c r="CF77" s="3082">
        <f t="shared" si="41"/>
        <v>294.43400000000003</v>
      </c>
      <c r="CG77" s="3945">
        <v>294.43400000000003</v>
      </c>
      <c r="CH77" s="3945"/>
      <c r="CI77" s="3082">
        <f t="shared" si="42"/>
        <v>416.68200000000002</v>
      </c>
      <c r="CJ77" s="3796">
        <v>416.68200000000002</v>
      </c>
      <c r="CK77" s="3074"/>
      <c r="CL77" s="2634">
        <f t="shared" si="26"/>
        <v>-58.039033197851722</v>
      </c>
    </row>
    <row r="78" spans="13:90" x14ac:dyDescent="0.25">
      <c r="M78" s="1726" t="s">
        <v>816</v>
      </c>
      <c r="N78" s="1726"/>
      <c r="O78" s="1726"/>
      <c r="P78" s="1726"/>
      <c r="Q78" s="3945">
        <v>26.4</v>
      </c>
      <c r="R78" s="3079" t="e">
        <f>Q78/#REF!*100</f>
        <v>#REF!</v>
      </c>
      <c r="S78" s="3945" t="e">
        <f>#REF!</f>
        <v>#REF!</v>
      </c>
      <c r="T78" s="3945">
        <v>0</v>
      </c>
      <c r="U78" s="3945">
        <v>18.899999999999999</v>
      </c>
      <c r="V78" s="3945">
        <v>26.4</v>
      </c>
      <c r="W78" s="3945"/>
      <c r="X78" s="3945">
        <v>25.2</v>
      </c>
      <c r="Y78" s="3945">
        <v>25.2</v>
      </c>
      <c r="Z78" s="3079"/>
      <c r="AA78" s="3945">
        <f>Y78</f>
        <v>25.2</v>
      </c>
      <c r="AB78" s="2149" t="e">
        <f t="shared" si="9"/>
        <v>#REF!</v>
      </c>
      <c r="AC78" s="3945">
        <v>12.72</v>
      </c>
      <c r="AD78" s="3945">
        <v>19.11</v>
      </c>
      <c r="AE78" s="3945">
        <v>25.5</v>
      </c>
      <c r="AF78" s="3945">
        <v>25.2</v>
      </c>
      <c r="AG78" s="3945">
        <f t="shared" si="43"/>
        <v>25.2</v>
      </c>
      <c r="AH78" s="2149">
        <f t="shared" si="10"/>
        <v>1</v>
      </c>
      <c r="AI78" s="3083">
        <v>36.94</v>
      </c>
      <c r="AJ78" s="3083">
        <v>36.94</v>
      </c>
      <c r="AK78" s="3083"/>
      <c r="AL78" s="3083">
        <v>25.5</v>
      </c>
      <c r="AM78" s="3083">
        <f t="shared" si="44"/>
        <v>25.5</v>
      </c>
      <c r="AN78" s="3083">
        <v>68.540000000000006</v>
      </c>
      <c r="AO78" s="3083">
        <f t="shared" si="45"/>
        <v>68.540000000000006</v>
      </c>
      <c r="AP78" s="3083">
        <v>36.94</v>
      </c>
      <c r="AQ78" s="3083">
        <f t="shared" si="46"/>
        <v>36.94</v>
      </c>
      <c r="AR78" s="2149">
        <f t="shared" si="6"/>
        <v>1.0119047619047619</v>
      </c>
      <c r="AS78" s="3083">
        <v>95.24</v>
      </c>
      <c r="AT78" s="3080">
        <v>68.540000000000006</v>
      </c>
      <c r="AU78" s="3080">
        <f t="shared" si="47"/>
        <v>68.540000000000006</v>
      </c>
      <c r="AV78" s="3080">
        <f t="shared" si="47"/>
        <v>68.540000000000006</v>
      </c>
      <c r="AW78" s="3080">
        <f t="shared" si="47"/>
        <v>68.540000000000006</v>
      </c>
      <c r="AX78" s="3080">
        <f t="shared" si="47"/>
        <v>68.540000000000006</v>
      </c>
      <c r="AY78" s="3082">
        <v>68.540000000000006</v>
      </c>
      <c r="AZ78" s="3945">
        <f t="shared" si="48"/>
        <v>68.540000000000006</v>
      </c>
      <c r="BA78" s="3945">
        <f t="shared" si="48"/>
        <v>68.540000000000006</v>
      </c>
      <c r="BB78" s="3945">
        <f t="shared" si="48"/>
        <v>68.540000000000006</v>
      </c>
      <c r="BC78" s="3945">
        <f t="shared" si="48"/>
        <v>68.540000000000006</v>
      </c>
      <c r="BD78" s="3945">
        <f t="shared" si="48"/>
        <v>68.540000000000006</v>
      </c>
      <c r="BE78" s="3945">
        <f>SUM(AS78)</f>
        <v>95.24</v>
      </c>
      <c r="BF78" s="3945">
        <f>SUM(BE78)</f>
        <v>95.24</v>
      </c>
      <c r="BG78" s="3082">
        <f t="shared" si="33"/>
        <v>152.58000000000001</v>
      </c>
      <c r="BH78" s="3945">
        <v>152.58000000000001</v>
      </c>
      <c r="BI78" s="3945">
        <v>0</v>
      </c>
      <c r="BJ78" s="3082">
        <f t="shared" si="34"/>
        <v>231.78</v>
      </c>
      <c r="BK78" s="3945">
        <v>231.78</v>
      </c>
      <c r="BL78" s="3945"/>
      <c r="BM78" s="3082">
        <f t="shared" si="35"/>
        <v>311.02</v>
      </c>
      <c r="BN78" s="3945">
        <v>311.02</v>
      </c>
      <c r="BO78" s="3945"/>
      <c r="BP78" s="3945">
        <v>311.02</v>
      </c>
      <c r="BQ78" s="3945">
        <f>SUM(BP78/BP80)*BQ80</f>
        <v>310.2951384847442</v>
      </c>
      <c r="BR78" s="3082">
        <f t="shared" si="36"/>
        <v>158.41</v>
      </c>
      <c r="BS78" s="3945">
        <v>158.41</v>
      </c>
      <c r="BT78" s="3945">
        <v>0</v>
      </c>
      <c r="BU78" s="3082">
        <f t="shared" si="37"/>
        <v>237.61</v>
      </c>
      <c r="BV78" s="3945">
        <v>237.61</v>
      </c>
      <c r="BW78" s="3945"/>
      <c r="BX78" s="3082">
        <f t="shared" si="38"/>
        <v>316.86</v>
      </c>
      <c r="BY78" s="3945">
        <v>316.86</v>
      </c>
      <c r="BZ78" s="3945"/>
      <c r="CA78" s="3080">
        <f t="shared" si="39"/>
        <v>316.86</v>
      </c>
      <c r="CB78" s="3945">
        <f>SUM(CA78/CA80)*CB80</f>
        <v>316.86</v>
      </c>
      <c r="CC78" s="3082">
        <f t="shared" si="40"/>
        <v>175.08</v>
      </c>
      <c r="CD78" s="3945">
        <v>175.08</v>
      </c>
      <c r="CE78" s="3945"/>
      <c r="CF78" s="3082">
        <f t="shared" si="41"/>
        <v>279.29399999999998</v>
      </c>
      <c r="CG78" s="3945">
        <v>279.29399999999998</v>
      </c>
      <c r="CH78" s="3945"/>
      <c r="CI78" s="3082">
        <f t="shared" si="42"/>
        <v>372.09399999999999</v>
      </c>
      <c r="CJ78" s="3796">
        <v>372.09399999999999</v>
      </c>
      <c r="CK78" s="3796"/>
      <c r="CL78" s="2634">
        <f t="shared" si="26"/>
        <v>61.798861515255794</v>
      </c>
    </row>
    <row r="79" spans="13:90" x14ac:dyDescent="0.25">
      <c r="M79" s="1726" t="s">
        <v>85</v>
      </c>
      <c r="N79" s="1726"/>
      <c r="O79" s="1726"/>
      <c r="P79" s="1726"/>
      <c r="Q79" s="3945">
        <v>3595</v>
      </c>
      <c r="R79" s="3079" t="e">
        <f>Q79/#REF!*100</f>
        <v>#REF!</v>
      </c>
      <c r="S79" s="3945" t="e">
        <f>#REF!</f>
        <v>#REF!</v>
      </c>
      <c r="T79" s="3945">
        <v>1755.33</v>
      </c>
      <c r="U79" s="3945">
        <v>2673.6</v>
      </c>
      <c r="V79" s="3945">
        <v>3595</v>
      </c>
      <c r="W79" s="3945"/>
      <c r="X79" s="3945">
        <v>3567.6</v>
      </c>
      <c r="Y79" s="3945">
        <v>3562.4</v>
      </c>
      <c r="Z79" s="3079"/>
      <c r="AA79" s="3945">
        <f>Y79</f>
        <v>3562.4</v>
      </c>
      <c r="AB79" s="2149" t="e">
        <f t="shared" si="9"/>
        <v>#REF!</v>
      </c>
      <c r="AC79" s="3945">
        <v>1790.52</v>
      </c>
      <c r="AD79" s="3945">
        <v>2713.05</v>
      </c>
      <c r="AE79" s="3945">
        <v>4015.93</v>
      </c>
      <c r="AF79" s="3945">
        <v>3562.4</v>
      </c>
      <c r="AG79" s="3945">
        <f t="shared" si="43"/>
        <v>3562.4</v>
      </c>
      <c r="AH79" s="2149">
        <f t="shared" si="10"/>
        <v>1</v>
      </c>
      <c r="AI79" s="3083">
        <v>3912.88</v>
      </c>
      <c r="AJ79" s="3083">
        <v>3912.88</v>
      </c>
      <c r="AK79" s="3083"/>
      <c r="AL79" s="3083">
        <v>4015.93</v>
      </c>
      <c r="AM79" s="3083">
        <f t="shared" si="44"/>
        <v>4015.93</v>
      </c>
      <c r="AN79" s="3083">
        <v>3925.45</v>
      </c>
      <c r="AO79" s="3083">
        <f t="shared" si="45"/>
        <v>3925.45</v>
      </c>
      <c r="AP79" s="3083">
        <v>3912.88</v>
      </c>
      <c r="AQ79" s="3083">
        <f t="shared" si="46"/>
        <v>3912.88</v>
      </c>
      <c r="AR79" s="2149">
        <f t="shared" si="6"/>
        <v>1.1273102402874466</v>
      </c>
      <c r="AS79" s="3083">
        <v>3937.42</v>
      </c>
      <c r="AT79" s="3080">
        <v>3925.45</v>
      </c>
      <c r="AU79" s="3080">
        <f t="shared" si="47"/>
        <v>3925.45</v>
      </c>
      <c r="AV79" s="3080">
        <f t="shared" si="47"/>
        <v>3925.45</v>
      </c>
      <c r="AW79" s="3080">
        <f t="shared" si="47"/>
        <v>3925.45</v>
      </c>
      <c r="AX79" s="3080">
        <f t="shared" si="47"/>
        <v>3925.45</v>
      </c>
      <c r="AY79" s="3080">
        <v>3925.45</v>
      </c>
      <c r="AZ79" s="3945">
        <f t="shared" si="48"/>
        <v>3925.45</v>
      </c>
      <c r="BA79" s="3945">
        <f t="shared" si="48"/>
        <v>3925.45</v>
      </c>
      <c r="BB79" s="3945">
        <f t="shared" si="48"/>
        <v>3925.45</v>
      </c>
      <c r="BC79" s="3945">
        <f t="shared" si="48"/>
        <v>3925.45</v>
      </c>
      <c r="BD79" s="3945">
        <f t="shared" si="48"/>
        <v>3925.45</v>
      </c>
      <c r="BE79" s="3945">
        <f>SUM(AS79)</f>
        <v>3937.42</v>
      </c>
      <c r="BF79" s="3945">
        <f>SUM(BE79)</f>
        <v>3937.42</v>
      </c>
      <c r="BG79" s="3082">
        <f t="shared" si="33"/>
        <v>1973.89</v>
      </c>
      <c r="BH79" s="3945">
        <v>1973.89</v>
      </c>
      <c r="BI79" s="3945">
        <v>0</v>
      </c>
      <c r="BJ79" s="3082">
        <f t="shared" si="34"/>
        <v>2982.19</v>
      </c>
      <c r="BK79" s="3945">
        <v>2982.19</v>
      </c>
      <c r="BL79" s="3945"/>
      <c r="BM79" s="3082">
        <f t="shared" si="35"/>
        <v>4007.33</v>
      </c>
      <c r="BN79" s="3945">
        <v>4007.33</v>
      </c>
      <c r="BO79" s="3945"/>
      <c r="BP79" s="3945">
        <v>4007.33</v>
      </c>
      <c r="BQ79" s="3945">
        <f>SUM(BP79/BP80)*BQ80</f>
        <v>3997.9905385636621</v>
      </c>
      <c r="BR79" s="3082">
        <f t="shared" si="36"/>
        <v>2057.556</v>
      </c>
      <c r="BS79" s="3945">
        <v>2057.556</v>
      </c>
      <c r="BT79" s="3945">
        <v>0</v>
      </c>
      <c r="BU79" s="3082">
        <f t="shared" si="37"/>
        <v>3093.25</v>
      </c>
      <c r="BV79" s="3945">
        <v>3093.25</v>
      </c>
      <c r="BW79" s="3945"/>
      <c r="BX79" s="3082">
        <f t="shared" si="38"/>
        <v>4128.96</v>
      </c>
      <c r="BY79" s="3945">
        <v>4128.96</v>
      </c>
      <c r="BZ79" s="3945"/>
      <c r="CA79" s="3080">
        <f t="shared" si="39"/>
        <v>4128.96</v>
      </c>
      <c r="CB79" s="3945">
        <f>SUM(CA79/CA80)*CB80</f>
        <v>4128.96</v>
      </c>
      <c r="CC79" s="3082">
        <f t="shared" si="40"/>
        <v>2120.25</v>
      </c>
      <c r="CD79" s="3945">
        <v>2120.25</v>
      </c>
      <c r="CE79" s="3945"/>
      <c r="CF79" s="3082">
        <f t="shared" si="41"/>
        <v>3226.26</v>
      </c>
      <c r="CG79" s="3945">
        <v>3226.26</v>
      </c>
      <c r="CH79" s="3945"/>
      <c r="CI79" s="3082">
        <f t="shared" si="42"/>
        <v>4359.9430000000002</v>
      </c>
      <c r="CJ79" s="3796">
        <v>4359.9430000000002</v>
      </c>
      <c r="CK79" s="3796"/>
      <c r="CL79" s="2634">
        <f t="shared" si="26"/>
        <v>361.95246143633813</v>
      </c>
    </row>
    <row r="80" spans="13:90" ht="15" customHeight="1" x14ac:dyDescent="0.25">
      <c r="M80" s="2556" t="s">
        <v>90</v>
      </c>
      <c r="N80" s="1726"/>
      <c r="O80" s="1726"/>
      <c r="P80" s="1726"/>
      <c r="Q80" s="3944">
        <f>SUM(Q76:Q79)</f>
        <v>5170.3</v>
      </c>
      <c r="R80" s="3079" t="e">
        <f>Q80/#REF!*100</f>
        <v>#REF!</v>
      </c>
      <c r="S80" s="3944" t="e">
        <f>SUM(S76:S79)</f>
        <v>#REF!</v>
      </c>
      <c r="T80" s="3944">
        <f>SUM(T76:T79)</f>
        <v>2304.31</v>
      </c>
      <c r="U80" s="3944">
        <f>SUM(U76:U79)</f>
        <v>3530.2</v>
      </c>
      <c r="V80" s="3944">
        <f>SUM(V76:V79)</f>
        <v>5170</v>
      </c>
      <c r="W80" s="3945"/>
      <c r="X80" s="3944">
        <f>SUM(X76:X79)</f>
        <v>4702.5</v>
      </c>
      <c r="Y80" s="3944">
        <f>SUM(Y76:Y79)</f>
        <v>4822.1000000000004</v>
      </c>
      <c r="Z80" s="3079"/>
      <c r="AA80" s="3944">
        <f>SUM(AA76:AA79)</f>
        <v>4822.1000000000004</v>
      </c>
      <c r="AB80" s="3089" t="e">
        <f t="shared" si="9"/>
        <v>#REF!</v>
      </c>
      <c r="AC80" s="3944">
        <f t="shared" ref="AC80:AJ80" si="49">SUM(AC76:AC79)</f>
        <v>2400.7200000000003</v>
      </c>
      <c r="AD80" s="3944">
        <f t="shared" si="49"/>
        <v>3628.3500000000004</v>
      </c>
      <c r="AE80" s="3944">
        <f t="shared" si="49"/>
        <v>5183.68</v>
      </c>
      <c r="AF80" s="3944">
        <f t="shared" si="49"/>
        <v>4822.1000000000004</v>
      </c>
      <c r="AG80" s="3944">
        <f t="shared" si="49"/>
        <v>4822.1000000000004</v>
      </c>
      <c r="AH80" s="3944">
        <f t="shared" si="49"/>
        <v>4</v>
      </c>
      <c r="AI80" s="3086">
        <f t="shared" si="49"/>
        <v>5036.88</v>
      </c>
      <c r="AJ80" s="3086">
        <f t="shared" si="49"/>
        <v>5036.88</v>
      </c>
      <c r="AK80" s="3087">
        <v>3759.56</v>
      </c>
      <c r="AL80" s="3944">
        <f t="shared" ref="AL80:BP80" si="50">SUM(AL76:AL79)</f>
        <v>5183.68</v>
      </c>
      <c r="AM80" s="3944">
        <f t="shared" si="50"/>
        <v>5183.68</v>
      </c>
      <c r="AN80" s="3944">
        <f t="shared" si="50"/>
        <v>5006.29</v>
      </c>
      <c r="AO80" s="3944">
        <f t="shared" si="50"/>
        <v>5006.29</v>
      </c>
      <c r="AP80" s="3944">
        <f t="shared" si="50"/>
        <v>5036.88</v>
      </c>
      <c r="AQ80" s="3944">
        <f t="shared" si="50"/>
        <v>5036.88</v>
      </c>
      <c r="AR80" s="3944">
        <f t="shared" si="50"/>
        <v>4.4396406356900435</v>
      </c>
      <c r="AS80" s="3944">
        <f t="shared" si="50"/>
        <v>4827.91</v>
      </c>
      <c r="AT80" s="3944">
        <f t="shared" si="50"/>
        <v>5006.29</v>
      </c>
      <c r="AU80" s="3944">
        <f t="shared" si="50"/>
        <v>5006.29</v>
      </c>
      <c r="AV80" s="3944">
        <f t="shared" si="50"/>
        <v>5006.29</v>
      </c>
      <c r="AW80" s="3944">
        <f t="shared" si="50"/>
        <v>5006.29</v>
      </c>
      <c r="AX80" s="3944">
        <f t="shared" si="50"/>
        <v>5006.29</v>
      </c>
      <c r="AY80" s="3944">
        <f t="shared" si="50"/>
        <v>5006.29</v>
      </c>
      <c r="AZ80" s="3944">
        <f t="shared" si="50"/>
        <v>5006.29</v>
      </c>
      <c r="BA80" s="3944">
        <f t="shared" si="50"/>
        <v>5006.29</v>
      </c>
      <c r="BB80" s="3944">
        <f t="shared" si="50"/>
        <v>5006.29</v>
      </c>
      <c r="BC80" s="3944">
        <f t="shared" si="50"/>
        <v>5006.29</v>
      </c>
      <c r="BD80" s="3944">
        <f t="shared" si="50"/>
        <v>5006.29</v>
      </c>
      <c r="BE80" s="3944">
        <f t="shared" si="50"/>
        <v>5044.96</v>
      </c>
      <c r="BF80" s="3944">
        <f t="shared" si="50"/>
        <v>5044.96</v>
      </c>
      <c r="BG80" s="3944">
        <f t="shared" si="50"/>
        <v>2555.2600000000002</v>
      </c>
      <c r="BH80" s="3944">
        <f t="shared" si="50"/>
        <v>2555.2600000000002</v>
      </c>
      <c r="BI80" s="3944">
        <f t="shared" si="50"/>
        <v>0</v>
      </c>
      <c r="BJ80" s="3944">
        <f t="shared" si="50"/>
        <v>3844.0299999999997</v>
      </c>
      <c r="BK80" s="3944">
        <f t="shared" si="50"/>
        <v>3844.0299999999997</v>
      </c>
      <c r="BL80" s="3944">
        <f t="shared" si="50"/>
        <v>0</v>
      </c>
      <c r="BM80" s="3944">
        <f t="shared" si="50"/>
        <v>5144.6099999999997</v>
      </c>
      <c r="BN80" s="3944">
        <f t="shared" si="50"/>
        <v>5144.6099999999997</v>
      </c>
      <c r="BO80" s="3944">
        <f t="shared" si="50"/>
        <v>0</v>
      </c>
      <c r="BP80" s="3944">
        <f t="shared" si="50"/>
        <v>5144.6099999999997</v>
      </c>
      <c r="BQ80" s="3944">
        <v>5132.62</v>
      </c>
      <c r="BR80" s="3944">
        <f t="shared" ref="BR80:CA80" si="51">SUM(BR76:BR79)</f>
        <v>2631.4059999999999</v>
      </c>
      <c r="BS80" s="3944">
        <f t="shared" si="51"/>
        <v>2631.4059999999999</v>
      </c>
      <c r="BT80" s="3944">
        <f t="shared" si="51"/>
        <v>0</v>
      </c>
      <c r="BU80" s="3944">
        <f t="shared" si="51"/>
        <v>3945.87</v>
      </c>
      <c r="BV80" s="3944">
        <f t="shared" si="51"/>
        <v>3945.87</v>
      </c>
      <c r="BW80" s="3944">
        <f t="shared" si="51"/>
        <v>0</v>
      </c>
      <c r="BX80" s="3944">
        <f t="shared" si="51"/>
        <v>5268.7</v>
      </c>
      <c r="BY80" s="3944">
        <f t="shared" si="51"/>
        <v>5268.7</v>
      </c>
      <c r="BZ80" s="3944">
        <f t="shared" si="51"/>
        <v>0</v>
      </c>
      <c r="CA80" s="3944">
        <f t="shared" si="51"/>
        <v>5268.7</v>
      </c>
      <c r="CB80" s="3944">
        <v>5268.7</v>
      </c>
      <c r="CC80" s="3944">
        <f t="shared" ref="CC80:CK80" si="52">SUM(CC76:CC79)</f>
        <v>2669.63</v>
      </c>
      <c r="CD80" s="3944">
        <f t="shared" si="52"/>
        <v>2669.63</v>
      </c>
      <c r="CE80" s="3944">
        <f t="shared" si="52"/>
        <v>0</v>
      </c>
      <c r="CF80" s="3944">
        <f t="shared" si="52"/>
        <v>4056.498</v>
      </c>
      <c r="CG80" s="3944">
        <f t="shared" si="52"/>
        <v>4056.498</v>
      </c>
      <c r="CH80" s="3944">
        <f t="shared" si="52"/>
        <v>0</v>
      </c>
      <c r="CI80" s="3944">
        <f t="shared" si="52"/>
        <v>5490.75</v>
      </c>
      <c r="CJ80" s="3797">
        <f t="shared" si="52"/>
        <v>5490.75</v>
      </c>
      <c r="CK80" s="3797">
        <f t="shared" si="52"/>
        <v>0</v>
      </c>
      <c r="CL80" s="3976">
        <f t="shared" si="26"/>
        <v>358.13000000000011</v>
      </c>
    </row>
    <row r="81" spans="13:90" x14ac:dyDescent="0.25">
      <c r="M81" s="2556" t="s">
        <v>614</v>
      </c>
      <c r="N81" s="2556"/>
      <c r="O81" s="2556"/>
      <c r="P81" s="2556"/>
      <c r="Q81" s="2552">
        <f>SUM(Q80,Q75)</f>
        <v>12607.099999999999</v>
      </c>
      <c r="R81" s="1737" t="e">
        <f>Q81/#REF!*100</f>
        <v>#REF!</v>
      </c>
      <c r="S81" s="2552" t="e">
        <f t="shared" ref="S81:AA81" si="53">SUM(S80,S75)</f>
        <v>#REF!</v>
      </c>
      <c r="T81" s="2552">
        <f t="shared" si="53"/>
        <v>6152.08</v>
      </c>
      <c r="U81" s="2552">
        <f t="shared" si="53"/>
        <v>9218.7000000000007</v>
      </c>
      <c r="V81" s="2552">
        <f t="shared" si="53"/>
        <v>12461</v>
      </c>
      <c r="W81" s="2552">
        <f t="shared" si="53"/>
        <v>0</v>
      </c>
      <c r="X81" s="2552">
        <f t="shared" si="53"/>
        <v>12312.3</v>
      </c>
      <c r="Y81" s="2552">
        <f t="shared" si="53"/>
        <v>12372.400000000001</v>
      </c>
      <c r="Z81" s="2552">
        <f t="shared" si="53"/>
        <v>0</v>
      </c>
      <c r="AA81" s="2552">
        <f t="shared" si="53"/>
        <v>12372.400000000001</v>
      </c>
      <c r="AB81" s="3089" t="e">
        <f t="shared" si="9"/>
        <v>#REF!</v>
      </c>
      <c r="AC81" s="2552">
        <f t="shared" ref="AC81:BQ81" si="54">SUM(AC80,AC75)</f>
        <v>6393.94</v>
      </c>
      <c r="AD81" s="2552">
        <f t="shared" si="54"/>
        <v>9730.42</v>
      </c>
      <c r="AE81" s="2552">
        <f t="shared" si="54"/>
        <v>13480.330000000002</v>
      </c>
      <c r="AF81" s="2552">
        <f t="shared" si="54"/>
        <v>12372.400000000001</v>
      </c>
      <c r="AG81" s="2552">
        <f t="shared" si="54"/>
        <v>12958.2</v>
      </c>
      <c r="AH81" s="2552">
        <f t="shared" si="54"/>
        <v>8.3338304794805236</v>
      </c>
      <c r="AI81" s="3090">
        <f t="shared" si="54"/>
        <v>13534.780000000002</v>
      </c>
      <c r="AJ81" s="3090">
        <f t="shared" si="54"/>
        <v>13534.780000000002</v>
      </c>
      <c r="AK81" s="2552">
        <f t="shared" si="54"/>
        <v>10163.959999999999</v>
      </c>
      <c r="AL81" s="2552">
        <f t="shared" si="54"/>
        <v>13480.36</v>
      </c>
      <c r="AM81" s="2552">
        <f t="shared" si="54"/>
        <v>13480.36</v>
      </c>
      <c r="AN81" s="2552">
        <f t="shared" si="54"/>
        <v>14990.669999999998</v>
      </c>
      <c r="AO81" s="2552">
        <f t="shared" si="54"/>
        <v>14990.669999999998</v>
      </c>
      <c r="AP81" s="2552">
        <f t="shared" si="54"/>
        <v>13534.780000000002</v>
      </c>
      <c r="AQ81" s="2552">
        <f t="shared" si="54"/>
        <v>13534.780000000002</v>
      </c>
      <c r="AR81" s="2552">
        <f t="shared" si="54"/>
        <v>8.5043756316264734</v>
      </c>
      <c r="AS81" s="2552">
        <f t="shared" si="54"/>
        <v>14745.47</v>
      </c>
      <c r="AT81" s="3944">
        <f t="shared" si="54"/>
        <v>17757.57</v>
      </c>
      <c r="AU81" s="3944">
        <f t="shared" si="54"/>
        <v>17757.57</v>
      </c>
      <c r="AV81" s="3944">
        <f t="shared" si="54"/>
        <v>17757.57</v>
      </c>
      <c r="AW81" s="3944">
        <f t="shared" si="54"/>
        <v>17757.57</v>
      </c>
      <c r="AX81" s="3944">
        <f t="shared" si="54"/>
        <v>17757.57</v>
      </c>
      <c r="AY81" s="3944">
        <f t="shared" si="54"/>
        <v>14990.669999999998</v>
      </c>
      <c r="AZ81" s="3944">
        <f t="shared" si="54"/>
        <v>14990.669999999998</v>
      </c>
      <c r="BA81" s="3944">
        <f t="shared" si="54"/>
        <v>14990.669999999998</v>
      </c>
      <c r="BB81" s="3944">
        <f t="shared" si="54"/>
        <v>14990.669999999998</v>
      </c>
      <c r="BC81" s="3944">
        <f t="shared" si="54"/>
        <v>14990.669999999998</v>
      </c>
      <c r="BD81" s="3944">
        <f t="shared" si="54"/>
        <v>14990.669999999998</v>
      </c>
      <c r="BE81" s="3944">
        <f t="shared" si="54"/>
        <v>15259.970000000001</v>
      </c>
      <c r="BF81" s="3944">
        <f t="shared" si="54"/>
        <v>15259.970000000001</v>
      </c>
      <c r="BG81" s="3944">
        <f t="shared" si="54"/>
        <v>10801.710000000001</v>
      </c>
      <c r="BH81" s="3944">
        <f t="shared" si="54"/>
        <v>10801.710000000001</v>
      </c>
      <c r="BI81" s="3944">
        <f t="shared" si="54"/>
        <v>0</v>
      </c>
      <c r="BJ81" s="3944">
        <f t="shared" si="54"/>
        <v>16014</v>
      </c>
      <c r="BK81" s="3944">
        <f t="shared" si="54"/>
        <v>16014</v>
      </c>
      <c r="BL81" s="3944">
        <f t="shared" si="54"/>
        <v>0</v>
      </c>
      <c r="BM81" s="3944">
        <f t="shared" si="54"/>
        <v>20822.02</v>
      </c>
      <c r="BN81" s="3944">
        <f t="shared" si="54"/>
        <v>20822.02</v>
      </c>
      <c r="BO81" s="3944">
        <f t="shared" si="54"/>
        <v>0</v>
      </c>
      <c r="BP81" s="3944">
        <f t="shared" si="54"/>
        <v>16853.59</v>
      </c>
      <c r="BQ81" s="3944">
        <f t="shared" si="54"/>
        <v>11275.33</v>
      </c>
      <c r="BR81" s="3944">
        <f t="shared" ref="BR81:CK81" si="55">SUM(BR80,BR75)</f>
        <v>10411.0229</v>
      </c>
      <c r="BS81" s="3944">
        <f t="shared" si="55"/>
        <v>10411.0229</v>
      </c>
      <c r="BT81" s="3944">
        <f t="shared" si="55"/>
        <v>0</v>
      </c>
      <c r="BU81" s="3944">
        <f t="shared" si="55"/>
        <v>15636.57</v>
      </c>
      <c r="BV81" s="3944">
        <f t="shared" si="55"/>
        <v>15636.57</v>
      </c>
      <c r="BW81" s="3944">
        <f t="shared" si="55"/>
        <v>0</v>
      </c>
      <c r="BX81" s="3944">
        <f t="shared" si="55"/>
        <v>20866.2</v>
      </c>
      <c r="BY81" s="3944">
        <f t="shared" si="55"/>
        <v>20866.2</v>
      </c>
      <c r="BZ81" s="3944">
        <f t="shared" si="55"/>
        <v>0</v>
      </c>
      <c r="CA81" s="3944">
        <f t="shared" si="55"/>
        <v>16897.77</v>
      </c>
      <c r="CB81" s="2552">
        <f t="shared" si="55"/>
        <v>16825.88</v>
      </c>
      <c r="CC81" s="3944">
        <f t="shared" si="55"/>
        <v>10100.638999999999</v>
      </c>
      <c r="CD81" s="3944">
        <f t="shared" si="55"/>
        <v>10100.638999999999</v>
      </c>
      <c r="CE81" s="3944">
        <f t="shared" si="55"/>
        <v>0</v>
      </c>
      <c r="CF81" s="3944">
        <f t="shared" si="55"/>
        <v>14957.563</v>
      </c>
      <c r="CG81" s="3944">
        <f t="shared" si="55"/>
        <v>14957.563</v>
      </c>
      <c r="CH81" s="3944">
        <f t="shared" si="55"/>
        <v>0</v>
      </c>
      <c r="CI81" s="3944">
        <f t="shared" si="55"/>
        <v>19956.903999999999</v>
      </c>
      <c r="CJ81" s="3797">
        <f t="shared" si="55"/>
        <v>19956.903999999999</v>
      </c>
      <c r="CK81" s="3797">
        <f t="shared" si="55"/>
        <v>0</v>
      </c>
      <c r="CL81" s="3976">
        <f>SUM(CL75+CL80)</f>
        <v>4713.1439999999993</v>
      </c>
    </row>
    <row r="82" spans="13:90" x14ac:dyDescent="0.25"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</row>
    <row r="83" spans="13:90" ht="15" customHeight="1" x14ac:dyDescent="0.25"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</row>
    <row r="84" spans="13:90" x14ac:dyDescent="0.25"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</row>
    <row r="85" spans="13:90" ht="18.75" x14ac:dyDescent="0.3">
      <c r="M85" s="3938" t="s">
        <v>4056</v>
      </c>
      <c r="N85" s="3038"/>
      <c r="O85" s="3038"/>
      <c r="P85" s="3038"/>
      <c r="Q85" s="3038"/>
      <c r="R85" s="3038"/>
      <c r="S85" s="3038"/>
      <c r="T85" s="3038"/>
      <c r="U85" s="3038"/>
      <c r="V85" s="3038"/>
      <c r="W85" s="3038"/>
      <c r="X85" s="3038"/>
      <c r="Y85" s="3038"/>
      <c r="Z85" s="3038"/>
      <c r="AA85" s="3038"/>
      <c r="AB85" s="3038"/>
      <c r="AC85" s="3038"/>
      <c r="AD85" s="3038"/>
      <c r="AE85" s="3038"/>
      <c r="AF85" s="3038"/>
      <c r="AG85" s="3038"/>
      <c r="AH85" s="3038"/>
      <c r="AI85" s="3038"/>
      <c r="AJ85" s="3038"/>
      <c r="AK85" s="3038"/>
      <c r="AL85" s="3038"/>
      <c r="AM85" s="3038"/>
      <c r="AN85" s="3038"/>
      <c r="AO85" s="3038"/>
      <c r="AP85" s="3038"/>
      <c r="AQ85" s="3038"/>
      <c r="AR85" s="3038"/>
      <c r="AS85" s="3038"/>
      <c r="AT85" s="3038"/>
      <c r="AU85" s="3038"/>
      <c r="AV85" s="3038"/>
      <c r="AW85" s="3038"/>
      <c r="AX85" s="3038"/>
      <c r="AY85" s="3038"/>
      <c r="AZ85" s="3038"/>
      <c r="BA85" s="3038"/>
      <c r="BB85" s="3038"/>
      <c r="BC85" s="3038"/>
      <c r="BD85" s="3038"/>
      <c r="BE85" s="3038"/>
      <c r="BF85" s="3038"/>
      <c r="BG85" s="3038"/>
      <c r="BH85" s="3038"/>
      <c r="BI85" s="3038"/>
      <c r="BJ85" s="3038"/>
      <c r="BK85" s="3038"/>
      <c r="BL85" s="3038"/>
      <c r="BM85" s="3038"/>
      <c r="BN85" s="3038"/>
      <c r="BO85" s="3038"/>
      <c r="BP85" s="3038"/>
      <c r="BQ85" s="3038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</row>
    <row r="86" spans="13:90" ht="23.25" customHeight="1" x14ac:dyDescent="0.25">
      <c r="BM86" s="5860"/>
      <c r="BN86" s="5860"/>
    </row>
  </sheetData>
  <mergeCells count="72">
    <mergeCell ref="A42:F42"/>
    <mergeCell ref="A1:F1"/>
    <mergeCell ref="A2:F2"/>
    <mergeCell ref="A14:F14"/>
    <mergeCell ref="A26:F26"/>
    <mergeCell ref="A27:F27"/>
    <mergeCell ref="M65:CL65"/>
    <mergeCell ref="M67:M69"/>
    <mergeCell ref="Q67:X67"/>
    <mergeCell ref="Y67:AE67"/>
    <mergeCell ref="AF67:AK67"/>
    <mergeCell ref="AM67:AO67"/>
    <mergeCell ref="AQ67:AS67"/>
    <mergeCell ref="AT67:AY67"/>
    <mergeCell ref="BE67:BF67"/>
    <mergeCell ref="BG67:BI67"/>
    <mergeCell ref="BJ67:BL67"/>
    <mergeCell ref="BP67:BQ67"/>
    <mergeCell ref="BR67:BT67"/>
    <mergeCell ref="BU67:BW67"/>
    <mergeCell ref="AD68:AD69"/>
    <mergeCell ref="AE68:AE69"/>
    <mergeCell ref="AF68:AF69"/>
    <mergeCell ref="AG68:AG69"/>
    <mergeCell ref="AI68:AI69"/>
    <mergeCell ref="Y68:Y69"/>
    <mergeCell ref="Z68:Z69"/>
    <mergeCell ref="AA68:AA69"/>
    <mergeCell ref="AB68:AB69"/>
    <mergeCell ref="AC68:AC69"/>
    <mergeCell ref="Q68:Q69"/>
    <mergeCell ref="S68:S69"/>
    <mergeCell ref="T68:T69"/>
    <mergeCell ref="U68:U69"/>
    <mergeCell ref="X68:X69"/>
    <mergeCell ref="AJ68:AJ69"/>
    <mergeCell ref="AM68:AM69"/>
    <mergeCell ref="AN68:AN69"/>
    <mergeCell ref="AO68:AO69"/>
    <mergeCell ref="AQ68:AQ69"/>
    <mergeCell ref="BK68:BL68"/>
    <mergeCell ref="AS68:AS69"/>
    <mergeCell ref="AT68:AX69"/>
    <mergeCell ref="AY68:BD69"/>
    <mergeCell ref="BE68:BE69"/>
    <mergeCell ref="BF68:BF69"/>
    <mergeCell ref="CI67:CK69"/>
    <mergeCell ref="CL67:CL69"/>
    <mergeCell ref="CB68:CB69"/>
    <mergeCell ref="CC68:CC69"/>
    <mergeCell ref="CD68:CE68"/>
    <mergeCell ref="CF68:CF69"/>
    <mergeCell ref="CG68:CH68"/>
    <mergeCell ref="CA67:CB67"/>
    <mergeCell ref="CC67:CE67"/>
    <mergeCell ref="CF67:CH67"/>
    <mergeCell ref="CA74:CB74"/>
    <mergeCell ref="BP74:BQ74"/>
    <mergeCell ref="BE74:BF74"/>
    <mergeCell ref="BM67:BO69"/>
    <mergeCell ref="BM86:BN86"/>
    <mergeCell ref="BU68:BU69"/>
    <mergeCell ref="BV68:BW68"/>
    <mergeCell ref="CA68:CA69"/>
    <mergeCell ref="BX67:BZ69"/>
    <mergeCell ref="BP68:BP69"/>
    <mergeCell ref="BQ68:BQ69"/>
    <mergeCell ref="BR68:BR69"/>
    <mergeCell ref="BS68:BT68"/>
    <mergeCell ref="BG68:BG69"/>
    <mergeCell ref="BH68:BI68"/>
    <mergeCell ref="BJ68:BJ69"/>
  </mergeCells>
  <printOptions horizontalCentered="1"/>
  <pageMargins left="0.51181102362204722" right="0.51181102362204722" top="0.74803149606299213" bottom="0.55118110236220474" header="0.31496062992125984" footer="0.31496062992125984"/>
  <pageSetup paperSize="9" scale="81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Лист55">
    <tabColor rgb="FFFF66FF"/>
    <pageSetUpPr fitToPage="1"/>
  </sheetPr>
  <dimension ref="A2:AK49"/>
  <sheetViews>
    <sheetView zoomScale="80" zoomScaleNormal="80" workbookViewId="0">
      <pane xSplit="4" ySplit="6" topLeftCell="Q7" activePane="bottomRight" state="frozen"/>
      <selection pane="topRight" activeCell="E1" sqref="E1"/>
      <selection pane="bottomLeft" activeCell="A7" sqref="A7"/>
      <selection pane="bottomRight" activeCell="AP25" sqref="AP25"/>
    </sheetView>
  </sheetViews>
  <sheetFormatPr defaultRowHeight="12.75" x14ac:dyDescent="0.2"/>
  <cols>
    <col min="1" max="1" width="30.28515625" style="2092" customWidth="1"/>
    <col min="2" max="2" width="10.7109375" style="1815" hidden="1" customWidth="1"/>
    <col min="3" max="3" width="15.140625" style="1815" hidden="1" customWidth="1"/>
    <col min="4" max="4" width="10.7109375" style="1815" hidden="1" customWidth="1"/>
    <col min="5" max="5" width="10.7109375" style="2458" hidden="1" customWidth="1"/>
    <col min="6" max="6" width="14.7109375" style="2458" hidden="1" customWidth="1"/>
    <col min="7" max="7" width="9.28515625" style="5" hidden="1" customWidth="1"/>
    <col min="8" max="14" width="9.28515625" style="5" customWidth="1"/>
    <col min="15" max="18" width="9.7109375" style="5" customWidth="1"/>
    <col min="19" max="20" width="14" style="5" customWidth="1"/>
    <col min="21" max="21" width="11.28515625" style="5" hidden="1" customWidth="1"/>
    <col min="22" max="22" width="12.42578125" style="5" hidden="1" customWidth="1"/>
    <col min="23" max="23" width="9.140625" style="5"/>
    <col min="24" max="24" width="13.85546875" style="5" customWidth="1"/>
    <col min="25" max="25" width="14" style="5" customWidth="1"/>
    <col min="26" max="27" width="10.7109375" style="5" hidden="1" customWidth="1"/>
    <col min="28" max="28" width="10.7109375" style="5" customWidth="1"/>
    <col min="29" max="30" width="14" style="5" customWidth="1"/>
    <col min="31" max="33" width="9.140625" style="5"/>
    <col min="34" max="35" width="14" style="5" customWidth="1"/>
    <col min="36" max="16384" width="9.140625" style="5"/>
  </cols>
  <sheetData>
    <row r="2" spans="1:37" ht="25.5" customHeight="1" x14ac:dyDescent="0.2">
      <c r="A2" s="6088" t="s">
        <v>4017</v>
      </c>
      <c r="B2" s="6088"/>
      <c r="C2" s="6088"/>
      <c r="D2" s="6088"/>
      <c r="E2" s="6088"/>
      <c r="F2" s="6088"/>
      <c r="G2" s="6088"/>
      <c r="H2" s="6088"/>
      <c r="I2" s="6088"/>
      <c r="J2" s="6088"/>
      <c r="K2" s="6088"/>
      <c r="L2" s="6088"/>
      <c r="M2" s="6088"/>
      <c r="N2" s="6088"/>
      <c r="O2" s="6088"/>
      <c r="P2" s="6088"/>
      <c r="Q2" s="6088"/>
      <c r="R2" s="6088"/>
      <c r="S2" s="4910"/>
      <c r="T2" s="4910"/>
      <c r="U2" s="4910"/>
      <c r="V2" s="4910"/>
      <c r="W2" s="4910"/>
      <c r="X2" s="4910"/>
      <c r="Y2" s="4910"/>
      <c r="Z2" s="4910"/>
      <c r="AA2" s="4910"/>
      <c r="AB2" s="4910"/>
      <c r="AC2" s="4910"/>
      <c r="AD2" s="4910"/>
      <c r="AE2" s="4910"/>
      <c r="AF2" s="4910"/>
      <c r="AG2" s="4910"/>
      <c r="AH2" s="4910"/>
      <c r="AI2" s="4910"/>
      <c r="AJ2" s="4910"/>
      <c r="AK2" s="4910"/>
    </row>
    <row r="3" spans="1:37" s="2206" customFormat="1" x14ac:dyDescent="0.2">
      <c r="B3" s="2132"/>
      <c r="C3" s="2132"/>
      <c r="D3" s="2132"/>
      <c r="E3" s="2132"/>
      <c r="F3" s="2132"/>
      <c r="T3" s="2665"/>
      <c r="X3" s="3227"/>
      <c r="Y3" s="3227"/>
      <c r="Z3" s="3227"/>
      <c r="AA3" s="3227"/>
      <c r="AB3" s="3227"/>
      <c r="AC3" s="3227"/>
      <c r="AD3" s="3227"/>
      <c r="AE3" s="3227"/>
      <c r="AF3" s="3787"/>
      <c r="AG3" s="3787"/>
      <c r="AH3" s="3887"/>
      <c r="AI3" s="3887"/>
    </row>
    <row r="4" spans="1:37" ht="31.5" customHeight="1" x14ac:dyDescent="0.2">
      <c r="A4" s="5144" t="s">
        <v>1718</v>
      </c>
      <c r="B4" s="5144" t="s">
        <v>892</v>
      </c>
      <c r="C4" s="5144"/>
      <c r="D4" s="5144"/>
      <c r="E4" s="5144" t="s">
        <v>893</v>
      </c>
      <c r="F4" s="5521"/>
      <c r="G4" s="3885" t="s">
        <v>1799</v>
      </c>
      <c r="H4" s="3885" t="s">
        <v>1805</v>
      </c>
      <c r="I4" s="3885" t="s">
        <v>1806</v>
      </c>
      <c r="J4" s="3885" t="s">
        <v>1807</v>
      </c>
      <c r="K4" s="3885" t="s">
        <v>1808</v>
      </c>
      <c r="L4" s="3885" t="s">
        <v>1809</v>
      </c>
      <c r="M4" s="3885" t="s">
        <v>1799</v>
      </c>
      <c r="N4" s="3885" t="s">
        <v>1805</v>
      </c>
      <c r="O4" s="3885" t="s">
        <v>1806</v>
      </c>
      <c r="P4" s="3885" t="s">
        <v>1807</v>
      </c>
      <c r="Q4" s="3885" t="s">
        <v>1808</v>
      </c>
      <c r="R4" s="3885" t="s">
        <v>1809</v>
      </c>
      <c r="S4" s="5155" t="s">
        <v>3659</v>
      </c>
      <c r="T4" s="5838"/>
      <c r="U4" s="5144" t="s">
        <v>3609</v>
      </c>
      <c r="V4" s="5144" t="s">
        <v>3610</v>
      </c>
      <c r="W4" s="5144" t="s">
        <v>3613</v>
      </c>
      <c r="X4" s="5155" t="s">
        <v>3846</v>
      </c>
      <c r="Y4" s="5838"/>
      <c r="Z4" s="5144" t="s">
        <v>3864</v>
      </c>
      <c r="AA4" s="5144" t="s">
        <v>3865</v>
      </c>
      <c r="AB4" s="5144" t="s">
        <v>3878</v>
      </c>
      <c r="AC4" s="5155" t="s">
        <v>3895</v>
      </c>
      <c r="AD4" s="5838"/>
      <c r="AE4" s="5144" t="s">
        <v>3949</v>
      </c>
      <c r="AF4" s="5144" t="s">
        <v>3950</v>
      </c>
      <c r="AG4" s="5144" t="s">
        <v>3951</v>
      </c>
      <c r="AH4" s="5155" t="s">
        <v>4014</v>
      </c>
      <c r="AI4" s="5838"/>
      <c r="AJ4" s="5144" t="s">
        <v>4275</v>
      </c>
      <c r="AK4" s="5144" t="s">
        <v>4276</v>
      </c>
    </row>
    <row r="5" spans="1:37" ht="38.25" x14ac:dyDescent="0.2">
      <c r="A5" s="5144"/>
      <c r="B5" s="3884" t="s">
        <v>1585</v>
      </c>
      <c r="C5" s="3884" t="s">
        <v>2036</v>
      </c>
      <c r="D5" s="3884" t="s">
        <v>1822</v>
      </c>
      <c r="E5" s="3884" t="s">
        <v>1585</v>
      </c>
      <c r="F5" s="3884" t="s">
        <v>2036</v>
      </c>
      <c r="G5" s="5155" t="s">
        <v>1798</v>
      </c>
      <c r="H5" s="5155"/>
      <c r="I5" s="5155"/>
      <c r="J5" s="5155"/>
      <c r="K5" s="5155"/>
      <c r="L5" s="5155"/>
      <c r="M5" s="5155" t="s">
        <v>1521</v>
      </c>
      <c r="N5" s="5155"/>
      <c r="O5" s="5155"/>
      <c r="P5" s="5155"/>
      <c r="Q5" s="5155"/>
      <c r="R5" s="5155"/>
      <c r="S5" s="3884" t="s">
        <v>3511</v>
      </c>
      <c r="T5" s="3884" t="s">
        <v>3660</v>
      </c>
      <c r="U5" s="5526"/>
      <c r="V5" s="5526"/>
      <c r="W5" s="5526"/>
      <c r="X5" s="3884" t="s">
        <v>3511</v>
      </c>
      <c r="Y5" s="3884" t="s">
        <v>3660</v>
      </c>
      <c r="Z5" s="5526"/>
      <c r="AA5" s="5526"/>
      <c r="AB5" s="5526"/>
      <c r="AC5" s="3884" t="s">
        <v>3511</v>
      </c>
      <c r="AD5" s="3884" t="s">
        <v>3660</v>
      </c>
      <c r="AE5" s="5526"/>
      <c r="AF5" s="5526"/>
      <c r="AG5" s="5526"/>
      <c r="AH5" s="3884" t="s">
        <v>3511</v>
      </c>
      <c r="AI5" s="3884" t="s">
        <v>3660</v>
      </c>
      <c r="AJ5" s="5526"/>
      <c r="AK5" s="5526"/>
    </row>
    <row r="6" spans="1:37" s="1920" customFormat="1" x14ac:dyDescent="0.2">
      <c r="A6" s="6306" t="s">
        <v>1692</v>
      </c>
      <c r="B6" s="6307"/>
      <c r="C6" s="6307"/>
      <c r="D6" s="6307"/>
      <c r="E6" s="6307"/>
      <c r="F6" s="6307"/>
      <c r="G6" s="6307"/>
      <c r="H6" s="6307"/>
      <c r="I6" s="6307"/>
      <c r="J6" s="6307"/>
      <c r="K6" s="6307"/>
      <c r="L6" s="6307"/>
      <c r="M6" s="6307"/>
      <c r="N6" s="6307"/>
      <c r="O6" s="6307"/>
      <c r="P6" s="6307"/>
      <c r="Q6" s="6307"/>
      <c r="R6" s="6307"/>
      <c r="S6" s="6308"/>
      <c r="T6" s="6308"/>
      <c r="U6" s="6308"/>
      <c r="V6" s="6308"/>
      <c r="W6" s="6308"/>
      <c r="X6" s="6308"/>
      <c r="Y6" s="6308"/>
      <c r="Z6" s="5586"/>
      <c r="AA6" s="5586"/>
      <c r="AB6" s="5586"/>
      <c r="AC6" s="5586"/>
      <c r="AD6" s="5586"/>
      <c r="AE6" s="5586"/>
      <c r="AF6" s="5586"/>
      <c r="AG6" s="5586"/>
      <c r="AH6" s="5586"/>
      <c r="AI6" s="5586"/>
      <c r="AJ6" s="5586"/>
      <c r="AK6" s="5586"/>
    </row>
    <row r="7" spans="1:37" x14ac:dyDescent="0.2">
      <c r="A7" s="3886" t="s">
        <v>2028</v>
      </c>
      <c r="B7" s="3888">
        <v>0</v>
      </c>
      <c r="C7" s="3888">
        <v>0</v>
      </c>
      <c r="D7" s="3888">
        <v>0</v>
      </c>
      <c r="E7" s="3888"/>
      <c r="F7" s="3888"/>
      <c r="G7" s="3888">
        <v>0</v>
      </c>
      <c r="H7" s="3888">
        <v>0</v>
      </c>
      <c r="I7" s="3888">
        <v>0</v>
      </c>
      <c r="J7" s="3888">
        <v>0</v>
      </c>
      <c r="K7" s="3888">
        <v>0</v>
      </c>
      <c r="L7" s="3888">
        <v>0</v>
      </c>
      <c r="M7" s="3888">
        <v>0</v>
      </c>
      <c r="N7" s="3888">
        <v>0</v>
      </c>
      <c r="O7" s="3888">
        <v>0</v>
      </c>
      <c r="P7" s="3888">
        <v>0</v>
      </c>
      <c r="Q7" s="3888">
        <v>0</v>
      </c>
      <c r="R7" s="3888">
        <v>0</v>
      </c>
      <c r="S7" s="3888">
        <v>0</v>
      </c>
      <c r="T7" s="3888"/>
      <c r="U7" s="2553"/>
      <c r="V7" s="2553"/>
      <c r="W7" s="2553"/>
      <c r="X7" s="3888">
        <v>0</v>
      </c>
      <c r="Y7" s="3888">
        <v>0</v>
      </c>
      <c r="Z7" s="2553"/>
      <c r="AA7" s="2553"/>
      <c r="AB7" s="2553"/>
      <c r="AC7" s="3903">
        <v>0</v>
      </c>
      <c r="AD7" s="3903">
        <v>0</v>
      </c>
      <c r="AE7" s="2553"/>
      <c r="AF7" s="2553"/>
      <c r="AG7" s="2554">
        <v>3139.4508000000001</v>
      </c>
      <c r="AH7" s="2456">
        <f>SUM('Налог на прибыль'!F16)/1000</f>
        <v>2402.3326860000002</v>
      </c>
      <c r="AI7" s="2456"/>
      <c r="AJ7" s="2553"/>
      <c r="AK7" s="2554">
        <v>3139.4508000000001</v>
      </c>
    </row>
    <row r="8" spans="1:37" x14ac:dyDescent="0.2">
      <c r="A8" s="3886" t="s">
        <v>2029</v>
      </c>
      <c r="B8" s="3888">
        <v>2164.89</v>
      </c>
      <c r="C8" s="3888">
        <v>1843.87</v>
      </c>
      <c r="D8" s="3888">
        <f>C8</f>
        <v>1843.87</v>
      </c>
      <c r="E8" s="3888">
        <v>1985.51</v>
      </c>
      <c r="F8" s="3888">
        <v>1981.31</v>
      </c>
      <c r="G8" s="3890">
        <v>4895.75</v>
      </c>
      <c r="H8" s="3890">
        <v>4880.42</v>
      </c>
      <c r="I8" s="3890">
        <v>4713.67</v>
      </c>
      <c r="J8" s="3890">
        <v>4628.63</v>
      </c>
      <c r="K8" s="3890">
        <v>4411.41</v>
      </c>
      <c r="L8" s="3890"/>
      <c r="M8" s="3890">
        <f>'4.2. Налог на имущество'!G34/1000</f>
        <v>4732.6363873577757</v>
      </c>
      <c r="N8" s="3890">
        <f>'4.2. Налог на имущество'!H34/1000</f>
        <v>4454.7312990978162</v>
      </c>
      <c r="O8" s="3890">
        <f>'4.2. Налог на имущество'!I34/1000</f>
        <v>4176.8262108378576</v>
      </c>
      <c r="P8" s="3890">
        <f>'4.2. Налог на имущество'!J34/1000</f>
        <v>3898.9211225778981</v>
      </c>
      <c r="Q8" s="3890">
        <f>'4.2. Налог на имущество'!K34/1000</f>
        <v>3621.0160343179396</v>
      </c>
      <c r="R8" s="3890">
        <f>'4.2. Налог на имущество'!L34/1000</f>
        <v>3343.1109460579792</v>
      </c>
      <c r="S8" s="3890">
        <f>SUM('4.2. Налог на имущество'!M34/1000)</f>
        <v>4454.7312990978162</v>
      </c>
      <c r="T8" s="3890">
        <f>SUM('4.2. Налог на имущество'!P34)/1000</f>
        <v>4454.7312990978162</v>
      </c>
      <c r="U8" s="3276">
        <f>SUM('4.2. Налог на имущество'!Q33)/1000</f>
        <v>1613.2</v>
      </c>
      <c r="V8" s="2554">
        <f>SUM('4.2. Налог на имущество'!R33)/1000</f>
        <v>2419.8000000000002</v>
      </c>
      <c r="W8" s="2554">
        <f>SUM('4.2. Налог на имущество'!T33)/1000</f>
        <v>3226.41</v>
      </c>
      <c r="X8" s="3890">
        <f>SUM('4.2. Налог на имущество'!T33)/1000</f>
        <v>3226.41</v>
      </c>
      <c r="Y8" s="3890">
        <f>SUM('4.2. Налог на имущество'!U33)/1000</f>
        <v>2522.7223199999999</v>
      </c>
      <c r="Z8" s="3276">
        <v>1603.0740000000001</v>
      </c>
      <c r="AA8" s="2554">
        <v>2400.2489999999998</v>
      </c>
      <c r="AB8" s="2554">
        <v>3166.99</v>
      </c>
      <c r="AC8" s="3905">
        <f>SUM('4.2. Налог на имущество'!Y33)/1000</f>
        <v>3166.9866000000002</v>
      </c>
      <c r="AD8" s="3905">
        <f>SUM('4.2. Налог на имущество'!Z33)/1000</f>
        <v>3119.8568500000001</v>
      </c>
      <c r="AE8" s="2554">
        <v>1531.1525999999999</v>
      </c>
      <c r="AF8" s="2554">
        <v>2305.0578</v>
      </c>
      <c r="AG8" s="2554">
        <v>3129.4794000000002</v>
      </c>
      <c r="AH8" s="3074">
        <f>SUM('4.2. Налог на имущество'!AD33)/1000</f>
        <v>3129.4793999999997</v>
      </c>
      <c r="AI8" s="3074">
        <f>SUM('4.2. Налог на имущество'!AE33)/1000</f>
        <v>3129.4793999999997</v>
      </c>
      <c r="AJ8" s="2554">
        <v>2305.0578</v>
      </c>
      <c r="AK8" s="2554">
        <v>3129.4794000000002</v>
      </c>
    </row>
    <row r="9" spans="1:37" ht="25.5" x14ac:dyDescent="0.2">
      <c r="A9" s="3886" t="s">
        <v>2030</v>
      </c>
      <c r="B9" s="3888">
        <v>0</v>
      </c>
      <c r="C9" s="3888">
        <v>0</v>
      </c>
      <c r="D9" s="3888">
        <v>0</v>
      </c>
      <c r="E9" s="3888"/>
      <c r="F9" s="3888"/>
      <c r="G9" s="3890">
        <v>0</v>
      </c>
      <c r="H9" s="3890">
        <v>0</v>
      </c>
      <c r="I9" s="3890">
        <v>0</v>
      </c>
      <c r="J9" s="3890">
        <v>0</v>
      </c>
      <c r="K9" s="3890">
        <v>0</v>
      </c>
      <c r="L9" s="3890">
        <v>0</v>
      </c>
      <c r="M9" s="3890">
        <v>0</v>
      </c>
      <c r="N9" s="3890">
        <v>0</v>
      </c>
      <c r="O9" s="3890">
        <v>0</v>
      </c>
      <c r="P9" s="3890">
        <v>0</v>
      </c>
      <c r="Q9" s="3890">
        <v>0</v>
      </c>
      <c r="R9" s="3890">
        <v>0</v>
      </c>
      <c r="S9" s="3890">
        <v>0</v>
      </c>
      <c r="T9" s="3890">
        <v>0</v>
      </c>
      <c r="U9" s="2553"/>
      <c r="V9" s="2553"/>
      <c r="W9" s="2553"/>
      <c r="X9" s="3890">
        <v>0</v>
      </c>
      <c r="Y9" s="3890">
        <v>0</v>
      </c>
      <c r="Z9" s="2553"/>
      <c r="AA9" s="2553"/>
      <c r="AB9" s="2553"/>
      <c r="AC9" s="3905">
        <v>0</v>
      </c>
      <c r="AD9" s="3905">
        <v>0</v>
      </c>
      <c r="AE9" s="2553"/>
      <c r="AF9" s="2553"/>
      <c r="AG9" s="2553"/>
      <c r="AH9" s="3074">
        <v>0</v>
      </c>
      <c r="AI9" s="3074">
        <v>0</v>
      </c>
      <c r="AJ9" s="2553"/>
      <c r="AK9" s="2553"/>
    </row>
    <row r="10" spans="1:37" ht="30.75" customHeight="1" x14ac:dyDescent="0.2">
      <c r="A10" s="3886" t="s">
        <v>2035</v>
      </c>
      <c r="B10" s="3888">
        <v>1349.53</v>
      </c>
      <c r="C10" s="3888">
        <v>2303.6</v>
      </c>
      <c r="D10" s="3888">
        <f>вод.налог!D73</f>
        <v>1466.3579869907844</v>
      </c>
      <c r="E10" s="3888">
        <v>1426.75</v>
      </c>
      <c r="F10" s="3888">
        <v>2651.04</v>
      </c>
      <c r="G10" s="3890">
        <v>2303.6</v>
      </c>
      <c r="H10" s="3890">
        <v>2303.6</v>
      </c>
      <c r="I10" s="3890">
        <v>2303.6</v>
      </c>
      <c r="J10" s="3890">
        <v>2303.6</v>
      </c>
      <c r="K10" s="3890">
        <v>2303.6</v>
      </c>
      <c r="L10" s="3890"/>
      <c r="M10" s="3890">
        <f>вод.налог!M73</f>
        <v>1826.9639063780155</v>
      </c>
      <c r="N10" s="3890">
        <f>вод.налог!S73</f>
        <v>2213.5064213035557</v>
      </c>
      <c r="O10" s="3890">
        <f>вод.налог!V73</f>
        <v>2590.328598696281</v>
      </c>
      <c r="P10" s="3890">
        <f>вод.налог!Y73</f>
        <v>2979.9539693283837</v>
      </c>
      <c r="Q10" s="3890">
        <f>вод.налог!AB73</f>
        <v>3427.3430295480966</v>
      </c>
      <c r="R10" s="3890">
        <f>вод.налог!AE73</f>
        <v>3943.2565876320309</v>
      </c>
      <c r="S10" s="3890">
        <f>SUM(вод.налог!AH73)</f>
        <v>3505.5423818584377</v>
      </c>
      <c r="T10" s="3890">
        <f>SUM(вод.налог!AK73)</f>
        <v>1901.52</v>
      </c>
      <c r="U10" s="3890">
        <f>SUM(вод.налог!AN73)</f>
        <v>1524.0771764999997</v>
      </c>
      <c r="V10" s="2549">
        <f>SUM(вод.налог!AQ73)</f>
        <v>2286.1356703499991</v>
      </c>
      <c r="W10" s="2549">
        <f>SUM(вод.налог!AT70)</f>
        <v>3048.7639378799995</v>
      </c>
      <c r="X10" s="3890">
        <f>SUM(вод.налог!AW70)</f>
        <v>4461.8279739999998</v>
      </c>
      <c r="Y10" s="3890">
        <f>SUM(вод.налог!AZ73)</f>
        <v>2468.25</v>
      </c>
      <c r="Z10" s="3890">
        <v>898.32899999999995</v>
      </c>
      <c r="AA10" s="3653">
        <v>1773.6849999999999</v>
      </c>
      <c r="AB10" s="2549">
        <v>2893.9290000000001</v>
      </c>
      <c r="AC10" s="3905">
        <f>SUM(вод.налог!BL73)</f>
        <v>3106.4961817766298</v>
      </c>
      <c r="AD10" s="3905">
        <f>SUM(вод.налог!BO73)</f>
        <v>2834.2985375757526</v>
      </c>
      <c r="AE10" s="2549">
        <v>1092.5008499999999</v>
      </c>
      <c r="AF10" s="2549">
        <f>SUM(вод.налог!BU70)</f>
        <v>1704.2504626036064</v>
      </c>
      <c r="AG10" s="2549">
        <f>SUM(вод.налог!BX70)</f>
        <v>2378.0365726391947</v>
      </c>
      <c r="AH10" s="3074">
        <f>SUM(вод.налог!CA73)</f>
        <v>3528.2232502823736</v>
      </c>
      <c r="AI10" s="3074">
        <f>SUM(вод.налог!CD73)</f>
        <v>3305.4658779997299</v>
      </c>
      <c r="AJ10" s="2549">
        <f>SUM(вод.налог!BY70)</f>
        <v>5983.7116999999998</v>
      </c>
      <c r="AK10" s="2549">
        <f>SUM(вод.налог!CB70)</f>
        <v>6072.6513321960574</v>
      </c>
    </row>
    <row r="11" spans="1:37" x14ac:dyDescent="0.2">
      <c r="A11" s="3886" t="s">
        <v>2031</v>
      </c>
      <c r="B11" s="3888">
        <v>88.75</v>
      </c>
      <c r="C11" s="3888">
        <v>87.07</v>
      </c>
      <c r="D11" s="3888">
        <v>87.07</v>
      </c>
      <c r="E11" s="3888">
        <v>90.67</v>
      </c>
      <c r="F11" s="3888">
        <v>84.24</v>
      </c>
      <c r="G11" s="3890">
        <v>87.07</v>
      </c>
      <c r="H11" s="3890">
        <v>87.07</v>
      </c>
      <c r="I11" s="3890">
        <v>87.07</v>
      </c>
      <c r="J11" s="3890">
        <v>87.07</v>
      </c>
      <c r="K11" s="3890">
        <v>87.07</v>
      </c>
      <c r="L11" s="3890"/>
      <c r="M11" s="3890">
        <v>87.07</v>
      </c>
      <c r="N11" s="3890">
        <v>87.07</v>
      </c>
      <c r="O11" s="3890">
        <v>87.07</v>
      </c>
      <c r="P11" s="3890">
        <v>87.07</v>
      </c>
      <c r="Q11" s="3890">
        <v>87.07</v>
      </c>
      <c r="R11" s="3890">
        <v>87.07</v>
      </c>
      <c r="S11" s="3890">
        <f>SUM(N11)</f>
        <v>87.07</v>
      </c>
      <c r="T11" s="3890">
        <f>SUM(S11)</f>
        <v>87.07</v>
      </c>
      <c r="U11" s="3889">
        <v>39.44</v>
      </c>
      <c r="V11" s="2553">
        <v>59.67</v>
      </c>
      <c r="W11" s="2553">
        <v>79.16</v>
      </c>
      <c r="X11" s="3890">
        <f>SUM(T11)</f>
        <v>87.07</v>
      </c>
      <c r="Y11" s="3890">
        <v>79.16</v>
      </c>
      <c r="Z11" s="3889">
        <v>35.857999999999997</v>
      </c>
      <c r="AA11" s="2553">
        <v>53.784999999999997</v>
      </c>
      <c r="AB11" s="2553">
        <v>71.385000000000005</v>
      </c>
      <c r="AC11" s="3905">
        <f>SUM(Y11)</f>
        <v>79.16</v>
      </c>
      <c r="AD11" s="3905">
        <v>71.39</v>
      </c>
      <c r="AE11" s="2553">
        <v>45.22</v>
      </c>
      <c r="AF11" s="2614">
        <v>68.043999999999997</v>
      </c>
      <c r="AG11" s="2553">
        <v>90.387</v>
      </c>
      <c r="AH11" s="3074">
        <f>SUM(AG11)</f>
        <v>90.387</v>
      </c>
      <c r="AI11" s="3074">
        <f>SUM(AH11)</f>
        <v>90.387</v>
      </c>
      <c r="AJ11" s="2614">
        <v>68.043999999999997</v>
      </c>
      <c r="AK11" s="2553">
        <v>90.387</v>
      </c>
    </row>
    <row r="12" spans="1:37" x14ac:dyDescent="0.2">
      <c r="A12" s="3886" t="s">
        <v>2032</v>
      </c>
      <c r="B12" s="3888">
        <v>0</v>
      </c>
      <c r="C12" s="3888">
        <v>0</v>
      </c>
      <c r="D12" s="3888">
        <v>0</v>
      </c>
      <c r="E12" s="3888"/>
      <c r="F12" s="3888"/>
      <c r="G12" s="3888">
        <v>0</v>
      </c>
      <c r="H12" s="3888">
        <v>0</v>
      </c>
      <c r="I12" s="3888">
        <v>0</v>
      </c>
      <c r="J12" s="3888">
        <v>0</v>
      </c>
      <c r="K12" s="3888">
        <v>0</v>
      </c>
      <c r="L12" s="3888">
        <v>0</v>
      </c>
      <c r="M12" s="3888">
        <v>0</v>
      </c>
      <c r="N12" s="3888">
        <v>0</v>
      </c>
      <c r="O12" s="3888">
        <v>0</v>
      </c>
      <c r="P12" s="3888">
        <v>0</v>
      </c>
      <c r="Q12" s="3888">
        <v>0</v>
      </c>
      <c r="R12" s="3888">
        <v>0</v>
      </c>
      <c r="S12" s="3888">
        <v>0</v>
      </c>
      <c r="T12" s="3888">
        <v>0</v>
      </c>
      <c r="U12" s="2553"/>
      <c r="V12" s="2553"/>
      <c r="W12" s="2553"/>
      <c r="X12" s="3888">
        <v>0</v>
      </c>
      <c r="Y12" s="3888">
        <v>0</v>
      </c>
      <c r="Z12" s="2553"/>
      <c r="AA12" s="2553"/>
      <c r="AB12" s="2553"/>
      <c r="AC12" s="3903">
        <v>0</v>
      </c>
      <c r="AD12" s="3903">
        <v>0</v>
      </c>
      <c r="AE12" s="2553"/>
      <c r="AF12" s="2553"/>
      <c r="AG12" s="2553"/>
      <c r="AH12" s="2456">
        <v>0</v>
      </c>
      <c r="AI12" s="2456">
        <v>0</v>
      </c>
      <c r="AJ12" s="2553"/>
      <c r="AK12" s="2553"/>
    </row>
    <row r="13" spans="1:37" x14ac:dyDescent="0.2">
      <c r="A13" s="3886" t="s">
        <v>2033</v>
      </c>
      <c r="B13" s="3888">
        <v>0</v>
      </c>
      <c r="C13" s="3888">
        <v>0</v>
      </c>
      <c r="D13" s="3888">
        <v>0</v>
      </c>
      <c r="E13" s="3888"/>
      <c r="F13" s="3888"/>
      <c r="G13" s="3888">
        <v>0</v>
      </c>
      <c r="H13" s="3888">
        <v>0</v>
      </c>
      <c r="I13" s="3888">
        <v>0</v>
      </c>
      <c r="J13" s="3888">
        <v>0</v>
      </c>
      <c r="K13" s="3888">
        <v>0</v>
      </c>
      <c r="L13" s="3888">
        <v>0</v>
      </c>
      <c r="M13" s="3888">
        <v>0</v>
      </c>
      <c r="N13" s="3888">
        <v>0</v>
      </c>
      <c r="O13" s="3888">
        <v>0</v>
      </c>
      <c r="P13" s="3888">
        <v>0</v>
      </c>
      <c r="Q13" s="3888">
        <v>0</v>
      </c>
      <c r="R13" s="3888">
        <v>0</v>
      </c>
      <c r="S13" s="3888">
        <v>0</v>
      </c>
      <c r="T13" s="3888">
        <v>0</v>
      </c>
      <c r="U13" s="2553"/>
      <c r="V13" s="2553"/>
      <c r="W13" s="2553"/>
      <c r="X13" s="3888">
        <v>0</v>
      </c>
      <c r="Y13" s="3888">
        <v>0</v>
      </c>
      <c r="Z13" s="2553"/>
      <c r="AA13" s="2553"/>
      <c r="AB13" s="2553"/>
      <c r="AC13" s="3903">
        <v>0</v>
      </c>
      <c r="AD13" s="3903">
        <v>0</v>
      </c>
      <c r="AE13" s="2553"/>
      <c r="AF13" s="2553"/>
      <c r="AG13" s="2553"/>
      <c r="AH13" s="2456">
        <v>0</v>
      </c>
      <c r="AI13" s="2456">
        <v>0</v>
      </c>
      <c r="AJ13" s="2553"/>
      <c r="AK13" s="2553"/>
    </row>
    <row r="14" spans="1:37" s="1920" customFormat="1" ht="24.75" customHeight="1" x14ac:dyDescent="0.2">
      <c r="A14" s="3169" t="s">
        <v>54</v>
      </c>
      <c r="B14" s="1593">
        <f>SUM(B7:B13)</f>
        <v>3603.17</v>
      </c>
      <c r="C14" s="1593">
        <f t="shared" ref="C14:R14" si="0">SUM(C7:C13)</f>
        <v>4234.5399999999991</v>
      </c>
      <c r="D14" s="1593">
        <f t="shared" si="0"/>
        <v>3397.2979869907845</v>
      </c>
      <c r="E14" s="1593">
        <f t="shared" si="0"/>
        <v>3502.9300000000003</v>
      </c>
      <c r="F14" s="1593">
        <f t="shared" si="0"/>
        <v>4716.59</v>
      </c>
      <c r="G14" s="1593">
        <f t="shared" si="0"/>
        <v>7286.42</v>
      </c>
      <c r="H14" s="1593">
        <f t="shared" si="0"/>
        <v>7271.09</v>
      </c>
      <c r="I14" s="1593">
        <f t="shared" si="0"/>
        <v>7104.34</v>
      </c>
      <c r="J14" s="1593">
        <f t="shared" si="0"/>
        <v>7019.2999999999993</v>
      </c>
      <c r="K14" s="1593">
        <f t="shared" si="0"/>
        <v>6802.08</v>
      </c>
      <c r="L14" s="1593">
        <f t="shared" si="0"/>
        <v>0</v>
      </c>
      <c r="M14" s="1593">
        <f t="shared" si="0"/>
        <v>6646.6702937357913</v>
      </c>
      <c r="N14" s="1593">
        <f t="shared" si="0"/>
        <v>6755.3077204013716</v>
      </c>
      <c r="O14" s="1593">
        <f t="shared" si="0"/>
        <v>6854.2248095341383</v>
      </c>
      <c r="P14" s="1593">
        <f t="shared" si="0"/>
        <v>6965.945091906282</v>
      </c>
      <c r="Q14" s="1593">
        <f t="shared" si="0"/>
        <v>7135.4290638660359</v>
      </c>
      <c r="R14" s="1593">
        <f t="shared" si="0"/>
        <v>7373.4375336900102</v>
      </c>
      <c r="S14" s="1593">
        <f t="shared" ref="S14:V14" si="1">SUM(S7:S13)</f>
        <v>8047.3436809562536</v>
      </c>
      <c r="T14" s="1593">
        <f t="shared" si="1"/>
        <v>6443.3212990978154</v>
      </c>
      <c r="U14" s="1593">
        <f t="shared" si="1"/>
        <v>3176.7171764999998</v>
      </c>
      <c r="V14" s="1593">
        <f t="shared" si="1"/>
        <v>4765.6056703499999</v>
      </c>
      <c r="W14" s="1593">
        <f t="shared" ref="W14:X14" si="2">SUM(W7:W13)</f>
        <v>6354.3339378799992</v>
      </c>
      <c r="X14" s="1593">
        <f t="shared" si="2"/>
        <v>7775.3079739999994</v>
      </c>
      <c r="Y14" s="1593">
        <f t="shared" ref="Y14" si="3">SUM(Y7:Y13)</f>
        <v>5070.1323199999997</v>
      </c>
      <c r="Z14" s="1593">
        <f t="shared" ref="Z14:AD14" si="4">SUM(Z7:Z13)</f>
        <v>2537.2610000000004</v>
      </c>
      <c r="AA14" s="1593">
        <f t="shared" si="4"/>
        <v>4227.7189999999991</v>
      </c>
      <c r="AB14" s="1593">
        <f t="shared" si="4"/>
        <v>6132.3040000000001</v>
      </c>
      <c r="AC14" s="1593">
        <f t="shared" si="4"/>
        <v>6352.6427817766298</v>
      </c>
      <c r="AD14" s="1593">
        <f t="shared" si="4"/>
        <v>6025.545387575753</v>
      </c>
      <c r="AE14" s="1593">
        <f t="shared" ref="AE14:AH14" si="5">SUM(AE7:AE13)</f>
        <v>2668.8734499999996</v>
      </c>
      <c r="AF14" s="1593">
        <f t="shared" si="5"/>
        <v>4077.3522626036065</v>
      </c>
      <c r="AG14" s="1593">
        <f t="shared" si="5"/>
        <v>8737.3537726391969</v>
      </c>
      <c r="AH14" s="2344">
        <f t="shared" si="5"/>
        <v>9150.4223362823741</v>
      </c>
      <c r="AI14" s="2344">
        <f t="shared" ref="AI14:AK14" si="6">SUM(AI7:AI13)</f>
        <v>6525.3322779997297</v>
      </c>
      <c r="AJ14" s="1593">
        <f t="shared" si="6"/>
        <v>8356.8135000000002</v>
      </c>
      <c r="AK14" s="1593">
        <f t="shared" si="6"/>
        <v>12431.968532196059</v>
      </c>
    </row>
    <row r="15" spans="1:37" s="1920" customFormat="1" x14ac:dyDescent="0.2">
      <c r="A15" s="6306" t="s">
        <v>1693</v>
      </c>
      <c r="B15" s="6307"/>
      <c r="C15" s="6307"/>
      <c r="D15" s="6307"/>
      <c r="E15" s="6307"/>
      <c r="F15" s="6307"/>
      <c r="G15" s="6307"/>
      <c r="H15" s="6307"/>
      <c r="I15" s="6307"/>
      <c r="J15" s="6307"/>
      <c r="K15" s="6307"/>
      <c r="L15" s="6307"/>
      <c r="M15" s="6307"/>
      <c r="N15" s="6307"/>
      <c r="O15" s="6307"/>
      <c r="P15" s="6307"/>
      <c r="Q15" s="6307"/>
      <c r="R15" s="6307"/>
      <c r="S15" s="6308"/>
      <c r="T15" s="6308"/>
      <c r="U15" s="6308"/>
      <c r="V15" s="6308"/>
      <c r="W15" s="6308"/>
      <c r="X15" s="6308"/>
      <c r="Y15" s="6308"/>
      <c r="Z15" s="6309"/>
      <c r="AA15" s="6309"/>
      <c r="AB15" s="6309"/>
      <c r="AC15" s="5586"/>
      <c r="AD15" s="5586"/>
      <c r="AE15" s="5586"/>
      <c r="AF15" s="5586"/>
      <c r="AG15" s="5586"/>
      <c r="AH15" s="5586"/>
      <c r="AI15" s="5586"/>
      <c r="AJ15" s="5586"/>
      <c r="AK15" s="5586"/>
    </row>
    <row r="16" spans="1:37" x14ac:dyDescent="0.2">
      <c r="A16" s="3886" t="s">
        <v>2028</v>
      </c>
      <c r="B16" s="3888">
        <v>0</v>
      </c>
      <c r="C16" s="3888">
        <v>0</v>
      </c>
      <c r="D16" s="3888">
        <v>0</v>
      </c>
      <c r="E16" s="3888"/>
      <c r="F16" s="3888"/>
      <c r="G16" s="3252">
        <v>0</v>
      </c>
      <c r="H16" s="3252">
        <v>0</v>
      </c>
      <c r="I16" s="3252">
        <v>0</v>
      </c>
      <c r="J16" s="3252">
        <v>0</v>
      </c>
      <c r="K16" s="3252">
        <v>0</v>
      </c>
      <c r="L16" s="3252">
        <v>0</v>
      </c>
      <c r="M16" s="3252">
        <v>0</v>
      </c>
      <c r="N16" s="3252">
        <v>0</v>
      </c>
      <c r="O16" s="3252">
        <v>0</v>
      </c>
      <c r="P16" s="3252">
        <v>0</v>
      </c>
      <c r="Q16" s="3252">
        <v>0</v>
      </c>
      <c r="R16" s="3252">
        <v>0</v>
      </c>
      <c r="S16" s="3252">
        <v>0</v>
      </c>
      <c r="T16" s="3252">
        <v>0</v>
      </c>
      <c r="U16" s="2553"/>
      <c r="V16" s="2553"/>
      <c r="W16" s="2553"/>
      <c r="X16" s="3252">
        <v>0</v>
      </c>
      <c r="Y16" s="3252">
        <v>0</v>
      </c>
      <c r="Z16" s="2553"/>
      <c r="AA16" s="2553"/>
      <c r="AB16" s="2553"/>
      <c r="AC16" s="3252">
        <v>0</v>
      </c>
      <c r="AD16" s="3252">
        <v>0</v>
      </c>
      <c r="AE16" s="2553"/>
      <c r="AF16" s="2553"/>
      <c r="AG16" s="2553"/>
      <c r="AH16" s="2479">
        <v>0</v>
      </c>
      <c r="AI16" s="2479">
        <v>0</v>
      </c>
      <c r="AJ16" s="2553"/>
      <c r="AK16" s="2553"/>
    </row>
    <row r="17" spans="1:37" x14ac:dyDescent="0.2">
      <c r="A17" s="3886" t="s">
        <v>2029</v>
      </c>
      <c r="B17" s="3888">
        <v>10.33</v>
      </c>
      <c r="C17" s="3888">
        <v>0.89</v>
      </c>
      <c r="D17" s="3888">
        <f>C17</f>
        <v>0.89</v>
      </c>
      <c r="E17" s="3888">
        <v>10.73</v>
      </c>
      <c r="F17" s="3888">
        <v>0.72</v>
      </c>
      <c r="G17" s="3890">
        <v>6.8</v>
      </c>
      <c r="H17" s="3890">
        <v>6.78</v>
      </c>
      <c r="I17" s="3890">
        <v>6.55</v>
      </c>
      <c r="J17" s="3890">
        <v>6.43</v>
      </c>
      <c r="K17" s="3890">
        <v>6.13</v>
      </c>
      <c r="L17" s="3890"/>
      <c r="M17" s="3890">
        <f>'4.2. Налог на имущество'!G35/1000</f>
        <v>1.3395578320234052</v>
      </c>
      <c r="N17" s="3890">
        <f>'4.2. Налог на имущество'!H35/1000</f>
        <v>1.2608976715825515</v>
      </c>
      <c r="O17" s="3890">
        <f>'4.2. Налог на имущество'!I35/1000</f>
        <v>1.1822375111416983</v>
      </c>
      <c r="P17" s="3890">
        <f>'4.2. Налог на имущество'!J35/1000</f>
        <v>1.1035773507008444</v>
      </c>
      <c r="Q17" s="3890">
        <f>'4.2. Налог на имущество'!K35/1000</f>
        <v>1.024917190259991</v>
      </c>
      <c r="R17" s="3890">
        <f>'4.2. Налог на имущество'!L35/1000</f>
        <v>0.94625702981913729</v>
      </c>
      <c r="S17" s="3890">
        <f>SUM('4.2. Налог на имущество'!M35/1000)</f>
        <v>1.2608976715825515</v>
      </c>
      <c r="T17" s="3890">
        <f>SUM(S17)</f>
        <v>1.2608976715825515</v>
      </c>
      <c r="U17" s="2553"/>
      <c r="V17" s="2553"/>
      <c r="W17" s="2553"/>
      <c r="X17" s="3890">
        <f>SUM('4.2. Налог на имущество'!R35/1000)</f>
        <v>0</v>
      </c>
      <c r="Y17" s="3890">
        <f>SUM('4.2. Налог на имущество'!S35/1000)</f>
        <v>0</v>
      </c>
      <c r="Z17" s="2553"/>
      <c r="AA17" s="2553"/>
      <c r="AB17" s="2553"/>
      <c r="AC17" s="3905">
        <f>SUM('4.2. Налог на имущество'!W35/1000)</f>
        <v>0</v>
      </c>
      <c r="AD17" s="3905">
        <f>SUM('4.2. Налог на имущество'!X35/1000)</f>
        <v>0</v>
      </c>
      <c r="AE17" s="2553"/>
      <c r="AF17" s="2553"/>
      <c r="AG17" s="2553"/>
      <c r="AH17" s="3074">
        <f>SUM('4.2. Налог на имущество'!AB35/1000)</f>
        <v>0</v>
      </c>
      <c r="AI17" s="3074">
        <f>SUM('4.2. Налог на имущество'!AC35/1000)</f>
        <v>0</v>
      </c>
      <c r="AJ17" s="2553"/>
      <c r="AK17" s="2553"/>
    </row>
    <row r="18" spans="1:37" ht="25.5" x14ac:dyDescent="0.2">
      <c r="A18" s="3886" t="s">
        <v>2030</v>
      </c>
      <c r="B18" s="3888">
        <v>0</v>
      </c>
      <c r="C18" s="3888">
        <v>0</v>
      </c>
      <c r="D18" s="3888">
        <v>0</v>
      </c>
      <c r="E18" s="3888"/>
      <c r="F18" s="3888"/>
      <c r="G18" s="3888">
        <v>0</v>
      </c>
      <c r="H18" s="3888">
        <v>0</v>
      </c>
      <c r="I18" s="3888">
        <v>0</v>
      </c>
      <c r="J18" s="3888">
        <v>0</v>
      </c>
      <c r="K18" s="3888">
        <v>0</v>
      </c>
      <c r="L18" s="3888">
        <v>0</v>
      </c>
      <c r="M18" s="3888">
        <v>0</v>
      </c>
      <c r="N18" s="3888">
        <v>0</v>
      </c>
      <c r="O18" s="3888">
        <v>0</v>
      </c>
      <c r="P18" s="3888">
        <v>0</v>
      </c>
      <c r="Q18" s="3888">
        <v>0</v>
      </c>
      <c r="R18" s="3888">
        <v>0</v>
      </c>
      <c r="S18" s="3888">
        <v>0</v>
      </c>
      <c r="T18" s="3888"/>
      <c r="U18" s="2553"/>
      <c r="V18" s="2553"/>
      <c r="W18" s="2553"/>
      <c r="X18" s="3888">
        <v>0</v>
      </c>
      <c r="Y18" s="3888">
        <v>0</v>
      </c>
      <c r="Z18" s="2553"/>
      <c r="AA18" s="2553"/>
      <c r="AB18" s="2553"/>
      <c r="AC18" s="3903">
        <v>0</v>
      </c>
      <c r="AD18" s="3903">
        <v>0</v>
      </c>
      <c r="AE18" s="2553"/>
      <c r="AF18" s="2553"/>
      <c r="AG18" s="2553"/>
      <c r="AH18" s="2456">
        <v>0</v>
      </c>
      <c r="AI18" s="2456">
        <v>0</v>
      </c>
      <c r="AJ18" s="2553"/>
      <c r="AK18" s="2553"/>
    </row>
    <row r="19" spans="1:37" ht="30" customHeight="1" x14ac:dyDescent="0.2">
      <c r="A19" s="3886" t="s">
        <v>2035</v>
      </c>
      <c r="B19" s="3888">
        <v>7.98</v>
      </c>
      <c r="C19" s="3888">
        <v>1.1200000000000001</v>
      </c>
      <c r="D19" s="3888">
        <f>вод.налог!D72</f>
        <v>0.69412320000000005</v>
      </c>
      <c r="E19" s="3888">
        <v>9.67</v>
      </c>
      <c r="F19" s="3888">
        <v>0.96</v>
      </c>
      <c r="G19" s="3890">
        <v>1.1200000000000001</v>
      </c>
      <c r="H19" s="3890">
        <v>1.1200000000000001</v>
      </c>
      <c r="I19" s="3890">
        <v>1.1200000000000001</v>
      </c>
      <c r="J19" s="3890">
        <v>1.1200000000000001</v>
      </c>
      <c r="K19" s="3890">
        <v>1.1200000000000001</v>
      </c>
      <c r="L19" s="3890"/>
      <c r="M19" s="3890">
        <f>вод.налог!M72</f>
        <v>0.91788659999999989</v>
      </c>
      <c r="N19" s="3890">
        <f>вод.налог!S72</f>
        <v>1.0548846000000001</v>
      </c>
      <c r="O19" s="3890">
        <f>вод.налог!V72</f>
        <v>1.2147156000000001</v>
      </c>
      <c r="P19" s="3890">
        <f>вод.налог!Y72</f>
        <v>1.3973796000000001</v>
      </c>
      <c r="Q19" s="3890">
        <f>вод.налог!AB72</f>
        <v>1.6074431999999998</v>
      </c>
      <c r="R19" s="3890">
        <f>вод.налог!AE72</f>
        <v>1.8494729999999997</v>
      </c>
      <c r="S19" s="3890">
        <f>SUM(вод.налог!AH72)</f>
        <v>1.0548846000000001</v>
      </c>
      <c r="T19" s="3890">
        <f>SUM(вод.налог!AK72)</f>
        <v>0.56999999999999995</v>
      </c>
      <c r="U19" s="3890">
        <f>SUM(вод.налог!AN72)</f>
        <v>0.28960200000000003</v>
      </c>
      <c r="V19" s="2549">
        <f>SUM(вод.налог!AQ72)</f>
        <v>0.42990281999999991</v>
      </c>
      <c r="W19" s="2549">
        <v>0.59</v>
      </c>
      <c r="X19" s="3890">
        <f>SUM(W19)</f>
        <v>0.59</v>
      </c>
      <c r="Y19" s="3890">
        <f>SUM(вод.налог!AZ72)</f>
        <v>0.73399999999999999</v>
      </c>
      <c r="Z19" s="3890">
        <f>SUM(вод.налог!AS72)</f>
        <v>0</v>
      </c>
      <c r="AA19" s="2549">
        <f>SUM(вод.налог!AV72)</f>
        <v>0</v>
      </c>
      <c r="AB19" s="2549">
        <v>0</v>
      </c>
      <c r="AC19" s="3905">
        <f>SUM(вод.налог!BL72)</f>
        <v>1.3963722000000001</v>
      </c>
      <c r="AD19" s="3905">
        <f>SUM(вод.налог!BO72)</f>
        <v>1.3972217040000001</v>
      </c>
      <c r="AE19" s="2549">
        <v>0</v>
      </c>
      <c r="AF19" s="2549">
        <v>0</v>
      </c>
      <c r="AG19" s="2549">
        <v>0</v>
      </c>
      <c r="AH19" s="3074">
        <f>SUM(вод.налог!CA72)</f>
        <v>1.6069784</v>
      </c>
      <c r="AI19" s="3074">
        <f>SUM(вод.налог!CD72)</f>
        <v>1.22692416</v>
      </c>
      <c r="AJ19" s="2549">
        <v>0</v>
      </c>
      <c r="AK19" s="2549">
        <v>0</v>
      </c>
    </row>
    <row r="20" spans="1:37" x14ac:dyDescent="0.2">
      <c r="A20" s="3886" t="s">
        <v>2031</v>
      </c>
      <c r="B20" s="3888">
        <v>0.42</v>
      </c>
      <c r="C20" s="3888">
        <v>0.04</v>
      </c>
      <c r="D20" s="3888">
        <f>C20</f>
        <v>0.04</v>
      </c>
      <c r="E20" s="3888">
        <v>0.49</v>
      </c>
      <c r="F20" s="3888">
        <v>0.03</v>
      </c>
      <c r="G20" s="3890">
        <v>0.04</v>
      </c>
      <c r="H20" s="3890">
        <v>0.04</v>
      </c>
      <c r="I20" s="3890">
        <v>0.04</v>
      </c>
      <c r="J20" s="3890">
        <v>0.04</v>
      </c>
      <c r="K20" s="3890">
        <v>0.04</v>
      </c>
      <c r="L20" s="3890"/>
      <c r="M20" s="3890">
        <f>K20</f>
        <v>0.04</v>
      </c>
      <c r="N20" s="3890">
        <f t="shared" ref="N20:S20" si="7">L20</f>
        <v>0</v>
      </c>
      <c r="O20" s="3890">
        <f t="shared" si="7"/>
        <v>0.04</v>
      </c>
      <c r="P20" s="3890">
        <f t="shared" si="7"/>
        <v>0</v>
      </c>
      <c r="Q20" s="3890">
        <f t="shared" si="7"/>
        <v>0.04</v>
      </c>
      <c r="R20" s="3890">
        <f t="shared" si="7"/>
        <v>0</v>
      </c>
      <c r="S20" s="3890">
        <f t="shared" si="7"/>
        <v>0.04</v>
      </c>
      <c r="T20" s="3890">
        <f>SUM(S20)</f>
        <v>0.04</v>
      </c>
      <c r="U20" s="2553"/>
      <c r="V20" s="2553"/>
      <c r="W20" s="2553"/>
      <c r="X20" s="3890">
        <f t="shared" ref="X20:Y20" si="8">V20</f>
        <v>0</v>
      </c>
      <c r="Y20" s="3890">
        <f t="shared" si="8"/>
        <v>0</v>
      </c>
      <c r="Z20" s="2553"/>
      <c r="AA20" s="2553"/>
      <c r="AB20" s="2553"/>
      <c r="AC20" s="3905">
        <f t="shared" ref="AC20" si="9">AA20</f>
        <v>0</v>
      </c>
      <c r="AD20" s="3905">
        <f t="shared" ref="AD20" si="10">AB20</f>
        <v>0</v>
      </c>
      <c r="AE20" s="2553"/>
      <c r="AF20" s="2553"/>
      <c r="AG20" s="2553"/>
      <c r="AH20" s="3074">
        <f t="shared" ref="AH20:AI20" si="11">AF20</f>
        <v>0</v>
      </c>
      <c r="AI20" s="3074">
        <f t="shared" si="11"/>
        <v>0</v>
      </c>
      <c r="AJ20" s="2553"/>
      <c r="AK20" s="2553"/>
    </row>
    <row r="21" spans="1:37" x14ac:dyDescent="0.2">
      <c r="A21" s="3886" t="s">
        <v>2032</v>
      </c>
      <c r="B21" s="3888">
        <v>0</v>
      </c>
      <c r="C21" s="3888">
        <v>0</v>
      </c>
      <c r="D21" s="3888">
        <v>0</v>
      </c>
      <c r="E21" s="3888"/>
      <c r="F21" s="3888"/>
      <c r="G21" s="3890">
        <v>0</v>
      </c>
      <c r="H21" s="3890">
        <v>0</v>
      </c>
      <c r="I21" s="3890">
        <v>0</v>
      </c>
      <c r="J21" s="3890">
        <v>0</v>
      </c>
      <c r="K21" s="3890">
        <v>0</v>
      </c>
      <c r="L21" s="3890">
        <v>0</v>
      </c>
      <c r="M21" s="3890">
        <v>0</v>
      </c>
      <c r="N21" s="3890">
        <v>0</v>
      </c>
      <c r="O21" s="3890">
        <v>0</v>
      </c>
      <c r="P21" s="3890">
        <v>0</v>
      </c>
      <c r="Q21" s="3890">
        <v>0</v>
      </c>
      <c r="R21" s="3890">
        <v>0</v>
      </c>
      <c r="S21" s="3890">
        <v>0</v>
      </c>
      <c r="T21" s="3890">
        <v>0</v>
      </c>
      <c r="U21" s="2553"/>
      <c r="V21" s="2553"/>
      <c r="W21" s="2553"/>
      <c r="X21" s="3890">
        <v>0</v>
      </c>
      <c r="Y21" s="3890">
        <v>0</v>
      </c>
      <c r="Z21" s="2553"/>
      <c r="AA21" s="2553"/>
      <c r="AB21" s="2553"/>
      <c r="AC21" s="3905">
        <v>0</v>
      </c>
      <c r="AD21" s="3905">
        <v>0</v>
      </c>
      <c r="AE21" s="2553"/>
      <c r="AF21" s="2553"/>
      <c r="AG21" s="2553"/>
      <c r="AH21" s="3074">
        <v>0</v>
      </c>
      <c r="AI21" s="3074">
        <v>0</v>
      </c>
      <c r="AJ21" s="2553"/>
      <c r="AK21" s="2553"/>
    </row>
    <row r="22" spans="1:37" x14ac:dyDescent="0.2">
      <c r="A22" s="3886" t="s">
        <v>2033</v>
      </c>
      <c r="B22" s="3888">
        <v>0</v>
      </c>
      <c r="C22" s="3888">
        <v>0</v>
      </c>
      <c r="D22" s="3888">
        <v>0</v>
      </c>
      <c r="E22" s="3888"/>
      <c r="F22" s="3888"/>
      <c r="G22" s="3890">
        <v>0</v>
      </c>
      <c r="H22" s="3890">
        <v>0</v>
      </c>
      <c r="I22" s="3890">
        <v>0</v>
      </c>
      <c r="J22" s="3890">
        <v>0</v>
      </c>
      <c r="K22" s="3890">
        <v>0</v>
      </c>
      <c r="L22" s="3890">
        <v>0</v>
      </c>
      <c r="M22" s="3890">
        <v>0</v>
      </c>
      <c r="N22" s="3890">
        <v>0</v>
      </c>
      <c r="O22" s="3890">
        <v>0</v>
      </c>
      <c r="P22" s="3890">
        <v>0</v>
      </c>
      <c r="Q22" s="3890">
        <v>0</v>
      </c>
      <c r="R22" s="3890">
        <v>0</v>
      </c>
      <c r="S22" s="3890">
        <v>0</v>
      </c>
      <c r="T22" s="3890">
        <v>0</v>
      </c>
      <c r="U22" s="2553"/>
      <c r="V22" s="2553"/>
      <c r="W22" s="2553"/>
      <c r="X22" s="3890">
        <v>0</v>
      </c>
      <c r="Y22" s="3890">
        <v>0</v>
      </c>
      <c r="Z22" s="2553"/>
      <c r="AA22" s="2553"/>
      <c r="AB22" s="2553"/>
      <c r="AC22" s="3905">
        <v>0</v>
      </c>
      <c r="AD22" s="3905">
        <v>0</v>
      </c>
      <c r="AE22" s="2553"/>
      <c r="AF22" s="2553"/>
      <c r="AG22" s="2553"/>
      <c r="AH22" s="3074">
        <v>0</v>
      </c>
      <c r="AI22" s="3074">
        <v>0</v>
      </c>
      <c r="AJ22" s="2553"/>
      <c r="AK22" s="2553"/>
    </row>
    <row r="23" spans="1:37" s="1920" customFormat="1" ht="20.25" customHeight="1" x14ac:dyDescent="0.2">
      <c r="A23" s="3169" t="s">
        <v>54</v>
      </c>
      <c r="B23" s="1593">
        <f>SUM(B16:B22)</f>
        <v>18.730000000000004</v>
      </c>
      <c r="C23" s="1593">
        <f t="shared" ref="C23:R23" si="12">SUM(C16:C22)</f>
        <v>2.0500000000000003</v>
      </c>
      <c r="D23" s="1593">
        <f t="shared" si="12"/>
        <v>1.6241232000000001</v>
      </c>
      <c r="E23" s="1593">
        <f t="shared" si="12"/>
        <v>20.889999999999997</v>
      </c>
      <c r="F23" s="1593">
        <f t="shared" si="12"/>
        <v>1.71</v>
      </c>
      <c r="G23" s="1593">
        <f t="shared" si="12"/>
        <v>7.96</v>
      </c>
      <c r="H23" s="1593">
        <f t="shared" si="12"/>
        <v>7.94</v>
      </c>
      <c r="I23" s="1593">
        <f t="shared" si="12"/>
        <v>7.71</v>
      </c>
      <c r="J23" s="1593">
        <f t="shared" si="12"/>
        <v>7.59</v>
      </c>
      <c r="K23" s="1593">
        <f t="shared" si="12"/>
        <v>7.29</v>
      </c>
      <c r="L23" s="1593">
        <f t="shared" si="12"/>
        <v>0</v>
      </c>
      <c r="M23" s="1593">
        <f t="shared" si="12"/>
        <v>2.2974444320234051</v>
      </c>
      <c r="N23" s="1593">
        <f t="shared" si="12"/>
        <v>2.3157822715825516</v>
      </c>
      <c r="O23" s="1593">
        <f t="shared" si="12"/>
        <v>2.4369531111416984</v>
      </c>
      <c r="P23" s="1593">
        <f t="shared" si="12"/>
        <v>2.5009569507008447</v>
      </c>
      <c r="Q23" s="1593">
        <f t="shared" si="12"/>
        <v>2.6723603902599908</v>
      </c>
      <c r="R23" s="1593">
        <f t="shared" si="12"/>
        <v>2.7957300298191372</v>
      </c>
      <c r="S23" s="1593">
        <f t="shared" ref="S23:V23" si="13">SUM(S16:S22)</f>
        <v>2.3557822715825516</v>
      </c>
      <c r="T23" s="1593">
        <f t="shared" si="13"/>
        <v>1.8708976715825516</v>
      </c>
      <c r="U23" s="1593">
        <f t="shared" si="13"/>
        <v>0.28960200000000003</v>
      </c>
      <c r="V23" s="1593">
        <f t="shared" si="13"/>
        <v>0.42990281999999991</v>
      </c>
      <c r="W23" s="1593">
        <f t="shared" ref="W23:X23" si="14">SUM(W16:W22)</f>
        <v>0.59</v>
      </c>
      <c r="X23" s="1593">
        <f t="shared" si="14"/>
        <v>0.59</v>
      </c>
      <c r="Y23" s="1593">
        <f t="shared" ref="Y23" si="15">SUM(Y16:Y22)</f>
        <v>0.73399999999999999</v>
      </c>
      <c r="Z23" s="1593">
        <f t="shared" ref="Z23:AD23" si="16">SUM(Z16:Z22)</f>
        <v>0</v>
      </c>
      <c r="AA23" s="1593">
        <f t="shared" si="16"/>
        <v>0</v>
      </c>
      <c r="AB23" s="1593">
        <f t="shared" si="16"/>
        <v>0</v>
      </c>
      <c r="AC23" s="1593">
        <f t="shared" si="16"/>
        <v>1.3963722000000001</v>
      </c>
      <c r="AD23" s="1593">
        <f t="shared" si="16"/>
        <v>1.3972217040000001</v>
      </c>
      <c r="AE23" s="1593">
        <f t="shared" ref="AE23:AH23" si="17">SUM(AE16:AE22)</f>
        <v>0</v>
      </c>
      <c r="AF23" s="1593">
        <f t="shared" si="17"/>
        <v>0</v>
      </c>
      <c r="AG23" s="1593">
        <f t="shared" si="17"/>
        <v>0</v>
      </c>
      <c r="AH23" s="2344">
        <f t="shared" si="17"/>
        <v>1.6069784</v>
      </c>
      <c r="AI23" s="2344">
        <f t="shared" ref="AI23:AK23" si="18">SUM(AI16:AI22)</f>
        <v>1.22692416</v>
      </c>
      <c r="AJ23" s="1593">
        <f t="shared" si="18"/>
        <v>0</v>
      </c>
      <c r="AK23" s="1593">
        <f t="shared" si="18"/>
        <v>0</v>
      </c>
    </row>
    <row r="24" spans="1:37" s="1920" customFormat="1" x14ac:dyDescent="0.2">
      <c r="A24" s="6306" t="s">
        <v>335</v>
      </c>
      <c r="B24" s="6307"/>
      <c r="C24" s="6307"/>
      <c r="D24" s="6307"/>
      <c r="E24" s="6307"/>
      <c r="F24" s="6307"/>
      <c r="G24" s="6307"/>
      <c r="H24" s="6307"/>
      <c r="I24" s="6307"/>
      <c r="J24" s="6307"/>
      <c r="K24" s="6307"/>
      <c r="L24" s="6307"/>
      <c r="M24" s="6307"/>
      <c r="N24" s="6307"/>
      <c r="O24" s="6307"/>
      <c r="P24" s="6307"/>
      <c r="Q24" s="6307"/>
      <c r="R24" s="6307"/>
      <c r="S24" s="6308"/>
      <c r="T24" s="6308"/>
      <c r="U24" s="6308"/>
      <c r="V24" s="6308"/>
      <c r="W24" s="6308"/>
      <c r="X24" s="6308"/>
      <c r="Y24" s="6308"/>
      <c r="Z24" s="6309"/>
      <c r="AA24" s="6309"/>
      <c r="AB24" s="6309"/>
      <c r="AC24" s="5586"/>
      <c r="AD24" s="5586"/>
      <c r="AE24" s="5586"/>
      <c r="AF24" s="5586"/>
      <c r="AG24" s="5586"/>
      <c r="AH24" s="5586"/>
      <c r="AI24" s="5586"/>
      <c r="AJ24" s="5586"/>
      <c r="AK24" s="5586"/>
    </row>
    <row r="25" spans="1:37" x14ac:dyDescent="0.2">
      <c r="A25" s="3886" t="s">
        <v>2028</v>
      </c>
      <c r="B25" s="3888">
        <v>0</v>
      </c>
      <c r="C25" s="3888">
        <v>0</v>
      </c>
      <c r="D25" s="3888">
        <v>0</v>
      </c>
      <c r="E25" s="3888"/>
      <c r="F25" s="3888"/>
      <c r="G25" s="3888">
        <v>0</v>
      </c>
      <c r="H25" s="3888">
        <v>0</v>
      </c>
      <c r="I25" s="3888">
        <v>0</v>
      </c>
      <c r="J25" s="3888">
        <v>0</v>
      </c>
      <c r="K25" s="3888">
        <v>0</v>
      </c>
      <c r="L25" s="3888">
        <v>0</v>
      </c>
      <c r="M25" s="3888">
        <v>0</v>
      </c>
      <c r="N25" s="3888">
        <v>0</v>
      </c>
      <c r="O25" s="3888">
        <v>0</v>
      </c>
      <c r="P25" s="3888">
        <v>0</v>
      </c>
      <c r="Q25" s="3888">
        <v>0</v>
      </c>
      <c r="R25" s="3888">
        <v>0</v>
      </c>
      <c r="S25" s="3888">
        <v>0</v>
      </c>
      <c r="T25" s="3888">
        <v>0</v>
      </c>
      <c r="U25" s="2553"/>
      <c r="V25" s="2553"/>
      <c r="W25" s="2553"/>
      <c r="X25" s="3888">
        <v>0</v>
      </c>
      <c r="Y25" s="3888">
        <v>0</v>
      </c>
      <c r="Z25" s="2553"/>
      <c r="AA25" s="2553"/>
      <c r="AB25" s="2553"/>
      <c r="AC25" s="3903">
        <v>0</v>
      </c>
      <c r="AD25" s="3903">
        <v>0</v>
      </c>
      <c r="AE25" s="2553"/>
      <c r="AF25" s="2553"/>
      <c r="AG25" s="2614">
        <v>2092.9672</v>
      </c>
      <c r="AH25" s="2456">
        <f>SUM('Налог на прибыль'!G16)/1000</f>
        <v>1601.555124</v>
      </c>
      <c r="AI25" s="2456">
        <v>0</v>
      </c>
      <c r="AJ25" s="2553"/>
      <c r="AK25" s="2614">
        <v>2092.9672</v>
      </c>
    </row>
    <row r="26" spans="1:37" x14ac:dyDescent="0.2">
      <c r="A26" s="3886" t="s">
        <v>2029</v>
      </c>
      <c r="B26" s="3888">
        <v>1409.39</v>
      </c>
      <c r="C26" s="3888">
        <v>1222.45</v>
      </c>
      <c r="D26" s="3888">
        <f>C26</f>
        <v>1222.45</v>
      </c>
      <c r="E26" s="3888">
        <v>1321.42</v>
      </c>
      <c r="F26" s="3888">
        <v>1313.7</v>
      </c>
      <c r="G26" s="3890">
        <v>1176.49</v>
      </c>
      <c r="H26" s="3890">
        <v>1124.6500000000001</v>
      </c>
      <c r="I26" s="3890">
        <v>1042.08</v>
      </c>
      <c r="J26" s="3890">
        <v>999.98</v>
      </c>
      <c r="K26" s="3890">
        <v>905.34</v>
      </c>
      <c r="L26" s="3890"/>
      <c r="M26" s="3890">
        <f>'4.2. Налог на имущество'!G37/1000</f>
        <v>942.55959939862851</v>
      </c>
      <c r="N26" s="3890">
        <f>M26</f>
        <v>942.55959939862851</v>
      </c>
      <c r="O26" s="3890">
        <f t="shared" ref="O26:R26" si="19">N26</f>
        <v>942.55959939862851</v>
      </c>
      <c r="P26" s="3890">
        <f t="shared" si="19"/>
        <v>942.55959939862851</v>
      </c>
      <c r="Q26" s="3890">
        <f t="shared" si="19"/>
        <v>942.55959939862851</v>
      </c>
      <c r="R26" s="3890">
        <f t="shared" si="19"/>
        <v>942.55959939862851</v>
      </c>
      <c r="S26" s="3890">
        <f>SUM(N26)</f>
        <v>942.55959939862851</v>
      </c>
      <c r="T26" s="3890">
        <f>SUM(S26)</f>
        <v>942.55959939862851</v>
      </c>
      <c r="U26" s="3276">
        <f>SUM('4.2. Налог на имущество'!Q36)/1000</f>
        <v>1075.47</v>
      </c>
      <c r="V26" s="2614">
        <f>SUM('4.2. Налог на имущество'!R36/1000)</f>
        <v>1613.2</v>
      </c>
      <c r="W26" s="2614">
        <f>SUM('4.2. Налог на имущество'!T36)/1000</f>
        <v>2150.94</v>
      </c>
      <c r="X26" s="3890">
        <f>SUM('4.2. Налог на имущество'!T36)/1000</f>
        <v>2150.94</v>
      </c>
      <c r="Y26" s="3890">
        <f>SUM('4.2. Налог на имущество'!U36)/1000</f>
        <v>1745.3302200000001</v>
      </c>
      <c r="Z26" s="3276">
        <v>1068.7159999999999</v>
      </c>
      <c r="AA26" s="2614">
        <v>1600.1659999999999</v>
      </c>
      <c r="AB26" s="2614">
        <v>2111.3200000000002</v>
      </c>
      <c r="AC26" s="3905">
        <f>SUM('4.2. Налог на имущество'!Y36)/1000</f>
        <v>2111.3244</v>
      </c>
      <c r="AD26" s="3905">
        <f>SUM('4.2. Налог на имущество'!Z36)/1000</f>
        <v>2158.45415</v>
      </c>
      <c r="AE26" s="2614">
        <v>1020.7684</v>
      </c>
      <c r="AF26" s="2614">
        <v>1536.7052000000001</v>
      </c>
      <c r="AG26" s="2614">
        <v>2086.3195999999998</v>
      </c>
      <c r="AH26" s="3074">
        <f>SUM('4.2. Налог на имущество'!AD36)/1000</f>
        <v>2086.3196000000003</v>
      </c>
      <c r="AI26" s="3074">
        <f>SUM('4.2. Налог на имущество'!AE36)/1000</f>
        <v>2086.3196000000003</v>
      </c>
      <c r="AJ26" s="2614">
        <v>1536.7052000000001</v>
      </c>
      <c r="AK26" s="2614">
        <v>2086.3195999999998</v>
      </c>
    </row>
    <row r="27" spans="1:37" ht="25.5" x14ac:dyDescent="0.2">
      <c r="A27" s="3886" t="s">
        <v>2030</v>
      </c>
      <c r="B27" s="3888">
        <v>348.31</v>
      </c>
      <c r="C27" s="3888">
        <v>4081.96</v>
      </c>
      <c r="D27" s="3888">
        <v>0</v>
      </c>
      <c r="E27" s="3888">
        <v>151.65</v>
      </c>
      <c r="F27" s="3888">
        <v>2.71</v>
      </c>
      <c r="G27" s="3890">
        <v>4610.3999999999996</v>
      </c>
      <c r="H27" s="3890">
        <v>4610.3999999999996</v>
      </c>
      <c r="I27" s="3890">
        <v>4610.3999999999996</v>
      </c>
      <c r="J27" s="3890">
        <v>4610.3999999999996</v>
      </c>
      <c r="K27" s="3890">
        <v>4610.3999999999996</v>
      </c>
      <c r="L27" s="3890"/>
      <c r="M27" s="3890">
        <v>18.329999999999998</v>
      </c>
      <c r="N27" s="3890">
        <f>M27*1.04</f>
        <v>19.063199999999998</v>
      </c>
      <c r="O27" s="3890">
        <f t="shared" ref="O27:R27" si="20">N27*1.04</f>
        <v>19.825727999999998</v>
      </c>
      <c r="P27" s="3890">
        <f t="shared" si="20"/>
        <v>20.618757119999998</v>
      </c>
      <c r="Q27" s="3890">
        <f t="shared" si="20"/>
        <v>21.443507404799998</v>
      </c>
      <c r="R27" s="3890">
        <f t="shared" si="20"/>
        <v>22.301247700992</v>
      </c>
      <c r="S27" s="3890">
        <f>SUM(N27)</f>
        <v>19.063199999999998</v>
      </c>
      <c r="T27" s="3890">
        <f>SUM(НВОС!I16)</f>
        <v>2.9224911000000002</v>
      </c>
      <c r="U27" s="2112">
        <f>SUM(НВОС!J16)</f>
        <v>17.12</v>
      </c>
      <c r="V27" s="3249">
        <f>SUM(НВОС!K16)</f>
        <v>25.67</v>
      </c>
      <c r="W27" s="3249">
        <f>SUM(НВОС!L16)</f>
        <v>525.82000000000005</v>
      </c>
      <c r="X27" s="3890">
        <f>SUM(НВОС!M16)</f>
        <v>525.82000000000005</v>
      </c>
      <c r="Y27" s="3890">
        <f>SUM(W27)</f>
        <v>525.82000000000005</v>
      </c>
      <c r="Z27" s="2112">
        <v>262.90699999999998</v>
      </c>
      <c r="AA27" s="3249">
        <v>394.36</v>
      </c>
      <c r="AB27" s="3249">
        <v>467.42099999999999</v>
      </c>
      <c r="AC27" s="3905">
        <f>SUM(НВОС!R16)</f>
        <v>525.82000000000005</v>
      </c>
      <c r="AD27" s="3905">
        <f>SUM(AB27)</f>
        <v>467.42099999999999</v>
      </c>
      <c r="AE27" s="3249">
        <v>233.70758000000001</v>
      </c>
      <c r="AF27" s="3249">
        <f>SUM(НВОС!Z16)</f>
        <v>350.56137000000001</v>
      </c>
      <c r="AG27" s="3249">
        <f>SUM(НВОС!AA16)</f>
        <v>1112.1341</v>
      </c>
      <c r="AH27" s="3074">
        <f>SUM(НВОС!AB16)</f>
        <v>1112.1341</v>
      </c>
      <c r="AI27" s="3074">
        <f>SUM(НВОС!AC16)</f>
        <v>1112.1341</v>
      </c>
      <c r="AJ27" s="3249">
        <f>SUM(НВОС!AD16)</f>
        <v>1112.1341</v>
      </c>
      <c r="AK27" s="3249">
        <f>SUM(НВОС!AE16)</f>
        <v>1112.1341</v>
      </c>
    </row>
    <row r="28" spans="1:37" x14ac:dyDescent="0.2">
      <c r="A28" s="3886" t="s">
        <v>2031</v>
      </c>
      <c r="B28" s="3888">
        <v>25.87</v>
      </c>
      <c r="C28" s="3888">
        <v>42.86</v>
      </c>
      <c r="D28" s="3888">
        <f>C28</f>
        <v>42.86</v>
      </c>
      <c r="E28" s="3888">
        <v>29.69</v>
      </c>
      <c r="F28" s="3888">
        <v>48.29</v>
      </c>
      <c r="G28" s="3890">
        <v>42.86</v>
      </c>
      <c r="H28" s="3890">
        <v>42.86</v>
      </c>
      <c r="I28" s="3890">
        <v>42.86</v>
      </c>
      <c r="J28" s="3890">
        <v>42.86</v>
      </c>
      <c r="K28" s="3890">
        <v>42.86</v>
      </c>
      <c r="L28" s="3890"/>
      <c r="M28" s="3890">
        <f>D28</f>
        <v>42.86</v>
      </c>
      <c r="N28" s="3890">
        <f>G28</f>
        <v>42.86</v>
      </c>
      <c r="O28" s="3890">
        <f t="shared" ref="O28:R28" si="21">H28</f>
        <v>42.86</v>
      </c>
      <c r="P28" s="3890">
        <f t="shared" si="21"/>
        <v>42.86</v>
      </c>
      <c r="Q28" s="3890">
        <f t="shared" si="21"/>
        <v>42.86</v>
      </c>
      <c r="R28" s="3890">
        <f t="shared" si="21"/>
        <v>42.86</v>
      </c>
      <c r="S28" s="3890">
        <f>SUM(F28)</f>
        <v>48.29</v>
      </c>
      <c r="T28" s="3890">
        <f>SUM(S28)</f>
        <v>48.29</v>
      </c>
      <c r="U28" s="3889">
        <v>35.979999999999997</v>
      </c>
      <c r="V28" s="2553">
        <v>55.14</v>
      </c>
      <c r="W28" s="2553">
        <v>74.290000000000006</v>
      </c>
      <c r="X28" s="3890">
        <f>SUM(W28)</f>
        <v>74.290000000000006</v>
      </c>
      <c r="Y28" s="3890">
        <f>SUM(X28)</f>
        <v>74.290000000000006</v>
      </c>
      <c r="Z28" s="3889">
        <v>40.716000000000001</v>
      </c>
      <c r="AA28" s="2553">
        <v>61.08</v>
      </c>
      <c r="AB28" s="2614">
        <v>81.433999999999997</v>
      </c>
      <c r="AC28" s="3905">
        <f>SUM(AB28)</f>
        <v>81.433999999999997</v>
      </c>
      <c r="AD28" s="3905">
        <f>SUM(AC28)-0.01</f>
        <v>81.423999999999992</v>
      </c>
      <c r="AE28" s="2614">
        <v>28.978000000000002</v>
      </c>
      <c r="AF28" s="2614">
        <v>43.466999999999999</v>
      </c>
      <c r="AG28" s="2614">
        <v>57.95</v>
      </c>
      <c r="AH28" s="3074">
        <f>SUM(AG28)</f>
        <v>57.95</v>
      </c>
      <c r="AI28" s="3074">
        <f>SUM(AH28)</f>
        <v>57.95</v>
      </c>
      <c r="AJ28" s="2614">
        <v>43.466999999999999</v>
      </c>
      <c r="AK28" s="2614">
        <v>57.95</v>
      </c>
    </row>
    <row r="29" spans="1:37" x14ac:dyDescent="0.2">
      <c r="A29" s="3886" t="s">
        <v>2032</v>
      </c>
      <c r="B29" s="3888">
        <v>0</v>
      </c>
      <c r="C29" s="3888">
        <v>0</v>
      </c>
      <c r="D29" s="3888">
        <v>0</v>
      </c>
      <c r="E29" s="3888"/>
      <c r="F29" s="3888"/>
      <c r="G29" s="3890">
        <v>0</v>
      </c>
      <c r="H29" s="3890">
        <v>0</v>
      </c>
      <c r="I29" s="3890">
        <v>0</v>
      </c>
      <c r="J29" s="3890">
        <v>0</v>
      </c>
      <c r="K29" s="3890">
        <v>0</v>
      </c>
      <c r="L29" s="3890">
        <v>0</v>
      </c>
      <c r="M29" s="3890">
        <v>0</v>
      </c>
      <c r="N29" s="3890">
        <v>0</v>
      </c>
      <c r="O29" s="3890">
        <v>0</v>
      </c>
      <c r="P29" s="3890">
        <v>0</v>
      </c>
      <c r="Q29" s="3890">
        <v>0</v>
      </c>
      <c r="R29" s="3890">
        <v>0</v>
      </c>
      <c r="S29" s="3890">
        <v>0</v>
      </c>
      <c r="T29" s="3890">
        <v>0</v>
      </c>
      <c r="U29" s="2553"/>
      <c r="V29" s="2553"/>
      <c r="W29" s="2553"/>
      <c r="X29" s="3890">
        <v>0</v>
      </c>
      <c r="Y29" s="3890">
        <v>0</v>
      </c>
      <c r="Z29" s="2553"/>
      <c r="AA29" s="2553"/>
      <c r="AB29" s="2553"/>
      <c r="AC29" s="3905">
        <v>0</v>
      </c>
      <c r="AD29" s="3905">
        <v>0</v>
      </c>
      <c r="AE29" s="2553"/>
      <c r="AF29" s="2553"/>
      <c r="AG29" s="2553"/>
      <c r="AH29" s="3074">
        <v>0</v>
      </c>
      <c r="AI29" s="3074">
        <v>0</v>
      </c>
      <c r="AJ29" s="2553"/>
      <c r="AK29" s="2553"/>
    </row>
    <row r="30" spans="1:37" x14ac:dyDescent="0.2">
      <c r="A30" s="3886" t="s">
        <v>2033</v>
      </c>
      <c r="B30" s="3888">
        <v>0</v>
      </c>
      <c r="C30" s="3888">
        <v>0</v>
      </c>
      <c r="D30" s="3888">
        <v>0</v>
      </c>
      <c r="E30" s="3888"/>
      <c r="F30" s="3888"/>
      <c r="G30" s="3890">
        <v>0</v>
      </c>
      <c r="H30" s="3890">
        <v>0</v>
      </c>
      <c r="I30" s="3890">
        <v>0</v>
      </c>
      <c r="J30" s="3890">
        <v>0</v>
      </c>
      <c r="K30" s="3890">
        <v>0</v>
      </c>
      <c r="L30" s="3890">
        <v>0</v>
      </c>
      <c r="M30" s="3890">
        <v>0</v>
      </c>
      <c r="N30" s="3890">
        <v>0</v>
      </c>
      <c r="O30" s="3890">
        <v>0</v>
      </c>
      <c r="P30" s="3890">
        <v>0</v>
      </c>
      <c r="Q30" s="3890">
        <v>0</v>
      </c>
      <c r="R30" s="3890">
        <v>0</v>
      </c>
      <c r="S30" s="3890">
        <v>0</v>
      </c>
      <c r="T30" s="3890">
        <v>0</v>
      </c>
      <c r="U30" s="2553"/>
      <c r="V30" s="2553"/>
      <c r="W30" s="2553"/>
      <c r="X30" s="3890">
        <v>0</v>
      </c>
      <c r="Y30" s="3890">
        <v>0</v>
      </c>
      <c r="Z30" s="2553"/>
      <c r="AA30" s="2553"/>
      <c r="AB30" s="2553"/>
      <c r="AC30" s="3905">
        <v>0</v>
      </c>
      <c r="AD30" s="3905">
        <v>0</v>
      </c>
      <c r="AE30" s="2553"/>
      <c r="AF30" s="2553"/>
      <c r="AG30" s="2553"/>
      <c r="AH30" s="3074">
        <v>0</v>
      </c>
      <c r="AI30" s="3074">
        <v>0</v>
      </c>
      <c r="AJ30" s="2553"/>
      <c r="AK30" s="2553"/>
    </row>
    <row r="31" spans="1:37" s="1920" customFormat="1" ht="18.75" customHeight="1" x14ac:dyDescent="0.2">
      <c r="A31" s="3169" t="s">
        <v>54</v>
      </c>
      <c r="B31" s="1593">
        <f>SUM(B25:B30)</f>
        <v>1783.57</v>
      </c>
      <c r="C31" s="1593">
        <f t="shared" ref="C31:R31" si="22">SUM(C25:C30)</f>
        <v>5347.2699999999995</v>
      </c>
      <c r="D31" s="1593">
        <f t="shared" si="22"/>
        <v>1265.31</v>
      </c>
      <c r="E31" s="1593">
        <f t="shared" si="22"/>
        <v>1502.7600000000002</v>
      </c>
      <c r="F31" s="1593">
        <f t="shared" si="22"/>
        <v>1364.7</v>
      </c>
      <c r="G31" s="1593">
        <f t="shared" si="22"/>
        <v>5829.7499999999991</v>
      </c>
      <c r="H31" s="1593">
        <f t="shared" si="22"/>
        <v>5777.9099999999989</v>
      </c>
      <c r="I31" s="1593">
        <f t="shared" si="22"/>
        <v>5695.3399999999992</v>
      </c>
      <c r="J31" s="1593">
        <f t="shared" si="22"/>
        <v>5653.2399999999989</v>
      </c>
      <c r="K31" s="1593">
        <f t="shared" si="22"/>
        <v>5558.5999999999995</v>
      </c>
      <c r="L31" s="1593">
        <f t="shared" si="22"/>
        <v>0</v>
      </c>
      <c r="M31" s="1593">
        <f t="shared" si="22"/>
        <v>1003.7495993986286</v>
      </c>
      <c r="N31" s="1593">
        <f t="shared" si="22"/>
        <v>1004.4827993986286</v>
      </c>
      <c r="O31" s="1593">
        <f t="shared" si="22"/>
        <v>1005.2453273986285</v>
      </c>
      <c r="P31" s="1593">
        <f t="shared" si="22"/>
        <v>1006.0383565186286</v>
      </c>
      <c r="Q31" s="1593">
        <f t="shared" si="22"/>
        <v>1006.8631068034285</v>
      </c>
      <c r="R31" s="1593">
        <f t="shared" si="22"/>
        <v>1007.7208470996205</v>
      </c>
      <c r="S31" s="1593">
        <f t="shared" ref="S31:V31" si="23">SUM(S25:S30)</f>
        <v>1009.9127993986285</v>
      </c>
      <c r="T31" s="1593">
        <f t="shared" si="23"/>
        <v>993.77209049862847</v>
      </c>
      <c r="U31" s="1593">
        <f t="shared" si="23"/>
        <v>1128.57</v>
      </c>
      <c r="V31" s="1593">
        <f t="shared" si="23"/>
        <v>1694.0100000000002</v>
      </c>
      <c r="W31" s="1593">
        <f t="shared" ref="W31:X31" si="24">SUM(W25:W30)</f>
        <v>2751.05</v>
      </c>
      <c r="X31" s="1593">
        <f t="shared" si="24"/>
        <v>2751.05</v>
      </c>
      <c r="Y31" s="1593">
        <f t="shared" ref="Y31" si="25">SUM(Y25:Y30)</f>
        <v>2345.44022</v>
      </c>
      <c r="Z31" s="1593">
        <f t="shared" ref="Z31:AD31" si="26">SUM(Z25:Z30)</f>
        <v>1372.3389999999997</v>
      </c>
      <c r="AA31" s="1593">
        <f t="shared" si="26"/>
        <v>2055.6059999999998</v>
      </c>
      <c r="AB31" s="1593">
        <f t="shared" si="26"/>
        <v>2660.1750000000002</v>
      </c>
      <c r="AC31" s="1593">
        <f t="shared" si="26"/>
        <v>2718.5784000000003</v>
      </c>
      <c r="AD31" s="1593">
        <f t="shared" si="26"/>
        <v>2707.2991499999998</v>
      </c>
      <c r="AE31" s="1593">
        <f t="shared" ref="AE31:AH31" si="27">SUM(AE25:AE30)</f>
        <v>1283.4539800000002</v>
      </c>
      <c r="AF31" s="1593">
        <f t="shared" si="27"/>
        <v>1930.7335700000003</v>
      </c>
      <c r="AG31" s="1593">
        <f t="shared" si="27"/>
        <v>5349.3708999999999</v>
      </c>
      <c r="AH31" s="2344">
        <f t="shared" si="27"/>
        <v>4857.9588240000003</v>
      </c>
      <c r="AI31" s="2344">
        <f t="shared" ref="AI31:AK31" si="28">SUM(AI25:AI30)</f>
        <v>3256.4036999999998</v>
      </c>
      <c r="AJ31" s="1593">
        <f t="shared" si="28"/>
        <v>2692.3063000000002</v>
      </c>
      <c r="AK31" s="1593">
        <f t="shared" si="28"/>
        <v>5349.3708999999999</v>
      </c>
    </row>
    <row r="32" spans="1:37" s="1920" customFormat="1" x14ac:dyDescent="0.2">
      <c r="A32" s="6306" t="s">
        <v>2034</v>
      </c>
      <c r="B32" s="6307"/>
      <c r="C32" s="6307"/>
      <c r="D32" s="6307"/>
      <c r="E32" s="6307"/>
      <c r="F32" s="6307"/>
      <c r="G32" s="6307"/>
      <c r="H32" s="6307"/>
      <c r="I32" s="6307"/>
      <c r="J32" s="6307"/>
      <c r="K32" s="6307"/>
      <c r="L32" s="6307"/>
      <c r="M32" s="6307"/>
      <c r="N32" s="6307"/>
      <c r="O32" s="6307"/>
      <c r="P32" s="6307"/>
      <c r="Q32" s="6307"/>
      <c r="R32" s="6307"/>
      <c r="S32" s="6308"/>
      <c r="T32" s="6308"/>
      <c r="U32" s="6308"/>
      <c r="V32" s="6308"/>
      <c r="W32" s="6308"/>
      <c r="X32" s="6308"/>
      <c r="Y32" s="6308"/>
      <c r="Z32" s="6309"/>
      <c r="AA32" s="6309"/>
      <c r="AB32" s="6309"/>
      <c r="AC32" s="5586"/>
      <c r="AD32" s="5586"/>
      <c r="AE32" s="5586"/>
      <c r="AF32" s="5586"/>
      <c r="AG32" s="5586"/>
      <c r="AH32" s="5586"/>
      <c r="AI32" s="5586"/>
      <c r="AJ32" s="5586"/>
      <c r="AK32" s="5586"/>
    </row>
    <row r="33" spans="1:37" x14ac:dyDescent="0.2">
      <c r="A33" s="3886" t="s">
        <v>2028</v>
      </c>
      <c r="B33" s="3277">
        <v>0</v>
      </c>
      <c r="C33" s="3277">
        <v>0</v>
      </c>
      <c r="D33" s="3277">
        <v>0</v>
      </c>
      <c r="E33" s="3277"/>
      <c r="F33" s="3277"/>
      <c r="G33" s="3277">
        <v>0</v>
      </c>
      <c r="H33" s="3277">
        <v>0</v>
      </c>
      <c r="I33" s="3277">
        <v>0</v>
      </c>
      <c r="J33" s="3277">
        <v>0</v>
      </c>
      <c r="K33" s="3277">
        <v>0</v>
      </c>
      <c r="L33" s="3277">
        <v>0</v>
      </c>
      <c r="M33" s="3277">
        <v>0</v>
      </c>
      <c r="N33" s="3277">
        <v>0</v>
      </c>
      <c r="O33" s="3277">
        <v>0</v>
      </c>
      <c r="P33" s="3277">
        <v>0</v>
      </c>
      <c r="Q33" s="3277">
        <v>0</v>
      </c>
      <c r="R33" s="3277">
        <v>0</v>
      </c>
      <c r="S33" s="3277">
        <v>0</v>
      </c>
      <c r="T33" s="3277">
        <v>0</v>
      </c>
      <c r="U33" s="2553"/>
      <c r="V33" s="2553"/>
      <c r="W33" s="2553"/>
      <c r="X33" s="3277">
        <v>0</v>
      </c>
      <c r="Y33" s="3277">
        <v>0</v>
      </c>
      <c r="Z33" s="2553"/>
      <c r="AA33" s="2553"/>
      <c r="AB33" s="2553"/>
      <c r="AC33" s="3277">
        <v>0</v>
      </c>
      <c r="AD33" s="3277">
        <v>0</v>
      </c>
      <c r="AE33" s="2553"/>
      <c r="AF33" s="2553"/>
      <c r="AG33" s="2553"/>
      <c r="AH33" s="2480">
        <v>0</v>
      </c>
      <c r="AI33" s="2480">
        <v>0</v>
      </c>
      <c r="AJ33" s="2553"/>
      <c r="AK33" s="2553"/>
    </row>
    <row r="34" spans="1:37" x14ac:dyDescent="0.2">
      <c r="A34" s="3886" t="s">
        <v>2029</v>
      </c>
      <c r="B34" s="3277">
        <v>10.29</v>
      </c>
      <c r="C34" s="3277">
        <v>7.39</v>
      </c>
      <c r="D34" s="3277">
        <f>C34</f>
        <v>7.39</v>
      </c>
      <c r="E34" s="3277">
        <v>9.41</v>
      </c>
      <c r="F34" s="3277">
        <v>7.65</v>
      </c>
      <c r="G34" s="2112">
        <v>6.9</v>
      </c>
      <c r="H34" s="2112">
        <v>6.59</v>
      </c>
      <c r="I34" s="2112">
        <v>6.11</v>
      </c>
      <c r="J34" s="2112">
        <v>5.86</v>
      </c>
      <c r="K34" s="2112">
        <v>5.31</v>
      </c>
      <c r="L34" s="2112"/>
      <c r="M34" s="2112">
        <f>'4.2. Налог на имущество'!G38/1000</f>
        <v>5.5463082213716168</v>
      </c>
      <c r="N34" s="2112">
        <f>'4.2. Налог на имущество'!H38/1000</f>
        <v>4.9020116321688594</v>
      </c>
      <c r="O34" s="2112">
        <f>'4.2. Налог на имущество'!I38/1000</f>
        <v>4.2577150429661001</v>
      </c>
      <c r="P34" s="2112">
        <f>'4.2. Налог на имущество'!J38/1000</f>
        <v>3.6134184537633427</v>
      </c>
      <c r="Q34" s="2112">
        <f>'4.2. Налог на имущество'!K38/1000</f>
        <v>2.9691218645605844</v>
      </c>
      <c r="R34" s="2112">
        <f>'4.2. Налог на имущество'!L38/1000</f>
        <v>2.3248252753578265</v>
      </c>
      <c r="S34" s="2112">
        <f>SUM('4.2. Налог на имущество'!M38/1000)</f>
        <v>4.9020116321688594</v>
      </c>
      <c r="T34" s="2112">
        <f>SUM(S34)</f>
        <v>4.9020116321688594</v>
      </c>
      <c r="U34" s="2553"/>
      <c r="V34" s="2553"/>
      <c r="W34" s="2553"/>
      <c r="X34" s="2112">
        <f t="shared" ref="X34:Y36" si="29">SUM(T34)</f>
        <v>4.9020116321688594</v>
      </c>
      <c r="Y34" s="2112">
        <f t="shared" si="29"/>
        <v>0</v>
      </c>
      <c r="Z34" s="2553"/>
      <c r="AA34" s="2553"/>
      <c r="AB34" s="2553"/>
      <c r="AC34" s="2112">
        <f t="shared" ref="AC34:AC36" si="30">SUM(Y34)</f>
        <v>0</v>
      </c>
      <c r="AD34" s="2112">
        <f t="shared" ref="AD34:AD36" si="31">SUM(Z34)</f>
        <v>0</v>
      </c>
      <c r="AE34" s="2553"/>
      <c r="AF34" s="2553"/>
      <c r="AG34" s="2553"/>
      <c r="AH34" s="2464">
        <f t="shared" ref="AH34:AI36" si="32">SUM(AD34)</f>
        <v>0</v>
      </c>
      <c r="AI34" s="2464">
        <f t="shared" si="32"/>
        <v>0</v>
      </c>
      <c r="AJ34" s="2553"/>
      <c r="AK34" s="2553"/>
    </row>
    <row r="35" spans="1:37" ht="25.5" x14ac:dyDescent="0.2">
      <c r="A35" s="3886" t="s">
        <v>2030</v>
      </c>
      <c r="B35" s="3277">
        <v>0</v>
      </c>
      <c r="C35" s="3277">
        <v>24.69</v>
      </c>
      <c r="D35" s="3277">
        <v>0</v>
      </c>
      <c r="E35" s="3277">
        <v>1.08</v>
      </c>
      <c r="F35" s="3277">
        <v>0.02</v>
      </c>
      <c r="G35" s="2112">
        <v>27.02</v>
      </c>
      <c r="H35" s="2112">
        <v>27.02</v>
      </c>
      <c r="I35" s="2112">
        <v>27.02</v>
      </c>
      <c r="J35" s="2112">
        <v>27.02</v>
      </c>
      <c r="K35" s="2112">
        <v>27.02</v>
      </c>
      <c r="L35" s="2112">
        <v>27.02</v>
      </c>
      <c r="M35" s="2112">
        <f>НВОС!G17</f>
        <v>0.11</v>
      </c>
      <c r="N35" s="3890">
        <f>M35*1.04</f>
        <v>0.1144</v>
      </c>
      <c r="O35" s="3890">
        <f t="shared" ref="O35:R35" si="33">N35*1.04</f>
        <v>0.11897600000000001</v>
      </c>
      <c r="P35" s="3890">
        <f t="shared" si="33"/>
        <v>0.12373504000000002</v>
      </c>
      <c r="Q35" s="3890">
        <f t="shared" si="33"/>
        <v>0.12868444160000003</v>
      </c>
      <c r="R35" s="3890">
        <f t="shared" si="33"/>
        <v>0.13383181926400003</v>
      </c>
      <c r="S35" s="3890">
        <f>SUM(НВОС!H17)</f>
        <v>0.11</v>
      </c>
      <c r="T35" s="3890">
        <f>SUM(S35)</f>
        <v>0.11</v>
      </c>
      <c r="U35" s="2112">
        <f>SUM(НВОС!J17)</f>
        <v>0</v>
      </c>
      <c r="V35" s="2553"/>
      <c r="W35" s="2553"/>
      <c r="X35" s="3890">
        <f t="shared" si="29"/>
        <v>0.11</v>
      </c>
      <c r="Y35" s="3890">
        <f t="shared" si="29"/>
        <v>0</v>
      </c>
      <c r="Z35" s="2112">
        <f>SUM(НВОС!O17)</f>
        <v>0</v>
      </c>
      <c r="AA35" s="2112">
        <v>0</v>
      </c>
      <c r="AB35" s="2553"/>
      <c r="AC35" s="3905">
        <f t="shared" si="30"/>
        <v>0</v>
      </c>
      <c r="AD35" s="3905">
        <f t="shared" si="31"/>
        <v>0</v>
      </c>
      <c r="AE35" s="2553"/>
      <c r="AF35" s="2553"/>
      <c r="AG35" s="2553"/>
      <c r="AH35" s="3074">
        <f t="shared" si="32"/>
        <v>0</v>
      </c>
      <c r="AI35" s="3074">
        <f t="shared" si="32"/>
        <v>0</v>
      </c>
      <c r="AJ35" s="2553"/>
      <c r="AK35" s="2553"/>
    </row>
    <row r="36" spans="1:37" x14ac:dyDescent="0.2">
      <c r="A36" s="3886" t="s">
        <v>2031</v>
      </c>
      <c r="B36" s="3277">
        <v>0.18</v>
      </c>
      <c r="C36" s="3277">
        <v>0.26</v>
      </c>
      <c r="D36" s="3277">
        <f>C36</f>
        <v>0.26</v>
      </c>
      <c r="E36" s="3277">
        <v>0.21</v>
      </c>
      <c r="F36" s="3277">
        <v>0.28000000000000003</v>
      </c>
      <c r="G36" s="2112">
        <v>0.26</v>
      </c>
      <c r="H36" s="2112">
        <v>0.26</v>
      </c>
      <c r="I36" s="2112">
        <v>0.26</v>
      </c>
      <c r="J36" s="2112">
        <v>0.26</v>
      </c>
      <c r="K36" s="2112">
        <v>0.26</v>
      </c>
      <c r="L36" s="2112">
        <v>0.26</v>
      </c>
      <c r="M36" s="2112">
        <f>D36</f>
        <v>0.26</v>
      </c>
      <c r="N36" s="2112">
        <f>G36</f>
        <v>0.26</v>
      </c>
      <c r="O36" s="2112">
        <f t="shared" ref="O36:R36" si="34">H36</f>
        <v>0.26</v>
      </c>
      <c r="P36" s="2112">
        <f t="shared" si="34"/>
        <v>0.26</v>
      </c>
      <c r="Q36" s="2112">
        <f t="shared" si="34"/>
        <v>0.26</v>
      </c>
      <c r="R36" s="2112">
        <f t="shared" si="34"/>
        <v>0.26</v>
      </c>
      <c r="S36" s="2112">
        <f>SUM(F36)</f>
        <v>0.28000000000000003</v>
      </c>
      <c r="T36" s="2112">
        <f>SUM(S36)</f>
        <v>0.28000000000000003</v>
      </c>
      <c r="U36" s="2553"/>
      <c r="V36" s="2553"/>
      <c r="W36" s="2553"/>
      <c r="X36" s="2112">
        <f t="shared" si="29"/>
        <v>0.28000000000000003</v>
      </c>
      <c r="Y36" s="2112">
        <f t="shared" si="29"/>
        <v>0</v>
      </c>
      <c r="Z36" s="2553"/>
      <c r="AA36" s="2553"/>
      <c r="AB36" s="2553"/>
      <c r="AC36" s="2112">
        <f t="shared" si="30"/>
        <v>0</v>
      </c>
      <c r="AD36" s="2112">
        <f t="shared" si="31"/>
        <v>0</v>
      </c>
      <c r="AE36" s="2553"/>
      <c r="AF36" s="2553"/>
      <c r="AG36" s="2553"/>
      <c r="AH36" s="2464">
        <f t="shared" si="32"/>
        <v>0</v>
      </c>
      <c r="AI36" s="2464">
        <f t="shared" si="32"/>
        <v>0</v>
      </c>
      <c r="AJ36" s="2553"/>
      <c r="AK36" s="2553"/>
    </row>
    <row r="37" spans="1:37" x14ac:dyDescent="0.2">
      <c r="A37" s="3886" t="s">
        <v>2032</v>
      </c>
      <c r="B37" s="3277">
        <v>0</v>
      </c>
      <c r="C37" s="3277">
        <v>0</v>
      </c>
      <c r="D37" s="3277">
        <v>0</v>
      </c>
      <c r="E37" s="3277"/>
      <c r="F37" s="3277"/>
      <c r="G37" s="3277">
        <v>0</v>
      </c>
      <c r="H37" s="3277">
        <v>0</v>
      </c>
      <c r="I37" s="3277">
        <v>0</v>
      </c>
      <c r="J37" s="3277">
        <v>0</v>
      </c>
      <c r="K37" s="3277">
        <v>0</v>
      </c>
      <c r="L37" s="3277">
        <v>0</v>
      </c>
      <c r="M37" s="3277">
        <v>0</v>
      </c>
      <c r="N37" s="3277">
        <v>0</v>
      </c>
      <c r="O37" s="3277">
        <v>0</v>
      </c>
      <c r="P37" s="3277">
        <v>0</v>
      </c>
      <c r="Q37" s="3277">
        <v>0</v>
      </c>
      <c r="R37" s="3277">
        <v>0</v>
      </c>
      <c r="S37" s="3277">
        <v>0</v>
      </c>
      <c r="T37" s="3277">
        <v>0</v>
      </c>
      <c r="U37" s="2553"/>
      <c r="V37" s="2553"/>
      <c r="W37" s="2553"/>
      <c r="X37" s="3277">
        <v>0</v>
      </c>
      <c r="Y37" s="3277">
        <v>0</v>
      </c>
      <c r="Z37" s="2553"/>
      <c r="AA37" s="2553"/>
      <c r="AB37" s="2553"/>
      <c r="AC37" s="3277">
        <v>0</v>
      </c>
      <c r="AD37" s="3277">
        <v>0</v>
      </c>
      <c r="AE37" s="2553"/>
      <c r="AF37" s="2553"/>
      <c r="AG37" s="2553"/>
      <c r="AH37" s="2480">
        <v>0</v>
      </c>
      <c r="AI37" s="2480">
        <v>0</v>
      </c>
      <c r="AJ37" s="2553"/>
      <c r="AK37" s="2553"/>
    </row>
    <row r="38" spans="1:37" x14ac:dyDescent="0.2">
      <c r="A38" s="3886" t="s">
        <v>2033</v>
      </c>
      <c r="B38" s="3277">
        <v>0</v>
      </c>
      <c r="C38" s="3277">
        <v>0</v>
      </c>
      <c r="D38" s="3277">
        <v>0</v>
      </c>
      <c r="E38" s="3277"/>
      <c r="F38" s="3277"/>
      <c r="G38" s="3277">
        <v>0</v>
      </c>
      <c r="H38" s="3277">
        <v>0</v>
      </c>
      <c r="I38" s="3277">
        <v>0</v>
      </c>
      <c r="J38" s="3277">
        <v>0</v>
      </c>
      <c r="K38" s="3277">
        <v>0</v>
      </c>
      <c r="L38" s="3277">
        <v>0</v>
      </c>
      <c r="M38" s="3277">
        <v>0</v>
      </c>
      <c r="N38" s="3277">
        <v>0</v>
      </c>
      <c r="O38" s="3277">
        <v>0</v>
      </c>
      <c r="P38" s="3277">
        <v>0</v>
      </c>
      <c r="Q38" s="3277">
        <v>0</v>
      </c>
      <c r="R38" s="3277">
        <v>0</v>
      </c>
      <c r="S38" s="3277">
        <v>0</v>
      </c>
      <c r="T38" s="3277">
        <v>0</v>
      </c>
      <c r="U38" s="2553"/>
      <c r="V38" s="2553"/>
      <c r="W38" s="2553"/>
      <c r="X38" s="3277">
        <v>0</v>
      </c>
      <c r="Y38" s="3277">
        <v>0</v>
      </c>
      <c r="Z38" s="2553"/>
      <c r="AA38" s="2553"/>
      <c r="AB38" s="2553"/>
      <c r="AC38" s="3277">
        <v>0</v>
      </c>
      <c r="AD38" s="3277">
        <v>0</v>
      </c>
      <c r="AE38" s="2553"/>
      <c r="AF38" s="2553"/>
      <c r="AG38" s="2553"/>
      <c r="AH38" s="2480">
        <v>0</v>
      </c>
      <c r="AI38" s="2480">
        <v>0</v>
      </c>
      <c r="AJ38" s="2553"/>
      <c r="AK38" s="2553"/>
    </row>
    <row r="39" spans="1:37" s="1920" customFormat="1" ht="23.25" customHeight="1" x14ac:dyDescent="0.2">
      <c r="A39" s="3169" t="s">
        <v>54</v>
      </c>
      <c r="B39" s="2618">
        <f>SUM(B33:B38)</f>
        <v>10.469999999999999</v>
      </c>
      <c r="C39" s="2618">
        <f t="shared" ref="C39:R39" si="35">SUM(C33:C38)</f>
        <v>32.339999999999996</v>
      </c>
      <c r="D39" s="2618">
        <f t="shared" si="35"/>
        <v>7.6499999999999995</v>
      </c>
      <c r="E39" s="2618">
        <f t="shared" si="35"/>
        <v>10.700000000000001</v>
      </c>
      <c r="F39" s="2618">
        <f t="shared" si="35"/>
        <v>7.95</v>
      </c>
      <c r="G39" s="2618">
        <f t="shared" si="35"/>
        <v>34.18</v>
      </c>
      <c r="H39" s="2618">
        <f t="shared" si="35"/>
        <v>33.869999999999997</v>
      </c>
      <c r="I39" s="2618">
        <f t="shared" si="35"/>
        <v>33.39</v>
      </c>
      <c r="J39" s="2618">
        <f t="shared" si="35"/>
        <v>33.14</v>
      </c>
      <c r="K39" s="2618">
        <f t="shared" si="35"/>
        <v>32.589999999999996</v>
      </c>
      <c r="L39" s="2618">
        <f t="shared" si="35"/>
        <v>27.28</v>
      </c>
      <c r="M39" s="2618">
        <f t="shared" si="35"/>
        <v>5.9163082213716169</v>
      </c>
      <c r="N39" s="2618">
        <f t="shared" si="35"/>
        <v>5.276411632168859</v>
      </c>
      <c r="O39" s="2618">
        <f t="shared" si="35"/>
        <v>4.6366910429660999</v>
      </c>
      <c r="P39" s="2618">
        <f t="shared" si="35"/>
        <v>3.9971534937633431</v>
      </c>
      <c r="Q39" s="2618">
        <f t="shared" si="35"/>
        <v>3.3578063061605841</v>
      </c>
      <c r="R39" s="2618">
        <f t="shared" si="35"/>
        <v>2.7186570946218263</v>
      </c>
      <c r="S39" s="2618">
        <f t="shared" ref="S39:U39" si="36">SUM(S33:S38)</f>
        <v>5.2920116321688599</v>
      </c>
      <c r="T39" s="2618">
        <f t="shared" si="36"/>
        <v>5.2920116321688599</v>
      </c>
      <c r="U39" s="2618">
        <f t="shared" si="36"/>
        <v>0</v>
      </c>
      <c r="V39" s="3278"/>
      <c r="W39" s="3278"/>
      <c r="X39" s="2618">
        <f t="shared" ref="X39:Y39" si="37">SUM(X33:X38)</f>
        <v>5.2920116321688599</v>
      </c>
      <c r="Y39" s="2618">
        <f t="shared" si="37"/>
        <v>0</v>
      </c>
      <c r="Z39" s="2618">
        <f t="shared" ref="Z39:AA39" si="38">SUM(Z33:Z38)</f>
        <v>0</v>
      </c>
      <c r="AA39" s="2618">
        <f t="shared" si="38"/>
        <v>0</v>
      </c>
      <c r="AB39" s="3278"/>
      <c r="AC39" s="2618">
        <f t="shared" ref="AC39:AD39" si="39">SUM(AC33:AC38)</f>
        <v>0</v>
      </c>
      <c r="AD39" s="2618">
        <f t="shared" si="39"/>
        <v>0</v>
      </c>
      <c r="AE39" s="3278"/>
      <c r="AF39" s="3278"/>
      <c r="AG39" s="3278"/>
      <c r="AH39" s="2481">
        <f t="shared" ref="AH39" si="40">SUM(AH33:AH38)</f>
        <v>0</v>
      </c>
      <c r="AI39" s="2481">
        <f t="shared" ref="AI39" si="41">SUM(AI33:AI38)</f>
        <v>0</v>
      </c>
      <c r="AJ39" s="3278"/>
      <c r="AK39" s="3278"/>
    </row>
    <row r="40" spans="1:37" ht="28.5" hidden="1" customHeight="1" x14ac:dyDescent="0.2">
      <c r="A40" s="3891" t="s">
        <v>3970</v>
      </c>
      <c r="B40" s="3218"/>
      <c r="C40" s="3218"/>
      <c r="D40" s="3218"/>
      <c r="E40" s="3218"/>
      <c r="F40" s="3218"/>
      <c r="G40" s="6310" t="s">
        <v>4020</v>
      </c>
      <c r="H40" s="6311"/>
      <c r="I40" s="6311"/>
      <c r="J40" s="6311"/>
      <c r="K40" s="6311"/>
      <c r="L40" s="6311"/>
      <c r="M40" s="6311"/>
      <c r="N40" s="6311"/>
      <c r="O40" s="6311"/>
      <c r="P40" s="6311"/>
      <c r="Q40" s="6311"/>
      <c r="R40" s="6311"/>
      <c r="S40" s="6311"/>
      <c r="T40" s="6311"/>
      <c r="U40" s="6311"/>
      <c r="V40" s="6311"/>
      <c r="W40" s="6311"/>
      <c r="X40" s="6311"/>
      <c r="Y40" s="6311"/>
      <c r="Z40" s="6311"/>
      <c r="AA40" s="6311"/>
      <c r="AB40" s="6311"/>
      <c r="AC40" s="6311"/>
      <c r="AD40" s="6311"/>
      <c r="AG40" s="1668">
        <f>SUM(AG7+AG25)</f>
        <v>5232.4179999999997</v>
      </c>
    </row>
    <row r="41" spans="1:37" hidden="1" x14ac:dyDescent="0.2">
      <c r="A41" s="2092" t="s">
        <v>3968</v>
      </c>
      <c r="B41" s="3218"/>
      <c r="C41" s="3218"/>
      <c r="D41" s="3218"/>
      <c r="E41" s="3218"/>
      <c r="F41" s="3218"/>
      <c r="G41" s="6312"/>
      <c r="H41" s="6312"/>
      <c r="I41" s="6312"/>
      <c r="J41" s="6312"/>
      <c r="K41" s="6312"/>
      <c r="L41" s="6312"/>
      <c r="M41" s="6312"/>
      <c r="N41" s="6312"/>
      <c r="O41" s="6312"/>
      <c r="P41" s="6312"/>
      <c r="Q41" s="6312"/>
      <c r="R41" s="6312"/>
      <c r="S41" s="6312"/>
      <c r="T41" s="6312"/>
      <c r="U41" s="6312"/>
      <c r="V41" s="6312"/>
      <c r="W41" s="6312"/>
      <c r="X41" s="6312"/>
      <c r="Y41" s="6312"/>
      <c r="Z41" s="6312"/>
      <c r="AA41" s="6312"/>
      <c r="AB41" s="6312"/>
      <c r="AC41" s="6312"/>
      <c r="AD41" s="6312"/>
      <c r="AG41" s="1668">
        <f>SUM(AG7)</f>
        <v>3139.4508000000001</v>
      </c>
    </row>
    <row r="42" spans="1:37" hidden="1" x14ac:dyDescent="0.2">
      <c r="A42" s="2092" t="s">
        <v>3969</v>
      </c>
      <c r="B42" s="3218"/>
      <c r="C42" s="3218"/>
      <c r="D42" s="3218"/>
      <c r="E42" s="3218"/>
      <c r="F42" s="3218"/>
      <c r="G42" s="6312"/>
      <c r="H42" s="6312"/>
      <c r="I42" s="6312"/>
      <c r="J42" s="6312"/>
      <c r="K42" s="6312"/>
      <c r="L42" s="6312"/>
      <c r="M42" s="6312"/>
      <c r="N42" s="6312"/>
      <c r="O42" s="6312"/>
      <c r="P42" s="6312"/>
      <c r="Q42" s="6312"/>
      <c r="R42" s="6312"/>
      <c r="S42" s="6312"/>
      <c r="T42" s="6312"/>
      <c r="U42" s="6312"/>
      <c r="V42" s="6312"/>
      <c r="W42" s="6312"/>
      <c r="X42" s="6312"/>
      <c r="Y42" s="6312"/>
      <c r="Z42" s="6312"/>
      <c r="AA42" s="6312"/>
      <c r="AB42" s="6312"/>
      <c r="AC42" s="6312"/>
      <c r="AD42" s="6312"/>
      <c r="AG42" s="1650">
        <f>SUM(AG25)</f>
        <v>2092.9672</v>
      </c>
    </row>
    <row r="43" spans="1:37" hidden="1" x14ac:dyDescent="0.2">
      <c r="B43" s="3218"/>
      <c r="C43" s="3218"/>
      <c r="D43" s="3218"/>
      <c r="E43" s="3218"/>
      <c r="F43" s="3218"/>
      <c r="G43" s="6312"/>
      <c r="H43" s="6312"/>
      <c r="I43" s="6312"/>
      <c r="J43" s="6312"/>
      <c r="K43" s="6312"/>
      <c r="L43" s="6312"/>
      <c r="M43" s="6312"/>
      <c r="N43" s="6312"/>
      <c r="O43" s="6312"/>
      <c r="P43" s="6312"/>
      <c r="Q43" s="6312"/>
      <c r="R43" s="6312"/>
      <c r="S43" s="6312"/>
      <c r="T43" s="6312"/>
      <c r="U43" s="6312"/>
      <c r="V43" s="6312"/>
      <c r="W43" s="6312"/>
      <c r="X43" s="6312"/>
      <c r="Y43" s="6312"/>
      <c r="Z43" s="6312"/>
      <c r="AA43" s="6312"/>
      <c r="AB43" s="6312"/>
      <c r="AC43" s="6312"/>
      <c r="AD43" s="6312"/>
    </row>
    <row r="44" spans="1:37" x14ac:dyDescent="0.2">
      <c r="B44" s="3883"/>
      <c r="C44" s="3883"/>
      <c r="D44" s="3883"/>
      <c r="E44" s="3883"/>
      <c r="F44" s="3883"/>
      <c r="G44" s="3892"/>
      <c r="H44" s="3892"/>
      <c r="I44" s="3892"/>
      <c r="J44" s="3892"/>
      <c r="K44" s="3892"/>
      <c r="L44" s="3892"/>
      <c r="M44" s="3892"/>
      <c r="N44" s="3892"/>
      <c r="O44" s="3892"/>
      <c r="P44" s="3892"/>
      <c r="Q44" s="3892"/>
      <c r="R44" s="3892"/>
      <c r="S44" s="3892"/>
      <c r="T44" s="3892"/>
      <c r="U44" s="3892"/>
      <c r="V44" s="3892"/>
      <c r="W44" s="3892"/>
      <c r="X44" s="3892"/>
      <c r="Y44" s="3892"/>
      <c r="Z44" s="3892"/>
      <c r="AA44" s="3892"/>
      <c r="AB44" s="3892"/>
      <c r="AC44" s="3892"/>
      <c r="AD44" s="3892"/>
    </row>
    <row r="45" spans="1:37" x14ac:dyDescent="0.2">
      <c r="B45" s="3901"/>
      <c r="C45" s="3901"/>
      <c r="D45" s="3901"/>
      <c r="E45" s="3901"/>
      <c r="F45" s="3901"/>
      <c r="G45" s="3906"/>
      <c r="H45" s="3906"/>
      <c r="I45" s="3906"/>
      <c r="J45" s="3906"/>
      <c r="K45" s="3906"/>
      <c r="L45" s="3906"/>
      <c r="M45" s="3906"/>
      <c r="N45" s="3906"/>
      <c r="O45" s="3906"/>
      <c r="P45" s="3906"/>
      <c r="Q45" s="3906"/>
      <c r="R45" s="3906"/>
      <c r="S45" s="3906"/>
      <c r="T45" s="3906"/>
      <c r="U45" s="3906"/>
      <c r="V45" s="3906"/>
      <c r="W45" s="3906"/>
      <c r="X45" s="3906"/>
      <c r="Y45" s="3906"/>
      <c r="Z45" s="3906"/>
      <c r="AA45" s="3906"/>
      <c r="AB45" s="3906"/>
      <c r="AC45" s="3906"/>
      <c r="AD45" s="3906"/>
    </row>
    <row r="46" spans="1:37" x14ac:dyDescent="0.2">
      <c r="B46" s="3901"/>
      <c r="C46" s="3901"/>
      <c r="D46" s="3901"/>
      <c r="E46" s="3901"/>
      <c r="F46" s="3901"/>
      <c r="G46" s="3906"/>
      <c r="H46" s="3906"/>
      <c r="I46" s="3906"/>
      <c r="J46" s="3906"/>
      <c r="K46" s="3906"/>
      <c r="L46" s="3906"/>
      <c r="M46" s="3906"/>
      <c r="N46" s="3906"/>
      <c r="O46" s="3906"/>
      <c r="P46" s="3906"/>
      <c r="Q46" s="3906"/>
      <c r="R46" s="3906"/>
      <c r="S46" s="3906"/>
      <c r="T46" s="3906"/>
      <c r="U46" s="3906"/>
      <c r="V46" s="3906"/>
      <c r="W46" s="3906"/>
      <c r="X46" s="3906"/>
      <c r="Y46" s="3906"/>
      <c r="Z46" s="3906"/>
      <c r="AA46" s="3906"/>
      <c r="AB46" s="3906"/>
      <c r="AC46" s="3906"/>
      <c r="AD46" s="3906"/>
    </row>
    <row r="47" spans="1:37" x14ac:dyDescent="0.2">
      <c r="B47" s="3883"/>
      <c r="C47" s="3883"/>
      <c r="D47" s="3883"/>
      <c r="E47" s="3883"/>
      <c r="F47" s="3883"/>
      <c r="G47" s="3892"/>
      <c r="H47" s="3892"/>
      <c r="I47" s="3892"/>
      <c r="J47" s="3892"/>
      <c r="K47" s="3892"/>
      <c r="L47" s="3892"/>
      <c r="M47" s="3892"/>
      <c r="N47" s="3892"/>
      <c r="O47" s="3892"/>
      <c r="P47" s="3892"/>
      <c r="Q47" s="3892"/>
      <c r="R47" s="3892"/>
      <c r="S47" s="3892"/>
      <c r="T47" s="3892"/>
      <c r="U47" s="3892"/>
      <c r="V47" s="3892"/>
      <c r="W47" s="3892"/>
      <c r="X47" s="3892"/>
      <c r="Y47" s="3892"/>
      <c r="Z47" s="3892"/>
      <c r="AA47" s="3892"/>
      <c r="AB47" s="3892"/>
      <c r="AC47" s="3892"/>
      <c r="AD47" s="3892"/>
    </row>
    <row r="48" spans="1:37" x14ac:dyDescent="0.2">
      <c r="B48" s="3883"/>
      <c r="C48" s="3883"/>
      <c r="D48" s="3883"/>
      <c r="E48" s="3883"/>
      <c r="F48" s="3883"/>
      <c r="G48" s="3892"/>
      <c r="H48" s="3892"/>
      <c r="I48" s="3892"/>
      <c r="J48" s="3892"/>
      <c r="K48" s="3892"/>
      <c r="L48" s="3892"/>
      <c r="M48" s="3906"/>
      <c r="N48" s="3892"/>
      <c r="O48" s="3892"/>
      <c r="P48" s="3892"/>
      <c r="Q48" s="3892"/>
      <c r="R48" s="3892"/>
      <c r="S48" s="3892"/>
      <c r="T48" s="3892"/>
      <c r="U48" s="3892"/>
      <c r="V48" s="3892"/>
      <c r="W48" s="3892"/>
      <c r="X48" s="3892"/>
      <c r="Y48" s="3892"/>
      <c r="Z48" s="3892"/>
      <c r="AA48" s="3892"/>
      <c r="AB48" s="3892"/>
      <c r="AC48" s="3892"/>
      <c r="AD48" s="3892"/>
    </row>
    <row r="49" spans="1:35" ht="20.25" x14ac:dyDescent="0.2">
      <c r="A49" s="3275" t="s">
        <v>4021</v>
      </c>
      <c r="B49" s="3218"/>
      <c r="C49" s="3218"/>
      <c r="D49" s="3218"/>
      <c r="E49" s="3218"/>
      <c r="F49" s="3218"/>
      <c r="N49" s="3893"/>
      <c r="O49" s="3893"/>
      <c r="P49" s="3893"/>
      <c r="Q49" s="3893"/>
      <c r="R49" s="3893"/>
      <c r="S49" s="3893"/>
      <c r="T49" s="2091"/>
      <c r="U49" s="2036"/>
      <c r="V49" s="2036"/>
      <c r="W49" s="2036"/>
      <c r="X49" s="2036"/>
      <c r="Y49" s="2036"/>
      <c r="Z49" s="2036"/>
      <c r="AA49" s="2036"/>
      <c r="AB49" s="2036"/>
      <c r="AC49" s="2036"/>
      <c r="AD49" s="2036"/>
      <c r="AE49" s="2036"/>
      <c r="AF49" s="2036"/>
      <c r="AG49" s="2036"/>
      <c r="AH49" s="2036"/>
      <c r="AI49" s="2036"/>
    </row>
  </sheetData>
  <mergeCells count="26">
    <mergeCell ref="G40:AD43"/>
    <mergeCell ref="AH4:AI4"/>
    <mergeCell ref="X4:Y4"/>
    <mergeCell ref="G5:L5"/>
    <mergeCell ref="M5:R5"/>
    <mergeCell ref="S4:T4"/>
    <mergeCell ref="Z4:Z5"/>
    <mergeCell ref="AA4:AA5"/>
    <mergeCell ref="AB4:AB5"/>
    <mergeCell ref="AC4:AD4"/>
    <mergeCell ref="AE4:AE5"/>
    <mergeCell ref="AF4:AF5"/>
    <mergeCell ref="AG4:AG5"/>
    <mergeCell ref="U4:U5"/>
    <mergeCell ref="V4:V5"/>
    <mergeCell ref="W4:W5"/>
    <mergeCell ref="A32:AK32"/>
    <mergeCell ref="A2:AK2"/>
    <mergeCell ref="AJ4:AJ5"/>
    <mergeCell ref="AK4:AK5"/>
    <mergeCell ref="A6:AK6"/>
    <mergeCell ref="A15:AK15"/>
    <mergeCell ref="A24:AK24"/>
    <mergeCell ref="A4:A5"/>
    <mergeCell ref="E4:F4"/>
    <mergeCell ref="B4:D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49" orientation="landscape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Лист56">
    <tabColor rgb="FFCC00FF"/>
    <pageSetUpPr fitToPage="1"/>
  </sheetPr>
  <dimension ref="A2:CJ82"/>
  <sheetViews>
    <sheetView zoomScaleNormal="100" workbookViewId="0">
      <pane xSplit="1" ySplit="60" topLeftCell="AZ64" activePane="bottomRight" state="frozen"/>
      <selection pane="topRight" activeCell="B1" sqref="B1"/>
      <selection pane="bottomLeft" activeCell="A60" sqref="A60"/>
      <selection pane="bottomRight" activeCell="A2" sqref="A2:CJ2"/>
    </sheetView>
  </sheetViews>
  <sheetFormatPr defaultRowHeight="12.75" x14ac:dyDescent="0.2"/>
  <cols>
    <col min="1" max="1" width="25" style="5" customWidth="1"/>
    <col min="2" max="2" width="7.7109375" style="5" hidden="1" customWidth="1"/>
    <col min="3" max="3" width="7.42578125" style="5" hidden="1" customWidth="1"/>
    <col min="4" max="4" width="8.28515625" style="5" hidden="1" customWidth="1"/>
    <col min="5" max="5" width="7.7109375" style="5" hidden="1" customWidth="1"/>
    <col min="6" max="6" width="7.42578125" style="5" hidden="1" customWidth="1"/>
    <col min="7" max="7" width="8.28515625" style="5" hidden="1" customWidth="1"/>
    <col min="8" max="8" width="7.7109375" style="5" hidden="1" customWidth="1"/>
    <col min="9" max="9" width="7.42578125" style="5" hidden="1" customWidth="1"/>
    <col min="10" max="10" width="8.28515625" style="5" hidden="1" customWidth="1"/>
    <col min="11" max="11" width="7.7109375" style="5" hidden="1" customWidth="1"/>
    <col min="12" max="12" width="7.42578125" style="5" hidden="1" customWidth="1"/>
    <col min="13" max="13" width="8.28515625" style="5" hidden="1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22" width="8.28515625" style="5" hidden="1" customWidth="1"/>
    <col min="23" max="37" width="8.28515625" style="5" customWidth="1"/>
    <col min="38" max="43" width="8.28515625" style="5" hidden="1" customWidth="1"/>
    <col min="44" max="52" width="8.28515625" style="5" customWidth="1"/>
    <col min="53" max="58" width="0" style="5" hidden="1" customWidth="1"/>
    <col min="59" max="61" width="8.28515625" style="5" customWidth="1"/>
    <col min="62" max="67" width="9.140625" style="5"/>
    <col min="68" max="73" width="0" style="5" hidden="1" customWidth="1"/>
    <col min="74" max="16384" width="9.140625" style="5"/>
  </cols>
  <sheetData>
    <row r="2" spans="1:88" ht="59.25" customHeight="1" x14ac:dyDescent="0.2">
      <c r="A2" s="6319" t="s">
        <v>4015</v>
      </c>
      <c r="B2" s="6319"/>
      <c r="C2" s="6319"/>
      <c r="D2" s="6319"/>
      <c r="E2" s="6319"/>
      <c r="F2" s="6319"/>
      <c r="G2" s="6319"/>
      <c r="H2" s="6319"/>
      <c r="I2" s="6319"/>
      <c r="J2" s="6319"/>
      <c r="K2" s="6319"/>
      <c r="L2" s="6319"/>
      <c r="M2" s="6319"/>
      <c r="N2" s="6319"/>
      <c r="O2" s="6319"/>
      <c r="P2" s="6319"/>
      <c r="Q2" s="6319"/>
      <c r="R2" s="6319"/>
      <c r="S2" s="6319"/>
      <c r="T2" s="6319"/>
      <c r="U2" s="6319"/>
      <c r="V2" s="6319"/>
      <c r="W2" s="6319"/>
      <c r="X2" s="6319"/>
      <c r="Y2" s="6319"/>
      <c r="Z2" s="6319"/>
      <c r="AA2" s="6319"/>
      <c r="AB2" s="6319"/>
      <c r="AC2" s="6319"/>
      <c r="AD2" s="6319"/>
      <c r="AE2" s="6319"/>
      <c r="AF2" s="6124"/>
      <c r="AG2" s="6124"/>
      <c r="AH2" s="6124"/>
      <c r="AI2" s="6124"/>
      <c r="AJ2" s="6124"/>
      <c r="AK2" s="6124"/>
      <c r="AL2" s="6124"/>
      <c r="AM2" s="6124"/>
      <c r="AN2" s="6124"/>
      <c r="AO2" s="6124"/>
      <c r="AP2" s="6124"/>
      <c r="AQ2" s="6124"/>
      <c r="AR2" s="6124"/>
      <c r="AS2" s="6124"/>
      <c r="AT2" s="6124"/>
      <c r="AU2" s="6124"/>
      <c r="AV2" s="6124"/>
      <c r="AW2" s="6124"/>
      <c r="AX2" s="6124"/>
      <c r="AY2" s="6124"/>
      <c r="AZ2" s="6124"/>
      <c r="BA2" s="4910"/>
      <c r="BB2" s="4910"/>
      <c r="BC2" s="4910"/>
      <c r="BD2" s="4910"/>
      <c r="BE2" s="4910"/>
      <c r="BF2" s="4910"/>
      <c r="BG2" s="4910"/>
      <c r="BH2" s="4910"/>
      <c r="BI2" s="4910"/>
      <c r="BJ2" s="4910"/>
      <c r="BK2" s="4910"/>
      <c r="BL2" s="4910"/>
      <c r="BM2" s="4910"/>
      <c r="BN2" s="4910"/>
      <c r="BO2" s="4910"/>
      <c r="BP2" s="4910"/>
      <c r="BQ2" s="4910"/>
      <c r="BR2" s="4910"/>
      <c r="BS2" s="4910"/>
      <c r="BT2" s="4910"/>
      <c r="BU2" s="4910"/>
      <c r="BV2" s="4910"/>
      <c r="BW2" s="4910"/>
      <c r="BX2" s="4910"/>
      <c r="BY2" s="4910"/>
      <c r="BZ2" s="4910"/>
      <c r="CA2" s="4910"/>
      <c r="CB2" s="4910"/>
      <c r="CC2" s="4910"/>
      <c r="CD2" s="4910"/>
      <c r="CE2" s="4910"/>
      <c r="CF2" s="4910"/>
      <c r="CG2" s="4910"/>
      <c r="CH2" s="4910"/>
      <c r="CI2" s="4910"/>
      <c r="CJ2" s="4910"/>
    </row>
    <row r="3" spans="1:88" hidden="1" x14ac:dyDescent="0.2">
      <c r="A3" s="6325" t="s">
        <v>284</v>
      </c>
      <c r="B3" s="5143"/>
      <c r="C3" s="5143"/>
      <c r="D3" s="5143"/>
      <c r="E3" s="5143"/>
      <c r="F3" s="5143"/>
      <c r="G3" s="5143"/>
      <c r="H3" s="5143"/>
      <c r="I3" s="5143"/>
      <c r="J3" s="5143"/>
      <c r="K3" s="5143"/>
      <c r="L3" s="5143"/>
      <c r="M3" s="5143"/>
      <c r="N3" s="5143"/>
      <c r="O3" s="5143"/>
      <c r="P3" s="5143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</row>
    <row r="4" spans="1:88" ht="15.75" hidden="1" x14ac:dyDescent="0.25">
      <c r="A4" s="6323" t="s">
        <v>356</v>
      </c>
      <c r="B4" s="5148" t="s">
        <v>639</v>
      </c>
      <c r="C4" s="5148"/>
      <c r="D4" s="5148"/>
      <c r="E4" s="3222"/>
      <c r="F4" s="3222"/>
      <c r="G4" s="3222"/>
      <c r="H4" s="3222"/>
      <c r="I4" s="3222"/>
      <c r="J4" s="3222"/>
      <c r="K4" s="5148" t="s">
        <v>646</v>
      </c>
      <c r="L4" s="5148"/>
      <c r="M4" s="5148"/>
      <c r="N4" s="5148" t="s">
        <v>1526</v>
      </c>
      <c r="O4" s="5148"/>
      <c r="P4" s="5148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</row>
    <row r="5" spans="1:88" ht="30" hidden="1" customHeight="1" x14ac:dyDescent="0.2">
      <c r="A5" s="6323"/>
      <c r="B5" s="3220" t="s">
        <v>396</v>
      </c>
      <c r="C5" s="3220" t="s">
        <v>647</v>
      </c>
      <c r="D5" s="3220" t="s">
        <v>398</v>
      </c>
      <c r="E5" s="3220"/>
      <c r="F5" s="3220"/>
      <c r="G5" s="3220"/>
      <c r="H5" s="3220"/>
      <c r="I5" s="3220"/>
      <c r="J5" s="3220"/>
      <c r="K5" s="3220" t="s">
        <v>396</v>
      </c>
      <c r="L5" s="3220" t="s">
        <v>647</v>
      </c>
      <c r="M5" s="3220" t="s">
        <v>398</v>
      </c>
      <c r="N5" s="3220" t="s">
        <v>396</v>
      </c>
      <c r="O5" s="3220" t="s">
        <v>647</v>
      </c>
      <c r="P5" s="3220" t="s">
        <v>398</v>
      </c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</row>
    <row r="6" spans="1:88" ht="15" hidden="1" customHeight="1" x14ac:dyDescent="0.2">
      <c r="A6" s="3264" t="s">
        <v>648</v>
      </c>
      <c r="B6" s="1744">
        <f>'объемы ВС и ВО 2023'!L39</f>
        <v>5800.03</v>
      </c>
      <c r="C6" s="1614"/>
      <c r="D6" s="1614"/>
      <c r="E6" s="1614"/>
      <c r="F6" s="1614"/>
      <c r="G6" s="1614"/>
      <c r="H6" s="1614"/>
      <c r="I6" s="1614"/>
      <c r="J6" s="1614"/>
      <c r="K6" s="1745">
        <f>SUM('объемы ВС и ВО 2023'!T39)</f>
        <v>5779.357</v>
      </c>
      <c r="L6" s="1614"/>
      <c r="M6" s="1614"/>
      <c r="N6" s="1672"/>
      <c r="O6" s="1603"/>
      <c r="P6" s="1603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</row>
    <row r="7" spans="1:88" ht="15" hidden="1" customHeight="1" x14ac:dyDescent="0.2">
      <c r="A7" s="3264" t="s">
        <v>24</v>
      </c>
      <c r="B7" s="1744">
        <f>'объемы ВС и ВО 2023'!L50</f>
        <v>2800</v>
      </c>
      <c r="C7" s="1614">
        <v>70</v>
      </c>
      <c r="D7" s="1745">
        <f>B7*C7/1000</f>
        <v>196</v>
      </c>
      <c r="E7" s="1745"/>
      <c r="F7" s="1745"/>
      <c r="G7" s="1745"/>
      <c r="H7" s="1745"/>
      <c r="I7" s="1745"/>
      <c r="J7" s="1745"/>
      <c r="K7" s="1745">
        <f>SUM('объемы ВС и ВО 2023'!T50)</f>
        <v>2428.56</v>
      </c>
      <c r="L7" s="1614">
        <v>93</v>
      </c>
      <c r="M7" s="1745">
        <f>K7*L7/1000</f>
        <v>225.85607999999999</v>
      </c>
      <c r="N7" s="1672"/>
      <c r="O7" s="1603"/>
      <c r="P7" s="1672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</row>
    <row r="8" spans="1:88" ht="15" hidden="1" customHeight="1" x14ac:dyDescent="0.2">
      <c r="A8" s="3264" t="s">
        <v>254</v>
      </c>
      <c r="B8" s="1744">
        <f>'объемы ВС и ВО 2023'!L52</f>
        <v>1192</v>
      </c>
      <c r="C8" s="1614">
        <v>306</v>
      </c>
      <c r="D8" s="1745">
        <f>B8*C8/1000</f>
        <v>364.75200000000001</v>
      </c>
      <c r="E8" s="1745"/>
      <c r="F8" s="1745"/>
      <c r="G8" s="1745"/>
      <c r="H8" s="1745"/>
      <c r="I8" s="1745"/>
      <c r="J8" s="1745"/>
      <c r="K8" s="1745">
        <f>SUM('объемы ВС и ВО 2023'!T52+'объемы ВС и ВО 2023'!T51+'объемы ВС и ВО 2023'!T57)</f>
        <v>1582.077</v>
      </c>
      <c r="L8" s="1614">
        <v>341</v>
      </c>
      <c r="M8" s="1745">
        <f>K8*L8/1000</f>
        <v>539.48825699999998</v>
      </c>
      <c r="N8" s="1672"/>
      <c r="O8" s="1603"/>
      <c r="P8" s="1672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</row>
    <row r="9" spans="1:88" ht="15" hidden="1" customHeight="1" x14ac:dyDescent="0.2">
      <c r="A9" s="3264" t="s">
        <v>392</v>
      </c>
      <c r="B9" s="1744">
        <f>'объемы ВС и ВО 2023'!L42</f>
        <v>754</v>
      </c>
      <c r="C9" s="1614">
        <v>306</v>
      </c>
      <c r="D9" s="1745">
        <f>B9*C9/1000</f>
        <v>230.72399999999999</v>
      </c>
      <c r="E9" s="1745"/>
      <c r="F9" s="1745"/>
      <c r="G9" s="1745"/>
      <c r="H9" s="1745"/>
      <c r="I9" s="1745"/>
      <c r="J9" s="1745"/>
      <c r="K9" s="1745">
        <f>SUM('объемы ВС и ВО 2023'!T42)</f>
        <v>750</v>
      </c>
      <c r="L9" s="1614">
        <v>341</v>
      </c>
      <c r="M9" s="1745">
        <f>K9*L9/1000</f>
        <v>255.75</v>
      </c>
      <c r="N9" s="1672"/>
      <c r="O9" s="1603"/>
      <c r="P9" s="1672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</row>
    <row r="10" spans="1:88" ht="15" hidden="1" customHeight="1" x14ac:dyDescent="0.2">
      <c r="A10" s="3264" t="s">
        <v>393</v>
      </c>
      <c r="B10" s="1744">
        <f>'объемы ВС и ВО 2023'!L47</f>
        <v>1007.9</v>
      </c>
      <c r="C10" s="1614"/>
      <c r="D10" s="1745"/>
      <c r="E10" s="1745"/>
      <c r="F10" s="1745"/>
      <c r="G10" s="1745"/>
      <c r="H10" s="1745"/>
      <c r="I10" s="1745"/>
      <c r="J10" s="1745"/>
      <c r="K10" s="1745">
        <f>SUM('объемы ВС и ВО 2023'!T47)</f>
        <v>997.3</v>
      </c>
      <c r="L10" s="1614"/>
      <c r="M10" s="1745"/>
      <c r="N10" s="1672"/>
      <c r="O10" s="1603"/>
      <c r="P10" s="1672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</row>
    <row r="11" spans="1:88" ht="15" hidden="1" customHeight="1" x14ac:dyDescent="0.2">
      <c r="A11" s="3264" t="s">
        <v>394</v>
      </c>
      <c r="B11" s="3225">
        <f>B10*B7/(B7+B8)</f>
        <v>706.94388777555105</v>
      </c>
      <c r="C11" s="1614">
        <f>C7</f>
        <v>70</v>
      </c>
      <c r="D11" s="1745">
        <f>B11*C11/1000</f>
        <v>49.48607214428857</v>
      </c>
      <c r="E11" s="1745"/>
      <c r="F11" s="1745"/>
      <c r="G11" s="1745"/>
      <c r="H11" s="1745"/>
      <c r="I11" s="1745"/>
      <c r="J11" s="1745"/>
      <c r="K11" s="1614">
        <f>K10*K7/(K7+K8)</f>
        <v>603.89481471397187</v>
      </c>
      <c r="L11" s="1614">
        <v>93</v>
      </c>
      <c r="M11" s="1745">
        <f>K11*L11/1000</f>
        <v>56.162217768399387</v>
      </c>
      <c r="N11" s="1603"/>
      <c r="O11" s="1603"/>
      <c r="P11" s="1672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</row>
    <row r="12" spans="1:88" ht="15" hidden="1" customHeight="1" x14ac:dyDescent="0.2">
      <c r="A12" s="3264" t="s">
        <v>395</v>
      </c>
      <c r="B12" s="1744">
        <f>B10-B11</f>
        <v>300.95611222444893</v>
      </c>
      <c r="C12" s="1614">
        <v>306</v>
      </c>
      <c r="D12" s="1745">
        <f>B12*C12/1000</f>
        <v>92.092570340681377</v>
      </c>
      <c r="E12" s="1745"/>
      <c r="F12" s="1745"/>
      <c r="G12" s="1745"/>
      <c r="H12" s="1745"/>
      <c r="I12" s="1745"/>
      <c r="J12" s="1745"/>
      <c r="K12" s="1745">
        <f>K10-K11</f>
        <v>393.40518528602809</v>
      </c>
      <c r="L12" s="1614">
        <v>341</v>
      </c>
      <c r="M12" s="1745">
        <f>K12*L12/1000</f>
        <v>134.1511681825356</v>
      </c>
      <c r="N12" s="1672"/>
      <c r="O12" s="1603"/>
      <c r="P12" s="1672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</row>
    <row r="13" spans="1:88" ht="15" hidden="1" customHeight="1" x14ac:dyDescent="0.2">
      <c r="A13" s="3265" t="s">
        <v>847</v>
      </c>
      <c r="B13" s="1677"/>
      <c r="C13" s="1675"/>
      <c r="D13" s="1678">
        <f>SUM(D7:D12)</f>
        <v>933.0546424849698</v>
      </c>
      <c r="E13" s="1678"/>
      <c r="F13" s="1678"/>
      <c r="G13" s="1678"/>
      <c r="H13" s="1678"/>
      <c r="I13" s="1678"/>
      <c r="J13" s="1678"/>
      <c r="K13" s="1675"/>
      <c r="L13" s="1675"/>
      <c r="M13" s="1678">
        <f>SUM(M7:M12)</f>
        <v>1211.4077229509351</v>
      </c>
      <c r="N13" s="1607"/>
      <c r="O13" s="1607"/>
      <c r="P13" s="1608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</row>
    <row r="14" spans="1:88" ht="58.5" hidden="1" customHeight="1" x14ac:dyDescent="0.2">
      <c r="A14" s="3266" t="s">
        <v>848</v>
      </c>
      <c r="B14" s="1612"/>
      <c r="C14" s="1742"/>
      <c r="D14" s="1743"/>
      <c r="E14" s="1743"/>
      <c r="F14" s="1743"/>
      <c r="G14" s="1743"/>
      <c r="H14" s="1743"/>
      <c r="I14" s="1743"/>
      <c r="J14" s="1743"/>
      <c r="K14" s="1742"/>
      <c r="L14" s="1742"/>
      <c r="M14" s="1743">
        <v>1455.14</v>
      </c>
      <c r="N14" s="1607"/>
      <c r="O14" s="1607"/>
      <c r="P14" s="1608">
        <v>1455.14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</row>
    <row r="15" spans="1:88" ht="58.5" hidden="1" customHeight="1" x14ac:dyDescent="0.2">
      <c r="A15" s="3266" t="s">
        <v>848</v>
      </c>
      <c r="B15" s="1612"/>
      <c r="C15" s="1742"/>
      <c r="D15" s="1743"/>
      <c r="E15" s="1743"/>
      <c r="F15" s="1743"/>
      <c r="G15" s="1743"/>
      <c r="H15" s="1743"/>
      <c r="I15" s="1743"/>
      <c r="J15" s="1743"/>
      <c r="K15" s="1742"/>
      <c r="L15" s="1742"/>
      <c r="M15" s="1743">
        <v>60.06</v>
      </c>
      <c r="N15" s="1607"/>
      <c r="O15" s="1607"/>
      <c r="P15" s="1608">
        <v>60.06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</row>
    <row r="16" spans="1:88" ht="58.5" hidden="1" customHeight="1" x14ac:dyDescent="0.2">
      <c r="A16" s="3267" t="s">
        <v>849</v>
      </c>
      <c r="B16" s="1612"/>
      <c r="C16" s="1742"/>
      <c r="D16" s="1743"/>
      <c r="E16" s="1743"/>
      <c r="F16" s="1743"/>
      <c r="G16" s="1743"/>
      <c r="H16" s="1743"/>
      <c r="I16" s="1743"/>
      <c r="J16" s="1743"/>
      <c r="K16" s="1742"/>
      <c r="L16" s="1742"/>
      <c r="M16" s="1743">
        <f>SUM(M14:M15)</f>
        <v>1515.2</v>
      </c>
      <c r="N16" s="1607"/>
      <c r="O16" s="1607"/>
      <c r="P16" s="1608">
        <f>SUM(P14:P15)</f>
        <v>1515.2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</row>
    <row r="17" spans="1:52" ht="15" hidden="1" customHeight="1" x14ac:dyDescent="0.2">
      <c r="A17" s="6325" t="s">
        <v>399</v>
      </c>
      <c r="B17" s="5143"/>
      <c r="C17" s="5143"/>
      <c r="D17" s="5143"/>
      <c r="E17" s="5143"/>
      <c r="F17" s="5143"/>
      <c r="G17" s="5143"/>
      <c r="H17" s="5143"/>
      <c r="I17" s="5143"/>
      <c r="J17" s="5143"/>
      <c r="K17" s="5143"/>
      <c r="L17" s="5143"/>
      <c r="M17" s="5143"/>
      <c r="N17" s="5143"/>
      <c r="O17" s="5143"/>
      <c r="P17" s="5143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</row>
    <row r="18" spans="1:52" ht="38.25" hidden="1" customHeight="1" x14ac:dyDescent="0.2">
      <c r="A18" s="3259" t="s">
        <v>356</v>
      </c>
      <c r="B18" s="3232" t="s">
        <v>396</v>
      </c>
      <c r="C18" s="3232" t="s">
        <v>647</v>
      </c>
      <c r="D18" s="3232" t="s">
        <v>398</v>
      </c>
      <c r="E18" s="3232"/>
      <c r="F18" s="3232"/>
      <c r="G18" s="3232"/>
      <c r="H18" s="3232"/>
      <c r="I18" s="3232"/>
      <c r="J18" s="3232"/>
      <c r="K18" s="3232" t="s">
        <v>396</v>
      </c>
      <c r="L18" s="3232" t="s">
        <v>647</v>
      </c>
      <c r="M18" s="3232" t="s">
        <v>398</v>
      </c>
      <c r="N18" s="1669"/>
      <c r="O18" s="1669"/>
      <c r="P18" s="166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</row>
    <row r="19" spans="1:52" ht="15" hidden="1" customHeight="1" x14ac:dyDescent="0.2">
      <c r="A19" s="3268" t="s">
        <v>648</v>
      </c>
      <c r="B19" s="1670">
        <f>'объемы ВС и ВО 2023'!M39</f>
        <v>5561.39</v>
      </c>
      <c r="C19" s="1574"/>
      <c r="D19" s="1574"/>
      <c r="E19" s="1574"/>
      <c r="F19" s="1574"/>
      <c r="G19" s="1574"/>
      <c r="H19" s="1574"/>
      <c r="I19" s="1574"/>
      <c r="J19" s="1574"/>
      <c r="K19" s="1670">
        <f>SUM('объемы ВС и ВО 2023'!AA39)</f>
        <v>5654.317</v>
      </c>
      <c r="L19" s="1574"/>
      <c r="M19" s="1574"/>
      <c r="N19" s="1669"/>
      <c r="O19" s="1669"/>
      <c r="P19" s="166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</row>
    <row r="20" spans="1:52" ht="15" hidden="1" customHeight="1" x14ac:dyDescent="0.2">
      <c r="A20" s="3268" t="s">
        <v>24</v>
      </c>
      <c r="B20" s="1670">
        <v>2800</v>
      </c>
      <c r="C20" s="1574">
        <v>70</v>
      </c>
      <c r="D20" s="1670">
        <f>B20*C20/1000</f>
        <v>196</v>
      </c>
      <c r="E20" s="1670"/>
      <c r="F20" s="1670"/>
      <c r="G20" s="1670"/>
      <c r="H20" s="1670"/>
      <c r="I20" s="1670"/>
      <c r="J20" s="1670"/>
      <c r="K20" s="1670">
        <f>SUM('объемы ВС и ВО 2023'!AA50)</f>
        <v>2428.56</v>
      </c>
      <c r="L20" s="1574">
        <v>93</v>
      </c>
      <c r="M20" s="1670">
        <f>K20*L20/1000</f>
        <v>225.85607999999999</v>
      </c>
      <c r="N20" s="1669"/>
      <c r="O20" s="1669"/>
      <c r="P20" s="166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</row>
    <row r="21" spans="1:52" ht="15" hidden="1" customHeight="1" x14ac:dyDescent="0.2">
      <c r="A21" s="3268" t="s">
        <v>254</v>
      </c>
      <c r="B21" s="1670">
        <v>1206.27</v>
      </c>
      <c r="C21" s="1574">
        <v>258</v>
      </c>
      <c r="D21" s="1670">
        <f>B21*C21/1000</f>
        <v>311.21765999999997</v>
      </c>
      <c r="E21" s="1670"/>
      <c r="F21" s="1670"/>
      <c r="G21" s="1670"/>
      <c r="H21" s="1670"/>
      <c r="I21" s="1670"/>
      <c r="J21" s="1670"/>
      <c r="K21" s="1670">
        <f>SUM('объемы ВС и ВО 2023'!AA52+'объемы ВС и ВО 2023'!AA51+'объемы ВС и ВО 2023'!AA57)</f>
        <v>1560.6570000000002</v>
      </c>
      <c r="L21" s="1574">
        <v>341</v>
      </c>
      <c r="M21" s="1670">
        <f>K21*L21/1000</f>
        <v>532.18403699999999</v>
      </c>
      <c r="N21" s="1669"/>
      <c r="O21" s="1669"/>
      <c r="P21" s="166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</row>
    <row r="22" spans="1:52" ht="15" hidden="1" customHeight="1" x14ac:dyDescent="0.2">
      <c r="A22" s="3268" t="s">
        <v>392</v>
      </c>
      <c r="B22" s="1670">
        <f>'объемы ВС и ВО 2023'!M42</f>
        <v>557.12</v>
      </c>
      <c r="C22" s="1574">
        <v>258</v>
      </c>
      <c r="D22" s="1670">
        <f>B22*C22/1000</f>
        <v>143.73695999999998</v>
      </c>
      <c r="E22" s="1670"/>
      <c r="F22" s="1670"/>
      <c r="G22" s="1670"/>
      <c r="H22" s="1670"/>
      <c r="I22" s="1670"/>
      <c r="J22" s="1670"/>
      <c r="K22" s="1670">
        <f>SUM('объемы ВС и ВО 2023'!AA42)</f>
        <v>686.4</v>
      </c>
      <c r="L22" s="1574">
        <v>341</v>
      </c>
      <c r="M22" s="1670">
        <f>K22*L22/1000</f>
        <v>234.0624</v>
      </c>
      <c r="N22" s="1669"/>
      <c r="O22" s="1669"/>
      <c r="P22" s="166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</row>
    <row r="23" spans="1:52" ht="15" hidden="1" customHeight="1" x14ac:dyDescent="0.2">
      <c r="A23" s="3268" t="s">
        <v>393</v>
      </c>
      <c r="B23" s="1670">
        <f>'объемы ВС и ВО 2023'!M47</f>
        <v>998</v>
      </c>
      <c r="C23" s="1574"/>
      <c r="D23" s="1670"/>
      <c r="E23" s="1670"/>
      <c r="F23" s="1670"/>
      <c r="G23" s="1670"/>
      <c r="H23" s="1670"/>
      <c r="I23" s="1670"/>
      <c r="J23" s="1670"/>
      <c r="K23" s="1670">
        <f>SUM('объемы ВС и ВО 2023'!AA47)</f>
        <v>978.7</v>
      </c>
      <c r="L23" s="1574"/>
      <c r="M23" s="1670"/>
      <c r="N23" s="1669"/>
      <c r="O23" s="1669"/>
      <c r="P23" s="166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</row>
    <row r="24" spans="1:52" ht="15" hidden="1" customHeight="1" x14ac:dyDescent="0.2">
      <c r="A24" s="3268" t="s">
        <v>394</v>
      </c>
      <c r="B24" s="1574">
        <f>B23*B20/(B20+B21)</f>
        <v>697.50665831309425</v>
      </c>
      <c r="C24" s="1574">
        <f>C20</f>
        <v>70</v>
      </c>
      <c r="D24" s="1670">
        <f>B24*C24/1000</f>
        <v>48.825466081916595</v>
      </c>
      <c r="E24" s="1670"/>
      <c r="F24" s="1670"/>
      <c r="G24" s="1670"/>
      <c r="H24" s="1670"/>
      <c r="I24" s="1670"/>
      <c r="J24" s="1670"/>
      <c r="K24" s="1574">
        <f>K23*K20/(K20+K21)</f>
        <v>595.81408381644826</v>
      </c>
      <c r="L24" s="1574">
        <f>L20</f>
        <v>93</v>
      </c>
      <c r="M24" s="1670">
        <f>K24*L24/1000</f>
        <v>55.410709794929687</v>
      </c>
      <c r="N24" s="1669"/>
      <c r="O24" s="1669"/>
      <c r="P24" s="166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</row>
    <row r="25" spans="1:52" ht="15" hidden="1" customHeight="1" x14ac:dyDescent="0.2">
      <c r="A25" s="3268" t="s">
        <v>395</v>
      </c>
      <c r="B25" s="1670">
        <f>B23-B24</f>
        <v>300.49334168690575</v>
      </c>
      <c r="C25" s="1574">
        <v>258</v>
      </c>
      <c r="D25" s="1670">
        <f>B25*C25/1000</f>
        <v>77.527282155221684</v>
      </c>
      <c r="E25" s="1670"/>
      <c r="F25" s="1670"/>
      <c r="G25" s="1670"/>
      <c r="H25" s="1670"/>
      <c r="I25" s="1670"/>
      <c r="J25" s="1670"/>
      <c r="K25" s="1670">
        <f>K23-K24</f>
        <v>382.88591618355179</v>
      </c>
      <c r="L25" s="1574">
        <v>341</v>
      </c>
      <c r="M25" s="1670">
        <f>K25*L25/1000</f>
        <v>130.56409741859116</v>
      </c>
      <c r="N25" s="1669"/>
      <c r="O25" s="1669"/>
      <c r="P25" s="166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</row>
    <row r="26" spans="1:52" ht="15" hidden="1" customHeight="1" thickBot="1" x14ac:dyDescent="0.25">
      <c r="A26" s="3269" t="s">
        <v>397</v>
      </c>
      <c r="B26" s="1602"/>
      <c r="C26" s="1602"/>
      <c r="D26" s="1671">
        <f>SUM(D20:D25)</f>
        <v>777.30736823713823</v>
      </c>
      <c r="E26" s="1671"/>
      <c r="F26" s="1671"/>
      <c r="G26" s="1671"/>
      <c r="H26" s="1671"/>
      <c r="I26" s="1671"/>
      <c r="J26" s="1671"/>
      <c r="K26" s="1602"/>
      <c r="L26" s="1602"/>
      <c r="M26" s="1671">
        <f>SUM(M20:M25)</f>
        <v>1178.077324213521</v>
      </c>
      <c r="N26" s="1669"/>
      <c r="O26" s="1669"/>
      <c r="P26" s="166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</row>
    <row r="27" spans="1:52" ht="15.75" hidden="1" x14ac:dyDescent="0.25">
      <c r="A27" s="6323" t="s">
        <v>356</v>
      </c>
      <c r="B27" s="5145" t="s">
        <v>646</v>
      </c>
      <c r="C27" s="5146"/>
      <c r="D27" s="5147"/>
      <c r="E27" s="3221"/>
      <c r="F27" s="3221"/>
      <c r="G27" s="3221"/>
      <c r="H27" s="3221"/>
      <c r="I27" s="3221"/>
      <c r="J27" s="3221"/>
      <c r="K27" s="5148" t="s">
        <v>867</v>
      </c>
      <c r="L27" s="5148"/>
      <c r="M27" s="5148"/>
      <c r="N27" s="5149" t="s">
        <v>868</v>
      </c>
      <c r="O27" s="5149"/>
      <c r="P27" s="5149"/>
      <c r="Q27" s="5145" t="s">
        <v>868</v>
      </c>
      <c r="R27" s="5146"/>
      <c r="S27" s="5146"/>
      <c r="T27" s="5146"/>
      <c r="U27" s="5146"/>
      <c r="V27" s="5147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</row>
    <row r="28" spans="1:52" ht="38.25" hidden="1" x14ac:dyDescent="0.2">
      <c r="A28" s="6323"/>
      <c r="B28" s="3220" t="s">
        <v>396</v>
      </c>
      <c r="C28" s="3220" t="s">
        <v>647</v>
      </c>
      <c r="D28" s="3220" t="s">
        <v>398</v>
      </c>
      <c r="E28" s="3220"/>
      <c r="F28" s="3220"/>
      <c r="G28" s="3220"/>
      <c r="H28" s="3220"/>
      <c r="I28" s="3220"/>
      <c r="J28" s="3220"/>
      <c r="K28" s="3220" t="s">
        <v>396</v>
      </c>
      <c r="L28" s="3220" t="s">
        <v>647</v>
      </c>
      <c r="M28" s="3220" t="s">
        <v>398</v>
      </c>
      <c r="N28" s="3232" t="s">
        <v>396</v>
      </c>
      <c r="O28" s="3232" t="s">
        <v>647</v>
      </c>
      <c r="P28" s="3232" t="s">
        <v>398</v>
      </c>
      <c r="Q28" s="3220" t="s">
        <v>396</v>
      </c>
      <c r="R28" s="3220" t="s">
        <v>647</v>
      </c>
      <c r="S28" s="3220" t="s">
        <v>398</v>
      </c>
      <c r="T28" s="3220" t="s">
        <v>396</v>
      </c>
      <c r="U28" s="3220" t="s">
        <v>647</v>
      </c>
      <c r="V28" s="3220" t="s">
        <v>398</v>
      </c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</row>
    <row r="29" spans="1:52" hidden="1" x14ac:dyDescent="0.2">
      <c r="A29" s="3264" t="s">
        <v>648</v>
      </c>
      <c r="B29" s="1746">
        <f>'объемы ВС и ВО 2023'!L72</f>
        <v>0</v>
      </c>
      <c r="C29" s="1614"/>
      <c r="D29" s="1614"/>
      <c r="E29" s="1614"/>
      <c r="F29" s="1614"/>
      <c r="G29" s="1614"/>
      <c r="H29" s="1614"/>
      <c r="I29" s="1614"/>
      <c r="J29" s="1614"/>
      <c r="K29" s="1745">
        <f>K30+K31+K32+K33</f>
        <v>5570.6852214411947</v>
      </c>
      <c r="L29" s="1614"/>
      <c r="M29" s="1614"/>
      <c r="N29" s="1672">
        <f>SUM('объемы ВС и ВО 2023'!AC72)</f>
        <v>0</v>
      </c>
      <c r="O29" s="1603"/>
      <c r="P29" s="1603"/>
      <c r="Q29" s="1745">
        <f>Q30+Q31+Q32+Q33</f>
        <v>5570</v>
      </c>
      <c r="R29" s="1614"/>
      <c r="S29" s="1614"/>
      <c r="T29" s="1745">
        <f>T30+T31+T32+T33</f>
        <v>5326.2811437166174</v>
      </c>
      <c r="U29" s="1614"/>
      <c r="V29" s="1614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</row>
    <row r="30" spans="1:52" hidden="1" x14ac:dyDescent="0.2">
      <c r="A30" s="3264" t="s">
        <v>24</v>
      </c>
      <c r="B30" s="1746">
        <f>'объемы ВС и ВО 2023'!AA50</f>
        <v>2428.56</v>
      </c>
      <c r="C30" s="1614">
        <v>93</v>
      </c>
      <c r="D30" s="1745">
        <f>B30*C30/1000</f>
        <v>225.85607999999999</v>
      </c>
      <c r="E30" s="1745"/>
      <c r="F30" s="1745"/>
      <c r="G30" s="1745"/>
      <c r="H30" s="1745"/>
      <c r="I30" s="1745"/>
      <c r="J30" s="1745"/>
      <c r="K30" s="1745">
        <f>'объемы ВС и ВО 2023'!AJ50</f>
        <v>2380</v>
      </c>
      <c r="L30" s="1614">
        <f>107</f>
        <v>107</v>
      </c>
      <c r="M30" s="1745">
        <f>K30*L30/1000</f>
        <v>254.66</v>
      </c>
      <c r="N30" s="1672">
        <f>K30</f>
        <v>2380</v>
      </c>
      <c r="O30" s="1603">
        <v>122</v>
      </c>
      <c r="P30" s="1672">
        <f>N30*O30/1000</f>
        <v>290.36</v>
      </c>
      <c r="Q30" s="1745">
        <v>2360</v>
      </c>
      <c r="R30" s="1614">
        <v>122</v>
      </c>
      <c r="S30" s="1745">
        <f>Q30*R30/1000</f>
        <v>287.92</v>
      </c>
      <c r="T30" s="1745">
        <f>'объемы ВС и ВО 2023'!AR50</f>
        <v>2360</v>
      </c>
      <c r="U30" s="1614">
        <v>122</v>
      </c>
      <c r="V30" s="1745">
        <f>T30*U30/1000</f>
        <v>287.92</v>
      </c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</row>
    <row r="31" spans="1:52" hidden="1" x14ac:dyDescent="0.2">
      <c r="A31" s="3264" t="s">
        <v>254</v>
      </c>
      <c r="B31" s="1746">
        <f>'объемы ВС и ВО 2023'!AA52+'объемы ВС и ВО 2023'!AB51+'объемы ВС и ВО 2023'!AA57</f>
        <v>1582.077</v>
      </c>
      <c r="C31" s="1614">
        <v>341</v>
      </c>
      <c r="D31" s="1745">
        <f>B31*C31/1000</f>
        <v>539.48825699999998</v>
      </c>
      <c r="E31" s="1745"/>
      <c r="F31" s="1745"/>
      <c r="G31" s="1745"/>
      <c r="H31" s="1745"/>
      <c r="I31" s="1745"/>
      <c r="J31" s="1745"/>
      <c r="K31" s="1745">
        <f>'объемы ВС и ВО 2023'!AJ52+'объемы ВС и ВО 2023'!AK39+'объемы ВС и ВО 2023'!AJ57</f>
        <v>1411.3490000000002</v>
      </c>
      <c r="L31" s="1614">
        <v>392</v>
      </c>
      <c r="M31" s="1745">
        <f>K31*L31/1000</f>
        <v>553.24880800000005</v>
      </c>
      <c r="N31" s="1672">
        <f t="shared" ref="N31:N35" si="0">K31</f>
        <v>1411.3490000000002</v>
      </c>
      <c r="O31" s="1603">
        <v>452</v>
      </c>
      <c r="P31" s="1672">
        <f>N31*O31/1000</f>
        <v>637.92974800000002</v>
      </c>
      <c r="Q31" s="1745">
        <v>1360</v>
      </c>
      <c r="R31" s="1614">
        <v>452</v>
      </c>
      <c r="S31" s="1745">
        <f>Q31*R31/1000</f>
        <v>614.72</v>
      </c>
      <c r="T31" s="1745">
        <f>'объемы ВС и ВО 2023'!AS51+'объемы ВС и ВО 2023'!AR52+'объемы ВС и ВО 2023'!AR57</f>
        <v>1261.42</v>
      </c>
      <c r="U31" s="1614">
        <f>258*1.75</f>
        <v>451.5</v>
      </c>
      <c r="V31" s="1745">
        <f>T31*U31/1000</f>
        <v>569.53112999999996</v>
      </c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</row>
    <row r="32" spans="1:52" hidden="1" x14ac:dyDescent="0.2">
      <c r="A32" s="3264" t="s">
        <v>392</v>
      </c>
      <c r="B32" s="1746">
        <f>'объемы ВС и ВО 2023'!AA42</f>
        <v>686.4</v>
      </c>
      <c r="C32" s="1614">
        <v>341</v>
      </c>
      <c r="D32" s="1745">
        <f>B32*C32/1000</f>
        <v>234.0624</v>
      </c>
      <c r="E32" s="1745"/>
      <c r="F32" s="1745"/>
      <c r="G32" s="1745"/>
      <c r="H32" s="1745"/>
      <c r="I32" s="1745"/>
      <c r="J32" s="1745"/>
      <c r="K32" s="1745">
        <f>'объемы ВС и ВО 2023'!AJ42</f>
        <v>854.19674447979992</v>
      </c>
      <c r="L32" s="1614">
        <f>L31</f>
        <v>392</v>
      </c>
      <c r="M32" s="1745">
        <f>K32*L32/1000</f>
        <v>334.8451238360816</v>
      </c>
      <c r="N32" s="1672">
        <f t="shared" si="0"/>
        <v>854.19674447979992</v>
      </c>
      <c r="O32" s="1603">
        <f>O31</f>
        <v>452</v>
      </c>
      <c r="P32" s="1672">
        <f>N32*O32/1000</f>
        <v>386.0969285048696</v>
      </c>
      <c r="Q32" s="1745">
        <v>920</v>
      </c>
      <c r="R32" s="1614">
        <v>452</v>
      </c>
      <c r="S32" s="1745">
        <f>Q32*R32/1000</f>
        <v>415.84</v>
      </c>
      <c r="T32" s="1745">
        <f>'объемы ВС и ВО 2023'!AR42</f>
        <v>816.41813001798744</v>
      </c>
      <c r="U32" s="1614">
        <f>U31</f>
        <v>451.5</v>
      </c>
      <c r="V32" s="1745">
        <f>T32*U32/1000</f>
        <v>368.61278570312135</v>
      </c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</row>
    <row r="33" spans="1:52" hidden="1" x14ac:dyDescent="0.2">
      <c r="A33" s="3264" t="s">
        <v>393</v>
      </c>
      <c r="B33" s="1746">
        <f>'объемы ВС и ВО 2023'!AA47</f>
        <v>978.7</v>
      </c>
      <c r="C33" s="1614"/>
      <c r="D33" s="1745"/>
      <c r="E33" s="1745"/>
      <c r="F33" s="1745"/>
      <c r="G33" s="1745"/>
      <c r="H33" s="1745"/>
      <c r="I33" s="1745"/>
      <c r="J33" s="1745"/>
      <c r="K33" s="1745">
        <f>'объемы ВС и ВО 2023'!AJ47+'объемы ВС и ВО 2023'!AK47</f>
        <v>925.13947696139473</v>
      </c>
      <c r="L33" s="1614"/>
      <c r="M33" s="1745"/>
      <c r="N33" s="1672">
        <f t="shared" si="0"/>
        <v>925.13947696139473</v>
      </c>
      <c r="O33" s="1603"/>
      <c r="P33" s="1672"/>
      <c r="Q33" s="1745">
        <v>930</v>
      </c>
      <c r="R33" s="1614"/>
      <c r="S33" s="1745"/>
      <c r="T33" s="1745">
        <f>'объемы ВС и ВО 2023'!AR47</f>
        <v>888.44301369863024</v>
      </c>
      <c r="U33" s="1614"/>
      <c r="V33" s="1745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</row>
    <row r="34" spans="1:52" hidden="1" x14ac:dyDescent="0.2">
      <c r="A34" s="3264" t="s">
        <v>394</v>
      </c>
      <c r="B34" s="1746">
        <f>B33*B30/(B30+B31)</f>
        <v>592.63196145649692</v>
      </c>
      <c r="C34" s="1614">
        <f>C30</f>
        <v>93</v>
      </c>
      <c r="D34" s="1745">
        <f>B34*C34/1000</f>
        <v>55.114772415454219</v>
      </c>
      <c r="E34" s="1745"/>
      <c r="F34" s="1745"/>
      <c r="G34" s="1745"/>
      <c r="H34" s="1745"/>
      <c r="I34" s="1745"/>
      <c r="J34" s="1745"/>
      <c r="K34" s="1745">
        <f t="shared" ref="K34:K35" si="1">B34</f>
        <v>592.63196145649692</v>
      </c>
      <c r="L34" s="1614">
        <f>L30</f>
        <v>107</v>
      </c>
      <c r="M34" s="1745">
        <f>K34*L34/1000</f>
        <v>63.411619875845169</v>
      </c>
      <c r="N34" s="1672">
        <f t="shared" si="0"/>
        <v>592.63196145649692</v>
      </c>
      <c r="O34" s="1603">
        <f>O30</f>
        <v>122</v>
      </c>
      <c r="P34" s="1672">
        <f>N34*O34/1000</f>
        <v>72.301099297692616</v>
      </c>
      <c r="Q34" s="1746">
        <f>Q33*Q30/(Q30+Q31)</f>
        <v>590</v>
      </c>
      <c r="R34" s="1614">
        <v>122</v>
      </c>
      <c r="S34" s="1745">
        <f>Q34*R34/1000</f>
        <v>71.98</v>
      </c>
      <c r="T34" s="1746">
        <f>T33*T30/(T30+T31)</f>
        <v>578.97882938978842</v>
      </c>
      <c r="U34" s="1614">
        <f>U30</f>
        <v>122</v>
      </c>
      <c r="V34" s="1745">
        <f>T34*U34/1000</f>
        <v>70.635417185554189</v>
      </c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</row>
    <row r="35" spans="1:52" hidden="1" x14ac:dyDescent="0.2">
      <c r="A35" s="3264" t="s">
        <v>395</v>
      </c>
      <c r="B35" s="1746">
        <f>B33-B34</f>
        <v>386.06803854350312</v>
      </c>
      <c r="C35" s="1614">
        <v>341</v>
      </c>
      <c r="D35" s="1745">
        <f>B35*C35/1000</f>
        <v>131.64920114333455</v>
      </c>
      <c r="E35" s="1745"/>
      <c r="F35" s="1745"/>
      <c r="G35" s="1745"/>
      <c r="H35" s="1745"/>
      <c r="I35" s="1745"/>
      <c r="J35" s="1745"/>
      <c r="K35" s="1745">
        <f t="shared" si="1"/>
        <v>386.06803854350312</v>
      </c>
      <c r="L35" s="1614">
        <f>L32</f>
        <v>392</v>
      </c>
      <c r="M35" s="1745">
        <f>K35*L35/1000</f>
        <v>151.33867110905322</v>
      </c>
      <c r="N35" s="1672">
        <f t="shared" si="0"/>
        <v>386.06803854350312</v>
      </c>
      <c r="O35" s="1603">
        <f>O32</f>
        <v>452</v>
      </c>
      <c r="P35" s="1672">
        <f>N35*O35/1000</f>
        <v>174.50275342166341</v>
      </c>
      <c r="Q35" s="1746">
        <f>Q33-Q34</f>
        <v>340</v>
      </c>
      <c r="R35" s="1614">
        <f>R32</f>
        <v>452</v>
      </c>
      <c r="S35" s="1745">
        <f>Q35*R35/1000</f>
        <v>153.68</v>
      </c>
      <c r="T35" s="1746">
        <f>T33-T34</f>
        <v>309.46418430884182</v>
      </c>
      <c r="U35" s="1614">
        <f>U32</f>
        <v>451.5</v>
      </c>
      <c r="V35" s="1745">
        <f>T35*U35/1000</f>
        <v>139.72307921544208</v>
      </c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</row>
    <row r="36" spans="1:52" hidden="1" x14ac:dyDescent="0.2">
      <c r="A36" s="3265" t="s">
        <v>847</v>
      </c>
      <c r="B36" s="1747"/>
      <c r="C36" s="1675"/>
      <c r="D36" s="1678">
        <f>SUM(D30:D35)</f>
        <v>1186.1707105587886</v>
      </c>
      <c r="E36" s="1678"/>
      <c r="F36" s="1678"/>
      <c r="G36" s="1678"/>
      <c r="H36" s="1678"/>
      <c r="I36" s="1678"/>
      <c r="J36" s="1678"/>
      <c r="K36" s="1675"/>
      <c r="L36" s="1675"/>
      <c r="M36" s="1678">
        <f>SUM(M30:M35)</f>
        <v>1357.50422282098</v>
      </c>
      <c r="N36" s="1607"/>
      <c r="O36" s="1607"/>
      <c r="P36" s="1608">
        <f>SUM(P30:P35)</f>
        <v>1561.1905292242257</v>
      </c>
      <c r="Q36" s="1675"/>
      <c r="R36" s="1675"/>
      <c r="S36" s="1678">
        <f>SUM(S30:S35)</f>
        <v>1544.14</v>
      </c>
      <c r="T36" s="1675"/>
      <c r="U36" s="1675"/>
      <c r="V36" s="1678">
        <f>SUM(V30:V35)</f>
        <v>1436.4224121041175</v>
      </c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</row>
    <row r="37" spans="1:52" hidden="1" x14ac:dyDescent="0.2">
      <c r="A37" s="3270" t="s">
        <v>1535</v>
      </c>
      <c r="B37" s="1751"/>
      <c r="C37" s="1751"/>
      <c r="D37" s="1751"/>
      <c r="E37" s="1751"/>
      <c r="F37" s="1751"/>
      <c r="G37" s="1751"/>
      <c r="H37" s="1751"/>
      <c r="I37" s="1751"/>
      <c r="J37" s="1751"/>
      <c r="K37" s="1751"/>
      <c r="L37" s="1751"/>
      <c r="M37" s="1752"/>
      <c r="N37" s="29"/>
      <c r="O37" s="29"/>
      <c r="P37" s="3271">
        <f>P36/M36</f>
        <v>1.1500446945056073</v>
      </c>
      <c r="Q37" s="1751"/>
      <c r="R37" s="1751"/>
      <c r="S37" s="1752"/>
      <c r="T37" s="1751"/>
      <c r="U37" s="1751"/>
      <c r="V37" s="1752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</row>
    <row r="38" spans="1:52" hidden="1" x14ac:dyDescent="0.2">
      <c r="A38" s="3270" t="s">
        <v>1536</v>
      </c>
      <c r="B38" s="1751"/>
      <c r="C38" s="1751"/>
      <c r="D38" s="1751"/>
      <c r="E38" s="1751"/>
      <c r="F38" s="1751"/>
      <c r="G38" s="1751"/>
      <c r="H38" s="1751"/>
      <c r="I38" s="1751"/>
      <c r="J38" s="1751"/>
      <c r="K38" s="1751">
        <f>'объемы ВС и ВО 2023'!AK39</f>
        <v>20.349</v>
      </c>
      <c r="L38" s="1751">
        <f>L35</f>
        <v>392</v>
      </c>
      <c r="M38" s="1756">
        <f>K38*L38/1000</f>
        <v>7.9768080000000001</v>
      </c>
      <c r="N38" s="29"/>
      <c r="O38" s="29"/>
      <c r="P38" s="29"/>
      <c r="Q38" s="1751" t="e">
        <f>'объемы ВС и ВО 2023'!#REF!</f>
        <v>#REF!</v>
      </c>
      <c r="R38" s="1751">
        <f>R35</f>
        <v>452</v>
      </c>
      <c r="S38" s="1756" t="e">
        <f>Q38*R38/1000</f>
        <v>#REF!</v>
      </c>
      <c r="T38" s="1751">
        <f>'объемы ВС и ВО 2023'!AS51</f>
        <v>21.42</v>
      </c>
      <c r="U38" s="1751">
        <f>U35</f>
        <v>451.5</v>
      </c>
      <c r="V38" s="1756">
        <f>T38*U38/1000</f>
        <v>9.6711300000000016</v>
      </c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</row>
    <row r="39" spans="1:52" hidden="1" x14ac:dyDescent="0.2">
      <c r="A39" s="3270" t="s">
        <v>1537</v>
      </c>
      <c r="B39" s="1751"/>
      <c r="C39" s="1751"/>
      <c r="D39" s="1751"/>
      <c r="E39" s="1751"/>
      <c r="F39" s="1751"/>
      <c r="G39" s="1751"/>
      <c r="H39" s="1751"/>
      <c r="I39" s="1751"/>
      <c r="J39" s="1751"/>
      <c r="K39" s="1753"/>
      <c r="L39" s="1751"/>
      <c r="M39" s="1756">
        <f>M36-M38</f>
        <v>1349.5274148209801</v>
      </c>
      <c r="N39" s="29"/>
      <c r="O39" s="29"/>
      <c r="P39" s="29"/>
      <c r="Q39" s="1753"/>
      <c r="R39" s="1751"/>
      <c r="S39" s="1756" t="e">
        <f>S36-S38</f>
        <v>#REF!</v>
      </c>
      <c r="T39" s="1753"/>
      <c r="U39" s="1751"/>
      <c r="V39" s="1756">
        <f>V36-V38</f>
        <v>1426.7512821041175</v>
      </c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</row>
    <row r="40" spans="1:52" hidden="1" x14ac:dyDescent="0.2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3272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</row>
    <row r="41" spans="1:52" ht="15.75" hidden="1" x14ac:dyDescent="0.25">
      <c r="A41" s="6323" t="s">
        <v>356</v>
      </c>
      <c r="B41" s="5145" t="s">
        <v>1703</v>
      </c>
      <c r="C41" s="5146"/>
      <c r="D41" s="5147"/>
      <c r="E41" s="2467"/>
      <c r="F41" s="2467"/>
      <c r="G41" s="2467"/>
      <c r="H41" s="2467"/>
      <c r="I41" s="2467"/>
      <c r="J41" s="2467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</row>
    <row r="42" spans="1:52" ht="38.25" hidden="1" x14ac:dyDescent="0.2">
      <c r="A42" s="6323"/>
      <c r="B42" s="3220" t="s">
        <v>396</v>
      </c>
      <c r="C42" s="3220" t="s">
        <v>647</v>
      </c>
      <c r="D42" s="3220" t="s">
        <v>398</v>
      </c>
      <c r="E42" s="2468"/>
      <c r="F42" s="2468"/>
      <c r="G42" s="2468"/>
      <c r="H42" s="2468"/>
      <c r="I42" s="2468"/>
      <c r="J42" s="2468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</row>
    <row r="43" spans="1:52" hidden="1" x14ac:dyDescent="0.2">
      <c r="A43" s="3264" t="s">
        <v>648</v>
      </c>
      <c r="B43" s="1746">
        <f>'объемы ВС и ВО 2023'!Y39+'объемы ВС и ВО 2023'!Z39</f>
        <v>5629.6590286425908</v>
      </c>
      <c r="C43" s="1614"/>
      <c r="D43" s="1614"/>
      <c r="E43" s="2469"/>
      <c r="F43" s="2469"/>
      <c r="G43" s="2469"/>
      <c r="H43" s="2469"/>
      <c r="I43" s="2469"/>
      <c r="J43" s="246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</row>
    <row r="44" spans="1:52" hidden="1" x14ac:dyDescent="0.2">
      <c r="A44" s="3264" t="s">
        <v>24</v>
      </c>
      <c r="B44" s="1746">
        <f>'объемы ВС и ВО 2023'!Y50</f>
        <v>2311.15</v>
      </c>
      <c r="C44" s="1614">
        <v>93</v>
      </c>
      <c r="D44" s="1745">
        <f>B44*C44/1000</f>
        <v>214.93695000000002</v>
      </c>
      <c r="E44" s="2470"/>
      <c r="F44" s="2470"/>
      <c r="G44" s="2470"/>
      <c r="H44" s="2470"/>
      <c r="I44" s="2470"/>
      <c r="J44" s="2470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</row>
    <row r="45" spans="1:52" hidden="1" x14ac:dyDescent="0.2">
      <c r="A45" s="3264" t="s">
        <v>254</v>
      </c>
      <c r="B45" s="1746">
        <f>'объемы ВС и ВО 2023'!Z51+'объемы ВС и ВО 2023'!Y52+'объемы ВС и ВО 2023'!Y57</f>
        <v>1257.5899999999999</v>
      </c>
      <c r="C45" s="1614">
        <v>341</v>
      </c>
      <c r="D45" s="1745">
        <f>B45*C45/1000</f>
        <v>428.83818999999994</v>
      </c>
      <c r="E45" s="2470"/>
      <c r="F45" s="2470"/>
      <c r="G45" s="2470"/>
      <c r="H45" s="2470"/>
      <c r="I45" s="2470"/>
      <c r="J45" s="2470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</row>
    <row r="46" spans="1:52" hidden="1" x14ac:dyDescent="0.2">
      <c r="A46" s="3264" t="s">
        <v>392</v>
      </c>
      <c r="B46" s="1746">
        <f>'объемы ВС и ВО 2023'!Y42</f>
        <v>1185.4000000000001</v>
      </c>
      <c r="C46" s="1614">
        <v>341</v>
      </c>
      <c r="D46" s="1745">
        <f>B46*C46/1000</f>
        <v>404.22140000000002</v>
      </c>
      <c r="E46" s="2470"/>
      <c r="F46" s="2470"/>
      <c r="G46" s="2470"/>
      <c r="H46" s="2470"/>
      <c r="I46" s="2470"/>
      <c r="J46" s="2470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</row>
    <row r="47" spans="1:52" hidden="1" x14ac:dyDescent="0.2">
      <c r="A47" s="3264" t="s">
        <v>393</v>
      </c>
      <c r="B47" s="1746">
        <f>'объемы ВС и ВО 2023'!Y47</f>
        <v>875.51902864259023</v>
      </c>
      <c r="C47" s="1614"/>
      <c r="D47" s="1745"/>
      <c r="E47" s="2470"/>
      <c r="F47" s="2470"/>
      <c r="G47" s="2470"/>
      <c r="H47" s="2470"/>
      <c r="I47" s="2470"/>
      <c r="J47" s="2470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</row>
    <row r="48" spans="1:52" hidden="1" x14ac:dyDescent="0.2">
      <c r="A48" s="3264" t="s">
        <v>394</v>
      </c>
      <c r="B48" s="1746">
        <f>B47*B44/(B44+B45)</f>
        <v>566.99445828144462</v>
      </c>
      <c r="C48" s="1614">
        <f>C44</f>
        <v>93</v>
      </c>
      <c r="D48" s="1745">
        <f>B48*C48/1000</f>
        <v>52.730484620174352</v>
      </c>
      <c r="E48" s="2470"/>
      <c r="F48" s="2470"/>
      <c r="G48" s="2470"/>
      <c r="H48" s="2470"/>
      <c r="I48" s="2470"/>
      <c r="J48" s="2470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</row>
    <row r="49" spans="1:88" hidden="1" x14ac:dyDescent="0.2">
      <c r="A49" s="3264" t="s">
        <v>395</v>
      </c>
      <c r="B49" s="1746">
        <f>B47-B48</f>
        <v>308.52457036114561</v>
      </c>
      <c r="C49" s="1614">
        <v>341</v>
      </c>
      <c r="D49" s="1745">
        <f>B49*C49/1000</f>
        <v>105.20687849315065</v>
      </c>
      <c r="E49" s="2470"/>
      <c r="F49" s="2470"/>
      <c r="G49" s="2470"/>
      <c r="H49" s="2470"/>
      <c r="I49" s="2470"/>
      <c r="J49" s="2470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</row>
    <row r="50" spans="1:88" hidden="1" x14ac:dyDescent="0.2">
      <c r="A50" s="3265" t="s">
        <v>847</v>
      </c>
      <c r="B50" s="1747"/>
      <c r="C50" s="1675"/>
      <c r="D50" s="1678">
        <f>SUM(D44:D49)</f>
        <v>1205.9339031133252</v>
      </c>
      <c r="E50" s="2471"/>
      <c r="F50" s="2471"/>
      <c r="G50" s="2471"/>
      <c r="H50" s="2471"/>
      <c r="I50" s="2471"/>
      <c r="J50" s="2471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</row>
    <row r="51" spans="1:88" hidden="1" x14ac:dyDescent="0.2">
      <c r="A51" s="3270" t="s">
        <v>1535</v>
      </c>
      <c r="B51" s="1751"/>
      <c r="C51" s="1751"/>
      <c r="D51" s="1751"/>
      <c r="E51" s="2472"/>
      <c r="F51" s="2472"/>
      <c r="G51" s="2472"/>
      <c r="H51" s="2472"/>
      <c r="I51" s="2472"/>
      <c r="J51" s="2472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</row>
    <row r="52" spans="1:88" hidden="1" x14ac:dyDescent="0.2">
      <c r="A52" s="3270" t="s">
        <v>1536</v>
      </c>
      <c r="B52" s="1753">
        <f>'объемы ВС и ВО 2023'!Z39</f>
        <v>2.4</v>
      </c>
      <c r="C52" s="1751">
        <f>C49</f>
        <v>341</v>
      </c>
      <c r="D52" s="1756">
        <f>B52*C52/1000</f>
        <v>0.81840000000000002</v>
      </c>
      <c r="E52" s="2473"/>
      <c r="F52" s="2473"/>
      <c r="G52" s="2473"/>
      <c r="H52" s="2473"/>
      <c r="I52" s="2473"/>
      <c r="J52" s="2473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</row>
    <row r="53" spans="1:88" hidden="1" x14ac:dyDescent="0.2">
      <c r="A53" s="3270" t="s">
        <v>1537</v>
      </c>
      <c r="B53" s="1751"/>
      <c r="C53" s="1751"/>
      <c r="D53" s="1756">
        <f>D50-D52</f>
        <v>1205.1155031133251</v>
      </c>
      <c r="E53" s="2473"/>
      <c r="F53" s="2473"/>
      <c r="G53" s="2473"/>
      <c r="H53" s="2473"/>
      <c r="I53" s="2473"/>
      <c r="J53" s="2473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</row>
    <row r="54" spans="1:88" hidden="1" x14ac:dyDescent="0.2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</row>
    <row r="55" spans="1:88" hidden="1" x14ac:dyDescent="0.2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</row>
    <row r="56" spans="1:88" hidden="1" x14ac:dyDescent="0.2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</row>
    <row r="57" spans="1:88" x14ac:dyDescent="0.2">
      <c r="A57" s="3273"/>
      <c r="B57" s="3273"/>
      <c r="C57" s="3273"/>
      <c r="D57" s="3273"/>
      <c r="E57" s="3273"/>
      <c r="F57" s="3273"/>
      <c r="G57" s="3273"/>
      <c r="H57" s="3273"/>
      <c r="I57" s="3273"/>
      <c r="J57" s="3273"/>
      <c r="K57" s="3273"/>
      <c r="L57" s="3273"/>
      <c r="M57" s="3273"/>
      <c r="N57" s="3273"/>
      <c r="O57" s="3273"/>
      <c r="P57" s="3273"/>
      <c r="Q57" s="3273"/>
      <c r="R57" s="3273"/>
      <c r="S57" s="3273"/>
      <c r="T57" s="3273"/>
      <c r="U57" s="3273"/>
      <c r="V57" s="3273"/>
      <c r="W57" s="3273"/>
      <c r="X57" s="3273"/>
      <c r="Y57" s="3273"/>
      <c r="Z57" s="3273"/>
      <c r="AA57" s="3273"/>
      <c r="AB57" s="3273"/>
      <c r="AC57" s="3273"/>
      <c r="AD57" s="3273"/>
      <c r="AE57" s="3273"/>
      <c r="AF57" s="3273"/>
      <c r="AG57" s="3273"/>
      <c r="AH57" s="3273"/>
      <c r="AI57" s="3273"/>
      <c r="AJ57" s="3273"/>
      <c r="AK57" s="3273"/>
      <c r="AL57" s="3273"/>
      <c r="AM57" s="3273"/>
      <c r="AN57" s="3273"/>
      <c r="AO57" s="3273"/>
      <c r="AP57" s="3273"/>
      <c r="AQ57" s="3273"/>
      <c r="AR57" s="3273"/>
      <c r="AS57" s="3273"/>
      <c r="AT57" s="3273"/>
      <c r="AU57" s="3273"/>
      <c r="AV57" s="3273"/>
      <c r="AW57" s="3273"/>
      <c r="AX57" s="3273"/>
      <c r="AY57" s="3273"/>
      <c r="AZ57" s="3273"/>
    </row>
    <row r="58" spans="1:88" ht="15.75" customHeight="1" x14ac:dyDescent="0.25">
      <c r="A58" s="5144" t="s">
        <v>356</v>
      </c>
      <c r="B58" s="6313" t="s">
        <v>1985</v>
      </c>
      <c r="C58" s="6314"/>
      <c r="D58" s="6315"/>
      <c r="E58" s="6313" t="s">
        <v>3543</v>
      </c>
      <c r="F58" s="6314"/>
      <c r="G58" s="6315"/>
      <c r="H58" s="6313" t="s">
        <v>3544</v>
      </c>
      <c r="I58" s="6314"/>
      <c r="J58" s="6315"/>
      <c r="K58" s="6324" t="s">
        <v>1986</v>
      </c>
      <c r="L58" s="6324"/>
      <c r="M58" s="6324"/>
      <c r="N58" s="6324" t="s">
        <v>868</v>
      </c>
      <c r="O58" s="6324"/>
      <c r="P58" s="6324"/>
      <c r="Q58" s="6324" t="s">
        <v>1987</v>
      </c>
      <c r="R58" s="6324"/>
      <c r="S58" s="6324"/>
      <c r="T58" s="6324" t="s">
        <v>1988</v>
      </c>
      <c r="U58" s="6324"/>
      <c r="V58" s="6324"/>
      <c r="W58" s="6313" t="s">
        <v>1989</v>
      </c>
      <c r="X58" s="6314"/>
      <c r="Y58" s="6315"/>
      <c r="Z58" s="6313" t="s">
        <v>1991</v>
      </c>
      <c r="AA58" s="6314"/>
      <c r="AB58" s="6315"/>
      <c r="AC58" s="6313" t="s">
        <v>1990</v>
      </c>
      <c r="AD58" s="6314"/>
      <c r="AE58" s="6315"/>
      <c r="AF58" s="6313" t="s">
        <v>3858</v>
      </c>
      <c r="AG58" s="6314"/>
      <c r="AH58" s="6315"/>
      <c r="AI58" s="6313" t="s">
        <v>3662</v>
      </c>
      <c r="AJ58" s="6314"/>
      <c r="AK58" s="6315"/>
      <c r="AL58" s="6313" t="s">
        <v>3609</v>
      </c>
      <c r="AM58" s="6314"/>
      <c r="AN58" s="6315"/>
      <c r="AO58" s="6313" t="s">
        <v>3610</v>
      </c>
      <c r="AP58" s="6314"/>
      <c r="AQ58" s="6315"/>
      <c r="AR58" s="6313" t="s">
        <v>3608</v>
      </c>
      <c r="AS58" s="6314"/>
      <c r="AT58" s="6315"/>
      <c r="AU58" s="5148" t="s">
        <v>3846</v>
      </c>
      <c r="AV58" s="5148"/>
      <c r="AW58" s="5148"/>
      <c r="AX58" s="5605"/>
      <c r="AY58" s="5605"/>
      <c r="AZ58" s="5605"/>
      <c r="BA58" s="6313" t="s">
        <v>3864</v>
      </c>
      <c r="BB58" s="6314"/>
      <c r="BC58" s="6315"/>
      <c r="BD58" s="6313" t="s">
        <v>3865</v>
      </c>
      <c r="BE58" s="6314"/>
      <c r="BF58" s="6315"/>
      <c r="BG58" s="6313" t="s">
        <v>3866</v>
      </c>
      <c r="BH58" s="6314"/>
      <c r="BI58" s="6315"/>
      <c r="BJ58" s="5148" t="s">
        <v>3895</v>
      </c>
      <c r="BK58" s="5148"/>
      <c r="BL58" s="5148"/>
      <c r="BM58" s="5605"/>
      <c r="BN58" s="5605"/>
      <c r="BO58" s="5605"/>
      <c r="BP58" s="6313" t="s">
        <v>3926</v>
      </c>
      <c r="BQ58" s="6314"/>
      <c r="BR58" s="6315"/>
      <c r="BS58" s="6313" t="s">
        <v>3941</v>
      </c>
      <c r="BT58" s="6314"/>
      <c r="BU58" s="6315"/>
      <c r="BV58" s="6313" t="s">
        <v>3927</v>
      </c>
      <c r="BW58" s="6314"/>
      <c r="BX58" s="6315"/>
      <c r="BY58" s="5148" t="s">
        <v>4014</v>
      </c>
      <c r="BZ58" s="5148"/>
      <c r="CA58" s="5148"/>
      <c r="CB58" s="5605"/>
      <c r="CC58" s="5605"/>
      <c r="CD58" s="5605"/>
      <c r="CE58" s="6313" t="s">
        <v>4277</v>
      </c>
      <c r="CF58" s="6314"/>
      <c r="CG58" s="6315"/>
      <c r="CH58" s="6313" t="s">
        <v>4252</v>
      </c>
      <c r="CI58" s="6314"/>
      <c r="CJ58" s="6315"/>
    </row>
    <row r="59" spans="1:88" ht="15.75" customHeight="1" x14ac:dyDescent="0.25">
      <c r="A59" s="5144"/>
      <c r="B59" s="6316"/>
      <c r="C59" s="6317"/>
      <c r="D59" s="6318"/>
      <c r="E59" s="6316"/>
      <c r="F59" s="6317"/>
      <c r="G59" s="6318"/>
      <c r="H59" s="6316"/>
      <c r="I59" s="6317"/>
      <c r="J59" s="6318"/>
      <c r="K59" s="6181"/>
      <c r="L59" s="6181"/>
      <c r="M59" s="6181"/>
      <c r="N59" s="3263"/>
      <c r="O59" s="3263"/>
      <c r="P59" s="3263"/>
      <c r="Q59" s="6181"/>
      <c r="R59" s="6181"/>
      <c r="S59" s="6181"/>
      <c r="T59" s="6181"/>
      <c r="U59" s="6181"/>
      <c r="V59" s="6181"/>
      <c r="W59" s="6316"/>
      <c r="X59" s="6317"/>
      <c r="Y59" s="6318"/>
      <c r="Z59" s="6316"/>
      <c r="AA59" s="6317"/>
      <c r="AB59" s="6318"/>
      <c r="AC59" s="6316"/>
      <c r="AD59" s="6317"/>
      <c r="AE59" s="6318"/>
      <c r="AF59" s="6316"/>
      <c r="AG59" s="6317"/>
      <c r="AH59" s="6318"/>
      <c r="AI59" s="6316"/>
      <c r="AJ59" s="6317"/>
      <c r="AK59" s="6318"/>
      <c r="AL59" s="6316"/>
      <c r="AM59" s="6317"/>
      <c r="AN59" s="6318"/>
      <c r="AO59" s="6316"/>
      <c r="AP59" s="6317"/>
      <c r="AQ59" s="6318"/>
      <c r="AR59" s="6316"/>
      <c r="AS59" s="6317"/>
      <c r="AT59" s="6318"/>
      <c r="AU59" s="6320" t="s">
        <v>3668</v>
      </c>
      <c r="AV59" s="6321"/>
      <c r="AW59" s="6321"/>
      <c r="AX59" s="6320" t="s">
        <v>3658</v>
      </c>
      <c r="AY59" s="6322"/>
      <c r="AZ59" s="6322"/>
      <c r="BA59" s="6316"/>
      <c r="BB59" s="6317"/>
      <c r="BC59" s="6318"/>
      <c r="BD59" s="6316"/>
      <c r="BE59" s="6317"/>
      <c r="BF59" s="6318"/>
      <c r="BG59" s="6316"/>
      <c r="BH59" s="6317"/>
      <c r="BI59" s="6318"/>
      <c r="BJ59" s="6320" t="s">
        <v>3668</v>
      </c>
      <c r="BK59" s="6321"/>
      <c r="BL59" s="6321"/>
      <c r="BM59" s="6320" t="s">
        <v>3658</v>
      </c>
      <c r="BN59" s="6322"/>
      <c r="BO59" s="6322"/>
      <c r="BP59" s="6316"/>
      <c r="BQ59" s="6317"/>
      <c r="BR59" s="6318"/>
      <c r="BS59" s="6316"/>
      <c r="BT59" s="6317"/>
      <c r="BU59" s="6318"/>
      <c r="BV59" s="6316"/>
      <c r="BW59" s="6317"/>
      <c r="BX59" s="6318"/>
      <c r="BY59" s="6320" t="s">
        <v>3668</v>
      </c>
      <c r="BZ59" s="6321"/>
      <c r="CA59" s="6321"/>
      <c r="CB59" s="6320" t="s">
        <v>3658</v>
      </c>
      <c r="CC59" s="6322"/>
      <c r="CD59" s="6322"/>
      <c r="CE59" s="6316"/>
      <c r="CF59" s="6317"/>
      <c r="CG59" s="6318"/>
      <c r="CH59" s="6316"/>
      <c r="CI59" s="6317"/>
      <c r="CJ59" s="6318"/>
    </row>
    <row r="60" spans="1:88" ht="38.25" x14ac:dyDescent="0.2">
      <c r="A60" s="5144"/>
      <c r="B60" s="3220" t="s">
        <v>396</v>
      </c>
      <c r="C60" s="3220" t="s">
        <v>647</v>
      </c>
      <c r="D60" s="3220" t="s">
        <v>398</v>
      </c>
      <c r="E60" s="3220" t="s">
        <v>396</v>
      </c>
      <c r="F60" s="3220" t="s">
        <v>647</v>
      </c>
      <c r="G60" s="3220" t="s">
        <v>398</v>
      </c>
      <c r="H60" s="3220" t="s">
        <v>396</v>
      </c>
      <c r="I60" s="3220" t="s">
        <v>647</v>
      </c>
      <c r="J60" s="3220" t="s">
        <v>398</v>
      </c>
      <c r="K60" s="3220" t="s">
        <v>396</v>
      </c>
      <c r="L60" s="3220" t="s">
        <v>647</v>
      </c>
      <c r="M60" s="3220" t="s">
        <v>398</v>
      </c>
      <c r="N60" s="3220" t="s">
        <v>396</v>
      </c>
      <c r="O60" s="3220" t="s">
        <v>647</v>
      </c>
      <c r="P60" s="3220" t="s">
        <v>398</v>
      </c>
      <c r="Q60" s="3220" t="s">
        <v>396</v>
      </c>
      <c r="R60" s="3220" t="s">
        <v>647</v>
      </c>
      <c r="S60" s="3220" t="s">
        <v>398</v>
      </c>
      <c r="T60" s="3220" t="s">
        <v>396</v>
      </c>
      <c r="U60" s="3220" t="s">
        <v>647</v>
      </c>
      <c r="V60" s="3220" t="s">
        <v>398</v>
      </c>
      <c r="W60" s="3220" t="s">
        <v>396</v>
      </c>
      <c r="X60" s="3220" t="s">
        <v>647</v>
      </c>
      <c r="Y60" s="3220" t="s">
        <v>398</v>
      </c>
      <c r="Z60" s="3220" t="s">
        <v>396</v>
      </c>
      <c r="AA60" s="3220" t="s">
        <v>647</v>
      </c>
      <c r="AB60" s="3220" t="s">
        <v>398</v>
      </c>
      <c r="AC60" s="3220" t="s">
        <v>396</v>
      </c>
      <c r="AD60" s="3220" t="s">
        <v>647</v>
      </c>
      <c r="AE60" s="3220" t="s">
        <v>398</v>
      </c>
      <c r="AF60" s="3220" t="s">
        <v>396</v>
      </c>
      <c r="AG60" s="3220" t="s">
        <v>647</v>
      </c>
      <c r="AH60" s="3220" t="s">
        <v>398</v>
      </c>
      <c r="AI60" s="3220" t="s">
        <v>396</v>
      </c>
      <c r="AJ60" s="3220" t="s">
        <v>647</v>
      </c>
      <c r="AK60" s="3220" t="s">
        <v>398</v>
      </c>
      <c r="AL60" s="3220" t="s">
        <v>396</v>
      </c>
      <c r="AM60" s="3220" t="s">
        <v>647</v>
      </c>
      <c r="AN60" s="3220" t="s">
        <v>398</v>
      </c>
      <c r="AO60" s="3220" t="s">
        <v>396</v>
      </c>
      <c r="AP60" s="3220" t="s">
        <v>647</v>
      </c>
      <c r="AQ60" s="3220" t="s">
        <v>398</v>
      </c>
      <c r="AR60" s="3220" t="s">
        <v>396</v>
      </c>
      <c r="AS60" s="3220" t="s">
        <v>647</v>
      </c>
      <c r="AT60" s="3220" t="s">
        <v>398</v>
      </c>
      <c r="AU60" s="3220" t="s">
        <v>396</v>
      </c>
      <c r="AV60" s="3220" t="s">
        <v>647</v>
      </c>
      <c r="AW60" s="3220" t="s">
        <v>398</v>
      </c>
      <c r="AX60" s="3220" t="s">
        <v>396</v>
      </c>
      <c r="AY60" s="3220" t="s">
        <v>647</v>
      </c>
      <c r="AZ60" s="3220" t="s">
        <v>398</v>
      </c>
      <c r="BA60" s="3552" t="s">
        <v>396</v>
      </c>
      <c r="BB60" s="3552" t="s">
        <v>647</v>
      </c>
      <c r="BC60" s="3552" t="s">
        <v>398</v>
      </c>
      <c r="BD60" s="3552" t="s">
        <v>396</v>
      </c>
      <c r="BE60" s="3552" t="s">
        <v>647</v>
      </c>
      <c r="BF60" s="3552" t="s">
        <v>398</v>
      </c>
      <c r="BG60" s="3552" t="s">
        <v>396</v>
      </c>
      <c r="BH60" s="3552" t="s">
        <v>647</v>
      </c>
      <c r="BI60" s="3552" t="s">
        <v>398</v>
      </c>
      <c r="BJ60" s="3632" t="s">
        <v>396</v>
      </c>
      <c r="BK60" s="3632" t="s">
        <v>647</v>
      </c>
      <c r="BL60" s="3632" t="s">
        <v>398</v>
      </c>
      <c r="BM60" s="3632" t="s">
        <v>396</v>
      </c>
      <c r="BN60" s="3632" t="s">
        <v>647</v>
      </c>
      <c r="BO60" s="3632" t="s">
        <v>398</v>
      </c>
      <c r="BP60" s="3784" t="s">
        <v>396</v>
      </c>
      <c r="BQ60" s="3784" t="s">
        <v>647</v>
      </c>
      <c r="BR60" s="3784" t="s">
        <v>398</v>
      </c>
      <c r="BS60" s="3784" t="s">
        <v>396</v>
      </c>
      <c r="BT60" s="3784" t="s">
        <v>647</v>
      </c>
      <c r="BU60" s="3784" t="s">
        <v>398</v>
      </c>
      <c r="BV60" s="3784" t="s">
        <v>396</v>
      </c>
      <c r="BW60" s="3784" t="s">
        <v>647</v>
      </c>
      <c r="BX60" s="3784" t="s">
        <v>398</v>
      </c>
      <c r="BY60" s="3902" t="s">
        <v>396</v>
      </c>
      <c r="BZ60" s="3902" t="s">
        <v>647</v>
      </c>
      <c r="CA60" s="3902" t="s">
        <v>398</v>
      </c>
      <c r="CB60" s="3902" t="s">
        <v>396</v>
      </c>
      <c r="CC60" s="3902" t="s">
        <v>647</v>
      </c>
      <c r="CD60" s="3902" t="s">
        <v>398</v>
      </c>
      <c r="CE60" s="4719" t="s">
        <v>396</v>
      </c>
      <c r="CF60" s="4719" t="s">
        <v>647</v>
      </c>
      <c r="CG60" s="4719" t="s">
        <v>398</v>
      </c>
      <c r="CH60" s="4719" t="s">
        <v>396</v>
      </c>
      <c r="CI60" s="4719" t="s">
        <v>647</v>
      </c>
      <c r="CJ60" s="4719" t="s">
        <v>398</v>
      </c>
    </row>
    <row r="61" spans="1:88" ht="30" customHeight="1" x14ac:dyDescent="0.2">
      <c r="A61" s="1726" t="s">
        <v>648</v>
      </c>
      <c r="B61" s="2550">
        <f>B62+B63+B64+B65+B66</f>
        <v>5957.5174595267745</v>
      </c>
      <c r="C61" s="1726"/>
      <c r="D61" s="1726"/>
      <c r="E61" s="1726"/>
      <c r="F61" s="1726"/>
      <c r="G61" s="1726"/>
      <c r="H61" s="2549">
        <f>SUM(H62:H66)</f>
        <v>7137.7139999999999</v>
      </c>
      <c r="I61" s="1726"/>
      <c r="J61" s="1726"/>
      <c r="K61" s="2549">
        <f>K62+K63+K64+K66+K65</f>
        <v>6255.1516796622673</v>
      </c>
      <c r="L61" s="1726"/>
      <c r="M61" s="1726"/>
      <c r="N61" s="2549">
        <f>SUM('объемы ВС и ВО 2023'!AC104)</f>
        <v>0</v>
      </c>
      <c r="O61" s="1726"/>
      <c r="P61" s="1726"/>
      <c r="Q61" s="2549">
        <f>Q62+Q63+Q64+Q66+Q65</f>
        <v>6255.1516796622673</v>
      </c>
      <c r="R61" s="1726"/>
      <c r="S61" s="1726"/>
      <c r="T61" s="2549">
        <f>T62+T63+T64+T66+T65</f>
        <v>6255.1516796622673</v>
      </c>
      <c r="U61" s="1726"/>
      <c r="V61" s="1726"/>
      <c r="W61" s="2549">
        <f>W62+W63+W64+W66+W65</f>
        <v>6255.1516796622673</v>
      </c>
      <c r="X61" s="1726"/>
      <c r="Y61" s="1726"/>
      <c r="Z61" s="2549">
        <f>Z62+Z63+Z64+Z66+Z65</f>
        <v>6255.1516796622673</v>
      </c>
      <c r="AA61" s="1726"/>
      <c r="AB61" s="1726"/>
      <c r="AC61" s="2549">
        <f>AC62+AC63+AC64+AC66+AC65</f>
        <v>6255.1516796622673</v>
      </c>
      <c r="AD61" s="1726"/>
      <c r="AE61" s="1726"/>
      <c r="AF61" s="2549">
        <f>AF62+AF63+AF64+AF66+AF65</f>
        <v>6255.1516796622673</v>
      </c>
      <c r="AG61" s="1726"/>
      <c r="AH61" s="1726"/>
      <c r="AI61" s="1726">
        <f>SUM('объемы ВС и ВО 2023'!BD39+'объемы ВС и ВО 2023'!BE39)</f>
        <v>5935.5559999999996</v>
      </c>
      <c r="AJ61" s="1726"/>
      <c r="AK61" s="1726"/>
      <c r="AL61" s="2549">
        <f>AL62+AL63+AL64+AL66+AL65</f>
        <v>3480.9450000000002</v>
      </c>
      <c r="AM61" s="1726"/>
      <c r="AN61" s="1726"/>
      <c r="AO61" s="2549">
        <f>AO62+AO63+AO64+AO66+AO65</f>
        <v>5263.652</v>
      </c>
      <c r="AP61" s="1726"/>
      <c r="AQ61" s="1726"/>
      <c r="AR61" s="2549">
        <f>AR62+AR63+AR64+AR66+AR65</f>
        <v>6959.1130000000003</v>
      </c>
      <c r="AS61" s="1726"/>
      <c r="AT61" s="1726"/>
      <c r="AU61" s="2549">
        <f>AU62+AU63+AU64+AU66+AU65</f>
        <v>5935.5560000000005</v>
      </c>
      <c r="AV61" s="1726"/>
      <c r="AW61" s="1726"/>
      <c r="AX61" s="2549">
        <f>SUM('объемы ВС и ВО 2023'!BN39+'объемы ВС и ВО 2023'!BO39)</f>
        <v>5989.6898000000001</v>
      </c>
      <c r="AY61" s="1726"/>
      <c r="AZ61" s="1726"/>
      <c r="BA61" s="2462">
        <f>BA62+BA63+BA64+BA66+BA65</f>
        <v>3251.7140000000004</v>
      </c>
      <c r="BB61" s="2439"/>
      <c r="BC61" s="2439"/>
      <c r="BD61" s="2462">
        <f>BD62+BD63+BD64+BD66+BD65</f>
        <v>4711.6249999999991</v>
      </c>
      <c r="BE61" s="2439"/>
      <c r="BF61" s="2439"/>
      <c r="BG61" s="2549">
        <f>BG62+BG63+BG64+BG66+BG65</f>
        <v>6223.7489999999998</v>
      </c>
      <c r="BH61" s="1726"/>
      <c r="BI61" s="1726"/>
      <c r="BJ61" s="2549">
        <f>BJ62+BJ63+BJ64+BJ66+BJ65</f>
        <v>5989.6898000000001</v>
      </c>
      <c r="BK61" s="1726"/>
      <c r="BL61" s="1726"/>
      <c r="BM61" s="2549">
        <f>SUM('объемы ВС и ВО 2023'!CC39+'объемы ВС и ВО 2023'!CD39)</f>
        <v>4158.4049999999997</v>
      </c>
      <c r="BN61" s="1726"/>
      <c r="BO61" s="1726"/>
      <c r="BP61" s="2549">
        <f>BP62+BP63+BP64+BP66+BP65</f>
        <v>2917.7830000000004</v>
      </c>
      <c r="BQ61" s="1726"/>
      <c r="BR61" s="1726"/>
      <c r="BS61" s="2549">
        <f>BS62+BS63+BS64+BS66+BS65</f>
        <v>4158.4053000000004</v>
      </c>
      <c r="BT61" s="1726"/>
      <c r="BU61" s="1726"/>
      <c r="BV61" s="2549">
        <f>BV62+BV63+BV64+BV66+BV65</f>
        <v>5587.75</v>
      </c>
      <c r="BW61" s="1726"/>
      <c r="BX61" s="1726"/>
      <c r="BY61" s="2462">
        <f>BY62+BY63+BY64+BY66+BY65</f>
        <v>5983.7116999999998</v>
      </c>
      <c r="BZ61" s="2439"/>
      <c r="CA61" s="2439"/>
      <c r="CB61" s="2462">
        <f>CB62+CB63+CB64+CB66+CB65</f>
        <v>6072.6513321960574</v>
      </c>
      <c r="CC61" s="2439"/>
      <c r="CD61" s="2439"/>
      <c r="CE61" s="2549">
        <f>CE62+CE63+CE64+CE66+CE65</f>
        <v>0</v>
      </c>
      <c r="CF61" s="4733"/>
      <c r="CG61" s="4733"/>
      <c r="CH61" s="2549">
        <f>CH62+CH63+CH64+CH66+CH65</f>
        <v>0</v>
      </c>
      <c r="CI61" s="4733"/>
      <c r="CJ61" s="4733"/>
    </row>
    <row r="62" spans="1:88" ht="30" customHeight="1" x14ac:dyDescent="0.2">
      <c r="A62" s="1726" t="s">
        <v>24</v>
      </c>
      <c r="B62" s="2550">
        <f>'объемы ВС и ВО 2023'!AP50</f>
        <v>2447.77</v>
      </c>
      <c r="C62" s="1726">
        <v>107</v>
      </c>
      <c r="D62" s="2549">
        <f>B62*C62/1000</f>
        <v>261.91138999999998</v>
      </c>
      <c r="E62" s="2549">
        <v>2360</v>
      </c>
      <c r="F62" s="2549">
        <v>122</v>
      </c>
      <c r="G62" s="2549">
        <f>E62*F62/1000</f>
        <v>287.92</v>
      </c>
      <c r="H62" s="2549">
        <v>2423.98</v>
      </c>
      <c r="I62" s="2549">
        <v>122</v>
      </c>
      <c r="J62" s="2549">
        <f>H62*I62/1000</f>
        <v>295.72555999999997</v>
      </c>
      <c r="K62" s="2549">
        <f>'объемы ВС и ВО 2023'!AZ50</f>
        <v>2460.5733333333333</v>
      </c>
      <c r="L62" s="1726">
        <v>141</v>
      </c>
      <c r="M62" s="2549">
        <f>K62*L62/1000</f>
        <v>346.94083999999998</v>
      </c>
      <c r="N62" s="2549">
        <f>K62</f>
        <v>2460.5733333333333</v>
      </c>
      <c r="O62" s="1726">
        <v>122</v>
      </c>
      <c r="P62" s="2549">
        <f>N62*O62/1000</f>
        <v>300.18994666666663</v>
      </c>
      <c r="Q62" s="2549">
        <f>K62</f>
        <v>2460.5733333333333</v>
      </c>
      <c r="R62" s="1726">
        <v>162</v>
      </c>
      <c r="S62" s="2549">
        <f>Q62*R62/1000</f>
        <v>398.61288000000002</v>
      </c>
      <c r="T62" s="2549">
        <f>Q62</f>
        <v>2460.5733333333333</v>
      </c>
      <c r="U62" s="1726">
        <v>186</v>
      </c>
      <c r="V62" s="2549">
        <f>T62*U62/1000</f>
        <v>457.66664000000003</v>
      </c>
      <c r="W62" s="2549">
        <f>T62</f>
        <v>2460.5733333333333</v>
      </c>
      <c r="X62" s="1726">
        <v>214</v>
      </c>
      <c r="Y62" s="2549">
        <f>W62*X62/1000</f>
        <v>526.56269333333341</v>
      </c>
      <c r="Z62" s="2549">
        <f>W62</f>
        <v>2460.5733333333333</v>
      </c>
      <c r="AA62" s="1726">
        <v>246</v>
      </c>
      <c r="AB62" s="2549">
        <f>Z62*AA62/1000</f>
        <v>605.30104000000006</v>
      </c>
      <c r="AC62" s="2549">
        <f>Z62</f>
        <v>2460.5733333333333</v>
      </c>
      <c r="AD62" s="1726">
        <v>283</v>
      </c>
      <c r="AE62" s="2549">
        <f>AC62*AD62/1000</f>
        <v>696.34225333333325</v>
      </c>
      <c r="AF62" s="2549">
        <f>SUM(Q62)</f>
        <v>2460.5733333333333</v>
      </c>
      <c r="AG62" s="2549">
        <f>SUM(R62)</f>
        <v>162</v>
      </c>
      <c r="AH62" s="2549">
        <f>AF62*AG62/1000</f>
        <v>398.61288000000002</v>
      </c>
      <c r="AI62" s="2549">
        <f>SUM('объемы ВС и ВО 2023'!BD50)</f>
        <v>2302.7809999999999</v>
      </c>
      <c r="AJ62" s="2549">
        <f>SUM(AG62)</f>
        <v>162</v>
      </c>
      <c r="AK62" s="2549">
        <f>AI62*AJ62/1000</f>
        <v>373.050522</v>
      </c>
      <c r="AL62" s="2549">
        <f>SUM('объемы ВС и ВО 2023'!BF50)</f>
        <v>1191.5940000000001</v>
      </c>
      <c r="AM62" s="1726">
        <v>141</v>
      </c>
      <c r="AN62" s="2549">
        <f>AL62*AM62/1000</f>
        <v>168.01475400000001</v>
      </c>
      <c r="AO62" s="2549">
        <f>SUM('объемы ВС и ВО 2023'!BH50)</f>
        <v>1796.0029999999999</v>
      </c>
      <c r="AP62" s="1726">
        <v>141</v>
      </c>
      <c r="AQ62" s="2549">
        <f>AO62*AP62/1000</f>
        <v>253.23642299999997</v>
      </c>
      <c r="AR62" s="2549">
        <v>2389.7370000000001</v>
      </c>
      <c r="AS62" s="1726">
        <v>141</v>
      </c>
      <c r="AT62" s="2549">
        <f>AR62*AS62/1000</f>
        <v>336.95291700000001</v>
      </c>
      <c r="AU62" s="2549">
        <f>SUM('объемы ВС и ВО 2023'!BL50)</f>
        <v>2302.7809999999999</v>
      </c>
      <c r="AV62" s="1726">
        <v>186</v>
      </c>
      <c r="AW62" s="2549">
        <f>AU62*AV62/1000</f>
        <v>428.31726600000002</v>
      </c>
      <c r="AX62" s="2549">
        <f>SUM('объемы ВС и ВО 2023'!BN50)</f>
        <v>2374.02</v>
      </c>
      <c r="AY62" s="1726">
        <v>186</v>
      </c>
      <c r="AZ62" s="2549">
        <f>AX62*AY62/1000</f>
        <v>441.56771999999995</v>
      </c>
      <c r="BA62" s="2462">
        <f>SUM('объемы ВС и ВО 2023'!BQ50)</f>
        <v>1221.021</v>
      </c>
      <c r="BB62" s="2439">
        <v>162</v>
      </c>
      <c r="BC62" s="2462">
        <f>BA62*BB62/1000</f>
        <v>197.80540200000002</v>
      </c>
      <c r="BD62" s="2462">
        <f>SUM('объемы ВС и ВО 2023'!BS50)</f>
        <v>1813.961</v>
      </c>
      <c r="BE62" s="2439">
        <v>162</v>
      </c>
      <c r="BF62" s="2462">
        <f>BD62*BE62/1000</f>
        <v>293.86168200000003</v>
      </c>
      <c r="BG62" s="2549">
        <f>SUM('объемы ВС и ВО 2023'!BU50)</f>
        <v>2417.0459999999998</v>
      </c>
      <c r="BH62" s="1726">
        <v>162</v>
      </c>
      <c r="BI62" s="2549">
        <f>BG62*BH62/1000</f>
        <v>391.56145199999997</v>
      </c>
      <c r="BJ62" s="2549">
        <f>SUM('объемы ВС и ВО 2023'!BW50)</f>
        <v>2374.02</v>
      </c>
      <c r="BK62" s="1726">
        <v>214</v>
      </c>
      <c r="BL62" s="2549">
        <f>BJ62*BK62/1000</f>
        <v>508.04028</v>
      </c>
      <c r="BM62" s="2549">
        <f>SUM('объемы ВС и ВО 2023'!BY50)</f>
        <v>2374.02</v>
      </c>
      <c r="BN62" s="1726">
        <v>214</v>
      </c>
      <c r="BO62" s="2549">
        <f>BM62*BN62/1000</f>
        <v>508.04028</v>
      </c>
      <c r="BP62" s="2549">
        <f>SUM('объемы ВС и ВО 2023'!CA50)</f>
        <v>1242.634</v>
      </c>
      <c r="BQ62" s="1726">
        <v>186</v>
      </c>
      <c r="BR62" s="2549">
        <f>BP62*BQ62/1000</f>
        <v>231.12992399999999</v>
      </c>
      <c r="BS62" s="2549">
        <f>SUM('объемы ВС и ВО 2023'!CC50)</f>
        <v>1829.7835</v>
      </c>
      <c r="BT62" s="1726">
        <v>186</v>
      </c>
      <c r="BU62" s="2549">
        <f>BS62*BT62/1000</f>
        <v>340.33973100000003</v>
      </c>
      <c r="BV62" s="2549">
        <f>SUM('объемы ВС и ВО 2023'!CE50)</f>
        <v>2443.2674999999999</v>
      </c>
      <c r="BW62" s="1726">
        <v>186</v>
      </c>
      <c r="BX62" s="2549">
        <f>BV62*BW62/1000</f>
        <v>454.44775500000003</v>
      </c>
      <c r="BY62" s="2462">
        <f>SUM('объемы ВС и ВО 2023'!CG50)</f>
        <v>2374.02</v>
      </c>
      <c r="BZ62" s="2439">
        <v>246</v>
      </c>
      <c r="CA62" s="2462">
        <f>BY62*BZ62/1000</f>
        <v>584.00891999999999</v>
      </c>
      <c r="CB62" s="2462">
        <f>SUM('объемы ВС и ВО 2023'!CI50)</f>
        <v>2413.1433086400002</v>
      </c>
      <c r="CC62" s="2439">
        <v>246</v>
      </c>
      <c r="CD62" s="2462">
        <f>CB62*CC62/1000</f>
        <v>593.63325392544004</v>
      </c>
      <c r="CE62" s="2549">
        <f>SUM('объемы ВС и ВО 2023'!CN50)</f>
        <v>0</v>
      </c>
      <c r="CF62" s="4733">
        <v>186</v>
      </c>
      <c r="CG62" s="2549">
        <f>CE62*CF62/1000</f>
        <v>0</v>
      </c>
      <c r="CH62" s="2549">
        <f>SUM('объемы ВС и ВО 2023'!CQ50)</f>
        <v>0</v>
      </c>
      <c r="CI62" s="4733">
        <v>186</v>
      </c>
      <c r="CJ62" s="2549">
        <f>CH62*CI62/1000</f>
        <v>0</v>
      </c>
    </row>
    <row r="63" spans="1:88" ht="30" customHeight="1" x14ac:dyDescent="0.2">
      <c r="A63" s="1726" t="s">
        <v>254</v>
      </c>
      <c r="B63" s="2550">
        <f>'объемы ВС и ВО 2023'!AP52+'объемы ВС и ВО 2023'!AP57</f>
        <v>1208.03</v>
      </c>
      <c r="C63" s="2555">
        <f>258*1.52</f>
        <v>392.16</v>
      </c>
      <c r="D63" s="2549">
        <f>B63*C63/1000</f>
        <v>473.74104480000005</v>
      </c>
      <c r="E63" s="2549">
        <v>1240</v>
      </c>
      <c r="F63" s="2549">
        <v>452</v>
      </c>
      <c r="G63" s="2549">
        <f>E63*F63/1000</f>
        <v>560.48</v>
      </c>
      <c r="H63" s="2549">
        <v>1234.55</v>
      </c>
      <c r="I63" s="2549">
        <v>452</v>
      </c>
      <c r="J63" s="2549">
        <f>H63*I63/1000</f>
        <v>558.01659999999993</v>
      </c>
      <c r="K63" s="2549">
        <f>'объемы ВС и ВО 2023'!AZ52+'объемы ВС и ВО 2023'!AZ57</f>
        <v>1200.05159</v>
      </c>
      <c r="L63" s="2555">
        <f>258*2.01</f>
        <v>518.57999999999993</v>
      </c>
      <c r="M63" s="2549">
        <f>K63*L63/1000</f>
        <v>622.32275354219996</v>
      </c>
      <c r="N63" s="2549">
        <f t="shared" ref="N63:N68" si="2">K63</f>
        <v>1200.05159</v>
      </c>
      <c r="O63" s="1726">
        <v>452</v>
      </c>
      <c r="P63" s="2549">
        <f>N63*O63/1000</f>
        <v>542.42331868000008</v>
      </c>
      <c r="Q63" s="2549">
        <f>K63</f>
        <v>1200.05159</v>
      </c>
      <c r="R63" s="1726">
        <f>258*2.31</f>
        <v>595.98</v>
      </c>
      <c r="S63" s="2549">
        <f>Q63*R63/1000</f>
        <v>715.20674660819998</v>
      </c>
      <c r="T63" s="2549">
        <f t="shared" ref="T63:T65" si="3">Q63</f>
        <v>1200.05159</v>
      </c>
      <c r="U63" s="1726">
        <f>258*2.66</f>
        <v>686.28000000000009</v>
      </c>
      <c r="V63" s="2549">
        <f>T63*U63/1000</f>
        <v>823.57140518520021</v>
      </c>
      <c r="W63" s="2549">
        <f t="shared" ref="W63:W66" si="4">T63</f>
        <v>1200.05159</v>
      </c>
      <c r="X63" s="1726">
        <f>258*3.06</f>
        <v>789.48</v>
      </c>
      <c r="Y63" s="2549">
        <f>W63*X63/1000</f>
        <v>947.41672927320008</v>
      </c>
      <c r="Z63" s="2549">
        <f t="shared" ref="Z63:Z66" si="5">W63</f>
        <v>1200.05159</v>
      </c>
      <c r="AA63" s="1726">
        <f>258*3.52</f>
        <v>908.16</v>
      </c>
      <c r="AB63" s="2549">
        <f>Z63*AA63/1000</f>
        <v>1089.8388519744001</v>
      </c>
      <c r="AC63" s="2549">
        <f t="shared" ref="AC63:AC66" si="6">Z63</f>
        <v>1200.05159</v>
      </c>
      <c r="AD63" s="1726">
        <f>258*4.05</f>
        <v>1044.8999999999999</v>
      </c>
      <c r="AE63" s="2549">
        <f>AC63*AD63/1000</f>
        <v>1253.9339063909999</v>
      </c>
      <c r="AF63" s="2549">
        <f t="shared" ref="AF63:AG68" si="7">SUM(Q63)</f>
        <v>1200.05159</v>
      </c>
      <c r="AG63" s="2549">
        <f t="shared" si="7"/>
        <v>595.98</v>
      </c>
      <c r="AH63" s="2549">
        <f>AF63*AG63/1000</f>
        <v>715.20674660819998</v>
      </c>
      <c r="AI63" s="2549">
        <f>SUM('объемы ВС и ВО 2023'!BD52-'объемы ВС и ВО 2023'!BD53+'объемы ВС и ВО 2023'!BD57)</f>
        <v>869.37499999999989</v>
      </c>
      <c r="AJ63" s="2549">
        <f>SUM(AG63)</f>
        <v>595.98</v>
      </c>
      <c r="AK63" s="2549">
        <f>AI63*AJ63/1000</f>
        <v>518.13011249999988</v>
      </c>
      <c r="AL63" s="2549">
        <f>SUM('объемы ВС и ВО 2023'!BF52+'объемы ВС и ВО 2023'!BF57)</f>
        <v>559.33699999999999</v>
      </c>
      <c r="AM63" s="2555">
        <v>519</v>
      </c>
      <c r="AN63" s="2549">
        <f>AL63*AM63/1000</f>
        <v>290.29590300000001</v>
      </c>
      <c r="AO63" s="2549">
        <f>SUM('объемы ВС и ВО 2023'!BH52+'объемы ВС и ВО 2023'!BH57)</f>
        <v>842.42499999999995</v>
      </c>
      <c r="AP63" s="2555">
        <f>258*2.01</f>
        <v>518.57999999999993</v>
      </c>
      <c r="AQ63" s="2549">
        <f>AO63*AP63/1000</f>
        <v>436.86475649999988</v>
      </c>
      <c r="AR63" s="2549">
        <v>1138.136</v>
      </c>
      <c r="AS63" s="2555">
        <f>258*2.01</f>
        <v>518.57999999999993</v>
      </c>
      <c r="AT63" s="2549">
        <f>AR63*AS63/1000</f>
        <v>590.21456687999989</v>
      </c>
      <c r="AU63" s="2549">
        <f>SUM('объемы ВС и ВО 2023'!BL52+'объемы ВС и ВО 2023'!BL57)</f>
        <v>1170.1790000000001</v>
      </c>
      <c r="AV63" s="2555">
        <v>686</v>
      </c>
      <c r="AW63" s="2549">
        <f>AU63*AV63/1000</f>
        <v>802.74279400000012</v>
      </c>
      <c r="AX63" s="2549">
        <f>SUM('объемы ВС и ВО 2023'!BN52+'объемы ВС и ВО 2023'!BN57)</f>
        <v>1130.6500000000001</v>
      </c>
      <c r="AY63" s="2555">
        <v>686.28</v>
      </c>
      <c r="AZ63" s="2549">
        <f>AX63*AY63/1000</f>
        <v>775.94248200000004</v>
      </c>
      <c r="BA63" s="2462">
        <f>SUM('объемы ВС и ВО 2023'!BQ52+'объемы ВС и ВО 2023'!BQ57)</f>
        <v>547.36099999999999</v>
      </c>
      <c r="BB63" s="3260">
        <v>596</v>
      </c>
      <c r="BC63" s="2462">
        <f>BA63*BB63/1000</f>
        <v>326.22715600000004</v>
      </c>
      <c r="BD63" s="2462">
        <f>SUM('объемы ВС и ВО 2023'!BS52+'объемы ВС и ВО 2023'!BS57)</f>
        <v>818.36</v>
      </c>
      <c r="BE63" s="3260">
        <v>596</v>
      </c>
      <c r="BF63" s="2462">
        <f>BD63*BE63/1000</f>
        <v>487.74256000000003</v>
      </c>
      <c r="BG63" s="2549">
        <f>SUM('объемы ВС и ВО 2023'!BU52+'объемы ВС и ВО 2023'!BU57)</f>
        <v>1117.3910000000001</v>
      </c>
      <c r="BH63" s="2555">
        <v>596</v>
      </c>
      <c r="BI63" s="2549">
        <f>BG63*BH63/1000</f>
        <v>665.96503600000005</v>
      </c>
      <c r="BJ63" s="2549">
        <f>SUM('объемы ВС и ВО 2023'!BW52+'объемы ВС и ВО 2023'!BW57)</f>
        <v>1130.6500000000001</v>
      </c>
      <c r="BK63" s="2555">
        <v>789</v>
      </c>
      <c r="BL63" s="2549">
        <f>BJ63*BK63/1000</f>
        <v>892.08285000000012</v>
      </c>
      <c r="BM63" s="2549">
        <f>SUM('объемы ВС и ВО 2023'!BY52+'объемы ВС и ВО 2023'!BY57)</f>
        <v>1127.2739999999999</v>
      </c>
      <c r="BN63" s="2555">
        <v>789.48</v>
      </c>
      <c r="BO63" s="2549">
        <f>BM63*BN63/1000</f>
        <v>889.96027751999986</v>
      </c>
      <c r="BP63" s="2549">
        <f>SUM('объемы ВС и ВО 2023'!CA52+'объемы ВС и ВО 2023'!CA57)</f>
        <v>567.36500000000001</v>
      </c>
      <c r="BQ63" s="2555">
        <v>686</v>
      </c>
      <c r="BR63" s="2549">
        <f>BP63*BQ63/1000</f>
        <v>389.21239000000003</v>
      </c>
      <c r="BS63" s="2549">
        <f>SUM('объемы ВС и ВО 2023'!CC52+'объемы ВС и ВО 2023'!CC57)</f>
        <v>832.36180000000002</v>
      </c>
      <c r="BT63" s="2555">
        <v>686</v>
      </c>
      <c r="BU63" s="2549">
        <f>BS63*BT63/1000</f>
        <v>571.00019480000003</v>
      </c>
      <c r="BV63" s="2549">
        <f>SUM('объемы ВС и ВО 2023'!CE52+'объемы ВС и ВО 2023'!CE57)</f>
        <v>1119.1485</v>
      </c>
      <c r="BW63" s="2555">
        <v>686</v>
      </c>
      <c r="BX63" s="2549">
        <f>BV63*BW63/1000</f>
        <v>767.73587100000009</v>
      </c>
      <c r="BY63" s="2462">
        <f>SUM('объемы ВС и ВО 2023'!CG52+'объемы ВС и ВО 2023'!CG57)</f>
        <v>1127.2739999999999</v>
      </c>
      <c r="BZ63" s="3260">
        <v>908</v>
      </c>
      <c r="CA63" s="2462">
        <f>BY63*BZ63/1000</f>
        <v>1023.5647919999999</v>
      </c>
      <c r="CB63" s="2462">
        <f>SUM('объемы ВС и ВО 2023'!CI52+'объемы ВС и ВО 2023'!CI57)</f>
        <v>1140.9497639451479</v>
      </c>
      <c r="CC63" s="3260">
        <v>908.16</v>
      </c>
      <c r="CD63" s="2462">
        <f>CB63*CC63/1000</f>
        <v>1036.1649376244254</v>
      </c>
      <c r="CE63" s="2549">
        <f>SUM('объемы ВС и ВО 2023'!CN52+'объемы ВС и ВО 2023'!CN57)</f>
        <v>0</v>
      </c>
      <c r="CF63" s="2555">
        <v>686</v>
      </c>
      <c r="CG63" s="2549">
        <f>CE63*CF63/1000</f>
        <v>0</v>
      </c>
      <c r="CH63" s="2549">
        <f>SUM('объемы ВС и ВО 2023'!CQ52+'объемы ВС и ВО 2023'!CQ57)</f>
        <v>0</v>
      </c>
      <c r="CI63" s="2555">
        <v>686</v>
      </c>
      <c r="CJ63" s="2549">
        <f>CH63*CI63/1000</f>
        <v>0</v>
      </c>
    </row>
    <row r="64" spans="1:88" ht="30" customHeight="1" x14ac:dyDescent="0.2">
      <c r="A64" s="1726" t="s">
        <v>392</v>
      </c>
      <c r="B64" s="2550">
        <f>'объемы ВС и ВО 2023'!AP42</f>
        <v>1403.07</v>
      </c>
      <c r="C64" s="2555">
        <f>258*1.52</f>
        <v>392.16</v>
      </c>
      <c r="D64" s="2549">
        <f>B64*C64/1000</f>
        <v>550.22793119999994</v>
      </c>
      <c r="E64" s="2549">
        <v>816.42</v>
      </c>
      <c r="F64" s="2549">
        <v>452</v>
      </c>
      <c r="G64" s="2549">
        <f>E64*F64/1000</f>
        <v>369.02183999999994</v>
      </c>
      <c r="H64" s="2549">
        <v>1314.2739999999999</v>
      </c>
      <c r="I64" s="2549">
        <v>452</v>
      </c>
      <c r="J64" s="2549">
        <f>H64*I64/1000</f>
        <v>594.05184799999995</v>
      </c>
      <c r="K64" s="2549">
        <f>'объемы ВС и ВО 2023'!AZ42</f>
        <v>1194.2973333333332</v>
      </c>
      <c r="L64" s="2555">
        <f>L63</f>
        <v>518.57999999999993</v>
      </c>
      <c r="M64" s="2549">
        <f>K64*L64/1000</f>
        <v>619.33871111999986</v>
      </c>
      <c r="N64" s="2549">
        <f t="shared" si="2"/>
        <v>1194.2973333333332</v>
      </c>
      <c r="O64" s="1726">
        <f>O63</f>
        <v>452</v>
      </c>
      <c r="P64" s="2549">
        <f>N64*O64/1000</f>
        <v>539.82239466666658</v>
      </c>
      <c r="Q64" s="2549">
        <f>K64</f>
        <v>1194.2973333333332</v>
      </c>
      <c r="R64" s="1726">
        <f t="shared" ref="R64:R65" si="8">258*2.31</f>
        <v>595.98</v>
      </c>
      <c r="S64" s="2549">
        <f>Q64*R64/1000</f>
        <v>711.77732471999991</v>
      </c>
      <c r="T64" s="2549">
        <f t="shared" si="3"/>
        <v>1194.2973333333332</v>
      </c>
      <c r="U64" s="1726">
        <f>U63</f>
        <v>686.28000000000009</v>
      </c>
      <c r="V64" s="2549">
        <f>T64*U64/1000</f>
        <v>819.62237392000009</v>
      </c>
      <c r="W64" s="2549">
        <f t="shared" si="4"/>
        <v>1194.2973333333332</v>
      </c>
      <c r="X64" s="1726">
        <f>X63</f>
        <v>789.48</v>
      </c>
      <c r="Y64" s="2549">
        <f>W64*X64/1000</f>
        <v>942.87385871999993</v>
      </c>
      <c r="Z64" s="2549">
        <f t="shared" si="5"/>
        <v>1194.2973333333332</v>
      </c>
      <c r="AA64" s="1726">
        <f>AA63</f>
        <v>908.16</v>
      </c>
      <c r="AB64" s="2549">
        <f>Z64*AA64/1000</f>
        <v>1084.6130662399999</v>
      </c>
      <c r="AC64" s="2549">
        <f t="shared" si="6"/>
        <v>1194.2973333333332</v>
      </c>
      <c r="AD64" s="1726">
        <f t="shared" ref="AD64:AD65" si="9">258*4.05</f>
        <v>1044.8999999999999</v>
      </c>
      <c r="AE64" s="2549">
        <f>AC64*AD64/1000</f>
        <v>1247.9212835999997</v>
      </c>
      <c r="AF64" s="2549">
        <f t="shared" si="7"/>
        <v>1194.2973333333332</v>
      </c>
      <c r="AG64" s="2549">
        <f t="shared" si="7"/>
        <v>595.98</v>
      </c>
      <c r="AH64" s="2549">
        <f>AF64*AG64/1000</f>
        <v>711.77732471999991</v>
      </c>
      <c r="AI64" s="2549">
        <f>SUM('объемы ВС и ВО 2023'!BD42)</f>
        <v>1133.3530000000001</v>
      </c>
      <c r="AJ64" s="2549">
        <f t="shared" ref="AJ64:AJ68" si="10">SUM(AG64)</f>
        <v>595.98</v>
      </c>
      <c r="AK64" s="2549">
        <f>AI64*AJ64/1000</f>
        <v>675.45572093999999</v>
      </c>
      <c r="AL64" s="2549">
        <f>SUM('объемы ВС и ВО 2023'!BF42)</f>
        <v>494.08300000000003</v>
      </c>
      <c r="AM64" s="2555">
        <v>519</v>
      </c>
      <c r="AN64" s="2549">
        <f>AL64*AM64/1000</f>
        <v>256.42907700000001</v>
      </c>
      <c r="AO64" s="2549">
        <f>'объемы ВС и ВО 2023'!BH42</f>
        <v>989.60299999999995</v>
      </c>
      <c r="AP64" s="2555">
        <f>AP63</f>
        <v>518.57999999999993</v>
      </c>
      <c r="AQ64" s="2549">
        <f>AO64*AP64/1000</f>
        <v>513.18832373999987</v>
      </c>
      <c r="AR64" s="2549">
        <v>1446.14</v>
      </c>
      <c r="AS64" s="2555">
        <f>AS63</f>
        <v>518.57999999999993</v>
      </c>
      <c r="AT64" s="2549">
        <f>AR64*AS64/1000</f>
        <v>749.93928119999998</v>
      </c>
      <c r="AU64" s="2549">
        <f>SUM('объемы ВС и ВО 2023'!BL42)</f>
        <v>1133.3530000000001</v>
      </c>
      <c r="AV64" s="2555">
        <f>AV63</f>
        <v>686</v>
      </c>
      <c r="AW64" s="2549">
        <f>AU64*AV64/1000</f>
        <v>777.48015800000007</v>
      </c>
      <c r="AX64" s="2549">
        <f>SUM('объемы ВС и ВО 2023'!BN42)</f>
        <v>1143.693</v>
      </c>
      <c r="AY64" s="2555">
        <f>AY63</f>
        <v>686.28</v>
      </c>
      <c r="AZ64" s="2549">
        <f>AX64*AY64/1000</f>
        <v>784.89363203999994</v>
      </c>
      <c r="BA64" s="2462">
        <f>SUM('объемы ВС и ВО 2023'!BQ42)</f>
        <v>780.14200000000005</v>
      </c>
      <c r="BB64" s="3260">
        <v>596</v>
      </c>
      <c r="BC64" s="2462">
        <f>BA64*BB64/1000</f>
        <v>464.96463200000005</v>
      </c>
      <c r="BD64" s="2462">
        <f>'объемы ВС и ВО 2023'!BS42</f>
        <v>987.29700000000003</v>
      </c>
      <c r="BE64" s="3260">
        <v>596</v>
      </c>
      <c r="BF64" s="2462">
        <f>BD64*BE64/1000</f>
        <v>588.42901199999994</v>
      </c>
      <c r="BG64" s="2549">
        <f>SUM('объемы ВС и ВО 2023'!BU42)</f>
        <v>1293.8399999999999</v>
      </c>
      <c r="BH64" s="2555">
        <v>596</v>
      </c>
      <c r="BI64" s="2549">
        <f>BG64*BH64/1000</f>
        <v>771.1286399999999</v>
      </c>
      <c r="BJ64" s="2549">
        <f>SUM('объемы ВС и ВО 2023'!BW42)</f>
        <v>1143.693</v>
      </c>
      <c r="BK64" s="2555">
        <f>BK63</f>
        <v>789</v>
      </c>
      <c r="BL64" s="2549">
        <f>BJ64*BK64/1000</f>
        <v>902.37377700000002</v>
      </c>
      <c r="BM64" s="2549">
        <f>SUM('объемы ВС и ВО 2023'!BY42)</f>
        <v>1142.5509999999999</v>
      </c>
      <c r="BN64" s="2555">
        <v>789.48</v>
      </c>
      <c r="BO64" s="2549">
        <f>BM64*BN64/1000</f>
        <v>902.02116348000004</v>
      </c>
      <c r="BP64" s="2549">
        <f>SUM('объемы ВС и ВО 2023'!CA42)</f>
        <v>336.68700000000001</v>
      </c>
      <c r="BQ64" s="2555">
        <v>686</v>
      </c>
      <c r="BR64" s="2549">
        <f>BP64*BQ64/1000</f>
        <v>230.96728200000001</v>
      </c>
      <c r="BS64" s="2549">
        <f>SUM('объемы ВС и ВО 2023'!CC42)</f>
        <v>438.291</v>
      </c>
      <c r="BT64" s="2555">
        <v>686</v>
      </c>
      <c r="BU64" s="2549">
        <f>BS64*BT64/1000</f>
        <v>300.66762599999998</v>
      </c>
      <c r="BV64" s="2549">
        <f>SUM('объемы ВС и ВО 2023'!CE42)</f>
        <v>723.86500000000001</v>
      </c>
      <c r="BW64" s="2555">
        <v>686</v>
      </c>
      <c r="BX64" s="2549">
        <f>BV64*BW64/1000</f>
        <v>496.57139000000001</v>
      </c>
      <c r="BY64" s="2462">
        <f>SUM('объемы ВС и ВО 2023'!CG42)</f>
        <v>1142.5509999999999</v>
      </c>
      <c r="BZ64" s="3260">
        <f>BZ63</f>
        <v>908</v>
      </c>
      <c r="CA64" s="2462">
        <f>BY64*BZ64/1000</f>
        <v>1037.4363080000001</v>
      </c>
      <c r="CB64" s="2462">
        <f>SUM('объемы ВС и ВО 2023'!CI42)</f>
        <v>1159.6183634494</v>
      </c>
      <c r="CC64" s="3260">
        <f>CC63</f>
        <v>908.16</v>
      </c>
      <c r="CD64" s="2462">
        <f>CB64*CC64/1000</f>
        <v>1053.1190129502072</v>
      </c>
      <c r="CE64" s="2549">
        <f>SUM('объемы ВС и ВО 2023'!CN42)</f>
        <v>0</v>
      </c>
      <c r="CF64" s="2555">
        <v>686</v>
      </c>
      <c r="CG64" s="2549">
        <f>CE64*CF64/1000</f>
        <v>0</v>
      </c>
      <c r="CH64" s="2549">
        <f>SUM('объемы ВС и ВО 2023'!CQ42)</f>
        <v>0</v>
      </c>
      <c r="CI64" s="2555">
        <v>686</v>
      </c>
      <c r="CJ64" s="2549">
        <f>CH64*CI64/1000</f>
        <v>0</v>
      </c>
    </row>
    <row r="65" spans="1:88" ht="30" customHeight="1" x14ac:dyDescent="0.2">
      <c r="A65" s="1726" t="s">
        <v>25</v>
      </c>
      <c r="B65" s="2550">
        <f>'объемы ВС и ВО 2023'!AQ51</f>
        <v>1.77</v>
      </c>
      <c r="C65" s="2555">
        <f>C64</f>
        <v>392.16</v>
      </c>
      <c r="D65" s="2549">
        <f>B65*C65/1000</f>
        <v>0.69412320000000005</v>
      </c>
      <c r="E65" s="2549">
        <v>21.42</v>
      </c>
      <c r="F65" s="2549">
        <v>452</v>
      </c>
      <c r="G65" s="2549">
        <f>E65*F65/1000</f>
        <v>9.6818399999999993</v>
      </c>
      <c r="H65" s="2549">
        <v>1.33</v>
      </c>
      <c r="I65" s="2549">
        <v>452</v>
      </c>
      <c r="J65" s="2549">
        <f>H65*I65/1000</f>
        <v>0.60116000000000003</v>
      </c>
      <c r="K65" s="2549">
        <f>'объемы ВС и ВО 2023'!BA49</f>
        <v>1.77</v>
      </c>
      <c r="L65" s="2555">
        <f>L64</f>
        <v>518.57999999999993</v>
      </c>
      <c r="M65" s="2549">
        <f>K65*L65/1000</f>
        <v>0.91788659999999989</v>
      </c>
      <c r="N65" s="2549"/>
      <c r="O65" s="1726"/>
      <c r="P65" s="2549"/>
      <c r="Q65" s="2549">
        <f>K65</f>
        <v>1.77</v>
      </c>
      <c r="R65" s="1726">
        <f t="shared" si="8"/>
        <v>595.98</v>
      </c>
      <c r="S65" s="2549">
        <f>Q65*R65/1000</f>
        <v>1.0548846000000001</v>
      </c>
      <c r="T65" s="2549">
        <f t="shared" si="3"/>
        <v>1.77</v>
      </c>
      <c r="U65" s="1726">
        <f>U64</f>
        <v>686.28000000000009</v>
      </c>
      <c r="V65" s="2549">
        <f>T65*U65/1000</f>
        <v>1.2147156000000001</v>
      </c>
      <c r="W65" s="2549">
        <f t="shared" si="4"/>
        <v>1.77</v>
      </c>
      <c r="X65" s="1726">
        <f>X64</f>
        <v>789.48</v>
      </c>
      <c r="Y65" s="2549">
        <f>W65*X65/1000</f>
        <v>1.3973796000000001</v>
      </c>
      <c r="Z65" s="2549">
        <f t="shared" si="5"/>
        <v>1.77</v>
      </c>
      <c r="AA65" s="1726">
        <f>AA64</f>
        <v>908.16</v>
      </c>
      <c r="AB65" s="2549">
        <f>Z65*AA65/1000</f>
        <v>1.6074431999999998</v>
      </c>
      <c r="AC65" s="2549">
        <f t="shared" si="6"/>
        <v>1.77</v>
      </c>
      <c r="AD65" s="1726">
        <f t="shared" si="9"/>
        <v>1044.8999999999999</v>
      </c>
      <c r="AE65" s="2549">
        <f>AC65*AD65/1000</f>
        <v>1.8494729999999997</v>
      </c>
      <c r="AF65" s="2549">
        <f t="shared" si="7"/>
        <v>1.77</v>
      </c>
      <c r="AG65" s="2549">
        <f t="shared" si="7"/>
        <v>595.98</v>
      </c>
      <c r="AH65" s="2549">
        <f>AF65*AG65/1000</f>
        <v>1.0548846000000001</v>
      </c>
      <c r="AI65" s="2549">
        <f>SUM('объемы ВС и ВО 2023'!BE39)</f>
        <v>1.77</v>
      </c>
      <c r="AJ65" s="2549">
        <f t="shared" si="10"/>
        <v>595.98</v>
      </c>
      <c r="AK65" s="2549">
        <f>AI65*AJ65/1000</f>
        <v>1.0548846000000001</v>
      </c>
      <c r="AL65" s="2549">
        <f>SUM('объемы ВС и ВО 2023'!BG49)</f>
        <v>0.55800000000000005</v>
      </c>
      <c r="AM65" s="2555">
        <f>AM64</f>
        <v>519</v>
      </c>
      <c r="AN65" s="2549">
        <f>AL65*AM65/1000</f>
        <v>0.28960200000000003</v>
      </c>
      <c r="AO65" s="2549">
        <f>SUM('объемы ВС и ВО 2023'!BI49)</f>
        <v>0.82899999999999996</v>
      </c>
      <c r="AP65" s="2555">
        <f>AP64</f>
        <v>518.57999999999993</v>
      </c>
      <c r="AQ65" s="2549">
        <f>AO65*AP65/1000</f>
        <v>0.42990281999999991</v>
      </c>
      <c r="AR65" s="2549">
        <v>1.1299999999999999</v>
      </c>
      <c r="AS65" s="2555">
        <f>AS64</f>
        <v>518.57999999999993</v>
      </c>
      <c r="AT65" s="2549">
        <f>AR65*AS65/1000</f>
        <v>0.58599539999999994</v>
      </c>
      <c r="AU65" s="2549">
        <f>SUM('объемы ВС и ВО 2023'!BM39)</f>
        <v>1.77</v>
      </c>
      <c r="AV65" s="2555">
        <f>AV64</f>
        <v>686</v>
      </c>
      <c r="AW65" s="2549">
        <f>AU65*AV65/1000</f>
        <v>1.2142200000000001</v>
      </c>
      <c r="AX65" s="2549">
        <f>SUM('объемы ВС и ВО 2023'!BO39)</f>
        <v>1.7698</v>
      </c>
      <c r="AY65" s="2555">
        <f>AY64</f>
        <v>686.28</v>
      </c>
      <c r="AZ65" s="2549">
        <f>AX65*AY65/1000</f>
        <v>1.214578344</v>
      </c>
      <c r="BA65" s="2462">
        <f>SUM('объемы ВС и ВО 2023'!BR49)</f>
        <v>0.54100000000000004</v>
      </c>
      <c r="BB65" s="3260">
        <f>BB64</f>
        <v>596</v>
      </c>
      <c r="BC65" s="2462">
        <f>BA65*BB65/1000</f>
        <v>0.32243600000000006</v>
      </c>
      <c r="BD65" s="2462">
        <f>SUM('объемы ВС и ВО 2023'!BT49)</f>
        <v>0.72599999999999998</v>
      </c>
      <c r="BE65" s="3260">
        <v>596</v>
      </c>
      <c r="BF65" s="2462">
        <f>BD65*BE65/1000</f>
        <v>0.43269599999999997</v>
      </c>
      <c r="BG65" s="2549">
        <f>SUM('объемы ВС и ВО 2023'!BV49)</f>
        <v>0.93200000000000005</v>
      </c>
      <c r="BH65" s="2555">
        <v>596</v>
      </c>
      <c r="BI65" s="2549">
        <f>BG65*BH65/1000</f>
        <v>0.55547199999999997</v>
      </c>
      <c r="BJ65" s="2549">
        <f>SUM('объемы ВС и ВО 2023'!BX39)</f>
        <v>1.7698</v>
      </c>
      <c r="BK65" s="2555">
        <f>BK64</f>
        <v>789</v>
      </c>
      <c r="BL65" s="2549">
        <f>BJ65*BK65/1000</f>
        <v>1.3963722000000001</v>
      </c>
      <c r="BM65" s="2549">
        <f>SUM('объемы ВС и ВО 2023'!BZ39)</f>
        <v>1.7698</v>
      </c>
      <c r="BN65" s="2555">
        <v>789.48</v>
      </c>
      <c r="BO65" s="2549">
        <f>BM65*BN65/1000</f>
        <v>1.3972217040000001</v>
      </c>
      <c r="BP65" s="2549">
        <f>SUM('объемы ВС и ВО 2023'!CB49)</f>
        <v>0.41399999999999998</v>
      </c>
      <c r="BQ65" s="2555">
        <v>686</v>
      </c>
      <c r="BR65" s="2549">
        <f>BP65*BQ65/1000</f>
        <v>0.28400399999999998</v>
      </c>
      <c r="BS65" s="2549">
        <f>SUM('объемы ВС и ВО 2023'!CD49)</f>
        <v>0.59799999999999998</v>
      </c>
      <c r="BT65" s="2555">
        <v>686</v>
      </c>
      <c r="BU65" s="2549">
        <f>BS65*BT65/1000</f>
        <v>0.41022799999999998</v>
      </c>
      <c r="BV65" s="2549">
        <f>SUM('объемы ВС и ВО 2023'!CF49)</f>
        <v>0.78200000000000003</v>
      </c>
      <c r="BW65" s="2555">
        <v>686</v>
      </c>
      <c r="BX65" s="2549">
        <f>BV65*BW65/1000</f>
        <v>0.53645200000000004</v>
      </c>
      <c r="BY65" s="2462">
        <f>SUM('объемы ВС и ВО 2023'!CH39)</f>
        <v>1.7698</v>
      </c>
      <c r="BZ65" s="3260">
        <f>BZ64</f>
        <v>908</v>
      </c>
      <c r="CA65" s="2462">
        <f>BY65*BZ65/1000</f>
        <v>1.6069784</v>
      </c>
      <c r="CB65" s="2462">
        <f>SUM('объемы ВС и ВО 2023'!CJ39)</f>
        <v>1.351</v>
      </c>
      <c r="CC65" s="3260">
        <f>CC64</f>
        <v>908.16</v>
      </c>
      <c r="CD65" s="2462">
        <f>CB65*CC65/1000</f>
        <v>1.22692416</v>
      </c>
      <c r="CE65" s="2549">
        <f>SUM('объемы ВС и ВО 2023'!CO49)</f>
        <v>0</v>
      </c>
      <c r="CF65" s="2555">
        <v>686</v>
      </c>
      <c r="CG65" s="2549">
        <f>CE65*CF65/1000</f>
        <v>0</v>
      </c>
      <c r="CH65" s="2549">
        <f>SUM('объемы ВС и ВО 2023'!CR49)</f>
        <v>0</v>
      </c>
      <c r="CI65" s="2555">
        <v>686</v>
      </c>
      <c r="CJ65" s="2549">
        <f>CH65*CI65/1000</f>
        <v>0</v>
      </c>
    </row>
    <row r="66" spans="1:88" ht="30" customHeight="1" x14ac:dyDescent="0.2">
      <c r="A66" s="1726" t="s">
        <v>393</v>
      </c>
      <c r="B66" s="2550">
        <f>'объемы ВС и ВО 2023'!AP47</f>
        <v>896.8774595267746</v>
      </c>
      <c r="C66" s="1726"/>
      <c r="D66" s="2549"/>
      <c r="E66" s="2549">
        <v>888.44</v>
      </c>
      <c r="F66" s="2549"/>
      <c r="G66" s="2549"/>
      <c r="H66" s="2549">
        <v>2163.58</v>
      </c>
      <c r="I66" s="2549"/>
      <c r="J66" s="2549"/>
      <c r="K66" s="2549">
        <f>'объемы ВС и ВО 2023'!AZ47</f>
        <v>1398.4594229955999</v>
      </c>
      <c r="L66" s="1726"/>
      <c r="M66" s="2549"/>
      <c r="N66" s="2549">
        <f t="shared" si="2"/>
        <v>1398.4594229955999</v>
      </c>
      <c r="O66" s="1726"/>
      <c r="P66" s="2549"/>
      <c r="Q66" s="2549">
        <f>K66</f>
        <v>1398.4594229955999</v>
      </c>
      <c r="R66" s="1726"/>
      <c r="S66" s="2549"/>
      <c r="T66" s="2549">
        <f>Q66</f>
        <v>1398.4594229955999</v>
      </c>
      <c r="U66" s="1726"/>
      <c r="V66" s="2549"/>
      <c r="W66" s="2549">
        <f t="shared" si="4"/>
        <v>1398.4594229955999</v>
      </c>
      <c r="X66" s="1726"/>
      <c r="Y66" s="2549"/>
      <c r="Z66" s="2549">
        <f t="shared" si="5"/>
        <v>1398.4594229955999</v>
      </c>
      <c r="AA66" s="1726"/>
      <c r="AB66" s="2549"/>
      <c r="AC66" s="2549">
        <f t="shared" si="6"/>
        <v>1398.4594229955999</v>
      </c>
      <c r="AD66" s="1726"/>
      <c r="AE66" s="2549"/>
      <c r="AF66" s="2549">
        <f t="shared" si="7"/>
        <v>1398.4594229955999</v>
      </c>
      <c r="AG66" s="2549"/>
      <c r="AH66" s="2549"/>
      <c r="AI66" s="2549">
        <f>SUM('объемы ВС и ВО 2023'!BD47)</f>
        <v>1327.473</v>
      </c>
      <c r="AJ66" s="2549"/>
      <c r="AK66" s="2549"/>
      <c r="AL66" s="2549">
        <f>SUM('объемы ВС и ВО 2023'!BF47)</f>
        <v>1235.373</v>
      </c>
      <c r="AM66" s="1726"/>
      <c r="AN66" s="2549"/>
      <c r="AO66" s="2549">
        <f>'объемы ВС и ВО 2023'!BH47</f>
        <v>1634.7919999999999</v>
      </c>
      <c r="AP66" s="1726"/>
      <c r="AQ66" s="2549"/>
      <c r="AR66" s="2549">
        <v>1983.97</v>
      </c>
      <c r="AS66" s="1726"/>
      <c r="AT66" s="2549"/>
      <c r="AU66" s="2549">
        <f>SUM('объемы ВС и ВО 2023'!BL47)</f>
        <v>1327.473</v>
      </c>
      <c r="AV66" s="1726"/>
      <c r="AW66" s="2549"/>
      <c r="AX66" s="2549">
        <f>SUM('объемы ВС и ВО 2023'!BN47)</f>
        <v>1339.557</v>
      </c>
      <c r="AY66" s="1726"/>
      <c r="AZ66" s="2549"/>
      <c r="BA66" s="2462">
        <f>SUM('объемы ВС и ВО 2023'!BQ47)</f>
        <v>702.649</v>
      </c>
      <c r="BB66" s="2439"/>
      <c r="BC66" s="2462"/>
      <c r="BD66" s="2462">
        <f>'объемы ВС и ВО 2023'!BS47</f>
        <v>1091.2809999999999</v>
      </c>
      <c r="BE66" s="2439"/>
      <c r="BF66" s="2462"/>
      <c r="BG66" s="2549">
        <f>SUM('объемы ВС и ВО 2023'!BU47)</f>
        <v>1394.54</v>
      </c>
      <c r="BH66" s="1726"/>
      <c r="BI66" s="2549"/>
      <c r="BJ66" s="2549">
        <f>SUM('объемы ВС и ВО 2023'!BW47)</f>
        <v>1339.557</v>
      </c>
      <c r="BK66" s="1726"/>
      <c r="BL66" s="2549"/>
      <c r="BM66" s="2549">
        <f>SUM('объемы ВС и ВО 2023'!BY47)</f>
        <v>1338.0969</v>
      </c>
      <c r="BN66" s="1726"/>
      <c r="BO66" s="2549"/>
      <c r="BP66" s="2549">
        <f>SUM('объемы ВС и ВО 2023'!CA47)</f>
        <v>770.68299999999999</v>
      </c>
      <c r="BQ66" s="1726"/>
      <c r="BR66" s="2549"/>
      <c r="BS66" s="2549">
        <f>SUM('объемы ВС и ВО 2023'!CC47)</f>
        <v>1057.3710000000001</v>
      </c>
      <c r="BT66" s="1726"/>
      <c r="BU66" s="2549"/>
      <c r="BV66" s="2549">
        <f>SUM('объемы ВС и ВО 2023'!CE47)</f>
        <v>1300.6869999999999</v>
      </c>
      <c r="BW66" s="1726"/>
      <c r="BX66" s="2549"/>
      <c r="BY66" s="2462">
        <f>SUM('объемы ВС и ВО 2023'!CG47)</f>
        <v>1338.0969</v>
      </c>
      <c r="BZ66" s="2439"/>
      <c r="CA66" s="2462"/>
      <c r="CB66" s="2462">
        <f>SUM('объемы ВС и ВО 2023'!CI47)</f>
        <v>1357.5888961615101</v>
      </c>
      <c r="CC66" s="2439"/>
      <c r="CD66" s="2462"/>
      <c r="CE66" s="2549">
        <f>SUM('объемы ВС и ВО 2023'!CN47)</f>
        <v>0</v>
      </c>
      <c r="CF66" s="4733"/>
      <c r="CG66" s="2549"/>
      <c r="CH66" s="2549">
        <f>SUM('объемы ВС и ВО 2023'!CQ47)</f>
        <v>0</v>
      </c>
      <c r="CI66" s="4733"/>
      <c r="CJ66" s="2549"/>
    </row>
    <row r="67" spans="1:88" ht="30" customHeight="1" x14ac:dyDescent="0.2">
      <c r="A67" s="1726" t="s">
        <v>394</v>
      </c>
      <c r="B67" s="2550">
        <f>B66*B62/(B62+B63)</f>
        <v>600.51144458281442</v>
      </c>
      <c r="C67" s="1726">
        <f>C62</f>
        <v>107</v>
      </c>
      <c r="D67" s="2549">
        <f>B67*C67/1000</f>
        <v>64.254724570361134</v>
      </c>
      <c r="E67" s="2550">
        <f>E66*E62/(E62+E63)</f>
        <v>582.42177777777783</v>
      </c>
      <c r="F67" s="2549">
        <v>122</v>
      </c>
      <c r="G67" s="2549">
        <f>E67*F67/1000</f>
        <v>71.055456888888884</v>
      </c>
      <c r="H67" s="2550">
        <f>H66*H62/(H62+H63)</f>
        <v>1433.492317515505</v>
      </c>
      <c r="I67" s="2549">
        <v>122</v>
      </c>
      <c r="J67" s="2549">
        <f>H67*I67/1000</f>
        <v>174.88606273689163</v>
      </c>
      <c r="K67" s="2549">
        <f t="shared" ref="K67:K68" si="11">B67</f>
        <v>600.51144458281442</v>
      </c>
      <c r="L67" s="1726">
        <f>L62</f>
        <v>141</v>
      </c>
      <c r="M67" s="2549">
        <f>K67*L67/1000</f>
        <v>84.672113686176829</v>
      </c>
      <c r="N67" s="2549">
        <f t="shared" si="2"/>
        <v>600.51144458281442</v>
      </c>
      <c r="O67" s="1726">
        <f>O62</f>
        <v>122</v>
      </c>
      <c r="P67" s="2549">
        <f>N67*O67/1000</f>
        <v>73.262396239103353</v>
      </c>
      <c r="Q67" s="2550">
        <f>Q66*Q62/(Q62+Q63)</f>
        <v>940.00670269117256</v>
      </c>
      <c r="R67" s="1726">
        <v>122</v>
      </c>
      <c r="S67" s="2549">
        <f>Q67*R67/1000</f>
        <v>114.68081772832305</v>
      </c>
      <c r="T67" s="2550">
        <f>T66*T62/(T62+T63)</f>
        <v>940.00670269117256</v>
      </c>
      <c r="U67" s="1726">
        <f>U62</f>
        <v>186</v>
      </c>
      <c r="V67" s="2549">
        <f>T67*U67/1000</f>
        <v>174.84124670055809</v>
      </c>
      <c r="W67" s="2550">
        <f>W66*W62/(W62+W63)</f>
        <v>940.00670269117256</v>
      </c>
      <c r="X67" s="1726">
        <f>X62</f>
        <v>214</v>
      </c>
      <c r="Y67" s="2549">
        <f>W67*X67/1000</f>
        <v>201.16143437591094</v>
      </c>
      <c r="Z67" s="2550">
        <f>Z66*Z62/(Z62+Z63)</f>
        <v>940.00670269117256</v>
      </c>
      <c r="AA67" s="1726">
        <f>AA62</f>
        <v>246</v>
      </c>
      <c r="AB67" s="2549">
        <f>Z67*AA67/1000</f>
        <v>231.24164886202843</v>
      </c>
      <c r="AC67" s="2550">
        <f>AC66*AC62/(AC62+AC63)</f>
        <v>940.00670269117256</v>
      </c>
      <c r="AD67" s="1726">
        <f>AD62</f>
        <v>283</v>
      </c>
      <c r="AE67" s="2549">
        <f>AC67*AD67/1000</f>
        <v>266.02189686160187</v>
      </c>
      <c r="AF67" s="2549">
        <f t="shared" si="7"/>
        <v>940.00670269117256</v>
      </c>
      <c r="AG67" s="2549">
        <f t="shared" si="7"/>
        <v>122</v>
      </c>
      <c r="AH67" s="2549">
        <f>AF67*AG67/1000</f>
        <v>114.68081772832305</v>
      </c>
      <c r="AI67" s="2550">
        <f>AI66*AI62/(AI62+AI63)</f>
        <v>963.65992164729596</v>
      </c>
      <c r="AJ67" s="2549">
        <f t="shared" si="10"/>
        <v>122</v>
      </c>
      <c r="AK67" s="2549">
        <f>AI67*AJ67/1000</f>
        <v>117.56651044097011</v>
      </c>
      <c r="AL67" s="2550">
        <v>558.19200000000001</v>
      </c>
      <c r="AM67" s="1726">
        <f>AM62</f>
        <v>141</v>
      </c>
      <c r="AN67" s="2549">
        <f>AL67*AM67/1000</f>
        <v>78.705072000000001</v>
      </c>
      <c r="AO67" s="2549">
        <v>1176.2</v>
      </c>
      <c r="AP67" s="1726">
        <f>AP62</f>
        <v>141</v>
      </c>
      <c r="AQ67" s="2549">
        <f>AO67*AP67/1000</f>
        <v>165.8442</v>
      </c>
      <c r="AR67" s="2549">
        <v>1573.24</v>
      </c>
      <c r="AS67" s="1726">
        <f>AS62</f>
        <v>141</v>
      </c>
      <c r="AT67" s="2549">
        <f>AR67*AS67/1000</f>
        <v>221.82684</v>
      </c>
      <c r="AU67" s="2549">
        <v>796.48</v>
      </c>
      <c r="AV67" s="1726">
        <f>AV62</f>
        <v>186</v>
      </c>
      <c r="AW67" s="2549">
        <f>AU67*AV67/1000</f>
        <v>148.14527999999999</v>
      </c>
      <c r="AX67" s="2550">
        <f>AX66*AX62/(AX62+AX63)</f>
        <v>907.39930125803562</v>
      </c>
      <c r="AY67" s="1726">
        <f>AY62</f>
        <v>186</v>
      </c>
      <c r="AZ67" s="2549">
        <f>AX67*AY67/1000</f>
        <v>168.77627003399462</v>
      </c>
      <c r="BA67" s="2701">
        <v>558.19200000000001</v>
      </c>
      <c r="BB67" s="2439">
        <f>BB62</f>
        <v>162</v>
      </c>
      <c r="BC67" s="2462">
        <f>BA67*BB67/1000</f>
        <v>90.427104</v>
      </c>
      <c r="BD67" s="2462">
        <v>837.28800000000001</v>
      </c>
      <c r="BE67" s="2439">
        <f>BE62</f>
        <v>162</v>
      </c>
      <c r="BF67" s="2462">
        <f>BD67*BE67/1000</f>
        <v>135.64065599999998</v>
      </c>
      <c r="BG67" s="2549">
        <v>0</v>
      </c>
      <c r="BH67" s="1726">
        <f>BH62</f>
        <v>162</v>
      </c>
      <c r="BI67" s="2549">
        <f>BG67*BH67/1000</f>
        <v>0</v>
      </c>
      <c r="BJ67" s="2550">
        <f>BJ66*BJ62/(BJ62+BJ63)</f>
        <v>907.39930125803562</v>
      </c>
      <c r="BK67" s="1726">
        <f>BK62</f>
        <v>214</v>
      </c>
      <c r="BL67" s="2549">
        <f>BJ67*BK67/1000</f>
        <v>194.18345046921962</v>
      </c>
      <c r="BM67" s="2550">
        <f>BM66*BM62/(BM62+BM63)</f>
        <v>907.28422192994935</v>
      </c>
      <c r="BN67" s="1726">
        <f>BN62</f>
        <v>214</v>
      </c>
      <c r="BO67" s="2549">
        <f>BM67*BN67/1000</f>
        <v>194.15882349300918</v>
      </c>
      <c r="BP67" s="2550">
        <f>BP66*BP62/(BP62+BP63)</f>
        <v>529.10355145058088</v>
      </c>
      <c r="BQ67" s="1726">
        <f>BQ62</f>
        <v>186</v>
      </c>
      <c r="BR67" s="2549">
        <f>BP67*BQ67/1000</f>
        <v>98.413260569808045</v>
      </c>
      <c r="BS67" s="2550">
        <f>BS66*BS62/(BS62+BS63)</f>
        <v>726.76724639278711</v>
      </c>
      <c r="BT67" s="1726">
        <f>BT62</f>
        <v>186</v>
      </c>
      <c r="BU67" s="2549">
        <f>BS67*BT67/1000</f>
        <v>135.1787078290584</v>
      </c>
      <c r="BV67" s="2550">
        <f>BV66*BV62/(BV62+BV63)</f>
        <v>892.07051472161015</v>
      </c>
      <c r="BW67" s="1726">
        <f>BW62</f>
        <v>186</v>
      </c>
      <c r="BX67" s="2549">
        <f>BV67*BW67/1000</f>
        <v>165.92511573821949</v>
      </c>
      <c r="BY67" s="2701">
        <f>BY66*BY62/(BY62+BY63)</f>
        <v>907.28422192994935</v>
      </c>
      <c r="BZ67" s="2439">
        <f>BZ62</f>
        <v>246</v>
      </c>
      <c r="CA67" s="2462">
        <f>BY67*BZ67/1000</f>
        <v>223.19191859476754</v>
      </c>
      <c r="CB67" s="2701">
        <f>CB66*CB62/(CB62+CB63)</f>
        <v>921.7700532173177</v>
      </c>
      <c r="CC67" s="2439">
        <f>CC62</f>
        <v>246</v>
      </c>
      <c r="CD67" s="2462">
        <f>CB67*CC67/1000</f>
        <v>226.75543309146013</v>
      </c>
      <c r="CE67" s="2550" t="e">
        <f>CE66*CE62/(CE62+CE63)</f>
        <v>#DIV/0!</v>
      </c>
      <c r="CF67" s="4733">
        <f>CF62</f>
        <v>186</v>
      </c>
      <c r="CG67" s="2549" t="e">
        <f>CE67*CF67/1000</f>
        <v>#DIV/0!</v>
      </c>
      <c r="CH67" s="2550" t="e">
        <f>CH66*CH62/(CH62+CH63)</f>
        <v>#DIV/0!</v>
      </c>
      <c r="CI67" s="4733">
        <f>CI62</f>
        <v>186</v>
      </c>
      <c r="CJ67" s="2549" t="e">
        <f>CH67*CI67/1000</f>
        <v>#DIV/0!</v>
      </c>
    </row>
    <row r="68" spans="1:88" ht="30" customHeight="1" x14ac:dyDescent="0.2">
      <c r="A68" s="1726" t="s">
        <v>395</v>
      </c>
      <c r="B68" s="2550">
        <f>B66-B67</f>
        <v>296.36601494396018</v>
      </c>
      <c r="C68" s="2555">
        <f>C64</f>
        <v>392.16</v>
      </c>
      <c r="D68" s="2549">
        <f>B68*C68/1000</f>
        <v>116.22289642042344</v>
      </c>
      <c r="E68" s="2550">
        <f>E66-E67</f>
        <v>306.01822222222222</v>
      </c>
      <c r="F68" s="2549">
        <v>452</v>
      </c>
      <c r="G68" s="2549">
        <f>E68*F68/1000</f>
        <v>138.32023644444445</v>
      </c>
      <c r="H68" s="2550">
        <f>H66-H67</f>
        <v>730.08768248449496</v>
      </c>
      <c r="I68" s="2549">
        <v>452</v>
      </c>
      <c r="J68" s="2549">
        <f>H68*I68/1000</f>
        <v>329.99963248299173</v>
      </c>
      <c r="K68" s="2549">
        <f t="shared" si="11"/>
        <v>296.36601494396018</v>
      </c>
      <c r="L68" s="1726">
        <f>L64</f>
        <v>518.57999999999993</v>
      </c>
      <c r="M68" s="2549">
        <f>K68*L68/1000</f>
        <v>153.68948802963885</v>
      </c>
      <c r="N68" s="2549">
        <f t="shared" si="2"/>
        <v>296.36601494396018</v>
      </c>
      <c r="O68" s="1726">
        <f>O64</f>
        <v>452</v>
      </c>
      <c r="P68" s="2549">
        <f>N68*O68/1000</f>
        <v>133.95743875466999</v>
      </c>
      <c r="Q68" s="2550">
        <f>Q66-Q67</f>
        <v>458.45272030442732</v>
      </c>
      <c r="R68" s="1726">
        <f>R64</f>
        <v>595.98</v>
      </c>
      <c r="S68" s="2549">
        <f>Q68*R68/1000</f>
        <v>273.22865224703264</v>
      </c>
      <c r="T68" s="2550">
        <f>T66-T67</f>
        <v>458.45272030442732</v>
      </c>
      <c r="U68" s="1726">
        <f>U64</f>
        <v>686.28000000000009</v>
      </c>
      <c r="V68" s="2549">
        <f>T68*U68/1000</f>
        <v>314.62693289052243</v>
      </c>
      <c r="W68" s="2550">
        <f>W66-W67</f>
        <v>458.45272030442732</v>
      </c>
      <c r="X68" s="1726">
        <f>X64</f>
        <v>789.48</v>
      </c>
      <c r="Y68" s="2549">
        <f>W68*X68/1000</f>
        <v>361.93925362593933</v>
      </c>
      <c r="Z68" s="2550">
        <f>Z66-Z67</f>
        <v>458.45272030442732</v>
      </c>
      <c r="AA68" s="1726">
        <f>AA64</f>
        <v>908.16</v>
      </c>
      <c r="AB68" s="2549">
        <f>Z68*AA68/1000</f>
        <v>416.3484224716687</v>
      </c>
      <c r="AC68" s="2550">
        <f>AC66-AC67</f>
        <v>458.45272030442732</v>
      </c>
      <c r="AD68" s="1726">
        <f>AD64</f>
        <v>1044.8999999999999</v>
      </c>
      <c r="AE68" s="2549">
        <f>AC68*AD68/1000</f>
        <v>479.03724744609605</v>
      </c>
      <c r="AF68" s="2549">
        <f t="shared" si="7"/>
        <v>458.45272030442732</v>
      </c>
      <c r="AG68" s="2549">
        <f t="shared" si="7"/>
        <v>595.98</v>
      </c>
      <c r="AH68" s="2549">
        <f>AF68*AG68/1000</f>
        <v>273.22865224703264</v>
      </c>
      <c r="AI68" s="2550">
        <f>AI66-AI67</f>
        <v>363.813078352704</v>
      </c>
      <c r="AJ68" s="2549">
        <f t="shared" si="10"/>
        <v>595.98</v>
      </c>
      <c r="AK68" s="2549">
        <f>AI68*AJ68/1000</f>
        <v>216.82531843664452</v>
      </c>
      <c r="AL68" s="2550">
        <f>AL66-AL67</f>
        <v>677.18100000000004</v>
      </c>
      <c r="AM68" s="1726">
        <f>AM64</f>
        <v>519</v>
      </c>
      <c r="AN68" s="2549">
        <f>AL68*AM68/1000</f>
        <v>351.45693900000003</v>
      </c>
      <c r="AO68" s="2550">
        <f>AO66-AO67</f>
        <v>458.59199999999987</v>
      </c>
      <c r="AP68" s="2555">
        <f>AP64</f>
        <v>518.57999999999993</v>
      </c>
      <c r="AQ68" s="2549">
        <f>AO68*AP68/1000</f>
        <v>237.81663935999993</v>
      </c>
      <c r="AR68" s="2550">
        <f>AR66-AR67</f>
        <v>410.73</v>
      </c>
      <c r="AS68" s="2555">
        <f>AS64</f>
        <v>518.57999999999993</v>
      </c>
      <c r="AT68" s="2549">
        <f>AR68*AS68/1000</f>
        <v>212.99636339999998</v>
      </c>
      <c r="AU68" s="2550">
        <f>AU66-AU67</f>
        <v>530.99299999999994</v>
      </c>
      <c r="AV68" s="2555">
        <f>AV64</f>
        <v>686</v>
      </c>
      <c r="AW68" s="2549">
        <f>AU68*AV68/1000</f>
        <v>364.26119799999998</v>
      </c>
      <c r="AX68" s="2550">
        <f>AX66-AX67</f>
        <v>432.1576987419644</v>
      </c>
      <c r="AY68" s="2555">
        <f>AY64</f>
        <v>686.28</v>
      </c>
      <c r="AZ68" s="2549">
        <f>AX68*AY68/1000</f>
        <v>296.58118549263531</v>
      </c>
      <c r="BA68" s="2701">
        <f>BA66-BA67</f>
        <v>144.45699999999999</v>
      </c>
      <c r="BB68" s="2439">
        <f>BB64</f>
        <v>596</v>
      </c>
      <c r="BC68" s="2462">
        <f>BA68*BB68/1000</f>
        <v>86.096372000000002</v>
      </c>
      <c r="BD68" s="2701">
        <f>BD66-BD67</f>
        <v>253.99299999999994</v>
      </c>
      <c r="BE68" s="3260">
        <f>BE64</f>
        <v>596</v>
      </c>
      <c r="BF68" s="2462">
        <f>BD68*BE68/1000</f>
        <v>151.37982799999995</v>
      </c>
      <c r="BG68" s="2550">
        <f>BG66-BG67</f>
        <v>1394.54</v>
      </c>
      <c r="BH68" s="2555">
        <f>BH64</f>
        <v>596</v>
      </c>
      <c r="BI68" s="2549">
        <f>BG68*BH68/1000</f>
        <v>831.14584000000002</v>
      </c>
      <c r="BJ68" s="2550">
        <f>BJ66-BJ67</f>
        <v>432.1576987419644</v>
      </c>
      <c r="BK68" s="2555">
        <f>BK64</f>
        <v>789</v>
      </c>
      <c r="BL68" s="2549">
        <f>BJ68*BK68/1000</f>
        <v>340.97242430740988</v>
      </c>
      <c r="BM68" s="2550">
        <f>BM66-BM67</f>
        <v>430.81267807005065</v>
      </c>
      <c r="BN68" s="2555">
        <f>BN64</f>
        <v>789.48</v>
      </c>
      <c r="BO68" s="2549">
        <f>BM68*BN68/1000</f>
        <v>340.11799308274362</v>
      </c>
      <c r="BP68" s="2550">
        <f>BP66-BP67</f>
        <v>241.57944854941911</v>
      </c>
      <c r="BQ68" s="2555">
        <f>BQ64</f>
        <v>686</v>
      </c>
      <c r="BR68" s="2549">
        <f>BP68*BQ68/1000</f>
        <v>165.72350170490151</v>
      </c>
      <c r="BS68" s="2550">
        <f>BS66-BS67</f>
        <v>330.60375360721298</v>
      </c>
      <c r="BT68" s="2555">
        <f>BT64</f>
        <v>686</v>
      </c>
      <c r="BU68" s="2549">
        <f>BS68*BT68/1000</f>
        <v>226.7941749745481</v>
      </c>
      <c r="BV68" s="2550">
        <f>BV66-BV67</f>
        <v>408.61648527838975</v>
      </c>
      <c r="BW68" s="2555">
        <f>BW64</f>
        <v>686</v>
      </c>
      <c r="BX68" s="2549">
        <f>BV68*BW68/1000</f>
        <v>280.31090890097539</v>
      </c>
      <c r="BY68" s="2701">
        <f>BY66-BY67</f>
        <v>430.81267807005065</v>
      </c>
      <c r="BZ68" s="3260">
        <f>BZ64</f>
        <v>908</v>
      </c>
      <c r="CA68" s="2462">
        <f>BY68*BZ68/1000</f>
        <v>391.17791168760601</v>
      </c>
      <c r="CB68" s="2701">
        <f>CB66-CB67</f>
        <v>435.8188429441924</v>
      </c>
      <c r="CC68" s="3260">
        <f>CC64</f>
        <v>908.16</v>
      </c>
      <c r="CD68" s="2462">
        <f>CB68*CC68/1000</f>
        <v>395.79324040819773</v>
      </c>
      <c r="CE68" s="2550" t="e">
        <f>CE66-CE67</f>
        <v>#DIV/0!</v>
      </c>
      <c r="CF68" s="2555">
        <f>CF64</f>
        <v>686</v>
      </c>
      <c r="CG68" s="2549" t="e">
        <f>CE68*CF68/1000</f>
        <v>#DIV/0!</v>
      </c>
      <c r="CH68" s="2550" t="e">
        <f>CH66-CH67</f>
        <v>#DIV/0!</v>
      </c>
      <c r="CI68" s="2555">
        <f>CI64</f>
        <v>686</v>
      </c>
      <c r="CJ68" s="2549" t="e">
        <f>CH68*CI68/1000</f>
        <v>#DIV/0!</v>
      </c>
    </row>
    <row r="69" spans="1:88" ht="33" customHeight="1" x14ac:dyDescent="0.2">
      <c r="A69" s="3224" t="s">
        <v>3649</v>
      </c>
      <c r="B69" s="2550"/>
      <c r="C69" s="2555"/>
      <c r="D69" s="2549"/>
      <c r="E69" s="2550"/>
      <c r="F69" s="2549"/>
      <c r="G69" s="2549"/>
      <c r="H69" s="2551">
        <f>SUM(8423.067-H62-H63-H64-H65-H66)</f>
        <v>1285.3529999999996</v>
      </c>
      <c r="I69" s="2549">
        <v>452</v>
      </c>
      <c r="J69" s="2549">
        <v>698.72</v>
      </c>
      <c r="K69" s="2549"/>
      <c r="L69" s="1726"/>
      <c r="M69" s="2549"/>
      <c r="N69" s="2549"/>
      <c r="O69" s="1726"/>
      <c r="P69" s="2549"/>
      <c r="Q69" s="2550"/>
      <c r="R69" s="1726"/>
      <c r="S69" s="2549"/>
      <c r="T69" s="2550"/>
      <c r="U69" s="1726"/>
      <c r="V69" s="2549"/>
      <c r="W69" s="2550"/>
      <c r="X69" s="1726"/>
      <c r="Y69" s="2549"/>
      <c r="Z69" s="2550"/>
      <c r="AA69" s="1726"/>
      <c r="AB69" s="2549"/>
      <c r="AC69" s="2550"/>
      <c r="AD69" s="1726"/>
      <c r="AE69" s="2549"/>
      <c r="AF69" s="2551">
        <f>SUM(8423.07-AF61)</f>
        <v>2167.9183203377324</v>
      </c>
      <c r="AG69" s="2549">
        <f>SUM(AG68)</f>
        <v>595.98</v>
      </c>
      <c r="AH69" s="2549">
        <f>AF69*AG69/1000</f>
        <v>1292.0359605548817</v>
      </c>
      <c r="AI69" s="2549"/>
      <c r="AJ69" s="2549"/>
      <c r="AK69" s="2549">
        <f>AI69*AJ69/1000</f>
        <v>0</v>
      </c>
      <c r="AL69" s="2551">
        <f>SUM(8423.067/2-AL62-AL63-AL64-AL65-AL66)</f>
        <v>730.58849999999939</v>
      </c>
      <c r="AM69" s="1726">
        <v>519</v>
      </c>
      <c r="AN69" s="2549">
        <f>AL69*AM69/1000</f>
        <v>379.17543149999966</v>
      </c>
      <c r="AO69" s="2551">
        <f>SUM((8423.067+339.992)/4*3-AO62-AO63-AO64-AO65-AO66)</f>
        <v>1308.642249999999</v>
      </c>
      <c r="AP69" s="1726">
        <v>519</v>
      </c>
      <c r="AQ69" s="2549">
        <f>AO69*AP69/1000</f>
        <v>679.18532774999949</v>
      </c>
      <c r="AR69" s="2551">
        <f>SUM((8423.067+339.992)/4*4-AR62-AR63-AR64-AR65-AR66)</f>
        <v>1803.9459999999992</v>
      </c>
      <c r="AS69" s="1726">
        <v>519</v>
      </c>
      <c r="AT69" s="2549">
        <f>AR69*AS69/1000</f>
        <v>936.24797399999954</v>
      </c>
      <c r="AU69" s="2551">
        <f>SUM((8423.067+339.992)/4*4-AU62-AU63-AU64-AU65-AU66)</f>
        <v>2827.5029999999988</v>
      </c>
      <c r="AV69" s="1726">
        <v>686</v>
      </c>
      <c r="AW69" s="2549">
        <f>AU69*AV69/1000</f>
        <v>1939.6670579999993</v>
      </c>
      <c r="AX69" s="2551">
        <v>0</v>
      </c>
      <c r="AY69" s="1726">
        <v>686</v>
      </c>
      <c r="AZ69" s="2549">
        <f>AX69*AY69/1000</f>
        <v>0</v>
      </c>
      <c r="BA69" s="2474">
        <f>SUM(8763.059/2-BA62-BA63-BA64-BA65-BA66)-1578.66</f>
        <v>-448.84449999999993</v>
      </c>
      <c r="BB69" s="2439">
        <v>596</v>
      </c>
      <c r="BC69" s="2462">
        <f>BA69*BB69/1000</f>
        <v>-267.51132199999995</v>
      </c>
      <c r="BD69" s="2474">
        <f>SUM(BD61-(8423.067+339.992)/4*3)+2055.65</f>
        <v>194.98075000000017</v>
      </c>
      <c r="BE69" s="2439">
        <v>596</v>
      </c>
      <c r="BF69" s="2462">
        <f>BD69*BE69/1000</f>
        <v>116.2085270000001</v>
      </c>
      <c r="BG69" s="2551">
        <v>391.89499999999998</v>
      </c>
      <c r="BH69" s="1726">
        <v>596</v>
      </c>
      <c r="BI69" s="2549">
        <f>BG69*BH69/1000</f>
        <v>233.56941999999998</v>
      </c>
      <c r="BJ69" s="2551">
        <v>391.9</v>
      </c>
      <c r="BK69" s="1726">
        <v>686</v>
      </c>
      <c r="BL69" s="2549">
        <f>BJ69*BK69/1000</f>
        <v>268.84339999999997</v>
      </c>
      <c r="BM69" s="2551">
        <v>0</v>
      </c>
      <c r="BN69" s="1726">
        <v>686</v>
      </c>
      <c r="BO69" s="2549">
        <f>BM69*BN69/1000</f>
        <v>0</v>
      </c>
      <c r="BP69" s="2551">
        <v>-33.869999999999997</v>
      </c>
      <c r="BQ69" s="1726">
        <v>686</v>
      </c>
      <c r="BR69" s="2549">
        <f>BP69*BQ69/1000</f>
        <v>-23.234819999999999</v>
      </c>
      <c r="BS69" s="2551">
        <v>189.3</v>
      </c>
      <c r="BT69" s="1726">
        <v>686</v>
      </c>
      <c r="BU69" s="2549">
        <f>BS69*BT69/1000</f>
        <v>129.85980000000001</v>
      </c>
      <c r="BV69" s="2551">
        <v>309.77999999999997</v>
      </c>
      <c r="BW69" s="1726">
        <v>686</v>
      </c>
      <c r="BX69" s="2549">
        <f>BV69*BW69/1000</f>
        <v>212.50907999999998</v>
      </c>
      <c r="BY69" s="2474">
        <v>391.9</v>
      </c>
      <c r="BZ69" s="2439">
        <v>686</v>
      </c>
      <c r="CA69" s="2462">
        <f>BY69*BZ69/1000</f>
        <v>268.84339999999997</v>
      </c>
      <c r="CB69" s="2474">
        <v>391.9</v>
      </c>
      <c r="CC69" s="2439"/>
      <c r="CD69" s="2462"/>
      <c r="CE69" s="2551">
        <v>309.77999999999997</v>
      </c>
      <c r="CF69" s="4733">
        <v>686</v>
      </c>
      <c r="CG69" s="2549">
        <f>CE69*CF69/1000</f>
        <v>212.50907999999998</v>
      </c>
      <c r="CH69" s="2551">
        <v>309.77999999999997</v>
      </c>
      <c r="CI69" s="4733">
        <v>686</v>
      </c>
      <c r="CJ69" s="2549">
        <f>CH69*CI69/1000</f>
        <v>212.50907999999998</v>
      </c>
    </row>
    <row r="70" spans="1:88" ht="30" customHeight="1" x14ac:dyDescent="0.2">
      <c r="A70" s="2556" t="s">
        <v>847</v>
      </c>
      <c r="B70" s="3261"/>
      <c r="C70" s="2556"/>
      <c r="D70" s="2552">
        <f>SUM(D62:D68)</f>
        <v>1467.0521101907843</v>
      </c>
      <c r="E70" s="2552"/>
      <c r="F70" s="2552"/>
      <c r="G70" s="2552">
        <f>SUM(G62:G68)</f>
        <v>1436.4793733333331</v>
      </c>
      <c r="H70" s="2552">
        <f>SUM(H62+H63+H64+H65+H66+H69)</f>
        <v>8423.0669999999991</v>
      </c>
      <c r="I70" s="2552"/>
      <c r="J70" s="2552">
        <f>SUM(J62:J69)</f>
        <v>2652.0008632198833</v>
      </c>
      <c r="K70" s="2556"/>
      <c r="L70" s="2556"/>
      <c r="M70" s="2552">
        <f>SUM(M62:M68)</f>
        <v>1827.8817929780155</v>
      </c>
      <c r="N70" s="2556"/>
      <c r="O70" s="2556"/>
      <c r="P70" s="2552">
        <f>SUM(P62:P68)</f>
        <v>1589.6554950071065</v>
      </c>
      <c r="Q70" s="2556"/>
      <c r="R70" s="2556"/>
      <c r="S70" s="2552">
        <f>SUM(S62:S68)</f>
        <v>2214.5613059035554</v>
      </c>
      <c r="T70" s="2556"/>
      <c r="U70" s="2556"/>
      <c r="V70" s="2552">
        <f>SUM(V62:V68)</f>
        <v>2591.5433142962811</v>
      </c>
      <c r="W70" s="2556"/>
      <c r="X70" s="2556"/>
      <c r="Y70" s="2552">
        <f>SUM(Y62:Y68)</f>
        <v>2981.3513489283837</v>
      </c>
      <c r="Z70" s="2556"/>
      <c r="AA70" s="2556"/>
      <c r="AB70" s="2552">
        <f>SUM(AB62:AB68)</f>
        <v>3428.9504727480967</v>
      </c>
      <c r="AC70" s="2556"/>
      <c r="AD70" s="2556"/>
      <c r="AE70" s="2552">
        <f>SUM(AE62:AE68)</f>
        <v>3945.1060606320311</v>
      </c>
      <c r="AF70" s="2552">
        <f>SUM(AF61+AF69)</f>
        <v>8423.07</v>
      </c>
      <c r="AG70" s="2556"/>
      <c r="AH70" s="2552">
        <f>SUM(AH62:AH69)</f>
        <v>3506.5972664584369</v>
      </c>
      <c r="AI70" s="2552"/>
      <c r="AJ70" s="2552"/>
      <c r="AK70" s="2552">
        <f>SUM(AK62:AK69)</f>
        <v>1902.0830689176146</v>
      </c>
      <c r="AL70" s="2552">
        <f>SUM(AL61)</f>
        <v>3480.9450000000002</v>
      </c>
      <c r="AM70" s="2556"/>
      <c r="AN70" s="2552">
        <f>SUM(AN62:AN69)</f>
        <v>1524.3667784999996</v>
      </c>
      <c r="AO70" s="2552">
        <f>SUM(AO61)</f>
        <v>5263.652</v>
      </c>
      <c r="AP70" s="2556"/>
      <c r="AQ70" s="2552">
        <f>SUM(AQ62:AQ69)</f>
        <v>2286.565573169999</v>
      </c>
      <c r="AR70" s="2552">
        <f>SUM(AR61)</f>
        <v>6959.1130000000003</v>
      </c>
      <c r="AS70" s="2556"/>
      <c r="AT70" s="2552">
        <f>SUM(AT62:AT69)</f>
        <v>3048.7639378799995</v>
      </c>
      <c r="AU70" s="2552">
        <f>SUM(AU61)</f>
        <v>5935.5560000000005</v>
      </c>
      <c r="AV70" s="2556"/>
      <c r="AW70" s="2552">
        <f>SUM(AW62:AW69)</f>
        <v>4461.8279739999998</v>
      </c>
      <c r="AX70" s="2552">
        <f>SUM(AX61)</f>
        <v>5989.6898000000001</v>
      </c>
      <c r="AY70" s="2556"/>
      <c r="AZ70" s="2552">
        <f>SUM(AZ62:AZ69)</f>
        <v>2468.9758679106299</v>
      </c>
      <c r="BA70" s="2383">
        <f>SUM(BA61)</f>
        <v>3251.7140000000004</v>
      </c>
      <c r="BB70" s="2475"/>
      <c r="BC70" s="2383">
        <f>SUM(BC62:BC69)</f>
        <v>898.33178000000032</v>
      </c>
      <c r="BD70" s="2383">
        <f>SUM(BD61)</f>
        <v>4711.6249999999991</v>
      </c>
      <c r="BE70" s="2475"/>
      <c r="BF70" s="2383">
        <f>SUM(BF62:BF69)</f>
        <v>1773.6949609999999</v>
      </c>
      <c r="BG70" s="2552">
        <f>SUM(BG61)</f>
        <v>6223.7489999999998</v>
      </c>
      <c r="BH70" s="2556"/>
      <c r="BI70" s="2552">
        <f>SUM(BI62:BI69)</f>
        <v>2893.9258599999998</v>
      </c>
      <c r="BJ70" s="2552">
        <f>SUM(BJ61)</f>
        <v>5989.6898000000001</v>
      </c>
      <c r="BK70" s="2556"/>
      <c r="BL70" s="2552">
        <f>SUM(BL62:BL69)</f>
        <v>3107.8925539766296</v>
      </c>
      <c r="BM70" s="2552">
        <f>SUM(BM61)</f>
        <v>4158.4049999999997</v>
      </c>
      <c r="BN70" s="2556"/>
      <c r="BO70" s="2552">
        <f>SUM(BO62:BO69)</f>
        <v>2835.6957592797526</v>
      </c>
      <c r="BP70" s="2552">
        <f>SUM(BP61)</f>
        <v>2917.7830000000004</v>
      </c>
      <c r="BQ70" s="2556"/>
      <c r="BR70" s="2552">
        <f>SUM(BR62:BR69)</f>
        <v>1092.4955422747096</v>
      </c>
      <c r="BS70" s="2552">
        <f>SUM(BS61)</f>
        <v>4158.4053000000004</v>
      </c>
      <c r="BT70" s="2556"/>
      <c r="BU70" s="2552">
        <f>SUM(BU62:BU69)</f>
        <v>1704.2504626036064</v>
      </c>
      <c r="BV70" s="2552">
        <f>SUM(BV61)</f>
        <v>5587.75</v>
      </c>
      <c r="BW70" s="2556"/>
      <c r="BX70" s="2552">
        <f>SUM(BX62:BX69)</f>
        <v>2378.0365726391947</v>
      </c>
      <c r="BY70" s="2383">
        <f>SUM(BY61)</f>
        <v>5983.7116999999998</v>
      </c>
      <c r="BZ70" s="2475"/>
      <c r="CA70" s="2383">
        <f>SUM(CA62:CA69)</f>
        <v>3529.8302286823737</v>
      </c>
      <c r="CB70" s="2383">
        <f>SUM(CB61)</f>
        <v>6072.6513321960574</v>
      </c>
      <c r="CC70" s="2475"/>
      <c r="CD70" s="2383">
        <f>SUM(CD62:CD69)</f>
        <v>3306.69280215973</v>
      </c>
      <c r="CE70" s="2552">
        <f>SUM(CE61)</f>
        <v>0</v>
      </c>
      <c r="CF70" s="2556"/>
      <c r="CG70" s="2552" t="e">
        <f>SUM(CG62:CG69)</f>
        <v>#DIV/0!</v>
      </c>
      <c r="CH70" s="2552">
        <f>SUM(CH61)</f>
        <v>0</v>
      </c>
      <c r="CI70" s="2556"/>
      <c r="CJ70" s="2552" t="e">
        <f>SUM(CJ62:CJ69)</f>
        <v>#DIV/0!</v>
      </c>
    </row>
    <row r="71" spans="1:88" ht="30" customHeight="1" x14ac:dyDescent="0.2">
      <c r="A71" s="2553" t="s">
        <v>1535</v>
      </c>
      <c r="B71" s="2553"/>
      <c r="C71" s="2553"/>
      <c r="D71" s="2553"/>
      <c r="E71" s="2553"/>
      <c r="F71" s="2553"/>
      <c r="G71" s="2553"/>
      <c r="H71" s="2553"/>
      <c r="I71" s="2553"/>
      <c r="J71" s="2553"/>
      <c r="K71" s="2553"/>
      <c r="L71" s="2553"/>
      <c r="M71" s="2557"/>
      <c r="N71" s="394"/>
      <c r="O71" s="394"/>
      <c r="P71" s="3262">
        <f>P70/M70</f>
        <v>0.86967084037595965</v>
      </c>
      <c r="Q71" s="2553"/>
      <c r="R71" s="2553"/>
      <c r="S71" s="2557"/>
      <c r="T71" s="2553"/>
      <c r="U71" s="2553"/>
      <c r="V71" s="2557"/>
      <c r="W71" s="2553"/>
      <c r="X71" s="2553"/>
      <c r="Y71" s="2557"/>
      <c r="Z71" s="2553"/>
      <c r="AA71" s="2553"/>
      <c r="AB71" s="2557"/>
      <c r="AC71" s="2553"/>
      <c r="AD71" s="2553"/>
      <c r="AE71" s="2557"/>
      <c r="AF71" s="2553"/>
      <c r="AG71" s="2553"/>
      <c r="AH71" s="2557"/>
      <c r="AI71" s="2557"/>
      <c r="AJ71" s="2557"/>
      <c r="AK71" s="2557"/>
      <c r="AL71" s="2553"/>
      <c r="AM71" s="2553"/>
      <c r="AN71" s="2557"/>
      <c r="AO71" s="2553"/>
      <c r="AP71" s="2553"/>
      <c r="AQ71" s="2557"/>
      <c r="AR71" s="2553"/>
      <c r="AS71" s="2553"/>
      <c r="AT71" s="2557"/>
      <c r="AU71" s="2553"/>
      <c r="AV71" s="2553"/>
      <c r="AW71" s="2557"/>
      <c r="AX71" s="2553"/>
      <c r="AY71" s="2553"/>
      <c r="AZ71" s="2557"/>
      <c r="BA71" s="2436"/>
      <c r="BB71" s="2436"/>
      <c r="BC71" s="2476"/>
      <c r="BD71" s="2436"/>
      <c r="BE71" s="2436"/>
      <c r="BF71" s="2476"/>
      <c r="BG71" s="2553"/>
      <c r="BH71" s="2553"/>
      <c r="BI71" s="2557"/>
      <c r="BJ71" s="2553"/>
      <c r="BK71" s="2553"/>
      <c r="BL71" s="2557"/>
      <c r="BM71" s="2553"/>
      <c r="BN71" s="2553"/>
      <c r="BO71" s="2557"/>
      <c r="BP71" s="2553"/>
      <c r="BQ71" s="2553"/>
      <c r="BR71" s="2557"/>
      <c r="BS71" s="2553"/>
      <c r="BT71" s="2553"/>
      <c r="BU71" s="2557"/>
      <c r="BV71" s="2553"/>
      <c r="BW71" s="2553"/>
      <c r="BX71" s="2557"/>
      <c r="BY71" s="2436"/>
      <c r="BZ71" s="2436"/>
      <c r="CA71" s="2476"/>
      <c r="CB71" s="2436"/>
      <c r="CC71" s="2436"/>
      <c r="CD71" s="2476"/>
      <c r="CE71" s="2553"/>
      <c r="CF71" s="2553"/>
      <c r="CG71" s="2557"/>
      <c r="CH71" s="2553"/>
      <c r="CI71" s="2553"/>
      <c r="CJ71" s="2557"/>
    </row>
    <row r="72" spans="1:88" ht="30" customHeight="1" x14ac:dyDescent="0.2">
      <c r="A72" s="2553" t="s">
        <v>1536</v>
      </c>
      <c r="B72" s="2553"/>
      <c r="C72" s="2553"/>
      <c r="D72" s="2554">
        <f>D65</f>
        <v>0.69412320000000005</v>
      </c>
      <c r="E72" s="2554"/>
      <c r="F72" s="2554"/>
      <c r="G72" s="2554">
        <f>G65</f>
        <v>9.6818399999999993</v>
      </c>
      <c r="H72" s="2554"/>
      <c r="I72" s="2554"/>
      <c r="J72" s="2554">
        <f>J65</f>
        <v>0.60116000000000003</v>
      </c>
      <c r="K72" s="2554"/>
      <c r="L72" s="2554"/>
      <c r="M72" s="2554">
        <f t="shared" ref="M72:AE72" si="12">M65</f>
        <v>0.91788659999999989</v>
      </c>
      <c r="N72" s="2554">
        <f t="shared" si="12"/>
        <v>0</v>
      </c>
      <c r="O72" s="2554">
        <f t="shared" si="12"/>
        <v>0</v>
      </c>
      <c r="P72" s="2554">
        <f t="shared" si="12"/>
        <v>0</v>
      </c>
      <c r="Q72" s="2554"/>
      <c r="R72" s="2554"/>
      <c r="S72" s="2554">
        <f t="shared" si="12"/>
        <v>1.0548846000000001</v>
      </c>
      <c r="T72" s="2554"/>
      <c r="U72" s="2554"/>
      <c r="V72" s="2554">
        <f t="shared" si="12"/>
        <v>1.2147156000000001</v>
      </c>
      <c r="W72" s="2554"/>
      <c r="X72" s="2554"/>
      <c r="Y72" s="2554">
        <f t="shared" si="12"/>
        <v>1.3973796000000001</v>
      </c>
      <c r="Z72" s="2554"/>
      <c r="AA72" s="2554"/>
      <c r="AB72" s="2554">
        <f t="shared" si="12"/>
        <v>1.6074431999999998</v>
      </c>
      <c r="AC72" s="2554"/>
      <c r="AD72" s="2554"/>
      <c r="AE72" s="2554">
        <f t="shared" si="12"/>
        <v>1.8494729999999997</v>
      </c>
      <c r="AF72" s="2554"/>
      <c r="AG72" s="2554"/>
      <c r="AH72" s="2554">
        <f t="shared" ref="AH72" si="13">AH65</f>
        <v>1.0548846000000001</v>
      </c>
      <c r="AI72" s="2554"/>
      <c r="AJ72" s="2554"/>
      <c r="AK72" s="2554">
        <v>0.56999999999999995</v>
      </c>
      <c r="AL72" s="2554"/>
      <c r="AM72" s="2554"/>
      <c r="AN72" s="2554">
        <f t="shared" ref="AN72" si="14">AN65</f>
        <v>0.28960200000000003</v>
      </c>
      <c r="AO72" s="2554"/>
      <c r="AP72" s="2554"/>
      <c r="AQ72" s="2554">
        <f t="shared" ref="AQ72" si="15">AQ65</f>
        <v>0.42990281999999991</v>
      </c>
      <c r="AR72" s="2554"/>
      <c r="AS72" s="2554"/>
      <c r="AT72" s="2554">
        <f t="shared" ref="AT72" si="16">AT65</f>
        <v>0.58599539999999994</v>
      </c>
      <c r="AU72" s="2554"/>
      <c r="AV72" s="2554"/>
      <c r="AW72" s="2554">
        <f t="shared" ref="AW72" si="17">AW65</f>
        <v>1.2142200000000001</v>
      </c>
      <c r="AX72" s="2554"/>
      <c r="AY72" s="2554"/>
      <c r="AZ72" s="2554">
        <v>0.73399999999999999</v>
      </c>
      <c r="BA72" s="2420"/>
      <c r="BB72" s="2420"/>
      <c r="BC72" s="2420">
        <f t="shared" ref="BC72" si="18">BC65</f>
        <v>0.32243600000000006</v>
      </c>
      <c r="BD72" s="2420"/>
      <c r="BE72" s="2420"/>
      <c r="BF72" s="2420">
        <f t="shared" ref="BF72" si="19">BF65</f>
        <v>0.43269599999999997</v>
      </c>
      <c r="BG72" s="2554"/>
      <c r="BH72" s="2554"/>
      <c r="BI72" s="2554">
        <f t="shared" ref="BI72" si="20">BI65</f>
        <v>0.55547199999999997</v>
      </c>
      <c r="BJ72" s="2554"/>
      <c r="BK72" s="2554"/>
      <c r="BL72" s="2554">
        <f t="shared" ref="BL72" si="21">BL65</f>
        <v>1.3963722000000001</v>
      </c>
      <c r="BM72" s="2554"/>
      <c r="BN72" s="2554"/>
      <c r="BO72" s="2554">
        <f>SUM(BO65)</f>
        <v>1.3972217040000001</v>
      </c>
      <c r="BP72" s="2554"/>
      <c r="BQ72" s="2554"/>
      <c r="BR72" s="2554">
        <f t="shared" ref="BR72" si="22">BR65</f>
        <v>0.28400399999999998</v>
      </c>
      <c r="BS72" s="2554"/>
      <c r="BT72" s="2554"/>
      <c r="BU72" s="2554">
        <f t="shared" ref="BU72" si="23">BU65</f>
        <v>0.41022799999999998</v>
      </c>
      <c r="BV72" s="2554"/>
      <c r="BW72" s="2554"/>
      <c r="BX72" s="2554">
        <f t="shared" ref="BX72" si="24">BX65</f>
        <v>0.53645200000000004</v>
      </c>
      <c r="BY72" s="2420"/>
      <c r="BZ72" s="2420"/>
      <c r="CA72" s="2420">
        <f t="shared" ref="CA72" si="25">CA65</f>
        <v>1.6069784</v>
      </c>
      <c r="CB72" s="2420"/>
      <c r="CC72" s="2420"/>
      <c r="CD72" s="2420">
        <f t="shared" ref="CD72" si="26">CD65</f>
        <v>1.22692416</v>
      </c>
      <c r="CE72" s="2554"/>
      <c r="CF72" s="2554"/>
      <c r="CG72" s="2554">
        <f t="shared" ref="CG72" si="27">CG65</f>
        <v>0</v>
      </c>
      <c r="CH72" s="2554"/>
      <c r="CI72" s="2554"/>
      <c r="CJ72" s="2554">
        <f t="shared" ref="CJ72" si="28">CJ65</f>
        <v>0</v>
      </c>
    </row>
    <row r="73" spans="1:88" ht="30" customHeight="1" x14ac:dyDescent="0.2">
      <c r="A73" s="2553" t="s">
        <v>1537</v>
      </c>
      <c r="B73" s="2553"/>
      <c r="C73" s="2553"/>
      <c r="D73" s="2554">
        <f>D62+D63+D64+D67+D68</f>
        <v>1466.3579869907844</v>
      </c>
      <c r="E73" s="2554"/>
      <c r="F73" s="2554"/>
      <c r="G73" s="2554">
        <f>G62+G63+G64+G67+G68</f>
        <v>1426.7975333333331</v>
      </c>
      <c r="H73" s="2554"/>
      <c r="I73" s="2554"/>
      <c r="J73" s="2554">
        <f>J62+J63+J64+J67+J68+J69</f>
        <v>2651.3997032198831</v>
      </c>
      <c r="K73" s="2554"/>
      <c r="L73" s="2554"/>
      <c r="M73" s="2554">
        <f t="shared" ref="M73:AE73" si="29">M62+M63+M64+M67+M68</f>
        <v>1826.9639063780155</v>
      </c>
      <c r="N73" s="2554">
        <f t="shared" si="29"/>
        <v>5751.7997161934418</v>
      </c>
      <c r="O73" s="2554">
        <f t="shared" si="29"/>
        <v>1600</v>
      </c>
      <c r="P73" s="2554">
        <f t="shared" si="29"/>
        <v>1589.6554950071065</v>
      </c>
      <c r="Q73" s="2554"/>
      <c r="R73" s="2554"/>
      <c r="S73" s="2554">
        <f t="shared" si="29"/>
        <v>2213.5064213035557</v>
      </c>
      <c r="T73" s="2554"/>
      <c r="U73" s="2554"/>
      <c r="V73" s="2554">
        <f t="shared" si="29"/>
        <v>2590.328598696281</v>
      </c>
      <c r="W73" s="2554"/>
      <c r="X73" s="2554"/>
      <c r="Y73" s="2554">
        <f t="shared" si="29"/>
        <v>2979.9539693283837</v>
      </c>
      <c r="Z73" s="2554"/>
      <c r="AA73" s="2554"/>
      <c r="AB73" s="2554">
        <f t="shared" si="29"/>
        <v>3427.3430295480966</v>
      </c>
      <c r="AC73" s="2554"/>
      <c r="AD73" s="2554"/>
      <c r="AE73" s="2554">
        <f t="shared" si="29"/>
        <v>3943.2565876320309</v>
      </c>
      <c r="AF73" s="2554"/>
      <c r="AG73" s="2554"/>
      <c r="AH73" s="2554">
        <f>AH62+AH63+AH64+AH67+AH68+AH69</f>
        <v>3505.5423818584377</v>
      </c>
      <c r="AI73" s="2554"/>
      <c r="AJ73" s="2554"/>
      <c r="AK73" s="2554">
        <v>1901.52</v>
      </c>
      <c r="AL73" s="2554"/>
      <c r="AM73" s="2554"/>
      <c r="AN73" s="2554">
        <f>AN62+AN63+AN64+AN67+AN68+AN69</f>
        <v>1524.0771764999997</v>
      </c>
      <c r="AO73" s="2554"/>
      <c r="AP73" s="2554"/>
      <c r="AQ73" s="2554">
        <f>AQ62+AQ63+AQ64+AQ67+AQ68+AQ69</f>
        <v>2286.1356703499991</v>
      </c>
      <c r="AR73" s="2554"/>
      <c r="AS73" s="2554"/>
      <c r="AT73" s="2554">
        <f>AT62+AT63+AT64+AT67+AT68+AT69</f>
        <v>3048.1779424799993</v>
      </c>
      <c r="AU73" s="2554"/>
      <c r="AV73" s="2554"/>
      <c r="AW73" s="2554">
        <f>AW62+AW63+AW64+AW67+AW68+AW69</f>
        <v>4460.613754</v>
      </c>
      <c r="AX73" s="2554"/>
      <c r="AY73" s="2554"/>
      <c r="AZ73" s="2554">
        <v>2468.25</v>
      </c>
      <c r="BA73" s="2420"/>
      <c r="BB73" s="2420"/>
      <c r="BC73" s="2420">
        <f>BC62+BC63+BC64+BC67+BC68+BC69</f>
        <v>898.00934400000017</v>
      </c>
      <c r="BD73" s="2420"/>
      <c r="BE73" s="2420"/>
      <c r="BF73" s="2420">
        <f>BF62+BF63+BF64+BF67+BF68+BF69</f>
        <v>1773.2622649999998</v>
      </c>
      <c r="BG73" s="2554"/>
      <c r="BH73" s="2554"/>
      <c r="BI73" s="2554">
        <f>BI62+BI63+BI64+BI67+BI68+BI69</f>
        <v>2893.3703879999998</v>
      </c>
      <c r="BJ73" s="2554"/>
      <c r="BK73" s="2554"/>
      <c r="BL73" s="2554">
        <f>BL62+BL63+BL64+BL67+BL68+BL69</f>
        <v>3106.4961817766298</v>
      </c>
      <c r="BM73" s="2554"/>
      <c r="BN73" s="2554"/>
      <c r="BO73" s="2554">
        <f>SUM(BO70-BO72)</f>
        <v>2834.2985375757526</v>
      </c>
      <c r="BP73" s="2554"/>
      <c r="BQ73" s="2554"/>
      <c r="BR73" s="2554">
        <f>BR62+BR63+BR64+BR67+BR68+BR69</f>
        <v>1092.2115382747097</v>
      </c>
      <c r="BS73" s="2554"/>
      <c r="BT73" s="2554"/>
      <c r="BU73" s="2554">
        <f>BU62+BU63+BU64+BU67+BU68+BU69</f>
        <v>1703.8402346036064</v>
      </c>
      <c r="BV73" s="2554"/>
      <c r="BW73" s="2554"/>
      <c r="BX73" s="2554">
        <f>BX62+BX63+BX64+BX67+BX68+BX69</f>
        <v>2377.5001206391948</v>
      </c>
      <c r="BY73" s="2420"/>
      <c r="BZ73" s="2420"/>
      <c r="CA73" s="2420">
        <f>CA62+CA63+CA64+CA67+CA68+CA69</f>
        <v>3528.2232502823736</v>
      </c>
      <c r="CB73" s="2420"/>
      <c r="CC73" s="2420"/>
      <c r="CD73" s="2420">
        <f>CD62+CD63+CD64+CD67+CD68+CD69</f>
        <v>3305.4658779997299</v>
      </c>
      <c r="CE73" s="2554"/>
      <c r="CF73" s="2554"/>
      <c r="CG73" s="2554" t="e">
        <f>CG62+CG63+CG64+CG67+CG68+CG69</f>
        <v>#DIV/0!</v>
      </c>
      <c r="CH73" s="2554"/>
      <c r="CI73" s="2554"/>
      <c r="CJ73" s="2554" t="e">
        <f>CJ62+CJ63+CJ64+CJ67+CJ68+CJ69</f>
        <v>#DIV/0!</v>
      </c>
    </row>
    <row r="79" spans="1:88" ht="20.25" x14ac:dyDescent="0.3">
      <c r="A79" s="2435" t="s">
        <v>4016</v>
      </c>
      <c r="AI79" s="2700"/>
    </row>
    <row r="81" spans="35:38" x14ac:dyDescent="0.2">
      <c r="AL81" s="2613"/>
    </row>
    <row r="82" spans="35:38" x14ac:dyDescent="0.2">
      <c r="AI82" s="2700"/>
    </row>
  </sheetData>
  <mergeCells count="47">
    <mergeCell ref="A3:P3"/>
    <mergeCell ref="B58:D59"/>
    <mergeCell ref="T58:V59"/>
    <mergeCell ref="Q58:S59"/>
    <mergeCell ref="K58:M59"/>
    <mergeCell ref="H58:J59"/>
    <mergeCell ref="E58:G59"/>
    <mergeCell ref="A41:A42"/>
    <mergeCell ref="B41:D41"/>
    <mergeCell ref="N27:P27"/>
    <mergeCell ref="A17:P17"/>
    <mergeCell ref="B27:D27"/>
    <mergeCell ref="A27:A28"/>
    <mergeCell ref="K27:M27"/>
    <mergeCell ref="A58:A60"/>
    <mergeCell ref="N4:P4"/>
    <mergeCell ref="W58:Y59"/>
    <mergeCell ref="BP58:BR59"/>
    <mergeCell ref="AC58:AE59"/>
    <mergeCell ref="CE58:CG59"/>
    <mergeCell ref="BS58:BU59"/>
    <mergeCell ref="BV58:BX59"/>
    <mergeCell ref="AO58:AQ59"/>
    <mergeCell ref="AI58:AK59"/>
    <mergeCell ref="AF58:AH59"/>
    <mergeCell ref="AL58:AN59"/>
    <mergeCell ref="BA58:BC59"/>
    <mergeCell ref="AU59:AW59"/>
    <mergeCell ref="AX59:AZ59"/>
    <mergeCell ref="AU58:AZ58"/>
    <mergeCell ref="AR58:AT59"/>
    <mergeCell ref="CH58:CJ59"/>
    <mergeCell ref="A2:CJ2"/>
    <mergeCell ref="BY58:CD58"/>
    <mergeCell ref="BY59:CA59"/>
    <mergeCell ref="CB59:CD59"/>
    <mergeCell ref="BJ58:BO58"/>
    <mergeCell ref="BJ59:BL59"/>
    <mergeCell ref="BM59:BO59"/>
    <mergeCell ref="BD58:BF59"/>
    <mergeCell ref="BG58:BI59"/>
    <mergeCell ref="B4:D4"/>
    <mergeCell ref="A4:A5"/>
    <mergeCell ref="N58:P58"/>
    <mergeCell ref="K4:M4"/>
    <mergeCell ref="Q27:V27"/>
    <mergeCell ref="Z58:AB59"/>
  </mergeCells>
  <phoneticPr fontId="10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3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1665</v>
      </c>
    </row>
    <row r="3" spans="1:10" hidden="1" x14ac:dyDescent="0.2">
      <c r="A3" t="s">
        <v>46</v>
      </c>
      <c r="B3">
        <f>'объемы ВС и ВО 2023'!AJ50</f>
        <v>2380</v>
      </c>
      <c r="C3" s="128">
        <f>'вода 2019-2023 коррект'!K57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'объемы ВС и ВО 2023'!AJ64</f>
        <v>2300</v>
      </c>
      <c r="C4" s="128">
        <f>'стоки 2019-2023'!K56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59" t="e">
        <f>#REF!/C5</f>
        <v>#REF!</v>
      </c>
    </row>
    <row r="6" spans="1:10" hidden="1" x14ac:dyDescent="0.2"/>
    <row r="7" spans="1:10" hidden="1" x14ac:dyDescent="0.2"/>
    <row r="9" spans="1:10" x14ac:dyDescent="0.2">
      <c r="A9" s="5124" t="s">
        <v>1704</v>
      </c>
      <c r="B9" s="5124"/>
      <c r="C9" s="5124"/>
      <c r="D9" s="5124"/>
      <c r="G9" s="5124" t="s">
        <v>1800</v>
      </c>
      <c r="H9" s="5124"/>
      <c r="I9" s="5124"/>
      <c r="J9" s="5124"/>
    </row>
    <row r="10" spans="1:10" ht="13.5" x14ac:dyDescent="0.2">
      <c r="A10" s="5125" t="s">
        <v>366</v>
      </c>
      <c r="B10" s="5125"/>
      <c r="C10" s="5"/>
      <c r="D10" s="5"/>
      <c r="G10" s="5125" t="s">
        <v>366</v>
      </c>
      <c r="H10" s="5125"/>
      <c r="I10" s="5"/>
      <c r="J10" s="5"/>
    </row>
    <row r="11" spans="1:10" ht="29.25" customHeight="1" x14ac:dyDescent="0.2">
      <c r="A11" s="1913" t="s">
        <v>1557</v>
      </c>
      <c r="B11" s="1913" t="s">
        <v>1705</v>
      </c>
      <c r="C11" s="1910" t="s">
        <v>1706</v>
      </c>
      <c r="D11" s="1910" t="s">
        <v>1707</v>
      </c>
      <c r="G11" s="2054" t="s">
        <v>1557</v>
      </c>
      <c r="H11" s="2054" t="s">
        <v>1705</v>
      </c>
      <c r="I11" s="2053" t="s">
        <v>1706</v>
      </c>
      <c r="J11" s="2053" t="s">
        <v>1707</v>
      </c>
    </row>
    <row r="12" spans="1:10" x14ac:dyDescent="0.2">
      <c r="A12" s="1748" t="s">
        <v>256</v>
      </c>
      <c r="B12" s="1741">
        <f>'факт шаблон вода'!A3</f>
        <v>316969.11</v>
      </c>
      <c r="C12" s="1831">
        <v>31.52</v>
      </c>
      <c r="D12" s="1928">
        <f>B12*C12/1000</f>
        <v>9990.8663471999989</v>
      </c>
      <c r="G12" s="1748" t="s">
        <v>256</v>
      </c>
      <c r="H12" s="1741">
        <v>297431.15999999997</v>
      </c>
      <c r="I12" s="1831">
        <v>33.72</v>
      </c>
      <c r="J12" s="1928">
        <f>H12*I12/1000</f>
        <v>10029.378715199999</v>
      </c>
    </row>
    <row r="13" spans="1:10" x14ac:dyDescent="0.2">
      <c r="A13" s="1748" t="s">
        <v>257</v>
      </c>
      <c r="B13" s="1741">
        <f>'факт шаблон вода'!A4</f>
        <v>317912.65999999997</v>
      </c>
      <c r="C13" s="1831">
        <v>31.52</v>
      </c>
      <c r="D13" s="1928">
        <f t="shared" ref="D13:D23" si="0">B13*C13/1000</f>
        <v>10020.6070432</v>
      </c>
      <c r="G13" s="1748" t="s">
        <v>257</v>
      </c>
      <c r="H13" s="1741">
        <v>313490.94</v>
      </c>
      <c r="I13" s="1831">
        <f>I12</f>
        <v>33.72</v>
      </c>
      <c r="J13" s="1928">
        <f t="shared" ref="J13:J23" si="1">H13*I13/1000</f>
        <v>10570.9144968</v>
      </c>
    </row>
    <row r="14" spans="1:10" x14ac:dyDescent="0.2">
      <c r="A14" s="1748" t="s">
        <v>258</v>
      </c>
      <c r="B14" s="1741">
        <f>'факт шаблон вода'!A5</f>
        <v>304216.37</v>
      </c>
      <c r="C14" s="1831">
        <v>31.52</v>
      </c>
      <c r="D14" s="1928">
        <f t="shared" si="0"/>
        <v>9588.8999824000002</v>
      </c>
      <c r="G14" s="1748" t="s">
        <v>258</v>
      </c>
      <c r="H14" s="1741">
        <v>300763.51</v>
      </c>
      <c r="I14" s="1831">
        <f t="shared" ref="I14:I17" si="2">I13</f>
        <v>33.72</v>
      </c>
      <c r="J14" s="1928">
        <f t="shared" si="1"/>
        <v>10141.7455572</v>
      </c>
    </row>
    <row r="15" spans="1:10" x14ac:dyDescent="0.2">
      <c r="A15" s="1748" t="s">
        <v>259</v>
      </c>
      <c r="B15" s="1741">
        <f>'факт шаблон вода'!A6</f>
        <v>304396.70999999996</v>
      </c>
      <c r="C15" s="1831">
        <v>31.52</v>
      </c>
      <c r="D15" s="1928">
        <f t="shared" si="0"/>
        <v>9594.584299199998</v>
      </c>
      <c r="G15" s="1748" t="s">
        <v>259</v>
      </c>
      <c r="H15" s="1741">
        <v>331898.13</v>
      </c>
      <c r="I15" s="1831">
        <f t="shared" si="2"/>
        <v>33.72</v>
      </c>
      <c r="J15" s="1928">
        <f t="shared" si="1"/>
        <v>11191.604943599999</v>
      </c>
    </row>
    <row r="16" spans="1:10" x14ac:dyDescent="0.2">
      <c r="A16" s="1748" t="s">
        <v>260</v>
      </c>
      <c r="B16" s="1741">
        <f>'факт шаблон вода'!A7</f>
        <v>291575.15000000002</v>
      </c>
      <c r="C16" s="1831">
        <v>31.52</v>
      </c>
      <c r="D16" s="1928">
        <f t="shared" si="0"/>
        <v>9190.4487279999994</v>
      </c>
      <c r="G16" s="1748" t="s">
        <v>260</v>
      </c>
      <c r="H16" s="1741">
        <v>308464.90000000002</v>
      </c>
      <c r="I16" s="1831">
        <f t="shared" si="2"/>
        <v>33.72</v>
      </c>
      <c r="J16" s="1928">
        <f t="shared" si="1"/>
        <v>10401.436428000001</v>
      </c>
    </row>
    <row r="17" spans="1:10" x14ac:dyDescent="0.2">
      <c r="A17" s="1748" t="s">
        <v>261</v>
      </c>
      <c r="B17" s="1741">
        <f>'факт шаблон вода'!A8</f>
        <v>286018.59999999998</v>
      </c>
      <c r="C17" s="1831">
        <v>31.52</v>
      </c>
      <c r="D17" s="1928">
        <f t="shared" si="0"/>
        <v>9015.3062719999998</v>
      </c>
      <c r="G17" s="1748" t="s">
        <v>261</v>
      </c>
      <c r="H17" s="1741">
        <v>299031.53000000003</v>
      </c>
      <c r="I17" s="1831">
        <f t="shared" si="2"/>
        <v>33.72</v>
      </c>
      <c r="J17" s="1928">
        <f t="shared" si="1"/>
        <v>10083.343191600001</v>
      </c>
    </row>
    <row r="18" spans="1:10" x14ac:dyDescent="0.2">
      <c r="A18" s="1748" t="s">
        <v>1207</v>
      </c>
      <c r="B18" s="1741">
        <f>'факт шаблон вода'!A9</f>
        <v>260188.14</v>
      </c>
      <c r="C18" s="1831">
        <v>33.72</v>
      </c>
      <c r="D18" s="1928">
        <f t="shared" si="0"/>
        <v>8773.5440808000003</v>
      </c>
      <c r="G18" s="1748" t="s">
        <v>1207</v>
      </c>
      <c r="H18" s="1741">
        <v>265486.43</v>
      </c>
      <c r="I18" s="1831">
        <v>36.03</v>
      </c>
      <c r="J18" s="1928">
        <f t="shared" si="1"/>
        <v>9565.4760729000009</v>
      </c>
    </row>
    <row r="19" spans="1:10" x14ac:dyDescent="0.2">
      <c r="A19" s="1748" t="s">
        <v>262</v>
      </c>
      <c r="B19" s="1741">
        <f>'факт шаблон вода'!A10</f>
        <v>290647.99</v>
      </c>
      <c r="C19" s="1831">
        <v>33.72</v>
      </c>
      <c r="D19" s="1928">
        <f t="shared" si="0"/>
        <v>9800.650222799999</v>
      </c>
      <c r="G19" s="1748" t="s">
        <v>262</v>
      </c>
      <c r="H19" s="1741">
        <v>278767.39</v>
      </c>
      <c r="I19" s="1831">
        <f>I18</f>
        <v>36.03</v>
      </c>
      <c r="J19" s="1928">
        <f t="shared" si="1"/>
        <v>10043.989061700002</v>
      </c>
    </row>
    <row r="20" spans="1:10" x14ac:dyDescent="0.2">
      <c r="A20" s="1748" t="s">
        <v>1225</v>
      </c>
      <c r="B20" s="1741">
        <f>'факт шаблон вода'!A11</f>
        <v>297249.68</v>
      </c>
      <c r="C20" s="1831">
        <v>33.72</v>
      </c>
      <c r="D20" s="1928">
        <f t="shared" si="0"/>
        <v>10023.259209599999</v>
      </c>
      <c r="G20" s="1748" t="s">
        <v>1225</v>
      </c>
      <c r="H20" s="1741">
        <v>311652.93</v>
      </c>
      <c r="I20" s="1831">
        <f t="shared" ref="I20:I23" si="3">I19</f>
        <v>36.03</v>
      </c>
      <c r="J20" s="1928">
        <f t="shared" si="1"/>
        <v>11228.8550679</v>
      </c>
    </row>
    <row r="21" spans="1:10" x14ac:dyDescent="0.2">
      <c r="A21" s="1748" t="s">
        <v>263</v>
      </c>
      <c r="B21" s="1741">
        <f>'факт шаблон вода'!A12</f>
        <v>296237.41000000003</v>
      </c>
      <c r="C21" s="1831">
        <v>33.72</v>
      </c>
      <c r="D21" s="1928">
        <f t="shared" si="0"/>
        <v>9989.1254652000007</v>
      </c>
      <c r="G21" s="1748" t="s">
        <v>263</v>
      </c>
      <c r="H21" s="1741">
        <v>330434.25</v>
      </c>
      <c r="I21" s="1831">
        <f t="shared" si="3"/>
        <v>36.03</v>
      </c>
      <c r="J21" s="1928">
        <f t="shared" si="1"/>
        <v>11905.5460275</v>
      </c>
    </row>
    <row r="22" spans="1:10" x14ac:dyDescent="0.2">
      <c r="A22" s="1748" t="s">
        <v>264</v>
      </c>
      <c r="B22" s="1741">
        <f>'факт шаблон вода'!A13</f>
        <v>308631.80000000005</v>
      </c>
      <c r="C22" s="1831">
        <v>33.72</v>
      </c>
      <c r="D22" s="1928">
        <f t="shared" si="0"/>
        <v>10407.064296000002</v>
      </c>
      <c r="G22" s="1748" t="s">
        <v>264</v>
      </c>
      <c r="H22" s="1741">
        <v>322945.25</v>
      </c>
      <c r="I22" s="1831">
        <f t="shared" si="3"/>
        <v>36.03</v>
      </c>
      <c r="J22" s="1928">
        <f t="shared" si="1"/>
        <v>11635.7173575</v>
      </c>
    </row>
    <row r="23" spans="1:10" x14ac:dyDescent="0.2">
      <c r="A23" s="1748" t="s">
        <v>1316</v>
      </c>
      <c r="B23" s="1741">
        <f>'факт шаблон вода'!A14</f>
        <v>292296.71999999997</v>
      </c>
      <c r="C23" s="1831">
        <v>33.72</v>
      </c>
      <c r="D23" s="1928">
        <f t="shared" si="0"/>
        <v>9856.2453983999985</v>
      </c>
      <c r="G23" s="1748" t="s">
        <v>1316</v>
      </c>
      <c r="H23" s="1741">
        <v>295429.2</v>
      </c>
      <c r="I23" s="1831">
        <f t="shared" si="3"/>
        <v>36.03</v>
      </c>
      <c r="J23" s="1928">
        <f t="shared" si="1"/>
        <v>10644.314076000001</v>
      </c>
    </row>
    <row r="24" spans="1:10" x14ac:dyDescent="0.2">
      <c r="A24" s="1748" t="s">
        <v>280</v>
      </c>
      <c r="B24" s="1749">
        <f>SUM(B12:B23)</f>
        <v>3566340.3400000008</v>
      </c>
      <c r="C24" s="1928">
        <f>D24/B24*1000</f>
        <v>32.596608921738515</v>
      </c>
      <c r="D24" s="1929">
        <f>SUM(D12:D23)</f>
        <v>116250.6013448</v>
      </c>
      <c r="G24" s="1748" t="s">
        <v>280</v>
      </c>
      <c r="H24" s="1749">
        <f>SUM(H12:H23)</f>
        <v>3655795.6200000006</v>
      </c>
      <c r="I24" s="1928">
        <f>J24/H24*1000</f>
        <v>34.860351683418223</v>
      </c>
      <c r="J24" s="1929">
        <f>SUM(J12:J23)</f>
        <v>127442.32099589999</v>
      </c>
    </row>
    <row r="26" spans="1:10" ht="13.5" x14ac:dyDescent="0.2">
      <c r="A26" s="5125" t="s">
        <v>25</v>
      </c>
      <c r="B26" s="5125"/>
      <c r="C26" s="5"/>
      <c r="D26" s="5"/>
      <c r="G26" s="5125" t="s">
        <v>25</v>
      </c>
      <c r="H26" s="5125"/>
      <c r="I26" s="5"/>
      <c r="J26" s="5"/>
    </row>
    <row r="27" spans="1:10" ht="36.75" customHeight="1" x14ac:dyDescent="0.2">
      <c r="A27" s="1913" t="s">
        <v>1557</v>
      </c>
      <c r="B27" s="1913" t="s">
        <v>1705</v>
      </c>
      <c r="C27" s="1910" t="s">
        <v>1706</v>
      </c>
      <c r="D27" s="1910" t="s">
        <v>1707</v>
      </c>
      <c r="G27" s="2054" t="s">
        <v>1557</v>
      </c>
      <c r="H27" s="2054" t="s">
        <v>1705</v>
      </c>
      <c r="I27" s="2053" t="s">
        <v>1706</v>
      </c>
      <c r="J27" s="2053" t="s">
        <v>1707</v>
      </c>
    </row>
    <row r="28" spans="1:10" x14ac:dyDescent="0.2">
      <c r="A28" s="1748" t="s">
        <v>256</v>
      </c>
      <c r="B28" s="1741">
        <f>'факт шаблон вода'!A31</f>
        <v>315</v>
      </c>
      <c r="C28" s="1831">
        <v>16.059999999999999</v>
      </c>
      <c r="D28" s="1928">
        <f>B28*C28/1000</f>
        <v>5.0588999999999995</v>
      </c>
      <c r="G28" s="1748" t="s">
        <v>256</v>
      </c>
      <c r="H28" s="1741">
        <v>276</v>
      </c>
      <c r="I28" s="1831">
        <v>16.059999999999999</v>
      </c>
      <c r="J28" s="1928">
        <f>H28*I28/1000</f>
        <v>4.4325599999999996</v>
      </c>
    </row>
    <row r="29" spans="1:10" x14ac:dyDescent="0.2">
      <c r="A29" s="1748" t="s">
        <v>257</v>
      </c>
      <c r="B29" s="1741">
        <f>'факт шаблон вода'!A32</f>
        <v>208</v>
      </c>
      <c r="C29" s="1831">
        <v>16.059999999999999</v>
      </c>
      <c r="D29" s="1928">
        <f t="shared" ref="D29:D39" si="4">B29*C29/1000</f>
        <v>3.3404799999999994</v>
      </c>
      <c r="G29" s="1748" t="s">
        <v>257</v>
      </c>
      <c r="H29" s="1741">
        <v>247</v>
      </c>
      <c r="I29" s="1831">
        <f>I28</f>
        <v>16.059999999999999</v>
      </c>
      <c r="J29" s="1928">
        <f t="shared" ref="J29:J39" si="5">H29*I29/1000</f>
        <v>3.9668199999999998</v>
      </c>
    </row>
    <row r="30" spans="1:10" x14ac:dyDescent="0.2">
      <c r="A30" s="1748" t="s">
        <v>258</v>
      </c>
      <c r="B30" s="1741">
        <f>'факт шаблон вода'!A33</f>
        <v>260</v>
      </c>
      <c r="C30" s="1831">
        <v>16.059999999999999</v>
      </c>
      <c r="D30" s="1928">
        <f t="shared" si="4"/>
        <v>4.1755999999999993</v>
      </c>
      <c r="G30" s="1748" t="s">
        <v>258</v>
      </c>
      <c r="H30" s="1741">
        <v>149</v>
      </c>
      <c r="I30" s="1831">
        <f t="shared" ref="I30:I33" si="6">I29</f>
        <v>16.059999999999999</v>
      </c>
      <c r="J30" s="1928">
        <f t="shared" si="5"/>
        <v>2.3929399999999994</v>
      </c>
    </row>
    <row r="31" spans="1:10" x14ac:dyDescent="0.2">
      <c r="A31" s="1748" t="s">
        <v>259</v>
      </c>
      <c r="B31" s="1741">
        <f>'факт шаблон вода'!A34</f>
        <v>305</v>
      </c>
      <c r="C31" s="1831">
        <v>16.059999999999999</v>
      </c>
      <c r="D31" s="1928">
        <f t="shared" si="4"/>
        <v>4.898299999999999</v>
      </c>
      <c r="G31" s="1748" t="s">
        <v>259</v>
      </c>
      <c r="H31" s="1741">
        <v>175</v>
      </c>
      <c r="I31" s="1831">
        <f t="shared" si="6"/>
        <v>16.059999999999999</v>
      </c>
      <c r="J31" s="1928">
        <f t="shared" si="5"/>
        <v>2.8105000000000002</v>
      </c>
    </row>
    <row r="32" spans="1:10" x14ac:dyDescent="0.2">
      <c r="A32" s="1748" t="s">
        <v>260</v>
      </c>
      <c r="B32" s="1741">
        <f>'факт шаблон вода'!A35</f>
        <v>181</v>
      </c>
      <c r="C32" s="1831">
        <v>16.059999999999999</v>
      </c>
      <c r="D32" s="1928">
        <f t="shared" si="4"/>
        <v>2.9068599999999996</v>
      </c>
      <c r="G32" s="1748" t="s">
        <v>260</v>
      </c>
      <c r="H32" s="1741">
        <v>104</v>
      </c>
      <c r="I32" s="1831">
        <f t="shared" si="6"/>
        <v>16.059999999999999</v>
      </c>
      <c r="J32" s="1928">
        <f t="shared" si="5"/>
        <v>1.6702399999999997</v>
      </c>
    </row>
    <row r="33" spans="1:10" x14ac:dyDescent="0.2">
      <c r="A33" s="1748" t="s">
        <v>261</v>
      </c>
      <c r="B33" s="1741">
        <f>'факт шаблон вода'!A36</f>
        <v>194</v>
      </c>
      <c r="C33" s="1831">
        <v>16.059999999999999</v>
      </c>
      <c r="D33" s="1928">
        <f t="shared" si="4"/>
        <v>3.11564</v>
      </c>
      <c r="G33" s="1748" t="s">
        <v>261</v>
      </c>
      <c r="H33" s="1741">
        <v>125</v>
      </c>
      <c r="I33" s="1831">
        <f t="shared" si="6"/>
        <v>16.059999999999999</v>
      </c>
      <c r="J33" s="1928">
        <f t="shared" si="5"/>
        <v>2.0074999999999998</v>
      </c>
    </row>
    <row r="34" spans="1:10" x14ac:dyDescent="0.2">
      <c r="A34" s="1748" t="s">
        <v>1207</v>
      </c>
      <c r="B34" s="1741">
        <f>'факт шаблон вода'!A37</f>
        <v>220</v>
      </c>
      <c r="C34" s="1831">
        <v>16.059999999999999</v>
      </c>
      <c r="D34" s="1928">
        <f t="shared" si="4"/>
        <v>3.5331999999999999</v>
      </c>
      <c r="G34" s="1748" t="s">
        <v>1207</v>
      </c>
      <c r="H34" s="1741">
        <v>140</v>
      </c>
      <c r="I34" s="1831">
        <v>17.93</v>
      </c>
      <c r="J34" s="1928">
        <f t="shared" si="5"/>
        <v>2.5101999999999998</v>
      </c>
    </row>
    <row r="35" spans="1:10" x14ac:dyDescent="0.2">
      <c r="A35" s="1748" t="s">
        <v>262</v>
      </c>
      <c r="B35" s="1741">
        <f>'факт шаблон вода'!A38</f>
        <v>134</v>
      </c>
      <c r="C35" s="1831">
        <v>16.059999999999999</v>
      </c>
      <c r="D35" s="1928">
        <f t="shared" si="4"/>
        <v>2.15204</v>
      </c>
      <c r="G35" s="1748" t="s">
        <v>262</v>
      </c>
      <c r="H35" s="1741">
        <v>174</v>
      </c>
      <c r="I35" s="1831">
        <f>I34</f>
        <v>17.93</v>
      </c>
      <c r="J35" s="1928">
        <f t="shared" si="5"/>
        <v>3.1198200000000003</v>
      </c>
    </row>
    <row r="36" spans="1:10" x14ac:dyDescent="0.2">
      <c r="A36" s="1748" t="s">
        <v>1225</v>
      </c>
      <c r="B36" s="1741">
        <f>'факт шаблон вода'!A39</f>
        <v>130</v>
      </c>
      <c r="C36" s="1831">
        <v>16.059999999999999</v>
      </c>
      <c r="D36" s="1928">
        <f t="shared" si="4"/>
        <v>2.0877999999999997</v>
      </c>
      <c r="G36" s="1748" t="s">
        <v>1225</v>
      </c>
      <c r="H36" s="1741">
        <v>0</v>
      </c>
      <c r="I36" s="1831">
        <f t="shared" ref="I36:I39" si="7">I35</f>
        <v>17.93</v>
      </c>
      <c r="J36" s="1928">
        <f t="shared" si="5"/>
        <v>0</v>
      </c>
    </row>
    <row r="37" spans="1:10" x14ac:dyDescent="0.2">
      <c r="A37" s="1748" t="s">
        <v>263</v>
      </c>
      <c r="B37" s="1741">
        <f>'факт шаблон вода'!A40</f>
        <v>113</v>
      </c>
      <c r="C37" s="1831">
        <v>16.059999999999999</v>
      </c>
      <c r="D37" s="1928">
        <f t="shared" si="4"/>
        <v>1.8147799999999998</v>
      </c>
      <c r="G37" s="1748" t="s">
        <v>263</v>
      </c>
      <c r="H37" s="1741">
        <v>64</v>
      </c>
      <c r="I37" s="1831">
        <f t="shared" si="7"/>
        <v>17.93</v>
      </c>
      <c r="J37" s="1928">
        <f t="shared" si="5"/>
        <v>1.1475199999999999</v>
      </c>
    </row>
    <row r="38" spans="1:10" x14ac:dyDescent="0.2">
      <c r="A38" s="1748" t="s">
        <v>264</v>
      </c>
      <c r="B38" s="1741">
        <f>'факт шаблон вода'!A41</f>
        <v>90</v>
      </c>
      <c r="C38" s="1831">
        <v>16.059999999999999</v>
      </c>
      <c r="D38" s="1928">
        <f t="shared" si="4"/>
        <v>1.4453999999999998</v>
      </c>
      <c r="G38" s="1748" t="s">
        <v>264</v>
      </c>
      <c r="H38" s="1741">
        <v>179</v>
      </c>
      <c r="I38" s="1831">
        <f t="shared" si="7"/>
        <v>17.93</v>
      </c>
      <c r="J38" s="1928">
        <f t="shared" si="5"/>
        <v>3.2094699999999996</v>
      </c>
    </row>
    <row r="39" spans="1:10" x14ac:dyDescent="0.2">
      <c r="A39" s="1748" t="s">
        <v>1316</v>
      </c>
      <c r="B39" s="1741">
        <f>'факт шаблон вода'!A42</f>
        <v>249</v>
      </c>
      <c r="C39" s="1831">
        <v>16.059999999999999</v>
      </c>
      <c r="D39" s="1928">
        <f t="shared" si="4"/>
        <v>3.9989399999999997</v>
      </c>
      <c r="G39" s="1748" t="s">
        <v>1316</v>
      </c>
      <c r="H39" s="1741">
        <v>140</v>
      </c>
      <c r="I39" s="1831">
        <f t="shared" si="7"/>
        <v>17.93</v>
      </c>
      <c r="J39" s="1928">
        <f t="shared" si="5"/>
        <v>2.5101999999999998</v>
      </c>
    </row>
    <row r="40" spans="1:10" x14ac:dyDescent="0.2">
      <c r="A40" s="1748" t="s">
        <v>280</v>
      </c>
      <c r="B40" s="1749">
        <f>SUM(B28:B39)</f>
        <v>2399</v>
      </c>
      <c r="C40" s="1928">
        <f>D40/B40*1000</f>
        <v>16.059999999999995</v>
      </c>
      <c r="D40" s="1929">
        <f>SUM(D28:D39)</f>
        <v>38.527939999999987</v>
      </c>
      <c r="G40" s="1748" t="s">
        <v>280</v>
      </c>
      <c r="H40" s="1749">
        <f>SUM(H28:H39)</f>
        <v>1773</v>
      </c>
      <c r="I40" s="1928">
        <f>J40/H40*1000</f>
        <v>16.795132543711222</v>
      </c>
      <c r="J40" s="1929">
        <f>SUM(J28:J39)</f>
        <v>29.77777</v>
      </c>
    </row>
    <row r="42" spans="1:10" ht="13.5" x14ac:dyDescent="0.2">
      <c r="A42" s="5125" t="s">
        <v>47</v>
      </c>
      <c r="B42" s="5125"/>
      <c r="C42" s="5"/>
      <c r="D42" s="5"/>
      <c r="G42" s="5125" t="s">
        <v>47</v>
      </c>
      <c r="H42" s="5125"/>
      <c r="I42" s="5"/>
      <c r="J42" s="5"/>
    </row>
    <row r="43" spans="1:10" ht="51" x14ac:dyDescent="0.2">
      <c r="A43" s="1913" t="s">
        <v>1557</v>
      </c>
      <c r="B43" s="1913" t="s">
        <v>1705</v>
      </c>
      <c r="C43" s="1910" t="s">
        <v>1706</v>
      </c>
      <c r="D43" s="1910" t="s">
        <v>1707</v>
      </c>
      <c r="G43" s="2054" t="s">
        <v>1557</v>
      </c>
      <c r="H43" s="2054" t="s">
        <v>1705</v>
      </c>
      <c r="I43" s="2053" t="s">
        <v>1706</v>
      </c>
      <c r="J43" s="2053" t="s">
        <v>1707</v>
      </c>
    </row>
    <row r="44" spans="1:10" x14ac:dyDescent="0.2">
      <c r="A44" s="1748" t="s">
        <v>256</v>
      </c>
      <c r="B44" s="1741">
        <f>'факт шаблон стоки'!A3</f>
        <v>271693.3</v>
      </c>
      <c r="C44" s="1830">
        <v>24.29</v>
      </c>
      <c r="D44" s="1928">
        <f>B44*C44/1000</f>
        <v>6599.4302569999991</v>
      </c>
      <c r="G44" s="1748" t="s">
        <v>256</v>
      </c>
      <c r="H44" s="1741">
        <v>256714.54</v>
      </c>
      <c r="I44" s="1830">
        <v>25.13</v>
      </c>
      <c r="J44" s="1928">
        <f>H44*I44/1000</f>
        <v>6451.2363902000006</v>
      </c>
    </row>
    <row r="45" spans="1:10" x14ac:dyDescent="0.2">
      <c r="A45" s="1748" t="s">
        <v>257</v>
      </c>
      <c r="B45" s="1741">
        <f>'факт шаблон стоки'!A4</f>
        <v>267880.98</v>
      </c>
      <c r="C45" s="1830">
        <v>24.29</v>
      </c>
      <c r="D45" s="1928">
        <f t="shared" ref="D45:D55" si="8">B45*C45/1000</f>
        <v>6506.829004199999</v>
      </c>
      <c r="G45" s="1748" t="s">
        <v>257</v>
      </c>
      <c r="H45" s="1741">
        <v>271358.69</v>
      </c>
      <c r="I45" s="1830">
        <f>I44</f>
        <v>25.13</v>
      </c>
      <c r="J45" s="1928">
        <f t="shared" ref="J45:J55" si="9">H45*I45/1000</f>
        <v>6819.2438796999995</v>
      </c>
    </row>
    <row r="46" spans="1:10" x14ac:dyDescent="0.2">
      <c r="A46" s="1748" t="s">
        <v>258</v>
      </c>
      <c r="B46" s="1741">
        <f>'факт шаблон стоки'!A5</f>
        <v>264651.92</v>
      </c>
      <c r="C46" s="1830">
        <v>24.29</v>
      </c>
      <c r="D46" s="1928">
        <f t="shared" si="8"/>
        <v>6428.3951367999998</v>
      </c>
      <c r="G46" s="1748" t="s">
        <v>258</v>
      </c>
      <c r="H46" s="1741">
        <v>258066.01</v>
      </c>
      <c r="I46" s="1830">
        <f t="shared" ref="I46:I49" si="10">I45</f>
        <v>25.13</v>
      </c>
      <c r="J46" s="1928">
        <f t="shared" si="9"/>
        <v>6485.1988313000002</v>
      </c>
    </row>
    <row r="47" spans="1:10" x14ac:dyDescent="0.2">
      <c r="A47" s="1748" t="s">
        <v>259</v>
      </c>
      <c r="B47" s="1741">
        <f>'факт шаблон стоки'!A6</f>
        <v>262160.76</v>
      </c>
      <c r="C47" s="1830">
        <v>24.29</v>
      </c>
      <c r="D47" s="1928">
        <f t="shared" si="8"/>
        <v>6367.8848603999995</v>
      </c>
      <c r="G47" s="1748" t="s">
        <v>259</v>
      </c>
      <c r="H47" s="1741">
        <v>284605.92</v>
      </c>
      <c r="I47" s="1830">
        <f t="shared" si="10"/>
        <v>25.13</v>
      </c>
      <c r="J47" s="1928">
        <f t="shared" si="9"/>
        <v>7152.1467695999991</v>
      </c>
    </row>
    <row r="48" spans="1:10" x14ac:dyDescent="0.2">
      <c r="A48" s="1748" t="s">
        <v>260</v>
      </c>
      <c r="B48" s="1741">
        <f>'факт шаблон стоки'!A7</f>
        <v>251481.02000000002</v>
      </c>
      <c r="C48" s="1830">
        <v>24.29</v>
      </c>
      <c r="D48" s="1928">
        <f t="shared" si="8"/>
        <v>6108.4739758000005</v>
      </c>
      <c r="G48" s="1748" t="s">
        <v>260</v>
      </c>
      <c r="H48" s="1741">
        <v>266109.43</v>
      </c>
      <c r="I48" s="1830">
        <f t="shared" si="10"/>
        <v>25.13</v>
      </c>
      <c r="J48" s="1928">
        <f t="shared" si="9"/>
        <v>6687.3299759000001</v>
      </c>
    </row>
    <row r="49" spans="1:10" x14ac:dyDescent="0.2">
      <c r="A49" s="1748" t="s">
        <v>261</v>
      </c>
      <c r="B49" s="1741">
        <f>'факт шаблон стоки'!A8</f>
        <v>249611.67</v>
      </c>
      <c r="C49" s="1830">
        <v>24.29</v>
      </c>
      <c r="D49" s="1928">
        <f t="shared" si="8"/>
        <v>6063.0674643000002</v>
      </c>
      <c r="G49" s="1748" t="s">
        <v>261</v>
      </c>
      <c r="H49" s="1741">
        <v>255710.26</v>
      </c>
      <c r="I49" s="1830">
        <f t="shared" si="10"/>
        <v>25.13</v>
      </c>
      <c r="J49" s="1928">
        <f t="shared" si="9"/>
        <v>6425.9988338000003</v>
      </c>
    </row>
    <row r="50" spans="1:10" x14ac:dyDescent="0.2">
      <c r="A50" s="1748" t="s">
        <v>1207</v>
      </c>
      <c r="B50" s="1741">
        <f>'факт шаблон стоки'!A9</f>
        <v>223476.73</v>
      </c>
      <c r="C50" s="1831">
        <v>25.13</v>
      </c>
      <c r="D50" s="1928">
        <f t="shared" si="8"/>
        <v>5615.9702249000002</v>
      </c>
      <c r="G50" s="1748" t="s">
        <v>1207</v>
      </c>
      <c r="H50" s="1741">
        <v>231700.75</v>
      </c>
      <c r="I50" s="1831">
        <f>26.64</f>
        <v>26.64</v>
      </c>
      <c r="J50" s="1928">
        <f t="shared" si="9"/>
        <v>6172.5079800000003</v>
      </c>
    </row>
    <row r="51" spans="1:10" x14ac:dyDescent="0.2">
      <c r="A51" s="1748" t="s">
        <v>262</v>
      </c>
      <c r="B51" s="1741">
        <f>'факт шаблон стоки'!A10</f>
        <v>244501.71000000002</v>
      </c>
      <c r="C51" s="1831">
        <v>25.13</v>
      </c>
      <c r="D51" s="1928">
        <f t="shared" si="8"/>
        <v>6144.3279723000005</v>
      </c>
      <c r="G51" s="1748" t="s">
        <v>262</v>
      </c>
      <c r="H51" s="1741">
        <v>243944.76</v>
      </c>
      <c r="I51" s="1831">
        <f>I50</f>
        <v>26.64</v>
      </c>
      <c r="J51" s="1928">
        <f t="shared" si="9"/>
        <v>6498.6884064000005</v>
      </c>
    </row>
    <row r="52" spans="1:10" x14ac:dyDescent="0.2">
      <c r="A52" s="1748" t="s">
        <v>1225</v>
      </c>
      <c r="B52" s="1741">
        <f>'факт шаблон стоки'!A11</f>
        <v>254060.72000000003</v>
      </c>
      <c r="C52" s="1831">
        <v>25.13</v>
      </c>
      <c r="D52" s="1928">
        <f t="shared" si="8"/>
        <v>6384.5458936000005</v>
      </c>
      <c r="G52" s="1748" t="s">
        <v>1225</v>
      </c>
      <c r="H52" s="1741">
        <v>256648.95</v>
      </c>
      <c r="I52" s="1831">
        <f t="shared" ref="I52:I55" si="11">I51</f>
        <v>26.64</v>
      </c>
      <c r="J52" s="1928">
        <f t="shared" si="9"/>
        <v>6837.128028000001</v>
      </c>
    </row>
    <row r="53" spans="1:10" x14ac:dyDescent="0.2">
      <c r="A53" s="1748" t="s">
        <v>263</v>
      </c>
      <c r="B53" s="1741">
        <f>'факт шаблон стоки'!A12</f>
        <v>246681.56999999998</v>
      </c>
      <c r="C53" s="1831">
        <v>25.13</v>
      </c>
      <c r="D53" s="1928">
        <f t="shared" si="8"/>
        <v>6199.1078540999988</v>
      </c>
      <c r="G53" s="1748" t="s">
        <v>263</v>
      </c>
      <c r="H53" s="1741">
        <v>301809.37</v>
      </c>
      <c r="I53" s="1831">
        <f t="shared" si="11"/>
        <v>26.64</v>
      </c>
      <c r="J53" s="1928">
        <f t="shared" si="9"/>
        <v>8040.2016168</v>
      </c>
    </row>
    <row r="54" spans="1:10" x14ac:dyDescent="0.2">
      <c r="A54" s="1748" t="s">
        <v>264</v>
      </c>
      <c r="B54" s="1741">
        <f>'факт шаблон стоки'!A13</f>
        <v>253925.40000000002</v>
      </c>
      <c r="C54" s="1831">
        <v>25.13</v>
      </c>
      <c r="D54" s="1928">
        <f t="shared" si="8"/>
        <v>6381.1453019999999</v>
      </c>
      <c r="G54" s="1748" t="s">
        <v>264</v>
      </c>
      <c r="H54" s="1741">
        <v>289260.95</v>
      </c>
      <c r="I54" s="1831">
        <f t="shared" si="11"/>
        <v>26.64</v>
      </c>
      <c r="J54" s="1928">
        <f t="shared" si="9"/>
        <v>7705.9117080000005</v>
      </c>
    </row>
    <row r="55" spans="1:10" x14ac:dyDescent="0.2">
      <c r="A55" s="1748" t="s">
        <v>1316</v>
      </c>
      <c r="B55" s="1741">
        <f>'факт шаблон стоки'!A14</f>
        <v>250714.08</v>
      </c>
      <c r="C55" s="1831">
        <v>25.13</v>
      </c>
      <c r="D55" s="1928">
        <f t="shared" si="8"/>
        <v>6300.4448303999998</v>
      </c>
      <c r="G55" s="1748" t="s">
        <v>1316</v>
      </c>
      <c r="H55" s="1741">
        <v>262166.58</v>
      </c>
      <c r="I55" s="1831">
        <f t="shared" si="11"/>
        <v>26.64</v>
      </c>
      <c r="J55" s="1928">
        <f t="shared" si="9"/>
        <v>6984.1176912000001</v>
      </c>
    </row>
    <row r="56" spans="1:10" x14ac:dyDescent="0.2">
      <c r="A56" s="1748" t="s">
        <v>280</v>
      </c>
      <c r="B56" s="1749">
        <f>SUM(B44:B55)</f>
        <v>3040839.86</v>
      </c>
      <c r="C56" s="1928">
        <f>D56/B56*1000</f>
        <v>24.697000247753923</v>
      </c>
      <c r="D56" s="1929">
        <f>SUM(D44:D55)</f>
        <v>75099.622775800002</v>
      </c>
      <c r="G56" s="1748" t="s">
        <v>280</v>
      </c>
      <c r="H56" s="1749">
        <f>SUM(H44:H55)</f>
        <v>3178096.2100000004</v>
      </c>
      <c r="I56" s="1928">
        <f>J56/H56*1000</f>
        <v>25.883329098743673</v>
      </c>
      <c r="J56" s="1929">
        <f>SUM(J44:J55)</f>
        <v>82259.710110899992</v>
      </c>
    </row>
    <row r="58" spans="1:10" ht="13.5" x14ac:dyDescent="0.2">
      <c r="A58" s="5125" t="s">
        <v>1749</v>
      </c>
      <c r="B58" s="5125"/>
      <c r="C58" s="5"/>
      <c r="D58" s="5"/>
      <c r="G58" s="5125" t="s">
        <v>1749</v>
      </c>
      <c r="H58" s="5125"/>
      <c r="I58" s="5"/>
      <c r="J58" s="5"/>
    </row>
    <row r="59" spans="1:10" ht="51" x14ac:dyDescent="0.2">
      <c r="A59" s="1913" t="s">
        <v>1557</v>
      </c>
      <c r="B59" s="1913" t="s">
        <v>1705</v>
      </c>
      <c r="C59" s="1910" t="s">
        <v>1706</v>
      </c>
      <c r="D59" s="1910" t="s">
        <v>1707</v>
      </c>
      <c r="G59" s="2054" t="s">
        <v>1557</v>
      </c>
      <c r="H59" s="2054" t="s">
        <v>1705</v>
      </c>
      <c r="I59" s="2053" t="s">
        <v>1706</v>
      </c>
      <c r="J59" s="2053" t="s">
        <v>1707</v>
      </c>
    </row>
    <row r="60" spans="1:10" x14ac:dyDescent="0.2">
      <c r="A60" s="1748" t="s">
        <v>256</v>
      </c>
      <c r="B60" s="1741">
        <f>'факт шаблон стоки'!A31</f>
        <v>251.25</v>
      </c>
      <c r="C60" s="1831">
        <v>13.79</v>
      </c>
      <c r="D60" s="1928">
        <f>B60*C60/1000</f>
        <v>3.4647374999999996</v>
      </c>
      <c r="G60" s="1748" t="s">
        <v>256</v>
      </c>
      <c r="H60" s="1741">
        <v>307.5</v>
      </c>
      <c r="I60" s="1831">
        <v>14.28</v>
      </c>
      <c r="J60" s="1928">
        <f>H60*I60/1000</f>
        <v>4.3910999999999998</v>
      </c>
    </row>
    <row r="61" spans="1:10" x14ac:dyDescent="0.2">
      <c r="A61" s="1748" t="s">
        <v>257</v>
      </c>
      <c r="B61" s="1741">
        <f>'факт шаблон стоки'!A32</f>
        <v>753.75</v>
      </c>
      <c r="C61" s="1831">
        <v>13.79</v>
      </c>
      <c r="D61" s="1928">
        <f t="shared" ref="D61:D71" si="12">B61*C61/1000</f>
        <v>10.3942125</v>
      </c>
      <c r="G61" s="1748" t="s">
        <v>257</v>
      </c>
      <c r="H61" s="1741">
        <v>318.75</v>
      </c>
      <c r="I61" s="1831">
        <f>I60</f>
        <v>14.28</v>
      </c>
      <c r="J61" s="1928">
        <f t="shared" ref="J61:J71" si="13">H61*I61/1000</f>
        <v>4.5517500000000002</v>
      </c>
    </row>
    <row r="62" spans="1:10" x14ac:dyDescent="0.2">
      <c r="A62" s="1748" t="s">
        <v>258</v>
      </c>
      <c r="B62" s="1741">
        <f>'факт шаблон стоки'!A33</f>
        <v>3772.71</v>
      </c>
      <c r="C62" s="1831">
        <v>13.79</v>
      </c>
      <c r="D62" s="1928">
        <f t="shared" si="12"/>
        <v>52.025670899999994</v>
      </c>
      <c r="G62" s="1748" t="s">
        <v>258</v>
      </c>
      <c r="H62" s="1741">
        <v>3768.96</v>
      </c>
      <c r="I62" s="1831">
        <f t="shared" ref="I62:I65" si="14">I61</f>
        <v>14.28</v>
      </c>
      <c r="J62" s="1928">
        <f t="shared" si="13"/>
        <v>53.820748800000004</v>
      </c>
    </row>
    <row r="63" spans="1:10" x14ac:dyDescent="0.2">
      <c r="A63" s="1748" t="s">
        <v>259</v>
      </c>
      <c r="B63" s="1741">
        <f>'факт шаблон стоки'!A34</f>
        <v>524.5</v>
      </c>
      <c r="C63" s="1831">
        <v>13.79</v>
      </c>
      <c r="D63" s="1928">
        <f t="shared" si="12"/>
        <v>7.2328549999999998</v>
      </c>
      <c r="G63" s="1748" t="s">
        <v>259</v>
      </c>
      <c r="H63" s="1741">
        <v>427.5</v>
      </c>
      <c r="I63" s="1831">
        <f t="shared" si="14"/>
        <v>14.28</v>
      </c>
      <c r="J63" s="1928">
        <f t="shared" si="13"/>
        <v>6.1047000000000002</v>
      </c>
    </row>
    <row r="64" spans="1:10" x14ac:dyDescent="0.2">
      <c r="A64" s="1748" t="s">
        <v>260</v>
      </c>
      <c r="B64" s="1741">
        <f>'факт шаблон стоки'!A35</f>
        <v>753.75</v>
      </c>
      <c r="C64" s="1831">
        <v>13.79</v>
      </c>
      <c r="D64" s="1928">
        <f t="shared" si="12"/>
        <v>10.3942125</v>
      </c>
      <c r="G64" s="1748" t="s">
        <v>260</v>
      </c>
      <c r="H64" s="1741">
        <v>384.5</v>
      </c>
      <c r="I64" s="1831">
        <f t="shared" si="14"/>
        <v>14.28</v>
      </c>
      <c r="J64" s="1928">
        <f t="shared" si="13"/>
        <v>5.4906600000000001</v>
      </c>
    </row>
    <row r="65" spans="1:10" x14ac:dyDescent="0.2">
      <c r="A65" s="1748" t="s">
        <v>261</v>
      </c>
      <c r="B65" s="1741">
        <f>'факт шаблон стоки'!A36</f>
        <v>4175.71</v>
      </c>
      <c r="C65" s="1831">
        <v>13.79</v>
      </c>
      <c r="D65" s="1928">
        <f t="shared" si="12"/>
        <v>57.5830409</v>
      </c>
      <c r="G65" s="1748" t="s">
        <v>261</v>
      </c>
      <c r="H65" s="1741">
        <v>4077.71</v>
      </c>
      <c r="I65" s="1831">
        <f t="shared" si="14"/>
        <v>14.28</v>
      </c>
      <c r="J65" s="1928">
        <f t="shared" si="13"/>
        <v>58.229698800000001</v>
      </c>
    </row>
    <row r="66" spans="1:10" x14ac:dyDescent="0.2">
      <c r="A66" s="1748" t="s">
        <v>1207</v>
      </c>
      <c r="B66" s="1741">
        <f>'факт шаблон стоки'!A37</f>
        <v>450</v>
      </c>
      <c r="C66" s="1831">
        <v>14.28</v>
      </c>
      <c r="D66" s="1928">
        <f t="shared" si="12"/>
        <v>6.4260000000000002</v>
      </c>
      <c r="G66" s="1748" t="s">
        <v>1207</v>
      </c>
      <c r="H66" s="1741">
        <v>461.25</v>
      </c>
      <c r="I66" s="1831">
        <v>14.87</v>
      </c>
      <c r="J66" s="1928">
        <f t="shared" si="13"/>
        <v>6.8587874999999991</v>
      </c>
    </row>
    <row r="67" spans="1:10" x14ac:dyDescent="0.2">
      <c r="A67" s="1748" t="s">
        <v>262</v>
      </c>
      <c r="B67" s="1741">
        <f>'факт шаблон стоки'!A38</f>
        <v>585</v>
      </c>
      <c r="C67" s="1831">
        <v>14.28</v>
      </c>
      <c r="D67" s="1928">
        <f t="shared" si="12"/>
        <v>8.3537999999999997</v>
      </c>
      <c r="G67" s="1748" t="s">
        <v>262</v>
      </c>
      <c r="H67" s="1741">
        <v>480</v>
      </c>
      <c r="I67" s="1831">
        <f>I66</f>
        <v>14.87</v>
      </c>
      <c r="J67" s="1928">
        <f t="shared" si="13"/>
        <v>7.1375999999999991</v>
      </c>
    </row>
    <row r="68" spans="1:10" x14ac:dyDescent="0.2">
      <c r="A68" s="1748" t="s">
        <v>1225</v>
      </c>
      <c r="B68" s="1741">
        <f>'факт шаблон стоки'!A39</f>
        <v>4072.71</v>
      </c>
      <c r="C68" s="1831">
        <v>14.28</v>
      </c>
      <c r="D68" s="1928">
        <f t="shared" si="12"/>
        <v>58.158298799999997</v>
      </c>
      <c r="G68" s="1748" t="s">
        <v>1225</v>
      </c>
      <c r="H68" s="1741">
        <v>3999.46</v>
      </c>
      <c r="I68" s="1831">
        <f t="shared" ref="I68:I71" si="15">I67</f>
        <v>14.87</v>
      </c>
      <c r="J68" s="1928">
        <f t="shared" si="13"/>
        <v>59.471970199999994</v>
      </c>
    </row>
    <row r="69" spans="1:10" x14ac:dyDescent="0.2">
      <c r="A69" s="1748" t="s">
        <v>263</v>
      </c>
      <c r="B69" s="1741">
        <f>'факт шаблон стоки'!A40</f>
        <v>611.25</v>
      </c>
      <c r="C69" s="1831">
        <v>14.28</v>
      </c>
      <c r="D69" s="1928">
        <f t="shared" si="12"/>
        <v>8.72865</v>
      </c>
      <c r="G69" s="1748" t="s">
        <v>263</v>
      </c>
      <c r="H69" s="1741">
        <v>236.25</v>
      </c>
      <c r="I69" s="1831">
        <f t="shared" si="15"/>
        <v>14.87</v>
      </c>
      <c r="J69" s="1928">
        <f t="shared" si="13"/>
        <v>3.5130374999999998</v>
      </c>
    </row>
    <row r="70" spans="1:10" x14ac:dyDescent="0.2">
      <c r="A70" s="1748" t="s">
        <v>264</v>
      </c>
      <c r="B70" s="1741">
        <f>'факт шаблон стоки'!A41</f>
        <v>810</v>
      </c>
      <c r="C70" s="1831">
        <v>14.28</v>
      </c>
      <c r="D70" s="1928">
        <f t="shared" si="12"/>
        <v>11.566799999999999</v>
      </c>
      <c r="G70" s="1748" t="s">
        <v>264</v>
      </c>
      <c r="H70" s="1741">
        <v>535.25</v>
      </c>
      <c r="I70" s="1831">
        <f t="shared" si="15"/>
        <v>14.87</v>
      </c>
      <c r="J70" s="1928">
        <f t="shared" si="13"/>
        <v>7.9591674999999995</v>
      </c>
    </row>
    <row r="71" spans="1:10" x14ac:dyDescent="0.2">
      <c r="A71" s="1748" t="s">
        <v>1316</v>
      </c>
      <c r="B71" s="1741">
        <f>'факт шаблон стоки'!A42</f>
        <v>3885.21</v>
      </c>
      <c r="C71" s="1831">
        <v>14.28</v>
      </c>
      <c r="D71" s="1928">
        <f t="shared" si="12"/>
        <v>55.480798799999995</v>
      </c>
      <c r="G71" s="1748" t="s">
        <v>1316</v>
      </c>
      <c r="H71" s="1741">
        <v>4226.46</v>
      </c>
      <c r="I71" s="1831">
        <f t="shared" si="15"/>
        <v>14.87</v>
      </c>
      <c r="J71" s="1928">
        <f t="shared" si="13"/>
        <v>62.847460199999993</v>
      </c>
    </row>
    <row r="72" spans="1:10" x14ac:dyDescent="0.2">
      <c r="A72" s="1748" t="s">
        <v>280</v>
      </c>
      <c r="B72" s="1749">
        <f>SUM(B60:B71)</f>
        <v>20645.84</v>
      </c>
      <c r="C72" s="1928">
        <f>D72/B72*1000</f>
        <v>14.03716569052167</v>
      </c>
      <c r="D72" s="1929">
        <f>SUM(D60:D71)</f>
        <v>289.80907689999992</v>
      </c>
      <c r="G72" s="1748" t="s">
        <v>280</v>
      </c>
      <c r="H72" s="1749">
        <f>SUM(H60:H71)</f>
        <v>19223.59</v>
      </c>
      <c r="I72" s="1928">
        <f>J72/H72*1000</f>
        <v>14.585032270247126</v>
      </c>
      <c r="J72" s="1929">
        <f>SUM(J60:J71)</f>
        <v>280.37668049999996</v>
      </c>
    </row>
  </sheetData>
  <mergeCells count="10">
    <mergeCell ref="A9:D9"/>
    <mergeCell ref="A10:B10"/>
    <mergeCell ref="A26:B26"/>
    <mergeCell ref="A42:B42"/>
    <mergeCell ref="A58:B58"/>
    <mergeCell ref="G9:J9"/>
    <mergeCell ref="G10:H10"/>
    <mergeCell ref="G26:H26"/>
    <mergeCell ref="G42:H42"/>
    <mergeCell ref="G58:H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Лист57">
    <tabColor rgb="FFCC00FF"/>
    <pageSetUpPr fitToPage="1"/>
  </sheetPr>
  <dimension ref="A1:AG42"/>
  <sheetViews>
    <sheetView workbookViewId="0">
      <pane xSplit="4" ySplit="5" topLeftCell="Y20" activePane="bottomRight" state="frozen"/>
      <selection pane="topRight" activeCell="E1" sqref="E1"/>
      <selection pane="bottomLeft" activeCell="A6" sqref="A6"/>
      <selection pane="bottomRight" activeCell="AL20" sqref="AL20"/>
    </sheetView>
  </sheetViews>
  <sheetFormatPr defaultRowHeight="12.75" x14ac:dyDescent="0.2"/>
  <cols>
    <col min="1" max="1" width="19.28515625" style="2091" customWidth="1"/>
    <col min="2" max="4" width="12.7109375" style="2208" hidden="1" customWidth="1"/>
    <col min="5" max="5" width="10.42578125" style="2459" hidden="1" customWidth="1"/>
    <col min="6" max="6" width="14" style="2459" hidden="1" customWidth="1"/>
    <col min="7" max="7" width="12.42578125" style="2208" customWidth="1"/>
    <col min="8" max="12" width="12.7109375" style="2208" customWidth="1"/>
    <col min="13" max="13" width="12.7109375" style="2459" customWidth="1"/>
    <col min="14" max="15" width="0" style="5" hidden="1" customWidth="1"/>
    <col min="16" max="16" width="12.7109375" style="5" customWidth="1"/>
    <col min="17" max="18" width="13.85546875" style="5" hidden="1" customWidth="1"/>
    <col min="19" max="19" width="13.42578125" style="5" customWidth="1"/>
    <col min="20" max="21" width="14.28515625" style="5" customWidth="1"/>
    <col min="22" max="23" width="13.7109375" style="5" hidden="1" customWidth="1"/>
    <col min="24" max="24" width="13.7109375" style="5" customWidth="1"/>
    <col min="25" max="25" width="13.85546875" style="5" customWidth="1"/>
    <col min="26" max="26" width="10.42578125" style="5" customWidth="1"/>
    <col min="27" max="28" width="13.7109375" style="5" hidden="1" customWidth="1"/>
    <col min="29" max="29" width="13.7109375" style="5" customWidth="1"/>
    <col min="30" max="30" width="13.85546875" style="5" customWidth="1"/>
    <col min="31" max="31" width="11.5703125" style="5" customWidth="1"/>
    <col min="32" max="33" width="15.7109375" style="5" customWidth="1"/>
    <col min="34" max="16384" width="9.140625" style="5"/>
  </cols>
  <sheetData>
    <row r="1" spans="1:33" ht="22.5" customHeight="1" x14ac:dyDescent="0.3">
      <c r="A1" s="6326" t="s">
        <v>4012</v>
      </c>
      <c r="B1" s="5160"/>
      <c r="C1" s="5160"/>
      <c r="D1" s="5160"/>
      <c r="E1" s="5160"/>
      <c r="F1" s="5160"/>
      <c r="G1" s="5160"/>
      <c r="H1" s="5160"/>
      <c r="I1" s="5160"/>
      <c r="J1" s="5160"/>
      <c r="K1" s="5160"/>
      <c r="L1" s="5160"/>
      <c r="M1" s="5160"/>
      <c r="N1" s="4910"/>
      <c r="O1" s="4910"/>
      <c r="P1" s="4910"/>
      <c r="Q1" s="4910"/>
      <c r="R1" s="4910"/>
      <c r="S1" s="4910"/>
      <c r="T1" s="4910"/>
      <c r="U1" s="4910"/>
      <c r="V1" s="4910"/>
      <c r="W1" s="4910"/>
      <c r="X1" s="4910"/>
      <c r="Y1" s="4910"/>
      <c r="Z1" s="4910"/>
      <c r="AA1" s="4910"/>
      <c r="AB1" s="4910"/>
      <c r="AC1" s="4910"/>
      <c r="AD1" s="4910"/>
      <c r="AE1" s="4910"/>
      <c r="AF1" s="4910"/>
      <c r="AG1" s="4910"/>
    </row>
    <row r="4" spans="1:33" ht="25.5" x14ac:dyDescent="0.2">
      <c r="A4" s="3220" t="s">
        <v>525</v>
      </c>
      <c r="B4" s="3223" t="s">
        <v>815</v>
      </c>
      <c r="C4" s="3223" t="s">
        <v>892</v>
      </c>
      <c r="D4" s="3223" t="s">
        <v>893</v>
      </c>
      <c r="E4" s="3632" t="s">
        <v>3545</v>
      </c>
      <c r="F4" s="3632" t="s">
        <v>3523</v>
      </c>
      <c r="G4" s="3632" t="s">
        <v>1799</v>
      </c>
      <c r="H4" s="3632" t="s">
        <v>1805</v>
      </c>
      <c r="I4" s="3632" t="s">
        <v>1806</v>
      </c>
      <c r="J4" s="3632" t="s">
        <v>1807</v>
      </c>
      <c r="K4" s="3632" t="s">
        <v>1808</v>
      </c>
      <c r="L4" s="3632" t="s">
        <v>1809</v>
      </c>
      <c r="M4" s="5629" t="s">
        <v>3541</v>
      </c>
      <c r="N4" s="6341"/>
      <c r="O4" s="6341"/>
      <c r="P4" s="6342"/>
      <c r="Q4" s="3220" t="s">
        <v>3609</v>
      </c>
      <c r="R4" s="3220" t="s">
        <v>3610</v>
      </c>
      <c r="S4" s="3220" t="s">
        <v>3612</v>
      </c>
      <c r="T4" s="5629" t="s">
        <v>3857</v>
      </c>
      <c r="U4" s="5848"/>
      <c r="V4" s="3552" t="s">
        <v>3864</v>
      </c>
      <c r="W4" s="3552" t="s">
        <v>3865</v>
      </c>
      <c r="X4" s="3552" t="s">
        <v>3879</v>
      </c>
      <c r="Y4" s="5629" t="s">
        <v>3904</v>
      </c>
      <c r="Z4" s="5848"/>
      <c r="AA4" s="3784" t="s">
        <v>3952</v>
      </c>
      <c r="AB4" s="3784" t="s">
        <v>3953</v>
      </c>
      <c r="AC4" s="3784" t="s">
        <v>3954</v>
      </c>
      <c r="AD4" s="5629" t="s">
        <v>3991</v>
      </c>
      <c r="AE4" s="5848"/>
      <c r="AF4" s="5837" t="s">
        <v>4173</v>
      </c>
      <c r="AG4" s="5837" t="s">
        <v>4174</v>
      </c>
    </row>
    <row r="5" spans="1:33" x14ac:dyDescent="0.2">
      <c r="A5" s="3220"/>
      <c r="B5" s="3223"/>
      <c r="C5" s="3223"/>
      <c r="D5" s="3223"/>
      <c r="E5" s="3223"/>
      <c r="F5" s="3223"/>
      <c r="G5" s="3223"/>
      <c r="H5" s="3223"/>
      <c r="I5" s="3223"/>
      <c r="J5" s="3223"/>
      <c r="K5" s="3223"/>
      <c r="L5" s="3223"/>
      <c r="M5" s="3220" t="s">
        <v>121</v>
      </c>
      <c r="N5" s="2041"/>
      <c r="O5" s="2041"/>
      <c r="P5" s="3220" t="s">
        <v>1849</v>
      </c>
      <c r="Q5" s="3220"/>
      <c r="R5" s="3220"/>
      <c r="S5" s="3220"/>
      <c r="T5" s="3220" t="s">
        <v>121</v>
      </c>
      <c r="U5" s="3220" t="s">
        <v>1849</v>
      </c>
      <c r="V5" s="3552"/>
      <c r="W5" s="3552"/>
      <c r="X5" s="3552"/>
      <c r="Y5" s="3632" t="s">
        <v>121</v>
      </c>
      <c r="Z5" s="3632" t="s">
        <v>1849</v>
      </c>
      <c r="AA5" s="3784"/>
      <c r="AB5" s="3784"/>
      <c r="AC5" s="3784"/>
      <c r="AD5" s="4719" t="s">
        <v>121</v>
      </c>
      <c r="AE5" s="4719" t="s">
        <v>1849</v>
      </c>
      <c r="AF5" s="6288"/>
      <c r="AG5" s="6288"/>
    </row>
    <row r="6" spans="1:33" ht="25.5" x14ac:dyDescent="0.2">
      <c r="A6" s="3052" t="s">
        <v>2080</v>
      </c>
      <c r="B6" s="3229">
        <f>SUM(B7:B10)</f>
        <v>158771271.90000001</v>
      </c>
      <c r="C6" s="3229">
        <f t="shared" ref="C6:L6" si="0">SUM(C7:C10)</f>
        <v>148204708.53999999</v>
      </c>
      <c r="D6" s="3229">
        <f t="shared" si="0"/>
        <v>135728911.88999999</v>
      </c>
      <c r="E6" s="3229"/>
      <c r="F6" s="3229">
        <f t="shared" ref="F6" si="1">SUM(F7:F10)</f>
        <v>138498621.51000002</v>
      </c>
      <c r="G6" s="3229">
        <f t="shared" si="0"/>
        <v>135728911.88999999</v>
      </c>
      <c r="H6" s="3229">
        <f t="shared" si="0"/>
        <v>119544488.90909091</v>
      </c>
      <c r="I6" s="3229">
        <f t="shared" si="0"/>
        <v>104553818.90909091</v>
      </c>
      <c r="J6" s="3229">
        <f t="shared" si="0"/>
        <v>89563148.909090906</v>
      </c>
      <c r="K6" s="3229">
        <f t="shared" si="0"/>
        <v>74572478.909090906</v>
      </c>
      <c r="L6" s="3229">
        <f t="shared" si="0"/>
        <v>59581808.909090899</v>
      </c>
      <c r="M6" s="3229">
        <f t="shared" ref="M6" si="2">SUM(M7:M10)</f>
        <v>119544488.90909091</v>
      </c>
      <c r="N6" s="394"/>
      <c r="O6" s="394"/>
      <c r="P6" s="3229">
        <f t="shared" ref="P6" si="3">SUM(P7:P10)</f>
        <v>119544488.90909091</v>
      </c>
      <c r="Q6" s="3229">
        <f t="shared" ref="Q6:R6" si="4">SUM(Q7:Q10)</f>
        <v>261340675.66</v>
      </c>
      <c r="R6" s="3229">
        <f t="shared" si="4"/>
        <v>261340675.66</v>
      </c>
      <c r="S6" s="3229">
        <f t="shared" ref="S6" si="5">SUM(S7:S10)</f>
        <v>261340675.66</v>
      </c>
      <c r="T6" s="3634">
        <f t="shared" ref="T6:U6" si="6">SUM(T7:T10)</f>
        <v>261340675.66</v>
      </c>
      <c r="U6" s="3634">
        <f t="shared" si="6"/>
        <v>261340675.66</v>
      </c>
      <c r="V6" s="3634">
        <f t="shared" ref="V6:Z6" si="7">SUM(V7:V10)</f>
        <v>257910037.88</v>
      </c>
      <c r="W6" s="3634">
        <f t="shared" si="7"/>
        <v>257910037.88</v>
      </c>
      <c r="X6" s="3634">
        <f t="shared" si="7"/>
        <v>257910037.88</v>
      </c>
      <c r="Y6" s="3905">
        <f t="shared" ref="Y6" si="8">SUM(Y7:Y10)</f>
        <v>257910037.88</v>
      </c>
      <c r="Z6" s="3622">
        <f t="shared" si="7"/>
        <v>261340675.66</v>
      </c>
      <c r="AA6" s="3796">
        <f t="shared" ref="AA6:AC6" si="9">SUM(AA7:AA10)</f>
        <v>240829167.65000001</v>
      </c>
      <c r="AB6" s="3796">
        <f t="shared" si="9"/>
        <v>241162206.82999998</v>
      </c>
      <c r="AC6" s="3905">
        <f t="shared" si="9"/>
        <v>241162206.82999998</v>
      </c>
      <c r="AD6" s="3074">
        <f t="shared" ref="AD6" si="10">SUM(AD7:AD10)</f>
        <v>241162206.82999998</v>
      </c>
      <c r="AE6" s="1740">
        <f>SUM(AE7:AE10)</f>
        <v>0</v>
      </c>
      <c r="AF6" s="4732">
        <f t="shared" ref="AF6:AG6" si="11">SUM(AF7:AF10)</f>
        <v>0</v>
      </c>
      <c r="AG6" s="4732">
        <f t="shared" si="11"/>
        <v>0</v>
      </c>
    </row>
    <row r="7" spans="1:33" s="1763" customFormat="1" x14ac:dyDescent="0.2">
      <c r="A7" s="3253" t="s">
        <v>46</v>
      </c>
      <c r="B7" s="3254">
        <v>85365891.739999995</v>
      </c>
      <c r="C7" s="3254">
        <f t="shared" ref="C7:D9" si="12">B15</f>
        <v>78769163.709999993</v>
      </c>
      <c r="D7" s="3254">
        <f t="shared" si="12"/>
        <v>88936290.835454538</v>
      </c>
      <c r="E7" s="3254"/>
      <c r="F7" s="3254">
        <v>71294474.209999993</v>
      </c>
      <c r="G7" s="3254">
        <f>C15</f>
        <v>88936290.835454538</v>
      </c>
      <c r="H7" s="3254">
        <f>G15</f>
        <v>78951910.835454538</v>
      </c>
      <c r="I7" s="3254">
        <f t="shared" ref="I7:J8" si="13">H15</f>
        <v>68967530.835454538</v>
      </c>
      <c r="J7" s="3254">
        <f t="shared" si="13"/>
        <v>58983150.835454538</v>
      </c>
      <c r="K7" s="3254">
        <f t="shared" ref="K7:L7" si="14">J15</f>
        <v>48998770.835454538</v>
      </c>
      <c r="L7" s="3254">
        <f t="shared" si="14"/>
        <v>39014390.835454538</v>
      </c>
      <c r="M7" s="3254">
        <f>SUM(H7)</f>
        <v>78951910.835454538</v>
      </c>
      <c r="N7" s="3255"/>
      <c r="O7" s="3255"/>
      <c r="P7" s="3254">
        <f>SUM(M7)</f>
        <v>78951910.835454538</v>
      </c>
      <c r="Q7" s="3254">
        <v>196489453.84</v>
      </c>
      <c r="R7" s="3254">
        <v>196489453.84</v>
      </c>
      <c r="S7" s="3254">
        <v>196489453.84</v>
      </c>
      <c r="T7" s="3254">
        <v>196489453.84</v>
      </c>
      <c r="U7" s="3254">
        <v>196489453.84</v>
      </c>
      <c r="V7" s="3254">
        <v>194615190.40000001</v>
      </c>
      <c r="W7" s="3254">
        <v>194615190.40000001</v>
      </c>
      <c r="X7" s="3254">
        <v>194615190.40000001</v>
      </c>
      <c r="Y7" s="3254">
        <v>194615190.40000001</v>
      </c>
      <c r="Z7" s="3654">
        <v>196489453.84</v>
      </c>
      <c r="AA7" s="3809">
        <v>185485528.13</v>
      </c>
      <c r="AB7" s="3809">
        <v>185795844.63999999</v>
      </c>
      <c r="AC7" s="3254">
        <v>185795844.63999999</v>
      </c>
      <c r="AD7" s="2477">
        <v>185795844.63999999</v>
      </c>
      <c r="AE7" s="4142"/>
      <c r="AF7" s="3254"/>
      <c r="AG7" s="3254"/>
    </row>
    <row r="8" spans="1:33" s="1763" customFormat="1" x14ac:dyDescent="0.2">
      <c r="A8" s="3253" t="s">
        <v>47</v>
      </c>
      <c r="B8" s="3254">
        <v>70013130.239999995</v>
      </c>
      <c r="C8" s="3254">
        <f t="shared" si="12"/>
        <v>66204768.289999999</v>
      </c>
      <c r="D8" s="3254">
        <f t="shared" si="12"/>
        <v>45598868.07363636</v>
      </c>
      <c r="E8" s="3254"/>
      <c r="F8" s="3254">
        <v>64262345.340000004</v>
      </c>
      <c r="G8" s="3254">
        <f>C16</f>
        <v>45598868.07363636</v>
      </c>
      <c r="H8" s="3254">
        <f>G16</f>
        <v>40592578.07363636</v>
      </c>
      <c r="I8" s="3254">
        <f t="shared" si="13"/>
        <v>35586288.07363636</v>
      </c>
      <c r="J8" s="3254">
        <f t="shared" si="13"/>
        <v>30579998.07363636</v>
      </c>
      <c r="K8" s="3254">
        <f t="shared" ref="K8:L8" si="15">J16</f>
        <v>25573708.07363636</v>
      </c>
      <c r="L8" s="3254">
        <f t="shared" si="15"/>
        <v>20567418.07363636</v>
      </c>
      <c r="M8" s="3254">
        <f>SUM(H8)</f>
        <v>40592578.07363636</v>
      </c>
      <c r="N8" s="3255"/>
      <c r="O8" s="3255"/>
      <c r="P8" s="3254">
        <f>SUM(M8)</f>
        <v>40592578.07363636</v>
      </c>
      <c r="Q8" s="3254">
        <v>61851554.719999999</v>
      </c>
      <c r="R8" s="3254">
        <v>61851554.719999999</v>
      </c>
      <c r="S8" s="3254">
        <v>61851554.719999999</v>
      </c>
      <c r="T8" s="3254">
        <v>61851554.719999999</v>
      </c>
      <c r="U8" s="3254">
        <v>61851554.719999999</v>
      </c>
      <c r="V8" s="3254">
        <v>60162732.109999999</v>
      </c>
      <c r="W8" s="3254">
        <v>60162732.109999999</v>
      </c>
      <c r="X8" s="3254">
        <v>60162732.109999999</v>
      </c>
      <c r="Y8" s="3254">
        <v>60162732.109999999</v>
      </c>
      <c r="Z8" s="3654">
        <v>61851554.719999999</v>
      </c>
      <c r="AA8" s="3809">
        <v>55343639.520000003</v>
      </c>
      <c r="AB8" s="3809">
        <v>55366362.189999998</v>
      </c>
      <c r="AC8" s="3254">
        <v>55366362.189999998</v>
      </c>
      <c r="AD8" s="2477">
        <v>55366362.189999998</v>
      </c>
      <c r="AE8" s="4142"/>
      <c r="AF8" s="3254"/>
      <c r="AG8" s="3254"/>
    </row>
    <row r="9" spans="1:33" s="1763" customFormat="1" x14ac:dyDescent="0.2">
      <c r="A9" s="3253" t="s">
        <v>1458</v>
      </c>
      <c r="B9" s="3254">
        <v>3133514.56</v>
      </c>
      <c r="C9" s="3254">
        <f t="shared" si="12"/>
        <v>3037658.2</v>
      </c>
      <c r="D9" s="6339">
        <f t="shared" si="12"/>
        <v>1193752.9809090903</v>
      </c>
      <c r="E9" s="3256"/>
      <c r="F9" s="6339">
        <v>2941801.96</v>
      </c>
      <c r="G9" s="6339">
        <f>C17</f>
        <v>1193752.9809090903</v>
      </c>
      <c r="H9" s="3254"/>
      <c r="I9" s="3254"/>
      <c r="J9" s="3254"/>
      <c r="K9" s="3254"/>
      <c r="L9" s="3254"/>
      <c r="M9" s="6333"/>
      <c r="N9" s="3255"/>
      <c r="O9" s="3255"/>
      <c r="P9" s="6333"/>
      <c r="Q9" s="6339">
        <v>2999667.1</v>
      </c>
      <c r="R9" s="6339">
        <v>2999667.1</v>
      </c>
      <c r="S9" s="6339">
        <v>2999667.1</v>
      </c>
      <c r="T9" s="6339">
        <v>2999667.1</v>
      </c>
      <c r="U9" s="6339">
        <v>2999667.1</v>
      </c>
      <c r="V9" s="6339">
        <v>3132115.37</v>
      </c>
      <c r="W9" s="6339">
        <v>3132115.37</v>
      </c>
      <c r="X9" s="6339">
        <v>3132115.37</v>
      </c>
      <c r="Y9" s="6339">
        <v>3132115.37</v>
      </c>
      <c r="Z9" s="6345">
        <v>2999667.1</v>
      </c>
      <c r="AA9" s="6337">
        <v>0</v>
      </c>
      <c r="AB9" s="6337">
        <v>0</v>
      </c>
      <c r="AC9" s="6339">
        <v>0</v>
      </c>
      <c r="AD9" s="6329">
        <v>0</v>
      </c>
      <c r="AE9" s="4142"/>
      <c r="AF9" s="3254"/>
      <c r="AG9" s="3254"/>
    </row>
    <row r="10" spans="1:33" s="1763" customFormat="1" ht="25.5" x14ac:dyDescent="0.2">
      <c r="A10" s="3253" t="s">
        <v>2083</v>
      </c>
      <c r="B10" s="3254">
        <v>258735.35999999999</v>
      </c>
      <c r="C10" s="3254">
        <f>B18</f>
        <v>193118.34</v>
      </c>
      <c r="D10" s="6343"/>
      <c r="E10" s="3257"/>
      <c r="F10" s="6343"/>
      <c r="G10" s="6343"/>
      <c r="H10" s="3254"/>
      <c r="I10" s="3254"/>
      <c r="J10" s="3254"/>
      <c r="K10" s="3254"/>
      <c r="L10" s="3254"/>
      <c r="M10" s="6334"/>
      <c r="N10" s="3255"/>
      <c r="O10" s="3255"/>
      <c r="P10" s="6334"/>
      <c r="Q10" s="6340"/>
      <c r="R10" s="6340"/>
      <c r="S10" s="6340"/>
      <c r="T10" s="6343"/>
      <c r="U10" s="6343"/>
      <c r="V10" s="6340"/>
      <c r="W10" s="6340"/>
      <c r="X10" s="6340"/>
      <c r="Y10" s="6340"/>
      <c r="Z10" s="6346"/>
      <c r="AA10" s="6338"/>
      <c r="AB10" s="6338"/>
      <c r="AC10" s="6340"/>
      <c r="AD10" s="6330"/>
      <c r="AE10" s="4142"/>
      <c r="AF10" s="3254"/>
      <c r="AG10" s="3254"/>
    </row>
    <row r="11" spans="1:33" s="1763" customFormat="1" ht="12.75" hidden="1" customHeight="1" x14ac:dyDescent="0.2">
      <c r="A11" s="3258" t="s">
        <v>1455</v>
      </c>
      <c r="B11" s="3254"/>
      <c r="C11" s="3254"/>
      <c r="D11" s="3257"/>
      <c r="E11" s="3257"/>
      <c r="F11" s="3257"/>
      <c r="G11" s="3257"/>
      <c r="H11" s="3254"/>
      <c r="I11" s="3254"/>
      <c r="J11" s="3254"/>
      <c r="K11" s="3254"/>
      <c r="L11" s="3254"/>
      <c r="M11" s="3254"/>
      <c r="N11" s="3255"/>
      <c r="O11" s="3255"/>
      <c r="P11" s="3254"/>
      <c r="Q11" s="3257"/>
      <c r="R11" s="3257"/>
      <c r="S11" s="3257"/>
      <c r="T11" s="3635"/>
      <c r="U11" s="3635"/>
      <c r="V11" s="3635"/>
      <c r="W11" s="3635"/>
      <c r="X11" s="3635"/>
      <c r="Y11" s="3907"/>
      <c r="Z11" s="3655"/>
      <c r="AA11" s="3636"/>
      <c r="AB11" s="3877"/>
      <c r="AC11" s="3907"/>
      <c r="AD11" s="3636"/>
      <c r="AE11" s="4143"/>
      <c r="AF11" s="3254"/>
      <c r="AG11" s="3254"/>
    </row>
    <row r="12" spans="1:33" s="1763" customFormat="1" ht="12.75" hidden="1" customHeight="1" x14ac:dyDescent="0.2">
      <c r="A12" s="3253" t="s">
        <v>46</v>
      </c>
      <c r="B12" s="3254"/>
      <c r="C12" s="3254"/>
      <c r="D12" s="3257"/>
      <c r="E12" s="3257"/>
      <c r="F12" s="3257"/>
      <c r="G12" s="3257"/>
      <c r="H12" s="3254"/>
      <c r="I12" s="3254"/>
      <c r="J12" s="3254"/>
      <c r="K12" s="3254"/>
      <c r="L12" s="3254"/>
      <c r="M12" s="3254"/>
      <c r="N12" s="3255"/>
      <c r="O12" s="3255"/>
      <c r="P12" s="3254"/>
      <c r="Q12" s="3257"/>
      <c r="R12" s="3257"/>
      <c r="S12" s="3257"/>
      <c r="T12" s="3635"/>
      <c r="U12" s="3635"/>
      <c r="V12" s="3635"/>
      <c r="W12" s="3635"/>
      <c r="X12" s="3635"/>
      <c r="Y12" s="3907"/>
      <c r="Z12" s="3655"/>
      <c r="AA12" s="3636"/>
      <c r="AB12" s="3877"/>
      <c r="AC12" s="3907"/>
      <c r="AD12" s="3636"/>
      <c r="AE12" s="4142"/>
      <c r="AF12" s="3254"/>
      <c r="AG12" s="3254"/>
    </row>
    <row r="13" spans="1:33" s="1763" customFormat="1" ht="38.25" hidden="1" customHeight="1" x14ac:dyDescent="0.2">
      <c r="A13" s="3253" t="s">
        <v>2085</v>
      </c>
      <c r="B13" s="3254"/>
      <c r="C13" s="3254"/>
      <c r="D13" s="3257"/>
      <c r="E13" s="3257"/>
      <c r="F13" s="3257"/>
      <c r="G13" s="3257"/>
      <c r="H13" s="3254"/>
      <c r="I13" s="3254"/>
      <c r="J13" s="3254"/>
      <c r="K13" s="3254"/>
      <c r="L13" s="3254"/>
      <c r="M13" s="3254"/>
      <c r="N13" s="3255"/>
      <c r="O13" s="3255"/>
      <c r="P13" s="3254"/>
      <c r="Q13" s="3257"/>
      <c r="R13" s="3257"/>
      <c r="S13" s="3257"/>
      <c r="T13" s="3635"/>
      <c r="U13" s="3635"/>
      <c r="V13" s="3635"/>
      <c r="W13" s="3635"/>
      <c r="X13" s="3635"/>
      <c r="Y13" s="3907"/>
      <c r="Z13" s="3655"/>
      <c r="AA13" s="3636"/>
      <c r="AB13" s="3877"/>
      <c r="AC13" s="3907"/>
      <c r="AD13" s="3636"/>
      <c r="AE13" s="4142"/>
      <c r="AF13" s="3254"/>
      <c r="AG13" s="3254"/>
    </row>
    <row r="14" spans="1:33" ht="25.5" x14ac:dyDescent="0.2">
      <c r="A14" s="3052" t="s">
        <v>2079</v>
      </c>
      <c r="B14" s="3229">
        <f>SUM(B15:B18)</f>
        <v>148204708.53999999</v>
      </c>
      <c r="C14" s="3229">
        <v>135728911.88999999</v>
      </c>
      <c r="D14" s="3229">
        <f>SUM(D15:D18)</f>
        <v>135728910.88999999</v>
      </c>
      <c r="E14" s="3229"/>
      <c r="F14" s="3229">
        <f t="shared" ref="F14:G14" si="16">SUM(F15:F18)</f>
        <v>258341008.56</v>
      </c>
      <c r="G14" s="3229">
        <f t="shared" si="16"/>
        <v>119544488.90909091</v>
      </c>
      <c r="H14" s="3229">
        <f t="shared" ref="H14" si="17">SUM(H15:H18)</f>
        <v>104553818.90909091</v>
      </c>
      <c r="I14" s="3229">
        <f t="shared" ref="I14" si="18">SUM(I15:I18)</f>
        <v>89563148.909090906</v>
      </c>
      <c r="J14" s="3229">
        <f t="shared" ref="J14" si="19">SUM(J15:J18)</f>
        <v>74572478.909090906</v>
      </c>
      <c r="K14" s="3229">
        <f t="shared" ref="K14" si="20">SUM(K15:K18)</f>
        <v>59581808.909090899</v>
      </c>
      <c r="L14" s="3229">
        <f t="shared" ref="L14:M14" si="21">SUM(L15:L18)</f>
        <v>44591138.909090899</v>
      </c>
      <c r="M14" s="3229">
        <f t="shared" si="21"/>
        <v>104553818.90909091</v>
      </c>
      <c r="N14" s="394"/>
      <c r="O14" s="394"/>
      <c r="P14" s="3229">
        <f t="shared" ref="P14" si="22">SUM(P15:P18)</f>
        <v>104553818.90909091</v>
      </c>
      <c r="Q14" s="3229">
        <f t="shared" ref="Q14:R14" si="23">SUM(Q15:Q18)</f>
        <v>261512218.87</v>
      </c>
      <c r="R14" s="3229">
        <f t="shared" si="23"/>
        <v>250535078.49000001</v>
      </c>
      <c r="S14" s="3229">
        <f t="shared" ref="S14" si="24">SUM(S15:S18)</f>
        <v>255999025.98000002</v>
      </c>
      <c r="T14" s="3634">
        <f t="shared" ref="T14:U14" si="25">SUM(T15:T18)</f>
        <v>255999025.98000002</v>
      </c>
      <c r="U14" s="3634">
        <f t="shared" si="25"/>
        <v>255999025.98000002</v>
      </c>
      <c r="V14" s="3634">
        <f t="shared" ref="V14:Z14" si="26">SUM(V15:V18)</f>
        <v>254357952.22000003</v>
      </c>
      <c r="W14" s="3634">
        <f t="shared" si="26"/>
        <v>249032337.10000002</v>
      </c>
      <c r="X14" s="3634">
        <f t="shared" si="26"/>
        <v>243793077.70000002</v>
      </c>
      <c r="Y14" s="3905">
        <f t="shared" ref="Y14:AA14" si="27">SUM(Y15:Y18)</f>
        <v>243793077.70000002</v>
      </c>
      <c r="Z14" s="3622">
        <f t="shared" si="26"/>
        <v>255999025.98000002</v>
      </c>
      <c r="AA14" s="3796">
        <f t="shared" si="27"/>
        <v>236051084.25000003</v>
      </c>
      <c r="AB14" s="3796">
        <f t="shared" ref="AB14:AC14" si="28">SUM(AB15:AB18)</f>
        <v>257800047.32999998</v>
      </c>
      <c r="AC14" s="3905">
        <f t="shared" si="28"/>
        <v>253009744.28999999</v>
      </c>
      <c r="AD14" s="3074">
        <f t="shared" ref="AD14" si="29">SUM(AD15:AD18)</f>
        <v>253009744.28999999</v>
      </c>
      <c r="AE14" s="1740"/>
      <c r="AF14" s="4732">
        <f t="shared" ref="AF14:AG14" si="30">SUM(AF15:AF18)</f>
        <v>0</v>
      </c>
      <c r="AG14" s="4732">
        <f t="shared" si="30"/>
        <v>0</v>
      </c>
    </row>
    <row r="15" spans="1:33" s="1763" customFormat="1" x14ac:dyDescent="0.2">
      <c r="A15" s="3253" t="s">
        <v>46</v>
      </c>
      <c r="B15" s="3254">
        <v>78769163.709999993</v>
      </c>
      <c r="C15" s="3254">
        <f>C20*2-C7</f>
        <v>88936290.835454538</v>
      </c>
      <c r="D15" s="3254">
        <v>81437346.530000001</v>
      </c>
      <c r="E15" s="3254"/>
      <c r="F15" s="3254">
        <v>196489453.84</v>
      </c>
      <c r="G15" s="3254">
        <f>G7-Аморт!AM13*1000-Аморт!AM11*1000</f>
        <v>78951910.835454538</v>
      </c>
      <c r="H15" s="3254">
        <f>H7-Аморт!AN13*1000-Аморт!AN11*1000</f>
        <v>68967530.835454538</v>
      </c>
      <c r="I15" s="3254">
        <f>I7-G39</f>
        <v>58983150.835454538</v>
      </c>
      <c r="J15" s="3254">
        <f>J7-G39</f>
        <v>48998770.835454538</v>
      </c>
      <c r="K15" s="3254">
        <f>K7-G39</f>
        <v>39014390.835454538</v>
      </c>
      <c r="L15" s="3254">
        <f>L7-G39</f>
        <v>29030010.835454538</v>
      </c>
      <c r="M15" s="3254">
        <f t="shared" ref="M15:M16" si="31">SUM(H15)</f>
        <v>68967530.835454538</v>
      </c>
      <c r="N15" s="3255"/>
      <c r="O15" s="3255"/>
      <c r="P15" s="3254">
        <f>SUM(M15)</f>
        <v>68967530.835454538</v>
      </c>
      <c r="Q15" s="3254">
        <v>198164000.25</v>
      </c>
      <c r="R15" s="3254">
        <v>185898470.68000001</v>
      </c>
      <c r="S15" s="3254">
        <v>192704178.5</v>
      </c>
      <c r="T15" s="3254">
        <v>192704178.5</v>
      </c>
      <c r="U15" s="3254">
        <v>192704178.5</v>
      </c>
      <c r="V15" s="3254">
        <v>193312198.99000001</v>
      </c>
      <c r="W15" s="3254">
        <v>189397788.83000001</v>
      </c>
      <c r="X15" s="3254">
        <v>185485528.13</v>
      </c>
      <c r="Y15" s="3254">
        <v>185485528.13</v>
      </c>
      <c r="Z15" s="3654">
        <v>192704178.5</v>
      </c>
      <c r="AA15" s="3809">
        <v>180559605.33000001</v>
      </c>
      <c r="AB15" s="3809">
        <v>196795630.44</v>
      </c>
      <c r="AC15" s="3254">
        <v>193033470.44</v>
      </c>
      <c r="AD15" s="2477">
        <v>193033470.44</v>
      </c>
      <c r="AE15" s="4142"/>
      <c r="AF15" s="3254"/>
      <c r="AG15" s="3254"/>
    </row>
    <row r="16" spans="1:33" s="1763" customFormat="1" x14ac:dyDescent="0.2">
      <c r="A16" s="3253" t="s">
        <v>47</v>
      </c>
      <c r="B16" s="3254">
        <v>66204768.289999999</v>
      </c>
      <c r="C16" s="3254">
        <f>C21*2-C8</f>
        <v>45598868.07363636</v>
      </c>
      <c r="D16" s="3254">
        <v>54291564.359999999</v>
      </c>
      <c r="E16" s="3254"/>
      <c r="F16" s="3254">
        <v>61851554.719999999</v>
      </c>
      <c r="G16" s="3254">
        <f>G8-Аморт!AM18*1000</f>
        <v>40592578.07363636</v>
      </c>
      <c r="H16" s="3254">
        <f>H8-Аморт!AN18*1000</f>
        <v>35586288.07363636</v>
      </c>
      <c r="I16" s="3254">
        <f>I8-G40</f>
        <v>30579998.07363636</v>
      </c>
      <c r="J16" s="3254">
        <f>J8-G40</f>
        <v>25573708.07363636</v>
      </c>
      <c r="K16" s="3254">
        <f>K8-G40</f>
        <v>20567418.07363636</v>
      </c>
      <c r="L16" s="3254">
        <f>L8-G40</f>
        <v>15561128.07363636</v>
      </c>
      <c r="M16" s="3254">
        <f t="shared" si="31"/>
        <v>35586288.07363636</v>
      </c>
      <c r="N16" s="3255"/>
      <c r="O16" s="3255"/>
      <c r="P16" s="3254">
        <f>SUM(M16)</f>
        <v>35586288.07363636</v>
      </c>
      <c r="Q16" s="3254">
        <v>60131972.990000002</v>
      </c>
      <c r="R16" s="3254">
        <v>61462441.109999999</v>
      </c>
      <c r="S16" s="3254">
        <v>60162732.109999999</v>
      </c>
      <c r="T16" s="3254">
        <v>60162732.109999999</v>
      </c>
      <c r="U16" s="3254">
        <v>60162732.109999999</v>
      </c>
      <c r="V16" s="3254">
        <v>57997740.520000003</v>
      </c>
      <c r="W16" s="3254">
        <v>56628586.890000001</v>
      </c>
      <c r="X16" s="3254">
        <v>55343639.520000003</v>
      </c>
      <c r="Y16" s="3254">
        <v>55343639.520000003</v>
      </c>
      <c r="Z16" s="3654">
        <v>60162732.109999999</v>
      </c>
      <c r="AA16" s="3809">
        <v>55381572.460000001</v>
      </c>
      <c r="AB16" s="3809">
        <v>61004416.890000001</v>
      </c>
      <c r="AC16" s="3254">
        <v>59976273.850000001</v>
      </c>
      <c r="AD16" s="2477">
        <v>59976273.850000001</v>
      </c>
      <c r="AE16" s="4142"/>
      <c r="AF16" s="3254"/>
      <c r="AG16" s="3254"/>
    </row>
    <row r="17" spans="1:33" s="1763" customFormat="1" x14ac:dyDescent="0.2">
      <c r="A17" s="3253" t="s">
        <v>1458</v>
      </c>
      <c r="B17" s="3254">
        <v>3037658.2</v>
      </c>
      <c r="C17" s="6339">
        <f>C22*2-C9-C10</f>
        <v>1193752.9809090903</v>
      </c>
      <c r="D17" s="3254"/>
      <c r="E17" s="3254"/>
      <c r="F17" s="3254"/>
      <c r="G17" s="3254"/>
      <c r="H17" s="3254"/>
      <c r="I17" s="3254"/>
      <c r="J17" s="3254"/>
      <c r="K17" s="3254"/>
      <c r="L17" s="3254"/>
      <c r="M17" s="3254"/>
      <c r="N17" s="3255"/>
      <c r="O17" s="3255"/>
      <c r="P17" s="3254"/>
      <c r="Q17" s="6333">
        <v>3216245.63</v>
      </c>
      <c r="R17" s="6333">
        <v>3174166.7</v>
      </c>
      <c r="S17" s="6333">
        <v>3132115.37</v>
      </c>
      <c r="T17" s="6333">
        <v>3132115.37</v>
      </c>
      <c r="U17" s="6333">
        <v>3132115.37</v>
      </c>
      <c r="V17" s="6333">
        <v>3048012.71</v>
      </c>
      <c r="W17" s="6333">
        <v>3005961.38</v>
      </c>
      <c r="X17" s="6333">
        <v>2963910.05</v>
      </c>
      <c r="Y17" s="6333">
        <v>2963910.05</v>
      </c>
      <c r="Z17" s="6335">
        <v>3132115.37</v>
      </c>
      <c r="AA17" s="6331">
        <v>109906.46</v>
      </c>
      <c r="AB17" s="6327"/>
      <c r="AC17" s="6333"/>
      <c r="AD17" s="6327"/>
      <c r="AE17" s="4142"/>
      <c r="AF17" s="3254"/>
      <c r="AG17" s="3254"/>
    </row>
    <row r="18" spans="1:33" s="1763" customFormat="1" ht="25.5" x14ac:dyDescent="0.2">
      <c r="A18" s="3253" t="s">
        <v>2083</v>
      </c>
      <c r="B18" s="3254">
        <v>193118.34</v>
      </c>
      <c r="C18" s="6343"/>
      <c r="D18" s="3254"/>
      <c r="E18" s="3254"/>
      <c r="F18" s="3254"/>
      <c r="G18" s="3254"/>
      <c r="H18" s="3254"/>
      <c r="I18" s="3254"/>
      <c r="J18" s="3254"/>
      <c r="K18" s="3254"/>
      <c r="L18" s="3254"/>
      <c r="M18" s="3254"/>
      <c r="N18" s="3255"/>
      <c r="O18" s="3255"/>
      <c r="P18" s="3254"/>
      <c r="Q18" s="6334"/>
      <c r="R18" s="6334"/>
      <c r="S18" s="6334"/>
      <c r="T18" s="6344"/>
      <c r="U18" s="6344"/>
      <c r="V18" s="6334"/>
      <c r="W18" s="6334"/>
      <c r="X18" s="6334"/>
      <c r="Y18" s="6334"/>
      <c r="Z18" s="6336"/>
      <c r="AA18" s="6332"/>
      <c r="AB18" s="6328"/>
      <c r="AC18" s="6334"/>
      <c r="AD18" s="6328"/>
      <c r="AE18" s="4142"/>
      <c r="AF18" s="3254"/>
      <c r="AG18" s="3254"/>
    </row>
    <row r="19" spans="1:33" ht="25.5" x14ac:dyDescent="0.2">
      <c r="A19" s="3052" t="s">
        <v>2081</v>
      </c>
      <c r="B19" s="3229">
        <f>SUM(B20:B23)</f>
        <v>153487990.22</v>
      </c>
      <c r="C19" s="3229">
        <f>(C6+C14)/2</f>
        <v>141966810.21499997</v>
      </c>
      <c r="D19" s="3229">
        <f t="shared" ref="D19:G19" si="32">SUM(D20:D23)</f>
        <v>135728911.39000002</v>
      </c>
      <c r="E19" s="3229"/>
      <c r="F19" s="3229">
        <f t="shared" ref="F19" si="33">SUM(F20:F23)</f>
        <v>196948914.05500001</v>
      </c>
      <c r="G19" s="3229">
        <f t="shared" si="32"/>
        <v>127039823.90909091</v>
      </c>
      <c r="H19" s="3229">
        <f t="shared" ref="H19" si="34">SUM(H20:H23)</f>
        <v>112049153.90909091</v>
      </c>
      <c r="I19" s="3229">
        <f t="shared" ref="I19" si="35">SUM(I20:I23)</f>
        <v>97058483.909090906</v>
      </c>
      <c r="J19" s="3229">
        <f t="shared" ref="J19" si="36">SUM(J20:J23)</f>
        <v>82067813.909090906</v>
      </c>
      <c r="K19" s="3229">
        <f t="shared" ref="K19" si="37">SUM(K20:K23)</f>
        <v>67077143.909090899</v>
      </c>
      <c r="L19" s="3229">
        <f t="shared" ref="L19:M19" si="38">SUM(L20:L23)</f>
        <v>52086473.909090899</v>
      </c>
      <c r="M19" s="3229">
        <f t="shared" si="38"/>
        <v>112049153.90909091</v>
      </c>
      <c r="N19" s="394"/>
      <c r="O19" s="394"/>
      <c r="P19" s="3229">
        <f t="shared" ref="P19" si="39">SUM(P20:P23)</f>
        <v>112049153.90909091</v>
      </c>
      <c r="Q19" s="3229">
        <f t="shared" ref="Q19:R19" si="40">SUM(Q20:Q23)</f>
        <v>261426447.26500005</v>
      </c>
      <c r="R19" s="3229">
        <f t="shared" si="40"/>
        <v>255937877.07499999</v>
      </c>
      <c r="S19" s="3229">
        <f t="shared" ref="S19" si="41">SUM(S20:S23)</f>
        <v>258669850.82000002</v>
      </c>
      <c r="T19" s="3634">
        <f t="shared" ref="T19:U19" si="42">SUM(T20:T23)</f>
        <v>258669850.82000002</v>
      </c>
      <c r="U19" s="3634">
        <f t="shared" si="42"/>
        <v>258669850.82000002</v>
      </c>
      <c r="V19" s="3634">
        <f t="shared" ref="V19:Z19" si="43">SUM(V20:V23)</f>
        <v>256133995.04999998</v>
      </c>
      <c r="W19" s="3634">
        <f t="shared" si="43"/>
        <v>253471187.49000001</v>
      </c>
      <c r="X19" s="3634">
        <f t="shared" si="43"/>
        <v>250851557.78999999</v>
      </c>
      <c r="Y19" s="3905">
        <f t="shared" ref="Y19" si="44">SUM(Y20:Y23)</f>
        <v>250851557.78999999</v>
      </c>
      <c r="Z19" s="3622">
        <f t="shared" si="43"/>
        <v>258669850.82000002</v>
      </c>
      <c r="AA19" s="3796">
        <f t="shared" ref="AA19:AC19" si="45">SUM(AA20:AA23)</f>
        <v>238440125.95000002</v>
      </c>
      <c r="AB19" s="3796">
        <f t="shared" si="45"/>
        <v>249481127.07999998</v>
      </c>
      <c r="AC19" s="3905">
        <f t="shared" si="45"/>
        <v>247085975.56</v>
      </c>
      <c r="AD19" s="3074">
        <f t="shared" ref="AD19" si="46">SUM(AD20:AD23)</f>
        <v>247085975.56</v>
      </c>
      <c r="AE19" s="1740"/>
      <c r="AF19" s="4732">
        <f t="shared" ref="AF19:AG19" si="47">SUM(AF20:AF23)</f>
        <v>0</v>
      </c>
      <c r="AG19" s="4732">
        <f t="shared" si="47"/>
        <v>0</v>
      </c>
    </row>
    <row r="20" spans="1:33" s="1763" customFormat="1" x14ac:dyDescent="0.2">
      <c r="A20" s="3253" t="s">
        <v>46</v>
      </c>
      <c r="B20" s="3254">
        <f>(B7+B15)/2</f>
        <v>82067527.724999994</v>
      </c>
      <c r="C20" s="3254">
        <f>C26/C24*100</f>
        <v>83852727.272727266</v>
      </c>
      <c r="D20" s="3254">
        <f t="shared" ref="D20:L21" si="48">(D7+D15)/2</f>
        <v>85186818.682727277</v>
      </c>
      <c r="E20" s="3254"/>
      <c r="F20" s="3254">
        <f t="shared" ref="F20" si="49">(F7+F15)/2</f>
        <v>133891964.02500001</v>
      </c>
      <c r="G20" s="3254">
        <f t="shared" si="48"/>
        <v>83944100.835454538</v>
      </c>
      <c r="H20" s="3254">
        <f t="shared" si="48"/>
        <v>73959720.835454538</v>
      </c>
      <c r="I20" s="3254">
        <f t="shared" si="48"/>
        <v>63975340.835454538</v>
      </c>
      <c r="J20" s="3254">
        <f t="shared" si="48"/>
        <v>53990960.835454538</v>
      </c>
      <c r="K20" s="3254">
        <f t="shared" si="48"/>
        <v>44006580.835454538</v>
      </c>
      <c r="L20" s="3254">
        <f t="shared" si="48"/>
        <v>34022200.835454538</v>
      </c>
      <c r="M20" s="3254">
        <f t="shared" ref="M20" si="50">(M7+M15)/2</f>
        <v>73959720.835454538</v>
      </c>
      <c r="N20" s="3255"/>
      <c r="O20" s="3255"/>
      <c r="P20" s="3254">
        <f>SUM(M20)</f>
        <v>73959720.835454538</v>
      </c>
      <c r="Q20" s="3254">
        <f t="shared" ref="Q20:R20" si="51">(Q7+Q15)/2</f>
        <v>197326727.04500002</v>
      </c>
      <c r="R20" s="3254">
        <f t="shared" si="51"/>
        <v>191193962.25999999</v>
      </c>
      <c r="S20" s="3254">
        <f t="shared" ref="S20" si="52">(S7+S15)/2</f>
        <v>194596816.17000002</v>
      </c>
      <c r="T20" s="3254">
        <f t="shared" ref="T20:U20" si="53">(T7+T15)/2</f>
        <v>194596816.17000002</v>
      </c>
      <c r="U20" s="3254">
        <f t="shared" si="53"/>
        <v>194596816.17000002</v>
      </c>
      <c r="V20" s="3254">
        <f t="shared" ref="V20:AC22" si="54">(V7+V15)/2</f>
        <v>193963694.69499999</v>
      </c>
      <c r="W20" s="3254">
        <f t="shared" si="54"/>
        <v>192006489.61500001</v>
      </c>
      <c r="X20" s="3254">
        <f t="shared" si="54"/>
        <v>190050359.26499999</v>
      </c>
      <c r="Y20" s="3254">
        <f t="shared" ref="Y20" si="55">(Y7+Y15)/2</f>
        <v>190050359.26499999</v>
      </c>
      <c r="Z20" s="3654">
        <f t="shared" si="54"/>
        <v>194596816.17000002</v>
      </c>
      <c r="AA20" s="3809">
        <f t="shared" ref="AA20:AC20" si="56">(AA7+AA15)/2</f>
        <v>183022566.73000002</v>
      </c>
      <c r="AB20" s="3809">
        <f t="shared" si="56"/>
        <v>191295737.53999999</v>
      </c>
      <c r="AC20" s="3254">
        <f t="shared" si="56"/>
        <v>189414657.53999999</v>
      </c>
      <c r="AD20" s="2477">
        <f t="shared" ref="AD20" si="57">(AD7+AD15)/2</f>
        <v>189414657.53999999</v>
      </c>
      <c r="AE20" s="4142"/>
      <c r="AF20" s="3254"/>
      <c r="AG20" s="3254"/>
    </row>
    <row r="21" spans="1:33" s="1763" customFormat="1" x14ac:dyDescent="0.2">
      <c r="A21" s="3253" t="s">
        <v>47</v>
      </c>
      <c r="B21" s="3254">
        <f>(B8+B16)/2</f>
        <v>68108949.265000001</v>
      </c>
      <c r="C21" s="3254">
        <f>C27/C24*100</f>
        <v>55901818.18181818</v>
      </c>
      <c r="D21" s="3254">
        <f t="shared" si="48"/>
        <v>49945216.216818184</v>
      </c>
      <c r="E21" s="3254"/>
      <c r="F21" s="3254">
        <f t="shared" ref="F21" si="58">(F8+F16)/2</f>
        <v>63056950.030000001</v>
      </c>
      <c r="G21" s="3254">
        <f t="shared" si="48"/>
        <v>43095723.07363636</v>
      </c>
      <c r="H21" s="3254">
        <f t="shared" si="48"/>
        <v>38089433.07363636</v>
      </c>
      <c r="I21" s="3254">
        <f t="shared" si="48"/>
        <v>33083143.07363636</v>
      </c>
      <c r="J21" s="3254">
        <f t="shared" si="48"/>
        <v>28076853.07363636</v>
      </c>
      <c r="K21" s="3254">
        <f t="shared" si="48"/>
        <v>23070563.07363636</v>
      </c>
      <c r="L21" s="3254">
        <f t="shared" si="48"/>
        <v>18064273.07363636</v>
      </c>
      <c r="M21" s="3254">
        <f t="shared" ref="M21" si="59">(M8+M16)/2</f>
        <v>38089433.07363636</v>
      </c>
      <c r="N21" s="3255"/>
      <c r="O21" s="3255"/>
      <c r="P21" s="3254">
        <f>SUM(M21)</f>
        <v>38089433.07363636</v>
      </c>
      <c r="Q21" s="3254">
        <f t="shared" ref="Q21:R21" si="60">(Q8+Q16)/2</f>
        <v>60991763.855000004</v>
      </c>
      <c r="R21" s="3254">
        <f t="shared" si="60"/>
        <v>61656997.914999999</v>
      </c>
      <c r="S21" s="3254">
        <f t="shared" ref="S21:T21" si="61">(S8+S16)/2</f>
        <v>61007143.414999999</v>
      </c>
      <c r="T21" s="3254">
        <f t="shared" si="61"/>
        <v>61007143.414999999</v>
      </c>
      <c r="U21" s="3254">
        <f t="shared" ref="U21" si="62">(U8+U16)/2</f>
        <v>61007143.414999999</v>
      </c>
      <c r="V21" s="3254">
        <f t="shared" ref="V21:X21" si="63">(V8+V16)/2</f>
        <v>59080236.314999998</v>
      </c>
      <c r="W21" s="3254">
        <f t="shared" si="63"/>
        <v>58395659.5</v>
      </c>
      <c r="X21" s="3254">
        <f t="shared" si="63"/>
        <v>57753185.814999998</v>
      </c>
      <c r="Y21" s="3254">
        <f t="shared" ref="Y21" si="64">(Y8+Y16)/2</f>
        <v>57753185.814999998</v>
      </c>
      <c r="Z21" s="3654">
        <f t="shared" si="54"/>
        <v>61007143.414999999</v>
      </c>
      <c r="AA21" s="3809">
        <f t="shared" si="54"/>
        <v>55362605.990000002</v>
      </c>
      <c r="AB21" s="3809">
        <f t="shared" si="54"/>
        <v>58185389.539999999</v>
      </c>
      <c r="AC21" s="3254">
        <f t="shared" si="54"/>
        <v>57671318.019999996</v>
      </c>
      <c r="AD21" s="2477">
        <f t="shared" ref="AD21" si="65">(AD8+AD16)/2</f>
        <v>57671318.019999996</v>
      </c>
      <c r="AE21" s="4142"/>
      <c r="AF21" s="3254"/>
      <c r="AG21" s="3254"/>
    </row>
    <row r="22" spans="1:33" s="1763" customFormat="1" x14ac:dyDescent="0.2">
      <c r="A22" s="3253" t="s">
        <v>1458</v>
      </c>
      <c r="B22" s="3254">
        <f>(B9+B17)/2</f>
        <v>3085586.38</v>
      </c>
      <c r="C22" s="6339">
        <f>C28/C24*100</f>
        <v>2212264.7604545453</v>
      </c>
      <c r="D22" s="3254">
        <f>(D9+D17)/2</f>
        <v>596876.49045454513</v>
      </c>
      <c r="E22" s="3254"/>
      <c r="F22" s="3254"/>
      <c r="G22" s="3254"/>
      <c r="H22" s="3254">
        <f t="shared" ref="H22:L23" si="66">(H9+H17)/2</f>
        <v>0</v>
      </c>
      <c r="I22" s="3254">
        <f t="shared" si="66"/>
        <v>0</v>
      </c>
      <c r="J22" s="3254">
        <f t="shared" si="66"/>
        <v>0</v>
      </c>
      <c r="K22" s="3254">
        <f t="shared" si="66"/>
        <v>0</v>
      </c>
      <c r="L22" s="3254">
        <f t="shared" si="66"/>
        <v>0</v>
      </c>
      <c r="M22" s="3254"/>
      <c r="N22" s="3255"/>
      <c r="O22" s="3255"/>
      <c r="P22" s="3254"/>
      <c r="Q22" s="6333">
        <f t="shared" ref="Q22:R22" si="67">(Q9+Q17)/2</f>
        <v>3107956.3650000002</v>
      </c>
      <c r="R22" s="6333">
        <f t="shared" si="67"/>
        <v>3086916.9000000004</v>
      </c>
      <c r="S22" s="6333">
        <f t="shared" ref="S22:T22" si="68">(S9+S17)/2</f>
        <v>3065891.2350000003</v>
      </c>
      <c r="T22" s="6333">
        <f t="shared" si="68"/>
        <v>3065891.2350000003</v>
      </c>
      <c r="U22" s="6333">
        <f t="shared" ref="U22" si="69">(U9+U17)/2</f>
        <v>3065891.2350000003</v>
      </c>
      <c r="V22" s="6333">
        <f t="shared" ref="V22:X22" si="70">(V9+V17)/2</f>
        <v>3090064.04</v>
      </c>
      <c r="W22" s="6333">
        <f t="shared" si="70"/>
        <v>3069038.375</v>
      </c>
      <c r="X22" s="6333">
        <f t="shared" si="70"/>
        <v>3048012.71</v>
      </c>
      <c r="Y22" s="6333">
        <f t="shared" ref="Y22" si="71">(Y9+Y17)/2</f>
        <v>3048012.71</v>
      </c>
      <c r="Z22" s="6335">
        <f t="shared" si="54"/>
        <v>3065891.2350000003</v>
      </c>
      <c r="AA22" s="6331">
        <f t="shared" si="54"/>
        <v>54953.23</v>
      </c>
      <c r="AB22" s="6331">
        <f t="shared" si="54"/>
        <v>0</v>
      </c>
      <c r="AC22" s="6333">
        <f t="shared" si="54"/>
        <v>0</v>
      </c>
      <c r="AD22" s="6327">
        <f t="shared" ref="AD22" si="72">(AD9+AD17)/2</f>
        <v>0</v>
      </c>
      <c r="AE22" s="4142"/>
      <c r="AF22" s="3254"/>
      <c r="AG22" s="3254"/>
    </row>
    <row r="23" spans="1:33" s="1763" customFormat="1" ht="25.5" x14ac:dyDescent="0.2">
      <c r="A23" s="3253" t="s">
        <v>2083</v>
      </c>
      <c r="B23" s="3254">
        <f>(B10+B18)/2</f>
        <v>225926.84999999998</v>
      </c>
      <c r="C23" s="6343"/>
      <c r="D23" s="3254">
        <f>(D10+D18)/2</f>
        <v>0</v>
      </c>
      <c r="E23" s="3254"/>
      <c r="F23" s="3254"/>
      <c r="G23" s="3254"/>
      <c r="H23" s="3254">
        <f t="shared" si="66"/>
        <v>0</v>
      </c>
      <c r="I23" s="3254">
        <f t="shared" si="66"/>
        <v>0</v>
      </c>
      <c r="J23" s="3254">
        <f t="shared" si="66"/>
        <v>0</v>
      </c>
      <c r="K23" s="3254">
        <f t="shared" si="66"/>
        <v>0</v>
      </c>
      <c r="L23" s="3254">
        <f t="shared" si="66"/>
        <v>0</v>
      </c>
      <c r="M23" s="3254"/>
      <c r="N23" s="3255"/>
      <c r="O23" s="3255"/>
      <c r="P23" s="3254"/>
      <c r="Q23" s="6334"/>
      <c r="R23" s="6334"/>
      <c r="S23" s="6334"/>
      <c r="T23" s="6344"/>
      <c r="U23" s="6344"/>
      <c r="V23" s="6334"/>
      <c r="W23" s="6334"/>
      <c r="X23" s="6334"/>
      <c r="Y23" s="6334"/>
      <c r="Z23" s="6336"/>
      <c r="AA23" s="6332"/>
      <c r="AB23" s="6332"/>
      <c r="AC23" s="6334"/>
      <c r="AD23" s="6328"/>
      <c r="AE23" s="4142"/>
      <c r="AF23" s="3254"/>
      <c r="AG23" s="3254"/>
    </row>
    <row r="24" spans="1:33" x14ac:dyDescent="0.2">
      <c r="A24" s="3052" t="s">
        <v>2084</v>
      </c>
      <c r="B24" s="3228">
        <v>2.2000000000000002</v>
      </c>
      <c r="C24" s="3228">
        <v>2.2000000000000002</v>
      </c>
      <c r="D24" s="3228">
        <v>2.2000000000000002</v>
      </c>
      <c r="E24" s="3228"/>
      <c r="F24" s="3228">
        <v>2.2000000000000002</v>
      </c>
      <c r="G24" s="3228">
        <v>2.2000000000000002</v>
      </c>
      <c r="H24" s="3228">
        <v>2.2000000000000002</v>
      </c>
      <c r="I24" s="3228">
        <v>2.2000000000000002</v>
      </c>
      <c r="J24" s="3228">
        <v>2.2000000000000002</v>
      </c>
      <c r="K24" s="3228">
        <v>2.2000000000000002</v>
      </c>
      <c r="L24" s="3228">
        <v>2.2000000000000002</v>
      </c>
      <c r="M24" s="3228">
        <v>2.2000000000000002</v>
      </c>
      <c r="N24" s="394"/>
      <c r="O24" s="394"/>
      <c r="P24" s="3228">
        <v>2.2000000000000002</v>
      </c>
      <c r="Q24" s="3228">
        <v>2.2000000000000002</v>
      </c>
      <c r="R24" s="3228">
        <v>2.2000000000000002</v>
      </c>
      <c r="S24" s="3228">
        <v>2.2000000000000002</v>
      </c>
      <c r="T24" s="3633">
        <v>2.2000000000000002</v>
      </c>
      <c r="U24" s="3633">
        <v>2.2000000000000002</v>
      </c>
      <c r="V24" s="3633">
        <v>2.2000000000000002</v>
      </c>
      <c r="W24" s="3633">
        <v>2.2000000000000002</v>
      </c>
      <c r="X24" s="3633">
        <v>2.2000000000000002</v>
      </c>
      <c r="Y24" s="3904">
        <v>2.2000000000000002</v>
      </c>
      <c r="Z24" s="3656">
        <v>2.2000000000000002</v>
      </c>
      <c r="AA24" s="3803">
        <v>2.2000000000000002</v>
      </c>
      <c r="AB24" s="3803">
        <v>2.2000000000000002</v>
      </c>
      <c r="AC24" s="3904">
        <v>2.2000000000000002</v>
      </c>
      <c r="AD24" s="3908">
        <v>2.2000000000000002</v>
      </c>
      <c r="AE24" s="4137"/>
      <c r="AF24" s="4728">
        <v>2.2000000000000002</v>
      </c>
      <c r="AG24" s="4728">
        <v>2.2000000000000002</v>
      </c>
    </row>
    <row r="25" spans="1:33" x14ac:dyDescent="0.2">
      <c r="A25" s="3052" t="s">
        <v>2082</v>
      </c>
      <c r="B25" s="3229">
        <f>SUM(B26:B29)</f>
        <v>3376735.7848399999</v>
      </c>
      <c r="C25" s="3229">
        <f>C19*C24/100</f>
        <v>3123269.82473</v>
      </c>
      <c r="D25" s="3229">
        <f t="shared" ref="D25:G25" si="73">SUM(D26:D29)</f>
        <v>2986036.0505800005</v>
      </c>
      <c r="E25" s="3229"/>
      <c r="F25" s="3229">
        <f t="shared" ref="F25" si="74">SUM(F26:F29)</f>
        <v>4332876.1092100004</v>
      </c>
      <c r="G25" s="3229">
        <f t="shared" si="73"/>
        <v>2794876.1260000002</v>
      </c>
      <c r="H25" s="3229">
        <f t="shared" ref="H25" si="75">SUM(H26:H29)</f>
        <v>2465081.3859999999</v>
      </c>
      <c r="I25" s="3229">
        <f t="shared" ref="I25" si="76">SUM(I26:I29)</f>
        <v>2135286.6459999997</v>
      </c>
      <c r="J25" s="3229">
        <f t="shared" ref="J25" si="77">SUM(J26:J29)</f>
        <v>1805491.906</v>
      </c>
      <c r="K25" s="3229">
        <f t="shared" ref="K25" si="78">SUM(K26:K29)</f>
        <v>1475697.166</v>
      </c>
      <c r="L25" s="3229">
        <f t="shared" ref="L25:M25" si="79">SUM(L26:L29)</f>
        <v>1145902.4259999997</v>
      </c>
      <c r="M25" s="3229">
        <f t="shared" si="79"/>
        <v>2465081.3859999999</v>
      </c>
      <c r="N25" s="394"/>
      <c r="O25" s="394"/>
      <c r="P25" s="3229">
        <f t="shared" ref="P25" si="80">SUM(P26:P29)</f>
        <v>2465081.3859999999</v>
      </c>
      <c r="Q25" s="3229">
        <f t="shared" ref="Q25:R25" si="81">SUM(Q26:Q29)</f>
        <v>2875690.9199150004</v>
      </c>
      <c r="R25" s="3229">
        <f t="shared" si="81"/>
        <v>4222974.9717375003</v>
      </c>
      <c r="S25" s="3229">
        <f t="shared" ref="S25" si="82">SUM(S26:S29)</f>
        <v>4268052.5385300005</v>
      </c>
      <c r="T25" s="3634">
        <f t="shared" ref="T25:U25" si="83">SUM(T26:T29)</f>
        <v>4268052.5385300005</v>
      </c>
      <c r="U25" s="3634">
        <f t="shared" si="83"/>
        <v>4268052.5385300005</v>
      </c>
      <c r="V25" s="3634">
        <f t="shared" ref="V25:Z25" si="84">SUM(V26:V29)</f>
        <v>2817473.9455499998</v>
      </c>
      <c r="W25" s="3634">
        <f t="shared" si="84"/>
        <v>4182274.5935850004</v>
      </c>
      <c r="X25" s="3634">
        <f t="shared" si="84"/>
        <v>4139050.7035350003</v>
      </c>
      <c r="Y25" s="3905">
        <f t="shared" ref="Y25" si="85">SUM(Y26:Y29)</f>
        <v>4139050.7035350003</v>
      </c>
      <c r="Z25" s="3622">
        <f t="shared" si="84"/>
        <v>4268052.5385300005</v>
      </c>
      <c r="AA25" s="3796">
        <f t="shared" ref="AA25:AC25" si="86">SUM(AA26:AA29)</f>
        <v>2623143.628215</v>
      </c>
      <c r="AB25" s="3796">
        <f t="shared" si="86"/>
        <v>4116438.5968199996</v>
      </c>
      <c r="AC25" s="3905">
        <f t="shared" si="86"/>
        <v>5435891.4623199999</v>
      </c>
      <c r="AD25" s="3074">
        <f t="shared" ref="AD25" si="87">SUM(AD26:AD29)</f>
        <v>5435891.4623199999</v>
      </c>
      <c r="AE25" s="1740"/>
      <c r="AF25" s="4732">
        <f t="shared" ref="AF25:AG25" si="88">SUM(AF26:AF29)</f>
        <v>0</v>
      </c>
      <c r="AG25" s="4732">
        <f t="shared" si="88"/>
        <v>0</v>
      </c>
    </row>
    <row r="26" spans="1:33" s="1763" customFormat="1" x14ac:dyDescent="0.2">
      <c r="A26" s="3253" t="s">
        <v>46</v>
      </c>
      <c r="B26" s="3254">
        <f>B20*B24/100</f>
        <v>1805485.60995</v>
      </c>
      <c r="C26" s="3254">
        <f>НАЛОГИ!D8*1000+НАЛОГИ!D17*1000</f>
        <v>1844760</v>
      </c>
      <c r="D26" s="3254">
        <f t="shared" ref="D26" si="89">D20*D24/100</f>
        <v>1874110.0110200003</v>
      </c>
      <c r="E26" s="3254"/>
      <c r="F26" s="3254">
        <f t="shared" ref="F26" si="90">F20*F24/100</f>
        <v>2945623.2085500001</v>
      </c>
      <c r="G26" s="3254">
        <f t="shared" ref="G26:L26" si="91">G20*G24/100</f>
        <v>1846770.21838</v>
      </c>
      <c r="H26" s="3254">
        <f t="shared" si="91"/>
        <v>1627113.8583800001</v>
      </c>
      <c r="I26" s="3254">
        <f t="shared" si="91"/>
        <v>1407457.49838</v>
      </c>
      <c r="J26" s="3254">
        <f t="shared" si="91"/>
        <v>1187801.1383799999</v>
      </c>
      <c r="K26" s="3254">
        <f t="shared" si="91"/>
        <v>968144.77838000003</v>
      </c>
      <c r="L26" s="3254">
        <f t="shared" si="91"/>
        <v>748488.41837999981</v>
      </c>
      <c r="M26" s="3254">
        <f t="shared" ref="M26" si="92">M20*M24/100</f>
        <v>1627113.8583800001</v>
      </c>
      <c r="N26" s="3255"/>
      <c r="O26" s="3255"/>
      <c r="P26" s="3254">
        <f>SUM(M26)</f>
        <v>1627113.8583800001</v>
      </c>
      <c r="Q26" s="3254">
        <f>Q20*Q24/100/2</f>
        <v>2170593.9974950003</v>
      </c>
      <c r="R26" s="3254">
        <f>R20*R24/100/4*3</f>
        <v>3154700.3772899997</v>
      </c>
      <c r="S26" s="3254">
        <f>S20*S24/100/4*3</f>
        <v>3210847.4668050008</v>
      </c>
      <c r="T26" s="3254">
        <f>T20*T24/100/4*3</f>
        <v>3210847.4668050008</v>
      </c>
      <c r="U26" s="3254">
        <f>U20*U24/100/4*3</f>
        <v>3210847.4668050008</v>
      </c>
      <c r="V26" s="3254">
        <f>V20*V24/100/2</f>
        <v>2133600.6416449999</v>
      </c>
      <c r="W26" s="3254">
        <f>W20*W24/100/4*3</f>
        <v>3168107.0786475004</v>
      </c>
      <c r="X26" s="3254">
        <f>X20*X24/100/4*3</f>
        <v>3135830.9278725004</v>
      </c>
      <c r="Y26" s="3254">
        <f>Y20*Y24/100/4*3</f>
        <v>3135830.9278725004</v>
      </c>
      <c r="Z26" s="3654">
        <f>Z20*Z24/100/4*3</f>
        <v>3210847.4668050008</v>
      </c>
      <c r="AA26" s="3809">
        <f>AA20*AA24/100/2</f>
        <v>2013248.2340300002</v>
      </c>
      <c r="AB26" s="3809">
        <f t="shared" ref="AB26" si="93">AB20*AB24/100/4*3</f>
        <v>3156379.6694099996</v>
      </c>
      <c r="AC26" s="3254">
        <f>AC20*AC24/100</f>
        <v>4167122.46588</v>
      </c>
      <c r="AD26" s="2477">
        <f>AD20*AD24/100</f>
        <v>4167122.46588</v>
      </c>
      <c r="AE26" s="4142"/>
      <c r="AF26" s="3308">
        <f>AF20*AF24/100</f>
        <v>0</v>
      </c>
      <c r="AG26" s="3308">
        <f>AG20*AG24/100</f>
        <v>0</v>
      </c>
    </row>
    <row r="27" spans="1:33" s="1763" customFormat="1" x14ac:dyDescent="0.2">
      <c r="A27" s="3253" t="s">
        <v>47</v>
      </c>
      <c r="B27" s="3254">
        <f>B21*B24/100</f>
        <v>1498396.8838300002</v>
      </c>
      <c r="C27" s="3254">
        <f>НАЛОГИ!D26*1000+НАЛОГИ!D34*1000</f>
        <v>1229840</v>
      </c>
      <c r="D27" s="3254">
        <f t="shared" ref="D27" si="94">D21*D24/100</f>
        <v>1098794.7567700001</v>
      </c>
      <c r="E27" s="3254"/>
      <c r="F27" s="3254">
        <f t="shared" ref="F27" si="95">F21*F24/100</f>
        <v>1387252.90066</v>
      </c>
      <c r="G27" s="3254">
        <f t="shared" ref="G27:L27" si="96">G21*G24/100</f>
        <v>948105.90761999995</v>
      </c>
      <c r="H27" s="3254">
        <f t="shared" si="96"/>
        <v>837967.52761999995</v>
      </c>
      <c r="I27" s="3254">
        <f t="shared" si="96"/>
        <v>727829.14761999995</v>
      </c>
      <c r="J27" s="3254">
        <f t="shared" si="96"/>
        <v>617690.76761999994</v>
      </c>
      <c r="K27" s="3254">
        <f t="shared" si="96"/>
        <v>507552.38761999994</v>
      </c>
      <c r="L27" s="3254">
        <f t="shared" si="96"/>
        <v>397414.00761999993</v>
      </c>
      <c r="M27" s="3254">
        <f t="shared" ref="M27" si="97">M21*M24/100</f>
        <v>837967.52761999995</v>
      </c>
      <c r="N27" s="3255"/>
      <c r="O27" s="3255"/>
      <c r="P27" s="3254">
        <f t="shared" ref="P27:P29" si="98">SUM(M27)</f>
        <v>837967.52761999995</v>
      </c>
      <c r="Q27" s="3254">
        <f>Q21*Q24/100/2</f>
        <v>670909.40240500006</v>
      </c>
      <c r="R27" s="3254">
        <f>R21*R24/100/4*3</f>
        <v>1017340.4655975001</v>
      </c>
      <c r="S27" s="3254">
        <f>S21*S24/100/4*3</f>
        <v>1006617.8663475001</v>
      </c>
      <c r="T27" s="3254">
        <f>T21*T24/100/4*3</f>
        <v>1006617.8663475001</v>
      </c>
      <c r="U27" s="3254">
        <f>U21*U24/100/4*3</f>
        <v>1006617.8663475001</v>
      </c>
      <c r="V27" s="3254">
        <f>V21*V24/100/2</f>
        <v>649882.59946499998</v>
      </c>
      <c r="W27" s="3254">
        <f>W21*W24/100/4*3</f>
        <v>963528.38175000006</v>
      </c>
      <c r="X27" s="3254">
        <f>X21*X24/100/4*3</f>
        <v>952927.56594749994</v>
      </c>
      <c r="Y27" s="3254">
        <f>Y21*Y24/100/4*3</f>
        <v>952927.56594749994</v>
      </c>
      <c r="Z27" s="3654">
        <f>Z21*Z24/100/4*3</f>
        <v>1006617.8663475001</v>
      </c>
      <c r="AA27" s="3809">
        <f>AA21*AA24/100/2</f>
        <v>608988.66589000006</v>
      </c>
      <c r="AB27" s="3809">
        <f t="shared" ref="AB27" si="99">AB21*AB24/100/4*3</f>
        <v>960058.92741</v>
      </c>
      <c r="AC27" s="3254">
        <f>AC21*AC24/100</f>
        <v>1268768.9964399999</v>
      </c>
      <c r="AD27" s="2477">
        <f>AD21*AD24/100</f>
        <v>1268768.9964399999</v>
      </c>
      <c r="AE27" s="4142"/>
      <c r="AF27" s="3308">
        <f>AF21*AF24/100</f>
        <v>0</v>
      </c>
      <c r="AG27" s="3308">
        <f>AG21*AG24/100</f>
        <v>0</v>
      </c>
    </row>
    <row r="28" spans="1:33" s="1763" customFormat="1" x14ac:dyDescent="0.2">
      <c r="A28" s="3253" t="s">
        <v>1458</v>
      </c>
      <c r="B28" s="3254">
        <f>B22*B24/100</f>
        <v>67882.90036</v>
      </c>
      <c r="C28" s="6339">
        <f>C25-C26-C27</f>
        <v>48669.824729999993</v>
      </c>
      <c r="D28" s="3254">
        <f t="shared" ref="D28" si="100">D22*D24/100</f>
        <v>13131.282789999994</v>
      </c>
      <c r="E28" s="3254"/>
      <c r="F28" s="3254"/>
      <c r="G28" s="3254"/>
      <c r="H28" s="3254">
        <f t="shared" ref="H28:L28" si="101">H22*H24/100</f>
        <v>0</v>
      </c>
      <c r="I28" s="3254">
        <f t="shared" si="101"/>
        <v>0</v>
      </c>
      <c r="J28" s="3254">
        <f t="shared" si="101"/>
        <v>0</v>
      </c>
      <c r="K28" s="3254">
        <f t="shared" si="101"/>
        <v>0</v>
      </c>
      <c r="L28" s="3254">
        <f t="shared" si="101"/>
        <v>0</v>
      </c>
      <c r="M28" s="3254">
        <f t="shared" ref="M28" si="102">M22*M24/100</f>
        <v>0</v>
      </c>
      <c r="N28" s="3255"/>
      <c r="O28" s="3255"/>
      <c r="P28" s="3254">
        <f t="shared" si="98"/>
        <v>0</v>
      </c>
      <c r="Q28" s="6333">
        <f>Q22*Q24/100/2</f>
        <v>34187.520015000009</v>
      </c>
      <c r="R28" s="6333">
        <f>R22*R24/100/4*3</f>
        <v>50934.128850000008</v>
      </c>
      <c r="S28" s="6333">
        <f>S22*S24/100/4*3</f>
        <v>50587.205377500009</v>
      </c>
      <c r="T28" s="6333">
        <f>T22*T24/100/4*3</f>
        <v>50587.205377500009</v>
      </c>
      <c r="U28" s="6333">
        <f>U22*U24/100/4*3</f>
        <v>50587.205377500009</v>
      </c>
      <c r="V28" s="6333">
        <f>V22*V24/100/2</f>
        <v>33990.704440000001</v>
      </c>
      <c r="W28" s="6333">
        <f>W22*W24/100/4*3</f>
        <v>50639.133187500003</v>
      </c>
      <c r="X28" s="6333">
        <f>X22*X24/100/4*3</f>
        <v>50292.209715000005</v>
      </c>
      <c r="Y28" s="6333">
        <f>Y22*Y24/100/4*3</f>
        <v>50292.209715000005</v>
      </c>
      <c r="Z28" s="6335">
        <f>Z22*Z24/100/4*3</f>
        <v>50587.205377500009</v>
      </c>
      <c r="AA28" s="6331">
        <f t="shared" ref="AA28:AC28" si="103">AA22*AA24/100/4*3</f>
        <v>906.72829500000012</v>
      </c>
      <c r="AB28" s="6331">
        <f t="shared" si="103"/>
        <v>0</v>
      </c>
      <c r="AC28" s="6333">
        <f t="shared" si="103"/>
        <v>0</v>
      </c>
      <c r="AD28" s="6327">
        <f t="shared" ref="AD28" si="104">AD22*AD24/100/4*3</f>
        <v>0</v>
      </c>
      <c r="AE28" s="4142"/>
      <c r="AF28" s="3254"/>
      <c r="AG28" s="3254"/>
    </row>
    <row r="29" spans="1:33" s="1763" customFormat="1" ht="25.5" x14ac:dyDescent="0.2">
      <c r="A29" s="3253" t="s">
        <v>2083</v>
      </c>
      <c r="B29" s="3254">
        <f>B23*B24/100</f>
        <v>4970.3906999999999</v>
      </c>
      <c r="C29" s="6343"/>
      <c r="D29" s="3254">
        <f t="shared" ref="D29" si="105">D23*D24/100</f>
        <v>0</v>
      </c>
      <c r="E29" s="3254"/>
      <c r="F29" s="3254"/>
      <c r="G29" s="3254"/>
      <c r="H29" s="3254">
        <f t="shared" ref="H29:L29" si="106">H23*H24/100</f>
        <v>0</v>
      </c>
      <c r="I29" s="3254">
        <f t="shared" si="106"/>
        <v>0</v>
      </c>
      <c r="J29" s="3254">
        <f t="shared" si="106"/>
        <v>0</v>
      </c>
      <c r="K29" s="3254">
        <f t="shared" si="106"/>
        <v>0</v>
      </c>
      <c r="L29" s="3254">
        <f t="shared" si="106"/>
        <v>0</v>
      </c>
      <c r="M29" s="3254">
        <f t="shared" ref="M29" si="107">M23*M24/100</f>
        <v>0</v>
      </c>
      <c r="N29" s="3255"/>
      <c r="O29" s="3255"/>
      <c r="P29" s="3254">
        <f t="shared" si="98"/>
        <v>0</v>
      </c>
      <c r="Q29" s="6334"/>
      <c r="R29" s="6334"/>
      <c r="S29" s="6334"/>
      <c r="T29" s="6344"/>
      <c r="U29" s="6344"/>
      <c r="V29" s="6334"/>
      <c r="W29" s="6334"/>
      <c r="X29" s="6334"/>
      <c r="Y29" s="6334"/>
      <c r="Z29" s="6336"/>
      <c r="AA29" s="6332"/>
      <c r="AB29" s="6332"/>
      <c r="AC29" s="6334"/>
      <c r="AD29" s="6328"/>
      <c r="AE29" s="4142"/>
      <c r="AF29" s="3254"/>
      <c r="AG29" s="3254"/>
    </row>
    <row r="30" spans="1:33" ht="25.5" x14ac:dyDescent="0.2">
      <c r="A30" s="3052" t="s">
        <v>2086</v>
      </c>
      <c r="B30" s="3228"/>
      <c r="C30" s="3228"/>
      <c r="D30" s="3228"/>
      <c r="E30" s="3228"/>
      <c r="F30" s="3229">
        <f>Аморт!T87</f>
        <v>0</v>
      </c>
      <c r="G30" s="3229">
        <f>Аморт!U87</f>
        <v>2887205.7268098001</v>
      </c>
      <c r="H30" s="3229">
        <f>Аморт!W87</f>
        <v>2828878.3383893995</v>
      </c>
      <c r="I30" s="3229">
        <f>Аморт!X87</f>
        <v>2770550.9499689997</v>
      </c>
      <c r="J30" s="3229">
        <f>Аморт!AA87</f>
        <v>2712223.5615485995</v>
      </c>
      <c r="K30" s="3229">
        <f>Аморт!AB87</f>
        <v>2653896.1731281998</v>
      </c>
      <c r="L30" s="3229">
        <f>Аморт!AC87</f>
        <v>2595568.7847077991</v>
      </c>
      <c r="M30" s="3229">
        <f>SUM(H30)</f>
        <v>2828878.3383893995</v>
      </c>
      <c r="N30" s="394"/>
      <c r="O30" s="394"/>
      <c r="P30" s="3229">
        <f>SUM(M30)</f>
        <v>2828878.3383893995</v>
      </c>
      <c r="Q30" s="3229"/>
      <c r="R30" s="3229"/>
      <c r="S30" s="3229"/>
      <c r="T30" s="3634"/>
      <c r="U30" s="3634"/>
      <c r="V30" s="3634"/>
      <c r="W30" s="3634"/>
      <c r="X30" s="3634"/>
      <c r="Y30" s="3905"/>
      <c r="Z30" s="3622"/>
      <c r="AA30" s="3796"/>
      <c r="AB30" s="3796"/>
      <c r="AC30" s="3905"/>
      <c r="AD30" s="3074"/>
      <c r="AE30" s="1840"/>
      <c r="AF30" s="4732"/>
      <c r="AG30" s="4732"/>
    </row>
    <row r="31" spans="1:33" x14ac:dyDescent="0.2">
      <c r="A31" s="3052" t="s">
        <v>2087</v>
      </c>
      <c r="B31" s="3228"/>
      <c r="C31" s="3228"/>
      <c r="D31" s="3228"/>
      <c r="E31" s="3228"/>
      <c r="F31" s="3228"/>
      <c r="G31" s="3228"/>
      <c r="H31" s="3228"/>
      <c r="I31" s="3228"/>
      <c r="J31" s="3228"/>
      <c r="K31" s="3228"/>
      <c r="L31" s="3228"/>
      <c r="M31" s="3228"/>
      <c r="N31" s="394"/>
      <c r="O31" s="394"/>
      <c r="P31" s="3228"/>
      <c r="Q31" s="3229">
        <f>SUM(Q33:Q36)</f>
        <v>2688670</v>
      </c>
      <c r="R31" s="3229">
        <f>SUM(R33:R36)</f>
        <v>4033000</v>
      </c>
      <c r="S31" s="3229">
        <v>5377350</v>
      </c>
      <c r="T31" s="3634">
        <v>5377350</v>
      </c>
      <c r="U31" s="3634">
        <f>SUM(U25)</f>
        <v>4268052.5385300005</v>
      </c>
      <c r="V31" s="3634">
        <v>2671790</v>
      </c>
      <c r="W31" s="3634">
        <f>SUM(W33:W36)</f>
        <v>4000415</v>
      </c>
      <c r="X31" s="3634">
        <v>5278311</v>
      </c>
      <c r="Y31" s="3905">
        <v>5278311</v>
      </c>
      <c r="Z31" s="3905">
        <v>5278311</v>
      </c>
      <c r="AA31" s="3796">
        <v>2551921</v>
      </c>
      <c r="AB31" s="3796">
        <v>3841763</v>
      </c>
      <c r="AC31" s="3905">
        <v>5215799</v>
      </c>
      <c r="AD31" s="3074">
        <v>5215799</v>
      </c>
      <c r="AE31" s="4144">
        <f>SUM(AC31)</f>
        <v>5215799</v>
      </c>
      <c r="AF31" s="4732">
        <v>5215799</v>
      </c>
      <c r="AG31" s="4732">
        <v>5215799</v>
      </c>
    </row>
    <row r="32" spans="1:33" x14ac:dyDescent="0.2">
      <c r="A32" s="3052" t="s">
        <v>50</v>
      </c>
      <c r="B32" s="3228"/>
      <c r="C32" s="3228"/>
      <c r="D32" s="3228"/>
      <c r="E32" s="3228"/>
      <c r="F32" s="3228"/>
      <c r="G32" s="3228"/>
      <c r="H32" s="3228"/>
      <c r="I32" s="3228"/>
      <c r="J32" s="3228"/>
      <c r="K32" s="3228"/>
      <c r="L32" s="3228"/>
      <c r="M32" s="3228"/>
      <c r="N32" s="394"/>
      <c r="O32" s="394"/>
      <c r="P32" s="3228"/>
      <c r="Q32" s="3228"/>
      <c r="R32" s="3228"/>
      <c r="S32" s="3228"/>
      <c r="T32" s="3633"/>
      <c r="U32" s="3633"/>
      <c r="V32" s="3633"/>
      <c r="W32" s="3633"/>
      <c r="X32" s="3633"/>
      <c r="Y32" s="3904"/>
      <c r="Z32" s="3904"/>
      <c r="AA32" s="3803"/>
      <c r="AB32" s="3803"/>
      <c r="AC32" s="3904"/>
      <c r="AD32" s="3908"/>
      <c r="AE32" s="4145"/>
      <c r="AF32" s="4728"/>
      <c r="AG32" s="4728"/>
    </row>
    <row r="33" spans="1:33" x14ac:dyDescent="0.2">
      <c r="A33" s="2553" t="s">
        <v>2088</v>
      </c>
      <c r="B33" s="3228"/>
      <c r="C33" s="3228"/>
      <c r="D33" s="3228"/>
      <c r="E33" s="3228">
        <f>1996.24*1000</f>
        <v>1996240</v>
      </c>
      <c r="F33" s="3229">
        <f>SUM(F34:F35)</f>
        <v>1982030</v>
      </c>
      <c r="G33" s="3229">
        <f>G26+G30</f>
        <v>4733975.9451898001</v>
      </c>
      <c r="H33" s="3229">
        <f t="shared" ref="H33:L33" si="108">H26+H30</f>
        <v>4455992.1967693996</v>
      </c>
      <c r="I33" s="3229">
        <f t="shared" si="108"/>
        <v>4178008.448349</v>
      </c>
      <c r="J33" s="3229">
        <f t="shared" si="108"/>
        <v>3900024.6999285994</v>
      </c>
      <c r="K33" s="3229">
        <f t="shared" si="108"/>
        <v>3622040.9515081998</v>
      </c>
      <c r="L33" s="3229">
        <f t="shared" si="108"/>
        <v>3344057.2030877988</v>
      </c>
      <c r="M33" s="3229">
        <f t="shared" ref="M33" si="109">M26+M30</f>
        <v>4455992.1967693996</v>
      </c>
      <c r="N33" s="394"/>
      <c r="O33" s="394"/>
      <c r="P33" s="3229">
        <f t="shared" ref="P33" si="110">P26+P30</f>
        <v>4455992.1967693996</v>
      </c>
      <c r="Q33" s="3229">
        <v>1613200</v>
      </c>
      <c r="R33" s="3229">
        <v>2419800</v>
      </c>
      <c r="S33" s="3229">
        <f>SUM(S31*60%)</f>
        <v>3226410</v>
      </c>
      <c r="T33" s="3634">
        <f>SUM(T31*60%)</f>
        <v>3226410</v>
      </c>
      <c r="U33" s="3634">
        <v>2522722.3199999998</v>
      </c>
      <c r="V33" s="3634">
        <f>SUM(V31*60%)</f>
        <v>1603074</v>
      </c>
      <c r="W33" s="3634">
        <v>2400249</v>
      </c>
      <c r="X33" s="3634">
        <f>SUM(X31*60%)</f>
        <v>3166986.6</v>
      </c>
      <c r="Y33" s="3905">
        <f>SUM(Y31*60%)</f>
        <v>3166986.6</v>
      </c>
      <c r="Z33" s="3905">
        <v>3119856.85</v>
      </c>
      <c r="AA33" s="3796">
        <f t="shared" ref="AA33:AC33" si="111">SUM(AA31*60%)</f>
        <v>1531152.5999999999</v>
      </c>
      <c r="AB33" s="3796">
        <f t="shared" si="111"/>
        <v>2305057.7999999998</v>
      </c>
      <c r="AC33" s="3905">
        <f t="shared" si="111"/>
        <v>3129479.4</v>
      </c>
      <c r="AD33" s="3074">
        <f t="shared" ref="AD33" si="112">SUM(AD31*60%)</f>
        <v>3129479.4</v>
      </c>
      <c r="AE33" s="4146">
        <f>AD33</f>
        <v>3129479.4</v>
      </c>
      <c r="AF33" s="4732">
        <f>AF31*0.6</f>
        <v>3129479.4</v>
      </c>
      <c r="AG33" s="4732">
        <f>AG31*0.6</f>
        <v>3129479.4</v>
      </c>
    </row>
    <row r="34" spans="1:33" x14ac:dyDescent="0.2">
      <c r="A34" s="2553" t="s">
        <v>366</v>
      </c>
      <c r="B34" s="3228"/>
      <c r="C34" s="3228"/>
      <c r="D34" s="3228"/>
      <c r="E34" s="3228"/>
      <c r="F34" s="3229">
        <f>1981.31*1000</f>
        <v>1981310</v>
      </c>
      <c r="G34" s="3229">
        <f>G33*$O$34</f>
        <v>4732636.3873577761</v>
      </c>
      <c r="H34" s="3229">
        <f t="shared" ref="H34:L34" si="113">H33*$O$34</f>
        <v>4454731.2990978165</v>
      </c>
      <c r="I34" s="3229">
        <f t="shared" si="113"/>
        <v>4176826.2108378578</v>
      </c>
      <c r="J34" s="3229">
        <f t="shared" si="113"/>
        <v>3898921.1225778982</v>
      </c>
      <c r="K34" s="3229">
        <f t="shared" si="113"/>
        <v>3621016.0343179395</v>
      </c>
      <c r="L34" s="3229">
        <f t="shared" si="113"/>
        <v>3343110.946057979</v>
      </c>
      <c r="M34" s="3229">
        <f t="shared" ref="M34" si="114">M33*$O$34</f>
        <v>4454731.2990978165</v>
      </c>
      <c r="N34" s="394">
        <f>'объемы ВС и ВО 2023'!AZ39</f>
        <v>6253.3816796622659</v>
      </c>
      <c r="O34" s="395">
        <f>N34/N36</f>
        <v>0.99971703324065575</v>
      </c>
      <c r="P34" s="3229">
        <f t="shared" ref="P34" si="115">P33*$O$34</f>
        <v>4454731.2990978165</v>
      </c>
      <c r="Q34" s="3229"/>
      <c r="R34" s="3229"/>
      <c r="S34" s="3229"/>
      <c r="T34" s="3634"/>
      <c r="U34" s="3634"/>
      <c r="V34" s="3634"/>
      <c r="W34" s="3634"/>
      <c r="X34" s="3634"/>
      <c r="Y34" s="3905"/>
      <c r="Z34" s="3905"/>
      <c r="AA34" s="3796"/>
      <c r="AB34" s="3796"/>
      <c r="AC34" s="3905"/>
      <c r="AD34" s="3074"/>
      <c r="AE34" s="4146"/>
      <c r="AF34" s="4732"/>
      <c r="AG34" s="4732"/>
    </row>
    <row r="35" spans="1:33" x14ac:dyDescent="0.2">
      <c r="A35" s="2553" t="s">
        <v>156</v>
      </c>
      <c r="B35" s="3228"/>
      <c r="C35" s="3228"/>
      <c r="D35" s="3228"/>
      <c r="E35" s="3228"/>
      <c r="F35" s="3229">
        <f>0.72*1000</f>
        <v>720</v>
      </c>
      <c r="G35" s="3229">
        <f>G33*$O$35</f>
        <v>1339.5578320234051</v>
      </c>
      <c r="H35" s="3229">
        <f t="shared" ref="H35:L35" si="116">H33*$O$35</f>
        <v>1260.8976715825515</v>
      </c>
      <c r="I35" s="3229">
        <f t="shared" si="116"/>
        <v>1182.2375111416982</v>
      </c>
      <c r="J35" s="3229">
        <f t="shared" si="116"/>
        <v>1103.5773507008444</v>
      </c>
      <c r="K35" s="3229">
        <f t="shared" si="116"/>
        <v>1024.917190259991</v>
      </c>
      <c r="L35" s="3229">
        <f t="shared" si="116"/>
        <v>946.2570298191373</v>
      </c>
      <c r="M35" s="3229">
        <f t="shared" ref="M35" si="117">M33*$O$35</f>
        <v>1260.8976715825515</v>
      </c>
      <c r="N35" s="394">
        <f>'объемы ВС и ВО 2023'!BA39</f>
        <v>1.77</v>
      </c>
      <c r="O35" s="395">
        <f>N35/N36</f>
        <v>2.8296675934412632E-4</v>
      </c>
      <c r="P35" s="3229">
        <f t="shared" ref="P35" si="118">P33*$O$35</f>
        <v>1260.8976715825515</v>
      </c>
      <c r="Q35" s="3229"/>
      <c r="R35" s="3229"/>
      <c r="S35" s="3229"/>
      <c r="T35" s="3634"/>
      <c r="U35" s="3634"/>
      <c r="V35" s="3634"/>
      <c r="W35" s="3634"/>
      <c r="X35" s="3634"/>
      <c r="Y35" s="3905"/>
      <c r="Z35" s="3905"/>
      <c r="AA35" s="3796"/>
      <c r="AB35" s="3796"/>
      <c r="AC35" s="3905"/>
      <c r="AD35" s="3074"/>
      <c r="AE35" s="4146"/>
      <c r="AF35" s="4732"/>
      <c r="AG35" s="4732"/>
    </row>
    <row r="36" spans="1:33" x14ac:dyDescent="0.2">
      <c r="A36" s="3052" t="s">
        <v>47</v>
      </c>
      <c r="B36" s="3228"/>
      <c r="C36" s="3228"/>
      <c r="D36" s="3228"/>
      <c r="E36" s="3228">
        <f>1330.83*1000</f>
        <v>1330830</v>
      </c>
      <c r="F36" s="3229">
        <f>F27</f>
        <v>1387252.90066</v>
      </c>
      <c r="G36" s="3229">
        <f>G27</f>
        <v>948105.90761999995</v>
      </c>
      <c r="H36" s="3229">
        <f t="shared" ref="H36:L36" si="119">H27</f>
        <v>837967.52761999995</v>
      </c>
      <c r="I36" s="3229">
        <f t="shared" si="119"/>
        <v>727829.14761999995</v>
      </c>
      <c r="J36" s="3229">
        <f t="shared" si="119"/>
        <v>617690.76761999994</v>
      </c>
      <c r="K36" s="3229">
        <f t="shared" si="119"/>
        <v>507552.38761999994</v>
      </c>
      <c r="L36" s="3229">
        <f t="shared" si="119"/>
        <v>397414.00761999993</v>
      </c>
      <c r="M36" s="3229">
        <f t="shared" ref="M36" si="120">M27</f>
        <v>837967.52761999995</v>
      </c>
      <c r="N36" s="394">
        <f>SUM(N34:N35)</f>
        <v>6255.1516796622664</v>
      </c>
      <c r="O36" s="394"/>
      <c r="P36" s="3229">
        <f t="shared" ref="P36" si="121">P27</f>
        <v>837967.52761999995</v>
      </c>
      <c r="Q36" s="3229">
        <v>1075470</v>
      </c>
      <c r="R36" s="3229">
        <v>1613200</v>
      </c>
      <c r="S36" s="3229">
        <f>SUM(S31*40%)</f>
        <v>2150940</v>
      </c>
      <c r="T36" s="3634">
        <f>SUM(T31*40%)</f>
        <v>2150940</v>
      </c>
      <c r="U36" s="3634">
        <v>1745330.22</v>
      </c>
      <c r="V36" s="3634">
        <f>SUM(V31*40%)</f>
        <v>1068716</v>
      </c>
      <c r="W36" s="3634">
        <v>1600166</v>
      </c>
      <c r="X36" s="3634">
        <f>SUM(X31-X33)</f>
        <v>2111324.4</v>
      </c>
      <c r="Y36" s="3905">
        <f>SUM(Y31-Y33)</f>
        <v>2111324.4</v>
      </c>
      <c r="Z36" s="3905">
        <v>2158454.15</v>
      </c>
      <c r="AA36" s="3796">
        <f t="shared" ref="AA36:AC36" si="122">SUM(AA31-AA33)</f>
        <v>1020768.4000000001</v>
      </c>
      <c r="AB36" s="3796">
        <f t="shared" si="122"/>
        <v>1536705.2000000002</v>
      </c>
      <c r="AC36" s="3905">
        <f t="shared" si="122"/>
        <v>2086319.6</v>
      </c>
      <c r="AD36" s="3074">
        <f t="shared" ref="AD36" si="123">SUM(AD31-AD33)</f>
        <v>2086319.6</v>
      </c>
      <c r="AE36" s="4146">
        <f>AD36</f>
        <v>2086319.6</v>
      </c>
      <c r="AF36" s="4732">
        <f>AF31-AF33</f>
        <v>2086319.6</v>
      </c>
      <c r="AG36" s="4732">
        <f>AG31-AG33</f>
        <v>2086319.6</v>
      </c>
    </row>
    <row r="37" spans="1:33" x14ac:dyDescent="0.2">
      <c r="A37" s="3052" t="s">
        <v>47</v>
      </c>
      <c r="B37" s="3228"/>
      <c r="C37" s="3228"/>
      <c r="D37" s="3228"/>
      <c r="E37" s="3228"/>
      <c r="F37" s="3229">
        <f>1313.7*1000</f>
        <v>1313700</v>
      </c>
      <c r="G37" s="3229">
        <f>G36*$O$37</f>
        <v>942559.59939862846</v>
      </c>
      <c r="H37" s="3229">
        <f t="shared" ref="H37:L37" si="124">H36*$O$37</f>
        <v>833065.51598783117</v>
      </c>
      <c r="I37" s="3229">
        <f t="shared" si="124"/>
        <v>723571.43257703388</v>
      </c>
      <c r="J37" s="3229">
        <f t="shared" si="124"/>
        <v>614077.3491662367</v>
      </c>
      <c r="K37" s="3229">
        <f t="shared" si="124"/>
        <v>504583.26575543941</v>
      </c>
      <c r="L37" s="3229">
        <f t="shared" si="124"/>
        <v>395089.18234464212</v>
      </c>
      <c r="M37" s="3229">
        <f t="shared" ref="M37" si="125">M36*$O$37</f>
        <v>833065.51598783117</v>
      </c>
      <c r="N37" s="394">
        <f>'объемы ВС и ВО 2023'!AZ63</f>
        <v>3002.3369764914323</v>
      </c>
      <c r="O37" s="395">
        <f>N37/N39</f>
        <v>0.99415011743224524</v>
      </c>
      <c r="P37" s="3229">
        <f t="shared" ref="P37" si="126">P36*$O$37</f>
        <v>833065.51598783117</v>
      </c>
      <c r="Q37" s="3229"/>
      <c r="R37" s="3229"/>
      <c r="S37" s="3229"/>
      <c r="T37" s="3634"/>
      <c r="U37" s="3634"/>
      <c r="V37" s="3634"/>
      <c r="W37" s="3634"/>
      <c r="X37" s="3634"/>
      <c r="Y37" s="3905"/>
      <c r="Z37" s="3622"/>
      <c r="AA37" s="3796"/>
      <c r="AB37" s="3074"/>
      <c r="AC37" s="3905"/>
      <c r="AD37" s="3074"/>
      <c r="AE37" s="4146"/>
      <c r="AF37" s="4732"/>
      <c r="AG37" s="4732"/>
    </row>
    <row r="38" spans="1:33" x14ac:dyDescent="0.2">
      <c r="A38" s="3052" t="s">
        <v>88</v>
      </c>
      <c r="B38" s="3228"/>
      <c r="C38" s="3228"/>
      <c r="D38" s="3228"/>
      <c r="E38" s="3228"/>
      <c r="F38" s="3229">
        <f>7.65*1000</f>
        <v>7650</v>
      </c>
      <c r="G38" s="3229">
        <f>G36*$O$38</f>
        <v>5546.308221371617</v>
      </c>
      <c r="H38" s="3229">
        <f t="shared" ref="H38:L38" si="127">H36*$O$38</f>
        <v>4902.0116321688593</v>
      </c>
      <c r="I38" s="3229">
        <f t="shared" si="127"/>
        <v>4257.7150429661006</v>
      </c>
      <c r="J38" s="3229">
        <f t="shared" si="127"/>
        <v>3613.4184537633428</v>
      </c>
      <c r="K38" s="3229">
        <f t="shared" si="127"/>
        <v>2969.1218645605845</v>
      </c>
      <c r="L38" s="3229">
        <f t="shared" si="127"/>
        <v>2324.8252753578263</v>
      </c>
      <c r="M38" s="3229">
        <f t="shared" ref="M38" si="128">M36*$O$38</f>
        <v>4902.0116321688593</v>
      </c>
      <c r="N38" s="394">
        <f>'объемы ВС и ВО 2023'!BA63</f>
        <v>17.666666666666668</v>
      </c>
      <c r="O38" s="395">
        <f>N38/N39</f>
        <v>5.8498825677548386E-3</v>
      </c>
      <c r="P38" s="3229">
        <f t="shared" ref="P38" si="129">P36*$O$38</f>
        <v>4902.0116321688593</v>
      </c>
      <c r="Q38" s="3229"/>
      <c r="R38" s="3229"/>
      <c r="S38" s="3229"/>
      <c r="T38" s="3634"/>
      <c r="U38" s="3634"/>
      <c r="V38" s="3634"/>
      <c r="W38" s="3634"/>
      <c r="X38" s="3634"/>
      <c r="Y38" s="3905"/>
      <c r="Z38" s="3622"/>
      <c r="AA38" s="3796"/>
      <c r="AB38" s="3074"/>
      <c r="AC38" s="3905"/>
      <c r="AD38" s="3074"/>
      <c r="AE38" s="4146"/>
      <c r="AF38" s="4732"/>
      <c r="AG38" s="4732"/>
    </row>
    <row r="39" spans="1:33" x14ac:dyDescent="0.2">
      <c r="G39" s="2478">
        <f>(Аморт!AN13-Аморт!AN11)*1000</f>
        <v>9984380</v>
      </c>
      <c r="N39" s="5">
        <f>N37+N38</f>
        <v>3020.0036431580988</v>
      </c>
      <c r="AC39" s="394"/>
    </row>
    <row r="40" spans="1:33" x14ac:dyDescent="0.2">
      <c r="G40" s="2478">
        <f>Аморт!AN18*1000</f>
        <v>5006290</v>
      </c>
    </row>
    <row r="42" spans="1:33" ht="20.25" x14ac:dyDescent="0.3">
      <c r="A42" s="3060" t="s">
        <v>4013</v>
      </c>
    </row>
  </sheetData>
  <mergeCells count="71">
    <mergeCell ref="R17:R18"/>
    <mergeCell ref="R22:R23"/>
    <mergeCell ref="AF4:AF5"/>
    <mergeCell ref="AG4:AG5"/>
    <mergeCell ref="T4:U4"/>
    <mergeCell ref="T9:T10"/>
    <mergeCell ref="U9:U10"/>
    <mergeCell ref="V9:V10"/>
    <mergeCell ref="W9:W10"/>
    <mergeCell ref="X9:X10"/>
    <mergeCell ref="Y4:Z4"/>
    <mergeCell ref="Y9:Y10"/>
    <mergeCell ref="Z9:Z10"/>
    <mergeCell ref="S9:S10"/>
    <mergeCell ref="T17:T18"/>
    <mergeCell ref="T22:T23"/>
    <mergeCell ref="U17:U18"/>
    <mergeCell ref="U22:U23"/>
    <mergeCell ref="U28:U29"/>
    <mergeCell ref="S17:S18"/>
    <mergeCell ref="S22:S23"/>
    <mergeCell ref="S28:S29"/>
    <mergeCell ref="T28:T29"/>
    <mergeCell ref="X22:X23"/>
    <mergeCell ref="M4:P4"/>
    <mergeCell ref="C28:C29"/>
    <mergeCell ref="C22:C23"/>
    <mergeCell ref="C17:C18"/>
    <mergeCell ref="Q17:Q18"/>
    <mergeCell ref="Q22:Q23"/>
    <mergeCell ref="Q28:Q29"/>
    <mergeCell ref="F9:F10"/>
    <mergeCell ref="M9:M10"/>
    <mergeCell ref="G9:G10"/>
    <mergeCell ref="D9:D10"/>
    <mergeCell ref="Q9:Q10"/>
    <mergeCell ref="P9:P10"/>
    <mergeCell ref="R28:R29"/>
    <mergeCell ref="R9:R10"/>
    <mergeCell ref="AC9:AC10"/>
    <mergeCell ref="AA17:AA18"/>
    <mergeCell ref="AB17:AB18"/>
    <mergeCell ref="AC17:AC18"/>
    <mergeCell ref="V28:V29"/>
    <mergeCell ref="W28:W29"/>
    <mergeCell ref="X28:X29"/>
    <mergeCell ref="Y22:Y23"/>
    <mergeCell ref="Z22:Z23"/>
    <mergeCell ref="Y28:Y29"/>
    <mergeCell ref="Z28:Z29"/>
    <mergeCell ref="V17:V18"/>
    <mergeCell ref="W17:W18"/>
    <mergeCell ref="X17:X18"/>
    <mergeCell ref="V22:V23"/>
    <mergeCell ref="W22:W23"/>
    <mergeCell ref="A1:AG1"/>
    <mergeCell ref="AD22:AD23"/>
    <mergeCell ref="AD28:AD29"/>
    <mergeCell ref="AD4:AE4"/>
    <mergeCell ref="AD9:AD10"/>
    <mergeCell ref="AD17:AD18"/>
    <mergeCell ref="AA22:AA23"/>
    <mergeCell ref="AB22:AB23"/>
    <mergeCell ref="AC22:AC23"/>
    <mergeCell ref="AA28:AA29"/>
    <mergeCell ref="AB28:AB29"/>
    <mergeCell ref="AC28:AC29"/>
    <mergeCell ref="Y17:Y18"/>
    <mergeCell ref="Z17:Z18"/>
    <mergeCell ref="AA9:AA10"/>
    <mergeCell ref="AB9:AB10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715" customWidth="1"/>
    <col min="4" max="4" width="18.28515625" style="1715" customWidth="1"/>
    <col min="5" max="5" width="16" style="1715" customWidth="1"/>
    <col min="6" max="6" width="16.5703125" style="1679" customWidth="1"/>
    <col min="7" max="16384" width="9.140625" style="1679"/>
  </cols>
  <sheetData>
    <row r="1" spans="1:6" x14ac:dyDescent="0.25">
      <c r="E1" s="1715" t="s">
        <v>1504</v>
      </c>
    </row>
    <row r="2" spans="1:6" ht="33.75" customHeight="1" x14ac:dyDescent="0.25">
      <c r="A2" s="6351" t="s">
        <v>2074</v>
      </c>
      <c r="B2" s="6351"/>
      <c r="C2" s="6351"/>
      <c r="D2" s="6351"/>
      <c r="E2" s="6351"/>
      <c r="F2" s="6351"/>
    </row>
    <row r="3" spans="1:6" hidden="1" x14ac:dyDescent="0.25">
      <c r="A3" s="6347" t="s">
        <v>985</v>
      </c>
      <c r="B3" s="6347" t="s">
        <v>986</v>
      </c>
      <c r="C3" s="1714" t="s">
        <v>345</v>
      </c>
      <c r="D3" s="1714" t="s">
        <v>335</v>
      </c>
      <c r="E3" s="1714" t="s">
        <v>1458</v>
      </c>
      <c r="F3" s="6349" t="s">
        <v>235</v>
      </c>
    </row>
    <row r="4" spans="1:6" hidden="1" x14ac:dyDescent="0.25">
      <c r="A4" s="6348"/>
      <c r="B4" s="6348"/>
      <c r="C4" s="1714" t="s">
        <v>987</v>
      </c>
      <c r="D4" s="1714" t="s">
        <v>987</v>
      </c>
      <c r="E4" s="1714" t="s">
        <v>987</v>
      </c>
      <c r="F4" s="6350"/>
    </row>
    <row r="5" spans="1:6" ht="30" hidden="1" x14ac:dyDescent="0.25">
      <c r="A5" s="1264" t="s">
        <v>1449</v>
      </c>
      <c r="B5" s="1262" t="s">
        <v>988</v>
      </c>
      <c r="C5" s="1716">
        <v>94861.048999999999</v>
      </c>
      <c r="D5" s="1717">
        <v>71225.517999999996</v>
      </c>
      <c r="E5" s="1717">
        <v>3130.4870000000001</v>
      </c>
      <c r="F5" s="1262" t="s">
        <v>1456</v>
      </c>
    </row>
    <row r="6" spans="1:6" ht="23.25" hidden="1" customHeight="1" x14ac:dyDescent="0.25">
      <c r="A6" s="1341" t="s">
        <v>1455</v>
      </c>
      <c r="B6" s="1262" t="s">
        <v>988</v>
      </c>
      <c r="C6" s="1717">
        <v>1106.2370000000001</v>
      </c>
      <c r="D6" s="1717">
        <v>1538.848</v>
      </c>
      <c r="E6" s="1717">
        <v>99.817999999999998</v>
      </c>
      <c r="F6" s="1342" t="s">
        <v>1456</v>
      </c>
    </row>
    <row r="7" spans="1:6" ht="45" hidden="1" x14ac:dyDescent="0.25">
      <c r="A7" s="1264" t="s">
        <v>1457</v>
      </c>
      <c r="B7" s="1262" t="s">
        <v>988</v>
      </c>
      <c r="C7" s="1716">
        <f>6102.07/3*4</f>
        <v>8136.0933333333332</v>
      </c>
      <c r="D7" s="1717">
        <f>3628.35/3*4</f>
        <v>4837.8</v>
      </c>
      <c r="E7" s="1717">
        <f>'ОХР '!AI24/3*4</f>
        <v>150.02666666666667</v>
      </c>
      <c r="F7" s="1262" t="s">
        <v>1459</v>
      </c>
    </row>
    <row r="8" spans="1:6" ht="41.25" hidden="1" customHeight="1" x14ac:dyDescent="0.25">
      <c r="A8" s="1880" t="s">
        <v>989</v>
      </c>
      <c r="B8" s="1262" t="s">
        <v>988</v>
      </c>
      <c r="C8" s="1716">
        <f>C5+C6-C7</f>
        <v>87831.192666666655</v>
      </c>
      <c r="D8" s="1716">
        <f>D5+D6-D7</f>
        <v>67926.565999999992</v>
      </c>
      <c r="E8" s="1716">
        <f>E5+E6-E7</f>
        <v>3080.2783333333336</v>
      </c>
      <c r="F8" s="1263"/>
    </row>
    <row r="9" spans="1:6" ht="30" hidden="1" x14ac:dyDescent="0.25">
      <c r="A9" s="1701" t="s">
        <v>990</v>
      </c>
      <c r="B9" s="1702" t="s">
        <v>988</v>
      </c>
      <c r="C9" s="1718">
        <f>C8</f>
        <v>87831.192666666655</v>
      </c>
      <c r="D9" s="1718">
        <f>D8</f>
        <v>67926.565999999992</v>
      </c>
      <c r="E9" s="1718">
        <f>E8</f>
        <v>3080.2783333333336</v>
      </c>
      <c r="F9" s="1704"/>
    </row>
    <row r="10" spans="1:6" hidden="1" x14ac:dyDescent="0.25">
      <c r="A10" s="1705" t="s">
        <v>1455</v>
      </c>
      <c r="B10" s="1706"/>
      <c r="C10" s="1719">
        <v>0</v>
      </c>
      <c r="D10" s="1719">
        <v>0</v>
      </c>
      <c r="E10" s="1719">
        <v>0</v>
      </c>
      <c r="F10" s="1708"/>
    </row>
    <row r="11" spans="1:6" ht="45" hidden="1" x14ac:dyDescent="0.25">
      <c r="A11" s="1701" t="s">
        <v>1457</v>
      </c>
      <c r="B11" s="1702" t="s">
        <v>988</v>
      </c>
      <c r="C11" s="1718">
        <f>Аморт!U13</f>
        <v>8136.1</v>
      </c>
      <c r="D11" s="1718">
        <f>Аморт!U18</f>
        <v>4822.1000000000004</v>
      </c>
      <c r="E11" s="1718">
        <f>'ОХР '!AO24</f>
        <v>193.7</v>
      </c>
      <c r="F11" s="1702" t="s">
        <v>375</v>
      </c>
    </row>
    <row r="12" spans="1:6" ht="30" hidden="1" x14ac:dyDescent="0.25">
      <c r="A12" s="1701" t="s">
        <v>991</v>
      </c>
      <c r="B12" s="1702" t="s">
        <v>988</v>
      </c>
      <c r="C12" s="1718">
        <f>C9-C11</f>
        <v>79695.092666666649</v>
      </c>
      <c r="D12" s="1718">
        <f>D9-D11</f>
        <v>63104.465999999993</v>
      </c>
      <c r="E12" s="1718">
        <f>E9-E11</f>
        <v>2886.5783333333338</v>
      </c>
      <c r="F12" s="1704"/>
    </row>
    <row r="13" spans="1:6" ht="45" hidden="1" x14ac:dyDescent="0.25">
      <c r="A13" s="1701" t="s">
        <v>1450</v>
      </c>
      <c r="B13" s="1702" t="s">
        <v>988</v>
      </c>
      <c r="C13" s="1718">
        <f>(C9+C12)/2</f>
        <v>83763.142666666652</v>
      </c>
      <c r="D13" s="1718">
        <f>(D9+D12)/2</f>
        <v>65515.515999999989</v>
      </c>
      <c r="E13" s="1718">
        <f>(E9+E12)/2</f>
        <v>2983.4283333333337</v>
      </c>
      <c r="F13" s="1704"/>
    </row>
    <row r="14" spans="1:6" hidden="1" x14ac:dyDescent="0.25">
      <c r="A14" s="1701" t="s">
        <v>992</v>
      </c>
      <c r="B14" s="1702" t="s">
        <v>44</v>
      </c>
      <c r="C14" s="1720">
        <v>2.2000000000000002</v>
      </c>
      <c r="D14" s="1720">
        <v>2.2000000000000002</v>
      </c>
      <c r="E14" s="1720">
        <v>2.2000000000000002</v>
      </c>
      <c r="F14" s="1704"/>
    </row>
    <row r="15" spans="1:6" ht="45" hidden="1" x14ac:dyDescent="0.25">
      <c r="A15" s="1701" t="s">
        <v>1451</v>
      </c>
      <c r="B15" s="1702" t="s">
        <v>988</v>
      </c>
      <c r="C15" s="1718">
        <f>C13*C14/100</f>
        <v>1842.7891386666663</v>
      </c>
      <c r="D15" s="1718">
        <f>D13*D14/100</f>
        <v>1441.3413519999999</v>
      </c>
      <c r="E15" s="1718">
        <f>E13*E14/100</f>
        <v>65.63542333333335</v>
      </c>
      <c r="F15" s="1704"/>
    </row>
    <row r="16" spans="1:6" hidden="1" x14ac:dyDescent="0.25"/>
    <row r="17" spans="1:6" hidden="1" x14ac:dyDescent="0.25"/>
    <row r="18" spans="1:6" hidden="1" x14ac:dyDescent="0.25">
      <c r="C18" s="1721">
        <v>79695.100000000006</v>
      </c>
      <c r="D18" s="1715">
        <f>Лист4!C8</f>
        <v>8296.6500000000015</v>
      </c>
    </row>
    <row r="20" spans="1:6" ht="25.5" customHeight="1" x14ac:dyDescent="0.25">
      <c r="A20" s="6352" t="s">
        <v>985</v>
      </c>
      <c r="B20" s="6352" t="s">
        <v>986</v>
      </c>
      <c r="C20" s="2235" t="s">
        <v>345</v>
      </c>
      <c r="D20" s="2235" t="s">
        <v>335</v>
      </c>
      <c r="E20" s="2235" t="s">
        <v>1458</v>
      </c>
      <c r="F20" s="6353" t="s">
        <v>235</v>
      </c>
    </row>
    <row r="21" spans="1:6" x14ac:dyDescent="0.25">
      <c r="A21" s="6352"/>
      <c r="B21" s="6352"/>
      <c r="C21" s="2235" t="s">
        <v>987</v>
      </c>
      <c r="D21" s="2235" t="s">
        <v>987</v>
      </c>
      <c r="E21" s="2235" t="s">
        <v>987</v>
      </c>
      <c r="F21" s="6353"/>
    </row>
    <row r="22" spans="1:6" ht="30" x14ac:dyDescent="0.25">
      <c r="A22" s="2236" t="s">
        <v>2075</v>
      </c>
      <c r="B22" s="2237" t="s">
        <v>988</v>
      </c>
      <c r="C22" s="2238">
        <v>81437346.530000001</v>
      </c>
      <c r="D22" s="2238">
        <v>54291564.359999999</v>
      </c>
      <c r="E22" s="2238">
        <v>0</v>
      </c>
      <c r="F22" s="2237" t="s">
        <v>1456</v>
      </c>
    </row>
    <row r="23" spans="1:6" x14ac:dyDescent="0.25">
      <c r="A23" s="2236" t="s">
        <v>1455</v>
      </c>
      <c r="B23" s="2237" t="s">
        <v>988</v>
      </c>
      <c r="C23" s="2234">
        <v>1106.2370000000001</v>
      </c>
      <c r="D23" s="2234">
        <v>1538.848</v>
      </c>
      <c r="E23" s="2234">
        <v>99.817999999999998</v>
      </c>
      <c r="F23" s="2233" t="s">
        <v>1456</v>
      </c>
    </row>
    <row r="24" spans="1:6" ht="45" x14ac:dyDescent="0.25">
      <c r="A24" s="2236" t="s">
        <v>1457</v>
      </c>
      <c r="B24" s="2237" t="s">
        <v>988</v>
      </c>
      <c r="C24" s="2234">
        <f>6102.07/3*4</f>
        <v>8136.0933333333332</v>
      </c>
      <c r="D24" s="2234">
        <f>3628.35/3*4</f>
        <v>4837.8</v>
      </c>
      <c r="E24" s="2234">
        <f>'ОХР '!AI41/3*4</f>
        <v>17.333333333333332</v>
      </c>
      <c r="F24" s="2233" t="s">
        <v>1459</v>
      </c>
    </row>
    <row r="25" spans="1:6" ht="30" x14ac:dyDescent="0.25">
      <c r="A25" s="2239" t="s">
        <v>2076</v>
      </c>
      <c r="B25" s="2237" t="s">
        <v>988</v>
      </c>
      <c r="C25" s="2238">
        <f>C22+C23-C24</f>
        <v>81430316.673666671</v>
      </c>
      <c r="D25" s="2238">
        <f>D22+D23-D24</f>
        <v>54288265.408</v>
      </c>
      <c r="E25" s="2238">
        <f>E22+E23-E24</f>
        <v>82.484666666666669</v>
      </c>
      <c r="F25" s="2240"/>
    </row>
    <row r="26" spans="1:6" ht="30" x14ac:dyDescent="0.25">
      <c r="A26" s="2236" t="s">
        <v>2077</v>
      </c>
      <c r="B26" s="2237" t="s">
        <v>988</v>
      </c>
      <c r="C26" s="2238">
        <f>C25</f>
        <v>81430316.673666671</v>
      </c>
      <c r="D26" s="2238">
        <f>D25</f>
        <v>54288265.408</v>
      </c>
      <c r="E26" s="2238">
        <f>E25</f>
        <v>82.484666666666669</v>
      </c>
      <c r="F26" s="2240"/>
    </row>
    <row r="27" spans="1:6" x14ac:dyDescent="0.25">
      <c r="A27" s="2236" t="s">
        <v>1455</v>
      </c>
      <c r="B27" s="2237"/>
      <c r="C27" s="2238">
        <v>0</v>
      </c>
      <c r="D27" s="2238">
        <v>0</v>
      </c>
      <c r="E27" s="2238">
        <v>0</v>
      </c>
      <c r="F27" s="2240"/>
    </row>
    <row r="28" spans="1:6" ht="45" x14ac:dyDescent="0.25">
      <c r="A28" s="2236" t="s">
        <v>1457</v>
      </c>
      <c r="B28" s="2237" t="s">
        <v>988</v>
      </c>
      <c r="C28" s="2238">
        <f>Аморт!U33</f>
        <v>0</v>
      </c>
      <c r="D28" s="2238">
        <f>Аморт!U38</f>
        <v>0</v>
      </c>
      <c r="E28" s="2238">
        <f>'ОХР '!AO41</f>
        <v>17.333333333333332</v>
      </c>
      <c r="F28" s="2237" t="s">
        <v>375</v>
      </c>
    </row>
    <row r="29" spans="1:6" ht="30" x14ac:dyDescent="0.25">
      <c r="A29" s="2236" t="s">
        <v>2078</v>
      </c>
      <c r="B29" s="2237" t="s">
        <v>988</v>
      </c>
      <c r="C29" s="2238">
        <f>C26-C28</f>
        <v>81430316.673666671</v>
      </c>
      <c r="D29" s="2238">
        <f>D26-D28</f>
        <v>54288265.408</v>
      </c>
      <c r="E29" s="2238">
        <f>E26-E28</f>
        <v>65.151333333333341</v>
      </c>
      <c r="F29" s="2240"/>
    </row>
    <row r="30" spans="1:6" ht="45" x14ac:dyDescent="0.25">
      <c r="A30" s="2236" t="s">
        <v>1450</v>
      </c>
      <c r="B30" s="2237" t="s">
        <v>988</v>
      </c>
      <c r="C30" s="2238">
        <f>(C26+C29)/2</f>
        <v>81430316.673666671</v>
      </c>
      <c r="D30" s="2238">
        <f>(D26+D29)/2</f>
        <v>54288265.408</v>
      </c>
      <c r="E30" s="2238">
        <f>(E26+E29)/2</f>
        <v>73.818000000000012</v>
      </c>
      <c r="F30" s="2240"/>
    </row>
    <row r="31" spans="1:6" x14ac:dyDescent="0.25">
      <c r="A31" s="2236" t="s">
        <v>992</v>
      </c>
      <c r="B31" s="2237" t="s">
        <v>44</v>
      </c>
      <c r="C31" s="2241">
        <v>2.2000000000000002</v>
      </c>
      <c r="D31" s="2241">
        <v>2.2000000000000002</v>
      </c>
      <c r="E31" s="2241">
        <v>2.2000000000000002</v>
      </c>
      <c r="F31" s="2240"/>
    </row>
    <row r="32" spans="1:6" ht="45" x14ac:dyDescent="0.25">
      <c r="A32" s="2236" t="s">
        <v>1451</v>
      </c>
      <c r="B32" s="2237" t="s">
        <v>988</v>
      </c>
      <c r="C32" s="2238">
        <f>C30*C31/100</f>
        <v>1791466.9668206668</v>
      </c>
      <c r="D32" s="2238">
        <f>D30*D31/100</f>
        <v>1194341.8389760002</v>
      </c>
      <c r="E32" s="2238">
        <f>E30*E31/100</f>
        <v>1.6239960000000004</v>
      </c>
      <c r="F32" s="2240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1505</v>
      </c>
    </row>
    <row r="2" spans="1:6" ht="18.75" x14ac:dyDescent="0.3">
      <c r="A2" s="5076" t="s">
        <v>1477</v>
      </c>
      <c r="B2" s="5076"/>
      <c r="C2" s="5076"/>
      <c r="D2" s="5076"/>
      <c r="E2" s="5076"/>
      <c r="F2" s="5076"/>
    </row>
    <row r="3" spans="1:6" ht="18.75" x14ac:dyDescent="0.3">
      <c r="A3" s="1567"/>
      <c r="B3" s="1567"/>
      <c r="C3" s="1567"/>
      <c r="D3" s="1567"/>
      <c r="E3" s="1567"/>
    </row>
    <row r="4" spans="1:6" ht="27.75" customHeight="1" x14ac:dyDescent="0.2">
      <c r="A4" s="6367"/>
      <c r="B4" s="6369" t="s">
        <v>1478</v>
      </c>
      <c r="C4" s="6370"/>
      <c r="D4" s="6371"/>
      <c r="E4" s="6372" t="s">
        <v>1480</v>
      </c>
      <c r="F4" s="6354" t="s">
        <v>1482</v>
      </c>
    </row>
    <row r="5" spans="1:6" ht="33.75" customHeight="1" x14ac:dyDescent="0.2">
      <c r="A5" s="6368"/>
      <c r="B5" s="1641" t="s">
        <v>972</v>
      </c>
      <c r="C5" s="1641" t="s">
        <v>973</v>
      </c>
      <c r="D5" s="1641" t="s">
        <v>54</v>
      </c>
      <c r="E5" s="6372"/>
      <c r="F5" s="6355"/>
    </row>
    <row r="6" spans="1:6" ht="18.75" x14ac:dyDescent="0.3">
      <c r="A6" s="6356" t="s">
        <v>964</v>
      </c>
      <c r="B6" s="6357"/>
      <c r="C6" s="6357"/>
      <c r="D6" s="6357"/>
      <c r="E6" s="6357"/>
      <c r="F6" s="6358"/>
    </row>
    <row r="7" spans="1:6" x14ac:dyDescent="0.2">
      <c r="A7" s="1642" t="s">
        <v>969</v>
      </c>
      <c r="B7" s="1643">
        <v>19.14</v>
      </c>
      <c r="C7" s="1643">
        <v>22.66</v>
      </c>
      <c r="D7" s="1643"/>
      <c r="E7" s="1642"/>
      <c r="F7" s="6362">
        <f>$E$38*D10/$D$38</f>
        <v>395.92549126618718</v>
      </c>
    </row>
    <row r="8" spans="1:6" x14ac:dyDescent="0.2">
      <c r="A8" s="1642" t="s">
        <v>970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6363"/>
    </row>
    <row r="9" spans="1:6" x14ac:dyDescent="0.2">
      <c r="A9" s="1642" t="s">
        <v>971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6363"/>
    </row>
    <row r="10" spans="1:6" x14ac:dyDescent="0.2">
      <c r="A10" s="1642" t="s">
        <v>968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6364"/>
    </row>
    <row r="11" spans="1:6" ht="18.75" x14ac:dyDescent="0.3">
      <c r="A11" s="6356" t="s">
        <v>965</v>
      </c>
      <c r="B11" s="6357"/>
      <c r="C11" s="6357"/>
      <c r="D11" s="6357"/>
      <c r="E11" s="6357"/>
      <c r="F11" s="6358"/>
    </row>
    <row r="12" spans="1:6" x14ac:dyDescent="0.2">
      <c r="A12" s="1642" t="s">
        <v>328</v>
      </c>
      <c r="B12" s="1643">
        <v>15.5</v>
      </c>
      <c r="C12" s="1643">
        <v>18.350000000000001</v>
      </c>
      <c r="D12" s="1643"/>
      <c r="E12" s="1642"/>
      <c r="F12" s="6362">
        <f>$E$39*D15/$D$39</f>
        <v>286.40476017160813</v>
      </c>
    </row>
    <row r="13" spans="1:6" x14ac:dyDescent="0.2">
      <c r="A13" s="1642" t="s">
        <v>962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6363"/>
    </row>
    <row r="14" spans="1:6" x14ac:dyDescent="0.2">
      <c r="A14" s="1642" t="s">
        <v>963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6363"/>
    </row>
    <row r="15" spans="1:6" x14ac:dyDescent="0.2">
      <c r="A15" s="1642" t="s">
        <v>968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6364"/>
    </row>
    <row r="16" spans="1:6" ht="18.75" x14ac:dyDescent="0.3">
      <c r="A16" s="6359" t="s">
        <v>966</v>
      </c>
      <c r="B16" s="6360"/>
      <c r="C16" s="6360"/>
      <c r="D16" s="6360"/>
      <c r="E16" s="6360"/>
      <c r="F16" s="6361"/>
    </row>
    <row r="17" spans="1:7" x14ac:dyDescent="0.2">
      <c r="A17" s="1651" t="s">
        <v>974</v>
      </c>
      <c r="B17" s="1652">
        <v>22.66</v>
      </c>
      <c r="C17" s="1652">
        <v>25.95</v>
      </c>
      <c r="D17" s="1652"/>
      <c r="E17" s="1651"/>
      <c r="F17" s="6373">
        <f>$E$38*D20/$D$38</f>
        <v>404.91337869180882</v>
      </c>
    </row>
    <row r="18" spans="1:7" x14ac:dyDescent="0.2">
      <c r="A18" s="1651" t="s">
        <v>975</v>
      </c>
      <c r="B18" s="1652">
        <f>'объемы ВС и ВО 2023'!M50/2</f>
        <v>1222.71</v>
      </c>
      <c r="C18" s="1652">
        <f>B18</f>
        <v>1222.71</v>
      </c>
      <c r="D18" s="1652">
        <f>C18+B18</f>
        <v>2445.42</v>
      </c>
      <c r="E18" s="1651"/>
      <c r="F18" s="6374"/>
    </row>
    <row r="19" spans="1:7" x14ac:dyDescent="0.2">
      <c r="A19" s="1651" t="s">
        <v>976</v>
      </c>
      <c r="B19" s="1652">
        <f>B17*B18</f>
        <v>27706.6086</v>
      </c>
      <c r="C19" s="1652">
        <f>C17*C18</f>
        <v>31729.324499999999</v>
      </c>
      <c r="D19" s="1652">
        <f>C19+B19</f>
        <v>59435.933099999995</v>
      </c>
      <c r="E19" s="1651"/>
      <c r="F19" s="6374"/>
    </row>
    <row r="20" spans="1:7" x14ac:dyDescent="0.2">
      <c r="A20" s="1651" t="s">
        <v>968</v>
      </c>
      <c r="B20" s="1652">
        <f>B19*0.02</f>
        <v>554.13217199999997</v>
      </c>
      <c r="C20" s="1652">
        <f>C19*0.02</f>
        <v>634.58649000000003</v>
      </c>
      <c r="D20" s="1652">
        <f>C20+B20</f>
        <v>1188.718662</v>
      </c>
      <c r="E20" s="1651"/>
      <c r="F20" s="6375"/>
    </row>
    <row r="21" spans="1:7" ht="18.75" x14ac:dyDescent="0.3">
      <c r="A21" s="6359" t="s">
        <v>967</v>
      </c>
      <c r="B21" s="6360"/>
      <c r="C21" s="6360"/>
      <c r="D21" s="6360"/>
      <c r="E21" s="6360"/>
      <c r="F21" s="6361"/>
    </row>
    <row r="22" spans="1:7" x14ac:dyDescent="0.2">
      <c r="A22" s="1651" t="s">
        <v>974</v>
      </c>
      <c r="B22" s="1652">
        <v>18.350000000000001</v>
      </c>
      <c r="C22" s="1652">
        <v>21.01</v>
      </c>
      <c r="D22" s="1652"/>
      <c r="E22" s="1651"/>
      <c r="F22" s="6373">
        <f>$E$39*D25/$D$39</f>
        <v>353.60175784252925</v>
      </c>
    </row>
    <row r="23" spans="1:7" x14ac:dyDescent="0.2">
      <c r="A23" s="1651" t="s">
        <v>975</v>
      </c>
      <c r="B23" s="1652">
        <f>'объемы ВС и ВО 2023'!M64/2</f>
        <v>1300</v>
      </c>
      <c r="C23" s="1652">
        <f>B23</f>
        <v>1300</v>
      </c>
      <c r="D23" s="1652">
        <f>C23+B23</f>
        <v>2600</v>
      </c>
      <c r="E23" s="1651"/>
      <c r="F23" s="6374"/>
    </row>
    <row r="24" spans="1:7" x14ac:dyDescent="0.2">
      <c r="A24" s="1651" t="s">
        <v>976</v>
      </c>
      <c r="B24" s="1652">
        <f>B22*B23</f>
        <v>23855.000000000004</v>
      </c>
      <c r="C24" s="1652">
        <f>C22*C23</f>
        <v>27313.000000000004</v>
      </c>
      <c r="D24" s="1652">
        <f>C24+B24</f>
        <v>51168.000000000007</v>
      </c>
      <c r="E24" s="1651"/>
      <c r="F24" s="6374"/>
      <c r="G24" s="1668"/>
    </row>
    <row r="25" spans="1:7" x14ac:dyDescent="0.2">
      <c r="A25" s="1651" t="s">
        <v>968</v>
      </c>
      <c r="B25" s="1652">
        <f>B24*0.02</f>
        <v>477.10000000000008</v>
      </c>
      <c r="C25" s="1652">
        <f>C24*0.02</f>
        <v>546.2600000000001</v>
      </c>
      <c r="D25" s="1652">
        <f>C25+B25</f>
        <v>1023.3600000000001</v>
      </c>
      <c r="E25" s="1651"/>
      <c r="F25" s="6375"/>
    </row>
    <row r="26" spans="1:7" ht="18.75" x14ac:dyDescent="0.3">
      <c r="A26" s="6356" t="s">
        <v>977</v>
      </c>
      <c r="B26" s="6357"/>
      <c r="C26" s="6357"/>
      <c r="D26" s="6357"/>
      <c r="E26" s="6357"/>
      <c r="F26" s="6358"/>
    </row>
    <row r="27" spans="1:7" x14ac:dyDescent="0.2">
      <c r="A27" s="1642" t="s">
        <v>979</v>
      </c>
      <c r="B27" s="1643">
        <f>C17</f>
        <v>25.95</v>
      </c>
      <c r="C27" s="1643">
        <v>28.6</v>
      </c>
      <c r="D27" s="1643"/>
      <c r="E27" s="1642"/>
      <c r="F27" s="6362">
        <f>$E$38*D30/$D$38</f>
        <v>451.25979124939289</v>
      </c>
    </row>
    <row r="28" spans="1:7" x14ac:dyDescent="0.2">
      <c r="A28" s="1642" t="s">
        <v>975</v>
      </c>
      <c r="B28" s="1643">
        <f>'объемы ВС и ВО 2023'!AA50/2</f>
        <v>1214.28</v>
      </c>
      <c r="C28" s="1643">
        <f>B28</f>
        <v>1214.28</v>
      </c>
      <c r="D28" s="1643">
        <f>C28+B28</f>
        <v>2428.56</v>
      </c>
      <c r="E28" s="1642"/>
      <c r="F28" s="6363"/>
    </row>
    <row r="29" spans="1:7" x14ac:dyDescent="0.2">
      <c r="A29" s="1642" t="s">
        <v>976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6363"/>
    </row>
    <row r="30" spans="1:7" x14ac:dyDescent="0.2">
      <c r="A30" s="1642" t="s">
        <v>968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6364"/>
    </row>
    <row r="31" spans="1:7" ht="18.75" x14ac:dyDescent="0.3">
      <c r="A31" s="6356" t="s">
        <v>978</v>
      </c>
      <c r="B31" s="6357"/>
      <c r="C31" s="6357"/>
      <c r="D31" s="6357"/>
      <c r="E31" s="6357"/>
      <c r="F31" s="6358"/>
    </row>
    <row r="32" spans="1:7" x14ac:dyDescent="0.2">
      <c r="A32" s="1642" t="s">
        <v>979</v>
      </c>
      <c r="B32" s="1643">
        <f>C22</f>
        <v>21.01</v>
      </c>
      <c r="C32" s="1643">
        <v>23.2</v>
      </c>
      <c r="D32" s="1643"/>
      <c r="E32" s="1642"/>
      <c r="F32" s="6362">
        <f>$E$39*D35/$D$39</f>
        <v>373.95376145643951</v>
      </c>
    </row>
    <row r="33" spans="1:7" x14ac:dyDescent="0.2">
      <c r="A33" s="1642" t="s">
        <v>975</v>
      </c>
      <c r="B33" s="1643">
        <f>'объемы ВС и ВО 2023'!AA64/2</f>
        <v>1224</v>
      </c>
      <c r="C33" s="1643">
        <f>B33</f>
        <v>1224</v>
      </c>
      <c r="D33" s="1643">
        <f>C33+B33</f>
        <v>2448</v>
      </c>
      <c r="E33" s="1642"/>
      <c r="F33" s="6363"/>
    </row>
    <row r="34" spans="1:7" x14ac:dyDescent="0.2">
      <c r="A34" s="1642" t="s">
        <v>976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6363"/>
      <c r="G34" s="1668">
        <f>F32</f>
        <v>373.95376145643951</v>
      </c>
    </row>
    <row r="35" spans="1:7" x14ac:dyDescent="0.2">
      <c r="A35" s="1642" t="s">
        <v>968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6364"/>
    </row>
    <row r="36" spans="1:7" ht="18.75" customHeight="1" x14ac:dyDescent="0.2">
      <c r="A36" s="1644" t="s">
        <v>614</v>
      </c>
      <c r="B36" s="1645"/>
      <c r="C36" s="1645"/>
      <c r="D36" s="1646">
        <f>D10+D15+D20+D25+D30+D35</f>
        <v>6610.3364919999995</v>
      </c>
      <c r="E36" s="1646">
        <f>(1993.71255+680.237)/1.18</f>
        <v>2266.0589406779659</v>
      </c>
      <c r="F36" s="1646">
        <f>F7+F12+F17+F22+F27+F32</f>
        <v>2266.0589406779659</v>
      </c>
    </row>
    <row r="37" spans="1:7" x14ac:dyDescent="0.2">
      <c r="A37" s="1647" t="s">
        <v>228</v>
      </c>
      <c r="B37" s="1642"/>
      <c r="C37" s="1642"/>
      <c r="D37" s="1648"/>
      <c r="E37" s="1648"/>
      <c r="F37" s="1642"/>
    </row>
    <row r="38" spans="1:7" ht="19.5" customHeight="1" x14ac:dyDescent="0.2">
      <c r="A38" s="1647" t="s">
        <v>46</v>
      </c>
      <c r="B38" s="1642"/>
      <c r="C38" s="1642"/>
      <c r="D38" s="1649">
        <f>D10+D20+D30</f>
        <v>3675.8307420000001</v>
      </c>
      <c r="E38" s="1649">
        <f>E36*D43/(D43+D44)</f>
        <v>1252.0986612073889</v>
      </c>
      <c r="F38" s="6365" t="s">
        <v>1481</v>
      </c>
    </row>
    <row r="39" spans="1:7" ht="19.5" customHeight="1" x14ac:dyDescent="0.2">
      <c r="A39" s="1647" t="s">
        <v>47</v>
      </c>
      <c r="B39" s="1642"/>
      <c r="C39" s="1642"/>
      <c r="D39" s="1649">
        <f>D15+D25+D35</f>
        <v>2934.5057500000003</v>
      </c>
      <c r="E39" s="1649">
        <f>E36-E38</f>
        <v>1013.960279470577</v>
      </c>
      <c r="F39" s="6366"/>
    </row>
    <row r="42" spans="1:7" x14ac:dyDescent="0.2">
      <c r="C42" s="5" t="s">
        <v>1479</v>
      </c>
    </row>
    <row r="43" spans="1:7" x14ac:dyDescent="0.2">
      <c r="C43" s="5" t="s">
        <v>286</v>
      </c>
      <c r="D43" s="1650">
        <f>(19.14+22.66)/2</f>
        <v>20.9</v>
      </c>
    </row>
    <row r="44" spans="1:7" x14ac:dyDescent="0.2">
      <c r="C44" s="5" t="s">
        <v>314</v>
      </c>
      <c r="D44" s="5">
        <f>(15.5+18.35)/2</f>
        <v>16.925000000000001</v>
      </c>
    </row>
  </sheetData>
  <mergeCells count="18"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  <mergeCell ref="A2:F2"/>
    <mergeCell ref="F4:F5"/>
    <mergeCell ref="A6:F6"/>
    <mergeCell ref="A11:F11"/>
    <mergeCell ref="A16:F16"/>
    <mergeCell ref="F7:F10"/>
    <mergeCell ref="F12:F15"/>
  </mergeCells>
  <pageMargins left="0.7" right="0.7" top="0.75" bottom="0.75" header="0.3" footer="0.3"/>
  <pageSetup paperSize="9" scale="76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1506</v>
      </c>
    </row>
    <row r="2" spans="1:9" ht="18" x14ac:dyDescent="0.25">
      <c r="A2" s="6388" t="s">
        <v>505</v>
      </c>
      <c r="B2" s="6388"/>
      <c r="C2" s="6388"/>
      <c r="D2" s="6388"/>
      <c r="E2" s="6388"/>
      <c r="F2" s="6389"/>
      <c r="G2" s="6389"/>
      <c r="H2" s="6389"/>
      <c r="I2" s="6389"/>
    </row>
    <row r="3" spans="1:9" ht="13.5" thickBot="1" x14ac:dyDescent="0.25">
      <c r="A3" s="834"/>
      <c r="B3" s="834"/>
      <c r="C3" s="834"/>
      <c r="D3" s="834"/>
      <c r="E3" s="834"/>
      <c r="F3" s="780"/>
      <c r="G3" s="780"/>
      <c r="H3" s="780"/>
      <c r="I3" s="780"/>
    </row>
    <row r="4" spans="1:9" ht="13.5" thickBot="1" x14ac:dyDescent="0.25">
      <c r="A4" s="6383" t="s">
        <v>384</v>
      </c>
      <c r="B4" s="6390"/>
      <c r="C4" s="6390"/>
      <c r="D4" s="6390"/>
      <c r="E4" s="6390"/>
      <c r="F4" s="6390"/>
      <c r="G4" s="6390"/>
      <c r="H4" s="6390"/>
      <c r="I4" s="6391"/>
    </row>
    <row r="5" spans="1:9" ht="51" x14ac:dyDescent="0.2">
      <c r="A5" s="835" t="s">
        <v>384</v>
      </c>
      <c r="B5" s="838" t="s">
        <v>506</v>
      </c>
      <c r="C5" s="779" t="s">
        <v>507</v>
      </c>
      <c r="D5" s="6077" t="s">
        <v>235</v>
      </c>
      <c r="E5" s="6380"/>
      <c r="F5" s="838" t="s">
        <v>850</v>
      </c>
      <c r="G5" s="779" t="s">
        <v>838</v>
      </c>
      <c r="H5" s="6077" t="s">
        <v>235</v>
      </c>
      <c r="I5" s="6380"/>
    </row>
    <row r="6" spans="1:9" x14ac:dyDescent="0.2">
      <c r="A6" s="836" t="s">
        <v>272</v>
      </c>
      <c r="B6" s="839">
        <v>2243</v>
      </c>
      <c r="C6" s="817"/>
      <c r="D6" s="6376"/>
      <c r="E6" s="6377"/>
      <c r="F6" s="857">
        <v>0</v>
      </c>
      <c r="G6" s="817"/>
      <c r="H6" s="6376"/>
      <c r="I6" s="6377"/>
    </row>
    <row r="7" spans="1:9" x14ac:dyDescent="0.2">
      <c r="A7" s="836" t="s">
        <v>273</v>
      </c>
      <c r="B7" s="839">
        <v>3073.1</v>
      </c>
      <c r="C7" s="832">
        <v>1287.3</v>
      </c>
      <c r="D7" s="6381" t="s">
        <v>239</v>
      </c>
      <c r="E7" s="6382"/>
      <c r="F7" s="857">
        <v>0</v>
      </c>
      <c r="G7" s="832">
        <f>B7-C7</f>
        <v>1785.8</v>
      </c>
      <c r="H7" s="6381" t="s">
        <v>239</v>
      </c>
      <c r="I7" s="6382"/>
    </row>
    <row r="8" spans="1:9" x14ac:dyDescent="0.2">
      <c r="A8" s="836" t="s">
        <v>274</v>
      </c>
      <c r="B8" s="839">
        <v>212.2</v>
      </c>
      <c r="C8" s="817"/>
      <c r="D8" s="6376"/>
      <c r="E8" s="6377"/>
      <c r="F8" s="857">
        <v>0</v>
      </c>
      <c r="G8" s="817"/>
      <c r="H8" s="6376"/>
      <c r="I8" s="6377"/>
    </row>
    <row r="9" spans="1:9" x14ac:dyDescent="0.2">
      <c r="A9" s="836" t="s">
        <v>275</v>
      </c>
      <c r="B9" s="839">
        <v>475.4</v>
      </c>
      <c r="C9" s="817"/>
      <c r="D9" s="6376"/>
      <c r="E9" s="6377"/>
      <c r="F9" s="857">
        <v>0</v>
      </c>
      <c r="G9" s="817"/>
      <c r="H9" s="6376"/>
      <c r="I9" s="6377"/>
    </row>
    <row r="10" spans="1:9" ht="52.5" customHeight="1" x14ac:dyDescent="0.2">
      <c r="A10" s="836" t="s">
        <v>276</v>
      </c>
      <c r="B10" s="839">
        <v>2249.5</v>
      </c>
      <c r="C10" s="817"/>
      <c r="D10" s="6376"/>
      <c r="E10" s="6377"/>
      <c r="F10" s="857">
        <v>2840.9</v>
      </c>
      <c r="G10" s="817"/>
      <c r="H10" s="6386" t="s">
        <v>980</v>
      </c>
      <c r="I10" s="6387"/>
    </row>
    <row r="11" spans="1:9" x14ac:dyDescent="0.2">
      <c r="A11" s="836" t="s">
        <v>277</v>
      </c>
      <c r="B11" s="839">
        <v>3333.9</v>
      </c>
      <c r="C11" s="817"/>
      <c r="D11" s="6376"/>
      <c r="E11" s="6377"/>
      <c r="F11" s="857">
        <v>0</v>
      </c>
      <c r="G11" s="817"/>
      <c r="H11" s="6376"/>
      <c r="I11" s="6377"/>
    </row>
    <row r="12" spans="1:9" x14ac:dyDescent="0.2">
      <c r="A12" s="836" t="s">
        <v>278</v>
      </c>
      <c r="B12" s="839">
        <v>2188.5</v>
      </c>
      <c r="C12" s="817"/>
      <c r="D12" s="6376"/>
      <c r="E12" s="6377"/>
      <c r="F12" s="857">
        <v>0</v>
      </c>
      <c r="G12" s="817"/>
      <c r="H12" s="6376"/>
      <c r="I12" s="6377"/>
    </row>
    <row r="13" spans="1:9" x14ac:dyDescent="0.2">
      <c r="A13" s="836" t="s">
        <v>279</v>
      </c>
      <c r="B13" s="839">
        <v>557.1</v>
      </c>
      <c r="C13" s="817"/>
      <c r="D13" s="6376"/>
      <c r="E13" s="6377"/>
      <c r="F13" s="857">
        <v>0</v>
      </c>
      <c r="G13" s="832"/>
      <c r="H13" s="6376"/>
      <c r="I13" s="6377"/>
    </row>
    <row r="14" spans="1:9" ht="13.5" thickBot="1" x14ac:dyDescent="0.25">
      <c r="A14" s="837" t="s">
        <v>280</v>
      </c>
      <c r="B14" s="840">
        <f>SUM(B6:B13)</f>
        <v>14332.7</v>
      </c>
      <c r="C14" s="833">
        <f>SUM(C6:C13)</f>
        <v>1287.3</v>
      </c>
      <c r="D14" s="6378"/>
      <c r="E14" s="6379"/>
      <c r="F14" s="840">
        <f>SUM(F6:F13)</f>
        <v>2840.9</v>
      </c>
      <c r="G14" s="833">
        <f>SUM(G6:G13)</f>
        <v>1785.8</v>
      </c>
      <c r="H14" s="6378"/>
      <c r="I14" s="6379"/>
    </row>
    <row r="15" spans="1:9" ht="13.5" thickBot="1" x14ac:dyDescent="0.25">
      <c r="A15" s="6383" t="s">
        <v>388</v>
      </c>
      <c r="B15" s="6384"/>
      <c r="C15" s="6384"/>
      <c r="D15" s="6384"/>
      <c r="E15" s="6384"/>
      <c r="F15" s="6384"/>
      <c r="G15" s="6384"/>
      <c r="H15" s="6384"/>
      <c r="I15" s="6385"/>
    </row>
    <row r="16" spans="1:9" ht="51" x14ac:dyDescent="0.2">
      <c r="A16" s="835" t="s">
        <v>388</v>
      </c>
      <c r="B16" s="838" t="s">
        <v>506</v>
      </c>
      <c r="C16" s="779" t="s">
        <v>507</v>
      </c>
      <c r="D16" s="6077" t="s">
        <v>235</v>
      </c>
      <c r="E16" s="6380"/>
      <c r="F16" s="838" t="s">
        <v>506</v>
      </c>
      <c r="G16" s="856" t="s">
        <v>838</v>
      </c>
      <c r="H16" s="6077" t="s">
        <v>235</v>
      </c>
      <c r="I16" s="6380"/>
    </row>
    <row r="17" spans="1:9" x14ac:dyDescent="0.2">
      <c r="A17" s="836" t="s">
        <v>272</v>
      </c>
      <c r="B17" s="839">
        <v>0</v>
      </c>
      <c r="C17" s="817"/>
      <c r="D17" s="6376"/>
      <c r="E17" s="6377"/>
      <c r="F17" s="857">
        <v>0</v>
      </c>
      <c r="G17" s="817"/>
      <c r="H17" s="6376"/>
      <c r="I17" s="6377"/>
    </row>
    <row r="18" spans="1:9" x14ac:dyDescent="0.2">
      <c r="A18" s="836" t="s">
        <v>273</v>
      </c>
      <c r="B18" s="839">
        <v>1355.2</v>
      </c>
      <c r="C18" s="832">
        <f>B18</f>
        <v>1355.2</v>
      </c>
      <c r="D18" s="6381" t="s">
        <v>239</v>
      </c>
      <c r="E18" s="6382"/>
      <c r="F18" s="857">
        <v>0</v>
      </c>
      <c r="G18" s="817"/>
      <c r="H18" s="6381" t="s">
        <v>239</v>
      </c>
      <c r="I18" s="6382"/>
    </row>
    <row r="19" spans="1:9" x14ac:dyDescent="0.2">
      <c r="A19" s="836" t="s">
        <v>274</v>
      </c>
      <c r="B19" s="839">
        <v>93.8</v>
      </c>
      <c r="C19" s="817"/>
      <c r="D19" s="6376"/>
      <c r="E19" s="6377"/>
      <c r="F19" s="857">
        <v>0</v>
      </c>
      <c r="G19" s="817"/>
      <c r="H19" s="6376"/>
      <c r="I19" s="6377"/>
    </row>
    <row r="20" spans="1:9" x14ac:dyDescent="0.2">
      <c r="A20" s="836" t="s">
        <v>275</v>
      </c>
      <c r="B20" s="839">
        <v>0</v>
      </c>
      <c r="C20" s="817"/>
      <c r="D20" s="6376"/>
      <c r="E20" s="6377"/>
      <c r="F20" s="857">
        <v>0</v>
      </c>
      <c r="G20" s="817"/>
      <c r="H20" s="6376"/>
      <c r="I20" s="6377"/>
    </row>
    <row r="21" spans="1:9" x14ac:dyDescent="0.2">
      <c r="A21" s="836" t="s">
        <v>276</v>
      </c>
      <c r="B21" s="839">
        <v>0</v>
      </c>
      <c r="C21" s="817"/>
      <c r="D21" s="6376"/>
      <c r="E21" s="6377"/>
      <c r="F21" s="857">
        <v>0</v>
      </c>
      <c r="G21" s="817"/>
      <c r="H21" s="6376"/>
      <c r="I21" s="6377"/>
    </row>
    <row r="22" spans="1:9" x14ac:dyDescent="0.2">
      <c r="A22" s="836" t="s">
        <v>277</v>
      </c>
      <c r="B22" s="839">
        <v>1153.4000000000001</v>
      </c>
      <c r="C22" s="817"/>
      <c r="D22" s="6376"/>
      <c r="E22" s="6377"/>
      <c r="F22" s="857">
        <v>0</v>
      </c>
      <c r="G22" s="817"/>
      <c r="H22" s="6376"/>
      <c r="I22" s="6377"/>
    </row>
    <row r="23" spans="1:9" x14ac:dyDescent="0.2">
      <c r="A23" s="836" t="s">
        <v>278</v>
      </c>
      <c r="B23" s="839">
        <v>0</v>
      </c>
      <c r="C23" s="817"/>
      <c r="D23" s="6376"/>
      <c r="E23" s="6377"/>
      <c r="F23" s="857">
        <f>SUM('ОХР '!AD57-'ОХР '!Z57)</f>
        <v>1048.3951981855334</v>
      </c>
      <c r="G23" s="817"/>
      <c r="H23" s="6376"/>
      <c r="I23" s="6377"/>
    </row>
    <row r="24" spans="1:9" x14ac:dyDescent="0.2">
      <c r="A24" s="836" t="s">
        <v>279</v>
      </c>
      <c r="B24" s="839">
        <v>121.2</v>
      </c>
      <c r="C24" s="817">
        <f>95.1</f>
        <v>95.1</v>
      </c>
      <c r="D24" s="6376"/>
      <c r="E24" s="6377"/>
      <c r="F24" s="839">
        <v>0</v>
      </c>
      <c r="G24" s="832">
        <f>B24-C24</f>
        <v>26.100000000000009</v>
      </c>
      <c r="H24" s="6376"/>
      <c r="I24" s="6377"/>
    </row>
    <row r="25" spans="1:9" ht="13.5" thickBot="1" x14ac:dyDescent="0.25">
      <c r="A25" s="837" t="s">
        <v>280</v>
      </c>
      <c r="B25" s="840">
        <f>SUM(B17:B24)</f>
        <v>2723.6</v>
      </c>
      <c r="C25" s="833">
        <f>SUM(C17:C24)</f>
        <v>1450.3</v>
      </c>
      <c r="D25" s="6378"/>
      <c r="E25" s="6379"/>
      <c r="F25" s="840">
        <f>SUM(F17:F24)</f>
        <v>1048.3951981855334</v>
      </c>
      <c r="G25" s="833">
        <f>SUM(G17:G24)</f>
        <v>26.100000000000009</v>
      </c>
      <c r="H25" s="6378"/>
      <c r="I25" s="6379"/>
    </row>
  </sheetData>
  <mergeCells count="43">
    <mergeCell ref="D10:E10"/>
    <mergeCell ref="D11:E11"/>
    <mergeCell ref="D12:E12"/>
    <mergeCell ref="A2:I2"/>
    <mergeCell ref="D5:E5"/>
    <mergeCell ref="D7:E7"/>
    <mergeCell ref="D8:E8"/>
    <mergeCell ref="A4:I4"/>
    <mergeCell ref="H5:I5"/>
    <mergeCell ref="D25:E25"/>
    <mergeCell ref="D16:E16"/>
    <mergeCell ref="D17:E17"/>
    <mergeCell ref="D18:E18"/>
    <mergeCell ref="D19:E19"/>
    <mergeCell ref="D23:E23"/>
    <mergeCell ref="D20:E20"/>
    <mergeCell ref="D22:E22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</mergeCells>
  <phoneticPr fontId="10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6251" t="s">
        <v>789</v>
      </c>
      <c r="B1" s="6252"/>
      <c r="C1" s="6252"/>
      <c r="D1" s="6252"/>
      <c r="E1" s="6252"/>
      <c r="F1" s="6252"/>
      <c r="G1" s="6252"/>
      <c r="H1" s="6252"/>
      <c r="I1" s="6252"/>
      <c r="J1" s="6252"/>
      <c r="K1" s="6257"/>
    </row>
    <row r="2" spans="1:11" ht="13.5" x14ac:dyDescent="0.25">
      <c r="A2" s="6253" t="s">
        <v>650</v>
      </c>
      <c r="B2" s="6124"/>
      <c r="C2" s="6124"/>
      <c r="D2" s="6124"/>
      <c r="E2" s="6124"/>
      <c r="F2" s="6124"/>
      <c r="G2" s="6124"/>
      <c r="H2" s="6124"/>
      <c r="I2" s="6124"/>
      <c r="J2" s="6124"/>
      <c r="K2" s="6125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6254" t="s">
        <v>790</v>
      </c>
      <c r="B4" s="6124"/>
      <c r="C4" s="6124"/>
      <c r="D4" s="6124"/>
      <c r="E4" s="6124"/>
      <c r="F4" s="6124"/>
      <c r="G4" s="6124"/>
      <c r="H4" s="6124"/>
      <c r="I4" s="6124"/>
      <c r="J4" s="6124"/>
      <c r="K4" s="6125"/>
    </row>
    <row r="5" spans="1:11" ht="18" x14ac:dyDescent="0.25">
      <c r="A5" s="618" t="s">
        <v>652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6242" t="s">
        <v>487</v>
      </c>
      <c r="B6" s="6124"/>
      <c r="C6" s="6124"/>
      <c r="D6" s="6124"/>
      <c r="E6" s="6124"/>
      <c r="F6" s="6124"/>
      <c r="G6" s="6124"/>
      <c r="H6" s="6124"/>
      <c r="I6" s="6124"/>
      <c r="J6" s="6124"/>
      <c r="K6" s="6125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6239" t="s">
        <v>653</v>
      </c>
      <c r="B8" s="6124"/>
      <c r="C8" s="6124"/>
      <c r="D8" s="6124"/>
      <c r="E8" s="6124"/>
      <c r="F8" s="6124"/>
      <c r="G8" s="6124"/>
      <c r="H8" s="6124"/>
      <c r="I8" s="6124"/>
      <c r="J8" s="6124"/>
      <c r="K8" s="6125"/>
    </row>
    <row r="9" spans="1:11" ht="13.5" x14ac:dyDescent="0.2">
      <c r="A9" s="638"/>
      <c r="B9" s="632"/>
      <c r="C9" s="279"/>
      <c r="D9" s="279"/>
      <c r="E9" s="279"/>
      <c r="F9" s="279"/>
      <c r="G9" s="279"/>
      <c r="H9" s="279"/>
      <c r="I9" s="279"/>
      <c r="J9" s="279"/>
      <c r="K9" s="617"/>
    </row>
    <row r="10" spans="1:11" x14ac:dyDescent="0.2">
      <c r="A10" s="6239" t="s">
        <v>654</v>
      </c>
      <c r="B10" s="6124"/>
      <c r="C10" s="6124"/>
      <c r="D10" s="6241" t="s">
        <v>791</v>
      </c>
      <c r="E10" s="6124"/>
      <c r="F10" s="6124"/>
      <c r="G10" s="6124"/>
      <c r="H10" s="6124"/>
      <c r="I10" s="6124"/>
      <c r="J10" s="6124"/>
      <c r="K10" s="6125"/>
    </row>
    <row r="11" spans="1:11" ht="18.75" x14ac:dyDescent="0.3">
      <c r="A11" s="619"/>
      <c r="B11" s="279"/>
      <c r="C11" s="279"/>
      <c r="D11" s="279"/>
      <c r="E11" s="279"/>
      <c r="F11" s="279"/>
      <c r="G11" s="279"/>
      <c r="H11" s="279"/>
      <c r="I11" s="279"/>
      <c r="J11" s="279"/>
      <c r="K11" s="617"/>
    </row>
    <row r="12" spans="1:11" ht="12.75" customHeight="1" x14ac:dyDescent="0.2">
      <c r="A12" s="6248" t="s">
        <v>656</v>
      </c>
      <c r="B12" s="6124"/>
      <c r="C12" s="6124"/>
      <c r="D12" s="6124"/>
      <c r="E12" s="6124"/>
      <c r="F12" s="6124"/>
      <c r="G12" s="6249" t="s">
        <v>792</v>
      </c>
      <c r="H12" s="6250" t="s">
        <v>658</v>
      </c>
      <c r="I12" s="279"/>
      <c r="J12" s="279"/>
      <c r="K12" s="617"/>
    </row>
    <row r="13" spans="1:11" x14ac:dyDescent="0.2">
      <c r="A13" s="6248"/>
      <c r="B13" s="6124"/>
      <c r="C13" s="6124"/>
      <c r="D13" s="6124"/>
      <c r="E13" s="6124"/>
      <c r="F13" s="6124"/>
      <c r="G13" s="6249"/>
      <c r="H13" s="6250"/>
      <c r="I13" s="279"/>
      <c r="J13" s="279"/>
      <c r="K13" s="617"/>
    </row>
    <row r="14" spans="1:11" ht="15" customHeight="1" x14ac:dyDescent="0.2">
      <c r="A14" s="6239" t="s">
        <v>659</v>
      </c>
      <c r="B14" s="6124"/>
      <c r="C14" s="6124"/>
      <c r="D14" s="6124"/>
      <c r="E14" s="6124"/>
      <c r="F14" s="6124"/>
      <c r="G14" s="6240">
        <v>854</v>
      </c>
      <c r="H14" s="6241" t="s">
        <v>660</v>
      </c>
      <c r="I14" s="279"/>
      <c r="J14" s="279"/>
      <c r="K14" s="617"/>
    </row>
    <row r="15" spans="1:11" x14ac:dyDescent="0.2">
      <c r="A15" s="6239"/>
      <c r="B15" s="6124"/>
      <c r="C15" s="6124"/>
      <c r="D15" s="6124"/>
      <c r="E15" s="6124"/>
      <c r="F15" s="6124"/>
      <c r="G15" s="6240"/>
      <c r="H15" s="6241"/>
      <c r="I15" s="279"/>
      <c r="J15" s="279"/>
      <c r="K15" s="617"/>
    </row>
    <row r="16" spans="1:11" ht="13.5" customHeight="1" x14ac:dyDescent="0.2">
      <c r="A16" s="6239" t="s">
        <v>661</v>
      </c>
      <c r="B16" s="6124"/>
      <c r="C16" s="6124"/>
      <c r="D16" s="6124"/>
      <c r="E16" s="6124"/>
      <c r="F16" s="6124"/>
      <c r="G16" s="6240" t="s">
        <v>793</v>
      </c>
      <c r="H16" s="6241" t="s">
        <v>658</v>
      </c>
      <c r="I16" s="279"/>
      <c r="J16" s="279"/>
      <c r="K16" s="617"/>
    </row>
    <row r="17" spans="1:11" ht="3.75" customHeight="1" x14ac:dyDescent="0.2">
      <c r="A17" s="6239"/>
      <c r="B17" s="6124"/>
      <c r="C17" s="6124"/>
      <c r="D17" s="6124"/>
      <c r="E17" s="6124"/>
      <c r="F17" s="6124"/>
      <c r="G17" s="6240"/>
      <c r="H17" s="6241"/>
      <c r="I17" s="279"/>
      <c r="J17" s="279"/>
      <c r="K17" s="617"/>
    </row>
    <row r="18" spans="1:11" ht="19.5" thickBot="1" x14ac:dyDescent="0.35">
      <c r="A18" s="639" t="s">
        <v>239</v>
      </c>
      <c r="B18" s="279"/>
      <c r="C18" s="279"/>
      <c r="D18" s="279"/>
      <c r="E18" s="279"/>
      <c r="F18" s="279"/>
      <c r="G18" s="279"/>
      <c r="H18" s="279"/>
      <c r="I18" s="279"/>
      <c r="J18" s="279"/>
      <c r="K18" s="617"/>
    </row>
    <row r="19" spans="1:11" ht="13.5" thickBot="1" x14ac:dyDescent="0.25">
      <c r="A19" s="587" t="s">
        <v>165</v>
      </c>
      <c r="B19" s="587" t="s">
        <v>437</v>
      </c>
      <c r="C19" s="587" t="s">
        <v>356</v>
      </c>
      <c r="D19" s="337"/>
      <c r="E19" s="6229" t="s">
        <v>438</v>
      </c>
      <c r="F19" s="6230"/>
      <c r="G19" s="6229" t="s">
        <v>439</v>
      </c>
      <c r="H19" s="6231"/>
      <c r="I19" s="6230"/>
      <c r="J19" s="6232" t="s">
        <v>440</v>
      </c>
      <c r="K19" s="6233"/>
    </row>
    <row r="20" spans="1:11" ht="13.5" thickBot="1" x14ac:dyDescent="0.25">
      <c r="A20" s="340" t="s">
        <v>441</v>
      </c>
      <c r="B20" s="340" t="s">
        <v>442</v>
      </c>
      <c r="C20" s="340" t="s">
        <v>443</v>
      </c>
      <c r="D20" s="341" t="s">
        <v>444</v>
      </c>
      <c r="E20" s="589" t="s">
        <v>445</v>
      </c>
      <c r="F20" s="586" t="s">
        <v>446</v>
      </c>
      <c r="G20" s="340" t="s">
        <v>445</v>
      </c>
      <c r="H20" s="341" t="s">
        <v>447</v>
      </c>
      <c r="I20" s="343" t="s">
        <v>446</v>
      </c>
      <c r="J20" s="6234" t="s">
        <v>448</v>
      </c>
      <c r="K20" s="6235"/>
    </row>
    <row r="21" spans="1:11" ht="13.5" thickBot="1" x14ac:dyDescent="0.25">
      <c r="A21" s="588"/>
      <c r="B21" s="588" t="s">
        <v>449</v>
      </c>
      <c r="C21" s="588"/>
      <c r="D21" s="345"/>
      <c r="E21" s="589" t="s">
        <v>447</v>
      </c>
      <c r="F21" s="343" t="s">
        <v>450</v>
      </c>
      <c r="G21" s="585"/>
      <c r="H21" s="346"/>
      <c r="I21" s="343" t="s">
        <v>450</v>
      </c>
      <c r="J21" s="588" t="s">
        <v>451</v>
      </c>
      <c r="K21" s="345" t="s">
        <v>445</v>
      </c>
    </row>
    <row r="22" spans="1:11" ht="13.5" thickBot="1" x14ac:dyDescent="0.25">
      <c r="A22" s="623"/>
      <c r="B22" s="279"/>
      <c r="C22" s="279"/>
      <c r="D22" s="279"/>
      <c r="E22" s="279"/>
      <c r="F22" s="279"/>
      <c r="G22" s="279"/>
      <c r="H22" s="279"/>
      <c r="I22" s="279"/>
      <c r="J22" s="279"/>
      <c r="K22" s="617"/>
    </row>
    <row r="23" spans="1:11" ht="13.5" thickBot="1" x14ac:dyDescent="0.25">
      <c r="A23" s="348">
        <v>1</v>
      </c>
      <c r="B23" s="349">
        <v>2</v>
      </c>
      <c r="C23" s="349">
        <v>3</v>
      </c>
      <c r="D23" s="349">
        <v>4</v>
      </c>
      <c r="E23" s="349">
        <v>5</v>
      </c>
      <c r="F23" s="349">
        <v>6</v>
      </c>
      <c r="G23" s="349">
        <v>7</v>
      </c>
      <c r="H23" s="349">
        <v>8</v>
      </c>
      <c r="I23" s="349">
        <v>9</v>
      </c>
      <c r="J23" s="349">
        <v>10</v>
      </c>
      <c r="K23" s="349">
        <v>11</v>
      </c>
    </row>
    <row r="24" spans="1:11" ht="13.5" thickBot="1" x14ac:dyDescent="0.25">
      <c r="A24" s="609"/>
      <c r="B24" s="610"/>
      <c r="C24" s="610"/>
      <c r="D24" s="610"/>
      <c r="E24" s="610"/>
      <c r="F24" s="610"/>
      <c r="G24" s="610"/>
      <c r="H24" s="610"/>
      <c r="I24" s="610"/>
      <c r="J24" s="610"/>
      <c r="K24" s="610"/>
    </row>
    <row r="25" spans="1:11" ht="13.5" thickBot="1" x14ac:dyDescent="0.25">
      <c r="A25" s="6212"/>
      <c r="B25" s="6213"/>
      <c r="C25" s="6213"/>
      <c r="D25" s="6213"/>
      <c r="E25" s="6213"/>
      <c r="F25" s="6213"/>
      <c r="G25" s="6213"/>
      <c r="H25" s="6213"/>
      <c r="I25" s="6213"/>
      <c r="J25" s="6213"/>
      <c r="K25" s="6214"/>
    </row>
    <row r="26" spans="1:11" ht="13.5" thickBot="1" x14ac:dyDescent="0.25">
      <c r="A26" s="6236" t="s">
        <v>794</v>
      </c>
      <c r="B26" s="6237"/>
      <c r="C26" s="6237"/>
      <c r="D26" s="6237"/>
      <c r="E26" s="6237"/>
      <c r="F26" s="6237"/>
      <c r="G26" s="6237"/>
      <c r="H26" s="6237"/>
      <c r="I26" s="6237"/>
      <c r="J26" s="6237"/>
      <c r="K26" s="6238"/>
    </row>
    <row r="27" spans="1:11" ht="13.5" thickBot="1" x14ac:dyDescent="0.25">
      <c r="A27" s="6212"/>
      <c r="B27" s="6213"/>
      <c r="C27" s="6213"/>
      <c r="D27" s="6213"/>
      <c r="E27" s="6213"/>
      <c r="F27" s="6213"/>
      <c r="G27" s="6213"/>
      <c r="H27" s="6213"/>
      <c r="I27" s="6213"/>
      <c r="J27" s="6213"/>
      <c r="K27" s="6214"/>
    </row>
    <row r="28" spans="1:11" x14ac:dyDescent="0.2">
      <c r="A28" s="6222">
        <v>1</v>
      </c>
      <c r="B28" s="6224" t="s">
        <v>671</v>
      </c>
      <c r="C28" s="355" t="s">
        <v>735</v>
      </c>
      <c r="D28" s="356">
        <v>0.8</v>
      </c>
      <c r="E28" s="357">
        <v>21330.04</v>
      </c>
      <c r="F28" s="357">
        <v>21330.04</v>
      </c>
      <c r="G28" s="6222">
        <v>17064</v>
      </c>
      <c r="H28" s="6222">
        <v>0</v>
      </c>
      <c r="I28" s="357">
        <v>17064</v>
      </c>
      <c r="J28" s="357">
        <v>0</v>
      </c>
      <c r="K28" s="357">
        <v>0</v>
      </c>
    </row>
    <row r="29" spans="1:11" ht="34.5" customHeight="1" thickBot="1" x14ac:dyDescent="0.25">
      <c r="A29" s="6223"/>
      <c r="B29" s="6225"/>
      <c r="C29" s="353" t="s">
        <v>795</v>
      </c>
      <c r="D29" s="354" t="s">
        <v>673</v>
      </c>
      <c r="E29" s="354">
        <v>0</v>
      </c>
      <c r="F29" s="354">
        <v>24389.57</v>
      </c>
      <c r="G29" s="6223"/>
      <c r="H29" s="6223"/>
      <c r="I29" s="354">
        <v>19512</v>
      </c>
      <c r="J29" s="354">
        <v>97.21</v>
      </c>
      <c r="K29" s="354">
        <v>77.77</v>
      </c>
    </row>
    <row r="30" spans="1:11" ht="22.5" customHeight="1" x14ac:dyDescent="0.2">
      <c r="A30" s="6222">
        <v>2</v>
      </c>
      <c r="B30" s="6224" t="s">
        <v>745</v>
      </c>
      <c r="C30" s="355" t="s">
        <v>746</v>
      </c>
      <c r="D30" s="356">
        <v>20</v>
      </c>
      <c r="E30" s="357">
        <v>1300.8599999999999</v>
      </c>
      <c r="F30" s="357">
        <v>30.67</v>
      </c>
      <c r="G30" s="6222">
        <v>26017</v>
      </c>
      <c r="H30" s="6222">
        <v>25404</v>
      </c>
      <c r="I30" s="357">
        <v>613</v>
      </c>
      <c r="J30" s="357">
        <v>6.58</v>
      </c>
      <c r="K30" s="357">
        <v>131.6</v>
      </c>
    </row>
    <row r="31" spans="1:11" ht="33" customHeight="1" thickBot="1" x14ac:dyDescent="0.25">
      <c r="A31" s="6223"/>
      <c r="B31" s="6225"/>
      <c r="C31" s="353" t="s">
        <v>795</v>
      </c>
      <c r="D31" s="354" t="s">
        <v>747</v>
      </c>
      <c r="E31" s="354">
        <v>1270.19</v>
      </c>
      <c r="F31" s="354">
        <v>0</v>
      </c>
      <c r="G31" s="6223"/>
      <c r="H31" s="6223"/>
      <c r="I31" s="354">
        <v>0</v>
      </c>
      <c r="J31" s="354">
        <v>0</v>
      </c>
      <c r="K31" s="354">
        <v>0</v>
      </c>
    </row>
    <row r="32" spans="1:11" ht="22.5" customHeight="1" x14ac:dyDescent="0.2">
      <c r="A32" s="6222">
        <v>3</v>
      </c>
      <c r="B32" s="6224" t="s">
        <v>736</v>
      </c>
      <c r="C32" s="355" t="s">
        <v>737</v>
      </c>
      <c r="D32" s="356">
        <v>0.2</v>
      </c>
      <c r="E32" s="357">
        <v>115674.66</v>
      </c>
      <c r="F32" s="357">
        <v>55153.06</v>
      </c>
      <c r="G32" s="6222">
        <v>23135</v>
      </c>
      <c r="H32" s="6222">
        <v>12104</v>
      </c>
      <c r="I32" s="357">
        <v>11031</v>
      </c>
      <c r="J32" s="357">
        <v>292.02</v>
      </c>
      <c r="K32" s="357">
        <v>58.4</v>
      </c>
    </row>
    <row r="33" spans="1:11" ht="33.75" customHeight="1" x14ac:dyDescent="0.2">
      <c r="A33" s="6226"/>
      <c r="B33" s="6227"/>
      <c r="C33" s="355" t="s">
        <v>491</v>
      </c>
      <c r="D33" s="357" t="s">
        <v>739</v>
      </c>
      <c r="E33" s="357">
        <v>60521.599999999999</v>
      </c>
      <c r="F33" s="357">
        <v>12684.38</v>
      </c>
      <c r="G33" s="6226"/>
      <c r="H33" s="6226"/>
      <c r="I33" s="357">
        <v>2537</v>
      </c>
      <c r="J33" s="357">
        <v>49.67</v>
      </c>
      <c r="K33" s="357">
        <v>9.93</v>
      </c>
    </row>
    <row r="34" spans="1:11" ht="33.75" customHeight="1" thickBot="1" x14ac:dyDescent="0.25">
      <c r="A34" s="6223"/>
      <c r="B34" s="6225"/>
      <c r="C34" s="353" t="s">
        <v>796</v>
      </c>
      <c r="D34" s="358"/>
      <c r="E34" s="358"/>
      <c r="F34" s="358"/>
      <c r="G34" s="6223"/>
      <c r="H34" s="6223"/>
      <c r="I34" s="358"/>
      <c r="J34" s="358"/>
      <c r="K34" s="358"/>
    </row>
    <row r="35" spans="1:11" ht="10.5" customHeight="1" x14ac:dyDescent="0.2">
      <c r="A35" s="6222">
        <v>4</v>
      </c>
      <c r="B35" s="6224" t="s">
        <v>740</v>
      </c>
      <c r="C35" s="355" t="s">
        <v>741</v>
      </c>
      <c r="D35" s="356">
        <v>20</v>
      </c>
      <c r="E35" s="357">
        <v>534.51</v>
      </c>
      <c r="F35" s="357">
        <v>0</v>
      </c>
      <c r="G35" s="6222">
        <v>10690</v>
      </c>
      <c r="H35" s="6222">
        <v>10690</v>
      </c>
      <c r="I35" s="357">
        <v>0</v>
      </c>
      <c r="J35" s="357">
        <v>2.72</v>
      </c>
      <c r="K35" s="357">
        <v>54.48</v>
      </c>
    </row>
    <row r="36" spans="1:11" ht="10.5" customHeight="1" x14ac:dyDescent="0.2">
      <c r="A36" s="6226"/>
      <c r="B36" s="6227"/>
      <c r="C36" s="355" t="s">
        <v>491</v>
      </c>
      <c r="D36" s="357" t="s">
        <v>455</v>
      </c>
      <c r="E36" s="357">
        <v>534.51</v>
      </c>
      <c r="F36" s="357">
        <v>0</v>
      </c>
      <c r="G36" s="6226"/>
      <c r="H36" s="6226"/>
      <c r="I36" s="357">
        <v>0</v>
      </c>
      <c r="J36" s="357">
        <v>0</v>
      </c>
      <c r="K36" s="357">
        <v>0</v>
      </c>
    </row>
    <row r="37" spans="1:11" ht="33.75" customHeight="1" thickBot="1" x14ac:dyDescent="0.25">
      <c r="A37" s="6223"/>
      <c r="B37" s="6225"/>
      <c r="C37" s="353" t="s">
        <v>796</v>
      </c>
      <c r="D37" s="358"/>
      <c r="E37" s="358"/>
      <c r="F37" s="358"/>
      <c r="G37" s="6223"/>
      <c r="H37" s="6223"/>
      <c r="I37" s="358"/>
      <c r="J37" s="358"/>
      <c r="K37" s="358"/>
    </row>
    <row r="38" spans="1:11" ht="10.5" customHeight="1" x14ac:dyDescent="0.2">
      <c r="A38" s="6222">
        <v>5</v>
      </c>
      <c r="B38" s="6224" t="s">
        <v>742</v>
      </c>
      <c r="C38" s="355" t="s">
        <v>743</v>
      </c>
      <c r="D38" s="356">
        <v>12</v>
      </c>
      <c r="E38" s="357">
        <v>352.65</v>
      </c>
      <c r="F38" s="357">
        <v>70.33</v>
      </c>
      <c r="G38" s="6222">
        <v>4232</v>
      </c>
      <c r="H38" s="6222">
        <v>3388</v>
      </c>
      <c r="I38" s="357">
        <v>844</v>
      </c>
      <c r="J38" s="357">
        <v>1.31</v>
      </c>
      <c r="K38" s="357">
        <v>15.72</v>
      </c>
    </row>
    <row r="39" spans="1:11" ht="33" customHeight="1" thickBot="1" x14ac:dyDescent="0.25">
      <c r="A39" s="6223"/>
      <c r="B39" s="6225"/>
      <c r="C39" s="353" t="s">
        <v>795</v>
      </c>
      <c r="D39" s="354" t="s">
        <v>744</v>
      </c>
      <c r="E39" s="354">
        <v>282.32</v>
      </c>
      <c r="F39" s="354">
        <v>0</v>
      </c>
      <c r="G39" s="6223"/>
      <c r="H39" s="6223"/>
      <c r="I39" s="354">
        <v>0</v>
      </c>
      <c r="J39" s="354">
        <v>7.0000000000000007E-2</v>
      </c>
      <c r="K39" s="354">
        <v>0.84</v>
      </c>
    </row>
    <row r="40" spans="1:11" ht="9.75" customHeight="1" x14ac:dyDescent="0.2">
      <c r="A40" s="6222">
        <v>6</v>
      </c>
      <c r="B40" s="6224" t="s">
        <v>452</v>
      </c>
      <c r="C40" s="355" t="s">
        <v>453</v>
      </c>
      <c r="D40" s="356">
        <v>8</v>
      </c>
      <c r="E40" s="357">
        <v>7190.9</v>
      </c>
      <c r="F40" s="357">
        <v>100.54</v>
      </c>
      <c r="G40" s="6222">
        <v>57527</v>
      </c>
      <c r="H40" s="6222">
        <v>7709</v>
      </c>
      <c r="I40" s="357">
        <v>804</v>
      </c>
      <c r="J40" s="357">
        <v>4.53</v>
      </c>
      <c r="K40" s="357">
        <v>36.24</v>
      </c>
    </row>
    <row r="41" spans="1:11" ht="34.5" customHeight="1" thickBot="1" x14ac:dyDescent="0.25">
      <c r="A41" s="6223"/>
      <c r="B41" s="6225"/>
      <c r="C41" s="353" t="s">
        <v>795</v>
      </c>
      <c r="D41" s="354" t="s">
        <v>455</v>
      </c>
      <c r="E41" s="354">
        <v>963.68</v>
      </c>
      <c r="F41" s="354">
        <v>0</v>
      </c>
      <c r="G41" s="6223"/>
      <c r="H41" s="6223"/>
      <c r="I41" s="354">
        <v>0</v>
      </c>
      <c r="J41" s="354">
        <v>0.1</v>
      </c>
      <c r="K41" s="354">
        <v>0.8</v>
      </c>
    </row>
    <row r="42" spans="1:11" ht="23.25" customHeight="1" x14ac:dyDescent="0.2">
      <c r="A42" s="6222">
        <v>7</v>
      </c>
      <c r="B42" s="6224" t="s">
        <v>489</v>
      </c>
      <c r="C42" s="355" t="s">
        <v>490</v>
      </c>
      <c r="D42" s="356">
        <v>0.5</v>
      </c>
      <c r="E42" s="357">
        <v>87722.08</v>
      </c>
      <c r="F42" s="357">
        <v>9577.9699999999993</v>
      </c>
      <c r="G42" s="6222">
        <v>43861</v>
      </c>
      <c r="H42" s="6222">
        <v>9936</v>
      </c>
      <c r="I42" s="357">
        <v>4789</v>
      </c>
      <c r="J42" s="357">
        <v>95.88</v>
      </c>
      <c r="K42" s="357">
        <v>47.94</v>
      </c>
    </row>
    <row r="43" spans="1:11" ht="10.5" customHeight="1" x14ac:dyDescent="0.2">
      <c r="A43" s="6226"/>
      <c r="B43" s="6227"/>
      <c r="C43" s="355" t="s">
        <v>491</v>
      </c>
      <c r="D43" s="357" t="s">
        <v>492</v>
      </c>
      <c r="E43" s="357">
        <v>19871.29</v>
      </c>
      <c r="F43" s="357">
        <v>2421.77</v>
      </c>
      <c r="G43" s="6226"/>
      <c r="H43" s="6226"/>
      <c r="I43" s="357">
        <v>1211</v>
      </c>
      <c r="J43" s="357">
        <v>7.81</v>
      </c>
      <c r="K43" s="357">
        <v>3.91</v>
      </c>
    </row>
    <row r="44" spans="1:11" ht="32.25" customHeight="1" thickBot="1" x14ac:dyDescent="0.25">
      <c r="A44" s="6223"/>
      <c r="B44" s="6225"/>
      <c r="C44" s="353" t="s">
        <v>796</v>
      </c>
      <c r="D44" s="358"/>
      <c r="E44" s="358"/>
      <c r="F44" s="358"/>
      <c r="G44" s="6223"/>
      <c r="H44" s="6223"/>
      <c r="I44" s="358"/>
      <c r="J44" s="358"/>
      <c r="K44" s="358"/>
    </row>
    <row r="45" spans="1:11" ht="10.5" customHeight="1" x14ac:dyDescent="0.2">
      <c r="A45" s="6222">
        <v>8</v>
      </c>
      <c r="B45" s="6224" t="s">
        <v>494</v>
      </c>
      <c r="C45" s="355" t="s">
        <v>495</v>
      </c>
      <c r="D45" s="356">
        <v>3.5</v>
      </c>
      <c r="E45" s="357">
        <v>14398.96</v>
      </c>
      <c r="F45" s="357">
        <v>341.17</v>
      </c>
      <c r="G45" s="6222">
        <v>50396</v>
      </c>
      <c r="H45" s="6222">
        <v>27253</v>
      </c>
      <c r="I45" s="357">
        <v>1194</v>
      </c>
      <c r="J45" s="357">
        <v>38.93</v>
      </c>
      <c r="K45" s="357">
        <v>136.25</v>
      </c>
    </row>
    <row r="46" spans="1:11" ht="12.75" customHeight="1" x14ac:dyDescent="0.2">
      <c r="A46" s="6226"/>
      <c r="B46" s="6227"/>
      <c r="C46" s="355" t="s">
        <v>496</v>
      </c>
      <c r="D46" s="357" t="s">
        <v>497</v>
      </c>
      <c r="E46" s="357">
        <v>7786.59</v>
      </c>
      <c r="F46" s="357">
        <v>133.93</v>
      </c>
      <c r="G46" s="6226"/>
      <c r="H46" s="6226"/>
      <c r="I46" s="357">
        <v>469</v>
      </c>
      <c r="J46" s="357">
        <v>0.43</v>
      </c>
      <c r="K46" s="357">
        <v>1.51</v>
      </c>
    </row>
    <row r="47" spans="1:11" ht="32.25" customHeight="1" thickBot="1" x14ac:dyDescent="0.25">
      <c r="A47" s="6223"/>
      <c r="B47" s="6225"/>
      <c r="C47" s="353" t="s">
        <v>796</v>
      </c>
      <c r="D47" s="358"/>
      <c r="E47" s="358"/>
      <c r="F47" s="358"/>
      <c r="G47" s="6223"/>
      <c r="H47" s="6223"/>
      <c r="I47" s="358"/>
      <c r="J47" s="358"/>
      <c r="K47" s="358"/>
    </row>
    <row r="48" spans="1:11" ht="11.25" customHeight="1" x14ac:dyDescent="0.2">
      <c r="A48" s="6222">
        <v>9</v>
      </c>
      <c r="B48" s="6224" t="s">
        <v>498</v>
      </c>
      <c r="C48" s="355" t="s">
        <v>499</v>
      </c>
      <c r="D48" s="356">
        <v>2.5</v>
      </c>
      <c r="E48" s="357">
        <v>17601.82</v>
      </c>
      <c r="F48" s="357">
        <v>60.3</v>
      </c>
      <c r="G48" s="6222">
        <v>44005</v>
      </c>
      <c r="H48" s="6222">
        <v>18429</v>
      </c>
      <c r="I48" s="357">
        <v>151</v>
      </c>
      <c r="J48" s="357">
        <v>34.65</v>
      </c>
      <c r="K48" s="357">
        <v>86.63</v>
      </c>
    </row>
    <row r="49" spans="1:11" ht="12.75" customHeight="1" x14ac:dyDescent="0.2">
      <c r="A49" s="6226"/>
      <c r="B49" s="6227"/>
      <c r="C49" s="355" t="s">
        <v>496</v>
      </c>
      <c r="D49" s="357" t="s">
        <v>492</v>
      </c>
      <c r="E49" s="357">
        <v>7371.52</v>
      </c>
      <c r="F49" s="357">
        <v>0</v>
      </c>
      <c r="G49" s="6226"/>
      <c r="H49" s="6226"/>
      <c r="I49" s="357">
        <v>0</v>
      </c>
      <c r="J49" s="357">
        <v>0.06</v>
      </c>
      <c r="K49" s="357">
        <v>0.15</v>
      </c>
    </row>
    <row r="50" spans="1:11" ht="33.75" customHeight="1" thickBot="1" x14ac:dyDescent="0.25">
      <c r="A50" s="6223"/>
      <c r="B50" s="6225"/>
      <c r="C50" s="353" t="s">
        <v>796</v>
      </c>
      <c r="D50" s="358"/>
      <c r="E50" s="358"/>
      <c r="F50" s="358"/>
      <c r="G50" s="6223"/>
      <c r="H50" s="6223"/>
      <c r="I50" s="358"/>
      <c r="J50" s="358"/>
      <c r="K50" s="358"/>
    </row>
    <row r="51" spans="1:11" ht="24.75" customHeight="1" x14ac:dyDescent="0.2">
      <c r="A51" s="6222">
        <v>10</v>
      </c>
      <c r="B51" s="6224" t="s">
        <v>500</v>
      </c>
      <c r="C51" s="355" t="s">
        <v>501</v>
      </c>
      <c r="D51" s="356">
        <v>2.2000000000000002</v>
      </c>
      <c r="E51" s="357">
        <v>182869.16</v>
      </c>
      <c r="F51" s="357">
        <v>149723.85</v>
      </c>
      <c r="G51" s="6222">
        <v>402312</v>
      </c>
      <c r="H51" s="6222">
        <v>69900</v>
      </c>
      <c r="I51" s="357">
        <v>329392</v>
      </c>
      <c r="J51" s="357">
        <v>130.53</v>
      </c>
      <c r="K51" s="357">
        <v>287.17</v>
      </c>
    </row>
    <row r="52" spans="1:11" ht="33.75" customHeight="1" thickBot="1" x14ac:dyDescent="0.25">
      <c r="A52" s="6223"/>
      <c r="B52" s="6225"/>
      <c r="C52" s="353" t="s">
        <v>795</v>
      </c>
      <c r="D52" s="354" t="s">
        <v>502</v>
      </c>
      <c r="E52" s="354">
        <v>31772.81</v>
      </c>
      <c r="F52" s="354">
        <v>10028.870000000001</v>
      </c>
      <c r="G52" s="6223"/>
      <c r="H52" s="6223"/>
      <c r="I52" s="354">
        <v>22064</v>
      </c>
      <c r="J52" s="354">
        <v>47.81</v>
      </c>
      <c r="K52" s="354">
        <v>105.18</v>
      </c>
    </row>
    <row r="53" spans="1:11" ht="13.5" thickBot="1" x14ac:dyDescent="0.25">
      <c r="A53" s="6212"/>
      <c r="B53" s="6213"/>
      <c r="C53" s="6213"/>
      <c r="D53" s="6213"/>
      <c r="E53" s="6213"/>
      <c r="F53" s="6213"/>
      <c r="G53" s="6213"/>
      <c r="H53" s="6213"/>
      <c r="I53" s="6213"/>
      <c r="J53" s="6213"/>
      <c r="K53" s="6214"/>
    </row>
    <row r="54" spans="1:11" x14ac:dyDescent="0.2">
      <c r="A54" s="6215" t="s">
        <v>691</v>
      </c>
      <c r="B54" s="6216"/>
      <c r="C54" s="6216"/>
      <c r="D54" s="6216"/>
      <c r="E54" s="6216"/>
      <c r="F54" s="6218"/>
      <c r="G54" s="6218">
        <v>679239</v>
      </c>
      <c r="H54" s="6218">
        <v>184813</v>
      </c>
      <c r="I54" s="624">
        <v>365882</v>
      </c>
      <c r="J54" s="6218"/>
      <c r="K54" s="357">
        <v>854.43</v>
      </c>
    </row>
    <row r="55" spans="1:11" ht="13.5" thickBot="1" x14ac:dyDescent="0.25">
      <c r="A55" s="6217"/>
      <c r="B55" s="6210"/>
      <c r="C55" s="6210"/>
      <c r="D55" s="6210"/>
      <c r="E55" s="6210"/>
      <c r="F55" s="6219"/>
      <c r="G55" s="6219"/>
      <c r="H55" s="6219"/>
      <c r="I55" s="614">
        <v>45793</v>
      </c>
      <c r="J55" s="6219"/>
      <c r="K55" s="354">
        <v>200.08</v>
      </c>
    </row>
    <row r="56" spans="1:11" ht="13.5" thickBot="1" x14ac:dyDescent="0.25">
      <c r="A56" s="6212"/>
      <c r="B56" s="6213"/>
      <c r="C56" s="6213"/>
      <c r="D56" s="6213"/>
      <c r="E56" s="6213"/>
      <c r="F56" s="6213"/>
      <c r="G56" s="6213"/>
      <c r="H56" s="6213"/>
      <c r="I56" s="6213"/>
      <c r="J56" s="6213"/>
      <c r="K56" s="6214"/>
    </row>
    <row r="57" spans="1:11" x14ac:dyDescent="0.2">
      <c r="A57" s="6215" t="s">
        <v>692</v>
      </c>
      <c r="B57" s="6216"/>
      <c r="C57" s="6216"/>
      <c r="D57" s="6216"/>
      <c r="E57" s="6216"/>
      <c r="F57" s="6218"/>
      <c r="G57" s="6218">
        <v>679239</v>
      </c>
      <c r="H57" s="6218">
        <v>184813</v>
      </c>
      <c r="I57" s="624">
        <v>365882</v>
      </c>
      <c r="J57" s="6218"/>
      <c r="K57" s="357">
        <v>854.43</v>
      </c>
    </row>
    <row r="58" spans="1:11" ht="13.5" thickBot="1" x14ac:dyDescent="0.25">
      <c r="A58" s="6217"/>
      <c r="B58" s="6210"/>
      <c r="C58" s="6210"/>
      <c r="D58" s="6210"/>
      <c r="E58" s="6210"/>
      <c r="F58" s="6219"/>
      <c r="G58" s="6219"/>
      <c r="H58" s="6219"/>
      <c r="I58" s="614">
        <v>45793</v>
      </c>
      <c r="J58" s="6219"/>
      <c r="K58" s="354">
        <v>200.08</v>
      </c>
    </row>
    <row r="59" spans="1:11" ht="13.5" thickBot="1" x14ac:dyDescent="0.25">
      <c r="A59" s="609"/>
      <c r="B59" s="610"/>
      <c r="C59" s="610"/>
      <c r="D59" s="610"/>
      <c r="E59" s="610"/>
      <c r="F59" s="610"/>
      <c r="G59" s="610"/>
      <c r="H59" s="610"/>
      <c r="I59" s="610"/>
      <c r="J59" s="610"/>
      <c r="K59" s="610"/>
    </row>
    <row r="60" spans="1:11" x14ac:dyDescent="0.2">
      <c r="A60" s="640"/>
      <c r="B60" s="279"/>
      <c r="C60" s="279"/>
      <c r="D60" s="279"/>
      <c r="E60" s="279"/>
      <c r="F60" s="279"/>
      <c r="G60" s="279"/>
      <c r="H60" s="279"/>
      <c r="I60" s="279"/>
      <c r="J60" s="279"/>
      <c r="K60" s="617"/>
    </row>
    <row r="61" spans="1:11" x14ac:dyDescent="0.2">
      <c r="A61" s="626"/>
      <c r="B61" s="279"/>
      <c r="C61" s="279"/>
      <c r="D61" s="279"/>
      <c r="E61" s="279"/>
      <c r="F61" s="279"/>
      <c r="G61" s="279"/>
      <c r="H61" s="279"/>
      <c r="I61" s="279"/>
      <c r="J61" s="279"/>
      <c r="K61" s="617"/>
    </row>
    <row r="62" spans="1:11" x14ac:dyDescent="0.2">
      <c r="A62" s="626"/>
      <c r="B62" s="279"/>
      <c r="C62" s="6207" t="s">
        <v>693</v>
      </c>
      <c r="D62" s="6124"/>
      <c r="E62" s="6124"/>
      <c r="F62" s="6124"/>
      <c r="G62" s="6124"/>
      <c r="H62" s="6124"/>
      <c r="I62" s="6207" t="s">
        <v>694</v>
      </c>
      <c r="J62" s="6207" t="s">
        <v>695</v>
      </c>
      <c r="K62" s="355" t="s">
        <v>559</v>
      </c>
    </row>
    <row r="63" spans="1:11" x14ac:dyDescent="0.2">
      <c r="A63" s="626"/>
      <c r="B63" s="279"/>
      <c r="C63" s="6207"/>
      <c r="D63" s="6124"/>
      <c r="E63" s="6124"/>
      <c r="F63" s="6124"/>
      <c r="G63" s="6124"/>
      <c r="H63" s="6124"/>
      <c r="I63" s="6207"/>
      <c r="J63" s="6207"/>
      <c r="K63" s="355" t="s">
        <v>696</v>
      </c>
    </row>
    <row r="64" spans="1:11" ht="13.5" thickBot="1" x14ac:dyDescent="0.25">
      <c r="A64" s="626"/>
      <c r="B64" s="279"/>
      <c r="C64" s="615"/>
      <c r="D64" s="615"/>
      <c r="E64" s="615"/>
      <c r="F64" s="615"/>
      <c r="G64" s="279"/>
      <c r="H64" s="279"/>
      <c r="I64" s="615"/>
      <c r="J64" s="615"/>
      <c r="K64" s="353"/>
    </row>
    <row r="65" spans="1:11" ht="13.5" thickBot="1" x14ac:dyDescent="0.25">
      <c r="A65" s="626"/>
      <c r="B65" s="279"/>
      <c r="C65" s="6207" t="s">
        <v>54</v>
      </c>
      <c r="D65" s="6124"/>
      <c r="E65" s="6124"/>
      <c r="F65" s="6124"/>
      <c r="G65" s="6124"/>
      <c r="H65" s="6124"/>
      <c r="I65" s="614"/>
      <c r="J65" s="614"/>
      <c r="K65" s="354" t="s">
        <v>797</v>
      </c>
    </row>
    <row r="66" spans="1:11" ht="13.5" thickBot="1" x14ac:dyDescent="0.25">
      <c r="A66" s="626"/>
      <c r="B66" s="279"/>
      <c r="C66" s="6207" t="s">
        <v>702</v>
      </c>
      <c r="D66" s="6124"/>
      <c r="E66" s="6124"/>
      <c r="F66" s="6124"/>
      <c r="G66" s="6124"/>
      <c r="H66" s="6124"/>
      <c r="I66" s="614">
        <v>0.6</v>
      </c>
      <c r="J66" s="614">
        <v>71</v>
      </c>
      <c r="K66" s="354" t="s">
        <v>756</v>
      </c>
    </row>
    <row r="67" spans="1:11" ht="13.5" thickBot="1" x14ac:dyDescent="0.25">
      <c r="A67" s="626"/>
      <c r="B67" s="279"/>
      <c r="C67" s="6207" t="s">
        <v>765</v>
      </c>
      <c r="D67" s="6124"/>
      <c r="E67" s="6124"/>
      <c r="F67" s="6124"/>
      <c r="G67" s="6124"/>
      <c r="H67" s="6124"/>
      <c r="I67" s="614">
        <v>0.7</v>
      </c>
      <c r="J67" s="614">
        <v>66</v>
      </c>
      <c r="K67" s="354" t="s">
        <v>766</v>
      </c>
    </row>
    <row r="68" spans="1:11" ht="13.5" thickBot="1" x14ac:dyDescent="0.25">
      <c r="A68" s="626"/>
      <c r="B68" s="279"/>
      <c r="C68" s="6207" t="s">
        <v>757</v>
      </c>
      <c r="D68" s="6124"/>
      <c r="E68" s="6124"/>
      <c r="F68" s="6124"/>
      <c r="G68" s="6124"/>
      <c r="H68" s="6124"/>
      <c r="I68" s="614">
        <v>0.6</v>
      </c>
      <c r="J68" s="614">
        <v>93</v>
      </c>
      <c r="K68" s="354" t="s">
        <v>798</v>
      </c>
    </row>
    <row r="69" spans="1:11" ht="13.5" thickBot="1" x14ac:dyDescent="0.25">
      <c r="A69" s="626"/>
      <c r="B69" s="279"/>
      <c r="C69" s="6207" t="s">
        <v>706</v>
      </c>
      <c r="D69" s="6124"/>
      <c r="E69" s="6124"/>
      <c r="F69" s="6124"/>
      <c r="G69" s="6124"/>
      <c r="H69" s="6124"/>
      <c r="I69" s="614">
        <v>0.6</v>
      </c>
      <c r="J69" s="614">
        <v>92</v>
      </c>
      <c r="K69" s="354" t="s">
        <v>799</v>
      </c>
    </row>
    <row r="70" spans="1:11" ht="13.5" thickBot="1" x14ac:dyDescent="0.25">
      <c r="A70" s="626"/>
      <c r="B70" s="279"/>
      <c r="C70" s="6207" t="s">
        <v>704</v>
      </c>
      <c r="D70" s="6124"/>
      <c r="E70" s="6124"/>
      <c r="F70" s="6124"/>
      <c r="G70" s="6124"/>
      <c r="H70" s="6124"/>
      <c r="I70" s="614">
        <v>0.6</v>
      </c>
      <c r="J70" s="614">
        <v>116</v>
      </c>
      <c r="K70" s="354" t="s">
        <v>800</v>
      </c>
    </row>
    <row r="71" spans="1:11" ht="13.5" thickBot="1" x14ac:dyDescent="0.25">
      <c r="A71" s="626"/>
      <c r="B71" s="279"/>
      <c r="C71" s="6207" t="s">
        <v>761</v>
      </c>
      <c r="D71" s="6124"/>
      <c r="E71" s="6124"/>
      <c r="F71" s="6124"/>
      <c r="G71" s="6124"/>
      <c r="H71" s="6124"/>
      <c r="I71" s="614">
        <v>0.6</v>
      </c>
      <c r="J71" s="614">
        <v>77</v>
      </c>
      <c r="K71" s="354" t="s">
        <v>801</v>
      </c>
    </row>
    <row r="72" spans="1:11" ht="13.5" thickBot="1" x14ac:dyDescent="0.25">
      <c r="A72" s="626"/>
      <c r="B72" s="279"/>
      <c r="C72" s="6207" t="s">
        <v>763</v>
      </c>
      <c r="D72" s="6124"/>
      <c r="E72" s="6124"/>
      <c r="F72" s="6124"/>
      <c r="G72" s="6124"/>
      <c r="H72" s="6124"/>
      <c r="I72" s="614">
        <v>0.6</v>
      </c>
      <c r="J72" s="614">
        <v>83</v>
      </c>
      <c r="K72" s="354" t="s">
        <v>802</v>
      </c>
    </row>
    <row r="73" spans="1:11" ht="13.5" thickBot="1" x14ac:dyDescent="0.25">
      <c r="A73" s="626"/>
      <c r="B73" s="279"/>
      <c r="C73" s="6207" t="s">
        <v>708</v>
      </c>
      <c r="D73" s="6124"/>
      <c r="E73" s="6124"/>
      <c r="F73" s="6124"/>
      <c r="G73" s="6124"/>
      <c r="H73" s="6124"/>
      <c r="I73" s="614"/>
      <c r="J73" s="614"/>
      <c r="K73" s="354" t="s">
        <v>803</v>
      </c>
    </row>
    <row r="74" spans="1:11" ht="13.5" thickBot="1" x14ac:dyDescent="0.25">
      <c r="A74" s="626"/>
      <c r="B74" s="279"/>
      <c r="C74" s="6207" t="s">
        <v>54</v>
      </c>
      <c r="D74" s="6124"/>
      <c r="E74" s="6124"/>
      <c r="F74" s="6124"/>
      <c r="G74" s="6124"/>
      <c r="H74" s="6124"/>
      <c r="I74" s="614"/>
      <c r="J74" s="614"/>
      <c r="K74" s="354" t="s">
        <v>804</v>
      </c>
    </row>
    <row r="75" spans="1:11" ht="13.5" thickBot="1" x14ac:dyDescent="0.25">
      <c r="A75" s="626"/>
      <c r="B75" s="279"/>
      <c r="C75" s="6207" t="s">
        <v>715</v>
      </c>
      <c r="D75" s="6124"/>
      <c r="E75" s="6124"/>
      <c r="F75" s="6124"/>
      <c r="G75" s="6124"/>
      <c r="H75" s="6124"/>
      <c r="I75" s="614"/>
      <c r="J75" s="614">
        <v>36</v>
      </c>
      <c r="K75" s="354" t="s">
        <v>771</v>
      </c>
    </row>
    <row r="76" spans="1:11" ht="13.5" thickBot="1" x14ac:dyDescent="0.25">
      <c r="A76" s="626"/>
      <c r="B76" s="279"/>
      <c r="C76" s="6207" t="s">
        <v>780</v>
      </c>
      <c r="D76" s="6124"/>
      <c r="E76" s="6124"/>
      <c r="F76" s="6124"/>
      <c r="G76" s="6124"/>
      <c r="H76" s="6124"/>
      <c r="I76" s="614"/>
      <c r="J76" s="614">
        <v>40</v>
      </c>
      <c r="K76" s="354" t="s">
        <v>781</v>
      </c>
    </row>
    <row r="77" spans="1:11" ht="13.5" thickBot="1" x14ac:dyDescent="0.25">
      <c r="A77" s="626"/>
      <c r="B77" s="279"/>
      <c r="C77" s="6207" t="s">
        <v>772</v>
      </c>
      <c r="D77" s="6124"/>
      <c r="E77" s="6124"/>
      <c r="F77" s="6124"/>
      <c r="G77" s="6124"/>
      <c r="H77" s="6124"/>
      <c r="I77" s="614"/>
      <c r="J77" s="614">
        <v>48</v>
      </c>
      <c r="K77" s="354" t="s">
        <v>805</v>
      </c>
    </row>
    <row r="78" spans="1:11" ht="13.5" thickBot="1" x14ac:dyDescent="0.25">
      <c r="A78" s="626"/>
      <c r="B78" s="279"/>
      <c r="C78" s="6207" t="s">
        <v>719</v>
      </c>
      <c r="D78" s="6124"/>
      <c r="E78" s="6124"/>
      <c r="F78" s="6124"/>
      <c r="G78" s="6124"/>
      <c r="H78" s="6124"/>
      <c r="I78" s="614"/>
      <c r="J78" s="614">
        <v>54</v>
      </c>
      <c r="K78" s="354" t="s">
        <v>806</v>
      </c>
    </row>
    <row r="79" spans="1:11" ht="13.5" thickBot="1" x14ac:dyDescent="0.25">
      <c r="A79" s="626"/>
      <c r="B79" s="279"/>
      <c r="C79" s="6207" t="s">
        <v>717</v>
      </c>
      <c r="D79" s="6124"/>
      <c r="E79" s="6124"/>
      <c r="F79" s="6124"/>
      <c r="G79" s="6124"/>
      <c r="H79" s="6124"/>
      <c r="I79" s="614"/>
      <c r="J79" s="614">
        <v>61</v>
      </c>
      <c r="K79" s="354" t="s">
        <v>807</v>
      </c>
    </row>
    <row r="80" spans="1:11" ht="13.5" thickBot="1" x14ac:dyDescent="0.25">
      <c r="A80" s="626"/>
      <c r="B80" s="279"/>
      <c r="C80" s="6207" t="s">
        <v>776</v>
      </c>
      <c r="D80" s="6124"/>
      <c r="E80" s="6124"/>
      <c r="F80" s="6124"/>
      <c r="G80" s="6124"/>
      <c r="H80" s="6124"/>
      <c r="I80" s="614"/>
      <c r="J80" s="614">
        <v>56</v>
      </c>
      <c r="K80" s="354" t="s">
        <v>808</v>
      </c>
    </row>
    <row r="81" spans="1:11" ht="13.5" thickBot="1" x14ac:dyDescent="0.25">
      <c r="A81" s="626"/>
      <c r="B81" s="279"/>
      <c r="C81" s="6207" t="s">
        <v>778</v>
      </c>
      <c r="D81" s="6124"/>
      <c r="E81" s="6124"/>
      <c r="F81" s="6124"/>
      <c r="G81" s="6124"/>
      <c r="H81" s="6124"/>
      <c r="I81" s="614"/>
      <c r="J81" s="614">
        <v>60</v>
      </c>
      <c r="K81" s="354" t="s">
        <v>809</v>
      </c>
    </row>
    <row r="82" spans="1:11" ht="13.5" thickBot="1" x14ac:dyDescent="0.25">
      <c r="A82" s="626"/>
      <c r="B82" s="279"/>
      <c r="C82" s="6207" t="s">
        <v>721</v>
      </c>
      <c r="D82" s="6124"/>
      <c r="E82" s="6124"/>
      <c r="F82" s="6124"/>
      <c r="G82" s="6124"/>
      <c r="H82" s="6124"/>
      <c r="I82" s="614"/>
      <c r="J82" s="614"/>
      <c r="K82" s="354" t="s">
        <v>810</v>
      </c>
    </row>
    <row r="83" spans="1:11" ht="13.5" thickBot="1" x14ac:dyDescent="0.25">
      <c r="A83" s="626"/>
      <c r="B83" s="279"/>
      <c r="C83" s="6207" t="s">
        <v>54</v>
      </c>
      <c r="D83" s="6124"/>
      <c r="E83" s="6124"/>
      <c r="F83" s="6124"/>
      <c r="G83" s="6124"/>
      <c r="H83" s="6124"/>
      <c r="I83" s="614"/>
      <c r="J83" s="614"/>
      <c r="K83" s="354" t="s">
        <v>811</v>
      </c>
    </row>
    <row r="84" spans="1:11" ht="13.5" thickBot="1" x14ac:dyDescent="0.25">
      <c r="A84" s="626"/>
      <c r="B84" s="279"/>
      <c r="C84" s="6207" t="s">
        <v>280</v>
      </c>
      <c r="D84" s="6124"/>
      <c r="E84" s="6124"/>
      <c r="F84" s="6124"/>
      <c r="G84" s="6124"/>
      <c r="H84" s="6124"/>
      <c r="I84" s="614"/>
      <c r="J84" s="614"/>
      <c r="K84" s="354" t="s">
        <v>811</v>
      </c>
    </row>
    <row r="85" spans="1:11" ht="13.5" thickBot="1" x14ac:dyDescent="0.25">
      <c r="A85" s="626"/>
      <c r="B85" s="279"/>
      <c r="C85" s="6207" t="s">
        <v>724</v>
      </c>
      <c r="D85" s="6124"/>
      <c r="E85" s="6124"/>
      <c r="F85" s="6124"/>
      <c r="G85" s="6124"/>
      <c r="H85" s="6124"/>
      <c r="I85" s="614"/>
      <c r="J85" s="614">
        <v>18</v>
      </c>
      <c r="K85" s="354" t="s">
        <v>812</v>
      </c>
    </row>
    <row r="86" spans="1:11" ht="13.5" thickBot="1" x14ac:dyDescent="0.25">
      <c r="A86" s="626"/>
      <c r="B86" s="279"/>
      <c r="C86" s="6207" t="s">
        <v>280</v>
      </c>
      <c r="D86" s="6124"/>
      <c r="E86" s="6124"/>
      <c r="F86" s="6124"/>
      <c r="G86" s="6124"/>
      <c r="H86" s="6124"/>
      <c r="I86" s="614"/>
      <c r="J86" s="614"/>
      <c r="K86" s="354" t="s">
        <v>792</v>
      </c>
    </row>
    <row r="87" spans="1:11" ht="13.5" thickBot="1" x14ac:dyDescent="0.25">
      <c r="A87" s="613"/>
      <c r="B87" s="612"/>
      <c r="C87" s="6210" t="s">
        <v>726</v>
      </c>
      <c r="D87" s="4911"/>
      <c r="E87" s="4911"/>
      <c r="F87" s="4911"/>
      <c r="G87" s="4911"/>
      <c r="H87" s="4911"/>
      <c r="I87" s="614"/>
      <c r="J87" s="614"/>
      <c r="K87" s="354" t="s">
        <v>792</v>
      </c>
    </row>
    <row r="88" spans="1:11" ht="15.75" x14ac:dyDescent="0.25">
      <c r="A88" s="641" t="s">
        <v>813</v>
      </c>
      <c r="B88" s="385"/>
      <c r="C88" s="385"/>
      <c r="D88" s="385"/>
      <c r="E88" s="385"/>
      <c r="F88" s="385"/>
      <c r="G88" s="385"/>
      <c r="H88" s="385"/>
      <c r="I88" s="385"/>
      <c r="J88" s="385"/>
      <c r="K88" s="637">
        <v>1081767</v>
      </c>
    </row>
  </sheetData>
  <mergeCells count="101"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6251" t="s">
        <v>649</v>
      </c>
      <c r="B1" s="6252"/>
      <c r="C1" s="6252"/>
      <c r="D1" s="6252"/>
      <c r="E1" s="6252"/>
      <c r="F1" s="6252"/>
      <c r="G1" s="6252"/>
      <c r="H1" s="6252"/>
      <c r="I1" s="6252"/>
      <c r="J1" s="6252"/>
      <c r="K1" s="6257"/>
    </row>
    <row r="2" spans="1:11" ht="13.5" x14ac:dyDescent="0.25">
      <c r="A2" s="6253" t="s">
        <v>650</v>
      </c>
      <c r="B2" s="6124"/>
      <c r="C2" s="6124"/>
      <c r="D2" s="6124"/>
      <c r="E2" s="6124"/>
      <c r="F2" s="6124"/>
      <c r="G2" s="6124"/>
      <c r="H2" s="6124"/>
      <c r="I2" s="6124"/>
      <c r="J2" s="6124"/>
      <c r="K2" s="6125"/>
    </row>
    <row r="3" spans="1:11" ht="18.75" x14ac:dyDescent="0.3">
      <c r="A3" s="616"/>
      <c r="B3" s="279"/>
      <c r="C3" s="279"/>
      <c r="D3" s="279"/>
      <c r="E3" s="279"/>
      <c r="F3" s="279"/>
      <c r="G3" s="279"/>
      <c r="H3" s="279"/>
      <c r="I3" s="279"/>
      <c r="J3" s="279"/>
      <c r="K3" s="617"/>
    </row>
    <row r="4" spans="1:11" ht="18.75" x14ac:dyDescent="0.3">
      <c r="A4" s="6254" t="s">
        <v>651</v>
      </c>
      <c r="B4" s="6124"/>
      <c r="C4" s="6124"/>
      <c r="D4" s="6124"/>
      <c r="E4" s="6124"/>
      <c r="F4" s="6124"/>
      <c r="G4" s="6124"/>
      <c r="H4" s="6124"/>
      <c r="I4" s="6124"/>
      <c r="J4" s="6124"/>
      <c r="K4" s="6125"/>
    </row>
    <row r="5" spans="1:11" ht="18" x14ac:dyDescent="0.25">
      <c r="A5" s="618" t="s">
        <v>652</v>
      </c>
      <c r="B5" s="279"/>
      <c r="C5" s="279"/>
      <c r="D5" s="279"/>
      <c r="E5" s="279"/>
      <c r="F5" s="279"/>
      <c r="G5" s="279"/>
      <c r="H5" s="279"/>
      <c r="I5" s="279"/>
      <c r="J5" s="279"/>
      <c r="K5" s="617"/>
    </row>
    <row r="6" spans="1:11" ht="15" x14ac:dyDescent="0.2">
      <c r="A6" s="6242" t="s">
        <v>475</v>
      </c>
      <c r="B6" s="6124"/>
      <c r="C6" s="6124"/>
      <c r="D6" s="6124"/>
      <c r="E6" s="6124"/>
      <c r="F6" s="6124"/>
      <c r="G6" s="6124"/>
      <c r="H6" s="6124"/>
      <c r="I6" s="6124"/>
      <c r="J6" s="6124"/>
      <c r="K6" s="6125"/>
    </row>
    <row r="7" spans="1:11" ht="18.75" x14ac:dyDescent="0.3">
      <c r="A7" s="619"/>
      <c r="B7" s="279"/>
      <c r="C7" s="279"/>
      <c r="D7" s="279"/>
      <c r="E7" s="279"/>
      <c r="F7" s="279"/>
      <c r="G7" s="279"/>
      <c r="H7" s="279"/>
      <c r="I7" s="279"/>
      <c r="J7" s="279"/>
      <c r="K7" s="617"/>
    </row>
    <row r="8" spans="1:11" x14ac:dyDescent="0.2">
      <c r="A8" s="6258" t="s">
        <v>653</v>
      </c>
      <c r="B8" s="6124"/>
      <c r="C8" s="6124"/>
      <c r="D8" s="6124"/>
      <c r="E8" s="6124"/>
      <c r="F8" s="6124"/>
      <c r="G8" s="6124"/>
      <c r="H8" s="6124"/>
      <c r="I8" s="6124"/>
      <c r="J8" s="6124"/>
      <c r="K8" s="6125"/>
    </row>
    <row r="9" spans="1:11" ht="15" customHeight="1" x14ac:dyDescent="0.2">
      <c r="A9" s="6239" t="s">
        <v>654</v>
      </c>
      <c r="B9" s="6124"/>
      <c r="C9" s="6124"/>
      <c r="D9" s="620" t="s">
        <v>655</v>
      </c>
      <c r="E9" s="621"/>
      <c r="F9" s="621"/>
      <c r="G9" s="621"/>
      <c r="H9" s="621"/>
      <c r="I9" s="621"/>
      <c r="J9" s="621"/>
      <c r="K9" s="622"/>
    </row>
    <row r="10" spans="1:11" ht="15" customHeight="1" x14ac:dyDescent="0.2">
      <c r="A10" s="6248" t="s">
        <v>656</v>
      </c>
      <c r="B10" s="6124"/>
      <c r="C10" s="6124"/>
      <c r="D10" s="6124"/>
      <c r="E10" s="6124"/>
      <c r="F10" s="6124"/>
      <c r="G10" s="6249" t="s">
        <v>657</v>
      </c>
      <c r="H10" s="6250" t="s">
        <v>658</v>
      </c>
      <c r="I10" s="279"/>
      <c r="J10" s="279"/>
      <c r="K10" s="617"/>
    </row>
    <row r="11" spans="1:11" ht="5.25" customHeight="1" x14ac:dyDescent="0.2">
      <c r="A11" s="6248"/>
      <c r="B11" s="6124"/>
      <c r="C11" s="6124"/>
      <c r="D11" s="6124"/>
      <c r="E11" s="6124"/>
      <c r="F11" s="6124"/>
      <c r="G11" s="6249"/>
      <c r="H11" s="6250"/>
      <c r="I11" s="279"/>
      <c r="J11" s="279"/>
      <c r="K11" s="617"/>
    </row>
    <row r="12" spans="1:11" ht="11.25" customHeight="1" x14ac:dyDescent="0.2">
      <c r="A12" s="6239" t="s">
        <v>659</v>
      </c>
      <c r="B12" s="6124"/>
      <c r="C12" s="6124"/>
      <c r="D12" s="6124"/>
      <c r="E12" s="6124"/>
      <c r="F12" s="6124"/>
      <c r="G12" s="6240">
        <v>584</v>
      </c>
      <c r="H12" s="6241" t="s">
        <v>660</v>
      </c>
      <c r="I12" s="279"/>
      <c r="J12" s="279"/>
      <c r="K12" s="617"/>
    </row>
    <row r="13" spans="1:11" ht="6.75" customHeight="1" x14ac:dyDescent="0.2">
      <c r="A13" s="6239"/>
      <c r="B13" s="6124"/>
      <c r="C13" s="6124"/>
      <c r="D13" s="6124"/>
      <c r="E13" s="6124"/>
      <c r="F13" s="6124"/>
      <c r="G13" s="6240"/>
      <c r="H13" s="6241"/>
      <c r="I13" s="279"/>
      <c r="J13" s="279"/>
      <c r="K13" s="617"/>
    </row>
    <row r="14" spans="1:11" ht="15.75" customHeight="1" x14ac:dyDescent="0.2">
      <c r="A14" s="6239" t="s">
        <v>661</v>
      </c>
      <c r="B14" s="6124"/>
      <c r="C14" s="6124"/>
      <c r="D14" s="6124"/>
      <c r="E14" s="6124"/>
      <c r="F14" s="6124"/>
      <c r="G14" s="6240" t="s">
        <v>662</v>
      </c>
      <c r="H14" s="6241" t="s">
        <v>658</v>
      </c>
      <c r="I14" s="279"/>
      <c r="J14" s="279"/>
      <c r="K14" s="617"/>
    </row>
    <row r="15" spans="1:11" ht="13.5" thickBot="1" x14ac:dyDescent="0.25">
      <c r="A15" s="6239"/>
      <c r="B15" s="6124"/>
      <c r="C15" s="6124"/>
      <c r="D15" s="6124"/>
      <c r="E15" s="6124"/>
      <c r="F15" s="6124"/>
      <c r="G15" s="6240"/>
      <c r="H15" s="6241"/>
      <c r="I15" s="279"/>
      <c r="J15" s="279"/>
      <c r="K15" s="617"/>
    </row>
    <row r="16" spans="1:11" ht="23.25" customHeight="1" thickBot="1" x14ac:dyDescent="0.25">
      <c r="A16" s="587" t="s">
        <v>165</v>
      </c>
      <c r="B16" s="587" t="s">
        <v>437</v>
      </c>
      <c r="C16" s="587" t="s">
        <v>356</v>
      </c>
      <c r="D16" s="337"/>
      <c r="E16" s="6229" t="s">
        <v>438</v>
      </c>
      <c r="F16" s="6230"/>
      <c r="G16" s="6229" t="s">
        <v>439</v>
      </c>
      <c r="H16" s="6231"/>
      <c r="I16" s="6230"/>
      <c r="J16" s="6232" t="s">
        <v>440</v>
      </c>
      <c r="K16" s="6233"/>
    </row>
    <row r="17" spans="1:11" ht="23.25" customHeight="1" thickBot="1" x14ac:dyDescent="0.25">
      <c r="A17" s="340" t="s">
        <v>441</v>
      </c>
      <c r="B17" s="340" t="s">
        <v>442</v>
      </c>
      <c r="C17" s="340" t="s">
        <v>443</v>
      </c>
      <c r="D17" s="341" t="s">
        <v>444</v>
      </c>
      <c r="E17" s="589" t="s">
        <v>445</v>
      </c>
      <c r="F17" s="586" t="s">
        <v>446</v>
      </c>
      <c r="G17" s="340" t="s">
        <v>445</v>
      </c>
      <c r="H17" s="341" t="s">
        <v>447</v>
      </c>
      <c r="I17" s="343" t="s">
        <v>446</v>
      </c>
      <c r="J17" s="6234" t="s">
        <v>448</v>
      </c>
      <c r="K17" s="6235"/>
    </row>
    <row r="18" spans="1:11" ht="13.5" thickBot="1" x14ac:dyDescent="0.25">
      <c r="A18" s="588"/>
      <c r="B18" s="588" t="s">
        <v>449</v>
      </c>
      <c r="C18" s="588"/>
      <c r="D18" s="345"/>
      <c r="E18" s="589" t="s">
        <v>447</v>
      </c>
      <c r="F18" s="343" t="s">
        <v>450</v>
      </c>
      <c r="G18" s="585"/>
      <c r="H18" s="346"/>
      <c r="I18" s="343" t="s">
        <v>450</v>
      </c>
      <c r="J18" s="588" t="s">
        <v>451</v>
      </c>
      <c r="K18" s="345" t="s">
        <v>445</v>
      </c>
    </row>
    <row r="19" spans="1:11" ht="13.5" thickBot="1" x14ac:dyDescent="0.25">
      <c r="A19" s="623"/>
      <c r="B19" s="279"/>
      <c r="C19" s="279"/>
      <c r="D19" s="279"/>
      <c r="E19" s="279"/>
      <c r="F19" s="279"/>
      <c r="G19" s="279"/>
      <c r="H19" s="279"/>
      <c r="I19" s="279"/>
      <c r="J19" s="279"/>
      <c r="K19" s="617"/>
    </row>
    <row r="20" spans="1:11" ht="13.5" thickBot="1" x14ac:dyDescent="0.25">
      <c r="A20" s="348">
        <v>1</v>
      </c>
      <c r="B20" s="349">
        <v>2</v>
      </c>
      <c r="C20" s="349">
        <v>3</v>
      </c>
      <c r="D20" s="349">
        <v>4</v>
      </c>
      <c r="E20" s="349">
        <v>5</v>
      </c>
      <c r="F20" s="349">
        <v>6</v>
      </c>
      <c r="G20" s="349">
        <v>7</v>
      </c>
      <c r="H20" s="349">
        <v>8</v>
      </c>
      <c r="I20" s="349">
        <v>9</v>
      </c>
      <c r="J20" s="349">
        <v>10</v>
      </c>
      <c r="K20" s="349">
        <v>11</v>
      </c>
    </row>
    <row r="21" spans="1:11" ht="13.5" thickBot="1" x14ac:dyDescent="0.25">
      <c r="A21" s="609"/>
      <c r="B21" s="610"/>
      <c r="C21" s="610"/>
      <c r="D21" s="610"/>
      <c r="E21" s="610"/>
      <c r="F21" s="610"/>
      <c r="G21" s="610"/>
      <c r="H21" s="610"/>
      <c r="I21" s="610"/>
      <c r="J21" s="610"/>
      <c r="K21" s="610"/>
    </row>
    <row r="22" spans="1:11" ht="13.5" thickBot="1" x14ac:dyDescent="0.25">
      <c r="A22" s="6212"/>
      <c r="B22" s="6213"/>
      <c r="C22" s="6213"/>
      <c r="D22" s="6213"/>
      <c r="E22" s="6213"/>
      <c r="F22" s="6213"/>
      <c r="G22" s="6213"/>
      <c r="H22" s="6213"/>
      <c r="I22" s="6213"/>
      <c r="J22" s="6213"/>
      <c r="K22" s="6214"/>
    </row>
    <row r="23" spans="1:11" ht="13.5" thickBot="1" x14ac:dyDescent="0.25">
      <c r="A23" s="6236" t="s">
        <v>663</v>
      </c>
      <c r="B23" s="6237"/>
      <c r="C23" s="6237"/>
      <c r="D23" s="6237"/>
      <c r="E23" s="6237"/>
      <c r="F23" s="6237"/>
      <c r="G23" s="6237"/>
      <c r="H23" s="6237"/>
      <c r="I23" s="6237"/>
      <c r="J23" s="6237"/>
      <c r="K23" s="6238"/>
    </row>
    <row r="24" spans="1:11" ht="13.5" thickBot="1" x14ac:dyDescent="0.25">
      <c r="A24" s="6212"/>
      <c r="B24" s="6213"/>
      <c r="C24" s="6213"/>
      <c r="D24" s="6213"/>
      <c r="E24" s="6213"/>
      <c r="F24" s="6213"/>
      <c r="G24" s="6213"/>
      <c r="H24" s="6213"/>
      <c r="I24" s="6213"/>
      <c r="J24" s="6213"/>
      <c r="K24" s="6214"/>
    </row>
    <row r="25" spans="1:11" ht="34.5" customHeight="1" x14ac:dyDescent="0.2">
      <c r="A25" s="6222">
        <v>1</v>
      </c>
      <c r="B25" s="6224" t="s">
        <v>664</v>
      </c>
      <c r="C25" s="355" t="s">
        <v>665</v>
      </c>
      <c r="D25" s="356">
        <v>0.26</v>
      </c>
      <c r="E25" s="357">
        <v>40328.97</v>
      </c>
      <c r="F25" s="357">
        <v>37757.160000000003</v>
      </c>
      <c r="G25" s="6222">
        <v>10486</v>
      </c>
      <c r="H25" s="6222">
        <v>669</v>
      </c>
      <c r="I25" s="357">
        <v>9817</v>
      </c>
      <c r="J25" s="357">
        <v>13.22</v>
      </c>
      <c r="K25" s="357">
        <v>3.44</v>
      </c>
    </row>
    <row r="26" spans="1:11" ht="35.25" customHeight="1" thickBot="1" x14ac:dyDescent="0.25">
      <c r="A26" s="6223"/>
      <c r="B26" s="6225"/>
      <c r="C26" s="353" t="s">
        <v>666</v>
      </c>
      <c r="D26" s="354" t="s">
        <v>667</v>
      </c>
      <c r="E26" s="354">
        <v>2571.81</v>
      </c>
      <c r="F26" s="354">
        <v>9733.83</v>
      </c>
      <c r="G26" s="6223"/>
      <c r="H26" s="6223"/>
      <c r="I26" s="354">
        <v>2531</v>
      </c>
      <c r="J26" s="354">
        <v>28.91</v>
      </c>
      <c r="K26" s="354">
        <v>7.52</v>
      </c>
    </row>
    <row r="27" spans="1:11" ht="24" customHeight="1" x14ac:dyDescent="0.2">
      <c r="A27" s="6222">
        <v>2</v>
      </c>
      <c r="B27" s="6224" t="s">
        <v>668</v>
      </c>
      <c r="C27" s="355" t="s">
        <v>669</v>
      </c>
      <c r="D27" s="356">
        <v>0.16</v>
      </c>
      <c r="E27" s="357">
        <v>79627.929999999993</v>
      </c>
      <c r="F27" s="357">
        <v>0</v>
      </c>
      <c r="G27" s="6222">
        <v>12740</v>
      </c>
      <c r="H27" s="6222">
        <v>12740</v>
      </c>
      <c r="I27" s="357">
        <v>0</v>
      </c>
      <c r="J27" s="357">
        <v>381</v>
      </c>
      <c r="K27" s="357">
        <v>60.96</v>
      </c>
    </row>
    <row r="28" spans="1:11" ht="34.5" customHeight="1" thickBot="1" x14ac:dyDescent="0.25">
      <c r="A28" s="6223"/>
      <c r="B28" s="6225"/>
      <c r="C28" s="353" t="s">
        <v>666</v>
      </c>
      <c r="D28" s="354" t="s">
        <v>670</v>
      </c>
      <c r="E28" s="354">
        <v>79627.929999999993</v>
      </c>
      <c r="F28" s="354">
        <v>0</v>
      </c>
      <c r="G28" s="6223"/>
      <c r="H28" s="6223"/>
      <c r="I28" s="354">
        <v>0</v>
      </c>
      <c r="J28" s="354">
        <v>0</v>
      </c>
      <c r="K28" s="354">
        <v>0</v>
      </c>
    </row>
    <row r="29" spans="1:11" ht="12" customHeight="1" x14ac:dyDescent="0.2">
      <c r="A29" s="6222">
        <v>3</v>
      </c>
      <c r="B29" s="6224" t="s">
        <v>671</v>
      </c>
      <c r="C29" s="355" t="s">
        <v>672</v>
      </c>
      <c r="D29" s="356">
        <v>0.5</v>
      </c>
      <c r="E29" s="357">
        <v>19221.080000000002</v>
      </c>
      <c r="F29" s="357">
        <v>19221.080000000002</v>
      </c>
      <c r="G29" s="6222">
        <v>9611</v>
      </c>
      <c r="H29" s="6222">
        <v>0</v>
      </c>
      <c r="I29" s="357">
        <v>9611</v>
      </c>
      <c r="J29" s="357">
        <v>0</v>
      </c>
      <c r="K29" s="357">
        <v>0</v>
      </c>
    </row>
    <row r="30" spans="1:11" ht="34.5" customHeight="1" thickBot="1" x14ac:dyDescent="0.25">
      <c r="A30" s="6223"/>
      <c r="B30" s="6225"/>
      <c r="C30" s="353" t="s">
        <v>666</v>
      </c>
      <c r="D30" s="354" t="s">
        <v>673</v>
      </c>
      <c r="E30" s="354">
        <v>0</v>
      </c>
      <c r="F30" s="354">
        <v>24389.57</v>
      </c>
      <c r="G30" s="6223"/>
      <c r="H30" s="6223"/>
      <c r="I30" s="354">
        <v>12195</v>
      </c>
      <c r="J30" s="354">
        <v>97.21</v>
      </c>
      <c r="K30" s="354">
        <v>48.61</v>
      </c>
    </row>
    <row r="31" spans="1:11" ht="21" customHeight="1" x14ac:dyDescent="0.2">
      <c r="A31" s="6222">
        <v>4</v>
      </c>
      <c r="B31" s="6224" t="s">
        <v>674</v>
      </c>
      <c r="C31" s="355" t="s">
        <v>675</v>
      </c>
      <c r="D31" s="356">
        <v>1</v>
      </c>
      <c r="E31" s="357">
        <v>12431.39</v>
      </c>
      <c r="F31" s="357">
        <v>726.88</v>
      </c>
      <c r="G31" s="6222">
        <v>12431</v>
      </c>
      <c r="H31" s="6222">
        <v>5531</v>
      </c>
      <c r="I31" s="357">
        <v>727</v>
      </c>
      <c r="J31" s="357">
        <v>26</v>
      </c>
      <c r="K31" s="357">
        <v>26</v>
      </c>
    </row>
    <row r="32" spans="1:11" ht="33" customHeight="1" thickBot="1" x14ac:dyDescent="0.25">
      <c r="A32" s="6223"/>
      <c r="B32" s="6225"/>
      <c r="C32" s="353" t="s">
        <v>666</v>
      </c>
      <c r="D32" s="354" t="s">
        <v>676</v>
      </c>
      <c r="E32" s="354">
        <v>5531.19</v>
      </c>
      <c r="F32" s="354">
        <v>97.76</v>
      </c>
      <c r="G32" s="6223"/>
      <c r="H32" s="6223"/>
      <c r="I32" s="354">
        <v>98</v>
      </c>
      <c r="J32" s="354">
        <v>0.72</v>
      </c>
      <c r="K32" s="354">
        <v>0.72</v>
      </c>
    </row>
    <row r="33" spans="1:11" ht="11.25" customHeight="1" x14ac:dyDescent="0.2">
      <c r="A33" s="6222">
        <v>5</v>
      </c>
      <c r="B33" s="6224" t="s">
        <v>677</v>
      </c>
      <c r="C33" s="355" t="s">
        <v>678</v>
      </c>
      <c r="D33" s="356">
        <v>2</v>
      </c>
      <c r="E33" s="357">
        <v>5195.62</v>
      </c>
      <c r="F33" s="357">
        <v>327.29000000000002</v>
      </c>
      <c r="G33" s="6222">
        <v>10391</v>
      </c>
      <c r="H33" s="6222">
        <v>4156</v>
      </c>
      <c r="I33" s="357">
        <v>655</v>
      </c>
      <c r="J33" s="357">
        <v>10.199999999999999</v>
      </c>
      <c r="K33" s="357">
        <v>20.399999999999999</v>
      </c>
    </row>
    <row r="34" spans="1:11" ht="32.25" customHeight="1" thickBot="1" x14ac:dyDescent="0.25">
      <c r="A34" s="6223"/>
      <c r="B34" s="6225"/>
      <c r="C34" s="353" t="s">
        <v>666</v>
      </c>
      <c r="D34" s="354" t="s">
        <v>679</v>
      </c>
      <c r="E34" s="354">
        <v>2078.25</v>
      </c>
      <c r="F34" s="354">
        <v>87.79</v>
      </c>
      <c r="G34" s="6223"/>
      <c r="H34" s="6223"/>
      <c r="I34" s="354">
        <v>176</v>
      </c>
      <c r="J34" s="354">
        <v>0.35</v>
      </c>
      <c r="K34" s="354">
        <v>0.7</v>
      </c>
    </row>
    <row r="35" spans="1:11" ht="32.25" customHeight="1" x14ac:dyDescent="0.2">
      <c r="A35" s="6222">
        <v>6</v>
      </c>
      <c r="B35" s="6224" t="s">
        <v>680</v>
      </c>
      <c r="C35" s="355" t="s">
        <v>681</v>
      </c>
      <c r="D35" s="356">
        <v>6</v>
      </c>
      <c r="E35" s="357">
        <v>904.33</v>
      </c>
      <c r="F35" s="357">
        <v>310.14</v>
      </c>
      <c r="G35" s="6222">
        <v>5426</v>
      </c>
      <c r="H35" s="6222">
        <v>1634</v>
      </c>
      <c r="I35" s="357">
        <v>1861</v>
      </c>
      <c r="J35" s="357">
        <v>1.28</v>
      </c>
      <c r="K35" s="357">
        <v>7.68</v>
      </c>
    </row>
    <row r="36" spans="1:11" ht="34.5" customHeight="1" thickBot="1" x14ac:dyDescent="0.25">
      <c r="A36" s="6223"/>
      <c r="B36" s="6225"/>
      <c r="C36" s="353" t="s">
        <v>666</v>
      </c>
      <c r="D36" s="354" t="s">
        <v>682</v>
      </c>
      <c r="E36" s="354">
        <v>272.33999999999997</v>
      </c>
      <c r="F36" s="354">
        <v>39.409999999999997</v>
      </c>
      <c r="G36" s="6223"/>
      <c r="H36" s="6223"/>
      <c r="I36" s="354">
        <v>236</v>
      </c>
      <c r="J36" s="354">
        <v>0.26</v>
      </c>
      <c r="K36" s="354">
        <v>1.56</v>
      </c>
    </row>
    <row r="37" spans="1:11" ht="33" customHeight="1" x14ac:dyDescent="0.2">
      <c r="A37" s="6222">
        <v>7</v>
      </c>
      <c r="B37" s="6224" t="s">
        <v>683</v>
      </c>
      <c r="C37" s="355" t="s">
        <v>684</v>
      </c>
      <c r="D37" s="356">
        <v>0.27</v>
      </c>
      <c r="E37" s="357">
        <v>7223.86</v>
      </c>
      <c r="F37" s="357">
        <v>7223.86</v>
      </c>
      <c r="G37" s="6222">
        <v>1950</v>
      </c>
      <c r="H37" s="6222">
        <v>0</v>
      </c>
      <c r="I37" s="357">
        <v>1950</v>
      </c>
      <c r="J37" s="357">
        <v>0</v>
      </c>
      <c r="K37" s="357">
        <v>0</v>
      </c>
    </row>
    <row r="38" spans="1:11" ht="33.75" customHeight="1" thickBot="1" x14ac:dyDescent="0.25">
      <c r="A38" s="6223"/>
      <c r="B38" s="6225"/>
      <c r="C38" s="353" t="s">
        <v>666</v>
      </c>
      <c r="D38" s="354" t="s">
        <v>667</v>
      </c>
      <c r="E38" s="354">
        <v>0</v>
      </c>
      <c r="F38" s="354">
        <v>2650.37</v>
      </c>
      <c r="G38" s="6223"/>
      <c r="H38" s="6223"/>
      <c r="I38" s="354">
        <v>716</v>
      </c>
      <c r="J38" s="354">
        <v>7.38</v>
      </c>
      <c r="K38" s="354">
        <v>1.99</v>
      </c>
    </row>
    <row r="39" spans="1:11" ht="24" customHeight="1" x14ac:dyDescent="0.2">
      <c r="A39" s="6222">
        <v>8</v>
      </c>
      <c r="B39" s="6224" t="s">
        <v>685</v>
      </c>
      <c r="C39" s="355" t="s">
        <v>686</v>
      </c>
      <c r="D39" s="356">
        <v>0.16500000000000001</v>
      </c>
      <c r="E39" s="357">
        <v>22633.05</v>
      </c>
      <c r="F39" s="357">
        <v>0</v>
      </c>
      <c r="G39" s="6222">
        <v>3734</v>
      </c>
      <c r="H39" s="6222">
        <v>3734</v>
      </c>
      <c r="I39" s="357">
        <v>0</v>
      </c>
      <c r="J39" s="357">
        <v>121</v>
      </c>
      <c r="K39" s="357">
        <v>19.97</v>
      </c>
    </row>
    <row r="40" spans="1:11" ht="34.5" customHeight="1" thickBot="1" x14ac:dyDescent="0.25">
      <c r="A40" s="6223"/>
      <c r="B40" s="6225"/>
      <c r="C40" s="353" t="s">
        <v>666</v>
      </c>
      <c r="D40" s="354" t="s">
        <v>670</v>
      </c>
      <c r="E40" s="354">
        <v>22633.05</v>
      </c>
      <c r="F40" s="354">
        <v>0</v>
      </c>
      <c r="G40" s="6223"/>
      <c r="H40" s="6223"/>
      <c r="I40" s="354">
        <v>0</v>
      </c>
      <c r="J40" s="354">
        <v>0</v>
      </c>
      <c r="K40" s="354">
        <v>0</v>
      </c>
    </row>
    <row r="41" spans="1:11" ht="12" customHeight="1" x14ac:dyDescent="0.2">
      <c r="A41" s="6222">
        <v>9</v>
      </c>
      <c r="B41" s="6224" t="s">
        <v>476</v>
      </c>
      <c r="C41" s="355" t="s">
        <v>477</v>
      </c>
      <c r="D41" s="356">
        <v>15</v>
      </c>
      <c r="E41" s="357">
        <v>4006.63</v>
      </c>
      <c r="F41" s="357">
        <v>751.4</v>
      </c>
      <c r="G41" s="6222">
        <v>60099</v>
      </c>
      <c r="H41" s="6222">
        <v>20123</v>
      </c>
      <c r="I41" s="357">
        <v>11271</v>
      </c>
      <c r="J41" s="357">
        <v>5.86</v>
      </c>
      <c r="K41" s="357">
        <v>87.9</v>
      </c>
    </row>
    <row r="42" spans="1:11" ht="33.75" customHeight="1" thickBot="1" x14ac:dyDescent="0.25">
      <c r="A42" s="6223"/>
      <c r="B42" s="6225"/>
      <c r="C42" s="353" t="s">
        <v>666</v>
      </c>
      <c r="D42" s="354" t="s">
        <v>478</v>
      </c>
      <c r="E42" s="354">
        <v>1341.52</v>
      </c>
      <c r="F42" s="354">
        <v>138.16999999999999</v>
      </c>
      <c r="G42" s="6223"/>
      <c r="H42" s="6223"/>
      <c r="I42" s="354">
        <v>2073</v>
      </c>
      <c r="J42" s="354">
        <v>0.55000000000000004</v>
      </c>
      <c r="K42" s="354">
        <v>8.25</v>
      </c>
    </row>
    <row r="43" spans="1:11" ht="10.5" customHeight="1" x14ac:dyDescent="0.2">
      <c r="A43" s="6222">
        <v>10</v>
      </c>
      <c r="B43" s="6224" t="s">
        <v>479</v>
      </c>
      <c r="C43" s="355" t="s">
        <v>480</v>
      </c>
      <c r="D43" s="356">
        <v>12</v>
      </c>
      <c r="E43" s="357">
        <v>8765.59</v>
      </c>
      <c r="F43" s="357">
        <v>936.14</v>
      </c>
      <c r="G43" s="6222">
        <v>105187</v>
      </c>
      <c r="H43" s="6222">
        <v>26923</v>
      </c>
      <c r="I43" s="357">
        <v>11234</v>
      </c>
      <c r="J43" s="357">
        <v>9.8000000000000007</v>
      </c>
      <c r="K43" s="357">
        <v>117.6</v>
      </c>
    </row>
    <row r="44" spans="1:11" ht="35.25" customHeight="1" thickBot="1" x14ac:dyDescent="0.25">
      <c r="A44" s="6223"/>
      <c r="B44" s="6225"/>
      <c r="C44" s="353" t="s">
        <v>666</v>
      </c>
      <c r="D44" s="354" t="s">
        <v>478</v>
      </c>
      <c r="E44" s="354">
        <v>2243.6</v>
      </c>
      <c r="F44" s="354">
        <v>138.16999999999999</v>
      </c>
      <c r="G44" s="6223"/>
      <c r="H44" s="6223"/>
      <c r="I44" s="354">
        <v>1658</v>
      </c>
      <c r="J44" s="354">
        <v>0.55000000000000004</v>
      </c>
      <c r="K44" s="354">
        <v>6.6</v>
      </c>
    </row>
    <row r="45" spans="1:11" ht="12" customHeight="1" x14ac:dyDescent="0.2">
      <c r="A45" s="6222">
        <v>11</v>
      </c>
      <c r="B45" s="6224" t="s">
        <v>481</v>
      </c>
      <c r="C45" s="355" t="s">
        <v>482</v>
      </c>
      <c r="D45" s="356">
        <v>3</v>
      </c>
      <c r="E45" s="357">
        <v>14254.95</v>
      </c>
      <c r="F45" s="357">
        <v>1157.76</v>
      </c>
      <c r="G45" s="6222">
        <v>42765</v>
      </c>
      <c r="H45" s="6222">
        <v>9272</v>
      </c>
      <c r="I45" s="357">
        <v>3473</v>
      </c>
      <c r="J45" s="357">
        <v>13.5</v>
      </c>
      <c r="K45" s="357">
        <v>40.5</v>
      </c>
    </row>
    <row r="46" spans="1:11" ht="34.5" customHeight="1" thickBot="1" x14ac:dyDescent="0.25">
      <c r="A46" s="6223"/>
      <c r="B46" s="6225"/>
      <c r="C46" s="353" t="s">
        <v>666</v>
      </c>
      <c r="D46" s="354" t="s">
        <v>478</v>
      </c>
      <c r="E46" s="354">
        <v>3090.81</v>
      </c>
      <c r="F46" s="354">
        <v>138.16999999999999</v>
      </c>
      <c r="G46" s="6223"/>
      <c r="H46" s="6223"/>
      <c r="I46" s="354">
        <v>415</v>
      </c>
      <c r="J46" s="354">
        <v>0.55000000000000004</v>
      </c>
      <c r="K46" s="354">
        <v>1.65</v>
      </c>
    </row>
    <row r="47" spans="1:11" ht="10.5" customHeight="1" x14ac:dyDescent="0.2">
      <c r="A47" s="6222">
        <v>12</v>
      </c>
      <c r="B47" s="6224" t="s">
        <v>687</v>
      </c>
      <c r="C47" s="355" t="s">
        <v>688</v>
      </c>
      <c r="D47" s="356">
        <v>0.6</v>
      </c>
      <c r="E47" s="357">
        <v>145994.18</v>
      </c>
      <c r="F47" s="357">
        <v>103149.95</v>
      </c>
      <c r="G47" s="6222">
        <v>87597</v>
      </c>
      <c r="H47" s="6222">
        <v>24932</v>
      </c>
      <c r="I47" s="357">
        <v>61890</v>
      </c>
      <c r="J47" s="357">
        <v>128.96</v>
      </c>
      <c r="K47" s="357">
        <v>77.38</v>
      </c>
    </row>
    <row r="48" spans="1:11" ht="36" customHeight="1" thickBot="1" x14ac:dyDescent="0.25">
      <c r="A48" s="6223"/>
      <c r="B48" s="6225"/>
      <c r="C48" s="353" t="s">
        <v>666</v>
      </c>
      <c r="D48" s="354" t="s">
        <v>502</v>
      </c>
      <c r="E48" s="354">
        <v>41554.03</v>
      </c>
      <c r="F48" s="354">
        <v>12446.06</v>
      </c>
      <c r="G48" s="6223"/>
      <c r="H48" s="6223"/>
      <c r="I48" s="354">
        <v>7468</v>
      </c>
      <c r="J48" s="354">
        <v>55.8</v>
      </c>
      <c r="K48" s="354">
        <v>33.479999999999997</v>
      </c>
    </row>
    <row r="49" spans="1:11" ht="12.75" customHeight="1" x14ac:dyDescent="0.2">
      <c r="A49" s="6222">
        <v>13</v>
      </c>
      <c r="B49" s="6224" t="s">
        <v>689</v>
      </c>
      <c r="C49" s="355" t="s">
        <v>690</v>
      </c>
      <c r="D49" s="356">
        <v>0.72</v>
      </c>
      <c r="E49" s="357">
        <v>190490.87</v>
      </c>
      <c r="F49" s="357">
        <v>134224.35999999999</v>
      </c>
      <c r="G49" s="6222">
        <v>137153</v>
      </c>
      <c r="H49" s="6222">
        <v>39273</v>
      </c>
      <c r="I49" s="357">
        <v>96642</v>
      </c>
      <c r="J49" s="357">
        <v>169.28</v>
      </c>
      <c r="K49" s="357">
        <v>121.88</v>
      </c>
    </row>
    <row r="50" spans="1:11" ht="33.75" customHeight="1" thickBot="1" x14ac:dyDescent="0.25">
      <c r="A50" s="6223"/>
      <c r="B50" s="6225"/>
      <c r="C50" s="353" t="s">
        <v>666</v>
      </c>
      <c r="D50" s="354" t="s">
        <v>502</v>
      </c>
      <c r="E50" s="354">
        <v>54546.27</v>
      </c>
      <c r="F50" s="354">
        <v>16418</v>
      </c>
      <c r="G50" s="6223"/>
      <c r="H50" s="6223"/>
      <c r="I50" s="354">
        <v>11821</v>
      </c>
      <c r="J50" s="354">
        <v>73.400000000000006</v>
      </c>
      <c r="K50" s="354">
        <v>52.85</v>
      </c>
    </row>
    <row r="51" spans="1:11" ht="13.5" thickBot="1" x14ac:dyDescent="0.25">
      <c r="A51" s="6212"/>
      <c r="B51" s="6213"/>
      <c r="C51" s="6213"/>
      <c r="D51" s="6213"/>
      <c r="E51" s="6213"/>
      <c r="F51" s="6213"/>
      <c r="G51" s="6213"/>
      <c r="H51" s="6213"/>
      <c r="I51" s="6213"/>
      <c r="J51" s="6213"/>
      <c r="K51" s="6214"/>
    </row>
    <row r="52" spans="1:11" x14ac:dyDescent="0.2">
      <c r="A52" s="6215" t="s">
        <v>691</v>
      </c>
      <c r="B52" s="6216"/>
      <c r="C52" s="6216"/>
      <c r="D52" s="6216"/>
      <c r="E52" s="6216"/>
      <c r="F52" s="6218"/>
      <c r="G52" s="6218">
        <v>499570</v>
      </c>
      <c r="H52" s="6218">
        <v>148987</v>
      </c>
      <c r="I52" s="624">
        <v>209131</v>
      </c>
      <c r="J52" s="6218"/>
      <c r="K52" s="357">
        <v>583.70000000000005</v>
      </c>
    </row>
    <row r="53" spans="1:11" ht="13.5" thickBot="1" x14ac:dyDescent="0.25">
      <c r="A53" s="6217"/>
      <c r="B53" s="6210"/>
      <c r="C53" s="6210"/>
      <c r="D53" s="6210"/>
      <c r="E53" s="6210"/>
      <c r="F53" s="6219"/>
      <c r="G53" s="6219"/>
      <c r="H53" s="6219"/>
      <c r="I53" s="614">
        <v>39387</v>
      </c>
      <c r="J53" s="6219"/>
      <c r="K53" s="354">
        <v>163.92</v>
      </c>
    </row>
    <row r="54" spans="1:11" ht="13.5" thickBot="1" x14ac:dyDescent="0.25">
      <c r="A54" s="6212"/>
      <c r="B54" s="6213"/>
      <c r="C54" s="6213"/>
      <c r="D54" s="6213"/>
      <c r="E54" s="6213"/>
      <c r="F54" s="6213"/>
      <c r="G54" s="6213"/>
      <c r="H54" s="6213"/>
      <c r="I54" s="6213"/>
      <c r="J54" s="6213"/>
      <c r="K54" s="6214"/>
    </row>
    <row r="55" spans="1:11" x14ac:dyDescent="0.2">
      <c r="A55" s="6215" t="s">
        <v>692</v>
      </c>
      <c r="B55" s="6216"/>
      <c r="C55" s="6216"/>
      <c r="D55" s="6216"/>
      <c r="E55" s="6216"/>
      <c r="F55" s="6218"/>
      <c r="G55" s="6218">
        <v>499570</v>
      </c>
      <c r="H55" s="6218">
        <v>148987</v>
      </c>
      <c r="I55" s="624">
        <v>209131</v>
      </c>
      <c r="J55" s="6218"/>
      <c r="K55" s="357">
        <v>583.70000000000005</v>
      </c>
    </row>
    <row r="56" spans="1:11" ht="13.5" thickBot="1" x14ac:dyDescent="0.25">
      <c r="A56" s="6217"/>
      <c r="B56" s="6210"/>
      <c r="C56" s="6210"/>
      <c r="D56" s="6210"/>
      <c r="E56" s="6210"/>
      <c r="F56" s="6219"/>
      <c r="G56" s="6219"/>
      <c r="H56" s="6219"/>
      <c r="I56" s="614">
        <v>39387</v>
      </c>
      <c r="J56" s="6219"/>
      <c r="K56" s="354">
        <v>163.92</v>
      </c>
    </row>
    <row r="57" spans="1:11" ht="13.5" thickBot="1" x14ac:dyDescent="0.25">
      <c r="A57" s="609"/>
      <c r="B57" s="610"/>
      <c r="C57" s="610"/>
      <c r="D57" s="610"/>
      <c r="E57" s="610"/>
      <c r="F57" s="610"/>
      <c r="G57" s="610"/>
      <c r="H57" s="610"/>
      <c r="I57" s="610"/>
      <c r="J57" s="610"/>
      <c r="K57" s="610"/>
    </row>
    <row r="58" spans="1:11" x14ac:dyDescent="0.2">
      <c r="A58" s="625"/>
      <c r="B58" s="279"/>
      <c r="C58" s="279"/>
      <c r="D58" s="279"/>
      <c r="E58" s="279"/>
      <c r="F58" s="279"/>
      <c r="G58" s="279"/>
      <c r="H58" s="279"/>
      <c r="I58" s="279"/>
      <c r="J58" s="279"/>
      <c r="K58" s="617"/>
    </row>
    <row r="59" spans="1:11" x14ac:dyDescent="0.2">
      <c r="A59" s="626"/>
      <c r="B59" s="279"/>
      <c r="C59" s="279"/>
      <c r="D59" s="279"/>
      <c r="E59" s="279"/>
      <c r="F59" s="279"/>
      <c r="G59" s="279"/>
      <c r="H59" s="279"/>
      <c r="I59" s="279"/>
      <c r="J59" s="279"/>
      <c r="K59" s="617"/>
    </row>
    <row r="60" spans="1:11" x14ac:dyDescent="0.2">
      <c r="A60" s="626"/>
      <c r="B60" s="279"/>
      <c r="C60" s="6207" t="s">
        <v>693</v>
      </c>
      <c r="D60" s="6124"/>
      <c r="E60" s="6124"/>
      <c r="F60" s="6124"/>
      <c r="G60" s="6124"/>
      <c r="H60" s="6124"/>
      <c r="I60" s="6207" t="s">
        <v>694</v>
      </c>
      <c r="J60" s="6207" t="s">
        <v>695</v>
      </c>
      <c r="K60" s="355" t="s">
        <v>559</v>
      </c>
    </row>
    <row r="61" spans="1:11" x14ac:dyDescent="0.2">
      <c r="A61" s="626"/>
      <c r="B61" s="279"/>
      <c r="C61" s="6207"/>
      <c r="D61" s="6124"/>
      <c r="E61" s="6124"/>
      <c r="F61" s="6124"/>
      <c r="G61" s="6124"/>
      <c r="H61" s="6124"/>
      <c r="I61" s="6207"/>
      <c r="J61" s="6207"/>
      <c r="K61" s="355" t="s">
        <v>696</v>
      </c>
    </row>
    <row r="62" spans="1:11" ht="13.5" thickBot="1" x14ac:dyDescent="0.25">
      <c r="A62" s="626"/>
      <c r="B62" s="279"/>
      <c r="C62" s="6207" t="s">
        <v>54</v>
      </c>
      <c r="D62" s="6124"/>
      <c r="E62" s="6124"/>
      <c r="F62" s="6124"/>
      <c r="G62" s="6124"/>
      <c r="H62" s="6124"/>
      <c r="I62" s="614"/>
      <c r="J62" s="614"/>
      <c r="K62" s="354" t="s">
        <v>697</v>
      </c>
    </row>
    <row r="63" spans="1:11" ht="13.5" thickBot="1" x14ac:dyDescent="0.25">
      <c r="A63" s="626"/>
      <c r="B63" s="279"/>
      <c r="C63" s="6207" t="s">
        <v>698</v>
      </c>
      <c r="D63" s="6124"/>
      <c r="E63" s="6124"/>
      <c r="F63" s="6124"/>
      <c r="G63" s="6124"/>
      <c r="H63" s="6124"/>
      <c r="I63" s="614">
        <v>0.6</v>
      </c>
      <c r="J63" s="614">
        <v>85</v>
      </c>
      <c r="K63" s="354" t="s">
        <v>699</v>
      </c>
    </row>
    <row r="64" spans="1:11" ht="13.5" thickBot="1" x14ac:dyDescent="0.25">
      <c r="A64" s="626"/>
      <c r="B64" s="279"/>
      <c r="C64" s="6207" t="s">
        <v>700</v>
      </c>
      <c r="D64" s="6124"/>
      <c r="E64" s="6124"/>
      <c r="F64" s="6124"/>
      <c r="G64" s="6124"/>
      <c r="H64" s="6124"/>
      <c r="I64" s="614">
        <v>0.6</v>
      </c>
      <c r="J64" s="614">
        <v>71</v>
      </c>
      <c r="K64" s="354" t="s">
        <v>701</v>
      </c>
    </row>
    <row r="65" spans="1:11" ht="13.5" thickBot="1" x14ac:dyDescent="0.25">
      <c r="A65" s="626"/>
      <c r="B65" s="279"/>
      <c r="C65" s="6207" t="s">
        <v>702</v>
      </c>
      <c r="D65" s="6124"/>
      <c r="E65" s="6124"/>
      <c r="F65" s="6124"/>
      <c r="G65" s="6124"/>
      <c r="H65" s="6124"/>
      <c r="I65" s="614">
        <v>0.6</v>
      </c>
      <c r="J65" s="614">
        <v>71</v>
      </c>
      <c r="K65" s="354" t="s">
        <v>703</v>
      </c>
    </row>
    <row r="66" spans="1:11" ht="13.5" thickBot="1" x14ac:dyDescent="0.25">
      <c r="A66" s="626"/>
      <c r="B66" s="279"/>
      <c r="C66" s="6207" t="s">
        <v>704</v>
      </c>
      <c r="D66" s="6124"/>
      <c r="E66" s="6124"/>
      <c r="F66" s="6124"/>
      <c r="G66" s="6124"/>
      <c r="H66" s="6124"/>
      <c r="I66" s="614">
        <v>0.6</v>
      </c>
      <c r="J66" s="614">
        <v>116</v>
      </c>
      <c r="K66" s="354" t="s">
        <v>705</v>
      </c>
    </row>
    <row r="67" spans="1:11" ht="13.5" thickBot="1" x14ac:dyDescent="0.25">
      <c r="A67" s="626"/>
      <c r="B67" s="279"/>
      <c r="C67" s="6207" t="s">
        <v>706</v>
      </c>
      <c r="D67" s="6124"/>
      <c r="E67" s="6124"/>
      <c r="F67" s="6124"/>
      <c r="G67" s="6124"/>
      <c r="H67" s="6124"/>
      <c r="I67" s="614">
        <v>0.6</v>
      </c>
      <c r="J67" s="614">
        <v>92</v>
      </c>
      <c r="K67" s="354" t="s">
        <v>707</v>
      </c>
    </row>
    <row r="68" spans="1:11" ht="13.5" thickBot="1" x14ac:dyDescent="0.25">
      <c r="A68" s="626"/>
      <c r="B68" s="279"/>
      <c r="C68" s="6207" t="s">
        <v>708</v>
      </c>
      <c r="D68" s="6124"/>
      <c r="E68" s="6124"/>
      <c r="F68" s="6124"/>
      <c r="G68" s="6124"/>
      <c r="H68" s="6124"/>
      <c r="I68" s="614"/>
      <c r="J68" s="614"/>
      <c r="K68" s="354" t="s">
        <v>709</v>
      </c>
    </row>
    <row r="69" spans="1:11" ht="13.5" thickBot="1" x14ac:dyDescent="0.25">
      <c r="A69" s="626"/>
      <c r="B69" s="279"/>
      <c r="C69" s="6207" t="s">
        <v>54</v>
      </c>
      <c r="D69" s="6124"/>
      <c r="E69" s="6124"/>
      <c r="F69" s="6124"/>
      <c r="G69" s="6124"/>
      <c r="H69" s="6124"/>
      <c r="I69" s="614"/>
      <c r="J69" s="614"/>
      <c r="K69" s="354" t="s">
        <v>710</v>
      </c>
    </row>
    <row r="70" spans="1:11" ht="13.5" thickBot="1" x14ac:dyDescent="0.25">
      <c r="A70" s="626"/>
      <c r="B70" s="279"/>
      <c r="C70" s="6207" t="s">
        <v>711</v>
      </c>
      <c r="D70" s="6124"/>
      <c r="E70" s="6124"/>
      <c r="F70" s="6124"/>
      <c r="G70" s="6124"/>
      <c r="H70" s="6124"/>
      <c r="I70" s="614"/>
      <c r="J70" s="614">
        <v>40</v>
      </c>
      <c r="K70" s="354" t="s">
        <v>712</v>
      </c>
    </row>
    <row r="71" spans="1:11" ht="13.5" thickBot="1" x14ac:dyDescent="0.25">
      <c r="A71" s="626"/>
      <c r="B71" s="279"/>
      <c r="C71" s="6207" t="s">
        <v>713</v>
      </c>
      <c r="D71" s="6124"/>
      <c r="E71" s="6124"/>
      <c r="F71" s="6124"/>
      <c r="G71" s="6124"/>
      <c r="H71" s="6124"/>
      <c r="I71" s="614"/>
      <c r="J71" s="614">
        <v>36</v>
      </c>
      <c r="K71" s="354" t="s">
        <v>714</v>
      </c>
    </row>
    <row r="72" spans="1:11" ht="13.5" thickBot="1" x14ac:dyDescent="0.25">
      <c r="A72" s="626"/>
      <c r="B72" s="279"/>
      <c r="C72" s="6207" t="s">
        <v>715</v>
      </c>
      <c r="D72" s="6124"/>
      <c r="E72" s="6124"/>
      <c r="F72" s="6124"/>
      <c r="G72" s="6124"/>
      <c r="H72" s="6124"/>
      <c r="I72" s="614"/>
      <c r="J72" s="614">
        <v>36</v>
      </c>
      <c r="K72" s="354" t="s">
        <v>716</v>
      </c>
    </row>
    <row r="73" spans="1:11" ht="13.5" thickBot="1" x14ac:dyDescent="0.25">
      <c r="A73" s="626"/>
      <c r="B73" s="279"/>
      <c r="C73" s="6207" t="s">
        <v>717</v>
      </c>
      <c r="D73" s="6124"/>
      <c r="E73" s="6124"/>
      <c r="F73" s="6124"/>
      <c r="G73" s="6124"/>
      <c r="H73" s="6124"/>
      <c r="I73" s="614"/>
      <c r="J73" s="614">
        <v>71</v>
      </c>
      <c r="K73" s="354" t="s">
        <v>718</v>
      </c>
    </row>
    <row r="74" spans="1:11" ht="13.5" thickBot="1" x14ac:dyDescent="0.25">
      <c r="A74" s="626"/>
      <c r="B74" s="279"/>
      <c r="C74" s="6207" t="s">
        <v>719</v>
      </c>
      <c r="D74" s="6124"/>
      <c r="E74" s="6124"/>
      <c r="F74" s="6124"/>
      <c r="G74" s="6124"/>
      <c r="H74" s="6124"/>
      <c r="I74" s="614"/>
      <c r="J74" s="614">
        <v>54</v>
      </c>
      <c r="K74" s="354" t="s">
        <v>720</v>
      </c>
    </row>
    <row r="75" spans="1:11" ht="13.5" thickBot="1" x14ac:dyDescent="0.25">
      <c r="A75" s="626"/>
      <c r="B75" s="279"/>
      <c r="C75" s="6207" t="s">
        <v>721</v>
      </c>
      <c r="D75" s="6124"/>
      <c r="E75" s="6124"/>
      <c r="F75" s="6124"/>
      <c r="G75" s="6124"/>
      <c r="H75" s="6124"/>
      <c r="I75" s="614"/>
      <c r="J75" s="614"/>
      <c r="K75" s="354" t="s">
        <v>722</v>
      </c>
    </row>
    <row r="76" spans="1:11" ht="13.5" thickBot="1" x14ac:dyDescent="0.25">
      <c r="A76" s="626"/>
      <c r="B76" s="279"/>
      <c r="C76" s="6207" t="s">
        <v>54</v>
      </c>
      <c r="D76" s="6124"/>
      <c r="E76" s="6124"/>
      <c r="F76" s="6124"/>
      <c r="G76" s="6124"/>
      <c r="H76" s="6124"/>
      <c r="I76" s="614"/>
      <c r="J76" s="614"/>
      <c r="K76" s="354" t="s">
        <v>723</v>
      </c>
    </row>
    <row r="77" spans="1:11" ht="13.5" thickBot="1" x14ac:dyDescent="0.25">
      <c r="A77" s="626"/>
      <c r="B77" s="279"/>
      <c r="C77" s="6207" t="s">
        <v>724</v>
      </c>
      <c r="D77" s="6124"/>
      <c r="E77" s="6124"/>
      <c r="F77" s="6124"/>
      <c r="G77" s="6124"/>
      <c r="H77" s="6124"/>
      <c r="I77" s="614"/>
      <c r="J77" s="614">
        <v>18</v>
      </c>
      <c r="K77" s="354" t="s">
        <v>725</v>
      </c>
    </row>
    <row r="78" spans="1:11" ht="13.5" thickBot="1" x14ac:dyDescent="0.25">
      <c r="A78" s="626"/>
      <c r="B78" s="279"/>
      <c r="C78" s="6207" t="s">
        <v>280</v>
      </c>
      <c r="D78" s="6124"/>
      <c r="E78" s="6124"/>
      <c r="F78" s="6124"/>
      <c r="G78" s="6124"/>
      <c r="H78" s="6124"/>
      <c r="I78" s="614"/>
      <c r="J78" s="614"/>
      <c r="K78" s="354" t="s">
        <v>657</v>
      </c>
    </row>
    <row r="79" spans="1:11" ht="13.5" thickBot="1" x14ac:dyDescent="0.25">
      <c r="A79" s="613"/>
      <c r="B79" s="612"/>
      <c r="C79" s="6210" t="s">
        <v>726</v>
      </c>
      <c r="D79" s="4911"/>
      <c r="E79" s="4911"/>
      <c r="F79" s="4911"/>
      <c r="G79" s="4911"/>
      <c r="H79" s="4911"/>
      <c r="I79" s="614"/>
      <c r="J79" s="614"/>
      <c r="K79" s="354" t="s">
        <v>657</v>
      </c>
    </row>
    <row r="80" spans="1:11" ht="15.75" x14ac:dyDescent="0.25">
      <c r="K80" s="636">
        <v>821297</v>
      </c>
    </row>
    <row r="81" spans="1:12" ht="13.5" thickBot="1" x14ac:dyDescent="0.25"/>
    <row r="82" spans="1:12" ht="18.75" x14ac:dyDescent="0.3">
      <c r="A82" s="6251" t="s">
        <v>727</v>
      </c>
      <c r="B82" s="6252"/>
      <c r="C82" s="6252"/>
      <c r="D82" s="6252"/>
      <c r="E82" s="6252"/>
      <c r="F82" s="6252"/>
      <c r="G82" s="6252"/>
      <c r="H82" s="6252"/>
      <c r="I82" s="6252"/>
      <c r="J82" s="6252"/>
      <c r="K82" s="6252"/>
      <c r="L82" s="627"/>
    </row>
    <row r="83" spans="1:12" ht="13.5" x14ac:dyDescent="0.25">
      <c r="A83" s="6253" t="s">
        <v>650</v>
      </c>
      <c r="B83" s="5841"/>
      <c r="C83" s="5841"/>
      <c r="D83" s="5841"/>
      <c r="E83" s="5841"/>
      <c r="F83" s="5841"/>
      <c r="G83" s="5841"/>
      <c r="H83" s="5841"/>
      <c r="I83" s="5841"/>
      <c r="J83" s="5841"/>
      <c r="K83" s="5841"/>
      <c r="L83" s="628"/>
    </row>
    <row r="84" spans="1:12" ht="18.75" x14ac:dyDescent="0.3">
      <c r="A84" s="629"/>
      <c r="B84" s="630"/>
      <c r="C84" s="630"/>
      <c r="D84" s="630"/>
      <c r="E84" s="630"/>
      <c r="F84" s="630"/>
      <c r="G84" s="630"/>
      <c r="H84" s="630"/>
      <c r="I84" s="630"/>
      <c r="J84" s="630"/>
      <c r="K84" s="630"/>
      <c r="L84" s="628"/>
    </row>
    <row r="85" spans="1:12" ht="18.75" x14ac:dyDescent="0.3">
      <c r="A85" s="6254" t="s">
        <v>728</v>
      </c>
      <c r="B85" s="5841"/>
      <c r="C85" s="5841"/>
      <c r="D85" s="5841"/>
      <c r="E85" s="5841"/>
      <c r="F85" s="5841"/>
      <c r="G85" s="5841"/>
      <c r="H85" s="5841"/>
      <c r="I85" s="5841"/>
      <c r="J85" s="5841"/>
      <c r="K85" s="5841"/>
      <c r="L85" s="6243"/>
    </row>
    <row r="86" spans="1:12" ht="18" x14ac:dyDescent="0.25">
      <c r="A86" s="618" t="s">
        <v>652</v>
      </c>
      <c r="B86" s="630"/>
      <c r="C86" s="630"/>
      <c r="D86" s="630"/>
      <c r="E86" s="630"/>
      <c r="F86" s="630"/>
      <c r="G86" s="630"/>
      <c r="H86" s="630"/>
      <c r="I86" s="630"/>
      <c r="J86" s="630"/>
      <c r="K86" s="630"/>
      <c r="L86" s="628"/>
    </row>
    <row r="87" spans="1:12" x14ac:dyDescent="0.2">
      <c r="A87" s="6242" t="s">
        <v>729</v>
      </c>
      <c r="B87" s="5841"/>
      <c r="C87" s="5841"/>
      <c r="D87" s="5841"/>
      <c r="E87" s="5841"/>
      <c r="F87" s="5841"/>
      <c r="G87" s="5841"/>
      <c r="H87" s="5841"/>
      <c r="I87" s="5841"/>
      <c r="J87" s="5841"/>
      <c r="K87" s="5841"/>
      <c r="L87" s="6243"/>
    </row>
    <row r="88" spans="1:12" x14ac:dyDescent="0.2">
      <c r="A88" s="6244"/>
      <c r="B88" s="5841"/>
      <c r="C88" s="5841"/>
      <c r="D88" s="5841"/>
      <c r="E88" s="5841"/>
      <c r="F88" s="5841"/>
      <c r="G88" s="5841"/>
      <c r="H88" s="5841"/>
      <c r="I88" s="5841"/>
      <c r="J88" s="5841"/>
      <c r="K88" s="5841"/>
      <c r="L88" s="6243"/>
    </row>
    <row r="89" spans="1:12" x14ac:dyDescent="0.2">
      <c r="A89" s="6245" t="s">
        <v>653</v>
      </c>
      <c r="B89" s="6246"/>
      <c r="C89" s="630"/>
      <c r="D89" s="630"/>
      <c r="E89" s="630"/>
      <c r="F89" s="630"/>
      <c r="G89" s="630"/>
      <c r="H89" s="630"/>
      <c r="I89" s="630"/>
      <c r="J89" s="630"/>
      <c r="K89" s="630"/>
      <c r="L89" s="628"/>
    </row>
    <row r="90" spans="1:12" ht="13.5" x14ac:dyDescent="0.2">
      <c r="A90" s="631"/>
      <c r="B90" s="632"/>
      <c r="C90" s="630"/>
      <c r="D90" s="630"/>
      <c r="E90" s="630"/>
      <c r="F90" s="630"/>
      <c r="G90" s="630"/>
      <c r="H90" s="630"/>
      <c r="I90" s="630"/>
      <c r="J90" s="630"/>
      <c r="K90" s="630"/>
      <c r="L90" s="628"/>
    </row>
    <row r="91" spans="1:12" x14ac:dyDescent="0.2">
      <c r="A91" s="6245" t="s">
        <v>654</v>
      </c>
      <c r="B91" s="5841"/>
      <c r="C91" s="5841"/>
      <c r="D91" s="6247" t="s">
        <v>730</v>
      </c>
      <c r="E91" s="5841"/>
      <c r="F91" s="5841"/>
      <c r="G91" s="5841"/>
      <c r="H91" s="5841"/>
      <c r="I91" s="5841"/>
      <c r="J91" s="5841"/>
      <c r="K91" s="5841"/>
      <c r="L91" s="6243"/>
    </row>
    <row r="92" spans="1:12" ht="18.75" x14ac:dyDescent="0.3">
      <c r="A92" s="619"/>
      <c r="B92" s="279"/>
      <c r="C92" s="279"/>
      <c r="D92" s="279"/>
      <c r="E92" s="279"/>
      <c r="F92" s="279"/>
      <c r="G92" s="279"/>
      <c r="H92" s="279"/>
      <c r="I92" s="279"/>
      <c r="J92" s="279"/>
      <c r="K92" s="279"/>
      <c r="L92" s="617"/>
    </row>
    <row r="93" spans="1:12" ht="12.75" customHeight="1" x14ac:dyDescent="0.2">
      <c r="A93" s="6248" t="s">
        <v>656</v>
      </c>
      <c r="B93" s="6124"/>
      <c r="C93" s="6124"/>
      <c r="D93" s="6124"/>
      <c r="E93" s="6124"/>
      <c r="F93" s="6249" t="s">
        <v>731</v>
      </c>
      <c r="G93" s="6250" t="s">
        <v>658</v>
      </c>
      <c r="H93" s="279"/>
      <c r="I93" s="279"/>
      <c r="J93" s="279"/>
      <c r="K93" s="279"/>
      <c r="L93" s="617"/>
    </row>
    <row r="94" spans="1:12" x14ac:dyDescent="0.2">
      <c r="A94" s="6248"/>
      <c r="B94" s="6124"/>
      <c r="C94" s="6124"/>
      <c r="D94" s="6124"/>
      <c r="E94" s="6124"/>
      <c r="F94" s="6249"/>
      <c r="G94" s="6250"/>
      <c r="H94" s="279"/>
      <c r="I94" s="279"/>
      <c r="J94" s="279"/>
      <c r="K94" s="279"/>
      <c r="L94" s="617"/>
    </row>
    <row r="95" spans="1:12" ht="13.5" customHeight="1" x14ac:dyDescent="0.2">
      <c r="A95" s="6239" t="s">
        <v>659</v>
      </c>
      <c r="B95" s="6124"/>
      <c r="C95" s="6124"/>
      <c r="D95" s="6124"/>
      <c r="E95" s="6124"/>
      <c r="F95" s="6240">
        <v>951</v>
      </c>
      <c r="G95" s="6241" t="s">
        <v>660</v>
      </c>
      <c r="H95" s="279"/>
      <c r="I95" s="279"/>
      <c r="J95" s="279"/>
      <c r="K95" s="279"/>
      <c r="L95" s="617"/>
    </row>
    <row r="96" spans="1:12" x14ac:dyDescent="0.2">
      <c r="A96" s="6239"/>
      <c r="B96" s="6124"/>
      <c r="C96" s="6124"/>
      <c r="D96" s="6124"/>
      <c r="E96" s="6124"/>
      <c r="F96" s="6240"/>
      <c r="G96" s="6241"/>
      <c r="H96" s="279"/>
      <c r="I96" s="279"/>
      <c r="J96" s="279"/>
      <c r="K96" s="279"/>
      <c r="L96" s="617"/>
    </row>
    <row r="97" spans="1:12" ht="13.5" customHeight="1" x14ac:dyDescent="0.2">
      <c r="A97" s="6239" t="s">
        <v>661</v>
      </c>
      <c r="B97" s="6124"/>
      <c r="C97" s="6124"/>
      <c r="D97" s="6124"/>
      <c r="E97" s="6124"/>
      <c r="F97" s="6240" t="s">
        <v>732</v>
      </c>
      <c r="G97" s="6241" t="s">
        <v>658</v>
      </c>
      <c r="H97" s="279"/>
      <c r="I97" s="279"/>
      <c r="J97" s="279"/>
      <c r="K97" s="279"/>
      <c r="L97" s="617"/>
    </row>
    <row r="98" spans="1:12" ht="13.5" thickBot="1" x14ac:dyDescent="0.25">
      <c r="A98" s="6239"/>
      <c r="B98" s="6124"/>
      <c r="C98" s="6124"/>
      <c r="D98" s="6124"/>
      <c r="E98" s="6124"/>
      <c r="F98" s="6240"/>
      <c r="G98" s="6241"/>
      <c r="H98" s="279"/>
      <c r="I98" s="279"/>
      <c r="J98" s="279"/>
      <c r="K98" s="279"/>
      <c r="L98" s="617"/>
    </row>
    <row r="99" spans="1:12" ht="13.5" thickBot="1" x14ac:dyDescent="0.25">
      <c r="A99" s="587" t="s">
        <v>165</v>
      </c>
      <c r="B99" s="587" t="s">
        <v>437</v>
      </c>
      <c r="C99" s="587" t="s">
        <v>356</v>
      </c>
      <c r="D99" s="337"/>
      <c r="E99" s="6229" t="s">
        <v>438</v>
      </c>
      <c r="F99" s="6230"/>
      <c r="G99" s="6229" t="s">
        <v>439</v>
      </c>
      <c r="H99" s="6231"/>
      <c r="I99" s="6230"/>
      <c r="J99" s="6232" t="s">
        <v>440</v>
      </c>
      <c r="K99" s="6233"/>
      <c r="L99" s="617"/>
    </row>
    <row r="100" spans="1:12" ht="13.5" thickBot="1" x14ac:dyDescent="0.25">
      <c r="A100" s="340" t="s">
        <v>441</v>
      </c>
      <c r="B100" s="340" t="s">
        <v>442</v>
      </c>
      <c r="C100" s="340" t="s">
        <v>443</v>
      </c>
      <c r="D100" s="341" t="s">
        <v>444</v>
      </c>
      <c r="E100" s="589" t="s">
        <v>445</v>
      </c>
      <c r="F100" s="586" t="s">
        <v>446</v>
      </c>
      <c r="G100" s="340" t="s">
        <v>445</v>
      </c>
      <c r="H100" s="341" t="s">
        <v>447</v>
      </c>
      <c r="I100" s="343" t="s">
        <v>446</v>
      </c>
      <c r="J100" s="6234" t="s">
        <v>448</v>
      </c>
      <c r="K100" s="6235"/>
      <c r="L100" s="617"/>
    </row>
    <row r="101" spans="1:12" ht="13.5" thickBot="1" x14ac:dyDescent="0.25">
      <c r="A101" s="588"/>
      <c r="B101" s="588" t="s">
        <v>449</v>
      </c>
      <c r="C101" s="588"/>
      <c r="D101" s="345"/>
      <c r="E101" s="589" t="s">
        <v>447</v>
      </c>
      <c r="F101" s="343" t="s">
        <v>450</v>
      </c>
      <c r="G101" s="585"/>
      <c r="H101" s="346"/>
      <c r="I101" s="343" t="s">
        <v>450</v>
      </c>
      <c r="J101" s="588" t="s">
        <v>451</v>
      </c>
      <c r="K101" s="345" t="s">
        <v>445</v>
      </c>
      <c r="L101" s="617"/>
    </row>
    <row r="102" spans="1:12" ht="13.5" thickBot="1" x14ac:dyDescent="0.25">
      <c r="A102" s="623"/>
      <c r="B102" s="279"/>
      <c r="C102" s="279"/>
      <c r="D102" s="279"/>
      <c r="E102" s="279"/>
      <c r="F102" s="279"/>
      <c r="G102" s="279"/>
      <c r="H102" s="279"/>
      <c r="I102" s="279"/>
      <c r="J102" s="279"/>
      <c r="K102" s="279"/>
      <c r="L102" s="617"/>
    </row>
    <row r="103" spans="1:12" ht="13.5" thickBot="1" x14ac:dyDescent="0.25">
      <c r="A103" s="348">
        <v>1</v>
      </c>
      <c r="B103" s="349">
        <v>2</v>
      </c>
      <c r="C103" s="349">
        <v>3</v>
      </c>
      <c r="D103" s="349">
        <v>4</v>
      </c>
      <c r="E103" s="349">
        <v>5</v>
      </c>
      <c r="F103" s="349">
        <v>6</v>
      </c>
      <c r="G103" s="349">
        <v>7</v>
      </c>
      <c r="H103" s="349">
        <v>8</v>
      </c>
      <c r="I103" s="349">
        <v>9</v>
      </c>
      <c r="J103" s="349">
        <v>10</v>
      </c>
      <c r="K103" s="349">
        <v>11</v>
      </c>
      <c r="L103" s="633"/>
    </row>
    <row r="104" spans="1:12" ht="13.5" thickBot="1" x14ac:dyDescent="0.25">
      <c r="A104" s="609"/>
      <c r="B104" s="610"/>
      <c r="C104" s="610"/>
      <c r="D104" s="610"/>
      <c r="E104" s="610"/>
      <c r="F104" s="610"/>
      <c r="G104" s="610"/>
      <c r="H104" s="610"/>
      <c r="I104" s="610"/>
      <c r="J104" s="610"/>
      <c r="K104" s="610"/>
      <c r="L104" s="633"/>
    </row>
    <row r="105" spans="1:12" ht="13.5" thickBot="1" x14ac:dyDescent="0.25">
      <c r="A105" s="6212"/>
      <c r="B105" s="6213"/>
      <c r="C105" s="6213"/>
      <c r="D105" s="6213"/>
      <c r="E105" s="6213"/>
      <c r="F105" s="6213"/>
      <c r="G105" s="6213"/>
      <c r="H105" s="6213"/>
      <c r="I105" s="6213"/>
      <c r="J105" s="6213"/>
      <c r="K105" s="6214"/>
      <c r="L105" s="633"/>
    </row>
    <row r="106" spans="1:12" ht="13.5" thickBot="1" x14ac:dyDescent="0.25">
      <c r="A106" s="6236" t="s">
        <v>733</v>
      </c>
      <c r="B106" s="6237"/>
      <c r="C106" s="6237"/>
      <c r="D106" s="6237"/>
      <c r="E106" s="6237"/>
      <c r="F106" s="6237"/>
      <c r="G106" s="6237"/>
      <c r="H106" s="6237"/>
      <c r="I106" s="6237"/>
      <c r="J106" s="6237"/>
      <c r="K106" s="6238"/>
      <c r="L106" s="633"/>
    </row>
    <row r="107" spans="1:12" ht="13.5" thickBot="1" x14ac:dyDescent="0.25">
      <c r="A107" s="6212"/>
      <c r="B107" s="6213"/>
      <c r="C107" s="6213"/>
      <c r="D107" s="6213"/>
      <c r="E107" s="6213"/>
      <c r="F107" s="6213"/>
      <c r="G107" s="6213"/>
      <c r="H107" s="6213"/>
      <c r="I107" s="6213"/>
      <c r="J107" s="6213"/>
      <c r="K107" s="6214"/>
      <c r="L107" s="634"/>
    </row>
    <row r="108" spans="1:12" ht="33.75" x14ac:dyDescent="0.2">
      <c r="A108" s="6222">
        <v>1</v>
      </c>
      <c r="B108" s="6224" t="s">
        <v>734</v>
      </c>
      <c r="C108" s="6224" t="s">
        <v>671</v>
      </c>
      <c r="D108" s="355" t="s">
        <v>735</v>
      </c>
      <c r="E108" s="356">
        <v>0.8</v>
      </c>
      <c r="F108" s="357">
        <v>19221.080000000002</v>
      </c>
      <c r="G108" s="357">
        <v>19221.080000000002</v>
      </c>
      <c r="H108" s="6222">
        <v>15377</v>
      </c>
      <c r="I108" s="6222">
        <v>0</v>
      </c>
      <c r="J108" s="357">
        <v>15377</v>
      </c>
      <c r="K108" s="357">
        <v>0</v>
      </c>
      <c r="L108" s="357">
        <v>0</v>
      </c>
    </row>
    <row r="109" spans="1:12" ht="169.5" thickBot="1" x14ac:dyDescent="0.25">
      <c r="A109" s="6223"/>
      <c r="B109" s="6225"/>
      <c r="C109" s="6225"/>
      <c r="D109" s="353" t="s">
        <v>666</v>
      </c>
      <c r="E109" s="354" t="s">
        <v>673</v>
      </c>
      <c r="F109" s="354">
        <v>0</v>
      </c>
      <c r="G109" s="354">
        <v>24389.57</v>
      </c>
      <c r="H109" s="6223"/>
      <c r="I109" s="6223"/>
      <c r="J109" s="354">
        <v>19512</v>
      </c>
      <c r="K109" s="354">
        <v>97.21</v>
      </c>
      <c r="L109" s="354">
        <v>77.77</v>
      </c>
    </row>
    <row r="110" spans="1:12" ht="22.5" x14ac:dyDescent="0.2">
      <c r="A110" s="6222">
        <v>2</v>
      </c>
      <c r="B110" s="6224" t="s">
        <v>736</v>
      </c>
      <c r="C110" s="355" t="s">
        <v>737</v>
      </c>
      <c r="D110" s="356">
        <v>0.2</v>
      </c>
      <c r="E110" s="357">
        <v>110221.54</v>
      </c>
      <c r="F110" s="357">
        <v>49699.94</v>
      </c>
      <c r="G110" s="6222">
        <v>22044</v>
      </c>
      <c r="H110" s="6222">
        <v>12104</v>
      </c>
      <c r="I110" s="357">
        <v>9940</v>
      </c>
      <c r="J110" s="357">
        <v>292.02</v>
      </c>
      <c r="K110" s="357">
        <v>58.4</v>
      </c>
      <c r="L110" s="6228"/>
    </row>
    <row r="111" spans="1:12" ht="33.75" x14ac:dyDescent="0.2">
      <c r="A111" s="6226"/>
      <c r="B111" s="6227"/>
      <c r="C111" s="355" t="s">
        <v>491</v>
      </c>
      <c r="D111" s="357" t="s">
        <v>739</v>
      </c>
      <c r="E111" s="357">
        <v>60521.599999999999</v>
      </c>
      <c r="F111" s="357">
        <v>12684.38</v>
      </c>
      <c r="G111" s="6226"/>
      <c r="H111" s="6226"/>
      <c r="I111" s="357">
        <v>2537</v>
      </c>
      <c r="J111" s="357">
        <v>49.67</v>
      </c>
      <c r="K111" s="357">
        <v>9.93</v>
      </c>
      <c r="L111" s="6211"/>
    </row>
    <row r="112" spans="1:12" ht="34.5" thickBot="1" x14ac:dyDescent="0.25">
      <c r="A112" s="6223"/>
      <c r="B112" s="6225"/>
      <c r="C112" s="353" t="s">
        <v>738</v>
      </c>
      <c r="D112" s="358"/>
      <c r="E112" s="358"/>
      <c r="F112" s="358"/>
      <c r="G112" s="6223"/>
      <c r="H112" s="6223"/>
      <c r="I112" s="358"/>
      <c r="J112" s="358"/>
      <c r="K112" s="358"/>
      <c r="L112" s="6211"/>
    </row>
    <row r="113" spans="1:12" x14ac:dyDescent="0.2">
      <c r="A113" s="6222">
        <v>3</v>
      </c>
      <c r="B113" s="6224" t="s">
        <v>740</v>
      </c>
      <c r="C113" s="355" t="s">
        <v>741</v>
      </c>
      <c r="D113" s="356">
        <v>20</v>
      </c>
      <c r="E113" s="357">
        <v>534.51</v>
      </c>
      <c r="F113" s="357">
        <v>0</v>
      </c>
      <c r="G113" s="6222">
        <v>10690</v>
      </c>
      <c r="H113" s="6222">
        <v>10690</v>
      </c>
      <c r="I113" s="357">
        <v>0</v>
      </c>
      <c r="J113" s="357">
        <v>2.72</v>
      </c>
      <c r="K113" s="357">
        <v>54.48</v>
      </c>
      <c r="L113" s="6211"/>
    </row>
    <row r="114" spans="1:12" x14ac:dyDescent="0.2">
      <c r="A114" s="6226"/>
      <c r="B114" s="6227"/>
      <c r="C114" s="355" t="s">
        <v>491</v>
      </c>
      <c r="D114" s="357" t="s">
        <v>455</v>
      </c>
      <c r="E114" s="357">
        <v>534.51</v>
      </c>
      <c r="F114" s="357">
        <v>0</v>
      </c>
      <c r="G114" s="6226"/>
      <c r="H114" s="6226"/>
      <c r="I114" s="357">
        <v>0</v>
      </c>
      <c r="J114" s="357">
        <v>0</v>
      </c>
      <c r="K114" s="357">
        <v>0</v>
      </c>
      <c r="L114" s="6211"/>
    </row>
    <row r="115" spans="1:12" ht="34.5" thickBot="1" x14ac:dyDescent="0.25">
      <c r="A115" s="6223"/>
      <c r="B115" s="6225"/>
      <c r="C115" s="353" t="s">
        <v>738</v>
      </c>
      <c r="D115" s="358"/>
      <c r="E115" s="358"/>
      <c r="F115" s="358"/>
      <c r="G115" s="6223"/>
      <c r="H115" s="6223"/>
      <c r="I115" s="358"/>
      <c r="J115" s="358"/>
      <c r="K115" s="358"/>
      <c r="L115" s="6211"/>
    </row>
    <row r="116" spans="1:12" x14ac:dyDescent="0.2">
      <c r="A116" s="6222">
        <v>4</v>
      </c>
      <c r="B116" s="6224" t="s">
        <v>742</v>
      </c>
      <c r="C116" s="355" t="s">
        <v>743</v>
      </c>
      <c r="D116" s="356">
        <v>10</v>
      </c>
      <c r="E116" s="357">
        <v>345.7</v>
      </c>
      <c r="F116" s="357">
        <v>63.38</v>
      </c>
      <c r="G116" s="6222">
        <v>3457</v>
      </c>
      <c r="H116" s="6222">
        <v>2823</v>
      </c>
      <c r="I116" s="357">
        <v>634</v>
      </c>
      <c r="J116" s="357">
        <v>1.31</v>
      </c>
      <c r="K116" s="357">
        <v>13.1</v>
      </c>
      <c r="L116" s="6211"/>
    </row>
    <row r="117" spans="1:12" ht="34.5" thickBot="1" x14ac:dyDescent="0.25">
      <c r="A117" s="6223"/>
      <c r="B117" s="6225"/>
      <c r="C117" s="353" t="s">
        <v>666</v>
      </c>
      <c r="D117" s="354" t="s">
        <v>744</v>
      </c>
      <c r="E117" s="354">
        <v>282.32</v>
      </c>
      <c r="F117" s="354">
        <v>0</v>
      </c>
      <c r="G117" s="6223"/>
      <c r="H117" s="6223"/>
      <c r="I117" s="354">
        <v>0</v>
      </c>
      <c r="J117" s="354">
        <v>7.0000000000000007E-2</v>
      </c>
      <c r="K117" s="354">
        <v>0.7</v>
      </c>
      <c r="L117" s="6211"/>
    </row>
    <row r="118" spans="1:12" ht="33.75" x14ac:dyDescent="0.2">
      <c r="A118" s="6222">
        <v>5</v>
      </c>
      <c r="B118" s="6224" t="s">
        <v>489</v>
      </c>
      <c r="C118" s="355" t="s">
        <v>490</v>
      </c>
      <c r="D118" s="356">
        <v>0.8</v>
      </c>
      <c r="E118" s="357">
        <v>64165.23</v>
      </c>
      <c r="F118" s="357">
        <v>8630.9699999999993</v>
      </c>
      <c r="G118" s="6222">
        <v>51332</v>
      </c>
      <c r="H118" s="6222">
        <v>15897</v>
      </c>
      <c r="I118" s="357">
        <v>6905</v>
      </c>
      <c r="J118" s="357">
        <v>95.88</v>
      </c>
      <c r="K118" s="357">
        <v>76.7</v>
      </c>
      <c r="L118" s="6211"/>
    </row>
    <row r="119" spans="1:12" x14ac:dyDescent="0.2">
      <c r="A119" s="6226"/>
      <c r="B119" s="6227"/>
      <c r="C119" s="355" t="s">
        <v>491</v>
      </c>
      <c r="D119" s="357" t="s">
        <v>492</v>
      </c>
      <c r="E119" s="357">
        <v>19871.29</v>
      </c>
      <c r="F119" s="357">
        <v>2421.77</v>
      </c>
      <c r="G119" s="6226"/>
      <c r="H119" s="6226"/>
      <c r="I119" s="357">
        <v>1937</v>
      </c>
      <c r="J119" s="357">
        <v>7.81</v>
      </c>
      <c r="K119" s="357">
        <v>6.25</v>
      </c>
      <c r="L119" s="6211"/>
    </row>
    <row r="120" spans="1:12" ht="34.5" thickBot="1" x14ac:dyDescent="0.25">
      <c r="A120" s="6223"/>
      <c r="B120" s="6225"/>
      <c r="C120" s="353" t="s">
        <v>738</v>
      </c>
      <c r="D120" s="358"/>
      <c r="E120" s="358"/>
      <c r="F120" s="358"/>
      <c r="G120" s="6223"/>
      <c r="H120" s="6223"/>
      <c r="I120" s="358"/>
      <c r="J120" s="358"/>
      <c r="K120" s="358"/>
      <c r="L120" s="6211"/>
    </row>
    <row r="121" spans="1:12" x14ac:dyDescent="0.2">
      <c r="A121" s="6222">
        <v>6</v>
      </c>
      <c r="B121" s="6224" t="s">
        <v>494</v>
      </c>
      <c r="C121" s="355" t="s">
        <v>495</v>
      </c>
      <c r="D121" s="356">
        <v>4.5</v>
      </c>
      <c r="E121" s="357">
        <v>11932</v>
      </c>
      <c r="F121" s="357">
        <v>307.44</v>
      </c>
      <c r="G121" s="6222">
        <v>53694</v>
      </c>
      <c r="H121" s="6222">
        <v>35040</v>
      </c>
      <c r="I121" s="357">
        <v>1383</v>
      </c>
      <c r="J121" s="357">
        <v>38.93</v>
      </c>
      <c r="K121" s="357">
        <v>175.18</v>
      </c>
      <c r="L121" s="6211"/>
    </row>
    <row r="122" spans="1:12" x14ac:dyDescent="0.2">
      <c r="A122" s="6226"/>
      <c r="B122" s="6227"/>
      <c r="C122" s="355" t="s">
        <v>496</v>
      </c>
      <c r="D122" s="357" t="s">
        <v>497</v>
      </c>
      <c r="E122" s="357">
        <v>7786.59</v>
      </c>
      <c r="F122" s="357">
        <v>133.93</v>
      </c>
      <c r="G122" s="6226"/>
      <c r="H122" s="6226"/>
      <c r="I122" s="357">
        <v>603</v>
      </c>
      <c r="J122" s="357">
        <v>0.43</v>
      </c>
      <c r="K122" s="357">
        <v>1.94</v>
      </c>
      <c r="L122" s="6211"/>
    </row>
    <row r="123" spans="1:12" ht="34.5" thickBot="1" x14ac:dyDescent="0.25">
      <c r="A123" s="6223"/>
      <c r="B123" s="6225"/>
      <c r="C123" s="353" t="s">
        <v>738</v>
      </c>
      <c r="D123" s="358"/>
      <c r="E123" s="358"/>
      <c r="F123" s="358"/>
      <c r="G123" s="6223"/>
      <c r="H123" s="6223"/>
      <c r="I123" s="358"/>
      <c r="J123" s="358"/>
      <c r="K123" s="358"/>
      <c r="L123" s="6211"/>
    </row>
    <row r="124" spans="1:12" x14ac:dyDescent="0.2">
      <c r="A124" s="6222">
        <v>7</v>
      </c>
      <c r="B124" s="6224" t="s">
        <v>498</v>
      </c>
      <c r="C124" s="355" t="s">
        <v>499</v>
      </c>
      <c r="D124" s="356">
        <v>3.4</v>
      </c>
      <c r="E124" s="357">
        <v>13649.9</v>
      </c>
      <c r="F124" s="357">
        <v>54.34</v>
      </c>
      <c r="G124" s="6222">
        <v>46410</v>
      </c>
      <c r="H124" s="6222">
        <v>25063</v>
      </c>
      <c r="I124" s="357">
        <v>185</v>
      </c>
      <c r="J124" s="357">
        <v>34.65</v>
      </c>
      <c r="K124" s="357">
        <v>117.81</v>
      </c>
      <c r="L124" s="6211"/>
    </row>
    <row r="125" spans="1:12" x14ac:dyDescent="0.2">
      <c r="A125" s="6226"/>
      <c r="B125" s="6227"/>
      <c r="C125" s="355" t="s">
        <v>496</v>
      </c>
      <c r="D125" s="357" t="s">
        <v>492</v>
      </c>
      <c r="E125" s="357">
        <v>7371.52</v>
      </c>
      <c r="F125" s="357">
        <v>0</v>
      </c>
      <c r="G125" s="6226"/>
      <c r="H125" s="6226"/>
      <c r="I125" s="357">
        <v>0</v>
      </c>
      <c r="J125" s="357">
        <v>0.06</v>
      </c>
      <c r="K125" s="357">
        <v>0.2</v>
      </c>
      <c r="L125" s="6211"/>
    </row>
    <row r="126" spans="1:12" ht="34.5" thickBot="1" x14ac:dyDescent="0.25">
      <c r="A126" s="6223"/>
      <c r="B126" s="6225"/>
      <c r="C126" s="353" t="s">
        <v>738</v>
      </c>
      <c r="D126" s="358"/>
      <c r="E126" s="358"/>
      <c r="F126" s="358"/>
      <c r="G126" s="6223"/>
      <c r="H126" s="6223"/>
      <c r="I126" s="358"/>
      <c r="J126" s="358"/>
      <c r="K126" s="358"/>
      <c r="L126" s="6211"/>
    </row>
    <row r="127" spans="1:12" ht="22.5" x14ac:dyDescent="0.2">
      <c r="A127" s="6222">
        <v>8</v>
      </c>
      <c r="B127" s="6224" t="s">
        <v>745</v>
      </c>
      <c r="C127" s="355" t="s">
        <v>746</v>
      </c>
      <c r="D127" s="356">
        <v>20</v>
      </c>
      <c r="E127" s="357">
        <v>1297.83</v>
      </c>
      <c r="F127" s="357">
        <v>27.64</v>
      </c>
      <c r="G127" s="6222">
        <v>25957</v>
      </c>
      <c r="H127" s="6222">
        <v>25404</v>
      </c>
      <c r="I127" s="357">
        <v>553</v>
      </c>
      <c r="J127" s="357">
        <v>6.58</v>
      </c>
      <c r="K127" s="357">
        <v>131.6</v>
      </c>
      <c r="L127" s="6211"/>
    </row>
    <row r="128" spans="1:12" ht="34.5" thickBot="1" x14ac:dyDescent="0.25">
      <c r="A128" s="6223"/>
      <c r="B128" s="6225"/>
      <c r="C128" s="353" t="s">
        <v>666</v>
      </c>
      <c r="D128" s="354" t="s">
        <v>747</v>
      </c>
      <c r="E128" s="354">
        <v>1270.19</v>
      </c>
      <c r="F128" s="354">
        <v>0</v>
      </c>
      <c r="G128" s="6223"/>
      <c r="H128" s="6223"/>
      <c r="I128" s="354">
        <v>0</v>
      </c>
      <c r="J128" s="354">
        <v>0</v>
      </c>
      <c r="K128" s="354">
        <v>0</v>
      </c>
      <c r="L128" s="6211"/>
    </row>
    <row r="129" spans="1:12" x14ac:dyDescent="0.2">
      <c r="A129" s="6222">
        <v>9</v>
      </c>
      <c r="B129" s="6224" t="s">
        <v>748</v>
      </c>
      <c r="C129" s="355" t="s">
        <v>749</v>
      </c>
      <c r="D129" s="356">
        <v>25</v>
      </c>
      <c r="E129" s="357">
        <v>336.26</v>
      </c>
      <c r="F129" s="357">
        <v>90.6</v>
      </c>
      <c r="G129" s="6222">
        <v>8406</v>
      </c>
      <c r="H129" s="6222">
        <v>6142</v>
      </c>
      <c r="I129" s="357">
        <v>2265</v>
      </c>
      <c r="J129" s="357">
        <v>1.1399999999999999</v>
      </c>
      <c r="K129" s="357">
        <v>28.5</v>
      </c>
      <c r="L129" s="6211"/>
    </row>
    <row r="130" spans="1:12" ht="34.5" thickBot="1" x14ac:dyDescent="0.25">
      <c r="A130" s="6223"/>
      <c r="B130" s="6225"/>
      <c r="C130" s="353" t="s">
        <v>666</v>
      </c>
      <c r="D130" s="354" t="s">
        <v>750</v>
      </c>
      <c r="E130" s="354">
        <v>245.66</v>
      </c>
      <c r="F130" s="354">
        <v>0</v>
      </c>
      <c r="G130" s="6223"/>
      <c r="H130" s="6223"/>
      <c r="I130" s="354">
        <v>0</v>
      </c>
      <c r="J130" s="354">
        <v>0.1</v>
      </c>
      <c r="K130" s="354">
        <v>2.5</v>
      </c>
      <c r="L130" s="6211"/>
    </row>
    <row r="131" spans="1:12" x14ac:dyDescent="0.2">
      <c r="A131" s="6222">
        <v>10</v>
      </c>
      <c r="B131" s="6224" t="s">
        <v>751</v>
      </c>
      <c r="C131" s="355" t="s">
        <v>752</v>
      </c>
      <c r="D131" s="356">
        <v>10</v>
      </c>
      <c r="E131" s="357">
        <v>491.39</v>
      </c>
      <c r="F131" s="357">
        <v>90.6</v>
      </c>
      <c r="G131" s="6222">
        <v>4914</v>
      </c>
      <c r="H131" s="6222">
        <v>4008</v>
      </c>
      <c r="I131" s="357">
        <v>906</v>
      </c>
      <c r="J131" s="357">
        <v>1.86</v>
      </c>
      <c r="K131" s="357">
        <v>18.600000000000001</v>
      </c>
      <c r="L131" s="6211"/>
    </row>
    <row r="132" spans="1:12" ht="34.5" thickBot="1" x14ac:dyDescent="0.25">
      <c r="A132" s="6223"/>
      <c r="B132" s="6225"/>
      <c r="C132" s="353" t="s">
        <v>666</v>
      </c>
      <c r="D132" s="354" t="s">
        <v>750</v>
      </c>
      <c r="E132" s="354">
        <v>400.79</v>
      </c>
      <c r="F132" s="354">
        <v>0</v>
      </c>
      <c r="G132" s="6223"/>
      <c r="H132" s="6223"/>
      <c r="I132" s="354">
        <v>0</v>
      </c>
      <c r="J132" s="354">
        <v>0.1</v>
      </c>
      <c r="K132" s="354">
        <v>1</v>
      </c>
      <c r="L132" s="6211"/>
    </row>
    <row r="133" spans="1:12" x14ac:dyDescent="0.2">
      <c r="A133" s="6222">
        <v>11</v>
      </c>
      <c r="B133" s="6224" t="s">
        <v>753</v>
      </c>
      <c r="C133" s="355" t="s">
        <v>754</v>
      </c>
      <c r="D133" s="356">
        <v>10</v>
      </c>
      <c r="E133" s="357">
        <v>1049.04</v>
      </c>
      <c r="F133" s="357">
        <v>521.05999999999995</v>
      </c>
      <c r="G133" s="6222">
        <v>10490</v>
      </c>
      <c r="H133" s="6222">
        <v>5280</v>
      </c>
      <c r="I133" s="357">
        <v>5211</v>
      </c>
      <c r="J133" s="357">
        <v>2.4500000000000002</v>
      </c>
      <c r="K133" s="357">
        <v>24.5</v>
      </c>
      <c r="L133" s="6211"/>
    </row>
    <row r="134" spans="1:12" ht="34.5" thickBot="1" x14ac:dyDescent="0.25">
      <c r="A134" s="6223"/>
      <c r="B134" s="6225"/>
      <c r="C134" s="353" t="s">
        <v>666</v>
      </c>
      <c r="D134" s="354" t="s">
        <v>750</v>
      </c>
      <c r="E134" s="354">
        <v>527.98</v>
      </c>
      <c r="F134" s="354">
        <v>124.7</v>
      </c>
      <c r="G134" s="6223"/>
      <c r="H134" s="6223"/>
      <c r="I134" s="354">
        <v>1247</v>
      </c>
      <c r="J134" s="354">
        <v>0.47</v>
      </c>
      <c r="K134" s="354">
        <v>4.7</v>
      </c>
      <c r="L134" s="6211"/>
    </row>
    <row r="135" spans="1:12" ht="22.5" x14ac:dyDescent="0.2">
      <c r="A135" s="6222">
        <v>12</v>
      </c>
      <c r="B135" s="6224" t="s">
        <v>452</v>
      </c>
      <c r="C135" s="355" t="s">
        <v>453</v>
      </c>
      <c r="D135" s="356">
        <v>10</v>
      </c>
      <c r="E135" s="357">
        <v>4803.8100000000004</v>
      </c>
      <c r="F135" s="357">
        <v>90.6</v>
      </c>
      <c r="G135" s="6222">
        <v>48038</v>
      </c>
      <c r="H135" s="6222">
        <v>9637</v>
      </c>
      <c r="I135" s="357">
        <v>906</v>
      </c>
      <c r="J135" s="357">
        <v>4.53</v>
      </c>
      <c r="K135" s="357">
        <v>45.3</v>
      </c>
      <c r="L135" s="6211"/>
    </row>
    <row r="136" spans="1:12" ht="34.5" thickBot="1" x14ac:dyDescent="0.25">
      <c r="A136" s="6223"/>
      <c r="B136" s="6225"/>
      <c r="C136" s="353" t="s">
        <v>666</v>
      </c>
      <c r="D136" s="354" t="s">
        <v>455</v>
      </c>
      <c r="E136" s="354">
        <v>963.68</v>
      </c>
      <c r="F136" s="354">
        <v>0</v>
      </c>
      <c r="G136" s="6223"/>
      <c r="H136" s="6223"/>
      <c r="I136" s="354">
        <v>0</v>
      </c>
      <c r="J136" s="354">
        <v>0.1</v>
      </c>
      <c r="K136" s="354">
        <v>1</v>
      </c>
      <c r="L136" s="6211"/>
    </row>
    <row r="137" spans="1:12" ht="22.5" x14ac:dyDescent="0.2">
      <c r="A137" s="6222">
        <v>13</v>
      </c>
      <c r="B137" s="6224" t="s">
        <v>456</v>
      </c>
      <c r="C137" s="355" t="s">
        <v>457</v>
      </c>
      <c r="D137" s="356">
        <v>6</v>
      </c>
      <c r="E137" s="357">
        <v>1472.01</v>
      </c>
      <c r="F137" s="357">
        <v>9.0399999999999991</v>
      </c>
      <c r="G137" s="6222">
        <v>8832</v>
      </c>
      <c r="H137" s="6222">
        <v>1339</v>
      </c>
      <c r="I137" s="357">
        <v>54</v>
      </c>
      <c r="J137" s="357">
        <v>1.01</v>
      </c>
      <c r="K137" s="357">
        <v>6.06</v>
      </c>
      <c r="L137" s="6211"/>
    </row>
    <row r="138" spans="1:12" ht="57" thickBot="1" x14ac:dyDescent="0.25">
      <c r="A138" s="6223"/>
      <c r="B138" s="6225"/>
      <c r="C138" s="353" t="s">
        <v>666</v>
      </c>
      <c r="D138" s="354" t="s">
        <v>458</v>
      </c>
      <c r="E138" s="354">
        <v>223.21</v>
      </c>
      <c r="F138" s="354">
        <v>0</v>
      </c>
      <c r="G138" s="6223"/>
      <c r="H138" s="6223"/>
      <c r="I138" s="354">
        <v>0</v>
      </c>
      <c r="J138" s="354">
        <v>0.01</v>
      </c>
      <c r="K138" s="354">
        <v>0.06</v>
      </c>
      <c r="L138" s="6211"/>
    </row>
    <row r="139" spans="1:12" ht="22.5" x14ac:dyDescent="0.2">
      <c r="A139" s="6222">
        <v>14</v>
      </c>
      <c r="B139" s="6224" t="s">
        <v>459</v>
      </c>
      <c r="C139" s="355" t="s">
        <v>460</v>
      </c>
      <c r="D139" s="356">
        <v>6</v>
      </c>
      <c r="E139" s="357">
        <v>2364.29</v>
      </c>
      <c r="F139" s="357">
        <v>27.22</v>
      </c>
      <c r="G139" s="6222">
        <v>14186</v>
      </c>
      <c r="H139" s="6222">
        <v>2215</v>
      </c>
      <c r="I139" s="357">
        <v>163</v>
      </c>
      <c r="J139" s="357">
        <v>1.67</v>
      </c>
      <c r="K139" s="357">
        <v>10.02</v>
      </c>
      <c r="L139" s="6211"/>
    </row>
    <row r="140" spans="1:12" ht="57" thickBot="1" x14ac:dyDescent="0.25">
      <c r="A140" s="6223"/>
      <c r="B140" s="6225"/>
      <c r="C140" s="353" t="s">
        <v>666</v>
      </c>
      <c r="D140" s="354" t="s">
        <v>458</v>
      </c>
      <c r="E140" s="354">
        <v>369.11</v>
      </c>
      <c r="F140" s="354">
        <v>0</v>
      </c>
      <c r="G140" s="6223"/>
      <c r="H140" s="6223"/>
      <c r="I140" s="354">
        <v>0</v>
      </c>
      <c r="J140" s="354">
        <v>0.03</v>
      </c>
      <c r="K140" s="354">
        <v>0.18</v>
      </c>
      <c r="L140" s="6211"/>
    </row>
    <row r="141" spans="1:12" ht="22.5" x14ac:dyDescent="0.2">
      <c r="A141" s="6222">
        <v>15</v>
      </c>
      <c r="B141" s="6224" t="s">
        <v>461</v>
      </c>
      <c r="C141" s="355" t="s">
        <v>462</v>
      </c>
      <c r="D141" s="356">
        <v>5</v>
      </c>
      <c r="E141" s="357">
        <v>2703.56</v>
      </c>
      <c r="F141" s="357">
        <v>27.22</v>
      </c>
      <c r="G141" s="6222">
        <v>13518</v>
      </c>
      <c r="H141" s="6222">
        <v>1878</v>
      </c>
      <c r="I141" s="357">
        <v>136</v>
      </c>
      <c r="J141" s="357">
        <v>1.7</v>
      </c>
      <c r="K141" s="357">
        <v>8.5</v>
      </c>
      <c r="L141" s="6211"/>
    </row>
    <row r="142" spans="1:12" ht="57" thickBot="1" x14ac:dyDescent="0.25">
      <c r="A142" s="6223"/>
      <c r="B142" s="6225"/>
      <c r="C142" s="353" t="s">
        <v>666</v>
      </c>
      <c r="D142" s="354" t="s">
        <v>458</v>
      </c>
      <c r="E142" s="354">
        <v>375.6</v>
      </c>
      <c r="F142" s="354">
        <v>0</v>
      </c>
      <c r="G142" s="6223"/>
      <c r="H142" s="6223"/>
      <c r="I142" s="354">
        <v>0</v>
      </c>
      <c r="J142" s="354">
        <v>0.03</v>
      </c>
      <c r="K142" s="354">
        <v>0.15</v>
      </c>
      <c r="L142" s="6211"/>
    </row>
    <row r="143" spans="1:12" ht="22.5" x14ac:dyDescent="0.2">
      <c r="A143" s="6222">
        <v>16</v>
      </c>
      <c r="B143" s="6224" t="s">
        <v>463</v>
      </c>
      <c r="C143" s="355" t="s">
        <v>464</v>
      </c>
      <c r="D143" s="356">
        <v>4</v>
      </c>
      <c r="E143" s="357">
        <v>4736.55</v>
      </c>
      <c r="F143" s="357">
        <v>63.38</v>
      </c>
      <c r="G143" s="6222">
        <v>18946</v>
      </c>
      <c r="H143" s="6222">
        <v>2515</v>
      </c>
      <c r="I143" s="357">
        <v>254</v>
      </c>
      <c r="J143" s="357">
        <v>2.78</v>
      </c>
      <c r="K143" s="357">
        <v>11.12</v>
      </c>
      <c r="L143" s="6211"/>
    </row>
    <row r="144" spans="1:12" ht="57" thickBot="1" x14ac:dyDescent="0.25">
      <c r="A144" s="6223"/>
      <c r="B144" s="6225"/>
      <c r="C144" s="353" t="s">
        <v>666</v>
      </c>
      <c r="D144" s="354" t="s">
        <v>458</v>
      </c>
      <c r="E144" s="354">
        <v>628.74</v>
      </c>
      <c r="F144" s="354">
        <v>0</v>
      </c>
      <c r="G144" s="6223"/>
      <c r="H144" s="6223"/>
      <c r="I144" s="354">
        <v>0</v>
      </c>
      <c r="J144" s="354">
        <v>7.0000000000000007E-2</v>
      </c>
      <c r="K144" s="354">
        <v>0.28000000000000003</v>
      </c>
      <c r="L144" s="6211"/>
    </row>
    <row r="145" spans="1:12" ht="22.5" x14ac:dyDescent="0.2">
      <c r="A145" s="6222">
        <v>17</v>
      </c>
      <c r="B145" s="6224" t="s">
        <v>465</v>
      </c>
      <c r="C145" s="355" t="s">
        <v>466</v>
      </c>
      <c r="D145" s="356">
        <v>4</v>
      </c>
      <c r="E145" s="357">
        <v>7296.17</v>
      </c>
      <c r="F145" s="357">
        <v>500.38</v>
      </c>
      <c r="G145" s="6222">
        <v>29185</v>
      </c>
      <c r="H145" s="6222">
        <v>3599</v>
      </c>
      <c r="I145" s="357">
        <v>2002</v>
      </c>
      <c r="J145" s="357">
        <v>3.93</v>
      </c>
      <c r="K145" s="357">
        <v>15.72</v>
      </c>
      <c r="L145" s="6211"/>
    </row>
    <row r="146" spans="1:12" ht="57" thickBot="1" x14ac:dyDescent="0.25">
      <c r="A146" s="6223"/>
      <c r="B146" s="6225"/>
      <c r="C146" s="353" t="s">
        <v>666</v>
      </c>
      <c r="D146" s="354" t="s">
        <v>458</v>
      </c>
      <c r="E146" s="354">
        <v>899.84</v>
      </c>
      <c r="F146" s="354">
        <v>89.04</v>
      </c>
      <c r="G146" s="6223"/>
      <c r="H146" s="6223"/>
      <c r="I146" s="354">
        <v>356</v>
      </c>
      <c r="J146" s="354">
        <v>0.36</v>
      </c>
      <c r="K146" s="354">
        <v>1.44</v>
      </c>
      <c r="L146" s="6211"/>
    </row>
    <row r="147" spans="1:12" ht="22.5" x14ac:dyDescent="0.2">
      <c r="A147" s="6222">
        <v>18</v>
      </c>
      <c r="B147" s="6224" t="s">
        <v>467</v>
      </c>
      <c r="C147" s="355" t="s">
        <v>468</v>
      </c>
      <c r="D147" s="356">
        <v>0.1</v>
      </c>
      <c r="E147" s="357">
        <v>127224.66</v>
      </c>
      <c r="F147" s="357">
        <v>36.26</v>
      </c>
      <c r="G147" s="6222">
        <v>12722</v>
      </c>
      <c r="H147" s="6222">
        <v>11222</v>
      </c>
      <c r="I147" s="357">
        <v>4</v>
      </c>
      <c r="J147" s="357">
        <v>520.79999999999995</v>
      </c>
      <c r="K147" s="357">
        <v>52.08</v>
      </c>
      <c r="L147" s="6211"/>
    </row>
    <row r="148" spans="1:12" ht="34.5" thickBot="1" x14ac:dyDescent="0.25">
      <c r="A148" s="6223"/>
      <c r="B148" s="6225"/>
      <c r="C148" s="353" t="s">
        <v>666</v>
      </c>
      <c r="D148" s="354" t="s">
        <v>469</v>
      </c>
      <c r="E148" s="354">
        <v>112222.52</v>
      </c>
      <c r="F148" s="354">
        <v>0</v>
      </c>
      <c r="G148" s="6223"/>
      <c r="H148" s="6223"/>
      <c r="I148" s="354">
        <v>0</v>
      </c>
      <c r="J148" s="354">
        <v>0.04</v>
      </c>
      <c r="K148" s="354">
        <v>0</v>
      </c>
      <c r="L148" s="6211"/>
    </row>
    <row r="149" spans="1:12" ht="22.5" x14ac:dyDescent="0.2">
      <c r="A149" s="6222">
        <v>19</v>
      </c>
      <c r="B149" s="6224" t="s">
        <v>470</v>
      </c>
      <c r="C149" s="355" t="s">
        <v>471</v>
      </c>
      <c r="D149" s="356">
        <v>0.06</v>
      </c>
      <c r="E149" s="357">
        <v>184530.95</v>
      </c>
      <c r="F149" s="357">
        <v>63.38</v>
      </c>
      <c r="G149" s="6222">
        <v>11072</v>
      </c>
      <c r="H149" s="6222">
        <v>9479</v>
      </c>
      <c r="I149" s="357">
        <v>4</v>
      </c>
      <c r="J149" s="357">
        <v>733.2</v>
      </c>
      <c r="K149" s="357">
        <v>43.99</v>
      </c>
      <c r="L149" s="6211"/>
    </row>
    <row r="150" spans="1:12" ht="34.5" thickBot="1" x14ac:dyDescent="0.25">
      <c r="A150" s="6223"/>
      <c r="B150" s="6225"/>
      <c r="C150" s="353" t="s">
        <v>666</v>
      </c>
      <c r="D150" s="354" t="s">
        <v>469</v>
      </c>
      <c r="E150" s="354">
        <v>157991.16</v>
      </c>
      <c r="F150" s="354">
        <v>0</v>
      </c>
      <c r="G150" s="6223"/>
      <c r="H150" s="6223"/>
      <c r="I150" s="354">
        <v>0</v>
      </c>
      <c r="J150" s="354">
        <v>7.0000000000000007E-2</v>
      </c>
      <c r="K150" s="354">
        <v>0</v>
      </c>
      <c r="L150" s="6211"/>
    </row>
    <row r="151" spans="1:12" ht="22.5" x14ac:dyDescent="0.2">
      <c r="A151" s="6222">
        <v>20</v>
      </c>
      <c r="B151" s="6224" t="s">
        <v>472</v>
      </c>
      <c r="C151" s="355" t="s">
        <v>473</v>
      </c>
      <c r="D151" s="356">
        <v>0.06</v>
      </c>
      <c r="E151" s="357">
        <v>249630.38</v>
      </c>
      <c r="F151" s="357">
        <v>81.56</v>
      </c>
      <c r="G151" s="6222">
        <v>14978</v>
      </c>
      <c r="H151" s="6222">
        <v>12766</v>
      </c>
      <c r="I151" s="357">
        <v>5</v>
      </c>
      <c r="J151" s="357">
        <v>987.4</v>
      </c>
      <c r="K151" s="357">
        <v>59.24</v>
      </c>
      <c r="L151" s="6211"/>
    </row>
    <row r="152" spans="1:12" ht="34.5" thickBot="1" x14ac:dyDescent="0.25">
      <c r="A152" s="6223"/>
      <c r="B152" s="6225"/>
      <c r="C152" s="353" t="s">
        <v>666</v>
      </c>
      <c r="D152" s="354" t="s">
        <v>469</v>
      </c>
      <c r="E152" s="354">
        <v>212766.63</v>
      </c>
      <c r="F152" s="354">
        <v>0</v>
      </c>
      <c r="G152" s="6223"/>
      <c r="H152" s="6223"/>
      <c r="I152" s="354">
        <v>0</v>
      </c>
      <c r="J152" s="354">
        <v>0.09</v>
      </c>
      <c r="K152" s="354">
        <v>0.01</v>
      </c>
      <c r="L152" s="6211"/>
    </row>
    <row r="153" spans="1:12" ht="13.5" thickBot="1" x14ac:dyDescent="0.25">
      <c r="A153" s="6212"/>
      <c r="B153" s="6213"/>
      <c r="C153" s="6213"/>
      <c r="D153" s="6213"/>
      <c r="E153" s="6213"/>
      <c r="F153" s="6213"/>
      <c r="G153" s="6213"/>
      <c r="H153" s="6213"/>
      <c r="I153" s="6213"/>
      <c r="J153" s="6213"/>
      <c r="K153" s="6214"/>
      <c r="L153" s="633"/>
    </row>
    <row r="154" spans="1:12" x14ac:dyDescent="0.2">
      <c r="A154" s="6215" t="s">
        <v>691</v>
      </c>
      <c r="B154" s="6216"/>
      <c r="C154" s="6216"/>
      <c r="D154" s="6216"/>
      <c r="E154" s="6216"/>
      <c r="F154" s="6218"/>
      <c r="G154" s="6218">
        <v>424248</v>
      </c>
      <c r="H154" s="6218">
        <v>197101</v>
      </c>
      <c r="I154" s="624">
        <v>46887</v>
      </c>
      <c r="J154" s="6218"/>
      <c r="K154" s="357">
        <v>950.91</v>
      </c>
      <c r="L154" s="6211"/>
    </row>
    <row r="155" spans="1:12" ht="13.5" thickBot="1" x14ac:dyDescent="0.25">
      <c r="A155" s="6217"/>
      <c r="B155" s="6210"/>
      <c r="C155" s="6210"/>
      <c r="D155" s="6210"/>
      <c r="E155" s="6210"/>
      <c r="F155" s="6219"/>
      <c r="G155" s="6219"/>
      <c r="H155" s="6219"/>
      <c r="I155" s="614">
        <v>26192</v>
      </c>
      <c r="J155" s="6219"/>
      <c r="K155" s="354">
        <v>108.11</v>
      </c>
      <c r="L155" s="6211"/>
    </row>
    <row r="156" spans="1:12" ht="13.5" thickBot="1" x14ac:dyDescent="0.25">
      <c r="A156" s="6212"/>
      <c r="B156" s="6213"/>
      <c r="C156" s="6213"/>
      <c r="D156" s="6213"/>
      <c r="E156" s="6213"/>
      <c r="F156" s="6213"/>
      <c r="G156" s="6213"/>
      <c r="H156" s="6213"/>
      <c r="I156" s="6213"/>
      <c r="J156" s="6213"/>
      <c r="K156" s="6214"/>
      <c r="L156" s="633"/>
    </row>
    <row r="157" spans="1:12" x14ac:dyDescent="0.2">
      <c r="A157" s="6215" t="s">
        <v>692</v>
      </c>
      <c r="B157" s="6216"/>
      <c r="C157" s="6216"/>
      <c r="D157" s="6216"/>
      <c r="E157" s="6216"/>
      <c r="F157" s="6218"/>
      <c r="G157" s="6218">
        <v>424248</v>
      </c>
      <c r="H157" s="6218">
        <v>197101</v>
      </c>
      <c r="I157" s="624">
        <v>46887</v>
      </c>
      <c r="J157" s="6218"/>
      <c r="K157" s="357">
        <v>950.91</v>
      </c>
      <c r="L157" s="6211"/>
    </row>
    <row r="158" spans="1:12" ht="13.5" thickBot="1" x14ac:dyDescent="0.25">
      <c r="A158" s="6217"/>
      <c r="B158" s="6210"/>
      <c r="C158" s="6210"/>
      <c r="D158" s="6210"/>
      <c r="E158" s="6210"/>
      <c r="F158" s="6219"/>
      <c r="G158" s="6219"/>
      <c r="H158" s="6219"/>
      <c r="I158" s="614">
        <v>26192</v>
      </c>
      <c r="J158" s="6219"/>
      <c r="K158" s="354">
        <v>108.11</v>
      </c>
      <c r="L158" s="6211"/>
    </row>
    <row r="159" spans="1:12" ht="13.5" thickBot="1" x14ac:dyDescent="0.25">
      <c r="A159" s="609"/>
      <c r="B159" s="610"/>
      <c r="C159" s="610"/>
      <c r="D159" s="610"/>
      <c r="E159" s="610"/>
      <c r="F159" s="610"/>
      <c r="G159" s="610"/>
      <c r="H159" s="610"/>
      <c r="I159" s="610"/>
      <c r="J159" s="610"/>
      <c r="K159" s="610"/>
      <c r="L159" s="633"/>
    </row>
    <row r="160" spans="1:12" x14ac:dyDescent="0.2">
      <c r="A160" s="626"/>
      <c r="B160" s="279"/>
      <c r="C160" s="279"/>
      <c r="D160" s="279"/>
      <c r="E160" s="279"/>
      <c r="F160" s="279"/>
      <c r="G160" s="279"/>
      <c r="H160" s="279"/>
      <c r="I160" s="279"/>
      <c r="J160" s="279"/>
      <c r="K160" s="279"/>
      <c r="L160" s="617"/>
    </row>
    <row r="161" spans="1:12" x14ac:dyDescent="0.2">
      <c r="A161" s="626"/>
      <c r="B161" s="279"/>
      <c r="C161" s="6207" t="s">
        <v>693</v>
      </c>
      <c r="D161" s="6124"/>
      <c r="E161" s="6124"/>
      <c r="F161" s="6124"/>
      <c r="G161" s="6124"/>
      <c r="H161" s="6124"/>
      <c r="I161" s="6207" t="s">
        <v>694</v>
      </c>
      <c r="J161" s="6207" t="s">
        <v>695</v>
      </c>
      <c r="K161" s="635" t="s">
        <v>559</v>
      </c>
      <c r="L161" s="617"/>
    </row>
    <row r="162" spans="1:12" x14ac:dyDescent="0.2">
      <c r="A162" s="626"/>
      <c r="B162" s="279"/>
      <c r="C162" s="6207"/>
      <c r="D162" s="6124"/>
      <c r="E162" s="6124"/>
      <c r="F162" s="6124"/>
      <c r="G162" s="6124"/>
      <c r="H162" s="6124"/>
      <c r="I162" s="6207"/>
      <c r="J162" s="6207"/>
      <c r="K162" s="635" t="s">
        <v>696</v>
      </c>
      <c r="L162" s="617"/>
    </row>
    <row r="163" spans="1:12" ht="13.5" thickBot="1" x14ac:dyDescent="0.25">
      <c r="A163" s="626"/>
      <c r="B163" s="279"/>
      <c r="C163" s="615"/>
      <c r="D163" s="615"/>
      <c r="E163" s="615"/>
      <c r="F163" s="615"/>
      <c r="G163" s="279"/>
      <c r="H163" s="279"/>
      <c r="I163" s="615"/>
      <c r="J163" s="615"/>
      <c r="K163" s="615"/>
      <c r="L163" s="617"/>
    </row>
    <row r="164" spans="1:12" ht="13.5" thickBot="1" x14ac:dyDescent="0.25">
      <c r="A164" s="626"/>
      <c r="B164" s="279"/>
      <c r="C164" s="6207" t="s">
        <v>54</v>
      </c>
      <c r="D164" s="6124"/>
      <c r="E164" s="6124"/>
      <c r="F164" s="6124"/>
      <c r="G164" s="6124"/>
      <c r="H164" s="6124"/>
      <c r="I164" s="614"/>
      <c r="J164" s="614"/>
      <c r="K164" s="614" t="s">
        <v>755</v>
      </c>
      <c r="L164" s="617"/>
    </row>
    <row r="165" spans="1:12" ht="13.5" thickBot="1" x14ac:dyDescent="0.25">
      <c r="A165" s="626"/>
      <c r="B165" s="279"/>
      <c r="C165" s="6207" t="s">
        <v>702</v>
      </c>
      <c r="D165" s="6124"/>
      <c r="E165" s="6124"/>
      <c r="F165" s="6124"/>
      <c r="G165" s="6124"/>
      <c r="H165" s="6124"/>
      <c r="I165" s="614">
        <v>0.6</v>
      </c>
      <c r="J165" s="614">
        <v>71</v>
      </c>
      <c r="K165" s="614" t="s">
        <v>756</v>
      </c>
      <c r="L165" s="617"/>
    </row>
    <row r="166" spans="1:12" ht="13.5" thickBot="1" x14ac:dyDescent="0.25">
      <c r="A166" s="626"/>
      <c r="B166" s="279"/>
      <c r="C166" s="6207" t="s">
        <v>757</v>
      </c>
      <c r="D166" s="6124"/>
      <c r="E166" s="6124"/>
      <c r="F166" s="6124"/>
      <c r="G166" s="6124"/>
      <c r="H166" s="6124"/>
      <c r="I166" s="614">
        <v>0.6</v>
      </c>
      <c r="J166" s="614">
        <v>93</v>
      </c>
      <c r="K166" s="614" t="s">
        <v>758</v>
      </c>
      <c r="L166" s="617"/>
    </row>
    <row r="167" spans="1:12" ht="13.5" thickBot="1" x14ac:dyDescent="0.25">
      <c r="A167" s="626"/>
      <c r="B167" s="279"/>
      <c r="C167" s="6207" t="s">
        <v>706</v>
      </c>
      <c r="D167" s="6124"/>
      <c r="E167" s="6124"/>
      <c r="F167" s="6124"/>
      <c r="G167" s="6124"/>
      <c r="H167" s="6124"/>
      <c r="I167" s="614">
        <v>0.6</v>
      </c>
      <c r="J167" s="614">
        <v>92</v>
      </c>
      <c r="K167" s="614" t="s">
        <v>759</v>
      </c>
      <c r="L167" s="617"/>
    </row>
    <row r="168" spans="1:12" ht="13.5" thickBot="1" x14ac:dyDescent="0.25">
      <c r="A168" s="626"/>
      <c r="B168" s="279"/>
      <c r="C168" s="6207" t="s">
        <v>704</v>
      </c>
      <c r="D168" s="6124"/>
      <c r="E168" s="6124"/>
      <c r="F168" s="6124"/>
      <c r="G168" s="6124"/>
      <c r="H168" s="6124"/>
      <c r="I168" s="614">
        <v>0.6</v>
      </c>
      <c r="J168" s="614">
        <v>116</v>
      </c>
      <c r="K168" s="614" t="s">
        <v>760</v>
      </c>
      <c r="L168" s="617"/>
    </row>
    <row r="169" spans="1:12" ht="13.5" thickBot="1" x14ac:dyDescent="0.25">
      <c r="A169" s="626"/>
      <c r="B169" s="279"/>
      <c r="C169" s="6207" t="s">
        <v>761</v>
      </c>
      <c r="D169" s="6124"/>
      <c r="E169" s="6124"/>
      <c r="F169" s="6124"/>
      <c r="G169" s="6124"/>
      <c r="H169" s="6124"/>
      <c r="I169" s="614">
        <v>0.6</v>
      </c>
      <c r="J169" s="614">
        <v>77</v>
      </c>
      <c r="K169" s="614" t="s">
        <v>762</v>
      </c>
      <c r="L169" s="617"/>
    </row>
    <row r="170" spans="1:12" ht="13.5" thickBot="1" x14ac:dyDescent="0.25">
      <c r="A170" s="626"/>
      <c r="B170" s="279"/>
      <c r="C170" s="6207" t="s">
        <v>763</v>
      </c>
      <c r="D170" s="6124"/>
      <c r="E170" s="6124"/>
      <c r="F170" s="6124"/>
      <c r="G170" s="6124"/>
      <c r="H170" s="6124"/>
      <c r="I170" s="614">
        <v>0.6</v>
      </c>
      <c r="J170" s="614">
        <v>83</v>
      </c>
      <c r="K170" s="614" t="s">
        <v>764</v>
      </c>
      <c r="L170" s="617"/>
    </row>
    <row r="171" spans="1:12" ht="13.5" thickBot="1" x14ac:dyDescent="0.25">
      <c r="A171" s="626"/>
      <c r="B171" s="279"/>
      <c r="C171" s="6207" t="s">
        <v>765</v>
      </c>
      <c r="D171" s="6124"/>
      <c r="E171" s="6124"/>
      <c r="F171" s="6124"/>
      <c r="G171" s="6124"/>
      <c r="H171" s="6124"/>
      <c r="I171" s="614">
        <v>0.7</v>
      </c>
      <c r="J171" s="614">
        <v>66</v>
      </c>
      <c r="K171" s="614" t="s">
        <v>766</v>
      </c>
      <c r="L171" s="617"/>
    </row>
    <row r="172" spans="1:12" ht="13.5" thickBot="1" x14ac:dyDescent="0.25">
      <c r="A172" s="626"/>
      <c r="B172" s="279"/>
      <c r="C172" s="6207" t="s">
        <v>767</v>
      </c>
      <c r="D172" s="6124"/>
      <c r="E172" s="6124"/>
      <c r="F172" s="6124"/>
      <c r="G172" s="6124"/>
      <c r="H172" s="6124"/>
      <c r="I172" s="614">
        <v>0.6</v>
      </c>
      <c r="J172" s="614">
        <v>92</v>
      </c>
      <c r="K172" s="614" t="s">
        <v>768</v>
      </c>
      <c r="L172" s="617"/>
    </row>
    <row r="173" spans="1:12" ht="13.5" thickBot="1" x14ac:dyDescent="0.25">
      <c r="A173" s="626"/>
      <c r="B173" s="279"/>
      <c r="C173" s="6207" t="s">
        <v>708</v>
      </c>
      <c r="D173" s="6124"/>
      <c r="E173" s="6124"/>
      <c r="F173" s="6124"/>
      <c r="G173" s="6124"/>
      <c r="H173" s="6124"/>
      <c r="I173" s="614"/>
      <c r="J173" s="614"/>
      <c r="K173" s="614" t="s">
        <v>769</v>
      </c>
      <c r="L173" s="617"/>
    </row>
    <row r="174" spans="1:12" ht="13.5" thickBot="1" x14ac:dyDescent="0.25">
      <c r="A174" s="626"/>
      <c r="B174" s="279"/>
      <c r="C174" s="6207" t="s">
        <v>54</v>
      </c>
      <c r="D174" s="6124"/>
      <c r="E174" s="6124"/>
      <c r="F174" s="6124"/>
      <c r="G174" s="6124"/>
      <c r="H174" s="6124"/>
      <c r="I174" s="614"/>
      <c r="J174" s="614"/>
      <c r="K174" s="614" t="s">
        <v>770</v>
      </c>
      <c r="L174" s="617"/>
    </row>
    <row r="175" spans="1:12" ht="13.5" thickBot="1" x14ac:dyDescent="0.25">
      <c r="A175" s="626"/>
      <c r="B175" s="279"/>
      <c r="C175" s="6207" t="s">
        <v>715</v>
      </c>
      <c r="D175" s="6124"/>
      <c r="E175" s="6124"/>
      <c r="F175" s="6124"/>
      <c r="G175" s="6124"/>
      <c r="H175" s="6124"/>
      <c r="I175" s="614"/>
      <c r="J175" s="614">
        <v>36</v>
      </c>
      <c r="K175" s="614" t="s">
        <v>771</v>
      </c>
      <c r="L175" s="617"/>
    </row>
    <row r="176" spans="1:12" ht="13.5" thickBot="1" x14ac:dyDescent="0.25">
      <c r="A176" s="626"/>
      <c r="B176" s="279"/>
      <c r="C176" s="6207" t="s">
        <v>772</v>
      </c>
      <c r="D176" s="6124"/>
      <c r="E176" s="6124"/>
      <c r="F176" s="6124"/>
      <c r="G176" s="6124"/>
      <c r="H176" s="6124"/>
      <c r="I176" s="614"/>
      <c r="J176" s="614">
        <v>48</v>
      </c>
      <c r="K176" s="614" t="s">
        <v>773</v>
      </c>
      <c r="L176" s="617"/>
    </row>
    <row r="177" spans="1:12" ht="13.5" thickBot="1" x14ac:dyDescent="0.25">
      <c r="A177" s="626"/>
      <c r="B177" s="279"/>
      <c r="C177" s="6207" t="s">
        <v>719</v>
      </c>
      <c r="D177" s="6124"/>
      <c r="E177" s="6124"/>
      <c r="F177" s="6124"/>
      <c r="G177" s="6124"/>
      <c r="H177" s="6124"/>
      <c r="I177" s="614"/>
      <c r="J177" s="614">
        <v>54</v>
      </c>
      <c r="K177" s="614" t="s">
        <v>774</v>
      </c>
      <c r="L177" s="617"/>
    </row>
    <row r="178" spans="1:12" ht="13.5" thickBot="1" x14ac:dyDescent="0.25">
      <c r="A178" s="626"/>
      <c r="B178" s="279"/>
      <c r="C178" s="6207" t="s">
        <v>717</v>
      </c>
      <c r="D178" s="6124"/>
      <c r="E178" s="6124"/>
      <c r="F178" s="6124"/>
      <c r="G178" s="6124"/>
      <c r="H178" s="6124"/>
      <c r="I178" s="614"/>
      <c r="J178" s="614">
        <v>61</v>
      </c>
      <c r="K178" s="614" t="s">
        <v>775</v>
      </c>
      <c r="L178" s="617"/>
    </row>
    <row r="179" spans="1:12" ht="13.5" thickBot="1" x14ac:dyDescent="0.25">
      <c r="A179" s="626"/>
      <c r="B179" s="279"/>
      <c r="C179" s="6207" t="s">
        <v>776</v>
      </c>
      <c r="D179" s="6124"/>
      <c r="E179" s="6124"/>
      <c r="F179" s="6124"/>
      <c r="G179" s="6124"/>
      <c r="H179" s="6124"/>
      <c r="I179" s="614"/>
      <c r="J179" s="614">
        <v>56</v>
      </c>
      <c r="K179" s="614" t="s">
        <v>777</v>
      </c>
      <c r="L179" s="617"/>
    </row>
    <row r="180" spans="1:12" ht="13.5" thickBot="1" x14ac:dyDescent="0.25">
      <c r="A180" s="626"/>
      <c r="B180" s="279"/>
      <c r="C180" s="6207" t="s">
        <v>778</v>
      </c>
      <c r="D180" s="6124"/>
      <c r="E180" s="6124"/>
      <c r="F180" s="6124"/>
      <c r="G180" s="6124"/>
      <c r="H180" s="6124"/>
      <c r="I180" s="614"/>
      <c r="J180" s="614">
        <v>60</v>
      </c>
      <c r="K180" s="614" t="s">
        <v>779</v>
      </c>
      <c r="L180" s="617"/>
    </row>
    <row r="181" spans="1:12" ht="13.5" thickBot="1" x14ac:dyDescent="0.25">
      <c r="A181" s="626"/>
      <c r="B181" s="279"/>
      <c r="C181" s="6207" t="s">
        <v>780</v>
      </c>
      <c r="D181" s="6124"/>
      <c r="E181" s="6124"/>
      <c r="F181" s="6124"/>
      <c r="G181" s="6124"/>
      <c r="H181" s="6124"/>
      <c r="I181" s="614"/>
      <c r="J181" s="614">
        <v>40</v>
      </c>
      <c r="K181" s="614" t="s">
        <v>781</v>
      </c>
      <c r="L181" s="617"/>
    </row>
    <row r="182" spans="1:12" ht="13.5" thickBot="1" x14ac:dyDescent="0.25">
      <c r="A182" s="626"/>
      <c r="B182" s="279"/>
      <c r="C182" s="6207" t="s">
        <v>717</v>
      </c>
      <c r="D182" s="6124"/>
      <c r="E182" s="6124"/>
      <c r="F182" s="6124"/>
      <c r="G182" s="6124"/>
      <c r="H182" s="6124"/>
      <c r="I182" s="614"/>
      <c r="J182" s="614">
        <v>71</v>
      </c>
      <c r="K182" s="614" t="s">
        <v>782</v>
      </c>
      <c r="L182" s="617"/>
    </row>
    <row r="183" spans="1:12" ht="13.5" thickBot="1" x14ac:dyDescent="0.25">
      <c r="A183" s="626"/>
      <c r="B183" s="279"/>
      <c r="C183" s="6207" t="s">
        <v>783</v>
      </c>
      <c r="D183" s="6124"/>
      <c r="E183" s="6124"/>
      <c r="F183" s="6124"/>
      <c r="G183" s="6124"/>
      <c r="H183" s="6124"/>
      <c r="I183" s="614"/>
      <c r="J183" s="614">
        <v>48</v>
      </c>
      <c r="K183" s="614" t="s">
        <v>784</v>
      </c>
      <c r="L183" s="617"/>
    </row>
    <row r="184" spans="1:12" ht="13.5" thickBot="1" x14ac:dyDescent="0.25">
      <c r="A184" s="626"/>
      <c r="B184" s="279"/>
      <c r="C184" s="6207" t="s">
        <v>721</v>
      </c>
      <c r="D184" s="6124"/>
      <c r="E184" s="6124"/>
      <c r="F184" s="6124"/>
      <c r="G184" s="6124"/>
      <c r="H184" s="6124"/>
      <c r="I184" s="614"/>
      <c r="J184" s="614"/>
      <c r="K184" s="614" t="s">
        <v>785</v>
      </c>
      <c r="L184" s="617"/>
    </row>
    <row r="185" spans="1:12" ht="13.5" thickBot="1" x14ac:dyDescent="0.25">
      <c r="A185" s="626"/>
      <c r="B185" s="279"/>
      <c r="C185" s="6207" t="s">
        <v>54</v>
      </c>
      <c r="D185" s="6124"/>
      <c r="E185" s="6124"/>
      <c r="F185" s="6124"/>
      <c r="G185" s="6124"/>
      <c r="H185" s="6124"/>
      <c r="I185" s="614"/>
      <c r="J185" s="614"/>
      <c r="K185" s="614" t="s">
        <v>786</v>
      </c>
      <c r="L185" s="617"/>
    </row>
    <row r="186" spans="1:12" ht="13.5" thickBot="1" x14ac:dyDescent="0.25">
      <c r="A186" s="626"/>
      <c r="B186" s="279"/>
      <c r="C186" s="6207" t="s">
        <v>280</v>
      </c>
      <c r="D186" s="6124"/>
      <c r="E186" s="6124"/>
      <c r="F186" s="6124"/>
      <c r="G186" s="6124"/>
      <c r="H186" s="6124"/>
      <c r="I186" s="614"/>
      <c r="J186" s="614"/>
      <c r="K186" s="614" t="s">
        <v>786</v>
      </c>
      <c r="L186" s="617"/>
    </row>
    <row r="187" spans="1:12" ht="13.5" thickBot="1" x14ac:dyDescent="0.25">
      <c r="A187" s="626"/>
      <c r="B187" s="279"/>
      <c r="C187" s="6207" t="s">
        <v>724</v>
      </c>
      <c r="D187" s="6124"/>
      <c r="E187" s="6124"/>
      <c r="F187" s="6124"/>
      <c r="G187" s="6124"/>
      <c r="H187" s="6124"/>
      <c r="I187" s="614"/>
      <c r="J187" s="614">
        <v>18</v>
      </c>
      <c r="K187" s="614" t="s">
        <v>787</v>
      </c>
      <c r="L187" s="617"/>
    </row>
    <row r="188" spans="1:12" ht="13.5" thickBot="1" x14ac:dyDescent="0.25">
      <c r="A188" s="626"/>
      <c r="B188" s="279"/>
      <c r="C188" s="6207" t="s">
        <v>280</v>
      </c>
      <c r="D188" s="6124"/>
      <c r="E188" s="6124"/>
      <c r="F188" s="6124"/>
      <c r="G188" s="6124"/>
      <c r="H188" s="6124"/>
      <c r="I188" s="614"/>
      <c r="J188" s="614"/>
      <c r="K188" s="614" t="s">
        <v>731</v>
      </c>
      <c r="L188" s="617"/>
    </row>
    <row r="189" spans="1:12" ht="13.5" thickBot="1" x14ac:dyDescent="0.25">
      <c r="A189" s="613"/>
      <c r="B189" s="612"/>
      <c r="C189" s="6210" t="s">
        <v>726</v>
      </c>
      <c r="D189" s="4911"/>
      <c r="E189" s="4911"/>
      <c r="F189" s="4911"/>
      <c r="G189" s="4911"/>
      <c r="H189" s="4911"/>
      <c r="I189" s="614"/>
      <c r="J189" s="614"/>
      <c r="K189" s="614" t="s">
        <v>731</v>
      </c>
      <c r="L189" s="608"/>
    </row>
    <row r="190" spans="1:12" ht="15.75" x14ac:dyDescent="0.25">
      <c r="C190" s="611"/>
      <c r="D190" s="611"/>
      <c r="E190" s="611"/>
      <c r="F190" s="611"/>
      <c r="K190" s="636">
        <v>772319</v>
      </c>
    </row>
    <row r="191" spans="1:12" ht="15.75" x14ac:dyDescent="0.25">
      <c r="A191" s="637" t="s">
        <v>788</v>
      </c>
      <c r="B191" s="637"/>
      <c r="C191" s="637"/>
      <c r="D191" s="637"/>
      <c r="E191" s="637"/>
      <c r="F191" s="637"/>
      <c r="G191" s="637"/>
      <c r="H191" s="637"/>
      <c r="I191" s="637"/>
      <c r="J191" s="637"/>
      <c r="K191" s="637">
        <f>SUM(K80+K190)</f>
        <v>1593616</v>
      </c>
      <c r="L191" s="637"/>
    </row>
  </sheetData>
  <mergeCells count="273"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874</v>
      </c>
    </row>
    <row r="3" spans="1:7" x14ac:dyDescent="0.2">
      <c r="A3" s="6395" t="s">
        <v>505</v>
      </c>
      <c r="B3" s="6395"/>
      <c r="C3" s="6395"/>
      <c r="D3" s="6395"/>
      <c r="E3" s="6395"/>
      <c r="F3" s="6395"/>
      <c r="G3" s="6395"/>
    </row>
    <row r="4" spans="1:7" ht="51" x14ac:dyDescent="0.2">
      <c r="A4" s="971" t="s">
        <v>384</v>
      </c>
      <c r="B4" s="997" t="s">
        <v>506</v>
      </c>
      <c r="C4" s="997" t="s">
        <v>507</v>
      </c>
      <c r="D4" s="997" t="s">
        <v>885</v>
      </c>
      <c r="E4" s="997" t="s">
        <v>838</v>
      </c>
      <c r="F4" s="6392" t="s">
        <v>235</v>
      </c>
      <c r="G4" s="6392"/>
    </row>
    <row r="5" spans="1:7" x14ac:dyDescent="0.2">
      <c r="A5" s="971" t="s">
        <v>272</v>
      </c>
      <c r="B5" s="998">
        <v>2243</v>
      </c>
      <c r="C5" s="971"/>
      <c r="D5" s="1185"/>
      <c r="E5" s="1176"/>
      <c r="F5" s="6392"/>
      <c r="G5" s="6392"/>
    </row>
    <row r="6" spans="1:7" x14ac:dyDescent="0.2">
      <c r="A6" s="971" t="s">
        <v>273</v>
      </c>
      <c r="B6" s="998">
        <v>3073.1</v>
      </c>
      <c r="C6" s="998">
        <v>1287.3</v>
      </c>
      <c r="D6" s="1189"/>
      <c r="E6" s="1177">
        <f>B6-C6</f>
        <v>1785.8</v>
      </c>
      <c r="F6" s="6393" t="s">
        <v>239</v>
      </c>
      <c r="G6" s="6394"/>
    </row>
    <row r="7" spans="1:7" x14ac:dyDescent="0.2">
      <c r="A7" s="971" t="s">
        <v>274</v>
      </c>
      <c r="B7" s="998">
        <v>212.2</v>
      </c>
      <c r="C7" s="971"/>
      <c r="D7" s="1185"/>
      <c r="E7" s="1176"/>
      <c r="F7" s="6392"/>
      <c r="G7" s="6392"/>
    </row>
    <row r="8" spans="1:7" x14ac:dyDescent="0.2">
      <c r="A8" s="971" t="s">
        <v>275</v>
      </c>
      <c r="B8" s="998">
        <v>475.4</v>
      </c>
      <c r="C8" s="971"/>
      <c r="D8" s="1185"/>
      <c r="E8" s="1176"/>
      <c r="F8" s="6392"/>
      <c r="G8" s="6392"/>
    </row>
    <row r="9" spans="1:7" x14ac:dyDescent="0.2">
      <c r="A9" s="971" t="s">
        <v>276</v>
      </c>
      <c r="B9" s="998">
        <v>2249.5</v>
      </c>
      <c r="C9" s="971"/>
      <c r="D9" s="1185"/>
      <c r="E9" s="1176"/>
      <c r="F9" s="6392"/>
      <c r="G9" s="6392"/>
    </row>
    <row r="10" spans="1:7" x14ac:dyDescent="0.2">
      <c r="A10" s="971" t="s">
        <v>277</v>
      </c>
      <c r="B10" s="998">
        <v>3333.9</v>
      </c>
      <c r="C10" s="971"/>
      <c r="D10" s="1185"/>
      <c r="E10" s="1176"/>
      <c r="F10" s="6392"/>
      <c r="G10" s="6392"/>
    </row>
    <row r="11" spans="1:7" x14ac:dyDescent="0.2">
      <c r="A11" s="971" t="s">
        <v>278</v>
      </c>
      <c r="B11" s="998">
        <v>2188.5</v>
      </c>
      <c r="C11" s="971"/>
      <c r="D11" s="1185"/>
      <c r="E11" s="1176"/>
      <c r="F11" s="6392"/>
      <c r="G11" s="6392"/>
    </row>
    <row r="12" spans="1:7" x14ac:dyDescent="0.2">
      <c r="A12" s="971" t="s">
        <v>279</v>
      </c>
      <c r="B12" s="998">
        <v>557.1</v>
      </c>
      <c r="C12" s="971"/>
      <c r="D12" s="1185"/>
      <c r="E12" s="1178">
        <v>0</v>
      </c>
      <c r="F12" s="6392"/>
      <c r="G12" s="6392"/>
    </row>
    <row r="13" spans="1:7" ht="25.5" x14ac:dyDescent="0.2">
      <c r="A13" s="1188" t="s">
        <v>884</v>
      </c>
      <c r="B13" s="1186"/>
      <c r="C13" s="1185"/>
      <c r="D13" s="1185"/>
      <c r="E13" s="1186"/>
      <c r="F13" s="1187"/>
      <c r="G13" s="1187"/>
    </row>
    <row r="14" spans="1:7" x14ac:dyDescent="0.2">
      <c r="A14" s="971" t="s">
        <v>280</v>
      </c>
      <c r="B14" s="998">
        <f>SUM(B5:B12)</f>
        <v>14332.7</v>
      </c>
      <c r="C14" s="998">
        <f>SUM(C5:C12)</f>
        <v>1287.3</v>
      </c>
      <c r="D14" s="1186"/>
      <c r="E14" s="998">
        <f>SUM(E5:E12)</f>
        <v>1785.8</v>
      </c>
      <c r="F14" s="6392"/>
      <c r="G14" s="6392"/>
    </row>
    <row r="17" spans="1:7" ht="51" x14ac:dyDescent="0.2">
      <c r="A17" s="971" t="s">
        <v>388</v>
      </c>
      <c r="B17" s="997" t="s">
        <v>506</v>
      </c>
      <c r="C17" s="997" t="s">
        <v>507</v>
      </c>
      <c r="D17" s="997" t="s">
        <v>885</v>
      </c>
      <c r="E17" s="997" t="s">
        <v>838</v>
      </c>
      <c r="F17" s="6392" t="s">
        <v>235</v>
      </c>
      <c r="G17" s="6392"/>
    </row>
    <row r="18" spans="1:7" x14ac:dyDescent="0.2">
      <c r="A18" s="971" t="s">
        <v>272</v>
      </c>
      <c r="B18" s="998">
        <v>0</v>
      </c>
      <c r="C18" s="971"/>
      <c r="D18" s="1185"/>
      <c r="E18" s="1176"/>
      <c r="F18" s="6392"/>
      <c r="G18" s="6392"/>
    </row>
    <row r="19" spans="1:7" x14ac:dyDescent="0.2">
      <c r="A19" s="971" t="s">
        <v>273</v>
      </c>
      <c r="B19" s="998">
        <v>1355.2</v>
      </c>
      <c r="C19" s="971">
        <v>1355.2</v>
      </c>
      <c r="D19" s="1190"/>
      <c r="E19" s="1179"/>
      <c r="F19" s="6393" t="s">
        <v>239</v>
      </c>
      <c r="G19" s="6394"/>
    </row>
    <row r="20" spans="1:7" x14ac:dyDescent="0.2">
      <c r="A20" s="971" t="s">
        <v>274</v>
      </c>
      <c r="B20" s="998">
        <v>93.8</v>
      </c>
      <c r="C20" s="971"/>
      <c r="D20" s="1185"/>
      <c r="E20" s="1176"/>
      <c r="F20" s="6392"/>
      <c r="G20" s="6392"/>
    </row>
    <row r="21" spans="1:7" x14ac:dyDescent="0.2">
      <c r="A21" s="971" t="s">
        <v>275</v>
      </c>
      <c r="B21" s="998">
        <v>0</v>
      </c>
      <c r="C21" s="971"/>
      <c r="D21" s="1185"/>
      <c r="E21" s="1176"/>
      <c r="F21" s="6392"/>
      <c r="G21" s="6392"/>
    </row>
    <row r="22" spans="1:7" x14ac:dyDescent="0.2">
      <c r="A22" s="971" t="s">
        <v>276</v>
      </c>
      <c r="B22" s="998">
        <v>0</v>
      </c>
      <c r="C22" s="971"/>
      <c r="D22" s="1185"/>
      <c r="E22" s="1176"/>
      <c r="F22" s="6392"/>
      <c r="G22" s="6392"/>
    </row>
    <row r="23" spans="1:7" x14ac:dyDescent="0.2">
      <c r="A23" s="971" t="s">
        <v>277</v>
      </c>
      <c r="B23" s="998">
        <v>1153.4000000000001</v>
      </c>
      <c r="C23" s="971"/>
      <c r="D23" s="1185"/>
      <c r="E23" s="1176"/>
      <c r="F23" s="6392"/>
      <c r="G23" s="6392"/>
    </row>
    <row r="24" spans="1:7" x14ac:dyDescent="0.2">
      <c r="A24" s="971" t="s">
        <v>278</v>
      </c>
      <c r="B24" s="998">
        <v>0</v>
      </c>
      <c r="C24" s="971"/>
      <c r="D24" s="1185"/>
      <c r="E24" s="1176"/>
      <c r="F24" s="6392"/>
      <c r="G24" s="6392"/>
    </row>
    <row r="25" spans="1:7" x14ac:dyDescent="0.2">
      <c r="A25" s="971" t="s">
        <v>279</v>
      </c>
      <c r="B25" s="998">
        <v>121.2</v>
      </c>
      <c r="C25" s="971">
        <v>95.1</v>
      </c>
      <c r="D25" s="1185"/>
      <c r="E25" s="1178">
        <f>B25-C25</f>
        <v>26.100000000000009</v>
      </c>
      <c r="F25" s="6392"/>
      <c r="G25" s="6392"/>
    </row>
    <row r="26" spans="1:7" x14ac:dyDescent="0.2">
      <c r="A26" s="971" t="s">
        <v>280</v>
      </c>
      <c r="B26" s="998">
        <f>SUM(B18:B25)</f>
        <v>2723.6</v>
      </c>
      <c r="C26" s="998">
        <f>SUM(C18:C25)</f>
        <v>1450.3</v>
      </c>
      <c r="D26" s="1186"/>
      <c r="E26" s="998">
        <f>SUM(E18:E25)</f>
        <v>26.100000000000009</v>
      </c>
      <c r="F26" s="6392"/>
      <c r="G26" s="6392"/>
    </row>
  </sheetData>
  <mergeCells count="21"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</mergeCells>
  <pageMargins left="0.75" right="0.75" top="1" bottom="1" header="0.5" footer="0.5"/>
  <pageSetup paperSize="9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3" customWidth="1"/>
    <col min="2" max="2" width="9.140625" style="333"/>
    <col min="3" max="3" width="87.140625" style="333" customWidth="1"/>
    <col min="4" max="6" width="9.28515625" style="333" bestFit="1" customWidth="1"/>
    <col min="7" max="7" width="9.5703125" style="333" bestFit="1" customWidth="1"/>
    <col min="8" max="15" width="9.28515625" style="333" bestFit="1" customWidth="1"/>
    <col min="16" max="16384" width="9.140625" style="333"/>
  </cols>
  <sheetData>
    <row r="2" spans="1:11" ht="23.25" x14ac:dyDescent="0.35">
      <c r="A2" s="6396" t="s">
        <v>434</v>
      </c>
      <c r="B2" s="6396"/>
      <c r="C2" s="6396"/>
      <c r="D2" s="6396"/>
      <c r="E2" s="6396"/>
      <c r="F2" s="6396"/>
      <c r="G2" s="6396"/>
      <c r="H2" s="6396"/>
      <c r="I2" s="6396"/>
      <c r="J2" s="6396"/>
      <c r="K2" s="6396"/>
    </row>
    <row r="4" spans="1:11" ht="15.75" x14ac:dyDescent="0.25">
      <c r="A4" s="6397" t="s">
        <v>345</v>
      </c>
      <c r="B4" s="6397"/>
      <c r="C4" s="6397"/>
      <c r="D4" s="6397"/>
      <c r="E4" s="6397"/>
      <c r="F4" s="6397"/>
      <c r="G4" s="6397"/>
      <c r="H4" s="6397"/>
      <c r="I4" s="6397"/>
      <c r="J4" s="6397"/>
      <c r="K4" s="6397"/>
    </row>
    <row r="5" spans="1:11" ht="18.75" x14ac:dyDescent="0.3">
      <c r="A5" s="5076" t="s">
        <v>435</v>
      </c>
      <c r="B5" s="5076"/>
      <c r="C5" s="5076"/>
      <c r="D5" s="5076"/>
      <c r="E5" s="5076"/>
      <c r="F5" s="5076"/>
      <c r="G5" s="5076"/>
    </row>
    <row r="6" spans="1:11" ht="18" x14ac:dyDescent="0.25">
      <c r="A6" s="334" t="s">
        <v>484</v>
      </c>
    </row>
    <row r="7" spans="1:11" ht="15.75" thickBot="1" x14ac:dyDescent="0.25">
      <c r="A7" s="335" t="s">
        <v>436</v>
      </c>
    </row>
    <row r="8" spans="1:11" ht="13.5" thickBot="1" x14ac:dyDescent="0.25">
      <c r="A8" s="336" t="s">
        <v>165</v>
      </c>
      <c r="B8" s="336" t="s">
        <v>437</v>
      </c>
      <c r="C8" s="336" t="s">
        <v>356</v>
      </c>
      <c r="D8" s="337"/>
      <c r="E8" s="6229" t="s">
        <v>438</v>
      </c>
      <c r="F8" s="6230"/>
      <c r="G8" s="6229" t="s">
        <v>439</v>
      </c>
      <c r="H8" s="6231"/>
      <c r="I8" s="6230"/>
      <c r="J8" s="6232" t="s">
        <v>440</v>
      </c>
      <c r="K8" s="6233"/>
    </row>
    <row r="9" spans="1:11" ht="13.5" thickBot="1" x14ac:dyDescent="0.25">
      <c r="A9" s="340" t="s">
        <v>441</v>
      </c>
      <c r="B9" s="340" t="s">
        <v>442</v>
      </c>
      <c r="C9" s="340" t="s">
        <v>443</v>
      </c>
      <c r="D9" s="341" t="s">
        <v>444</v>
      </c>
      <c r="E9" s="342" t="s">
        <v>445</v>
      </c>
      <c r="F9" s="339" t="s">
        <v>446</v>
      </c>
      <c r="G9" s="340" t="s">
        <v>445</v>
      </c>
      <c r="H9" s="341" t="s">
        <v>447</v>
      </c>
      <c r="I9" s="343" t="s">
        <v>446</v>
      </c>
      <c r="J9" s="6234" t="s">
        <v>448</v>
      </c>
      <c r="K9" s="6235"/>
    </row>
    <row r="10" spans="1:11" ht="13.5" thickBot="1" x14ac:dyDescent="0.25">
      <c r="A10" s="344"/>
      <c r="B10" s="344" t="s">
        <v>449</v>
      </c>
      <c r="C10" s="344"/>
      <c r="D10" s="345"/>
      <c r="E10" s="342" t="s">
        <v>447</v>
      </c>
      <c r="F10" s="343" t="s">
        <v>450</v>
      </c>
      <c r="G10" s="338"/>
      <c r="H10" s="346"/>
      <c r="I10" s="343" t="s">
        <v>450</v>
      </c>
      <c r="J10" s="344" t="s">
        <v>451</v>
      </c>
      <c r="K10" s="345" t="s">
        <v>445</v>
      </c>
    </row>
    <row r="11" spans="1:11" ht="13.5" thickBot="1" x14ac:dyDescent="0.25">
      <c r="A11" s="347"/>
    </row>
    <row r="12" spans="1:11" ht="25.5" customHeight="1" thickBot="1" x14ac:dyDescent="0.25">
      <c r="A12" s="348">
        <v>1</v>
      </c>
      <c r="B12" s="349">
        <v>2</v>
      </c>
      <c r="C12" s="349">
        <v>3</v>
      </c>
      <c r="D12" s="349">
        <v>4</v>
      </c>
      <c r="E12" s="349">
        <v>5</v>
      </c>
      <c r="F12" s="349">
        <v>6</v>
      </c>
      <c r="G12" s="349">
        <v>7</v>
      </c>
      <c r="H12" s="349">
        <v>8</v>
      </c>
      <c r="I12" s="349">
        <v>9</v>
      </c>
      <c r="J12" s="349">
        <v>10</v>
      </c>
      <c r="K12" s="349">
        <v>11</v>
      </c>
    </row>
    <row r="13" spans="1:11" ht="25.5" customHeight="1" x14ac:dyDescent="0.2">
      <c r="A13" s="6222">
        <v>12</v>
      </c>
      <c r="B13" s="6224" t="s">
        <v>452</v>
      </c>
      <c r="C13" s="350" t="s">
        <v>453</v>
      </c>
      <c r="D13" s="351">
        <v>10</v>
      </c>
      <c r="E13" s="352">
        <v>4852.8999999999996</v>
      </c>
      <c r="F13" s="352">
        <v>86.76</v>
      </c>
      <c r="G13" s="6222">
        <v>48529</v>
      </c>
      <c r="H13" s="6222">
        <v>9594</v>
      </c>
      <c r="I13" s="352">
        <v>868</v>
      </c>
      <c r="J13" s="352">
        <v>4.53</v>
      </c>
      <c r="K13" s="352">
        <v>45.3</v>
      </c>
    </row>
    <row r="14" spans="1:11" ht="25.5" customHeight="1" thickBot="1" x14ac:dyDescent="0.25">
      <c r="A14" s="6223"/>
      <c r="B14" s="6225"/>
      <c r="C14" s="353" t="s">
        <v>454</v>
      </c>
      <c r="D14" s="354" t="s">
        <v>455</v>
      </c>
      <c r="E14" s="354">
        <v>959.43</v>
      </c>
      <c r="F14" s="354">
        <v>0</v>
      </c>
      <c r="G14" s="6223"/>
      <c r="H14" s="6223"/>
      <c r="I14" s="354">
        <v>0</v>
      </c>
      <c r="J14" s="354">
        <v>0.1</v>
      </c>
      <c r="K14" s="354">
        <v>1</v>
      </c>
    </row>
    <row r="15" spans="1:11" ht="23.25" customHeight="1" x14ac:dyDescent="0.2">
      <c r="A15" s="6222">
        <v>13</v>
      </c>
      <c r="B15" s="6224" t="s">
        <v>456</v>
      </c>
      <c r="C15" s="355" t="s">
        <v>457</v>
      </c>
      <c r="D15" s="356">
        <v>6</v>
      </c>
      <c r="E15" s="357">
        <v>1489.56</v>
      </c>
      <c r="F15" s="357">
        <v>8.66</v>
      </c>
      <c r="G15" s="6222">
        <v>8937</v>
      </c>
      <c r="H15" s="6222">
        <v>1333</v>
      </c>
      <c r="I15" s="357">
        <v>52</v>
      </c>
      <c r="J15" s="357">
        <v>1.01</v>
      </c>
      <c r="K15" s="357">
        <v>6.06</v>
      </c>
    </row>
    <row r="16" spans="1:11" ht="36" customHeight="1" thickBot="1" x14ac:dyDescent="0.25">
      <c r="A16" s="6223"/>
      <c r="B16" s="6225"/>
      <c r="C16" s="353" t="s">
        <v>454</v>
      </c>
      <c r="D16" s="354" t="s">
        <v>458</v>
      </c>
      <c r="E16" s="354">
        <v>222.23</v>
      </c>
      <c r="F16" s="354">
        <v>0</v>
      </c>
      <c r="G16" s="6223"/>
      <c r="H16" s="6223"/>
      <c r="I16" s="354">
        <v>0</v>
      </c>
      <c r="J16" s="354">
        <v>0.01</v>
      </c>
      <c r="K16" s="354">
        <v>0.06</v>
      </c>
    </row>
    <row r="17" spans="1:11" ht="27" customHeight="1" x14ac:dyDescent="0.2">
      <c r="A17" s="6222">
        <v>14</v>
      </c>
      <c r="B17" s="6224" t="s">
        <v>459</v>
      </c>
      <c r="C17" s="355" t="s">
        <v>460</v>
      </c>
      <c r="D17" s="356">
        <v>6</v>
      </c>
      <c r="E17" s="357">
        <v>2391.5300000000002</v>
      </c>
      <c r="F17" s="357">
        <v>26.07</v>
      </c>
      <c r="G17" s="6222">
        <v>14349</v>
      </c>
      <c r="H17" s="6222">
        <v>2205</v>
      </c>
      <c r="I17" s="357">
        <v>156</v>
      </c>
      <c r="J17" s="357">
        <v>1.67</v>
      </c>
      <c r="K17" s="357">
        <v>10.02</v>
      </c>
    </row>
    <row r="18" spans="1:11" ht="44.25" customHeight="1" thickBot="1" x14ac:dyDescent="0.25">
      <c r="A18" s="6223"/>
      <c r="B18" s="6225"/>
      <c r="C18" s="353" t="s">
        <v>454</v>
      </c>
      <c r="D18" s="354" t="s">
        <v>458</v>
      </c>
      <c r="E18" s="354">
        <v>367.48</v>
      </c>
      <c r="F18" s="354">
        <v>0</v>
      </c>
      <c r="G18" s="6223"/>
      <c r="H18" s="6223"/>
      <c r="I18" s="354">
        <v>0</v>
      </c>
      <c r="J18" s="354">
        <v>0.03</v>
      </c>
      <c r="K18" s="354">
        <v>0.18</v>
      </c>
    </row>
    <row r="19" spans="1:11" ht="28.5" customHeight="1" x14ac:dyDescent="0.2">
      <c r="A19" s="6222">
        <v>15</v>
      </c>
      <c r="B19" s="6224" t="s">
        <v>461</v>
      </c>
      <c r="C19" s="355" t="s">
        <v>462</v>
      </c>
      <c r="D19" s="356">
        <v>5</v>
      </c>
      <c r="E19" s="357">
        <v>2735.83</v>
      </c>
      <c r="F19" s="357">
        <v>26.07</v>
      </c>
      <c r="G19" s="6222">
        <v>13679</v>
      </c>
      <c r="H19" s="6222">
        <v>1870</v>
      </c>
      <c r="I19" s="357">
        <v>130</v>
      </c>
      <c r="J19" s="357">
        <v>1.7</v>
      </c>
      <c r="K19" s="357">
        <v>8.5</v>
      </c>
    </row>
    <row r="20" spans="1:11" ht="42" customHeight="1" thickBot="1" x14ac:dyDescent="0.25">
      <c r="A20" s="6223"/>
      <c r="B20" s="6225"/>
      <c r="C20" s="353" t="s">
        <v>454</v>
      </c>
      <c r="D20" s="354" t="s">
        <v>458</v>
      </c>
      <c r="E20" s="354">
        <v>373.94</v>
      </c>
      <c r="F20" s="354">
        <v>0</v>
      </c>
      <c r="G20" s="6223"/>
      <c r="H20" s="6223"/>
      <c r="I20" s="354">
        <v>0</v>
      </c>
      <c r="J20" s="354">
        <v>0.03</v>
      </c>
      <c r="K20" s="354">
        <v>0.15</v>
      </c>
    </row>
    <row r="21" spans="1:11" ht="33" customHeight="1" x14ac:dyDescent="0.2">
      <c r="A21" s="6222">
        <v>16</v>
      </c>
      <c r="B21" s="6224" t="s">
        <v>463</v>
      </c>
      <c r="C21" s="355" t="s">
        <v>464</v>
      </c>
      <c r="D21" s="356">
        <v>4</v>
      </c>
      <c r="E21" s="357">
        <v>4792.7700000000004</v>
      </c>
      <c r="F21" s="357">
        <v>60.7</v>
      </c>
      <c r="G21" s="6222">
        <v>19171</v>
      </c>
      <c r="H21" s="6222">
        <v>2504</v>
      </c>
      <c r="I21" s="357">
        <v>243</v>
      </c>
      <c r="J21" s="357">
        <v>2.78</v>
      </c>
      <c r="K21" s="357">
        <v>11.12</v>
      </c>
    </row>
    <row r="22" spans="1:11" ht="42" customHeight="1" thickBot="1" x14ac:dyDescent="0.25">
      <c r="A22" s="6223"/>
      <c r="B22" s="6225"/>
      <c r="C22" s="353" t="s">
        <v>454</v>
      </c>
      <c r="D22" s="354" t="s">
        <v>458</v>
      </c>
      <c r="E22" s="354">
        <v>625.96</v>
      </c>
      <c r="F22" s="354">
        <v>0</v>
      </c>
      <c r="G22" s="6223"/>
      <c r="H22" s="6223"/>
      <c r="I22" s="354">
        <v>0</v>
      </c>
      <c r="J22" s="354">
        <v>7.0000000000000007E-2</v>
      </c>
      <c r="K22" s="354">
        <v>0.28000000000000003</v>
      </c>
    </row>
    <row r="23" spans="1:11" ht="30.75" customHeight="1" x14ac:dyDescent="0.2">
      <c r="A23" s="6222">
        <v>17</v>
      </c>
      <c r="B23" s="6224" t="s">
        <v>465</v>
      </c>
      <c r="C23" s="355" t="s">
        <v>466</v>
      </c>
      <c r="D23" s="356">
        <v>4</v>
      </c>
      <c r="E23" s="357">
        <v>7360.92</v>
      </c>
      <c r="F23" s="357">
        <v>479.19</v>
      </c>
      <c r="G23" s="6222">
        <v>29444</v>
      </c>
      <c r="H23" s="6222">
        <v>3583</v>
      </c>
      <c r="I23" s="357">
        <v>1917</v>
      </c>
      <c r="J23" s="357">
        <v>3.93</v>
      </c>
      <c r="K23" s="357">
        <v>15.72</v>
      </c>
    </row>
    <row r="24" spans="1:11" ht="35.25" customHeight="1" thickBot="1" x14ac:dyDescent="0.25">
      <c r="A24" s="6223"/>
      <c r="B24" s="6225"/>
      <c r="C24" s="353" t="s">
        <v>454</v>
      </c>
      <c r="D24" s="354" t="s">
        <v>458</v>
      </c>
      <c r="E24" s="354">
        <v>895.87</v>
      </c>
      <c r="F24" s="354">
        <v>88.64</v>
      </c>
      <c r="G24" s="6223"/>
      <c r="H24" s="6223"/>
      <c r="I24" s="354">
        <v>355</v>
      </c>
      <c r="J24" s="354">
        <v>0.36</v>
      </c>
      <c r="K24" s="354">
        <v>1.44</v>
      </c>
    </row>
    <row r="25" spans="1:11" ht="27.75" customHeight="1" x14ac:dyDescent="0.2">
      <c r="A25" s="6222">
        <v>18</v>
      </c>
      <c r="B25" s="6224" t="s">
        <v>467</v>
      </c>
      <c r="C25" s="355" t="s">
        <v>468</v>
      </c>
      <c r="D25" s="356">
        <v>0.1</v>
      </c>
      <c r="E25" s="357">
        <v>126956.4</v>
      </c>
      <c r="F25" s="357">
        <v>34.729999999999997</v>
      </c>
      <c r="G25" s="6222">
        <v>12696</v>
      </c>
      <c r="H25" s="6222">
        <v>11173</v>
      </c>
      <c r="I25" s="357">
        <v>3</v>
      </c>
      <c r="J25" s="357">
        <v>520.79999999999995</v>
      </c>
      <c r="K25" s="357">
        <v>52.08</v>
      </c>
    </row>
    <row r="26" spans="1:11" ht="40.5" customHeight="1" thickBot="1" x14ac:dyDescent="0.25">
      <c r="A26" s="6223"/>
      <c r="B26" s="6225"/>
      <c r="C26" s="353" t="s">
        <v>454</v>
      </c>
      <c r="D26" s="354" t="s">
        <v>469</v>
      </c>
      <c r="E26" s="354">
        <v>111727.55</v>
      </c>
      <c r="F26" s="354">
        <v>0</v>
      </c>
      <c r="G26" s="6223"/>
      <c r="H26" s="6223"/>
      <c r="I26" s="354">
        <v>0</v>
      </c>
      <c r="J26" s="354">
        <v>0.04</v>
      </c>
      <c r="K26" s="354">
        <v>0</v>
      </c>
    </row>
    <row r="27" spans="1:11" ht="27" customHeight="1" x14ac:dyDescent="0.2">
      <c r="A27" s="6222">
        <v>19</v>
      </c>
      <c r="B27" s="6224" t="s">
        <v>470</v>
      </c>
      <c r="C27" s="355" t="s">
        <v>471</v>
      </c>
      <c r="D27" s="356">
        <v>0.06</v>
      </c>
      <c r="E27" s="357">
        <v>184235.21</v>
      </c>
      <c r="F27" s="357">
        <v>60.7</v>
      </c>
      <c r="G27" s="6222">
        <v>11054</v>
      </c>
      <c r="H27" s="6222">
        <v>9438</v>
      </c>
      <c r="I27" s="357">
        <v>4</v>
      </c>
      <c r="J27" s="357">
        <v>733.2</v>
      </c>
      <c r="K27" s="357">
        <v>43.99</v>
      </c>
    </row>
    <row r="28" spans="1:11" ht="30.75" customHeight="1" thickBot="1" x14ac:dyDescent="0.25">
      <c r="A28" s="6223"/>
      <c r="B28" s="6225"/>
      <c r="C28" s="353" t="s">
        <v>454</v>
      </c>
      <c r="D28" s="354" t="s">
        <v>469</v>
      </c>
      <c r="E28" s="354">
        <v>157294.32999999999</v>
      </c>
      <c r="F28" s="354">
        <v>0</v>
      </c>
      <c r="G28" s="6223"/>
      <c r="H28" s="6223"/>
      <c r="I28" s="354">
        <v>0</v>
      </c>
      <c r="J28" s="354">
        <v>7.0000000000000007E-2</v>
      </c>
      <c r="K28" s="354">
        <v>0</v>
      </c>
    </row>
    <row r="29" spans="1:11" ht="27" customHeight="1" x14ac:dyDescent="0.2">
      <c r="A29" s="6222">
        <v>20</v>
      </c>
      <c r="B29" s="6224" t="s">
        <v>472</v>
      </c>
      <c r="C29" s="355" t="s">
        <v>473</v>
      </c>
      <c r="D29" s="356">
        <v>0.06</v>
      </c>
      <c r="E29" s="357">
        <v>249249.46</v>
      </c>
      <c r="F29" s="357">
        <v>78.11</v>
      </c>
      <c r="G29" s="6222">
        <v>14955</v>
      </c>
      <c r="H29" s="6222">
        <v>12710</v>
      </c>
      <c r="I29" s="357">
        <v>5</v>
      </c>
      <c r="J29" s="357">
        <v>987.4</v>
      </c>
      <c r="K29" s="357">
        <v>59.24</v>
      </c>
    </row>
    <row r="30" spans="1:11" ht="27.75" customHeight="1" thickBot="1" x14ac:dyDescent="0.25">
      <c r="A30" s="6223"/>
      <c r="B30" s="6225"/>
      <c r="C30" s="353" t="s">
        <v>454</v>
      </c>
      <c r="D30" s="354" t="s">
        <v>469</v>
      </c>
      <c r="E30" s="354">
        <v>211828.21</v>
      </c>
      <c r="F30" s="354">
        <v>0</v>
      </c>
      <c r="G30" s="6223"/>
      <c r="H30" s="6223"/>
      <c r="I30" s="354">
        <v>0</v>
      </c>
      <c r="J30" s="354">
        <v>0.09</v>
      </c>
      <c r="K30" s="354">
        <v>0.01</v>
      </c>
    </row>
    <row r="31" spans="1:11" x14ac:dyDescent="0.2">
      <c r="A31" s="6398" t="s">
        <v>474</v>
      </c>
      <c r="B31" s="6398"/>
      <c r="C31" s="6398"/>
      <c r="D31" s="6398"/>
      <c r="E31" s="6398"/>
      <c r="F31" s="6398"/>
      <c r="G31" s="333">
        <f>SUM(G13:G30)</f>
        <v>172814</v>
      </c>
    </row>
    <row r="33" spans="1:11" ht="18.75" x14ac:dyDescent="0.3">
      <c r="A33" s="5076" t="s">
        <v>485</v>
      </c>
      <c r="B33" s="5076"/>
      <c r="C33" s="5076"/>
      <c r="D33" s="5076"/>
      <c r="E33" s="5076"/>
      <c r="F33" s="5076"/>
      <c r="G33" s="5076"/>
      <c r="H33" s="5076"/>
      <c r="I33" s="5076"/>
      <c r="J33" s="5076"/>
      <c r="K33" s="5076"/>
    </row>
    <row r="34" spans="1:11" ht="18" x14ac:dyDescent="0.25">
      <c r="A34" s="6399" t="s">
        <v>486</v>
      </c>
      <c r="B34" s="6399"/>
    </row>
    <row r="35" spans="1:11" ht="15" x14ac:dyDescent="0.2">
      <c r="A35" s="6400" t="s">
        <v>475</v>
      </c>
      <c r="B35" s="6400"/>
      <c r="C35" s="6400"/>
      <c r="D35" s="6400"/>
      <c r="E35" s="6400"/>
      <c r="F35" s="6400"/>
      <c r="G35" s="6400"/>
      <c r="H35" s="6400"/>
      <c r="I35" s="6400"/>
      <c r="J35" s="6400"/>
      <c r="K35" s="6400"/>
    </row>
    <row r="36" spans="1:11" ht="13.5" thickBot="1" x14ac:dyDescent="0.25"/>
    <row r="37" spans="1:11" ht="13.5" thickBot="1" x14ac:dyDescent="0.25">
      <c r="A37" s="336" t="s">
        <v>165</v>
      </c>
      <c r="B37" s="336" t="s">
        <v>437</v>
      </c>
      <c r="C37" s="336" t="s">
        <v>356</v>
      </c>
      <c r="D37" s="337"/>
      <c r="E37" s="6229" t="s">
        <v>438</v>
      </c>
      <c r="F37" s="6230"/>
      <c r="G37" s="6229" t="s">
        <v>439</v>
      </c>
      <c r="H37" s="6231"/>
      <c r="I37" s="6230"/>
      <c r="J37" s="6232" t="s">
        <v>440</v>
      </c>
      <c r="K37" s="6233"/>
    </row>
    <row r="38" spans="1:11" ht="13.5" thickBot="1" x14ac:dyDescent="0.25">
      <c r="A38" s="340" t="s">
        <v>441</v>
      </c>
      <c r="B38" s="340" t="s">
        <v>442</v>
      </c>
      <c r="C38" s="340" t="s">
        <v>443</v>
      </c>
      <c r="D38" s="341" t="s">
        <v>444</v>
      </c>
      <c r="E38" s="342" t="s">
        <v>445</v>
      </c>
      <c r="F38" s="339" t="s">
        <v>446</v>
      </c>
      <c r="G38" s="340" t="s">
        <v>445</v>
      </c>
      <c r="H38" s="341" t="s">
        <v>447</v>
      </c>
      <c r="I38" s="343" t="s">
        <v>446</v>
      </c>
      <c r="J38" s="6234" t="s">
        <v>448</v>
      </c>
      <c r="K38" s="6235"/>
    </row>
    <row r="39" spans="1:11" ht="13.5" thickBot="1" x14ac:dyDescent="0.25">
      <c r="A39" s="344"/>
      <c r="B39" s="344" t="s">
        <v>449</v>
      </c>
      <c r="C39" s="344"/>
      <c r="D39" s="345"/>
      <c r="E39" s="342" t="s">
        <v>447</v>
      </c>
      <c r="F39" s="343" t="s">
        <v>450</v>
      </c>
      <c r="G39" s="338"/>
      <c r="H39" s="346"/>
      <c r="I39" s="343" t="s">
        <v>450</v>
      </c>
      <c r="J39" s="344" t="s">
        <v>451</v>
      </c>
      <c r="K39" s="345" t="s">
        <v>445</v>
      </c>
    </row>
    <row r="40" spans="1:11" ht="13.5" thickBot="1" x14ac:dyDescent="0.25">
      <c r="A40" s="347"/>
    </row>
    <row r="41" spans="1:11" ht="13.5" thickBot="1" x14ac:dyDescent="0.25">
      <c r="A41" s="348">
        <v>1</v>
      </c>
      <c r="B41" s="349">
        <v>2</v>
      </c>
      <c r="C41" s="349">
        <v>3</v>
      </c>
      <c r="D41" s="349">
        <v>4</v>
      </c>
      <c r="E41" s="349">
        <v>5</v>
      </c>
      <c r="F41" s="349">
        <v>6</v>
      </c>
      <c r="G41" s="349">
        <v>7</v>
      </c>
      <c r="H41" s="349">
        <v>8</v>
      </c>
      <c r="I41" s="349">
        <v>9</v>
      </c>
      <c r="J41" s="349">
        <v>10</v>
      </c>
      <c r="K41" s="349">
        <v>11</v>
      </c>
    </row>
    <row r="42" spans="1:11" x14ac:dyDescent="0.2">
      <c r="A42" s="6222">
        <v>9</v>
      </c>
      <c r="B42" s="6224" t="s">
        <v>476</v>
      </c>
      <c r="C42" s="350" t="s">
        <v>477</v>
      </c>
      <c r="D42" s="351">
        <v>15</v>
      </c>
      <c r="E42" s="352">
        <v>3998.08</v>
      </c>
      <c r="F42" s="352">
        <v>719.58</v>
      </c>
      <c r="G42" s="6222">
        <v>59971</v>
      </c>
      <c r="H42" s="6222">
        <v>20034</v>
      </c>
      <c r="I42" s="352">
        <v>10794</v>
      </c>
      <c r="J42" s="352">
        <v>5.86</v>
      </c>
      <c r="K42" s="352">
        <v>87.9</v>
      </c>
    </row>
    <row r="43" spans="1:11" ht="23.25" thickBot="1" x14ac:dyDescent="0.25">
      <c r="A43" s="6223"/>
      <c r="B43" s="6225"/>
      <c r="C43" s="353" t="s">
        <v>454</v>
      </c>
      <c r="D43" s="354" t="s">
        <v>478</v>
      </c>
      <c r="E43" s="354">
        <v>1335.61</v>
      </c>
      <c r="F43" s="354">
        <v>137.56</v>
      </c>
      <c r="G43" s="6223"/>
      <c r="H43" s="6223"/>
      <c r="I43" s="354">
        <v>2063</v>
      </c>
      <c r="J43" s="354">
        <v>0.55000000000000004</v>
      </c>
      <c r="K43" s="354">
        <v>8.25</v>
      </c>
    </row>
    <row r="44" spans="1:11" x14ac:dyDescent="0.2">
      <c r="A44" s="6222">
        <v>10</v>
      </c>
      <c r="B44" s="6224" t="s">
        <v>479</v>
      </c>
      <c r="C44" s="355" t="s">
        <v>480</v>
      </c>
      <c r="D44" s="356">
        <v>12</v>
      </c>
      <c r="E44" s="357">
        <v>8801.24</v>
      </c>
      <c r="F44" s="357">
        <v>896.5</v>
      </c>
      <c r="G44" s="6222">
        <v>105615</v>
      </c>
      <c r="H44" s="6222">
        <v>26805</v>
      </c>
      <c r="I44" s="357">
        <v>10758</v>
      </c>
      <c r="J44" s="357">
        <v>9.8000000000000007</v>
      </c>
      <c r="K44" s="357">
        <v>117.6</v>
      </c>
    </row>
    <row r="45" spans="1:11" ht="23.25" thickBot="1" x14ac:dyDescent="0.25">
      <c r="A45" s="6223"/>
      <c r="B45" s="6225"/>
      <c r="C45" s="353" t="s">
        <v>454</v>
      </c>
      <c r="D45" s="354" t="s">
        <v>478</v>
      </c>
      <c r="E45" s="354">
        <v>2233.71</v>
      </c>
      <c r="F45" s="354">
        <v>137.56</v>
      </c>
      <c r="G45" s="6223"/>
      <c r="H45" s="6223"/>
      <c r="I45" s="354">
        <v>1651</v>
      </c>
      <c r="J45" s="354">
        <v>0.55000000000000004</v>
      </c>
      <c r="K45" s="354">
        <v>6.6</v>
      </c>
    </row>
    <row r="46" spans="1:11" x14ac:dyDescent="0.2">
      <c r="A46" s="6222">
        <v>11</v>
      </c>
      <c r="B46" s="6224" t="s">
        <v>481</v>
      </c>
      <c r="C46" s="355" t="s">
        <v>482</v>
      </c>
      <c r="D46" s="356">
        <v>3</v>
      </c>
      <c r="E46" s="357">
        <v>14344.9</v>
      </c>
      <c r="F46" s="357">
        <v>1108.73</v>
      </c>
      <c r="G46" s="6222">
        <v>43035</v>
      </c>
      <c r="H46" s="6222">
        <v>9232</v>
      </c>
      <c r="I46" s="357">
        <v>3326</v>
      </c>
      <c r="J46" s="357">
        <v>13.5</v>
      </c>
      <c r="K46" s="357">
        <v>40.5</v>
      </c>
    </row>
    <row r="47" spans="1:11" ht="23.25" thickBot="1" x14ac:dyDescent="0.25">
      <c r="A47" s="6223"/>
      <c r="B47" s="6225"/>
      <c r="C47" s="353" t="s">
        <v>454</v>
      </c>
      <c r="D47" s="354" t="s">
        <v>478</v>
      </c>
      <c r="E47" s="354">
        <v>3077.18</v>
      </c>
      <c r="F47" s="354">
        <v>137.56</v>
      </c>
      <c r="G47" s="6223"/>
      <c r="H47" s="6223"/>
      <c r="I47" s="354">
        <v>413</v>
      </c>
      <c r="J47" s="354">
        <v>0.55000000000000004</v>
      </c>
      <c r="K47" s="354">
        <v>1.65</v>
      </c>
    </row>
    <row r="48" spans="1:11" x14ac:dyDescent="0.2">
      <c r="G48" s="333">
        <f>SUM(G46)</f>
        <v>43035</v>
      </c>
    </row>
    <row r="49" spans="3:17" x14ac:dyDescent="0.2">
      <c r="C49" s="333" t="s">
        <v>483</v>
      </c>
      <c r="G49" s="333">
        <f>G31+G48</f>
        <v>215849</v>
      </c>
    </row>
    <row r="54" spans="3:17" x14ac:dyDescent="0.2">
      <c r="D54" s="333">
        <v>1</v>
      </c>
      <c r="E54" s="333">
        <v>2</v>
      </c>
      <c r="F54" s="333">
        <v>3</v>
      </c>
      <c r="G54" s="565">
        <v>4</v>
      </c>
      <c r="H54" s="565">
        <v>5</v>
      </c>
      <c r="I54" s="565">
        <v>6</v>
      </c>
      <c r="J54" s="565">
        <v>7</v>
      </c>
      <c r="K54" s="565">
        <v>8</v>
      </c>
      <c r="L54" s="565">
        <v>9</v>
      </c>
      <c r="M54" s="565">
        <v>10</v>
      </c>
      <c r="N54" s="565">
        <v>11</v>
      </c>
      <c r="O54" s="565">
        <v>12</v>
      </c>
      <c r="P54" t="s">
        <v>54</v>
      </c>
      <c r="Q54" t="s">
        <v>584</v>
      </c>
    </row>
    <row r="55" spans="3:17" x14ac:dyDescent="0.2">
      <c r="C55" t="s">
        <v>600</v>
      </c>
      <c r="D55" s="333">
        <f>SUM(P55*D56)</f>
        <v>0</v>
      </c>
      <c r="E55" s="333">
        <f>SUM(P55*E56)</f>
        <v>0</v>
      </c>
      <c r="F55" s="333">
        <f>SUM(P55*F56)</f>
        <v>0</v>
      </c>
      <c r="G55" s="566">
        <f>SUM(P55*G56)</f>
        <v>5.3962250000000003</v>
      </c>
      <c r="H55" s="566">
        <f>SUM(P55*H56)</f>
        <v>43.169800000000002</v>
      </c>
      <c r="I55" s="333">
        <f>SUM(P55*I56)</f>
        <v>59.358474999999999</v>
      </c>
      <c r="J55" s="333">
        <f>SUM(P55*J56)</f>
        <v>59.358474999999999</v>
      </c>
      <c r="K55" s="566">
        <f>SUM(P55*K56)</f>
        <v>43.169800000000002</v>
      </c>
      <c r="L55" s="566">
        <f>SUM(P55*L56)</f>
        <v>5.3962250000000003</v>
      </c>
      <c r="M55" s="333">
        <f>SUM(P55*M56)</f>
        <v>0</v>
      </c>
      <c r="N55" s="333">
        <f>SUM(P55*N56)</f>
        <v>0</v>
      </c>
      <c r="O55" s="333">
        <f>SUM(P55*O56)</f>
        <v>0</v>
      </c>
      <c r="P55" s="333">
        <f>SUM(G49/1000)</f>
        <v>215.84899999999999</v>
      </c>
      <c r="Q55" s="333">
        <f>SUM(D55:O55)</f>
        <v>215.84899999999999</v>
      </c>
    </row>
    <row r="56" spans="3:17" x14ac:dyDescent="0.2">
      <c r="C56" t="s">
        <v>601</v>
      </c>
      <c r="D56" s="568">
        <v>0</v>
      </c>
      <c r="E56" s="568">
        <v>0</v>
      </c>
      <c r="F56" s="568">
        <v>0</v>
      </c>
      <c r="G56" s="568">
        <v>2.5000000000000001E-2</v>
      </c>
      <c r="H56" s="568">
        <v>0.2</v>
      </c>
      <c r="I56" s="568">
        <v>0.27500000000000002</v>
      </c>
      <c r="J56" s="568">
        <v>0.27500000000000002</v>
      </c>
      <c r="K56" s="568">
        <v>0.2</v>
      </c>
      <c r="L56" s="568">
        <v>2.5000000000000001E-2</v>
      </c>
      <c r="M56" s="568">
        <v>0</v>
      </c>
      <c r="N56" s="568">
        <v>0</v>
      </c>
      <c r="O56" s="568">
        <v>0</v>
      </c>
      <c r="P56" s="567">
        <f>SUM(D56:O56)</f>
        <v>1</v>
      </c>
    </row>
  </sheetData>
  <mergeCells count="63">
    <mergeCell ref="A5:G5"/>
    <mergeCell ref="E8:F8"/>
    <mergeCell ref="G8:I8"/>
    <mergeCell ref="A15:A16"/>
    <mergeCell ref="B15:B16"/>
    <mergeCell ref="G15:G16"/>
    <mergeCell ref="H15:H16"/>
    <mergeCell ref="A17:A18"/>
    <mergeCell ref="B17:B18"/>
    <mergeCell ref="G17:G18"/>
    <mergeCell ref="H17:H18"/>
    <mergeCell ref="A19:A20"/>
    <mergeCell ref="B19:B20"/>
    <mergeCell ref="G19:G20"/>
    <mergeCell ref="H19:H2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35:K35"/>
    <mergeCell ref="E37:F37"/>
    <mergeCell ref="G37:I37"/>
    <mergeCell ref="J37:K37"/>
    <mergeCell ref="A29:A30"/>
    <mergeCell ref="B29:B30"/>
    <mergeCell ref="G29:G30"/>
    <mergeCell ref="H29:H30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J38:K38"/>
    <mergeCell ref="A42:A43"/>
    <mergeCell ref="B42:B43"/>
    <mergeCell ref="G42:G43"/>
    <mergeCell ref="H42:H43"/>
    <mergeCell ref="A46:A47"/>
    <mergeCell ref="B46:B47"/>
    <mergeCell ref="G46:G47"/>
    <mergeCell ref="H46:H47"/>
    <mergeCell ref="A44:A45"/>
    <mergeCell ref="B44:B45"/>
    <mergeCell ref="G44:G45"/>
    <mergeCell ref="H44:H45"/>
  </mergeCells>
  <phoneticPr fontId="10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5076" t="s">
        <v>503</v>
      </c>
      <c r="B2" s="5076"/>
      <c r="C2" s="5076"/>
      <c r="D2" s="5076"/>
      <c r="E2" s="5076"/>
    </row>
    <row r="3" spans="1:14" ht="18" x14ac:dyDescent="0.25">
      <c r="A3" s="6399" t="s">
        <v>484</v>
      </c>
      <c r="B3" s="6399"/>
    </row>
    <row r="4" spans="1:14" ht="15" x14ac:dyDescent="0.2">
      <c r="A4" s="6400" t="s">
        <v>487</v>
      </c>
      <c r="B4" s="6400"/>
      <c r="C4" s="6400"/>
      <c r="D4" s="6400"/>
      <c r="E4" s="6400"/>
      <c r="F4" s="6400"/>
      <c r="G4" s="6400"/>
      <c r="H4" s="6400"/>
      <c r="I4" s="6400"/>
      <c r="J4" s="6400"/>
      <c r="K4" s="6400"/>
      <c r="L4" s="6400"/>
      <c r="M4" s="6400"/>
      <c r="N4" s="6400"/>
    </row>
    <row r="5" spans="1:14" ht="13.5" thickBot="1" x14ac:dyDescent="0.25"/>
    <row r="6" spans="1:14" ht="23.25" customHeight="1" x14ac:dyDescent="0.2">
      <c r="A6" s="6222">
        <v>6</v>
      </c>
      <c r="B6" s="6224" t="s">
        <v>452</v>
      </c>
      <c r="C6" s="350" t="s">
        <v>453</v>
      </c>
      <c r="D6" s="351">
        <v>8</v>
      </c>
      <c r="E6" s="352">
        <v>7034.2</v>
      </c>
      <c r="F6" s="352">
        <v>95.14</v>
      </c>
      <c r="G6" s="6222">
        <v>56274</v>
      </c>
      <c r="H6" s="6222">
        <v>7675</v>
      </c>
      <c r="I6" s="352">
        <v>761</v>
      </c>
      <c r="J6" s="352">
        <v>4.53</v>
      </c>
      <c r="K6" s="352">
        <v>36.24</v>
      </c>
    </row>
    <row r="7" spans="1:14" ht="39" customHeight="1" thickBot="1" x14ac:dyDescent="0.25">
      <c r="A7" s="6223"/>
      <c r="B7" s="6225"/>
      <c r="C7" s="353" t="s">
        <v>488</v>
      </c>
      <c r="D7" s="354" t="s">
        <v>455</v>
      </c>
      <c r="E7" s="354">
        <v>959.43</v>
      </c>
      <c r="F7" s="354">
        <v>0</v>
      </c>
      <c r="G7" s="6223"/>
      <c r="H7" s="6223"/>
      <c r="I7" s="354">
        <v>0</v>
      </c>
      <c r="J7" s="354">
        <v>0.1</v>
      </c>
      <c r="K7" s="354">
        <v>0.8</v>
      </c>
    </row>
    <row r="8" spans="1:14" ht="18.75" customHeight="1" x14ac:dyDescent="0.2">
      <c r="A8" s="6222">
        <v>7</v>
      </c>
      <c r="B8" s="6224" t="s">
        <v>489</v>
      </c>
      <c r="C8" s="355" t="s">
        <v>490</v>
      </c>
      <c r="D8" s="356">
        <v>0.5</v>
      </c>
      <c r="E8" s="357">
        <v>85720.87</v>
      </c>
      <c r="F8" s="357">
        <v>9062.94</v>
      </c>
      <c r="G8" s="6222">
        <v>42860</v>
      </c>
      <c r="H8" s="6222">
        <v>9892</v>
      </c>
      <c r="I8" s="357">
        <v>4531</v>
      </c>
      <c r="J8" s="357">
        <v>95.88</v>
      </c>
      <c r="K8" s="357">
        <v>47.94</v>
      </c>
    </row>
    <row r="9" spans="1:14" x14ac:dyDescent="0.2">
      <c r="A9" s="6226"/>
      <c r="B9" s="6227"/>
      <c r="C9" s="355" t="s">
        <v>491</v>
      </c>
      <c r="D9" s="357" t="s">
        <v>492</v>
      </c>
      <c r="E9" s="357">
        <v>19783.650000000001</v>
      </c>
      <c r="F9" s="357">
        <v>2411.09</v>
      </c>
      <c r="G9" s="6226"/>
      <c r="H9" s="6226"/>
      <c r="I9" s="357">
        <v>1206</v>
      </c>
      <c r="J9" s="357">
        <v>7.81</v>
      </c>
      <c r="K9" s="357">
        <v>3.91</v>
      </c>
    </row>
    <row r="10" spans="1:14" ht="36.75" customHeight="1" thickBot="1" x14ac:dyDescent="0.25">
      <c r="A10" s="6223"/>
      <c r="B10" s="6225"/>
      <c r="C10" s="353" t="s">
        <v>493</v>
      </c>
      <c r="D10" s="358"/>
      <c r="E10" s="358"/>
      <c r="F10" s="358"/>
      <c r="G10" s="6223"/>
      <c r="H10" s="6223"/>
      <c r="I10" s="358"/>
      <c r="J10" s="358"/>
      <c r="K10" s="358"/>
    </row>
    <row r="11" spans="1:14" ht="21" customHeight="1" x14ac:dyDescent="0.2">
      <c r="A11" s="6222">
        <v>8</v>
      </c>
      <c r="B11" s="6224" t="s">
        <v>494</v>
      </c>
      <c r="C11" s="355" t="s">
        <v>495</v>
      </c>
      <c r="D11" s="356">
        <v>3.5</v>
      </c>
      <c r="E11" s="357">
        <v>14195.77</v>
      </c>
      <c r="F11" s="357">
        <v>322.83</v>
      </c>
      <c r="G11" s="6222">
        <v>49685</v>
      </c>
      <c r="H11" s="6222">
        <v>27133</v>
      </c>
      <c r="I11" s="357">
        <v>1130</v>
      </c>
      <c r="J11" s="357">
        <v>38.93</v>
      </c>
      <c r="K11" s="357">
        <v>136.25</v>
      </c>
    </row>
    <row r="12" spans="1:14" x14ac:dyDescent="0.2">
      <c r="A12" s="6226"/>
      <c r="B12" s="6227"/>
      <c r="C12" s="355" t="s">
        <v>496</v>
      </c>
      <c r="D12" s="357" t="s">
        <v>497</v>
      </c>
      <c r="E12" s="357">
        <v>7752.25</v>
      </c>
      <c r="F12" s="357">
        <v>133.34</v>
      </c>
      <c r="G12" s="6226"/>
      <c r="H12" s="6226"/>
      <c r="I12" s="357">
        <v>467</v>
      </c>
      <c r="J12" s="357">
        <v>0.43</v>
      </c>
      <c r="K12" s="357">
        <v>1.51</v>
      </c>
    </row>
    <row r="13" spans="1:14" ht="32.25" customHeight="1" thickBot="1" x14ac:dyDescent="0.25">
      <c r="A13" s="6223"/>
      <c r="B13" s="6225"/>
      <c r="C13" s="353" t="s">
        <v>493</v>
      </c>
      <c r="D13" s="358"/>
      <c r="E13" s="358"/>
      <c r="F13" s="358"/>
      <c r="G13" s="6223"/>
      <c r="H13" s="6223"/>
      <c r="I13" s="358"/>
      <c r="J13" s="358"/>
      <c r="K13" s="358"/>
    </row>
    <row r="14" spans="1:14" ht="16.5" customHeight="1" x14ac:dyDescent="0.2">
      <c r="A14" s="6222">
        <v>9</v>
      </c>
      <c r="B14" s="6224" t="s">
        <v>498</v>
      </c>
      <c r="C14" s="355" t="s">
        <v>499</v>
      </c>
      <c r="D14" s="356">
        <v>2.5</v>
      </c>
      <c r="E14" s="357">
        <v>17321.98</v>
      </c>
      <c r="F14" s="357">
        <v>57.06</v>
      </c>
      <c r="G14" s="6222">
        <v>43305</v>
      </c>
      <c r="H14" s="6222">
        <v>18348</v>
      </c>
      <c r="I14" s="357">
        <v>143</v>
      </c>
      <c r="J14" s="357">
        <v>34.65</v>
      </c>
      <c r="K14" s="357">
        <v>86.63</v>
      </c>
    </row>
    <row r="15" spans="1:14" x14ac:dyDescent="0.2">
      <c r="A15" s="6226"/>
      <c r="B15" s="6227"/>
      <c r="C15" s="355" t="s">
        <v>496</v>
      </c>
      <c r="D15" s="357" t="s">
        <v>492</v>
      </c>
      <c r="E15" s="357">
        <v>7339</v>
      </c>
      <c r="F15" s="357">
        <v>0</v>
      </c>
      <c r="G15" s="6226"/>
      <c r="H15" s="6226"/>
      <c r="I15" s="357">
        <v>0</v>
      </c>
      <c r="J15" s="357">
        <v>0.06</v>
      </c>
      <c r="K15" s="357">
        <v>0.15</v>
      </c>
    </row>
    <row r="16" spans="1:14" ht="31.5" customHeight="1" thickBot="1" x14ac:dyDescent="0.25">
      <c r="A16" s="6223"/>
      <c r="B16" s="6225"/>
      <c r="C16" s="353" t="s">
        <v>493</v>
      </c>
      <c r="D16" s="358"/>
      <c r="E16" s="358"/>
      <c r="F16" s="358"/>
      <c r="G16" s="6223"/>
      <c r="H16" s="6223"/>
      <c r="I16" s="358"/>
      <c r="J16" s="358"/>
      <c r="K16" s="358"/>
    </row>
    <row r="17" spans="1:17" ht="21" customHeight="1" x14ac:dyDescent="0.2">
      <c r="A17" s="6222">
        <v>10</v>
      </c>
      <c r="B17" s="6224" t="s">
        <v>500</v>
      </c>
      <c r="C17" s="355" t="s">
        <v>501</v>
      </c>
      <c r="D17" s="356">
        <v>0.97</v>
      </c>
      <c r="E17" s="357">
        <v>174645.03</v>
      </c>
      <c r="F17" s="357">
        <v>141672.79</v>
      </c>
      <c r="G17" s="6222">
        <v>169406</v>
      </c>
      <c r="H17" s="6222">
        <v>30684</v>
      </c>
      <c r="I17" s="357">
        <v>137423</v>
      </c>
      <c r="J17" s="357">
        <v>130.53</v>
      </c>
      <c r="K17" s="357">
        <v>126.61</v>
      </c>
    </row>
    <row r="18" spans="1:17" ht="35.25" customHeight="1" thickBot="1" x14ac:dyDescent="0.25">
      <c r="A18" s="6223"/>
      <c r="B18" s="6225"/>
      <c r="C18" s="353" t="s">
        <v>488</v>
      </c>
      <c r="D18" s="354" t="s">
        <v>502</v>
      </c>
      <c r="E18" s="354">
        <v>31632.68</v>
      </c>
      <c r="F18" s="354">
        <v>9984.64</v>
      </c>
      <c r="G18" s="6223"/>
      <c r="H18" s="6223"/>
      <c r="I18" s="354">
        <v>9685</v>
      </c>
      <c r="J18" s="354">
        <v>47.81</v>
      </c>
      <c r="K18" s="354">
        <v>46.38</v>
      </c>
    </row>
    <row r="19" spans="1:17" x14ac:dyDescent="0.2">
      <c r="G19">
        <f>SUM(G6:G18)</f>
        <v>361530</v>
      </c>
    </row>
    <row r="23" spans="1:17" x14ac:dyDescent="0.2">
      <c r="A23" s="333"/>
      <c r="B23" s="333"/>
      <c r="C23" s="333"/>
      <c r="D23" s="333">
        <v>1</v>
      </c>
      <c r="E23" s="333">
        <v>2</v>
      </c>
      <c r="F23" s="333">
        <v>3</v>
      </c>
      <c r="G23" s="565">
        <v>4</v>
      </c>
      <c r="H23" s="565">
        <v>5</v>
      </c>
      <c r="I23" s="565">
        <v>6</v>
      </c>
      <c r="J23" s="565">
        <v>7</v>
      </c>
      <c r="K23" s="565">
        <v>8</v>
      </c>
      <c r="L23" s="565">
        <v>9</v>
      </c>
      <c r="M23" s="565">
        <v>10</v>
      </c>
      <c r="N23" s="565">
        <v>11</v>
      </c>
      <c r="O23" s="565">
        <v>12</v>
      </c>
      <c r="P23" t="s">
        <v>54</v>
      </c>
      <c r="Q23" t="s">
        <v>584</v>
      </c>
    </row>
    <row r="24" spans="1:17" x14ac:dyDescent="0.2">
      <c r="A24" s="333"/>
      <c r="B24" s="333"/>
      <c r="C24" t="s">
        <v>600</v>
      </c>
      <c r="D24" s="333">
        <f>SUM(P24*D25)</f>
        <v>0</v>
      </c>
      <c r="E24" s="333">
        <f>SUM(P24*E25)</f>
        <v>0</v>
      </c>
      <c r="F24" s="333">
        <f>SUM(P24*F25)</f>
        <v>0</v>
      </c>
      <c r="G24" s="566">
        <f>SUM(P24*G25)</f>
        <v>9.0382499999999997</v>
      </c>
      <c r="H24" s="566">
        <f>SUM(P24*H25)</f>
        <v>72.305999999999997</v>
      </c>
      <c r="I24" s="333">
        <f>SUM(P24*I25)</f>
        <v>99.420749999999998</v>
      </c>
      <c r="J24" s="333">
        <f>SUM(P24*J25)</f>
        <v>99.420749999999998</v>
      </c>
      <c r="K24" s="566">
        <f>SUM(P24*K25)</f>
        <v>72.305999999999997</v>
      </c>
      <c r="L24" s="566">
        <f>SUM(P24*L25)</f>
        <v>9.0382499999999997</v>
      </c>
      <c r="M24" s="333">
        <f>SUM(P24*M25)</f>
        <v>0</v>
      </c>
      <c r="N24" s="333">
        <f>SUM(P24*N25)</f>
        <v>0</v>
      </c>
      <c r="O24" s="333">
        <f>SUM(P24*O25)</f>
        <v>0</v>
      </c>
      <c r="P24" s="333">
        <f>SUM(G19/1000)</f>
        <v>361.53</v>
      </c>
      <c r="Q24" s="333">
        <f>SUM(D24:O24)</f>
        <v>361.53</v>
      </c>
    </row>
    <row r="25" spans="1:17" x14ac:dyDescent="0.2">
      <c r="A25" s="333"/>
      <c r="B25" s="333"/>
      <c r="C25" t="s">
        <v>601</v>
      </c>
      <c r="D25" s="568">
        <v>0</v>
      </c>
      <c r="E25" s="568">
        <v>0</v>
      </c>
      <c r="F25" s="568">
        <v>0</v>
      </c>
      <c r="G25" s="568">
        <v>2.5000000000000001E-2</v>
      </c>
      <c r="H25" s="568">
        <v>0.2</v>
      </c>
      <c r="I25" s="568">
        <v>0.27500000000000002</v>
      </c>
      <c r="J25" s="568">
        <v>0.27500000000000002</v>
      </c>
      <c r="K25" s="568">
        <v>0.2</v>
      </c>
      <c r="L25" s="568">
        <v>2.5000000000000001E-2</v>
      </c>
      <c r="M25" s="568">
        <v>0</v>
      </c>
      <c r="N25" s="568">
        <v>0</v>
      </c>
      <c r="O25" s="568">
        <v>0</v>
      </c>
      <c r="P25" s="567">
        <f>SUM(D25:O25)</f>
        <v>1</v>
      </c>
      <c r="Q25" s="333"/>
    </row>
    <row r="26" spans="1:17" x14ac:dyDescent="0.2">
      <c r="A26" s="333"/>
      <c r="B26" s="333"/>
      <c r="C26" s="333"/>
      <c r="D26" s="333"/>
      <c r="E26" s="333"/>
      <c r="F26" s="333"/>
      <c r="G26" s="333"/>
      <c r="H26" s="333"/>
      <c r="I26" s="333"/>
      <c r="J26" s="333"/>
      <c r="K26" s="333"/>
      <c r="L26" s="333"/>
      <c r="M26" s="333"/>
      <c r="N26" s="333"/>
      <c r="O26" s="333"/>
      <c r="P26" s="333"/>
      <c r="Q26" s="333"/>
    </row>
  </sheetData>
  <mergeCells count="23">
    <mergeCell ref="A3:B3"/>
    <mergeCell ref="A2:E2"/>
    <mergeCell ref="A4:N4"/>
    <mergeCell ref="A6:A7"/>
    <mergeCell ref="B6:B7"/>
    <mergeCell ref="G6:G7"/>
    <mergeCell ref="H6:H7"/>
    <mergeCell ref="A8:A10"/>
    <mergeCell ref="B8:B10"/>
    <mergeCell ref="G8:G10"/>
    <mergeCell ref="H8:H10"/>
    <mergeCell ref="A11:A13"/>
    <mergeCell ref="B11:B13"/>
    <mergeCell ref="G11:G13"/>
    <mergeCell ref="H11:H13"/>
    <mergeCell ref="A14:A16"/>
    <mergeCell ref="B14:B16"/>
    <mergeCell ref="G14:G16"/>
    <mergeCell ref="H14:H16"/>
    <mergeCell ref="A17:A18"/>
    <mergeCell ref="B17:B18"/>
    <mergeCell ref="G17:G18"/>
    <mergeCell ref="H17:H18"/>
  </mergeCells>
  <phoneticPr fontId="10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5" customWidth="1"/>
    <col min="2" max="2" width="18.28515625" style="185" customWidth="1"/>
    <col min="3" max="3" width="12.85546875" style="185" customWidth="1"/>
    <col min="4" max="4" width="14.28515625" style="185" customWidth="1"/>
    <col min="5" max="6" width="15.5703125" style="185" customWidth="1"/>
    <col min="7" max="7" width="12.7109375" style="185" customWidth="1"/>
    <col min="8" max="8" width="20.5703125" style="185" customWidth="1"/>
    <col min="9" max="10" width="15.140625" style="185" customWidth="1"/>
    <col min="11" max="11" width="15.85546875" style="185" customWidth="1"/>
    <col min="12" max="12" width="15.42578125" style="185" customWidth="1"/>
    <col min="13" max="13" width="12.5703125" style="185" customWidth="1"/>
    <col min="14" max="14" width="15.5703125" style="185" customWidth="1"/>
    <col min="15" max="15" width="11.28515625" style="185" customWidth="1"/>
    <col min="16" max="16" width="13.5703125" style="185" customWidth="1"/>
    <col min="17" max="16384" width="9.140625" style="185"/>
  </cols>
  <sheetData>
    <row r="3" spans="1:16" x14ac:dyDescent="0.25">
      <c r="A3" s="6409" t="s">
        <v>320</v>
      </c>
      <c r="B3" s="6409"/>
      <c r="C3" s="6409"/>
      <c r="D3" s="6409"/>
      <c r="E3" s="6409"/>
      <c r="F3" s="6409"/>
      <c r="G3" s="6409"/>
      <c r="H3" s="6409"/>
      <c r="I3" s="6409"/>
      <c r="J3" s="6409"/>
      <c r="K3" s="6409"/>
    </row>
    <row r="4" spans="1:16" x14ac:dyDescent="0.25">
      <c r="A4" s="184"/>
      <c r="B4" s="184"/>
      <c r="C4" s="184"/>
      <c r="D4" s="184"/>
      <c r="E4" s="184"/>
      <c r="F4" s="184"/>
      <c r="G4" s="184"/>
      <c r="H4" s="184"/>
      <c r="I4" s="184"/>
      <c r="J4" s="184"/>
      <c r="K4" s="184"/>
    </row>
    <row r="5" spans="1:16" x14ac:dyDescent="0.25">
      <c r="A5" s="186" t="s">
        <v>321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</row>
    <row r="6" spans="1:16" ht="15.75" thickBot="1" x14ac:dyDescent="0.3">
      <c r="A6" s="186"/>
      <c r="B6" s="187"/>
      <c r="C6" s="187"/>
      <c r="D6" s="187"/>
      <c r="E6" s="187"/>
      <c r="F6" s="187"/>
      <c r="G6" s="187"/>
      <c r="H6" s="187"/>
      <c r="I6" s="187"/>
      <c r="J6" s="187"/>
      <c r="K6" s="187"/>
    </row>
    <row r="7" spans="1:16" x14ac:dyDescent="0.25">
      <c r="A7" s="6404" t="s">
        <v>322</v>
      </c>
      <c r="B7" s="6406" t="s">
        <v>323</v>
      </c>
      <c r="C7" s="6408" t="s">
        <v>324</v>
      </c>
      <c r="D7" s="6408"/>
      <c r="E7" s="6408"/>
      <c r="F7" s="6408"/>
      <c r="G7" s="6401" t="s">
        <v>325</v>
      </c>
      <c r="H7" s="6402"/>
      <c r="I7" s="6402"/>
      <c r="J7" s="6402"/>
      <c r="K7" s="6403"/>
      <c r="L7" s="6401" t="s">
        <v>326</v>
      </c>
      <c r="M7" s="6402"/>
      <c r="N7" s="6402"/>
      <c r="O7" s="6402"/>
      <c r="P7" s="6403"/>
    </row>
    <row r="8" spans="1:16" ht="60.75" thickBot="1" x14ac:dyDescent="0.3">
      <c r="A8" s="6405"/>
      <c r="B8" s="6407"/>
      <c r="C8" s="188" t="s">
        <v>327</v>
      </c>
      <c r="D8" s="189" t="s">
        <v>328</v>
      </c>
      <c r="E8" s="190" t="s">
        <v>329</v>
      </c>
      <c r="F8" s="191" t="s">
        <v>330</v>
      </c>
      <c r="G8" s="192" t="s">
        <v>327</v>
      </c>
      <c r="H8" s="190" t="s">
        <v>331</v>
      </c>
      <c r="I8" s="190" t="s">
        <v>329</v>
      </c>
      <c r="J8" s="190" t="s">
        <v>330</v>
      </c>
      <c r="K8" s="193" t="s">
        <v>332</v>
      </c>
      <c r="L8" s="192" t="s">
        <v>327</v>
      </c>
      <c r="M8" s="190" t="s">
        <v>331</v>
      </c>
      <c r="N8" s="190" t="s">
        <v>329</v>
      </c>
      <c r="O8" s="190" t="s">
        <v>330</v>
      </c>
      <c r="P8" s="193" t="s">
        <v>332</v>
      </c>
    </row>
    <row r="9" spans="1:16" x14ac:dyDescent="0.25">
      <c r="A9" s="194" t="s">
        <v>333</v>
      </c>
      <c r="B9" s="195" t="s">
        <v>334</v>
      </c>
      <c r="C9" s="196">
        <f>4.891</f>
        <v>4.891</v>
      </c>
      <c r="D9" s="197">
        <v>21.09</v>
      </c>
      <c r="E9" s="198">
        <f>C9*D9*3</f>
        <v>309.45357000000001</v>
      </c>
      <c r="F9" s="199">
        <f t="shared" ref="F9:F15" si="0">E9/$E$16*100</f>
        <v>7.0756249859786209</v>
      </c>
      <c r="G9" s="200">
        <v>4.7510000000000003</v>
      </c>
      <c r="H9" s="197">
        <v>22.59</v>
      </c>
      <c r="I9" s="198">
        <f>G9*H9*3</f>
        <v>321.97527000000002</v>
      </c>
      <c r="J9" s="201">
        <f t="shared" ref="J9:J15" si="1">I9/$I$16*100</f>
        <v>6.4865597299422166</v>
      </c>
      <c r="K9" s="202">
        <f t="shared" ref="K9:K16" si="2">I9/E9*100</f>
        <v>104.04639054576104</v>
      </c>
      <c r="L9" s="200">
        <f>G9</f>
        <v>4.7510000000000003</v>
      </c>
      <c r="M9" s="197">
        <f>вода!Z99*1.18</f>
        <v>26.740876799999999</v>
      </c>
      <c r="N9" s="198">
        <f>L9*M9*3</f>
        <v>381.13771703040004</v>
      </c>
      <c r="O9" s="201">
        <f t="shared" ref="O9:O15" si="3">N9/$N$16*100</f>
        <v>7.289571523132123</v>
      </c>
      <c r="P9" s="203">
        <f t="shared" ref="P9:P16" si="4">N9/I9</f>
        <v>1.1837484196547146</v>
      </c>
    </row>
    <row r="10" spans="1:16" x14ac:dyDescent="0.25">
      <c r="A10" s="204" t="s">
        <v>335</v>
      </c>
      <c r="B10" s="205" t="s">
        <v>334</v>
      </c>
      <c r="C10" s="206">
        <f>8.156</f>
        <v>8.1560000000000006</v>
      </c>
      <c r="D10" s="197">
        <v>17.07</v>
      </c>
      <c r="E10" s="207">
        <f>C10*D10*3</f>
        <v>417.66876000000002</v>
      </c>
      <c r="F10" s="199">
        <f t="shared" si="0"/>
        <v>9.5499545024434784</v>
      </c>
      <c r="G10" s="208">
        <f>8.156</f>
        <v>8.1560000000000006</v>
      </c>
      <c r="H10" s="197">
        <v>18.29</v>
      </c>
      <c r="I10" s="207">
        <f>G10*H10*3</f>
        <v>447.51972000000001</v>
      </c>
      <c r="J10" s="201">
        <f t="shared" si="1"/>
        <v>9.0157961327496245</v>
      </c>
      <c r="K10" s="202">
        <f t="shared" si="2"/>
        <v>107.14704159343877</v>
      </c>
      <c r="L10" s="208">
        <f>8.156</f>
        <v>8.1560000000000006</v>
      </c>
      <c r="M10" s="197">
        <f>вода!Z106*1.18</f>
        <v>21.655359999999998</v>
      </c>
      <c r="N10" s="207">
        <f>L10*M10*3</f>
        <v>529.86334848000001</v>
      </c>
      <c r="O10" s="201">
        <f t="shared" si="3"/>
        <v>10.134071238935306</v>
      </c>
      <c r="P10" s="203">
        <f t="shared" si="4"/>
        <v>1.1839999999999999</v>
      </c>
    </row>
    <row r="11" spans="1:16" x14ac:dyDescent="0.25">
      <c r="A11" s="204" t="s">
        <v>336</v>
      </c>
      <c r="B11" s="205" t="s">
        <v>337</v>
      </c>
      <c r="C11" s="206">
        <v>2.5613E-2</v>
      </c>
      <c r="D11" s="209">
        <v>1744.04</v>
      </c>
      <c r="E11" s="207">
        <f>C11*D11*54</f>
        <v>2412.1852120799999</v>
      </c>
      <c r="F11" s="199">
        <f t="shared" si="0"/>
        <v>55.154374071048473</v>
      </c>
      <c r="G11" s="208">
        <v>2.5613E-2</v>
      </c>
      <c r="H11" s="209">
        <v>2003.64</v>
      </c>
      <c r="I11" s="207">
        <f>G11*H11*54</f>
        <v>2771.2384912799998</v>
      </c>
      <c r="J11" s="201">
        <f t="shared" si="1"/>
        <v>55.82976605502239</v>
      </c>
      <c r="K11" s="202">
        <f t="shared" si="2"/>
        <v>114.8849797023004</v>
      </c>
      <c r="L11" s="208">
        <v>2.5613E-2</v>
      </c>
      <c r="M11" s="209">
        <f>H11*1.015</f>
        <v>2033.6945999999998</v>
      </c>
      <c r="N11" s="207">
        <f>L11*M11*54</f>
        <v>2812.8070686492001</v>
      </c>
      <c r="O11" s="201">
        <f t="shared" si="3"/>
        <v>53.797242811459967</v>
      </c>
      <c r="P11" s="203">
        <f t="shared" si="4"/>
        <v>1.0150000000000001</v>
      </c>
    </row>
    <row r="12" spans="1:16" x14ac:dyDescent="0.25">
      <c r="A12" s="204" t="s">
        <v>338</v>
      </c>
      <c r="B12" s="205" t="s">
        <v>339</v>
      </c>
      <c r="C12" s="206">
        <v>6.6209000000000004E-2</v>
      </c>
      <c r="D12" s="209">
        <v>1744.04</v>
      </c>
      <c r="E12" s="207">
        <f>C12*D12*3</f>
        <v>346.41343308</v>
      </c>
      <c r="F12" s="199">
        <f t="shared" si="0"/>
        <v>7.9207085656807283</v>
      </c>
      <c r="G12" s="208">
        <f>C12</f>
        <v>6.6209000000000004E-2</v>
      </c>
      <c r="H12" s="209">
        <v>2003.64</v>
      </c>
      <c r="I12" s="207">
        <f>G12*H12*3</f>
        <v>397.97700228000008</v>
      </c>
      <c r="J12" s="201">
        <f t="shared" si="1"/>
        <v>8.0177014726397147</v>
      </c>
      <c r="K12" s="202">
        <f t="shared" si="2"/>
        <v>114.88497970230043</v>
      </c>
      <c r="L12" s="208">
        <f>G12</f>
        <v>6.6209000000000004E-2</v>
      </c>
      <c r="M12" s="209">
        <f>H12*1.015</f>
        <v>2033.6945999999998</v>
      </c>
      <c r="N12" s="207">
        <f>L12*M12*3</f>
        <v>403.94665731419997</v>
      </c>
      <c r="O12" s="201">
        <f t="shared" si="3"/>
        <v>7.7258112184870358</v>
      </c>
      <c r="P12" s="203">
        <f t="shared" si="4"/>
        <v>1.0149999999999997</v>
      </c>
    </row>
    <row r="13" spans="1:16" x14ac:dyDescent="0.25">
      <c r="A13" s="204"/>
      <c r="B13" s="205"/>
      <c r="C13" s="206">
        <f>3.265</f>
        <v>3.2650000000000001</v>
      </c>
      <c r="D13" s="209">
        <f>D9</f>
        <v>21.09</v>
      </c>
      <c r="E13" s="207">
        <f>C13*D13*3</f>
        <v>206.57655</v>
      </c>
      <c r="F13" s="199">
        <f t="shared" si="0"/>
        <v>4.7233521936659573</v>
      </c>
      <c r="G13" s="208">
        <f>3.405</f>
        <v>3.4049999999999998</v>
      </c>
      <c r="H13" s="209">
        <f>H9</f>
        <v>22.59</v>
      </c>
      <c r="I13" s="207">
        <f>G13*H13*3</f>
        <v>230.75684999999999</v>
      </c>
      <c r="J13" s="201">
        <f t="shared" si="1"/>
        <v>4.6488604252690475</v>
      </c>
      <c r="K13" s="202">
        <f t="shared" si="2"/>
        <v>111.70524921633167</v>
      </c>
      <c r="L13" s="208">
        <f>G13</f>
        <v>3.4049999999999998</v>
      </c>
      <c r="M13" s="209">
        <f>M9</f>
        <v>26.740876799999999</v>
      </c>
      <c r="N13" s="207">
        <f>L13*M13*3</f>
        <v>273.15805651199997</v>
      </c>
      <c r="O13" s="201">
        <f t="shared" si="3"/>
        <v>5.2243719293337971</v>
      </c>
      <c r="P13" s="203">
        <f t="shared" si="4"/>
        <v>1.1837484196547143</v>
      </c>
    </row>
    <row r="14" spans="1:16" x14ac:dyDescent="0.25">
      <c r="A14" s="204" t="s">
        <v>340</v>
      </c>
      <c r="B14" s="205" t="s">
        <v>339</v>
      </c>
      <c r="C14" s="210">
        <v>13</v>
      </c>
      <c r="D14" s="209">
        <v>3.8466200000000002</v>
      </c>
      <c r="E14" s="211">
        <f>C14*D14*3</f>
        <v>150.01818000000003</v>
      </c>
      <c r="F14" s="199">
        <f t="shared" si="0"/>
        <v>3.4301507097140234</v>
      </c>
      <c r="G14" s="212">
        <v>13</v>
      </c>
      <c r="H14" s="209">
        <v>4.4887699999999997</v>
      </c>
      <c r="I14" s="211">
        <f>G14*H14*3</f>
        <v>175.06202999999999</v>
      </c>
      <c r="J14" s="201">
        <f t="shared" si="1"/>
        <v>3.5268246348234631</v>
      </c>
      <c r="K14" s="202">
        <f t="shared" si="2"/>
        <v>116.69387670214365</v>
      </c>
      <c r="L14" s="212">
        <v>13</v>
      </c>
      <c r="M14" s="209">
        <f>H14*1.042</f>
        <v>4.6772983400000001</v>
      </c>
      <c r="N14" s="211">
        <f>L14*M14*3</f>
        <v>182.41463526000001</v>
      </c>
      <c r="O14" s="201">
        <f t="shared" si="3"/>
        <v>3.4888295520953871</v>
      </c>
      <c r="P14" s="203">
        <f t="shared" si="4"/>
        <v>1.042</v>
      </c>
    </row>
    <row r="15" spans="1:16" x14ac:dyDescent="0.25">
      <c r="A15" s="204" t="s">
        <v>1</v>
      </c>
      <c r="B15" s="205" t="s">
        <v>341</v>
      </c>
      <c r="C15" s="210">
        <v>160</v>
      </c>
      <c r="D15" s="209">
        <v>3.32</v>
      </c>
      <c r="E15" s="211">
        <f>C15*D15</f>
        <v>531.19999999999993</v>
      </c>
      <c r="F15" s="199">
        <f t="shared" si="0"/>
        <v>12.145834971468716</v>
      </c>
      <c r="G15" s="212">
        <v>160</v>
      </c>
      <c r="H15" s="209">
        <v>3.87</v>
      </c>
      <c r="I15" s="211">
        <f>G15*H15</f>
        <v>619.20000000000005</v>
      </c>
      <c r="J15" s="201">
        <f t="shared" si="1"/>
        <v>12.474491549553543</v>
      </c>
      <c r="K15" s="202">
        <f t="shared" si="2"/>
        <v>116.56626506024099</v>
      </c>
      <c r="L15" s="212">
        <v>160</v>
      </c>
      <c r="M15" s="209">
        <f>H15*1.042</f>
        <v>4.03254</v>
      </c>
      <c r="N15" s="211">
        <f>L15*M15</f>
        <v>645.20640000000003</v>
      </c>
      <c r="O15" s="201">
        <f t="shared" si="3"/>
        <v>12.340101726556373</v>
      </c>
      <c r="P15" s="203">
        <f t="shared" si="4"/>
        <v>1.042</v>
      </c>
    </row>
    <row r="16" spans="1:16" ht="15.75" thickBot="1" x14ac:dyDescent="0.3">
      <c r="A16" s="213" t="s">
        <v>342</v>
      </c>
      <c r="B16" s="214"/>
      <c r="C16" s="215"/>
      <c r="D16" s="216"/>
      <c r="E16" s="217">
        <f>SUM(E9:E15)</f>
        <v>4373.5157051599999</v>
      </c>
      <c r="F16" s="218">
        <f>SUM(F9:F15)</f>
        <v>100</v>
      </c>
      <c r="G16" s="219"/>
      <c r="H16" s="216"/>
      <c r="I16" s="217">
        <f>SUM(I9:I15)</f>
        <v>4963.7293635599999</v>
      </c>
      <c r="J16" s="220">
        <f>SUM(J9:J15)</f>
        <v>100.00000000000001</v>
      </c>
      <c r="K16" s="221">
        <f t="shared" si="2"/>
        <v>113.4951763795806</v>
      </c>
      <c r="L16" s="219"/>
      <c r="M16" s="222"/>
      <c r="N16" s="217">
        <f>SUM(N9:N15)</f>
        <v>5228.533883245801</v>
      </c>
      <c r="O16" s="220">
        <f>SUM(O9:O15)</f>
        <v>99.999999999999986</v>
      </c>
      <c r="P16" s="223">
        <f t="shared" si="4"/>
        <v>1.0533478963679603</v>
      </c>
    </row>
    <row r="20" spans="1:16" x14ac:dyDescent="0.25">
      <c r="A20" s="185" t="s">
        <v>343</v>
      </c>
    </row>
    <row r="22" spans="1:16" ht="15.75" thickBot="1" x14ac:dyDescent="0.3"/>
    <row r="23" spans="1:16" x14ac:dyDescent="0.25">
      <c r="A23" s="6404" t="s">
        <v>322</v>
      </c>
      <c r="B23" s="6406" t="s">
        <v>323</v>
      </c>
      <c r="C23" s="6408" t="s">
        <v>416</v>
      </c>
      <c r="D23" s="6408"/>
      <c r="E23" s="6408"/>
      <c r="F23" s="6408"/>
      <c r="G23" s="6401" t="s">
        <v>326</v>
      </c>
      <c r="H23" s="6402"/>
      <c r="I23" s="6402"/>
      <c r="J23" s="6402"/>
      <c r="K23" s="6403"/>
      <c r="L23" s="6401" t="s">
        <v>417</v>
      </c>
      <c r="M23" s="6402"/>
      <c r="N23" s="6402"/>
      <c r="O23" s="6402"/>
      <c r="P23" s="6403"/>
    </row>
    <row r="24" spans="1:16" ht="60.75" thickBot="1" x14ac:dyDescent="0.3">
      <c r="A24" s="6405"/>
      <c r="B24" s="6407"/>
      <c r="C24" s="188" t="s">
        <v>327</v>
      </c>
      <c r="D24" s="189" t="s">
        <v>328</v>
      </c>
      <c r="E24" s="190" t="s">
        <v>329</v>
      </c>
      <c r="F24" s="191" t="s">
        <v>330</v>
      </c>
      <c r="G24" s="192" t="s">
        <v>327</v>
      </c>
      <c r="H24" s="190" t="s">
        <v>331</v>
      </c>
      <c r="I24" s="190" t="s">
        <v>329</v>
      </c>
      <c r="J24" s="190" t="s">
        <v>330</v>
      </c>
      <c r="K24" s="193" t="s">
        <v>332</v>
      </c>
      <c r="L24" s="192" t="s">
        <v>327</v>
      </c>
      <c r="M24" s="190" t="s">
        <v>331</v>
      </c>
      <c r="N24" s="190" t="s">
        <v>329</v>
      </c>
      <c r="O24" s="190" t="s">
        <v>330</v>
      </c>
      <c r="P24" s="193" t="s">
        <v>332</v>
      </c>
    </row>
    <row r="25" spans="1:16" x14ac:dyDescent="0.25">
      <c r="A25" s="194" t="s">
        <v>333</v>
      </c>
      <c r="B25" s="195" t="s">
        <v>334</v>
      </c>
      <c r="C25" s="196">
        <f>G9</f>
        <v>4.7510000000000003</v>
      </c>
      <c r="D25" s="196">
        <f>H9</f>
        <v>22.59</v>
      </c>
      <c r="E25" s="198">
        <f>C25*D25*3</f>
        <v>321.97527000000002</v>
      </c>
      <c r="F25" s="199">
        <f t="shared" ref="F25:F31" si="5">E25/$E$16*100</f>
        <v>7.3619324064647644</v>
      </c>
      <c r="G25" s="200">
        <f>L9</f>
        <v>4.7510000000000003</v>
      </c>
      <c r="H25" s="328">
        <f>M9</f>
        <v>26.740876799999999</v>
      </c>
      <c r="I25" s="198">
        <f>G25*H25*3</f>
        <v>381.13771703040004</v>
      </c>
      <c r="J25" s="201">
        <f t="shared" ref="J25:J31" si="6">I25/$I$16*100</f>
        <v>7.6784548293150108</v>
      </c>
      <c r="K25" s="202">
        <f t="shared" ref="K25:K32" si="7">I25/E25*100</f>
        <v>118.37484196547146</v>
      </c>
      <c r="L25" s="200">
        <f>G25</f>
        <v>4.7510000000000003</v>
      </c>
      <c r="M25" s="197" t="e">
        <f>#REF!*1.18</f>
        <v>#REF!</v>
      </c>
      <c r="N25" s="198" t="e">
        <f>L25*M25*3</f>
        <v>#REF!</v>
      </c>
      <c r="O25" s="201" t="e">
        <f t="shared" ref="O25:O31" si="8">N25/$N$16*100</f>
        <v>#REF!</v>
      </c>
      <c r="P25" s="203" t="e">
        <f t="shared" ref="P25:P32" si="9">N25/I25</f>
        <v>#REF!</v>
      </c>
    </row>
    <row r="26" spans="1:16" x14ac:dyDescent="0.25">
      <c r="A26" s="204" t="s">
        <v>335</v>
      </c>
      <c r="B26" s="205" t="s">
        <v>334</v>
      </c>
      <c r="C26" s="196">
        <f t="shared" ref="C26:D31" si="10">G10</f>
        <v>8.1560000000000006</v>
      </c>
      <c r="D26" s="196">
        <f t="shared" si="10"/>
        <v>18.29</v>
      </c>
      <c r="E26" s="207">
        <f>C26*D26*3</f>
        <v>447.51972000000001</v>
      </c>
      <c r="F26" s="199">
        <f t="shared" si="5"/>
        <v>10.232493722887593</v>
      </c>
      <c r="G26" s="200">
        <f t="shared" ref="G26:H31" si="11">L10</f>
        <v>8.1560000000000006</v>
      </c>
      <c r="H26" s="328">
        <f t="shared" si="11"/>
        <v>21.655359999999998</v>
      </c>
      <c r="I26" s="207">
        <f>G26*H26*3</f>
        <v>529.86334848000001</v>
      </c>
      <c r="J26" s="201">
        <f t="shared" si="6"/>
        <v>10.674702621175555</v>
      </c>
      <c r="K26" s="202">
        <f t="shared" si="7"/>
        <v>118.39999999999999</v>
      </c>
      <c r="L26" s="208">
        <f>8.156</f>
        <v>8.1560000000000006</v>
      </c>
      <c r="M26" s="197" t="e">
        <f>#REF!*1.18</f>
        <v>#REF!</v>
      </c>
      <c r="N26" s="207" t="e">
        <f>L26*M26*3</f>
        <v>#REF!</v>
      </c>
      <c r="O26" s="201" t="e">
        <f t="shared" si="8"/>
        <v>#REF!</v>
      </c>
      <c r="P26" s="203" t="e">
        <f t="shared" si="9"/>
        <v>#REF!</v>
      </c>
    </row>
    <row r="27" spans="1:16" x14ac:dyDescent="0.25">
      <c r="A27" s="204" t="s">
        <v>336</v>
      </c>
      <c r="B27" s="205" t="s">
        <v>337</v>
      </c>
      <c r="C27" s="196">
        <f t="shared" si="10"/>
        <v>2.5613E-2</v>
      </c>
      <c r="D27" s="196">
        <f t="shared" si="10"/>
        <v>2003.64</v>
      </c>
      <c r="E27" s="207">
        <f>C27*D27*54</f>
        <v>2771.2384912799998</v>
      </c>
      <c r="F27" s="199">
        <f t="shared" si="5"/>
        <v>63.364091456454872</v>
      </c>
      <c r="G27" s="200">
        <f t="shared" si="11"/>
        <v>2.5613E-2</v>
      </c>
      <c r="H27" s="328">
        <f t="shared" si="11"/>
        <v>2033.6945999999998</v>
      </c>
      <c r="I27" s="207">
        <f>G27*H27*54</f>
        <v>2812.8070686492001</v>
      </c>
      <c r="J27" s="201">
        <f t="shared" si="6"/>
        <v>56.667212545847732</v>
      </c>
      <c r="K27" s="202">
        <f t="shared" si="7"/>
        <v>101.50000000000001</v>
      </c>
      <c r="L27" s="208">
        <v>2.5613E-2</v>
      </c>
      <c r="M27" s="209">
        <f>H27*1.07</f>
        <v>2176.053222</v>
      </c>
      <c r="N27" s="207">
        <f>L27*M27*54</f>
        <v>3009.7035634546442</v>
      </c>
      <c r="O27" s="201">
        <f t="shared" si="8"/>
        <v>57.563049808262157</v>
      </c>
      <c r="P27" s="203">
        <f t="shared" si="9"/>
        <v>1.07</v>
      </c>
    </row>
    <row r="28" spans="1:16" x14ac:dyDescent="0.25">
      <c r="A28" s="204" t="s">
        <v>338</v>
      </c>
      <c r="B28" s="205" t="s">
        <v>339</v>
      </c>
      <c r="C28" s="196">
        <f t="shared" si="10"/>
        <v>6.6209000000000004E-2</v>
      </c>
      <c r="D28" s="196">
        <f t="shared" si="10"/>
        <v>2003.64</v>
      </c>
      <c r="E28" s="207">
        <f>C28*D28*3</f>
        <v>397.97700228000008</v>
      </c>
      <c r="F28" s="199">
        <f t="shared" si="5"/>
        <v>9.0997044279606758</v>
      </c>
      <c r="G28" s="200">
        <f t="shared" si="11"/>
        <v>6.6209000000000004E-2</v>
      </c>
      <c r="H28" s="328">
        <f t="shared" si="11"/>
        <v>2033.6945999999998</v>
      </c>
      <c r="I28" s="207">
        <f>G28*H28*3</f>
        <v>403.94665731419997</v>
      </c>
      <c r="J28" s="201">
        <f t="shared" si="6"/>
        <v>8.1379669947293092</v>
      </c>
      <c r="K28" s="202">
        <f t="shared" si="7"/>
        <v>101.49999999999997</v>
      </c>
      <c r="L28" s="208">
        <f>G28</f>
        <v>6.6209000000000004E-2</v>
      </c>
      <c r="M28" s="209">
        <f>H28*1.07</f>
        <v>2176.053222</v>
      </c>
      <c r="N28" s="207">
        <f>L28*M28*3</f>
        <v>432.22292332619406</v>
      </c>
      <c r="O28" s="201">
        <f t="shared" si="8"/>
        <v>8.2666180037811294</v>
      </c>
      <c r="P28" s="203">
        <f t="shared" si="9"/>
        <v>1.0700000000000003</v>
      </c>
    </row>
    <row r="29" spans="1:16" x14ac:dyDescent="0.25">
      <c r="A29" s="204"/>
      <c r="B29" s="205"/>
      <c r="C29" s="196">
        <f t="shared" si="10"/>
        <v>3.4049999999999998</v>
      </c>
      <c r="D29" s="196">
        <f t="shared" si="10"/>
        <v>22.59</v>
      </c>
      <c r="E29" s="207">
        <f>C29*D29*3</f>
        <v>230.75684999999999</v>
      </c>
      <c r="F29" s="199">
        <f t="shared" si="5"/>
        <v>5.276232339299626</v>
      </c>
      <c r="G29" s="200">
        <f t="shared" si="11"/>
        <v>3.4049999999999998</v>
      </c>
      <c r="H29" s="328">
        <f t="shared" si="11"/>
        <v>26.740876799999999</v>
      </c>
      <c r="I29" s="207">
        <f>G29*H29*3</f>
        <v>273.15805651199997</v>
      </c>
      <c r="J29" s="201">
        <f t="shared" si="6"/>
        <v>5.5030811816075786</v>
      </c>
      <c r="K29" s="202">
        <f t="shared" si="7"/>
        <v>118.37484196547143</v>
      </c>
      <c r="L29" s="208">
        <f>G29</f>
        <v>3.4049999999999998</v>
      </c>
      <c r="M29" s="209" t="e">
        <f>M25</f>
        <v>#REF!</v>
      </c>
      <c r="N29" s="207" t="e">
        <f>L29*M29*3</f>
        <v>#REF!</v>
      </c>
      <c r="O29" s="201" t="e">
        <f t="shared" si="8"/>
        <v>#REF!</v>
      </c>
      <c r="P29" s="203" t="e">
        <f t="shared" si="9"/>
        <v>#REF!</v>
      </c>
    </row>
    <row r="30" spans="1:16" x14ac:dyDescent="0.25">
      <c r="A30" s="204" t="s">
        <v>340</v>
      </c>
      <c r="B30" s="205" t="s">
        <v>339</v>
      </c>
      <c r="C30" s="196">
        <f t="shared" si="10"/>
        <v>13</v>
      </c>
      <c r="D30" s="196">
        <f t="shared" si="10"/>
        <v>4.4887699999999997</v>
      </c>
      <c r="E30" s="211">
        <f>C30*D30*3</f>
        <v>175.06202999999999</v>
      </c>
      <c r="F30" s="199">
        <f t="shared" si="5"/>
        <v>4.0027758398913891</v>
      </c>
      <c r="G30" s="200">
        <f t="shared" si="11"/>
        <v>13</v>
      </c>
      <c r="H30" s="328">
        <f t="shared" si="11"/>
        <v>4.6772983400000001</v>
      </c>
      <c r="I30" s="211">
        <f>G30*H30*3</f>
        <v>182.41463526000001</v>
      </c>
      <c r="J30" s="201">
        <f t="shared" si="6"/>
        <v>3.6749512694860496</v>
      </c>
      <c r="K30" s="202">
        <f t="shared" si="7"/>
        <v>104.2</v>
      </c>
      <c r="L30" s="212">
        <v>13</v>
      </c>
      <c r="M30" s="209">
        <f>H30*1.065</f>
        <v>4.9813227320999998</v>
      </c>
      <c r="N30" s="211">
        <f>L30*M30*3</f>
        <v>194.27158655189999</v>
      </c>
      <c r="O30" s="201">
        <f t="shared" si="8"/>
        <v>3.7156034729815866</v>
      </c>
      <c r="P30" s="203">
        <f t="shared" si="9"/>
        <v>1.0649999999999999</v>
      </c>
    </row>
    <row r="31" spans="1:16" x14ac:dyDescent="0.25">
      <c r="A31" s="204" t="s">
        <v>1</v>
      </c>
      <c r="B31" s="205" t="s">
        <v>341</v>
      </c>
      <c r="C31" s="196">
        <f t="shared" si="10"/>
        <v>160</v>
      </c>
      <c r="D31" s="196">
        <f t="shared" si="10"/>
        <v>3.87</v>
      </c>
      <c r="E31" s="211">
        <f>C31*D31</f>
        <v>619.20000000000005</v>
      </c>
      <c r="F31" s="199">
        <f t="shared" si="5"/>
        <v>14.15794618662167</v>
      </c>
      <c r="G31" s="200">
        <f t="shared" si="11"/>
        <v>160</v>
      </c>
      <c r="H31" s="328">
        <f t="shared" si="11"/>
        <v>4.03254</v>
      </c>
      <c r="I31" s="211">
        <f>G31*H31</f>
        <v>645.20640000000003</v>
      </c>
      <c r="J31" s="201">
        <f t="shared" si="6"/>
        <v>12.998420194634791</v>
      </c>
      <c r="K31" s="202">
        <f t="shared" si="7"/>
        <v>104.2</v>
      </c>
      <c r="L31" s="212">
        <v>160</v>
      </c>
      <c r="M31" s="209">
        <f>H31*1.056</f>
        <v>4.2583622400000003</v>
      </c>
      <c r="N31" s="211">
        <f>L31*M31</f>
        <v>681.33795840000005</v>
      </c>
      <c r="O31" s="201">
        <f t="shared" si="8"/>
        <v>13.03114742324353</v>
      </c>
      <c r="P31" s="203">
        <f t="shared" si="9"/>
        <v>1.056</v>
      </c>
    </row>
    <row r="32" spans="1:16" ht="15.75" thickBot="1" x14ac:dyDescent="0.3">
      <c r="A32" s="213" t="s">
        <v>342</v>
      </c>
      <c r="B32" s="214"/>
      <c r="C32" s="215"/>
      <c r="D32" s="216"/>
      <c r="E32" s="217">
        <f>SUM(E25:E31)</f>
        <v>4963.7293635599999</v>
      </c>
      <c r="F32" s="218">
        <f>SUM(F25:F31)</f>
        <v>113.49517637958058</v>
      </c>
      <c r="G32" s="219"/>
      <c r="H32" s="216"/>
      <c r="I32" s="217">
        <f>SUM(I25:I31)</f>
        <v>5228.533883245801</v>
      </c>
      <c r="J32" s="220">
        <f>SUM(J25:J31)</f>
        <v>105.33478963679603</v>
      </c>
      <c r="K32" s="221">
        <f t="shared" si="7"/>
        <v>105.33478963679603</v>
      </c>
      <c r="L32" s="219"/>
      <c r="M32" s="222"/>
      <c r="N32" s="217" t="e">
        <f>SUM(N25:N31)</f>
        <v>#REF!</v>
      </c>
      <c r="O32" s="220" t="e">
        <f>SUM(O25:O31)</f>
        <v>#REF!</v>
      </c>
      <c r="P32" s="223" t="e">
        <f t="shared" si="9"/>
        <v>#REF!</v>
      </c>
    </row>
  </sheetData>
  <mergeCells count="11">
    <mergeCell ref="A3:K3"/>
    <mergeCell ref="G7:K7"/>
    <mergeCell ref="A7:A8"/>
    <mergeCell ref="B7:B8"/>
    <mergeCell ref="C7:F7"/>
    <mergeCell ref="L23:P23"/>
    <mergeCell ref="L7:P7"/>
    <mergeCell ref="A23:A24"/>
    <mergeCell ref="B23:B24"/>
    <mergeCell ref="C23:F23"/>
    <mergeCell ref="G23:K23"/>
  </mergeCells>
  <phoneticPr fontId="54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1937">
        <f>B2+C2</f>
        <v>3040839.86</v>
      </c>
      <c r="B2" s="1937">
        <f>SUM(B3:B14)</f>
        <v>0</v>
      </c>
      <c r="C2" s="1937">
        <f>SUM(C3:C14)</f>
        <v>3040839.86</v>
      </c>
      <c r="D2" s="1937">
        <f>SUM(D3:D14)</f>
        <v>0</v>
      </c>
      <c r="E2" s="1937">
        <f t="shared" ref="E2:L2" si="0">SUM(E3:E14)</f>
        <v>0</v>
      </c>
      <c r="F2" s="1937">
        <f t="shared" si="0"/>
        <v>0</v>
      </c>
      <c r="G2" s="1937">
        <f t="shared" si="0"/>
        <v>2239890.88</v>
      </c>
      <c r="H2" s="1937">
        <f t="shared" si="0"/>
        <v>1662351.88</v>
      </c>
      <c r="I2" s="1937">
        <f t="shared" si="0"/>
        <v>577539</v>
      </c>
      <c r="J2" s="1937">
        <f t="shared" si="0"/>
        <v>800948.98</v>
      </c>
      <c r="K2" s="1937">
        <f t="shared" si="0"/>
        <v>778637.31599999988</v>
      </c>
      <c r="L2" s="1937">
        <f t="shared" si="0"/>
        <v>22311.664000000001</v>
      </c>
      <c r="M2" s="1937">
        <f>SUM(M3:M14)</f>
        <v>0</v>
      </c>
      <c r="N2" s="1937">
        <f>SUM(N3:N14)</f>
        <v>0</v>
      </c>
      <c r="O2" s="1937">
        <f>SUM(O3:O14)</f>
        <v>0</v>
      </c>
    </row>
    <row r="3" spans="1:15" x14ac:dyDescent="0.2">
      <c r="A3" s="1937">
        <f t="shared" ref="A3:A14" si="1">B3+C3</f>
        <v>271693.3</v>
      </c>
      <c r="B3" s="1936"/>
      <c r="C3" s="1937">
        <f>SUM(D3,G3,J3,M3)</f>
        <v>271693.3</v>
      </c>
      <c r="D3" s="1937">
        <f>SUM(E3,F3,)</f>
        <v>0</v>
      </c>
      <c r="E3" s="1936"/>
      <c r="F3" s="1936"/>
      <c r="G3" s="1937">
        <f>SUM(H3,I3,)</f>
        <v>205146.61</v>
      </c>
      <c r="H3" s="1936">
        <v>152797.60999999999</v>
      </c>
      <c r="I3" s="1936">
        <v>52349</v>
      </c>
      <c r="J3" s="1937">
        <f>SUM(K3,L3,)</f>
        <v>66546.69</v>
      </c>
      <c r="K3" s="1936">
        <v>64717.845000000001</v>
      </c>
      <c r="L3" s="1936">
        <v>1828.845</v>
      </c>
      <c r="M3" s="1937">
        <f>SUM(N3,O3,)</f>
        <v>0</v>
      </c>
      <c r="N3" s="1936"/>
      <c r="O3" s="1936"/>
    </row>
    <row r="4" spans="1:15" x14ac:dyDescent="0.2">
      <c r="A4" s="1937">
        <f t="shared" si="1"/>
        <v>267880.98</v>
      </c>
      <c r="B4" s="1936"/>
      <c r="C4" s="1937">
        <f t="shared" ref="C4:C14" si="2">SUM(D4,G4,J4,M4)</f>
        <v>267880.98</v>
      </c>
      <c r="D4" s="1937">
        <f t="shared" ref="D4:D14" si="3">SUM(E4,F4,)</f>
        <v>0</v>
      </c>
      <c r="E4" s="1936"/>
      <c r="F4" s="1936"/>
      <c r="G4" s="1937">
        <f t="shared" ref="G4:G14" si="4">SUM(H4,I4,)</f>
        <v>195486.07999999999</v>
      </c>
      <c r="H4" s="1936">
        <v>148192.07999999999</v>
      </c>
      <c r="I4" s="1936">
        <v>47294</v>
      </c>
      <c r="J4" s="1937">
        <f t="shared" ref="J4:J14" si="5">SUM(K4,L4,)</f>
        <v>72394.899999999994</v>
      </c>
      <c r="K4" s="1936">
        <v>70567.054999999993</v>
      </c>
      <c r="L4" s="1936">
        <v>1827.845</v>
      </c>
      <c r="M4" s="1937">
        <f t="shared" ref="M4:M14" si="6">SUM(N4,O4,)</f>
        <v>0</v>
      </c>
      <c r="N4" s="1936"/>
      <c r="O4" s="1936"/>
    </row>
    <row r="5" spans="1:15" x14ac:dyDescent="0.2">
      <c r="A5" s="1937">
        <f t="shared" si="1"/>
        <v>264651.92</v>
      </c>
      <c r="B5" s="1936"/>
      <c r="C5" s="1937">
        <f t="shared" si="2"/>
        <v>264651.92</v>
      </c>
      <c r="D5" s="1937">
        <f t="shared" si="3"/>
        <v>0</v>
      </c>
      <c r="E5" s="1936"/>
      <c r="F5" s="1936"/>
      <c r="G5" s="1937">
        <f t="shared" si="4"/>
        <v>193837.74</v>
      </c>
      <c r="H5" s="1936">
        <v>144467.74</v>
      </c>
      <c r="I5" s="1936">
        <v>49370</v>
      </c>
      <c r="J5" s="1937">
        <f t="shared" si="5"/>
        <v>70814.179999999993</v>
      </c>
      <c r="K5" s="1936">
        <v>68901.482999999993</v>
      </c>
      <c r="L5" s="1936">
        <v>1912.6969999999999</v>
      </c>
      <c r="M5" s="1937">
        <f t="shared" si="6"/>
        <v>0</v>
      </c>
      <c r="N5" s="1936"/>
      <c r="O5" s="1936"/>
    </row>
    <row r="6" spans="1:15" x14ac:dyDescent="0.2">
      <c r="A6" s="1937">
        <f t="shared" si="1"/>
        <v>262160.76</v>
      </c>
      <c r="B6" s="1936"/>
      <c r="C6" s="1937">
        <f t="shared" si="2"/>
        <v>262160.76</v>
      </c>
      <c r="D6" s="1937">
        <f t="shared" si="3"/>
        <v>0</v>
      </c>
      <c r="E6" s="1936"/>
      <c r="F6" s="1936"/>
      <c r="G6" s="1937">
        <f t="shared" si="4"/>
        <v>189491.35</v>
      </c>
      <c r="H6" s="1936">
        <v>142472.35</v>
      </c>
      <c r="I6" s="1936">
        <v>47019</v>
      </c>
      <c r="J6" s="1937">
        <f t="shared" si="5"/>
        <v>72669.41</v>
      </c>
      <c r="K6" s="1936">
        <v>70832.914000000004</v>
      </c>
      <c r="L6" s="1936">
        <v>1836.4960000000001</v>
      </c>
      <c r="M6" s="1937">
        <f t="shared" si="6"/>
        <v>0</v>
      </c>
      <c r="N6" s="1936"/>
      <c r="O6" s="1936"/>
    </row>
    <row r="7" spans="1:15" x14ac:dyDescent="0.2">
      <c r="A7" s="1937">
        <f t="shared" si="1"/>
        <v>251481.02000000002</v>
      </c>
      <c r="B7" s="1936"/>
      <c r="C7" s="1937">
        <f t="shared" si="2"/>
        <v>251481.02000000002</v>
      </c>
      <c r="D7" s="1937">
        <f t="shared" si="3"/>
        <v>0</v>
      </c>
      <c r="E7" s="1936"/>
      <c r="F7" s="1936"/>
      <c r="G7" s="1937">
        <f t="shared" si="4"/>
        <v>183724.79</v>
      </c>
      <c r="H7" s="1936">
        <v>134916.79</v>
      </c>
      <c r="I7" s="1936">
        <v>48808</v>
      </c>
      <c r="J7" s="1937">
        <f t="shared" si="5"/>
        <v>67756.23000000001</v>
      </c>
      <c r="K7" s="1936">
        <v>65925.373000000007</v>
      </c>
      <c r="L7" s="1936">
        <v>1830.857</v>
      </c>
      <c r="M7" s="1937">
        <f t="shared" si="6"/>
        <v>0</v>
      </c>
      <c r="N7" s="1936"/>
      <c r="O7" s="1936"/>
    </row>
    <row r="8" spans="1:15" x14ac:dyDescent="0.2">
      <c r="A8" s="1937">
        <f t="shared" si="1"/>
        <v>249611.67</v>
      </c>
      <c r="B8" s="1936"/>
      <c r="C8" s="1937">
        <f t="shared" si="2"/>
        <v>249611.67</v>
      </c>
      <c r="D8" s="1937">
        <f t="shared" si="3"/>
        <v>0</v>
      </c>
      <c r="E8" s="1936"/>
      <c r="F8" s="1936"/>
      <c r="G8" s="1937">
        <f t="shared" si="4"/>
        <v>181273.2</v>
      </c>
      <c r="H8" s="1936">
        <v>134316.20000000001</v>
      </c>
      <c r="I8" s="1936">
        <v>46957</v>
      </c>
      <c r="J8" s="1937">
        <f t="shared" si="5"/>
        <v>68338.47</v>
      </c>
      <c r="K8" s="1936">
        <v>66372.952999999994</v>
      </c>
      <c r="L8" s="1936">
        <v>1965.5170000000001</v>
      </c>
      <c r="M8" s="1937">
        <f t="shared" si="6"/>
        <v>0</v>
      </c>
      <c r="N8" s="1936"/>
      <c r="O8" s="1936"/>
    </row>
    <row r="9" spans="1:15" x14ac:dyDescent="0.2">
      <c r="A9" s="1937">
        <f t="shared" si="1"/>
        <v>223476.73</v>
      </c>
      <c r="B9" s="1936"/>
      <c r="C9" s="1937">
        <f t="shared" si="2"/>
        <v>223476.73</v>
      </c>
      <c r="D9" s="1937">
        <f t="shared" si="3"/>
        <v>0</v>
      </c>
      <c r="E9" s="1936"/>
      <c r="F9" s="1936"/>
      <c r="G9" s="1937">
        <f t="shared" si="4"/>
        <v>166397.69</v>
      </c>
      <c r="H9" s="1936">
        <v>120797.69</v>
      </c>
      <c r="I9" s="1936">
        <v>45600</v>
      </c>
      <c r="J9" s="1937">
        <f t="shared" si="5"/>
        <v>57079.040000000001</v>
      </c>
      <c r="K9" s="1936">
        <v>55249.821000000004</v>
      </c>
      <c r="L9" s="1936">
        <v>1829.2190000000001</v>
      </c>
      <c r="M9" s="1937">
        <f t="shared" si="6"/>
        <v>0</v>
      </c>
      <c r="N9" s="1936"/>
      <c r="O9" s="1936"/>
    </row>
    <row r="10" spans="1:15" x14ac:dyDescent="0.2">
      <c r="A10" s="1937">
        <f t="shared" si="1"/>
        <v>244501.71000000002</v>
      </c>
      <c r="B10" s="1936"/>
      <c r="C10" s="1937">
        <f t="shared" si="2"/>
        <v>244501.71000000002</v>
      </c>
      <c r="D10" s="1937">
        <f t="shared" si="3"/>
        <v>0</v>
      </c>
      <c r="E10" s="1936"/>
      <c r="F10" s="1936"/>
      <c r="G10" s="1937">
        <f t="shared" si="4"/>
        <v>184838.26</v>
      </c>
      <c r="H10" s="1936">
        <v>128869.26</v>
      </c>
      <c r="I10" s="1936">
        <v>55969</v>
      </c>
      <c r="J10" s="1937">
        <f t="shared" si="5"/>
        <v>59663.45</v>
      </c>
      <c r="K10" s="1936">
        <v>57831.731</v>
      </c>
      <c r="L10" s="1936">
        <v>1831.7190000000001</v>
      </c>
      <c r="M10" s="1937">
        <f t="shared" si="6"/>
        <v>0</v>
      </c>
      <c r="N10" s="1936"/>
      <c r="O10" s="1936"/>
    </row>
    <row r="11" spans="1:15" x14ac:dyDescent="0.2">
      <c r="A11" s="1937">
        <f t="shared" si="1"/>
        <v>254060.72000000003</v>
      </c>
      <c r="B11" s="1936"/>
      <c r="C11" s="1937">
        <f t="shared" si="2"/>
        <v>254060.72000000003</v>
      </c>
      <c r="D11" s="1937">
        <f t="shared" si="3"/>
        <v>0</v>
      </c>
      <c r="E11" s="1936"/>
      <c r="F11" s="1936"/>
      <c r="G11" s="1937">
        <f t="shared" si="4"/>
        <v>186145.89</v>
      </c>
      <c r="H11" s="1936">
        <v>140183.89000000001</v>
      </c>
      <c r="I11" s="1936">
        <v>45962</v>
      </c>
      <c r="J11" s="1937">
        <f t="shared" si="5"/>
        <v>67914.83</v>
      </c>
      <c r="K11" s="1936">
        <v>66015.036999999997</v>
      </c>
      <c r="L11" s="1936">
        <v>1899.7929999999999</v>
      </c>
      <c r="M11" s="1937">
        <f t="shared" si="6"/>
        <v>0</v>
      </c>
      <c r="N11" s="1936"/>
      <c r="O11" s="1936"/>
    </row>
    <row r="12" spans="1:15" x14ac:dyDescent="0.2">
      <c r="A12" s="1937">
        <f t="shared" si="1"/>
        <v>246681.56999999998</v>
      </c>
      <c r="B12" s="1936"/>
      <c r="C12" s="1937">
        <f t="shared" si="2"/>
        <v>246681.56999999998</v>
      </c>
      <c r="D12" s="1937">
        <f t="shared" si="3"/>
        <v>0</v>
      </c>
      <c r="E12" s="1936"/>
      <c r="F12" s="1936"/>
      <c r="G12" s="1937">
        <f t="shared" si="4"/>
        <v>184720.27</v>
      </c>
      <c r="H12" s="1936">
        <v>137941.26999999999</v>
      </c>
      <c r="I12" s="1936">
        <v>46779</v>
      </c>
      <c r="J12" s="1937">
        <f t="shared" si="5"/>
        <v>61961.299999999996</v>
      </c>
      <c r="K12" s="1936">
        <v>61762.930999999997</v>
      </c>
      <c r="L12" s="1936">
        <v>198.369</v>
      </c>
      <c r="M12" s="1937">
        <f t="shared" si="6"/>
        <v>0</v>
      </c>
      <c r="N12" s="1936"/>
      <c r="O12" s="1936"/>
    </row>
    <row r="13" spans="1:15" x14ac:dyDescent="0.2">
      <c r="A13" s="1937">
        <f t="shared" si="1"/>
        <v>253925.40000000002</v>
      </c>
      <c r="B13" s="1936"/>
      <c r="C13" s="1937">
        <f t="shared" si="2"/>
        <v>253925.40000000002</v>
      </c>
      <c r="D13" s="1937">
        <f t="shared" si="3"/>
        <v>0</v>
      </c>
      <c r="E13" s="1936"/>
      <c r="F13" s="1936"/>
      <c r="G13" s="1937">
        <f t="shared" si="4"/>
        <v>188901.32</v>
      </c>
      <c r="H13" s="1936">
        <v>144492.32</v>
      </c>
      <c r="I13" s="1936">
        <v>44409</v>
      </c>
      <c r="J13" s="1937">
        <f t="shared" si="5"/>
        <v>65024.08</v>
      </c>
      <c r="K13" s="1936">
        <v>61857.311000000002</v>
      </c>
      <c r="L13" s="1936">
        <v>3166.7689999999998</v>
      </c>
      <c r="M13" s="1937">
        <f t="shared" si="6"/>
        <v>0</v>
      </c>
      <c r="N13" s="1936"/>
      <c r="O13" s="1936"/>
    </row>
    <row r="14" spans="1:15" x14ac:dyDescent="0.2">
      <c r="A14" s="1937">
        <f t="shared" si="1"/>
        <v>250714.08</v>
      </c>
      <c r="B14" s="1936"/>
      <c r="C14" s="1937">
        <f t="shared" si="2"/>
        <v>250714.08</v>
      </c>
      <c r="D14" s="1937">
        <f t="shared" si="3"/>
        <v>0</v>
      </c>
      <c r="E14" s="1936"/>
      <c r="F14" s="1936"/>
      <c r="G14" s="1937">
        <f t="shared" si="4"/>
        <v>179927.67999999999</v>
      </c>
      <c r="H14" s="1936">
        <v>132904.68</v>
      </c>
      <c r="I14" s="1936">
        <v>47023</v>
      </c>
      <c r="J14" s="1937">
        <f t="shared" si="5"/>
        <v>70786.399999999994</v>
      </c>
      <c r="K14" s="1936">
        <v>68602.861999999994</v>
      </c>
      <c r="L14" s="1936">
        <v>2183.538</v>
      </c>
      <c r="M14" s="1937">
        <f t="shared" si="6"/>
        <v>0</v>
      </c>
      <c r="N14" s="1936"/>
      <c r="O14" s="1936"/>
    </row>
    <row r="15" spans="1:15" x14ac:dyDescent="0.2">
      <c r="A15" s="1934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</row>
    <row r="16" spans="1:15" x14ac:dyDescent="0.2">
      <c r="A16" s="1934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</row>
    <row r="17" spans="1:15" x14ac:dyDescent="0.2">
      <c r="A17" s="1934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</row>
    <row r="18" spans="1:15" x14ac:dyDescent="0.2">
      <c r="A18" s="1934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</row>
    <row r="19" spans="1:15" x14ac:dyDescent="0.2">
      <c r="A19" s="1934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</row>
    <row r="20" spans="1:15" x14ac:dyDescent="0.2">
      <c r="A20" s="1934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</row>
    <row r="21" spans="1:15" x14ac:dyDescent="0.2">
      <c r="A21" s="1934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</row>
    <row r="22" spans="1:15" x14ac:dyDescent="0.2">
      <c r="A22" s="1934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</row>
    <row r="23" spans="1:15" x14ac:dyDescent="0.2">
      <c r="A23" s="1934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</row>
    <row r="24" spans="1:15" x14ac:dyDescent="0.2">
      <c r="A24" s="1934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</row>
    <row r="25" spans="1:15" x14ac:dyDescent="0.2">
      <c r="A25" s="1934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</row>
    <row r="26" spans="1:15" x14ac:dyDescent="0.2">
      <c r="A26" s="1934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</row>
    <row r="27" spans="1:15" x14ac:dyDescent="0.2">
      <c r="A27" s="1997"/>
      <c r="B27" s="1998"/>
      <c r="C27" s="1998"/>
      <c r="D27" s="1998"/>
      <c r="E27" s="1998"/>
      <c r="F27" s="1998"/>
      <c r="G27" s="1998"/>
      <c r="H27" s="1998"/>
      <c r="I27" s="1998"/>
      <c r="J27" s="1998"/>
      <c r="K27" s="1998"/>
      <c r="L27" s="1998"/>
      <c r="M27" s="1998"/>
      <c r="N27" s="1998"/>
      <c r="O27" s="1998"/>
    </row>
    <row r="28" spans="1:15" x14ac:dyDescent="0.2">
      <c r="A28" s="1932">
        <f>A30</f>
        <v>20645.84</v>
      </c>
      <c r="B28" s="1932">
        <f>B30</f>
        <v>0</v>
      </c>
      <c r="C28" s="1932">
        <f>C30</f>
        <v>20645.84</v>
      </c>
      <c r="D28" s="1932">
        <f>D30</f>
        <v>0</v>
      </c>
      <c r="E28" s="1932">
        <f t="shared" ref="E28:L28" si="7">E30</f>
        <v>0</v>
      </c>
      <c r="F28" s="1932">
        <f t="shared" si="7"/>
        <v>0</v>
      </c>
      <c r="G28" s="1932">
        <f t="shared" si="7"/>
        <v>20645.84</v>
      </c>
      <c r="H28" s="1932">
        <f t="shared" si="7"/>
        <v>0</v>
      </c>
      <c r="I28" s="1932">
        <f t="shared" si="7"/>
        <v>20645.84</v>
      </c>
      <c r="J28" s="1932">
        <f t="shared" si="7"/>
        <v>0</v>
      </c>
      <c r="K28" s="1932">
        <f t="shared" si="7"/>
        <v>0</v>
      </c>
      <c r="L28" s="1932">
        <f t="shared" si="7"/>
        <v>0</v>
      </c>
      <c r="M28" s="1932">
        <f>M30</f>
        <v>0</v>
      </c>
      <c r="N28" s="1932">
        <f t="shared" ref="N28:O28" si="8">N30</f>
        <v>0</v>
      </c>
      <c r="O28" s="1932">
        <f t="shared" si="8"/>
        <v>0</v>
      </c>
    </row>
    <row r="29" spans="1:15" x14ac:dyDescent="0.2">
      <c r="A29" s="1934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</row>
    <row r="30" spans="1:15" x14ac:dyDescent="0.2">
      <c r="A30" s="1937">
        <f>B30+C30</f>
        <v>20645.84</v>
      </c>
      <c r="B30" s="1937">
        <f>SUM(B31:B42)</f>
        <v>0</v>
      </c>
      <c r="C30" s="1937">
        <f>SUM(C31:C42)</f>
        <v>20645.84</v>
      </c>
      <c r="D30" s="1937">
        <f>SUM(D31:D42)</f>
        <v>0</v>
      </c>
      <c r="E30" s="1937">
        <f t="shared" ref="E30:L30" si="9">SUM(E31:E42)</f>
        <v>0</v>
      </c>
      <c r="F30" s="1937">
        <f t="shared" si="9"/>
        <v>0</v>
      </c>
      <c r="G30" s="1937">
        <f t="shared" si="9"/>
        <v>20645.84</v>
      </c>
      <c r="H30" s="1937">
        <f t="shared" si="9"/>
        <v>0</v>
      </c>
      <c r="I30" s="1937">
        <f t="shared" si="9"/>
        <v>20645.84</v>
      </c>
      <c r="J30" s="1937">
        <f t="shared" si="9"/>
        <v>0</v>
      </c>
      <c r="K30" s="1937">
        <f t="shared" si="9"/>
        <v>0</v>
      </c>
      <c r="L30" s="1937">
        <f t="shared" si="9"/>
        <v>0</v>
      </c>
      <c r="M30" s="1937">
        <f>SUM(M31:M42)</f>
        <v>0</v>
      </c>
      <c r="N30" s="1937">
        <f>SUM(N31:N42)</f>
        <v>0</v>
      </c>
      <c r="O30" s="1937">
        <f>SUM(O31:O42)</f>
        <v>0</v>
      </c>
    </row>
    <row r="31" spans="1:15" x14ac:dyDescent="0.2">
      <c r="A31" s="1937">
        <f t="shared" ref="A31:A42" si="10">B31+C31</f>
        <v>251.25</v>
      </c>
      <c r="B31" s="1936"/>
      <c r="C31" s="1937">
        <f>SUM(D31,G31,J31,M31)</f>
        <v>251.25</v>
      </c>
      <c r="D31" s="1937">
        <f>SUM(E31,F31,)</f>
        <v>0</v>
      </c>
      <c r="E31" s="1936"/>
      <c r="F31" s="1936"/>
      <c r="G31" s="1937">
        <f>SUM(H31,I31,)</f>
        <v>251.25</v>
      </c>
      <c r="H31" s="1936"/>
      <c r="I31" s="1936">
        <v>251.25</v>
      </c>
      <c r="J31" s="1937">
        <f>SUM(K31,L31,)</f>
        <v>0</v>
      </c>
      <c r="K31" s="1936"/>
      <c r="L31" s="1936"/>
      <c r="M31" s="1937">
        <f>SUM(N31,O31,)</f>
        <v>0</v>
      </c>
      <c r="N31" s="1936"/>
      <c r="O31" s="1936"/>
    </row>
    <row r="32" spans="1:15" x14ac:dyDescent="0.2">
      <c r="A32" s="1937">
        <f t="shared" si="10"/>
        <v>753.75</v>
      </c>
      <c r="B32" s="1936"/>
      <c r="C32" s="1937">
        <f t="shared" ref="C32:C42" si="11">SUM(D32,G32,J32,M32)</f>
        <v>753.75</v>
      </c>
      <c r="D32" s="1937">
        <f t="shared" ref="D32:D42" si="12">SUM(E32,F32,)</f>
        <v>0</v>
      </c>
      <c r="E32" s="1936"/>
      <c r="F32" s="1936"/>
      <c r="G32" s="1937">
        <f t="shared" ref="G32:G42" si="13">SUM(H32,I32,)</f>
        <v>753.75</v>
      </c>
      <c r="H32" s="1936"/>
      <c r="I32" s="1936">
        <v>753.75</v>
      </c>
      <c r="J32" s="1937">
        <f t="shared" ref="J32:J42" si="14">SUM(K32,L32,)</f>
        <v>0</v>
      </c>
      <c r="K32" s="1936"/>
      <c r="L32" s="1936"/>
      <c r="M32" s="1937">
        <f t="shared" ref="M32:M42" si="15">SUM(N32,O32,)</f>
        <v>0</v>
      </c>
      <c r="N32" s="1936"/>
      <c r="O32" s="1936"/>
    </row>
    <row r="33" spans="1:15" x14ac:dyDescent="0.2">
      <c r="A33" s="1937">
        <f t="shared" si="10"/>
        <v>3772.71</v>
      </c>
      <c r="B33" s="1936"/>
      <c r="C33" s="1937">
        <f t="shared" si="11"/>
        <v>3772.71</v>
      </c>
      <c r="D33" s="1937">
        <f t="shared" si="12"/>
        <v>0</v>
      </c>
      <c r="E33" s="1936"/>
      <c r="F33" s="1936"/>
      <c r="G33" s="1937">
        <f t="shared" si="13"/>
        <v>3772.71</v>
      </c>
      <c r="H33" s="1936"/>
      <c r="I33" s="1936">
        <v>3772.71</v>
      </c>
      <c r="J33" s="1937">
        <f t="shared" si="14"/>
        <v>0</v>
      </c>
      <c r="K33" s="1936"/>
      <c r="L33" s="1936"/>
      <c r="M33" s="1937">
        <f t="shared" si="15"/>
        <v>0</v>
      </c>
      <c r="N33" s="1936"/>
      <c r="O33" s="1936"/>
    </row>
    <row r="34" spans="1:15" x14ac:dyDescent="0.2">
      <c r="A34" s="1937">
        <f t="shared" si="10"/>
        <v>524.5</v>
      </c>
      <c r="B34" s="1936"/>
      <c r="C34" s="1937">
        <f t="shared" si="11"/>
        <v>524.5</v>
      </c>
      <c r="D34" s="1937">
        <f t="shared" si="12"/>
        <v>0</v>
      </c>
      <c r="E34" s="1936"/>
      <c r="F34" s="1936"/>
      <c r="G34" s="1937">
        <f t="shared" si="13"/>
        <v>524.5</v>
      </c>
      <c r="H34" s="1936"/>
      <c r="I34" s="1936">
        <v>524.5</v>
      </c>
      <c r="J34" s="1937">
        <f t="shared" si="14"/>
        <v>0</v>
      </c>
      <c r="K34" s="1936"/>
      <c r="L34" s="1936"/>
      <c r="M34" s="1937">
        <f t="shared" si="15"/>
        <v>0</v>
      </c>
      <c r="N34" s="1936"/>
      <c r="O34" s="1936"/>
    </row>
    <row r="35" spans="1:15" x14ac:dyDescent="0.2">
      <c r="A35" s="1937">
        <f t="shared" si="10"/>
        <v>753.75</v>
      </c>
      <c r="B35" s="1936"/>
      <c r="C35" s="1937">
        <f t="shared" si="11"/>
        <v>753.75</v>
      </c>
      <c r="D35" s="1937">
        <f t="shared" si="12"/>
        <v>0</v>
      </c>
      <c r="E35" s="1936"/>
      <c r="F35" s="1936"/>
      <c r="G35" s="1937">
        <f t="shared" si="13"/>
        <v>753.75</v>
      </c>
      <c r="H35" s="1936"/>
      <c r="I35" s="1936">
        <v>753.75</v>
      </c>
      <c r="J35" s="1937">
        <f t="shared" si="14"/>
        <v>0</v>
      </c>
      <c r="K35" s="1936"/>
      <c r="L35" s="1936"/>
      <c r="M35" s="1937">
        <f t="shared" si="15"/>
        <v>0</v>
      </c>
      <c r="N35" s="1936"/>
      <c r="O35" s="1936"/>
    </row>
    <row r="36" spans="1:15" x14ac:dyDescent="0.2">
      <c r="A36" s="1937">
        <f t="shared" si="10"/>
        <v>4175.71</v>
      </c>
      <c r="B36" s="1936"/>
      <c r="C36" s="1937">
        <f t="shared" si="11"/>
        <v>4175.71</v>
      </c>
      <c r="D36" s="1937">
        <f t="shared" si="12"/>
        <v>0</v>
      </c>
      <c r="E36" s="1936"/>
      <c r="F36" s="1936"/>
      <c r="G36" s="1937">
        <f t="shared" si="13"/>
        <v>4175.71</v>
      </c>
      <c r="H36" s="1936"/>
      <c r="I36" s="1936">
        <v>4175.71</v>
      </c>
      <c r="J36" s="1937">
        <f t="shared" si="14"/>
        <v>0</v>
      </c>
      <c r="K36" s="1936"/>
      <c r="L36" s="1936"/>
      <c r="M36" s="1937">
        <f t="shared" si="15"/>
        <v>0</v>
      </c>
      <c r="N36" s="1936"/>
      <c r="O36" s="1936"/>
    </row>
    <row r="37" spans="1:15" x14ac:dyDescent="0.2">
      <c r="A37" s="1937">
        <f t="shared" si="10"/>
        <v>450</v>
      </c>
      <c r="B37" s="1936"/>
      <c r="C37" s="1937">
        <f t="shared" si="11"/>
        <v>450</v>
      </c>
      <c r="D37" s="1937">
        <f t="shared" si="12"/>
        <v>0</v>
      </c>
      <c r="E37" s="1936"/>
      <c r="F37" s="1936"/>
      <c r="G37" s="1937">
        <f t="shared" si="13"/>
        <v>450</v>
      </c>
      <c r="H37" s="1936"/>
      <c r="I37" s="1936">
        <v>450</v>
      </c>
      <c r="J37" s="1937">
        <f t="shared" si="14"/>
        <v>0</v>
      </c>
      <c r="K37" s="1936"/>
      <c r="L37" s="1936"/>
      <c r="M37" s="1937">
        <f t="shared" si="15"/>
        <v>0</v>
      </c>
      <c r="N37" s="1936"/>
      <c r="O37" s="1936"/>
    </row>
    <row r="38" spans="1:15" x14ac:dyDescent="0.2">
      <c r="A38" s="1937">
        <f t="shared" si="10"/>
        <v>585</v>
      </c>
      <c r="B38" s="1936"/>
      <c r="C38" s="1937">
        <f t="shared" si="11"/>
        <v>585</v>
      </c>
      <c r="D38" s="1937">
        <f t="shared" si="12"/>
        <v>0</v>
      </c>
      <c r="E38" s="1936"/>
      <c r="F38" s="1936"/>
      <c r="G38" s="1937">
        <f t="shared" si="13"/>
        <v>585</v>
      </c>
      <c r="H38" s="1936"/>
      <c r="I38" s="1936">
        <v>585</v>
      </c>
      <c r="J38" s="1937">
        <f t="shared" si="14"/>
        <v>0</v>
      </c>
      <c r="K38" s="1936"/>
      <c r="L38" s="1936"/>
      <c r="M38" s="1937">
        <f t="shared" si="15"/>
        <v>0</v>
      </c>
      <c r="N38" s="1936"/>
      <c r="O38" s="1936"/>
    </row>
    <row r="39" spans="1:15" x14ac:dyDescent="0.2">
      <c r="A39" s="1937">
        <f t="shared" si="10"/>
        <v>4072.71</v>
      </c>
      <c r="B39" s="1936"/>
      <c r="C39" s="1937">
        <f t="shared" si="11"/>
        <v>4072.71</v>
      </c>
      <c r="D39" s="1937">
        <f t="shared" si="12"/>
        <v>0</v>
      </c>
      <c r="E39" s="1936"/>
      <c r="F39" s="1936"/>
      <c r="G39" s="1937">
        <f t="shared" si="13"/>
        <v>4072.71</v>
      </c>
      <c r="H39" s="1936"/>
      <c r="I39" s="1936">
        <v>4072.71</v>
      </c>
      <c r="J39" s="1937">
        <f t="shared" si="14"/>
        <v>0</v>
      </c>
      <c r="K39" s="1936"/>
      <c r="L39" s="1936"/>
      <c r="M39" s="1937">
        <f t="shared" si="15"/>
        <v>0</v>
      </c>
      <c r="N39" s="1936"/>
      <c r="O39" s="1936"/>
    </row>
    <row r="40" spans="1:15" x14ac:dyDescent="0.2">
      <c r="A40" s="1937">
        <f t="shared" si="10"/>
        <v>611.25</v>
      </c>
      <c r="B40" s="1936"/>
      <c r="C40" s="1937">
        <f t="shared" si="11"/>
        <v>611.25</v>
      </c>
      <c r="D40" s="1937">
        <f t="shared" si="12"/>
        <v>0</v>
      </c>
      <c r="E40" s="1936"/>
      <c r="F40" s="1936"/>
      <c r="G40" s="1937">
        <f t="shared" si="13"/>
        <v>611.25</v>
      </c>
      <c r="H40" s="1936"/>
      <c r="I40" s="1936">
        <v>611.25</v>
      </c>
      <c r="J40" s="1937">
        <f t="shared" si="14"/>
        <v>0</v>
      </c>
      <c r="K40" s="1936"/>
      <c r="L40" s="1936"/>
      <c r="M40" s="1937">
        <f t="shared" si="15"/>
        <v>0</v>
      </c>
      <c r="N40" s="1936"/>
      <c r="O40" s="1936"/>
    </row>
    <row r="41" spans="1:15" x14ac:dyDescent="0.2">
      <c r="A41" s="1937">
        <f t="shared" si="10"/>
        <v>810</v>
      </c>
      <c r="B41" s="1936"/>
      <c r="C41" s="1937">
        <f t="shared" si="11"/>
        <v>810</v>
      </c>
      <c r="D41" s="1937">
        <f t="shared" si="12"/>
        <v>0</v>
      </c>
      <c r="E41" s="1936"/>
      <c r="F41" s="1936"/>
      <c r="G41" s="1937">
        <f t="shared" si="13"/>
        <v>810</v>
      </c>
      <c r="H41" s="1936"/>
      <c r="I41" s="1936">
        <v>810</v>
      </c>
      <c r="J41" s="1937">
        <f t="shared" si="14"/>
        <v>0</v>
      </c>
      <c r="K41" s="1936"/>
      <c r="L41" s="1936"/>
      <c r="M41" s="1937">
        <f t="shared" si="15"/>
        <v>0</v>
      </c>
      <c r="N41" s="1936"/>
      <c r="O41" s="1936"/>
    </row>
    <row r="42" spans="1:15" x14ac:dyDescent="0.2">
      <c r="A42" s="1937">
        <f t="shared" si="10"/>
        <v>3885.21</v>
      </c>
      <c r="B42" s="1936"/>
      <c r="C42" s="1937">
        <f t="shared" si="11"/>
        <v>3885.21</v>
      </c>
      <c r="D42" s="1937">
        <f t="shared" si="12"/>
        <v>0</v>
      </c>
      <c r="E42" s="1936"/>
      <c r="F42" s="1936"/>
      <c r="G42" s="1937">
        <f t="shared" si="13"/>
        <v>3885.21</v>
      </c>
      <c r="H42" s="1936"/>
      <c r="I42" s="1936">
        <v>3885.21</v>
      </c>
      <c r="J42" s="1937">
        <f t="shared" si="14"/>
        <v>0</v>
      </c>
      <c r="K42" s="1936"/>
      <c r="L42" s="1936"/>
      <c r="M42" s="1937">
        <f t="shared" si="15"/>
        <v>0</v>
      </c>
      <c r="N42" s="1936"/>
      <c r="O42" s="1936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1666</v>
      </c>
    </row>
    <row r="2" spans="1:7" ht="18.75" x14ac:dyDescent="0.3">
      <c r="A2" s="5076" t="s">
        <v>1477</v>
      </c>
      <c r="B2" s="5076"/>
      <c r="C2" s="5076"/>
      <c r="D2" s="5076"/>
      <c r="E2" s="5076"/>
      <c r="F2" s="5076"/>
    </row>
    <row r="3" spans="1:7" ht="18.75" x14ac:dyDescent="0.3">
      <c r="A3" s="1567"/>
      <c r="B3" s="1567"/>
      <c r="C3" s="1567"/>
      <c r="D3" s="1567"/>
      <c r="E3" s="1567"/>
    </row>
    <row r="4" spans="1:7" ht="27.75" customHeight="1" x14ac:dyDescent="0.2">
      <c r="A4" s="6367"/>
      <c r="B4" s="6369" t="s">
        <v>1478</v>
      </c>
      <c r="C4" s="6370"/>
      <c r="D4" s="6371"/>
      <c r="E4" s="6372" t="s">
        <v>1480</v>
      </c>
      <c r="F4" s="6354" t="s">
        <v>1482</v>
      </c>
      <c r="G4" s="6410"/>
    </row>
    <row r="5" spans="1:7" ht="33.75" customHeight="1" x14ac:dyDescent="0.2">
      <c r="A5" s="6368"/>
      <c r="B5" s="1641" t="s">
        <v>972</v>
      </c>
      <c r="C5" s="1641" t="s">
        <v>973</v>
      </c>
      <c r="D5" s="1641" t="s">
        <v>54</v>
      </c>
      <c r="E5" s="6372"/>
      <c r="F5" s="6355"/>
      <c r="G5" s="6410"/>
    </row>
    <row r="6" spans="1:7" ht="18.75" x14ac:dyDescent="0.3">
      <c r="A6" s="6411" t="s">
        <v>964</v>
      </c>
      <c r="B6" s="6412"/>
      <c r="C6" s="6412"/>
      <c r="D6" s="6412"/>
      <c r="E6" s="6412"/>
      <c r="F6" s="6412"/>
      <c r="G6" s="6413"/>
    </row>
    <row r="7" spans="1:7" x14ac:dyDescent="0.2">
      <c r="A7" s="1642" t="s">
        <v>969</v>
      </c>
      <c r="B7" s="1643">
        <v>19.14</v>
      </c>
      <c r="C7" s="1643">
        <v>22.66</v>
      </c>
      <c r="D7" s="1643"/>
      <c r="E7" s="1642"/>
      <c r="F7" s="6419">
        <f>$E$48*D10/$D$48</f>
        <v>408.76453757043004</v>
      </c>
      <c r="G7" s="1907"/>
    </row>
    <row r="8" spans="1:7" x14ac:dyDescent="0.2">
      <c r="A8" s="1642" t="s">
        <v>970</v>
      </c>
      <c r="B8" s="1643">
        <f>2780.7/2</f>
        <v>1390.35</v>
      </c>
      <c r="C8" s="1643">
        <f>B8</f>
        <v>1390.35</v>
      </c>
      <c r="D8" s="1643">
        <f>C8+B8</f>
        <v>2780.7</v>
      </c>
      <c r="E8" s="1642"/>
      <c r="F8" s="6363"/>
      <c r="G8" s="1907"/>
    </row>
    <row r="9" spans="1:7" x14ac:dyDescent="0.2">
      <c r="A9" s="1642" t="s">
        <v>971</v>
      </c>
      <c r="B9" s="1643">
        <f>B7*B8</f>
        <v>26611.298999999999</v>
      </c>
      <c r="C9" s="1643">
        <f>C7*C8</f>
        <v>31505.330999999998</v>
      </c>
      <c r="D9" s="1643">
        <f>C9+B9</f>
        <v>58116.63</v>
      </c>
      <c r="E9" s="1642"/>
      <c r="F9" s="6363"/>
      <c r="G9" s="1907"/>
    </row>
    <row r="10" spans="1:7" x14ac:dyDescent="0.2">
      <c r="A10" s="1642" t="s">
        <v>968</v>
      </c>
      <c r="B10" s="1643">
        <f>B9*0.02</f>
        <v>532.22597999999994</v>
      </c>
      <c r="C10" s="1643">
        <f>C9*0.02</f>
        <v>630.10662000000002</v>
      </c>
      <c r="D10" s="1643">
        <f>C10+B10</f>
        <v>1162.3326</v>
      </c>
      <c r="E10" s="1642"/>
      <c r="F10" s="6364"/>
      <c r="G10" s="1907"/>
    </row>
    <row r="11" spans="1:7" ht="18.75" x14ac:dyDescent="0.3">
      <c r="A11" s="6420" t="s">
        <v>965</v>
      </c>
      <c r="B11" s="6421"/>
      <c r="C11" s="6421"/>
      <c r="D11" s="6421"/>
      <c r="E11" s="6421"/>
      <c r="F11" s="6422"/>
      <c r="G11" s="1907"/>
    </row>
    <row r="12" spans="1:7" x14ac:dyDescent="0.2">
      <c r="A12" s="1642" t="s">
        <v>328</v>
      </c>
      <c r="B12" s="1643">
        <v>15.5</v>
      </c>
      <c r="C12" s="1643">
        <v>18.350000000000001</v>
      </c>
      <c r="D12" s="1643"/>
      <c r="E12" s="1642"/>
      <c r="F12" s="6419">
        <f>$E$49*D15/$D$49</f>
        <v>310.74886990256181</v>
      </c>
      <c r="G12" s="1907"/>
    </row>
    <row r="13" spans="1:7" x14ac:dyDescent="0.2">
      <c r="A13" s="1642" t="s">
        <v>962</v>
      </c>
      <c r="B13" s="1643">
        <f>2448.7/2</f>
        <v>1224.3499999999999</v>
      </c>
      <c r="C13" s="1643">
        <f>B13</f>
        <v>1224.3499999999999</v>
      </c>
      <c r="D13" s="1643">
        <f>C13+B13</f>
        <v>2448.6999999999998</v>
      </c>
      <c r="E13" s="1642"/>
      <c r="F13" s="6363"/>
      <c r="G13" s="1907"/>
    </row>
    <row r="14" spans="1:7" x14ac:dyDescent="0.2">
      <c r="A14" s="1642" t="s">
        <v>963</v>
      </c>
      <c r="B14" s="1643">
        <f>B12*B13</f>
        <v>18977.424999999999</v>
      </c>
      <c r="C14" s="1643">
        <f>C12*C13</f>
        <v>22466.822499999998</v>
      </c>
      <c r="D14" s="1643">
        <f>C14+B14</f>
        <v>41444.247499999998</v>
      </c>
      <c r="E14" s="1642"/>
      <c r="F14" s="6363"/>
      <c r="G14" s="1907"/>
    </row>
    <row r="15" spans="1:7" x14ac:dyDescent="0.2">
      <c r="A15" s="1642" t="s">
        <v>968</v>
      </c>
      <c r="B15" s="1643">
        <f>B14*0.02</f>
        <v>379.54849999999999</v>
      </c>
      <c r="C15" s="1643">
        <f>C14*0.02</f>
        <v>449.33644999999996</v>
      </c>
      <c r="D15" s="1643">
        <f>C15+B15</f>
        <v>828.88494999999989</v>
      </c>
      <c r="E15" s="1642"/>
      <c r="F15" s="6364"/>
      <c r="G15" s="1907"/>
    </row>
    <row r="16" spans="1:7" ht="18.75" x14ac:dyDescent="0.3">
      <c r="A16" s="6414" t="s">
        <v>1672</v>
      </c>
      <c r="B16" s="6415"/>
      <c r="C16" s="6415"/>
      <c r="D16" s="6415"/>
      <c r="E16" s="6415"/>
      <c r="F16" s="6415"/>
      <c r="G16" s="6416"/>
    </row>
    <row r="17" spans="1:7" x14ac:dyDescent="0.2">
      <c r="A17" s="1651" t="s">
        <v>974</v>
      </c>
      <c r="B17" s="1652">
        <v>22.66</v>
      </c>
      <c r="C17" s="1652">
        <v>25.95</v>
      </c>
      <c r="D17" s="1652"/>
      <c r="E17" s="1651"/>
      <c r="F17" s="6373">
        <f>$E$48*D20/$D$48</f>
        <v>406.49452001229344</v>
      </c>
      <c r="G17" s="1907"/>
    </row>
    <row r="18" spans="1:7" x14ac:dyDescent="0.2">
      <c r="A18" s="1651" t="s">
        <v>975</v>
      </c>
      <c r="B18" s="1652">
        <f>D18/2</f>
        <v>1188.93</v>
      </c>
      <c r="C18" s="1652">
        <f>B18</f>
        <v>1188.93</v>
      </c>
      <c r="D18" s="1652">
        <f>'объемы ВС и ВО 2023'!R50</f>
        <v>2377.86</v>
      </c>
      <c r="E18" s="1651"/>
      <c r="F18" s="6374"/>
      <c r="G18" s="1907"/>
    </row>
    <row r="19" spans="1:7" x14ac:dyDescent="0.2">
      <c r="A19" s="1651" t="s">
        <v>976</v>
      </c>
      <c r="B19" s="1652">
        <f>B17*B18</f>
        <v>26941.1538</v>
      </c>
      <c r="C19" s="1652">
        <f>C17*C18</f>
        <v>30852.733500000002</v>
      </c>
      <c r="D19" s="1652">
        <f>C19+B19</f>
        <v>57793.887300000002</v>
      </c>
      <c r="E19" s="1651"/>
      <c r="F19" s="6374"/>
      <c r="G19" s="1907"/>
    </row>
    <row r="20" spans="1:7" x14ac:dyDescent="0.2">
      <c r="A20" s="1651" t="s">
        <v>968</v>
      </c>
      <c r="B20" s="1652">
        <f>B19*0.02</f>
        <v>538.82307600000001</v>
      </c>
      <c r="C20" s="1652">
        <f>C19*0.02</f>
        <v>617.0546700000001</v>
      </c>
      <c r="D20" s="1652">
        <f>C20+B20</f>
        <v>1155.8777460000001</v>
      </c>
      <c r="E20" s="1651"/>
      <c r="F20" s="6375"/>
      <c r="G20" s="1907"/>
    </row>
    <row r="21" spans="1:7" ht="18.75" x14ac:dyDescent="0.3">
      <c r="A21" s="6359" t="s">
        <v>967</v>
      </c>
      <c r="B21" s="6360"/>
      <c r="C21" s="6360"/>
      <c r="D21" s="6360"/>
      <c r="E21" s="6360"/>
      <c r="F21" s="6361"/>
      <c r="G21" s="1907"/>
    </row>
    <row r="22" spans="1:7" x14ac:dyDescent="0.2">
      <c r="A22" s="1651" t="s">
        <v>974</v>
      </c>
      <c r="B22" s="1652">
        <v>18.350000000000001</v>
      </c>
      <c r="C22" s="1652">
        <v>21.01</v>
      </c>
      <c r="D22" s="1652"/>
      <c r="E22" s="1651"/>
      <c r="F22" s="6373">
        <f>$E$49*D25/$D$49</f>
        <v>337.84293010864991</v>
      </c>
      <c r="G22" s="1907"/>
    </row>
    <row r="23" spans="1:7" x14ac:dyDescent="0.2">
      <c r="A23" s="1651" t="s">
        <v>975</v>
      </c>
      <c r="B23" s="1652">
        <f>D23/2</f>
        <v>1144.76</v>
      </c>
      <c r="C23" s="1652">
        <f>B23</f>
        <v>1144.76</v>
      </c>
      <c r="D23" s="1652">
        <f>'объемы ВС и ВО 2023'!R64</f>
        <v>2289.52</v>
      </c>
      <c r="E23" s="1651"/>
      <c r="F23" s="6374"/>
      <c r="G23" s="1907"/>
    </row>
    <row r="24" spans="1:7" x14ac:dyDescent="0.2">
      <c r="A24" s="1651" t="s">
        <v>976</v>
      </c>
      <c r="B24" s="1652">
        <f>B22*B23</f>
        <v>21006.346000000001</v>
      </c>
      <c r="C24" s="1652">
        <f>C22*C23</f>
        <v>24051.407600000002</v>
      </c>
      <c r="D24" s="1652">
        <f>C24+B24</f>
        <v>45057.753600000004</v>
      </c>
      <c r="E24" s="1651"/>
      <c r="F24" s="6374"/>
      <c r="G24" s="1907"/>
    </row>
    <row r="25" spans="1:7" x14ac:dyDescent="0.2">
      <c r="A25" s="1651" t="s">
        <v>968</v>
      </c>
      <c r="B25" s="1652">
        <f>B24*0.02</f>
        <v>420.12692000000004</v>
      </c>
      <c r="C25" s="1652">
        <f>C24*0.02</f>
        <v>481.02815200000003</v>
      </c>
      <c r="D25" s="1652">
        <f>C25+B25</f>
        <v>901.15507200000002</v>
      </c>
      <c r="E25" s="1651"/>
      <c r="F25" s="6375"/>
      <c r="G25" s="1907"/>
    </row>
    <row r="26" spans="1:7" ht="18.75" x14ac:dyDescent="0.3">
      <c r="A26" s="6411" t="s">
        <v>977</v>
      </c>
      <c r="B26" s="6412"/>
      <c r="C26" s="6412"/>
      <c r="D26" s="6412"/>
      <c r="E26" s="6412"/>
      <c r="F26" s="6412"/>
      <c r="G26" s="6413"/>
    </row>
    <row r="27" spans="1:7" x14ac:dyDescent="0.2">
      <c r="A27" s="1642" t="s">
        <v>979</v>
      </c>
      <c r="B27" s="1643">
        <f>C17</f>
        <v>25.95</v>
      </c>
      <c r="C27" s="1643">
        <v>28.6</v>
      </c>
      <c r="D27" s="1643"/>
      <c r="E27" s="1642"/>
      <c r="F27" s="6362">
        <f>$E$48*D30/$D$48</f>
        <v>465.89321466591826</v>
      </c>
      <c r="G27" s="1907"/>
    </row>
    <row r="28" spans="1:7" x14ac:dyDescent="0.2">
      <c r="A28" s="1642" t="s">
        <v>975</v>
      </c>
      <c r="B28" s="1643">
        <f>'объемы ВС и ВО 2023'!AA50/2</f>
        <v>1214.28</v>
      </c>
      <c r="C28" s="1643">
        <f>B28</f>
        <v>1214.28</v>
      </c>
      <c r="D28" s="1643">
        <f>C28+B28</f>
        <v>2428.56</v>
      </c>
      <c r="E28" s="1642"/>
      <c r="F28" s="6363"/>
      <c r="G28" s="1907"/>
    </row>
    <row r="29" spans="1:7" x14ac:dyDescent="0.2">
      <c r="A29" s="1642" t="s">
        <v>976</v>
      </c>
      <c r="B29" s="1643">
        <f>B27*B28</f>
        <v>31510.565999999999</v>
      </c>
      <c r="C29" s="1643">
        <f>C27*C28</f>
        <v>34728.408000000003</v>
      </c>
      <c r="D29" s="1643">
        <f>C29+B29</f>
        <v>66238.974000000002</v>
      </c>
      <c r="E29" s="1642"/>
      <c r="F29" s="6363"/>
      <c r="G29" s="1907"/>
    </row>
    <row r="30" spans="1:7" x14ac:dyDescent="0.2">
      <c r="A30" s="1642" t="s">
        <v>968</v>
      </c>
      <c r="B30" s="1643">
        <f>B29*0.02</f>
        <v>630.21132</v>
      </c>
      <c r="C30" s="1643">
        <f>C29*0.02</f>
        <v>694.56816000000003</v>
      </c>
      <c r="D30" s="1643">
        <f>C30+B30</f>
        <v>1324.7794800000001</v>
      </c>
      <c r="E30" s="1642"/>
      <c r="F30" s="6364"/>
      <c r="G30" s="1907"/>
    </row>
    <row r="31" spans="1:7" ht="18.75" x14ac:dyDescent="0.3">
      <c r="A31" s="6356" t="s">
        <v>978</v>
      </c>
      <c r="B31" s="6357"/>
      <c r="C31" s="6357"/>
      <c r="D31" s="6357"/>
      <c r="E31" s="6357"/>
      <c r="F31" s="6358"/>
      <c r="G31" s="1907"/>
    </row>
    <row r="32" spans="1:7" x14ac:dyDescent="0.2">
      <c r="A32" s="1642" t="s">
        <v>979</v>
      </c>
      <c r="B32" s="1643">
        <f>C22</f>
        <v>21.01</v>
      </c>
      <c r="C32" s="1643">
        <v>23.2</v>
      </c>
      <c r="D32" s="1643"/>
      <c r="E32" s="1642"/>
      <c r="F32" s="6362">
        <f>$E$49*D35/$D$49</f>
        <v>405.73944615575715</v>
      </c>
      <c r="G32" s="1907"/>
    </row>
    <row r="33" spans="1:7" x14ac:dyDescent="0.2">
      <c r="A33" s="1642" t="s">
        <v>975</v>
      </c>
      <c r="B33" s="1643">
        <f>'объемы ВС и ВО 2023'!AA64/2</f>
        <v>1224</v>
      </c>
      <c r="C33" s="1643">
        <f>B33</f>
        <v>1224</v>
      </c>
      <c r="D33" s="1643">
        <f>C33+B33</f>
        <v>2448</v>
      </c>
      <c r="E33" s="1642"/>
      <c r="F33" s="6363"/>
      <c r="G33" s="1907"/>
    </row>
    <row r="34" spans="1:7" x14ac:dyDescent="0.2">
      <c r="A34" s="1642" t="s">
        <v>976</v>
      </c>
      <c r="B34" s="1643">
        <f>B32*B33</f>
        <v>25716.240000000002</v>
      </c>
      <c r="C34" s="1643">
        <f>C32*C33</f>
        <v>28396.799999999999</v>
      </c>
      <c r="D34" s="1643">
        <f>C34+B34</f>
        <v>54113.04</v>
      </c>
      <c r="E34" s="1642"/>
      <c r="F34" s="6363"/>
      <c r="G34" s="1907"/>
    </row>
    <row r="35" spans="1:7" x14ac:dyDescent="0.2">
      <c r="A35" s="1642" t="s">
        <v>968</v>
      </c>
      <c r="B35" s="1643">
        <f>B34*0.02</f>
        <v>514.3248000000001</v>
      </c>
      <c r="C35" s="1643">
        <f>C34*0.02</f>
        <v>567.93600000000004</v>
      </c>
      <c r="D35" s="1643">
        <f>C35+B35</f>
        <v>1082.2608</v>
      </c>
      <c r="E35" s="1642"/>
      <c r="F35" s="6364"/>
      <c r="G35" s="1907"/>
    </row>
    <row r="36" spans="1:7" ht="18.75" x14ac:dyDescent="0.3">
      <c r="A36" s="6359" t="s">
        <v>1683</v>
      </c>
      <c r="B36" s="6360"/>
      <c r="C36" s="6360"/>
      <c r="D36" s="6360"/>
      <c r="E36" s="6360"/>
      <c r="F36" s="6361"/>
      <c r="G36" s="1907"/>
    </row>
    <row r="37" spans="1:7" x14ac:dyDescent="0.2">
      <c r="A37" s="1651" t="s">
        <v>979</v>
      </c>
      <c r="B37" s="1652">
        <f>'вода 2019-2023 коррект'!F57</f>
        <v>25.95</v>
      </c>
      <c r="C37" s="1652">
        <f>'вода 2019-2023 коррект'!F58</f>
        <v>27.796610169491526</v>
      </c>
      <c r="D37" s="1652"/>
      <c r="E37" s="1651"/>
      <c r="F37" s="6373">
        <f>$E$48*D40/$D$48</f>
        <v>436.83960362466541</v>
      </c>
      <c r="G37" s="1907"/>
    </row>
    <row r="38" spans="1:7" x14ac:dyDescent="0.2">
      <c r="A38" s="1651" t="s">
        <v>1682</v>
      </c>
      <c r="B38" s="1652">
        <f>D38/2</f>
        <v>1155.575</v>
      </c>
      <c r="C38" s="1652">
        <f>B38</f>
        <v>1155.575</v>
      </c>
      <c r="D38" s="1652">
        <f>'объемы ВС и ВО 2023'!Y50</f>
        <v>2311.15</v>
      </c>
      <c r="E38" s="1651"/>
      <c r="F38" s="6374"/>
      <c r="G38" s="1908">
        <f>F37</f>
        <v>436.83960362466541</v>
      </c>
    </row>
    <row r="39" spans="1:7" x14ac:dyDescent="0.2">
      <c r="A39" s="1651" t="s">
        <v>1681</v>
      </c>
      <c r="B39" s="1652">
        <f>B37*B38</f>
        <v>29987.171249999999</v>
      </c>
      <c r="C39" s="1652">
        <f>C37*C38</f>
        <v>32121.067796610172</v>
      </c>
      <c r="D39" s="1652">
        <f>C39+B39</f>
        <v>62108.239046610171</v>
      </c>
      <c r="E39" s="1651"/>
      <c r="F39" s="6374"/>
      <c r="G39" s="1907"/>
    </row>
    <row r="40" spans="1:7" x14ac:dyDescent="0.2">
      <c r="A40" s="1651" t="s">
        <v>968</v>
      </c>
      <c r="B40" s="1652">
        <f>B39*0.02</f>
        <v>599.743425</v>
      </c>
      <c r="C40" s="1652">
        <f>C39*0.02</f>
        <v>642.42135593220348</v>
      </c>
      <c r="D40" s="1652">
        <f>C40+B40</f>
        <v>1242.1647809322035</v>
      </c>
      <c r="E40" s="1651"/>
      <c r="F40" s="6375"/>
      <c r="G40" s="1907"/>
    </row>
    <row r="41" spans="1:7" ht="18.75" x14ac:dyDescent="0.3">
      <c r="A41" s="6359" t="s">
        <v>1793</v>
      </c>
      <c r="B41" s="6360"/>
      <c r="C41" s="6360"/>
      <c r="D41" s="6360"/>
      <c r="E41" s="6360"/>
      <c r="F41" s="6361"/>
      <c r="G41" s="1907"/>
    </row>
    <row r="42" spans="1:7" x14ac:dyDescent="0.2">
      <c r="A42" s="1651" t="s">
        <v>974</v>
      </c>
      <c r="B42" s="1652">
        <v>21.01</v>
      </c>
      <c r="C42" s="1652">
        <v>22.5</v>
      </c>
      <c r="D42" s="1652"/>
      <c r="E42" s="1651"/>
      <c r="F42" s="6373">
        <f>$E$49*D45/$D$49</f>
        <v>365.36847945936529</v>
      </c>
      <c r="G42" s="1907"/>
    </row>
    <row r="43" spans="1:7" x14ac:dyDescent="0.2">
      <c r="A43" s="1651" t="s">
        <v>1682</v>
      </c>
      <c r="B43" s="1652">
        <f>D43/2</f>
        <v>1119.9449999999999</v>
      </c>
      <c r="C43" s="1652">
        <f>B43</f>
        <v>1119.9449999999999</v>
      </c>
      <c r="D43" s="1652">
        <f>'объемы ВС и ВО 2023'!Y64</f>
        <v>2239.89</v>
      </c>
      <c r="E43" s="1651"/>
      <c r="F43" s="6374"/>
      <c r="G43" s="1908">
        <f>F42</f>
        <v>365.36847945936529</v>
      </c>
    </row>
    <row r="44" spans="1:7" x14ac:dyDescent="0.2">
      <c r="A44" s="1651" t="s">
        <v>976</v>
      </c>
      <c r="B44" s="1652">
        <f>B42*B43</f>
        <v>23530.044450000001</v>
      </c>
      <c r="C44" s="1652">
        <f>C42*C43</f>
        <v>25198.762499999997</v>
      </c>
      <c r="D44" s="1652">
        <f>C44+B44</f>
        <v>48728.806949999998</v>
      </c>
      <c r="E44" s="1651"/>
      <c r="F44" s="6374"/>
      <c r="G44" s="1907"/>
    </row>
    <row r="45" spans="1:7" x14ac:dyDescent="0.2">
      <c r="A45" s="1651" t="s">
        <v>968</v>
      </c>
      <c r="B45" s="1652">
        <f>B44*0.02</f>
        <v>470.60088900000005</v>
      </c>
      <c r="C45" s="1652">
        <f>C44*0.02</f>
        <v>503.97524999999996</v>
      </c>
      <c r="D45" s="1652">
        <f>C45+B45</f>
        <v>974.57613900000001</v>
      </c>
      <c r="E45" s="1651"/>
      <c r="F45" s="6375"/>
      <c r="G45" s="1907"/>
    </row>
    <row r="46" spans="1:7" x14ac:dyDescent="0.2">
      <c r="A46" s="1644" t="s">
        <v>614</v>
      </c>
      <c r="B46" s="1645"/>
      <c r="C46" s="1645"/>
      <c r="D46" s="1646">
        <f>D10+D15+D20+D25+D40+D45</f>
        <v>6264.9912879322028</v>
      </c>
      <c r="E46" s="1646">
        <f>(1993.71255+680.237)/1.18</f>
        <v>2266.0589406779659</v>
      </c>
      <c r="F46" s="1646">
        <f>F7+F12+F17+F22+F27+F32</f>
        <v>2335.4835184156109</v>
      </c>
      <c r="G46" s="1907"/>
    </row>
    <row r="47" spans="1:7" x14ac:dyDescent="0.2">
      <c r="A47" s="1647" t="s">
        <v>228</v>
      </c>
      <c r="B47" s="1642"/>
      <c r="C47" s="1642"/>
      <c r="D47" s="1648"/>
      <c r="E47" s="1648"/>
      <c r="F47" s="1642"/>
      <c r="G47" s="1907"/>
    </row>
    <row r="48" spans="1:7" x14ac:dyDescent="0.2">
      <c r="A48" s="1647" t="s">
        <v>46</v>
      </c>
      <c r="B48" s="1642"/>
      <c r="C48" s="1642"/>
      <c r="D48" s="1649">
        <f>D10+D20+D40</f>
        <v>3560.3751269322033</v>
      </c>
      <c r="E48" s="1649">
        <f>'Резерв ДЗ'!E38</f>
        <v>1252.0986612073889</v>
      </c>
      <c r="F48" s="6417" t="s">
        <v>1481</v>
      </c>
      <c r="G48" s="1907"/>
    </row>
    <row r="49" spans="1:7" x14ac:dyDescent="0.2">
      <c r="A49" s="1647" t="s">
        <v>47</v>
      </c>
      <c r="B49" s="1642"/>
      <c r="C49" s="1642"/>
      <c r="D49" s="1649">
        <f>D15+D25+D45</f>
        <v>2704.6161609999999</v>
      </c>
      <c r="E49" s="1649">
        <f>E46-E48</f>
        <v>1013.960279470577</v>
      </c>
      <c r="F49" s="6418"/>
      <c r="G49" s="1907"/>
    </row>
  </sheetData>
  <mergeCells count="23">
    <mergeCell ref="A41:F41"/>
    <mergeCell ref="F42:F45"/>
    <mergeCell ref="A2:F2"/>
    <mergeCell ref="A4:A5"/>
    <mergeCell ref="B4:D4"/>
    <mergeCell ref="E4:E5"/>
    <mergeCell ref="F4:F5"/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CC00FF"/>
    <pageSetUpPr fitToPage="1"/>
  </sheetPr>
  <dimension ref="A1:G47"/>
  <sheetViews>
    <sheetView workbookViewId="0">
      <selection activeCell="A47" sqref="A47:G47"/>
    </sheetView>
  </sheetViews>
  <sheetFormatPr defaultRowHeight="12.75" x14ac:dyDescent="0.2"/>
  <cols>
    <col min="1" max="1" width="8.42578125" customWidth="1"/>
    <col min="2" max="2" width="28" customWidth="1"/>
    <col min="3" max="3" width="30.42578125" customWidth="1"/>
    <col min="4" max="4" width="21.140625" customWidth="1"/>
    <col min="5" max="5" width="15.7109375" customWidth="1"/>
    <col min="6" max="7" width="18.7109375" customWidth="1"/>
  </cols>
  <sheetData>
    <row r="1" spans="1:7" ht="18.75" customHeight="1" x14ac:dyDescent="0.2">
      <c r="A1" s="6423" t="s">
        <v>4008</v>
      </c>
      <c r="B1" s="6423"/>
      <c r="C1" s="6423"/>
      <c r="D1" s="6423"/>
      <c r="E1" s="6423"/>
      <c r="F1" s="4910"/>
      <c r="G1" s="4910"/>
    </row>
    <row r="2" spans="1:7" x14ac:dyDescent="0.2">
      <c r="A2" s="6436"/>
      <c r="B2" s="6436"/>
      <c r="C2" s="6436"/>
      <c r="D2" s="6436"/>
      <c r="E2" s="6436"/>
    </row>
    <row r="3" spans="1:7" ht="18.75" customHeight="1" x14ac:dyDescent="0.2">
      <c r="A3" s="6424" t="s">
        <v>3992</v>
      </c>
      <c r="B3" s="6424"/>
      <c r="C3" s="6424"/>
      <c r="D3" s="6424"/>
      <c r="E3" s="6424"/>
      <c r="F3" s="4910"/>
      <c r="G3" s="4910"/>
    </row>
    <row r="4" spans="1:7" ht="18.75" customHeight="1" x14ac:dyDescent="0.2">
      <c r="A4" s="6424" t="s">
        <v>3993</v>
      </c>
      <c r="B4" s="6424"/>
      <c r="C4" s="6424"/>
      <c r="D4" s="6424"/>
      <c r="E4" s="6424"/>
      <c r="F4" s="4910"/>
      <c r="G4" s="4910"/>
    </row>
    <row r="5" spans="1:7" ht="18.75" customHeight="1" x14ac:dyDescent="0.2">
      <c r="A5" s="6424" t="s">
        <v>3994</v>
      </c>
      <c r="B5" s="6424"/>
      <c r="C5" s="6424"/>
      <c r="D5" s="6424"/>
      <c r="E5" s="6424"/>
      <c r="F5" s="4910"/>
      <c r="G5" s="4910"/>
    </row>
    <row r="6" spans="1:7" x14ac:dyDescent="0.2">
      <c r="A6" s="6436" t="s">
        <v>3995</v>
      </c>
      <c r="B6" s="6436"/>
      <c r="C6" s="6436"/>
      <c r="D6" s="6436"/>
      <c r="E6" s="6436"/>
    </row>
    <row r="7" spans="1:7" ht="16.5" customHeight="1" x14ac:dyDescent="0.2">
      <c r="A7" s="6429" t="s">
        <v>3996</v>
      </c>
      <c r="B7" s="6429"/>
      <c r="C7" s="6429"/>
      <c r="D7" s="6429"/>
      <c r="E7" s="6429"/>
      <c r="F7" s="4910"/>
      <c r="G7" s="4910"/>
    </row>
    <row r="8" spans="1:7" ht="18.75" customHeight="1" x14ac:dyDescent="0.2">
      <c r="A8" s="6428" t="s">
        <v>3997</v>
      </c>
      <c r="B8" s="6428"/>
      <c r="C8" s="6428"/>
      <c r="D8" s="6428"/>
      <c r="E8" s="6428"/>
      <c r="F8" s="5484"/>
      <c r="G8" s="5484"/>
    </row>
    <row r="9" spans="1:7" ht="27" customHeight="1" x14ac:dyDescent="0.2">
      <c r="A9" s="6430" t="s">
        <v>890</v>
      </c>
      <c r="B9" s="6430" t="s">
        <v>693</v>
      </c>
      <c r="C9" s="6432"/>
      <c r="D9" s="6430" t="s">
        <v>3998</v>
      </c>
      <c r="E9" s="6430" t="s">
        <v>4010</v>
      </c>
      <c r="F9" s="6427" t="s">
        <v>50</v>
      </c>
      <c r="G9" s="6427"/>
    </row>
    <row r="10" spans="1:7" ht="27" customHeight="1" x14ac:dyDescent="0.2">
      <c r="A10" s="6432"/>
      <c r="B10" s="6432"/>
      <c r="C10" s="6432"/>
      <c r="D10" s="6432"/>
      <c r="E10" s="6432"/>
      <c r="F10" s="3928" t="s">
        <v>345</v>
      </c>
      <c r="G10" s="3928" t="s">
        <v>335</v>
      </c>
    </row>
    <row r="11" spans="1:7" ht="35.1" customHeight="1" x14ac:dyDescent="0.2">
      <c r="A11" s="6427" t="s">
        <v>3999</v>
      </c>
      <c r="B11" s="6430" t="s">
        <v>4000</v>
      </c>
      <c r="C11" s="6430"/>
      <c r="D11" s="6433">
        <f>SUM(B13-C13)</f>
        <v>10159902</v>
      </c>
      <c r="E11" s="6433">
        <v>2031980.4</v>
      </c>
      <c r="F11" s="6427">
        <f>SUM(E11*60%)</f>
        <v>1219188.24</v>
      </c>
      <c r="G11" s="6427">
        <f>SUM(E11*40%)</f>
        <v>812792.16</v>
      </c>
    </row>
    <row r="12" spans="1:7" ht="23.25" customHeight="1" x14ac:dyDescent="0.2">
      <c r="A12" s="6427"/>
      <c r="B12" s="3923" t="s">
        <v>4001</v>
      </c>
      <c r="C12" s="3923" t="s">
        <v>4002</v>
      </c>
      <c r="D12" s="6433"/>
      <c r="E12" s="6433"/>
      <c r="F12" s="6427"/>
      <c r="G12" s="6427"/>
    </row>
    <row r="13" spans="1:7" ht="16.5" x14ac:dyDescent="0.2">
      <c r="A13" s="6427"/>
      <c r="B13" s="3925">
        <v>20234965</v>
      </c>
      <c r="C13" s="3925">
        <v>10075063</v>
      </c>
      <c r="D13" s="6433"/>
      <c r="E13" s="6433"/>
      <c r="F13" s="6427"/>
      <c r="G13" s="6427"/>
    </row>
    <row r="14" spans="1:7" ht="35.1" customHeight="1" x14ac:dyDescent="0.2">
      <c r="A14" s="3924" t="s">
        <v>4003</v>
      </c>
      <c r="B14" s="6430" t="s">
        <v>4007</v>
      </c>
      <c r="C14" s="6430"/>
      <c r="D14" s="3925">
        <v>9227290.0500000007</v>
      </c>
      <c r="E14" s="3925">
        <v>1845458.01</v>
      </c>
      <c r="F14" s="3924">
        <f>SUM(E14*60%)</f>
        <v>1107274.8059999999</v>
      </c>
      <c r="G14" s="3924">
        <f>SUM(E14*40%)</f>
        <v>738183.20400000003</v>
      </c>
    </row>
    <row r="15" spans="1:7" ht="35.1" customHeight="1" x14ac:dyDescent="0.2">
      <c r="A15" s="3924" t="s">
        <v>4004</v>
      </c>
      <c r="B15" s="6430" t="s">
        <v>4005</v>
      </c>
      <c r="C15" s="6430"/>
      <c r="D15" s="3925">
        <v>632247</v>
      </c>
      <c r="E15" s="3925">
        <v>126449.4</v>
      </c>
      <c r="F15" s="3924">
        <f>SUM(E15*60%)</f>
        <v>75869.64</v>
      </c>
      <c r="G15" s="3924">
        <f>SUM(E15*40%)</f>
        <v>50579.76</v>
      </c>
    </row>
    <row r="16" spans="1:7" ht="35.1" customHeight="1" x14ac:dyDescent="0.2">
      <c r="A16" s="3926" t="s">
        <v>4006</v>
      </c>
      <c r="B16" s="6431" t="s">
        <v>614</v>
      </c>
      <c r="C16" s="6431"/>
      <c r="D16" s="3927">
        <f>SUM(D11:D15)</f>
        <v>20019439.050000001</v>
      </c>
      <c r="E16" s="3927">
        <f>SUM(E11:E15)</f>
        <v>4003887.81</v>
      </c>
      <c r="F16" s="3926">
        <f>SUM(F11:F15)</f>
        <v>2402332.6860000002</v>
      </c>
      <c r="G16" s="3926">
        <f>SUM(G11:G15)</f>
        <v>1601555.1240000001</v>
      </c>
    </row>
    <row r="17" spans="1:7" ht="35.1" customHeight="1" x14ac:dyDescent="0.2">
      <c r="A17" s="3929"/>
      <c r="B17" s="3930"/>
      <c r="C17" s="3930"/>
      <c r="D17" s="3931"/>
      <c r="E17" s="3931"/>
      <c r="F17" s="3929"/>
      <c r="G17" s="3929"/>
    </row>
    <row r="18" spans="1:7" ht="48.75" customHeight="1" x14ac:dyDescent="0.2">
      <c r="A18" s="6425" t="s">
        <v>4019</v>
      </c>
      <c r="B18" s="6426"/>
      <c r="C18" s="6426"/>
      <c r="D18" s="6426"/>
      <c r="E18" s="6426"/>
      <c r="F18" s="6426"/>
      <c r="G18" s="6426"/>
    </row>
    <row r="19" spans="1:7" x14ac:dyDescent="0.2">
      <c r="A19" s="3922"/>
    </row>
    <row r="20" spans="1:7" ht="34.5" customHeight="1" x14ac:dyDescent="0.25">
      <c r="A20" s="6434" t="s">
        <v>4009</v>
      </c>
      <c r="B20" s="6434"/>
      <c r="C20" s="6434"/>
      <c r="D20" s="6434"/>
      <c r="E20" s="6434"/>
      <c r="F20" s="6435"/>
      <c r="G20" s="6435"/>
    </row>
    <row r="25" spans="1:7" ht="18.75" x14ac:dyDescent="0.3">
      <c r="A25" s="5638" t="s">
        <v>4011</v>
      </c>
      <c r="B25" s="5638"/>
      <c r="C25" s="5638"/>
      <c r="D25" s="5638"/>
      <c r="E25" s="5638"/>
      <c r="F25" s="5638"/>
      <c r="G25" s="5638"/>
    </row>
    <row r="31" spans="1:7" ht="18.75" x14ac:dyDescent="0.3">
      <c r="A31" s="5638" t="s">
        <v>4072</v>
      </c>
      <c r="B31" s="5638"/>
      <c r="C31" s="5638"/>
      <c r="D31" s="5638"/>
      <c r="E31" s="5638"/>
      <c r="F31" s="5638"/>
      <c r="G31" s="5638"/>
    </row>
    <row r="32" spans="1:7" ht="18.75" x14ac:dyDescent="0.2">
      <c r="A32" s="6424" t="s">
        <v>3992</v>
      </c>
      <c r="B32" s="6424"/>
      <c r="C32" s="6424"/>
      <c r="D32" s="6424"/>
      <c r="E32" s="6424"/>
      <c r="F32" s="4910"/>
      <c r="G32" s="4910"/>
    </row>
    <row r="33" spans="1:7" ht="18.75" x14ac:dyDescent="0.2">
      <c r="A33" s="6424" t="s">
        <v>4071</v>
      </c>
      <c r="B33" s="6424"/>
      <c r="C33" s="6424"/>
      <c r="D33" s="6424"/>
      <c r="E33" s="6424"/>
      <c r="F33" s="4910"/>
      <c r="G33" s="4910"/>
    </row>
    <row r="34" spans="1:7" ht="16.5" x14ac:dyDescent="0.2">
      <c r="A34" s="6429" t="s">
        <v>3996</v>
      </c>
      <c r="B34" s="6429"/>
      <c r="C34" s="6429"/>
      <c r="D34" s="6429"/>
      <c r="E34" s="6429"/>
      <c r="F34" s="4910"/>
      <c r="G34" s="4910"/>
    </row>
    <row r="35" spans="1:7" ht="18.75" x14ac:dyDescent="0.2">
      <c r="A35" s="6428" t="s">
        <v>3997</v>
      </c>
      <c r="B35" s="6428"/>
      <c r="C35" s="6428"/>
      <c r="D35" s="6428"/>
      <c r="E35" s="6428"/>
      <c r="F35" s="5484"/>
      <c r="G35" s="5484"/>
    </row>
    <row r="36" spans="1:7" ht="16.5" x14ac:dyDescent="0.2">
      <c r="A36" s="6437" t="s">
        <v>890</v>
      </c>
      <c r="B36" s="6437" t="s">
        <v>693</v>
      </c>
      <c r="C36" s="6438"/>
      <c r="D36" s="6437" t="s">
        <v>3998</v>
      </c>
      <c r="E36" s="6437" t="s">
        <v>4010</v>
      </c>
      <c r="F36" s="6439" t="s">
        <v>50</v>
      </c>
      <c r="G36" s="6439"/>
    </row>
    <row r="37" spans="1:7" ht="16.5" x14ac:dyDescent="0.2">
      <c r="A37" s="6438"/>
      <c r="B37" s="6438"/>
      <c r="C37" s="6438"/>
      <c r="D37" s="6438"/>
      <c r="E37" s="6438"/>
      <c r="F37" s="3977" t="s">
        <v>345</v>
      </c>
      <c r="G37" s="3977" t="s">
        <v>335</v>
      </c>
    </row>
    <row r="38" spans="1:7" ht="34.5" customHeight="1" x14ac:dyDescent="0.2">
      <c r="A38" s="6439" t="s">
        <v>3999</v>
      </c>
      <c r="B38" s="6437" t="s">
        <v>4000</v>
      </c>
      <c r="C38" s="6437"/>
      <c r="D38" s="6440">
        <v>7779724.71</v>
      </c>
      <c r="E38" s="6440">
        <v>1555944.94</v>
      </c>
      <c r="F38" s="6440">
        <f>SUM(E38*60%)</f>
        <v>933566.96399999992</v>
      </c>
      <c r="G38" s="6440">
        <f>SUM(E38*40%)</f>
        <v>622377.97600000002</v>
      </c>
    </row>
    <row r="39" spans="1:7" ht="16.5" x14ac:dyDescent="0.2">
      <c r="A39" s="6439"/>
      <c r="B39" s="3978" t="s">
        <v>4001</v>
      </c>
      <c r="C39" s="3978" t="s">
        <v>4002</v>
      </c>
      <c r="D39" s="6440"/>
      <c r="E39" s="6440"/>
      <c r="F39" s="6440"/>
      <c r="G39" s="6440"/>
    </row>
    <row r="40" spans="1:7" ht="16.5" x14ac:dyDescent="0.2">
      <c r="A40" s="6439"/>
      <c r="B40" s="3979" t="s">
        <v>4068</v>
      </c>
      <c r="C40" s="3979" t="s">
        <v>4069</v>
      </c>
      <c r="D40" s="6440"/>
      <c r="E40" s="6440"/>
      <c r="F40" s="6440"/>
      <c r="G40" s="6440"/>
    </row>
    <row r="41" spans="1:7" ht="30" customHeight="1" x14ac:dyDescent="0.2">
      <c r="A41" s="3979" t="s">
        <v>4003</v>
      </c>
      <c r="B41" s="6437" t="s">
        <v>4070</v>
      </c>
      <c r="C41" s="6437"/>
      <c r="D41" s="3980">
        <v>5251981.57</v>
      </c>
      <c r="E41" s="3980">
        <v>1050396.31</v>
      </c>
      <c r="F41" s="3980">
        <f>SUM(E41*60%)</f>
        <v>630237.78599999996</v>
      </c>
      <c r="G41" s="3980">
        <f>SUM(E41*40%)</f>
        <v>420158.52400000003</v>
      </c>
    </row>
    <row r="42" spans="1:7" ht="16.5" customHeight="1" x14ac:dyDescent="0.2">
      <c r="A42" s="3979" t="s">
        <v>4004</v>
      </c>
      <c r="B42" s="6437" t="s">
        <v>4005</v>
      </c>
      <c r="C42" s="6437"/>
      <c r="D42" s="3980">
        <v>624330.99</v>
      </c>
      <c r="E42" s="3980">
        <v>124866.2</v>
      </c>
      <c r="F42" s="3980">
        <f>SUM(E42*60%)</f>
        <v>74919.72</v>
      </c>
      <c r="G42" s="3980">
        <f>SUM(E42*40%)</f>
        <v>49946.48</v>
      </c>
    </row>
    <row r="43" spans="1:7" ht="16.5" x14ac:dyDescent="0.2">
      <c r="A43" s="3981" t="s">
        <v>4006</v>
      </c>
      <c r="B43" s="6441" t="s">
        <v>614</v>
      </c>
      <c r="C43" s="6441"/>
      <c r="D43" s="3982">
        <f>SUM(D38:D42)</f>
        <v>13656037.270000001</v>
      </c>
      <c r="E43" s="3982">
        <f t="shared" ref="E43:G43" si="0">SUM(E38:E42)</f>
        <v>2731207.45</v>
      </c>
      <c r="F43" s="3982">
        <f t="shared" si="0"/>
        <v>1638724.47</v>
      </c>
      <c r="G43" s="3982">
        <f t="shared" si="0"/>
        <v>1092482.98</v>
      </c>
    </row>
    <row r="44" spans="1:7" ht="16.5" x14ac:dyDescent="0.2">
      <c r="A44" s="3929"/>
      <c r="B44" s="3930"/>
      <c r="C44" s="3930"/>
      <c r="D44" s="3931"/>
      <c r="E44" s="3931"/>
      <c r="F44" s="3929"/>
      <c r="G44" s="3929"/>
    </row>
    <row r="45" spans="1:7" ht="56.25" customHeight="1" x14ac:dyDescent="0.2">
      <c r="A45" s="6425" t="s">
        <v>4019</v>
      </c>
      <c r="B45" s="6426"/>
      <c r="C45" s="6426"/>
      <c r="D45" s="6426"/>
      <c r="E45" s="6426"/>
      <c r="F45" s="6426"/>
      <c r="G45" s="6426"/>
    </row>
    <row r="46" spans="1:7" x14ac:dyDescent="0.2">
      <c r="A46" s="3922"/>
    </row>
    <row r="47" spans="1:7" ht="34.5" customHeight="1" x14ac:dyDescent="0.25">
      <c r="A47" s="6434" t="s">
        <v>4009</v>
      </c>
      <c r="B47" s="6434"/>
      <c r="C47" s="6434"/>
      <c r="D47" s="6434"/>
      <c r="E47" s="6434"/>
      <c r="F47" s="6435"/>
      <c r="G47" s="6435"/>
    </row>
  </sheetData>
  <mergeCells count="46">
    <mergeCell ref="B41:C41"/>
    <mergeCell ref="B42:C42"/>
    <mergeCell ref="B43:C43"/>
    <mergeCell ref="A45:G45"/>
    <mergeCell ref="A47:G47"/>
    <mergeCell ref="D36:D37"/>
    <mergeCell ref="E36:E37"/>
    <mergeCell ref="F36:G36"/>
    <mergeCell ref="A38:A40"/>
    <mergeCell ref="B38:C38"/>
    <mergeCell ref="D38:D40"/>
    <mergeCell ref="E38:E40"/>
    <mergeCell ref="F38:F40"/>
    <mergeCell ref="G38:G40"/>
    <mergeCell ref="A36:A37"/>
    <mergeCell ref="B36:C37"/>
    <mergeCell ref="A32:G32"/>
    <mergeCell ref="A33:G33"/>
    <mergeCell ref="A34:G34"/>
    <mergeCell ref="A35:G35"/>
    <mergeCell ref="A31:G31"/>
    <mergeCell ref="B11:C11"/>
    <mergeCell ref="D11:D13"/>
    <mergeCell ref="E11:E13"/>
    <mergeCell ref="A20:G20"/>
    <mergeCell ref="A2:E2"/>
    <mergeCell ref="A6:E6"/>
    <mergeCell ref="B9:C10"/>
    <mergeCell ref="D9:D10"/>
    <mergeCell ref="E9:E10"/>
    <mergeCell ref="A25:G25"/>
    <mergeCell ref="A1:G1"/>
    <mergeCell ref="A3:G3"/>
    <mergeCell ref="A18:G18"/>
    <mergeCell ref="F11:F13"/>
    <mergeCell ref="G11:G13"/>
    <mergeCell ref="A8:G8"/>
    <mergeCell ref="A7:G7"/>
    <mergeCell ref="A5:G5"/>
    <mergeCell ref="A4:G4"/>
    <mergeCell ref="B14:C14"/>
    <mergeCell ref="B15:C15"/>
    <mergeCell ref="B16:C16"/>
    <mergeCell ref="F9:G9"/>
    <mergeCell ref="A9:A10"/>
    <mergeCell ref="A11:A13"/>
  </mergeCells>
  <pageMargins left="0.70866141732283472" right="0.70866141732283472" top="0.94488188976377963" bottom="0.74803149606299213" header="0.31496062992125984" footer="0.31496062992125984"/>
  <pageSetup paperSize="9" scale="94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Лист68">
    <tabColor rgb="FFFF66FF"/>
    <pageSetUpPr fitToPage="1"/>
  </sheetPr>
  <dimension ref="A4:AE45"/>
  <sheetViews>
    <sheetView workbookViewId="0">
      <selection activeCell="AE50" sqref="AE50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668" hidden="1" customWidth="1"/>
    <col min="4" max="4" width="18.28515625" style="5" hidden="1" customWidth="1"/>
    <col min="5" max="5" width="10.28515625" style="5" hidden="1" customWidth="1"/>
    <col min="6" max="6" width="11.42578125" style="5" hidden="1" customWidth="1"/>
    <col min="7" max="7" width="9.5703125" style="5" customWidth="1"/>
    <col min="8" max="8" width="11" style="5" customWidth="1"/>
    <col min="9" max="9" width="9.140625" style="5" customWidth="1"/>
    <col min="10" max="11" width="11" style="5" hidden="1" customWidth="1"/>
    <col min="12" max="12" width="11" style="5" customWidth="1"/>
    <col min="13" max="13" width="11.140625" style="5" customWidth="1"/>
    <col min="14" max="14" width="10" style="5" customWidth="1"/>
    <col min="15" max="18" width="11.140625" style="5" customWidth="1"/>
    <col min="19" max="19" width="10.7109375" style="5" customWidth="1"/>
    <col min="20" max="20" width="10" style="5" hidden="1" customWidth="1"/>
    <col min="21" max="21" width="13.28515625" style="5" hidden="1" customWidth="1"/>
    <col min="22" max="22" width="13.140625" style="5" hidden="1" customWidth="1"/>
    <col min="23" max="23" width="0" style="5" hidden="1" customWidth="1"/>
    <col min="24" max="24" width="10" style="5" hidden="1" customWidth="1"/>
    <col min="25" max="25" width="0" style="5" hidden="1" customWidth="1"/>
    <col min="26" max="26" width="12.42578125" style="5" hidden="1" customWidth="1"/>
    <col min="27" max="27" width="9.7109375" style="5" customWidth="1"/>
    <col min="28" max="29" width="11.140625" style="5" customWidth="1"/>
    <col min="30" max="16384" width="9.140625" style="5"/>
  </cols>
  <sheetData>
    <row r="4" spans="1:31" s="1653" customFormat="1" ht="15.75" x14ac:dyDescent="0.25">
      <c r="A4" s="5639" t="s">
        <v>3990</v>
      </c>
      <c r="B4" s="5160"/>
      <c r="C4" s="5160"/>
      <c r="D4" s="5160"/>
      <c r="E4" s="5160"/>
      <c r="F4" s="5160"/>
      <c r="G4" s="5160"/>
      <c r="H4" s="5160"/>
      <c r="I4" s="5160"/>
      <c r="J4" s="5160"/>
      <c r="K4" s="5160"/>
      <c r="L4" s="5160"/>
      <c r="M4" s="4910"/>
      <c r="N4" s="4910"/>
      <c r="O4" s="4910"/>
      <c r="P4" s="4910"/>
      <c r="Q4" s="4910"/>
      <c r="R4" s="4910"/>
      <c r="S4" s="4910"/>
      <c r="T4" s="4910"/>
      <c r="U4" s="4910"/>
      <c r="V4" s="4910"/>
      <c r="W4" s="4910"/>
      <c r="X4" s="4910"/>
      <c r="Y4" s="4910"/>
      <c r="Z4" s="4910"/>
      <c r="AA4" s="4910"/>
      <c r="AB4" s="4910"/>
      <c r="AC4" s="4910"/>
      <c r="AD4" s="4910"/>
      <c r="AE4" s="4910"/>
    </row>
    <row r="5" spans="1:31" s="1653" customFormat="1" ht="15.75" x14ac:dyDescent="0.25">
      <c r="C5" s="2033"/>
    </row>
    <row r="6" spans="1:31" ht="25.5" customHeight="1" x14ac:dyDescent="0.2">
      <c r="A6" s="3223"/>
      <c r="B6" s="3223"/>
      <c r="C6" s="3223" t="s">
        <v>815</v>
      </c>
      <c r="D6" s="3226" t="s">
        <v>892</v>
      </c>
      <c r="E6" s="3223" t="s">
        <v>893</v>
      </c>
      <c r="F6" s="3223" t="s">
        <v>1785</v>
      </c>
      <c r="G6" s="3223" t="s">
        <v>1799</v>
      </c>
      <c r="H6" s="5983" t="s">
        <v>3541</v>
      </c>
      <c r="I6" s="6047"/>
      <c r="J6" s="3220" t="s">
        <v>3609</v>
      </c>
      <c r="K6" s="3220" t="s">
        <v>3610</v>
      </c>
      <c r="L6" s="3220" t="s">
        <v>3611</v>
      </c>
      <c r="M6" s="5983" t="s">
        <v>3857</v>
      </c>
      <c r="N6" s="6047"/>
      <c r="O6" s="3552" t="s">
        <v>3864</v>
      </c>
      <c r="P6" s="3552" t="s">
        <v>3865</v>
      </c>
      <c r="Q6" s="3552" t="s">
        <v>3880</v>
      </c>
      <c r="R6" s="5983" t="s">
        <v>3904</v>
      </c>
      <c r="S6" s="6047"/>
      <c r="T6" s="5" t="s">
        <v>1805</v>
      </c>
      <c r="U6" s="5" t="s">
        <v>1806</v>
      </c>
      <c r="V6" s="5" t="s">
        <v>1807</v>
      </c>
      <c r="W6" s="5" t="s">
        <v>1808</v>
      </c>
      <c r="X6" s="5" t="s">
        <v>1809</v>
      </c>
      <c r="Y6" s="3784" t="s">
        <v>3926</v>
      </c>
      <c r="Z6" s="3784" t="s">
        <v>3941</v>
      </c>
      <c r="AA6" s="3784" t="s">
        <v>3955</v>
      </c>
      <c r="AB6" s="5983" t="s">
        <v>3991</v>
      </c>
      <c r="AC6" s="6047"/>
      <c r="AD6" s="4719" t="s">
        <v>4278</v>
      </c>
      <c r="AE6" s="4719" t="s">
        <v>4279</v>
      </c>
    </row>
    <row r="7" spans="1:31" ht="25.5" x14ac:dyDescent="0.2">
      <c r="A7" s="3223"/>
      <c r="B7" s="3223"/>
      <c r="C7" s="3223"/>
      <c r="D7" s="3226"/>
      <c r="E7" s="3223"/>
      <c r="F7" s="3223"/>
      <c r="G7" s="3223"/>
      <c r="H7" s="3220" t="s">
        <v>121</v>
      </c>
      <c r="I7" s="3220" t="s">
        <v>1849</v>
      </c>
      <c r="J7" s="3220"/>
      <c r="K7" s="3220"/>
      <c r="L7" s="3220"/>
      <c r="M7" s="3220" t="s">
        <v>121</v>
      </c>
      <c r="N7" s="3220" t="s">
        <v>1849</v>
      </c>
      <c r="O7" s="3552"/>
      <c r="P7" s="3552"/>
      <c r="Q7" s="3552"/>
      <c r="R7" s="3632" t="s">
        <v>121</v>
      </c>
      <c r="S7" s="3632" t="s">
        <v>1849</v>
      </c>
      <c r="Y7" s="3784"/>
      <c r="Z7" s="3784"/>
      <c r="AA7" s="3784"/>
      <c r="AB7" s="3902" t="s">
        <v>121</v>
      </c>
      <c r="AC7" s="3902" t="s">
        <v>1849</v>
      </c>
      <c r="AD7" s="4719"/>
      <c r="AE7" s="4719"/>
    </row>
    <row r="8" spans="1:31" x14ac:dyDescent="0.2">
      <c r="A8" s="2553" t="s">
        <v>1751</v>
      </c>
      <c r="B8" s="2553" t="s">
        <v>899</v>
      </c>
      <c r="C8" s="2554">
        <v>2169.9934800000001</v>
      </c>
      <c r="D8" s="2553"/>
      <c r="E8" s="2554">
        <v>3551.4250499999998</v>
      </c>
      <c r="F8" s="2554">
        <f>F10+F11+F12</f>
        <v>17.627832389853918</v>
      </c>
      <c r="G8" s="2614">
        <f>F8*1.046</f>
        <v>18.438712679787198</v>
      </c>
      <c r="H8" s="2614">
        <v>19.059999999999999</v>
      </c>
      <c r="I8" s="2614"/>
      <c r="J8" s="2614">
        <f>SUM(J10:J12)</f>
        <v>2381.2199999999998</v>
      </c>
      <c r="K8" s="2614">
        <f>SUM(K10:K12)</f>
        <v>3571.83</v>
      </c>
      <c r="L8" s="2614">
        <f>SUM(L10:L12)</f>
        <v>6070.34</v>
      </c>
      <c r="M8" s="2614">
        <f>SUM(M10:M12)</f>
        <v>525.82000000000005</v>
      </c>
      <c r="N8" s="2614"/>
      <c r="O8" s="2614">
        <f>SUM(O10:O12)</f>
        <v>262.89999999999998</v>
      </c>
      <c r="P8" s="2614">
        <f>SUM(P10:P12)</f>
        <v>394.36</v>
      </c>
      <c r="Q8" s="2614">
        <f>SUM(Q10:Q12)</f>
        <v>467.42</v>
      </c>
      <c r="R8" s="2614">
        <f>SUM(R10:R12)</f>
        <v>525.82000000000005</v>
      </c>
      <c r="S8" s="2614"/>
      <c r="T8" s="394">
        <f>G8*1.04</f>
        <v>19.176261186978685</v>
      </c>
      <c r="U8" s="394">
        <f>R8*1.04</f>
        <v>546.85280000000012</v>
      </c>
      <c r="V8" s="394">
        <f>S8*1.04</f>
        <v>0</v>
      </c>
      <c r="W8" s="394">
        <f t="shared" ref="W8:X8" si="0">T8*1.04</f>
        <v>19.943311634457832</v>
      </c>
      <c r="X8" s="394">
        <f t="shared" si="0"/>
        <v>568.72691200000008</v>
      </c>
      <c r="Y8" s="3920">
        <f>SUM(Y10:Y12)</f>
        <v>233.70758000000001</v>
      </c>
      <c r="Z8" s="3920">
        <f>SUM(Z10:Z12)</f>
        <v>350.56137000000001</v>
      </c>
      <c r="AA8" s="2614">
        <f>SUM(AA10:AA13)</f>
        <v>1112.1341</v>
      </c>
      <c r="AB8" s="2437">
        <f>SUM(AB10:AB13)</f>
        <v>1112.1341</v>
      </c>
      <c r="AC8" s="2437"/>
      <c r="AD8" s="2614">
        <f t="shared" ref="AD8:AE8" si="1">SUM(AD10:AD13)</f>
        <v>1112.1341</v>
      </c>
      <c r="AE8" s="2614">
        <f t="shared" si="1"/>
        <v>1112.1341</v>
      </c>
    </row>
    <row r="9" spans="1:31" x14ac:dyDescent="0.2">
      <c r="A9" s="2553" t="s">
        <v>50</v>
      </c>
      <c r="B9" s="2553"/>
      <c r="C9" s="2554"/>
      <c r="D9" s="2553"/>
      <c r="E9" s="2554"/>
      <c r="F9" s="2554"/>
      <c r="G9" s="2553"/>
      <c r="H9" s="2553"/>
      <c r="I9" s="2553"/>
      <c r="J9" s="2553"/>
      <c r="K9" s="2553"/>
      <c r="L9" s="2553"/>
      <c r="M9" s="2553"/>
      <c r="N9" s="2553"/>
      <c r="O9" s="2553"/>
      <c r="P9" s="2553"/>
      <c r="Q9" s="2553"/>
      <c r="R9" s="2553"/>
      <c r="S9" s="2553"/>
      <c r="T9" s="394"/>
      <c r="U9" s="394"/>
      <c r="V9" s="394"/>
      <c r="W9" s="394"/>
      <c r="X9" s="394"/>
      <c r="Y9" s="3637"/>
      <c r="Z9" s="3637"/>
      <c r="AA9" s="2553"/>
      <c r="AB9" s="2437">
        <f t="shared" ref="AB9:AB17" si="2">SUM(AA9)</f>
        <v>0</v>
      </c>
      <c r="AC9" s="2436"/>
      <c r="AD9" s="2553"/>
      <c r="AE9" s="2553"/>
    </row>
    <row r="10" spans="1:31" x14ac:dyDescent="0.2">
      <c r="A10" s="2553" t="s">
        <v>1752</v>
      </c>
      <c r="B10" s="2553" t="s">
        <v>899</v>
      </c>
      <c r="C10" s="2554">
        <v>16.91282</v>
      </c>
      <c r="D10" s="2553"/>
      <c r="E10" s="2554">
        <v>0</v>
      </c>
      <c r="F10" s="2554">
        <f>X38/1000</f>
        <v>17.627832389853918</v>
      </c>
      <c r="G10" s="2614">
        <f>G8</f>
        <v>18.438712679787198</v>
      </c>
      <c r="H10" s="2614">
        <f>H8</f>
        <v>19.059999999999999</v>
      </c>
      <c r="I10" s="2614"/>
      <c r="J10" s="2614">
        <v>17.12</v>
      </c>
      <c r="K10" s="2614">
        <v>25.67</v>
      </c>
      <c r="L10" s="2614">
        <v>525.82000000000005</v>
      </c>
      <c r="M10" s="2614">
        <f>SUM(L10)</f>
        <v>525.82000000000005</v>
      </c>
      <c r="N10" s="2614"/>
      <c r="O10" s="2614">
        <v>262.89999999999998</v>
      </c>
      <c r="P10" s="2614">
        <v>394.36</v>
      </c>
      <c r="Q10" s="2614">
        <v>467.42</v>
      </c>
      <c r="R10" s="2614">
        <v>525.82000000000005</v>
      </c>
      <c r="S10" s="2614"/>
      <c r="T10" s="394"/>
      <c r="U10" s="394"/>
      <c r="V10" s="394"/>
      <c r="W10" s="394"/>
      <c r="X10" s="394"/>
      <c r="Y10" s="3920">
        <v>233.70758000000001</v>
      </c>
      <c r="Z10" s="3920">
        <v>350.56137000000001</v>
      </c>
      <c r="AA10" s="3062">
        <v>7.5974300000000001</v>
      </c>
      <c r="AB10" s="2437">
        <f t="shared" si="2"/>
        <v>7.5974300000000001</v>
      </c>
      <c r="AC10" s="2437"/>
      <c r="AD10" s="3062">
        <v>7.5974300000000001</v>
      </c>
      <c r="AE10" s="3062">
        <v>7.5974300000000001</v>
      </c>
    </row>
    <row r="11" spans="1:31" x14ac:dyDescent="0.2">
      <c r="A11" s="2553" t="s">
        <v>1753</v>
      </c>
      <c r="B11" s="2553" t="s">
        <v>899</v>
      </c>
      <c r="C11" s="2554">
        <v>0</v>
      </c>
      <c r="D11" s="2553"/>
      <c r="E11" s="2554">
        <v>0</v>
      </c>
      <c r="F11" s="2554">
        <v>0</v>
      </c>
      <c r="G11" s="2553">
        <v>0</v>
      </c>
      <c r="H11" s="2553">
        <v>0</v>
      </c>
      <c r="I11" s="2553"/>
      <c r="J11" s="2553"/>
      <c r="K11" s="2553"/>
      <c r="L11" s="2553"/>
      <c r="M11" s="2553">
        <v>0</v>
      </c>
      <c r="N11" s="2553"/>
      <c r="O11" s="2553"/>
      <c r="P11" s="2553"/>
      <c r="Q11" s="2553"/>
      <c r="R11" s="2553">
        <v>0</v>
      </c>
      <c r="S11" s="2553"/>
      <c r="T11" s="394"/>
      <c r="U11" s="394"/>
      <c r="V11" s="394"/>
      <c r="W11" s="394"/>
      <c r="X11" s="394"/>
      <c r="Y11" s="3637"/>
      <c r="Z11" s="3637"/>
      <c r="AA11" s="2553">
        <v>80.648709999999994</v>
      </c>
      <c r="AB11" s="2437">
        <f t="shared" si="2"/>
        <v>80.648709999999994</v>
      </c>
      <c r="AC11" s="2436"/>
      <c r="AD11" s="2553">
        <v>80.648709999999994</v>
      </c>
      <c r="AE11" s="2553">
        <v>80.648709999999994</v>
      </c>
    </row>
    <row r="12" spans="1:31" x14ac:dyDescent="0.2">
      <c r="A12" s="2553" t="s">
        <v>1754</v>
      </c>
      <c r="B12" s="2553" t="s">
        <v>899</v>
      </c>
      <c r="C12" s="2554">
        <v>2153.0806600000001</v>
      </c>
      <c r="D12" s="2553"/>
      <c r="E12" s="2554">
        <v>3551.4250499999998</v>
      </c>
      <c r="F12" s="2554">
        <v>0</v>
      </c>
      <c r="G12" s="2553">
        <v>0</v>
      </c>
      <c r="H12" s="2553">
        <v>0</v>
      </c>
      <c r="I12" s="2553"/>
      <c r="J12" s="2553">
        <v>2364.1</v>
      </c>
      <c r="K12" s="2553">
        <v>3546.16</v>
      </c>
      <c r="L12" s="2553">
        <v>5544.52</v>
      </c>
      <c r="M12" s="2553">
        <v>0</v>
      </c>
      <c r="N12" s="2553"/>
      <c r="O12" s="2553"/>
      <c r="P12" s="2553"/>
      <c r="Q12" s="2553"/>
      <c r="R12" s="2553">
        <v>0</v>
      </c>
      <c r="S12" s="2553"/>
      <c r="T12" s="394"/>
      <c r="U12" s="394"/>
      <c r="V12" s="394"/>
      <c r="W12" s="394"/>
      <c r="X12" s="394"/>
      <c r="Y12" s="3637"/>
      <c r="Z12" s="3637"/>
      <c r="AA12" s="2553"/>
      <c r="AB12" s="2437">
        <f t="shared" si="2"/>
        <v>0</v>
      </c>
      <c r="AC12" s="2436"/>
      <c r="AD12" s="2553"/>
      <c r="AE12" s="2553"/>
    </row>
    <row r="13" spans="1:31" x14ac:dyDescent="0.2">
      <c r="A13" s="2553" t="s">
        <v>1755</v>
      </c>
      <c r="B13" s="2553" t="s">
        <v>899</v>
      </c>
      <c r="C13" s="2554">
        <v>82.269549999999995</v>
      </c>
      <c r="D13" s="2553"/>
      <c r="E13" s="2554">
        <v>135.10650000000001</v>
      </c>
      <c r="F13" s="2554">
        <f>E13</f>
        <v>135.10650000000001</v>
      </c>
      <c r="G13" s="2553">
        <v>0</v>
      </c>
      <c r="H13" s="2553">
        <v>0</v>
      </c>
      <c r="I13" s="2553"/>
      <c r="J13" s="2553"/>
      <c r="K13" s="2553"/>
      <c r="L13" s="2553"/>
      <c r="M13" s="2553">
        <v>0</v>
      </c>
      <c r="N13" s="2553"/>
      <c r="O13" s="2553"/>
      <c r="P13" s="2553"/>
      <c r="Q13" s="2553"/>
      <c r="R13" s="2553">
        <v>0</v>
      </c>
      <c r="S13" s="2553"/>
      <c r="T13" s="394"/>
      <c r="U13" s="394"/>
      <c r="V13" s="394"/>
      <c r="W13" s="394"/>
      <c r="X13" s="394"/>
      <c r="Y13" s="3637"/>
      <c r="Z13" s="3637"/>
      <c r="AA13" s="2553">
        <v>1023.88796</v>
      </c>
      <c r="AB13" s="2437">
        <f t="shared" si="2"/>
        <v>1023.88796</v>
      </c>
      <c r="AC13" s="2436"/>
      <c r="AD13" s="2553">
        <v>1023.88796</v>
      </c>
      <c r="AE13" s="2553">
        <v>1023.88796</v>
      </c>
    </row>
    <row r="14" spans="1:31" x14ac:dyDescent="0.2">
      <c r="A14" s="2553" t="s">
        <v>1756</v>
      </c>
      <c r="B14" s="2553" t="s">
        <v>899</v>
      </c>
      <c r="C14" s="2554">
        <f t="shared" ref="C14:K14" si="3">C13+C8</f>
        <v>2252.2630300000001</v>
      </c>
      <c r="D14" s="2554">
        <f t="shared" si="3"/>
        <v>0</v>
      </c>
      <c r="E14" s="2554">
        <f t="shared" si="3"/>
        <v>3686.5315499999997</v>
      </c>
      <c r="F14" s="2554">
        <f t="shared" si="3"/>
        <v>152.73433238985393</v>
      </c>
      <c r="G14" s="2554">
        <f t="shared" si="3"/>
        <v>18.438712679787198</v>
      </c>
      <c r="H14" s="2554">
        <f t="shared" si="3"/>
        <v>19.059999999999999</v>
      </c>
      <c r="I14" s="2554"/>
      <c r="J14" s="2554">
        <f t="shared" si="3"/>
        <v>2381.2199999999998</v>
      </c>
      <c r="K14" s="2554">
        <f t="shared" si="3"/>
        <v>3571.83</v>
      </c>
      <c r="L14" s="2554">
        <f t="shared" ref="L14:M14" si="4">L13+L8</f>
        <v>6070.34</v>
      </c>
      <c r="M14" s="2554">
        <f t="shared" si="4"/>
        <v>525.82000000000005</v>
      </c>
      <c r="N14" s="2554"/>
      <c r="O14" s="2554">
        <f t="shared" ref="O14:R14" si="5">O13+O8</f>
        <v>262.89999999999998</v>
      </c>
      <c r="P14" s="2554">
        <f t="shared" si="5"/>
        <v>394.36</v>
      </c>
      <c r="Q14" s="2554">
        <f t="shared" si="5"/>
        <v>467.42</v>
      </c>
      <c r="R14" s="2554">
        <f t="shared" si="5"/>
        <v>525.82000000000005</v>
      </c>
      <c r="S14" s="2554"/>
      <c r="T14" s="394"/>
      <c r="U14" s="394"/>
      <c r="V14" s="394"/>
      <c r="W14" s="394"/>
      <c r="X14" s="394"/>
      <c r="Y14" s="3921">
        <f t="shared" ref="Y14:Z14" si="6">Y13+Y8</f>
        <v>233.70758000000001</v>
      </c>
      <c r="Z14" s="3921">
        <f t="shared" si="6"/>
        <v>350.56137000000001</v>
      </c>
      <c r="AA14" s="2554">
        <f>SUM(AA10:AA13)</f>
        <v>1112.1341</v>
      </c>
      <c r="AB14" s="2420">
        <f>SUM(AB10:AB13)</f>
        <v>1112.1341</v>
      </c>
      <c r="AC14" s="2420"/>
      <c r="AD14" s="2554">
        <f t="shared" ref="AD14:AE14" si="7">SUM(AD10:AD13)</f>
        <v>1112.1341</v>
      </c>
      <c r="AE14" s="2554">
        <f t="shared" si="7"/>
        <v>1112.1341</v>
      </c>
    </row>
    <row r="15" spans="1:31" x14ac:dyDescent="0.2">
      <c r="A15" s="2553" t="s">
        <v>1760</v>
      </c>
      <c r="B15" s="2553">
        <f>B16+B17</f>
        <v>3061.4900000000002</v>
      </c>
      <c r="C15" s="2554">
        <f>C10+C13</f>
        <v>99.182369999999992</v>
      </c>
      <c r="D15" s="2553"/>
      <c r="E15" s="2553">
        <f>E16+E17</f>
        <v>3253</v>
      </c>
      <c r="F15" s="2553"/>
      <c r="G15" s="2553"/>
      <c r="H15" s="2553"/>
      <c r="I15" s="2553"/>
      <c r="J15" s="2553"/>
      <c r="K15" s="2553"/>
      <c r="L15" s="2553"/>
      <c r="M15" s="2553"/>
      <c r="N15" s="2553"/>
      <c r="O15" s="2553"/>
      <c r="P15" s="2553"/>
      <c r="Q15" s="2553"/>
      <c r="R15" s="2553"/>
      <c r="S15" s="2553"/>
      <c r="T15" s="394"/>
      <c r="U15" s="394"/>
      <c r="V15" s="394"/>
      <c r="W15" s="394"/>
      <c r="X15" s="394"/>
      <c r="Y15" s="3637"/>
      <c r="Z15" s="3637"/>
      <c r="AA15" s="2553"/>
      <c r="AB15" s="2437">
        <f t="shared" si="2"/>
        <v>0</v>
      </c>
      <c r="AC15" s="2436"/>
      <c r="AD15" s="2553"/>
      <c r="AE15" s="2553"/>
    </row>
    <row r="16" spans="1:31" x14ac:dyDescent="0.2">
      <c r="A16" s="2553" t="s">
        <v>47</v>
      </c>
      <c r="B16" s="2553">
        <f>'объемы ВС и ВО 2023'!Y63</f>
        <v>3040.84</v>
      </c>
      <c r="C16" s="2554">
        <f>B16/B15*C15</f>
        <v>98.513376816778745</v>
      </c>
      <c r="D16" s="2553"/>
      <c r="E16" s="2553">
        <v>3230</v>
      </c>
      <c r="F16" s="2614">
        <f>E16/E15*F14</f>
        <v>151.65444009198532</v>
      </c>
      <c r="G16" s="2614">
        <v>18.329999999999998</v>
      </c>
      <c r="H16" s="2614">
        <f>SUM(H14)</f>
        <v>19.059999999999999</v>
      </c>
      <c r="I16" s="2614">
        <f>2.71*1.047*1.03</f>
        <v>2.9224911000000002</v>
      </c>
      <c r="J16" s="2614">
        <v>17.12</v>
      </c>
      <c r="K16" s="2614">
        <v>25.67</v>
      </c>
      <c r="L16" s="2614">
        <f>SUM(L10)</f>
        <v>525.82000000000005</v>
      </c>
      <c r="M16" s="2614">
        <f>SUM(M14)</f>
        <v>525.82000000000005</v>
      </c>
      <c r="N16" s="2614">
        <f>SUM(НАЛОГИ!Y27)</f>
        <v>525.82000000000005</v>
      </c>
      <c r="O16" s="2614">
        <v>262.89999999999998</v>
      </c>
      <c r="P16" s="2614">
        <v>394.36</v>
      </c>
      <c r="Q16" s="2614">
        <f>SUM(Q10)</f>
        <v>467.42</v>
      </c>
      <c r="R16" s="2614">
        <f>SUM(R14)</f>
        <v>525.82000000000005</v>
      </c>
      <c r="S16" s="2614">
        <f>SUM(НАЛОГИ!AD27)</f>
        <v>467.42099999999999</v>
      </c>
      <c r="T16" s="394"/>
      <c r="U16" s="394"/>
      <c r="V16" s="394"/>
      <c r="W16" s="394"/>
      <c r="X16" s="394"/>
      <c r="Y16" s="3920">
        <v>233.70758000000001</v>
      </c>
      <c r="Z16" s="3920">
        <v>350.56137000000001</v>
      </c>
      <c r="AA16" s="2614">
        <f>SUM(AA14)</f>
        <v>1112.1341</v>
      </c>
      <c r="AB16" s="2437">
        <f>SUM(AB14)</f>
        <v>1112.1341</v>
      </c>
      <c r="AC16" s="2437">
        <f>SUM(AB16)</f>
        <v>1112.1341</v>
      </c>
      <c r="AD16" s="2614">
        <f t="shared" ref="AD16:AE16" si="8">SUM(AD14)</f>
        <v>1112.1341</v>
      </c>
      <c r="AE16" s="2614">
        <f t="shared" si="8"/>
        <v>1112.1341</v>
      </c>
    </row>
    <row r="17" spans="1:31" x14ac:dyDescent="0.2">
      <c r="A17" s="2553" t="s">
        <v>147</v>
      </c>
      <c r="B17" s="2553">
        <f>'объемы ВС и ВО 2023'!Z63</f>
        <v>20.65</v>
      </c>
      <c r="C17" s="2554">
        <f>C15-C16</f>
        <v>0.66899318322124657</v>
      </c>
      <c r="D17" s="2553"/>
      <c r="E17" s="2553">
        <v>23</v>
      </c>
      <c r="F17" s="2554">
        <f>F14-F16</f>
        <v>1.0798922978686107</v>
      </c>
      <c r="G17" s="2554">
        <v>0.11</v>
      </c>
      <c r="H17" s="2614">
        <f>SUM(G17)</f>
        <v>0.11</v>
      </c>
      <c r="I17" s="2614">
        <f>SUM(H17)</f>
        <v>0.11</v>
      </c>
      <c r="J17" s="2614">
        <v>0</v>
      </c>
      <c r="K17" s="2554">
        <v>0</v>
      </c>
      <c r="L17" s="2554">
        <v>0</v>
      </c>
      <c r="M17" s="2614">
        <f>SUM(L17)</f>
        <v>0</v>
      </c>
      <c r="N17" s="2614"/>
      <c r="O17" s="2614">
        <v>0</v>
      </c>
      <c r="P17" s="2554">
        <v>0</v>
      </c>
      <c r="Q17" s="2554">
        <v>0</v>
      </c>
      <c r="R17" s="2614">
        <f>SUM(Q17)</f>
        <v>0</v>
      </c>
      <c r="S17" s="2614"/>
      <c r="T17" s="394"/>
      <c r="U17" s="394"/>
      <c r="V17" s="394"/>
      <c r="W17" s="394"/>
      <c r="X17" s="394"/>
      <c r="Y17" s="3920">
        <v>0</v>
      </c>
      <c r="Z17" s="3921">
        <v>0</v>
      </c>
      <c r="AA17" s="2554">
        <v>0</v>
      </c>
      <c r="AB17" s="2437">
        <f t="shared" si="2"/>
        <v>0</v>
      </c>
      <c r="AC17" s="2437"/>
      <c r="AD17" s="2554">
        <v>0</v>
      </c>
      <c r="AE17" s="2554">
        <v>0</v>
      </c>
    </row>
    <row r="19" spans="1:31" hidden="1" x14ac:dyDescent="0.2">
      <c r="A19" s="2036" t="s">
        <v>1757</v>
      </c>
      <c r="C19" s="5"/>
    </row>
    <row r="20" spans="1:31" s="2041" customFormat="1" ht="12.75" hidden="1" customHeight="1" x14ac:dyDescent="0.2">
      <c r="A20" s="6442" t="s">
        <v>1758</v>
      </c>
      <c r="B20" s="2039" t="s">
        <v>1776</v>
      </c>
      <c r="C20" s="2040"/>
      <c r="D20" s="6442" t="s">
        <v>1778</v>
      </c>
      <c r="E20" s="6443" t="s">
        <v>50</v>
      </c>
      <c r="F20" s="6443"/>
      <c r="G20" s="6443"/>
      <c r="H20" s="2461"/>
      <c r="I20" s="2669"/>
      <c r="J20" s="2544"/>
      <c r="K20" s="2544"/>
      <c r="L20" s="2544"/>
      <c r="M20" s="2461"/>
      <c r="N20" s="3231"/>
      <c r="O20" s="3231"/>
      <c r="P20" s="3231"/>
      <c r="Q20" s="3231"/>
      <c r="R20" s="6444" t="s">
        <v>1780</v>
      </c>
      <c r="S20" s="6445" t="s">
        <v>1781</v>
      </c>
      <c r="T20" s="6446"/>
      <c r="U20" s="6447"/>
      <c r="V20" s="6450" t="s">
        <v>1782</v>
      </c>
      <c r="W20" s="6448" t="s">
        <v>1783</v>
      </c>
      <c r="X20" s="6445" t="s">
        <v>1784</v>
      </c>
      <c r="Y20" s="6446"/>
      <c r="Z20" s="6447"/>
    </row>
    <row r="21" spans="1:31" s="2041" customFormat="1" ht="12.75" hidden="1" customHeight="1" x14ac:dyDescent="0.2">
      <c r="A21" s="6442"/>
      <c r="B21" s="2039" t="s">
        <v>724</v>
      </c>
      <c r="C21" s="2040" t="s">
        <v>1777</v>
      </c>
      <c r="D21" s="6442"/>
      <c r="E21" s="2039" t="s">
        <v>724</v>
      </c>
      <c r="F21" s="2039" t="s">
        <v>1777</v>
      </c>
      <c r="G21" s="2039" t="s">
        <v>1779</v>
      </c>
      <c r="H21" s="2039"/>
      <c r="I21" s="2039"/>
      <c r="J21" s="2039"/>
      <c r="K21" s="2039"/>
      <c r="L21" s="2039"/>
      <c r="M21" s="2039"/>
      <c r="N21" s="2039"/>
      <c r="O21" s="2039"/>
      <c r="P21" s="2039"/>
      <c r="Q21" s="2039"/>
      <c r="R21" s="6444"/>
      <c r="S21" s="2039" t="s">
        <v>724</v>
      </c>
      <c r="T21" s="2039" t="s">
        <v>1777</v>
      </c>
      <c r="U21" s="2039" t="s">
        <v>1779</v>
      </c>
      <c r="V21" s="6451"/>
      <c r="W21" s="6449"/>
      <c r="X21" s="2043" t="s">
        <v>724</v>
      </c>
      <c r="Y21" s="2043" t="s">
        <v>1777</v>
      </c>
      <c r="Z21" s="2043" t="s">
        <v>1779</v>
      </c>
    </row>
    <row r="22" spans="1:31" hidden="1" x14ac:dyDescent="0.2">
      <c r="A22" s="2042" t="s">
        <v>1761</v>
      </c>
      <c r="B22" s="2037">
        <v>5.0616387999999998E-2</v>
      </c>
      <c r="C22" s="2038">
        <f>B22</f>
        <v>5.0616387999999998E-2</v>
      </c>
      <c r="D22" s="2037">
        <v>3.7999999999999999E-2</v>
      </c>
      <c r="E22" s="2037">
        <v>9.4480899999999993E-3</v>
      </c>
      <c r="F22" s="2037">
        <v>0</v>
      </c>
      <c r="G22" s="2037">
        <v>2.8551913000000002E-2</v>
      </c>
      <c r="H22" s="2037"/>
      <c r="I22" s="2037"/>
      <c r="J22" s="2037"/>
      <c r="K22" s="2037"/>
      <c r="L22" s="2037"/>
      <c r="M22" s="2037"/>
      <c r="N22" s="2037"/>
      <c r="O22" s="2037"/>
      <c r="P22" s="2037"/>
      <c r="Q22" s="2037"/>
      <c r="R22" s="2039">
        <v>29751.8</v>
      </c>
      <c r="S22" s="2037">
        <v>1</v>
      </c>
      <c r="T22" s="2037">
        <v>5</v>
      </c>
      <c r="U22" s="2037">
        <v>25</v>
      </c>
      <c r="V22" s="2037">
        <v>1</v>
      </c>
      <c r="W22" s="2037">
        <v>1</v>
      </c>
      <c r="X22" s="2039">
        <f t="shared" ref="X22:X37" si="9">E22*R22*S22*V22*W22</f>
        <v>281.09768406199998</v>
      </c>
      <c r="Y22" s="2039">
        <f t="shared" ref="Y22:Y37" si="10">F22*T22*V22*W22</f>
        <v>0</v>
      </c>
      <c r="Z22" s="2039">
        <v>0</v>
      </c>
    </row>
    <row r="23" spans="1:31" hidden="1" x14ac:dyDescent="0.2">
      <c r="A23" s="2039" t="s">
        <v>1762</v>
      </c>
      <c r="B23" s="2037">
        <v>2.252429265</v>
      </c>
      <c r="C23" s="2038">
        <f>B23</f>
        <v>2.252429265</v>
      </c>
      <c r="D23" s="2037">
        <v>2.3239999999999998</v>
      </c>
      <c r="E23" s="2037">
        <v>0.57782513999999996</v>
      </c>
      <c r="F23" s="2037">
        <v>0</v>
      </c>
      <c r="G23" s="2037">
        <v>1.746174863</v>
      </c>
      <c r="H23" s="2037"/>
      <c r="I23" s="2037"/>
      <c r="J23" s="2037"/>
      <c r="K23" s="2037"/>
      <c r="L23" s="2037"/>
      <c r="M23" s="2037"/>
      <c r="N23" s="2037"/>
      <c r="O23" s="2037"/>
      <c r="P23" s="2037"/>
      <c r="Q23" s="2037"/>
      <c r="R23" s="2039">
        <v>5950.8</v>
      </c>
      <c r="S23" s="2037">
        <v>1</v>
      </c>
      <c r="T23" s="2037">
        <v>5</v>
      </c>
      <c r="U23" s="2037">
        <v>25</v>
      </c>
      <c r="V23" s="2037">
        <v>1</v>
      </c>
      <c r="W23" s="2037">
        <v>1</v>
      </c>
      <c r="X23" s="2039">
        <f t="shared" si="9"/>
        <v>3438.5218431119997</v>
      </c>
      <c r="Y23" s="2039">
        <f t="shared" si="10"/>
        <v>0</v>
      </c>
      <c r="Z23" s="2039">
        <v>0</v>
      </c>
    </row>
    <row r="24" spans="1:31" hidden="1" x14ac:dyDescent="0.2">
      <c r="A24" s="2039" t="s">
        <v>1763</v>
      </c>
      <c r="B24" s="2037">
        <v>9.1615662239999995</v>
      </c>
      <c r="C24" s="2038">
        <f t="shared" ref="C24:C37" si="11">B24</f>
        <v>9.1615662239999995</v>
      </c>
      <c r="D24" s="2037">
        <v>29.445</v>
      </c>
      <c r="E24" s="2037">
        <v>7.3210245900000004</v>
      </c>
      <c r="F24" s="2037">
        <v>0</v>
      </c>
      <c r="G24" s="2037">
        <v>22.12397541</v>
      </c>
      <c r="H24" s="2037"/>
      <c r="I24" s="2037"/>
      <c r="J24" s="2037"/>
      <c r="K24" s="2037"/>
      <c r="L24" s="2037"/>
      <c r="M24" s="2037"/>
      <c r="N24" s="2037"/>
      <c r="O24" s="2037"/>
      <c r="P24" s="2037"/>
      <c r="Q24" s="2037"/>
      <c r="R24" s="2039">
        <v>243</v>
      </c>
      <c r="S24" s="2037">
        <v>1</v>
      </c>
      <c r="T24" s="2037">
        <v>5</v>
      </c>
      <c r="U24" s="2037">
        <v>25</v>
      </c>
      <c r="V24" s="2037">
        <v>1</v>
      </c>
      <c r="W24" s="2037">
        <v>1</v>
      </c>
      <c r="X24" s="2039">
        <f t="shared" si="9"/>
        <v>1779.0089753700001</v>
      </c>
      <c r="Y24" s="2039">
        <f t="shared" si="10"/>
        <v>0</v>
      </c>
      <c r="Z24" s="2039">
        <v>0</v>
      </c>
    </row>
    <row r="25" spans="1:31" hidden="1" x14ac:dyDescent="0.2">
      <c r="A25" s="2039" t="s">
        <v>1764</v>
      </c>
      <c r="B25" s="2037">
        <v>1.2654096990000001</v>
      </c>
      <c r="C25" s="2038">
        <f t="shared" si="11"/>
        <v>1.2654096990000001</v>
      </c>
      <c r="D25" s="2037">
        <v>11.446</v>
      </c>
      <c r="E25" s="2037">
        <v>1.2654097</v>
      </c>
      <c r="F25" s="2037">
        <v>0</v>
      </c>
      <c r="G25" s="2037">
        <v>10.1805903</v>
      </c>
      <c r="H25" s="2037"/>
      <c r="I25" s="2037"/>
      <c r="J25" s="2037"/>
      <c r="K25" s="2037"/>
      <c r="L25" s="2037"/>
      <c r="M25" s="2037"/>
      <c r="N25" s="2037"/>
      <c r="O25" s="2037"/>
      <c r="P25" s="2037"/>
      <c r="Q25" s="2037"/>
      <c r="R25" s="2039">
        <v>1190.2</v>
      </c>
      <c r="S25" s="2037">
        <v>1</v>
      </c>
      <c r="T25" s="2037">
        <v>5</v>
      </c>
      <c r="U25" s="2037">
        <v>25</v>
      </c>
      <c r="V25" s="2037">
        <v>1</v>
      </c>
      <c r="W25" s="2037">
        <v>1</v>
      </c>
      <c r="X25" s="2039">
        <f t="shared" si="9"/>
        <v>1506.09062494</v>
      </c>
      <c r="Y25" s="2039">
        <f t="shared" si="10"/>
        <v>0</v>
      </c>
      <c r="Z25" s="2039">
        <v>0</v>
      </c>
    </row>
    <row r="26" spans="1:31" hidden="1" x14ac:dyDescent="0.2">
      <c r="A26" s="2039" t="s">
        <v>1759</v>
      </c>
      <c r="B26" s="2037">
        <v>20.853951850000001</v>
      </c>
      <c r="C26" s="2038">
        <f t="shared" si="11"/>
        <v>20.853951850000001</v>
      </c>
      <c r="D26" s="2037">
        <v>40.332999999999998</v>
      </c>
      <c r="E26" s="2037">
        <v>10.0281503</v>
      </c>
      <c r="F26" s="2037">
        <v>0</v>
      </c>
      <c r="G26" s="2037">
        <v>30.304849730000001</v>
      </c>
      <c r="H26" s="2037"/>
      <c r="I26" s="2037"/>
      <c r="J26" s="2037"/>
      <c r="K26" s="2037"/>
      <c r="L26" s="2037"/>
      <c r="M26" s="2037"/>
      <c r="N26" s="2037"/>
      <c r="O26" s="2037"/>
      <c r="P26" s="2037"/>
      <c r="Q26" s="2037"/>
      <c r="R26" s="2039">
        <v>977.2</v>
      </c>
      <c r="S26" s="2037">
        <v>1</v>
      </c>
      <c r="T26" s="2037">
        <v>5</v>
      </c>
      <c r="U26" s="2037">
        <v>25</v>
      </c>
      <c r="V26" s="2037">
        <v>0.1213592</v>
      </c>
      <c r="W26" s="2037">
        <v>1</v>
      </c>
      <c r="X26" s="2039">
        <f t="shared" si="9"/>
        <v>1189.260508695919</v>
      </c>
      <c r="Y26" s="2039">
        <f t="shared" si="10"/>
        <v>0</v>
      </c>
      <c r="Z26" s="2039">
        <v>0</v>
      </c>
    </row>
    <row r="27" spans="1:31" hidden="1" x14ac:dyDescent="0.2">
      <c r="A27" s="2039" t="s">
        <v>1765</v>
      </c>
      <c r="B27" s="2037">
        <v>0.15184916400000001</v>
      </c>
      <c r="C27" s="2038">
        <f t="shared" si="11"/>
        <v>0.15184916400000001</v>
      </c>
      <c r="D27" s="2037">
        <v>0.13100000000000001</v>
      </c>
      <c r="E27" s="2037">
        <v>3.2571040000000002E-2</v>
      </c>
      <c r="F27" s="2037">
        <v>0</v>
      </c>
      <c r="G27" s="2037">
        <v>0.98428961999999998</v>
      </c>
      <c r="H27" s="2037"/>
      <c r="I27" s="2037"/>
      <c r="J27" s="2037"/>
      <c r="K27" s="2037"/>
      <c r="L27" s="2037"/>
      <c r="M27" s="2037"/>
      <c r="N27" s="2037"/>
      <c r="O27" s="2037"/>
      <c r="P27" s="2037"/>
      <c r="Q27" s="2037"/>
      <c r="R27" s="2039">
        <v>73553.2</v>
      </c>
      <c r="S27" s="2037">
        <v>1</v>
      </c>
      <c r="T27" s="2037">
        <v>5</v>
      </c>
      <c r="U27" s="2037">
        <v>25</v>
      </c>
      <c r="V27" s="2037">
        <v>1</v>
      </c>
      <c r="W27" s="2037">
        <v>1</v>
      </c>
      <c r="X27" s="2039">
        <f t="shared" si="9"/>
        <v>2395.7042193279999</v>
      </c>
      <c r="Y27" s="2039">
        <f t="shared" si="10"/>
        <v>0</v>
      </c>
      <c r="Z27" s="2039">
        <v>0</v>
      </c>
    </row>
    <row r="28" spans="1:31" hidden="1" x14ac:dyDescent="0.2">
      <c r="A28" s="2039" t="s">
        <v>1766</v>
      </c>
      <c r="B28" s="2037">
        <v>7.5925330000000003E-3</v>
      </c>
      <c r="C28" s="2038">
        <f t="shared" si="11"/>
        <v>7.5925330000000003E-3</v>
      </c>
      <c r="D28" s="2037">
        <v>0</v>
      </c>
      <c r="E28" s="2037">
        <v>0</v>
      </c>
      <c r="F28" s="2037">
        <v>0</v>
      </c>
      <c r="G28" s="2037">
        <v>0</v>
      </c>
      <c r="H28" s="2037"/>
      <c r="I28" s="2037"/>
      <c r="J28" s="2037"/>
      <c r="K28" s="2037"/>
      <c r="L28" s="2037"/>
      <c r="M28" s="2037"/>
      <c r="N28" s="2037"/>
      <c r="O28" s="2037"/>
      <c r="P28" s="2037"/>
      <c r="Q28" s="2037"/>
      <c r="R28" s="2039">
        <v>73534.3</v>
      </c>
      <c r="S28" s="2037">
        <v>1</v>
      </c>
      <c r="T28" s="2037">
        <v>5</v>
      </c>
      <c r="U28" s="2037">
        <v>25</v>
      </c>
      <c r="V28" s="2037">
        <v>1</v>
      </c>
      <c r="W28" s="2037">
        <v>1</v>
      </c>
      <c r="X28" s="2039">
        <f t="shared" si="9"/>
        <v>0</v>
      </c>
      <c r="Y28" s="2039">
        <f t="shared" si="10"/>
        <v>0</v>
      </c>
      <c r="Z28" s="2039">
        <v>0</v>
      </c>
    </row>
    <row r="29" spans="1:31" hidden="1" x14ac:dyDescent="0.2">
      <c r="A29" s="2039" t="s">
        <v>1767</v>
      </c>
      <c r="B29" s="2037">
        <v>253.08193990000001</v>
      </c>
      <c r="C29" s="2038">
        <f t="shared" si="11"/>
        <v>253.08193990000001</v>
      </c>
      <c r="D29" s="2037">
        <v>265.32900000000001</v>
      </c>
      <c r="E29" s="2037">
        <v>65.969778700000006</v>
      </c>
      <c r="F29" s="2037">
        <v>0</v>
      </c>
      <c r="G29" s="2037">
        <v>199.3592213</v>
      </c>
      <c r="H29" s="2037"/>
      <c r="I29" s="2037"/>
      <c r="J29" s="2037"/>
      <c r="K29" s="2037"/>
      <c r="L29" s="2037"/>
      <c r="M29" s="2037"/>
      <c r="N29" s="2037"/>
      <c r="O29" s="2037"/>
      <c r="P29" s="2037"/>
      <c r="Q29" s="2037"/>
      <c r="R29" s="2039">
        <v>2.4</v>
      </c>
      <c r="S29" s="2037">
        <v>1</v>
      </c>
      <c r="T29" s="2037">
        <v>5</v>
      </c>
      <c r="U29" s="2037">
        <v>25</v>
      </c>
      <c r="V29" s="2037">
        <v>1</v>
      </c>
      <c r="W29" s="2037">
        <v>1</v>
      </c>
      <c r="X29" s="2039">
        <f t="shared" si="9"/>
        <v>158.32746888</v>
      </c>
      <c r="Y29" s="2039">
        <f t="shared" si="10"/>
        <v>0</v>
      </c>
      <c r="Z29" s="2039">
        <v>0</v>
      </c>
    </row>
    <row r="30" spans="1:31" hidden="1" x14ac:dyDescent="0.2">
      <c r="A30" s="2039" t="s">
        <v>1768</v>
      </c>
      <c r="B30" s="2037">
        <v>101.232776</v>
      </c>
      <c r="C30" s="2038">
        <f t="shared" si="11"/>
        <v>101.232776</v>
      </c>
      <c r="D30" s="2037">
        <v>224.11099999999999</v>
      </c>
      <c r="E30" s="2037">
        <v>55.721587399999997</v>
      </c>
      <c r="F30" s="2037">
        <v>0</v>
      </c>
      <c r="G30" s="2037">
        <v>168.38941260000001</v>
      </c>
      <c r="H30" s="2037"/>
      <c r="I30" s="2037"/>
      <c r="J30" s="2037"/>
      <c r="K30" s="2037"/>
      <c r="L30" s="2037"/>
      <c r="M30" s="2037"/>
      <c r="N30" s="2037"/>
      <c r="O30" s="2037"/>
      <c r="P30" s="2037"/>
      <c r="Q30" s="2037"/>
      <c r="R30" s="2039">
        <v>14.9</v>
      </c>
      <c r="S30" s="2037">
        <v>1</v>
      </c>
      <c r="T30" s="2037">
        <v>5</v>
      </c>
      <c r="U30" s="2037">
        <v>25</v>
      </c>
      <c r="V30" s="2037">
        <v>1</v>
      </c>
      <c r="W30" s="2037">
        <v>1</v>
      </c>
      <c r="X30" s="2039">
        <f t="shared" si="9"/>
        <v>830.25165226000001</v>
      </c>
      <c r="Y30" s="2039">
        <f t="shared" si="10"/>
        <v>0</v>
      </c>
      <c r="Z30" s="2039">
        <v>0</v>
      </c>
    </row>
    <row r="31" spans="1:31" hidden="1" x14ac:dyDescent="0.2">
      <c r="A31" s="2039" t="s">
        <v>1769</v>
      </c>
      <c r="B31" s="2037">
        <v>0.12654097</v>
      </c>
      <c r="C31" s="2038">
        <f t="shared" si="11"/>
        <v>0.12654097</v>
      </c>
      <c r="D31" s="2037">
        <v>0.93500000000000005</v>
      </c>
      <c r="E31" s="2037">
        <v>0.12654097</v>
      </c>
      <c r="F31" s="2037">
        <v>0</v>
      </c>
      <c r="G31" s="2037">
        <v>0.80845902999999997</v>
      </c>
      <c r="H31" s="2037"/>
      <c r="I31" s="2037"/>
      <c r="J31" s="2037"/>
      <c r="K31" s="2037"/>
      <c r="L31" s="2037"/>
      <c r="M31" s="2037"/>
      <c r="N31" s="2037"/>
      <c r="O31" s="2037"/>
      <c r="P31" s="2037"/>
      <c r="Q31" s="2037"/>
      <c r="R31" s="2039">
        <v>14711.7</v>
      </c>
      <c r="S31" s="2037">
        <v>1</v>
      </c>
      <c r="T31" s="2037">
        <v>5</v>
      </c>
      <c r="U31" s="2037">
        <v>25</v>
      </c>
      <c r="V31" s="2037">
        <v>1</v>
      </c>
      <c r="W31" s="2037">
        <v>1</v>
      </c>
      <c r="X31" s="2039">
        <f t="shared" si="9"/>
        <v>1861.6327883490001</v>
      </c>
      <c r="Y31" s="2039">
        <f t="shared" si="10"/>
        <v>0</v>
      </c>
      <c r="Z31" s="2039">
        <v>0</v>
      </c>
    </row>
    <row r="32" spans="1:31" hidden="1" x14ac:dyDescent="0.2">
      <c r="A32" s="2039" t="s">
        <v>1770</v>
      </c>
      <c r="B32" s="2037">
        <v>1265.409699</v>
      </c>
      <c r="C32" s="2038">
        <f t="shared" si="11"/>
        <v>1265.409699</v>
      </c>
      <c r="D32" s="2037">
        <v>2111.107</v>
      </c>
      <c r="E32" s="2037">
        <v>524.89272400000004</v>
      </c>
      <c r="F32" s="2037">
        <v>0</v>
      </c>
      <c r="G32" s="2037">
        <v>1586.2142759999999</v>
      </c>
      <c r="H32" s="2037"/>
      <c r="I32" s="2037"/>
      <c r="J32" s="2037"/>
      <c r="K32" s="2037"/>
      <c r="L32" s="2037"/>
      <c r="M32" s="2037"/>
      <c r="N32" s="2037"/>
      <c r="O32" s="2037"/>
      <c r="P32" s="2037"/>
      <c r="Q32" s="2037"/>
      <c r="R32" s="2039">
        <v>0.5</v>
      </c>
      <c r="S32" s="2037">
        <v>1</v>
      </c>
      <c r="T32" s="2037">
        <v>5</v>
      </c>
      <c r="U32" s="2037">
        <v>25</v>
      </c>
      <c r="V32" s="2037">
        <v>1</v>
      </c>
      <c r="W32" s="2037">
        <v>1</v>
      </c>
      <c r="X32" s="2039">
        <f t="shared" si="9"/>
        <v>262.44636200000002</v>
      </c>
      <c r="Y32" s="2039">
        <f t="shared" si="10"/>
        <v>0</v>
      </c>
      <c r="Z32" s="2039">
        <v>0</v>
      </c>
    </row>
    <row r="33" spans="1:26" hidden="1" x14ac:dyDescent="0.2">
      <c r="A33" s="2039" t="s">
        <v>1771</v>
      </c>
      <c r="B33" s="2037">
        <v>0.50616388000000001</v>
      </c>
      <c r="C33" s="2038">
        <f t="shared" si="11"/>
        <v>0.50616388000000001</v>
      </c>
      <c r="D33" s="2037">
        <v>4.452</v>
      </c>
      <c r="E33" s="2037">
        <v>0.50616388000000001</v>
      </c>
      <c r="F33" s="2037">
        <v>0</v>
      </c>
      <c r="G33" s="2037">
        <v>3.9458361200000001</v>
      </c>
      <c r="H33" s="2037"/>
      <c r="I33" s="2037"/>
      <c r="J33" s="2037"/>
      <c r="K33" s="2037"/>
      <c r="L33" s="2037"/>
      <c r="M33" s="2037"/>
      <c r="N33" s="2037"/>
      <c r="O33" s="2037"/>
      <c r="P33" s="2037"/>
      <c r="Q33" s="2037"/>
      <c r="R33" s="2039">
        <v>3679.3</v>
      </c>
      <c r="S33" s="2037">
        <v>1</v>
      </c>
      <c r="T33" s="2037">
        <v>5</v>
      </c>
      <c r="U33" s="2037">
        <v>25</v>
      </c>
      <c r="V33" s="2037">
        <v>1</v>
      </c>
      <c r="W33" s="2037">
        <v>1</v>
      </c>
      <c r="X33" s="2039">
        <f t="shared" si="9"/>
        <v>1862.328763684</v>
      </c>
      <c r="Y33" s="2039">
        <f t="shared" si="10"/>
        <v>0</v>
      </c>
      <c r="Z33" s="2039">
        <v>0</v>
      </c>
    </row>
    <row r="34" spans="1:26" hidden="1" x14ac:dyDescent="0.2">
      <c r="A34" s="2039" t="s">
        <v>1772</v>
      </c>
      <c r="B34" s="2037">
        <v>2.5308193999999999E-2</v>
      </c>
      <c r="C34" s="2038">
        <f t="shared" si="11"/>
        <v>2.5308193999999999E-2</v>
      </c>
      <c r="D34" s="2037">
        <v>0</v>
      </c>
      <c r="E34" s="2037">
        <v>0</v>
      </c>
      <c r="F34" s="2037">
        <v>0</v>
      </c>
      <c r="G34" s="2037">
        <v>0</v>
      </c>
      <c r="H34" s="2037"/>
      <c r="I34" s="2037"/>
      <c r="J34" s="2037"/>
      <c r="K34" s="2037"/>
      <c r="L34" s="2037"/>
      <c r="M34" s="2037"/>
      <c r="N34" s="2037"/>
      <c r="O34" s="2037"/>
      <c r="P34" s="2037"/>
      <c r="Q34" s="2037"/>
      <c r="R34" s="2039">
        <v>73553.2</v>
      </c>
      <c r="S34" s="2037">
        <v>1</v>
      </c>
      <c r="T34" s="2037">
        <v>5</v>
      </c>
      <c r="U34" s="2037">
        <v>25</v>
      </c>
      <c r="V34" s="2037">
        <v>1</v>
      </c>
      <c r="W34" s="2037">
        <v>1</v>
      </c>
      <c r="X34" s="2039">
        <f t="shared" si="9"/>
        <v>0</v>
      </c>
      <c r="Y34" s="2039">
        <f t="shared" si="10"/>
        <v>0</v>
      </c>
      <c r="Z34" s="2039">
        <v>0</v>
      </c>
    </row>
    <row r="35" spans="1:26" hidden="1" x14ac:dyDescent="0.2">
      <c r="A35" s="2039" t="s">
        <v>1773</v>
      </c>
      <c r="B35" s="2037">
        <v>0.20246555199999999</v>
      </c>
      <c r="C35" s="2038">
        <f t="shared" si="11"/>
        <v>0.20246555199999999</v>
      </c>
      <c r="D35" s="2037">
        <v>2.67</v>
      </c>
      <c r="E35" s="2037">
        <v>0.20246554999999999</v>
      </c>
      <c r="F35" s="2037">
        <v>0</v>
      </c>
      <c r="G35" s="2037">
        <v>2.4675344479999999</v>
      </c>
      <c r="H35" s="2037"/>
      <c r="I35" s="2037"/>
      <c r="J35" s="2037"/>
      <c r="K35" s="2037"/>
      <c r="L35" s="2037"/>
      <c r="M35" s="2037"/>
      <c r="N35" s="2037"/>
      <c r="O35" s="2037"/>
      <c r="P35" s="2037"/>
      <c r="Q35" s="2037"/>
      <c r="R35" s="2039">
        <v>7439</v>
      </c>
      <c r="S35" s="2037">
        <v>1</v>
      </c>
      <c r="T35" s="2037">
        <v>5</v>
      </c>
      <c r="U35" s="2037">
        <v>25</v>
      </c>
      <c r="V35" s="2037">
        <v>1</v>
      </c>
      <c r="W35" s="2037">
        <v>1</v>
      </c>
      <c r="X35" s="2039">
        <f t="shared" si="9"/>
        <v>1506.14122645</v>
      </c>
      <c r="Y35" s="2039">
        <f t="shared" si="10"/>
        <v>0</v>
      </c>
      <c r="Z35" s="2039">
        <v>0</v>
      </c>
    </row>
    <row r="36" spans="1:26" hidden="1" x14ac:dyDescent="0.2">
      <c r="A36" s="2039" t="s">
        <v>1774</v>
      </c>
      <c r="B36" s="2037">
        <v>253.08193990000001</v>
      </c>
      <c r="C36" s="2038">
        <f t="shared" si="11"/>
        <v>253.08193990000001</v>
      </c>
      <c r="D36" s="2037">
        <v>236.07400000000001</v>
      </c>
      <c r="E36" s="2037">
        <v>58.695994499999998</v>
      </c>
      <c r="F36" s="2037">
        <v>0</v>
      </c>
      <c r="G36" s="2037">
        <v>177.3780055</v>
      </c>
      <c r="H36" s="2037"/>
      <c r="I36" s="2037"/>
      <c r="J36" s="2037"/>
      <c r="K36" s="2037"/>
      <c r="L36" s="2037"/>
      <c r="M36" s="2037"/>
      <c r="N36" s="2037"/>
      <c r="O36" s="2037"/>
      <c r="P36" s="2037"/>
      <c r="Q36" s="2037"/>
      <c r="R36" s="2039">
        <v>6</v>
      </c>
      <c r="S36" s="2037">
        <v>1</v>
      </c>
      <c r="T36" s="2037">
        <v>5</v>
      </c>
      <c r="U36" s="2037">
        <v>25</v>
      </c>
      <c r="V36" s="2037">
        <v>1</v>
      </c>
      <c r="W36" s="2037">
        <v>1</v>
      </c>
      <c r="X36" s="2039">
        <f t="shared" si="9"/>
        <v>352.17596700000001</v>
      </c>
      <c r="Y36" s="2039">
        <f t="shared" si="10"/>
        <v>0</v>
      </c>
      <c r="Z36" s="2039">
        <v>0</v>
      </c>
    </row>
    <row r="37" spans="1:26" hidden="1" x14ac:dyDescent="0.2">
      <c r="A37" s="2039" t="s">
        <v>1775</v>
      </c>
      <c r="B37" s="2037">
        <v>1.2654096990000001</v>
      </c>
      <c r="C37" s="2038">
        <f t="shared" si="11"/>
        <v>1.2654096990000001</v>
      </c>
      <c r="D37" s="2037">
        <v>0.69099999999999995</v>
      </c>
      <c r="E37" s="2037">
        <v>0.17180601000000001</v>
      </c>
      <c r="F37" s="2037"/>
      <c r="G37" s="2037">
        <v>0.51919398900000002</v>
      </c>
      <c r="H37" s="2037"/>
      <c r="I37" s="2037"/>
      <c r="J37" s="2037"/>
      <c r="K37" s="2037"/>
      <c r="L37" s="2037"/>
      <c r="M37" s="2037"/>
      <c r="N37" s="2037"/>
      <c r="O37" s="2037"/>
      <c r="P37" s="2037"/>
      <c r="Q37" s="2037"/>
      <c r="R37" s="2039">
        <v>1192.3</v>
      </c>
      <c r="S37" s="2037">
        <v>1</v>
      </c>
      <c r="T37" s="2037">
        <v>5</v>
      </c>
      <c r="U37" s="2037">
        <v>25</v>
      </c>
      <c r="V37" s="2037">
        <v>1</v>
      </c>
      <c r="W37" s="2037">
        <v>1</v>
      </c>
      <c r="X37" s="2039">
        <f t="shared" si="9"/>
        <v>204.84430572299999</v>
      </c>
      <c r="Y37" s="2039">
        <f t="shared" si="10"/>
        <v>0</v>
      </c>
      <c r="Z37" s="2039">
        <v>0</v>
      </c>
    </row>
    <row r="38" spans="1:26" s="2041" customFormat="1" hidden="1" x14ac:dyDescent="0.2">
      <c r="A38" s="2039" t="s">
        <v>280</v>
      </c>
      <c r="B38" s="2039"/>
      <c r="C38" s="2040"/>
      <c r="D38" s="2039"/>
      <c r="E38" s="2039"/>
      <c r="F38" s="2039"/>
      <c r="G38" s="2039"/>
      <c r="H38" s="2039"/>
      <c r="I38" s="2039"/>
      <c r="J38" s="2039"/>
      <c r="K38" s="2039"/>
      <c r="L38" s="2039"/>
      <c r="M38" s="2039"/>
      <c r="N38" s="2039"/>
      <c r="O38" s="2039"/>
      <c r="P38" s="2039"/>
      <c r="Q38" s="2039"/>
      <c r="R38" s="2039"/>
      <c r="S38" s="2039"/>
      <c r="T38" s="2039"/>
      <c r="U38" s="2039"/>
      <c r="V38" s="2039"/>
      <c r="W38" s="2039"/>
      <c r="X38" s="2039">
        <f>SUM(X22:X37)</f>
        <v>17627.832389853917</v>
      </c>
      <c r="Y38" s="2039">
        <f t="shared" ref="Y38:Z38" si="12">SUM(Y22:Y37)</f>
        <v>0</v>
      </c>
      <c r="Z38" s="2039">
        <f t="shared" si="12"/>
        <v>0</v>
      </c>
    </row>
    <row r="39" spans="1:26" hidden="1" x14ac:dyDescent="0.2">
      <c r="X39" s="1650">
        <f>E13*1000</f>
        <v>135106.5</v>
      </c>
    </row>
    <row r="40" spans="1:26" hidden="1" x14ac:dyDescent="0.2">
      <c r="W40" s="5">
        <f>W41+W42</f>
        <v>3253</v>
      </c>
      <c r="X40" s="1650">
        <f>X38+X39</f>
        <v>152734.33238985392</v>
      </c>
    </row>
    <row r="41" spans="1:26" hidden="1" x14ac:dyDescent="0.2">
      <c r="W41" s="5">
        <v>3230</v>
      </c>
      <c r="X41" s="5">
        <f>W41/W40*X40</f>
        <v>151654.44009198531</v>
      </c>
    </row>
    <row r="42" spans="1:26" hidden="1" x14ac:dyDescent="0.2">
      <c r="W42" s="5">
        <v>23</v>
      </c>
      <c r="X42" s="1650">
        <f>X40-X41</f>
        <v>1079.8922978686169</v>
      </c>
    </row>
    <row r="45" spans="1:26" ht="20.25" x14ac:dyDescent="0.3">
      <c r="A45" s="2435" t="s">
        <v>3989</v>
      </c>
    </row>
  </sheetData>
  <mergeCells count="13">
    <mergeCell ref="A4:AE4"/>
    <mergeCell ref="A20:A21"/>
    <mergeCell ref="D20:D21"/>
    <mergeCell ref="E20:G20"/>
    <mergeCell ref="R20:R21"/>
    <mergeCell ref="S20:U20"/>
    <mergeCell ref="AB6:AC6"/>
    <mergeCell ref="H6:I6"/>
    <mergeCell ref="M6:N6"/>
    <mergeCell ref="W20:W21"/>
    <mergeCell ref="X20:Z20"/>
    <mergeCell ref="V20:V21"/>
    <mergeCell ref="R6:S6"/>
  </mergeCells>
  <printOptions horizontalCentered="1"/>
  <pageMargins left="0.51181102362204722" right="0.51181102362204722" top="1.1417322834645669" bottom="0.74803149606299213" header="0.31496062992125984" footer="0.31496062992125984"/>
  <pageSetup paperSize="9" scale="73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Лист69">
    <tabColor rgb="FFCC00FF"/>
    <pageSetUpPr fitToPage="1"/>
  </sheetPr>
  <dimension ref="A1:J118"/>
  <sheetViews>
    <sheetView topLeftCell="A58" workbookViewId="0">
      <selection activeCell="E125" sqref="E125"/>
    </sheetView>
  </sheetViews>
  <sheetFormatPr defaultRowHeight="12.75" x14ac:dyDescent="0.2"/>
  <cols>
    <col min="1" max="1" width="30" style="5" customWidth="1"/>
    <col min="2" max="4" width="10.7109375" style="5" customWidth="1"/>
    <col min="5" max="5" width="23" style="5" customWidth="1"/>
    <col min="6" max="6" width="25" style="5" customWidth="1"/>
    <col min="7" max="7" width="15.42578125" style="5" customWidth="1"/>
    <col min="8" max="8" width="16.42578125" style="5" customWidth="1"/>
    <col min="9" max="16384" width="9.140625" style="5"/>
  </cols>
  <sheetData>
    <row r="1" spans="1:7" hidden="1" x14ac:dyDescent="0.2">
      <c r="F1" s="5" t="s">
        <v>1666</v>
      </c>
    </row>
    <row r="2" spans="1:7" ht="18.75" hidden="1" x14ac:dyDescent="0.3">
      <c r="A2" s="5076" t="s">
        <v>1477</v>
      </c>
      <c r="B2" s="5076"/>
      <c r="C2" s="5076"/>
      <c r="D2" s="5076"/>
      <c r="E2" s="5076"/>
      <c r="F2" s="5076"/>
    </row>
    <row r="3" spans="1:7" ht="18.75" hidden="1" x14ac:dyDescent="0.3">
      <c r="A3" s="2694"/>
      <c r="B3" s="2694"/>
      <c r="C3" s="2694"/>
      <c r="D3" s="2694"/>
      <c r="E3" s="2694"/>
    </row>
    <row r="4" spans="1:7" ht="27.75" hidden="1" customHeight="1" x14ac:dyDescent="0.2">
      <c r="A4" s="6477"/>
      <c r="B4" s="6463" t="s">
        <v>1478</v>
      </c>
      <c r="C4" s="6464"/>
      <c r="D4" s="6465"/>
      <c r="E4" s="6466" t="s">
        <v>1480</v>
      </c>
      <c r="F4" s="6467" t="s">
        <v>1482</v>
      </c>
      <c r="G4" s="6476"/>
    </row>
    <row r="5" spans="1:7" ht="33.75" hidden="1" customHeight="1" x14ac:dyDescent="0.2">
      <c r="A5" s="6368"/>
      <c r="B5" s="2711" t="s">
        <v>972</v>
      </c>
      <c r="C5" s="2711" t="s">
        <v>973</v>
      </c>
      <c r="D5" s="2711" t="s">
        <v>54</v>
      </c>
      <c r="E5" s="6466"/>
      <c r="F5" s="6355"/>
      <c r="G5" s="6476"/>
    </row>
    <row r="6" spans="1:7" ht="18.75" hidden="1" x14ac:dyDescent="0.3">
      <c r="A6" s="6473" t="s">
        <v>964</v>
      </c>
      <c r="B6" s="6474"/>
      <c r="C6" s="6474"/>
      <c r="D6" s="6474"/>
      <c r="E6" s="6474"/>
      <c r="F6" s="6474"/>
      <c r="G6" s="6475"/>
    </row>
    <row r="7" spans="1:7" hidden="1" x14ac:dyDescent="0.2">
      <c r="A7" s="2712" t="s">
        <v>969</v>
      </c>
      <c r="B7" s="2713">
        <v>19.14</v>
      </c>
      <c r="C7" s="2713">
        <v>22.66</v>
      </c>
      <c r="D7" s="2713"/>
      <c r="E7" s="2712"/>
      <c r="F7" s="6472">
        <f>$E$48*D10/$D$48</f>
        <v>408.76453757043004</v>
      </c>
      <c r="G7" s="2712"/>
    </row>
    <row r="8" spans="1:7" hidden="1" x14ac:dyDescent="0.2">
      <c r="A8" s="2712" t="s">
        <v>970</v>
      </c>
      <c r="B8" s="2713">
        <f>2780.7/2</f>
        <v>1390.35</v>
      </c>
      <c r="C8" s="2713">
        <f>B8</f>
        <v>1390.35</v>
      </c>
      <c r="D8" s="2713">
        <f>C8+B8</f>
        <v>2780.7</v>
      </c>
      <c r="E8" s="2712"/>
      <c r="F8" s="6363"/>
      <c r="G8" s="2712"/>
    </row>
    <row r="9" spans="1:7" hidden="1" x14ac:dyDescent="0.2">
      <c r="A9" s="2712" t="s">
        <v>971</v>
      </c>
      <c r="B9" s="2713">
        <f>B7*B8</f>
        <v>26611.298999999999</v>
      </c>
      <c r="C9" s="2713">
        <f>C7*C8</f>
        <v>31505.330999999998</v>
      </c>
      <c r="D9" s="2713">
        <f>C9+B9</f>
        <v>58116.63</v>
      </c>
      <c r="E9" s="2712"/>
      <c r="F9" s="6363"/>
      <c r="G9" s="2712"/>
    </row>
    <row r="10" spans="1:7" hidden="1" x14ac:dyDescent="0.2">
      <c r="A10" s="2712" t="s">
        <v>968</v>
      </c>
      <c r="B10" s="2713">
        <f>B9*0.02</f>
        <v>532.22597999999994</v>
      </c>
      <c r="C10" s="2713">
        <f>C9*0.02</f>
        <v>630.10662000000002</v>
      </c>
      <c r="D10" s="2713">
        <f>C10+B10</f>
        <v>1162.3326</v>
      </c>
      <c r="E10" s="2712"/>
      <c r="F10" s="6364"/>
      <c r="G10" s="2712"/>
    </row>
    <row r="11" spans="1:7" ht="18.75" hidden="1" x14ac:dyDescent="0.3">
      <c r="A11" s="6473" t="s">
        <v>965</v>
      </c>
      <c r="B11" s="6474"/>
      <c r="C11" s="6474"/>
      <c r="D11" s="6474"/>
      <c r="E11" s="6474"/>
      <c r="F11" s="6475"/>
      <c r="G11" s="2712"/>
    </row>
    <row r="12" spans="1:7" hidden="1" x14ac:dyDescent="0.2">
      <c r="A12" s="2712" t="s">
        <v>328</v>
      </c>
      <c r="B12" s="2713">
        <v>15.5</v>
      </c>
      <c r="C12" s="2713">
        <v>18.350000000000001</v>
      </c>
      <c r="D12" s="2713"/>
      <c r="E12" s="2712"/>
      <c r="F12" s="6472">
        <f>$E$49*D15/$D$49</f>
        <v>310.74886990256181</v>
      </c>
      <c r="G12" s="2712"/>
    </row>
    <row r="13" spans="1:7" hidden="1" x14ac:dyDescent="0.2">
      <c r="A13" s="2712" t="s">
        <v>962</v>
      </c>
      <c r="B13" s="2713">
        <f>2448.7/2</f>
        <v>1224.3499999999999</v>
      </c>
      <c r="C13" s="2713">
        <f>B13</f>
        <v>1224.3499999999999</v>
      </c>
      <c r="D13" s="2713">
        <f>C13+B13</f>
        <v>2448.6999999999998</v>
      </c>
      <c r="E13" s="2712"/>
      <c r="F13" s="6363"/>
      <c r="G13" s="2712"/>
    </row>
    <row r="14" spans="1:7" hidden="1" x14ac:dyDescent="0.2">
      <c r="A14" s="2712" t="s">
        <v>963</v>
      </c>
      <c r="B14" s="2713">
        <f>B12*B13</f>
        <v>18977.424999999999</v>
      </c>
      <c r="C14" s="2713">
        <f>C12*C13</f>
        <v>22466.822499999998</v>
      </c>
      <c r="D14" s="2713">
        <f>C14+B14</f>
        <v>41444.247499999998</v>
      </c>
      <c r="E14" s="2712"/>
      <c r="F14" s="6363"/>
      <c r="G14" s="2712"/>
    </row>
    <row r="15" spans="1:7" hidden="1" x14ac:dyDescent="0.2">
      <c r="A15" s="2712" t="s">
        <v>968</v>
      </c>
      <c r="B15" s="2713">
        <f>B14*0.02</f>
        <v>379.54849999999999</v>
      </c>
      <c r="C15" s="2713">
        <f>C14*0.02</f>
        <v>449.33644999999996</v>
      </c>
      <c r="D15" s="2713">
        <f>C15+B15</f>
        <v>828.88494999999989</v>
      </c>
      <c r="E15" s="2712"/>
      <c r="F15" s="6364"/>
      <c r="G15" s="2712"/>
    </row>
    <row r="16" spans="1:7" ht="18.75" hidden="1" x14ac:dyDescent="0.3">
      <c r="A16" s="6468" t="s">
        <v>1672</v>
      </c>
      <c r="B16" s="6469"/>
      <c r="C16" s="6469"/>
      <c r="D16" s="6469"/>
      <c r="E16" s="6469"/>
      <c r="F16" s="6469"/>
      <c r="G16" s="6470"/>
    </row>
    <row r="17" spans="1:7" hidden="1" x14ac:dyDescent="0.2">
      <c r="A17" s="2714" t="s">
        <v>974</v>
      </c>
      <c r="B17" s="2715">
        <v>22.66</v>
      </c>
      <c r="C17" s="2715">
        <v>25.95</v>
      </c>
      <c r="D17" s="2715"/>
      <c r="E17" s="2714"/>
      <c r="F17" s="6471">
        <f>$E$48*D20/$D$48</f>
        <v>406.49452001229344</v>
      </c>
      <c r="G17" s="2712"/>
    </row>
    <row r="18" spans="1:7" hidden="1" x14ac:dyDescent="0.2">
      <c r="A18" s="2714" t="s">
        <v>975</v>
      </c>
      <c r="B18" s="2715">
        <f>D18/2</f>
        <v>1188.93</v>
      </c>
      <c r="C18" s="2715">
        <f>B18</f>
        <v>1188.93</v>
      </c>
      <c r="D18" s="2715">
        <f>[51]объемы!R48</f>
        <v>2377.86</v>
      </c>
      <c r="E18" s="2714"/>
      <c r="F18" s="6374"/>
      <c r="G18" s="2712"/>
    </row>
    <row r="19" spans="1:7" hidden="1" x14ac:dyDescent="0.2">
      <c r="A19" s="2714" t="s">
        <v>976</v>
      </c>
      <c r="B19" s="2715">
        <f>B17*B18</f>
        <v>26941.1538</v>
      </c>
      <c r="C19" s="2715">
        <f>C17*C18</f>
        <v>30852.733500000002</v>
      </c>
      <c r="D19" s="2715">
        <f>C19+B19</f>
        <v>57793.887300000002</v>
      </c>
      <c r="E19" s="2714"/>
      <c r="F19" s="6374"/>
      <c r="G19" s="2712"/>
    </row>
    <row r="20" spans="1:7" hidden="1" x14ac:dyDescent="0.2">
      <c r="A20" s="2714" t="s">
        <v>968</v>
      </c>
      <c r="B20" s="2715">
        <f>B19*0.02</f>
        <v>538.82307600000001</v>
      </c>
      <c r="C20" s="2715">
        <f>C19*0.02</f>
        <v>617.0546700000001</v>
      </c>
      <c r="D20" s="2715">
        <f>C20+B20</f>
        <v>1155.8777460000001</v>
      </c>
      <c r="E20" s="2714"/>
      <c r="F20" s="6375"/>
      <c r="G20" s="2712"/>
    </row>
    <row r="21" spans="1:7" ht="18.75" hidden="1" x14ac:dyDescent="0.3">
      <c r="A21" s="6468" t="s">
        <v>967</v>
      </c>
      <c r="B21" s="6469"/>
      <c r="C21" s="6469"/>
      <c r="D21" s="6469"/>
      <c r="E21" s="6469"/>
      <c r="F21" s="6470"/>
      <c r="G21" s="2712"/>
    </row>
    <row r="22" spans="1:7" hidden="1" x14ac:dyDescent="0.2">
      <c r="A22" s="2714" t="s">
        <v>974</v>
      </c>
      <c r="B22" s="2715">
        <v>18.350000000000001</v>
      </c>
      <c r="C22" s="2715">
        <v>21.01</v>
      </c>
      <c r="D22" s="2715"/>
      <c r="E22" s="2714"/>
      <c r="F22" s="6471">
        <f>$E$49*D25/$D$49</f>
        <v>337.84293010864991</v>
      </c>
      <c r="G22" s="2712"/>
    </row>
    <row r="23" spans="1:7" hidden="1" x14ac:dyDescent="0.2">
      <c r="A23" s="2714" t="s">
        <v>975</v>
      </c>
      <c r="B23" s="2715">
        <f>D23/2</f>
        <v>1144.76</v>
      </c>
      <c r="C23" s="2715">
        <f>B23</f>
        <v>1144.76</v>
      </c>
      <c r="D23" s="2715">
        <f>[51]объемы!R58</f>
        <v>2289.52</v>
      </c>
      <c r="E23" s="2714"/>
      <c r="F23" s="6374"/>
      <c r="G23" s="2712"/>
    </row>
    <row r="24" spans="1:7" hidden="1" x14ac:dyDescent="0.2">
      <c r="A24" s="2714" t="s">
        <v>976</v>
      </c>
      <c r="B24" s="2715">
        <f>B22*B23</f>
        <v>21006.346000000001</v>
      </c>
      <c r="C24" s="2715">
        <f>C22*C23</f>
        <v>24051.407600000002</v>
      </c>
      <c r="D24" s="2715">
        <f>C24+B24</f>
        <v>45057.753600000004</v>
      </c>
      <c r="E24" s="2714"/>
      <c r="F24" s="6374"/>
      <c r="G24" s="2712"/>
    </row>
    <row r="25" spans="1:7" hidden="1" x14ac:dyDescent="0.2">
      <c r="A25" s="2714" t="s">
        <v>968</v>
      </c>
      <c r="B25" s="2715">
        <f>B24*0.02</f>
        <v>420.12692000000004</v>
      </c>
      <c r="C25" s="2715">
        <f>C24*0.02</f>
        <v>481.02815200000003</v>
      </c>
      <c r="D25" s="2715">
        <f>C25+B25</f>
        <v>901.15507200000002</v>
      </c>
      <c r="E25" s="2714"/>
      <c r="F25" s="6375"/>
      <c r="G25" s="2712"/>
    </row>
    <row r="26" spans="1:7" ht="18.75" hidden="1" x14ac:dyDescent="0.3">
      <c r="A26" s="6473" t="s">
        <v>977</v>
      </c>
      <c r="B26" s="6474"/>
      <c r="C26" s="6474"/>
      <c r="D26" s="6474"/>
      <c r="E26" s="6474"/>
      <c r="F26" s="6474"/>
      <c r="G26" s="6475"/>
    </row>
    <row r="27" spans="1:7" hidden="1" x14ac:dyDescent="0.2">
      <c r="A27" s="2712" t="s">
        <v>979</v>
      </c>
      <c r="B27" s="2713">
        <f>C17</f>
        <v>25.95</v>
      </c>
      <c r="C27" s="2713">
        <v>28.6</v>
      </c>
      <c r="D27" s="2713"/>
      <c r="E27" s="2712"/>
      <c r="F27" s="6472">
        <f>$E$48*D30/$D$48</f>
        <v>465.89321466591826</v>
      </c>
      <c r="G27" s="2712"/>
    </row>
    <row r="28" spans="1:7" hidden="1" x14ac:dyDescent="0.2">
      <c r="A28" s="2712" t="s">
        <v>975</v>
      </c>
      <c r="B28" s="2713">
        <f>[51]объемы!AA48/2</f>
        <v>1214.28</v>
      </c>
      <c r="C28" s="2713">
        <f>B28</f>
        <v>1214.28</v>
      </c>
      <c r="D28" s="2713">
        <f>C28+B28</f>
        <v>2428.56</v>
      </c>
      <c r="E28" s="2712"/>
      <c r="F28" s="6363"/>
      <c r="G28" s="2712"/>
    </row>
    <row r="29" spans="1:7" hidden="1" x14ac:dyDescent="0.2">
      <c r="A29" s="2712" t="s">
        <v>976</v>
      </c>
      <c r="B29" s="2713">
        <f>B27*B28</f>
        <v>31510.565999999999</v>
      </c>
      <c r="C29" s="2713">
        <f>C27*C28</f>
        <v>34728.408000000003</v>
      </c>
      <c r="D29" s="2713">
        <f>C29+B29</f>
        <v>66238.974000000002</v>
      </c>
      <c r="E29" s="2712"/>
      <c r="F29" s="6363"/>
      <c r="G29" s="2712"/>
    </row>
    <row r="30" spans="1:7" hidden="1" x14ac:dyDescent="0.2">
      <c r="A30" s="2712" t="s">
        <v>968</v>
      </c>
      <c r="B30" s="2713">
        <f>B29*0.02</f>
        <v>630.21132</v>
      </c>
      <c r="C30" s="2713">
        <f>C29*0.02</f>
        <v>694.56816000000003</v>
      </c>
      <c r="D30" s="2713">
        <f>C30+B30</f>
        <v>1324.7794800000001</v>
      </c>
      <c r="E30" s="2712"/>
      <c r="F30" s="6364"/>
      <c r="G30" s="2712"/>
    </row>
    <row r="31" spans="1:7" ht="18.75" hidden="1" x14ac:dyDescent="0.3">
      <c r="A31" s="6473" t="s">
        <v>978</v>
      </c>
      <c r="B31" s="6474"/>
      <c r="C31" s="6474"/>
      <c r="D31" s="6474"/>
      <c r="E31" s="6474"/>
      <c r="F31" s="6475"/>
      <c r="G31" s="2712"/>
    </row>
    <row r="32" spans="1:7" hidden="1" x14ac:dyDescent="0.2">
      <c r="A32" s="2712" t="s">
        <v>979</v>
      </c>
      <c r="B32" s="2713">
        <f>C22</f>
        <v>21.01</v>
      </c>
      <c r="C32" s="2713">
        <v>23.2</v>
      </c>
      <c r="D32" s="2713"/>
      <c r="E32" s="2712"/>
      <c r="F32" s="6472">
        <f>$E$49*D35/$D$49</f>
        <v>405.73944615575715</v>
      </c>
      <c r="G32" s="2712"/>
    </row>
    <row r="33" spans="1:7" hidden="1" x14ac:dyDescent="0.2">
      <c r="A33" s="2712" t="s">
        <v>975</v>
      </c>
      <c r="B33" s="2713">
        <f>[51]объемы!AA58/2</f>
        <v>1224</v>
      </c>
      <c r="C33" s="2713">
        <f>B33</f>
        <v>1224</v>
      </c>
      <c r="D33" s="2713">
        <f>C33+B33</f>
        <v>2448</v>
      </c>
      <c r="E33" s="2712"/>
      <c r="F33" s="6363"/>
      <c r="G33" s="2712"/>
    </row>
    <row r="34" spans="1:7" hidden="1" x14ac:dyDescent="0.2">
      <c r="A34" s="2712" t="s">
        <v>976</v>
      </c>
      <c r="B34" s="2713">
        <f>B32*B33</f>
        <v>25716.240000000002</v>
      </c>
      <c r="C34" s="2713">
        <f>C32*C33</f>
        <v>28396.799999999999</v>
      </c>
      <c r="D34" s="2713">
        <f>C34+B34</f>
        <v>54113.04</v>
      </c>
      <c r="E34" s="2712"/>
      <c r="F34" s="6363"/>
      <c r="G34" s="2712"/>
    </row>
    <row r="35" spans="1:7" hidden="1" x14ac:dyDescent="0.2">
      <c r="A35" s="2712" t="s">
        <v>968</v>
      </c>
      <c r="B35" s="2713">
        <f>B34*0.02</f>
        <v>514.3248000000001</v>
      </c>
      <c r="C35" s="2713">
        <f>C34*0.02</f>
        <v>567.93600000000004</v>
      </c>
      <c r="D35" s="2713">
        <f>C35+B35</f>
        <v>1082.2608</v>
      </c>
      <c r="E35" s="2712"/>
      <c r="F35" s="6364"/>
      <c r="G35" s="2712"/>
    </row>
    <row r="36" spans="1:7" ht="18.75" hidden="1" x14ac:dyDescent="0.3">
      <c r="A36" s="6468" t="s">
        <v>1683</v>
      </c>
      <c r="B36" s="6469"/>
      <c r="C36" s="6469"/>
      <c r="D36" s="6469"/>
      <c r="E36" s="6469"/>
      <c r="F36" s="6470"/>
      <c r="G36" s="2712"/>
    </row>
    <row r="37" spans="1:7" hidden="1" x14ac:dyDescent="0.2">
      <c r="A37" s="2714" t="s">
        <v>979</v>
      </c>
      <c r="B37" s="2715">
        <f>'[51]вода 2018 коррект'!F45</f>
        <v>25.95</v>
      </c>
      <c r="C37" s="2715">
        <f>'[51]вода 2018 коррект'!F46</f>
        <v>27.796610169491526</v>
      </c>
      <c r="D37" s="2715"/>
      <c r="E37" s="2714"/>
      <c r="F37" s="6471">
        <f>$E$48*D40/$D$48</f>
        <v>436.83960362466541</v>
      </c>
      <c r="G37" s="2712"/>
    </row>
    <row r="38" spans="1:7" hidden="1" x14ac:dyDescent="0.2">
      <c r="A38" s="2714" t="s">
        <v>1682</v>
      </c>
      <c r="B38" s="2715">
        <f>D38/2</f>
        <v>1155.575</v>
      </c>
      <c r="C38" s="2715">
        <f>B38</f>
        <v>1155.575</v>
      </c>
      <c r="D38" s="2715">
        <f>[51]объемы!Y48</f>
        <v>2311.15</v>
      </c>
      <c r="E38" s="2714"/>
      <c r="F38" s="6374"/>
      <c r="G38" s="2713">
        <f>F37</f>
        <v>436.83960362466541</v>
      </c>
    </row>
    <row r="39" spans="1:7" hidden="1" x14ac:dyDescent="0.2">
      <c r="A39" s="2714" t="s">
        <v>1681</v>
      </c>
      <c r="B39" s="2715">
        <f>B37*B38</f>
        <v>29987.171249999999</v>
      </c>
      <c r="C39" s="2715">
        <f>C37*C38</f>
        <v>32121.067796610172</v>
      </c>
      <c r="D39" s="2715">
        <f>C39+B39</f>
        <v>62108.239046610171</v>
      </c>
      <c r="E39" s="2714"/>
      <c r="F39" s="6374"/>
      <c r="G39" s="2712"/>
    </row>
    <row r="40" spans="1:7" hidden="1" x14ac:dyDescent="0.2">
      <c r="A40" s="2714" t="s">
        <v>968</v>
      </c>
      <c r="B40" s="2715">
        <f>B39*0.02</f>
        <v>599.743425</v>
      </c>
      <c r="C40" s="2715">
        <f>C39*0.02</f>
        <v>642.42135593220348</v>
      </c>
      <c r="D40" s="2715">
        <f>C40+B40</f>
        <v>1242.1647809322035</v>
      </c>
      <c r="E40" s="2714"/>
      <c r="F40" s="6375"/>
      <c r="G40" s="2712"/>
    </row>
    <row r="41" spans="1:7" ht="18.75" hidden="1" x14ac:dyDescent="0.3">
      <c r="A41" s="6468" t="s">
        <v>978</v>
      </c>
      <c r="B41" s="6469"/>
      <c r="C41" s="6469"/>
      <c r="D41" s="6469"/>
      <c r="E41" s="6469"/>
      <c r="F41" s="6470"/>
      <c r="G41" s="2712"/>
    </row>
    <row r="42" spans="1:7" hidden="1" x14ac:dyDescent="0.2">
      <c r="A42" s="2714" t="s">
        <v>974</v>
      </c>
      <c r="B42" s="2715">
        <v>21.01</v>
      </c>
      <c r="C42" s="2715">
        <v>22.5</v>
      </c>
      <c r="D42" s="2715"/>
      <c r="E42" s="2714"/>
      <c r="F42" s="6471">
        <f>$E$49*D45/$D$49</f>
        <v>365.36847945936529</v>
      </c>
      <c r="G42" s="2712"/>
    </row>
    <row r="43" spans="1:7" hidden="1" x14ac:dyDescent="0.2">
      <c r="A43" s="2714" t="s">
        <v>1682</v>
      </c>
      <c r="B43" s="2715">
        <f>D43/2</f>
        <v>1119.9449999999999</v>
      </c>
      <c r="C43" s="2715">
        <f>B43</f>
        <v>1119.9449999999999</v>
      </c>
      <c r="D43" s="2715">
        <f>[51]объемы!Y58</f>
        <v>2239.89</v>
      </c>
      <c r="E43" s="2714"/>
      <c r="F43" s="6374"/>
      <c r="G43" s="2713">
        <f>F42</f>
        <v>365.36847945936529</v>
      </c>
    </row>
    <row r="44" spans="1:7" hidden="1" x14ac:dyDescent="0.2">
      <c r="A44" s="2714" t="s">
        <v>976</v>
      </c>
      <c r="B44" s="2715">
        <f>B42*B43</f>
        <v>23530.044450000001</v>
      </c>
      <c r="C44" s="2715">
        <f>C42*C43</f>
        <v>25198.762499999997</v>
      </c>
      <c r="D44" s="2715">
        <f>C44+B44</f>
        <v>48728.806949999998</v>
      </c>
      <c r="E44" s="2714"/>
      <c r="F44" s="6374"/>
      <c r="G44" s="2712"/>
    </row>
    <row r="45" spans="1:7" hidden="1" x14ac:dyDescent="0.2">
      <c r="A45" s="2714" t="s">
        <v>968</v>
      </c>
      <c r="B45" s="2715">
        <f>B44*0.02</f>
        <v>470.60088900000005</v>
      </c>
      <c r="C45" s="2715">
        <f>C44*0.02</f>
        <v>503.97524999999996</v>
      </c>
      <c r="D45" s="2715">
        <f>C45+B45</f>
        <v>974.57613900000001</v>
      </c>
      <c r="E45" s="2714"/>
      <c r="F45" s="6375"/>
      <c r="G45" s="2712"/>
    </row>
    <row r="46" spans="1:7" hidden="1" x14ac:dyDescent="0.2">
      <c r="A46" s="2716" t="s">
        <v>614</v>
      </c>
      <c r="B46" s="2717"/>
      <c r="C46" s="2717"/>
      <c r="D46" s="2718">
        <f>D10+D15+D20+D25+D40+D45</f>
        <v>6264.9912879322028</v>
      </c>
      <c r="E46" s="2718">
        <f>(1993.71255+680.237)/1.18</f>
        <v>2266.0589406779659</v>
      </c>
      <c r="F46" s="2718">
        <f>F7+F12+F17+F22+F27+F32</f>
        <v>2335.4835184156109</v>
      </c>
      <c r="G46" s="2712"/>
    </row>
    <row r="47" spans="1:7" hidden="1" x14ac:dyDescent="0.2">
      <c r="A47" s="2719" t="s">
        <v>228</v>
      </c>
      <c r="B47" s="2712"/>
      <c r="C47" s="2712"/>
      <c r="D47" s="2720"/>
      <c r="E47" s="2720"/>
      <c r="F47" s="2712"/>
      <c r="G47" s="2712"/>
    </row>
    <row r="48" spans="1:7" hidden="1" x14ac:dyDescent="0.2">
      <c r="A48" s="2719" t="s">
        <v>46</v>
      </c>
      <c r="B48" s="2712"/>
      <c r="C48" s="2712"/>
      <c r="D48" s="2721">
        <f>D10+D20+D40</f>
        <v>3560.3751269322033</v>
      </c>
      <c r="E48" s="2721">
        <f>'[51]Резерв ДЗ'!E38</f>
        <v>1252.0986612073889</v>
      </c>
      <c r="F48" s="6460" t="s">
        <v>1481</v>
      </c>
      <c r="G48" s="2712"/>
    </row>
    <row r="49" spans="1:8" hidden="1" x14ac:dyDescent="0.2">
      <c r="A49" s="2719" t="s">
        <v>47</v>
      </c>
      <c r="B49" s="2712"/>
      <c r="C49" s="2712"/>
      <c r="D49" s="2721">
        <f>D15+D25+D45</f>
        <v>2704.6161609999999</v>
      </c>
      <c r="E49" s="2721">
        <f>E46-E48</f>
        <v>1013.960279470577</v>
      </c>
      <c r="F49" s="6418"/>
      <c r="G49" s="2712"/>
    </row>
    <row r="50" spans="1:8" hidden="1" x14ac:dyDescent="0.2">
      <c r="A50" s="2220"/>
      <c r="B50" s="2509"/>
      <c r="C50" s="2509"/>
      <c r="D50" s="2510"/>
      <c r="E50" s="2510"/>
      <c r="F50" s="2511"/>
      <c r="G50" s="29"/>
    </row>
    <row r="51" spans="1:8" hidden="1" x14ac:dyDescent="0.2">
      <c r="A51" s="105"/>
      <c r="B51" s="29"/>
      <c r="C51" s="29"/>
      <c r="D51" s="2512"/>
      <c r="E51" s="2512"/>
      <c r="F51" s="319"/>
      <c r="G51" s="29"/>
    </row>
    <row r="52" spans="1:8" x14ac:dyDescent="0.2">
      <c r="A52" s="105"/>
      <c r="B52" s="29"/>
      <c r="C52" s="29"/>
      <c r="D52" s="2512"/>
      <c r="E52" s="2512"/>
      <c r="F52" s="319"/>
      <c r="G52" s="29"/>
    </row>
    <row r="53" spans="1:8" x14ac:dyDescent="0.2">
      <c r="A53" s="105"/>
      <c r="B53" s="29"/>
      <c r="C53" s="29"/>
      <c r="D53" s="2512"/>
      <c r="E53" s="2512"/>
      <c r="F53" s="319"/>
      <c r="G53" s="29"/>
    </row>
    <row r="54" spans="1:8" ht="18.75" x14ac:dyDescent="0.3">
      <c r="A54" s="5637" t="s">
        <v>3907</v>
      </c>
      <c r="B54" s="5637"/>
      <c r="C54" s="5637"/>
      <c r="D54" s="5637"/>
      <c r="E54" s="5637"/>
      <c r="F54" s="5637"/>
      <c r="G54" s="4910"/>
      <c r="H54" s="4910"/>
    </row>
    <row r="55" spans="1:8" x14ac:dyDescent="0.2">
      <c r="A55" s="859"/>
      <c r="B55" s="2513"/>
      <c r="C55" s="2513"/>
      <c r="D55" s="2514"/>
      <c r="E55" s="2514"/>
      <c r="F55" s="2695"/>
      <c r="G55" s="29"/>
    </row>
    <row r="56" spans="1:8" x14ac:dyDescent="0.2">
      <c r="A56" s="6461" t="s">
        <v>525</v>
      </c>
      <c r="B56" s="6463" t="s">
        <v>1478</v>
      </c>
      <c r="C56" s="6464"/>
      <c r="D56" s="6465"/>
      <c r="E56" s="6466" t="s">
        <v>1480</v>
      </c>
      <c r="F56" s="6467" t="s">
        <v>1482</v>
      </c>
      <c r="G56" s="6453" t="s">
        <v>1521</v>
      </c>
      <c r="H56" s="6453" t="s">
        <v>3906</v>
      </c>
    </row>
    <row r="57" spans="1:8" ht="31.5" customHeight="1" x14ac:dyDescent="0.2">
      <c r="A57" s="6462"/>
      <c r="B57" s="2711" t="s">
        <v>972</v>
      </c>
      <c r="C57" s="2711" t="s">
        <v>973</v>
      </c>
      <c r="D57" s="2711" t="s">
        <v>54</v>
      </c>
      <c r="E57" s="6466"/>
      <c r="F57" s="6355"/>
      <c r="G57" s="6454"/>
      <c r="H57" s="6454"/>
    </row>
    <row r="58" spans="1:8" ht="18.75" x14ac:dyDescent="0.3">
      <c r="A58" s="6456" t="s">
        <v>3560</v>
      </c>
      <c r="B58" s="6456"/>
      <c r="C58" s="6456"/>
      <c r="D58" s="6456"/>
      <c r="E58" s="6456"/>
      <c r="F58" s="6456"/>
      <c r="G58" s="6457"/>
      <c r="H58" s="6457"/>
    </row>
    <row r="59" spans="1:8" x14ac:dyDescent="0.2">
      <c r="A59" s="2712" t="s">
        <v>3561</v>
      </c>
      <c r="B59" s="2713">
        <f>SUM('[52]вода 2018 коррект'!P46)</f>
        <v>28.96406779661017</v>
      </c>
      <c r="C59" s="2713">
        <f>SUM('[52]вода 2018 коррект'!P47)</f>
        <v>30.296414915254239</v>
      </c>
      <c r="D59" s="2713"/>
      <c r="E59" s="6458">
        <f>4533877.99*60%/1000</f>
        <v>2720.3267940000001</v>
      </c>
      <c r="F59" s="6455">
        <f>E110*D62/D110</f>
        <v>344.2340407156828</v>
      </c>
      <c r="G59" s="6455">
        <v>294.80500000000001</v>
      </c>
      <c r="H59" s="6458">
        <f>4533877.99*60%/1000</f>
        <v>2720.3267940000001</v>
      </c>
    </row>
    <row r="60" spans="1:8" x14ac:dyDescent="0.2">
      <c r="A60" s="2712" t="s">
        <v>3562</v>
      </c>
      <c r="B60" s="2713">
        <f>SUM([52]объемы!AV50/2)</f>
        <v>1211.99</v>
      </c>
      <c r="C60" s="2713">
        <f>SUM(B60)</f>
        <v>1211.99</v>
      </c>
      <c r="D60" s="2713">
        <f>C60+B60</f>
        <v>2423.98</v>
      </c>
      <c r="E60" s="6459"/>
      <c r="F60" s="6455"/>
      <c r="G60" s="6455"/>
      <c r="H60" s="6459"/>
    </row>
    <row r="61" spans="1:8" x14ac:dyDescent="0.2">
      <c r="A61" s="2712" t="s">
        <v>3563</v>
      </c>
      <c r="B61" s="2713">
        <f>B59*B60</f>
        <v>35104.160528813562</v>
      </c>
      <c r="C61" s="2713">
        <f>C59*C60</f>
        <v>36718.951913138982</v>
      </c>
      <c r="D61" s="2713">
        <f>C61+B61</f>
        <v>71823.112441952544</v>
      </c>
      <c r="E61" s="6459"/>
      <c r="F61" s="6455"/>
      <c r="G61" s="6455"/>
      <c r="H61" s="6459"/>
    </row>
    <row r="62" spans="1:8" x14ac:dyDescent="0.2">
      <c r="A62" s="2712" t="s">
        <v>968</v>
      </c>
      <c r="B62" s="2713">
        <f>B61*0.02</f>
        <v>702.0832105762712</v>
      </c>
      <c r="C62" s="2713">
        <f>C61*0.02</f>
        <v>734.37903826277966</v>
      </c>
      <c r="D62" s="2713">
        <f>C62+B62</f>
        <v>1436.462248839051</v>
      </c>
      <c r="E62" s="6459"/>
      <c r="F62" s="6455"/>
      <c r="G62" s="6455"/>
      <c r="H62" s="6459"/>
    </row>
    <row r="63" spans="1:8" ht="18.75" x14ac:dyDescent="0.3">
      <c r="A63" s="6456" t="s">
        <v>3564</v>
      </c>
      <c r="B63" s="6456"/>
      <c r="C63" s="6456"/>
      <c r="D63" s="6456"/>
      <c r="E63" s="6456"/>
      <c r="F63" s="6456"/>
      <c r="G63" s="6457"/>
      <c r="H63" s="6457"/>
    </row>
    <row r="64" spans="1:8" x14ac:dyDescent="0.2">
      <c r="A64" s="2712" t="s">
        <v>3561</v>
      </c>
      <c r="B64" s="2713">
        <f>SUM('[52]стоки 2018'!Q45)</f>
        <v>23.467500000000001</v>
      </c>
      <c r="C64" s="2713">
        <f>SUM('[52]стоки 2018'!Q46)</f>
        <v>24.87</v>
      </c>
      <c r="D64" s="2713"/>
      <c r="E64" s="6458">
        <f>4533877.99*40%/1000</f>
        <v>1813.5511960000001</v>
      </c>
      <c r="F64" s="6455">
        <f>E111*D67/D111</f>
        <v>295.14629492304965</v>
      </c>
      <c r="G64" s="6455">
        <v>249.2</v>
      </c>
      <c r="H64" s="6458">
        <f>4533877.99*40%/1000</f>
        <v>1813.5511960000001</v>
      </c>
    </row>
    <row r="65" spans="1:10" x14ac:dyDescent="0.2">
      <c r="A65" s="2712" t="s">
        <v>3562</v>
      </c>
      <c r="B65" s="2713">
        <f>SUM([52]объемы!AV60/2)</f>
        <v>1192.46</v>
      </c>
      <c r="C65" s="2713">
        <f>SUM(B65)</f>
        <v>1192.46</v>
      </c>
      <c r="D65" s="2713">
        <f>C65+B65</f>
        <v>2384.92</v>
      </c>
      <c r="E65" s="6459"/>
      <c r="F65" s="6455"/>
      <c r="G65" s="6455"/>
      <c r="H65" s="6459"/>
    </row>
    <row r="66" spans="1:10" x14ac:dyDescent="0.2">
      <c r="A66" s="2712" t="s">
        <v>3563</v>
      </c>
      <c r="B66" s="2713">
        <f>B64*B65</f>
        <v>27984.055050000003</v>
      </c>
      <c r="C66" s="2713">
        <f>C64*C65</f>
        <v>29656.480200000002</v>
      </c>
      <c r="D66" s="2713">
        <f>C66+B66</f>
        <v>57640.535250000001</v>
      </c>
      <c r="E66" s="6459"/>
      <c r="F66" s="6455"/>
      <c r="G66" s="6455"/>
      <c r="H66" s="6459"/>
    </row>
    <row r="67" spans="1:10" x14ac:dyDescent="0.2">
      <c r="A67" s="2712" t="s">
        <v>968</v>
      </c>
      <c r="B67" s="2713">
        <f>B66*0.02</f>
        <v>559.68110100000001</v>
      </c>
      <c r="C67" s="2713">
        <f>C66*0.02</f>
        <v>593.12960400000009</v>
      </c>
      <c r="D67" s="2713">
        <f>C67+B67</f>
        <v>1152.8107050000001</v>
      </c>
      <c r="E67" s="6459"/>
      <c r="F67" s="6455"/>
      <c r="G67" s="6455"/>
      <c r="H67" s="6459"/>
    </row>
    <row r="68" spans="1:10" ht="18.75" x14ac:dyDescent="0.3">
      <c r="A68" s="6456" t="s">
        <v>3565</v>
      </c>
      <c r="B68" s="6456"/>
      <c r="C68" s="6456"/>
      <c r="D68" s="6456"/>
      <c r="E68" s="6456"/>
      <c r="F68" s="6456"/>
      <c r="G68" s="6457"/>
      <c r="H68" s="6457"/>
    </row>
    <row r="69" spans="1:10" x14ac:dyDescent="0.2">
      <c r="A69" s="2712" t="s">
        <v>3566</v>
      </c>
      <c r="B69" s="2713">
        <f>SUM('[52]вода 2018 коррект'!X46)</f>
        <v>30.296414915254239</v>
      </c>
      <c r="C69" s="2713">
        <f>SUM('[52]вода 2018 коррект'!X47)</f>
        <v>30.993232458305084</v>
      </c>
      <c r="D69" s="2713"/>
      <c r="E69" s="6458">
        <f>3953181.2*60%/1000</f>
        <v>2371.9087200000004</v>
      </c>
      <c r="F69" s="6455">
        <f>E110*D72/D110</f>
        <v>361.3957437703653</v>
      </c>
      <c r="G69" s="6455">
        <v>0</v>
      </c>
      <c r="H69" s="6458">
        <f>SUM(E69)</f>
        <v>2371.9087200000004</v>
      </c>
    </row>
    <row r="70" spans="1:10" x14ac:dyDescent="0.2">
      <c r="A70" s="2712" t="s">
        <v>3567</v>
      </c>
      <c r="B70" s="2713">
        <f>SUM([52]объемы!BB50)/2</f>
        <v>1230.2866666666666</v>
      </c>
      <c r="C70" s="2713">
        <f>B70</f>
        <v>1230.2866666666666</v>
      </c>
      <c r="D70" s="2713">
        <f>C70+B70</f>
        <v>2460.5733333333333</v>
      </c>
      <c r="E70" s="6459"/>
      <c r="F70" s="6455"/>
      <c r="G70" s="6455"/>
      <c r="H70" s="6480"/>
    </row>
    <row r="71" spans="1:10" x14ac:dyDescent="0.2">
      <c r="A71" s="2712" t="s">
        <v>3568</v>
      </c>
      <c r="B71" s="2713">
        <f>B69*B70</f>
        <v>37273.275318038417</v>
      </c>
      <c r="C71" s="2713">
        <f>C69*C70</f>
        <v>38130.560650353298</v>
      </c>
      <c r="D71" s="2713">
        <f>C71+B71</f>
        <v>75403.835968391708</v>
      </c>
      <c r="E71" s="6459"/>
      <c r="F71" s="6455"/>
      <c r="G71" s="6455"/>
      <c r="H71" s="6480"/>
      <c r="J71" s="1650"/>
    </row>
    <row r="72" spans="1:10" x14ac:dyDescent="0.2">
      <c r="A72" s="2712" t="s">
        <v>968</v>
      </c>
      <c r="B72" s="2713">
        <f>B71*0.02</f>
        <v>745.46550636076836</v>
      </c>
      <c r="C72" s="2713">
        <f>C71*0.02</f>
        <v>762.611213007066</v>
      </c>
      <c r="D72" s="2713">
        <f>C72+B72</f>
        <v>1508.0767193678344</v>
      </c>
      <c r="E72" s="6459"/>
      <c r="F72" s="6455"/>
      <c r="G72" s="6455"/>
      <c r="H72" s="6480"/>
    </row>
    <row r="73" spans="1:10" ht="18.75" x14ac:dyDescent="0.3">
      <c r="A73" s="6456" t="s">
        <v>3569</v>
      </c>
      <c r="B73" s="6456"/>
      <c r="C73" s="6456"/>
      <c r="D73" s="6456"/>
      <c r="E73" s="6456"/>
      <c r="F73" s="6456"/>
      <c r="G73" s="6457"/>
      <c r="H73" s="6457"/>
    </row>
    <row r="74" spans="1:10" x14ac:dyDescent="0.2">
      <c r="A74" s="2712" t="s">
        <v>3566</v>
      </c>
      <c r="B74" s="2713">
        <f>SUM('[52]стоки 2018'!Z45)</f>
        <v>24.87</v>
      </c>
      <c r="C74" s="2713">
        <f>SUM('[52]стоки 2018'!Z46)</f>
        <v>25.44201</v>
      </c>
      <c r="D74" s="2713"/>
      <c r="E74" s="6458">
        <f>3953181.2*40%/1000</f>
        <v>1581.2724800000003</v>
      </c>
      <c r="F74" s="6455">
        <f>E111*D77/D111</f>
        <v>293.68776219786787</v>
      </c>
      <c r="G74" s="6455">
        <v>0</v>
      </c>
      <c r="H74" s="6458">
        <f>SUM(E74)</f>
        <v>1581.2724800000003</v>
      </c>
    </row>
    <row r="75" spans="1:10" x14ac:dyDescent="0.2">
      <c r="A75" s="2712" t="s">
        <v>3567</v>
      </c>
      <c r="B75" s="2713">
        <f>SUM([52]объемы!BB60)/2</f>
        <v>1140</v>
      </c>
      <c r="C75" s="2713">
        <f>B75</f>
        <v>1140</v>
      </c>
      <c r="D75" s="2713">
        <f>C75+B75</f>
        <v>2280</v>
      </c>
      <c r="E75" s="6459"/>
      <c r="F75" s="6455"/>
      <c r="G75" s="6455"/>
      <c r="H75" s="6480"/>
    </row>
    <row r="76" spans="1:10" x14ac:dyDescent="0.2">
      <c r="A76" s="2712" t="s">
        <v>3568</v>
      </c>
      <c r="B76" s="2713">
        <f>B74*B75</f>
        <v>28351.800000000003</v>
      </c>
      <c r="C76" s="2713">
        <f>C74*C75</f>
        <v>29003.8914</v>
      </c>
      <c r="D76" s="2713">
        <f>C76+B76</f>
        <v>57355.691400000003</v>
      </c>
      <c r="E76" s="6459"/>
      <c r="F76" s="6455"/>
      <c r="G76" s="6455"/>
      <c r="H76" s="6480"/>
    </row>
    <row r="77" spans="1:10" x14ac:dyDescent="0.2">
      <c r="A77" s="2712" t="s">
        <v>968</v>
      </c>
      <c r="B77" s="2713">
        <f>B76*0.02</f>
        <v>567.03600000000006</v>
      </c>
      <c r="C77" s="2713">
        <f>C76*0.02</f>
        <v>580.07782800000007</v>
      </c>
      <c r="D77" s="2713">
        <f>C77+B77</f>
        <v>1147.113828</v>
      </c>
      <c r="E77" s="6459"/>
      <c r="F77" s="6455"/>
      <c r="G77" s="6455"/>
      <c r="H77" s="6480"/>
    </row>
    <row r="78" spans="1:10" ht="18.75" x14ac:dyDescent="0.3">
      <c r="A78" s="6456" t="s">
        <v>3570</v>
      </c>
      <c r="B78" s="6456"/>
      <c r="C78" s="6456"/>
      <c r="D78" s="6456"/>
      <c r="E78" s="6456"/>
      <c r="F78" s="6456"/>
      <c r="G78" s="6457"/>
      <c r="H78" s="6457"/>
    </row>
    <row r="79" spans="1:10" x14ac:dyDescent="0.2">
      <c r="A79" s="2712" t="s">
        <v>3571</v>
      </c>
      <c r="B79" s="2713">
        <f>SUM('[52]вода 2018 коррект'!Z46)</f>
        <v>30.993232458305084</v>
      </c>
      <c r="C79" s="2713">
        <f>SUM('[52]вода 2018 коррект'!Z47)</f>
        <v>32.232961756637287</v>
      </c>
      <c r="D79" s="2713"/>
      <c r="E79" s="2712"/>
      <c r="F79" s="6455">
        <f>E110*D82/D110</f>
        <v>372.81463449789953</v>
      </c>
      <c r="G79" s="6455">
        <f>SUM(F79)</f>
        <v>372.81463449789953</v>
      </c>
      <c r="H79" s="6478"/>
    </row>
    <row r="80" spans="1:10" x14ac:dyDescent="0.2">
      <c r="A80" s="2712" t="s">
        <v>3572</v>
      </c>
      <c r="B80" s="2713">
        <f>SUM([52]объемы!BB50/2)</f>
        <v>1230.2866666666666</v>
      </c>
      <c r="C80" s="2713">
        <f>B80</f>
        <v>1230.2866666666666</v>
      </c>
      <c r="D80" s="2713">
        <f>C80+B80</f>
        <v>2460.5733333333333</v>
      </c>
      <c r="E80" s="2712"/>
      <c r="F80" s="6455"/>
      <c r="G80" s="6455"/>
      <c r="H80" s="6479"/>
    </row>
    <row r="81" spans="1:8" x14ac:dyDescent="0.2">
      <c r="A81" s="2712" t="s">
        <v>3573</v>
      </c>
      <c r="B81" s="2713">
        <f>B79*B80</f>
        <v>38130.560650353298</v>
      </c>
      <c r="C81" s="2713">
        <f>C79*C80</f>
        <v>39655.783076367428</v>
      </c>
      <c r="D81" s="2713">
        <f>C81+B81</f>
        <v>77786.343726720719</v>
      </c>
      <c r="E81" s="2712"/>
      <c r="F81" s="6455"/>
      <c r="G81" s="6455"/>
      <c r="H81" s="6479"/>
    </row>
    <row r="82" spans="1:8" x14ac:dyDescent="0.2">
      <c r="A82" s="2712" t="s">
        <v>968</v>
      </c>
      <c r="B82" s="2713">
        <f>B81*0.02</f>
        <v>762.611213007066</v>
      </c>
      <c r="C82" s="2713">
        <f>C81*0.02</f>
        <v>793.11566152734861</v>
      </c>
      <c r="D82" s="2713">
        <f>C82+B82</f>
        <v>1555.7268745344145</v>
      </c>
      <c r="E82" s="2712"/>
      <c r="F82" s="6455"/>
      <c r="G82" s="6455"/>
      <c r="H82" s="6479"/>
    </row>
    <row r="83" spans="1:8" ht="18.75" x14ac:dyDescent="0.3">
      <c r="A83" s="6456" t="s">
        <v>3574</v>
      </c>
      <c r="B83" s="6456"/>
      <c r="C83" s="6456"/>
      <c r="D83" s="6456"/>
      <c r="E83" s="6456"/>
      <c r="F83" s="6456"/>
      <c r="G83" s="6457"/>
      <c r="H83" s="6457"/>
    </row>
    <row r="84" spans="1:8" x14ac:dyDescent="0.2">
      <c r="A84" s="2712" t="s">
        <v>3571</v>
      </c>
      <c r="B84" s="2713">
        <f>SUM('[52]стоки 2018'!AB45)</f>
        <v>25.44201</v>
      </c>
      <c r="C84" s="2713">
        <f>SUM('[52]стоки 2018'!AB46)</f>
        <v>26.459690399999999</v>
      </c>
      <c r="D84" s="2713"/>
      <c r="E84" s="2712"/>
      <c r="F84" s="6455">
        <f>E111*D87/D111</f>
        <v>302.96730829756518</v>
      </c>
      <c r="G84" s="6455">
        <f>SUM(F84)</f>
        <v>302.96730829756518</v>
      </c>
      <c r="H84" s="6478"/>
    </row>
    <row r="85" spans="1:8" x14ac:dyDescent="0.2">
      <c r="A85" s="2712" t="s">
        <v>3572</v>
      </c>
      <c r="B85" s="2713">
        <f>SUM([52]объемы!BB60)/2</f>
        <v>1140</v>
      </c>
      <c r="C85" s="2713">
        <f>B85</f>
        <v>1140</v>
      </c>
      <c r="D85" s="2713">
        <f>C85+B85</f>
        <v>2280</v>
      </c>
      <c r="E85" s="2712"/>
      <c r="F85" s="6455"/>
      <c r="G85" s="6455"/>
      <c r="H85" s="6479"/>
    </row>
    <row r="86" spans="1:8" x14ac:dyDescent="0.2">
      <c r="A86" s="2712" t="s">
        <v>3573</v>
      </c>
      <c r="B86" s="2713">
        <f>B84*B85</f>
        <v>29003.8914</v>
      </c>
      <c r="C86" s="2713">
        <f>C84*C85</f>
        <v>30164.047055999999</v>
      </c>
      <c r="D86" s="2713">
        <f>C86+B86</f>
        <v>59167.938456000003</v>
      </c>
      <c r="E86" s="2712"/>
      <c r="F86" s="6455"/>
      <c r="G86" s="6455"/>
      <c r="H86" s="6479"/>
    </row>
    <row r="87" spans="1:8" x14ac:dyDescent="0.2">
      <c r="A87" s="2712" t="s">
        <v>968</v>
      </c>
      <c r="B87" s="2713">
        <f>B86*0.02</f>
        <v>580.07782800000007</v>
      </c>
      <c r="C87" s="2713">
        <f>C86*0.02</f>
        <v>603.28094111999997</v>
      </c>
      <c r="D87" s="2713">
        <f>C87+B87</f>
        <v>1183.35876912</v>
      </c>
      <c r="E87" s="2712"/>
      <c r="F87" s="6455"/>
      <c r="G87" s="6455"/>
      <c r="H87" s="6479"/>
    </row>
    <row r="88" spans="1:8" ht="18.75" x14ac:dyDescent="0.3">
      <c r="A88" s="6456" t="s">
        <v>3575</v>
      </c>
      <c r="B88" s="6456"/>
      <c r="C88" s="6456"/>
      <c r="D88" s="6456"/>
      <c r="E88" s="6456"/>
      <c r="F88" s="6456"/>
      <c r="G88" s="6457"/>
      <c r="H88" s="6457"/>
    </row>
    <row r="89" spans="1:8" x14ac:dyDescent="0.2">
      <c r="A89" s="2712" t="s">
        <v>3576</v>
      </c>
      <c r="B89" s="2713">
        <f>SUM('[52]вода 2018 коррект'!AA46)</f>
        <v>32.232961756637287</v>
      </c>
      <c r="C89" s="2713">
        <f>SUM('[52]вода 2018 коррект'!AA47)</f>
        <v>33.52228022690278</v>
      </c>
      <c r="D89" s="2713"/>
      <c r="E89" s="2712"/>
      <c r="F89" s="6455">
        <f>E110*D92/D110</f>
        <v>387.72721987781551</v>
      </c>
      <c r="G89" s="6455"/>
      <c r="H89" s="6478"/>
    </row>
    <row r="90" spans="1:8" x14ac:dyDescent="0.2">
      <c r="A90" s="2712" t="s">
        <v>3577</v>
      </c>
      <c r="B90" s="2713">
        <f>SUM([52]объемы!BB50)/2</f>
        <v>1230.2866666666666</v>
      </c>
      <c r="C90" s="2713">
        <f>B90</f>
        <v>1230.2866666666666</v>
      </c>
      <c r="D90" s="2713">
        <f>C90+B90</f>
        <v>2460.5733333333333</v>
      </c>
      <c r="E90" s="2712"/>
      <c r="F90" s="6455"/>
      <c r="G90" s="6455"/>
      <c r="H90" s="6479"/>
    </row>
    <row r="91" spans="1:8" x14ac:dyDescent="0.2">
      <c r="A91" s="2712" t="s">
        <v>3578</v>
      </c>
      <c r="B91" s="2713">
        <f>B89*B90</f>
        <v>39655.783076367428</v>
      </c>
      <c r="C91" s="2713">
        <f>C89*C90</f>
        <v>41242.014399422129</v>
      </c>
      <c r="D91" s="2713">
        <f>C91+B91</f>
        <v>80897.797475789557</v>
      </c>
      <c r="E91" s="2712"/>
      <c r="F91" s="6455"/>
      <c r="G91" s="6455"/>
      <c r="H91" s="6479"/>
    </row>
    <row r="92" spans="1:8" x14ac:dyDescent="0.2">
      <c r="A92" s="2712" t="s">
        <v>968</v>
      </c>
      <c r="B92" s="2713">
        <f>B91*0.02</f>
        <v>793.11566152734861</v>
      </c>
      <c r="C92" s="2713">
        <f>C91*0.02</f>
        <v>824.84028798844258</v>
      </c>
      <c r="D92" s="2713">
        <f>C92+B92</f>
        <v>1617.9559495157912</v>
      </c>
      <c r="E92" s="2712"/>
      <c r="F92" s="6455"/>
      <c r="G92" s="6455"/>
      <c r="H92" s="6479"/>
    </row>
    <row r="93" spans="1:8" ht="18.75" x14ac:dyDescent="0.3">
      <c r="A93" s="6456" t="s">
        <v>3579</v>
      </c>
      <c r="B93" s="6456"/>
      <c r="C93" s="6456"/>
      <c r="D93" s="6456"/>
      <c r="E93" s="6456"/>
      <c r="F93" s="6456"/>
      <c r="G93" s="6457"/>
      <c r="H93" s="6457"/>
    </row>
    <row r="94" spans="1:8" x14ac:dyDescent="0.2">
      <c r="A94" s="2712" t="s">
        <v>3576</v>
      </c>
      <c r="B94" s="2713">
        <f>SUM('[52]стоки 2018'!AC45)</f>
        <v>26.459690399999999</v>
      </c>
      <c r="C94" s="2713">
        <f>SUM('[52]стоки 2018'!AC46)</f>
        <v>27.518078016</v>
      </c>
      <c r="D94" s="2713"/>
      <c r="E94" s="2712"/>
      <c r="F94" s="6455">
        <f>E111*D97/D111</f>
        <v>315.08600062946783</v>
      </c>
      <c r="G94" s="6455"/>
      <c r="H94" s="6478"/>
    </row>
    <row r="95" spans="1:8" x14ac:dyDescent="0.2">
      <c r="A95" s="2712" t="s">
        <v>3577</v>
      </c>
      <c r="B95" s="2713">
        <f>SUM([52]объемы!BB60)/2</f>
        <v>1140</v>
      </c>
      <c r="C95" s="2713">
        <f>B95</f>
        <v>1140</v>
      </c>
      <c r="D95" s="2713">
        <f>C95+B95</f>
        <v>2280</v>
      </c>
      <c r="E95" s="2712"/>
      <c r="F95" s="6455"/>
      <c r="G95" s="6455"/>
      <c r="H95" s="6479"/>
    </row>
    <row r="96" spans="1:8" x14ac:dyDescent="0.2">
      <c r="A96" s="2712" t="s">
        <v>3578</v>
      </c>
      <c r="B96" s="2713">
        <f>B94*B95</f>
        <v>30164.047055999999</v>
      </c>
      <c r="C96" s="2713">
        <f>C94*C95</f>
        <v>31370.608938240002</v>
      </c>
      <c r="D96" s="2713">
        <f>C96+B96</f>
        <v>61534.655994240005</v>
      </c>
      <c r="E96" s="2712"/>
      <c r="F96" s="6455"/>
      <c r="G96" s="6455"/>
      <c r="H96" s="6479"/>
    </row>
    <row r="97" spans="1:8" x14ac:dyDescent="0.2">
      <c r="A97" s="2712" t="s">
        <v>968</v>
      </c>
      <c r="B97" s="2713">
        <f>B96*0.02</f>
        <v>603.28094111999997</v>
      </c>
      <c r="C97" s="2713">
        <f>C96*0.02</f>
        <v>627.41217876480005</v>
      </c>
      <c r="D97" s="2713">
        <f>C97+B97</f>
        <v>1230.6931198848001</v>
      </c>
      <c r="E97" s="2712"/>
      <c r="F97" s="6455"/>
      <c r="G97" s="6455"/>
      <c r="H97" s="6479"/>
    </row>
    <row r="98" spans="1:8" ht="18.75" x14ac:dyDescent="0.3">
      <c r="A98" s="6456" t="s">
        <v>3663</v>
      </c>
      <c r="B98" s="6456"/>
      <c r="C98" s="6456"/>
      <c r="D98" s="6456"/>
      <c r="E98" s="6456"/>
      <c r="F98" s="6456"/>
      <c r="G98" s="6457"/>
      <c r="H98" s="6457"/>
    </row>
    <row r="99" spans="1:8" x14ac:dyDescent="0.2">
      <c r="A99" s="2712" t="s">
        <v>3664</v>
      </c>
      <c r="B99" s="2713">
        <f>SUM('[52]вода 2018 коррект'!AB46)</f>
        <v>33.52228022690278</v>
      </c>
      <c r="C99" s="2713">
        <f>SUM('[52]вода 2018 коррект'!AB47)</f>
        <v>34.863171435978892</v>
      </c>
      <c r="D99" s="2713"/>
      <c r="E99" s="2712"/>
      <c r="F99" s="6455">
        <f>E110*D102/D110</f>
        <v>403.2363086729282</v>
      </c>
      <c r="G99" s="6455"/>
      <c r="H99" s="6478"/>
    </row>
    <row r="100" spans="1:8" x14ac:dyDescent="0.2">
      <c r="A100" s="2712" t="s">
        <v>3665</v>
      </c>
      <c r="B100" s="2713">
        <f>SUM([52]объемы!BB50)/2</f>
        <v>1230.2866666666666</v>
      </c>
      <c r="C100" s="2713">
        <f>B100</f>
        <v>1230.2866666666666</v>
      </c>
      <c r="D100" s="2713">
        <f>C100+B100</f>
        <v>2460.5733333333333</v>
      </c>
      <c r="E100" s="2712"/>
      <c r="F100" s="6455"/>
      <c r="G100" s="6455"/>
      <c r="H100" s="6479"/>
    </row>
    <row r="101" spans="1:8" x14ac:dyDescent="0.2">
      <c r="A101" s="2712" t="s">
        <v>3666</v>
      </c>
      <c r="B101" s="2713">
        <f>B99*B100</f>
        <v>41242.014399422129</v>
      </c>
      <c r="C101" s="2713">
        <f>C99*C100</f>
        <v>42891.694975399019</v>
      </c>
      <c r="D101" s="2713">
        <f>C101+B101</f>
        <v>84133.709374821148</v>
      </c>
      <c r="E101" s="2712"/>
      <c r="F101" s="6455"/>
      <c r="G101" s="6455"/>
      <c r="H101" s="6479"/>
    </row>
    <row r="102" spans="1:8" x14ac:dyDescent="0.2">
      <c r="A102" s="2712" t="s">
        <v>968</v>
      </c>
      <c r="B102" s="2713">
        <f>B101*0.02</f>
        <v>824.84028798844258</v>
      </c>
      <c r="C102" s="2713">
        <f>C101*0.02</f>
        <v>857.83389950798039</v>
      </c>
      <c r="D102" s="2713">
        <f>C102+B102</f>
        <v>1682.674187496423</v>
      </c>
      <c r="E102" s="2712"/>
      <c r="F102" s="6455"/>
      <c r="G102" s="6455"/>
      <c r="H102" s="6479"/>
    </row>
    <row r="103" spans="1:8" ht="18.75" x14ac:dyDescent="0.3">
      <c r="A103" s="6456" t="s">
        <v>3667</v>
      </c>
      <c r="B103" s="6456"/>
      <c r="C103" s="6456"/>
      <c r="D103" s="6456"/>
      <c r="E103" s="6456"/>
      <c r="F103" s="6456"/>
      <c r="G103" s="6457"/>
      <c r="H103" s="6457"/>
    </row>
    <row r="104" spans="1:8" x14ac:dyDescent="0.2">
      <c r="A104" s="2712" t="s">
        <v>3664</v>
      </c>
      <c r="B104" s="2713">
        <f>SUM('[52]стоки 2018'!AD45)</f>
        <v>27.518078016</v>
      </c>
      <c r="C104" s="2713">
        <f>SUM('[52]стоки 2018'!AD46)</f>
        <v>28.618801136640002</v>
      </c>
      <c r="D104" s="2713"/>
      <c r="E104" s="2712"/>
      <c r="F104" s="6455">
        <f>E111*D107/D111</f>
        <v>327.68944065464655</v>
      </c>
      <c r="G104" s="6455"/>
      <c r="H104" s="6478"/>
    </row>
    <row r="105" spans="1:8" x14ac:dyDescent="0.2">
      <c r="A105" s="2712" t="s">
        <v>3665</v>
      </c>
      <c r="B105" s="2713">
        <f>SUM([52]объемы!BB60)/2</f>
        <v>1140</v>
      </c>
      <c r="C105" s="2713">
        <f>B105</f>
        <v>1140</v>
      </c>
      <c r="D105" s="2713">
        <f>C105+B105</f>
        <v>2280</v>
      </c>
      <c r="E105" s="2712"/>
      <c r="F105" s="6455"/>
      <c r="G105" s="6455"/>
      <c r="H105" s="6479"/>
    </row>
    <row r="106" spans="1:8" x14ac:dyDescent="0.2">
      <c r="A106" s="2712" t="s">
        <v>3666</v>
      </c>
      <c r="B106" s="2713">
        <f>B104*B105</f>
        <v>31370.608938240002</v>
      </c>
      <c r="C106" s="2713">
        <f>C104*C105</f>
        <v>32625.433295769602</v>
      </c>
      <c r="D106" s="2713">
        <f>C106+B106</f>
        <v>63996.042234009605</v>
      </c>
      <c r="E106" s="2712"/>
      <c r="F106" s="6455"/>
      <c r="G106" s="6455"/>
      <c r="H106" s="6479"/>
    </row>
    <row r="107" spans="1:8" x14ac:dyDescent="0.2">
      <c r="A107" s="2712" t="s">
        <v>968</v>
      </c>
      <c r="B107" s="2713">
        <f>B106*0.02</f>
        <v>627.41217876480005</v>
      </c>
      <c r="C107" s="2713">
        <f>C106*0.02</f>
        <v>652.50866591539204</v>
      </c>
      <c r="D107" s="2713">
        <f>C107+B107</f>
        <v>1279.9208446801922</v>
      </c>
      <c r="E107" s="2712"/>
      <c r="F107" s="6455"/>
      <c r="G107" s="6455"/>
      <c r="H107" s="6479"/>
    </row>
    <row r="108" spans="1:8" x14ac:dyDescent="0.2">
      <c r="A108" s="2716" t="s">
        <v>614</v>
      </c>
      <c r="B108" s="2717"/>
      <c r="C108" s="2717"/>
      <c r="D108" s="2718">
        <f>SUM(D62+D67+D72+D77+D82+D87+D92+D97+D102+D107)</f>
        <v>13794.793246438505</v>
      </c>
      <c r="E108" s="2718">
        <f>4016702.01/1.18/1000</f>
        <v>3403.9847542372881</v>
      </c>
      <c r="F108" s="2718">
        <f>SUM(F59+F64+F69+F74+F79+F84+F89+F94+F99+F104)</f>
        <v>3403.9847542372886</v>
      </c>
      <c r="G108" s="2712"/>
      <c r="H108" s="6478"/>
    </row>
    <row r="109" spans="1:8" x14ac:dyDescent="0.2">
      <c r="A109" s="2719" t="s">
        <v>228</v>
      </c>
      <c r="B109" s="2712"/>
      <c r="C109" s="2712"/>
      <c r="D109" s="2720"/>
      <c r="E109" s="2720"/>
      <c r="F109" s="2712"/>
      <c r="G109" s="2712"/>
      <c r="H109" s="6479"/>
    </row>
    <row r="110" spans="1:8" x14ac:dyDescent="0.2">
      <c r="A110" s="2719" t="s">
        <v>46</v>
      </c>
      <c r="B110" s="2712"/>
      <c r="C110" s="2712"/>
      <c r="D110" s="2721">
        <f>SUM(D62+D72+D82+D92+D102)</f>
        <v>7800.8959797535135</v>
      </c>
      <c r="E110" s="2721">
        <f>E108*C112/(C112+C113)</f>
        <v>1869.4079475346912</v>
      </c>
      <c r="F110" s="6452" t="s">
        <v>1481</v>
      </c>
      <c r="G110" s="2712"/>
      <c r="H110" s="6479"/>
    </row>
    <row r="111" spans="1:8" x14ac:dyDescent="0.2">
      <c r="A111" s="2719" t="s">
        <v>47</v>
      </c>
      <c r="B111" s="2712"/>
      <c r="C111" s="2712"/>
      <c r="D111" s="2721">
        <f>SUM(D67+D77+D87+D97+D107)</f>
        <v>5993.8972666849922</v>
      </c>
      <c r="E111" s="2721">
        <f>E108-E110</f>
        <v>1534.576806702597</v>
      </c>
      <c r="F111" s="6452"/>
      <c r="G111" s="2712"/>
      <c r="H111" s="6479"/>
    </row>
    <row r="112" spans="1:8" x14ac:dyDescent="0.2">
      <c r="A112" s="5" t="s">
        <v>3859</v>
      </c>
      <c r="C112" s="1650">
        <f>SUM(B69+C69)/2</f>
        <v>30.64482368677966</v>
      </c>
    </row>
    <row r="113" spans="1:3" x14ac:dyDescent="0.2">
      <c r="A113" s="5" t="s">
        <v>3860</v>
      </c>
      <c r="C113" s="1650">
        <f>SUM(B74+C74)/2</f>
        <v>25.156005</v>
      </c>
    </row>
    <row r="114" spans="1:3" x14ac:dyDescent="0.2">
      <c r="C114" s="1650"/>
    </row>
    <row r="118" spans="1:3" ht="20.25" x14ac:dyDescent="0.3">
      <c r="A118" s="2435" t="s">
        <v>3986</v>
      </c>
    </row>
  </sheetData>
  <mergeCells count="76">
    <mergeCell ref="A78:H78"/>
    <mergeCell ref="E74:E77"/>
    <mergeCell ref="H104:H107"/>
    <mergeCell ref="H108:H111"/>
    <mergeCell ref="A54:H54"/>
    <mergeCell ref="E59:E62"/>
    <mergeCell ref="E64:E67"/>
    <mergeCell ref="A98:H98"/>
    <mergeCell ref="A103:H103"/>
    <mergeCell ref="H69:H72"/>
    <mergeCell ref="H74:H77"/>
    <mergeCell ref="H79:H82"/>
    <mergeCell ref="H84:H87"/>
    <mergeCell ref="H89:H92"/>
    <mergeCell ref="H94:H97"/>
    <mergeCell ref="H99:H102"/>
    <mergeCell ref="A73:H73"/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  <mergeCell ref="A21:F21"/>
    <mergeCell ref="F22:F25"/>
    <mergeCell ref="A26:G26"/>
    <mergeCell ref="F27:F30"/>
    <mergeCell ref="A31:F31"/>
    <mergeCell ref="F32:F35"/>
    <mergeCell ref="A36:F36"/>
    <mergeCell ref="F37:F40"/>
    <mergeCell ref="A41:F41"/>
    <mergeCell ref="F42:F45"/>
    <mergeCell ref="A83:H83"/>
    <mergeCell ref="A88:H88"/>
    <mergeCell ref="A93:H93"/>
    <mergeCell ref="H56:H57"/>
    <mergeCell ref="H59:H62"/>
    <mergeCell ref="H64:H67"/>
    <mergeCell ref="A58:H58"/>
    <mergeCell ref="A63:H63"/>
    <mergeCell ref="F59:F62"/>
    <mergeCell ref="F84:F87"/>
    <mergeCell ref="F89:F92"/>
    <mergeCell ref="F64:F67"/>
    <mergeCell ref="F69:F72"/>
    <mergeCell ref="F74:F77"/>
    <mergeCell ref="A68:H68"/>
    <mergeCell ref="E69:E72"/>
    <mergeCell ref="F48:F49"/>
    <mergeCell ref="A56:A57"/>
    <mergeCell ref="B56:D56"/>
    <mergeCell ref="E56:E57"/>
    <mergeCell ref="F56:F57"/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F79:F82"/>
    <mergeCell ref="G99:G102"/>
    <mergeCell ref="G104:G10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66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66FF"/>
  </sheetPr>
  <dimension ref="A1:Q23"/>
  <sheetViews>
    <sheetView workbookViewId="0">
      <selection activeCell="E8" sqref="E8"/>
    </sheetView>
  </sheetViews>
  <sheetFormatPr defaultRowHeight="12.75" x14ac:dyDescent="0.2"/>
  <cols>
    <col min="1" max="1" width="51.140625" customWidth="1"/>
    <col min="2" max="5" width="10.7109375" customWidth="1"/>
    <col min="6" max="6" width="12.42578125" customWidth="1"/>
    <col min="7" max="8" width="14.7109375" customWidth="1"/>
  </cols>
  <sheetData>
    <row r="1" spans="1:17" ht="35.25" customHeight="1" x14ac:dyDescent="0.2">
      <c r="A1" s="6485" t="s">
        <v>4162</v>
      </c>
      <c r="B1" s="5090"/>
      <c r="C1" s="5090"/>
      <c r="D1" s="5090"/>
      <c r="E1" s="5090"/>
      <c r="F1" s="5090"/>
      <c r="G1" s="5090"/>
      <c r="H1" s="5090"/>
      <c r="I1" s="5"/>
      <c r="J1" s="5"/>
      <c r="K1" s="5"/>
      <c r="L1" s="5"/>
      <c r="M1" s="5"/>
      <c r="N1" s="5"/>
      <c r="O1" s="5"/>
      <c r="P1" s="5"/>
      <c r="Q1" s="5"/>
    </row>
    <row r="2" spans="1:17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37.5" customHeight="1" x14ac:dyDescent="0.2">
      <c r="A3" s="6491" t="s">
        <v>4172</v>
      </c>
      <c r="B3" s="6490" t="s">
        <v>4153</v>
      </c>
      <c r="C3" s="6490"/>
      <c r="D3" s="6490"/>
      <c r="E3" s="6490"/>
      <c r="F3" s="6494" t="s">
        <v>4161</v>
      </c>
      <c r="G3" s="6493"/>
      <c r="H3" s="6493"/>
      <c r="I3" s="5"/>
      <c r="J3" s="5"/>
      <c r="K3" s="5"/>
      <c r="L3" s="5"/>
      <c r="M3" s="5"/>
      <c r="N3" s="5"/>
      <c r="O3" s="5"/>
      <c r="P3" s="5"/>
      <c r="Q3" s="5"/>
    </row>
    <row r="4" spans="1:17" x14ac:dyDescent="0.2">
      <c r="A4" s="6491"/>
      <c r="B4" s="6490" t="s">
        <v>573</v>
      </c>
      <c r="C4" s="6490" t="s">
        <v>574</v>
      </c>
      <c r="D4" s="6490" t="s">
        <v>575</v>
      </c>
      <c r="E4" s="6491" t="s">
        <v>4155</v>
      </c>
      <c r="F4" s="6490" t="s">
        <v>614</v>
      </c>
      <c r="G4" s="6493" t="s">
        <v>50</v>
      </c>
      <c r="H4" s="6493"/>
      <c r="I4" s="5"/>
      <c r="J4" s="5"/>
      <c r="K4" s="5"/>
      <c r="L4" s="5"/>
      <c r="M4" s="5"/>
      <c r="N4" s="5"/>
      <c r="O4" s="5"/>
      <c r="P4" s="5"/>
      <c r="Q4" s="5"/>
    </row>
    <row r="5" spans="1:17" ht="25.5" x14ac:dyDescent="0.2">
      <c r="A5" s="6490"/>
      <c r="B5" s="6490"/>
      <c r="C5" s="6490"/>
      <c r="D5" s="6490"/>
      <c r="E5" s="6491"/>
      <c r="F5" s="6492"/>
      <c r="G5" s="4116" t="s">
        <v>4159</v>
      </c>
      <c r="H5" s="4117" t="s">
        <v>4160</v>
      </c>
      <c r="I5" s="5"/>
      <c r="J5" s="5"/>
      <c r="K5" s="5"/>
      <c r="L5" s="5"/>
      <c r="M5" s="5"/>
      <c r="N5" s="5"/>
      <c r="O5" s="5"/>
      <c r="P5" s="5"/>
      <c r="Q5" s="5"/>
    </row>
    <row r="6" spans="1:17" ht="39.950000000000003" customHeight="1" x14ac:dyDescent="0.2">
      <c r="A6" s="4120" t="s">
        <v>4154</v>
      </c>
      <c r="B6" s="4118">
        <v>342282.74</v>
      </c>
      <c r="C6" s="4118">
        <v>407157.78</v>
      </c>
      <c r="D6" s="4118">
        <v>399371.64</v>
      </c>
      <c r="E6" s="4118">
        <f>SUM(B6:D6)/3*12</f>
        <v>4595248.6400000006</v>
      </c>
      <c r="F6" s="4131">
        <f>SUM(E6)*1.04</f>
        <v>4779058.5856000008</v>
      </c>
      <c r="G6" s="4131">
        <f>SUM(F6/2)</f>
        <v>2389529.2928000004</v>
      </c>
      <c r="H6" s="4131">
        <f>SUM(G6)</f>
        <v>2389529.2928000004</v>
      </c>
      <c r="I6" s="5"/>
      <c r="J6" s="5"/>
      <c r="K6" s="5"/>
      <c r="L6" s="5"/>
      <c r="M6" s="5"/>
      <c r="N6" s="5"/>
      <c r="O6" s="5"/>
      <c r="P6" s="5"/>
      <c r="Q6" s="5"/>
    </row>
    <row r="7" spans="1:17" ht="39.950000000000003" customHeight="1" x14ac:dyDescent="0.2">
      <c r="A7" s="4120" t="s">
        <v>4158</v>
      </c>
      <c r="B7" s="4132">
        <v>13459.44</v>
      </c>
      <c r="C7" s="4132">
        <v>13276.71</v>
      </c>
      <c r="D7" s="4132">
        <v>10322.51</v>
      </c>
      <c r="E7" s="4132">
        <f t="shared" ref="E7:E9" si="0">SUM(B7:D7)/3*12</f>
        <v>148234.64000000001</v>
      </c>
      <c r="F7" s="4131">
        <f t="shared" ref="F7:F9" si="1">SUM(E7)*1.04</f>
        <v>154164.02560000002</v>
      </c>
      <c r="G7" s="4131">
        <f t="shared" ref="G7:G9" si="2">SUM(F7/2)</f>
        <v>77082.012800000011</v>
      </c>
      <c r="H7" s="4131">
        <f t="shared" ref="H7:H9" si="3">SUM(G7)</f>
        <v>77082.012800000011</v>
      </c>
      <c r="I7" s="5"/>
      <c r="J7" s="5"/>
      <c r="K7" s="5"/>
      <c r="L7" s="5"/>
      <c r="M7" s="5"/>
      <c r="N7" s="5"/>
      <c r="O7" s="5"/>
      <c r="P7" s="5"/>
      <c r="Q7" s="5"/>
    </row>
    <row r="8" spans="1:17" ht="39.950000000000003" customHeight="1" x14ac:dyDescent="0.2">
      <c r="A8" s="4120" t="s">
        <v>4156</v>
      </c>
      <c r="B8" s="4132">
        <v>208</v>
      </c>
      <c r="C8" s="4132">
        <v>320</v>
      </c>
      <c r="D8" s="4132">
        <v>352</v>
      </c>
      <c r="E8" s="4132">
        <f t="shared" si="0"/>
        <v>3520</v>
      </c>
      <c r="F8" s="4131">
        <f t="shared" si="1"/>
        <v>3660.8</v>
      </c>
      <c r="G8" s="4131">
        <f t="shared" si="2"/>
        <v>1830.4</v>
      </c>
      <c r="H8" s="4131">
        <f t="shared" si="3"/>
        <v>1830.4</v>
      </c>
      <c r="I8" s="5"/>
      <c r="J8" s="5"/>
      <c r="K8" s="5"/>
      <c r="L8" s="5"/>
      <c r="M8" s="5"/>
      <c r="N8" s="5"/>
      <c r="O8" s="5"/>
      <c r="P8" s="5"/>
      <c r="Q8" s="5"/>
    </row>
    <row r="9" spans="1:17" ht="39.950000000000003" customHeight="1" x14ac:dyDescent="0.2">
      <c r="A9" s="4120" t="s">
        <v>4157</v>
      </c>
      <c r="B9" s="4132">
        <v>0</v>
      </c>
      <c r="C9" s="4132">
        <v>0</v>
      </c>
      <c r="D9" s="4132">
        <v>4611.3</v>
      </c>
      <c r="E9" s="4132">
        <f t="shared" si="0"/>
        <v>18445.2</v>
      </c>
      <c r="F9" s="4131">
        <f t="shared" si="1"/>
        <v>19183.008000000002</v>
      </c>
      <c r="G9" s="4131">
        <f t="shared" si="2"/>
        <v>9591.5040000000008</v>
      </c>
      <c r="H9" s="4131">
        <f t="shared" si="3"/>
        <v>9591.5040000000008</v>
      </c>
      <c r="I9" s="5"/>
      <c r="J9" s="5"/>
      <c r="K9" s="5"/>
      <c r="L9" s="5"/>
      <c r="M9" s="5"/>
      <c r="N9" s="5"/>
      <c r="O9" s="5"/>
      <c r="P9" s="5"/>
      <c r="Q9" s="5"/>
    </row>
    <row r="10" spans="1:17" ht="39.950000000000003" customHeight="1" x14ac:dyDescent="0.2">
      <c r="A10" s="4133" t="s">
        <v>614</v>
      </c>
      <c r="B10" s="4134">
        <f>SUM(B6:B9)</f>
        <v>355950.18</v>
      </c>
      <c r="C10" s="4134">
        <f t="shared" ref="C10:E10" si="4">SUM(C6:C9)</f>
        <v>420754.49000000005</v>
      </c>
      <c r="D10" s="4134">
        <f t="shared" si="4"/>
        <v>414657.45</v>
      </c>
      <c r="E10" s="4134">
        <f t="shared" si="4"/>
        <v>4765448.4800000004</v>
      </c>
      <c r="F10" s="4135">
        <f>SUM(F6:F9)</f>
        <v>4956066.4192000013</v>
      </c>
      <c r="G10" s="4135">
        <f t="shared" ref="G10:H10" si="5">SUM(G6:G9)</f>
        <v>2478033.2096000006</v>
      </c>
      <c r="H10" s="4135">
        <f t="shared" si="5"/>
        <v>2478033.2096000006</v>
      </c>
      <c r="I10" s="5"/>
      <c r="J10" s="5"/>
      <c r="K10" s="5"/>
      <c r="L10" s="5"/>
      <c r="M10" s="5"/>
      <c r="N10" s="5"/>
      <c r="O10" s="5"/>
      <c r="P10" s="5"/>
      <c r="Q10" s="5"/>
    </row>
    <row r="11" spans="1:17" x14ac:dyDescent="0.2">
      <c r="A11" s="371"/>
      <c r="B11" s="371"/>
      <c r="C11" s="371"/>
      <c r="D11" s="371"/>
      <c r="E11" s="371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ht="11.25" customHeight="1" x14ac:dyDescent="0.2">
      <c r="A12" s="6486" t="s">
        <v>4166</v>
      </c>
      <c r="B12" s="6486"/>
      <c r="C12" s="6486"/>
      <c r="D12" s="6486"/>
      <c r="E12" s="6486"/>
      <c r="F12" s="6486"/>
      <c r="G12" s="6486"/>
      <c r="H12" s="6486"/>
      <c r="I12" s="2091"/>
      <c r="J12" s="2091"/>
      <c r="K12" s="2091"/>
      <c r="L12" s="2091"/>
      <c r="M12" s="2091"/>
      <c r="N12" s="2091"/>
      <c r="O12" s="2091"/>
      <c r="P12" s="2091"/>
      <c r="Q12" s="2091"/>
    </row>
    <row r="13" spans="1:17" ht="13.5" customHeight="1" x14ac:dyDescent="0.2">
      <c r="A13" s="6487" t="s">
        <v>4167</v>
      </c>
      <c r="B13" s="6487"/>
      <c r="C13" s="6487"/>
      <c r="D13" s="6487"/>
      <c r="E13" s="6487"/>
      <c r="F13" s="6487"/>
      <c r="G13" s="6487"/>
      <c r="H13" s="6487"/>
      <c r="I13" s="2091"/>
      <c r="J13" s="2091"/>
      <c r="K13" s="2091"/>
      <c r="L13" s="2091"/>
      <c r="M13" s="2091"/>
      <c r="N13" s="2091"/>
      <c r="O13" s="2091"/>
      <c r="P13" s="2091"/>
      <c r="Q13" s="2091"/>
    </row>
    <row r="14" spans="1:17" ht="53.25" customHeight="1" x14ac:dyDescent="0.2">
      <c r="A14" s="6484" t="s">
        <v>4168</v>
      </c>
      <c r="B14" s="6484"/>
      <c r="C14" s="6484"/>
      <c r="D14" s="6484"/>
      <c r="E14" s="6484"/>
      <c r="F14" s="6484"/>
      <c r="G14" s="6484"/>
      <c r="H14" s="6484"/>
      <c r="I14" s="4136"/>
      <c r="J14" s="4136"/>
      <c r="K14" s="4136"/>
      <c r="L14" s="4136"/>
      <c r="M14" s="4136"/>
      <c r="N14" s="4136"/>
      <c r="O14" s="4136"/>
      <c r="P14" s="4136"/>
      <c r="Q14" s="4136"/>
    </row>
    <row r="15" spans="1:17" ht="13.5" customHeight="1" x14ac:dyDescent="0.2">
      <c r="A15" s="6488" t="s">
        <v>4169</v>
      </c>
      <c r="B15" s="5525"/>
      <c r="C15" s="5525"/>
      <c r="D15" s="5525"/>
      <c r="E15" s="5525"/>
      <c r="F15" s="5525"/>
      <c r="G15" s="5525"/>
      <c r="H15" s="5525"/>
      <c r="I15" s="2091"/>
      <c r="J15" s="2091"/>
      <c r="K15" s="2091"/>
      <c r="L15" s="2091"/>
      <c r="M15" s="2091"/>
      <c r="N15" s="2091"/>
      <c r="O15" s="2091"/>
      <c r="P15" s="2091"/>
      <c r="Q15" s="2091"/>
    </row>
    <row r="16" spans="1:17" x14ac:dyDescent="0.2">
      <c r="A16" s="6489" t="s">
        <v>4170</v>
      </c>
      <c r="B16" s="4910"/>
      <c r="C16" s="4910"/>
      <c r="D16" s="4910"/>
      <c r="E16" s="4910"/>
      <c r="F16" s="4910"/>
      <c r="G16" s="4910"/>
      <c r="H16" s="4910"/>
      <c r="I16" s="5"/>
      <c r="J16" s="5"/>
      <c r="K16" s="5"/>
      <c r="L16" s="5"/>
      <c r="M16" s="5"/>
      <c r="N16" s="5"/>
      <c r="O16" s="5"/>
      <c r="P16" s="5"/>
      <c r="Q16" s="5"/>
    </row>
    <row r="17" spans="1:17" ht="13.5" customHeight="1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ht="33" customHeight="1" x14ac:dyDescent="0.3">
      <c r="A18" s="6481" t="s">
        <v>4171</v>
      </c>
      <c r="B18" s="6481"/>
      <c r="C18" s="6481"/>
      <c r="D18" s="6481"/>
      <c r="E18" s="6481"/>
      <c r="F18" s="6481"/>
      <c r="G18" s="6481"/>
      <c r="H18" s="6481"/>
      <c r="I18" s="2091"/>
      <c r="J18" s="2091"/>
      <c r="K18" s="2091"/>
      <c r="L18" s="2091"/>
      <c r="M18" s="2091"/>
      <c r="N18" s="2091"/>
      <c r="O18" s="2091"/>
      <c r="P18" s="2091"/>
      <c r="Q18" s="2091"/>
    </row>
    <row r="19" spans="1:17" ht="60.75" customHeight="1" x14ac:dyDescent="0.2">
      <c r="A19" s="6482"/>
      <c r="B19" s="6482"/>
      <c r="C19" s="6482"/>
      <c r="D19" s="6482"/>
      <c r="E19" s="6482"/>
      <c r="F19" s="6482"/>
      <c r="G19" s="6482"/>
      <c r="H19" s="6482"/>
      <c r="I19" s="4136"/>
      <c r="J19" s="4136"/>
      <c r="K19" s="4136"/>
      <c r="L19" s="4136"/>
      <c r="M19" s="4136"/>
      <c r="N19" s="4136"/>
      <c r="O19" s="4136"/>
      <c r="P19" s="4136"/>
      <c r="Q19" s="4136"/>
    </row>
    <row r="20" spans="1:17" ht="51.75" customHeight="1" x14ac:dyDescent="0.2">
      <c r="A20" s="6483"/>
      <c r="B20" s="6483"/>
      <c r="C20" s="6483"/>
      <c r="D20" s="6483"/>
      <c r="E20" s="6483"/>
      <c r="F20" s="6483"/>
      <c r="G20" s="6483"/>
      <c r="H20" s="6483"/>
      <c r="I20" s="6483"/>
      <c r="J20" s="6483"/>
      <c r="K20" s="6483"/>
      <c r="L20" s="6483"/>
      <c r="M20" s="6483"/>
      <c r="N20" s="6483"/>
      <c r="O20" s="6483"/>
      <c r="P20" s="6483"/>
      <c r="Q20" s="6483"/>
    </row>
    <row r="21" spans="1:17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</sheetData>
  <mergeCells count="18">
    <mergeCell ref="D4:D5"/>
    <mergeCell ref="E4:E5"/>
    <mergeCell ref="A18:H18"/>
    <mergeCell ref="A19:H19"/>
    <mergeCell ref="A20:Q20"/>
    <mergeCell ref="A14:H14"/>
    <mergeCell ref="A1:H1"/>
    <mergeCell ref="A12:H12"/>
    <mergeCell ref="A13:H13"/>
    <mergeCell ref="A15:H15"/>
    <mergeCell ref="A16:H16"/>
    <mergeCell ref="B3:E3"/>
    <mergeCell ref="A3:A5"/>
    <mergeCell ref="F4:F5"/>
    <mergeCell ref="G4:H4"/>
    <mergeCell ref="F3:H3"/>
    <mergeCell ref="B4:B5"/>
    <mergeCell ref="C4:C5"/>
  </mergeCells>
  <printOptions horizontalCentered="1"/>
  <pageMargins left="0.51181102362204722" right="0.51181102362204722" top="0.74803149606299213" bottom="0.74803149606299213" header="0.31496062992125984" footer="0.31496062992125984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5142" t="s">
        <v>1507</v>
      </c>
      <c r="H1" s="5142"/>
    </row>
    <row r="2" spans="1:8" ht="27.75" customHeight="1" x14ac:dyDescent="0.2">
      <c r="A2" s="5156" t="s">
        <v>3671</v>
      </c>
      <c r="B2" s="5156"/>
      <c r="C2" s="5156"/>
      <c r="D2" s="5156"/>
      <c r="E2" s="5156"/>
      <c r="F2" s="5156"/>
      <c r="G2" s="5156"/>
      <c r="H2" s="5156"/>
    </row>
    <row r="3" spans="1:8" ht="15.75" thickBot="1" x14ac:dyDescent="0.3">
      <c r="A3" s="5132" t="s">
        <v>1794</v>
      </c>
      <c r="B3" s="5132"/>
      <c r="C3" s="5132"/>
      <c r="D3" s="5132"/>
      <c r="E3" s="5132"/>
      <c r="F3" s="5132"/>
      <c r="G3" s="5132"/>
      <c r="H3" s="5132"/>
    </row>
    <row r="4" spans="1:8" x14ac:dyDescent="0.2">
      <c r="A4" s="5126" t="s">
        <v>1718</v>
      </c>
      <c r="B4" s="5133" t="s">
        <v>1719</v>
      </c>
      <c r="C4" s="5135" t="s">
        <v>1720</v>
      </c>
      <c r="D4" s="5133" t="s">
        <v>1721</v>
      </c>
      <c r="E4" s="5137"/>
      <c r="F4" s="5138" t="s">
        <v>1722</v>
      </c>
      <c r="G4" s="5133" t="s">
        <v>1723</v>
      </c>
      <c r="H4" s="5140" t="s">
        <v>1708</v>
      </c>
    </row>
    <row r="5" spans="1:8" ht="13.5" thickBot="1" x14ac:dyDescent="0.25">
      <c r="A5" s="5127"/>
      <c r="B5" s="5134"/>
      <c r="C5" s="5136"/>
      <c r="D5" s="2703" t="s">
        <v>1563</v>
      </c>
      <c r="E5" s="1943" t="s">
        <v>60</v>
      </c>
      <c r="F5" s="5139"/>
      <c r="G5" s="5134"/>
      <c r="H5" s="5141"/>
    </row>
    <row r="6" spans="1:8" ht="88.5" customHeight="1" x14ac:dyDescent="0.2">
      <c r="A6" s="5126" t="s">
        <v>1724</v>
      </c>
      <c r="B6" s="1944" t="s">
        <v>1725</v>
      </c>
      <c r="C6" s="2702" t="s">
        <v>44</v>
      </c>
      <c r="D6" s="1946">
        <v>8</v>
      </c>
      <c r="E6" s="2084">
        <v>8</v>
      </c>
      <c r="F6" s="1948">
        <f>1/D17</f>
        <v>0.33333333333333331</v>
      </c>
      <c r="G6" s="1949">
        <f>IF(D6/E6&gt;1,1,D6/E6)</f>
        <v>1</v>
      </c>
      <c r="H6" s="1950">
        <f t="shared" ref="H6:H11" si="0">F6*G6</f>
        <v>0.33333333333333331</v>
      </c>
    </row>
    <row r="7" spans="1:8" ht="54.75" customHeight="1" thickBot="1" x14ac:dyDescent="0.25">
      <c r="A7" s="5127"/>
      <c r="B7" s="1984" t="s">
        <v>1726</v>
      </c>
      <c r="C7" s="2703" t="s">
        <v>44</v>
      </c>
      <c r="D7" s="1952">
        <v>40.5</v>
      </c>
      <c r="E7" s="1953">
        <v>40.5</v>
      </c>
      <c r="F7" s="1954">
        <f>F6</f>
        <v>0.33333333333333331</v>
      </c>
      <c r="G7" s="1949">
        <f>IF(D7/E7&gt;1,1,D7/E7)</f>
        <v>1</v>
      </c>
      <c r="H7" s="1950">
        <f t="shared" si="0"/>
        <v>0.33333333333333331</v>
      </c>
    </row>
    <row r="8" spans="1:8" ht="68.25" customHeight="1" x14ac:dyDescent="0.2">
      <c r="A8" s="5126" t="s">
        <v>1727</v>
      </c>
      <c r="B8" s="1957" t="s">
        <v>1728</v>
      </c>
      <c r="C8" s="2702" t="s">
        <v>1729</v>
      </c>
      <c r="D8" s="1946">
        <v>0.37</v>
      </c>
      <c r="E8" s="2215">
        <v>0.48</v>
      </c>
      <c r="F8" s="1958">
        <f>F7</f>
        <v>0.33333333333333331</v>
      </c>
      <c r="G8" s="1985">
        <f>IF(D8/E8&gt;1,1,D8/E8)</f>
        <v>0.77083333333333337</v>
      </c>
      <c r="H8" s="1960">
        <f t="shared" si="0"/>
        <v>0.25694444444444442</v>
      </c>
    </row>
    <row r="9" spans="1:8" ht="32.25" customHeight="1" thickBot="1" x14ac:dyDescent="0.25">
      <c r="A9" s="5127"/>
      <c r="B9" s="1984" t="s">
        <v>2010</v>
      </c>
      <c r="C9" s="2703" t="s">
        <v>1729</v>
      </c>
      <c r="D9" s="1952">
        <v>10.7</v>
      </c>
      <c r="E9" s="2216">
        <v>10.8</v>
      </c>
      <c r="F9" s="1954">
        <f>1/D18</f>
        <v>0.33333333333333331</v>
      </c>
      <c r="G9" s="1986">
        <f>IF(D9/E9&gt;1,1,D9/E9)</f>
        <v>0.99074074074074059</v>
      </c>
      <c r="H9" s="1956">
        <f t="shared" si="0"/>
        <v>0.33024691358024683</v>
      </c>
    </row>
    <row r="10" spans="1:8" ht="40.5" customHeight="1" x14ac:dyDescent="0.2">
      <c r="A10" s="5126" t="s">
        <v>1731</v>
      </c>
      <c r="B10" s="1944" t="s">
        <v>1732</v>
      </c>
      <c r="C10" s="2702" t="s">
        <v>44</v>
      </c>
      <c r="D10" s="1946">
        <v>0</v>
      </c>
      <c r="E10" s="1947">
        <v>0</v>
      </c>
      <c r="F10" s="1958">
        <f>F9</f>
        <v>0.33333333333333331</v>
      </c>
      <c r="G10" s="1959">
        <v>1</v>
      </c>
      <c r="H10" s="1960">
        <f t="shared" si="0"/>
        <v>0.33333333333333331</v>
      </c>
    </row>
    <row r="11" spans="1:8" ht="33.75" customHeight="1" thickBot="1" x14ac:dyDescent="0.25">
      <c r="A11" s="5127"/>
      <c r="B11" s="1951" t="s">
        <v>1733</v>
      </c>
      <c r="C11" s="2703" t="s">
        <v>44</v>
      </c>
      <c r="D11" s="1952">
        <v>100</v>
      </c>
      <c r="E11" s="2085">
        <v>100</v>
      </c>
      <c r="F11" s="1954">
        <f>F10</f>
        <v>0.33333333333333331</v>
      </c>
      <c r="G11" s="1955">
        <f>IF(D11/E11&gt;1,1,D11/E11)</f>
        <v>1</v>
      </c>
      <c r="H11" s="1956">
        <f t="shared" si="0"/>
        <v>0.33333333333333331</v>
      </c>
    </row>
    <row r="12" spans="1:8" ht="38.25" customHeight="1" x14ac:dyDescent="0.2">
      <c r="A12" s="5126" t="s">
        <v>1734</v>
      </c>
      <c r="B12" s="1957" t="s">
        <v>1735</v>
      </c>
      <c r="C12" s="2702" t="s">
        <v>44</v>
      </c>
      <c r="D12" s="1946">
        <v>19.7</v>
      </c>
      <c r="E12" s="1947">
        <v>37.159999999999997</v>
      </c>
      <c r="F12" s="1948">
        <v>0</v>
      </c>
      <c r="G12" s="1987">
        <f>IF(D12/E12&gt;1,1,D12/E12)</f>
        <v>0.53013993541442417</v>
      </c>
      <c r="H12" s="1950"/>
    </row>
    <row r="13" spans="1:8" ht="38.25" customHeight="1" x14ac:dyDescent="0.2">
      <c r="A13" s="5128"/>
      <c r="B13" s="2709" t="s">
        <v>1738</v>
      </c>
      <c r="C13" s="2706" t="s">
        <v>1736</v>
      </c>
      <c r="D13" s="1982">
        <v>0.124</v>
      </c>
      <c r="E13" s="1983">
        <v>0.124</v>
      </c>
      <c r="F13" s="1948"/>
      <c r="G13" s="1961"/>
      <c r="H13" s="1950"/>
    </row>
    <row r="14" spans="1:8" ht="40.5" customHeight="1" x14ac:dyDescent="0.2">
      <c r="A14" s="5129"/>
      <c r="B14" s="2709" t="s">
        <v>1739</v>
      </c>
      <c r="C14" s="2706" t="s">
        <v>1736</v>
      </c>
      <c r="D14" s="1851">
        <v>0.24199999999999999</v>
      </c>
      <c r="E14" s="1962">
        <v>0.23899999999999999</v>
      </c>
      <c r="F14" s="1963">
        <v>0</v>
      </c>
      <c r="G14" s="1964"/>
      <c r="H14" s="1965"/>
    </row>
    <row r="15" spans="1:8" ht="40.5" customHeight="1" x14ac:dyDescent="0.2">
      <c r="A15" s="5130"/>
      <c r="B15" s="1966" t="s">
        <v>1737</v>
      </c>
      <c r="C15" s="2706" t="s">
        <v>1736</v>
      </c>
      <c r="D15" s="1967">
        <v>0.42</v>
      </c>
      <c r="E15" s="1968">
        <v>0.377</v>
      </c>
      <c r="F15" s="1969"/>
      <c r="G15" s="1970"/>
      <c r="H15" s="1971"/>
    </row>
    <row r="16" spans="1:8" ht="42.75" customHeight="1" thickBot="1" x14ac:dyDescent="0.25">
      <c r="A16" s="5130"/>
      <c r="B16" s="1966" t="s">
        <v>1740</v>
      </c>
      <c r="C16" s="2705" t="s">
        <v>1736</v>
      </c>
      <c r="D16" s="1967">
        <v>8.4000000000000005E-2</v>
      </c>
      <c r="E16" s="1968">
        <v>0.1</v>
      </c>
      <c r="F16" s="1969">
        <v>0</v>
      </c>
      <c r="G16" s="1970"/>
      <c r="H16" s="1971"/>
    </row>
    <row r="17" spans="1:8" x14ac:dyDescent="0.2">
      <c r="A17" s="1972"/>
      <c r="B17" s="1973"/>
      <c r="C17" s="1973" t="s">
        <v>286</v>
      </c>
      <c r="D17" s="1973">
        <v>3</v>
      </c>
      <c r="E17" s="1973"/>
      <c r="F17" s="1974">
        <f>F6+F7+F8</f>
        <v>1</v>
      </c>
      <c r="G17" s="1975"/>
      <c r="H17" s="2214">
        <f>H6+H7+H8</f>
        <v>0.92361111111111105</v>
      </c>
    </row>
    <row r="18" spans="1:8" ht="13.5" thickBot="1" x14ac:dyDescent="0.25">
      <c r="A18" s="1977"/>
      <c r="B18" s="1978"/>
      <c r="C18" s="1978" t="s">
        <v>314</v>
      </c>
      <c r="D18" s="1978">
        <v>3</v>
      </c>
      <c r="E18" s="1978"/>
      <c r="F18" s="1979">
        <f>F9+F10+F11</f>
        <v>1</v>
      </c>
      <c r="G18" s="1980"/>
      <c r="H18" s="2213">
        <f>H9+H10+H11</f>
        <v>0.99691358024691334</v>
      </c>
    </row>
    <row r="22" spans="1:8" x14ac:dyDescent="0.2">
      <c r="B22" s="5" t="s">
        <v>366</v>
      </c>
      <c r="C22" s="5"/>
      <c r="D22" s="5"/>
    </row>
    <row r="23" spans="1:8" ht="28.5" x14ac:dyDescent="0.2">
      <c r="B23" s="2707" t="s">
        <v>1812</v>
      </c>
      <c r="C23" s="1988">
        <f>C24*C26*C27*C28</f>
        <v>4372.4244373956808</v>
      </c>
      <c r="D23" s="2704"/>
    </row>
    <row r="24" spans="1:8" ht="14.25" x14ac:dyDescent="0.2">
      <c r="B24" s="1989" t="s">
        <v>1742</v>
      </c>
      <c r="C24" s="2710">
        <v>0.03</v>
      </c>
      <c r="D24" s="2057" t="s">
        <v>3672</v>
      </c>
    </row>
    <row r="25" spans="1:8" x14ac:dyDescent="0.2">
      <c r="B25" s="1989" t="s">
        <v>1744</v>
      </c>
      <c r="C25" s="2710">
        <f>IF(1-H53&gt;1/100,1/100,1-H53)</f>
        <v>0.01</v>
      </c>
      <c r="D25" s="2057"/>
    </row>
    <row r="26" spans="1:8" ht="14.25" x14ac:dyDescent="0.2">
      <c r="B26" s="1989" t="s">
        <v>1813</v>
      </c>
      <c r="C26" s="2710">
        <f>'[53]вода 2018 коррект'!N10</f>
        <v>135150.34286266143</v>
      </c>
      <c r="D26" s="2057"/>
    </row>
    <row r="27" spans="1:8" ht="14.25" x14ac:dyDescent="0.2">
      <c r="B27" s="1989" t="s">
        <v>1814</v>
      </c>
      <c r="C27" s="1991">
        <v>1.0469999999999999</v>
      </c>
      <c r="D27" s="2057"/>
    </row>
    <row r="28" spans="1:8" ht="14.25" x14ac:dyDescent="0.2">
      <c r="B28" s="1989" t="s">
        <v>3673</v>
      </c>
      <c r="C28" s="1992">
        <v>1.03</v>
      </c>
      <c r="D28" s="1993"/>
    </row>
    <row r="29" spans="1:8" x14ac:dyDescent="0.2">
      <c r="B29" s="5" t="s">
        <v>47</v>
      </c>
      <c r="C29" s="5"/>
      <c r="D29" s="5"/>
    </row>
    <row r="30" spans="1:8" ht="28.5" x14ac:dyDescent="0.2">
      <c r="B30" s="2707" t="s">
        <v>1812</v>
      </c>
      <c r="C30" s="1988">
        <f>C32*C33*C34*C35</f>
        <v>1015.4171782492955</v>
      </c>
      <c r="D30" s="2704"/>
    </row>
    <row r="31" spans="1:8" ht="14.25" x14ac:dyDescent="0.2">
      <c r="B31" s="1989" t="s">
        <v>1742</v>
      </c>
      <c r="C31" s="2710">
        <v>0.03</v>
      </c>
      <c r="D31" s="2057" t="s">
        <v>3672</v>
      </c>
    </row>
    <row r="32" spans="1:8" x14ac:dyDescent="0.2">
      <c r="B32" s="1989" t="s">
        <v>1744</v>
      </c>
      <c r="C32" s="2710">
        <f>IF(1-H60&gt;1/100,1/100,1-H60)</f>
        <v>0.01</v>
      </c>
      <c r="D32" s="2057"/>
    </row>
    <row r="33" spans="2:4" ht="25.5" x14ac:dyDescent="0.2">
      <c r="B33" s="1989" t="s">
        <v>1813</v>
      </c>
      <c r="C33" s="2710">
        <f>'[53]стоки 2018'!N10</f>
        <v>94243.238690983708</v>
      </c>
      <c r="D33" s="2057" t="s">
        <v>1816</v>
      </c>
    </row>
    <row r="34" spans="2:4" ht="14.25" x14ac:dyDescent="0.2">
      <c r="B34" s="1989" t="s">
        <v>1747</v>
      </c>
      <c r="C34" s="1991">
        <v>1.0389999999999999</v>
      </c>
      <c r="D34" s="2057"/>
    </row>
    <row r="35" spans="2:4" ht="14.25" x14ac:dyDescent="0.2">
      <c r="B35" s="1989" t="s">
        <v>1814</v>
      </c>
      <c r="C35" s="1992">
        <v>1.0369999999999999</v>
      </c>
      <c r="D35" s="1993"/>
    </row>
    <row r="37" spans="2:4" x14ac:dyDescent="0.2">
      <c r="B37" s="5" t="s">
        <v>25</v>
      </c>
      <c r="C37" s="5"/>
      <c r="D37" s="5"/>
    </row>
    <row r="38" spans="2:4" ht="28.5" x14ac:dyDescent="0.2">
      <c r="B38" s="2707" t="s">
        <v>1812</v>
      </c>
      <c r="C38" s="1988">
        <v>0</v>
      </c>
      <c r="D38" s="2704"/>
    </row>
    <row r="39" spans="2:4" ht="14.25" x14ac:dyDescent="0.2">
      <c r="B39" s="1989" t="s">
        <v>1742</v>
      </c>
      <c r="C39" s="2710">
        <v>0.03</v>
      </c>
      <c r="D39" s="2057" t="s">
        <v>3672</v>
      </c>
    </row>
    <row r="40" spans="2:4" x14ac:dyDescent="0.2">
      <c r="B40" s="1989" t="s">
        <v>1744</v>
      </c>
      <c r="C40" s="2710">
        <f>IF(1-H68&gt;1/100,1/100,1-H68)</f>
        <v>0.01</v>
      </c>
      <c r="D40" s="2057"/>
    </row>
    <row r="41" spans="2:4" ht="25.5" x14ac:dyDescent="0.2">
      <c r="B41" s="1989" t="s">
        <v>1813</v>
      </c>
      <c r="C41" s="2710">
        <v>0</v>
      </c>
      <c r="D41" s="2057" t="s">
        <v>1816</v>
      </c>
    </row>
    <row r="42" spans="2:4" ht="14.25" x14ac:dyDescent="0.2">
      <c r="B42" s="1989" t="s">
        <v>1747</v>
      </c>
      <c r="C42" s="1991">
        <v>1.0389999999999999</v>
      </c>
      <c r="D42" s="2057"/>
    </row>
    <row r="43" spans="2:4" ht="14.25" x14ac:dyDescent="0.2">
      <c r="B43" s="1989" t="s">
        <v>1814</v>
      </c>
      <c r="C43" s="1992">
        <v>1.0369999999999999</v>
      </c>
      <c r="D43" s="1993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Лист71">
    <tabColor rgb="FFFFFF00"/>
    <pageSetUpPr fitToPage="1"/>
  </sheetPr>
  <dimension ref="A1:I68"/>
  <sheetViews>
    <sheetView workbookViewId="0">
      <selection activeCell="S31" sqref="S31"/>
    </sheetView>
  </sheetViews>
  <sheetFormatPr defaultRowHeight="12.75" x14ac:dyDescent="0.2"/>
  <cols>
    <col min="1" max="7" width="12.7109375" style="2482" customWidth="1"/>
    <col min="8" max="8" width="9.140625" style="2482"/>
    <col min="9" max="9" width="19.28515625" style="2482" customWidth="1"/>
    <col min="10" max="258" width="9.140625" style="2482"/>
    <col min="259" max="259" width="20.7109375" style="2482" customWidth="1"/>
    <col min="260" max="262" width="14.7109375" style="2482" customWidth="1"/>
    <col min="263" max="514" width="9.140625" style="2482"/>
    <col min="515" max="515" width="20.7109375" style="2482" customWidth="1"/>
    <col min="516" max="518" width="14.7109375" style="2482" customWidth="1"/>
    <col min="519" max="770" width="9.140625" style="2482"/>
    <col min="771" max="771" width="20.7109375" style="2482" customWidth="1"/>
    <col min="772" max="774" width="14.7109375" style="2482" customWidth="1"/>
    <col min="775" max="1026" width="9.140625" style="2482"/>
    <col min="1027" max="1027" width="20.7109375" style="2482" customWidth="1"/>
    <col min="1028" max="1030" width="14.7109375" style="2482" customWidth="1"/>
    <col min="1031" max="1282" width="9.140625" style="2482"/>
    <col min="1283" max="1283" width="20.7109375" style="2482" customWidth="1"/>
    <col min="1284" max="1286" width="14.7109375" style="2482" customWidth="1"/>
    <col min="1287" max="1538" width="9.140625" style="2482"/>
    <col min="1539" max="1539" width="20.7109375" style="2482" customWidth="1"/>
    <col min="1540" max="1542" width="14.7109375" style="2482" customWidth="1"/>
    <col min="1543" max="1794" width="9.140625" style="2482"/>
    <col min="1795" max="1795" width="20.7109375" style="2482" customWidth="1"/>
    <col min="1796" max="1798" width="14.7109375" style="2482" customWidth="1"/>
    <col min="1799" max="2050" width="9.140625" style="2482"/>
    <col min="2051" max="2051" width="20.7109375" style="2482" customWidth="1"/>
    <col min="2052" max="2054" width="14.7109375" style="2482" customWidth="1"/>
    <col min="2055" max="2306" width="9.140625" style="2482"/>
    <col min="2307" max="2307" width="20.7109375" style="2482" customWidth="1"/>
    <col min="2308" max="2310" width="14.7109375" style="2482" customWidth="1"/>
    <col min="2311" max="2562" width="9.140625" style="2482"/>
    <col min="2563" max="2563" width="20.7109375" style="2482" customWidth="1"/>
    <col min="2564" max="2566" width="14.7109375" style="2482" customWidth="1"/>
    <col min="2567" max="2818" width="9.140625" style="2482"/>
    <col min="2819" max="2819" width="20.7109375" style="2482" customWidth="1"/>
    <col min="2820" max="2822" width="14.7109375" style="2482" customWidth="1"/>
    <col min="2823" max="3074" width="9.140625" style="2482"/>
    <col min="3075" max="3075" width="20.7109375" style="2482" customWidth="1"/>
    <col min="3076" max="3078" width="14.7109375" style="2482" customWidth="1"/>
    <col min="3079" max="3330" width="9.140625" style="2482"/>
    <col min="3331" max="3331" width="20.7109375" style="2482" customWidth="1"/>
    <col min="3332" max="3334" width="14.7109375" style="2482" customWidth="1"/>
    <col min="3335" max="3586" width="9.140625" style="2482"/>
    <col min="3587" max="3587" width="20.7109375" style="2482" customWidth="1"/>
    <col min="3588" max="3590" width="14.7109375" style="2482" customWidth="1"/>
    <col min="3591" max="3842" width="9.140625" style="2482"/>
    <col min="3843" max="3843" width="20.7109375" style="2482" customWidth="1"/>
    <col min="3844" max="3846" width="14.7109375" style="2482" customWidth="1"/>
    <col min="3847" max="4098" width="9.140625" style="2482"/>
    <col min="4099" max="4099" width="20.7109375" style="2482" customWidth="1"/>
    <col min="4100" max="4102" width="14.7109375" style="2482" customWidth="1"/>
    <col min="4103" max="4354" width="9.140625" style="2482"/>
    <col min="4355" max="4355" width="20.7109375" style="2482" customWidth="1"/>
    <col min="4356" max="4358" width="14.7109375" style="2482" customWidth="1"/>
    <col min="4359" max="4610" width="9.140625" style="2482"/>
    <col min="4611" max="4611" width="20.7109375" style="2482" customWidth="1"/>
    <col min="4612" max="4614" width="14.7109375" style="2482" customWidth="1"/>
    <col min="4615" max="4866" width="9.140625" style="2482"/>
    <col min="4867" max="4867" width="20.7109375" style="2482" customWidth="1"/>
    <col min="4868" max="4870" width="14.7109375" style="2482" customWidth="1"/>
    <col min="4871" max="5122" width="9.140625" style="2482"/>
    <col min="5123" max="5123" width="20.7109375" style="2482" customWidth="1"/>
    <col min="5124" max="5126" width="14.7109375" style="2482" customWidth="1"/>
    <col min="5127" max="5378" width="9.140625" style="2482"/>
    <col min="5379" max="5379" width="20.7109375" style="2482" customWidth="1"/>
    <col min="5380" max="5382" width="14.7109375" style="2482" customWidth="1"/>
    <col min="5383" max="5634" width="9.140625" style="2482"/>
    <col min="5635" max="5635" width="20.7109375" style="2482" customWidth="1"/>
    <col min="5636" max="5638" width="14.7109375" style="2482" customWidth="1"/>
    <col min="5639" max="5890" width="9.140625" style="2482"/>
    <col min="5891" max="5891" width="20.7109375" style="2482" customWidth="1"/>
    <col min="5892" max="5894" width="14.7109375" style="2482" customWidth="1"/>
    <col min="5895" max="6146" width="9.140625" style="2482"/>
    <col min="6147" max="6147" width="20.7109375" style="2482" customWidth="1"/>
    <col min="6148" max="6150" width="14.7109375" style="2482" customWidth="1"/>
    <col min="6151" max="6402" width="9.140625" style="2482"/>
    <col min="6403" max="6403" width="20.7109375" style="2482" customWidth="1"/>
    <col min="6404" max="6406" width="14.7109375" style="2482" customWidth="1"/>
    <col min="6407" max="6658" width="9.140625" style="2482"/>
    <col min="6659" max="6659" width="20.7109375" style="2482" customWidth="1"/>
    <col min="6660" max="6662" width="14.7109375" style="2482" customWidth="1"/>
    <col min="6663" max="6914" width="9.140625" style="2482"/>
    <col min="6915" max="6915" width="20.7109375" style="2482" customWidth="1"/>
    <col min="6916" max="6918" width="14.7109375" style="2482" customWidth="1"/>
    <col min="6919" max="7170" width="9.140625" style="2482"/>
    <col min="7171" max="7171" width="20.7109375" style="2482" customWidth="1"/>
    <col min="7172" max="7174" width="14.7109375" style="2482" customWidth="1"/>
    <col min="7175" max="7426" width="9.140625" style="2482"/>
    <col min="7427" max="7427" width="20.7109375" style="2482" customWidth="1"/>
    <col min="7428" max="7430" width="14.7109375" style="2482" customWidth="1"/>
    <col min="7431" max="7682" width="9.140625" style="2482"/>
    <col min="7683" max="7683" width="20.7109375" style="2482" customWidth="1"/>
    <col min="7684" max="7686" width="14.7109375" style="2482" customWidth="1"/>
    <col min="7687" max="7938" width="9.140625" style="2482"/>
    <col min="7939" max="7939" width="20.7109375" style="2482" customWidth="1"/>
    <col min="7940" max="7942" width="14.7109375" style="2482" customWidth="1"/>
    <col min="7943" max="8194" width="9.140625" style="2482"/>
    <col min="8195" max="8195" width="20.7109375" style="2482" customWidth="1"/>
    <col min="8196" max="8198" width="14.7109375" style="2482" customWidth="1"/>
    <col min="8199" max="8450" width="9.140625" style="2482"/>
    <col min="8451" max="8451" width="20.7109375" style="2482" customWidth="1"/>
    <col min="8452" max="8454" width="14.7109375" style="2482" customWidth="1"/>
    <col min="8455" max="8706" width="9.140625" style="2482"/>
    <col min="8707" max="8707" width="20.7109375" style="2482" customWidth="1"/>
    <col min="8708" max="8710" width="14.7109375" style="2482" customWidth="1"/>
    <col min="8711" max="8962" width="9.140625" style="2482"/>
    <col min="8963" max="8963" width="20.7109375" style="2482" customWidth="1"/>
    <col min="8964" max="8966" width="14.7109375" style="2482" customWidth="1"/>
    <col min="8967" max="9218" width="9.140625" style="2482"/>
    <col min="9219" max="9219" width="20.7109375" style="2482" customWidth="1"/>
    <col min="9220" max="9222" width="14.7109375" style="2482" customWidth="1"/>
    <col min="9223" max="9474" width="9.140625" style="2482"/>
    <col min="9475" max="9475" width="20.7109375" style="2482" customWidth="1"/>
    <col min="9476" max="9478" width="14.7109375" style="2482" customWidth="1"/>
    <col min="9479" max="9730" width="9.140625" style="2482"/>
    <col min="9731" max="9731" width="20.7109375" style="2482" customWidth="1"/>
    <col min="9732" max="9734" width="14.7109375" style="2482" customWidth="1"/>
    <col min="9735" max="9986" width="9.140625" style="2482"/>
    <col min="9987" max="9987" width="20.7109375" style="2482" customWidth="1"/>
    <col min="9988" max="9990" width="14.7109375" style="2482" customWidth="1"/>
    <col min="9991" max="10242" width="9.140625" style="2482"/>
    <col min="10243" max="10243" width="20.7109375" style="2482" customWidth="1"/>
    <col min="10244" max="10246" width="14.7109375" style="2482" customWidth="1"/>
    <col min="10247" max="10498" width="9.140625" style="2482"/>
    <col min="10499" max="10499" width="20.7109375" style="2482" customWidth="1"/>
    <col min="10500" max="10502" width="14.7109375" style="2482" customWidth="1"/>
    <col min="10503" max="10754" width="9.140625" style="2482"/>
    <col min="10755" max="10755" width="20.7109375" style="2482" customWidth="1"/>
    <col min="10756" max="10758" width="14.7109375" style="2482" customWidth="1"/>
    <col min="10759" max="11010" width="9.140625" style="2482"/>
    <col min="11011" max="11011" width="20.7109375" style="2482" customWidth="1"/>
    <col min="11012" max="11014" width="14.7109375" style="2482" customWidth="1"/>
    <col min="11015" max="11266" width="9.140625" style="2482"/>
    <col min="11267" max="11267" width="20.7109375" style="2482" customWidth="1"/>
    <col min="11268" max="11270" width="14.7109375" style="2482" customWidth="1"/>
    <col min="11271" max="11522" width="9.140625" style="2482"/>
    <col min="11523" max="11523" width="20.7109375" style="2482" customWidth="1"/>
    <col min="11524" max="11526" width="14.7109375" style="2482" customWidth="1"/>
    <col min="11527" max="11778" width="9.140625" style="2482"/>
    <col min="11779" max="11779" width="20.7109375" style="2482" customWidth="1"/>
    <col min="11780" max="11782" width="14.7109375" style="2482" customWidth="1"/>
    <col min="11783" max="12034" width="9.140625" style="2482"/>
    <col min="12035" max="12035" width="20.7109375" style="2482" customWidth="1"/>
    <col min="12036" max="12038" width="14.7109375" style="2482" customWidth="1"/>
    <col min="12039" max="12290" width="9.140625" style="2482"/>
    <col min="12291" max="12291" width="20.7109375" style="2482" customWidth="1"/>
    <col min="12292" max="12294" width="14.7109375" style="2482" customWidth="1"/>
    <col min="12295" max="12546" width="9.140625" style="2482"/>
    <col min="12547" max="12547" width="20.7109375" style="2482" customWidth="1"/>
    <col min="12548" max="12550" width="14.7109375" style="2482" customWidth="1"/>
    <col min="12551" max="12802" width="9.140625" style="2482"/>
    <col min="12803" max="12803" width="20.7109375" style="2482" customWidth="1"/>
    <col min="12804" max="12806" width="14.7109375" style="2482" customWidth="1"/>
    <col min="12807" max="13058" width="9.140625" style="2482"/>
    <col min="13059" max="13059" width="20.7109375" style="2482" customWidth="1"/>
    <col min="13060" max="13062" width="14.7109375" style="2482" customWidth="1"/>
    <col min="13063" max="13314" width="9.140625" style="2482"/>
    <col min="13315" max="13315" width="20.7109375" style="2482" customWidth="1"/>
    <col min="13316" max="13318" width="14.7109375" style="2482" customWidth="1"/>
    <col min="13319" max="13570" width="9.140625" style="2482"/>
    <col min="13571" max="13571" width="20.7109375" style="2482" customWidth="1"/>
    <col min="13572" max="13574" width="14.7109375" style="2482" customWidth="1"/>
    <col min="13575" max="13826" width="9.140625" style="2482"/>
    <col min="13827" max="13827" width="20.7109375" style="2482" customWidth="1"/>
    <col min="13828" max="13830" width="14.7109375" style="2482" customWidth="1"/>
    <col min="13831" max="14082" width="9.140625" style="2482"/>
    <col min="14083" max="14083" width="20.7109375" style="2482" customWidth="1"/>
    <col min="14084" max="14086" width="14.7109375" style="2482" customWidth="1"/>
    <col min="14087" max="14338" width="9.140625" style="2482"/>
    <col min="14339" max="14339" width="20.7109375" style="2482" customWidth="1"/>
    <col min="14340" max="14342" width="14.7109375" style="2482" customWidth="1"/>
    <col min="14343" max="14594" width="9.140625" style="2482"/>
    <col min="14595" max="14595" width="20.7109375" style="2482" customWidth="1"/>
    <col min="14596" max="14598" width="14.7109375" style="2482" customWidth="1"/>
    <col min="14599" max="14850" width="9.140625" style="2482"/>
    <col min="14851" max="14851" width="20.7109375" style="2482" customWidth="1"/>
    <col min="14852" max="14854" width="14.7109375" style="2482" customWidth="1"/>
    <col min="14855" max="15106" width="9.140625" style="2482"/>
    <col min="15107" max="15107" width="20.7109375" style="2482" customWidth="1"/>
    <col min="15108" max="15110" width="14.7109375" style="2482" customWidth="1"/>
    <col min="15111" max="15362" width="9.140625" style="2482"/>
    <col min="15363" max="15363" width="20.7109375" style="2482" customWidth="1"/>
    <col min="15364" max="15366" width="14.7109375" style="2482" customWidth="1"/>
    <col min="15367" max="15618" width="9.140625" style="2482"/>
    <col min="15619" max="15619" width="20.7109375" style="2482" customWidth="1"/>
    <col min="15620" max="15622" width="14.7109375" style="2482" customWidth="1"/>
    <col min="15623" max="15874" width="9.140625" style="2482"/>
    <col min="15875" max="15875" width="20.7109375" style="2482" customWidth="1"/>
    <col min="15876" max="15878" width="14.7109375" style="2482" customWidth="1"/>
    <col min="15879" max="16130" width="9.140625" style="2482"/>
    <col min="16131" max="16131" width="20.7109375" style="2482" customWidth="1"/>
    <col min="16132" max="16134" width="14.7109375" style="2482" customWidth="1"/>
    <col min="16135" max="16384" width="9.140625" style="2482"/>
  </cols>
  <sheetData>
    <row r="1" spans="1:9" ht="15.75" x14ac:dyDescent="0.25">
      <c r="A1" s="6495" t="s">
        <v>3548</v>
      </c>
      <c r="B1" s="6495"/>
      <c r="C1" s="6495"/>
      <c r="D1" s="6495"/>
      <c r="E1" s="6495"/>
      <c r="F1" s="6495"/>
      <c r="G1" s="6496"/>
    </row>
    <row r="2" spans="1:9" ht="15.75" x14ac:dyDescent="0.2">
      <c r="A2" s="6497" t="s">
        <v>366</v>
      </c>
      <c r="B2" s="6497"/>
      <c r="C2" s="6497"/>
      <c r="D2" s="6498"/>
      <c r="E2" s="6498"/>
      <c r="F2" s="6498"/>
      <c r="G2" s="6498"/>
    </row>
    <row r="3" spans="1:9" ht="13.5" x14ac:dyDescent="0.25">
      <c r="A3" s="6499" t="s">
        <v>1557</v>
      </c>
      <c r="B3" s="6501" t="s">
        <v>1705</v>
      </c>
      <c r="C3" s="6502"/>
      <c r="D3" s="6503" t="s">
        <v>1706</v>
      </c>
      <c r="E3" s="6501" t="s">
        <v>3549</v>
      </c>
      <c r="F3" s="6505"/>
      <c r="G3" s="6506"/>
    </row>
    <row r="4" spans="1:9" ht="15.75" x14ac:dyDescent="0.25">
      <c r="A4" s="6500"/>
      <c r="B4" s="2895" t="s">
        <v>3550</v>
      </c>
      <c r="C4" s="2895" t="s">
        <v>1674</v>
      </c>
      <c r="D4" s="6504"/>
      <c r="E4" s="2895" t="s">
        <v>3550</v>
      </c>
      <c r="F4" s="2895" t="s">
        <v>1674</v>
      </c>
      <c r="G4" s="2895" t="s">
        <v>1593</v>
      </c>
    </row>
    <row r="5" spans="1:9" ht="15.75" x14ac:dyDescent="0.25">
      <c r="A5" s="2896" t="s">
        <v>256</v>
      </c>
      <c r="B5" s="2897">
        <f>SUM('[54]ФАКТИЧЕСКАЯ СЕБЕСТ ВОДА 2018'!B14-'[54]ФАКТИЧЕСКАЯ СЕБЕСТ ВОДА 2018'!B17)*1000</f>
        <v>307846.41000000003</v>
      </c>
      <c r="C5" s="2898">
        <f>SUM('[54]ФАКТИЧЕСКАЯ СЕБЕСТ ВОДА 2018'!C14-'[54]ФАКТИЧЕСКАЯ СЕБЕСТ ВОДА 2018'!C17)*1000</f>
        <v>319190</v>
      </c>
      <c r="D5" s="2899">
        <v>36.03</v>
      </c>
      <c r="E5" s="2900">
        <f>B5*D5/1000</f>
        <v>11091.706152300003</v>
      </c>
      <c r="F5" s="2900">
        <f>C5*D5/1000</f>
        <v>11500.415700000001</v>
      </c>
      <c r="G5" s="2900">
        <f>SUM(F5-E5)</f>
        <v>408.70954769999844</v>
      </c>
    </row>
    <row r="6" spans="1:9" ht="15.75" x14ac:dyDescent="0.25">
      <c r="A6" s="2896" t="s">
        <v>257</v>
      </c>
      <c r="B6" s="2897">
        <f>SUM('[54]ФАКТИЧЕСКАЯ СЕБЕСТ ВОДА 2018'!E14-'[54]ФАКТИЧЕСКАЯ СЕБЕСТ ВОДА 2018'!E17)*1000</f>
        <v>306035.7</v>
      </c>
      <c r="C6" s="2898">
        <f>SUM('[54]ФАКТИЧЕСКАЯ СЕБЕСТ ВОДА 2018'!F14-'[54]ФАКТИЧЕСКАЯ СЕБЕСТ ВОДА 2018'!F17)*1000</f>
        <v>315390</v>
      </c>
      <c r="D6" s="2899">
        <v>36.03</v>
      </c>
      <c r="E6" s="2900">
        <f t="shared" ref="E6:E16" si="0">B6*D6/1000</f>
        <v>11026.466271000001</v>
      </c>
      <c r="F6" s="2900">
        <f t="shared" ref="F6:F16" si="1">C6*D6/1000</f>
        <v>11363.501700000001</v>
      </c>
      <c r="G6" s="2900">
        <f t="shared" ref="G6:G16" si="2">SUM(F6-E6)</f>
        <v>337.03542899999957</v>
      </c>
    </row>
    <row r="7" spans="1:9" ht="15.75" x14ac:dyDescent="0.25">
      <c r="A7" s="2896" t="s">
        <v>258</v>
      </c>
      <c r="B7" s="2897">
        <f>SUM('[54]ФАКТИЧЕСКАЯ СЕБЕСТ ВОДА 2018'!H14-'[54]ФАКТИЧЕСКАЯ СЕБЕСТ ВОДА 2018'!H17)*1000</f>
        <v>306035.7</v>
      </c>
      <c r="C7" s="2898">
        <f>SUM('[54]ФАКТИЧЕСКАЯ СЕБЕСТ ВОДА 2018'!I14-'[54]ФАКТИЧЕСКАЯ СЕБЕСТ ВОДА 2018'!I17)*1000</f>
        <v>297260.00000000006</v>
      </c>
      <c r="D7" s="2899">
        <v>36.03</v>
      </c>
      <c r="E7" s="2900">
        <f t="shared" si="0"/>
        <v>11026.466271000001</v>
      </c>
      <c r="F7" s="2900">
        <f t="shared" si="1"/>
        <v>10710.277800000003</v>
      </c>
      <c r="G7" s="2900">
        <f t="shared" si="2"/>
        <v>-316.18847099999766</v>
      </c>
    </row>
    <row r="8" spans="1:9" ht="15.75" x14ac:dyDescent="0.25">
      <c r="A8" s="2896" t="s">
        <v>259</v>
      </c>
      <c r="B8" s="2897">
        <f>SUM('[54]ФАКТИЧЕСКАЯ СЕБЕСТ ВОДА 2018'!P14-'[54]ФАКТИЧЕСКАЯ СЕБЕСТ ВОДА 2018'!P17)*1000</f>
        <v>304224.99</v>
      </c>
      <c r="C8" s="2898">
        <f>SUM('[54]ФАКТИЧЕСКАЯ СЕБЕСТ ВОДА 2018'!Q14-'[54]ФАКТИЧЕСКАЯ СЕБЕСТ ВОДА 2018'!Q17)*1000</f>
        <v>320200</v>
      </c>
      <c r="D8" s="2899">
        <v>36.03</v>
      </c>
      <c r="E8" s="2900">
        <f t="shared" si="0"/>
        <v>10961.226389699999</v>
      </c>
      <c r="F8" s="2900">
        <f t="shared" si="1"/>
        <v>11536.806</v>
      </c>
      <c r="G8" s="2900">
        <f t="shared" si="2"/>
        <v>575.57961030000115</v>
      </c>
    </row>
    <row r="9" spans="1:9" ht="15.75" x14ac:dyDescent="0.25">
      <c r="A9" s="2896" t="s">
        <v>260</v>
      </c>
      <c r="B9" s="2897">
        <f>SUM('[54]ФАКТИЧЕСКАЯ СЕБЕСТ ВОДА 2018'!S14-'[54]ФАКТИЧЕСКАЯ СЕБЕСТ ВОДА 2018'!S17)*1000</f>
        <v>287928.60000000003</v>
      </c>
      <c r="C9" s="2898">
        <f>SUM('[54]ФАКТИЧЕСКАЯ СЕБЕСТ ВОДА 2018'!T14-'[54]ФАКТИЧЕСКАЯ СЕБЕСТ ВОДА 2018'!T17)*1000</f>
        <v>304989.99999999994</v>
      </c>
      <c r="D9" s="2899">
        <v>36.03</v>
      </c>
      <c r="E9" s="2900">
        <f t="shared" si="0"/>
        <v>10374.067458000003</v>
      </c>
      <c r="F9" s="2900">
        <f t="shared" si="1"/>
        <v>10988.789699999998</v>
      </c>
      <c r="G9" s="2900">
        <f t="shared" si="2"/>
        <v>614.72224199999437</v>
      </c>
    </row>
    <row r="10" spans="1:9" ht="15.75" x14ac:dyDescent="0.25">
      <c r="A10" s="2896" t="s">
        <v>261</v>
      </c>
      <c r="B10" s="2897">
        <f>SUM('[54]ФАКТИЧЕСКАЯ СЕБЕСТ ВОДА 2018'!V14-'[54]ФАКТИЧЕСКАЯ СЕБЕСТ ВОДА 2018'!V17)*1000</f>
        <v>287928.60000000003</v>
      </c>
      <c r="C10" s="2898">
        <f>SUM('[54]ФАКТИЧЕСКАЯ СЕБЕСТ ВОДА 2018'!W14-'[54]ФАКТИЧЕСКАЯ СЕБЕСТ ВОДА 2018'!W17)*1000</f>
        <v>324890.00000000006</v>
      </c>
      <c r="D10" s="2899">
        <v>36.03</v>
      </c>
      <c r="E10" s="2900">
        <f t="shared" si="0"/>
        <v>10374.067458000003</v>
      </c>
      <c r="F10" s="2900">
        <f t="shared" si="1"/>
        <v>11705.786700000002</v>
      </c>
      <c r="G10" s="2900">
        <f t="shared" si="2"/>
        <v>1331.7192419999992</v>
      </c>
    </row>
    <row r="11" spans="1:9" ht="15.75" x14ac:dyDescent="0.25">
      <c r="A11" s="2896" t="s">
        <v>1207</v>
      </c>
      <c r="B11" s="2897">
        <f>SUM('[54]ФАКТИЧЕСКАЯ СЕБЕСТ ВОДА 2018'!AI14-'[54]ФАКТИЧЕСКАЯ СЕБЕСТ ВОДА 2018'!AI17)*1000</f>
        <v>287928.60000000003</v>
      </c>
      <c r="C11" s="2898">
        <f>SUM('[54]ФАКТИЧЕСКАЯ СЕБЕСТ ВОДА 2018'!AJ14-'[54]ФАКТИЧЕСКАЯ СЕБЕСТ ВОДА 2018'!AJ17)*1000</f>
        <v>284070</v>
      </c>
      <c r="D11" s="2899">
        <v>36.85</v>
      </c>
      <c r="E11" s="2900">
        <f t="shared" si="0"/>
        <v>10610.168910000002</v>
      </c>
      <c r="F11" s="2900">
        <f t="shared" si="1"/>
        <v>10467.979499999999</v>
      </c>
      <c r="G11" s="2900">
        <f t="shared" si="2"/>
        <v>-142.18941000000268</v>
      </c>
      <c r="I11" s="2489"/>
    </row>
    <row r="12" spans="1:9" ht="15.75" x14ac:dyDescent="0.25">
      <c r="A12" s="2896" t="s">
        <v>262</v>
      </c>
      <c r="B12" s="2897">
        <f>SUM('[54]ФАКТИЧЕСКАЯ СЕБЕСТ ВОДА 2018'!AL14-'[54]ФАКТИЧЕСКАЯ СЕБЕСТ ВОДА 2018'!AL17)*1000</f>
        <v>287928.60000000003</v>
      </c>
      <c r="C12" s="2898">
        <f>SUM('[54]ФАКТИЧЕСКАЯ СЕБЕСТ ВОДА 2018'!AM14-'[54]ФАКТИЧЕСКАЯ СЕБЕСТ ВОДА 2018'!AM17)*1000</f>
        <v>295730</v>
      </c>
      <c r="D12" s="2899">
        <v>36.85</v>
      </c>
      <c r="E12" s="2900">
        <f t="shared" si="0"/>
        <v>10610.168910000002</v>
      </c>
      <c r="F12" s="2900">
        <f t="shared" si="1"/>
        <v>10897.6505</v>
      </c>
      <c r="G12" s="2900">
        <f t="shared" si="2"/>
        <v>287.4815899999976</v>
      </c>
    </row>
    <row r="13" spans="1:9" ht="15.75" x14ac:dyDescent="0.25">
      <c r="A13" s="2896" t="s">
        <v>1225</v>
      </c>
      <c r="B13" s="2897">
        <f>SUM('[54]ФАКТИЧЕСКАЯ СЕБЕСТ ВОДА 2018'!AO14-'[54]ФАКТИЧЕСКАЯ СЕБЕСТ ВОДА 2018'!AO17)*1000</f>
        <v>304224.99</v>
      </c>
      <c r="C13" s="2898">
        <f>SUM('[54]ФАКТИЧЕСКАЯ СЕБЕСТ ВОДА 2018'!AP14-'[54]ФАКТИЧЕСКАЯ СЕБЕСТ ВОДА 2018'!AP17)*1000</f>
        <v>305169</v>
      </c>
      <c r="D13" s="2899">
        <v>36.85</v>
      </c>
      <c r="E13" s="2900">
        <f t="shared" si="0"/>
        <v>11210.690881500001</v>
      </c>
      <c r="F13" s="2900">
        <f t="shared" si="1"/>
        <v>11245.477650000001</v>
      </c>
      <c r="G13" s="2900">
        <f t="shared" si="2"/>
        <v>34.786768500000107</v>
      </c>
    </row>
    <row r="14" spans="1:9" ht="15.75" x14ac:dyDescent="0.25">
      <c r="A14" s="2896" t="s">
        <v>263</v>
      </c>
      <c r="B14" s="2897">
        <f>SUM('[54]ФАКТИЧЕСКАЯ СЕБЕСТ ВОДА 2018'!BB14-'[54]ФАКТИЧЕСКАЯ СЕБЕСТ ВОДА 2018'!BB17)*1000</f>
        <v>306035.7</v>
      </c>
      <c r="C14" s="2898">
        <f>SUM('[54]ФАКТИЧЕСКАЯ СЕБЕСТ ВОДА 2018'!BE14-'[54]ФАКТИЧЕСКАЯ СЕБЕСТ ВОДА 2018'!BE17)*1000</f>
        <v>301436.00000000006</v>
      </c>
      <c r="D14" s="2899">
        <v>36.85</v>
      </c>
      <c r="E14" s="2900">
        <f t="shared" si="0"/>
        <v>11277.415545000002</v>
      </c>
      <c r="F14" s="2900">
        <f t="shared" si="1"/>
        <v>11107.916600000004</v>
      </c>
      <c r="G14" s="2900">
        <f t="shared" si="2"/>
        <v>-169.49894499999755</v>
      </c>
    </row>
    <row r="15" spans="1:9" ht="15.75" x14ac:dyDescent="0.25">
      <c r="A15" s="2896" t="s">
        <v>264</v>
      </c>
      <c r="B15" s="2897">
        <f>SUM('[54]ФАКТИЧЕСКАЯ СЕБЕСТ ВОДА 2018'!BK14-'[54]ФАКТИЧЕСКАЯ СЕБЕСТ ВОДА 2018'!BK17)*1000</f>
        <v>306035.7</v>
      </c>
      <c r="C15" s="2898">
        <f>SUM('[54]ФАКТИЧЕСКАЯ СЕБЕСТ ВОДА 2018'!BN14-'[54]ФАКТИЧЕСКАЯ СЕБЕСТ ВОДА 2018'!BN17)*1000</f>
        <v>296290</v>
      </c>
      <c r="D15" s="2899">
        <v>36.85</v>
      </c>
      <c r="E15" s="2900">
        <f t="shared" si="0"/>
        <v>11277.415545000002</v>
      </c>
      <c r="F15" s="2900">
        <f t="shared" si="1"/>
        <v>10918.2865</v>
      </c>
      <c r="G15" s="2900">
        <f t="shared" si="2"/>
        <v>-359.1290450000015</v>
      </c>
    </row>
    <row r="16" spans="1:9" ht="15.75" x14ac:dyDescent="0.25">
      <c r="A16" s="2896" t="s">
        <v>1316</v>
      </c>
      <c r="B16" s="2897">
        <f>SUM('[54]ФАКТИЧЕСКАЯ СЕБЕСТ ВОДА 2018'!BT14-'[54]ФАКТИЧЕСКАЯ СЕБЕСТ ВОДА 2018'!BT17)*1000</f>
        <v>307846.41000000003</v>
      </c>
      <c r="C16" s="2898">
        <f>SUM('[54]ФАКТИЧЕСКАЯ СЕБЕСТ ВОДА 2018'!BW14-'[54]ФАКТИЧЕСКАЯ СЕБЕСТ ВОДА 2018'!BW17)*1000</f>
        <v>293910</v>
      </c>
      <c r="D16" s="2899">
        <v>36.85</v>
      </c>
      <c r="E16" s="2900">
        <f t="shared" si="0"/>
        <v>11344.140208500001</v>
      </c>
      <c r="F16" s="2900">
        <f t="shared" si="1"/>
        <v>10830.583500000001</v>
      </c>
      <c r="G16" s="2900">
        <f t="shared" si="2"/>
        <v>-513.55670850000024</v>
      </c>
    </row>
    <row r="17" spans="1:7" ht="15.75" x14ac:dyDescent="0.25">
      <c r="A17" s="2901" t="s">
        <v>280</v>
      </c>
      <c r="B17" s="2902">
        <f>SUM(B5:B16)</f>
        <v>3600000.0000000009</v>
      </c>
      <c r="C17" s="2903">
        <f>SUM(C5:C16)</f>
        <v>3658525</v>
      </c>
      <c r="D17" s="2903">
        <f>F17/C17*1000</f>
        <v>36.42819766162593</v>
      </c>
      <c r="E17" s="2903">
        <f>SUM(E5:E16)</f>
        <v>131184.00000000003</v>
      </c>
      <c r="F17" s="2903">
        <f>SUM(F5:F16)</f>
        <v>133273.47185</v>
      </c>
      <c r="G17" s="2903">
        <f>SUM(G5:G16)</f>
        <v>2089.4718499999908</v>
      </c>
    </row>
    <row r="18" spans="1:7" ht="15" x14ac:dyDescent="0.2">
      <c r="A18" s="2904"/>
      <c r="B18" s="2904"/>
      <c r="C18" s="2904"/>
      <c r="D18" s="2904"/>
      <c r="E18" s="2904"/>
      <c r="F18" s="2904"/>
      <c r="G18" s="2905"/>
    </row>
    <row r="19" spans="1:7" ht="15.75" x14ac:dyDescent="0.2">
      <c r="A19" s="6497" t="s">
        <v>25</v>
      </c>
      <c r="B19" s="6497"/>
      <c r="C19" s="6497"/>
      <c r="D19" s="6498"/>
      <c r="E19" s="6498"/>
      <c r="F19" s="6498"/>
      <c r="G19" s="6498"/>
    </row>
    <row r="20" spans="1:7" ht="15.75" customHeight="1" x14ac:dyDescent="0.25">
      <c r="A20" s="6499" t="s">
        <v>1557</v>
      </c>
      <c r="B20" s="6501" t="s">
        <v>1705</v>
      </c>
      <c r="C20" s="6502"/>
      <c r="D20" s="6503" t="s">
        <v>1706</v>
      </c>
      <c r="E20" s="6501" t="s">
        <v>3549</v>
      </c>
      <c r="F20" s="6505"/>
      <c r="G20" s="6506"/>
    </row>
    <row r="21" spans="1:7" ht="15.75" customHeight="1" x14ac:dyDescent="0.25">
      <c r="A21" s="6500"/>
      <c r="B21" s="2895" t="s">
        <v>3550</v>
      </c>
      <c r="C21" s="2895" t="s">
        <v>1674</v>
      </c>
      <c r="D21" s="6504"/>
      <c r="E21" s="2895" t="s">
        <v>3550</v>
      </c>
      <c r="F21" s="2895" t="s">
        <v>1674</v>
      </c>
      <c r="G21" s="2895" t="s">
        <v>1593</v>
      </c>
    </row>
    <row r="22" spans="1:7" ht="15.75" x14ac:dyDescent="0.25">
      <c r="A22" s="2896" t="s">
        <v>256</v>
      </c>
      <c r="B22" s="2897">
        <f>SUM('[54]ФАКТИЧЕСКАЯ СЕБЕСТ ВОДА 2018'!B17)*1000</f>
        <v>1785.0000000000002</v>
      </c>
      <c r="C22" s="2898">
        <f>SUM('[54]ФАКТИЧЕСКАЯ СЕБЕСТ ВОДА 2018'!C17)*1000</f>
        <v>140</v>
      </c>
      <c r="D22" s="2898">
        <v>17.93</v>
      </c>
      <c r="E22" s="2900">
        <f>B22*D22/1000</f>
        <v>32.005050000000004</v>
      </c>
      <c r="F22" s="2900">
        <f>C22*D22/1000</f>
        <v>2.5101999999999998</v>
      </c>
      <c r="G22" s="2900">
        <f>SUM(F22-E22)</f>
        <v>-29.494850000000003</v>
      </c>
    </row>
    <row r="23" spans="1:7" ht="15.75" x14ac:dyDescent="0.25">
      <c r="A23" s="2896" t="s">
        <v>257</v>
      </c>
      <c r="B23" s="2897">
        <f>SUM('[54]ФАКТИЧЕСКАЯ СЕБЕСТ ВОДА 2018'!E17)*1000</f>
        <v>1785.0000000000002</v>
      </c>
      <c r="C23" s="2898">
        <f>SUM('[54]ФАКТИЧЕСКАЯ СЕБЕСТ ВОДА 2018'!F17)*1000</f>
        <v>180</v>
      </c>
      <c r="D23" s="2898">
        <v>17.93</v>
      </c>
      <c r="E23" s="2900">
        <f t="shared" ref="E23:E33" si="3">B23*D23/1000</f>
        <v>32.005050000000004</v>
      </c>
      <c r="F23" s="2900">
        <f t="shared" ref="F23:F33" si="4">C23*D23/1000</f>
        <v>3.2274000000000003</v>
      </c>
      <c r="G23" s="2900">
        <f t="shared" ref="G23:G33" si="5">SUM(F23-E23)</f>
        <v>-28.777650000000005</v>
      </c>
    </row>
    <row r="24" spans="1:7" ht="15.75" x14ac:dyDescent="0.25">
      <c r="A24" s="2896" t="s">
        <v>258</v>
      </c>
      <c r="B24" s="2897">
        <f>SUM('[54]ФАКТИЧЕСКАЯ СЕБЕСТ ВОДА 2018'!H17)*1000</f>
        <v>1785.0000000000002</v>
      </c>
      <c r="C24" s="2898">
        <f>SUM('[54]ФАКТИЧЕСКАЯ СЕБЕСТ ВОДА 2018'!I17)*1000</f>
        <v>120</v>
      </c>
      <c r="D24" s="2898">
        <v>17.93</v>
      </c>
      <c r="E24" s="2900">
        <f t="shared" si="3"/>
        <v>32.005050000000004</v>
      </c>
      <c r="F24" s="2900">
        <f t="shared" si="4"/>
        <v>2.1515999999999997</v>
      </c>
      <c r="G24" s="2900">
        <f t="shared" si="5"/>
        <v>-29.853450000000006</v>
      </c>
    </row>
    <row r="25" spans="1:7" ht="15.75" x14ac:dyDescent="0.25">
      <c r="A25" s="2896" t="s">
        <v>259</v>
      </c>
      <c r="B25" s="2897">
        <f>SUM('[54]ФАКТИЧЕСКАЯ СЕБЕСТ ВОДА 2018'!P17)*1000</f>
        <v>1785.0000000000002</v>
      </c>
      <c r="C25" s="2898">
        <f>SUM('[54]ФАКТИЧЕСКАЯ СЕБЕСТ ВОДА 2018'!Q17)*1000</f>
        <v>320</v>
      </c>
      <c r="D25" s="2898">
        <v>17.93</v>
      </c>
      <c r="E25" s="2900">
        <f t="shared" si="3"/>
        <v>32.005050000000004</v>
      </c>
      <c r="F25" s="2900">
        <f t="shared" si="4"/>
        <v>5.7376000000000005</v>
      </c>
      <c r="G25" s="2900">
        <f t="shared" si="5"/>
        <v>-26.267450000000004</v>
      </c>
    </row>
    <row r="26" spans="1:7" ht="15.75" x14ac:dyDescent="0.25">
      <c r="A26" s="2896" t="s">
        <v>260</v>
      </c>
      <c r="B26" s="2897">
        <f>SUM('[54]ФАКТИЧЕСКАЯ СЕБЕСТ ВОДА 2018'!S17)*1000</f>
        <v>1785.0000000000002</v>
      </c>
      <c r="C26" s="2898">
        <f>SUM('[54]ФАКТИЧЕСКАЯ СЕБЕСТ ВОДА 2018'!T17)*1000</f>
        <v>100</v>
      </c>
      <c r="D26" s="2898">
        <v>17.93</v>
      </c>
      <c r="E26" s="2900">
        <f t="shared" si="3"/>
        <v>32.005050000000004</v>
      </c>
      <c r="F26" s="2900">
        <f t="shared" si="4"/>
        <v>1.7929999999999999</v>
      </c>
      <c r="G26" s="2900">
        <f t="shared" si="5"/>
        <v>-30.212050000000005</v>
      </c>
    </row>
    <row r="27" spans="1:7" ht="15.75" x14ac:dyDescent="0.25">
      <c r="A27" s="2896" t="s">
        <v>261</v>
      </c>
      <c r="B27" s="2897">
        <f>SUM('[54]ФАКТИЧЕСКАЯ СЕБЕСТ ВОДА 2018'!V17)*1000</f>
        <v>1785.0000000000002</v>
      </c>
      <c r="C27" s="2898">
        <f>SUM('[54]ФАКТИЧЕСКАЯ СЕБЕСТ ВОДА 2018'!W17)*1000</f>
        <v>90</v>
      </c>
      <c r="D27" s="2898">
        <v>17.93</v>
      </c>
      <c r="E27" s="2900">
        <f t="shared" si="3"/>
        <v>32.005050000000004</v>
      </c>
      <c r="F27" s="2900">
        <f t="shared" si="4"/>
        <v>1.6137000000000001</v>
      </c>
      <c r="G27" s="2900">
        <f t="shared" si="5"/>
        <v>-30.391350000000003</v>
      </c>
    </row>
    <row r="28" spans="1:7" ht="15.75" x14ac:dyDescent="0.25">
      <c r="A28" s="2896" t="s">
        <v>1207</v>
      </c>
      <c r="B28" s="2897">
        <f>SUM('[54]ФАКТИЧЕСКАЯ СЕБЕСТ ВОДА 2018'!AI17)*1000</f>
        <v>1785.0000000000002</v>
      </c>
      <c r="C28" s="2898">
        <f>SUM('[54]ФАКТИЧЕСКАЯ СЕБЕСТ ВОДА 2018'!AJ17)*1000</f>
        <v>70</v>
      </c>
      <c r="D28" s="2898">
        <v>39.75</v>
      </c>
      <c r="E28" s="2900">
        <f t="shared" si="3"/>
        <v>70.953750000000014</v>
      </c>
      <c r="F28" s="2900">
        <f t="shared" si="4"/>
        <v>2.7825000000000002</v>
      </c>
      <c r="G28" s="2900">
        <f t="shared" si="5"/>
        <v>-68.171250000000015</v>
      </c>
    </row>
    <row r="29" spans="1:7" ht="15.75" x14ac:dyDescent="0.25">
      <c r="A29" s="2896" t="s">
        <v>262</v>
      </c>
      <c r="B29" s="2897">
        <f>SUM('[54]ФАКТИЧЕСКАЯ СЕБЕСТ ВОДА 2018'!AL17)*1000</f>
        <v>1785.0000000000002</v>
      </c>
      <c r="C29" s="2898">
        <f>SUM('[54]ФАКТИЧЕСКАЯ СЕБЕСТ ВОДА 2018'!AM17)*1000</f>
        <v>70</v>
      </c>
      <c r="D29" s="2898">
        <v>39.75</v>
      </c>
      <c r="E29" s="2900">
        <f t="shared" si="3"/>
        <v>70.953750000000014</v>
      </c>
      <c r="F29" s="2900">
        <f t="shared" si="4"/>
        <v>2.7825000000000002</v>
      </c>
      <c r="G29" s="2900">
        <f t="shared" si="5"/>
        <v>-68.171250000000015</v>
      </c>
    </row>
    <row r="30" spans="1:7" ht="15.75" x14ac:dyDescent="0.25">
      <c r="A30" s="2896" t="s">
        <v>1225</v>
      </c>
      <c r="B30" s="2897">
        <f>SUM('[54]ФАКТИЧЕСКАЯ СЕБЕСТ ВОДА 2018'!AO17)*1000</f>
        <v>1785.0000000000002</v>
      </c>
      <c r="C30" s="2898">
        <f>SUM('[54]ФАКТИЧЕСКАЯ СЕБЕСТ ВОДА 2018'!AP17)*1000</f>
        <v>81</v>
      </c>
      <c r="D30" s="2898">
        <v>39.75</v>
      </c>
      <c r="E30" s="2900">
        <f t="shared" si="3"/>
        <v>70.953750000000014</v>
      </c>
      <c r="F30" s="2900">
        <f t="shared" si="4"/>
        <v>3.2197499999999999</v>
      </c>
      <c r="G30" s="2900">
        <f t="shared" si="5"/>
        <v>-67.734000000000009</v>
      </c>
    </row>
    <row r="31" spans="1:7" ht="15.75" x14ac:dyDescent="0.25">
      <c r="A31" s="2896" t="s">
        <v>263</v>
      </c>
      <c r="B31" s="2897">
        <f>SUM('[54]ФАКТИЧЕСКАЯ СЕБЕСТ ВОДА 2018'!BB17)*1000</f>
        <v>1785.0000000000002</v>
      </c>
      <c r="C31" s="2898">
        <f>SUM('[54]ФАКТИЧЕСКАЯ СЕБЕСТ ВОДА 2018'!BE17)*1000</f>
        <v>80</v>
      </c>
      <c r="D31" s="2898">
        <v>39.75</v>
      </c>
      <c r="E31" s="2900">
        <f t="shared" si="3"/>
        <v>70.953750000000014</v>
      </c>
      <c r="F31" s="2900">
        <f t="shared" si="4"/>
        <v>3.18</v>
      </c>
      <c r="G31" s="2900">
        <f t="shared" si="5"/>
        <v>-67.773750000000007</v>
      </c>
    </row>
    <row r="32" spans="1:7" ht="15.75" x14ac:dyDescent="0.25">
      <c r="A32" s="2896" t="s">
        <v>264</v>
      </c>
      <c r="B32" s="2897">
        <f>SUM('[54]ФАКТИЧЕСКАЯ СЕБЕСТ ВОДА 2018'!BK17)*1000</f>
        <v>1785.0000000000002</v>
      </c>
      <c r="C32" s="2898">
        <f>SUM('[54]ФАКТИЧЕСКАЯ СЕБЕСТ ВОДА 2018'!BN17)*1000</f>
        <v>80</v>
      </c>
      <c r="D32" s="2898">
        <v>39.75</v>
      </c>
      <c r="E32" s="2900">
        <f t="shared" si="3"/>
        <v>70.953750000000014</v>
      </c>
      <c r="F32" s="2900">
        <f t="shared" si="4"/>
        <v>3.18</v>
      </c>
      <c r="G32" s="2900">
        <f t="shared" si="5"/>
        <v>-67.773750000000007</v>
      </c>
    </row>
    <row r="33" spans="1:7" ht="15.75" x14ac:dyDescent="0.25">
      <c r="A33" s="2896" t="s">
        <v>1316</v>
      </c>
      <c r="B33" s="2897">
        <f>SUM('[54]ФАКТИЧЕСКАЯ СЕБЕСТ ВОДА 2018'!BT17)*1000</f>
        <v>1785.0000000000002</v>
      </c>
      <c r="C33" s="2898">
        <f>SUM('[54]ФАКТИЧЕСКАЯ СЕБЕСТ ВОДА 2018'!BW17)*1000</f>
        <v>0</v>
      </c>
      <c r="D33" s="2898">
        <v>39.75</v>
      </c>
      <c r="E33" s="2900">
        <f t="shared" si="3"/>
        <v>70.953750000000014</v>
      </c>
      <c r="F33" s="2900">
        <f t="shared" si="4"/>
        <v>0</v>
      </c>
      <c r="G33" s="2900">
        <f t="shared" si="5"/>
        <v>-70.953750000000014</v>
      </c>
    </row>
    <row r="34" spans="1:7" ht="15.75" x14ac:dyDescent="0.25">
      <c r="A34" s="2901" t="s">
        <v>280</v>
      </c>
      <c r="B34" s="2902">
        <f>SUM(B22:B33)</f>
        <v>21420.000000000004</v>
      </c>
      <c r="C34" s="2903">
        <f>SUM(C22:C33)</f>
        <v>1331</v>
      </c>
      <c r="D34" s="2903">
        <f>F34/C34*1000</f>
        <v>24.175995492111195</v>
      </c>
      <c r="E34" s="2903">
        <f>SUM(E22:E33)</f>
        <v>617.75280000000009</v>
      </c>
      <c r="F34" s="2903">
        <f>SUM(F22:F33)</f>
        <v>32.178249999999998</v>
      </c>
      <c r="G34" s="2903">
        <f>SUM(G22:G33)</f>
        <v>-585.57455000000004</v>
      </c>
    </row>
    <row r="35" spans="1:7" ht="15" x14ac:dyDescent="0.2">
      <c r="A35" s="2904"/>
      <c r="B35" s="2904"/>
      <c r="C35" s="2904"/>
      <c r="D35" s="2904"/>
      <c r="E35" s="2904"/>
      <c r="F35" s="2904"/>
      <c r="G35" s="2905"/>
    </row>
    <row r="36" spans="1:7" ht="15.75" x14ac:dyDescent="0.2">
      <c r="A36" s="6497" t="s">
        <v>47</v>
      </c>
      <c r="B36" s="6497"/>
      <c r="C36" s="6497"/>
      <c r="D36" s="6498"/>
      <c r="E36" s="6498"/>
      <c r="F36" s="6498"/>
      <c r="G36" s="6498"/>
    </row>
    <row r="37" spans="1:7" ht="12.75" customHeight="1" x14ac:dyDescent="0.25">
      <c r="A37" s="6499" t="s">
        <v>1557</v>
      </c>
      <c r="B37" s="6501" t="s">
        <v>1705</v>
      </c>
      <c r="C37" s="6502"/>
      <c r="D37" s="6503" t="s">
        <v>1706</v>
      </c>
      <c r="E37" s="6501" t="s">
        <v>3549</v>
      </c>
      <c r="F37" s="6505"/>
      <c r="G37" s="6506"/>
    </row>
    <row r="38" spans="1:7" ht="15.75" x14ac:dyDescent="0.25">
      <c r="A38" s="6500"/>
      <c r="B38" s="2895" t="s">
        <v>3550</v>
      </c>
      <c r="C38" s="2895" t="s">
        <v>1674</v>
      </c>
      <c r="D38" s="6504"/>
      <c r="E38" s="2895" t="s">
        <v>3550</v>
      </c>
      <c r="F38" s="2895" t="s">
        <v>1674</v>
      </c>
      <c r="G38" s="2895" t="s">
        <v>1593</v>
      </c>
    </row>
    <row r="39" spans="1:7" ht="15.75" x14ac:dyDescent="0.25">
      <c r="A39" s="2896" t="s">
        <v>256</v>
      </c>
      <c r="B39" s="2897">
        <f>SUM('[54]ФАКТИЧЕСКАЯ СЕБЕСТ. СТОКИ 2018'!B9-'[54]ФАКТИЧЕСКАЯ СЕБЕСТ. СТОКИ 2018'!B11)*1000</f>
        <v>276165</v>
      </c>
      <c r="C39" s="2897">
        <f>SUM('[54]ФАКТИЧЕСКАЯ СЕБЕСТ. СТОКИ 2018'!C9-'[54]ФАКТИЧЕСКАЯ СЕБЕСТ. СТОКИ 2018'!C11)*1000</f>
        <v>270450</v>
      </c>
      <c r="D39" s="2898">
        <v>26.64</v>
      </c>
      <c r="E39" s="2900">
        <f>B39*D39/1000</f>
        <v>7357.0356000000002</v>
      </c>
      <c r="F39" s="2900">
        <f>C39*D39/1000</f>
        <v>7204.7879999999996</v>
      </c>
      <c r="G39" s="2900">
        <f>SUM(F39-E39)</f>
        <v>-152.2476000000006</v>
      </c>
    </row>
    <row r="40" spans="1:7" ht="15.75" x14ac:dyDescent="0.25">
      <c r="A40" s="2896" t="s">
        <v>257</v>
      </c>
      <c r="B40" s="2897">
        <f>SUM('[54]ФАКТИЧЕСКАЯ СЕБЕСТ. СТОКИ 2018'!E9-'[54]ФАКТИЧЕСКАЯ СЕБЕСТ. СТОКИ 2018'!E11)*1000</f>
        <v>274550</v>
      </c>
      <c r="C40" s="2897">
        <f>SUM('[54]ФАКТИЧЕСКАЯ СЕБЕСТ. СТОКИ 2018'!F9-'[54]ФАКТИЧЕСКАЯ СЕБЕСТ. СТОКИ 2018'!F11)*1000</f>
        <v>264460</v>
      </c>
      <c r="D40" s="2898">
        <v>26.64</v>
      </c>
      <c r="E40" s="2900">
        <f t="shared" ref="E40:E50" si="6">B40*D40/1000</f>
        <v>7314.0119999999997</v>
      </c>
      <c r="F40" s="2900">
        <f t="shared" ref="F40:F50" si="7">C40*D40/1000</f>
        <v>7045.2144000000008</v>
      </c>
      <c r="G40" s="2900">
        <f t="shared" ref="G40:G50" si="8">SUM(F40-E40)</f>
        <v>-268.79759999999897</v>
      </c>
    </row>
    <row r="41" spans="1:7" ht="15.75" x14ac:dyDescent="0.25">
      <c r="A41" s="2896" t="s">
        <v>258</v>
      </c>
      <c r="B41" s="2897">
        <f>SUM('[54]ФАКТИЧЕСКАЯ СЕБЕСТ. СТОКИ 2018'!H9-'[54]ФАКТИЧЕСКАЯ СЕБЕСТ. СТОКИ 2018'!H11)*1000</f>
        <v>274550</v>
      </c>
      <c r="C41" s="2897">
        <f>SUM('[54]ФАКТИЧЕСКАЯ СЕБЕСТ. СТОКИ 2018'!I9-'[54]ФАКТИЧЕСКАЯ СЕБЕСТ. СТОКИ 2018'!I11)*1000</f>
        <v>257690</v>
      </c>
      <c r="D41" s="2898">
        <v>26.64</v>
      </c>
      <c r="E41" s="2900">
        <f t="shared" si="6"/>
        <v>7314.0119999999997</v>
      </c>
      <c r="F41" s="2900">
        <f t="shared" si="7"/>
        <v>6864.8616000000002</v>
      </c>
      <c r="G41" s="2900">
        <f t="shared" si="8"/>
        <v>-449.15039999999954</v>
      </c>
    </row>
    <row r="42" spans="1:7" ht="15.75" x14ac:dyDescent="0.25">
      <c r="A42" s="2896" t="s">
        <v>259</v>
      </c>
      <c r="B42" s="2897">
        <f>SUM('[54]ФАКТИЧЕСКАЯ СЕБЕСТ. СТОКИ 2018'!P9-'[54]ФАКТИЧЕСКАЯ СЕБЕСТ. СТОКИ 2018'!P11)*1000</f>
        <v>272934.99999999994</v>
      </c>
      <c r="C42" s="2897">
        <f>SUM('[54]ФАКТИЧЕСКАЯ СЕБЕСТ. СТОКИ 2018'!Q9-'[54]ФАКТИЧЕСКАЯ СЕБЕСТ. СТОКИ 2018'!Q11)*1000</f>
        <v>273770</v>
      </c>
      <c r="D42" s="2898">
        <v>26.64</v>
      </c>
      <c r="E42" s="2900">
        <f t="shared" si="6"/>
        <v>7270.9883999999984</v>
      </c>
      <c r="F42" s="2900">
        <f t="shared" si="7"/>
        <v>7293.2327999999998</v>
      </c>
      <c r="G42" s="2900">
        <f t="shared" si="8"/>
        <v>22.244400000001406</v>
      </c>
    </row>
    <row r="43" spans="1:7" ht="15.75" x14ac:dyDescent="0.25">
      <c r="A43" s="2896" t="s">
        <v>260</v>
      </c>
      <c r="B43" s="2897">
        <f>SUM('[54]ФАКТИЧЕСКАЯ СЕБЕСТ. СТОКИ 2018'!S9-'[54]ФАКТИЧЕСКАЯ СЕБЕСТ. СТОКИ 2018'!S11)*1000</f>
        <v>258399.99999999997</v>
      </c>
      <c r="C43" s="2897">
        <f>SUM('[54]ФАКТИЧЕСКАЯ СЕБЕСТ. СТОКИ 2018'!T9-'[54]ФАКТИЧЕСКАЯ СЕБЕСТ. СТОКИ 2018'!T11)*1000</f>
        <v>261200</v>
      </c>
      <c r="D43" s="2898">
        <v>26.64</v>
      </c>
      <c r="E43" s="2900">
        <f t="shared" si="6"/>
        <v>6883.7759999999989</v>
      </c>
      <c r="F43" s="2900">
        <f t="shared" si="7"/>
        <v>6958.3680000000004</v>
      </c>
      <c r="G43" s="2900">
        <f t="shared" si="8"/>
        <v>74.592000000001462</v>
      </c>
    </row>
    <row r="44" spans="1:7" ht="15.75" x14ac:dyDescent="0.25">
      <c r="A44" s="2896" t="s">
        <v>261</v>
      </c>
      <c r="B44" s="2897">
        <f>SUM('[54]ФАКТИЧЕСКАЯ СЕБЕСТ. СТОКИ 2018'!V9-'[54]ФАКТИЧЕСКАЯ СЕБЕСТ. СТОКИ 2018'!V11)*1000</f>
        <v>258399.99999999997</v>
      </c>
      <c r="C44" s="2897">
        <f>SUM('[54]ФАКТИЧЕСКАЯ СЕБЕСТ. СТОКИ 2018'!W9-'[54]ФАКТИЧЕСКАЯ СЕБЕСТ. СТОКИ 2018'!W11)*1000</f>
        <v>277280</v>
      </c>
      <c r="D44" s="2898">
        <v>26.64</v>
      </c>
      <c r="E44" s="2900">
        <f t="shared" si="6"/>
        <v>6883.7759999999989</v>
      </c>
      <c r="F44" s="2900">
        <f t="shared" si="7"/>
        <v>7386.7392</v>
      </c>
      <c r="G44" s="2900">
        <f t="shared" si="8"/>
        <v>502.96320000000105</v>
      </c>
    </row>
    <row r="45" spans="1:7" ht="15.75" x14ac:dyDescent="0.25">
      <c r="A45" s="2896" t="s">
        <v>1207</v>
      </c>
      <c r="B45" s="2897">
        <f>SUM('[54]ФАКТИЧЕСКАЯ СЕБЕСТ. СТОКИ 2018'!AI9-'[54]ФАКТИЧЕСКАЯ СЕБЕСТ. СТОКИ 2018'!AI11)*1000</f>
        <v>258399.99999999997</v>
      </c>
      <c r="C45" s="2897">
        <f>SUM('[54]ФАКТИЧЕСКАЯ СЕБЕСТ. СТОКИ 2018'!AJ9-'[54]ФАКТИЧЕСКАЯ СЕБЕСТ. СТОКИ 2018'!AJ11)*1000</f>
        <v>241600</v>
      </c>
      <c r="D45" s="2898">
        <v>34.659999999999997</v>
      </c>
      <c r="E45" s="2900">
        <f t="shared" si="6"/>
        <v>8956.1439999999984</v>
      </c>
      <c r="F45" s="2900">
        <f t="shared" si="7"/>
        <v>8373.8559999999998</v>
      </c>
      <c r="G45" s="2900">
        <f t="shared" si="8"/>
        <v>-582.28799999999865</v>
      </c>
    </row>
    <row r="46" spans="1:7" ht="15.75" x14ac:dyDescent="0.25">
      <c r="A46" s="2896" t="s">
        <v>262</v>
      </c>
      <c r="B46" s="2897">
        <f>SUM('[54]ФАКТИЧЕСКАЯ СЕБЕСТ. СТОКИ 2018'!AL9-'[54]ФАКТИЧЕСКАЯ СЕБЕСТ. СТОКИ 2018'!AL11)*1000</f>
        <v>258399.99999999997</v>
      </c>
      <c r="C46" s="2897">
        <f>SUM('[54]ФАКТИЧЕСКАЯ СЕБЕСТ. СТОКИ 2018'!AM9-'[54]ФАКТИЧЕСКАЯ СЕБЕСТ. СТОКИ 2018'!AM11)*1000</f>
        <v>258000</v>
      </c>
      <c r="D46" s="2898">
        <v>34.659999999999997</v>
      </c>
      <c r="E46" s="2900">
        <f t="shared" si="6"/>
        <v>8956.1439999999984</v>
      </c>
      <c r="F46" s="2900">
        <f t="shared" si="7"/>
        <v>8942.2800000000007</v>
      </c>
      <c r="G46" s="2900">
        <f t="shared" si="8"/>
        <v>-13.863999999997759</v>
      </c>
    </row>
    <row r="47" spans="1:7" ht="15.75" x14ac:dyDescent="0.25">
      <c r="A47" s="2896" t="s">
        <v>1225</v>
      </c>
      <c r="B47" s="2897">
        <f>SUM('[54]ФАКТИЧЕСКАЯ СЕБЕСТ. СТОКИ 2018'!AO9-'[54]ФАКТИЧЕСКАЯ СЕБЕСТ. СТОКИ 2018'!AO11)*1000</f>
        <v>272934.99999999994</v>
      </c>
      <c r="C47" s="2897">
        <f>SUM('[54]ФАКТИЧЕСКАЯ СЕБЕСТ. СТОКИ 2018'!AP9-'[54]ФАКТИЧЕСКАЯ СЕБЕСТ. СТОКИ 2018'!AP11)*1000</f>
        <v>253450</v>
      </c>
      <c r="D47" s="2898">
        <v>34.659999999999997</v>
      </c>
      <c r="E47" s="2900">
        <f t="shared" si="6"/>
        <v>9459.9270999999972</v>
      </c>
      <c r="F47" s="2900">
        <f t="shared" si="7"/>
        <v>8784.5769999999993</v>
      </c>
      <c r="G47" s="2900">
        <f t="shared" si="8"/>
        <v>-675.35009999999784</v>
      </c>
    </row>
    <row r="48" spans="1:7" ht="15.75" x14ac:dyDescent="0.25">
      <c r="A48" s="2896" t="s">
        <v>263</v>
      </c>
      <c r="B48" s="2897">
        <f>SUM('[54]ФАКТИЧЕСКАЯ СЕБЕСТ. СТОКИ 2018'!BB9-'[54]ФАКТИЧЕСКАЯ СЕБЕСТ. СТОКИ 2018'!BB11)*1000</f>
        <v>274550</v>
      </c>
      <c r="C48" s="2897">
        <f>SUM('[54]ФАКТИЧЕСКАЯ СЕБЕСТ. СТОКИ 2018'!BC9-'[54]ФАКТИЧЕСКАЯ СЕБЕСТ. СТОКИ 2018'!BC11)*1000</f>
        <v>260239.99999999994</v>
      </c>
      <c r="D48" s="2898">
        <v>34.659999999999997</v>
      </c>
      <c r="E48" s="2900">
        <f t="shared" si="6"/>
        <v>9515.9029999999984</v>
      </c>
      <c r="F48" s="2900">
        <f t="shared" si="7"/>
        <v>9019.9183999999968</v>
      </c>
      <c r="G48" s="2900">
        <f t="shared" si="8"/>
        <v>-495.98460000000159</v>
      </c>
    </row>
    <row r="49" spans="1:7" ht="15.75" x14ac:dyDescent="0.25">
      <c r="A49" s="2896" t="s">
        <v>264</v>
      </c>
      <c r="B49" s="2897">
        <f>SUM('[54]ФАКТИЧЕСКАЯ СЕБЕСТ. СТОКИ 2018'!BG9-'[54]ФАКТИЧЕСКАЯ СЕБЕСТ. СТОКИ 2018'!BG11)*1000</f>
        <v>274550</v>
      </c>
      <c r="C49" s="2897">
        <f>SUM('[54]ФАКТИЧЕСКАЯ СЕБЕСТ. СТОКИ 2018'!BH9-'[54]ФАКТИЧЕСКАЯ СЕБЕСТ. СТОКИ 2018'!BH11)*1000</f>
        <v>260630</v>
      </c>
      <c r="D49" s="2898">
        <v>34.659999999999997</v>
      </c>
      <c r="E49" s="2900">
        <f t="shared" si="6"/>
        <v>9515.9029999999984</v>
      </c>
      <c r="F49" s="2900">
        <f t="shared" si="7"/>
        <v>9033.4357999999993</v>
      </c>
      <c r="G49" s="2900">
        <f t="shared" si="8"/>
        <v>-482.46719999999914</v>
      </c>
    </row>
    <row r="50" spans="1:7" ht="15.75" x14ac:dyDescent="0.25">
      <c r="A50" s="2896" t="s">
        <v>1316</v>
      </c>
      <c r="B50" s="2897">
        <f>SUM('[54]ФАКТИЧЕСКАЯ СЕБЕСТ. СТОКИ 2018'!BL9-'[54]ФАКТИЧЕСКАЯ СЕБЕСТ. СТОКИ 2018'!BL11)*1000</f>
        <v>276165</v>
      </c>
      <c r="C50" s="2897">
        <f>SUM('[54]ФАКТИЧЕСКАЯ СЕБЕСТ. СТОКИ 2018'!BM9-'[54]ФАКТИЧЕСКАЯ СЕБЕСТ. СТОКИ 2018'!BM11)*1000</f>
        <v>253350</v>
      </c>
      <c r="D50" s="2898">
        <v>34.659999999999997</v>
      </c>
      <c r="E50" s="2900">
        <f t="shared" si="6"/>
        <v>9571.8788999999979</v>
      </c>
      <c r="F50" s="2900">
        <f t="shared" si="7"/>
        <v>8781.1110000000008</v>
      </c>
      <c r="G50" s="2900">
        <f t="shared" si="8"/>
        <v>-790.7678999999971</v>
      </c>
    </row>
    <row r="51" spans="1:7" ht="15.75" x14ac:dyDescent="0.25">
      <c r="A51" s="2901" t="s">
        <v>280</v>
      </c>
      <c r="B51" s="2902">
        <f>SUM(B39:B50)</f>
        <v>3230000</v>
      </c>
      <c r="C51" s="2903">
        <f>SUM(C39:C50)</f>
        <v>3132120</v>
      </c>
      <c r="D51" s="2903">
        <f>F51/C51*1000</f>
        <v>30.550675644611314</v>
      </c>
      <c r="E51" s="2903">
        <f>SUM(E39:E50)</f>
        <v>98999.499999999985</v>
      </c>
      <c r="F51" s="2903">
        <f>SUM(F39:F50)</f>
        <v>95688.382199999993</v>
      </c>
      <c r="G51" s="2903">
        <f>SUM(G39:G50)</f>
        <v>-3311.1177999999873</v>
      </c>
    </row>
    <row r="52" spans="1:7" ht="15" x14ac:dyDescent="0.2">
      <c r="A52" s="2904"/>
      <c r="B52" s="2904"/>
      <c r="C52" s="2904"/>
      <c r="D52" s="2904"/>
      <c r="E52" s="2904"/>
      <c r="F52" s="2904"/>
      <c r="G52" s="2905"/>
    </row>
    <row r="53" spans="1:7" ht="15.75" x14ac:dyDescent="0.2">
      <c r="A53" s="6497" t="s">
        <v>1749</v>
      </c>
      <c r="B53" s="6497"/>
      <c r="C53" s="6497"/>
      <c r="D53" s="6498"/>
      <c r="E53" s="6498"/>
      <c r="F53" s="6498"/>
      <c r="G53" s="6498"/>
    </row>
    <row r="54" spans="1:7" ht="12.75" customHeight="1" x14ac:dyDescent="0.25">
      <c r="A54" s="6499" t="s">
        <v>1557</v>
      </c>
      <c r="B54" s="6501" t="s">
        <v>1705</v>
      </c>
      <c r="C54" s="6502"/>
      <c r="D54" s="6503" t="s">
        <v>1706</v>
      </c>
      <c r="E54" s="6501" t="s">
        <v>3549</v>
      </c>
      <c r="F54" s="6505"/>
      <c r="G54" s="6506"/>
    </row>
    <row r="55" spans="1:7" ht="15.75" x14ac:dyDescent="0.25">
      <c r="A55" s="6500"/>
      <c r="B55" s="2895" t="s">
        <v>3550</v>
      </c>
      <c r="C55" s="2895" t="s">
        <v>1674</v>
      </c>
      <c r="D55" s="6504"/>
      <c r="E55" s="2895" t="s">
        <v>3550</v>
      </c>
      <c r="F55" s="2895" t="s">
        <v>1674</v>
      </c>
      <c r="G55" s="2895" t="s">
        <v>1593</v>
      </c>
    </row>
    <row r="56" spans="1:7" ht="15.75" x14ac:dyDescent="0.25">
      <c r="A56" s="2896" t="s">
        <v>256</v>
      </c>
      <c r="B56" s="2897">
        <f>SUM('[54]ФАКТИЧЕСКАЯ СЕБЕСТ. СТОКИ 2018'!B11)*1000</f>
        <v>1577.5</v>
      </c>
      <c r="C56" s="2897">
        <f>SUM('[54]ФАКТИЧЕСКАЯ СЕБЕСТ. СТОКИ 2018'!C11)*1000</f>
        <v>238</v>
      </c>
      <c r="D56" s="2899">
        <v>14.24</v>
      </c>
      <c r="E56" s="2900">
        <f>B56*D56/1000</f>
        <v>22.4636</v>
      </c>
      <c r="F56" s="2900">
        <f>C56*D56/1000</f>
        <v>3.3891199999999997</v>
      </c>
      <c r="G56" s="2900">
        <f>SUM(F56-E56)</f>
        <v>-19.074480000000001</v>
      </c>
    </row>
    <row r="57" spans="1:7" ht="15.75" x14ac:dyDescent="0.25">
      <c r="A57" s="2896" t="s">
        <v>257</v>
      </c>
      <c r="B57" s="2897">
        <f>SUM('[54]ФАКТИЧЕСКАЯ СЕБЕСТ. СТОКИ 2018'!E11)*1000</f>
        <v>1577.5</v>
      </c>
      <c r="C57" s="2897">
        <f>SUM('[54]ФАКТИЧЕСКАЯ СЕБЕСТ. СТОКИ 2018'!F11)*1000</f>
        <v>190</v>
      </c>
      <c r="D57" s="2899">
        <v>14.24</v>
      </c>
      <c r="E57" s="2900">
        <f t="shared" ref="E57:E67" si="9">B57*D57/1000</f>
        <v>22.4636</v>
      </c>
      <c r="F57" s="2900">
        <f t="shared" ref="F57:F67" si="10">C57*D57/1000</f>
        <v>2.7056</v>
      </c>
      <c r="G57" s="2900">
        <f t="shared" ref="G57:G67" si="11">SUM(F57-E57)</f>
        <v>-19.757999999999999</v>
      </c>
    </row>
    <row r="58" spans="1:7" ht="15.75" x14ac:dyDescent="0.25">
      <c r="A58" s="2896" t="s">
        <v>258</v>
      </c>
      <c r="B58" s="2897">
        <f>SUM('[54]ФАКТИЧЕСКАЯ СЕБЕСТ. СТОКИ 2018'!H11)*1000</f>
        <v>1577.5</v>
      </c>
      <c r="C58" s="2897">
        <f>SUM('[54]ФАКТИЧЕСКАЯ СЕБЕСТ. СТОКИ 2018'!I11)*1000</f>
        <v>3680</v>
      </c>
      <c r="D58" s="2899">
        <v>14.24</v>
      </c>
      <c r="E58" s="2900">
        <f t="shared" si="9"/>
        <v>22.4636</v>
      </c>
      <c r="F58" s="2900">
        <f t="shared" si="10"/>
        <v>52.403200000000005</v>
      </c>
      <c r="G58" s="2900">
        <f t="shared" si="11"/>
        <v>29.939600000000006</v>
      </c>
    </row>
    <row r="59" spans="1:7" ht="15.75" x14ac:dyDescent="0.25">
      <c r="A59" s="2896" t="s">
        <v>259</v>
      </c>
      <c r="B59" s="2897">
        <f>SUM('[54]ФАКТИЧЕСКАЯ СЕБЕСТ. СТОКИ 2018'!P11)*1000</f>
        <v>1577.5</v>
      </c>
      <c r="C59" s="2897">
        <f>SUM('[54]ФАКТИЧЕСКАЯ СЕБЕСТ. СТОКИ 2018'!Q11)*1000</f>
        <v>260</v>
      </c>
      <c r="D59" s="2899">
        <v>14.24</v>
      </c>
      <c r="E59" s="2900">
        <f t="shared" si="9"/>
        <v>22.4636</v>
      </c>
      <c r="F59" s="2900">
        <f t="shared" si="10"/>
        <v>3.7023999999999999</v>
      </c>
      <c r="G59" s="2900">
        <f t="shared" si="11"/>
        <v>-18.761199999999999</v>
      </c>
    </row>
    <row r="60" spans="1:7" ht="15.75" x14ac:dyDescent="0.25">
      <c r="A60" s="2896" t="s">
        <v>260</v>
      </c>
      <c r="B60" s="2897">
        <f>SUM('[54]ФАКТИЧЕСКАЯ СЕБЕСТ. СТОКИ 2018'!S11)*1000</f>
        <v>1577.5</v>
      </c>
      <c r="C60" s="2897">
        <f>SUM('[54]ФАКТИЧЕСКАЯ СЕБЕСТ. СТОКИ 2018'!T11)*1000</f>
        <v>590</v>
      </c>
      <c r="D60" s="2899">
        <v>14.24</v>
      </c>
      <c r="E60" s="2900">
        <f t="shared" si="9"/>
        <v>22.4636</v>
      </c>
      <c r="F60" s="2900">
        <f t="shared" si="10"/>
        <v>8.4016000000000002</v>
      </c>
      <c r="G60" s="2900">
        <f t="shared" si="11"/>
        <v>-14.061999999999999</v>
      </c>
    </row>
    <row r="61" spans="1:7" ht="15.75" x14ac:dyDescent="0.25">
      <c r="A61" s="2896" t="s">
        <v>261</v>
      </c>
      <c r="B61" s="2897">
        <f>SUM('[54]ФАКТИЧЕСКАЯ СЕБЕСТ. СТОКИ 2018'!V11)*1000</f>
        <v>1577.5</v>
      </c>
      <c r="C61" s="2897">
        <f>SUM('[54]ФАКТИЧЕСКАЯ СЕБЕСТ. СТОКИ 2018'!W11)*1000</f>
        <v>3750</v>
      </c>
      <c r="D61" s="2899">
        <v>14.24</v>
      </c>
      <c r="E61" s="2900">
        <f t="shared" si="9"/>
        <v>22.4636</v>
      </c>
      <c r="F61" s="2900">
        <f t="shared" si="10"/>
        <v>53.4</v>
      </c>
      <c r="G61" s="2900">
        <f t="shared" si="11"/>
        <v>30.936399999999999</v>
      </c>
    </row>
    <row r="62" spans="1:7" ht="15.75" x14ac:dyDescent="0.25">
      <c r="A62" s="2896" t="s">
        <v>1207</v>
      </c>
      <c r="B62" s="2897">
        <f>SUM('[54]ФАКТИЧЕСКАЯ СЕБЕСТ. СТОКИ 2018'!AI11)*1000</f>
        <v>1577.5</v>
      </c>
      <c r="C62" s="2897">
        <f>SUM('[54]ФАКТИЧЕСКАЯ СЕБЕСТ. СТОКИ 2018'!AJ11)*1000</f>
        <v>340</v>
      </c>
      <c r="D62" s="2899">
        <v>14.24</v>
      </c>
      <c r="E62" s="2900">
        <f t="shared" si="9"/>
        <v>22.4636</v>
      </c>
      <c r="F62" s="2900">
        <f t="shared" si="10"/>
        <v>4.8416000000000006</v>
      </c>
      <c r="G62" s="2900">
        <f t="shared" si="11"/>
        <v>-17.622</v>
      </c>
    </row>
    <row r="63" spans="1:7" ht="15.75" x14ac:dyDescent="0.25">
      <c r="A63" s="2896" t="s">
        <v>262</v>
      </c>
      <c r="B63" s="2897">
        <f>SUM('[54]ФАКТИЧЕСКАЯ СЕБЕСТ. СТОКИ 2018'!AL11)*1000</f>
        <v>1577.5</v>
      </c>
      <c r="C63" s="2897">
        <f>SUM('[54]ФАКТИЧЕСКАЯ СЕБЕСТ. СТОКИ 2018'!AM11)*1000</f>
        <v>520</v>
      </c>
      <c r="D63" s="2899">
        <v>14.24</v>
      </c>
      <c r="E63" s="2900">
        <f t="shared" si="9"/>
        <v>22.4636</v>
      </c>
      <c r="F63" s="2900">
        <f t="shared" si="10"/>
        <v>7.4047999999999998</v>
      </c>
      <c r="G63" s="2900">
        <f t="shared" si="11"/>
        <v>-15.0588</v>
      </c>
    </row>
    <row r="64" spans="1:7" ht="15.75" x14ac:dyDescent="0.25">
      <c r="A64" s="2896" t="s">
        <v>1225</v>
      </c>
      <c r="B64" s="2897">
        <f>SUM('[54]ФАКТИЧЕСКАЯ СЕБЕСТ. СТОКИ 2018'!AO11)*1000</f>
        <v>1577.5</v>
      </c>
      <c r="C64" s="2897">
        <f>SUM('[54]ФАКТИЧЕСКАЯ СЕБЕСТ. СТОКИ 2018'!AP11)*1000</f>
        <v>3680</v>
      </c>
      <c r="D64" s="2899">
        <v>14.24</v>
      </c>
      <c r="E64" s="2900">
        <f t="shared" si="9"/>
        <v>22.4636</v>
      </c>
      <c r="F64" s="2900">
        <f t="shared" si="10"/>
        <v>52.403200000000005</v>
      </c>
      <c r="G64" s="2900">
        <f t="shared" si="11"/>
        <v>29.939600000000006</v>
      </c>
    </row>
    <row r="65" spans="1:7" ht="15.75" x14ac:dyDescent="0.25">
      <c r="A65" s="2896" t="s">
        <v>263</v>
      </c>
      <c r="B65" s="2897">
        <f>SUM('[54]ФАКТИЧЕСКАЯ СЕБЕСТ. СТОКИ 2018'!BB11)*1000</f>
        <v>1577.5</v>
      </c>
      <c r="C65" s="2897">
        <f>SUM('[54]ФАКТИЧЕСКАЯ СЕБЕСТ. СТОКИ 2018'!BC11)*1000</f>
        <v>540</v>
      </c>
      <c r="D65" s="2899">
        <v>14.24</v>
      </c>
      <c r="E65" s="2900">
        <f t="shared" si="9"/>
        <v>22.4636</v>
      </c>
      <c r="F65" s="2900">
        <f t="shared" si="10"/>
        <v>7.6896000000000004</v>
      </c>
      <c r="G65" s="2900">
        <f t="shared" si="11"/>
        <v>-14.773999999999999</v>
      </c>
    </row>
    <row r="66" spans="1:7" ht="15.75" x14ac:dyDescent="0.25">
      <c r="A66" s="2896" t="s">
        <v>264</v>
      </c>
      <c r="B66" s="2897">
        <f>SUM('[54]ФАКТИЧЕСКАЯ СЕБЕСТ. СТОКИ 2018'!BG11)*1000</f>
        <v>1577.5</v>
      </c>
      <c r="C66" s="2897">
        <f>SUM('[54]ФАКТИЧЕСКАЯ СЕБЕСТ. СТОКИ 2018'!BH11)*1000</f>
        <v>560</v>
      </c>
      <c r="D66" s="2899">
        <v>14.24</v>
      </c>
      <c r="E66" s="2900">
        <f t="shared" si="9"/>
        <v>22.4636</v>
      </c>
      <c r="F66" s="2900">
        <f t="shared" si="10"/>
        <v>7.9744000000000002</v>
      </c>
      <c r="G66" s="2900">
        <f t="shared" si="11"/>
        <v>-14.4892</v>
      </c>
    </row>
    <row r="67" spans="1:7" ht="15.75" x14ac:dyDescent="0.25">
      <c r="A67" s="2896" t="s">
        <v>1316</v>
      </c>
      <c r="B67" s="2897">
        <f>SUM('[54]ФАКТИЧЕСКАЯ СЕБЕСТ. СТОКИ 2018'!BL11)*1000</f>
        <v>1577.5</v>
      </c>
      <c r="C67" s="2897">
        <f>SUM('[54]ФАКТИЧЕСКАЯ СЕБЕСТ. СТОКИ 2018'!BM11)*1000</f>
        <v>3900</v>
      </c>
      <c r="D67" s="2899">
        <v>14.24</v>
      </c>
      <c r="E67" s="2900">
        <f t="shared" si="9"/>
        <v>22.4636</v>
      </c>
      <c r="F67" s="2900">
        <f t="shared" si="10"/>
        <v>55.536000000000001</v>
      </c>
      <c r="G67" s="2900">
        <f t="shared" si="11"/>
        <v>33.072400000000002</v>
      </c>
    </row>
    <row r="68" spans="1:7" ht="15.75" x14ac:dyDescent="0.25">
      <c r="A68" s="2901" t="s">
        <v>280</v>
      </c>
      <c r="B68" s="2902">
        <f>SUM(B56:B67)</f>
        <v>18930</v>
      </c>
      <c r="C68" s="2903">
        <f>SUM(C56:C67)</f>
        <v>18248</v>
      </c>
      <c r="D68" s="2903">
        <f>F68/C68*1000</f>
        <v>14.240000000000002</v>
      </c>
      <c r="E68" s="2903">
        <f>SUM(E56:E67)</f>
        <v>269.56319999999994</v>
      </c>
      <c r="F68" s="2903">
        <f>SUM(F56:F67)</f>
        <v>259.85152000000005</v>
      </c>
      <c r="G68" s="2903">
        <f>SUM(G56:G67)</f>
        <v>-9.711679999999987</v>
      </c>
    </row>
  </sheetData>
  <mergeCells count="21"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  <mergeCell ref="A1:G1"/>
    <mergeCell ref="A2:G2"/>
    <mergeCell ref="A3:A4"/>
    <mergeCell ref="B3:C3"/>
    <mergeCell ref="D3:D4"/>
    <mergeCell ref="E3:G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Лист72">
    <pageSetUpPr fitToPage="1"/>
  </sheetPr>
  <dimension ref="A1:G118"/>
  <sheetViews>
    <sheetView topLeftCell="A52" workbookViewId="0">
      <selection activeCell="M77" sqref="M7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1666</v>
      </c>
    </row>
    <row r="2" spans="1:7" ht="18.75" hidden="1" x14ac:dyDescent="0.3">
      <c r="A2" s="5076" t="s">
        <v>1477</v>
      </c>
      <c r="B2" s="5076"/>
      <c r="C2" s="5076"/>
      <c r="D2" s="5076"/>
      <c r="E2" s="5076"/>
      <c r="F2" s="5076"/>
    </row>
    <row r="3" spans="1:7" ht="18.75" hidden="1" x14ac:dyDescent="0.3">
      <c r="A3" s="2496"/>
      <c r="B3" s="2496"/>
      <c r="C3" s="2496"/>
      <c r="D3" s="2496"/>
      <c r="E3" s="2496"/>
    </row>
    <row r="4" spans="1:7" ht="27.75" hidden="1" customHeight="1" x14ac:dyDescent="0.2">
      <c r="A4" s="6477"/>
      <c r="B4" s="6514" t="s">
        <v>1478</v>
      </c>
      <c r="C4" s="6515"/>
      <c r="D4" s="6516"/>
      <c r="E4" s="6517" t="s">
        <v>1480</v>
      </c>
      <c r="F4" s="6467" t="s">
        <v>1482</v>
      </c>
      <c r="G4" s="6493"/>
    </row>
    <row r="5" spans="1:7" ht="33.75" hidden="1" customHeight="1" x14ac:dyDescent="0.2">
      <c r="A5" s="6368"/>
      <c r="B5" s="2498" t="s">
        <v>972</v>
      </c>
      <c r="C5" s="2498" t="s">
        <v>973</v>
      </c>
      <c r="D5" s="2498" t="s">
        <v>54</v>
      </c>
      <c r="E5" s="6517"/>
      <c r="F5" s="6355"/>
      <c r="G5" s="6493"/>
    </row>
    <row r="6" spans="1:7" ht="18.75" hidden="1" x14ac:dyDescent="0.3">
      <c r="A6" s="6411" t="s">
        <v>964</v>
      </c>
      <c r="B6" s="6412"/>
      <c r="C6" s="6412"/>
      <c r="D6" s="6412"/>
      <c r="E6" s="6412"/>
      <c r="F6" s="6412"/>
      <c r="G6" s="6518"/>
    </row>
    <row r="7" spans="1:7" hidden="1" x14ac:dyDescent="0.2">
      <c r="A7" s="2499" t="s">
        <v>969</v>
      </c>
      <c r="B7" s="2500">
        <v>19.14</v>
      </c>
      <c r="C7" s="2500">
        <v>22.66</v>
      </c>
      <c r="D7" s="2500"/>
      <c r="E7" s="2499"/>
      <c r="F7" s="6472">
        <f>$E$48*D10/$D$48</f>
        <v>408.76453757043004</v>
      </c>
      <c r="G7" s="2499"/>
    </row>
    <row r="8" spans="1:7" hidden="1" x14ac:dyDescent="0.2">
      <c r="A8" s="2499" t="s">
        <v>970</v>
      </c>
      <c r="B8" s="2500">
        <f>2780.7/2</f>
        <v>1390.35</v>
      </c>
      <c r="C8" s="2500">
        <f>B8</f>
        <v>1390.35</v>
      </c>
      <c r="D8" s="2500">
        <f>C8+B8</f>
        <v>2780.7</v>
      </c>
      <c r="E8" s="2499"/>
      <c r="F8" s="6363"/>
      <c r="G8" s="2499"/>
    </row>
    <row r="9" spans="1:7" hidden="1" x14ac:dyDescent="0.2">
      <c r="A9" s="2499" t="s">
        <v>971</v>
      </c>
      <c r="B9" s="2500">
        <f>B7*B8</f>
        <v>26611.298999999999</v>
      </c>
      <c r="C9" s="2500">
        <f>C7*C8</f>
        <v>31505.330999999998</v>
      </c>
      <c r="D9" s="2500">
        <f>C9+B9</f>
        <v>58116.63</v>
      </c>
      <c r="E9" s="2499"/>
      <c r="F9" s="6363"/>
      <c r="G9" s="2499"/>
    </row>
    <row r="10" spans="1:7" hidden="1" x14ac:dyDescent="0.2">
      <c r="A10" s="2499" t="s">
        <v>968</v>
      </c>
      <c r="B10" s="2500">
        <f>B9*0.02</f>
        <v>532.22597999999994</v>
      </c>
      <c r="C10" s="2500">
        <f>C9*0.02</f>
        <v>630.10662000000002</v>
      </c>
      <c r="D10" s="2500">
        <f>C10+B10</f>
        <v>1162.3326</v>
      </c>
      <c r="E10" s="2499"/>
      <c r="F10" s="6364"/>
      <c r="G10" s="2499"/>
    </row>
    <row r="11" spans="1:7" ht="18.75" hidden="1" x14ac:dyDescent="0.3">
      <c r="A11" s="6411" t="s">
        <v>965</v>
      </c>
      <c r="B11" s="6412"/>
      <c r="C11" s="6412"/>
      <c r="D11" s="6412"/>
      <c r="E11" s="6412"/>
      <c r="F11" s="6518"/>
      <c r="G11" s="2499"/>
    </row>
    <row r="12" spans="1:7" hidden="1" x14ac:dyDescent="0.2">
      <c r="A12" s="2499" t="s">
        <v>328</v>
      </c>
      <c r="B12" s="2500">
        <v>15.5</v>
      </c>
      <c r="C12" s="2500">
        <v>18.350000000000001</v>
      </c>
      <c r="D12" s="2500"/>
      <c r="E12" s="2499"/>
      <c r="F12" s="6472">
        <f>$E$49*D15/$D$49</f>
        <v>310.74886990256181</v>
      </c>
      <c r="G12" s="2499"/>
    </row>
    <row r="13" spans="1:7" hidden="1" x14ac:dyDescent="0.2">
      <c r="A13" s="2499" t="s">
        <v>962</v>
      </c>
      <c r="B13" s="2500">
        <f>2448.7/2</f>
        <v>1224.3499999999999</v>
      </c>
      <c r="C13" s="2500">
        <f>B13</f>
        <v>1224.3499999999999</v>
      </c>
      <c r="D13" s="2500">
        <f>C13+B13</f>
        <v>2448.6999999999998</v>
      </c>
      <c r="E13" s="2499"/>
      <c r="F13" s="6363"/>
      <c r="G13" s="2499"/>
    </row>
    <row r="14" spans="1:7" hidden="1" x14ac:dyDescent="0.2">
      <c r="A14" s="2499" t="s">
        <v>963</v>
      </c>
      <c r="B14" s="2500">
        <f>B12*B13</f>
        <v>18977.424999999999</v>
      </c>
      <c r="C14" s="2500">
        <f>C12*C13</f>
        <v>22466.822499999998</v>
      </c>
      <c r="D14" s="2500">
        <f>C14+B14</f>
        <v>41444.247499999998</v>
      </c>
      <c r="E14" s="2499"/>
      <c r="F14" s="6363"/>
      <c r="G14" s="2499"/>
    </row>
    <row r="15" spans="1:7" hidden="1" x14ac:dyDescent="0.2">
      <c r="A15" s="2499" t="s">
        <v>968</v>
      </c>
      <c r="B15" s="2500">
        <f>B14*0.02</f>
        <v>379.54849999999999</v>
      </c>
      <c r="C15" s="2500">
        <f>C14*0.02</f>
        <v>449.33644999999996</v>
      </c>
      <c r="D15" s="2500">
        <f>C15+B15</f>
        <v>828.88494999999989</v>
      </c>
      <c r="E15" s="2499"/>
      <c r="F15" s="6364"/>
      <c r="G15" s="2499"/>
    </row>
    <row r="16" spans="1:7" ht="18.75" hidden="1" x14ac:dyDescent="0.3">
      <c r="A16" s="6414" t="s">
        <v>1672</v>
      </c>
      <c r="B16" s="6415"/>
      <c r="C16" s="6415"/>
      <c r="D16" s="6415"/>
      <c r="E16" s="6415"/>
      <c r="F16" s="6415"/>
      <c r="G16" s="6513"/>
    </row>
    <row r="17" spans="1:7" hidden="1" x14ac:dyDescent="0.2">
      <c r="A17" s="2501" t="s">
        <v>974</v>
      </c>
      <c r="B17" s="2502">
        <v>22.66</v>
      </c>
      <c r="C17" s="2502">
        <v>25.95</v>
      </c>
      <c r="D17" s="2502"/>
      <c r="E17" s="2501"/>
      <c r="F17" s="6471">
        <f>$E$48*D20/$D$48</f>
        <v>406.49452001229344</v>
      </c>
      <c r="G17" s="2499"/>
    </row>
    <row r="18" spans="1:7" hidden="1" x14ac:dyDescent="0.2">
      <c r="A18" s="2501" t="s">
        <v>975</v>
      </c>
      <c r="B18" s="2502">
        <f>D18/2</f>
        <v>1188.93</v>
      </c>
      <c r="C18" s="2502">
        <f>B18</f>
        <v>1188.93</v>
      </c>
      <c r="D18" s="2502">
        <f>[51]объемы!R48</f>
        <v>2377.86</v>
      </c>
      <c r="E18" s="2501"/>
      <c r="F18" s="6374"/>
      <c r="G18" s="2499"/>
    </row>
    <row r="19" spans="1:7" hidden="1" x14ac:dyDescent="0.2">
      <c r="A19" s="2501" t="s">
        <v>976</v>
      </c>
      <c r="B19" s="2502">
        <f>B17*B18</f>
        <v>26941.1538</v>
      </c>
      <c r="C19" s="2502">
        <f>C17*C18</f>
        <v>30852.733500000002</v>
      </c>
      <c r="D19" s="2502">
        <f>C19+B19</f>
        <v>57793.887300000002</v>
      </c>
      <c r="E19" s="2501"/>
      <c r="F19" s="6374"/>
      <c r="G19" s="2499"/>
    </row>
    <row r="20" spans="1:7" hidden="1" x14ac:dyDescent="0.2">
      <c r="A20" s="2501" t="s">
        <v>968</v>
      </c>
      <c r="B20" s="2502">
        <f>B19*0.02</f>
        <v>538.82307600000001</v>
      </c>
      <c r="C20" s="2502">
        <f>C19*0.02</f>
        <v>617.0546700000001</v>
      </c>
      <c r="D20" s="2502">
        <f>C20+B20</f>
        <v>1155.8777460000001</v>
      </c>
      <c r="E20" s="2501"/>
      <c r="F20" s="6375"/>
      <c r="G20" s="2499"/>
    </row>
    <row r="21" spans="1:7" ht="18.75" hidden="1" x14ac:dyDescent="0.3">
      <c r="A21" s="6414" t="s">
        <v>967</v>
      </c>
      <c r="B21" s="6415"/>
      <c r="C21" s="6415"/>
      <c r="D21" s="6415"/>
      <c r="E21" s="6415"/>
      <c r="F21" s="6513"/>
      <c r="G21" s="2499"/>
    </row>
    <row r="22" spans="1:7" hidden="1" x14ac:dyDescent="0.2">
      <c r="A22" s="2501" t="s">
        <v>974</v>
      </c>
      <c r="B22" s="2502">
        <v>18.350000000000001</v>
      </c>
      <c r="C22" s="2502">
        <v>21.01</v>
      </c>
      <c r="D22" s="2502"/>
      <c r="E22" s="2501"/>
      <c r="F22" s="6471">
        <f>$E$49*D25/$D$49</f>
        <v>337.84293010864991</v>
      </c>
      <c r="G22" s="2499"/>
    </row>
    <row r="23" spans="1:7" hidden="1" x14ac:dyDescent="0.2">
      <c r="A23" s="2501" t="s">
        <v>975</v>
      </c>
      <c r="B23" s="2502">
        <f>D23/2</f>
        <v>1144.76</v>
      </c>
      <c r="C23" s="2502">
        <f>B23</f>
        <v>1144.76</v>
      </c>
      <c r="D23" s="2502">
        <f>[51]объемы!R58</f>
        <v>2289.52</v>
      </c>
      <c r="E23" s="2501"/>
      <c r="F23" s="6374"/>
      <c r="G23" s="2499"/>
    </row>
    <row r="24" spans="1:7" hidden="1" x14ac:dyDescent="0.2">
      <c r="A24" s="2501" t="s">
        <v>976</v>
      </c>
      <c r="B24" s="2502">
        <f>B22*B23</f>
        <v>21006.346000000001</v>
      </c>
      <c r="C24" s="2502">
        <f>C22*C23</f>
        <v>24051.407600000002</v>
      </c>
      <c r="D24" s="2502">
        <f>C24+B24</f>
        <v>45057.753600000004</v>
      </c>
      <c r="E24" s="2501"/>
      <c r="F24" s="6374"/>
      <c r="G24" s="2499"/>
    </row>
    <row r="25" spans="1:7" hidden="1" x14ac:dyDescent="0.2">
      <c r="A25" s="2501" t="s">
        <v>968</v>
      </c>
      <c r="B25" s="2502">
        <f>B24*0.02</f>
        <v>420.12692000000004</v>
      </c>
      <c r="C25" s="2502">
        <f>C24*0.02</f>
        <v>481.02815200000003</v>
      </c>
      <c r="D25" s="2502">
        <f>C25+B25</f>
        <v>901.15507200000002</v>
      </c>
      <c r="E25" s="2501"/>
      <c r="F25" s="6375"/>
      <c r="G25" s="2499"/>
    </row>
    <row r="26" spans="1:7" ht="18.75" hidden="1" x14ac:dyDescent="0.3">
      <c r="A26" s="6411" t="s">
        <v>977</v>
      </c>
      <c r="B26" s="6412"/>
      <c r="C26" s="6412"/>
      <c r="D26" s="6412"/>
      <c r="E26" s="6412"/>
      <c r="F26" s="6412"/>
      <c r="G26" s="6518"/>
    </row>
    <row r="27" spans="1:7" hidden="1" x14ac:dyDescent="0.2">
      <c r="A27" s="2499" t="s">
        <v>979</v>
      </c>
      <c r="B27" s="2500">
        <f>C17</f>
        <v>25.95</v>
      </c>
      <c r="C27" s="2500">
        <v>28.6</v>
      </c>
      <c r="D27" s="2500"/>
      <c r="E27" s="2499"/>
      <c r="F27" s="6472">
        <f>$E$48*D30/$D$48</f>
        <v>465.89321466591826</v>
      </c>
      <c r="G27" s="2499"/>
    </row>
    <row r="28" spans="1:7" hidden="1" x14ac:dyDescent="0.2">
      <c r="A28" s="2499" t="s">
        <v>975</v>
      </c>
      <c r="B28" s="2500">
        <f>[51]объемы!AA48/2</f>
        <v>1214.28</v>
      </c>
      <c r="C28" s="2500">
        <f>B28</f>
        <v>1214.28</v>
      </c>
      <c r="D28" s="2500">
        <f>C28+B28</f>
        <v>2428.56</v>
      </c>
      <c r="E28" s="2499"/>
      <c r="F28" s="6363"/>
      <c r="G28" s="2499"/>
    </row>
    <row r="29" spans="1:7" hidden="1" x14ac:dyDescent="0.2">
      <c r="A29" s="2499" t="s">
        <v>976</v>
      </c>
      <c r="B29" s="2500">
        <f>B27*B28</f>
        <v>31510.565999999999</v>
      </c>
      <c r="C29" s="2500">
        <f>C27*C28</f>
        <v>34728.408000000003</v>
      </c>
      <c r="D29" s="2500">
        <f>C29+B29</f>
        <v>66238.974000000002</v>
      </c>
      <c r="E29" s="2499"/>
      <c r="F29" s="6363"/>
      <c r="G29" s="2499"/>
    </row>
    <row r="30" spans="1:7" hidden="1" x14ac:dyDescent="0.2">
      <c r="A30" s="2499" t="s">
        <v>968</v>
      </c>
      <c r="B30" s="2500">
        <f>B29*0.02</f>
        <v>630.21132</v>
      </c>
      <c r="C30" s="2500">
        <f>C29*0.02</f>
        <v>694.56816000000003</v>
      </c>
      <c r="D30" s="2500">
        <f>C30+B30</f>
        <v>1324.7794800000001</v>
      </c>
      <c r="E30" s="2499"/>
      <c r="F30" s="6364"/>
      <c r="G30" s="2499"/>
    </row>
    <row r="31" spans="1:7" ht="18.75" hidden="1" x14ac:dyDescent="0.3">
      <c r="A31" s="6411" t="s">
        <v>978</v>
      </c>
      <c r="B31" s="6412"/>
      <c r="C31" s="6412"/>
      <c r="D31" s="6412"/>
      <c r="E31" s="6412"/>
      <c r="F31" s="6518"/>
      <c r="G31" s="2499"/>
    </row>
    <row r="32" spans="1:7" hidden="1" x14ac:dyDescent="0.2">
      <c r="A32" s="2499" t="s">
        <v>979</v>
      </c>
      <c r="B32" s="2500">
        <f>C22</f>
        <v>21.01</v>
      </c>
      <c r="C32" s="2500">
        <v>23.2</v>
      </c>
      <c r="D32" s="2500"/>
      <c r="E32" s="2499"/>
      <c r="F32" s="6472">
        <f>$E$49*D35/$D$49</f>
        <v>405.73944615575715</v>
      </c>
      <c r="G32" s="2499"/>
    </row>
    <row r="33" spans="1:7" hidden="1" x14ac:dyDescent="0.2">
      <c r="A33" s="2499" t="s">
        <v>975</v>
      </c>
      <c r="B33" s="2500">
        <f>[51]объемы!AA58/2</f>
        <v>1224</v>
      </c>
      <c r="C33" s="2500">
        <f>B33</f>
        <v>1224</v>
      </c>
      <c r="D33" s="2500">
        <f>C33+B33</f>
        <v>2448</v>
      </c>
      <c r="E33" s="2499"/>
      <c r="F33" s="6363"/>
      <c r="G33" s="2499"/>
    </row>
    <row r="34" spans="1:7" hidden="1" x14ac:dyDescent="0.2">
      <c r="A34" s="2499" t="s">
        <v>976</v>
      </c>
      <c r="B34" s="2500">
        <f>B32*B33</f>
        <v>25716.240000000002</v>
      </c>
      <c r="C34" s="2500">
        <f>C32*C33</f>
        <v>28396.799999999999</v>
      </c>
      <c r="D34" s="2500">
        <f>C34+B34</f>
        <v>54113.04</v>
      </c>
      <c r="E34" s="2499"/>
      <c r="F34" s="6363"/>
      <c r="G34" s="2499"/>
    </row>
    <row r="35" spans="1:7" hidden="1" x14ac:dyDescent="0.2">
      <c r="A35" s="2499" t="s">
        <v>968</v>
      </c>
      <c r="B35" s="2500">
        <f>B34*0.02</f>
        <v>514.3248000000001</v>
      </c>
      <c r="C35" s="2500">
        <f>C34*0.02</f>
        <v>567.93600000000004</v>
      </c>
      <c r="D35" s="2500">
        <f>C35+B35</f>
        <v>1082.2608</v>
      </c>
      <c r="E35" s="2499"/>
      <c r="F35" s="6364"/>
      <c r="G35" s="2499"/>
    </row>
    <row r="36" spans="1:7" ht="18.75" hidden="1" x14ac:dyDescent="0.3">
      <c r="A36" s="6414" t="s">
        <v>1683</v>
      </c>
      <c r="B36" s="6415"/>
      <c r="C36" s="6415"/>
      <c r="D36" s="6415"/>
      <c r="E36" s="6415"/>
      <c r="F36" s="6513"/>
      <c r="G36" s="2499"/>
    </row>
    <row r="37" spans="1:7" hidden="1" x14ac:dyDescent="0.2">
      <c r="A37" s="2501" t="s">
        <v>979</v>
      </c>
      <c r="B37" s="2502">
        <f>'[51]вода 2018 коррект'!F45</f>
        <v>25.95</v>
      </c>
      <c r="C37" s="2502">
        <f>'[51]вода 2018 коррект'!F46</f>
        <v>27.796610169491526</v>
      </c>
      <c r="D37" s="2502"/>
      <c r="E37" s="2501"/>
      <c r="F37" s="6471">
        <f>$E$48*D40/$D$48</f>
        <v>436.83960362466541</v>
      </c>
      <c r="G37" s="2499"/>
    </row>
    <row r="38" spans="1:7" hidden="1" x14ac:dyDescent="0.2">
      <c r="A38" s="2501" t="s">
        <v>1682</v>
      </c>
      <c r="B38" s="2502">
        <f>D38/2</f>
        <v>1155.575</v>
      </c>
      <c r="C38" s="2502">
        <f>B38</f>
        <v>1155.575</v>
      </c>
      <c r="D38" s="2502">
        <f>[51]объемы!Y48</f>
        <v>2311.15</v>
      </c>
      <c r="E38" s="2501"/>
      <c r="F38" s="6374"/>
      <c r="G38" s="2500">
        <f>F37</f>
        <v>436.83960362466541</v>
      </c>
    </row>
    <row r="39" spans="1:7" hidden="1" x14ac:dyDescent="0.2">
      <c r="A39" s="2501" t="s">
        <v>1681</v>
      </c>
      <c r="B39" s="2502">
        <f>B37*B38</f>
        <v>29987.171249999999</v>
      </c>
      <c r="C39" s="2502">
        <f>C37*C38</f>
        <v>32121.067796610172</v>
      </c>
      <c r="D39" s="2502">
        <f>C39+B39</f>
        <v>62108.239046610171</v>
      </c>
      <c r="E39" s="2501"/>
      <c r="F39" s="6374"/>
      <c r="G39" s="2499"/>
    </row>
    <row r="40" spans="1:7" hidden="1" x14ac:dyDescent="0.2">
      <c r="A40" s="2501" t="s">
        <v>968</v>
      </c>
      <c r="B40" s="2502">
        <f>B39*0.02</f>
        <v>599.743425</v>
      </c>
      <c r="C40" s="2502">
        <f>C39*0.02</f>
        <v>642.42135593220348</v>
      </c>
      <c r="D40" s="2502">
        <f>C40+B40</f>
        <v>1242.1647809322035</v>
      </c>
      <c r="E40" s="2501"/>
      <c r="F40" s="6375"/>
      <c r="G40" s="2499"/>
    </row>
    <row r="41" spans="1:7" ht="18.75" hidden="1" x14ac:dyDescent="0.3">
      <c r="A41" s="6414" t="s">
        <v>978</v>
      </c>
      <c r="B41" s="6415"/>
      <c r="C41" s="6415"/>
      <c r="D41" s="6415"/>
      <c r="E41" s="6415"/>
      <c r="F41" s="6513"/>
      <c r="G41" s="2499"/>
    </row>
    <row r="42" spans="1:7" hidden="1" x14ac:dyDescent="0.2">
      <c r="A42" s="2501" t="s">
        <v>974</v>
      </c>
      <c r="B42" s="2502">
        <v>21.01</v>
      </c>
      <c r="C42" s="2502">
        <v>22.5</v>
      </c>
      <c r="D42" s="2502"/>
      <c r="E42" s="2501"/>
      <c r="F42" s="6471">
        <f>$E$49*D45/$D$49</f>
        <v>365.36847945936529</v>
      </c>
      <c r="G42" s="2499"/>
    </row>
    <row r="43" spans="1:7" hidden="1" x14ac:dyDescent="0.2">
      <c r="A43" s="2501" t="s">
        <v>1682</v>
      </c>
      <c r="B43" s="2502">
        <f>D43/2</f>
        <v>1119.9449999999999</v>
      </c>
      <c r="C43" s="2502">
        <f>B43</f>
        <v>1119.9449999999999</v>
      </c>
      <c r="D43" s="2502">
        <f>[51]объемы!Y58</f>
        <v>2239.89</v>
      </c>
      <c r="E43" s="2501"/>
      <c r="F43" s="6374"/>
      <c r="G43" s="2500">
        <f>F42</f>
        <v>365.36847945936529</v>
      </c>
    </row>
    <row r="44" spans="1:7" hidden="1" x14ac:dyDescent="0.2">
      <c r="A44" s="2501" t="s">
        <v>976</v>
      </c>
      <c r="B44" s="2502">
        <f>B42*B43</f>
        <v>23530.044450000001</v>
      </c>
      <c r="C44" s="2502">
        <f>C42*C43</f>
        <v>25198.762499999997</v>
      </c>
      <c r="D44" s="2502">
        <f>C44+B44</f>
        <v>48728.806949999998</v>
      </c>
      <c r="E44" s="2501"/>
      <c r="F44" s="6374"/>
      <c r="G44" s="2499"/>
    </row>
    <row r="45" spans="1:7" hidden="1" x14ac:dyDescent="0.2">
      <c r="A45" s="2501" t="s">
        <v>968</v>
      </c>
      <c r="B45" s="2502">
        <f>B44*0.02</f>
        <v>470.60088900000005</v>
      </c>
      <c r="C45" s="2502">
        <f>C44*0.02</f>
        <v>503.97524999999996</v>
      </c>
      <c r="D45" s="2502">
        <f>C45+B45</f>
        <v>974.57613900000001</v>
      </c>
      <c r="E45" s="2501"/>
      <c r="F45" s="6375"/>
      <c r="G45" s="2499"/>
    </row>
    <row r="46" spans="1:7" hidden="1" x14ac:dyDescent="0.2">
      <c r="A46" s="2503" t="s">
        <v>614</v>
      </c>
      <c r="B46" s="2504"/>
      <c r="C46" s="2504"/>
      <c r="D46" s="2505">
        <f>D10+D15+D20+D25+D40+D45</f>
        <v>6264.9912879322028</v>
      </c>
      <c r="E46" s="2505">
        <f>(1993.71255+680.237)/1.18</f>
        <v>2266.0589406779659</v>
      </c>
      <c r="F46" s="2505">
        <f>F7+F12+F17+F22+F27+F32</f>
        <v>2335.4835184156109</v>
      </c>
      <c r="G46" s="2499"/>
    </row>
    <row r="47" spans="1:7" hidden="1" x14ac:dyDescent="0.2">
      <c r="A47" s="2506" t="s">
        <v>228</v>
      </c>
      <c r="B47" s="2499"/>
      <c r="C47" s="2499"/>
      <c r="D47" s="2507"/>
      <c r="E47" s="2507"/>
      <c r="F47" s="2499"/>
      <c r="G47" s="2499"/>
    </row>
    <row r="48" spans="1:7" hidden="1" x14ac:dyDescent="0.2">
      <c r="A48" s="2506" t="s">
        <v>46</v>
      </c>
      <c r="B48" s="2499"/>
      <c r="C48" s="2499"/>
      <c r="D48" s="2508">
        <f>D10+D20+D40</f>
        <v>3560.3751269322033</v>
      </c>
      <c r="E48" s="2508">
        <f>'[51]Резерв ДЗ'!E38</f>
        <v>1252.0986612073889</v>
      </c>
      <c r="F48" s="6460" t="s">
        <v>1481</v>
      </c>
      <c r="G48" s="2499"/>
    </row>
    <row r="49" spans="1:7" hidden="1" x14ac:dyDescent="0.2">
      <c r="A49" s="2506" t="s">
        <v>47</v>
      </c>
      <c r="B49" s="2499"/>
      <c r="C49" s="2499"/>
      <c r="D49" s="2508">
        <f>D15+D25+D45</f>
        <v>2704.6161609999999</v>
      </c>
      <c r="E49" s="2508">
        <f>E46-E48</f>
        <v>1013.960279470577</v>
      </c>
      <c r="F49" s="6418"/>
      <c r="G49" s="2499"/>
    </row>
    <row r="50" spans="1:7" hidden="1" x14ac:dyDescent="0.2">
      <c r="A50" s="2220"/>
      <c r="B50" s="2509"/>
      <c r="C50" s="2509"/>
      <c r="D50" s="2510"/>
      <c r="E50" s="2510"/>
      <c r="F50" s="2511"/>
      <c r="G50" s="29"/>
    </row>
    <row r="51" spans="1:7" hidden="1" x14ac:dyDescent="0.2">
      <c r="A51" s="105"/>
      <c r="B51" s="29"/>
      <c r="C51" s="29"/>
      <c r="D51" s="2512"/>
      <c r="E51" s="2512"/>
      <c r="F51" s="319"/>
      <c r="G51" s="29"/>
    </row>
    <row r="52" spans="1:7" x14ac:dyDescent="0.2">
      <c r="A52" s="105"/>
      <c r="B52" s="29"/>
      <c r="C52" s="29"/>
      <c r="D52" s="2512"/>
      <c r="E52" s="2512"/>
      <c r="F52" s="319"/>
      <c r="G52" s="29"/>
    </row>
    <row r="53" spans="1:7" x14ac:dyDescent="0.2">
      <c r="A53" s="105"/>
      <c r="B53" s="29"/>
      <c r="C53" s="29"/>
      <c r="D53" s="2512"/>
      <c r="E53" s="2512"/>
      <c r="F53" s="319"/>
      <c r="G53" s="29"/>
    </row>
    <row r="54" spans="1:7" ht="18.75" x14ac:dyDescent="0.3">
      <c r="A54" s="5637" t="s">
        <v>3554</v>
      </c>
      <c r="B54" s="5637"/>
      <c r="C54" s="5637"/>
      <c r="D54" s="5637"/>
      <c r="E54" s="5637"/>
      <c r="F54" s="5637"/>
      <c r="G54" s="29"/>
    </row>
    <row r="55" spans="1:7" x14ac:dyDescent="0.2">
      <c r="A55" s="859"/>
      <c r="B55" s="2513"/>
      <c r="C55" s="2513"/>
      <c r="D55" s="2514"/>
      <c r="E55" s="2514"/>
      <c r="F55" s="2497"/>
      <c r="G55" s="29"/>
    </row>
    <row r="56" spans="1:7" x14ac:dyDescent="0.2">
      <c r="A56" s="6477" t="s">
        <v>525</v>
      </c>
      <c r="B56" s="6514" t="s">
        <v>1478</v>
      </c>
      <c r="C56" s="6515"/>
      <c r="D56" s="6516"/>
      <c r="E56" s="6517" t="s">
        <v>1480</v>
      </c>
      <c r="F56" s="6467" t="s">
        <v>1482</v>
      </c>
      <c r="G56" s="29"/>
    </row>
    <row r="57" spans="1:7" ht="17.25" customHeight="1" x14ac:dyDescent="0.2">
      <c r="A57" s="6368"/>
      <c r="B57" s="2498" t="s">
        <v>972</v>
      </c>
      <c r="C57" s="2498" t="s">
        <v>973</v>
      </c>
      <c r="D57" s="2498" t="s">
        <v>54</v>
      </c>
      <c r="E57" s="6517"/>
      <c r="F57" s="6355"/>
      <c r="G57" s="29"/>
    </row>
    <row r="58" spans="1:7" ht="18.75" x14ac:dyDescent="0.3">
      <c r="A58" s="6507" t="s">
        <v>3555</v>
      </c>
      <c r="B58" s="6508"/>
      <c r="C58" s="6508"/>
      <c r="D58" s="6508"/>
      <c r="E58" s="6508"/>
      <c r="F58" s="6509"/>
    </row>
    <row r="59" spans="1:7" x14ac:dyDescent="0.2">
      <c r="A59" s="2499" t="s">
        <v>3556</v>
      </c>
      <c r="B59" s="2515">
        <v>27.8</v>
      </c>
      <c r="C59" s="2515">
        <v>28.96</v>
      </c>
      <c r="D59" s="2500"/>
      <c r="E59" s="2499"/>
      <c r="F59" s="6510">
        <f>E110*D62/D110</f>
        <v>294.80798198882712</v>
      </c>
    </row>
    <row r="60" spans="1:7" x14ac:dyDescent="0.2">
      <c r="A60" s="2499" t="s">
        <v>3557</v>
      </c>
      <c r="B60" s="2515">
        <f>SUM([55]объемы!AF50)</f>
        <v>1223.6400000000001</v>
      </c>
      <c r="C60" s="2515">
        <f>SUM([55]объемы!AH50-[55]объемы!AF50)</f>
        <v>1224.1299999999999</v>
      </c>
      <c r="D60" s="2515">
        <f>C60+B60</f>
        <v>2447.77</v>
      </c>
      <c r="E60" s="2499"/>
      <c r="F60" s="6511"/>
    </row>
    <row r="61" spans="1:7" x14ac:dyDescent="0.2">
      <c r="A61" s="2499" t="s">
        <v>3558</v>
      </c>
      <c r="B61" s="2515">
        <f>B59*B60</f>
        <v>34017.192000000003</v>
      </c>
      <c r="C61" s="2515">
        <f>C59*C60</f>
        <v>35450.804799999998</v>
      </c>
      <c r="D61" s="2515">
        <f>C61+B61</f>
        <v>69467.996799999994</v>
      </c>
      <c r="E61" s="2499"/>
      <c r="F61" s="6511"/>
    </row>
    <row r="62" spans="1:7" x14ac:dyDescent="0.2">
      <c r="A62" s="2499" t="s">
        <v>968</v>
      </c>
      <c r="B62" s="2515">
        <f>B61*0.02</f>
        <v>680.34384000000011</v>
      </c>
      <c r="C62" s="2515">
        <f>C61*0.02</f>
        <v>709.01609599999995</v>
      </c>
      <c r="D62" s="2515">
        <f>C62+B62</f>
        <v>1389.3599360000001</v>
      </c>
      <c r="E62" s="2516"/>
      <c r="F62" s="6512"/>
    </row>
    <row r="63" spans="1:7" ht="18.75" x14ac:dyDescent="0.3">
      <c r="A63" s="6507" t="s">
        <v>3559</v>
      </c>
      <c r="B63" s="6508"/>
      <c r="C63" s="6508"/>
      <c r="D63" s="6508"/>
      <c r="E63" s="6508"/>
      <c r="F63" s="6509"/>
    </row>
    <row r="64" spans="1:7" x14ac:dyDescent="0.2">
      <c r="A64" s="2499" t="s">
        <v>3556</v>
      </c>
      <c r="B64" s="2515">
        <v>22.5</v>
      </c>
      <c r="C64" s="2515">
        <v>23.47</v>
      </c>
      <c r="D64" s="2500"/>
      <c r="E64" s="2499"/>
      <c r="F64" s="6510">
        <f>E111*D67/D111</f>
        <v>241.01249573427887</v>
      </c>
    </row>
    <row r="65" spans="1:6" x14ac:dyDescent="0.2">
      <c r="A65" s="2499" t="s">
        <v>3557</v>
      </c>
      <c r="B65" s="2515">
        <f>SUM([55]объемы!AF59)</f>
        <v>1203.46</v>
      </c>
      <c r="C65" s="2515">
        <f>SUM([55]объемы!AH59-[55]объемы!AF59)</f>
        <v>1217.1999999999998</v>
      </c>
      <c r="D65" s="2515">
        <f>C65+B65</f>
        <v>2420.66</v>
      </c>
      <c r="E65" s="2499"/>
      <c r="F65" s="6511"/>
    </row>
    <row r="66" spans="1:6" x14ac:dyDescent="0.2">
      <c r="A66" s="2499" t="s">
        <v>3558</v>
      </c>
      <c r="B66" s="2515">
        <f>B64*B65</f>
        <v>27077.850000000002</v>
      </c>
      <c r="C66" s="2515">
        <f>C64*C65</f>
        <v>28567.683999999994</v>
      </c>
      <c r="D66" s="2515">
        <f>C66+B66</f>
        <v>55645.534</v>
      </c>
      <c r="E66" s="2499"/>
      <c r="F66" s="6511"/>
    </row>
    <row r="67" spans="1:6" x14ac:dyDescent="0.2">
      <c r="A67" s="2499" t="s">
        <v>968</v>
      </c>
      <c r="B67" s="2515">
        <f>B66*0.02</f>
        <v>541.55700000000002</v>
      </c>
      <c r="C67" s="2515">
        <f>C66*0.02</f>
        <v>571.35367999999994</v>
      </c>
      <c r="D67" s="2515">
        <f>C67+B67</f>
        <v>1112.91068</v>
      </c>
      <c r="E67" s="2499"/>
      <c r="F67" s="6512"/>
    </row>
    <row r="68" spans="1:6" ht="18.75" x14ac:dyDescent="0.3">
      <c r="A68" s="6507" t="s">
        <v>3560</v>
      </c>
      <c r="B68" s="6508"/>
      <c r="C68" s="6508"/>
      <c r="D68" s="6508"/>
      <c r="E68" s="6508"/>
      <c r="F68" s="6509"/>
    </row>
    <row r="69" spans="1:6" x14ac:dyDescent="0.2">
      <c r="A69" s="2499" t="s">
        <v>3561</v>
      </c>
      <c r="B69" s="2515">
        <v>28.96</v>
      </c>
      <c r="C69" s="2515">
        <v>30.3</v>
      </c>
      <c r="D69" s="2500"/>
      <c r="E69" s="2499"/>
      <c r="F69" s="6510">
        <f>E110*D72/D110</f>
        <v>296.75504900893179</v>
      </c>
    </row>
    <row r="70" spans="1:6" x14ac:dyDescent="0.2">
      <c r="A70" s="2499" t="s">
        <v>3562</v>
      </c>
      <c r="B70" s="2515">
        <f>SUM([55]объемы!AJ50/2)</f>
        <v>1180</v>
      </c>
      <c r="C70" s="2515">
        <f>B70</f>
        <v>1180</v>
      </c>
      <c r="D70" s="2515">
        <f>C70+B70</f>
        <v>2360</v>
      </c>
      <c r="E70" s="2499"/>
      <c r="F70" s="6511"/>
    </row>
    <row r="71" spans="1:6" x14ac:dyDescent="0.2">
      <c r="A71" s="2499" t="s">
        <v>3563</v>
      </c>
      <c r="B71" s="2515">
        <f>B69*B70</f>
        <v>34172.800000000003</v>
      </c>
      <c r="C71" s="2515">
        <f>C69*C70</f>
        <v>35754</v>
      </c>
      <c r="D71" s="2515">
        <f>C71+B71</f>
        <v>69926.8</v>
      </c>
      <c r="E71" s="2499"/>
      <c r="F71" s="6511"/>
    </row>
    <row r="72" spans="1:6" x14ac:dyDescent="0.2">
      <c r="A72" s="2499" t="s">
        <v>968</v>
      </c>
      <c r="B72" s="2515">
        <f>B71*0.02</f>
        <v>683.45600000000002</v>
      </c>
      <c r="C72" s="2515">
        <f>C71*0.02</f>
        <v>715.08</v>
      </c>
      <c r="D72" s="2515">
        <f>C72+B72</f>
        <v>1398.5360000000001</v>
      </c>
      <c r="E72" s="2499"/>
      <c r="F72" s="6512"/>
    </row>
    <row r="73" spans="1:6" ht="18.75" x14ac:dyDescent="0.3">
      <c r="A73" s="6507" t="s">
        <v>3564</v>
      </c>
      <c r="B73" s="6508"/>
      <c r="C73" s="6508"/>
      <c r="D73" s="6508"/>
      <c r="E73" s="6508"/>
      <c r="F73" s="6509"/>
    </row>
    <row r="74" spans="1:6" x14ac:dyDescent="0.2">
      <c r="A74" s="2499" t="s">
        <v>3561</v>
      </c>
      <c r="B74" s="2515">
        <v>23.47</v>
      </c>
      <c r="C74" s="2515">
        <v>24.87</v>
      </c>
      <c r="D74" s="2500"/>
      <c r="E74" s="2499"/>
      <c r="F74" s="6510">
        <f>E111*D77/D111</f>
        <v>238.68259059076237</v>
      </c>
    </row>
    <row r="75" spans="1:6" x14ac:dyDescent="0.2">
      <c r="A75" s="2499" t="s">
        <v>3562</v>
      </c>
      <c r="B75" s="2515">
        <f>SUM([55]объемы!AJ59/2)</f>
        <v>1140</v>
      </c>
      <c r="C75" s="2515">
        <f>B75</f>
        <v>1140</v>
      </c>
      <c r="D75" s="2515">
        <f>C75+B75</f>
        <v>2280</v>
      </c>
      <c r="E75" s="2499"/>
      <c r="F75" s="6511"/>
    </row>
    <row r="76" spans="1:6" x14ac:dyDescent="0.2">
      <c r="A76" s="2499" t="s">
        <v>3563</v>
      </c>
      <c r="B76" s="2515">
        <f>B74*B75</f>
        <v>26755.8</v>
      </c>
      <c r="C76" s="2515">
        <f>C74*C75</f>
        <v>28351.800000000003</v>
      </c>
      <c r="D76" s="2515">
        <f>C76+B76</f>
        <v>55107.600000000006</v>
      </c>
      <c r="E76" s="2499"/>
      <c r="F76" s="6511"/>
    </row>
    <row r="77" spans="1:6" x14ac:dyDescent="0.2">
      <c r="A77" s="2499" t="s">
        <v>968</v>
      </c>
      <c r="B77" s="2515">
        <f>B76*0.02</f>
        <v>535.11599999999999</v>
      </c>
      <c r="C77" s="2515">
        <f>C76*0.02</f>
        <v>567.03600000000006</v>
      </c>
      <c r="D77" s="2515">
        <f>C77+B77</f>
        <v>1102.152</v>
      </c>
      <c r="E77" s="2499"/>
      <c r="F77" s="6512"/>
    </row>
    <row r="78" spans="1:6" ht="18.75" x14ac:dyDescent="0.3">
      <c r="A78" s="6507" t="s">
        <v>3565</v>
      </c>
      <c r="B78" s="6508"/>
      <c r="C78" s="6508"/>
      <c r="D78" s="6508"/>
      <c r="E78" s="6508"/>
      <c r="F78" s="6509"/>
    </row>
    <row r="79" spans="1:6" x14ac:dyDescent="0.2">
      <c r="A79" s="2499" t="s">
        <v>3566</v>
      </c>
      <c r="B79" s="2515">
        <f>SUM(C69)</f>
        <v>30.3</v>
      </c>
      <c r="C79" s="2515">
        <f>SUM(B79*1.05)</f>
        <v>31.815000000000001</v>
      </c>
      <c r="D79" s="2515"/>
      <c r="E79" s="2499"/>
      <c r="F79" s="6510">
        <f>E110*D82/D110</f>
        <v>311.0519721429261</v>
      </c>
    </row>
    <row r="80" spans="1:6" x14ac:dyDescent="0.2">
      <c r="A80" s="2499" t="s">
        <v>3567</v>
      </c>
      <c r="B80" s="2515">
        <f>SUM([55]объемы!AK50/2)</f>
        <v>1180</v>
      </c>
      <c r="C80" s="2515">
        <f>B80</f>
        <v>1180</v>
      </c>
      <c r="D80" s="2515">
        <f>C80+B80</f>
        <v>2360</v>
      </c>
      <c r="E80" s="2499"/>
      <c r="F80" s="6511"/>
    </row>
    <row r="81" spans="1:6" x14ac:dyDescent="0.2">
      <c r="A81" s="2499" t="s">
        <v>3568</v>
      </c>
      <c r="B81" s="2515">
        <f>B79*B80</f>
        <v>35754</v>
      </c>
      <c r="C81" s="2515">
        <f>C79*C80</f>
        <v>37541.700000000004</v>
      </c>
      <c r="D81" s="2515">
        <f>C81+B81</f>
        <v>73295.700000000012</v>
      </c>
      <c r="E81" s="2499"/>
      <c r="F81" s="6511"/>
    </row>
    <row r="82" spans="1:6" x14ac:dyDescent="0.2">
      <c r="A82" s="2499" t="s">
        <v>968</v>
      </c>
      <c r="B82" s="2515">
        <f>B81*0.02</f>
        <v>715.08</v>
      </c>
      <c r="C82" s="2515">
        <f>C81*0.02</f>
        <v>750.83400000000006</v>
      </c>
      <c r="D82" s="2515">
        <f>C82+B82</f>
        <v>1465.9140000000002</v>
      </c>
      <c r="E82" s="2499"/>
      <c r="F82" s="6512"/>
    </row>
    <row r="83" spans="1:6" ht="18.75" x14ac:dyDescent="0.3">
      <c r="A83" s="6507" t="s">
        <v>3569</v>
      </c>
      <c r="B83" s="6508"/>
      <c r="C83" s="6508"/>
      <c r="D83" s="6508"/>
      <c r="E83" s="6508"/>
      <c r="F83" s="6509"/>
    </row>
    <row r="84" spans="1:6" x14ac:dyDescent="0.2">
      <c r="A84" s="2499" t="s">
        <v>3566</v>
      </c>
      <c r="B84" s="2515">
        <f>SUM(C74)</f>
        <v>24.87</v>
      </c>
      <c r="C84" s="2515">
        <f>SUM(B84*1.05)</f>
        <v>26.113500000000002</v>
      </c>
      <c r="D84" s="2515"/>
      <c r="E84" s="2499"/>
      <c r="F84" s="6510">
        <f>E111*D87/D111</f>
        <v>251.73508186562128</v>
      </c>
    </row>
    <row r="85" spans="1:6" x14ac:dyDescent="0.2">
      <c r="A85" s="2499" t="s">
        <v>3567</v>
      </c>
      <c r="B85" s="2515">
        <f>SUM([55]объемы!AK59/2)</f>
        <v>1140</v>
      </c>
      <c r="C85" s="2515">
        <f>B85</f>
        <v>1140</v>
      </c>
      <c r="D85" s="2515">
        <f>C85+B85</f>
        <v>2280</v>
      </c>
      <c r="E85" s="2499"/>
      <c r="F85" s="6511"/>
    </row>
    <row r="86" spans="1:6" x14ac:dyDescent="0.2">
      <c r="A86" s="2499" t="s">
        <v>3568</v>
      </c>
      <c r="B86" s="2515">
        <f>B84*B85</f>
        <v>28351.800000000003</v>
      </c>
      <c r="C86" s="2515">
        <f>C84*C85</f>
        <v>29769.390000000003</v>
      </c>
      <c r="D86" s="2515">
        <f>C86+B86</f>
        <v>58121.19</v>
      </c>
      <c r="E86" s="2499"/>
      <c r="F86" s="6511"/>
    </row>
    <row r="87" spans="1:6" x14ac:dyDescent="0.2">
      <c r="A87" s="2499" t="s">
        <v>968</v>
      </c>
      <c r="B87" s="2515">
        <f>B86*0.02</f>
        <v>567.03600000000006</v>
      </c>
      <c r="C87" s="2515">
        <f>C86*0.02</f>
        <v>595.38780000000008</v>
      </c>
      <c r="D87" s="2515">
        <f>C87+B87</f>
        <v>1162.4238</v>
      </c>
      <c r="E87" s="2499"/>
      <c r="F87" s="6512"/>
    </row>
    <row r="88" spans="1:6" ht="18.75" x14ac:dyDescent="0.3">
      <c r="A88" s="6507" t="s">
        <v>3570</v>
      </c>
      <c r="B88" s="6508"/>
      <c r="C88" s="6508"/>
      <c r="D88" s="6508"/>
      <c r="E88" s="6508"/>
      <c r="F88" s="6509"/>
    </row>
    <row r="89" spans="1:6" x14ac:dyDescent="0.2">
      <c r="A89" s="2499" t="s">
        <v>3571</v>
      </c>
      <c r="B89" s="2515">
        <f>SUM(C79)</f>
        <v>31.815000000000001</v>
      </c>
      <c r="C89" s="2515">
        <f>SUM(B89*1.05)</f>
        <v>33.405750000000005</v>
      </c>
      <c r="D89" s="2515"/>
      <c r="E89" s="2499"/>
      <c r="F89" s="6510">
        <f>E110*D92/D110</f>
        <v>326.60457075007241</v>
      </c>
    </row>
    <row r="90" spans="1:6" x14ac:dyDescent="0.2">
      <c r="A90" s="2499" t="s">
        <v>3572</v>
      </c>
      <c r="B90" s="2515">
        <f>SUM([55]объемы!AM50/2)</f>
        <v>1180</v>
      </c>
      <c r="C90" s="2515">
        <f>B90</f>
        <v>1180</v>
      </c>
      <c r="D90" s="2515">
        <f>C90+B90</f>
        <v>2360</v>
      </c>
      <c r="E90" s="2499"/>
      <c r="F90" s="6511"/>
    </row>
    <row r="91" spans="1:6" x14ac:dyDescent="0.2">
      <c r="A91" s="2499" t="s">
        <v>3573</v>
      </c>
      <c r="B91" s="2515">
        <f>B89*B90</f>
        <v>37541.700000000004</v>
      </c>
      <c r="C91" s="2515">
        <f>C89*C90</f>
        <v>39418.785000000003</v>
      </c>
      <c r="D91" s="2515">
        <f>C91+B91</f>
        <v>76960.485000000015</v>
      </c>
      <c r="E91" s="2499"/>
      <c r="F91" s="6511"/>
    </row>
    <row r="92" spans="1:6" x14ac:dyDescent="0.2">
      <c r="A92" s="2499" t="s">
        <v>968</v>
      </c>
      <c r="B92" s="2515">
        <f>B91*0.02</f>
        <v>750.83400000000006</v>
      </c>
      <c r="C92" s="2515">
        <f>C91*0.02</f>
        <v>788.37570000000005</v>
      </c>
      <c r="D92" s="2515">
        <f>C92+B92</f>
        <v>1539.2097000000001</v>
      </c>
      <c r="E92" s="2499"/>
      <c r="F92" s="6512"/>
    </row>
    <row r="93" spans="1:6" ht="18.75" x14ac:dyDescent="0.3">
      <c r="A93" s="6507" t="s">
        <v>3574</v>
      </c>
      <c r="B93" s="6508"/>
      <c r="C93" s="6508"/>
      <c r="D93" s="6508"/>
      <c r="E93" s="6508"/>
      <c r="F93" s="6509"/>
    </row>
    <row r="94" spans="1:6" x14ac:dyDescent="0.2">
      <c r="A94" s="2499" t="s">
        <v>3571</v>
      </c>
      <c r="B94" s="2515">
        <f>SUM(C84)</f>
        <v>26.113500000000002</v>
      </c>
      <c r="C94" s="2515">
        <f>SUM(B94*1.05)</f>
        <v>27.419175000000003</v>
      </c>
      <c r="D94" s="2500"/>
      <c r="E94" s="2499"/>
      <c r="F94" s="6510">
        <f>E111*D97/D111</f>
        <v>264.3218359589024</v>
      </c>
    </row>
    <row r="95" spans="1:6" x14ac:dyDescent="0.2">
      <c r="A95" s="2499" t="s">
        <v>3572</v>
      </c>
      <c r="B95" s="2515">
        <f>SUM([55]объемы!AM59/2)</f>
        <v>1140</v>
      </c>
      <c r="C95" s="2515">
        <f>B95</f>
        <v>1140</v>
      </c>
      <c r="D95" s="2515">
        <f>C95+B95</f>
        <v>2280</v>
      </c>
      <c r="E95" s="2499"/>
      <c r="F95" s="6511"/>
    </row>
    <row r="96" spans="1:6" x14ac:dyDescent="0.2">
      <c r="A96" s="2499" t="s">
        <v>3573</v>
      </c>
      <c r="B96" s="2515">
        <f>B94*B95</f>
        <v>29769.390000000003</v>
      </c>
      <c r="C96" s="2515">
        <f>C94*C95</f>
        <v>31257.859500000002</v>
      </c>
      <c r="D96" s="2515">
        <f>C96+B96</f>
        <v>61027.249500000005</v>
      </c>
      <c r="E96" s="2499"/>
      <c r="F96" s="6511"/>
    </row>
    <row r="97" spans="1:6" x14ac:dyDescent="0.2">
      <c r="A97" s="2499" t="s">
        <v>968</v>
      </c>
      <c r="B97" s="2515">
        <f>B96*0.02</f>
        <v>595.38780000000008</v>
      </c>
      <c r="C97" s="2515">
        <f>C96*0.02</f>
        <v>625.15719000000001</v>
      </c>
      <c r="D97" s="2515">
        <f>C97+B97</f>
        <v>1220.5449900000001</v>
      </c>
      <c r="E97" s="2499"/>
      <c r="F97" s="6512"/>
    </row>
    <row r="98" spans="1:6" ht="18.75" x14ac:dyDescent="0.3">
      <c r="A98" s="6507" t="s">
        <v>3575</v>
      </c>
      <c r="B98" s="6508"/>
      <c r="C98" s="6508"/>
      <c r="D98" s="6508"/>
      <c r="E98" s="6508"/>
      <c r="F98" s="6509"/>
    </row>
    <row r="99" spans="1:6" x14ac:dyDescent="0.2">
      <c r="A99" s="2499" t="s">
        <v>3576</v>
      </c>
      <c r="B99" s="2515">
        <f>SUM(C89)</f>
        <v>33.405750000000005</v>
      </c>
      <c r="C99" s="2515">
        <f>SUM(B99*1.05)</f>
        <v>35.076037500000005</v>
      </c>
      <c r="D99" s="2515"/>
      <c r="E99" s="2499"/>
      <c r="F99" s="6510">
        <f>E110*D102/D110</f>
        <v>342.93479928757603</v>
      </c>
    </row>
    <row r="100" spans="1:6" x14ac:dyDescent="0.2">
      <c r="A100" s="2499" t="s">
        <v>3577</v>
      </c>
      <c r="B100" s="2515">
        <f>SUM([55]объемы!AO50/2)</f>
        <v>1180</v>
      </c>
      <c r="C100" s="2515">
        <f>B100</f>
        <v>1180</v>
      </c>
      <c r="D100" s="2515">
        <f>C100+B100</f>
        <v>2360</v>
      </c>
      <c r="E100" s="2499"/>
      <c r="F100" s="6511"/>
    </row>
    <row r="101" spans="1:6" x14ac:dyDescent="0.2">
      <c r="A101" s="2499" t="s">
        <v>3578</v>
      </c>
      <c r="B101" s="2515">
        <f>B99*B100</f>
        <v>39418.785000000003</v>
      </c>
      <c r="C101" s="2515">
        <f>C99*C100</f>
        <v>41389.724250000007</v>
      </c>
      <c r="D101" s="2515">
        <f>C101+B101</f>
        <v>80808.509250000003</v>
      </c>
      <c r="E101" s="2499"/>
      <c r="F101" s="6511"/>
    </row>
    <row r="102" spans="1:6" x14ac:dyDescent="0.2">
      <c r="A102" s="2499" t="s">
        <v>968</v>
      </c>
      <c r="B102" s="2515">
        <f>B101*0.02</f>
        <v>788.37570000000005</v>
      </c>
      <c r="C102" s="2515">
        <f>C101*0.02</f>
        <v>827.79448500000012</v>
      </c>
      <c r="D102" s="2515">
        <f>C102+B102</f>
        <v>1616.1701850000002</v>
      </c>
      <c r="E102" s="2499"/>
      <c r="F102" s="6512"/>
    </row>
    <row r="103" spans="1:6" ht="18.75" x14ac:dyDescent="0.3">
      <c r="A103" s="6507" t="s">
        <v>3579</v>
      </c>
      <c r="B103" s="6508"/>
      <c r="C103" s="6508"/>
      <c r="D103" s="6508"/>
      <c r="E103" s="6508"/>
      <c r="F103" s="6509"/>
    </row>
    <row r="104" spans="1:6" x14ac:dyDescent="0.2">
      <c r="A104" s="2499" t="s">
        <v>3576</v>
      </c>
      <c r="B104" s="2515">
        <f>SUM(C94)</f>
        <v>27.419175000000003</v>
      </c>
      <c r="C104" s="2515">
        <f>SUM(B104*1.05)</f>
        <v>28.790133750000003</v>
      </c>
      <c r="D104" s="2515"/>
      <c r="E104" s="2499"/>
      <c r="F104" s="6510">
        <f>E111*D107/D111</f>
        <v>277.53792775684752</v>
      </c>
    </row>
    <row r="105" spans="1:6" x14ac:dyDescent="0.2">
      <c r="A105" s="2499" t="s">
        <v>3577</v>
      </c>
      <c r="B105" s="2515">
        <f>SUM([55]объемы!AO59/2)</f>
        <v>1140</v>
      </c>
      <c r="C105" s="2515">
        <f>B105</f>
        <v>1140</v>
      </c>
      <c r="D105" s="2515">
        <f>C105+B105</f>
        <v>2280</v>
      </c>
      <c r="E105" s="2499"/>
      <c r="F105" s="6511"/>
    </row>
    <row r="106" spans="1:6" x14ac:dyDescent="0.2">
      <c r="A106" s="2499" t="s">
        <v>3578</v>
      </c>
      <c r="B106" s="2515">
        <f>B104*B105</f>
        <v>31257.859500000002</v>
      </c>
      <c r="C106" s="2515">
        <f>C104*C105</f>
        <v>32820.752475000001</v>
      </c>
      <c r="D106" s="2515">
        <f>C106+B106</f>
        <v>64078.611975000007</v>
      </c>
      <c r="E106" s="2499"/>
      <c r="F106" s="6511"/>
    </row>
    <row r="107" spans="1:6" x14ac:dyDescent="0.2">
      <c r="A107" s="2499" t="s">
        <v>968</v>
      </c>
      <c r="B107" s="2515">
        <f>B106*0.02</f>
        <v>625.15719000000001</v>
      </c>
      <c r="C107" s="2515">
        <f>C106*0.02</f>
        <v>656.41504950000001</v>
      </c>
      <c r="D107" s="2515">
        <f>C107+B107</f>
        <v>1281.5722395</v>
      </c>
      <c r="E107" s="2499"/>
      <c r="F107" s="6512"/>
    </row>
    <row r="108" spans="1:6" x14ac:dyDescent="0.2">
      <c r="A108" s="2503" t="s">
        <v>614</v>
      </c>
      <c r="B108" s="2504"/>
      <c r="C108" s="2504"/>
      <c r="D108" s="2517">
        <f>SUM(D62+D67+D72+D77+D82+D87+D92+D97+D102+D107)</f>
        <v>13288.793530500001</v>
      </c>
      <c r="E108" s="2517">
        <f>3357624.28/1.18/1000</f>
        <v>2845.4443050847458</v>
      </c>
      <c r="F108" s="2505">
        <f>SUM(F59+F64+F69+F74+F79+F84+F89+F94+F99+F104)</f>
        <v>2845.4443050847462</v>
      </c>
    </row>
    <row r="109" spans="1:6" x14ac:dyDescent="0.2">
      <c r="A109" s="2506" t="s">
        <v>228</v>
      </c>
      <c r="B109" s="2499"/>
      <c r="C109" s="2499"/>
      <c r="D109" s="2507"/>
      <c r="E109" s="2507"/>
      <c r="F109" s="2499"/>
    </row>
    <row r="110" spans="1:6" x14ac:dyDescent="0.2">
      <c r="A110" s="2506" t="s">
        <v>46</v>
      </c>
      <c r="B110" s="2499"/>
      <c r="C110" s="2499"/>
      <c r="D110" s="2518">
        <f>SUM(D62+D72+D82+D92+D102)</f>
        <v>7409.1898209999999</v>
      </c>
      <c r="E110" s="2518">
        <f>E108*C112/(C112+C113)</f>
        <v>1572.1543731783333</v>
      </c>
      <c r="F110" s="6460" t="s">
        <v>1481</v>
      </c>
    </row>
    <row r="111" spans="1:6" x14ac:dyDescent="0.2">
      <c r="A111" s="2506" t="s">
        <v>47</v>
      </c>
      <c r="B111" s="2499"/>
      <c r="C111" s="2499"/>
      <c r="D111" s="2518">
        <f>SUM(D67+D77+D87+D97+D107)</f>
        <v>5879.6037095000002</v>
      </c>
      <c r="E111" s="2518">
        <f>E108-E110</f>
        <v>1273.2899319064124</v>
      </c>
      <c r="F111" s="6418"/>
    </row>
    <row r="112" spans="1:6" x14ac:dyDescent="0.2">
      <c r="A112" s="5" t="s">
        <v>3580</v>
      </c>
      <c r="C112" s="5">
        <f>SUM(B59+C59)/2</f>
        <v>28.380000000000003</v>
      </c>
    </row>
    <row r="113" spans="1:3" x14ac:dyDescent="0.2">
      <c r="A113" s="5" t="s">
        <v>3581</v>
      </c>
      <c r="C113" s="1650">
        <f>SUM(B64+C64)/2</f>
        <v>22.984999999999999</v>
      </c>
    </row>
    <row r="118" spans="1:3" x14ac:dyDescent="0.2">
      <c r="A118" s="5" t="s">
        <v>3582</v>
      </c>
    </row>
  </sheetData>
  <mergeCells count="49">
    <mergeCell ref="G4:G5"/>
    <mergeCell ref="A2:F2"/>
    <mergeCell ref="A4:A5"/>
    <mergeCell ref="B4:D4"/>
    <mergeCell ref="E4:E5"/>
    <mergeCell ref="F4:F5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110:F111"/>
    <mergeCell ref="A93:F93"/>
    <mergeCell ref="F94:F97"/>
    <mergeCell ref="A98:F98"/>
    <mergeCell ref="F99:F102"/>
    <mergeCell ref="A103:F103"/>
    <mergeCell ref="F104:F107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6519" t="s">
        <v>2071</v>
      </c>
      <c r="B2" s="6519"/>
      <c r="C2" s="6519"/>
      <c r="D2" s="6519"/>
      <c r="E2" s="6519"/>
    </row>
    <row r="3" spans="1:5" ht="15.75" customHeight="1" x14ac:dyDescent="0.2"/>
    <row r="4" spans="1:5" ht="23.25" hidden="1" customHeight="1" x14ac:dyDescent="0.2">
      <c r="A4" s="371" t="s">
        <v>1925</v>
      </c>
      <c r="B4" s="1869" t="s">
        <v>1929</v>
      </c>
      <c r="C4" s="1869"/>
      <c r="D4" s="1869" t="s">
        <v>1930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1926</v>
      </c>
      <c r="B7" s="5">
        <v>10.82</v>
      </c>
    </row>
    <row r="8" spans="1:5" hidden="1" x14ac:dyDescent="0.2">
      <c r="A8" s="5" t="s">
        <v>1927</v>
      </c>
      <c r="B8" s="5">
        <v>47.47</v>
      </c>
      <c r="D8" s="5">
        <v>7.22</v>
      </c>
    </row>
    <row r="9" spans="1:5" hidden="1" x14ac:dyDescent="0.2">
      <c r="A9" s="5" t="s">
        <v>1928</v>
      </c>
    </row>
    <row r="10" spans="1:5" hidden="1" x14ac:dyDescent="0.2"/>
    <row r="11" spans="1:5" s="1869" customFormat="1" x14ac:dyDescent="0.2">
      <c r="A11" s="5150"/>
      <c r="B11" s="5836" t="s">
        <v>815</v>
      </c>
      <c r="C11" s="6520"/>
      <c r="D11" s="5836" t="s">
        <v>892</v>
      </c>
      <c r="E11" s="6520"/>
    </row>
    <row r="12" spans="1:5" s="2208" customFormat="1" x14ac:dyDescent="0.2">
      <c r="A12" s="5151"/>
      <c r="B12" s="2199" t="s">
        <v>2067</v>
      </c>
      <c r="C12" s="2199" t="s">
        <v>1574</v>
      </c>
      <c r="D12" s="2199" t="s">
        <v>2067</v>
      </c>
      <c r="E12" s="2199" t="s">
        <v>1574</v>
      </c>
    </row>
    <row r="13" spans="1:5" ht="22.5" customHeight="1" x14ac:dyDescent="0.2">
      <c r="A13" s="2118" t="s">
        <v>1931</v>
      </c>
      <c r="B13" s="2199"/>
      <c r="C13" s="2199"/>
      <c r="D13" s="2199"/>
      <c r="E13" s="2199"/>
    </row>
    <row r="14" spans="1:5" ht="11.25" customHeight="1" x14ac:dyDescent="0.2">
      <c r="A14" s="1765" t="s">
        <v>50</v>
      </c>
      <c r="B14" s="1851"/>
      <c r="C14" s="1851"/>
      <c r="D14" s="1851"/>
      <c r="E14" s="1851"/>
    </row>
    <row r="15" spans="1:5" ht="18" customHeight="1" x14ac:dyDescent="0.2">
      <c r="A15" s="1765" t="s">
        <v>286</v>
      </c>
      <c r="B15" s="1741">
        <v>75411.5</v>
      </c>
      <c r="C15" s="2230">
        <f>B15/B20</f>
        <v>3.8056824203275215E-4</v>
      </c>
      <c r="D15" s="1741">
        <v>200883.4</v>
      </c>
      <c r="E15" s="2230">
        <f>D15/D20</f>
        <v>9.1607945787692787E-4</v>
      </c>
    </row>
    <row r="16" spans="1:5" ht="25.5" customHeight="1" x14ac:dyDescent="0.2">
      <c r="A16" s="1765" t="s">
        <v>314</v>
      </c>
      <c r="B16" s="1741">
        <f>73320+51396.67</f>
        <v>124716.67</v>
      </c>
      <c r="C16" s="2230">
        <f>B16/B20</f>
        <v>6.2938946784083167E-4</v>
      </c>
      <c r="D16" s="1741">
        <f>260832+62506.35</f>
        <v>323338.34999999998</v>
      </c>
      <c r="E16" s="2230">
        <f>D16/D20</f>
        <v>1.4745052123710588E-3</v>
      </c>
    </row>
    <row r="17" spans="1:5" x14ac:dyDescent="0.2">
      <c r="A17" s="2118" t="s">
        <v>1928</v>
      </c>
      <c r="B17" s="1741">
        <f>B24*1000-B15-B16-B19-B18</f>
        <v>6276310.6925000101</v>
      </c>
      <c r="C17" s="2230">
        <f>B17/B20</f>
        <v>3.1673743748580709E-2</v>
      </c>
      <c r="D17" s="1741">
        <f>D24*1000-D15-D16-D19-D18</f>
        <v>8749592.6926999837</v>
      </c>
      <c r="E17" s="2230">
        <f>D17/D20</f>
        <v>3.9900370715412671E-2</v>
      </c>
    </row>
    <row r="18" spans="1:5" x14ac:dyDescent="0.2">
      <c r="A18" s="2118" t="s">
        <v>46</v>
      </c>
      <c r="B18" s="1741">
        <f>('вода 2019-2023 коррект'!H40+'тех вода 2019-2023'!H31)*1000</f>
        <v>116289129.28480001</v>
      </c>
      <c r="C18" s="2230">
        <f>B18/B20</f>
        <v>0.58685942461608342</v>
      </c>
      <c r="D18" s="1741">
        <f>(ТН!J40+ТН!J24)*1000</f>
        <v>127472098.7659</v>
      </c>
      <c r="E18" s="2230">
        <f>D18/D20</f>
        <v>0.58130523045657267</v>
      </c>
    </row>
    <row r="19" spans="1:5" x14ac:dyDescent="0.2">
      <c r="A19" s="2118" t="s">
        <v>47</v>
      </c>
      <c r="B19" s="1741">
        <f>('стоки 2019-2023'!H39+'очистка 2019-2023'!H32)*1000</f>
        <v>75389431.852699995</v>
      </c>
      <c r="C19" s="2230">
        <f>B19/B20</f>
        <v>0.38045687392546235</v>
      </c>
      <c r="D19" s="1741">
        <f>(ТН!J56+ТН!J72)*1000</f>
        <v>82540086.7914</v>
      </c>
      <c r="E19" s="2230">
        <f>D19/D20</f>
        <v>0.37640381415776658</v>
      </c>
    </row>
    <row r="20" spans="1:5" x14ac:dyDescent="0.2">
      <c r="A20" s="2118" t="s">
        <v>280</v>
      </c>
      <c r="B20" s="1740">
        <f>SUM(B15:B19)</f>
        <v>198155000</v>
      </c>
      <c r="C20" s="2229">
        <f>SUM(C15:C19)</f>
        <v>1</v>
      </c>
      <c r="D20" s="1740">
        <f>SUM(D15:D19)</f>
        <v>219286000</v>
      </c>
      <c r="E20" s="2232">
        <f>SUM(E15:E19)</f>
        <v>0.99999999999999989</v>
      </c>
    </row>
    <row r="21" spans="1:5" x14ac:dyDescent="0.2">
      <c r="A21" s="2118" t="s">
        <v>2068</v>
      </c>
      <c r="B21" s="2199"/>
      <c r="C21" s="2199"/>
      <c r="D21" s="2199"/>
      <c r="E21" s="2199"/>
    </row>
    <row r="22" spans="1:5" x14ac:dyDescent="0.2">
      <c r="A22" s="2118" t="s">
        <v>2069</v>
      </c>
      <c r="B22" s="2231">
        <v>175934</v>
      </c>
      <c r="C22" s="2231"/>
      <c r="D22" s="2231">
        <v>191436</v>
      </c>
      <c r="E22" s="1851"/>
    </row>
    <row r="23" spans="1:5" x14ac:dyDescent="0.2">
      <c r="A23" s="2118" t="s">
        <v>2070</v>
      </c>
      <c r="B23" s="2231">
        <v>22221</v>
      </c>
      <c r="C23" s="2231"/>
      <c r="D23" s="2231">
        <v>27850</v>
      </c>
      <c r="E23" s="1851"/>
    </row>
    <row r="24" spans="1:5" x14ac:dyDescent="0.2">
      <c r="A24" s="2118" t="s">
        <v>280</v>
      </c>
      <c r="B24" s="1740">
        <f>SUM(B22:B23)</f>
        <v>198155</v>
      </c>
      <c r="C24" s="1740"/>
      <c r="D24" s="1740">
        <f>SUM(D22:D23)</f>
        <v>219286</v>
      </c>
      <c r="E24" s="2199"/>
    </row>
    <row r="25" spans="1:5" x14ac:dyDescent="0.2">
      <c r="B25" s="1668"/>
      <c r="C25" s="1668"/>
      <c r="D25" s="1668"/>
    </row>
    <row r="26" spans="1:5" x14ac:dyDescent="0.2">
      <c r="B26" s="1668"/>
      <c r="C26" s="1668"/>
      <c r="D26" s="1668"/>
    </row>
    <row r="27" spans="1:5" x14ac:dyDescent="0.2">
      <c r="B27" s="1668"/>
      <c r="C27" s="1668"/>
      <c r="D27" s="1668"/>
    </row>
    <row r="28" spans="1:5" x14ac:dyDescent="0.2">
      <c r="B28" s="1668"/>
      <c r="C28" s="1668"/>
      <c r="D28" s="1668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655" customWidth="1"/>
    <col min="2" max="2" width="18" style="1654" customWidth="1"/>
    <col min="3" max="3" width="19.85546875" style="1654" customWidth="1"/>
    <col min="4" max="4" width="17.85546875" style="1655" customWidth="1"/>
    <col min="5" max="5" width="20.85546875" style="1655" customWidth="1"/>
    <col min="6" max="6" width="13.7109375" style="1655" customWidth="1"/>
    <col min="7" max="20" width="9.140625" style="1655"/>
    <col min="21" max="16384" width="9.140625" style="1656"/>
  </cols>
  <sheetData>
    <row r="1" spans="1:20" x14ac:dyDescent="0.25">
      <c r="A1" s="1653"/>
      <c r="D1" s="6523" t="s">
        <v>1668</v>
      </c>
      <c r="E1" s="6523"/>
    </row>
    <row r="2" spans="1:20" x14ac:dyDescent="0.25">
      <c r="A2" s="1653"/>
      <c r="D2" s="1657"/>
      <c r="E2" s="1657"/>
    </row>
    <row r="3" spans="1:20" x14ac:dyDescent="0.25">
      <c r="A3" s="5639" t="s">
        <v>1517</v>
      </c>
      <c r="B3" s="5639"/>
      <c r="C3" s="5639"/>
      <c r="D3" s="5639"/>
      <c r="E3" s="5639"/>
    </row>
    <row r="4" spans="1:20" x14ac:dyDescent="0.25">
      <c r="A4" s="1655" t="s">
        <v>1518</v>
      </c>
    </row>
    <row r="5" spans="1:20" x14ac:dyDescent="0.25">
      <c r="A5" s="6521" t="s">
        <v>1519</v>
      </c>
      <c r="B5" s="6522" t="s">
        <v>1520</v>
      </c>
      <c r="C5" s="5145" t="s">
        <v>366</v>
      </c>
      <c r="D5" s="5146"/>
      <c r="E5" s="5147"/>
    </row>
    <row r="6" spans="1:20" s="1660" customFormat="1" ht="31.5" x14ac:dyDescent="0.2">
      <c r="A6" s="6521"/>
      <c r="B6" s="6522"/>
      <c r="C6" s="1666" t="s">
        <v>1525</v>
      </c>
      <c r="D6" s="1589" t="s">
        <v>118</v>
      </c>
      <c r="E6" s="1589" t="s">
        <v>1521</v>
      </c>
      <c r="F6" s="1659"/>
      <c r="G6" s="1659"/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</row>
    <row r="7" spans="1:20" x14ac:dyDescent="0.25">
      <c r="A7" s="1661" t="s">
        <v>524</v>
      </c>
      <c r="B7" s="1662" t="s">
        <v>899</v>
      </c>
      <c r="C7" s="1663">
        <v>1832.95</v>
      </c>
      <c r="D7" s="1663">
        <v>2164.89</v>
      </c>
      <c r="E7" s="1664">
        <v>2164.89</v>
      </c>
    </row>
    <row r="8" spans="1:20" x14ac:dyDescent="0.25">
      <c r="A8" s="1661" t="s">
        <v>1522</v>
      </c>
      <c r="B8" s="1662" t="s">
        <v>899</v>
      </c>
      <c r="C8" s="1663">
        <v>0</v>
      </c>
      <c r="D8" s="1663">
        <v>0</v>
      </c>
      <c r="E8" s="1664">
        <v>0</v>
      </c>
    </row>
    <row r="9" spans="1:20" x14ac:dyDescent="0.25">
      <c r="A9" s="1661" t="s">
        <v>1523</v>
      </c>
      <c r="B9" s="1662" t="s">
        <v>899</v>
      </c>
      <c r="C9" s="1663">
        <f>вода!BE53</f>
        <v>1186.1707105587886</v>
      </c>
      <c r="D9" s="1663">
        <v>1367.37</v>
      </c>
      <c r="E9" s="1664">
        <f>вод.налог!M39</f>
        <v>1349.5274148209801</v>
      </c>
    </row>
    <row r="10" spans="1:20" x14ac:dyDescent="0.25">
      <c r="A10" s="1661" t="s">
        <v>1524</v>
      </c>
      <c r="B10" s="1662" t="s">
        <v>899</v>
      </c>
      <c r="C10" s="1663">
        <v>0</v>
      </c>
      <c r="D10" s="1663">
        <v>0</v>
      </c>
      <c r="E10" s="1664">
        <v>0</v>
      </c>
    </row>
    <row r="11" spans="1:20" x14ac:dyDescent="0.25">
      <c r="A11" s="1661" t="s">
        <v>522</v>
      </c>
      <c r="B11" s="1662" t="s">
        <v>899</v>
      </c>
      <c r="C11" s="1663">
        <f>вода!BE54</f>
        <v>117.63502835085798</v>
      </c>
      <c r="D11" s="1663">
        <v>88.75</v>
      </c>
      <c r="E11" s="1664">
        <v>88.75</v>
      </c>
    </row>
    <row r="12" spans="1:20" x14ac:dyDescent="0.25">
      <c r="A12" s="1661" t="s">
        <v>614</v>
      </c>
      <c r="B12" s="1662"/>
      <c r="C12" s="1658">
        <f>SUM(C7:C11)</f>
        <v>3136.7557389096469</v>
      </c>
      <c r="D12" s="1658">
        <f>SUM(D7:D11)</f>
        <v>3621.0099999999998</v>
      </c>
      <c r="E12" s="1658">
        <f>SUM(E7:E11)</f>
        <v>3603.16741482098</v>
      </c>
    </row>
    <row r="14" spans="1:20" x14ac:dyDescent="0.25">
      <c r="A14" s="6521" t="s">
        <v>1519</v>
      </c>
      <c r="B14" s="6522" t="s">
        <v>1520</v>
      </c>
      <c r="C14" s="5145" t="s">
        <v>25</v>
      </c>
      <c r="D14" s="5146"/>
      <c r="E14" s="5147"/>
    </row>
    <row r="15" spans="1:20" ht="31.5" x14ac:dyDescent="0.25">
      <c r="A15" s="6521"/>
      <c r="B15" s="6522"/>
      <c r="C15" s="1666" t="s">
        <v>1525</v>
      </c>
      <c r="D15" s="1589" t="s">
        <v>118</v>
      </c>
      <c r="E15" s="1589" t="s">
        <v>1521</v>
      </c>
    </row>
    <row r="16" spans="1:20" x14ac:dyDescent="0.25">
      <c r="A16" s="1661" t="s">
        <v>524</v>
      </c>
      <c r="B16" s="1662" t="s">
        <v>899</v>
      </c>
      <c r="C16" s="1663">
        <v>9.84</v>
      </c>
      <c r="D16" s="1663">
        <v>10.33</v>
      </c>
      <c r="E16" s="1664">
        <v>10.33</v>
      </c>
    </row>
    <row r="17" spans="1:5" x14ac:dyDescent="0.25">
      <c r="A17" s="1661" t="s">
        <v>1522</v>
      </c>
      <c r="B17" s="1662" t="s">
        <v>899</v>
      </c>
      <c r="C17" s="1663">
        <v>0</v>
      </c>
      <c r="D17" s="1663">
        <v>0</v>
      </c>
      <c r="E17" s="1664">
        <v>0</v>
      </c>
    </row>
    <row r="18" spans="1:5" x14ac:dyDescent="0.25">
      <c r="A18" s="1661" t="s">
        <v>1523</v>
      </c>
      <c r="B18" s="1662" t="s">
        <v>899</v>
      </c>
      <c r="C18" s="1663">
        <v>7.3</v>
      </c>
      <c r="D18" s="1663">
        <v>6.4829999999999997</v>
      </c>
      <c r="E18" s="1664">
        <f>вод.налог!M38</f>
        <v>7.9768080000000001</v>
      </c>
    </row>
    <row r="19" spans="1:5" x14ac:dyDescent="0.25">
      <c r="A19" s="1661" t="s">
        <v>1524</v>
      </c>
      <c r="B19" s="1662" t="s">
        <v>899</v>
      </c>
      <c r="C19" s="1663">
        <v>0</v>
      </c>
      <c r="D19" s="1663">
        <v>0</v>
      </c>
      <c r="E19" s="1664">
        <v>0</v>
      </c>
    </row>
    <row r="20" spans="1:5" x14ac:dyDescent="0.25">
      <c r="A20" s="1661" t="s">
        <v>522</v>
      </c>
      <c r="B20" s="1662" t="s">
        <v>899</v>
      </c>
      <c r="C20" s="1663">
        <v>0.48</v>
      </c>
      <c r="D20" s="1663">
        <v>0.42399999999999999</v>
      </c>
      <c r="E20" s="1664">
        <v>0.42</v>
      </c>
    </row>
    <row r="21" spans="1:5" x14ac:dyDescent="0.25">
      <c r="A21" s="1661" t="s">
        <v>614</v>
      </c>
      <c r="B21" s="1662"/>
      <c r="C21" s="1658">
        <f>SUM(C16:C20)</f>
        <v>17.62</v>
      </c>
      <c r="D21" s="1658">
        <f>SUM(D16:D20)</f>
        <v>17.236999999999998</v>
      </c>
      <c r="E21" s="1658">
        <f>SUM(E16:E20)</f>
        <v>18.726808000000002</v>
      </c>
    </row>
    <row r="23" spans="1:5" x14ac:dyDescent="0.25">
      <c r="A23" s="6521" t="s">
        <v>1519</v>
      </c>
      <c r="B23" s="6522" t="s">
        <v>1520</v>
      </c>
      <c r="C23" s="5145" t="s">
        <v>47</v>
      </c>
      <c r="D23" s="5146"/>
      <c r="E23" s="5147"/>
    </row>
    <row r="24" spans="1:5" ht="31.5" x14ac:dyDescent="0.25">
      <c r="A24" s="6521"/>
      <c r="B24" s="6522"/>
      <c r="C24" s="1666" t="s">
        <v>1525</v>
      </c>
      <c r="D24" s="1589" t="s">
        <v>118</v>
      </c>
      <c r="E24" s="1589" t="s">
        <v>1521</v>
      </c>
    </row>
    <row r="25" spans="1:5" x14ac:dyDescent="0.25">
      <c r="A25" s="1661" t="s">
        <v>524</v>
      </c>
      <c r="B25" s="1662" t="s">
        <v>899</v>
      </c>
      <c r="C25" s="1663">
        <v>1433.46</v>
      </c>
      <c r="D25" s="1663">
        <v>1409.39</v>
      </c>
      <c r="E25" s="1664">
        <v>1409.39</v>
      </c>
    </row>
    <row r="26" spans="1:5" x14ac:dyDescent="0.25">
      <c r="A26" s="1661" t="s">
        <v>1522</v>
      </c>
      <c r="B26" s="1662" t="s">
        <v>899</v>
      </c>
      <c r="C26" s="1663">
        <v>220.1</v>
      </c>
      <c r="D26" s="1663">
        <v>348.31</v>
      </c>
      <c r="E26" s="1664">
        <v>348.31</v>
      </c>
    </row>
    <row r="27" spans="1:5" x14ac:dyDescent="0.25">
      <c r="A27" s="1661" t="s">
        <v>1523</v>
      </c>
      <c r="B27" s="1662" t="s">
        <v>899</v>
      </c>
      <c r="C27" s="1663">
        <v>0</v>
      </c>
      <c r="D27" s="1663">
        <v>0</v>
      </c>
      <c r="E27" s="1664">
        <v>0</v>
      </c>
    </row>
    <row r="28" spans="1:5" x14ac:dyDescent="0.25">
      <c r="A28" s="1661" t="s">
        <v>1524</v>
      </c>
      <c r="B28" s="1662" t="s">
        <v>899</v>
      </c>
      <c r="C28" s="1663">
        <v>0</v>
      </c>
      <c r="D28" s="1663">
        <v>0</v>
      </c>
      <c r="E28" s="1664">
        <v>0</v>
      </c>
    </row>
    <row r="29" spans="1:5" x14ac:dyDescent="0.25">
      <c r="A29" s="1661" t="s">
        <v>522</v>
      </c>
      <c r="B29" s="1662" t="s">
        <v>899</v>
      </c>
      <c r="C29" s="1663">
        <v>23.21</v>
      </c>
      <c r="D29" s="1663">
        <v>25.87</v>
      </c>
      <c r="E29" s="1664">
        <v>25.87</v>
      </c>
    </row>
    <row r="30" spans="1:5" x14ac:dyDescent="0.25">
      <c r="A30" s="1661" t="s">
        <v>614</v>
      </c>
      <c r="B30" s="1662"/>
      <c r="C30" s="1665">
        <f>SUM(C25:C29)</f>
        <v>1676.77</v>
      </c>
      <c r="D30" s="1665">
        <f>SUM(D25:D29)</f>
        <v>1783.57</v>
      </c>
      <c r="E30" s="1665">
        <f>SUM(E25:E29)</f>
        <v>1783.57</v>
      </c>
    </row>
    <row r="32" spans="1:5" x14ac:dyDescent="0.25">
      <c r="A32" s="6521" t="s">
        <v>1519</v>
      </c>
      <c r="B32" s="6522" t="s">
        <v>1520</v>
      </c>
      <c r="C32" s="5145" t="s">
        <v>1550</v>
      </c>
      <c r="D32" s="5146"/>
      <c r="E32" s="5147"/>
    </row>
    <row r="33" spans="1:5" ht="47.25" x14ac:dyDescent="0.25">
      <c r="A33" s="6521"/>
      <c r="B33" s="6522"/>
      <c r="C33" s="1666" t="s">
        <v>1525</v>
      </c>
      <c r="D33" s="1589" t="s">
        <v>118</v>
      </c>
      <c r="E33" s="1589" t="s">
        <v>1521</v>
      </c>
    </row>
    <row r="34" spans="1:5" x14ac:dyDescent="0.25">
      <c r="A34" s="1661" t="s">
        <v>524</v>
      </c>
      <c r="B34" s="1662" t="s">
        <v>899</v>
      </c>
      <c r="C34" s="1663"/>
      <c r="D34" s="1663"/>
      <c r="E34" s="1664"/>
    </row>
    <row r="35" spans="1:5" x14ac:dyDescent="0.25">
      <c r="A35" s="1661" t="s">
        <v>1522</v>
      </c>
      <c r="B35" s="1662" t="s">
        <v>899</v>
      </c>
      <c r="C35" s="1663"/>
      <c r="D35" s="1663"/>
      <c r="E35" s="1664"/>
    </row>
    <row r="36" spans="1:5" x14ac:dyDescent="0.25">
      <c r="A36" s="1661" t="s">
        <v>1523</v>
      </c>
      <c r="B36" s="1662" t="s">
        <v>899</v>
      </c>
      <c r="C36" s="1663"/>
      <c r="D36" s="1663"/>
      <c r="E36" s="1664"/>
    </row>
    <row r="37" spans="1:5" x14ac:dyDescent="0.25">
      <c r="A37" s="1661" t="s">
        <v>1524</v>
      </c>
      <c r="B37" s="1662" t="s">
        <v>899</v>
      </c>
      <c r="C37" s="1663"/>
      <c r="D37" s="1663"/>
      <c r="E37" s="1664"/>
    </row>
    <row r="38" spans="1:5" x14ac:dyDescent="0.25">
      <c r="A38" s="1661" t="s">
        <v>522</v>
      </c>
      <c r="B38" s="1662" t="s">
        <v>899</v>
      </c>
      <c r="C38" s="1663"/>
      <c r="D38" s="1663"/>
      <c r="E38" s="1664"/>
    </row>
    <row r="39" spans="1:5" x14ac:dyDescent="0.25">
      <c r="A39" s="1661" t="s">
        <v>614</v>
      </c>
      <c r="B39" s="1662"/>
      <c r="C39" s="1665">
        <v>8.01</v>
      </c>
      <c r="D39" s="1665">
        <v>10.47</v>
      </c>
      <c r="E39" s="1665">
        <v>10.47</v>
      </c>
    </row>
  </sheetData>
  <mergeCells count="14">
    <mergeCell ref="A23:A24"/>
    <mergeCell ref="B23:B24"/>
    <mergeCell ref="C23:E23"/>
    <mergeCell ref="A32:A33"/>
    <mergeCell ref="B32:B33"/>
    <mergeCell ref="C32:E32"/>
    <mergeCell ref="A14:A15"/>
    <mergeCell ref="B14:B15"/>
    <mergeCell ref="C14:E14"/>
    <mergeCell ref="D1:E1"/>
    <mergeCell ref="A3:E3"/>
    <mergeCell ref="A5:A6"/>
    <mergeCell ref="B5:B6"/>
    <mergeCell ref="C5:E5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1937">
        <f t="shared" ref="A2:A14" si="0">B2+F2+I2</f>
        <v>3566340.3400000008</v>
      </c>
      <c r="B2" s="1937">
        <f t="shared" ref="B2:B14" si="1">SUM(C2:E2)</f>
        <v>0</v>
      </c>
      <c r="C2" s="1937">
        <f t="shared" ref="C2:L2" si="2">SUM(C3:C14)</f>
        <v>0</v>
      </c>
      <c r="D2" s="1937">
        <f t="shared" si="2"/>
        <v>0</v>
      </c>
      <c r="E2" s="1937">
        <f t="shared" si="2"/>
        <v>0</v>
      </c>
      <c r="F2" s="1937">
        <f t="shared" si="2"/>
        <v>0</v>
      </c>
      <c r="G2" s="1937">
        <f t="shared" si="2"/>
        <v>0</v>
      </c>
      <c r="H2" s="1937">
        <f t="shared" si="2"/>
        <v>0</v>
      </c>
      <c r="I2" s="1937">
        <f t="shared" si="2"/>
        <v>3566340.3400000008</v>
      </c>
      <c r="J2" s="1937">
        <f t="shared" si="2"/>
        <v>0</v>
      </c>
      <c r="K2" s="1937">
        <f t="shared" si="2"/>
        <v>0</v>
      </c>
      <c r="L2" s="1937">
        <f t="shared" si="2"/>
        <v>0</v>
      </c>
      <c r="M2" s="1937">
        <f t="shared" ref="M2:V2" si="3">SUM(M3:M14)</f>
        <v>2311153.8200000003</v>
      </c>
      <c r="N2" s="1937">
        <f t="shared" si="3"/>
        <v>1663995.8199999998</v>
      </c>
      <c r="O2" s="1937">
        <f t="shared" si="3"/>
        <v>647158</v>
      </c>
      <c r="P2" s="1937">
        <f t="shared" si="3"/>
        <v>1255186.52</v>
      </c>
      <c r="Q2" s="1937">
        <f t="shared" si="3"/>
        <v>1252392.071</v>
      </c>
      <c r="R2" s="1937">
        <f t="shared" si="3"/>
        <v>2794.4490000000001</v>
      </c>
      <c r="S2" s="1937">
        <f t="shared" si="3"/>
        <v>0</v>
      </c>
      <c r="T2" s="1937">
        <f t="shared" si="3"/>
        <v>0</v>
      </c>
      <c r="U2" s="1937">
        <f t="shared" si="3"/>
        <v>0</v>
      </c>
      <c r="V2" s="1938">
        <f t="shared" si="3"/>
        <v>0</v>
      </c>
    </row>
    <row r="3" spans="1:22" x14ac:dyDescent="0.2">
      <c r="A3" s="1937">
        <f t="shared" si="0"/>
        <v>316969.11</v>
      </c>
      <c r="B3" s="1937">
        <f t="shared" si="1"/>
        <v>0</v>
      </c>
      <c r="C3" s="1936"/>
      <c r="D3" s="1936"/>
      <c r="E3" s="1936"/>
      <c r="F3" s="1937">
        <f t="shared" ref="F3:F14" si="4">SUM(G3,H3)</f>
        <v>0</v>
      </c>
      <c r="G3" s="1936"/>
      <c r="H3" s="1936"/>
      <c r="I3" s="1937">
        <f>SUM(J3,M3,P3)</f>
        <v>316969.11</v>
      </c>
      <c r="J3" s="1937">
        <f t="shared" ref="J3:J14" si="5">SUM(K3,L3)</f>
        <v>0</v>
      </c>
      <c r="K3" s="1936"/>
      <c r="L3" s="1936"/>
      <c r="M3" s="1937">
        <f t="shared" ref="M3:M14" si="6">SUM(N3,O3)</f>
        <v>205649.93</v>
      </c>
      <c r="N3" s="1936">
        <v>148118.93</v>
      </c>
      <c r="O3" s="1936">
        <v>57531</v>
      </c>
      <c r="P3" s="1937">
        <f t="shared" ref="P3:P14" si="7">SUM(Q3,R3)</f>
        <v>111319.18</v>
      </c>
      <c r="Q3" s="1936">
        <v>110896.51</v>
      </c>
      <c r="R3" s="1936">
        <v>422.67</v>
      </c>
      <c r="S3" s="1936"/>
      <c r="T3" s="1936"/>
      <c r="U3" s="1936"/>
      <c r="V3" s="1939"/>
    </row>
    <row r="4" spans="1:22" x14ac:dyDescent="0.2">
      <c r="A4" s="1937">
        <f t="shared" si="0"/>
        <v>317912.65999999997</v>
      </c>
      <c r="B4" s="1937">
        <f t="shared" si="1"/>
        <v>0</v>
      </c>
      <c r="C4" s="1936"/>
      <c r="D4" s="1936"/>
      <c r="E4" s="1936"/>
      <c r="F4" s="1937">
        <f t="shared" si="4"/>
        <v>0</v>
      </c>
      <c r="G4" s="1936"/>
      <c r="H4" s="1936"/>
      <c r="I4" s="1937">
        <f t="shared" ref="I4:I14" si="8">SUM(J4,M4,P4)</f>
        <v>317912.65999999997</v>
      </c>
      <c r="J4" s="1937">
        <f t="shared" si="5"/>
        <v>0</v>
      </c>
      <c r="K4" s="1936"/>
      <c r="L4" s="1936"/>
      <c r="M4" s="1937">
        <f t="shared" si="6"/>
        <v>205557.09</v>
      </c>
      <c r="N4" s="1936">
        <v>149760.09</v>
      </c>
      <c r="O4" s="1936">
        <v>55797</v>
      </c>
      <c r="P4" s="1937">
        <f t="shared" si="7"/>
        <v>112355.56999999999</v>
      </c>
      <c r="Q4" s="1936">
        <v>112053.9</v>
      </c>
      <c r="R4" s="1936">
        <v>301.67</v>
      </c>
      <c r="S4" s="1936"/>
      <c r="T4" s="1936"/>
      <c r="U4" s="1936"/>
      <c r="V4" s="1939"/>
    </row>
    <row r="5" spans="1:22" x14ac:dyDescent="0.2">
      <c r="A5" s="1937">
        <f t="shared" si="0"/>
        <v>304216.37</v>
      </c>
      <c r="B5" s="1937">
        <f t="shared" si="1"/>
        <v>0</v>
      </c>
      <c r="C5" s="1936"/>
      <c r="D5" s="1936"/>
      <c r="E5" s="1936"/>
      <c r="F5" s="1937">
        <f t="shared" si="4"/>
        <v>0</v>
      </c>
      <c r="G5" s="1936"/>
      <c r="H5" s="1936"/>
      <c r="I5" s="1937">
        <f t="shared" si="8"/>
        <v>304216.37</v>
      </c>
      <c r="J5" s="1937">
        <f t="shared" si="5"/>
        <v>0</v>
      </c>
      <c r="K5" s="1936"/>
      <c r="L5" s="1936"/>
      <c r="M5" s="1937">
        <f t="shared" si="6"/>
        <v>193074.75</v>
      </c>
      <c r="N5" s="1936">
        <v>139037.75</v>
      </c>
      <c r="O5" s="1936">
        <v>54037</v>
      </c>
      <c r="P5" s="1937">
        <f t="shared" si="7"/>
        <v>111141.62</v>
      </c>
      <c r="Q5" s="1936">
        <v>110782.18799999999</v>
      </c>
      <c r="R5" s="1936">
        <v>359.43200000000002</v>
      </c>
      <c r="S5" s="1936"/>
      <c r="T5" s="1936"/>
      <c r="U5" s="1936"/>
      <c r="V5" s="1939"/>
    </row>
    <row r="6" spans="1:22" x14ac:dyDescent="0.2">
      <c r="A6" s="1937">
        <f t="shared" si="0"/>
        <v>304396.70999999996</v>
      </c>
      <c r="B6" s="1937">
        <f t="shared" si="1"/>
        <v>0</v>
      </c>
      <c r="C6" s="1936"/>
      <c r="D6" s="1936"/>
      <c r="E6" s="1936"/>
      <c r="F6" s="1937">
        <f t="shared" si="4"/>
        <v>0</v>
      </c>
      <c r="G6" s="1936"/>
      <c r="H6" s="1936"/>
      <c r="I6" s="1937">
        <f t="shared" si="8"/>
        <v>304396.70999999996</v>
      </c>
      <c r="J6" s="1937">
        <f t="shared" si="5"/>
        <v>0</v>
      </c>
      <c r="K6" s="1936"/>
      <c r="L6" s="1936"/>
      <c r="M6" s="1937">
        <f t="shared" si="6"/>
        <v>192676</v>
      </c>
      <c r="N6" s="1936">
        <v>140810</v>
      </c>
      <c r="O6" s="1936">
        <v>51866</v>
      </c>
      <c r="P6" s="1937">
        <f t="shared" si="7"/>
        <v>111720.70999999999</v>
      </c>
      <c r="Q6" s="1936">
        <v>111632.234</v>
      </c>
      <c r="R6" s="1936">
        <v>88.475999999999999</v>
      </c>
      <c r="S6" s="1936"/>
      <c r="T6" s="1936"/>
      <c r="U6" s="1936"/>
      <c r="V6" s="1939"/>
    </row>
    <row r="7" spans="1:22" x14ac:dyDescent="0.2">
      <c r="A7" s="1937">
        <f t="shared" si="0"/>
        <v>291575.15000000002</v>
      </c>
      <c r="B7" s="1937">
        <f t="shared" si="1"/>
        <v>0</v>
      </c>
      <c r="C7" s="1936"/>
      <c r="D7" s="1936"/>
      <c r="E7" s="1936"/>
      <c r="F7" s="1937">
        <f t="shared" si="4"/>
        <v>0</v>
      </c>
      <c r="G7" s="1936"/>
      <c r="H7" s="1936"/>
      <c r="I7" s="1937">
        <f t="shared" si="8"/>
        <v>291575.15000000002</v>
      </c>
      <c r="J7" s="1937">
        <f t="shared" si="5"/>
        <v>0</v>
      </c>
      <c r="K7" s="1936"/>
      <c r="L7" s="1936"/>
      <c r="M7" s="1937">
        <f t="shared" si="6"/>
        <v>190316.09</v>
      </c>
      <c r="N7" s="1936">
        <v>136311.09</v>
      </c>
      <c r="O7" s="1936">
        <v>54005</v>
      </c>
      <c r="P7" s="1937">
        <f t="shared" si="7"/>
        <v>101259.06000000001</v>
      </c>
      <c r="Q7" s="1936">
        <v>101182.63800000001</v>
      </c>
      <c r="R7" s="1936">
        <v>76.421999999999997</v>
      </c>
      <c r="S7" s="1936"/>
      <c r="T7" s="1936"/>
      <c r="U7" s="1936"/>
      <c r="V7" s="1939"/>
    </row>
    <row r="8" spans="1:22" x14ac:dyDescent="0.2">
      <c r="A8" s="1937">
        <f t="shared" si="0"/>
        <v>286018.59999999998</v>
      </c>
      <c r="B8" s="1937">
        <f t="shared" si="1"/>
        <v>0</v>
      </c>
      <c r="C8" s="1936"/>
      <c r="D8" s="1936"/>
      <c r="E8" s="1936"/>
      <c r="F8" s="1937">
        <f t="shared" si="4"/>
        <v>0</v>
      </c>
      <c r="G8" s="1936"/>
      <c r="H8" s="1936"/>
      <c r="I8" s="1937">
        <f t="shared" si="8"/>
        <v>286018.59999999998</v>
      </c>
      <c r="J8" s="1937">
        <f t="shared" si="5"/>
        <v>0</v>
      </c>
      <c r="K8" s="1936"/>
      <c r="L8" s="1936"/>
      <c r="M8" s="1937">
        <f t="shared" si="6"/>
        <v>184568.08</v>
      </c>
      <c r="N8" s="1936">
        <v>132985.07999999999</v>
      </c>
      <c r="O8" s="1936">
        <v>51583</v>
      </c>
      <c r="P8" s="1937">
        <f t="shared" si="7"/>
        <v>101450.52</v>
      </c>
      <c r="Q8" s="1936">
        <v>101272.12300000001</v>
      </c>
      <c r="R8" s="1936">
        <v>178.39699999999999</v>
      </c>
      <c r="S8" s="1936"/>
      <c r="T8" s="1936"/>
      <c r="U8" s="1936"/>
      <c r="V8" s="1939"/>
    </row>
    <row r="9" spans="1:22" x14ac:dyDescent="0.2">
      <c r="A9" s="1937">
        <f t="shared" si="0"/>
        <v>260188.14</v>
      </c>
      <c r="B9" s="1937">
        <f t="shared" si="1"/>
        <v>0</v>
      </c>
      <c r="C9" s="1936"/>
      <c r="D9" s="1936"/>
      <c r="E9" s="1936"/>
      <c r="F9" s="1937">
        <f t="shared" si="4"/>
        <v>0</v>
      </c>
      <c r="G9" s="1936"/>
      <c r="H9" s="1936"/>
      <c r="I9" s="1937">
        <f t="shared" si="8"/>
        <v>260188.14</v>
      </c>
      <c r="J9" s="1937">
        <f t="shared" si="5"/>
        <v>0</v>
      </c>
      <c r="K9" s="1936"/>
      <c r="L9" s="1936"/>
      <c r="M9" s="1937">
        <f t="shared" si="6"/>
        <v>176925.14</v>
      </c>
      <c r="N9" s="1936">
        <v>125616.14</v>
      </c>
      <c r="O9" s="1936">
        <v>51309</v>
      </c>
      <c r="P9" s="1937">
        <f t="shared" si="7"/>
        <v>83263</v>
      </c>
      <c r="Q9" s="1936">
        <v>82802.326000000001</v>
      </c>
      <c r="R9" s="1936">
        <v>460.67399999999998</v>
      </c>
      <c r="S9" s="1936"/>
      <c r="T9" s="1936"/>
      <c r="U9" s="1936"/>
      <c r="V9" s="1939"/>
    </row>
    <row r="10" spans="1:22" x14ac:dyDescent="0.2">
      <c r="A10" s="1937">
        <f t="shared" si="0"/>
        <v>290647.99</v>
      </c>
      <c r="B10" s="1937">
        <f t="shared" si="1"/>
        <v>0</v>
      </c>
      <c r="C10" s="1936"/>
      <c r="D10" s="1936"/>
      <c r="E10" s="1936"/>
      <c r="F10" s="1937">
        <f t="shared" si="4"/>
        <v>0</v>
      </c>
      <c r="G10" s="1936"/>
      <c r="H10" s="1936"/>
      <c r="I10" s="1937">
        <f t="shared" si="8"/>
        <v>290647.99</v>
      </c>
      <c r="J10" s="1937">
        <f t="shared" si="5"/>
        <v>0</v>
      </c>
      <c r="K10" s="1936"/>
      <c r="L10" s="1936"/>
      <c r="M10" s="1937">
        <f t="shared" si="6"/>
        <v>202133.84</v>
      </c>
      <c r="N10" s="1936">
        <v>133987.84</v>
      </c>
      <c r="O10" s="1936">
        <v>68146</v>
      </c>
      <c r="P10" s="1937">
        <f t="shared" si="7"/>
        <v>88514.15</v>
      </c>
      <c r="Q10" s="1936">
        <v>88309.475999999995</v>
      </c>
      <c r="R10" s="1936">
        <v>204.67400000000001</v>
      </c>
      <c r="S10" s="1936"/>
      <c r="T10" s="1936"/>
      <c r="U10" s="1936"/>
      <c r="V10" s="1939"/>
    </row>
    <row r="11" spans="1:22" x14ac:dyDescent="0.2">
      <c r="A11" s="1937">
        <f t="shared" si="0"/>
        <v>297249.68</v>
      </c>
      <c r="B11" s="1937">
        <f t="shared" si="1"/>
        <v>0</v>
      </c>
      <c r="C11" s="1936"/>
      <c r="D11" s="1936"/>
      <c r="E11" s="1936"/>
      <c r="F11" s="1937">
        <f t="shared" si="4"/>
        <v>0</v>
      </c>
      <c r="G11" s="1936"/>
      <c r="H11" s="1936"/>
      <c r="I11" s="1937">
        <f t="shared" si="8"/>
        <v>297249.68</v>
      </c>
      <c r="J11" s="1937">
        <f t="shared" si="5"/>
        <v>0</v>
      </c>
      <c r="K11" s="1936"/>
      <c r="L11" s="1936"/>
      <c r="M11" s="1937">
        <f t="shared" si="6"/>
        <v>193280.97</v>
      </c>
      <c r="N11" s="1936">
        <v>142233.97</v>
      </c>
      <c r="O11" s="1936">
        <v>51047</v>
      </c>
      <c r="P11" s="1937">
        <f t="shared" si="7"/>
        <v>103968.70999999999</v>
      </c>
      <c r="Q11" s="1936">
        <v>103712.177</v>
      </c>
      <c r="R11" s="1936">
        <v>256.53300000000002</v>
      </c>
      <c r="S11" s="1936"/>
      <c r="T11" s="1936"/>
      <c r="U11" s="1936"/>
      <c r="V11" s="1939"/>
    </row>
    <row r="12" spans="1:22" x14ac:dyDescent="0.2">
      <c r="A12" s="1937">
        <f t="shared" si="0"/>
        <v>296237.41000000003</v>
      </c>
      <c r="B12" s="1937">
        <f t="shared" si="1"/>
        <v>0</v>
      </c>
      <c r="C12" s="1936"/>
      <c r="D12" s="1936"/>
      <c r="E12" s="1936"/>
      <c r="F12" s="1937">
        <f t="shared" si="4"/>
        <v>0</v>
      </c>
      <c r="G12" s="1936"/>
      <c r="H12" s="1936"/>
      <c r="I12" s="1937">
        <f t="shared" si="8"/>
        <v>296237.41000000003</v>
      </c>
      <c r="J12" s="1937">
        <f t="shared" si="5"/>
        <v>0</v>
      </c>
      <c r="K12" s="1936"/>
      <c r="L12" s="1936"/>
      <c r="M12" s="1937">
        <f t="shared" si="6"/>
        <v>191887.66</v>
      </c>
      <c r="N12" s="1936">
        <v>140343.66</v>
      </c>
      <c r="O12" s="1936">
        <v>51544</v>
      </c>
      <c r="P12" s="1937">
        <f t="shared" si="7"/>
        <v>104349.75</v>
      </c>
      <c r="Q12" s="1936">
        <v>104311.776</v>
      </c>
      <c r="R12" s="1936">
        <v>37.973999999999997</v>
      </c>
      <c r="S12" s="1936"/>
      <c r="T12" s="1936"/>
      <c r="U12" s="1936"/>
      <c r="V12" s="1939"/>
    </row>
    <row r="13" spans="1:22" x14ac:dyDescent="0.2">
      <c r="A13" s="1937">
        <f t="shared" si="0"/>
        <v>308631.80000000005</v>
      </c>
      <c r="B13" s="1937">
        <f t="shared" si="1"/>
        <v>0</v>
      </c>
      <c r="C13" s="1936"/>
      <c r="D13" s="1936"/>
      <c r="E13" s="1936"/>
      <c r="F13" s="1937">
        <f t="shared" si="4"/>
        <v>0</v>
      </c>
      <c r="G13" s="1936"/>
      <c r="H13" s="1936"/>
      <c r="I13" s="1937">
        <f t="shared" si="8"/>
        <v>308631.80000000005</v>
      </c>
      <c r="J13" s="1937">
        <f t="shared" si="5"/>
        <v>0</v>
      </c>
      <c r="K13" s="1936"/>
      <c r="L13" s="1936"/>
      <c r="M13" s="1937">
        <f t="shared" si="6"/>
        <v>194314.98</v>
      </c>
      <c r="N13" s="1936">
        <v>145277.98000000001</v>
      </c>
      <c r="O13" s="1936">
        <v>49037</v>
      </c>
      <c r="P13" s="1937">
        <f t="shared" si="7"/>
        <v>114316.82</v>
      </c>
      <c r="Q13" s="1936">
        <v>114136.34600000001</v>
      </c>
      <c r="R13" s="1936">
        <v>180.47399999999999</v>
      </c>
      <c r="S13" s="1936"/>
      <c r="T13" s="1936"/>
      <c r="U13" s="1936"/>
      <c r="V13" s="1939"/>
    </row>
    <row r="14" spans="1:22" x14ac:dyDescent="0.2">
      <c r="A14" s="1937">
        <f t="shared" si="0"/>
        <v>292296.71999999997</v>
      </c>
      <c r="B14" s="1937">
        <f t="shared" si="1"/>
        <v>0</v>
      </c>
      <c r="C14" s="1936"/>
      <c r="D14" s="1936"/>
      <c r="E14" s="1936"/>
      <c r="F14" s="1937">
        <f t="shared" si="4"/>
        <v>0</v>
      </c>
      <c r="G14" s="1936"/>
      <c r="H14" s="1936"/>
      <c r="I14" s="1937">
        <f t="shared" si="8"/>
        <v>292296.71999999997</v>
      </c>
      <c r="J14" s="1937">
        <f t="shared" si="5"/>
        <v>0</v>
      </c>
      <c r="K14" s="1936"/>
      <c r="L14" s="1936"/>
      <c r="M14" s="1937">
        <f t="shared" si="6"/>
        <v>180769.28999999998</v>
      </c>
      <c r="N14" s="1936">
        <v>129513.29</v>
      </c>
      <c r="O14" s="1936">
        <v>51256</v>
      </c>
      <c r="P14" s="1937">
        <f t="shared" si="7"/>
        <v>111527.43</v>
      </c>
      <c r="Q14" s="1936">
        <v>111300.37699999999</v>
      </c>
      <c r="R14" s="1936">
        <v>227.053</v>
      </c>
      <c r="S14" s="1936"/>
      <c r="T14" s="1936"/>
      <c r="U14" s="1936"/>
      <c r="V14" s="1939"/>
    </row>
    <row r="15" spans="1:22" x14ac:dyDescent="0.2">
      <c r="A15" s="1930"/>
      <c r="B15" s="1930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  <c r="P15" s="1930"/>
      <c r="Q15" s="1930"/>
      <c r="R15" s="1930"/>
      <c r="S15" s="1930"/>
      <c r="T15" s="1930"/>
      <c r="U15" s="1930"/>
      <c r="V15" s="1931"/>
    </row>
    <row r="16" spans="1:22" x14ac:dyDescent="0.2">
      <c r="A16" s="1930"/>
      <c r="B16" s="1930"/>
      <c r="C16" s="1930"/>
      <c r="D16" s="1930"/>
      <c r="E16" s="1930"/>
      <c r="F16" s="1930"/>
      <c r="G16" s="1930"/>
      <c r="H16" s="1930"/>
      <c r="I16" s="1930"/>
      <c r="J16" s="1930"/>
      <c r="K16" s="1930"/>
      <c r="L16" s="1930"/>
      <c r="M16" s="1930"/>
      <c r="N16" s="1930"/>
      <c r="O16" s="1930"/>
      <c r="P16" s="1930"/>
      <c r="Q16" s="1930"/>
      <c r="R16" s="1930"/>
      <c r="S16" s="1930"/>
      <c r="T16" s="1930"/>
      <c r="U16" s="1930"/>
      <c r="V16" s="1931"/>
    </row>
    <row r="17" spans="1:22" x14ac:dyDescent="0.2">
      <c r="A17" s="1930"/>
      <c r="B17" s="1930"/>
      <c r="C17" s="1930"/>
      <c r="D17" s="1930"/>
      <c r="E17" s="1930"/>
      <c r="F17" s="1930"/>
      <c r="G17" s="1930"/>
      <c r="H17" s="1930"/>
      <c r="I17" s="1930"/>
      <c r="J17" s="1930"/>
      <c r="K17" s="1930"/>
      <c r="L17" s="1930"/>
      <c r="M17" s="1930"/>
      <c r="N17" s="1930"/>
      <c r="O17" s="1930"/>
      <c r="P17" s="1930"/>
      <c r="Q17" s="1930"/>
      <c r="R17" s="1930"/>
      <c r="S17" s="1930"/>
      <c r="T17" s="1930"/>
      <c r="U17" s="1930"/>
      <c r="V17" s="1931"/>
    </row>
    <row r="18" spans="1:22" x14ac:dyDescent="0.2">
      <c r="A18" s="1930"/>
      <c r="B18" s="1930"/>
      <c r="C18" s="1930"/>
      <c r="D18" s="1930"/>
      <c r="E18" s="1930"/>
      <c r="F18" s="1930"/>
      <c r="G18" s="1930"/>
      <c r="H18" s="1930"/>
      <c r="I18" s="1930"/>
      <c r="J18" s="1930"/>
      <c r="K18" s="1930"/>
      <c r="L18" s="1930"/>
      <c r="M18" s="1930"/>
      <c r="N18" s="1930"/>
      <c r="O18" s="1930"/>
      <c r="P18" s="1930"/>
      <c r="Q18" s="1930"/>
      <c r="R18" s="1930"/>
      <c r="S18" s="1930"/>
      <c r="T18" s="1930"/>
      <c r="U18" s="1930"/>
      <c r="V18" s="1931"/>
    </row>
    <row r="19" spans="1:22" x14ac:dyDescent="0.2">
      <c r="A19" s="1930"/>
      <c r="B19" s="1930"/>
      <c r="C19" s="1930"/>
      <c r="D19" s="1930"/>
      <c r="E19" s="1930"/>
      <c r="F19" s="1930"/>
      <c r="G19" s="1930"/>
      <c r="H19" s="1930"/>
      <c r="I19" s="1930"/>
      <c r="J19" s="1930"/>
      <c r="K19" s="1930"/>
      <c r="L19" s="1930"/>
      <c r="M19" s="1930"/>
      <c r="N19" s="1930"/>
      <c r="O19" s="1930"/>
      <c r="P19" s="1930"/>
      <c r="Q19" s="1930"/>
      <c r="R19" s="1930"/>
      <c r="S19" s="1930"/>
      <c r="T19" s="1930"/>
      <c r="U19" s="1930"/>
      <c r="V19" s="1931"/>
    </row>
    <row r="20" spans="1:22" x14ac:dyDescent="0.2">
      <c r="A20" s="1930"/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  <c r="P20" s="1930"/>
      <c r="Q20" s="1930"/>
      <c r="R20" s="1930"/>
      <c r="S20" s="1930"/>
      <c r="T20" s="1930"/>
      <c r="U20" s="1930"/>
      <c r="V20" s="1931"/>
    </row>
    <row r="21" spans="1:22" x14ac:dyDescent="0.2">
      <c r="A21" s="1930"/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  <c r="N21" s="1930"/>
      <c r="O21" s="1930"/>
      <c r="P21" s="1930"/>
      <c r="Q21" s="1930"/>
      <c r="R21" s="1930"/>
      <c r="S21" s="1930"/>
      <c r="T21" s="1930"/>
      <c r="U21" s="1930"/>
      <c r="V21" s="1931"/>
    </row>
    <row r="22" spans="1:22" x14ac:dyDescent="0.2">
      <c r="A22" s="1930"/>
      <c r="B22" s="1930"/>
      <c r="C22" s="1930"/>
      <c r="D22" s="1930"/>
      <c r="E22" s="1930"/>
      <c r="F22" s="1930"/>
      <c r="G22" s="1930"/>
      <c r="H22" s="1930"/>
      <c r="I22" s="1930"/>
      <c r="J22" s="1930"/>
      <c r="K22" s="1930"/>
      <c r="L22" s="1930"/>
      <c r="M22" s="1930"/>
      <c r="N22" s="1930"/>
      <c r="O22" s="1930"/>
      <c r="P22" s="1930"/>
      <c r="Q22" s="1930"/>
      <c r="R22" s="1930"/>
      <c r="S22" s="1930"/>
      <c r="T22" s="1930"/>
      <c r="U22" s="1930"/>
      <c r="V22" s="1931"/>
    </row>
    <row r="23" spans="1:22" x14ac:dyDescent="0.2">
      <c r="A23" s="1930"/>
      <c r="B23" s="1930"/>
      <c r="C23" s="1930"/>
      <c r="D23" s="1930"/>
      <c r="E23" s="1930"/>
      <c r="F23" s="1930"/>
      <c r="G23" s="1930"/>
      <c r="H23" s="1930"/>
      <c r="I23" s="1930"/>
      <c r="J23" s="1930"/>
      <c r="K23" s="1930"/>
      <c r="L23" s="1930"/>
      <c r="M23" s="1930"/>
      <c r="N23" s="1930"/>
      <c r="O23" s="1930"/>
      <c r="P23" s="1930"/>
      <c r="Q23" s="1930"/>
      <c r="R23" s="1930"/>
      <c r="S23" s="1930"/>
      <c r="T23" s="1930"/>
      <c r="U23" s="1930"/>
      <c r="V23" s="1931"/>
    </row>
    <row r="24" spans="1:22" x14ac:dyDescent="0.2">
      <c r="A24" s="1930"/>
      <c r="B24" s="1930"/>
      <c r="C24" s="1930"/>
      <c r="D24" s="1930"/>
      <c r="E24" s="1930"/>
      <c r="F24" s="1930"/>
      <c r="G24" s="1930"/>
      <c r="H24" s="1930"/>
      <c r="I24" s="1930"/>
      <c r="J24" s="1930"/>
      <c r="K24" s="1930"/>
      <c r="L24" s="1930"/>
      <c r="M24" s="1930"/>
      <c r="N24" s="1930"/>
      <c r="O24" s="1930"/>
      <c r="P24" s="1930"/>
      <c r="Q24" s="1930"/>
      <c r="R24" s="1930"/>
      <c r="S24" s="1930"/>
      <c r="T24" s="1930"/>
      <c r="U24" s="1930"/>
      <c r="V24" s="1931"/>
    </row>
    <row r="25" spans="1:22" x14ac:dyDescent="0.2">
      <c r="A25" s="1930"/>
      <c r="B25" s="1930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  <c r="P25" s="1930"/>
      <c r="Q25" s="1930"/>
      <c r="R25" s="1930"/>
      <c r="S25" s="1930"/>
      <c r="T25" s="1930"/>
      <c r="U25" s="1930"/>
      <c r="V25" s="1931"/>
    </row>
    <row r="26" spans="1:22" x14ac:dyDescent="0.2">
      <c r="A26" s="1930"/>
      <c r="B26" s="1930"/>
      <c r="C26" s="1930"/>
      <c r="D26" s="1930"/>
      <c r="E26" s="1930"/>
      <c r="F26" s="1930"/>
      <c r="G26" s="1930"/>
      <c r="H26" s="1930"/>
      <c r="I26" s="1930"/>
      <c r="J26" s="1930"/>
      <c r="K26" s="1930"/>
      <c r="L26" s="1930"/>
      <c r="M26" s="1930"/>
      <c r="N26" s="1930"/>
      <c r="O26" s="1930"/>
      <c r="P26" s="1930"/>
      <c r="Q26" s="1930"/>
      <c r="R26" s="1930"/>
      <c r="S26" s="1930"/>
      <c r="T26" s="1930"/>
      <c r="U26" s="1930"/>
      <c r="V26" s="1931"/>
    </row>
    <row r="27" spans="1:22" x14ac:dyDescent="0.2">
      <c r="A27" s="1930"/>
      <c r="B27" s="1930"/>
      <c r="C27" s="1930"/>
      <c r="D27" s="1930"/>
      <c r="E27" s="1930"/>
      <c r="F27" s="1930"/>
      <c r="G27" s="1930"/>
      <c r="H27" s="1930"/>
      <c r="I27" s="1930"/>
      <c r="J27" s="1930"/>
      <c r="K27" s="1930"/>
      <c r="L27" s="1930"/>
      <c r="M27" s="1930"/>
      <c r="N27" s="1930"/>
      <c r="O27" s="1930"/>
      <c r="P27" s="1930"/>
      <c r="Q27" s="1930"/>
      <c r="R27" s="1930"/>
      <c r="S27" s="1930"/>
      <c r="T27" s="1930"/>
      <c r="U27" s="1930"/>
      <c r="V27" s="1931"/>
    </row>
    <row r="28" spans="1:22" x14ac:dyDescent="0.2">
      <c r="A28" s="1932">
        <f t="shared" ref="A28:T28" si="9">A30</f>
        <v>2399</v>
      </c>
      <c r="B28" s="1932">
        <f t="shared" si="9"/>
        <v>0</v>
      </c>
      <c r="C28" s="1932">
        <f t="shared" si="9"/>
        <v>0</v>
      </c>
      <c r="D28" s="1932">
        <f t="shared" si="9"/>
        <v>0</v>
      </c>
      <c r="E28" s="1932">
        <f t="shared" si="9"/>
        <v>0</v>
      </c>
      <c r="F28" s="1932">
        <f t="shared" si="9"/>
        <v>0</v>
      </c>
      <c r="G28" s="1932">
        <f t="shared" si="9"/>
        <v>0</v>
      </c>
      <c r="H28" s="1932">
        <f t="shared" si="9"/>
        <v>0</v>
      </c>
      <c r="I28" s="1932">
        <f t="shared" si="9"/>
        <v>2399</v>
      </c>
      <c r="J28" s="1932">
        <f t="shared" si="9"/>
        <v>0</v>
      </c>
      <c r="K28" s="1932">
        <f t="shared" si="9"/>
        <v>0</v>
      </c>
      <c r="L28" s="1932">
        <f t="shared" si="9"/>
        <v>0</v>
      </c>
      <c r="M28" s="1932">
        <f t="shared" si="9"/>
        <v>0</v>
      </c>
      <c r="N28" s="1932">
        <f t="shared" si="9"/>
        <v>0</v>
      </c>
      <c r="O28" s="1932">
        <f t="shared" si="9"/>
        <v>0</v>
      </c>
      <c r="P28" s="1932">
        <f t="shared" si="9"/>
        <v>2399</v>
      </c>
      <c r="Q28" s="1932">
        <f t="shared" si="9"/>
        <v>2399</v>
      </c>
      <c r="R28" s="1932">
        <f t="shared" si="9"/>
        <v>0</v>
      </c>
      <c r="S28" s="1932">
        <f t="shared" si="9"/>
        <v>0</v>
      </c>
      <c r="T28" s="1932">
        <f t="shared" si="9"/>
        <v>0</v>
      </c>
      <c r="U28" s="1932">
        <f>U30</f>
        <v>0</v>
      </c>
      <c r="V28" s="1933">
        <f>V30</f>
        <v>0</v>
      </c>
    </row>
    <row r="29" spans="1:22" x14ac:dyDescent="0.2">
      <c r="A29" s="1930"/>
      <c r="B29" s="1930"/>
      <c r="C29" s="1930"/>
      <c r="D29" s="1930"/>
      <c r="E29" s="1930"/>
      <c r="F29" s="1930"/>
      <c r="G29" s="1930"/>
      <c r="H29" s="1930"/>
      <c r="I29" s="1930"/>
      <c r="J29" s="1930"/>
      <c r="K29" s="1930"/>
      <c r="L29" s="1930"/>
      <c r="M29" s="1930"/>
      <c r="N29" s="1930"/>
      <c r="O29" s="1930"/>
      <c r="P29" s="1930"/>
      <c r="Q29" s="1930"/>
      <c r="R29" s="1930"/>
      <c r="S29" s="1930"/>
      <c r="T29" s="1930"/>
      <c r="U29" s="1930"/>
      <c r="V29" s="1935"/>
    </row>
    <row r="30" spans="1:22" x14ac:dyDescent="0.2">
      <c r="A30" s="1937">
        <f t="shared" ref="A30:A42" si="10">B30+F30+I30</f>
        <v>2399</v>
      </c>
      <c r="B30" s="1937">
        <f t="shared" ref="B30:B42" si="11">SUM(C30:E30)</f>
        <v>0</v>
      </c>
      <c r="C30" s="1937">
        <f t="shared" ref="C30:L30" si="12">SUM(C31:C42)</f>
        <v>0</v>
      </c>
      <c r="D30" s="1937">
        <f t="shared" si="12"/>
        <v>0</v>
      </c>
      <c r="E30" s="1937">
        <f t="shared" si="12"/>
        <v>0</v>
      </c>
      <c r="F30" s="1937">
        <f t="shared" si="12"/>
        <v>0</v>
      </c>
      <c r="G30" s="1937">
        <f t="shared" si="12"/>
        <v>0</v>
      </c>
      <c r="H30" s="1937">
        <f t="shared" si="12"/>
        <v>0</v>
      </c>
      <c r="I30" s="1937">
        <f t="shared" si="12"/>
        <v>2399</v>
      </c>
      <c r="J30" s="1937">
        <f t="shared" si="12"/>
        <v>0</v>
      </c>
      <c r="K30" s="1937">
        <f t="shared" si="12"/>
        <v>0</v>
      </c>
      <c r="L30" s="1937">
        <f t="shared" si="12"/>
        <v>0</v>
      </c>
      <c r="M30" s="1937">
        <f t="shared" ref="M30:V30" si="13">SUM(M31:M42)</f>
        <v>0</v>
      </c>
      <c r="N30" s="1937">
        <f t="shared" si="13"/>
        <v>0</v>
      </c>
      <c r="O30" s="1937">
        <f t="shared" si="13"/>
        <v>0</v>
      </c>
      <c r="P30" s="1937">
        <f t="shared" si="13"/>
        <v>2399</v>
      </c>
      <c r="Q30" s="1937">
        <f t="shared" si="13"/>
        <v>2399</v>
      </c>
      <c r="R30" s="1937">
        <f t="shared" si="13"/>
        <v>0</v>
      </c>
      <c r="S30" s="1937">
        <f t="shared" si="13"/>
        <v>0</v>
      </c>
      <c r="T30" s="1937">
        <f t="shared" si="13"/>
        <v>0</v>
      </c>
      <c r="U30" s="1937">
        <f t="shared" si="13"/>
        <v>0</v>
      </c>
      <c r="V30" s="1938">
        <f t="shared" si="13"/>
        <v>0</v>
      </c>
    </row>
    <row r="31" spans="1:22" x14ac:dyDescent="0.2">
      <c r="A31" s="1937">
        <f t="shared" si="10"/>
        <v>315</v>
      </c>
      <c r="B31" s="1937">
        <f t="shared" si="11"/>
        <v>0</v>
      </c>
      <c r="C31" s="1936"/>
      <c r="D31" s="1936"/>
      <c r="E31" s="1936"/>
      <c r="F31" s="1937">
        <f t="shared" ref="F31:F42" si="14">SUM(G31,H31)</f>
        <v>0</v>
      </c>
      <c r="G31" s="1936"/>
      <c r="H31" s="1936"/>
      <c r="I31" s="1937">
        <f>SUM(J31,M31,P31)</f>
        <v>315</v>
      </c>
      <c r="J31" s="1937">
        <f t="shared" ref="J31:J42" si="15">SUM(K31,L31)</f>
        <v>0</v>
      </c>
      <c r="K31" s="1936"/>
      <c r="L31" s="1936"/>
      <c r="M31" s="1937">
        <f t="shared" ref="M31:M42" si="16">SUM(N31,O31)</f>
        <v>0</v>
      </c>
      <c r="N31" s="1936"/>
      <c r="O31" s="1936"/>
      <c r="P31" s="1937">
        <f t="shared" ref="P31:P42" si="17">SUM(Q31,R31)</f>
        <v>315</v>
      </c>
      <c r="Q31" s="1936">
        <v>315</v>
      </c>
      <c r="R31" s="1936"/>
      <c r="S31" s="1936"/>
      <c r="T31" s="1936"/>
      <c r="U31" s="1936"/>
      <c r="V31" s="1939"/>
    </row>
    <row r="32" spans="1:22" x14ac:dyDescent="0.2">
      <c r="A32" s="1937">
        <f t="shared" si="10"/>
        <v>208</v>
      </c>
      <c r="B32" s="1937">
        <f t="shared" si="11"/>
        <v>0</v>
      </c>
      <c r="C32" s="1936"/>
      <c r="D32" s="1936"/>
      <c r="E32" s="1936"/>
      <c r="F32" s="1937">
        <f t="shared" si="14"/>
        <v>0</v>
      </c>
      <c r="G32" s="1936"/>
      <c r="H32" s="1936"/>
      <c r="I32" s="1937">
        <f t="shared" ref="I32:I42" si="18">SUM(J32,M32,P32)</f>
        <v>208</v>
      </c>
      <c r="J32" s="1937">
        <f t="shared" si="15"/>
        <v>0</v>
      </c>
      <c r="K32" s="1936"/>
      <c r="L32" s="1936"/>
      <c r="M32" s="1937">
        <f t="shared" si="16"/>
        <v>0</v>
      </c>
      <c r="N32" s="1936"/>
      <c r="O32" s="1936"/>
      <c r="P32" s="1937">
        <f t="shared" si="17"/>
        <v>208</v>
      </c>
      <c r="Q32" s="1936">
        <v>208</v>
      </c>
      <c r="R32" s="1936"/>
      <c r="S32" s="1936"/>
      <c r="T32" s="1936"/>
      <c r="U32" s="1936"/>
      <c r="V32" s="1939"/>
    </row>
    <row r="33" spans="1:22" x14ac:dyDescent="0.2">
      <c r="A33" s="1937">
        <f t="shared" si="10"/>
        <v>260</v>
      </c>
      <c r="B33" s="1937">
        <f t="shared" si="11"/>
        <v>0</v>
      </c>
      <c r="C33" s="1936"/>
      <c r="D33" s="1936"/>
      <c r="E33" s="1936"/>
      <c r="F33" s="1937">
        <f t="shared" si="14"/>
        <v>0</v>
      </c>
      <c r="G33" s="1936"/>
      <c r="H33" s="1936"/>
      <c r="I33" s="1937">
        <f t="shared" si="18"/>
        <v>260</v>
      </c>
      <c r="J33" s="1937">
        <f t="shared" si="15"/>
        <v>0</v>
      </c>
      <c r="K33" s="1936"/>
      <c r="L33" s="1936"/>
      <c r="M33" s="1937">
        <f t="shared" si="16"/>
        <v>0</v>
      </c>
      <c r="N33" s="1936"/>
      <c r="O33" s="1936"/>
      <c r="P33" s="1937">
        <f t="shared" si="17"/>
        <v>260</v>
      </c>
      <c r="Q33" s="1936">
        <v>260</v>
      </c>
      <c r="R33" s="1936"/>
      <c r="S33" s="1936"/>
      <c r="T33" s="1936"/>
      <c r="U33" s="1936"/>
      <c r="V33" s="1939"/>
    </row>
    <row r="34" spans="1:22" x14ac:dyDescent="0.2">
      <c r="A34" s="1937">
        <f t="shared" si="10"/>
        <v>305</v>
      </c>
      <c r="B34" s="1937">
        <f t="shared" si="11"/>
        <v>0</v>
      </c>
      <c r="C34" s="1936"/>
      <c r="D34" s="1936"/>
      <c r="E34" s="1936"/>
      <c r="F34" s="1937">
        <f t="shared" si="14"/>
        <v>0</v>
      </c>
      <c r="G34" s="1936"/>
      <c r="H34" s="1936"/>
      <c r="I34" s="1937">
        <f t="shared" si="18"/>
        <v>305</v>
      </c>
      <c r="J34" s="1937">
        <f t="shared" si="15"/>
        <v>0</v>
      </c>
      <c r="K34" s="1936"/>
      <c r="L34" s="1936"/>
      <c r="M34" s="1937">
        <f t="shared" si="16"/>
        <v>0</v>
      </c>
      <c r="N34" s="1936"/>
      <c r="O34" s="1936"/>
      <c r="P34" s="1937">
        <f t="shared" si="17"/>
        <v>305</v>
      </c>
      <c r="Q34" s="1936">
        <v>305</v>
      </c>
      <c r="R34" s="1936"/>
      <c r="S34" s="1936"/>
      <c r="T34" s="1936"/>
      <c r="U34" s="1936"/>
      <c r="V34" s="1939"/>
    </row>
    <row r="35" spans="1:22" x14ac:dyDescent="0.2">
      <c r="A35" s="1937">
        <f t="shared" si="10"/>
        <v>181</v>
      </c>
      <c r="B35" s="1937">
        <f t="shared" si="11"/>
        <v>0</v>
      </c>
      <c r="C35" s="1936"/>
      <c r="D35" s="1936"/>
      <c r="E35" s="1936"/>
      <c r="F35" s="1937">
        <f t="shared" si="14"/>
        <v>0</v>
      </c>
      <c r="G35" s="1936"/>
      <c r="H35" s="1936"/>
      <c r="I35" s="1937">
        <f t="shared" si="18"/>
        <v>181</v>
      </c>
      <c r="J35" s="1937">
        <f t="shared" si="15"/>
        <v>0</v>
      </c>
      <c r="K35" s="1936"/>
      <c r="L35" s="1936"/>
      <c r="M35" s="1937">
        <f t="shared" si="16"/>
        <v>0</v>
      </c>
      <c r="N35" s="1936"/>
      <c r="O35" s="1936"/>
      <c r="P35" s="1937">
        <f t="shared" si="17"/>
        <v>181</v>
      </c>
      <c r="Q35" s="1936">
        <v>181</v>
      </c>
      <c r="R35" s="1936"/>
      <c r="S35" s="1936"/>
      <c r="T35" s="1936"/>
      <c r="U35" s="1936"/>
      <c r="V35" s="1939"/>
    </row>
    <row r="36" spans="1:22" x14ac:dyDescent="0.2">
      <c r="A36" s="1937">
        <f t="shared" si="10"/>
        <v>194</v>
      </c>
      <c r="B36" s="1937">
        <f t="shared" si="11"/>
        <v>0</v>
      </c>
      <c r="C36" s="1936"/>
      <c r="D36" s="1936"/>
      <c r="E36" s="1936"/>
      <c r="F36" s="1937">
        <f t="shared" si="14"/>
        <v>0</v>
      </c>
      <c r="G36" s="1936"/>
      <c r="H36" s="1936"/>
      <c r="I36" s="1937">
        <f t="shared" si="18"/>
        <v>194</v>
      </c>
      <c r="J36" s="1937">
        <f t="shared" si="15"/>
        <v>0</v>
      </c>
      <c r="K36" s="1936"/>
      <c r="L36" s="1936"/>
      <c r="M36" s="1937">
        <f t="shared" si="16"/>
        <v>0</v>
      </c>
      <c r="N36" s="1936"/>
      <c r="O36" s="1936"/>
      <c r="P36" s="1937">
        <f t="shared" si="17"/>
        <v>194</v>
      </c>
      <c r="Q36" s="1936">
        <v>194</v>
      </c>
      <c r="R36" s="1936"/>
      <c r="S36" s="1936"/>
      <c r="T36" s="1936"/>
      <c r="U36" s="1936"/>
      <c r="V36" s="1939"/>
    </row>
    <row r="37" spans="1:22" x14ac:dyDescent="0.2">
      <c r="A37" s="1937">
        <f t="shared" si="10"/>
        <v>220</v>
      </c>
      <c r="B37" s="1937">
        <f t="shared" si="11"/>
        <v>0</v>
      </c>
      <c r="C37" s="1936"/>
      <c r="D37" s="1936"/>
      <c r="E37" s="1936"/>
      <c r="F37" s="1937">
        <f t="shared" si="14"/>
        <v>0</v>
      </c>
      <c r="G37" s="1936"/>
      <c r="H37" s="1936"/>
      <c r="I37" s="1937">
        <f t="shared" si="18"/>
        <v>220</v>
      </c>
      <c r="J37" s="1937">
        <f t="shared" si="15"/>
        <v>0</v>
      </c>
      <c r="K37" s="1936"/>
      <c r="L37" s="1936"/>
      <c r="M37" s="1937">
        <f t="shared" si="16"/>
        <v>0</v>
      </c>
      <c r="N37" s="1936"/>
      <c r="O37" s="1936"/>
      <c r="P37" s="1937">
        <f t="shared" si="17"/>
        <v>220</v>
      </c>
      <c r="Q37" s="1936">
        <v>220</v>
      </c>
      <c r="R37" s="1936"/>
      <c r="S37" s="1936"/>
      <c r="T37" s="1936"/>
      <c r="U37" s="1936"/>
      <c r="V37" s="1939"/>
    </row>
    <row r="38" spans="1:22" x14ac:dyDescent="0.2">
      <c r="A38" s="1937">
        <f t="shared" si="10"/>
        <v>134</v>
      </c>
      <c r="B38" s="1937">
        <f t="shared" si="11"/>
        <v>0</v>
      </c>
      <c r="C38" s="1936"/>
      <c r="D38" s="1936"/>
      <c r="E38" s="1936"/>
      <c r="F38" s="1937">
        <f t="shared" si="14"/>
        <v>0</v>
      </c>
      <c r="G38" s="1936"/>
      <c r="H38" s="1936"/>
      <c r="I38" s="1937">
        <f t="shared" si="18"/>
        <v>134</v>
      </c>
      <c r="J38" s="1937">
        <f t="shared" si="15"/>
        <v>0</v>
      </c>
      <c r="K38" s="1936"/>
      <c r="L38" s="1936"/>
      <c r="M38" s="1937">
        <f t="shared" si="16"/>
        <v>0</v>
      </c>
      <c r="N38" s="1936"/>
      <c r="O38" s="1936"/>
      <c r="P38" s="1937">
        <f t="shared" si="17"/>
        <v>134</v>
      </c>
      <c r="Q38" s="1936">
        <v>134</v>
      </c>
      <c r="R38" s="1936"/>
      <c r="S38" s="1936"/>
      <c r="T38" s="1936"/>
      <c r="U38" s="1936"/>
      <c r="V38" s="1939"/>
    </row>
    <row r="39" spans="1:22" x14ac:dyDescent="0.2">
      <c r="A39" s="1937">
        <f t="shared" si="10"/>
        <v>130</v>
      </c>
      <c r="B39" s="1937">
        <f t="shared" si="11"/>
        <v>0</v>
      </c>
      <c r="C39" s="1936"/>
      <c r="D39" s="1936"/>
      <c r="E39" s="1936"/>
      <c r="F39" s="1937">
        <f t="shared" si="14"/>
        <v>0</v>
      </c>
      <c r="G39" s="1936"/>
      <c r="H39" s="1936"/>
      <c r="I39" s="1937">
        <f t="shared" si="18"/>
        <v>130</v>
      </c>
      <c r="J39" s="1937">
        <f t="shared" si="15"/>
        <v>0</v>
      </c>
      <c r="K39" s="1936"/>
      <c r="L39" s="1936"/>
      <c r="M39" s="1937">
        <f t="shared" si="16"/>
        <v>0</v>
      </c>
      <c r="N39" s="1936"/>
      <c r="O39" s="1936"/>
      <c r="P39" s="1937">
        <f t="shared" si="17"/>
        <v>130</v>
      </c>
      <c r="Q39" s="1936">
        <v>130</v>
      </c>
      <c r="R39" s="1936"/>
      <c r="S39" s="1936"/>
      <c r="T39" s="1936"/>
      <c r="U39" s="1936"/>
      <c r="V39" s="1939"/>
    </row>
    <row r="40" spans="1:22" x14ac:dyDescent="0.2">
      <c r="A40" s="1937">
        <f t="shared" si="10"/>
        <v>113</v>
      </c>
      <c r="B40" s="1937">
        <f t="shared" si="11"/>
        <v>0</v>
      </c>
      <c r="C40" s="1936"/>
      <c r="D40" s="1936"/>
      <c r="E40" s="1936"/>
      <c r="F40" s="1937">
        <f t="shared" si="14"/>
        <v>0</v>
      </c>
      <c r="G40" s="1936"/>
      <c r="H40" s="1936"/>
      <c r="I40" s="1937">
        <f t="shared" si="18"/>
        <v>113</v>
      </c>
      <c r="J40" s="1937">
        <f t="shared" si="15"/>
        <v>0</v>
      </c>
      <c r="K40" s="1936"/>
      <c r="L40" s="1936"/>
      <c r="M40" s="1937">
        <f t="shared" si="16"/>
        <v>0</v>
      </c>
      <c r="N40" s="1936"/>
      <c r="O40" s="1936"/>
      <c r="P40" s="1937">
        <f t="shared" si="17"/>
        <v>113</v>
      </c>
      <c r="Q40" s="1936">
        <v>113</v>
      </c>
      <c r="R40" s="1936"/>
      <c r="S40" s="1936"/>
      <c r="T40" s="1936"/>
      <c r="U40" s="1936"/>
      <c r="V40" s="1939"/>
    </row>
    <row r="41" spans="1:22" x14ac:dyDescent="0.2">
      <c r="A41" s="1937">
        <f t="shared" si="10"/>
        <v>90</v>
      </c>
      <c r="B41" s="1937">
        <f t="shared" si="11"/>
        <v>0</v>
      </c>
      <c r="C41" s="1936"/>
      <c r="D41" s="1936"/>
      <c r="E41" s="1936"/>
      <c r="F41" s="1937">
        <f t="shared" si="14"/>
        <v>0</v>
      </c>
      <c r="G41" s="1936"/>
      <c r="H41" s="1936"/>
      <c r="I41" s="1937">
        <f t="shared" si="18"/>
        <v>90</v>
      </c>
      <c r="J41" s="1937">
        <f t="shared" si="15"/>
        <v>0</v>
      </c>
      <c r="K41" s="1936"/>
      <c r="L41" s="1936"/>
      <c r="M41" s="1937">
        <f t="shared" si="16"/>
        <v>0</v>
      </c>
      <c r="N41" s="1936"/>
      <c r="O41" s="1936"/>
      <c r="P41" s="1937">
        <f t="shared" si="17"/>
        <v>90</v>
      </c>
      <c r="Q41" s="1936">
        <v>90</v>
      </c>
      <c r="R41" s="1936"/>
      <c r="S41" s="1936"/>
      <c r="T41" s="1936"/>
      <c r="U41" s="1936"/>
      <c r="V41" s="1939"/>
    </row>
    <row r="42" spans="1:22" x14ac:dyDescent="0.2">
      <c r="A42" s="1937">
        <f t="shared" si="10"/>
        <v>249</v>
      </c>
      <c r="B42" s="1937">
        <f t="shared" si="11"/>
        <v>0</v>
      </c>
      <c r="C42" s="1936"/>
      <c r="D42" s="1936"/>
      <c r="E42" s="1936"/>
      <c r="F42" s="1937">
        <f t="shared" si="14"/>
        <v>0</v>
      </c>
      <c r="G42" s="1936"/>
      <c r="H42" s="1936"/>
      <c r="I42" s="1937">
        <f t="shared" si="18"/>
        <v>249</v>
      </c>
      <c r="J42" s="1937">
        <f t="shared" si="15"/>
        <v>0</v>
      </c>
      <c r="K42" s="1936"/>
      <c r="L42" s="1936"/>
      <c r="M42" s="1937">
        <f t="shared" si="16"/>
        <v>0</v>
      </c>
      <c r="N42" s="1936"/>
      <c r="O42" s="1936"/>
      <c r="P42" s="1937">
        <f t="shared" si="17"/>
        <v>249</v>
      </c>
      <c r="Q42" s="1936">
        <v>249</v>
      </c>
      <c r="R42" s="1936"/>
      <c r="S42" s="1936"/>
      <c r="T42" s="1936"/>
      <c r="U42" s="1936"/>
      <c r="V42" s="193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655" customWidth="1"/>
    <col min="2" max="2" width="18" style="1654" customWidth="1"/>
    <col min="3" max="5" width="19.85546875" style="1654" customWidth="1"/>
    <col min="6" max="6" width="17.85546875" style="1655" customWidth="1"/>
    <col min="7" max="7" width="20.85546875" style="1655" customWidth="1"/>
    <col min="8" max="8" width="13.7109375" style="1655" customWidth="1"/>
    <col min="9" max="22" width="9.140625" style="1655"/>
    <col min="23" max="16384" width="9.140625" style="1656"/>
  </cols>
  <sheetData>
    <row r="1" spans="1:22" x14ac:dyDescent="0.25">
      <c r="A1" s="1653"/>
      <c r="F1" s="6523" t="s">
        <v>1668</v>
      </c>
      <c r="G1" s="6523"/>
    </row>
    <row r="2" spans="1:22" x14ac:dyDescent="0.25">
      <c r="A2" s="1653"/>
      <c r="F2" s="1891"/>
      <c r="G2" s="1891"/>
    </row>
    <row r="3" spans="1:22" x14ac:dyDescent="0.25">
      <c r="A3" s="5639" t="s">
        <v>1517</v>
      </c>
      <c r="B3" s="5639"/>
      <c r="C3" s="5639"/>
      <c r="D3" s="5639"/>
      <c r="E3" s="5639"/>
      <c r="F3" s="5639"/>
      <c r="G3" s="5639"/>
    </row>
    <row r="4" spans="1:22" x14ac:dyDescent="0.25">
      <c r="A4" s="1655" t="s">
        <v>1678</v>
      </c>
    </row>
    <row r="5" spans="1:22" x14ac:dyDescent="0.25">
      <c r="A5" s="6521" t="s">
        <v>1519</v>
      </c>
      <c r="B5" s="6522" t="s">
        <v>1520</v>
      </c>
      <c r="C5" s="5145" t="s">
        <v>366</v>
      </c>
      <c r="D5" s="5146"/>
      <c r="E5" s="5146"/>
      <c r="F5" s="5146"/>
      <c r="G5" s="5147"/>
    </row>
    <row r="6" spans="1:22" s="1660" customFormat="1" ht="31.5" x14ac:dyDescent="0.2">
      <c r="A6" s="6521"/>
      <c r="B6" s="6522"/>
      <c r="C6" s="1666" t="s">
        <v>1525</v>
      </c>
      <c r="D6" s="1666" t="s">
        <v>1676</v>
      </c>
      <c r="E6" s="1666" t="s">
        <v>1677</v>
      </c>
      <c r="F6" s="1589" t="s">
        <v>118</v>
      </c>
      <c r="G6" s="1589" t="s">
        <v>1521</v>
      </c>
      <c r="H6" s="1659"/>
      <c r="I6" s="1659"/>
      <c r="J6" s="1659"/>
      <c r="K6" s="1659"/>
      <c r="L6" s="1659"/>
      <c r="M6" s="1659"/>
      <c r="N6" s="1659"/>
      <c r="O6" s="1659"/>
      <c r="P6" s="1659"/>
      <c r="Q6" s="1659"/>
      <c r="R6" s="1659"/>
      <c r="S6" s="1659"/>
      <c r="T6" s="1659"/>
      <c r="U6" s="1659"/>
      <c r="V6" s="1659"/>
    </row>
    <row r="7" spans="1:22" x14ac:dyDescent="0.25">
      <c r="A7" s="1661" t="s">
        <v>524</v>
      </c>
      <c r="B7" s="1662" t="s">
        <v>899</v>
      </c>
      <c r="C7" s="1663">
        <v>1832.95</v>
      </c>
      <c r="D7" s="1663">
        <v>1994.9</v>
      </c>
      <c r="E7" s="1663">
        <f>D7</f>
        <v>1994.9</v>
      </c>
      <c r="F7" s="1663">
        <v>1985.51</v>
      </c>
      <c r="G7" s="1664">
        <f>F7</f>
        <v>1985.51</v>
      </c>
      <c r="H7" s="1654">
        <f>D7-E7</f>
        <v>0</v>
      </c>
    </row>
    <row r="8" spans="1:22" x14ac:dyDescent="0.25">
      <c r="A8" s="1661" t="s">
        <v>1522</v>
      </c>
      <c r="B8" s="1662" t="s">
        <v>899</v>
      </c>
      <c r="C8" s="1663">
        <v>0</v>
      </c>
      <c r="D8" s="1663">
        <v>0</v>
      </c>
      <c r="E8" s="1663">
        <f t="shared" ref="E8:E11" si="0">D8</f>
        <v>0</v>
      </c>
      <c r="F8" s="1663">
        <v>0</v>
      </c>
      <c r="G8" s="1664">
        <v>0</v>
      </c>
      <c r="H8" s="1654">
        <f t="shared" ref="H8:H12" si="1">D8-E8</f>
        <v>0</v>
      </c>
    </row>
    <row r="9" spans="1:22" x14ac:dyDescent="0.25">
      <c r="A9" s="1661" t="s">
        <v>1523</v>
      </c>
      <c r="B9" s="1662" t="s">
        <v>899</v>
      </c>
      <c r="C9" s="1663">
        <f>вода!BE53</f>
        <v>1186.1707105587886</v>
      </c>
      <c r="D9" s="1663">
        <v>2003.2</v>
      </c>
      <c r="E9" s="1663">
        <f>вод.налог!D53</f>
        <v>1205.1155031133251</v>
      </c>
      <c r="F9" s="1663">
        <v>1535.84</v>
      </c>
      <c r="G9" s="1664">
        <f>вод.налог!V39</f>
        <v>1426.7512821041175</v>
      </c>
      <c r="H9" s="1654">
        <f t="shared" si="1"/>
        <v>798.08449688667497</v>
      </c>
    </row>
    <row r="10" spans="1:22" x14ac:dyDescent="0.25">
      <c r="A10" s="1661" t="s">
        <v>1524</v>
      </c>
      <c r="B10" s="1662" t="s">
        <v>899</v>
      </c>
      <c r="C10" s="1663">
        <v>0</v>
      </c>
      <c r="D10" s="1663">
        <v>0</v>
      </c>
      <c r="E10" s="1663">
        <f t="shared" si="0"/>
        <v>0</v>
      </c>
      <c r="F10" s="1663">
        <v>0</v>
      </c>
      <c r="G10" s="1664">
        <v>0</v>
      </c>
      <c r="H10" s="1654">
        <f t="shared" si="1"/>
        <v>0</v>
      </c>
    </row>
    <row r="11" spans="1:22" x14ac:dyDescent="0.25">
      <c r="A11" s="1661" t="s">
        <v>522</v>
      </c>
      <c r="B11" s="1662" t="s">
        <v>899</v>
      </c>
      <c r="C11" s="1663">
        <f>вода!BE54</f>
        <v>117.63502835085798</v>
      </c>
      <c r="D11" s="1663">
        <v>91.1</v>
      </c>
      <c r="E11" s="1663">
        <f t="shared" si="0"/>
        <v>91.1</v>
      </c>
      <c r="F11" s="1663">
        <v>90.67</v>
      </c>
      <c r="G11" s="1664">
        <v>90.67</v>
      </c>
      <c r="H11" s="1654">
        <f t="shared" si="1"/>
        <v>0</v>
      </c>
    </row>
    <row r="12" spans="1:22" x14ac:dyDescent="0.25">
      <c r="A12" s="1661" t="s">
        <v>614</v>
      </c>
      <c r="B12" s="1662"/>
      <c r="C12" s="1890">
        <f>SUM(C7:C11)</f>
        <v>3136.7557389096469</v>
      </c>
      <c r="D12" s="1890">
        <f t="shared" ref="D12:E12" si="2">SUM(D7:D11)</f>
        <v>4089.2000000000003</v>
      </c>
      <c r="E12" s="1890">
        <f t="shared" si="2"/>
        <v>3291.1155031133253</v>
      </c>
      <c r="F12" s="1890">
        <f>SUM(F7:F11)</f>
        <v>3612.02</v>
      </c>
      <c r="G12" s="1890">
        <f>SUM(G7:G11)</f>
        <v>3502.9312821041176</v>
      </c>
      <c r="H12" s="1654">
        <f t="shared" si="1"/>
        <v>798.08449688667497</v>
      </c>
    </row>
    <row r="14" spans="1:22" x14ac:dyDescent="0.25">
      <c r="A14" s="6521" t="s">
        <v>1519</v>
      </c>
      <c r="B14" s="6522" t="s">
        <v>1520</v>
      </c>
      <c r="C14" s="5145" t="s">
        <v>25</v>
      </c>
      <c r="D14" s="5146"/>
      <c r="E14" s="5146"/>
      <c r="F14" s="5146"/>
      <c r="G14" s="5147"/>
    </row>
    <row r="15" spans="1:22" ht="31.5" x14ac:dyDescent="0.25">
      <c r="A15" s="6521"/>
      <c r="B15" s="6522"/>
      <c r="C15" s="1666" t="s">
        <v>1525</v>
      </c>
      <c r="D15" s="1666" t="s">
        <v>1676</v>
      </c>
      <c r="E15" s="1666" t="s">
        <v>1677</v>
      </c>
      <c r="F15" s="1589" t="s">
        <v>118</v>
      </c>
      <c r="G15" s="1589" t="s">
        <v>1521</v>
      </c>
    </row>
    <row r="16" spans="1:22" x14ac:dyDescent="0.25">
      <c r="A16" s="1661" t="s">
        <v>524</v>
      </c>
      <c r="B16" s="1662" t="s">
        <v>899</v>
      </c>
      <c r="C16" s="1663">
        <v>9.84</v>
      </c>
      <c r="D16" s="1663">
        <v>1.34</v>
      </c>
      <c r="E16" s="1663">
        <v>1.34</v>
      </c>
      <c r="F16" s="1663">
        <v>10.73</v>
      </c>
      <c r="G16" s="1664">
        <v>10.73</v>
      </c>
    </row>
    <row r="17" spans="1:7" x14ac:dyDescent="0.25">
      <c r="A17" s="1661" t="s">
        <v>1522</v>
      </c>
      <c r="B17" s="1662" t="s">
        <v>899</v>
      </c>
      <c r="C17" s="1663">
        <v>0</v>
      </c>
      <c r="D17" s="1663">
        <v>0</v>
      </c>
      <c r="E17" s="1663">
        <v>0</v>
      </c>
      <c r="F17" s="1663">
        <v>0</v>
      </c>
      <c r="G17" s="1664">
        <v>0</v>
      </c>
    </row>
    <row r="18" spans="1:7" x14ac:dyDescent="0.25">
      <c r="A18" s="1661" t="s">
        <v>1523</v>
      </c>
      <c r="B18" s="1662" t="s">
        <v>899</v>
      </c>
      <c r="C18" s="1663">
        <v>7.3</v>
      </c>
      <c r="D18" s="1663">
        <v>1.35</v>
      </c>
      <c r="E18" s="1663">
        <f>вод.налог!D52</f>
        <v>0.81840000000000002</v>
      </c>
      <c r="F18" s="1663">
        <v>8.3000000000000007</v>
      </c>
      <c r="G18" s="1664">
        <f>вод.налог!V38</f>
        <v>9.6711300000000016</v>
      </c>
    </row>
    <row r="19" spans="1:7" x14ac:dyDescent="0.25">
      <c r="A19" s="1661" t="s">
        <v>1524</v>
      </c>
      <c r="B19" s="1662" t="s">
        <v>899</v>
      </c>
      <c r="C19" s="1663">
        <v>0</v>
      </c>
      <c r="D19" s="1663">
        <v>0</v>
      </c>
      <c r="E19" s="1663">
        <v>0</v>
      </c>
      <c r="F19" s="1663">
        <v>0</v>
      </c>
      <c r="G19" s="1664">
        <v>0</v>
      </c>
    </row>
    <row r="20" spans="1:7" x14ac:dyDescent="0.25">
      <c r="A20" s="1661" t="s">
        <v>522</v>
      </c>
      <c r="B20" s="1662" t="s">
        <v>899</v>
      </c>
      <c r="C20" s="1663">
        <v>0.48</v>
      </c>
      <c r="D20" s="1663">
        <v>0.06</v>
      </c>
      <c r="E20" s="1663">
        <v>0.06</v>
      </c>
      <c r="F20" s="1663">
        <v>0.49</v>
      </c>
      <c r="G20" s="1664">
        <v>0.49</v>
      </c>
    </row>
    <row r="21" spans="1:7" x14ac:dyDescent="0.25">
      <c r="A21" s="1661" t="s">
        <v>614</v>
      </c>
      <c r="B21" s="1662"/>
      <c r="C21" s="1890">
        <f>SUM(C16:C20)</f>
        <v>17.62</v>
      </c>
      <c r="D21" s="1915">
        <f t="shared" ref="D21:E21" si="3">SUM(D16:D20)</f>
        <v>2.7500000000000004</v>
      </c>
      <c r="E21" s="1915">
        <f t="shared" si="3"/>
        <v>2.2184000000000004</v>
      </c>
      <c r="F21" s="1890">
        <f>SUM(F16:F20)</f>
        <v>19.52</v>
      </c>
      <c r="G21" s="1890">
        <f>SUM(G16:G20)</f>
        <v>20.89113</v>
      </c>
    </row>
    <row r="23" spans="1:7" x14ac:dyDescent="0.25">
      <c r="A23" s="6521" t="s">
        <v>1519</v>
      </c>
      <c r="B23" s="6522" t="s">
        <v>1520</v>
      </c>
      <c r="C23" s="5145" t="s">
        <v>47</v>
      </c>
      <c r="D23" s="5146"/>
      <c r="E23" s="5146"/>
      <c r="F23" s="5146"/>
      <c r="G23" s="5147"/>
    </row>
    <row r="24" spans="1:7" ht="31.5" x14ac:dyDescent="0.25">
      <c r="A24" s="6521"/>
      <c r="B24" s="6522"/>
      <c r="C24" s="1666" t="s">
        <v>1525</v>
      </c>
      <c r="D24" s="1666" t="s">
        <v>1676</v>
      </c>
      <c r="E24" s="1666" t="s">
        <v>1677</v>
      </c>
      <c r="F24" s="1589" t="s">
        <v>118</v>
      </c>
      <c r="G24" s="1589" t="s">
        <v>1521</v>
      </c>
    </row>
    <row r="25" spans="1:7" x14ac:dyDescent="0.25">
      <c r="A25" s="1661" t="s">
        <v>524</v>
      </c>
      <c r="B25" s="1662" t="s">
        <v>899</v>
      </c>
      <c r="C25" s="1663">
        <v>1433.46</v>
      </c>
      <c r="D25" s="1663">
        <v>1321.85</v>
      </c>
      <c r="E25" s="1663">
        <f>D25</f>
        <v>1321.85</v>
      </c>
      <c r="F25" s="1663">
        <v>1321.42</v>
      </c>
      <c r="G25" s="1664">
        <v>1321.42</v>
      </c>
    </row>
    <row r="26" spans="1:7" x14ac:dyDescent="0.25">
      <c r="A26" s="1661" t="s">
        <v>1522</v>
      </c>
      <c r="B26" s="1662" t="s">
        <v>899</v>
      </c>
      <c r="C26" s="1663">
        <v>220.1</v>
      </c>
      <c r="D26" s="1663">
        <v>2252.29</v>
      </c>
      <c r="E26" s="1663">
        <f>НВОС!C16</f>
        <v>98.513376816778745</v>
      </c>
      <c r="F26" s="1663">
        <v>348.31</v>
      </c>
      <c r="G26" s="1664">
        <f>НВОС!X41/1000</f>
        <v>151.65444009198529</v>
      </c>
    </row>
    <row r="27" spans="1:7" x14ac:dyDescent="0.25">
      <c r="A27" s="1661" t="s">
        <v>1523</v>
      </c>
      <c r="B27" s="1662" t="s">
        <v>899</v>
      </c>
      <c r="C27" s="1663">
        <v>0</v>
      </c>
      <c r="D27" s="1663">
        <v>0</v>
      </c>
      <c r="E27" s="1663">
        <v>0</v>
      </c>
      <c r="F27" s="1663">
        <v>0</v>
      </c>
      <c r="G27" s="1664"/>
    </row>
    <row r="28" spans="1:7" x14ac:dyDescent="0.25">
      <c r="A28" s="1661" t="s">
        <v>1524</v>
      </c>
      <c r="B28" s="1662" t="s">
        <v>899</v>
      </c>
      <c r="C28" s="1663">
        <v>0</v>
      </c>
      <c r="D28" s="1663">
        <v>0</v>
      </c>
      <c r="E28" s="1663">
        <v>0</v>
      </c>
      <c r="F28" s="1663">
        <v>0</v>
      </c>
      <c r="G28" s="1664"/>
    </row>
    <row r="29" spans="1:7" x14ac:dyDescent="0.25">
      <c r="A29" s="1661" t="s">
        <v>522</v>
      </c>
      <c r="B29" s="1662" t="s">
        <v>899</v>
      </c>
      <c r="C29" s="1663">
        <v>23.21</v>
      </c>
      <c r="D29" s="1663">
        <v>29.49</v>
      </c>
      <c r="E29" s="1663">
        <f>D29</f>
        <v>29.49</v>
      </c>
      <c r="F29" s="1663">
        <v>29.69</v>
      </c>
      <c r="G29" s="1664">
        <v>29.69</v>
      </c>
    </row>
    <row r="30" spans="1:7" x14ac:dyDescent="0.25">
      <c r="A30" s="1661" t="s">
        <v>614</v>
      </c>
      <c r="B30" s="1662"/>
      <c r="C30" s="1890">
        <f>SUM(C25:C29)</f>
        <v>1676.77</v>
      </c>
      <c r="D30" s="1915">
        <f t="shared" ref="D30:E30" si="4">SUM(D25:D29)</f>
        <v>3603.6299999999997</v>
      </c>
      <c r="E30" s="1915">
        <f t="shared" si="4"/>
        <v>1449.8533768167786</v>
      </c>
      <c r="F30" s="1890">
        <f>SUM(F25:F29)</f>
        <v>1699.42</v>
      </c>
      <c r="G30" s="1890">
        <f>SUM(G25:G29)</f>
        <v>1502.7644400919853</v>
      </c>
    </row>
    <row r="32" spans="1:7" x14ac:dyDescent="0.25">
      <c r="A32" s="6521" t="s">
        <v>1519</v>
      </c>
      <c r="B32" s="6522" t="s">
        <v>1520</v>
      </c>
      <c r="C32" s="5145" t="s">
        <v>1550</v>
      </c>
      <c r="D32" s="5146"/>
      <c r="E32" s="5146"/>
      <c r="F32" s="5146"/>
      <c r="G32" s="5147"/>
    </row>
    <row r="33" spans="1:7" ht="47.25" x14ac:dyDescent="0.25">
      <c r="A33" s="6521"/>
      <c r="B33" s="6522"/>
      <c r="C33" s="1666" t="s">
        <v>1525</v>
      </c>
      <c r="D33" s="1666" t="s">
        <v>1676</v>
      </c>
      <c r="E33" s="1666" t="s">
        <v>1677</v>
      </c>
      <c r="F33" s="1589" t="s">
        <v>118</v>
      </c>
      <c r="G33" s="1589" t="s">
        <v>1521</v>
      </c>
    </row>
    <row r="34" spans="1:7" x14ac:dyDescent="0.25">
      <c r="A34" s="1661" t="s">
        <v>524</v>
      </c>
      <c r="B34" s="1662" t="s">
        <v>899</v>
      </c>
      <c r="C34" s="1663"/>
      <c r="D34" s="1663">
        <v>8.98</v>
      </c>
      <c r="E34" s="1663">
        <f>8.98</f>
        <v>8.98</v>
      </c>
      <c r="F34" s="1663">
        <v>9.41</v>
      </c>
      <c r="G34" s="1664">
        <v>9.41</v>
      </c>
    </row>
    <row r="35" spans="1:7" x14ac:dyDescent="0.25">
      <c r="A35" s="1661" t="s">
        <v>1522</v>
      </c>
      <c r="B35" s="1662" t="s">
        <v>899</v>
      </c>
      <c r="C35" s="1663"/>
      <c r="D35" s="1663">
        <v>0</v>
      </c>
      <c r="E35" s="1663">
        <f>НВОС!C17</f>
        <v>0.66899318322124657</v>
      </c>
      <c r="F35" s="1663">
        <v>0</v>
      </c>
      <c r="G35" s="1664">
        <f>НВОС!X42/1000</f>
        <v>1.079892297868617</v>
      </c>
    </row>
    <row r="36" spans="1:7" x14ac:dyDescent="0.25">
      <c r="A36" s="1661" t="s">
        <v>1523</v>
      </c>
      <c r="B36" s="1662" t="s">
        <v>899</v>
      </c>
      <c r="C36" s="1663"/>
      <c r="D36" s="1663">
        <v>0</v>
      </c>
      <c r="E36" s="1663">
        <v>0</v>
      </c>
      <c r="F36" s="1663">
        <v>0</v>
      </c>
      <c r="G36" s="1664">
        <v>0</v>
      </c>
    </row>
    <row r="37" spans="1:7" x14ac:dyDescent="0.25">
      <c r="A37" s="1661" t="s">
        <v>1524</v>
      </c>
      <c r="B37" s="1662" t="s">
        <v>899</v>
      </c>
      <c r="C37" s="1663"/>
      <c r="D37" s="1663">
        <v>0</v>
      </c>
      <c r="E37" s="1663">
        <v>0</v>
      </c>
      <c r="F37" s="1663">
        <v>0</v>
      </c>
      <c r="G37" s="1664">
        <v>0</v>
      </c>
    </row>
    <row r="38" spans="1:7" x14ac:dyDescent="0.25">
      <c r="A38" s="1661" t="s">
        <v>522</v>
      </c>
      <c r="B38" s="1662" t="s">
        <v>899</v>
      </c>
      <c r="C38" s="1663"/>
      <c r="D38" s="1663">
        <v>0.2</v>
      </c>
      <c r="E38" s="1663">
        <v>0.2</v>
      </c>
      <c r="F38" s="1663">
        <v>0.21</v>
      </c>
      <c r="G38" s="1664">
        <v>0.21</v>
      </c>
    </row>
    <row r="39" spans="1:7" x14ac:dyDescent="0.25">
      <c r="A39" s="1661" t="s">
        <v>614</v>
      </c>
      <c r="B39" s="1662"/>
      <c r="C39" s="1890">
        <v>8.01</v>
      </c>
      <c r="D39" s="1915">
        <f>D34+D35+D36+D37+D38</f>
        <v>9.18</v>
      </c>
      <c r="E39" s="1915">
        <f t="shared" ref="E39:G39" si="5">E34+E35+E36+E37+E38</f>
        <v>9.8489931832212463</v>
      </c>
      <c r="F39" s="1915">
        <f t="shared" si="5"/>
        <v>9.620000000000001</v>
      </c>
      <c r="G39" s="1915">
        <f t="shared" si="5"/>
        <v>10.699892297868619</v>
      </c>
    </row>
  </sheetData>
  <mergeCells count="14">
    <mergeCell ref="A14:A15"/>
    <mergeCell ref="B14:B15"/>
    <mergeCell ref="C14:G14"/>
    <mergeCell ref="F1:G1"/>
    <mergeCell ref="A3:G3"/>
    <mergeCell ref="A5:A6"/>
    <mergeCell ref="B5:B6"/>
    <mergeCell ref="C5:G5"/>
    <mergeCell ref="A23:A24"/>
    <mergeCell ref="B23:B24"/>
    <mergeCell ref="C23:G23"/>
    <mergeCell ref="A32:A33"/>
    <mergeCell ref="B32:B33"/>
    <mergeCell ref="C32:G32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679" customWidth="1"/>
    <col min="2" max="2" width="10.140625" style="1679" customWidth="1"/>
    <col min="3" max="3" width="17.42578125" style="1679" customWidth="1"/>
    <col min="4" max="4" width="18.28515625" style="1679" customWidth="1"/>
    <col min="5" max="5" width="16" style="1679" customWidth="1"/>
    <col min="6" max="6" width="16.5703125" style="1679" customWidth="1"/>
    <col min="7" max="16384" width="9.140625" style="1679"/>
  </cols>
  <sheetData>
    <row r="1" spans="1:6" x14ac:dyDescent="0.25">
      <c r="E1" s="1679" t="s">
        <v>1504</v>
      </c>
    </row>
    <row r="2" spans="1:6" ht="33.75" customHeight="1" x14ac:dyDescent="0.25">
      <c r="A2" s="6351" t="s">
        <v>984</v>
      </c>
      <c r="B2" s="6351"/>
      <c r="C2" s="6351"/>
      <c r="D2" s="6351"/>
      <c r="E2" s="6351"/>
      <c r="F2" s="6351"/>
    </row>
    <row r="3" spans="1:6" x14ac:dyDescent="0.25">
      <c r="A3" s="6347" t="s">
        <v>985</v>
      </c>
      <c r="B3" s="6347" t="s">
        <v>986</v>
      </c>
      <c r="C3" s="1343" t="s">
        <v>345</v>
      </c>
      <c r="D3" s="1343" t="s">
        <v>335</v>
      </c>
      <c r="E3" s="1343" t="s">
        <v>1458</v>
      </c>
      <c r="F3" s="6349" t="s">
        <v>235</v>
      </c>
    </row>
    <row r="4" spans="1:6" x14ac:dyDescent="0.25">
      <c r="A4" s="6348"/>
      <c r="B4" s="6348"/>
      <c r="C4" s="1343" t="s">
        <v>987</v>
      </c>
      <c r="D4" s="1343" t="s">
        <v>987</v>
      </c>
      <c r="E4" s="1343" t="s">
        <v>987</v>
      </c>
      <c r="F4" s="6350"/>
    </row>
    <row r="5" spans="1:6" x14ac:dyDescent="0.25">
      <c r="A5" s="6524" t="s">
        <v>892</v>
      </c>
      <c r="B5" s="6525"/>
      <c r="C5" s="6525"/>
      <c r="D5" s="6525"/>
      <c r="E5" s="6525"/>
      <c r="F5" s="6526"/>
    </row>
    <row r="6" spans="1:6" ht="30" x14ac:dyDescent="0.25">
      <c r="A6" s="1681" t="s">
        <v>1449</v>
      </c>
      <c r="B6" s="1682" t="s">
        <v>988</v>
      </c>
      <c r="C6" s="1683">
        <v>94861.048999999999</v>
      </c>
      <c r="D6" s="1684">
        <v>71225.517999999996</v>
      </c>
      <c r="E6" s="1684">
        <v>3130.4870000000001</v>
      </c>
      <c r="F6" s="1682" t="s">
        <v>1456</v>
      </c>
    </row>
    <row r="7" spans="1:6" x14ac:dyDescent="0.25">
      <c r="A7" s="1685" t="s">
        <v>1455</v>
      </c>
      <c r="B7" s="1682" t="s">
        <v>988</v>
      </c>
      <c r="C7" s="1684">
        <v>1106.2370000000001</v>
      </c>
      <c r="D7" s="1684">
        <v>1538.848</v>
      </c>
      <c r="E7" s="1684">
        <v>99.817999999999998</v>
      </c>
      <c r="F7" s="1686" t="s">
        <v>1456</v>
      </c>
    </row>
    <row r="8" spans="1:6" ht="45" x14ac:dyDescent="0.25">
      <c r="A8" s="1681" t="s">
        <v>1457</v>
      </c>
      <c r="B8" s="1682" t="s">
        <v>988</v>
      </c>
      <c r="C8" s="1683">
        <f>6102.07/3*4</f>
        <v>8136.0933333333332</v>
      </c>
      <c r="D8" s="1684">
        <f>3628.35/3*4</f>
        <v>4837.8</v>
      </c>
      <c r="E8" s="1684">
        <f>'ОХР '!AI24/3*4</f>
        <v>150.02666666666667</v>
      </c>
      <c r="F8" s="1682" t="s">
        <v>1459</v>
      </c>
    </row>
    <row r="9" spans="1:6" ht="30" x14ac:dyDescent="0.25">
      <c r="A9" s="1681" t="s">
        <v>989</v>
      </c>
      <c r="B9" s="1682" t="s">
        <v>988</v>
      </c>
      <c r="C9" s="1683">
        <f>C6+C7-C8</f>
        <v>87831.192666666655</v>
      </c>
      <c r="D9" s="1683">
        <f>D6+D7-D8</f>
        <v>67926.565999999992</v>
      </c>
      <c r="E9" s="1683">
        <f>E6+E7-E8</f>
        <v>3080.2783333333336</v>
      </c>
      <c r="F9" s="1687"/>
    </row>
    <row r="10" spans="1:6" ht="30" x14ac:dyDescent="0.25">
      <c r="A10" s="1688" t="s">
        <v>990</v>
      </c>
      <c r="B10" s="1689" t="s">
        <v>988</v>
      </c>
      <c r="C10" s="1690">
        <f>C9</f>
        <v>87831.192666666655</v>
      </c>
      <c r="D10" s="1690">
        <f>D9</f>
        <v>67926.565999999992</v>
      </c>
      <c r="E10" s="1690">
        <f>E9</f>
        <v>3080.2783333333336</v>
      </c>
      <c r="F10" s="1691"/>
    </row>
    <row r="11" spans="1:6" x14ac:dyDescent="0.25">
      <c r="A11" s="1692" t="s">
        <v>1455</v>
      </c>
      <c r="B11" s="1693"/>
      <c r="C11" s="1694">
        <v>0</v>
      </c>
      <c r="D11" s="1694">
        <v>0</v>
      </c>
      <c r="E11" s="1694">
        <v>0</v>
      </c>
      <c r="F11" s="1695"/>
    </row>
    <row r="12" spans="1:6" ht="45" x14ac:dyDescent="0.25">
      <c r="A12" s="1688" t="s">
        <v>1457</v>
      </c>
      <c r="B12" s="1689" t="s">
        <v>988</v>
      </c>
      <c r="C12" s="1690">
        <f>Аморт!U13</f>
        <v>8136.1</v>
      </c>
      <c r="D12" s="1690">
        <f>Аморт!U18</f>
        <v>4822.1000000000004</v>
      </c>
      <c r="E12" s="1690">
        <f>'ОХР '!AO24</f>
        <v>193.7</v>
      </c>
      <c r="F12" s="1689" t="s">
        <v>375</v>
      </c>
    </row>
    <row r="13" spans="1:6" ht="30" x14ac:dyDescent="0.25">
      <c r="A13" s="1688" t="s">
        <v>991</v>
      </c>
      <c r="B13" s="1689" t="s">
        <v>988</v>
      </c>
      <c r="C13" s="1690">
        <f>C10-C12</f>
        <v>79695.092666666649</v>
      </c>
      <c r="D13" s="1690">
        <f>D10-D12</f>
        <v>63104.465999999993</v>
      </c>
      <c r="E13" s="1690">
        <f>E10-E12</f>
        <v>2886.5783333333338</v>
      </c>
      <c r="F13" s="1691"/>
    </row>
    <row r="14" spans="1:6" ht="45" x14ac:dyDescent="0.25">
      <c r="A14" s="1688" t="s">
        <v>1450</v>
      </c>
      <c r="B14" s="1689" t="s">
        <v>988</v>
      </c>
      <c r="C14" s="1690">
        <f>(C10+C13)/2</f>
        <v>83763.142666666652</v>
      </c>
      <c r="D14" s="1690">
        <f>(D10+D13)/2</f>
        <v>65515.515999999989</v>
      </c>
      <c r="E14" s="1690">
        <f>(E10+E13)/2</f>
        <v>2983.4283333333337</v>
      </c>
      <c r="F14" s="1691"/>
    </row>
    <row r="15" spans="1:6" x14ac:dyDescent="0.25">
      <c r="A15" s="1688" t="s">
        <v>992</v>
      </c>
      <c r="B15" s="1689" t="s">
        <v>44</v>
      </c>
      <c r="C15" s="1696">
        <v>2.2000000000000002</v>
      </c>
      <c r="D15" s="1696">
        <v>2.2000000000000002</v>
      </c>
      <c r="E15" s="1696">
        <v>2.2000000000000002</v>
      </c>
      <c r="F15" s="1691"/>
    </row>
    <row r="16" spans="1:6" s="1680" customFormat="1" ht="45" x14ac:dyDescent="0.2">
      <c r="A16" s="1697" t="s">
        <v>1451</v>
      </c>
      <c r="B16" s="1698" t="s">
        <v>988</v>
      </c>
      <c r="C16" s="1699">
        <f>C14*C15/100</f>
        <v>1842.7891386666663</v>
      </c>
      <c r="D16" s="1699">
        <f>D14*D15/100</f>
        <v>1441.3413519999999</v>
      </c>
      <c r="E16" s="1699">
        <f>E14*E15/100</f>
        <v>65.63542333333335</v>
      </c>
      <c r="F16" s="1700"/>
    </row>
    <row r="17" spans="1:6" ht="30" x14ac:dyDescent="0.25">
      <c r="A17" s="1701" t="s">
        <v>1527</v>
      </c>
      <c r="B17" s="1702" t="s">
        <v>988</v>
      </c>
      <c r="C17" s="1703">
        <f>C16</f>
        <v>1842.7891386666663</v>
      </c>
      <c r="D17" s="1703">
        <f>D16</f>
        <v>1441.3413519999999</v>
      </c>
      <c r="E17" s="1703">
        <f>E16</f>
        <v>65.63542333333335</v>
      </c>
      <c r="F17" s="1704"/>
    </row>
    <row r="18" spans="1:6" x14ac:dyDescent="0.25">
      <c r="A18" s="1705" t="s">
        <v>1455</v>
      </c>
      <c r="B18" s="1706"/>
      <c r="C18" s="1707">
        <v>0</v>
      </c>
      <c r="D18" s="1707">
        <v>0</v>
      </c>
      <c r="E18" s="1707">
        <v>0</v>
      </c>
      <c r="F18" s="1708"/>
    </row>
    <row r="19" spans="1:6" ht="45" x14ac:dyDescent="0.25">
      <c r="A19" s="1701" t="s">
        <v>1457</v>
      </c>
      <c r="B19" s="1702" t="s">
        <v>988</v>
      </c>
      <c r="C19" s="1703">
        <f>Аморт!U20</f>
        <v>0</v>
      </c>
      <c r="D19" s="1703">
        <f>Аморт!U28</f>
        <v>0</v>
      </c>
      <c r="E19" s="1703">
        <f>'ОХР '!AO31</f>
        <v>109.26300000000001</v>
      </c>
      <c r="F19" s="1702" t="s">
        <v>375</v>
      </c>
    </row>
    <row r="20" spans="1:6" ht="30" x14ac:dyDescent="0.25">
      <c r="A20" s="1701" t="s">
        <v>1528</v>
      </c>
      <c r="B20" s="1702" t="s">
        <v>988</v>
      </c>
      <c r="C20" s="1703">
        <f>C17-C19</f>
        <v>1842.7891386666663</v>
      </c>
      <c r="D20" s="1703">
        <f>D17-D19</f>
        <v>1441.3413519999999</v>
      </c>
      <c r="E20" s="1703">
        <f>E17-E19</f>
        <v>-43.627576666666656</v>
      </c>
      <c r="F20" s="1704"/>
    </row>
    <row r="21" spans="1:6" ht="45" x14ac:dyDescent="0.25">
      <c r="A21" s="1701" t="s">
        <v>1529</v>
      </c>
      <c r="B21" s="1702" t="s">
        <v>988</v>
      </c>
      <c r="C21" s="1703">
        <f>(C17+C20)/2</f>
        <v>1842.7891386666663</v>
      </c>
      <c r="D21" s="1703">
        <f>(D17+D20)/2</f>
        <v>1441.3413519999999</v>
      </c>
      <c r="E21" s="1703">
        <f>(E17+E20)/2</f>
        <v>11.003923333333347</v>
      </c>
      <c r="F21" s="1704"/>
    </row>
    <row r="22" spans="1:6" x14ac:dyDescent="0.25">
      <c r="A22" s="1701" t="s">
        <v>992</v>
      </c>
      <c r="B22" s="1702" t="s">
        <v>44</v>
      </c>
      <c r="C22" s="1709">
        <v>2.2000000000000002</v>
      </c>
      <c r="D22" s="1709">
        <v>2.2000000000000002</v>
      </c>
      <c r="E22" s="1709">
        <v>2.2000000000000002</v>
      </c>
      <c r="F22" s="1704"/>
    </row>
    <row r="23" spans="1:6" ht="45" x14ac:dyDescent="0.25">
      <c r="A23" s="1710" t="s">
        <v>1530</v>
      </c>
      <c r="B23" s="1711" t="s">
        <v>988</v>
      </c>
      <c r="C23" s="1712">
        <f>C21*C22/100</f>
        <v>40.541361050666659</v>
      </c>
      <c r="D23" s="1712">
        <f>D21*D22/100</f>
        <v>31.709509744000002</v>
      </c>
      <c r="E23" s="1712">
        <f>E21*E22/100</f>
        <v>0.24208631333333364</v>
      </c>
      <c r="F23" s="1713"/>
    </row>
    <row r="24" spans="1:6" ht="30" x14ac:dyDescent="0.25">
      <c r="A24" s="1894" t="s">
        <v>1680</v>
      </c>
      <c r="B24" s="1895" t="s">
        <v>988</v>
      </c>
      <c r="C24" s="1896">
        <f>C23</f>
        <v>40.541361050666659</v>
      </c>
      <c r="D24" s="1896">
        <f>D23</f>
        <v>31.709509744000002</v>
      </c>
      <c r="E24" s="1896">
        <f>E23</f>
        <v>0.24208631333333364</v>
      </c>
      <c r="F24" s="1897"/>
    </row>
    <row r="25" spans="1:6" x14ac:dyDescent="0.25">
      <c r="A25" s="1898" t="s">
        <v>1455</v>
      </c>
      <c r="B25" s="1899"/>
      <c r="C25" s="1900">
        <v>0</v>
      </c>
      <c r="D25" s="1900">
        <v>0</v>
      </c>
      <c r="E25" s="1900">
        <v>0</v>
      </c>
      <c r="F25" s="1901"/>
    </row>
    <row r="26" spans="1:6" ht="45" x14ac:dyDescent="0.25">
      <c r="A26" s="1894" t="s">
        <v>1457</v>
      </c>
      <c r="B26" s="1895" t="s">
        <v>988</v>
      </c>
      <c r="C26" s="1896">
        <f>Аморт!U30</f>
        <v>0</v>
      </c>
      <c r="D26" s="1896">
        <f>Аморт!U35</f>
        <v>0</v>
      </c>
      <c r="E26" s="1896">
        <f>'ОХР '!AO38</f>
        <v>67.540000000000006</v>
      </c>
      <c r="F26" s="1895" t="s">
        <v>375</v>
      </c>
    </row>
    <row r="27" spans="1:6" ht="30" x14ac:dyDescent="0.25">
      <c r="A27" s="1894" t="s">
        <v>1528</v>
      </c>
      <c r="B27" s="1895" t="s">
        <v>988</v>
      </c>
      <c r="C27" s="1896">
        <f>C24-C26</f>
        <v>40.541361050666659</v>
      </c>
      <c r="D27" s="1896">
        <f>D24-D26</f>
        <v>31.709509744000002</v>
      </c>
      <c r="E27" s="1896">
        <f>E24-E26</f>
        <v>-67.297913686666675</v>
      </c>
      <c r="F27" s="1897"/>
    </row>
    <row r="28" spans="1:6" ht="45" hidden="1" x14ac:dyDescent="0.25">
      <c r="A28" s="1894" t="s">
        <v>1529</v>
      </c>
      <c r="B28" s="1895" t="s">
        <v>988</v>
      </c>
      <c r="C28" s="1896">
        <f>(C24+C27)/2</f>
        <v>40.541361050666659</v>
      </c>
      <c r="D28" s="1896">
        <f>(D24+D27)/2</f>
        <v>31.709509744000002</v>
      </c>
      <c r="E28" s="1896">
        <f>(E24+E27)/2</f>
        <v>-33.527913686666672</v>
      </c>
      <c r="F28" s="1897"/>
    </row>
    <row r="29" spans="1:6" x14ac:dyDescent="0.25">
      <c r="A29" s="1894" t="s">
        <v>992</v>
      </c>
      <c r="B29" s="1895" t="s">
        <v>44</v>
      </c>
      <c r="C29" s="1902">
        <v>2.2000000000000002</v>
      </c>
      <c r="D29" s="1902">
        <v>2.2000000000000002</v>
      </c>
      <c r="E29" s="1902">
        <v>2.2000000000000002</v>
      </c>
      <c r="F29" s="1897"/>
    </row>
    <row r="30" spans="1:6" ht="45" x14ac:dyDescent="0.25">
      <c r="A30" s="1903" t="s">
        <v>1530</v>
      </c>
      <c r="B30" s="1904" t="s">
        <v>988</v>
      </c>
      <c r="C30" s="1905">
        <f>C28*C29/100</f>
        <v>0.89190994311466654</v>
      </c>
      <c r="D30" s="1905">
        <f>D28*D29/100</f>
        <v>0.69760921436800005</v>
      </c>
      <c r="E30" s="1905">
        <f>E28*E29/100</f>
        <v>-0.73761410110666692</v>
      </c>
      <c r="F30" s="1906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5154"/>
      <c r="B1" s="5154" t="s">
        <v>614</v>
      </c>
      <c r="C1" s="5154" t="s">
        <v>50</v>
      </c>
      <c r="D1" s="5154"/>
      <c r="E1" s="5154" t="s">
        <v>614</v>
      </c>
      <c r="F1" s="5154" t="s">
        <v>50</v>
      </c>
      <c r="G1" s="5154"/>
    </row>
    <row r="2" spans="1:7" x14ac:dyDescent="0.2">
      <c r="A2" s="5154"/>
      <c r="B2" s="5154"/>
      <c r="C2" s="1757" t="s">
        <v>366</v>
      </c>
      <c r="D2" s="1757" t="s">
        <v>25</v>
      </c>
      <c r="E2" s="5154"/>
      <c r="F2" s="1757" t="s">
        <v>47</v>
      </c>
      <c r="G2" s="1757" t="s">
        <v>1550</v>
      </c>
    </row>
    <row r="3" spans="1:7" x14ac:dyDescent="0.2">
      <c r="A3" s="1748" t="s">
        <v>1539</v>
      </c>
      <c r="B3" s="1753">
        <f>C3+D3</f>
        <v>3791.3490000000002</v>
      </c>
      <c r="C3" s="1753">
        <f>'объемы ВС и ВО 2023'!AJ49</f>
        <v>3771</v>
      </c>
      <c r="D3" s="1753">
        <f>'объемы ВС и ВО 2023'!AK49</f>
        <v>20.349</v>
      </c>
      <c r="E3" s="1753">
        <f>F3+G3</f>
        <v>3295.75</v>
      </c>
      <c r="F3" s="1753">
        <f>'объемы ВС и ВО 2023'!AJ62</f>
        <v>3272.75</v>
      </c>
      <c r="G3" s="1753">
        <f>'объемы ВС и ВО 2023'!AK62</f>
        <v>23</v>
      </c>
    </row>
    <row r="4" spans="1:7" x14ac:dyDescent="0.2">
      <c r="A4" s="1748" t="s">
        <v>1540</v>
      </c>
      <c r="B4" s="1749">
        <f>B5+B8+B9+B10</f>
        <v>13129.563786669283</v>
      </c>
      <c r="C4" s="1750">
        <f t="shared" ref="C4:D4" si="0">C5+C8+C9+C10</f>
        <v>13108.636264262597</v>
      </c>
      <c r="D4" s="1750">
        <f t="shared" si="0"/>
        <v>20.927522406686286</v>
      </c>
      <c r="E4" s="1749">
        <f>E5+E8+E9+E10</f>
        <v>7913.837988761974</v>
      </c>
      <c r="F4" s="1750">
        <f t="shared" ref="F4" si="1">F5+F8+F9+F10</f>
        <v>7843.1079887619744</v>
      </c>
      <c r="G4" s="1750">
        <f t="shared" ref="G4" si="2">G5+G8+G9+G10</f>
        <v>70.73</v>
      </c>
    </row>
    <row r="5" spans="1:7" x14ac:dyDescent="0.2">
      <c r="A5" s="1748" t="s">
        <v>1</v>
      </c>
      <c r="B5" s="1753">
        <f>B6+B7</f>
        <v>8799.3615150740934</v>
      </c>
      <c r="C5" s="1753">
        <f t="shared" ref="C5:D5" si="3">C6+C7</f>
        <v>8778.4339926674074</v>
      </c>
      <c r="D5" s="1753">
        <f t="shared" si="3"/>
        <v>20.927522406686286</v>
      </c>
      <c r="E5" s="1753">
        <f>E6+E7</f>
        <v>7536.4295223608988</v>
      </c>
      <c r="F5" s="1753">
        <f t="shared" ref="F5" si="4">F6+F7</f>
        <v>7465.6995223608992</v>
      </c>
      <c r="G5" s="1753">
        <f t="shared" ref="G5" si="5">G6+G7</f>
        <v>70.73</v>
      </c>
    </row>
    <row r="6" spans="1:7" s="1763" customFormat="1" x14ac:dyDescent="0.2">
      <c r="A6" s="1760" t="s">
        <v>1551</v>
      </c>
      <c r="B6" s="1761">
        <f>'электр 2017-2018'!CB48</f>
        <v>3899.1371148001203</v>
      </c>
      <c r="C6" s="1764">
        <f>C3/B3*B6</f>
        <v>3878.2095923934339</v>
      </c>
      <c r="D6" s="1764">
        <f>D3/B3*B6</f>
        <v>20.927522406686286</v>
      </c>
      <c r="E6" s="1761">
        <f>'электр 2017-2018'!CB54</f>
        <v>5969.9047416749991</v>
      </c>
      <c r="F6" s="1764">
        <f>E6-G6</f>
        <v>5899.1747416749995</v>
      </c>
      <c r="G6" s="1764">
        <f>0.1+52.27+18.36</f>
        <v>70.73</v>
      </c>
    </row>
    <row r="7" spans="1:7" s="1763" customFormat="1" x14ac:dyDescent="0.2">
      <c r="A7" s="1760" t="s">
        <v>148</v>
      </c>
      <c r="B7" s="1761">
        <f>'электр 2017-2018'!CB50</f>
        <v>4900.2244002739726</v>
      </c>
      <c r="C7" s="1761">
        <f>B7</f>
        <v>4900.2244002739726</v>
      </c>
      <c r="D7" s="1762">
        <v>0</v>
      </c>
      <c r="E7" s="1761">
        <f>'электр 2017-2018'!CB52</f>
        <v>1566.5247806859002</v>
      </c>
      <c r="F7" s="1761">
        <f>E7</f>
        <v>1566.5247806859002</v>
      </c>
      <c r="G7" s="1762">
        <v>0</v>
      </c>
    </row>
    <row r="8" spans="1:7" x14ac:dyDescent="0.2">
      <c r="A8" s="1748" t="s">
        <v>1542</v>
      </c>
      <c r="B8" s="1754">
        <f>'ОХР '!AP21*1.07</f>
        <v>4.2335094424122302</v>
      </c>
      <c r="C8" s="1754">
        <f>B8</f>
        <v>4.2335094424122302</v>
      </c>
      <c r="D8" s="1754">
        <v>0</v>
      </c>
      <c r="E8" s="1754">
        <f>F8</f>
        <v>3.5045350965488771</v>
      </c>
      <c r="F8" s="1754">
        <f>'ОХР '!AQ21*1.07</f>
        <v>3.5045350965488771</v>
      </c>
      <c r="G8" s="1754">
        <v>0</v>
      </c>
    </row>
    <row r="9" spans="1:7" x14ac:dyDescent="0.2">
      <c r="A9" s="1748" t="s">
        <v>1541</v>
      </c>
      <c r="B9" s="1754">
        <f>'цех вода 2023'!AG18*1.04</f>
        <v>4264.8320000000003</v>
      </c>
      <c r="C9" s="1755">
        <f t="shared" ref="C9:C10" si="6">B9</f>
        <v>4264.8320000000003</v>
      </c>
      <c r="D9" s="1754">
        <v>0</v>
      </c>
      <c r="E9" s="1754">
        <f>F9</f>
        <v>323.29440000000011</v>
      </c>
      <c r="F9" s="1755">
        <f>'цех стоки 2023'!AH19*1.04</f>
        <v>323.29440000000011</v>
      </c>
      <c r="G9" s="1754">
        <v>0</v>
      </c>
    </row>
    <row r="10" spans="1:7" x14ac:dyDescent="0.2">
      <c r="A10" s="1748" t="s">
        <v>1543</v>
      </c>
      <c r="B10" s="1754">
        <f>'ОХР '!AP17*1.039</f>
        <v>61.136762152777663</v>
      </c>
      <c r="C10" s="1755">
        <f t="shared" si="6"/>
        <v>61.136762152777663</v>
      </c>
      <c r="D10" s="1754">
        <v>0</v>
      </c>
      <c r="E10" s="1754">
        <f>F10</f>
        <v>50.60953130452652</v>
      </c>
      <c r="F10" s="1754">
        <f>'ОХР '!AQ17*1.039</f>
        <v>50.60953130452652</v>
      </c>
      <c r="G10" s="1754">
        <v>0</v>
      </c>
    </row>
    <row r="11" spans="1:7" x14ac:dyDescent="0.2">
      <c r="A11" s="1748" t="s">
        <v>1538</v>
      </c>
      <c r="B11" s="1749">
        <f>SUM(B12:B18)</f>
        <v>4264.2798115578244</v>
      </c>
      <c r="C11" s="1749">
        <f t="shared" ref="C11:D11" si="7">SUM(C12:C18)</f>
        <v>4245.553003557824</v>
      </c>
      <c r="D11" s="1749">
        <f t="shared" si="7"/>
        <v>18.726808000000002</v>
      </c>
      <c r="E11" s="1749">
        <f>SUM(E12:E18)</f>
        <v>2549.7094361002423</v>
      </c>
      <c r="F11" s="1749">
        <f t="shared" ref="F11" si="8">SUM(F12:F18)</f>
        <v>2539.2394361002421</v>
      </c>
      <c r="G11" s="1749">
        <f t="shared" ref="G11" si="9">SUM(G12:G18)</f>
        <v>10.47</v>
      </c>
    </row>
    <row r="12" spans="1:7" s="393" customFormat="1" x14ac:dyDescent="0.2">
      <c r="A12" s="1616" t="s">
        <v>1544</v>
      </c>
      <c r="B12" s="1745">
        <f>C12</f>
        <v>28.83214873684431</v>
      </c>
      <c r="C12" s="1745">
        <f>'вода 2019-2023 коррект'!K16</f>
        <v>28.83214873684431</v>
      </c>
      <c r="D12" s="1768">
        <v>0</v>
      </c>
      <c r="E12" s="1745">
        <f>F12+G12</f>
        <v>338.21463610024222</v>
      </c>
      <c r="F12" s="1745">
        <f>'стоки 2019-2023'!K14</f>
        <v>338.21463610024222</v>
      </c>
      <c r="G12" s="1768">
        <v>0</v>
      </c>
    </row>
    <row r="13" spans="1:7" ht="25.5" x14ac:dyDescent="0.2">
      <c r="A13" s="1615" t="s">
        <v>1545</v>
      </c>
      <c r="B13" s="1745">
        <f>C13+D13</f>
        <v>3621.8942228209798</v>
      </c>
      <c r="C13" s="1745">
        <f>'2017 к'!E12</f>
        <v>3603.16741482098</v>
      </c>
      <c r="D13" s="1745">
        <f>'2017 к'!E21</f>
        <v>18.726808000000002</v>
      </c>
      <c r="E13" s="1745">
        <f t="shared" ref="E13:E18" si="10">F13+G13</f>
        <v>1794.04</v>
      </c>
      <c r="F13" s="1745">
        <f>'2017 к'!E30</f>
        <v>1783.57</v>
      </c>
      <c r="G13" s="1745">
        <f>'2017 к'!E39</f>
        <v>10.47</v>
      </c>
    </row>
    <row r="14" spans="1:7" ht="25.5" x14ac:dyDescent="0.2">
      <c r="A14" s="1615" t="s">
        <v>1546</v>
      </c>
      <c r="B14" s="1745">
        <f>C14+D14</f>
        <v>216.27343999999999</v>
      </c>
      <c r="C14" s="1745">
        <f>'вода 2019-2023 коррект'!K18</f>
        <v>216.27343999999999</v>
      </c>
      <c r="D14" s="1768">
        <v>0</v>
      </c>
      <c r="E14" s="1745">
        <f t="shared" si="10"/>
        <v>152.0548</v>
      </c>
      <c r="F14" s="1768">
        <f>'стоки 2019-2023'!K16</f>
        <v>152.0548</v>
      </c>
      <c r="G14" s="1745">
        <f>'2017 к'!H22</f>
        <v>0</v>
      </c>
    </row>
    <row r="15" spans="1:7" ht="25.5" x14ac:dyDescent="0.2">
      <c r="A15" s="1615" t="s">
        <v>1547</v>
      </c>
      <c r="B15" s="1745">
        <f t="shared" ref="B15:B18" si="11">C15+D15</f>
        <v>397.28</v>
      </c>
      <c r="C15" s="1745">
        <f>'вода 2019-2023 коррект'!K19</f>
        <v>397.28</v>
      </c>
      <c r="D15" s="1768">
        <v>0</v>
      </c>
      <c r="E15" s="1745">
        <f t="shared" si="10"/>
        <v>265.39999999999998</v>
      </c>
      <c r="F15" s="1745">
        <f>'стоки 2019-2023'!K17</f>
        <v>265.39999999999998</v>
      </c>
      <c r="G15" s="1745">
        <f>'2017 к'!H23</f>
        <v>0</v>
      </c>
    </row>
    <row r="16" spans="1:7" ht="21.75" customHeight="1" x14ac:dyDescent="0.2">
      <c r="A16" s="1615" t="s">
        <v>917</v>
      </c>
      <c r="B16" s="1745">
        <f t="shared" si="11"/>
        <v>0</v>
      </c>
      <c r="C16" s="1768">
        <v>0</v>
      </c>
      <c r="D16" s="1768">
        <v>0</v>
      </c>
      <c r="E16" s="1745">
        <f t="shared" si="10"/>
        <v>0</v>
      </c>
      <c r="F16" s="1768">
        <v>0</v>
      </c>
      <c r="G16" s="1745">
        <f>'2017 к'!H24</f>
        <v>0</v>
      </c>
    </row>
    <row r="17" spans="1:7" ht="25.5" x14ac:dyDescent="0.2">
      <c r="A17" s="1615" t="s">
        <v>919</v>
      </c>
      <c r="B17" s="1745">
        <f t="shared" si="11"/>
        <v>0</v>
      </c>
      <c r="C17" s="1768">
        <v>0</v>
      </c>
      <c r="D17" s="1768">
        <v>0</v>
      </c>
      <c r="E17" s="1745">
        <f t="shared" si="10"/>
        <v>0</v>
      </c>
      <c r="F17" s="1768">
        <v>0</v>
      </c>
      <c r="G17" s="1768">
        <v>0</v>
      </c>
    </row>
    <row r="18" spans="1:7" x14ac:dyDescent="0.2">
      <c r="A18" s="1615" t="s">
        <v>1548</v>
      </c>
      <c r="B18" s="1745">
        <f t="shared" si="11"/>
        <v>0</v>
      </c>
      <c r="C18" s="1768">
        <v>0</v>
      </c>
      <c r="D18" s="1768">
        <v>0</v>
      </c>
      <c r="E18" s="1745">
        <f t="shared" si="10"/>
        <v>0</v>
      </c>
      <c r="F18" s="1768">
        <v>0</v>
      </c>
      <c r="G18" s="1768">
        <v>0</v>
      </c>
    </row>
    <row r="19" spans="1:7" x14ac:dyDescent="0.2">
      <c r="A19" s="1748" t="s">
        <v>2</v>
      </c>
      <c r="B19" s="1745">
        <f>SUM(B20:B23)</f>
        <v>8296.68</v>
      </c>
      <c r="C19" s="1745">
        <f t="shared" ref="C19:D19" si="12">SUM(C20:C23)</f>
        <v>8277.2407919081052</v>
      </c>
      <c r="D19" s="1745">
        <f t="shared" si="12"/>
        <v>19.439208091895523</v>
      </c>
      <c r="E19" s="1745">
        <f>SUM(E20:E23)</f>
        <v>5183.68</v>
      </c>
      <c r="F19" s="1745">
        <f t="shared" ref="F19" si="13">SUM(F20:F23)</f>
        <v>5175.5923841310778</v>
      </c>
      <c r="G19" s="1745">
        <f t="shared" ref="G19" si="14">SUM(G20:G23)</f>
        <v>5.12</v>
      </c>
    </row>
    <row r="20" spans="1:7" s="1731" customFormat="1" x14ac:dyDescent="0.2">
      <c r="A20" s="1765" t="s">
        <v>1552</v>
      </c>
      <c r="B20" s="1766">
        <f>Аморт!AA7</f>
        <v>3621.84</v>
      </c>
      <c r="C20" s="1767">
        <f>C3/B3*B20</f>
        <v>3602.4007919081046</v>
      </c>
      <c r="D20" s="1767">
        <f>D3/B3*B20</f>
        <v>19.439208091895523</v>
      </c>
      <c r="E20" s="1766">
        <f>Аморт!AA14</f>
        <v>425.24</v>
      </c>
      <c r="F20" s="1767">
        <f>F3/E3*E20</f>
        <v>422.2723841310779</v>
      </c>
      <c r="G20" s="1767">
        <v>0</v>
      </c>
    </row>
    <row r="21" spans="1:7" s="1731" customFormat="1" x14ac:dyDescent="0.2">
      <c r="A21" s="1765" t="s">
        <v>1553</v>
      </c>
      <c r="B21" s="1766">
        <f>Аморт!AA8</f>
        <v>1561.17</v>
      </c>
      <c r="C21" s="1758">
        <f>B21</f>
        <v>1561.17</v>
      </c>
      <c r="D21" s="1759"/>
      <c r="E21" s="1766">
        <f>Аморт!AA15</f>
        <v>717.01</v>
      </c>
      <c r="F21" s="1758">
        <f>E21-G21</f>
        <v>711.89</v>
      </c>
      <c r="G21" s="1767">
        <v>5.12</v>
      </c>
    </row>
    <row r="22" spans="1:7" s="1731" customFormat="1" x14ac:dyDescent="0.2">
      <c r="A22" s="1765" t="s">
        <v>1554</v>
      </c>
      <c r="B22" s="1766">
        <f>Аморт!AA9</f>
        <v>53.89</v>
      </c>
      <c r="C22" s="1758">
        <f t="shared" ref="C22:C23" si="15">B22</f>
        <v>53.89</v>
      </c>
      <c r="D22" s="1759"/>
      <c r="E22" s="1766">
        <f>Аморт!AA16</f>
        <v>25.5</v>
      </c>
      <c r="F22" s="1758">
        <f t="shared" ref="F22:F23" si="16">E22</f>
        <v>25.5</v>
      </c>
      <c r="G22" s="1759"/>
    </row>
    <row r="23" spans="1:7" s="1731" customFormat="1" x14ac:dyDescent="0.2">
      <c r="A23" s="1765" t="s">
        <v>85</v>
      </c>
      <c r="B23" s="1766">
        <f>Аморт!AA10</f>
        <v>3059.78</v>
      </c>
      <c r="C23" s="1758">
        <f t="shared" si="15"/>
        <v>3059.78</v>
      </c>
      <c r="D23" s="1759"/>
      <c r="E23" s="1766">
        <f>Аморт!AA17</f>
        <v>4015.93</v>
      </c>
      <c r="F23" s="1758">
        <f t="shared" si="16"/>
        <v>4015.93</v>
      </c>
      <c r="G23" s="1759"/>
    </row>
    <row r="24" spans="1:7" x14ac:dyDescent="0.2">
      <c r="A24" s="1748" t="s">
        <v>925</v>
      </c>
      <c r="B24" s="1614"/>
      <c r="C24" s="1751"/>
      <c r="D24" s="1751"/>
      <c r="E24" s="1614"/>
      <c r="F24" s="1751"/>
      <c r="G24" s="1751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5142" t="s">
        <v>1493</v>
      </c>
      <c r="M2" s="5142"/>
    </row>
    <row r="3" spans="1:13" x14ac:dyDescent="0.2">
      <c r="A3" s="5124" t="s">
        <v>1792</v>
      </c>
      <c r="B3" s="5124"/>
      <c r="C3" s="5124"/>
      <c r="D3" s="5124"/>
      <c r="E3" s="5124"/>
      <c r="F3" s="5124"/>
      <c r="G3" s="5124"/>
      <c r="H3" s="5124"/>
      <c r="I3" s="5124"/>
      <c r="J3" s="5124"/>
      <c r="K3" s="5124"/>
      <c r="L3" s="5124"/>
      <c r="M3" s="5124"/>
    </row>
    <row r="5" spans="1:13" ht="13.5" thickBot="1" x14ac:dyDescent="0.25"/>
    <row r="6" spans="1:13" ht="13.5" thickBot="1" x14ac:dyDescent="0.25">
      <c r="A6" s="6531"/>
      <c r="B6" s="6527" t="s">
        <v>1702</v>
      </c>
      <c r="C6" s="6528"/>
      <c r="D6" s="6528"/>
      <c r="E6" s="6529"/>
      <c r="F6" s="6529"/>
      <c r="G6" s="6530"/>
      <c r="H6" s="6527" t="s">
        <v>1748</v>
      </c>
      <c r="I6" s="6528"/>
      <c r="J6" s="6528"/>
      <c r="K6" s="6529"/>
      <c r="L6" s="6529"/>
      <c r="M6" s="6530"/>
    </row>
    <row r="7" spans="1:13" x14ac:dyDescent="0.2">
      <c r="A7" s="6532"/>
      <c r="B7" s="6534" t="s">
        <v>614</v>
      </c>
      <c r="C7" s="6529" t="s">
        <v>50</v>
      </c>
      <c r="D7" s="6530"/>
      <c r="E7" s="6536" t="s">
        <v>614</v>
      </c>
      <c r="F7" s="5154" t="s">
        <v>50</v>
      </c>
      <c r="G7" s="6537"/>
      <c r="H7" s="6534" t="s">
        <v>614</v>
      </c>
      <c r="I7" s="6529" t="s">
        <v>50</v>
      </c>
      <c r="J7" s="6530"/>
      <c r="K7" s="6536" t="s">
        <v>614</v>
      </c>
      <c r="L7" s="5154" t="s">
        <v>50</v>
      </c>
      <c r="M7" s="6537"/>
    </row>
    <row r="8" spans="1:13" x14ac:dyDescent="0.2">
      <c r="A8" s="6533"/>
      <c r="B8" s="6535"/>
      <c r="C8" s="1912" t="s">
        <v>366</v>
      </c>
      <c r="D8" s="2009" t="s">
        <v>25</v>
      </c>
      <c r="E8" s="6536"/>
      <c r="F8" s="1912" t="s">
        <v>47</v>
      </c>
      <c r="G8" s="2009" t="s">
        <v>1550</v>
      </c>
      <c r="H8" s="6535"/>
      <c r="I8" s="1912" t="s">
        <v>366</v>
      </c>
      <c r="J8" s="2009" t="s">
        <v>25</v>
      </c>
      <c r="K8" s="6536"/>
      <c r="L8" s="1912" t="s">
        <v>47</v>
      </c>
      <c r="M8" s="2009" t="s">
        <v>1550</v>
      </c>
    </row>
    <row r="9" spans="1:13" x14ac:dyDescent="0.2">
      <c r="A9" s="2000" t="s">
        <v>1539</v>
      </c>
      <c r="B9" s="2010">
        <f>C9+D9</f>
        <v>5629.6590286425908</v>
      </c>
      <c r="C9" s="1753">
        <f>'объемы ВС и ВО 2023'!Y39</f>
        <v>5627.2590286425911</v>
      </c>
      <c r="D9" s="1860">
        <f>'объемы ВС и ВО 2023'!Z39</f>
        <v>2.4</v>
      </c>
      <c r="E9" s="2004">
        <f>F9+G9</f>
        <v>3248.93</v>
      </c>
      <c r="F9" s="1753">
        <f>'объемы ВС и ВО 2023'!AR63</f>
        <v>3230</v>
      </c>
      <c r="G9" s="1860">
        <f>'объемы ВС и ВО 2023'!AS63</f>
        <v>18.93</v>
      </c>
      <c r="H9" s="2010">
        <f>I9+J9</f>
        <v>3621.42</v>
      </c>
      <c r="I9" s="1753">
        <f>'объемы ВС и ВО 2023'!AR49</f>
        <v>3600</v>
      </c>
      <c r="J9" s="1860">
        <f>'объемы ВС и ВО 2023'!AS49</f>
        <v>21.42</v>
      </c>
      <c r="K9" s="2004">
        <f>L9+M9</f>
        <v>3248.93</v>
      </c>
      <c r="L9" s="1753">
        <f>'объемы ВС и ВО 2023'!AR63</f>
        <v>3230</v>
      </c>
      <c r="M9" s="1860">
        <f>'объемы ВС и ВО 2023'!AS63</f>
        <v>18.93</v>
      </c>
    </row>
    <row r="10" spans="1:13" x14ac:dyDescent="0.2">
      <c r="A10" s="2000" t="s">
        <v>1540</v>
      </c>
      <c r="B10" s="2011">
        <f>B11+B14+B15+B16</f>
        <v>11950.430073618927</v>
      </c>
      <c r="C10" s="1750">
        <f t="shared" ref="C10:D10" si="0">C11+C14+C15+C16</f>
        <v>11949.702441618929</v>
      </c>
      <c r="D10" s="2012">
        <f t="shared" si="0"/>
        <v>0.72763199999999995</v>
      </c>
      <c r="E10" s="2005">
        <f>E11+E14+E15+E16</f>
        <v>7508.2407578000011</v>
      </c>
      <c r="F10" s="1750">
        <f t="shared" ref="F10:G10" si="1">F11+F14+F15+F16</f>
        <v>7470.4365935489632</v>
      </c>
      <c r="G10" s="2012">
        <f t="shared" si="1"/>
        <v>37.804164251037726</v>
      </c>
      <c r="H10" s="2011">
        <f>H11+H14+H15+H16</f>
        <v>13566.72709749547</v>
      </c>
      <c r="I10" s="1750">
        <f t="shared" ref="I10:J10" si="2">I11+I14+I15+I16</f>
        <v>13543.132730850208</v>
      </c>
      <c r="J10" s="2012">
        <f t="shared" si="2"/>
        <v>23.594366645261381</v>
      </c>
      <c r="K10" s="2005">
        <f>K11+K14+K15+K16</f>
        <v>8295.3576470498174</v>
      </c>
      <c r="L10" s="1750">
        <f t="shared" ref="L10:M10" si="3">L11+L14+L15+L16</f>
        <v>8258.6676622108262</v>
      </c>
      <c r="M10" s="2012">
        <f t="shared" si="3"/>
        <v>36.689984838989993</v>
      </c>
    </row>
    <row r="11" spans="1:13" x14ac:dyDescent="0.2">
      <c r="A11" s="2000" t="s">
        <v>1</v>
      </c>
      <c r="B11" s="2010">
        <f>B12+B13</f>
        <v>7751.1700736189287</v>
      </c>
      <c r="C11" s="1753">
        <f t="shared" ref="C11:D11" si="4">C12+C13</f>
        <v>7750.4424416189286</v>
      </c>
      <c r="D11" s="1860">
        <f t="shared" si="4"/>
        <v>0.72763199999999995</v>
      </c>
      <c r="E11" s="2004">
        <f>E12+E13</f>
        <v>7124.7607578000006</v>
      </c>
      <c r="F11" s="1753">
        <f t="shared" ref="F11:G11" si="5">F12+F13</f>
        <v>7086.9565935489627</v>
      </c>
      <c r="G11" s="1860">
        <f t="shared" si="5"/>
        <v>37.804164251037726</v>
      </c>
      <c r="H11" s="2010">
        <f>H12+H13</f>
        <v>9024.2965608554696</v>
      </c>
      <c r="I11" s="1753">
        <f t="shared" ref="I11:J11" si="6">I12+I13</f>
        <v>9000.7021942102074</v>
      </c>
      <c r="J11" s="1860">
        <f t="shared" si="6"/>
        <v>23.594366645261381</v>
      </c>
      <c r="K11" s="2004">
        <f>K12+K13</f>
        <v>7949.4212867632177</v>
      </c>
      <c r="L11" s="1753">
        <f t="shared" ref="L11:M11" si="7">L12+L13</f>
        <v>7912.7313019242274</v>
      </c>
      <c r="M11" s="1860">
        <f t="shared" si="7"/>
        <v>36.689984838989993</v>
      </c>
    </row>
    <row r="12" spans="1:13" s="1763" customFormat="1" x14ac:dyDescent="0.2">
      <c r="A12" s="2001" t="s">
        <v>1551</v>
      </c>
      <c r="B12" s="2013">
        <f>'электр 2017-2018'!BM48</f>
        <v>1706.8000243038607</v>
      </c>
      <c r="C12" s="1764">
        <f>B12-D12</f>
        <v>1706.0723923038606</v>
      </c>
      <c r="D12" s="2014">
        <f>D9/B9*B12</f>
        <v>0.72763199999999995</v>
      </c>
      <c r="E12" s="2006">
        <f>'электр 2017-2018'!BM54</f>
        <v>6488.2769868000005</v>
      </c>
      <c r="F12" s="1764">
        <f>E12-G12</f>
        <v>6450.4728225489625</v>
      </c>
      <c r="G12" s="2014">
        <f>G9/E9*E12</f>
        <v>37.804164251037726</v>
      </c>
      <c r="H12" s="2013">
        <f>'электр 2017-2018'!CS48</f>
        <v>3989.0341389580985</v>
      </c>
      <c r="I12" s="1764">
        <f>H12-J12</f>
        <v>3965.4397723128372</v>
      </c>
      <c r="J12" s="2014">
        <f>J9/H9*H12</f>
        <v>23.594366645261381</v>
      </c>
      <c r="K12" s="2006">
        <f>'электр 2017-2018'!CS54</f>
        <v>6297.0518987289888</v>
      </c>
      <c r="L12" s="1764">
        <f>K12-M12</f>
        <v>6260.3619138899985</v>
      </c>
      <c r="M12" s="2014">
        <f>M9/K9*K12</f>
        <v>36.689984838989993</v>
      </c>
    </row>
    <row r="13" spans="1:13" s="1763" customFormat="1" x14ac:dyDescent="0.2">
      <c r="A13" s="2001" t="s">
        <v>148</v>
      </c>
      <c r="B13" s="2013">
        <f>'электр 2017-2018'!BM50</f>
        <v>6044.3700493150682</v>
      </c>
      <c r="C13" s="1761">
        <f>B13</f>
        <v>6044.3700493150682</v>
      </c>
      <c r="D13" s="2015"/>
      <c r="E13" s="2006">
        <f>'электр 2017-2018'!BM52</f>
        <v>636.48377100000005</v>
      </c>
      <c r="F13" s="1761">
        <f>E13</f>
        <v>636.48377100000005</v>
      </c>
      <c r="G13" s="2015">
        <v>0</v>
      </c>
      <c r="H13" s="2013">
        <f>'электр 2017-2018'!CS50</f>
        <v>5035.2624218973706</v>
      </c>
      <c r="I13" s="1761">
        <f>H13</f>
        <v>5035.2624218973706</v>
      </c>
      <c r="J13" s="2015"/>
      <c r="K13" s="2006">
        <f>'электр 2017-2018'!CS52</f>
        <v>1652.3693880342289</v>
      </c>
      <c r="L13" s="1761">
        <f>K13</f>
        <v>1652.3693880342289</v>
      </c>
      <c r="M13" s="2015">
        <v>0</v>
      </c>
    </row>
    <row r="14" spans="1:13" x14ac:dyDescent="0.2">
      <c r="A14" s="2000" t="s">
        <v>1542</v>
      </c>
      <c r="B14" s="2016">
        <v>23.57</v>
      </c>
      <c r="C14" s="1754">
        <f>B14</f>
        <v>23.57</v>
      </c>
      <c r="D14" s="2017">
        <v>0</v>
      </c>
      <c r="E14" s="2007">
        <v>16.38</v>
      </c>
      <c r="F14" s="1754">
        <f>E14</f>
        <v>16.38</v>
      </c>
      <c r="G14" s="2017">
        <v>0</v>
      </c>
      <c r="H14" s="2016">
        <f>B14*1.058*1.053</f>
        <v>26.258724180000002</v>
      </c>
      <c r="I14" s="1754">
        <f>H14</f>
        <v>26.258724180000002</v>
      </c>
      <c r="J14" s="2017">
        <v>0</v>
      </c>
      <c r="K14" s="2007">
        <f>L14</f>
        <v>5.8478923999999996E-3</v>
      </c>
      <c r="L14" s="1754">
        <f>'ОХР '!EM21*1.07*1.043</f>
        <v>5.8478923999999996E-3</v>
      </c>
      <c r="M14" s="2017">
        <v>0</v>
      </c>
    </row>
    <row r="15" spans="1:13" x14ac:dyDescent="0.2">
      <c r="A15" s="2000" t="s">
        <v>1541</v>
      </c>
      <c r="B15" s="2016">
        <v>4114.47</v>
      </c>
      <c r="C15" s="1755">
        <f t="shared" ref="C15:C16" si="8">B15</f>
        <v>4114.47</v>
      </c>
      <c r="D15" s="2017">
        <v>0</v>
      </c>
      <c r="E15" s="2007">
        <v>324.56</v>
      </c>
      <c r="F15" s="1755">
        <f>E15</f>
        <v>324.56</v>
      </c>
      <c r="G15" s="2017">
        <v>0</v>
      </c>
      <c r="H15" s="2016">
        <f>B15*1.04*1.04</f>
        <v>4450.2107520000009</v>
      </c>
      <c r="I15" s="1755">
        <f t="shared" ref="I15:I16" si="9">H15</f>
        <v>4450.2107520000009</v>
      </c>
      <c r="J15" s="2017">
        <v>0</v>
      </c>
      <c r="K15" s="2007">
        <v>345.92</v>
      </c>
      <c r="L15" s="1755">
        <f>K15</f>
        <v>345.92</v>
      </c>
      <c r="M15" s="2017">
        <v>0</v>
      </c>
    </row>
    <row r="16" spans="1:13" x14ac:dyDescent="0.2">
      <c r="A16" s="2000" t="s">
        <v>1543</v>
      </c>
      <c r="B16" s="2016">
        <v>61.22</v>
      </c>
      <c r="C16" s="1755">
        <f t="shared" si="8"/>
        <v>61.22</v>
      </c>
      <c r="D16" s="2017">
        <v>0</v>
      </c>
      <c r="E16" s="2007">
        <f>F16+G16</f>
        <v>42.54</v>
      </c>
      <c r="F16" s="1754">
        <v>42.54</v>
      </c>
      <c r="G16" s="2017">
        <v>0</v>
      </c>
      <c r="H16" s="2016">
        <f>B16*1.039*1.037</f>
        <v>65.961060459999985</v>
      </c>
      <c r="I16" s="1755">
        <f t="shared" si="9"/>
        <v>65.961060459999985</v>
      </c>
      <c r="J16" s="2017">
        <v>0</v>
      </c>
      <c r="K16" s="2007">
        <f>L16</f>
        <v>1.0512394199999999E-2</v>
      </c>
      <c r="L16" s="1754">
        <f>'ОХР '!EM17*1.039*1.022</f>
        <v>1.0512394199999999E-2</v>
      </c>
      <c r="M16" s="2017">
        <v>0</v>
      </c>
    </row>
    <row r="17" spans="1:13" x14ac:dyDescent="0.2">
      <c r="A17" s="2000" t="s">
        <v>1538</v>
      </c>
      <c r="B17" s="2011">
        <f>SUM(B18:B24)</f>
        <v>3421.4939031133254</v>
      </c>
      <c r="C17" s="1749">
        <f t="shared" ref="C17:D17" si="10">SUM(C18:C24)</f>
        <v>3419.2755031133252</v>
      </c>
      <c r="D17" s="2018">
        <f t="shared" si="10"/>
        <v>2.2184000000000004</v>
      </c>
      <c r="E17" s="2005">
        <f>SUM(E18:E24)</f>
        <v>1678.9323699999998</v>
      </c>
      <c r="F17" s="1749">
        <f t="shared" ref="F17:G17" si="11">SUM(F18:F24)</f>
        <v>1669.0833768167786</v>
      </c>
      <c r="G17" s="2018">
        <f t="shared" si="11"/>
        <v>9.8489931832212463</v>
      </c>
      <c r="H17" s="2011">
        <f>SUM(H18:H24)</f>
        <v>4224.4452122231905</v>
      </c>
      <c r="I17" s="1749">
        <f t="shared" ref="I17:J17" si="12">SUM(I18:I24)</f>
        <v>4203.5540822231906</v>
      </c>
      <c r="J17" s="2018">
        <f t="shared" si="12"/>
        <v>20.89113</v>
      </c>
      <c r="K17" s="2005">
        <f>SUM(K18:K24)</f>
        <v>2477.9815239727345</v>
      </c>
      <c r="L17" s="1749">
        <f t="shared" ref="L17:M17" si="13">SUM(L18:L24)</f>
        <v>2467.2816316748658</v>
      </c>
      <c r="M17" s="2018">
        <f t="shared" si="13"/>
        <v>10.699892297868619</v>
      </c>
    </row>
    <row r="18" spans="1:13" s="1889" customFormat="1" ht="53.25" customHeight="1" x14ac:dyDescent="0.2">
      <c r="A18" s="2056" t="s">
        <v>1789</v>
      </c>
      <c r="B18" s="2019">
        <f>C18</f>
        <v>0</v>
      </c>
      <c r="C18" s="1745">
        <v>0</v>
      </c>
      <c r="D18" s="2020">
        <v>0</v>
      </c>
      <c r="E18" s="2008">
        <f>F18+G18</f>
        <v>61.43</v>
      </c>
      <c r="F18" s="1745">
        <v>61.43</v>
      </c>
      <c r="G18" s="2020">
        <v>0</v>
      </c>
      <c r="H18" s="2019">
        <f>'[56]корректировка 2018'!$I$9</f>
        <v>47.513196494407865</v>
      </c>
      <c r="I18" s="1745">
        <f>H18</f>
        <v>47.513196494407865</v>
      </c>
      <c r="J18" s="2020">
        <v>0</v>
      </c>
      <c r="K18" s="2008">
        <f>L18+M18</f>
        <v>438.50863012644095</v>
      </c>
      <c r="L18" s="1745">
        <f>'[57]корректировка 2017'!$I$9</f>
        <v>438.50863012644095</v>
      </c>
      <c r="M18" s="2020">
        <v>0</v>
      </c>
    </row>
    <row r="19" spans="1:13" ht="36.75" customHeight="1" x14ac:dyDescent="0.2">
      <c r="A19" s="2002" t="s">
        <v>1545</v>
      </c>
      <c r="B19" s="2019">
        <f>C19+D19</f>
        <v>3293.3339031133255</v>
      </c>
      <c r="C19" s="1745">
        <f>'2018 к'!E12</f>
        <v>3291.1155031133253</v>
      </c>
      <c r="D19" s="2021">
        <f>'2018 к'!E21</f>
        <v>2.2184000000000004</v>
      </c>
      <c r="E19" s="2008">
        <f t="shared" ref="E19:E24" si="14">F19+G19</f>
        <v>1459.7023699999997</v>
      </c>
      <c r="F19" s="1745">
        <f>'2018 к'!E30</f>
        <v>1449.8533768167786</v>
      </c>
      <c r="G19" s="2021">
        <f>'2018 к'!E39</f>
        <v>9.8489931832212463</v>
      </c>
      <c r="H19" s="2019">
        <f>I19+J19</f>
        <v>3523.8224121041176</v>
      </c>
      <c r="I19" s="1745">
        <f>'2018 к'!G12</f>
        <v>3502.9312821041176</v>
      </c>
      <c r="J19" s="2021">
        <f>'2018 к'!G21</f>
        <v>20.89113</v>
      </c>
      <c r="K19" s="2008">
        <f t="shared" ref="K19:K24" si="15">L19+M19</f>
        <v>1513.464332389854</v>
      </c>
      <c r="L19" s="1745">
        <f>'2018 к'!G30</f>
        <v>1502.7644400919853</v>
      </c>
      <c r="M19" s="2021">
        <f>'2018 к'!G39</f>
        <v>10.699892297868619</v>
      </c>
    </row>
    <row r="20" spans="1:13" ht="28.5" customHeight="1" x14ac:dyDescent="0.2">
      <c r="A20" s="2002" t="s">
        <v>1546</v>
      </c>
      <c r="B20" s="2019">
        <f>C20+D20</f>
        <v>128.16</v>
      </c>
      <c r="C20" s="1745">
        <v>128.16</v>
      </c>
      <c r="D20" s="2020">
        <v>0</v>
      </c>
      <c r="E20" s="2008">
        <f t="shared" si="14"/>
        <v>157.80000000000001</v>
      </c>
      <c r="F20" s="1768">
        <v>157.80000000000001</v>
      </c>
      <c r="G20" s="2021">
        <f>'2017 к'!H22</f>
        <v>0</v>
      </c>
      <c r="H20" s="2019">
        <f>I20+J20</f>
        <v>216.27</v>
      </c>
      <c r="I20" s="1745">
        <v>216.27</v>
      </c>
      <c r="J20" s="2020">
        <v>0</v>
      </c>
      <c r="K20" s="2008">
        <f t="shared" si="15"/>
        <v>152.0548</v>
      </c>
      <c r="L20" s="1768">
        <f>'стоки 2019-2023'!Q16</f>
        <v>152.0548</v>
      </c>
      <c r="M20" s="2021">
        <f>'2017 к'!N22</f>
        <v>0</v>
      </c>
    </row>
    <row r="21" spans="1:13" ht="24.75" customHeight="1" x14ac:dyDescent="0.2">
      <c r="A21" s="2002" t="s">
        <v>1547</v>
      </c>
      <c r="B21" s="2019">
        <f t="shared" ref="B21:B24" si="16">C21+D21</f>
        <v>0</v>
      </c>
      <c r="C21" s="1745">
        <v>0</v>
      </c>
      <c r="D21" s="2020">
        <v>0</v>
      </c>
      <c r="E21" s="2008">
        <f t="shared" si="14"/>
        <v>0</v>
      </c>
      <c r="F21" s="1745">
        <v>0</v>
      </c>
      <c r="G21" s="2021">
        <f>'2017 к'!H23</f>
        <v>0</v>
      </c>
      <c r="H21" s="2019">
        <f t="shared" ref="H21:H24" si="17">I21+J21</f>
        <v>436.83960362466541</v>
      </c>
      <c r="I21" s="1745">
        <f>'рез к 2017'!G38</f>
        <v>436.83960362466541</v>
      </c>
      <c r="J21" s="2020">
        <v>0</v>
      </c>
      <c r="K21" s="2008">
        <f t="shared" si="15"/>
        <v>373.95376145643951</v>
      </c>
      <c r="L21" s="1745">
        <f>'Резерв ДЗ'!G34</f>
        <v>373.95376145643951</v>
      </c>
      <c r="M21" s="2021">
        <f>'2017 к'!N23</f>
        <v>0</v>
      </c>
    </row>
    <row r="22" spans="1:13" ht="24.75" customHeight="1" x14ac:dyDescent="0.2">
      <c r="A22" s="2002" t="s">
        <v>917</v>
      </c>
      <c r="B22" s="2019">
        <f t="shared" si="16"/>
        <v>0</v>
      </c>
      <c r="C22" s="1768">
        <v>0</v>
      </c>
      <c r="D22" s="2020">
        <v>0</v>
      </c>
      <c r="E22" s="2008">
        <f t="shared" si="14"/>
        <v>0</v>
      </c>
      <c r="F22" s="1768">
        <v>0</v>
      </c>
      <c r="G22" s="2021">
        <f>'2017 к'!H24</f>
        <v>0</v>
      </c>
      <c r="H22" s="2019">
        <f t="shared" si="17"/>
        <v>0</v>
      </c>
      <c r="I22" s="1768">
        <v>0</v>
      </c>
      <c r="J22" s="2020">
        <v>0</v>
      </c>
      <c r="K22" s="2008">
        <f t="shared" si="15"/>
        <v>0</v>
      </c>
      <c r="L22" s="1768">
        <v>0</v>
      </c>
      <c r="M22" s="2021">
        <f>'2017 к'!N24</f>
        <v>0</v>
      </c>
    </row>
    <row r="23" spans="1:13" ht="30.75" customHeight="1" x14ac:dyDescent="0.2">
      <c r="A23" s="2002" t="s">
        <v>919</v>
      </c>
      <c r="B23" s="2019">
        <f t="shared" si="16"/>
        <v>0</v>
      </c>
      <c r="C23" s="1768">
        <v>0</v>
      </c>
      <c r="D23" s="2020">
        <v>0</v>
      </c>
      <c r="E23" s="2008">
        <f t="shared" si="14"/>
        <v>0</v>
      </c>
      <c r="F23" s="1768">
        <v>0</v>
      </c>
      <c r="G23" s="2020">
        <v>0</v>
      </c>
      <c r="H23" s="2019">
        <f t="shared" si="17"/>
        <v>0</v>
      </c>
      <c r="I23" s="1768">
        <v>0</v>
      </c>
      <c r="J23" s="2020">
        <v>0</v>
      </c>
      <c r="K23" s="2008">
        <f t="shared" si="15"/>
        <v>0</v>
      </c>
      <c r="L23" s="1768">
        <v>0</v>
      </c>
      <c r="M23" s="2020">
        <v>0</v>
      </c>
    </row>
    <row r="24" spans="1:13" ht="27" customHeight="1" x14ac:dyDescent="0.2">
      <c r="A24" s="2002" t="s">
        <v>1548</v>
      </c>
      <c r="B24" s="2019">
        <f t="shared" si="16"/>
        <v>0</v>
      </c>
      <c r="C24" s="1768">
        <v>0</v>
      </c>
      <c r="D24" s="2020">
        <v>0</v>
      </c>
      <c r="E24" s="2008">
        <f t="shared" si="14"/>
        <v>0</v>
      </c>
      <c r="F24" s="1768">
        <v>0</v>
      </c>
      <c r="G24" s="2020">
        <v>0</v>
      </c>
      <c r="H24" s="2019">
        <f t="shared" si="17"/>
        <v>0</v>
      </c>
      <c r="I24" s="1768">
        <v>0</v>
      </c>
      <c r="J24" s="2020">
        <v>0</v>
      </c>
      <c r="K24" s="2008">
        <f t="shared" si="15"/>
        <v>0</v>
      </c>
      <c r="L24" s="1768">
        <v>0</v>
      </c>
      <c r="M24" s="2020">
        <v>0</v>
      </c>
    </row>
    <row r="25" spans="1:13" x14ac:dyDescent="0.2">
      <c r="A25" s="2000" t="s">
        <v>2</v>
      </c>
      <c r="B25" s="2019">
        <f>SUM(B26:B29)</f>
        <v>8497.9000000000015</v>
      </c>
      <c r="C25" s="1745">
        <f t="shared" ref="C25:D25" si="18">SUM(C26:C29)</f>
        <v>8496.3795185718263</v>
      </c>
      <c r="D25" s="2021">
        <f t="shared" si="18"/>
        <v>1.5204814281734422</v>
      </c>
      <c r="E25" s="2008">
        <f>SUM(E26:E29)</f>
        <v>5036.88</v>
      </c>
      <c r="F25" s="1745">
        <f t="shared" ref="F25:G25" si="19">SUM(F26:F29)</f>
        <v>5028.8549485830717</v>
      </c>
      <c r="G25" s="2021">
        <f t="shared" si="19"/>
        <v>5.12</v>
      </c>
      <c r="H25" s="2019">
        <f>SUM(H26:H29)</f>
        <v>8497.9000000000015</v>
      </c>
      <c r="I25" s="1745">
        <f t="shared" ref="I25:J25" si="20">SUM(I26:I29)</f>
        <v>8476.8043680103383</v>
      </c>
      <c r="J25" s="2021">
        <f t="shared" si="20"/>
        <v>21.095631989661516</v>
      </c>
      <c r="K25" s="2008">
        <f>SUM(K26:K29)</f>
        <v>5036.88</v>
      </c>
      <c r="L25" s="1745">
        <f t="shared" ref="L25:M25" si="21">SUM(L26:L29)</f>
        <v>5028.8549485830717</v>
      </c>
      <c r="M25" s="2021">
        <f t="shared" si="21"/>
        <v>5.12</v>
      </c>
    </row>
    <row r="26" spans="1:13" s="1731" customFormat="1" x14ac:dyDescent="0.2">
      <c r="A26" s="2003" t="s">
        <v>1552</v>
      </c>
      <c r="B26" s="2022">
        <f>Аморт!X7</f>
        <v>3566.58</v>
      </c>
      <c r="C26" s="1767">
        <f>C9/B9*B26</f>
        <v>3565.0595185718266</v>
      </c>
      <c r="D26" s="2023">
        <f>D9/B9*B26</f>
        <v>1.5204814281734422</v>
      </c>
      <c r="E26" s="2028">
        <f>Аморт!X14</f>
        <v>498.59</v>
      </c>
      <c r="F26" s="1767">
        <f>F9/E9*E26</f>
        <v>495.68494858307196</v>
      </c>
      <c r="G26" s="2023">
        <v>0</v>
      </c>
      <c r="H26" s="2019">
        <f>Аморт!AE7</f>
        <v>3566.58</v>
      </c>
      <c r="I26" s="1767">
        <f>I9/H9*H26</f>
        <v>3545.4843680103381</v>
      </c>
      <c r="J26" s="2023">
        <f>J9/H9*H26</f>
        <v>21.095631989661516</v>
      </c>
      <c r="K26" s="2028">
        <f>Аморт!AE14</f>
        <v>498.59</v>
      </c>
      <c r="L26" s="1767">
        <f>L9/K9*K26</f>
        <v>495.68494858307196</v>
      </c>
      <c r="M26" s="2023">
        <v>0</v>
      </c>
    </row>
    <row r="27" spans="1:13" s="1731" customFormat="1" x14ac:dyDescent="0.2">
      <c r="A27" s="2003" t="s">
        <v>1553</v>
      </c>
      <c r="B27" s="2022">
        <f>Аморт!X8</f>
        <v>1344.19</v>
      </c>
      <c r="C27" s="1758">
        <f>B27</f>
        <v>1344.19</v>
      </c>
      <c r="D27" s="2024"/>
      <c r="E27" s="2028">
        <f>Аморт!X15</f>
        <v>588.47</v>
      </c>
      <c r="F27" s="1758">
        <f>E27-G27</f>
        <v>583.35</v>
      </c>
      <c r="G27" s="2023">
        <v>5.12</v>
      </c>
      <c r="H27" s="2019">
        <f>Аморт!AE8</f>
        <v>1344.19</v>
      </c>
      <c r="I27" s="1758">
        <f>H27</f>
        <v>1344.19</v>
      </c>
      <c r="J27" s="2024"/>
      <c r="K27" s="2028">
        <f>Аморт!AE15</f>
        <v>588.47</v>
      </c>
      <c r="L27" s="1758">
        <f>K27-M27</f>
        <v>583.35</v>
      </c>
      <c r="M27" s="2023">
        <v>5.12</v>
      </c>
    </row>
    <row r="28" spans="1:13" s="1731" customFormat="1" x14ac:dyDescent="0.2">
      <c r="A28" s="2003" t="s">
        <v>1554</v>
      </c>
      <c r="B28" s="2022">
        <f>Аморт!X9</f>
        <v>53.89</v>
      </c>
      <c r="C28" s="1758">
        <f t="shared" ref="C28:C29" si="22">B28</f>
        <v>53.89</v>
      </c>
      <c r="D28" s="2024"/>
      <c r="E28" s="2028">
        <f>Аморт!X16</f>
        <v>36.94</v>
      </c>
      <c r="F28" s="1758">
        <f t="shared" ref="F28:F29" si="23">E28</f>
        <v>36.94</v>
      </c>
      <c r="G28" s="2024"/>
      <c r="H28" s="2019">
        <f>Аморт!AE9</f>
        <v>53.89</v>
      </c>
      <c r="I28" s="1758">
        <f t="shared" ref="I28:I29" si="24">H28</f>
        <v>53.89</v>
      </c>
      <c r="J28" s="2024"/>
      <c r="K28" s="2028">
        <f>Аморт!AE16</f>
        <v>36.94</v>
      </c>
      <c r="L28" s="1758">
        <f t="shared" ref="L28:L29" si="25">K28</f>
        <v>36.94</v>
      </c>
      <c r="M28" s="2024"/>
    </row>
    <row r="29" spans="1:13" s="1731" customFormat="1" x14ac:dyDescent="0.2">
      <c r="A29" s="2003" t="s">
        <v>85</v>
      </c>
      <c r="B29" s="2022">
        <f>Аморт!X10</f>
        <v>3533.24</v>
      </c>
      <c r="C29" s="1758">
        <f t="shared" si="22"/>
        <v>3533.24</v>
      </c>
      <c r="D29" s="2024"/>
      <c r="E29" s="2028">
        <f>Аморт!X17</f>
        <v>3912.88</v>
      </c>
      <c r="F29" s="1758">
        <f t="shared" si="23"/>
        <v>3912.88</v>
      </c>
      <c r="G29" s="2024"/>
      <c r="H29" s="2019">
        <f>Аморт!AE10</f>
        <v>3533.24</v>
      </c>
      <c r="I29" s="1758">
        <f t="shared" si="24"/>
        <v>3533.24</v>
      </c>
      <c r="J29" s="2024"/>
      <c r="K29" s="2028">
        <f>Аморт!AE17</f>
        <v>3912.88</v>
      </c>
      <c r="L29" s="1758">
        <f t="shared" si="25"/>
        <v>3912.88</v>
      </c>
      <c r="M29" s="2024"/>
    </row>
    <row r="30" spans="1:13" ht="13.5" thickBot="1" x14ac:dyDescent="0.25">
      <c r="A30" s="2000" t="s">
        <v>925</v>
      </c>
      <c r="B30" s="2025"/>
      <c r="C30" s="2026"/>
      <c r="D30" s="2027"/>
      <c r="E30" s="2029"/>
      <c r="F30" s="2026"/>
      <c r="G30" s="2027"/>
      <c r="H30" s="2025"/>
      <c r="I30" s="2026"/>
      <c r="J30" s="2027"/>
      <c r="K30" s="2029"/>
      <c r="L30" s="2026"/>
      <c r="M30" s="2027"/>
    </row>
    <row r="32" spans="1:13" x14ac:dyDescent="0.2">
      <c r="A32" s="5" t="s">
        <v>1685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85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6556" t="s">
        <v>2169</v>
      </c>
      <c r="B1" s="6556"/>
      <c r="C1" s="6556"/>
      <c r="D1" s="6556"/>
      <c r="E1" s="6556"/>
      <c r="F1" s="6556"/>
      <c r="G1" s="6556"/>
      <c r="H1" s="6556"/>
      <c r="I1" s="6556"/>
      <c r="N1" s="2335"/>
      <c r="O1" s="2335"/>
    </row>
    <row r="2" spans="1:20" ht="15.75" customHeight="1" x14ac:dyDescent="0.25">
      <c r="A2" s="6557" t="s">
        <v>2170</v>
      </c>
      <c r="B2" s="6557"/>
      <c r="C2" s="6557"/>
      <c r="D2" s="6557"/>
      <c r="E2" s="6557"/>
      <c r="F2" s="6557"/>
      <c r="G2" s="6557"/>
      <c r="H2" s="6557"/>
      <c r="I2" s="6557"/>
      <c r="N2" s="2335">
        <f>M8-N8</f>
        <v>2464759.057394471</v>
      </c>
      <c r="O2" s="2335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261" t="s">
        <v>2171</v>
      </c>
      <c r="B4" s="6558" t="s">
        <v>2172</v>
      </c>
      <c r="C4" s="6558"/>
      <c r="D4" s="6558"/>
      <c r="E4" s="6558"/>
      <c r="F4" s="6558"/>
      <c r="G4" s="6558"/>
      <c r="H4" s="6558"/>
      <c r="I4" s="6558"/>
      <c r="N4" s="2335"/>
      <c r="O4" s="2335">
        <f>O9+O12+O13+O16+O60</f>
        <v>706399.44654906937</v>
      </c>
    </row>
    <row r="5" spans="1:20" ht="2.1" customHeight="1" x14ac:dyDescent="0.2"/>
    <row r="6" spans="1:20" ht="12.75" customHeight="1" x14ac:dyDescent="0.2">
      <c r="A6" s="6553" t="s">
        <v>2173</v>
      </c>
      <c r="B6" s="6553"/>
      <c r="C6" s="6553"/>
      <c r="D6" s="6553"/>
      <c r="E6" s="6553"/>
      <c r="F6" s="6553"/>
      <c r="G6" s="2262"/>
      <c r="H6" s="6553" t="s">
        <v>2174</v>
      </c>
      <c r="I6" s="6553"/>
      <c r="J6" s="6553"/>
      <c r="K6" s="6553"/>
      <c r="L6" s="6553" t="s">
        <v>2175</v>
      </c>
      <c r="M6" s="6553"/>
      <c r="N6" s="6553"/>
      <c r="O6" s="6553"/>
      <c r="P6" s="6553"/>
      <c r="Q6" s="6553"/>
      <c r="R6" s="6553" t="s">
        <v>2176</v>
      </c>
      <c r="S6" s="6553"/>
      <c r="T6" s="6553"/>
    </row>
    <row r="7" spans="1:20" ht="36.75" customHeight="1" x14ac:dyDescent="0.2">
      <c r="A7" s="2263"/>
      <c r="B7" s="2264"/>
      <c r="C7" s="2262" t="s">
        <v>2177</v>
      </c>
      <c r="D7" s="2262" t="s">
        <v>2178</v>
      </c>
      <c r="E7" s="2262" t="s">
        <v>2179</v>
      </c>
      <c r="F7" s="2262" t="s">
        <v>2180</v>
      </c>
      <c r="G7" s="2262" t="s">
        <v>2181</v>
      </c>
      <c r="H7" s="2262" t="s">
        <v>2182</v>
      </c>
      <c r="I7" s="6553" t="s">
        <v>2183</v>
      </c>
      <c r="J7" s="6553"/>
      <c r="K7" s="2262" t="s">
        <v>2184</v>
      </c>
      <c r="L7" s="2262" t="s">
        <v>2185</v>
      </c>
      <c r="M7" s="2265" t="s">
        <v>2186</v>
      </c>
      <c r="N7" s="2266" t="s">
        <v>2187</v>
      </c>
      <c r="O7" s="2266"/>
      <c r="P7" s="2262" t="s">
        <v>2188</v>
      </c>
      <c r="Q7" s="2262" t="s">
        <v>2189</v>
      </c>
      <c r="R7" s="2262" t="s">
        <v>2182</v>
      </c>
      <c r="S7" s="2262" t="s">
        <v>2183</v>
      </c>
      <c r="T7" s="2262" t="s">
        <v>2184</v>
      </c>
    </row>
    <row r="8" spans="1:20" s="2203" customFormat="1" ht="12.75" customHeight="1" x14ac:dyDescent="0.2">
      <c r="A8" s="6554" t="s">
        <v>2190</v>
      </c>
      <c r="B8" s="6554"/>
      <c r="C8" s="6554"/>
      <c r="D8" s="6554"/>
      <c r="E8" s="6554"/>
      <c r="F8" s="6554"/>
      <c r="G8" s="2331"/>
      <c r="H8" s="2332">
        <v>47872333.609999999</v>
      </c>
      <c r="I8" s="6555">
        <v>19023948.5</v>
      </c>
      <c r="J8" s="6555"/>
      <c r="K8" s="2332">
        <v>28848385.109999999</v>
      </c>
      <c r="L8" s="2332">
        <v>2005355.17</v>
      </c>
      <c r="M8" s="2330">
        <v>3811874.54</v>
      </c>
      <c r="N8" s="2330">
        <f>SUM(N9:N62)</f>
        <v>1347115.4826055293</v>
      </c>
      <c r="O8" s="2330"/>
      <c r="P8" s="2332">
        <v>80512</v>
      </c>
      <c r="Q8" s="2332">
        <v>72807.86</v>
      </c>
      <c r="R8" s="2332">
        <v>49797176.780000001</v>
      </c>
      <c r="S8" s="2332">
        <v>22763015.18</v>
      </c>
      <c r="T8" s="2332">
        <v>27034161.600000001</v>
      </c>
    </row>
    <row r="9" spans="1:20" s="2274" customFormat="1" ht="34.5" customHeight="1" outlineLevel="1" x14ac:dyDescent="0.2">
      <c r="A9" s="6543" t="s">
        <v>2191</v>
      </c>
      <c r="B9" s="6543"/>
      <c r="C9" s="2267">
        <v>45</v>
      </c>
      <c r="D9" s="2268" t="s">
        <v>2192</v>
      </c>
      <c r="E9" s="2269">
        <v>231881</v>
      </c>
      <c r="F9" s="2270">
        <v>600</v>
      </c>
      <c r="G9" s="2270">
        <f>E9/F9*12</f>
        <v>4637.62</v>
      </c>
      <c r="H9" s="2271">
        <v>231881</v>
      </c>
      <c r="I9" s="6544">
        <v>126930.6</v>
      </c>
      <c r="J9" s="6544"/>
      <c r="K9" s="2271">
        <v>107950.39999999999</v>
      </c>
      <c r="L9" s="2271">
        <v>118695.41</v>
      </c>
      <c r="M9" s="2272">
        <v>7339.63</v>
      </c>
      <c r="N9" s="2336">
        <f>(H9+L9)/600*12</f>
        <v>7011.5282000000007</v>
      </c>
      <c r="O9" s="2336">
        <f>M9-N9</f>
        <v>328.10179999999946</v>
      </c>
      <c r="P9" s="2273"/>
      <c r="Q9" s="2273"/>
      <c r="R9" s="2271">
        <v>353576.41</v>
      </c>
      <c r="S9" s="2271">
        <v>134270.23000000001</v>
      </c>
      <c r="T9" s="2271">
        <v>219306.18</v>
      </c>
    </row>
    <row r="10" spans="1:20" ht="23.25" customHeight="1" outlineLevel="1" x14ac:dyDescent="0.2">
      <c r="A10" s="6538" t="s">
        <v>2193</v>
      </c>
      <c r="B10" s="6538"/>
      <c r="C10" s="2275">
        <v>41</v>
      </c>
      <c r="D10" s="2276" t="s">
        <v>2192</v>
      </c>
      <c r="E10" s="2277" t="s">
        <v>2194</v>
      </c>
      <c r="F10" s="2278">
        <v>600</v>
      </c>
      <c r="G10" s="2278"/>
      <c r="H10" s="2279">
        <v>345355</v>
      </c>
      <c r="I10" s="6539">
        <v>155659.62</v>
      </c>
      <c r="J10" s="6539"/>
      <c r="K10" s="2279">
        <v>189695.38</v>
      </c>
      <c r="L10" s="2277"/>
      <c r="M10" s="2280"/>
      <c r="N10" s="2280"/>
      <c r="O10" s="2336">
        <f t="shared" ref="O10:O62" si="0">M10-N10</f>
        <v>0</v>
      </c>
      <c r="P10" s="2277"/>
      <c r="Q10" s="2277"/>
      <c r="R10" s="2279">
        <v>345355</v>
      </c>
      <c r="S10" s="2279">
        <v>155659.62</v>
      </c>
      <c r="T10" s="2279">
        <v>189695.38</v>
      </c>
    </row>
    <row r="11" spans="1:20" ht="23.25" customHeight="1" outlineLevel="1" x14ac:dyDescent="0.2">
      <c r="A11" s="6538" t="s">
        <v>2195</v>
      </c>
      <c r="B11" s="6538"/>
      <c r="C11" s="2275">
        <v>1733</v>
      </c>
      <c r="D11" s="2276" t="s">
        <v>2196</v>
      </c>
      <c r="E11" s="2277" t="s">
        <v>2197</v>
      </c>
      <c r="F11" s="2278">
        <v>600</v>
      </c>
      <c r="G11" s="2278"/>
      <c r="H11" s="2279">
        <v>3892411.39</v>
      </c>
      <c r="I11" s="6539">
        <v>951917.59</v>
      </c>
      <c r="J11" s="6539"/>
      <c r="K11" s="2279">
        <v>2940493.8</v>
      </c>
      <c r="L11" s="2277"/>
      <c r="M11" s="2281">
        <v>78939.360000000001</v>
      </c>
      <c r="N11" s="2281">
        <f>M11</f>
        <v>78939.360000000001</v>
      </c>
      <c r="O11" s="2336">
        <f t="shared" si="0"/>
        <v>0</v>
      </c>
      <c r="P11" s="2277"/>
      <c r="Q11" s="2277"/>
      <c r="R11" s="2279">
        <v>3892411.39</v>
      </c>
      <c r="S11" s="2279">
        <v>1030856.95</v>
      </c>
      <c r="T11" s="2279">
        <v>2861554.44</v>
      </c>
    </row>
    <row r="12" spans="1:20" s="2274" customFormat="1" ht="23.25" customHeight="1" outlineLevel="1" x14ac:dyDescent="0.2">
      <c r="A12" s="6543" t="s">
        <v>2198</v>
      </c>
      <c r="B12" s="6543"/>
      <c r="C12" s="2267">
        <v>291</v>
      </c>
      <c r="D12" s="2268" t="s">
        <v>2199</v>
      </c>
      <c r="E12" s="2273" t="s">
        <v>2200</v>
      </c>
      <c r="F12" s="2270">
        <v>514</v>
      </c>
      <c r="G12" s="2270"/>
      <c r="H12" s="2271">
        <v>3829011.43</v>
      </c>
      <c r="I12" s="6544">
        <v>2161685.4900000002</v>
      </c>
      <c r="J12" s="6544"/>
      <c r="K12" s="2271">
        <v>1667325.94</v>
      </c>
      <c r="L12" s="2271">
        <v>817840.12</v>
      </c>
      <c r="M12" s="2271">
        <v>643985.41</v>
      </c>
      <c r="N12" s="2336">
        <f>(H12+L12)/514*12</f>
        <v>108486.80661478598</v>
      </c>
      <c r="O12" s="2336">
        <f t="shared" si="0"/>
        <v>535498.603385214</v>
      </c>
      <c r="P12" s="2273"/>
      <c r="Q12" s="2273"/>
      <c r="R12" s="2271">
        <v>4646851.55</v>
      </c>
      <c r="S12" s="2271">
        <v>2805670.9</v>
      </c>
      <c r="T12" s="2271">
        <v>1841180.65</v>
      </c>
    </row>
    <row r="13" spans="1:20" ht="23.25" customHeight="1" outlineLevel="1" x14ac:dyDescent="0.2">
      <c r="A13" s="6538" t="s">
        <v>2201</v>
      </c>
      <c r="B13" s="6538"/>
      <c r="C13" s="2275">
        <v>196</v>
      </c>
      <c r="D13" s="2276" t="s">
        <v>2202</v>
      </c>
      <c r="E13" s="2277" t="s">
        <v>2203</v>
      </c>
      <c r="F13" s="2278">
        <v>600</v>
      </c>
      <c r="G13" s="2278"/>
      <c r="H13" s="2279">
        <v>683659.93</v>
      </c>
      <c r="I13" s="6539">
        <v>492524.53</v>
      </c>
      <c r="J13" s="6539"/>
      <c r="K13" s="2279">
        <v>191135.4</v>
      </c>
      <c r="L13" s="2277"/>
      <c r="M13" s="2281">
        <v>176432.76</v>
      </c>
      <c r="N13" s="2336">
        <f>H13/F13*12</f>
        <v>13673.198600000002</v>
      </c>
      <c r="O13" s="2336">
        <f t="shared" si="0"/>
        <v>162759.56140000001</v>
      </c>
      <c r="P13" s="2277"/>
      <c r="Q13" s="2277"/>
      <c r="R13" s="2279">
        <v>683659.93</v>
      </c>
      <c r="S13" s="2279">
        <v>668957.29</v>
      </c>
      <c r="T13" s="2279">
        <v>14702.64</v>
      </c>
    </row>
    <row r="14" spans="1:20" ht="23.25" customHeight="1" outlineLevel="1" x14ac:dyDescent="0.2">
      <c r="A14" s="6538" t="s">
        <v>2204</v>
      </c>
      <c r="B14" s="6538"/>
      <c r="C14" s="2275">
        <v>526</v>
      </c>
      <c r="D14" s="2276" t="s">
        <v>2205</v>
      </c>
      <c r="E14" s="2277" t="s">
        <v>2206</v>
      </c>
      <c r="F14" s="2278">
        <v>480</v>
      </c>
      <c r="G14" s="2278"/>
      <c r="H14" s="2279">
        <v>21190</v>
      </c>
      <c r="I14" s="6539">
        <v>21190</v>
      </c>
      <c r="J14" s="6539"/>
      <c r="K14" s="2277"/>
      <c r="L14" s="2277"/>
      <c r="M14" s="2280"/>
      <c r="N14" s="2280"/>
      <c r="O14" s="2336">
        <f t="shared" si="0"/>
        <v>0</v>
      </c>
      <c r="P14" s="2277"/>
      <c r="Q14" s="2277"/>
      <c r="R14" s="2279">
        <v>21190</v>
      </c>
      <c r="S14" s="2279">
        <v>21190</v>
      </c>
      <c r="T14" s="2277"/>
    </row>
    <row r="15" spans="1:20" ht="34.5" customHeight="1" outlineLevel="1" x14ac:dyDescent="0.2">
      <c r="A15" s="6538" t="s">
        <v>2207</v>
      </c>
      <c r="B15" s="6538"/>
      <c r="C15" s="2275">
        <v>190</v>
      </c>
      <c r="D15" s="2276" t="s">
        <v>2208</v>
      </c>
      <c r="E15" s="2277" t="s">
        <v>2209</v>
      </c>
      <c r="F15" s="2278">
        <v>145</v>
      </c>
      <c r="G15" s="2278"/>
      <c r="H15" s="2279">
        <v>441236.4</v>
      </c>
      <c r="I15" s="6539">
        <v>422568.63</v>
      </c>
      <c r="J15" s="6539"/>
      <c r="K15" s="2279">
        <v>18667.77</v>
      </c>
      <c r="L15" s="2277"/>
      <c r="M15" s="2281">
        <v>18667.77</v>
      </c>
      <c r="N15" s="2281">
        <f>M15</f>
        <v>18667.77</v>
      </c>
      <c r="O15" s="2336">
        <f t="shared" si="0"/>
        <v>0</v>
      </c>
      <c r="P15" s="2277"/>
      <c r="Q15" s="2277"/>
      <c r="R15" s="2279">
        <v>441236.4</v>
      </c>
      <c r="S15" s="2279">
        <v>441236.4</v>
      </c>
      <c r="T15" s="2277"/>
    </row>
    <row r="16" spans="1:20" ht="23.25" customHeight="1" outlineLevel="1" x14ac:dyDescent="0.2">
      <c r="A16" s="6538" t="s">
        <v>2210</v>
      </c>
      <c r="B16" s="6538"/>
      <c r="C16" s="2275">
        <v>29</v>
      </c>
      <c r="D16" s="2276" t="s">
        <v>2192</v>
      </c>
      <c r="E16" s="2277" t="s">
        <v>2211</v>
      </c>
      <c r="F16" s="2278">
        <v>996</v>
      </c>
      <c r="G16" s="2278"/>
      <c r="H16" s="2279">
        <v>1243437.8600000001</v>
      </c>
      <c r="I16" s="6539">
        <v>348142.85</v>
      </c>
      <c r="J16" s="6539"/>
      <c r="K16" s="2279">
        <v>895295.01</v>
      </c>
      <c r="L16" s="2277"/>
      <c r="M16" s="2281">
        <v>16302.84</v>
      </c>
      <c r="N16" s="2336">
        <f>H16/F16*12</f>
        <v>14981.17903614458</v>
      </c>
      <c r="O16" s="2336">
        <f t="shared" si="0"/>
        <v>1321.6609638554201</v>
      </c>
      <c r="P16" s="2277"/>
      <c r="Q16" s="2277"/>
      <c r="R16" s="2279">
        <v>1243437.8600000001</v>
      </c>
      <c r="S16" s="2279">
        <v>364445.69</v>
      </c>
      <c r="T16" s="2279">
        <v>878992.17</v>
      </c>
    </row>
    <row r="17" spans="1:20" ht="34.5" customHeight="1" outlineLevel="1" x14ac:dyDescent="0.2">
      <c r="A17" s="6538" t="s">
        <v>2212</v>
      </c>
      <c r="B17" s="6538"/>
      <c r="C17" s="2275">
        <v>13</v>
      </c>
      <c r="D17" s="2276" t="s">
        <v>2213</v>
      </c>
      <c r="E17" s="2277" t="s">
        <v>2214</v>
      </c>
      <c r="F17" s="2278">
        <v>600</v>
      </c>
      <c r="G17" s="2278"/>
      <c r="H17" s="2279">
        <v>357248</v>
      </c>
      <c r="I17" s="6539">
        <v>270297.38</v>
      </c>
      <c r="J17" s="6539"/>
      <c r="K17" s="2279">
        <v>86950.62</v>
      </c>
      <c r="L17" s="2277"/>
      <c r="M17" s="2280"/>
      <c r="N17" s="2280"/>
      <c r="O17" s="2336">
        <f t="shared" si="0"/>
        <v>0</v>
      </c>
      <c r="P17" s="2277"/>
      <c r="Q17" s="2277"/>
      <c r="R17" s="2279">
        <v>357248</v>
      </c>
      <c r="S17" s="2279">
        <v>270297.38</v>
      </c>
      <c r="T17" s="2279">
        <v>86950.62</v>
      </c>
    </row>
    <row r="18" spans="1:20" ht="23.25" customHeight="1" outlineLevel="1" x14ac:dyDescent="0.2">
      <c r="A18" s="6538" t="s">
        <v>2215</v>
      </c>
      <c r="B18" s="6538"/>
      <c r="C18" s="2275">
        <v>9</v>
      </c>
      <c r="D18" s="2276" t="s">
        <v>2213</v>
      </c>
      <c r="E18" s="2277" t="s">
        <v>2216</v>
      </c>
      <c r="F18" s="2278">
        <v>696</v>
      </c>
      <c r="G18" s="2278"/>
      <c r="H18" s="2279">
        <v>354521</v>
      </c>
      <c r="I18" s="6539">
        <v>230450.2</v>
      </c>
      <c r="J18" s="6539"/>
      <c r="K18" s="2279">
        <v>124070.8</v>
      </c>
      <c r="L18" s="2277"/>
      <c r="M18" s="2280"/>
      <c r="N18" s="2280"/>
      <c r="O18" s="2336">
        <f t="shared" si="0"/>
        <v>0</v>
      </c>
      <c r="P18" s="2277"/>
      <c r="Q18" s="2277"/>
      <c r="R18" s="2279">
        <v>354521</v>
      </c>
      <c r="S18" s="2279">
        <v>230450.2</v>
      </c>
      <c r="T18" s="2279">
        <v>124070.8</v>
      </c>
    </row>
    <row r="19" spans="1:20" ht="23.25" customHeight="1" outlineLevel="1" x14ac:dyDescent="0.2">
      <c r="A19" s="6538" t="s">
        <v>2217</v>
      </c>
      <c r="B19" s="6538"/>
      <c r="C19" s="2275">
        <v>287</v>
      </c>
      <c r="D19" s="2276" t="s">
        <v>2218</v>
      </c>
      <c r="E19" s="2277" t="s">
        <v>2219</v>
      </c>
      <c r="F19" s="2278">
        <v>279</v>
      </c>
      <c r="G19" s="2278"/>
      <c r="H19" s="2279">
        <v>2065079.57</v>
      </c>
      <c r="I19" s="6539">
        <v>495022.4</v>
      </c>
      <c r="J19" s="6539"/>
      <c r="K19" s="2279">
        <v>1570057.17</v>
      </c>
      <c r="L19" s="2277"/>
      <c r="M19" s="2281">
        <v>88820.64</v>
      </c>
      <c r="N19" s="2281">
        <f>M19</f>
        <v>88820.64</v>
      </c>
      <c r="O19" s="2336">
        <f t="shared" si="0"/>
        <v>0</v>
      </c>
      <c r="P19" s="2277"/>
      <c r="Q19" s="2277"/>
      <c r="R19" s="2279">
        <v>2065079.57</v>
      </c>
      <c r="S19" s="2279">
        <v>583843.04</v>
      </c>
      <c r="T19" s="2279">
        <v>1481236.53</v>
      </c>
    </row>
    <row r="20" spans="1:20" ht="23.25" customHeight="1" outlineLevel="1" x14ac:dyDescent="0.2">
      <c r="A20" s="6538" t="s">
        <v>2220</v>
      </c>
      <c r="B20" s="6538"/>
      <c r="C20" s="2282">
        <v>1930</v>
      </c>
      <c r="D20" s="2276" t="s">
        <v>2221</v>
      </c>
      <c r="E20" s="2277" t="s">
        <v>2222</v>
      </c>
      <c r="F20" s="2278">
        <v>480</v>
      </c>
      <c r="G20" s="2278"/>
      <c r="H20" s="2279">
        <v>427792</v>
      </c>
      <c r="I20" s="6539">
        <v>106840.06</v>
      </c>
      <c r="J20" s="6539"/>
      <c r="K20" s="2279">
        <v>320951.94</v>
      </c>
      <c r="L20" s="2277"/>
      <c r="M20" s="2281">
        <v>10694.76</v>
      </c>
      <c r="N20" s="2281">
        <f>M20</f>
        <v>10694.76</v>
      </c>
      <c r="O20" s="2336">
        <f t="shared" si="0"/>
        <v>0</v>
      </c>
      <c r="P20" s="2277"/>
      <c r="Q20" s="2277"/>
      <c r="R20" s="2279">
        <v>427792</v>
      </c>
      <c r="S20" s="2279">
        <v>117534.82</v>
      </c>
      <c r="T20" s="2279">
        <v>310257.18</v>
      </c>
    </row>
    <row r="21" spans="1:20" ht="23.25" customHeight="1" outlineLevel="1" x14ac:dyDescent="0.2">
      <c r="A21" s="6538" t="s">
        <v>2223</v>
      </c>
      <c r="B21" s="6538"/>
      <c r="C21" s="2282">
        <v>1931</v>
      </c>
      <c r="D21" s="2276" t="s">
        <v>2221</v>
      </c>
      <c r="E21" s="2277" t="s">
        <v>2224</v>
      </c>
      <c r="F21" s="2278">
        <v>480</v>
      </c>
      <c r="G21" s="2278"/>
      <c r="H21" s="2279">
        <v>431090.01</v>
      </c>
      <c r="I21" s="6539">
        <v>107664.46</v>
      </c>
      <c r="J21" s="6539"/>
      <c r="K21" s="2279">
        <v>323425.55</v>
      </c>
      <c r="L21" s="2277"/>
      <c r="M21" s="2281">
        <v>10777.2</v>
      </c>
      <c r="N21" s="2281">
        <f>M21</f>
        <v>10777.2</v>
      </c>
      <c r="O21" s="2336">
        <f t="shared" si="0"/>
        <v>0</v>
      </c>
      <c r="P21" s="2277"/>
      <c r="Q21" s="2277"/>
      <c r="R21" s="2279">
        <v>431090.01</v>
      </c>
      <c r="S21" s="2279">
        <v>118441.66</v>
      </c>
      <c r="T21" s="2279">
        <v>312648.34999999998</v>
      </c>
    </row>
    <row r="22" spans="1:20" ht="23.25" customHeight="1" outlineLevel="1" x14ac:dyDescent="0.2">
      <c r="A22" s="6538" t="s">
        <v>2225</v>
      </c>
      <c r="B22" s="6538"/>
      <c r="C22" s="2275">
        <v>461</v>
      </c>
      <c r="D22" s="2276" t="s">
        <v>2226</v>
      </c>
      <c r="E22" s="2277" t="s">
        <v>2227</v>
      </c>
      <c r="F22" s="2278">
        <v>480</v>
      </c>
      <c r="G22" s="2278"/>
      <c r="H22" s="2279">
        <v>444175</v>
      </c>
      <c r="I22" s="6539">
        <v>363316.8</v>
      </c>
      <c r="J22" s="6539"/>
      <c r="K22" s="2279">
        <v>80858.2</v>
      </c>
      <c r="L22" s="2277"/>
      <c r="M22" s="2281">
        <v>11104.32</v>
      </c>
      <c r="N22" s="2281">
        <f>M22</f>
        <v>11104.32</v>
      </c>
      <c r="O22" s="2336">
        <f t="shared" si="0"/>
        <v>0</v>
      </c>
      <c r="P22" s="2277"/>
      <c r="Q22" s="2277"/>
      <c r="R22" s="2279">
        <v>444175</v>
      </c>
      <c r="S22" s="2279">
        <v>374421.12</v>
      </c>
      <c r="T22" s="2279">
        <v>69753.88</v>
      </c>
    </row>
    <row r="23" spans="1:20" ht="23.25" customHeight="1" outlineLevel="1" x14ac:dyDescent="0.2">
      <c r="A23" s="6538" t="s">
        <v>2228</v>
      </c>
      <c r="B23" s="6538"/>
      <c r="C23" s="2275">
        <v>464</v>
      </c>
      <c r="D23" s="2276" t="s">
        <v>2229</v>
      </c>
      <c r="E23" s="2277" t="s">
        <v>2230</v>
      </c>
      <c r="F23" s="2278">
        <v>480</v>
      </c>
      <c r="G23" s="2278"/>
      <c r="H23" s="2279">
        <v>63782</v>
      </c>
      <c r="I23" s="6539">
        <v>34288.400000000001</v>
      </c>
      <c r="J23" s="6539"/>
      <c r="K23" s="2279">
        <v>29493.599999999999</v>
      </c>
      <c r="L23" s="2277"/>
      <c r="M23" s="2281">
        <v>1594.56</v>
      </c>
      <c r="N23" s="2281">
        <f>M23</f>
        <v>1594.56</v>
      </c>
      <c r="O23" s="2336">
        <f t="shared" si="0"/>
        <v>0</v>
      </c>
      <c r="P23" s="2277"/>
      <c r="Q23" s="2277"/>
      <c r="R23" s="2279">
        <v>63782</v>
      </c>
      <c r="S23" s="2279">
        <v>35882.959999999999</v>
      </c>
      <c r="T23" s="2279">
        <v>27899.040000000001</v>
      </c>
    </row>
    <row r="24" spans="1:20" ht="23.25" customHeight="1" outlineLevel="1" x14ac:dyDescent="0.2">
      <c r="A24" s="6538" t="s">
        <v>2231</v>
      </c>
      <c r="B24" s="6538"/>
      <c r="C24" s="2275">
        <v>8</v>
      </c>
      <c r="D24" s="2276" t="s">
        <v>2213</v>
      </c>
      <c r="E24" s="2277" t="s">
        <v>2232</v>
      </c>
      <c r="F24" s="2278">
        <v>480</v>
      </c>
      <c r="G24" s="2278"/>
      <c r="H24" s="2279">
        <v>26365</v>
      </c>
      <c r="I24" s="6539">
        <v>24884.74</v>
      </c>
      <c r="J24" s="6539"/>
      <c r="K24" s="2279">
        <v>1480.26</v>
      </c>
      <c r="L24" s="2277"/>
      <c r="M24" s="2280"/>
      <c r="N24" s="2280"/>
      <c r="O24" s="2336">
        <f t="shared" si="0"/>
        <v>0</v>
      </c>
      <c r="P24" s="2277"/>
      <c r="Q24" s="2277"/>
      <c r="R24" s="2279">
        <v>26365</v>
      </c>
      <c r="S24" s="2279">
        <v>24884.74</v>
      </c>
      <c r="T24" s="2279">
        <v>1480.26</v>
      </c>
    </row>
    <row r="25" spans="1:20" ht="23.25" customHeight="1" outlineLevel="1" x14ac:dyDescent="0.2">
      <c r="A25" s="6538" t="s">
        <v>2233</v>
      </c>
      <c r="B25" s="6538"/>
      <c r="C25" s="2275">
        <v>288</v>
      </c>
      <c r="D25" s="2276" t="s">
        <v>2234</v>
      </c>
      <c r="E25" s="2277" t="s">
        <v>2235</v>
      </c>
      <c r="F25" s="2283">
        <v>1000</v>
      </c>
      <c r="G25" s="2283"/>
      <c r="H25" s="2279">
        <v>132892</v>
      </c>
      <c r="I25" s="6539">
        <v>47179.199999999997</v>
      </c>
      <c r="J25" s="6539"/>
      <c r="K25" s="2279">
        <v>85712.8</v>
      </c>
      <c r="L25" s="2277"/>
      <c r="M25" s="2281">
        <v>1594.68</v>
      </c>
      <c r="N25" s="2281">
        <f>M25</f>
        <v>1594.68</v>
      </c>
      <c r="O25" s="2336">
        <f t="shared" si="0"/>
        <v>0</v>
      </c>
      <c r="P25" s="2277"/>
      <c r="Q25" s="2277"/>
      <c r="R25" s="2279">
        <v>132892</v>
      </c>
      <c r="S25" s="2279">
        <v>48773.88</v>
      </c>
      <c r="T25" s="2279">
        <v>84118.12</v>
      </c>
    </row>
    <row r="26" spans="1:20" ht="34.5" customHeight="1" outlineLevel="1" x14ac:dyDescent="0.2">
      <c r="A26" s="6538" t="s">
        <v>2236</v>
      </c>
      <c r="B26" s="6538"/>
      <c r="C26" s="2275">
        <v>221</v>
      </c>
      <c r="D26" s="2276" t="s">
        <v>2208</v>
      </c>
      <c r="E26" s="2277" t="s">
        <v>2237</v>
      </c>
      <c r="F26" s="2278">
        <v>480</v>
      </c>
      <c r="G26" s="2278"/>
      <c r="H26" s="2279">
        <v>1005721</v>
      </c>
      <c r="I26" s="6539">
        <v>659687</v>
      </c>
      <c r="J26" s="6539"/>
      <c r="K26" s="2279">
        <v>346034</v>
      </c>
      <c r="L26" s="2277"/>
      <c r="M26" s="2280"/>
      <c r="N26" s="2280"/>
      <c r="O26" s="2336">
        <f t="shared" si="0"/>
        <v>0</v>
      </c>
      <c r="P26" s="2277"/>
      <c r="Q26" s="2277"/>
      <c r="R26" s="2279">
        <v>1005721</v>
      </c>
      <c r="S26" s="2279">
        <v>659687</v>
      </c>
      <c r="T26" s="2279">
        <v>346034</v>
      </c>
    </row>
    <row r="27" spans="1:20" ht="23.25" customHeight="1" outlineLevel="1" x14ac:dyDescent="0.2">
      <c r="A27" s="6538" t="s">
        <v>2238</v>
      </c>
      <c r="B27" s="6538"/>
      <c r="C27" s="2275">
        <v>10</v>
      </c>
      <c r="D27" s="2276" t="s">
        <v>2213</v>
      </c>
      <c r="E27" s="2277" t="s">
        <v>2239</v>
      </c>
      <c r="F27" s="2278">
        <v>480</v>
      </c>
      <c r="G27" s="2278"/>
      <c r="H27" s="2279">
        <v>187216</v>
      </c>
      <c r="I27" s="6539">
        <v>108730.54</v>
      </c>
      <c r="J27" s="6539"/>
      <c r="K27" s="2279">
        <v>78485.460000000006</v>
      </c>
      <c r="L27" s="2277"/>
      <c r="M27" s="2280"/>
      <c r="N27" s="2280"/>
      <c r="O27" s="2336">
        <f t="shared" si="0"/>
        <v>0</v>
      </c>
      <c r="P27" s="2277"/>
      <c r="Q27" s="2277"/>
      <c r="R27" s="2279">
        <v>187216</v>
      </c>
      <c r="S27" s="2279">
        <v>108730.54</v>
      </c>
      <c r="T27" s="2279">
        <v>78485.460000000006</v>
      </c>
    </row>
    <row r="28" spans="1:20" ht="34.5" customHeight="1" outlineLevel="1" x14ac:dyDescent="0.2">
      <c r="A28" s="6538" t="s">
        <v>2240</v>
      </c>
      <c r="B28" s="6538"/>
      <c r="C28" s="2282">
        <v>1932</v>
      </c>
      <c r="D28" s="2276" t="s">
        <v>2221</v>
      </c>
      <c r="E28" s="2277" t="s">
        <v>2241</v>
      </c>
      <c r="F28" s="2278">
        <v>480</v>
      </c>
      <c r="G28" s="2278"/>
      <c r="H28" s="2279">
        <v>4196115.13</v>
      </c>
      <c r="I28" s="6539">
        <v>1048124.74</v>
      </c>
      <c r="J28" s="6539"/>
      <c r="K28" s="2279">
        <v>3147990.39</v>
      </c>
      <c r="L28" s="2277"/>
      <c r="M28" s="2281">
        <v>104902.92</v>
      </c>
      <c r="N28" s="2281">
        <f>M28</f>
        <v>104902.92</v>
      </c>
      <c r="O28" s="2336">
        <f t="shared" si="0"/>
        <v>0</v>
      </c>
      <c r="P28" s="2277"/>
      <c r="Q28" s="2277"/>
      <c r="R28" s="2279">
        <v>4196115.13</v>
      </c>
      <c r="S28" s="2279">
        <v>1153027.6599999999</v>
      </c>
      <c r="T28" s="2279">
        <v>3043087.47</v>
      </c>
    </row>
    <row r="29" spans="1:20" ht="23.25" customHeight="1" outlineLevel="1" x14ac:dyDescent="0.2">
      <c r="A29" s="6538" t="s">
        <v>2242</v>
      </c>
      <c r="B29" s="6538"/>
      <c r="C29" s="2275">
        <v>703</v>
      </c>
      <c r="D29" s="2276" t="s">
        <v>2243</v>
      </c>
      <c r="E29" s="2277" t="s">
        <v>2244</v>
      </c>
      <c r="F29" s="2278">
        <v>24</v>
      </c>
      <c r="G29" s="2278"/>
      <c r="H29" s="2279">
        <v>9431.3799999999992</v>
      </c>
      <c r="I29" s="6539">
        <v>9431.3799999999992</v>
      </c>
      <c r="J29" s="6539"/>
      <c r="K29" s="2277"/>
      <c r="L29" s="2277"/>
      <c r="M29" s="2280"/>
      <c r="N29" s="2280"/>
      <c r="O29" s="2336">
        <f t="shared" si="0"/>
        <v>0</v>
      </c>
      <c r="P29" s="2277"/>
      <c r="Q29" s="2277"/>
      <c r="R29" s="2279">
        <v>9431.3799999999992</v>
      </c>
      <c r="S29" s="2279">
        <v>9431.3799999999992</v>
      </c>
      <c r="T29" s="2277"/>
    </row>
    <row r="30" spans="1:20" ht="23.25" customHeight="1" outlineLevel="1" x14ac:dyDescent="0.2">
      <c r="A30" s="6538" t="s">
        <v>2245</v>
      </c>
      <c r="B30" s="6538"/>
      <c r="C30" s="2275">
        <v>425</v>
      </c>
      <c r="D30" s="2276" t="s">
        <v>2246</v>
      </c>
      <c r="E30" s="2277" t="s">
        <v>2247</v>
      </c>
      <c r="F30" s="2278">
        <v>706</v>
      </c>
      <c r="G30" s="2278"/>
      <c r="H30" s="2279">
        <v>1005097.95</v>
      </c>
      <c r="I30" s="6539">
        <v>230912.32</v>
      </c>
      <c r="J30" s="6539"/>
      <c r="K30" s="2279">
        <v>774185.63</v>
      </c>
      <c r="L30" s="2277"/>
      <c r="M30" s="2281">
        <v>25041</v>
      </c>
      <c r="N30" s="2337">
        <f>H30/F30*12</f>
        <v>17083.817847025493</v>
      </c>
      <c r="O30" s="2336">
        <f t="shared" si="0"/>
        <v>7957.1821529745066</v>
      </c>
      <c r="P30" s="2277"/>
      <c r="Q30" s="2277"/>
      <c r="R30" s="2279">
        <v>1005097.95</v>
      </c>
      <c r="S30" s="2279">
        <v>255953.32</v>
      </c>
      <c r="T30" s="2279">
        <v>749144.63</v>
      </c>
    </row>
    <row r="31" spans="1:20" ht="23.25" customHeight="1" outlineLevel="1" x14ac:dyDescent="0.2">
      <c r="A31" s="6538" t="s">
        <v>2248</v>
      </c>
      <c r="B31" s="6538"/>
      <c r="C31" s="2282">
        <v>2421</v>
      </c>
      <c r="D31" s="2276" t="s">
        <v>2249</v>
      </c>
      <c r="E31" s="2277" t="s">
        <v>2250</v>
      </c>
      <c r="F31" s="2278">
        <v>240</v>
      </c>
      <c r="G31" s="2278"/>
      <c r="H31" s="2279">
        <v>13284386.51</v>
      </c>
      <c r="I31" s="6539">
        <v>3653206.26</v>
      </c>
      <c r="J31" s="6539"/>
      <c r="K31" s="2279">
        <v>9631180.25</v>
      </c>
      <c r="L31" s="2277"/>
      <c r="M31" s="2281">
        <v>664219.31999999995</v>
      </c>
      <c r="N31" s="2281">
        <f>M31</f>
        <v>664219.31999999995</v>
      </c>
      <c r="O31" s="2336">
        <f t="shared" si="0"/>
        <v>0</v>
      </c>
      <c r="P31" s="2277"/>
      <c r="Q31" s="2277"/>
      <c r="R31" s="2279">
        <v>13284386.51</v>
      </c>
      <c r="S31" s="2279">
        <v>4317425.58</v>
      </c>
      <c r="T31" s="2279">
        <v>8966960.9299999997</v>
      </c>
    </row>
    <row r="32" spans="1:20" ht="34.5" customHeight="1" outlineLevel="1" x14ac:dyDescent="0.2">
      <c r="A32" s="6538" t="s">
        <v>2251</v>
      </c>
      <c r="B32" s="6538"/>
      <c r="C32" s="2275">
        <v>408</v>
      </c>
      <c r="D32" s="2276" t="s">
        <v>2252</v>
      </c>
      <c r="E32" s="2277" t="s">
        <v>2253</v>
      </c>
      <c r="F32" s="2278">
        <v>600</v>
      </c>
      <c r="G32" s="2278"/>
      <c r="H32" s="2279">
        <v>546725.80000000005</v>
      </c>
      <c r="I32" s="6539">
        <v>185401.86</v>
      </c>
      <c r="J32" s="6539"/>
      <c r="K32" s="2279">
        <v>361323.94</v>
      </c>
      <c r="L32" s="2277"/>
      <c r="M32" s="2281">
        <v>56310.239999999998</v>
      </c>
      <c r="N32" s="2337">
        <f>H32/F32*12</f>
        <v>10934.516000000001</v>
      </c>
      <c r="O32" s="2336">
        <f t="shared" si="0"/>
        <v>45375.723999999995</v>
      </c>
      <c r="P32" s="2277"/>
      <c r="Q32" s="2277"/>
      <c r="R32" s="2279">
        <v>546725.80000000005</v>
      </c>
      <c r="S32" s="2279">
        <v>241712.1</v>
      </c>
      <c r="T32" s="2279">
        <v>305013.7</v>
      </c>
    </row>
    <row r="33" spans="1:20" ht="34.5" customHeight="1" outlineLevel="1" x14ac:dyDescent="0.2">
      <c r="A33" s="6538" t="s">
        <v>2254</v>
      </c>
      <c r="B33" s="6538"/>
      <c r="C33" s="2275">
        <v>409</v>
      </c>
      <c r="D33" s="2276" t="s">
        <v>2218</v>
      </c>
      <c r="E33" s="2277" t="s">
        <v>2255</v>
      </c>
      <c r="F33" s="2278">
        <v>600</v>
      </c>
      <c r="G33" s="2278"/>
      <c r="H33" s="2279">
        <v>518501</v>
      </c>
      <c r="I33" s="6539">
        <v>330277.59999999998</v>
      </c>
      <c r="J33" s="6539"/>
      <c r="K33" s="2279">
        <v>188223.4</v>
      </c>
      <c r="L33" s="2277"/>
      <c r="M33" s="2281">
        <v>10370.040000000001</v>
      </c>
      <c r="N33" s="2281">
        <f>M33</f>
        <v>10370.040000000001</v>
      </c>
      <c r="O33" s="2336">
        <f t="shared" si="0"/>
        <v>0</v>
      </c>
      <c r="P33" s="2277"/>
      <c r="Q33" s="2277"/>
      <c r="R33" s="2279">
        <v>518501</v>
      </c>
      <c r="S33" s="2279">
        <v>340647.64</v>
      </c>
      <c r="T33" s="2279">
        <v>177853.36</v>
      </c>
    </row>
    <row r="34" spans="1:20" ht="23.25" customHeight="1" outlineLevel="1" x14ac:dyDescent="0.2">
      <c r="A34" s="6538" t="s">
        <v>2256</v>
      </c>
      <c r="B34" s="6538"/>
      <c r="C34" s="2275">
        <v>218</v>
      </c>
      <c r="D34" s="2276" t="s">
        <v>2257</v>
      </c>
      <c r="E34" s="2277" t="s">
        <v>2258</v>
      </c>
      <c r="F34" s="2278">
        <v>600</v>
      </c>
      <c r="G34" s="2278"/>
      <c r="H34" s="2279">
        <v>174216</v>
      </c>
      <c r="I34" s="6539">
        <v>162148.88</v>
      </c>
      <c r="J34" s="6539"/>
      <c r="K34" s="2279">
        <v>12067.12</v>
      </c>
      <c r="L34" s="2277"/>
      <c r="M34" s="2281">
        <v>3484.32</v>
      </c>
      <c r="N34" s="2281">
        <f>M34</f>
        <v>3484.32</v>
      </c>
      <c r="O34" s="2336">
        <f t="shared" si="0"/>
        <v>0</v>
      </c>
      <c r="P34" s="2277"/>
      <c r="Q34" s="2277"/>
      <c r="R34" s="2279">
        <v>174216</v>
      </c>
      <c r="S34" s="2279">
        <v>165633.20000000001</v>
      </c>
      <c r="T34" s="2279">
        <v>8582.7999999999993</v>
      </c>
    </row>
    <row r="35" spans="1:20" ht="23.25" customHeight="1" outlineLevel="1" x14ac:dyDescent="0.2">
      <c r="A35" s="6538" t="s">
        <v>2259</v>
      </c>
      <c r="B35" s="6538"/>
      <c r="C35" s="2275">
        <v>553</v>
      </c>
      <c r="D35" s="2276" t="s">
        <v>2260</v>
      </c>
      <c r="E35" s="2277" t="s">
        <v>2261</v>
      </c>
      <c r="F35" s="2278">
        <v>480</v>
      </c>
      <c r="G35" s="2278"/>
      <c r="H35" s="2279">
        <v>28507</v>
      </c>
      <c r="I35" s="6539">
        <v>28507</v>
      </c>
      <c r="J35" s="6539"/>
      <c r="K35" s="2277"/>
      <c r="L35" s="2277"/>
      <c r="M35" s="2280"/>
      <c r="N35" s="2280"/>
      <c r="O35" s="2336">
        <f t="shared" si="0"/>
        <v>0</v>
      </c>
      <c r="P35" s="2277"/>
      <c r="Q35" s="2277"/>
      <c r="R35" s="2279">
        <v>28507</v>
      </c>
      <c r="S35" s="2279">
        <v>28507</v>
      </c>
      <c r="T35" s="2277"/>
    </row>
    <row r="36" spans="1:20" ht="23.25" customHeight="1" outlineLevel="1" x14ac:dyDescent="0.2">
      <c r="A36" s="6538" t="s">
        <v>2262</v>
      </c>
      <c r="B36" s="6538"/>
      <c r="C36" s="2275">
        <v>426</v>
      </c>
      <c r="D36" s="2276" t="s">
        <v>2246</v>
      </c>
      <c r="E36" s="2277" t="s">
        <v>2263</v>
      </c>
      <c r="F36" s="2278">
        <v>706</v>
      </c>
      <c r="G36" s="2278"/>
      <c r="H36" s="2279">
        <v>224016</v>
      </c>
      <c r="I36" s="6539">
        <v>86918.399999999994</v>
      </c>
      <c r="J36" s="6539"/>
      <c r="K36" s="2279">
        <v>137097.60000000001</v>
      </c>
      <c r="L36" s="2277"/>
      <c r="M36" s="2280"/>
      <c r="N36" s="2280"/>
      <c r="O36" s="2336">
        <f t="shared" si="0"/>
        <v>0</v>
      </c>
      <c r="P36" s="2277"/>
      <c r="Q36" s="2277"/>
      <c r="R36" s="2279">
        <v>224016</v>
      </c>
      <c r="S36" s="2279">
        <v>86918.399999999994</v>
      </c>
      <c r="T36" s="2279">
        <v>137097.60000000001</v>
      </c>
    </row>
    <row r="37" spans="1:20" ht="45.75" customHeight="1" outlineLevel="1" x14ac:dyDescent="0.2">
      <c r="A37" s="6538" t="s">
        <v>2264</v>
      </c>
      <c r="B37" s="6538"/>
      <c r="C37" s="2275">
        <v>289</v>
      </c>
      <c r="D37" s="2276" t="s">
        <v>2218</v>
      </c>
      <c r="E37" s="2277" t="s">
        <v>2265</v>
      </c>
      <c r="F37" s="2283">
        <v>1000</v>
      </c>
      <c r="G37" s="2283"/>
      <c r="H37" s="2279">
        <v>421403</v>
      </c>
      <c r="I37" s="6539">
        <v>181605</v>
      </c>
      <c r="J37" s="6539"/>
      <c r="K37" s="2279">
        <v>239798</v>
      </c>
      <c r="L37" s="2277"/>
      <c r="M37" s="2281">
        <v>5056.8</v>
      </c>
      <c r="N37" s="2281">
        <f>M37</f>
        <v>5056.8</v>
      </c>
      <c r="O37" s="2336">
        <f t="shared" si="0"/>
        <v>0</v>
      </c>
      <c r="P37" s="2277"/>
      <c r="Q37" s="2277"/>
      <c r="R37" s="2279">
        <v>421403</v>
      </c>
      <c r="S37" s="2279">
        <v>186661.8</v>
      </c>
      <c r="T37" s="2279">
        <v>234741.2</v>
      </c>
    </row>
    <row r="38" spans="1:20" ht="23.25" customHeight="1" outlineLevel="1" x14ac:dyDescent="0.2">
      <c r="A38" s="6538" t="s">
        <v>2266</v>
      </c>
      <c r="B38" s="6538"/>
      <c r="C38" s="2275">
        <v>11</v>
      </c>
      <c r="D38" s="2276" t="s">
        <v>2213</v>
      </c>
      <c r="E38" s="2277" t="s">
        <v>2267</v>
      </c>
      <c r="F38" s="2278">
        <v>480</v>
      </c>
      <c r="G38" s="2278"/>
      <c r="H38" s="2279">
        <v>20337</v>
      </c>
      <c r="I38" s="6539">
        <v>19175.66</v>
      </c>
      <c r="J38" s="6539"/>
      <c r="K38" s="2279">
        <v>1161.3399999999999</v>
      </c>
      <c r="L38" s="2277"/>
      <c r="M38" s="2280"/>
      <c r="N38" s="2280"/>
      <c r="O38" s="2336">
        <f t="shared" si="0"/>
        <v>0</v>
      </c>
      <c r="P38" s="2277"/>
      <c r="Q38" s="2277"/>
      <c r="R38" s="2279">
        <v>20337</v>
      </c>
      <c r="S38" s="2279">
        <v>19175.66</v>
      </c>
      <c r="T38" s="2279">
        <v>1161.3399999999999</v>
      </c>
    </row>
    <row r="39" spans="1:20" ht="34.5" customHeight="1" outlineLevel="1" x14ac:dyDescent="0.2">
      <c r="A39" s="6538" t="s">
        <v>2268</v>
      </c>
      <c r="B39" s="6538"/>
      <c r="C39" s="2275">
        <v>427</v>
      </c>
      <c r="D39" s="2276" t="s">
        <v>2246</v>
      </c>
      <c r="E39" s="2277" t="s">
        <v>2269</v>
      </c>
      <c r="F39" s="2278">
        <v>706</v>
      </c>
      <c r="G39" s="2278"/>
      <c r="H39" s="2279">
        <v>243560</v>
      </c>
      <c r="I39" s="6539">
        <v>115922.2</v>
      </c>
      <c r="J39" s="6539"/>
      <c r="K39" s="2279">
        <v>127637.8</v>
      </c>
      <c r="L39" s="2277"/>
      <c r="M39" s="2281">
        <v>4139.88</v>
      </c>
      <c r="N39" s="2281">
        <f>M39</f>
        <v>4139.88</v>
      </c>
      <c r="O39" s="2336">
        <f t="shared" si="0"/>
        <v>0</v>
      </c>
      <c r="P39" s="2277"/>
      <c r="Q39" s="2277"/>
      <c r="R39" s="2279">
        <v>243560</v>
      </c>
      <c r="S39" s="2279">
        <v>120062.08</v>
      </c>
      <c r="T39" s="2279">
        <v>123497.92</v>
      </c>
    </row>
    <row r="40" spans="1:20" ht="34.5" customHeight="1" outlineLevel="1" x14ac:dyDescent="0.2">
      <c r="A40" s="6538" t="s">
        <v>2270</v>
      </c>
      <c r="B40" s="6538"/>
      <c r="C40" s="2275">
        <v>188</v>
      </c>
      <c r="D40" s="2276" t="s">
        <v>2271</v>
      </c>
      <c r="E40" s="2277" t="s">
        <v>2272</v>
      </c>
      <c r="F40" s="2278">
        <v>480</v>
      </c>
      <c r="G40" s="2278"/>
      <c r="H40" s="2279">
        <v>408130</v>
      </c>
      <c r="I40" s="6539">
        <v>408130</v>
      </c>
      <c r="J40" s="6539"/>
      <c r="K40" s="2277"/>
      <c r="L40" s="2277"/>
      <c r="M40" s="2280"/>
      <c r="N40" s="2281"/>
      <c r="O40" s="2336">
        <f t="shared" si="0"/>
        <v>0</v>
      </c>
      <c r="P40" s="2277"/>
      <c r="Q40" s="2277"/>
      <c r="R40" s="2279">
        <v>408130</v>
      </c>
      <c r="S40" s="2279">
        <v>408130</v>
      </c>
      <c r="T40" s="2277"/>
    </row>
    <row r="41" spans="1:20" ht="23.25" customHeight="1" outlineLevel="1" x14ac:dyDescent="0.2">
      <c r="A41" s="6538" t="s">
        <v>2273</v>
      </c>
      <c r="B41" s="6538"/>
      <c r="C41" s="2275">
        <v>28</v>
      </c>
      <c r="D41" s="2276" t="s">
        <v>2213</v>
      </c>
      <c r="E41" s="2277" t="s">
        <v>2274</v>
      </c>
      <c r="F41" s="2278">
        <v>480</v>
      </c>
      <c r="G41" s="2278"/>
      <c r="H41" s="2279">
        <v>46894</v>
      </c>
      <c r="I41" s="6539">
        <v>44271.6</v>
      </c>
      <c r="J41" s="6539"/>
      <c r="K41" s="2279">
        <v>2622.4</v>
      </c>
      <c r="L41" s="2277"/>
      <c r="M41" s="2280"/>
      <c r="N41" s="2281"/>
      <c r="O41" s="2336">
        <f t="shared" si="0"/>
        <v>0</v>
      </c>
      <c r="P41" s="2277"/>
      <c r="Q41" s="2277"/>
      <c r="R41" s="2279">
        <v>46894</v>
      </c>
      <c r="S41" s="2279">
        <v>44271.6</v>
      </c>
      <c r="T41" s="2279">
        <v>2622.4</v>
      </c>
    </row>
    <row r="42" spans="1:20" ht="34.5" customHeight="1" outlineLevel="1" x14ac:dyDescent="0.2">
      <c r="A42" s="6538" t="s">
        <v>2275</v>
      </c>
      <c r="B42" s="6538"/>
      <c r="C42" s="2275">
        <v>30</v>
      </c>
      <c r="D42" s="2276" t="s">
        <v>2192</v>
      </c>
      <c r="E42" s="2277" t="s">
        <v>2276</v>
      </c>
      <c r="F42" s="2278">
        <v>996</v>
      </c>
      <c r="G42" s="2278"/>
      <c r="H42" s="2279">
        <v>208968</v>
      </c>
      <c r="I42" s="6539">
        <v>66333.240000000005</v>
      </c>
      <c r="J42" s="6539"/>
      <c r="K42" s="2279">
        <v>142634.76</v>
      </c>
      <c r="L42" s="2277"/>
      <c r="M42" s="2281">
        <v>2517.7199999999998</v>
      </c>
      <c r="N42" s="2281">
        <f>M42</f>
        <v>2517.7199999999998</v>
      </c>
      <c r="O42" s="2336">
        <f t="shared" si="0"/>
        <v>0</v>
      </c>
      <c r="P42" s="2277"/>
      <c r="Q42" s="2277"/>
      <c r="R42" s="2279">
        <v>208968</v>
      </c>
      <c r="S42" s="2279">
        <v>68850.960000000006</v>
      </c>
      <c r="T42" s="2279">
        <v>140117.04</v>
      </c>
    </row>
    <row r="43" spans="1:20" ht="34.5" customHeight="1" outlineLevel="1" x14ac:dyDescent="0.2">
      <c r="A43" s="6538" t="s">
        <v>2277</v>
      </c>
      <c r="B43" s="6538"/>
      <c r="C43" s="2275">
        <v>290</v>
      </c>
      <c r="D43" s="2276" t="s">
        <v>2218</v>
      </c>
      <c r="E43" s="2277" t="s">
        <v>2278</v>
      </c>
      <c r="F43" s="2283">
        <v>1000</v>
      </c>
      <c r="G43" s="2283"/>
      <c r="H43" s="2279">
        <v>270551</v>
      </c>
      <c r="I43" s="6539">
        <v>97073</v>
      </c>
      <c r="J43" s="6539"/>
      <c r="K43" s="2279">
        <v>173478</v>
      </c>
      <c r="L43" s="2277"/>
      <c r="M43" s="2281">
        <v>3246.6</v>
      </c>
      <c r="N43" s="2281">
        <f>M43</f>
        <v>3246.6</v>
      </c>
      <c r="O43" s="2336">
        <f t="shared" si="0"/>
        <v>0</v>
      </c>
      <c r="P43" s="2277"/>
      <c r="Q43" s="2277"/>
      <c r="R43" s="2279">
        <v>270551</v>
      </c>
      <c r="S43" s="2279">
        <v>100319.6</v>
      </c>
      <c r="T43" s="2279">
        <v>170231.4</v>
      </c>
    </row>
    <row r="44" spans="1:20" ht="45.75" customHeight="1" outlineLevel="1" x14ac:dyDescent="0.2">
      <c r="A44" s="6538" t="s">
        <v>2279</v>
      </c>
      <c r="B44" s="6538"/>
      <c r="C44" s="2275">
        <v>31</v>
      </c>
      <c r="D44" s="2276" t="s">
        <v>2192</v>
      </c>
      <c r="E44" s="2277" t="s">
        <v>2280</v>
      </c>
      <c r="F44" s="2278">
        <v>996</v>
      </c>
      <c r="G44" s="2278"/>
      <c r="H44" s="2279">
        <v>1018065</v>
      </c>
      <c r="I44" s="6539">
        <v>201745.3</v>
      </c>
      <c r="J44" s="6539"/>
      <c r="K44" s="2279">
        <v>816319.7</v>
      </c>
      <c r="L44" s="2277"/>
      <c r="M44" s="2280"/>
      <c r="N44" s="2280"/>
      <c r="O44" s="2336">
        <f t="shared" si="0"/>
        <v>0</v>
      </c>
      <c r="P44" s="2277"/>
      <c r="Q44" s="2277"/>
      <c r="R44" s="2279">
        <v>1018065</v>
      </c>
      <c r="S44" s="2279">
        <v>201745.3</v>
      </c>
      <c r="T44" s="2279">
        <v>816319.7</v>
      </c>
    </row>
    <row r="45" spans="1:20" s="2291" customFormat="1" ht="32.25" customHeight="1" outlineLevel="1" x14ac:dyDescent="0.2">
      <c r="A45" s="6549" t="s">
        <v>2281</v>
      </c>
      <c r="B45" s="6549"/>
      <c r="C45" s="2284">
        <v>524</v>
      </c>
      <c r="D45" s="2285" t="s">
        <v>2282</v>
      </c>
      <c r="E45" s="2286" t="s">
        <v>2283</v>
      </c>
      <c r="F45" s="2287">
        <v>652</v>
      </c>
      <c r="G45" s="2287"/>
      <c r="H45" s="2286"/>
      <c r="I45" s="2288"/>
      <c r="J45" s="2289"/>
      <c r="K45" s="2286"/>
      <c r="L45" s="2290">
        <v>295038.57</v>
      </c>
      <c r="M45" s="2290">
        <v>1273496.22</v>
      </c>
      <c r="N45" s="2337">
        <v>0</v>
      </c>
      <c r="O45" s="2336">
        <f t="shared" si="0"/>
        <v>1273496.22</v>
      </c>
      <c r="P45" s="2286"/>
      <c r="Q45" s="2286"/>
      <c r="R45" s="2286"/>
      <c r="S45" s="2286"/>
      <c r="T45" s="2286"/>
    </row>
    <row r="46" spans="1:20" ht="23.25" customHeight="1" outlineLevel="1" x14ac:dyDescent="0.2">
      <c r="A46" s="6538" t="s">
        <v>2284</v>
      </c>
      <c r="B46" s="6538"/>
      <c r="C46" s="2275">
        <v>525</v>
      </c>
      <c r="D46" s="2276" t="s">
        <v>2285</v>
      </c>
      <c r="E46" s="2277" t="s">
        <v>2286</v>
      </c>
      <c r="F46" s="2278">
        <v>615</v>
      </c>
      <c r="G46" s="2278"/>
      <c r="H46" s="2279">
        <v>1205519.82</v>
      </c>
      <c r="I46" s="6539">
        <v>1205519.82</v>
      </c>
      <c r="J46" s="6539"/>
      <c r="K46" s="2277"/>
      <c r="L46" s="2277"/>
      <c r="M46" s="2280"/>
      <c r="N46" s="2280"/>
      <c r="O46" s="2336">
        <f t="shared" si="0"/>
        <v>0</v>
      </c>
      <c r="P46" s="2277"/>
      <c r="Q46" s="2277"/>
      <c r="R46" s="2279">
        <v>1205519.82</v>
      </c>
      <c r="S46" s="2279">
        <v>1205519.82</v>
      </c>
      <c r="T46" s="2277"/>
    </row>
    <row r="47" spans="1:20" ht="34.5" customHeight="1" outlineLevel="1" x14ac:dyDescent="0.2">
      <c r="A47" s="6538" t="s">
        <v>2287</v>
      </c>
      <c r="B47" s="6538"/>
      <c r="C47" s="2275">
        <v>191</v>
      </c>
      <c r="D47" s="2276" t="s">
        <v>2288</v>
      </c>
      <c r="E47" s="2277" t="s">
        <v>2289</v>
      </c>
      <c r="F47" s="2278">
        <v>600</v>
      </c>
      <c r="G47" s="2278"/>
      <c r="H47" s="2279">
        <v>109000</v>
      </c>
      <c r="I47" s="6539">
        <v>66103.600000000006</v>
      </c>
      <c r="J47" s="6539"/>
      <c r="K47" s="2279">
        <v>42896.4</v>
      </c>
      <c r="L47" s="2277"/>
      <c r="M47" s="2281">
        <v>2180.04</v>
      </c>
      <c r="N47" s="2281">
        <f>M47</f>
        <v>2180.04</v>
      </c>
      <c r="O47" s="2336">
        <f t="shared" si="0"/>
        <v>0</v>
      </c>
      <c r="P47" s="2277"/>
      <c r="Q47" s="2277"/>
      <c r="R47" s="2279">
        <v>109000</v>
      </c>
      <c r="S47" s="2279">
        <v>68283.64</v>
      </c>
      <c r="T47" s="2279">
        <v>40716.36</v>
      </c>
    </row>
    <row r="48" spans="1:20" ht="34.5" customHeight="1" outlineLevel="1" x14ac:dyDescent="0.2">
      <c r="A48" s="6538" t="s">
        <v>2290</v>
      </c>
      <c r="B48" s="6538"/>
      <c r="C48" s="2275">
        <v>222</v>
      </c>
      <c r="D48" s="2276" t="s">
        <v>2291</v>
      </c>
      <c r="E48" s="2277" t="s">
        <v>2292</v>
      </c>
      <c r="F48" s="2278">
        <v>600</v>
      </c>
      <c r="G48" s="2278"/>
      <c r="H48" s="2279">
        <v>108770</v>
      </c>
      <c r="I48" s="6539">
        <v>101775.16</v>
      </c>
      <c r="J48" s="6539"/>
      <c r="K48" s="2279">
        <v>6994.84</v>
      </c>
      <c r="L48" s="2277"/>
      <c r="M48" s="2281">
        <v>2175.36</v>
      </c>
      <c r="N48" s="2281">
        <f>M48</f>
        <v>2175.36</v>
      </c>
      <c r="O48" s="2336">
        <f t="shared" si="0"/>
        <v>0</v>
      </c>
      <c r="P48" s="2277"/>
      <c r="Q48" s="2277"/>
      <c r="R48" s="2279">
        <v>108770</v>
      </c>
      <c r="S48" s="2279">
        <v>103950.52</v>
      </c>
      <c r="T48" s="2279">
        <v>4819.4799999999996</v>
      </c>
    </row>
    <row r="49" spans="1:20" ht="23.25" customHeight="1" outlineLevel="1" x14ac:dyDescent="0.2">
      <c r="A49" s="6538" t="s">
        <v>2293</v>
      </c>
      <c r="B49" s="6538"/>
      <c r="C49" s="2275">
        <v>192</v>
      </c>
      <c r="D49" s="2276" t="s">
        <v>2294</v>
      </c>
      <c r="E49" s="2277" t="s">
        <v>2295</v>
      </c>
      <c r="F49" s="2278">
        <v>600</v>
      </c>
      <c r="G49" s="2278"/>
      <c r="H49" s="2279">
        <v>1332561</v>
      </c>
      <c r="I49" s="6539">
        <v>733323.82</v>
      </c>
      <c r="J49" s="6539"/>
      <c r="K49" s="2279">
        <v>599237.18000000005</v>
      </c>
      <c r="L49" s="2277"/>
      <c r="M49" s="2281">
        <v>30036.720000000001</v>
      </c>
      <c r="N49" s="2337">
        <f>H49/F49*12</f>
        <v>26651.22</v>
      </c>
      <c r="O49" s="2336">
        <f t="shared" si="0"/>
        <v>3385.5</v>
      </c>
      <c r="P49" s="2277"/>
      <c r="Q49" s="2277"/>
      <c r="R49" s="2279">
        <v>1332561</v>
      </c>
      <c r="S49" s="2279">
        <v>763360.54</v>
      </c>
      <c r="T49" s="2279">
        <v>569200.46</v>
      </c>
    </row>
    <row r="50" spans="1:20" s="2298" customFormat="1" ht="23.25" customHeight="1" outlineLevel="1" x14ac:dyDescent="0.2">
      <c r="A50" s="6547" t="s">
        <v>2296</v>
      </c>
      <c r="B50" s="6547"/>
      <c r="C50" s="2292">
        <v>552</v>
      </c>
      <c r="D50" s="2293" t="s">
        <v>2297</v>
      </c>
      <c r="E50" s="2294" t="s">
        <v>2298</v>
      </c>
      <c r="F50" s="2295">
        <v>480</v>
      </c>
      <c r="G50" s="2295"/>
      <c r="H50" s="2296">
        <v>80512</v>
      </c>
      <c r="I50" s="6548">
        <v>72472.399999999994</v>
      </c>
      <c r="J50" s="6548"/>
      <c r="K50" s="2296">
        <v>8039.6</v>
      </c>
      <c r="L50" s="2294"/>
      <c r="M50" s="2297">
        <v>335.46</v>
      </c>
      <c r="N50" s="2297">
        <f>M50</f>
        <v>335.46</v>
      </c>
      <c r="O50" s="2336">
        <f t="shared" si="0"/>
        <v>0</v>
      </c>
      <c r="P50" s="2296">
        <v>80512</v>
      </c>
      <c r="Q50" s="2296">
        <v>72807.86</v>
      </c>
      <c r="R50" s="2294"/>
      <c r="S50" s="2294"/>
      <c r="T50" s="2294"/>
    </row>
    <row r="51" spans="1:20" ht="23.25" customHeight="1" outlineLevel="1" x14ac:dyDescent="0.2">
      <c r="A51" s="6538" t="s">
        <v>2299</v>
      </c>
      <c r="B51" s="6538"/>
      <c r="C51" s="2275">
        <v>407</v>
      </c>
      <c r="D51" s="2276" t="s">
        <v>2257</v>
      </c>
      <c r="E51" s="2277" t="s">
        <v>2300</v>
      </c>
      <c r="F51" s="2278">
        <v>600</v>
      </c>
      <c r="G51" s="2278"/>
      <c r="H51" s="2279">
        <v>85604</v>
      </c>
      <c r="I51" s="6539">
        <v>80757.600000000006</v>
      </c>
      <c r="J51" s="6539"/>
      <c r="K51" s="2279">
        <v>4846.3999999999996</v>
      </c>
      <c r="L51" s="2277"/>
      <c r="M51" s="2281">
        <v>1712.04</v>
      </c>
      <c r="N51" s="2281">
        <f>M51</f>
        <v>1712.04</v>
      </c>
      <c r="O51" s="2336">
        <f t="shared" si="0"/>
        <v>0</v>
      </c>
      <c r="P51" s="2277"/>
      <c r="Q51" s="2277"/>
      <c r="R51" s="2279">
        <v>85604</v>
      </c>
      <c r="S51" s="2279">
        <v>82469.64</v>
      </c>
      <c r="T51" s="2279">
        <v>3134.36</v>
      </c>
    </row>
    <row r="52" spans="1:20" s="2291" customFormat="1" ht="23.25" customHeight="1" outlineLevel="1" x14ac:dyDescent="0.2">
      <c r="A52" s="6549" t="s">
        <v>2281</v>
      </c>
      <c r="B52" s="6549"/>
      <c r="C52" s="2284">
        <v>524</v>
      </c>
      <c r="D52" s="2285" t="s">
        <v>2282</v>
      </c>
      <c r="E52" s="2286" t="s">
        <v>2283</v>
      </c>
      <c r="F52" s="2287">
        <v>13</v>
      </c>
      <c r="G52" s="2287"/>
      <c r="H52" s="2290">
        <v>2232958.2799999998</v>
      </c>
      <c r="I52" s="6552">
        <v>848678.81</v>
      </c>
      <c r="J52" s="6552"/>
      <c r="K52" s="2290">
        <v>1384279.47</v>
      </c>
      <c r="L52" s="2286"/>
      <c r="M52" s="2290">
        <v>64074.85</v>
      </c>
      <c r="N52" s="2337"/>
      <c r="O52" s="2336">
        <f t="shared" si="0"/>
        <v>64074.85</v>
      </c>
      <c r="P52" s="2286"/>
      <c r="Q52" s="2286"/>
      <c r="R52" s="2290">
        <v>3301777.92</v>
      </c>
      <c r="S52" s="2290">
        <v>2532879.6800000002</v>
      </c>
      <c r="T52" s="2290">
        <v>768898.24</v>
      </c>
    </row>
    <row r="53" spans="1:20" ht="23.25" customHeight="1" outlineLevel="1" x14ac:dyDescent="0.2">
      <c r="A53" s="6538" t="s">
        <v>2301</v>
      </c>
      <c r="B53" s="6538"/>
      <c r="C53" s="2275">
        <v>219</v>
      </c>
      <c r="D53" s="2276" t="s">
        <v>2302</v>
      </c>
      <c r="E53" s="2277" t="s">
        <v>2303</v>
      </c>
      <c r="F53" s="2278">
        <v>600</v>
      </c>
      <c r="G53" s="2278"/>
      <c r="H53" s="2279">
        <v>581764.47</v>
      </c>
      <c r="I53" s="6539">
        <v>184393.79</v>
      </c>
      <c r="J53" s="6539"/>
      <c r="K53" s="2279">
        <v>397370.68</v>
      </c>
      <c r="L53" s="2277"/>
      <c r="M53" s="2281">
        <v>35062.080000000002</v>
      </c>
      <c r="N53" s="2337">
        <f t="shared" ref="N53:N60" si="1">H53/F53*12</f>
        <v>11635.2894</v>
      </c>
      <c r="O53" s="2336">
        <f t="shared" si="0"/>
        <v>23426.7906</v>
      </c>
      <c r="P53" s="2277"/>
      <c r="Q53" s="2277"/>
      <c r="R53" s="2279">
        <v>581764.47</v>
      </c>
      <c r="S53" s="2279">
        <v>219455.87</v>
      </c>
      <c r="T53" s="2279">
        <v>362308.6</v>
      </c>
    </row>
    <row r="54" spans="1:20" ht="23.25" customHeight="1" outlineLevel="1" x14ac:dyDescent="0.2">
      <c r="A54" s="6538" t="s">
        <v>2304</v>
      </c>
      <c r="B54" s="6538"/>
      <c r="C54" s="2275">
        <v>220</v>
      </c>
      <c r="D54" s="2276" t="s">
        <v>2305</v>
      </c>
      <c r="E54" s="2277" t="s">
        <v>2306</v>
      </c>
      <c r="F54" s="2278">
        <v>600</v>
      </c>
      <c r="G54" s="2278"/>
      <c r="H54" s="2279">
        <v>1005813.4</v>
      </c>
      <c r="I54" s="6539">
        <v>494016.57</v>
      </c>
      <c r="J54" s="6539"/>
      <c r="K54" s="2279">
        <v>511796.83</v>
      </c>
      <c r="L54" s="2277"/>
      <c r="M54" s="2281">
        <v>46177.2</v>
      </c>
      <c r="N54" s="2337">
        <f>H54/F54*12</f>
        <v>20116.268</v>
      </c>
      <c r="O54" s="2336">
        <f t="shared" si="0"/>
        <v>26060.931999999997</v>
      </c>
      <c r="P54" s="2277"/>
      <c r="Q54" s="2277"/>
      <c r="R54" s="2279">
        <v>1005813.4</v>
      </c>
      <c r="S54" s="2279">
        <v>540193.77</v>
      </c>
      <c r="T54" s="2279">
        <v>465619.63</v>
      </c>
    </row>
    <row r="55" spans="1:20" ht="34.5" customHeight="1" outlineLevel="1" x14ac:dyDescent="0.2">
      <c r="A55" s="6538" t="s">
        <v>2307</v>
      </c>
      <c r="B55" s="6538"/>
      <c r="C55" s="2275">
        <v>42</v>
      </c>
      <c r="D55" s="2276" t="s">
        <v>2192</v>
      </c>
      <c r="E55" s="2277" t="s">
        <v>2308</v>
      </c>
      <c r="F55" s="2278">
        <v>600</v>
      </c>
      <c r="G55" s="2278"/>
      <c r="H55" s="2279">
        <v>138770</v>
      </c>
      <c r="I55" s="6539">
        <v>77697.399999999994</v>
      </c>
      <c r="J55" s="6539"/>
      <c r="K55" s="2279">
        <v>61072.6</v>
      </c>
      <c r="L55" s="2277"/>
      <c r="M55" s="2281">
        <v>2775.36</v>
      </c>
      <c r="N55" s="2281">
        <f>M55</f>
        <v>2775.36</v>
      </c>
      <c r="O55" s="2336">
        <f t="shared" si="0"/>
        <v>0</v>
      </c>
      <c r="P55" s="2277"/>
      <c r="Q55" s="2277"/>
      <c r="R55" s="2279">
        <v>138770</v>
      </c>
      <c r="S55" s="2279">
        <v>80472.759999999995</v>
      </c>
      <c r="T55" s="2279">
        <v>58297.24</v>
      </c>
    </row>
    <row r="56" spans="1:20" ht="34.5" customHeight="1" outlineLevel="1" x14ac:dyDescent="0.2">
      <c r="A56" s="6538" t="s">
        <v>2309</v>
      </c>
      <c r="B56" s="6538"/>
      <c r="C56" s="2275">
        <v>43</v>
      </c>
      <c r="D56" s="2276" t="s">
        <v>2192</v>
      </c>
      <c r="E56" s="2277" t="s">
        <v>2310</v>
      </c>
      <c r="F56" s="2278">
        <v>600</v>
      </c>
      <c r="G56" s="2278"/>
      <c r="H56" s="2279">
        <v>205896</v>
      </c>
      <c r="I56" s="6539">
        <v>115293.8</v>
      </c>
      <c r="J56" s="6539"/>
      <c r="K56" s="2279">
        <v>90602.2</v>
      </c>
      <c r="L56" s="2277"/>
      <c r="M56" s="2281">
        <v>4117.92</v>
      </c>
      <c r="N56" s="2281">
        <f t="shared" si="1"/>
        <v>4117.92</v>
      </c>
      <c r="O56" s="2336">
        <f t="shared" si="0"/>
        <v>0</v>
      </c>
      <c r="P56" s="2277"/>
      <c r="Q56" s="2277"/>
      <c r="R56" s="2279">
        <v>205896</v>
      </c>
      <c r="S56" s="2279">
        <v>119411.72</v>
      </c>
      <c r="T56" s="2279">
        <v>86484.28</v>
      </c>
    </row>
    <row r="57" spans="1:20" ht="23.25" customHeight="1" outlineLevel="1" x14ac:dyDescent="0.2">
      <c r="A57" s="6538" t="s">
        <v>2311</v>
      </c>
      <c r="B57" s="6538"/>
      <c r="C57" s="2275">
        <v>44</v>
      </c>
      <c r="D57" s="2276" t="s">
        <v>2192</v>
      </c>
      <c r="E57" s="2277" t="s">
        <v>2312</v>
      </c>
      <c r="F57" s="2278">
        <v>600</v>
      </c>
      <c r="G57" s="2278"/>
      <c r="H57" s="2279">
        <v>225449</v>
      </c>
      <c r="I57" s="6539">
        <v>102967.5</v>
      </c>
      <c r="J57" s="6539"/>
      <c r="K57" s="2279">
        <v>122481.5</v>
      </c>
      <c r="L57" s="2277"/>
      <c r="M57" s="2280"/>
      <c r="N57" s="2281"/>
      <c r="O57" s="2336">
        <f t="shared" si="0"/>
        <v>0</v>
      </c>
      <c r="P57" s="2277"/>
      <c r="Q57" s="2277"/>
      <c r="R57" s="2279">
        <v>225449</v>
      </c>
      <c r="S57" s="2279">
        <v>102967.5</v>
      </c>
      <c r="T57" s="2279">
        <v>122481.5</v>
      </c>
    </row>
    <row r="58" spans="1:20" ht="23.25" customHeight="1" outlineLevel="1" x14ac:dyDescent="0.2">
      <c r="A58" s="6538" t="s">
        <v>2313</v>
      </c>
      <c r="B58" s="6538"/>
      <c r="C58" s="2275">
        <v>316</v>
      </c>
      <c r="D58" s="2276" t="s">
        <v>2218</v>
      </c>
      <c r="E58" s="2277" t="s">
        <v>2314</v>
      </c>
      <c r="F58" s="2278">
        <v>600</v>
      </c>
      <c r="G58" s="2278"/>
      <c r="H58" s="2279">
        <v>1053489.23</v>
      </c>
      <c r="I58" s="6539">
        <v>404195.22</v>
      </c>
      <c r="J58" s="6539"/>
      <c r="K58" s="2279">
        <v>649294.01</v>
      </c>
      <c r="L58" s="2277"/>
      <c r="M58" s="2281">
        <v>37182</v>
      </c>
      <c r="N58" s="2337">
        <f t="shared" si="1"/>
        <v>21069.784599999999</v>
      </c>
      <c r="O58" s="2336">
        <f t="shared" si="0"/>
        <v>16112.215400000001</v>
      </c>
      <c r="P58" s="2277"/>
      <c r="Q58" s="2277"/>
      <c r="R58" s="2279">
        <v>1053489.23</v>
      </c>
      <c r="S58" s="2279">
        <v>441377.22</v>
      </c>
      <c r="T58" s="2279">
        <v>612112.01</v>
      </c>
    </row>
    <row r="59" spans="1:20" ht="23.25" customHeight="1" outlineLevel="1" x14ac:dyDescent="0.2">
      <c r="A59" s="6538" t="s">
        <v>2315</v>
      </c>
      <c r="B59" s="6538"/>
      <c r="C59" s="2275">
        <v>194</v>
      </c>
      <c r="D59" s="2276" t="s">
        <v>2316</v>
      </c>
      <c r="E59" s="2277" t="s">
        <v>2317</v>
      </c>
      <c r="F59" s="2278">
        <v>600</v>
      </c>
      <c r="G59" s="2278"/>
      <c r="H59" s="2279">
        <v>317295</v>
      </c>
      <c r="I59" s="6539">
        <v>254156.4</v>
      </c>
      <c r="J59" s="6539"/>
      <c r="K59" s="2279">
        <v>63138.6</v>
      </c>
      <c r="L59" s="2277"/>
      <c r="M59" s="2281">
        <v>6345.96</v>
      </c>
      <c r="N59" s="2281">
        <f>M59</f>
        <v>6345.96</v>
      </c>
      <c r="O59" s="2336">
        <f t="shared" si="0"/>
        <v>0</v>
      </c>
      <c r="P59" s="2277"/>
      <c r="Q59" s="2277"/>
      <c r="R59" s="2279">
        <v>317295</v>
      </c>
      <c r="S59" s="2279">
        <v>260502.36</v>
      </c>
      <c r="T59" s="2279">
        <v>56792.639999999999</v>
      </c>
    </row>
    <row r="60" spans="1:20" ht="23.25" customHeight="1" outlineLevel="1" x14ac:dyDescent="0.2">
      <c r="A60" s="6538" t="s">
        <v>2318</v>
      </c>
      <c r="B60" s="6538"/>
      <c r="C60" s="2275">
        <v>195</v>
      </c>
      <c r="D60" s="2276" t="s">
        <v>2316</v>
      </c>
      <c r="E60" s="2277" t="s">
        <v>2319</v>
      </c>
      <c r="F60" s="2278">
        <v>600</v>
      </c>
      <c r="G60" s="2278"/>
      <c r="H60" s="2279">
        <v>376962.05</v>
      </c>
      <c r="I60" s="6539">
        <v>284431.68</v>
      </c>
      <c r="J60" s="6539"/>
      <c r="K60" s="2279">
        <v>92530.37</v>
      </c>
      <c r="L60" s="2277"/>
      <c r="M60" s="2281">
        <v>14030.76</v>
      </c>
      <c r="N60" s="2338">
        <f t="shared" si="1"/>
        <v>7539.241</v>
      </c>
      <c r="O60" s="2336">
        <f t="shared" si="0"/>
        <v>6491.5190000000002</v>
      </c>
      <c r="P60" s="2277"/>
      <c r="Q60" s="2277"/>
      <c r="R60" s="2279">
        <v>376962.05</v>
      </c>
      <c r="S60" s="2279">
        <v>298462.44</v>
      </c>
      <c r="T60" s="2279">
        <v>78499.61</v>
      </c>
    </row>
    <row r="61" spans="1:20" s="2291" customFormat="1" ht="23.25" customHeight="1" outlineLevel="1" x14ac:dyDescent="0.2">
      <c r="A61" s="6549" t="s">
        <v>2281</v>
      </c>
      <c r="B61" s="6549"/>
      <c r="C61" s="2284">
        <v>524</v>
      </c>
      <c r="D61" s="2285" t="s">
        <v>2282</v>
      </c>
      <c r="E61" s="2286" t="s">
        <v>2283</v>
      </c>
      <c r="F61" s="2287">
        <v>647</v>
      </c>
      <c r="G61" s="2287"/>
      <c r="H61" s="2286"/>
      <c r="I61" s="2288"/>
      <c r="J61" s="2289"/>
      <c r="K61" s="2286"/>
      <c r="L61" s="2286"/>
      <c r="M61" s="2290">
        <v>346629.8</v>
      </c>
      <c r="N61" s="2337">
        <f>'Насосная стация 2 подъем'!B27</f>
        <v>48159.603307573416</v>
      </c>
      <c r="O61" s="2336">
        <f t="shared" si="0"/>
        <v>298470.19669242657</v>
      </c>
      <c r="P61" s="2286"/>
      <c r="Q61" s="2286"/>
      <c r="R61" s="2286"/>
      <c r="S61" s="2286"/>
      <c r="T61" s="2286"/>
    </row>
    <row r="62" spans="1:20" s="2291" customFormat="1" ht="23.25" customHeight="1" outlineLevel="1" x14ac:dyDescent="0.2">
      <c r="A62" s="6549" t="s">
        <v>2281</v>
      </c>
      <c r="B62" s="6549"/>
      <c r="C62" s="2284">
        <v>524</v>
      </c>
      <c r="D62" s="2285" t="s">
        <v>2282</v>
      </c>
      <c r="E62" s="2286" t="s">
        <v>2283</v>
      </c>
      <c r="F62" s="2287">
        <v>671</v>
      </c>
      <c r="G62" s="2287"/>
      <c r="H62" s="2286"/>
      <c r="I62" s="2288"/>
      <c r="J62" s="2289"/>
      <c r="K62" s="2286"/>
      <c r="L62" s="2290">
        <v>773781.07</v>
      </c>
      <c r="M62" s="2286"/>
      <c r="N62" s="2286"/>
      <c r="O62" s="2336">
        <f t="shared" si="0"/>
        <v>0</v>
      </c>
      <c r="P62" s="2286"/>
      <c r="Q62" s="2286"/>
      <c r="R62" s="2286"/>
      <c r="S62" s="2286"/>
      <c r="T62" s="2286"/>
    </row>
    <row r="63" spans="1:20" s="2302" customFormat="1" ht="12.75" customHeight="1" x14ac:dyDescent="0.2">
      <c r="A63" s="6545" t="s">
        <v>2320</v>
      </c>
      <c r="B63" s="6545"/>
      <c r="C63" s="6545"/>
      <c r="D63" s="6545"/>
      <c r="E63" s="6545"/>
      <c r="F63" s="6545"/>
      <c r="G63" s="2299"/>
      <c r="H63" s="2300">
        <v>256331012.19999999</v>
      </c>
      <c r="I63" s="6546">
        <v>148054598.68000001</v>
      </c>
      <c r="J63" s="6546"/>
      <c r="K63" s="2300">
        <v>108276413.52</v>
      </c>
      <c r="L63" s="2300">
        <v>574743.34</v>
      </c>
      <c r="M63" s="2301">
        <v>8044634.1699999999</v>
      </c>
      <c r="N63" s="2301">
        <f>SUM(N64:N161)</f>
        <v>8044634.1700000009</v>
      </c>
      <c r="O63" s="2301"/>
      <c r="P63" s="2300">
        <v>119119</v>
      </c>
      <c r="Q63" s="2300">
        <v>119119</v>
      </c>
      <c r="R63" s="2300">
        <v>256786636.53999999</v>
      </c>
      <c r="S63" s="2300">
        <v>155980113.84999999</v>
      </c>
      <c r="T63" s="2300">
        <v>100806522.69</v>
      </c>
    </row>
    <row r="64" spans="1:20" s="2308" customFormat="1" ht="23.25" customHeight="1" outlineLevel="1" x14ac:dyDescent="0.2">
      <c r="A64" s="6550" t="s">
        <v>2321</v>
      </c>
      <c r="B64" s="6550"/>
      <c r="C64" s="2303">
        <v>1499</v>
      </c>
      <c r="D64" s="2304" t="s">
        <v>2322</v>
      </c>
      <c r="E64" s="2305" t="s">
        <v>2323</v>
      </c>
      <c r="F64" s="2306">
        <v>360</v>
      </c>
      <c r="G64" s="2306"/>
      <c r="H64" s="2307">
        <v>117257693.16</v>
      </c>
      <c r="I64" s="6551">
        <v>65918700.049999997</v>
      </c>
      <c r="J64" s="6551"/>
      <c r="K64" s="2307">
        <v>51338993.109999999</v>
      </c>
      <c r="L64" s="2305"/>
      <c r="M64" s="2307">
        <v>3908589.72</v>
      </c>
      <c r="N64" s="2307">
        <f>M64</f>
        <v>3908589.72</v>
      </c>
      <c r="O64" s="2307"/>
      <c r="P64" s="2305"/>
      <c r="Q64" s="2305"/>
      <c r="R64" s="2307">
        <v>117257693.16</v>
      </c>
      <c r="S64" s="2307">
        <v>69827289.769999996</v>
      </c>
      <c r="T64" s="2307">
        <v>47430403.390000001</v>
      </c>
    </row>
    <row r="65" spans="1:20" s="2308" customFormat="1" ht="34.5" customHeight="1" outlineLevel="1" x14ac:dyDescent="0.2">
      <c r="A65" s="6550" t="s">
        <v>2324</v>
      </c>
      <c r="B65" s="6550"/>
      <c r="C65" s="2303">
        <v>1506</v>
      </c>
      <c r="D65" s="2304" t="s">
        <v>2325</v>
      </c>
      <c r="E65" s="2305" t="s">
        <v>2326</v>
      </c>
      <c r="F65" s="2305"/>
      <c r="G65" s="2305"/>
      <c r="H65" s="2307">
        <v>5019.4399999999996</v>
      </c>
      <c r="I65" s="2309"/>
      <c r="J65" s="2310"/>
      <c r="K65" s="2307">
        <v>5019.4399999999996</v>
      </c>
      <c r="L65" s="2305"/>
      <c r="M65" s="2305"/>
      <c r="N65" s="2305"/>
      <c r="O65" s="2305"/>
      <c r="P65" s="2305"/>
      <c r="Q65" s="2305"/>
      <c r="R65" s="2307">
        <v>5019.4399999999996</v>
      </c>
      <c r="S65" s="2305"/>
      <c r="T65" s="2307">
        <v>5019.4399999999996</v>
      </c>
    </row>
    <row r="66" spans="1:20" s="2308" customFormat="1" ht="34.5" customHeight="1" outlineLevel="1" x14ac:dyDescent="0.2">
      <c r="A66" s="6550" t="s">
        <v>2324</v>
      </c>
      <c r="B66" s="6550"/>
      <c r="C66" s="2303">
        <v>1509</v>
      </c>
      <c r="D66" s="2304" t="s">
        <v>2325</v>
      </c>
      <c r="E66" s="2305" t="s">
        <v>2327</v>
      </c>
      <c r="F66" s="2305"/>
      <c r="G66" s="2305"/>
      <c r="H66" s="2311">
        <v>-5019.4399999999996</v>
      </c>
      <c r="I66" s="2309"/>
      <c r="J66" s="2310"/>
      <c r="K66" s="2311">
        <v>-5019.4399999999996</v>
      </c>
      <c r="L66" s="2305"/>
      <c r="M66" s="2305"/>
      <c r="N66" s="2305"/>
      <c r="O66" s="2305"/>
      <c r="P66" s="2305"/>
      <c r="Q66" s="2305"/>
      <c r="R66" s="2311">
        <v>-5019.4399999999996</v>
      </c>
      <c r="S66" s="2305"/>
      <c r="T66" s="2311">
        <v>-5019.4399999999996</v>
      </c>
    </row>
    <row r="67" spans="1:20" s="2274" customFormat="1" ht="23.25" customHeight="1" outlineLevel="1" x14ac:dyDescent="0.2">
      <c r="A67" s="6543" t="s">
        <v>2328</v>
      </c>
      <c r="B67" s="6543"/>
      <c r="C67" s="2267">
        <v>69</v>
      </c>
      <c r="D67" s="2268" t="s">
        <v>2192</v>
      </c>
      <c r="E67" s="2273" t="s">
        <v>2329</v>
      </c>
      <c r="F67" s="2270">
        <v>400</v>
      </c>
      <c r="G67" s="2270"/>
      <c r="H67" s="2271">
        <v>33987</v>
      </c>
      <c r="I67" s="6544">
        <v>28958.6</v>
      </c>
      <c r="J67" s="6544"/>
      <c r="K67" s="2271">
        <v>5028.3999999999996</v>
      </c>
      <c r="L67" s="2273"/>
      <c r="M67" s="2271">
        <v>1019.64</v>
      </c>
      <c r="N67" s="2271">
        <f>M67</f>
        <v>1019.64</v>
      </c>
      <c r="O67" s="2271"/>
      <c r="P67" s="2273"/>
      <c r="Q67" s="2273"/>
      <c r="R67" s="2271">
        <v>33987</v>
      </c>
      <c r="S67" s="2271">
        <v>29978.240000000002</v>
      </c>
      <c r="T67" s="2271">
        <v>4008.76</v>
      </c>
    </row>
    <row r="68" spans="1:20" s="2274" customFormat="1" ht="45.75" customHeight="1" outlineLevel="1" x14ac:dyDescent="0.2">
      <c r="A68" s="6543" t="s">
        <v>2330</v>
      </c>
      <c r="B68" s="6543"/>
      <c r="C68" s="2312">
        <v>1507</v>
      </c>
      <c r="D68" s="2268" t="s">
        <v>2325</v>
      </c>
      <c r="E68" s="2273" t="s">
        <v>2331</v>
      </c>
      <c r="F68" s="2273"/>
      <c r="G68" s="2273"/>
      <c r="H68" s="2313">
        <v>-1539.15</v>
      </c>
      <c r="I68" s="2314"/>
      <c r="J68" s="2315"/>
      <c r="K68" s="2313">
        <v>-1539.15</v>
      </c>
      <c r="L68" s="2271">
        <v>1539.15</v>
      </c>
      <c r="M68" s="2273"/>
      <c r="N68" s="2273"/>
      <c r="O68" s="2273"/>
      <c r="P68" s="2273"/>
      <c r="Q68" s="2273"/>
      <c r="R68" s="2273"/>
      <c r="S68" s="2273"/>
      <c r="T68" s="2273"/>
    </row>
    <row r="69" spans="1:20" ht="45.75" customHeight="1" outlineLevel="1" x14ac:dyDescent="0.2">
      <c r="A69" s="6538" t="s">
        <v>2330</v>
      </c>
      <c r="B69" s="6538"/>
      <c r="C69" s="2316">
        <v>1510</v>
      </c>
      <c r="D69" s="2276" t="s">
        <v>2325</v>
      </c>
      <c r="E69" s="2277" t="s">
        <v>2332</v>
      </c>
      <c r="F69" s="2277"/>
      <c r="G69" s="2277"/>
      <c r="H69" s="2279">
        <v>1539.15</v>
      </c>
      <c r="I69" s="2317"/>
      <c r="J69" s="2318"/>
      <c r="K69" s="2279">
        <v>1539.15</v>
      </c>
      <c r="L69" s="2319">
        <v>-1539.15</v>
      </c>
      <c r="M69" s="2280"/>
      <c r="N69" s="2280"/>
      <c r="O69" s="2280"/>
      <c r="P69" s="2277"/>
      <c r="Q69" s="2277"/>
      <c r="R69" s="2277"/>
      <c r="S69" s="2277"/>
      <c r="T69" s="2277"/>
    </row>
    <row r="70" spans="1:20" s="2308" customFormat="1" ht="23.25" customHeight="1" outlineLevel="1" x14ac:dyDescent="0.2">
      <c r="A70" s="6550" t="s">
        <v>2333</v>
      </c>
      <c r="B70" s="6550"/>
      <c r="C70" s="2303">
        <v>1498</v>
      </c>
      <c r="D70" s="2304" t="s">
        <v>2322</v>
      </c>
      <c r="E70" s="2305" t="s">
        <v>2334</v>
      </c>
      <c r="F70" s="2306">
        <v>360</v>
      </c>
      <c r="G70" s="2306"/>
      <c r="H70" s="2307">
        <v>104348582.04000001</v>
      </c>
      <c r="I70" s="6551">
        <v>59984469.880000003</v>
      </c>
      <c r="J70" s="6551"/>
      <c r="K70" s="2307">
        <v>44364112.159999996</v>
      </c>
      <c r="L70" s="2305"/>
      <c r="M70" s="2307">
        <v>3478286.04</v>
      </c>
      <c r="N70" s="2307">
        <f>M70</f>
        <v>3478286.04</v>
      </c>
      <c r="O70" s="2307"/>
      <c r="P70" s="2305"/>
      <c r="Q70" s="2305"/>
      <c r="R70" s="2307">
        <v>104348582.04000001</v>
      </c>
      <c r="S70" s="2307">
        <v>63462755.920000002</v>
      </c>
      <c r="T70" s="2307">
        <v>40885826.119999997</v>
      </c>
    </row>
    <row r="71" spans="1:20" ht="34.5" customHeight="1" outlineLevel="1" x14ac:dyDescent="0.2">
      <c r="A71" s="6538" t="s">
        <v>2335</v>
      </c>
      <c r="B71" s="6538"/>
      <c r="C71" s="2275">
        <v>315</v>
      </c>
      <c r="D71" s="2276" t="s">
        <v>2218</v>
      </c>
      <c r="E71" s="2277" t="s">
        <v>2336</v>
      </c>
      <c r="F71" s="2278">
        <v>600</v>
      </c>
      <c r="G71" s="2278"/>
      <c r="H71" s="2279">
        <v>319521</v>
      </c>
      <c r="I71" s="6539">
        <v>163510.72</v>
      </c>
      <c r="J71" s="6539"/>
      <c r="K71" s="2279">
        <v>156010.28</v>
      </c>
      <c r="L71" s="2277"/>
      <c r="M71" s="2280"/>
      <c r="N71" s="2280"/>
      <c r="O71" s="2280"/>
      <c r="P71" s="2277"/>
      <c r="Q71" s="2277"/>
      <c r="R71" s="2279">
        <v>319521</v>
      </c>
      <c r="S71" s="2279">
        <v>163510.72</v>
      </c>
      <c r="T71" s="2279">
        <v>156010.28</v>
      </c>
    </row>
    <row r="72" spans="1:20" ht="23.25" customHeight="1" outlineLevel="1" x14ac:dyDescent="0.2">
      <c r="A72" s="6538" t="s">
        <v>2337</v>
      </c>
      <c r="B72" s="6538"/>
      <c r="C72" s="2282">
        <v>1843</v>
      </c>
      <c r="D72" s="2276" t="s">
        <v>2338</v>
      </c>
      <c r="E72" s="2277" t="s">
        <v>2339</v>
      </c>
      <c r="F72" s="2278">
        <v>36</v>
      </c>
      <c r="G72" s="2278"/>
      <c r="H72" s="2279">
        <v>4063.92</v>
      </c>
      <c r="I72" s="6539">
        <v>4063.92</v>
      </c>
      <c r="J72" s="6539"/>
      <c r="K72" s="2277"/>
      <c r="L72" s="2277"/>
      <c r="M72" s="2280"/>
      <c r="N72" s="2280"/>
      <c r="O72" s="2280"/>
      <c r="P72" s="2277"/>
      <c r="Q72" s="2277"/>
      <c r="R72" s="2279">
        <v>4063.92</v>
      </c>
      <c r="S72" s="2279">
        <v>4063.92</v>
      </c>
      <c r="T72" s="2277"/>
    </row>
    <row r="73" spans="1:20" ht="34.5" customHeight="1" outlineLevel="1" x14ac:dyDescent="0.2">
      <c r="A73" s="6538" t="s">
        <v>2340</v>
      </c>
      <c r="B73" s="6538"/>
      <c r="C73" s="2275">
        <v>322</v>
      </c>
      <c r="D73" s="2276" t="s">
        <v>2341</v>
      </c>
      <c r="E73" s="2277" t="s">
        <v>2342</v>
      </c>
      <c r="F73" s="2278">
        <v>600</v>
      </c>
      <c r="G73" s="2278"/>
      <c r="H73" s="2279">
        <v>90610</v>
      </c>
      <c r="I73" s="6539">
        <v>90610</v>
      </c>
      <c r="J73" s="6539"/>
      <c r="K73" s="2277"/>
      <c r="L73" s="2277"/>
      <c r="M73" s="2280"/>
      <c r="N73" s="2280"/>
      <c r="O73" s="2280"/>
      <c r="P73" s="2277"/>
      <c r="Q73" s="2277"/>
      <c r="R73" s="2279">
        <v>90610</v>
      </c>
      <c r="S73" s="2279">
        <v>90610</v>
      </c>
      <c r="T73" s="2277"/>
    </row>
    <row r="74" spans="1:20" ht="23.25" customHeight="1" outlineLevel="1" x14ac:dyDescent="0.2">
      <c r="A74" s="6538" t="s">
        <v>2343</v>
      </c>
      <c r="B74" s="6538"/>
      <c r="C74" s="2282">
        <v>1753</v>
      </c>
      <c r="D74" s="2276" t="s">
        <v>2344</v>
      </c>
      <c r="E74" s="2277" t="s">
        <v>2345</v>
      </c>
      <c r="F74" s="2278">
        <v>240</v>
      </c>
      <c r="G74" s="2278"/>
      <c r="H74" s="2279">
        <v>9773</v>
      </c>
      <c r="I74" s="6539">
        <v>7329.68</v>
      </c>
      <c r="J74" s="6539"/>
      <c r="K74" s="2279">
        <v>2443.3200000000002</v>
      </c>
      <c r="L74" s="2277"/>
      <c r="M74" s="2320">
        <v>488.64</v>
      </c>
      <c r="N74" s="2320">
        <f>M74</f>
        <v>488.64</v>
      </c>
      <c r="O74" s="2320"/>
      <c r="P74" s="2277"/>
      <c r="Q74" s="2277"/>
      <c r="R74" s="2279">
        <v>9773</v>
      </c>
      <c r="S74" s="2279">
        <v>7818.32</v>
      </c>
      <c r="T74" s="2279">
        <v>1954.68</v>
      </c>
    </row>
    <row r="75" spans="1:20" ht="23.25" customHeight="1" outlineLevel="1" x14ac:dyDescent="0.2">
      <c r="A75" s="6538" t="s">
        <v>2346</v>
      </c>
      <c r="B75" s="6538"/>
      <c r="C75" s="2275">
        <v>388</v>
      </c>
      <c r="D75" s="2276" t="s">
        <v>2347</v>
      </c>
      <c r="E75" s="2277" t="s">
        <v>2348</v>
      </c>
      <c r="F75" s="2278">
        <v>132</v>
      </c>
      <c r="G75" s="2278"/>
      <c r="H75" s="2279">
        <v>2628</v>
      </c>
      <c r="I75" s="6539">
        <v>2628</v>
      </c>
      <c r="J75" s="6539"/>
      <c r="K75" s="2277"/>
      <c r="L75" s="2277"/>
      <c r="M75" s="2280"/>
      <c r="N75" s="2280"/>
      <c r="O75" s="2280"/>
      <c r="P75" s="2277"/>
      <c r="Q75" s="2277"/>
      <c r="R75" s="2279">
        <v>2628</v>
      </c>
      <c r="S75" s="2279">
        <v>2628</v>
      </c>
      <c r="T75" s="2277"/>
    </row>
    <row r="76" spans="1:20" ht="23.25" customHeight="1" outlineLevel="1" x14ac:dyDescent="0.2">
      <c r="A76" s="6538" t="s">
        <v>2349</v>
      </c>
      <c r="B76" s="6538"/>
      <c r="C76" s="2275">
        <v>223</v>
      </c>
      <c r="D76" s="2276" t="s">
        <v>2291</v>
      </c>
      <c r="E76" s="2277" t="s">
        <v>2350</v>
      </c>
      <c r="F76" s="2278">
        <v>300</v>
      </c>
      <c r="G76" s="2278"/>
      <c r="H76" s="2279">
        <v>545603</v>
      </c>
      <c r="I76" s="6539">
        <v>545603</v>
      </c>
      <c r="J76" s="6539"/>
      <c r="K76" s="2277"/>
      <c r="L76" s="2277"/>
      <c r="M76" s="2280"/>
      <c r="N76" s="2280"/>
      <c r="O76" s="2280"/>
      <c r="P76" s="2277"/>
      <c r="Q76" s="2277"/>
      <c r="R76" s="2279">
        <v>545603</v>
      </c>
      <c r="S76" s="2279">
        <v>545603</v>
      </c>
      <c r="T76" s="2277"/>
    </row>
    <row r="77" spans="1:20" ht="34.5" customHeight="1" outlineLevel="1" x14ac:dyDescent="0.2">
      <c r="A77" s="6538" t="s">
        <v>2351</v>
      </c>
      <c r="B77" s="6538"/>
      <c r="C77" s="2282">
        <v>2429</v>
      </c>
      <c r="D77" s="2276" t="s">
        <v>2249</v>
      </c>
      <c r="E77" s="2277" t="s">
        <v>2352</v>
      </c>
      <c r="F77" s="2278">
        <v>240</v>
      </c>
      <c r="G77" s="2278"/>
      <c r="H77" s="2279">
        <v>2338066.7400000002</v>
      </c>
      <c r="I77" s="6539">
        <v>642968.04</v>
      </c>
      <c r="J77" s="6539"/>
      <c r="K77" s="2279">
        <v>1695098.7</v>
      </c>
      <c r="L77" s="2277"/>
      <c r="M77" s="2281">
        <v>116903.28</v>
      </c>
      <c r="N77" s="2281">
        <f>M77</f>
        <v>116903.28</v>
      </c>
      <c r="O77" s="2281"/>
      <c r="P77" s="2277"/>
      <c r="Q77" s="2277"/>
      <c r="R77" s="2279">
        <v>2338066.7400000002</v>
      </c>
      <c r="S77" s="2279">
        <v>759871.32</v>
      </c>
      <c r="T77" s="2279">
        <v>1578195.42</v>
      </c>
    </row>
    <row r="78" spans="1:20" ht="34.5" customHeight="1" outlineLevel="1" x14ac:dyDescent="0.2">
      <c r="A78" s="6538" t="s">
        <v>2353</v>
      </c>
      <c r="B78" s="6538"/>
      <c r="C78" s="2275">
        <v>292</v>
      </c>
      <c r="D78" s="2276" t="s">
        <v>2218</v>
      </c>
      <c r="E78" s="2277" t="s">
        <v>2354</v>
      </c>
      <c r="F78" s="2278">
        <v>600</v>
      </c>
      <c r="G78" s="2278"/>
      <c r="H78" s="2279">
        <v>4130963</v>
      </c>
      <c r="I78" s="6539">
        <v>2526748.2000000002</v>
      </c>
      <c r="J78" s="6539"/>
      <c r="K78" s="2279">
        <v>1604214.8</v>
      </c>
      <c r="L78" s="2277"/>
      <c r="M78" s="2281">
        <v>82619.28</v>
      </c>
      <c r="N78" s="2281">
        <f>M78</f>
        <v>82619.28</v>
      </c>
      <c r="O78" s="2281"/>
      <c r="P78" s="2277"/>
      <c r="Q78" s="2277"/>
      <c r="R78" s="2279">
        <v>4130963</v>
      </c>
      <c r="S78" s="2279">
        <v>2609367.48</v>
      </c>
      <c r="T78" s="2279">
        <v>1521595.52</v>
      </c>
    </row>
    <row r="79" spans="1:20" ht="23.25" customHeight="1" outlineLevel="1" x14ac:dyDescent="0.2">
      <c r="A79" s="6538" t="s">
        <v>2355</v>
      </c>
      <c r="B79" s="6538"/>
      <c r="C79" s="2275">
        <v>52</v>
      </c>
      <c r="D79" s="2276" t="s">
        <v>2192</v>
      </c>
      <c r="E79" s="2277" t="s">
        <v>2356</v>
      </c>
      <c r="F79" s="2278">
        <v>300</v>
      </c>
      <c r="G79" s="2278"/>
      <c r="H79" s="2279">
        <v>370574</v>
      </c>
      <c r="I79" s="6539">
        <v>370574</v>
      </c>
      <c r="J79" s="6539"/>
      <c r="K79" s="2277"/>
      <c r="L79" s="2277"/>
      <c r="M79" s="2280"/>
      <c r="N79" s="2281"/>
      <c r="O79" s="2281"/>
      <c r="P79" s="2277"/>
      <c r="Q79" s="2277"/>
      <c r="R79" s="2279">
        <v>370574</v>
      </c>
      <c r="S79" s="2279">
        <v>370574</v>
      </c>
      <c r="T79" s="2277"/>
    </row>
    <row r="80" spans="1:20" ht="23.25" customHeight="1" outlineLevel="1" x14ac:dyDescent="0.2">
      <c r="A80" s="6538" t="s">
        <v>2357</v>
      </c>
      <c r="B80" s="6538"/>
      <c r="C80" s="2275">
        <v>53</v>
      </c>
      <c r="D80" s="2276" t="s">
        <v>2192</v>
      </c>
      <c r="E80" s="2277" t="s">
        <v>2358</v>
      </c>
      <c r="F80" s="2278">
        <v>400</v>
      </c>
      <c r="G80" s="2278"/>
      <c r="H80" s="2279">
        <v>352928</v>
      </c>
      <c r="I80" s="6539">
        <v>304384.59999999998</v>
      </c>
      <c r="J80" s="6539"/>
      <c r="K80" s="2279">
        <v>48543.4</v>
      </c>
      <c r="L80" s="2277"/>
      <c r="M80" s="2281">
        <v>10587.84</v>
      </c>
      <c r="N80" s="2281">
        <f>H80/F80*12</f>
        <v>10587.84</v>
      </c>
      <c r="O80" s="2281"/>
      <c r="P80" s="2277"/>
      <c r="Q80" s="2277"/>
      <c r="R80" s="2279">
        <v>352928</v>
      </c>
      <c r="S80" s="2279">
        <v>314972.44</v>
      </c>
      <c r="T80" s="2279">
        <v>37955.56</v>
      </c>
    </row>
    <row r="81" spans="1:20" ht="23.25" customHeight="1" outlineLevel="1" x14ac:dyDescent="0.2">
      <c r="A81" s="6538" t="s">
        <v>2359</v>
      </c>
      <c r="B81" s="6538"/>
      <c r="C81" s="2275">
        <v>317</v>
      </c>
      <c r="D81" s="2276" t="s">
        <v>2218</v>
      </c>
      <c r="E81" s="2277" t="s">
        <v>2360</v>
      </c>
      <c r="F81" s="2278">
        <v>300</v>
      </c>
      <c r="G81" s="2278"/>
      <c r="H81" s="2279">
        <v>601053</v>
      </c>
      <c r="I81" s="6539">
        <v>601053</v>
      </c>
      <c r="J81" s="6539"/>
      <c r="K81" s="2277"/>
      <c r="L81" s="2277"/>
      <c r="M81" s="2280"/>
      <c r="N81" s="2280"/>
      <c r="O81" s="2280"/>
      <c r="P81" s="2277"/>
      <c r="Q81" s="2277"/>
      <c r="R81" s="2279">
        <v>601053</v>
      </c>
      <c r="S81" s="2279">
        <v>601053</v>
      </c>
      <c r="T81" s="2277"/>
    </row>
    <row r="82" spans="1:20" ht="23.25" customHeight="1" outlineLevel="1" x14ac:dyDescent="0.2">
      <c r="A82" s="6538" t="s">
        <v>2361</v>
      </c>
      <c r="B82" s="6538"/>
      <c r="C82" s="2275">
        <v>318</v>
      </c>
      <c r="D82" s="2276" t="s">
        <v>2218</v>
      </c>
      <c r="E82" s="2277" t="s">
        <v>2362</v>
      </c>
      <c r="F82" s="2278">
        <v>300</v>
      </c>
      <c r="G82" s="2278"/>
      <c r="H82" s="2279">
        <v>94081</v>
      </c>
      <c r="I82" s="6539">
        <v>94081</v>
      </c>
      <c r="J82" s="6539"/>
      <c r="K82" s="2277"/>
      <c r="L82" s="2277"/>
      <c r="M82" s="2280"/>
      <c r="N82" s="2280"/>
      <c r="O82" s="2280"/>
      <c r="P82" s="2277"/>
      <c r="Q82" s="2277"/>
      <c r="R82" s="2279">
        <v>94081</v>
      </c>
      <c r="S82" s="2279">
        <v>94081</v>
      </c>
      <c r="T82" s="2277"/>
    </row>
    <row r="83" spans="1:20" ht="23.25" customHeight="1" outlineLevel="1" x14ac:dyDescent="0.2">
      <c r="A83" s="6538" t="s">
        <v>2363</v>
      </c>
      <c r="B83" s="6538"/>
      <c r="C83" s="2275">
        <v>54</v>
      </c>
      <c r="D83" s="2276" t="s">
        <v>2192</v>
      </c>
      <c r="E83" s="2277" t="s">
        <v>2364</v>
      </c>
      <c r="F83" s="2278">
        <v>300</v>
      </c>
      <c r="G83" s="2278"/>
      <c r="H83" s="2279">
        <v>206150</v>
      </c>
      <c r="I83" s="6539">
        <v>206150</v>
      </c>
      <c r="J83" s="6539"/>
      <c r="K83" s="2277"/>
      <c r="L83" s="2277"/>
      <c r="M83" s="2280"/>
      <c r="N83" s="2280"/>
      <c r="O83" s="2280"/>
      <c r="P83" s="2277"/>
      <c r="Q83" s="2277"/>
      <c r="R83" s="2279">
        <v>206150</v>
      </c>
      <c r="S83" s="2279">
        <v>206150</v>
      </c>
      <c r="T83" s="2277"/>
    </row>
    <row r="84" spans="1:20" ht="23.25" customHeight="1" outlineLevel="1" x14ac:dyDescent="0.2">
      <c r="A84" s="6538" t="s">
        <v>2365</v>
      </c>
      <c r="B84" s="6538"/>
      <c r="C84" s="2275">
        <v>319</v>
      </c>
      <c r="D84" s="2276" t="s">
        <v>2218</v>
      </c>
      <c r="E84" s="2277" t="s">
        <v>2366</v>
      </c>
      <c r="F84" s="2278">
        <v>214</v>
      </c>
      <c r="G84" s="2278"/>
      <c r="H84" s="2279">
        <v>16033</v>
      </c>
      <c r="I84" s="6539">
        <v>16033</v>
      </c>
      <c r="J84" s="6539"/>
      <c r="K84" s="2277"/>
      <c r="L84" s="2277"/>
      <c r="M84" s="2280"/>
      <c r="N84" s="2280"/>
      <c r="O84" s="2280"/>
      <c r="P84" s="2277"/>
      <c r="Q84" s="2277"/>
      <c r="R84" s="2279">
        <v>16033</v>
      </c>
      <c r="S84" s="2279">
        <v>16033</v>
      </c>
      <c r="T84" s="2277"/>
    </row>
    <row r="85" spans="1:20" ht="23.25" customHeight="1" outlineLevel="1" x14ac:dyDescent="0.2">
      <c r="A85" s="6538" t="s">
        <v>2367</v>
      </c>
      <c r="B85" s="6538"/>
      <c r="C85" s="2282">
        <v>1839</v>
      </c>
      <c r="D85" s="2276" t="s">
        <v>2368</v>
      </c>
      <c r="E85" s="2277" t="s">
        <v>2369</v>
      </c>
      <c r="F85" s="2278">
        <v>120</v>
      </c>
      <c r="G85" s="2278"/>
      <c r="H85" s="2279">
        <v>5475.2</v>
      </c>
      <c r="I85" s="6539">
        <v>5475.2</v>
      </c>
      <c r="J85" s="6539"/>
      <c r="K85" s="2277"/>
      <c r="L85" s="2277"/>
      <c r="M85" s="2280"/>
      <c r="N85" s="2280"/>
      <c r="O85" s="2280"/>
      <c r="P85" s="2277"/>
      <c r="Q85" s="2277"/>
      <c r="R85" s="2279">
        <v>5475.2</v>
      </c>
      <c r="S85" s="2279">
        <v>5475.2</v>
      </c>
      <c r="T85" s="2277"/>
    </row>
    <row r="86" spans="1:20" ht="23.25" customHeight="1" outlineLevel="1" x14ac:dyDescent="0.2">
      <c r="A86" s="6538" t="s">
        <v>2343</v>
      </c>
      <c r="B86" s="6538"/>
      <c r="C86" s="2282">
        <v>1752</v>
      </c>
      <c r="D86" s="2276" t="s">
        <v>2344</v>
      </c>
      <c r="E86" s="2277" t="s">
        <v>2370</v>
      </c>
      <c r="F86" s="2278">
        <v>708</v>
      </c>
      <c r="G86" s="2278"/>
      <c r="H86" s="2279">
        <v>7896</v>
      </c>
      <c r="I86" s="6539">
        <v>5340.6</v>
      </c>
      <c r="J86" s="6539"/>
      <c r="K86" s="2279">
        <v>2555.4</v>
      </c>
      <c r="L86" s="2277"/>
      <c r="M86" s="2320">
        <v>133.80000000000001</v>
      </c>
      <c r="N86" s="2281">
        <f>M86</f>
        <v>133.80000000000001</v>
      </c>
      <c r="O86" s="2281"/>
      <c r="P86" s="2277"/>
      <c r="Q86" s="2277"/>
      <c r="R86" s="2279">
        <v>7896</v>
      </c>
      <c r="S86" s="2279">
        <v>5474.4</v>
      </c>
      <c r="T86" s="2279">
        <v>2421.6</v>
      </c>
    </row>
    <row r="87" spans="1:20" ht="23.25" customHeight="1" outlineLevel="1" x14ac:dyDescent="0.2">
      <c r="A87" s="6538" t="s">
        <v>2371</v>
      </c>
      <c r="B87" s="6538"/>
      <c r="C87" s="2275">
        <v>57</v>
      </c>
      <c r="D87" s="2276" t="s">
        <v>2192</v>
      </c>
      <c r="E87" s="2277" t="s">
        <v>2372</v>
      </c>
      <c r="F87" s="2278">
        <v>480</v>
      </c>
      <c r="G87" s="2278"/>
      <c r="H87" s="2279">
        <v>168856</v>
      </c>
      <c r="I87" s="6539">
        <v>118208.4</v>
      </c>
      <c r="J87" s="6539"/>
      <c r="K87" s="2279">
        <v>50647.6</v>
      </c>
      <c r="L87" s="2277"/>
      <c r="M87" s="2281">
        <v>4221.3599999999997</v>
      </c>
      <c r="N87" s="2281">
        <f>M87</f>
        <v>4221.3599999999997</v>
      </c>
      <c r="O87" s="2281"/>
      <c r="P87" s="2277"/>
      <c r="Q87" s="2277"/>
      <c r="R87" s="2279">
        <v>168856</v>
      </c>
      <c r="S87" s="2279">
        <v>122429.75999999999</v>
      </c>
      <c r="T87" s="2279">
        <v>46426.239999999998</v>
      </c>
    </row>
    <row r="88" spans="1:20" ht="34.5" customHeight="1" outlineLevel="1" x14ac:dyDescent="0.2">
      <c r="A88" s="6538" t="s">
        <v>2373</v>
      </c>
      <c r="B88" s="6538"/>
      <c r="C88" s="2275">
        <v>21</v>
      </c>
      <c r="D88" s="2276" t="s">
        <v>2213</v>
      </c>
      <c r="E88" s="2277" t="s">
        <v>2374</v>
      </c>
      <c r="F88" s="2278">
        <v>480</v>
      </c>
      <c r="G88" s="2278"/>
      <c r="H88" s="2279">
        <v>751530</v>
      </c>
      <c r="I88" s="6539">
        <v>709302.42</v>
      </c>
      <c r="J88" s="6539"/>
      <c r="K88" s="2279">
        <v>42227.58</v>
      </c>
      <c r="L88" s="2277"/>
      <c r="M88" s="2280"/>
      <c r="N88" s="2280"/>
      <c r="O88" s="2280"/>
      <c r="P88" s="2277"/>
      <c r="Q88" s="2277"/>
      <c r="R88" s="2279">
        <v>751530</v>
      </c>
      <c r="S88" s="2279">
        <v>709302.42</v>
      </c>
      <c r="T88" s="2279">
        <v>42227.58</v>
      </c>
    </row>
    <row r="89" spans="1:20" ht="34.5" customHeight="1" outlineLevel="1" x14ac:dyDescent="0.2">
      <c r="A89" s="6538" t="s">
        <v>2375</v>
      </c>
      <c r="B89" s="6538"/>
      <c r="C89" s="2275">
        <v>335</v>
      </c>
      <c r="D89" s="2276" t="s">
        <v>2218</v>
      </c>
      <c r="E89" s="2277" t="s">
        <v>2376</v>
      </c>
      <c r="F89" s="2278">
        <v>480</v>
      </c>
      <c r="G89" s="2278"/>
      <c r="H89" s="2277"/>
      <c r="I89" s="2317"/>
      <c r="J89" s="2318"/>
      <c r="K89" s="2277"/>
      <c r="L89" s="2277"/>
      <c r="M89" s="2280"/>
      <c r="N89" s="2280"/>
      <c r="O89" s="2280"/>
      <c r="P89" s="2277"/>
      <c r="Q89" s="2277"/>
      <c r="R89" s="2277"/>
      <c r="S89" s="2277"/>
      <c r="T89" s="2277"/>
    </row>
    <row r="90" spans="1:20" ht="23.25" customHeight="1" outlineLevel="1" x14ac:dyDescent="0.2">
      <c r="A90" s="6538" t="s">
        <v>2377</v>
      </c>
      <c r="B90" s="6538"/>
      <c r="C90" s="2275">
        <v>35</v>
      </c>
      <c r="D90" s="2276" t="s">
        <v>2192</v>
      </c>
      <c r="E90" s="2277" t="s">
        <v>2378</v>
      </c>
      <c r="F90" s="2278">
        <v>600</v>
      </c>
      <c r="G90" s="2278"/>
      <c r="H90" s="2279">
        <v>189088</v>
      </c>
      <c r="I90" s="6539">
        <v>105883</v>
      </c>
      <c r="J90" s="6539"/>
      <c r="K90" s="2279">
        <v>83205</v>
      </c>
      <c r="L90" s="2277"/>
      <c r="M90" s="2281">
        <v>3781.8</v>
      </c>
      <c r="N90" s="2281">
        <f>M90</f>
        <v>3781.8</v>
      </c>
      <c r="O90" s="2281"/>
      <c r="P90" s="2277"/>
      <c r="Q90" s="2277"/>
      <c r="R90" s="2279">
        <v>189088</v>
      </c>
      <c r="S90" s="2279">
        <v>109664.8</v>
      </c>
      <c r="T90" s="2279">
        <v>79423.199999999997</v>
      </c>
    </row>
    <row r="91" spans="1:20" s="2298" customFormat="1" ht="23.25" customHeight="1" outlineLevel="1" x14ac:dyDescent="0.2">
      <c r="A91" s="6547" t="s">
        <v>2379</v>
      </c>
      <c r="B91" s="6547"/>
      <c r="C91" s="2321">
        <v>1924</v>
      </c>
      <c r="D91" s="2293" t="s">
        <v>2221</v>
      </c>
      <c r="E91" s="2294" t="s">
        <v>2380</v>
      </c>
      <c r="F91" s="2295">
        <v>120</v>
      </c>
      <c r="G91" s="2295"/>
      <c r="H91" s="2296">
        <v>519011.09</v>
      </c>
      <c r="I91" s="6548">
        <v>519010.8</v>
      </c>
      <c r="J91" s="6548"/>
      <c r="K91" s="2297">
        <v>0.28999999999999998</v>
      </c>
      <c r="L91" s="2294"/>
      <c r="M91" s="2297">
        <v>0.28999999999999998</v>
      </c>
      <c r="N91" s="2296">
        <f>M91</f>
        <v>0.28999999999999998</v>
      </c>
      <c r="O91" s="2296"/>
      <c r="P91" s="2294"/>
      <c r="Q91" s="2294"/>
      <c r="R91" s="2296">
        <v>519011.09</v>
      </c>
      <c r="S91" s="2296">
        <v>519011.09</v>
      </c>
      <c r="T91" s="2294"/>
    </row>
    <row r="92" spans="1:20" ht="34.5" customHeight="1" outlineLevel="1" x14ac:dyDescent="0.2">
      <c r="A92" s="6538" t="s">
        <v>2381</v>
      </c>
      <c r="B92" s="6538"/>
      <c r="C92" s="2275">
        <v>12</v>
      </c>
      <c r="D92" s="2276" t="s">
        <v>2213</v>
      </c>
      <c r="E92" s="2277" t="s">
        <v>2382</v>
      </c>
      <c r="F92" s="2278">
        <v>600</v>
      </c>
      <c r="G92" s="2278"/>
      <c r="H92" s="2279">
        <v>946377</v>
      </c>
      <c r="I92" s="6539">
        <v>946377</v>
      </c>
      <c r="J92" s="6539"/>
      <c r="K92" s="2277"/>
      <c r="L92" s="2277"/>
      <c r="M92" s="2280"/>
      <c r="N92" s="2280"/>
      <c r="O92" s="2280"/>
      <c r="P92" s="2277"/>
      <c r="Q92" s="2277"/>
      <c r="R92" s="2279">
        <v>946377</v>
      </c>
      <c r="S92" s="2279">
        <v>946377</v>
      </c>
      <c r="T92" s="2277"/>
    </row>
    <row r="93" spans="1:20" ht="23.25" customHeight="1" outlineLevel="1" x14ac:dyDescent="0.2">
      <c r="A93" s="6538" t="s">
        <v>2383</v>
      </c>
      <c r="B93" s="6538"/>
      <c r="C93" s="2275">
        <v>58</v>
      </c>
      <c r="D93" s="2276" t="s">
        <v>2192</v>
      </c>
      <c r="E93" s="2277" t="s">
        <v>2384</v>
      </c>
      <c r="F93" s="2278">
        <v>144</v>
      </c>
      <c r="G93" s="2278"/>
      <c r="H93" s="2279">
        <v>64284</v>
      </c>
      <c r="I93" s="6539">
        <v>64284</v>
      </c>
      <c r="J93" s="6539"/>
      <c r="K93" s="2277"/>
      <c r="L93" s="2277"/>
      <c r="M93" s="2280"/>
      <c r="N93" s="2280"/>
      <c r="O93" s="2280"/>
      <c r="P93" s="2277"/>
      <c r="Q93" s="2277"/>
      <c r="R93" s="2279">
        <v>64284</v>
      </c>
      <c r="S93" s="2279">
        <v>64284</v>
      </c>
      <c r="T93" s="2277"/>
    </row>
    <row r="94" spans="1:20" ht="23.25" customHeight="1" outlineLevel="1" x14ac:dyDescent="0.2">
      <c r="A94" s="6538" t="s">
        <v>2385</v>
      </c>
      <c r="B94" s="6538"/>
      <c r="C94" s="2275">
        <v>551</v>
      </c>
      <c r="D94" s="2276" t="s">
        <v>2297</v>
      </c>
      <c r="E94" s="2277" t="s">
        <v>2386</v>
      </c>
      <c r="F94" s="2278">
        <v>432</v>
      </c>
      <c r="G94" s="2278"/>
      <c r="H94" s="2279">
        <v>119119</v>
      </c>
      <c r="I94" s="6539">
        <v>119119</v>
      </c>
      <c r="J94" s="6539"/>
      <c r="K94" s="2277"/>
      <c r="L94" s="2277"/>
      <c r="M94" s="2280"/>
      <c r="N94" s="2280"/>
      <c r="O94" s="2280"/>
      <c r="P94" s="2279">
        <v>119119</v>
      </c>
      <c r="Q94" s="2279">
        <v>119119</v>
      </c>
      <c r="R94" s="2277"/>
      <c r="S94" s="2277"/>
      <c r="T94" s="2277"/>
    </row>
    <row r="95" spans="1:20" ht="34.5" customHeight="1" outlineLevel="1" x14ac:dyDescent="0.2">
      <c r="A95" s="6538" t="s">
        <v>2387</v>
      </c>
      <c r="B95" s="6538"/>
      <c r="C95" s="2275">
        <v>36</v>
      </c>
      <c r="D95" s="2276" t="s">
        <v>2192</v>
      </c>
      <c r="E95" s="2277" t="s">
        <v>2388</v>
      </c>
      <c r="F95" s="2278">
        <v>571</v>
      </c>
      <c r="G95" s="2278"/>
      <c r="H95" s="2279">
        <v>60916</v>
      </c>
      <c r="I95" s="6539">
        <v>37983.4</v>
      </c>
      <c r="J95" s="6539"/>
      <c r="K95" s="2279">
        <v>22932.6</v>
      </c>
      <c r="L95" s="2277"/>
      <c r="M95" s="2281">
        <v>1280.1600000000001</v>
      </c>
      <c r="N95" s="2281">
        <f>M95</f>
        <v>1280.1600000000001</v>
      </c>
      <c r="O95" s="2281"/>
      <c r="P95" s="2277"/>
      <c r="Q95" s="2277"/>
      <c r="R95" s="2279">
        <v>60916</v>
      </c>
      <c r="S95" s="2279">
        <v>39263.56</v>
      </c>
      <c r="T95" s="2279">
        <v>21652.44</v>
      </c>
    </row>
    <row r="96" spans="1:20" ht="23.25" customHeight="1" outlineLevel="1" x14ac:dyDescent="0.2">
      <c r="A96" s="6538" t="s">
        <v>2389</v>
      </c>
      <c r="B96" s="6538"/>
      <c r="C96" s="2275">
        <v>15</v>
      </c>
      <c r="D96" s="2276" t="s">
        <v>2213</v>
      </c>
      <c r="E96" s="2277" t="s">
        <v>2390</v>
      </c>
      <c r="F96" s="2278">
        <v>600</v>
      </c>
      <c r="G96" s="2278"/>
      <c r="H96" s="2279">
        <v>194903</v>
      </c>
      <c r="I96" s="6539">
        <v>149484.12</v>
      </c>
      <c r="J96" s="6539"/>
      <c r="K96" s="2279">
        <v>45418.879999999997</v>
      </c>
      <c r="L96" s="2277"/>
      <c r="M96" s="2280"/>
      <c r="N96" s="2281"/>
      <c r="O96" s="2281"/>
      <c r="P96" s="2277"/>
      <c r="Q96" s="2277"/>
      <c r="R96" s="2279">
        <v>194903</v>
      </c>
      <c r="S96" s="2279">
        <v>149484.12</v>
      </c>
      <c r="T96" s="2279">
        <v>45418.879999999997</v>
      </c>
    </row>
    <row r="97" spans="1:20" ht="23.25" customHeight="1" outlineLevel="1" x14ac:dyDescent="0.2">
      <c r="A97" s="6538" t="s">
        <v>2391</v>
      </c>
      <c r="B97" s="6538"/>
      <c r="C97" s="2282">
        <v>1834</v>
      </c>
      <c r="D97" s="2276" t="s">
        <v>2368</v>
      </c>
      <c r="E97" s="2277" t="s">
        <v>2392</v>
      </c>
      <c r="F97" s="2278">
        <v>180</v>
      </c>
      <c r="G97" s="2278"/>
      <c r="H97" s="2279">
        <v>4347.12</v>
      </c>
      <c r="I97" s="6539">
        <v>3332.7</v>
      </c>
      <c r="J97" s="6539"/>
      <c r="K97" s="2279">
        <v>1014.42</v>
      </c>
      <c r="L97" s="2277"/>
      <c r="M97" s="2320">
        <v>289.8</v>
      </c>
      <c r="N97" s="2281">
        <f>M97</f>
        <v>289.8</v>
      </c>
      <c r="O97" s="2281"/>
      <c r="P97" s="2277"/>
      <c r="Q97" s="2277"/>
      <c r="R97" s="2279">
        <v>4347.12</v>
      </c>
      <c r="S97" s="2279">
        <v>3622.5</v>
      </c>
      <c r="T97" s="2322">
        <v>724.62</v>
      </c>
    </row>
    <row r="98" spans="1:20" ht="23.25" customHeight="1" outlineLevel="1" x14ac:dyDescent="0.2">
      <c r="A98" s="6538" t="s">
        <v>2393</v>
      </c>
      <c r="B98" s="6538"/>
      <c r="C98" s="2275">
        <v>329</v>
      </c>
      <c r="D98" s="2276" t="s">
        <v>2218</v>
      </c>
      <c r="E98" s="2277" t="s">
        <v>2394</v>
      </c>
      <c r="F98" s="2278">
        <v>480</v>
      </c>
      <c r="G98" s="2278"/>
      <c r="H98" s="2279">
        <v>147731</v>
      </c>
      <c r="I98" s="6539">
        <v>112999.6</v>
      </c>
      <c r="J98" s="6539"/>
      <c r="K98" s="2279">
        <v>34731.4</v>
      </c>
      <c r="L98" s="2277"/>
      <c r="M98" s="2281">
        <v>3693.24</v>
      </c>
      <c r="N98" s="2281">
        <f>M98</f>
        <v>3693.24</v>
      </c>
      <c r="O98" s="2281"/>
      <c r="P98" s="2277"/>
      <c r="Q98" s="2277"/>
      <c r="R98" s="2279">
        <v>147731</v>
      </c>
      <c r="S98" s="2279">
        <v>116692.84</v>
      </c>
      <c r="T98" s="2279">
        <v>31038.16</v>
      </c>
    </row>
    <row r="99" spans="1:20" ht="23.25" customHeight="1" outlineLevel="1" x14ac:dyDescent="0.2">
      <c r="A99" s="6538" t="s">
        <v>2395</v>
      </c>
      <c r="B99" s="6538"/>
      <c r="C99" s="2282">
        <v>1844</v>
      </c>
      <c r="D99" s="2276" t="s">
        <v>2368</v>
      </c>
      <c r="E99" s="2277" t="s">
        <v>2396</v>
      </c>
      <c r="F99" s="2278">
        <v>36</v>
      </c>
      <c r="G99" s="2278"/>
      <c r="H99" s="2279">
        <v>2020.16</v>
      </c>
      <c r="I99" s="6539">
        <v>2020.16</v>
      </c>
      <c r="J99" s="6539"/>
      <c r="K99" s="2277"/>
      <c r="L99" s="2277"/>
      <c r="M99" s="2280"/>
      <c r="N99" s="2280"/>
      <c r="O99" s="2280"/>
      <c r="P99" s="2277"/>
      <c r="Q99" s="2277"/>
      <c r="R99" s="2279">
        <v>2020.16</v>
      </c>
      <c r="S99" s="2279">
        <v>2020.16</v>
      </c>
      <c r="T99" s="2277"/>
    </row>
    <row r="100" spans="1:20" ht="23.25" customHeight="1" outlineLevel="1" x14ac:dyDescent="0.2">
      <c r="A100" s="6538" t="s">
        <v>2397</v>
      </c>
      <c r="B100" s="6538"/>
      <c r="C100" s="2275">
        <v>224</v>
      </c>
      <c r="D100" s="2276" t="s">
        <v>2291</v>
      </c>
      <c r="E100" s="2277" t="s">
        <v>2398</v>
      </c>
      <c r="F100" s="2278">
        <v>360</v>
      </c>
      <c r="G100" s="2278"/>
      <c r="H100" s="2279">
        <v>89331</v>
      </c>
      <c r="I100" s="6539">
        <v>89331</v>
      </c>
      <c r="J100" s="6539"/>
      <c r="K100" s="2277"/>
      <c r="L100" s="2277"/>
      <c r="M100" s="2280"/>
      <c r="N100" s="2280"/>
      <c r="O100" s="2280"/>
      <c r="P100" s="2277"/>
      <c r="Q100" s="2277"/>
      <c r="R100" s="2279">
        <v>89331</v>
      </c>
      <c r="S100" s="2279">
        <v>89331</v>
      </c>
      <c r="T100" s="2277"/>
    </row>
    <row r="101" spans="1:20" ht="23.25" customHeight="1" outlineLevel="1" x14ac:dyDescent="0.2">
      <c r="A101" s="6538" t="s">
        <v>2399</v>
      </c>
      <c r="B101" s="6538"/>
      <c r="C101" s="2275">
        <v>14</v>
      </c>
      <c r="D101" s="2276" t="s">
        <v>2213</v>
      </c>
      <c r="E101" s="2277" t="s">
        <v>2400</v>
      </c>
      <c r="F101" s="2278">
        <v>240</v>
      </c>
      <c r="G101" s="2278"/>
      <c r="H101" s="2279">
        <v>617275</v>
      </c>
      <c r="I101" s="6539">
        <v>617275</v>
      </c>
      <c r="J101" s="6539"/>
      <c r="K101" s="2277"/>
      <c r="L101" s="2277"/>
      <c r="M101" s="2280"/>
      <c r="N101" s="2280"/>
      <c r="O101" s="2280"/>
      <c r="P101" s="2277"/>
      <c r="Q101" s="2277"/>
      <c r="R101" s="2279">
        <v>617275</v>
      </c>
      <c r="S101" s="2279">
        <v>617275</v>
      </c>
      <c r="T101" s="2277"/>
    </row>
    <row r="102" spans="1:20" ht="23.25" customHeight="1" outlineLevel="1" x14ac:dyDescent="0.2">
      <c r="A102" s="6538" t="s">
        <v>2401</v>
      </c>
      <c r="B102" s="6538"/>
      <c r="C102" s="2275">
        <v>38</v>
      </c>
      <c r="D102" s="2276" t="s">
        <v>2192</v>
      </c>
      <c r="E102" s="2277" t="s">
        <v>2402</v>
      </c>
      <c r="F102" s="2278">
        <v>600</v>
      </c>
      <c r="G102" s="2278"/>
      <c r="H102" s="2279">
        <v>1544320</v>
      </c>
      <c r="I102" s="6539">
        <v>705254.66</v>
      </c>
      <c r="J102" s="6539"/>
      <c r="K102" s="2279">
        <v>839065.34</v>
      </c>
      <c r="L102" s="2277"/>
      <c r="M102" s="2280"/>
      <c r="N102" s="2280"/>
      <c r="O102" s="2280"/>
      <c r="P102" s="2277"/>
      <c r="Q102" s="2277"/>
      <c r="R102" s="2279">
        <v>1544320</v>
      </c>
      <c r="S102" s="2279">
        <v>705254.66</v>
      </c>
      <c r="T102" s="2279">
        <v>839065.34</v>
      </c>
    </row>
    <row r="103" spans="1:20" ht="23.25" customHeight="1" outlineLevel="1" x14ac:dyDescent="0.2">
      <c r="A103" s="6538" t="s">
        <v>2403</v>
      </c>
      <c r="B103" s="6538"/>
      <c r="C103" s="2275">
        <v>165</v>
      </c>
      <c r="D103" s="2276" t="s">
        <v>2404</v>
      </c>
      <c r="E103" s="2277" t="s">
        <v>2405</v>
      </c>
      <c r="F103" s="2278">
        <v>600</v>
      </c>
      <c r="G103" s="2278"/>
      <c r="H103" s="2279">
        <v>5020</v>
      </c>
      <c r="I103" s="6539">
        <v>1602.6</v>
      </c>
      <c r="J103" s="6539"/>
      <c r="K103" s="2279">
        <v>3417.4</v>
      </c>
      <c r="L103" s="2277"/>
      <c r="M103" s="2320">
        <v>100.44</v>
      </c>
      <c r="N103" s="2281">
        <f>M103</f>
        <v>100.44</v>
      </c>
      <c r="O103" s="2281"/>
      <c r="P103" s="2277"/>
      <c r="Q103" s="2277"/>
      <c r="R103" s="2279">
        <v>5020</v>
      </c>
      <c r="S103" s="2279">
        <v>1703.04</v>
      </c>
      <c r="T103" s="2279">
        <v>3316.96</v>
      </c>
    </row>
    <row r="104" spans="1:20" ht="45.75" customHeight="1" outlineLevel="1" x14ac:dyDescent="0.2">
      <c r="A104" s="6538" t="s">
        <v>2406</v>
      </c>
      <c r="B104" s="6538"/>
      <c r="C104" s="2282">
        <v>2431</v>
      </c>
      <c r="D104" s="2276" t="s">
        <v>2249</v>
      </c>
      <c r="E104" s="2277" t="s">
        <v>2407</v>
      </c>
      <c r="F104" s="2278">
        <v>120</v>
      </c>
      <c r="G104" s="2278"/>
      <c r="H104" s="2279">
        <v>1859602.46</v>
      </c>
      <c r="I104" s="6539">
        <v>1004704.8</v>
      </c>
      <c r="J104" s="6539"/>
      <c r="K104" s="2279">
        <v>854897.66</v>
      </c>
      <c r="L104" s="2277"/>
      <c r="M104" s="2281">
        <v>185960.28</v>
      </c>
      <c r="N104" s="2281">
        <f>M104</f>
        <v>185960.28</v>
      </c>
      <c r="O104" s="2281"/>
      <c r="P104" s="2277"/>
      <c r="Q104" s="2277"/>
      <c r="R104" s="2279">
        <v>1859602.46</v>
      </c>
      <c r="S104" s="2279">
        <v>1190665.08</v>
      </c>
      <c r="T104" s="2279">
        <v>668937.38</v>
      </c>
    </row>
    <row r="105" spans="1:20" ht="23.25" customHeight="1" outlineLevel="1" x14ac:dyDescent="0.2">
      <c r="A105" s="6538" t="s">
        <v>2408</v>
      </c>
      <c r="B105" s="6538"/>
      <c r="C105" s="2275">
        <v>71</v>
      </c>
      <c r="D105" s="2276" t="s">
        <v>2192</v>
      </c>
      <c r="E105" s="2277" t="s">
        <v>2348</v>
      </c>
      <c r="F105" s="2278">
        <v>144</v>
      </c>
      <c r="G105" s="2278"/>
      <c r="H105" s="2279">
        <v>2628</v>
      </c>
      <c r="I105" s="6539">
        <v>2628</v>
      </c>
      <c r="J105" s="6539"/>
      <c r="K105" s="2277"/>
      <c r="L105" s="2277"/>
      <c r="M105" s="2280"/>
      <c r="N105" s="2281"/>
      <c r="O105" s="2281"/>
      <c r="P105" s="2277"/>
      <c r="Q105" s="2277"/>
      <c r="R105" s="2279">
        <v>2628</v>
      </c>
      <c r="S105" s="2279">
        <v>2628</v>
      </c>
      <c r="T105" s="2277"/>
    </row>
    <row r="106" spans="1:20" ht="23.25" customHeight="1" outlineLevel="1" x14ac:dyDescent="0.2">
      <c r="A106" s="6538" t="s">
        <v>2409</v>
      </c>
      <c r="B106" s="6538"/>
      <c r="C106" s="2316">
        <v>1475</v>
      </c>
      <c r="D106" s="2276" t="s">
        <v>2410</v>
      </c>
      <c r="E106" s="2277" t="s">
        <v>2411</v>
      </c>
      <c r="F106" s="2278">
        <v>240</v>
      </c>
      <c r="G106" s="2278"/>
      <c r="H106" s="2279">
        <v>400632</v>
      </c>
      <c r="I106" s="6539">
        <v>70110.600000000006</v>
      </c>
      <c r="J106" s="6539"/>
      <c r="K106" s="2279">
        <v>330521.40000000002</v>
      </c>
      <c r="L106" s="2277"/>
      <c r="M106" s="2281">
        <v>20031.599999999999</v>
      </c>
      <c r="N106" s="2281">
        <f>H106/F106*12</f>
        <v>20031.599999999999</v>
      </c>
      <c r="O106" s="2281"/>
      <c r="P106" s="2277"/>
      <c r="Q106" s="2277"/>
      <c r="R106" s="2279">
        <v>400632</v>
      </c>
      <c r="S106" s="2279">
        <v>90142.2</v>
      </c>
      <c r="T106" s="2279">
        <v>310489.8</v>
      </c>
    </row>
    <row r="107" spans="1:20" ht="23.25" customHeight="1" outlineLevel="1" x14ac:dyDescent="0.2">
      <c r="A107" s="6538" t="s">
        <v>2412</v>
      </c>
      <c r="B107" s="6538"/>
      <c r="C107" s="2275">
        <v>323</v>
      </c>
      <c r="D107" s="2276" t="s">
        <v>2218</v>
      </c>
      <c r="E107" s="2277" t="s">
        <v>2413</v>
      </c>
      <c r="F107" s="2278">
        <v>706</v>
      </c>
      <c r="G107" s="2278"/>
      <c r="H107" s="2279">
        <v>33941</v>
      </c>
      <c r="I107" s="6539">
        <v>17712.400000000001</v>
      </c>
      <c r="J107" s="6539"/>
      <c r="K107" s="2279">
        <v>16228.6</v>
      </c>
      <c r="L107" s="2277"/>
      <c r="M107" s="2320">
        <v>576.96</v>
      </c>
      <c r="N107" s="2281">
        <f>M107</f>
        <v>576.96</v>
      </c>
      <c r="O107" s="2281"/>
      <c r="P107" s="2277"/>
      <c r="Q107" s="2277"/>
      <c r="R107" s="2279">
        <v>33941</v>
      </c>
      <c r="S107" s="2279">
        <v>18289.36</v>
      </c>
      <c r="T107" s="2279">
        <v>15651.64</v>
      </c>
    </row>
    <row r="108" spans="1:20" ht="23.25" customHeight="1" outlineLevel="1" x14ac:dyDescent="0.2">
      <c r="A108" s="6538" t="s">
        <v>2414</v>
      </c>
      <c r="B108" s="6538"/>
      <c r="C108" s="2275">
        <v>39</v>
      </c>
      <c r="D108" s="2276" t="s">
        <v>2192</v>
      </c>
      <c r="E108" s="2277" t="s">
        <v>2415</v>
      </c>
      <c r="F108" s="2278">
        <v>600</v>
      </c>
      <c r="G108" s="2278"/>
      <c r="H108" s="2279">
        <v>397565</v>
      </c>
      <c r="I108" s="6539">
        <v>219342.8</v>
      </c>
      <c r="J108" s="6539"/>
      <c r="K108" s="2279">
        <v>178222.2</v>
      </c>
      <c r="L108" s="2277"/>
      <c r="M108" s="2281">
        <v>7951.32</v>
      </c>
      <c r="N108" s="2281">
        <f>M108</f>
        <v>7951.32</v>
      </c>
      <c r="O108" s="2281"/>
      <c r="P108" s="2277"/>
      <c r="Q108" s="2277"/>
      <c r="R108" s="2279">
        <v>397565</v>
      </c>
      <c r="S108" s="2279">
        <v>227294.12</v>
      </c>
      <c r="T108" s="2279">
        <v>170270.88</v>
      </c>
    </row>
    <row r="109" spans="1:20" ht="34.5" customHeight="1" outlineLevel="1" x14ac:dyDescent="0.2">
      <c r="A109" s="6538" t="s">
        <v>2416</v>
      </c>
      <c r="B109" s="6538"/>
      <c r="C109" s="2275">
        <v>73</v>
      </c>
      <c r="D109" s="2276" t="s">
        <v>2192</v>
      </c>
      <c r="E109" s="2277" t="s">
        <v>2417</v>
      </c>
      <c r="F109" s="2278">
        <v>144</v>
      </c>
      <c r="G109" s="2278"/>
      <c r="H109" s="2279">
        <v>10030</v>
      </c>
      <c r="I109" s="6539">
        <v>10030</v>
      </c>
      <c r="J109" s="6539"/>
      <c r="K109" s="2277"/>
      <c r="L109" s="2277"/>
      <c r="M109" s="2280"/>
      <c r="N109" s="2281"/>
      <c r="O109" s="2281"/>
      <c r="P109" s="2277"/>
      <c r="Q109" s="2277"/>
      <c r="R109" s="2279">
        <v>10030</v>
      </c>
      <c r="S109" s="2279">
        <v>10030</v>
      </c>
      <c r="T109" s="2277"/>
    </row>
    <row r="110" spans="1:20" ht="23.25" customHeight="1" outlineLevel="1" x14ac:dyDescent="0.2">
      <c r="A110" s="6538" t="s">
        <v>2418</v>
      </c>
      <c r="B110" s="6538"/>
      <c r="C110" s="2275">
        <v>177</v>
      </c>
      <c r="D110" s="2276" t="s">
        <v>2291</v>
      </c>
      <c r="E110" s="2277" t="s">
        <v>2419</v>
      </c>
      <c r="F110" s="2278">
        <v>364</v>
      </c>
      <c r="G110" s="2278"/>
      <c r="H110" s="2279">
        <v>57281</v>
      </c>
      <c r="I110" s="6539">
        <v>57281</v>
      </c>
      <c r="J110" s="6539"/>
      <c r="K110" s="2277"/>
      <c r="L110" s="2277"/>
      <c r="M110" s="2280"/>
      <c r="N110" s="2281"/>
      <c r="O110" s="2281"/>
      <c r="P110" s="2277"/>
      <c r="Q110" s="2277"/>
      <c r="R110" s="2279">
        <v>57281</v>
      </c>
      <c r="S110" s="2279">
        <v>57281</v>
      </c>
      <c r="T110" s="2277"/>
    </row>
    <row r="111" spans="1:20" ht="23.25" customHeight="1" outlineLevel="1" x14ac:dyDescent="0.2">
      <c r="A111" s="6538" t="s">
        <v>2420</v>
      </c>
      <c r="B111" s="6538"/>
      <c r="C111" s="2275">
        <v>22</v>
      </c>
      <c r="D111" s="2276" t="s">
        <v>2213</v>
      </c>
      <c r="E111" s="2277" t="s">
        <v>2421</v>
      </c>
      <c r="F111" s="2278">
        <v>300</v>
      </c>
      <c r="G111" s="2278"/>
      <c r="H111" s="2279">
        <v>162631</v>
      </c>
      <c r="I111" s="6539">
        <v>162631</v>
      </c>
      <c r="J111" s="6539"/>
      <c r="K111" s="2277"/>
      <c r="L111" s="2277"/>
      <c r="M111" s="2280"/>
      <c r="N111" s="2281"/>
      <c r="O111" s="2281"/>
      <c r="P111" s="2277"/>
      <c r="Q111" s="2277"/>
      <c r="R111" s="2279">
        <v>162631</v>
      </c>
      <c r="S111" s="2279">
        <v>162631</v>
      </c>
      <c r="T111" s="2277"/>
    </row>
    <row r="112" spans="1:20" ht="23.25" customHeight="1" outlineLevel="1" x14ac:dyDescent="0.2">
      <c r="A112" s="6538" t="s">
        <v>2422</v>
      </c>
      <c r="B112" s="6538"/>
      <c r="C112" s="2275">
        <v>16</v>
      </c>
      <c r="D112" s="2276" t="s">
        <v>2213</v>
      </c>
      <c r="E112" s="2277" t="s">
        <v>2423</v>
      </c>
      <c r="F112" s="2278">
        <v>600</v>
      </c>
      <c r="G112" s="2278"/>
      <c r="H112" s="2279">
        <v>2712909</v>
      </c>
      <c r="I112" s="6539">
        <v>1550872.36</v>
      </c>
      <c r="J112" s="6539"/>
      <c r="K112" s="2279">
        <v>1162036.6399999999</v>
      </c>
      <c r="L112" s="2277"/>
      <c r="M112" s="2280"/>
      <c r="N112" s="2281"/>
      <c r="O112" s="2281"/>
      <c r="P112" s="2277"/>
      <c r="Q112" s="2277"/>
      <c r="R112" s="2279">
        <v>2712909</v>
      </c>
      <c r="S112" s="2279">
        <v>1550872.36</v>
      </c>
      <c r="T112" s="2279">
        <v>1162036.6399999999</v>
      </c>
    </row>
    <row r="113" spans="1:20" ht="23.25" customHeight="1" outlineLevel="1" x14ac:dyDescent="0.2">
      <c r="A113" s="6538" t="s">
        <v>2424</v>
      </c>
      <c r="B113" s="6538"/>
      <c r="C113" s="2275">
        <v>23</v>
      </c>
      <c r="D113" s="2276" t="s">
        <v>2213</v>
      </c>
      <c r="E113" s="2277" t="s">
        <v>2425</v>
      </c>
      <c r="F113" s="2278">
        <v>600</v>
      </c>
      <c r="G113" s="2278"/>
      <c r="H113" s="2279">
        <v>536070</v>
      </c>
      <c r="I113" s="6539">
        <v>405602.1</v>
      </c>
      <c r="J113" s="6539"/>
      <c r="K113" s="2279">
        <v>130467.9</v>
      </c>
      <c r="L113" s="2277"/>
      <c r="M113" s="2280"/>
      <c r="N113" s="2281"/>
      <c r="O113" s="2281"/>
      <c r="P113" s="2277"/>
      <c r="Q113" s="2277"/>
      <c r="R113" s="2279">
        <v>536070</v>
      </c>
      <c r="S113" s="2279">
        <v>405602.1</v>
      </c>
      <c r="T113" s="2279">
        <v>130467.9</v>
      </c>
    </row>
    <row r="114" spans="1:20" ht="34.5" customHeight="1" outlineLevel="1" x14ac:dyDescent="0.2">
      <c r="A114" s="6538" t="s">
        <v>2426</v>
      </c>
      <c r="B114" s="6538"/>
      <c r="C114" s="2282">
        <v>2430</v>
      </c>
      <c r="D114" s="2276" t="s">
        <v>2249</v>
      </c>
      <c r="E114" s="2277" t="s">
        <v>2427</v>
      </c>
      <c r="F114" s="2278">
        <v>180</v>
      </c>
      <c r="G114" s="2278"/>
      <c r="H114" s="2279">
        <v>663989</v>
      </c>
      <c r="I114" s="6539">
        <v>243462.78</v>
      </c>
      <c r="J114" s="6539"/>
      <c r="K114" s="2279">
        <v>420526.22</v>
      </c>
      <c r="L114" s="2277"/>
      <c r="M114" s="2281">
        <v>44265.96</v>
      </c>
      <c r="N114" s="2281">
        <f>M114</f>
        <v>44265.96</v>
      </c>
      <c r="O114" s="2281"/>
      <c r="P114" s="2277"/>
      <c r="Q114" s="2277"/>
      <c r="R114" s="2279">
        <v>663989</v>
      </c>
      <c r="S114" s="2279">
        <v>287728.74</v>
      </c>
      <c r="T114" s="2279">
        <v>376260.26</v>
      </c>
    </row>
    <row r="115" spans="1:20" ht="34.5" customHeight="1" outlineLevel="1" x14ac:dyDescent="0.2">
      <c r="A115" s="6538" t="s">
        <v>2428</v>
      </c>
      <c r="B115" s="6538"/>
      <c r="C115" s="2282">
        <v>1758</v>
      </c>
      <c r="D115" s="2276" t="s">
        <v>2429</v>
      </c>
      <c r="E115" s="2277" t="s">
        <v>2430</v>
      </c>
      <c r="F115" s="2278">
        <v>240</v>
      </c>
      <c r="G115" s="2278"/>
      <c r="H115" s="2279">
        <v>66854.240000000005</v>
      </c>
      <c r="I115" s="6539">
        <v>39834.080000000002</v>
      </c>
      <c r="J115" s="6539"/>
      <c r="K115" s="2279">
        <v>27020.16</v>
      </c>
      <c r="L115" s="2277"/>
      <c r="M115" s="2281">
        <v>3342.72</v>
      </c>
      <c r="N115" s="2281">
        <f>M115</f>
        <v>3342.72</v>
      </c>
      <c r="O115" s="2281"/>
      <c r="P115" s="2277"/>
      <c r="Q115" s="2277"/>
      <c r="R115" s="2279">
        <v>66854.240000000005</v>
      </c>
      <c r="S115" s="2279">
        <v>43176.800000000003</v>
      </c>
      <c r="T115" s="2279">
        <v>23677.439999999999</v>
      </c>
    </row>
    <row r="116" spans="1:20" ht="23.25" customHeight="1" outlineLevel="1" x14ac:dyDescent="0.2">
      <c r="A116" s="6538" t="s">
        <v>2431</v>
      </c>
      <c r="B116" s="6538"/>
      <c r="C116" s="2282">
        <v>2427</v>
      </c>
      <c r="D116" s="2276" t="s">
        <v>2249</v>
      </c>
      <c r="E116" s="2277" t="s">
        <v>2432</v>
      </c>
      <c r="F116" s="2278">
        <v>84</v>
      </c>
      <c r="G116" s="2278"/>
      <c r="H116" s="2279">
        <v>117439.9</v>
      </c>
      <c r="I116" s="6539">
        <v>92273.94</v>
      </c>
      <c r="J116" s="6539"/>
      <c r="K116" s="2279">
        <v>25165.96</v>
      </c>
      <c r="L116" s="2277"/>
      <c r="M116" s="2281">
        <v>16777.080000000002</v>
      </c>
      <c r="N116" s="2281">
        <f>M116</f>
        <v>16777.080000000002</v>
      </c>
      <c r="O116" s="2281"/>
      <c r="P116" s="2277"/>
      <c r="Q116" s="2277"/>
      <c r="R116" s="2279">
        <v>117439.9</v>
      </c>
      <c r="S116" s="2279">
        <v>109051.02</v>
      </c>
      <c r="T116" s="2279">
        <v>8388.8799999999992</v>
      </c>
    </row>
    <row r="117" spans="1:20" ht="23.25" customHeight="1" outlineLevel="1" x14ac:dyDescent="0.2">
      <c r="A117" s="6538" t="s">
        <v>2433</v>
      </c>
      <c r="B117" s="6538"/>
      <c r="C117" s="2275">
        <v>25</v>
      </c>
      <c r="D117" s="2276" t="s">
        <v>2213</v>
      </c>
      <c r="E117" s="2277" t="s">
        <v>2434</v>
      </c>
      <c r="F117" s="2278">
        <v>480</v>
      </c>
      <c r="G117" s="2278"/>
      <c r="H117" s="2279">
        <v>20758</v>
      </c>
      <c r="I117" s="6539">
        <v>19454.5</v>
      </c>
      <c r="J117" s="6539"/>
      <c r="K117" s="2279">
        <v>1303.5</v>
      </c>
      <c r="L117" s="2277"/>
      <c r="M117" s="2280"/>
      <c r="N117" s="2281"/>
      <c r="O117" s="2281"/>
      <c r="P117" s="2277"/>
      <c r="Q117" s="2277"/>
      <c r="R117" s="2279">
        <v>20758</v>
      </c>
      <c r="S117" s="2279">
        <v>19454.5</v>
      </c>
      <c r="T117" s="2279">
        <v>1303.5</v>
      </c>
    </row>
    <row r="118" spans="1:20" ht="23.25" customHeight="1" outlineLevel="1" x14ac:dyDescent="0.2">
      <c r="A118" s="6538" t="s">
        <v>2435</v>
      </c>
      <c r="B118" s="6538"/>
      <c r="C118" s="2275">
        <v>70</v>
      </c>
      <c r="D118" s="2276" t="s">
        <v>2192</v>
      </c>
      <c r="E118" s="2277" t="s">
        <v>2436</v>
      </c>
      <c r="F118" s="2278">
        <v>144</v>
      </c>
      <c r="G118" s="2278"/>
      <c r="H118" s="2279">
        <v>317653</v>
      </c>
      <c r="I118" s="6539">
        <v>317653</v>
      </c>
      <c r="J118" s="6539"/>
      <c r="K118" s="2277"/>
      <c r="L118" s="2277"/>
      <c r="M118" s="2280"/>
      <c r="N118" s="2281"/>
      <c r="O118" s="2281"/>
      <c r="P118" s="2277"/>
      <c r="Q118" s="2277"/>
      <c r="R118" s="2279">
        <v>317653</v>
      </c>
      <c r="S118" s="2279">
        <v>317653</v>
      </c>
      <c r="T118" s="2277"/>
    </row>
    <row r="119" spans="1:20" ht="23.25" customHeight="1" outlineLevel="1" x14ac:dyDescent="0.2">
      <c r="A119" s="6538" t="s">
        <v>2437</v>
      </c>
      <c r="B119" s="6538"/>
      <c r="C119" s="2275">
        <v>312</v>
      </c>
      <c r="D119" s="2276" t="s">
        <v>2252</v>
      </c>
      <c r="E119" s="2277" t="s">
        <v>2438</v>
      </c>
      <c r="F119" s="2278">
        <v>308</v>
      </c>
      <c r="G119" s="2278"/>
      <c r="H119" s="2279">
        <v>63055</v>
      </c>
      <c r="I119" s="6539">
        <v>63055</v>
      </c>
      <c r="J119" s="6539"/>
      <c r="K119" s="2277"/>
      <c r="L119" s="2277"/>
      <c r="M119" s="2280"/>
      <c r="N119" s="2281"/>
      <c r="O119" s="2281"/>
      <c r="P119" s="2277"/>
      <c r="Q119" s="2277"/>
      <c r="R119" s="2279">
        <v>63055</v>
      </c>
      <c r="S119" s="2279">
        <v>63055</v>
      </c>
      <c r="T119" s="2277"/>
    </row>
    <row r="120" spans="1:20" ht="34.5" customHeight="1" outlineLevel="1" x14ac:dyDescent="0.2">
      <c r="A120" s="6538" t="s">
        <v>2439</v>
      </c>
      <c r="B120" s="6538"/>
      <c r="C120" s="2275">
        <v>428</v>
      </c>
      <c r="D120" s="2276" t="s">
        <v>2246</v>
      </c>
      <c r="E120" s="2277" t="s">
        <v>2440</v>
      </c>
      <c r="F120" s="2278">
        <v>308</v>
      </c>
      <c r="G120" s="2278"/>
      <c r="H120" s="2279">
        <v>46346</v>
      </c>
      <c r="I120" s="6539">
        <v>46346</v>
      </c>
      <c r="J120" s="6539"/>
      <c r="K120" s="2277"/>
      <c r="L120" s="2277"/>
      <c r="M120" s="2280"/>
      <c r="N120" s="2281"/>
      <c r="O120" s="2281"/>
      <c r="P120" s="2277"/>
      <c r="Q120" s="2277"/>
      <c r="R120" s="2279">
        <v>46346</v>
      </c>
      <c r="S120" s="2279">
        <v>46346</v>
      </c>
      <c r="T120" s="2277"/>
    </row>
    <row r="121" spans="1:20" ht="23.25" customHeight="1" outlineLevel="1" x14ac:dyDescent="0.2">
      <c r="A121" s="6538" t="s">
        <v>2441</v>
      </c>
      <c r="B121" s="6538"/>
      <c r="C121" s="2275">
        <v>226</v>
      </c>
      <c r="D121" s="2276" t="s">
        <v>2442</v>
      </c>
      <c r="E121" s="2277" t="s">
        <v>2443</v>
      </c>
      <c r="F121" s="2278">
        <v>600</v>
      </c>
      <c r="G121" s="2278"/>
      <c r="H121" s="2279">
        <v>307635</v>
      </c>
      <c r="I121" s="6539">
        <v>307635</v>
      </c>
      <c r="J121" s="6539"/>
      <c r="K121" s="2277"/>
      <c r="L121" s="2277"/>
      <c r="M121" s="2280"/>
      <c r="N121" s="2281"/>
      <c r="O121" s="2281"/>
      <c r="P121" s="2277"/>
      <c r="Q121" s="2277"/>
      <c r="R121" s="2279">
        <v>307635</v>
      </c>
      <c r="S121" s="2279">
        <v>307635</v>
      </c>
      <c r="T121" s="2277"/>
    </row>
    <row r="122" spans="1:20" ht="23.25" customHeight="1" outlineLevel="1" x14ac:dyDescent="0.2">
      <c r="A122" s="6538" t="s">
        <v>2444</v>
      </c>
      <c r="B122" s="6538"/>
      <c r="C122" s="2275">
        <v>554</v>
      </c>
      <c r="D122" s="2276" t="s">
        <v>2445</v>
      </c>
      <c r="E122" s="2277" t="s">
        <v>2446</v>
      </c>
      <c r="F122" s="2278">
        <v>109</v>
      </c>
      <c r="G122" s="2278"/>
      <c r="H122" s="2279">
        <v>38333</v>
      </c>
      <c r="I122" s="6539">
        <v>38333</v>
      </c>
      <c r="J122" s="6539"/>
      <c r="K122" s="2277"/>
      <c r="L122" s="2277"/>
      <c r="M122" s="2280"/>
      <c r="N122" s="2281"/>
      <c r="O122" s="2281"/>
      <c r="P122" s="2277"/>
      <c r="Q122" s="2277"/>
      <c r="R122" s="2279">
        <v>38333</v>
      </c>
      <c r="S122" s="2279">
        <v>38333</v>
      </c>
      <c r="T122" s="2277"/>
    </row>
    <row r="123" spans="1:20" ht="23.25" customHeight="1" outlineLevel="1" x14ac:dyDescent="0.2">
      <c r="A123" s="6538" t="s">
        <v>2447</v>
      </c>
      <c r="B123" s="6538"/>
      <c r="C123" s="2275">
        <v>17</v>
      </c>
      <c r="D123" s="2276" t="s">
        <v>2213</v>
      </c>
      <c r="E123" s="2277" t="s">
        <v>2448</v>
      </c>
      <c r="F123" s="2278">
        <v>600</v>
      </c>
      <c r="G123" s="2278"/>
      <c r="H123" s="2279">
        <v>558920</v>
      </c>
      <c r="I123" s="6539">
        <v>422938.54</v>
      </c>
      <c r="J123" s="6539"/>
      <c r="K123" s="2279">
        <v>135981.46</v>
      </c>
      <c r="L123" s="2277"/>
      <c r="M123" s="2280"/>
      <c r="N123" s="2281"/>
      <c r="O123" s="2281"/>
      <c r="P123" s="2277"/>
      <c r="Q123" s="2277"/>
      <c r="R123" s="2279">
        <v>558920</v>
      </c>
      <c r="S123" s="2279">
        <v>422938.54</v>
      </c>
      <c r="T123" s="2279">
        <v>135981.46</v>
      </c>
    </row>
    <row r="124" spans="1:20" ht="23.25" customHeight="1" outlineLevel="1" x14ac:dyDescent="0.2">
      <c r="A124" s="6538" t="s">
        <v>2449</v>
      </c>
      <c r="B124" s="6538"/>
      <c r="C124" s="2275">
        <v>19</v>
      </c>
      <c r="D124" s="2276" t="s">
        <v>2213</v>
      </c>
      <c r="E124" s="2277" t="s">
        <v>2450</v>
      </c>
      <c r="F124" s="2278">
        <v>600</v>
      </c>
      <c r="G124" s="2278"/>
      <c r="H124" s="2279">
        <v>62350</v>
      </c>
      <c r="I124" s="6539">
        <v>47182.559999999998</v>
      </c>
      <c r="J124" s="6539"/>
      <c r="K124" s="2279">
        <v>15167.44</v>
      </c>
      <c r="L124" s="2277"/>
      <c r="M124" s="2280"/>
      <c r="N124" s="2281"/>
      <c r="O124" s="2281"/>
      <c r="P124" s="2277"/>
      <c r="Q124" s="2277"/>
      <c r="R124" s="2279">
        <v>62350</v>
      </c>
      <c r="S124" s="2279">
        <v>47182.559999999998</v>
      </c>
      <c r="T124" s="2279">
        <v>15167.44</v>
      </c>
    </row>
    <row r="125" spans="1:20" ht="23.25" customHeight="1" outlineLevel="1" x14ac:dyDescent="0.2">
      <c r="A125" s="6538" t="s">
        <v>2451</v>
      </c>
      <c r="B125" s="6538"/>
      <c r="C125" s="2282">
        <v>1837</v>
      </c>
      <c r="D125" s="2276" t="s">
        <v>2368</v>
      </c>
      <c r="E125" s="2277" t="s">
        <v>2452</v>
      </c>
      <c r="F125" s="2278">
        <v>180</v>
      </c>
      <c r="G125" s="2278"/>
      <c r="H125" s="2277"/>
      <c r="I125" s="2317"/>
      <c r="J125" s="2318"/>
      <c r="K125" s="2277"/>
      <c r="L125" s="2277"/>
      <c r="M125" s="2280"/>
      <c r="N125" s="2281"/>
      <c r="O125" s="2281"/>
      <c r="P125" s="2277"/>
      <c r="Q125" s="2277"/>
      <c r="R125" s="2277"/>
      <c r="S125" s="2277"/>
      <c r="T125" s="2277"/>
    </row>
    <row r="126" spans="1:20" ht="23.25" customHeight="1" outlineLevel="1" x14ac:dyDescent="0.2">
      <c r="A126" s="6538" t="s">
        <v>2453</v>
      </c>
      <c r="B126" s="6538"/>
      <c r="C126" s="2282">
        <v>1848</v>
      </c>
      <c r="D126" s="2276" t="s">
        <v>2368</v>
      </c>
      <c r="E126" s="2277" t="s">
        <v>2454</v>
      </c>
      <c r="F126" s="2278">
        <v>36</v>
      </c>
      <c r="G126" s="2278"/>
      <c r="H126" s="2279">
        <v>9383.36</v>
      </c>
      <c r="I126" s="6539">
        <v>9383.36</v>
      </c>
      <c r="J126" s="6539"/>
      <c r="K126" s="2277"/>
      <c r="L126" s="2277"/>
      <c r="M126" s="2280"/>
      <c r="N126" s="2281"/>
      <c r="O126" s="2281"/>
      <c r="P126" s="2277"/>
      <c r="Q126" s="2277"/>
      <c r="R126" s="2279">
        <v>9383.36</v>
      </c>
      <c r="S126" s="2279">
        <v>9383.36</v>
      </c>
      <c r="T126" s="2277"/>
    </row>
    <row r="127" spans="1:20" ht="23.25" customHeight="1" outlineLevel="1" x14ac:dyDescent="0.2">
      <c r="A127" s="6538" t="s">
        <v>2455</v>
      </c>
      <c r="B127" s="6538"/>
      <c r="C127" s="2282">
        <v>1881</v>
      </c>
      <c r="D127" s="2276" t="s">
        <v>2456</v>
      </c>
      <c r="E127" s="2277" t="s">
        <v>2457</v>
      </c>
      <c r="F127" s="2278">
        <v>180</v>
      </c>
      <c r="G127" s="2278"/>
      <c r="H127" s="2279">
        <v>10395</v>
      </c>
      <c r="I127" s="6539">
        <v>8730.75</v>
      </c>
      <c r="J127" s="6539"/>
      <c r="K127" s="2279">
        <v>1664.25</v>
      </c>
      <c r="L127" s="2277"/>
      <c r="M127" s="2320">
        <v>693</v>
      </c>
      <c r="N127" s="2281">
        <f>H127/F127*12</f>
        <v>693</v>
      </c>
      <c r="O127" s="2281"/>
      <c r="P127" s="2277"/>
      <c r="Q127" s="2277"/>
      <c r="R127" s="2279">
        <v>10395</v>
      </c>
      <c r="S127" s="2279">
        <v>9423.75</v>
      </c>
      <c r="T127" s="2322">
        <v>971.25</v>
      </c>
    </row>
    <row r="128" spans="1:20" ht="23.25" customHeight="1" outlineLevel="1" x14ac:dyDescent="0.2">
      <c r="A128" s="6538" t="s">
        <v>2458</v>
      </c>
      <c r="B128" s="6538"/>
      <c r="C128" s="2282">
        <v>1847</v>
      </c>
      <c r="D128" s="2276" t="s">
        <v>2368</v>
      </c>
      <c r="E128" s="2277" t="s">
        <v>2459</v>
      </c>
      <c r="F128" s="2278">
        <v>36</v>
      </c>
      <c r="G128" s="2278"/>
      <c r="H128" s="2279">
        <v>5234.4799999999996</v>
      </c>
      <c r="I128" s="6539">
        <v>5234.4799999999996</v>
      </c>
      <c r="J128" s="6539"/>
      <c r="K128" s="2277"/>
      <c r="L128" s="2277"/>
      <c r="M128" s="2280"/>
      <c r="N128" s="2281"/>
      <c r="O128" s="2281"/>
      <c r="P128" s="2277"/>
      <c r="Q128" s="2277"/>
      <c r="R128" s="2279">
        <v>5234.4799999999996</v>
      </c>
      <c r="S128" s="2279">
        <v>5234.4799999999996</v>
      </c>
      <c r="T128" s="2277"/>
    </row>
    <row r="129" spans="1:20" ht="23.25" customHeight="1" outlineLevel="1" x14ac:dyDescent="0.2">
      <c r="A129" s="6538" t="s">
        <v>2460</v>
      </c>
      <c r="B129" s="6538"/>
      <c r="C129" s="2282">
        <v>1836</v>
      </c>
      <c r="D129" s="2276" t="s">
        <v>2368</v>
      </c>
      <c r="E129" s="2277" t="s">
        <v>2461</v>
      </c>
      <c r="F129" s="2278">
        <v>180</v>
      </c>
      <c r="G129" s="2278"/>
      <c r="H129" s="2279">
        <v>6305.92</v>
      </c>
      <c r="I129" s="6539">
        <v>4834.1400000000003</v>
      </c>
      <c r="J129" s="6539"/>
      <c r="K129" s="2279">
        <v>1471.78</v>
      </c>
      <c r="L129" s="2277"/>
      <c r="M129" s="2320">
        <v>420.36</v>
      </c>
      <c r="N129" s="2281">
        <f>M129</f>
        <v>420.36</v>
      </c>
      <c r="O129" s="2281"/>
      <c r="P129" s="2277"/>
      <c r="Q129" s="2277"/>
      <c r="R129" s="2279">
        <v>6305.92</v>
      </c>
      <c r="S129" s="2279">
        <v>5254.5</v>
      </c>
      <c r="T129" s="2279">
        <v>1051.42</v>
      </c>
    </row>
    <row r="130" spans="1:20" ht="23.25" customHeight="1" outlineLevel="1" x14ac:dyDescent="0.2">
      <c r="A130" s="6538" t="s">
        <v>2462</v>
      </c>
      <c r="B130" s="6538"/>
      <c r="C130" s="2282">
        <v>1831</v>
      </c>
      <c r="D130" s="2276" t="s">
        <v>2368</v>
      </c>
      <c r="E130" s="2277" t="s">
        <v>2463</v>
      </c>
      <c r="F130" s="2278">
        <v>180</v>
      </c>
      <c r="G130" s="2278"/>
      <c r="H130" s="2279">
        <v>6480.56</v>
      </c>
      <c r="I130" s="6539">
        <v>4968</v>
      </c>
      <c r="J130" s="6539"/>
      <c r="K130" s="2279">
        <v>1512.56</v>
      </c>
      <c r="L130" s="2277"/>
      <c r="M130" s="2320">
        <v>432</v>
      </c>
      <c r="N130" s="2281">
        <f>M130</f>
        <v>432</v>
      </c>
      <c r="O130" s="2281"/>
      <c r="P130" s="2277"/>
      <c r="Q130" s="2277"/>
      <c r="R130" s="2279">
        <v>6480.56</v>
      </c>
      <c r="S130" s="2279">
        <v>5400</v>
      </c>
      <c r="T130" s="2279">
        <v>1080.56</v>
      </c>
    </row>
    <row r="131" spans="1:20" ht="23.25" customHeight="1" outlineLevel="1" x14ac:dyDescent="0.2">
      <c r="A131" s="6538" t="s">
        <v>2464</v>
      </c>
      <c r="B131" s="6538"/>
      <c r="C131" s="2282">
        <v>1832</v>
      </c>
      <c r="D131" s="2276" t="s">
        <v>2368</v>
      </c>
      <c r="E131" s="2277" t="s">
        <v>2465</v>
      </c>
      <c r="F131" s="2278">
        <v>44</v>
      </c>
      <c r="G131" s="2278"/>
      <c r="H131" s="2279">
        <v>9383.36</v>
      </c>
      <c r="I131" s="6539">
        <v>9383.36</v>
      </c>
      <c r="J131" s="6539"/>
      <c r="K131" s="2277"/>
      <c r="L131" s="2277"/>
      <c r="M131" s="2280"/>
      <c r="N131" s="2281"/>
      <c r="O131" s="2281"/>
      <c r="P131" s="2277"/>
      <c r="Q131" s="2277"/>
      <c r="R131" s="2279">
        <v>9383.36</v>
      </c>
      <c r="S131" s="2279">
        <v>9383.36</v>
      </c>
      <c r="T131" s="2277"/>
    </row>
    <row r="132" spans="1:20" ht="23.25" customHeight="1" outlineLevel="1" x14ac:dyDescent="0.2">
      <c r="A132" s="6538" t="s">
        <v>2466</v>
      </c>
      <c r="B132" s="6538"/>
      <c r="C132" s="2282">
        <v>1840</v>
      </c>
      <c r="D132" s="2276" t="s">
        <v>2368</v>
      </c>
      <c r="E132" s="2277" t="s">
        <v>2467</v>
      </c>
      <c r="F132" s="2278">
        <v>180</v>
      </c>
      <c r="G132" s="2278"/>
      <c r="H132" s="2279">
        <v>2860.32</v>
      </c>
      <c r="I132" s="6539">
        <v>2192.8200000000002</v>
      </c>
      <c r="J132" s="6539"/>
      <c r="K132" s="2322">
        <v>667.5</v>
      </c>
      <c r="L132" s="2277"/>
      <c r="M132" s="2320">
        <v>190.68</v>
      </c>
      <c r="N132" s="2281">
        <f>M132</f>
        <v>190.68</v>
      </c>
      <c r="O132" s="2281"/>
      <c r="P132" s="2277"/>
      <c r="Q132" s="2277"/>
      <c r="R132" s="2279">
        <v>2860.32</v>
      </c>
      <c r="S132" s="2279">
        <v>2383.5</v>
      </c>
      <c r="T132" s="2322">
        <v>476.82</v>
      </c>
    </row>
    <row r="133" spans="1:20" ht="23.25" customHeight="1" outlineLevel="1" x14ac:dyDescent="0.2">
      <c r="A133" s="6538" t="s">
        <v>2468</v>
      </c>
      <c r="B133" s="6538"/>
      <c r="C133" s="2282">
        <v>1835</v>
      </c>
      <c r="D133" s="2276" t="s">
        <v>2368</v>
      </c>
      <c r="E133" s="2277" t="s">
        <v>2469</v>
      </c>
      <c r="F133" s="2278">
        <v>180</v>
      </c>
      <c r="G133" s="2278"/>
      <c r="H133" s="2279">
        <v>12626</v>
      </c>
      <c r="I133" s="6539">
        <v>9679.32</v>
      </c>
      <c r="J133" s="6539"/>
      <c r="K133" s="2279">
        <v>2946.68</v>
      </c>
      <c r="L133" s="2277"/>
      <c r="M133" s="2320">
        <v>841.68</v>
      </c>
      <c r="N133" s="2281">
        <f>M133</f>
        <v>841.68</v>
      </c>
      <c r="O133" s="2281"/>
      <c r="P133" s="2277"/>
      <c r="Q133" s="2277"/>
      <c r="R133" s="2279">
        <v>12626</v>
      </c>
      <c r="S133" s="2279">
        <v>10521</v>
      </c>
      <c r="T133" s="2279">
        <v>2105</v>
      </c>
    </row>
    <row r="134" spans="1:20" ht="23.25" customHeight="1" outlineLevel="1" x14ac:dyDescent="0.2">
      <c r="A134" s="6538" t="s">
        <v>2470</v>
      </c>
      <c r="B134" s="6538"/>
      <c r="C134" s="2282">
        <v>1838</v>
      </c>
      <c r="D134" s="2276" t="s">
        <v>2368</v>
      </c>
      <c r="E134" s="2277" t="s">
        <v>2471</v>
      </c>
      <c r="F134" s="2278">
        <v>180</v>
      </c>
      <c r="G134" s="2278"/>
      <c r="H134" s="2279">
        <v>4861.6000000000004</v>
      </c>
      <c r="I134" s="6539">
        <v>3727.38</v>
      </c>
      <c r="J134" s="6539"/>
      <c r="K134" s="2279">
        <v>1134.22</v>
      </c>
      <c r="L134" s="2277"/>
      <c r="M134" s="2320">
        <v>324.12</v>
      </c>
      <c r="N134" s="2281">
        <f>M134</f>
        <v>324.12</v>
      </c>
      <c r="O134" s="2281"/>
      <c r="P134" s="2277"/>
      <c r="Q134" s="2277"/>
      <c r="R134" s="2279">
        <v>4861.6000000000004</v>
      </c>
      <c r="S134" s="2279">
        <v>4051.5</v>
      </c>
      <c r="T134" s="2322">
        <v>810.1</v>
      </c>
    </row>
    <row r="135" spans="1:20" ht="23.25" customHeight="1" outlineLevel="1" x14ac:dyDescent="0.2">
      <c r="A135" s="6538" t="s">
        <v>2472</v>
      </c>
      <c r="B135" s="6538"/>
      <c r="C135" s="2282">
        <v>1841</v>
      </c>
      <c r="D135" s="2276" t="s">
        <v>2368</v>
      </c>
      <c r="E135" s="2277" t="s">
        <v>2473</v>
      </c>
      <c r="F135" s="2278">
        <v>84</v>
      </c>
      <c r="G135" s="2278"/>
      <c r="H135" s="2279">
        <v>16208.48</v>
      </c>
      <c r="I135" s="6539">
        <v>16208.48</v>
      </c>
      <c r="J135" s="6539"/>
      <c r="K135" s="2277"/>
      <c r="L135" s="2277"/>
      <c r="M135" s="2280"/>
      <c r="N135" s="2281"/>
      <c r="O135" s="2281"/>
      <c r="P135" s="2277"/>
      <c r="Q135" s="2277"/>
      <c r="R135" s="2279">
        <v>16208.48</v>
      </c>
      <c r="S135" s="2279">
        <v>16208.48</v>
      </c>
      <c r="T135" s="2277"/>
    </row>
    <row r="136" spans="1:20" ht="23.25" customHeight="1" outlineLevel="1" x14ac:dyDescent="0.2">
      <c r="A136" s="6538" t="s">
        <v>2474</v>
      </c>
      <c r="B136" s="6538"/>
      <c r="C136" s="2282">
        <v>1846</v>
      </c>
      <c r="D136" s="2276" t="s">
        <v>2368</v>
      </c>
      <c r="E136" s="2277" t="s">
        <v>2475</v>
      </c>
      <c r="F136" s="2278">
        <v>36</v>
      </c>
      <c r="G136" s="2278"/>
      <c r="H136" s="2279">
        <v>1463.2</v>
      </c>
      <c r="I136" s="6539">
        <v>1463.2</v>
      </c>
      <c r="J136" s="6539"/>
      <c r="K136" s="2277"/>
      <c r="L136" s="2277"/>
      <c r="M136" s="2280"/>
      <c r="N136" s="2281"/>
      <c r="O136" s="2281"/>
      <c r="P136" s="2277"/>
      <c r="Q136" s="2277"/>
      <c r="R136" s="2279">
        <v>1463.2</v>
      </c>
      <c r="S136" s="2279">
        <v>1463.2</v>
      </c>
      <c r="T136" s="2277"/>
    </row>
    <row r="137" spans="1:20" ht="23.25" customHeight="1" outlineLevel="1" x14ac:dyDescent="0.2">
      <c r="A137" s="6538" t="s">
        <v>2476</v>
      </c>
      <c r="B137" s="6538"/>
      <c r="C137" s="2282">
        <v>1842</v>
      </c>
      <c r="D137" s="2276" t="s">
        <v>2368</v>
      </c>
      <c r="E137" s="2277" t="s">
        <v>2477</v>
      </c>
      <c r="F137" s="2278">
        <v>36</v>
      </c>
      <c r="G137" s="2278"/>
      <c r="H137" s="2279">
        <v>7636.96</v>
      </c>
      <c r="I137" s="6539">
        <v>7636.96</v>
      </c>
      <c r="J137" s="6539"/>
      <c r="K137" s="2277"/>
      <c r="L137" s="2277"/>
      <c r="M137" s="2280"/>
      <c r="N137" s="2281"/>
      <c r="O137" s="2281"/>
      <c r="P137" s="2277"/>
      <c r="Q137" s="2277"/>
      <c r="R137" s="2279">
        <v>7636.96</v>
      </c>
      <c r="S137" s="2279">
        <v>7636.96</v>
      </c>
      <c r="T137" s="2277"/>
    </row>
    <row r="138" spans="1:20" ht="23.25" customHeight="1" outlineLevel="1" x14ac:dyDescent="0.2">
      <c r="A138" s="6538" t="s">
        <v>2478</v>
      </c>
      <c r="B138" s="6538"/>
      <c r="C138" s="2275">
        <v>429</v>
      </c>
      <c r="D138" s="2276" t="s">
        <v>2246</v>
      </c>
      <c r="E138" s="2277" t="s">
        <v>2479</v>
      </c>
      <c r="F138" s="2278">
        <v>923</v>
      </c>
      <c r="G138" s="2278"/>
      <c r="H138" s="2279">
        <v>4969554</v>
      </c>
      <c r="I138" s="6539">
        <v>2102628.4</v>
      </c>
      <c r="J138" s="6539"/>
      <c r="K138" s="2279">
        <v>2866925.6</v>
      </c>
      <c r="L138" s="2277"/>
      <c r="M138" s="2281">
        <v>64609.56</v>
      </c>
      <c r="N138" s="2281">
        <f>M138</f>
        <v>64609.56</v>
      </c>
      <c r="O138" s="2281"/>
      <c r="P138" s="2277"/>
      <c r="Q138" s="2277"/>
      <c r="R138" s="2279">
        <v>4969554</v>
      </c>
      <c r="S138" s="2279">
        <v>2167237.96</v>
      </c>
      <c r="T138" s="2279">
        <v>2802316.04</v>
      </c>
    </row>
    <row r="139" spans="1:20" ht="34.5" customHeight="1" outlineLevel="1" x14ac:dyDescent="0.2">
      <c r="A139" s="6538" t="s">
        <v>2480</v>
      </c>
      <c r="B139" s="6538"/>
      <c r="C139" s="2282">
        <v>2432</v>
      </c>
      <c r="D139" s="2276" t="s">
        <v>2249</v>
      </c>
      <c r="E139" s="2277" t="s">
        <v>2481</v>
      </c>
      <c r="F139" s="2278">
        <v>240</v>
      </c>
      <c r="G139" s="2278"/>
      <c r="H139" s="2279">
        <v>46866.75</v>
      </c>
      <c r="I139" s="6539">
        <v>12888.48</v>
      </c>
      <c r="J139" s="6539"/>
      <c r="K139" s="2279">
        <v>33978.269999999997</v>
      </c>
      <c r="L139" s="2277"/>
      <c r="M139" s="2281">
        <v>2343.36</v>
      </c>
      <c r="N139" s="2281">
        <f>M139</f>
        <v>2343.36</v>
      </c>
      <c r="O139" s="2281"/>
      <c r="P139" s="2277"/>
      <c r="Q139" s="2277"/>
      <c r="R139" s="2279">
        <v>46866.75</v>
      </c>
      <c r="S139" s="2279">
        <v>15231.84</v>
      </c>
      <c r="T139" s="2279">
        <v>31634.91</v>
      </c>
    </row>
    <row r="140" spans="1:20" ht="34.5" customHeight="1" outlineLevel="1" x14ac:dyDescent="0.2">
      <c r="A140" s="6538" t="s">
        <v>2482</v>
      </c>
      <c r="B140" s="6538"/>
      <c r="C140" s="2275">
        <v>74</v>
      </c>
      <c r="D140" s="2276" t="s">
        <v>2192</v>
      </c>
      <c r="E140" s="2277" t="s">
        <v>2483</v>
      </c>
      <c r="F140" s="2278">
        <v>144</v>
      </c>
      <c r="G140" s="2278"/>
      <c r="H140" s="2279">
        <v>463682</v>
      </c>
      <c r="I140" s="6539">
        <v>463682</v>
      </c>
      <c r="J140" s="6539"/>
      <c r="K140" s="2277"/>
      <c r="L140" s="2277"/>
      <c r="M140" s="2280"/>
      <c r="N140" s="2281"/>
      <c r="O140" s="2281"/>
      <c r="P140" s="2277"/>
      <c r="Q140" s="2277"/>
      <c r="R140" s="2279">
        <v>463682</v>
      </c>
      <c r="S140" s="2279">
        <v>463682</v>
      </c>
      <c r="T140" s="2277"/>
    </row>
    <row r="141" spans="1:20" s="2298" customFormat="1" ht="23.25" customHeight="1" outlineLevel="1" x14ac:dyDescent="0.2">
      <c r="A141" s="6547" t="s">
        <v>2484</v>
      </c>
      <c r="B141" s="6547"/>
      <c r="C141" s="2292">
        <v>430</v>
      </c>
      <c r="D141" s="2293" t="s">
        <v>2246</v>
      </c>
      <c r="E141" s="2294" t="s">
        <v>2485</v>
      </c>
      <c r="F141" s="2295">
        <v>375</v>
      </c>
      <c r="G141" s="2295"/>
      <c r="H141" s="2296">
        <v>382973</v>
      </c>
      <c r="I141" s="6548">
        <v>379894.8</v>
      </c>
      <c r="J141" s="6548"/>
      <c r="K141" s="2296">
        <v>3078.2</v>
      </c>
      <c r="L141" s="2294"/>
      <c r="M141" s="2296">
        <v>3078.2</v>
      </c>
      <c r="N141" s="2296">
        <f>M141</f>
        <v>3078.2</v>
      </c>
      <c r="O141" s="2296"/>
      <c r="P141" s="2294"/>
      <c r="Q141" s="2294"/>
      <c r="R141" s="2296">
        <v>382973</v>
      </c>
      <c r="S141" s="2296">
        <v>382973</v>
      </c>
      <c r="T141" s="2294"/>
    </row>
    <row r="142" spans="1:20" ht="23.25" customHeight="1" outlineLevel="1" x14ac:dyDescent="0.2">
      <c r="A142" s="6538" t="s">
        <v>2486</v>
      </c>
      <c r="B142" s="6538"/>
      <c r="C142" s="2275">
        <v>325</v>
      </c>
      <c r="D142" s="2276" t="s">
        <v>2218</v>
      </c>
      <c r="E142" s="2277" t="s">
        <v>2487</v>
      </c>
      <c r="F142" s="2278">
        <v>600</v>
      </c>
      <c r="G142" s="2278"/>
      <c r="H142" s="2279">
        <v>6618</v>
      </c>
      <c r="I142" s="6539">
        <v>4068.4</v>
      </c>
      <c r="J142" s="6539"/>
      <c r="K142" s="2279">
        <v>2549.6</v>
      </c>
      <c r="L142" s="2277"/>
      <c r="M142" s="2320">
        <v>132.36000000000001</v>
      </c>
      <c r="N142" s="2281">
        <f>H142/F142*12</f>
        <v>132.35999999999999</v>
      </c>
      <c r="O142" s="2281"/>
      <c r="P142" s="2277"/>
      <c r="Q142" s="2277"/>
      <c r="R142" s="2279">
        <v>6618</v>
      </c>
      <c r="S142" s="2279">
        <v>4200.76</v>
      </c>
      <c r="T142" s="2279">
        <v>2417.2399999999998</v>
      </c>
    </row>
    <row r="143" spans="1:20" ht="12" customHeight="1" outlineLevel="1" x14ac:dyDescent="0.2">
      <c r="A143" s="6538" t="s">
        <v>2488</v>
      </c>
      <c r="B143" s="6538"/>
      <c r="C143" s="2275">
        <v>324</v>
      </c>
      <c r="D143" s="2276" t="s">
        <v>2218</v>
      </c>
      <c r="E143" s="2277" t="s">
        <v>2489</v>
      </c>
      <c r="F143" s="2278">
        <v>480</v>
      </c>
      <c r="G143" s="2278"/>
      <c r="H143" s="2279">
        <v>6601</v>
      </c>
      <c r="I143" s="6539">
        <v>5088</v>
      </c>
      <c r="J143" s="6539"/>
      <c r="K143" s="2279">
        <v>1513</v>
      </c>
      <c r="L143" s="2277"/>
      <c r="M143" s="2320">
        <v>165</v>
      </c>
      <c r="N143" s="2281">
        <f>M143</f>
        <v>165</v>
      </c>
      <c r="O143" s="2281"/>
      <c r="P143" s="2277"/>
      <c r="Q143" s="2277"/>
      <c r="R143" s="2279">
        <v>6601</v>
      </c>
      <c r="S143" s="2279">
        <v>5253</v>
      </c>
      <c r="T143" s="2279">
        <v>1348</v>
      </c>
    </row>
    <row r="144" spans="1:20" ht="23.25" customHeight="1" outlineLevel="1" x14ac:dyDescent="0.2">
      <c r="A144" s="6538" t="s">
        <v>2490</v>
      </c>
      <c r="B144" s="6538"/>
      <c r="C144" s="2275">
        <v>189</v>
      </c>
      <c r="D144" s="2276" t="s">
        <v>2491</v>
      </c>
      <c r="E144" s="2277" t="s">
        <v>2492</v>
      </c>
      <c r="F144" s="2278">
        <v>122</v>
      </c>
      <c r="G144" s="2278"/>
      <c r="H144" s="2279">
        <v>2845</v>
      </c>
      <c r="I144" s="6539">
        <v>2845</v>
      </c>
      <c r="J144" s="6539"/>
      <c r="K144" s="2277"/>
      <c r="L144" s="2277"/>
      <c r="M144" s="2280"/>
      <c r="N144" s="2281"/>
      <c r="O144" s="2281"/>
      <c r="P144" s="2277"/>
      <c r="Q144" s="2277"/>
      <c r="R144" s="2279">
        <v>2845</v>
      </c>
      <c r="S144" s="2279">
        <v>2845</v>
      </c>
      <c r="T144" s="2277"/>
    </row>
    <row r="145" spans="1:20" ht="23.25" customHeight="1" outlineLevel="1" x14ac:dyDescent="0.2">
      <c r="A145" s="6538" t="s">
        <v>2493</v>
      </c>
      <c r="B145" s="6538"/>
      <c r="C145" s="2275">
        <v>438</v>
      </c>
      <c r="D145" s="2276" t="s">
        <v>2246</v>
      </c>
      <c r="E145" s="2277" t="s">
        <v>2494</v>
      </c>
      <c r="F145" s="2278">
        <v>480</v>
      </c>
      <c r="G145" s="2278"/>
      <c r="H145" s="2279">
        <v>1596</v>
      </c>
      <c r="I145" s="6539">
        <v>1102.4000000000001</v>
      </c>
      <c r="J145" s="6539"/>
      <c r="K145" s="2322">
        <v>493.6</v>
      </c>
      <c r="L145" s="2277"/>
      <c r="M145" s="2320">
        <v>39.96</v>
      </c>
      <c r="N145" s="2281">
        <f>M145</f>
        <v>39.96</v>
      </c>
      <c r="O145" s="2281"/>
      <c r="P145" s="2277"/>
      <c r="Q145" s="2277"/>
      <c r="R145" s="2279">
        <v>1596</v>
      </c>
      <c r="S145" s="2279">
        <v>1142.3599999999999</v>
      </c>
      <c r="T145" s="2322">
        <v>453.64</v>
      </c>
    </row>
    <row r="146" spans="1:20" s="2274" customFormat="1" ht="34.5" customHeight="1" outlineLevel="1" x14ac:dyDescent="0.2">
      <c r="A146" s="6543" t="s">
        <v>2495</v>
      </c>
      <c r="B146" s="6543"/>
      <c r="C146" s="2312">
        <v>1517</v>
      </c>
      <c r="D146" s="2268" t="s">
        <v>2496</v>
      </c>
      <c r="E146" s="2273" t="s">
        <v>2497</v>
      </c>
      <c r="F146" s="2270">
        <v>360</v>
      </c>
      <c r="G146" s="2270"/>
      <c r="H146" s="2273"/>
      <c r="I146" s="2314"/>
      <c r="J146" s="2315"/>
      <c r="K146" s="2273"/>
      <c r="L146" s="2271">
        <v>20643.349999999999</v>
      </c>
      <c r="M146" s="2273"/>
      <c r="N146" s="2273"/>
      <c r="O146" s="2273"/>
      <c r="P146" s="2273"/>
      <c r="Q146" s="2273"/>
      <c r="R146" s="2271">
        <v>20643.349999999999</v>
      </c>
      <c r="S146" s="2273"/>
      <c r="T146" s="2271">
        <v>20643.349999999999</v>
      </c>
    </row>
    <row r="147" spans="1:20" ht="23.25" customHeight="1" outlineLevel="1" x14ac:dyDescent="0.2">
      <c r="A147" s="6538" t="s">
        <v>2498</v>
      </c>
      <c r="B147" s="6538"/>
      <c r="C147" s="2275">
        <v>326</v>
      </c>
      <c r="D147" s="2276" t="s">
        <v>2218</v>
      </c>
      <c r="E147" s="2277" t="s">
        <v>2499</v>
      </c>
      <c r="F147" s="2278">
        <v>360</v>
      </c>
      <c r="G147" s="2278"/>
      <c r="H147" s="2279">
        <v>762666.18</v>
      </c>
      <c r="I147" s="6539">
        <v>762666.18</v>
      </c>
      <c r="J147" s="6539"/>
      <c r="K147" s="2277"/>
      <c r="L147" s="2277"/>
      <c r="M147" s="2280"/>
      <c r="N147" s="2280"/>
      <c r="O147" s="2280"/>
      <c r="P147" s="2277"/>
      <c r="Q147" s="2277"/>
      <c r="R147" s="2279">
        <v>762666.18</v>
      </c>
      <c r="S147" s="2279">
        <v>762666.18</v>
      </c>
      <c r="T147" s="2277"/>
    </row>
    <row r="148" spans="1:20" ht="23.25" customHeight="1" outlineLevel="1" x14ac:dyDescent="0.2">
      <c r="A148" s="6538" t="s">
        <v>2500</v>
      </c>
      <c r="B148" s="6538"/>
      <c r="C148" s="2275">
        <v>327</v>
      </c>
      <c r="D148" s="2276" t="s">
        <v>2218</v>
      </c>
      <c r="E148" s="2277" t="s">
        <v>2501</v>
      </c>
      <c r="F148" s="2278">
        <v>600</v>
      </c>
      <c r="G148" s="2278"/>
      <c r="H148" s="2279">
        <v>9850</v>
      </c>
      <c r="I148" s="6539">
        <v>6037.6</v>
      </c>
      <c r="J148" s="6539"/>
      <c r="K148" s="2279">
        <v>3812.4</v>
      </c>
      <c r="L148" s="2277"/>
      <c r="M148" s="2320">
        <v>197.04</v>
      </c>
      <c r="N148" s="2320">
        <f>M148</f>
        <v>197.04</v>
      </c>
      <c r="O148" s="2320"/>
      <c r="P148" s="2277"/>
      <c r="Q148" s="2277"/>
      <c r="R148" s="2279">
        <v>9850</v>
      </c>
      <c r="S148" s="2279">
        <v>6234.64</v>
      </c>
      <c r="T148" s="2279">
        <v>3615.36</v>
      </c>
    </row>
    <row r="149" spans="1:20" ht="23.25" customHeight="1" outlineLevel="1" x14ac:dyDescent="0.2">
      <c r="A149" s="6538" t="s">
        <v>2502</v>
      </c>
      <c r="B149" s="6538"/>
      <c r="C149" s="2275">
        <v>328</v>
      </c>
      <c r="D149" s="2276" t="s">
        <v>2218</v>
      </c>
      <c r="E149" s="2277" t="s">
        <v>2503</v>
      </c>
      <c r="F149" s="2278">
        <v>300</v>
      </c>
      <c r="G149" s="2278"/>
      <c r="H149" s="2279">
        <v>14174</v>
      </c>
      <c r="I149" s="6539">
        <v>14174</v>
      </c>
      <c r="J149" s="6539"/>
      <c r="K149" s="2277"/>
      <c r="L149" s="2277"/>
      <c r="M149" s="2280"/>
      <c r="N149" s="2280"/>
      <c r="O149" s="2280"/>
      <c r="P149" s="2277"/>
      <c r="Q149" s="2277"/>
      <c r="R149" s="2279">
        <v>14174</v>
      </c>
      <c r="S149" s="2279">
        <v>14174</v>
      </c>
      <c r="T149" s="2277"/>
    </row>
    <row r="150" spans="1:20" ht="34.5" customHeight="1" outlineLevel="1" x14ac:dyDescent="0.2">
      <c r="A150" s="6538" t="s">
        <v>2504</v>
      </c>
      <c r="B150" s="6538"/>
      <c r="C150" s="2275">
        <v>80</v>
      </c>
      <c r="D150" s="2276" t="s">
        <v>2192</v>
      </c>
      <c r="E150" s="2277" t="s">
        <v>2505</v>
      </c>
      <c r="F150" s="2278">
        <v>144</v>
      </c>
      <c r="G150" s="2278"/>
      <c r="H150" s="2279">
        <v>428085</v>
      </c>
      <c r="I150" s="6539">
        <v>428085</v>
      </c>
      <c r="J150" s="6539"/>
      <c r="K150" s="2277"/>
      <c r="L150" s="2277"/>
      <c r="M150" s="2280"/>
      <c r="N150" s="2280"/>
      <c r="O150" s="2280"/>
      <c r="P150" s="2277"/>
      <c r="Q150" s="2277"/>
      <c r="R150" s="2279">
        <v>428085</v>
      </c>
      <c r="S150" s="2279">
        <v>428085</v>
      </c>
      <c r="T150" s="2277"/>
    </row>
    <row r="151" spans="1:20" ht="23.25" customHeight="1" outlineLevel="1" x14ac:dyDescent="0.2">
      <c r="A151" s="6538" t="s">
        <v>2506</v>
      </c>
      <c r="B151" s="6538"/>
      <c r="C151" s="2275">
        <v>82</v>
      </c>
      <c r="D151" s="2276" t="s">
        <v>2192</v>
      </c>
      <c r="E151" s="2277" t="s">
        <v>2507</v>
      </c>
      <c r="F151" s="2278">
        <v>144</v>
      </c>
      <c r="G151" s="2278"/>
      <c r="H151" s="2279">
        <v>1612</v>
      </c>
      <c r="I151" s="6539">
        <v>1612</v>
      </c>
      <c r="J151" s="6539"/>
      <c r="K151" s="2277"/>
      <c r="L151" s="2277"/>
      <c r="M151" s="2280"/>
      <c r="N151" s="2280"/>
      <c r="O151" s="2280"/>
      <c r="P151" s="2277"/>
      <c r="Q151" s="2277"/>
      <c r="R151" s="2279">
        <v>1612</v>
      </c>
      <c r="S151" s="2279">
        <v>1612</v>
      </c>
      <c r="T151" s="2277"/>
    </row>
    <row r="152" spans="1:20" ht="23.25" customHeight="1" outlineLevel="1" x14ac:dyDescent="0.2">
      <c r="A152" s="6538" t="s">
        <v>2508</v>
      </c>
      <c r="B152" s="6538"/>
      <c r="C152" s="2275">
        <v>86</v>
      </c>
      <c r="D152" s="2276" t="s">
        <v>2192</v>
      </c>
      <c r="E152" s="2277" t="s">
        <v>2509</v>
      </c>
      <c r="F152" s="2278">
        <v>144</v>
      </c>
      <c r="G152" s="2278"/>
      <c r="H152" s="2279">
        <v>2094</v>
      </c>
      <c r="I152" s="6539">
        <v>2094</v>
      </c>
      <c r="J152" s="6539"/>
      <c r="K152" s="2277"/>
      <c r="L152" s="2277"/>
      <c r="M152" s="2280"/>
      <c r="N152" s="2280"/>
      <c r="O152" s="2280"/>
      <c r="P152" s="2277"/>
      <c r="Q152" s="2277"/>
      <c r="R152" s="2279">
        <v>2094</v>
      </c>
      <c r="S152" s="2279">
        <v>2094</v>
      </c>
      <c r="T152" s="2277"/>
    </row>
    <row r="153" spans="1:20" ht="23.25" customHeight="1" outlineLevel="1" x14ac:dyDescent="0.2">
      <c r="A153" s="6538" t="s">
        <v>2510</v>
      </c>
      <c r="B153" s="6538"/>
      <c r="C153" s="2275">
        <v>87</v>
      </c>
      <c r="D153" s="2276" t="s">
        <v>2192</v>
      </c>
      <c r="E153" s="2277" t="s">
        <v>2511</v>
      </c>
      <c r="F153" s="2278">
        <v>144</v>
      </c>
      <c r="G153" s="2278"/>
      <c r="H153" s="2279">
        <v>317757</v>
      </c>
      <c r="I153" s="6539">
        <v>317757</v>
      </c>
      <c r="J153" s="6539"/>
      <c r="K153" s="2277"/>
      <c r="L153" s="2277"/>
      <c r="M153" s="2280"/>
      <c r="N153" s="2280"/>
      <c r="O153" s="2280"/>
      <c r="P153" s="2277"/>
      <c r="Q153" s="2277"/>
      <c r="R153" s="2279">
        <v>317757</v>
      </c>
      <c r="S153" s="2279">
        <v>317757</v>
      </c>
      <c r="T153" s="2277"/>
    </row>
    <row r="154" spans="1:20" ht="23.25" customHeight="1" outlineLevel="1" x14ac:dyDescent="0.2">
      <c r="A154" s="6538" t="s">
        <v>2512</v>
      </c>
      <c r="B154" s="6538"/>
      <c r="C154" s="2275">
        <v>90</v>
      </c>
      <c r="D154" s="2276" t="s">
        <v>2192</v>
      </c>
      <c r="E154" s="2277" t="s">
        <v>2513</v>
      </c>
      <c r="F154" s="2278">
        <v>144</v>
      </c>
      <c r="G154" s="2278"/>
      <c r="H154" s="2279">
        <v>344821</v>
      </c>
      <c r="I154" s="6539">
        <v>344821</v>
      </c>
      <c r="J154" s="6539"/>
      <c r="K154" s="2277"/>
      <c r="L154" s="2277"/>
      <c r="M154" s="2280"/>
      <c r="N154" s="2280"/>
      <c r="O154" s="2280"/>
      <c r="P154" s="2277"/>
      <c r="Q154" s="2277"/>
      <c r="R154" s="2279">
        <v>344821</v>
      </c>
      <c r="S154" s="2279">
        <v>344821</v>
      </c>
      <c r="T154" s="2277"/>
    </row>
    <row r="155" spans="1:20" ht="23.25" customHeight="1" outlineLevel="1" x14ac:dyDescent="0.2">
      <c r="A155" s="6538" t="s">
        <v>2514</v>
      </c>
      <c r="B155" s="6538"/>
      <c r="C155" s="2275">
        <v>50</v>
      </c>
      <c r="D155" s="2276" t="s">
        <v>2192</v>
      </c>
      <c r="E155" s="2277" t="s">
        <v>2515</v>
      </c>
      <c r="F155" s="2278">
        <v>600</v>
      </c>
      <c r="G155" s="2278"/>
      <c r="H155" s="2279">
        <v>3679946</v>
      </c>
      <c r="I155" s="6539">
        <v>2142479.2000000002</v>
      </c>
      <c r="J155" s="6539"/>
      <c r="K155" s="2279">
        <v>1537466.8</v>
      </c>
      <c r="L155" s="2277"/>
      <c r="M155" s="2281">
        <v>73598.880000000005</v>
      </c>
      <c r="N155" s="2281">
        <f>M155</f>
        <v>73598.880000000005</v>
      </c>
      <c r="O155" s="2281"/>
      <c r="P155" s="2277"/>
      <c r="Q155" s="2277"/>
      <c r="R155" s="2279">
        <v>3679946</v>
      </c>
      <c r="S155" s="2279">
        <v>2216078.08</v>
      </c>
      <c r="T155" s="2279">
        <v>1463867.92</v>
      </c>
    </row>
    <row r="156" spans="1:20" ht="34.5" customHeight="1" outlineLevel="1" x14ac:dyDescent="0.2">
      <c r="A156" s="6538" t="s">
        <v>2516</v>
      </c>
      <c r="B156" s="6538"/>
      <c r="C156" s="2316">
        <v>1483</v>
      </c>
      <c r="D156" s="2276" t="s">
        <v>2517</v>
      </c>
      <c r="E156" s="2277" t="s">
        <v>2518</v>
      </c>
      <c r="F156" s="2277"/>
      <c r="G156" s="2277"/>
      <c r="H156" s="2277"/>
      <c r="I156" s="2317"/>
      <c r="J156" s="2318"/>
      <c r="K156" s="2277"/>
      <c r="L156" s="2277"/>
      <c r="M156" s="2280"/>
      <c r="N156" s="2281"/>
      <c r="O156" s="2281"/>
      <c r="P156" s="2277"/>
      <c r="Q156" s="2277"/>
      <c r="R156" s="2277"/>
      <c r="S156" s="2277"/>
      <c r="T156" s="2277"/>
    </row>
    <row r="157" spans="1:20" ht="23.25" customHeight="1" outlineLevel="1" x14ac:dyDescent="0.2">
      <c r="A157" s="6538" t="s">
        <v>2519</v>
      </c>
      <c r="B157" s="6538"/>
      <c r="C157" s="2316">
        <v>1486</v>
      </c>
      <c r="D157" s="2276" t="s">
        <v>2520</v>
      </c>
      <c r="E157" s="2277" t="s">
        <v>2521</v>
      </c>
      <c r="F157" s="2278">
        <v>360</v>
      </c>
      <c r="G157" s="2278"/>
      <c r="H157" s="2279">
        <v>200000</v>
      </c>
      <c r="I157" s="6539">
        <v>20000.16</v>
      </c>
      <c r="J157" s="6539"/>
      <c r="K157" s="2279">
        <v>179999.84</v>
      </c>
      <c r="L157" s="2277"/>
      <c r="M157" s="2281">
        <v>6666.72</v>
      </c>
      <c r="N157" s="2281">
        <f>M157</f>
        <v>6666.72</v>
      </c>
      <c r="O157" s="2281"/>
      <c r="P157" s="2277"/>
      <c r="Q157" s="2277"/>
      <c r="R157" s="2279">
        <v>200000</v>
      </c>
      <c r="S157" s="2279">
        <v>26666.880000000001</v>
      </c>
      <c r="T157" s="2279">
        <v>173333.12</v>
      </c>
    </row>
    <row r="158" spans="1:20" s="2274" customFormat="1" ht="45.75" customHeight="1" outlineLevel="1" x14ac:dyDescent="0.2">
      <c r="A158" s="6543" t="s">
        <v>2522</v>
      </c>
      <c r="B158" s="6543"/>
      <c r="C158" s="2312">
        <v>1518</v>
      </c>
      <c r="D158" s="2268" t="s">
        <v>2496</v>
      </c>
      <c r="E158" s="2273" t="s">
        <v>2523</v>
      </c>
      <c r="F158" s="2270">
        <v>240</v>
      </c>
      <c r="G158" s="2270"/>
      <c r="H158" s="2273"/>
      <c r="I158" s="2314"/>
      <c r="J158" s="2315"/>
      <c r="K158" s="2273"/>
      <c r="L158" s="2271">
        <v>21369.59</v>
      </c>
      <c r="M158" s="2273"/>
      <c r="N158" s="2273"/>
      <c r="O158" s="2273"/>
      <c r="P158" s="2273"/>
      <c r="Q158" s="2273"/>
      <c r="R158" s="2271">
        <v>21369.59</v>
      </c>
      <c r="S158" s="2273"/>
      <c r="T158" s="2271">
        <v>21369.59</v>
      </c>
    </row>
    <row r="159" spans="1:20" s="2274" customFormat="1" ht="34.5" customHeight="1" outlineLevel="1" x14ac:dyDescent="0.2">
      <c r="A159" s="6543" t="s">
        <v>2524</v>
      </c>
      <c r="B159" s="6543"/>
      <c r="C159" s="2312">
        <v>1519</v>
      </c>
      <c r="D159" s="2268" t="s">
        <v>2496</v>
      </c>
      <c r="E159" s="2273" t="s">
        <v>2525</v>
      </c>
      <c r="F159" s="2270">
        <v>360</v>
      </c>
      <c r="G159" s="2270"/>
      <c r="H159" s="2273"/>
      <c r="I159" s="2314"/>
      <c r="J159" s="2315"/>
      <c r="K159" s="2273"/>
      <c r="L159" s="2271">
        <v>315171.8</v>
      </c>
      <c r="M159" s="2273"/>
      <c r="N159" s="2273"/>
      <c r="O159" s="2273"/>
      <c r="P159" s="2273"/>
      <c r="Q159" s="2273"/>
      <c r="R159" s="2271">
        <v>315171.8</v>
      </c>
      <c r="S159" s="2273"/>
      <c r="T159" s="2271">
        <v>315171.8</v>
      </c>
    </row>
    <row r="160" spans="1:20" s="2274" customFormat="1" ht="45.75" customHeight="1" outlineLevel="1" x14ac:dyDescent="0.2">
      <c r="A160" s="6543" t="s">
        <v>2526</v>
      </c>
      <c r="B160" s="6543"/>
      <c r="C160" s="2312">
        <v>1520</v>
      </c>
      <c r="D160" s="2268" t="s">
        <v>2496</v>
      </c>
      <c r="E160" s="2273" t="s">
        <v>2527</v>
      </c>
      <c r="F160" s="2270">
        <v>240</v>
      </c>
      <c r="G160" s="2270"/>
      <c r="H160" s="2273"/>
      <c r="I160" s="2314"/>
      <c r="J160" s="2315"/>
      <c r="K160" s="2273"/>
      <c r="L160" s="2271">
        <v>217557.6</v>
      </c>
      <c r="M160" s="2273"/>
      <c r="N160" s="2273"/>
      <c r="O160" s="2273"/>
      <c r="P160" s="2273"/>
      <c r="Q160" s="2273"/>
      <c r="R160" s="2271">
        <v>217557.6</v>
      </c>
      <c r="S160" s="2273"/>
      <c r="T160" s="2271">
        <v>217557.6</v>
      </c>
    </row>
    <row r="161" spans="1:20" s="2274" customFormat="1" ht="34.5" customHeight="1" outlineLevel="1" x14ac:dyDescent="0.2">
      <c r="A161" s="6543" t="s">
        <v>2528</v>
      </c>
      <c r="B161" s="6543"/>
      <c r="C161" s="2312">
        <v>1521</v>
      </c>
      <c r="D161" s="2268" t="s">
        <v>2529</v>
      </c>
      <c r="E161" s="2273" t="s">
        <v>2530</v>
      </c>
      <c r="F161" s="2270">
        <v>360</v>
      </c>
      <c r="G161" s="2270"/>
      <c r="H161" s="2273"/>
      <c r="I161" s="2314"/>
      <c r="J161" s="2315"/>
      <c r="K161" s="2273"/>
      <c r="L161" s="2323">
        <v>1</v>
      </c>
      <c r="M161" s="2273"/>
      <c r="N161" s="2273"/>
      <c r="O161" s="2273"/>
      <c r="P161" s="2273"/>
      <c r="Q161" s="2273"/>
      <c r="R161" s="2323">
        <v>1</v>
      </c>
      <c r="S161" s="2273"/>
      <c r="T161" s="2323">
        <v>1</v>
      </c>
    </row>
    <row r="162" spans="1:20" s="2302" customFormat="1" ht="12.75" customHeight="1" x14ac:dyDescent="0.2">
      <c r="A162" s="6545" t="s">
        <v>2531</v>
      </c>
      <c r="B162" s="6545"/>
      <c r="C162" s="6545"/>
      <c r="D162" s="6545"/>
      <c r="E162" s="6545"/>
      <c r="F162" s="6545"/>
      <c r="G162" s="2299"/>
      <c r="H162" s="2300">
        <v>35871601.920000002</v>
      </c>
      <c r="I162" s="6546">
        <v>25309600.27</v>
      </c>
      <c r="J162" s="6546"/>
      <c r="K162" s="2300">
        <v>10562001.65</v>
      </c>
      <c r="L162" s="2300">
        <v>100392.02</v>
      </c>
      <c r="M162" s="2301">
        <v>3134091.27</v>
      </c>
      <c r="N162" s="2301">
        <f>SUM(N163:N478)</f>
        <v>3134091.2874285714</v>
      </c>
      <c r="O162" s="2301"/>
      <c r="P162" s="2300">
        <v>169448.95999999999</v>
      </c>
      <c r="Q162" s="2300">
        <v>167915.08</v>
      </c>
      <c r="R162" s="2300">
        <v>35802544.979999997</v>
      </c>
      <c r="S162" s="2300">
        <v>28275776.460000001</v>
      </c>
      <c r="T162" s="2300">
        <v>7526768.5199999996</v>
      </c>
    </row>
    <row r="163" spans="1:20" ht="23.25" customHeight="1" outlineLevel="1" x14ac:dyDescent="0.2">
      <c r="A163" s="6538" t="s">
        <v>2532</v>
      </c>
      <c r="B163" s="6538"/>
      <c r="C163" s="2316">
        <v>1495</v>
      </c>
      <c r="D163" s="2276" t="s">
        <v>2533</v>
      </c>
      <c r="E163" s="2277" t="s">
        <v>2534</v>
      </c>
      <c r="F163" s="2278">
        <v>84</v>
      </c>
      <c r="G163" s="2278"/>
      <c r="H163" s="2279">
        <v>99936.3</v>
      </c>
      <c r="I163" s="6539">
        <v>24984.12</v>
      </c>
      <c r="J163" s="6539"/>
      <c r="K163" s="2279">
        <v>74952.179999999993</v>
      </c>
      <c r="L163" s="2277"/>
      <c r="M163" s="2281">
        <v>14276.64</v>
      </c>
      <c r="N163" s="2281">
        <f>M163</f>
        <v>14276.64</v>
      </c>
      <c r="O163" s="2281"/>
      <c r="P163" s="2277"/>
      <c r="Q163" s="2277"/>
      <c r="R163" s="2279">
        <v>99936.3</v>
      </c>
      <c r="S163" s="2279">
        <v>39260.76</v>
      </c>
      <c r="T163" s="2279">
        <v>60675.54</v>
      </c>
    </row>
    <row r="164" spans="1:20" ht="34.5" customHeight="1" outlineLevel="1" x14ac:dyDescent="0.2">
      <c r="A164" s="6538" t="s">
        <v>2535</v>
      </c>
      <c r="B164" s="6538"/>
      <c r="C164" s="2316">
        <v>1496</v>
      </c>
      <c r="D164" s="2276" t="s">
        <v>2533</v>
      </c>
      <c r="E164" s="2277" t="s">
        <v>2536</v>
      </c>
      <c r="F164" s="2278">
        <v>84</v>
      </c>
      <c r="G164" s="2278"/>
      <c r="H164" s="2279">
        <v>99743.89</v>
      </c>
      <c r="I164" s="6539">
        <v>24936.03</v>
      </c>
      <c r="J164" s="6539"/>
      <c r="K164" s="2279">
        <v>74807.86</v>
      </c>
      <c r="L164" s="2277"/>
      <c r="M164" s="2281">
        <v>14249.16</v>
      </c>
      <c r="N164" s="2281">
        <f t="shared" ref="N164:N172" si="2">M164</f>
        <v>14249.16</v>
      </c>
      <c r="O164" s="2281"/>
      <c r="P164" s="2277"/>
      <c r="Q164" s="2277"/>
      <c r="R164" s="2279">
        <v>99743.89</v>
      </c>
      <c r="S164" s="2279">
        <v>39185.19</v>
      </c>
      <c r="T164" s="2279">
        <v>60558.7</v>
      </c>
    </row>
    <row r="165" spans="1:20" ht="34.5" customHeight="1" outlineLevel="1" x14ac:dyDescent="0.2">
      <c r="A165" s="6538" t="s">
        <v>2537</v>
      </c>
      <c r="B165" s="6538"/>
      <c r="C165" s="2316">
        <v>1497</v>
      </c>
      <c r="D165" s="2276" t="s">
        <v>2533</v>
      </c>
      <c r="E165" s="2277" t="s">
        <v>2538</v>
      </c>
      <c r="F165" s="2278">
        <v>84</v>
      </c>
      <c r="G165" s="2278"/>
      <c r="H165" s="2279">
        <v>48313</v>
      </c>
      <c r="I165" s="6539">
        <v>12078.15</v>
      </c>
      <c r="J165" s="6539"/>
      <c r="K165" s="2279">
        <v>36234.85</v>
      </c>
      <c r="L165" s="2277"/>
      <c r="M165" s="2281">
        <v>6901.8</v>
      </c>
      <c r="N165" s="2281">
        <f t="shared" si="2"/>
        <v>6901.8</v>
      </c>
      <c r="O165" s="2281"/>
      <c r="P165" s="2277"/>
      <c r="Q165" s="2277"/>
      <c r="R165" s="2279">
        <v>48313</v>
      </c>
      <c r="S165" s="2279">
        <v>18979.95</v>
      </c>
      <c r="T165" s="2279">
        <v>29333.05</v>
      </c>
    </row>
    <row r="166" spans="1:20" ht="34.5" customHeight="1" outlineLevel="1" x14ac:dyDescent="0.2">
      <c r="A166" s="6538" t="s">
        <v>2539</v>
      </c>
      <c r="B166" s="6538"/>
      <c r="C166" s="2316">
        <v>1489</v>
      </c>
      <c r="D166" s="2276" t="s">
        <v>2540</v>
      </c>
      <c r="E166" s="2277" t="s">
        <v>2541</v>
      </c>
      <c r="F166" s="2278">
        <v>84</v>
      </c>
      <c r="G166" s="2278"/>
      <c r="H166" s="2279">
        <v>305831</v>
      </c>
      <c r="I166" s="6539">
        <v>109225.5</v>
      </c>
      <c r="J166" s="6539"/>
      <c r="K166" s="2279">
        <v>196605.5</v>
      </c>
      <c r="L166" s="2277"/>
      <c r="M166" s="2281">
        <v>43690.2</v>
      </c>
      <c r="N166" s="2281">
        <f t="shared" si="2"/>
        <v>43690.2</v>
      </c>
      <c r="O166" s="2281"/>
      <c r="P166" s="2277"/>
      <c r="Q166" s="2277"/>
      <c r="R166" s="2279">
        <v>305831</v>
      </c>
      <c r="S166" s="2279">
        <v>152915.70000000001</v>
      </c>
      <c r="T166" s="2279">
        <v>152915.29999999999</v>
      </c>
    </row>
    <row r="167" spans="1:20" ht="23.25" customHeight="1" outlineLevel="1" x14ac:dyDescent="0.2">
      <c r="A167" s="6538" t="s">
        <v>2542</v>
      </c>
      <c r="B167" s="6538"/>
      <c r="C167" s="2316">
        <v>1500</v>
      </c>
      <c r="D167" s="2276" t="s">
        <v>2543</v>
      </c>
      <c r="E167" s="2277" t="s">
        <v>2544</v>
      </c>
      <c r="F167" s="2278">
        <v>60</v>
      </c>
      <c r="G167" s="2278"/>
      <c r="H167" s="2279">
        <v>46150</v>
      </c>
      <c r="I167" s="6539">
        <v>9230.0400000000009</v>
      </c>
      <c r="J167" s="6539"/>
      <c r="K167" s="2279">
        <v>36919.96</v>
      </c>
      <c r="L167" s="2277"/>
      <c r="M167" s="2281">
        <v>9230.0400000000009</v>
      </c>
      <c r="N167" s="2281">
        <f t="shared" si="2"/>
        <v>9230.0400000000009</v>
      </c>
      <c r="O167" s="2281"/>
      <c r="P167" s="2277"/>
      <c r="Q167" s="2277"/>
      <c r="R167" s="2279">
        <v>46150</v>
      </c>
      <c r="S167" s="2279">
        <v>18460.080000000002</v>
      </c>
      <c r="T167" s="2279">
        <v>27689.919999999998</v>
      </c>
    </row>
    <row r="168" spans="1:20" ht="23.25" customHeight="1" outlineLevel="1" x14ac:dyDescent="0.2">
      <c r="A168" s="6538" t="s">
        <v>2542</v>
      </c>
      <c r="B168" s="6538"/>
      <c r="C168" s="2316">
        <v>1501</v>
      </c>
      <c r="D168" s="2276" t="s">
        <v>2543</v>
      </c>
      <c r="E168" s="2277" t="s">
        <v>2544</v>
      </c>
      <c r="F168" s="2278">
        <v>60</v>
      </c>
      <c r="G168" s="2278"/>
      <c r="H168" s="2279">
        <v>46150</v>
      </c>
      <c r="I168" s="6539">
        <v>9230.0400000000009</v>
      </c>
      <c r="J168" s="6539"/>
      <c r="K168" s="2279">
        <v>36919.96</v>
      </c>
      <c r="L168" s="2277"/>
      <c r="M168" s="2281">
        <v>9230.0400000000009</v>
      </c>
      <c r="N168" s="2281">
        <f t="shared" si="2"/>
        <v>9230.0400000000009</v>
      </c>
      <c r="O168" s="2281"/>
      <c r="P168" s="2277"/>
      <c r="Q168" s="2277"/>
      <c r="R168" s="2279">
        <v>46150</v>
      </c>
      <c r="S168" s="2279">
        <v>18460.080000000002</v>
      </c>
      <c r="T168" s="2279">
        <v>27689.919999999998</v>
      </c>
    </row>
    <row r="169" spans="1:20" ht="23.25" customHeight="1" outlineLevel="1" x14ac:dyDescent="0.2">
      <c r="A169" s="6538" t="s">
        <v>2542</v>
      </c>
      <c r="B169" s="6538"/>
      <c r="C169" s="2316">
        <v>1502</v>
      </c>
      <c r="D169" s="2276" t="s">
        <v>2543</v>
      </c>
      <c r="E169" s="2277" t="s">
        <v>2544</v>
      </c>
      <c r="F169" s="2278">
        <v>60</v>
      </c>
      <c r="G169" s="2278"/>
      <c r="H169" s="2279">
        <v>46150</v>
      </c>
      <c r="I169" s="6539">
        <v>9230.0400000000009</v>
      </c>
      <c r="J169" s="6539"/>
      <c r="K169" s="2279">
        <v>36919.96</v>
      </c>
      <c r="L169" s="2277"/>
      <c r="M169" s="2281">
        <v>9230.0400000000009</v>
      </c>
      <c r="N169" s="2281">
        <f t="shared" si="2"/>
        <v>9230.0400000000009</v>
      </c>
      <c r="O169" s="2281"/>
      <c r="P169" s="2277"/>
      <c r="Q169" s="2277"/>
      <c r="R169" s="2279">
        <v>46150</v>
      </c>
      <c r="S169" s="2279">
        <v>18460.080000000002</v>
      </c>
      <c r="T169" s="2279">
        <v>27689.919999999998</v>
      </c>
    </row>
    <row r="170" spans="1:20" ht="23.25" customHeight="1" outlineLevel="1" x14ac:dyDescent="0.2">
      <c r="A170" s="6538" t="s">
        <v>2545</v>
      </c>
      <c r="B170" s="6538"/>
      <c r="C170" s="2282">
        <v>2448</v>
      </c>
      <c r="D170" s="2276" t="s">
        <v>2546</v>
      </c>
      <c r="E170" s="2277" t="s">
        <v>2547</v>
      </c>
      <c r="F170" s="2278">
        <v>84</v>
      </c>
      <c r="G170" s="2278"/>
      <c r="H170" s="2279">
        <v>284970</v>
      </c>
      <c r="I170" s="6539">
        <v>193372.5</v>
      </c>
      <c r="J170" s="6539"/>
      <c r="K170" s="2279">
        <v>91597.5</v>
      </c>
      <c r="L170" s="2277"/>
      <c r="M170" s="2281">
        <v>40710</v>
      </c>
      <c r="N170" s="2281">
        <f t="shared" si="2"/>
        <v>40710</v>
      </c>
      <c r="O170" s="2281"/>
      <c r="P170" s="2277"/>
      <c r="Q170" s="2277"/>
      <c r="R170" s="2279">
        <v>284970</v>
      </c>
      <c r="S170" s="2279">
        <v>234082.5</v>
      </c>
      <c r="T170" s="2279">
        <v>50887.5</v>
      </c>
    </row>
    <row r="171" spans="1:20" ht="23.25" customHeight="1" outlineLevel="1" x14ac:dyDescent="0.2">
      <c r="A171" s="6538" t="s">
        <v>2548</v>
      </c>
      <c r="B171" s="6538"/>
      <c r="C171" s="2316">
        <v>1504</v>
      </c>
      <c r="D171" s="2276" t="s">
        <v>2549</v>
      </c>
      <c r="E171" s="2277" t="s">
        <v>2550</v>
      </c>
      <c r="F171" s="2278">
        <v>120</v>
      </c>
      <c r="G171" s="2278"/>
      <c r="H171" s="2279">
        <v>43072.29</v>
      </c>
      <c r="I171" s="6539">
        <v>3589.4</v>
      </c>
      <c r="J171" s="6539"/>
      <c r="K171" s="2279">
        <v>39482.89</v>
      </c>
      <c r="L171" s="2277"/>
      <c r="M171" s="2281">
        <v>4307.28</v>
      </c>
      <c r="N171" s="2281">
        <f t="shared" si="2"/>
        <v>4307.28</v>
      </c>
      <c r="O171" s="2281"/>
      <c r="P171" s="2277"/>
      <c r="Q171" s="2277"/>
      <c r="R171" s="2279">
        <v>43072.29</v>
      </c>
      <c r="S171" s="2279">
        <v>7896.68</v>
      </c>
      <c r="T171" s="2279">
        <v>35175.61</v>
      </c>
    </row>
    <row r="172" spans="1:20" ht="23.25" customHeight="1" outlineLevel="1" x14ac:dyDescent="0.2">
      <c r="A172" s="6538" t="s">
        <v>2551</v>
      </c>
      <c r="B172" s="6538"/>
      <c r="C172" s="2316">
        <v>1494</v>
      </c>
      <c r="D172" s="2276" t="s">
        <v>2533</v>
      </c>
      <c r="E172" s="2277" t="s">
        <v>2552</v>
      </c>
      <c r="F172" s="2278">
        <v>84</v>
      </c>
      <c r="G172" s="2278"/>
      <c r="H172" s="2279">
        <v>99818.71</v>
      </c>
      <c r="I172" s="6539">
        <v>24954.720000000001</v>
      </c>
      <c r="J172" s="6539"/>
      <c r="K172" s="2279">
        <v>74863.990000000005</v>
      </c>
      <c r="L172" s="2277"/>
      <c r="M172" s="2281">
        <v>14259.84</v>
      </c>
      <c r="N172" s="2281">
        <f t="shared" si="2"/>
        <v>14259.84</v>
      </c>
      <c r="O172" s="2281"/>
      <c r="P172" s="2277"/>
      <c r="Q172" s="2277"/>
      <c r="R172" s="2279">
        <v>99818.71</v>
      </c>
      <c r="S172" s="2279">
        <v>39214.559999999998</v>
      </c>
      <c r="T172" s="2279">
        <v>60604.15</v>
      </c>
    </row>
    <row r="173" spans="1:20" ht="12" customHeight="1" outlineLevel="1" x14ac:dyDescent="0.2">
      <c r="A173" s="6538" t="s">
        <v>2553</v>
      </c>
      <c r="B173" s="6538"/>
      <c r="C173" s="2275">
        <v>153</v>
      </c>
      <c r="D173" s="2276" t="s">
        <v>2554</v>
      </c>
      <c r="E173" s="2277" t="s">
        <v>2555</v>
      </c>
      <c r="F173" s="2278">
        <v>109</v>
      </c>
      <c r="G173" s="2278"/>
      <c r="H173" s="2279">
        <v>8597</v>
      </c>
      <c r="I173" s="6539">
        <v>8597</v>
      </c>
      <c r="J173" s="6539"/>
      <c r="K173" s="2277"/>
      <c r="L173" s="2277"/>
      <c r="M173" s="2280"/>
      <c r="N173" s="2281"/>
      <c r="O173" s="2281"/>
      <c r="P173" s="2277"/>
      <c r="Q173" s="2277"/>
      <c r="R173" s="2279">
        <v>8597</v>
      </c>
      <c r="S173" s="2279">
        <v>8597</v>
      </c>
      <c r="T173" s="2277"/>
    </row>
    <row r="174" spans="1:20" ht="23.25" customHeight="1" outlineLevel="1" x14ac:dyDescent="0.2">
      <c r="A174" s="6538" t="s">
        <v>2556</v>
      </c>
      <c r="B174" s="6538"/>
      <c r="C174" s="2316">
        <v>1514</v>
      </c>
      <c r="D174" s="2276" t="s">
        <v>2557</v>
      </c>
      <c r="E174" s="2277" t="s">
        <v>2558</v>
      </c>
      <c r="F174" s="2278">
        <v>180</v>
      </c>
      <c r="G174" s="2278"/>
      <c r="H174" s="2279">
        <v>367796.61</v>
      </c>
      <c r="I174" s="6539">
        <v>2043.31</v>
      </c>
      <c r="J174" s="6539"/>
      <c r="K174" s="2279">
        <v>365753.3</v>
      </c>
      <c r="L174" s="2277"/>
      <c r="M174" s="2281">
        <v>24519.72</v>
      </c>
      <c r="N174" s="2281">
        <f>M174</f>
        <v>24519.72</v>
      </c>
      <c r="O174" s="2281"/>
      <c r="P174" s="2277"/>
      <c r="Q174" s="2277"/>
      <c r="R174" s="2279">
        <v>367796.61</v>
      </c>
      <c r="S174" s="2279">
        <v>26563.03</v>
      </c>
      <c r="T174" s="2279">
        <v>341233.58</v>
      </c>
    </row>
    <row r="175" spans="1:20" ht="12" customHeight="1" outlineLevel="1" x14ac:dyDescent="0.2">
      <c r="A175" s="6538" t="s">
        <v>2559</v>
      </c>
      <c r="B175" s="6538"/>
      <c r="C175" s="2316">
        <v>1490</v>
      </c>
      <c r="D175" s="2276" t="s">
        <v>2560</v>
      </c>
      <c r="E175" s="2277" t="s">
        <v>2561</v>
      </c>
      <c r="F175" s="2278">
        <v>84</v>
      </c>
      <c r="G175" s="2278"/>
      <c r="H175" s="2279">
        <v>150847.46</v>
      </c>
      <c r="I175" s="6539">
        <v>44895</v>
      </c>
      <c r="J175" s="6539"/>
      <c r="K175" s="2279">
        <v>105952.46</v>
      </c>
      <c r="L175" s="2277"/>
      <c r="M175" s="2281">
        <v>21549.599999999999</v>
      </c>
      <c r="N175" s="2281">
        <f>M175</f>
        <v>21549.599999999999</v>
      </c>
      <c r="O175" s="2281"/>
      <c r="P175" s="2277"/>
      <c r="Q175" s="2277"/>
      <c r="R175" s="2279">
        <v>150847.46</v>
      </c>
      <c r="S175" s="2279">
        <v>66444.600000000006</v>
      </c>
      <c r="T175" s="2279">
        <v>84402.86</v>
      </c>
    </row>
    <row r="176" spans="1:20" ht="12" customHeight="1" outlineLevel="1" x14ac:dyDescent="0.2">
      <c r="A176" s="6538" t="s">
        <v>2562</v>
      </c>
      <c r="B176" s="6538"/>
      <c r="C176" s="2316">
        <v>1513</v>
      </c>
      <c r="D176" s="2276" t="s">
        <v>2557</v>
      </c>
      <c r="E176" s="2277" t="s">
        <v>2563</v>
      </c>
      <c r="F176" s="2278">
        <v>60</v>
      </c>
      <c r="G176" s="2278"/>
      <c r="H176" s="2279">
        <v>69099.23</v>
      </c>
      <c r="I176" s="6539">
        <v>1151.6500000000001</v>
      </c>
      <c r="J176" s="6539"/>
      <c r="K176" s="2279">
        <v>67947.58</v>
      </c>
      <c r="L176" s="2277"/>
      <c r="M176" s="2281">
        <v>13819.8</v>
      </c>
      <c r="N176" s="2281">
        <f>M176</f>
        <v>13819.8</v>
      </c>
      <c r="O176" s="2281"/>
      <c r="P176" s="2277"/>
      <c r="Q176" s="2277"/>
      <c r="R176" s="2279">
        <v>69099.23</v>
      </c>
      <c r="S176" s="2279">
        <v>14971.45</v>
      </c>
      <c r="T176" s="2279">
        <v>54127.78</v>
      </c>
    </row>
    <row r="177" spans="1:20" ht="12" customHeight="1" outlineLevel="1" x14ac:dyDescent="0.2">
      <c r="A177" s="6538" t="s">
        <v>2564</v>
      </c>
      <c r="B177" s="6538"/>
      <c r="C177" s="2282">
        <v>2408</v>
      </c>
      <c r="D177" s="2276" t="s">
        <v>2565</v>
      </c>
      <c r="E177" s="2277" t="s">
        <v>2566</v>
      </c>
      <c r="F177" s="2278">
        <v>84</v>
      </c>
      <c r="G177" s="2278"/>
      <c r="H177" s="2279">
        <v>42250</v>
      </c>
      <c r="I177" s="6539">
        <v>35711.58</v>
      </c>
      <c r="J177" s="6539"/>
      <c r="K177" s="2279">
        <v>6538.42</v>
      </c>
      <c r="L177" s="2277"/>
      <c r="M177" s="2281">
        <v>6035.76</v>
      </c>
      <c r="N177" s="2281">
        <f>M177</f>
        <v>6035.76</v>
      </c>
      <c r="O177" s="2281"/>
      <c r="P177" s="2277"/>
      <c r="Q177" s="2277"/>
      <c r="R177" s="2279">
        <v>42250</v>
      </c>
      <c r="S177" s="2279">
        <v>41747.339999999997</v>
      </c>
      <c r="T177" s="2322">
        <v>502.66</v>
      </c>
    </row>
    <row r="178" spans="1:20" ht="23.25" customHeight="1" outlineLevel="1" x14ac:dyDescent="0.2">
      <c r="A178" s="6538" t="s">
        <v>2567</v>
      </c>
      <c r="B178" s="6538"/>
      <c r="C178" s="2275">
        <v>135</v>
      </c>
      <c r="D178" s="2276" t="s">
        <v>2192</v>
      </c>
      <c r="E178" s="2277" t="s">
        <v>2568</v>
      </c>
      <c r="F178" s="2278">
        <v>300</v>
      </c>
      <c r="G178" s="2278"/>
      <c r="H178" s="2279">
        <v>138070</v>
      </c>
      <c r="I178" s="6539">
        <v>138070</v>
      </c>
      <c r="J178" s="6539"/>
      <c r="K178" s="2277"/>
      <c r="L178" s="2277"/>
      <c r="M178" s="2280"/>
      <c r="N178" s="2281"/>
      <c r="O178" s="2281"/>
      <c r="P178" s="2277"/>
      <c r="Q178" s="2277"/>
      <c r="R178" s="2279">
        <v>138070</v>
      </c>
      <c r="S178" s="2279">
        <v>138070</v>
      </c>
      <c r="T178" s="2277"/>
    </row>
    <row r="179" spans="1:20" ht="12" customHeight="1" outlineLevel="1" x14ac:dyDescent="0.2">
      <c r="A179" s="6538" t="s">
        <v>2569</v>
      </c>
      <c r="B179" s="6538"/>
      <c r="C179" s="2275">
        <v>140</v>
      </c>
      <c r="D179" s="2276" t="s">
        <v>2570</v>
      </c>
      <c r="E179" s="2277" t="s">
        <v>2571</v>
      </c>
      <c r="F179" s="2278">
        <v>84</v>
      </c>
      <c r="G179" s="2278"/>
      <c r="H179" s="2279">
        <v>4900</v>
      </c>
      <c r="I179" s="6539">
        <v>4900</v>
      </c>
      <c r="J179" s="6539"/>
      <c r="K179" s="2277"/>
      <c r="L179" s="2277"/>
      <c r="M179" s="2280"/>
      <c r="N179" s="2281"/>
      <c r="O179" s="2281"/>
      <c r="P179" s="2277"/>
      <c r="Q179" s="2277"/>
      <c r="R179" s="2279">
        <v>4900</v>
      </c>
      <c r="S179" s="2279">
        <v>4900</v>
      </c>
      <c r="T179" s="2277"/>
    </row>
    <row r="180" spans="1:20" ht="23.25" customHeight="1" outlineLevel="1" x14ac:dyDescent="0.2">
      <c r="A180" s="6538" t="s">
        <v>2572</v>
      </c>
      <c r="B180" s="6538"/>
      <c r="C180" s="2282">
        <v>1952</v>
      </c>
      <c r="D180" s="2276" t="s">
        <v>2573</v>
      </c>
      <c r="E180" s="2277" t="s">
        <v>2574</v>
      </c>
      <c r="F180" s="2278">
        <v>96</v>
      </c>
      <c r="G180" s="2278"/>
      <c r="H180" s="2279">
        <v>461440.68</v>
      </c>
      <c r="I180" s="6539">
        <v>461440.68</v>
      </c>
      <c r="J180" s="6539"/>
      <c r="K180" s="2277"/>
      <c r="L180" s="2277"/>
      <c r="M180" s="2280"/>
      <c r="N180" s="2281"/>
      <c r="O180" s="2281"/>
      <c r="P180" s="2277"/>
      <c r="Q180" s="2277"/>
      <c r="R180" s="2279">
        <v>461440.68</v>
      </c>
      <c r="S180" s="2279">
        <v>461440.68</v>
      </c>
      <c r="T180" s="2277"/>
    </row>
    <row r="181" spans="1:20" ht="23.25" customHeight="1" outlineLevel="1" x14ac:dyDescent="0.2">
      <c r="A181" s="6538" t="s">
        <v>2575</v>
      </c>
      <c r="B181" s="6538"/>
      <c r="C181" s="2282">
        <v>2325</v>
      </c>
      <c r="D181" s="2276" t="s">
        <v>2576</v>
      </c>
      <c r="E181" s="2277" t="s">
        <v>2577</v>
      </c>
      <c r="F181" s="2278">
        <v>120</v>
      </c>
      <c r="G181" s="2278"/>
      <c r="H181" s="2279">
        <v>492395</v>
      </c>
      <c r="I181" s="6539">
        <v>418535.58</v>
      </c>
      <c r="J181" s="6539"/>
      <c r="K181" s="2279">
        <v>73859.42</v>
      </c>
      <c r="L181" s="2277"/>
      <c r="M181" s="2281">
        <v>49239.48</v>
      </c>
      <c r="N181" s="2281">
        <f>M181</f>
        <v>49239.48</v>
      </c>
      <c r="O181" s="2281"/>
      <c r="P181" s="2277"/>
      <c r="Q181" s="2277"/>
      <c r="R181" s="2279">
        <v>492395</v>
      </c>
      <c r="S181" s="2279">
        <v>467775.06</v>
      </c>
      <c r="T181" s="2279">
        <v>24619.94</v>
      </c>
    </row>
    <row r="182" spans="1:20" ht="12" customHeight="1" outlineLevel="1" x14ac:dyDescent="0.2">
      <c r="A182" s="6538" t="s">
        <v>2578</v>
      </c>
      <c r="B182" s="6538"/>
      <c r="C182" s="2275">
        <v>747</v>
      </c>
      <c r="D182" s="2276" t="s">
        <v>2579</v>
      </c>
      <c r="E182" s="2277" t="s">
        <v>2580</v>
      </c>
      <c r="F182" s="2278">
        <v>240</v>
      </c>
      <c r="G182" s="2278"/>
      <c r="H182" s="2279">
        <v>91256.5</v>
      </c>
      <c r="I182" s="6539">
        <v>56275.519999999997</v>
      </c>
      <c r="J182" s="6539"/>
      <c r="K182" s="2279">
        <v>34980.980000000003</v>
      </c>
      <c r="L182" s="2277"/>
      <c r="M182" s="2281">
        <v>4562.88</v>
      </c>
      <c r="N182" s="2281">
        <f>M182</f>
        <v>4562.88</v>
      </c>
      <c r="O182" s="2281"/>
      <c r="P182" s="2277"/>
      <c r="Q182" s="2277"/>
      <c r="R182" s="2279">
        <v>91256.5</v>
      </c>
      <c r="S182" s="2279">
        <v>60838.400000000001</v>
      </c>
      <c r="T182" s="2279">
        <v>30418.1</v>
      </c>
    </row>
    <row r="183" spans="1:20" ht="23.25" customHeight="1" outlineLevel="1" x14ac:dyDescent="0.2">
      <c r="A183" s="6538" t="s">
        <v>2581</v>
      </c>
      <c r="B183" s="6538"/>
      <c r="C183" s="2282">
        <v>1740</v>
      </c>
      <c r="D183" s="2276" t="s">
        <v>2429</v>
      </c>
      <c r="E183" s="2277" t="s">
        <v>2582</v>
      </c>
      <c r="F183" s="2278">
        <v>84</v>
      </c>
      <c r="G183" s="2278"/>
      <c r="H183" s="2279">
        <v>21256.14</v>
      </c>
      <c r="I183" s="6539">
        <v>21256.14</v>
      </c>
      <c r="J183" s="6539"/>
      <c r="K183" s="2277"/>
      <c r="L183" s="2277"/>
      <c r="M183" s="2280"/>
      <c r="N183" s="2281"/>
      <c r="O183" s="2281"/>
      <c r="P183" s="2277"/>
      <c r="Q183" s="2277"/>
      <c r="R183" s="2279">
        <v>21256.14</v>
      </c>
      <c r="S183" s="2279">
        <v>21256.14</v>
      </c>
      <c r="T183" s="2277"/>
    </row>
    <row r="184" spans="1:20" ht="12" customHeight="1" outlineLevel="1" x14ac:dyDescent="0.2">
      <c r="A184" s="6538" t="s">
        <v>2583</v>
      </c>
      <c r="B184" s="6538"/>
      <c r="C184" s="2282">
        <v>1918</v>
      </c>
      <c r="D184" s="2276" t="s">
        <v>2584</v>
      </c>
      <c r="E184" s="2277" t="s">
        <v>2585</v>
      </c>
      <c r="F184" s="2278">
        <v>120</v>
      </c>
      <c r="G184" s="2278"/>
      <c r="H184" s="2279">
        <v>49970.28</v>
      </c>
      <c r="I184" s="6539">
        <v>49970.28</v>
      </c>
      <c r="J184" s="6539"/>
      <c r="K184" s="2277"/>
      <c r="L184" s="2277"/>
      <c r="M184" s="2280"/>
      <c r="N184" s="2281"/>
      <c r="O184" s="2281"/>
      <c r="P184" s="2277"/>
      <c r="Q184" s="2277"/>
      <c r="R184" s="2279">
        <v>49970.28</v>
      </c>
      <c r="S184" s="2279">
        <v>49970.28</v>
      </c>
      <c r="T184" s="2277"/>
    </row>
    <row r="185" spans="1:20" ht="23.25" customHeight="1" outlineLevel="1" x14ac:dyDescent="0.2">
      <c r="A185" s="6538" t="s">
        <v>2586</v>
      </c>
      <c r="B185" s="6538"/>
      <c r="C185" s="2275">
        <v>439</v>
      </c>
      <c r="D185" s="2276" t="s">
        <v>2246</v>
      </c>
      <c r="E185" s="2277" t="s">
        <v>2587</v>
      </c>
      <c r="F185" s="2278">
        <v>240</v>
      </c>
      <c r="G185" s="2278"/>
      <c r="H185" s="2279">
        <v>11912</v>
      </c>
      <c r="I185" s="6539">
        <v>11912</v>
      </c>
      <c r="J185" s="6539"/>
      <c r="K185" s="2277"/>
      <c r="L185" s="2277"/>
      <c r="M185" s="2280"/>
      <c r="N185" s="2281"/>
      <c r="O185" s="2281"/>
      <c r="P185" s="2277"/>
      <c r="Q185" s="2277"/>
      <c r="R185" s="2279">
        <v>11912</v>
      </c>
      <c r="S185" s="2279">
        <v>11912</v>
      </c>
      <c r="T185" s="2277"/>
    </row>
    <row r="186" spans="1:20" ht="12" customHeight="1" outlineLevel="1" x14ac:dyDescent="0.2">
      <c r="A186" s="6538" t="s">
        <v>2588</v>
      </c>
      <c r="B186" s="6538"/>
      <c r="C186" s="2275">
        <v>482</v>
      </c>
      <c r="D186" s="2276" t="s">
        <v>2589</v>
      </c>
      <c r="E186" s="2277" t="s">
        <v>2530</v>
      </c>
      <c r="F186" s="2278">
        <v>1</v>
      </c>
      <c r="G186" s="2278"/>
      <c r="H186" s="2279">
        <v>3962</v>
      </c>
      <c r="I186" s="6539">
        <v>3962</v>
      </c>
      <c r="J186" s="6539"/>
      <c r="K186" s="2277"/>
      <c r="L186" s="2277"/>
      <c r="M186" s="2280"/>
      <c r="N186" s="2281"/>
      <c r="O186" s="2281"/>
      <c r="P186" s="2277"/>
      <c r="Q186" s="2277"/>
      <c r="R186" s="2279">
        <v>3962</v>
      </c>
      <c r="S186" s="2279">
        <v>3962</v>
      </c>
      <c r="T186" s="2277"/>
    </row>
    <row r="187" spans="1:20" ht="23.25" customHeight="1" outlineLevel="1" x14ac:dyDescent="0.2">
      <c r="A187" s="6538" t="s">
        <v>2590</v>
      </c>
      <c r="B187" s="6538"/>
      <c r="C187" s="2275">
        <v>345</v>
      </c>
      <c r="D187" s="2276" t="s">
        <v>2591</v>
      </c>
      <c r="E187" s="2277" t="s">
        <v>2592</v>
      </c>
      <c r="F187" s="2278">
        <v>286</v>
      </c>
      <c r="G187" s="2278"/>
      <c r="H187" s="2279">
        <v>3836</v>
      </c>
      <c r="I187" s="6539">
        <v>3836</v>
      </c>
      <c r="J187" s="6539"/>
      <c r="K187" s="2277"/>
      <c r="L187" s="2277"/>
      <c r="M187" s="2280"/>
      <c r="N187" s="2281"/>
      <c r="O187" s="2281"/>
      <c r="P187" s="2277"/>
      <c r="Q187" s="2277"/>
      <c r="R187" s="2279">
        <v>3836</v>
      </c>
      <c r="S187" s="2279">
        <v>3836</v>
      </c>
      <c r="T187" s="2277"/>
    </row>
    <row r="188" spans="1:20" ht="12" customHeight="1" outlineLevel="1" x14ac:dyDescent="0.2">
      <c r="A188" s="6538" t="s">
        <v>2593</v>
      </c>
      <c r="B188" s="6538"/>
      <c r="C188" s="2275">
        <v>346</v>
      </c>
      <c r="D188" s="2276" t="s">
        <v>2594</v>
      </c>
      <c r="E188" s="2277" t="s">
        <v>2595</v>
      </c>
      <c r="F188" s="2278">
        <v>96</v>
      </c>
      <c r="G188" s="2278"/>
      <c r="H188" s="2279">
        <v>9357</v>
      </c>
      <c r="I188" s="6539">
        <v>9357</v>
      </c>
      <c r="J188" s="6539"/>
      <c r="K188" s="2277"/>
      <c r="L188" s="2277"/>
      <c r="M188" s="2280"/>
      <c r="N188" s="2281"/>
      <c r="O188" s="2281"/>
      <c r="P188" s="2277"/>
      <c r="Q188" s="2277"/>
      <c r="R188" s="2279">
        <v>9357</v>
      </c>
      <c r="S188" s="2279">
        <v>9357</v>
      </c>
      <c r="T188" s="2277"/>
    </row>
    <row r="189" spans="1:20" ht="12" customHeight="1" outlineLevel="1" x14ac:dyDescent="0.2">
      <c r="A189" s="6538" t="s">
        <v>2596</v>
      </c>
      <c r="B189" s="6538"/>
      <c r="C189" s="2282">
        <v>1965</v>
      </c>
      <c r="D189" s="2276" t="s">
        <v>2597</v>
      </c>
      <c r="E189" s="2277" t="s">
        <v>2598</v>
      </c>
      <c r="F189" s="2278">
        <v>84</v>
      </c>
      <c r="G189" s="2278"/>
      <c r="H189" s="2279">
        <v>163500</v>
      </c>
      <c r="I189" s="6539">
        <v>163500</v>
      </c>
      <c r="J189" s="6539"/>
      <c r="K189" s="2277"/>
      <c r="L189" s="2277"/>
      <c r="M189" s="2280"/>
      <c r="N189" s="2281"/>
      <c r="O189" s="2281"/>
      <c r="P189" s="2277"/>
      <c r="Q189" s="2277"/>
      <c r="R189" s="2279">
        <v>163500</v>
      </c>
      <c r="S189" s="2279">
        <v>163500</v>
      </c>
      <c r="T189" s="2277"/>
    </row>
    <row r="190" spans="1:20" ht="12" customHeight="1" outlineLevel="1" x14ac:dyDescent="0.2">
      <c r="A190" s="6538" t="s">
        <v>2599</v>
      </c>
      <c r="B190" s="6538"/>
      <c r="C190" s="2282">
        <v>2292</v>
      </c>
      <c r="D190" s="2276" t="s">
        <v>2600</v>
      </c>
      <c r="E190" s="2277" t="s">
        <v>2601</v>
      </c>
      <c r="F190" s="2278">
        <v>60</v>
      </c>
      <c r="G190" s="2278"/>
      <c r="H190" s="2279">
        <v>17300</v>
      </c>
      <c r="I190" s="6539">
        <v>17300</v>
      </c>
      <c r="J190" s="6539"/>
      <c r="K190" s="2277"/>
      <c r="L190" s="2277"/>
      <c r="M190" s="2280"/>
      <c r="N190" s="2281"/>
      <c r="O190" s="2281"/>
      <c r="P190" s="2277"/>
      <c r="Q190" s="2277"/>
      <c r="R190" s="2279">
        <v>17300</v>
      </c>
      <c r="S190" s="2279">
        <v>17300</v>
      </c>
      <c r="T190" s="2277"/>
    </row>
    <row r="191" spans="1:20" ht="23.25" customHeight="1" outlineLevel="1" x14ac:dyDescent="0.2">
      <c r="A191" s="6538" t="s">
        <v>2602</v>
      </c>
      <c r="B191" s="6538"/>
      <c r="C191" s="2324">
        <v>935</v>
      </c>
      <c r="D191" s="2276" t="s">
        <v>2603</v>
      </c>
      <c r="E191" s="2277" t="s">
        <v>2601</v>
      </c>
      <c r="F191" s="2278">
        <v>60</v>
      </c>
      <c r="G191" s="2278"/>
      <c r="H191" s="2279">
        <v>17300</v>
      </c>
      <c r="I191" s="6539">
        <v>17300</v>
      </c>
      <c r="J191" s="6539"/>
      <c r="K191" s="2277"/>
      <c r="L191" s="2277"/>
      <c r="M191" s="2280"/>
      <c r="N191" s="2281"/>
      <c r="O191" s="2281"/>
      <c r="P191" s="2277"/>
      <c r="Q191" s="2277"/>
      <c r="R191" s="2279">
        <v>17300</v>
      </c>
      <c r="S191" s="2279">
        <v>17300</v>
      </c>
      <c r="T191" s="2277"/>
    </row>
    <row r="192" spans="1:20" ht="12" customHeight="1" outlineLevel="1" x14ac:dyDescent="0.2">
      <c r="A192" s="6538" t="s">
        <v>2604</v>
      </c>
      <c r="B192" s="6538"/>
      <c r="C192" s="2282">
        <v>1925</v>
      </c>
      <c r="D192" s="2276" t="s">
        <v>2221</v>
      </c>
      <c r="E192" s="2277" t="s">
        <v>2605</v>
      </c>
      <c r="F192" s="2278">
        <v>120</v>
      </c>
      <c r="G192" s="2278"/>
      <c r="H192" s="2279">
        <v>86200</v>
      </c>
      <c r="I192" s="6539">
        <v>86200</v>
      </c>
      <c r="J192" s="6539"/>
      <c r="K192" s="2277"/>
      <c r="L192" s="2277"/>
      <c r="M192" s="2280"/>
      <c r="N192" s="2281"/>
      <c r="O192" s="2281"/>
      <c r="P192" s="2277"/>
      <c r="Q192" s="2277"/>
      <c r="R192" s="2279">
        <v>86200</v>
      </c>
      <c r="S192" s="2279">
        <v>86200</v>
      </c>
      <c r="T192" s="2277"/>
    </row>
    <row r="193" spans="1:20" ht="23.25" customHeight="1" outlineLevel="1" x14ac:dyDescent="0.2">
      <c r="A193" s="6538" t="s">
        <v>2606</v>
      </c>
      <c r="B193" s="6538"/>
      <c r="C193" s="2275">
        <v>726</v>
      </c>
      <c r="D193" s="2276" t="s">
        <v>2196</v>
      </c>
      <c r="E193" s="2277" t="s">
        <v>2607</v>
      </c>
      <c r="F193" s="2278">
        <v>84</v>
      </c>
      <c r="G193" s="2278"/>
      <c r="H193" s="2279">
        <v>41278.400000000001</v>
      </c>
      <c r="I193" s="6539">
        <v>41278.400000000001</v>
      </c>
      <c r="J193" s="6539"/>
      <c r="K193" s="2277"/>
      <c r="L193" s="2277"/>
      <c r="M193" s="2280"/>
      <c r="N193" s="2281"/>
      <c r="O193" s="2281"/>
      <c r="P193" s="2277"/>
      <c r="Q193" s="2277"/>
      <c r="R193" s="2279">
        <v>41278.400000000001</v>
      </c>
      <c r="S193" s="2279">
        <v>41278.400000000001</v>
      </c>
      <c r="T193" s="2277"/>
    </row>
    <row r="194" spans="1:20" ht="12" customHeight="1" outlineLevel="1" x14ac:dyDescent="0.2">
      <c r="A194" s="6538" t="s">
        <v>2608</v>
      </c>
      <c r="B194" s="6538"/>
      <c r="C194" s="2275">
        <v>722</v>
      </c>
      <c r="D194" s="2276" t="s">
        <v>2609</v>
      </c>
      <c r="E194" s="2277" t="s">
        <v>2610</v>
      </c>
      <c r="F194" s="2278">
        <v>60</v>
      </c>
      <c r="G194" s="2278"/>
      <c r="H194" s="2279">
        <v>12474</v>
      </c>
      <c r="I194" s="6539">
        <v>12474</v>
      </c>
      <c r="J194" s="6539"/>
      <c r="K194" s="2277"/>
      <c r="L194" s="2277"/>
      <c r="M194" s="2280"/>
      <c r="N194" s="2281"/>
      <c r="O194" s="2281"/>
      <c r="P194" s="2277"/>
      <c r="Q194" s="2277"/>
      <c r="R194" s="2279">
        <v>12474</v>
      </c>
      <c r="S194" s="2279">
        <v>12474</v>
      </c>
      <c r="T194" s="2277"/>
    </row>
    <row r="195" spans="1:20" s="2298" customFormat="1" ht="12" customHeight="1" outlineLevel="1" x14ac:dyDescent="0.2">
      <c r="A195" s="6547" t="s">
        <v>2611</v>
      </c>
      <c r="B195" s="6547"/>
      <c r="C195" s="2321">
        <v>2383</v>
      </c>
      <c r="D195" s="2293" t="s">
        <v>2612</v>
      </c>
      <c r="E195" s="2294" t="s">
        <v>2613</v>
      </c>
      <c r="F195" s="2295">
        <v>84</v>
      </c>
      <c r="G195" s="2295"/>
      <c r="H195" s="2296">
        <v>19350</v>
      </c>
      <c r="I195" s="6548">
        <v>17507.36</v>
      </c>
      <c r="J195" s="6548"/>
      <c r="K195" s="2296">
        <v>1842.64</v>
      </c>
      <c r="L195" s="2294"/>
      <c r="M195" s="2296">
        <v>1842.64</v>
      </c>
      <c r="N195" s="2296">
        <f>M195</f>
        <v>1842.64</v>
      </c>
      <c r="O195" s="2296"/>
      <c r="P195" s="2294"/>
      <c r="Q195" s="2294"/>
      <c r="R195" s="2296">
        <v>19350</v>
      </c>
      <c r="S195" s="2296">
        <v>19350</v>
      </c>
      <c r="T195" s="2294"/>
    </row>
    <row r="196" spans="1:20" ht="12" customHeight="1" outlineLevel="1" x14ac:dyDescent="0.2">
      <c r="A196" s="6538" t="s">
        <v>2614</v>
      </c>
      <c r="B196" s="6538"/>
      <c r="C196" s="2275">
        <v>302</v>
      </c>
      <c r="D196" s="2276" t="s">
        <v>2570</v>
      </c>
      <c r="E196" s="2277" t="s">
        <v>2615</v>
      </c>
      <c r="F196" s="2278">
        <v>145</v>
      </c>
      <c r="G196" s="2278"/>
      <c r="H196" s="2279">
        <v>1200.06</v>
      </c>
      <c r="I196" s="6539">
        <v>1200.06</v>
      </c>
      <c r="J196" s="6539"/>
      <c r="K196" s="2277"/>
      <c r="L196" s="2277"/>
      <c r="M196" s="2280"/>
      <c r="N196" s="2281"/>
      <c r="O196" s="2281"/>
      <c r="P196" s="2277"/>
      <c r="Q196" s="2277"/>
      <c r="R196" s="2279">
        <v>1200.06</v>
      </c>
      <c r="S196" s="2279">
        <v>1200.06</v>
      </c>
      <c r="T196" s="2277"/>
    </row>
    <row r="197" spans="1:20" ht="12" customHeight="1" outlineLevel="1" x14ac:dyDescent="0.2">
      <c r="A197" s="6538" t="s">
        <v>2616</v>
      </c>
      <c r="B197" s="6538"/>
      <c r="C197" s="2275">
        <v>151</v>
      </c>
      <c r="D197" s="2276" t="s">
        <v>2617</v>
      </c>
      <c r="E197" s="2277" t="s">
        <v>2618</v>
      </c>
      <c r="F197" s="2278">
        <v>109</v>
      </c>
      <c r="G197" s="2278"/>
      <c r="H197" s="2279">
        <v>120983</v>
      </c>
      <c r="I197" s="6539">
        <v>120983</v>
      </c>
      <c r="J197" s="6539"/>
      <c r="K197" s="2277"/>
      <c r="L197" s="2277"/>
      <c r="M197" s="2280"/>
      <c r="N197" s="2281"/>
      <c r="O197" s="2281"/>
      <c r="P197" s="2277"/>
      <c r="Q197" s="2277"/>
      <c r="R197" s="2279">
        <v>120983</v>
      </c>
      <c r="S197" s="2279">
        <v>120983</v>
      </c>
      <c r="T197" s="2277"/>
    </row>
    <row r="198" spans="1:20" ht="12" customHeight="1" outlineLevel="1" x14ac:dyDescent="0.2">
      <c r="A198" s="6538" t="s">
        <v>2619</v>
      </c>
      <c r="B198" s="6538"/>
      <c r="C198" s="2275">
        <v>187</v>
      </c>
      <c r="D198" s="2276" t="s">
        <v>2570</v>
      </c>
      <c r="E198" s="2277" t="s">
        <v>2620</v>
      </c>
      <c r="F198" s="2278">
        <v>144</v>
      </c>
      <c r="G198" s="2278"/>
      <c r="H198" s="2279">
        <v>2500</v>
      </c>
      <c r="I198" s="6539">
        <v>2500</v>
      </c>
      <c r="J198" s="6539"/>
      <c r="K198" s="2277"/>
      <c r="L198" s="2277"/>
      <c r="M198" s="2280"/>
      <c r="N198" s="2281"/>
      <c r="O198" s="2281"/>
      <c r="P198" s="2277"/>
      <c r="Q198" s="2277"/>
      <c r="R198" s="2279">
        <v>2500</v>
      </c>
      <c r="S198" s="2279">
        <v>2500</v>
      </c>
      <c r="T198" s="2277"/>
    </row>
    <row r="199" spans="1:20" ht="12" customHeight="1" outlineLevel="1" x14ac:dyDescent="0.2">
      <c r="A199" s="6538" t="s">
        <v>2621</v>
      </c>
      <c r="B199" s="6538"/>
      <c r="C199" s="2275">
        <v>152</v>
      </c>
      <c r="D199" s="2276" t="s">
        <v>2622</v>
      </c>
      <c r="E199" s="2277" t="s">
        <v>2623</v>
      </c>
      <c r="F199" s="2278">
        <v>67</v>
      </c>
      <c r="G199" s="2278"/>
      <c r="H199" s="2279">
        <v>28767</v>
      </c>
      <c r="I199" s="6539">
        <v>28767</v>
      </c>
      <c r="J199" s="6539"/>
      <c r="K199" s="2277"/>
      <c r="L199" s="2277"/>
      <c r="M199" s="2280"/>
      <c r="N199" s="2281"/>
      <c r="O199" s="2281"/>
      <c r="P199" s="2277"/>
      <c r="Q199" s="2277"/>
      <c r="R199" s="2279">
        <v>28767</v>
      </c>
      <c r="S199" s="2279">
        <v>28767</v>
      </c>
      <c r="T199" s="2277"/>
    </row>
    <row r="200" spans="1:20" ht="12" customHeight="1" outlineLevel="1" x14ac:dyDescent="0.2">
      <c r="A200" s="6538" t="s">
        <v>2624</v>
      </c>
      <c r="B200" s="6538"/>
      <c r="C200" s="2275">
        <v>347</v>
      </c>
      <c r="D200" s="2276" t="s">
        <v>2594</v>
      </c>
      <c r="E200" s="2277" t="s">
        <v>2625</v>
      </c>
      <c r="F200" s="2278">
        <v>48</v>
      </c>
      <c r="G200" s="2278"/>
      <c r="H200" s="2279">
        <v>18155</v>
      </c>
      <c r="I200" s="6539">
        <v>18155</v>
      </c>
      <c r="J200" s="6539"/>
      <c r="K200" s="2277"/>
      <c r="L200" s="2277"/>
      <c r="M200" s="2280"/>
      <c r="N200" s="2281"/>
      <c r="O200" s="2281"/>
      <c r="P200" s="2277"/>
      <c r="Q200" s="2277"/>
      <c r="R200" s="2279">
        <v>18155</v>
      </c>
      <c r="S200" s="2279">
        <v>18155</v>
      </c>
      <c r="T200" s="2277"/>
    </row>
    <row r="201" spans="1:20" ht="12" customHeight="1" outlineLevel="1" x14ac:dyDescent="0.2">
      <c r="A201" s="6538" t="s">
        <v>2626</v>
      </c>
      <c r="B201" s="6538"/>
      <c r="C201" s="2275">
        <v>451</v>
      </c>
      <c r="D201" s="2276" t="s">
        <v>2627</v>
      </c>
      <c r="E201" s="2277" t="s">
        <v>2628</v>
      </c>
      <c r="F201" s="2278">
        <v>273</v>
      </c>
      <c r="G201" s="2278"/>
      <c r="H201" s="2279">
        <v>26908</v>
      </c>
      <c r="I201" s="6539">
        <v>26908</v>
      </c>
      <c r="J201" s="6539"/>
      <c r="K201" s="2277"/>
      <c r="L201" s="2277"/>
      <c r="M201" s="2280"/>
      <c r="N201" s="2281"/>
      <c r="O201" s="2281"/>
      <c r="P201" s="2277"/>
      <c r="Q201" s="2277"/>
      <c r="R201" s="2279">
        <v>26908</v>
      </c>
      <c r="S201" s="2279">
        <v>26908</v>
      </c>
      <c r="T201" s="2277"/>
    </row>
    <row r="202" spans="1:20" ht="23.25" customHeight="1" outlineLevel="1" x14ac:dyDescent="0.2">
      <c r="A202" s="6538" t="s">
        <v>2629</v>
      </c>
      <c r="B202" s="6538"/>
      <c r="C202" s="2275">
        <v>131</v>
      </c>
      <c r="D202" s="2276" t="s">
        <v>2627</v>
      </c>
      <c r="E202" s="2277" t="s">
        <v>2630</v>
      </c>
      <c r="F202" s="2278">
        <v>72</v>
      </c>
      <c r="G202" s="2278"/>
      <c r="H202" s="2279">
        <v>3630</v>
      </c>
      <c r="I202" s="6539">
        <v>3630</v>
      </c>
      <c r="J202" s="6539"/>
      <c r="K202" s="2277"/>
      <c r="L202" s="2277"/>
      <c r="M202" s="2280"/>
      <c r="N202" s="2281"/>
      <c r="O202" s="2281"/>
      <c r="P202" s="2277"/>
      <c r="Q202" s="2277"/>
      <c r="R202" s="2279">
        <v>3630</v>
      </c>
      <c r="S202" s="2279">
        <v>3630</v>
      </c>
      <c r="T202" s="2277"/>
    </row>
    <row r="203" spans="1:20" ht="12" customHeight="1" outlineLevel="1" x14ac:dyDescent="0.2">
      <c r="A203" s="6538" t="s">
        <v>2631</v>
      </c>
      <c r="B203" s="6538"/>
      <c r="C203" s="2275">
        <v>348</v>
      </c>
      <c r="D203" s="2276" t="s">
        <v>2591</v>
      </c>
      <c r="E203" s="2277" t="s">
        <v>2632</v>
      </c>
      <c r="F203" s="2278">
        <v>84</v>
      </c>
      <c r="G203" s="2278"/>
      <c r="H203" s="2279">
        <v>14709</v>
      </c>
      <c r="I203" s="6539">
        <v>14709</v>
      </c>
      <c r="J203" s="6539"/>
      <c r="K203" s="2277"/>
      <c r="L203" s="2277"/>
      <c r="M203" s="2280"/>
      <c r="N203" s="2281"/>
      <c r="O203" s="2281"/>
      <c r="P203" s="2277"/>
      <c r="Q203" s="2277"/>
      <c r="R203" s="2279">
        <v>14709</v>
      </c>
      <c r="S203" s="2279">
        <v>14709</v>
      </c>
      <c r="T203" s="2277"/>
    </row>
    <row r="204" spans="1:20" ht="23.25" customHeight="1" outlineLevel="1" x14ac:dyDescent="0.2">
      <c r="A204" s="6538" t="s">
        <v>2633</v>
      </c>
      <c r="B204" s="6538"/>
      <c r="C204" s="2275">
        <v>97</v>
      </c>
      <c r="D204" s="2276" t="s">
        <v>2192</v>
      </c>
      <c r="E204" s="2277" t="s">
        <v>2634</v>
      </c>
      <c r="F204" s="2278">
        <v>324</v>
      </c>
      <c r="G204" s="2278"/>
      <c r="H204" s="2279">
        <v>6557</v>
      </c>
      <c r="I204" s="6539">
        <v>6557</v>
      </c>
      <c r="J204" s="6539"/>
      <c r="K204" s="2277"/>
      <c r="L204" s="2277"/>
      <c r="M204" s="2280"/>
      <c r="N204" s="2281"/>
      <c r="O204" s="2281"/>
      <c r="P204" s="2277"/>
      <c r="Q204" s="2277"/>
      <c r="R204" s="2279">
        <v>6557</v>
      </c>
      <c r="S204" s="2279">
        <v>6557</v>
      </c>
      <c r="T204" s="2277"/>
    </row>
    <row r="205" spans="1:20" ht="12" customHeight="1" outlineLevel="1" x14ac:dyDescent="0.2">
      <c r="A205" s="6538" t="s">
        <v>2635</v>
      </c>
      <c r="B205" s="6538"/>
      <c r="C205" s="2275">
        <v>711</v>
      </c>
      <c r="D205" s="2276" t="s">
        <v>2636</v>
      </c>
      <c r="E205" s="2277" t="s">
        <v>2637</v>
      </c>
      <c r="F205" s="2278">
        <v>60</v>
      </c>
      <c r="G205" s="2278"/>
      <c r="H205" s="2279">
        <v>11666.67</v>
      </c>
      <c r="I205" s="6539">
        <v>11666.67</v>
      </c>
      <c r="J205" s="6539"/>
      <c r="K205" s="2277"/>
      <c r="L205" s="2277"/>
      <c r="M205" s="2280"/>
      <c r="N205" s="2281"/>
      <c r="O205" s="2281"/>
      <c r="P205" s="2277"/>
      <c r="Q205" s="2277"/>
      <c r="R205" s="2279">
        <v>11666.67</v>
      </c>
      <c r="S205" s="2279">
        <v>11666.67</v>
      </c>
      <c r="T205" s="2277"/>
    </row>
    <row r="206" spans="1:20" ht="23.25" customHeight="1" outlineLevel="1" x14ac:dyDescent="0.2">
      <c r="A206" s="6538" t="s">
        <v>2638</v>
      </c>
      <c r="B206" s="6538"/>
      <c r="C206" s="2275">
        <v>96</v>
      </c>
      <c r="D206" s="2276" t="s">
        <v>2192</v>
      </c>
      <c r="E206" s="2277" t="s">
        <v>2639</v>
      </c>
      <c r="F206" s="2278">
        <v>324</v>
      </c>
      <c r="G206" s="2278"/>
      <c r="H206" s="2279">
        <v>6551</v>
      </c>
      <c r="I206" s="6539">
        <v>6551</v>
      </c>
      <c r="J206" s="6539"/>
      <c r="K206" s="2277"/>
      <c r="L206" s="2277"/>
      <c r="M206" s="2280"/>
      <c r="N206" s="2281"/>
      <c r="O206" s="2281"/>
      <c r="P206" s="2277"/>
      <c r="Q206" s="2277"/>
      <c r="R206" s="2279">
        <v>6551</v>
      </c>
      <c r="S206" s="2279">
        <v>6551</v>
      </c>
      <c r="T206" s="2277"/>
    </row>
    <row r="207" spans="1:20" ht="12" customHeight="1" outlineLevel="1" x14ac:dyDescent="0.2">
      <c r="A207" s="6538" t="s">
        <v>2640</v>
      </c>
      <c r="B207" s="6538"/>
      <c r="C207" s="2275">
        <v>110</v>
      </c>
      <c r="D207" s="2276" t="s">
        <v>2192</v>
      </c>
      <c r="E207" s="2277" t="s">
        <v>2641</v>
      </c>
      <c r="F207" s="2278">
        <v>84</v>
      </c>
      <c r="G207" s="2278"/>
      <c r="H207" s="2279">
        <v>20255</v>
      </c>
      <c r="I207" s="6539">
        <v>20255</v>
      </c>
      <c r="J207" s="6539"/>
      <c r="K207" s="2277"/>
      <c r="L207" s="2277"/>
      <c r="M207" s="2280"/>
      <c r="N207" s="2281"/>
      <c r="O207" s="2281"/>
      <c r="P207" s="2277"/>
      <c r="Q207" s="2277"/>
      <c r="R207" s="2279">
        <v>20255</v>
      </c>
      <c r="S207" s="2279">
        <v>20255</v>
      </c>
      <c r="T207" s="2277"/>
    </row>
    <row r="208" spans="1:20" ht="12" customHeight="1" outlineLevel="1" x14ac:dyDescent="0.2">
      <c r="A208" s="6538" t="s">
        <v>2642</v>
      </c>
      <c r="B208" s="6538"/>
      <c r="C208" s="2275">
        <v>2017</v>
      </c>
      <c r="D208" s="2276" t="s">
        <v>2643</v>
      </c>
      <c r="E208" s="2277" t="s">
        <v>2644</v>
      </c>
      <c r="F208" s="2278">
        <v>60</v>
      </c>
      <c r="G208" s="2278"/>
      <c r="H208" s="2279">
        <v>18018</v>
      </c>
      <c r="I208" s="6539">
        <v>18018</v>
      </c>
      <c r="J208" s="6539"/>
      <c r="K208" s="2277"/>
      <c r="L208" s="2277"/>
      <c r="M208" s="2280"/>
      <c r="N208" s="2281"/>
      <c r="O208" s="2281"/>
      <c r="P208" s="2277"/>
      <c r="Q208" s="2277"/>
      <c r="R208" s="2279">
        <v>18018</v>
      </c>
      <c r="S208" s="2279">
        <v>18018</v>
      </c>
      <c r="T208" s="2277"/>
    </row>
    <row r="209" spans="1:20" ht="12" customHeight="1" outlineLevel="1" x14ac:dyDescent="0.2">
      <c r="A209" s="6538" t="s">
        <v>2642</v>
      </c>
      <c r="B209" s="6538"/>
      <c r="C209" s="2275">
        <v>2018</v>
      </c>
      <c r="D209" s="2276" t="s">
        <v>2643</v>
      </c>
      <c r="E209" s="2277" t="s">
        <v>2644</v>
      </c>
      <c r="F209" s="2278">
        <v>60</v>
      </c>
      <c r="G209" s="2278"/>
      <c r="H209" s="2279">
        <v>18018</v>
      </c>
      <c r="I209" s="6539">
        <v>18018</v>
      </c>
      <c r="J209" s="6539"/>
      <c r="K209" s="2277"/>
      <c r="L209" s="2277"/>
      <c r="M209" s="2280"/>
      <c r="N209" s="2281"/>
      <c r="O209" s="2281"/>
      <c r="P209" s="2277"/>
      <c r="Q209" s="2277"/>
      <c r="R209" s="2279">
        <v>18018</v>
      </c>
      <c r="S209" s="2279">
        <v>18018</v>
      </c>
      <c r="T209" s="2277"/>
    </row>
    <row r="210" spans="1:20" ht="12" customHeight="1" outlineLevel="1" x14ac:dyDescent="0.2">
      <c r="A210" s="6538" t="s">
        <v>2645</v>
      </c>
      <c r="B210" s="6538"/>
      <c r="C210" s="2282">
        <v>1966</v>
      </c>
      <c r="D210" s="2276" t="s">
        <v>2597</v>
      </c>
      <c r="E210" s="2277" t="s">
        <v>2646</v>
      </c>
      <c r="F210" s="2278">
        <v>84</v>
      </c>
      <c r="G210" s="2278"/>
      <c r="H210" s="2279">
        <v>50600</v>
      </c>
      <c r="I210" s="6539">
        <v>50600</v>
      </c>
      <c r="J210" s="6539"/>
      <c r="K210" s="2277"/>
      <c r="L210" s="2277"/>
      <c r="M210" s="2280"/>
      <c r="N210" s="2281"/>
      <c r="O210" s="2281"/>
      <c r="P210" s="2277"/>
      <c r="Q210" s="2277"/>
      <c r="R210" s="2279">
        <v>50600</v>
      </c>
      <c r="S210" s="2279">
        <v>50600</v>
      </c>
      <c r="T210" s="2277"/>
    </row>
    <row r="211" spans="1:20" ht="12" customHeight="1" outlineLevel="1" x14ac:dyDescent="0.2">
      <c r="A211" s="6538" t="s">
        <v>2647</v>
      </c>
      <c r="B211" s="6538"/>
      <c r="C211" s="2282">
        <v>1739</v>
      </c>
      <c r="D211" s="2276" t="s">
        <v>2648</v>
      </c>
      <c r="E211" s="2277" t="s">
        <v>2649</v>
      </c>
      <c r="F211" s="2278">
        <v>60</v>
      </c>
      <c r="G211" s="2278"/>
      <c r="H211" s="2279">
        <v>11020</v>
      </c>
      <c r="I211" s="6539">
        <v>11020</v>
      </c>
      <c r="J211" s="6539"/>
      <c r="K211" s="2277"/>
      <c r="L211" s="2277"/>
      <c r="M211" s="2280"/>
      <c r="N211" s="2281"/>
      <c r="O211" s="2281"/>
      <c r="P211" s="2277"/>
      <c r="Q211" s="2277"/>
      <c r="R211" s="2279">
        <v>11020</v>
      </c>
      <c r="S211" s="2279">
        <v>11020</v>
      </c>
      <c r="T211" s="2277"/>
    </row>
    <row r="212" spans="1:20" s="2298" customFormat="1" ht="23.25" customHeight="1" outlineLevel="1" x14ac:dyDescent="0.2">
      <c r="A212" s="6547" t="s">
        <v>2650</v>
      </c>
      <c r="B212" s="6547"/>
      <c r="C212" s="2321">
        <v>2385</v>
      </c>
      <c r="D212" s="2293" t="s">
        <v>2651</v>
      </c>
      <c r="E212" s="2294" t="s">
        <v>2652</v>
      </c>
      <c r="F212" s="2295">
        <v>84</v>
      </c>
      <c r="G212" s="2295"/>
      <c r="H212" s="2296">
        <v>341757.25</v>
      </c>
      <c r="I212" s="6548">
        <v>309209.03999999998</v>
      </c>
      <c r="J212" s="6548"/>
      <c r="K212" s="2296">
        <v>32548.21</v>
      </c>
      <c r="L212" s="2294"/>
      <c r="M212" s="2296">
        <v>32548.21</v>
      </c>
      <c r="N212" s="2296">
        <f>M212</f>
        <v>32548.21</v>
      </c>
      <c r="O212" s="2296"/>
      <c r="P212" s="2294"/>
      <c r="Q212" s="2294"/>
      <c r="R212" s="2296">
        <v>341757.25</v>
      </c>
      <c r="S212" s="2296">
        <v>341757.25</v>
      </c>
      <c r="T212" s="2294"/>
    </row>
    <row r="213" spans="1:20" ht="12" customHeight="1" outlineLevel="1" x14ac:dyDescent="0.2">
      <c r="A213" s="6538" t="s">
        <v>2653</v>
      </c>
      <c r="B213" s="6538"/>
      <c r="C213" s="2275">
        <v>269</v>
      </c>
      <c r="D213" s="2276" t="s">
        <v>2570</v>
      </c>
      <c r="E213" s="2277" t="s">
        <v>2654</v>
      </c>
      <c r="F213" s="2278">
        <v>96</v>
      </c>
      <c r="G213" s="2278"/>
      <c r="H213" s="2279">
        <v>22080</v>
      </c>
      <c r="I213" s="6539">
        <v>22080</v>
      </c>
      <c r="J213" s="6539"/>
      <c r="K213" s="2277"/>
      <c r="L213" s="2277"/>
      <c r="M213" s="2280"/>
      <c r="N213" s="2281"/>
      <c r="O213" s="2281"/>
      <c r="P213" s="2277"/>
      <c r="Q213" s="2277"/>
      <c r="R213" s="2279">
        <v>22080</v>
      </c>
      <c r="S213" s="2279">
        <v>22080</v>
      </c>
      <c r="T213" s="2277"/>
    </row>
    <row r="214" spans="1:20" ht="12" customHeight="1" outlineLevel="1" x14ac:dyDescent="0.2">
      <c r="A214" s="6538" t="s">
        <v>2655</v>
      </c>
      <c r="B214" s="6538"/>
      <c r="C214" s="2282">
        <v>1904</v>
      </c>
      <c r="D214" s="2276" t="s">
        <v>2656</v>
      </c>
      <c r="E214" s="2277" t="s">
        <v>2657</v>
      </c>
      <c r="F214" s="2278">
        <v>84</v>
      </c>
      <c r="G214" s="2278"/>
      <c r="H214" s="2279">
        <v>10681</v>
      </c>
      <c r="I214" s="6539">
        <v>10681</v>
      </c>
      <c r="J214" s="6539"/>
      <c r="K214" s="2277"/>
      <c r="L214" s="2277"/>
      <c r="M214" s="2280"/>
      <c r="N214" s="2281"/>
      <c r="O214" s="2281"/>
      <c r="P214" s="2277"/>
      <c r="Q214" s="2277"/>
      <c r="R214" s="2279">
        <v>10681</v>
      </c>
      <c r="S214" s="2279">
        <v>10681</v>
      </c>
      <c r="T214" s="2277"/>
    </row>
    <row r="215" spans="1:20" ht="12" customHeight="1" outlineLevel="1" x14ac:dyDescent="0.2">
      <c r="A215" s="6538" t="s">
        <v>2658</v>
      </c>
      <c r="B215" s="6538"/>
      <c r="C215" s="2282">
        <v>2362</v>
      </c>
      <c r="D215" s="2276" t="s">
        <v>2659</v>
      </c>
      <c r="E215" s="2277" t="s">
        <v>2660</v>
      </c>
      <c r="F215" s="2278">
        <v>84</v>
      </c>
      <c r="G215" s="2278"/>
      <c r="H215" s="2279">
        <v>15000</v>
      </c>
      <c r="I215" s="6539">
        <v>15000</v>
      </c>
      <c r="J215" s="6539"/>
      <c r="K215" s="2277"/>
      <c r="L215" s="2277"/>
      <c r="M215" s="2280"/>
      <c r="N215" s="2281"/>
      <c r="O215" s="2281"/>
      <c r="P215" s="2277"/>
      <c r="Q215" s="2277"/>
      <c r="R215" s="2279">
        <v>15000</v>
      </c>
      <c r="S215" s="2279">
        <v>15000</v>
      </c>
      <c r="T215" s="2277"/>
    </row>
    <row r="216" spans="1:20" ht="12" customHeight="1" outlineLevel="1" x14ac:dyDescent="0.2">
      <c r="A216" s="6538" t="s">
        <v>2655</v>
      </c>
      <c r="B216" s="6538"/>
      <c r="C216" s="2282">
        <v>1913</v>
      </c>
      <c r="D216" s="2276" t="s">
        <v>2584</v>
      </c>
      <c r="E216" s="2277" t="s">
        <v>2661</v>
      </c>
      <c r="F216" s="2278">
        <v>84</v>
      </c>
      <c r="G216" s="2278"/>
      <c r="H216" s="2279">
        <v>10681.2</v>
      </c>
      <c r="I216" s="6539">
        <v>10681.2</v>
      </c>
      <c r="J216" s="6539"/>
      <c r="K216" s="2277"/>
      <c r="L216" s="2277"/>
      <c r="M216" s="2280"/>
      <c r="N216" s="2281"/>
      <c r="O216" s="2281"/>
      <c r="P216" s="2277"/>
      <c r="Q216" s="2277"/>
      <c r="R216" s="2279">
        <v>10681.2</v>
      </c>
      <c r="S216" s="2279">
        <v>10681.2</v>
      </c>
      <c r="T216" s="2277"/>
    </row>
    <row r="217" spans="1:20" ht="12" customHeight="1" outlineLevel="1" x14ac:dyDescent="0.2">
      <c r="A217" s="6538" t="s">
        <v>2662</v>
      </c>
      <c r="B217" s="6538"/>
      <c r="C217" s="2282">
        <v>1920</v>
      </c>
      <c r="D217" s="2276" t="s">
        <v>2584</v>
      </c>
      <c r="E217" s="2277" t="s">
        <v>2663</v>
      </c>
      <c r="F217" s="2278">
        <v>84</v>
      </c>
      <c r="G217" s="2278"/>
      <c r="H217" s="2279">
        <v>11062.6</v>
      </c>
      <c r="I217" s="6539">
        <v>11062.6</v>
      </c>
      <c r="J217" s="6539"/>
      <c r="K217" s="2277"/>
      <c r="L217" s="2277"/>
      <c r="M217" s="2280"/>
      <c r="N217" s="2281"/>
      <c r="O217" s="2281"/>
      <c r="P217" s="2277"/>
      <c r="Q217" s="2277"/>
      <c r="R217" s="2279">
        <v>11062.6</v>
      </c>
      <c r="S217" s="2279">
        <v>11062.6</v>
      </c>
      <c r="T217" s="2277"/>
    </row>
    <row r="218" spans="1:20" ht="23.25" customHeight="1" outlineLevel="1" x14ac:dyDescent="0.2">
      <c r="A218" s="6538" t="s">
        <v>2664</v>
      </c>
      <c r="B218" s="6538"/>
      <c r="C218" s="2282">
        <v>1975</v>
      </c>
      <c r="D218" s="2276" t="s">
        <v>2665</v>
      </c>
      <c r="E218" s="2277" t="s">
        <v>2666</v>
      </c>
      <c r="F218" s="2278">
        <v>1</v>
      </c>
      <c r="G218" s="2278"/>
      <c r="H218" s="2277"/>
      <c r="I218" s="2317"/>
      <c r="J218" s="2318"/>
      <c r="K218" s="2277"/>
      <c r="L218" s="2277"/>
      <c r="M218" s="2280"/>
      <c r="N218" s="2281"/>
      <c r="O218" s="2281"/>
      <c r="P218" s="2277"/>
      <c r="Q218" s="2277"/>
      <c r="R218" s="2277"/>
      <c r="S218" s="2277"/>
      <c r="T218" s="2277"/>
    </row>
    <row r="219" spans="1:20" ht="12" customHeight="1" outlineLevel="1" x14ac:dyDescent="0.2">
      <c r="A219" s="6538" t="s">
        <v>2667</v>
      </c>
      <c r="B219" s="6538"/>
      <c r="C219" s="2275">
        <v>508</v>
      </c>
      <c r="D219" s="2276" t="s">
        <v>2668</v>
      </c>
      <c r="E219" s="2277" t="s">
        <v>2669</v>
      </c>
      <c r="F219" s="2278">
        <v>108</v>
      </c>
      <c r="G219" s="2278"/>
      <c r="H219" s="2279">
        <v>32400</v>
      </c>
      <c r="I219" s="6539">
        <v>32400</v>
      </c>
      <c r="J219" s="6539"/>
      <c r="K219" s="2277"/>
      <c r="L219" s="2277"/>
      <c r="M219" s="2280"/>
      <c r="N219" s="2281"/>
      <c r="O219" s="2281"/>
      <c r="P219" s="2277"/>
      <c r="Q219" s="2277"/>
      <c r="R219" s="2279">
        <v>32400</v>
      </c>
      <c r="S219" s="2279">
        <v>32400</v>
      </c>
      <c r="T219" s="2277"/>
    </row>
    <row r="220" spans="1:20" ht="12" customHeight="1" outlineLevel="1" x14ac:dyDescent="0.2">
      <c r="A220" s="6538" t="s">
        <v>2670</v>
      </c>
      <c r="B220" s="6538"/>
      <c r="C220" s="2282">
        <v>1786</v>
      </c>
      <c r="D220" s="2276" t="s">
        <v>2671</v>
      </c>
      <c r="E220" s="2277" t="s">
        <v>2672</v>
      </c>
      <c r="F220" s="2278">
        <v>36</v>
      </c>
      <c r="G220" s="2278"/>
      <c r="H220" s="2279">
        <v>11970</v>
      </c>
      <c r="I220" s="6539">
        <v>11970</v>
      </c>
      <c r="J220" s="6539"/>
      <c r="K220" s="2277"/>
      <c r="L220" s="2277"/>
      <c r="M220" s="2280"/>
      <c r="N220" s="2281"/>
      <c r="O220" s="2281"/>
      <c r="P220" s="2277"/>
      <c r="Q220" s="2277"/>
      <c r="R220" s="2279">
        <v>11970</v>
      </c>
      <c r="S220" s="2279">
        <v>11970</v>
      </c>
      <c r="T220" s="2277"/>
    </row>
    <row r="221" spans="1:20" ht="12" customHeight="1" outlineLevel="1" x14ac:dyDescent="0.2">
      <c r="A221" s="6538" t="s">
        <v>2673</v>
      </c>
      <c r="B221" s="6538"/>
      <c r="C221" s="2282">
        <v>2018</v>
      </c>
      <c r="D221" s="2276" t="s">
        <v>2674</v>
      </c>
      <c r="E221" s="2277" t="s">
        <v>2675</v>
      </c>
      <c r="F221" s="2278">
        <v>60</v>
      </c>
      <c r="G221" s="2278"/>
      <c r="H221" s="2279">
        <v>54500</v>
      </c>
      <c r="I221" s="6539">
        <v>54500</v>
      </c>
      <c r="J221" s="6539"/>
      <c r="K221" s="2277"/>
      <c r="L221" s="2277"/>
      <c r="M221" s="2280"/>
      <c r="N221" s="2281"/>
      <c r="O221" s="2281"/>
      <c r="P221" s="2277"/>
      <c r="Q221" s="2277"/>
      <c r="R221" s="2279">
        <v>54500</v>
      </c>
      <c r="S221" s="2279">
        <v>54500</v>
      </c>
      <c r="T221" s="2277"/>
    </row>
    <row r="222" spans="1:20" ht="12" customHeight="1" outlineLevel="1" x14ac:dyDescent="0.2">
      <c r="A222" s="6538" t="s">
        <v>2676</v>
      </c>
      <c r="B222" s="6538"/>
      <c r="C222" s="2282">
        <v>1972</v>
      </c>
      <c r="D222" s="2276" t="s">
        <v>2677</v>
      </c>
      <c r="E222" s="2277" t="s">
        <v>2678</v>
      </c>
      <c r="F222" s="2278">
        <v>60</v>
      </c>
      <c r="G222" s="2278"/>
      <c r="H222" s="2279">
        <v>12074.58</v>
      </c>
      <c r="I222" s="6539">
        <v>12074.58</v>
      </c>
      <c r="J222" s="6539"/>
      <c r="K222" s="2277"/>
      <c r="L222" s="2277"/>
      <c r="M222" s="2280"/>
      <c r="N222" s="2281"/>
      <c r="O222" s="2281"/>
      <c r="P222" s="2277"/>
      <c r="Q222" s="2277"/>
      <c r="R222" s="2279">
        <v>12074.58</v>
      </c>
      <c r="S222" s="2279">
        <v>12074.58</v>
      </c>
      <c r="T222" s="2277"/>
    </row>
    <row r="223" spans="1:20" ht="12" customHeight="1" outlineLevel="1" x14ac:dyDescent="0.2">
      <c r="A223" s="6538" t="s">
        <v>2679</v>
      </c>
      <c r="B223" s="6538"/>
      <c r="C223" s="2275">
        <v>739</v>
      </c>
      <c r="D223" s="2276" t="s">
        <v>2680</v>
      </c>
      <c r="E223" s="2277" t="s">
        <v>2681</v>
      </c>
      <c r="F223" s="2278">
        <v>60</v>
      </c>
      <c r="G223" s="2278"/>
      <c r="H223" s="2279">
        <v>10986.13</v>
      </c>
      <c r="I223" s="6539">
        <v>10986.13</v>
      </c>
      <c r="J223" s="6539"/>
      <c r="K223" s="2277"/>
      <c r="L223" s="2277"/>
      <c r="M223" s="2280"/>
      <c r="N223" s="2281"/>
      <c r="O223" s="2281"/>
      <c r="P223" s="2277"/>
      <c r="Q223" s="2277"/>
      <c r="R223" s="2279">
        <v>10986.13</v>
      </c>
      <c r="S223" s="2279">
        <v>10986.13</v>
      </c>
      <c r="T223" s="2277"/>
    </row>
    <row r="224" spans="1:20" ht="12" customHeight="1" outlineLevel="1" x14ac:dyDescent="0.2">
      <c r="A224" s="6538" t="s">
        <v>2682</v>
      </c>
      <c r="B224" s="6538"/>
      <c r="C224" s="2275">
        <v>108</v>
      </c>
      <c r="D224" s="2276" t="s">
        <v>2192</v>
      </c>
      <c r="E224" s="2277" t="s">
        <v>2683</v>
      </c>
      <c r="F224" s="2278">
        <v>273</v>
      </c>
      <c r="G224" s="2278"/>
      <c r="H224" s="2279">
        <v>22730</v>
      </c>
      <c r="I224" s="6539">
        <v>22730</v>
      </c>
      <c r="J224" s="6539"/>
      <c r="K224" s="2277"/>
      <c r="L224" s="2277"/>
      <c r="M224" s="2280"/>
      <c r="N224" s="2281"/>
      <c r="O224" s="2281"/>
      <c r="P224" s="2277"/>
      <c r="Q224" s="2277"/>
      <c r="R224" s="2279">
        <v>22730</v>
      </c>
      <c r="S224" s="2279">
        <v>22730</v>
      </c>
      <c r="T224" s="2277"/>
    </row>
    <row r="225" spans="1:20" ht="23.25" customHeight="1" outlineLevel="1" x14ac:dyDescent="0.2">
      <c r="A225" s="6538" t="s">
        <v>2684</v>
      </c>
      <c r="B225" s="6538"/>
      <c r="C225" s="2282">
        <v>2296</v>
      </c>
      <c r="D225" s="2276" t="s">
        <v>2685</v>
      </c>
      <c r="E225" s="2277" t="s">
        <v>2686</v>
      </c>
      <c r="F225" s="2278">
        <v>120</v>
      </c>
      <c r="G225" s="2278"/>
      <c r="H225" s="2279">
        <v>64419.31</v>
      </c>
      <c r="I225" s="6539">
        <v>40799.08</v>
      </c>
      <c r="J225" s="6539"/>
      <c r="K225" s="2279">
        <v>23620.23</v>
      </c>
      <c r="L225" s="2277"/>
      <c r="M225" s="2281">
        <v>6441.96</v>
      </c>
      <c r="N225" s="2281">
        <f>M225</f>
        <v>6441.96</v>
      </c>
      <c r="O225" s="2281"/>
      <c r="P225" s="2277"/>
      <c r="Q225" s="2277"/>
      <c r="R225" s="2279">
        <v>64419.31</v>
      </c>
      <c r="S225" s="2279">
        <v>47241.04</v>
      </c>
      <c r="T225" s="2279">
        <v>17178.27</v>
      </c>
    </row>
    <row r="226" spans="1:20" ht="12" customHeight="1" outlineLevel="1" x14ac:dyDescent="0.2">
      <c r="A226" s="6538" t="s">
        <v>2687</v>
      </c>
      <c r="B226" s="6538"/>
      <c r="C226" s="2275">
        <v>740</v>
      </c>
      <c r="D226" s="2276" t="s">
        <v>2680</v>
      </c>
      <c r="E226" s="2277" t="s">
        <v>2688</v>
      </c>
      <c r="F226" s="2278">
        <v>60</v>
      </c>
      <c r="G226" s="2278"/>
      <c r="H226" s="2279">
        <v>18885.189999999999</v>
      </c>
      <c r="I226" s="6539">
        <v>18885.189999999999</v>
      </c>
      <c r="J226" s="6539"/>
      <c r="K226" s="2277"/>
      <c r="L226" s="2277"/>
      <c r="M226" s="2280"/>
      <c r="N226" s="2281"/>
      <c r="O226" s="2281"/>
      <c r="P226" s="2277"/>
      <c r="Q226" s="2277"/>
      <c r="R226" s="2279">
        <v>18885.189999999999</v>
      </c>
      <c r="S226" s="2279">
        <v>18885.189999999999</v>
      </c>
      <c r="T226" s="2277"/>
    </row>
    <row r="227" spans="1:20" ht="23.25" customHeight="1" outlineLevel="1" x14ac:dyDescent="0.2">
      <c r="A227" s="6538" t="s">
        <v>2689</v>
      </c>
      <c r="B227" s="6538"/>
      <c r="C227" s="2282">
        <v>2455</v>
      </c>
      <c r="D227" s="2276" t="s">
        <v>2690</v>
      </c>
      <c r="E227" s="2277" t="s">
        <v>2691</v>
      </c>
      <c r="F227" s="2278">
        <v>84</v>
      </c>
      <c r="G227" s="2278"/>
      <c r="H227" s="2279">
        <v>54954.65</v>
      </c>
      <c r="I227" s="6539">
        <v>32056.78</v>
      </c>
      <c r="J227" s="6539"/>
      <c r="K227" s="2279">
        <v>22897.87</v>
      </c>
      <c r="L227" s="2277"/>
      <c r="M227" s="2281">
        <v>7850.64</v>
      </c>
      <c r="N227" s="2281">
        <f>M227</f>
        <v>7850.64</v>
      </c>
      <c r="O227" s="2281"/>
      <c r="P227" s="2277"/>
      <c r="Q227" s="2277"/>
      <c r="R227" s="2279">
        <v>54954.65</v>
      </c>
      <c r="S227" s="2279">
        <v>39907.42</v>
      </c>
      <c r="T227" s="2279">
        <v>15047.23</v>
      </c>
    </row>
    <row r="228" spans="1:20" ht="12" customHeight="1" outlineLevel="1" x14ac:dyDescent="0.2">
      <c r="A228" s="6538" t="s">
        <v>2692</v>
      </c>
      <c r="B228" s="6538"/>
      <c r="C228" s="2275">
        <v>390</v>
      </c>
      <c r="D228" s="2276" t="s">
        <v>2693</v>
      </c>
      <c r="E228" s="2277" t="s">
        <v>2694</v>
      </c>
      <c r="F228" s="2278">
        <v>324</v>
      </c>
      <c r="G228" s="2278"/>
      <c r="H228" s="2279">
        <v>4779</v>
      </c>
      <c r="I228" s="6539">
        <v>4539</v>
      </c>
      <c r="J228" s="6539"/>
      <c r="K228" s="2322">
        <v>240</v>
      </c>
      <c r="L228" s="2277"/>
      <c r="M228" s="2320">
        <v>177</v>
      </c>
      <c r="N228" s="2281">
        <f>H228/F228*12</f>
        <v>177</v>
      </c>
      <c r="O228" s="2281"/>
      <c r="P228" s="2277"/>
      <c r="Q228" s="2277"/>
      <c r="R228" s="2279">
        <v>4779</v>
      </c>
      <c r="S228" s="2279">
        <v>4716</v>
      </c>
      <c r="T228" s="2322">
        <v>63</v>
      </c>
    </row>
    <row r="229" spans="1:20" ht="12" customHeight="1" outlineLevel="1" x14ac:dyDescent="0.2">
      <c r="A229" s="6538" t="s">
        <v>2695</v>
      </c>
      <c r="B229" s="6538"/>
      <c r="C229" s="2275">
        <v>338</v>
      </c>
      <c r="D229" s="2276" t="s">
        <v>2696</v>
      </c>
      <c r="E229" s="2277" t="s">
        <v>2697</v>
      </c>
      <c r="F229" s="2278">
        <v>324</v>
      </c>
      <c r="G229" s="2278"/>
      <c r="H229" s="2279">
        <v>2018</v>
      </c>
      <c r="I229" s="6539">
        <v>2018</v>
      </c>
      <c r="J229" s="6539"/>
      <c r="K229" s="2277"/>
      <c r="L229" s="2277"/>
      <c r="M229" s="2280"/>
      <c r="N229" s="2281"/>
      <c r="O229" s="2281"/>
      <c r="P229" s="2277"/>
      <c r="Q229" s="2277"/>
      <c r="R229" s="2279">
        <v>2018</v>
      </c>
      <c r="S229" s="2279">
        <v>2018</v>
      </c>
      <c r="T229" s="2277"/>
    </row>
    <row r="230" spans="1:20" s="2298" customFormat="1" ht="12" customHeight="1" outlineLevel="1" x14ac:dyDescent="0.2">
      <c r="A230" s="6547" t="s">
        <v>2698</v>
      </c>
      <c r="B230" s="6547"/>
      <c r="C230" s="2292">
        <v>99</v>
      </c>
      <c r="D230" s="2293" t="s">
        <v>2192</v>
      </c>
      <c r="E230" s="2294" t="s">
        <v>2699</v>
      </c>
      <c r="F230" s="2295">
        <v>324</v>
      </c>
      <c r="G230" s="2295"/>
      <c r="H230" s="2296">
        <v>3736</v>
      </c>
      <c r="I230" s="6548">
        <v>3695.4</v>
      </c>
      <c r="J230" s="6548"/>
      <c r="K230" s="2297">
        <v>40.6</v>
      </c>
      <c r="L230" s="2294"/>
      <c r="M230" s="2297">
        <v>40.6</v>
      </c>
      <c r="N230" s="2296">
        <f>M230</f>
        <v>40.6</v>
      </c>
      <c r="O230" s="2296"/>
      <c r="P230" s="2294"/>
      <c r="Q230" s="2294"/>
      <c r="R230" s="2296">
        <v>3736</v>
      </c>
      <c r="S230" s="2296">
        <v>3736</v>
      </c>
      <c r="T230" s="2294"/>
    </row>
    <row r="231" spans="1:20" s="2298" customFormat="1" ht="12" customHeight="1" outlineLevel="1" x14ac:dyDescent="0.2">
      <c r="A231" s="6547" t="s">
        <v>2700</v>
      </c>
      <c r="B231" s="6547"/>
      <c r="C231" s="2292">
        <v>100</v>
      </c>
      <c r="D231" s="2293" t="s">
        <v>2192</v>
      </c>
      <c r="E231" s="2294" t="s">
        <v>2701</v>
      </c>
      <c r="F231" s="2295">
        <v>324</v>
      </c>
      <c r="G231" s="2295"/>
      <c r="H231" s="2296">
        <v>3403</v>
      </c>
      <c r="I231" s="6548">
        <v>3321</v>
      </c>
      <c r="J231" s="6548"/>
      <c r="K231" s="2297">
        <v>82</v>
      </c>
      <c r="L231" s="2294"/>
      <c r="M231" s="2297">
        <v>82</v>
      </c>
      <c r="N231" s="2296">
        <f>M231</f>
        <v>82</v>
      </c>
      <c r="O231" s="2296"/>
      <c r="P231" s="2294"/>
      <c r="Q231" s="2294"/>
      <c r="R231" s="2296">
        <v>3403</v>
      </c>
      <c r="S231" s="2296">
        <v>3403</v>
      </c>
      <c r="T231" s="2294"/>
    </row>
    <row r="232" spans="1:20" ht="23.25" customHeight="1" outlineLevel="1" x14ac:dyDescent="0.2">
      <c r="A232" s="6538" t="s">
        <v>2702</v>
      </c>
      <c r="B232" s="6538"/>
      <c r="C232" s="2282">
        <v>2400</v>
      </c>
      <c r="D232" s="2276" t="s">
        <v>2703</v>
      </c>
      <c r="E232" s="2277" t="s">
        <v>2704</v>
      </c>
      <c r="F232" s="2278">
        <v>60</v>
      </c>
      <c r="G232" s="2278"/>
      <c r="H232" s="2279">
        <v>25855.51</v>
      </c>
      <c r="I232" s="6539">
        <v>25855.51</v>
      </c>
      <c r="J232" s="6539"/>
      <c r="K232" s="2277"/>
      <c r="L232" s="2277"/>
      <c r="M232" s="2280"/>
      <c r="N232" s="2281"/>
      <c r="O232" s="2281"/>
      <c r="P232" s="2277"/>
      <c r="Q232" s="2277"/>
      <c r="R232" s="2279">
        <v>25855.51</v>
      </c>
      <c r="S232" s="2279">
        <v>25855.51</v>
      </c>
      <c r="T232" s="2277"/>
    </row>
    <row r="233" spans="1:20" ht="12" customHeight="1" outlineLevel="1" x14ac:dyDescent="0.2">
      <c r="A233" s="6538" t="s">
        <v>2705</v>
      </c>
      <c r="B233" s="6538"/>
      <c r="C233" s="2275">
        <v>111</v>
      </c>
      <c r="D233" s="2276" t="s">
        <v>2706</v>
      </c>
      <c r="E233" s="2277" t="s">
        <v>2707</v>
      </c>
      <c r="F233" s="2278">
        <v>300</v>
      </c>
      <c r="G233" s="2278"/>
      <c r="H233" s="2279">
        <v>545000</v>
      </c>
      <c r="I233" s="6539">
        <v>328816.59999999998</v>
      </c>
      <c r="J233" s="6539"/>
      <c r="K233" s="2279">
        <v>216183.4</v>
      </c>
      <c r="L233" s="2277"/>
      <c r="M233" s="2281">
        <v>21800.04</v>
      </c>
      <c r="N233" s="2281">
        <f>M233</f>
        <v>21800.04</v>
      </c>
      <c r="O233" s="2281"/>
      <c r="P233" s="2277"/>
      <c r="Q233" s="2277"/>
      <c r="R233" s="2279">
        <v>545000</v>
      </c>
      <c r="S233" s="2279">
        <v>350616.64</v>
      </c>
      <c r="T233" s="2279">
        <v>194383.35999999999</v>
      </c>
    </row>
    <row r="234" spans="1:20" ht="12" customHeight="1" outlineLevel="1" x14ac:dyDescent="0.2">
      <c r="A234" s="6538" t="s">
        <v>2708</v>
      </c>
      <c r="B234" s="6538"/>
      <c r="C234" s="2275">
        <v>304</v>
      </c>
      <c r="D234" s="2276" t="s">
        <v>2570</v>
      </c>
      <c r="E234" s="2277" t="s">
        <v>2709</v>
      </c>
      <c r="F234" s="2278">
        <v>96</v>
      </c>
      <c r="G234" s="2278"/>
      <c r="H234" s="2279">
        <v>2200</v>
      </c>
      <c r="I234" s="6539">
        <v>2200</v>
      </c>
      <c r="J234" s="6539"/>
      <c r="K234" s="2277"/>
      <c r="L234" s="2277"/>
      <c r="M234" s="2280"/>
      <c r="N234" s="2281"/>
      <c r="O234" s="2281"/>
      <c r="P234" s="2277"/>
      <c r="Q234" s="2277"/>
      <c r="R234" s="2279">
        <v>2200</v>
      </c>
      <c r="S234" s="2279">
        <v>2200</v>
      </c>
      <c r="T234" s="2277"/>
    </row>
    <row r="235" spans="1:20" ht="12" customHeight="1" outlineLevel="1" x14ac:dyDescent="0.2">
      <c r="A235" s="6538" t="s">
        <v>2710</v>
      </c>
      <c r="B235" s="6538"/>
      <c r="C235" s="2275">
        <v>112</v>
      </c>
      <c r="D235" s="2276" t="s">
        <v>2711</v>
      </c>
      <c r="E235" s="2277" t="s">
        <v>2712</v>
      </c>
      <c r="F235" s="2278">
        <v>300</v>
      </c>
      <c r="G235" s="2278"/>
      <c r="H235" s="2279">
        <v>506200</v>
      </c>
      <c r="I235" s="6539">
        <v>327337.40000000002</v>
      </c>
      <c r="J235" s="6539"/>
      <c r="K235" s="2279">
        <v>178862.6</v>
      </c>
      <c r="L235" s="2277"/>
      <c r="M235" s="2281">
        <v>20247.96</v>
      </c>
      <c r="N235" s="2281">
        <f>M235</f>
        <v>20247.96</v>
      </c>
      <c r="O235" s="2281"/>
      <c r="P235" s="2277"/>
      <c r="Q235" s="2277"/>
      <c r="R235" s="2279">
        <v>506200</v>
      </c>
      <c r="S235" s="2279">
        <v>347585.36</v>
      </c>
      <c r="T235" s="2279">
        <v>158614.64000000001</v>
      </c>
    </row>
    <row r="236" spans="1:20" ht="23.25" customHeight="1" outlineLevel="1" x14ac:dyDescent="0.2">
      <c r="A236" s="6538" t="s">
        <v>2713</v>
      </c>
      <c r="B236" s="6538"/>
      <c r="C236" s="2275">
        <v>545</v>
      </c>
      <c r="D236" s="2276" t="s">
        <v>2714</v>
      </c>
      <c r="E236" s="2277" t="s">
        <v>2715</v>
      </c>
      <c r="F236" s="2278">
        <v>273</v>
      </c>
      <c r="G236" s="2278"/>
      <c r="H236" s="2279">
        <v>6820</v>
      </c>
      <c r="I236" s="6539">
        <v>6820</v>
      </c>
      <c r="J236" s="6539"/>
      <c r="K236" s="2277"/>
      <c r="L236" s="2277"/>
      <c r="M236" s="2280"/>
      <c r="N236" s="2281"/>
      <c r="O236" s="2281"/>
      <c r="P236" s="2277"/>
      <c r="Q236" s="2277"/>
      <c r="R236" s="2279">
        <v>6820</v>
      </c>
      <c r="S236" s="2279">
        <v>6820</v>
      </c>
      <c r="T236" s="2277"/>
    </row>
    <row r="237" spans="1:20" ht="12" customHeight="1" outlineLevel="1" x14ac:dyDescent="0.2">
      <c r="A237" s="6538" t="s">
        <v>2716</v>
      </c>
      <c r="B237" s="6538"/>
      <c r="C237" s="2275">
        <v>339</v>
      </c>
      <c r="D237" s="2276" t="s">
        <v>2218</v>
      </c>
      <c r="E237" s="2277" t="s">
        <v>2717</v>
      </c>
      <c r="F237" s="2278">
        <v>71</v>
      </c>
      <c r="G237" s="2278"/>
      <c r="H237" s="2279">
        <v>47581</v>
      </c>
      <c r="I237" s="6539">
        <v>47581</v>
      </c>
      <c r="J237" s="6539"/>
      <c r="K237" s="2277"/>
      <c r="L237" s="2277"/>
      <c r="M237" s="2280"/>
      <c r="N237" s="2281"/>
      <c r="O237" s="2281"/>
      <c r="P237" s="2277"/>
      <c r="Q237" s="2277"/>
      <c r="R237" s="2279">
        <v>47581</v>
      </c>
      <c r="S237" s="2279">
        <v>47581</v>
      </c>
      <c r="T237" s="2277"/>
    </row>
    <row r="238" spans="1:20" ht="12" customHeight="1" outlineLevel="1" x14ac:dyDescent="0.2">
      <c r="A238" s="6538" t="s">
        <v>2718</v>
      </c>
      <c r="B238" s="6538"/>
      <c r="C238" s="2275">
        <v>465</v>
      </c>
      <c r="D238" s="2276" t="s">
        <v>2719</v>
      </c>
      <c r="E238" s="2277" t="s">
        <v>2720</v>
      </c>
      <c r="F238" s="2278">
        <v>120</v>
      </c>
      <c r="G238" s="2278"/>
      <c r="H238" s="2279">
        <v>1250</v>
      </c>
      <c r="I238" s="6539">
        <v>1250</v>
      </c>
      <c r="J238" s="6539"/>
      <c r="K238" s="2277"/>
      <c r="L238" s="2277"/>
      <c r="M238" s="2280"/>
      <c r="N238" s="2281"/>
      <c r="O238" s="2281"/>
      <c r="P238" s="2277"/>
      <c r="Q238" s="2277"/>
      <c r="R238" s="2279">
        <v>1250</v>
      </c>
      <c r="S238" s="2279">
        <v>1250</v>
      </c>
      <c r="T238" s="2277"/>
    </row>
    <row r="239" spans="1:20" ht="12" customHeight="1" outlineLevel="1" x14ac:dyDescent="0.2">
      <c r="A239" s="6538" t="s">
        <v>2569</v>
      </c>
      <c r="B239" s="6538"/>
      <c r="C239" s="2275">
        <v>294</v>
      </c>
      <c r="D239" s="2276" t="s">
        <v>2721</v>
      </c>
      <c r="E239" s="2277" t="s">
        <v>2571</v>
      </c>
      <c r="F239" s="2278">
        <v>84</v>
      </c>
      <c r="G239" s="2278"/>
      <c r="H239" s="2279">
        <v>4900</v>
      </c>
      <c r="I239" s="6539">
        <v>4900</v>
      </c>
      <c r="J239" s="6539"/>
      <c r="K239" s="2277"/>
      <c r="L239" s="2277"/>
      <c r="M239" s="2280"/>
      <c r="N239" s="2281"/>
      <c r="O239" s="2281"/>
      <c r="P239" s="2277"/>
      <c r="Q239" s="2277"/>
      <c r="R239" s="2279">
        <v>4900</v>
      </c>
      <c r="S239" s="2279">
        <v>4900</v>
      </c>
      <c r="T239" s="2277"/>
    </row>
    <row r="240" spans="1:20" ht="12" customHeight="1" outlineLevel="1" x14ac:dyDescent="0.2">
      <c r="A240" s="6538" t="s">
        <v>2722</v>
      </c>
      <c r="B240" s="6538"/>
      <c r="C240" s="2275">
        <v>391</v>
      </c>
      <c r="D240" s="2276" t="s">
        <v>2627</v>
      </c>
      <c r="E240" s="2277" t="s">
        <v>2723</v>
      </c>
      <c r="F240" s="2278">
        <v>300</v>
      </c>
      <c r="G240" s="2278"/>
      <c r="H240" s="2279">
        <v>10270</v>
      </c>
      <c r="I240" s="6539">
        <v>10270</v>
      </c>
      <c r="J240" s="6539"/>
      <c r="K240" s="2277"/>
      <c r="L240" s="2277"/>
      <c r="M240" s="2280"/>
      <c r="N240" s="2281"/>
      <c r="O240" s="2281"/>
      <c r="P240" s="2277"/>
      <c r="Q240" s="2277"/>
      <c r="R240" s="2279">
        <v>10270</v>
      </c>
      <c r="S240" s="2279">
        <v>10270</v>
      </c>
      <c r="T240" s="2277"/>
    </row>
    <row r="241" spans="1:20" ht="12" customHeight="1" outlineLevel="1" x14ac:dyDescent="0.2">
      <c r="A241" s="6538" t="s">
        <v>2724</v>
      </c>
      <c r="B241" s="6538"/>
      <c r="C241" s="2275">
        <v>363</v>
      </c>
      <c r="D241" s="2276" t="s">
        <v>2594</v>
      </c>
      <c r="E241" s="2277" t="s">
        <v>2725</v>
      </c>
      <c r="F241" s="2278">
        <v>84</v>
      </c>
      <c r="G241" s="2278"/>
      <c r="H241" s="2279">
        <v>4494</v>
      </c>
      <c r="I241" s="6539">
        <v>4494</v>
      </c>
      <c r="J241" s="6539"/>
      <c r="K241" s="2277"/>
      <c r="L241" s="2277"/>
      <c r="M241" s="2280"/>
      <c r="N241" s="2281"/>
      <c r="O241" s="2281"/>
      <c r="P241" s="2277"/>
      <c r="Q241" s="2277"/>
      <c r="R241" s="2279">
        <v>4494</v>
      </c>
      <c r="S241" s="2279">
        <v>4494</v>
      </c>
      <c r="T241" s="2277"/>
    </row>
    <row r="242" spans="1:20" ht="12" customHeight="1" outlineLevel="1" x14ac:dyDescent="0.2">
      <c r="A242" s="6538" t="s">
        <v>2726</v>
      </c>
      <c r="B242" s="6538"/>
      <c r="C242" s="2282">
        <v>1926</v>
      </c>
      <c r="D242" s="2276" t="s">
        <v>2221</v>
      </c>
      <c r="E242" s="2277" t="s">
        <v>2727</v>
      </c>
      <c r="F242" s="2278">
        <v>120</v>
      </c>
      <c r="G242" s="2278"/>
      <c r="H242" s="2279">
        <v>34153.599999999999</v>
      </c>
      <c r="I242" s="6539">
        <v>34153.599999999999</v>
      </c>
      <c r="J242" s="6539"/>
      <c r="K242" s="2277"/>
      <c r="L242" s="2277"/>
      <c r="M242" s="2280"/>
      <c r="N242" s="2281"/>
      <c r="O242" s="2281"/>
      <c r="P242" s="2277"/>
      <c r="Q242" s="2277"/>
      <c r="R242" s="2279">
        <v>34153.599999999999</v>
      </c>
      <c r="S242" s="2279">
        <v>34153.599999999999</v>
      </c>
      <c r="T242" s="2277"/>
    </row>
    <row r="243" spans="1:20" s="2298" customFormat="1" ht="12" customHeight="1" outlineLevel="1" x14ac:dyDescent="0.2">
      <c r="A243" s="6547" t="s">
        <v>2728</v>
      </c>
      <c r="B243" s="6547"/>
      <c r="C243" s="2321">
        <v>2275</v>
      </c>
      <c r="D243" s="2293" t="s">
        <v>2729</v>
      </c>
      <c r="E243" s="2294" t="s">
        <v>2730</v>
      </c>
      <c r="F243" s="2295">
        <v>120</v>
      </c>
      <c r="G243" s="2295"/>
      <c r="H243" s="2296">
        <v>38864.410000000003</v>
      </c>
      <c r="I243" s="6548">
        <v>35949.57</v>
      </c>
      <c r="J243" s="6548"/>
      <c r="K243" s="2296">
        <v>2914.84</v>
      </c>
      <c r="L243" s="2294"/>
      <c r="M243" s="2296">
        <v>2914.84</v>
      </c>
      <c r="N243" s="2296">
        <f>M243</f>
        <v>2914.84</v>
      </c>
      <c r="O243" s="2296"/>
      <c r="P243" s="2294"/>
      <c r="Q243" s="2294"/>
      <c r="R243" s="2296">
        <v>38864.410000000003</v>
      </c>
      <c r="S243" s="2296">
        <v>38864.410000000003</v>
      </c>
      <c r="T243" s="2294"/>
    </row>
    <row r="244" spans="1:20" ht="12" customHeight="1" outlineLevel="1" x14ac:dyDescent="0.2">
      <c r="A244" s="6538" t="s">
        <v>2731</v>
      </c>
      <c r="B244" s="6538"/>
      <c r="C244" s="2275">
        <v>484</v>
      </c>
      <c r="D244" s="2276" t="s">
        <v>2288</v>
      </c>
      <c r="E244" s="2277" t="s">
        <v>2732</v>
      </c>
      <c r="F244" s="2278">
        <v>240</v>
      </c>
      <c r="G244" s="2278"/>
      <c r="H244" s="2279">
        <v>37000</v>
      </c>
      <c r="I244" s="6539">
        <v>33294.6</v>
      </c>
      <c r="J244" s="6539"/>
      <c r="K244" s="2279">
        <v>3705.4</v>
      </c>
      <c r="L244" s="2277"/>
      <c r="M244" s="2281">
        <v>1850.04</v>
      </c>
      <c r="N244" s="2281">
        <f>M244</f>
        <v>1850.04</v>
      </c>
      <c r="O244" s="2281"/>
      <c r="P244" s="2277"/>
      <c r="Q244" s="2277"/>
      <c r="R244" s="2279">
        <v>37000</v>
      </c>
      <c r="S244" s="2279">
        <v>35144.639999999999</v>
      </c>
      <c r="T244" s="2279">
        <v>1855.36</v>
      </c>
    </row>
    <row r="245" spans="1:20" ht="23.25" customHeight="1" outlineLevel="1" x14ac:dyDescent="0.2">
      <c r="A245" s="6538" t="s">
        <v>2733</v>
      </c>
      <c r="B245" s="6538"/>
      <c r="C245" s="2282">
        <v>1959</v>
      </c>
      <c r="D245" s="2276" t="s">
        <v>2734</v>
      </c>
      <c r="E245" s="2277" t="s">
        <v>2735</v>
      </c>
      <c r="F245" s="2278">
        <v>120</v>
      </c>
      <c r="G245" s="2278"/>
      <c r="H245" s="2279">
        <v>78050.850000000006</v>
      </c>
      <c r="I245" s="6539">
        <v>59188.22</v>
      </c>
      <c r="J245" s="6539"/>
      <c r="K245" s="2279">
        <v>18862.63</v>
      </c>
      <c r="L245" s="2277"/>
      <c r="M245" s="2281">
        <v>7805.04</v>
      </c>
      <c r="N245" s="2281">
        <f>M245</f>
        <v>7805.04</v>
      </c>
      <c r="O245" s="2281"/>
      <c r="P245" s="2277"/>
      <c r="Q245" s="2277"/>
      <c r="R245" s="2279">
        <v>78050.850000000006</v>
      </c>
      <c r="S245" s="2279">
        <v>66993.259999999995</v>
      </c>
      <c r="T245" s="2279">
        <v>11057.59</v>
      </c>
    </row>
    <row r="246" spans="1:20" ht="12" customHeight="1" outlineLevel="1" x14ac:dyDescent="0.2">
      <c r="A246" s="6538" t="s">
        <v>2736</v>
      </c>
      <c r="B246" s="6538"/>
      <c r="C246" s="2275">
        <v>474</v>
      </c>
      <c r="D246" s="2276" t="s">
        <v>2737</v>
      </c>
      <c r="E246" s="2277" t="s">
        <v>2738</v>
      </c>
      <c r="F246" s="2278">
        <v>96</v>
      </c>
      <c r="G246" s="2278"/>
      <c r="H246" s="2279">
        <v>61082.33</v>
      </c>
      <c r="I246" s="6539">
        <v>61082.33</v>
      </c>
      <c r="J246" s="6539"/>
      <c r="K246" s="2277"/>
      <c r="L246" s="2277"/>
      <c r="M246" s="2280"/>
      <c r="N246" s="2281"/>
      <c r="O246" s="2281"/>
      <c r="P246" s="2277"/>
      <c r="Q246" s="2277"/>
      <c r="R246" s="2279">
        <v>61082.33</v>
      </c>
      <c r="S246" s="2279">
        <v>61082.33</v>
      </c>
      <c r="T246" s="2277"/>
    </row>
    <row r="247" spans="1:20" ht="12" customHeight="1" outlineLevel="1" x14ac:dyDescent="0.2">
      <c r="A247" s="6538" t="s">
        <v>2739</v>
      </c>
      <c r="B247" s="6538"/>
      <c r="C247" s="2275">
        <v>349</v>
      </c>
      <c r="D247" s="2276" t="s">
        <v>2740</v>
      </c>
      <c r="E247" s="2277" t="s">
        <v>2741</v>
      </c>
      <c r="F247" s="2278">
        <v>60</v>
      </c>
      <c r="G247" s="2278"/>
      <c r="H247" s="2279">
        <v>9069</v>
      </c>
      <c r="I247" s="6539">
        <v>9069</v>
      </c>
      <c r="J247" s="6539"/>
      <c r="K247" s="2277"/>
      <c r="L247" s="2277"/>
      <c r="M247" s="2280"/>
      <c r="N247" s="2281"/>
      <c r="O247" s="2281"/>
      <c r="P247" s="2277"/>
      <c r="Q247" s="2277"/>
      <c r="R247" s="2279">
        <v>9069</v>
      </c>
      <c r="S247" s="2279">
        <v>9069</v>
      </c>
      <c r="T247" s="2277"/>
    </row>
    <row r="248" spans="1:20" ht="12" customHeight="1" outlineLevel="1" x14ac:dyDescent="0.2">
      <c r="A248" s="6538" t="s">
        <v>2742</v>
      </c>
      <c r="B248" s="6538"/>
      <c r="C248" s="2282">
        <v>2294</v>
      </c>
      <c r="D248" s="2276" t="s">
        <v>2743</v>
      </c>
      <c r="E248" s="2277" t="s">
        <v>2744</v>
      </c>
      <c r="F248" s="2278">
        <v>120</v>
      </c>
      <c r="G248" s="2278"/>
      <c r="H248" s="2279">
        <v>14576.27</v>
      </c>
      <c r="I248" s="6539">
        <v>12997.29</v>
      </c>
      <c r="J248" s="6539"/>
      <c r="K248" s="2279">
        <v>1578.98</v>
      </c>
      <c r="L248" s="2277"/>
      <c r="M248" s="2281">
        <v>1457.64</v>
      </c>
      <c r="N248" s="2281">
        <f>M248</f>
        <v>1457.64</v>
      </c>
      <c r="O248" s="2281"/>
      <c r="P248" s="2277"/>
      <c r="Q248" s="2277"/>
      <c r="R248" s="2279">
        <v>14576.27</v>
      </c>
      <c r="S248" s="2279">
        <v>14454.93</v>
      </c>
      <c r="T248" s="2322">
        <v>121.34</v>
      </c>
    </row>
    <row r="249" spans="1:20" ht="12" customHeight="1" outlineLevel="1" x14ac:dyDescent="0.2">
      <c r="A249" s="6538" t="s">
        <v>2745</v>
      </c>
      <c r="B249" s="6538"/>
      <c r="C249" s="2282">
        <v>1833</v>
      </c>
      <c r="D249" s="2276" t="s">
        <v>2368</v>
      </c>
      <c r="E249" s="2277" t="s">
        <v>2746</v>
      </c>
      <c r="F249" s="2278">
        <v>60</v>
      </c>
      <c r="G249" s="2278"/>
      <c r="H249" s="2279">
        <v>24157.62</v>
      </c>
      <c r="I249" s="6539">
        <v>24157.62</v>
      </c>
      <c r="J249" s="6539"/>
      <c r="K249" s="2277"/>
      <c r="L249" s="2277"/>
      <c r="M249" s="2280"/>
      <c r="N249" s="2281"/>
      <c r="O249" s="2281"/>
      <c r="P249" s="2277"/>
      <c r="Q249" s="2277"/>
      <c r="R249" s="2279">
        <v>24157.62</v>
      </c>
      <c r="S249" s="2279">
        <v>24157.62</v>
      </c>
      <c r="T249" s="2277"/>
    </row>
    <row r="250" spans="1:20" ht="12" customHeight="1" outlineLevel="1" x14ac:dyDescent="0.2">
      <c r="A250" s="6538" t="s">
        <v>2747</v>
      </c>
      <c r="B250" s="6538"/>
      <c r="C250" s="2275">
        <v>377</v>
      </c>
      <c r="D250" s="2276" t="s">
        <v>2252</v>
      </c>
      <c r="E250" s="2277" t="s">
        <v>2748</v>
      </c>
      <c r="F250" s="2278">
        <v>273</v>
      </c>
      <c r="G250" s="2278"/>
      <c r="H250" s="2279">
        <v>51427</v>
      </c>
      <c r="I250" s="6539">
        <v>51427</v>
      </c>
      <c r="J250" s="6539"/>
      <c r="K250" s="2277"/>
      <c r="L250" s="2277"/>
      <c r="M250" s="2280"/>
      <c r="N250" s="2281"/>
      <c r="O250" s="2281"/>
      <c r="P250" s="2277"/>
      <c r="Q250" s="2277"/>
      <c r="R250" s="2279">
        <v>51427</v>
      </c>
      <c r="S250" s="2279">
        <v>51427</v>
      </c>
      <c r="T250" s="2277"/>
    </row>
    <row r="251" spans="1:20" ht="12" customHeight="1" outlineLevel="1" x14ac:dyDescent="0.2">
      <c r="A251" s="6538" t="s">
        <v>2749</v>
      </c>
      <c r="B251" s="6538"/>
      <c r="C251" s="2275">
        <v>293</v>
      </c>
      <c r="D251" s="2276" t="s">
        <v>2750</v>
      </c>
      <c r="E251" s="2277" t="s">
        <v>2751</v>
      </c>
      <c r="F251" s="2278">
        <v>145</v>
      </c>
      <c r="G251" s="2278"/>
      <c r="H251" s="2279">
        <v>5820</v>
      </c>
      <c r="I251" s="6539">
        <v>5820</v>
      </c>
      <c r="J251" s="6539"/>
      <c r="K251" s="2277"/>
      <c r="L251" s="2277"/>
      <c r="M251" s="2280"/>
      <c r="N251" s="2281"/>
      <c r="O251" s="2281"/>
      <c r="P251" s="2277"/>
      <c r="Q251" s="2277"/>
      <c r="R251" s="2279">
        <v>5820</v>
      </c>
      <c r="S251" s="2279">
        <v>5820</v>
      </c>
      <c r="T251" s="2277"/>
    </row>
    <row r="252" spans="1:20" ht="12" customHeight="1" outlineLevel="1" x14ac:dyDescent="0.2">
      <c r="A252" s="6538" t="s">
        <v>2752</v>
      </c>
      <c r="B252" s="6538"/>
      <c r="C252" s="2275">
        <v>266</v>
      </c>
      <c r="D252" s="2276" t="s">
        <v>2753</v>
      </c>
      <c r="E252" s="2277" t="s">
        <v>2754</v>
      </c>
      <c r="F252" s="2278">
        <v>96</v>
      </c>
      <c r="G252" s="2278"/>
      <c r="H252" s="2279">
        <v>22162</v>
      </c>
      <c r="I252" s="6539">
        <v>22162</v>
      </c>
      <c r="J252" s="6539"/>
      <c r="K252" s="2277"/>
      <c r="L252" s="2277"/>
      <c r="M252" s="2280"/>
      <c r="N252" s="2281"/>
      <c r="O252" s="2281"/>
      <c r="P252" s="2277"/>
      <c r="Q252" s="2277"/>
      <c r="R252" s="2279">
        <v>22162</v>
      </c>
      <c r="S252" s="2279">
        <v>22162</v>
      </c>
      <c r="T252" s="2277"/>
    </row>
    <row r="253" spans="1:20" ht="12" customHeight="1" outlineLevel="1" x14ac:dyDescent="0.2">
      <c r="A253" s="6538" t="s">
        <v>2755</v>
      </c>
      <c r="B253" s="6538"/>
      <c r="C253" s="2275">
        <v>164</v>
      </c>
      <c r="D253" s="2276" t="s">
        <v>2756</v>
      </c>
      <c r="E253" s="2277" t="s">
        <v>2757</v>
      </c>
      <c r="F253" s="2278">
        <v>1</v>
      </c>
      <c r="G253" s="2278"/>
      <c r="H253" s="2279">
        <v>14395</v>
      </c>
      <c r="I253" s="6539">
        <v>14395</v>
      </c>
      <c r="J253" s="6539"/>
      <c r="K253" s="2277"/>
      <c r="L253" s="2277"/>
      <c r="M253" s="2280"/>
      <c r="N253" s="2281"/>
      <c r="O253" s="2281"/>
      <c r="P253" s="2277"/>
      <c r="Q253" s="2277"/>
      <c r="R253" s="2279">
        <v>14395</v>
      </c>
      <c r="S253" s="2279">
        <v>14395</v>
      </c>
      <c r="T253" s="2277"/>
    </row>
    <row r="254" spans="1:20" ht="12" customHeight="1" outlineLevel="1" x14ac:dyDescent="0.2">
      <c r="A254" s="6538" t="s">
        <v>2758</v>
      </c>
      <c r="B254" s="6538"/>
      <c r="C254" s="2275">
        <v>410</v>
      </c>
      <c r="D254" s="2276" t="s">
        <v>2759</v>
      </c>
      <c r="E254" s="2277" t="s">
        <v>2760</v>
      </c>
      <c r="F254" s="2278">
        <v>706</v>
      </c>
      <c r="G254" s="2278"/>
      <c r="H254" s="2279">
        <v>78456</v>
      </c>
      <c r="I254" s="6539">
        <v>36453.120000000003</v>
      </c>
      <c r="J254" s="6539"/>
      <c r="K254" s="2279">
        <v>42002.879999999997</v>
      </c>
      <c r="L254" s="2277"/>
      <c r="M254" s="2281">
        <v>1333.56</v>
      </c>
      <c r="N254" s="2281">
        <f>M254</f>
        <v>1333.56</v>
      </c>
      <c r="O254" s="2281"/>
      <c r="P254" s="2277"/>
      <c r="Q254" s="2277"/>
      <c r="R254" s="2279">
        <v>78456</v>
      </c>
      <c r="S254" s="2279">
        <v>37786.68</v>
      </c>
      <c r="T254" s="2279">
        <v>40669.32</v>
      </c>
    </row>
    <row r="255" spans="1:20" ht="12" customHeight="1" outlineLevel="1" x14ac:dyDescent="0.2">
      <c r="A255" s="6538" t="s">
        <v>2761</v>
      </c>
      <c r="B255" s="6538"/>
      <c r="C255" s="2275">
        <v>267</v>
      </c>
      <c r="D255" s="2276" t="s">
        <v>2753</v>
      </c>
      <c r="E255" s="2277" t="s">
        <v>2762</v>
      </c>
      <c r="F255" s="2278">
        <v>96</v>
      </c>
      <c r="G255" s="2278"/>
      <c r="H255" s="2279">
        <v>33407.300000000003</v>
      </c>
      <c r="I255" s="6539">
        <v>33407.300000000003</v>
      </c>
      <c r="J255" s="6539"/>
      <c r="K255" s="2277"/>
      <c r="L255" s="2277"/>
      <c r="M255" s="2280"/>
      <c r="N255" s="2281"/>
      <c r="O255" s="2281"/>
      <c r="P255" s="2277"/>
      <c r="Q255" s="2277"/>
      <c r="R255" s="2279">
        <v>33407.300000000003</v>
      </c>
      <c r="S255" s="2279">
        <v>33407.300000000003</v>
      </c>
      <c r="T255" s="2277"/>
    </row>
    <row r="256" spans="1:20" ht="12" customHeight="1" outlineLevel="1" x14ac:dyDescent="0.2">
      <c r="A256" s="6538" t="s">
        <v>2763</v>
      </c>
      <c r="B256" s="6538"/>
      <c r="C256" s="2275">
        <v>273</v>
      </c>
      <c r="D256" s="2276" t="s">
        <v>2764</v>
      </c>
      <c r="E256" s="2277" t="s">
        <v>2765</v>
      </c>
      <c r="F256" s="2278">
        <v>96</v>
      </c>
      <c r="G256" s="2278"/>
      <c r="H256" s="2279">
        <v>10865</v>
      </c>
      <c r="I256" s="6539">
        <v>10865</v>
      </c>
      <c r="J256" s="6539"/>
      <c r="K256" s="2277"/>
      <c r="L256" s="2277"/>
      <c r="M256" s="2280"/>
      <c r="N256" s="2281"/>
      <c r="O256" s="2281"/>
      <c r="P256" s="2279">
        <v>10865</v>
      </c>
      <c r="Q256" s="2279">
        <v>10865</v>
      </c>
      <c r="R256" s="2277"/>
      <c r="S256" s="2277"/>
      <c r="T256" s="2277"/>
    </row>
    <row r="257" spans="1:20" ht="12" customHeight="1" outlineLevel="1" x14ac:dyDescent="0.2">
      <c r="A257" s="6538" t="s">
        <v>2766</v>
      </c>
      <c r="B257" s="6538"/>
      <c r="C257" s="2275">
        <v>217</v>
      </c>
      <c r="D257" s="2276" t="s">
        <v>2257</v>
      </c>
      <c r="E257" s="2277" t="s">
        <v>2767</v>
      </c>
      <c r="F257" s="2278">
        <v>273</v>
      </c>
      <c r="G257" s="2278"/>
      <c r="H257" s="2279">
        <v>10407</v>
      </c>
      <c r="I257" s="6539">
        <v>10407</v>
      </c>
      <c r="J257" s="6539"/>
      <c r="K257" s="2277"/>
      <c r="L257" s="2277"/>
      <c r="M257" s="2280"/>
      <c r="N257" s="2281"/>
      <c r="O257" s="2281"/>
      <c r="P257" s="2277"/>
      <c r="Q257" s="2277"/>
      <c r="R257" s="2279">
        <v>10407</v>
      </c>
      <c r="S257" s="2279">
        <v>10407</v>
      </c>
      <c r="T257" s="2277"/>
    </row>
    <row r="258" spans="1:20" ht="12" customHeight="1" outlineLevel="1" x14ac:dyDescent="0.2">
      <c r="A258" s="6538" t="s">
        <v>2768</v>
      </c>
      <c r="B258" s="6538"/>
      <c r="C258" s="2275">
        <v>591</v>
      </c>
      <c r="D258" s="2276" t="s">
        <v>2769</v>
      </c>
      <c r="E258" s="2277" t="s">
        <v>2770</v>
      </c>
      <c r="F258" s="2278">
        <v>84</v>
      </c>
      <c r="G258" s="2278"/>
      <c r="H258" s="2279">
        <v>98332.62</v>
      </c>
      <c r="I258" s="6539">
        <v>98332.62</v>
      </c>
      <c r="J258" s="6539"/>
      <c r="K258" s="2277"/>
      <c r="L258" s="2277"/>
      <c r="M258" s="2280"/>
      <c r="N258" s="2281"/>
      <c r="O258" s="2281"/>
      <c r="P258" s="2277"/>
      <c r="Q258" s="2277"/>
      <c r="R258" s="2279">
        <v>98332.62</v>
      </c>
      <c r="S258" s="2279">
        <v>98332.62</v>
      </c>
      <c r="T258" s="2277"/>
    </row>
    <row r="259" spans="1:20" ht="23.25" customHeight="1" outlineLevel="1" x14ac:dyDescent="0.2">
      <c r="A259" s="6538" t="s">
        <v>2771</v>
      </c>
      <c r="B259" s="6538"/>
      <c r="C259" s="2282">
        <v>2390</v>
      </c>
      <c r="D259" s="2276" t="s">
        <v>2772</v>
      </c>
      <c r="E259" s="2277" t="s">
        <v>2773</v>
      </c>
      <c r="F259" s="2278">
        <v>120</v>
      </c>
      <c r="G259" s="2278"/>
      <c r="H259" s="2279">
        <v>423264.35</v>
      </c>
      <c r="I259" s="6539">
        <v>268067.20000000001</v>
      </c>
      <c r="J259" s="6539"/>
      <c r="K259" s="2279">
        <v>155197.15</v>
      </c>
      <c r="L259" s="2277"/>
      <c r="M259" s="2281">
        <v>42326.400000000001</v>
      </c>
      <c r="N259" s="2281">
        <f>M259</f>
        <v>42326.400000000001</v>
      </c>
      <c r="O259" s="2281"/>
      <c r="P259" s="2277"/>
      <c r="Q259" s="2277"/>
      <c r="R259" s="2279">
        <v>423264.35</v>
      </c>
      <c r="S259" s="2279">
        <v>310393.59999999998</v>
      </c>
      <c r="T259" s="2279">
        <v>112870.75</v>
      </c>
    </row>
    <row r="260" spans="1:20" ht="12" customHeight="1" outlineLevel="1" x14ac:dyDescent="0.2">
      <c r="A260" s="6538" t="s">
        <v>2774</v>
      </c>
      <c r="B260" s="6538"/>
      <c r="C260" s="2282">
        <v>1830</v>
      </c>
      <c r="D260" s="2276" t="s">
        <v>2775</v>
      </c>
      <c r="E260" s="2277" t="s">
        <v>2776</v>
      </c>
      <c r="F260" s="2278">
        <v>84</v>
      </c>
      <c r="G260" s="2278"/>
      <c r="H260" s="2279">
        <v>28750</v>
      </c>
      <c r="I260" s="6539">
        <v>28750</v>
      </c>
      <c r="J260" s="6539"/>
      <c r="K260" s="2277"/>
      <c r="L260" s="2277"/>
      <c r="M260" s="2280"/>
      <c r="N260" s="2281"/>
      <c r="O260" s="2281"/>
      <c r="P260" s="2277"/>
      <c r="Q260" s="2277"/>
      <c r="R260" s="2279">
        <v>28750</v>
      </c>
      <c r="S260" s="2279">
        <v>28750</v>
      </c>
      <c r="T260" s="2277"/>
    </row>
    <row r="261" spans="1:20" ht="12" customHeight="1" outlineLevel="1" x14ac:dyDescent="0.2">
      <c r="A261" s="6538" t="s">
        <v>2777</v>
      </c>
      <c r="B261" s="6538"/>
      <c r="C261" s="2275">
        <v>285</v>
      </c>
      <c r="D261" s="2276" t="s">
        <v>2778</v>
      </c>
      <c r="E261" s="2277" t="s">
        <v>2779</v>
      </c>
      <c r="F261" s="2278">
        <v>96</v>
      </c>
      <c r="G261" s="2278"/>
      <c r="H261" s="2279">
        <v>16500</v>
      </c>
      <c r="I261" s="6539">
        <v>16500</v>
      </c>
      <c r="J261" s="6539"/>
      <c r="K261" s="2277"/>
      <c r="L261" s="2277"/>
      <c r="M261" s="2280"/>
      <c r="N261" s="2281"/>
      <c r="O261" s="2281"/>
      <c r="P261" s="2279">
        <v>16500</v>
      </c>
      <c r="Q261" s="2279">
        <v>16500</v>
      </c>
      <c r="R261" s="2277"/>
      <c r="S261" s="2277"/>
      <c r="T261" s="2277"/>
    </row>
    <row r="262" spans="1:20" ht="23.25" customHeight="1" outlineLevel="1" x14ac:dyDescent="0.2">
      <c r="A262" s="6538" t="s">
        <v>2780</v>
      </c>
      <c r="B262" s="6538"/>
      <c r="C262" s="2275">
        <v>686</v>
      </c>
      <c r="D262" s="2276" t="s">
        <v>2781</v>
      </c>
      <c r="E262" s="2277" t="s">
        <v>2782</v>
      </c>
      <c r="F262" s="2278">
        <v>60</v>
      </c>
      <c r="G262" s="2278"/>
      <c r="H262" s="2279">
        <v>35620</v>
      </c>
      <c r="I262" s="6539">
        <v>35620</v>
      </c>
      <c r="J262" s="6539"/>
      <c r="K262" s="2277"/>
      <c r="L262" s="2277"/>
      <c r="M262" s="2280"/>
      <c r="N262" s="2281"/>
      <c r="O262" s="2281"/>
      <c r="P262" s="2277"/>
      <c r="Q262" s="2277"/>
      <c r="R262" s="2279">
        <v>35620</v>
      </c>
      <c r="S262" s="2279">
        <v>35620</v>
      </c>
      <c r="T262" s="2277"/>
    </row>
    <row r="263" spans="1:20" ht="12" customHeight="1" outlineLevel="1" x14ac:dyDescent="0.2">
      <c r="A263" s="6538" t="s">
        <v>2783</v>
      </c>
      <c r="B263" s="6538"/>
      <c r="C263" s="2275">
        <v>215</v>
      </c>
      <c r="D263" s="2276" t="s">
        <v>2257</v>
      </c>
      <c r="E263" s="2277" t="s">
        <v>2784</v>
      </c>
      <c r="F263" s="2278">
        <v>273</v>
      </c>
      <c r="G263" s="2278"/>
      <c r="H263" s="2279">
        <v>3397</v>
      </c>
      <c r="I263" s="6539">
        <v>3397</v>
      </c>
      <c r="J263" s="6539"/>
      <c r="K263" s="2277"/>
      <c r="L263" s="2277"/>
      <c r="M263" s="2280"/>
      <c r="N263" s="2281"/>
      <c r="O263" s="2281"/>
      <c r="P263" s="2277"/>
      <c r="Q263" s="2277"/>
      <c r="R263" s="2279">
        <v>3397</v>
      </c>
      <c r="S263" s="2279">
        <v>3397</v>
      </c>
      <c r="T263" s="2277"/>
    </row>
    <row r="264" spans="1:20" ht="23.25" customHeight="1" outlineLevel="1" x14ac:dyDescent="0.2">
      <c r="A264" s="6538" t="s">
        <v>2785</v>
      </c>
      <c r="B264" s="6538"/>
      <c r="C264" s="2316">
        <v>1511</v>
      </c>
      <c r="D264" s="2276" t="s">
        <v>2786</v>
      </c>
      <c r="E264" s="2277" t="s">
        <v>2787</v>
      </c>
      <c r="F264" s="2278">
        <v>60</v>
      </c>
      <c r="G264" s="2278"/>
      <c r="H264" s="2279">
        <v>83898.31</v>
      </c>
      <c r="I264" s="6539">
        <v>4194.93</v>
      </c>
      <c r="J264" s="6539"/>
      <c r="K264" s="2279">
        <v>79703.38</v>
      </c>
      <c r="L264" s="2277"/>
      <c r="M264" s="2281">
        <v>16779.72</v>
      </c>
      <c r="N264" s="2281">
        <f>M264</f>
        <v>16779.72</v>
      </c>
      <c r="O264" s="2281"/>
      <c r="P264" s="2277"/>
      <c r="Q264" s="2277"/>
      <c r="R264" s="2279">
        <v>83898.31</v>
      </c>
      <c r="S264" s="2279">
        <v>20974.65</v>
      </c>
      <c r="T264" s="2279">
        <v>62923.66</v>
      </c>
    </row>
    <row r="265" spans="1:20" ht="12" customHeight="1" outlineLevel="1" x14ac:dyDescent="0.2">
      <c r="A265" s="6538" t="s">
        <v>2788</v>
      </c>
      <c r="B265" s="6538"/>
      <c r="C265" s="2275">
        <v>511</v>
      </c>
      <c r="D265" s="2276" t="s">
        <v>2192</v>
      </c>
      <c r="E265" s="2277" t="s">
        <v>2789</v>
      </c>
      <c r="F265" s="2278">
        <v>132</v>
      </c>
      <c r="G265" s="2278"/>
      <c r="H265" s="2279">
        <v>39303</v>
      </c>
      <c r="I265" s="6539">
        <v>39303</v>
      </c>
      <c r="J265" s="6539"/>
      <c r="K265" s="2277"/>
      <c r="L265" s="2277"/>
      <c r="M265" s="2280"/>
      <c r="N265" s="2281"/>
      <c r="O265" s="2281"/>
      <c r="P265" s="2277"/>
      <c r="Q265" s="2277"/>
      <c r="R265" s="2279">
        <v>39303</v>
      </c>
      <c r="S265" s="2279">
        <v>39303</v>
      </c>
      <c r="T265" s="2277"/>
    </row>
    <row r="266" spans="1:20" ht="12" customHeight="1" outlineLevel="1" x14ac:dyDescent="0.2">
      <c r="A266" s="6538" t="s">
        <v>2790</v>
      </c>
      <c r="B266" s="6538"/>
      <c r="C266" s="2275">
        <v>357</v>
      </c>
      <c r="D266" s="2276" t="s">
        <v>2791</v>
      </c>
      <c r="E266" s="2277" t="s">
        <v>2792</v>
      </c>
      <c r="F266" s="2278">
        <v>72</v>
      </c>
      <c r="G266" s="2278"/>
      <c r="H266" s="2279">
        <v>1930</v>
      </c>
      <c r="I266" s="6539">
        <v>1930</v>
      </c>
      <c r="J266" s="6539"/>
      <c r="K266" s="2277"/>
      <c r="L266" s="2277"/>
      <c r="M266" s="2280"/>
      <c r="N266" s="2281"/>
      <c r="O266" s="2281"/>
      <c r="P266" s="2277"/>
      <c r="Q266" s="2277"/>
      <c r="R266" s="2279">
        <v>1930</v>
      </c>
      <c r="S266" s="2279">
        <v>1930</v>
      </c>
      <c r="T266" s="2277"/>
    </row>
    <row r="267" spans="1:20" ht="12" customHeight="1" outlineLevel="1" x14ac:dyDescent="0.2">
      <c r="A267" s="6538" t="s">
        <v>2793</v>
      </c>
      <c r="B267" s="6538"/>
      <c r="C267" s="2282">
        <v>1892</v>
      </c>
      <c r="D267" s="2276" t="s">
        <v>2794</v>
      </c>
      <c r="E267" s="2277" t="s">
        <v>2795</v>
      </c>
      <c r="F267" s="2278">
        <v>120</v>
      </c>
      <c r="G267" s="2278"/>
      <c r="H267" s="2279">
        <v>371081.44</v>
      </c>
      <c r="I267" s="6539">
        <v>371081.44</v>
      </c>
      <c r="J267" s="6539"/>
      <c r="K267" s="2277"/>
      <c r="L267" s="2277"/>
      <c r="M267" s="2280"/>
      <c r="N267" s="2281"/>
      <c r="O267" s="2281"/>
      <c r="P267" s="2277"/>
      <c r="Q267" s="2277"/>
      <c r="R267" s="2279">
        <v>371081.44</v>
      </c>
      <c r="S267" s="2279">
        <v>371081.44</v>
      </c>
      <c r="T267" s="2277"/>
    </row>
    <row r="268" spans="1:20" ht="12" customHeight="1" outlineLevel="1" x14ac:dyDescent="0.2">
      <c r="A268" s="6538" t="s">
        <v>2796</v>
      </c>
      <c r="B268" s="6538"/>
      <c r="C268" s="2275">
        <v>101</v>
      </c>
      <c r="D268" s="2276" t="s">
        <v>2192</v>
      </c>
      <c r="E268" s="2277" t="s">
        <v>2797</v>
      </c>
      <c r="F268" s="2278">
        <v>324</v>
      </c>
      <c r="G268" s="2278"/>
      <c r="H268" s="2279">
        <v>21997</v>
      </c>
      <c r="I268" s="6539">
        <v>21997</v>
      </c>
      <c r="J268" s="6539"/>
      <c r="K268" s="2277"/>
      <c r="L268" s="2277"/>
      <c r="M268" s="2280"/>
      <c r="N268" s="2281"/>
      <c r="O268" s="2281"/>
      <c r="P268" s="2277"/>
      <c r="Q268" s="2277"/>
      <c r="R268" s="2279">
        <v>21997</v>
      </c>
      <c r="S268" s="2279">
        <v>21997</v>
      </c>
      <c r="T268" s="2277"/>
    </row>
    <row r="269" spans="1:20" ht="12" customHeight="1" outlineLevel="1" x14ac:dyDescent="0.2">
      <c r="A269" s="6538" t="s">
        <v>2798</v>
      </c>
      <c r="B269" s="6538"/>
      <c r="C269" s="2275">
        <v>102</v>
      </c>
      <c r="D269" s="2276" t="s">
        <v>2192</v>
      </c>
      <c r="E269" s="2277" t="s">
        <v>2799</v>
      </c>
      <c r="F269" s="2278">
        <v>273</v>
      </c>
      <c r="G269" s="2278"/>
      <c r="H269" s="2279">
        <v>48517</v>
      </c>
      <c r="I269" s="6539">
        <v>48517</v>
      </c>
      <c r="J269" s="6539"/>
      <c r="K269" s="2277"/>
      <c r="L269" s="2277"/>
      <c r="M269" s="2280"/>
      <c r="N269" s="2281"/>
      <c r="O269" s="2281"/>
      <c r="P269" s="2277"/>
      <c r="Q269" s="2277"/>
      <c r="R269" s="2279">
        <v>48517</v>
      </c>
      <c r="S269" s="2279">
        <v>48517</v>
      </c>
      <c r="T269" s="2277"/>
    </row>
    <row r="270" spans="1:20" ht="12" customHeight="1" outlineLevel="1" x14ac:dyDescent="0.2">
      <c r="A270" s="6538" t="s">
        <v>2800</v>
      </c>
      <c r="B270" s="6538"/>
      <c r="C270" s="2275">
        <v>298</v>
      </c>
      <c r="D270" s="2276" t="s">
        <v>2570</v>
      </c>
      <c r="E270" s="2277" t="s">
        <v>2801</v>
      </c>
      <c r="F270" s="2278">
        <v>96</v>
      </c>
      <c r="G270" s="2278"/>
      <c r="H270" s="2322">
        <v>918.73</v>
      </c>
      <c r="I270" s="6542">
        <v>918.73</v>
      </c>
      <c r="J270" s="6542"/>
      <c r="K270" s="2277"/>
      <c r="L270" s="2277"/>
      <c r="M270" s="2280"/>
      <c r="N270" s="2281"/>
      <c r="O270" s="2281"/>
      <c r="P270" s="2277"/>
      <c r="Q270" s="2277"/>
      <c r="R270" s="2322">
        <v>918.73</v>
      </c>
      <c r="S270" s="2322">
        <v>918.73</v>
      </c>
      <c r="T270" s="2277"/>
    </row>
    <row r="271" spans="1:20" ht="12" customHeight="1" outlineLevel="1" x14ac:dyDescent="0.2">
      <c r="A271" s="6538" t="s">
        <v>2802</v>
      </c>
      <c r="B271" s="6538"/>
      <c r="C271" s="2275">
        <v>441</v>
      </c>
      <c r="D271" s="2276" t="s">
        <v>2627</v>
      </c>
      <c r="E271" s="2277" t="s">
        <v>2803</v>
      </c>
      <c r="F271" s="2278">
        <v>273</v>
      </c>
      <c r="G271" s="2278"/>
      <c r="H271" s="2279">
        <v>10265</v>
      </c>
      <c r="I271" s="6539">
        <v>10265</v>
      </c>
      <c r="J271" s="6539"/>
      <c r="K271" s="2277"/>
      <c r="L271" s="2277"/>
      <c r="M271" s="2280"/>
      <c r="N271" s="2281"/>
      <c r="O271" s="2281"/>
      <c r="P271" s="2277"/>
      <c r="Q271" s="2277"/>
      <c r="R271" s="2279">
        <v>10265</v>
      </c>
      <c r="S271" s="2279">
        <v>10265</v>
      </c>
      <c r="T271" s="2277"/>
    </row>
    <row r="272" spans="1:20" ht="12" customHeight="1" outlineLevel="1" x14ac:dyDescent="0.2">
      <c r="A272" s="6538" t="s">
        <v>2804</v>
      </c>
      <c r="B272" s="6538"/>
      <c r="C272" s="2275">
        <v>440</v>
      </c>
      <c r="D272" s="2276" t="s">
        <v>2627</v>
      </c>
      <c r="E272" s="2277" t="s">
        <v>2805</v>
      </c>
      <c r="F272" s="2278">
        <v>273</v>
      </c>
      <c r="G272" s="2278"/>
      <c r="H272" s="2279">
        <v>162469</v>
      </c>
      <c r="I272" s="6539">
        <v>162469</v>
      </c>
      <c r="J272" s="6539"/>
      <c r="K272" s="2277"/>
      <c r="L272" s="2277"/>
      <c r="M272" s="2280"/>
      <c r="N272" s="2281"/>
      <c r="O272" s="2281"/>
      <c r="P272" s="2277"/>
      <c r="Q272" s="2277"/>
      <c r="R272" s="2279">
        <v>162469</v>
      </c>
      <c r="S272" s="2279">
        <v>162469</v>
      </c>
      <c r="T272" s="2277"/>
    </row>
    <row r="273" spans="1:20" ht="12" customHeight="1" outlineLevel="1" x14ac:dyDescent="0.2">
      <c r="A273" s="6538" t="s">
        <v>2806</v>
      </c>
      <c r="B273" s="6538"/>
      <c r="C273" s="2275">
        <v>411</v>
      </c>
      <c r="D273" s="2276" t="s">
        <v>2759</v>
      </c>
      <c r="E273" s="2277" t="s">
        <v>2807</v>
      </c>
      <c r="F273" s="2278">
        <v>706</v>
      </c>
      <c r="G273" s="2278"/>
      <c r="H273" s="2279">
        <v>7451</v>
      </c>
      <c r="I273" s="6539">
        <v>5401</v>
      </c>
      <c r="J273" s="6539"/>
      <c r="K273" s="2279">
        <v>2050</v>
      </c>
      <c r="L273" s="2277"/>
      <c r="M273" s="2320">
        <v>126.6</v>
      </c>
      <c r="N273" s="2281">
        <f>M273</f>
        <v>126.6</v>
      </c>
      <c r="O273" s="2281"/>
      <c r="P273" s="2277"/>
      <c r="Q273" s="2277"/>
      <c r="R273" s="2279">
        <v>7451</v>
      </c>
      <c r="S273" s="2279">
        <v>5527.6</v>
      </c>
      <c r="T273" s="2279">
        <v>1923.4</v>
      </c>
    </row>
    <row r="274" spans="1:20" ht="12" customHeight="1" outlineLevel="1" x14ac:dyDescent="0.2">
      <c r="A274" s="6538" t="s">
        <v>2808</v>
      </c>
      <c r="B274" s="6538"/>
      <c r="C274" s="2275">
        <v>154</v>
      </c>
      <c r="D274" s="2276" t="s">
        <v>2809</v>
      </c>
      <c r="E274" s="2277" t="s">
        <v>2810</v>
      </c>
      <c r="F274" s="2278">
        <v>67</v>
      </c>
      <c r="G274" s="2278"/>
      <c r="H274" s="2279">
        <v>25402</v>
      </c>
      <c r="I274" s="6539">
        <v>25402</v>
      </c>
      <c r="J274" s="6539"/>
      <c r="K274" s="2277"/>
      <c r="L274" s="2277"/>
      <c r="M274" s="2280"/>
      <c r="N274" s="2281"/>
      <c r="O274" s="2281"/>
      <c r="P274" s="2279">
        <v>25402</v>
      </c>
      <c r="Q274" s="2279">
        <v>25402</v>
      </c>
      <c r="R274" s="2277"/>
      <c r="S274" s="2277"/>
      <c r="T274" s="2277"/>
    </row>
    <row r="275" spans="1:20" ht="12" customHeight="1" outlineLevel="1" x14ac:dyDescent="0.2">
      <c r="A275" s="6538" t="s">
        <v>2811</v>
      </c>
      <c r="B275" s="6538"/>
      <c r="C275" s="2275">
        <v>466</v>
      </c>
      <c r="D275" s="2276" t="s">
        <v>2812</v>
      </c>
      <c r="E275" s="2277" t="s">
        <v>2813</v>
      </c>
      <c r="F275" s="2278">
        <v>84</v>
      </c>
      <c r="G275" s="2278"/>
      <c r="H275" s="2279">
        <v>3200</v>
      </c>
      <c r="I275" s="6539">
        <v>3200</v>
      </c>
      <c r="J275" s="6539"/>
      <c r="K275" s="2277"/>
      <c r="L275" s="2277"/>
      <c r="M275" s="2280"/>
      <c r="N275" s="2281"/>
      <c r="O275" s="2281"/>
      <c r="P275" s="2277"/>
      <c r="Q275" s="2277"/>
      <c r="R275" s="2279">
        <v>3200</v>
      </c>
      <c r="S275" s="2279">
        <v>3200</v>
      </c>
      <c r="T275" s="2277"/>
    </row>
    <row r="276" spans="1:20" ht="12" customHeight="1" outlineLevel="1" x14ac:dyDescent="0.2">
      <c r="A276" s="6538" t="s">
        <v>2814</v>
      </c>
      <c r="B276" s="6538"/>
      <c r="C276" s="2275">
        <v>113</v>
      </c>
      <c r="D276" s="2276" t="s">
        <v>2192</v>
      </c>
      <c r="E276" s="2277" t="s">
        <v>2815</v>
      </c>
      <c r="F276" s="2278">
        <v>84</v>
      </c>
      <c r="G276" s="2278"/>
      <c r="H276" s="2279">
        <v>19368</v>
      </c>
      <c r="I276" s="6539">
        <v>19368</v>
      </c>
      <c r="J276" s="6539"/>
      <c r="K276" s="2277"/>
      <c r="L276" s="2277"/>
      <c r="M276" s="2280"/>
      <c r="N276" s="2281"/>
      <c r="O276" s="2281"/>
      <c r="P276" s="2277"/>
      <c r="Q276" s="2277"/>
      <c r="R276" s="2279">
        <v>19368</v>
      </c>
      <c r="S276" s="2279">
        <v>19368</v>
      </c>
      <c r="T276" s="2277"/>
    </row>
    <row r="277" spans="1:20" ht="12" customHeight="1" outlineLevel="1" x14ac:dyDescent="0.2">
      <c r="A277" s="6538" t="s">
        <v>2816</v>
      </c>
      <c r="B277" s="6538"/>
      <c r="C277" s="2282">
        <v>1736</v>
      </c>
      <c r="D277" s="2276" t="s">
        <v>2817</v>
      </c>
      <c r="E277" s="2277" t="s">
        <v>2818</v>
      </c>
      <c r="F277" s="2278">
        <v>84</v>
      </c>
      <c r="G277" s="2278"/>
      <c r="H277" s="2279">
        <v>49516.92</v>
      </c>
      <c r="I277" s="6539">
        <v>49516.92</v>
      </c>
      <c r="J277" s="6539"/>
      <c r="K277" s="2277"/>
      <c r="L277" s="2277"/>
      <c r="M277" s="2280"/>
      <c r="N277" s="2281"/>
      <c r="O277" s="2281"/>
      <c r="P277" s="2277"/>
      <c r="Q277" s="2277"/>
      <c r="R277" s="2279">
        <v>49516.92</v>
      </c>
      <c r="S277" s="2279">
        <v>49516.92</v>
      </c>
      <c r="T277" s="2277"/>
    </row>
    <row r="278" spans="1:20" ht="12" customHeight="1" outlineLevel="1" x14ac:dyDescent="0.2">
      <c r="A278" s="6538" t="s">
        <v>2819</v>
      </c>
      <c r="B278" s="6538"/>
      <c r="C278" s="2275">
        <v>476</v>
      </c>
      <c r="D278" s="2276" t="s">
        <v>2820</v>
      </c>
      <c r="E278" s="2277" t="s">
        <v>2821</v>
      </c>
      <c r="F278" s="2278">
        <v>1</v>
      </c>
      <c r="G278" s="2278"/>
      <c r="H278" s="2279">
        <v>4309</v>
      </c>
      <c r="I278" s="6539">
        <v>4309</v>
      </c>
      <c r="J278" s="6539"/>
      <c r="K278" s="2277"/>
      <c r="L278" s="2277"/>
      <c r="M278" s="2280"/>
      <c r="N278" s="2281"/>
      <c r="O278" s="2281"/>
      <c r="P278" s="2277"/>
      <c r="Q278" s="2277"/>
      <c r="R278" s="2279">
        <v>4309</v>
      </c>
      <c r="S278" s="2279">
        <v>4309</v>
      </c>
      <c r="T278" s="2277"/>
    </row>
    <row r="279" spans="1:20" ht="12" customHeight="1" outlineLevel="1" x14ac:dyDescent="0.2">
      <c r="A279" s="6538" t="s">
        <v>2822</v>
      </c>
      <c r="B279" s="6538"/>
      <c r="C279" s="2282">
        <v>2365</v>
      </c>
      <c r="D279" s="2276" t="s">
        <v>2823</v>
      </c>
      <c r="E279" s="2277" t="s">
        <v>2824</v>
      </c>
      <c r="F279" s="2278">
        <v>36</v>
      </c>
      <c r="G279" s="2278"/>
      <c r="H279" s="2279">
        <v>17016.95</v>
      </c>
      <c r="I279" s="6539">
        <v>17016.95</v>
      </c>
      <c r="J279" s="6539"/>
      <c r="K279" s="2277"/>
      <c r="L279" s="2277"/>
      <c r="M279" s="2280"/>
      <c r="N279" s="2281"/>
      <c r="O279" s="2281"/>
      <c r="P279" s="2277"/>
      <c r="Q279" s="2277"/>
      <c r="R279" s="2279">
        <v>17016.95</v>
      </c>
      <c r="S279" s="2279">
        <v>17016.95</v>
      </c>
      <c r="T279" s="2277"/>
    </row>
    <row r="280" spans="1:20" ht="12" customHeight="1" outlineLevel="1" x14ac:dyDescent="0.2">
      <c r="A280" s="6538" t="s">
        <v>2825</v>
      </c>
      <c r="B280" s="6538"/>
      <c r="C280" s="2282">
        <v>1756</v>
      </c>
      <c r="D280" s="2276" t="s">
        <v>2429</v>
      </c>
      <c r="E280" s="2277" t="s">
        <v>2826</v>
      </c>
      <c r="F280" s="2278">
        <v>36</v>
      </c>
      <c r="G280" s="2278"/>
      <c r="H280" s="2279">
        <v>30372.04</v>
      </c>
      <c r="I280" s="6539">
        <v>30372.04</v>
      </c>
      <c r="J280" s="6539"/>
      <c r="K280" s="2277"/>
      <c r="L280" s="2277"/>
      <c r="M280" s="2280"/>
      <c r="N280" s="2281"/>
      <c r="O280" s="2281"/>
      <c r="P280" s="2277"/>
      <c r="Q280" s="2277"/>
      <c r="R280" s="2279">
        <v>30372.04</v>
      </c>
      <c r="S280" s="2279">
        <v>30372.04</v>
      </c>
      <c r="T280" s="2277"/>
    </row>
    <row r="281" spans="1:20" ht="12" customHeight="1" outlineLevel="1" x14ac:dyDescent="0.2">
      <c r="A281" s="6538" t="s">
        <v>2827</v>
      </c>
      <c r="B281" s="6538"/>
      <c r="C281" s="2282">
        <v>1957</v>
      </c>
      <c r="D281" s="2276" t="s">
        <v>2828</v>
      </c>
      <c r="E281" s="2277" t="s">
        <v>2829</v>
      </c>
      <c r="F281" s="2278">
        <v>60</v>
      </c>
      <c r="G281" s="2278"/>
      <c r="H281" s="2279">
        <v>20556.78</v>
      </c>
      <c r="I281" s="6539">
        <v>20556.78</v>
      </c>
      <c r="J281" s="6539"/>
      <c r="K281" s="2277"/>
      <c r="L281" s="2277"/>
      <c r="M281" s="2280"/>
      <c r="N281" s="2281"/>
      <c r="O281" s="2281"/>
      <c r="P281" s="2277"/>
      <c r="Q281" s="2277"/>
      <c r="R281" s="2279">
        <v>20556.78</v>
      </c>
      <c r="S281" s="2279">
        <v>20556.78</v>
      </c>
      <c r="T281" s="2277"/>
    </row>
    <row r="282" spans="1:20" ht="12" customHeight="1" outlineLevel="1" x14ac:dyDescent="0.2">
      <c r="A282" s="6538" t="s">
        <v>2827</v>
      </c>
      <c r="B282" s="6538"/>
      <c r="C282" s="2282">
        <v>1958</v>
      </c>
      <c r="D282" s="2276" t="s">
        <v>2828</v>
      </c>
      <c r="E282" s="2277" t="s">
        <v>2829</v>
      </c>
      <c r="F282" s="2278">
        <v>60</v>
      </c>
      <c r="G282" s="2278"/>
      <c r="H282" s="2279">
        <v>20556.78</v>
      </c>
      <c r="I282" s="6539">
        <v>20556.78</v>
      </c>
      <c r="J282" s="6539"/>
      <c r="K282" s="2277"/>
      <c r="L282" s="2277"/>
      <c r="M282" s="2280"/>
      <c r="N282" s="2281"/>
      <c r="O282" s="2281"/>
      <c r="P282" s="2277"/>
      <c r="Q282" s="2277"/>
      <c r="R282" s="2279">
        <v>20556.78</v>
      </c>
      <c r="S282" s="2279">
        <v>20556.78</v>
      </c>
      <c r="T282" s="2277"/>
    </row>
    <row r="283" spans="1:20" ht="12" customHeight="1" outlineLevel="1" x14ac:dyDescent="0.2">
      <c r="A283" s="6538" t="s">
        <v>2827</v>
      </c>
      <c r="B283" s="6538"/>
      <c r="C283" s="2282">
        <v>1960</v>
      </c>
      <c r="D283" s="2276" t="s">
        <v>2828</v>
      </c>
      <c r="E283" s="2277" t="s">
        <v>2830</v>
      </c>
      <c r="F283" s="2278">
        <v>60</v>
      </c>
      <c r="G283" s="2278"/>
      <c r="H283" s="2279">
        <v>22161.02</v>
      </c>
      <c r="I283" s="6539">
        <v>22161.02</v>
      </c>
      <c r="J283" s="6539"/>
      <c r="K283" s="2277"/>
      <c r="L283" s="2277"/>
      <c r="M283" s="2280"/>
      <c r="N283" s="2281"/>
      <c r="O283" s="2281"/>
      <c r="P283" s="2277"/>
      <c r="Q283" s="2277"/>
      <c r="R283" s="2279">
        <v>22161.02</v>
      </c>
      <c r="S283" s="2279">
        <v>22161.02</v>
      </c>
      <c r="T283" s="2277"/>
    </row>
    <row r="284" spans="1:20" ht="12" customHeight="1" outlineLevel="1" x14ac:dyDescent="0.2">
      <c r="A284" s="6538" t="s">
        <v>2831</v>
      </c>
      <c r="B284" s="6538"/>
      <c r="C284" s="2275">
        <v>278</v>
      </c>
      <c r="D284" s="2276" t="s">
        <v>2832</v>
      </c>
      <c r="E284" s="2277" t="s">
        <v>2833</v>
      </c>
      <c r="F284" s="2278">
        <v>96</v>
      </c>
      <c r="G284" s="2278"/>
      <c r="H284" s="2279">
        <v>13069</v>
      </c>
      <c r="I284" s="6539">
        <v>13069</v>
      </c>
      <c r="J284" s="6539"/>
      <c r="K284" s="2277"/>
      <c r="L284" s="2277"/>
      <c r="M284" s="2280"/>
      <c r="N284" s="2281"/>
      <c r="O284" s="2281"/>
      <c r="P284" s="2279">
        <v>13069</v>
      </c>
      <c r="Q284" s="2279">
        <v>13069</v>
      </c>
      <c r="R284" s="2277"/>
      <c r="S284" s="2277"/>
      <c r="T284" s="2277"/>
    </row>
    <row r="285" spans="1:20" ht="12" customHeight="1" outlineLevel="1" x14ac:dyDescent="0.2">
      <c r="A285" s="6538" t="s">
        <v>2834</v>
      </c>
      <c r="B285" s="6538"/>
      <c r="C285" s="2275">
        <v>274</v>
      </c>
      <c r="D285" s="2276" t="s">
        <v>2832</v>
      </c>
      <c r="E285" s="2277" t="s">
        <v>2835</v>
      </c>
      <c r="F285" s="2278">
        <v>96</v>
      </c>
      <c r="G285" s="2278"/>
      <c r="H285" s="2279">
        <v>9473</v>
      </c>
      <c r="I285" s="6539">
        <v>9473</v>
      </c>
      <c r="J285" s="6539"/>
      <c r="K285" s="2277"/>
      <c r="L285" s="2277"/>
      <c r="M285" s="2280"/>
      <c r="N285" s="2281"/>
      <c r="O285" s="2281"/>
      <c r="P285" s="2279">
        <v>9473</v>
      </c>
      <c r="Q285" s="2279">
        <v>9473</v>
      </c>
      <c r="R285" s="2277"/>
      <c r="S285" s="2277"/>
      <c r="T285" s="2277"/>
    </row>
    <row r="286" spans="1:20" ht="12" customHeight="1" outlineLevel="1" x14ac:dyDescent="0.2">
      <c r="A286" s="6538" t="s">
        <v>2836</v>
      </c>
      <c r="B286" s="6538"/>
      <c r="C286" s="2275">
        <v>265</v>
      </c>
      <c r="D286" s="2276" t="s">
        <v>2837</v>
      </c>
      <c r="E286" s="2277" t="s">
        <v>2838</v>
      </c>
      <c r="F286" s="2278">
        <v>96</v>
      </c>
      <c r="G286" s="2278"/>
      <c r="H286" s="2279">
        <v>14819.83</v>
      </c>
      <c r="I286" s="6539">
        <v>14819.83</v>
      </c>
      <c r="J286" s="6539"/>
      <c r="K286" s="2277"/>
      <c r="L286" s="2277"/>
      <c r="M286" s="2280"/>
      <c r="N286" s="2281"/>
      <c r="O286" s="2281"/>
      <c r="P286" s="2279">
        <v>14819.83</v>
      </c>
      <c r="Q286" s="2279">
        <v>14819.83</v>
      </c>
      <c r="R286" s="2277"/>
      <c r="S286" s="2277"/>
      <c r="T286" s="2277"/>
    </row>
    <row r="287" spans="1:20" ht="12" customHeight="1" outlineLevel="1" x14ac:dyDescent="0.2">
      <c r="A287" s="6538" t="s">
        <v>2839</v>
      </c>
      <c r="B287" s="6538"/>
      <c r="C287" s="2275">
        <v>272</v>
      </c>
      <c r="D287" s="2276" t="s">
        <v>2840</v>
      </c>
      <c r="E287" s="2277" t="s">
        <v>2841</v>
      </c>
      <c r="F287" s="2278">
        <v>96</v>
      </c>
      <c r="G287" s="2278"/>
      <c r="H287" s="2279">
        <v>33333.33</v>
      </c>
      <c r="I287" s="6539">
        <v>33333.33</v>
      </c>
      <c r="J287" s="6539"/>
      <c r="K287" s="2277"/>
      <c r="L287" s="2277"/>
      <c r="M287" s="2280"/>
      <c r="N287" s="2281"/>
      <c r="O287" s="2281"/>
      <c r="P287" s="2279">
        <v>33333.33</v>
      </c>
      <c r="Q287" s="2279">
        <v>33333.33</v>
      </c>
      <c r="R287" s="2277"/>
      <c r="S287" s="2277"/>
      <c r="T287" s="2277"/>
    </row>
    <row r="288" spans="1:20" ht="12" customHeight="1" outlineLevel="1" x14ac:dyDescent="0.2">
      <c r="A288" s="6538" t="s">
        <v>2842</v>
      </c>
      <c r="B288" s="6538"/>
      <c r="C288" s="2275">
        <v>270</v>
      </c>
      <c r="D288" s="2276" t="s">
        <v>2570</v>
      </c>
      <c r="E288" s="2277" t="s">
        <v>2660</v>
      </c>
      <c r="F288" s="2278">
        <v>96</v>
      </c>
      <c r="G288" s="2278"/>
      <c r="H288" s="2279">
        <v>15000</v>
      </c>
      <c r="I288" s="6539">
        <v>15000</v>
      </c>
      <c r="J288" s="6539"/>
      <c r="K288" s="2277"/>
      <c r="L288" s="2277"/>
      <c r="M288" s="2280"/>
      <c r="N288" s="2281"/>
      <c r="O288" s="2281"/>
      <c r="P288" s="2277"/>
      <c r="Q288" s="2277"/>
      <c r="R288" s="2279">
        <v>15000</v>
      </c>
      <c r="S288" s="2279">
        <v>15000</v>
      </c>
      <c r="T288" s="2277"/>
    </row>
    <row r="289" spans="1:20" ht="12" customHeight="1" outlineLevel="1" x14ac:dyDescent="0.2">
      <c r="A289" s="6538" t="s">
        <v>2843</v>
      </c>
      <c r="B289" s="6538"/>
      <c r="C289" s="2275">
        <v>268</v>
      </c>
      <c r="D289" s="2276" t="s">
        <v>2570</v>
      </c>
      <c r="E289" s="2277" t="s">
        <v>2844</v>
      </c>
      <c r="F289" s="2278">
        <v>96</v>
      </c>
      <c r="G289" s="2278"/>
      <c r="H289" s="2279">
        <v>21230</v>
      </c>
      <c r="I289" s="6539">
        <v>21230</v>
      </c>
      <c r="J289" s="6539"/>
      <c r="K289" s="2277"/>
      <c r="L289" s="2277"/>
      <c r="M289" s="2280"/>
      <c r="N289" s="2281"/>
      <c r="O289" s="2281"/>
      <c r="P289" s="2277"/>
      <c r="Q289" s="2277"/>
      <c r="R289" s="2279">
        <v>21230</v>
      </c>
      <c r="S289" s="2279">
        <v>21230</v>
      </c>
      <c r="T289" s="2277"/>
    </row>
    <row r="290" spans="1:20" ht="12" customHeight="1" outlineLevel="1" x14ac:dyDescent="0.2">
      <c r="A290" s="6538" t="s">
        <v>2845</v>
      </c>
      <c r="B290" s="6538"/>
      <c r="C290" s="2275">
        <v>610</v>
      </c>
      <c r="D290" s="2276" t="s">
        <v>2846</v>
      </c>
      <c r="E290" s="2277" t="s">
        <v>2847</v>
      </c>
      <c r="F290" s="2278">
        <v>60</v>
      </c>
      <c r="G290" s="2278"/>
      <c r="H290" s="2279">
        <v>19808.330000000002</v>
      </c>
      <c r="I290" s="6539">
        <v>19808.330000000002</v>
      </c>
      <c r="J290" s="6539"/>
      <c r="K290" s="2277"/>
      <c r="L290" s="2277"/>
      <c r="M290" s="2280"/>
      <c r="N290" s="2281"/>
      <c r="O290" s="2281"/>
      <c r="P290" s="2277"/>
      <c r="Q290" s="2277"/>
      <c r="R290" s="2279">
        <v>19808.330000000002</v>
      </c>
      <c r="S290" s="2279">
        <v>19808.330000000002</v>
      </c>
      <c r="T290" s="2277"/>
    </row>
    <row r="291" spans="1:20" ht="12" customHeight="1" outlineLevel="1" x14ac:dyDescent="0.2">
      <c r="A291" s="6538" t="s">
        <v>2848</v>
      </c>
      <c r="B291" s="6538"/>
      <c r="C291" s="2275">
        <v>609</v>
      </c>
      <c r="D291" s="2276" t="s">
        <v>2846</v>
      </c>
      <c r="E291" s="2277" t="s">
        <v>2849</v>
      </c>
      <c r="F291" s="2278">
        <v>60</v>
      </c>
      <c r="G291" s="2278"/>
      <c r="H291" s="2279">
        <v>30238.82</v>
      </c>
      <c r="I291" s="6539">
        <v>30238.82</v>
      </c>
      <c r="J291" s="6539"/>
      <c r="K291" s="2277"/>
      <c r="L291" s="2277"/>
      <c r="M291" s="2280"/>
      <c r="N291" s="2281"/>
      <c r="O291" s="2281"/>
      <c r="P291" s="2277"/>
      <c r="Q291" s="2277"/>
      <c r="R291" s="2279">
        <v>30238.82</v>
      </c>
      <c r="S291" s="2279">
        <v>30238.82</v>
      </c>
      <c r="T291" s="2277"/>
    </row>
    <row r="292" spans="1:20" ht="12" customHeight="1" outlineLevel="1" x14ac:dyDescent="0.2">
      <c r="A292" s="6538" t="s">
        <v>2850</v>
      </c>
      <c r="B292" s="6538"/>
      <c r="C292" s="2275">
        <v>599</v>
      </c>
      <c r="D292" s="2276" t="s">
        <v>2846</v>
      </c>
      <c r="E292" s="2277" t="s">
        <v>2851</v>
      </c>
      <c r="F292" s="2278">
        <v>60</v>
      </c>
      <c r="G292" s="2278"/>
      <c r="H292" s="2279">
        <v>38892</v>
      </c>
      <c r="I292" s="6539">
        <v>38892</v>
      </c>
      <c r="J292" s="6539"/>
      <c r="K292" s="2277"/>
      <c r="L292" s="2277"/>
      <c r="M292" s="2280"/>
      <c r="N292" s="2281"/>
      <c r="O292" s="2281"/>
      <c r="P292" s="2277"/>
      <c r="Q292" s="2277"/>
      <c r="R292" s="2279">
        <v>38892</v>
      </c>
      <c r="S292" s="2279">
        <v>38892</v>
      </c>
      <c r="T292" s="2277"/>
    </row>
    <row r="293" spans="1:20" ht="12" customHeight="1" outlineLevel="1" x14ac:dyDescent="0.2">
      <c r="A293" s="6538" t="s">
        <v>2852</v>
      </c>
      <c r="B293" s="6538"/>
      <c r="C293" s="2275">
        <v>680</v>
      </c>
      <c r="D293" s="2276" t="s">
        <v>2853</v>
      </c>
      <c r="E293" s="2277" t="s">
        <v>2854</v>
      </c>
      <c r="F293" s="2278">
        <v>60</v>
      </c>
      <c r="G293" s="2278"/>
      <c r="H293" s="2279">
        <v>22310</v>
      </c>
      <c r="I293" s="6539">
        <v>22310</v>
      </c>
      <c r="J293" s="6539"/>
      <c r="K293" s="2277"/>
      <c r="L293" s="2277"/>
      <c r="M293" s="2280"/>
      <c r="N293" s="2281"/>
      <c r="O293" s="2281"/>
      <c r="P293" s="2277"/>
      <c r="Q293" s="2277"/>
      <c r="R293" s="2279">
        <v>22310</v>
      </c>
      <c r="S293" s="2279">
        <v>22310</v>
      </c>
      <c r="T293" s="2277"/>
    </row>
    <row r="294" spans="1:20" ht="12" customHeight="1" outlineLevel="1" x14ac:dyDescent="0.2">
      <c r="A294" s="6538" t="s">
        <v>2855</v>
      </c>
      <c r="B294" s="6538"/>
      <c r="C294" s="2282">
        <v>1849</v>
      </c>
      <c r="D294" s="2276" t="s">
        <v>2856</v>
      </c>
      <c r="E294" s="2277" t="s">
        <v>2857</v>
      </c>
      <c r="F294" s="2278">
        <v>60</v>
      </c>
      <c r="G294" s="2278"/>
      <c r="H294" s="2279">
        <v>27698</v>
      </c>
      <c r="I294" s="6539">
        <v>27698</v>
      </c>
      <c r="J294" s="6539"/>
      <c r="K294" s="2277"/>
      <c r="L294" s="2277"/>
      <c r="M294" s="2280"/>
      <c r="N294" s="2281"/>
      <c r="O294" s="2281"/>
      <c r="P294" s="2277"/>
      <c r="Q294" s="2277"/>
      <c r="R294" s="2279">
        <v>27698</v>
      </c>
      <c r="S294" s="2279">
        <v>27698</v>
      </c>
      <c r="T294" s="2277"/>
    </row>
    <row r="295" spans="1:20" ht="12" customHeight="1" outlineLevel="1" x14ac:dyDescent="0.2">
      <c r="A295" s="6538" t="s">
        <v>2858</v>
      </c>
      <c r="B295" s="6538"/>
      <c r="C295" s="2275">
        <v>728</v>
      </c>
      <c r="D295" s="2276" t="s">
        <v>2859</v>
      </c>
      <c r="E295" s="2277" t="s">
        <v>2860</v>
      </c>
      <c r="F295" s="2278">
        <v>60</v>
      </c>
      <c r="G295" s="2278"/>
      <c r="H295" s="2279">
        <v>35731</v>
      </c>
      <c r="I295" s="6539">
        <v>35731</v>
      </c>
      <c r="J295" s="6539"/>
      <c r="K295" s="2277"/>
      <c r="L295" s="2277"/>
      <c r="M295" s="2280"/>
      <c r="N295" s="2281"/>
      <c r="O295" s="2281"/>
      <c r="P295" s="2277"/>
      <c r="Q295" s="2277"/>
      <c r="R295" s="2279">
        <v>35731</v>
      </c>
      <c r="S295" s="2279">
        <v>35731</v>
      </c>
      <c r="T295" s="2277"/>
    </row>
    <row r="296" spans="1:20" ht="12" customHeight="1" outlineLevel="1" x14ac:dyDescent="0.2">
      <c r="A296" s="6538" t="s">
        <v>2861</v>
      </c>
      <c r="B296" s="6538"/>
      <c r="C296" s="2275">
        <v>692</v>
      </c>
      <c r="D296" s="2276" t="s">
        <v>2781</v>
      </c>
      <c r="E296" s="2277" t="s">
        <v>2862</v>
      </c>
      <c r="F296" s="2278">
        <v>60</v>
      </c>
      <c r="G296" s="2278"/>
      <c r="H296" s="2279">
        <v>17990</v>
      </c>
      <c r="I296" s="6539">
        <v>17990</v>
      </c>
      <c r="J296" s="6539"/>
      <c r="K296" s="2277"/>
      <c r="L296" s="2277"/>
      <c r="M296" s="2280"/>
      <c r="N296" s="2281"/>
      <c r="O296" s="2281"/>
      <c r="P296" s="2277"/>
      <c r="Q296" s="2277"/>
      <c r="R296" s="2279">
        <v>17990</v>
      </c>
      <c r="S296" s="2279">
        <v>17990</v>
      </c>
      <c r="T296" s="2277"/>
    </row>
    <row r="297" spans="1:20" ht="12" customHeight="1" outlineLevel="1" x14ac:dyDescent="0.2">
      <c r="A297" s="6538" t="s">
        <v>2863</v>
      </c>
      <c r="B297" s="6538"/>
      <c r="C297" s="2282">
        <v>2376</v>
      </c>
      <c r="D297" s="2276" t="s">
        <v>2864</v>
      </c>
      <c r="E297" s="2277" t="s">
        <v>2865</v>
      </c>
      <c r="F297" s="2278">
        <v>36</v>
      </c>
      <c r="G297" s="2278"/>
      <c r="H297" s="2279">
        <v>29000.84</v>
      </c>
      <c r="I297" s="6539">
        <v>29000.84</v>
      </c>
      <c r="J297" s="6539"/>
      <c r="K297" s="2277"/>
      <c r="L297" s="2277"/>
      <c r="M297" s="2280"/>
      <c r="N297" s="2281"/>
      <c r="O297" s="2281"/>
      <c r="P297" s="2277"/>
      <c r="Q297" s="2277"/>
      <c r="R297" s="2279">
        <v>29000.84</v>
      </c>
      <c r="S297" s="2279">
        <v>29000.84</v>
      </c>
      <c r="T297" s="2277"/>
    </row>
    <row r="298" spans="1:20" ht="23.25" customHeight="1" outlineLevel="1" x14ac:dyDescent="0.2">
      <c r="A298" s="6538" t="s">
        <v>2866</v>
      </c>
      <c r="B298" s="6538"/>
      <c r="C298" s="2275">
        <v>729</v>
      </c>
      <c r="D298" s="2276" t="s">
        <v>2867</v>
      </c>
      <c r="E298" s="2277" t="s">
        <v>2868</v>
      </c>
      <c r="F298" s="2278">
        <v>60</v>
      </c>
      <c r="G298" s="2278"/>
      <c r="H298" s="2279">
        <v>46123</v>
      </c>
      <c r="I298" s="6539">
        <v>46123</v>
      </c>
      <c r="J298" s="6539"/>
      <c r="K298" s="2277"/>
      <c r="L298" s="2277"/>
      <c r="M298" s="2280"/>
      <c r="N298" s="2281"/>
      <c r="O298" s="2281"/>
      <c r="P298" s="2277"/>
      <c r="Q298" s="2277"/>
      <c r="R298" s="2279">
        <v>46123</v>
      </c>
      <c r="S298" s="2279">
        <v>46123</v>
      </c>
      <c r="T298" s="2277"/>
    </row>
    <row r="299" spans="1:20" ht="12" customHeight="1" outlineLevel="1" x14ac:dyDescent="0.2">
      <c r="A299" s="6538" t="s">
        <v>2869</v>
      </c>
      <c r="B299" s="6538"/>
      <c r="C299" s="2282">
        <v>1748</v>
      </c>
      <c r="D299" s="2276" t="s">
        <v>2344</v>
      </c>
      <c r="E299" s="2277" t="s">
        <v>2870</v>
      </c>
      <c r="F299" s="2278">
        <v>36</v>
      </c>
      <c r="G299" s="2278"/>
      <c r="H299" s="2279">
        <v>32722</v>
      </c>
      <c r="I299" s="6539">
        <v>32722</v>
      </c>
      <c r="J299" s="6539"/>
      <c r="K299" s="2277"/>
      <c r="L299" s="2277"/>
      <c r="M299" s="2280"/>
      <c r="N299" s="2281"/>
      <c r="O299" s="2281"/>
      <c r="P299" s="2277"/>
      <c r="Q299" s="2277"/>
      <c r="R299" s="2279">
        <v>32722</v>
      </c>
      <c r="S299" s="2279">
        <v>32722</v>
      </c>
      <c r="T299" s="2277"/>
    </row>
    <row r="300" spans="1:20" ht="12" customHeight="1" outlineLevel="1" x14ac:dyDescent="0.2">
      <c r="A300" s="6538" t="s">
        <v>2869</v>
      </c>
      <c r="B300" s="6538"/>
      <c r="C300" s="2282">
        <v>1749</v>
      </c>
      <c r="D300" s="2276" t="s">
        <v>2344</v>
      </c>
      <c r="E300" s="2277" t="s">
        <v>2871</v>
      </c>
      <c r="F300" s="2278">
        <v>36</v>
      </c>
      <c r="G300" s="2278"/>
      <c r="H300" s="2279">
        <v>32043</v>
      </c>
      <c r="I300" s="6539">
        <v>32043</v>
      </c>
      <c r="J300" s="6539"/>
      <c r="K300" s="2277"/>
      <c r="L300" s="2277"/>
      <c r="M300" s="2280"/>
      <c r="N300" s="2281"/>
      <c r="O300" s="2281"/>
      <c r="P300" s="2277"/>
      <c r="Q300" s="2277"/>
      <c r="R300" s="2279">
        <v>32043</v>
      </c>
      <c r="S300" s="2279">
        <v>32043</v>
      </c>
      <c r="T300" s="2277"/>
    </row>
    <row r="301" spans="1:20" ht="12" customHeight="1" outlineLevel="1" x14ac:dyDescent="0.2">
      <c r="A301" s="6538" t="s">
        <v>2872</v>
      </c>
      <c r="B301" s="6538"/>
      <c r="C301" s="2282">
        <v>1935</v>
      </c>
      <c r="D301" s="2276" t="s">
        <v>2873</v>
      </c>
      <c r="E301" s="2277" t="s">
        <v>2874</v>
      </c>
      <c r="F301" s="2278">
        <v>60</v>
      </c>
      <c r="G301" s="2278"/>
      <c r="H301" s="2279">
        <v>18779.66</v>
      </c>
      <c r="I301" s="6539">
        <v>18779.66</v>
      </c>
      <c r="J301" s="6539"/>
      <c r="K301" s="2277"/>
      <c r="L301" s="2277"/>
      <c r="M301" s="2280"/>
      <c r="N301" s="2281"/>
      <c r="O301" s="2281"/>
      <c r="P301" s="2277"/>
      <c r="Q301" s="2277"/>
      <c r="R301" s="2279">
        <v>18779.66</v>
      </c>
      <c r="S301" s="2279">
        <v>18779.66</v>
      </c>
      <c r="T301" s="2277"/>
    </row>
    <row r="302" spans="1:20" ht="12" customHeight="1" outlineLevel="1" x14ac:dyDescent="0.2">
      <c r="A302" s="6538" t="s">
        <v>2872</v>
      </c>
      <c r="B302" s="6538"/>
      <c r="C302" s="2282">
        <v>2016</v>
      </c>
      <c r="D302" s="2276" t="s">
        <v>2873</v>
      </c>
      <c r="E302" s="2277" t="s">
        <v>2874</v>
      </c>
      <c r="F302" s="2278">
        <v>60</v>
      </c>
      <c r="G302" s="2278"/>
      <c r="H302" s="2279">
        <v>18779.66</v>
      </c>
      <c r="I302" s="6539">
        <v>18779.66</v>
      </c>
      <c r="J302" s="6539"/>
      <c r="K302" s="2277"/>
      <c r="L302" s="2277"/>
      <c r="M302" s="2280"/>
      <c r="N302" s="2281"/>
      <c r="O302" s="2281"/>
      <c r="P302" s="2277"/>
      <c r="Q302" s="2277"/>
      <c r="R302" s="2279">
        <v>18779.66</v>
      </c>
      <c r="S302" s="2279">
        <v>18779.66</v>
      </c>
      <c r="T302" s="2277"/>
    </row>
    <row r="303" spans="1:20" ht="12" customHeight="1" outlineLevel="1" x14ac:dyDescent="0.2">
      <c r="A303" s="6538" t="s">
        <v>2875</v>
      </c>
      <c r="B303" s="6538"/>
      <c r="C303" s="2282">
        <v>2306</v>
      </c>
      <c r="D303" s="2276" t="s">
        <v>2876</v>
      </c>
      <c r="E303" s="2277" t="s">
        <v>2877</v>
      </c>
      <c r="F303" s="2278">
        <v>36</v>
      </c>
      <c r="G303" s="2278"/>
      <c r="H303" s="2279">
        <v>25008.47</v>
      </c>
      <c r="I303" s="6539">
        <v>25008.47</v>
      </c>
      <c r="J303" s="6539"/>
      <c r="K303" s="2277"/>
      <c r="L303" s="2277"/>
      <c r="M303" s="2280"/>
      <c r="N303" s="2281"/>
      <c r="O303" s="2281"/>
      <c r="P303" s="2277"/>
      <c r="Q303" s="2277"/>
      <c r="R303" s="2279">
        <v>25008.47</v>
      </c>
      <c r="S303" s="2279">
        <v>25008.47</v>
      </c>
      <c r="T303" s="2277"/>
    </row>
    <row r="304" spans="1:20" ht="12" customHeight="1" outlineLevel="1" x14ac:dyDescent="0.2">
      <c r="A304" s="6538" t="s">
        <v>2878</v>
      </c>
      <c r="B304" s="6538"/>
      <c r="C304" s="2282">
        <v>1879</v>
      </c>
      <c r="D304" s="2276" t="s">
        <v>2456</v>
      </c>
      <c r="E304" s="2277" t="s">
        <v>2879</v>
      </c>
      <c r="F304" s="2278">
        <v>60</v>
      </c>
      <c r="G304" s="2278"/>
      <c r="H304" s="2279">
        <v>30444.94</v>
      </c>
      <c r="I304" s="6539">
        <v>30444.94</v>
      </c>
      <c r="J304" s="6539"/>
      <c r="K304" s="2277"/>
      <c r="L304" s="2277"/>
      <c r="M304" s="2280"/>
      <c r="N304" s="2281"/>
      <c r="O304" s="2281"/>
      <c r="P304" s="2277"/>
      <c r="Q304" s="2277"/>
      <c r="R304" s="2279">
        <v>30444.94</v>
      </c>
      <c r="S304" s="2279">
        <v>30444.94</v>
      </c>
      <c r="T304" s="2277"/>
    </row>
    <row r="305" spans="1:20" ht="12" customHeight="1" outlineLevel="1" x14ac:dyDescent="0.2">
      <c r="A305" s="6538" t="s">
        <v>2880</v>
      </c>
      <c r="B305" s="6538"/>
      <c r="C305" s="2275">
        <v>1703</v>
      </c>
      <c r="D305" s="2276" t="s">
        <v>2881</v>
      </c>
      <c r="E305" s="2277" t="s">
        <v>2882</v>
      </c>
      <c r="F305" s="2278">
        <v>60</v>
      </c>
      <c r="G305" s="2278"/>
      <c r="H305" s="2279">
        <v>21093.22</v>
      </c>
      <c r="I305" s="6539">
        <v>21093.22</v>
      </c>
      <c r="J305" s="6539"/>
      <c r="K305" s="2277"/>
      <c r="L305" s="2277"/>
      <c r="M305" s="2280"/>
      <c r="N305" s="2281"/>
      <c r="O305" s="2281"/>
      <c r="P305" s="2277"/>
      <c r="Q305" s="2277"/>
      <c r="R305" s="2279">
        <v>21093.22</v>
      </c>
      <c r="S305" s="2279">
        <v>21093.22</v>
      </c>
      <c r="T305" s="2277"/>
    </row>
    <row r="306" spans="1:20" ht="12" customHeight="1" outlineLevel="1" x14ac:dyDescent="0.2">
      <c r="A306" s="6538" t="s">
        <v>2883</v>
      </c>
      <c r="B306" s="6538"/>
      <c r="C306" s="2282">
        <v>1856</v>
      </c>
      <c r="D306" s="2276" t="s">
        <v>2884</v>
      </c>
      <c r="E306" s="2277" t="s">
        <v>2885</v>
      </c>
      <c r="F306" s="2278">
        <v>120</v>
      </c>
      <c r="G306" s="2278"/>
      <c r="H306" s="2279">
        <v>13452.14</v>
      </c>
      <c r="I306" s="6539">
        <v>13452.14</v>
      </c>
      <c r="J306" s="6539"/>
      <c r="K306" s="2277"/>
      <c r="L306" s="2277"/>
      <c r="M306" s="2280"/>
      <c r="N306" s="2281"/>
      <c r="O306" s="2281"/>
      <c r="P306" s="2277"/>
      <c r="Q306" s="2277"/>
      <c r="R306" s="2279">
        <v>13452.14</v>
      </c>
      <c r="S306" s="2279">
        <v>13452.14</v>
      </c>
      <c r="T306" s="2277"/>
    </row>
    <row r="307" spans="1:20" ht="12" customHeight="1" outlineLevel="1" x14ac:dyDescent="0.2">
      <c r="A307" s="6538" t="s">
        <v>2886</v>
      </c>
      <c r="B307" s="6538"/>
      <c r="C307" s="2275">
        <v>578</v>
      </c>
      <c r="D307" s="2276" t="s">
        <v>2887</v>
      </c>
      <c r="E307" s="2277" t="s">
        <v>2888</v>
      </c>
      <c r="F307" s="2278">
        <v>60</v>
      </c>
      <c r="G307" s="2278"/>
      <c r="H307" s="2279">
        <v>18227.21</v>
      </c>
      <c r="I307" s="6539">
        <v>18227.21</v>
      </c>
      <c r="J307" s="6539"/>
      <c r="K307" s="2277"/>
      <c r="L307" s="2277"/>
      <c r="M307" s="2280"/>
      <c r="N307" s="2281"/>
      <c r="O307" s="2281"/>
      <c r="P307" s="2277"/>
      <c r="Q307" s="2277"/>
      <c r="R307" s="2279">
        <v>18227.21</v>
      </c>
      <c r="S307" s="2279">
        <v>18227.21</v>
      </c>
      <c r="T307" s="2277"/>
    </row>
    <row r="308" spans="1:20" ht="12" customHeight="1" outlineLevel="1" x14ac:dyDescent="0.2">
      <c r="A308" s="6538" t="s">
        <v>2889</v>
      </c>
      <c r="B308" s="6538"/>
      <c r="C308" s="2275">
        <v>114</v>
      </c>
      <c r="D308" s="2276" t="s">
        <v>2192</v>
      </c>
      <c r="E308" s="2277" t="s">
        <v>2890</v>
      </c>
      <c r="F308" s="2278">
        <v>60</v>
      </c>
      <c r="G308" s="2278"/>
      <c r="H308" s="2279">
        <v>11050</v>
      </c>
      <c r="I308" s="6539">
        <v>11050</v>
      </c>
      <c r="J308" s="6539"/>
      <c r="K308" s="2277"/>
      <c r="L308" s="2277"/>
      <c r="M308" s="2280"/>
      <c r="N308" s="2281"/>
      <c r="O308" s="2281"/>
      <c r="P308" s="2277"/>
      <c r="Q308" s="2277"/>
      <c r="R308" s="2279">
        <v>11050</v>
      </c>
      <c r="S308" s="2279">
        <v>11050</v>
      </c>
      <c r="T308" s="2277"/>
    </row>
    <row r="309" spans="1:20" ht="12" customHeight="1" outlineLevel="1" x14ac:dyDescent="0.2">
      <c r="A309" s="6538" t="s">
        <v>2891</v>
      </c>
      <c r="B309" s="6538"/>
      <c r="C309" s="2275">
        <v>340</v>
      </c>
      <c r="D309" s="2276" t="s">
        <v>2294</v>
      </c>
      <c r="E309" s="2277" t="s">
        <v>2892</v>
      </c>
      <c r="F309" s="2278">
        <v>273</v>
      </c>
      <c r="G309" s="2278"/>
      <c r="H309" s="2279">
        <v>14956</v>
      </c>
      <c r="I309" s="6539">
        <v>14956</v>
      </c>
      <c r="J309" s="6539"/>
      <c r="K309" s="2277"/>
      <c r="L309" s="2277"/>
      <c r="M309" s="2280"/>
      <c r="N309" s="2281"/>
      <c r="O309" s="2281"/>
      <c r="P309" s="2277"/>
      <c r="Q309" s="2277"/>
      <c r="R309" s="2279">
        <v>14956</v>
      </c>
      <c r="S309" s="2279">
        <v>14956</v>
      </c>
      <c r="T309" s="2277"/>
    </row>
    <row r="310" spans="1:20" ht="23.25" customHeight="1" outlineLevel="1" x14ac:dyDescent="0.2">
      <c r="A310" s="6538" t="s">
        <v>2893</v>
      </c>
      <c r="B310" s="6538"/>
      <c r="C310" s="2275">
        <v>104</v>
      </c>
      <c r="D310" s="2276" t="s">
        <v>2192</v>
      </c>
      <c r="E310" s="2277" t="s">
        <v>2894</v>
      </c>
      <c r="F310" s="2278">
        <v>273</v>
      </c>
      <c r="G310" s="2278"/>
      <c r="H310" s="2279">
        <v>11596</v>
      </c>
      <c r="I310" s="6539">
        <v>11596</v>
      </c>
      <c r="J310" s="6539"/>
      <c r="K310" s="2277"/>
      <c r="L310" s="2277"/>
      <c r="M310" s="2280"/>
      <c r="N310" s="2281"/>
      <c r="O310" s="2281"/>
      <c r="P310" s="2277"/>
      <c r="Q310" s="2277"/>
      <c r="R310" s="2279">
        <v>11596</v>
      </c>
      <c r="S310" s="2279">
        <v>11596</v>
      </c>
      <c r="T310" s="2277"/>
    </row>
    <row r="311" spans="1:20" ht="23.25" customHeight="1" outlineLevel="1" x14ac:dyDescent="0.2">
      <c r="A311" s="6538" t="s">
        <v>2895</v>
      </c>
      <c r="B311" s="6538"/>
      <c r="C311" s="2275">
        <v>103</v>
      </c>
      <c r="D311" s="2276" t="s">
        <v>2192</v>
      </c>
      <c r="E311" s="2277" t="s">
        <v>2896</v>
      </c>
      <c r="F311" s="2278">
        <v>273</v>
      </c>
      <c r="G311" s="2278"/>
      <c r="H311" s="2279">
        <v>41451</v>
      </c>
      <c r="I311" s="6539">
        <v>41451</v>
      </c>
      <c r="J311" s="6539"/>
      <c r="K311" s="2277"/>
      <c r="L311" s="2277"/>
      <c r="M311" s="2280"/>
      <c r="N311" s="2281"/>
      <c r="O311" s="2281"/>
      <c r="P311" s="2277"/>
      <c r="Q311" s="2277"/>
      <c r="R311" s="2279">
        <v>41451</v>
      </c>
      <c r="S311" s="2279">
        <v>41451</v>
      </c>
      <c r="T311" s="2277"/>
    </row>
    <row r="312" spans="1:20" ht="12" customHeight="1" outlineLevel="1" x14ac:dyDescent="0.2">
      <c r="A312" s="6538" t="s">
        <v>2897</v>
      </c>
      <c r="B312" s="6538"/>
      <c r="C312" s="2282">
        <v>2326</v>
      </c>
      <c r="D312" s="2276" t="s">
        <v>2898</v>
      </c>
      <c r="E312" s="2277" t="s">
        <v>2899</v>
      </c>
      <c r="F312" s="2278">
        <v>84</v>
      </c>
      <c r="G312" s="2278"/>
      <c r="H312" s="2279">
        <v>30521.19</v>
      </c>
      <c r="I312" s="6539">
        <v>30521.19</v>
      </c>
      <c r="J312" s="6539"/>
      <c r="K312" s="2277"/>
      <c r="L312" s="2277"/>
      <c r="M312" s="2280"/>
      <c r="N312" s="2281"/>
      <c r="O312" s="2281"/>
      <c r="P312" s="2277"/>
      <c r="Q312" s="2277"/>
      <c r="R312" s="2279">
        <v>30521.19</v>
      </c>
      <c r="S312" s="2279">
        <v>30521.19</v>
      </c>
      <c r="T312" s="2277"/>
    </row>
    <row r="313" spans="1:20" ht="12" customHeight="1" outlineLevel="1" x14ac:dyDescent="0.2">
      <c r="A313" s="6538" t="s">
        <v>2900</v>
      </c>
      <c r="B313" s="6538"/>
      <c r="C313" s="2282">
        <v>1929</v>
      </c>
      <c r="D313" s="2276" t="s">
        <v>2221</v>
      </c>
      <c r="E313" s="2277" t="s">
        <v>2901</v>
      </c>
      <c r="F313" s="2278">
        <v>60</v>
      </c>
      <c r="G313" s="2278"/>
      <c r="H313" s="2279">
        <v>20500</v>
      </c>
      <c r="I313" s="6539">
        <v>20500</v>
      </c>
      <c r="J313" s="6539"/>
      <c r="K313" s="2277"/>
      <c r="L313" s="2277"/>
      <c r="M313" s="2280"/>
      <c r="N313" s="2281"/>
      <c r="O313" s="2281"/>
      <c r="P313" s="2277"/>
      <c r="Q313" s="2277"/>
      <c r="R313" s="2279">
        <v>20500</v>
      </c>
      <c r="S313" s="2279">
        <v>20500</v>
      </c>
      <c r="T313" s="2277"/>
    </row>
    <row r="314" spans="1:20" ht="12" customHeight="1" outlineLevel="1" x14ac:dyDescent="0.2">
      <c r="A314" s="6538" t="s">
        <v>2902</v>
      </c>
      <c r="B314" s="6538"/>
      <c r="C314" s="2282">
        <v>1912</v>
      </c>
      <c r="D314" s="2276" t="s">
        <v>2584</v>
      </c>
      <c r="E314" s="2277" t="s">
        <v>2903</v>
      </c>
      <c r="F314" s="2278">
        <v>120</v>
      </c>
      <c r="G314" s="2278"/>
      <c r="H314" s="2279">
        <v>32269.13</v>
      </c>
      <c r="I314" s="6539">
        <v>32269.13</v>
      </c>
      <c r="J314" s="6539"/>
      <c r="K314" s="2277"/>
      <c r="L314" s="2277"/>
      <c r="M314" s="2280"/>
      <c r="N314" s="2281"/>
      <c r="O314" s="2281"/>
      <c r="P314" s="2277"/>
      <c r="Q314" s="2277"/>
      <c r="R314" s="2279">
        <v>32269.13</v>
      </c>
      <c r="S314" s="2279">
        <v>32269.13</v>
      </c>
      <c r="T314" s="2277"/>
    </row>
    <row r="315" spans="1:20" ht="12" customHeight="1" outlineLevel="1" x14ac:dyDescent="0.2">
      <c r="A315" s="6538" t="s">
        <v>2904</v>
      </c>
      <c r="B315" s="6538"/>
      <c r="C315" s="2282">
        <v>1906</v>
      </c>
      <c r="D315" s="2276" t="s">
        <v>2656</v>
      </c>
      <c r="E315" s="2277" t="s">
        <v>2905</v>
      </c>
      <c r="F315" s="2278">
        <v>120</v>
      </c>
      <c r="G315" s="2278"/>
      <c r="H315" s="2279">
        <v>39266.43</v>
      </c>
      <c r="I315" s="6539">
        <v>39266.43</v>
      </c>
      <c r="J315" s="6539"/>
      <c r="K315" s="2277"/>
      <c r="L315" s="2277"/>
      <c r="M315" s="2280"/>
      <c r="N315" s="2281"/>
      <c r="O315" s="2281"/>
      <c r="P315" s="2277"/>
      <c r="Q315" s="2277"/>
      <c r="R315" s="2279">
        <v>39266.43</v>
      </c>
      <c r="S315" s="2279">
        <v>39266.43</v>
      </c>
      <c r="T315" s="2277"/>
    </row>
    <row r="316" spans="1:20" ht="12" customHeight="1" outlineLevel="1" x14ac:dyDescent="0.2">
      <c r="A316" s="6538" t="s">
        <v>2906</v>
      </c>
      <c r="B316" s="6538"/>
      <c r="C316" s="2282">
        <v>1905</v>
      </c>
      <c r="D316" s="2276" t="s">
        <v>2656</v>
      </c>
      <c r="E316" s="2277" t="s">
        <v>2907</v>
      </c>
      <c r="F316" s="2278">
        <v>120</v>
      </c>
      <c r="G316" s="2278"/>
      <c r="H316" s="2279">
        <v>39266.42</v>
      </c>
      <c r="I316" s="6539">
        <v>39266.42</v>
      </c>
      <c r="J316" s="6539"/>
      <c r="K316" s="2277"/>
      <c r="L316" s="2277"/>
      <c r="M316" s="2280"/>
      <c r="N316" s="2281"/>
      <c r="O316" s="2281"/>
      <c r="P316" s="2277"/>
      <c r="Q316" s="2277"/>
      <c r="R316" s="2279">
        <v>39266.42</v>
      </c>
      <c r="S316" s="2279">
        <v>39266.42</v>
      </c>
      <c r="T316" s="2277"/>
    </row>
    <row r="317" spans="1:20" ht="12" customHeight="1" outlineLevel="1" x14ac:dyDescent="0.2">
      <c r="A317" s="6538" t="s">
        <v>2583</v>
      </c>
      <c r="B317" s="6538"/>
      <c r="C317" s="2282">
        <v>1919</v>
      </c>
      <c r="D317" s="2276" t="s">
        <v>2584</v>
      </c>
      <c r="E317" s="2277" t="s">
        <v>2585</v>
      </c>
      <c r="F317" s="2278">
        <v>120</v>
      </c>
      <c r="G317" s="2278"/>
      <c r="H317" s="2279">
        <v>49970.28</v>
      </c>
      <c r="I317" s="6539">
        <v>49970.28</v>
      </c>
      <c r="J317" s="6539"/>
      <c r="K317" s="2277"/>
      <c r="L317" s="2277"/>
      <c r="M317" s="2280"/>
      <c r="N317" s="2281"/>
      <c r="O317" s="2281"/>
      <c r="P317" s="2277"/>
      <c r="Q317" s="2277"/>
      <c r="R317" s="2279">
        <v>49970.28</v>
      </c>
      <c r="S317" s="2279">
        <v>49970.28</v>
      </c>
      <c r="T317" s="2277"/>
    </row>
    <row r="318" spans="1:20" ht="12" customHeight="1" outlineLevel="1" x14ac:dyDescent="0.2">
      <c r="A318" s="6538" t="s">
        <v>2908</v>
      </c>
      <c r="B318" s="6538"/>
      <c r="C318" s="2275">
        <v>412</v>
      </c>
      <c r="D318" s="2276" t="s">
        <v>2909</v>
      </c>
      <c r="E318" s="2277" t="s">
        <v>2910</v>
      </c>
      <c r="F318" s="2278">
        <v>30</v>
      </c>
      <c r="G318" s="2278"/>
      <c r="H318" s="2279">
        <v>2607</v>
      </c>
      <c r="I318" s="6539">
        <v>2607</v>
      </c>
      <c r="J318" s="6539"/>
      <c r="K318" s="2277"/>
      <c r="L318" s="2277"/>
      <c r="M318" s="2280"/>
      <c r="N318" s="2281"/>
      <c r="O318" s="2281"/>
      <c r="P318" s="2277"/>
      <c r="Q318" s="2277"/>
      <c r="R318" s="2279">
        <v>2607</v>
      </c>
      <c r="S318" s="2279">
        <v>2607</v>
      </c>
      <c r="T318" s="2277"/>
    </row>
    <row r="319" spans="1:20" ht="12" customHeight="1" outlineLevel="1" x14ac:dyDescent="0.2">
      <c r="A319" s="6538" t="s">
        <v>2911</v>
      </c>
      <c r="B319" s="6538"/>
      <c r="C319" s="2275">
        <v>413</v>
      </c>
      <c r="D319" s="2276" t="s">
        <v>2912</v>
      </c>
      <c r="E319" s="2277" t="s">
        <v>2913</v>
      </c>
      <c r="F319" s="2278">
        <v>84</v>
      </c>
      <c r="G319" s="2278"/>
      <c r="H319" s="2279">
        <v>5398</v>
      </c>
      <c r="I319" s="6539">
        <v>5398</v>
      </c>
      <c r="J319" s="6539"/>
      <c r="K319" s="2277"/>
      <c r="L319" s="2277"/>
      <c r="M319" s="2280"/>
      <c r="N319" s="2281"/>
      <c r="O319" s="2281"/>
      <c r="P319" s="2277"/>
      <c r="Q319" s="2277"/>
      <c r="R319" s="2279">
        <v>5398</v>
      </c>
      <c r="S319" s="2279">
        <v>5398</v>
      </c>
      <c r="T319" s="2277"/>
    </row>
    <row r="320" spans="1:20" ht="12" customHeight="1" outlineLevel="1" x14ac:dyDescent="0.2">
      <c r="A320" s="6538" t="s">
        <v>2914</v>
      </c>
      <c r="B320" s="6538"/>
      <c r="C320" s="2275">
        <v>118</v>
      </c>
      <c r="D320" s="2276" t="s">
        <v>2192</v>
      </c>
      <c r="E320" s="2277" t="s">
        <v>2915</v>
      </c>
      <c r="F320" s="2278">
        <v>84</v>
      </c>
      <c r="G320" s="2278"/>
      <c r="H320" s="2279">
        <v>4018</v>
      </c>
      <c r="I320" s="6539">
        <v>4018</v>
      </c>
      <c r="J320" s="6539"/>
      <c r="K320" s="2277"/>
      <c r="L320" s="2277"/>
      <c r="M320" s="2280"/>
      <c r="N320" s="2281"/>
      <c r="O320" s="2281"/>
      <c r="P320" s="2277"/>
      <c r="Q320" s="2277"/>
      <c r="R320" s="2279">
        <v>4018</v>
      </c>
      <c r="S320" s="2279">
        <v>4018</v>
      </c>
      <c r="T320" s="2277"/>
    </row>
    <row r="321" spans="1:20" s="2298" customFormat="1" ht="23.25" customHeight="1" outlineLevel="1" x14ac:dyDescent="0.2">
      <c r="A321" s="6547" t="s">
        <v>2916</v>
      </c>
      <c r="B321" s="6547"/>
      <c r="C321" s="2292">
        <v>350</v>
      </c>
      <c r="D321" s="2293" t="s">
        <v>2594</v>
      </c>
      <c r="E321" s="2294" t="s">
        <v>2917</v>
      </c>
      <c r="F321" s="2295">
        <v>84</v>
      </c>
      <c r="G321" s="2295"/>
      <c r="H321" s="2296">
        <v>72127.210000000006</v>
      </c>
      <c r="I321" s="6548">
        <v>67673.16</v>
      </c>
      <c r="J321" s="6548"/>
      <c r="K321" s="2296">
        <v>4454.05</v>
      </c>
      <c r="L321" s="2294"/>
      <c r="M321" s="2296">
        <v>4454.05</v>
      </c>
      <c r="N321" s="2296">
        <f>M321</f>
        <v>4454.05</v>
      </c>
      <c r="O321" s="2296"/>
      <c r="P321" s="2294"/>
      <c r="Q321" s="2294"/>
      <c r="R321" s="2296">
        <v>72127.210000000006</v>
      </c>
      <c r="S321" s="2296">
        <v>72127.210000000006</v>
      </c>
      <c r="T321" s="2294"/>
    </row>
    <row r="322" spans="1:20" ht="12" customHeight="1" outlineLevel="1" x14ac:dyDescent="0.2">
      <c r="A322" s="6538" t="s">
        <v>2918</v>
      </c>
      <c r="B322" s="6538"/>
      <c r="C322" s="2275">
        <v>442</v>
      </c>
      <c r="D322" s="2276" t="s">
        <v>2246</v>
      </c>
      <c r="E322" s="2277" t="s">
        <v>2919</v>
      </c>
      <c r="F322" s="2278">
        <v>96</v>
      </c>
      <c r="G322" s="2278"/>
      <c r="H322" s="2279">
        <v>36691</v>
      </c>
      <c r="I322" s="6539">
        <v>36691</v>
      </c>
      <c r="J322" s="6539"/>
      <c r="K322" s="2277"/>
      <c r="L322" s="2277"/>
      <c r="M322" s="2280"/>
      <c r="N322" s="2281"/>
      <c r="O322" s="2281"/>
      <c r="P322" s="2277"/>
      <c r="Q322" s="2277"/>
      <c r="R322" s="2279">
        <v>36691</v>
      </c>
      <c r="S322" s="2279">
        <v>36691</v>
      </c>
      <c r="T322" s="2277"/>
    </row>
    <row r="323" spans="1:20" ht="12" customHeight="1" outlineLevel="1" x14ac:dyDescent="0.2">
      <c r="A323" s="6538" t="s">
        <v>2920</v>
      </c>
      <c r="B323" s="6538"/>
      <c r="C323" s="2275">
        <v>351</v>
      </c>
      <c r="D323" s="2276" t="s">
        <v>2594</v>
      </c>
      <c r="E323" s="2277" t="s">
        <v>2921</v>
      </c>
      <c r="F323" s="2278">
        <v>84</v>
      </c>
      <c r="G323" s="2278"/>
      <c r="H323" s="2279">
        <v>5649</v>
      </c>
      <c r="I323" s="6539">
        <v>5649</v>
      </c>
      <c r="J323" s="6539"/>
      <c r="K323" s="2277"/>
      <c r="L323" s="2277"/>
      <c r="M323" s="2280"/>
      <c r="N323" s="2281"/>
      <c r="O323" s="2281"/>
      <c r="P323" s="2277"/>
      <c r="Q323" s="2277"/>
      <c r="R323" s="2279">
        <v>5649</v>
      </c>
      <c r="S323" s="2279">
        <v>5649</v>
      </c>
      <c r="T323" s="2277"/>
    </row>
    <row r="324" spans="1:20" ht="12" customHeight="1" outlineLevel="1" x14ac:dyDescent="0.2">
      <c r="A324" s="6538" t="s">
        <v>2922</v>
      </c>
      <c r="B324" s="6538"/>
      <c r="C324" s="2275">
        <v>115</v>
      </c>
      <c r="D324" s="2276" t="s">
        <v>2192</v>
      </c>
      <c r="E324" s="2277" t="s">
        <v>2923</v>
      </c>
      <c r="F324" s="2278">
        <v>84</v>
      </c>
      <c r="G324" s="2278"/>
      <c r="H324" s="2279">
        <v>10625</v>
      </c>
      <c r="I324" s="6539">
        <v>10625</v>
      </c>
      <c r="J324" s="6539"/>
      <c r="K324" s="2277"/>
      <c r="L324" s="2277"/>
      <c r="M324" s="2280"/>
      <c r="N324" s="2281"/>
      <c r="O324" s="2281"/>
      <c r="P324" s="2277"/>
      <c r="Q324" s="2277"/>
      <c r="R324" s="2279">
        <v>10625</v>
      </c>
      <c r="S324" s="2279">
        <v>10625</v>
      </c>
      <c r="T324" s="2277"/>
    </row>
    <row r="325" spans="1:20" ht="12" customHeight="1" outlineLevel="1" x14ac:dyDescent="0.2">
      <c r="A325" s="6538" t="s">
        <v>2924</v>
      </c>
      <c r="B325" s="6538"/>
      <c r="C325" s="2275">
        <v>116</v>
      </c>
      <c r="D325" s="2276" t="s">
        <v>2192</v>
      </c>
      <c r="E325" s="2277" t="s">
        <v>2923</v>
      </c>
      <c r="F325" s="2278">
        <v>84</v>
      </c>
      <c r="G325" s="2278"/>
      <c r="H325" s="2279">
        <v>10625</v>
      </c>
      <c r="I325" s="6539">
        <v>10625</v>
      </c>
      <c r="J325" s="6539"/>
      <c r="K325" s="2277"/>
      <c r="L325" s="2277"/>
      <c r="M325" s="2280"/>
      <c r="N325" s="2281"/>
      <c r="O325" s="2281"/>
      <c r="P325" s="2277"/>
      <c r="Q325" s="2277"/>
      <c r="R325" s="2279">
        <v>10625</v>
      </c>
      <c r="S325" s="2279">
        <v>10625</v>
      </c>
      <c r="T325" s="2277"/>
    </row>
    <row r="326" spans="1:20" ht="23.25" customHeight="1" outlineLevel="1" x14ac:dyDescent="0.2">
      <c r="A326" s="6538" t="s">
        <v>2925</v>
      </c>
      <c r="B326" s="6538"/>
      <c r="C326" s="2316">
        <v>1493</v>
      </c>
      <c r="D326" s="2276" t="s">
        <v>2533</v>
      </c>
      <c r="E326" s="2277" t="s">
        <v>2926</v>
      </c>
      <c r="F326" s="2278">
        <v>84</v>
      </c>
      <c r="G326" s="2278"/>
      <c r="H326" s="2279">
        <v>93355.93</v>
      </c>
      <c r="I326" s="6539">
        <v>23338.98</v>
      </c>
      <c r="J326" s="6539"/>
      <c r="K326" s="2279">
        <v>70016.95</v>
      </c>
      <c r="L326" s="2277"/>
      <c r="M326" s="2281">
        <v>13336.56</v>
      </c>
      <c r="N326" s="2281">
        <f>H326/F326*12</f>
        <v>13336.561428571429</v>
      </c>
      <c r="O326" s="2281"/>
      <c r="P326" s="2277"/>
      <c r="Q326" s="2277"/>
      <c r="R326" s="2279">
        <v>93355.93</v>
      </c>
      <c r="S326" s="2279">
        <v>36675.54</v>
      </c>
      <c r="T326" s="2279">
        <v>56680.39</v>
      </c>
    </row>
    <row r="327" spans="1:20" ht="12" customHeight="1" outlineLevel="1" x14ac:dyDescent="0.2">
      <c r="A327" s="6538" t="s">
        <v>2927</v>
      </c>
      <c r="B327" s="6538"/>
      <c r="C327" s="2282">
        <v>1850</v>
      </c>
      <c r="D327" s="2276" t="s">
        <v>2928</v>
      </c>
      <c r="E327" s="2277" t="s">
        <v>2929</v>
      </c>
      <c r="F327" s="2278">
        <v>60</v>
      </c>
      <c r="G327" s="2278"/>
      <c r="H327" s="2279">
        <v>35394.07</v>
      </c>
      <c r="I327" s="6539">
        <v>35394.07</v>
      </c>
      <c r="J327" s="6539"/>
      <c r="K327" s="2277"/>
      <c r="L327" s="2277"/>
      <c r="M327" s="2280"/>
      <c r="N327" s="2281"/>
      <c r="O327" s="2281"/>
      <c r="P327" s="2277"/>
      <c r="Q327" s="2277"/>
      <c r="R327" s="2279">
        <v>35394.07</v>
      </c>
      <c r="S327" s="2279">
        <v>35394.07</v>
      </c>
      <c r="T327" s="2277"/>
    </row>
    <row r="328" spans="1:20" ht="12" customHeight="1" outlineLevel="1" x14ac:dyDescent="0.2">
      <c r="A328" s="6538" t="s">
        <v>2930</v>
      </c>
      <c r="B328" s="6538"/>
      <c r="C328" s="2275">
        <v>587</v>
      </c>
      <c r="D328" s="2276" t="s">
        <v>2931</v>
      </c>
      <c r="E328" s="2277" t="s">
        <v>2932</v>
      </c>
      <c r="F328" s="2278">
        <v>1</v>
      </c>
      <c r="G328" s="2278"/>
      <c r="H328" s="2279">
        <v>6325</v>
      </c>
      <c r="I328" s="6539">
        <v>6325</v>
      </c>
      <c r="J328" s="6539"/>
      <c r="K328" s="2277"/>
      <c r="L328" s="2277"/>
      <c r="M328" s="2280"/>
      <c r="N328" s="2281"/>
      <c r="O328" s="2281"/>
      <c r="P328" s="2277"/>
      <c r="Q328" s="2277"/>
      <c r="R328" s="2279">
        <v>6325</v>
      </c>
      <c r="S328" s="2279">
        <v>6325</v>
      </c>
      <c r="T328" s="2277"/>
    </row>
    <row r="329" spans="1:20" ht="12" customHeight="1" outlineLevel="1" x14ac:dyDescent="0.2">
      <c r="A329" s="6538" t="s">
        <v>2933</v>
      </c>
      <c r="B329" s="6538"/>
      <c r="C329" s="2275">
        <v>370</v>
      </c>
      <c r="D329" s="2276" t="s">
        <v>2791</v>
      </c>
      <c r="E329" s="2277" t="s">
        <v>2934</v>
      </c>
      <c r="F329" s="2278">
        <v>67</v>
      </c>
      <c r="G329" s="2278"/>
      <c r="H329" s="2279">
        <v>128652</v>
      </c>
      <c r="I329" s="6539">
        <v>128652</v>
      </c>
      <c r="J329" s="6539"/>
      <c r="K329" s="2277"/>
      <c r="L329" s="2277"/>
      <c r="M329" s="2280"/>
      <c r="N329" s="2281"/>
      <c r="O329" s="2281"/>
      <c r="P329" s="2277"/>
      <c r="Q329" s="2277"/>
      <c r="R329" s="2279">
        <v>128652</v>
      </c>
      <c r="S329" s="2279">
        <v>128652</v>
      </c>
      <c r="T329" s="2277"/>
    </row>
    <row r="330" spans="1:20" ht="23.25" customHeight="1" outlineLevel="1" x14ac:dyDescent="0.2">
      <c r="A330" s="6538" t="s">
        <v>2935</v>
      </c>
      <c r="B330" s="6538"/>
      <c r="C330" s="2316">
        <v>1516</v>
      </c>
      <c r="D330" s="2276" t="s">
        <v>2936</v>
      </c>
      <c r="E330" s="2277" t="s">
        <v>2937</v>
      </c>
      <c r="F330" s="2278">
        <v>36</v>
      </c>
      <c r="G330" s="2278"/>
      <c r="H330" s="2277"/>
      <c r="I330" s="2317"/>
      <c r="J330" s="2318"/>
      <c r="K330" s="2277"/>
      <c r="L330" s="2279">
        <v>50196.01</v>
      </c>
      <c r="M330" s="2281">
        <v>12548.97</v>
      </c>
      <c r="N330" s="2281">
        <f>M330</f>
        <v>12548.97</v>
      </c>
      <c r="O330" s="2281"/>
      <c r="P330" s="2277"/>
      <c r="Q330" s="2277"/>
      <c r="R330" s="2279">
        <v>50196.01</v>
      </c>
      <c r="S330" s="2279">
        <v>12548.97</v>
      </c>
      <c r="T330" s="2279">
        <v>37647.040000000001</v>
      </c>
    </row>
    <row r="331" spans="1:20" s="2298" customFormat="1" ht="12" customHeight="1" outlineLevel="1" x14ac:dyDescent="0.2">
      <c r="A331" s="6547" t="s">
        <v>2938</v>
      </c>
      <c r="B331" s="6547"/>
      <c r="C331" s="2321">
        <v>2366</v>
      </c>
      <c r="D331" s="2293" t="s">
        <v>2939</v>
      </c>
      <c r="E331" s="2294" t="s">
        <v>2940</v>
      </c>
      <c r="F331" s="2295">
        <v>84</v>
      </c>
      <c r="G331" s="2295"/>
      <c r="H331" s="2296">
        <v>35570.17</v>
      </c>
      <c r="I331" s="6548">
        <v>35569.800000000003</v>
      </c>
      <c r="J331" s="6548"/>
      <c r="K331" s="2297">
        <v>0.37</v>
      </c>
      <c r="L331" s="2294"/>
      <c r="M331" s="2297">
        <v>0.37</v>
      </c>
      <c r="N331" s="2296">
        <f>M331</f>
        <v>0.37</v>
      </c>
      <c r="O331" s="2296"/>
      <c r="P331" s="2294"/>
      <c r="Q331" s="2294"/>
      <c r="R331" s="2296">
        <v>35570.17</v>
      </c>
      <c r="S331" s="2296">
        <v>35570.17</v>
      </c>
      <c r="T331" s="2294"/>
    </row>
    <row r="332" spans="1:20" ht="12" customHeight="1" outlineLevel="1" x14ac:dyDescent="0.2">
      <c r="A332" s="6538" t="s">
        <v>2941</v>
      </c>
      <c r="B332" s="6538"/>
      <c r="C332" s="2275">
        <v>155</v>
      </c>
      <c r="D332" s="2276" t="s">
        <v>2192</v>
      </c>
      <c r="E332" s="2277" t="s">
        <v>2942</v>
      </c>
      <c r="F332" s="2278">
        <v>120</v>
      </c>
      <c r="G332" s="2278"/>
      <c r="H332" s="2279">
        <v>257966</v>
      </c>
      <c r="I332" s="6539">
        <v>257966</v>
      </c>
      <c r="J332" s="6539"/>
      <c r="K332" s="2277"/>
      <c r="L332" s="2277"/>
      <c r="M332" s="2280"/>
      <c r="N332" s="2281"/>
      <c r="O332" s="2281"/>
      <c r="P332" s="2277"/>
      <c r="Q332" s="2277"/>
      <c r="R332" s="2279">
        <v>257966</v>
      </c>
      <c r="S332" s="2279">
        <v>257966</v>
      </c>
      <c r="T332" s="2277"/>
    </row>
    <row r="333" spans="1:20" ht="34.5" customHeight="1" outlineLevel="1" x14ac:dyDescent="0.2">
      <c r="A333" s="6538" t="s">
        <v>2943</v>
      </c>
      <c r="B333" s="6538"/>
      <c r="C333" s="2316">
        <v>1505</v>
      </c>
      <c r="D333" s="2276" t="s">
        <v>2549</v>
      </c>
      <c r="E333" s="2277" t="s">
        <v>2944</v>
      </c>
      <c r="F333" s="2278">
        <v>60</v>
      </c>
      <c r="G333" s="2278"/>
      <c r="H333" s="2279">
        <v>503750</v>
      </c>
      <c r="I333" s="6539">
        <v>83958.3</v>
      </c>
      <c r="J333" s="6539"/>
      <c r="K333" s="2279">
        <v>419791.7</v>
      </c>
      <c r="L333" s="2277"/>
      <c r="M333" s="2281">
        <v>100749.96</v>
      </c>
      <c r="N333" s="2281">
        <f>M333</f>
        <v>100749.96</v>
      </c>
      <c r="O333" s="2281"/>
      <c r="P333" s="2277"/>
      <c r="Q333" s="2277"/>
      <c r="R333" s="2279">
        <v>503750</v>
      </c>
      <c r="S333" s="2279">
        <v>184708.26</v>
      </c>
      <c r="T333" s="2279">
        <v>319041.74</v>
      </c>
    </row>
    <row r="334" spans="1:20" ht="12" customHeight="1" outlineLevel="1" x14ac:dyDescent="0.2">
      <c r="A334" s="6538" t="s">
        <v>2945</v>
      </c>
      <c r="B334" s="6538"/>
      <c r="C334" s="2275">
        <v>679</v>
      </c>
      <c r="D334" s="2276" t="s">
        <v>2853</v>
      </c>
      <c r="E334" s="2277" t="s">
        <v>2946</v>
      </c>
      <c r="F334" s="2278">
        <v>60</v>
      </c>
      <c r="G334" s="2278"/>
      <c r="H334" s="2279">
        <v>62032.04</v>
      </c>
      <c r="I334" s="6539">
        <v>42388.67</v>
      </c>
      <c r="J334" s="6539"/>
      <c r="K334" s="2279">
        <v>19643.37</v>
      </c>
      <c r="L334" s="2277"/>
      <c r="M334" s="2280"/>
      <c r="N334" s="2281"/>
      <c r="O334" s="2281"/>
      <c r="P334" s="2277"/>
      <c r="Q334" s="2277"/>
      <c r="R334" s="2279">
        <v>62032.04</v>
      </c>
      <c r="S334" s="2279">
        <v>42388.67</v>
      </c>
      <c r="T334" s="2279">
        <v>19643.37</v>
      </c>
    </row>
    <row r="335" spans="1:20" ht="12" customHeight="1" outlineLevel="1" x14ac:dyDescent="0.2">
      <c r="A335" s="6538" t="s">
        <v>2947</v>
      </c>
      <c r="B335" s="6538"/>
      <c r="C335" s="2275">
        <v>132</v>
      </c>
      <c r="D335" s="2276" t="s">
        <v>2948</v>
      </c>
      <c r="E335" s="2277" t="s">
        <v>2949</v>
      </c>
      <c r="F335" s="2278">
        <v>240</v>
      </c>
      <c r="G335" s="2278"/>
      <c r="H335" s="2279">
        <v>4055</v>
      </c>
      <c r="I335" s="6539">
        <v>4055</v>
      </c>
      <c r="J335" s="6539"/>
      <c r="K335" s="2277"/>
      <c r="L335" s="2277"/>
      <c r="M335" s="2280"/>
      <c r="N335" s="2281"/>
      <c r="O335" s="2281"/>
      <c r="P335" s="2277"/>
      <c r="Q335" s="2277"/>
      <c r="R335" s="2279">
        <v>4055</v>
      </c>
      <c r="S335" s="2279">
        <v>4055</v>
      </c>
      <c r="T335" s="2277"/>
    </row>
    <row r="336" spans="1:20" ht="12" customHeight="1" outlineLevel="1" x14ac:dyDescent="0.2">
      <c r="A336" s="6538" t="s">
        <v>2950</v>
      </c>
      <c r="B336" s="6538"/>
      <c r="C336" s="2275">
        <v>550</v>
      </c>
      <c r="D336" s="2276" t="s">
        <v>2714</v>
      </c>
      <c r="E336" s="2277" t="s">
        <v>2951</v>
      </c>
      <c r="F336" s="2278">
        <v>273</v>
      </c>
      <c r="G336" s="2278"/>
      <c r="H336" s="2279">
        <v>14500</v>
      </c>
      <c r="I336" s="6539">
        <v>14500</v>
      </c>
      <c r="J336" s="6539"/>
      <c r="K336" s="2277"/>
      <c r="L336" s="2277"/>
      <c r="M336" s="2280"/>
      <c r="N336" s="2281"/>
      <c r="O336" s="2281"/>
      <c r="P336" s="2277"/>
      <c r="Q336" s="2277"/>
      <c r="R336" s="2279">
        <v>14500</v>
      </c>
      <c r="S336" s="2279">
        <v>14500</v>
      </c>
      <c r="T336" s="2277"/>
    </row>
    <row r="337" spans="1:20" ht="12" customHeight="1" outlineLevel="1" x14ac:dyDescent="0.2">
      <c r="A337" s="6538" t="s">
        <v>2952</v>
      </c>
      <c r="B337" s="6538"/>
      <c r="C337" s="2282">
        <v>2291</v>
      </c>
      <c r="D337" s="2276" t="s">
        <v>2953</v>
      </c>
      <c r="E337" s="2277" t="s">
        <v>2954</v>
      </c>
      <c r="F337" s="2278">
        <v>84</v>
      </c>
      <c r="G337" s="2278"/>
      <c r="H337" s="2277"/>
      <c r="I337" s="2317"/>
      <c r="J337" s="2318"/>
      <c r="K337" s="2277"/>
      <c r="L337" s="2277"/>
      <c r="M337" s="2280"/>
      <c r="N337" s="2281"/>
      <c r="O337" s="2281"/>
      <c r="P337" s="2277"/>
      <c r="Q337" s="2277"/>
      <c r="R337" s="2277"/>
      <c r="S337" s="2277"/>
      <c r="T337" s="2277"/>
    </row>
    <row r="338" spans="1:20" ht="12" customHeight="1" outlineLevel="1" x14ac:dyDescent="0.2">
      <c r="A338" s="6538" t="s">
        <v>2955</v>
      </c>
      <c r="B338" s="6538"/>
      <c r="C338" s="2282">
        <v>2305</v>
      </c>
      <c r="D338" s="2276" t="s">
        <v>2956</v>
      </c>
      <c r="E338" s="2277" t="s">
        <v>2957</v>
      </c>
      <c r="F338" s="2278">
        <v>84</v>
      </c>
      <c r="G338" s="2278"/>
      <c r="H338" s="2279">
        <v>41084.76</v>
      </c>
      <c r="I338" s="6539">
        <v>41084.76</v>
      </c>
      <c r="J338" s="6539"/>
      <c r="K338" s="2277"/>
      <c r="L338" s="2277"/>
      <c r="M338" s="2280"/>
      <c r="N338" s="2281"/>
      <c r="O338" s="2281"/>
      <c r="P338" s="2277"/>
      <c r="Q338" s="2277"/>
      <c r="R338" s="2279">
        <v>41084.76</v>
      </c>
      <c r="S338" s="2279">
        <v>41084.76</v>
      </c>
      <c r="T338" s="2277"/>
    </row>
    <row r="339" spans="1:20" ht="12" customHeight="1" outlineLevel="1" x14ac:dyDescent="0.2">
      <c r="A339" s="6538" t="s">
        <v>2930</v>
      </c>
      <c r="B339" s="6538"/>
      <c r="C339" s="2275">
        <v>588</v>
      </c>
      <c r="D339" s="2276" t="s">
        <v>2931</v>
      </c>
      <c r="E339" s="2277" t="s">
        <v>2932</v>
      </c>
      <c r="F339" s="2278">
        <v>1</v>
      </c>
      <c r="G339" s="2278"/>
      <c r="H339" s="2279">
        <v>6325</v>
      </c>
      <c r="I339" s="6539">
        <v>6325</v>
      </c>
      <c r="J339" s="6539"/>
      <c r="K339" s="2277"/>
      <c r="L339" s="2277"/>
      <c r="M339" s="2280"/>
      <c r="N339" s="2281"/>
      <c r="O339" s="2281"/>
      <c r="P339" s="2277"/>
      <c r="Q339" s="2277"/>
      <c r="R339" s="2279">
        <v>6325</v>
      </c>
      <c r="S339" s="2279">
        <v>6325</v>
      </c>
      <c r="T339" s="2277"/>
    </row>
    <row r="340" spans="1:20" ht="12" customHeight="1" outlineLevel="1" x14ac:dyDescent="0.2">
      <c r="A340" s="6538" t="s">
        <v>2958</v>
      </c>
      <c r="B340" s="6538"/>
      <c r="C340" s="2275">
        <v>378</v>
      </c>
      <c r="D340" s="2276" t="s">
        <v>2218</v>
      </c>
      <c r="E340" s="2277" t="s">
        <v>2959</v>
      </c>
      <c r="F340" s="2278">
        <v>84</v>
      </c>
      <c r="G340" s="2278"/>
      <c r="H340" s="2279">
        <v>23232</v>
      </c>
      <c r="I340" s="6539">
        <v>23232</v>
      </c>
      <c r="J340" s="6539"/>
      <c r="K340" s="2277"/>
      <c r="L340" s="2277"/>
      <c r="M340" s="2280"/>
      <c r="N340" s="2281"/>
      <c r="O340" s="2281"/>
      <c r="P340" s="2277"/>
      <c r="Q340" s="2277"/>
      <c r="R340" s="2279">
        <v>23232</v>
      </c>
      <c r="S340" s="2279">
        <v>23232</v>
      </c>
      <c r="T340" s="2277"/>
    </row>
    <row r="341" spans="1:20" ht="12" customHeight="1" outlineLevel="1" x14ac:dyDescent="0.2">
      <c r="A341" s="6538" t="s">
        <v>2960</v>
      </c>
      <c r="B341" s="6538"/>
      <c r="C341" s="2275">
        <v>341</v>
      </c>
      <c r="D341" s="2276" t="s">
        <v>2961</v>
      </c>
      <c r="E341" s="2277" t="s">
        <v>2962</v>
      </c>
      <c r="F341" s="2278">
        <v>273</v>
      </c>
      <c r="G341" s="2278"/>
      <c r="H341" s="2279">
        <v>8239</v>
      </c>
      <c r="I341" s="6539">
        <v>8239</v>
      </c>
      <c r="J341" s="6539"/>
      <c r="K341" s="2277"/>
      <c r="L341" s="2277"/>
      <c r="M341" s="2280"/>
      <c r="N341" s="2281"/>
      <c r="O341" s="2281"/>
      <c r="P341" s="2277"/>
      <c r="Q341" s="2277"/>
      <c r="R341" s="2279">
        <v>8239</v>
      </c>
      <c r="S341" s="2279">
        <v>8239</v>
      </c>
      <c r="T341" s="2277"/>
    </row>
    <row r="342" spans="1:20" ht="12" customHeight="1" outlineLevel="1" x14ac:dyDescent="0.2">
      <c r="A342" s="6538" t="s">
        <v>2963</v>
      </c>
      <c r="B342" s="6538"/>
      <c r="C342" s="2275">
        <v>296</v>
      </c>
      <c r="D342" s="2276" t="s">
        <v>2570</v>
      </c>
      <c r="E342" s="2277" t="s">
        <v>2964</v>
      </c>
      <c r="F342" s="2278">
        <v>115</v>
      </c>
      <c r="G342" s="2278"/>
      <c r="H342" s="2322">
        <v>10.199999999999999</v>
      </c>
      <c r="I342" s="6542">
        <v>10.199999999999999</v>
      </c>
      <c r="J342" s="6542"/>
      <c r="K342" s="2277"/>
      <c r="L342" s="2277"/>
      <c r="M342" s="2280"/>
      <c r="N342" s="2281"/>
      <c r="O342" s="2281"/>
      <c r="P342" s="2277"/>
      <c r="Q342" s="2277"/>
      <c r="R342" s="2322">
        <v>10.199999999999999</v>
      </c>
      <c r="S342" s="2322">
        <v>10.199999999999999</v>
      </c>
      <c r="T342" s="2277"/>
    </row>
    <row r="343" spans="1:20" ht="12" customHeight="1" outlineLevel="1" x14ac:dyDescent="0.2">
      <c r="A343" s="6538" t="s">
        <v>2965</v>
      </c>
      <c r="B343" s="6538"/>
      <c r="C343" s="2282">
        <v>1761</v>
      </c>
      <c r="D343" s="2276" t="s">
        <v>2671</v>
      </c>
      <c r="E343" s="2277" t="s">
        <v>2966</v>
      </c>
      <c r="F343" s="2278">
        <v>84</v>
      </c>
      <c r="G343" s="2278"/>
      <c r="H343" s="2279">
        <v>13898.31</v>
      </c>
      <c r="I343" s="6539">
        <v>13898.31</v>
      </c>
      <c r="J343" s="6539"/>
      <c r="K343" s="2277"/>
      <c r="L343" s="2277"/>
      <c r="M343" s="2280"/>
      <c r="N343" s="2281"/>
      <c r="O343" s="2281"/>
      <c r="P343" s="2277"/>
      <c r="Q343" s="2277"/>
      <c r="R343" s="2279">
        <v>13898.31</v>
      </c>
      <c r="S343" s="2279">
        <v>13898.31</v>
      </c>
      <c r="T343" s="2277"/>
    </row>
    <row r="344" spans="1:20" ht="12" customHeight="1" outlineLevel="1" x14ac:dyDescent="0.2">
      <c r="A344" s="6538" t="s">
        <v>2967</v>
      </c>
      <c r="B344" s="6538"/>
      <c r="C344" s="2282">
        <v>2386</v>
      </c>
      <c r="D344" s="2276" t="s">
        <v>2651</v>
      </c>
      <c r="E344" s="2277" t="s">
        <v>2968</v>
      </c>
      <c r="F344" s="2278">
        <v>120</v>
      </c>
      <c r="G344" s="2278"/>
      <c r="H344" s="2279">
        <v>108898.31</v>
      </c>
      <c r="I344" s="6539">
        <v>68969.240000000005</v>
      </c>
      <c r="J344" s="6539"/>
      <c r="K344" s="2279">
        <v>39929.07</v>
      </c>
      <c r="L344" s="2277"/>
      <c r="M344" s="2281">
        <v>10889.88</v>
      </c>
      <c r="N344" s="2281">
        <f>M344</f>
        <v>10889.88</v>
      </c>
      <c r="O344" s="2281"/>
      <c r="P344" s="2277"/>
      <c r="Q344" s="2277"/>
      <c r="R344" s="2279">
        <v>108898.31</v>
      </c>
      <c r="S344" s="2279">
        <v>79859.12</v>
      </c>
      <c r="T344" s="2279">
        <v>29039.19</v>
      </c>
    </row>
    <row r="345" spans="1:20" ht="12" customHeight="1" outlineLevel="1" x14ac:dyDescent="0.2">
      <c r="A345" s="6538" t="s">
        <v>2969</v>
      </c>
      <c r="B345" s="6538"/>
      <c r="C345" s="2275">
        <v>200</v>
      </c>
      <c r="D345" s="2276" t="s">
        <v>2970</v>
      </c>
      <c r="E345" s="2277" t="s">
        <v>2971</v>
      </c>
      <c r="F345" s="2278">
        <v>273</v>
      </c>
      <c r="G345" s="2278"/>
      <c r="H345" s="2279">
        <v>217260</v>
      </c>
      <c r="I345" s="6539">
        <v>217260</v>
      </c>
      <c r="J345" s="6539"/>
      <c r="K345" s="2277"/>
      <c r="L345" s="2277"/>
      <c r="M345" s="2280"/>
      <c r="N345" s="2281"/>
      <c r="O345" s="2281"/>
      <c r="P345" s="2277"/>
      <c r="Q345" s="2277"/>
      <c r="R345" s="2279">
        <v>217260</v>
      </c>
      <c r="S345" s="2279">
        <v>217260</v>
      </c>
      <c r="T345" s="2277"/>
    </row>
    <row r="346" spans="1:20" ht="12" customHeight="1" outlineLevel="1" x14ac:dyDescent="0.2">
      <c r="A346" s="6538" t="s">
        <v>2619</v>
      </c>
      <c r="B346" s="6538"/>
      <c r="C346" s="2275">
        <v>400</v>
      </c>
      <c r="D346" s="2276" t="s">
        <v>2972</v>
      </c>
      <c r="E346" s="2277" t="s">
        <v>2973</v>
      </c>
      <c r="F346" s="2278">
        <v>144</v>
      </c>
      <c r="G346" s="2278"/>
      <c r="H346" s="2279">
        <v>1200</v>
      </c>
      <c r="I346" s="6539">
        <v>1200</v>
      </c>
      <c r="J346" s="6539"/>
      <c r="K346" s="2277"/>
      <c r="L346" s="2277"/>
      <c r="M346" s="2280"/>
      <c r="N346" s="2281"/>
      <c r="O346" s="2281"/>
      <c r="P346" s="2277"/>
      <c r="Q346" s="2277"/>
      <c r="R346" s="2279">
        <v>1200</v>
      </c>
      <c r="S346" s="2279">
        <v>1200</v>
      </c>
      <c r="T346" s="2277"/>
    </row>
    <row r="347" spans="1:20" ht="12" customHeight="1" outlineLevel="1" x14ac:dyDescent="0.2">
      <c r="A347" s="6538" t="s">
        <v>2974</v>
      </c>
      <c r="B347" s="6538"/>
      <c r="C347" s="2275">
        <v>354</v>
      </c>
      <c r="D347" s="2276" t="s">
        <v>2594</v>
      </c>
      <c r="E347" s="2277" t="s">
        <v>2975</v>
      </c>
      <c r="F347" s="2278">
        <v>96</v>
      </c>
      <c r="G347" s="2278"/>
      <c r="H347" s="2279">
        <v>7867</v>
      </c>
      <c r="I347" s="6539">
        <v>7867</v>
      </c>
      <c r="J347" s="6539"/>
      <c r="K347" s="2277"/>
      <c r="L347" s="2277"/>
      <c r="M347" s="2280"/>
      <c r="N347" s="2281"/>
      <c r="O347" s="2281"/>
      <c r="P347" s="2277"/>
      <c r="Q347" s="2277"/>
      <c r="R347" s="2279">
        <v>7867</v>
      </c>
      <c r="S347" s="2279">
        <v>7867</v>
      </c>
      <c r="T347" s="2277"/>
    </row>
    <row r="348" spans="1:20" ht="12" customHeight="1" outlineLevel="1" x14ac:dyDescent="0.2">
      <c r="A348" s="6538" t="s">
        <v>2976</v>
      </c>
      <c r="B348" s="6538"/>
      <c r="C348" s="2275">
        <v>528</v>
      </c>
      <c r="D348" s="2276" t="s">
        <v>2570</v>
      </c>
      <c r="E348" s="2277" t="s">
        <v>2977</v>
      </c>
      <c r="F348" s="2278">
        <v>96</v>
      </c>
      <c r="G348" s="2278"/>
      <c r="H348" s="2279">
        <v>29250</v>
      </c>
      <c r="I348" s="6539">
        <v>29250</v>
      </c>
      <c r="J348" s="6539"/>
      <c r="K348" s="2277"/>
      <c r="L348" s="2277"/>
      <c r="M348" s="2280"/>
      <c r="N348" s="2281"/>
      <c r="O348" s="2281"/>
      <c r="P348" s="2277"/>
      <c r="Q348" s="2277"/>
      <c r="R348" s="2279">
        <v>29250</v>
      </c>
      <c r="S348" s="2279">
        <v>29250</v>
      </c>
      <c r="T348" s="2277"/>
    </row>
    <row r="349" spans="1:20" ht="12" customHeight="1" outlineLevel="1" x14ac:dyDescent="0.2">
      <c r="A349" s="6538" t="s">
        <v>2978</v>
      </c>
      <c r="B349" s="6538"/>
      <c r="C349" s="2282">
        <v>2425</v>
      </c>
      <c r="D349" s="2276" t="s">
        <v>2979</v>
      </c>
      <c r="E349" s="2277" t="s">
        <v>2980</v>
      </c>
      <c r="F349" s="2278">
        <v>84</v>
      </c>
      <c r="G349" s="2278"/>
      <c r="H349" s="2279">
        <v>88800</v>
      </c>
      <c r="I349" s="6539">
        <v>69771.240000000005</v>
      </c>
      <c r="J349" s="6539"/>
      <c r="K349" s="2279">
        <v>19028.759999999998</v>
      </c>
      <c r="L349" s="2277"/>
      <c r="M349" s="2281">
        <v>12685.68</v>
      </c>
      <c r="N349" s="2281">
        <f>M349</f>
        <v>12685.68</v>
      </c>
      <c r="O349" s="2281"/>
      <c r="P349" s="2277"/>
      <c r="Q349" s="2277"/>
      <c r="R349" s="2279">
        <v>88800</v>
      </c>
      <c r="S349" s="2279">
        <v>82456.92</v>
      </c>
      <c r="T349" s="2279">
        <v>6343.08</v>
      </c>
    </row>
    <row r="350" spans="1:20" ht="12" customHeight="1" outlineLevel="1" x14ac:dyDescent="0.2">
      <c r="A350" s="6538" t="s">
        <v>2981</v>
      </c>
      <c r="B350" s="6538"/>
      <c r="C350" s="2275">
        <v>419</v>
      </c>
      <c r="D350" s="2276" t="s">
        <v>2218</v>
      </c>
      <c r="E350" s="2277" t="s">
        <v>2982</v>
      </c>
      <c r="F350" s="2278">
        <v>96</v>
      </c>
      <c r="G350" s="2278"/>
      <c r="H350" s="2279">
        <v>32590</v>
      </c>
      <c r="I350" s="6539">
        <v>32590</v>
      </c>
      <c r="J350" s="6539"/>
      <c r="K350" s="2277"/>
      <c r="L350" s="2277"/>
      <c r="M350" s="2280"/>
      <c r="N350" s="2281"/>
      <c r="O350" s="2281"/>
      <c r="P350" s="2277"/>
      <c r="Q350" s="2277"/>
      <c r="R350" s="2279">
        <v>32590</v>
      </c>
      <c r="S350" s="2279">
        <v>32590</v>
      </c>
      <c r="T350" s="2277"/>
    </row>
    <row r="351" spans="1:20" ht="12" customHeight="1" outlineLevel="1" x14ac:dyDescent="0.2">
      <c r="A351" s="6538" t="s">
        <v>2983</v>
      </c>
      <c r="B351" s="6538"/>
      <c r="C351" s="2275">
        <v>204</v>
      </c>
      <c r="D351" s="2276" t="s">
        <v>2984</v>
      </c>
      <c r="E351" s="2277" t="s">
        <v>2985</v>
      </c>
      <c r="F351" s="2278">
        <v>96</v>
      </c>
      <c r="G351" s="2278"/>
      <c r="H351" s="2279">
        <v>16100</v>
      </c>
      <c r="I351" s="6539">
        <v>16100</v>
      </c>
      <c r="J351" s="6539"/>
      <c r="K351" s="2277"/>
      <c r="L351" s="2277"/>
      <c r="M351" s="2280"/>
      <c r="N351" s="2281"/>
      <c r="O351" s="2281"/>
      <c r="P351" s="2277"/>
      <c r="Q351" s="2277"/>
      <c r="R351" s="2279">
        <v>16100</v>
      </c>
      <c r="S351" s="2279">
        <v>16100</v>
      </c>
      <c r="T351" s="2277"/>
    </row>
    <row r="352" spans="1:20" s="2298" customFormat="1" ht="12" customHeight="1" outlineLevel="1" x14ac:dyDescent="0.2">
      <c r="A352" s="6547" t="s">
        <v>2986</v>
      </c>
      <c r="B352" s="6547"/>
      <c r="C352" s="2321">
        <v>2384</v>
      </c>
      <c r="D352" s="2293" t="s">
        <v>2612</v>
      </c>
      <c r="E352" s="2294" t="s">
        <v>2987</v>
      </c>
      <c r="F352" s="2295">
        <v>84</v>
      </c>
      <c r="G352" s="2295"/>
      <c r="H352" s="2296">
        <v>23401.27</v>
      </c>
      <c r="I352" s="6548">
        <v>21172.84</v>
      </c>
      <c r="J352" s="6548"/>
      <c r="K352" s="2296">
        <v>2228.4299999999998</v>
      </c>
      <c r="L352" s="2294"/>
      <c r="M352" s="2296">
        <v>2228.4299999999998</v>
      </c>
      <c r="N352" s="2296">
        <f>M352</f>
        <v>2228.4299999999998</v>
      </c>
      <c r="O352" s="2296"/>
      <c r="P352" s="2294"/>
      <c r="Q352" s="2294"/>
      <c r="R352" s="2296">
        <v>23401.27</v>
      </c>
      <c r="S352" s="2296">
        <v>23401.27</v>
      </c>
      <c r="T352" s="2294"/>
    </row>
    <row r="353" spans="1:20" ht="12" customHeight="1" outlineLevel="1" x14ac:dyDescent="0.2">
      <c r="A353" s="6538" t="s">
        <v>2988</v>
      </c>
      <c r="B353" s="6538"/>
      <c r="C353" s="2275">
        <v>297</v>
      </c>
      <c r="D353" s="2276" t="s">
        <v>2570</v>
      </c>
      <c r="E353" s="2277" t="s">
        <v>2989</v>
      </c>
      <c r="F353" s="2278">
        <v>96</v>
      </c>
      <c r="G353" s="2278"/>
      <c r="H353" s="2322">
        <v>450</v>
      </c>
      <c r="I353" s="6542">
        <v>450</v>
      </c>
      <c r="J353" s="6542"/>
      <c r="K353" s="2277"/>
      <c r="L353" s="2277"/>
      <c r="M353" s="2280"/>
      <c r="N353" s="2281"/>
      <c r="O353" s="2281"/>
      <c r="P353" s="2277"/>
      <c r="Q353" s="2277"/>
      <c r="R353" s="2322">
        <v>450</v>
      </c>
      <c r="S353" s="2322">
        <v>450</v>
      </c>
      <c r="T353" s="2277"/>
    </row>
    <row r="354" spans="1:20" ht="12" customHeight="1" outlineLevel="1" x14ac:dyDescent="0.2">
      <c r="A354" s="6538" t="s">
        <v>2990</v>
      </c>
      <c r="B354" s="6538"/>
      <c r="C354" s="2275">
        <v>393</v>
      </c>
      <c r="D354" s="2276" t="s">
        <v>2991</v>
      </c>
      <c r="E354" s="2277" t="s">
        <v>2992</v>
      </c>
      <c r="F354" s="2278">
        <v>96</v>
      </c>
      <c r="G354" s="2278"/>
      <c r="H354" s="2279">
        <v>2942</v>
      </c>
      <c r="I354" s="6539">
        <v>2942</v>
      </c>
      <c r="J354" s="6539"/>
      <c r="K354" s="2277"/>
      <c r="L354" s="2277"/>
      <c r="M354" s="2280"/>
      <c r="N354" s="2281"/>
      <c r="O354" s="2281"/>
      <c r="P354" s="2277"/>
      <c r="Q354" s="2277"/>
      <c r="R354" s="2279">
        <v>2942</v>
      </c>
      <c r="S354" s="2279">
        <v>2942</v>
      </c>
      <c r="T354" s="2277"/>
    </row>
    <row r="355" spans="1:20" ht="12" customHeight="1" outlineLevel="1" x14ac:dyDescent="0.2">
      <c r="A355" s="6538" t="s">
        <v>2993</v>
      </c>
      <c r="B355" s="6538"/>
      <c r="C355" s="2275">
        <v>443</v>
      </c>
      <c r="D355" s="2276" t="s">
        <v>2246</v>
      </c>
      <c r="E355" s="2277" t="s">
        <v>2994</v>
      </c>
      <c r="F355" s="2278">
        <v>96</v>
      </c>
      <c r="G355" s="2278"/>
      <c r="H355" s="2279">
        <v>5760</v>
      </c>
      <c r="I355" s="6539">
        <v>5760</v>
      </c>
      <c r="J355" s="6539"/>
      <c r="K355" s="2277"/>
      <c r="L355" s="2277"/>
      <c r="M355" s="2280"/>
      <c r="N355" s="2281"/>
      <c r="O355" s="2281"/>
      <c r="P355" s="2277"/>
      <c r="Q355" s="2277"/>
      <c r="R355" s="2279">
        <v>5760</v>
      </c>
      <c r="S355" s="2279">
        <v>5760</v>
      </c>
      <c r="T355" s="2277"/>
    </row>
    <row r="356" spans="1:20" ht="23.25" customHeight="1" outlineLevel="1" x14ac:dyDescent="0.2">
      <c r="A356" s="6538" t="s">
        <v>2995</v>
      </c>
      <c r="B356" s="6538"/>
      <c r="C356" s="2282">
        <v>2454</v>
      </c>
      <c r="D356" s="2276" t="s">
        <v>2996</v>
      </c>
      <c r="E356" s="2277" t="s">
        <v>2997</v>
      </c>
      <c r="F356" s="2278">
        <v>84</v>
      </c>
      <c r="G356" s="2278"/>
      <c r="H356" s="2279">
        <v>60983.05</v>
      </c>
      <c r="I356" s="6539">
        <v>37025.49</v>
      </c>
      <c r="J356" s="6539"/>
      <c r="K356" s="2279">
        <v>23957.56</v>
      </c>
      <c r="L356" s="2277"/>
      <c r="M356" s="2281">
        <v>8711.8799999999992</v>
      </c>
      <c r="N356" s="2281">
        <f>M356</f>
        <v>8711.8799999999992</v>
      </c>
      <c r="O356" s="2281"/>
      <c r="P356" s="2277"/>
      <c r="Q356" s="2277"/>
      <c r="R356" s="2279">
        <v>60983.05</v>
      </c>
      <c r="S356" s="2279">
        <v>45737.37</v>
      </c>
      <c r="T356" s="2279">
        <v>15245.68</v>
      </c>
    </row>
    <row r="357" spans="1:20" ht="12" customHeight="1" outlineLevel="1" x14ac:dyDescent="0.2">
      <c r="A357" s="6538" t="s">
        <v>2998</v>
      </c>
      <c r="B357" s="6538"/>
      <c r="C357" s="2275">
        <v>684</v>
      </c>
      <c r="D357" s="2276" t="s">
        <v>2781</v>
      </c>
      <c r="E357" s="2277" t="s">
        <v>2999</v>
      </c>
      <c r="F357" s="2278">
        <v>84</v>
      </c>
      <c r="G357" s="2278"/>
      <c r="H357" s="2279">
        <v>42260</v>
      </c>
      <c r="I357" s="6539">
        <v>42260</v>
      </c>
      <c r="J357" s="6539"/>
      <c r="K357" s="2277"/>
      <c r="L357" s="2277"/>
      <c r="M357" s="2280"/>
      <c r="N357" s="2281"/>
      <c r="O357" s="2281"/>
      <c r="P357" s="2277"/>
      <c r="Q357" s="2277"/>
      <c r="R357" s="2279">
        <v>42260</v>
      </c>
      <c r="S357" s="2279">
        <v>42260</v>
      </c>
      <c r="T357" s="2277"/>
    </row>
    <row r="358" spans="1:20" ht="12" customHeight="1" outlineLevel="1" x14ac:dyDescent="0.2">
      <c r="A358" s="6538" t="s">
        <v>3000</v>
      </c>
      <c r="B358" s="6538"/>
      <c r="C358" s="2275">
        <v>685</v>
      </c>
      <c r="D358" s="2276" t="s">
        <v>2781</v>
      </c>
      <c r="E358" s="2277" t="s">
        <v>3001</v>
      </c>
      <c r="F358" s="2278">
        <v>84</v>
      </c>
      <c r="G358" s="2278"/>
      <c r="H358" s="2279">
        <v>107420</v>
      </c>
      <c r="I358" s="6539">
        <v>107420</v>
      </c>
      <c r="J358" s="6539"/>
      <c r="K358" s="2277"/>
      <c r="L358" s="2277"/>
      <c r="M358" s="2280"/>
      <c r="N358" s="2281"/>
      <c r="O358" s="2281"/>
      <c r="P358" s="2277"/>
      <c r="Q358" s="2277"/>
      <c r="R358" s="2279">
        <v>107420</v>
      </c>
      <c r="S358" s="2279">
        <v>107420</v>
      </c>
      <c r="T358" s="2277"/>
    </row>
    <row r="359" spans="1:20" ht="12" customHeight="1" outlineLevel="1" x14ac:dyDescent="0.2">
      <c r="A359" s="6538" t="s">
        <v>3002</v>
      </c>
      <c r="B359" s="6538"/>
      <c r="C359" s="2275">
        <v>683</v>
      </c>
      <c r="D359" s="2276" t="s">
        <v>3003</v>
      </c>
      <c r="E359" s="2277" t="s">
        <v>2999</v>
      </c>
      <c r="F359" s="2278">
        <v>84</v>
      </c>
      <c r="G359" s="2278"/>
      <c r="H359" s="2279">
        <v>84520</v>
      </c>
      <c r="I359" s="6539">
        <v>84520</v>
      </c>
      <c r="J359" s="6539"/>
      <c r="K359" s="2277"/>
      <c r="L359" s="2277"/>
      <c r="M359" s="2280"/>
      <c r="N359" s="2281"/>
      <c r="O359" s="2281"/>
      <c r="P359" s="2277"/>
      <c r="Q359" s="2277"/>
      <c r="R359" s="2279">
        <v>84520</v>
      </c>
      <c r="S359" s="2279">
        <v>84520</v>
      </c>
      <c r="T359" s="2277"/>
    </row>
    <row r="360" spans="1:20" ht="12" customHeight="1" outlineLevel="1" x14ac:dyDescent="0.2">
      <c r="A360" s="6538" t="s">
        <v>3004</v>
      </c>
      <c r="B360" s="6538"/>
      <c r="C360" s="2275">
        <v>353</v>
      </c>
      <c r="D360" s="2276" t="s">
        <v>2591</v>
      </c>
      <c r="E360" s="2277" t="s">
        <v>3005</v>
      </c>
      <c r="F360" s="2278">
        <v>96</v>
      </c>
      <c r="G360" s="2278"/>
      <c r="H360" s="2279">
        <v>11207</v>
      </c>
      <c r="I360" s="6539">
        <v>11207</v>
      </c>
      <c r="J360" s="6539"/>
      <c r="K360" s="2277"/>
      <c r="L360" s="2277"/>
      <c r="M360" s="2280"/>
      <c r="N360" s="2281"/>
      <c r="O360" s="2281"/>
      <c r="P360" s="2277"/>
      <c r="Q360" s="2277"/>
      <c r="R360" s="2279">
        <v>11207</v>
      </c>
      <c r="S360" s="2279">
        <v>11207</v>
      </c>
      <c r="T360" s="2277"/>
    </row>
    <row r="361" spans="1:20" ht="12" customHeight="1" outlineLevel="1" x14ac:dyDescent="0.2">
      <c r="A361" s="6538" t="s">
        <v>3006</v>
      </c>
      <c r="B361" s="6538"/>
      <c r="C361" s="2275">
        <v>556</v>
      </c>
      <c r="D361" s="2276" t="s">
        <v>2570</v>
      </c>
      <c r="E361" s="2277" t="s">
        <v>3007</v>
      </c>
      <c r="F361" s="2278">
        <v>96</v>
      </c>
      <c r="G361" s="2278"/>
      <c r="H361" s="2279">
        <v>11966</v>
      </c>
      <c r="I361" s="6539">
        <v>11966</v>
      </c>
      <c r="J361" s="6539"/>
      <c r="K361" s="2277"/>
      <c r="L361" s="2277"/>
      <c r="M361" s="2280"/>
      <c r="N361" s="2281"/>
      <c r="O361" s="2281"/>
      <c r="P361" s="2277"/>
      <c r="Q361" s="2277"/>
      <c r="R361" s="2279">
        <v>11966</v>
      </c>
      <c r="S361" s="2279">
        <v>11966</v>
      </c>
      <c r="T361" s="2277"/>
    </row>
    <row r="362" spans="1:20" ht="12" customHeight="1" outlineLevel="1" x14ac:dyDescent="0.2">
      <c r="A362" s="6538" t="s">
        <v>3008</v>
      </c>
      <c r="B362" s="6538"/>
      <c r="C362" s="2282">
        <v>2406</v>
      </c>
      <c r="D362" s="2276" t="s">
        <v>2565</v>
      </c>
      <c r="E362" s="2277" t="s">
        <v>3009</v>
      </c>
      <c r="F362" s="2278">
        <v>1</v>
      </c>
      <c r="G362" s="2278"/>
      <c r="H362" s="2277"/>
      <c r="I362" s="2317"/>
      <c r="J362" s="2318"/>
      <c r="K362" s="2277"/>
      <c r="L362" s="2277"/>
      <c r="M362" s="2280"/>
      <c r="N362" s="2281"/>
      <c r="O362" s="2281"/>
      <c r="P362" s="2277"/>
      <c r="Q362" s="2277"/>
      <c r="R362" s="2277"/>
      <c r="S362" s="2277"/>
      <c r="T362" s="2277"/>
    </row>
    <row r="363" spans="1:20" ht="12" customHeight="1" outlineLevel="1" x14ac:dyDescent="0.2">
      <c r="A363" s="6538" t="s">
        <v>3010</v>
      </c>
      <c r="B363" s="6538"/>
      <c r="C363" s="2275">
        <v>590</v>
      </c>
      <c r="D363" s="2276" t="s">
        <v>2769</v>
      </c>
      <c r="E363" s="2277" t="s">
        <v>3011</v>
      </c>
      <c r="F363" s="2278">
        <v>84</v>
      </c>
      <c r="G363" s="2278"/>
      <c r="H363" s="2279">
        <v>193334.05</v>
      </c>
      <c r="I363" s="6539">
        <v>193334.05</v>
      </c>
      <c r="J363" s="6539"/>
      <c r="K363" s="2277"/>
      <c r="L363" s="2277"/>
      <c r="M363" s="2280"/>
      <c r="N363" s="2281"/>
      <c r="O363" s="2281"/>
      <c r="P363" s="2277"/>
      <c r="Q363" s="2277"/>
      <c r="R363" s="2279">
        <v>193334.05</v>
      </c>
      <c r="S363" s="2279">
        <v>193334.05</v>
      </c>
      <c r="T363" s="2277"/>
    </row>
    <row r="364" spans="1:20" s="2298" customFormat="1" ht="23.25" customHeight="1" outlineLevel="1" x14ac:dyDescent="0.2">
      <c r="A364" s="6547" t="s">
        <v>3012</v>
      </c>
      <c r="B364" s="6547"/>
      <c r="C364" s="2321">
        <v>2397</v>
      </c>
      <c r="D364" s="2293" t="s">
        <v>3013</v>
      </c>
      <c r="E364" s="2294" t="s">
        <v>3014</v>
      </c>
      <c r="F364" s="2295">
        <v>84</v>
      </c>
      <c r="G364" s="2295"/>
      <c r="H364" s="2296">
        <v>32203.48</v>
      </c>
      <c r="I364" s="6548">
        <v>27602.639999999999</v>
      </c>
      <c r="J364" s="6548"/>
      <c r="K364" s="2296">
        <v>4600.84</v>
      </c>
      <c r="L364" s="2294"/>
      <c r="M364" s="2296">
        <v>3066.96</v>
      </c>
      <c r="N364" s="2296">
        <f>M364</f>
        <v>3066.96</v>
      </c>
      <c r="O364" s="2296"/>
      <c r="P364" s="2296">
        <v>32203.48</v>
      </c>
      <c r="Q364" s="2296">
        <v>30669.599999999999</v>
      </c>
      <c r="R364" s="2294"/>
      <c r="S364" s="2294"/>
      <c r="T364" s="2294"/>
    </row>
    <row r="365" spans="1:20" s="2298" customFormat="1" ht="23.25" customHeight="1" outlineLevel="1" x14ac:dyDescent="0.2">
      <c r="A365" s="6547" t="s">
        <v>3015</v>
      </c>
      <c r="B365" s="6547"/>
      <c r="C365" s="2321">
        <v>2387</v>
      </c>
      <c r="D365" s="2293" t="s">
        <v>3016</v>
      </c>
      <c r="E365" s="2294" t="s">
        <v>3017</v>
      </c>
      <c r="F365" s="2295">
        <v>84</v>
      </c>
      <c r="G365" s="2295"/>
      <c r="H365" s="2296">
        <v>12191.54</v>
      </c>
      <c r="I365" s="6548">
        <v>11030.64</v>
      </c>
      <c r="J365" s="6548"/>
      <c r="K365" s="2296">
        <v>1160.9000000000001</v>
      </c>
      <c r="L365" s="2294"/>
      <c r="M365" s="2296">
        <v>1160.9000000000001</v>
      </c>
      <c r="N365" s="2296">
        <f>M365</f>
        <v>1160.9000000000001</v>
      </c>
      <c r="O365" s="2296"/>
      <c r="P365" s="2294"/>
      <c r="Q365" s="2294"/>
      <c r="R365" s="2296">
        <v>12191.54</v>
      </c>
      <c r="S365" s="2296">
        <v>12191.54</v>
      </c>
      <c r="T365" s="2294"/>
    </row>
    <row r="366" spans="1:20" s="2298" customFormat="1" ht="12" customHeight="1" outlineLevel="1" x14ac:dyDescent="0.2">
      <c r="A366" s="6547" t="s">
        <v>3018</v>
      </c>
      <c r="B366" s="6547"/>
      <c r="C366" s="2321">
        <v>2388</v>
      </c>
      <c r="D366" s="2293" t="s">
        <v>3016</v>
      </c>
      <c r="E366" s="2294" t="s">
        <v>3019</v>
      </c>
      <c r="F366" s="2295">
        <v>84</v>
      </c>
      <c r="G366" s="2295"/>
      <c r="H366" s="2296">
        <v>21483.05</v>
      </c>
      <c r="I366" s="6548">
        <v>19437</v>
      </c>
      <c r="J366" s="6548"/>
      <c r="K366" s="2296">
        <v>2046.05</v>
      </c>
      <c r="L366" s="2294"/>
      <c r="M366" s="2296">
        <v>2046.05</v>
      </c>
      <c r="N366" s="2296">
        <f>M366</f>
        <v>2046.05</v>
      </c>
      <c r="O366" s="2296"/>
      <c r="P366" s="2294"/>
      <c r="Q366" s="2294"/>
      <c r="R366" s="2296">
        <v>21483.05</v>
      </c>
      <c r="S366" s="2296">
        <v>21483.05</v>
      </c>
      <c r="T366" s="2294"/>
    </row>
    <row r="367" spans="1:20" ht="23.25" customHeight="1" outlineLevel="1" x14ac:dyDescent="0.2">
      <c r="A367" s="6538" t="s">
        <v>3020</v>
      </c>
      <c r="B367" s="6538"/>
      <c r="C367" s="2282">
        <v>2420</v>
      </c>
      <c r="D367" s="2276" t="s">
        <v>2939</v>
      </c>
      <c r="E367" s="2277" t="s">
        <v>3021</v>
      </c>
      <c r="F367" s="2278">
        <v>84</v>
      </c>
      <c r="G367" s="2278"/>
      <c r="H367" s="2279">
        <v>47457.63</v>
      </c>
      <c r="I367" s="6539">
        <v>37288.019999999997</v>
      </c>
      <c r="J367" s="6539"/>
      <c r="K367" s="2279">
        <v>10169.61</v>
      </c>
      <c r="L367" s="2277"/>
      <c r="M367" s="2281">
        <v>6779.64</v>
      </c>
      <c r="N367" s="2281">
        <f>M367</f>
        <v>6779.64</v>
      </c>
      <c r="O367" s="2281"/>
      <c r="P367" s="2277"/>
      <c r="Q367" s="2277"/>
      <c r="R367" s="2279">
        <v>47457.63</v>
      </c>
      <c r="S367" s="2279">
        <v>44067.66</v>
      </c>
      <c r="T367" s="2279">
        <v>3389.97</v>
      </c>
    </row>
    <row r="368" spans="1:20" ht="12" customHeight="1" outlineLevel="1" x14ac:dyDescent="0.2">
      <c r="A368" s="6538" t="s">
        <v>3022</v>
      </c>
      <c r="B368" s="6538"/>
      <c r="C368" s="2275">
        <v>201</v>
      </c>
      <c r="D368" s="2276" t="s">
        <v>3023</v>
      </c>
      <c r="E368" s="2277" t="s">
        <v>3024</v>
      </c>
      <c r="F368" s="2278">
        <v>96</v>
      </c>
      <c r="G368" s="2278"/>
      <c r="H368" s="2277"/>
      <c r="I368" s="2317"/>
      <c r="J368" s="2318"/>
      <c r="K368" s="2277"/>
      <c r="L368" s="2277"/>
      <c r="M368" s="2280"/>
      <c r="N368" s="2281"/>
      <c r="O368" s="2281"/>
      <c r="P368" s="2277"/>
      <c r="Q368" s="2277"/>
      <c r="R368" s="2277"/>
      <c r="S368" s="2277"/>
      <c r="T368" s="2277"/>
    </row>
    <row r="369" spans="1:20" ht="12" customHeight="1" outlineLevel="1" x14ac:dyDescent="0.2">
      <c r="A369" s="6538" t="s">
        <v>3022</v>
      </c>
      <c r="B369" s="6538"/>
      <c r="C369" s="2275">
        <v>202</v>
      </c>
      <c r="D369" s="2276" t="s">
        <v>3023</v>
      </c>
      <c r="E369" s="2277" t="s">
        <v>3024</v>
      </c>
      <c r="F369" s="2278">
        <v>96</v>
      </c>
      <c r="G369" s="2278"/>
      <c r="H369" s="2277"/>
      <c r="I369" s="2317"/>
      <c r="J369" s="2318"/>
      <c r="K369" s="2277"/>
      <c r="L369" s="2277"/>
      <c r="M369" s="2280"/>
      <c r="N369" s="2281"/>
      <c r="O369" s="2281"/>
      <c r="P369" s="2277"/>
      <c r="Q369" s="2277"/>
      <c r="R369" s="2277"/>
      <c r="S369" s="2277"/>
      <c r="T369" s="2277"/>
    </row>
    <row r="370" spans="1:20" ht="12" customHeight="1" outlineLevel="1" x14ac:dyDescent="0.2">
      <c r="A370" s="6538" t="s">
        <v>3025</v>
      </c>
      <c r="B370" s="6538"/>
      <c r="C370" s="2282">
        <v>2360</v>
      </c>
      <c r="D370" s="2276" t="s">
        <v>3026</v>
      </c>
      <c r="E370" s="2277" t="s">
        <v>3027</v>
      </c>
      <c r="F370" s="2278">
        <v>84</v>
      </c>
      <c r="G370" s="2278"/>
      <c r="H370" s="2279">
        <v>41525.42</v>
      </c>
      <c r="I370" s="6539">
        <v>41525.42</v>
      </c>
      <c r="J370" s="6539"/>
      <c r="K370" s="2277"/>
      <c r="L370" s="2277"/>
      <c r="M370" s="2280"/>
      <c r="N370" s="2281"/>
      <c r="O370" s="2281"/>
      <c r="P370" s="2277"/>
      <c r="Q370" s="2277"/>
      <c r="R370" s="2279">
        <v>41525.42</v>
      </c>
      <c r="S370" s="2279">
        <v>41525.42</v>
      </c>
      <c r="T370" s="2277"/>
    </row>
    <row r="371" spans="1:20" ht="12" customHeight="1" outlineLevel="1" x14ac:dyDescent="0.2">
      <c r="A371" s="6538" t="s">
        <v>3028</v>
      </c>
      <c r="B371" s="6538"/>
      <c r="C371" s="2275">
        <v>416</v>
      </c>
      <c r="D371" s="2276" t="s">
        <v>3029</v>
      </c>
      <c r="E371" s="2277" t="s">
        <v>3030</v>
      </c>
      <c r="F371" s="2278">
        <v>96</v>
      </c>
      <c r="G371" s="2278"/>
      <c r="H371" s="2279">
        <v>1827</v>
      </c>
      <c r="I371" s="6539">
        <v>1827</v>
      </c>
      <c r="J371" s="6539"/>
      <c r="K371" s="2277"/>
      <c r="L371" s="2277"/>
      <c r="M371" s="2280"/>
      <c r="N371" s="2281"/>
      <c r="O371" s="2281"/>
      <c r="P371" s="2277"/>
      <c r="Q371" s="2277"/>
      <c r="R371" s="2279">
        <v>1827</v>
      </c>
      <c r="S371" s="2279">
        <v>1827</v>
      </c>
      <c r="T371" s="2277"/>
    </row>
    <row r="372" spans="1:20" ht="12" customHeight="1" outlineLevel="1" x14ac:dyDescent="0.2">
      <c r="A372" s="6538" t="s">
        <v>3031</v>
      </c>
      <c r="B372" s="6538"/>
      <c r="C372" s="2275">
        <v>203</v>
      </c>
      <c r="D372" s="2276" t="s">
        <v>2984</v>
      </c>
      <c r="E372" s="2277" t="s">
        <v>3032</v>
      </c>
      <c r="F372" s="2278">
        <v>96</v>
      </c>
      <c r="G372" s="2278"/>
      <c r="H372" s="2279">
        <v>23000</v>
      </c>
      <c r="I372" s="6539">
        <v>23000</v>
      </c>
      <c r="J372" s="6539"/>
      <c r="K372" s="2277"/>
      <c r="L372" s="2277"/>
      <c r="M372" s="2280"/>
      <c r="N372" s="2281"/>
      <c r="O372" s="2281"/>
      <c r="P372" s="2277"/>
      <c r="Q372" s="2277"/>
      <c r="R372" s="2279">
        <v>23000</v>
      </c>
      <c r="S372" s="2279">
        <v>23000</v>
      </c>
      <c r="T372" s="2277"/>
    </row>
    <row r="373" spans="1:20" ht="23.25" customHeight="1" outlineLevel="1" x14ac:dyDescent="0.2">
      <c r="A373" s="6538" t="s">
        <v>3033</v>
      </c>
      <c r="B373" s="6538"/>
      <c r="C373" s="2282">
        <v>2405</v>
      </c>
      <c r="D373" s="2276" t="s">
        <v>2565</v>
      </c>
      <c r="E373" s="2277" t="s">
        <v>3034</v>
      </c>
      <c r="F373" s="2278">
        <v>84</v>
      </c>
      <c r="G373" s="2278"/>
      <c r="H373" s="2279">
        <v>91000</v>
      </c>
      <c r="I373" s="6539">
        <v>76916.429999999993</v>
      </c>
      <c r="J373" s="6539"/>
      <c r="K373" s="2279">
        <v>14083.57</v>
      </c>
      <c r="L373" s="2277"/>
      <c r="M373" s="2281">
        <v>12999.96</v>
      </c>
      <c r="N373" s="2281">
        <f>M373</f>
        <v>12999.96</v>
      </c>
      <c r="O373" s="2281"/>
      <c r="P373" s="2277"/>
      <c r="Q373" s="2277"/>
      <c r="R373" s="2279">
        <v>91000</v>
      </c>
      <c r="S373" s="2279">
        <v>89916.39</v>
      </c>
      <c r="T373" s="2279">
        <v>1083.6099999999999</v>
      </c>
    </row>
    <row r="374" spans="1:20" ht="12" customHeight="1" outlineLevel="1" x14ac:dyDescent="0.2">
      <c r="A374" s="6538" t="s">
        <v>3035</v>
      </c>
      <c r="B374" s="6538"/>
      <c r="C374" s="2275">
        <v>344</v>
      </c>
      <c r="D374" s="2276" t="s">
        <v>3036</v>
      </c>
      <c r="E374" s="2277" t="s">
        <v>3037</v>
      </c>
      <c r="F374" s="2278">
        <v>169</v>
      </c>
      <c r="G374" s="2278"/>
      <c r="H374" s="2279">
        <v>184964</v>
      </c>
      <c r="I374" s="6539">
        <v>184964</v>
      </c>
      <c r="J374" s="6539"/>
      <c r="K374" s="2277"/>
      <c r="L374" s="2277"/>
      <c r="M374" s="2280"/>
      <c r="N374" s="2281"/>
      <c r="O374" s="2281"/>
      <c r="P374" s="2277"/>
      <c r="Q374" s="2277"/>
      <c r="R374" s="2279">
        <v>184964</v>
      </c>
      <c r="S374" s="2279">
        <v>184964</v>
      </c>
      <c r="T374" s="2277"/>
    </row>
    <row r="375" spans="1:20" ht="12" customHeight="1" outlineLevel="1" x14ac:dyDescent="0.2">
      <c r="A375" s="6538" t="s">
        <v>3038</v>
      </c>
      <c r="B375" s="6538"/>
      <c r="C375" s="2275">
        <v>2020</v>
      </c>
      <c r="D375" s="2276" t="s">
        <v>3039</v>
      </c>
      <c r="E375" s="2277" t="s">
        <v>3040</v>
      </c>
      <c r="F375" s="2278">
        <v>36</v>
      </c>
      <c r="G375" s="2278"/>
      <c r="H375" s="2279">
        <v>25423.73</v>
      </c>
      <c r="I375" s="6539">
        <v>25423.73</v>
      </c>
      <c r="J375" s="6539"/>
      <c r="K375" s="2277"/>
      <c r="L375" s="2277"/>
      <c r="M375" s="2280"/>
      <c r="N375" s="2281"/>
      <c r="O375" s="2281"/>
      <c r="P375" s="2277"/>
      <c r="Q375" s="2277"/>
      <c r="R375" s="2279">
        <v>25423.73</v>
      </c>
      <c r="S375" s="2279">
        <v>25423.73</v>
      </c>
      <c r="T375" s="2277"/>
    </row>
    <row r="376" spans="1:20" ht="12" customHeight="1" outlineLevel="1" x14ac:dyDescent="0.2">
      <c r="A376" s="6538" t="s">
        <v>3041</v>
      </c>
      <c r="B376" s="6538"/>
      <c r="C376" s="2282">
        <v>1954</v>
      </c>
      <c r="D376" s="2276" t="s">
        <v>2573</v>
      </c>
      <c r="E376" s="2277" t="s">
        <v>3042</v>
      </c>
      <c r="F376" s="2278">
        <v>60</v>
      </c>
      <c r="G376" s="2278"/>
      <c r="H376" s="2279">
        <v>11779.66</v>
      </c>
      <c r="I376" s="6539">
        <v>11779.66</v>
      </c>
      <c r="J376" s="6539"/>
      <c r="K376" s="2277"/>
      <c r="L376" s="2277"/>
      <c r="M376" s="2280"/>
      <c r="N376" s="2281"/>
      <c r="O376" s="2281"/>
      <c r="P376" s="2277"/>
      <c r="Q376" s="2277"/>
      <c r="R376" s="2279">
        <v>11779.66</v>
      </c>
      <c r="S376" s="2279">
        <v>11779.66</v>
      </c>
      <c r="T376" s="2277"/>
    </row>
    <row r="377" spans="1:20" ht="12" customHeight="1" outlineLevel="1" x14ac:dyDescent="0.2">
      <c r="A377" s="6538" t="s">
        <v>3041</v>
      </c>
      <c r="B377" s="6538"/>
      <c r="C377" s="2282">
        <v>1955</v>
      </c>
      <c r="D377" s="2276" t="s">
        <v>2573</v>
      </c>
      <c r="E377" s="2277" t="s">
        <v>3042</v>
      </c>
      <c r="F377" s="2278">
        <v>60</v>
      </c>
      <c r="G377" s="2278"/>
      <c r="H377" s="2279">
        <v>11779.66</v>
      </c>
      <c r="I377" s="6539">
        <v>11779.66</v>
      </c>
      <c r="J377" s="6539"/>
      <c r="K377" s="2277"/>
      <c r="L377" s="2277"/>
      <c r="M377" s="2280"/>
      <c r="N377" s="2281"/>
      <c r="O377" s="2281"/>
      <c r="P377" s="2277"/>
      <c r="Q377" s="2277"/>
      <c r="R377" s="2279">
        <v>11779.66</v>
      </c>
      <c r="S377" s="2279">
        <v>11779.66</v>
      </c>
      <c r="T377" s="2277"/>
    </row>
    <row r="378" spans="1:20" ht="23.25" customHeight="1" outlineLevel="1" x14ac:dyDescent="0.2">
      <c r="A378" s="6538" t="s">
        <v>3043</v>
      </c>
      <c r="B378" s="6538"/>
      <c r="C378" s="2282">
        <v>1964</v>
      </c>
      <c r="D378" s="2276" t="s">
        <v>2597</v>
      </c>
      <c r="E378" s="2277" t="s">
        <v>3044</v>
      </c>
      <c r="F378" s="2278">
        <v>60</v>
      </c>
      <c r="G378" s="2278"/>
      <c r="H378" s="2279">
        <v>16050</v>
      </c>
      <c r="I378" s="6539">
        <v>16050</v>
      </c>
      <c r="J378" s="6539"/>
      <c r="K378" s="2277"/>
      <c r="L378" s="2277"/>
      <c r="M378" s="2280"/>
      <c r="N378" s="2281"/>
      <c r="O378" s="2281"/>
      <c r="P378" s="2277"/>
      <c r="Q378" s="2277"/>
      <c r="R378" s="2279">
        <v>16050</v>
      </c>
      <c r="S378" s="2279">
        <v>16050</v>
      </c>
      <c r="T378" s="2277"/>
    </row>
    <row r="379" spans="1:20" ht="12" customHeight="1" outlineLevel="1" x14ac:dyDescent="0.2">
      <c r="A379" s="6538" t="s">
        <v>3045</v>
      </c>
      <c r="B379" s="6538"/>
      <c r="C379" s="2282">
        <v>2358</v>
      </c>
      <c r="D379" s="2276" t="s">
        <v>3046</v>
      </c>
      <c r="E379" s="2277" t="s">
        <v>3047</v>
      </c>
      <c r="F379" s="2278">
        <v>84</v>
      </c>
      <c r="G379" s="2278"/>
      <c r="H379" s="2279">
        <v>54450</v>
      </c>
      <c r="I379" s="6539">
        <v>54450</v>
      </c>
      <c r="J379" s="6539"/>
      <c r="K379" s="2277"/>
      <c r="L379" s="2277"/>
      <c r="M379" s="2280"/>
      <c r="N379" s="2281"/>
      <c r="O379" s="2281"/>
      <c r="P379" s="2277"/>
      <c r="Q379" s="2277"/>
      <c r="R379" s="2279">
        <v>54450</v>
      </c>
      <c r="S379" s="2279">
        <v>54450</v>
      </c>
      <c r="T379" s="2277"/>
    </row>
    <row r="380" spans="1:20" ht="12" customHeight="1" outlineLevel="1" x14ac:dyDescent="0.2">
      <c r="A380" s="6538" t="s">
        <v>3045</v>
      </c>
      <c r="B380" s="6538"/>
      <c r="C380" s="2282">
        <v>2359</v>
      </c>
      <c r="D380" s="2276" t="s">
        <v>3046</v>
      </c>
      <c r="E380" s="2277" t="s">
        <v>3047</v>
      </c>
      <c r="F380" s="2278">
        <v>84</v>
      </c>
      <c r="G380" s="2278"/>
      <c r="H380" s="2279">
        <v>54450</v>
      </c>
      <c r="I380" s="6539">
        <v>54450</v>
      </c>
      <c r="J380" s="6539"/>
      <c r="K380" s="2277"/>
      <c r="L380" s="2277"/>
      <c r="M380" s="2280"/>
      <c r="N380" s="2281"/>
      <c r="O380" s="2281"/>
      <c r="P380" s="2277"/>
      <c r="Q380" s="2277"/>
      <c r="R380" s="2279">
        <v>54450</v>
      </c>
      <c r="S380" s="2279">
        <v>54450</v>
      </c>
      <c r="T380" s="2277"/>
    </row>
    <row r="381" spans="1:20" ht="12" customHeight="1" outlineLevel="1" x14ac:dyDescent="0.2">
      <c r="A381" s="6538" t="s">
        <v>3048</v>
      </c>
      <c r="B381" s="6538"/>
      <c r="C381" s="2275">
        <v>597</v>
      </c>
      <c r="D381" s="2276" t="s">
        <v>2846</v>
      </c>
      <c r="E381" s="2277" t="s">
        <v>3049</v>
      </c>
      <c r="F381" s="2278">
        <v>60</v>
      </c>
      <c r="G381" s="2278"/>
      <c r="H381" s="2279">
        <v>18333.330000000002</v>
      </c>
      <c r="I381" s="6539">
        <v>18333.330000000002</v>
      </c>
      <c r="J381" s="6539"/>
      <c r="K381" s="2277"/>
      <c r="L381" s="2277"/>
      <c r="M381" s="2280"/>
      <c r="N381" s="2281"/>
      <c r="O381" s="2281"/>
      <c r="P381" s="2277"/>
      <c r="Q381" s="2277"/>
      <c r="R381" s="2279">
        <v>18333.330000000002</v>
      </c>
      <c r="S381" s="2279">
        <v>18333.330000000002</v>
      </c>
      <c r="T381" s="2277"/>
    </row>
    <row r="382" spans="1:20" ht="12" customHeight="1" outlineLevel="1" x14ac:dyDescent="0.2">
      <c r="A382" s="6538" t="s">
        <v>3050</v>
      </c>
      <c r="B382" s="6538"/>
      <c r="C382" s="2282">
        <v>1951</v>
      </c>
      <c r="D382" s="2276" t="s">
        <v>3051</v>
      </c>
      <c r="E382" s="2277" t="s">
        <v>3052</v>
      </c>
      <c r="F382" s="2278">
        <v>84</v>
      </c>
      <c r="G382" s="2278"/>
      <c r="H382" s="2279">
        <v>132323.6</v>
      </c>
      <c r="I382" s="6539">
        <v>132323.6</v>
      </c>
      <c r="J382" s="6539"/>
      <c r="K382" s="2277"/>
      <c r="L382" s="2277"/>
      <c r="M382" s="2280"/>
      <c r="N382" s="2281"/>
      <c r="O382" s="2281"/>
      <c r="P382" s="2277"/>
      <c r="Q382" s="2277"/>
      <c r="R382" s="2279">
        <v>132323.6</v>
      </c>
      <c r="S382" s="2279">
        <v>132323.6</v>
      </c>
      <c r="T382" s="2277"/>
    </row>
    <row r="383" spans="1:20" ht="12" customHeight="1" outlineLevel="1" x14ac:dyDescent="0.2">
      <c r="A383" s="6538" t="s">
        <v>3053</v>
      </c>
      <c r="B383" s="6538"/>
      <c r="C383" s="2282">
        <v>1735</v>
      </c>
      <c r="D383" s="2276" t="s">
        <v>2648</v>
      </c>
      <c r="E383" s="2277" t="s">
        <v>3054</v>
      </c>
      <c r="F383" s="2278">
        <v>84</v>
      </c>
      <c r="G383" s="2278"/>
      <c r="H383" s="2279">
        <v>122916.88</v>
      </c>
      <c r="I383" s="6539">
        <v>122916.88</v>
      </c>
      <c r="J383" s="6539"/>
      <c r="K383" s="2277"/>
      <c r="L383" s="2277"/>
      <c r="M383" s="2280"/>
      <c r="N383" s="2281"/>
      <c r="O383" s="2281"/>
      <c r="P383" s="2277"/>
      <c r="Q383" s="2277"/>
      <c r="R383" s="2279">
        <v>122916.88</v>
      </c>
      <c r="S383" s="2279">
        <v>122916.88</v>
      </c>
      <c r="T383" s="2277"/>
    </row>
    <row r="384" spans="1:20" ht="12" customHeight="1" outlineLevel="1" x14ac:dyDescent="0.2">
      <c r="A384" s="6538" t="s">
        <v>2645</v>
      </c>
      <c r="B384" s="6538"/>
      <c r="C384" s="2282">
        <v>1967</v>
      </c>
      <c r="D384" s="2276" t="s">
        <v>2597</v>
      </c>
      <c r="E384" s="2277" t="s">
        <v>2646</v>
      </c>
      <c r="F384" s="2278">
        <v>84</v>
      </c>
      <c r="G384" s="2278"/>
      <c r="H384" s="2279">
        <v>50600</v>
      </c>
      <c r="I384" s="6539">
        <v>50600</v>
      </c>
      <c r="J384" s="6539"/>
      <c r="K384" s="2277"/>
      <c r="L384" s="2277"/>
      <c r="M384" s="2280"/>
      <c r="N384" s="2281"/>
      <c r="O384" s="2281"/>
      <c r="P384" s="2277"/>
      <c r="Q384" s="2277"/>
      <c r="R384" s="2279">
        <v>50600</v>
      </c>
      <c r="S384" s="2279">
        <v>50600</v>
      </c>
      <c r="T384" s="2277"/>
    </row>
    <row r="385" spans="1:20" ht="12" customHeight="1" outlineLevel="1" x14ac:dyDescent="0.2">
      <c r="A385" s="6538" t="s">
        <v>3055</v>
      </c>
      <c r="B385" s="6538"/>
      <c r="C385" s="2282">
        <v>1968</v>
      </c>
      <c r="D385" s="2276" t="s">
        <v>2597</v>
      </c>
      <c r="E385" s="2277" t="s">
        <v>3056</v>
      </c>
      <c r="F385" s="2278">
        <v>84</v>
      </c>
      <c r="G385" s="2278"/>
      <c r="H385" s="2279">
        <v>30875.49</v>
      </c>
      <c r="I385" s="6539">
        <v>30875.49</v>
      </c>
      <c r="J385" s="6539"/>
      <c r="K385" s="2277"/>
      <c r="L385" s="2277"/>
      <c r="M385" s="2280"/>
      <c r="N385" s="2281"/>
      <c r="O385" s="2281"/>
      <c r="P385" s="2277"/>
      <c r="Q385" s="2277"/>
      <c r="R385" s="2279">
        <v>30875.49</v>
      </c>
      <c r="S385" s="2279">
        <v>30875.49</v>
      </c>
      <c r="T385" s="2277"/>
    </row>
    <row r="386" spans="1:20" ht="12" customHeight="1" outlineLevel="1" x14ac:dyDescent="0.2">
      <c r="A386" s="6538" t="s">
        <v>3055</v>
      </c>
      <c r="B386" s="6538"/>
      <c r="C386" s="2282">
        <v>1969</v>
      </c>
      <c r="D386" s="2276" t="s">
        <v>2597</v>
      </c>
      <c r="E386" s="2277" t="s">
        <v>3056</v>
      </c>
      <c r="F386" s="2278">
        <v>84</v>
      </c>
      <c r="G386" s="2278"/>
      <c r="H386" s="2279">
        <v>30875.49</v>
      </c>
      <c r="I386" s="6539">
        <v>30875.49</v>
      </c>
      <c r="J386" s="6539"/>
      <c r="K386" s="2277"/>
      <c r="L386" s="2277"/>
      <c r="M386" s="2280"/>
      <c r="N386" s="2281"/>
      <c r="O386" s="2281"/>
      <c r="P386" s="2277"/>
      <c r="Q386" s="2277"/>
      <c r="R386" s="2279">
        <v>30875.49</v>
      </c>
      <c r="S386" s="2279">
        <v>30875.49</v>
      </c>
      <c r="T386" s="2277"/>
    </row>
    <row r="387" spans="1:20" ht="12" customHeight="1" outlineLevel="1" x14ac:dyDescent="0.2">
      <c r="A387" s="6538" t="s">
        <v>3057</v>
      </c>
      <c r="B387" s="6538"/>
      <c r="C387" s="2275">
        <v>398</v>
      </c>
      <c r="D387" s="2276" t="s">
        <v>2972</v>
      </c>
      <c r="E387" s="2277" t="s">
        <v>3058</v>
      </c>
      <c r="F387" s="2278">
        <v>96</v>
      </c>
      <c r="G387" s="2278"/>
      <c r="H387" s="2279">
        <v>2520</v>
      </c>
      <c r="I387" s="6539">
        <v>2520</v>
      </c>
      <c r="J387" s="6539"/>
      <c r="K387" s="2277"/>
      <c r="L387" s="2277"/>
      <c r="M387" s="2280"/>
      <c r="N387" s="2281"/>
      <c r="O387" s="2281"/>
      <c r="P387" s="2277"/>
      <c r="Q387" s="2277"/>
      <c r="R387" s="2279">
        <v>2520</v>
      </c>
      <c r="S387" s="2279">
        <v>2520</v>
      </c>
      <c r="T387" s="2277"/>
    </row>
    <row r="388" spans="1:20" ht="12" customHeight="1" outlineLevel="1" x14ac:dyDescent="0.2">
      <c r="A388" s="6538" t="s">
        <v>2742</v>
      </c>
      <c r="B388" s="6538"/>
      <c r="C388" s="2282">
        <v>2295</v>
      </c>
      <c r="D388" s="2276" t="s">
        <v>2743</v>
      </c>
      <c r="E388" s="2277" t="s">
        <v>2744</v>
      </c>
      <c r="F388" s="2278">
        <v>120</v>
      </c>
      <c r="G388" s="2278"/>
      <c r="H388" s="2279">
        <v>14576.27</v>
      </c>
      <c r="I388" s="6539">
        <v>12997.29</v>
      </c>
      <c r="J388" s="6539"/>
      <c r="K388" s="2279">
        <v>1578.98</v>
      </c>
      <c r="L388" s="2277"/>
      <c r="M388" s="2281">
        <v>1457.64</v>
      </c>
      <c r="N388" s="2281">
        <f>M388</f>
        <v>1457.64</v>
      </c>
      <c r="O388" s="2281"/>
      <c r="P388" s="2277"/>
      <c r="Q388" s="2277"/>
      <c r="R388" s="2279">
        <v>14576.27</v>
      </c>
      <c r="S388" s="2279">
        <v>14454.93</v>
      </c>
      <c r="T388" s="2322">
        <v>121.34</v>
      </c>
    </row>
    <row r="389" spans="1:20" ht="23.25" customHeight="1" outlineLevel="1" x14ac:dyDescent="0.2">
      <c r="A389" s="6538" t="s">
        <v>3059</v>
      </c>
      <c r="B389" s="6538"/>
      <c r="C389" s="2282">
        <v>2434</v>
      </c>
      <c r="D389" s="2276" t="s">
        <v>2249</v>
      </c>
      <c r="E389" s="2277" t="s">
        <v>3060</v>
      </c>
      <c r="F389" s="2278">
        <v>240</v>
      </c>
      <c r="G389" s="2278"/>
      <c r="H389" s="2279">
        <v>1140000.95</v>
      </c>
      <c r="I389" s="6539">
        <v>313500</v>
      </c>
      <c r="J389" s="6539"/>
      <c r="K389" s="2279">
        <v>826500.95</v>
      </c>
      <c r="L389" s="2277"/>
      <c r="M389" s="2281">
        <v>57000</v>
      </c>
      <c r="N389" s="2281">
        <f>M389</f>
        <v>57000</v>
      </c>
      <c r="O389" s="2281"/>
      <c r="P389" s="2277"/>
      <c r="Q389" s="2277"/>
      <c r="R389" s="2279">
        <v>1140000.95</v>
      </c>
      <c r="S389" s="2279">
        <v>370500</v>
      </c>
      <c r="T389" s="2279">
        <v>769500.95</v>
      </c>
    </row>
    <row r="390" spans="1:20" ht="12" customHeight="1" outlineLevel="1" x14ac:dyDescent="0.2">
      <c r="A390" s="6538" t="s">
        <v>3061</v>
      </c>
      <c r="B390" s="6538"/>
      <c r="C390" s="2275">
        <v>483</v>
      </c>
      <c r="D390" s="2276" t="s">
        <v>2970</v>
      </c>
      <c r="E390" s="2277" t="s">
        <v>3062</v>
      </c>
      <c r="F390" s="2278">
        <v>1</v>
      </c>
      <c r="G390" s="2278"/>
      <c r="H390" s="2279">
        <v>4554</v>
      </c>
      <c r="I390" s="6539">
        <v>4554</v>
      </c>
      <c r="J390" s="6539"/>
      <c r="K390" s="2277"/>
      <c r="L390" s="2277"/>
      <c r="M390" s="2280"/>
      <c r="N390" s="2281"/>
      <c r="O390" s="2281"/>
      <c r="P390" s="2277"/>
      <c r="Q390" s="2277"/>
      <c r="R390" s="2279">
        <v>4554</v>
      </c>
      <c r="S390" s="2279">
        <v>4554</v>
      </c>
      <c r="T390" s="2277"/>
    </row>
    <row r="391" spans="1:20" ht="23.25" customHeight="1" outlineLevel="1" x14ac:dyDescent="0.2">
      <c r="A391" s="6538" t="s">
        <v>3063</v>
      </c>
      <c r="B391" s="6538"/>
      <c r="C391" s="2275">
        <v>730</v>
      </c>
      <c r="D391" s="2276" t="s">
        <v>3064</v>
      </c>
      <c r="E391" s="2277" t="s">
        <v>3065</v>
      </c>
      <c r="F391" s="2278">
        <v>60</v>
      </c>
      <c r="G391" s="2278"/>
      <c r="H391" s="2279">
        <v>14150</v>
      </c>
      <c r="I391" s="6539">
        <v>14150</v>
      </c>
      <c r="J391" s="6539"/>
      <c r="K391" s="2277"/>
      <c r="L391" s="2277"/>
      <c r="M391" s="2280"/>
      <c r="N391" s="2281"/>
      <c r="O391" s="2281"/>
      <c r="P391" s="2277"/>
      <c r="Q391" s="2277"/>
      <c r="R391" s="2279">
        <v>14150</v>
      </c>
      <c r="S391" s="2279">
        <v>14150</v>
      </c>
      <c r="T391" s="2277"/>
    </row>
    <row r="392" spans="1:20" ht="12" customHeight="1" outlineLevel="1" x14ac:dyDescent="0.2">
      <c r="A392" s="6538" t="s">
        <v>3066</v>
      </c>
      <c r="B392" s="6538"/>
      <c r="C392" s="2282">
        <v>2364</v>
      </c>
      <c r="D392" s="2276" t="s">
        <v>3067</v>
      </c>
      <c r="E392" s="2277" t="s">
        <v>3068</v>
      </c>
      <c r="F392" s="2278">
        <v>1</v>
      </c>
      <c r="G392" s="2278"/>
      <c r="H392" s="2277"/>
      <c r="I392" s="2317"/>
      <c r="J392" s="2318"/>
      <c r="K392" s="2277"/>
      <c r="L392" s="2277"/>
      <c r="M392" s="2280"/>
      <c r="N392" s="2281"/>
      <c r="O392" s="2281"/>
      <c r="P392" s="2277"/>
      <c r="Q392" s="2277"/>
      <c r="R392" s="2277"/>
      <c r="S392" s="2277"/>
      <c r="T392" s="2277"/>
    </row>
    <row r="393" spans="1:20" ht="12" customHeight="1" outlineLevel="1" x14ac:dyDescent="0.2">
      <c r="A393" s="6538" t="s">
        <v>3066</v>
      </c>
      <c r="B393" s="6538"/>
      <c r="C393" s="2282">
        <v>2367</v>
      </c>
      <c r="D393" s="2276" t="s">
        <v>3069</v>
      </c>
      <c r="E393" s="2277" t="s">
        <v>3070</v>
      </c>
      <c r="F393" s="2278">
        <v>1</v>
      </c>
      <c r="G393" s="2278"/>
      <c r="H393" s="2277"/>
      <c r="I393" s="2317"/>
      <c r="J393" s="2318"/>
      <c r="K393" s="2277"/>
      <c r="L393" s="2277"/>
      <c r="M393" s="2280"/>
      <c r="N393" s="2281"/>
      <c r="O393" s="2281"/>
      <c r="P393" s="2277"/>
      <c r="Q393" s="2277"/>
      <c r="R393" s="2277"/>
      <c r="S393" s="2277"/>
      <c r="T393" s="2277"/>
    </row>
    <row r="394" spans="1:20" ht="23.25" customHeight="1" outlineLevel="1" x14ac:dyDescent="0.2">
      <c r="A394" s="6538" t="s">
        <v>3071</v>
      </c>
      <c r="B394" s="6538"/>
      <c r="C394" s="2275">
        <v>375</v>
      </c>
      <c r="D394" s="2276" t="s">
        <v>3072</v>
      </c>
      <c r="E394" s="2277" t="s">
        <v>3073</v>
      </c>
      <c r="F394" s="2278">
        <v>272</v>
      </c>
      <c r="G394" s="2278"/>
      <c r="H394" s="2279">
        <v>27293</v>
      </c>
      <c r="I394" s="6539">
        <v>27293</v>
      </c>
      <c r="J394" s="6539"/>
      <c r="K394" s="2277"/>
      <c r="L394" s="2277"/>
      <c r="M394" s="2280"/>
      <c r="N394" s="2281"/>
      <c r="O394" s="2281"/>
      <c r="P394" s="2277"/>
      <c r="Q394" s="2277"/>
      <c r="R394" s="2279">
        <v>27293</v>
      </c>
      <c r="S394" s="2279">
        <v>27293</v>
      </c>
      <c r="T394" s="2277"/>
    </row>
    <row r="395" spans="1:20" s="2291" customFormat="1" ht="23.25" customHeight="1" outlineLevel="1" x14ac:dyDescent="0.2">
      <c r="A395" s="6549" t="s">
        <v>2935</v>
      </c>
      <c r="B395" s="6549"/>
      <c r="C395" s="2325">
        <v>1515</v>
      </c>
      <c r="D395" s="2285" t="s">
        <v>2936</v>
      </c>
      <c r="E395" s="2286" t="s">
        <v>2937</v>
      </c>
      <c r="F395" s="2287">
        <v>36</v>
      </c>
      <c r="G395" s="2287"/>
      <c r="H395" s="2286"/>
      <c r="I395" s="2288"/>
      <c r="J395" s="2289"/>
      <c r="K395" s="2286"/>
      <c r="L395" s="2290">
        <v>50196.01</v>
      </c>
      <c r="M395" s="2290">
        <v>12548.97</v>
      </c>
      <c r="N395" s="2290">
        <f>L395/F395*9</f>
        <v>12549.002500000001</v>
      </c>
      <c r="O395" s="2290"/>
      <c r="P395" s="2286"/>
      <c r="Q395" s="2286"/>
      <c r="R395" s="2290">
        <v>50196.01</v>
      </c>
      <c r="S395" s="2290">
        <v>12548.97</v>
      </c>
      <c r="T395" s="2290">
        <v>37647.040000000001</v>
      </c>
    </row>
    <row r="396" spans="1:20" ht="12" customHeight="1" outlineLevel="1" x14ac:dyDescent="0.2">
      <c r="A396" s="6538" t="s">
        <v>2578</v>
      </c>
      <c r="B396" s="6538"/>
      <c r="C396" s="2275">
        <v>485</v>
      </c>
      <c r="D396" s="2276" t="s">
        <v>2288</v>
      </c>
      <c r="E396" s="2277" t="s">
        <v>3074</v>
      </c>
      <c r="F396" s="2278">
        <v>240</v>
      </c>
      <c r="G396" s="2278"/>
      <c r="H396" s="2279">
        <v>53210.55</v>
      </c>
      <c r="I396" s="6539">
        <v>47567.8</v>
      </c>
      <c r="J396" s="6539"/>
      <c r="K396" s="2279">
        <v>5642.75</v>
      </c>
      <c r="L396" s="2277"/>
      <c r="M396" s="2281">
        <v>2660.52</v>
      </c>
      <c r="N396" s="2281">
        <f>M396</f>
        <v>2660.52</v>
      </c>
      <c r="O396" s="2281"/>
      <c r="P396" s="2277"/>
      <c r="Q396" s="2277"/>
      <c r="R396" s="2279">
        <v>53210.55</v>
      </c>
      <c r="S396" s="2279">
        <v>50228.32</v>
      </c>
      <c r="T396" s="2279">
        <v>2982.23</v>
      </c>
    </row>
    <row r="397" spans="1:20" ht="12" customHeight="1" outlineLevel="1" x14ac:dyDescent="0.2">
      <c r="A397" s="6538" t="s">
        <v>3075</v>
      </c>
      <c r="B397" s="6538"/>
      <c r="C397" s="2275">
        <v>510</v>
      </c>
      <c r="D397" s="2276" t="s">
        <v>3076</v>
      </c>
      <c r="E397" s="2277" t="s">
        <v>3077</v>
      </c>
      <c r="F397" s="2278">
        <v>84</v>
      </c>
      <c r="G397" s="2278"/>
      <c r="H397" s="2279">
        <v>10304</v>
      </c>
      <c r="I397" s="6539">
        <v>10304</v>
      </c>
      <c r="J397" s="6539"/>
      <c r="K397" s="2277"/>
      <c r="L397" s="2277"/>
      <c r="M397" s="2280"/>
      <c r="N397" s="2281"/>
      <c r="O397" s="2281"/>
      <c r="P397" s="2277"/>
      <c r="Q397" s="2277"/>
      <c r="R397" s="2279">
        <v>10304</v>
      </c>
      <c r="S397" s="2279">
        <v>10304</v>
      </c>
      <c r="T397" s="2277"/>
    </row>
    <row r="398" spans="1:20" ht="12" customHeight="1" outlineLevel="1" x14ac:dyDescent="0.2">
      <c r="A398" s="6538" t="s">
        <v>3078</v>
      </c>
      <c r="B398" s="6538"/>
      <c r="C398" s="2275">
        <v>130</v>
      </c>
      <c r="D398" s="2276" t="s">
        <v>3079</v>
      </c>
      <c r="E398" s="2277" t="s">
        <v>3080</v>
      </c>
      <c r="F398" s="2278">
        <v>96</v>
      </c>
      <c r="G398" s="2278"/>
      <c r="H398" s="2279">
        <v>17380</v>
      </c>
      <c r="I398" s="6539">
        <v>17380</v>
      </c>
      <c r="J398" s="6539"/>
      <c r="K398" s="2277"/>
      <c r="L398" s="2277"/>
      <c r="M398" s="2280"/>
      <c r="N398" s="2281"/>
      <c r="O398" s="2281"/>
      <c r="P398" s="2277"/>
      <c r="Q398" s="2277"/>
      <c r="R398" s="2279">
        <v>17380</v>
      </c>
      <c r="S398" s="2279">
        <v>17380</v>
      </c>
      <c r="T398" s="2277"/>
    </row>
    <row r="399" spans="1:20" ht="23.25" customHeight="1" outlineLevel="1" x14ac:dyDescent="0.2">
      <c r="A399" s="6538" t="s">
        <v>2702</v>
      </c>
      <c r="B399" s="6538"/>
      <c r="C399" s="2282">
        <v>2398</v>
      </c>
      <c r="D399" s="2276" t="s">
        <v>3013</v>
      </c>
      <c r="E399" s="2277" t="s">
        <v>3081</v>
      </c>
      <c r="F399" s="2278">
        <v>60</v>
      </c>
      <c r="G399" s="2278"/>
      <c r="H399" s="2279">
        <v>30351.52</v>
      </c>
      <c r="I399" s="6539">
        <v>30351.52</v>
      </c>
      <c r="J399" s="6539"/>
      <c r="K399" s="2277"/>
      <c r="L399" s="2277"/>
      <c r="M399" s="2280"/>
      <c r="N399" s="2281"/>
      <c r="O399" s="2281"/>
      <c r="P399" s="2277"/>
      <c r="Q399" s="2277"/>
      <c r="R399" s="2279">
        <v>30351.52</v>
      </c>
      <c r="S399" s="2279">
        <v>30351.52</v>
      </c>
      <c r="T399" s="2277"/>
    </row>
    <row r="400" spans="1:20" ht="12" customHeight="1" outlineLevel="1" x14ac:dyDescent="0.2">
      <c r="A400" s="6538" t="s">
        <v>2793</v>
      </c>
      <c r="B400" s="6538"/>
      <c r="C400" s="2282">
        <v>1963</v>
      </c>
      <c r="D400" s="2276" t="s">
        <v>3082</v>
      </c>
      <c r="E400" s="2277" t="s">
        <v>3083</v>
      </c>
      <c r="F400" s="2278">
        <v>120</v>
      </c>
      <c r="G400" s="2278"/>
      <c r="H400" s="2279">
        <v>297503.81</v>
      </c>
      <c r="I400" s="6539">
        <v>297503.81</v>
      </c>
      <c r="J400" s="6539"/>
      <c r="K400" s="2277"/>
      <c r="L400" s="2277"/>
      <c r="M400" s="2280"/>
      <c r="N400" s="2281"/>
      <c r="O400" s="2281"/>
      <c r="P400" s="2277"/>
      <c r="Q400" s="2277"/>
      <c r="R400" s="2279">
        <v>297503.81</v>
      </c>
      <c r="S400" s="2279">
        <v>297503.81</v>
      </c>
      <c r="T400" s="2277"/>
    </row>
    <row r="401" spans="1:20" ht="23.25" customHeight="1" outlineLevel="1" x14ac:dyDescent="0.2">
      <c r="A401" s="6538" t="s">
        <v>3084</v>
      </c>
      <c r="B401" s="6538"/>
      <c r="C401" s="2282">
        <v>2399</v>
      </c>
      <c r="D401" s="2276" t="s">
        <v>3013</v>
      </c>
      <c r="E401" s="2277" t="s">
        <v>3085</v>
      </c>
      <c r="F401" s="2278">
        <v>84</v>
      </c>
      <c r="G401" s="2278"/>
      <c r="H401" s="2279">
        <v>133000</v>
      </c>
      <c r="I401" s="6539">
        <v>113999.76</v>
      </c>
      <c r="J401" s="6539"/>
      <c r="K401" s="2279">
        <v>19000.240000000002</v>
      </c>
      <c r="L401" s="2277"/>
      <c r="M401" s="2281">
        <v>18999.96</v>
      </c>
      <c r="N401" s="2281">
        <f>M401</f>
        <v>18999.96</v>
      </c>
      <c r="O401" s="2281"/>
      <c r="P401" s="2277"/>
      <c r="Q401" s="2277"/>
      <c r="R401" s="2279">
        <v>133000</v>
      </c>
      <c r="S401" s="2279">
        <v>132999.72</v>
      </c>
      <c r="T401" s="2322">
        <v>0.28000000000000003</v>
      </c>
    </row>
    <row r="402" spans="1:20" ht="23.25" customHeight="1" outlineLevel="1" x14ac:dyDescent="0.2">
      <c r="A402" s="6538" t="s">
        <v>3086</v>
      </c>
      <c r="B402" s="6538"/>
      <c r="C402" s="2282">
        <v>2450</v>
      </c>
      <c r="D402" s="2276" t="s">
        <v>3087</v>
      </c>
      <c r="E402" s="2277" t="s">
        <v>3088</v>
      </c>
      <c r="F402" s="2278">
        <v>84</v>
      </c>
      <c r="G402" s="2278"/>
      <c r="H402" s="2279">
        <v>239296</v>
      </c>
      <c r="I402" s="6539">
        <v>159530.56</v>
      </c>
      <c r="J402" s="6539"/>
      <c r="K402" s="2279">
        <v>79765.440000000002</v>
      </c>
      <c r="L402" s="2277"/>
      <c r="M402" s="2281">
        <v>34185.120000000003</v>
      </c>
      <c r="N402" s="2281">
        <f>M402</f>
        <v>34185.120000000003</v>
      </c>
      <c r="O402" s="2281"/>
      <c r="P402" s="2277"/>
      <c r="Q402" s="2277"/>
      <c r="R402" s="2279">
        <v>239296</v>
      </c>
      <c r="S402" s="2279">
        <v>193715.68</v>
      </c>
      <c r="T402" s="2279">
        <v>45580.32</v>
      </c>
    </row>
    <row r="403" spans="1:20" ht="23.25" customHeight="1" outlineLevel="1" x14ac:dyDescent="0.2">
      <c r="A403" s="6538" t="s">
        <v>3089</v>
      </c>
      <c r="B403" s="6538"/>
      <c r="C403" s="2282">
        <v>2447</v>
      </c>
      <c r="D403" s="2276" t="s">
        <v>3090</v>
      </c>
      <c r="E403" s="2277" t="s">
        <v>3091</v>
      </c>
      <c r="F403" s="2278">
        <v>84</v>
      </c>
      <c r="G403" s="2278"/>
      <c r="H403" s="2279">
        <v>350000</v>
      </c>
      <c r="I403" s="6539">
        <v>245833.53</v>
      </c>
      <c r="J403" s="6539"/>
      <c r="K403" s="2279">
        <v>104166.47</v>
      </c>
      <c r="L403" s="2277"/>
      <c r="M403" s="2281">
        <v>50000.04</v>
      </c>
      <c r="N403" s="2281">
        <f>M403</f>
        <v>50000.04</v>
      </c>
      <c r="O403" s="2281"/>
      <c r="P403" s="2277"/>
      <c r="Q403" s="2277"/>
      <c r="R403" s="2279">
        <v>350000</v>
      </c>
      <c r="S403" s="2279">
        <v>295833.57</v>
      </c>
      <c r="T403" s="2279">
        <v>54166.43</v>
      </c>
    </row>
    <row r="404" spans="1:20" ht="12" customHeight="1" outlineLevel="1" x14ac:dyDescent="0.2">
      <c r="A404" s="6538" t="s">
        <v>3092</v>
      </c>
      <c r="B404" s="6538"/>
      <c r="C404" s="2275">
        <v>589</v>
      </c>
      <c r="D404" s="2276" t="s">
        <v>2769</v>
      </c>
      <c r="E404" s="2277" t="s">
        <v>3049</v>
      </c>
      <c r="F404" s="2278">
        <v>60</v>
      </c>
      <c r="G404" s="2278"/>
      <c r="H404" s="2279">
        <v>18333.330000000002</v>
      </c>
      <c r="I404" s="6539">
        <v>18333.330000000002</v>
      </c>
      <c r="J404" s="6539"/>
      <c r="K404" s="2277"/>
      <c r="L404" s="2277"/>
      <c r="M404" s="2280"/>
      <c r="N404" s="2281"/>
      <c r="O404" s="2281"/>
      <c r="P404" s="2277"/>
      <c r="Q404" s="2277"/>
      <c r="R404" s="2279">
        <v>18333.330000000002</v>
      </c>
      <c r="S404" s="2279">
        <v>18333.330000000002</v>
      </c>
      <c r="T404" s="2277"/>
    </row>
    <row r="405" spans="1:20" ht="12" customHeight="1" outlineLevel="1" x14ac:dyDescent="0.2">
      <c r="A405" s="6538" t="s">
        <v>3092</v>
      </c>
      <c r="B405" s="6538"/>
      <c r="C405" s="2282">
        <v>2264</v>
      </c>
      <c r="D405" s="2276" t="s">
        <v>3093</v>
      </c>
      <c r="E405" s="2277" t="s">
        <v>3094</v>
      </c>
      <c r="F405" s="2278">
        <v>60</v>
      </c>
      <c r="G405" s="2278"/>
      <c r="H405" s="2279">
        <v>25000</v>
      </c>
      <c r="I405" s="6539">
        <v>25000</v>
      </c>
      <c r="J405" s="6539"/>
      <c r="K405" s="2277"/>
      <c r="L405" s="2277"/>
      <c r="M405" s="2280"/>
      <c r="N405" s="2281"/>
      <c r="O405" s="2281"/>
      <c r="P405" s="2277"/>
      <c r="Q405" s="2277"/>
      <c r="R405" s="2279">
        <v>25000</v>
      </c>
      <c r="S405" s="2279">
        <v>25000</v>
      </c>
      <c r="T405" s="2277"/>
    </row>
    <row r="406" spans="1:20" ht="12" customHeight="1" outlineLevel="1" x14ac:dyDescent="0.2">
      <c r="A406" s="6538" t="s">
        <v>3092</v>
      </c>
      <c r="B406" s="6538"/>
      <c r="C406" s="2282">
        <v>2265</v>
      </c>
      <c r="D406" s="2276" t="s">
        <v>3093</v>
      </c>
      <c r="E406" s="2277" t="s">
        <v>3094</v>
      </c>
      <c r="F406" s="2278">
        <v>60</v>
      </c>
      <c r="G406" s="2278"/>
      <c r="H406" s="2279">
        <v>25000</v>
      </c>
      <c r="I406" s="6539">
        <v>25000</v>
      </c>
      <c r="J406" s="6539"/>
      <c r="K406" s="2277"/>
      <c r="L406" s="2277"/>
      <c r="M406" s="2280"/>
      <c r="N406" s="2281"/>
      <c r="O406" s="2281"/>
      <c r="P406" s="2277"/>
      <c r="Q406" s="2277"/>
      <c r="R406" s="2279">
        <v>25000</v>
      </c>
      <c r="S406" s="2279">
        <v>25000</v>
      </c>
      <c r="T406" s="2277"/>
    </row>
    <row r="407" spans="1:20" ht="12" customHeight="1" outlineLevel="1" x14ac:dyDescent="0.2">
      <c r="A407" s="6538" t="s">
        <v>3095</v>
      </c>
      <c r="B407" s="6538"/>
      <c r="C407" s="2275">
        <v>299</v>
      </c>
      <c r="D407" s="2276" t="s">
        <v>2570</v>
      </c>
      <c r="E407" s="2277" t="s">
        <v>3096</v>
      </c>
      <c r="F407" s="2278">
        <v>115</v>
      </c>
      <c r="G407" s="2278"/>
      <c r="H407" s="2322">
        <v>985</v>
      </c>
      <c r="I407" s="6542">
        <v>985</v>
      </c>
      <c r="J407" s="6542"/>
      <c r="K407" s="2277"/>
      <c r="L407" s="2277"/>
      <c r="M407" s="2280"/>
      <c r="N407" s="2281"/>
      <c r="O407" s="2281"/>
      <c r="P407" s="2277"/>
      <c r="Q407" s="2277"/>
      <c r="R407" s="2322">
        <v>985</v>
      </c>
      <c r="S407" s="2322">
        <v>985</v>
      </c>
      <c r="T407" s="2277"/>
    </row>
    <row r="408" spans="1:20" ht="12" customHeight="1" outlineLevel="1" x14ac:dyDescent="0.2">
      <c r="A408" s="6538" t="s">
        <v>3097</v>
      </c>
      <c r="B408" s="6538"/>
      <c r="C408" s="2275">
        <v>709</v>
      </c>
      <c r="D408" s="2276" t="s">
        <v>2636</v>
      </c>
      <c r="E408" s="2277" t="s">
        <v>3094</v>
      </c>
      <c r="F408" s="2278">
        <v>48</v>
      </c>
      <c r="G408" s="2278"/>
      <c r="H408" s="2279">
        <v>25000</v>
      </c>
      <c r="I408" s="6539">
        <v>25000</v>
      </c>
      <c r="J408" s="6539"/>
      <c r="K408" s="2277"/>
      <c r="L408" s="2277"/>
      <c r="M408" s="2280"/>
      <c r="N408" s="2281"/>
      <c r="O408" s="2281"/>
      <c r="P408" s="2277"/>
      <c r="Q408" s="2277"/>
      <c r="R408" s="2279">
        <v>25000</v>
      </c>
      <c r="S408" s="2279">
        <v>25000</v>
      </c>
      <c r="T408" s="2277"/>
    </row>
    <row r="409" spans="1:20" ht="12" customHeight="1" outlineLevel="1" x14ac:dyDescent="0.2">
      <c r="A409" s="6538" t="s">
        <v>3098</v>
      </c>
      <c r="B409" s="6538"/>
      <c r="C409" s="2275">
        <v>300</v>
      </c>
      <c r="D409" s="2276" t="s">
        <v>2570</v>
      </c>
      <c r="E409" s="2277" t="s">
        <v>3099</v>
      </c>
      <c r="F409" s="2278">
        <v>67</v>
      </c>
      <c r="G409" s="2278"/>
      <c r="H409" s="2279">
        <v>2800</v>
      </c>
      <c r="I409" s="6539">
        <v>2800</v>
      </c>
      <c r="J409" s="6539"/>
      <c r="K409" s="2277"/>
      <c r="L409" s="2277"/>
      <c r="M409" s="2280"/>
      <c r="N409" s="2281"/>
      <c r="O409" s="2281"/>
      <c r="P409" s="2277"/>
      <c r="Q409" s="2277"/>
      <c r="R409" s="2279">
        <v>2800</v>
      </c>
      <c r="S409" s="2279">
        <v>2800</v>
      </c>
      <c r="T409" s="2277"/>
    </row>
    <row r="410" spans="1:20" ht="12" customHeight="1" outlineLevel="1" x14ac:dyDescent="0.2">
      <c r="A410" s="6538" t="s">
        <v>3100</v>
      </c>
      <c r="B410" s="6538"/>
      <c r="C410" s="2275">
        <v>573</v>
      </c>
      <c r="D410" s="2276" t="s">
        <v>2887</v>
      </c>
      <c r="E410" s="2277" t="s">
        <v>3101</v>
      </c>
      <c r="F410" s="2278">
        <v>1</v>
      </c>
      <c r="G410" s="2278"/>
      <c r="H410" s="2279">
        <v>13783.32</v>
      </c>
      <c r="I410" s="6539">
        <v>13783.32</v>
      </c>
      <c r="J410" s="6539"/>
      <c r="K410" s="2277"/>
      <c r="L410" s="2277"/>
      <c r="M410" s="2280"/>
      <c r="N410" s="2281"/>
      <c r="O410" s="2281"/>
      <c r="P410" s="2279">
        <v>13783.32</v>
      </c>
      <c r="Q410" s="2279">
        <v>13783.32</v>
      </c>
      <c r="R410" s="2277"/>
      <c r="S410" s="2277"/>
      <c r="T410" s="2277"/>
    </row>
    <row r="411" spans="1:20" ht="23.25" customHeight="1" outlineLevel="1" x14ac:dyDescent="0.2">
      <c r="A411" s="6538" t="s">
        <v>2684</v>
      </c>
      <c r="B411" s="6538"/>
      <c r="C411" s="2282">
        <v>2389</v>
      </c>
      <c r="D411" s="2276" t="s">
        <v>2685</v>
      </c>
      <c r="E411" s="2277" t="s">
        <v>2686</v>
      </c>
      <c r="F411" s="2278">
        <v>120</v>
      </c>
      <c r="G411" s="2278"/>
      <c r="H411" s="2279">
        <v>64419.31</v>
      </c>
      <c r="I411" s="6539">
        <v>40799.08</v>
      </c>
      <c r="J411" s="6539"/>
      <c r="K411" s="2279">
        <v>23620.23</v>
      </c>
      <c r="L411" s="2277"/>
      <c r="M411" s="2281">
        <v>6441.96</v>
      </c>
      <c r="N411" s="2281">
        <f>M411</f>
        <v>6441.96</v>
      </c>
      <c r="O411" s="2281"/>
      <c r="P411" s="2277"/>
      <c r="Q411" s="2277"/>
      <c r="R411" s="2279">
        <v>64419.31</v>
      </c>
      <c r="S411" s="2279">
        <v>47241.04</v>
      </c>
      <c r="T411" s="2279">
        <v>17178.27</v>
      </c>
    </row>
    <row r="412" spans="1:20" ht="12" customHeight="1" outlineLevel="1" x14ac:dyDescent="0.2">
      <c r="A412" s="6538" t="s">
        <v>3102</v>
      </c>
      <c r="B412" s="6538"/>
      <c r="C412" s="2275">
        <v>371</v>
      </c>
      <c r="D412" s="2276" t="s">
        <v>3103</v>
      </c>
      <c r="E412" s="2277" t="s">
        <v>3104</v>
      </c>
      <c r="F412" s="2278">
        <v>84</v>
      </c>
      <c r="G412" s="2278"/>
      <c r="H412" s="2279">
        <v>25272</v>
      </c>
      <c r="I412" s="6539">
        <v>25272</v>
      </c>
      <c r="J412" s="6539"/>
      <c r="K412" s="2277"/>
      <c r="L412" s="2277"/>
      <c r="M412" s="2280"/>
      <c r="N412" s="2281"/>
      <c r="O412" s="2281"/>
      <c r="P412" s="2277"/>
      <c r="Q412" s="2277"/>
      <c r="R412" s="2279">
        <v>25272</v>
      </c>
      <c r="S412" s="2279">
        <v>25272</v>
      </c>
      <c r="T412" s="2277"/>
    </row>
    <row r="413" spans="1:20" ht="12" customHeight="1" outlineLevel="1" x14ac:dyDescent="0.2">
      <c r="A413" s="6538" t="s">
        <v>3105</v>
      </c>
      <c r="B413" s="6538"/>
      <c r="C413" s="2282">
        <v>1978</v>
      </c>
      <c r="D413" s="2276" t="s">
        <v>3106</v>
      </c>
      <c r="E413" s="2277" t="s">
        <v>3107</v>
      </c>
      <c r="F413" s="2278">
        <v>60</v>
      </c>
      <c r="G413" s="2278"/>
      <c r="H413" s="2279">
        <v>24050</v>
      </c>
      <c r="I413" s="6539">
        <v>24050</v>
      </c>
      <c r="J413" s="6539"/>
      <c r="K413" s="2277"/>
      <c r="L413" s="2277"/>
      <c r="M413" s="2280"/>
      <c r="N413" s="2281"/>
      <c r="O413" s="2281"/>
      <c r="P413" s="2277"/>
      <c r="Q413" s="2277"/>
      <c r="R413" s="2279">
        <v>24050</v>
      </c>
      <c r="S413" s="2279">
        <v>24050</v>
      </c>
      <c r="T413" s="2277"/>
    </row>
    <row r="414" spans="1:20" ht="12" customHeight="1" outlineLevel="1" x14ac:dyDescent="0.2">
      <c r="A414" s="6538" t="s">
        <v>2742</v>
      </c>
      <c r="B414" s="6538"/>
      <c r="C414" s="2282">
        <v>2293</v>
      </c>
      <c r="D414" s="2276" t="s">
        <v>2743</v>
      </c>
      <c r="E414" s="2277" t="s">
        <v>2744</v>
      </c>
      <c r="F414" s="2278">
        <v>120</v>
      </c>
      <c r="G414" s="2278"/>
      <c r="H414" s="2279">
        <v>14576.27</v>
      </c>
      <c r="I414" s="6539">
        <v>12997.29</v>
      </c>
      <c r="J414" s="6539"/>
      <c r="K414" s="2279">
        <v>1578.98</v>
      </c>
      <c r="L414" s="2277"/>
      <c r="M414" s="2281">
        <v>1457.64</v>
      </c>
      <c r="N414" s="2281">
        <f t="shared" ref="N414" si="3">H414/F414*12</f>
        <v>1457.627</v>
      </c>
      <c r="O414" s="2281"/>
      <c r="P414" s="2277"/>
      <c r="Q414" s="2277"/>
      <c r="R414" s="2279">
        <v>14576.27</v>
      </c>
      <c r="S414" s="2279">
        <v>14454.93</v>
      </c>
      <c r="T414" s="2322">
        <v>121.34</v>
      </c>
    </row>
    <row r="415" spans="1:20" ht="12" customHeight="1" outlineLevel="1" x14ac:dyDescent="0.2">
      <c r="A415" s="6538" t="s">
        <v>3105</v>
      </c>
      <c r="B415" s="6538"/>
      <c r="C415" s="2282">
        <v>1979</v>
      </c>
      <c r="D415" s="2276" t="s">
        <v>3106</v>
      </c>
      <c r="E415" s="2277" t="s">
        <v>3107</v>
      </c>
      <c r="F415" s="2278">
        <v>60</v>
      </c>
      <c r="G415" s="2278"/>
      <c r="H415" s="2279">
        <v>24050</v>
      </c>
      <c r="I415" s="6539">
        <v>24050</v>
      </c>
      <c r="J415" s="6539"/>
      <c r="K415" s="2277"/>
      <c r="L415" s="2277"/>
      <c r="M415" s="2280"/>
      <c r="N415" s="2281"/>
      <c r="O415" s="2281"/>
      <c r="P415" s="2277"/>
      <c r="Q415" s="2277"/>
      <c r="R415" s="2279">
        <v>24050</v>
      </c>
      <c r="S415" s="2279">
        <v>24050</v>
      </c>
      <c r="T415" s="2277"/>
    </row>
    <row r="416" spans="1:20" ht="12" customHeight="1" outlineLevel="1" x14ac:dyDescent="0.2">
      <c r="A416" s="6538" t="s">
        <v>2790</v>
      </c>
      <c r="B416" s="6538"/>
      <c r="C416" s="2275">
        <v>704</v>
      </c>
      <c r="D416" s="2276" t="s">
        <v>2243</v>
      </c>
      <c r="E416" s="2277" t="s">
        <v>3108</v>
      </c>
      <c r="F416" s="2278">
        <v>12</v>
      </c>
      <c r="G416" s="2278"/>
      <c r="H416" s="2279">
        <v>1000</v>
      </c>
      <c r="I416" s="6539">
        <v>1000</v>
      </c>
      <c r="J416" s="6539"/>
      <c r="K416" s="2277"/>
      <c r="L416" s="2277"/>
      <c r="M416" s="2280"/>
      <c r="N416" s="2281"/>
      <c r="O416" s="2281"/>
      <c r="P416" s="2277"/>
      <c r="Q416" s="2277"/>
      <c r="R416" s="2279">
        <v>1000</v>
      </c>
      <c r="S416" s="2279">
        <v>1000</v>
      </c>
      <c r="T416" s="2277"/>
    </row>
    <row r="417" spans="1:20" ht="12" customHeight="1" outlineLevel="1" x14ac:dyDescent="0.2">
      <c r="A417" s="6538" t="s">
        <v>3109</v>
      </c>
      <c r="B417" s="6538"/>
      <c r="C417" s="2282">
        <v>1884</v>
      </c>
      <c r="D417" s="2276" t="s">
        <v>3110</v>
      </c>
      <c r="E417" s="2277" t="s">
        <v>3111</v>
      </c>
      <c r="F417" s="2278">
        <v>36</v>
      </c>
      <c r="G417" s="2278"/>
      <c r="H417" s="2279">
        <v>24152.54</v>
      </c>
      <c r="I417" s="6539">
        <v>24152.54</v>
      </c>
      <c r="J417" s="6539"/>
      <c r="K417" s="2277"/>
      <c r="L417" s="2277"/>
      <c r="M417" s="2280"/>
      <c r="N417" s="2281"/>
      <c r="O417" s="2281"/>
      <c r="P417" s="2277"/>
      <c r="Q417" s="2277"/>
      <c r="R417" s="2279">
        <v>24152.54</v>
      </c>
      <c r="S417" s="2279">
        <v>24152.54</v>
      </c>
      <c r="T417" s="2277"/>
    </row>
    <row r="418" spans="1:20" ht="12" customHeight="1" outlineLevel="1" x14ac:dyDescent="0.2">
      <c r="A418" s="6538" t="s">
        <v>3112</v>
      </c>
      <c r="B418" s="6538"/>
      <c r="C418" s="2275">
        <v>142</v>
      </c>
      <c r="D418" s="2276" t="s">
        <v>2570</v>
      </c>
      <c r="E418" s="2277" t="s">
        <v>3113</v>
      </c>
      <c r="F418" s="2278">
        <v>84</v>
      </c>
      <c r="G418" s="2278"/>
      <c r="H418" s="2279">
        <v>5575</v>
      </c>
      <c r="I418" s="6539">
        <v>5575</v>
      </c>
      <c r="J418" s="6539"/>
      <c r="K418" s="2277"/>
      <c r="L418" s="2277"/>
      <c r="M418" s="2280"/>
      <c r="N418" s="2281"/>
      <c r="O418" s="2281"/>
      <c r="P418" s="2277"/>
      <c r="Q418" s="2277"/>
      <c r="R418" s="2279">
        <v>5575</v>
      </c>
      <c r="S418" s="2279">
        <v>5575</v>
      </c>
      <c r="T418" s="2277"/>
    </row>
    <row r="419" spans="1:20" ht="12" customHeight="1" outlineLevel="1" x14ac:dyDescent="0.2">
      <c r="A419" s="6538" t="s">
        <v>3112</v>
      </c>
      <c r="B419" s="6538"/>
      <c r="C419" s="2275">
        <v>301</v>
      </c>
      <c r="D419" s="2276" t="s">
        <v>2721</v>
      </c>
      <c r="E419" s="2277" t="s">
        <v>3113</v>
      </c>
      <c r="F419" s="2278">
        <v>84</v>
      </c>
      <c r="G419" s="2278"/>
      <c r="H419" s="2279">
        <v>5575</v>
      </c>
      <c r="I419" s="6539">
        <v>5575</v>
      </c>
      <c r="J419" s="6539"/>
      <c r="K419" s="2277"/>
      <c r="L419" s="2277"/>
      <c r="M419" s="2280"/>
      <c r="N419" s="2281"/>
      <c r="O419" s="2281"/>
      <c r="P419" s="2277"/>
      <c r="Q419" s="2277"/>
      <c r="R419" s="2279">
        <v>5575</v>
      </c>
      <c r="S419" s="2279">
        <v>5575</v>
      </c>
      <c r="T419" s="2277"/>
    </row>
    <row r="420" spans="1:20" ht="12" customHeight="1" outlineLevel="1" x14ac:dyDescent="0.2">
      <c r="A420" s="6538" t="s">
        <v>3114</v>
      </c>
      <c r="B420" s="6538"/>
      <c r="C420" s="2275">
        <v>382</v>
      </c>
      <c r="D420" s="2276" t="s">
        <v>3115</v>
      </c>
      <c r="E420" s="2277" t="s">
        <v>3116</v>
      </c>
      <c r="F420" s="2278">
        <v>84</v>
      </c>
      <c r="G420" s="2278"/>
      <c r="H420" s="2279">
        <v>4853</v>
      </c>
      <c r="I420" s="6539">
        <v>4853</v>
      </c>
      <c r="J420" s="6539"/>
      <c r="K420" s="2277"/>
      <c r="L420" s="2277"/>
      <c r="M420" s="2280"/>
      <c r="N420" s="2281"/>
      <c r="O420" s="2281"/>
      <c r="P420" s="2277"/>
      <c r="Q420" s="2277"/>
      <c r="R420" s="2279">
        <v>4853</v>
      </c>
      <c r="S420" s="2279">
        <v>4853</v>
      </c>
      <c r="T420" s="2277"/>
    </row>
    <row r="421" spans="1:20" ht="45.75" customHeight="1" outlineLevel="1" x14ac:dyDescent="0.2">
      <c r="A421" s="6538" t="s">
        <v>3117</v>
      </c>
      <c r="B421" s="6538"/>
      <c r="C421" s="2282">
        <v>2433</v>
      </c>
      <c r="D421" s="2276" t="s">
        <v>2249</v>
      </c>
      <c r="E421" s="2277" t="s">
        <v>3118</v>
      </c>
      <c r="F421" s="2278">
        <v>120</v>
      </c>
      <c r="G421" s="2278"/>
      <c r="H421" s="2279">
        <v>10541497.970000001</v>
      </c>
      <c r="I421" s="6539">
        <v>5797824.1200000001</v>
      </c>
      <c r="J421" s="6539"/>
      <c r="K421" s="2279">
        <v>4743673.8499999996</v>
      </c>
      <c r="L421" s="2277"/>
      <c r="M421" s="2281">
        <v>1054149.8400000001</v>
      </c>
      <c r="N421" s="2281">
        <f>M421</f>
        <v>1054149.8400000001</v>
      </c>
      <c r="O421" s="2281"/>
      <c r="P421" s="2277"/>
      <c r="Q421" s="2277"/>
      <c r="R421" s="2279">
        <v>10541497.970000001</v>
      </c>
      <c r="S421" s="2279">
        <v>6851973.96</v>
      </c>
      <c r="T421" s="2279">
        <v>3689524.01</v>
      </c>
    </row>
    <row r="422" spans="1:20" ht="12" customHeight="1" outlineLevel="1" x14ac:dyDescent="0.2">
      <c r="A422" s="6538" t="s">
        <v>3119</v>
      </c>
      <c r="B422" s="6538"/>
      <c r="C422" s="2275">
        <v>358</v>
      </c>
      <c r="D422" s="2276" t="s">
        <v>3120</v>
      </c>
      <c r="E422" s="2277" t="s">
        <v>3121</v>
      </c>
      <c r="F422" s="2278">
        <v>240</v>
      </c>
      <c r="G422" s="2278"/>
      <c r="H422" s="2279">
        <v>55158</v>
      </c>
      <c r="I422" s="6539">
        <v>55158</v>
      </c>
      <c r="J422" s="6539"/>
      <c r="K422" s="2277"/>
      <c r="L422" s="2277"/>
      <c r="M422" s="2280"/>
      <c r="N422" s="2281"/>
      <c r="O422" s="2281"/>
      <c r="P422" s="2277"/>
      <c r="Q422" s="2277"/>
      <c r="R422" s="2279">
        <v>55158</v>
      </c>
      <c r="S422" s="2279">
        <v>55158</v>
      </c>
      <c r="T422" s="2277"/>
    </row>
    <row r="423" spans="1:20" ht="12" customHeight="1" outlineLevel="1" x14ac:dyDescent="0.2">
      <c r="A423" s="6538" t="s">
        <v>3122</v>
      </c>
      <c r="B423" s="6538"/>
      <c r="C423" s="2275">
        <v>143</v>
      </c>
      <c r="D423" s="2276" t="s">
        <v>2570</v>
      </c>
      <c r="E423" s="2277" t="s">
        <v>3123</v>
      </c>
      <c r="F423" s="2278">
        <v>144</v>
      </c>
      <c r="G423" s="2278"/>
      <c r="H423" s="2322">
        <v>411.52</v>
      </c>
      <c r="I423" s="6542">
        <v>411.52</v>
      </c>
      <c r="J423" s="6542"/>
      <c r="K423" s="2277"/>
      <c r="L423" s="2277"/>
      <c r="M423" s="2280"/>
      <c r="N423" s="2281"/>
      <c r="O423" s="2281"/>
      <c r="P423" s="2277"/>
      <c r="Q423" s="2277"/>
      <c r="R423" s="2322">
        <v>411.52</v>
      </c>
      <c r="S423" s="2322">
        <v>411.52</v>
      </c>
      <c r="T423" s="2277"/>
    </row>
    <row r="424" spans="1:20" ht="12" customHeight="1" outlineLevel="1" x14ac:dyDescent="0.2">
      <c r="A424" s="6538" t="s">
        <v>3124</v>
      </c>
      <c r="B424" s="6538"/>
      <c r="C424" s="2275">
        <v>356</v>
      </c>
      <c r="D424" s="2276" t="s">
        <v>3120</v>
      </c>
      <c r="E424" s="2277" t="s">
        <v>3125</v>
      </c>
      <c r="F424" s="2278">
        <v>240</v>
      </c>
      <c r="G424" s="2278"/>
      <c r="H424" s="2279">
        <v>14372</v>
      </c>
      <c r="I424" s="6539">
        <v>14372</v>
      </c>
      <c r="J424" s="6539"/>
      <c r="K424" s="2277"/>
      <c r="L424" s="2277"/>
      <c r="M424" s="2280"/>
      <c r="N424" s="2281"/>
      <c r="O424" s="2281"/>
      <c r="P424" s="2277"/>
      <c r="Q424" s="2277"/>
      <c r="R424" s="2279">
        <v>14372</v>
      </c>
      <c r="S424" s="2279">
        <v>14372</v>
      </c>
      <c r="T424" s="2277"/>
    </row>
    <row r="425" spans="1:20" ht="12" customHeight="1" outlineLevel="1" x14ac:dyDescent="0.2">
      <c r="A425" s="6538" t="s">
        <v>3126</v>
      </c>
      <c r="B425" s="6538"/>
      <c r="C425" s="2275">
        <v>133</v>
      </c>
      <c r="D425" s="2276" t="s">
        <v>2192</v>
      </c>
      <c r="E425" s="2277" t="s">
        <v>3127</v>
      </c>
      <c r="F425" s="2278">
        <v>240</v>
      </c>
      <c r="G425" s="2278"/>
      <c r="H425" s="2279">
        <v>11516</v>
      </c>
      <c r="I425" s="6539">
        <v>11516</v>
      </c>
      <c r="J425" s="6539"/>
      <c r="K425" s="2277"/>
      <c r="L425" s="2277"/>
      <c r="M425" s="2280"/>
      <c r="N425" s="2281"/>
      <c r="O425" s="2281"/>
      <c r="P425" s="2277"/>
      <c r="Q425" s="2277"/>
      <c r="R425" s="2279">
        <v>11516</v>
      </c>
      <c r="S425" s="2279">
        <v>11516</v>
      </c>
      <c r="T425" s="2277"/>
    </row>
    <row r="426" spans="1:20" ht="12" customHeight="1" outlineLevel="1" x14ac:dyDescent="0.2">
      <c r="A426" s="6538" t="s">
        <v>3128</v>
      </c>
      <c r="B426" s="6538"/>
      <c r="C426" s="2275">
        <v>612</v>
      </c>
      <c r="D426" s="2276" t="s">
        <v>3129</v>
      </c>
      <c r="E426" s="2277" t="s">
        <v>3130</v>
      </c>
      <c r="F426" s="2278">
        <v>84</v>
      </c>
      <c r="G426" s="2278"/>
      <c r="H426" s="2279">
        <v>60000</v>
      </c>
      <c r="I426" s="6539">
        <v>60000</v>
      </c>
      <c r="J426" s="6539"/>
      <c r="K426" s="2277"/>
      <c r="L426" s="2277"/>
      <c r="M426" s="2280"/>
      <c r="N426" s="2281"/>
      <c r="O426" s="2281"/>
      <c r="P426" s="2277"/>
      <c r="Q426" s="2277"/>
      <c r="R426" s="2279">
        <v>60000</v>
      </c>
      <c r="S426" s="2279">
        <v>60000</v>
      </c>
      <c r="T426" s="2277"/>
    </row>
    <row r="427" spans="1:20" ht="23.25" customHeight="1" outlineLevel="1" x14ac:dyDescent="0.2">
      <c r="A427" s="6538" t="s">
        <v>3131</v>
      </c>
      <c r="B427" s="6538"/>
      <c r="C427" s="2275">
        <v>362</v>
      </c>
      <c r="D427" s="2276" t="s">
        <v>2594</v>
      </c>
      <c r="E427" s="2277" t="s">
        <v>3132</v>
      </c>
      <c r="F427" s="2278">
        <v>60</v>
      </c>
      <c r="G427" s="2278"/>
      <c r="H427" s="2279">
        <v>13957</v>
      </c>
      <c r="I427" s="6539">
        <v>13957</v>
      </c>
      <c r="J427" s="6539"/>
      <c r="K427" s="2277"/>
      <c r="L427" s="2277"/>
      <c r="M427" s="2280"/>
      <c r="N427" s="2281"/>
      <c r="O427" s="2281"/>
      <c r="P427" s="2277"/>
      <c r="Q427" s="2277"/>
      <c r="R427" s="2279">
        <v>13957</v>
      </c>
      <c r="S427" s="2279">
        <v>13957</v>
      </c>
      <c r="T427" s="2277"/>
    </row>
    <row r="428" spans="1:20" ht="12" customHeight="1" outlineLevel="1" x14ac:dyDescent="0.2">
      <c r="A428" s="6538" t="s">
        <v>3133</v>
      </c>
      <c r="B428" s="6538"/>
      <c r="C428" s="2275">
        <v>381</v>
      </c>
      <c r="D428" s="2276" t="s">
        <v>3079</v>
      </c>
      <c r="E428" s="2277" t="s">
        <v>3134</v>
      </c>
      <c r="F428" s="2278">
        <v>1</v>
      </c>
      <c r="G428" s="2278"/>
      <c r="H428" s="2279">
        <v>2133</v>
      </c>
      <c r="I428" s="6539">
        <v>2133</v>
      </c>
      <c r="J428" s="6539"/>
      <c r="K428" s="2277"/>
      <c r="L428" s="2277"/>
      <c r="M428" s="2280"/>
      <c r="N428" s="2281"/>
      <c r="O428" s="2281"/>
      <c r="P428" s="2277"/>
      <c r="Q428" s="2277"/>
      <c r="R428" s="2279">
        <v>2133</v>
      </c>
      <c r="S428" s="2279">
        <v>2133</v>
      </c>
      <c r="T428" s="2277"/>
    </row>
    <row r="429" spans="1:20" ht="12" customHeight="1" outlineLevel="1" x14ac:dyDescent="0.2">
      <c r="A429" s="6538" t="s">
        <v>3135</v>
      </c>
      <c r="B429" s="6538"/>
      <c r="C429" s="2275">
        <v>544</v>
      </c>
      <c r="D429" s="2276" t="s">
        <v>2714</v>
      </c>
      <c r="E429" s="2277" t="s">
        <v>3136</v>
      </c>
      <c r="F429" s="2278">
        <v>480</v>
      </c>
      <c r="G429" s="2278"/>
      <c r="H429" s="2279">
        <v>8486.26</v>
      </c>
      <c r="I429" s="6539">
        <v>3478.66</v>
      </c>
      <c r="J429" s="6539"/>
      <c r="K429" s="2279">
        <v>5007.6000000000004</v>
      </c>
      <c r="L429" s="2277"/>
      <c r="M429" s="2320">
        <v>212.16</v>
      </c>
      <c r="N429" s="2281">
        <f t="shared" ref="N429" si="4">H429/F429*12</f>
        <v>212.15649999999999</v>
      </c>
      <c r="O429" s="2281"/>
      <c r="P429" s="2277"/>
      <c r="Q429" s="2277"/>
      <c r="R429" s="2279">
        <v>8486.26</v>
      </c>
      <c r="S429" s="2279">
        <v>3690.82</v>
      </c>
      <c r="T429" s="2279">
        <v>4795.4399999999996</v>
      </c>
    </row>
    <row r="430" spans="1:20" ht="12" customHeight="1" outlineLevel="1" x14ac:dyDescent="0.2">
      <c r="A430" s="6538" t="s">
        <v>3137</v>
      </c>
      <c r="B430" s="6538"/>
      <c r="C430" s="2275">
        <v>205</v>
      </c>
      <c r="D430" s="2276" t="s">
        <v>2294</v>
      </c>
      <c r="E430" s="2277" t="s">
        <v>3138</v>
      </c>
      <c r="F430" s="2278">
        <v>10</v>
      </c>
      <c r="G430" s="2278"/>
      <c r="H430" s="2279">
        <v>23502</v>
      </c>
      <c r="I430" s="6539">
        <v>23502</v>
      </c>
      <c r="J430" s="6539"/>
      <c r="K430" s="2277"/>
      <c r="L430" s="2277"/>
      <c r="M430" s="2280"/>
      <c r="N430" s="2281"/>
      <c r="O430" s="2281"/>
      <c r="P430" s="2277"/>
      <c r="Q430" s="2277"/>
      <c r="R430" s="2279">
        <v>23502</v>
      </c>
      <c r="S430" s="2279">
        <v>23502</v>
      </c>
      <c r="T430" s="2277"/>
    </row>
    <row r="431" spans="1:20" ht="12" customHeight="1" outlineLevel="1" x14ac:dyDescent="0.2">
      <c r="A431" s="6538" t="s">
        <v>3139</v>
      </c>
      <c r="B431" s="6538"/>
      <c r="C431" s="2275">
        <v>395</v>
      </c>
      <c r="D431" s="2276" t="s">
        <v>2347</v>
      </c>
      <c r="E431" s="2277" t="s">
        <v>3140</v>
      </c>
      <c r="F431" s="2278">
        <v>67</v>
      </c>
      <c r="G431" s="2278"/>
      <c r="H431" s="2322">
        <v>847</v>
      </c>
      <c r="I431" s="6542">
        <v>847</v>
      </c>
      <c r="J431" s="6542"/>
      <c r="K431" s="2277"/>
      <c r="L431" s="2277"/>
      <c r="M431" s="2280"/>
      <c r="N431" s="2281"/>
      <c r="O431" s="2281"/>
      <c r="P431" s="2277"/>
      <c r="Q431" s="2277"/>
      <c r="R431" s="2322">
        <v>847</v>
      </c>
      <c r="S431" s="2322">
        <v>847</v>
      </c>
      <c r="T431" s="2277"/>
    </row>
    <row r="432" spans="1:20" ht="34.5" customHeight="1" outlineLevel="1" x14ac:dyDescent="0.2">
      <c r="A432" s="6538" t="s">
        <v>3141</v>
      </c>
      <c r="B432" s="6538"/>
      <c r="C432" s="2282">
        <v>2428</v>
      </c>
      <c r="D432" s="2276" t="s">
        <v>2249</v>
      </c>
      <c r="E432" s="2277" t="s">
        <v>3142</v>
      </c>
      <c r="F432" s="2278">
        <v>84</v>
      </c>
      <c r="G432" s="2278"/>
      <c r="H432" s="2279">
        <v>8485928.1699999999</v>
      </c>
      <c r="I432" s="6539">
        <v>6667514.7000000002</v>
      </c>
      <c r="J432" s="6539"/>
      <c r="K432" s="2279">
        <v>1818413.47</v>
      </c>
      <c r="L432" s="2277"/>
      <c r="M432" s="2281">
        <v>1212275.3999999999</v>
      </c>
      <c r="N432" s="2281">
        <f>M432</f>
        <v>1212275.3999999999</v>
      </c>
      <c r="O432" s="2281"/>
      <c r="P432" s="2277"/>
      <c r="Q432" s="2277"/>
      <c r="R432" s="2279">
        <v>8485928.1699999999</v>
      </c>
      <c r="S432" s="2279">
        <v>7879790.0999999996</v>
      </c>
      <c r="T432" s="2279">
        <v>606138.06999999995</v>
      </c>
    </row>
    <row r="433" spans="1:20" ht="12" customHeight="1" outlineLevel="1" x14ac:dyDescent="0.2">
      <c r="A433" s="6538" t="s">
        <v>3143</v>
      </c>
      <c r="B433" s="6538"/>
      <c r="C433" s="2275">
        <v>372</v>
      </c>
      <c r="D433" s="2276" t="s">
        <v>2252</v>
      </c>
      <c r="E433" s="2277" t="s">
        <v>3144</v>
      </c>
      <c r="F433" s="2278">
        <v>272</v>
      </c>
      <c r="G433" s="2278"/>
      <c r="H433" s="2279">
        <v>24235</v>
      </c>
      <c r="I433" s="6539">
        <v>24235</v>
      </c>
      <c r="J433" s="6539"/>
      <c r="K433" s="2277"/>
      <c r="L433" s="2277"/>
      <c r="M433" s="2280"/>
      <c r="N433" s="2281"/>
      <c r="O433" s="2281"/>
      <c r="P433" s="2277"/>
      <c r="Q433" s="2277"/>
      <c r="R433" s="2279">
        <v>24235</v>
      </c>
      <c r="S433" s="2279">
        <v>24235</v>
      </c>
      <c r="T433" s="2277"/>
    </row>
    <row r="434" spans="1:20" ht="12" customHeight="1" outlineLevel="1" x14ac:dyDescent="0.2">
      <c r="A434" s="6538" t="s">
        <v>3145</v>
      </c>
      <c r="B434" s="6538"/>
      <c r="C434" s="2282">
        <v>2451</v>
      </c>
      <c r="D434" s="2276" t="s">
        <v>3087</v>
      </c>
      <c r="E434" s="2277" t="s">
        <v>3146</v>
      </c>
      <c r="F434" s="2278">
        <v>13</v>
      </c>
      <c r="G434" s="2278"/>
      <c r="H434" s="2279">
        <v>67796.61</v>
      </c>
      <c r="I434" s="6539">
        <v>67796.61</v>
      </c>
      <c r="J434" s="6539"/>
      <c r="K434" s="2277"/>
      <c r="L434" s="2277"/>
      <c r="M434" s="2280"/>
      <c r="N434" s="2281"/>
      <c r="O434" s="2281"/>
      <c r="P434" s="2277"/>
      <c r="Q434" s="2277"/>
      <c r="R434" s="2279">
        <v>67796.61</v>
      </c>
      <c r="S434" s="2279">
        <v>67796.61</v>
      </c>
      <c r="T434" s="2277"/>
    </row>
    <row r="435" spans="1:20" ht="23.25" customHeight="1" outlineLevel="1" x14ac:dyDescent="0.2">
      <c r="A435" s="6538" t="s">
        <v>3147</v>
      </c>
      <c r="B435" s="6538"/>
      <c r="C435" s="2275">
        <v>107</v>
      </c>
      <c r="D435" s="2276" t="s">
        <v>2192</v>
      </c>
      <c r="E435" s="2277" t="s">
        <v>3148</v>
      </c>
      <c r="F435" s="2278">
        <v>273</v>
      </c>
      <c r="G435" s="2278"/>
      <c r="H435" s="2279">
        <v>121066</v>
      </c>
      <c r="I435" s="6539">
        <v>121066</v>
      </c>
      <c r="J435" s="6539"/>
      <c r="K435" s="2277"/>
      <c r="L435" s="2277"/>
      <c r="M435" s="2280"/>
      <c r="N435" s="2281"/>
      <c r="O435" s="2281"/>
      <c r="P435" s="2277"/>
      <c r="Q435" s="2277"/>
      <c r="R435" s="2279">
        <v>121066</v>
      </c>
      <c r="S435" s="2279">
        <v>121066</v>
      </c>
      <c r="T435" s="2277"/>
    </row>
    <row r="436" spans="1:20" ht="12" customHeight="1" outlineLevel="1" x14ac:dyDescent="0.2">
      <c r="A436" s="6538" t="s">
        <v>3149</v>
      </c>
      <c r="B436" s="6538"/>
      <c r="C436" s="2275">
        <v>448</v>
      </c>
      <c r="D436" s="2276" t="s">
        <v>2627</v>
      </c>
      <c r="E436" s="2277" t="s">
        <v>3150</v>
      </c>
      <c r="F436" s="2278">
        <v>273</v>
      </c>
      <c r="G436" s="2278"/>
      <c r="H436" s="2279">
        <v>25130</v>
      </c>
      <c r="I436" s="6539">
        <v>25130</v>
      </c>
      <c r="J436" s="6539"/>
      <c r="K436" s="2277"/>
      <c r="L436" s="2277"/>
      <c r="M436" s="2280"/>
      <c r="N436" s="2281"/>
      <c r="O436" s="2281"/>
      <c r="P436" s="2277"/>
      <c r="Q436" s="2277"/>
      <c r="R436" s="2279">
        <v>25130</v>
      </c>
      <c r="S436" s="2279">
        <v>25130</v>
      </c>
      <c r="T436" s="2277"/>
    </row>
    <row r="437" spans="1:20" ht="12" customHeight="1" outlineLevel="1" x14ac:dyDescent="0.2">
      <c r="A437" s="6538" t="s">
        <v>3151</v>
      </c>
      <c r="B437" s="6538"/>
      <c r="C437" s="2275">
        <v>109</v>
      </c>
      <c r="D437" s="2276" t="s">
        <v>2192</v>
      </c>
      <c r="E437" s="2277" t="s">
        <v>3152</v>
      </c>
      <c r="F437" s="2278">
        <v>273</v>
      </c>
      <c r="G437" s="2278"/>
      <c r="H437" s="2279">
        <v>48258</v>
      </c>
      <c r="I437" s="6539">
        <v>48258</v>
      </c>
      <c r="J437" s="6539"/>
      <c r="K437" s="2277"/>
      <c r="L437" s="2277"/>
      <c r="M437" s="2280"/>
      <c r="N437" s="2281"/>
      <c r="O437" s="2281"/>
      <c r="P437" s="2277"/>
      <c r="Q437" s="2277"/>
      <c r="R437" s="2279">
        <v>48258</v>
      </c>
      <c r="S437" s="2279">
        <v>48258</v>
      </c>
      <c r="T437" s="2277"/>
    </row>
    <row r="438" spans="1:20" ht="12" customHeight="1" outlineLevel="1" x14ac:dyDescent="0.2">
      <c r="A438" s="6538" t="s">
        <v>3153</v>
      </c>
      <c r="B438" s="6538"/>
      <c r="C438" s="2275">
        <v>197</v>
      </c>
      <c r="D438" s="2276" t="s">
        <v>2970</v>
      </c>
      <c r="E438" s="2277" t="s">
        <v>3154</v>
      </c>
      <c r="F438" s="2278">
        <v>267</v>
      </c>
      <c r="G438" s="2278"/>
      <c r="H438" s="2279">
        <v>48482</v>
      </c>
      <c r="I438" s="6539">
        <v>48482</v>
      </c>
      <c r="J438" s="6539"/>
      <c r="K438" s="2277"/>
      <c r="L438" s="2277"/>
      <c r="M438" s="2280"/>
      <c r="N438" s="2281"/>
      <c r="O438" s="2281"/>
      <c r="P438" s="2277"/>
      <c r="Q438" s="2277"/>
      <c r="R438" s="2279">
        <v>48482</v>
      </c>
      <c r="S438" s="2279">
        <v>48482</v>
      </c>
      <c r="T438" s="2277"/>
    </row>
    <row r="439" spans="1:20" ht="23.25" customHeight="1" outlineLevel="1" x14ac:dyDescent="0.2">
      <c r="A439" s="6538" t="s">
        <v>3155</v>
      </c>
      <c r="B439" s="6538"/>
      <c r="C439" s="2275">
        <v>106</v>
      </c>
      <c r="D439" s="2276" t="s">
        <v>2192</v>
      </c>
      <c r="E439" s="2277" t="s">
        <v>3156</v>
      </c>
      <c r="F439" s="2278">
        <v>273</v>
      </c>
      <c r="G439" s="2278"/>
      <c r="H439" s="2279">
        <v>143309</v>
      </c>
      <c r="I439" s="6539">
        <v>127533.2</v>
      </c>
      <c r="J439" s="6539"/>
      <c r="K439" s="2279">
        <v>15775.8</v>
      </c>
      <c r="L439" s="2277"/>
      <c r="M439" s="2281">
        <v>6299.28</v>
      </c>
      <c r="N439" s="2281">
        <f>M439</f>
        <v>6299.28</v>
      </c>
      <c r="O439" s="2281"/>
      <c r="P439" s="2277"/>
      <c r="Q439" s="2277"/>
      <c r="R439" s="2279">
        <v>143309</v>
      </c>
      <c r="S439" s="2279">
        <v>133832.48000000001</v>
      </c>
      <c r="T439" s="2279">
        <v>9476.52</v>
      </c>
    </row>
    <row r="440" spans="1:20" ht="12" customHeight="1" outlineLevel="1" x14ac:dyDescent="0.2">
      <c r="A440" s="6538" t="s">
        <v>3157</v>
      </c>
      <c r="B440" s="6538"/>
      <c r="C440" s="2275">
        <v>343</v>
      </c>
      <c r="D440" s="2276" t="s">
        <v>2218</v>
      </c>
      <c r="E440" s="2277" t="s">
        <v>3158</v>
      </c>
      <c r="F440" s="2278">
        <v>84</v>
      </c>
      <c r="G440" s="2278"/>
      <c r="H440" s="2279">
        <v>45079</v>
      </c>
      <c r="I440" s="6539">
        <v>45079</v>
      </c>
      <c r="J440" s="6539"/>
      <c r="K440" s="2277"/>
      <c r="L440" s="2277"/>
      <c r="M440" s="2280"/>
      <c r="N440" s="2281"/>
      <c r="O440" s="2281"/>
      <c r="P440" s="2277"/>
      <c r="Q440" s="2277"/>
      <c r="R440" s="2279">
        <v>45079</v>
      </c>
      <c r="S440" s="2279">
        <v>45079</v>
      </c>
      <c r="T440" s="2277"/>
    </row>
    <row r="441" spans="1:20" ht="12" customHeight="1" outlineLevel="1" x14ac:dyDescent="0.2">
      <c r="A441" s="6538" t="s">
        <v>3159</v>
      </c>
      <c r="B441" s="6538"/>
      <c r="C441" s="2282">
        <v>1802</v>
      </c>
      <c r="D441" s="2276" t="s">
        <v>3160</v>
      </c>
      <c r="E441" s="2277" t="s">
        <v>3161</v>
      </c>
      <c r="F441" s="2278">
        <v>84</v>
      </c>
      <c r="G441" s="2278"/>
      <c r="H441" s="2279">
        <v>64000</v>
      </c>
      <c r="I441" s="6539">
        <v>64000</v>
      </c>
      <c r="J441" s="6539"/>
      <c r="K441" s="2277"/>
      <c r="L441" s="2277"/>
      <c r="M441" s="2280"/>
      <c r="N441" s="2281"/>
      <c r="O441" s="2281"/>
      <c r="P441" s="2277"/>
      <c r="Q441" s="2277"/>
      <c r="R441" s="2279">
        <v>64000</v>
      </c>
      <c r="S441" s="2279">
        <v>64000</v>
      </c>
      <c r="T441" s="2277"/>
    </row>
    <row r="442" spans="1:20" ht="23.25" customHeight="1" outlineLevel="1" x14ac:dyDescent="0.2">
      <c r="A442" s="6538" t="s">
        <v>3162</v>
      </c>
      <c r="B442" s="6538"/>
      <c r="C442" s="2275">
        <v>717</v>
      </c>
      <c r="D442" s="2276" t="s">
        <v>3163</v>
      </c>
      <c r="E442" s="2277" t="s">
        <v>2660</v>
      </c>
      <c r="F442" s="2278">
        <v>84</v>
      </c>
      <c r="G442" s="2278"/>
      <c r="H442" s="2279">
        <v>15000</v>
      </c>
      <c r="I442" s="6539">
        <v>15000</v>
      </c>
      <c r="J442" s="6539"/>
      <c r="K442" s="2277"/>
      <c r="L442" s="2277"/>
      <c r="M442" s="2280"/>
      <c r="N442" s="2281"/>
      <c r="O442" s="2281"/>
      <c r="P442" s="2277"/>
      <c r="Q442" s="2277"/>
      <c r="R442" s="2279">
        <v>15000</v>
      </c>
      <c r="S442" s="2279">
        <v>15000</v>
      </c>
      <c r="T442" s="2277"/>
    </row>
    <row r="443" spans="1:20" ht="12" customHeight="1" outlineLevel="1" x14ac:dyDescent="0.2">
      <c r="A443" s="6538" t="s">
        <v>3164</v>
      </c>
      <c r="B443" s="6538"/>
      <c r="C443" s="2275">
        <v>449</v>
      </c>
      <c r="D443" s="2276" t="s">
        <v>2740</v>
      </c>
      <c r="E443" s="2277" t="s">
        <v>3165</v>
      </c>
      <c r="F443" s="2278">
        <v>273</v>
      </c>
      <c r="G443" s="2278"/>
      <c r="H443" s="2279">
        <v>9543</v>
      </c>
      <c r="I443" s="6539">
        <v>9543</v>
      </c>
      <c r="J443" s="6539"/>
      <c r="K443" s="2277"/>
      <c r="L443" s="2277"/>
      <c r="M443" s="2280"/>
      <c r="N443" s="2281"/>
      <c r="O443" s="2281"/>
      <c r="P443" s="2277"/>
      <c r="Q443" s="2277"/>
      <c r="R443" s="2279">
        <v>9543</v>
      </c>
      <c r="S443" s="2279">
        <v>9543</v>
      </c>
      <c r="T443" s="2277"/>
    </row>
    <row r="444" spans="1:20" ht="23.25" customHeight="1" outlineLevel="1" x14ac:dyDescent="0.2">
      <c r="A444" s="6538" t="s">
        <v>3166</v>
      </c>
      <c r="B444" s="6538"/>
      <c r="C444" s="2275">
        <v>136</v>
      </c>
      <c r="D444" s="2276" t="s">
        <v>2192</v>
      </c>
      <c r="E444" s="2277" t="s">
        <v>3167</v>
      </c>
      <c r="F444" s="2278">
        <v>84</v>
      </c>
      <c r="G444" s="2278"/>
      <c r="H444" s="2279">
        <v>34972</v>
      </c>
      <c r="I444" s="6539">
        <v>34972</v>
      </c>
      <c r="J444" s="6539"/>
      <c r="K444" s="2277"/>
      <c r="L444" s="2277"/>
      <c r="M444" s="2280"/>
      <c r="N444" s="2281"/>
      <c r="O444" s="2281"/>
      <c r="P444" s="2277"/>
      <c r="Q444" s="2277"/>
      <c r="R444" s="2279">
        <v>34972</v>
      </c>
      <c r="S444" s="2279">
        <v>34972</v>
      </c>
      <c r="T444" s="2277"/>
    </row>
    <row r="445" spans="1:20" ht="12" customHeight="1" outlineLevel="1" x14ac:dyDescent="0.2">
      <c r="A445" s="6538" t="s">
        <v>3168</v>
      </c>
      <c r="B445" s="6538"/>
      <c r="C445" s="2275">
        <v>138</v>
      </c>
      <c r="D445" s="2276" t="s">
        <v>2192</v>
      </c>
      <c r="E445" s="2277" t="s">
        <v>3169</v>
      </c>
      <c r="F445" s="2278">
        <v>120</v>
      </c>
      <c r="G445" s="2278"/>
      <c r="H445" s="2279">
        <v>26275</v>
      </c>
      <c r="I445" s="6539">
        <v>26275</v>
      </c>
      <c r="J445" s="6539"/>
      <c r="K445" s="2277"/>
      <c r="L445" s="2277"/>
      <c r="M445" s="2280"/>
      <c r="N445" s="2281"/>
      <c r="O445" s="2281"/>
      <c r="P445" s="2277"/>
      <c r="Q445" s="2277"/>
      <c r="R445" s="2279">
        <v>26275</v>
      </c>
      <c r="S445" s="2279">
        <v>26275</v>
      </c>
      <c r="T445" s="2277"/>
    </row>
    <row r="446" spans="1:20" ht="23.25" customHeight="1" outlineLevel="1" x14ac:dyDescent="0.2">
      <c r="A446" s="6538" t="s">
        <v>3170</v>
      </c>
      <c r="B446" s="6538"/>
      <c r="C446" s="2275">
        <v>137</v>
      </c>
      <c r="D446" s="2276" t="s">
        <v>2192</v>
      </c>
      <c r="E446" s="2277" t="s">
        <v>3171</v>
      </c>
      <c r="F446" s="2278">
        <v>120</v>
      </c>
      <c r="G446" s="2278"/>
      <c r="H446" s="2279">
        <v>310016</v>
      </c>
      <c r="I446" s="6539">
        <v>310016</v>
      </c>
      <c r="J446" s="6539"/>
      <c r="K446" s="2277"/>
      <c r="L446" s="2277"/>
      <c r="M446" s="2280"/>
      <c r="N446" s="2281"/>
      <c r="O446" s="2281"/>
      <c r="P446" s="2277"/>
      <c r="Q446" s="2277"/>
      <c r="R446" s="2279">
        <v>310016</v>
      </c>
      <c r="S446" s="2279">
        <v>310016</v>
      </c>
      <c r="T446" s="2277"/>
    </row>
    <row r="447" spans="1:20" ht="12" customHeight="1" outlineLevel="1" x14ac:dyDescent="0.2">
      <c r="A447" s="6538" t="s">
        <v>3172</v>
      </c>
      <c r="B447" s="6538"/>
      <c r="C447" s="2275">
        <v>139</v>
      </c>
      <c r="D447" s="2276" t="s">
        <v>2192</v>
      </c>
      <c r="E447" s="2277" t="s">
        <v>3173</v>
      </c>
      <c r="F447" s="2278">
        <v>120</v>
      </c>
      <c r="G447" s="2278"/>
      <c r="H447" s="2279">
        <v>120537</v>
      </c>
      <c r="I447" s="6539">
        <v>120537</v>
      </c>
      <c r="J447" s="6539"/>
      <c r="K447" s="2277"/>
      <c r="L447" s="2277"/>
      <c r="M447" s="2280"/>
      <c r="N447" s="2281"/>
      <c r="O447" s="2281"/>
      <c r="P447" s="2277"/>
      <c r="Q447" s="2277"/>
      <c r="R447" s="2279">
        <v>120537</v>
      </c>
      <c r="S447" s="2279">
        <v>120537</v>
      </c>
      <c r="T447" s="2277"/>
    </row>
    <row r="448" spans="1:20" ht="12" customHeight="1" outlineLevel="1" x14ac:dyDescent="0.2">
      <c r="A448" s="6538" t="s">
        <v>3174</v>
      </c>
      <c r="B448" s="6538"/>
      <c r="C448" s="2282">
        <v>1974</v>
      </c>
      <c r="D448" s="2276" t="s">
        <v>2677</v>
      </c>
      <c r="E448" s="2277" t="s">
        <v>3175</v>
      </c>
      <c r="F448" s="2278">
        <v>60</v>
      </c>
      <c r="G448" s="2278"/>
      <c r="H448" s="2279">
        <v>31400</v>
      </c>
      <c r="I448" s="6539">
        <v>31400</v>
      </c>
      <c r="J448" s="6539"/>
      <c r="K448" s="2277"/>
      <c r="L448" s="2277"/>
      <c r="M448" s="2280"/>
      <c r="N448" s="2281"/>
      <c r="O448" s="2281"/>
      <c r="P448" s="2277"/>
      <c r="Q448" s="2277"/>
      <c r="R448" s="2279">
        <v>31400</v>
      </c>
      <c r="S448" s="2279">
        <v>31400</v>
      </c>
      <c r="T448" s="2277"/>
    </row>
    <row r="449" spans="1:20" ht="12" customHeight="1" outlineLevel="1" x14ac:dyDescent="0.2">
      <c r="A449" s="6538" t="s">
        <v>3176</v>
      </c>
      <c r="B449" s="6538"/>
      <c r="C449" s="2275">
        <v>718</v>
      </c>
      <c r="D449" s="2276" t="s">
        <v>3177</v>
      </c>
      <c r="E449" s="2277" t="s">
        <v>3178</v>
      </c>
      <c r="F449" s="2278">
        <v>36</v>
      </c>
      <c r="G449" s="2278"/>
      <c r="H449" s="2279">
        <v>12000</v>
      </c>
      <c r="I449" s="6539">
        <v>12000</v>
      </c>
      <c r="J449" s="6539"/>
      <c r="K449" s="2277"/>
      <c r="L449" s="2277"/>
      <c r="M449" s="2280"/>
      <c r="N449" s="2281"/>
      <c r="O449" s="2281"/>
      <c r="P449" s="2277"/>
      <c r="Q449" s="2277"/>
      <c r="R449" s="2279">
        <v>12000</v>
      </c>
      <c r="S449" s="2279">
        <v>12000</v>
      </c>
      <c r="T449" s="2277"/>
    </row>
    <row r="450" spans="1:20" ht="12" customHeight="1" outlineLevel="1" x14ac:dyDescent="0.2">
      <c r="A450" s="6538" t="s">
        <v>3179</v>
      </c>
      <c r="B450" s="6538"/>
      <c r="C450" s="2275">
        <v>379</v>
      </c>
      <c r="D450" s="2276" t="s">
        <v>3180</v>
      </c>
      <c r="E450" s="2277" t="s">
        <v>3181</v>
      </c>
      <c r="F450" s="2278">
        <v>24</v>
      </c>
      <c r="G450" s="2278"/>
      <c r="H450" s="2279">
        <v>123780</v>
      </c>
      <c r="I450" s="6539">
        <v>123780</v>
      </c>
      <c r="J450" s="6539"/>
      <c r="K450" s="2277"/>
      <c r="L450" s="2277"/>
      <c r="M450" s="2280"/>
      <c r="N450" s="2281"/>
      <c r="O450" s="2281"/>
      <c r="P450" s="2277"/>
      <c r="Q450" s="2277"/>
      <c r="R450" s="2279">
        <v>123780</v>
      </c>
      <c r="S450" s="2279">
        <v>123780</v>
      </c>
      <c r="T450" s="2277"/>
    </row>
    <row r="451" spans="1:20" ht="12" customHeight="1" outlineLevel="1" x14ac:dyDescent="0.2">
      <c r="A451" s="6538" t="s">
        <v>3182</v>
      </c>
      <c r="B451" s="6538"/>
      <c r="C451" s="2275">
        <v>380</v>
      </c>
      <c r="D451" s="2276" t="s">
        <v>2972</v>
      </c>
      <c r="E451" s="2277" t="s">
        <v>3183</v>
      </c>
      <c r="F451" s="2278">
        <v>24</v>
      </c>
      <c r="G451" s="2278"/>
      <c r="H451" s="2279">
        <v>81930</v>
      </c>
      <c r="I451" s="6539">
        <v>81930</v>
      </c>
      <c r="J451" s="6539"/>
      <c r="K451" s="2277"/>
      <c r="L451" s="2277"/>
      <c r="M451" s="2280"/>
      <c r="N451" s="2281"/>
      <c r="O451" s="2281"/>
      <c r="P451" s="2277"/>
      <c r="Q451" s="2277"/>
      <c r="R451" s="2279">
        <v>81930</v>
      </c>
      <c r="S451" s="2279">
        <v>81930</v>
      </c>
      <c r="T451" s="2277"/>
    </row>
    <row r="452" spans="1:20" ht="12" customHeight="1" outlineLevel="1" x14ac:dyDescent="0.2">
      <c r="A452" s="6538" t="s">
        <v>3184</v>
      </c>
      <c r="B452" s="6538"/>
      <c r="C452" s="2275">
        <v>145</v>
      </c>
      <c r="D452" s="2276" t="s">
        <v>2570</v>
      </c>
      <c r="E452" s="2277" t="s">
        <v>3185</v>
      </c>
      <c r="F452" s="2278">
        <v>132</v>
      </c>
      <c r="G452" s="2278"/>
      <c r="H452" s="2279">
        <v>2700</v>
      </c>
      <c r="I452" s="6539">
        <v>2700</v>
      </c>
      <c r="J452" s="6539"/>
      <c r="K452" s="2277"/>
      <c r="L452" s="2277"/>
      <c r="M452" s="2280"/>
      <c r="N452" s="2281"/>
      <c r="O452" s="2281"/>
      <c r="P452" s="2277"/>
      <c r="Q452" s="2277"/>
      <c r="R452" s="2279">
        <v>2700</v>
      </c>
      <c r="S452" s="2279">
        <v>2700</v>
      </c>
      <c r="T452" s="2277"/>
    </row>
    <row r="453" spans="1:20" ht="12" customHeight="1" outlineLevel="1" x14ac:dyDescent="0.2">
      <c r="A453" s="6538" t="s">
        <v>3186</v>
      </c>
      <c r="B453" s="6538"/>
      <c r="C453" s="2275">
        <v>373</v>
      </c>
      <c r="D453" s="2276" t="s">
        <v>2840</v>
      </c>
      <c r="E453" s="2277" t="s">
        <v>3187</v>
      </c>
      <c r="F453" s="2278">
        <v>67</v>
      </c>
      <c r="G453" s="2278"/>
      <c r="H453" s="2279">
        <v>41700</v>
      </c>
      <c r="I453" s="6539">
        <v>41700</v>
      </c>
      <c r="J453" s="6539"/>
      <c r="K453" s="2277"/>
      <c r="L453" s="2277"/>
      <c r="M453" s="2280"/>
      <c r="N453" s="2281"/>
      <c r="O453" s="2281"/>
      <c r="P453" s="2277"/>
      <c r="Q453" s="2277"/>
      <c r="R453" s="2279">
        <v>41700</v>
      </c>
      <c r="S453" s="2279">
        <v>41700</v>
      </c>
      <c r="T453" s="2277"/>
    </row>
    <row r="454" spans="1:20" ht="12" customHeight="1" outlineLevel="1" x14ac:dyDescent="0.2">
      <c r="A454" s="6538" t="s">
        <v>3188</v>
      </c>
      <c r="B454" s="6538"/>
      <c r="C454" s="2275">
        <v>374</v>
      </c>
      <c r="D454" s="2276" t="s">
        <v>2840</v>
      </c>
      <c r="E454" s="2277" t="s">
        <v>3189</v>
      </c>
      <c r="F454" s="2278">
        <v>67</v>
      </c>
      <c r="G454" s="2278"/>
      <c r="H454" s="2279">
        <v>13900</v>
      </c>
      <c r="I454" s="6539">
        <v>13900</v>
      </c>
      <c r="J454" s="6539"/>
      <c r="K454" s="2277"/>
      <c r="L454" s="2277"/>
      <c r="M454" s="2280"/>
      <c r="N454" s="2281"/>
      <c r="O454" s="2281"/>
      <c r="P454" s="2277"/>
      <c r="Q454" s="2277"/>
      <c r="R454" s="2279">
        <v>13900</v>
      </c>
      <c r="S454" s="2279">
        <v>13900</v>
      </c>
      <c r="T454" s="2277"/>
    </row>
    <row r="455" spans="1:20" ht="12" customHeight="1" outlineLevel="1" x14ac:dyDescent="0.2">
      <c r="A455" s="6538" t="s">
        <v>3190</v>
      </c>
      <c r="B455" s="6538"/>
      <c r="C455" s="2282">
        <v>1734</v>
      </c>
      <c r="D455" s="2276" t="s">
        <v>2648</v>
      </c>
      <c r="E455" s="2277" t="s">
        <v>3191</v>
      </c>
      <c r="F455" s="2278">
        <v>120</v>
      </c>
      <c r="G455" s="2278"/>
      <c r="H455" s="2279">
        <v>23050.85</v>
      </c>
      <c r="I455" s="6539">
        <v>23050.85</v>
      </c>
      <c r="J455" s="6539"/>
      <c r="K455" s="2277"/>
      <c r="L455" s="2277"/>
      <c r="M455" s="2280"/>
      <c r="N455" s="2281"/>
      <c r="O455" s="2281"/>
      <c r="P455" s="2277"/>
      <c r="Q455" s="2277"/>
      <c r="R455" s="2279">
        <v>23050.85</v>
      </c>
      <c r="S455" s="2279">
        <v>23050.85</v>
      </c>
      <c r="T455" s="2277"/>
    </row>
    <row r="456" spans="1:20" s="2298" customFormat="1" ht="12" customHeight="1" outlineLevel="1" x14ac:dyDescent="0.2">
      <c r="A456" s="6547" t="s">
        <v>3190</v>
      </c>
      <c r="B456" s="6547"/>
      <c r="C456" s="2321">
        <v>2361</v>
      </c>
      <c r="D456" s="2293" t="s">
        <v>3026</v>
      </c>
      <c r="E456" s="2294" t="s">
        <v>3192</v>
      </c>
      <c r="F456" s="2295">
        <v>96</v>
      </c>
      <c r="G456" s="2295"/>
      <c r="H456" s="2296">
        <v>24250</v>
      </c>
      <c r="I456" s="6548">
        <v>22481.4</v>
      </c>
      <c r="J456" s="6548"/>
      <c r="K456" s="2296">
        <v>1768.6</v>
      </c>
      <c r="L456" s="2294"/>
      <c r="M456" s="2296">
        <v>1768.6</v>
      </c>
      <c r="N456" s="2296">
        <f>M456</f>
        <v>1768.6</v>
      </c>
      <c r="O456" s="2296"/>
      <c r="P456" s="2294"/>
      <c r="Q456" s="2294"/>
      <c r="R456" s="2296">
        <v>24250</v>
      </c>
      <c r="S456" s="2296">
        <v>24250</v>
      </c>
      <c r="T456" s="2294"/>
    </row>
    <row r="457" spans="1:20" ht="12" customHeight="1" outlineLevel="1" x14ac:dyDescent="0.2">
      <c r="A457" s="6538" t="s">
        <v>3193</v>
      </c>
      <c r="B457" s="6538"/>
      <c r="C457" s="2275">
        <v>198</v>
      </c>
      <c r="D457" s="2276" t="s">
        <v>2970</v>
      </c>
      <c r="E457" s="2277" t="s">
        <v>3194</v>
      </c>
      <c r="F457" s="2278">
        <v>273</v>
      </c>
      <c r="G457" s="2278"/>
      <c r="H457" s="2279">
        <v>78900</v>
      </c>
      <c r="I457" s="6539">
        <v>78900</v>
      </c>
      <c r="J457" s="6539"/>
      <c r="K457" s="2277"/>
      <c r="L457" s="2277"/>
      <c r="M457" s="2280"/>
      <c r="N457" s="2281"/>
      <c r="O457" s="2281"/>
      <c r="P457" s="2277"/>
      <c r="Q457" s="2277"/>
      <c r="R457" s="2279">
        <v>78900</v>
      </c>
      <c r="S457" s="2279">
        <v>78900</v>
      </c>
      <c r="T457" s="2277"/>
    </row>
    <row r="458" spans="1:20" ht="12" customHeight="1" outlineLevel="1" x14ac:dyDescent="0.2">
      <c r="A458" s="6538" t="s">
        <v>3195</v>
      </c>
      <c r="B458" s="6538"/>
      <c r="C458" s="2275">
        <v>216</v>
      </c>
      <c r="D458" s="2276" t="s">
        <v>2257</v>
      </c>
      <c r="E458" s="2277" t="s">
        <v>3196</v>
      </c>
      <c r="F458" s="2278">
        <v>273</v>
      </c>
      <c r="G458" s="2278"/>
      <c r="H458" s="2279">
        <v>6888</v>
      </c>
      <c r="I458" s="6539">
        <v>6888</v>
      </c>
      <c r="J458" s="6539"/>
      <c r="K458" s="2277"/>
      <c r="L458" s="2277"/>
      <c r="M458" s="2280"/>
      <c r="N458" s="2281"/>
      <c r="O458" s="2281"/>
      <c r="P458" s="2277"/>
      <c r="Q458" s="2277"/>
      <c r="R458" s="2279">
        <v>6888</v>
      </c>
      <c r="S458" s="2279">
        <v>6888</v>
      </c>
      <c r="T458" s="2277"/>
    </row>
    <row r="459" spans="1:20" ht="12" customHeight="1" outlineLevel="1" x14ac:dyDescent="0.2">
      <c r="A459" s="6538" t="s">
        <v>3197</v>
      </c>
      <c r="B459" s="6538"/>
      <c r="C459" s="2275">
        <v>199</v>
      </c>
      <c r="D459" s="2276" t="s">
        <v>2970</v>
      </c>
      <c r="E459" s="2277" t="s">
        <v>3198</v>
      </c>
      <c r="F459" s="2278">
        <v>132</v>
      </c>
      <c r="G459" s="2278"/>
      <c r="H459" s="2279">
        <v>42530</v>
      </c>
      <c r="I459" s="6539">
        <v>42530</v>
      </c>
      <c r="J459" s="6539"/>
      <c r="K459" s="2277"/>
      <c r="L459" s="2277"/>
      <c r="M459" s="2280"/>
      <c r="N459" s="2281"/>
      <c r="O459" s="2281"/>
      <c r="P459" s="2277"/>
      <c r="Q459" s="2277"/>
      <c r="R459" s="2279">
        <v>42530</v>
      </c>
      <c r="S459" s="2279">
        <v>42530</v>
      </c>
      <c r="T459" s="2277"/>
    </row>
    <row r="460" spans="1:20" ht="12" customHeight="1" outlineLevel="1" x14ac:dyDescent="0.2">
      <c r="A460" s="6538" t="s">
        <v>3199</v>
      </c>
      <c r="B460" s="6538"/>
      <c r="C460" s="2316">
        <v>1488</v>
      </c>
      <c r="D460" s="2276" t="s">
        <v>3200</v>
      </c>
      <c r="E460" s="2277" t="s">
        <v>3201</v>
      </c>
      <c r="F460" s="2278">
        <v>84</v>
      </c>
      <c r="G460" s="2278"/>
      <c r="H460" s="2279">
        <v>67850</v>
      </c>
      <c r="I460" s="6539">
        <v>25847.68</v>
      </c>
      <c r="J460" s="6539"/>
      <c r="K460" s="2279">
        <v>42002.32</v>
      </c>
      <c r="L460" s="2277"/>
      <c r="M460" s="2281">
        <v>9692.8799999999992</v>
      </c>
      <c r="N460" s="2281">
        <f>M460</f>
        <v>9692.8799999999992</v>
      </c>
      <c r="O460" s="2281"/>
      <c r="P460" s="2277"/>
      <c r="Q460" s="2277"/>
      <c r="R460" s="2279">
        <v>67850</v>
      </c>
      <c r="S460" s="2279">
        <v>35540.559999999998</v>
      </c>
      <c r="T460" s="2279">
        <v>32309.439999999999</v>
      </c>
    </row>
    <row r="461" spans="1:20" ht="12" customHeight="1" outlineLevel="1" x14ac:dyDescent="0.2">
      <c r="A461" s="6538" t="s">
        <v>3202</v>
      </c>
      <c r="B461" s="6538"/>
      <c r="C461" s="2275">
        <v>149</v>
      </c>
      <c r="D461" s="2276" t="s">
        <v>2192</v>
      </c>
      <c r="E461" s="2277" t="s">
        <v>3203</v>
      </c>
      <c r="F461" s="2278">
        <v>84</v>
      </c>
      <c r="G461" s="2278"/>
      <c r="H461" s="2279">
        <v>10666</v>
      </c>
      <c r="I461" s="6539">
        <v>10666</v>
      </c>
      <c r="J461" s="6539"/>
      <c r="K461" s="2277"/>
      <c r="L461" s="2277"/>
      <c r="M461" s="2280"/>
      <c r="N461" s="2281"/>
      <c r="O461" s="2281"/>
      <c r="P461" s="2277"/>
      <c r="Q461" s="2277"/>
      <c r="R461" s="2279">
        <v>10666</v>
      </c>
      <c r="S461" s="2279">
        <v>10666</v>
      </c>
      <c r="T461" s="2277"/>
    </row>
    <row r="462" spans="1:20" ht="12" customHeight="1" outlineLevel="1" x14ac:dyDescent="0.2">
      <c r="A462" s="6538" t="s">
        <v>3204</v>
      </c>
      <c r="B462" s="6538"/>
      <c r="C462" s="2275">
        <v>146</v>
      </c>
      <c r="D462" s="2276" t="s">
        <v>2570</v>
      </c>
      <c r="E462" s="2277" t="s">
        <v>3205</v>
      </c>
      <c r="F462" s="2278">
        <v>70</v>
      </c>
      <c r="G462" s="2278"/>
      <c r="H462" s="2279">
        <v>18300</v>
      </c>
      <c r="I462" s="6539">
        <v>18300</v>
      </c>
      <c r="J462" s="6539"/>
      <c r="K462" s="2277"/>
      <c r="L462" s="2277"/>
      <c r="M462" s="2280"/>
      <c r="N462" s="2281"/>
      <c r="O462" s="2281"/>
      <c r="P462" s="2277"/>
      <c r="Q462" s="2277"/>
      <c r="R462" s="2279">
        <v>18300</v>
      </c>
      <c r="S462" s="2279">
        <v>18300</v>
      </c>
      <c r="T462" s="2277"/>
    </row>
    <row r="463" spans="1:20" ht="12" customHeight="1" outlineLevel="1" x14ac:dyDescent="0.2">
      <c r="A463" s="6538" t="s">
        <v>3206</v>
      </c>
      <c r="B463" s="6538"/>
      <c r="C463" s="2275">
        <v>148</v>
      </c>
      <c r="D463" s="2276" t="s">
        <v>2192</v>
      </c>
      <c r="E463" s="2277" t="s">
        <v>3207</v>
      </c>
      <c r="F463" s="2278">
        <v>84</v>
      </c>
      <c r="G463" s="2278"/>
      <c r="H463" s="2279">
        <v>14245</v>
      </c>
      <c r="I463" s="6539">
        <v>14245</v>
      </c>
      <c r="J463" s="6539"/>
      <c r="K463" s="2277"/>
      <c r="L463" s="2277"/>
      <c r="M463" s="2280"/>
      <c r="N463" s="2281"/>
      <c r="O463" s="2281"/>
      <c r="P463" s="2277"/>
      <c r="Q463" s="2277"/>
      <c r="R463" s="2279">
        <v>14245</v>
      </c>
      <c r="S463" s="2279">
        <v>14245</v>
      </c>
      <c r="T463" s="2277"/>
    </row>
    <row r="464" spans="1:20" ht="12" customHeight="1" outlineLevel="1" x14ac:dyDescent="0.2">
      <c r="A464" s="6538" t="s">
        <v>3208</v>
      </c>
      <c r="B464" s="6538"/>
      <c r="C464" s="2275">
        <v>423</v>
      </c>
      <c r="D464" s="2276" t="s">
        <v>3072</v>
      </c>
      <c r="E464" s="2277" t="s">
        <v>3209</v>
      </c>
      <c r="F464" s="2278">
        <v>96</v>
      </c>
      <c r="G464" s="2278"/>
      <c r="H464" s="2279">
        <v>1616</v>
      </c>
      <c r="I464" s="6539">
        <v>1616</v>
      </c>
      <c r="J464" s="6539"/>
      <c r="K464" s="2277"/>
      <c r="L464" s="2277"/>
      <c r="M464" s="2280"/>
      <c r="N464" s="2281"/>
      <c r="O464" s="2281"/>
      <c r="P464" s="2277"/>
      <c r="Q464" s="2277"/>
      <c r="R464" s="2279">
        <v>1616</v>
      </c>
      <c r="S464" s="2279">
        <v>1616</v>
      </c>
      <c r="T464" s="2277"/>
    </row>
    <row r="465" spans="1:20" ht="23.25" customHeight="1" outlineLevel="1" x14ac:dyDescent="0.2">
      <c r="A465" s="6538" t="s">
        <v>3210</v>
      </c>
      <c r="B465" s="6538"/>
      <c r="C465" s="2275">
        <v>364</v>
      </c>
      <c r="D465" s="2276" t="s">
        <v>2594</v>
      </c>
      <c r="E465" s="2277" t="s">
        <v>3211</v>
      </c>
      <c r="F465" s="2278">
        <v>84</v>
      </c>
      <c r="G465" s="2278"/>
      <c r="H465" s="2279">
        <v>2590</v>
      </c>
      <c r="I465" s="6539">
        <v>2590</v>
      </c>
      <c r="J465" s="6539"/>
      <c r="K465" s="2277"/>
      <c r="L465" s="2277"/>
      <c r="M465" s="2280"/>
      <c r="N465" s="2281"/>
      <c r="O465" s="2281"/>
      <c r="P465" s="2277"/>
      <c r="Q465" s="2277"/>
      <c r="R465" s="2279">
        <v>2590</v>
      </c>
      <c r="S465" s="2279">
        <v>2590</v>
      </c>
      <c r="T465" s="2277"/>
    </row>
    <row r="466" spans="1:20" ht="23.25" customHeight="1" outlineLevel="1" x14ac:dyDescent="0.2">
      <c r="A466" s="6538" t="s">
        <v>3212</v>
      </c>
      <c r="B466" s="6538"/>
      <c r="C466" s="2275">
        <v>365</v>
      </c>
      <c r="D466" s="2276" t="s">
        <v>2594</v>
      </c>
      <c r="E466" s="2277" t="s">
        <v>3213</v>
      </c>
      <c r="F466" s="2278">
        <v>84</v>
      </c>
      <c r="G466" s="2278"/>
      <c r="H466" s="2279">
        <v>6231</v>
      </c>
      <c r="I466" s="6539">
        <v>6231</v>
      </c>
      <c r="J466" s="6539"/>
      <c r="K466" s="2277"/>
      <c r="L466" s="2277"/>
      <c r="M466" s="2280"/>
      <c r="N466" s="2281"/>
      <c r="O466" s="2281"/>
      <c r="P466" s="2277"/>
      <c r="Q466" s="2277"/>
      <c r="R466" s="2279">
        <v>6231</v>
      </c>
      <c r="S466" s="2279">
        <v>6231</v>
      </c>
      <c r="T466" s="2277"/>
    </row>
    <row r="467" spans="1:20" ht="12" customHeight="1" outlineLevel="1" x14ac:dyDescent="0.2">
      <c r="A467" s="6538" t="s">
        <v>3214</v>
      </c>
      <c r="B467" s="6538"/>
      <c r="C467" s="2275">
        <v>367</v>
      </c>
      <c r="D467" s="2276" t="s">
        <v>2594</v>
      </c>
      <c r="E467" s="2277" t="s">
        <v>3215</v>
      </c>
      <c r="F467" s="2278">
        <v>84</v>
      </c>
      <c r="G467" s="2278"/>
      <c r="H467" s="2279">
        <v>3395</v>
      </c>
      <c r="I467" s="6539">
        <v>3395</v>
      </c>
      <c r="J467" s="6539"/>
      <c r="K467" s="2277"/>
      <c r="L467" s="2277"/>
      <c r="M467" s="2280"/>
      <c r="N467" s="2281"/>
      <c r="O467" s="2281"/>
      <c r="P467" s="2277"/>
      <c r="Q467" s="2277"/>
      <c r="R467" s="2279">
        <v>3395</v>
      </c>
      <c r="S467" s="2279">
        <v>3395</v>
      </c>
      <c r="T467" s="2277"/>
    </row>
    <row r="468" spans="1:20" ht="12" customHeight="1" outlineLevel="1" x14ac:dyDescent="0.2">
      <c r="A468" s="6538" t="s">
        <v>3216</v>
      </c>
      <c r="B468" s="6538"/>
      <c r="C468" s="2275">
        <v>366</v>
      </c>
      <c r="D468" s="2276" t="s">
        <v>2594</v>
      </c>
      <c r="E468" s="2277" t="s">
        <v>3217</v>
      </c>
      <c r="F468" s="2278">
        <v>84</v>
      </c>
      <c r="G468" s="2278"/>
      <c r="H468" s="2279">
        <v>10944</v>
      </c>
      <c r="I468" s="6539">
        <v>10944</v>
      </c>
      <c r="J468" s="6539"/>
      <c r="K468" s="2277"/>
      <c r="L468" s="2277"/>
      <c r="M468" s="2280"/>
      <c r="N468" s="2281"/>
      <c r="O468" s="2281"/>
      <c r="P468" s="2277"/>
      <c r="Q468" s="2277"/>
      <c r="R468" s="2279">
        <v>10944</v>
      </c>
      <c r="S468" s="2279">
        <v>10944</v>
      </c>
      <c r="T468" s="2277"/>
    </row>
    <row r="469" spans="1:20" ht="12" customHeight="1" outlineLevel="1" x14ac:dyDescent="0.2">
      <c r="A469" s="6538" t="s">
        <v>3218</v>
      </c>
      <c r="B469" s="6538"/>
      <c r="C469" s="2275">
        <v>305</v>
      </c>
      <c r="D469" s="2276" t="s">
        <v>3219</v>
      </c>
      <c r="E469" s="2277" t="s">
        <v>3220</v>
      </c>
      <c r="F469" s="2278">
        <v>115</v>
      </c>
      <c r="G469" s="2278"/>
      <c r="H469" s="2279">
        <v>3000</v>
      </c>
      <c r="I469" s="6539">
        <v>3000</v>
      </c>
      <c r="J469" s="6539"/>
      <c r="K469" s="2277"/>
      <c r="L469" s="2277"/>
      <c r="M469" s="2280"/>
      <c r="N469" s="2281"/>
      <c r="O469" s="2281"/>
      <c r="P469" s="2277"/>
      <c r="Q469" s="2277"/>
      <c r="R469" s="2279">
        <v>3000</v>
      </c>
      <c r="S469" s="2279">
        <v>3000</v>
      </c>
      <c r="T469" s="2277"/>
    </row>
    <row r="470" spans="1:20" ht="12" customHeight="1" outlineLevel="1" x14ac:dyDescent="0.2">
      <c r="A470" s="6538" t="s">
        <v>3221</v>
      </c>
      <c r="B470" s="6538"/>
      <c r="C470" s="2275">
        <v>450</v>
      </c>
      <c r="D470" s="2276" t="s">
        <v>2627</v>
      </c>
      <c r="E470" s="2277" t="s">
        <v>3222</v>
      </c>
      <c r="F470" s="2278">
        <v>273</v>
      </c>
      <c r="G470" s="2278"/>
      <c r="H470" s="2279">
        <v>4877</v>
      </c>
      <c r="I470" s="6539">
        <v>4877</v>
      </c>
      <c r="J470" s="6539"/>
      <c r="K470" s="2277"/>
      <c r="L470" s="2277"/>
      <c r="M470" s="2280"/>
      <c r="N470" s="2281"/>
      <c r="O470" s="2281"/>
      <c r="P470" s="2277"/>
      <c r="Q470" s="2277"/>
      <c r="R470" s="2279">
        <v>4877</v>
      </c>
      <c r="S470" s="2279">
        <v>4877</v>
      </c>
      <c r="T470" s="2277"/>
    </row>
    <row r="471" spans="1:20" ht="12" customHeight="1" outlineLevel="1" x14ac:dyDescent="0.2">
      <c r="A471" s="6538" t="s">
        <v>3223</v>
      </c>
      <c r="B471" s="6538"/>
      <c r="C471" s="2282">
        <v>1857</v>
      </c>
      <c r="D471" s="2276" t="s">
        <v>3224</v>
      </c>
      <c r="E471" s="2277" t="s">
        <v>3225</v>
      </c>
      <c r="F471" s="2278">
        <v>120</v>
      </c>
      <c r="G471" s="2278"/>
      <c r="H471" s="2279">
        <v>13542.39</v>
      </c>
      <c r="I471" s="6539">
        <v>13542.39</v>
      </c>
      <c r="J471" s="6539"/>
      <c r="K471" s="2277"/>
      <c r="L471" s="2277"/>
      <c r="M471" s="2280"/>
      <c r="N471" s="2281"/>
      <c r="O471" s="2281"/>
      <c r="P471" s="2277"/>
      <c r="Q471" s="2277"/>
      <c r="R471" s="2279">
        <v>13542.39</v>
      </c>
      <c r="S471" s="2279">
        <v>13542.39</v>
      </c>
      <c r="T471" s="2277"/>
    </row>
    <row r="472" spans="1:20" ht="12" customHeight="1" outlineLevel="1" x14ac:dyDescent="0.2">
      <c r="A472" s="6538" t="s">
        <v>3226</v>
      </c>
      <c r="B472" s="6538"/>
      <c r="C472" s="2282">
        <v>1854</v>
      </c>
      <c r="D472" s="2276" t="s">
        <v>2884</v>
      </c>
      <c r="E472" s="2277" t="s">
        <v>3227</v>
      </c>
      <c r="F472" s="2278">
        <v>120</v>
      </c>
      <c r="G472" s="2278"/>
      <c r="H472" s="2279">
        <v>18579.259999999998</v>
      </c>
      <c r="I472" s="6539">
        <v>18579.259999999998</v>
      </c>
      <c r="J472" s="6539"/>
      <c r="K472" s="2277"/>
      <c r="L472" s="2277"/>
      <c r="M472" s="2280"/>
      <c r="N472" s="2281"/>
      <c r="O472" s="2281"/>
      <c r="P472" s="2277"/>
      <c r="Q472" s="2277"/>
      <c r="R472" s="2279">
        <v>18579.259999999998</v>
      </c>
      <c r="S472" s="2279">
        <v>18579.259999999998</v>
      </c>
      <c r="T472" s="2277"/>
    </row>
    <row r="473" spans="1:20" ht="12" customHeight="1" outlineLevel="1" x14ac:dyDescent="0.2">
      <c r="A473" s="6538" t="s">
        <v>3226</v>
      </c>
      <c r="B473" s="6538"/>
      <c r="C473" s="2282">
        <v>1855</v>
      </c>
      <c r="D473" s="2276" t="s">
        <v>2884</v>
      </c>
      <c r="E473" s="2277" t="s">
        <v>3227</v>
      </c>
      <c r="F473" s="2278">
        <v>120</v>
      </c>
      <c r="G473" s="2278"/>
      <c r="H473" s="2279">
        <v>18579.259999999998</v>
      </c>
      <c r="I473" s="6539">
        <v>18579.259999999998</v>
      </c>
      <c r="J473" s="6539"/>
      <c r="K473" s="2277"/>
      <c r="L473" s="2277"/>
      <c r="M473" s="2280"/>
      <c r="N473" s="2281"/>
      <c r="O473" s="2281"/>
      <c r="P473" s="2277"/>
      <c r="Q473" s="2277"/>
      <c r="R473" s="2279">
        <v>18579.259999999998</v>
      </c>
      <c r="S473" s="2279">
        <v>18579.259999999998</v>
      </c>
      <c r="T473" s="2277"/>
    </row>
    <row r="474" spans="1:20" ht="12" customHeight="1" outlineLevel="1" x14ac:dyDescent="0.2">
      <c r="A474" s="6538" t="s">
        <v>3228</v>
      </c>
      <c r="B474" s="6538"/>
      <c r="C474" s="2275">
        <v>593</v>
      </c>
      <c r="D474" s="2276" t="s">
        <v>2769</v>
      </c>
      <c r="E474" s="2277" t="s">
        <v>3229</v>
      </c>
      <c r="F474" s="2278">
        <v>84</v>
      </c>
      <c r="G474" s="2278"/>
      <c r="H474" s="2279">
        <v>13720</v>
      </c>
      <c r="I474" s="6539">
        <v>13720</v>
      </c>
      <c r="J474" s="6539"/>
      <c r="K474" s="2277"/>
      <c r="L474" s="2277"/>
      <c r="M474" s="2280"/>
      <c r="N474" s="2281"/>
      <c r="O474" s="2281"/>
      <c r="P474" s="2277"/>
      <c r="Q474" s="2277"/>
      <c r="R474" s="2279">
        <v>13720</v>
      </c>
      <c r="S474" s="2279">
        <v>13720</v>
      </c>
      <c r="T474" s="2277"/>
    </row>
    <row r="475" spans="1:20" ht="12" customHeight="1" outlineLevel="1" x14ac:dyDescent="0.2">
      <c r="A475" s="6538" t="s">
        <v>3230</v>
      </c>
      <c r="B475" s="6538"/>
      <c r="C475" s="2275">
        <v>705</v>
      </c>
      <c r="D475" s="2276" t="s">
        <v>2243</v>
      </c>
      <c r="E475" s="2277" t="s">
        <v>3231</v>
      </c>
      <c r="F475" s="2278">
        <v>12</v>
      </c>
      <c r="G475" s="2278"/>
      <c r="H475" s="2279">
        <v>2350</v>
      </c>
      <c r="I475" s="6539">
        <v>2350</v>
      </c>
      <c r="J475" s="6539"/>
      <c r="K475" s="2277"/>
      <c r="L475" s="2277"/>
      <c r="M475" s="2280"/>
      <c r="N475" s="2281"/>
      <c r="O475" s="2281"/>
      <c r="P475" s="2277"/>
      <c r="Q475" s="2277"/>
      <c r="R475" s="2279">
        <v>2350</v>
      </c>
      <c r="S475" s="2279">
        <v>2350</v>
      </c>
      <c r="T475" s="2277"/>
    </row>
    <row r="476" spans="1:20" ht="12" customHeight="1" outlineLevel="1" x14ac:dyDescent="0.2">
      <c r="A476" s="6538" t="s">
        <v>3232</v>
      </c>
      <c r="B476" s="6538"/>
      <c r="C476" s="2275">
        <v>452</v>
      </c>
      <c r="D476" s="2276" t="s">
        <v>2740</v>
      </c>
      <c r="E476" s="2277" t="s">
        <v>3233</v>
      </c>
      <c r="F476" s="2278">
        <v>273</v>
      </c>
      <c r="G476" s="2278"/>
      <c r="H476" s="2279">
        <v>28383</v>
      </c>
      <c r="I476" s="6539">
        <v>28383</v>
      </c>
      <c r="J476" s="6539"/>
      <c r="K476" s="2277"/>
      <c r="L476" s="2277"/>
      <c r="M476" s="2280"/>
      <c r="N476" s="2281"/>
      <c r="O476" s="2281"/>
      <c r="P476" s="2277"/>
      <c r="Q476" s="2277"/>
      <c r="R476" s="2279">
        <v>28383</v>
      </c>
      <c r="S476" s="2279">
        <v>28383</v>
      </c>
      <c r="T476" s="2277"/>
    </row>
    <row r="477" spans="1:20" ht="23.25" customHeight="1" outlineLevel="1" x14ac:dyDescent="0.2">
      <c r="A477" s="6538" t="s">
        <v>3234</v>
      </c>
      <c r="B477" s="6538"/>
      <c r="C477" s="2316">
        <v>1492</v>
      </c>
      <c r="D477" s="2276" t="s">
        <v>2533</v>
      </c>
      <c r="E477" s="2277" t="s">
        <v>3235</v>
      </c>
      <c r="F477" s="2278">
        <v>84</v>
      </c>
      <c r="G477" s="2278"/>
      <c r="H477" s="2279">
        <v>84491.53</v>
      </c>
      <c r="I477" s="6539">
        <v>21122.85</v>
      </c>
      <c r="J477" s="6539"/>
      <c r="K477" s="2279">
        <v>63368.68</v>
      </c>
      <c r="L477" s="2277"/>
      <c r="M477" s="2281">
        <v>12070.2</v>
      </c>
      <c r="N477" s="2281">
        <f>M477</f>
        <v>12070.2</v>
      </c>
      <c r="O477" s="2281"/>
      <c r="P477" s="2277"/>
      <c r="Q477" s="2277"/>
      <c r="R477" s="2279">
        <v>84491.53</v>
      </c>
      <c r="S477" s="2279">
        <v>33193.050000000003</v>
      </c>
      <c r="T477" s="2279">
        <v>51298.48</v>
      </c>
    </row>
    <row r="478" spans="1:20" ht="12" customHeight="1" outlineLevel="1" x14ac:dyDescent="0.2">
      <c r="A478" s="6538" t="s">
        <v>3199</v>
      </c>
      <c r="B478" s="6538"/>
      <c r="C478" s="2316">
        <v>1487</v>
      </c>
      <c r="D478" s="2276" t="s">
        <v>3200</v>
      </c>
      <c r="E478" s="2277" t="s">
        <v>3236</v>
      </c>
      <c r="F478" s="2278">
        <v>84</v>
      </c>
      <c r="G478" s="2278"/>
      <c r="H478" s="2279">
        <v>68422.039999999994</v>
      </c>
      <c r="I478" s="6539">
        <v>26065.599999999999</v>
      </c>
      <c r="J478" s="6539"/>
      <c r="K478" s="2279">
        <v>42356.44</v>
      </c>
      <c r="L478" s="2277"/>
      <c r="M478" s="2281">
        <v>9774.6</v>
      </c>
      <c r="N478" s="2281">
        <f>M478</f>
        <v>9774.6</v>
      </c>
      <c r="O478" s="2281"/>
      <c r="P478" s="2277"/>
      <c r="Q478" s="2277"/>
      <c r="R478" s="2279">
        <v>68422.039999999994</v>
      </c>
      <c r="S478" s="2279">
        <v>35840.199999999997</v>
      </c>
      <c r="T478" s="2279">
        <v>32581.84</v>
      </c>
    </row>
    <row r="479" spans="1:20" s="2302" customFormat="1" ht="12.75" customHeight="1" x14ac:dyDescent="0.2">
      <c r="A479" s="6545" t="s">
        <v>3237</v>
      </c>
      <c r="B479" s="6545"/>
      <c r="C479" s="6545"/>
      <c r="D479" s="6545"/>
      <c r="E479" s="6545"/>
      <c r="F479" s="6545"/>
      <c r="G479" s="2299"/>
      <c r="H479" s="2300">
        <v>5473665.2699999996</v>
      </c>
      <c r="I479" s="6546">
        <v>4958414.05</v>
      </c>
      <c r="J479" s="6546"/>
      <c r="K479" s="2300">
        <v>515251.22</v>
      </c>
      <c r="L479" s="2326"/>
      <c r="M479" s="2301">
        <v>153792.14000000001</v>
      </c>
      <c r="N479" s="2301"/>
      <c r="O479" s="2301"/>
      <c r="P479" s="2326"/>
      <c r="Q479" s="2326"/>
      <c r="R479" s="2300">
        <v>5473665.2699999996</v>
      </c>
      <c r="S479" s="2300">
        <v>5112206.1900000004</v>
      </c>
      <c r="T479" s="2300">
        <v>361459.08</v>
      </c>
    </row>
    <row r="480" spans="1:20" ht="23.25" customHeight="1" outlineLevel="1" x14ac:dyDescent="0.2">
      <c r="A480" s="6538" t="s">
        <v>3238</v>
      </c>
      <c r="B480" s="6538"/>
      <c r="C480" s="2275">
        <v>497</v>
      </c>
      <c r="D480" s="2276" t="s">
        <v>3239</v>
      </c>
      <c r="E480" s="2277" t="s">
        <v>3240</v>
      </c>
      <c r="F480" s="2278">
        <v>120</v>
      </c>
      <c r="G480" s="2278"/>
      <c r="H480" s="2279">
        <v>65682</v>
      </c>
      <c r="I480" s="6539">
        <v>65682</v>
      </c>
      <c r="J480" s="6539"/>
      <c r="K480" s="2277"/>
      <c r="L480" s="2277"/>
      <c r="M480" s="2280"/>
      <c r="N480" s="2280"/>
      <c r="O480" s="2280"/>
      <c r="P480" s="2277"/>
      <c r="Q480" s="2277"/>
      <c r="R480" s="2279">
        <v>65682</v>
      </c>
      <c r="S480" s="2279">
        <v>65682</v>
      </c>
      <c r="T480" s="2277"/>
    </row>
    <row r="481" spans="1:20" ht="23.25" customHeight="1" outlineLevel="1" x14ac:dyDescent="0.2">
      <c r="A481" s="6538" t="s">
        <v>3241</v>
      </c>
      <c r="B481" s="6538"/>
      <c r="C481" s="2275">
        <v>495</v>
      </c>
      <c r="D481" s="2276" t="s">
        <v>3242</v>
      </c>
      <c r="E481" s="2277" t="s">
        <v>3243</v>
      </c>
      <c r="F481" s="2278">
        <v>120</v>
      </c>
      <c r="G481" s="2278"/>
      <c r="H481" s="2279">
        <v>70698.649999999994</v>
      </c>
      <c r="I481" s="6539">
        <v>70698.649999999994</v>
      </c>
      <c r="J481" s="6539"/>
      <c r="K481" s="2277"/>
      <c r="L481" s="2277"/>
      <c r="M481" s="2280"/>
      <c r="N481" s="2280"/>
      <c r="O481" s="2280"/>
      <c r="P481" s="2277"/>
      <c r="Q481" s="2277"/>
      <c r="R481" s="2279">
        <v>70698.649999999994</v>
      </c>
      <c r="S481" s="2279">
        <v>70698.649999999994</v>
      </c>
      <c r="T481" s="2277"/>
    </row>
    <row r="482" spans="1:20" ht="12" customHeight="1" outlineLevel="1" x14ac:dyDescent="0.2">
      <c r="A482" s="6538" t="s">
        <v>3244</v>
      </c>
      <c r="B482" s="6538"/>
      <c r="C482" s="2275">
        <v>498</v>
      </c>
      <c r="D482" s="2276" t="s">
        <v>3245</v>
      </c>
      <c r="E482" s="2277" t="s">
        <v>3246</v>
      </c>
      <c r="F482" s="2278">
        <v>120</v>
      </c>
      <c r="G482" s="2278"/>
      <c r="H482" s="2279">
        <v>27600</v>
      </c>
      <c r="I482" s="6539">
        <v>27600</v>
      </c>
      <c r="J482" s="6539"/>
      <c r="K482" s="2277"/>
      <c r="L482" s="2277"/>
      <c r="M482" s="2280"/>
      <c r="N482" s="2280"/>
      <c r="O482" s="2280"/>
      <c r="P482" s="2277"/>
      <c r="Q482" s="2277"/>
      <c r="R482" s="2279">
        <v>27600</v>
      </c>
      <c r="S482" s="2279">
        <v>27600</v>
      </c>
      <c r="T482" s="2277"/>
    </row>
    <row r="483" spans="1:20" s="2274" customFormat="1" ht="23.25" customHeight="1" outlineLevel="1" x14ac:dyDescent="0.2">
      <c r="A483" s="6543" t="s">
        <v>3247</v>
      </c>
      <c r="B483" s="6543"/>
      <c r="C483" s="2327">
        <v>2402</v>
      </c>
      <c r="D483" s="2268" t="s">
        <v>3248</v>
      </c>
      <c r="E483" s="2273" t="s">
        <v>3249</v>
      </c>
      <c r="F483" s="2270">
        <v>84</v>
      </c>
      <c r="G483" s="2270"/>
      <c r="H483" s="2271">
        <v>262006.91</v>
      </c>
      <c r="I483" s="6544">
        <v>224577.36</v>
      </c>
      <c r="J483" s="6544"/>
      <c r="K483" s="2271">
        <v>37429.550000000003</v>
      </c>
      <c r="L483" s="2273"/>
      <c r="M483" s="2271">
        <v>37429.550000000003</v>
      </c>
      <c r="N483" s="2271">
        <f>M483</f>
        <v>37429.550000000003</v>
      </c>
      <c r="O483" s="2271"/>
      <c r="P483" s="2273"/>
      <c r="Q483" s="2273"/>
      <c r="R483" s="2271">
        <v>262006.91</v>
      </c>
      <c r="S483" s="2271">
        <v>262006.91</v>
      </c>
      <c r="T483" s="2273"/>
    </row>
    <row r="484" spans="1:20" ht="12" customHeight="1" outlineLevel="1" x14ac:dyDescent="0.2">
      <c r="A484" s="6538" t="s">
        <v>3250</v>
      </c>
      <c r="B484" s="6538"/>
      <c r="C484" s="2275">
        <v>494</v>
      </c>
      <c r="D484" s="2276" t="s">
        <v>2617</v>
      </c>
      <c r="E484" s="2277" t="s">
        <v>3251</v>
      </c>
      <c r="F484" s="2278">
        <v>84</v>
      </c>
      <c r="G484" s="2278"/>
      <c r="H484" s="2279">
        <v>155480</v>
      </c>
      <c r="I484" s="6539">
        <v>155480</v>
      </c>
      <c r="J484" s="6539"/>
      <c r="K484" s="2277"/>
      <c r="L484" s="2277"/>
      <c r="M484" s="2280"/>
      <c r="N484" s="2280"/>
      <c r="O484" s="2280"/>
      <c r="P484" s="2277"/>
      <c r="Q484" s="2277"/>
      <c r="R484" s="2279">
        <v>155480</v>
      </c>
      <c r="S484" s="2279">
        <v>155480</v>
      </c>
      <c r="T484" s="2277"/>
    </row>
    <row r="485" spans="1:20" s="2274" customFormat="1" ht="23.25" customHeight="1" outlineLevel="1" x14ac:dyDescent="0.2">
      <c r="A485" s="6543" t="s">
        <v>3252</v>
      </c>
      <c r="B485" s="6543"/>
      <c r="C485" s="2267">
        <v>500</v>
      </c>
      <c r="D485" s="2268" t="s">
        <v>3253</v>
      </c>
      <c r="E485" s="2273" t="s">
        <v>3254</v>
      </c>
      <c r="F485" s="2270">
        <v>324</v>
      </c>
      <c r="G485" s="2270"/>
      <c r="H485" s="2271">
        <v>132000</v>
      </c>
      <c r="I485" s="6544">
        <v>96433.8</v>
      </c>
      <c r="J485" s="6544"/>
      <c r="K485" s="2271">
        <v>35566.199999999997</v>
      </c>
      <c r="L485" s="2273"/>
      <c r="M485" s="2271">
        <v>4888.92</v>
      </c>
      <c r="N485" s="2271">
        <f>M485</f>
        <v>4888.92</v>
      </c>
      <c r="O485" s="2271"/>
      <c r="P485" s="2273"/>
      <c r="Q485" s="2273"/>
      <c r="R485" s="2271">
        <v>132000</v>
      </c>
      <c r="S485" s="2271">
        <v>101322.72</v>
      </c>
      <c r="T485" s="2271">
        <v>30677.279999999999</v>
      </c>
    </row>
    <row r="486" spans="1:20" ht="23.25" customHeight="1" outlineLevel="1" x14ac:dyDescent="0.2">
      <c r="A486" s="6538" t="s">
        <v>3255</v>
      </c>
      <c r="B486" s="6538"/>
      <c r="C486" s="2275">
        <v>738</v>
      </c>
      <c r="D486" s="2276" t="s">
        <v>3256</v>
      </c>
      <c r="E486" s="2277" t="s">
        <v>3257</v>
      </c>
      <c r="F486" s="2278">
        <v>120</v>
      </c>
      <c r="G486" s="2278"/>
      <c r="H486" s="2279">
        <v>282267.26</v>
      </c>
      <c r="I486" s="6539">
        <v>282267.26</v>
      </c>
      <c r="J486" s="6539"/>
      <c r="K486" s="2277"/>
      <c r="L486" s="2277"/>
      <c r="M486" s="2280"/>
      <c r="N486" s="2280"/>
      <c r="O486" s="2280"/>
      <c r="P486" s="2277"/>
      <c r="Q486" s="2277"/>
      <c r="R486" s="2279">
        <v>282267.26</v>
      </c>
      <c r="S486" s="2279">
        <v>282267.26</v>
      </c>
      <c r="T486" s="2277"/>
    </row>
    <row r="487" spans="1:20" ht="23.25" customHeight="1" outlineLevel="1" x14ac:dyDescent="0.2">
      <c r="A487" s="6538" t="s">
        <v>3258</v>
      </c>
      <c r="B487" s="6538"/>
      <c r="C487" s="2275">
        <v>504</v>
      </c>
      <c r="D487" s="2276" t="s">
        <v>3259</v>
      </c>
      <c r="E487" s="2277" t="s">
        <v>3260</v>
      </c>
      <c r="F487" s="2278">
        <v>96</v>
      </c>
      <c r="G487" s="2278"/>
      <c r="H487" s="2279">
        <v>290000</v>
      </c>
      <c r="I487" s="6539">
        <v>290000</v>
      </c>
      <c r="J487" s="6539"/>
      <c r="K487" s="2277"/>
      <c r="L487" s="2277"/>
      <c r="M487" s="2280"/>
      <c r="N487" s="2280"/>
      <c r="O487" s="2280"/>
      <c r="P487" s="2277"/>
      <c r="Q487" s="2277"/>
      <c r="R487" s="2279">
        <v>290000</v>
      </c>
      <c r="S487" s="2279">
        <v>290000</v>
      </c>
      <c r="T487" s="2277"/>
    </row>
    <row r="488" spans="1:20" ht="23.25" customHeight="1" outlineLevel="1" x14ac:dyDescent="0.2">
      <c r="A488" s="6538" t="s">
        <v>3261</v>
      </c>
      <c r="B488" s="6538"/>
      <c r="C488" s="2275">
        <v>503</v>
      </c>
      <c r="D488" s="2276" t="s">
        <v>3262</v>
      </c>
      <c r="E488" s="2277" t="s">
        <v>3263</v>
      </c>
      <c r="F488" s="2278">
        <v>96</v>
      </c>
      <c r="G488" s="2278"/>
      <c r="H488" s="2279">
        <v>124798</v>
      </c>
      <c r="I488" s="6539">
        <v>124798</v>
      </c>
      <c r="J488" s="6539"/>
      <c r="K488" s="2277"/>
      <c r="L488" s="2277"/>
      <c r="M488" s="2280"/>
      <c r="N488" s="2280"/>
      <c r="O488" s="2280"/>
      <c r="P488" s="2277"/>
      <c r="Q488" s="2277"/>
      <c r="R488" s="2279">
        <v>124798</v>
      </c>
      <c r="S488" s="2279">
        <v>124798</v>
      </c>
      <c r="T488" s="2277"/>
    </row>
    <row r="489" spans="1:20" ht="23.25" customHeight="1" outlineLevel="1" x14ac:dyDescent="0.2">
      <c r="A489" s="6538" t="s">
        <v>3264</v>
      </c>
      <c r="B489" s="6538"/>
      <c r="C489" s="2275">
        <v>490</v>
      </c>
      <c r="D489" s="2276" t="s">
        <v>3265</v>
      </c>
      <c r="E489" s="2277" t="s">
        <v>3266</v>
      </c>
      <c r="F489" s="2278">
        <v>96</v>
      </c>
      <c r="G489" s="2278"/>
      <c r="H489" s="2279">
        <v>93019</v>
      </c>
      <c r="I489" s="6539">
        <v>93019</v>
      </c>
      <c r="J489" s="6539"/>
      <c r="K489" s="2277"/>
      <c r="L489" s="2277"/>
      <c r="M489" s="2280"/>
      <c r="N489" s="2280"/>
      <c r="O489" s="2280"/>
      <c r="P489" s="2277"/>
      <c r="Q489" s="2277"/>
      <c r="R489" s="2279">
        <v>93019</v>
      </c>
      <c r="S489" s="2279">
        <v>93019</v>
      </c>
      <c r="T489" s="2277"/>
    </row>
    <row r="490" spans="1:20" ht="23.25" customHeight="1" outlineLevel="1" x14ac:dyDescent="0.2">
      <c r="A490" s="6538" t="s">
        <v>3267</v>
      </c>
      <c r="B490" s="6538"/>
      <c r="C490" s="2275">
        <v>502</v>
      </c>
      <c r="D490" s="2276" t="s">
        <v>3262</v>
      </c>
      <c r="E490" s="2277" t="s">
        <v>3268</v>
      </c>
      <c r="F490" s="2278">
        <v>120</v>
      </c>
      <c r="G490" s="2278"/>
      <c r="H490" s="2279">
        <v>16800</v>
      </c>
      <c r="I490" s="6539">
        <v>16800</v>
      </c>
      <c r="J490" s="6539"/>
      <c r="K490" s="2277"/>
      <c r="L490" s="2277"/>
      <c r="M490" s="2280"/>
      <c r="N490" s="2280"/>
      <c r="O490" s="2280"/>
      <c r="P490" s="2277"/>
      <c r="Q490" s="2277"/>
      <c r="R490" s="2279">
        <v>16800</v>
      </c>
      <c r="S490" s="2279">
        <v>16800</v>
      </c>
      <c r="T490" s="2277"/>
    </row>
    <row r="491" spans="1:20" ht="23.25" customHeight="1" outlineLevel="1" x14ac:dyDescent="0.2">
      <c r="A491" s="6538" t="s">
        <v>3269</v>
      </c>
      <c r="B491" s="6538"/>
      <c r="C491" s="2275">
        <v>496</v>
      </c>
      <c r="D491" s="2276" t="s">
        <v>3239</v>
      </c>
      <c r="E491" s="2277" t="s">
        <v>3240</v>
      </c>
      <c r="F491" s="2278">
        <v>120</v>
      </c>
      <c r="G491" s="2278"/>
      <c r="H491" s="2279">
        <v>65682</v>
      </c>
      <c r="I491" s="6539">
        <v>65682</v>
      </c>
      <c r="J491" s="6539"/>
      <c r="K491" s="2277"/>
      <c r="L491" s="2277"/>
      <c r="M491" s="2280"/>
      <c r="N491" s="2280"/>
      <c r="O491" s="2280"/>
      <c r="P491" s="2277"/>
      <c r="Q491" s="2277"/>
      <c r="R491" s="2279">
        <v>65682</v>
      </c>
      <c r="S491" s="2279">
        <v>65682</v>
      </c>
      <c r="T491" s="2277"/>
    </row>
    <row r="492" spans="1:20" ht="23.25" customHeight="1" outlineLevel="1" x14ac:dyDescent="0.2">
      <c r="A492" s="6538" t="s">
        <v>3270</v>
      </c>
      <c r="B492" s="6538"/>
      <c r="C492" s="2282">
        <v>1891</v>
      </c>
      <c r="D492" s="2276" t="s">
        <v>2794</v>
      </c>
      <c r="E492" s="2277" t="s">
        <v>3271</v>
      </c>
      <c r="F492" s="2278">
        <v>60</v>
      </c>
      <c r="G492" s="2278"/>
      <c r="H492" s="2279">
        <v>78389.83</v>
      </c>
      <c r="I492" s="6539">
        <v>78389.83</v>
      </c>
      <c r="J492" s="6539"/>
      <c r="K492" s="2277"/>
      <c r="L492" s="2277"/>
      <c r="M492" s="2280"/>
      <c r="N492" s="2280"/>
      <c r="O492" s="2280"/>
      <c r="P492" s="2277"/>
      <c r="Q492" s="2277"/>
      <c r="R492" s="2279">
        <v>78389.83</v>
      </c>
      <c r="S492" s="2279">
        <v>78389.83</v>
      </c>
      <c r="T492" s="2277"/>
    </row>
    <row r="493" spans="1:20" ht="23.25" customHeight="1" outlineLevel="1" x14ac:dyDescent="0.2">
      <c r="A493" s="6538" t="s">
        <v>3272</v>
      </c>
      <c r="B493" s="6538"/>
      <c r="C493" s="2275">
        <v>596</v>
      </c>
      <c r="D493" s="2276" t="s">
        <v>2846</v>
      </c>
      <c r="E493" s="2277" t="s">
        <v>3273</v>
      </c>
      <c r="F493" s="2278">
        <v>120</v>
      </c>
      <c r="G493" s="2278"/>
      <c r="H493" s="2279">
        <v>115000</v>
      </c>
      <c r="I493" s="6539">
        <v>115000</v>
      </c>
      <c r="J493" s="6539"/>
      <c r="K493" s="2277"/>
      <c r="L493" s="2277"/>
      <c r="M493" s="2280"/>
      <c r="N493" s="2280"/>
      <c r="O493" s="2280"/>
      <c r="P493" s="2277"/>
      <c r="Q493" s="2277"/>
      <c r="R493" s="2279">
        <v>115000</v>
      </c>
      <c r="S493" s="2279">
        <v>115000</v>
      </c>
      <c r="T493" s="2277"/>
    </row>
    <row r="494" spans="1:20" ht="23.25" customHeight="1" outlineLevel="1" x14ac:dyDescent="0.2">
      <c r="A494" s="6538" t="s">
        <v>3274</v>
      </c>
      <c r="B494" s="6538"/>
      <c r="C494" s="2275">
        <v>605</v>
      </c>
      <c r="D494" s="2276" t="s">
        <v>2589</v>
      </c>
      <c r="E494" s="2277" t="s">
        <v>3275</v>
      </c>
      <c r="F494" s="2278">
        <v>120</v>
      </c>
      <c r="G494" s="2278"/>
      <c r="H494" s="2279">
        <v>118000</v>
      </c>
      <c r="I494" s="6539">
        <v>118000</v>
      </c>
      <c r="J494" s="6539"/>
      <c r="K494" s="2277"/>
      <c r="L494" s="2277"/>
      <c r="M494" s="2280"/>
      <c r="N494" s="2280"/>
      <c r="O494" s="2280"/>
      <c r="P494" s="2277"/>
      <c r="Q494" s="2277"/>
      <c r="R494" s="2279">
        <v>118000</v>
      </c>
      <c r="S494" s="2279">
        <v>118000</v>
      </c>
      <c r="T494" s="2277"/>
    </row>
    <row r="495" spans="1:20" ht="23.25" customHeight="1" outlineLevel="1" x14ac:dyDescent="0.2">
      <c r="A495" s="6538" t="s">
        <v>3276</v>
      </c>
      <c r="B495" s="6538"/>
      <c r="C495" s="2282">
        <v>2302</v>
      </c>
      <c r="D495" s="2276" t="s">
        <v>3277</v>
      </c>
      <c r="E495" s="2277" t="s">
        <v>3278</v>
      </c>
      <c r="F495" s="2278">
        <v>84</v>
      </c>
      <c r="G495" s="2278"/>
      <c r="H495" s="2279">
        <v>615517.39</v>
      </c>
      <c r="I495" s="6539">
        <v>615517.39</v>
      </c>
      <c r="J495" s="6539"/>
      <c r="K495" s="2277"/>
      <c r="L495" s="2277"/>
      <c r="M495" s="2280"/>
      <c r="N495" s="2280"/>
      <c r="O495" s="2280"/>
      <c r="P495" s="2277"/>
      <c r="Q495" s="2277"/>
      <c r="R495" s="2279">
        <v>615517.39</v>
      </c>
      <c r="S495" s="2279">
        <v>615517.39</v>
      </c>
      <c r="T495" s="2277"/>
    </row>
    <row r="496" spans="1:20" ht="23.25" customHeight="1" outlineLevel="1" x14ac:dyDescent="0.2">
      <c r="A496" s="6538" t="s">
        <v>3279</v>
      </c>
      <c r="B496" s="6538"/>
      <c r="C496" s="2324">
        <v>1797</v>
      </c>
      <c r="D496" s="2276" t="s">
        <v>2603</v>
      </c>
      <c r="E496" s="2277" t="s">
        <v>3280</v>
      </c>
      <c r="F496" s="2278">
        <v>120</v>
      </c>
      <c r="G496" s="2278"/>
      <c r="H496" s="2279">
        <v>255087.75</v>
      </c>
      <c r="I496" s="6539">
        <v>255087.6</v>
      </c>
      <c r="J496" s="6539"/>
      <c r="K496" s="2322">
        <v>0.15</v>
      </c>
      <c r="L496" s="2277"/>
      <c r="M496" s="2320">
        <v>0.15</v>
      </c>
      <c r="N496" s="2320">
        <f>K496</f>
        <v>0.15</v>
      </c>
      <c r="O496" s="2320"/>
      <c r="P496" s="2277"/>
      <c r="Q496" s="2277"/>
      <c r="R496" s="2279">
        <v>255087.75</v>
      </c>
      <c r="S496" s="2279">
        <v>255087.75</v>
      </c>
      <c r="T496" s="2277"/>
    </row>
    <row r="497" spans="1:20" ht="23.25" customHeight="1" outlineLevel="1" x14ac:dyDescent="0.2">
      <c r="A497" s="6538" t="s">
        <v>3281</v>
      </c>
      <c r="B497" s="6538"/>
      <c r="C497" s="2275">
        <v>622</v>
      </c>
      <c r="D497" s="2276" t="s">
        <v>2589</v>
      </c>
      <c r="E497" s="2277" t="s">
        <v>3282</v>
      </c>
      <c r="F497" s="2278">
        <v>84</v>
      </c>
      <c r="G497" s="2278"/>
      <c r="H497" s="2279">
        <v>38786.53</v>
      </c>
      <c r="I497" s="6539">
        <v>38786.53</v>
      </c>
      <c r="J497" s="6539"/>
      <c r="K497" s="2277"/>
      <c r="L497" s="2277"/>
      <c r="M497" s="2280"/>
      <c r="N497" s="2280"/>
      <c r="O497" s="2280"/>
      <c r="P497" s="2277"/>
      <c r="Q497" s="2277"/>
      <c r="R497" s="2279">
        <v>38786.53</v>
      </c>
      <c r="S497" s="2279">
        <v>38786.53</v>
      </c>
      <c r="T497" s="2277"/>
    </row>
    <row r="498" spans="1:20" ht="23.25" customHeight="1" outlineLevel="1" x14ac:dyDescent="0.2">
      <c r="A498" s="6538" t="s">
        <v>3283</v>
      </c>
      <c r="B498" s="6538"/>
      <c r="C498" s="2275">
        <v>501</v>
      </c>
      <c r="D498" s="2276" t="s">
        <v>2840</v>
      </c>
      <c r="E498" s="2277" t="s">
        <v>3284</v>
      </c>
      <c r="F498" s="2278">
        <v>120</v>
      </c>
      <c r="G498" s="2278"/>
      <c r="H498" s="2279">
        <v>49800</v>
      </c>
      <c r="I498" s="6539">
        <v>49800</v>
      </c>
      <c r="J498" s="6539"/>
      <c r="K498" s="2277"/>
      <c r="L498" s="2277"/>
      <c r="M498" s="2280"/>
      <c r="N498" s="2280"/>
      <c r="O498" s="2280"/>
      <c r="P498" s="2277"/>
      <c r="Q498" s="2277"/>
      <c r="R498" s="2279">
        <v>49800</v>
      </c>
      <c r="S498" s="2279">
        <v>49800</v>
      </c>
      <c r="T498" s="2277"/>
    </row>
    <row r="499" spans="1:20" ht="23.25" customHeight="1" outlineLevel="1" x14ac:dyDescent="0.2">
      <c r="A499" s="6538" t="s">
        <v>3285</v>
      </c>
      <c r="B499" s="6538"/>
      <c r="C499" s="2275">
        <v>569</v>
      </c>
      <c r="D499" s="2276" t="s">
        <v>2887</v>
      </c>
      <c r="E499" s="2277" t="s">
        <v>3286</v>
      </c>
      <c r="F499" s="2278">
        <v>1</v>
      </c>
      <c r="G499" s="2278"/>
      <c r="H499" s="2279">
        <v>2290.65</v>
      </c>
      <c r="I499" s="6539">
        <v>2290.65</v>
      </c>
      <c r="J499" s="6539"/>
      <c r="K499" s="2277"/>
      <c r="L499" s="2277"/>
      <c r="M499" s="2280"/>
      <c r="N499" s="2280"/>
      <c r="O499" s="2280"/>
      <c r="P499" s="2277"/>
      <c r="Q499" s="2277"/>
      <c r="R499" s="2279">
        <v>2290.65</v>
      </c>
      <c r="S499" s="2279">
        <v>2290.65</v>
      </c>
      <c r="T499" s="2277"/>
    </row>
    <row r="500" spans="1:20" ht="12" customHeight="1" outlineLevel="1" x14ac:dyDescent="0.2">
      <c r="A500" s="6538" t="s">
        <v>3287</v>
      </c>
      <c r="B500" s="6538"/>
      <c r="C500" s="2275">
        <v>701</v>
      </c>
      <c r="D500" s="2276" t="s">
        <v>2243</v>
      </c>
      <c r="E500" s="2277" t="s">
        <v>3288</v>
      </c>
      <c r="F500" s="2278">
        <v>12</v>
      </c>
      <c r="G500" s="2278"/>
      <c r="H500" s="2277"/>
      <c r="I500" s="2317"/>
      <c r="J500" s="2318"/>
      <c r="K500" s="2277"/>
      <c r="L500" s="2277"/>
      <c r="M500" s="2280"/>
      <c r="N500" s="2280"/>
      <c r="O500" s="2280"/>
      <c r="P500" s="2277"/>
      <c r="Q500" s="2277"/>
      <c r="R500" s="2277"/>
      <c r="S500" s="2277"/>
      <c r="T500" s="2277"/>
    </row>
    <row r="501" spans="1:20" ht="12" customHeight="1" outlineLevel="1" x14ac:dyDescent="0.2">
      <c r="A501" s="6538" t="s">
        <v>3289</v>
      </c>
      <c r="B501" s="6538"/>
      <c r="C501" s="2275">
        <v>424</v>
      </c>
      <c r="D501" s="2276" t="s">
        <v>3290</v>
      </c>
      <c r="E501" s="2277" t="s">
        <v>3291</v>
      </c>
      <c r="F501" s="2278">
        <v>100</v>
      </c>
      <c r="G501" s="2278"/>
      <c r="H501" s="2279">
        <v>2161</v>
      </c>
      <c r="I501" s="6539">
        <v>2161</v>
      </c>
      <c r="J501" s="6539"/>
      <c r="K501" s="2277"/>
      <c r="L501" s="2277"/>
      <c r="M501" s="2280"/>
      <c r="N501" s="2280"/>
      <c r="O501" s="2280"/>
      <c r="P501" s="2277"/>
      <c r="Q501" s="2277"/>
      <c r="R501" s="2279">
        <v>2161</v>
      </c>
      <c r="S501" s="2279">
        <v>2161</v>
      </c>
      <c r="T501" s="2277"/>
    </row>
    <row r="502" spans="1:20" ht="12" customHeight="1" outlineLevel="1" x14ac:dyDescent="0.2">
      <c r="A502" s="6538" t="s">
        <v>3292</v>
      </c>
      <c r="B502" s="6538"/>
      <c r="C502" s="2275">
        <v>516</v>
      </c>
      <c r="D502" s="2276" t="s">
        <v>2737</v>
      </c>
      <c r="E502" s="2277" t="s">
        <v>3293</v>
      </c>
      <c r="F502" s="2278">
        <v>108</v>
      </c>
      <c r="G502" s="2278"/>
      <c r="H502" s="2279">
        <v>208333</v>
      </c>
      <c r="I502" s="6539">
        <v>208333</v>
      </c>
      <c r="J502" s="6539"/>
      <c r="K502" s="2277"/>
      <c r="L502" s="2277"/>
      <c r="M502" s="2280"/>
      <c r="N502" s="2280"/>
      <c r="O502" s="2280"/>
      <c r="P502" s="2277"/>
      <c r="Q502" s="2277"/>
      <c r="R502" s="2279">
        <v>208333</v>
      </c>
      <c r="S502" s="2279">
        <v>208333</v>
      </c>
      <c r="T502" s="2277"/>
    </row>
    <row r="503" spans="1:20" s="2274" customFormat="1" ht="12" customHeight="1" outlineLevel="1" x14ac:dyDescent="0.2">
      <c r="A503" s="6543" t="s">
        <v>3294</v>
      </c>
      <c r="B503" s="6543"/>
      <c r="C503" s="2312">
        <v>1512</v>
      </c>
      <c r="D503" s="2268" t="s">
        <v>3295</v>
      </c>
      <c r="E503" s="2273" t="s">
        <v>3296</v>
      </c>
      <c r="F503" s="2270">
        <v>60</v>
      </c>
      <c r="G503" s="2270"/>
      <c r="H503" s="2271">
        <v>342850</v>
      </c>
      <c r="I503" s="6544">
        <v>11428.34</v>
      </c>
      <c r="J503" s="6544"/>
      <c r="K503" s="2271">
        <v>331421.65999999997</v>
      </c>
      <c r="L503" s="2273"/>
      <c r="M503" s="2281">
        <v>68570.039999999994</v>
      </c>
      <c r="N503" s="2281">
        <f>M503</f>
        <v>68570.039999999994</v>
      </c>
      <c r="O503" s="2281"/>
      <c r="P503" s="2273"/>
      <c r="Q503" s="2273"/>
      <c r="R503" s="2271">
        <v>342850</v>
      </c>
      <c r="S503" s="2271">
        <v>79998.38</v>
      </c>
      <c r="T503" s="2271">
        <v>262851.62</v>
      </c>
    </row>
    <row r="504" spans="1:20" ht="12" customHeight="1" outlineLevel="1" x14ac:dyDescent="0.2">
      <c r="A504" s="6538" t="s">
        <v>3297</v>
      </c>
      <c r="B504" s="6538"/>
      <c r="C504" s="2275">
        <v>517</v>
      </c>
      <c r="D504" s="2276" t="s">
        <v>3298</v>
      </c>
      <c r="E504" s="2277" t="s">
        <v>3299</v>
      </c>
      <c r="F504" s="2278">
        <v>132</v>
      </c>
      <c r="G504" s="2278"/>
      <c r="H504" s="2279">
        <v>24483</v>
      </c>
      <c r="I504" s="6539">
        <v>24483</v>
      </c>
      <c r="J504" s="6539"/>
      <c r="K504" s="2277"/>
      <c r="L504" s="2277"/>
      <c r="M504" s="2280"/>
      <c r="N504" s="2280"/>
      <c r="O504" s="2280"/>
      <c r="P504" s="2277"/>
      <c r="Q504" s="2277"/>
      <c r="R504" s="2279">
        <v>24483</v>
      </c>
      <c r="S504" s="2279">
        <v>24483</v>
      </c>
      <c r="T504" s="2277"/>
    </row>
    <row r="505" spans="1:20" ht="12" customHeight="1" outlineLevel="1" x14ac:dyDescent="0.2">
      <c r="A505" s="6538" t="s">
        <v>3300</v>
      </c>
      <c r="B505" s="6538"/>
      <c r="C505" s="2275">
        <v>514</v>
      </c>
      <c r="D505" s="2276" t="s">
        <v>3301</v>
      </c>
      <c r="E505" s="2277" t="s">
        <v>3302</v>
      </c>
      <c r="F505" s="2278">
        <v>108</v>
      </c>
      <c r="G505" s="2278"/>
      <c r="H505" s="2279">
        <v>224065.91</v>
      </c>
      <c r="I505" s="6539">
        <v>224065.91</v>
      </c>
      <c r="J505" s="6539"/>
      <c r="K505" s="2277"/>
      <c r="L505" s="2277"/>
      <c r="M505" s="2280"/>
      <c r="N505" s="2280"/>
      <c r="O505" s="2280"/>
      <c r="P505" s="2277"/>
      <c r="Q505" s="2277"/>
      <c r="R505" s="2279">
        <v>224065.91</v>
      </c>
      <c r="S505" s="2279">
        <v>224065.91</v>
      </c>
      <c r="T505" s="2277"/>
    </row>
    <row r="506" spans="1:20" ht="12" customHeight="1" outlineLevel="1" x14ac:dyDescent="0.2">
      <c r="A506" s="6538" t="s">
        <v>3303</v>
      </c>
      <c r="B506" s="6538"/>
      <c r="C506" s="2275">
        <v>2019</v>
      </c>
      <c r="D506" s="2276" t="s">
        <v>2643</v>
      </c>
      <c r="E506" s="2277" t="s">
        <v>3304</v>
      </c>
      <c r="F506" s="2278">
        <v>84</v>
      </c>
      <c r="G506" s="2278"/>
      <c r="H506" s="2279">
        <v>1512542.39</v>
      </c>
      <c r="I506" s="6539">
        <v>1512542.39</v>
      </c>
      <c r="J506" s="6539"/>
      <c r="K506" s="2277"/>
      <c r="L506" s="2277"/>
      <c r="M506" s="2280"/>
      <c r="N506" s="2280"/>
      <c r="O506" s="2280"/>
      <c r="P506" s="2277"/>
      <c r="Q506" s="2277"/>
      <c r="R506" s="2279">
        <v>1512542.39</v>
      </c>
      <c r="S506" s="2279">
        <v>1512542.39</v>
      </c>
      <c r="T506" s="2277"/>
    </row>
    <row r="507" spans="1:20" s="2274" customFormat="1" ht="12" customHeight="1" outlineLevel="1" x14ac:dyDescent="0.2">
      <c r="A507" s="6543" t="s">
        <v>3305</v>
      </c>
      <c r="B507" s="6543"/>
      <c r="C507" s="2327">
        <v>2452</v>
      </c>
      <c r="D507" s="2268" t="s">
        <v>3306</v>
      </c>
      <c r="E507" s="2273" t="s">
        <v>3307</v>
      </c>
      <c r="F507" s="2270">
        <v>84</v>
      </c>
      <c r="G507" s="2270"/>
      <c r="H507" s="2271">
        <v>300324</v>
      </c>
      <c r="I507" s="6544">
        <v>189490.34</v>
      </c>
      <c r="J507" s="6544"/>
      <c r="K507" s="2271">
        <v>110833.66</v>
      </c>
      <c r="L507" s="2273"/>
      <c r="M507" s="2281">
        <v>42903.48</v>
      </c>
      <c r="N507" s="2281">
        <f>M507</f>
        <v>42903.48</v>
      </c>
      <c r="O507" s="2281"/>
      <c r="P507" s="2273"/>
      <c r="Q507" s="2273"/>
      <c r="R507" s="2271">
        <v>300324</v>
      </c>
      <c r="S507" s="2271">
        <v>232393.82</v>
      </c>
      <c r="T507" s="2271">
        <v>67930.179999999993</v>
      </c>
    </row>
    <row r="508" spans="1:20" s="2302" customFormat="1" ht="12.75" customHeight="1" x14ac:dyDescent="0.2">
      <c r="A508" s="6545" t="s">
        <v>3308</v>
      </c>
      <c r="B508" s="6545"/>
      <c r="C508" s="6545"/>
      <c r="D508" s="6545"/>
      <c r="E508" s="6545"/>
      <c r="F508" s="6545"/>
      <c r="G508" s="2299"/>
      <c r="H508" s="2300">
        <v>520980.34</v>
      </c>
      <c r="I508" s="6546">
        <v>518323.3</v>
      </c>
      <c r="J508" s="6546"/>
      <c r="K508" s="2300">
        <v>2657.04</v>
      </c>
      <c r="L508" s="2326"/>
      <c r="M508" s="2301">
        <v>2657.04</v>
      </c>
      <c r="N508" s="2301">
        <f>SUM(N509:N596)</f>
        <v>0</v>
      </c>
      <c r="O508" s="2301"/>
      <c r="P508" s="2300">
        <v>14866.66</v>
      </c>
      <c r="Q508" s="2300">
        <v>14866.66</v>
      </c>
      <c r="R508" s="2300">
        <v>506113.68</v>
      </c>
      <c r="S508" s="2300">
        <v>506113.68</v>
      </c>
      <c r="T508" s="2326"/>
    </row>
    <row r="509" spans="1:20" ht="12" customHeight="1" outlineLevel="1" x14ac:dyDescent="0.2">
      <c r="A509" s="6538" t="s">
        <v>3309</v>
      </c>
      <c r="B509" s="6538"/>
      <c r="C509" s="2275">
        <v>533</v>
      </c>
      <c r="D509" s="2276" t="s">
        <v>3310</v>
      </c>
      <c r="E509" s="2277" t="s">
        <v>3311</v>
      </c>
      <c r="F509" s="2278">
        <v>120</v>
      </c>
      <c r="G509" s="2278"/>
      <c r="H509" s="2279">
        <v>1666.67</v>
      </c>
      <c r="I509" s="6539">
        <v>1666.67</v>
      </c>
      <c r="J509" s="6539"/>
      <c r="K509" s="2277"/>
      <c r="L509" s="2277"/>
      <c r="M509" s="2280"/>
      <c r="N509" s="2280"/>
      <c r="O509" s="2280"/>
      <c r="P509" s="2277"/>
      <c r="Q509" s="2277"/>
      <c r="R509" s="2279">
        <v>1666.67</v>
      </c>
      <c r="S509" s="2279">
        <v>1666.67</v>
      </c>
      <c r="T509" s="2277"/>
    </row>
    <row r="510" spans="1:20" ht="12" customHeight="1" outlineLevel="1" x14ac:dyDescent="0.2">
      <c r="A510" s="6538" t="s">
        <v>3312</v>
      </c>
      <c r="B510" s="6538"/>
      <c r="C510" s="2275">
        <v>402</v>
      </c>
      <c r="D510" s="2276" t="s">
        <v>2753</v>
      </c>
      <c r="E510" s="2277" t="s">
        <v>3313</v>
      </c>
      <c r="F510" s="2278">
        <v>120</v>
      </c>
      <c r="G510" s="2278"/>
      <c r="H510" s="2322">
        <v>741.67</v>
      </c>
      <c r="I510" s="6542">
        <v>741.67</v>
      </c>
      <c r="J510" s="6542"/>
      <c r="K510" s="2277"/>
      <c r="L510" s="2277"/>
      <c r="M510" s="2280"/>
      <c r="N510" s="2280"/>
      <c r="O510" s="2280"/>
      <c r="P510" s="2277"/>
      <c r="Q510" s="2277"/>
      <c r="R510" s="2322">
        <v>741.67</v>
      </c>
      <c r="S510" s="2322">
        <v>741.67</v>
      </c>
      <c r="T510" s="2277"/>
    </row>
    <row r="511" spans="1:20" ht="12" customHeight="1" outlineLevel="1" x14ac:dyDescent="0.2">
      <c r="A511" s="6538" t="s">
        <v>3314</v>
      </c>
      <c r="B511" s="6538"/>
      <c r="C511" s="2275">
        <v>160</v>
      </c>
      <c r="D511" s="2276" t="s">
        <v>2812</v>
      </c>
      <c r="E511" s="2277" t="s">
        <v>3315</v>
      </c>
      <c r="F511" s="2278">
        <v>179</v>
      </c>
      <c r="G511" s="2278"/>
      <c r="H511" s="2279">
        <v>3230</v>
      </c>
      <c r="I511" s="6539">
        <v>3230</v>
      </c>
      <c r="J511" s="6539"/>
      <c r="K511" s="2277"/>
      <c r="L511" s="2277"/>
      <c r="M511" s="2280"/>
      <c r="N511" s="2280"/>
      <c r="O511" s="2280"/>
      <c r="P511" s="2277"/>
      <c r="Q511" s="2277"/>
      <c r="R511" s="2279">
        <v>3230</v>
      </c>
      <c r="S511" s="2279">
        <v>3230</v>
      </c>
      <c r="T511" s="2277"/>
    </row>
    <row r="512" spans="1:20" ht="12" customHeight="1" outlineLevel="1" x14ac:dyDescent="0.2">
      <c r="A512" s="6538" t="s">
        <v>3316</v>
      </c>
      <c r="B512" s="6538"/>
      <c r="C512" s="2275">
        <v>233</v>
      </c>
      <c r="D512" s="2276" t="s">
        <v>2753</v>
      </c>
      <c r="E512" s="2277" t="s">
        <v>3317</v>
      </c>
      <c r="F512" s="2278">
        <v>120</v>
      </c>
      <c r="G512" s="2278"/>
      <c r="H512" s="2279">
        <v>1650</v>
      </c>
      <c r="I512" s="6539">
        <v>1650</v>
      </c>
      <c r="J512" s="6539"/>
      <c r="K512" s="2277"/>
      <c r="L512" s="2277"/>
      <c r="M512" s="2280"/>
      <c r="N512" s="2280"/>
      <c r="O512" s="2280"/>
      <c r="P512" s="2277"/>
      <c r="Q512" s="2277"/>
      <c r="R512" s="2279">
        <v>1650</v>
      </c>
      <c r="S512" s="2279">
        <v>1650</v>
      </c>
      <c r="T512" s="2277"/>
    </row>
    <row r="513" spans="1:20" ht="23.25" customHeight="1" outlineLevel="1" x14ac:dyDescent="0.2">
      <c r="A513" s="6538" t="s">
        <v>3318</v>
      </c>
      <c r="B513" s="6538"/>
      <c r="C513" s="2275">
        <v>98</v>
      </c>
      <c r="D513" s="2276" t="s">
        <v>2192</v>
      </c>
      <c r="E513" s="2277" t="s">
        <v>3319</v>
      </c>
      <c r="F513" s="2278">
        <v>324</v>
      </c>
      <c r="G513" s="2278"/>
      <c r="H513" s="2279">
        <v>2830</v>
      </c>
      <c r="I513" s="6539">
        <v>2830</v>
      </c>
      <c r="J513" s="6539"/>
      <c r="K513" s="2277"/>
      <c r="L513" s="2277"/>
      <c r="M513" s="2280"/>
      <c r="N513" s="2280"/>
      <c r="O513" s="2280"/>
      <c r="P513" s="2277"/>
      <c r="Q513" s="2277"/>
      <c r="R513" s="2279">
        <v>2830</v>
      </c>
      <c r="S513" s="2279">
        <v>2830</v>
      </c>
      <c r="T513" s="2277"/>
    </row>
    <row r="514" spans="1:20" ht="12" customHeight="1" outlineLevel="1" x14ac:dyDescent="0.2">
      <c r="A514" s="6538" t="s">
        <v>3320</v>
      </c>
      <c r="B514" s="6538"/>
      <c r="C514" s="2275">
        <v>583</v>
      </c>
      <c r="D514" s="2276" t="s">
        <v>3321</v>
      </c>
      <c r="E514" s="2277" t="s">
        <v>3322</v>
      </c>
      <c r="F514" s="2278">
        <v>1</v>
      </c>
      <c r="G514" s="2278"/>
      <c r="H514" s="2279">
        <v>7333.33</v>
      </c>
      <c r="I514" s="6539">
        <v>7333.33</v>
      </c>
      <c r="J514" s="6539"/>
      <c r="K514" s="2277"/>
      <c r="L514" s="2277"/>
      <c r="M514" s="2280"/>
      <c r="N514" s="2280"/>
      <c r="O514" s="2280"/>
      <c r="P514" s="2277"/>
      <c r="Q514" s="2277"/>
      <c r="R514" s="2279">
        <v>7333.33</v>
      </c>
      <c r="S514" s="2279">
        <v>7333.33</v>
      </c>
      <c r="T514" s="2277"/>
    </row>
    <row r="515" spans="1:20" ht="12" customHeight="1" outlineLevel="1" x14ac:dyDescent="0.2">
      <c r="A515" s="6538" t="s">
        <v>3323</v>
      </c>
      <c r="B515" s="6538"/>
      <c r="C515" s="2275">
        <v>159</v>
      </c>
      <c r="D515" s="2276" t="s">
        <v>2570</v>
      </c>
      <c r="E515" s="2277" t="s">
        <v>3324</v>
      </c>
      <c r="F515" s="2278">
        <v>120</v>
      </c>
      <c r="G515" s="2278"/>
      <c r="H515" s="2279">
        <v>1125</v>
      </c>
      <c r="I515" s="6539">
        <v>1125</v>
      </c>
      <c r="J515" s="6539"/>
      <c r="K515" s="2277"/>
      <c r="L515" s="2277"/>
      <c r="M515" s="2280"/>
      <c r="N515" s="2280"/>
      <c r="O515" s="2280"/>
      <c r="P515" s="2277"/>
      <c r="Q515" s="2277"/>
      <c r="R515" s="2279">
        <v>1125</v>
      </c>
      <c r="S515" s="2279">
        <v>1125</v>
      </c>
      <c r="T515" s="2277"/>
    </row>
    <row r="516" spans="1:20" ht="12" customHeight="1" outlineLevel="1" x14ac:dyDescent="0.2">
      <c r="A516" s="6538" t="s">
        <v>3325</v>
      </c>
      <c r="B516" s="6538"/>
      <c r="C516" s="2275">
        <v>306</v>
      </c>
      <c r="D516" s="2276" t="s">
        <v>3326</v>
      </c>
      <c r="E516" s="2277" t="s">
        <v>2620</v>
      </c>
      <c r="F516" s="2278">
        <v>120</v>
      </c>
      <c r="G516" s="2278"/>
      <c r="H516" s="2279">
        <v>2500</v>
      </c>
      <c r="I516" s="6539">
        <v>2500</v>
      </c>
      <c r="J516" s="6539"/>
      <c r="K516" s="2277"/>
      <c r="L516" s="2277"/>
      <c r="M516" s="2280"/>
      <c r="N516" s="2280"/>
      <c r="O516" s="2280"/>
      <c r="P516" s="2277"/>
      <c r="Q516" s="2277"/>
      <c r="R516" s="2279">
        <v>2500</v>
      </c>
      <c r="S516" s="2279">
        <v>2500</v>
      </c>
      <c r="T516" s="2277"/>
    </row>
    <row r="517" spans="1:20" ht="12" customHeight="1" outlineLevel="1" x14ac:dyDescent="0.2">
      <c r="A517" s="6538" t="s">
        <v>3327</v>
      </c>
      <c r="B517" s="6538"/>
      <c r="C517" s="2282">
        <v>2019</v>
      </c>
      <c r="D517" s="2276" t="s">
        <v>2674</v>
      </c>
      <c r="E517" s="2277" t="s">
        <v>3328</v>
      </c>
      <c r="F517" s="2278">
        <v>84</v>
      </c>
      <c r="G517" s="2278"/>
      <c r="H517" s="2279">
        <v>11794</v>
      </c>
      <c r="I517" s="6539">
        <v>11794</v>
      </c>
      <c r="J517" s="6539"/>
      <c r="K517" s="2277"/>
      <c r="L517" s="2277"/>
      <c r="M517" s="2280"/>
      <c r="N517" s="2280"/>
      <c r="O517" s="2280"/>
      <c r="P517" s="2277"/>
      <c r="Q517" s="2277"/>
      <c r="R517" s="2279">
        <v>11794</v>
      </c>
      <c r="S517" s="2279">
        <v>11794</v>
      </c>
      <c r="T517" s="2277"/>
    </row>
    <row r="518" spans="1:20" ht="12" customHeight="1" outlineLevel="1" x14ac:dyDescent="0.2">
      <c r="A518" s="6538" t="s">
        <v>3329</v>
      </c>
      <c r="B518" s="6538"/>
      <c r="C518" s="2275">
        <v>519</v>
      </c>
      <c r="D518" s="2276" t="s">
        <v>2972</v>
      </c>
      <c r="E518" s="2277" t="s">
        <v>3330</v>
      </c>
      <c r="F518" s="2278">
        <v>120</v>
      </c>
      <c r="G518" s="2278"/>
      <c r="H518" s="2279">
        <v>2097</v>
      </c>
      <c r="I518" s="6539">
        <v>2097</v>
      </c>
      <c r="J518" s="6539"/>
      <c r="K518" s="2277"/>
      <c r="L518" s="2277"/>
      <c r="M518" s="2280"/>
      <c r="N518" s="2280"/>
      <c r="O518" s="2280"/>
      <c r="P518" s="2277"/>
      <c r="Q518" s="2277"/>
      <c r="R518" s="2279">
        <v>2097</v>
      </c>
      <c r="S518" s="2279">
        <v>2097</v>
      </c>
      <c r="T518" s="2277"/>
    </row>
    <row r="519" spans="1:20" ht="12" customHeight="1" outlineLevel="1" x14ac:dyDescent="0.2">
      <c r="A519" s="6538" t="s">
        <v>3331</v>
      </c>
      <c r="B519" s="6538"/>
      <c r="C519" s="2275">
        <v>558</v>
      </c>
      <c r="D519" s="2276" t="s">
        <v>2753</v>
      </c>
      <c r="E519" s="2277" t="s">
        <v>2620</v>
      </c>
      <c r="F519" s="2278">
        <v>120</v>
      </c>
      <c r="G519" s="2278"/>
      <c r="H519" s="2279">
        <v>2500</v>
      </c>
      <c r="I519" s="6539">
        <v>2500</v>
      </c>
      <c r="J519" s="6539"/>
      <c r="K519" s="2277"/>
      <c r="L519" s="2277"/>
      <c r="M519" s="2280"/>
      <c r="N519" s="2280"/>
      <c r="O519" s="2280"/>
      <c r="P519" s="2277"/>
      <c r="Q519" s="2277"/>
      <c r="R519" s="2279">
        <v>2500</v>
      </c>
      <c r="S519" s="2279">
        <v>2500</v>
      </c>
      <c r="T519" s="2277"/>
    </row>
    <row r="520" spans="1:20" ht="12" customHeight="1" outlineLevel="1" x14ac:dyDescent="0.2">
      <c r="A520" s="6538" t="s">
        <v>3332</v>
      </c>
      <c r="B520" s="6538"/>
      <c r="C520" s="2275">
        <v>236</v>
      </c>
      <c r="D520" s="2276" t="s">
        <v>2721</v>
      </c>
      <c r="E520" s="2277" t="s">
        <v>3333</v>
      </c>
      <c r="F520" s="2278">
        <v>120</v>
      </c>
      <c r="G520" s="2278"/>
      <c r="H520" s="2279">
        <v>6233.33</v>
      </c>
      <c r="I520" s="6539">
        <v>6233.33</v>
      </c>
      <c r="J520" s="6539"/>
      <c r="K520" s="2277"/>
      <c r="L520" s="2277"/>
      <c r="M520" s="2280"/>
      <c r="N520" s="2280"/>
      <c r="O520" s="2280"/>
      <c r="P520" s="2279">
        <v>6233.33</v>
      </c>
      <c r="Q520" s="2279">
        <v>6233.33</v>
      </c>
      <c r="R520" s="2277"/>
      <c r="S520" s="2277"/>
      <c r="T520" s="2277"/>
    </row>
    <row r="521" spans="1:20" ht="12" customHeight="1" outlineLevel="1" x14ac:dyDescent="0.2">
      <c r="A521" s="6538" t="s">
        <v>3334</v>
      </c>
      <c r="B521" s="6538"/>
      <c r="C521" s="2282">
        <v>1817</v>
      </c>
      <c r="D521" s="2276" t="s">
        <v>3335</v>
      </c>
      <c r="E521" s="2277" t="s">
        <v>3336</v>
      </c>
      <c r="F521" s="2278">
        <v>84</v>
      </c>
      <c r="G521" s="2278"/>
      <c r="H521" s="2279">
        <v>10400</v>
      </c>
      <c r="I521" s="6539">
        <v>10400</v>
      </c>
      <c r="J521" s="6539"/>
      <c r="K521" s="2277"/>
      <c r="L521" s="2277"/>
      <c r="M521" s="2280"/>
      <c r="N521" s="2280"/>
      <c r="O521" s="2280"/>
      <c r="P521" s="2277"/>
      <c r="Q521" s="2277"/>
      <c r="R521" s="2279">
        <v>10400</v>
      </c>
      <c r="S521" s="2279">
        <v>10400</v>
      </c>
      <c r="T521" s="2277"/>
    </row>
    <row r="522" spans="1:20" ht="12" customHeight="1" outlineLevel="1" x14ac:dyDescent="0.2">
      <c r="A522" s="6538" t="s">
        <v>3337</v>
      </c>
      <c r="B522" s="6538"/>
      <c r="C522" s="2275">
        <v>521</v>
      </c>
      <c r="D522" s="2276" t="s">
        <v>2288</v>
      </c>
      <c r="E522" s="2277" t="s">
        <v>3338</v>
      </c>
      <c r="F522" s="2278">
        <v>120</v>
      </c>
      <c r="G522" s="2278"/>
      <c r="H522" s="2279">
        <v>18706</v>
      </c>
      <c r="I522" s="6539">
        <v>18706</v>
      </c>
      <c r="J522" s="6539"/>
      <c r="K522" s="2277"/>
      <c r="L522" s="2277"/>
      <c r="M522" s="2280"/>
      <c r="N522" s="2280"/>
      <c r="O522" s="2280"/>
      <c r="P522" s="2277"/>
      <c r="Q522" s="2277"/>
      <c r="R522" s="2279">
        <v>18706</v>
      </c>
      <c r="S522" s="2279">
        <v>18706</v>
      </c>
      <c r="T522" s="2277"/>
    </row>
    <row r="523" spans="1:20" ht="12" customHeight="1" outlineLevel="1" x14ac:dyDescent="0.2">
      <c r="A523" s="6538" t="s">
        <v>3339</v>
      </c>
      <c r="B523" s="6538"/>
      <c r="C523" s="2275">
        <v>559</v>
      </c>
      <c r="D523" s="2276" t="s">
        <v>2753</v>
      </c>
      <c r="E523" s="2277" t="s">
        <v>3340</v>
      </c>
      <c r="F523" s="2278">
        <v>120</v>
      </c>
      <c r="G523" s="2278"/>
      <c r="H523" s="2279">
        <v>3633.33</v>
      </c>
      <c r="I523" s="6539">
        <v>3633.33</v>
      </c>
      <c r="J523" s="6539"/>
      <c r="K523" s="2277"/>
      <c r="L523" s="2277"/>
      <c r="M523" s="2280"/>
      <c r="N523" s="2280"/>
      <c r="O523" s="2280"/>
      <c r="P523" s="2277"/>
      <c r="Q523" s="2277"/>
      <c r="R523" s="2279">
        <v>3633.33</v>
      </c>
      <c r="S523" s="2279">
        <v>3633.33</v>
      </c>
      <c r="T523" s="2277"/>
    </row>
    <row r="524" spans="1:20" ht="12" customHeight="1" outlineLevel="1" x14ac:dyDescent="0.2">
      <c r="A524" s="6538" t="s">
        <v>3341</v>
      </c>
      <c r="B524" s="6538"/>
      <c r="C524" s="2275">
        <v>562</v>
      </c>
      <c r="D524" s="2276" t="s">
        <v>2570</v>
      </c>
      <c r="E524" s="2277" t="s">
        <v>3342</v>
      </c>
      <c r="F524" s="2278">
        <v>120</v>
      </c>
      <c r="G524" s="2278"/>
      <c r="H524" s="2322">
        <v>400</v>
      </c>
      <c r="I524" s="6542">
        <v>400</v>
      </c>
      <c r="J524" s="6542"/>
      <c r="K524" s="2277"/>
      <c r="L524" s="2277"/>
      <c r="M524" s="2280"/>
      <c r="N524" s="2280"/>
      <c r="O524" s="2280"/>
      <c r="P524" s="2277"/>
      <c r="Q524" s="2277"/>
      <c r="R524" s="2322">
        <v>400</v>
      </c>
      <c r="S524" s="2322">
        <v>400</v>
      </c>
      <c r="T524" s="2277"/>
    </row>
    <row r="525" spans="1:20" ht="12" customHeight="1" outlineLevel="1" x14ac:dyDescent="0.2">
      <c r="A525" s="6538" t="s">
        <v>3343</v>
      </c>
      <c r="B525" s="6538"/>
      <c r="C525" s="2275">
        <v>184</v>
      </c>
      <c r="D525" s="2276" t="s">
        <v>2570</v>
      </c>
      <c r="E525" s="2277" t="s">
        <v>3311</v>
      </c>
      <c r="F525" s="2278">
        <v>185</v>
      </c>
      <c r="G525" s="2278"/>
      <c r="H525" s="2279">
        <v>1666.67</v>
      </c>
      <c r="I525" s="6539">
        <v>1666.67</v>
      </c>
      <c r="J525" s="6539"/>
      <c r="K525" s="2277"/>
      <c r="L525" s="2277"/>
      <c r="M525" s="2280"/>
      <c r="N525" s="2280"/>
      <c r="O525" s="2280"/>
      <c r="P525" s="2277"/>
      <c r="Q525" s="2277"/>
      <c r="R525" s="2279">
        <v>1666.67</v>
      </c>
      <c r="S525" s="2279">
        <v>1666.67</v>
      </c>
      <c r="T525" s="2277"/>
    </row>
    <row r="526" spans="1:20" ht="12" customHeight="1" outlineLevel="1" x14ac:dyDescent="0.2">
      <c r="A526" s="6538" t="s">
        <v>3344</v>
      </c>
      <c r="B526" s="6538"/>
      <c r="C526" s="2275">
        <v>246</v>
      </c>
      <c r="D526" s="2276" t="s">
        <v>2753</v>
      </c>
      <c r="E526" s="2277" t="s">
        <v>3345</v>
      </c>
      <c r="F526" s="2278">
        <v>120</v>
      </c>
      <c r="G526" s="2278"/>
      <c r="H526" s="2279">
        <v>16961.349999999999</v>
      </c>
      <c r="I526" s="6539">
        <v>16961.349999999999</v>
      </c>
      <c r="J526" s="6539"/>
      <c r="K526" s="2277"/>
      <c r="L526" s="2277"/>
      <c r="M526" s="2280"/>
      <c r="N526" s="2280"/>
      <c r="O526" s="2280"/>
      <c r="P526" s="2277"/>
      <c r="Q526" s="2277"/>
      <c r="R526" s="2279">
        <v>16961.349999999999</v>
      </c>
      <c r="S526" s="2279">
        <v>16961.349999999999</v>
      </c>
      <c r="T526" s="2277"/>
    </row>
    <row r="527" spans="1:20" ht="12" customHeight="1" outlineLevel="1" x14ac:dyDescent="0.2">
      <c r="A527" s="6538" t="s">
        <v>3346</v>
      </c>
      <c r="B527" s="6538"/>
      <c r="C527" s="2275">
        <v>532</v>
      </c>
      <c r="D527" s="2276" t="s">
        <v>3347</v>
      </c>
      <c r="E527" s="2277" t="s">
        <v>3348</v>
      </c>
      <c r="F527" s="2278">
        <v>120</v>
      </c>
      <c r="G527" s="2278"/>
      <c r="H527" s="2322">
        <v>491.67</v>
      </c>
      <c r="I527" s="6542">
        <v>491.67</v>
      </c>
      <c r="J527" s="6542"/>
      <c r="K527" s="2277"/>
      <c r="L527" s="2277"/>
      <c r="M527" s="2280"/>
      <c r="N527" s="2280"/>
      <c r="O527" s="2280"/>
      <c r="P527" s="2277"/>
      <c r="Q527" s="2277"/>
      <c r="R527" s="2322">
        <v>491.67</v>
      </c>
      <c r="S527" s="2322">
        <v>491.67</v>
      </c>
      <c r="T527" s="2277"/>
    </row>
    <row r="528" spans="1:20" ht="12" customHeight="1" outlineLevel="1" x14ac:dyDescent="0.2">
      <c r="A528" s="6538" t="s">
        <v>3349</v>
      </c>
      <c r="B528" s="6538"/>
      <c r="C528" s="2275">
        <v>240</v>
      </c>
      <c r="D528" s="2276" t="s">
        <v>2753</v>
      </c>
      <c r="E528" s="2277" t="s">
        <v>3350</v>
      </c>
      <c r="F528" s="2278">
        <v>120</v>
      </c>
      <c r="G528" s="2278"/>
      <c r="H528" s="2279">
        <v>15416.67</v>
      </c>
      <c r="I528" s="6539">
        <v>15416.67</v>
      </c>
      <c r="J528" s="6539"/>
      <c r="K528" s="2277"/>
      <c r="L528" s="2277"/>
      <c r="M528" s="2280"/>
      <c r="N528" s="2280"/>
      <c r="O528" s="2280"/>
      <c r="P528" s="2277"/>
      <c r="Q528" s="2277"/>
      <c r="R528" s="2279">
        <v>15416.67</v>
      </c>
      <c r="S528" s="2279">
        <v>15416.67</v>
      </c>
      <c r="T528" s="2277"/>
    </row>
    <row r="529" spans="1:20" ht="12" customHeight="1" outlineLevel="1" x14ac:dyDescent="0.2">
      <c r="A529" s="6538" t="s">
        <v>3343</v>
      </c>
      <c r="B529" s="6538"/>
      <c r="C529" s="2275">
        <v>295</v>
      </c>
      <c r="D529" s="2276" t="s">
        <v>2570</v>
      </c>
      <c r="E529" s="2277" t="s">
        <v>3351</v>
      </c>
      <c r="F529" s="2278">
        <v>185</v>
      </c>
      <c r="G529" s="2278"/>
      <c r="H529" s="2322">
        <v>833.33</v>
      </c>
      <c r="I529" s="6542">
        <v>833.33</v>
      </c>
      <c r="J529" s="6542"/>
      <c r="K529" s="2277"/>
      <c r="L529" s="2277"/>
      <c r="M529" s="2280"/>
      <c r="N529" s="2280"/>
      <c r="O529" s="2280"/>
      <c r="P529" s="2277"/>
      <c r="Q529" s="2277"/>
      <c r="R529" s="2322">
        <v>833.33</v>
      </c>
      <c r="S529" s="2322">
        <v>833.33</v>
      </c>
      <c r="T529" s="2277"/>
    </row>
    <row r="530" spans="1:20" ht="12" customHeight="1" outlineLevel="1" x14ac:dyDescent="0.2">
      <c r="A530" s="6538" t="s">
        <v>3352</v>
      </c>
      <c r="B530" s="6538"/>
      <c r="C530" s="2275">
        <v>401</v>
      </c>
      <c r="D530" s="2276" t="s">
        <v>2288</v>
      </c>
      <c r="E530" s="2277" t="s">
        <v>3353</v>
      </c>
      <c r="F530" s="2278">
        <v>120</v>
      </c>
      <c r="G530" s="2278"/>
      <c r="H530" s="2279">
        <v>4680</v>
      </c>
      <c r="I530" s="6539">
        <v>4680</v>
      </c>
      <c r="J530" s="6539"/>
      <c r="K530" s="2277"/>
      <c r="L530" s="2277"/>
      <c r="M530" s="2280"/>
      <c r="N530" s="2280"/>
      <c r="O530" s="2280"/>
      <c r="P530" s="2277"/>
      <c r="Q530" s="2277"/>
      <c r="R530" s="2279">
        <v>4680</v>
      </c>
      <c r="S530" s="2279">
        <v>4680</v>
      </c>
      <c r="T530" s="2277"/>
    </row>
    <row r="531" spans="1:20" ht="12" customHeight="1" outlineLevel="1" x14ac:dyDescent="0.2">
      <c r="A531" s="6538" t="s">
        <v>3354</v>
      </c>
      <c r="B531" s="6538"/>
      <c r="C531" s="2275">
        <v>742</v>
      </c>
      <c r="D531" s="2276" t="s">
        <v>2680</v>
      </c>
      <c r="E531" s="2277" t="s">
        <v>3355</v>
      </c>
      <c r="F531" s="2278">
        <v>84</v>
      </c>
      <c r="G531" s="2278"/>
      <c r="H531" s="2322">
        <v>864</v>
      </c>
      <c r="I531" s="6542">
        <v>864</v>
      </c>
      <c r="J531" s="6542"/>
      <c r="K531" s="2277"/>
      <c r="L531" s="2277"/>
      <c r="M531" s="2280"/>
      <c r="N531" s="2280"/>
      <c r="O531" s="2280"/>
      <c r="P531" s="2277"/>
      <c r="Q531" s="2277"/>
      <c r="R531" s="2322">
        <v>864</v>
      </c>
      <c r="S531" s="2322">
        <v>864</v>
      </c>
      <c r="T531" s="2277"/>
    </row>
    <row r="532" spans="1:20" ht="12" customHeight="1" outlineLevel="1" x14ac:dyDescent="0.2">
      <c r="A532" s="6538" t="s">
        <v>3354</v>
      </c>
      <c r="B532" s="6538"/>
      <c r="C532" s="2275">
        <v>257</v>
      </c>
      <c r="D532" s="2276" t="s">
        <v>2753</v>
      </c>
      <c r="E532" s="2277" t="s">
        <v>3356</v>
      </c>
      <c r="F532" s="2278">
        <v>120</v>
      </c>
      <c r="G532" s="2278"/>
      <c r="H532" s="2279">
        <v>12960</v>
      </c>
      <c r="I532" s="6539">
        <v>12960</v>
      </c>
      <c r="J532" s="6539"/>
      <c r="K532" s="2277"/>
      <c r="L532" s="2277"/>
      <c r="M532" s="2280"/>
      <c r="N532" s="2280"/>
      <c r="O532" s="2280"/>
      <c r="P532" s="2277"/>
      <c r="Q532" s="2277"/>
      <c r="R532" s="2279">
        <v>12960</v>
      </c>
      <c r="S532" s="2279">
        <v>12960</v>
      </c>
      <c r="T532" s="2277"/>
    </row>
    <row r="533" spans="1:20" ht="12" customHeight="1" outlineLevel="1" x14ac:dyDescent="0.2">
      <c r="A533" s="6538" t="s">
        <v>3357</v>
      </c>
      <c r="B533" s="6538"/>
      <c r="C533" s="2275">
        <v>560</v>
      </c>
      <c r="D533" s="2276" t="s">
        <v>2753</v>
      </c>
      <c r="E533" s="2277" t="s">
        <v>3358</v>
      </c>
      <c r="F533" s="2278">
        <v>120</v>
      </c>
      <c r="G533" s="2278"/>
      <c r="H533" s="2279">
        <v>1500</v>
      </c>
      <c r="I533" s="6539">
        <v>1500</v>
      </c>
      <c r="J533" s="6539"/>
      <c r="K533" s="2277"/>
      <c r="L533" s="2277"/>
      <c r="M533" s="2280"/>
      <c r="N533" s="2280"/>
      <c r="O533" s="2280"/>
      <c r="P533" s="2277"/>
      <c r="Q533" s="2277"/>
      <c r="R533" s="2279">
        <v>1500</v>
      </c>
      <c r="S533" s="2279">
        <v>1500</v>
      </c>
      <c r="T533" s="2277"/>
    </row>
    <row r="534" spans="1:20" s="2274" customFormat="1" ht="12" customHeight="1" outlineLevel="1" x14ac:dyDescent="0.2">
      <c r="A534" s="6543" t="s">
        <v>3359</v>
      </c>
      <c r="B534" s="6543"/>
      <c r="C534" s="2327">
        <v>2403</v>
      </c>
      <c r="D534" s="2268" t="s">
        <v>3248</v>
      </c>
      <c r="E534" s="2273" t="s">
        <v>3360</v>
      </c>
      <c r="F534" s="2270">
        <v>84</v>
      </c>
      <c r="G534" s="2270"/>
      <c r="H534" s="2271">
        <v>18600</v>
      </c>
      <c r="I534" s="6544">
        <v>15942.96</v>
      </c>
      <c r="J534" s="6544"/>
      <c r="K534" s="2271">
        <v>2657.04</v>
      </c>
      <c r="L534" s="2273"/>
      <c r="M534" s="2281">
        <v>2657.04</v>
      </c>
      <c r="N534" s="2281">
        <v>0</v>
      </c>
      <c r="O534" s="2281"/>
      <c r="P534" s="2273"/>
      <c r="Q534" s="2273"/>
      <c r="R534" s="2271">
        <v>18600</v>
      </c>
      <c r="S534" s="2271">
        <v>18600</v>
      </c>
      <c r="T534" s="2273"/>
    </row>
    <row r="535" spans="1:20" ht="12" customHeight="1" outlineLevel="1" x14ac:dyDescent="0.2">
      <c r="A535" s="6538" t="s">
        <v>3361</v>
      </c>
      <c r="B535" s="6538"/>
      <c r="C535" s="2275">
        <v>228</v>
      </c>
      <c r="D535" s="2276" t="s">
        <v>2570</v>
      </c>
      <c r="E535" s="2277" t="s">
        <v>3362</v>
      </c>
      <c r="F535" s="2278">
        <v>120</v>
      </c>
      <c r="G535" s="2278"/>
      <c r="H535" s="2322">
        <v>358.33</v>
      </c>
      <c r="I535" s="6542">
        <v>358.33</v>
      </c>
      <c r="J535" s="6542"/>
      <c r="K535" s="2277"/>
      <c r="L535" s="2277"/>
      <c r="M535" s="2280"/>
      <c r="N535" s="2280"/>
      <c r="O535" s="2280"/>
      <c r="P535" s="2277"/>
      <c r="Q535" s="2277"/>
      <c r="R535" s="2322">
        <v>358.33</v>
      </c>
      <c r="S535" s="2322">
        <v>358.33</v>
      </c>
      <c r="T535" s="2277"/>
    </row>
    <row r="536" spans="1:20" ht="23.25" customHeight="1" outlineLevel="1" x14ac:dyDescent="0.2">
      <c r="A536" s="6538" t="s">
        <v>3363</v>
      </c>
      <c r="B536" s="6538"/>
      <c r="C536" s="2275">
        <v>611</v>
      </c>
      <c r="D536" s="2276" t="s">
        <v>3364</v>
      </c>
      <c r="E536" s="2277" t="s">
        <v>3365</v>
      </c>
      <c r="F536" s="2278">
        <v>12</v>
      </c>
      <c r="G536" s="2278"/>
      <c r="H536" s="2279">
        <v>6666.67</v>
      </c>
      <c r="I536" s="6539">
        <v>6666.67</v>
      </c>
      <c r="J536" s="6539"/>
      <c r="K536" s="2277"/>
      <c r="L536" s="2277"/>
      <c r="M536" s="2280"/>
      <c r="N536" s="2280"/>
      <c r="O536" s="2280"/>
      <c r="P536" s="2277"/>
      <c r="Q536" s="2277"/>
      <c r="R536" s="2279">
        <v>6666.67</v>
      </c>
      <c r="S536" s="2279">
        <v>6666.67</v>
      </c>
      <c r="T536" s="2277"/>
    </row>
    <row r="537" spans="1:20" ht="12" customHeight="1" outlineLevel="1" x14ac:dyDescent="0.2">
      <c r="A537" s="6538" t="s">
        <v>3366</v>
      </c>
      <c r="B537" s="6538"/>
      <c r="C537" s="2275">
        <v>251</v>
      </c>
      <c r="D537" s="2276" t="s">
        <v>2778</v>
      </c>
      <c r="E537" s="2277" t="s">
        <v>3367</v>
      </c>
      <c r="F537" s="2278">
        <v>132</v>
      </c>
      <c r="G537" s="2278"/>
      <c r="H537" s="2279">
        <v>10875</v>
      </c>
      <c r="I537" s="6539">
        <v>10875</v>
      </c>
      <c r="J537" s="6539"/>
      <c r="K537" s="2277"/>
      <c r="L537" s="2277"/>
      <c r="M537" s="2280"/>
      <c r="N537" s="2280"/>
      <c r="O537" s="2280"/>
      <c r="P537" s="2277"/>
      <c r="Q537" s="2277"/>
      <c r="R537" s="2279">
        <v>10875</v>
      </c>
      <c r="S537" s="2279">
        <v>10875</v>
      </c>
      <c r="T537" s="2277"/>
    </row>
    <row r="538" spans="1:20" ht="12" customHeight="1" outlineLevel="1" x14ac:dyDescent="0.2">
      <c r="A538" s="6538" t="s">
        <v>3368</v>
      </c>
      <c r="B538" s="6538"/>
      <c r="C538" s="2275">
        <v>681</v>
      </c>
      <c r="D538" s="2276" t="s">
        <v>2671</v>
      </c>
      <c r="E538" s="2277" t="s">
        <v>3369</v>
      </c>
      <c r="F538" s="2278">
        <v>84</v>
      </c>
      <c r="G538" s="2278"/>
      <c r="H538" s="2279">
        <v>35165.089999999997</v>
      </c>
      <c r="I538" s="6539">
        <v>35165.089999999997</v>
      </c>
      <c r="J538" s="6539"/>
      <c r="K538" s="2277"/>
      <c r="L538" s="2277"/>
      <c r="M538" s="2280"/>
      <c r="N538" s="2280"/>
      <c r="O538" s="2280"/>
      <c r="P538" s="2277"/>
      <c r="Q538" s="2277"/>
      <c r="R538" s="2279">
        <v>35165.089999999997</v>
      </c>
      <c r="S538" s="2279">
        <v>35165.089999999997</v>
      </c>
      <c r="T538" s="2277"/>
    </row>
    <row r="539" spans="1:20" ht="12" customHeight="1" outlineLevel="1" x14ac:dyDescent="0.2">
      <c r="A539" s="6538" t="s">
        <v>3370</v>
      </c>
      <c r="B539" s="6538"/>
      <c r="C539" s="2275">
        <v>535</v>
      </c>
      <c r="D539" s="2276" t="s">
        <v>3310</v>
      </c>
      <c r="E539" s="2277" t="s">
        <v>3371</v>
      </c>
      <c r="F539" s="2278">
        <v>120</v>
      </c>
      <c r="G539" s="2278"/>
      <c r="H539" s="2279">
        <v>43750</v>
      </c>
      <c r="I539" s="6539">
        <v>43750</v>
      </c>
      <c r="J539" s="6539"/>
      <c r="K539" s="2277"/>
      <c r="L539" s="2277"/>
      <c r="M539" s="2280"/>
      <c r="N539" s="2280"/>
      <c r="O539" s="2280"/>
      <c r="P539" s="2277"/>
      <c r="Q539" s="2277"/>
      <c r="R539" s="2279">
        <v>43750</v>
      </c>
      <c r="S539" s="2279">
        <v>43750</v>
      </c>
      <c r="T539" s="2277"/>
    </row>
    <row r="540" spans="1:20" ht="12" customHeight="1" outlineLevel="1" x14ac:dyDescent="0.2">
      <c r="A540" s="6538" t="s">
        <v>3372</v>
      </c>
      <c r="B540" s="6538"/>
      <c r="C540" s="2275">
        <v>637</v>
      </c>
      <c r="D540" s="2276" t="s">
        <v>2589</v>
      </c>
      <c r="E540" s="2277" t="s">
        <v>3220</v>
      </c>
      <c r="F540" s="2278">
        <v>12</v>
      </c>
      <c r="G540" s="2278"/>
      <c r="H540" s="2279">
        <v>6000</v>
      </c>
      <c r="I540" s="6539">
        <v>6000</v>
      </c>
      <c r="J540" s="6539"/>
      <c r="K540" s="2277"/>
      <c r="L540" s="2277"/>
      <c r="M540" s="2280"/>
      <c r="N540" s="2280"/>
      <c r="O540" s="2280"/>
      <c r="P540" s="2277"/>
      <c r="Q540" s="2277"/>
      <c r="R540" s="2279">
        <v>6000</v>
      </c>
      <c r="S540" s="2279">
        <v>6000</v>
      </c>
      <c r="T540" s="2277"/>
    </row>
    <row r="541" spans="1:20" ht="12" customHeight="1" outlineLevel="1" x14ac:dyDescent="0.2">
      <c r="A541" s="6538" t="s">
        <v>3373</v>
      </c>
      <c r="B541" s="6538"/>
      <c r="C541" s="2275">
        <v>697</v>
      </c>
      <c r="D541" s="2276" t="s">
        <v>3374</v>
      </c>
      <c r="E541" s="2277" t="s">
        <v>3375</v>
      </c>
      <c r="F541" s="2278">
        <v>84</v>
      </c>
      <c r="G541" s="2278"/>
      <c r="H541" s="2279">
        <v>5333.33</v>
      </c>
      <c r="I541" s="6539">
        <v>5333.33</v>
      </c>
      <c r="J541" s="6539"/>
      <c r="K541" s="2277"/>
      <c r="L541" s="2277"/>
      <c r="M541" s="2280"/>
      <c r="N541" s="2280"/>
      <c r="O541" s="2280"/>
      <c r="P541" s="2279">
        <v>5333.33</v>
      </c>
      <c r="Q541" s="2279">
        <v>5333.33</v>
      </c>
      <c r="R541" s="2277"/>
      <c r="S541" s="2277"/>
      <c r="T541" s="2277"/>
    </row>
    <row r="542" spans="1:20" ht="12" customHeight="1" outlineLevel="1" x14ac:dyDescent="0.2">
      <c r="A542" s="6538" t="s">
        <v>3376</v>
      </c>
      <c r="B542" s="6538"/>
      <c r="C542" s="2275">
        <v>563</v>
      </c>
      <c r="D542" s="2276" t="s">
        <v>2719</v>
      </c>
      <c r="E542" s="2277" t="s">
        <v>3377</v>
      </c>
      <c r="F542" s="2278">
        <v>120</v>
      </c>
      <c r="G542" s="2278"/>
      <c r="H542" s="2322">
        <v>750</v>
      </c>
      <c r="I542" s="6542">
        <v>750</v>
      </c>
      <c r="J542" s="6542"/>
      <c r="K542" s="2277"/>
      <c r="L542" s="2277"/>
      <c r="M542" s="2280"/>
      <c r="N542" s="2280"/>
      <c r="O542" s="2280"/>
      <c r="P542" s="2277"/>
      <c r="Q542" s="2277"/>
      <c r="R542" s="2322">
        <v>750</v>
      </c>
      <c r="S542" s="2322">
        <v>750</v>
      </c>
      <c r="T542" s="2277"/>
    </row>
    <row r="543" spans="1:20" ht="12" customHeight="1" outlineLevel="1" x14ac:dyDescent="0.2">
      <c r="A543" s="6538" t="s">
        <v>3372</v>
      </c>
      <c r="B543" s="6538"/>
      <c r="C543" s="2275">
        <v>631</v>
      </c>
      <c r="D543" s="2276" t="s">
        <v>2589</v>
      </c>
      <c r="E543" s="2277" t="s">
        <v>3220</v>
      </c>
      <c r="F543" s="2278">
        <v>12</v>
      </c>
      <c r="G543" s="2278"/>
      <c r="H543" s="2279">
        <v>3000</v>
      </c>
      <c r="I543" s="6539">
        <v>3000</v>
      </c>
      <c r="J543" s="6539"/>
      <c r="K543" s="2277"/>
      <c r="L543" s="2277"/>
      <c r="M543" s="2280"/>
      <c r="N543" s="2280"/>
      <c r="O543" s="2280"/>
      <c r="P543" s="2277"/>
      <c r="Q543" s="2277"/>
      <c r="R543" s="2279">
        <v>3000</v>
      </c>
      <c r="S543" s="2279">
        <v>3000</v>
      </c>
      <c r="T543" s="2277"/>
    </row>
    <row r="544" spans="1:20" ht="12" customHeight="1" outlineLevel="1" x14ac:dyDescent="0.2">
      <c r="A544" s="6538" t="s">
        <v>3378</v>
      </c>
      <c r="B544" s="6538"/>
      <c r="C544" s="2282">
        <v>2022</v>
      </c>
      <c r="D544" s="2276" t="s">
        <v>3379</v>
      </c>
      <c r="E544" s="2277" t="s">
        <v>3380</v>
      </c>
      <c r="F544" s="2278">
        <v>84</v>
      </c>
      <c r="G544" s="2278"/>
      <c r="H544" s="2279">
        <v>15990</v>
      </c>
      <c r="I544" s="6539">
        <v>15990</v>
      </c>
      <c r="J544" s="6539"/>
      <c r="K544" s="2277"/>
      <c r="L544" s="2277"/>
      <c r="M544" s="2280"/>
      <c r="N544" s="2280"/>
      <c r="O544" s="2280"/>
      <c r="P544" s="2277"/>
      <c r="Q544" s="2277"/>
      <c r="R544" s="2279">
        <v>15990</v>
      </c>
      <c r="S544" s="2279">
        <v>15990</v>
      </c>
      <c r="T544" s="2277"/>
    </row>
    <row r="545" spans="1:20" ht="12" customHeight="1" outlineLevel="1" x14ac:dyDescent="0.2">
      <c r="A545" s="6538" t="s">
        <v>3381</v>
      </c>
      <c r="B545" s="6538"/>
      <c r="C545" s="2275">
        <v>530</v>
      </c>
      <c r="D545" s="2276" t="s">
        <v>3253</v>
      </c>
      <c r="E545" s="2277" t="s">
        <v>3382</v>
      </c>
      <c r="F545" s="2278">
        <v>120</v>
      </c>
      <c r="G545" s="2278"/>
      <c r="H545" s="2279">
        <v>1943</v>
      </c>
      <c r="I545" s="6539">
        <v>1943</v>
      </c>
      <c r="J545" s="6539"/>
      <c r="K545" s="2277"/>
      <c r="L545" s="2277"/>
      <c r="M545" s="2280"/>
      <c r="N545" s="2280"/>
      <c r="O545" s="2280"/>
      <c r="P545" s="2277"/>
      <c r="Q545" s="2277"/>
      <c r="R545" s="2279">
        <v>1943</v>
      </c>
      <c r="S545" s="2279">
        <v>1943</v>
      </c>
      <c r="T545" s="2277"/>
    </row>
    <row r="546" spans="1:20" ht="12" customHeight="1" outlineLevel="1" x14ac:dyDescent="0.2">
      <c r="A546" s="6538" t="s">
        <v>3383</v>
      </c>
      <c r="B546" s="6538"/>
      <c r="C546" s="2316">
        <v>1097</v>
      </c>
      <c r="D546" s="2276" t="s">
        <v>3384</v>
      </c>
      <c r="E546" s="2277" t="s">
        <v>2709</v>
      </c>
      <c r="F546" s="2277"/>
      <c r="G546" s="2277"/>
      <c r="H546" s="2279">
        <v>2200</v>
      </c>
      <c r="I546" s="6539">
        <v>2200</v>
      </c>
      <c r="J546" s="6539"/>
      <c r="K546" s="2277"/>
      <c r="L546" s="2277"/>
      <c r="M546" s="2280"/>
      <c r="N546" s="2280"/>
      <c r="O546" s="2280"/>
      <c r="P546" s="2277"/>
      <c r="Q546" s="2277"/>
      <c r="R546" s="2279">
        <v>2200</v>
      </c>
      <c r="S546" s="2279">
        <v>2200</v>
      </c>
      <c r="T546" s="2277"/>
    </row>
    <row r="547" spans="1:20" ht="12" customHeight="1" outlineLevel="1" x14ac:dyDescent="0.2">
      <c r="A547" s="6538" t="s">
        <v>3385</v>
      </c>
      <c r="B547" s="6538"/>
      <c r="C547" s="2275">
        <v>561</v>
      </c>
      <c r="D547" s="2276" t="s">
        <v>2753</v>
      </c>
      <c r="E547" s="2277" t="s">
        <v>3386</v>
      </c>
      <c r="F547" s="2278">
        <v>120</v>
      </c>
      <c r="G547" s="2278"/>
      <c r="H547" s="2279">
        <v>1316.67</v>
      </c>
      <c r="I547" s="6539">
        <v>1316.67</v>
      </c>
      <c r="J547" s="6539"/>
      <c r="K547" s="2277"/>
      <c r="L547" s="2277"/>
      <c r="M547" s="2280"/>
      <c r="N547" s="2280"/>
      <c r="O547" s="2280"/>
      <c r="P547" s="2277"/>
      <c r="Q547" s="2277"/>
      <c r="R547" s="2279">
        <v>1316.67</v>
      </c>
      <c r="S547" s="2279">
        <v>1316.67</v>
      </c>
      <c r="T547" s="2277"/>
    </row>
    <row r="548" spans="1:20" ht="12" customHeight="1" outlineLevel="1" x14ac:dyDescent="0.2">
      <c r="A548" s="6538" t="s">
        <v>3387</v>
      </c>
      <c r="B548" s="6538"/>
      <c r="C548" s="2275">
        <v>311</v>
      </c>
      <c r="D548" s="2276" t="s">
        <v>2404</v>
      </c>
      <c r="E548" s="2277" t="s">
        <v>3388</v>
      </c>
      <c r="F548" s="2278">
        <v>120</v>
      </c>
      <c r="G548" s="2278"/>
      <c r="H548" s="2322">
        <v>340</v>
      </c>
      <c r="I548" s="6542">
        <v>340</v>
      </c>
      <c r="J548" s="6542"/>
      <c r="K548" s="2277"/>
      <c r="L548" s="2277"/>
      <c r="M548" s="2280"/>
      <c r="N548" s="2280"/>
      <c r="O548" s="2280"/>
      <c r="P548" s="2277"/>
      <c r="Q548" s="2277"/>
      <c r="R548" s="2322">
        <v>340</v>
      </c>
      <c r="S548" s="2322">
        <v>340</v>
      </c>
      <c r="T548" s="2277"/>
    </row>
    <row r="549" spans="1:20" ht="12" customHeight="1" outlineLevel="1" x14ac:dyDescent="0.2">
      <c r="A549" s="6538" t="s">
        <v>3389</v>
      </c>
      <c r="B549" s="6538"/>
      <c r="C549" s="2275">
        <v>565</v>
      </c>
      <c r="D549" s="2276" t="s">
        <v>2812</v>
      </c>
      <c r="E549" s="2277" t="s">
        <v>3353</v>
      </c>
      <c r="F549" s="2278">
        <v>120</v>
      </c>
      <c r="G549" s="2278"/>
      <c r="H549" s="2279">
        <v>4680</v>
      </c>
      <c r="I549" s="6539">
        <v>4680</v>
      </c>
      <c r="J549" s="6539"/>
      <c r="K549" s="2277"/>
      <c r="L549" s="2277"/>
      <c r="M549" s="2280"/>
      <c r="N549" s="2280"/>
      <c r="O549" s="2280"/>
      <c r="P549" s="2277"/>
      <c r="Q549" s="2277"/>
      <c r="R549" s="2279">
        <v>4680</v>
      </c>
      <c r="S549" s="2279">
        <v>4680</v>
      </c>
      <c r="T549" s="2277"/>
    </row>
    <row r="550" spans="1:20" ht="12" customHeight="1" outlineLevel="1" x14ac:dyDescent="0.2">
      <c r="A550" s="6538" t="s">
        <v>3390</v>
      </c>
      <c r="B550" s="6538"/>
      <c r="C550" s="2275">
        <v>231</v>
      </c>
      <c r="D550" s="2276" t="s">
        <v>2404</v>
      </c>
      <c r="E550" s="2277" t="s">
        <v>3391</v>
      </c>
      <c r="F550" s="2278">
        <v>120</v>
      </c>
      <c r="G550" s="2278"/>
      <c r="H550" s="2279">
        <v>12797.37</v>
      </c>
      <c r="I550" s="6539">
        <v>12797.37</v>
      </c>
      <c r="J550" s="6539"/>
      <c r="K550" s="2277"/>
      <c r="L550" s="2277"/>
      <c r="M550" s="2280"/>
      <c r="N550" s="2280"/>
      <c r="O550" s="2280"/>
      <c r="P550" s="2277"/>
      <c r="Q550" s="2277"/>
      <c r="R550" s="2279">
        <v>12797.37</v>
      </c>
      <c r="S550" s="2279">
        <v>12797.37</v>
      </c>
      <c r="T550" s="2277"/>
    </row>
    <row r="551" spans="1:20" ht="12" customHeight="1" outlineLevel="1" x14ac:dyDescent="0.2">
      <c r="A551" s="6538" t="s">
        <v>3392</v>
      </c>
      <c r="B551" s="6538"/>
      <c r="C551" s="2275">
        <v>581</v>
      </c>
      <c r="D551" s="2276" t="s">
        <v>3321</v>
      </c>
      <c r="E551" s="2277" t="s">
        <v>3311</v>
      </c>
      <c r="F551" s="2278">
        <v>1</v>
      </c>
      <c r="G551" s="2278"/>
      <c r="H551" s="2279">
        <v>1666.67</v>
      </c>
      <c r="I551" s="6539">
        <v>1666.67</v>
      </c>
      <c r="J551" s="6539"/>
      <c r="K551" s="2277"/>
      <c r="L551" s="2277"/>
      <c r="M551" s="2280"/>
      <c r="N551" s="2280"/>
      <c r="O551" s="2280"/>
      <c r="P551" s="2277"/>
      <c r="Q551" s="2277"/>
      <c r="R551" s="2279">
        <v>1666.67</v>
      </c>
      <c r="S551" s="2279">
        <v>1666.67</v>
      </c>
      <c r="T551" s="2277"/>
    </row>
    <row r="552" spans="1:20" ht="12" customHeight="1" outlineLevel="1" x14ac:dyDescent="0.2">
      <c r="A552" s="6538" t="s">
        <v>3393</v>
      </c>
      <c r="B552" s="6538"/>
      <c r="C552" s="2275">
        <v>232</v>
      </c>
      <c r="D552" s="2276" t="s">
        <v>2753</v>
      </c>
      <c r="E552" s="2277" t="s">
        <v>3394</v>
      </c>
      <c r="F552" s="2278">
        <v>120</v>
      </c>
      <c r="G552" s="2278"/>
      <c r="H552" s="2279">
        <v>12660.72</v>
      </c>
      <c r="I552" s="6539">
        <v>12660.72</v>
      </c>
      <c r="J552" s="6539"/>
      <c r="K552" s="2277"/>
      <c r="L552" s="2277"/>
      <c r="M552" s="2280"/>
      <c r="N552" s="2280"/>
      <c r="O552" s="2280"/>
      <c r="P552" s="2277"/>
      <c r="Q552" s="2277"/>
      <c r="R552" s="2279">
        <v>12660.72</v>
      </c>
      <c r="S552" s="2279">
        <v>12660.72</v>
      </c>
      <c r="T552" s="2277"/>
    </row>
    <row r="553" spans="1:20" ht="12" customHeight="1" outlineLevel="1" x14ac:dyDescent="0.2">
      <c r="A553" s="6538" t="s">
        <v>3393</v>
      </c>
      <c r="B553" s="6538"/>
      <c r="C553" s="2275">
        <v>310</v>
      </c>
      <c r="D553" s="2276" t="s">
        <v>2404</v>
      </c>
      <c r="E553" s="2277" t="s">
        <v>3395</v>
      </c>
      <c r="F553" s="2278">
        <v>120</v>
      </c>
      <c r="G553" s="2278"/>
      <c r="H553" s="2322">
        <v>610.57000000000005</v>
      </c>
      <c r="I553" s="6542">
        <v>610.57000000000005</v>
      </c>
      <c r="J553" s="6542"/>
      <c r="K553" s="2277"/>
      <c r="L553" s="2277"/>
      <c r="M553" s="2280"/>
      <c r="N553" s="2280"/>
      <c r="O553" s="2280"/>
      <c r="P553" s="2277"/>
      <c r="Q553" s="2277"/>
      <c r="R553" s="2322">
        <v>610.57000000000005</v>
      </c>
      <c r="S553" s="2322">
        <v>610.57000000000005</v>
      </c>
      <c r="T553" s="2277"/>
    </row>
    <row r="554" spans="1:20" ht="12" customHeight="1" outlineLevel="1" x14ac:dyDescent="0.2">
      <c r="A554" s="6538" t="s">
        <v>3396</v>
      </c>
      <c r="B554" s="6538"/>
      <c r="C554" s="2275">
        <v>2025</v>
      </c>
      <c r="D554" s="2276" t="s">
        <v>3397</v>
      </c>
      <c r="E554" s="2277" t="s">
        <v>3398</v>
      </c>
      <c r="F554" s="2278">
        <v>36</v>
      </c>
      <c r="G554" s="2278"/>
      <c r="H554" s="2279">
        <v>12245.76</v>
      </c>
      <c r="I554" s="6539">
        <v>12245.76</v>
      </c>
      <c r="J554" s="6539"/>
      <c r="K554" s="2277"/>
      <c r="L554" s="2277"/>
      <c r="M554" s="2280"/>
      <c r="N554" s="2280"/>
      <c r="O554" s="2280"/>
      <c r="P554" s="2277"/>
      <c r="Q554" s="2277"/>
      <c r="R554" s="2279">
        <v>12245.76</v>
      </c>
      <c r="S554" s="2279">
        <v>12245.76</v>
      </c>
      <c r="T554" s="2277"/>
    </row>
    <row r="555" spans="1:20" ht="12" customHeight="1" outlineLevel="1" x14ac:dyDescent="0.2">
      <c r="A555" s="6538" t="s">
        <v>3399</v>
      </c>
      <c r="B555" s="6538"/>
      <c r="C555" s="2275">
        <v>234</v>
      </c>
      <c r="D555" s="2276" t="s">
        <v>2753</v>
      </c>
      <c r="E555" s="2277" t="s">
        <v>3400</v>
      </c>
      <c r="F555" s="2278">
        <v>120</v>
      </c>
      <c r="G555" s="2278"/>
      <c r="H555" s="2279">
        <v>1883.33</v>
      </c>
      <c r="I555" s="6539">
        <v>1883.33</v>
      </c>
      <c r="J555" s="6539"/>
      <c r="K555" s="2277"/>
      <c r="L555" s="2277"/>
      <c r="M555" s="2280"/>
      <c r="N555" s="2280"/>
      <c r="O555" s="2280"/>
      <c r="P555" s="2279">
        <v>1883.33</v>
      </c>
      <c r="Q555" s="2279">
        <v>1883.33</v>
      </c>
      <c r="R555" s="2277"/>
      <c r="S555" s="2277"/>
      <c r="T555" s="2277"/>
    </row>
    <row r="556" spans="1:20" ht="12" customHeight="1" outlineLevel="1" x14ac:dyDescent="0.2">
      <c r="A556" s="6538" t="s">
        <v>3401</v>
      </c>
      <c r="B556" s="6538"/>
      <c r="C556" s="2275">
        <v>235</v>
      </c>
      <c r="D556" s="2276" t="s">
        <v>2753</v>
      </c>
      <c r="E556" s="2277" t="s">
        <v>3402</v>
      </c>
      <c r="F556" s="2278">
        <v>120</v>
      </c>
      <c r="G556" s="2278"/>
      <c r="H556" s="2279">
        <v>8058.33</v>
      </c>
      <c r="I556" s="6539">
        <v>8058.33</v>
      </c>
      <c r="J556" s="6539"/>
      <c r="K556" s="2277"/>
      <c r="L556" s="2277"/>
      <c r="M556" s="2280"/>
      <c r="N556" s="2280"/>
      <c r="O556" s="2280"/>
      <c r="P556" s="2277"/>
      <c r="Q556" s="2277"/>
      <c r="R556" s="2279">
        <v>8058.33</v>
      </c>
      <c r="S556" s="2279">
        <v>8058.33</v>
      </c>
      <c r="T556" s="2277"/>
    </row>
    <row r="557" spans="1:20" ht="12" customHeight="1" outlineLevel="1" x14ac:dyDescent="0.2">
      <c r="A557" s="6538" t="s">
        <v>3403</v>
      </c>
      <c r="B557" s="6538"/>
      <c r="C557" s="2275">
        <v>237</v>
      </c>
      <c r="D557" s="2276" t="s">
        <v>2404</v>
      </c>
      <c r="E557" s="2277" t="s">
        <v>3404</v>
      </c>
      <c r="F557" s="2278">
        <v>120</v>
      </c>
      <c r="G557" s="2278"/>
      <c r="H557" s="2279">
        <v>1859.33</v>
      </c>
      <c r="I557" s="6539">
        <v>1859.33</v>
      </c>
      <c r="J557" s="6539"/>
      <c r="K557" s="2277"/>
      <c r="L557" s="2277"/>
      <c r="M557" s="2280"/>
      <c r="N557" s="2280"/>
      <c r="O557" s="2280"/>
      <c r="P557" s="2277"/>
      <c r="Q557" s="2277"/>
      <c r="R557" s="2279">
        <v>1859.33</v>
      </c>
      <c r="S557" s="2279">
        <v>1859.33</v>
      </c>
      <c r="T557" s="2277"/>
    </row>
    <row r="558" spans="1:20" ht="12" customHeight="1" outlineLevel="1" x14ac:dyDescent="0.2">
      <c r="A558" s="6538" t="s">
        <v>3405</v>
      </c>
      <c r="B558" s="6538"/>
      <c r="C558" s="2275">
        <v>518</v>
      </c>
      <c r="D558" s="2276" t="s">
        <v>2972</v>
      </c>
      <c r="E558" s="2277" t="s">
        <v>3406</v>
      </c>
      <c r="F558" s="2278">
        <v>120</v>
      </c>
      <c r="G558" s="2278"/>
      <c r="H558" s="2279">
        <v>1833.34</v>
      </c>
      <c r="I558" s="6539">
        <v>1833.34</v>
      </c>
      <c r="J558" s="6539"/>
      <c r="K558" s="2277"/>
      <c r="L558" s="2277"/>
      <c r="M558" s="2280"/>
      <c r="N558" s="2280"/>
      <c r="O558" s="2280"/>
      <c r="P558" s="2277"/>
      <c r="Q558" s="2277"/>
      <c r="R558" s="2279">
        <v>1833.34</v>
      </c>
      <c r="S558" s="2279">
        <v>1833.34</v>
      </c>
      <c r="T558" s="2277"/>
    </row>
    <row r="559" spans="1:20" ht="12" customHeight="1" outlineLevel="1" x14ac:dyDescent="0.2">
      <c r="A559" s="6538" t="s">
        <v>3407</v>
      </c>
      <c r="B559" s="6538"/>
      <c r="C559" s="2275">
        <v>229</v>
      </c>
      <c r="D559" s="2276" t="s">
        <v>2404</v>
      </c>
      <c r="E559" s="2277" t="s">
        <v>3408</v>
      </c>
      <c r="F559" s="2278">
        <v>120</v>
      </c>
      <c r="G559" s="2278"/>
      <c r="H559" s="2322">
        <v>695</v>
      </c>
      <c r="I559" s="6542">
        <v>695</v>
      </c>
      <c r="J559" s="6542"/>
      <c r="K559" s="2277"/>
      <c r="L559" s="2277"/>
      <c r="M559" s="2280"/>
      <c r="N559" s="2280"/>
      <c r="O559" s="2280"/>
      <c r="P559" s="2277"/>
      <c r="Q559" s="2277"/>
      <c r="R559" s="2322">
        <v>695</v>
      </c>
      <c r="S559" s="2322">
        <v>695</v>
      </c>
      <c r="T559" s="2277"/>
    </row>
    <row r="560" spans="1:20" ht="23.25" customHeight="1" outlineLevel="1" x14ac:dyDescent="0.2">
      <c r="A560" s="6538" t="s">
        <v>3409</v>
      </c>
      <c r="B560" s="6538"/>
      <c r="C560" s="2275">
        <v>2023</v>
      </c>
      <c r="D560" s="2276" t="s">
        <v>3410</v>
      </c>
      <c r="E560" s="2277" t="s">
        <v>3411</v>
      </c>
      <c r="F560" s="2278">
        <v>84</v>
      </c>
      <c r="G560" s="2278"/>
      <c r="H560" s="2279">
        <v>17815</v>
      </c>
      <c r="I560" s="6539">
        <v>17815</v>
      </c>
      <c r="J560" s="6539"/>
      <c r="K560" s="2277"/>
      <c r="L560" s="2277"/>
      <c r="M560" s="2280"/>
      <c r="N560" s="2280"/>
      <c r="O560" s="2280"/>
      <c r="P560" s="2277"/>
      <c r="Q560" s="2277"/>
      <c r="R560" s="2279">
        <v>17815</v>
      </c>
      <c r="S560" s="2279">
        <v>17815</v>
      </c>
      <c r="T560" s="2277"/>
    </row>
    <row r="561" spans="1:20" ht="12" customHeight="1" outlineLevel="1" x14ac:dyDescent="0.2">
      <c r="A561" s="6538" t="s">
        <v>3372</v>
      </c>
      <c r="B561" s="6538"/>
      <c r="C561" s="2275">
        <v>625</v>
      </c>
      <c r="D561" s="2276" t="s">
        <v>2589</v>
      </c>
      <c r="E561" s="2277" t="s">
        <v>3220</v>
      </c>
      <c r="F561" s="2278">
        <v>12</v>
      </c>
      <c r="G561" s="2278"/>
      <c r="H561" s="2279">
        <v>6000</v>
      </c>
      <c r="I561" s="6539">
        <v>6000</v>
      </c>
      <c r="J561" s="6539"/>
      <c r="K561" s="2277"/>
      <c r="L561" s="2277"/>
      <c r="M561" s="2280"/>
      <c r="N561" s="2280"/>
      <c r="O561" s="2280"/>
      <c r="P561" s="2277"/>
      <c r="Q561" s="2277"/>
      <c r="R561" s="2279">
        <v>6000</v>
      </c>
      <c r="S561" s="2279">
        <v>6000</v>
      </c>
      <c r="T561" s="2277"/>
    </row>
    <row r="562" spans="1:20" ht="12" customHeight="1" outlineLevel="1" x14ac:dyDescent="0.2">
      <c r="A562" s="6538" t="s">
        <v>3412</v>
      </c>
      <c r="B562" s="6538"/>
      <c r="C562" s="2275">
        <v>531</v>
      </c>
      <c r="D562" s="2276" t="s">
        <v>3259</v>
      </c>
      <c r="E562" s="2277" t="s">
        <v>3413</v>
      </c>
      <c r="F562" s="2278">
        <v>120</v>
      </c>
      <c r="G562" s="2278"/>
      <c r="H562" s="2322">
        <v>485.83</v>
      </c>
      <c r="I562" s="6542">
        <v>485.83</v>
      </c>
      <c r="J562" s="6542"/>
      <c r="K562" s="2277"/>
      <c r="L562" s="2277"/>
      <c r="M562" s="2280"/>
      <c r="N562" s="2280"/>
      <c r="O562" s="2280"/>
      <c r="P562" s="2277"/>
      <c r="Q562" s="2277"/>
      <c r="R562" s="2322">
        <v>485.83</v>
      </c>
      <c r="S562" s="2322">
        <v>485.83</v>
      </c>
      <c r="T562" s="2277"/>
    </row>
    <row r="563" spans="1:20" ht="12" customHeight="1" outlineLevel="1" x14ac:dyDescent="0.2">
      <c r="A563" s="6538" t="s">
        <v>3414</v>
      </c>
      <c r="B563" s="6538"/>
      <c r="C563" s="2275">
        <v>238</v>
      </c>
      <c r="D563" s="2276" t="s">
        <v>2753</v>
      </c>
      <c r="E563" s="2277" t="s">
        <v>3415</v>
      </c>
      <c r="F563" s="2278">
        <v>120</v>
      </c>
      <c r="G563" s="2278"/>
      <c r="H563" s="2322">
        <v>441.67</v>
      </c>
      <c r="I563" s="6542">
        <v>441.67</v>
      </c>
      <c r="J563" s="6542"/>
      <c r="K563" s="2277"/>
      <c r="L563" s="2277"/>
      <c r="M563" s="2280"/>
      <c r="N563" s="2280"/>
      <c r="O563" s="2280"/>
      <c r="P563" s="2277"/>
      <c r="Q563" s="2277"/>
      <c r="R563" s="2322">
        <v>441.67</v>
      </c>
      <c r="S563" s="2322">
        <v>441.67</v>
      </c>
      <c r="T563" s="2277"/>
    </row>
    <row r="564" spans="1:20" ht="12" customHeight="1" outlineLevel="1" x14ac:dyDescent="0.2">
      <c r="A564" s="6538" t="s">
        <v>3416</v>
      </c>
      <c r="B564" s="6538"/>
      <c r="C564" s="2275">
        <v>239</v>
      </c>
      <c r="D564" s="2276" t="s">
        <v>2753</v>
      </c>
      <c r="E564" s="2277" t="s">
        <v>3417</v>
      </c>
      <c r="F564" s="2278">
        <v>120</v>
      </c>
      <c r="G564" s="2278"/>
      <c r="H564" s="2279">
        <v>2775.01</v>
      </c>
      <c r="I564" s="6539">
        <v>2775.01</v>
      </c>
      <c r="J564" s="6539"/>
      <c r="K564" s="2277"/>
      <c r="L564" s="2277"/>
      <c r="M564" s="2280"/>
      <c r="N564" s="2280"/>
      <c r="O564" s="2280"/>
      <c r="P564" s="2277"/>
      <c r="Q564" s="2277"/>
      <c r="R564" s="2279">
        <v>2775.01</v>
      </c>
      <c r="S564" s="2279">
        <v>2775.01</v>
      </c>
      <c r="T564" s="2277"/>
    </row>
    <row r="565" spans="1:20" ht="12" customHeight="1" outlineLevel="1" x14ac:dyDescent="0.2">
      <c r="A565" s="6538" t="s">
        <v>3418</v>
      </c>
      <c r="B565" s="6538"/>
      <c r="C565" s="2275">
        <v>242</v>
      </c>
      <c r="D565" s="2276" t="s">
        <v>2753</v>
      </c>
      <c r="E565" s="2277" t="s">
        <v>3419</v>
      </c>
      <c r="F565" s="2278">
        <v>120</v>
      </c>
      <c r="G565" s="2278"/>
      <c r="H565" s="2279">
        <v>1087.5</v>
      </c>
      <c r="I565" s="6539">
        <v>1087.5</v>
      </c>
      <c r="J565" s="6539"/>
      <c r="K565" s="2277"/>
      <c r="L565" s="2277"/>
      <c r="M565" s="2280"/>
      <c r="N565" s="2280"/>
      <c r="O565" s="2280"/>
      <c r="P565" s="2277"/>
      <c r="Q565" s="2277"/>
      <c r="R565" s="2279">
        <v>1087.5</v>
      </c>
      <c r="S565" s="2279">
        <v>1087.5</v>
      </c>
      <c r="T565" s="2277"/>
    </row>
    <row r="566" spans="1:20" ht="12" customHeight="1" outlineLevel="1" x14ac:dyDescent="0.2">
      <c r="A566" s="6538" t="s">
        <v>3420</v>
      </c>
      <c r="B566" s="6538"/>
      <c r="C566" s="2275">
        <v>243</v>
      </c>
      <c r="D566" s="2276" t="s">
        <v>2753</v>
      </c>
      <c r="E566" s="2277" t="s">
        <v>3421</v>
      </c>
      <c r="F566" s="2278">
        <v>120</v>
      </c>
      <c r="G566" s="2278"/>
      <c r="H566" s="2279">
        <v>1416.67</v>
      </c>
      <c r="I566" s="6539">
        <v>1416.67</v>
      </c>
      <c r="J566" s="6539"/>
      <c r="K566" s="2277"/>
      <c r="L566" s="2277"/>
      <c r="M566" s="2280"/>
      <c r="N566" s="2280"/>
      <c r="O566" s="2280"/>
      <c r="P566" s="2279">
        <v>1416.67</v>
      </c>
      <c r="Q566" s="2279">
        <v>1416.67</v>
      </c>
      <c r="R566" s="2277"/>
      <c r="S566" s="2277"/>
      <c r="T566" s="2277"/>
    </row>
    <row r="567" spans="1:20" ht="12" customHeight="1" outlineLevel="1" x14ac:dyDescent="0.2">
      <c r="A567" s="6538" t="s">
        <v>3422</v>
      </c>
      <c r="B567" s="6538"/>
      <c r="C567" s="2275">
        <v>303</v>
      </c>
      <c r="D567" s="2276" t="s">
        <v>3219</v>
      </c>
      <c r="E567" s="2277" t="s">
        <v>3423</v>
      </c>
      <c r="F567" s="2278">
        <v>132</v>
      </c>
      <c r="G567" s="2278"/>
      <c r="H567" s="2279">
        <v>5066.59</v>
      </c>
      <c r="I567" s="6539">
        <v>5066.59</v>
      </c>
      <c r="J567" s="6539"/>
      <c r="K567" s="2277"/>
      <c r="L567" s="2277"/>
      <c r="M567" s="2280"/>
      <c r="N567" s="2280"/>
      <c r="O567" s="2280"/>
      <c r="P567" s="2277"/>
      <c r="Q567" s="2277"/>
      <c r="R567" s="2279">
        <v>5066.59</v>
      </c>
      <c r="S567" s="2279">
        <v>5066.59</v>
      </c>
      <c r="T567" s="2277"/>
    </row>
    <row r="568" spans="1:20" ht="12" customHeight="1" outlineLevel="1" x14ac:dyDescent="0.2">
      <c r="A568" s="6538" t="s">
        <v>3184</v>
      </c>
      <c r="B568" s="6538"/>
      <c r="C568" s="2275">
        <v>263</v>
      </c>
      <c r="D568" s="2276" t="s">
        <v>2972</v>
      </c>
      <c r="E568" s="2277" t="s">
        <v>3424</v>
      </c>
      <c r="F568" s="2278">
        <v>132</v>
      </c>
      <c r="G568" s="2278"/>
      <c r="H568" s="2279">
        <v>2361</v>
      </c>
      <c r="I568" s="6539">
        <v>2361</v>
      </c>
      <c r="J568" s="6539"/>
      <c r="K568" s="2277"/>
      <c r="L568" s="2277"/>
      <c r="M568" s="2280"/>
      <c r="N568" s="2280"/>
      <c r="O568" s="2280"/>
      <c r="P568" s="2277"/>
      <c r="Q568" s="2277"/>
      <c r="R568" s="2279">
        <v>2361</v>
      </c>
      <c r="S568" s="2279">
        <v>2361</v>
      </c>
      <c r="T568" s="2277"/>
    </row>
    <row r="569" spans="1:20" ht="12" customHeight="1" outlineLevel="1" x14ac:dyDescent="0.2">
      <c r="A569" s="6538" t="s">
        <v>3334</v>
      </c>
      <c r="B569" s="6538"/>
      <c r="C569" s="2275">
        <v>582</v>
      </c>
      <c r="D569" s="2276" t="s">
        <v>3321</v>
      </c>
      <c r="E569" s="2277" t="s">
        <v>2620</v>
      </c>
      <c r="F569" s="2278">
        <v>1</v>
      </c>
      <c r="G569" s="2278"/>
      <c r="H569" s="2279">
        <v>2500</v>
      </c>
      <c r="I569" s="6539">
        <v>2500</v>
      </c>
      <c r="J569" s="6539"/>
      <c r="K569" s="2277"/>
      <c r="L569" s="2277"/>
      <c r="M569" s="2280"/>
      <c r="N569" s="2280"/>
      <c r="O569" s="2280"/>
      <c r="P569" s="2277"/>
      <c r="Q569" s="2277"/>
      <c r="R569" s="2279">
        <v>2500</v>
      </c>
      <c r="S569" s="2279">
        <v>2500</v>
      </c>
      <c r="T569" s="2277"/>
    </row>
    <row r="570" spans="1:20" ht="12" customHeight="1" outlineLevel="1" x14ac:dyDescent="0.2">
      <c r="A570" s="6538" t="s">
        <v>3425</v>
      </c>
      <c r="B570" s="6538"/>
      <c r="C570" s="2275">
        <v>207</v>
      </c>
      <c r="D570" s="2276" t="s">
        <v>2570</v>
      </c>
      <c r="E570" s="2277" t="s">
        <v>3426</v>
      </c>
      <c r="F570" s="2278">
        <v>120</v>
      </c>
      <c r="G570" s="2278"/>
      <c r="H570" s="2279">
        <v>3700</v>
      </c>
      <c r="I570" s="6539">
        <v>3700</v>
      </c>
      <c r="J570" s="6539"/>
      <c r="K570" s="2277"/>
      <c r="L570" s="2277"/>
      <c r="M570" s="2280"/>
      <c r="N570" s="2280"/>
      <c r="O570" s="2280"/>
      <c r="P570" s="2277"/>
      <c r="Q570" s="2277"/>
      <c r="R570" s="2279">
        <v>3700</v>
      </c>
      <c r="S570" s="2279">
        <v>3700</v>
      </c>
      <c r="T570" s="2277"/>
    </row>
    <row r="571" spans="1:20" ht="12" customHeight="1" outlineLevel="1" x14ac:dyDescent="0.2">
      <c r="A571" s="6538" t="s">
        <v>3427</v>
      </c>
      <c r="B571" s="6538"/>
      <c r="C571" s="2275">
        <v>308</v>
      </c>
      <c r="D571" s="2276" t="s">
        <v>2972</v>
      </c>
      <c r="E571" s="2277" t="s">
        <v>3428</v>
      </c>
      <c r="F571" s="2278">
        <v>120</v>
      </c>
      <c r="G571" s="2278"/>
      <c r="H571" s="2279">
        <v>2563.5</v>
      </c>
      <c r="I571" s="6539">
        <v>2563.5</v>
      </c>
      <c r="J571" s="6539"/>
      <c r="K571" s="2277"/>
      <c r="L571" s="2277"/>
      <c r="M571" s="2280"/>
      <c r="N571" s="2280"/>
      <c r="O571" s="2280"/>
      <c r="P571" s="2277"/>
      <c r="Q571" s="2277"/>
      <c r="R571" s="2279">
        <v>2563.5</v>
      </c>
      <c r="S571" s="2279">
        <v>2563.5</v>
      </c>
      <c r="T571" s="2277"/>
    </row>
    <row r="572" spans="1:20" ht="12" customHeight="1" outlineLevel="1" x14ac:dyDescent="0.2">
      <c r="A572" s="6538" t="s">
        <v>3429</v>
      </c>
      <c r="B572" s="6538"/>
      <c r="C572" s="2275">
        <v>564</v>
      </c>
      <c r="D572" s="2276" t="s">
        <v>2719</v>
      </c>
      <c r="E572" s="2277" t="s">
        <v>3430</v>
      </c>
      <c r="F572" s="2278">
        <v>120</v>
      </c>
      <c r="G572" s="2278"/>
      <c r="H572" s="2279">
        <v>1858.33</v>
      </c>
      <c r="I572" s="6539">
        <v>1858.33</v>
      </c>
      <c r="J572" s="6539"/>
      <c r="K572" s="2277"/>
      <c r="L572" s="2277"/>
      <c r="M572" s="2280"/>
      <c r="N572" s="2280"/>
      <c r="O572" s="2280"/>
      <c r="P572" s="2277"/>
      <c r="Q572" s="2277"/>
      <c r="R572" s="2279">
        <v>1858.33</v>
      </c>
      <c r="S572" s="2279">
        <v>1858.33</v>
      </c>
      <c r="T572" s="2277"/>
    </row>
    <row r="573" spans="1:20" ht="12" customHeight="1" outlineLevel="1" x14ac:dyDescent="0.2">
      <c r="A573" s="6538" t="s">
        <v>3431</v>
      </c>
      <c r="B573" s="6538"/>
      <c r="C573" s="2275">
        <v>208</v>
      </c>
      <c r="D573" s="2276" t="s">
        <v>2570</v>
      </c>
      <c r="E573" s="2277" t="s">
        <v>3432</v>
      </c>
      <c r="F573" s="2278">
        <v>120</v>
      </c>
      <c r="G573" s="2278"/>
      <c r="H573" s="2279">
        <v>2333.67</v>
      </c>
      <c r="I573" s="6539">
        <v>2333.67</v>
      </c>
      <c r="J573" s="6539"/>
      <c r="K573" s="2277"/>
      <c r="L573" s="2277"/>
      <c r="M573" s="2280"/>
      <c r="N573" s="2280"/>
      <c r="O573" s="2280"/>
      <c r="P573" s="2277"/>
      <c r="Q573" s="2277"/>
      <c r="R573" s="2279">
        <v>2333.67</v>
      </c>
      <c r="S573" s="2279">
        <v>2333.67</v>
      </c>
      <c r="T573" s="2277"/>
    </row>
    <row r="574" spans="1:20" ht="12" customHeight="1" outlineLevel="1" x14ac:dyDescent="0.2">
      <c r="A574" s="6538" t="s">
        <v>3433</v>
      </c>
      <c r="B574" s="6538"/>
      <c r="C574" s="2275">
        <v>307</v>
      </c>
      <c r="D574" s="2276" t="s">
        <v>2972</v>
      </c>
      <c r="E574" s="2277" t="s">
        <v>3428</v>
      </c>
      <c r="F574" s="2278">
        <v>120</v>
      </c>
      <c r="G574" s="2278"/>
      <c r="H574" s="2279">
        <v>2563.5</v>
      </c>
      <c r="I574" s="6539">
        <v>2563.5</v>
      </c>
      <c r="J574" s="6539"/>
      <c r="K574" s="2277"/>
      <c r="L574" s="2277"/>
      <c r="M574" s="2280"/>
      <c r="N574" s="2280"/>
      <c r="O574" s="2280"/>
      <c r="P574" s="2277"/>
      <c r="Q574" s="2277"/>
      <c r="R574" s="2279">
        <v>2563.5</v>
      </c>
      <c r="S574" s="2279">
        <v>2563.5</v>
      </c>
      <c r="T574" s="2277"/>
    </row>
    <row r="575" spans="1:20" ht="12" customHeight="1" outlineLevel="1" x14ac:dyDescent="0.2">
      <c r="A575" s="6538" t="s">
        <v>3434</v>
      </c>
      <c r="B575" s="6538"/>
      <c r="C575" s="2275">
        <v>566</v>
      </c>
      <c r="D575" s="2276" t="s">
        <v>2719</v>
      </c>
      <c r="E575" s="2277" t="s">
        <v>3435</v>
      </c>
      <c r="F575" s="2278">
        <v>120</v>
      </c>
      <c r="G575" s="2278"/>
      <c r="H575" s="2279">
        <v>2400</v>
      </c>
      <c r="I575" s="6539">
        <v>2400</v>
      </c>
      <c r="J575" s="6539"/>
      <c r="K575" s="2277"/>
      <c r="L575" s="2277"/>
      <c r="M575" s="2280"/>
      <c r="N575" s="2280"/>
      <c r="O575" s="2280"/>
      <c r="P575" s="2277"/>
      <c r="Q575" s="2277"/>
      <c r="R575" s="2279">
        <v>2400</v>
      </c>
      <c r="S575" s="2279">
        <v>2400</v>
      </c>
      <c r="T575" s="2277"/>
    </row>
    <row r="576" spans="1:20" ht="12" customHeight="1" outlineLevel="1" x14ac:dyDescent="0.2">
      <c r="A576" s="6538" t="s">
        <v>3436</v>
      </c>
      <c r="B576" s="6538"/>
      <c r="C576" s="2275">
        <v>209</v>
      </c>
      <c r="D576" s="2276" t="s">
        <v>2570</v>
      </c>
      <c r="E576" s="2277" t="s">
        <v>3437</v>
      </c>
      <c r="F576" s="2278">
        <v>120</v>
      </c>
      <c r="G576" s="2278"/>
      <c r="H576" s="2279">
        <v>2016.67</v>
      </c>
      <c r="I576" s="6539">
        <v>2016.67</v>
      </c>
      <c r="J576" s="6539"/>
      <c r="K576" s="2277"/>
      <c r="L576" s="2277"/>
      <c r="M576" s="2280"/>
      <c r="N576" s="2280"/>
      <c r="O576" s="2280"/>
      <c r="P576" s="2277"/>
      <c r="Q576" s="2277"/>
      <c r="R576" s="2279">
        <v>2016.67</v>
      </c>
      <c r="S576" s="2279">
        <v>2016.67</v>
      </c>
      <c r="T576" s="2277"/>
    </row>
    <row r="577" spans="1:20" ht="12" customHeight="1" outlineLevel="1" x14ac:dyDescent="0.2">
      <c r="A577" s="6538" t="s">
        <v>3436</v>
      </c>
      <c r="B577" s="6538"/>
      <c r="C577" s="2275">
        <v>534</v>
      </c>
      <c r="D577" s="2276" t="s">
        <v>3310</v>
      </c>
      <c r="E577" s="2277" t="s">
        <v>3311</v>
      </c>
      <c r="F577" s="2278">
        <v>120</v>
      </c>
      <c r="G577" s="2278"/>
      <c r="H577" s="2279">
        <v>1666.67</v>
      </c>
      <c r="I577" s="6539">
        <v>1666.67</v>
      </c>
      <c r="J577" s="6539"/>
      <c r="K577" s="2277"/>
      <c r="L577" s="2277"/>
      <c r="M577" s="2280"/>
      <c r="N577" s="2280"/>
      <c r="O577" s="2280"/>
      <c r="P577" s="2277"/>
      <c r="Q577" s="2277"/>
      <c r="R577" s="2279">
        <v>1666.67</v>
      </c>
      <c r="S577" s="2279">
        <v>1666.67</v>
      </c>
      <c r="T577" s="2277"/>
    </row>
    <row r="578" spans="1:20" ht="12" customHeight="1" outlineLevel="1" x14ac:dyDescent="0.2">
      <c r="A578" s="6538" t="s">
        <v>3438</v>
      </c>
      <c r="B578" s="6538"/>
      <c r="C578" s="2275">
        <v>247</v>
      </c>
      <c r="D578" s="2276" t="s">
        <v>2753</v>
      </c>
      <c r="E578" s="2277" t="s">
        <v>2620</v>
      </c>
      <c r="F578" s="2278">
        <v>120</v>
      </c>
      <c r="G578" s="2278"/>
      <c r="H578" s="2279">
        <v>2500</v>
      </c>
      <c r="I578" s="6539">
        <v>2500</v>
      </c>
      <c r="J578" s="6539"/>
      <c r="K578" s="2277"/>
      <c r="L578" s="2277"/>
      <c r="M578" s="2280"/>
      <c r="N578" s="2280"/>
      <c r="O578" s="2280"/>
      <c r="P578" s="2277"/>
      <c r="Q578" s="2277"/>
      <c r="R578" s="2279">
        <v>2500</v>
      </c>
      <c r="S578" s="2279">
        <v>2500</v>
      </c>
      <c r="T578" s="2277"/>
    </row>
    <row r="579" spans="1:20" ht="12" customHeight="1" outlineLevel="1" x14ac:dyDescent="0.2">
      <c r="A579" s="6538" t="s">
        <v>3372</v>
      </c>
      <c r="B579" s="6538"/>
      <c r="C579" s="2275">
        <v>624</v>
      </c>
      <c r="D579" s="2276" t="s">
        <v>2589</v>
      </c>
      <c r="E579" s="2277" t="s">
        <v>3220</v>
      </c>
      <c r="F579" s="2278">
        <v>12</v>
      </c>
      <c r="G579" s="2278"/>
      <c r="H579" s="2279">
        <v>2847.18</v>
      </c>
      <c r="I579" s="6539">
        <v>2847.18</v>
      </c>
      <c r="J579" s="6539"/>
      <c r="K579" s="2277"/>
      <c r="L579" s="2277"/>
      <c r="M579" s="2280"/>
      <c r="N579" s="2280"/>
      <c r="O579" s="2280"/>
      <c r="P579" s="2277"/>
      <c r="Q579" s="2277"/>
      <c r="R579" s="2279">
        <v>2847.18</v>
      </c>
      <c r="S579" s="2279">
        <v>2847.18</v>
      </c>
      <c r="T579" s="2277"/>
    </row>
    <row r="580" spans="1:20" ht="12" customHeight="1" outlineLevel="1" x14ac:dyDescent="0.2">
      <c r="A580" s="6538" t="s">
        <v>3372</v>
      </c>
      <c r="B580" s="6538"/>
      <c r="C580" s="2275">
        <v>632</v>
      </c>
      <c r="D580" s="2276" t="s">
        <v>2589</v>
      </c>
      <c r="E580" s="2277" t="s">
        <v>3220</v>
      </c>
      <c r="F580" s="2278">
        <v>12</v>
      </c>
      <c r="G580" s="2278"/>
      <c r="H580" s="2279">
        <v>3000</v>
      </c>
      <c r="I580" s="6539">
        <v>3000</v>
      </c>
      <c r="J580" s="6539"/>
      <c r="K580" s="2277"/>
      <c r="L580" s="2277"/>
      <c r="M580" s="2280"/>
      <c r="N580" s="2280"/>
      <c r="O580" s="2280"/>
      <c r="P580" s="2277"/>
      <c r="Q580" s="2277"/>
      <c r="R580" s="2279">
        <v>3000</v>
      </c>
      <c r="S580" s="2279">
        <v>3000</v>
      </c>
      <c r="T580" s="2277"/>
    </row>
    <row r="581" spans="1:20" ht="12" customHeight="1" outlineLevel="1" x14ac:dyDescent="0.2">
      <c r="A581" s="6538" t="s">
        <v>3372</v>
      </c>
      <c r="B581" s="6538"/>
      <c r="C581" s="2275">
        <v>633</v>
      </c>
      <c r="D581" s="2276" t="s">
        <v>2589</v>
      </c>
      <c r="E581" s="2277" t="s">
        <v>3220</v>
      </c>
      <c r="F581" s="2278">
        <v>12</v>
      </c>
      <c r="G581" s="2278"/>
      <c r="H581" s="2279">
        <v>3000</v>
      </c>
      <c r="I581" s="6539">
        <v>3000</v>
      </c>
      <c r="J581" s="6539"/>
      <c r="K581" s="2277"/>
      <c r="L581" s="2277"/>
      <c r="M581" s="2280"/>
      <c r="N581" s="2280"/>
      <c r="O581" s="2280"/>
      <c r="P581" s="2277"/>
      <c r="Q581" s="2277"/>
      <c r="R581" s="2279">
        <v>3000</v>
      </c>
      <c r="S581" s="2279">
        <v>3000</v>
      </c>
      <c r="T581" s="2277"/>
    </row>
    <row r="582" spans="1:20" ht="12" customHeight="1" outlineLevel="1" x14ac:dyDescent="0.2">
      <c r="A582" s="6538" t="s">
        <v>3372</v>
      </c>
      <c r="B582" s="6538"/>
      <c r="C582" s="2275">
        <v>634</v>
      </c>
      <c r="D582" s="2276" t="s">
        <v>2589</v>
      </c>
      <c r="E582" s="2277" t="s">
        <v>3220</v>
      </c>
      <c r="F582" s="2278">
        <v>12</v>
      </c>
      <c r="G582" s="2278"/>
      <c r="H582" s="2279">
        <v>3000</v>
      </c>
      <c r="I582" s="6539">
        <v>3000</v>
      </c>
      <c r="J582" s="6539"/>
      <c r="K582" s="2277"/>
      <c r="L582" s="2277"/>
      <c r="M582" s="2280"/>
      <c r="N582" s="2280"/>
      <c r="O582" s="2280"/>
      <c r="P582" s="2277"/>
      <c r="Q582" s="2277"/>
      <c r="R582" s="2279">
        <v>3000</v>
      </c>
      <c r="S582" s="2279">
        <v>3000</v>
      </c>
      <c r="T582" s="2277"/>
    </row>
    <row r="583" spans="1:20" ht="12" customHeight="1" outlineLevel="1" x14ac:dyDescent="0.2">
      <c r="A583" s="6538" t="s">
        <v>3372</v>
      </c>
      <c r="B583" s="6538"/>
      <c r="C583" s="2275">
        <v>635</v>
      </c>
      <c r="D583" s="2276" t="s">
        <v>2589</v>
      </c>
      <c r="E583" s="2277" t="s">
        <v>3220</v>
      </c>
      <c r="F583" s="2278">
        <v>12</v>
      </c>
      <c r="G583" s="2278"/>
      <c r="H583" s="2279">
        <v>6000</v>
      </c>
      <c r="I583" s="6539">
        <v>6000</v>
      </c>
      <c r="J583" s="6539"/>
      <c r="K583" s="2277"/>
      <c r="L583" s="2277"/>
      <c r="M583" s="2280"/>
      <c r="N583" s="2280"/>
      <c r="O583" s="2280"/>
      <c r="P583" s="2277"/>
      <c r="Q583" s="2277"/>
      <c r="R583" s="2279">
        <v>6000</v>
      </c>
      <c r="S583" s="2279">
        <v>6000</v>
      </c>
      <c r="T583" s="2277"/>
    </row>
    <row r="584" spans="1:20" ht="12" customHeight="1" outlineLevel="1" x14ac:dyDescent="0.2">
      <c r="A584" s="6538" t="s">
        <v>3439</v>
      </c>
      <c r="B584" s="6538"/>
      <c r="C584" s="2275">
        <v>248</v>
      </c>
      <c r="D584" s="2276" t="s">
        <v>2753</v>
      </c>
      <c r="E584" s="2277" t="s">
        <v>3440</v>
      </c>
      <c r="F584" s="2278">
        <v>120</v>
      </c>
      <c r="G584" s="2278"/>
      <c r="H584" s="2279">
        <v>2083.33</v>
      </c>
      <c r="I584" s="6539">
        <v>2083.33</v>
      </c>
      <c r="J584" s="6539"/>
      <c r="K584" s="2277"/>
      <c r="L584" s="2277"/>
      <c r="M584" s="2280"/>
      <c r="N584" s="2280"/>
      <c r="O584" s="2280"/>
      <c r="P584" s="2277"/>
      <c r="Q584" s="2277"/>
      <c r="R584" s="2279">
        <v>2083.33</v>
      </c>
      <c r="S584" s="2279">
        <v>2083.33</v>
      </c>
      <c r="T584" s="2277"/>
    </row>
    <row r="585" spans="1:20" ht="12" customHeight="1" outlineLevel="1" x14ac:dyDescent="0.2">
      <c r="A585" s="6538" t="s">
        <v>3372</v>
      </c>
      <c r="B585" s="6538"/>
      <c r="C585" s="2275">
        <v>636</v>
      </c>
      <c r="D585" s="2276" t="s">
        <v>2589</v>
      </c>
      <c r="E585" s="2277" t="s">
        <v>3220</v>
      </c>
      <c r="F585" s="2278">
        <v>12</v>
      </c>
      <c r="G585" s="2278"/>
      <c r="H585" s="2279">
        <v>6000</v>
      </c>
      <c r="I585" s="6539">
        <v>6000</v>
      </c>
      <c r="J585" s="6539"/>
      <c r="K585" s="2277"/>
      <c r="L585" s="2277"/>
      <c r="M585" s="2280"/>
      <c r="N585" s="2280"/>
      <c r="O585" s="2280"/>
      <c r="P585" s="2277"/>
      <c r="Q585" s="2277"/>
      <c r="R585" s="2279">
        <v>6000</v>
      </c>
      <c r="S585" s="2279">
        <v>6000</v>
      </c>
      <c r="T585" s="2277"/>
    </row>
    <row r="586" spans="1:20" ht="12" customHeight="1" outlineLevel="1" x14ac:dyDescent="0.2">
      <c r="A586" s="6538" t="s">
        <v>3372</v>
      </c>
      <c r="B586" s="6538"/>
      <c r="C586" s="2275">
        <v>638</v>
      </c>
      <c r="D586" s="2276" t="s">
        <v>2589</v>
      </c>
      <c r="E586" s="2277" t="s">
        <v>3220</v>
      </c>
      <c r="F586" s="2278">
        <v>12</v>
      </c>
      <c r="G586" s="2278"/>
      <c r="H586" s="2279">
        <v>6000</v>
      </c>
      <c r="I586" s="6539">
        <v>6000</v>
      </c>
      <c r="J586" s="6539"/>
      <c r="K586" s="2277"/>
      <c r="L586" s="2277"/>
      <c r="M586" s="2280"/>
      <c r="N586" s="2280"/>
      <c r="O586" s="2280"/>
      <c r="P586" s="2277"/>
      <c r="Q586" s="2277"/>
      <c r="R586" s="2279">
        <v>6000</v>
      </c>
      <c r="S586" s="2279">
        <v>6000</v>
      </c>
      <c r="T586" s="2277"/>
    </row>
    <row r="587" spans="1:20" ht="12" customHeight="1" outlineLevel="1" x14ac:dyDescent="0.2">
      <c r="A587" s="6538" t="s">
        <v>3320</v>
      </c>
      <c r="B587" s="6538"/>
      <c r="C587" s="2275">
        <v>584</v>
      </c>
      <c r="D587" s="2276" t="s">
        <v>3321</v>
      </c>
      <c r="E587" s="2277" t="s">
        <v>3441</v>
      </c>
      <c r="F587" s="2278">
        <v>1</v>
      </c>
      <c r="G587" s="2278"/>
      <c r="H587" s="2279">
        <v>11000</v>
      </c>
      <c r="I587" s="6539">
        <v>11000</v>
      </c>
      <c r="J587" s="6539"/>
      <c r="K587" s="2277"/>
      <c r="L587" s="2277"/>
      <c r="M587" s="2280"/>
      <c r="N587" s="2280"/>
      <c r="O587" s="2280"/>
      <c r="P587" s="2277"/>
      <c r="Q587" s="2277"/>
      <c r="R587" s="2279">
        <v>11000</v>
      </c>
      <c r="S587" s="2279">
        <v>11000</v>
      </c>
      <c r="T587" s="2277"/>
    </row>
    <row r="588" spans="1:20" ht="12" customHeight="1" outlineLevel="1" x14ac:dyDescent="0.2">
      <c r="A588" s="6538" t="s">
        <v>3442</v>
      </c>
      <c r="B588" s="6538"/>
      <c r="C588" s="2275">
        <v>397</v>
      </c>
      <c r="D588" s="2276" t="s">
        <v>3443</v>
      </c>
      <c r="E588" s="2277" t="s">
        <v>3353</v>
      </c>
      <c r="F588" s="2278">
        <v>120</v>
      </c>
      <c r="G588" s="2278"/>
      <c r="H588" s="2279">
        <v>4680</v>
      </c>
      <c r="I588" s="6539">
        <v>4680</v>
      </c>
      <c r="J588" s="6539"/>
      <c r="K588" s="2277"/>
      <c r="L588" s="2277"/>
      <c r="M588" s="2280"/>
      <c r="N588" s="2280"/>
      <c r="O588" s="2280"/>
      <c r="P588" s="2277"/>
      <c r="Q588" s="2277"/>
      <c r="R588" s="2279">
        <v>4680</v>
      </c>
      <c r="S588" s="2279">
        <v>4680</v>
      </c>
      <c r="T588" s="2277"/>
    </row>
    <row r="589" spans="1:20" ht="12" customHeight="1" outlineLevel="1" x14ac:dyDescent="0.2">
      <c r="A589" s="6538" t="s">
        <v>3444</v>
      </c>
      <c r="B589" s="6538"/>
      <c r="C589" s="2275">
        <v>309</v>
      </c>
      <c r="D589" s="2276" t="s">
        <v>2288</v>
      </c>
      <c r="E589" s="2277" t="s">
        <v>3445</v>
      </c>
      <c r="F589" s="2278">
        <v>120</v>
      </c>
      <c r="G589" s="2278"/>
      <c r="H589" s="2279">
        <v>5850</v>
      </c>
      <c r="I589" s="6539">
        <v>5850</v>
      </c>
      <c r="J589" s="6539"/>
      <c r="K589" s="2277"/>
      <c r="L589" s="2277"/>
      <c r="M589" s="2280"/>
      <c r="N589" s="2280"/>
      <c r="O589" s="2280"/>
      <c r="P589" s="2277"/>
      <c r="Q589" s="2277"/>
      <c r="R589" s="2279">
        <v>5850</v>
      </c>
      <c r="S589" s="2279">
        <v>5850</v>
      </c>
      <c r="T589" s="2277"/>
    </row>
    <row r="590" spans="1:20" ht="12" customHeight="1" outlineLevel="1" x14ac:dyDescent="0.2">
      <c r="A590" s="6538" t="s">
        <v>3446</v>
      </c>
      <c r="B590" s="6538"/>
      <c r="C590" s="2275">
        <v>536</v>
      </c>
      <c r="D590" s="2276" t="s">
        <v>3310</v>
      </c>
      <c r="E590" s="2277" t="s">
        <v>3220</v>
      </c>
      <c r="F590" s="2278">
        <v>120</v>
      </c>
      <c r="G590" s="2278"/>
      <c r="H590" s="2279">
        <v>3000</v>
      </c>
      <c r="I590" s="6539">
        <v>3000</v>
      </c>
      <c r="J590" s="6539"/>
      <c r="K590" s="2277"/>
      <c r="L590" s="2277"/>
      <c r="M590" s="2280"/>
      <c r="N590" s="2280"/>
      <c r="O590" s="2280"/>
      <c r="P590" s="2277"/>
      <c r="Q590" s="2277"/>
      <c r="R590" s="2279">
        <v>3000</v>
      </c>
      <c r="S590" s="2279">
        <v>3000</v>
      </c>
      <c r="T590" s="2277"/>
    </row>
    <row r="591" spans="1:20" ht="12" customHeight="1" outlineLevel="1" x14ac:dyDescent="0.2">
      <c r="A591" s="6538" t="s">
        <v>3447</v>
      </c>
      <c r="B591" s="6538"/>
      <c r="C591" s="2275">
        <v>585</v>
      </c>
      <c r="D591" s="2276" t="s">
        <v>2931</v>
      </c>
      <c r="E591" s="2277" t="s">
        <v>2637</v>
      </c>
      <c r="F591" s="2278">
        <v>1</v>
      </c>
      <c r="G591" s="2278"/>
      <c r="H591" s="2279">
        <v>11666.67</v>
      </c>
      <c r="I591" s="6539">
        <v>11666.67</v>
      </c>
      <c r="J591" s="6539"/>
      <c r="K591" s="2277"/>
      <c r="L591" s="2277"/>
      <c r="M591" s="2280"/>
      <c r="N591" s="2280"/>
      <c r="O591" s="2280"/>
      <c r="P591" s="2277"/>
      <c r="Q591" s="2277"/>
      <c r="R591" s="2279">
        <v>11666.67</v>
      </c>
      <c r="S591" s="2279">
        <v>11666.67</v>
      </c>
      <c r="T591" s="2277"/>
    </row>
    <row r="592" spans="1:20" ht="12" customHeight="1" outlineLevel="1" x14ac:dyDescent="0.2">
      <c r="A592" s="6538" t="s">
        <v>3448</v>
      </c>
      <c r="B592" s="6538"/>
      <c r="C592" s="2275">
        <v>586</v>
      </c>
      <c r="D592" s="2276" t="s">
        <v>2931</v>
      </c>
      <c r="E592" s="2277" t="s">
        <v>3449</v>
      </c>
      <c r="F592" s="2278">
        <v>1</v>
      </c>
      <c r="G592" s="2278"/>
      <c r="H592" s="2279">
        <v>17500</v>
      </c>
      <c r="I592" s="6539">
        <v>17500</v>
      </c>
      <c r="J592" s="6539"/>
      <c r="K592" s="2277"/>
      <c r="L592" s="2277"/>
      <c r="M592" s="2280"/>
      <c r="N592" s="2280"/>
      <c r="O592" s="2280"/>
      <c r="P592" s="2277"/>
      <c r="Q592" s="2277"/>
      <c r="R592" s="2279">
        <v>17500</v>
      </c>
      <c r="S592" s="2279">
        <v>17500</v>
      </c>
      <c r="T592" s="2277"/>
    </row>
    <row r="593" spans="1:20" ht="23.25" customHeight="1" outlineLevel="1" x14ac:dyDescent="0.2">
      <c r="A593" s="6538" t="s">
        <v>3450</v>
      </c>
      <c r="B593" s="6538"/>
      <c r="C593" s="2275">
        <v>2024</v>
      </c>
      <c r="D593" s="2276" t="s">
        <v>3397</v>
      </c>
      <c r="E593" s="2277" t="s">
        <v>3451</v>
      </c>
      <c r="F593" s="2278">
        <v>84</v>
      </c>
      <c r="G593" s="2278"/>
      <c r="H593" s="2279">
        <v>13810</v>
      </c>
      <c r="I593" s="6539">
        <v>13810</v>
      </c>
      <c r="J593" s="6539"/>
      <c r="K593" s="2277"/>
      <c r="L593" s="2277"/>
      <c r="M593" s="2280"/>
      <c r="N593" s="2280"/>
      <c r="O593" s="2280"/>
      <c r="P593" s="2277"/>
      <c r="Q593" s="2277"/>
      <c r="R593" s="2279">
        <v>13810</v>
      </c>
      <c r="S593" s="2279">
        <v>13810</v>
      </c>
      <c r="T593" s="2277"/>
    </row>
    <row r="594" spans="1:20" ht="12" customHeight="1" outlineLevel="1" x14ac:dyDescent="0.2">
      <c r="A594" s="6538" t="s">
        <v>3452</v>
      </c>
      <c r="B594" s="6538"/>
      <c r="C594" s="2275">
        <v>520</v>
      </c>
      <c r="D594" s="2276" t="s">
        <v>2972</v>
      </c>
      <c r="E594" s="2277" t="s">
        <v>3108</v>
      </c>
      <c r="F594" s="2278">
        <v>120</v>
      </c>
      <c r="G594" s="2278"/>
      <c r="H594" s="2279">
        <v>1000</v>
      </c>
      <c r="I594" s="6539">
        <v>1000</v>
      </c>
      <c r="J594" s="6539"/>
      <c r="K594" s="2277"/>
      <c r="L594" s="2277"/>
      <c r="M594" s="2280"/>
      <c r="N594" s="2280"/>
      <c r="O594" s="2280"/>
      <c r="P594" s="2277"/>
      <c r="Q594" s="2277"/>
      <c r="R594" s="2279">
        <v>1000</v>
      </c>
      <c r="S594" s="2279">
        <v>1000</v>
      </c>
      <c r="T594" s="2277"/>
    </row>
    <row r="595" spans="1:20" ht="12" customHeight="1" outlineLevel="1" x14ac:dyDescent="0.2">
      <c r="A595" s="6538" t="s">
        <v>3453</v>
      </c>
      <c r="B595" s="6538"/>
      <c r="C595" s="2275">
        <v>733</v>
      </c>
      <c r="D595" s="2276" t="s">
        <v>3064</v>
      </c>
      <c r="E595" s="2277" t="s">
        <v>3454</v>
      </c>
      <c r="F595" s="2278">
        <v>84</v>
      </c>
      <c r="G595" s="2278"/>
      <c r="H595" s="2279">
        <v>13000.02</v>
      </c>
      <c r="I595" s="6539">
        <v>13000.02</v>
      </c>
      <c r="J595" s="6539"/>
      <c r="K595" s="2277"/>
      <c r="L595" s="2277"/>
      <c r="M595" s="2280"/>
      <c r="N595" s="2280"/>
      <c r="O595" s="2280"/>
      <c r="P595" s="2277"/>
      <c r="Q595" s="2277"/>
      <c r="R595" s="2279">
        <v>13000.02</v>
      </c>
      <c r="S595" s="2279">
        <v>13000.02</v>
      </c>
      <c r="T595" s="2277"/>
    </row>
    <row r="596" spans="1:20" ht="12" customHeight="1" outlineLevel="1" x14ac:dyDescent="0.2">
      <c r="A596" s="6538" t="s">
        <v>3455</v>
      </c>
      <c r="B596" s="6538"/>
      <c r="C596" s="2275">
        <v>227</v>
      </c>
      <c r="D596" s="2276" t="s">
        <v>2570</v>
      </c>
      <c r="E596" s="2277" t="s">
        <v>3456</v>
      </c>
      <c r="F596" s="2278">
        <v>120</v>
      </c>
      <c r="G596" s="2278"/>
      <c r="H596" s="2279">
        <v>2499</v>
      </c>
      <c r="I596" s="6539">
        <v>2499</v>
      </c>
      <c r="J596" s="6539"/>
      <c r="K596" s="2277"/>
      <c r="L596" s="2277"/>
      <c r="M596" s="2280"/>
      <c r="N596" s="2280"/>
      <c r="O596" s="2280"/>
      <c r="P596" s="2277"/>
      <c r="Q596" s="2277"/>
      <c r="R596" s="2279">
        <v>2499</v>
      </c>
      <c r="S596" s="2279">
        <v>2499</v>
      </c>
      <c r="T596" s="2277"/>
    </row>
    <row r="597" spans="1:20" s="2302" customFormat="1" ht="12.75" customHeight="1" x14ac:dyDescent="0.2">
      <c r="A597" s="6540" t="s">
        <v>54</v>
      </c>
      <c r="B597" s="6540"/>
      <c r="C597" s="6540"/>
      <c r="D597" s="6540"/>
      <c r="E597" s="6540"/>
      <c r="F597" s="6540"/>
      <c r="G597" s="2328"/>
      <c r="H597" s="2329">
        <v>346069593.33999997</v>
      </c>
      <c r="I597" s="6541">
        <v>197864884.80000001</v>
      </c>
      <c r="J597" s="6541"/>
      <c r="K597" s="2329">
        <v>148204708.53999999</v>
      </c>
      <c r="L597" s="2329">
        <v>2680490.5299999998</v>
      </c>
      <c r="M597" s="2329">
        <v>15147049.16</v>
      </c>
      <c r="N597" s="2329"/>
      <c r="O597" s="2329"/>
      <c r="P597" s="2329">
        <v>383946.62</v>
      </c>
      <c r="Q597" s="2329">
        <v>374708.6</v>
      </c>
      <c r="R597" s="2329">
        <v>348366137.25</v>
      </c>
      <c r="S597" s="2329">
        <v>212637225.36000001</v>
      </c>
      <c r="T597" s="2329">
        <v>135728911.88999999</v>
      </c>
    </row>
    <row r="605" spans="1:20" x14ac:dyDescent="0.2">
      <c r="K605" s="155">
        <f>Аморт!$AC$19</f>
        <v>14990.669999999998</v>
      </c>
    </row>
    <row r="606" spans="1:20" x14ac:dyDescent="0.2">
      <c r="K606" s="155">
        <f>'ОХР '!$AU$24</f>
        <v>131.28384</v>
      </c>
    </row>
    <row r="607" spans="1:20" x14ac:dyDescent="0.2">
      <c r="K607" s="155">
        <f>SUM(K605:K606)</f>
        <v>15121.953839999998</v>
      </c>
    </row>
  </sheetData>
  <mergeCells count="1163"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1" customWidth="1"/>
    <col min="2" max="2" width="20" style="2091" customWidth="1"/>
    <col min="3" max="16384" width="9.140625" style="5"/>
  </cols>
  <sheetData>
    <row r="3" spans="1:2" ht="38.25" x14ac:dyDescent="0.2">
      <c r="A3" s="371" t="s">
        <v>3457</v>
      </c>
      <c r="B3" s="2091" t="s">
        <v>3458</v>
      </c>
    </row>
    <row r="4" spans="1:2" x14ac:dyDescent="0.2">
      <c r="A4" s="371" t="s">
        <v>3459</v>
      </c>
      <c r="B4" s="2091">
        <v>524</v>
      </c>
    </row>
    <row r="5" spans="1:2" x14ac:dyDescent="0.2">
      <c r="A5" s="371" t="s">
        <v>2179</v>
      </c>
      <c r="B5" s="2248">
        <v>733651</v>
      </c>
    </row>
    <row r="6" spans="1:2" x14ac:dyDescent="0.2">
      <c r="A6" s="371" t="s">
        <v>3460</v>
      </c>
    </row>
    <row r="7" spans="1:2" x14ac:dyDescent="0.2">
      <c r="A7" s="371" t="s">
        <v>227</v>
      </c>
      <c r="B7" s="2248">
        <v>87229.68</v>
      </c>
    </row>
    <row r="8" spans="1:2" x14ac:dyDescent="0.2">
      <c r="A8" s="371" t="s">
        <v>362</v>
      </c>
      <c r="B8" s="2248">
        <v>240668.86</v>
      </c>
    </row>
    <row r="9" spans="1:2" x14ac:dyDescent="0.2">
      <c r="A9" s="6559" t="s">
        <v>815</v>
      </c>
      <c r="B9" s="2248">
        <f>781369.74</f>
        <v>781369.74</v>
      </c>
    </row>
    <row r="10" spans="1:2" x14ac:dyDescent="0.2">
      <c r="A10" s="6559"/>
      <c r="B10" s="2248">
        <v>197603</v>
      </c>
    </row>
    <row r="11" spans="1:2" x14ac:dyDescent="0.2">
      <c r="A11" s="6559"/>
      <c r="B11" s="2248">
        <v>192436</v>
      </c>
    </row>
    <row r="12" spans="1:2" x14ac:dyDescent="0.2">
      <c r="A12" s="6559"/>
      <c r="B12" s="2248">
        <v>58123.19</v>
      </c>
    </row>
    <row r="13" spans="1:2" x14ac:dyDescent="0.2">
      <c r="A13" s="6559"/>
      <c r="B13" s="2248">
        <v>773781.07</v>
      </c>
    </row>
    <row r="14" spans="1:2" x14ac:dyDescent="0.2">
      <c r="A14" s="6559"/>
      <c r="B14" s="2248">
        <v>59129.02</v>
      </c>
    </row>
    <row r="15" spans="1:2" x14ac:dyDescent="0.2">
      <c r="A15" s="371" t="s">
        <v>3461</v>
      </c>
      <c r="B15" s="2248">
        <f>SUM(B5:B14)</f>
        <v>3123991.56</v>
      </c>
    </row>
    <row r="16" spans="1:2" x14ac:dyDescent="0.2">
      <c r="B16" s="2248"/>
    </row>
    <row r="17" spans="1:2" ht="25.5" x14ac:dyDescent="0.2">
      <c r="A17" s="2091" t="s">
        <v>3465</v>
      </c>
      <c r="B17" s="2333">
        <f>2232958.28</f>
        <v>2232958.2799999998</v>
      </c>
    </row>
    <row r="18" spans="1:2" x14ac:dyDescent="0.2">
      <c r="A18" s="371" t="s">
        <v>3463</v>
      </c>
      <c r="B18" s="2248">
        <v>647</v>
      </c>
    </row>
    <row r="19" spans="1:2" x14ac:dyDescent="0.2">
      <c r="A19" s="5" t="s">
        <v>3464</v>
      </c>
      <c r="B19" s="2248">
        <f>B17/B18</f>
        <v>3451.2492735703245</v>
      </c>
    </row>
    <row r="20" spans="1:2" ht="25.5" x14ac:dyDescent="0.2">
      <c r="A20" s="2092" t="s">
        <v>3462</v>
      </c>
      <c r="B20" s="2333">
        <f>B19*5</f>
        <v>17256.246367851621</v>
      </c>
    </row>
    <row r="21" spans="1:2" ht="25.5" x14ac:dyDescent="0.2">
      <c r="A21" s="2092" t="s">
        <v>3466</v>
      </c>
      <c r="B21" s="2333">
        <f>B17+B12</f>
        <v>2291081.4699999997</v>
      </c>
    </row>
    <row r="22" spans="1:2" s="371" customFormat="1" ht="16.5" customHeight="1" x14ac:dyDescent="0.2">
      <c r="A22" s="371" t="s">
        <v>3464</v>
      </c>
      <c r="B22" s="2333">
        <f>B21/647</f>
        <v>3541.0841885625964</v>
      </c>
    </row>
    <row r="23" spans="1:2" ht="25.5" x14ac:dyDescent="0.2">
      <c r="A23" s="2092" t="s">
        <v>3467</v>
      </c>
      <c r="B23" s="2334">
        <f>B22*6</f>
        <v>21246.505131375579</v>
      </c>
    </row>
    <row r="24" spans="1:2" ht="25.5" x14ac:dyDescent="0.2">
      <c r="A24" s="2092" t="s">
        <v>3468</v>
      </c>
      <c r="B24" s="2248">
        <f>B15</f>
        <v>3123991.56</v>
      </c>
    </row>
    <row r="25" spans="1:2" x14ac:dyDescent="0.2">
      <c r="A25" s="371" t="s">
        <v>3464</v>
      </c>
      <c r="B25" s="2248">
        <f>B24/647</f>
        <v>4828.4259041731066</v>
      </c>
    </row>
    <row r="26" spans="1:2" ht="25.5" x14ac:dyDescent="0.2">
      <c r="A26" s="2092" t="s">
        <v>3469</v>
      </c>
      <c r="B26" s="2333">
        <f>B25*2</f>
        <v>9656.8518083462131</v>
      </c>
    </row>
    <row r="27" spans="1:2" x14ac:dyDescent="0.2">
      <c r="A27" s="371" t="s">
        <v>3470</v>
      </c>
      <c r="B27" s="2248">
        <f>B20+B23+B26</f>
        <v>48159.603307573416</v>
      </c>
    </row>
    <row r="30" spans="1:2" x14ac:dyDescent="0.2">
      <c r="A30" s="371" t="s">
        <v>3471</v>
      </c>
      <c r="B30" s="2248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248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6561"/>
      <c r="B2" s="6560" t="s">
        <v>2165</v>
      </c>
      <c r="C2" s="6560" t="s">
        <v>2166</v>
      </c>
      <c r="D2" s="6561" t="s">
        <v>2167</v>
      </c>
      <c r="E2" s="6561"/>
      <c r="F2" s="6561"/>
      <c r="G2" s="6561"/>
      <c r="H2" s="6562" t="s">
        <v>2168</v>
      </c>
    </row>
    <row r="3" spans="1:8" x14ac:dyDescent="0.2">
      <c r="A3" s="6561"/>
      <c r="B3" s="6560"/>
      <c r="C3" s="6560"/>
      <c r="D3" s="2249" t="s">
        <v>815</v>
      </c>
      <c r="E3" s="1669" t="s">
        <v>892</v>
      </c>
      <c r="F3" s="1669" t="s">
        <v>893</v>
      </c>
      <c r="G3" s="1669" t="s">
        <v>1799</v>
      </c>
      <c r="H3" s="6562"/>
    </row>
    <row r="4" spans="1:8" x14ac:dyDescent="0.2">
      <c r="A4" s="1669" t="s">
        <v>345</v>
      </c>
      <c r="B4" s="1596">
        <f>ИП!B6</f>
        <v>13075</v>
      </c>
      <c r="C4" s="1596">
        <f>ИП!G32</f>
        <v>1098.6578</v>
      </c>
      <c r="D4" s="1596">
        <f>'вода 2019-2023 коррект'!F42</f>
        <v>0</v>
      </c>
      <c r="E4" s="1596">
        <f>'вода 2019-2023 коррект'!K42</f>
        <v>-1205.44</v>
      </c>
      <c r="F4" s="1596">
        <f>'вода 2019-2023 коррект'!P42</f>
        <v>-6624.9</v>
      </c>
      <c r="G4" s="2260">
        <v>-4146</v>
      </c>
      <c r="H4" s="1870">
        <f>B4-C4+D4+E4+G4+F4</f>
        <v>2.1999999989930075E-3</v>
      </c>
    </row>
    <row r="5" spans="1:8" x14ac:dyDescent="0.2">
      <c r="A5" s="1669" t="s">
        <v>335</v>
      </c>
      <c r="B5" s="1596">
        <f>ИП!B14</f>
        <v>8516</v>
      </c>
      <c r="C5" s="1596">
        <f>ИП!G46</f>
        <v>1044.8820000000001</v>
      </c>
      <c r="D5" s="1595">
        <v>0</v>
      </c>
      <c r="E5" s="1596">
        <f>'стоки 2019-2023'!M41</f>
        <v>0</v>
      </c>
      <c r="F5" s="1596">
        <f>'стоки 2019-2023'!Q41</f>
        <v>-3902.11</v>
      </c>
      <c r="G5" s="2260">
        <v>-3569.01</v>
      </c>
      <c r="H5" s="1870">
        <f>B5-C5+D5+E5+G5+F5</f>
        <v>-1.9999999999527063E-3</v>
      </c>
    </row>
    <row r="6" spans="1:8" x14ac:dyDescent="0.2">
      <c r="A6" s="1669"/>
      <c r="B6" s="1669"/>
      <c r="C6" s="1669"/>
      <c r="D6" s="1595"/>
      <c r="E6" s="1595"/>
      <c r="F6" s="1595"/>
      <c r="G6" s="1595"/>
      <c r="H6" s="1870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5142" t="s">
        <v>1666</v>
      </c>
      <c r="J1" s="5142"/>
      <c r="K1" s="5142"/>
    </row>
    <row r="2" spans="1:11" x14ac:dyDescent="0.2">
      <c r="A2" s="5124" t="s">
        <v>1669</v>
      </c>
      <c r="B2" s="5124"/>
      <c r="C2" s="5124"/>
      <c r="D2" s="5124"/>
      <c r="E2" s="5124"/>
      <c r="F2" s="5124"/>
      <c r="G2" s="5124"/>
      <c r="H2" s="5124"/>
      <c r="I2" s="5124"/>
      <c r="J2" s="5124"/>
      <c r="K2" s="5124"/>
    </row>
    <row r="3" spans="1:11" x14ac:dyDescent="0.2">
      <c r="A3" s="5155" t="s">
        <v>525</v>
      </c>
      <c r="B3" s="5864" t="s">
        <v>1557</v>
      </c>
      <c r="C3" s="6568"/>
      <c r="D3" s="6568"/>
      <c r="E3" s="6568"/>
      <c r="F3" s="6536"/>
    </row>
    <row r="4" spans="1:11" x14ac:dyDescent="0.2">
      <c r="A4" s="5155"/>
      <c r="B4" s="1769" t="s">
        <v>614</v>
      </c>
      <c r="C4" s="1757" t="s">
        <v>227</v>
      </c>
      <c r="D4" s="1757" t="s">
        <v>362</v>
      </c>
      <c r="E4" s="1757" t="s">
        <v>815</v>
      </c>
      <c r="F4" s="1757" t="s">
        <v>892</v>
      </c>
    </row>
    <row r="5" spans="1:11" x14ac:dyDescent="0.2">
      <c r="A5" s="5154" t="s">
        <v>345</v>
      </c>
      <c r="B5" s="5154"/>
      <c r="C5" s="5154"/>
      <c r="D5" s="5154"/>
      <c r="E5" s="5154"/>
      <c r="F5" s="5154"/>
    </row>
    <row r="6" spans="1:11" s="371" customFormat="1" ht="18.75" customHeight="1" x14ac:dyDescent="0.2">
      <c r="A6" s="1674" t="s">
        <v>1555</v>
      </c>
      <c r="B6" s="1817">
        <f>SUM(C6:E6)</f>
        <v>13075</v>
      </c>
      <c r="C6" s="1745">
        <v>4655</v>
      </c>
      <c r="D6" s="1745">
        <v>4444</v>
      </c>
      <c r="E6" s="1745">
        <v>3976</v>
      </c>
      <c r="F6" s="1745">
        <v>0</v>
      </c>
    </row>
    <row r="7" spans="1:11" s="371" customFormat="1" ht="19.5" customHeight="1" x14ac:dyDescent="0.2">
      <c r="A7" s="1674" t="s">
        <v>1558</v>
      </c>
      <c r="B7" s="1817">
        <f>SUM(C7:E7)</f>
        <v>1098.6578</v>
      </c>
      <c r="C7" s="1745">
        <f>C11</f>
        <v>745.56</v>
      </c>
      <c r="D7" s="1745">
        <f>D11</f>
        <v>353.09780000000001</v>
      </c>
      <c r="E7" s="1745">
        <f t="shared" ref="E7:F7" si="0">E11</f>
        <v>0</v>
      </c>
      <c r="F7" s="1745">
        <f t="shared" si="0"/>
        <v>0</v>
      </c>
    </row>
    <row r="8" spans="1:11" s="1763" customFormat="1" x14ac:dyDescent="0.2">
      <c r="A8" s="1760" t="s">
        <v>1559</v>
      </c>
      <c r="B8" s="1770">
        <f t="shared" ref="B8:B11" si="1">SUM(C8:E8)</f>
        <v>0</v>
      </c>
      <c r="C8" s="1761"/>
      <c r="D8" s="1761"/>
      <c r="E8" s="1761"/>
      <c r="F8" s="1761"/>
    </row>
    <row r="9" spans="1:11" s="1763" customFormat="1" x14ac:dyDescent="0.2">
      <c r="A9" s="1760" t="s">
        <v>1560</v>
      </c>
      <c r="B9" s="1770">
        <f t="shared" si="1"/>
        <v>0</v>
      </c>
      <c r="C9" s="1761"/>
      <c r="D9" s="1761"/>
      <c r="E9" s="1761"/>
      <c r="F9" s="1761"/>
    </row>
    <row r="10" spans="1:11" s="1763" customFormat="1" x14ac:dyDescent="0.2">
      <c r="A10" s="1760" t="s">
        <v>1561</v>
      </c>
      <c r="B10" s="1770">
        <f t="shared" si="1"/>
        <v>0</v>
      </c>
      <c r="C10" s="1761"/>
      <c r="D10" s="1761"/>
      <c r="E10" s="1761"/>
      <c r="F10" s="1761"/>
    </row>
    <row r="11" spans="1:11" s="1763" customFormat="1" x14ac:dyDescent="0.2">
      <c r="A11" s="1760" t="s">
        <v>127</v>
      </c>
      <c r="B11" s="1770">
        <f t="shared" si="1"/>
        <v>1098.6578</v>
      </c>
      <c r="C11" s="1761">
        <v>745.56</v>
      </c>
      <c r="D11" s="1761">
        <v>353.09780000000001</v>
      </c>
      <c r="E11" s="1761"/>
      <c r="F11" s="1761"/>
    </row>
    <row r="12" spans="1:11" s="371" customFormat="1" ht="18.75" customHeight="1" x14ac:dyDescent="0.2">
      <c r="A12" s="1674" t="s">
        <v>1558</v>
      </c>
      <c r="B12" s="1817">
        <f>SUM(C12:E12)</f>
        <v>11976.342199999999</v>
      </c>
      <c r="C12" s="1818">
        <f>C6-C7</f>
        <v>3909.44</v>
      </c>
      <c r="D12" s="1818">
        <f>D6-D7</f>
        <v>4090.9022</v>
      </c>
      <c r="E12" s="1818">
        <f>E6-E7</f>
        <v>3976</v>
      </c>
      <c r="F12" s="1818">
        <f>F6-F7</f>
        <v>0</v>
      </c>
    </row>
    <row r="13" spans="1:11" x14ac:dyDescent="0.2">
      <c r="A13" s="5154" t="s">
        <v>335</v>
      </c>
      <c r="B13" s="5154"/>
      <c r="C13" s="5154"/>
      <c r="D13" s="5154"/>
      <c r="E13" s="5154"/>
      <c r="F13" s="5154"/>
    </row>
    <row r="14" spans="1:11" s="371" customFormat="1" ht="18.75" customHeight="1" x14ac:dyDescent="0.2">
      <c r="A14" s="1674" t="s">
        <v>1555</v>
      </c>
      <c r="B14" s="1817">
        <f>SUM(C14:E14)</f>
        <v>8516</v>
      </c>
      <c r="C14" s="1745">
        <v>4947</v>
      </c>
      <c r="D14" s="1745">
        <v>3568.1</v>
      </c>
      <c r="E14" s="1745">
        <v>0.9</v>
      </c>
      <c r="F14" s="1745">
        <v>0</v>
      </c>
    </row>
    <row r="15" spans="1:11" s="371" customFormat="1" ht="18" customHeight="1" x14ac:dyDescent="0.2">
      <c r="A15" s="1674" t="s">
        <v>1556</v>
      </c>
      <c r="B15" s="1817">
        <f>SUM(C15:E15)</f>
        <v>1044.8820000000001</v>
      </c>
      <c r="C15" s="1745">
        <f>C19</f>
        <v>1044.8820000000001</v>
      </c>
      <c r="D15" s="1745">
        <f t="shared" ref="D15:E15" si="2">D19</f>
        <v>0</v>
      </c>
      <c r="E15" s="1745">
        <f t="shared" si="2"/>
        <v>0</v>
      </c>
      <c r="F15" s="1745"/>
    </row>
    <row r="16" spans="1:11" s="1763" customFormat="1" x14ac:dyDescent="0.2">
      <c r="A16" s="1760" t="s">
        <v>1559</v>
      </c>
      <c r="B16" s="1770">
        <f t="shared" ref="B16:B19" si="3">SUM(C16:E16)</f>
        <v>0</v>
      </c>
      <c r="C16" s="1761"/>
      <c r="D16" s="1761"/>
      <c r="E16" s="1761"/>
      <c r="F16" s="1761"/>
    </row>
    <row r="17" spans="1:11" s="1763" customFormat="1" ht="14.25" customHeight="1" x14ac:dyDescent="0.2">
      <c r="A17" s="1760" t="s">
        <v>1560</v>
      </c>
      <c r="B17" s="1770">
        <f t="shared" si="3"/>
        <v>0</v>
      </c>
      <c r="C17" s="1761"/>
      <c r="D17" s="1761"/>
      <c r="E17" s="1761"/>
      <c r="F17" s="1761"/>
    </row>
    <row r="18" spans="1:11" s="1763" customFormat="1" ht="13.5" customHeight="1" x14ac:dyDescent="0.2">
      <c r="A18" s="1760" t="s">
        <v>1561</v>
      </c>
      <c r="B18" s="1770">
        <f t="shared" si="3"/>
        <v>0</v>
      </c>
      <c r="C18" s="1761"/>
      <c r="D18" s="1761"/>
      <c r="E18" s="1761"/>
      <c r="F18" s="1761"/>
    </row>
    <row r="19" spans="1:11" s="1763" customFormat="1" ht="13.5" customHeight="1" x14ac:dyDescent="0.2">
      <c r="A19" s="1760" t="s">
        <v>127</v>
      </c>
      <c r="B19" s="1770">
        <f t="shared" si="3"/>
        <v>1044.8820000000001</v>
      </c>
      <c r="C19" s="1761">
        <v>1044.8820000000001</v>
      </c>
      <c r="D19" s="1761">
        <v>0</v>
      </c>
      <c r="E19" s="1761"/>
      <c r="F19" s="1761"/>
    </row>
    <row r="20" spans="1:11" s="371" customFormat="1" ht="27" customHeight="1" x14ac:dyDescent="0.2">
      <c r="A20" s="1674" t="s">
        <v>1558</v>
      </c>
      <c r="B20" s="1817">
        <f>SUM(C20:E20)</f>
        <v>7471.1179999999995</v>
      </c>
      <c r="C20" s="1818">
        <f>C14-C15</f>
        <v>3902.1179999999999</v>
      </c>
      <c r="D20" s="1818">
        <f>D14-D15</f>
        <v>3568.1</v>
      </c>
      <c r="E20" s="1818">
        <f>E14-E15</f>
        <v>0.9</v>
      </c>
      <c r="F20" s="1818">
        <f>F14-F15</f>
        <v>0</v>
      </c>
    </row>
    <row r="21" spans="1:11" x14ac:dyDescent="0.2">
      <c r="A21" s="5155" t="s">
        <v>525</v>
      </c>
      <c r="B21" s="5864" t="s">
        <v>1557</v>
      </c>
      <c r="C21" s="6568"/>
      <c r="D21" s="6568"/>
      <c r="E21" s="6568"/>
      <c r="F21" s="6536"/>
      <c r="G21" s="5864" t="s">
        <v>1638</v>
      </c>
      <c r="H21" s="6568"/>
      <c r="I21" s="6568"/>
      <c r="J21" s="6568"/>
      <c r="K21" s="6536"/>
    </row>
    <row r="22" spans="1:11" x14ac:dyDescent="0.2">
      <c r="A22" s="5155"/>
      <c r="B22" s="1769" t="s">
        <v>614</v>
      </c>
      <c r="C22" s="1757" t="s">
        <v>227</v>
      </c>
      <c r="D22" s="1757" t="s">
        <v>362</v>
      </c>
      <c r="E22" s="1757" t="s">
        <v>815</v>
      </c>
      <c r="F22" s="1757" t="s">
        <v>892</v>
      </c>
      <c r="G22" s="1769" t="s">
        <v>614</v>
      </c>
      <c r="H22" s="1757" t="s">
        <v>227</v>
      </c>
      <c r="I22" s="1757" t="s">
        <v>362</v>
      </c>
      <c r="J22" s="1757" t="s">
        <v>815</v>
      </c>
      <c r="K22" s="1757" t="s">
        <v>892</v>
      </c>
    </row>
    <row r="23" spans="1:11" x14ac:dyDescent="0.2">
      <c r="A23" s="5" t="s">
        <v>345</v>
      </c>
    </row>
    <row r="24" spans="1:11" x14ac:dyDescent="0.2">
      <c r="A24" s="1674" t="s">
        <v>1555</v>
      </c>
      <c r="B24" s="1817">
        <f>C24+D24+E24+F24</f>
        <v>21110.170000000002</v>
      </c>
      <c r="C24" s="1864">
        <v>4655</v>
      </c>
      <c r="D24" s="1864">
        <v>4444</v>
      </c>
      <c r="E24" s="1864">
        <v>7523.51</v>
      </c>
      <c r="F24" s="1864">
        <f>4487.66</f>
        <v>4487.66</v>
      </c>
      <c r="G24" s="1751"/>
      <c r="H24" s="1751"/>
      <c r="I24" s="1751"/>
      <c r="J24" s="1751"/>
      <c r="K24" s="1751"/>
    </row>
    <row r="25" spans="1:11" x14ac:dyDescent="0.2">
      <c r="A25" s="1748" t="s">
        <v>1629</v>
      </c>
      <c r="B25" s="1817">
        <f t="shared" ref="B25:B36" si="4">C25+D25+E25+F25</f>
        <v>13075</v>
      </c>
      <c r="C25" s="1753">
        <v>4655</v>
      </c>
      <c r="D25" s="1753">
        <v>4444</v>
      </c>
      <c r="E25" s="1753">
        <v>3976</v>
      </c>
      <c r="F25" s="1753"/>
      <c r="G25" s="1751"/>
      <c r="H25" s="1751"/>
      <c r="I25" s="1751"/>
      <c r="J25" s="1751"/>
      <c r="K25" s="1751"/>
    </row>
    <row r="26" spans="1:11" x14ac:dyDescent="0.2">
      <c r="A26" s="1748" t="s">
        <v>1630</v>
      </c>
      <c r="B26" s="1817">
        <f t="shared" si="4"/>
        <v>8035.17</v>
      </c>
      <c r="C26" s="1753"/>
      <c r="D26" s="1753"/>
      <c r="E26" s="1753">
        <f>E24-E25</f>
        <v>3547.51</v>
      </c>
      <c r="F26" s="1753">
        <f>F24</f>
        <v>4487.66</v>
      </c>
      <c r="G26" s="1751"/>
      <c r="H26" s="1751"/>
      <c r="I26" s="1751"/>
      <c r="J26" s="1751"/>
      <c r="K26" s="1751"/>
    </row>
    <row r="27" spans="1:11" x14ac:dyDescent="0.2">
      <c r="A27" s="6570" t="s">
        <v>1628</v>
      </c>
      <c r="B27" s="1864"/>
      <c r="C27" s="6572" t="s">
        <v>1632</v>
      </c>
      <c r="D27" s="6572"/>
      <c r="E27" s="6572"/>
      <c r="F27" s="6572"/>
      <c r="G27" s="1751"/>
      <c r="H27" s="1751"/>
      <c r="I27" s="1751"/>
      <c r="J27" s="1751"/>
      <c r="K27" s="1751"/>
    </row>
    <row r="28" spans="1:11" ht="10.5" customHeight="1" x14ac:dyDescent="0.2">
      <c r="A28" s="6571"/>
      <c r="B28" s="1864">
        <f>B29+B30</f>
        <v>8035.17</v>
      </c>
      <c r="C28" s="1865">
        <f>C29+C30</f>
        <v>0</v>
      </c>
      <c r="D28" s="1865">
        <f t="shared" ref="D28:F28" si="5">D29+D30</f>
        <v>0</v>
      </c>
      <c r="E28" s="1865">
        <f t="shared" si="5"/>
        <v>3547.51</v>
      </c>
      <c r="F28" s="1865">
        <f t="shared" si="5"/>
        <v>4487.66</v>
      </c>
      <c r="G28" s="1751"/>
      <c r="H28" s="1751"/>
      <c r="I28" s="1751"/>
      <c r="J28" s="1751"/>
      <c r="K28" s="1751"/>
    </row>
    <row r="29" spans="1:11" s="371" customFormat="1" ht="38.25" customHeight="1" x14ac:dyDescent="0.2">
      <c r="A29" s="6573" t="s">
        <v>1631</v>
      </c>
      <c r="B29" s="1817">
        <f t="shared" si="4"/>
        <v>3300.06</v>
      </c>
      <c r="C29" s="1614"/>
      <c r="D29" s="1614"/>
      <c r="E29" s="1614">
        <v>1322.95</v>
      </c>
      <c r="F29" s="1614">
        <v>1977.11</v>
      </c>
      <c r="G29" s="1614"/>
      <c r="H29" s="1614"/>
      <c r="I29" s="1614"/>
      <c r="J29" s="1614"/>
      <c r="K29" s="1614"/>
    </row>
    <row r="30" spans="1:11" ht="13.5" customHeight="1" x14ac:dyDescent="0.2">
      <c r="A30" s="6573"/>
      <c r="B30" s="1817">
        <f t="shared" si="4"/>
        <v>4735.1100000000006</v>
      </c>
      <c r="C30" s="1751"/>
      <c r="D30" s="1751"/>
      <c r="E30" s="1751">
        <v>2224.56</v>
      </c>
      <c r="F30" s="1751">
        <v>2510.5500000000002</v>
      </c>
      <c r="G30" s="1751"/>
      <c r="H30" s="1751"/>
      <c r="I30" s="1751"/>
      <c r="J30" s="1751"/>
      <c r="K30" s="1751"/>
    </row>
    <row r="31" spans="1:11" x14ac:dyDescent="0.2">
      <c r="A31" s="1748"/>
      <c r="B31" s="6565" t="s">
        <v>1633</v>
      </c>
      <c r="C31" s="6566"/>
      <c r="D31" s="6566"/>
      <c r="E31" s="6566"/>
      <c r="F31" s="6566"/>
      <c r="G31" s="6567" t="s">
        <v>1638</v>
      </c>
      <c r="H31" s="6567"/>
      <c r="I31" s="6567"/>
      <c r="J31" s="6567"/>
      <c r="K31" s="6567"/>
    </row>
    <row r="32" spans="1:11" x14ac:dyDescent="0.2">
      <c r="A32" s="1748"/>
      <c r="B32" s="1844">
        <f>SUM(B33:B36)</f>
        <v>13075</v>
      </c>
      <c r="C32" s="1844">
        <f>SUM(C33:C36)</f>
        <v>4655</v>
      </c>
      <c r="D32" s="1844">
        <f t="shared" ref="D32:F32" si="6">SUM(D33:D36)</f>
        <v>4444</v>
      </c>
      <c r="E32" s="1844">
        <f t="shared" si="6"/>
        <v>3976</v>
      </c>
      <c r="F32" s="1844">
        <f t="shared" si="6"/>
        <v>0</v>
      </c>
      <c r="G32" s="1844">
        <f>SUM(G33:G36)</f>
        <v>1098.6578</v>
      </c>
      <c r="H32" s="1844">
        <f>SUM(H33:H36)</f>
        <v>745.56000000000006</v>
      </c>
      <c r="I32" s="1844">
        <f t="shared" ref="I32" si="7">SUM(I33:I36)</f>
        <v>353.09780000000001</v>
      </c>
      <c r="J32" s="1844">
        <f t="shared" ref="J32" si="8">SUM(J33:J36)</f>
        <v>0</v>
      </c>
      <c r="K32" s="1844">
        <f t="shared" ref="K32" si="9">SUM(K33:K36)</f>
        <v>0</v>
      </c>
    </row>
    <row r="33" spans="1:16" ht="22.5" customHeight="1" x14ac:dyDescent="0.2">
      <c r="A33" s="1916" t="s">
        <v>1634</v>
      </c>
      <c r="B33" s="1817">
        <f t="shared" si="4"/>
        <v>1951</v>
      </c>
      <c r="C33" s="1745">
        <v>1951</v>
      </c>
      <c r="D33" s="1745"/>
      <c r="E33" s="1745"/>
      <c r="F33" s="1745"/>
      <c r="G33" s="1817">
        <f t="shared" ref="G33:G36" si="10">H33+I33+J33+K33</f>
        <v>745.56000000000006</v>
      </c>
      <c r="H33" s="1745">
        <f>305.831+359.099+80.63</f>
        <v>745.56000000000006</v>
      </c>
      <c r="I33" s="1745">
        <v>0</v>
      </c>
      <c r="J33" s="1745">
        <v>0</v>
      </c>
      <c r="K33" s="1745">
        <v>0</v>
      </c>
      <c r="L33" s="371" t="s">
        <v>1652</v>
      </c>
      <c r="M33" s="1940">
        <f>B33-G33</f>
        <v>1205.44</v>
      </c>
      <c r="N33" s="5" t="s">
        <v>1709</v>
      </c>
    </row>
    <row r="34" spans="1:16" ht="25.5" x14ac:dyDescent="0.2">
      <c r="A34" s="1676" t="s">
        <v>1635</v>
      </c>
      <c r="B34" s="1817">
        <f t="shared" si="4"/>
        <v>4274</v>
      </c>
      <c r="C34" s="1745"/>
      <c r="D34" s="1745">
        <v>4274</v>
      </c>
      <c r="E34" s="1745"/>
      <c r="F34" s="1745"/>
      <c r="G34" s="1817">
        <f t="shared" si="10"/>
        <v>0</v>
      </c>
      <c r="H34" s="1745">
        <v>0</v>
      </c>
      <c r="I34" s="1745">
        <v>0</v>
      </c>
      <c r="J34" s="1745">
        <v>0</v>
      </c>
      <c r="K34" s="1745">
        <v>0</v>
      </c>
      <c r="L34" s="371" t="s">
        <v>1653</v>
      </c>
      <c r="M34" s="1941">
        <f t="shared" ref="M34:M36" si="11">B34-G34</f>
        <v>4274</v>
      </c>
      <c r="N34" s="5" t="s">
        <v>2026</v>
      </c>
      <c r="P34" s="1668"/>
    </row>
    <row r="35" spans="1:16" x14ac:dyDescent="0.2">
      <c r="A35" s="1676" t="s">
        <v>1636</v>
      </c>
      <c r="B35" s="1817">
        <f t="shared" si="4"/>
        <v>4146</v>
      </c>
      <c r="C35" s="1745"/>
      <c r="D35" s="1745">
        <v>170</v>
      </c>
      <c r="E35" s="1745">
        <v>3976</v>
      </c>
      <c r="F35" s="1745"/>
      <c r="G35" s="1817">
        <f t="shared" si="10"/>
        <v>0</v>
      </c>
      <c r="H35" s="1745">
        <v>0</v>
      </c>
      <c r="I35" s="1745">
        <v>0</v>
      </c>
      <c r="J35" s="1745">
        <v>0</v>
      </c>
      <c r="K35" s="1745">
        <v>0</v>
      </c>
      <c r="L35" s="371" t="s">
        <v>1654</v>
      </c>
      <c r="M35" s="1941">
        <f>B35</f>
        <v>4146</v>
      </c>
      <c r="N35" s="1668" t="s">
        <v>2027</v>
      </c>
    </row>
    <row r="36" spans="1:16" ht="25.5" x14ac:dyDescent="0.2">
      <c r="A36" s="1676" t="s">
        <v>1637</v>
      </c>
      <c r="B36" s="1817">
        <f t="shared" si="4"/>
        <v>2704</v>
      </c>
      <c r="C36" s="1745">
        <v>2704</v>
      </c>
      <c r="D36" s="1745"/>
      <c r="E36" s="1745"/>
      <c r="F36" s="1745"/>
      <c r="G36" s="1817">
        <f t="shared" si="10"/>
        <v>353.09780000000001</v>
      </c>
      <c r="H36" s="1745">
        <v>0</v>
      </c>
      <c r="I36" s="1745">
        <f>177.439+142.65+33.0088</f>
        <v>353.09780000000001</v>
      </c>
      <c r="J36" s="1745">
        <v>0</v>
      </c>
      <c r="K36" s="1745">
        <v>0</v>
      </c>
      <c r="L36" s="371" t="s">
        <v>1653</v>
      </c>
      <c r="M36" s="1941">
        <f t="shared" si="11"/>
        <v>2350.9022</v>
      </c>
      <c r="N36" s="5" t="s">
        <v>2026</v>
      </c>
    </row>
    <row r="37" spans="1:16" x14ac:dyDescent="0.2">
      <c r="A37" s="5" t="s">
        <v>335</v>
      </c>
      <c r="N37" s="1668" t="e">
        <f>M33+M34+M36+N35</f>
        <v>#VALUE!</v>
      </c>
    </row>
    <row r="38" spans="1:16" x14ac:dyDescent="0.2">
      <c r="A38" s="1674" t="s">
        <v>1555</v>
      </c>
      <c r="B38" s="1817">
        <f>C38+D38+E38+F38</f>
        <v>16371.720000000001</v>
      </c>
      <c r="C38" s="1864">
        <v>4947</v>
      </c>
      <c r="D38" s="1864">
        <v>3568.1</v>
      </c>
      <c r="E38" s="1864">
        <v>3610.65</v>
      </c>
      <c r="F38" s="1864">
        <v>4245.97</v>
      </c>
      <c r="G38" s="1751"/>
      <c r="H38" s="1751"/>
      <c r="I38" s="1751"/>
      <c r="J38" s="1751"/>
      <c r="K38" s="1751"/>
    </row>
    <row r="39" spans="1:16" x14ac:dyDescent="0.2">
      <c r="A39" s="1748" t="s">
        <v>1629</v>
      </c>
      <c r="B39" s="1817">
        <f t="shared" ref="B39:B40" si="12">C39+D39+E39+F39</f>
        <v>8516</v>
      </c>
      <c r="C39" s="1753">
        <v>4947</v>
      </c>
      <c r="D39" s="1753">
        <v>3568.1</v>
      </c>
      <c r="E39" s="1753">
        <v>0.9</v>
      </c>
      <c r="F39" s="1753"/>
      <c r="G39" s="1751"/>
      <c r="H39" s="1751"/>
      <c r="I39" s="1751"/>
      <c r="J39" s="1751"/>
      <c r="K39" s="1751"/>
    </row>
    <row r="40" spans="1:16" x14ac:dyDescent="0.2">
      <c r="A40" s="1748" t="s">
        <v>1630</v>
      </c>
      <c r="B40" s="1817">
        <f t="shared" si="12"/>
        <v>7834.52</v>
      </c>
      <c r="C40" s="1753"/>
      <c r="D40" s="1753"/>
      <c r="E40" s="1753">
        <v>3588.55</v>
      </c>
      <c r="F40" s="1753">
        <f>F38</f>
        <v>4245.97</v>
      </c>
      <c r="G40" s="1751"/>
      <c r="H40" s="1751"/>
      <c r="I40" s="1751"/>
      <c r="J40" s="1751"/>
      <c r="K40" s="1751"/>
    </row>
    <row r="41" spans="1:16" x14ac:dyDescent="0.2">
      <c r="A41" s="6570" t="s">
        <v>1628</v>
      </c>
      <c r="B41" s="1864"/>
      <c r="C41" s="6572" t="s">
        <v>1632</v>
      </c>
      <c r="D41" s="6572"/>
      <c r="E41" s="6572"/>
      <c r="F41" s="6572"/>
      <c r="G41" s="1751"/>
      <c r="H41" s="1751"/>
      <c r="I41" s="1751"/>
      <c r="J41" s="1751"/>
      <c r="K41" s="1751"/>
    </row>
    <row r="42" spans="1:16" x14ac:dyDescent="0.2">
      <c r="A42" s="6571"/>
      <c r="B42" s="1864">
        <f>B43+B44</f>
        <v>8099.3000000000011</v>
      </c>
      <c r="C42" s="1865">
        <f>C43+C44</f>
        <v>0</v>
      </c>
      <c r="D42" s="1865">
        <f t="shared" ref="D42" si="13">D43+D44</f>
        <v>0</v>
      </c>
      <c r="E42" s="1865">
        <f>E43+E44</f>
        <v>3588.55</v>
      </c>
      <c r="F42" s="1865">
        <f t="shared" ref="F42" si="14">F43+F44</f>
        <v>4510.75</v>
      </c>
      <c r="G42" s="1751"/>
      <c r="H42" s="1751"/>
      <c r="I42" s="1751"/>
      <c r="J42" s="1751"/>
      <c r="K42" s="1751"/>
    </row>
    <row r="43" spans="1:16" x14ac:dyDescent="0.2">
      <c r="A43" s="6573" t="s">
        <v>1631</v>
      </c>
      <c r="B43" s="1817">
        <f t="shared" ref="B43:B44" si="15">C43+D43+E43+F43</f>
        <v>3364.19</v>
      </c>
      <c r="C43" s="1614"/>
      <c r="D43" s="1614"/>
      <c r="E43" s="1614">
        <v>1363.99</v>
      </c>
      <c r="F43" s="1614">
        <v>2000.2</v>
      </c>
      <c r="G43" s="1614"/>
      <c r="H43" s="1614"/>
      <c r="I43" s="1614"/>
      <c r="J43" s="1614"/>
      <c r="K43" s="1614"/>
    </row>
    <row r="44" spans="1:16" x14ac:dyDescent="0.2">
      <c r="A44" s="6573"/>
      <c r="B44" s="1817">
        <f t="shared" si="15"/>
        <v>4735.1100000000006</v>
      </c>
      <c r="C44" s="1751"/>
      <c r="D44" s="1751"/>
      <c r="E44" s="1751">
        <v>2224.56</v>
      </c>
      <c r="F44" s="1751">
        <v>2510.5500000000002</v>
      </c>
      <c r="G44" s="1751"/>
      <c r="H44" s="1751"/>
      <c r="I44" s="1751"/>
      <c r="J44" s="1751"/>
      <c r="K44" s="1751"/>
    </row>
    <row r="45" spans="1:16" x14ac:dyDescent="0.2">
      <c r="A45" s="1748"/>
      <c r="B45" s="6565" t="s">
        <v>1633</v>
      </c>
      <c r="C45" s="6566"/>
      <c r="D45" s="6566"/>
      <c r="E45" s="6566"/>
      <c r="F45" s="6566"/>
      <c r="G45" s="6567" t="s">
        <v>1638</v>
      </c>
      <c r="H45" s="6567"/>
      <c r="I45" s="6567"/>
      <c r="J45" s="6567"/>
      <c r="K45" s="6567"/>
    </row>
    <row r="46" spans="1:16" x14ac:dyDescent="0.2">
      <c r="A46" s="1748"/>
      <c r="B46" s="1844">
        <f>SUM(B47:B52)</f>
        <v>8516</v>
      </c>
      <c r="C46" s="1844">
        <f t="shared" ref="C46:K46" si="16">SUM(C47:C52)</f>
        <v>4947</v>
      </c>
      <c r="D46" s="1844">
        <f t="shared" si="16"/>
        <v>3568.1000000000004</v>
      </c>
      <c r="E46" s="1844">
        <f t="shared" si="16"/>
        <v>0.89999999999999991</v>
      </c>
      <c r="F46" s="1844">
        <f t="shared" si="16"/>
        <v>0</v>
      </c>
      <c r="G46" s="1844">
        <f t="shared" si="16"/>
        <v>1044.8820000000001</v>
      </c>
      <c r="H46" s="1844">
        <f t="shared" si="16"/>
        <v>1044.8820000000001</v>
      </c>
      <c r="I46" s="1844">
        <f t="shared" si="16"/>
        <v>0</v>
      </c>
      <c r="J46" s="1844">
        <f t="shared" si="16"/>
        <v>0</v>
      </c>
      <c r="K46" s="1844">
        <f t="shared" si="16"/>
        <v>0</v>
      </c>
      <c r="M46" s="1668">
        <f>B46-G46</f>
        <v>7471.1180000000004</v>
      </c>
    </row>
    <row r="47" spans="1:16" x14ac:dyDescent="0.2">
      <c r="A47" s="1748" t="s">
        <v>1639</v>
      </c>
      <c r="B47" s="1817">
        <f t="shared" ref="B47:B50" si="17">C47+D47+E47+F47</f>
        <v>1517</v>
      </c>
      <c r="C47" s="1745">
        <v>1517</v>
      </c>
      <c r="D47" s="1745"/>
      <c r="E47" s="1745"/>
      <c r="F47" s="1745"/>
      <c r="G47" s="1817">
        <f t="shared" ref="G47:G50" si="18">H47+I47+J47+K47</f>
        <v>413.41640000000001</v>
      </c>
      <c r="H47" s="1745">
        <v>413.41640000000001</v>
      </c>
      <c r="I47" s="1745"/>
      <c r="J47" s="1745"/>
      <c r="K47" s="1745"/>
      <c r="L47" s="5" t="s">
        <v>1653</v>
      </c>
      <c r="M47" s="1940">
        <f>B47-G47</f>
        <v>1103.5835999999999</v>
      </c>
      <c r="P47" s="1668">
        <f>M47+M48+M49</f>
        <v>3902.1179999999999</v>
      </c>
    </row>
    <row r="48" spans="1:16" x14ac:dyDescent="0.2">
      <c r="A48" s="1748" t="s">
        <v>1640</v>
      </c>
      <c r="B48" s="1817">
        <f t="shared" si="17"/>
        <v>1742</v>
      </c>
      <c r="C48" s="1745">
        <v>1742</v>
      </c>
      <c r="D48" s="1745"/>
      <c r="E48" s="1745"/>
      <c r="F48" s="1745"/>
      <c r="G48" s="1817">
        <f t="shared" si="18"/>
        <v>218.04920000000001</v>
      </c>
      <c r="H48" s="1745">
        <f>206.7082+11.341</f>
        <v>218.04920000000001</v>
      </c>
      <c r="I48" s="1745"/>
      <c r="J48" s="1745"/>
      <c r="K48" s="1745"/>
      <c r="L48" s="5" t="s">
        <v>1653</v>
      </c>
      <c r="M48" s="1940">
        <f t="shared" ref="M48:M52" si="19">B48-G48</f>
        <v>1523.9508000000001</v>
      </c>
    </row>
    <row r="49" spans="1:13" x14ac:dyDescent="0.2">
      <c r="A49" s="1748" t="s">
        <v>1641</v>
      </c>
      <c r="B49" s="1817">
        <f t="shared" si="17"/>
        <v>1688</v>
      </c>
      <c r="C49" s="1745">
        <v>1688</v>
      </c>
      <c r="D49" s="1745"/>
      <c r="E49" s="1745"/>
      <c r="F49" s="1745"/>
      <c r="G49" s="1817">
        <f t="shared" si="18"/>
        <v>413.41640000000001</v>
      </c>
      <c r="H49" s="1745">
        <v>413.41640000000001</v>
      </c>
      <c r="I49" s="1745"/>
      <c r="J49" s="1745"/>
      <c r="K49" s="1745"/>
      <c r="L49" s="5" t="s">
        <v>1653</v>
      </c>
      <c r="M49" s="1940">
        <f t="shared" si="19"/>
        <v>1274.5835999999999</v>
      </c>
    </row>
    <row r="50" spans="1:13" x14ac:dyDescent="0.2">
      <c r="A50" s="1748" t="s">
        <v>1642</v>
      </c>
      <c r="B50" s="1817">
        <f t="shared" si="17"/>
        <v>1579</v>
      </c>
      <c r="C50" s="1745"/>
      <c r="D50" s="1745">
        <v>1579</v>
      </c>
      <c r="E50" s="1745"/>
      <c r="F50" s="1745"/>
      <c r="G50" s="1817">
        <f t="shared" si="18"/>
        <v>0</v>
      </c>
      <c r="H50" s="1745"/>
      <c r="I50" s="1745"/>
      <c r="J50" s="1745"/>
      <c r="K50" s="1745"/>
      <c r="L50" s="5" t="s">
        <v>1654</v>
      </c>
      <c r="M50" s="1940">
        <f t="shared" si="19"/>
        <v>1579</v>
      </c>
    </row>
    <row r="51" spans="1:13" x14ac:dyDescent="0.2">
      <c r="A51" s="1748" t="s">
        <v>1643</v>
      </c>
      <c r="B51" s="1817">
        <f t="shared" ref="B51:B52" si="20">C51+D51+E51+F51</f>
        <v>1283</v>
      </c>
      <c r="C51" s="1745"/>
      <c r="D51" s="1745">
        <v>1282.4000000000001</v>
      </c>
      <c r="E51" s="1745">
        <v>0.6</v>
      </c>
      <c r="F51" s="1745"/>
      <c r="G51" s="1817">
        <f t="shared" ref="G51:G52" si="21">H51+I51+J51+K51</f>
        <v>0</v>
      </c>
      <c r="H51" s="1745"/>
      <c r="I51" s="1745"/>
      <c r="J51" s="1745"/>
      <c r="K51" s="1745"/>
      <c r="L51" s="5" t="s">
        <v>1654</v>
      </c>
      <c r="M51" s="1940">
        <f t="shared" si="19"/>
        <v>1283</v>
      </c>
    </row>
    <row r="52" spans="1:13" x14ac:dyDescent="0.2">
      <c r="A52" s="1748" t="s">
        <v>1644</v>
      </c>
      <c r="B52" s="1817">
        <f t="shared" si="20"/>
        <v>707</v>
      </c>
      <c r="C52" s="1745"/>
      <c r="D52" s="1745">
        <v>706.7</v>
      </c>
      <c r="E52" s="1745">
        <v>0.3</v>
      </c>
      <c r="F52" s="1745"/>
      <c r="G52" s="1817">
        <f t="shared" si="21"/>
        <v>0</v>
      </c>
      <c r="H52" s="1745"/>
      <c r="I52" s="1745"/>
      <c r="J52" s="1745"/>
      <c r="K52" s="1745"/>
      <c r="L52" s="5" t="s">
        <v>1654</v>
      </c>
      <c r="M52" s="1940">
        <f t="shared" si="19"/>
        <v>707</v>
      </c>
    </row>
    <row r="54" spans="1:13" x14ac:dyDescent="0.2">
      <c r="A54" s="5" t="s">
        <v>1645</v>
      </c>
    </row>
    <row r="55" spans="1:13" x14ac:dyDescent="0.2">
      <c r="A55" s="6569"/>
      <c r="B55" s="5155" t="s">
        <v>46</v>
      </c>
      <c r="C55" s="5155"/>
      <c r="D55" s="5155"/>
      <c r="E55" s="5155" t="s">
        <v>47</v>
      </c>
      <c r="F55" s="5155"/>
      <c r="G55" s="5155"/>
    </row>
    <row r="56" spans="1:13" ht="25.5" customHeight="1" x14ac:dyDescent="0.2">
      <c r="A56" s="6569"/>
      <c r="B56" s="1738" t="s">
        <v>1563</v>
      </c>
      <c r="C56" s="1866" t="s">
        <v>60</v>
      </c>
      <c r="D56" s="1866" t="s">
        <v>1593</v>
      </c>
      <c r="E56" s="1738" t="s">
        <v>1563</v>
      </c>
      <c r="F56" s="1866" t="s">
        <v>60</v>
      </c>
      <c r="G56" s="1866" t="s">
        <v>1593</v>
      </c>
    </row>
    <row r="57" spans="1:13" x14ac:dyDescent="0.2">
      <c r="A57" s="1748" t="s">
        <v>1646</v>
      </c>
      <c r="B57" s="1751"/>
      <c r="C57" s="1751"/>
      <c r="D57" s="1751"/>
      <c r="E57" s="1751"/>
      <c r="F57" s="1751"/>
      <c r="G57" s="1751"/>
    </row>
    <row r="58" spans="1:13" x14ac:dyDescent="0.2">
      <c r="A58" s="1748">
        <v>2014</v>
      </c>
      <c r="B58" s="1753">
        <v>4038</v>
      </c>
      <c r="C58" s="1753">
        <v>3989.18</v>
      </c>
      <c r="D58" s="1753">
        <f t="shared" ref="D58:D60" si="22">C58-B58</f>
        <v>-48.820000000000164</v>
      </c>
      <c r="E58" s="1753">
        <v>3620</v>
      </c>
      <c r="F58" s="1753">
        <v>3445.97</v>
      </c>
      <c r="G58" s="1753">
        <f t="shared" ref="G58:G60" si="23">F58-E58</f>
        <v>-174.0300000000002</v>
      </c>
    </row>
    <row r="59" spans="1:13" x14ac:dyDescent="0.2">
      <c r="A59" s="1748">
        <v>2015</v>
      </c>
      <c r="B59" s="1753">
        <v>4038</v>
      </c>
      <c r="C59" s="1753">
        <v>3760.82</v>
      </c>
      <c r="D59" s="1753">
        <f t="shared" si="22"/>
        <v>-277.17999999999984</v>
      </c>
      <c r="E59" s="1753">
        <v>3620</v>
      </c>
      <c r="F59" s="1753">
        <v>3186.77</v>
      </c>
      <c r="G59" s="1753">
        <f t="shared" si="23"/>
        <v>-433.23</v>
      </c>
    </row>
    <row r="60" spans="1:13" x14ac:dyDescent="0.2">
      <c r="A60" s="1748">
        <v>2016</v>
      </c>
      <c r="B60" s="1753">
        <v>4038</v>
      </c>
      <c r="C60" s="1753">
        <v>3566.34</v>
      </c>
      <c r="D60" s="1753">
        <f t="shared" si="22"/>
        <v>-471.65999999999985</v>
      </c>
      <c r="E60" s="1753">
        <v>3620</v>
      </c>
      <c r="F60" s="1753">
        <v>3048.9</v>
      </c>
      <c r="G60" s="1753">
        <f t="shared" si="23"/>
        <v>-571.09999999999991</v>
      </c>
    </row>
    <row r="61" spans="1:13" x14ac:dyDescent="0.2">
      <c r="A61" s="1748" t="s">
        <v>1647</v>
      </c>
      <c r="B61" s="1751"/>
      <c r="C61" s="6563" t="s">
        <v>1649</v>
      </c>
      <c r="D61" s="6564"/>
      <c r="E61" s="1751"/>
      <c r="F61" s="6563" t="s">
        <v>1649</v>
      </c>
      <c r="G61" s="6564"/>
    </row>
    <row r="62" spans="1:13" x14ac:dyDescent="0.2">
      <c r="A62" s="1748">
        <v>2014</v>
      </c>
      <c r="B62" s="1753">
        <v>4655</v>
      </c>
      <c r="C62" s="1753">
        <v>4598.72</v>
      </c>
      <c r="D62" s="1753">
        <f t="shared" ref="D62:D68" si="24">C62-B62</f>
        <v>-56.279999999999745</v>
      </c>
      <c r="E62" s="1753">
        <v>4947</v>
      </c>
      <c r="F62" s="1753">
        <v>4709.2</v>
      </c>
      <c r="G62" s="1753">
        <f t="shared" ref="G62:G68" si="25">F62-E62</f>
        <v>-237.80000000000018</v>
      </c>
    </row>
    <row r="63" spans="1:13" x14ac:dyDescent="0.2">
      <c r="A63" s="1748">
        <v>2015</v>
      </c>
      <c r="B63" s="1753">
        <v>4444</v>
      </c>
      <c r="C63" s="1753">
        <v>4139</v>
      </c>
      <c r="D63" s="1753">
        <f t="shared" si="24"/>
        <v>-305</v>
      </c>
      <c r="E63" s="1753">
        <v>3568.1</v>
      </c>
      <c r="F63" s="1753">
        <v>3140.9</v>
      </c>
      <c r="G63" s="1753">
        <f t="shared" si="25"/>
        <v>-427.19999999999982</v>
      </c>
    </row>
    <row r="64" spans="1:13" x14ac:dyDescent="0.2">
      <c r="A64" s="1748">
        <v>2016</v>
      </c>
      <c r="B64" s="1753">
        <v>3976</v>
      </c>
      <c r="C64" s="1753">
        <v>3511.6</v>
      </c>
      <c r="D64" s="1753">
        <f t="shared" si="24"/>
        <v>-464.40000000000009</v>
      </c>
      <c r="E64" s="1753">
        <v>0.9</v>
      </c>
      <c r="F64" s="1753">
        <v>0.76</v>
      </c>
      <c r="G64" s="1753">
        <f t="shared" si="25"/>
        <v>-0.14000000000000001</v>
      </c>
    </row>
    <row r="65" spans="1:7" x14ac:dyDescent="0.2">
      <c r="A65" s="1748" t="s">
        <v>1648</v>
      </c>
      <c r="B65" s="1753"/>
      <c r="C65" s="1753"/>
      <c r="D65" s="1753"/>
      <c r="E65" s="1753"/>
      <c r="F65" s="1753"/>
      <c r="G65" s="1753"/>
    </row>
    <row r="66" spans="1:7" x14ac:dyDescent="0.2">
      <c r="A66" s="1748">
        <v>2014</v>
      </c>
      <c r="B66" s="1753">
        <v>1.1599999999999999</v>
      </c>
      <c r="C66" s="1753">
        <f>C62/C58</f>
        <v>1.1527983194541236</v>
      </c>
      <c r="D66" s="1753">
        <f t="shared" si="24"/>
        <v>-7.2016805458763322E-3</v>
      </c>
      <c r="E66" s="1753">
        <f>E62/E58</f>
        <v>1.3665745856353591</v>
      </c>
      <c r="F66" s="1753">
        <f>F62/F58</f>
        <v>1.3665818332719089</v>
      </c>
      <c r="G66" s="1753">
        <f t="shared" si="25"/>
        <v>7.2476365498008732E-6</v>
      </c>
    </row>
    <row r="67" spans="1:7" x14ac:dyDescent="0.2">
      <c r="A67" s="1748">
        <v>2015</v>
      </c>
      <c r="B67" s="1753">
        <f t="shared" ref="B67:B68" si="26">B63/B59</f>
        <v>1.1005448241703815</v>
      </c>
      <c r="C67" s="1753">
        <f>C63/C59</f>
        <v>1.1005578570630872</v>
      </c>
      <c r="D67" s="1753">
        <f t="shared" si="24"/>
        <v>1.3032892705711063E-5</v>
      </c>
      <c r="E67" s="1753">
        <f t="shared" ref="E67:E68" si="27">E63/E59</f>
        <v>0.98566298342541436</v>
      </c>
      <c r="F67" s="1753">
        <f>F63/F59</f>
        <v>0.98560611528287267</v>
      </c>
      <c r="G67" s="1753">
        <f t="shared" si="25"/>
        <v>-5.6868142541688371E-5</v>
      </c>
    </row>
    <row r="68" spans="1:7" x14ac:dyDescent="0.2">
      <c r="A68" s="1748">
        <v>2016</v>
      </c>
      <c r="B68" s="1753">
        <f t="shared" si="26"/>
        <v>0.98464586428925216</v>
      </c>
      <c r="C68" s="1753">
        <v>0.98</v>
      </c>
      <c r="D68" s="1753">
        <f t="shared" si="24"/>
        <v>-4.6458642892521773E-3</v>
      </c>
      <c r="E68" s="1753">
        <f t="shared" si="27"/>
        <v>2.4861878453038676E-4</v>
      </c>
      <c r="F68" s="1753">
        <v>0</v>
      </c>
      <c r="G68" s="1753">
        <f t="shared" si="25"/>
        <v>-2.4861878453038676E-4</v>
      </c>
    </row>
    <row r="69" spans="1:7" x14ac:dyDescent="0.2">
      <c r="A69" s="1748" t="s">
        <v>1650</v>
      </c>
      <c r="B69" s="1753"/>
      <c r="C69" s="1753"/>
      <c r="D69" s="1753">
        <f>D62+D63+D64</f>
        <v>-825.67999999999984</v>
      </c>
      <c r="E69" s="1753"/>
      <c r="F69" s="1753"/>
      <c r="G69" s="1753">
        <f>G62+G63+G64</f>
        <v>-665.14</v>
      </c>
    </row>
    <row r="70" spans="1:7" x14ac:dyDescent="0.2">
      <c r="A70" s="1868" t="s">
        <v>1651</v>
      </c>
      <c r="B70" s="1749"/>
      <c r="C70" s="1749"/>
      <c r="D70" s="1749">
        <f>D62+D63</f>
        <v>-361.27999999999975</v>
      </c>
      <c r="E70" s="1749"/>
      <c r="F70" s="1749"/>
      <c r="G70" s="1749">
        <f>G62+G63</f>
        <v>-665</v>
      </c>
    </row>
    <row r="72" spans="1:7" x14ac:dyDescent="0.2">
      <c r="A72" s="5" t="s">
        <v>1710</v>
      </c>
      <c r="B72" s="1668">
        <f>B62+B63+B64</f>
        <v>13075</v>
      </c>
      <c r="C72" s="1668">
        <f>C62+C63+C64</f>
        <v>12249.320000000002</v>
      </c>
      <c r="E72" s="1668">
        <f>E62+E63+E64</f>
        <v>8516</v>
      </c>
      <c r="F72" s="1668">
        <f>F62+F63+F64</f>
        <v>7850.8600000000006</v>
      </c>
    </row>
    <row r="73" spans="1:7" x14ac:dyDescent="0.2">
      <c r="A73" s="5" t="s">
        <v>1712</v>
      </c>
      <c r="B73" s="1668">
        <f>B33+B34+B36</f>
        <v>8929</v>
      </c>
      <c r="C73" s="1668">
        <f>B33+B36</f>
        <v>4655</v>
      </c>
      <c r="E73" s="1668">
        <f>B47+B48+B49</f>
        <v>4947</v>
      </c>
      <c r="F73" s="1668">
        <f>B47+B48+B49</f>
        <v>4947</v>
      </c>
    </row>
    <row r="74" spans="1:7" x14ac:dyDescent="0.2">
      <c r="A74" s="5" t="s">
        <v>1711</v>
      </c>
      <c r="B74" s="1668">
        <f>B33+B34+B36</f>
        <v>8929</v>
      </c>
      <c r="C74" s="1668">
        <f>B74</f>
        <v>8929</v>
      </c>
      <c r="E74" s="1668">
        <f>E73</f>
        <v>4947</v>
      </c>
      <c r="F74" s="1668">
        <f>E74</f>
        <v>4947</v>
      </c>
    </row>
    <row r="75" spans="1:7" x14ac:dyDescent="0.2">
      <c r="A75" s="5" t="s">
        <v>1713</v>
      </c>
      <c r="C75" s="2031">
        <f>C74-C73</f>
        <v>4274</v>
      </c>
      <c r="F75" s="1668">
        <f>F74-F73</f>
        <v>0</v>
      </c>
    </row>
    <row r="76" spans="1:7" x14ac:dyDescent="0.2">
      <c r="A76" s="5" t="s">
        <v>1714</v>
      </c>
      <c r="C76" s="1668">
        <f>M33</f>
        <v>1205.44</v>
      </c>
      <c r="F76" s="1650">
        <v>0</v>
      </c>
    </row>
    <row r="77" spans="1:7" x14ac:dyDescent="0.2">
      <c r="A77" s="5" t="s">
        <v>1715</v>
      </c>
      <c r="C77" s="1668">
        <f>C75-C76</f>
        <v>3068.56</v>
      </c>
      <c r="F77" s="1668">
        <f>F75-F76</f>
        <v>0</v>
      </c>
    </row>
    <row r="78" spans="1:7" x14ac:dyDescent="0.2">
      <c r="A78" s="5" t="s">
        <v>1716</v>
      </c>
      <c r="C78" s="1668"/>
      <c r="F78" s="1668"/>
    </row>
    <row r="79" spans="1:7" x14ac:dyDescent="0.2">
      <c r="C79" s="1668"/>
    </row>
    <row r="80" spans="1:7" x14ac:dyDescent="0.2">
      <c r="C80" s="1668"/>
    </row>
    <row r="81" spans="3:3" x14ac:dyDescent="0.2">
      <c r="C81" s="1668"/>
    </row>
  </sheetData>
  <mergeCells count="24">
    <mergeCell ref="A2:K2"/>
    <mergeCell ref="I1:K1"/>
    <mergeCell ref="A3:A4"/>
    <mergeCell ref="A13:F13"/>
    <mergeCell ref="A5:F5"/>
    <mergeCell ref="B3:F3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C61:D61"/>
    <mergeCell ref="E55:G55"/>
    <mergeCell ref="F61:G61"/>
    <mergeCell ref="B45:F45"/>
    <mergeCell ref="G45:K45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5142" t="s">
        <v>1667</v>
      </c>
      <c r="O1" s="5142"/>
      <c r="P1" s="5142"/>
    </row>
    <row r="2" spans="1:16" ht="15.75" x14ac:dyDescent="0.25">
      <c r="A2" s="6582" t="s">
        <v>1670</v>
      </c>
      <c r="B2" s="6582"/>
      <c r="C2" s="6582"/>
      <c r="D2" s="6582"/>
      <c r="E2" s="6582"/>
      <c r="F2" s="6582"/>
      <c r="G2" s="6582"/>
      <c r="H2" s="6582"/>
      <c r="I2" s="6582"/>
      <c r="J2" s="6582"/>
      <c r="K2" s="6582"/>
      <c r="L2" s="6582"/>
      <c r="M2" s="6582"/>
      <c r="N2" s="6582"/>
      <c r="O2" s="6582"/>
      <c r="P2" s="6582"/>
    </row>
    <row r="4" spans="1:16" x14ac:dyDescent="0.2">
      <c r="A4" s="5154"/>
      <c r="B4" s="6577" t="s">
        <v>362</v>
      </c>
      <c r="C4" s="6578"/>
      <c r="D4" s="6578"/>
      <c r="E4" s="6578"/>
      <c r="F4" s="6578"/>
      <c r="G4" s="6578"/>
      <c r="H4" s="6578"/>
      <c r="I4" s="6579"/>
      <c r="J4" s="5861" t="s">
        <v>1594</v>
      </c>
      <c r="K4" s="1834"/>
      <c r="L4" s="1834"/>
      <c r="M4" s="1834"/>
      <c r="N4" s="1834"/>
      <c r="O4" s="5861" t="s">
        <v>1622</v>
      </c>
      <c r="P4" s="5861" t="s">
        <v>1623</v>
      </c>
    </row>
    <row r="5" spans="1:16" x14ac:dyDescent="0.2">
      <c r="A5" s="5154"/>
      <c r="B5" s="6576" t="s">
        <v>236</v>
      </c>
      <c r="C5" s="6576"/>
      <c r="D5" s="6576"/>
      <c r="E5" s="6576"/>
      <c r="F5" s="6576" t="s">
        <v>60</v>
      </c>
      <c r="G5" s="6576"/>
      <c r="H5" s="6576"/>
      <c r="I5" s="6576"/>
      <c r="J5" s="6574"/>
      <c r="K5" s="6576" t="s">
        <v>1595</v>
      </c>
      <c r="L5" s="6576"/>
      <c r="M5" s="6576"/>
      <c r="N5" s="6576"/>
      <c r="O5" s="6574"/>
      <c r="P5" s="6574"/>
    </row>
    <row r="6" spans="1:16" ht="42" customHeight="1" x14ac:dyDescent="0.2">
      <c r="A6" s="5154"/>
      <c r="B6" s="1736" t="s">
        <v>96</v>
      </c>
      <c r="C6" s="1736" t="s">
        <v>123</v>
      </c>
      <c r="D6" s="1736" t="s">
        <v>97</v>
      </c>
      <c r="E6" s="1736" t="s">
        <v>98</v>
      </c>
      <c r="F6" s="1736" t="s">
        <v>96</v>
      </c>
      <c r="G6" s="1736" t="s">
        <v>123</v>
      </c>
      <c r="H6" s="1736" t="s">
        <v>97</v>
      </c>
      <c r="I6" s="1736" t="s">
        <v>98</v>
      </c>
      <c r="J6" s="6575"/>
      <c r="K6" s="1736" t="s">
        <v>96</v>
      </c>
      <c r="L6" s="1736" t="s">
        <v>123</v>
      </c>
      <c r="M6" s="1736" t="s">
        <v>97</v>
      </c>
      <c r="N6" s="1736" t="s">
        <v>98</v>
      </c>
      <c r="O6" s="6575"/>
      <c r="P6" s="6575"/>
    </row>
    <row r="7" spans="1:16" ht="12.75" customHeight="1" x14ac:dyDescent="0.2">
      <c r="A7" s="1748" t="s">
        <v>99</v>
      </c>
      <c r="B7" s="1828">
        <f>C16*C7/1000</f>
        <v>34.529558232000007</v>
      </c>
      <c r="C7" s="1829">
        <v>6.2088000000000001</v>
      </c>
      <c r="D7" s="1830">
        <v>77526</v>
      </c>
      <c r="E7" s="1830">
        <f>B7*D7/1000</f>
        <v>2676.9385314940328</v>
      </c>
      <c r="F7" s="1828">
        <f>G16*G7/1000</f>
        <v>2.10000000226449</v>
      </c>
      <c r="G7" s="1829">
        <v>0.313530639</v>
      </c>
      <c r="H7" s="1830">
        <v>72829</v>
      </c>
      <c r="I7" s="1830">
        <f>F7*H7/1000</f>
        <v>152.94090016492055</v>
      </c>
      <c r="J7" s="1830">
        <f>I7-E7</f>
        <v>-2523.9976313291122</v>
      </c>
      <c r="K7" s="1828">
        <f>L16*L7/1000</f>
        <v>1.7932898925304674</v>
      </c>
      <c r="L7" s="1829">
        <v>0.313530639</v>
      </c>
      <c r="M7" s="1830">
        <f>E41</f>
        <v>73000</v>
      </c>
      <c r="N7" s="1830">
        <f>K7*M7/1000</f>
        <v>130.91016215472413</v>
      </c>
      <c r="O7" s="1830">
        <f>N7-I7</f>
        <v>-22.030738010196416</v>
      </c>
      <c r="P7" s="1830">
        <f>N7-E7</f>
        <v>-2546.0283693393085</v>
      </c>
    </row>
    <row r="8" spans="1:16" ht="12.75" customHeight="1" x14ac:dyDescent="0.2">
      <c r="A8" s="1748" t="s">
        <v>100</v>
      </c>
      <c r="B8" s="1831"/>
      <c r="C8" s="1832"/>
      <c r="D8" s="1830"/>
      <c r="E8" s="1830"/>
      <c r="F8" s="1831">
        <v>38.28</v>
      </c>
      <c r="G8" s="1832">
        <v>5.7152156420000004</v>
      </c>
      <c r="H8" s="1830">
        <v>52675</v>
      </c>
      <c r="I8" s="1830">
        <f t="shared" ref="I8:I13" si="0">F8*H8/1000</f>
        <v>2016.3989999999999</v>
      </c>
      <c r="J8" s="1830">
        <f t="shared" ref="J8:J13" si="1">I8-E8</f>
        <v>2016.3989999999999</v>
      </c>
      <c r="K8" s="1831">
        <v>38.28</v>
      </c>
      <c r="L8" s="1832">
        <v>5.7152156420000004</v>
      </c>
      <c r="M8" s="1830">
        <f>E37</f>
        <v>52349.709601873532</v>
      </c>
      <c r="N8" s="1830">
        <f t="shared" ref="N8:N13" si="2">K8*M8/1000</f>
        <v>2003.946883559719</v>
      </c>
      <c r="O8" s="1830">
        <f t="shared" ref="O8:O14" si="3">N8-I8</f>
        <v>-12.452116440280861</v>
      </c>
      <c r="P8" s="1830">
        <f t="shared" ref="P8:P14" si="4">N8-E8</f>
        <v>2003.946883559719</v>
      </c>
    </row>
    <row r="9" spans="1:16" ht="12.75" customHeight="1" x14ac:dyDescent="0.2">
      <c r="A9" s="1748" t="s">
        <v>105</v>
      </c>
      <c r="B9" s="1828">
        <f>C16*C9/1000</f>
        <v>170.04950975200001</v>
      </c>
      <c r="C9" s="1829">
        <v>30.576799999999999</v>
      </c>
      <c r="D9" s="1830">
        <v>4545</v>
      </c>
      <c r="E9" s="1830">
        <f>B9*D9/1000</f>
        <v>772.87502182283993</v>
      </c>
      <c r="F9" s="1828">
        <f>G16*G9/1000</f>
        <v>179.1000000084577</v>
      </c>
      <c r="G9" s="1829">
        <v>26.73968447</v>
      </c>
      <c r="H9" s="1830">
        <v>12323</v>
      </c>
      <c r="I9" s="1830">
        <f t="shared" si="0"/>
        <v>2207.0493001042241</v>
      </c>
      <c r="J9" s="1830">
        <f t="shared" si="1"/>
        <v>1434.1742782813842</v>
      </c>
      <c r="K9" s="1828">
        <f>L16*L9/1000</f>
        <v>152.94200924811341</v>
      </c>
      <c r="L9" s="1829">
        <v>26.73968447</v>
      </c>
      <c r="M9" s="1830">
        <f>E93</f>
        <v>12325.14774121584</v>
      </c>
      <c r="N9" s="1830">
        <f t="shared" si="2"/>
        <v>1885.0328598213971</v>
      </c>
      <c r="O9" s="1830">
        <f t="shared" si="3"/>
        <v>-322.01644028282703</v>
      </c>
      <c r="P9" s="1830">
        <f t="shared" si="4"/>
        <v>1112.1578379985572</v>
      </c>
    </row>
    <row r="10" spans="1:16" ht="12.75" customHeight="1" x14ac:dyDescent="0.2">
      <c r="A10" s="1748" t="s">
        <v>101</v>
      </c>
      <c r="B10" s="1828">
        <f>C10*C16/1000</f>
        <v>10.220722542000001</v>
      </c>
      <c r="C10" s="1829">
        <v>1.8378000000000001</v>
      </c>
      <c r="D10" s="1830">
        <v>25193.82</v>
      </c>
      <c r="E10" s="1830">
        <f>B10*D10/1000</f>
        <v>257.49904399309048</v>
      </c>
      <c r="F10" s="1828">
        <f>G10*G16/1000</f>
        <v>8.5199999990448099</v>
      </c>
      <c r="G10" s="1829">
        <v>1.2720385910000001</v>
      </c>
      <c r="H10" s="1830">
        <v>20251</v>
      </c>
      <c r="I10" s="1830">
        <f t="shared" si="0"/>
        <v>172.53851998065645</v>
      </c>
      <c r="J10" s="1830">
        <f t="shared" si="1"/>
        <v>-84.960524012434036</v>
      </c>
      <c r="K10" s="1828">
        <f>L10*L16/1000</f>
        <v>7.2756332696052635</v>
      </c>
      <c r="L10" s="1829">
        <v>1.2720385910000001</v>
      </c>
      <c r="M10" s="1830">
        <f>E49</f>
        <v>20263.592483852022</v>
      </c>
      <c r="N10" s="1830">
        <f t="shared" si="2"/>
        <v>147.43046763723692</v>
      </c>
      <c r="O10" s="1830">
        <f t="shared" si="3"/>
        <v>-25.10805234341953</v>
      </c>
      <c r="P10" s="1830">
        <f t="shared" si="4"/>
        <v>-110.06857635585357</v>
      </c>
    </row>
    <row r="11" spans="1:16" ht="12.75" customHeight="1" x14ac:dyDescent="0.2">
      <c r="A11" s="1748" t="s">
        <v>102</v>
      </c>
      <c r="B11" s="1828">
        <f>C16*C11/1000</f>
        <v>8.0172998240000002</v>
      </c>
      <c r="C11" s="1829">
        <v>1.4416</v>
      </c>
      <c r="D11" s="1830">
        <v>17586.72</v>
      </c>
      <c r="E11" s="1830">
        <f>B11*D11/1000</f>
        <v>140.9980071607373</v>
      </c>
      <c r="F11" s="1828">
        <f>G16*G11/1000</f>
        <v>9.130000002286069</v>
      </c>
      <c r="G11" s="1829">
        <v>1.3631117770000001</v>
      </c>
      <c r="H11" s="1830">
        <v>18820</v>
      </c>
      <c r="I11" s="1830">
        <f t="shared" si="0"/>
        <v>171.82660004302383</v>
      </c>
      <c r="J11" s="1830">
        <f t="shared" si="1"/>
        <v>30.828592882286529</v>
      </c>
      <c r="K11" s="1828">
        <f>L16*L11/1000</f>
        <v>7.7965412882131258</v>
      </c>
      <c r="L11" s="1829">
        <v>1.3631117770000001</v>
      </c>
      <c r="M11" s="1830">
        <f>E73</f>
        <v>18830.726575342469</v>
      </c>
      <c r="N11" s="1830">
        <f t="shared" si="2"/>
        <v>146.81453723170972</v>
      </c>
      <c r="O11" s="1830">
        <f t="shared" si="3"/>
        <v>-25.012062811314109</v>
      </c>
      <c r="P11" s="1830">
        <f t="shared" si="4"/>
        <v>5.8165300709724193</v>
      </c>
    </row>
    <row r="12" spans="1:16" ht="12.75" customHeight="1" x14ac:dyDescent="0.2">
      <c r="A12" s="1748" t="s">
        <v>887</v>
      </c>
      <c r="B12" s="1831"/>
      <c r="C12" s="1831"/>
      <c r="D12" s="1830"/>
      <c r="E12" s="1830"/>
      <c r="F12" s="1828">
        <f>G16*G12/1000</f>
        <v>0.38000000289756003</v>
      </c>
      <c r="G12" s="1833">
        <v>5.6734116000000001E-2</v>
      </c>
      <c r="H12" s="1830">
        <f>270970</f>
        <v>270970</v>
      </c>
      <c r="I12" s="1830">
        <f t="shared" si="0"/>
        <v>102.96860078515184</v>
      </c>
      <c r="J12" s="1830">
        <f t="shared" si="1"/>
        <v>102.96860078515184</v>
      </c>
      <c r="K12" s="1828">
        <f>L16*L12/1000</f>
        <v>0.32450007791567409</v>
      </c>
      <c r="L12" s="1833">
        <v>5.6734116000000001E-2</v>
      </c>
      <c r="M12" s="1830">
        <f>E69</f>
        <v>274586.66666666663</v>
      </c>
      <c r="N12" s="1830">
        <f t="shared" si="2"/>
        <v>89.10339472793855</v>
      </c>
      <c r="O12" s="1830">
        <f t="shared" si="3"/>
        <v>-13.865206057213285</v>
      </c>
      <c r="P12" s="1830">
        <f t="shared" si="4"/>
        <v>89.10339472793855</v>
      </c>
    </row>
    <row r="13" spans="1:16" ht="12.75" customHeight="1" x14ac:dyDescent="0.2">
      <c r="A13" s="1748" t="s">
        <v>888</v>
      </c>
      <c r="B13" s="1831"/>
      <c r="C13" s="1831"/>
      <c r="D13" s="1830"/>
      <c r="E13" s="1830"/>
      <c r="F13" s="1828">
        <f>G16*G13/1000</f>
        <v>50.999999997584098</v>
      </c>
      <c r="G13" s="1831">
        <v>7.61431551</v>
      </c>
      <c r="H13" s="1830">
        <f>15.042*1000</f>
        <v>15042</v>
      </c>
      <c r="I13" s="1830">
        <f t="shared" si="0"/>
        <v>767.14199996366006</v>
      </c>
      <c r="J13" s="1830">
        <f t="shared" si="1"/>
        <v>767.14199996366006</v>
      </c>
      <c r="K13" s="1828">
        <f>L16*L13/1000</f>
        <v>43.551325912428517</v>
      </c>
      <c r="L13" s="1831">
        <v>7.61431551</v>
      </c>
      <c r="M13" s="1830">
        <f>E45</f>
        <v>15042.206666666667</v>
      </c>
      <c r="N13" s="1830">
        <f t="shared" si="2"/>
        <v>655.10804498210507</v>
      </c>
      <c r="O13" s="1830">
        <f t="shared" si="3"/>
        <v>-112.03395498155498</v>
      </c>
      <c r="P13" s="1830">
        <f t="shared" si="4"/>
        <v>655.10804498210507</v>
      </c>
    </row>
    <row r="14" spans="1:16" ht="12.75" customHeight="1" x14ac:dyDescent="0.2">
      <c r="A14" s="1748" t="s">
        <v>104</v>
      </c>
      <c r="B14" s="1831"/>
      <c r="C14" s="1831"/>
      <c r="D14" s="1830"/>
      <c r="E14" s="1830">
        <f>120</f>
        <v>120</v>
      </c>
      <c r="F14" s="1831"/>
      <c r="G14" s="1831"/>
      <c r="H14" s="1830">
        <v>0</v>
      </c>
      <c r="I14" s="1830">
        <v>116.22</v>
      </c>
      <c r="J14" s="1830">
        <f>I14-E14</f>
        <v>-3.7800000000000011</v>
      </c>
      <c r="K14" s="1831"/>
      <c r="L14" s="1831"/>
      <c r="M14" s="1830"/>
      <c r="N14" s="1830">
        <v>116.22</v>
      </c>
      <c r="O14" s="1830">
        <f t="shared" si="3"/>
        <v>0</v>
      </c>
      <c r="P14" s="1830">
        <f t="shared" si="4"/>
        <v>-3.7800000000000011</v>
      </c>
    </row>
    <row r="15" spans="1:16" ht="12.75" customHeight="1" x14ac:dyDescent="0.2">
      <c r="A15" s="1826" t="s">
        <v>86</v>
      </c>
      <c r="B15" s="1820"/>
      <c r="C15" s="1820"/>
      <c r="D15" s="1819"/>
      <c r="E15" s="1821">
        <f>SUM(E7:E14)</f>
        <v>3968.3106044707006</v>
      </c>
      <c r="F15" s="1820"/>
      <c r="G15" s="1820"/>
      <c r="H15" s="1819"/>
      <c r="I15" s="1821">
        <f>SUM(I7:I14)</f>
        <v>5707.0849210416363</v>
      </c>
      <c r="J15" s="1821">
        <f>SUM(J7:J14)</f>
        <v>1738.7743165709364</v>
      </c>
      <c r="K15" s="1820"/>
      <c r="L15" s="1820"/>
      <c r="M15" s="1819"/>
      <c r="N15" s="1821">
        <f>SUM(N7:N14)</f>
        <v>5174.5663501148301</v>
      </c>
      <c r="O15" s="1821">
        <f>SUM(O7:O14)</f>
        <v>-532.51857092680621</v>
      </c>
      <c r="P15" s="1821">
        <f>SUM(P7:P14)</f>
        <v>1206.2557456441302</v>
      </c>
    </row>
    <row r="16" spans="1:16" ht="25.5" customHeight="1" x14ac:dyDescent="0.2">
      <c r="A16" s="1827" t="s">
        <v>124</v>
      </c>
      <c r="B16" s="1822"/>
      <c r="C16" s="1823">
        <v>5561.39</v>
      </c>
      <c r="D16" s="1824"/>
      <c r="E16" s="1823"/>
      <c r="F16" s="1822"/>
      <c r="G16" s="1823">
        <f>'объемы ВС и ВО 2023'!R39</f>
        <v>6697.91</v>
      </c>
      <c r="H16" s="1824"/>
      <c r="I16" s="1823"/>
      <c r="J16" s="1823"/>
      <c r="K16" s="1822"/>
      <c r="L16" s="1823">
        <f>B26</f>
        <v>5719.6639481555339</v>
      </c>
      <c r="M16" s="1824"/>
      <c r="N16" s="1823"/>
      <c r="O16" s="1823"/>
      <c r="P16" s="1823"/>
    </row>
    <row r="17" spans="1:16" ht="12.75" customHeight="1" x14ac:dyDescent="0.2">
      <c r="A17" s="1826"/>
      <c r="B17" s="1820"/>
      <c r="C17" s="1820"/>
      <c r="D17" s="1819"/>
      <c r="E17" s="1821"/>
      <c r="F17" s="1820"/>
      <c r="G17" s="1820"/>
      <c r="H17" s="1819"/>
      <c r="I17" s="1821"/>
      <c r="J17" s="1821"/>
      <c r="K17" s="1820"/>
      <c r="L17" s="1820"/>
      <c r="M17" s="1819"/>
      <c r="N17" s="1821"/>
      <c r="O17" s="1821"/>
      <c r="P17" s="1821"/>
    </row>
    <row r="18" spans="1:16" ht="12.75" customHeight="1" x14ac:dyDescent="0.2">
      <c r="A18" s="1748" t="s">
        <v>99</v>
      </c>
      <c r="B18" s="1831"/>
      <c r="C18" s="1831"/>
      <c r="D18" s="1830"/>
      <c r="E18" s="1830"/>
      <c r="F18" s="1831"/>
      <c r="G18" s="1831"/>
      <c r="H18" s="1830"/>
      <c r="I18" s="1830"/>
      <c r="J18" s="1830"/>
      <c r="K18" s="1831"/>
      <c r="L18" s="1831"/>
      <c r="M18" s="1830"/>
      <c r="N18" s="1830"/>
      <c r="O18" s="1830"/>
      <c r="P18" s="1830"/>
    </row>
    <row r="19" spans="1:16" ht="12.75" customHeight="1" x14ac:dyDescent="0.2">
      <c r="A19" s="1748" t="s">
        <v>100</v>
      </c>
      <c r="B19" s="1828">
        <f>C19*C23/1000</f>
        <v>7.8155056000000007</v>
      </c>
      <c r="C19" s="1833">
        <v>2.1280000000000001</v>
      </c>
      <c r="D19" s="1830">
        <v>51168.21</v>
      </c>
      <c r="E19" s="1830">
        <v>399.96</v>
      </c>
      <c r="F19" s="1828">
        <f>G19*G23/1000</f>
        <v>6.8500332999999989</v>
      </c>
      <c r="G19" s="1833">
        <v>2.1339999999999999</v>
      </c>
      <c r="H19" s="1830">
        <v>49930</v>
      </c>
      <c r="I19" s="1830">
        <v>341.99</v>
      </c>
      <c r="J19" s="1830">
        <f>I19-E19</f>
        <v>-57.96999999999997</v>
      </c>
      <c r="K19" s="1828">
        <f>L19*L23/1000</f>
        <v>6.8500332999999989</v>
      </c>
      <c r="L19" s="1833">
        <v>2.1339999999999999</v>
      </c>
      <c r="M19" s="1830">
        <f>E37</f>
        <v>52349.709601873532</v>
      </c>
      <c r="N19" s="1830">
        <f t="shared" ref="N19:N20" si="5">K19*M19/1000</f>
        <v>358.59725401816337</v>
      </c>
      <c r="O19" s="1830">
        <f>N19-I19</f>
        <v>16.60725401816336</v>
      </c>
      <c r="P19" s="1830">
        <f>N19/E19</f>
        <v>0.89658279332474089</v>
      </c>
    </row>
    <row r="20" spans="1:16" ht="12.75" customHeight="1" x14ac:dyDescent="0.2">
      <c r="A20" s="1748" t="s">
        <v>107</v>
      </c>
      <c r="B20" s="1831"/>
      <c r="C20" s="1831"/>
      <c r="D20" s="1830"/>
      <c r="E20" s="1830"/>
      <c r="F20" s="1831">
        <v>0.05</v>
      </c>
      <c r="G20" s="1831">
        <v>1.6E-2</v>
      </c>
      <c r="H20" s="1830">
        <v>56000</v>
      </c>
      <c r="I20" s="1830">
        <v>2.8</v>
      </c>
      <c r="J20" s="1830">
        <f t="shared" ref="J20:J21" si="6">I20-E20</f>
        <v>2.8</v>
      </c>
      <c r="K20" s="1831">
        <v>0.05</v>
      </c>
      <c r="L20" s="1831">
        <v>1.6E-2</v>
      </c>
      <c r="M20" s="1830">
        <v>56000</v>
      </c>
      <c r="N20" s="1830">
        <f t="shared" si="5"/>
        <v>2.8</v>
      </c>
      <c r="O20" s="1830">
        <f t="shared" ref="O20:O21" si="7">N20-I20</f>
        <v>0</v>
      </c>
      <c r="P20" s="1830">
        <f>N20-E20</f>
        <v>2.8</v>
      </c>
    </row>
    <row r="21" spans="1:16" ht="12.75" customHeight="1" x14ac:dyDescent="0.2">
      <c r="A21" s="1748" t="s">
        <v>104</v>
      </c>
      <c r="B21" s="1831"/>
      <c r="C21" s="1831"/>
      <c r="D21" s="1830"/>
      <c r="E21" s="1830">
        <v>9.1</v>
      </c>
      <c r="F21" s="1831"/>
      <c r="G21" s="1831"/>
      <c r="H21" s="1830"/>
      <c r="I21" s="1830">
        <v>12.23</v>
      </c>
      <c r="J21" s="1830">
        <f t="shared" si="6"/>
        <v>3.1300000000000008</v>
      </c>
      <c r="K21" s="1831"/>
      <c r="L21" s="1831"/>
      <c r="M21" s="1830"/>
      <c r="N21" s="1830">
        <v>12.23</v>
      </c>
      <c r="O21" s="1830">
        <f t="shared" si="7"/>
        <v>0</v>
      </c>
      <c r="P21" s="1830">
        <f t="shared" ref="P21" si="8">N21/E21</f>
        <v>1.3439560439560441</v>
      </c>
    </row>
    <row r="22" spans="1:16" ht="12.75" customHeight="1" x14ac:dyDescent="0.2">
      <c r="A22" s="1826" t="s">
        <v>90</v>
      </c>
      <c r="B22" s="1820"/>
      <c r="C22" s="1820"/>
      <c r="D22" s="1819"/>
      <c r="E22" s="1821">
        <f>SUM(E19:E21)</f>
        <v>409.06</v>
      </c>
      <c r="F22" s="1820"/>
      <c r="G22" s="1820"/>
      <c r="H22" s="1819"/>
      <c r="I22" s="1821">
        <f>SUM(I19:I21)</f>
        <v>357.02000000000004</v>
      </c>
      <c r="J22" s="1821">
        <f>SUM(J19:J21)</f>
        <v>-52.039999999999971</v>
      </c>
      <c r="K22" s="1820"/>
      <c r="L22" s="1820"/>
      <c r="M22" s="1819"/>
      <c r="N22" s="1821">
        <f>SUM(N19:N21)</f>
        <v>373.6272540181634</v>
      </c>
      <c r="O22" s="1821">
        <f>SUM(O19:O21)</f>
        <v>16.60725401816336</v>
      </c>
      <c r="P22" s="1821">
        <f>SUM(P19:P21)</f>
        <v>5.0405388372807849</v>
      </c>
    </row>
    <row r="23" spans="1:16" ht="25.5" customHeight="1" x14ac:dyDescent="0.2">
      <c r="A23" s="1827" t="s">
        <v>125</v>
      </c>
      <c r="B23" s="1825"/>
      <c r="C23" s="1823">
        <v>3672.7</v>
      </c>
      <c r="D23" s="1823"/>
      <c r="E23" s="1823"/>
      <c r="F23" s="1825"/>
      <c r="G23" s="1823">
        <f>'объемы ВС и ВО 2023'!R63+'объемы ВС и ВО 2023'!S63</f>
        <v>3209.95</v>
      </c>
      <c r="H23" s="1823"/>
      <c r="I23" s="1823"/>
      <c r="J23" s="1823"/>
      <c r="K23" s="1825"/>
      <c r="L23" s="1823">
        <f>G23</f>
        <v>3209.95</v>
      </c>
      <c r="M23" s="1823"/>
      <c r="N23" s="1823"/>
      <c r="O23" s="1823"/>
      <c r="P23" s="1823"/>
    </row>
    <row r="26" spans="1:16" ht="25.5" x14ac:dyDescent="0.2">
      <c r="A26" s="1827" t="s">
        <v>124</v>
      </c>
      <c r="B26" s="1749">
        <f>B27+B28+B29</f>
        <v>5719.6639481555339</v>
      </c>
      <c r="C26" s="1668">
        <f>'объемы ВС и ВО 2023'!S39</f>
        <v>18.22</v>
      </c>
    </row>
    <row r="27" spans="1:16" x14ac:dyDescent="0.2">
      <c r="A27" s="1748" t="s">
        <v>1596</v>
      </c>
      <c r="B27" s="1753">
        <f>'объемы ВС и ВО 2023'!R42</f>
        <v>1030.98</v>
      </c>
    </row>
    <row r="28" spans="1:16" x14ac:dyDescent="0.2">
      <c r="A28" s="1748" t="s">
        <v>1597</v>
      </c>
      <c r="B28" s="1754">
        <f>B29*19.76/80.24</f>
        <v>926.48394815553365</v>
      </c>
    </row>
    <row r="29" spans="1:16" x14ac:dyDescent="0.2">
      <c r="A29" s="1748" t="s">
        <v>1598</v>
      </c>
      <c r="B29" s="1753">
        <f>'объемы ВС и ВО 2023'!R49</f>
        <v>3762.2000000000003</v>
      </c>
    </row>
    <row r="31" spans="1:16" x14ac:dyDescent="0.2">
      <c r="A31" s="5" t="s">
        <v>1602</v>
      </c>
    </row>
    <row r="32" spans="1:16" x14ac:dyDescent="0.2">
      <c r="A32" s="6580"/>
      <c r="B32" s="5154" t="s">
        <v>1603</v>
      </c>
      <c r="C32" s="5154"/>
      <c r="D32" s="5154" t="s">
        <v>1606</v>
      </c>
      <c r="E32" s="5154"/>
      <c r="F32" s="5154" t="s">
        <v>1607</v>
      </c>
      <c r="G32" s="5154"/>
    </row>
    <row r="33" spans="1:7" x14ac:dyDescent="0.2">
      <c r="A33" s="6581"/>
      <c r="B33" s="1757" t="s">
        <v>1604</v>
      </c>
      <c r="C33" s="1757" t="s">
        <v>1605</v>
      </c>
      <c r="D33" s="1757" t="s">
        <v>1604</v>
      </c>
      <c r="E33" s="1757" t="s">
        <v>1605</v>
      </c>
      <c r="F33" s="1757" t="s">
        <v>1604</v>
      </c>
      <c r="G33" s="1757" t="s">
        <v>1605</v>
      </c>
    </row>
    <row r="34" spans="1:7" x14ac:dyDescent="0.2">
      <c r="A34" s="5864" t="s">
        <v>400</v>
      </c>
      <c r="B34" s="6568"/>
      <c r="C34" s="6568"/>
      <c r="D34" s="6568"/>
      <c r="E34" s="6568"/>
      <c r="F34" s="6568"/>
      <c r="G34" s="6536"/>
    </row>
    <row r="35" spans="1:7" x14ac:dyDescent="0.2">
      <c r="A35" s="1748" t="s">
        <v>1609</v>
      </c>
      <c r="B35" s="1753">
        <v>416594.26</v>
      </c>
      <c r="C35" s="1753"/>
      <c r="D35" s="1753">
        <v>2642807.46</v>
      </c>
      <c r="E35" s="1753">
        <v>2794165.75</v>
      </c>
      <c r="F35" s="1753">
        <f>B35+D35-E35</f>
        <v>265235.96999999974</v>
      </c>
      <c r="G35" s="1753"/>
    </row>
    <row r="36" spans="1:7" x14ac:dyDescent="0.2">
      <c r="A36" s="1748" t="s">
        <v>1621</v>
      </c>
      <c r="B36" s="1753">
        <v>7950</v>
      </c>
      <c r="C36" s="1753"/>
      <c r="D36" s="1753">
        <v>50250</v>
      </c>
      <c r="E36" s="1753">
        <v>53375</v>
      </c>
      <c r="F36" s="1753">
        <f>B36+D36-E36</f>
        <v>4825</v>
      </c>
      <c r="G36" s="1753"/>
    </row>
    <row r="37" spans="1:7" x14ac:dyDescent="0.2">
      <c r="A37" s="1748" t="s">
        <v>1620</v>
      </c>
      <c r="B37" s="1753">
        <f>B35/B36*1000</f>
        <v>52401.793710691825</v>
      </c>
      <c r="C37" s="1753"/>
      <c r="D37" s="1753">
        <f t="shared" ref="D37:F37" si="9">D35/D36*1000</f>
        <v>52593.183283582082</v>
      </c>
      <c r="E37" s="1856">
        <f t="shared" si="9"/>
        <v>52349.709601873532</v>
      </c>
      <c r="F37" s="1753">
        <f t="shared" si="9"/>
        <v>54971.185492227924</v>
      </c>
      <c r="G37" s="1753"/>
    </row>
    <row r="38" spans="1:7" x14ac:dyDescent="0.2">
      <c r="A38" s="5864" t="s">
        <v>1611</v>
      </c>
      <c r="B38" s="6568"/>
      <c r="C38" s="6568"/>
      <c r="D38" s="6568"/>
      <c r="E38" s="6568"/>
      <c r="F38" s="6568"/>
      <c r="G38" s="6536"/>
    </row>
    <row r="39" spans="1:7" x14ac:dyDescent="0.2">
      <c r="A39" s="1748" t="s">
        <v>1609</v>
      </c>
      <c r="B39" s="1753">
        <v>39420</v>
      </c>
      <c r="C39" s="1753"/>
      <c r="D39" s="1753">
        <v>126655</v>
      </c>
      <c r="E39" s="1753">
        <v>154395</v>
      </c>
      <c r="F39" s="1753">
        <f>B39+D39-E39</f>
        <v>11680</v>
      </c>
      <c r="G39" s="1753"/>
    </row>
    <row r="40" spans="1:7" x14ac:dyDescent="0.2">
      <c r="A40" s="1748" t="s">
        <v>1621</v>
      </c>
      <c r="B40" s="1753">
        <v>540</v>
      </c>
      <c r="C40" s="1753"/>
      <c r="D40" s="1753">
        <v>1735</v>
      </c>
      <c r="E40" s="1753">
        <v>2115</v>
      </c>
      <c r="F40" s="1753">
        <f>B40+D40-E40</f>
        <v>160</v>
      </c>
      <c r="G40" s="1753"/>
    </row>
    <row r="41" spans="1:7" x14ac:dyDescent="0.2">
      <c r="A41" s="1748" t="s">
        <v>1620</v>
      </c>
      <c r="B41" s="1753">
        <f>B39/B40*1000</f>
        <v>73000</v>
      </c>
      <c r="C41" s="1753"/>
      <c r="D41" s="1753">
        <f t="shared" ref="D41:F41" si="10">D39/D40*1000</f>
        <v>73000</v>
      </c>
      <c r="E41" s="1856">
        <f t="shared" si="10"/>
        <v>73000</v>
      </c>
      <c r="F41" s="1753">
        <f t="shared" si="10"/>
        <v>73000</v>
      </c>
      <c r="G41" s="1753"/>
    </row>
    <row r="42" spans="1:7" x14ac:dyDescent="0.2">
      <c r="A42" s="5864" t="s">
        <v>1612</v>
      </c>
      <c r="B42" s="6568"/>
      <c r="C42" s="6568"/>
      <c r="D42" s="6568"/>
      <c r="E42" s="6568"/>
      <c r="F42" s="6568"/>
      <c r="G42" s="6536"/>
    </row>
    <row r="43" spans="1:7" x14ac:dyDescent="0.2">
      <c r="A43" s="1748" t="s">
        <v>1609</v>
      </c>
      <c r="B43" s="1753">
        <v>14932.21</v>
      </c>
      <c r="C43" s="1753"/>
      <c r="D43" s="1753">
        <v>752220.33</v>
      </c>
      <c r="E43" s="1753">
        <v>767152.54</v>
      </c>
      <c r="F43" s="1753">
        <f>B43+D43-E43</f>
        <v>0</v>
      </c>
      <c r="G43" s="1753"/>
    </row>
    <row r="44" spans="1:7" x14ac:dyDescent="0.2">
      <c r="A44" s="1748" t="s">
        <v>1621</v>
      </c>
      <c r="B44" s="1753">
        <v>1000</v>
      </c>
      <c r="C44" s="1753"/>
      <c r="D44" s="1753">
        <v>50000</v>
      </c>
      <c r="E44" s="1753">
        <v>51000</v>
      </c>
      <c r="F44" s="1753">
        <f>B44+D44-E44</f>
        <v>0</v>
      </c>
      <c r="G44" s="1753"/>
    </row>
    <row r="45" spans="1:7" x14ac:dyDescent="0.2">
      <c r="A45" s="1748" t="s">
        <v>1620</v>
      </c>
      <c r="B45" s="1753">
        <f>B43/B44*1000</f>
        <v>14932.21</v>
      </c>
      <c r="C45" s="1753"/>
      <c r="D45" s="1753">
        <f t="shared" ref="D45:E45" si="11">D43/D44*1000</f>
        <v>15044.406599999998</v>
      </c>
      <c r="E45" s="1856">
        <f t="shared" si="11"/>
        <v>15042.206666666667</v>
      </c>
      <c r="F45" s="1753"/>
      <c r="G45" s="1753"/>
    </row>
    <row r="46" spans="1:7" x14ac:dyDescent="0.2">
      <c r="A46" s="5864" t="s">
        <v>101</v>
      </c>
      <c r="B46" s="6568"/>
      <c r="C46" s="6568"/>
      <c r="D46" s="6568"/>
      <c r="E46" s="6568"/>
      <c r="F46" s="6568"/>
      <c r="G46" s="6536"/>
    </row>
    <row r="47" spans="1:7" x14ac:dyDescent="0.2">
      <c r="A47" s="1748" t="s">
        <v>1609</v>
      </c>
      <c r="B47" s="1753">
        <v>9629.23</v>
      </c>
      <c r="C47" s="1753"/>
      <c r="D47" s="1753">
        <v>244372.89</v>
      </c>
      <c r="E47" s="1753">
        <v>172544.49</v>
      </c>
      <c r="F47" s="1753">
        <f>B47+D47-E47</f>
        <v>81457.630000000034</v>
      </c>
      <c r="G47" s="1753"/>
    </row>
    <row r="48" spans="1:7" x14ac:dyDescent="0.2">
      <c r="A48" s="1748" t="s">
        <v>1608</v>
      </c>
      <c r="B48" s="1753">
        <v>0.505</v>
      </c>
      <c r="C48" s="1753"/>
      <c r="D48" s="1753">
        <v>12.015000000000001</v>
      </c>
      <c r="E48" s="1753">
        <v>8.5150000000000006</v>
      </c>
      <c r="F48" s="1753">
        <f>B48+D48-E48</f>
        <v>4.0050000000000008</v>
      </c>
      <c r="G48" s="1753"/>
    </row>
    <row r="49" spans="1:7" ht="14.25" customHeight="1" x14ac:dyDescent="0.2">
      <c r="A49" s="1748" t="s">
        <v>1610</v>
      </c>
      <c r="B49" s="1753">
        <f>B47/B48</f>
        <v>19067.782178217822</v>
      </c>
      <c r="C49" s="1753"/>
      <c r="D49" s="1753">
        <f t="shared" ref="D49" si="12">D47/D48</f>
        <v>20338.983770287141</v>
      </c>
      <c r="E49" s="1856">
        <f t="shared" ref="E49:F49" si="13">E47/E48</f>
        <v>20263.592483852022</v>
      </c>
      <c r="F49" s="1753">
        <f t="shared" si="13"/>
        <v>20338.983770287145</v>
      </c>
      <c r="G49" s="1753"/>
    </row>
    <row r="50" spans="1:7" hidden="1" x14ac:dyDescent="0.2">
      <c r="A50" s="5864" t="s">
        <v>1613</v>
      </c>
      <c r="B50" s="6568"/>
      <c r="C50" s="6568"/>
      <c r="D50" s="6568"/>
      <c r="E50" s="6568"/>
      <c r="F50" s="6568"/>
      <c r="G50" s="6536"/>
    </row>
    <row r="51" spans="1:7" hidden="1" x14ac:dyDescent="0.2">
      <c r="A51" s="1748" t="s">
        <v>1609</v>
      </c>
      <c r="B51" s="1753">
        <v>0</v>
      </c>
      <c r="C51" s="1753"/>
      <c r="D51" s="1753">
        <v>39000</v>
      </c>
      <c r="E51" s="1753">
        <v>39000</v>
      </c>
      <c r="F51" s="1753">
        <f>B51+D51-E51</f>
        <v>0</v>
      </c>
      <c r="G51" s="1753"/>
    </row>
    <row r="52" spans="1:7" hidden="1" x14ac:dyDescent="0.2">
      <c r="A52" s="1748" t="s">
        <v>1621</v>
      </c>
      <c r="B52" s="1753">
        <v>0</v>
      </c>
      <c r="C52" s="1753"/>
      <c r="D52" s="1753">
        <v>150</v>
      </c>
      <c r="E52" s="1753">
        <v>150</v>
      </c>
      <c r="F52" s="1753">
        <f>B52+D52-E52</f>
        <v>0</v>
      </c>
      <c r="G52" s="1753"/>
    </row>
    <row r="53" spans="1:7" hidden="1" x14ac:dyDescent="0.2">
      <c r="A53" s="1748" t="s">
        <v>1620</v>
      </c>
      <c r="B53" s="1753">
        <v>0</v>
      </c>
      <c r="C53" s="1753"/>
      <c r="D53" s="1753">
        <f>D51/D52*1000</f>
        <v>260000</v>
      </c>
      <c r="E53" s="1753">
        <f>E51/E52*1000</f>
        <v>260000</v>
      </c>
      <c r="F53" s="1753">
        <v>0</v>
      </c>
      <c r="G53" s="1753"/>
    </row>
    <row r="54" spans="1:7" hidden="1" x14ac:dyDescent="0.2">
      <c r="A54" s="5864" t="s">
        <v>1614</v>
      </c>
      <c r="B54" s="6568"/>
      <c r="C54" s="6568"/>
      <c r="D54" s="6568"/>
      <c r="E54" s="6568"/>
      <c r="F54" s="6568"/>
      <c r="G54" s="6536"/>
    </row>
    <row r="55" spans="1:7" hidden="1" x14ac:dyDescent="0.2">
      <c r="A55" s="1748" t="s">
        <v>1609</v>
      </c>
      <c r="B55" s="1753">
        <v>0</v>
      </c>
      <c r="C55" s="1753"/>
      <c r="D55" s="1753">
        <v>48000</v>
      </c>
      <c r="E55" s="1753">
        <v>48000</v>
      </c>
      <c r="F55" s="1753">
        <f>B55+D55-E55</f>
        <v>0</v>
      </c>
      <c r="G55" s="1753"/>
    </row>
    <row r="56" spans="1:7" hidden="1" x14ac:dyDescent="0.2">
      <c r="A56" s="1748" t="s">
        <v>1621</v>
      </c>
      <c r="B56" s="1753">
        <v>0</v>
      </c>
      <c r="C56" s="1753"/>
      <c r="D56" s="1753">
        <v>150</v>
      </c>
      <c r="E56" s="1753">
        <v>150</v>
      </c>
      <c r="F56" s="1753">
        <f>B56+D56-E56</f>
        <v>0</v>
      </c>
      <c r="G56" s="1753"/>
    </row>
    <row r="57" spans="1:7" ht="13.5" hidden="1" thickBot="1" x14ac:dyDescent="0.25">
      <c r="A57" s="1857" t="s">
        <v>1620</v>
      </c>
      <c r="B57" s="1858">
        <v>0</v>
      </c>
      <c r="C57" s="1858"/>
      <c r="D57" s="1858">
        <f>D55/D56*1000</f>
        <v>320000</v>
      </c>
      <c r="E57" s="1858">
        <f>E55/E56*1000</f>
        <v>320000</v>
      </c>
      <c r="F57" s="1858">
        <v>0</v>
      </c>
      <c r="G57" s="1858"/>
    </row>
    <row r="58" spans="1:7" hidden="1" x14ac:dyDescent="0.2">
      <c r="A58" s="6583" t="s">
        <v>1625</v>
      </c>
      <c r="B58" s="6584"/>
      <c r="C58" s="6584"/>
      <c r="D58" s="6584"/>
      <c r="E58" s="6584"/>
      <c r="F58" s="6584"/>
      <c r="G58" s="6585"/>
    </row>
    <row r="59" spans="1:7" hidden="1" x14ac:dyDescent="0.2">
      <c r="A59" s="1859" t="s">
        <v>1609</v>
      </c>
      <c r="B59" s="1753">
        <v>0</v>
      </c>
      <c r="C59" s="1753"/>
      <c r="D59" s="1753">
        <f>D51+D55</f>
        <v>87000</v>
      </c>
      <c r="E59" s="1753">
        <f>E51+E55</f>
        <v>87000</v>
      </c>
      <c r="F59" s="1753">
        <f>B59+D59-E59</f>
        <v>0</v>
      </c>
      <c r="G59" s="1860"/>
    </row>
    <row r="60" spans="1:7" hidden="1" x14ac:dyDescent="0.2">
      <c r="A60" s="1859" t="s">
        <v>1621</v>
      </c>
      <c r="B60" s="1753">
        <v>0</v>
      </c>
      <c r="C60" s="1753"/>
      <c r="D60" s="1753">
        <f>D52+D56</f>
        <v>300</v>
      </c>
      <c r="E60" s="1753">
        <f>E52+E56</f>
        <v>300</v>
      </c>
      <c r="F60" s="1753">
        <f>B60+D60-E60</f>
        <v>0</v>
      </c>
      <c r="G60" s="1860"/>
    </row>
    <row r="61" spans="1:7" ht="13.5" hidden="1" thickBot="1" x14ac:dyDescent="0.25">
      <c r="A61" s="1861" t="s">
        <v>1620</v>
      </c>
      <c r="B61" s="1862">
        <v>0</v>
      </c>
      <c r="C61" s="1862"/>
      <c r="D61" s="1862">
        <f>D59/D60*1000</f>
        <v>290000</v>
      </c>
      <c r="E61" s="1862">
        <f>E59/E60*1000</f>
        <v>290000</v>
      </c>
      <c r="F61" s="1862">
        <v>0</v>
      </c>
      <c r="G61" s="1863"/>
    </row>
    <row r="62" spans="1:7" hidden="1" x14ac:dyDescent="0.2">
      <c r="A62" s="6533" t="s">
        <v>1615</v>
      </c>
      <c r="B62" s="6586"/>
      <c r="C62" s="6586"/>
      <c r="D62" s="6586"/>
      <c r="E62" s="6586"/>
      <c r="F62" s="6586"/>
      <c r="G62" s="6587"/>
    </row>
    <row r="63" spans="1:7" hidden="1" x14ac:dyDescent="0.2">
      <c r="A63" s="1748" t="s">
        <v>1609</v>
      </c>
      <c r="B63" s="1753">
        <v>5370</v>
      </c>
      <c r="C63" s="1753"/>
      <c r="D63" s="1753">
        <v>10600</v>
      </c>
      <c r="E63" s="1753">
        <v>15970</v>
      </c>
      <c r="F63" s="1753">
        <f>B63+D63-E63</f>
        <v>0</v>
      </c>
      <c r="G63" s="1753"/>
    </row>
    <row r="64" spans="1:7" hidden="1" x14ac:dyDescent="0.2">
      <c r="A64" s="1748" t="s">
        <v>1621</v>
      </c>
      <c r="B64" s="1753">
        <v>25</v>
      </c>
      <c r="C64" s="1753"/>
      <c r="D64" s="1753">
        <v>50</v>
      </c>
      <c r="E64" s="1753">
        <v>75</v>
      </c>
      <c r="F64" s="1753">
        <f>B64+D64-E64</f>
        <v>0</v>
      </c>
      <c r="G64" s="1753"/>
    </row>
    <row r="65" spans="1:7" ht="13.5" hidden="1" thickBot="1" x14ac:dyDescent="0.25">
      <c r="A65" s="1857" t="s">
        <v>1620</v>
      </c>
      <c r="B65" s="1858">
        <f>B63/B64*1000</f>
        <v>214800</v>
      </c>
      <c r="C65" s="1858"/>
      <c r="D65" s="1858">
        <f t="shared" ref="D65:E65" si="14">D63/D64*1000</f>
        <v>212000</v>
      </c>
      <c r="E65" s="1892">
        <f t="shared" si="14"/>
        <v>212933.33333333334</v>
      </c>
      <c r="F65" s="1858"/>
      <c r="G65" s="1858"/>
    </row>
    <row r="66" spans="1:7" x14ac:dyDescent="0.2">
      <c r="A66" s="5154" t="s">
        <v>1627</v>
      </c>
      <c r="B66" s="5154"/>
      <c r="C66" s="5154"/>
      <c r="D66" s="5154"/>
      <c r="E66" s="5154"/>
      <c r="F66" s="5154"/>
      <c r="G66" s="5154"/>
    </row>
    <row r="67" spans="1:7" x14ac:dyDescent="0.2">
      <c r="A67" s="1748" t="s">
        <v>1609</v>
      </c>
      <c r="B67" s="1753">
        <f>B59+B63</f>
        <v>5370</v>
      </c>
      <c r="C67" s="1753"/>
      <c r="D67" s="1753">
        <f>D59+D63</f>
        <v>97600</v>
      </c>
      <c r="E67" s="1753">
        <f>E59+E63</f>
        <v>102970</v>
      </c>
      <c r="F67" s="1753">
        <f>B67+D67-E67</f>
        <v>0</v>
      </c>
      <c r="G67" s="1753"/>
    </row>
    <row r="68" spans="1:7" x14ac:dyDescent="0.2">
      <c r="A68" s="1748" t="s">
        <v>1621</v>
      </c>
      <c r="B68" s="1753">
        <f>B60+B64</f>
        <v>25</v>
      </c>
      <c r="C68" s="1753"/>
      <c r="D68" s="1753">
        <f>D60+D64</f>
        <v>350</v>
      </c>
      <c r="E68" s="1753">
        <f>E60+E64</f>
        <v>375</v>
      </c>
      <c r="F68" s="1753">
        <f>B68+D68-E68</f>
        <v>0</v>
      </c>
      <c r="G68" s="1753"/>
    </row>
    <row r="69" spans="1:7" x14ac:dyDescent="0.2">
      <c r="A69" s="1748" t="s">
        <v>1620</v>
      </c>
      <c r="B69" s="1753">
        <f>B67/B68*1000</f>
        <v>214800</v>
      </c>
      <c r="C69" s="1753"/>
      <c r="D69" s="1753">
        <f t="shared" ref="D69:E69" si="15">D67/D68*1000</f>
        <v>278857.14285714284</v>
      </c>
      <c r="E69" s="1753">
        <f t="shared" si="15"/>
        <v>274586.66666666663</v>
      </c>
      <c r="F69" s="1753">
        <v>0</v>
      </c>
      <c r="G69" s="1753"/>
    </row>
    <row r="70" spans="1:7" x14ac:dyDescent="0.2">
      <c r="A70" s="6533" t="s">
        <v>1616</v>
      </c>
      <c r="B70" s="6586"/>
      <c r="C70" s="6586"/>
      <c r="D70" s="6586"/>
      <c r="E70" s="6586"/>
      <c r="F70" s="6586"/>
      <c r="G70" s="6587"/>
    </row>
    <row r="71" spans="1:7" x14ac:dyDescent="0.2">
      <c r="A71" s="1748" t="s">
        <v>1609</v>
      </c>
      <c r="B71" s="1753">
        <v>8089.53</v>
      </c>
      <c r="C71" s="1753"/>
      <c r="D71" s="1753">
        <v>206894.38</v>
      </c>
      <c r="E71" s="1753">
        <v>171830.38</v>
      </c>
      <c r="F71" s="1753">
        <f>B71+D71-E71</f>
        <v>43153.53</v>
      </c>
      <c r="G71" s="1753"/>
    </row>
    <row r="72" spans="1:7" x14ac:dyDescent="0.2">
      <c r="A72" s="1748" t="s">
        <v>1621</v>
      </c>
      <c r="B72" s="1753">
        <v>500</v>
      </c>
      <c r="C72" s="1753"/>
      <c r="D72" s="1753">
        <v>10715</v>
      </c>
      <c r="E72" s="1753">
        <v>9125</v>
      </c>
      <c r="F72" s="1753">
        <f>B72+D72-E72</f>
        <v>2090</v>
      </c>
      <c r="G72" s="1753"/>
    </row>
    <row r="73" spans="1:7" x14ac:dyDescent="0.2">
      <c r="A73" s="1748" t="s">
        <v>1620</v>
      </c>
      <c r="B73" s="1753">
        <f>B71/B72*1000</f>
        <v>16179.06</v>
      </c>
      <c r="C73" s="1753"/>
      <c r="D73" s="1753">
        <f t="shared" ref="D73:F73" si="16">D71/D72*1000</f>
        <v>19308.854876341578</v>
      </c>
      <c r="E73" s="1753">
        <f t="shared" si="16"/>
        <v>18830.726575342469</v>
      </c>
      <c r="F73" s="1753">
        <f t="shared" si="16"/>
        <v>20647.622009569379</v>
      </c>
      <c r="G73" s="1753"/>
    </row>
    <row r="74" spans="1:7" x14ac:dyDescent="0.2">
      <c r="A74" s="5864" t="s">
        <v>103</v>
      </c>
      <c r="B74" s="6568"/>
      <c r="C74" s="6568"/>
      <c r="D74" s="6568"/>
      <c r="E74" s="6568"/>
      <c r="F74" s="6568"/>
      <c r="G74" s="6536"/>
    </row>
    <row r="75" spans="1:7" x14ac:dyDescent="0.2">
      <c r="A75" s="1748" t="s">
        <v>1609</v>
      </c>
      <c r="B75" s="1753">
        <v>0</v>
      </c>
      <c r="C75" s="1753"/>
      <c r="D75" s="1753">
        <v>2800</v>
      </c>
      <c r="E75" s="1753">
        <v>2800</v>
      </c>
      <c r="F75" s="1753">
        <f>B75+D75-E75</f>
        <v>0</v>
      </c>
      <c r="G75" s="1753"/>
    </row>
    <row r="76" spans="1:7" x14ac:dyDescent="0.2">
      <c r="A76" s="1748" t="s">
        <v>1621</v>
      </c>
      <c r="B76" s="1753">
        <v>0</v>
      </c>
      <c r="C76" s="1753"/>
      <c r="D76" s="1753">
        <v>50</v>
      </c>
      <c r="E76" s="1753">
        <v>50</v>
      </c>
      <c r="F76" s="1753">
        <f>B76+D76-E76</f>
        <v>0</v>
      </c>
      <c r="G76" s="1753"/>
    </row>
    <row r="77" spans="1:7" x14ac:dyDescent="0.2">
      <c r="A77" s="1748" t="s">
        <v>1620</v>
      </c>
      <c r="B77" s="1753">
        <v>0</v>
      </c>
      <c r="C77" s="1753"/>
      <c r="D77" s="1753">
        <f>D75/D76*1000</f>
        <v>56000</v>
      </c>
      <c r="E77" s="1753">
        <f t="shared" ref="E77" si="17">E75/E76*1000</f>
        <v>56000</v>
      </c>
      <c r="F77" s="1753"/>
      <c r="G77" s="1753"/>
    </row>
    <row r="78" spans="1:7" hidden="1" x14ac:dyDescent="0.2">
      <c r="A78" s="5864" t="s">
        <v>1626</v>
      </c>
      <c r="B78" s="6568"/>
      <c r="C78" s="6568"/>
      <c r="D78" s="6568"/>
      <c r="E78" s="6568"/>
      <c r="F78" s="6568"/>
      <c r="G78" s="6536"/>
    </row>
    <row r="79" spans="1:7" hidden="1" x14ac:dyDescent="0.2">
      <c r="A79" s="1748" t="s">
        <v>1609</v>
      </c>
      <c r="B79" s="1753">
        <v>0</v>
      </c>
      <c r="C79" s="1753"/>
      <c r="D79" s="1753">
        <f>D71+D75</f>
        <v>209694.38</v>
      </c>
      <c r="E79" s="1753">
        <f>E71+E75</f>
        <v>174630.38</v>
      </c>
      <c r="F79" s="1753">
        <f>B79+D79-E79</f>
        <v>35064</v>
      </c>
      <c r="G79" s="1753"/>
    </row>
    <row r="80" spans="1:7" hidden="1" x14ac:dyDescent="0.2">
      <c r="A80" s="1748" t="s">
        <v>1621</v>
      </c>
      <c r="B80" s="1753">
        <v>0</v>
      </c>
      <c r="C80" s="1753"/>
      <c r="D80" s="1753">
        <f>D72+D76</f>
        <v>10765</v>
      </c>
      <c r="E80" s="1753">
        <f>E72+E76</f>
        <v>9175</v>
      </c>
      <c r="F80" s="1753">
        <f>B80+D80-E80</f>
        <v>1590</v>
      </c>
      <c r="G80" s="1753"/>
    </row>
    <row r="81" spans="1:8" hidden="1" x14ac:dyDescent="0.2">
      <c r="A81" s="1748" t="s">
        <v>1620</v>
      </c>
      <c r="B81" s="1753">
        <v>0</v>
      </c>
      <c r="C81" s="1753"/>
      <c r="D81" s="1753">
        <f>D79/D80*1000</f>
        <v>19479.273571760335</v>
      </c>
      <c r="E81" s="1753">
        <f t="shared" ref="E81:F81" si="18">E79/E80*1000</f>
        <v>19033.283923705723</v>
      </c>
      <c r="F81" s="1753">
        <f t="shared" si="18"/>
        <v>22052.830188679243</v>
      </c>
      <c r="G81" s="1753"/>
    </row>
    <row r="82" spans="1:8" x14ac:dyDescent="0.2">
      <c r="A82" s="5864" t="s">
        <v>1617</v>
      </c>
      <c r="B82" s="6568"/>
      <c r="C82" s="6568"/>
      <c r="D82" s="6568"/>
      <c r="E82" s="6568"/>
      <c r="F82" s="6568"/>
      <c r="G82" s="6536"/>
    </row>
    <row r="83" spans="1:8" x14ac:dyDescent="0.2">
      <c r="A83" s="1748" t="s">
        <v>1609</v>
      </c>
      <c r="B83" s="1753">
        <v>0</v>
      </c>
      <c r="C83" s="1753"/>
      <c r="D83" s="1753">
        <v>1445965.98</v>
      </c>
      <c r="E83" s="1753">
        <v>1167559.23</v>
      </c>
      <c r="F83" s="1753">
        <f>B83+D83-E83</f>
        <v>278406.75</v>
      </c>
      <c r="G83" s="1753"/>
    </row>
    <row r="84" spans="1:8" x14ac:dyDescent="0.2">
      <c r="A84" s="1748" t="s">
        <v>1608</v>
      </c>
      <c r="B84" s="1753">
        <v>0</v>
      </c>
      <c r="C84" s="1753"/>
      <c r="D84" s="1753">
        <v>99.2</v>
      </c>
      <c r="E84" s="1753">
        <v>80.099999999999994</v>
      </c>
      <c r="F84" s="1753">
        <f>B84+D84-E84</f>
        <v>19.100000000000009</v>
      </c>
      <c r="G84" s="1753"/>
    </row>
    <row r="85" spans="1:8" x14ac:dyDescent="0.2">
      <c r="A85" s="1748" t="s">
        <v>1610</v>
      </c>
      <c r="B85" s="1753">
        <v>0</v>
      </c>
      <c r="C85" s="1753"/>
      <c r="D85" s="1753">
        <f t="shared" ref="D85" si="19">D83/D84</f>
        <v>14576.269959677418</v>
      </c>
      <c r="E85" s="1753">
        <f t="shared" ref="E85:F85" si="20">E83/E84</f>
        <v>14576.270037453185</v>
      </c>
      <c r="F85" s="1753">
        <f t="shared" si="20"/>
        <v>14576.269633507847</v>
      </c>
      <c r="G85" s="1753"/>
    </row>
    <row r="86" spans="1:8" x14ac:dyDescent="0.2">
      <c r="A86" s="5864" t="s">
        <v>1618</v>
      </c>
      <c r="B86" s="6568"/>
      <c r="C86" s="6568"/>
      <c r="D86" s="6568"/>
      <c r="E86" s="6568"/>
      <c r="F86" s="6568"/>
      <c r="G86" s="6536"/>
    </row>
    <row r="87" spans="1:8" x14ac:dyDescent="0.2">
      <c r="A87" s="1748" t="s">
        <v>1609</v>
      </c>
      <c r="B87" s="1753">
        <v>167763.56</v>
      </c>
      <c r="C87" s="1753"/>
      <c r="D87" s="1753">
        <v>874576.2</v>
      </c>
      <c r="E87" s="1753">
        <v>1042339.76</v>
      </c>
      <c r="F87" s="1753">
        <f>B87+D87-E87</f>
        <v>0</v>
      </c>
      <c r="G87" s="1753"/>
    </row>
    <row r="88" spans="1:8" x14ac:dyDescent="0.2">
      <c r="A88" s="1748" t="s">
        <v>1608</v>
      </c>
      <c r="B88" s="1753">
        <v>39.200000000000003</v>
      </c>
      <c r="C88" s="1753"/>
      <c r="D88" s="1753">
        <v>60</v>
      </c>
      <c r="E88" s="1753">
        <v>99.2</v>
      </c>
      <c r="F88" s="1753">
        <f>B88+D88-E88</f>
        <v>0</v>
      </c>
      <c r="G88" s="1753"/>
    </row>
    <row r="89" spans="1:8" x14ac:dyDescent="0.2">
      <c r="A89" s="1748" t="s">
        <v>1610</v>
      </c>
      <c r="B89" s="1753">
        <f>B87/B88</f>
        <v>4279.6826530612243</v>
      </c>
      <c r="C89" s="1753"/>
      <c r="D89" s="1753">
        <f t="shared" ref="D89" si="21">D87/D88</f>
        <v>14576.269999999999</v>
      </c>
      <c r="E89" s="1856">
        <f t="shared" ref="E89" si="22">E87/E88</f>
        <v>10507.457258064516</v>
      </c>
      <c r="F89" s="1753">
        <v>0</v>
      </c>
      <c r="G89" s="1753"/>
      <c r="H89" s="1668"/>
    </row>
    <row r="90" spans="1:8" x14ac:dyDescent="0.2">
      <c r="A90" s="5864" t="s">
        <v>1624</v>
      </c>
      <c r="B90" s="6568"/>
      <c r="C90" s="6568"/>
      <c r="D90" s="6568"/>
      <c r="E90" s="6568"/>
      <c r="F90" s="6568"/>
      <c r="G90" s="6536"/>
      <c r="H90" s="1668"/>
    </row>
    <row r="91" spans="1:8" x14ac:dyDescent="0.2">
      <c r="A91" s="1748" t="s">
        <v>1609</v>
      </c>
      <c r="B91" s="1753">
        <f>B83+B87</f>
        <v>167763.56</v>
      </c>
      <c r="C91" s="1753"/>
      <c r="D91" s="1753">
        <f>D83+D87</f>
        <v>2320542.1799999997</v>
      </c>
      <c r="E91" s="1753">
        <f>E83+E87</f>
        <v>2209898.9900000002</v>
      </c>
      <c r="F91" s="1753">
        <f>B91+D91-E91</f>
        <v>278406.74999999953</v>
      </c>
      <c r="G91" s="1753"/>
      <c r="H91" s="1668"/>
    </row>
    <row r="92" spans="1:8" x14ac:dyDescent="0.2">
      <c r="A92" s="1748" t="s">
        <v>1608</v>
      </c>
      <c r="B92" s="1753">
        <f>B84+B88</f>
        <v>39.200000000000003</v>
      </c>
      <c r="C92" s="1753"/>
      <c r="D92" s="1753">
        <f>D84+D88</f>
        <v>159.19999999999999</v>
      </c>
      <c r="E92" s="1753">
        <f>E84+E88</f>
        <v>179.3</v>
      </c>
      <c r="F92" s="1753">
        <f>B92+D92-E92</f>
        <v>19.099999999999966</v>
      </c>
      <c r="G92" s="1753"/>
      <c r="H92" s="1668"/>
    </row>
    <row r="93" spans="1:8" x14ac:dyDescent="0.2">
      <c r="A93" s="1748" t="s">
        <v>1610</v>
      </c>
      <c r="B93" s="1753">
        <f>B91/B92</f>
        <v>4279.6826530612243</v>
      </c>
      <c r="C93" s="1753"/>
      <c r="D93" s="1753">
        <f t="shared" ref="D93" si="23">D91/D92</f>
        <v>14576.269974874371</v>
      </c>
      <c r="E93" s="1856">
        <f t="shared" ref="E93" si="24">E91/E92</f>
        <v>12325.14774121584</v>
      </c>
      <c r="F93" s="1753">
        <v>0</v>
      </c>
      <c r="G93" s="1753"/>
      <c r="H93" s="1668"/>
    </row>
    <row r="94" spans="1:8" x14ac:dyDescent="0.2">
      <c r="A94" s="5864" t="s">
        <v>1619</v>
      </c>
      <c r="B94" s="6568"/>
      <c r="C94" s="6568"/>
      <c r="D94" s="6568"/>
      <c r="E94" s="6568"/>
      <c r="F94" s="6568"/>
      <c r="G94" s="6536"/>
    </row>
    <row r="95" spans="1:8" x14ac:dyDescent="0.2">
      <c r="A95" s="1748" t="s">
        <v>1609</v>
      </c>
      <c r="B95" s="1753">
        <v>0</v>
      </c>
      <c r="C95" s="1753"/>
      <c r="D95" s="1753">
        <v>561186.4</v>
      </c>
      <c r="E95" s="1753">
        <v>0</v>
      </c>
      <c r="F95" s="1753">
        <f>B95+D95-E95</f>
        <v>561186.4</v>
      </c>
      <c r="G95" s="1753"/>
    </row>
    <row r="96" spans="1:8" x14ac:dyDescent="0.2">
      <c r="A96" s="1748" t="s">
        <v>1608</v>
      </c>
      <c r="B96" s="1753">
        <v>0</v>
      </c>
      <c r="C96" s="1753"/>
      <c r="D96" s="1753">
        <v>38.299999999999997</v>
      </c>
      <c r="E96" s="1753">
        <v>0</v>
      </c>
      <c r="F96" s="1753">
        <f>B96+D96-E96</f>
        <v>38.299999999999997</v>
      </c>
      <c r="G96" s="1753"/>
    </row>
    <row r="97" spans="1:7" x14ac:dyDescent="0.2">
      <c r="A97" s="1748" t="s">
        <v>1610</v>
      </c>
      <c r="B97" s="1753">
        <v>0</v>
      </c>
      <c r="C97" s="1753"/>
      <c r="D97" s="1753">
        <f t="shared" ref="D97" si="25">D95/D96</f>
        <v>14652.386422976502</v>
      </c>
      <c r="E97" s="1753">
        <v>0</v>
      </c>
      <c r="F97" s="1753">
        <f>F95/F96</f>
        <v>14652.386422976502</v>
      </c>
      <c r="G97" s="1753"/>
    </row>
  </sheetData>
  <mergeCells count="30"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104</vt:i4>
      </vt:variant>
      <vt:variant>
        <vt:lpstr>Именованные диапазоны</vt:lpstr>
      </vt:variant>
      <vt:variant>
        <vt:i4>68</vt:i4>
      </vt:variant>
    </vt:vector>
  </HeadingPairs>
  <TitlesOfParts>
    <vt:vector size="172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транспортир.23</vt:lpstr>
      <vt:lpstr>Прил.1 ПланФХД с транспортир.23</vt:lpstr>
      <vt:lpstr>Прил.1 ПланФХД трансп. стоков23</vt:lpstr>
      <vt:lpstr>Прил. 1 План ФХД трансп. воды23</vt:lpstr>
      <vt:lpstr>Прил. 1 План ФХД стоки 2023</vt:lpstr>
      <vt:lpstr>Прил. 1 План ФХД вода 2023</vt:lpstr>
      <vt:lpstr>Расчет товарной выручки 2023</vt:lpstr>
      <vt:lpstr>ФАКТ.СЕБЕСТ.СТОКИ за 1 пол.2023</vt:lpstr>
      <vt:lpstr>ПОЛНАЯ СЕБЕСТОИМОСТЬ СТОКИ 2023</vt:lpstr>
      <vt:lpstr>ФАКТ.СЕБЕСТ.ВОДА за 1 пол. 2023</vt:lpstr>
      <vt:lpstr>ПОЛНАЯ СЕБЕСТОИМОСТЬ ВОДА 2023</vt:lpstr>
      <vt:lpstr>Расчет товарной выручки 2019</vt:lpstr>
      <vt:lpstr>объемы ВС и ВО 2023</vt:lpstr>
      <vt:lpstr>вода</vt:lpstr>
      <vt:lpstr>стоки</vt:lpstr>
      <vt:lpstr>вода 2019-2023 коррект</vt:lpstr>
      <vt:lpstr>тех вода 2019-2023</vt:lpstr>
      <vt:lpstr>стоки 2019-2023</vt:lpstr>
      <vt:lpstr>очистка 2019-2023</vt:lpstr>
      <vt:lpstr>Прочие неподконтр. расх</vt:lpstr>
      <vt:lpstr>Прочие расходы дополнительно</vt:lpstr>
      <vt:lpstr>цех вода 2023</vt:lpstr>
      <vt:lpstr>цех стоки 2023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 среднемес</vt:lpstr>
      <vt:lpstr>ЗП</vt:lpstr>
      <vt:lpstr>Лизинг</vt:lpstr>
      <vt:lpstr>рем программа</vt:lpstr>
      <vt:lpstr>ремонты</vt:lpstr>
      <vt:lpstr>ОХР </vt:lpstr>
      <vt:lpstr>Лист6</vt:lpstr>
      <vt:lpstr>Тепловая энергия (3 подъем)</vt:lpstr>
      <vt:lpstr>Природный газ, Теплоэнергия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Бесхоз. сети вода</vt:lpstr>
      <vt:lpstr>Бесхоз. сети стоки</vt:lpstr>
      <vt:lpstr>выпадающие расходы</vt:lpstr>
      <vt:lpstr>НАЛОГИ</vt:lpstr>
      <vt:lpstr>вод.налог</vt:lpstr>
      <vt:lpstr>4.2. Налог на 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Налог на прибыль</vt:lpstr>
      <vt:lpstr>НВОС</vt:lpstr>
      <vt:lpstr>рез к 2018-2024 (кор) </vt:lpstr>
      <vt:lpstr>Сбытовые расходы (дополн.)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2019-2023 коррект'!Заголовки_для_печати</vt:lpstr>
      <vt:lpstr>'стоки 2019-2023'!Заголовки_для_печати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'4.2. Налог на имущество'!Область_печати</vt:lpstr>
      <vt:lpstr>Аморт!Область_печати</vt:lpstr>
      <vt:lpstr>'Аренда земли'!Область_печати</vt:lpstr>
      <vt:lpstr>'Бесхоз. сети вода'!Область_печати</vt:lpstr>
      <vt:lpstr>'Бесхоз. сети стоки'!Область_печати</vt:lpstr>
      <vt:lpstr>вод.налог!Область_печати</vt:lpstr>
      <vt:lpstr>вода!Область_печати</vt:lpstr>
      <vt:lpstr>'вода 2019-2023 коррект'!Область_печати</vt:lpstr>
      <vt:lpstr>'Выпадающ15-16'!Область_печати</vt:lpstr>
      <vt:lpstr>'выпадающие расходы'!Область_печати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'Налог на прибыль'!Область_печати</vt:lpstr>
      <vt:lpstr>НАЛОГИ!Область_печати</vt:lpstr>
      <vt:lpstr>НВОС!Область_печати</vt:lpstr>
      <vt:lpstr>'объемы ВС и ВО 2023'!Область_печати</vt:lpstr>
      <vt:lpstr>'объемы черн'!Область_печати</vt:lpstr>
      <vt:lpstr>'ОХР '!Область_печати</vt:lpstr>
      <vt:lpstr>'очистка 2019-2023'!Область_печати</vt:lpstr>
      <vt:lpstr>'платежка с ИП'!Область_печати</vt:lpstr>
      <vt:lpstr>'ПОЛНАЯ СЕБЕСТОИМОСТЬ ВОДА 2023'!Область_печати</vt:lpstr>
      <vt:lpstr>'ПОЛНАЯ СЕБЕСТОИМОСТЬ СТОКИ 2023'!Область_печати</vt:lpstr>
      <vt:lpstr>'Прил. 1 План ФХД вода 2023'!Область_печати</vt:lpstr>
      <vt:lpstr>'Прил. 1 План ФХД стоки 2023'!Область_печати</vt:lpstr>
      <vt:lpstr>'Прил. 1 План ФХД трансп. воды23'!Область_печати</vt:lpstr>
      <vt:lpstr>'Прил.1 ПланФХД с транспортир.23'!Область_печати</vt:lpstr>
      <vt:lpstr>'Прил.1 ПланФХД трансп. стоков23'!Область_печати</vt:lpstr>
      <vt:lpstr>'Природный газ, Теплоэнергия'!Область_печати</vt:lpstr>
      <vt:lpstr>'Прочие неподконтр. расх'!Область_печати</vt:lpstr>
      <vt:lpstr>'Прочие расходы дополнительно'!Область_печати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2019'!Область_печати</vt:lpstr>
      <vt:lpstr>'Расчет товарной выручки 2023'!Область_печати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'Сбытовые расходы (дополн.)'!Область_печати</vt:lpstr>
      <vt:lpstr>стоки!Область_печати</vt:lpstr>
      <vt:lpstr>'стоки 2019-2023'!Область_печати</vt:lpstr>
      <vt:lpstr>'Текущий ремонт'!Область_печати</vt:lpstr>
      <vt:lpstr>'Тепловая энергия (3 подъем)'!Область_печати</vt:lpstr>
      <vt:lpstr>'тех вода 2019-2023'!Область_печати</vt:lpstr>
      <vt:lpstr>транс!Область_печати</vt:lpstr>
      <vt:lpstr>'Транспортировка КЭМЗ'!Область_печати</vt:lpstr>
      <vt:lpstr>'ФАКТ.СЕБЕСТ.ВОДА за 1 пол. 2023'!Область_печати</vt:lpstr>
      <vt:lpstr>'ФАКТ.СЕБЕСТ.СТОКИ за 1 пол.2023'!Область_печати</vt:lpstr>
      <vt:lpstr>'хим реагенты'!Область_печати</vt:lpstr>
      <vt:lpstr>ХР!Область_печати</vt:lpstr>
      <vt:lpstr>'цех вода 2023'!Область_печати</vt:lpstr>
      <vt:lpstr>'цех стоки 2023'!Область_печати</vt:lpstr>
      <vt:lpstr>'Чистая прибыль с транспортир.23'!Область_печати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</cp:lastModifiedBy>
  <cp:lastPrinted>2023-04-25T07:11:38Z</cp:lastPrinted>
  <dcterms:created xsi:type="dcterms:W3CDTF">2005-08-29T07:58:36Z</dcterms:created>
  <dcterms:modified xsi:type="dcterms:W3CDTF">2023-08-31T12:11:39Z</dcterms:modified>
</cp:coreProperties>
</file>